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M, TEO, TAF, KAM, DLL" sheetId="1" r:id="rId4"/>
    <sheet state="visible" name="ENSIKLOPEDI" sheetId="2" r:id="rId5"/>
    <sheet state="visible" name="KONKORDANSI" sheetId="3" r:id="rId6"/>
    <sheet state="visible" name="KAMUS" sheetId="4" r:id="rId7"/>
    <sheet state="visible" name="ALKITAB BHS. DAERAH - NON LAI" sheetId="5" r:id="rId8"/>
    <sheet state="visible" name="PB IND NON - LAI" sheetId="6" r:id="rId9"/>
    <sheet state="visible" name="ALKITAB - NON LAI" sheetId="7" r:id="rId10"/>
    <sheet state="visible" name="PB DAERAH NON -  LAI" sheetId="8" r:id="rId11"/>
    <sheet state="visible" name="ALK + PB (AMERICA)" sheetId="9" r:id="rId12"/>
    <sheet state="visible" name="ALK + PB (EROPA)" sheetId="10" r:id="rId13"/>
    <sheet state="visible" name="ALK + PB (AFRIKA)" sheetId="11" r:id="rId14"/>
    <sheet state="visible" name="ALKITAB  PB - ASIA" sheetId="12" r:id="rId15"/>
    <sheet state="visible" name="KOLEKSI ANAK - NON LAI" sheetId="13" r:id="rId16"/>
    <sheet state="visible" name="LINGUISTIK - NON LAI" sheetId="14" r:id="rId17"/>
    <sheet state="visible" name="JURNAL - NON LAI" sheetId="15" r:id="rId18"/>
    <sheet state="visible" name="MAJALAH, TABLOID - NON LAI" sheetId="16" r:id="rId19"/>
    <sheet state="visible" name="BULETIN &amp; RENUNGAN - NON LAI" sheetId="17" r:id="rId20"/>
    <sheet state="visible" name="PORS. ASIA" sheetId="18" r:id="rId21"/>
    <sheet state="visible" name="PORS. AFRIKA" sheetId="19" r:id="rId22"/>
    <sheet state="visible" name="PORS. AMERIKA" sheetId="20" r:id="rId23"/>
    <sheet state="visible" name="PORS. EROPA" sheetId="21" r:id="rId24"/>
    <sheet state="visible" name="PORS. AUSTRALIA" sheetId="22" r:id="rId25"/>
    <sheet state="visible" name="PORS. BHS. IND - NON LAI" sheetId="23" r:id="rId26"/>
    <sheet state="visible" name="PORS. BHS DAERAH - NON LAI" sheetId="24" r:id="rId27"/>
    <sheet state="visible" name="AV - NON LAI" sheetId="25" r:id="rId28"/>
    <sheet state="visible" name="SEL. NON LAI" sheetId="26" r:id="rId29"/>
    <sheet state="visible" name="UMUM" sheetId="27" r:id="rId30"/>
    <sheet state="visible" name="PUZZLE,dll" sheetId="28" r:id="rId31"/>
  </sheets>
  <definedNames>
    <definedName hidden="1" localSheetId="0" name="_xlnm._FilterDatabase">'COMM, TEO, TAF, KAM, DLL'!$A$5:$R$4243</definedName>
  </definedNames>
  <calcPr/>
  <extLst>
    <ext uri="GoogleSheetsCustomDataVersion2">
      <go:sheetsCustomData xmlns:go="http://customooxmlschemas.google.com/" r:id="rId32" roundtripDataChecksum="w3+91C1t6scPEgdC7rrVAHbkqXvQ3SQkt65F1Yam8YI="/>
    </ext>
  </extLst>
</workbook>
</file>

<file path=xl/comments1.xml><?xml version="1.0" encoding="utf-8"?>
<comments xmlns:r="http://schemas.openxmlformats.org/officeDocument/2006/relationships" xmlns="http://schemas.openxmlformats.org/spreadsheetml/2006/main">
  <authors>
    <author/>
  </authors>
  <commentList>
    <comment authorId="0" ref="Q797">
      <text>
        <t xml:space="preserve">BS: 1
======</t>
      </text>
    </comment>
    <comment authorId="0" ref="Q809">
      <text>
        <t xml:space="preserve">BS: 1
======</t>
      </text>
    </comment>
    <comment authorId="0" ref="Q829">
      <text>
        <t xml:space="preserve">ketik di sini
CS 1
======</t>
      </text>
    </comment>
    <comment authorId="0" ref="Q830">
      <text>
        <t xml:space="preserve">ketik di sini
CS 1
BS 1
======</t>
      </text>
    </comment>
    <comment authorId="0" ref="Q837">
      <text>
        <t xml:space="preserve">CS 1
======</t>
      </text>
    </comment>
    <comment authorId="0" ref="Q838">
      <text>
        <t xml:space="preserve">CS 1
======</t>
      </text>
    </comment>
    <comment authorId="0" ref="Q846">
      <text>
        <t xml:space="preserve">AT ada 1
======</t>
      </text>
    </comment>
    <comment authorId="0" ref="Q944">
      <text>
        <t xml:space="preserve">AT 1
======</t>
      </text>
    </comment>
    <comment authorId="0" ref="Q975">
      <text>
        <t xml:space="preserve">AT: 1
cs 1
======</t>
      </text>
    </comment>
    <comment authorId="0" ref="Q993">
      <text>
        <t xml:space="preserve">AT: 1
======</t>
      </text>
    </comment>
    <comment authorId="0" ref="Q996">
      <text>
        <t xml:space="preserve">AT ADA 1
======</t>
      </text>
    </comment>
    <comment authorId="0" ref="Q1001">
      <text>
        <t xml:space="preserve">cs 1
======</t>
      </text>
    </comment>
    <comment authorId="0" ref="Q1014">
      <text>
        <t xml:space="preserve">BS: 1
======</t>
      </text>
    </comment>
    <comment authorId="0" ref="Q1076">
      <text>
        <t xml:space="preserve">BS: 1
======</t>
      </text>
    </comment>
    <comment authorId="0" ref="Q1078">
      <text>
        <t xml:space="preserve">AT: 3
======</t>
      </text>
    </comment>
    <comment authorId="0" ref="Q1087">
      <text>
        <t xml:space="preserve">AT ADA 1
======</t>
      </text>
    </comment>
    <comment authorId="0" ref="Q1091">
      <text>
        <t xml:space="preserve">BS: 1
======</t>
      </text>
    </comment>
    <comment authorId="0" ref="Q1185">
      <text>
        <t xml:space="preserve">AT Ada 1
======</t>
      </text>
    </comment>
    <comment authorId="0" ref="Q1199">
      <text>
        <t xml:space="preserve">BS: 1
======</t>
      </text>
    </comment>
    <comment authorId="0" ref="P1206">
      <text>
        <t xml:space="preserve">BS: 1
======</t>
      </text>
    </comment>
    <comment authorId="0" ref="Q1263">
      <text>
        <t xml:space="preserve">BS: 1
======</t>
      </text>
    </comment>
    <comment authorId="0" ref="Q1322">
      <text>
        <t xml:space="preserve">BS: 2
======</t>
      </text>
    </comment>
    <comment authorId="0" ref="Q1335">
      <text>
        <t xml:space="preserve">AT: 1
======</t>
      </text>
    </comment>
    <comment authorId="0" ref="Q1532">
      <text>
        <t xml:space="preserve">AT: 2
======</t>
      </text>
    </comment>
    <comment authorId="0" ref="Q1549">
      <text>
        <t xml:space="preserve">AT: 3
======</t>
      </text>
    </comment>
    <comment authorId="0" ref="Q1554">
      <text>
        <t xml:space="preserve">AT: 3
======</t>
      </text>
    </comment>
    <comment authorId="0" ref="Q1711">
      <text>
        <t xml:space="preserve">cs 2
======</t>
      </text>
    </comment>
    <comment authorId="0" ref="Q1764">
      <text>
        <t xml:space="preserve">cs 1
======</t>
      </text>
    </comment>
    <comment authorId="0" ref="Q2115">
      <text>
        <t xml:space="preserve">AT: 1
======</t>
      </text>
    </comment>
    <comment authorId="0" ref="Q2153">
      <text>
        <t xml:space="preserve">AT: 4
======</t>
      </text>
    </comment>
    <comment authorId="0" ref="Q2162">
      <text>
        <t xml:space="preserve">AT: 1
======</t>
      </text>
    </comment>
    <comment authorId="0" ref="Q2172">
      <text>
        <t xml:space="preserve">AT: 1
======</t>
      </text>
    </comment>
    <comment authorId="0" ref="Q2199">
      <text>
        <t xml:space="preserve">AT: 1
======</t>
      </text>
    </comment>
    <comment authorId="0" ref="Q2245">
      <text>
        <t xml:space="preserve">CS 1
======</t>
      </text>
    </comment>
    <comment authorId="0" ref="Q2280">
      <text>
        <t xml:space="preserve">AT: 1
======</t>
      </text>
    </comment>
    <comment authorId="0" ref="Q2290">
      <text>
        <t xml:space="preserve">AT 1
======</t>
      </text>
    </comment>
    <comment authorId="0" ref="Q2376">
      <text>
        <t xml:space="preserve">AT: 1
======</t>
      </text>
    </comment>
    <comment authorId="0" ref="Q2379">
      <text>
        <t xml:space="preserve">AT: 1
======</t>
      </text>
    </comment>
    <comment authorId="0" ref="Q2424">
      <text>
        <t xml:space="preserve">BS: 1
======</t>
      </text>
    </comment>
    <comment authorId="0" ref="Q2476">
      <text>
        <t xml:space="preserve">BS: 1
======</t>
      </text>
    </comment>
    <comment authorId="0" ref="Q2482">
      <text>
        <t xml:space="preserve">AT: 1
======</t>
      </text>
    </comment>
    <comment authorId="0" ref="Q2618">
      <text>
        <t xml:space="preserve">AT: 1
======</t>
      </text>
    </comment>
    <comment authorId="0" ref="Q2708">
      <text>
        <t xml:space="preserve">AT: 1
======</t>
      </text>
    </comment>
    <comment authorId="0" ref="Q2721">
      <text>
        <t xml:space="preserve">AT: 1
======</t>
      </text>
    </comment>
    <comment authorId="0" ref="Q2723">
      <text>
        <t xml:space="preserve">AT: 1
======</t>
      </text>
    </comment>
    <comment authorId="0" ref="Q2731">
      <text>
        <t xml:space="preserve">AT: 1
======</t>
      </text>
    </comment>
    <comment authorId="0" ref="Q2739">
      <text>
        <t xml:space="preserve">AT: 2
======</t>
      </text>
    </comment>
    <comment authorId="0" ref="Q2787">
      <text>
        <t xml:space="preserve">BS: 1
======</t>
      </text>
    </comment>
    <comment authorId="0" ref="Q2835">
      <text>
        <t xml:space="preserve">CS 1
======</t>
      </text>
    </comment>
    <comment authorId="0" ref="Q2848">
      <text>
        <t xml:space="preserve">AT: 1
======</t>
      </text>
    </comment>
    <comment authorId="0" ref="Q2860">
      <text>
        <t xml:space="preserve">AT: 2
======</t>
      </text>
    </comment>
    <comment authorId="0" ref="Q2912">
      <text>
        <t xml:space="preserve">AT 1
======</t>
      </text>
    </comment>
    <comment authorId="0" ref="Q2926">
      <text>
        <t xml:space="preserve">AT: 1
BS: 1
======</t>
      </text>
    </comment>
    <comment authorId="0" ref="Q2950">
      <text>
        <t xml:space="preserve">BS: 1
======</t>
      </text>
    </comment>
    <comment authorId="0" ref="Q2952">
      <text>
        <t xml:space="preserve">AT 1
======</t>
      </text>
    </comment>
    <comment authorId="0" ref="Q2975">
      <text>
        <t xml:space="preserve">AT: 1
======</t>
      </text>
    </comment>
    <comment authorId="0" ref="Q3003">
      <text>
        <t xml:space="preserve">======
ID#AAAAJNuXzEo
Albert Tambunan    (2020-03-19 09:04:33)
AT Ada 1</t>
      </text>
    </comment>
    <comment authorId="0" ref="Q2995">
      <text>
        <t xml:space="preserve">======
ID#AAAAJNuXzEU
Albert Tambunan    (2020-03-19 08:59:19)
AT Ada 1</t>
      </text>
    </comment>
    <comment authorId="0" ref="Q1210">
      <text>
        <t xml:space="preserve">======
ID#AAAAJNuXy4U
Albert Tambunan    (2020-03-19 07:27:47)
AT Ada 1</t>
      </text>
    </comment>
    <comment authorId="0" ref="Q1277">
      <text>
        <t xml:space="preserve">======
ID#AAAAJNuXyzs
Albert Tambunan    (2020-03-19 06:37:40)
AT Ada 2</t>
      </text>
    </comment>
    <comment authorId="0" ref="Q1119">
      <text>
        <t xml:space="preserve">======
ID#AAAAJNuXyzY
Albert Tambunan    (2020-03-19 06:35:02)
AT Ada 1</t>
      </text>
    </comment>
    <comment authorId="0" ref="D1343">
      <text>
        <t xml:space="preserve">======
ID#AAAAJNyus4Y
Author    (2020-03-19 01:51:45)
dipinjam ibu siane budiman</t>
      </text>
    </comment>
    <comment authorId="0" ref="P1651">
      <text>
        <t xml:space="preserve">======
ID#AAAAJNyus4M
Author    (2020-03-19 01:51:45)
baru ada 1</t>
      </text>
    </comment>
    <comment authorId="0" ref="B3892">
      <text>
        <t xml:space="preserve">======
ID#AAAAJNyus4Q
Author    (2020-03-19 01:51:45)
Ga Ada</t>
      </text>
    </comment>
    <comment authorId="0" ref="P1001">
      <text>
        <t xml:space="preserve">======
ID#AAAAJNyus4I
Author    (2020-03-19 01:51:45)
1</t>
      </text>
    </comment>
    <comment authorId="0" ref="P180">
      <text>
        <t xml:space="preserve">======
ID#AAAAJNyus4A
Author    (2020-03-19 01:51:45)
baru ada 1</t>
      </text>
    </comment>
    <comment authorId="0" ref="B3603">
      <text>
        <t xml:space="preserve">======
ID#AAAAJNyus4E
Author    (2020-03-19 01:51:45)
ga ada</t>
      </text>
    </comment>
  </commentList>
  <extLst>
    <ext uri="GoogleSheetsCustomDataVersion2">
      <go:sheetsCustomData xmlns:go="http://customooxmlschemas.google.com/" r:id="rId1" roundtripDataSignature="AMtx7mjRwsxS9nXBkt3VWrMm/p9O1BBHgA=="/>
    </ext>
  </extLst>
</comments>
</file>

<file path=xl/comments2.xml><?xml version="1.0" encoding="utf-8"?>
<comments xmlns:r="http://schemas.openxmlformats.org/officeDocument/2006/relationships" xmlns="http://schemas.openxmlformats.org/spreadsheetml/2006/main">
  <authors>
    <author/>
  </authors>
  <commentList>
    <comment authorId="0" ref="P220">
      <text>
        <t xml:space="preserve">======
ID#AAAAJNyus4U
Author    (2020-03-19 01:51:45)
Vera Harefa: baru 1</t>
      </text>
    </comment>
  </commentList>
  <extLst>
    <ext uri="GoogleSheetsCustomDataVersion2">
      <go:sheetsCustomData xmlns:go="http://customooxmlschemas.google.com/" r:id="rId1" roundtripDataSignature="AMtx7miHR0D4hg60B8B5LypYQKG8D7B+zA=="/>
    </ext>
  </extLst>
</comments>
</file>

<file path=xl/sharedStrings.xml><?xml version="1.0" encoding="utf-8"?>
<sst xmlns="http://schemas.openxmlformats.org/spreadsheetml/2006/main" count="79093" uniqueCount="23813">
  <si>
    <t xml:space="preserve"> </t>
  </si>
  <si>
    <t xml:space="preserve">            FORMULIR IDENTIFIKASI KOLEKSI PERPUSTAKAAN</t>
  </si>
  <si>
    <t>TOTAL SELURUH:</t>
  </si>
  <si>
    <t xml:space="preserve">    Nomor:</t>
  </si>
  <si>
    <t>COMM, TEO, TAF, KAM, DLL</t>
  </si>
  <si>
    <t xml:space="preserve">    </t>
  </si>
  <si>
    <t xml:space="preserve">  </t>
  </si>
  <si>
    <t>Comm,Teo,Kamus,dll</t>
  </si>
  <si>
    <t>No</t>
  </si>
  <si>
    <t>ISBN</t>
  </si>
  <si>
    <t>DDC</t>
  </si>
  <si>
    <t>Judul Buku</t>
  </si>
  <si>
    <t>Jenis Terbitan</t>
  </si>
  <si>
    <t>Kategori Bacaan</t>
  </si>
  <si>
    <t>Negara Asal</t>
  </si>
  <si>
    <t>Bahasa</t>
  </si>
  <si>
    <t>Jumlah Halaman</t>
  </si>
  <si>
    <t>Pengarang/Editor</t>
  </si>
  <si>
    <t>Penerbit</t>
  </si>
  <si>
    <t>Tahun Terbit</t>
  </si>
  <si>
    <t>Lokasi</t>
  </si>
  <si>
    <t>Jumlah Buku</t>
  </si>
  <si>
    <t>Ada Fisik</t>
  </si>
  <si>
    <t>Tidak Ada Fisik</t>
  </si>
  <si>
    <t>Total:</t>
  </si>
  <si>
    <t>979-24-9966-0</t>
  </si>
  <si>
    <t>223.2 BHI z</t>
  </si>
  <si>
    <t>Zabur</t>
  </si>
  <si>
    <t>Commentary</t>
  </si>
  <si>
    <t>Umum</t>
  </si>
  <si>
    <t>Indonesia</t>
  </si>
  <si>
    <t>-</t>
  </si>
  <si>
    <t>Tim Bhineka</t>
  </si>
  <si>
    <t>Pustaka Marwa</t>
  </si>
  <si>
    <t>0-88312-913-2</t>
  </si>
  <si>
    <t>406 WAR b</t>
  </si>
  <si>
    <t>Bibliography of The Summer Institute Of Linguistics Volume One: 1935-1975</t>
  </si>
  <si>
    <t>USA</t>
  </si>
  <si>
    <t>Inggris</t>
  </si>
  <si>
    <t>Alan C. Wares</t>
  </si>
  <si>
    <t>Summer Institute of Linguistics 1985</t>
  </si>
  <si>
    <t>0-88312-914-0</t>
  </si>
  <si>
    <t>Bibliography of The Summer Institute Of Linguistics Volume Two: 1976-1982</t>
  </si>
  <si>
    <t>Summer Institute of Linguistics 1986</t>
  </si>
  <si>
    <t>0-8023-3683-6</t>
  </si>
  <si>
    <t>226.5 CAR g</t>
  </si>
  <si>
    <t>The Gospel According To John</t>
  </si>
  <si>
    <t xml:space="preserve">Umum </t>
  </si>
  <si>
    <t>D. A. Carson</t>
  </si>
  <si>
    <t>Eerdmans</t>
  </si>
  <si>
    <t>0-95864148-X</t>
  </si>
  <si>
    <t>248 REB w</t>
  </si>
  <si>
    <t>Weaving Our Story</t>
  </si>
  <si>
    <t>Ranjini E Wickramaratne-Rebera</t>
  </si>
  <si>
    <t>UBS</t>
  </si>
  <si>
    <t>0-8264-1470-2</t>
  </si>
  <si>
    <t>990.0492 AHI h</t>
  </si>
  <si>
    <t>Historical Atlas of The Jewish People</t>
  </si>
  <si>
    <t>Israel</t>
  </si>
  <si>
    <t>Shmuel Ahituv</t>
  </si>
  <si>
    <t>Continuum</t>
  </si>
  <si>
    <t>0-334-02554-0</t>
  </si>
  <si>
    <t>933 ALB h</t>
  </si>
  <si>
    <t>A History of Israelite Religion in the Old Testament period. Vol. 2</t>
  </si>
  <si>
    <t>Rainer Albertz</t>
  </si>
  <si>
    <t>SCM Press</t>
  </si>
  <si>
    <t>0-334-02553-2</t>
  </si>
  <si>
    <t>A History of Israelite Religion in the Old Testament Period. Vol. 1</t>
  </si>
  <si>
    <t>0-19-518140-9</t>
  </si>
  <si>
    <t xml:space="preserve">813.54 HER </t>
  </si>
  <si>
    <t>Truth and Fiction in The Da Vinci Code</t>
  </si>
  <si>
    <t>Bart D. Ehrman</t>
  </si>
  <si>
    <t>Oxford University Press</t>
  </si>
  <si>
    <t>1-58939-776-2</t>
  </si>
  <si>
    <t>492.4 BEN a</t>
  </si>
  <si>
    <t>Ancient Hebrew Lexicon of the Bible</t>
  </si>
  <si>
    <t>Jeff A.Benner</t>
  </si>
  <si>
    <t>Virtualbookworm.com Publishing Inc.</t>
  </si>
  <si>
    <t>0-521-31320-1</t>
  </si>
  <si>
    <t xml:space="preserve">427.994 HOR </t>
  </si>
  <si>
    <t>Variation in Australian English</t>
  </si>
  <si>
    <t>Australia</t>
  </si>
  <si>
    <t>Barbara M. Horvath</t>
  </si>
  <si>
    <t>Cambridge University Press</t>
  </si>
  <si>
    <t>979-3083-86-7</t>
  </si>
  <si>
    <t>224.92 HOH m</t>
  </si>
  <si>
    <t>Mari Menerjemahkan Kitab Yunus</t>
  </si>
  <si>
    <t>Richard M. Hohulin</t>
  </si>
  <si>
    <t>Yayasan Karunia Bakti Budaya Indonesia (Kartidaya)</t>
  </si>
  <si>
    <t>11b</t>
  </si>
  <si>
    <t>413.028 KUB r</t>
  </si>
  <si>
    <t>A Reader's Greek-English Lexicon of The New Testament</t>
  </si>
  <si>
    <t>Konkordansi</t>
  </si>
  <si>
    <t>Sakae Kubo</t>
  </si>
  <si>
    <t>Andrews University</t>
  </si>
  <si>
    <t>978-3-438-06008-2</t>
  </si>
  <si>
    <t>413.028 NEW g</t>
  </si>
  <si>
    <t>Greek-English Dictionary of the New Testament</t>
  </si>
  <si>
    <t>Jerman</t>
  </si>
  <si>
    <t>Barclay M. Newman, Jr.</t>
  </si>
  <si>
    <t>Deutsche Bibelgesellschaft</t>
  </si>
  <si>
    <t>0-19-815406-2</t>
  </si>
  <si>
    <t>492.45 COW g</t>
  </si>
  <si>
    <t>Gesenius Hebrew Grammar - Second Edition</t>
  </si>
  <si>
    <t>A. E. Cowley</t>
  </si>
  <si>
    <t>Clarendon Press (OXFORD)</t>
  </si>
  <si>
    <t>411 BUL f</t>
  </si>
  <si>
    <t xml:space="preserve">Figures of Speech Used in the Bible </t>
  </si>
  <si>
    <t xml:space="preserve">E. W. Bullinger </t>
  </si>
  <si>
    <t xml:space="preserve">Baker Book House </t>
  </si>
  <si>
    <t>979-429-002-5</t>
  </si>
  <si>
    <t>808.025 KER k</t>
  </si>
  <si>
    <t>KOMPOSISI (Sebuah Pengantar Kemahiran Bahasa)</t>
  </si>
  <si>
    <t>Prof. DR. Gorys Keraf</t>
  </si>
  <si>
    <t>Penerbit Nusa Indah</t>
  </si>
  <si>
    <t>372.6 FRI e</t>
  </si>
  <si>
    <t>English Word Lists</t>
  </si>
  <si>
    <t>Charles C. Fries Dkk</t>
  </si>
  <si>
    <t>USAn Council On Education</t>
  </si>
  <si>
    <t>978-0-8054-0137-0</t>
  </si>
  <si>
    <t>227.92 SCH n</t>
  </si>
  <si>
    <t>New International Version - The New American Commentary (NAC) 1,2 Peter, Jude Vol. 37</t>
  </si>
  <si>
    <t xml:space="preserve">Thomas R. Schreiner </t>
  </si>
  <si>
    <t>B &amp; H Publishing Group</t>
  </si>
  <si>
    <t>978-981-05-6577-0</t>
  </si>
  <si>
    <t>230.07 COL c</t>
  </si>
  <si>
    <t>At the Crossroads : the history of Trinity Theological College, 1948-2005</t>
  </si>
  <si>
    <t>Singapore</t>
  </si>
  <si>
    <t>Trinity Theological College</t>
  </si>
  <si>
    <t>302.2 SHA w</t>
  </si>
  <si>
    <t>The War With Words (Structure and Transcendence)</t>
  </si>
  <si>
    <t>Belanda</t>
  </si>
  <si>
    <t>Harley C. Shands</t>
  </si>
  <si>
    <t>Mouton &amp; CO</t>
  </si>
  <si>
    <t>979-99479-7-9</t>
  </si>
  <si>
    <t>297.122.03 MUH a</t>
  </si>
  <si>
    <t>Atlas al-Qur'an - Volume B</t>
  </si>
  <si>
    <t>Atlas</t>
  </si>
  <si>
    <t>Dr. Ahsin Sakho Muhammad Dkk</t>
  </si>
  <si>
    <t>Kharisma Ilmu</t>
  </si>
  <si>
    <t>Atlas al-Qur'an - Volume A</t>
  </si>
  <si>
    <t>979-17349-7-6</t>
  </si>
  <si>
    <t>264.4 DAR s</t>
  </si>
  <si>
    <t>Sudahkah yang Terbaik Kuberikan?</t>
  </si>
  <si>
    <t>Teologi</t>
  </si>
  <si>
    <t>Eka Darmaputera</t>
  </si>
  <si>
    <t>Gloria Graffa</t>
  </si>
  <si>
    <t>978-979-415-681-0</t>
  </si>
  <si>
    <t>252 ISM s</t>
  </si>
  <si>
    <t>Selamat Pagi Tuhan! (33 Renungan tentang Doa)</t>
  </si>
  <si>
    <t>Andar Ismail</t>
  </si>
  <si>
    <t>BPK Gunung Mulia</t>
  </si>
  <si>
    <t>0-385-13517-3</t>
  </si>
  <si>
    <t>220.7 SKE w</t>
  </si>
  <si>
    <t>The Anchor Bible: The Wisdom of Ben Sira - Volume 39</t>
  </si>
  <si>
    <t>Patrick W. Skehan</t>
  </si>
  <si>
    <t>Doubleday &amp; Company, Inc.</t>
  </si>
  <si>
    <t>232.964 MOR t</t>
  </si>
  <si>
    <t xml:space="preserve">Tuntunan Memahami Kain Kafan </t>
  </si>
  <si>
    <t xml:space="preserve">Indonesia </t>
  </si>
  <si>
    <t xml:space="preserve">Gino Moretto </t>
  </si>
  <si>
    <t>Kanisius</t>
  </si>
  <si>
    <t>979-3292-90-3</t>
  </si>
  <si>
    <t>230.044 VAN d</t>
  </si>
  <si>
    <t>Drama Doktrin Suatu Pendekatan Ksnonik - Linguistik pada Theologi Kristen</t>
  </si>
  <si>
    <t>Lingustik</t>
  </si>
  <si>
    <t xml:space="preserve">Inggris </t>
  </si>
  <si>
    <t>Bahsa Indonesia</t>
  </si>
  <si>
    <t>Kevin J. Vanhoozer</t>
  </si>
  <si>
    <t>Momentum</t>
  </si>
  <si>
    <t>0-385-08533-8</t>
  </si>
  <si>
    <t>229.73 GOL m</t>
  </si>
  <si>
    <t>The Anchor Bible: II Maccabees - Volume 41A</t>
  </si>
  <si>
    <t>Jonathan A. Goldstein</t>
  </si>
  <si>
    <t>978-0-8006-6050-5</t>
  </si>
  <si>
    <t>229.7 DOR h</t>
  </si>
  <si>
    <t>Hermeneia a Critical and Historical Commentary on the Bible - 2 Maccabees</t>
  </si>
  <si>
    <t>Robert Doran</t>
  </si>
  <si>
    <t>Fortress Press</t>
  </si>
  <si>
    <t>0-385-14424-5</t>
  </si>
  <si>
    <t>229.24 MOO j</t>
  </si>
  <si>
    <t>The Anchor Bible: Judith - Volume 40</t>
  </si>
  <si>
    <t>Carey A. Moore</t>
  </si>
  <si>
    <t>0-385-00426-5</t>
  </si>
  <si>
    <t>The Anchor Bible: I Maccabees - Volume 41</t>
  </si>
  <si>
    <t>229.1 MYE e</t>
  </si>
  <si>
    <t>The Anchor Bible: I &amp; II Esdras - Volume 42</t>
  </si>
  <si>
    <t>Jacob M. Myers</t>
  </si>
  <si>
    <t>Doubly &amp; Company, Inc.</t>
  </si>
  <si>
    <t>978-0-8006-6026-9</t>
  </si>
  <si>
    <t>229.1 STO h</t>
  </si>
  <si>
    <t>Hermeneia a Critical and Historical Commentary on the Bible - Fourth Ezra</t>
  </si>
  <si>
    <t>Michael Edward Stone</t>
  </si>
  <si>
    <t>228 SWE a</t>
  </si>
  <si>
    <t>The Apocalypse of ST. John</t>
  </si>
  <si>
    <t>Henry Barclay Swete, D.D.</t>
  </si>
  <si>
    <t>Macmillan Publishing</t>
  </si>
  <si>
    <t>978-0-8054-0139-4</t>
  </si>
  <si>
    <t>228 PAT n</t>
  </si>
  <si>
    <t xml:space="preserve">New International Version - The New American Commentary (NAC) Revelation Vol. 39 </t>
  </si>
  <si>
    <t>Paige Patterson</t>
  </si>
  <si>
    <t>978-979-415-473-1</t>
  </si>
  <si>
    <t>228 HEE w</t>
  </si>
  <si>
    <t xml:space="preserve">Tafsiran Alkitab Wahyu Yohanes </t>
  </si>
  <si>
    <t>Dr. J. J. de Heer</t>
  </si>
  <si>
    <t>10a</t>
  </si>
  <si>
    <t>0-385-00895-3</t>
  </si>
  <si>
    <t>228 FOR a</t>
  </si>
  <si>
    <t>The Anchor Bible Revelation</t>
  </si>
  <si>
    <t>J. Massyngberde Ford</t>
  </si>
  <si>
    <t>228 CHA i</t>
  </si>
  <si>
    <t>(ICC) The Revelation of ST. John Volume I</t>
  </si>
  <si>
    <t>R. H. Charles, D. Litt, D.D.</t>
  </si>
  <si>
    <t>T &amp; T Clark</t>
  </si>
  <si>
    <t>(ICC) The Revelation of ST. John Volume II</t>
  </si>
  <si>
    <t>R.H. Charles, D. Litt, D.D.</t>
  </si>
  <si>
    <t>228 CAI r</t>
  </si>
  <si>
    <t xml:space="preserve">Herper's New Testament Commentaries The Revelation of ST. John The Divine </t>
  </si>
  <si>
    <t>G. B. Caird</t>
  </si>
  <si>
    <t>Harper &amp; Row Publishers</t>
  </si>
  <si>
    <t xml:space="preserve">0-8267-0174-4 </t>
  </si>
  <si>
    <t>228 BRA r</t>
  </si>
  <si>
    <t>A Handbook on: The Revelation to John</t>
  </si>
  <si>
    <t>Penerjemahan</t>
  </si>
  <si>
    <t>Robert G. Bratcher Dkk</t>
  </si>
  <si>
    <t>10:a</t>
  </si>
  <si>
    <t>0-8028-1885-4</t>
  </si>
  <si>
    <t>228 MUR r</t>
  </si>
  <si>
    <t>The New Century Bible Commentary Revelation</t>
  </si>
  <si>
    <t>G. R. Beasley-Murray</t>
  </si>
  <si>
    <t>William B. Eerdmans Publishing Company</t>
  </si>
  <si>
    <t>978-0-8499-0251-2</t>
  </si>
  <si>
    <t>222.7 AUN w</t>
  </si>
  <si>
    <t>Word Biblical Commentary Vol. 52A Revelation 1-5</t>
  </si>
  <si>
    <t>Meksiko</t>
  </si>
  <si>
    <t>David E. Aune</t>
  </si>
  <si>
    <t>Thomas Nelson INC.</t>
  </si>
  <si>
    <t>978-0-8499-0786-9</t>
  </si>
  <si>
    <t>Word Biblical Commentary Vol. 52B Revelation 6-16</t>
  </si>
  <si>
    <t>978-0-8499-1545-1</t>
  </si>
  <si>
    <t>Word Biblical Commentary Vol. 52C Revelation 17-22</t>
  </si>
  <si>
    <t>0-310-36540-6</t>
  </si>
  <si>
    <t>220.7'7 GAE h</t>
  </si>
  <si>
    <t>The Expositor's Bible Commentary: Volume 12 - Hebrews-Revelation</t>
  </si>
  <si>
    <t>Frank E. Gaebelein</t>
  </si>
  <si>
    <t>Regency Reference Library</t>
  </si>
  <si>
    <t>0-85111-884-4</t>
  </si>
  <si>
    <t>227.97 GUT t</t>
  </si>
  <si>
    <t>Tyndale New Testament Commentaries Hebrews</t>
  </si>
  <si>
    <t>Donald Guthrie</t>
  </si>
  <si>
    <t>Inter Varsity Press</t>
  </si>
  <si>
    <t>979-8132-90-4</t>
  </si>
  <si>
    <t>912.19 TAB a</t>
  </si>
  <si>
    <t>Atlas Bahasa Tanah Maluku</t>
  </si>
  <si>
    <t>Mark Taber, B.A.</t>
  </si>
  <si>
    <t>Summer Institute of Linguistics</t>
  </si>
  <si>
    <t>978-1-4185-1424-2</t>
  </si>
  <si>
    <t>220.7 SMA w</t>
  </si>
  <si>
    <t>Word Biblical Commentary Vol. 51 1,2,3 John Revised</t>
  </si>
  <si>
    <t>Stephen Smalley</t>
  </si>
  <si>
    <t xml:space="preserve">3-438-07800-7 </t>
  </si>
  <si>
    <t>227.94-96 HAA j</t>
  </si>
  <si>
    <t>Helps for Translators: A Translator's Handbook on The Letters of John</t>
  </si>
  <si>
    <t>C. Haas Dkk</t>
  </si>
  <si>
    <t>0-385-05686-9</t>
  </si>
  <si>
    <t>227.94077 BRO a</t>
  </si>
  <si>
    <t>The Anchor Bible The Epistles of John</t>
  </si>
  <si>
    <t>Raymond E. Brown</t>
  </si>
  <si>
    <t>965-220-487-0</t>
  </si>
  <si>
    <t>912 AHA c</t>
  </si>
  <si>
    <t>The Carta Bible Atlas</t>
  </si>
  <si>
    <t>Yohana Aharoni Dkk</t>
  </si>
  <si>
    <t>Israel Exploration Society</t>
  </si>
  <si>
    <t>0-7007-0985-1</t>
  </si>
  <si>
    <t>911.5'98 CRI h</t>
  </si>
  <si>
    <t>Historical Atlas of Indonesia</t>
  </si>
  <si>
    <t>Robert Cribb</t>
  </si>
  <si>
    <t>Curzon</t>
  </si>
  <si>
    <t>0-85111-888-7</t>
  </si>
  <si>
    <t>227.94 STO t</t>
  </si>
  <si>
    <t>Tyndale New Testament Commentaries The Letters of John</t>
  </si>
  <si>
    <t>John R. W. Stott</t>
  </si>
  <si>
    <t>0-87784-481-X</t>
  </si>
  <si>
    <t>227.94 STO g</t>
  </si>
  <si>
    <t>Guard the Gospel the Message of 2 Timothy</t>
  </si>
  <si>
    <t>John R.W. Stott</t>
  </si>
  <si>
    <t>University Press Inter Varsity</t>
  </si>
  <si>
    <t>0-8146-5812-1</t>
  </si>
  <si>
    <t>227.9 PAI j</t>
  </si>
  <si>
    <t>Sacra Pagina Series: Volume 18 1, 2, and 3 John.</t>
  </si>
  <si>
    <t>John Painter</t>
  </si>
  <si>
    <t>Liturgical</t>
  </si>
  <si>
    <t>0-8006-6013-7</t>
  </si>
  <si>
    <t>227.94 HAE h</t>
  </si>
  <si>
    <t>Hermeneia a Critical and Historical Commentary on the Bible  - John 1</t>
  </si>
  <si>
    <t>Ernst Haenchen</t>
  </si>
  <si>
    <t>0-8006-6015-3</t>
  </si>
  <si>
    <t>227.95 HAE h</t>
  </si>
  <si>
    <t>Hermeneia a Critical and Historical Commentary on the Bible  - John 2</t>
  </si>
  <si>
    <t>979-415-453-9</t>
  </si>
  <si>
    <t>227.94 BAR y</t>
  </si>
  <si>
    <t>Pemahaman Alkitab Setiap Hari Surat-surat Yohanes dan Surat Yudas</t>
  </si>
  <si>
    <t>Biblika</t>
  </si>
  <si>
    <t>William Barclay</t>
  </si>
  <si>
    <t>978-0-8054-0138-7</t>
  </si>
  <si>
    <t>227 AKI n</t>
  </si>
  <si>
    <t xml:space="preserve">New International Version - The New American Commentary (NAC) 1, 2, 3 John Vol. 38 </t>
  </si>
  <si>
    <t>Daniel L. Akin</t>
  </si>
  <si>
    <t>978-0-8028-3726-4</t>
  </si>
  <si>
    <t>227.93 DAV l</t>
  </si>
  <si>
    <t>The Letters of 2 Peter and Jude</t>
  </si>
  <si>
    <t>Peter H. Davids</t>
  </si>
  <si>
    <t>0-8028-1416-6</t>
  </si>
  <si>
    <t>227.92 STI t</t>
  </si>
  <si>
    <t xml:space="preserve">Tyndale New Testament Commentaries 1 Peter </t>
  </si>
  <si>
    <t>A. M. Stibbs Dkk</t>
  </si>
  <si>
    <t>227.92 SEL f</t>
  </si>
  <si>
    <t xml:space="preserve">The First Epistle of ST. Peter </t>
  </si>
  <si>
    <t>Edward Gordon Selwyn, D.D.</t>
  </si>
  <si>
    <t>0-8028-0078-5</t>
  </si>
  <si>
    <t>227.92 GRE t</t>
  </si>
  <si>
    <t>Tyndale New Testament Commentaries 2 Peter and Jude</t>
  </si>
  <si>
    <t xml:space="preserve">Michael Green </t>
  </si>
  <si>
    <t>0-8267-0152-3</t>
  </si>
  <si>
    <t>227.92 ARI p</t>
  </si>
  <si>
    <t>Helps for Translators: A Translator's Handbook on The First Letter From Peter</t>
  </si>
  <si>
    <t>Daniel C.Arichea Dkk</t>
  </si>
  <si>
    <t>978-0-8006-6030-7</t>
  </si>
  <si>
    <t>227.92 ACH h</t>
  </si>
  <si>
    <t>Hermeneia a Critical and Historical Commentary on the Bible - 1 Peter</t>
  </si>
  <si>
    <t xml:space="preserve">Paul J. Achtemeier </t>
  </si>
  <si>
    <t>0-8499-3809-0</t>
  </si>
  <si>
    <t>227.91.95 DEM c</t>
  </si>
  <si>
    <t>The Communicator's Commentary 1, 2 Thessalonians, 1, 2 Timothy, Titus</t>
  </si>
  <si>
    <t>Gary W. Demarest</t>
  </si>
  <si>
    <t>Word Books</t>
  </si>
  <si>
    <t>0-85111-885-2</t>
  </si>
  <si>
    <t>227.91 MOO t</t>
  </si>
  <si>
    <t>Tyndale New Testament Commentaries James</t>
  </si>
  <si>
    <t>Douglas J. Moo</t>
  </si>
  <si>
    <t>978-0-8499-0247-5</t>
  </si>
  <si>
    <t>220.7 MAR w</t>
  </si>
  <si>
    <t>Word Biblical Commentary Vol. 48 James</t>
  </si>
  <si>
    <t>Ralph P. Martin</t>
  </si>
  <si>
    <t>978-0-8499-0248-2</t>
  </si>
  <si>
    <t>220.7 MIC w</t>
  </si>
  <si>
    <t>Word Biblical Commentary Vol. 49 1 Peter</t>
  </si>
  <si>
    <t>J. Ramsey Michaels</t>
  </si>
  <si>
    <t>978-1-58983-501-6</t>
  </si>
  <si>
    <t>227.91 MCC j</t>
  </si>
  <si>
    <t>Logos and Law in the Letter of James</t>
  </si>
  <si>
    <t>Matt A. Jackson-McCabe</t>
  </si>
  <si>
    <t>Society of Biblical Literature</t>
  </si>
  <si>
    <t>227.91 BUT j</t>
  </si>
  <si>
    <t>The Interpretr's Bible: James, Peter, John, Jude, Revelation. General Articles Indexes - Volume XII</t>
  </si>
  <si>
    <t>George Arthur Buttrick</t>
  </si>
  <si>
    <t>Abingdon Press</t>
  </si>
  <si>
    <t>0-8006-6006-4</t>
  </si>
  <si>
    <t>227.91 DIB h</t>
  </si>
  <si>
    <t>Hermeneia a Critical and Historical Commentary on the Bible - James</t>
  </si>
  <si>
    <t>Martin Dibelius</t>
  </si>
  <si>
    <t>0-8010-7710-9</t>
  </si>
  <si>
    <t>227.9 ROB w</t>
  </si>
  <si>
    <t>Word Pictures in the New Testament Volume VI the General Epistles and the Revelation of John</t>
  </si>
  <si>
    <t>Archibald Thomas Robetson</t>
  </si>
  <si>
    <t>Baker Book House</t>
  </si>
  <si>
    <t>978-0-805-0136-3</t>
  </si>
  <si>
    <t>227.9 RIC n</t>
  </si>
  <si>
    <t>New International Version - The New American Commentary (NAC) James Vol. 36</t>
  </si>
  <si>
    <t>Kurt A. Richardson</t>
  </si>
  <si>
    <t>0-385-01374-4</t>
  </si>
  <si>
    <t>227.9 REI a</t>
  </si>
  <si>
    <t>The Anchor Bible The Epistles of James, Peter and Jude</t>
  </si>
  <si>
    <t>Bo Reicke</t>
  </si>
  <si>
    <t>978-0-8028-3728-8</t>
  </si>
  <si>
    <t>227.9 KRU l</t>
  </si>
  <si>
    <t>The Letters Of John</t>
  </si>
  <si>
    <t>Colin G. Kruse</t>
  </si>
  <si>
    <t>978-0-310-24416-5</t>
  </si>
  <si>
    <t>227.9 JOB e</t>
  </si>
  <si>
    <t>Exegetical Commentary On The New Testament 1,2, &amp; 3 John</t>
  </si>
  <si>
    <t>Karen H. Jobes</t>
  </si>
  <si>
    <t>Zondervan</t>
  </si>
  <si>
    <t>978-602-393-067-8</t>
  </si>
  <si>
    <t>227.9 HOU p</t>
  </si>
  <si>
    <t>Surat 1 Petrus "Surat Edaran dari Babel"</t>
  </si>
  <si>
    <t xml:space="preserve">Belanda </t>
  </si>
  <si>
    <t>P.H.R. Van Houwelingen</t>
  </si>
  <si>
    <t>R. Perpustakaan</t>
  </si>
  <si>
    <t>0-85111-863-1</t>
  </si>
  <si>
    <t>227.9 GUT t</t>
  </si>
  <si>
    <t>Tyndale New Testament Commentaries The Pastoral Epistles</t>
  </si>
  <si>
    <t>227.9 BRO i</t>
  </si>
  <si>
    <t>(ICC) The Johannine Epistles</t>
  </si>
  <si>
    <t>Canon A. E. Brooke, D.D.</t>
  </si>
  <si>
    <t>978-0-310-24416-6</t>
  </si>
  <si>
    <t>227.9 BLO e</t>
  </si>
  <si>
    <t>Exegetical Commentary On The New Testament James</t>
  </si>
  <si>
    <t xml:space="preserve">Craig L. Blomberg </t>
  </si>
  <si>
    <t>978-0-310-26894-9</t>
  </si>
  <si>
    <t>227.87-228 Lon e</t>
  </si>
  <si>
    <t>The Expositor's Bible Commentary Revised Edition Vol. 13: Hebrews - Revelations</t>
  </si>
  <si>
    <t>Tremper Longman III &amp; David E. Garland</t>
  </si>
  <si>
    <t>227.87 MOF i</t>
  </si>
  <si>
    <t>(ICC) The Epistle to the Hebrews</t>
  </si>
  <si>
    <t>James Moffatt</t>
  </si>
  <si>
    <t>978-0-8499-0246-8</t>
  </si>
  <si>
    <t>220.7 LAN w</t>
  </si>
  <si>
    <t>Word Biblical Commentary Vol. 47A Hebrews 1-8</t>
  </si>
  <si>
    <t>William L. Lane</t>
  </si>
  <si>
    <t>978-0-8499-0935-1</t>
  </si>
  <si>
    <t>Word Biblical Commentary Vol. 47B Hebrews 9-13</t>
  </si>
  <si>
    <t>978-0-8006-3617-3</t>
  </si>
  <si>
    <t>227.87 GOT h</t>
  </si>
  <si>
    <t xml:space="preserve">The Hebrew Bible a Socio-Literary Introduction </t>
  </si>
  <si>
    <t>Norman K. Gottwald</t>
  </si>
  <si>
    <t>0-8267-0150-7</t>
  </si>
  <si>
    <t>227.87 ELL h</t>
  </si>
  <si>
    <t>Helps for Translators: A Translator's Handbook on The Letter To The Hebrews</t>
  </si>
  <si>
    <t>Paul Ellingworth Dkk</t>
  </si>
  <si>
    <t>0-8028-2183-9</t>
  </si>
  <si>
    <t>227.87 BRU e</t>
  </si>
  <si>
    <t>The Epistle to The Hebrews</t>
  </si>
  <si>
    <t>F. F. Bruce, D. D.</t>
  </si>
  <si>
    <t>978-0-8054-0134-9</t>
  </si>
  <si>
    <t>227.83 LEA n</t>
  </si>
  <si>
    <t>New International Version - The New American Commentary (NAC) 1,2 Timothy, Titus Vol. 34</t>
  </si>
  <si>
    <t>Thomas D. Lea &amp; hayne P. Griffin, Jr.</t>
  </si>
  <si>
    <t>978-0-8054-0135-6</t>
  </si>
  <si>
    <t>227.87 ALL n</t>
  </si>
  <si>
    <t>New International Version - The New American Commentary (NAC) Hebrews Vol. 35</t>
  </si>
  <si>
    <t xml:space="preserve">David L. Allen </t>
  </si>
  <si>
    <t>978-0-8028-3733-2</t>
  </si>
  <si>
    <t>227.83 YAR l</t>
  </si>
  <si>
    <t>The  Letters To Timothy and Titus</t>
  </si>
  <si>
    <t xml:space="preserve">Robert W. Yarbrough </t>
  </si>
  <si>
    <t>978-0-8028-2562-9</t>
  </si>
  <si>
    <t>227.83 WAL t</t>
  </si>
  <si>
    <t xml:space="preserve">The Two Horizons New Testament Commentary 1 &amp; 2 Timothy and Titus </t>
  </si>
  <si>
    <t>Robert W. Wall</t>
  </si>
  <si>
    <t>227.83 HAN p</t>
  </si>
  <si>
    <t>The Cambridge Bible Commentary on The New English Bible The Pastoral Letters</t>
  </si>
  <si>
    <t>Anthony Tyrrell Hanson</t>
  </si>
  <si>
    <t>0-8028-2168-5</t>
  </si>
  <si>
    <t>227.81 MOR f</t>
  </si>
  <si>
    <t>The First and Second Epistles to The Thessalonians</t>
  </si>
  <si>
    <t>Leon Morris</t>
  </si>
  <si>
    <t>978-0-8028-3738-7</t>
  </si>
  <si>
    <t>227.81 GRE l</t>
  </si>
  <si>
    <t xml:space="preserve">The Letter To The Thessalonians </t>
  </si>
  <si>
    <t>Gene L. Green</t>
  </si>
  <si>
    <t>227.8 WAR c</t>
  </si>
  <si>
    <t>Commentary on 1 &amp; 2 Thessalonians</t>
  </si>
  <si>
    <t>Ronald A. Ward</t>
  </si>
  <si>
    <t>Word books</t>
  </si>
  <si>
    <t>978-0-8028-2531-1</t>
  </si>
  <si>
    <t>227.8 TOW n</t>
  </si>
  <si>
    <t>(NICNT) The Letters to Timothy and Titus</t>
  </si>
  <si>
    <t>Philip H. Towner</t>
  </si>
  <si>
    <t>978-0-8028-3729-5</t>
  </si>
  <si>
    <t>227.8 OBR l</t>
  </si>
  <si>
    <t>The Letter To The Hebrews</t>
  </si>
  <si>
    <t>Peter T. O'Brien</t>
  </si>
  <si>
    <t>227.8 NEI e</t>
  </si>
  <si>
    <t>The Epistle of Paul to The Thessalonians</t>
  </si>
  <si>
    <t>William Neil D.D.</t>
  </si>
  <si>
    <t>Hodder dan Stoughton</t>
  </si>
  <si>
    <t>978-0-8054-0133-2</t>
  </si>
  <si>
    <t>227.81 MAR n</t>
  </si>
  <si>
    <t>New International Version - The New American Commentary (NAC) 1,2 Thessalonians Vol. 33</t>
  </si>
  <si>
    <t>D. Michael Martin</t>
  </si>
  <si>
    <t>0-8028-1924-9</t>
  </si>
  <si>
    <t>227.8 HAN p</t>
  </si>
  <si>
    <t>The New Century Bible Commentary The Pastoral Epistles</t>
  </si>
  <si>
    <t>A. T. Hanson</t>
  </si>
  <si>
    <t>227.8 FRA i</t>
  </si>
  <si>
    <t>(ICC) The Epistle of ST.Paul to the Thessalonians</t>
  </si>
  <si>
    <t>James Everett Frame</t>
  </si>
  <si>
    <t>0-8267-0167-1</t>
  </si>
  <si>
    <t>227.8 ELL t</t>
  </si>
  <si>
    <t>Helps for Translators: A Translator's Handbook on Paul's Letters to The Thessalonians</t>
  </si>
  <si>
    <t>0-7136-1307-6</t>
  </si>
  <si>
    <t>227.8 BES c</t>
  </si>
  <si>
    <t>A Commentary on The First and Second Epistles to The Thessalonians</t>
  </si>
  <si>
    <t>Ernest Best M.A., B.D., PH.D.</t>
  </si>
  <si>
    <t>Adam &amp; Charles Black</t>
  </si>
  <si>
    <t>0-8267-0168-X</t>
  </si>
  <si>
    <t>227.8 ARI t</t>
  </si>
  <si>
    <t>A Handbook On Paul's Letters to Timothy and to Titus</t>
  </si>
  <si>
    <t>978-0-8308-4212-4</t>
  </si>
  <si>
    <t>227.7 KID e</t>
  </si>
  <si>
    <t>Tyndale Old Testament Commentaries (TOTC) Vol. 12 - Ezra And Nehemiah</t>
  </si>
  <si>
    <t>Derek Kidner</t>
  </si>
  <si>
    <t>IVP Academic</t>
  </si>
  <si>
    <t>4:b</t>
  </si>
  <si>
    <t>978-0-8499-0243-7</t>
  </si>
  <si>
    <t>220.7 OBR w</t>
  </si>
  <si>
    <t>Word Biblical Commentary Vol. 44 Colossians, Philemon</t>
  </si>
  <si>
    <t>Peter T. O'brien</t>
  </si>
  <si>
    <t>978-0-8499-0244-4</t>
  </si>
  <si>
    <t>220.7 BRU w</t>
  </si>
  <si>
    <t>Word Biblical Commentary Vol. 45 1&amp;2 Thessalonians</t>
  </si>
  <si>
    <t>F. F. Bruce</t>
  </si>
  <si>
    <t>0-567-04471-8</t>
  </si>
  <si>
    <t>227.786 WIL c</t>
  </si>
  <si>
    <t>The International Critical Commentary Colossians and Philemon</t>
  </si>
  <si>
    <t>R. McL. Wilson</t>
  </si>
  <si>
    <t>Bloomsbury T &amp; T Clark</t>
  </si>
  <si>
    <t>978-0-8028-3727-1</t>
  </si>
  <si>
    <t>227.7 MOO l</t>
  </si>
  <si>
    <t>The Letters To The Colossians And To Philemon</t>
  </si>
  <si>
    <t>978-1-58983-484-2</t>
  </si>
  <si>
    <t>227.7 HEI c</t>
  </si>
  <si>
    <t>Colossians: Encouragement to Walk in All Wisdom as Holy Ones in Christ</t>
  </si>
  <si>
    <t>John Paul Heil</t>
  </si>
  <si>
    <t>0-85111-860-7</t>
  </si>
  <si>
    <t>227.6 MAR t</t>
  </si>
  <si>
    <t>Tyndale New Testament Commentaries Philippians</t>
  </si>
  <si>
    <t>227.6 LOH p</t>
  </si>
  <si>
    <t xml:space="preserve">Helps for Translators: A Translators Handbook on Paul's Letter to The Philippians </t>
  </si>
  <si>
    <t>I-Jin Loh Dkk</t>
  </si>
  <si>
    <t>227.6 LIG s</t>
  </si>
  <si>
    <t>Saint Paul's Epistle to The Philipians</t>
  </si>
  <si>
    <t>J.B. Lightfoot</t>
  </si>
  <si>
    <t>Zondervan Publishing House</t>
  </si>
  <si>
    <t>978-0-7852-5008-1</t>
  </si>
  <si>
    <t>220.7 HAW w</t>
  </si>
  <si>
    <t>Word Biblical Commentary Vol.43 Philippians Revised</t>
  </si>
  <si>
    <t>Gerald F. Hawthorne Dkk</t>
  </si>
  <si>
    <t>978-0-8028-3737-0</t>
  </si>
  <si>
    <t>227.6 HAN l</t>
  </si>
  <si>
    <t>The Letter To The Philippians</t>
  </si>
  <si>
    <t>G. Walter Hansen</t>
  </si>
  <si>
    <t>0-7136-0974-5</t>
  </si>
  <si>
    <t>227.6 BEA c</t>
  </si>
  <si>
    <t>A Commentary on The Epistle to The Philippians</t>
  </si>
  <si>
    <t>F. W. Beare, Ph. D.</t>
  </si>
  <si>
    <t>978-0-310-23503-3</t>
  </si>
  <si>
    <t>227.5-86  LON  e</t>
  </si>
  <si>
    <t>The Expositor's Bible Commentary  Revised Edition 12    Ephesians - Philemon</t>
  </si>
  <si>
    <t>Tremper Longman III &amp; David E. Garland ( General Editor )</t>
  </si>
  <si>
    <t>979-9143-68-3</t>
  </si>
  <si>
    <t>227.5 STO e</t>
  </si>
  <si>
    <t>Seri Pemahaman dan Penerapan Amanat Alkitab Masa Kini - Efesus</t>
  </si>
  <si>
    <t>Yayasan Komunikasi Bina Kasih</t>
  </si>
  <si>
    <t>978-0-8028-3736-3</t>
  </si>
  <si>
    <t>227.5 OBR l</t>
  </si>
  <si>
    <t>The Letter To The Ephesians</t>
  </si>
  <si>
    <t>0-8028-1907-9</t>
  </si>
  <si>
    <t>227.5 MIT e</t>
  </si>
  <si>
    <t>The New Century Bible Commentary Ephesians</t>
  </si>
  <si>
    <t>C. Leslie Mitton</t>
  </si>
  <si>
    <t>978-0-8499-0241-3</t>
  </si>
  <si>
    <t>220.7 LIN w</t>
  </si>
  <si>
    <t>Word Biblical Commentary Vol. 42 Ephesians</t>
  </si>
  <si>
    <t>Andrew T. Lincoln</t>
  </si>
  <si>
    <t>0-85111-859-3</t>
  </si>
  <si>
    <t>227.5 FOU t</t>
  </si>
  <si>
    <t>Tyndale New Testament Commentaries Ephesians</t>
  </si>
  <si>
    <t xml:space="preserve">Francis Foulkes </t>
  </si>
  <si>
    <t>0-8267-0143-4</t>
  </si>
  <si>
    <t>227.5 BRA e</t>
  </si>
  <si>
    <t>Helps for Translators: A Translator's Handbook on Paul's Letter to The Ephesians</t>
  </si>
  <si>
    <t>0-8006-6001-3</t>
  </si>
  <si>
    <t>227.47 LOH h</t>
  </si>
  <si>
    <t>Hermeneia  a Critical and Historical Commentary on the Bible - Colossians and Philemon</t>
  </si>
  <si>
    <t>Eduard Lohse</t>
  </si>
  <si>
    <t>0-87784-632-4</t>
  </si>
  <si>
    <t>227.4 STO o</t>
  </si>
  <si>
    <t>Only One Way the Message of Galatians</t>
  </si>
  <si>
    <t>0-8028-2191-x</t>
  </si>
  <si>
    <t>227.4 RID e</t>
  </si>
  <si>
    <t>The Epistle of Paul to the Churches of Galatia</t>
  </si>
  <si>
    <t>Herman N. Ridderbos</t>
  </si>
  <si>
    <t>978-0-8499-0240-6</t>
  </si>
  <si>
    <t>220.7 LON w</t>
  </si>
  <si>
    <t xml:space="preserve">Word Biblical Commentary Vol. 41 Galatians </t>
  </si>
  <si>
    <t>Richard N. Longenecker</t>
  </si>
  <si>
    <t>227.4 LIG e</t>
  </si>
  <si>
    <t>The Epistle of ST. Paul to The Galatians</t>
  </si>
  <si>
    <t>978-0-8028-2223-9</t>
  </si>
  <si>
    <t>227.4 LEV g</t>
  </si>
  <si>
    <t>The Bible in Medievel Tradition The Letter to The Galatians</t>
  </si>
  <si>
    <t>Ian Christopher Levy</t>
  </si>
  <si>
    <t>978-0-8054-0130-1</t>
  </si>
  <si>
    <t>227.4 GEO n</t>
  </si>
  <si>
    <t>New International Version - The New American Commentary (NAC) Galatians Vol. 30</t>
  </si>
  <si>
    <t>Timothy George</t>
  </si>
  <si>
    <t>227.4 BUR i</t>
  </si>
  <si>
    <t>(ICC) The Epistle to the Galatians</t>
  </si>
  <si>
    <t>Ernest De Witt Burton</t>
  </si>
  <si>
    <t>0-8006-6009-9</t>
  </si>
  <si>
    <t>227.4 BET h</t>
  </si>
  <si>
    <t>Hermeneia a Critical and Historical Commentary on the Bible - Galatians</t>
  </si>
  <si>
    <t>Hans Dieter Betz</t>
  </si>
  <si>
    <t>0-385-11199-1</t>
  </si>
  <si>
    <t>227.3077 FUR a</t>
  </si>
  <si>
    <t>The Anchor Bible II Corinthians</t>
  </si>
  <si>
    <t>Victor Paul Furnish</t>
  </si>
  <si>
    <t>978-0-8028-3739-4</t>
  </si>
  <si>
    <t>227.3 SEI s</t>
  </si>
  <si>
    <t>The Second Letter To The Corinthians</t>
  </si>
  <si>
    <t>Mark A. Seifrid</t>
  </si>
  <si>
    <t>227.3 PLU i</t>
  </si>
  <si>
    <t>(ICC) The Second Epistle of ST. Paul to the II Corinthians</t>
  </si>
  <si>
    <t>Alfred Plummer, M.A., D.D</t>
  </si>
  <si>
    <t>978-0-8499-0239-0</t>
  </si>
  <si>
    <t xml:space="preserve">Word Biblical Commentary Vol. 40 2 Corinthians </t>
  </si>
  <si>
    <t>0-567-08435-3</t>
  </si>
  <si>
    <t>227.3 THR i</t>
  </si>
  <si>
    <t>International Critical Commentary 2 Corinthians 8-13</t>
  </si>
  <si>
    <t>Margaret E. Thrall</t>
  </si>
  <si>
    <t>978-0-8054-0129-5</t>
  </si>
  <si>
    <t>227.30 GAR n</t>
  </si>
  <si>
    <t>New International Version - The New American Commentary (NAC) 2 Corinthians Vol. 29</t>
  </si>
  <si>
    <t>David E. Garland</t>
  </si>
  <si>
    <t>0-8267-0185-X</t>
  </si>
  <si>
    <t>227.2 BRA c</t>
  </si>
  <si>
    <t xml:space="preserve">Helps for Translators: A Translator's Guide to Paul's First Letter To The Corinthians </t>
  </si>
  <si>
    <t>Robert G. Bratcher</t>
  </si>
  <si>
    <t>0-8267-0186-8</t>
  </si>
  <si>
    <t>227.3 BRA c</t>
  </si>
  <si>
    <t xml:space="preserve">Helps for Translators: A Translator's Guide to Paul's Second Letter To The Corinthians </t>
  </si>
  <si>
    <t>0-06-05527</t>
  </si>
  <si>
    <t>227.3 BAR c</t>
  </si>
  <si>
    <t>Harper's New Testament Commentaries: The Second Epistle to The Corinthians</t>
  </si>
  <si>
    <t>C. K. Barrett</t>
  </si>
  <si>
    <t>0-7162-0103-8</t>
  </si>
  <si>
    <t>227.207 HER f</t>
  </si>
  <si>
    <t>The First Epistle of Saint Paul to The Coronthians</t>
  </si>
  <si>
    <t>Jean Hering</t>
  </si>
  <si>
    <t>Epworth</t>
  </si>
  <si>
    <t>978-1-58983-502-3</t>
  </si>
  <si>
    <t>227.2 GLA p</t>
  </si>
  <si>
    <t>Paul and Philodemus</t>
  </si>
  <si>
    <t>Clarence E. Glad</t>
  </si>
  <si>
    <t>0-8267-0140-x</t>
  </si>
  <si>
    <t>227.2 ELL c</t>
  </si>
  <si>
    <t>Helps for Translators: A Translator's Handbook on Paul's First Letter to The Corinthians</t>
  </si>
  <si>
    <t>227.2 ROB i</t>
  </si>
  <si>
    <t>(ICC) The First Epistle of ST. Paul to the I Corinthians</t>
  </si>
  <si>
    <t>Archibald Robertson, D.D</t>
  </si>
  <si>
    <t>0-8006-6005-4</t>
  </si>
  <si>
    <t>227.2 CON h</t>
  </si>
  <si>
    <t>Hermeneia a Critical and Historical Commentary on the Bible - I Corinthians</t>
  </si>
  <si>
    <t>Hans Conzelmann</t>
  </si>
  <si>
    <t>978-0-8146-5970-0</t>
  </si>
  <si>
    <t>227.2 COL c</t>
  </si>
  <si>
    <t xml:space="preserve">Sacra Pagina Series: Volume 7 First Corinthians </t>
  </si>
  <si>
    <t>Raymond F. Collins</t>
  </si>
  <si>
    <t>978-0-8028-3732-5</t>
  </si>
  <si>
    <t>227.2 CIA f</t>
  </si>
  <si>
    <t>The  First Letter To The Corinthians</t>
  </si>
  <si>
    <t>Roy E. Ciampa Dkk</t>
  </si>
  <si>
    <t>0-8160-5332-4</t>
  </si>
  <si>
    <t>297.122 NIC h</t>
  </si>
  <si>
    <t>Historical Atlas of the Islamic World</t>
  </si>
  <si>
    <t>Itali</t>
  </si>
  <si>
    <t>David Nicolle</t>
  </si>
  <si>
    <t>Checkmark Books</t>
  </si>
  <si>
    <t>0-8028-1839-0</t>
  </si>
  <si>
    <t>227.2 BRU c</t>
  </si>
  <si>
    <t>The New Century Bible Commentary I &amp; II Corinthians</t>
  </si>
  <si>
    <t>227.2 BAR h</t>
  </si>
  <si>
    <t>Harper's New Testament Commentaries The First Epistle to The Corinthians</t>
  </si>
  <si>
    <t>978-602-393-063-0</t>
  </si>
  <si>
    <t>227.2 AND k</t>
  </si>
  <si>
    <t>Surat 1 Korintus "Membereskan Jemaat Urban yang Muda"</t>
  </si>
  <si>
    <t>R. Dean Anderson</t>
  </si>
  <si>
    <t>227.19 ROP i</t>
  </si>
  <si>
    <t>(ICC) The Epistle of ST. James</t>
  </si>
  <si>
    <t>James Hardy Ropes</t>
  </si>
  <si>
    <t>978-0-310-23501-9</t>
  </si>
  <si>
    <t>227.12-4 EXP e</t>
  </si>
  <si>
    <t>The Expositor's Bible Commentary Volume 11. Roman's-Galatians</t>
  </si>
  <si>
    <t>Tremper Longman III &amp; David E. Garland (E)</t>
  </si>
  <si>
    <t>978-0-8006-9501-9</t>
  </si>
  <si>
    <t>227.11 WES g</t>
  </si>
  <si>
    <t xml:space="preserve">Genesis 12-36 a Continental Commentary  </t>
  </si>
  <si>
    <t>Claus Westermann</t>
  </si>
  <si>
    <t>227.1 SAN i</t>
  </si>
  <si>
    <t>(ICC) The Epistle to The Romans</t>
  </si>
  <si>
    <t>William Sanday</t>
  </si>
  <si>
    <t>0-8267-0137-X</t>
  </si>
  <si>
    <t>226.5 NEW j</t>
  </si>
  <si>
    <t>Helps for Translators: A Translator's Handbook on The Gospel of John</t>
  </si>
  <si>
    <t>Barclay M. Newman Dkk</t>
  </si>
  <si>
    <t>227.1 NEW r</t>
  </si>
  <si>
    <t>Helps for Translators: A Translator's Handbook on Paul's Letter to The Romans</t>
  </si>
  <si>
    <t>227.1 MUR e</t>
  </si>
  <si>
    <t>Epistle to the Romans Volume II</t>
  </si>
  <si>
    <t>John Murray</t>
  </si>
  <si>
    <t>978-0-8028-3730-1</t>
  </si>
  <si>
    <t>227.1 MOO l</t>
  </si>
  <si>
    <t>The Letter of James</t>
  </si>
  <si>
    <t>978-0-8028-2627-5</t>
  </si>
  <si>
    <t>227.1 MCK n</t>
  </si>
  <si>
    <t>(NICNT) The Letter of James</t>
  </si>
  <si>
    <t>Scot McKnight</t>
  </si>
  <si>
    <t>978-0-8028-6619-6</t>
  </si>
  <si>
    <t>227.1 LON r</t>
  </si>
  <si>
    <t xml:space="preserve">Introducing Romans critical issues in Paul's most famous letter </t>
  </si>
  <si>
    <t>978-0-8028-3743-1</t>
  </si>
  <si>
    <t>227.1 KRU p</t>
  </si>
  <si>
    <t>Paul's Letter To The Romans</t>
  </si>
  <si>
    <t>Collin G. Kruse</t>
  </si>
  <si>
    <t>0-8499-0237-1</t>
  </si>
  <si>
    <t>220.7 DUN w</t>
  </si>
  <si>
    <t>Word Biblical Commentary Vol. 38A Romans 1-8</t>
  </si>
  <si>
    <t>James D.G. Dunn</t>
  </si>
  <si>
    <t>291.42 LOW v</t>
  </si>
  <si>
    <t>The Visual Experience An Introduction to Art</t>
  </si>
  <si>
    <t>Bates Lowry</t>
  </si>
  <si>
    <t>Harry N. Abrams</t>
  </si>
  <si>
    <t>978-0-8499-0252-9</t>
  </si>
  <si>
    <t>Word Biblical Commentary Vol. 38B Romans 9-16</t>
  </si>
  <si>
    <t>0-567-05040-8</t>
  </si>
  <si>
    <t>227.1 CRA i</t>
  </si>
  <si>
    <t>(ICC) The Epistle to the Romans Volume 1 (1-V111)</t>
  </si>
  <si>
    <t>C. E. B. Cranfield</t>
  </si>
  <si>
    <t>0-567-05041-6</t>
  </si>
  <si>
    <t xml:space="preserve">(ICC) The Epistle to the Romans Volume 11 (1X-XV1) </t>
  </si>
  <si>
    <t>978-0-8146-5969-4</t>
  </si>
  <si>
    <t>227.1 BYR r</t>
  </si>
  <si>
    <t>Sacra Pagina Series: Volume 6 Romans</t>
  </si>
  <si>
    <t>Brendan Byrne, S.J.</t>
  </si>
  <si>
    <t>0-85111-875-5</t>
  </si>
  <si>
    <t>227.1 BRU t</t>
  </si>
  <si>
    <t>Tyndale New Testament Commentaries Romans</t>
  </si>
  <si>
    <t>F.F. Bruce</t>
  </si>
  <si>
    <t>3-438-06035-3</t>
  </si>
  <si>
    <t>270.09 STA b</t>
  </si>
  <si>
    <t>Biblische Welten</t>
  </si>
  <si>
    <t>Ein Bildatlas von &amp; Thomas Staubli</t>
  </si>
  <si>
    <t>0-8028-1905-2</t>
  </si>
  <si>
    <t>227.1 BLA r</t>
  </si>
  <si>
    <t>The New Century Bible Commentary Romans</t>
  </si>
  <si>
    <t>Matthew Black</t>
  </si>
  <si>
    <t>227.1 BAR e</t>
  </si>
  <si>
    <t>Harper's New Testament Commentaries: The Epistle To The Romans</t>
  </si>
  <si>
    <t>Dewasa</t>
  </si>
  <si>
    <t>London/New York</t>
  </si>
  <si>
    <t>227 SCO e</t>
  </si>
  <si>
    <t>The Epistles to The Colossians to Philemon and to The Ephesians</t>
  </si>
  <si>
    <t>E. F. Scott D.D.</t>
  </si>
  <si>
    <t>227 BIG i</t>
  </si>
  <si>
    <t>(ICC) The Epistles of ST. Peter and ST. Jude</t>
  </si>
  <si>
    <t>Charles Bigg, D.D</t>
  </si>
  <si>
    <t>227.86 LIG s</t>
  </si>
  <si>
    <t>Saint Paul's Epistles to The Colossians and to Philemon</t>
  </si>
  <si>
    <t>0-85111-882-8</t>
  </si>
  <si>
    <t>227. 81 MOR t</t>
  </si>
  <si>
    <t>Tyndale New Testament Commentaries 1 and 2 Thessalonians</t>
  </si>
  <si>
    <t>0-8028-1946-X</t>
  </si>
  <si>
    <t>227. 81 MAR t</t>
  </si>
  <si>
    <t>The New Century Bible Commentary 1 and 2 Thessalonians</t>
  </si>
  <si>
    <t>I. Howard Marshall</t>
  </si>
  <si>
    <t>227 SIM c</t>
  </si>
  <si>
    <t>Commentary on the Epistles to the Ephesians and the Colossians</t>
  </si>
  <si>
    <t>0-8028-2188-x</t>
  </si>
  <si>
    <t>227 MUL e</t>
  </si>
  <si>
    <t>The Epistles of Paul to The Philippians and to Philemon</t>
  </si>
  <si>
    <t>JAC. J. Muller</t>
  </si>
  <si>
    <t>978-0-8499-0245-1</t>
  </si>
  <si>
    <t>220.7 MOU w</t>
  </si>
  <si>
    <t>Word Biblical Commentary Vol. 46 Pastoral Epistles</t>
  </si>
  <si>
    <t>William D. Mounce</t>
  </si>
  <si>
    <t>978-0-8054-0132-5</t>
  </si>
  <si>
    <t>227.6 MEL  n</t>
  </si>
  <si>
    <t>New International Version - The New American Commentary (NAC) Philippians, Colossians, Philemon Vol. 32</t>
  </si>
  <si>
    <t>Richard R. Melick, Jr</t>
  </si>
  <si>
    <t>0-7136-1010-7</t>
  </si>
  <si>
    <t>227 KEL c</t>
  </si>
  <si>
    <t xml:space="preserve">A Commentary on The Epistles of Peter and of Jude </t>
  </si>
  <si>
    <t>J. N. D. Kelly, D.D., F.B.A.</t>
  </si>
  <si>
    <t>227 BUT c</t>
  </si>
  <si>
    <t>The Interpreter's Bible: Corinthians, Galatians-Ephesians Volume X</t>
  </si>
  <si>
    <t>978-602-3930-00-X</t>
  </si>
  <si>
    <t>227 HEN t</t>
  </si>
  <si>
    <t>Tafsiran Matthew Henry: Surat Roma, 1&amp;2 Korintus</t>
  </si>
  <si>
    <t>Matthew Henry</t>
  </si>
  <si>
    <t>978-602-1603-60-5</t>
  </si>
  <si>
    <t>Tafsiran Matthew Henry - Kitab Kisah para Rasul</t>
  </si>
  <si>
    <t>978-602-3930-09-3</t>
  </si>
  <si>
    <t>Tafsiran Matthew Henry: Surat Galatia, Efesus, Filipi, Kolose, 1&amp;2 Tesalonika, 1&amp;2 Timotius, Titus, Filemon</t>
  </si>
  <si>
    <t>227 CAR h</t>
  </si>
  <si>
    <t>The Wesleyan Bible Commentary: Hebrews- Revelation Vol.VI</t>
  </si>
  <si>
    <t>Charles W.Carter</t>
  </si>
  <si>
    <t>227 CAR r</t>
  </si>
  <si>
    <t>The Wesleyan Bible Commentary: Romans - Philemon Vol.V</t>
  </si>
  <si>
    <t>0-551-00507-6</t>
  </si>
  <si>
    <t>227 COL n</t>
  </si>
  <si>
    <t>New Century Bible Colossians and Philemon</t>
  </si>
  <si>
    <t>Ralph P. Martin M.A.Ph.D</t>
  </si>
  <si>
    <t>D. Oliphants</t>
  </si>
  <si>
    <t>0-85111-861-5</t>
  </si>
  <si>
    <t>227 CAR t</t>
  </si>
  <si>
    <t>Tyndale New Testament Commentaries Colossians and Philemon</t>
  </si>
  <si>
    <t>Herbert M. Carson</t>
  </si>
  <si>
    <t>978-979-9290-19-9</t>
  </si>
  <si>
    <t>227 BAR f</t>
  </si>
  <si>
    <t>Pemahaman Alkitab Setiap Hari - Surat Filipi, Kolose, 1 dan 2 Tesalonika</t>
  </si>
  <si>
    <t>978-0-8028-2510-0</t>
  </si>
  <si>
    <t>227 BRU n</t>
  </si>
  <si>
    <t>(NICNT) The Epistles to the Colossians to Philemon and to the Ephesians</t>
  </si>
  <si>
    <t>978-0-8028-2501-8</t>
  </si>
  <si>
    <t>226.2 FRA n</t>
  </si>
  <si>
    <t>(NICNT) The Gospel of Matthew</t>
  </si>
  <si>
    <t>R. T. France</t>
  </si>
  <si>
    <t>0-85364-566-3</t>
  </si>
  <si>
    <t>226.6 BAU a</t>
  </si>
  <si>
    <t>The Book of Acts . Volume 4 Palestinian Setting</t>
  </si>
  <si>
    <t>Richard Bauckham</t>
  </si>
  <si>
    <t>226.6 WIN a</t>
  </si>
  <si>
    <t>The Layman's Bible Commentary: Volume 20 -  The Acts of The Apostles</t>
  </si>
  <si>
    <t>Albert C. Winn</t>
  </si>
  <si>
    <t>John Knox Press</t>
  </si>
  <si>
    <t>978-0-310-24416-8</t>
  </si>
  <si>
    <t>226.6 SCH</t>
  </si>
  <si>
    <t xml:space="preserve">Exegetical Commentary On The New Testament ACTS </t>
  </si>
  <si>
    <t>Eckhard J. Schnabel</t>
  </si>
  <si>
    <t>226.6 RYN a</t>
  </si>
  <si>
    <t>Acts of The Apostles</t>
  </si>
  <si>
    <t>August Van Ryn</t>
  </si>
  <si>
    <t>Loizeaux Brothers</t>
  </si>
  <si>
    <t>226.6 ROB w</t>
  </si>
  <si>
    <t>Word Pictures in  the New Testament Volume III the Acts of the Apostles</t>
  </si>
  <si>
    <t>978-0-8028-3731-8</t>
  </si>
  <si>
    <t>226.6 PET a</t>
  </si>
  <si>
    <t>The  Acts Of The Apostles</t>
  </si>
  <si>
    <t>David G. Peterson</t>
  </si>
  <si>
    <t>978-0-8006-6045-1</t>
  </si>
  <si>
    <t>226.6 PER h</t>
  </si>
  <si>
    <t>Hermeneia a Critical and Historical Commentary on the Bible - Acts</t>
  </si>
  <si>
    <t>Richard I. Pervo</t>
  </si>
  <si>
    <t>226.6 PAC a</t>
  </si>
  <si>
    <t>The Cambridge Bible Commentary on the New English Bibe The Acts of The Apostles</t>
  </si>
  <si>
    <t>J. W. Packer</t>
  </si>
  <si>
    <t>0-8267-0192-2</t>
  </si>
  <si>
    <t>226.6 NEW a</t>
  </si>
  <si>
    <t>A Handbook on: The Acts of The Apostles</t>
  </si>
  <si>
    <t>0-8267-0159-0</t>
  </si>
  <si>
    <t>Helps for Translators: A Translator's Handbook on The Acts of the Apostles</t>
  </si>
  <si>
    <t>0-8028-1423-9</t>
  </si>
  <si>
    <t>226.6 MAR t</t>
  </si>
  <si>
    <t>Tyndale New Testament Commentaries the Acts of the Apostles</t>
  </si>
  <si>
    <t>226.6 RIE s</t>
  </si>
  <si>
    <t xml:space="preserve">Saint Luke the Acts of the Apostles </t>
  </si>
  <si>
    <t>C. H. Rieu</t>
  </si>
  <si>
    <t>The Penguin Classics</t>
  </si>
  <si>
    <t>0-85364-567-1</t>
  </si>
  <si>
    <t>226.6 LEV a</t>
  </si>
  <si>
    <t>The Book of Acts. Volume 5 Diaspora Setting</t>
  </si>
  <si>
    <t>Irina Levinskaya</t>
  </si>
  <si>
    <t>978-0-8146-5968-7</t>
  </si>
  <si>
    <t>226.6 JOH a</t>
  </si>
  <si>
    <t>Sacra Pagina Series: Volume 5 The Acts of the Apostles</t>
  </si>
  <si>
    <t>Luke Timothy Johnson</t>
  </si>
  <si>
    <t>226.6 BRU b</t>
  </si>
  <si>
    <t>The Book of The Acts</t>
  </si>
  <si>
    <t>0-8028-2433-1</t>
  </si>
  <si>
    <t>The Book of Acts. Volume 1 Ancient Literary Setting</t>
  </si>
  <si>
    <t>Bruce W. Winter Dkk</t>
  </si>
  <si>
    <t>978-0-8028-2218-5</t>
  </si>
  <si>
    <t>226.5 WAH e</t>
  </si>
  <si>
    <t>Eerdmans Critical Commentary - The Gospel and Letters of John Vol. 3</t>
  </si>
  <si>
    <t>Urban C. von Wahlde</t>
  </si>
  <si>
    <t>978-0-8028-2217-8</t>
  </si>
  <si>
    <t>226.5 WAH g</t>
  </si>
  <si>
    <t>Eerdmans Critical Commentary - The Gospel and Letters of John Vol. 2</t>
  </si>
  <si>
    <t>978-0-8028-0991-9</t>
  </si>
  <si>
    <t>Eerdmans Critical Commentary - The Gospel and Letters of John Vol. 1</t>
  </si>
  <si>
    <t>226.5 TAS g</t>
  </si>
  <si>
    <t>The Gospel According to ST. John</t>
  </si>
  <si>
    <t>R.V.G. Tasker, M.A., BD</t>
  </si>
  <si>
    <t>0-7136-0914-1</t>
  </si>
  <si>
    <t>226.5 SAN c</t>
  </si>
  <si>
    <t>A Commentary on The Gospel According to ST John</t>
  </si>
  <si>
    <t>J.N. Sanders</t>
  </si>
  <si>
    <t>0-8028-2296-7</t>
  </si>
  <si>
    <t>226.5 MOR g</t>
  </si>
  <si>
    <t>The Gospel According to John</t>
  </si>
  <si>
    <t>978-0-8146-5967-0</t>
  </si>
  <si>
    <t>226.5 MOL j</t>
  </si>
  <si>
    <t>Sacra Pagina Series: Volume 4 The Gospel of John</t>
  </si>
  <si>
    <t>Francis J. Moloney, S.D.B.</t>
  </si>
  <si>
    <t>978-602-8009-29-4</t>
  </si>
  <si>
    <t>226.5 MIL y</t>
  </si>
  <si>
    <t>Seri Pemahaman dan Penerapan Amanat Alkitab Masa Kini - Yohanes</t>
  </si>
  <si>
    <t>Bruce Milne</t>
  </si>
  <si>
    <t>978-0-310-24416-7</t>
  </si>
  <si>
    <t>226.5 KLI e</t>
  </si>
  <si>
    <t>Exegetical Commentary On The New Testament JOHN</t>
  </si>
  <si>
    <t>Edward W. Klink III</t>
  </si>
  <si>
    <t>226.5 MAC j</t>
  </si>
  <si>
    <t>John A Greek-English Diglot for the use of Translators</t>
  </si>
  <si>
    <t>Robert Maclehose</t>
  </si>
  <si>
    <t>0-567-03158-6</t>
  </si>
  <si>
    <t>226.5 MCH i</t>
  </si>
  <si>
    <t>The International Critical Commentary John 1-4</t>
  </si>
  <si>
    <t>John F. McHugh</t>
  </si>
  <si>
    <t>0-06-064020-0</t>
  </si>
  <si>
    <t>226.5 HOU e</t>
  </si>
  <si>
    <t>Harper's New Testament Commentaries The Johannine Epistles</t>
  </si>
  <si>
    <t>J. L. Houlden</t>
  </si>
  <si>
    <t>978-602-8165-39-5</t>
  </si>
  <si>
    <t>226.5 HEN t</t>
  </si>
  <si>
    <t>Tafsiran Matthew Henry - Injil Yohanes 12-21</t>
  </si>
  <si>
    <t>978-602-8165-38-7</t>
  </si>
  <si>
    <t>Tafsiran Matthew Henry - Injil Yohanes 1-11</t>
  </si>
  <si>
    <t>226.5 HAG y</t>
  </si>
  <si>
    <t>Tafsiran Injil Yohanes pasal 6-12</t>
  </si>
  <si>
    <t>Dave Hagelberg</t>
  </si>
  <si>
    <t>Yayasan Andi</t>
  </si>
  <si>
    <t>226.5 FIL j</t>
  </si>
  <si>
    <t>The Layman's Bible Commentary: Volume 19 - The Ghospel According to John</t>
  </si>
  <si>
    <t>Floyd V. Filson</t>
  </si>
  <si>
    <t>0-8006-6003-X</t>
  </si>
  <si>
    <t>226.5 BUL h</t>
  </si>
  <si>
    <t>Hermeneia a Critical and Historical Commentary on the Bible - The Johannine Epistles</t>
  </si>
  <si>
    <t>Rudolf Bultmann</t>
  </si>
  <si>
    <t>0-385-03761-9</t>
  </si>
  <si>
    <t>226.5 BRO a</t>
  </si>
  <si>
    <t>The Anchor Bible The Gospel According to John XII-XXI</t>
  </si>
  <si>
    <t>Raymond E. Brown, S.S (E)</t>
  </si>
  <si>
    <t>978-979-415-363-5</t>
  </si>
  <si>
    <t>226.5 BAR y</t>
  </si>
  <si>
    <t>Pemahaman Alkitab Setiap hari - Injil Yohanes Pasal 1-7</t>
  </si>
  <si>
    <t>0-664-21364-2</t>
  </si>
  <si>
    <t>226.507 BAR g</t>
  </si>
  <si>
    <t>The Gospel According to ST. John An Introduction with Commentary and Notes on the Greek Text Second Edition</t>
  </si>
  <si>
    <t>Westminster</t>
  </si>
  <si>
    <t>0-385-15542-5</t>
  </si>
  <si>
    <t>226.4077 FIT a</t>
  </si>
  <si>
    <t>The Anchor Bible The Gospel According to Luke X-XXIV</t>
  </si>
  <si>
    <t>Joseph A. Fitzmyer, S.J.</t>
  </si>
  <si>
    <t>0-8010-7710-11</t>
  </si>
  <si>
    <t>226.4 ROB w</t>
  </si>
  <si>
    <t>Word Pictures in the New Testament Volume II the Gospel According to Luke</t>
  </si>
  <si>
    <t>226.4 REI l</t>
  </si>
  <si>
    <t>Helps for Translators: A Translator's Handbook on The Gospel of Luke</t>
  </si>
  <si>
    <t>J. Reiling Dkk</t>
  </si>
  <si>
    <t>0-8499-0234-7</t>
  </si>
  <si>
    <t>220.7 NOL w</t>
  </si>
  <si>
    <t>Word Biblical Commentary Vol. 35A Luke 1-9:20</t>
  </si>
  <si>
    <t>John Nolland</t>
  </si>
  <si>
    <t>978-0-849-90254-3</t>
  </si>
  <si>
    <t>Word Biblical Commentary Vol. 35B Luke 9:21-18:34</t>
  </si>
  <si>
    <t>978-0-8499-1072-2</t>
  </si>
  <si>
    <t>Word Biblical Commentary Vol. 35C Luke 18:35-24:53</t>
  </si>
  <si>
    <t>978-0-7852-0940-9</t>
  </si>
  <si>
    <t>220.7 MUR w</t>
  </si>
  <si>
    <t>Word Biblical Commentary Vol. 36 John Second Edition</t>
  </si>
  <si>
    <t>George R. Beasley-Murray</t>
  </si>
  <si>
    <t>0-8499-0235-5</t>
  </si>
  <si>
    <t>Word Biblical Commentary Vol. 36 John</t>
  </si>
  <si>
    <t>Word Books Publisher</t>
  </si>
  <si>
    <t>0-8164-0295-7</t>
  </si>
  <si>
    <t>226.4 MIN h</t>
  </si>
  <si>
    <t>To Heal and to Reveal the Prophetic Vocation According to Luke</t>
  </si>
  <si>
    <t>Paul S. Minear</t>
  </si>
  <si>
    <t>Seabury Press</t>
  </si>
  <si>
    <t>0-8028-3512-0</t>
  </si>
  <si>
    <t>226.4 MAR l</t>
  </si>
  <si>
    <t>New International Greek Testament Commentary on Luke</t>
  </si>
  <si>
    <t>William B. Eerdmans Publishing Company\</t>
  </si>
  <si>
    <t>978-0-8146-5966-3</t>
  </si>
  <si>
    <t>226.4 JOH l</t>
  </si>
  <si>
    <t>Sacra Pagina Series: Volume 3 The Gospel of Luke</t>
  </si>
  <si>
    <t>979-602-8165-99-9</t>
  </si>
  <si>
    <t>223.7 HEN t</t>
  </si>
  <si>
    <t>Tafsiran Matthew Henry - Kitab Amsal</t>
  </si>
  <si>
    <t>0-8028-1863-3</t>
  </si>
  <si>
    <t>226.4 ELL l</t>
  </si>
  <si>
    <t>The New Century Bible Commentary The Gospel of Luke</t>
  </si>
  <si>
    <t>E. Earle Ellis</t>
  </si>
  <si>
    <t>978-0-8028-3735-6</t>
  </si>
  <si>
    <t>226.4 EDW g</t>
  </si>
  <si>
    <t>The Gospel According To Luke</t>
  </si>
  <si>
    <t>James R. Edwards</t>
  </si>
  <si>
    <t>226.4 LUC c</t>
  </si>
  <si>
    <t>Cambridge Greek Testament for School and Colleges ST Luke</t>
  </si>
  <si>
    <t>H.K. Luce, M.A.</t>
  </si>
  <si>
    <t>0-8267-0181-7</t>
  </si>
  <si>
    <t>226.4 BRA l</t>
  </si>
  <si>
    <t>Helps for Translators: A Translator's Guide to The Gospel of Luke</t>
  </si>
  <si>
    <t>978-0-8006-9760-0</t>
  </si>
  <si>
    <t>226.4 BOV h</t>
  </si>
  <si>
    <t>Hermeneia a Critical and Historical Commentary on the Bible - Luke 3</t>
  </si>
  <si>
    <t>Francois Bovon</t>
  </si>
  <si>
    <t>978-0-8006-9759-4</t>
  </si>
  <si>
    <t>Hermeneia a Critical and Historical Commentary on the Bible - Luke 2</t>
  </si>
  <si>
    <t>978-0-8006-6044-4</t>
  </si>
  <si>
    <t>Hermeneia a Critical and Historical Commentary on the Bible - Luke 1</t>
  </si>
  <si>
    <t>978-0-8054-0123-3</t>
  </si>
  <si>
    <t>226.3 BRO n</t>
  </si>
  <si>
    <t>New International Version - The New American Commentary (NAC) Mark Vol. 23</t>
  </si>
  <si>
    <t>James A. Brooks</t>
  </si>
  <si>
    <t>226.3 TAY g</t>
  </si>
  <si>
    <t>The Gospel According to ST. Mark</t>
  </si>
  <si>
    <t>Vincent Taylor</t>
  </si>
  <si>
    <t>978-0-310-24358-8</t>
  </si>
  <si>
    <t>226.3 STR e</t>
  </si>
  <si>
    <t>Exegetical Commentary On The New Testament MARK</t>
  </si>
  <si>
    <t>Mark L. Strauss</t>
  </si>
  <si>
    <t>0-521-09288-4</t>
  </si>
  <si>
    <t>226.3 MOU m</t>
  </si>
  <si>
    <t>The Cambridge Bible Commentary On The New English Bible - The Gospel According to Mark</t>
  </si>
  <si>
    <t>C. F. D Moule</t>
  </si>
  <si>
    <t>228 GLA r</t>
  </si>
  <si>
    <t>The Cambridge Bible Commentary on the New English Bible - The Revelation of John</t>
  </si>
  <si>
    <t>T. F. Glasson</t>
  </si>
  <si>
    <t>226.3 MIN m</t>
  </si>
  <si>
    <t xml:space="preserve">The Layman's Bible Commentary: Volume 17 - The Gospel According to Mark </t>
  </si>
  <si>
    <t>0-8028-2340-8</t>
  </si>
  <si>
    <t>226.3 LAN g</t>
  </si>
  <si>
    <t>The Gospel According to Mark</t>
  </si>
  <si>
    <t>William L.Lane, TH.D.</t>
  </si>
  <si>
    <t>0-06-064085-5</t>
  </si>
  <si>
    <t>226.3 HUR m</t>
  </si>
  <si>
    <t>Mark a Good News Commentary</t>
  </si>
  <si>
    <t>Larry W. Hurtado</t>
  </si>
  <si>
    <t>979-3292-50-4</t>
  </si>
  <si>
    <t>226.3 HEN t</t>
  </si>
  <si>
    <t>Tafsiran Matthew Henry - Injil Markus</t>
  </si>
  <si>
    <t>978-0-8499-0233-8</t>
  </si>
  <si>
    <t>220.7 GUE w</t>
  </si>
  <si>
    <t>Word Biblical Commentary Vol. 34A Mark 1-8:26</t>
  </si>
  <si>
    <t>Robert A. Guelich</t>
  </si>
  <si>
    <t>0-8499-0253-3</t>
  </si>
  <si>
    <t>220.7 EVA w</t>
  </si>
  <si>
    <t>Word Biblical Commentary Vol. 34B Mark 8:27-16:20</t>
  </si>
  <si>
    <t>Colombia</t>
  </si>
  <si>
    <t>Craig A. Evans</t>
  </si>
  <si>
    <t>226.3 GOU i</t>
  </si>
  <si>
    <t>(ICC) The Gospel According to ST. Mark</t>
  </si>
  <si>
    <t>Ezra P. Gould, S.T.D</t>
  </si>
  <si>
    <t>978-602-7788-18-3</t>
  </si>
  <si>
    <t>226.3 GAR m</t>
  </si>
  <si>
    <t>The NIV Application Commentary 2: dari Injil Markus bagi kehidupan masa Kini</t>
  </si>
  <si>
    <t>Literatur SAAT</t>
  </si>
  <si>
    <t>978-0-8028-3734-9</t>
  </si>
  <si>
    <t>226.3 EDW g</t>
  </si>
  <si>
    <t>The Gospel According To Mark</t>
  </si>
  <si>
    <t>978-0-8146-5965-6</t>
  </si>
  <si>
    <t>226.3 DON m</t>
  </si>
  <si>
    <t>Sacra Pagina Series: Volume 2 The Gospel of Mark</t>
  </si>
  <si>
    <t>John R. Donahue, S.J. Dkk</t>
  </si>
  <si>
    <t>0-85111-851-8</t>
  </si>
  <si>
    <t>226.3 COL t</t>
  </si>
  <si>
    <t>Tyndale New Testament Commentaries Mark</t>
  </si>
  <si>
    <t>R. Alan Cole</t>
  </si>
  <si>
    <t>978-0-8006-6078-9</t>
  </si>
  <si>
    <t>226.3 COL h</t>
  </si>
  <si>
    <t>Hermeneia a Critical and Historical Commentary on the Bible Mark</t>
  </si>
  <si>
    <t>Adela Yarbro Collins</t>
  </si>
  <si>
    <t>0-8267-0180-9</t>
  </si>
  <si>
    <t>226.3 BRA m</t>
  </si>
  <si>
    <t>Helps for Translators: A Translator's Guide to The Gospel of Mark</t>
  </si>
  <si>
    <t>0-8267-0156-6</t>
  </si>
  <si>
    <t>A Handbook on: The Gospel of Mark</t>
  </si>
  <si>
    <t>Helps for Translators: A Translator's Handbook on The Gospel of Mark</t>
  </si>
  <si>
    <t>978-979-687-177-3</t>
  </si>
  <si>
    <t>226.3 BAR m</t>
  </si>
  <si>
    <t>Pemahaman Alkitab Setiap Hari - Injil Markus</t>
  </si>
  <si>
    <t>0-8028-1887-0</t>
  </si>
  <si>
    <t>226.3 AND m</t>
  </si>
  <si>
    <t>The New Century Bible Commentary The Gospel of Mark</t>
  </si>
  <si>
    <t>Hugh Anderson</t>
  </si>
  <si>
    <t>226.23 BUT m</t>
  </si>
  <si>
    <t>The Interpreter's Bible: Matthew-Mark Volume VII</t>
  </si>
  <si>
    <t>0-8267-0134-5</t>
  </si>
  <si>
    <t xml:space="preserve">226.2 NEW m </t>
  </si>
  <si>
    <t>Helps for Translators: A Translator's Handbook on The Gospel of Matthew</t>
  </si>
  <si>
    <t>0-8267-0155-8</t>
  </si>
  <si>
    <t xml:space="preserve">226.2 NEW </t>
  </si>
  <si>
    <t>A Handbook on: The Gospel of Matthew</t>
  </si>
  <si>
    <t>978-0-8028-3696-8</t>
  </si>
  <si>
    <t>226.2 MOR g</t>
  </si>
  <si>
    <t>The Gospel According To Matthew</t>
  </si>
  <si>
    <t>226.2 PLU i</t>
  </si>
  <si>
    <t>(ICC) The Gospel According to ST. Luke</t>
  </si>
  <si>
    <t>T. &amp; T. Clark</t>
  </si>
  <si>
    <t>226.2 UNI m</t>
  </si>
  <si>
    <t>Matthew a Greek - English for the use of Translator</t>
  </si>
  <si>
    <t>University Pree</t>
  </si>
  <si>
    <t>0-8006-3770-4</t>
  </si>
  <si>
    <t>226.2 LUZ h</t>
  </si>
  <si>
    <t>Hermeneia a Critical and Historical Commentary on the Bible Matthew 21-28</t>
  </si>
  <si>
    <t>Ulrich Luz</t>
  </si>
  <si>
    <t>0-8006-6034-x</t>
  </si>
  <si>
    <t>Hermeneia a Critical and Historical Commentary on the Bible Matthew 8-20</t>
  </si>
  <si>
    <t>978-0-8006-6099-4</t>
  </si>
  <si>
    <t>Hermeneia a Critical and Historical Commentary on the Bible Matthew 1-7</t>
  </si>
  <si>
    <t>226.2 IBS h</t>
  </si>
  <si>
    <t>The Holy Injil First Book : Matthew</t>
  </si>
  <si>
    <t>IBS Publishing</t>
  </si>
  <si>
    <t>978-0-8146-5803-1</t>
  </si>
  <si>
    <t>226.2 HAR m</t>
  </si>
  <si>
    <t xml:space="preserve">Sacra Pagina Series: Volume 1 The Gospel of Matthew </t>
  </si>
  <si>
    <t>Daniel J. Harrington, S.J.</t>
  </si>
  <si>
    <t>978-0-8499-0232-1</t>
  </si>
  <si>
    <t>220.7 HAG w</t>
  </si>
  <si>
    <t>Word Biblical Commentary Vol. 33A Matthew 1-13</t>
  </si>
  <si>
    <t>Donald A. Hagner</t>
  </si>
  <si>
    <t>978-0-8499-1096-8</t>
  </si>
  <si>
    <t>Word Biblical Commentary Vol. 33B Matthew 14-28</t>
  </si>
  <si>
    <t>0-85111-870-4</t>
  </si>
  <si>
    <t>226.2 FRA t</t>
  </si>
  <si>
    <t>Tyndale New Ttestament Commentaries Matthew</t>
  </si>
  <si>
    <t>R.T. France</t>
  </si>
  <si>
    <t>7136-1231-2</t>
  </si>
  <si>
    <t>226.2 FIL g</t>
  </si>
  <si>
    <t>The Gospel According to ST Matthew</t>
  </si>
  <si>
    <t>Floyd V. Filson DD</t>
  </si>
  <si>
    <t>978-0-567-08518-4</t>
  </si>
  <si>
    <t>226.2 DAV i</t>
  </si>
  <si>
    <t>International Critical Commentary Matthew 19-28. Volume III</t>
  </si>
  <si>
    <t>W.D. Davies, F. B.A. Dkk</t>
  </si>
  <si>
    <t>0-8267-0179-5</t>
  </si>
  <si>
    <t>226.2 BRA m</t>
  </si>
  <si>
    <t>Helps for Translators: A Translator's Guide to The Gospel of Matthew</t>
  </si>
  <si>
    <t>978-080540122-6</t>
  </si>
  <si>
    <t>226.2 BLO n</t>
  </si>
  <si>
    <t>New International Version - The New American Commentary (NAC) Matthew Vol. 22</t>
  </si>
  <si>
    <t>Craig L. Blomberg</t>
  </si>
  <si>
    <t>978-979-415-809-8</t>
  </si>
  <si>
    <t>226.2 BAR m</t>
  </si>
  <si>
    <t>Pemahaman Alkitab Setiap Hari - Injil Matius Pasal 1-10</t>
  </si>
  <si>
    <t>978-979-687-236-7</t>
  </si>
  <si>
    <t>Pemahaman Alkitab Setiap Hari - Injil Matius Pasal 11-28</t>
  </si>
  <si>
    <t>978-979-415-818-0</t>
  </si>
  <si>
    <t>226.2 BAR l</t>
  </si>
  <si>
    <t>Pemahaman Alkitab Setiap Hari - Injil Lukas</t>
  </si>
  <si>
    <t>978-0-521-09198-5</t>
  </si>
  <si>
    <t>226.2 ARG m</t>
  </si>
  <si>
    <t>The Cambridge Bible Commentary On The New English Bible - The Gospel According to Matthew</t>
  </si>
  <si>
    <t>A. W. Argyle</t>
  </si>
  <si>
    <t>226.2 ALL i</t>
  </si>
  <si>
    <t>(ICC) Gospel According to S. Matthew</t>
  </si>
  <si>
    <t>Willoughby C. Allen, M.A.</t>
  </si>
  <si>
    <t>979-3292-59-8</t>
  </si>
  <si>
    <t>226.2 HEN t</t>
  </si>
  <si>
    <t>Tafsiran Matthew Henry - Injil Matius 1-14</t>
  </si>
  <si>
    <t>0-8010-7710-10</t>
  </si>
  <si>
    <t>226.1 ROB w</t>
  </si>
  <si>
    <t>Word Pictures in the New Testament Volume V the Fourth Gospel the Epistle to the Hebrews</t>
  </si>
  <si>
    <t>Word Pictures in the New Testament Volume I the Gospel According to Matthew the Gospel According to Mark</t>
  </si>
  <si>
    <t>226 SCH n</t>
  </si>
  <si>
    <t>Neutestamentliche Apokryphen</t>
  </si>
  <si>
    <t>Wilhelm Schneemelcher</t>
  </si>
  <si>
    <t>J. C. B. M ohr</t>
  </si>
  <si>
    <t>978-979-687-391-3</t>
  </si>
  <si>
    <t>226 BAR k</t>
  </si>
  <si>
    <t>Pemahaman Alkitab Setiap Hari - Kitab Kisah Para Rasul</t>
  </si>
  <si>
    <t>978-0-8054-0143-1</t>
  </si>
  <si>
    <t>226.5 BOR n</t>
  </si>
  <si>
    <t>New International Version - The New American Commentary - John 12-21 Vol. 25B</t>
  </si>
  <si>
    <t>Gerald L. Borchert</t>
  </si>
  <si>
    <t>978-0-8054-0125-7</t>
  </si>
  <si>
    <t>New International Version - The New American Commentary - John 1-11 Vol. 25A</t>
  </si>
  <si>
    <t>979-8976-51-7 979-8976-54-1</t>
  </si>
  <si>
    <t>225.7 SIM t</t>
  </si>
  <si>
    <t>Tafsiran Alkitab Masa Kini. 3 Matius-Wahyu</t>
  </si>
  <si>
    <t>DKI Jakarta</t>
  </si>
  <si>
    <t>A. Simanjuntak Dkk</t>
  </si>
  <si>
    <t>Yayasan Komunikasi Bina Kasih/OMF</t>
  </si>
  <si>
    <t>3-438-06010-8</t>
  </si>
  <si>
    <t>225.7 MET t</t>
  </si>
  <si>
    <t>A Textual Commentary on The Greek New Testament</t>
  </si>
  <si>
    <t>Bruce M. Metzger</t>
  </si>
  <si>
    <t>225.492 MET t</t>
  </si>
  <si>
    <t>978-0-8010-3604-0</t>
  </si>
  <si>
    <t>225.6 SCH t</t>
  </si>
  <si>
    <t>Theology of the New Testament</t>
  </si>
  <si>
    <t>Udo Schnelle</t>
  </si>
  <si>
    <t>Baker Academic</t>
  </si>
  <si>
    <t>0-8044-3271-6</t>
  </si>
  <si>
    <t>225.6 RYK n</t>
  </si>
  <si>
    <t>The New Testament in Literary Criticism</t>
  </si>
  <si>
    <t xml:space="preserve">Leland Ryken </t>
  </si>
  <si>
    <t>Frederick Ungar</t>
  </si>
  <si>
    <t>0-8078-4120-X</t>
  </si>
  <si>
    <t>225.6 KEN n</t>
  </si>
  <si>
    <t xml:space="preserve">New Testament Interpretation Through Rhetorical Criticism </t>
  </si>
  <si>
    <t>George A. Kennedy</t>
  </si>
  <si>
    <t>North Carolina</t>
  </si>
  <si>
    <t>0-415-10368-1</t>
  </si>
  <si>
    <t>225.6 COU r</t>
  </si>
  <si>
    <t>Reading the New Testament</t>
  </si>
  <si>
    <t>John M. Court</t>
  </si>
  <si>
    <t>Routledge</t>
  </si>
  <si>
    <t>3-438-05110-9</t>
  </si>
  <si>
    <t>225.492 ALA g</t>
  </si>
  <si>
    <t xml:space="preserve">The Greek New Testament: Third Edition (Corrected) </t>
  </si>
  <si>
    <t>Yunani</t>
  </si>
  <si>
    <t>Kurt Aland Dkk</t>
  </si>
  <si>
    <t>The Greek New Testament</t>
  </si>
  <si>
    <t>978-3-438-06010-5</t>
  </si>
  <si>
    <t>225.490.4 MET t</t>
  </si>
  <si>
    <t>A Textual Commentary on The Greek New Testament (Second Edition)</t>
  </si>
  <si>
    <t>225.487 ALA n</t>
  </si>
  <si>
    <t>The New Testament Greek and English</t>
  </si>
  <si>
    <t xml:space="preserve">American Bible Society </t>
  </si>
  <si>
    <t>3-438-05113-3</t>
  </si>
  <si>
    <t>225.483 ALA g</t>
  </si>
  <si>
    <t>The Greek New Testament: Dictionary - Second Edition</t>
  </si>
  <si>
    <t>978-3-438-05150-9</t>
  </si>
  <si>
    <t>225.4 NEW u</t>
  </si>
  <si>
    <t>The UBS Greek New Testament - A Reader's Edition</t>
  </si>
  <si>
    <t>Barclay M. Newman</t>
  </si>
  <si>
    <t>978-3-438-06044-0</t>
  </si>
  <si>
    <t>225.4 OMA t</t>
  </si>
  <si>
    <t>A Textual Guide To The Greek New Testament</t>
  </si>
  <si>
    <t>Roger L. Omanson</t>
  </si>
  <si>
    <t>225.480 ALA g</t>
  </si>
  <si>
    <t>The Greek New Testament: Fourth Revised Edition</t>
  </si>
  <si>
    <t>Barbara Aland Dkk</t>
  </si>
  <si>
    <t>978-3-438-05408-1</t>
  </si>
  <si>
    <t>225.480 NES g</t>
  </si>
  <si>
    <t>Greek - English New Testament</t>
  </si>
  <si>
    <t>Nestle-Aland</t>
  </si>
  <si>
    <t>225.480 TAS g</t>
  </si>
  <si>
    <t xml:space="preserve">The Greek New Testament </t>
  </si>
  <si>
    <t>R. V. G. Tasker, D. D.</t>
  </si>
  <si>
    <t>978-3-438-05115-8</t>
  </si>
  <si>
    <t>225.480 NES n</t>
  </si>
  <si>
    <t>Novum Testamentum Graece: Dictionary</t>
  </si>
  <si>
    <t>3-438-05100-1</t>
  </si>
  <si>
    <t>225.480 ALA n</t>
  </si>
  <si>
    <t>Novum Testamentum Graece</t>
  </si>
  <si>
    <t>Stuttgart</t>
  </si>
  <si>
    <t>225.48 WUE p</t>
  </si>
  <si>
    <t>The Practical Use of the Greek New Testament</t>
  </si>
  <si>
    <t>Kenneth S. Wuest</t>
  </si>
  <si>
    <t>Moody Press</t>
  </si>
  <si>
    <t>225.48 OMA t</t>
  </si>
  <si>
    <t>A Textual Guide to The Greek New Testament</t>
  </si>
  <si>
    <t xml:space="preserve">Roger L. Omanson </t>
  </si>
  <si>
    <t>225.48 ALA g</t>
  </si>
  <si>
    <t>The Greek New Testament: Dictionary - Third Edition (Corrected)</t>
  </si>
  <si>
    <t>225.430 TES</t>
  </si>
  <si>
    <t xml:space="preserve">It-Testment Il-Gdid Tas-Salvatur Taghna Sidna Gasu Kristu </t>
  </si>
  <si>
    <t>Florida</t>
  </si>
  <si>
    <t>Malta</t>
  </si>
  <si>
    <t>Ghaqda Biblika Maltija</t>
  </si>
  <si>
    <t>11:b</t>
  </si>
  <si>
    <t>0-8499-0432-3</t>
  </si>
  <si>
    <t>225.4'09 HAR h</t>
  </si>
  <si>
    <t>History of The New Testament in Plain Language</t>
  </si>
  <si>
    <t>Clayton Harrop</t>
  </si>
  <si>
    <t>Word Book</t>
  </si>
  <si>
    <t>0-8010-3496-5</t>
  </si>
  <si>
    <t>225.38 FRI a</t>
  </si>
  <si>
    <t xml:space="preserve">Analytical Greek New Testament </t>
  </si>
  <si>
    <t>Inggis</t>
  </si>
  <si>
    <t>Barbara Friberg Dkk</t>
  </si>
  <si>
    <t>3-17-004774-4</t>
  </si>
  <si>
    <t>225.3 SCH e</t>
  </si>
  <si>
    <t>Exegetisches Worterbuch zum Neven Testament Band I</t>
  </si>
  <si>
    <t>Horst Balz &amp; Gerhard Schneider</t>
  </si>
  <si>
    <t>Kohlhammer</t>
  </si>
  <si>
    <t>3-17-007383-4</t>
  </si>
  <si>
    <t>Exegetisches Worterbuch zum Neven Testament Band II</t>
  </si>
  <si>
    <t>225.08 AME n</t>
  </si>
  <si>
    <t>The New Testament of Our Lord and Saviour Jesus Christ (King James Version)</t>
  </si>
  <si>
    <t>225.04 AME n</t>
  </si>
  <si>
    <t>The New Testament of Our Lord and Saviour Jesus Christ (Revised Standard Version)</t>
  </si>
  <si>
    <t>978-602-7788-17-6</t>
  </si>
  <si>
    <t>226.2 GAR m</t>
  </si>
  <si>
    <t>The NIV Application Commentary 1: dari Injil Markus bagi kehidupan masa Kini</t>
  </si>
  <si>
    <t>SAAT</t>
  </si>
  <si>
    <t>978-979-415-914-9</t>
  </si>
  <si>
    <t>225.04 DRE s</t>
  </si>
  <si>
    <t>Satu Injil Tiga Pekabar</t>
  </si>
  <si>
    <t>B. F. Drewes, M. Th</t>
  </si>
  <si>
    <t>0-8267-0031-4</t>
  </si>
  <si>
    <t>225.04 BRA o</t>
  </si>
  <si>
    <t>Helps for Translators: Old Testament Quotations In The New Testament</t>
  </si>
  <si>
    <t>0-8267-0026-8</t>
  </si>
  <si>
    <t>225.04 BRA n</t>
  </si>
  <si>
    <t>Helps for Translators: Marginal Notes for the New Testament (Based On The Text of Today's English Version)</t>
  </si>
  <si>
    <t>0-8028-3620-8</t>
  </si>
  <si>
    <t>225. 4'8 ALA</t>
  </si>
  <si>
    <t>The Text of The New Testament</t>
  </si>
  <si>
    <t>Kurt Aland and Barbara Aland</t>
  </si>
  <si>
    <t>978-3292-49-0</t>
  </si>
  <si>
    <t>225 HEN t</t>
  </si>
  <si>
    <t>Tafsiran Matthew Henry: Surat Ibrani, Yakobus, 1&amp;2 Petrus, 1-3 Yohanes, Yudas, Kitab Wahyu</t>
  </si>
  <si>
    <t>225 GRE i</t>
  </si>
  <si>
    <t>Introduction to New Testament Textual Criticism</t>
  </si>
  <si>
    <t>J. Harold Greenlee</t>
  </si>
  <si>
    <t>0-06-250776-1</t>
  </si>
  <si>
    <t>225.04 SCH o</t>
  </si>
  <si>
    <t>The Original New Testament</t>
  </si>
  <si>
    <t>Hugh J. Schonfield</t>
  </si>
  <si>
    <t>0-8006-6049-8</t>
  </si>
  <si>
    <t>224.96 SWE h</t>
  </si>
  <si>
    <t>Hermeneia a Critical and Historical Commentary on the Bible - Zephaniah</t>
  </si>
  <si>
    <t>Marvin A. Sweeney</t>
  </si>
  <si>
    <t>978-0-8028-2532-2</t>
  </si>
  <si>
    <t>224.9 ROB n</t>
  </si>
  <si>
    <t>(NICOT) The Books of Nahum, Habakuk and Zephaniah</t>
  </si>
  <si>
    <t>O. Palmer Robertson</t>
  </si>
  <si>
    <t>978-0310-206378</t>
  </si>
  <si>
    <t>224.94 BRU j</t>
  </si>
  <si>
    <t>The NIV Application Commentary: Jonah, Nahum, Habakuk, Zephaniah</t>
  </si>
  <si>
    <t>James Bruckner</t>
  </si>
  <si>
    <t>978-0-8054-0120-2</t>
  </si>
  <si>
    <t>224.9 BAK n</t>
  </si>
  <si>
    <t>The New American Commentary (NAC) Vol. 20 - Micah, Nahum, Habakuk, Zephaniah</t>
  </si>
  <si>
    <t>Kenneth L. Barker Dkk</t>
  </si>
  <si>
    <t>0-8499-0231-2</t>
  </si>
  <si>
    <t>224.93 SMI w</t>
  </si>
  <si>
    <t>Word Biblical Commentary  Micah-Malachi - Vol. 32</t>
  </si>
  <si>
    <t>Ralph L. Smith</t>
  </si>
  <si>
    <t>0-664-20817-7</t>
  </si>
  <si>
    <t>224.9 MAY m</t>
  </si>
  <si>
    <t>The Old Testament Library Micah</t>
  </si>
  <si>
    <t>James Luther Mays</t>
  </si>
  <si>
    <t>0-8066-2449-3</t>
  </si>
  <si>
    <t>224.93 WOL m</t>
  </si>
  <si>
    <t xml:space="preserve">Micah a Commentary </t>
  </si>
  <si>
    <t>Hans Walter Wolff</t>
  </si>
  <si>
    <t>0-8006-6012-9</t>
  </si>
  <si>
    <t>224.93 HIL h</t>
  </si>
  <si>
    <t>Hermeneia a Critical and Historical Commentary on the Bible - Micah</t>
  </si>
  <si>
    <t>Delbert R. Hillers</t>
  </si>
  <si>
    <t>2-85300-788-X</t>
  </si>
  <si>
    <t>224.93 CLA m</t>
  </si>
  <si>
    <t>Auxiliaires Du Traducteur: Manuel Du Traducteur Pour Les Livres D'abdias Et De Michee</t>
  </si>
  <si>
    <t>Cameroun</t>
  </si>
  <si>
    <t>David J. Clark Dkk</t>
  </si>
  <si>
    <t>Alliance Biblique Universelle</t>
  </si>
  <si>
    <t>978-0-8308-4226-1</t>
  </si>
  <si>
    <t>224.9 BAK o</t>
  </si>
  <si>
    <t>Tyndale Old Testament Commentaries (TOTC) Vol. 26 - Obadiah, Jonah and Micah</t>
  </si>
  <si>
    <t>David W. Baker Dkk</t>
  </si>
  <si>
    <t>978-0-8006-9511-8</t>
  </si>
  <si>
    <t>224.9 WOL o</t>
  </si>
  <si>
    <t>Obadiah and Jonah a Commentary</t>
  </si>
  <si>
    <t>0-8028-0242-7</t>
  </si>
  <si>
    <t>224.9 SZE h</t>
  </si>
  <si>
    <t>International Theological Commentary Habakuk &amp; Zephaniah</t>
  </si>
  <si>
    <t>Maria Eszenyei Szeles</t>
  </si>
  <si>
    <t>978-0-8308-2524-0</t>
  </si>
  <si>
    <t>224.9 PET a</t>
  </si>
  <si>
    <t>( AOTC) Apollos Old Testament Commentary Haggai, Zechariah &amp; Malachi</t>
  </si>
  <si>
    <t>Anthony R. Petterson</t>
  </si>
  <si>
    <t>224.9 MIT h</t>
  </si>
  <si>
    <t>The International Critical Commentary: Haggai, Zechariah, Malachi and Jonah</t>
  </si>
  <si>
    <t>Hinckley G. Mitchell, D.D</t>
  </si>
  <si>
    <t>0-664-20863-0</t>
  </si>
  <si>
    <t>224.9 MAY o</t>
  </si>
  <si>
    <t>The Old Testament Library Amos</t>
  </si>
  <si>
    <t>224.9 GAI m</t>
  </si>
  <si>
    <t>The Layman's Bible Commentary: Volume 15 - The Book of Micah, Habakkuk, Nahum, Zephaniah, Haggai, Zechariah, Malachi</t>
  </si>
  <si>
    <t>James H. Gailay, Jr.</t>
  </si>
  <si>
    <t>0-8028-0048-3</t>
  </si>
  <si>
    <t>224.9 COG n</t>
  </si>
  <si>
    <t>International Theological Commentary Nahum, Obadiah, Esther</t>
  </si>
  <si>
    <t>Richard J. Coggins</t>
  </si>
  <si>
    <t>0-87784-276-0</t>
  </si>
  <si>
    <t>224.9 BAL h</t>
  </si>
  <si>
    <t>Tyndale Old Testament Commentaries (TOTC) Vol. 24 -  Haggai, Zechariah, Malachi</t>
  </si>
  <si>
    <t>Joyce G. Baldwin</t>
  </si>
  <si>
    <t>978-0-567-57651-4</t>
  </si>
  <si>
    <t>224.3 SAL i</t>
  </si>
  <si>
    <t>The International Critical Commentary Lamentations</t>
  </si>
  <si>
    <t>R. B. Salters</t>
  </si>
  <si>
    <t>0-8267-0118-3</t>
  </si>
  <si>
    <t>223.2 BRA p</t>
  </si>
  <si>
    <t>Helps for Translators A Translator's Handbook On The Book Of Psalms</t>
  </si>
  <si>
    <t>978-0-8006-6023-9</t>
  </si>
  <si>
    <t>224.8 PAU h</t>
  </si>
  <si>
    <t>Hermeneia a Critical and Historical Commentary on the Bible  - Amos</t>
  </si>
  <si>
    <t>Shalom M. Paul</t>
  </si>
  <si>
    <t>978-1-57506-023-X</t>
  </si>
  <si>
    <t>224.7 WAA h</t>
  </si>
  <si>
    <t>A Handbook On Isaiah</t>
  </si>
  <si>
    <t>Jan de Waard</t>
  </si>
  <si>
    <t>4: A</t>
  </si>
  <si>
    <t>978-0-8499-0230-7</t>
  </si>
  <si>
    <t>224.6 STU w</t>
  </si>
  <si>
    <t>Word Biblical Commentary Hosea-Jonah - Vol.31</t>
  </si>
  <si>
    <t>Douglas Stuart</t>
  </si>
  <si>
    <t>978-0-8308-2520.2</t>
  </si>
  <si>
    <t>224.6 MOO a</t>
  </si>
  <si>
    <t xml:space="preserve">(AOTC) Apollos Old Testament Commentary Hosea </t>
  </si>
  <si>
    <t>Joshua N. Moon</t>
  </si>
  <si>
    <t>978-0-664-25675-9</t>
  </si>
  <si>
    <t>224.5077 SEO d</t>
  </si>
  <si>
    <t>Daniel</t>
  </si>
  <si>
    <t>C. L. Seow</t>
  </si>
  <si>
    <t>Westminter John Knox Press</t>
  </si>
  <si>
    <t>0-8054-0118-0</t>
  </si>
  <si>
    <t>224.5 MIL n</t>
  </si>
  <si>
    <t>The New American Commentary (NAC) Vol. 18 - Daniel</t>
  </si>
  <si>
    <t>Stephen R. Miller</t>
  </si>
  <si>
    <t>Broadman &amp; Holman Publishers</t>
  </si>
  <si>
    <t>0-385-01322-1</t>
  </si>
  <si>
    <t>224.5 HAR d</t>
  </si>
  <si>
    <t>The Anchor Bible: The Book of Daniel - Volume 23</t>
  </si>
  <si>
    <t>Louis F. Hartman Dkk</t>
  </si>
  <si>
    <t>2-85300-751-0</t>
  </si>
  <si>
    <t>224.5 CON d</t>
  </si>
  <si>
    <t>Manuel Du Traducteur Pour Le Livre De Daniel</t>
  </si>
  <si>
    <t>Rene Peter-Contesse</t>
  </si>
  <si>
    <t>978-0-8308-2519-6</t>
  </si>
  <si>
    <t>224.5 LUC a</t>
  </si>
  <si>
    <t>(AOTC) Apollos Old Testament Commentary Daniel</t>
  </si>
  <si>
    <t>Ernest C. Lucas</t>
  </si>
  <si>
    <t>224.5 HEA b</t>
  </si>
  <si>
    <t>The Book of Daniel</t>
  </si>
  <si>
    <t>E.W. Heaton</t>
  </si>
  <si>
    <t>4:a</t>
  </si>
  <si>
    <t>978-0-521-09765-9</t>
  </si>
  <si>
    <t>224.5 HAM d</t>
  </si>
  <si>
    <t>The Cambridge Bible Commentary on the New English Bible - The  Book of Daniel</t>
  </si>
  <si>
    <t>Raymond Hammer</t>
  </si>
  <si>
    <t>978-0-8499-0229-1</t>
  </si>
  <si>
    <t>224.5 GOL w</t>
  </si>
  <si>
    <t>Word Biblical Commentary Daniel - Vol.30</t>
  </si>
  <si>
    <t>John Goldingay</t>
  </si>
  <si>
    <t>0-8267-0126-4</t>
  </si>
  <si>
    <t>A Handbook On The Book Of Daniel</t>
  </si>
  <si>
    <t>0-8006-6040-4</t>
  </si>
  <si>
    <t>224.5 COL h</t>
  </si>
  <si>
    <t>Hermeneia a Critical and Historical Commentary on the Bible - Daniel</t>
  </si>
  <si>
    <t>John J. Collins</t>
  </si>
  <si>
    <t>978-0-8308-4223-0</t>
  </si>
  <si>
    <t>224.5 BAL d</t>
  </si>
  <si>
    <t>Tyndale Testament Commentaries (TOTC) Vol. 23 - Daniel</t>
  </si>
  <si>
    <t>Joyce. G. Baldwin</t>
  </si>
  <si>
    <t xml:space="preserve">Intervarsity Press </t>
  </si>
  <si>
    <t>0-8028-1038-1</t>
  </si>
  <si>
    <t>224.5 AND d</t>
  </si>
  <si>
    <t>International Theological Commentary Daniel Signs and Wonders</t>
  </si>
  <si>
    <t>Robert A. Anderson</t>
  </si>
  <si>
    <t>224.5 AAL d</t>
  </si>
  <si>
    <t>Commentaar op Het Oude Testament *Daniel</t>
  </si>
  <si>
    <t>Dr. G. CH. Aalders</t>
  </si>
  <si>
    <t>Kampen</t>
  </si>
  <si>
    <t>0-385-00954-2</t>
  </si>
  <si>
    <t>224.40 GRE e</t>
  </si>
  <si>
    <t>The Anchor Bible: Ezekiel 1-20 - Volume 22</t>
  </si>
  <si>
    <t>Moshe Greenberg</t>
  </si>
  <si>
    <t>0-8028-2535-4</t>
  </si>
  <si>
    <t>224.4 BLO n</t>
  </si>
  <si>
    <t>(NICOT) The Book of Ezekiel Chapters 1-24</t>
  </si>
  <si>
    <t>Daniel I. Block</t>
  </si>
  <si>
    <t>224.4 KRA p</t>
  </si>
  <si>
    <t>Biblischer Kommentar Altes Testament: Psalmen I</t>
  </si>
  <si>
    <t>Hans-Joachim Kraus</t>
  </si>
  <si>
    <t>Neukirchen-Vluyn</t>
  </si>
  <si>
    <t>0-8028-1910-9</t>
  </si>
  <si>
    <t>224.4 WEV e</t>
  </si>
  <si>
    <t>The New Century Bible Commentary: Ezekiel</t>
  </si>
  <si>
    <t>John W. Wevers</t>
  </si>
  <si>
    <t>978-0-8308-4218-6</t>
  </si>
  <si>
    <t>224.4 EAT e</t>
  </si>
  <si>
    <t>Tyndale Old Testament Commentaries - Ecclesiastes</t>
  </si>
  <si>
    <t>Michael E. Eaton</t>
  </si>
  <si>
    <t>224.4 COO e</t>
  </si>
  <si>
    <t>The International Critical Commentary: The Book of Ezekiel</t>
  </si>
  <si>
    <t>G. A. Cooke, D.D</t>
  </si>
  <si>
    <t>978-0-521-09755-0</t>
  </si>
  <si>
    <t>224.4 CAR e</t>
  </si>
  <si>
    <t>The Cambridge Bible Commentary on the New English Bible - The Book of the Prophet Ezekiel</t>
  </si>
  <si>
    <t>Keith W. Carley</t>
  </si>
  <si>
    <t>0-8267-0124-8</t>
  </si>
  <si>
    <t>224.3 REY l</t>
  </si>
  <si>
    <t xml:space="preserve">A Handbook on Lamentations </t>
  </si>
  <si>
    <t>William D. Reyburn</t>
  </si>
  <si>
    <t>978-0-664-23841-4</t>
  </si>
  <si>
    <t>224.9 EXU o</t>
  </si>
  <si>
    <t>The Old Testament Library - Song of Songs</t>
  </si>
  <si>
    <t>J. Cheryl Exum</t>
  </si>
  <si>
    <t>Westminster John Knox Press</t>
  </si>
  <si>
    <t>0-664-22974-3</t>
  </si>
  <si>
    <t>224.3 BER o</t>
  </si>
  <si>
    <t>The Old Testament Library - Lamentations</t>
  </si>
  <si>
    <t>Adele Berlin</t>
  </si>
  <si>
    <t>978-0-310-23499-9</t>
  </si>
  <si>
    <t>224.2 LON e</t>
  </si>
  <si>
    <t>The Expositor's Bible Commentary Volume 7 Jeremiah - Ezekiel</t>
  </si>
  <si>
    <t>0-8028-2369-6</t>
  </si>
  <si>
    <t>224.2 THO n</t>
  </si>
  <si>
    <t>(NICOT) The Book of Jeremiah</t>
  </si>
  <si>
    <t>J.A. Thompson</t>
  </si>
  <si>
    <t>0-664-21835-0</t>
  </si>
  <si>
    <t>224.2 CAR o</t>
  </si>
  <si>
    <t>The Old Testament Library Jeremiah</t>
  </si>
  <si>
    <t>Robert P. Carroll</t>
  </si>
  <si>
    <t>224.2 SNA s</t>
  </si>
  <si>
    <t>Study Notes on Bible Books Notes on The Hebrew text of Jeremiah</t>
  </si>
  <si>
    <t>Norman H. Snaith, M.A.</t>
  </si>
  <si>
    <t>The Epworth Press</t>
  </si>
  <si>
    <t>224.2 KEI b</t>
  </si>
  <si>
    <t>Biblical Commentary on The Old Testament</t>
  </si>
  <si>
    <t>C.F. Keil, D.D. and F. Delitzsch, D.D</t>
  </si>
  <si>
    <t>978-0-8006-6022-6</t>
  </si>
  <si>
    <t>224.2 HOL h</t>
  </si>
  <si>
    <t>Hermeneia a Critical and Historical Commentary on the Bible - Jeremiah 2</t>
  </si>
  <si>
    <t>William L. Holladay</t>
  </si>
  <si>
    <t>978-0-8006-6017-8</t>
  </si>
  <si>
    <t>Hermeneia a Critical and Historical Commentary on the Bible - Jeremiah 1</t>
  </si>
  <si>
    <t>978-979-3292-49-6</t>
  </si>
  <si>
    <t>224.2 HEN t</t>
  </si>
  <si>
    <t>Tafsiran Matthew Henry - Kitab Yeremia 1-24</t>
  </si>
  <si>
    <t>Tafsiran Matthew Henry - Kitab Yehezkiel</t>
  </si>
  <si>
    <t>224.2 HAB c</t>
  </si>
  <si>
    <t>Concordia Commentary Jeremiah Lamentations</t>
  </si>
  <si>
    <t>Norman C. Habel</t>
  </si>
  <si>
    <t>Concordia Publishing House</t>
  </si>
  <si>
    <t>0-8028-2368-8</t>
  </si>
  <si>
    <t>224.1 OSW n</t>
  </si>
  <si>
    <t>(NICOT) The Book of Isaiah Chapters 1-39</t>
  </si>
  <si>
    <t>John N. Oswalt</t>
  </si>
  <si>
    <t>0-8006-9508-9</t>
  </si>
  <si>
    <t>224.1 WIL i</t>
  </si>
  <si>
    <t>Isaiah 28-39 a Continental Commentary</t>
  </si>
  <si>
    <t>Hans Wildberger</t>
  </si>
  <si>
    <t>0-664-22645-0</t>
  </si>
  <si>
    <t>224.1 WES o</t>
  </si>
  <si>
    <t>The Old Testament Library Isaiah 40-66</t>
  </si>
  <si>
    <t>8042-3011-x</t>
  </si>
  <si>
    <t>224.1 WRI i</t>
  </si>
  <si>
    <t>The Layman's Bible Commentary: Volume 11 - The Book of Isaiah</t>
  </si>
  <si>
    <t>G. Ernest Wright</t>
  </si>
  <si>
    <t>Isaiah 1-12 a Continental Commentary</t>
  </si>
  <si>
    <t>(ICC) ISAIAH 1-5 a Critical and Exegetical Commentary</t>
  </si>
  <si>
    <t>H. G. M. Williamson</t>
  </si>
  <si>
    <t>Bloomsbury</t>
  </si>
  <si>
    <t>978-0-567-47370-8</t>
  </si>
  <si>
    <t>224.1 GOL i</t>
  </si>
  <si>
    <t>The International Critical Commentary - ISAIAH 40-55 Vol. II</t>
  </si>
  <si>
    <t>John Goldingay Dkk</t>
  </si>
  <si>
    <t>978-0-567-47370-7</t>
  </si>
  <si>
    <t xml:space="preserve">The International Critical Commentary - ISAIAH 40-55 Vol. I </t>
  </si>
  <si>
    <t>3-7887-0589-2</t>
  </si>
  <si>
    <t>224.1 WIL j</t>
  </si>
  <si>
    <t>Biblischer Kommentar-Altes Testament-Jesaja. Vol. X. Cetakan ke-13-15</t>
  </si>
  <si>
    <t>239 (1041-1280)</t>
  </si>
  <si>
    <t>Neukirchener Verlag</t>
  </si>
  <si>
    <t>3-7887-0029-7</t>
  </si>
  <si>
    <t>Biblischer Kommentar-Altes Testament-Jesaja. Vol. X. Cetakan ke-10</t>
  </si>
  <si>
    <t>79 (737-816)</t>
  </si>
  <si>
    <t>3-7887-0564-7</t>
  </si>
  <si>
    <t>Biblischer Kommentar-Altes Testament Jesaja. Vol. X. Cetakan ke-11-12</t>
  </si>
  <si>
    <t>222 (817-1039)</t>
  </si>
  <si>
    <t>0-8028-0338-5</t>
  </si>
  <si>
    <t>224.1 WID i</t>
  </si>
  <si>
    <t>International Theological Commentary Isaiah 1-39</t>
  </si>
  <si>
    <t>S. H. Widyapranawa</t>
  </si>
  <si>
    <t>0-8028-1884-6</t>
  </si>
  <si>
    <t>224.1 WHY i</t>
  </si>
  <si>
    <t>The New Century Bible Commentary: Isaiah 40-66</t>
  </si>
  <si>
    <t>R. N. Whybray</t>
  </si>
  <si>
    <t>0-8499-0223-1</t>
  </si>
  <si>
    <t>224.1 WAT w</t>
  </si>
  <si>
    <t>Word Biblical Commentary  Isaiah 1-33 - Vol. 24</t>
  </si>
  <si>
    <t>John D.W. Watts</t>
  </si>
  <si>
    <t>224.1 THE i</t>
  </si>
  <si>
    <t>Isaiah Chapters 40-66</t>
  </si>
  <si>
    <t>S. Clive Thexton</t>
  </si>
  <si>
    <t>978-0-8028-2603-9</t>
  </si>
  <si>
    <t>224.1 PAU e</t>
  </si>
  <si>
    <t>Eerdmans Critical Commentary - Isaiah 40-66</t>
  </si>
  <si>
    <t>978-0-8308-4220-9</t>
  </si>
  <si>
    <t>224.1 MOT i</t>
  </si>
  <si>
    <t>Tyndale Old Testament Commentaries (TOTC) Vol. 20 - Isaiah</t>
  </si>
  <si>
    <t>J. Alec Motyer</t>
  </si>
  <si>
    <t>224.1 MAU i</t>
  </si>
  <si>
    <t>Isaiah 1-39</t>
  </si>
  <si>
    <t>John Mauchline</t>
  </si>
  <si>
    <t>0-8028-0021-1</t>
  </si>
  <si>
    <t>224.1 KNI i</t>
  </si>
  <si>
    <t>International Theological Commentary Isaiah 56-66</t>
  </si>
  <si>
    <t>George A. F. Knight</t>
  </si>
  <si>
    <t>0-664-20984-x</t>
  </si>
  <si>
    <t>224.1 KAI i</t>
  </si>
  <si>
    <t>The Old Testament Library: Isaiah 13-39</t>
  </si>
  <si>
    <t>Otto Kaiser</t>
  </si>
  <si>
    <t>978-0-521-09766-6</t>
  </si>
  <si>
    <t>224.1 HER i</t>
  </si>
  <si>
    <t>The Cambridge Bible Commentary on the New English Bible - The Book of the Prophet Isaiah 1-39</t>
  </si>
  <si>
    <t>A. S. Herbert</t>
  </si>
  <si>
    <t>0-8028-1841-2</t>
  </si>
  <si>
    <t>224.1 CLE i</t>
  </si>
  <si>
    <t>The New Century Bible Commentary: Isaiah 1-39</t>
  </si>
  <si>
    <t>R. E. Clements</t>
  </si>
  <si>
    <t>978-0-8006-6039-0</t>
  </si>
  <si>
    <t>224.1 BAL h</t>
  </si>
  <si>
    <t>Hermeneia a Critical and Historical Commentary on the Bible  Deutero-Isaiah</t>
  </si>
  <si>
    <t>Klaus Baltzer</t>
  </si>
  <si>
    <t>978-0-8006-6080-2</t>
  </si>
  <si>
    <t>224.1 ROB h</t>
  </si>
  <si>
    <t>Hermeneia a Critical and Historical Commentary on the Bible First Isaiah</t>
  </si>
  <si>
    <t>J. J. M. Roberts</t>
  </si>
  <si>
    <t>0-8054-0142-3</t>
  </si>
  <si>
    <t>224 SMI n</t>
  </si>
  <si>
    <t>The New American Commentary (NAC) Vol. 19B - Amos, Obadiah &amp; Jonah</t>
  </si>
  <si>
    <t>Billy K. Smith Dkk</t>
  </si>
  <si>
    <t>224 MYE h</t>
  </si>
  <si>
    <t>The Layman's Bible Commentary: Volume 14 - The Book of Hosea, Joel, Amos, Obadiah, Jonah</t>
  </si>
  <si>
    <t>224 ISAc</t>
  </si>
  <si>
    <t>Comentario Biblico Beacon</t>
  </si>
  <si>
    <t>A. F. Harper, Ph.D., D.D.</t>
  </si>
  <si>
    <t>Beacon Hill Press</t>
  </si>
  <si>
    <t>224 HOW e</t>
  </si>
  <si>
    <t>The Layman's Bible Commentary: Volume 13 - The Book of Ezekiel, Daniel</t>
  </si>
  <si>
    <t>Carl G. Howie</t>
  </si>
  <si>
    <t>978-0-310-26893-2</t>
  </si>
  <si>
    <t>224 LON e</t>
  </si>
  <si>
    <t>The expositor's Bible Commentary Volume 8. Daniel-Malachi</t>
  </si>
  <si>
    <t>224 CAR i</t>
  </si>
  <si>
    <t>The Wesleyan Bible Commentary: Isaiah-Malachi Vol.III</t>
  </si>
  <si>
    <t>0-8267-0148-5</t>
  </si>
  <si>
    <t>223.9 OGD s</t>
  </si>
  <si>
    <t>A Handbook on Song Of Songs</t>
  </si>
  <si>
    <t>Graham S. Ogden Dkk</t>
  </si>
  <si>
    <t>978-0-8006-6024-6</t>
  </si>
  <si>
    <t>223.9 MUR h</t>
  </si>
  <si>
    <t>Hermeneia a Critical and Historical Commentary on the Bible - The Song of Song</t>
  </si>
  <si>
    <t>Roland E. Murphy O. Carm.</t>
  </si>
  <si>
    <t>978-0-8028-2543-8</t>
  </si>
  <si>
    <t>223.9 LON n</t>
  </si>
  <si>
    <t>(NICOT) Song of Songs</t>
  </si>
  <si>
    <t>Tremper Longman III</t>
  </si>
  <si>
    <t>978-0-8006-9507-1</t>
  </si>
  <si>
    <t>223.9 KEE s</t>
  </si>
  <si>
    <t>The Song of Songs a Continental Commentary</t>
  </si>
  <si>
    <t>Othmar Keel</t>
  </si>
  <si>
    <t>0-8499-0825-6</t>
  </si>
  <si>
    <t>223.9 GAR w</t>
  </si>
  <si>
    <t>Word Biblical Commentary  Song of Songs/ Lamentations - Vol. 23B</t>
  </si>
  <si>
    <t>Duane Garrett Dkk</t>
  </si>
  <si>
    <t>978-0-8308-4286-5</t>
  </si>
  <si>
    <t>223.9 DUG s</t>
  </si>
  <si>
    <t>Tyndale Old Testament Commentaries (TOTC) Vol. 19  - The Song Of Songs</t>
  </si>
  <si>
    <t>Iain M. Duguid</t>
  </si>
  <si>
    <t>223.9 CAR j</t>
  </si>
  <si>
    <t>The Wesleyan Bible Commentary: Job - Song of Solomon Vol.II</t>
  </si>
  <si>
    <t>Charles W. Carter</t>
  </si>
  <si>
    <t>0-8267-0121-3</t>
  </si>
  <si>
    <t>223.8 OGD e</t>
  </si>
  <si>
    <t>A Handbook on Ecclesiastes</t>
  </si>
  <si>
    <t>978-0-8028-2366-3</t>
  </si>
  <si>
    <t>223.8 LON n</t>
  </si>
  <si>
    <t>(NICOT) The Book of Ecclesiastes</t>
  </si>
  <si>
    <t>0-8006-9604-2</t>
  </si>
  <si>
    <t>223.8 LOH q</t>
  </si>
  <si>
    <t xml:space="preserve">Qoheleth A Continental Commentary </t>
  </si>
  <si>
    <t>Norbert Lohfink</t>
  </si>
  <si>
    <t>978-0-8006-6036-6</t>
  </si>
  <si>
    <t>223.8 KRU h</t>
  </si>
  <si>
    <t>Hermeneia a Critical and Historical Commentary on the Bible - Qoheleth</t>
  </si>
  <si>
    <t>Thomas Kruger</t>
  </si>
  <si>
    <t>223.8 BAR e</t>
  </si>
  <si>
    <t>The International Critical Commentary: Ecclesiastes</t>
  </si>
  <si>
    <t>George Aaron Barton, PH.D</t>
  </si>
  <si>
    <t>0-8028-0787-9</t>
  </si>
  <si>
    <t>223.7 WHY p</t>
  </si>
  <si>
    <t>The New Century Bible Commentary: Proverbs</t>
  </si>
  <si>
    <t>978-0-521-09679-9</t>
  </si>
  <si>
    <t xml:space="preserve">The Cambridge Bible Commentary on the New English Bible  - The Book of Proverbs </t>
  </si>
  <si>
    <t>978-0-8028-2776-0</t>
  </si>
  <si>
    <t>223.7 WAL n</t>
  </si>
  <si>
    <t>(NICOT) The Book of Proverbs Chapters 15-31</t>
  </si>
  <si>
    <t xml:space="preserve"> Bruce K. Waltke</t>
  </si>
  <si>
    <t>978-3-438-05277-3</t>
  </si>
  <si>
    <t>223.7 WAA b</t>
  </si>
  <si>
    <t>(BHQ) Biblia Hebraica Quinta Proverbs - Volume 17</t>
  </si>
  <si>
    <t>223.7 TOY p</t>
  </si>
  <si>
    <t>The International Critical Commentary: The Book of Proverbs</t>
  </si>
  <si>
    <t>Crawford H. Toy</t>
  </si>
  <si>
    <t>223.7 SCO p</t>
  </si>
  <si>
    <t>The Anchor Bible: Proverbs. Ecclesiastes</t>
  </si>
  <si>
    <t>R. B. Y. Scott</t>
  </si>
  <si>
    <t>0-8267-0120-5</t>
  </si>
  <si>
    <t>223.7 REY p</t>
  </si>
  <si>
    <t>A Handbook on Proverbs</t>
  </si>
  <si>
    <t>William D. Reyburn Dkk</t>
  </si>
  <si>
    <t>978-0-8499-0221-5</t>
  </si>
  <si>
    <t>223.7 MUR w</t>
  </si>
  <si>
    <t>Word Biblical Commentary Proverbs - Vol. 22</t>
  </si>
  <si>
    <t>Roland Murphy</t>
  </si>
  <si>
    <t>0-87784-266-3</t>
  </si>
  <si>
    <t>223.7 KID p</t>
  </si>
  <si>
    <t>Tyndale Old Testament Commentaries (TOTC) Vol. 15 - Proverbs</t>
  </si>
  <si>
    <t>978-0-310-23497-5</t>
  </si>
  <si>
    <t>223.2 LON e</t>
  </si>
  <si>
    <t>The Expositor's Bible Commentary Volume. 5  Psalms</t>
  </si>
  <si>
    <t>978-0-310-23498-2</t>
  </si>
  <si>
    <t>223.7 LON e</t>
  </si>
  <si>
    <t>The Expositor's Bible Commentary Volume. 6  Proverbs - Isaiah</t>
  </si>
  <si>
    <t>978-0-8028-2493-6</t>
  </si>
  <si>
    <t>223.2 WAL n</t>
  </si>
  <si>
    <t>(NICOT) The Book of Psalms</t>
  </si>
  <si>
    <t>Nancy deClaisse-Walford Dkk</t>
  </si>
  <si>
    <t>978-0-8028-2744-9</t>
  </si>
  <si>
    <t>223.2 TER e</t>
  </si>
  <si>
    <t>Eerdmans Critical Commentary - The Psalms Vol. 2</t>
  </si>
  <si>
    <t>Samuel Terrien</t>
  </si>
  <si>
    <t>978-0-8028-2743-2</t>
  </si>
  <si>
    <t>Eerdmans Critical Commentary - The Psalms Vol. 1</t>
  </si>
  <si>
    <t>978-0-8006-9503-3</t>
  </si>
  <si>
    <t>223.2 KRA p</t>
  </si>
  <si>
    <t>Psalms 1-59 a Continental Commentary</t>
  </si>
  <si>
    <t>978-0-8006-9504-0</t>
  </si>
  <si>
    <t>Psalms 60-150 a Continental Commentary</t>
  </si>
  <si>
    <t>0-87784-265-5</t>
  </si>
  <si>
    <t>223.2 KID p</t>
  </si>
  <si>
    <t>Tyndale Old Testament Commentaries (TOTC) Vol. 14b -  Psalms 73-150</t>
  </si>
  <si>
    <t>223.2 ZIM e</t>
  </si>
  <si>
    <t>Biblischer Kommentar Altes Testament: Ezechiel 25-48</t>
  </si>
  <si>
    <t>Walther Zimmerli</t>
  </si>
  <si>
    <t>Biblischer Kommentar Altes Testament: Ezechiel 1-24</t>
  </si>
  <si>
    <t>978-0-8006-6061-7</t>
  </si>
  <si>
    <t>223.2 HOS h</t>
  </si>
  <si>
    <t>Hermeneia a Critical and Historical Commentary on the Bible - Psalms 2</t>
  </si>
  <si>
    <t>Frank Lothar Hossfeld Dkk</t>
  </si>
  <si>
    <t>223.2 DAH p</t>
  </si>
  <si>
    <t>The Anchor Bible: Psalms I (Pasal 1-50)</t>
  </si>
  <si>
    <t>Mitchell Dahood, S.J.</t>
  </si>
  <si>
    <t>0-8499-0218-5</t>
  </si>
  <si>
    <t>223.2 CRA w</t>
  </si>
  <si>
    <t>Word Biblical Commentary Psalms 1-50 - Vol.19</t>
  </si>
  <si>
    <t>Peter C. Craigie</t>
  </si>
  <si>
    <t>223.2 BRI p</t>
  </si>
  <si>
    <t>The International Critical Community: Psalms. Volume II</t>
  </si>
  <si>
    <t>Charles Augustus Briggs Dkk</t>
  </si>
  <si>
    <t>0-8267-0119-1</t>
  </si>
  <si>
    <t>A Handbook on Psalms</t>
  </si>
  <si>
    <t>0-8028-1866-8</t>
  </si>
  <si>
    <t>223.2 AND p</t>
  </si>
  <si>
    <t>The New Century Bible Commentary: Psalms (73-150). Volume. II</t>
  </si>
  <si>
    <t>A. A. Anderson</t>
  </si>
  <si>
    <t>0-8028-1865-x</t>
  </si>
  <si>
    <t>The New Century Bible Commentary: Psalms (1-72). Volume I</t>
  </si>
  <si>
    <t>The International Critical Commentary: Psalms. Volume I</t>
  </si>
  <si>
    <t>978-0-393-06226-7</t>
  </si>
  <si>
    <t>223.2 ALT b</t>
  </si>
  <si>
    <t>The Book of Psalms a Translation with Commentary</t>
  </si>
  <si>
    <t>Robert Alter</t>
  </si>
  <si>
    <t>W. W. Norton &amp; Company</t>
  </si>
  <si>
    <t>0-7852-4773-4</t>
  </si>
  <si>
    <t>223.2 ALL w</t>
  </si>
  <si>
    <t>Word Biblical Commentary Psalms 101-150 - Vol. 21</t>
  </si>
  <si>
    <t>Leslie C. Allen</t>
  </si>
  <si>
    <t>0-8164-0285-x</t>
  </si>
  <si>
    <t>223.1'924 EWI j</t>
  </si>
  <si>
    <t>Job: Vision of God</t>
  </si>
  <si>
    <t>Ward B. Ewing</t>
  </si>
  <si>
    <t>978-0-8028-4895-6</t>
  </si>
  <si>
    <t>223.1 SEO j</t>
  </si>
  <si>
    <t>JOB 1-21  Interpretation and Commentary</t>
  </si>
  <si>
    <t>0-8028-2362-7</t>
  </si>
  <si>
    <t>223.1 HAR n</t>
  </si>
  <si>
    <t>(NICOT) The Book of Job</t>
  </si>
  <si>
    <t>John E. Hartley</t>
  </si>
  <si>
    <t>0-8028-1838-2</t>
  </si>
  <si>
    <t>223.1 ROW j</t>
  </si>
  <si>
    <t>The New Century Bible Commentary: The Book of Job</t>
  </si>
  <si>
    <t>H. H. Rowley</t>
  </si>
  <si>
    <t>0-8267-0117-5</t>
  </si>
  <si>
    <t>223.1 REY j</t>
  </si>
  <si>
    <t>A Handbook on The Book of Job</t>
  </si>
  <si>
    <t>0-664-22218-8</t>
  </si>
  <si>
    <t>223.1 HAB o</t>
  </si>
  <si>
    <t>The Old Testament Library - The Book of Job</t>
  </si>
  <si>
    <t>Westminster Press</t>
  </si>
  <si>
    <t>0-521-20653-7</t>
  </si>
  <si>
    <t>223.1 HAB j</t>
  </si>
  <si>
    <t>The Cambridge Bible Commentary on the New English Bible  - The Book of Job</t>
  </si>
  <si>
    <t>978-0-7852-5267-2</t>
  </si>
  <si>
    <t>223.1 CLI w</t>
  </si>
  <si>
    <t xml:space="preserve">Word Biblical Commentary Job 38-42 - Vol. 18 B </t>
  </si>
  <si>
    <t>David J. A. Clines</t>
  </si>
  <si>
    <t>978-0-8499-0217-8</t>
  </si>
  <si>
    <t>Word Biblical Commentary Job 21-37 - Vol. 18 A</t>
  </si>
  <si>
    <t>223.1 BRI j</t>
  </si>
  <si>
    <t>The International Critical Commentary: The Book of Job</t>
  </si>
  <si>
    <t xml:space="preserve">Samuel Rolles Driver, D.D </t>
  </si>
  <si>
    <t>0-87784-263-9</t>
  </si>
  <si>
    <t>223.1 AND j</t>
  </si>
  <si>
    <t>Tyndale Old Testament Commentaries (TOTC) Vol. 13 -  Job</t>
  </si>
  <si>
    <t>Francis I. Anderson</t>
  </si>
  <si>
    <t>0-8054-0114-8</t>
  </si>
  <si>
    <t>223.077 GAR n</t>
  </si>
  <si>
    <t>The New American Commentary (NAC) Vol.14 - Proverbs, Ecclesiastes &amp; Song of Songs</t>
  </si>
  <si>
    <t>Duane A. Garrett</t>
  </si>
  <si>
    <t>0-8499-0219-3</t>
  </si>
  <si>
    <t>223.2 TAT w</t>
  </si>
  <si>
    <t>Word Biblical Commentary  Psalms 51-100 - Vol. 20</t>
  </si>
  <si>
    <t>Marvin E. Tate</t>
  </si>
  <si>
    <t>222.9 PAT e</t>
  </si>
  <si>
    <t>The International Critical Commentary: The Book of Esther</t>
  </si>
  <si>
    <t>Lewis Bayles Paton</t>
  </si>
  <si>
    <t>222.9 MOO e</t>
  </si>
  <si>
    <t>The Anchor Bible: Esther</t>
  </si>
  <si>
    <t>0-521-08614-0</t>
  </si>
  <si>
    <t>222.8 SHO a</t>
  </si>
  <si>
    <t>The Cambridge Bible Commentary on the New English Bible - The Shorter Books of the Apocrypha</t>
  </si>
  <si>
    <t>J. C. Dancy</t>
  </si>
  <si>
    <t>0-8028-2356-4</t>
  </si>
  <si>
    <t>222.7 WOU n</t>
  </si>
  <si>
    <t>(NICOT) The Books of Joshua</t>
  </si>
  <si>
    <t>M.H. Woudstra</t>
  </si>
  <si>
    <t>978-3-438-05280-3</t>
  </si>
  <si>
    <t>222.78 MAR b</t>
  </si>
  <si>
    <t>(BHQ) Biblia Hebraica Quinta Ezra and Nehemiah - Volume 20</t>
  </si>
  <si>
    <t>David Marcus</t>
  </si>
  <si>
    <t>0-8499-0215-0</t>
  </si>
  <si>
    <t>222.78 WIL w</t>
  </si>
  <si>
    <t>Word Biblical Commentary  Ezra &amp; Nehemiah - Vol. 16</t>
  </si>
  <si>
    <t>H.G.M. Williamson</t>
  </si>
  <si>
    <t>222.7 MYE e</t>
  </si>
  <si>
    <t>The Anchor Bible: Ezra, Nehemiah</t>
  </si>
  <si>
    <t>0-385-01259-4</t>
  </si>
  <si>
    <t>222.63 MYE c</t>
  </si>
  <si>
    <t>The Anchor Bible: 1 Chronicles</t>
  </si>
  <si>
    <t>978-0-8499-0213-0</t>
  </si>
  <si>
    <t>222.63 BRA w</t>
  </si>
  <si>
    <t>Word Biblical Commentary 1 Chronicles - Vol. 14</t>
  </si>
  <si>
    <t>Roddy Braun</t>
  </si>
  <si>
    <t>0-8028-1925-7</t>
  </si>
  <si>
    <t>222.6 WIL c</t>
  </si>
  <si>
    <t>The New Century Bible Commentarty: 1 and 2 Chronicles</t>
  </si>
  <si>
    <t>0-385-05778-4</t>
  </si>
  <si>
    <t>222.6 MYE c</t>
  </si>
  <si>
    <t>The Anchor Bible: II Chronicles</t>
  </si>
  <si>
    <t>The Anchor Bible: I Chronicles</t>
  </si>
  <si>
    <t>222.6 CUR i</t>
  </si>
  <si>
    <t>(ICC) The Books of Chronicles</t>
  </si>
  <si>
    <t>Edward Lewis Curtis</t>
  </si>
  <si>
    <t>0-8499-0212-6</t>
  </si>
  <si>
    <t>222.54 HOB w</t>
  </si>
  <si>
    <t>Word Biblical Commentary 2 Kings - Vol.13</t>
  </si>
  <si>
    <t>T.R. Hobbs</t>
  </si>
  <si>
    <t>1-871828-06-6</t>
  </si>
  <si>
    <t>222.53 RIC k</t>
  </si>
  <si>
    <t>International Theological Commentary 1 Kings</t>
  </si>
  <si>
    <t>Gene Rice</t>
  </si>
  <si>
    <t>0-8499-0211-8</t>
  </si>
  <si>
    <t>222.53 DEV w</t>
  </si>
  <si>
    <t>Word Biblical Commentary 1 Kings - Vol.12</t>
  </si>
  <si>
    <t>Simon J. Devries</t>
  </si>
  <si>
    <t>222.5 MON k</t>
  </si>
  <si>
    <t xml:space="preserve">The International Critical Commentary: The Books of Kings </t>
  </si>
  <si>
    <t>James A. Montgomery</t>
  </si>
  <si>
    <t>0-8028-0040-8</t>
  </si>
  <si>
    <t>222.5 JON k</t>
  </si>
  <si>
    <t>The New Century Bible Commentary: 1 and 2 King's, Volume II</t>
  </si>
  <si>
    <t>Gwilym H. Jones</t>
  </si>
  <si>
    <t>0-664-20898-3</t>
  </si>
  <si>
    <t>222.5 GRA k</t>
  </si>
  <si>
    <t>The Old Testament Library: I &amp; II Kings</t>
  </si>
  <si>
    <t>John Gray</t>
  </si>
  <si>
    <t>978-0-567-67085-4</t>
  </si>
  <si>
    <t xml:space="preserve">1&amp;2 Kings History and Story in Ancient Israel </t>
  </si>
  <si>
    <t>Lester L. Grabbe</t>
  </si>
  <si>
    <t>0-8006-9530-51</t>
  </si>
  <si>
    <t>222.5 FRI k</t>
  </si>
  <si>
    <t>1 &amp; 2 Kings a Continental Commentary</t>
  </si>
  <si>
    <t>Volkmar Fritz</t>
  </si>
  <si>
    <t>978-1-78359-031-5</t>
  </si>
  <si>
    <t>222.5 BEA a</t>
  </si>
  <si>
    <t xml:space="preserve">(AOTC) Apollos Old Testament Commentary 1 &amp; 2 Kings </t>
  </si>
  <si>
    <t xml:space="preserve">Lissa M. Wray Beal </t>
  </si>
  <si>
    <t>0-8499-0210</t>
  </si>
  <si>
    <t>222.44 AND w</t>
  </si>
  <si>
    <t>Word Biblical Commentary  2 Samuel - Vol.11</t>
  </si>
  <si>
    <t>978-0-8028-2359-5</t>
  </si>
  <si>
    <t>222.43 TSU n</t>
  </si>
  <si>
    <t>(NICOT) The First Book of Samuel</t>
  </si>
  <si>
    <t>David Toshio Tsumura</t>
  </si>
  <si>
    <t>978-0-8499-0209-3</t>
  </si>
  <si>
    <t>222.43 KLE w</t>
  </si>
  <si>
    <t>Word Biblical Commentary 1 Samuel - Vol.10</t>
  </si>
  <si>
    <t xml:space="preserve">Ralph W. Klein </t>
  </si>
  <si>
    <t>0-521-07965-9</t>
  </si>
  <si>
    <t>222.43 ACK s</t>
  </si>
  <si>
    <t>The Cambridge Bible Commentary on the New English Bible - The First Book  of Samuel</t>
  </si>
  <si>
    <t>Peter R. Ackroyd</t>
  </si>
  <si>
    <t>The University Press</t>
  </si>
  <si>
    <t>222.4 SMI s</t>
  </si>
  <si>
    <t>The International Critical Commentary: The Books of Samuel</t>
  </si>
  <si>
    <t>Henry Preserved Smith</t>
  </si>
  <si>
    <t>222.44 MCC s</t>
  </si>
  <si>
    <t>The Anchor Bible: 2 Samuel - Volume 9</t>
  </si>
  <si>
    <t>P. Kyle McCarter, JR.</t>
  </si>
  <si>
    <t>0-385-06760-7</t>
  </si>
  <si>
    <t>222.43 MCC s</t>
  </si>
  <si>
    <t>The Anchor Bible: 1 Samuel - Volume 8</t>
  </si>
  <si>
    <t>978-0-664-22318-4</t>
  </si>
  <si>
    <t>222.4 HER o</t>
  </si>
  <si>
    <t>The Old Testament Library I &amp; II Samuel</t>
  </si>
  <si>
    <t>Hans Wilhelm Hertzberg</t>
  </si>
  <si>
    <t>0-8028-2358-0</t>
  </si>
  <si>
    <t>222.3 HUB n</t>
  </si>
  <si>
    <t>(NICOT) The Book of Ruth</t>
  </si>
  <si>
    <t>Robert L. Hubbard, Jr.</t>
  </si>
  <si>
    <t>2-85300-792-8</t>
  </si>
  <si>
    <t>222.35 WAA r</t>
  </si>
  <si>
    <t>Auxiliaires Du Traducteur: Manuel Du Traducteur Pour Le Livre De Ruth</t>
  </si>
  <si>
    <t>Jan De Waar Dkk</t>
  </si>
  <si>
    <t>0-385-05316-9</t>
  </si>
  <si>
    <t>222.35 CAM r</t>
  </si>
  <si>
    <t>The Anchor Bible: Ruth</t>
  </si>
  <si>
    <t>Edward F. Campbell, Jr.</t>
  </si>
  <si>
    <t>0-8006-9515-1</t>
  </si>
  <si>
    <t>222.35 LAC r</t>
  </si>
  <si>
    <t>Ruth a Continental Commentary</t>
  </si>
  <si>
    <t>Andre La Cocque</t>
  </si>
  <si>
    <t>978-0-8499-0208-6</t>
  </si>
  <si>
    <t>222.35 BUS w</t>
  </si>
  <si>
    <t>Word Biblical Commentary Ruth/Esther - Vol.9</t>
  </si>
  <si>
    <t xml:space="preserve">Frederic Bush </t>
  </si>
  <si>
    <t>978-0-8028-2628-2</t>
  </si>
  <si>
    <t>222.32 WEB n</t>
  </si>
  <si>
    <t>(NICOT) The Book of Judges</t>
  </si>
  <si>
    <t>Barry G. Webb</t>
  </si>
  <si>
    <t>978-0-8499-0207-9</t>
  </si>
  <si>
    <t>222.32 BUT w</t>
  </si>
  <si>
    <t>Word Biblical Commentary Judges - Vol.8</t>
  </si>
  <si>
    <t xml:space="preserve">Trent Butler </t>
  </si>
  <si>
    <t>0-385-01029-x</t>
  </si>
  <si>
    <t>222.32 BOL j</t>
  </si>
  <si>
    <t>The Anchor Bible: Judges</t>
  </si>
  <si>
    <t>Robert G. Boling</t>
  </si>
  <si>
    <t>0-664-21368-5</t>
  </si>
  <si>
    <t>222.3 SOG o</t>
  </si>
  <si>
    <t>The Old Testament Library Judges</t>
  </si>
  <si>
    <t>J. Alberto Soggin</t>
  </si>
  <si>
    <t>978-0-8054-0106-6</t>
  </si>
  <si>
    <t>222.3 BLO n</t>
  </si>
  <si>
    <t>The New American Commentary (NAC) Vol. 6 - Judges, Ruth</t>
  </si>
  <si>
    <t>0-8028-1041-1</t>
  </si>
  <si>
    <t>222.207 HAM j</t>
  </si>
  <si>
    <t>International  Theological Commentary Joshua</t>
  </si>
  <si>
    <t>E. John Hamlin</t>
  </si>
  <si>
    <t>978-0-8308-2506-6</t>
  </si>
  <si>
    <t>222.2 PIT a</t>
  </si>
  <si>
    <t>(AOTC) Apollos Old Testament Commentary Joshua</t>
  </si>
  <si>
    <t>Pekka M. A. Pitkanen</t>
  </si>
  <si>
    <t>0-664-22666-3</t>
  </si>
  <si>
    <t>222.2 NEL o</t>
  </si>
  <si>
    <t>The Old Testament Library - Joshua</t>
  </si>
  <si>
    <t>Richard D. Nelson</t>
  </si>
  <si>
    <t>978-0-8499-0206-2</t>
  </si>
  <si>
    <t>222.2 BUT w</t>
  </si>
  <si>
    <t>Word Biblical Commentary Joshua - Vol.7</t>
  </si>
  <si>
    <t xml:space="preserve">Trent C. Butler </t>
  </si>
  <si>
    <t>0-8267-0105-1</t>
  </si>
  <si>
    <t>222.2 BRA j</t>
  </si>
  <si>
    <t>Helps for Translators: A Translator's Handbook on The Book of Joshua</t>
  </si>
  <si>
    <t>0-385-00034-0</t>
  </si>
  <si>
    <t>222.2 BOL j</t>
  </si>
  <si>
    <t>The Anchor Bible: Joshua - Volume 6</t>
  </si>
  <si>
    <t>0-8028-2355-6</t>
  </si>
  <si>
    <t>222.15 CRA n</t>
  </si>
  <si>
    <t xml:space="preserve">The New International Commentary on The Old Testament - The Book of Deuteronomy </t>
  </si>
  <si>
    <t>P.C. Craigie</t>
  </si>
  <si>
    <t>0-664-22745-7</t>
  </si>
  <si>
    <t>222.11 RAD g</t>
  </si>
  <si>
    <t>The Old Testament Library - Genesis (Revised Edition)</t>
  </si>
  <si>
    <t>Gerhard Von Rad</t>
  </si>
  <si>
    <t>222.15 RAD d</t>
  </si>
  <si>
    <t>The Old Testament Library - Deuteronomy</t>
  </si>
  <si>
    <t>978-0-85111-779-9</t>
  </si>
  <si>
    <t>222.15 MCC a</t>
  </si>
  <si>
    <t xml:space="preserve">(AOTC) Apollos Old Testament Commentary Deuteronomy </t>
  </si>
  <si>
    <t>J. G. McConville</t>
  </si>
  <si>
    <t>0-551-00895-4</t>
  </si>
  <si>
    <t>222.15 MAY d</t>
  </si>
  <si>
    <t>The New Century Bible Commentary: Deuteronomy</t>
  </si>
  <si>
    <t xml:space="preserve">A.D.H. Mayes </t>
  </si>
  <si>
    <t>3-7887-0521-3</t>
  </si>
  <si>
    <t>222.15 ELL d</t>
  </si>
  <si>
    <t>Biblischer Kommentar-Altes Testament Deuterojesaja.Vol. XI Cetakanke-6</t>
  </si>
  <si>
    <t>130 (401-531)</t>
  </si>
  <si>
    <t>Karl Elliger</t>
  </si>
  <si>
    <t>222.15 DRI d</t>
  </si>
  <si>
    <t>The International Critical Commentary: Deuteronomy</t>
  </si>
  <si>
    <t xml:space="preserve">Rev. S. R. Driver, D.D </t>
  </si>
  <si>
    <t>978-0-8054-0115-8</t>
  </si>
  <si>
    <t>224.1 SMI n</t>
  </si>
  <si>
    <t>New International Version - The New American Commentary (NAC) Vol. 15A -  Isaiah 1-39</t>
  </si>
  <si>
    <t>Gary V. Smith</t>
  </si>
  <si>
    <t>978-0-8499-1032-6</t>
  </si>
  <si>
    <t>222.15 CHR w</t>
  </si>
  <si>
    <t>Word Biblical Commentary  Deuteronomy 21:10-34:12 - Vol.6B</t>
  </si>
  <si>
    <t xml:space="preserve">Duane L. Christensen </t>
  </si>
  <si>
    <t>978-3-438-05265-0</t>
  </si>
  <si>
    <t>222.15 MCC b</t>
  </si>
  <si>
    <t>(BHQ) Biblia Hebraica Quinta Deuteronomy - Volume 5</t>
  </si>
  <si>
    <t>Carmel McCarthy</t>
  </si>
  <si>
    <t>978-0-310-23494-4</t>
  </si>
  <si>
    <t>222.14-35  LON  e</t>
  </si>
  <si>
    <t>The Expositor's Bible Commentary  Volume  2  Number - Ruth</t>
  </si>
  <si>
    <t>0-85111-836-4</t>
  </si>
  <si>
    <t>222.14 WEN n</t>
  </si>
  <si>
    <t>Tyndale Old Testament Commentary (TOTC) Vol. 4 - Number</t>
  </si>
  <si>
    <t>Gordon J. Wenham</t>
  </si>
  <si>
    <t>978-0-521-09776-2</t>
  </si>
  <si>
    <t>222.14 STU n</t>
  </si>
  <si>
    <t>The Cambridge Bible Commentary on the New English Bible - Numbers</t>
  </si>
  <si>
    <t>John Sturdy</t>
  </si>
  <si>
    <t>978-0-8028-4126-0</t>
  </si>
  <si>
    <t>222.14 SAK n</t>
  </si>
  <si>
    <t>International Theological Commentary (ITC) - Numbers</t>
  </si>
  <si>
    <t>Katharine Doob Sakenfeld</t>
  </si>
  <si>
    <t>222.14 GRA n</t>
  </si>
  <si>
    <t>The International Critical Commentary: Numbers</t>
  </si>
  <si>
    <t xml:space="preserve">George Buchanan Gray </t>
  </si>
  <si>
    <t>0-8499-0204-5</t>
  </si>
  <si>
    <t>222.14 BUD w</t>
  </si>
  <si>
    <t>Word Biblical Commentary  Number - Vol.5</t>
  </si>
  <si>
    <t>Philip J. Budd</t>
  </si>
  <si>
    <t>978-0-8028-2523-0</t>
  </si>
  <si>
    <t>222.14 ASH n</t>
  </si>
  <si>
    <t>(NICOT) The Book of Numbers</t>
  </si>
  <si>
    <t>Timothy R. Ashley</t>
  </si>
  <si>
    <t>978-0-8308-4284-1</t>
  </si>
  <si>
    <t>222.1 SKL l</t>
  </si>
  <si>
    <t>Tyndale Old Testament Commentaries (TOTC) Vol. 3 -  Leviticus</t>
  </si>
  <si>
    <t>Jay Sklar</t>
  </si>
  <si>
    <t>978-0-521-09773-4</t>
  </si>
  <si>
    <t>222.13 POR l</t>
  </si>
  <si>
    <t>The Cambridge Bible Commentary on the New English Bible  - Leviticus</t>
  </si>
  <si>
    <t>J. R. Porter</t>
  </si>
  <si>
    <t>3-438-07241-6</t>
  </si>
  <si>
    <t>222.13 PET a</t>
  </si>
  <si>
    <t>Auxiliaires Du Traducteur Manuel Du Traducteur Pour Le Livre Du Levitique</t>
  </si>
  <si>
    <t xml:space="preserve">Par Rene Peter- Contesse </t>
  </si>
  <si>
    <t>4b</t>
  </si>
  <si>
    <t>978-0-8006-9514-9</t>
  </si>
  <si>
    <t>222.13 MIL l</t>
  </si>
  <si>
    <t>Leviticus a Continental Commentary</t>
  </si>
  <si>
    <t xml:space="preserve">Jacob Milgrom </t>
  </si>
  <si>
    <t>978-0-8308-2503-5</t>
  </si>
  <si>
    <t>222.13 KIU a</t>
  </si>
  <si>
    <t>(AOTC) Apollos Old Testament Commentary Leviticus</t>
  </si>
  <si>
    <t>Nobuyoshi Kiuchi</t>
  </si>
  <si>
    <t>978-0-8499-0203-1</t>
  </si>
  <si>
    <t>222.13 HAR w</t>
  </si>
  <si>
    <t>Word Biblical Commentary Leviticus - Vol.4</t>
  </si>
  <si>
    <t xml:space="preserve">John E. Hartley </t>
  </si>
  <si>
    <t>0-87784-253-1</t>
  </si>
  <si>
    <t>222.13 HAR l</t>
  </si>
  <si>
    <t>R. K. Harrison</t>
  </si>
  <si>
    <t>978-0-8028-0110-2</t>
  </si>
  <si>
    <t>222.13 GOR d</t>
  </si>
  <si>
    <t>International Theological Commentary - Leviticus</t>
  </si>
  <si>
    <t>Frank H. Gorman Jr.</t>
  </si>
  <si>
    <t>978-0-664-22673-6</t>
  </si>
  <si>
    <t>222.13 GER o</t>
  </si>
  <si>
    <t>The Old Testament Library - Leviticus</t>
  </si>
  <si>
    <t>Erhard S. Gerstenberger</t>
  </si>
  <si>
    <t>0-8267-0102-7</t>
  </si>
  <si>
    <t>222.13 CON l</t>
  </si>
  <si>
    <t>Helps for Translators: A Transaltor's Handbook on Leviticus</t>
  </si>
  <si>
    <t>Rene Peter- Contesse Dkk</t>
  </si>
  <si>
    <t>3-7887-0421-7</t>
  </si>
  <si>
    <t>222.12 SCH e</t>
  </si>
  <si>
    <t>Biblischer Kommentar-Altes Testament-Exodus Vo.II Cetakan ke-2</t>
  </si>
  <si>
    <t>79 (81-160)</t>
  </si>
  <si>
    <t>Werner H. Schmidt</t>
  </si>
  <si>
    <t>0-8028-1844-7</t>
  </si>
  <si>
    <t>222.12 PHI e</t>
  </si>
  <si>
    <t>The New Century Bible Commentary: Exodus</t>
  </si>
  <si>
    <t>J. Philip Hyatt</t>
  </si>
  <si>
    <t>0-8267-0101-9</t>
  </si>
  <si>
    <t xml:space="preserve">222.12 OSB </t>
  </si>
  <si>
    <t>A Handbook On Exodus</t>
  </si>
  <si>
    <t>Noel D. Osborn dan Howard A. Hatton</t>
  </si>
  <si>
    <t>978-0-8028-2617-6</t>
  </si>
  <si>
    <t>222.12 DOZ e</t>
  </si>
  <si>
    <t xml:space="preserve">Eerdmans Critical Commentary - Exodus </t>
  </si>
  <si>
    <t xml:space="preserve">Thomas B. Dozeman </t>
  </si>
  <si>
    <t>978-0-521-09656-0</t>
  </si>
  <si>
    <t>222.12 CLE e</t>
  </si>
  <si>
    <t>The Cambridge Bible Commentary on the New English Bible - Exodus</t>
  </si>
  <si>
    <t>Ronald E. Clements</t>
  </si>
  <si>
    <t>0-664-22968-9</t>
  </si>
  <si>
    <t>222.12 CHI o</t>
  </si>
  <si>
    <t>The Old Testament Library - The Book of Exodus</t>
  </si>
  <si>
    <t>Brevard S. Childs</t>
  </si>
  <si>
    <t>978-0-8028-1332-8</t>
  </si>
  <si>
    <t>222.12 ASH e</t>
  </si>
  <si>
    <t>International Theological Commentary - Exodus</t>
  </si>
  <si>
    <t>Godfrey Ashby</t>
  </si>
  <si>
    <t>978-0-8308-2502-8</t>
  </si>
  <si>
    <t>222.12 ALE a</t>
  </si>
  <si>
    <t xml:space="preserve">(AOTC) Apollos Old Testament Commentary Exodus </t>
  </si>
  <si>
    <t>T. Desmond Alexander</t>
  </si>
  <si>
    <t>IVP</t>
  </si>
  <si>
    <t>0-8028-2308-4</t>
  </si>
  <si>
    <t>222.1 HAM n</t>
  </si>
  <si>
    <t>(NICOT) The Book of Genesis. Chapters 1-17</t>
  </si>
  <si>
    <t>Victor P. Hamilton</t>
  </si>
  <si>
    <t>3-7887-0544-2</t>
  </si>
  <si>
    <t>222.11 WES g</t>
  </si>
  <si>
    <t>Biblischer Kommentar-Altes Testament-Genesis. Vol.I. Cetakan ke-14</t>
  </si>
  <si>
    <t>79 (241-320)</t>
  </si>
  <si>
    <t>Biblischer Kommentar-Altes Testament-Genesis. Vol.I. Cetakan ke-13</t>
  </si>
  <si>
    <t>79 (161-240)</t>
  </si>
  <si>
    <t>Biblischer Kommentar-Altes Testament-Genesis. Vol.I. Cetakan ke-12</t>
  </si>
  <si>
    <t>Biblischer Kommentar-Altes Testament Genesis. Vol. I. Cetakan ke-11</t>
  </si>
  <si>
    <t>978-0-8499-0200-0</t>
  </si>
  <si>
    <t>222.11 WEN w</t>
  </si>
  <si>
    <t>Word Biblical Commentary  Genesis 1-15 - Vol.1</t>
  </si>
  <si>
    <t xml:space="preserve">Gordon J. Wenham </t>
  </si>
  <si>
    <t>978-0-8499-0201-7</t>
  </si>
  <si>
    <t>Word Biblical Commentary  Genesis 16-50 - Vol.2</t>
  </si>
  <si>
    <t xml:space="preserve">Gordon Wenham </t>
  </si>
  <si>
    <t>978-3 -438-05261-2</t>
  </si>
  <si>
    <t>222.11 TAL b</t>
  </si>
  <si>
    <t>(BHQ) Biblia Hebraica Quinta Genesis - Volume 1</t>
  </si>
  <si>
    <t>Abraham Tal</t>
  </si>
  <si>
    <t>0-87784-251-5</t>
  </si>
  <si>
    <t>222.11 KID g</t>
  </si>
  <si>
    <t>Tyndale Old Testament Commentaries (TOTC) Vol. 1 -  Genesis</t>
  </si>
  <si>
    <t>978-0-8028-0148-X</t>
  </si>
  <si>
    <t>222.11 JAN g</t>
  </si>
  <si>
    <t>International Theological Commentary  - Genesis 12-50</t>
  </si>
  <si>
    <t>Edinburgh</t>
  </si>
  <si>
    <t>J. Gerald Janzen</t>
  </si>
  <si>
    <t>Eerdmans/Handsel</t>
  </si>
  <si>
    <t>978-0-8028-2309-0</t>
  </si>
  <si>
    <t>222.11 HAM n</t>
  </si>
  <si>
    <t>(NICOT) The Book of Genesis 18-50</t>
  </si>
  <si>
    <t>0-8042-3002-x</t>
  </si>
  <si>
    <t>222.11 FRI g</t>
  </si>
  <si>
    <t>The Layman's Bible Commentary: Volume 2 - The Book of Genesis</t>
  </si>
  <si>
    <t>Charles T. Fritsch</t>
  </si>
  <si>
    <t>978-0-521-29520-8</t>
  </si>
  <si>
    <t>222.11 DAV g</t>
  </si>
  <si>
    <t>The Cambridge Bible Commentary on the New English Bible  - Genesis 12 - 50</t>
  </si>
  <si>
    <t>Robert Davidson</t>
  </si>
  <si>
    <t>978-0-521-09760-6</t>
  </si>
  <si>
    <t>The Cambridge Bible Commentary on the New English Bible - Genesis 1 - 11</t>
  </si>
  <si>
    <t>R. Davidson</t>
  </si>
  <si>
    <t>0-8028-2362-9</t>
  </si>
  <si>
    <t>222.7 FEN n</t>
  </si>
  <si>
    <t>The New International Commentary on The Old Testament - The Books of Ezra and Nehemiah</t>
  </si>
  <si>
    <t>F. Charles Fensham</t>
  </si>
  <si>
    <t>222.1 JEW t</t>
  </si>
  <si>
    <t xml:space="preserve">The Torah </t>
  </si>
  <si>
    <t>Jewish</t>
  </si>
  <si>
    <t>Society of America</t>
  </si>
  <si>
    <t>222.1 SKI g</t>
  </si>
  <si>
    <t>The International Critical Commentary: Genesis</t>
  </si>
  <si>
    <t>John Skinner, D.D</t>
  </si>
  <si>
    <t>0-8267-0298-8</t>
  </si>
  <si>
    <t>222.1 PEA h</t>
  </si>
  <si>
    <t>Helps For Translators A Translator's Guide to Selections from the First Five Books of The Old Testament</t>
  </si>
  <si>
    <t>Heber F. Peacock</t>
  </si>
  <si>
    <t>222.1 HEN t</t>
  </si>
  <si>
    <t>Tafsiran Matthew Henry - Kitab Keluaran, Imamat</t>
  </si>
  <si>
    <t>978-0-8028-0337-7</t>
  </si>
  <si>
    <t>222.11 GOW g</t>
  </si>
  <si>
    <t>International Theological Commentary - Genesis 1-11</t>
  </si>
  <si>
    <t>Donald E. Gowan</t>
  </si>
  <si>
    <t>0-551-01215-3</t>
  </si>
  <si>
    <t>222 GRA j</t>
  </si>
  <si>
    <t>The New Century Bible Commentary: Joshua, Judges, Ruth</t>
  </si>
  <si>
    <t>0-8028-0017-3</t>
  </si>
  <si>
    <t>222 CLI e</t>
  </si>
  <si>
    <t>The New Century Bible Commentary: Ezra, Nehemiah, Esther</t>
  </si>
  <si>
    <t>D. J. A. Clines</t>
  </si>
  <si>
    <t>222 BAT e</t>
  </si>
  <si>
    <t>The International Critical Commentary: The Books of Ezra and Nehemiah</t>
  </si>
  <si>
    <t>Loring W. Batten</t>
  </si>
  <si>
    <t>0-06-460057-2</t>
  </si>
  <si>
    <t>221.9 BUC t</t>
  </si>
  <si>
    <t xml:space="preserve">The Bible as Literature The New Testament </t>
  </si>
  <si>
    <t>New York</t>
  </si>
  <si>
    <t>Buckner B. Trawick</t>
  </si>
  <si>
    <t>3-438-05219-9</t>
  </si>
  <si>
    <t>221.44 KIT b</t>
  </si>
  <si>
    <t>Biblia Hebraica Stuttgartensia</t>
  </si>
  <si>
    <t>Ibrani</t>
  </si>
  <si>
    <t>R. Kittel Dkk</t>
  </si>
  <si>
    <t>0-8010-6714-6</t>
  </si>
  <si>
    <t>221.4'4 OWE a</t>
  </si>
  <si>
    <t>Analytical Key to The Old Testament. Vol.1 Genesis-Joshua</t>
  </si>
  <si>
    <t>John Joseph Owens</t>
  </si>
  <si>
    <t>0-8024-8631-2 (set)</t>
  </si>
  <si>
    <t>221.4 HAR t</t>
  </si>
  <si>
    <t>Theological Wordbook of the Old Testament</t>
  </si>
  <si>
    <t>R. Laird Harris</t>
  </si>
  <si>
    <t>Moody Press, Chicago</t>
  </si>
  <si>
    <t>0-8267-0111-6</t>
  </si>
  <si>
    <t>221.35 WAA r</t>
  </si>
  <si>
    <t>A Handbook on: The Book of Ruth</t>
  </si>
  <si>
    <t>Jan de Waard Dkk</t>
  </si>
  <si>
    <t>978-3-438-05122-6</t>
  </si>
  <si>
    <t>221.04 KRA s</t>
  </si>
  <si>
    <t>Septuaginta Deutsch</t>
  </si>
  <si>
    <t>Wolfgang Kraus Dkk</t>
  </si>
  <si>
    <t>979-415-815-1</t>
  </si>
  <si>
    <t>221 LAS p</t>
  </si>
  <si>
    <t>Pengantar Perjanjian Lama 1 (Taurat dan Sejarah)</t>
  </si>
  <si>
    <t>W. S. Lasor, D. A. Hubbard &amp; F. W. Bush</t>
  </si>
  <si>
    <t>0-521-20651-0</t>
  </si>
  <si>
    <t>221 FUE r</t>
  </si>
  <si>
    <t>The Cambridge Bible Commentary on the New English Bible - The Books of Ruth, Esther, Ecclesiastes, The Song of Songs, Lamentations</t>
  </si>
  <si>
    <t>Wesley J. Fuerst</t>
  </si>
  <si>
    <t>3-438-05278-4</t>
  </si>
  <si>
    <t>221 WAA b</t>
  </si>
  <si>
    <t>(BHQ) Biblia Hebraica Quinta Megilloth Ruth, Canticles, Qoheleth, Lamentations, Esther - Volume 18</t>
  </si>
  <si>
    <t>J. de Waard Dkk</t>
  </si>
  <si>
    <t>220.7 BLA p</t>
  </si>
  <si>
    <t>Peake's Commentary on the Bible</t>
  </si>
  <si>
    <t>Nelson</t>
  </si>
  <si>
    <t>0-8344-0122-3</t>
  </si>
  <si>
    <t>225.52 DOB i</t>
  </si>
  <si>
    <t>International Children's Version - New Testament</t>
  </si>
  <si>
    <t>Koleksi Anak</t>
  </si>
  <si>
    <t>Anak</t>
  </si>
  <si>
    <t>Dr. James C. Dobson's</t>
  </si>
  <si>
    <t>Sweet Publishing</t>
  </si>
  <si>
    <t>979-9442-22-2</t>
  </si>
  <si>
    <t>220.92 SWI</t>
  </si>
  <si>
    <t>Seorang Yang Berintegritas &amp; Pengampun Yusuf</t>
  </si>
  <si>
    <t>Caharles R. Swindoll</t>
  </si>
  <si>
    <t>Cipta Olah Pustaka</t>
  </si>
  <si>
    <t>220.92 SNA h</t>
  </si>
  <si>
    <t>Hebrew Bible</t>
  </si>
  <si>
    <t>Norman Henry Snaith</t>
  </si>
  <si>
    <t>Bible Society</t>
  </si>
  <si>
    <t>1-56563-145-5</t>
  </si>
  <si>
    <t>220.9  VRI c</t>
  </si>
  <si>
    <t>Cities of the Biblical World</t>
  </si>
  <si>
    <t>LaMoine F. De Vries</t>
  </si>
  <si>
    <t>Hendrickson Publisher</t>
  </si>
  <si>
    <t>0-310-36510-4</t>
  </si>
  <si>
    <t>220.7'7 GAE j</t>
  </si>
  <si>
    <t>The Expositor's Bible Commentary: Volume 9 - John-Acts</t>
  </si>
  <si>
    <t>0-8006-6010-2</t>
  </si>
  <si>
    <t>220.7 ZIM h</t>
  </si>
  <si>
    <t>Hermeneia a Critical and Historical Commentary on the Bible - Ezekiel 2</t>
  </si>
  <si>
    <t>0-8006-6008-0</t>
  </si>
  <si>
    <t>Hermeneia a Critical and Historical Commentary on the Bible - Ezekiel 1</t>
  </si>
  <si>
    <t>0-8006-6007-2</t>
  </si>
  <si>
    <t>220.7 WOL h</t>
  </si>
  <si>
    <t>Hermeneia a Critical and Historical Commentary on the Bible - Joel and Amos</t>
  </si>
  <si>
    <t>0-8006-6004-8</t>
  </si>
  <si>
    <t>Hermeneia a Critical and Historical Commentary on the Bible - Hosea</t>
  </si>
  <si>
    <t>220.7 WIL b</t>
  </si>
  <si>
    <t>Bible Commentary One Volume</t>
  </si>
  <si>
    <t>William Neil's</t>
  </si>
  <si>
    <t>220.7 PFE t</t>
  </si>
  <si>
    <t>Tafsiran Alkitab Wycliffe Vol. 3 Perjanjian Baru</t>
  </si>
  <si>
    <t>Charles F. Pfeiffer Dkk</t>
  </si>
  <si>
    <t>Gandum Mas</t>
  </si>
  <si>
    <t>11a</t>
  </si>
  <si>
    <t>220.7 PFE a</t>
  </si>
  <si>
    <t>The Wycliffe Bible Commentary: Ayub-Maleakhi Volume 2</t>
  </si>
  <si>
    <t>220.7 PFE k</t>
  </si>
  <si>
    <t>The Wycliffe Bible Commentary: Kejadian-Ester Volume 1</t>
  </si>
  <si>
    <t>979-8976-51-7 979-8976-14-2</t>
  </si>
  <si>
    <t>220.7 SIM t</t>
  </si>
  <si>
    <t>Tafsiran Alkitab Masa Kini. 2 Ayub-Maleakhi</t>
  </si>
  <si>
    <t>0-8028-2281-9</t>
  </si>
  <si>
    <t>220.7 GUT c</t>
  </si>
  <si>
    <t>The New Bible Commentary: Revised</t>
  </si>
  <si>
    <t>D. Guthrie, BD, MTh, PhD</t>
  </si>
  <si>
    <t>220.7 DAV c</t>
  </si>
  <si>
    <t>The New Bible Commentary</t>
  </si>
  <si>
    <t>F. Davidson M.A., D.D</t>
  </si>
  <si>
    <t>0-385-04702-9</t>
  </si>
  <si>
    <t>220.7 MOO d</t>
  </si>
  <si>
    <t>The Anchor Bible: Daniel, Esther and Jeremiah - Volume 44</t>
  </si>
  <si>
    <t>220.7 MAY l</t>
  </si>
  <si>
    <t>The Layman's Bible Commentary: Volume 4 - The Book of Leviticus, Numbers</t>
  </si>
  <si>
    <t>James L. Mays</t>
  </si>
  <si>
    <t>0-13-509612-x</t>
  </si>
  <si>
    <t>220.7 BRO j</t>
  </si>
  <si>
    <t>The Jerome Biblical Commentary</t>
  </si>
  <si>
    <t>0-687-19214-5</t>
  </si>
  <si>
    <t>220.7 BUT l</t>
  </si>
  <si>
    <t>The Interpreter's Bible: Luke-John Volume 8</t>
  </si>
  <si>
    <t>0-687-19213-7</t>
  </si>
  <si>
    <t>220.7 BUT m</t>
  </si>
  <si>
    <t>The Interpreter's Bible: Matthew-Mark Volume 7</t>
  </si>
  <si>
    <t>0-687-19212-9</t>
  </si>
  <si>
    <t>220.7 HAR l</t>
  </si>
  <si>
    <t>The Interpretr's Bible: Lamentations-Twelve Prophets Volume 6</t>
  </si>
  <si>
    <t>Nolan B. Harmon</t>
  </si>
  <si>
    <t>0-687-19211-0</t>
  </si>
  <si>
    <t>220.7 HAR e</t>
  </si>
  <si>
    <t>The Interpreter's Bible: Ecclesiastes-Jeremiah Volume 5</t>
  </si>
  <si>
    <t>0-687-19210-2</t>
  </si>
  <si>
    <t>220.7 HAR p</t>
  </si>
  <si>
    <t>The Interpreter's Bible: Psalms-Proverbs Volume 4</t>
  </si>
  <si>
    <t>0-687-19209-9</t>
  </si>
  <si>
    <t>220.7 HAR k</t>
  </si>
  <si>
    <t>The Interpreter's Bible: Kings-Job Volume 3</t>
  </si>
  <si>
    <t>0-687-19208-0</t>
  </si>
  <si>
    <t>The Interpreter's Bible: Leviticus-Samuel Volume 2</t>
  </si>
  <si>
    <t>0-687-19218-8</t>
  </si>
  <si>
    <t>220.7 BUT j</t>
  </si>
  <si>
    <t>The Interpreter's Bible: James, Peter, John, Jude, Revelation Volume 12</t>
  </si>
  <si>
    <t>0-687-19217-x</t>
  </si>
  <si>
    <t>220.7 BUT p</t>
  </si>
  <si>
    <t>The Interpreter's Bible: Philippians, Colossians, Thessalonians, Timothy, Titus, Philemon, Hebrews Volume 11</t>
  </si>
  <si>
    <t>0-687-19216-1</t>
  </si>
  <si>
    <t>220.7 BUT c</t>
  </si>
  <si>
    <t>The Interpreter's Bible: Corinthians, Galatians, Ephesians Volume 10</t>
  </si>
  <si>
    <t>220.7 BUT a</t>
  </si>
  <si>
    <t xml:space="preserve">The Interpreter's Bible: Acts-Romans Volume 9 </t>
  </si>
  <si>
    <t>220.7 GRA r</t>
  </si>
  <si>
    <t>New Testament: Romans-Revelation Volume 7</t>
  </si>
  <si>
    <t>Frederick C. Grant</t>
  </si>
  <si>
    <t>8042-3001-3</t>
  </si>
  <si>
    <t>220.7 KEL i</t>
  </si>
  <si>
    <t>The Layman's Bible Commentary: Volume 1 - Introduction to the Bible</t>
  </si>
  <si>
    <t>Balmer H. Kelly Dkk</t>
  </si>
  <si>
    <t>220.7 AAL c</t>
  </si>
  <si>
    <t>Commentaar op Het Oude Testament * Het Hooglied</t>
  </si>
  <si>
    <t>Dr G. CH. Aalders</t>
  </si>
  <si>
    <t>0-521-32248-0</t>
  </si>
  <si>
    <t>220.6 PRI w</t>
  </si>
  <si>
    <t>Words and The Word</t>
  </si>
  <si>
    <t>Stephen Prickett</t>
  </si>
  <si>
    <t>979-8976-51-7</t>
  </si>
  <si>
    <t>Tafsiran Alkitab Masa Kini. 1 Kejadian-Ester</t>
  </si>
  <si>
    <t>0-310-36430-2</t>
  </si>
  <si>
    <t>220.6 GAE i</t>
  </si>
  <si>
    <t>The Expositor's Bible Commentary: Volume 1 - Introductory Articles</t>
  </si>
  <si>
    <t>0-310-36530-9</t>
  </si>
  <si>
    <t>220.6 GAE m</t>
  </si>
  <si>
    <t>The Expositor's Bible Commentary: Volume 8 -  Matthew, Mark, Luke</t>
  </si>
  <si>
    <t>0-8028-4847-8</t>
  </si>
  <si>
    <t>220.6 GIL a</t>
  </si>
  <si>
    <t>The Book of Acts. Volume 2. Graeco-Roman Setting</t>
  </si>
  <si>
    <t>David W. J. Gill Dkk</t>
  </si>
  <si>
    <t>978-1-58516-082-2</t>
  </si>
  <si>
    <t>220.5203 SOC n</t>
  </si>
  <si>
    <t>New Testament King James Version</t>
  </si>
  <si>
    <t>978-0-310-90333-8</t>
  </si>
  <si>
    <t>220.52 ZON c</t>
  </si>
  <si>
    <t xml:space="preserve">Comparative Study Bible </t>
  </si>
  <si>
    <t>220.44 KIT b</t>
  </si>
  <si>
    <t>Biblia Hebraica</t>
  </si>
  <si>
    <t>Rudolf Kittel</t>
  </si>
  <si>
    <t>220.487.4 RAH s</t>
  </si>
  <si>
    <t xml:space="preserve">Septuaginta </t>
  </si>
  <si>
    <t>Alfred Rahlfs</t>
  </si>
  <si>
    <t>220.470 HET b</t>
  </si>
  <si>
    <t>Biblia Sacra: Vulgate Edition</t>
  </si>
  <si>
    <t>Bible</t>
  </si>
  <si>
    <t>Latin</t>
  </si>
  <si>
    <t>P. Michael Hetzenauer</t>
  </si>
  <si>
    <t>Ratisbone</t>
  </si>
  <si>
    <t>978-0-567-13932-0</t>
  </si>
  <si>
    <t>220.1 MCD t</t>
  </si>
  <si>
    <t>The Origin of The Bible - A Guide For The Perplexed</t>
  </si>
  <si>
    <t>Lee Martin McDonald</t>
  </si>
  <si>
    <t>0-687-05520-2</t>
  </si>
  <si>
    <t>220.07 FAR p</t>
  </si>
  <si>
    <t>The Pastor's Bible Study: Volume Two</t>
  </si>
  <si>
    <t>David Albert Farmer</t>
  </si>
  <si>
    <t>0-687-49330-7</t>
  </si>
  <si>
    <t>The Pastor's Bible Study: Volume Three</t>
  </si>
  <si>
    <t>0-564-08013-6</t>
  </si>
  <si>
    <t>220.03 ANS n</t>
  </si>
  <si>
    <t xml:space="preserve">Nyadigbale Na Eve Biblia </t>
  </si>
  <si>
    <t>Gilbert Ansre</t>
  </si>
  <si>
    <t>Bangui</t>
  </si>
  <si>
    <t>0-8028-3436-1</t>
  </si>
  <si>
    <t>220.02 ALE h</t>
  </si>
  <si>
    <t>Handbook to The Bible</t>
  </si>
  <si>
    <t>Handbook</t>
  </si>
  <si>
    <t>David Alexander Dkk</t>
  </si>
  <si>
    <t>Mandarin Offset</t>
  </si>
  <si>
    <t>978-0-8499-0214-7</t>
  </si>
  <si>
    <t>222.63 DIL w</t>
  </si>
  <si>
    <t>Word Biblical Commentary  2 Chronicles - Vol. 15</t>
  </si>
  <si>
    <t>Raymond B. Dillard</t>
  </si>
  <si>
    <t>0-87808-723-0</t>
  </si>
  <si>
    <t>215.72 NID c</t>
  </si>
  <si>
    <t>Customs and Cultures: Anthropology for Christian Missions</t>
  </si>
  <si>
    <t>Eugene A. Nida</t>
  </si>
  <si>
    <t>William Carey Library</t>
  </si>
  <si>
    <t>978-0-8028-6383-6</t>
  </si>
  <si>
    <t>212.1 SPI p</t>
  </si>
  <si>
    <t>New Proofs for The Existence of God</t>
  </si>
  <si>
    <t>Robert J. Spitzer</t>
  </si>
  <si>
    <t>210.14 RAM r</t>
  </si>
  <si>
    <t>Religious Language</t>
  </si>
  <si>
    <t>Ian T. Ramsey</t>
  </si>
  <si>
    <t>90-232-2500-7</t>
  </si>
  <si>
    <t>210.14 JAG s</t>
  </si>
  <si>
    <t>Symbolic structures in Turkana religion</t>
  </si>
  <si>
    <t xml:space="preserve">Krijn van der Jagt </t>
  </si>
  <si>
    <t>V an Gorcum</t>
  </si>
  <si>
    <t>979-731-908-3</t>
  </si>
  <si>
    <t>210.1 SIT f</t>
  </si>
  <si>
    <t>Filsafat dalam Terang Iman Kristen</t>
  </si>
  <si>
    <t>Jonar Situmorang</t>
  </si>
  <si>
    <t>Andi Offset</t>
  </si>
  <si>
    <t>978-979-21-2483-5</t>
  </si>
  <si>
    <t>210.092 SUH p</t>
  </si>
  <si>
    <t>Pelayan Yang Rendah Hati</t>
  </si>
  <si>
    <t>Mgr. Ignatius Suharyo</t>
  </si>
  <si>
    <t>978-979-16284-1-9</t>
  </si>
  <si>
    <t>210 SIH n</t>
  </si>
  <si>
    <t>Nature Agama dan Kebenaran</t>
  </si>
  <si>
    <t>Jannus P. Sihombing</t>
  </si>
  <si>
    <t>Komunitas Injili Press</t>
  </si>
  <si>
    <t>210 CLA l</t>
  </si>
  <si>
    <t>Language and Natural Theology</t>
  </si>
  <si>
    <t>Perancis</t>
  </si>
  <si>
    <t>Bowman L. Clarke</t>
  </si>
  <si>
    <t>978-0-06-162600-5</t>
  </si>
  <si>
    <t>299.9 MEY n</t>
  </si>
  <si>
    <t>The Nag Hammadi Scriptures: The Revised and Updated Translation of Sacred Gnostic Texts</t>
  </si>
  <si>
    <t>Marvin Meyer</t>
  </si>
  <si>
    <t>HarperOne</t>
  </si>
  <si>
    <t>0-88344-651-0</t>
  </si>
  <si>
    <t>208.2 BRO c</t>
  </si>
  <si>
    <t>The Challenge of The Scriptures - The Bible and the Qur'an</t>
  </si>
  <si>
    <t>Stuart E. Brown</t>
  </si>
  <si>
    <t>Orbis Books</t>
  </si>
  <si>
    <t>1-85958-198-6</t>
  </si>
  <si>
    <t>398.2 HAN h</t>
  </si>
  <si>
    <t xml:space="preserve">The Holy Land Myths and Legends </t>
  </si>
  <si>
    <t>J. E. Hanauer</t>
  </si>
  <si>
    <t>Senate</t>
  </si>
  <si>
    <t>0-8028-2126-x</t>
  </si>
  <si>
    <t>200.9'5 DEV b</t>
  </si>
  <si>
    <t>What Did The Biblical Writers Know &amp; When Did They Know it?</t>
  </si>
  <si>
    <t>William G. Dever</t>
  </si>
  <si>
    <t>978-979-3851-12-9</t>
  </si>
  <si>
    <t>248.4 KAT c</t>
  </si>
  <si>
    <t>Compassionate and Free Tersentuh dan Bebas - Teologi Seorang Perempuan Asia</t>
  </si>
  <si>
    <t>Marianne Katoppo</t>
  </si>
  <si>
    <t>Aksara Karunia</t>
  </si>
  <si>
    <t>200 FRO s</t>
  </si>
  <si>
    <t>The Sacred Writings of the World's Great Religions</t>
  </si>
  <si>
    <t>S. E. Frost, Jr.</t>
  </si>
  <si>
    <t>The New Home Library</t>
  </si>
  <si>
    <t>979-99815-3-0</t>
  </si>
  <si>
    <t>174.4 BER e</t>
  </si>
  <si>
    <t xml:space="preserve">Etika Bisnis Kristen </t>
  </si>
  <si>
    <t>Prof. Dr. Kees Bertens</t>
  </si>
  <si>
    <t>STT Jakarta</t>
  </si>
  <si>
    <t>979-21-0200-0</t>
  </si>
  <si>
    <t>170 CHA m</t>
  </si>
  <si>
    <t>Menggali Butir-butir Keutamaan</t>
  </si>
  <si>
    <t>Dr. William Chang</t>
  </si>
  <si>
    <t>321.07 COR r</t>
  </si>
  <si>
    <t>The Republic of Plato</t>
  </si>
  <si>
    <t>Francis MacDonald Cornford</t>
  </si>
  <si>
    <t>979-3012-35-8</t>
  </si>
  <si>
    <t>153.8 PAR a</t>
  </si>
  <si>
    <t>60 Menit Ayah (Satu Jam Untuk Mengubah Kehidupan Anak Anda)</t>
  </si>
  <si>
    <t>Rob Parsons</t>
  </si>
  <si>
    <t>Immanuel</t>
  </si>
  <si>
    <t>979-415-348-6</t>
  </si>
  <si>
    <t>153.8 WAN m</t>
  </si>
  <si>
    <t>Memimpin Kelompok Penelaahan Alkitab</t>
  </si>
  <si>
    <t>Sri Wandaningsih</t>
  </si>
  <si>
    <t>252.6 HAM e</t>
  </si>
  <si>
    <t>Eight Keys to Happiness - A New Look At The Beatitudes</t>
  </si>
  <si>
    <t>Warren C. Hamby</t>
  </si>
  <si>
    <t>Fleming H. Revell Company</t>
  </si>
  <si>
    <t>152.322 PGI p</t>
  </si>
  <si>
    <t>Panggilan dan Tanggung Jawab Memasuki Masa depan Bersama</t>
  </si>
  <si>
    <t>PGI</t>
  </si>
  <si>
    <t>978-979-1169-20-2</t>
  </si>
  <si>
    <t>152.14 HEN i</t>
  </si>
  <si>
    <t>Impian &amp; Kenyataan</t>
  </si>
  <si>
    <t>Pdt. Em. Budhiadi Henoch</t>
  </si>
  <si>
    <t>Bina Media Informasi</t>
  </si>
  <si>
    <t>978-0-8028-0397-9</t>
  </si>
  <si>
    <t>809.9 BER d</t>
  </si>
  <si>
    <t>The Dynamics of Biblical Parallelism (Revised + Expanded)</t>
  </si>
  <si>
    <t>128 KAM p</t>
  </si>
  <si>
    <t xml:space="preserve">Philosophische Anthropologie (Sprachkritische Grundlegung und Ethik) </t>
  </si>
  <si>
    <t xml:space="preserve">Wilhelm Kamlah </t>
  </si>
  <si>
    <t>Bibliographisches Institut AG</t>
  </si>
  <si>
    <t xml:space="preserve">121.68 ACH i </t>
  </si>
  <si>
    <t>Interpretation (Vol. XL No. 1)</t>
  </si>
  <si>
    <t>Virginia</t>
  </si>
  <si>
    <t>979-416-841-6</t>
  </si>
  <si>
    <t xml:space="preserve">121.4 SUL m </t>
  </si>
  <si>
    <t>Mosaik Kencana (Bunga Rampai Pemikiran Drs. Supardan, MA Tentang: Ekonomi-Pembangunan-Ideologi-Politik-Kepemudaan-Hukum-Moral-Etika)</t>
  </si>
  <si>
    <t>Bambang S. Sulasmono Dkk</t>
  </si>
  <si>
    <t>Pustaka Sinar Harapan</t>
  </si>
  <si>
    <t>070.482 UKU d</t>
  </si>
  <si>
    <t xml:space="preserve">Dari Ambon ke Surabaya </t>
  </si>
  <si>
    <t>Pdt. Dr. Fridolin Ukur</t>
  </si>
  <si>
    <t>0-687-46643-1</t>
  </si>
  <si>
    <t>050 CON y</t>
  </si>
  <si>
    <t>Yearbook of American &amp; Canadian Churches</t>
  </si>
  <si>
    <t>Constant H Dkk</t>
  </si>
  <si>
    <t>010.09 JON b</t>
  </si>
  <si>
    <t>Bibliografi Ilmu Agama dan Theologia Kristen dalam Bahasa Indonesia Jilid 2</t>
  </si>
  <si>
    <t>Dr.J.A. B. Jongeneel</t>
  </si>
  <si>
    <t>Bibliografi Ilmu Agama dan Theologia Kristen dalam Bahasa Indonesia Jilid 1</t>
  </si>
  <si>
    <t>010.09 SCH b</t>
  </si>
  <si>
    <t>Bibliografia Biblica Latino-Americana</t>
  </si>
  <si>
    <t>Milton Schwantes Dkk</t>
  </si>
  <si>
    <t>Ciencias da Religiao</t>
  </si>
  <si>
    <t>978-0-8054-0128-8</t>
  </si>
  <si>
    <t>227.2 TAY n</t>
  </si>
  <si>
    <t>New International Version - The New American Commentary (NAC) 1 Corinthians Vol. 28</t>
  </si>
  <si>
    <t>Mark Taylor</t>
  </si>
  <si>
    <t>0-8054-0124-5</t>
  </si>
  <si>
    <t xml:space="preserve"> 226.4 STE n</t>
  </si>
  <si>
    <t>New International Version - The New American Commentary (NAC)  Luke Vol. 24</t>
  </si>
  <si>
    <t>Robert H. Stein</t>
  </si>
  <si>
    <t>979-602-8242-15-2</t>
  </si>
  <si>
    <t xml:space="preserve"> 226.4 HEN t</t>
  </si>
  <si>
    <t>Tafsiran Matthew Henry - Injil Lukas 13-24</t>
  </si>
  <si>
    <t>979-602-8242-14-4</t>
  </si>
  <si>
    <t>226.4 HEN t</t>
  </si>
  <si>
    <t>Tafsiran Matthew Henry - Injil Lukas 1-12</t>
  </si>
  <si>
    <t>978-0-567-32328-6</t>
  </si>
  <si>
    <t>224.6 MAC i</t>
  </si>
  <si>
    <t>(ICC) HOSEA a Critical And Exegetical Commentary</t>
  </si>
  <si>
    <t>A. A. Macintosh</t>
  </si>
  <si>
    <t>978-979-3292-49-1</t>
  </si>
  <si>
    <t>223.2 HEN t</t>
  </si>
  <si>
    <t>Tafsiran Matthew Henry - Kitab Mazmur 51-100</t>
  </si>
  <si>
    <t>978-602-8165-85-3</t>
  </si>
  <si>
    <t xml:space="preserve"> 223.2 HEN t</t>
  </si>
  <si>
    <t>Tafsiran Matthew Henry - Kitab Mazmur 101 - 150</t>
  </si>
  <si>
    <t>978-979-3292-49-0</t>
  </si>
  <si>
    <t xml:space="preserve">Tafsiran Matthew Henry - Kitab Mazmur 1 - 50 </t>
  </si>
  <si>
    <t>978-0-8308-4208-7</t>
  </si>
  <si>
    <t xml:space="preserve"> 222.4 BAL s</t>
  </si>
  <si>
    <t>Tyndale Old Testament Commentary (TOTC) Vol. 8 - 1 And 2 Samuel</t>
  </si>
  <si>
    <t>0-664-22320-6</t>
  </si>
  <si>
    <t>222.14 NOT n</t>
  </si>
  <si>
    <t>The Old Testament Library - Numbers</t>
  </si>
  <si>
    <t>Martin Noth</t>
  </si>
  <si>
    <t xml:space="preserve">0-8499-0202-9 </t>
  </si>
  <si>
    <t xml:space="preserve"> 222.12 DUR w</t>
  </si>
  <si>
    <t>Word Biblical Commentary  Exodus - Vol.3</t>
  </si>
  <si>
    <t>John I. Durham</t>
  </si>
  <si>
    <t>978-602-1603-45-1</t>
  </si>
  <si>
    <t xml:space="preserve"> 222.11 HEN t</t>
  </si>
  <si>
    <t>Tafsiran Matthew Henry - Kitab Kejadian</t>
  </si>
  <si>
    <t>978-0-8006-6021-5</t>
  </si>
  <si>
    <t>227.87 ATT h</t>
  </si>
  <si>
    <t>Hermeneia a Critical and Historical Commentary on the Bible - Hebrews</t>
  </si>
  <si>
    <t>Harold W. Attridge</t>
  </si>
  <si>
    <t>978-0-8028-6362-1</t>
  </si>
  <si>
    <t>227.8 FEE n</t>
  </si>
  <si>
    <t>(NICNT) The First And Second Letters to the Thessalonians</t>
  </si>
  <si>
    <t>Gordon D. Fee</t>
  </si>
  <si>
    <t>0-8028-2507-9</t>
  </si>
  <si>
    <t>227.2 FEE n</t>
  </si>
  <si>
    <t>(NICNT) The First Epistle to the Corinthians</t>
  </si>
  <si>
    <t>978-0-56710-123-5</t>
  </si>
  <si>
    <t>227.7 WIL c</t>
  </si>
  <si>
    <t>International Critical Commentary - Colossians and Philemon a Critical and Exegetical Commentary</t>
  </si>
  <si>
    <t>Robert McL. Wilson</t>
  </si>
  <si>
    <t>978-0-8308-4201-8</t>
  </si>
  <si>
    <t xml:space="preserve">Tyndale Old Testament Cpmmentaries (TOTC) Vol. 1 - Genesis </t>
  </si>
  <si>
    <t>Intervarsity Press</t>
  </si>
  <si>
    <t>0-8010-8838-0</t>
  </si>
  <si>
    <t>225.413 THA g</t>
  </si>
  <si>
    <t>Thayer's Greek - English Lexicon of the New Testament</t>
  </si>
  <si>
    <t>Dictionary</t>
  </si>
  <si>
    <t>Joseph H. Thayer</t>
  </si>
  <si>
    <t>978-0-8308-4227-8</t>
  </si>
  <si>
    <t>Tyndale Old Testament Commentaries (TOTC) Vol. 27 - Nahum. Habakkuk and Zephaniah</t>
  </si>
  <si>
    <t xml:space="preserve">David W. Baker </t>
  </si>
  <si>
    <t>978-0521-092883</t>
  </si>
  <si>
    <t>The Cambridge Bible Commentary On The New English Bible - The Gosspel According to Mark</t>
  </si>
  <si>
    <t>C.F.D Moule</t>
  </si>
  <si>
    <t>978-0-521-09401-6</t>
  </si>
  <si>
    <t>227.1 BES p</t>
  </si>
  <si>
    <t>The Cambridge Bible Commentary On The New English Bible - The Letter of Paul to the Romans</t>
  </si>
  <si>
    <t>Ernest Best</t>
  </si>
  <si>
    <t>227.97 DAV h</t>
  </si>
  <si>
    <t>The Cambridge Bible Commentary on The New English Bible a Letter to Hebrews</t>
  </si>
  <si>
    <t>J. H. Davies</t>
  </si>
  <si>
    <t>226.6 JAC a</t>
  </si>
  <si>
    <t>The Acts of The Apostles</t>
  </si>
  <si>
    <t>F. J. Foakes-Jackson</t>
  </si>
  <si>
    <t>Hodder And Stoughton</t>
  </si>
  <si>
    <t>0-8028-1864-1</t>
  </si>
  <si>
    <t>226.5 LIN j</t>
  </si>
  <si>
    <t>The New Century Bible Commentary - The Gospel of John</t>
  </si>
  <si>
    <t>Barnabas Lindars</t>
  </si>
  <si>
    <t>978-0-8028-2315-1</t>
  </si>
  <si>
    <t>226.4 GRE n</t>
  </si>
  <si>
    <t>(NICNT) The Gospel Of Luke</t>
  </si>
  <si>
    <t>Joel B. Green</t>
  </si>
  <si>
    <t>978-0-8028-2827-9</t>
  </si>
  <si>
    <t>225.48 POR f</t>
  </si>
  <si>
    <t>Fundamentals of New Testament Greek</t>
  </si>
  <si>
    <t>Linguistic</t>
  </si>
  <si>
    <t>Stanley E. Porter, Jeffrey T. Reed and Matthew Brook O'Donnell</t>
  </si>
  <si>
    <t>225.04 GOO i</t>
  </si>
  <si>
    <t>An Introduction to the New Testament</t>
  </si>
  <si>
    <t>Edgar J. Goodspeed</t>
  </si>
  <si>
    <t>University of Chicago Press</t>
  </si>
  <si>
    <t>978-0-8308-4224-7</t>
  </si>
  <si>
    <t>224.6 HUB h</t>
  </si>
  <si>
    <t>Tyndale Testament Commentaries (TOTC) Vol. 24 - Hosea</t>
  </si>
  <si>
    <t>David Allan Hubbard</t>
  </si>
  <si>
    <t>The Cambridge Bible Commentary - The Book of the Prophet Isaiah 40 - 66</t>
  </si>
  <si>
    <t>hjhgato5A.S Herbert</t>
  </si>
  <si>
    <t>0-664-22954-9</t>
  </si>
  <si>
    <t>222.15 NEL o</t>
  </si>
  <si>
    <t>978-0-8028-2522-3</t>
  </si>
  <si>
    <t>222 .13 WEN n</t>
  </si>
  <si>
    <t>(NICOT) The Book of Leviticus</t>
  </si>
  <si>
    <t>978-0-231-17404-6</t>
  </si>
  <si>
    <t>225.9 GAG w</t>
  </si>
  <si>
    <t>Who Made Early Christianity ? Jewish Lives Of The Apostle Paul</t>
  </si>
  <si>
    <t>John G. Gager</t>
  </si>
  <si>
    <t>Columbia University Press</t>
  </si>
  <si>
    <t>978-0830-842131</t>
  </si>
  <si>
    <t>222.9 REI e</t>
  </si>
  <si>
    <t>Tyndale Old Testament Commentaries (TOTC) Vol. 13 - Esther</t>
  </si>
  <si>
    <t>Debra Reid</t>
  </si>
  <si>
    <t>Tyndale Old Testament Commentaries (TOTC) Vol.18 - Ecclesiastes</t>
  </si>
  <si>
    <t>Michael A. Eaton</t>
  </si>
  <si>
    <t>978-0-8308-4210-0</t>
  </si>
  <si>
    <t>222.6 SEL c</t>
  </si>
  <si>
    <t>Tyndale Testament Commentaries (TOTC) Vol. 10 - 1 Chronicles</t>
  </si>
  <si>
    <t>Martin J. Selman</t>
  </si>
  <si>
    <t>978-0-8308-4209-4</t>
  </si>
  <si>
    <t>222.5 WIS k</t>
  </si>
  <si>
    <t>Tyndale Testament Commentaries (TOTC) Vol. 9 - 1 and 2 Kings</t>
  </si>
  <si>
    <t>Donald J. Wiseman</t>
  </si>
  <si>
    <t>978-0-8308-4206-3</t>
  </si>
  <si>
    <t>222.22 HES j</t>
  </si>
  <si>
    <t>Tyndale Testament Commentaries (TOTC) Vol. 6 - Joshua</t>
  </si>
  <si>
    <t>Richard S. Hess</t>
  </si>
  <si>
    <t>0-87784-257-4</t>
  </si>
  <si>
    <t>222.3 CUN j</t>
  </si>
  <si>
    <t>Tyndale Old Testament Commentaries (TOTC) Vol.  7 - Judges &amp; Ruth</t>
  </si>
  <si>
    <t>Arthur E. Cundall Dkk</t>
  </si>
  <si>
    <t>0-87784-255-8</t>
  </si>
  <si>
    <t>222.1 THO d</t>
  </si>
  <si>
    <t>Tyndale Old Testament Commentaries (TOTC) Vol. 5 -  Deuteronomy</t>
  </si>
  <si>
    <t>0-87784-261-2</t>
  </si>
  <si>
    <t>222 KID e</t>
  </si>
  <si>
    <t>Tyndale Old Testament Commentaries (TOTC) Vol. 11 - Ezra &amp; Nehemiah</t>
  </si>
  <si>
    <t>978-0-310-23082-3 (Hard Cover)</t>
  </si>
  <si>
    <t>222.11 LON e</t>
  </si>
  <si>
    <t>The Expositor's Bible Commentary: Volume 1 Genesis - Leviticus</t>
  </si>
  <si>
    <t>226.2 LON e</t>
  </si>
  <si>
    <t>The Expositor's Bible Commentary Volume 9  Matthew - Mark</t>
  </si>
  <si>
    <t>0-281-04033-8</t>
  </si>
  <si>
    <t>Genesis 1-11 a Continental Commentary</t>
  </si>
  <si>
    <t>978-0-8054-0126-4</t>
  </si>
  <si>
    <t>226.6 POL n</t>
  </si>
  <si>
    <t>New International Version - The New American Commentary (NAC)  Acts Vol.26</t>
  </si>
  <si>
    <t>John B. Polhill</t>
  </si>
  <si>
    <t>0-687-19299-4</t>
  </si>
  <si>
    <t>220.7 LAY c</t>
  </si>
  <si>
    <t>The Interpreter's One-Volume Commentary on The Bible</t>
  </si>
  <si>
    <t>Charles M. Laymon</t>
  </si>
  <si>
    <t>Epistle to The Romans Volume I</t>
  </si>
  <si>
    <t xml:space="preserve">John Murray </t>
  </si>
  <si>
    <t>978-0-9825218-1-6</t>
  </si>
  <si>
    <t>266 SOO m</t>
  </si>
  <si>
    <t>Menuntun Mereka yang terabaikan Kepada Kristus</t>
  </si>
  <si>
    <t>Rosemary Sookhdeo</t>
  </si>
  <si>
    <t>Isaac Publishing</t>
  </si>
  <si>
    <t>978-3-438-05273-5</t>
  </si>
  <si>
    <t>221.44 GEL b</t>
  </si>
  <si>
    <t>(BHQ) Biblia Hebraica Quinta The Twelve Minor Prophets - Volume 13</t>
  </si>
  <si>
    <t>Anthony Gelston</t>
  </si>
  <si>
    <t>978-3-438-05267-4</t>
  </si>
  <si>
    <t>221 MAR b</t>
  </si>
  <si>
    <t>(BHQ) Biblia Hebraica Quinta Judges - Volume 7</t>
  </si>
  <si>
    <t>Natalio Fernandez Marcos</t>
  </si>
  <si>
    <t>90-6126-801-x</t>
  </si>
  <si>
    <t>225.53 JAA g</t>
  </si>
  <si>
    <t>Groot Nieuws voor U Het nieuwe testament in de omgangstaal</t>
  </si>
  <si>
    <t>A. W. G. Jaakke Dkk</t>
  </si>
  <si>
    <t>Haarlem / Boxtel</t>
  </si>
  <si>
    <t>220.3 ELL c</t>
  </si>
  <si>
    <t>Nelson's Complete Concordance of the Revised Standard Version Bible Second Edition</t>
  </si>
  <si>
    <t>John W. Ellison</t>
  </si>
  <si>
    <t>978-0-226-47484-7</t>
  </si>
  <si>
    <t>155.81 STR s</t>
  </si>
  <si>
    <t>The Savage Mind</t>
  </si>
  <si>
    <t>Claude Levi- Strauss</t>
  </si>
  <si>
    <t>The University of Chicago Press</t>
  </si>
  <si>
    <t>979-605-915-0</t>
  </si>
  <si>
    <t>128 STR a</t>
  </si>
  <si>
    <t>Awareness (Butir-butir Mutiara Pencerahan)</t>
  </si>
  <si>
    <t>J. Francis Stroud, S.J.</t>
  </si>
  <si>
    <t>Gramedia</t>
  </si>
  <si>
    <t>0-913178-63-2</t>
  </si>
  <si>
    <t>306.016 SMI a</t>
  </si>
  <si>
    <t>Anthropological Bibliographies A Selected Guide</t>
  </si>
  <si>
    <t>Margol L. Smith Dkk</t>
  </si>
  <si>
    <t>Redgrave Publishing Company</t>
  </si>
  <si>
    <t>978-0-8308-4285-8</t>
  </si>
  <si>
    <t>223.2 LON p</t>
  </si>
  <si>
    <t>Tyndale Old Testament Commentaries (TOTC) Vol. 15-16  - Psalm</t>
  </si>
  <si>
    <t>225.7 ROB w</t>
  </si>
  <si>
    <t>Word Pictures In the New Testament Volume IV the Epistles of Paul</t>
  </si>
  <si>
    <t>Arichibald Thomas Robertson</t>
  </si>
  <si>
    <t>0-8267-0172-8</t>
  </si>
  <si>
    <t>227.9 ARI p</t>
  </si>
  <si>
    <t>A Handbook on The Letter from Jude and The Second Letter from Peter</t>
  </si>
  <si>
    <t>Daniel C. Arichea Dkk</t>
  </si>
  <si>
    <t>222.1 ALT t</t>
  </si>
  <si>
    <t>The Five Books of Moses a Translation with Commentary</t>
  </si>
  <si>
    <t>978-0-521-09734-5</t>
  </si>
  <si>
    <t>222.5 ROB k</t>
  </si>
  <si>
    <t>The Cambridge Bible Commentary on the New English Bible - The First Book of Kings</t>
  </si>
  <si>
    <t>J. Robinson</t>
  </si>
  <si>
    <t>978-0-521-09870-0</t>
  </si>
  <si>
    <t>224.7 WAT j</t>
  </si>
  <si>
    <t>The Cambridge Bible Commentari - The Books of Joel, Obadiah, Jonah, Nahum, Habakuk and Zephaniah</t>
  </si>
  <si>
    <t>John D. W. Watts</t>
  </si>
  <si>
    <t>0-8054-0127-X</t>
  </si>
  <si>
    <t>227.1 MOU n</t>
  </si>
  <si>
    <t xml:space="preserve">The New International Version - The New American Commentary (NAC)  Vol. 27 Romans                               </t>
  </si>
  <si>
    <t xml:space="preserve">Robert H. Mounce </t>
  </si>
  <si>
    <t>B&amp;H (Broadman &amp; Holman Publisher</t>
  </si>
  <si>
    <t>270 JON p</t>
  </si>
  <si>
    <t>Pembimbing Kedalam Sejarah Gereja oleh : Dr. C. DE Jonge</t>
  </si>
  <si>
    <t>Dr. C. De Jonge</t>
  </si>
  <si>
    <t>978-602-8165-20-4</t>
  </si>
  <si>
    <t>284.2 CAR j</t>
  </si>
  <si>
    <t>Biografi Tokoh Kristen: John Calvin</t>
  </si>
  <si>
    <t>Simonetta Carr</t>
  </si>
  <si>
    <t>978-0-8028-2537-7</t>
  </si>
  <si>
    <t>228.06 MOU n</t>
  </si>
  <si>
    <t>(NICNT) The Book of Revelation Revised</t>
  </si>
  <si>
    <t>Robert H. Mounce</t>
  </si>
  <si>
    <t>978-0-310-23192-9</t>
  </si>
  <si>
    <t>228 KEE n</t>
  </si>
  <si>
    <t>The NIV Application Commentary REVELATION</t>
  </si>
  <si>
    <t>America</t>
  </si>
  <si>
    <t>Craig S. Keener</t>
  </si>
  <si>
    <t>978-0-310-20104-5</t>
  </si>
  <si>
    <t>227.9 MOO n</t>
  </si>
  <si>
    <t>The NIV Application Commentary  2 PETER, JUDE</t>
  </si>
  <si>
    <t>978-0-310-49340-2</t>
  </si>
  <si>
    <t>227.5 SNO n</t>
  </si>
  <si>
    <t>The NIV Application Commentary EPHESIANS</t>
  </si>
  <si>
    <t>Klyne Snodgrass</t>
  </si>
  <si>
    <t>978-0-8028-2509-4</t>
  </si>
  <si>
    <t>227.4 FUN n</t>
  </si>
  <si>
    <t>(NICNT) The Epistle to The Galatians</t>
  </si>
  <si>
    <t>Ronald Y. K. Fung</t>
  </si>
  <si>
    <t xml:space="preserve">William B. Eermans Publishing Company </t>
  </si>
  <si>
    <t>978-0-8028-2505-6</t>
  </si>
  <si>
    <t>226.6 BRU n</t>
  </si>
  <si>
    <t>(NICNT) The Book of the Acts Revised Edition</t>
  </si>
  <si>
    <t>978-0-8028-2302-1</t>
  </si>
  <si>
    <t>226.5 MIC j</t>
  </si>
  <si>
    <t>(NICNT) The Gospel of John</t>
  </si>
  <si>
    <t>WM. B. Eerdmans Publishing Co</t>
  </si>
  <si>
    <t>978-0-310-49750-9</t>
  </si>
  <si>
    <t>226.5 BUR n</t>
  </si>
  <si>
    <t xml:space="preserve">The NIV Application Commentary JOHN </t>
  </si>
  <si>
    <t>Gary M. Burge</t>
  </si>
  <si>
    <t>978-0-310-49330-3</t>
  </si>
  <si>
    <t>226.4 BOC n</t>
  </si>
  <si>
    <t xml:space="preserve">The NIV Application Commentary LUKE  </t>
  </si>
  <si>
    <t>Darrell L. Bock</t>
  </si>
  <si>
    <t>0-8028-2373-4</t>
  </si>
  <si>
    <t>224.9 ALL n</t>
  </si>
  <si>
    <t>(NICOT) The Books of Joel, Obadiah, Jonah and Micah</t>
  </si>
  <si>
    <t>978-0-8028-2502-5</t>
  </si>
  <si>
    <t>226.3 LAN n</t>
  </si>
  <si>
    <t>(NICNT) The Gospel Of Mark</t>
  </si>
  <si>
    <t>978-0-310-49350-1</t>
  </si>
  <si>
    <t>226.3 GAR n</t>
  </si>
  <si>
    <t xml:space="preserve">The NIV Application Commentary MARK  </t>
  </si>
  <si>
    <t xml:space="preserve">David E. Garland </t>
  </si>
  <si>
    <t>978-0-8028-2625-1</t>
  </si>
  <si>
    <t xml:space="preserve">224.97 JAC n </t>
  </si>
  <si>
    <t>(NICOT) The Book of Haggai and Malachi</t>
  </si>
  <si>
    <t>Mignon R. Jacobs</t>
  </si>
  <si>
    <t>978-0-8028-2375-5</t>
  </si>
  <si>
    <t>224.9 BOD n</t>
  </si>
  <si>
    <t>(NICOT) The Book Of Zechariah</t>
  </si>
  <si>
    <t>Mark J. Boda</t>
  </si>
  <si>
    <t>978-0-8028-2534-6</t>
  </si>
  <si>
    <t>(NICOT) The Book of Isaiah Chapters 40-66</t>
  </si>
  <si>
    <t>978-0-310-21086-3</t>
  </si>
  <si>
    <t>222.40 ARN s</t>
  </si>
  <si>
    <t>The NIV Application Commentary: 1 &amp; 2 Samuel</t>
  </si>
  <si>
    <t>Bill T. Arnold</t>
  </si>
  <si>
    <t>978-0-310-21048-1</t>
  </si>
  <si>
    <t>222.15 BLO d</t>
  </si>
  <si>
    <t xml:space="preserve">The NIV Application Commentary: Deuteronomy </t>
  </si>
  <si>
    <t xml:space="preserve">Daniel I. Block </t>
  </si>
  <si>
    <t>978-0-310-20617-0</t>
  </si>
  <si>
    <t>222.11 WAL g</t>
  </si>
  <si>
    <t xml:space="preserve">The NIV Application Commentary: Genesis  </t>
  </si>
  <si>
    <t>John H. Walton</t>
  </si>
  <si>
    <t>978-1-4143-2971-0</t>
  </si>
  <si>
    <t>220.61 WIL w</t>
  </si>
  <si>
    <t>Willmington's Guide to the Bible</t>
  </si>
  <si>
    <t>DR. Harold L. Willmington</t>
  </si>
  <si>
    <t>Tyndale House Publishers,</t>
  </si>
  <si>
    <t>0-7868-8126-7</t>
  </si>
  <si>
    <t>158.4 JON j</t>
  </si>
  <si>
    <t>Jesus, C E O</t>
  </si>
  <si>
    <t xml:space="preserve">Laurie Beth Jones </t>
  </si>
  <si>
    <t>Hyperion</t>
  </si>
  <si>
    <t>372.623 KER k</t>
  </si>
  <si>
    <t>Drs. Gorys Keraf</t>
  </si>
  <si>
    <t>0-8407-5821-9</t>
  </si>
  <si>
    <t>225.9 PAC t</t>
  </si>
  <si>
    <t>The World of The New Testament</t>
  </si>
  <si>
    <t>James I. Packer, dkk (E)</t>
  </si>
  <si>
    <t>11:B</t>
  </si>
  <si>
    <t>225.9 TJA l2</t>
  </si>
  <si>
    <t>Latar Belakang Perjanjian Baru (II)</t>
  </si>
  <si>
    <t>Dr. Lukas Tjandra</t>
  </si>
  <si>
    <t>979-9532-16-7</t>
  </si>
  <si>
    <t>225.9 TJA l1</t>
  </si>
  <si>
    <t>Latar Belakang Perjanjian Baru (I)</t>
  </si>
  <si>
    <t>978-0-8308-1589-0</t>
  </si>
  <si>
    <t>225.9 JEF t</t>
  </si>
  <si>
    <t>The Greco - Roman World Of The New Testament Era</t>
  </si>
  <si>
    <t>James S. Jeffers</t>
  </si>
  <si>
    <t>225.9 GAG W</t>
  </si>
  <si>
    <t>Who Made Early Christianity?</t>
  </si>
  <si>
    <t>978-0-06-060881-1</t>
  </si>
  <si>
    <t>225.9 BAR t</t>
  </si>
  <si>
    <t>The New Testament Background, Writings from Ancient Greece and the Roman Empire That Illuminate Christian Origins</t>
  </si>
  <si>
    <t>C. K. Barret (ed)</t>
  </si>
  <si>
    <t>979-9532-18-3</t>
  </si>
  <si>
    <t>225.9  TJA  l3</t>
  </si>
  <si>
    <t>Latar Belakang Perjanjian Baru (III)</t>
  </si>
  <si>
    <t>Seminari Alkitab Asia Tenggara, Malang</t>
  </si>
  <si>
    <t>1-58983-109-8</t>
  </si>
  <si>
    <t>225.8 MOO n</t>
  </si>
  <si>
    <t>New Testament Masculinities</t>
  </si>
  <si>
    <t>Stephen D. Moore and Janice Capel Anderson (E)</t>
  </si>
  <si>
    <t>0-19-283005-8</t>
  </si>
  <si>
    <t>225.7  NEI  t</t>
  </si>
  <si>
    <t>The Interpretation Of The New Testament 1861 - 1961</t>
  </si>
  <si>
    <t>Stephen Neill</t>
  </si>
  <si>
    <t>0-8006-3115-3</t>
  </si>
  <si>
    <t>225.61 PRE e</t>
  </si>
  <si>
    <t>Engaging the New Testament, An Interdiscilpinary Introduction</t>
  </si>
  <si>
    <t>Russel Pregant</t>
  </si>
  <si>
    <t>0-8006-2952-3</t>
  </si>
  <si>
    <t>The Historiy And Theology Of The New Testament Writings</t>
  </si>
  <si>
    <t xml:space="preserve">Jerman </t>
  </si>
  <si>
    <t>0-8006-2396-7</t>
  </si>
  <si>
    <t>225.6 PAT s</t>
  </si>
  <si>
    <t>Structural Exegesis for New Testament Critics</t>
  </si>
  <si>
    <t>Daniel Patte</t>
  </si>
  <si>
    <t>0-8010-6260-8</t>
  </si>
  <si>
    <t xml:space="preserve">225.6 MCK i   </t>
  </si>
  <si>
    <t>Introducing New Testament Interpretation, Guides to New Testament Exegesis</t>
  </si>
  <si>
    <t>Linguistik</t>
  </si>
  <si>
    <t>Scot Mcknight (Ed.)</t>
  </si>
  <si>
    <t>978-0-06-065518-1</t>
  </si>
  <si>
    <t>225.6 MAC w</t>
  </si>
  <si>
    <t>Who Wrote The New Testament ? The Making of the Christian Myth</t>
  </si>
  <si>
    <t>Burton L. Mack</t>
  </si>
  <si>
    <t>Harper One</t>
  </si>
  <si>
    <t>978-0-8028-6026-2</t>
  </si>
  <si>
    <t>225.6 KAS o</t>
  </si>
  <si>
    <t>On Being A Disciple of The Crucified Nazarene</t>
  </si>
  <si>
    <t>Ernst Kasemann</t>
  </si>
  <si>
    <t>225.6 KAI e</t>
  </si>
  <si>
    <t>Exegetical Method A Student's Handbook</t>
  </si>
  <si>
    <t>Otto Kaiser &amp; Werner Georg Kummel</t>
  </si>
  <si>
    <t>The Seabury Press</t>
  </si>
  <si>
    <t>978-0-8028-6420-8</t>
  </si>
  <si>
    <t>225.6 GRE h</t>
  </si>
  <si>
    <t>Hearing the New Testament</t>
  </si>
  <si>
    <t>1-55540-209-7</t>
  </si>
  <si>
    <t>225.6 AUN g</t>
  </si>
  <si>
    <t xml:space="preserve">Greco-Roman Literature and The New ttestament </t>
  </si>
  <si>
    <t>biblika</t>
  </si>
  <si>
    <t>Dvid E. Aune (E)</t>
  </si>
  <si>
    <t>Scholars Press</t>
  </si>
  <si>
    <t>0-8028-4425-1</t>
  </si>
  <si>
    <t>225.6 FIT t</t>
  </si>
  <si>
    <t>To Advance The Gospel</t>
  </si>
  <si>
    <t>0-664-24469-6</t>
  </si>
  <si>
    <t>225.6 FEE n</t>
  </si>
  <si>
    <t>New Testament Exegesis A Handbook for Students and Pastors</t>
  </si>
  <si>
    <t xml:space="preserve"> Westminster Press</t>
  </si>
  <si>
    <t>978-1-58134-716-6</t>
  </si>
  <si>
    <t>225.6 DEV t</t>
  </si>
  <si>
    <t xml:space="preserve">The Message of the New Testament </t>
  </si>
  <si>
    <t>Mark Dever</t>
  </si>
  <si>
    <t>Crossway Books</t>
  </si>
  <si>
    <t>0-913573-80-9</t>
  </si>
  <si>
    <t>225.6 CON  i</t>
  </si>
  <si>
    <t>Interpreting The New Testament</t>
  </si>
  <si>
    <t>Hans Conzelmann; Andreas Lindemann</t>
  </si>
  <si>
    <t>Hendrickson Publishers</t>
  </si>
  <si>
    <t>978-1-84474-196-0</t>
  </si>
  <si>
    <t>225.6 COM</t>
  </si>
  <si>
    <t>Commentary on The New Testament Use of the Old Ttestament</t>
  </si>
  <si>
    <t>G.K. Beale &amp; D. A. Carson (E)</t>
  </si>
  <si>
    <t>0-8054-1850-4</t>
  </si>
  <si>
    <t>225.6 BLA i</t>
  </si>
  <si>
    <t>Interpreting The New Testament, Essays on Methods and Issues</t>
  </si>
  <si>
    <t>David Alan Black &amp; David S. Dockery</t>
  </si>
  <si>
    <t>Nashville Tennessee</t>
  </si>
  <si>
    <t>0-664-25154-4</t>
  </si>
  <si>
    <t>225.6 BAI l</t>
  </si>
  <si>
    <t>Literary Forms in The New Testament</t>
  </si>
  <si>
    <t>linguistik</t>
  </si>
  <si>
    <t>James L. Bailey and Lyle D. Vander Broek</t>
  </si>
  <si>
    <t>0-8267-0025-X</t>
  </si>
  <si>
    <t>225.52 BRA m</t>
  </si>
  <si>
    <t>Helps For Translators: Marginal Notes For the Old Testament: Based on the Text of Today's English Version</t>
  </si>
  <si>
    <t>978-0-8028-0006-8</t>
  </si>
  <si>
    <t>225.5 THI t</t>
  </si>
  <si>
    <t>The Two Horizons: New Testament Hermeneutics And Philosophical Description</t>
  </si>
  <si>
    <t>Anthony C. Thiselton</t>
  </si>
  <si>
    <t>88-7653-600-0</t>
  </si>
  <si>
    <t>225.480 SWE a2</t>
  </si>
  <si>
    <t>An Introduction to the study of New testament Greek (Vulome II: Key, Lists, Paradigms, Indices</t>
  </si>
  <si>
    <t>James Swetnam, S.J.</t>
  </si>
  <si>
    <t>Editrice Pontificio Istituto Biblico</t>
  </si>
  <si>
    <t>225.480 SWE a1</t>
  </si>
  <si>
    <t>An Introduction to the Study of New Testament Greek (Volume I: Lessons)</t>
  </si>
  <si>
    <t>978-979-95190-2-3</t>
  </si>
  <si>
    <t>225.480 SAN b</t>
  </si>
  <si>
    <t>Bahasa Yunani Perjanjian Baru, Sebuah Pengantar Tata Bahasa Yunani Koine</t>
  </si>
  <si>
    <t xml:space="preserve">Dr. Agus Santoso </t>
  </si>
  <si>
    <t xml:space="preserve">Abdiel Press </t>
  </si>
  <si>
    <t>Stanley E. Porter; Jeffrey T. Reed dan Matthew Brook O'Donnell</t>
  </si>
  <si>
    <t>225.48 PER r</t>
  </si>
  <si>
    <t>Refresh Your Greek, Practical Helps for Reading the New Testament</t>
  </si>
  <si>
    <t>Wesley J. Perschbacher</t>
  </si>
  <si>
    <t>0-310-28680-8</t>
  </si>
  <si>
    <t>225.48 MAR n</t>
  </si>
  <si>
    <t>The NIV Interlinear Greek-English New Testament</t>
  </si>
  <si>
    <t>Alfred Marshall</t>
  </si>
  <si>
    <t>225.48  ALA  t</t>
  </si>
  <si>
    <t>Kurt Alnd and Barbara Aland</t>
  </si>
  <si>
    <t>225.47 LOU s</t>
  </si>
  <si>
    <t>Semantiek Van Nuwe Testamentiese Grieks</t>
  </si>
  <si>
    <t>J.P. Louw</t>
  </si>
  <si>
    <t>PRETORIA</t>
  </si>
  <si>
    <t>225.413.1NEW c</t>
  </si>
  <si>
    <t>A Concise Greek - English Dictionary Of The New Testament</t>
  </si>
  <si>
    <t>United Bible Society</t>
  </si>
  <si>
    <t>978-1-62837-199-4</t>
  </si>
  <si>
    <t>225.4 WAS a</t>
  </si>
  <si>
    <t xml:space="preserve">A New Appoach to Textual Criticism An Introduction to the Coherence-Based Genealogical Method </t>
  </si>
  <si>
    <t xml:space="preserve">Tommy Wasserman &amp; Peter J. Gurry </t>
  </si>
  <si>
    <t>SLB Press</t>
  </si>
  <si>
    <t>1-85075-325-3</t>
  </si>
  <si>
    <t>225.4 POR l</t>
  </si>
  <si>
    <t>The Language of the New Testament Classic Essays</t>
  </si>
  <si>
    <t xml:space="preserve">Stanley E. Porter   </t>
  </si>
  <si>
    <t>JSOT Press</t>
  </si>
  <si>
    <t>978-0-521-71989-6</t>
  </si>
  <si>
    <t>225.4 PAR a</t>
  </si>
  <si>
    <t>An Introduction to The New Testament Manuscripts and Their Texts</t>
  </si>
  <si>
    <t>David C. Parker</t>
  </si>
  <si>
    <t>Cambridge</t>
  </si>
  <si>
    <t>0-8028-0082-3</t>
  </si>
  <si>
    <t>225.4 GRE s</t>
  </si>
  <si>
    <t>Scribes, Scrolls &amp; Scripture</t>
  </si>
  <si>
    <t>979-415-137-8</t>
  </si>
  <si>
    <t>225.4 CHI s</t>
  </si>
  <si>
    <t>Studi Perjanjian Baru Bagi Pemula</t>
  </si>
  <si>
    <t>Bruce Chilton</t>
  </si>
  <si>
    <t>0-664-25621-X</t>
  </si>
  <si>
    <t>225.3 WIT</t>
  </si>
  <si>
    <t>John's Wisdom - A Commentary On The Fourth Gospel</t>
  </si>
  <si>
    <t>Ben Witherington, III</t>
  </si>
  <si>
    <t>Westminster John Knox Press, Louisville Kentucky</t>
  </si>
  <si>
    <t>978-1-4335-0500-3</t>
  </si>
  <si>
    <t>225.1'2 KRU c</t>
  </si>
  <si>
    <t>Canon Revisited</t>
  </si>
  <si>
    <t>Michael J. Kruger</t>
  </si>
  <si>
    <t>CROSSWAY</t>
  </si>
  <si>
    <t>0-664-20970-X</t>
  </si>
  <si>
    <t>225.1 ROB r</t>
  </si>
  <si>
    <t>Redating The New Testament</t>
  </si>
  <si>
    <t>John A. T. Robinson</t>
  </si>
  <si>
    <t>979-415-914-x</t>
  </si>
  <si>
    <t>225.1 DRE s</t>
  </si>
  <si>
    <t>Satu Injil Tiga Pekabar; Terjadinya dan Amanat Injil-injil Matius, Markus dan Lukas</t>
  </si>
  <si>
    <t>225.09 TOO d</t>
  </si>
  <si>
    <t>Di Ambang Fajar Kekristenan</t>
  </si>
  <si>
    <t>Lawrence E. Toombs</t>
  </si>
  <si>
    <t>979-22-2367-3</t>
  </si>
  <si>
    <t>225.07 EHR  m</t>
  </si>
  <si>
    <t>Misquoting Jesus - Kesalahan Penyalinan Dalam Kitab Suci Perjanjian Baru, Kisah di Balik Siapa yang Mengubah Alkitab dan Apa Alasannya</t>
  </si>
  <si>
    <t>PT Gramedia Pustaka Utama</t>
  </si>
  <si>
    <t>521-06768-5</t>
  </si>
  <si>
    <t>225.04 WEN t</t>
  </si>
  <si>
    <t>The Elements of New Testament Greek</t>
  </si>
  <si>
    <t>Inggris-Yunani</t>
  </si>
  <si>
    <t>J.W. Wenham</t>
  </si>
  <si>
    <t>Cambridge At The University Press</t>
  </si>
  <si>
    <t>978-979-2607-13-9</t>
  </si>
  <si>
    <t>225.04 SYE t</t>
  </si>
  <si>
    <t>The True Gospel of Christ</t>
  </si>
  <si>
    <t>Elijah Syekh</t>
  </si>
  <si>
    <t>Citra</t>
  </si>
  <si>
    <t>978-1-59752-827-6</t>
  </si>
  <si>
    <t>225.04 ROH t</t>
  </si>
  <si>
    <t>The New Testament in Cross-Cultural Perspective</t>
  </si>
  <si>
    <t xml:space="preserve">Richard L.  Rohrbaugs </t>
  </si>
  <si>
    <t>Cascade Books</t>
  </si>
  <si>
    <t>225.04 RHE a</t>
  </si>
  <si>
    <t>An Analytical Approach to The New Testament</t>
  </si>
  <si>
    <t>Francis Bayard Rhein</t>
  </si>
  <si>
    <t>Woodbury</t>
  </si>
  <si>
    <t>978-979-21-1736-3</t>
  </si>
  <si>
    <t>225.04 RAM m</t>
  </si>
  <si>
    <t>Menguak Injil-Injil Rahasia</t>
  </si>
  <si>
    <t>Deshi Ramadhani,SJ</t>
  </si>
  <si>
    <t>225.04 MUN d</t>
  </si>
  <si>
    <t>Dapatkah Arkeologi Membuktikan Kebenaran Perjanjian Baru ?</t>
  </si>
  <si>
    <t>Ralph O. Muncaster</t>
  </si>
  <si>
    <t>Gospel Press</t>
  </si>
  <si>
    <t>0-19-500391-8</t>
  </si>
  <si>
    <t>225.04 MET t</t>
  </si>
  <si>
    <t>The Text of The New Testament, Its Transmission, Corruption, and Restoration (second edition)</t>
  </si>
  <si>
    <t>979-21-0110-1</t>
  </si>
  <si>
    <t>225.04 HAR mk</t>
  </si>
  <si>
    <t>Memberitakan Injil Kerajaan Ulasan Injil Hari Minggu Tahun A Masa Khusus</t>
  </si>
  <si>
    <t>Dr. Martin Harun, OFM</t>
  </si>
  <si>
    <t>979-672-643-2</t>
  </si>
  <si>
    <t>225.04 HAR i</t>
  </si>
  <si>
    <t>Inilah Injil Yesus Kristus, Ulasan Injil Hari Minggu Tahun B masa Biasa</t>
  </si>
  <si>
    <t>979-672-894-X</t>
  </si>
  <si>
    <t>225.04 HAR t</t>
  </si>
  <si>
    <t>Tahun Rahmat Tuhan; Ulasan Injil Hari Minggu Tahun C Masa Biasa</t>
  </si>
  <si>
    <t>979-9532-05-1</t>
  </si>
  <si>
    <t>225.04 DAV u</t>
  </si>
  <si>
    <t>Ucapan Yang Sulit Dalam Perjanjian baru</t>
  </si>
  <si>
    <t>0-8028-2219-3</t>
  </si>
  <si>
    <t>225.04 BRU t</t>
  </si>
  <si>
    <t>The New Testament Documents</t>
  </si>
  <si>
    <t>0-8028-1525-1</t>
  </si>
  <si>
    <t>225.04 BRU m</t>
  </si>
  <si>
    <t xml:space="preserve">F. F. Bruce </t>
  </si>
  <si>
    <t>979-415-539-x</t>
  </si>
  <si>
    <t>225.04 BRU d</t>
  </si>
  <si>
    <t>Dokumen-dokumen Perjanjian Baru</t>
  </si>
  <si>
    <t>225.04 AMB i</t>
  </si>
  <si>
    <t>Injil Palsu Barnabas</t>
  </si>
  <si>
    <t>Hamran Ambrie</t>
  </si>
  <si>
    <t>P. B. K. Sinar Kasih</t>
  </si>
  <si>
    <t>979-21-0222-1</t>
  </si>
  <si>
    <t>225.04  HAR  m</t>
  </si>
  <si>
    <t>Memberitakan Injil Kerajaan Ulasan Injil Hari Minggu</t>
  </si>
  <si>
    <t>225.04  GUT  p</t>
  </si>
  <si>
    <t>Plain Talk On John</t>
  </si>
  <si>
    <t>Manford George Gutzke</t>
  </si>
  <si>
    <t>979-21-1394-0</t>
  </si>
  <si>
    <t>225.04  GIA  k</t>
  </si>
  <si>
    <t>Kumpulan Ulasan Injil - Bersama Dia</t>
  </si>
  <si>
    <t>Agustinus Gianto, S.J.</t>
  </si>
  <si>
    <t>979-21-1056-9</t>
  </si>
  <si>
    <t>225.04  GIA  d</t>
  </si>
  <si>
    <t>Dag - Dig - Dug Byaar - Kumpulan Ulasan Injil</t>
  </si>
  <si>
    <t>978-979-21-1889-6</t>
  </si>
  <si>
    <t>225. 92 STA k</t>
  </si>
  <si>
    <t>Kegilaan Orang-orang Galilea</t>
  </si>
  <si>
    <t>Surip Stanislaus</t>
  </si>
  <si>
    <t>978-3-438-05222-3</t>
  </si>
  <si>
    <t>225.480 BRA b</t>
  </si>
  <si>
    <t>H. Bradtke Dkk</t>
  </si>
  <si>
    <t>978-3-438-05219-3</t>
  </si>
  <si>
    <t>978-979-21-1661-8</t>
  </si>
  <si>
    <t>225.04 GIA d</t>
  </si>
  <si>
    <t>Dahsyaat! Kumpulan Ulasan  Injil</t>
  </si>
  <si>
    <t>Agustinus Gianto, S. J.</t>
  </si>
  <si>
    <t>225 RYH c</t>
  </si>
  <si>
    <t>Companion To The Good News</t>
  </si>
  <si>
    <t>Joseph Rhymer &amp; Anthony Bullen</t>
  </si>
  <si>
    <t>Collins Fontana Books</t>
  </si>
  <si>
    <t>0-8407-5113-3</t>
  </si>
  <si>
    <t>225 PIC i</t>
  </si>
  <si>
    <t>The Identity of The New Testament Text</t>
  </si>
  <si>
    <t>Wilbur N. Pickering</t>
  </si>
  <si>
    <t>979-21-1393-2</t>
  </si>
  <si>
    <t>225 GIA m</t>
  </si>
  <si>
    <t>Membarui Wajah Manusia; Kumpulan Ulasan Injil</t>
  </si>
  <si>
    <t>978-979-687-223-7</t>
  </si>
  <si>
    <t>225 DRE kr</t>
  </si>
  <si>
    <t>Kunci Bahasa Yunani Perjanjian Baru Surat Roma Hingga Kitab Wahyu</t>
  </si>
  <si>
    <t>Pdt. B.F Drewes, M.Th, Dr. Wilfrid Haubeck, Dr. Heinrich von Siebenthal</t>
  </si>
  <si>
    <t>978-979-687-522-1</t>
  </si>
  <si>
    <t>225 DRE km</t>
  </si>
  <si>
    <t>Kunci Bahasa Yunani Perjanjian Baru Kitab Injil Matius Hingga Kitab Kisah Para Rasul</t>
  </si>
  <si>
    <t>Pdt. B.F drewes, M.Th, Dr. Wilfrid Haubeck</t>
  </si>
  <si>
    <t>979-415-905-0</t>
  </si>
  <si>
    <t>225 DRA m</t>
  </si>
  <si>
    <t>Memahami Perjanjian Baru; Pengantar Historis Teologis</t>
  </si>
  <si>
    <t>John Drane</t>
  </si>
  <si>
    <t>979-415-521-7</t>
  </si>
  <si>
    <t>225  MAR p</t>
  </si>
  <si>
    <t>Pengantar Perjanjian Baru - Pendekatan Kritis Terhadap Masalah-masalahnya</t>
  </si>
  <si>
    <t>Willi Marxsen</t>
  </si>
  <si>
    <t>BPK. Gunung Mulia</t>
  </si>
  <si>
    <t>978-979-415-521-9</t>
  </si>
  <si>
    <t>979-9043-77-8</t>
  </si>
  <si>
    <t>224.99 BUC k</t>
  </si>
  <si>
    <t>Kupasan Firman Allah Kitab Maleakhi</t>
  </si>
  <si>
    <t>Charles E. Buckner</t>
  </si>
  <si>
    <t>978-602-231-318-2</t>
  </si>
  <si>
    <t>224.95 TEL h</t>
  </si>
  <si>
    <t>Tafsiran Alkitab Kontekstual - Oikumenis HABAKUK</t>
  </si>
  <si>
    <t>Tafsiran</t>
  </si>
  <si>
    <t>J.A  Telnoni</t>
  </si>
  <si>
    <t>0-8042-0423-3</t>
  </si>
  <si>
    <t>224.95 MAL t</t>
  </si>
  <si>
    <t>the New Testament World Insight from Cultural Anthropology</t>
  </si>
  <si>
    <t>US</t>
  </si>
  <si>
    <t>Bruce J. Malina</t>
  </si>
  <si>
    <t>978-979-415-152-5</t>
  </si>
  <si>
    <t>224.94 VEI t</t>
  </si>
  <si>
    <t xml:space="preserve">Tafsiran Alkitab Kitab Nahum </t>
  </si>
  <si>
    <t>J. Veitch</t>
  </si>
  <si>
    <t>224.92 SNA s</t>
  </si>
  <si>
    <t>Study Notes on Bible Books Notes on The Hebrew text of The Book of Jonah</t>
  </si>
  <si>
    <t>978-979-21-3347-9</t>
  </si>
  <si>
    <t>224.92 SAN e</t>
  </si>
  <si>
    <t>Engkaulah Pengasih dan Penyayang - Tafsir Kitab Yunus</t>
  </si>
  <si>
    <t>Dr. Agus Santoso</t>
  </si>
  <si>
    <t>979-415-078-9</t>
  </si>
  <si>
    <t>224.92 KRA t</t>
  </si>
  <si>
    <t>Tafsiran Alkitab Kitab Yunus</t>
  </si>
  <si>
    <t>A. Th. Kramer</t>
  </si>
  <si>
    <t>0-8267-0132-9</t>
  </si>
  <si>
    <t>224.9 CLA a</t>
  </si>
  <si>
    <t>A Handbook on The Books of Obadiah, Jonah And Micah</t>
  </si>
  <si>
    <t>David J. Clark</t>
  </si>
  <si>
    <t>978-602-231-079-2</t>
  </si>
  <si>
    <t>224.91 VEI</t>
  </si>
  <si>
    <t>Tafsiran Alkitab Kitab Obaja</t>
  </si>
  <si>
    <t>224.9 PRI j</t>
  </si>
  <si>
    <t>Helps For Translators: A Translators Handbook on the Book of Jonah</t>
  </si>
  <si>
    <t>Tafsiran/Teologi</t>
  </si>
  <si>
    <t>Brynmor F. Price Dkk</t>
  </si>
  <si>
    <t>224.9 EDE h</t>
  </si>
  <si>
    <t>Hebraisch-Deutsche Praparation zu den, Kleinen Propheten" II</t>
  </si>
  <si>
    <t>Reiner-Friedemann Edel</t>
  </si>
  <si>
    <t>0-8267-0129-9</t>
  </si>
  <si>
    <t>224.9 CLA o</t>
  </si>
  <si>
    <t>Helps For Translators: A Translator's Handbook On The Books of Obadiah and Micah</t>
  </si>
  <si>
    <t>1-85075-005-x</t>
  </si>
  <si>
    <t>224.9 AUL</t>
  </si>
  <si>
    <t>Old Testament Guides Amos</t>
  </si>
  <si>
    <t>R. N. Whybray (Ed)</t>
  </si>
  <si>
    <t>224.8 WAA a</t>
  </si>
  <si>
    <t>Helps For Translators: A Translator's Handbook on the Book of Amos</t>
  </si>
  <si>
    <t>Jan De Waard Dkk</t>
  </si>
  <si>
    <t>0-8267-0130-2</t>
  </si>
  <si>
    <t>224.94 CLA n</t>
  </si>
  <si>
    <t>Helps For Translators: A Translator's Handbook on the Books of Nahum, Habakkuk, and Zephaniah</t>
  </si>
  <si>
    <t>224.8 SNA sa2</t>
  </si>
  <si>
    <t>Study Notes on Bible Books Amos Part II</t>
  </si>
  <si>
    <t>Norman H. Snaith</t>
  </si>
  <si>
    <t>224.8 SNA sa1</t>
  </si>
  <si>
    <t>Study Notes on Bible Books Amos Part I</t>
  </si>
  <si>
    <t>978-602-0904-31-3</t>
  </si>
  <si>
    <t>224.8 NIK k</t>
  </si>
  <si>
    <t>Kitab Amos; Tanggung Jawab Orang Kristen dalam Mengatasi Masalah Sosial, Budaya, Ekonomi, dan Politik</t>
  </si>
  <si>
    <t>Victor P.H. Nikijuluw</t>
  </si>
  <si>
    <t>Literatur Perkantas</t>
  </si>
  <si>
    <t>0-664-24077-1</t>
  </si>
  <si>
    <t>224.8 KIN a</t>
  </si>
  <si>
    <t>Amos, Hosea, Micah-An Archaeological Commentary</t>
  </si>
  <si>
    <t>Philip J. King</t>
  </si>
  <si>
    <t>978-602-231-074-7</t>
  </si>
  <si>
    <t>224.8 DAR m</t>
  </si>
  <si>
    <t>Seri Pemahaman Alkitab - Mencari Allah</t>
  </si>
  <si>
    <t>979-415-781-3</t>
  </si>
  <si>
    <t>224.8 BOL k</t>
  </si>
  <si>
    <t>Tafsiran Alkitab Kitab Amos</t>
  </si>
  <si>
    <t>B.J. Boland</t>
  </si>
  <si>
    <t>978-979-415-781-7</t>
  </si>
  <si>
    <t>B. J. Bolland</t>
  </si>
  <si>
    <t>979-3292-42-3</t>
  </si>
  <si>
    <t>224.6 VAN p</t>
  </si>
  <si>
    <t>Penginterpretasian Kitab Para Nabi</t>
  </si>
  <si>
    <t>Willem A. Van Gemeren</t>
  </si>
  <si>
    <t>224.6 KUI h</t>
  </si>
  <si>
    <t>Tafsiran Hosea</t>
  </si>
  <si>
    <t xml:space="preserve"> A. de Kuiper</t>
  </si>
  <si>
    <t>978-979-415-782-4</t>
  </si>
  <si>
    <t>224.6 KUI</t>
  </si>
  <si>
    <t>Tafsiran Alkitab Kitab Hosea</t>
  </si>
  <si>
    <t>A. de Kuiper</t>
  </si>
  <si>
    <t>0-8028-3312-8</t>
  </si>
  <si>
    <t>224.5 YOU p</t>
  </si>
  <si>
    <t>The Prophecy of Daniel A Commentary</t>
  </si>
  <si>
    <t>Edward J. Young,Th.M., Ph.D.</t>
  </si>
  <si>
    <t>978-602-8009-24-9</t>
  </si>
  <si>
    <t>224.5 WAL d</t>
  </si>
  <si>
    <t>Seri Pemahaman Dan Penerapan Amanat Alkitab Masa Kini Daniel</t>
  </si>
  <si>
    <t>Ronald S. Wallace</t>
  </si>
  <si>
    <t>224.5 UBS</t>
  </si>
  <si>
    <t>Daniel Ezra and Nehemia</t>
  </si>
  <si>
    <t xml:space="preserve"> Judah J. Slotki</t>
  </si>
  <si>
    <t>The Soncino Press</t>
  </si>
  <si>
    <t>978-979-415-114-9</t>
  </si>
  <si>
    <t>224.5 SIA</t>
  </si>
  <si>
    <t>Tafsiran Alkitab Kitab Daniel , Latarbelakang, Tafsiran dan Pesan</t>
  </si>
  <si>
    <t>S. M. Siahaan &amp; Robert M. Paterson</t>
  </si>
  <si>
    <t>979-415-114-9</t>
  </si>
  <si>
    <t>Tafsiran Alkitab Kitab Daniel</t>
  </si>
  <si>
    <t xml:space="preserve"> S. M. Siahaan &amp; Robert M. Paterson</t>
  </si>
  <si>
    <t>979-9532-59-0</t>
  </si>
  <si>
    <t>224.5 NEW k</t>
  </si>
  <si>
    <t>Kitab Daniel Seri Tafsiran Alkitab</t>
  </si>
  <si>
    <t>Lynne Newell</t>
  </si>
  <si>
    <t>224.5 DIE a</t>
  </si>
  <si>
    <t>AUXILIAIRES DU TRADUCTEUR: MANUEL DU TRADUCTEUR POUR L'EVANGILE DE LUC</t>
  </si>
  <si>
    <t>Ch. Dieterle; J. Reiling; J.L. Swellengrebel</t>
  </si>
  <si>
    <t>Publie Par L'Alliance Biblique Universelle</t>
  </si>
  <si>
    <t>224.5 CON m</t>
  </si>
  <si>
    <t>Par Rene Peter &amp; Contesse</t>
  </si>
  <si>
    <t>0-529-06991-1</t>
  </si>
  <si>
    <t>224.5 BIE p</t>
  </si>
  <si>
    <t>The Prophecy Handbook</t>
  </si>
  <si>
    <t>William E. Biederwolf</t>
  </si>
  <si>
    <t>World Bible Publishers</t>
  </si>
  <si>
    <t>0-87784-961-7</t>
  </si>
  <si>
    <t>Daniel An Introduction and Commentary</t>
  </si>
  <si>
    <t>979-763-772-7</t>
  </si>
  <si>
    <t>224.5 SUB t</t>
  </si>
  <si>
    <t>Tafsir Daniel - Nubuat Akhir Zaman</t>
  </si>
  <si>
    <t>Timotius Subekti</t>
  </si>
  <si>
    <t>Andi</t>
  </si>
  <si>
    <t>90-6126-196-1</t>
  </si>
  <si>
    <t>224.45 HAA g</t>
  </si>
  <si>
    <t>Grote Letter Bijbel</t>
  </si>
  <si>
    <t>Haarlem</t>
  </si>
  <si>
    <t>NBG-Vertaling</t>
  </si>
  <si>
    <t>224.4 WON t</t>
  </si>
  <si>
    <t>Tafsiran Kitab Yehezkiel</t>
  </si>
  <si>
    <t>Peter Wongso</t>
  </si>
  <si>
    <t>0-87784-272-8</t>
  </si>
  <si>
    <t>224.4 TAY e</t>
  </si>
  <si>
    <t>Tyndale Old Testament Commentaries (TOTC) Vol. 20 - Ezekiel</t>
  </si>
  <si>
    <t>John B. Taylor</t>
  </si>
  <si>
    <t>978-979-687-631-0</t>
  </si>
  <si>
    <t>224.35 KAR</t>
  </si>
  <si>
    <t>Tafsiran Alkitab Kitab Rut</t>
  </si>
  <si>
    <t>Yonky Karman, Ph.D.</t>
  </si>
  <si>
    <t>224.3 PIL</t>
  </si>
  <si>
    <t>Tafsiran Mikha</t>
  </si>
  <si>
    <t>Drs. P. K. Pilon</t>
  </si>
  <si>
    <t>979-415-946-8</t>
  </si>
  <si>
    <t>224.3 PAT</t>
  </si>
  <si>
    <t>Tafsiran Alkitab Kitab Ratapan</t>
  </si>
  <si>
    <t>Robert M. Paterson</t>
  </si>
  <si>
    <t>1-57506-098-1</t>
  </si>
  <si>
    <t>224.206 KES r</t>
  </si>
  <si>
    <t>Reading The Book of Jeremiah</t>
  </si>
  <si>
    <t>Martin Kessler (E)</t>
  </si>
  <si>
    <t>Eisenbrauns</t>
  </si>
  <si>
    <t>224.2 TOR</t>
  </si>
  <si>
    <t>Torch Bible Commentaries - Jeremiah</t>
  </si>
  <si>
    <t>H. Cunliffe - Jones</t>
  </si>
  <si>
    <t>979-415-558-6</t>
  </si>
  <si>
    <t>224.2 PAT t</t>
  </si>
  <si>
    <t>Tafsiran Alkitab Kitab Yeremia</t>
  </si>
  <si>
    <t>978-979-415-558-5</t>
  </si>
  <si>
    <t>Tafsiran Kitab Yeremia</t>
  </si>
  <si>
    <t>224.2 MAR p</t>
  </si>
  <si>
    <t>Penjelasan Singkat Tentang Kitab Yeremia</t>
  </si>
  <si>
    <t>Dorothy Marx</t>
  </si>
  <si>
    <t>979-9143-47-0</t>
  </si>
  <si>
    <t>224.2 KID s</t>
  </si>
  <si>
    <t>Seri Pemahaman dan Penerapan Amanat Alkitab Masa Kini Yeremia</t>
  </si>
  <si>
    <t>0-89130-273-5</t>
  </si>
  <si>
    <t>224.1 ZIJ a</t>
  </si>
  <si>
    <t>A Concordance to The Targum of Isaiah</t>
  </si>
  <si>
    <t>J.B. Van Zijl</t>
  </si>
  <si>
    <t>978-979-687-179-7</t>
  </si>
  <si>
    <t>224.1 WID t</t>
  </si>
  <si>
    <t>Tafsiran Alkitab Kitab Yesaya Pasal 1-39</t>
  </si>
  <si>
    <t>979-687-179-3</t>
  </si>
  <si>
    <t xml:space="preserve"> S. H. Widyapranawa</t>
  </si>
  <si>
    <t>224.1 SNA si</t>
  </si>
  <si>
    <t>Study Notes on Bible Books Notes on the Hebrew Text of Isaiah Chapters XXVIII - XXXII</t>
  </si>
  <si>
    <t>978-979-21-3950-1</t>
  </si>
  <si>
    <t>224.1 SIN d</t>
  </si>
  <si>
    <t>Dari Babel Ke Yerusalem: Sebuah Tafsir Yesaya Pasal 40-55:</t>
  </si>
  <si>
    <t>Emanuel Gerrit Singgih</t>
  </si>
  <si>
    <t>979-26-1313-7</t>
  </si>
  <si>
    <t>224.1 PAR k</t>
  </si>
  <si>
    <t>Kritik Sosial Politik Nabi Yesaya</t>
  </si>
  <si>
    <t>Berthold Anton Pareira</t>
  </si>
  <si>
    <t>Penerbit Dioma Malang</t>
  </si>
  <si>
    <t>224.1 MUC i</t>
  </si>
  <si>
    <t>Isaiah Chapters 1-39</t>
  </si>
  <si>
    <t>J. Yeoman Muckle</t>
  </si>
  <si>
    <t>224.1 BAR t</t>
  </si>
  <si>
    <t>Tafsiran Kitab Nabi Yesaya Fasal 40-55</t>
  </si>
  <si>
    <t>Marie &amp; Claire Barth</t>
  </si>
  <si>
    <t>0-8006-3670-8</t>
  </si>
  <si>
    <t>224.061 HUT f</t>
  </si>
  <si>
    <t>Fortress Introduction To The Prophets</t>
  </si>
  <si>
    <t>Rodney R. Hutton</t>
  </si>
  <si>
    <t>978-0-8010-3258-5</t>
  </si>
  <si>
    <t>224.06 SEI p</t>
  </si>
  <si>
    <t>Prophecy And Hermenetics: Toward a New Introduction to the Prophets</t>
  </si>
  <si>
    <t>Christopher R. Seitz</t>
  </si>
  <si>
    <t>1-58983-196-9</t>
  </si>
  <si>
    <t>224.06 MOO t</t>
  </si>
  <si>
    <t>The Elusive Prophet</t>
  </si>
  <si>
    <t>Johanes C. De Moor (E)</t>
  </si>
  <si>
    <t>224 BAR t</t>
  </si>
  <si>
    <t>Tafsiran Kitab Nabi Yesaya Pasal 56-66</t>
  </si>
  <si>
    <t>M.C. Barth</t>
  </si>
  <si>
    <t>979-415-779-1</t>
  </si>
  <si>
    <t>224 PIL t</t>
  </si>
  <si>
    <t>Tafsiran Alkitab Kitab Yoel</t>
  </si>
  <si>
    <t>P. K. Pilon</t>
  </si>
  <si>
    <t>979-978-415-779-4</t>
  </si>
  <si>
    <t>979-415-782-1</t>
  </si>
  <si>
    <t>224 KUI t</t>
  </si>
  <si>
    <t xml:space="preserve">Tafsiran Alkitab Kitab Hosea </t>
  </si>
  <si>
    <t>224 SOE y</t>
  </si>
  <si>
    <t>Yesus Kristus Pembawa Air Hidup</t>
  </si>
  <si>
    <t>R.P.G. Widyo Soewondo</t>
  </si>
  <si>
    <t>Konferensi Waligereja Indonesia</t>
  </si>
  <si>
    <t>979-001-040-0</t>
  </si>
  <si>
    <t>224 HAM p</t>
  </si>
  <si>
    <t>Para Nabi dan Nubuat Pribadi</t>
  </si>
  <si>
    <t>teologi</t>
  </si>
  <si>
    <t>DR. Bill Hamon</t>
  </si>
  <si>
    <t>Metanoia</t>
  </si>
  <si>
    <t>979-413-469-4</t>
  </si>
  <si>
    <t>224 DAR w</t>
  </si>
  <si>
    <t>Warta Nabi Masa Pembuangan dan Sesudahnya</t>
  </si>
  <si>
    <t>St. Darmawijaya Pr</t>
  </si>
  <si>
    <t>979-413-470-8</t>
  </si>
  <si>
    <t>Warta Nabi Abad VIII</t>
  </si>
  <si>
    <t>224 BUL</t>
  </si>
  <si>
    <t>Kitab Nabi-Nabi Perjanjian Lama</t>
  </si>
  <si>
    <t>C. Hassel Bullock</t>
  </si>
  <si>
    <t>978-0-8308-5312-0</t>
  </si>
  <si>
    <t>224 CON e</t>
  </si>
  <si>
    <t>Exploring the Old Testament - A Guide to the Prophets</t>
  </si>
  <si>
    <t>J. Gordon McConville</t>
  </si>
  <si>
    <t>0-87123-683-3</t>
  </si>
  <si>
    <t>223.907 PHI e</t>
  </si>
  <si>
    <t>Exploring The Song of Solomon</t>
  </si>
  <si>
    <t>John Phillips</t>
  </si>
  <si>
    <t>Loizeaux Brother</t>
  </si>
  <si>
    <t>978-1-84127-0520</t>
  </si>
  <si>
    <t>223.9 BRE t</t>
  </si>
  <si>
    <t>The Song Of Songs - A Feminist Companion To The Bible</t>
  </si>
  <si>
    <t>Athalya Brenner &amp; Carole R. Fontaine</t>
  </si>
  <si>
    <t>Sheffield Academic Press</t>
  </si>
  <si>
    <t>0-89453-235-9</t>
  </si>
  <si>
    <t>223.9 REE t</t>
  </si>
  <si>
    <t>The Book of Wisdom Song of Songs</t>
  </si>
  <si>
    <t>James M.Reese</t>
  </si>
  <si>
    <t>Michael Glazier, Inc.</t>
  </si>
  <si>
    <t>223.9 NEE k</t>
  </si>
  <si>
    <t>Kidung Agung</t>
  </si>
  <si>
    <t>Watchman Nee</t>
  </si>
  <si>
    <t>Yayasan Perpustakaan Injil</t>
  </si>
  <si>
    <t>979-415-229-4</t>
  </si>
  <si>
    <t>223.9 KOC k</t>
  </si>
  <si>
    <t>Kitab Yang Agung</t>
  </si>
  <si>
    <t>Klaus Koch</t>
  </si>
  <si>
    <t>978-1-57506-102-3</t>
  </si>
  <si>
    <t>223.807 SHI t</t>
  </si>
  <si>
    <t>The End of Wisdom, A Reappraisal of the Historical and Canonical Function of Ecclesiastes</t>
  </si>
  <si>
    <t>Martin A. Shields</t>
  </si>
  <si>
    <t>979-9290-07-4</t>
  </si>
  <si>
    <t>223.8 SIN h</t>
  </si>
  <si>
    <t>Hidup di Bawah Bayang-Bayang Maut Sebuah Tafsiran Kitab Pengkhotbah</t>
  </si>
  <si>
    <t>Pdt. Emanuel Gerrit Singgih, Ph.D.</t>
  </si>
  <si>
    <t>978-979-9290-07-6</t>
  </si>
  <si>
    <t>Hidup Di Bawah Bayang-Bayang Maut Sebuah Tafsiran Kitab Pengkhotbah</t>
  </si>
  <si>
    <t>1-58983-029-6</t>
  </si>
  <si>
    <t>223.8 MIL s</t>
  </si>
  <si>
    <t>Symbol and Rhetoric in Ecclesiastes (The Place of Hebel in Qohelet's Work)</t>
  </si>
  <si>
    <t>Douglas B. Miller</t>
  </si>
  <si>
    <t>979-8976-84-3</t>
  </si>
  <si>
    <t>223.8 KID p</t>
  </si>
  <si>
    <t>Seri Pemahaman Dan Penerapan Amanat Alkitab Masa Kini: Pengkhotbah</t>
  </si>
  <si>
    <t>1-85075-143-9</t>
  </si>
  <si>
    <t>223.8 FOX q</t>
  </si>
  <si>
    <t>Qohelet and His Contradictions</t>
  </si>
  <si>
    <t>Michael V. Fox</t>
  </si>
  <si>
    <t>Almond</t>
  </si>
  <si>
    <t xml:space="preserve">978-979-9290-07-6 </t>
  </si>
  <si>
    <t>223.8  SIN  h</t>
  </si>
  <si>
    <t>Hidup Di Bawah Bayang - Bayang Maut Sebuah Tafsiran Kitab Pengkhotbah</t>
  </si>
  <si>
    <t>Pdt. Emmanuel Gerrit Singgih, Ph. D</t>
  </si>
  <si>
    <t>978-979-687-389-0</t>
  </si>
  <si>
    <t>223.7 SIN t</t>
  </si>
  <si>
    <t>Tafsiran Alkitab Kitab Amsal 1-9</t>
  </si>
  <si>
    <t>Risnawaty Sinulingga</t>
  </si>
  <si>
    <t>978-602-231-009-9</t>
  </si>
  <si>
    <t>Tafsiran Alkitab Kitab Amsal 10:1-22:16</t>
  </si>
  <si>
    <t>979-3739-04-5</t>
  </si>
  <si>
    <t>223.7 JEF r</t>
  </si>
  <si>
    <t>Rahasia Salomo; 10 Kunci untuk Meraih Keberhasilan yang Luar Biasa dari Kitab Amsal</t>
  </si>
  <si>
    <t>Robert Jeffress</t>
  </si>
  <si>
    <t>978-0-8010-3168-7</t>
  </si>
  <si>
    <t>223.2 WEN p</t>
  </si>
  <si>
    <t>Psalms As Torah</t>
  </si>
  <si>
    <t xml:space="preserve">  0-8267-0299-6</t>
  </si>
  <si>
    <t>223.2 PEA p</t>
  </si>
  <si>
    <t>Helps For Translators: A Translator's Guide to Selected Psalms</t>
  </si>
  <si>
    <t>223.2 OES t</t>
  </si>
  <si>
    <t>The Psalms</t>
  </si>
  <si>
    <t>W.O.E.Oesterley</t>
  </si>
  <si>
    <t>223.2 NAI k</t>
  </si>
  <si>
    <t>Kitab Mazmur</t>
  </si>
  <si>
    <t>P. S. Naipospos</t>
  </si>
  <si>
    <t>Badan Penerbit Kristen Jakarta</t>
  </si>
  <si>
    <t>223.2 MAZ</t>
  </si>
  <si>
    <t>Kitab Zaboer Jaitoe Segala Mazmoer</t>
  </si>
  <si>
    <t>0-87784-959-5</t>
  </si>
  <si>
    <t>223.2 KID</t>
  </si>
  <si>
    <t>Psalms 73-150 A Commentary On Books III-V of The Psalms</t>
  </si>
  <si>
    <t>Derek Kidner, M.A.</t>
  </si>
  <si>
    <t>Inter-Varsity Press</t>
  </si>
  <si>
    <t>223.2 BAR t</t>
  </si>
  <si>
    <t>Tafsiran Alkitab Mazmur 1-41 Jilid II</t>
  </si>
  <si>
    <t>M.C. Barth &amp; B.A. Pareira</t>
  </si>
  <si>
    <t>979-415-555-1</t>
  </si>
  <si>
    <t>Tafsiran Alkitab Kitab Mazmur 73-150</t>
  </si>
  <si>
    <t>Marie Claire Barth &amp; B.A. Pareira</t>
  </si>
  <si>
    <t xml:space="preserve">223.2 BAR </t>
  </si>
  <si>
    <t>979-687-299-4</t>
  </si>
  <si>
    <t>Tafsiran Alkitab Kitab Mazmur 1-72, Pembimbing dan Tafsirannya</t>
  </si>
  <si>
    <t>979-415-976-x</t>
  </si>
  <si>
    <t>978-979-687-299-2</t>
  </si>
  <si>
    <t>Marie-Claire Barth-Frommel, B. A. Pareira</t>
  </si>
  <si>
    <t>0-664-24504-8</t>
  </si>
  <si>
    <t>223.2 AND o</t>
  </si>
  <si>
    <t>Out of the Depths (The Psalms Speak for Us Today)</t>
  </si>
  <si>
    <t>Bernhard W. Anderson</t>
  </si>
  <si>
    <t>979-415-218-8</t>
  </si>
  <si>
    <t>223.2 ABI m</t>
  </si>
  <si>
    <t>Mazmur dan Ibadah</t>
  </si>
  <si>
    <t>Dr. J. L. Ch. Abineno</t>
  </si>
  <si>
    <t>979-9532-44-2</t>
  </si>
  <si>
    <t>223.2  LON  b</t>
  </si>
  <si>
    <t>Bagaimana Menganalisa Kitab Mazmur</t>
  </si>
  <si>
    <t>978-0-567-54164-2</t>
  </si>
  <si>
    <t>223.1 HAR</t>
  </si>
  <si>
    <t xml:space="preserve">The Testament Of JOB, Text, Narrative and Reception History </t>
  </si>
  <si>
    <t>Maria Haralambakis</t>
  </si>
  <si>
    <t>Bloosbury T &amp; T Clark</t>
  </si>
  <si>
    <t>223.1 GUI s</t>
  </si>
  <si>
    <t>Studies In The Book of Job With A New Translation Supplement II To The Annual of Leeds University Oriental Society</t>
  </si>
  <si>
    <t xml:space="preserve">John Macdonald </t>
  </si>
  <si>
    <t>BRILL</t>
  </si>
  <si>
    <t>979-687-210-2</t>
  </si>
  <si>
    <t>223.1 GIR a</t>
  </si>
  <si>
    <t xml:space="preserve"> Ayub Korban Masyarakatnya</t>
  </si>
  <si>
    <t>Rene Girard</t>
  </si>
  <si>
    <t>0-87784-869-6</t>
  </si>
  <si>
    <t>223.1 AND t</t>
  </si>
  <si>
    <t>Job An Introduction and Commentary</t>
  </si>
  <si>
    <t>978-602-231-289-5</t>
  </si>
  <si>
    <t>223.1 BAR a</t>
  </si>
  <si>
    <t>Ayub Bergumul Dengan Penderitaan , Bergumul Dengan Allah</t>
  </si>
  <si>
    <t>Marie-Claire Barth-Frommel</t>
  </si>
  <si>
    <t>978-0-393-34053-2</t>
  </si>
  <si>
    <t>223.077 ALT w</t>
  </si>
  <si>
    <t>The Wisdom Books - Job, Proverbs and Ecclesiastes</t>
  </si>
  <si>
    <t>W.W. Norton &amp; Company New York London</t>
  </si>
  <si>
    <t>0-8028-4135-X</t>
  </si>
  <si>
    <t>223.06 BRO c</t>
  </si>
  <si>
    <t>Character In Crisis</t>
  </si>
  <si>
    <t>William P. Brown</t>
  </si>
  <si>
    <t>Grand Rapids</t>
  </si>
  <si>
    <t>978-0-465-02256-4</t>
  </si>
  <si>
    <t>223.06 ALT t</t>
  </si>
  <si>
    <t xml:space="preserve">The Art of Biblical Poetry </t>
  </si>
  <si>
    <t xml:space="preserve">Robert Alter </t>
  </si>
  <si>
    <t xml:space="preserve">Basic Books </t>
  </si>
  <si>
    <t>978-0-8028-3965-7</t>
  </si>
  <si>
    <t>223.06  MUR t</t>
  </si>
  <si>
    <t>The Tree of Life   An Exploration of Biblical Wisdom Literature</t>
  </si>
  <si>
    <t xml:space="preserve">Roland E. Murphy </t>
  </si>
  <si>
    <t>223. BUL k</t>
  </si>
  <si>
    <t>Kitab-kitab Puisi dalam Perjanjian Lama</t>
  </si>
  <si>
    <t>C. Hassell Bullock</t>
  </si>
  <si>
    <t>223.7 SIH j</t>
  </si>
  <si>
    <t>Janji Kitab Amsal Untuk Kehidupan Sehari-hari</t>
  </si>
  <si>
    <t>Evie Sihombing (E)</t>
  </si>
  <si>
    <t>Interaksara</t>
  </si>
  <si>
    <t>979-731-989-x</t>
  </si>
  <si>
    <t>223. 7 RIF c</t>
  </si>
  <si>
    <t>Cahaya Cinta; Mengungkap makna Kitab Kidung Agung</t>
  </si>
  <si>
    <t xml:space="preserve">Rifai, S. Th </t>
  </si>
  <si>
    <t>0-8006-0298-6</t>
  </si>
  <si>
    <t>223 WOL a</t>
  </si>
  <si>
    <t>Antrophology of the Old Testament</t>
  </si>
  <si>
    <t>v</t>
  </si>
  <si>
    <t>978-979-463-830-9</t>
  </si>
  <si>
    <t>223 HAR m</t>
  </si>
  <si>
    <t>Marilah Makanlah Hidanganku... Hikmat Israel dalam Amsal, Ayub &amp; Pengkhotbah</t>
  </si>
  <si>
    <t>iNDONESIA</t>
  </si>
  <si>
    <t>Matin Haun, OFM</t>
  </si>
  <si>
    <t>Percetakan Lembaga Alkitab Indonesia</t>
  </si>
  <si>
    <t>2229.061 DES</t>
  </si>
  <si>
    <t xml:space="preserve">Introducing the Apocrypha, Message, context, and Significance </t>
  </si>
  <si>
    <t xml:space="preserve">David A. deSilva </t>
  </si>
  <si>
    <t>978-979-1169-80-6</t>
  </si>
  <si>
    <t>222.9 SAN a</t>
  </si>
  <si>
    <t xml:space="preserve"> Akan Ada Pertolongan dan Kelepasan Tafsir Kitab Ester</t>
  </si>
  <si>
    <t xml:space="preserve">Pdt. Dr. Agus Santoso </t>
  </si>
  <si>
    <t>222.9 GOR m</t>
  </si>
  <si>
    <t>Megillat Esther The Masoretic Hebrew Text</t>
  </si>
  <si>
    <t>Robert Gordis</t>
  </si>
  <si>
    <t>KTAV Publishing House</t>
  </si>
  <si>
    <t>0-415-16780-9</t>
  </si>
  <si>
    <t>222.9 BEA t</t>
  </si>
  <si>
    <t>The Book of Hiding; Gender, Ethnicity, Annihilation, and Esther</t>
  </si>
  <si>
    <t>Timothy K. Beal</t>
  </si>
  <si>
    <t>978-1-57506-149-8</t>
  </si>
  <si>
    <t>222.6 KAL t</t>
  </si>
  <si>
    <t>The Retelling of Chronicles in Jewish Tradition and Literature</t>
  </si>
  <si>
    <t>Historiography</t>
  </si>
  <si>
    <t>Isaac Kalimi</t>
  </si>
  <si>
    <t>1-57506-072-8</t>
  </si>
  <si>
    <t>222.5095 TET t</t>
  </si>
  <si>
    <t>The Reconstructed Chronology of The Divided Kingdom</t>
  </si>
  <si>
    <t>M. Christine tetley</t>
  </si>
  <si>
    <t>222.5 KEI b</t>
  </si>
  <si>
    <t>Biblical Commentary on The Old Testament: The Books of The Kings</t>
  </si>
  <si>
    <t>C.F.Keil, D.D. and F. Delitzch, D.D.</t>
  </si>
  <si>
    <t>Old Testament Library I &amp; II Kings</t>
  </si>
  <si>
    <t>222.43 ROT t</t>
  </si>
  <si>
    <t>Tafsiran 1 Samuel</t>
  </si>
  <si>
    <t>H. Rothlisberger</t>
  </si>
  <si>
    <t>0-8028-2797-7</t>
  </si>
  <si>
    <t>222.4067 HAL d</t>
  </si>
  <si>
    <t>David's Secret Demons; Messiah, Murderer, Traitor, King</t>
  </si>
  <si>
    <t xml:space="preserve">Baruch Halpern </t>
  </si>
  <si>
    <t>222.4,5,6  CRO a</t>
  </si>
  <si>
    <t>A Harmony of The Books of Samuel, Kings And Chronicles - The Books of the Kings of Judah and Israel</t>
  </si>
  <si>
    <t>Wiliam Day Crockett</t>
  </si>
  <si>
    <t>87-7523-303-7</t>
  </si>
  <si>
    <t>222.4 DIN s</t>
  </si>
  <si>
    <t>Samuelsbogerne og Kongebogerne</t>
  </si>
  <si>
    <t>Palle Dinesen</t>
  </si>
  <si>
    <t>Kobenhavn</t>
  </si>
  <si>
    <t>0-8267-0108-6</t>
  </si>
  <si>
    <t>Helps For Translators: A Translator's Handbook on the Book of Ruth</t>
  </si>
  <si>
    <t>978-979-95190-3-0</t>
  </si>
  <si>
    <t>222.35 SAN p</t>
  </si>
  <si>
    <t>Perlindungan di Bawah Sayap-Nya Tafsir Kitab Rut</t>
  </si>
  <si>
    <t>Pdt. DR. Agus Santoso</t>
  </si>
  <si>
    <t xml:space="preserve">978-979-1169-78-3 </t>
  </si>
  <si>
    <t>222.35 SAN d</t>
  </si>
  <si>
    <t>Di Bawah Perlindungan Sayap-Nya Tafsir Kitab Rut</t>
  </si>
  <si>
    <t>979-9143-35-7</t>
  </si>
  <si>
    <t>222.35 ATK r</t>
  </si>
  <si>
    <t>Seri Pemahaman Dan Penerapan Amanat Alkitab Masa Kini - RUT</t>
  </si>
  <si>
    <t>David Atkinson</t>
  </si>
  <si>
    <t>222.34 RUS j</t>
  </si>
  <si>
    <t>The Layman's Bible Commentary:  Volume  6 - The Book of Judges, Ruth, The First and Second Books of Samuel</t>
  </si>
  <si>
    <t>Eric C. Rust</t>
  </si>
  <si>
    <t>0-8042-3107-9</t>
  </si>
  <si>
    <t>222.3207 MCC i</t>
  </si>
  <si>
    <t>Interpretation A Bible Commentary For Teaching and Preaching</t>
  </si>
  <si>
    <t xml:space="preserve">Teologi </t>
  </si>
  <si>
    <t>J. Clinton Mccann</t>
  </si>
  <si>
    <t>222.32  SOG  d</t>
  </si>
  <si>
    <t>Di Zaman Pemerintahan Para Hakim</t>
  </si>
  <si>
    <t>978-602-231-088-4</t>
  </si>
  <si>
    <t>222.27  MUL  k</t>
  </si>
  <si>
    <t>Tafsiran Alkitab - Kitab Yosua</t>
  </si>
  <si>
    <t>D.C Mulder</t>
  </si>
  <si>
    <t>222.2 WIL t</t>
  </si>
  <si>
    <t>The Wesleyan Bible Commentary Vol.I Part II Joshua-Esther.</t>
  </si>
  <si>
    <t>Charles W.Carter,M.A. Th. M. (E)</t>
  </si>
  <si>
    <t>978-602-231-087-7</t>
  </si>
  <si>
    <t>222.157 CAI k</t>
  </si>
  <si>
    <t>Tafsiran Alkitab Kitab Ulangan pasal 12-34</t>
  </si>
  <si>
    <t>Dr. I.J. Cairs</t>
  </si>
  <si>
    <t>979-415-178-4</t>
  </si>
  <si>
    <t>222.157 CAI</t>
  </si>
  <si>
    <t>Tafsiran Alkitab Kitab Ulangan pasal 1-11</t>
  </si>
  <si>
    <t>Dr. I.J. Cairns</t>
  </si>
  <si>
    <t>978-1-58983-517-7</t>
  </si>
  <si>
    <t>222.606 PER t</t>
  </si>
  <si>
    <t>The Deuteronomic History and The Book of Chronicles</t>
  </si>
  <si>
    <t>Raymond F. Person Jr.</t>
  </si>
  <si>
    <t>0-87784-882-3</t>
  </si>
  <si>
    <t>222.15 THO i</t>
  </si>
  <si>
    <t>An Introduction and Commentary: Deuteronomy</t>
  </si>
  <si>
    <t>J. A. Thompson</t>
  </si>
  <si>
    <t>979-415-108-4</t>
  </si>
  <si>
    <t>222.15 CAI u</t>
  </si>
  <si>
    <t>Tafsiran Alkitab Kitab Ulangan fasal 1-11 jilid 1</t>
  </si>
  <si>
    <t>222.15 CAI</t>
  </si>
  <si>
    <t xml:space="preserve">Tafsiran Alkitab Kitab Ulangan pasal 1-11 </t>
  </si>
  <si>
    <t>0-664-21393-6</t>
  </si>
  <si>
    <t>222.140 77 RIG n</t>
  </si>
  <si>
    <t>Numbers</t>
  </si>
  <si>
    <t>Walter Riggans</t>
  </si>
  <si>
    <t>978-979-415-760-2</t>
  </si>
  <si>
    <t xml:space="preserve">222.13 PAT </t>
  </si>
  <si>
    <t>Tafsiran Alkitab Kitab Imamat</t>
  </si>
  <si>
    <t>Pdt. Dr. Robert M. Paterson</t>
  </si>
  <si>
    <t>979-415-760-0</t>
  </si>
  <si>
    <t>222.13 PAT</t>
  </si>
  <si>
    <t>Tafsiran Alkitab - Kitab Imamat oleh : Robert M. Paterson</t>
  </si>
  <si>
    <t>978-602-231-058-7</t>
  </si>
  <si>
    <t>220.7 DAR i</t>
  </si>
  <si>
    <t>Imamat Yang Sempurna</t>
  </si>
  <si>
    <t>0-8028-4197-x</t>
  </si>
  <si>
    <t>222.13 BUD l</t>
  </si>
  <si>
    <t>The New Century Bible Commentary: Leviticus</t>
  </si>
  <si>
    <t>0-664-20985-8</t>
  </si>
  <si>
    <t>222.12'07 CHI o</t>
  </si>
  <si>
    <t>The Old Testament Library The Book of Exodus A Critical, Theological Commentary</t>
  </si>
  <si>
    <t xml:space="preserve">Westminster </t>
  </si>
  <si>
    <t>979-415-149-1</t>
  </si>
  <si>
    <t>222.12 ROS</t>
  </si>
  <si>
    <t>Tafsiran Alkitab Kitab Keluaran 1-15:21</t>
  </si>
  <si>
    <t>H. Rosin</t>
  </si>
  <si>
    <t>979-687-318-4</t>
  </si>
  <si>
    <t>222.12 PAT k</t>
  </si>
  <si>
    <t>Tafsiran Alkitab Kitab Keluaran</t>
  </si>
  <si>
    <t>Dr. Robert M. Paterson</t>
  </si>
  <si>
    <t>979-3240-35-0</t>
  </si>
  <si>
    <t xml:space="preserve">222.12 LON </t>
  </si>
  <si>
    <t>Memahami Keluaran</t>
  </si>
  <si>
    <t>Scripture Union Indonesia</t>
  </si>
  <si>
    <t>4:A</t>
  </si>
  <si>
    <t>222.12 JUS k1</t>
  </si>
  <si>
    <t>Kemah Suci Pelajaran Alkitab Dalam Keluaran 25-40 Jilid I</t>
  </si>
  <si>
    <t>Pdt. Jusuf B.S</t>
  </si>
  <si>
    <t>222.12 JUS k2</t>
  </si>
  <si>
    <t>Kemah Suci Pelajaran Alkitab Dalam Keluaran 25 - 40 Jilid III</t>
  </si>
  <si>
    <t>Pdt. Jusuf BS</t>
  </si>
  <si>
    <t>222.12 JUS k3</t>
  </si>
  <si>
    <t>Kemah Suci Pelajaran Alkitab Dalam Keluaran 25 - 40 Jilid II</t>
  </si>
  <si>
    <t>222.12 ABI p</t>
  </si>
  <si>
    <t>Paskah Israel Kesaksian Keluaran 1-15</t>
  </si>
  <si>
    <t>DR. J. L. CH. Abineno</t>
  </si>
  <si>
    <t>1-58983-160-8</t>
  </si>
  <si>
    <t>222.11RUN c</t>
  </si>
  <si>
    <t>On the Creation of the Cosmos according to Moses (Introduction, Translation and Commentary)</t>
  </si>
  <si>
    <t>David T. Runia</t>
  </si>
  <si>
    <t>0-8042-3101-X</t>
  </si>
  <si>
    <t>222.1107 BRU g</t>
  </si>
  <si>
    <t>Interpretation A Bible Commentary for Teahing and Preaching GENESIS</t>
  </si>
  <si>
    <t>Walter Brueggemann</t>
  </si>
  <si>
    <t>1-57506-106-6</t>
  </si>
  <si>
    <t>222.1106 TSU c</t>
  </si>
  <si>
    <t>Creation and Destruction</t>
  </si>
  <si>
    <t>978-1-59638-522-1</t>
  </si>
  <si>
    <t>222.11 VER a</t>
  </si>
  <si>
    <t>Adam in the New Testament</t>
  </si>
  <si>
    <t>J. P. Versteeg</t>
  </si>
  <si>
    <t>P&amp;R Publishing</t>
  </si>
  <si>
    <t>978-9-7908-1235-2</t>
  </si>
  <si>
    <t>222.11 PAR s1</t>
  </si>
  <si>
    <t>Seri 1 Silsilah di Kitab Kejadian; Dilihat dari Sudut Pandang Penyelenggaraan Sejarah Penebusan</t>
  </si>
  <si>
    <t>Abraham Park. D. Min, D. D.</t>
  </si>
  <si>
    <t>Grasindo</t>
  </si>
  <si>
    <t>978-602-95261-0-3</t>
  </si>
  <si>
    <t>222.11 SAY m</t>
  </si>
  <si>
    <t>Menyingkap Misteri Genesis; Kitab Kejadian dalam Terang Kebenarannya</t>
  </si>
  <si>
    <t>Lucas Sayogo</t>
  </si>
  <si>
    <t>Mustika Pustaka</t>
  </si>
  <si>
    <t>222.11 LEM k</t>
  </si>
  <si>
    <t>Tafsiran Kedjadian 5:1-12:3</t>
  </si>
  <si>
    <t>Dr. Walter Lempp</t>
  </si>
  <si>
    <t>Badan Penerbit Kristen</t>
  </si>
  <si>
    <t>979-415-377-x</t>
  </si>
  <si>
    <t>Tafsiran Alkitab Kitab Kejadian 12:4-25:18</t>
  </si>
  <si>
    <t>222.11 LEM t</t>
  </si>
  <si>
    <t>Tafsiran Kejadian (25:19-31:55) Kej. IV/bg. 1</t>
  </si>
  <si>
    <t>Tafsiran Kedjadian 12:4-25:18</t>
  </si>
  <si>
    <t>222 BEA o</t>
  </si>
  <si>
    <t>Old Testament Parsing Guide Genesis-Esther</t>
  </si>
  <si>
    <t>Todd S. Beall, Ph. D.</t>
  </si>
  <si>
    <t>Tafsiran Alkitab - Kitab Kejadian 5:1 - 12:3</t>
  </si>
  <si>
    <t>222.11 DAF e</t>
  </si>
  <si>
    <t>Eksposisi Kitab Kejadian</t>
  </si>
  <si>
    <t xml:space="preserve">John J. Davis </t>
  </si>
  <si>
    <t>Yayasan Penerbit Gandum Mas</t>
  </si>
  <si>
    <t>978-602-231-277-2</t>
  </si>
  <si>
    <t>222.11 COO sp</t>
  </si>
  <si>
    <t>Sejarah Pertama Alkitab - Dari Eden Hingga Kerajaan Daud Berdasarkan Sumber Y</t>
  </si>
  <si>
    <t>Robert. B. Coote , David Robert Ord</t>
  </si>
  <si>
    <t>978-602-231-190-4</t>
  </si>
  <si>
    <t>222.11 COO sd</t>
  </si>
  <si>
    <t xml:space="preserve">Robert B. Coote </t>
  </si>
  <si>
    <t>979-9143-37-3</t>
  </si>
  <si>
    <t>222.11 ATK k</t>
  </si>
  <si>
    <t>Seri Pemahaman Dan Penerapan Amanat Alkitab Masa Kini Kejadian 1-11</t>
  </si>
  <si>
    <t>0-8204-6152-0</t>
  </si>
  <si>
    <t>222.1067 SUH t</t>
  </si>
  <si>
    <t>The Tabernacle in The Narrative History of Israel from the Exodus to The Conquest</t>
  </si>
  <si>
    <t>Myung Soo Suh</t>
  </si>
  <si>
    <t>Peter Lang</t>
  </si>
  <si>
    <t>0-8042-0085-8</t>
  </si>
  <si>
    <t>222.1 MAN t</t>
  </si>
  <si>
    <t>The Book Of The Torah: The Narrative Integrity Of The Pentateuch</t>
  </si>
  <si>
    <t>Thomas W. Mann</t>
  </si>
  <si>
    <t>978-1-57506-122-1</t>
  </si>
  <si>
    <t>222.1 SKA i</t>
  </si>
  <si>
    <t>Introduction to Reading the Pentateuch</t>
  </si>
  <si>
    <t>Jean-Louis Ska</t>
  </si>
  <si>
    <t>979-3240-34-2</t>
  </si>
  <si>
    <t>222.1 LON p</t>
  </si>
  <si>
    <t>Panorama Kejadian - Awal Mula Sejarah</t>
  </si>
  <si>
    <t>1-58983-163-2</t>
  </si>
  <si>
    <t>222.1 DOZ a</t>
  </si>
  <si>
    <t>A Farewell to the Yahwist? The Composition of the Pentateuch in Recent European Interpretation</t>
  </si>
  <si>
    <t>Thomas B. Dozeman and Konrad Schmid</t>
  </si>
  <si>
    <t>978-0-8028-6519-9</t>
  </si>
  <si>
    <t xml:space="preserve">222.1 </t>
  </si>
  <si>
    <t>The Israelite Samaritan Version of the Torah</t>
  </si>
  <si>
    <t>Benyamin  Tsedaka</t>
  </si>
  <si>
    <t>90-6126-694-7</t>
  </si>
  <si>
    <t>222 BIB d</t>
  </si>
  <si>
    <t>De Statenbijbel in Grote Letter: Kronieken, Ezra, Nehemia, Esther</t>
  </si>
  <si>
    <t>CIP-GEGEVENS Koninklijke Bibliotheek</t>
  </si>
  <si>
    <t>978-0-8028-2877-4</t>
  </si>
  <si>
    <t>222 MCK i</t>
  </si>
  <si>
    <t>Introduction to The Historical Books</t>
  </si>
  <si>
    <t>Steven L. Mc Kenzie</t>
  </si>
  <si>
    <t>222 HOL k</t>
  </si>
  <si>
    <t>Kitab Kitab Sejarah</t>
  </si>
  <si>
    <t>L. Thomas Holdcroft</t>
  </si>
  <si>
    <t>978-602-231-409-7</t>
  </si>
  <si>
    <t>221CHR p</t>
  </si>
  <si>
    <t xml:space="preserve">Purwa Pustaka Eksplorasi kedalam Kitab-Kitab Perjanjian Lama dan Deuterokanonika </t>
  </si>
  <si>
    <t>Germany</t>
  </si>
  <si>
    <t xml:space="preserve">Jan Christian </t>
  </si>
  <si>
    <t>978-979-687-531-3</t>
  </si>
  <si>
    <t>221.9505 LIN c1</t>
  </si>
  <si>
    <t>Cerita itu Berlanjut… 1. Cara baru membaca Kitab Taurat</t>
  </si>
  <si>
    <t>Nico fer Linden</t>
  </si>
  <si>
    <t>978-979-687-533-7</t>
  </si>
  <si>
    <t>221.9505 LIN c3</t>
  </si>
  <si>
    <t>Cerita itu Berlanjut… 3. Cara baru membaca Hakim-hakim &amp; Raja-raja</t>
  </si>
  <si>
    <t>0-8010-2292-4</t>
  </si>
  <si>
    <t>221.95 ARN r</t>
  </si>
  <si>
    <t>Readings from The Ancient Near East</t>
  </si>
  <si>
    <t>Bill T. Arnold and Bryan E. Beyer (E)</t>
  </si>
  <si>
    <t>978-0-8028-6260-0</t>
  </si>
  <si>
    <t>221.95 MOO b</t>
  </si>
  <si>
    <t xml:space="preserve">Biblical History and Israel's Past </t>
  </si>
  <si>
    <t>Megan Bishop Moore &amp; Brad E. Kelle</t>
  </si>
  <si>
    <t>1-57506-094-9</t>
  </si>
  <si>
    <t>221.95 KOF t</t>
  </si>
  <si>
    <t>Text &amp; History - Historiography and the study of the Biblical text</t>
  </si>
  <si>
    <t>Jens Bruun Kofoed</t>
  </si>
  <si>
    <t>978-0-567-42529-4</t>
  </si>
  <si>
    <t>221.95 GER t</t>
  </si>
  <si>
    <t>T&amp;T Clark Handbook of The Old Testament</t>
  </si>
  <si>
    <t>Jan Christian Gertz, dkk</t>
  </si>
  <si>
    <t>T&amp;T Clark</t>
  </si>
  <si>
    <t>221.93 MUN d</t>
  </si>
  <si>
    <t>Dapatkah Arkeologi Membuktikan Kebenaran Perjanjian Lama ?</t>
  </si>
  <si>
    <t>1-58983-062-8</t>
  </si>
  <si>
    <t>221.922 MYK i</t>
  </si>
  <si>
    <t xml:space="preserve">Identifying Biblical Persons in Northwest Semitic Inscriptions of 1200-539 B. C. E. </t>
  </si>
  <si>
    <t>Lawrence J. Mykytiuk</t>
  </si>
  <si>
    <t>1-57506-071-x</t>
  </si>
  <si>
    <t>221.91014 ELI a</t>
  </si>
  <si>
    <t>Ancient Place Names in The Holy Land</t>
  </si>
  <si>
    <t>Yoel Elitzur</t>
  </si>
  <si>
    <t>221.91 CAI p</t>
  </si>
  <si>
    <t>Perjanjian Lama dan Indonesia yang sedang Membangun</t>
  </si>
  <si>
    <t>Dr. I. J. Cairns</t>
  </si>
  <si>
    <t>0-06-460056-4</t>
  </si>
  <si>
    <t>221.9 TRA t</t>
  </si>
  <si>
    <t>The Bible as Literature The Old Testament and The Apocrypha</t>
  </si>
  <si>
    <t>Barnes &amp; Noble Books</t>
  </si>
  <si>
    <t>978-1-56563-407-7</t>
  </si>
  <si>
    <t>221.9 SPA a</t>
  </si>
  <si>
    <t>Ancient Texts for the Study of The Hebrew Bible</t>
  </si>
  <si>
    <t xml:space="preserve">Kenton L. Sparks </t>
  </si>
  <si>
    <t>979-779-687-379-1</t>
  </si>
  <si>
    <t>221.9 SMI d</t>
  </si>
  <si>
    <t>Demi Nama Tuhan. Berbagai Aliran &amp; Kelompok Politik di Palestina Kuno yang Memengaruhi Pembentukan Perjanjian Lama</t>
  </si>
  <si>
    <t>Morton Smith</t>
  </si>
  <si>
    <t>0-19-509840-4</t>
  </si>
  <si>
    <t>221.8'355 NID w</t>
  </si>
  <si>
    <t>War in The Hebrew Bible: A Study in the Ethics of Violence</t>
  </si>
  <si>
    <t>Susan Niditch</t>
  </si>
  <si>
    <t>978-0-19-022282-6</t>
  </si>
  <si>
    <t>221.8 WIL m</t>
  </si>
  <si>
    <t>Making Men: The Male Coming-of-Age Theme in the Hebrew Bible</t>
  </si>
  <si>
    <t>Stephen M. Wilson</t>
  </si>
  <si>
    <t>978-1-58983-479-8</t>
  </si>
  <si>
    <t>221.8 MIA s</t>
  </si>
  <si>
    <t>Shadow on The Steps</t>
  </si>
  <si>
    <t>David Miano</t>
  </si>
  <si>
    <t>1-57506-066-3</t>
  </si>
  <si>
    <t>221.6'7 ROB t</t>
  </si>
  <si>
    <t>The Bible and The Ancient Near East</t>
  </si>
  <si>
    <t>90-04-09851-8</t>
  </si>
  <si>
    <t>221.67 LEM h</t>
  </si>
  <si>
    <t>History &amp; Traditions of Early Israel</t>
  </si>
  <si>
    <t>Andre Lemaire and Benedikt Otzen</t>
  </si>
  <si>
    <t>E. J. Brill</t>
  </si>
  <si>
    <t>0-88141-106-x</t>
  </si>
  <si>
    <t>221.6'1 TAR</t>
  </si>
  <si>
    <t>The Old Testament Introduction Volume 2</t>
  </si>
  <si>
    <t>Paul Nadim Tarazi</t>
  </si>
  <si>
    <t>ST Vladimir's Seminary Press</t>
  </si>
  <si>
    <t>0-8028-3788-3</t>
  </si>
  <si>
    <t>221.6'1 LAS o</t>
  </si>
  <si>
    <t>Old testament Survey</t>
  </si>
  <si>
    <t>William Sanford Lasor Dkk</t>
  </si>
  <si>
    <t>0-88141-107-8</t>
  </si>
  <si>
    <t>221.6 TAR o</t>
  </si>
  <si>
    <t>The Old Testament Introduction. Vol.3</t>
  </si>
  <si>
    <t>0-664-24320-7</t>
  </si>
  <si>
    <t>221.6 STU o</t>
  </si>
  <si>
    <t>Old Testament Exegesis A Primer for Students and Pastors</t>
  </si>
  <si>
    <t>0-7885-0465-7</t>
  </si>
  <si>
    <t>221.6 STE o</t>
  </si>
  <si>
    <t>Old Testament Exegesis - A Guide to the Methodology second edition</t>
  </si>
  <si>
    <t>Odil Hennes Steck</t>
  </si>
  <si>
    <t>978-0-8276-0908-2</t>
  </si>
  <si>
    <t>221.6 SHI f</t>
  </si>
  <si>
    <t>From GODS To GOD - How The Bible Debunked, Suppressed or Changed Ancient Myths &amp; Legends</t>
  </si>
  <si>
    <t>Biblical</t>
  </si>
  <si>
    <t>Avigdor Shinan &amp; Yair Zakovitch</t>
  </si>
  <si>
    <t>The Jewish Publication Society</t>
  </si>
  <si>
    <t>1-57506-052-3</t>
  </si>
  <si>
    <t>221.6 SHA p</t>
  </si>
  <si>
    <t>Patterns of Destiny</t>
  </si>
  <si>
    <t>Diane M. Sharon</t>
  </si>
  <si>
    <t>0-8018-7988-4</t>
  </si>
  <si>
    <t>221.6 NIG f</t>
  </si>
  <si>
    <t>From Ancient Writings to Sacred Texts</t>
  </si>
  <si>
    <t>London</t>
  </si>
  <si>
    <t>S. A. Nigosian</t>
  </si>
  <si>
    <t>John Hopkins University</t>
  </si>
  <si>
    <t>90-429-1640-0</t>
  </si>
  <si>
    <t>221.6 MET</t>
  </si>
  <si>
    <t>Metaphor In The Hebrew Bible</t>
  </si>
  <si>
    <t>Belgia</t>
  </si>
  <si>
    <t>P. Van Hecke</t>
  </si>
  <si>
    <t>Leuven University Press</t>
  </si>
  <si>
    <t>978-90-04-21730-0</t>
  </si>
  <si>
    <t>221.6 KHA s</t>
  </si>
  <si>
    <t>Studies on the Text and Versions of the Hebrew Bible in Honour of Robert Gordon</t>
  </si>
  <si>
    <t>Geoffrey Khan &amp; Diana Lipton</t>
  </si>
  <si>
    <t>978-602-213-362-5</t>
  </si>
  <si>
    <t>220.9 LAW a</t>
  </si>
  <si>
    <t>Atlas dan Sejarah Alkitab</t>
  </si>
  <si>
    <t>Paul Lawrence</t>
  </si>
  <si>
    <t>0-8010-2271-1</t>
  </si>
  <si>
    <t>221.6 INT</t>
  </si>
  <si>
    <t>Interpreting the Old Testament A Guide for Exegesis</t>
  </si>
  <si>
    <t>Craig C. Broyle (E)</t>
  </si>
  <si>
    <t>0-521-61824-x</t>
  </si>
  <si>
    <t>221.6 BER t</t>
  </si>
  <si>
    <t>The Secular Bible Why Nonbelievers Must Take Religion Seriously</t>
  </si>
  <si>
    <t>Jacques Berlinerblau</t>
  </si>
  <si>
    <t>979-8131-11-8</t>
  </si>
  <si>
    <t>220.6  PRA t</t>
  </si>
  <si>
    <t>The Bible Student's Guide To Interpreting Old Testament Narratives - He Gave Us Stories</t>
  </si>
  <si>
    <t>Richard L. Pratt, Jr</t>
  </si>
  <si>
    <t>0-8267-0025-x</t>
  </si>
  <si>
    <t>221.52 BAR h</t>
  </si>
  <si>
    <t>Helps For Translators: Marginal Note For the Old Testament: Based on the Text if Today's English Version</t>
  </si>
  <si>
    <t>978-979-95190-1-6</t>
  </si>
  <si>
    <t xml:space="preserve">221.4924 SAN b </t>
  </si>
  <si>
    <t xml:space="preserve">Bahasa Ibrani Perjanjian Lama: Sebuah Pengantar Tata Bahasa Ibrani </t>
  </si>
  <si>
    <t>0-8010-2235-5</t>
  </si>
  <si>
    <t>221.49  JOB i</t>
  </si>
  <si>
    <t>Invitation To The Septuagint</t>
  </si>
  <si>
    <t xml:space="preserve">USA </t>
  </si>
  <si>
    <t>Karen H. Jobes &amp; Moises Silva</t>
  </si>
  <si>
    <t>Baker  Academic</t>
  </si>
  <si>
    <t>978-1-58983-258-9</t>
  </si>
  <si>
    <t>221.48 PET x</t>
  </si>
  <si>
    <t>XII Congress of The International Organization for Septuagint and Cognate Studies Leiden, 2004</t>
  </si>
  <si>
    <t>Melvin K. H. Peters</t>
  </si>
  <si>
    <t>1-85075-004-1</t>
  </si>
  <si>
    <t>221.44 MAI t</t>
  </si>
  <si>
    <t>The Temple Scroll, An Introduction, Translation &amp; Commentary</t>
  </si>
  <si>
    <t>Johann Maier</t>
  </si>
  <si>
    <t>0-300-03101-7</t>
  </si>
  <si>
    <t>221.44 KUG t</t>
  </si>
  <si>
    <t>The Idea of Biblical Poetry, Paralelism and Its History</t>
  </si>
  <si>
    <t>James L. Kugel</t>
  </si>
  <si>
    <t>Yale University</t>
  </si>
  <si>
    <t>0-931464-33-1</t>
  </si>
  <si>
    <t>221.4'4 BAR c</t>
  </si>
  <si>
    <t>Comparative Philology and The Text of The Old Testament</t>
  </si>
  <si>
    <t>James Barr</t>
  </si>
  <si>
    <t>978-0-8028-6275-4</t>
  </si>
  <si>
    <t>221.42  NAM  t</t>
  </si>
  <si>
    <t>Targum and Testament Revisited Aramaic Paraphrases of the hebrew Bible</t>
  </si>
  <si>
    <t>Martin Mcnamara</t>
  </si>
  <si>
    <t>0-8028-0788-7</t>
  </si>
  <si>
    <t>221.4 WUR t</t>
  </si>
  <si>
    <t xml:space="preserve">The Text of The Old Testament </t>
  </si>
  <si>
    <t>Ernst Wurthwein</t>
  </si>
  <si>
    <t>0-8028-3530-9</t>
  </si>
  <si>
    <t>90-232-2712-3/0-8006-2687-7</t>
  </si>
  <si>
    <t>221.4 TOV t</t>
  </si>
  <si>
    <t>Textual Criticism of the Hebrew Bible</t>
  </si>
  <si>
    <t xml:space="preserve">Emanuel Tov </t>
  </si>
  <si>
    <t>979-415-178-5</t>
  </si>
  <si>
    <t>221.1 LEM t</t>
  </si>
  <si>
    <t>Tafsiran Alkitab Kitab Kejadian 5:1-12:3</t>
  </si>
  <si>
    <t>0-8028-4960-1</t>
  </si>
  <si>
    <t>221.1 KIT o</t>
  </si>
  <si>
    <t>On The Reliability of The Old testament</t>
  </si>
  <si>
    <t>K. A. Kitchen</t>
  </si>
  <si>
    <t>221.06 LEA o</t>
  </si>
  <si>
    <t>Old Testament Illustrations for use in Bible Society Publications</t>
  </si>
  <si>
    <t>John Lear</t>
  </si>
  <si>
    <t>978-1-58134-717-3 (HC)</t>
  </si>
  <si>
    <t>221.06 DEV m</t>
  </si>
  <si>
    <t>The Message of the Old Testament</t>
  </si>
  <si>
    <t>960-</t>
  </si>
  <si>
    <t>979-95504-4-0</t>
  </si>
  <si>
    <t>221.04 SIN d</t>
  </si>
  <si>
    <t>Dunia yang Bermakna</t>
  </si>
  <si>
    <t>Pdt. Emmanuel Gerrit Singgih, Ph. D.</t>
  </si>
  <si>
    <t>Persetia</t>
  </si>
  <si>
    <t>221.04 SCH t</t>
  </si>
  <si>
    <t>The Torah Story</t>
  </si>
  <si>
    <t>Gary Edward Schnittjer</t>
  </si>
  <si>
    <t>978-979-98061-6-1</t>
  </si>
  <si>
    <t>221.04 ROE p</t>
  </si>
  <si>
    <t>Peranan Para tua-tua dalam Naskah-naskah Perjanjian Lama</t>
  </si>
  <si>
    <t>Wilhelmus Absalom Roeroe</t>
  </si>
  <si>
    <t>UKIT</t>
  </si>
  <si>
    <t>221.04 KRA u</t>
  </si>
  <si>
    <t>Umat Allah dalam Perdjanjian Lama</t>
  </si>
  <si>
    <t>H. J. Kraus</t>
  </si>
  <si>
    <t>979-9532-01-9</t>
  </si>
  <si>
    <t>221.04 KAI u</t>
  </si>
  <si>
    <t>Ucapan Yang Sulit Dalam Perjanjian Lama</t>
  </si>
  <si>
    <t>Walter C. Kaiser</t>
  </si>
  <si>
    <t>0-06-065541-0</t>
  </si>
  <si>
    <t>220.7 MAY c</t>
  </si>
  <si>
    <t>Harper's Bible Commentary</t>
  </si>
  <si>
    <t>978-979-9447-98-2</t>
  </si>
  <si>
    <t>221.04 BRU</t>
  </si>
  <si>
    <t>Teologi Perjanjian Lama (Kesaksian, Tangkisan, Pembelaan)</t>
  </si>
  <si>
    <t>Ledalero</t>
  </si>
  <si>
    <t>221.04 BAC b</t>
  </si>
  <si>
    <t>Bacaan Dari Kitab Suci</t>
  </si>
  <si>
    <t>0-674-74360-1</t>
  </si>
  <si>
    <t>221.04  MOO q</t>
  </si>
  <si>
    <t>Qumran nd the History of the Biblical Text</t>
  </si>
  <si>
    <t>Frank Moore and Shemaryahu Talmon</t>
  </si>
  <si>
    <t>Harvard University</t>
  </si>
  <si>
    <t>221. 4 CRE o</t>
  </si>
  <si>
    <t>Old Testament Abstracts Vol. 13</t>
  </si>
  <si>
    <t>Abstracts</t>
  </si>
  <si>
    <t>Thomas P. McCreesh, O.P.</t>
  </si>
  <si>
    <t>The Catholic Biblical Association</t>
  </si>
  <si>
    <t>979-9143-00-4</t>
  </si>
  <si>
    <t>221. 09 VRI i</t>
  </si>
  <si>
    <t>Intisari Cerita Alkitab Perjanjian Lama</t>
  </si>
  <si>
    <t>Anne de Vries</t>
  </si>
  <si>
    <t>979-21-0054-7</t>
  </si>
  <si>
    <t>221 BER t</t>
  </si>
  <si>
    <t>Tafsir Alkitab Perjanjian Lama</t>
  </si>
  <si>
    <t>Dianne Bergant, CSA &amp; Robert J. Karris, OFM</t>
  </si>
  <si>
    <t>978-979-415-815-9</t>
  </si>
  <si>
    <t>Pengantar Perjanjian Lama 1 Taurat &amp; Sejarah</t>
  </si>
  <si>
    <t>W.S. Lasor, dkk</t>
  </si>
  <si>
    <t>978-979-415-043-6</t>
  </si>
  <si>
    <t>221 HUB p</t>
  </si>
  <si>
    <t>Pengantar Perjanjian Lama 2 Sastra dan Nubuat</t>
  </si>
  <si>
    <t>978-979-15839-6-1</t>
  </si>
  <si>
    <t>221 HAD</t>
  </si>
  <si>
    <t>Kutukan Si Botak "Membaca Sejarah dalam Kitab-Kitab Sejarah"</t>
  </si>
  <si>
    <t xml:space="preserve">Jorat Hadianto </t>
  </si>
  <si>
    <t>Lembaga Biblika Indonesia</t>
  </si>
  <si>
    <t>0-8024-6316-9</t>
  </si>
  <si>
    <t>221 BEA o</t>
  </si>
  <si>
    <t>Old Testament Parsing Guide Job-Malachi</t>
  </si>
  <si>
    <t>Todd S. Beall, Ph.D. William A. Banks, Th.M. Colin Smith, M.A.</t>
  </si>
  <si>
    <t>979-415-784-8</t>
  </si>
  <si>
    <t>221 BAR</t>
  </si>
  <si>
    <t>Tafsiran Alkitab Kitab Yesaya Pasal 56-66</t>
  </si>
  <si>
    <t>979-687-052-5</t>
  </si>
  <si>
    <t>221 BAK m</t>
  </si>
  <si>
    <t>Mari Mengenal Perjanjian Lama</t>
  </si>
  <si>
    <t>David. L. Baker</t>
  </si>
  <si>
    <t>979-415-135-1</t>
  </si>
  <si>
    <t xml:space="preserve">221  BAK  </t>
  </si>
  <si>
    <t>978-979-1029-07-0</t>
  </si>
  <si>
    <t>220.950.5 UNA p1</t>
  </si>
  <si>
    <t>Panorama Typologi Alkitab Jilid 1</t>
  </si>
  <si>
    <t>Erich Unarto</t>
  </si>
  <si>
    <t>Pustaka Sorgawi</t>
  </si>
  <si>
    <t>11:A</t>
  </si>
  <si>
    <t>978-979-1029-08-7</t>
  </si>
  <si>
    <t>220.950.5 UNA p2</t>
  </si>
  <si>
    <t>Panorama Typologi Alkitab Jilid 2</t>
  </si>
  <si>
    <t>978-602-7737-10-5</t>
  </si>
  <si>
    <t>220.9 PRO j3</t>
  </si>
  <si>
    <t>Jejak - Jejak Suci 3 : Tempat, , Peristiwa, Tokoh dan Benda Alkitab Dalam Gambar</t>
  </si>
  <si>
    <t>Bayu Probo &amp; Hermawan Sulistyo</t>
  </si>
  <si>
    <t>978-602-7737-12-9</t>
  </si>
  <si>
    <t>220.9  PRO  j4</t>
  </si>
  <si>
    <t>Jejak - Jejak Suci 4 Tempat, Peristiwa, Tokoh, dan Benda Alkitab dalam gambar.</t>
  </si>
  <si>
    <t>Bayu Probo, dkk</t>
  </si>
  <si>
    <t>978-979-687-769-0</t>
  </si>
  <si>
    <t>220.9 PRO j1</t>
  </si>
  <si>
    <t>Jejak - Jejak Suci  Tempat, Peristiwa, Tokoh dan Benda Alkitab Dalam Gambar</t>
  </si>
  <si>
    <t>Bayu Probo</t>
  </si>
  <si>
    <t>978-602-19416-3-8</t>
  </si>
  <si>
    <t>220.9 PRO j2</t>
  </si>
  <si>
    <t>Jejak - Jejak Suci 2 Tempat, Peristiwa, Tokoh dan Benda Alkitab Dalam Gambar</t>
  </si>
  <si>
    <t>0-8407-5822-7</t>
  </si>
  <si>
    <t>220.9'5 PAC d</t>
  </si>
  <si>
    <t>Daily Life In Bible Times</t>
  </si>
  <si>
    <t>James I. Packer, dkk</t>
  </si>
  <si>
    <t>Thomas Nelson Publisher</t>
  </si>
  <si>
    <t>979-8976-97-5</t>
  </si>
  <si>
    <t>220 JEN p</t>
  </si>
  <si>
    <t>Peta Alkitab - Panduan Untuk Memahami Lebih Jelas Peristiwa - Peristiwa Alkitab</t>
  </si>
  <si>
    <t>Simon Jenkins</t>
  </si>
  <si>
    <t>978-0-8028-6322-5</t>
  </si>
  <si>
    <t>220.95 CHA c</t>
  </si>
  <si>
    <t>Creation to Revelation, ABrief Account of the Biblical Story</t>
  </si>
  <si>
    <t>James O. Chatham</t>
  </si>
  <si>
    <t>979-433-440-5</t>
  </si>
  <si>
    <t>220.95 ARM t</t>
  </si>
  <si>
    <t>The Great Transformation (Awal Sejarah Tahun)</t>
  </si>
  <si>
    <t>Karen Armstong</t>
  </si>
  <si>
    <t>Mizan MMU</t>
  </si>
  <si>
    <t>978-979-415-121-1</t>
  </si>
  <si>
    <t>220.95  SNO s</t>
  </si>
  <si>
    <t>Sejarah Suci</t>
  </si>
  <si>
    <t>I. Snoek</t>
  </si>
  <si>
    <t>978-602-231-158-4</t>
  </si>
  <si>
    <t>220.9  KNI  a</t>
  </si>
  <si>
    <t>Adat Istiadat Alkitab &amp; Keunikannya Dalam Gambar</t>
  </si>
  <si>
    <t>George W. Knight</t>
  </si>
  <si>
    <t>Saat Teduh</t>
  </si>
  <si>
    <t>220.93 WIS i</t>
  </si>
  <si>
    <t>Illustrations from Biblical Archaeology</t>
  </si>
  <si>
    <t>D. J. Wiseman</t>
  </si>
  <si>
    <t>0-500-05031-7</t>
  </si>
  <si>
    <t>220.93 W65</t>
  </si>
  <si>
    <t>Jerusalem as Jesus knew it</t>
  </si>
  <si>
    <t xml:space="preserve"> John Wilkinson</t>
  </si>
  <si>
    <t>Thames and Hudson</t>
  </si>
  <si>
    <t>0-551-01372-9</t>
  </si>
  <si>
    <t>220.93 DOW d</t>
  </si>
  <si>
    <t>Discovering The Bible, Archeologists look at Scripture</t>
  </si>
  <si>
    <t>Biblika (Arkeologi)</t>
  </si>
  <si>
    <t>Tim Dowley</t>
  </si>
  <si>
    <t>0-8028-0975-8</t>
  </si>
  <si>
    <t>220.93 DEV w</t>
  </si>
  <si>
    <t>Who Were the Early Israelites and Where Did They Come from?</t>
  </si>
  <si>
    <t>965-406-080-9</t>
  </si>
  <si>
    <t>220.93 KLO s</t>
  </si>
  <si>
    <t>Survey of Jerusalem</t>
  </si>
  <si>
    <t>Amos Kloner</t>
  </si>
  <si>
    <t>Israel Atiquities Outhority</t>
  </si>
  <si>
    <t>978-979-687-213-8</t>
  </si>
  <si>
    <t>220.93  BAK  m</t>
  </si>
  <si>
    <t>Mari Mengenal Arkeologi Alkitab</t>
  </si>
  <si>
    <t>David L. Baker &amp; John J. Bimson</t>
  </si>
  <si>
    <t>978-979-21-3289-2</t>
  </si>
  <si>
    <t>220.920 SID s</t>
  </si>
  <si>
    <t>Simon Mengapa Engkau Menyangkal Aku?</t>
  </si>
  <si>
    <t>Aidan P. Sidik, PR</t>
  </si>
  <si>
    <t>978-979-687-330-2</t>
  </si>
  <si>
    <t>220.920 TIM h</t>
  </si>
  <si>
    <t>Hagar dan Putri-Putrinya Perempuan Tertindas dalam Alkitab</t>
  </si>
  <si>
    <t>Dr. Eben Nuban Timo</t>
  </si>
  <si>
    <t>978-0-8028-2718-0</t>
  </si>
  <si>
    <t>225.92 HEN s</t>
  </si>
  <si>
    <t>Saint Peter. The Underestimated Apostle</t>
  </si>
  <si>
    <t>Martin Hengel</t>
  </si>
  <si>
    <t>978-979-21-2874-1</t>
  </si>
  <si>
    <t>220.920 DAR p</t>
  </si>
  <si>
    <t>Perempuan Berselubungkan Matahari</t>
  </si>
  <si>
    <t>ST. Darmawijaya</t>
  </si>
  <si>
    <t>3-438-05121-4</t>
  </si>
  <si>
    <t>222.11 RAH s</t>
  </si>
  <si>
    <t>Prof. D. Dr. Alfred Rahlfs</t>
  </si>
  <si>
    <t>978-979-415-285-0</t>
  </si>
  <si>
    <t>220.920  NAI  n</t>
  </si>
  <si>
    <t>Nama - Nama Pribadi Dalam Alkitab</t>
  </si>
  <si>
    <t>Drs. J.J de HEER - PS. Naipospos</t>
  </si>
  <si>
    <t>979-9428-74-2</t>
  </si>
  <si>
    <t>220.92 SWI a</t>
  </si>
  <si>
    <t>Ayub: Seorang Dengan Ketabahan Yang Heroik</t>
  </si>
  <si>
    <t>Nafiri Gabriel</t>
  </si>
  <si>
    <t>979-9442-23-0</t>
  </si>
  <si>
    <t>220.92 SWI m</t>
  </si>
  <si>
    <t>Pria Berdedikasi &amp; Tak Mementingkan Diri Sendiri Musa</t>
  </si>
  <si>
    <t>Charles R. Swindoll</t>
  </si>
  <si>
    <t>979-9442-02-8</t>
  </si>
  <si>
    <t>220.92 SWI d</t>
  </si>
  <si>
    <t>Seri Tokoh Terbesar -Pria Penuh Gairah dan Terpilih Daud</t>
  </si>
  <si>
    <t>979-9442-24-9</t>
  </si>
  <si>
    <t>220.92 SWI p</t>
  </si>
  <si>
    <t>Pria Heroik dan Rendah Hati Elia</t>
  </si>
  <si>
    <t>220.92 SOE a</t>
  </si>
  <si>
    <t>Seri Analisis Tokoh-tokoh Alkitab. Abraham Emigran Karena Iman</t>
  </si>
  <si>
    <t>Soemartono</t>
  </si>
  <si>
    <t>PT. Permata Artistika Kreasi</t>
  </si>
  <si>
    <t>979-26-1335-8</t>
  </si>
  <si>
    <t>220.92 SCO h</t>
  </si>
  <si>
    <t>Hail, Holy Queen</t>
  </si>
  <si>
    <t>Scott HaHn</t>
  </si>
  <si>
    <t>Dioma Malang</t>
  </si>
  <si>
    <t>220.92 NAI n</t>
  </si>
  <si>
    <t>Nama-nama Pribadi Dalam Alkitab</t>
  </si>
  <si>
    <t>P. S. Naipospos dan Drs. J. J. de Heer</t>
  </si>
  <si>
    <t>979-9289-24-6</t>
  </si>
  <si>
    <t>220.92 NAB t</t>
  </si>
  <si>
    <t>Teori Menerjemah Bahasa Inggris</t>
  </si>
  <si>
    <t xml:space="preserve">Drs.M. Rudolf Nababan, M.Ed. </t>
  </si>
  <si>
    <t>Pustaka Pelajar</t>
  </si>
  <si>
    <t>979-415-370-2</t>
  </si>
  <si>
    <t>220.92 HEN w</t>
  </si>
  <si>
    <t>Warisan Bunda</t>
  </si>
  <si>
    <t>Jeanne Hendricks</t>
  </si>
  <si>
    <t>978-0-8028-2881-1</t>
  </si>
  <si>
    <t>220.93 FAN l</t>
  </si>
  <si>
    <t xml:space="preserve">Lost Treasures of The Bible </t>
  </si>
  <si>
    <t>Clyde E. Fant &amp; Mitchell G. Reddish</t>
  </si>
  <si>
    <t>220.92 BAR e</t>
  </si>
  <si>
    <t>Everyone In The Bible</t>
  </si>
  <si>
    <t>William P. Barker</t>
  </si>
  <si>
    <t>979-3500-27-1</t>
  </si>
  <si>
    <t>220.92  PAR  a</t>
  </si>
  <si>
    <t>Abraham - Imigran Tuhan dan Bapa Bangsa-Bangsa</t>
  </si>
  <si>
    <t>Dr. Berthold A. Pareira O. Carm</t>
  </si>
  <si>
    <t>Dioma, Malang</t>
  </si>
  <si>
    <t>979-413-325-6</t>
  </si>
  <si>
    <t xml:space="preserve">220.92  JAC  </t>
  </si>
  <si>
    <t>PAULUS - Hidup, Karya dan Teologinya</t>
  </si>
  <si>
    <t>Dr. T. Jacobs SY</t>
  </si>
  <si>
    <t>978-979-21-2169-8</t>
  </si>
  <si>
    <t>220.9 WAL i</t>
  </si>
  <si>
    <t>In the Steps of Saint Paul</t>
  </si>
  <si>
    <t>Peter Walker</t>
  </si>
  <si>
    <t>979-9428-79-3</t>
  </si>
  <si>
    <t>220.9 SWI k</t>
  </si>
  <si>
    <t>Seri Tokoh Terbesar: Kisah Menarik Orang-Orang yang Terlupakan; Melihat kembali beberapa tokoh Perjanjian Lama</t>
  </si>
  <si>
    <t>978-979-29-1028-5</t>
  </si>
  <si>
    <t>220.9 SMI b</t>
  </si>
  <si>
    <t>Bible from A to Z</t>
  </si>
  <si>
    <t>Carol Smith</t>
  </si>
  <si>
    <t>ANDI</t>
  </si>
  <si>
    <t>978-979-3292-37-3</t>
  </si>
  <si>
    <t>220.9 RID p</t>
  </si>
  <si>
    <t>Paulus Pemikiran Utama Theologinya</t>
  </si>
  <si>
    <t>Herman Ridderbos</t>
  </si>
  <si>
    <t>978-0-8028-6720-9</t>
  </si>
  <si>
    <t>220.95 PIL a</t>
  </si>
  <si>
    <t>A Cultural Handbook to the Bible</t>
  </si>
  <si>
    <t>John J. Pilch</t>
  </si>
  <si>
    <t>978-979-1338-16-5</t>
  </si>
  <si>
    <t>220.9 PEA</t>
  </si>
  <si>
    <t>Tokoh Perempuan Dalam Perjanjian Baru yang Taat dan yang Sesat</t>
  </si>
  <si>
    <t>Phyllis J. Le Peau</t>
  </si>
  <si>
    <t>Perkantas</t>
  </si>
  <si>
    <t>978-1-906055-58-5</t>
  </si>
  <si>
    <t>220.9 KIM  i</t>
  </si>
  <si>
    <t>Identity and Loyalty in the David Story: A Postcolonial Reading</t>
  </si>
  <si>
    <t>Uriah Y. Kim</t>
  </si>
  <si>
    <t>220.9 MIS k</t>
  </si>
  <si>
    <t>Kabar Baik</t>
  </si>
  <si>
    <t>Scripture Gift Mision</t>
  </si>
  <si>
    <t>0-7852-7908-3</t>
  </si>
  <si>
    <t>220.9 NEL l</t>
  </si>
  <si>
    <t>Lands of The Bible</t>
  </si>
  <si>
    <t>0-8091-3974-x</t>
  </si>
  <si>
    <t>220.9 GON b</t>
  </si>
  <si>
    <t>Biblical Holy Places an Illustrated Guide</t>
  </si>
  <si>
    <t>Rivka Gonen</t>
  </si>
  <si>
    <t>Paulist Press</t>
  </si>
  <si>
    <t>979-687-048-7</t>
  </si>
  <si>
    <t>220.9 COO k</t>
  </si>
  <si>
    <t>Kuasa, Politik &amp; Proses Pembuatan Alkitab</t>
  </si>
  <si>
    <t>Robert B. Coote &amp; Mary P. Coote</t>
  </si>
  <si>
    <t>978-979-415-302-4</t>
  </si>
  <si>
    <t>220.87 KEE b</t>
  </si>
  <si>
    <t xml:space="preserve">Belajar Alkitab melalui Permainan </t>
  </si>
  <si>
    <t xml:space="preserve">Ronald F. Keeler </t>
  </si>
  <si>
    <t>0-8267-0038-1</t>
  </si>
  <si>
    <t>220.859 HOP a</t>
  </si>
  <si>
    <t>All Creatures Great and Small Living Things in the Bible: Helps For Translators</t>
  </si>
  <si>
    <t>Edward R. Hope</t>
  </si>
  <si>
    <t>United Bible Societies</t>
  </si>
  <si>
    <t>0-7272-0242-1</t>
  </si>
  <si>
    <t>220.858 THO t</t>
  </si>
  <si>
    <t>Taman Dan Bintang Dalam Alkitab</t>
  </si>
  <si>
    <t>Dr.Charles E. Grimes, Ph.D, Pdt. Thomas Ly &amp; Pdt. Welfrid Fini Ruku</t>
  </si>
  <si>
    <t>Artha Wacana Press</t>
  </si>
  <si>
    <t>220.858 MOL p</t>
  </si>
  <si>
    <t>Plants of The Bible</t>
  </si>
  <si>
    <t>Harold N. Moldenke, Ph. D &amp; Alma L. Moldenke, B. A</t>
  </si>
  <si>
    <t>The Ronald Press Company, New York</t>
  </si>
  <si>
    <t>220.858 GRI t</t>
  </si>
  <si>
    <t>Tanaman Dan Binatang Dalam Alkitab</t>
  </si>
  <si>
    <t>Charles E. Grimes, Thomas Ly, Welfrid Fini Ruku</t>
  </si>
  <si>
    <t>220.85 BAR</t>
  </si>
  <si>
    <t>Plants and Animals of The Bible</t>
  </si>
  <si>
    <t>Garland Bare</t>
  </si>
  <si>
    <t>1-57506-065-5</t>
  </si>
  <si>
    <t>220.8 GRO b</t>
  </si>
  <si>
    <t>Biblical Ideas of Nationality Ancient and Modern</t>
  </si>
  <si>
    <t>Steven Grosby</t>
  </si>
  <si>
    <t>220.8 HOP c</t>
  </si>
  <si>
    <t>All Creatures Great and small: Living Things in the Bible</t>
  </si>
  <si>
    <t>Edward R.Hope</t>
  </si>
  <si>
    <t>978-1-58983-346-3</t>
  </si>
  <si>
    <t>220.8 HAB e</t>
  </si>
  <si>
    <t>Exploring Ecological Hermeneutics</t>
  </si>
  <si>
    <t>Norman C. Habel &amp; Peter Trudinger</t>
  </si>
  <si>
    <t>978-0-9823059-0-4</t>
  </si>
  <si>
    <t>220.77 PAW u</t>
  </si>
  <si>
    <t>Unlocking The Bible</t>
  </si>
  <si>
    <t>David Pawson with Andy Peck</t>
  </si>
  <si>
    <t>Harper Collins Publishers</t>
  </si>
  <si>
    <t>220.7 VEI t</t>
  </si>
  <si>
    <t>Tafsiran Obaja</t>
  </si>
  <si>
    <t>Dr.J. Veitch</t>
  </si>
  <si>
    <t>979-3748-02-8</t>
  </si>
  <si>
    <t>220.7 TEL k</t>
  </si>
  <si>
    <t>Tafsiran Alkitab Kidung Agung</t>
  </si>
  <si>
    <t>DR.J.A.Telnoni</t>
  </si>
  <si>
    <t>979-9532-03-5</t>
  </si>
  <si>
    <t>220.7 SUT h</t>
  </si>
  <si>
    <t>HERMENEUTIK: Prinsip dan Metode Penafsiran Alkitab)</t>
  </si>
  <si>
    <t>Pdt. Hasan Sutanto, M.Th.</t>
  </si>
  <si>
    <t>978-602-231-422-6</t>
  </si>
  <si>
    <t>220.7 SAN</t>
  </si>
  <si>
    <t xml:space="preserve">Tafsiran Alkitab Kontekstual - oikumenis 1 Tawarikh </t>
  </si>
  <si>
    <t>Agus Santoso</t>
  </si>
  <si>
    <t>220.7 PIL t</t>
  </si>
  <si>
    <t>Tafsiran Habakuk</t>
  </si>
  <si>
    <t xml:space="preserve"> P. K. Pilon</t>
  </si>
  <si>
    <t>220.7 PAT</t>
  </si>
  <si>
    <t>Tafsiran Alkitab Kitab Yeremia fasal 1-24: 1</t>
  </si>
  <si>
    <t>220.7 NYL c</t>
  </si>
  <si>
    <t xml:space="preserve">Complete Books of Enoch </t>
  </si>
  <si>
    <t>Dr. A. Nyland</t>
  </si>
  <si>
    <t>220.7 NEL n</t>
  </si>
  <si>
    <t>No Man is Alien</t>
  </si>
  <si>
    <t>J. Robert Nelson (E)</t>
  </si>
  <si>
    <t>220.7 MUL t</t>
  </si>
  <si>
    <t>Tafsiran Jusak</t>
  </si>
  <si>
    <t>DR. Mr. D.C. Mulder</t>
  </si>
  <si>
    <t>220.7 MOU T</t>
  </si>
  <si>
    <t>The Cambridge Greek Testament commentary (The Epistles to the Colossiang and to philemon)</t>
  </si>
  <si>
    <t>C. F. D. Moule</t>
  </si>
  <si>
    <t>0-86554-406-9</t>
  </si>
  <si>
    <t>220.7 MIL m</t>
  </si>
  <si>
    <t>Mercer Commentary on the Bible</t>
  </si>
  <si>
    <t>Watson E. Mills Dkk</t>
  </si>
  <si>
    <t>Mercer University</t>
  </si>
  <si>
    <t>220.7 LIN t</t>
  </si>
  <si>
    <t>Tafsiran Rum</t>
  </si>
  <si>
    <t>S. van der Linde</t>
  </si>
  <si>
    <t>220.7 KRA t</t>
  </si>
  <si>
    <t>978-979-415-233-1</t>
  </si>
  <si>
    <t>220.7 GAR m</t>
  </si>
  <si>
    <t>Menafsir Alkitab Secara Praktis</t>
  </si>
  <si>
    <t>Pdt. Nico Gara</t>
  </si>
  <si>
    <t>Bpk. Gunung Mulia</t>
  </si>
  <si>
    <t>220.7 BOL a</t>
  </si>
  <si>
    <t>Tafsiran Amos</t>
  </si>
  <si>
    <t>B.J. Boland &amp; P.S. Naipospos</t>
  </si>
  <si>
    <t>979-8976-15-0 979-8976-19-3</t>
  </si>
  <si>
    <t>220.7 BAX m</t>
  </si>
  <si>
    <t>Menggali Isi Alkitab 4 Roma sampai dengan Wahyu</t>
  </si>
  <si>
    <t>J. Sidlow Baxter</t>
  </si>
  <si>
    <t>979-8976-15-0 979-8976-15-9</t>
  </si>
  <si>
    <t>Menggali Isi Alkitab 1 Kejadian sampai dengan Ester</t>
  </si>
  <si>
    <t>979-8976-17-7</t>
  </si>
  <si>
    <t>Menggali Isi Alkitab 2 Ayub sampai dengan Maleakhi</t>
  </si>
  <si>
    <t>4a</t>
  </si>
  <si>
    <t>0-8267-0458-1</t>
  </si>
  <si>
    <t>220.67 JAG a</t>
  </si>
  <si>
    <t>Anthropological Approaches to the Interpretation of the Bible</t>
  </si>
  <si>
    <t>Krijn van der Jagt</t>
  </si>
  <si>
    <t>0-8028-6067-2</t>
  </si>
  <si>
    <t>220.663 SWE t</t>
  </si>
  <si>
    <t>The Changing Face of From Criticism for The Twenty-First Century</t>
  </si>
  <si>
    <t>Marvin A. Sweeney &amp; Ehud Ben Zvi</t>
  </si>
  <si>
    <t>220.66 CUR v</t>
  </si>
  <si>
    <t>Vocal and Literary Interpretation of the Bible</t>
  </si>
  <si>
    <t>S. S. Curry</t>
  </si>
  <si>
    <t>0-915170-21-3</t>
  </si>
  <si>
    <t>220.6'4 KOE t</t>
  </si>
  <si>
    <t>The Dwelling of God</t>
  </si>
  <si>
    <t>Craig R. Koester</t>
  </si>
  <si>
    <t>220.64 DRO t</t>
  </si>
  <si>
    <t>The Bible Code (Sandi Alkitab)</t>
  </si>
  <si>
    <t>Michael Drosnin</t>
  </si>
  <si>
    <t>Professional Books</t>
  </si>
  <si>
    <t>0-670-03210-7</t>
  </si>
  <si>
    <t>220.64 DRO b</t>
  </si>
  <si>
    <t>Bible Code II The Countdown</t>
  </si>
  <si>
    <t>Viking</t>
  </si>
  <si>
    <t>220.601 LIA c</t>
  </si>
  <si>
    <t>Cara Menafsir Alkitab - Dengan Tepat &amp; Benar</t>
  </si>
  <si>
    <t>Dr. Suhento Liauw</t>
  </si>
  <si>
    <t>STT- Graphe</t>
  </si>
  <si>
    <t xml:space="preserve">0-88344-043-1/0-88344-044-X </t>
  </si>
  <si>
    <t>220.601 GOT t</t>
  </si>
  <si>
    <t>The Bible and Liberation (Political and Social Hermeneutics)</t>
  </si>
  <si>
    <t>220.601 FIS p</t>
  </si>
  <si>
    <t>Pra Hermeneutik</t>
  </si>
  <si>
    <t>Don L. Fisher</t>
  </si>
  <si>
    <t>978-0-8006-3833-7/978-0-8006-3834-4</t>
  </si>
  <si>
    <t>220.601 FIO t</t>
  </si>
  <si>
    <t>The Power of The Word</t>
  </si>
  <si>
    <t>elisabeth Schussler Fiorenza</t>
  </si>
  <si>
    <t>220.601 FEE h</t>
  </si>
  <si>
    <t>HERMENEUTIK (Bagaimana Menafsirkan Firman Tuhan dengan Tepat)</t>
  </si>
  <si>
    <t>Gordon D. Fee &amp; Duglas Stuart</t>
  </si>
  <si>
    <t>220.601 CAR k</t>
  </si>
  <si>
    <t>Kesalahan-kesalahan Eksegetis Exegetical Fallacies</t>
  </si>
  <si>
    <t>978-0-8308-2579-0</t>
  </si>
  <si>
    <t>220.601 BRA a</t>
  </si>
  <si>
    <t>Abusing Scripture: The Consequences of Misreading The Bible</t>
  </si>
  <si>
    <t>Manfred T. Brauch</t>
  </si>
  <si>
    <t>220.601  SIT  m</t>
  </si>
  <si>
    <t>Methode Penafsiran Alkitab</t>
  </si>
  <si>
    <t>Dr. A.A Sitompul, Dr. U. Beyer</t>
  </si>
  <si>
    <t>1-57383-074-7</t>
  </si>
  <si>
    <t>220.609 LON b</t>
  </si>
  <si>
    <t>Biblical Exegesis in The Apostolic Period</t>
  </si>
  <si>
    <t>Regent College Publishing</t>
  </si>
  <si>
    <t>0-85527-537-5</t>
  </si>
  <si>
    <t>220.6 WAD w</t>
  </si>
  <si>
    <t>Ways of Reading The Bible</t>
  </si>
  <si>
    <t>Michael Wadsworth (E)</t>
  </si>
  <si>
    <t>Harvester</t>
  </si>
  <si>
    <t>978-602-8165-91-4</t>
  </si>
  <si>
    <t>220.6 VAN a</t>
  </si>
  <si>
    <t>Apakah Ada Makna Dalam Teks Ini?</t>
  </si>
  <si>
    <t>978-0-8028-6674-5</t>
  </si>
  <si>
    <t>220.6 HUN t</t>
  </si>
  <si>
    <t>Thy Word Is Truth: Barth On Scripture</t>
  </si>
  <si>
    <t>George Hunsinger</t>
  </si>
  <si>
    <t>978-0-8028-6927-2</t>
  </si>
  <si>
    <t>220.6 POR h</t>
  </si>
  <si>
    <t>Horizons in Hermeneutics</t>
  </si>
  <si>
    <t>Stanley E. Porter &amp; Matthew R. Malcolm</t>
  </si>
  <si>
    <t>978-602-7708-79-2</t>
  </si>
  <si>
    <t>220.6 STU h</t>
  </si>
  <si>
    <t>Hermeneutik Menafsirkan Firman Tuhan Dengan Tepat (edisi revisi)</t>
  </si>
  <si>
    <t>Douglas Stuart &amp; Gordon D. Fee</t>
  </si>
  <si>
    <t>220.6 STU e</t>
  </si>
  <si>
    <t>Eksegese Perjanjian Lama</t>
  </si>
  <si>
    <t xml:space="preserve">Douglas Stuart </t>
  </si>
  <si>
    <t>979-415-556-X</t>
  </si>
  <si>
    <t>220.6 SIT m</t>
  </si>
  <si>
    <t>Metode Penafsiran Alkitab</t>
  </si>
  <si>
    <t>Dr. A.A. Sitompul &amp; Dr. Ulrich Beyer</t>
  </si>
  <si>
    <t>978-979-687-569-6</t>
  </si>
  <si>
    <t>220.6 SIN d</t>
  </si>
  <si>
    <t>Dua Konteks</t>
  </si>
  <si>
    <t>Pdt. Prof. Emanuel Gerrit Singgih, Ph.D</t>
  </si>
  <si>
    <t>978-979-21-0417-8</t>
  </si>
  <si>
    <t>220.6 KAN p</t>
  </si>
  <si>
    <t>Penafsiran Alkitab Dalam Gereja-- Komisi Kitab Suci Kepausan</t>
  </si>
  <si>
    <t>0-8091-4236-8</t>
  </si>
  <si>
    <t>220.67 ORG i</t>
  </si>
  <si>
    <t>Is The Bible Fact or Fiction? An Introduction to Biblical Historiography</t>
  </si>
  <si>
    <t>Biblika (Historiography)</t>
  </si>
  <si>
    <t>Barbara E. Organ</t>
  </si>
  <si>
    <t>1-55540-624-6</t>
  </si>
  <si>
    <t>220.6 LOV s</t>
  </si>
  <si>
    <t xml:space="preserve">Seminar Papers </t>
  </si>
  <si>
    <t>Eugene H. Lovering, Jr.</t>
  </si>
  <si>
    <t>Society of Biblical Literature seminar papers</t>
  </si>
  <si>
    <t>979-463-787-4</t>
  </si>
  <si>
    <t>220.6 LAI s</t>
  </si>
  <si>
    <t>Satu Alkitab Beragam Terjemahan (Kumpulan Makala Seminar)</t>
  </si>
  <si>
    <t>LAI</t>
  </si>
  <si>
    <t>0-8091-2747-4</t>
  </si>
  <si>
    <t>220.6 KEE i</t>
  </si>
  <si>
    <t>Interpreting The Bible (A Popular Introduction to Biblical Hermeneutics</t>
  </si>
  <si>
    <t>Terence J. Keegan, O.P.</t>
  </si>
  <si>
    <t xml:space="preserve">Paulist Press </t>
  </si>
  <si>
    <t>0-8308-1423-x</t>
  </si>
  <si>
    <t>220.6 KAI h</t>
  </si>
  <si>
    <t>Hard Sayings of The Bible</t>
  </si>
  <si>
    <t>Walter C. Kaiser Jr.</t>
  </si>
  <si>
    <t>0-931464-11-0</t>
  </si>
  <si>
    <t>220.6 INC t</t>
  </si>
  <si>
    <t>The Living and Active Word of God</t>
  </si>
  <si>
    <t xml:space="preserve">Morris Inch &amp; Ronald Youngblood </t>
  </si>
  <si>
    <t>960-86138-8-4</t>
  </si>
  <si>
    <t>069.134 TSI b</t>
  </si>
  <si>
    <t>Byzantine Icons From The Heart of Greece</t>
  </si>
  <si>
    <t>Chrysanthi Mavropoulou - Tsioumi</t>
  </si>
  <si>
    <t>The Metropolis of Veria, Naoussa &amp; Campania</t>
  </si>
  <si>
    <t>979-415-695-7</t>
  </si>
  <si>
    <t>220.6 HAY P</t>
  </si>
  <si>
    <t>Pedoman Penafsiran Alkitab</t>
  </si>
  <si>
    <t>John H. Hayes &amp; Carl R. Holladay</t>
  </si>
  <si>
    <t>0-8042-0030-0</t>
  </si>
  <si>
    <t>220.6 HAY b</t>
  </si>
  <si>
    <t xml:space="preserve">Biblical Exegesis (A Beginner's Handbook) </t>
  </si>
  <si>
    <t>John H. Hayes dan Carl R. Holladay</t>
  </si>
  <si>
    <t>0-300-03679-5</t>
  </si>
  <si>
    <t>011.1 HUF b</t>
  </si>
  <si>
    <t xml:space="preserve">Bibliography and Index of Mainland Southheas Asian Languages and Linguistics </t>
  </si>
  <si>
    <t>Franklin E. Huffman</t>
  </si>
  <si>
    <t>Yale University Press</t>
  </si>
  <si>
    <t>978-0-8028-4274-9</t>
  </si>
  <si>
    <t>220.6 HAU h</t>
  </si>
  <si>
    <t>A History of Biblical Interpretation. Volume 2</t>
  </si>
  <si>
    <t>Alan J. Hauser &amp; Duane F. Watson (E)</t>
  </si>
  <si>
    <t>979-415-756-2</t>
  </si>
  <si>
    <t>220.6 GRA s</t>
  </si>
  <si>
    <t>Sejarah Singkat Penafsiran Alkitab</t>
  </si>
  <si>
    <t>Robert M. Grant &amp; David Tracy</t>
  </si>
  <si>
    <t>978-979-415-756-5</t>
  </si>
  <si>
    <t>0-89130-650-1</t>
  </si>
  <si>
    <t>220.6 DUK h</t>
  </si>
  <si>
    <t xml:space="preserve">Horace Bushnell on The Vitality of Biblical Language </t>
  </si>
  <si>
    <t>James O. Duke</t>
  </si>
  <si>
    <t>978-0-8028-6594-6</t>
  </si>
  <si>
    <t>220.6 DEP a</t>
  </si>
  <si>
    <t>All Roads Lead To The Text</t>
  </si>
  <si>
    <t>Dean B. Deppe</t>
  </si>
  <si>
    <t>220.6 CON i</t>
  </si>
  <si>
    <t xml:space="preserve">Interpreting the Scripture </t>
  </si>
  <si>
    <t>Kevin J. Conner, Ken Malmin</t>
  </si>
  <si>
    <t>0-8010-2499-4</t>
  </si>
  <si>
    <t>220.6 CAR e</t>
  </si>
  <si>
    <t>Exegetical Fallacies</t>
  </si>
  <si>
    <t>D.A. Carson</t>
  </si>
  <si>
    <t>978-1-906055-89-9</t>
  </si>
  <si>
    <t>220.6 BRE d</t>
  </si>
  <si>
    <t>Decolonizing God "the Bible in the Tides of Empire"</t>
  </si>
  <si>
    <t>Mark G. Brett</t>
  </si>
  <si>
    <t>Sheffield Phoenix Press</t>
  </si>
  <si>
    <t>978-0-8028-6235-8</t>
  </si>
  <si>
    <t>220.601 BIL t</t>
  </si>
  <si>
    <t>The Word of God for The People of God</t>
  </si>
  <si>
    <t>J. Todd Billings</t>
  </si>
  <si>
    <t>978-0-19-969290-3</t>
  </si>
  <si>
    <t>220.6 BAR b</t>
  </si>
  <si>
    <t>Bible and Interpretation: The Collected Essay of James Barr Volume III: Linguistics and Translation</t>
  </si>
  <si>
    <t>John Barton</t>
  </si>
  <si>
    <t>978-0-19-969289-7</t>
  </si>
  <si>
    <t>Bible and Interpretation: The Collected Essay of James Barr Volume II: Biblical Studies</t>
  </si>
  <si>
    <t>978-0-19-969288-0</t>
  </si>
  <si>
    <t>Bible and Interpretation: The Collected Essay of James Barr Volume I: Interpretation and Theology</t>
  </si>
  <si>
    <t>978-979-415-556-1</t>
  </si>
  <si>
    <t>220.6 BEY m</t>
  </si>
  <si>
    <t>A. A. Sitompul &amp; Ulrich Beyer</t>
  </si>
  <si>
    <t>979-415-009-6</t>
  </si>
  <si>
    <t>220.6 BAR f</t>
  </si>
  <si>
    <t>Fundamentalisme</t>
  </si>
  <si>
    <t>979-415-408-3</t>
  </si>
  <si>
    <t>220.6 BAR a</t>
  </si>
  <si>
    <t>Alkitab di Dunia Modern</t>
  </si>
  <si>
    <t>978-1-58983-500-9</t>
  </si>
  <si>
    <t>220.6092 LAU t</t>
  </si>
  <si>
    <t>The Soul and Spirit of Scripture within Origen's Exgesis</t>
  </si>
  <si>
    <t>Elizabeth Ann Dively Lauro</t>
  </si>
  <si>
    <t>979-415-507-1</t>
  </si>
  <si>
    <t>220.6 KAR a</t>
  </si>
  <si>
    <t>Allah Beserta Kita</t>
  </si>
  <si>
    <t>Ny.S.L. Tobing - Kartohadiprodjo</t>
  </si>
  <si>
    <t>979-415-834-8</t>
  </si>
  <si>
    <t>220.6  RAK  m</t>
  </si>
  <si>
    <t>Mendidik Dengan Alkitab Dan Nalar: Kumpulan karangan dalam rangka penghormatan kepada Pdt. Prof. Richard W. Haskin, Ph.D.</t>
  </si>
  <si>
    <t>Ioanes Rakhmat (Penyunting )</t>
  </si>
  <si>
    <t>978-602-231-297-0</t>
  </si>
  <si>
    <t>220.6  KNI  t</t>
  </si>
  <si>
    <t>The Illustrated Bible Handbook - Pendamping Studi Alkitab Sehari-hari</t>
  </si>
  <si>
    <t>220.520.8 MOS g</t>
  </si>
  <si>
    <t>Good News for Modern Man "The Devil's Masterpiece"</t>
  </si>
  <si>
    <t>M. L. Moser, Jr</t>
  </si>
  <si>
    <t>Challenge</t>
  </si>
  <si>
    <t>978-0-06-078683-0</t>
  </si>
  <si>
    <t>220.520 COL t</t>
  </si>
  <si>
    <t>The Harper Collins Study Bible (Fully Revised &amp; Update)</t>
  </si>
  <si>
    <t>Peta Berwarna</t>
  </si>
  <si>
    <t>Harper Collins</t>
  </si>
  <si>
    <t xml:space="preserve">0-06-018516-3 </t>
  </si>
  <si>
    <t>220.5 NIC g</t>
  </si>
  <si>
    <t>God's Secretaries</t>
  </si>
  <si>
    <t>Adam Nicolson</t>
  </si>
  <si>
    <t>978-1-4143-6501-5</t>
  </si>
  <si>
    <t>220.520 CLE l</t>
  </si>
  <si>
    <t>Life Application Study Bible</t>
  </si>
  <si>
    <t>NTL The Truth Made Clear</t>
  </si>
  <si>
    <t>220.52 TAY g</t>
  </si>
  <si>
    <t xml:space="preserve">The Greatest is Love </t>
  </si>
  <si>
    <t>Ken Taylor</t>
  </si>
  <si>
    <t xml:space="preserve">The World Bible League </t>
  </si>
  <si>
    <t>1-55661-575-2</t>
  </si>
  <si>
    <t>220.5'2  WHI  t</t>
  </si>
  <si>
    <t>The King James Only Controversy</t>
  </si>
  <si>
    <t>James R. White</t>
  </si>
  <si>
    <t>Bethany House Publishing</t>
  </si>
  <si>
    <t>978-0-8028-6377-5</t>
  </si>
  <si>
    <t>220.501 TRA</t>
  </si>
  <si>
    <t>Translating The New Testament Text, Translation, Theology</t>
  </si>
  <si>
    <t>Stanley E. Porter and Mark J. Boda</t>
  </si>
  <si>
    <t>978-0-8010-2282-1</t>
  </si>
  <si>
    <t>220.5 MET t</t>
  </si>
  <si>
    <t>The Bible in Translation (Ancient and English Versions)</t>
  </si>
  <si>
    <t xml:space="preserve">Bruce M. Metzger </t>
  </si>
  <si>
    <t>220.5 KUB s</t>
  </si>
  <si>
    <t>So Many Versions? (Twentieth Century English Versions of The Bible)</t>
  </si>
  <si>
    <t>Sakae Kubo &amp; Walter Specht</t>
  </si>
  <si>
    <t>1-58983-137-3</t>
  </si>
  <si>
    <t>220.5 STI l</t>
  </si>
  <si>
    <t>Let The Words be Writter (The Lasting Influence of Eugene A. Nida)</t>
  </si>
  <si>
    <t>Philip C. Stine</t>
  </si>
  <si>
    <t>Society of Biblical Literature Atlanta</t>
  </si>
  <si>
    <t>0-8042-0079-3</t>
  </si>
  <si>
    <t>220.5 BAI t</t>
  </si>
  <si>
    <t>The Word Of God</t>
  </si>
  <si>
    <t>Lloyd R. Bailey (E)</t>
  </si>
  <si>
    <t>978-0-310-29083-4</t>
  </si>
  <si>
    <t>487.4 CAM b</t>
  </si>
  <si>
    <t>Basics of Verbal Aspect in Biblical Greek</t>
  </si>
  <si>
    <t>Constantine R. Campbell</t>
  </si>
  <si>
    <t>0-19-502924-0</t>
  </si>
  <si>
    <t>220.48 MET m</t>
  </si>
  <si>
    <t>Manuscripts of The Greek Bible</t>
  </si>
  <si>
    <t>220.48 MAR</t>
  </si>
  <si>
    <t>An Introduction to The Bible Societies Greek New Testament</t>
  </si>
  <si>
    <t>Robert P. Markham dan Eugene A. Nida</t>
  </si>
  <si>
    <t>USAn Bible Society</t>
  </si>
  <si>
    <t>978-0-310-27020-1</t>
  </si>
  <si>
    <t>492.4 PRA b</t>
  </si>
  <si>
    <t xml:space="preserve">Basics of Biblical Hebrew Grammar (Second Edition) </t>
  </si>
  <si>
    <t>Ibrani - Inggris</t>
  </si>
  <si>
    <t>Gary D. Pratico &amp; Miles V. Van Pelt</t>
  </si>
  <si>
    <t>82-541-0164-7</t>
  </si>
  <si>
    <t>220.439.82 BEH</t>
  </si>
  <si>
    <t xml:space="preserve">Bibelen for sma og store </t>
  </si>
  <si>
    <t>Anita Behrendt</t>
  </si>
  <si>
    <t>Bibelselkapets forlag</t>
  </si>
  <si>
    <t>87-7523-217-0</t>
  </si>
  <si>
    <t xml:space="preserve">Bibelen for born og unge </t>
  </si>
  <si>
    <t>978-979-17911-3-7</t>
  </si>
  <si>
    <t>220.404 SUG k</t>
  </si>
  <si>
    <t>Kitab Suci Kristianie: Haruskah Melibatkan Kata "Allah" dan "Tuhan"?</t>
  </si>
  <si>
    <t>Kristian H.Sugiyarto</t>
  </si>
  <si>
    <t>B You Publishing</t>
  </si>
  <si>
    <t>979-463-372-0</t>
  </si>
  <si>
    <t>220.4 SOE</t>
  </si>
  <si>
    <t xml:space="preserve">Mengenal Alkitab Anda </t>
  </si>
  <si>
    <t>Daud H. Soesilo</t>
  </si>
  <si>
    <t xml:space="preserve">LAI </t>
  </si>
  <si>
    <t>978-602-287-009-8</t>
  </si>
  <si>
    <t>978-979-29-2983-6</t>
  </si>
  <si>
    <t>220 SIT b</t>
  </si>
  <si>
    <t>Bibliologi - Menyingkap Sejarah Perjalanan Alkitab Dari Masa Ke Masa</t>
  </si>
  <si>
    <t>Pdt. Jonar T.H Situmorang, M.A</t>
  </si>
  <si>
    <t>978-602-287-018-0</t>
  </si>
  <si>
    <t>220.4 SAI i</t>
  </si>
  <si>
    <t>injil Adalah Kekuatan Allah yang Menyelamatkan!</t>
  </si>
  <si>
    <t>Weinata Sairin, Roiny M.P. Hutabarat, Yoel M. Indrasmora</t>
  </si>
  <si>
    <t>979-3012-07-2</t>
  </si>
  <si>
    <t>220.4 LAN h</t>
  </si>
  <si>
    <t xml:space="preserve">1001 Hal yang Selalu Ingin Anda Ketahui tentang Alkitab </t>
  </si>
  <si>
    <t xml:space="preserve">J. Stephen Lang </t>
  </si>
  <si>
    <t>0-06-064927-5</t>
  </si>
  <si>
    <t>220.4 LAM i</t>
  </si>
  <si>
    <t>Idioms in the Bible Explained and A key to The Original Gospels</t>
  </si>
  <si>
    <t>George M. Lamsa</t>
  </si>
  <si>
    <t>0-8267-0009-8</t>
  </si>
  <si>
    <t>220.4 HUL C</t>
  </si>
  <si>
    <t>Compte Rendu Preliminaire et Provisoire sur le Travali d'analyse Textuelle de I'Ancien Testament Hebreu Vol. 2</t>
  </si>
  <si>
    <t>A. R. Hulst</t>
  </si>
  <si>
    <t>United Bible Societies Alliance Biblique Universelle</t>
  </si>
  <si>
    <t>0-8267-0008-x</t>
  </si>
  <si>
    <t>220.4 HUL c</t>
  </si>
  <si>
    <t>Compte Rendu Preliminaire et Provisoire sur le Travali d'analyse Textuelle de I'Ancien Testament Hebreu Vol. 1</t>
  </si>
  <si>
    <t>0-931464-93-5</t>
  </si>
  <si>
    <t>220.66 BER p</t>
  </si>
  <si>
    <t>Poetics and Interpretation of Biblical Narrative</t>
  </si>
  <si>
    <t>0-8407-5819-7</t>
  </si>
  <si>
    <t>220.321 PAC a</t>
  </si>
  <si>
    <t>All the People and Places of the Bible</t>
  </si>
  <si>
    <t>James I. Packer (E)</t>
  </si>
  <si>
    <t>979-3012-83-8</t>
  </si>
  <si>
    <t>220.3 RHO k</t>
  </si>
  <si>
    <t>Kamus Lengkap Janji-Janji Alkitab</t>
  </si>
  <si>
    <t>Ron Rhodes</t>
  </si>
  <si>
    <t>0-8146-2527-4</t>
  </si>
  <si>
    <t>220.3 PIL t</t>
  </si>
  <si>
    <t>The Cultural Dictionary of the Bible</t>
  </si>
  <si>
    <t>Kamus</t>
  </si>
  <si>
    <t>The Liturgical Press</t>
  </si>
  <si>
    <t>90-6126-510-X</t>
  </si>
  <si>
    <t>223.9  BIJ b</t>
  </si>
  <si>
    <t>Bijbelse Namen</t>
  </si>
  <si>
    <t>Nederlandsch Bijbelgenootschap</t>
  </si>
  <si>
    <t>220.3 BRA b</t>
  </si>
  <si>
    <t xml:space="preserve">Bible Index </t>
  </si>
  <si>
    <t>Robert G. Bratcher dan John A. Thompson</t>
  </si>
  <si>
    <t>220.3  RHO  k</t>
  </si>
  <si>
    <t>Kamus Lengkap Janji - Janni Alkitab</t>
  </si>
  <si>
    <t>0-664-22394-X</t>
  </si>
  <si>
    <t>220.3 GOW t</t>
  </si>
  <si>
    <t>The Westminster Theological Wordbook of the Bible</t>
  </si>
  <si>
    <t>220.2 NID t</t>
  </si>
  <si>
    <t>The Book of a Thousand Tongues</t>
  </si>
  <si>
    <t>Eugena  A. Nida</t>
  </si>
  <si>
    <t>220.2 B64</t>
  </si>
  <si>
    <t>0--7137-2737-3</t>
  </si>
  <si>
    <t>220.15 ASH t</t>
  </si>
  <si>
    <t>The Book of Prophecy</t>
  </si>
  <si>
    <t>Geoffrey Ashe</t>
  </si>
  <si>
    <t>Blanford</t>
  </si>
  <si>
    <t>220.13 CLI t</t>
  </si>
  <si>
    <t>The Word in The World</t>
  </si>
  <si>
    <t>Richard J.Cufoord, S.J.  Dan ger W..Macrae, .j.</t>
  </si>
  <si>
    <t>Weston Collegion Press</t>
  </si>
  <si>
    <t>220.13 WAL a</t>
  </si>
  <si>
    <t xml:space="preserve">Ayat yang Tepat </t>
  </si>
  <si>
    <t>L. Walter</t>
  </si>
  <si>
    <t>978-602-7855-54-0</t>
  </si>
  <si>
    <t>220.13 SWI s</t>
  </si>
  <si>
    <t>Swindoll's Ultimate Book of Illustrations &amp; Quotes; Kumpulan Ilustrasi dan kutipan favorit untuk para pengkotbah, pembicara dan kaum awam M-Z</t>
  </si>
  <si>
    <t>Kalam Hidup</t>
  </si>
  <si>
    <t>978-979-26-3579-3</t>
  </si>
  <si>
    <t>Swindoll's Ultimate Book Of Illustrations &amp; Quotes. A-L</t>
  </si>
  <si>
    <t>979-415-007-x</t>
  </si>
  <si>
    <t>220.13 SAI p</t>
  </si>
  <si>
    <t>Persebaran Firman di Sepanjang Zaman</t>
  </si>
  <si>
    <t>Pdt.Weinata Sairin, M.Th, dkk.</t>
  </si>
  <si>
    <t>979-415-196-3</t>
  </si>
  <si>
    <t>220.13 RID d</t>
  </si>
  <si>
    <t>Dapatkah Alkitab Dipercaya? Apologetika untuk kaum awam/apologetika populer</t>
  </si>
  <si>
    <t>Fritz Ridenour</t>
  </si>
  <si>
    <t>978-602-1315-17-0</t>
  </si>
  <si>
    <t>220.13 REY m</t>
  </si>
  <si>
    <t xml:space="preserve">Menata Hati Serupa Kristus </t>
  </si>
  <si>
    <t>Hendra Rey</t>
  </si>
  <si>
    <t>PT. Visi Anugerah Indonesia</t>
  </si>
  <si>
    <t>220.13 NID g</t>
  </si>
  <si>
    <t>God's Word in Man's Language</t>
  </si>
  <si>
    <t>220.13 MIL t</t>
  </si>
  <si>
    <t>The Authority And Relevance Of The Bible In The Modern World</t>
  </si>
  <si>
    <t>The Oliver Beguin Memorial Lecture</t>
  </si>
  <si>
    <t>0-06-066696-X</t>
  </si>
  <si>
    <t>220.6 M.19 ROG a</t>
  </si>
  <si>
    <t>The Authority and Interpretation of the Bible</t>
  </si>
  <si>
    <t>Jack B. Rogers Dkk</t>
  </si>
  <si>
    <t>978-979-21-1710-3</t>
  </si>
  <si>
    <t>220.13 LEK s</t>
  </si>
  <si>
    <t>Sepuluh Cara Sederhana Merenungkan Sabda Tuhan dalam Kelompok</t>
  </si>
  <si>
    <t>Stefan Leks</t>
  </si>
  <si>
    <t>979-413-933-5</t>
  </si>
  <si>
    <t>Sabda Tuhan Dan Pembacanya</t>
  </si>
  <si>
    <t>979-99540-0-2</t>
  </si>
  <si>
    <t>220.13 HUS k</t>
  </si>
  <si>
    <t>Kumpulan Firman &amp; Perumpamaan</t>
  </si>
  <si>
    <t>Noto Husodo Widodo, DRG</t>
  </si>
  <si>
    <t>0-918873-00-2</t>
  </si>
  <si>
    <t>220.13 BIV u</t>
  </si>
  <si>
    <t>Understanding The Difficult Words of Jesus</t>
  </si>
  <si>
    <t>David Birin &amp; Roy Blizzard, Jr</t>
  </si>
  <si>
    <t>Center for Judaic Christian Studies Austin, Texas</t>
  </si>
  <si>
    <t>220.13 AGU i</t>
  </si>
  <si>
    <t>Intisari Firman Allah (Principles of Bible Study, Chain Topics )</t>
  </si>
  <si>
    <t>Pdt. Markus Agung</t>
  </si>
  <si>
    <t>0-664-24313-4</t>
  </si>
  <si>
    <t>220.13 ACH  t</t>
  </si>
  <si>
    <t>The Inspiration Of Scripture - Problem and Proposals</t>
  </si>
  <si>
    <t>Paul. J. Achtemeier</t>
  </si>
  <si>
    <t>The Westminster Press</t>
  </si>
  <si>
    <t>978-979-1338-04-2</t>
  </si>
  <si>
    <t>220.13  SAG  s</t>
  </si>
  <si>
    <t>Superioritas dan Keistimewaan Alkitab</t>
  </si>
  <si>
    <t xml:space="preserve">Pdt. Dr. Ir. Mangapul Sagala </t>
  </si>
  <si>
    <t>Perkantas Jakarta</t>
  </si>
  <si>
    <t>0-340-15609-0</t>
  </si>
  <si>
    <t>220.13  COG  w</t>
  </si>
  <si>
    <t>Word and World</t>
  </si>
  <si>
    <t>Donald Coggan</t>
  </si>
  <si>
    <t>979-687-301-x</t>
  </si>
  <si>
    <t>220.13</t>
  </si>
  <si>
    <t>Ayat Yang Tepat</t>
  </si>
  <si>
    <t>L.Walter</t>
  </si>
  <si>
    <t>0-8006-0468-7</t>
  </si>
  <si>
    <t>220.1'2 SAN c</t>
  </si>
  <si>
    <t>Canon and Community</t>
  </si>
  <si>
    <t>James A. Sanders</t>
  </si>
  <si>
    <t>1-57910-909-8</t>
  </si>
  <si>
    <t>220.12 GAM t</t>
  </si>
  <si>
    <t>The New Testament Canon: Its Making and Meaning A Guide to Biblical Scholarship</t>
  </si>
  <si>
    <t>Harry Y. Gamble</t>
  </si>
  <si>
    <t>Wipf and Stock publishers</t>
  </si>
  <si>
    <t>220.1.1 CER a</t>
  </si>
  <si>
    <t>Alkitab Dari Mana Datangnya?</t>
  </si>
  <si>
    <t>E</t>
  </si>
  <si>
    <t>H. L. Cermat</t>
  </si>
  <si>
    <t>LLB</t>
  </si>
  <si>
    <t>0-8010-2169-3</t>
  </si>
  <si>
    <t>220.1 WEG</t>
  </si>
  <si>
    <t>The Journey From Texts to Translations</t>
  </si>
  <si>
    <t>Paul D. Wegner</t>
  </si>
  <si>
    <t>978-979-21-2843-7</t>
  </si>
  <si>
    <t>220.1 SUW</t>
  </si>
  <si>
    <t xml:space="preserve">Penumpangan Tangan (Dalam Kitab Suci dan Tradisi Gereja) </t>
  </si>
  <si>
    <t>Alex I. Suwandi, PR</t>
  </si>
  <si>
    <t>0-8028-2943-0/978-0-0828-2943-6</t>
  </si>
  <si>
    <t>220.1 SMI h</t>
  </si>
  <si>
    <t>How The Bible Was Built</t>
  </si>
  <si>
    <t>Charles Merrill Smith &amp; James W. Bennett</t>
  </si>
  <si>
    <t>978-0-521-53622-6</t>
  </si>
  <si>
    <t>220.1 SCH h</t>
  </si>
  <si>
    <t>How the Bible Became a Book</t>
  </si>
  <si>
    <t>William M. Schniedewind</t>
  </si>
  <si>
    <t>979-8100-10-7</t>
  </si>
  <si>
    <t>220.1 SAL</t>
  </si>
  <si>
    <t>Mencari Asal-Usul Kitab Suci</t>
  </si>
  <si>
    <t>Kamal Salibi</t>
  </si>
  <si>
    <t>Lintera Antarnusa</t>
  </si>
  <si>
    <t>978-0-8423-8367-7</t>
  </si>
  <si>
    <t>220.1 BRU t</t>
  </si>
  <si>
    <t>The Origin of The Bible</t>
  </si>
  <si>
    <t>Tyndale House Publishers</t>
  </si>
  <si>
    <t>978-979-415-913-2</t>
  </si>
  <si>
    <t>220.1 ORD a</t>
  </si>
  <si>
    <t>Apakah Alkitab Benar?</t>
  </si>
  <si>
    <t>David Robert Ord &amp; Robert B. Coote</t>
  </si>
  <si>
    <t>220.1 MUN b</t>
  </si>
  <si>
    <t>Benarkah Alkitab Merupakan Pesan Dari Tuhan?</t>
  </si>
  <si>
    <t>220.1 MAD p</t>
  </si>
  <si>
    <t>Pengetahuan Tentang Isi Al-Kitab</t>
  </si>
  <si>
    <t>J.Madjan dan K.Riedel</t>
  </si>
  <si>
    <t>220.1 LEK m</t>
  </si>
  <si>
    <t>Mempelajari Alkitab Secara Pribadi</t>
  </si>
  <si>
    <t>979-497-708-X</t>
  </si>
  <si>
    <t xml:space="preserve">Mengenal ABC Kitab Suci </t>
  </si>
  <si>
    <t xml:space="preserve">Stefan Leks </t>
  </si>
  <si>
    <t>220.1 LAH m</t>
  </si>
  <si>
    <t>Mempelajari Alkitab Secara Praktis</t>
  </si>
  <si>
    <t>Tim Lahaye</t>
  </si>
  <si>
    <t>Yayasan Kalam Hidup</t>
  </si>
  <si>
    <t>979-429-134-X</t>
  </si>
  <si>
    <t>220.1 KIR s2</t>
  </si>
  <si>
    <t>Sabda Allah Denyut Jantung Misi. Jilid II</t>
  </si>
  <si>
    <t>Georg Kirchberger &amp; John Masford Prior (E)</t>
  </si>
  <si>
    <t>Nusa Indah</t>
  </si>
  <si>
    <t>979-429-133-1</t>
  </si>
  <si>
    <t>220.1 KIR s1</t>
  </si>
  <si>
    <t>Sabda Allah Denyut Jantung Misi I</t>
  </si>
  <si>
    <t>220.1 KER i</t>
  </si>
  <si>
    <t xml:space="preserve">Indjil Kitab Kutipan </t>
  </si>
  <si>
    <t>P. J. Kersten</t>
  </si>
  <si>
    <t>978-1-59638-403-3</t>
  </si>
  <si>
    <t>220.1 BOI s</t>
  </si>
  <si>
    <t>Solid Ground: The inerrant Word of God in an Errant World</t>
  </si>
  <si>
    <t>James M. Boice, etc</t>
  </si>
  <si>
    <t>978-0-8028-3823-0</t>
  </si>
  <si>
    <t>220.1 FEE t</t>
  </si>
  <si>
    <t xml:space="preserve">The Eerdmans Companion to the Bible </t>
  </si>
  <si>
    <t>Companion</t>
  </si>
  <si>
    <t>U.K</t>
  </si>
  <si>
    <t>Gordon D. Fee &amp; Robert L. Hubbard Jr.</t>
  </si>
  <si>
    <t>William B. Eerdmans</t>
  </si>
  <si>
    <t>979-8131-31-2</t>
  </si>
  <si>
    <t>220.1 BRU s</t>
  </si>
  <si>
    <t>Siapa Yang Membuat Alkitab?</t>
  </si>
  <si>
    <t>Jakob Van Bruggen</t>
  </si>
  <si>
    <t>The Books and The Parchments</t>
  </si>
  <si>
    <t xml:space="preserve">F.F. Bruce, M.A. </t>
  </si>
  <si>
    <t>London Pickering &amp; Inglis Ltd</t>
  </si>
  <si>
    <t>90 6126 910 5</t>
  </si>
  <si>
    <t>220.1 BLO h</t>
  </si>
  <si>
    <t xml:space="preserve">Het Verhaal Van De Bijbel </t>
  </si>
  <si>
    <t>Hanna Blok, Jeannette Deenik</t>
  </si>
  <si>
    <t>Nederlans Bijbelgenootschap, Harlem</t>
  </si>
  <si>
    <t>220.1 AMB k</t>
  </si>
  <si>
    <t>Kunci Utama Untuk Mengenal Allah dan Rahasia Alkitab</t>
  </si>
  <si>
    <t>978-979-29-1043-8</t>
  </si>
  <si>
    <t>220.1  SMI  b</t>
  </si>
  <si>
    <t>Bible From A to Z - Ringkasan Isi ke 66 Kitab, Pertanyaan Paling Sering Ditanyakan Tentang Alkitab</t>
  </si>
  <si>
    <t>978-979-565-687-6</t>
  </si>
  <si>
    <t xml:space="preserve">220.1  SIM b  </t>
  </si>
  <si>
    <t>BIBEL Warisan Iman, Sejarah dan Budaya</t>
  </si>
  <si>
    <t>S. Tano Simamora</t>
  </si>
  <si>
    <t>Obor</t>
  </si>
  <si>
    <t>978-602-8165-88-4</t>
  </si>
  <si>
    <t>261 PEA k</t>
  </si>
  <si>
    <t>Kebenaran Total</t>
  </si>
  <si>
    <t>Nancy Pearcey</t>
  </si>
  <si>
    <t>978-602-8139-82-3</t>
  </si>
  <si>
    <t>220.1 KRI m</t>
  </si>
  <si>
    <t>Mengenal Alkitab Lebih Dekat, Kupas ringkas dari 66 kitab dalam Alkitab</t>
  </si>
  <si>
    <t>C. Krismariana W.</t>
  </si>
  <si>
    <t>Gloria Garffa</t>
  </si>
  <si>
    <t>979-9532-23-X</t>
  </si>
  <si>
    <t>220  ELW a</t>
  </si>
  <si>
    <t>Analisa Topikal Terhadap Alkitab. Jilid 1</t>
  </si>
  <si>
    <t>Walter A. Elwell (E)</t>
  </si>
  <si>
    <t>965-220-530-3</t>
  </si>
  <si>
    <t>220.095 BAL c</t>
  </si>
  <si>
    <t>Carta's illustrated Encyclopedia: of the Holy Temple in Jerusalem</t>
  </si>
  <si>
    <t>umum</t>
  </si>
  <si>
    <t xml:space="preserve">Israel </t>
  </si>
  <si>
    <t>Barbara Ball, Eli Kellerman &amp; Uzi Dor</t>
  </si>
  <si>
    <t>Israel Ariel Chaim Richman</t>
  </si>
  <si>
    <t>978-979-21-4482-6</t>
  </si>
  <si>
    <t>220.09 SAN m</t>
  </si>
  <si>
    <t>Menelusuri Tulisan-Tulisan Deuterokanonika</t>
  </si>
  <si>
    <t>V. Indra Sanjaya, Pr</t>
  </si>
  <si>
    <t>LBI</t>
  </si>
  <si>
    <t>0-8267-0032-2</t>
  </si>
  <si>
    <t>220.09 KEE t</t>
  </si>
  <si>
    <t>The Bible in The Twenty-First Century</t>
  </si>
  <si>
    <t>Howard Clark Kee</t>
  </si>
  <si>
    <t>American Bible Society</t>
  </si>
  <si>
    <t>979-763-778-6</t>
  </si>
  <si>
    <t>220.07 BUD p</t>
  </si>
  <si>
    <t>Petunjuk Praktis Menggunakan Bible Works &amp; E- Sword</t>
  </si>
  <si>
    <t>Andreas Agus Budijanto</t>
  </si>
  <si>
    <t>0-930014-72-3</t>
  </si>
  <si>
    <t>220.07 BRA h</t>
  </si>
  <si>
    <t>How to Study the Bible</t>
  </si>
  <si>
    <t>James Braga</t>
  </si>
  <si>
    <t>Multnomah</t>
  </si>
  <si>
    <t>978-3-8299-9290-3</t>
  </si>
  <si>
    <t>220.046 SAN d</t>
  </si>
  <si>
    <t>Die Apokalyptik als judische Denkbewegung</t>
  </si>
  <si>
    <t>Tectum Verlag</t>
  </si>
  <si>
    <t>978-0-8010-3594-4</t>
  </si>
  <si>
    <t>220.046 AUN a</t>
  </si>
  <si>
    <t>Apocalypticism, Prophecy, and Magic in Early Christianity</t>
  </si>
  <si>
    <t>978-979-463-942-9</t>
  </si>
  <si>
    <t>220.046  MAR  a</t>
  </si>
  <si>
    <t>Apokaliptik - Kumpulan Karangan Simposium Ikatan Sarjana Biblika Indonesia 2006</t>
  </si>
  <si>
    <t>Y.M Seto Marsunu</t>
  </si>
  <si>
    <t>220.04 LIN m</t>
  </si>
  <si>
    <t>Mengapa Alkitab Itu Disebut Firman Allah</t>
  </si>
  <si>
    <t>Gordon Lindsay</t>
  </si>
  <si>
    <t>Yayasan Pekabaran Injil Immanuel</t>
  </si>
  <si>
    <t>978 979 29 1864 9</t>
  </si>
  <si>
    <t>220.04 NOO t</t>
  </si>
  <si>
    <t>Telaah Kritis Atas Injil Barnabas</t>
  </si>
  <si>
    <t>Bambang Noorsena, SH</t>
  </si>
  <si>
    <t>979-26-0703-X</t>
  </si>
  <si>
    <t>220.04 McE  b</t>
  </si>
  <si>
    <t>Bacalah Bible - Merajut Benang Merah Tiga Iman</t>
  </si>
  <si>
    <t>Thomas McElwain</t>
  </si>
  <si>
    <t>965-220-501-x</t>
  </si>
  <si>
    <t>220.04 HAR l</t>
  </si>
  <si>
    <t>Landscape Nature and Man in the Bible</t>
  </si>
  <si>
    <t>Manashe Har-El</t>
  </si>
  <si>
    <t xml:space="preserve">Carta Jerusalem The University of Haifa </t>
  </si>
  <si>
    <t>220.04 CER a</t>
  </si>
  <si>
    <t>Alkitab: Dari Mana Datangnya?</t>
  </si>
  <si>
    <t>H.L.Cermat</t>
  </si>
  <si>
    <t>Lembaga Literature Baptis</t>
  </si>
  <si>
    <t>220.04 AMB b</t>
  </si>
  <si>
    <t xml:space="preserve">Benarkah Ada Nubuat Kenabian Muhammad dalam Alkitab? </t>
  </si>
  <si>
    <t>978-979-463-922-1</t>
  </si>
  <si>
    <t>220.04  YAN  m</t>
  </si>
  <si>
    <t>Menghayati Kalam Dalam Hening</t>
  </si>
  <si>
    <t>Liem Khiem Yang</t>
  </si>
  <si>
    <t>979-21-1040-2</t>
  </si>
  <si>
    <t>220.04  KEE a</t>
  </si>
  <si>
    <t>Alkitab Sejarah, Proses Terbentuk, dan Pengaruhnya</t>
  </si>
  <si>
    <t>Michael Keene</t>
  </si>
  <si>
    <t>979-9532-07-8</t>
  </si>
  <si>
    <t>220.04  GUA a</t>
  </si>
  <si>
    <t>Anda bertanya Alkiktab Menjawab</t>
  </si>
  <si>
    <t>Dr. Caprili Guanga</t>
  </si>
  <si>
    <t>979-763-277-6</t>
  </si>
  <si>
    <t>220.04  GEI  k</t>
  </si>
  <si>
    <t>Ketika Alkitab Dipertanyakan</t>
  </si>
  <si>
    <t>Norman Geiser &amp; Ron Brooks</t>
  </si>
  <si>
    <t>220. POS t</t>
  </si>
  <si>
    <t>Tafsiran Wahju: Wahju Kepada Rasul Jahja</t>
  </si>
  <si>
    <t>Ds. A. POS</t>
  </si>
  <si>
    <t>0-19-513937-2</t>
  </si>
  <si>
    <t>220. 9'5 COO t</t>
  </si>
  <si>
    <t>The Oxford History of The Biblical World</t>
  </si>
  <si>
    <t>Michael D. Coogan (E)</t>
  </si>
  <si>
    <t>220. 7 PIL y</t>
  </si>
  <si>
    <t>Tafsiran Yoel</t>
  </si>
  <si>
    <t>220. 7 HAR t</t>
  </si>
  <si>
    <t>Tafsiran Kitab Pengkhotbah</t>
  </si>
  <si>
    <t xml:space="preserve"> F.K. N. Harahap</t>
  </si>
  <si>
    <t>978-979-415-485-4</t>
  </si>
  <si>
    <t>227 GUN g</t>
  </si>
  <si>
    <t>Tafsiran Alkitab Surat Galatia</t>
  </si>
  <si>
    <t>Drs. J. J. W. Gunning</t>
  </si>
  <si>
    <t>220. 7 BAR t</t>
  </si>
  <si>
    <t>979-415-166-1</t>
  </si>
  <si>
    <t>Tafsiran Alkitab Kitab Yesaya Pasal 40-55</t>
  </si>
  <si>
    <t>978-979-415-166-2</t>
  </si>
  <si>
    <t>220. 07 LEM  p</t>
  </si>
  <si>
    <t>Tafsiran Kejadian (37-43) Kej. V/bg. 1</t>
  </si>
  <si>
    <t>220. 07 CAI t</t>
  </si>
  <si>
    <t>Tafsiran Alkitab - Kitab Ulangan Pasal 12-34</t>
  </si>
  <si>
    <t>I. J. Cairns</t>
  </si>
  <si>
    <t>220 HOU s</t>
  </si>
  <si>
    <t>Sesudah Meninggal Kemanakah?</t>
  </si>
  <si>
    <t>Robert Ervin Hough</t>
  </si>
  <si>
    <t>Christian Literature Crusade</t>
  </si>
  <si>
    <t>1-56563-485-3</t>
  </si>
  <si>
    <t>220 GOR e</t>
  </si>
  <si>
    <t>Elements of Biblical Exegesis</t>
  </si>
  <si>
    <t>Michael J. Gorman</t>
  </si>
  <si>
    <t>978-979-687-512-2</t>
  </si>
  <si>
    <t>220 FOK b</t>
  </si>
  <si>
    <t>Di Balik Kisah-Kisah Alkitab (Penuntun Membaca Narasi Alkitab sebagai Karya Sastra)</t>
  </si>
  <si>
    <t>DR. Jan Fokkelman</t>
  </si>
  <si>
    <t>979-3080-02-7</t>
  </si>
  <si>
    <t>220 ELW a</t>
  </si>
  <si>
    <t>Analisa Topikal Terhadap Alkitab. Jilid 5</t>
  </si>
  <si>
    <t>Walter A. Elwell</t>
  </si>
  <si>
    <t>979-415-053-3</t>
  </si>
  <si>
    <t>220 DAV a</t>
  </si>
  <si>
    <t>Alkitab Berbicara</t>
  </si>
  <si>
    <t>0-310-21122-0</t>
  </si>
  <si>
    <t>220 COM</t>
  </si>
  <si>
    <t>The Complete Who's, Who in the Bible</t>
  </si>
  <si>
    <t>Paul D. Gardner (E)</t>
  </si>
  <si>
    <t>220 BAV m</t>
  </si>
  <si>
    <t>Mensen Rondom Jezus</t>
  </si>
  <si>
    <t>DR. J. H. Bavinck</t>
  </si>
  <si>
    <t>220 BAR t</t>
  </si>
  <si>
    <t>Tafsiran Alkitab Mazmur 42-89</t>
  </si>
  <si>
    <t>M. C. Barth &amp; B. A Pareira</t>
  </si>
  <si>
    <t>979-9428-69-6</t>
  </si>
  <si>
    <t>220  SWI   p</t>
  </si>
  <si>
    <t>Seri Tokoh Terbesar - Paulus</t>
  </si>
  <si>
    <t>979-9532-24-8</t>
  </si>
  <si>
    <t>Analisa Topikal Terhadap Alkitab. Jilid 2</t>
  </si>
  <si>
    <t>979-9532-25-6</t>
  </si>
  <si>
    <t>Analisa Topikal Terhadap Alkitab. Jilid 3</t>
  </si>
  <si>
    <t>0-85111-500-4</t>
  </si>
  <si>
    <t>220.1 BAK t</t>
  </si>
  <si>
    <t>Two Testaments One Bible</t>
  </si>
  <si>
    <t>D.L Baker</t>
  </si>
  <si>
    <t>978-979-1169-77-6</t>
  </si>
  <si>
    <t>227.86 SAN h</t>
  </si>
  <si>
    <t>Hiburkanlah Buah Hatiku Tafsir Surat Filemon</t>
  </si>
  <si>
    <t>0-415-21766-0</t>
  </si>
  <si>
    <t>180 SNY t</t>
  </si>
  <si>
    <t>Teachers and Texts in The Ancient World</t>
  </si>
  <si>
    <t>H. Gregory Snyder</t>
  </si>
  <si>
    <t>0006-2294</t>
  </si>
  <si>
    <t>301.205 CLE b</t>
  </si>
  <si>
    <t>BIJDRAGEN (Tot De Taal-, Land- En Volkenkunde) Deel 148</t>
  </si>
  <si>
    <t>Jurnal/ Sosial Budaya</t>
  </si>
  <si>
    <t>Prof. Dr. H J. M. Claessen</t>
  </si>
  <si>
    <t>Foris Publications Holland</t>
  </si>
  <si>
    <t>BIJDRAGEN (Tot De Taal-, Land- En Volkenkunde) Deel 147</t>
  </si>
  <si>
    <t>BIJDRAGEN (Tot De Taal-, Land- En Volkenkunde) Deel 143</t>
  </si>
  <si>
    <t>BIJDRAGEN (Tot De Taal-, Land- En Volkenkunde) Deel 142 4e Aflevering</t>
  </si>
  <si>
    <t>BIJDRAGEN (Tot De Taal-, Land- En Volkenkunde) Deel 142</t>
  </si>
  <si>
    <t>BIJDRAGEN (Tot De Taal-, Land- En Volkenkunde) Deel 141 4e Aflevering</t>
  </si>
  <si>
    <t>BIJDRAGEN (Tot De Taal-, Land- En Volkenkunde) Deel 141 2e Aflevering</t>
  </si>
  <si>
    <t>BIJDRAGEN (Tot De Taal-, Land- En Volkenkunde) Deel 141 1e Aflevering</t>
  </si>
  <si>
    <t>BIJDRAGEN (Tot De Taal-, Land- En Volkenkunde) Deel 140 4e Aflevering</t>
  </si>
  <si>
    <t>BIJDRAGEN (Tot De Taal-, Land- En Volkenkunde) Deel 140 2e Aflevering</t>
  </si>
  <si>
    <t>BIJDRAGEN (Tot De Taal-, Land- En Volkenkunde) Deel 140 1e Aflevering</t>
  </si>
  <si>
    <t>BIJDRAGEN (Tot De Taal-, Land- En Volkenkunde) Deel 139 4e Aflevering</t>
  </si>
  <si>
    <t>BIJDRAGEN (Tot De Taal-, Land- En Volkenkunde) Deel 138 4eAflevering</t>
  </si>
  <si>
    <t>BIJDRAGEN (Tot De Taal-, Land- En Volkenkunde) Deel 138 2e EN 3e Aflevering</t>
  </si>
  <si>
    <t>BIJDRAGEN (Tot De Taal-, Land- En Volkenkunde) Deel 138 1e Aflevering</t>
  </si>
  <si>
    <t>BIJDRAGEN (Tot De Taal-, Land- En Volkenkunde) Deel 137 4e Aflevering</t>
  </si>
  <si>
    <t>BIJDRAGEN (Tot De Taal-, Land- En Volkenkunde) Deel 137 2e  EN 3e Aflevering</t>
  </si>
  <si>
    <t>BIJDRAGEN (Tot De Taal-, Land- En Volkenkunde) Deel 137 1e Aflevering</t>
  </si>
  <si>
    <t>BIJDRAGEN (Tot De Taal-, Land- En Volkenkunde) Deel 136 4e Aflevering</t>
  </si>
  <si>
    <t>BIJDRAGEN (Tot De Taal-, Land- En Volkenkunde) Deel 136 2e  EN 3e Aflevering</t>
  </si>
  <si>
    <t>BIJDRAGEN (Tot De Taal-, Land- En Volkenkunde) Deel 136 1e Aflevering</t>
  </si>
  <si>
    <t>BIJDRAGEN (Tot De Taal-, Land- En Volkenkunde) Deel 135 4e Aflevering</t>
  </si>
  <si>
    <t>BIJDRAGEN (Tot De Taal-, Land- En Volkenkunde) Deel 133  2e  EN 3e Aflevering</t>
  </si>
  <si>
    <t>BIJDRAGEN (Tot De Taal-, Land- En Volkenkunde) Deel 131 4e Aflevering</t>
  </si>
  <si>
    <t>BIJDRAGEN (Tot De Taal-, Land- En Volkenkunde) Deel 131 2e  EN 3e Aflevering</t>
  </si>
  <si>
    <t>0260-0935</t>
  </si>
  <si>
    <t>220.05 TOW b</t>
  </si>
  <si>
    <t>The Bible Translatio: Technical Papers Vol, 55 No. 1 January 2004</t>
  </si>
  <si>
    <t>Jurnal/Teologi</t>
  </si>
  <si>
    <t>Philip H Towner</t>
  </si>
  <si>
    <t>The Bible Translatio: Technical Papers Vol, 54 No. 3 July 2003</t>
  </si>
  <si>
    <t>The Bible Translatio: Technical Papers Vol, 54 No. 1 January 2003</t>
  </si>
  <si>
    <t>The Bible Translatio: Technical Papers Vol, 53 No. 3 July 2002</t>
  </si>
  <si>
    <t>The Bible Translatio: Technical Papers Vol, 53 No. 1 January 2002</t>
  </si>
  <si>
    <t>The Bible Translatio: Technical Papers Vol, 51 No. 1 January 2000</t>
  </si>
  <si>
    <t>220.05 PAT b</t>
  </si>
  <si>
    <t>The Bible Translatio: Technical Papers Vol, 63 No. 3 July 2012</t>
  </si>
  <si>
    <t>Stephen W. Pattemore</t>
  </si>
  <si>
    <t>0260-0943</t>
  </si>
  <si>
    <t>The Bible Translatio: Practical Vol, 62 No. 4 October 2011</t>
  </si>
  <si>
    <t>Teologi/ Jurnal</t>
  </si>
  <si>
    <t>Dr. Stephen W. Pattemore</t>
  </si>
  <si>
    <t>The Bible Translatio: Practical Vol, 62 No. 2 April 2011</t>
  </si>
  <si>
    <t>The Bible Translatio: Practical Vol, 61 No. 4 April 2010</t>
  </si>
  <si>
    <t>The Bible Translatio: Practical Vol, 60 No. 4 October 2009</t>
  </si>
  <si>
    <t>The Bible Translatio: Practical Vol, 60 No. 2 April 2009</t>
  </si>
  <si>
    <t>The Bible Translatio: Practical Vol, 59 No. 4 October 2008</t>
  </si>
  <si>
    <t>The Bible Translatio: Practical Vol, 59 No. 2 April 2008</t>
  </si>
  <si>
    <t>The Bible Translatio: Practical Vol, 58 No. 4 October 2007</t>
  </si>
  <si>
    <t>The Bible Translatio: Practical Vol, 58 No. 2 April 2007</t>
  </si>
  <si>
    <t>The Bible Translatio: Practical Vol, 57 No. 4 October 2006</t>
  </si>
  <si>
    <t>The Bible Translatio: Practical Vol, 57 No. 2 April 2006</t>
  </si>
  <si>
    <t>The Bible Translatio: Practical Vol, 56 No. 4 October 2005</t>
  </si>
  <si>
    <t>2051-6770</t>
  </si>
  <si>
    <t>The Bible Translatio: Practical Vol, 70 Issue 3 December 2019</t>
  </si>
  <si>
    <t>The Bible Translatio: Practical Vol, 70 Issue I April 2019</t>
  </si>
  <si>
    <t>The Bible Translatio: Practical Vol. 71 Issue 3 December 2020</t>
  </si>
  <si>
    <t>2051-6771</t>
  </si>
  <si>
    <t>The Bible Translatio: Practical Vol. 71 Issue 1 April 2021</t>
  </si>
  <si>
    <t>220.05 OMA b</t>
  </si>
  <si>
    <t>The Bible Translatio: Technical Papers Vol, 63 No. 1 January 2012</t>
  </si>
  <si>
    <t>The Bible Translatio: Technical Papers Vol, 62 No.3 July 2011</t>
  </si>
  <si>
    <t>The Bible Translatio: Technical Papers Vol, 62 No. 1 January 2011</t>
  </si>
  <si>
    <t>The Bible Translatio: Technical Papers Vol, 61 No. 3 July 2010</t>
  </si>
  <si>
    <t>The Bible Translatio: Technical Papers Vol, 61 No. 1 January 2010</t>
  </si>
  <si>
    <t>The Bible Translatio: Technical Papers Vol, 60 No. 3 July 2009</t>
  </si>
  <si>
    <t>The Bible Translatio: Technical Papers Vol, 60 No. 1 January 2009</t>
  </si>
  <si>
    <t>The Bible Translatio: Technical Papers Vol, 59 No. 3 July 2008</t>
  </si>
  <si>
    <t>The Bible Translatio: Technical Papers Vol, 59 No. 1 January 2008</t>
  </si>
  <si>
    <t>The Bible Translatio: Technical Papers Vol, 58 No. 3 July 2007</t>
  </si>
  <si>
    <t>The Bible Translatio: Technical Papers Vol, 58 No. 1 January 2007</t>
  </si>
  <si>
    <t>The Bible Translatio: Technical Papers Vol, 57 No. 1 January 2006</t>
  </si>
  <si>
    <t>220.05 OGD b</t>
  </si>
  <si>
    <t>The Bible Translatio: Technical Papers Vol, 53 No. 2 April 2002</t>
  </si>
  <si>
    <t>Graham S. Ogden</t>
  </si>
  <si>
    <t>The Bible Translatio: Practical Vol, 56 No. 2 April 2005</t>
  </si>
  <si>
    <t>The Bible Translatio: Practical Vol, 55 No. 4 October 2004</t>
  </si>
  <si>
    <t>The Bible Translatio: Practical Vol, 55 No. 2 April 2004</t>
  </si>
  <si>
    <t>The Bible Translatio: Practical Vol, 54 No. 4 October 2003</t>
  </si>
  <si>
    <t>The Bible Translatio: Practical Vol, 53 No. 2 April 2002</t>
  </si>
  <si>
    <t>0021-9231</t>
  </si>
  <si>
    <t>220.05 MAY j</t>
  </si>
  <si>
    <t>Jurnal of biblical Literature Vol. 105. No. 4 Desember 1986</t>
  </si>
  <si>
    <t>The Society of Boblical Literature</t>
  </si>
  <si>
    <t>Jurnal of biblical Literature Vol. 105. No. 1 March 1986</t>
  </si>
  <si>
    <t>220.05 HUR j</t>
  </si>
  <si>
    <t>Jurnal of Biblical Literature: Index Volumes 61-100 (1942-1981)</t>
  </si>
  <si>
    <t>John C. Hurd</t>
  </si>
  <si>
    <t>220.05 FRY b</t>
  </si>
  <si>
    <t>the Bible translator Practical Papers Vol. 35 No. 4 October 1984</t>
  </si>
  <si>
    <t>Euan Fry</t>
  </si>
  <si>
    <t>the Bible translator Practical Papers Vol. 34 No. 4 October 1983</t>
  </si>
  <si>
    <t>the Bible translator Practical Papers Vol. 34 No. 2 Aprl 1983</t>
  </si>
  <si>
    <t>the Bible translator Practical Papers Vol. 33 No. 4 October 1982</t>
  </si>
  <si>
    <t>the Bible translator Practical Papers Vol. 33 No. 2 April 1982</t>
  </si>
  <si>
    <t>The Bible Translatio: Practical Vol, 52 No. 4 October 2001</t>
  </si>
  <si>
    <t>The Bible Translatio: Practical Vol, 50 No. 2 April 1999</t>
  </si>
  <si>
    <t>The Bible Translatio: Practical Vol, 49 No. 2 April 1998</t>
  </si>
  <si>
    <t>The Bible Translatio: Practical Vol, 48 No. 2 April 1997</t>
  </si>
  <si>
    <t>The Bible Translatio: Practical Vol, 45 No. 4 April 1994</t>
  </si>
  <si>
    <t>The Bible Translatio: Practical Vol, 42 No. 2 April 1991</t>
  </si>
  <si>
    <t>The Bible Translatio: Practical Vol, 41 No. 4 October 1990</t>
  </si>
  <si>
    <t>912.19 EID i</t>
  </si>
  <si>
    <t>Illustrated New Testament</t>
  </si>
  <si>
    <t>John Eidenschink, O.S.B., J.C.D.</t>
  </si>
  <si>
    <t>The Bible Translatio: Practical Vol, 41 No. 2 April 1990</t>
  </si>
  <si>
    <t>The Bible Translatio: Practical Vol, 39 No. 4 October 1988</t>
  </si>
  <si>
    <t>The Bible Translatio: Practical Vol, 38 No. 4 October 1987</t>
  </si>
  <si>
    <t>The Bible Translatio: Practical Vol, 37 No. 4 October 1986</t>
  </si>
  <si>
    <t>The Bible Translatio: Practical Vol, 37 No. 2 April 1986</t>
  </si>
  <si>
    <t>The Bible Translatio: Practical Vol, 36 No. 2 October 1985</t>
  </si>
  <si>
    <t>The Bible Translatio: Practical Vol, 36 No. 2 April 1985</t>
  </si>
  <si>
    <t>220.05 ENS j</t>
  </si>
  <si>
    <t>Journal of Biblical Literature Volume LXXXV Part IV December 1966</t>
  </si>
  <si>
    <t>Morton S. Enslin</t>
  </si>
  <si>
    <t>Journal of Biblical Literature Volume LXXXV Part III September 1966</t>
  </si>
  <si>
    <t>Journal of Biblical Literature Volume LXXXV Part II June 1966</t>
  </si>
  <si>
    <t>Journal of Biblical Literature Volume LXXXV Part I March 1966</t>
  </si>
  <si>
    <t>Journal of Biblical Literature Volume LXXXIV Part IV December 1965</t>
  </si>
  <si>
    <t>Journal of Biblical Literature Volume LXXXIV Part III September 1965</t>
  </si>
  <si>
    <t>Journal of Biblical Literature Volume LXXXIV Part II June 1967</t>
  </si>
  <si>
    <t>Journal of Biblical Literature Volume LXXXIV Part II June 1965</t>
  </si>
  <si>
    <t>Journal of Biblical Literature Volume LXXXIV Part I March 1967</t>
  </si>
  <si>
    <t>Journal of Biblical Literature Volume LXXXIV Part I March 1965</t>
  </si>
  <si>
    <t>220.05 ELL b</t>
  </si>
  <si>
    <t>the Bible translator Technical Papers Vol. 48 No. 3 July 1997</t>
  </si>
  <si>
    <t>Paul Ellingworth</t>
  </si>
  <si>
    <t>the Bible translator Technical Papers Vol. 47 No. 1 January 1996</t>
  </si>
  <si>
    <t>the Bible translator Technical Papers Vol. 42 No.2A Special Issue April 1991</t>
  </si>
  <si>
    <t>the Bible translator Technical Papers Vol. 42 No. 3 July 1991</t>
  </si>
  <si>
    <t>the Bible translator Technical Papers Vol. 42 No. 1 January 1991</t>
  </si>
  <si>
    <t>the Bible translator Technical Papers Vol. 40 No. 3 July 1989</t>
  </si>
  <si>
    <t>the Bible translator Technical Papers Vol. 40 No. 1 January 1989</t>
  </si>
  <si>
    <t>the Bible translator Technical Papers Vol. 39 No. 3 July 1988</t>
  </si>
  <si>
    <t>the Bible translator Technical Papers Vol. 39 No. 1 January 1988</t>
  </si>
  <si>
    <t>the Bible translator Technical Papers Vol. 38 No. 1 January 1987</t>
  </si>
  <si>
    <t>the Bible translator Technical Papers Vol. 37 No. 3 July 1986</t>
  </si>
  <si>
    <t>the Bible translator Technical Papers Vol. 37 No. 1 January 1986</t>
  </si>
  <si>
    <t>the Bible translator Technical Papers Vol. 36 No. 3 July 1985</t>
  </si>
  <si>
    <t>the Bible translator Technical Papers Vol. 35 No. 3 July 1984</t>
  </si>
  <si>
    <t>the Bible translator Technical Papers Vol. 35 No. 1 January 1984</t>
  </si>
  <si>
    <t>the Bible translator Technical Papers Vol. 34 No. 3 July 1983</t>
  </si>
  <si>
    <t>the Bible translator Technical Papers Vol. 34 No. 1 January 1983</t>
  </si>
  <si>
    <t>the Bible translator Technical Papers Vol. 33 No. 3 July 1982</t>
  </si>
  <si>
    <t>the Bible translator Technical Papers Vol. 33 No. 1 January 1982</t>
  </si>
  <si>
    <t>The Bible Translatio: Technical Papers Vol, 51 No. 3 July 2000</t>
  </si>
  <si>
    <t>The Bible Translatio: Technical Papers Vol, 50 No. 3 July 1999</t>
  </si>
  <si>
    <t>The Bible Translatio: Technical Papers Vol, 50 No. 1 January 1999</t>
  </si>
  <si>
    <t>220.05  DAY j</t>
  </si>
  <si>
    <t>Jurnal of biblical Literature Vol. 119. No. 4 Winter 2000</t>
  </si>
  <si>
    <t>Gail. R. O' Day</t>
  </si>
  <si>
    <t>Jurnal of biblical Literature Vol. 119. No. 3 Fall 2000</t>
  </si>
  <si>
    <t>Jurnal of biblical Literature Vol. 119. No. 2 Summer 2000</t>
  </si>
  <si>
    <t>Jurnal of biblical Literature Vol. 119. No. 1 Spring 2000</t>
  </si>
  <si>
    <t>220.05  COL j</t>
  </si>
  <si>
    <t xml:space="preserve">Jurnal of biblical Literature Vol. 113. No. 4 Winter 1994 </t>
  </si>
  <si>
    <t xml:space="preserve">Jurnal of biblical Literature Vol. 113. No. 3 Fall 1994 </t>
  </si>
  <si>
    <t xml:space="preserve">Jurnal of biblical Literature Vol. 112. No. 4 Winter 1994 </t>
  </si>
  <si>
    <t>220.05  BAS j</t>
  </si>
  <si>
    <t xml:space="preserve">Jurnal of biblical Literature Vol. 118. No. 4 Winter 1999 </t>
  </si>
  <si>
    <t>Jouette M. Basler</t>
  </si>
  <si>
    <t xml:space="preserve">Jurnal of biblical Literature Vol. 118. No. 2 Summer 1999 </t>
  </si>
  <si>
    <t xml:space="preserve">Jurnal of biblical Literature Vol. 118. No. 1 Spring 2000 </t>
  </si>
  <si>
    <t xml:space="preserve">Jurnal of biblical Literature Vol. 117. No. 4 Winter 1998 </t>
  </si>
  <si>
    <t xml:space="preserve">Jurnal of biblical Literature Vol. 117. No. 3 Fall 1998 </t>
  </si>
  <si>
    <t xml:space="preserve">Jurnal of biblical Literature Vol. 117. No. 2 Summer 1998 </t>
  </si>
  <si>
    <t xml:space="preserve">Jurnal of biblical Literature Vol. 117. No. 1 Spring 1998 </t>
  </si>
  <si>
    <t xml:space="preserve">Jurnal of biblical Literature Vol. 116. No. 4 Winter 1997 </t>
  </si>
  <si>
    <t xml:space="preserve">Jurnal of biblical Literature Vol. 116. No. 3 Fall 1997 </t>
  </si>
  <si>
    <t xml:space="preserve">Jurnal of biblical Literature Vol. 116. No. 2 Summer 1997 </t>
  </si>
  <si>
    <t xml:space="preserve">Jurnal of biblical Literature Vol. 115. No. 4 Winter 1996 </t>
  </si>
  <si>
    <t xml:space="preserve">Jurnal of biblical Literature Vol. 115. No. 3 Full 3 1996 </t>
  </si>
  <si>
    <t xml:space="preserve">Jurnal of biblical Literature Vol. 115. No. 2 Summer 1996 </t>
  </si>
  <si>
    <t xml:space="preserve">Jurnal of biblical Literature Vol. 115. No. 1 Spring 1996 </t>
  </si>
  <si>
    <t xml:space="preserve">Jurnal of biblical Literature Vol. 114. No. 4 Winter 1995 </t>
  </si>
  <si>
    <t xml:space="preserve">Jurnal of biblical Literature Vol. 114. No. 3 Fall 1995 </t>
  </si>
  <si>
    <t xml:space="preserve">Jurnal of biblical Literature Vol. 114. No. 1 Spring 1995 </t>
  </si>
  <si>
    <t>978-0-8267-0040-7</t>
  </si>
  <si>
    <t>220. 05 PAT b</t>
  </si>
  <si>
    <t>The Bible Translatio: Practical Vol, 63 No. 4 Oktober 2012</t>
  </si>
  <si>
    <t>The Bible Translatio: Practical Vol, 63 No. 2 April 2012</t>
  </si>
  <si>
    <t>1055-4513</t>
  </si>
  <si>
    <t>220 LON j</t>
  </si>
  <si>
    <t>Journal of translation and textlinguistics Volume 9-1997</t>
  </si>
  <si>
    <t>Jurnal/Tafsiran</t>
  </si>
  <si>
    <t>Robert E. Longacre</t>
  </si>
  <si>
    <t>Sil International</t>
  </si>
  <si>
    <t>Journal of translation and textlinguistics Volume 8-1996</t>
  </si>
  <si>
    <t>Journal of translation and textlinguistics Volume 7, Number 4 -1996</t>
  </si>
  <si>
    <t>Journal of translation and textlinguistics Volume 7, Number 3 -1995</t>
  </si>
  <si>
    <t>Journal of translation and textlinguistics Volume 7, Number 2 -1995</t>
  </si>
  <si>
    <t>Journal of translation and textlinguistics Volume 7, Number 1 -1995</t>
  </si>
  <si>
    <t>Journal of translation and textlinguistics Volume 6, Number 3 -1993</t>
  </si>
  <si>
    <t>Journal of translation and textlinguistics Volume 13-2000</t>
  </si>
  <si>
    <t>Journal of translation and textlinguistics Volume 12-1999</t>
  </si>
  <si>
    <t>Journal of translation and textlinguistics Volume 11-1998</t>
  </si>
  <si>
    <t>Journal of translation and textlinguistics Volume 10-1998</t>
  </si>
  <si>
    <t>979-96819-6-0</t>
  </si>
  <si>
    <t xml:space="preserve">959.802 COT r </t>
  </si>
  <si>
    <t>Recalling the Indies: Kebudayaan Kolonial dan Identitas Poskolonial</t>
  </si>
  <si>
    <t>Joost Cote' &amp; Loes Westerbeek (Ed.)</t>
  </si>
  <si>
    <t>Syarikat Indonesia</t>
  </si>
  <si>
    <t>978-979-687-700-3</t>
  </si>
  <si>
    <t xml:space="preserve">956.940 BUR </t>
  </si>
  <si>
    <t>Palestina Milik Siapa? Fakta Yang Tidak Diungkapkan Kepada Orang Kristen Tentang Tanah Perjanjian</t>
  </si>
  <si>
    <t>979-415-609-4</t>
  </si>
  <si>
    <t xml:space="preserve">956.94 HIN </t>
  </si>
  <si>
    <t>Sejarah Israel Pada Zaman Alkitab</t>
  </si>
  <si>
    <t xml:space="preserve">David F. Hinson </t>
  </si>
  <si>
    <t>0-8006-3470-5</t>
  </si>
  <si>
    <t>956.94 HAN</t>
  </si>
  <si>
    <t>Palestine in the Time of Jesus</t>
  </si>
  <si>
    <t>K. C. Hanson &amp; Douglas E. Oakman</t>
  </si>
  <si>
    <t>90-429-1269-3</t>
  </si>
  <si>
    <t>956.94 GEU</t>
  </si>
  <si>
    <t>Towns in Ancient Israel and in The Southern Levant</t>
  </si>
  <si>
    <t xml:space="preserve">C. H. J. De Geus </t>
  </si>
  <si>
    <t>Peeters</t>
  </si>
  <si>
    <t>978-979-687-620-4</t>
  </si>
  <si>
    <t>956 SNE</t>
  </si>
  <si>
    <t>Kehidupan di Timur Tengah Kuno 3100-332 SM</t>
  </si>
  <si>
    <t>Daniel C. Snell</t>
  </si>
  <si>
    <t>950 DPK a</t>
  </si>
  <si>
    <t>Aksara dan Naskah Kuno Lampung dalam Pandangan Masyarakat Lampung Kini</t>
  </si>
  <si>
    <t>Departemen Pendidikan dan kebudayaan RI Jakarta</t>
  </si>
  <si>
    <t>Departemen Pendidikan &amp; Kebudayaan  RI</t>
  </si>
  <si>
    <t>947 MAH s</t>
  </si>
  <si>
    <t>A Short History of the USSR</t>
  </si>
  <si>
    <t>Delhi</t>
  </si>
  <si>
    <t>Dr. V. D. Mahajam dkk</t>
  </si>
  <si>
    <t>Sterling Publishers Pvt Ltd</t>
  </si>
  <si>
    <t>965-280-028-7</t>
  </si>
  <si>
    <t>939. 48 ROB s</t>
  </si>
  <si>
    <t>SINAI</t>
  </si>
  <si>
    <t>David Roberts, R. A</t>
  </si>
  <si>
    <t>Palphot</t>
  </si>
  <si>
    <t>0-415-04504-5</t>
  </si>
  <si>
    <t>938.09 SAL h</t>
  </si>
  <si>
    <t xml:space="preserve"> A History of the Roman Word: 30BC to AD138</t>
  </si>
  <si>
    <t>Edward T. Salmon</t>
  </si>
  <si>
    <t>978-0-8010-4700-8</t>
  </si>
  <si>
    <t>933.05 MAS</t>
  </si>
  <si>
    <t>Josephus and The New Testament Second Edition</t>
  </si>
  <si>
    <t>Steve mason</t>
  </si>
  <si>
    <t>978-0-8028-6558-8</t>
  </si>
  <si>
    <t>933.05 MAG s</t>
  </si>
  <si>
    <t>Stone and Dug Oil and Spit: Jewish Daily Life in the Time of Jesus</t>
  </si>
  <si>
    <t>Jodi Magness</t>
  </si>
  <si>
    <t>979-97964-9-0</t>
  </si>
  <si>
    <t>930 LAK c</t>
  </si>
  <si>
    <t xml:space="preserve">Changes &amp; Chances </t>
  </si>
  <si>
    <t>Andrew Lake</t>
  </si>
  <si>
    <t>All Saints Church Jakarta</t>
  </si>
  <si>
    <t>979-687-336-2</t>
  </si>
  <si>
    <t>923.6 NEL</t>
  </si>
  <si>
    <t>Injil Menurut Oprah</t>
  </si>
  <si>
    <t>Marcia Z. Nelson</t>
  </si>
  <si>
    <t>979-9342-50-3</t>
  </si>
  <si>
    <t>920.72 WEL  m</t>
  </si>
  <si>
    <t>Mother Teresa (Utusan Pembawa Kasih)</t>
  </si>
  <si>
    <t>Sam Wellman</t>
  </si>
  <si>
    <t>Adonai Publishing House</t>
  </si>
  <si>
    <t>978-6027-46170-5</t>
  </si>
  <si>
    <t>920.008 WID m</t>
  </si>
  <si>
    <t>Memoar Sularso Sopater: Kukuh Menempuh Jalan Ibu</t>
  </si>
  <si>
    <t>Agoes Widhartono</t>
  </si>
  <si>
    <t>Penerbit Keluarga Besar Sopater &amp; CV. Lontar Mediatama</t>
  </si>
  <si>
    <t>920.008 VIS i</t>
  </si>
  <si>
    <t>Luther's Geschriften in de Nedelanden tot 1546</t>
  </si>
  <si>
    <t>C.ch.G. Visser</t>
  </si>
  <si>
    <t xml:space="preserve">Van Gorcum &amp; Comp. N.V. </t>
  </si>
  <si>
    <t>979-96482-0-3</t>
  </si>
  <si>
    <t xml:space="preserve">920.008 TUM </t>
  </si>
  <si>
    <t>Hiduplah Sabar dan Rendah Hati</t>
  </si>
  <si>
    <t>J. K. Tumakaka</t>
  </si>
  <si>
    <t>Yayasan Visi Lima Sejahtera</t>
  </si>
  <si>
    <t>920.008 Tob p</t>
  </si>
  <si>
    <t>Penatalayanan yang Baik</t>
  </si>
  <si>
    <t>Pdt. W.L. Tobing</t>
  </si>
  <si>
    <t>Lembaga Komunikasi Sejahtera</t>
  </si>
  <si>
    <t>978-602-1788-6-3</t>
  </si>
  <si>
    <t>920.08 SOE m</t>
  </si>
  <si>
    <t xml:space="preserve">Menjadi Garam dan Terang Kehidupan </t>
  </si>
  <si>
    <t>S. H. Soekotjo Dkk</t>
  </si>
  <si>
    <t>Yayasan Taman Pustaka Kristen Indonesia</t>
  </si>
  <si>
    <t>920.008 SAM</t>
  </si>
  <si>
    <t>Kisah Mengenai Samuel Doctorian dimulai di Kalvari</t>
  </si>
  <si>
    <t>Samuel Doctorian</t>
  </si>
  <si>
    <t>Yayasan Pekabar Injil "Immanuel"</t>
  </si>
  <si>
    <t>3-631-44547-4</t>
  </si>
  <si>
    <t>920.008 SAL w</t>
  </si>
  <si>
    <t>Wissenschaftliche Grundlagen Der Sprachmittlung</t>
  </si>
  <si>
    <t>Heidemarie Salevsky</t>
  </si>
  <si>
    <t>978-602-19317-0-7</t>
  </si>
  <si>
    <t>920.008 REI o</t>
  </si>
  <si>
    <t>Orang Kecil yang Dipakai Tuhan</t>
  </si>
  <si>
    <t>Pdt. DR. Nus Reimas</t>
  </si>
  <si>
    <t>Lembaga Pelayanan Mahasiswa Indonesia (lPMI)</t>
  </si>
  <si>
    <t>920.008 MUL m</t>
  </si>
  <si>
    <t>The Mustard Seed Became a Tree</t>
  </si>
  <si>
    <t>Antonia A. Van de Looosdrecht Muller and Jan E. Muller</t>
  </si>
  <si>
    <t>Sinode Gereja Toraja</t>
  </si>
  <si>
    <t>978-979-21-2133-9</t>
  </si>
  <si>
    <t xml:space="preserve">920.008 MAR </t>
  </si>
  <si>
    <t>Paulus (Sukacita Rasul Kristus)</t>
  </si>
  <si>
    <t>YM Seto Marsunu</t>
  </si>
  <si>
    <t>920.008 LYO h</t>
  </si>
  <si>
    <t>Herbert Hoover A Biography</t>
  </si>
  <si>
    <t>Eugene Lyons</t>
  </si>
  <si>
    <t>978-979-21-20-96-7</t>
  </si>
  <si>
    <t>920.008 KUS  p</t>
  </si>
  <si>
    <t>Paulus dari Tarsus</t>
  </si>
  <si>
    <t>Ant. Hari Kustono, Pr.</t>
  </si>
  <si>
    <t>978-979-21-2105-6</t>
  </si>
  <si>
    <t xml:space="preserve">920.008 HAD </t>
  </si>
  <si>
    <t>Warisan Paulus Bagi Umat (Ajaran iman, pastoral, dan moral)</t>
  </si>
  <si>
    <t>Al. Purwa Hadiwardoyo MSF</t>
  </si>
  <si>
    <t>920.008 GRA a</t>
  </si>
  <si>
    <t>Answers Your Questions</t>
  </si>
  <si>
    <t>Billy Graham</t>
  </si>
  <si>
    <t>World Wide Publications</t>
  </si>
  <si>
    <t>0-88857-082-1</t>
  </si>
  <si>
    <t>920.008 EVE j</t>
  </si>
  <si>
    <t>Joy in the Morning</t>
  </si>
  <si>
    <t>Canada</t>
  </si>
  <si>
    <t>Catherine E. Evenden &amp; Ingebjorg C. Allan</t>
  </si>
  <si>
    <t>The Salvation Army Canada and Bermuda</t>
  </si>
  <si>
    <t xml:space="preserve">920.008 ENK </t>
  </si>
  <si>
    <t>Joseph Kam (Rasul Maluku)</t>
  </si>
  <si>
    <t>Dr. I.H. Enklaar</t>
  </si>
  <si>
    <t>90 6064. 0691</t>
  </si>
  <si>
    <t xml:space="preserve">920.008 DEL </t>
  </si>
  <si>
    <t>De Delftse Bijbel In Het Light der Historie</t>
  </si>
  <si>
    <t>Prof DR. C.C. De Bruin</t>
  </si>
  <si>
    <t>978-979-21-2106-3</t>
  </si>
  <si>
    <t>920.008 DAR p</t>
  </si>
  <si>
    <t>Pengalaman Mistik Rasul Paulus</t>
  </si>
  <si>
    <t xml:space="preserve">St. Darmawijaya, Pr. </t>
  </si>
  <si>
    <t xml:space="preserve">920.008 BUK </t>
  </si>
  <si>
    <t>Buku Kenang-Kenangan DS. Wilhelm Johanis Rumambi</t>
  </si>
  <si>
    <t>920.008 BUD e</t>
  </si>
  <si>
    <t xml:space="preserve">Engkong Gue Pendeta </t>
  </si>
  <si>
    <t>Pdt. Emeritus Budhiadi</t>
  </si>
  <si>
    <t>0-89555-324-4</t>
  </si>
  <si>
    <t>920.008 BRI c</t>
  </si>
  <si>
    <t>The Cure of Ars Patron Saint of Parish Priests</t>
  </si>
  <si>
    <t>Fr. Bartholomew J. O'Brien</t>
  </si>
  <si>
    <t>Tan Books and Publishers</t>
  </si>
  <si>
    <t>979-95476-0-1</t>
  </si>
  <si>
    <t>920.008 BAN m</t>
  </si>
  <si>
    <t>Melanchton Siregar Pendidik dan Pejuang (Edisi Kedua)</t>
  </si>
  <si>
    <t>Payung Bangun</t>
  </si>
  <si>
    <t>Yayasan Komunikasi bekerjasama dengan Yayasan Pendidikan Melanchton Siregar</t>
  </si>
  <si>
    <t>920.008 ADR n</t>
  </si>
  <si>
    <t xml:space="preserve"> Schets Van Leven En Arbeid Door DR H. Kraemer (Afgevaardigde vanwege het Nederlandsch Bijbelgenootschap )</t>
  </si>
  <si>
    <t>DR. N. Adriani</t>
  </si>
  <si>
    <t xml:space="preserve">920.008 ADR </t>
  </si>
  <si>
    <t>Verzamelde Geschriften</t>
  </si>
  <si>
    <t>Dr. N. Adriani</t>
  </si>
  <si>
    <t>979-415-357-5</t>
  </si>
  <si>
    <t xml:space="preserve">920.008 ABI </t>
  </si>
  <si>
    <t>Rudolf Bultmann dan Theologianya</t>
  </si>
  <si>
    <t>Kraemer di Tambaram</t>
  </si>
  <si>
    <t>Prof. Dr. J. L. Ch. Abineno</t>
  </si>
  <si>
    <t>978-602-7557-08-6</t>
  </si>
  <si>
    <t>920.008  SET</t>
  </si>
  <si>
    <t>Buku Kenangan 80 Tahun Pdt. Em. Prof. Dr. Sularso Sopater</t>
  </si>
  <si>
    <t>Daniel Stefanus, Insriatmi Paimoen, Leonard Hale, Yohanes Setiawan.</t>
  </si>
  <si>
    <t>Waskita Publishing</t>
  </si>
  <si>
    <t>920.008  MUG  s</t>
  </si>
  <si>
    <t>Something Beautiful For GOG</t>
  </si>
  <si>
    <t>Malcolm Muggeridge</t>
  </si>
  <si>
    <t>Collin/Fount Paperbacks</t>
  </si>
  <si>
    <t>920.008  DUB k</t>
  </si>
  <si>
    <t>Kurban Yang Berbau Harum</t>
  </si>
  <si>
    <t>Darius Dubut, Joas Adiprasetya, Manguling Sulaiman, Martin L. Sinaga, Patmono Sk ( Penyuntring )</t>
  </si>
  <si>
    <t xml:space="preserve">Badan Penelitian dan Pengembangan PGI Bekerjasama dengan Sinode Gereja Kalimantan Evangelis </t>
  </si>
  <si>
    <t>978-979-21-2838-3</t>
  </si>
  <si>
    <t>920. 008 KOK i</t>
  </si>
  <si>
    <t>XXI - Interupsi Tokoh-Tokoh Katolik Pengguncang Dunia</t>
  </si>
  <si>
    <t>Jost Kokoh, Pr</t>
  </si>
  <si>
    <t>978-0-8054-4679-1</t>
  </si>
  <si>
    <t>909 BLO i</t>
  </si>
  <si>
    <t>Israel: Ancient Kingdom or Late Invention?</t>
  </si>
  <si>
    <t>Daniel I. Block (ed)</t>
  </si>
  <si>
    <t>B&amp;H Academic</t>
  </si>
  <si>
    <t>808.06 ADE h</t>
  </si>
  <si>
    <t>How to write a christian Writer's Guide</t>
  </si>
  <si>
    <t>Miriam Adeney</t>
  </si>
  <si>
    <t>Scripture Union</t>
  </si>
  <si>
    <t>0-8014-0486-x</t>
  </si>
  <si>
    <t>808.04 CAP e</t>
  </si>
  <si>
    <t>Of Eloquence Studies in Ancient and Mediaeval Rhetoric</t>
  </si>
  <si>
    <t>Harry Caplan</t>
  </si>
  <si>
    <t>Cornell University</t>
  </si>
  <si>
    <t>0-7982-0603-9</t>
  </si>
  <si>
    <t xml:space="preserve">808 NID </t>
  </si>
  <si>
    <t>Style and Discourse</t>
  </si>
  <si>
    <t>Uni Africa Selatan</t>
  </si>
  <si>
    <t>E.A Nida;  J. P. Louw; A. H. Snyman; J. v W. Cronje</t>
  </si>
  <si>
    <t>Bible Society of South Africa</t>
  </si>
  <si>
    <t>0-8006-3429-2</t>
  </si>
  <si>
    <t>801.95 TOV</t>
  </si>
  <si>
    <t>Textual Criticism of The Hebrew Bible</t>
  </si>
  <si>
    <t>Emanuel Tov</t>
  </si>
  <si>
    <t>0-8166-1291-9</t>
  </si>
  <si>
    <t>801.95 TOD m</t>
  </si>
  <si>
    <t>Mikhail Bakhtin The Dialogical Principle</t>
  </si>
  <si>
    <t>Tzvetan Todorov</t>
  </si>
  <si>
    <t>University of Minnesota Press</t>
  </si>
  <si>
    <t>801.925 CLA l</t>
  </si>
  <si>
    <t>Logical Criticism of Textual Criticism</t>
  </si>
  <si>
    <t xml:space="preserve">Gordon H. Clark </t>
  </si>
  <si>
    <t>The Trinity Foundation</t>
  </si>
  <si>
    <t>0-8254-3410-6</t>
  </si>
  <si>
    <t>781 OSB m</t>
  </si>
  <si>
    <t>The Ministry of Music</t>
  </si>
  <si>
    <t>Kenneth W. Osbeck</t>
  </si>
  <si>
    <t>Kregel</t>
  </si>
  <si>
    <t>Kregel Resources</t>
  </si>
  <si>
    <t xml:space="preserve">778.9 KAR </t>
  </si>
  <si>
    <t>Picturesque South Kanara</t>
  </si>
  <si>
    <t>India</t>
  </si>
  <si>
    <t>K.S. Karanth</t>
  </si>
  <si>
    <t>Basel Mission Book Depot</t>
  </si>
  <si>
    <t>965-220-452-8</t>
  </si>
  <si>
    <t>726 KAT r</t>
  </si>
  <si>
    <t>The Ritual of The Temple in The time of Christ</t>
  </si>
  <si>
    <t>Leen &amp; Kathleen Ritmeyer</t>
  </si>
  <si>
    <t>704 SCH a</t>
  </si>
  <si>
    <t>Avontuur Met Het Woord</t>
  </si>
  <si>
    <t>DRA. M. G. Schenk &amp; J.B. Th. Spaan</t>
  </si>
  <si>
    <t>Het Nederlandsch Bijbelgenootschap Belanda</t>
  </si>
  <si>
    <t>658.402 TUH</t>
  </si>
  <si>
    <t>Tuhan, Utuslah Aku</t>
  </si>
  <si>
    <t>978-979-461-701-4</t>
  </si>
  <si>
    <t>644.5 JON</t>
  </si>
  <si>
    <t>Loan-Words In Indonesian and Malay</t>
  </si>
  <si>
    <t>Russell Jones</t>
  </si>
  <si>
    <t>Yayasan Obor Indonesia</t>
  </si>
  <si>
    <t>0126-2874</t>
  </si>
  <si>
    <t>499.28 PUR s</t>
  </si>
  <si>
    <t>Studies In Malay Dialects Part IV</t>
  </si>
  <si>
    <t>Bambang Kaswanti Purwanto</t>
  </si>
  <si>
    <t>NUSA</t>
  </si>
  <si>
    <t>Studies In Malay Dialects part IV</t>
  </si>
  <si>
    <t>Bambang Kaswanti Purwo</t>
  </si>
  <si>
    <t>Badan Penyelenggara Seri NUSA</t>
  </si>
  <si>
    <t>499.28 IKR m</t>
  </si>
  <si>
    <t>Melayu Betawi Grammar</t>
  </si>
  <si>
    <t>Kay Ikranagara</t>
  </si>
  <si>
    <t>499.28 COL s</t>
  </si>
  <si>
    <t>Studies In Malay Dialects part II</t>
  </si>
  <si>
    <t>James T. Collins</t>
  </si>
  <si>
    <t>Studies In Malay Dialects part I</t>
  </si>
  <si>
    <t>499.2263 SAI k</t>
  </si>
  <si>
    <t>Kamus Bahasa Bugis-Indonesia</t>
  </si>
  <si>
    <t>Bugis-Indonesia</t>
  </si>
  <si>
    <t>M. Ide Said DM</t>
  </si>
  <si>
    <t>Pusat Pembinaan dan Pengembangan Bahasa Depdikbud</t>
  </si>
  <si>
    <t>499.225 WAL g</t>
  </si>
  <si>
    <t>A Grammar of the Lampung Language: the Pesisir Dialect of Way Lima</t>
  </si>
  <si>
    <t>Dale F. Walker</t>
  </si>
  <si>
    <t>A Grammar of Sawu</t>
  </si>
  <si>
    <t>Alan T. Walker</t>
  </si>
  <si>
    <t>499.225 BUR d</t>
  </si>
  <si>
    <t>Descreptive Studies In Language of Maluku</t>
  </si>
  <si>
    <t>Donald A. Burquest &amp; Wyn D. Laidig</t>
  </si>
  <si>
    <t>499.223 REE s</t>
  </si>
  <si>
    <t>Studies In Irian Languages part II</t>
  </si>
  <si>
    <t>Ger P. Reesink</t>
  </si>
  <si>
    <t>Studies In Irian Languages part I</t>
  </si>
  <si>
    <t>499.222 BIN j</t>
  </si>
  <si>
    <t>Javanese Transitive Verbs: A Tagmemic Grammar</t>
  </si>
  <si>
    <t>Bintoro</t>
  </si>
  <si>
    <t>499.2213 BRA m</t>
  </si>
  <si>
    <t>Morfologi Bahasa Indonesia Untuk SMTP</t>
  </si>
  <si>
    <t>T. Heru Kasida Brataatmaja</t>
  </si>
  <si>
    <t>Badan Penerbit Kanisius</t>
  </si>
  <si>
    <t>499.221 VER t</t>
  </si>
  <si>
    <t>Towards a Description of Contemporary Indonesian: Preliminary Studies part II</t>
  </si>
  <si>
    <t>John W.M. Verhaar</t>
  </si>
  <si>
    <t>499.221 VER m</t>
  </si>
  <si>
    <t>Miscellaneous Studies of Indonesian and Other Languages in Indonesia part V</t>
  </si>
  <si>
    <t>Miscellaneous Studies in Indonesian and Languages in Indonesia part I</t>
  </si>
  <si>
    <t>499.221 VER g</t>
  </si>
  <si>
    <t>Glossary Of Taxonomic-Indonesian Plants Names</t>
  </si>
  <si>
    <t>Jilis A. J. vERHEIJEN</t>
  </si>
  <si>
    <t>499.221 SUH m</t>
  </si>
  <si>
    <t>Miscellaneous Studies in Indonesian and Languages in Indonesia part IV</t>
  </si>
  <si>
    <t>Ignatius Suharno</t>
  </si>
  <si>
    <t>499.221 SNE s</t>
  </si>
  <si>
    <t>Studies In Sulawesi Linguistics part I</t>
  </si>
  <si>
    <t>James N. Sneddon</t>
  </si>
  <si>
    <t>499.221 SME l</t>
  </si>
  <si>
    <t>Lom-Indonesian-English &amp; English-Lom Worldlists</t>
  </si>
  <si>
    <t>Olaf H. Smedal</t>
  </si>
  <si>
    <t>979-685-127-X</t>
  </si>
  <si>
    <t>499.221 SAM k</t>
  </si>
  <si>
    <t>Katalog Beranotasi</t>
  </si>
  <si>
    <t>Jerome Samuel</t>
  </si>
  <si>
    <t>499.221 REI</t>
  </si>
  <si>
    <t>Sijaro Panta (A Folktale from Kumun, Kerinci) Text, Translation, Vocabulary, and Sketch of Kumun Phonology</t>
  </si>
  <si>
    <t>Eric Van Reijn</t>
  </si>
  <si>
    <t>499.221 PUR t</t>
  </si>
  <si>
    <t>Towards a Description of Contemporary Indonesian: Preliminary Studies part III</t>
  </si>
  <si>
    <t>Towards a Description of Contemporary Indonesian: Preliminary Studies part I</t>
  </si>
  <si>
    <t>499.221 POE r</t>
  </si>
  <si>
    <t>Role Structure In Javanese</t>
  </si>
  <si>
    <t>Gloria Risser Poedjosoedarmo</t>
  </si>
  <si>
    <t>499.221 POE m</t>
  </si>
  <si>
    <t>Miscellaneous Studies in Indonesian and Languages in Indonesia part III</t>
  </si>
  <si>
    <t>Soepomo Poedjosoedarmo</t>
  </si>
  <si>
    <t>499.221 MUH m</t>
  </si>
  <si>
    <t>Morphology of Jakarta Dialect, Affixation and Reduplication</t>
  </si>
  <si>
    <t>Muhadjir</t>
  </si>
  <si>
    <t>499.221 MEA s</t>
  </si>
  <si>
    <t>Studies In Sulawesi Linguistics part VI</t>
  </si>
  <si>
    <t>David Mead</t>
  </si>
  <si>
    <t>499.221 LAI s</t>
  </si>
  <si>
    <t>Studies In Sulawesi Linguistics part VII</t>
  </si>
  <si>
    <t>Wyn D. Laidig</t>
  </si>
  <si>
    <t>499.221 KAS m</t>
  </si>
  <si>
    <t>Miscellaneous Studies of Indonesian and Other Language in Indonesia</t>
  </si>
  <si>
    <t>499.221 HAL m</t>
  </si>
  <si>
    <t>Miscellaneous Studies of Indonesian and Other Languages in Indonesia part VI</t>
  </si>
  <si>
    <t>Amran Halim</t>
  </si>
  <si>
    <t>Miscellaneous Studies in Indonesian and Languages in Indonesia part II</t>
  </si>
  <si>
    <t>499.221 DAR m</t>
  </si>
  <si>
    <t>Miscellaneous Studies of Indonesian and Other Languages in Indonesia part VII</t>
  </si>
  <si>
    <t>Soenjono Dardjowidjojo &amp; John W.M. Verhaar</t>
  </si>
  <si>
    <t>Miscellaneous Studies of Indonesian and Other Languages in Indonesia part IX</t>
  </si>
  <si>
    <t>Soenjono Dardjowidjojo</t>
  </si>
  <si>
    <t>Miscellaneous Studies of Indonesian and Other Language in Indonesia part VIII</t>
  </si>
  <si>
    <t>499.221 CUN i</t>
  </si>
  <si>
    <t>The Internal Structure of Indonesian Roots part II</t>
  </si>
  <si>
    <t>Keith Michael McCune</t>
  </si>
  <si>
    <t>The Internal Structure of Indonesian Roots part I</t>
  </si>
  <si>
    <t>499.221 BLU h</t>
  </si>
  <si>
    <t>Historical Linguistics In Indonesia part I</t>
  </si>
  <si>
    <t>Robert A. Blust</t>
  </si>
  <si>
    <t>499.221 BER s</t>
  </si>
  <si>
    <t>Studies In Sulawesi Linguistics part III</t>
  </si>
  <si>
    <t>Rene Van Den Berg</t>
  </si>
  <si>
    <t>499.221 BER</t>
  </si>
  <si>
    <t>Studies In Sulawesi Linguistics part IV</t>
  </si>
  <si>
    <t>499.221 ART e</t>
  </si>
  <si>
    <t>Ergativity and Balinese Syntax part I</t>
  </si>
  <si>
    <t>I Ketut Artawa</t>
  </si>
  <si>
    <t>499 TAD s</t>
  </si>
  <si>
    <t>Studies In Malay Dialects part III</t>
  </si>
  <si>
    <t>Uri Tadmor</t>
  </si>
  <si>
    <t>1-57506--021-3</t>
  </si>
  <si>
    <t>492.BEN c</t>
  </si>
  <si>
    <t xml:space="preserve">Comparative Semitic Linguistics </t>
  </si>
  <si>
    <t>Patrick R. Bennett</t>
  </si>
  <si>
    <t>978-0-8006-9664-1</t>
  </si>
  <si>
    <t>492.4 TOV t</t>
  </si>
  <si>
    <t>0-8254-2644-8</t>
  </si>
  <si>
    <t>492.4 SIL h</t>
  </si>
  <si>
    <t xml:space="preserve">How Biblical Languages Work </t>
  </si>
  <si>
    <t>Peter James Silzer &amp; Thomas John Finley</t>
  </si>
  <si>
    <t>Kregel Academic &amp; Profesional</t>
  </si>
  <si>
    <t>978-602-71379-3-6</t>
  </si>
  <si>
    <t>492.4 POH b</t>
  </si>
  <si>
    <t xml:space="preserve">Bahasa Ibrani untuk Pemula </t>
  </si>
  <si>
    <t>Indonesia-Ibrani</t>
  </si>
  <si>
    <t>Elias P. Pohan &amp; Agustinus Setiawidi</t>
  </si>
  <si>
    <t>0-310-25072-2</t>
  </si>
  <si>
    <t>492.4 PEL v</t>
  </si>
  <si>
    <t xml:space="preserve">The Vocabulary Guide to Biblical Hebrew </t>
  </si>
  <si>
    <t>Miles V. Van Pelt &amp; Gary D. Pratico</t>
  </si>
  <si>
    <t>978-0-310-28768-1</t>
  </si>
  <si>
    <t>492.4 MOU b</t>
  </si>
  <si>
    <t>Basic of Biblical Aramanic: Grammar</t>
  </si>
  <si>
    <t>0-931464-75-7</t>
  </si>
  <si>
    <t>492.4 MAL t</t>
  </si>
  <si>
    <t>Tiberian Hebrew Phonology</t>
  </si>
  <si>
    <t>Inggris-Ibrani</t>
  </si>
  <si>
    <t>Joseph L.Malone</t>
  </si>
  <si>
    <t>978-602-8165-43-3</t>
  </si>
  <si>
    <t>492.4 KEL p</t>
  </si>
  <si>
    <t>Pengantar Tata Bahasa: Ibrani Biblikal</t>
  </si>
  <si>
    <t>Page H. Kelley</t>
  </si>
  <si>
    <t>1-58983-086-5</t>
  </si>
  <si>
    <t>492.4 JON h</t>
  </si>
  <si>
    <t>Hebrew: For Biblical Interpretation</t>
  </si>
  <si>
    <t>Arthur Walker - Jones</t>
  </si>
  <si>
    <t>492.4 GRE i</t>
  </si>
  <si>
    <t>Introduction to Hebrew</t>
  </si>
  <si>
    <t>Jepang</t>
  </si>
  <si>
    <t>Prentice-Hall, Inc.</t>
  </si>
  <si>
    <t>978-0-19-974260-8</t>
  </si>
  <si>
    <t>492.4 CAR f</t>
  </si>
  <si>
    <t>The Formation of The Hebrew Bible</t>
  </si>
  <si>
    <t>David M. Carr</t>
  </si>
  <si>
    <t>Oxford University Press, Inc</t>
  </si>
  <si>
    <t>978-1-57506-129-0</t>
  </si>
  <si>
    <t>492.4 BLA p</t>
  </si>
  <si>
    <t>Phonology and Morphology of Biblical Hebrew</t>
  </si>
  <si>
    <t>Joshua Blau</t>
  </si>
  <si>
    <t>978-979-415-328-4</t>
  </si>
  <si>
    <t>492.4 BAK p</t>
  </si>
  <si>
    <t>Pengantar Bahasa Ibrani</t>
  </si>
  <si>
    <t>Dr. D. L. Baker; Dr. S.M. Siahaan dan Dr. A.A. Sitompul</t>
  </si>
  <si>
    <t>978-0-310-49391-4</t>
  </si>
  <si>
    <t>492.29 PEL b</t>
  </si>
  <si>
    <t>Basics of Biblical Aramanic: Complete Grammar, Lexicon, and Annotated Text</t>
  </si>
  <si>
    <t>Miles V. Van Pelt</t>
  </si>
  <si>
    <t>492.2 MUR g</t>
  </si>
  <si>
    <t>A Grammar of Egyptian Aramaic Second revised edition (Volume Thirty-Two Revised Edition)</t>
  </si>
  <si>
    <t>Takamitsu Muraoka &amp; B. Porten</t>
  </si>
  <si>
    <t>0-931464-17-x</t>
  </si>
  <si>
    <t>492 BER i</t>
  </si>
  <si>
    <t>Introduction to The Semitic Languages Text Specimen Sand Grammatical Sketches</t>
  </si>
  <si>
    <t>Inggris, Aram, Ibrani</t>
  </si>
  <si>
    <t>Gotthelf Bergstrasser</t>
  </si>
  <si>
    <t>491.7 NAY e</t>
  </si>
  <si>
    <t>The Early History of The Rumanian Language</t>
  </si>
  <si>
    <t>Andre Du Nay</t>
  </si>
  <si>
    <t>Jupiter Press</t>
  </si>
  <si>
    <t>0-521-09842-4</t>
  </si>
  <si>
    <t>490 WEN e</t>
  </si>
  <si>
    <t>0-8204-2123-5</t>
  </si>
  <si>
    <t>487-4 MCK n</t>
  </si>
  <si>
    <t>Studies in Biblical Greek - A New Syntax of the Verb in New Testament Greek - An Aspectual Approach</t>
  </si>
  <si>
    <t>K.L Mc. Kay</t>
  </si>
  <si>
    <t>88-7653-554-3</t>
  </si>
  <si>
    <t>487.4 ZER b</t>
  </si>
  <si>
    <t>Biblical Greek</t>
  </si>
  <si>
    <t>Roma</t>
  </si>
  <si>
    <t>Maximilian Zerwick S.J  &amp; Joseph Smith S.J</t>
  </si>
  <si>
    <t>Edictrice Pontificio Istituto Biblico</t>
  </si>
  <si>
    <t>487.4 WEN b</t>
  </si>
  <si>
    <t>Bahasa Yunani Koine (The Elements of New Testament Greek)</t>
  </si>
  <si>
    <t>Indonesia-Yunani</t>
  </si>
  <si>
    <t>SAAT Malang</t>
  </si>
  <si>
    <t>978-0-310-21895-1</t>
  </si>
  <si>
    <t>487.4 WAL g</t>
  </si>
  <si>
    <t>Greek Grammar: Betond the Basics</t>
  </si>
  <si>
    <t>Inggris - Yunani</t>
  </si>
  <si>
    <t>Daniel B. Wallace</t>
  </si>
  <si>
    <t>978-0-8204-2423-1</t>
  </si>
  <si>
    <t>487.4 POR v</t>
  </si>
  <si>
    <t>Studies in Biblical Greek -Verbal Aspect in the Greek of the Greek of the New Testament with</t>
  </si>
  <si>
    <t>Stanley E. Porter</t>
  </si>
  <si>
    <t>1-55540-578-9</t>
  </si>
  <si>
    <t>487.4 NID l</t>
  </si>
  <si>
    <t>Lexical Semantics of The Greek New Testament</t>
  </si>
  <si>
    <t>Eugene A. Nida &amp; Johannes P. Louw</t>
  </si>
  <si>
    <t>0-310-41040-1</t>
  </si>
  <si>
    <t>487.4 MOU m</t>
  </si>
  <si>
    <t>The Morphology of Biblical Greek</t>
  </si>
  <si>
    <t>Inggris Yunani</t>
  </si>
  <si>
    <t>0-310-45791-2</t>
  </si>
  <si>
    <t>487.4 GRE n</t>
  </si>
  <si>
    <t>A New Testament Greek Morpheme Lexicon</t>
  </si>
  <si>
    <t>978-1-4331-0003-1</t>
  </si>
  <si>
    <t>487.4 CAM v</t>
  </si>
  <si>
    <t>Studies in Biblical Greek - Verbal Aspec, the indicative Mood and Narrative</t>
  </si>
  <si>
    <t xml:space="preserve">Constantine R. </t>
  </si>
  <si>
    <t>0-8191-0473-6</t>
  </si>
  <si>
    <t>487.4 BRO s</t>
  </si>
  <si>
    <t>Syntax of New Testament Greek</t>
  </si>
  <si>
    <t>James A. Brooks &amp; Carlton L. Winbery</t>
  </si>
  <si>
    <t>University Press of America</t>
  </si>
  <si>
    <t>0-943575-45-1</t>
  </si>
  <si>
    <t>487 ROBI m</t>
  </si>
  <si>
    <t xml:space="preserve"> Mastering GREEK Vacabulary</t>
  </si>
  <si>
    <t>Dilengkapi dengan Bahasa Yunani</t>
  </si>
  <si>
    <t>Thomas A. Robinson</t>
  </si>
  <si>
    <t>0-931464-31-5</t>
  </si>
  <si>
    <t>485 WAL i</t>
  </si>
  <si>
    <t>An Introduction to Biblical Hebrew Syntax</t>
  </si>
  <si>
    <t>Bruce K. Waltke &amp; M. O'Connor</t>
  </si>
  <si>
    <t>978-979-687-844-4</t>
  </si>
  <si>
    <t>485 SCH b</t>
  </si>
  <si>
    <t>Belajar Bahasa Yunani Koine: Panduan Memahami dan menerjemahkan Teks Perjanjian Baru</t>
  </si>
  <si>
    <t>Ruth Schafer</t>
  </si>
  <si>
    <t>PT BPK Gunung Mulia</t>
  </si>
  <si>
    <t>0-8028-0173-0</t>
  </si>
  <si>
    <t>485 GRE c</t>
  </si>
  <si>
    <t>A Concise Exegetical Grammar of New testament Greek (Fifth Edition, Revised)</t>
  </si>
  <si>
    <t xml:space="preserve">J. Harold Greenlee </t>
  </si>
  <si>
    <t>485 CAL d</t>
  </si>
  <si>
    <t>Discourse Considerations In Translating The Word Of God</t>
  </si>
  <si>
    <t>Kathleen Callow</t>
  </si>
  <si>
    <t>480 WEN b</t>
  </si>
  <si>
    <t>ĀΩ  J. W. Wenam, Bahasa Yunani Kuno; The Elements of New Testament Greek</t>
  </si>
  <si>
    <t>H.P.V. Nunn</t>
  </si>
  <si>
    <t>480 NUN s</t>
  </si>
  <si>
    <t>A Short Syntax of New Testament Greek</t>
  </si>
  <si>
    <t>The Rev. H. P. V. Nunn, M.A.</t>
  </si>
  <si>
    <t>88-237-8005-5</t>
  </si>
  <si>
    <t>451 SPR g</t>
  </si>
  <si>
    <t>Guida Allo Studio Dell'ebraico Biblico</t>
  </si>
  <si>
    <t>-Roma-Inggris</t>
  </si>
  <si>
    <t>Giovanni Deiana-Ambrogio Spreafico</t>
  </si>
  <si>
    <t>439.31 SWE i</t>
  </si>
  <si>
    <t>In Leijdeckers Voetspoor (Deel I)</t>
  </si>
  <si>
    <t>J.L. Swellengrebel</t>
  </si>
  <si>
    <t>Belanda Bijbelgenootschap, Haarlem</t>
  </si>
  <si>
    <t>90-6126.712.9</t>
  </si>
  <si>
    <t>439.31 SWE  i</t>
  </si>
  <si>
    <t>In Leijdeckers Voetspoor (Deel II)</t>
  </si>
  <si>
    <t>0-252-00896-0</t>
  </si>
  <si>
    <t>428.2 KAC o</t>
  </si>
  <si>
    <t>The Other Tongue English Across Cultures</t>
  </si>
  <si>
    <t>Braj B. Kachru</t>
  </si>
  <si>
    <t>University of Illinois Press</t>
  </si>
  <si>
    <t>0-521-33813-1</t>
  </si>
  <si>
    <t>428 SWA  e</t>
  </si>
  <si>
    <t xml:space="preserve">English in academic and research settings </t>
  </si>
  <si>
    <t>John M. Swales</t>
  </si>
  <si>
    <t>03-081333-6</t>
  </si>
  <si>
    <t>425 LES  i</t>
  </si>
  <si>
    <t>Introductory Transformational Grammar of English</t>
  </si>
  <si>
    <t>Mark Lester</t>
  </si>
  <si>
    <t>Holt, Rinehart &amp; Winston, INC.</t>
  </si>
  <si>
    <t>0-262-01043-7</t>
  </si>
  <si>
    <t>425 AKM i</t>
  </si>
  <si>
    <t>An Introduction to The Principles of Transformational Syntax</t>
  </si>
  <si>
    <t>Adrian Akmajian dan Frank Heny</t>
  </si>
  <si>
    <t>The Massachusetts Institute of Technology</t>
  </si>
  <si>
    <t xml:space="preserve">421.54 KEN a </t>
  </si>
  <si>
    <t>A Textbook of Phonetics for Students of English (Ninth Edition)</t>
  </si>
  <si>
    <t>John Samuel Kenyon, PH.D.</t>
  </si>
  <si>
    <t>George Wahr, Publisher</t>
  </si>
  <si>
    <t>90-04-07100-8</t>
  </si>
  <si>
    <t>418.4 BLA b</t>
  </si>
  <si>
    <t>The Book of Enoch or I Enoch (A New English Edition)</t>
  </si>
  <si>
    <t xml:space="preserve">418.02 RUL </t>
  </si>
  <si>
    <t xml:space="preserve">Rules &amp; Procedure </t>
  </si>
  <si>
    <t>The Bible House, London</t>
  </si>
  <si>
    <t>418. 02 WON h</t>
  </si>
  <si>
    <t>Helps for Translators (Bible Translations For Popular USE)</t>
  </si>
  <si>
    <t>William L. Wonderly</t>
  </si>
  <si>
    <t>978-0-8028-6433-8</t>
  </si>
  <si>
    <t>202.11 SMI g</t>
  </si>
  <si>
    <t>God In Translation</t>
  </si>
  <si>
    <t>Mark S. Smith</t>
  </si>
  <si>
    <t>3-438-06220-8</t>
  </si>
  <si>
    <t xml:space="preserve"> 413 FIC m</t>
  </si>
  <si>
    <t xml:space="preserve">Mittelpunkt Bibel </t>
  </si>
  <si>
    <t>Ulrich Fick</t>
  </si>
  <si>
    <t>Trans.BV 2853.A7</t>
  </si>
  <si>
    <t>Man, Milieu and Mission in Argentina</t>
  </si>
  <si>
    <t>Arno W.Enns</t>
  </si>
  <si>
    <t>979-444-136-8</t>
  </si>
  <si>
    <t>419.2 GRI k</t>
  </si>
  <si>
    <t>Kajian Bahasa Melayu-Betawi</t>
  </si>
  <si>
    <t>C.D Grijns</t>
  </si>
  <si>
    <t>Grafiti</t>
  </si>
  <si>
    <t>0-03-088042-4</t>
  </si>
  <si>
    <t>419 STO m</t>
  </si>
  <si>
    <t xml:space="preserve">The Major Syntactic Structures of English </t>
  </si>
  <si>
    <t>Robert P. Stockwell &amp; Paul Schachter &amp; Barbara hall Partee</t>
  </si>
  <si>
    <t>0-521-58704-2</t>
  </si>
  <si>
    <t>419 LAM i</t>
  </si>
  <si>
    <t>Information structure and sentence form: Topic, focus and the mental representations of discourse referents (Cambridge Studies In Linguistics 71)</t>
  </si>
  <si>
    <t>Knud Lambrecht</t>
  </si>
  <si>
    <t>0-7982-0659-4</t>
  </si>
  <si>
    <t>418.4 WEN I</t>
  </si>
  <si>
    <t>Language, Society, and Bible Translation</t>
  </si>
  <si>
    <t>Afrika Selatan</t>
  </si>
  <si>
    <t>Ernst R. Wendland</t>
  </si>
  <si>
    <t>979-404-119-X</t>
  </si>
  <si>
    <t>418.4 TAR m</t>
  </si>
  <si>
    <t>Menulis Sebagai Suatu Keterampilan Berbahasa)</t>
  </si>
  <si>
    <t>Prof. DR. Henry Guntur Tarigan</t>
  </si>
  <si>
    <t>Angkasa Bandung</t>
  </si>
  <si>
    <t>978-0-8423-8401-8</t>
  </si>
  <si>
    <t>418.4 RYK r</t>
  </si>
  <si>
    <t>Ryken's Bible handbook</t>
  </si>
  <si>
    <t>Thailand</t>
  </si>
  <si>
    <t>Leland Ryken; Philip Ryken dan James Wilhoit</t>
  </si>
  <si>
    <t>418.4 PPB p</t>
  </si>
  <si>
    <t>Pedoman Ejaan Bahasa Daerah Bali, Jawa, dan Sunda yang Disempurnakan</t>
  </si>
  <si>
    <t>Proyek Pengembangan Bahasa dan Sastra Indonesia dan Daerah</t>
  </si>
  <si>
    <t>Pusat Pembinaan dan Pengembangan Bahasa Departemen Pendidikan dan Kebudayaan</t>
  </si>
  <si>
    <t>0-664-22263-3</t>
  </si>
  <si>
    <t>418.4 FOK r</t>
  </si>
  <si>
    <t xml:space="preserve">Reading Biblical Narrative : Antroductory Guide </t>
  </si>
  <si>
    <t>Jan Fokkelman</t>
  </si>
  <si>
    <t>Deo Publishing</t>
  </si>
  <si>
    <t>418.4 PAT b</t>
  </si>
  <si>
    <t>The Bible Translator Volume 70 Issue 2 August 2019</t>
  </si>
  <si>
    <t>The Bible Translator Volume 70 Issue 3 December 2019</t>
  </si>
  <si>
    <t>The Bible Translator Volume 69 Issue 1 April 2018</t>
  </si>
  <si>
    <t>Ingris</t>
  </si>
  <si>
    <t>The Bible Translator Volume 69 Issue 2 August 2018</t>
  </si>
  <si>
    <t>The Bible Translator Volume 69 Issue 3 December 2018</t>
  </si>
  <si>
    <t>The Bible Translator Volume 68 Issue 2 April 2017</t>
  </si>
  <si>
    <t>The Bible Translator Volume 68 Issue 1 April 2017</t>
  </si>
  <si>
    <t xml:space="preserve">2051-6770 </t>
  </si>
  <si>
    <r>
      <rPr>
        <rFont val="Times New Roman"/>
        <color rgb="FF000000"/>
        <sz val="11.0"/>
      </rPr>
      <t>The Bible Translator Volume 67</t>
    </r>
    <r>
      <rPr>
        <rFont val="Arial"/>
        <b/>
        <color rgb="FF000000"/>
        <sz val="11.0"/>
      </rPr>
      <t xml:space="preserve"> Special</t>
    </r>
    <r>
      <rPr>
        <rFont val="Arial"/>
        <color theme="1"/>
        <sz val="11.0"/>
      </rPr>
      <t xml:space="preserve"> Issue 1 April 2016</t>
    </r>
  </si>
  <si>
    <t>The Bible Translator Volume 67 Issue 3 December 2016</t>
  </si>
  <si>
    <t>The Bible Translator Volume 67 Issue 2 August 2016</t>
  </si>
  <si>
    <t>The Bible Translator Volume 67 Issue 1 April 2016</t>
  </si>
  <si>
    <t>The Bible Translator Volume 66 Issue 3 December 2015</t>
  </si>
  <si>
    <t>The Bible Translator Volume 66 Issue 2 August 2015</t>
  </si>
  <si>
    <t>The Bible Translator Volume 66 Issue 1 April 2015</t>
  </si>
  <si>
    <t>The Bible Translator Volume 65 Issue 3 December 2014</t>
  </si>
  <si>
    <t>The Bible Translator Volume 65 Issue 2 August 2014</t>
  </si>
  <si>
    <t>The Bible Translator Volume 65 Issue 1 April 2014</t>
  </si>
  <si>
    <t>The Bible Translator Volume 64 Issue 3 December 2013</t>
  </si>
  <si>
    <t>The Bible Translator Volume 64 Issue 2 August 2013</t>
  </si>
  <si>
    <t>The Bible Translator Volume 64 Issue 1 August 2013</t>
  </si>
  <si>
    <t>418.4 NID b</t>
  </si>
  <si>
    <t>Bible Translating</t>
  </si>
  <si>
    <t>418.4 DPK p</t>
  </si>
  <si>
    <t>Pedoman Umum Pembentukan Istilah</t>
  </si>
  <si>
    <t>Panitia Pengembangan Bahasa Indonesia Pusat Pembinaan dan Pengembangan Bahasa</t>
  </si>
  <si>
    <t>418.4 CON</t>
  </si>
  <si>
    <t>A Concise History of the English Bible</t>
  </si>
  <si>
    <t>0-8267-0010-1</t>
  </si>
  <si>
    <t>418.4 BAR p</t>
  </si>
  <si>
    <t>Preliminary and Interim Report on the Hebrew Old Testament Text Project</t>
  </si>
  <si>
    <t>Dominique Barthelemy</t>
  </si>
  <si>
    <t>418.4  SUP f</t>
  </si>
  <si>
    <t>Firman Allah Harapan Bagi Semua - 360 Tahun Penerbitan Pertama Bagian Alkitab Dalam Bahasa Indonesia</t>
  </si>
  <si>
    <t>Drs. Supardan M. A, DKK</t>
  </si>
  <si>
    <t>Lembaga Alkitab Indonesia</t>
  </si>
  <si>
    <t>418.10 NEW e</t>
  </si>
  <si>
    <t>Evangile de Jean Manuel du traducteur: Commentaire linguistique et exegetique de la Bible</t>
  </si>
  <si>
    <t>Barclay M. Newman, eugene A. N ida et Jean-Claude Margot</t>
  </si>
  <si>
    <t>418.02 WON h</t>
  </si>
  <si>
    <t xml:space="preserve">Helps For Translators Bible Translations for Popular Use </t>
  </si>
  <si>
    <t>William L.Wonderly</t>
  </si>
  <si>
    <t>418.02 WON b</t>
  </si>
  <si>
    <t>Bible Translations for Popular Use (Volume VII)</t>
  </si>
  <si>
    <t xml:space="preserve">418.02 WIL </t>
  </si>
  <si>
    <t xml:space="preserve">Principles of Biblical Interpretation </t>
  </si>
  <si>
    <t>John T. Wilkinson</t>
  </si>
  <si>
    <t>418.02 WIL</t>
  </si>
  <si>
    <t>Helps For Translators Orthography Studies</t>
  </si>
  <si>
    <t>William A. Smalley and Others</t>
  </si>
  <si>
    <t>0-7982-1117-2</t>
  </si>
  <si>
    <t>418.02 WEN g</t>
  </si>
  <si>
    <t>Graphic Design and Bible Reading</t>
  </si>
  <si>
    <t>E. R. Wendland dan J.P. Louw</t>
  </si>
  <si>
    <t>418.02 WEN c</t>
  </si>
  <si>
    <t>The Cultural Factor in Bible Translation</t>
  </si>
  <si>
    <t>418.02 STI i</t>
  </si>
  <si>
    <t>Issues In Bible Translation</t>
  </si>
  <si>
    <t>0-8267-0454-9</t>
  </si>
  <si>
    <t>418.02 STI b</t>
  </si>
  <si>
    <t>Bridging the Gap (African Traditional Religion and Bible Translation</t>
  </si>
  <si>
    <t>Philip C. Stine, Ernst R. Wendland (Editor)</t>
  </si>
  <si>
    <t>418.02 SOC n</t>
  </si>
  <si>
    <t>A New Testament Wordbook for Translators (Some Exegetical Articles in Preliminary Form)</t>
  </si>
  <si>
    <t>418.02 SMA h</t>
  </si>
  <si>
    <t>Helps For Translators (Orthography Studies)</t>
  </si>
  <si>
    <t>William A. Smalley</t>
  </si>
  <si>
    <t>158516124-1 (American Vible Society) &amp; 1-900650-26-6 (St. Jerome Publishing)</t>
  </si>
  <si>
    <t xml:space="preserve">418.02 REI </t>
  </si>
  <si>
    <t>Translation Criticism-The Potentials &amp; Limitations</t>
  </si>
  <si>
    <t>Katharina Reiss</t>
  </si>
  <si>
    <t>1-85075-390-3</t>
  </si>
  <si>
    <t>418.02 POR b</t>
  </si>
  <si>
    <t>Biblical Greek Language and Linguistics Open Questions in Current Research</t>
  </si>
  <si>
    <t>Stanley E. Porter &amp; D.A. Carson</t>
  </si>
  <si>
    <t xml:space="preserve">0041-719X </t>
  </si>
  <si>
    <t>418.02 NOS</t>
  </si>
  <si>
    <t>Current Trends in Scripture Translation</t>
  </si>
  <si>
    <t>Philip A. Noss</t>
  </si>
  <si>
    <t>418.02 NID t</t>
  </si>
  <si>
    <t>Translators' Notes On Literacy Selections (Part 2 Series C, D, E, and Supplement A and B)</t>
  </si>
  <si>
    <t>90-04-13281-3</t>
  </si>
  <si>
    <t>The Theory and Practice of Translation</t>
  </si>
  <si>
    <t>Eugene A. Nida dan Charles R. Taber</t>
  </si>
  <si>
    <t>0-88344-326-0</t>
  </si>
  <si>
    <t>418.02 NID m</t>
  </si>
  <si>
    <t>Meaning Across Cultures (American Society of Missiology Series, No. 4)</t>
  </si>
  <si>
    <t>Eugene A. Nida &amp; William D. Reyburn</t>
  </si>
  <si>
    <t>418.02 Nid b</t>
  </si>
  <si>
    <t>The Bible Translator Volume III</t>
  </si>
  <si>
    <t>E. A. Nida</t>
  </si>
  <si>
    <t xml:space="preserve">418.02 NID </t>
  </si>
  <si>
    <t xml:space="preserve">Bible Translating </t>
  </si>
  <si>
    <t>Eugene A.Nida</t>
  </si>
  <si>
    <t>0-8267-0033-0</t>
  </si>
  <si>
    <t>418.02 NEW c</t>
  </si>
  <si>
    <t>Creating and Crafting the Contemporary English Version</t>
  </si>
  <si>
    <t>USA n Bible Society</t>
  </si>
  <si>
    <t>418.02 NEW b</t>
  </si>
  <si>
    <t>Bible Translation (The Scane Behind the Scenes)</t>
  </si>
  <si>
    <t>Barclay M. Newman, Th.D.</t>
  </si>
  <si>
    <t>418.02 N54</t>
  </si>
  <si>
    <t xml:space="preserve">God's Word in Man's Language </t>
  </si>
  <si>
    <t>418.02 LED</t>
  </si>
  <si>
    <t>The New Life Testament Hand Book</t>
  </si>
  <si>
    <t>Gleason H. Ledyard</t>
  </si>
  <si>
    <t>Christian Literature Foundation</t>
  </si>
  <si>
    <t>979-431-076-X</t>
  </si>
  <si>
    <t>418.02 LAR p</t>
  </si>
  <si>
    <t>Penerjemahan Berdasar Makna: Pedoman untuk Pemadanan Antarbahasa</t>
  </si>
  <si>
    <t>Mildred L. Larson</t>
  </si>
  <si>
    <t xml:space="preserve">ARCAN </t>
  </si>
  <si>
    <t>0-8191-4300-6</t>
  </si>
  <si>
    <t>418.02 LAR m</t>
  </si>
  <si>
    <t>Meaning -based Translation - A Guide to Cross Language Equivalence</t>
  </si>
  <si>
    <t>University Press America</t>
  </si>
  <si>
    <t>418.02 KUI i</t>
  </si>
  <si>
    <t>Interpretasi atau Inpirasi (Segi-segi Teologis dari Penterjemahan Alkitab pada Masa Kini)</t>
  </si>
  <si>
    <t>Dr. A. de Kuiper</t>
  </si>
  <si>
    <t>418.02 KON</t>
  </si>
  <si>
    <t>"Konsultasi Alkitab Perjanjian Lama Terjemahan Baru 2" Wilayah Nusa Tenggara dan Bali</t>
  </si>
  <si>
    <t>STFT Ledalero</t>
  </si>
  <si>
    <t>418.02 KIN i</t>
  </si>
  <si>
    <t>Interpretation The Book of Exodus</t>
  </si>
  <si>
    <t>Jack Dean Kingsbury</t>
  </si>
  <si>
    <t>Union Teheological Seminary in Virginia</t>
  </si>
  <si>
    <t>3-438-07800-7</t>
  </si>
  <si>
    <t>418.02 JON t</t>
  </si>
  <si>
    <t>A Translator's Handbook on the Letters of John Volume XIII</t>
  </si>
  <si>
    <t>C. Haas; M. De Jonge dan J. L. Swellengrebel</t>
  </si>
  <si>
    <t>418.02 HUL o</t>
  </si>
  <si>
    <t>Old Testament translation Problems</t>
  </si>
  <si>
    <t>A.R Hulst</t>
  </si>
  <si>
    <t>418.02 HOO b</t>
  </si>
  <si>
    <t>Bible Translation in India, Pakistan and Ceylon (Second Edition)</t>
  </si>
  <si>
    <t>J.S.M. Hooper dan W.J. Culshaw</t>
  </si>
  <si>
    <t>418.02 GRI e</t>
  </si>
  <si>
    <t>English For Indonesian Christians</t>
  </si>
  <si>
    <t>Dr. Charles E. Grimes E, Ph.D</t>
  </si>
  <si>
    <t>0-631-178-57-0</t>
  </si>
  <si>
    <t>418.02 ERN t</t>
  </si>
  <si>
    <t>Translation and Relevance (Cognition and Context)</t>
  </si>
  <si>
    <t>Ernst-August Gutt</t>
  </si>
  <si>
    <t>Basil Blackwell</t>
  </si>
  <si>
    <t>418.02 Cul b</t>
  </si>
  <si>
    <t>The Bible Translator Volume XVIII</t>
  </si>
  <si>
    <t>Wesley J. Culshaw</t>
  </si>
  <si>
    <t>418.02 CLU t</t>
  </si>
  <si>
    <t>The Translators Revived</t>
  </si>
  <si>
    <t>Alexander MC. Clure</t>
  </si>
  <si>
    <t>Mobile, Alabama</t>
  </si>
  <si>
    <t>418.02 BRA w</t>
  </si>
  <si>
    <t>Weights, Money, Measures and Time</t>
  </si>
  <si>
    <t>DR. Robert G. Bratcher</t>
  </si>
  <si>
    <t>418.02 BRA u</t>
  </si>
  <si>
    <t>Understanding And Translating The Bible</t>
  </si>
  <si>
    <t xml:space="preserve">Robert G. Bratcher; John J. Kijne dan Wiilliam A. Smalley </t>
  </si>
  <si>
    <t>418.02 BRA t</t>
  </si>
  <si>
    <t>A Translator's Handbook On The Gospel Of Mark</t>
  </si>
  <si>
    <t>Robert G. Bratcher &amp; Eugene A. Nida</t>
  </si>
  <si>
    <t>418.02 BRA s</t>
  </si>
  <si>
    <t>Section Headings for the Old Testament Helps For Translators volume IV part 1</t>
  </si>
  <si>
    <t>418.02 BRA h</t>
  </si>
  <si>
    <t>Helps For Translators, Old Testament Quotations in the New Testament</t>
  </si>
  <si>
    <t>Helps For Translator, Section Headings And Reference System For The Bible Volume IV</t>
  </si>
  <si>
    <t>Robert G. Bratcher (E)</t>
  </si>
  <si>
    <t>418.02 BRA g</t>
  </si>
  <si>
    <t xml:space="preserve">A Guide For Translators and Revisers </t>
  </si>
  <si>
    <t>418.02 BRA b</t>
  </si>
  <si>
    <t>The Bible Translator Volume V</t>
  </si>
  <si>
    <t>W. J. Bradnock</t>
  </si>
  <si>
    <t>418.02 BRA</t>
  </si>
  <si>
    <t>A Short Indexc To The Bible (Helps For Translators)</t>
  </si>
  <si>
    <t xml:space="preserve">Bratcher dan Thompson </t>
  </si>
  <si>
    <t>418.02 BER p</t>
  </si>
  <si>
    <t>Principles of Biblical Interpretation</t>
  </si>
  <si>
    <t>L. Berkhof, B.D</t>
  </si>
  <si>
    <t>418.02 BEE t</t>
  </si>
  <si>
    <t>Translating The Word Of God</t>
  </si>
  <si>
    <t>John Beekman dan John Callow</t>
  </si>
  <si>
    <t>0-88312-651-6</t>
  </si>
  <si>
    <t>418.02 BAR b</t>
  </si>
  <si>
    <t>Bible Translation: An Introductory Course In Translation Principles</t>
  </si>
  <si>
    <t>Katharine Barnwell</t>
  </si>
  <si>
    <t xml:space="preserve">418.02 ABO </t>
  </si>
  <si>
    <t xml:space="preserve">About Translation </t>
  </si>
  <si>
    <t>418.02  BRA h</t>
  </si>
  <si>
    <r>
      <rPr>
        <rFont val="Arial"/>
        <color theme="1"/>
        <sz val="9.0"/>
      </rPr>
      <t>helps for</t>
    </r>
    <r>
      <rPr>
        <rFont val="Arial"/>
        <color theme="1"/>
        <sz val="11.0"/>
      </rPr>
      <t xml:space="preserve"> translators Vol XI Fauna And Flora of the Bible</t>
    </r>
  </si>
  <si>
    <t>inggris</t>
  </si>
  <si>
    <t>418.02 - b</t>
  </si>
  <si>
    <t>The Bible Societies and The Roman Catholic Church</t>
  </si>
  <si>
    <t>W. H. Rickinson, Son Ltd, Dkk</t>
  </si>
  <si>
    <t>418.02  ABS t</t>
  </si>
  <si>
    <t>A New Testament Wordbook for Translators (Some Translational Articles in Preliminary Form)</t>
  </si>
  <si>
    <t xml:space="preserve">418.02 </t>
  </si>
  <si>
    <t>418.02</t>
  </si>
  <si>
    <t>The Bible Translator Volume 70 Issue 1 April 2019</t>
  </si>
  <si>
    <t>418. 02 WAR b</t>
  </si>
  <si>
    <t>Bibliography of The Wycliffe Bible Translators</t>
  </si>
  <si>
    <t>Wycliffe Bible Translators, Inc.</t>
  </si>
  <si>
    <t>0-8267-0456-5</t>
  </si>
  <si>
    <t>418. 02 MER a</t>
  </si>
  <si>
    <t xml:space="preserve">The Apocrypha in Ecumenical Perspective </t>
  </si>
  <si>
    <t>Siegfried Meurer</t>
  </si>
  <si>
    <t>418. 02 GUI</t>
  </si>
  <si>
    <t>Guidelines for interconfessional Cooperation in Translating the Bible</t>
  </si>
  <si>
    <t>The New Revised Edition Rome</t>
  </si>
  <si>
    <t>418. 02 BRA h</t>
  </si>
  <si>
    <t>Helps For Translators, New Testament Index</t>
  </si>
  <si>
    <t>418. 02 BAR p</t>
  </si>
  <si>
    <t>Plants And Animals Of The Bible                                 A Translotor's Workbook</t>
  </si>
  <si>
    <t>979-420-393-9</t>
  </si>
  <si>
    <t xml:space="preserve">418 VER </t>
  </si>
  <si>
    <t>Asas-asas Linguistik Umum</t>
  </si>
  <si>
    <t>J.W.M. Verhaar</t>
  </si>
  <si>
    <t xml:space="preserve">Gadjah Mada University Press </t>
  </si>
  <si>
    <t>0-8267-0455-7</t>
  </si>
  <si>
    <t>418 LOU m</t>
  </si>
  <si>
    <t>Meaningful Translation Its Implication for the Reader</t>
  </si>
  <si>
    <t>Johannes P. Louw</t>
  </si>
  <si>
    <t>0-312-82057-7</t>
  </si>
  <si>
    <t>418 KEL t</t>
  </si>
  <si>
    <t>The True Interpreter</t>
  </si>
  <si>
    <t>L. G. Kelly</t>
  </si>
  <si>
    <t>St. Martin's Press</t>
  </si>
  <si>
    <t>418 ILY l</t>
  </si>
  <si>
    <t xml:space="preserve">Lexical Indentity and Variation of Form </t>
  </si>
  <si>
    <t>Rusia</t>
  </si>
  <si>
    <t>Margarita Ilyina</t>
  </si>
  <si>
    <t>Moscow University Press</t>
  </si>
  <si>
    <t>0-564-4991-3</t>
  </si>
  <si>
    <t>418  MOU t</t>
  </si>
  <si>
    <t>The Translator's New Testament</t>
  </si>
  <si>
    <t>H.K. Moulton</t>
  </si>
  <si>
    <t>The British and Foreign Bible Society</t>
  </si>
  <si>
    <t>979-463-694-0</t>
  </si>
  <si>
    <t>417.7 LAI m</t>
  </si>
  <si>
    <t>Menabur Firman Di Nusantara</t>
  </si>
  <si>
    <t>979-95820-1-6</t>
  </si>
  <si>
    <t>417 PUR p</t>
  </si>
  <si>
    <t xml:space="preserve">Panorama Bahasa  Nusantara </t>
  </si>
  <si>
    <t xml:space="preserve">Bambang Kaswanti Purwo </t>
  </si>
  <si>
    <t>Masyarakat Linguistik Indonesia dalam Kerja Sa dengan Penerbit Referensia</t>
  </si>
  <si>
    <t xml:space="preserve">417 PEL </t>
  </si>
  <si>
    <t>Pelestarian dan Usaha Pengembangan Akasara Daerah Sunda</t>
  </si>
  <si>
    <t>Drs. Rosyadi, dkk</t>
  </si>
  <si>
    <t xml:space="preserve">415.499.226 AND </t>
  </si>
  <si>
    <t>Pedoman Ejaan Bahasa Moronene</t>
  </si>
  <si>
    <t>T. David Anderson</t>
  </si>
  <si>
    <t>SIL</t>
  </si>
  <si>
    <t>0-85883-432-4</t>
  </si>
  <si>
    <t xml:space="preserve">415.499.224 WOO g </t>
  </si>
  <si>
    <t>A Grammar of Karo Batak, Sumatra (Pacific Linguistics Series C-130)</t>
  </si>
  <si>
    <t>Geoff Woolams</t>
  </si>
  <si>
    <t>Departement of Linguistics Research School of Pacific and Asian Studies, The Australian National University</t>
  </si>
  <si>
    <t>979-458-151-8</t>
  </si>
  <si>
    <t>415.499.224 KOZ</t>
  </si>
  <si>
    <t>Surat Batak Pengantar Filologi dan Aksara Batak</t>
  </si>
  <si>
    <t>Dr. Uli Kozok</t>
  </si>
  <si>
    <t>USU Press</t>
  </si>
  <si>
    <t>979-8361-01-6</t>
  </si>
  <si>
    <t>415.499.222 WID b</t>
  </si>
  <si>
    <t>Berbahasa Jawa Untuk Pelayanan Gerejawi dan Masyarakat</t>
  </si>
  <si>
    <t>Pdt. Em. Drs. Siman Widyatmanta M. Th.</t>
  </si>
  <si>
    <t>Fakultas Theologia UKDW Yogyakarta</t>
  </si>
  <si>
    <t>979-685-147-4</t>
  </si>
  <si>
    <t>415.499.222 PAR</t>
  </si>
  <si>
    <t>Paramasastra Gagrag Anyar Basa Jawa</t>
  </si>
  <si>
    <t>Hj. B.R.A. Mooryati Sudiboyo</t>
  </si>
  <si>
    <t>Penerbit Yayasan Paramalingua</t>
  </si>
  <si>
    <t>415.499.221 RAF d</t>
  </si>
  <si>
    <t>Discourse Structures Of The Chinese Indonesian of Malang</t>
  </si>
  <si>
    <t>Ellen Rafferty</t>
  </si>
  <si>
    <t xml:space="preserve">415.499 ROC p </t>
  </si>
  <si>
    <t>Pelestarian dan Modernissasi Aksara Daerah Perkembangan Metode dan Teknik Menulis Aksara Jawa</t>
  </si>
  <si>
    <t>Amir Rochkyatmo</t>
  </si>
  <si>
    <t>978-0-7586-2516-8</t>
  </si>
  <si>
    <t>415.492.4 STE</t>
  </si>
  <si>
    <t>Intermediate Biblical Hebrew</t>
  </si>
  <si>
    <t>Andrew E. Steinmann</t>
  </si>
  <si>
    <t>Peer Reviewed</t>
  </si>
  <si>
    <t>3-447-03590-0</t>
  </si>
  <si>
    <t xml:space="preserve">415.492.2 ROS </t>
  </si>
  <si>
    <t>A Grammar of Biblical Aramaic (Porta Linguarum Orientalium)</t>
  </si>
  <si>
    <t>Franz Rosenthal</t>
  </si>
  <si>
    <t>Harrassowitz Verlag</t>
  </si>
  <si>
    <t>415 ZEL</t>
  </si>
  <si>
    <t>Papers In Structural and Transformational Linguistics: Formal Linguistics Series/ Volume 1</t>
  </si>
  <si>
    <t xml:space="preserve">Zellig S. Harris </t>
  </si>
  <si>
    <t xml:space="preserve">D. Reidel Publishing Company/ </t>
  </si>
  <si>
    <t>415 WIM i</t>
  </si>
  <si>
    <t>An Introduction To Pagu Through The Analysis of Narrative Discourse</t>
  </si>
  <si>
    <t>Sandra Gay Wimbish</t>
  </si>
  <si>
    <t>The University of Texas At Arlington</t>
  </si>
  <si>
    <t>90-222-0233-X</t>
  </si>
  <si>
    <t>415 VRI</t>
  </si>
  <si>
    <t>Peladjaran Bahasa Belanda djilid II/latihan</t>
  </si>
  <si>
    <t>Drs. J.W. De Vries</t>
  </si>
  <si>
    <t>N.V. Uitgeverij W. Van Hoeve</t>
  </si>
  <si>
    <t>415 THE a</t>
  </si>
  <si>
    <t>Automatic Analysis of Dutch Compound Words</t>
  </si>
  <si>
    <t xml:space="preserve">W.A. Verloren Van Themaat </t>
  </si>
  <si>
    <t>Mathematical Centre Tracts</t>
  </si>
  <si>
    <t>90-222-0234-8</t>
  </si>
  <si>
    <t>415 TER p</t>
  </si>
  <si>
    <t>Pelajaran Bahasa Belanda</t>
  </si>
  <si>
    <t>DRS G. Termorshuizen &amp; S. Gunawan</t>
  </si>
  <si>
    <t>Uitgeverij W. Van Hoeve B.V.</t>
  </si>
  <si>
    <t xml:space="preserve">415 TAY </t>
  </si>
  <si>
    <t>A Dissertation Presented to the Faculty of the Graduate School of Yale University in Candidacy for the Degree of Doctor of Philosophy</t>
  </si>
  <si>
    <t>Paul Michael Taylor</t>
  </si>
  <si>
    <t>415 TAR  p</t>
  </si>
  <si>
    <t>Pengajaran Ejaan Bahasa Indonesia</t>
  </si>
  <si>
    <t>DR. H.G. Tarigan</t>
  </si>
  <si>
    <t>ANGKASA BANDUNG</t>
  </si>
  <si>
    <t xml:space="preserve">415 SUD </t>
  </si>
  <si>
    <t xml:space="preserve">Menguak Fungsi Hakiki Bahasa </t>
  </si>
  <si>
    <t>Sudaryanto</t>
  </si>
  <si>
    <t>Duta Wacana University Press</t>
  </si>
  <si>
    <t>979-263560-2</t>
  </si>
  <si>
    <t>415 SUA m</t>
  </si>
  <si>
    <t>Memahami Gramatika Dasar Bahasa Yunani Koine</t>
  </si>
  <si>
    <t>dr. Ferdinan K. Suawa, M.A.</t>
  </si>
  <si>
    <t xml:space="preserve">415 STE h </t>
  </si>
  <si>
    <t>Helping People Learn English: A Manual for Teachers of English as a Second Language</t>
  </si>
  <si>
    <t>Earl W. Stevick</t>
  </si>
  <si>
    <t>1-55819-418-5</t>
  </si>
  <si>
    <t xml:space="preserve">415 SEV </t>
  </si>
  <si>
    <t>Expanded Edition Pronouncing Bible Names</t>
  </si>
  <si>
    <t>W. Murray Severance</t>
  </si>
  <si>
    <t>415 PAR p</t>
  </si>
  <si>
    <t>Pengantar Linguistik Umum Bidang Sintaksis (Seri C)</t>
  </si>
  <si>
    <t>Jos Daniel Parera</t>
  </si>
  <si>
    <t>415 PAR  p</t>
  </si>
  <si>
    <t>Pengantar Linguistik Umum Bidang Morfologi (Seri B)</t>
  </si>
  <si>
    <t>Pengantar Linguistik Umum (Bidang Sintaksis) Seri C</t>
  </si>
  <si>
    <t>978-602-95757-1-2</t>
  </si>
  <si>
    <t>415 PAN g</t>
  </si>
  <si>
    <t>Gramatika dan Sintaksis Bahasa Yunani Perjanjian Baru</t>
  </si>
  <si>
    <t>Welly Pandensolang</t>
  </si>
  <si>
    <t>YAI Press</t>
  </si>
  <si>
    <t>978-602-95757-0-5</t>
  </si>
  <si>
    <t>Gramatika dan Sintaksis Bahasa Ibrani Perjanjian Lama</t>
  </si>
  <si>
    <t>415 OTS s</t>
  </si>
  <si>
    <t>Studies In English Grammar and Linguistics: A Miscellany In Honour of Takanobu Otsuka)</t>
  </si>
  <si>
    <t>Kazuo Araki (Ed.)</t>
  </si>
  <si>
    <t>Tokyo Kenkyusha Ltd.</t>
  </si>
  <si>
    <t>415 NID c</t>
  </si>
  <si>
    <t>Componential Analysis of Meaning</t>
  </si>
  <si>
    <t>978-90-429-3316-3</t>
  </si>
  <si>
    <t>415 MUR a</t>
  </si>
  <si>
    <t>A Syntax of Septuagint Greek</t>
  </si>
  <si>
    <t>T. Muraoka</t>
  </si>
  <si>
    <t>0-521-08372-9</t>
  </si>
  <si>
    <t xml:space="preserve">415 MAT I </t>
  </si>
  <si>
    <t>Inflectional Morphology: A Theoretical Study Based on Aspects of Latin Verb Conjugation</t>
  </si>
  <si>
    <t>P.H. Matthews</t>
  </si>
  <si>
    <t>0-521-09856-4</t>
  </si>
  <si>
    <t>415 MAT  m</t>
  </si>
  <si>
    <t>Morphology: An introduction to the theory of word-structure</t>
  </si>
  <si>
    <t>91-7966-074-6</t>
  </si>
  <si>
    <t>415 LIN e</t>
  </si>
  <si>
    <t>English Adverbials in Translation (A Corpus Study of Swedish Renderings)</t>
  </si>
  <si>
    <t>Hans Lindquist</t>
  </si>
  <si>
    <t>Lund University Press</t>
  </si>
  <si>
    <t xml:space="preserve">415 LIN </t>
  </si>
  <si>
    <t>LINGUAPHONE ENGLISH COURSE (Written Exercises)</t>
  </si>
  <si>
    <t>Linguaphone Institute Limited</t>
  </si>
  <si>
    <t>LINGUAPHONE (English Course Spoken Exercises)</t>
  </si>
  <si>
    <t>415 KER d</t>
  </si>
  <si>
    <t>Diksi dan Gaya Bahasa</t>
  </si>
  <si>
    <t xml:space="preserve">Gorys Keraf </t>
  </si>
  <si>
    <t>90-222-0222-4</t>
  </si>
  <si>
    <t>415 KAR p</t>
  </si>
  <si>
    <t xml:space="preserve">Peladjaran Bahasa Belanda </t>
  </si>
  <si>
    <t>J.B Legiman Karjawidjaja S. H</t>
  </si>
  <si>
    <t>415 JOO e</t>
  </si>
  <si>
    <t>The English Verb (Form and Meanings)</t>
  </si>
  <si>
    <t>Martin Joos</t>
  </si>
  <si>
    <t>The University of Wisconsin Press</t>
  </si>
  <si>
    <t>415 JES g</t>
  </si>
  <si>
    <t>Growth and Structure of The English Language (Fourth Edition)</t>
  </si>
  <si>
    <t>Otto Jespersen, PH.D., Lit.D.</t>
  </si>
  <si>
    <t>D. Appleton and Company</t>
  </si>
  <si>
    <t>415 JAC e</t>
  </si>
  <si>
    <t>English Transformational Grammar</t>
  </si>
  <si>
    <t>Roderick A. Jacobs &amp; Peter S. Rosenbaum</t>
  </si>
  <si>
    <t xml:space="preserve">Blaidell Publishing Company </t>
  </si>
  <si>
    <t>0-582-55041-6</t>
  </si>
  <si>
    <t xml:space="preserve">415 HAL </t>
  </si>
  <si>
    <t xml:space="preserve">Cohesion in English </t>
  </si>
  <si>
    <t>Hongkong</t>
  </si>
  <si>
    <t>M.A.K. Halliday dan Ruqaiya Hasan</t>
  </si>
  <si>
    <t>LONGMAN</t>
  </si>
  <si>
    <t>393-04333</t>
  </si>
  <si>
    <t>415 GLE p</t>
  </si>
  <si>
    <t>Phrase and Paraphrase: Some Innovative Uses of Language</t>
  </si>
  <si>
    <t>Lila R. Gleitman &amp; Henry Gleitman</t>
  </si>
  <si>
    <t>415 GLE l</t>
  </si>
  <si>
    <t>Linguistics and English Grammar</t>
  </si>
  <si>
    <t>H.A. Gleason, Jr.</t>
  </si>
  <si>
    <t>Holt, Rinehart and Winston, Inc.</t>
  </si>
  <si>
    <t>415 GIN o</t>
  </si>
  <si>
    <t>Outline Of Rejang Syntax</t>
  </si>
  <si>
    <t>Richard McGinn</t>
  </si>
  <si>
    <t xml:space="preserve">415 FOK </t>
  </si>
  <si>
    <t>Beknopte Maleise Grammatica</t>
  </si>
  <si>
    <t>Dr. A. A. Fokker</t>
  </si>
  <si>
    <t>J.B. WoltersUitgevers-Maatschappij</t>
  </si>
  <si>
    <t>0-233-96006-0</t>
  </si>
  <si>
    <t xml:space="preserve">415 DAR </t>
  </si>
  <si>
    <t xml:space="preserve">A Grammar of Style </t>
  </si>
  <si>
    <t>A.E. Darbyshire</t>
  </si>
  <si>
    <t xml:space="preserve">Andre Deutsch </t>
  </si>
  <si>
    <t>415 DAM k</t>
  </si>
  <si>
    <t>Kesusastraan Indonesia Modern (Beberapa Catatan)</t>
  </si>
  <si>
    <t xml:space="preserve">Sapardi Djoko Damono </t>
  </si>
  <si>
    <t>0-521-29045-7</t>
  </si>
  <si>
    <t xml:space="preserve">415 COM </t>
  </si>
  <si>
    <t xml:space="preserve">Aspect </t>
  </si>
  <si>
    <t>Bernard Comrie</t>
  </si>
  <si>
    <t>90 279 3385 5</t>
  </si>
  <si>
    <t>415 CHO s</t>
  </si>
  <si>
    <t>Syntactic Structures (Series Minor NR.4)</t>
  </si>
  <si>
    <t>Noam Chomsky</t>
  </si>
  <si>
    <t>0-521-28475-9</t>
  </si>
  <si>
    <t>415 BRO d</t>
  </si>
  <si>
    <t>Discourse Analysis</t>
  </si>
  <si>
    <t>Gilliant Brown dan George Yule</t>
  </si>
  <si>
    <t>978-1-44374-732-5</t>
  </si>
  <si>
    <t>415 BIE m</t>
  </si>
  <si>
    <t>Manual of Hebrew Syntax</t>
  </si>
  <si>
    <t>Rev. Dr. C. Van Den Biesen</t>
  </si>
  <si>
    <t xml:space="preserve">LUZAC &amp; Co. Publishers </t>
  </si>
  <si>
    <t>415 BAT i</t>
  </si>
  <si>
    <t>Iau Verb Morphology</t>
  </si>
  <si>
    <t>Janet Bateman</t>
  </si>
  <si>
    <t>415 BAD i</t>
  </si>
  <si>
    <t>Inilah Bahasa Indonesia yang Benar</t>
  </si>
  <si>
    <t>J.S. Badudu</t>
  </si>
  <si>
    <t>415 ART e</t>
  </si>
  <si>
    <t>Ergativity And Balinese Syntax Part III</t>
  </si>
  <si>
    <t>Ergativity And Balinese Syntax Part II</t>
  </si>
  <si>
    <t>414.8 SMA m</t>
  </si>
  <si>
    <t>Manual Of Articulatory Phonetics</t>
  </si>
  <si>
    <t>Practical Anthropology</t>
  </si>
  <si>
    <t>414.6 HAL i</t>
  </si>
  <si>
    <t>Intonation (In Relation To Syntax In Bahasa Indonesia)</t>
  </si>
  <si>
    <t>Proyek Pengembangan Bahasa dan Sastra Indonesia dan Daerah Departemen Pendidikan dan Kebudayaan</t>
  </si>
  <si>
    <t xml:space="preserve">414 OUT </t>
  </si>
  <si>
    <t>An Outline of English Phonetics</t>
  </si>
  <si>
    <t xml:space="preserve">Olga Akhmanova dan L'udmila MINAJEVA </t>
  </si>
  <si>
    <t>Mockobck rocypapctbehhnn yhnbepcktet</t>
  </si>
  <si>
    <t>414 MOR p</t>
  </si>
  <si>
    <t>Papers on Philippine Languages No.1</t>
  </si>
  <si>
    <t>Alfredo T. Morales</t>
  </si>
  <si>
    <t xml:space="preserve">Institute for Language Teaching University of the Philippines dan Summer Instituteof Linguistics </t>
  </si>
  <si>
    <t>1-57506-017-5</t>
  </si>
  <si>
    <t>414 KAY p</t>
  </si>
  <si>
    <t>Phonologies of Asia and Africa (Volume 2)</t>
  </si>
  <si>
    <t>Alan S. Kaye</t>
  </si>
  <si>
    <t>Winona Lake, Indiana, Eisenbrauns</t>
  </si>
  <si>
    <t>Phonologies of Asia and Africa (Volume 1)</t>
  </si>
  <si>
    <t>414 AKH m</t>
  </si>
  <si>
    <t>The Morphology of The English Verb tense, aspect and taxis</t>
  </si>
  <si>
    <t>Olga Akhmanova &amp; Victoria Belenkaya</t>
  </si>
  <si>
    <t>413.2 PRA</t>
  </si>
  <si>
    <t>Kamus Bahasa Dairi Pakpak-Indonesia</t>
  </si>
  <si>
    <t>Dairi-Indonesia</t>
  </si>
  <si>
    <t>Tindi Radja Manik</t>
  </si>
  <si>
    <t>Depdikbud</t>
  </si>
  <si>
    <t>978-602-1006-01-6</t>
  </si>
  <si>
    <t>413.15 OWE k</t>
  </si>
  <si>
    <t>Kamus Lambang dan Kiasan dalam Alkitab</t>
  </si>
  <si>
    <t>W. Stuart Owen, dkk</t>
  </si>
  <si>
    <t>YKBK</t>
  </si>
  <si>
    <t>978-0-8028-3413-3</t>
  </si>
  <si>
    <t>413.1 HOL c</t>
  </si>
  <si>
    <t>A Concise Hebrew And Aramaic Lexicon of the Old Testament</t>
  </si>
  <si>
    <t>William B. Eerdmans Publishing</t>
  </si>
  <si>
    <t>0-19-283014-7</t>
  </si>
  <si>
    <t>413.1 CON</t>
  </si>
  <si>
    <t>The Concise Oxford Dictionary of The Christian Church</t>
  </si>
  <si>
    <t>E.A. Livingstone</t>
  </si>
  <si>
    <t>413.1 COL a</t>
  </si>
  <si>
    <t>Asilulu-English Dictionary</t>
  </si>
  <si>
    <t>413.1 CAS s</t>
  </si>
  <si>
    <t>Sanskrit Loan-Words In Indonesian</t>
  </si>
  <si>
    <t>J.G. de Casparis</t>
  </si>
  <si>
    <t>978-1-60264-377-2</t>
  </si>
  <si>
    <t>413.1 BEN a</t>
  </si>
  <si>
    <t>Ancient Hebrew dictionary: 1000 Verbs and Nouns of the Hebrew Bible</t>
  </si>
  <si>
    <t>By Jsff A. Benner</t>
  </si>
  <si>
    <t>VBW Publishing</t>
  </si>
  <si>
    <t>413.028 MET</t>
  </si>
  <si>
    <t>Lexical AIDS for Students of New Testament Greek</t>
  </si>
  <si>
    <t>Theological Book Agency Princeton</t>
  </si>
  <si>
    <t>0-7982-0675-6</t>
  </si>
  <si>
    <t>413.028 LOU</t>
  </si>
  <si>
    <t>Lexicography and Translation</t>
  </si>
  <si>
    <t>231-03012-6</t>
  </si>
  <si>
    <t>413 PEI g</t>
  </si>
  <si>
    <t>Glossary of Linguistic Terminology</t>
  </si>
  <si>
    <t>Mario Pei</t>
  </si>
  <si>
    <t>979-8351-04-5</t>
  </si>
  <si>
    <t xml:space="preserve">411 DIN </t>
  </si>
  <si>
    <t>Dinamika Sastra</t>
  </si>
  <si>
    <t>Prof. Dr. Partini Sardjono Pr; Dr. Yati Sudarti Z. Aksa; Dra. Wiwi W. Martalogawa; Drs. Wilson Nadeak</t>
  </si>
  <si>
    <t>Yayasa Pustaka WINA</t>
  </si>
  <si>
    <t>411 BRA</t>
  </si>
  <si>
    <t>AUXILIAIRES DU TRADUCTEUR: MANUEL DU TRADUCTEUR POUR L'EVANGILE DE MARC (Second Volume)</t>
  </si>
  <si>
    <t>Switzerland</t>
  </si>
  <si>
    <t>979-403-085-6</t>
  </si>
  <si>
    <t>410.5 KRI  k</t>
  </si>
  <si>
    <t>Kelas Kata dalam Bahasa  Indonesia</t>
  </si>
  <si>
    <t>Harimurti Kridalaksana</t>
  </si>
  <si>
    <t>410.226 SNE s</t>
  </si>
  <si>
    <t>Studies In Sulawesi Linguistics part II</t>
  </si>
  <si>
    <t>J.N. Sneddon</t>
  </si>
  <si>
    <t>410.225 LAI</t>
  </si>
  <si>
    <t>Descreptive Studies In Language of Maluku part II</t>
  </si>
  <si>
    <t xml:space="preserve">410.18 PED </t>
  </si>
  <si>
    <t>Pedoman Umum Ejaan Bahasa Indonesia Yang Disempurnakan</t>
  </si>
  <si>
    <t>Pusat Pembinaan dan Pengembangan Bahasa Departemen Penididikan dan Kebudayaan Republik Indonesia</t>
  </si>
  <si>
    <t>410.18 KRI f</t>
  </si>
  <si>
    <t>Fungsi Bahasa dan Sikap Bahasa</t>
  </si>
  <si>
    <t xml:space="preserve">410.18 ALL I </t>
  </si>
  <si>
    <t>Living English Structure : Practice Book for Foreign Students</t>
  </si>
  <si>
    <t>W. Stannard Allen</t>
  </si>
  <si>
    <t>Dian Rakjat</t>
  </si>
  <si>
    <t xml:space="preserve">410.1 GLE i </t>
  </si>
  <si>
    <t>An Introduction to Descriptive Linguistics (Revised Edition)</t>
  </si>
  <si>
    <t>H. A. Gleason, Jr.</t>
  </si>
  <si>
    <t>3-589-20514-8</t>
  </si>
  <si>
    <t>410 ZYD  t</t>
  </si>
  <si>
    <t xml:space="preserve">Tempus und Aspekt im Englischunterricht </t>
  </si>
  <si>
    <t>Wolfgang Zydatiß</t>
  </si>
  <si>
    <t>Scriptor Verlag Kronberg</t>
  </si>
  <si>
    <t xml:space="preserve">410 WAN </t>
  </si>
  <si>
    <t>Sprachen Vergleichbar und Unvergleichlich</t>
  </si>
  <si>
    <t>Mario Wandruszka</t>
  </si>
  <si>
    <t>R. Piper &amp; Co Verlag Munchen</t>
  </si>
  <si>
    <t>410 VER</t>
  </si>
  <si>
    <t>Plant Names In Austronesian Linguistics</t>
  </si>
  <si>
    <t>Jilis A.J. Verheijen</t>
  </si>
  <si>
    <t>410 SIN m</t>
  </si>
  <si>
    <t>Membina Bahasa Indonesia</t>
  </si>
  <si>
    <t>Amin Singgih</t>
  </si>
  <si>
    <t xml:space="preserve">P.N. Balai Pustaka </t>
  </si>
  <si>
    <t>410 SHO n</t>
  </si>
  <si>
    <t>Northern Minority Languages: Problems of Survival (Senri Ethnological Studies no.44)</t>
  </si>
  <si>
    <t>Hiroshi Shoji dan Juha Janhunen</t>
  </si>
  <si>
    <t>National Museum of Ethnology</t>
  </si>
  <si>
    <t>978-1-5233-5398-9</t>
  </si>
  <si>
    <t>410 SAN v</t>
  </si>
  <si>
    <t>Vom Schicksal Zur Hoffnung</t>
  </si>
  <si>
    <t>Schreiber Verlag</t>
  </si>
  <si>
    <t>410 SAM a</t>
  </si>
  <si>
    <t xml:space="preserve">Analisa Bahasa </t>
  </si>
  <si>
    <t xml:space="preserve">Prof. Dr. Samsuri </t>
  </si>
  <si>
    <t>ERLANGGA</t>
  </si>
  <si>
    <t>410 RUH g</t>
  </si>
  <si>
    <t>A Guide To The languages of The World</t>
  </si>
  <si>
    <t>Merritt Ruhlen</t>
  </si>
  <si>
    <t>0-310-32050-X</t>
  </si>
  <si>
    <t>410 RIE l</t>
  </si>
  <si>
    <t>A Linguistic Key To The Greek New Testament</t>
  </si>
  <si>
    <t>Fritz Rienecker</t>
  </si>
  <si>
    <t>978-1850-753797</t>
  </si>
  <si>
    <t>410 POR i</t>
  </si>
  <si>
    <t>Idioms of The Greek New Testament (Second Edition)</t>
  </si>
  <si>
    <t>410 POE b</t>
  </si>
  <si>
    <t>Martinus Nijhoff Booksellers</t>
  </si>
  <si>
    <t xml:space="preserve">410 PAR </t>
  </si>
  <si>
    <t>Pengantar Linguistik Umum Kisah Zaman (Seri A)</t>
  </si>
  <si>
    <t>0-571-10690-0</t>
  </si>
  <si>
    <t>410 PAL d</t>
  </si>
  <si>
    <t>Descriptive and Comparative Linguistics A Critical Introduction</t>
  </si>
  <si>
    <t>L.R. Palmer &amp; Giulio C. Lepschy</t>
  </si>
  <si>
    <t>Faber &amp; Faber 3 Queen Square, London</t>
  </si>
  <si>
    <t>410 NID  l</t>
  </si>
  <si>
    <t>Learning a Foreign Language</t>
  </si>
  <si>
    <t>Friendship Press</t>
  </si>
  <si>
    <t xml:space="preserve">410 LIN </t>
  </si>
  <si>
    <t xml:space="preserve">LINGUAPHONE (English Course Spoken Exercises/ Buku Penuntun) </t>
  </si>
  <si>
    <t>410 LIN</t>
  </si>
  <si>
    <t>Linguistik Indonesia (Jurnal Ilmiah Masyarakat Linguistik Indonesia)</t>
  </si>
  <si>
    <t xml:space="preserve">Dr. Multamia R.M.T. Lauder </t>
  </si>
  <si>
    <t>Masyarakat Linguistik Indonesia Bekerjasama dengan Yayasan Obor Indonesia</t>
  </si>
  <si>
    <t>Linguaphone Intermediate English Course</t>
  </si>
  <si>
    <t xml:space="preserve">410 LAN </t>
  </si>
  <si>
    <t>Language Veriation and Limits to Communication</t>
  </si>
  <si>
    <t>0-7263-0507-3</t>
  </si>
  <si>
    <t>Language Variation and Survey Techniques</t>
  </si>
  <si>
    <t>Papua New Guinea</t>
  </si>
  <si>
    <t>Richard Loving</t>
  </si>
  <si>
    <t xml:space="preserve">410 KOE </t>
  </si>
  <si>
    <t>Supplementum Ad Lexicon In Veteris Testamenti Libros</t>
  </si>
  <si>
    <t>Jerman -Ibrani</t>
  </si>
  <si>
    <t>Ludwig Koehler dan Et W. Baumgartner</t>
  </si>
  <si>
    <t>410 KLA</t>
  </si>
  <si>
    <t>Voice In Austronesian</t>
  </si>
  <si>
    <t>Marian Klamer</t>
  </si>
  <si>
    <t xml:space="preserve">410 KER </t>
  </si>
  <si>
    <t>Linguistik Bandingan Historis</t>
  </si>
  <si>
    <t>3-404-00-6644</t>
  </si>
  <si>
    <t>410 HUL l</t>
  </si>
  <si>
    <t>Linguistik und Englishunterricht</t>
  </si>
  <si>
    <t>Werner Hullen</t>
  </si>
  <si>
    <t>Quelle &amp; Meyer Heidelberg</t>
  </si>
  <si>
    <t>0-521-29668-4</t>
  </si>
  <si>
    <t>410 HUD s</t>
  </si>
  <si>
    <t>Sociolinguistics Cambridge Textbooks In Linguistics</t>
  </si>
  <si>
    <t>R.A. Hudson</t>
  </si>
  <si>
    <t>410 GRA c</t>
  </si>
  <si>
    <t>Cent Pages sur la linguistique et l'enseignement du francais aux etrangers</t>
  </si>
  <si>
    <t>J.O. Grandjouan</t>
  </si>
  <si>
    <t xml:space="preserve">Bruxelles dan Montreal </t>
  </si>
  <si>
    <t>410 CHR o</t>
  </si>
  <si>
    <t>The Odyssey of Homer</t>
  </si>
  <si>
    <t>Henry I. Christ</t>
  </si>
  <si>
    <t>Globe Book Company</t>
  </si>
  <si>
    <t xml:space="preserve">410 BIJ </t>
  </si>
  <si>
    <t>BIJDRAGEN (Tot De Taal-, Land- En Volkenkunde) Deel 137</t>
  </si>
  <si>
    <t>410 BIJ</t>
  </si>
  <si>
    <t>BIJDRAGEN (Tot De Taal-, Land- En Volkenkunde) Deel 138</t>
  </si>
  <si>
    <t>BIJDRAGEN (Tot De Taal-, Land- En Volkenkunde) Deel 136</t>
  </si>
  <si>
    <t>0-87840-01-28</t>
  </si>
  <si>
    <t>410 BAI n</t>
  </si>
  <si>
    <t>New Ways of Analyzing Variation in English</t>
  </si>
  <si>
    <t>Charles-James N. Bailey &amp; Roger W. Shuy</t>
  </si>
  <si>
    <t xml:space="preserve">Georgetown University Press </t>
  </si>
  <si>
    <t>979-404-107-6</t>
  </si>
  <si>
    <t>410 ALW l</t>
  </si>
  <si>
    <t>Linguistik Suatu Pengantar</t>
  </si>
  <si>
    <t>Drs. A. Chaedar Alwasilah</t>
  </si>
  <si>
    <t>ANGKASA Bandung</t>
  </si>
  <si>
    <t>408 SEB p</t>
  </si>
  <si>
    <t>Portraits of Linguists A Biographical Source Book for the History of Western Linguistics, (1746-1963) volume two</t>
  </si>
  <si>
    <t>Thomas A. Sebeok</t>
  </si>
  <si>
    <t>Indiana University Press</t>
  </si>
  <si>
    <t>Portraits of Linguists A Biographical Source Book for the History of Western Linguistics, (1746-1963)</t>
  </si>
  <si>
    <t>978-979-565-622-7</t>
  </si>
  <si>
    <t>408 SEB k</t>
  </si>
  <si>
    <t xml:space="preserve">Karunia Penyembuhan </t>
  </si>
  <si>
    <t>RD Alfons Sebatu, Ph.D</t>
  </si>
  <si>
    <t>404.2 GOS</t>
  </si>
  <si>
    <t xml:space="preserve">The Gospel in Many Tongues  </t>
  </si>
  <si>
    <t>Multi Language</t>
  </si>
  <si>
    <t>British and Foreign Bible Society</t>
  </si>
  <si>
    <t>404.02 BRA g</t>
  </si>
  <si>
    <t>The Gospel In Many Tongues (Bahasa-bahasa di Dunia: Specimens of 872 languages in which The British and Foreign Bible Society</t>
  </si>
  <si>
    <t>W. J. Bradnock (Secretary for Translations and Librarian)</t>
  </si>
  <si>
    <t>401.48 BAR</t>
  </si>
  <si>
    <t xml:space="preserve">The Symbolism of Names In The Old Testament </t>
  </si>
  <si>
    <t>James Barr, M.A.D.D</t>
  </si>
  <si>
    <t>1-920109-01-3</t>
  </si>
  <si>
    <t>401.43 STE s</t>
  </si>
  <si>
    <t>Semantics, World View and Bible Translation</t>
  </si>
  <si>
    <t>Gerrit J. Van Steenbergen</t>
  </si>
  <si>
    <t xml:space="preserve">SUN PRESS </t>
  </si>
  <si>
    <t>401.43 SNI s</t>
  </si>
  <si>
    <t>Semantic Differential Technique</t>
  </si>
  <si>
    <t>James G. Snider &amp; Charles E. Osgood</t>
  </si>
  <si>
    <t>Aldine Publishing Company</t>
  </si>
  <si>
    <t>401.43 OKS  s</t>
  </si>
  <si>
    <t>Semantische Studien Im Sinnbereich Der Schnelligkeit</t>
  </si>
  <si>
    <t>Els Oksaar</t>
  </si>
  <si>
    <t>Almqvist dan Wiksell</t>
  </si>
  <si>
    <t>401.43 MAL s.</t>
  </si>
  <si>
    <t>Semantica Americana (NOTAS)</t>
  </si>
  <si>
    <t>Spanyol</t>
  </si>
  <si>
    <t>Augusto Malaret</t>
  </si>
  <si>
    <t>Imprenta San Jose, Tren 36</t>
  </si>
  <si>
    <t>978-0-521-29165-1</t>
  </si>
  <si>
    <t>401.43 LYO s</t>
  </si>
  <si>
    <t>Semantics: Volume 1</t>
  </si>
  <si>
    <t>John Lyons</t>
  </si>
  <si>
    <t>0-8006-1511-5</t>
  </si>
  <si>
    <t>401.43 LOU</t>
  </si>
  <si>
    <t>Semantics of New Testament Greek</t>
  </si>
  <si>
    <t>401.43 GUE s</t>
  </si>
  <si>
    <t>sémantique de la métaphore et de la métonymie (Section "Langue et Langage")</t>
  </si>
  <si>
    <t xml:space="preserve">Michel Le Guern </t>
  </si>
  <si>
    <t>Librairie Larousse</t>
  </si>
  <si>
    <t>0-88312-934-5</t>
  </si>
  <si>
    <t>401.43 BAN s</t>
  </si>
  <si>
    <t>Semantic Structure Analysis of Philemon</t>
  </si>
  <si>
    <t>Amerika</t>
  </si>
  <si>
    <t>by John Banker</t>
  </si>
  <si>
    <t>401.43  BAR  s</t>
  </si>
  <si>
    <t>The Semantics of Biblical Language</t>
  </si>
  <si>
    <t>401.41 DIS</t>
  </si>
  <si>
    <t>The Discourses and Sayings of Confucius</t>
  </si>
  <si>
    <t>China</t>
  </si>
  <si>
    <t>Inggris-China</t>
  </si>
  <si>
    <t>Overseas Chinese Affairs Commission</t>
  </si>
  <si>
    <t xml:space="preserve">401.4 STU </t>
  </si>
  <si>
    <t>Study of the Role of Second Languages (in Asia, Africa, and Latin USA)</t>
  </si>
  <si>
    <t>Charles A. Ferguson, dkk.</t>
  </si>
  <si>
    <t>Washington DC</t>
  </si>
  <si>
    <t>401. 02 SEB c</t>
  </si>
  <si>
    <t>Current Trends in Linguistics Volume III</t>
  </si>
  <si>
    <t>Current Trends in Linguistics Volume II</t>
  </si>
  <si>
    <t>978-0-670-06327-7</t>
  </si>
  <si>
    <t>401 PIN s</t>
  </si>
  <si>
    <t>The Stuff of Thought</t>
  </si>
  <si>
    <t>Steven Pinker</t>
  </si>
  <si>
    <t>VIKING</t>
  </si>
  <si>
    <t>401 NID t</t>
  </si>
  <si>
    <t>Toward A Science Of Translating</t>
  </si>
  <si>
    <t>d</t>
  </si>
  <si>
    <t>3-261-01762-7</t>
  </si>
  <si>
    <t>401 MAG  f</t>
  </si>
  <si>
    <t>Form and Meaning Studies in Literary Techniques in the Book of Jonah</t>
  </si>
  <si>
    <t>Jonathan Magonet</t>
  </si>
  <si>
    <t>Herbert Lang Bern</t>
  </si>
  <si>
    <t>398.09  OPP  t</t>
  </si>
  <si>
    <t xml:space="preserve">Tekad Gadis Kecil  Lahirnya upaya untuk menerjemahkan Alkitab - Firman Allah kedalam semua bahasa didunia </t>
  </si>
  <si>
    <t>H.A Oppusunggu</t>
  </si>
  <si>
    <t>Yayasan Komunikasi Bina Kasih / OFM</t>
  </si>
  <si>
    <t>398. 26 JAR c</t>
  </si>
  <si>
    <t>Cerita Rakyat Dari Irian Jaya</t>
  </si>
  <si>
    <t>Muhammad Jaruki dan Mardiyanto</t>
  </si>
  <si>
    <t xml:space="preserve">Grasindo </t>
  </si>
  <si>
    <t>978-602-6814-02-9</t>
  </si>
  <si>
    <t>375 SOE k</t>
  </si>
  <si>
    <t>Kelirumologi Kurikulum</t>
  </si>
  <si>
    <t>Wendie Razif Soetikno</t>
  </si>
  <si>
    <t>Sibuku Media</t>
  </si>
  <si>
    <t>372.6 LAR b</t>
  </si>
  <si>
    <t xml:space="preserve">Becoming Bilingual A Guide To Language Learning </t>
  </si>
  <si>
    <t>Donald N. Larson dan William A. Smalley</t>
  </si>
  <si>
    <t>979-415-991-3</t>
  </si>
  <si>
    <t xml:space="preserve">372.372 ABI </t>
  </si>
  <si>
    <t>Seksualitas dan Pendidikan Seksual</t>
  </si>
  <si>
    <t>978-602-7858-10-7</t>
  </si>
  <si>
    <t>372.19 SOE d</t>
  </si>
  <si>
    <t>Disain Kurikulum Digital</t>
  </si>
  <si>
    <t>Smart Writing</t>
  </si>
  <si>
    <t xml:space="preserve">371.37 LAP </t>
  </si>
  <si>
    <t>Laporan Rapat Kerja / Seminar Tentang Ejaan Bahasa Dayak Ngaju (Palangka Raya, 23-24/10/1987)</t>
  </si>
  <si>
    <t>Majelis Sinode Gereja Kalimantan Evangelis Banjarmasin</t>
  </si>
  <si>
    <t>371.302.8 TIN h</t>
  </si>
  <si>
    <t>How To Study the Bible</t>
  </si>
  <si>
    <t>Hong Kong</t>
  </si>
  <si>
    <t>K.H. Ting</t>
  </si>
  <si>
    <t>Tao Fong Shan Ecumenical Centre</t>
  </si>
  <si>
    <t>371.227 MES i</t>
  </si>
  <si>
    <t>Indonesia dan Hubungan Antarbangsa</t>
  </si>
  <si>
    <t>Sumarsono Mestoko</t>
  </si>
  <si>
    <t>371.102 WAN m</t>
  </si>
  <si>
    <t>Memimpin Kelompok Penelaahan Alkitab m</t>
  </si>
  <si>
    <t xml:space="preserve">Sri Wandaningsih </t>
  </si>
  <si>
    <t>979-8148-25-8</t>
  </si>
  <si>
    <t>371.07 SEK s</t>
  </si>
  <si>
    <t>Sekarang, Bangkit dan Berdirilah, Jangan Goyah</t>
  </si>
  <si>
    <t>Uumum</t>
  </si>
  <si>
    <t>Jerry Rudolf Sirait, Dkk</t>
  </si>
  <si>
    <t>PrimaLogi Press</t>
  </si>
  <si>
    <t>370.15 SEA k</t>
  </si>
  <si>
    <t>Kesembuhan Emosi</t>
  </si>
  <si>
    <t>David A. Seamands</t>
  </si>
  <si>
    <t>978-979-15784-3-1</t>
  </si>
  <si>
    <t>370.115 PUR s</t>
  </si>
  <si>
    <t>Sowing Seeds of Community Based Alternative Education in South Nias</t>
  </si>
  <si>
    <t>Antonius M. Purba (E)</t>
  </si>
  <si>
    <t>Yayasan Tunggal Bencana Indonesia</t>
  </si>
  <si>
    <t>978-979-15784-2-4</t>
  </si>
  <si>
    <t>370 PUR m</t>
  </si>
  <si>
    <t>Menabur Benih Pendidikan Alternatif Berbasis Masyarakat di Nias Selatan</t>
  </si>
  <si>
    <t>Antonius M Purba</t>
  </si>
  <si>
    <t>YTB Indonesia</t>
  </si>
  <si>
    <t xml:space="preserve">348.025 PER </t>
  </si>
  <si>
    <t>Peraturan Pemerintah Republik Indonesia Nomor 70 Tahun 1991</t>
  </si>
  <si>
    <t>Perpustakaan Nasional RI</t>
  </si>
  <si>
    <t>340.114 MUT m</t>
  </si>
  <si>
    <t>Modul Pelatihan Monitoring Peradilan dalam Kasus Kebebasan Beragama/Berkeyakinan</t>
  </si>
  <si>
    <t>Andi Muttaqien, dkk</t>
  </si>
  <si>
    <t>Lembaga Studi dan Advokasi Masyarakat</t>
  </si>
  <si>
    <t>340 TOB h</t>
  </si>
  <si>
    <t>Hukum Pelayaran dan Perdagangan Amanna Gappa</t>
  </si>
  <si>
    <t>Philip O. L. Tobing</t>
  </si>
  <si>
    <t>Yayasan Kebudayaan Sulawesi Selatan Ujung Padang</t>
  </si>
  <si>
    <t>978-979-29-3716-9</t>
  </si>
  <si>
    <t>332 ANG t</t>
  </si>
  <si>
    <t>Transformasi Ekonomi Komunitas</t>
  </si>
  <si>
    <t>Elia Paul Ang</t>
  </si>
  <si>
    <t>330.9 SCH m</t>
  </si>
  <si>
    <t>Marketing In Indonesia</t>
  </si>
  <si>
    <t>Hellmut Schutte</t>
  </si>
  <si>
    <t>P.T. Intermasa</t>
  </si>
  <si>
    <t>1-57506-090-6</t>
  </si>
  <si>
    <t>322. 1'0935 FRI</t>
  </si>
  <si>
    <t>The Priest and The Great King</t>
  </si>
  <si>
    <t>Lisbeth S. Fried</t>
  </si>
  <si>
    <t>320.531 THO m</t>
  </si>
  <si>
    <t>Um Einheit und Heil der Menschheit</t>
  </si>
  <si>
    <t>disunting oleh J. Robert Nelson dan Wolfhart Pannenberg dan dibantu oleh J. G. Arapura, dkk.</t>
  </si>
  <si>
    <t>Verlag Otto Lembeck Frankfurt am Main</t>
  </si>
  <si>
    <t>979 25 7324 0</t>
  </si>
  <si>
    <t>320.5 PAN L</t>
  </si>
  <si>
    <t>Logika Demokrasi: Menyongsong Pemilihan Umum 2014 (Edisi Kedua)</t>
  </si>
  <si>
    <t>Merphin Panjaitan</t>
  </si>
  <si>
    <t>Permata Aksara</t>
  </si>
  <si>
    <t>0-8020-5007-7</t>
  </si>
  <si>
    <t>306445 JOY c</t>
  </si>
  <si>
    <t>Canada's Official Languages The Progress of Bilingualism</t>
  </si>
  <si>
    <t>Richard. J.Joy</t>
  </si>
  <si>
    <t>University Of Toronto Press</t>
  </si>
  <si>
    <t>306.BAL c</t>
  </si>
  <si>
    <t>The Chaos of Cults</t>
  </si>
  <si>
    <t>Jan Karel Van Baalen</t>
  </si>
  <si>
    <t>WM. B. Eerdmans Publishing Company</t>
  </si>
  <si>
    <t>306.440.89 WEN c</t>
  </si>
  <si>
    <t>The Cultural Factor In Bible Translation: A Study of Communication the Word of God In a Central African Cultural Context (UBS Monograph Series, No. 2)</t>
  </si>
  <si>
    <t>Ernst Wendland</t>
  </si>
  <si>
    <t>306.440.89 BAH b</t>
  </si>
  <si>
    <t>Bahasa-bahasa di Indonesia</t>
  </si>
  <si>
    <t>SIL International Cabang Indonesia Branch</t>
  </si>
  <si>
    <t>306.44 LOW s</t>
  </si>
  <si>
    <t>Sociolinguistics and Communication: UBS Monongraph Series, No 1</t>
  </si>
  <si>
    <t>0-8267-0457-3</t>
  </si>
  <si>
    <t xml:space="preserve">306.44 DIS </t>
  </si>
  <si>
    <t>Discourse Perspectives on Hebrew Poetry in the Scriptures</t>
  </si>
  <si>
    <t>Ernst R. Wendland (Editor)</t>
  </si>
  <si>
    <t>0-7134-3219-5</t>
  </si>
  <si>
    <t xml:space="preserve">306.44 BEL </t>
  </si>
  <si>
    <t>Sociolinguistics (Goals, Approaches and Problems)</t>
  </si>
  <si>
    <t>Roger T. Bell</t>
  </si>
  <si>
    <t>B.T. Batsford LTD</t>
  </si>
  <si>
    <t>978-0-664-22295-6</t>
  </si>
  <si>
    <t>306.09 MAL n</t>
  </si>
  <si>
    <t>The New Testament World: Insight from Cultural Anthropology (Third Edition, Revised and Expanded)</t>
  </si>
  <si>
    <t>Bruce  J. Malina</t>
  </si>
  <si>
    <t>979-770-036-2</t>
  </si>
  <si>
    <t>306. 03 HER s</t>
  </si>
  <si>
    <t>Gay dan Lesbi</t>
  </si>
  <si>
    <t>Herlianto</t>
  </si>
  <si>
    <t>YABINA</t>
  </si>
  <si>
    <t>0-8018-1654-8</t>
  </si>
  <si>
    <t>306 MEN t</t>
  </si>
  <si>
    <t>The tenth Generation</t>
  </si>
  <si>
    <t>George E. Mendenhall</t>
  </si>
  <si>
    <t>306 COR k</t>
  </si>
  <si>
    <t>Kebudayaan Suku Mentawai</t>
  </si>
  <si>
    <t>Stefano Coronese</t>
  </si>
  <si>
    <t>Penerbit Grafidian Jaya Jakarta</t>
  </si>
  <si>
    <t>305.8 SEA i</t>
  </si>
  <si>
    <t>In Search of The Present: The Bible Through Cultural Studies</t>
  </si>
  <si>
    <t>Stephen D. Moore (E)</t>
  </si>
  <si>
    <t>978-979-15802-3-6</t>
  </si>
  <si>
    <t>305.8 REN m</t>
  </si>
  <si>
    <t>Matuari wo Tonaas (Jilid I Mawanua)</t>
  </si>
  <si>
    <t>Paul Richard Renwarin</t>
  </si>
  <si>
    <t>Penerbit Cahaya Pineleng, Jakarta</t>
  </si>
  <si>
    <t>979-3731-30-3</t>
  </si>
  <si>
    <t>305.8 POE k</t>
  </si>
  <si>
    <t xml:space="preserve">Kerajaan Mori (Sejarah dari Sulawesi Tengah) </t>
  </si>
  <si>
    <t xml:space="preserve"> L. Poelinggomang</t>
  </si>
  <si>
    <t>Komunitas Bambu</t>
  </si>
  <si>
    <t>979-3381-43-4</t>
  </si>
  <si>
    <t>305.8 MAU i</t>
  </si>
  <si>
    <t>Identitas Dayak: Komodifikasi dan Politik Kebudayaan</t>
  </si>
  <si>
    <t>DR. Yekti Maunati</t>
  </si>
  <si>
    <t>Lkis Yogyakarta</t>
  </si>
  <si>
    <t xml:space="preserve">305.8 LAM </t>
  </si>
  <si>
    <t>Theories d'enseignement programme et laboratoires de languages</t>
  </si>
  <si>
    <t>Raymond Lamerand</t>
  </si>
  <si>
    <t>Labor Bruxelles dan Fernand Nathan</t>
  </si>
  <si>
    <t>305.8 KAP m</t>
  </si>
  <si>
    <t>Masyarakat Sumba dan Adat Istiadatnya</t>
  </si>
  <si>
    <t>Oc. H. Kapita</t>
  </si>
  <si>
    <t>Panitia Penerbit Naskah-naskah Kebudayaan Daerah Sumba Dewan Penata Layanan Gereja Kristen Sumba dan dicetak oleh BPK. Gunung Mulia</t>
  </si>
  <si>
    <t>305.8 KAP L</t>
  </si>
  <si>
    <t>Ludu Humba Pakangutuna</t>
  </si>
  <si>
    <t>Sumba</t>
  </si>
  <si>
    <t>I. OE.H. Kapita</t>
  </si>
  <si>
    <t>305.8 KAP l</t>
  </si>
  <si>
    <t xml:space="preserve"> L II NDAI Rukuda Da Kabihu Dangu La Pahunga Lodu</t>
  </si>
  <si>
    <t xml:space="preserve">I U.H. Kapita </t>
  </si>
  <si>
    <t>305.8 KAL s</t>
  </si>
  <si>
    <t>Sumba di dalam Jangkauan Jaman</t>
  </si>
  <si>
    <t>979-416-663-4</t>
  </si>
  <si>
    <t>305.8 FRA p</t>
  </si>
  <si>
    <t xml:space="preserve">Pengaruh Portugis Di Indonesia </t>
  </si>
  <si>
    <t>Antonio Pinto Da Franca</t>
  </si>
  <si>
    <t>1-55671-103-4</t>
  </si>
  <si>
    <t>305.8 ETH e</t>
  </si>
  <si>
    <t xml:space="preserve">Ethnologue Language of the World </t>
  </si>
  <si>
    <t>Barbara F. Grimes (Editor)</t>
  </si>
  <si>
    <t>978-1-55671-216-6</t>
  </si>
  <si>
    <t>Ethnologue Language of the World</t>
  </si>
  <si>
    <t>M. Paul Lewis (Editor)</t>
  </si>
  <si>
    <t>1-55671-104-2</t>
  </si>
  <si>
    <t xml:space="preserve">305.8 ETH </t>
  </si>
  <si>
    <t>Ethnologue languages of the world (Volume 2/ Maps and Indexes)</t>
  </si>
  <si>
    <t>0-88312-815-2</t>
  </si>
  <si>
    <t>Ethnologue  Languages of the World Twelfth Edition</t>
  </si>
  <si>
    <t>0-86892-446-6</t>
  </si>
  <si>
    <t>305.8 COU s</t>
  </si>
  <si>
    <t xml:space="preserve">Sejarah dan Kebudayaan Kerajaan Muna </t>
  </si>
  <si>
    <t>Sulawesi Tenggara</t>
  </si>
  <si>
    <t>Muna</t>
  </si>
  <si>
    <t>J. Couvreur</t>
  </si>
  <si>
    <t>978-9062-94-2</t>
  </si>
  <si>
    <t>305.48 HIG</t>
  </si>
  <si>
    <t>Really Bad Girls of the Bible Perempuan-Perempuan yang berperangai sangat buruk dalam Alkitab</t>
  </si>
  <si>
    <t>Liz Curtis Higgs</t>
  </si>
  <si>
    <t>Harvest Publication House</t>
  </si>
  <si>
    <t>305.31 COL k</t>
  </si>
  <si>
    <t>Kesempurnaan Seorang Pria</t>
  </si>
  <si>
    <t>Edwin Louis Cole</t>
  </si>
  <si>
    <t>0-415-14686-0</t>
  </si>
  <si>
    <t>305. 3 WOM</t>
  </si>
  <si>
    <t>Women, Men and Eunuchs</t>
  </si>
  <si>
    <t>Liz James (E)</t>
  </si>
  <si>
    <t xml:space="preserve">305 NUS </t>
  </si>
  <si>
    <t xml:space="preserve">Nusa, Bangsa dan Bahasa </t>
  </si>
  <si>
    <t>Prof.Dr. Edi S. Ekadjati; Drs. Ade Kosmaya dan Drs. Wilson Nadeak</t>
  </si>
  <si>
    <t>Yayasan Pustaka Wina</t>
  </si>
  <si>
    <t>978-979-15784-1-7</t>
  </si>
  <si>
    <t>303. 485 GAR n</t>
  </si>
  <si>
    <t>NIAS: Building Up Hope Tracking The Future</t>
  </si>
  <si>
    <t>Dr. phil J. Garang</t>
  </si>
  <si>
    <t>Yayasan Tanggul Bencana Indonesia, Jakarta</t>
  </si>
  <si>
    <t>978-602-03-7954-8</t>
  </si>
  <si>
    <t>302.23 KAR c</t>
  </si>
  <si>
    <t>Citizen 4.0 Menjejakan Prinsip-Prinsip Pemasaran Humanis di Era Digital</t>
  </si>
  <si>
    <t>Hermawan Kartajaya</t>
  </si>
  <si>
    <t>979-8351-06-1</t>
  </si>
  <si>
    <t>302.224.4 NAD b</t>
  </si>
  <si>
    <t>Bagaimana Menjadi Penulis yang Sukses</t>
  </si>
  <si>
    <t>Wilson Nadeak</t>
  </si>
  <si>
    <t>Yayasan Pusataka Wina</t>
  </si>
  <si>
    <t>0-674-75475-1</t>
  </si>
  <si>
    <t>302.2 SPE r</t>
  </si>
  <si>
    <t>Relevance Communication and Cognition</t>
  </si>
  <si>
    <t>Dan Sperber and Deirdre Wilson</t>
  </si>
  <si>
    <t>Harvard University Press</t>
  </si>
  <si>
    <t>979-511-370-4</t>
  </si>
  <si>
    <t xml:space="preserve">302.2 SER </t>
  </si>
  <si>
    <t>Serba-serbi Semiotika</t>
  </si>
  <si>
    <t>Panuti Sudjiman dan Aart Van Zoest</t>
  </si>
  <si>
    <t>0-88312-820-9</t>
  </si>
  <si>
    <t>302.2 GUT r</t>
  </si>
  <si>
    <t>Relevance Theory A Guide To Successful Communication In Translation</t>
  </si>
  <si>
    <t xml:space="preserve">Ernst-August Gutt </t>
  </si>
  <si>
    <t>978-602-73392-0-0</t>
  </si>
  <si>
    <t xml:space="preserve"> 270 GER</t>
  </si>
  <si>
    <t>Gereja Yang Bertumbuh Dalam Kebenaran Dan Kasih - Perayaan 60 Tahun HKBP Menteng</t>
  </si>
  <si>
    <t>HKBP - Menteng</t>
  </si>
  <si>
    <t xml:space="preserve">          305.8 ZOL l</t>
  </si>
  <si>
    <t>Lebens Baum Und Schweine Kult</t>
  </si>
  <si>
    <t>Siegfried Zollner</t>
  </si>
  <si>
    <t>Theologischer Verlag Rolf Brockhaus</t>
  </si>
  <si>
    <t>0-02-544395-x</t>
  </si>
  <si>
    <t>Who Wrote The Dead Sea Scrolls?</t>
  </si>
  <si>
    <t>Norman Golb</t>
  </si>
  <si>
    <t>Scribner</t>
  </si>
  <si>
    <t>0-912552476</t>
  </si>
  <si>
    <t>Ishmael My Brother A Biblical course on Islam</t>
  </si>
  <si>
    <t>Anne Cooper</t>
  </si>
  <si>
    <t>MARC</t>
  </si>
  <si>
    <t>978-1-57506-089-2</t>
  </si>
  <si>
    <t>299.26 OLM c</t>
  </si>
  <si>
    <t>Canaanite Religion According to the Liturgical Texts of Ugarit</t>
  </si>
  <si>
    <t>G. del Olme Lete</t>
  </si>
  <si>
    <t>90-04-12648-1</t>
  </si>
  <si>
    <t>299.155 EXE</t>
  </si>
  <si>
    <t>The Dead Sea Scrolls Reader part 2 - Exegetical Texts</t>
  </si>
  <si>
    <t>Donald W. Parry &amp; Emanuel Tov</t>
  </si>
  <si>
    <t>979-763-256-3</t>
  </si>
  <si>
    <t>297.283 NOO m</t>
  </si>
  <si>
    <t>Menuju Dialog Teologis (Kristen-Islam)</t>
  </si>
  <si>
    <t>Bambang Noorsena</t>
  </si>
  <si>
    <t xml:space="preserve">297.211 MAS </t>
  </si>
  <si>
    <t>Who Is Allah In Islam?</t>
  </si>
  <si>
    <t>Austria</t>
  </si>
  <si>
    <t xml:space="preserve">Abdal Masih </t>
  </si>
  <si>
    <t>Light of Lfe</t>
  </si>
  <si>
    <t xml:space="preserve">297.122 JAS h          </t>
  </si>
  <si>
    <t>HB Jassin Bacaan Mulia</t>
  </si>
  <si>
    <t>Kitab Suci</t>
  </si>
  <si>
    <t>HB Jassin</t>
  </si>
  <si>
    <t>Djambatan</t>
  </si>
  <si>
    <t>0-377-36221-2</t>
  </si>
  <si>
    <t>297 TAY w</t>
  </si>
  <si>
    <t>The World of Islam</t>
  </si>
  <si>
    <t>978-0-8028-6600-4</t>
  </si>
  <si>
    <t>297 ALL</t>
  </si>
  <si>
    <t>Islam A Short Guide to The Faith</t>
  </si>
  <si>
    <t>roger Allen &amp; Shawkat M. Toorawa (E)</t>
  </si>
  <si>
    <t>978-0-8028-2887-3</t>
  </si>
  <si>
    <t>296.815 COL b</t>
  </si>
  <si>
    <t>Beyond the Qumran Community: The Sectarian Movement of the Dead Sea Scrolls</t>
  </si>
  <si>
    <t xml:space="preserve">John J. Collins dan Daniel C. Harlow </t>
  </si>
  <si>
    <t>296.812 FIN p</t>
  </si>
  <si>
    <t>The Pharisees and The Teacher of Nazareth</t>
  </si>
  <si>
    <t xml:space="preserve">Asher Finkel </t>
  </si>
  <si>
    <t>Tuta Subaegide Pallas</t>
  </si>
  <si>
    <t>0-89130-639-0</t>
  </si>
  <si>
    <t>296.8'1 BLA</t>
  </si>
  <si>
    <t>The Scrolls and Christian Origins</t>
  </si>
  <si>
    <t>296.67 ROW i</t>
  </si>
  <si>
    <t>Ibadat Israel Kuna</t>
  </si>
  <si>
    <t>H.H. Rowley</t>
  </si>
  <si>
    <t>0-415-19695-7</t>
  </si>
  <si>
    <t>296.6 KAL s</t>
  </si>
  <si>
    <t>The Sage in Jewish Society of Late Antiquity</t>
  </si>
  <si>
    <t>Richard Kalmin</t>
  </si>
  <si>
    <t>296.491 SEC</t>
  </si>
  <si>
    <t>The Second Temple</t>
  </si>
  <si>
    <t>0-8254-2697-9</t>
  </si>
  <si>
    <t>296.491 GAR s</t>
  </si>
  <si>
    <t>The Splendor of The Temple</t>
  </si>
  <si>
    <t>Alec Garrard</t>
  </si>
  <si>
    <t>0-8024-5175-6</t>
  </si>
  <si>
    <t>296.49 WIG m</t>
  </si>
  <si>
    <t>Manners and Customs of Bible Lands</t>
  </si>
  <si>
    <t>Fred H. Wight</t>
  </si>
  <si>
    <t>0-931464-83-8</t>
  </si>
  <si>
    <t>296.4'9 VAN</t>
  </si>
  <si>
    <t>The Urim and Thummim</t>
  </si>
  <si>
    <t>Cornelis Van Dam</t>
  </si>
  <si>
    <t>1-57506-101-5</t>
  </si>
  <si>
    <t>296.4'9 GAN c</t>
  </si>
  <si>
    <t>Cult and Character</t>
  </si>
  <si>
    <t>Roy E. Gane</t>
  </si>
  <si>
    <t>965-478-01-6</t>
  </si>
  <si>
    <t xml:space="preserve">296.482 TAN </t>
  </si>
  <si>
    <t xml:space="preserve">Tanah Air Alkitab Napak Tilas di Tanah Suci </t>
  </si>
  <si>
    <t xml:space="preserve">Dr. Randall D. Smith </t>
  </si>
  <si>
    <t xml:space="preserve">DOKO Entertaiment </t>
  </si>
  <si>
    <t>965-280-077-5</t>
  </si>
  <si>
    <t>296.482 DEA</t>
  </si>
  <si>
    <t>The Dead Sea</t>
  </si>
  <si>
    <t>Palphot LTD</t>
  </si>
  <si>
    <t>0-00-255851-3</t>
  </si>
  <si>
    <t>296.482 ARM h</t>
  </si>
  <si>
    <t>A History of Jerusalem: One City, Three Faiths</t>
  </si>
  <si>
    <t>Karen Armstrong</t>
  </si>
  <si>
    <t>1-57506-076-0</t>
  </si>
  <si>
    <t>296.481 GIB j</t>
  </si>
  <si>
    <t>Jerusalem in Original Photographs 1850-1920</t>
  </si>
  <si>
    <t>Shirman Gibson</t>
  </si>
  <si>
    <t>296.4 SIN d</t>
  </si>
  <si>
    <t xml:space="preserve">Dari Israel Ke Asia </t>
  </si>
  <si>
    <t xml:space="preserve">E.G. Singgih </t>
  </si>
  <si>
    <t>0-253-20538-7</t>
  </si>
  <si>
    <t>296.4 HOF</t>
  </si>
  <si>
    <t>Beyond the Text A Holistic Approach to Liturgy</t>
  </si>
  <si>
    <t>Lawrence A. Hoftman</t>
  </si>
  <si>
    <t>978-0-8028-6298-3</t>
  </si>
  <si>
    <t>296.4 DON w</t>
  </si>
  <si>
    <t>What Did the Ancient Israelites Eat?</t>
  </si>
  <si>
    <t>Nathan Mac Donald</t>
  </si>
  <si>
    <t>979-8394-77-1</t>
  </si>
  <si>
    <t>296.396 FAT s</t>
  </si>
  <si>
    <t>Sejarah Bangsa Israel dalam Bibel dan Al-Quran Sebuah Penelitian Islamic Archaeology</t>
  </si>
  <si>
    <t xml:space="preserve">Dr. Louay Fatoohi dan Prof. Shetha Al-Dargazelli </t>
  </si>
  <si>
    <t>Mizan</t>
  </si>
  <si>
    <t>9-781842-931967</t>
  </si>
  <si>
    <t>296.336 FEA s</t>
  </si>
  <si>
    <t>The Secret Initiation of Jesus at Qumran</t>
  </si>
  <si>
    <t>Robert Feather</t>
  </si>
  <si>
    <t>Watkins Publishing</t>
  </si>
  <si>
    <t>965-280-072-4</t>
  </si>
  <si>
    <t>296.31173 ISR</t>
  </si>
  <si>
    <t>Israel Pictorial Guide &amp; Souvenir</t>
  </si>
  <si>
    <t>296.3117 WAH h</t>
  </si>
  <si>
    <t>Dua Studi Tentang Hubungan Tuhan dan Israel</t>
  </si>
  <si>
    <t>S. Wismoady Wahono, Ph. D.</t>
  </si>
  <si>
    <t>978-0-19-516768-6</t>
  </si>
  <si>
    <t>296.311 SMI</t>
  </si>
  <si>
    <t>The Origins of Biblical Monotheism</t>
  </si>
  <si>
    <t>978-0-8028-6625-7</t>
  </si>
  <si>
    <t>296.3 COL o</t>
  </si>
  <si>
    <t>The "Other" in Second Temple Judaism</t>
  </si>
  <si>
    <t>978-979-1275-38-5</t>
  </si>
  <si>
    <t>296.155 WIS n</t>
  </si>
  <si>
    <t>Naskah Laut Mati</t>
  </si>
  <si>
    <t>Michael Wise, dkk</t>
  </si>
  <si>
    <t>Serambi</t>
  </si>
  <si>
    <t>296.155 VER d</t>
  </si>
  <si>
    <t>The Dead Sea Scrolls in English</t>
  </si>
  <si>
    <t>G. Vermes</t>
  </si>
  <si>
    <t>PENGUIN BOOKS</t>
  </si>
  <si>
    <t>978-0-8028-6435-2</t>
  </si>
  <si>
    <t>296.155 VAN d</t>
  </si>
  <si>
    <t>The Dead Sea Scrolls Today</t>
  </si>
  <si>
    <t>James C. Vanderkam</t>
  </si>
  <si>
    <t>0-06-068465-8</t>
  </si>
  <si>
    <t>296.155 VAN</t>
  </si>
  <si>
    <t>The Meaning of The Dead Sea Scrolls</t>
  </si>
  <si>
    <t>James Vanderkam &amp; Peter Flint</t>
  </si>
  <si>
    <t>Harper San Francisco</t>
  </si>
  <si>
    <t>978-0-8028-4976-2</t>
  </si>
  <si>
    <t>296.155 SCH q</t>
  </si>
  <si>
    <t>Qumran and Jerusalem Studies in  The Dead Sea Scrolls And The History of Judaism</t>
  </si>
  <si>
    <t>Lawrence H. Schiffman</t>
  </si>
  <si>
    <t>90-04-12650-3</t>
  </si>
  <si>
    <t>296.155 PAR t</t>
  </si>
  <si>
    <t xml:space="preserve">The Dead Sea Scrolls Reader Text Concerned with religious Law </t>
  </si>
  <si>
    <t>978-0-8028-4384-5</t>
  </si>
  <si>
    <t>296.155 KAM w</t>
  </si>
  <si>
    <t>Wisdom Literature</t>
  </si>
  <si>
    <t>John Kampen</t>
  </si>
  <si>
    <t>978-0-8028-4009-7</t>
  </si>
  <si>
    <t>296.155 GRO</t>
  </si>
  <si>
    <t>Rediscovering The Dead Sea Scrolls</t>
  </si>
  <si>
    <t>Maxine L. Grossman (ed)</t>
  </si>
  <si>
    <t>0-8028-4380-8</t>
  </si>
  <si>
    <t>296.155 DAV l</t>
  </si>
  <si>
    <t>Liturgical Works</t>
  </si>
  <si>
    <t>James R. Davila</t>
  </si>
  <si>
    <t>0-8028-3988</t>
  </si>
  <si>
    <t>296.1'55 CHA p</t>
  </si>
  <si>
    <t>The Pesharim and Qumran History Chaos or Consesus?</t>
  </si>
  <si>
    <t xml:space="preserve">James H. Charlesworth </t>
  </si>
  <si>
    <t>296.155 BUR d</t>
  </si>
  <si>
    <t>The Dead Sea Scrolls</t>
  </si>
  <si>
    <t>Millar Burrows</t>
  </si>
  <si>
    <t>The Viking Press</t>
  </si>
  <si>
    <t>0-8028-1026-8</t>
  </si>
  <si>
    <t>296.155 BRU s</t>
  </si>
  <si>
    <t>Second Thoughts on the Dead Sea Scrolls</t>
  </si>
  <si>
    <t>0-8028-4589-4</t>
  </si>
  <si>
    <t>296.1'55 a MAG</t>
  </si>
  <si>
    <t>The Archaelogy of Qumran and The Dead Sea Scrolls</t>
  </si>
  <si>
    <t>978-0-8028-4740-9</t>
  </si>
  <si>
    <t>296.1 CRA</t>
  </si>
  <si>
    <t xml:space="preserve">Rewriting Scripture in Second Temple Times </t>
  </si>
  <si>
    <t xml:space="preserve">Sidnie White Crawford </t>
  </si>
  <si>
    <t>Willia</t>
  </si>
  <si>
    <t>978-979-687-797-3</t>
  </si>
  <si>
    <t>296.09 KIN k</t>
  </si>
  <si>
    <t xml:space="preserve">Life In Biblical Israel Kehidupan Orang Israel Alkitabiah </t>
  </si>
  <si>
    <t>Philip J. King dan Lawrence E. Stager</t>
  </si>
  <si>
    <t>0-8006-1692-8</t>
  </si>
  <si>
    <t>296.09 JAG h</t>
  </si>
  <si>
    <t>A History of Israel in the Old Testament Period</t>
  </si>
  <si>
    <t>H. Jagersma</t>
  </si>
  <si>
    <t>978-0-8028-6922-7</t>
  </si>
  <si>
    <t>296.09 COL e</t>
  </si>
  <si>
    <t>Early Judaism A Comprehensive Overview</t>
  </si>
  <si>
    <t>978-6028-04289-5</t>
  </si>
  <si>
    <t>296.09 AVN a</t>
  </si>
  <si>
    <t>Anak Kunci Israel yang Hilang di Indonesia</t>
  </si>
  <si>
    <t>Pustaka Solomon</t>
  </si>
  <si>
    <t>978-0-9654029-4-1</t>
  </si>
  <si>
    <t>296.07 HEN a</t>
  </si>
  <si>
    <t>Ancient Scale Weights And Pre - Coinage Currency Of The Near East</t>
  </si>
  <si>
    <t>David Hendin</t>
  </si>
  <si>
    <t>Amphora, New York</t>
  </si>
  <si>
    <t>978-0-8028-6679-0</t>
  </si>
  <si>
    <t>296. 155 VAN d</t>
  </si>
  <si>
    <t>The dead Sea Scrolls and The Bible</t>
  </si>
  <si>
    <t>0-8028-4641-6</t>
  </si>
  <si>
    <t>296. 09 VAN i</t>
  </si>
  <si>
    <t>An Introduction to Early Judaism</t>
  </si>
  <si>
    <t>978-979-9290-08-3</t>
  </si>
  <si>
    <t>296 VRI a</t>
  </si>
  <si>
    <t>Agama Israel Kuno</t>
  </si>
  <si>
    <t>Th. C. Vriezen</t>
  </si>
  <si>
    <t>296 VAU a</t>
  </si>
  <si>
    <t xml:space="preserve">Ancient Israel its Life and Institutions </t>
  </si>
  <si>
    <t>Roland De Vaux</t>
  </si>
  <si>
    <t>Darton Longman &amp; Todd, London</t>
  </si>
  <si>
    <t>978-0-8028-6636-3</t>
  </si>
  <si>
    <t>296 STO a</t>
  </si>
  <si>
    <t>Ancient Judaism New Visions and View</t>
  </si>
  <si>
    <t>Michael E. Stone</t>
  </si>
  <si>
    <t>220.the 92 SWI  y</t>
  </si>
  <si>
    <t>Seorang yang Berintegritas &amp; Pengampun Yusuf</t>
  </si>
  <si>
    <t>978-3-940743-60-2</t>
  </si>
  <si>
    <t>296 SCH j</t>
  </si>
  <si>
    <t>Judaa Und Jerusalem</t>
  </si>
  <si>
    <t>Jurgen Schefzyk / Wolfgang Zwickel</t>
  </si>
  <si>
    <t>Bibelhaus</t>
  </si>
  <si>
    <t>296 SCH h</t>
  </si>
  <si>
    <t>A History of the Jewish People in the Time of Jesus Christ</t>
  </si>
  <si>
    <t>Emil Schurer</t>
  </si>
  <si>
    <t>978-0-8028-6444-4</t>
  </si>
  <si>
    <t>296 OEG e</t>
  </si>
  <si>
    <t>Early Judaism &amp; Modern Culture Literature &amp; Theology</t>
  </si>
  <si>
    <t>Gerbern S. Oegema</t>
  </si>
  <si>
    <t>1-931230-07-2</t>
  </si>
  <si>
    <t>296 MOR i</t>
  </si>
  <si>
    <t xml:space="preserve">Islamic Invasion </t>
  </si>
  <si>
    <t>Robert Morey</t>
  </si>
  <si>
    <t>Oversias Ministry</t>
  </si>
  <si>
    <t>0-664-21262-x</t>
  </si>
  <si>
    <t>296 MIL h</t>
  </si>
  <si>
    <t>A History of Ancient Israel and Judah</t>
  </si>
  <si>
    <t>J. Maxwell Miller and John H. Hayes</t>
  </si>
  <si>
    <t>978-0-8028-3932-9</t>
  </si>
  <si>
    <t>296 DUN b</t>
  </si>
  <si>
    <t>Christianity In The Making Volume 2 Beginning from Jerusalem</t>
  </si>
  <si>
    <t>James D. G. Dunn</t>
  </si>
  <si>
    <t>978-0-8308-2545-5</t>
  </si>
  <si>
    <t>296 CHA e</t>
  </si>
  <si>
    <t xml:space="preserve">Exploring the Religion of Ancient Israel </t>
  </si>
  <si>
    <t xml:space="preserve">Aaron Chalmers </t>
  </si>
  <si>
    <t xml:space="preserve">IVP Academic </t>
  </si>
  <si>
    <t>978-0-473-40596-0</t>
  </si>
  <si>
    <t>294.5 HAR</t>
  </si>
  <si>
    <t>Light for Life</t>
  </si>
  <si>
    <t>New Zealand</t>
  </si>
  <si>
    <t>Maurice Lorraine &amp; Harvey</t>
  </si>
  <si>
    <t>294 HAD a</t>
  </si>
  <si>
    <t>Agama Hidu dan Buddha</t>
  </si>
  <si>
    <t>Dr. Harun Hadiwijono</t>
  </si>
  <si>
    <t>0-8267-0034-9</t>
  </si>
  <si>
    <t>291.82 HOD f</t>
  </si>
  <si>
    <t>From One Medium to Another Basic Issues for Communicating the Scriptures in New Media</t>
  </si>
  <si>
    <t>Robert Hodgson dan Paul A. Soukup, S.J.</t>
  </si>
  <si>
    <t>0--85364-741-0</t>
  </si>
  <si>
    <t>291.82 GRE s</t>
  </si>
  <si>
    <t>0-8066-2280-6</t>
  </si>
  <si>
    <t>291.72 SCH</t>
  </si>
  <si>
    <t>Gospel, Church, &amp; Kingdom</t>
  </si>
  <si>
    <t>James A. Scherer</t>
  </si>
  <si>
    <t>Augsburg Publishing House</t>
  </si>
  <si>
    <t>3-579-04230-0</t>
  </si>
  <si>
    <t xml:space="preserve">291.7 SCH </t>
  </si>
  <si>
    <t>Telah Kudengar dari ayahku: Perjumpaan Adat dengan Iman Kristen di Tanah Batak</t>
  </si>
  <si>
    <t>Lothar Schreiner</t>
  </si>
  <si>
    <t>1-870345-13-4</t>
  </si>
  <si>
    <t>291.7 SAM m</t>
  </si>
  <si>
    <t>Mission as Transformation</t>
  </si>
  <si>
    <t>Vinay Samuel &amp; Chris Sugden</t>
  </si>
  <si>
    <t>Regnum Books International</t>
  </si>
  <si>
    <t>291.7 PED d</t>
  </si>
  <si>
    <t>Darah Batak dan Jiwa Protestan</t>
  </si>
  <si>
    <t>Paul B. Pedersen</t>
  </si>
  <si>
    <t xml:space="preserve">291.7 MAH </t>
  </si>
  <si>
    <t>Sejarah Gereja Kristen Protestan Aceh (GKP Aceh) dan Prosesnya</t>
  </si>
  <si>
    <t>Pdt. Drs. Johannes Mahmud</t>
  </si>
  <si>
    <t>GKP Aceh</t>
  </si>
  <si>
    <t>3087476-338-2</t>
  </si>
  <si>
    <t>291.7 BEY b</t>
  </si>
  <si>
    <t>Bali-Fajar Pagi Dunia: Injil dan Gereja di Pulau Bali</t>
  </si>
  <si>
    <t>Dr. Ulrich Beyer</t>
  </si>
  <si>
    <t>Gereja Kristen Protestan di Bali kerjasama dengan Departemen Literatur YPPII</t>
  </si>
  <si>
    <t>291.7 AYU s</t>
  </si>
  <si>
    <t>Sejarah Gereja Bali Dalam Tahap Permulaan</t>
  </si>
  <si>
    <t>I. Ketut Suyaga Ayub, S.Th.</t>
  </si>
  <si>
    <t xml:space="preserve">Departemen Literatur YPPII </t>
  </si>
  <si>
    <t>979-687-020-7</t>
  </si>
  <si>
    <t>291.61 ROT f</t>
  </si>
  <si>
    <t>Firman-Ku Seperti Api  (Para Nabi Israel)</t>
  </si>
  <si>
    <t xml:space="preserve">291.56 BRO </t>
  </si>
  <si>
    <t>Pengambilan Keputusan Etis dan Faktor-Faktor di Dalamnya</t>
  </si>
  <si>
    <t>Malcolm Brownlee</t>
  </si>
  <si>
    <t>978-979-26-0050-6</t>
  </si>
  <si>
    <t>291.42 YAS</t>
  </si>
  <si>
    <t>Perempuan Sumber Dosa?</t>
  </si>
  <si>
    <t>Dr. Penka Yasua</t>
  </si>
  <si>
    <t>DIOMA</t>
  </si>
  <si>
    <t>981 220 320 6</t>
  </si>
  <si>
    <t>291.42 DIA</t>
  </si>
  <si>
    <t>Dia Menjamah Saya</t>
  </si>
  <si>
    <t>The Bible Society Of Singapore</t>
  </si>
  <si>
    <t>291.4 MAB  g</t>
  </si>
  <si>
    <t>God Spoke Tibetan</t>
  </si>
  <si>
    <t>Maberly</t>
  </si>
  <si>
    <t>Pacific Press Publishing</t>
  </si>
  <si>
    <t>291.4 ABE s</t>
  </si>
  <si>
    <t>Suatu Partisipasi</t>
  </si>
  <si>
    <t xml:space="preserve">M.Abednego </t>
  </si>
  <si>
    <t>291.37 MUN a</t>
  </si>
  <si>
    <t>Apakah Terdapat Sandi-Sandi Tersembunyi dalam Alkitab?</t>
  </si>
  <si>
    <t>0-8018-2218-1</t>
  </si>
  <si>
    <t xml:space="preserve">291.34 GIR </t>
  </si>
  <si>
    <t>Violence And The Sacred</t>
  </si>
  <si>
    <t xml:space="preserve"> The John Hopkins Press</t>
  </si>
  <si>
    <t>979-687-137-8</t>
  </si>
  <si>
    <t>291.3 ROW i</t>
  </si>
  <si>
    <t>Ibadat Israel Kuno</t>
  </si>
  <si>
    <t>291.23 BRA</t>
  </si>
  <si>
    <t>The Judgment of The Dead</t>
  </si>
  <si>
    <t>S. G. F. Brandon</t>
  </si>
  <si>
    <t>Charles Scribner's Sons</t>
  </si>
  <si>
    <t>0567-086879</t>
  </si>
  <si>
    <t>291.22 PAN a</t>
  </si>
  <si>
    <t>Anthropology in Theological Perspective</t>
  </si>
  <si>
    <t>Wolfhart Pannenberg</t>
  </si>
  <si>
    <t>T &amp; T Edinburgh</t>
  </si>
  <si>
    <t>1-57506-069-8</t>
  </si>
  <si>
    <t>291.2'1109 GRE s</t>
  </si>
  <si>
    <t>The Storm- God in the Ancient Near East</t>
  </si>
  <si>
    <t>Alberto R. W. Green</t>
  </si>
  <si>
    <t>0-300-03008-8</t>
  </si>
  <si>
    <t>291.211 KEE  m</t>
  </si>
  <si>
    <t xml:space="preserve">Miracle in the Early Christian World </t>
  </si>
  <si>
    <t>979-504-058-8</t>
  </si>
  <si>
    <t>291.2 APA</t>
  </si>
  <si>
    <t>Apa yang Anda perlu Ketahui tentang 27 uraian Doktrin Dasar Alkitabiah</t>
  </si>
  <si>
    <t>Eddy E. Saerang, MA</t>
  </si>
  <si>
    <t>Indonesia Publishing House</t>
  </si>
  <si>
    <t>291.17 NID r</t>
  </si>
  <si>
    <t>Religion Across Cultures: A Study in the Communication of Christian Faith</t>
  </si>
  <si>
    <t>Religion Across Cultures</t>
  </si>
  <si>
    <t xml:space="preserve">291.17 MEL </t>
  </si>
  <si>
    <t>Melihat Tanda-Tanda Jaman</t>
  </si>
  <si>
    <t>978-979-687-337-1</t>
  </si>
  <si>
    <t>291.17 KRU k</t>
  </si>
  <si>
    <t>Keluar Dari Agama Suku Masuk ke Agama Kristen</t>
  </si>
  <si>
    <t>A. C. Kruyt</t>
  </si>
  <si>
    <t>0-521-31596-4</t>
  </si>
  <si>
    <t>291.1 LEW r</t>
  </si>
  <si>
    <t xml:space="preserve">Religion In Context Cults and Charisma </t>
  </si>
  <si>
    <t>I.M. Lewis</t>
  </si>
  <si>
    <t>291.1 KWE m</t>
  </si>
  <si>
    <t>Mitologi China &amp; Kisah Alkitab</t>
  </si>
  <si>
    <t>J. S. Kwek</t>
  </si>
  <si>
    <t>291.1 BAV t</t>
  </si>
  <si>
    <t>The Church Between Temple And Mosque</t>
  </si>
  <si>
    <t>J. H. Bavinck</t>
  </si>
  <si>
    <t>979-9290-31-7</t>
  </si>
  <si>
    <t>291 HIC m</t>
  </si>
  <si>
    <t>Mitos Keunikan Agama Kristen</t>
  </si>
  <si>
    <t>John Hick dan Paul F. Knitter</t>
  </si>
  <si>
    <t>978-602-231-473-8</t>
  </si>
  <si>
    <t>291 DOE</t>
  </si>
  <si>
    <t xml:space="preserve">Nabi Musa Tafsir Indonesia Terhadap Pendiri Utama Keimanan Israel </t>
  </si>
  <si>
    <t>Dr. Fredrik Y. A. Doeka, MA</t>
  </si>
  <si>
    <t>290.9 WIJ  l</t>
  </si>
  <si>
    <t>Love is Not Blind</t>
  </si>
  <si>
    <t>Budiman Wijaya</t>
  </si>
  <si>
    <t>Gil Publisher</t>
  </si>
  <si>
    <t>0-310-24490-0</t>
  </si>
  <si>
    <t xml:space="preserve">289.9 VAR </t>
  </si>
  <si>
    <t>How Jewish Is Christianity?</t>
  </si>
  <si>
    <t>John Fischer, et al.</t>
  </si>
  <si>
    <t>978-979-21-1715-8</t>
  </si>
  <si>
    <t>289 KRI s</t>
  </si>
  <si>
    <t>Selilit Sang Nabi (Bisik-bisik tentang Aliran Sesat)</t>
  </si>
  <si>
    <t>Eddy Kristiyanto, OFM</t>
  </si>
  <si>
    <t>287 IRI g</t>
  </si>
  <si>
    <t>Gerakan Kharismatik Apakah Itu?</t>
  </si>
  <si>
    <t>L. Sugiri S. J.; J.J. Matulessy S. Th., S.H.; Dr. R. Budiman; Dr. J.A.B. Jongeneel; Dr. J.L. Ch. Abineno</t>
  </si>
  <si>
    <t>979-687-207-2</t>
  </si>
  <si>
    <t>287 DAU m</t>
  </si>
  <si>
    <t xml:space="preserve">Mengenal Gereja Methodist Indonesia </t>
  </si>
  <si>
    <t xml:space="preserve">Pdt. Dr. Richard M. Daulay </t>
  </si>
  <si>
    <t>285  MAJ t</t>
  </si>
  <si>
    <t>Tata Gereja GPIB - Buku III</t>
  </si>
  <si>
    <t>Majelis Sinode GPIB Jl. Medan Merdeka  Timur 10, Jkt</t>
  </si>
  <si>
    <t>979-3292-01-6</t>
  </si>
  <si>
    <t>284.2 KUY l</t>
  </si>
  <si>
    <t>Lectures On Calvinism (Ceramah-Ceramah Mengenai Calvinisme)</t>
  </si>
  <si>
    <t xml:space="preserve">Abraham Kuyper </t>
  </si>
  <si>
    <t>0-300-08812-4</t>
  </si>
  <si>
    <t>284.2 BEN c</t>
  </si>
  <si>
    <t>Christ's Churches Purely Reformed A Social History of Calvinism</t>
  </si>
  <si>
    <t>Philip Benedict</t>
  </si>
  <si>
    <t>979-565-241-9</t>
  </si>
  <si>
    <t>282.092 PIL b</t>
  </si>
  <si>
    <t xml:space="preserve">Berperilaku Katolik Uskup Agung Daniel E. Pilarczyk </t>
  </si>
  <si>
    <t xml:space="preserve">Daniel E. Pilarczyk </t>
  </si>
  <si>
    <t xml:space="preserve">Obor </t>
  </si>
  <si>
    <t>979-672-681-5</t>
  </si>
  <si>
    <t>282 RAU k</t>
  </si>
  <si>
    <t>Katolisisme Teologi bagi Kaum Awam</t>
  </si>
  <si>
    <t xml:space="preserve">Thomas  P. Rausch </t>
  </si>
  <si>
    <t>979-687-062-2</t>
  </si>
  <si>
    <t xml:space="preserve">281 WES </t>
  </si>
  <si>
    <t>Arab dan Kristen Gereja-gereja Kristen di Timur Tengah</t>
  </si>
  <si>
    <t>Anton Wessels</t>
  </si>
  <si>
    <t>979-95810-0-1</t>
  </si>
  <si>
    <t>280.4 PRA  p</t>
  </si>
  <si>
    <t>Pergulatan dan Kontekstualisasi Pemikiran Protestan Indonesia</t>
  </si>
  <si>
    <t xml:space="preserve"> Pramudianto, S. Th, S.E. dan Pdt. Martin L. Sinaga. M.Th.</t>
  </si>
  <si>
    <t>Sekolah Tinggi Teologi Jakarta</t>
  </si>
  <si>
    <t>978-979-415-796-1</t>
  </si>
  <si>
    <t xml:space="preserve">280 ARI </t>
  </si>
  <si>
    <t xml:space="preserve">Berbagai Aliran di Dalam dan di Sekitar Gereja </t>
  </si>
  <si>
    <t>Pdt. DR Jan S. Aritonang</t>
  </si>
  <si>
    <t>979-9290-58-9</t>
  </si>
  <si>
    <t>275.98 UKU t</t>
  </si>
  <si>
    <t>Tuaiannya Sungguh Banyak (Sejarah Gereja Kalimantan Evangelis Sejak Tahun 1835)</t>
  </si>
  <si>
    <t>979- 415-522-5</t>
  </si>
  <si>
    <t>275.98 HAI s</t>
  </si>
  <si>
    <t>Sifat dan Pergumulan Gereja Halmahera 1941-1979</t>
  </si>
  <si>
    <t>Prof. Dr. James Haire</t>
  </si>
  <si>
    <t>0-15-565726-7</t>
  </si>
  <si>
    <t>275.04 PER n</t>
  </si>
  <si>
    <t>The New Testament An Introduction  Second Edition</t>
  </si>
  <si>
    <t>Norman Perrin</t>
  </si>
  <si>
    <t>Harcourt Brace Jovanovich, Inc</t>
  </si>
  <si>
    <t>275 TOW c</t>
  </si>
  <si>
    <t>The Churches of China: Taking Root Downward Bearing Fruit Upward (Second Edition Revised)</t>
  </si>
  <si>
    <t>Britt E. Towery, Jr.</t>
  </si>
  <si>
    <t>Long Dragon Books</t>
  </si>
  <si>
    <t>273.7  HAR  p</t>
  </si>
  <si>
    <t>Pietisme Di Eropa dan Pengaruhnya Di Indonesia</t>
  </si>
  <si>
    <t>Christ Hartono</t>
  </si>
  <si>
    <t>979-763-449-3</t>
  </si>
  <si>
    <t>272.9 CHA  f</t>
  </si>
  <si>
    <t xml:space="preserve">Foxe's Book Of Martyrs </t>
  </si>
  <si>
    <t xml:space="preserve">Teologi                                                  </t>
  </si>
  <si>
    <t xml:space="preserve">Harold J. Chadwick </t>
  </si>
  <si>
    <t xml:space="preserve">ANDI </t>
  </si>
  <si>
    <t>272 COO b</t>
  </si>
  <si>
    <t>Benih Yang Tumbuh 11 - Gereja Masehi Injili Timor</t>
  </si>
  <si>
    <t>Dr. Frank L. Cooley</t>
  </si>
  <si>
    <t>Arnoldus, Ende, Flores</t>
  </si>
  <si>
    <t>0-415-15656-4</t>
  </si>
  <si>
    <t>271.9 GIL g</t>
  </si>
  <si>
    <t>Gender and Material Culture</t>
  </si>
  <si>
    <t>Roberta Gilchrist</t>
  </si>
  <si>
    <t>271.303 PRI f</t>
  </si>
  <si>
    <t>Fioretti dan Lima Renungan Tentang Stigmata Suci</t>
  </si>
  <si>
    <t>Francis</t>
  </si>
  <si>
    <t xml:space="preserve">Leo Sherley-Price </t>
  </si>
  <si>
    <t>Sekafi</t>
  </si>
  <si>
    <t>270.82 HER g</t>
  </si>
  <si>
    <t>Gereja Modern (Mau Kemana?)</t>
  </si>
  <si>
    <t>a</t>
  </si>
  <si>
    <t xml:space="preserve">270.82 GER </t>
  </si>
  <si>
    <t>Gereja-Gereja Memasuki Dasawarsa 80-an</t>
  </si>
  <si>
    <t>Dewan Gereja-Gereja di Indonesia</t>
  </si>
  <si>
    <t>979-415-463-6</t>
  </si>
  <si>
    <t xml:space="preserve">270.82 DAL </t>
  </si>
  <si>
    <t>Dalam Kemantapan Kebersamaan Menapaki Dekade Penuh Harapan (Lima Dokumen Kesaan Gereja)</t>
  </si>
  <si>
    <t>Persekutuan Gereja-gereja di Indonesia</t>
  </si>
  <si>
    <t>91-970355-9-9</t>
  </si>
  <si>
    <t>270.81 PET c</t>
  </si>
  <si>
    <t>Church and Social Cxhange</t>
  </si>
  <si>
    <t>Swedia</t>
  </si>
  <si>
    <t>Petur Petursson</t>
  </si>
  <si>
    <t>Plus Ultra</t>
  </si>
  <si>
    <t>978-1-4335-4531-4</t>
  </si>
  <si>
    <t>270.6 REE w</t>
  </si>
  <si>
    <t xml:space="preserve">Why the Reformation Still Matters </t>
  </si>
  <si>
    <t xml:space="preserve">Michael Reeves </t>
  </si>
  <si>
    <t xml:space="preserve">Crossway </t>
  </si>
  <si>
    <t>602-8165-37-9</t>
  </si>
  <si>
    <t>270.2092 CAR</t>
  </si>
  <si>
    <t xml:space="preserve">Biografi Tokoh Kristen "Augustinus dari Hippo" </t>
  </si>
  <si>
    <t>Biografi</t>
  </si>
  <si>
    <t>270.092 DOL e</t>
  </si>
  <si>
    <t xml:space="preserve">The Essential Erasmus </t>
  </si>
  <si>
    <t xml:space="preserve">John P.Dolan </t>
  </si>
  <si>
    <t>A Mentor Book from. New USAn Library</t>
  </si>
  <si>
    <t>270.09 SAN k</t>
  </si>
  <si>
    <t>Kepemimpinan Rohani</t>
  </si>
  <si>
    <t>J. Oswald Sanders</t>
  </si>
  <si>
    <t>270 WON s</t>
  </si>
  <si>
    <t>Sejarah Gereja</t>
  </si>
  <si>
    <t>DR. Peter Wongso</t>
  </si>
  <si>
    <t>Seminari Alkitab Asia Tenggara</t>
  </si>
  <si>
    <t>1-880317-85-0</t>
  </si>
  <si>
    <t>270 WHE</t>
  </si>
  <si>
    <t>Where Christianity Was Born</t>
  </si>
  <si>
    <t>Hershel Shanks (E)</t>
  </si>
  <si>
    <t>Biblical Archaeology Society</t>
  </si>
  <si>
    <t>978-979-687-138-4</t>
  </si>
  <si>
    <t>270 WEL r</t>
  </si>
  <si>
    <t>Riwayat Hidup Singkat Tokoh-Tokoh dalam Sejarah Gereja</t>
  </si>
  <si>
    <t>F. D. Wellem</t>
  </si>
  <si>
    <t>0-87808-325-1</t>
  </si>
  <si>
    <t xml:space="preserve">270 WAT l </t>
  </si>
  <si>
    <t>Literacy, Bible Reading and Church Growth: Through The Ages</t>
  </si>
  <si>
    <t>Morris Watkins</t>
  </si>
  <si>
    <t>270 UKU b</t>
  </si>
  <si>
    <t>Benih Yang Tumbuh 8 - Gereja Kristen Irian Jaya</t>
  </si>
  <si>
    <t>Dr. F. Ukur dan Dr. F.L Cooley</t>
  </si>
  <si>
    <t>270 THO c</t>
  </si>
  <si>
    <t>The Church in Southheast Asia</t>
  </si>
  <si>
    <t>Rajah B. Manikam dan Winburn T. Thomas</t>
  </si>
  <si>
    <t>978-602-95573-3-6</t>
  </si>
  <si>
    <t>270 SUK  t</t>
  </si>
  <si>
    <t>Tata Injil di Bumi Muria (Sejarah Gereja Injili di Tanah Jawa - GITJ)</t>
  </si>
  <si>
    <t>S. H. Sukoco</t>
  </si>
  <si>
    <t>Pustaka Muria</t>
  </si>
  <si>
    <t>978-602-231-014-3</t>
  </si>
  <si>
    <t>270 SOL p</t>
  </si>
  <si>
    <t>Pangumbaran Ing Bang Wetan (The Dutch Reformed Church In Late Eighteenth Century Java-an Eastern Adventure</t>
  </si>
  <si>
    <t>Yusak Soleiman</t>
  </si>
  <si>
    <t xml:space="preserve">270 SAR </t>
  </si>
  <si>
    <t>Benih Yang Tumbuh 6- Gereja  Toraja</t>
  </si>
  <si>
    <t>J.A Sarira, BA</t>
  </si>
  <si>
    <t>270 REA</t>
  </si>
  <si>
    <t>Realisme Yang Berpengharapan</t>
  </si>
  <si>
    <t xml:space="preserve">270 PER </t>
  </si>
  <si>
    <t>Pergilah Kamu…! (Menapaki Sejarah GPIB Jemaat Pelita 1968-1994)</t>
  </si>
  <si>
    <t>GPIB Jemaat Pelita DKI-Jaya</t>
  </si>
  <si>
    <t>PT. Wilmajaya Persadautama</t>
  </si>
  <si>
    <t xml:space="preserve">270 KUM </t>
  </si>
  <si>
    <t>Benih Yang Tumbuh 5 - Gereja  Injili Di Tanah Jawa</t>
  </si>
  <si>
    <t>Dra. Ny. Martati Ins. Kumaat</t>
  </si>
  <si>
    <t>Univ. Kristen Satya Wacana, Semarang</t>
  </si>
  <si>
    <t>979-21-0091-1</t>
  </si>
  <si>
    <t>270 KRI g</t>
  </si>
  <si>
    <t xml:space="preserve">Gagasan yang Menjadi Peristiwa </t>
  </si>
  <si>
    <t xml:space="preserve">Eddy Kristiyanto, OFM </t>
  </si>
  <si>
    <t xml:space="preserve">Pustaha Sejarah </t>
  </si>
  <si>
    <t>978-979-415-461-8</t>
  </si>
  <si>
    <t>Pembimbing Ke Dalam Sejarah Gereja</t>
  </si>
  <si>
    <t>DR. C. De Jonge</t>
  </si>
  <si>
    <t>979-415-263-3</t>
  </si>
  <si>
    <t>270 JON a</t>
  </si>
  <si>
    <t>Apa dan Bagaimana Gereja?</t>
  </si>
  <si>
    <t>Dr. Chr. De Jonge</t>
  </si>
  <si>
    <t xml:space="preserve">270 GKI </t>
  </si>
  <si>
    <t>100 Th GKI Taman Cibunut Bandung</t>
  </si>
  <si>
    <t>Jawa Barat</t>
  </si>
  <si>
    <t>GKI Taman Cibunut</t>
  </si>
  <si>
    <t>270 END h</t>
  </si>
  <si>
    <t>Harta Dalam Bejana (Sejarah Gereja Ringkas)</t>
  </si>
  <si>
    <t>Dr. Th. Van den end</t>
  </si>
  <si>
    <t>Harta dalam Bejana</t>
  </si>
  <si>
    <t>DR. Th. Van Den End</t>
  </si>
  <si>
    <t>978-602-231-198-0</t>
  </si>
  <si>
    <t>270 DAU s</t>
  </si>
  <si>
    <t xml:space="preserve">Sejarah Gereja Methodist Indonesia </t>
  </si>
  <si>
    <t>Richard M. Daulay</t>
  </si>
  <si>
    <t>978-602-231-153-9</t>
  </si>
  <si>
    <t>270 DAU e</t>
  </si>
  <si>
    <t>Episkopal Koneksional: Sejarah, Ajaran, dan Organisasi gereja Methodist Indonesia</t>
  </si>
  <si>
    <t>978-979-9290-16-8</t>
  </si>
  <si>
    <t>270 CUR p</t>
  </si>
  <si>
    <t>100 Peristiwa Penting dalam Sejarah Kristen</t>
  </si>
  <si>
    <t>A. Kenneth Gurtis, J. Stephen Lang, &amp; Randy Petersen</t>
  </si>
  <si>
    <t>270 COO b</t>
  </si>
  <si>
    <t>Benih Yang Tumbuh 3 - Gereja Kristen Jawa Tengan Utara</t>
  </si>
  <si>
    <t>Universitas Kristen " Satya Wacana "</t>
  </si>
  <si>
    <t>978-979-415-097-9</t>
  </si>
  <si>
    <t>270 BER s</t>
  </si>
  <si>
    <t>H. Berkhof &amp; I. H. Enklaar</t>
  </si>
  <si>
    <t>979-415-097-5</t>
  </si>
  <si>
    <t>270 BER  s</t>
  </si>
  <si>
    <t xml:space="preserve">Sejarah Gereja </t>
  </si>
  <si>
    <t>Dr.H.Berkhof dan Dr.I.H. Enklaar</t>
  </si>
  <si>
    <t>979-415-332-X</t>
  </si>
  <si>
    <t>270 BAR t</t>
  </si>
  <si>
    <t>Tantangan Bagi Gereja Tanggapan Teologis Atas Krisis Politik di Afrika Selatan</t>
  </si>
  <si>
    <t>Anwar M. Barkat</t>
  </si>
  <si>
    <t>270  COO b</t>
  </si>
  <si>
    <t>Benih Yang Tumbuh 4 - Gereja  Batak Karo Protestan</t>
  </si>
  <si>
    <t>270  CHO  b</t>
  </si>
  <si>
    <t>Bukan Sekedar Jumlah</t>
  </si>
  <si>
    <t>Dr. Paul Y. Cho</t>
  </si>
  <si>
    <t>Yayasan Pekabaran Injil " Immanuel "</t>
  </si>
  <si>
    <t>0-88368-140-4</t>
  </si>
  <si>
    <t>269.24 FIN</t>
  </si>
  <si>
    <t>How to Experience Revival</t>
  </si>
  <si>
    <t>Charles G.Finney</t>
  </si>
  <si>
    <t xml:space="preserve">Whitaker House </t>
  </si>
  <si>
    <t xml:space="preserve">0-06-069680-X </t>
  </si>
  <si>
    <t>269.2 WOM b</t>
  </si>
  <si>
    <t>Breaking the Stained-Glass Barrier</t>
  </si>
  <si>
    <t>David A. Womack</t>
  </si>
  <si>
    <t>978-602-231-455-4</t>
  </si>
  <si>
    <t>979-8307-63-1</t>
  </si>
  <si>
    <t>269.2 TON t</t>
  </si>
  <si>
    <t>Teologi Penginjilan</t>
  </si>
  <si>
    <t>Pdt.DR. Stephen Tong</t>
  </si>
  <si>
    <t>0-564-084557</t>
  </si>
  <si>
    <t xml:space="preserve">269.2 TID </t>
  </si>
  <si>
    <t>Using The Bible in Evangelism</t>
  </si>
  <si>
    <t>Derek Tidball</t>
  </si>
  <si>
    <t xml:space="preserve">Bible Society </t>
  </si>
  <si>
    <t>0-87808-332-4</t>
  </si>
  <si>
    <t>269.2 KLE o</t>
  </si>
  <si>
    <t>Oral Communication of The Scripture (Insights From African Oral Art)</t>
  </si>
  <si>
    <t>Herbert V. Klem</t>
  </si>
  <si>
    <t>978-0-8028-4835-2</t>
  </si>
  <si>
    <t>268.432 BUN c</t>
  </si>
  <si>
    <t>The Child in the Bible</t>
  </si>
  <si>
    <t>Marcia J.Bunge</t>
  </si>
  <si>
    <t xml:space="preserve">268 PEN </t>
  </si>
  <si>
    <t>Pengajaran Agama Kristen</t>
  </si>
  <si>
    <t>Katekismus Heidelberg</t>
  </si>
  <si>
    <t>268 NOS m</t>
  </si>
  <si>
    <t>Man's Religions - Revised Edition</t>
  </si>
  <si>
    <t>John B. Noss</t>
  </si>
  <si>
    <t>The Macmillan Company</t>
  </si>
  <si>
    <t>979-415-754-6</t>
  </si>
  <si>
    <t>268 KRA k</t>
  </si>
  <si>
    <t>Kerajaan yang Sungsang</t>
  </si>
  <si>
    <t>Donald B. Kraybill</t>
  </si>
  <si>
    <t>978-979-415-870-8</t>
  </si>
  <si>
    <t>268 HOM p</t>
  </si>
  <si>
    <t>Pendidikan Agama Kristen</t>
  </si>
  <si>
    <t>Dr.E.G.Homrighausen dan Dr.I. H. Enklaar</t>
  </si>
  <si>
    <t>978-602-8139-31-1</t>
  </si>
  <si>
    <t>268 HEN</t>
  </si>
  <si>
    <t>Mengajar Untuk Mengubah Hidup</t>
  </si>
  <si>
    <t>Dr. Howard G. Hendricks</t>
  </si>
  <si>
    <t>Yayasan Gloria</t>
  </si>
  <si>
    <t>979-95810-4-4</t>
  </si>
  <si>
    <t>267.3 DAR k</t>
  </si>
  <si>
    <t>Kepemimpinan Kristiani - Spiritualitas, Etika, Teknik-teknik Kepemimpinan dalam Era Penuh Perubahan</t>
  </si>
  <si>
    <t>Unit Publikasi &amp; Informasi - Sekolah Tinggi Teologi Jakarta</t>
  </si>
  <si>
    <t>266.9 Ew5. 57</t>
  </si>
  <si>
    <t>Christian Living In Mission Lands: Fordham University 1957 Conference of Mission Specialists/ Fifth Annual Meeting 19-20 January 1957</t>
  </si>
  <si>
    <t>J. Frankllin Ewing, S.J.</t>
  </si>
  <si>
    <t>Fordham University Press</t>
  </si>
  <si>
    <t>266.9 Ew5. 56</t>
  </si>
  <si>
    <t>Communication Arts In Mission Work: 1956 Conference of Mission Specialilsts at Fordham University/ Fourth Annual Meeting 21-22 January 1956</t>
  </si>
  <si>
    <t>266.9 Ew5. 55</t>
  </si>
  <si>
    <t>Social Action In Mission Lands: Proceedings of the Fordham University Conference of Mission Specialists/ Third Annual Meeting January 22-23, 1955</t>
  </si>
  <si>
    <t>266.9 Ew5. 54</t>
  </si>
  <si>
    <t>Local Leadership In Mission Lands: Proceedings of the Fordham University Conference of Mission Specialists/ Second Annual Meeting January 23-24, 1954</t>
  </si>
  <si>
    <t>266.9 Ew5. 53</t>
  </si>
  <si>
    <t>The Training of Converts: Proceeding of the Fordham University Conference of Mission Specialists/ First Annual Meeting January 24-25, 1953</t>
  </si>
  <si>
    <t>0-310-27451-6</t>
  </si>
  <si>
    <t>266.5 LIV m</t>
  </si>
  <si>
    <t>Mary Slessor Of Calabar - Missionaries, Presbyterian Church</t>
  </si>
  <si>
    <t>W.P Livingstone</t>
  </si>
  <si>
    <t>Clarion Classics</t>
  </si>
  <si>
    <t>979-9314-30-0</t>
  </si>
  <si>
    <t xml:space="preserve">266.023.099 PEN </t>
  </si>
  <si>
    <t>Pengaruh Injil dalam Adat Batak Pendekatan Praktisi</t>
  </si>
  <si>
    <t xml:space="preserve">John B. Pasaribu </t>
  </si>
  <si>
    <t>Papas Sinar Sinanti</t>
  </si>
  <si>
    <t>266.009 WAL w</t>
  </si>
  <si>
    <t>The Whole Gospel for The Whole World</t>
  </si>
  <si>
    <t>Alan Walker</t>
  </si>
  <si>
    <t>1-85424-663-1</t>
  </si>
  <si>
    <t>266.009 STE g</t>
  </si>
  <si>
    <t>Good News For The World The Story of Bible Society</t>
  </si>
  <si>
    <t>Roger Steer</t>
  </si>
  <si>
    <t>Monarch Books</t>
  </si>
  <si>
    <t>981-220-286-2</t>
  </si>
  <si>
    <t>266.009 SNG i</t>
  </si>
  <si>
    <t>In His Good Time The Story of The Church In Singapore</t>
  </si>
  <si>
    <t>Bobby E.K.Sng</t>
  </si>
  <si>
    <t xml:space="preserve">Bible Society Singapore </t>
  </si>
  <si>
    <t>978-0-8308-2887-6</t>
  </si>
  <si>
    <t>266.009 SCH p</t>
  </si>
  <si>
    <t>Paul The Missionary</t>
  </si>
  <si>
    <t>266 WOL m</t>
  </si>
  <si>
    <t>Multiplying The Loaves  (The Bible in Mission and Evangelism)</t>
  </si>
  <si>
    <t>G.H. Wolfensberger</t>
  </si>
  <si>
    <t xml:space="preserve">Collins Fontana Books </t>
  </si>
  <si>
    <t>0-87808-334-0</t>
  </si>
  <si>
    <t>266 WHI m</t>
  </si>
  <si>
    <t xml:space="preserve">Melanesians and Missionaries </t>
  </si>
  <si>
    <t>Darrell L. Whiteman</t>
  </si>
  <si>
    <t>266 WEB c</t>
  </si>
  <si>
    <t>The Communication of The Gospel To Illiterates</t>
  </si>
  <si>
    <t>H.R. Weber</t>
  </si>
  <si>
    <t>0-89191-837-X</t>
  </si>
  <si>
    <t>266 WAG u</t>
  </si>
  <si>
    <t xml:space="preserve">Unreached Peoples' 80 </t>
  </si>
  <si>
    <t>C. Peter Wagner and Edward R. Dayton (E)</t>
  </si>
  <si>
    <t>Cook</t>
  </si>
  <si>
    <t>978-979-1322-00-3</t>
  </si>
  <si>
    <t>266 UNA m</t>
  </si>
  <si>
    <t>Menjadi Garam Dunia Seri Pelajaran Alkitab Praktis</t>
  </si>
  <si>
    <t>74-160638</t>
  </si>
  <si>
    <t>266 TRU w</t>
  </si>
  <si>
    <t xml:space="preserve">The Validity of The Christian Mission </t>
  </si>
  <si>
    <t>Elton Trueblood</t>
  </si>
  <si>
    <t>0-87808-271-9</t>
  </si>
  <si>
    <t>266 SOG r</t>
  </si>
  <si>
    <t>Research In Church and Mission</t>
  </si>
  <si>
    <t>Viggo Sogaard</t>
  </si>
  <si>
    <t>0-87808-719-2</t>
  </si>
  <si>
    <t>266 SMA r</t>
  </si>
  <si>
    <t>Readings In Missionary Anthropology</t>
  </si>
  <si>
    <t>978-979-16284-0-2</t>
  </si>
  <si>
    <t>266 SIH p</t>
  </si>
  <si>
    <t>Penginjilan, Jelas Perlu!</t>
  </si>
  <si>
    <t>JP.Sihombing</t>
  </si>
  <si>
    <t>979-415-286-2</t>
  </si>
  <si>
    <t>266 RAN o</t>
  </si>
  <si>
    <t>Oegstgeest Kebijakasanaan "Lembaga-Lembaga Pekabaran Injil yang Bekerjasama" 1897-1942</t>
  </si>
  <si>
    <t>Mr.S.C. Graaf van Randwijck</t>
  </si>
  <si>
    <t>979-415-772-4</t>
  </si>
  <si>
    <t>266 PRI d</t>
  </si>
  <si>
    <t>Daya Hening Upaya Juang</t>
  </si>
  <si>
    <t>John Mansford Prior, Ph.D.</t>
  </si>
  <si>
    <t>979-687-028-2</t>
  </si>
  <si>
    <t>266 PAR k</t>
  </si>
  <si>
    <t>Komunitas Sadrach dan Akar Kontekstualnya</t>
  </si>
  <si>
    <t>Soetarman Soediman Partonadi</t>
  </si>
  <si>
    <t xml:space="preserve">BPK Gunung Mulia dan Taman Pustaka Kristen Yogyakarta </t>
  </si>
  <si>
    <t xml:space="preserve">266 PAN </t>
  </si>
  <si>
    <t>Panggilan dan Suruhan Allah</t>
  </si>
  <si>
    <t>Pdt. J.R. Hutauruk, M. Th.</t>
  </si>
  <si>
    <t>0-87808-711-7</t>
  </si>
  <si>
    <t>266 NID m</t>
  </si>
  <si>
    <t>Message and Mission: The Communication of the Christian Faith</t>
  </si>
  <si>
    <t xml:space="preserve">266 MIS </t>
  </si>
  <si>
    <t>Missionaries, Anthropologists, and Cultural Change: Studies in Third World Societies (Publication Number Twenty-Five)</t>
  </si>
  <si>
    <t>Studies in Third World Societies Department of Anthropology College of William and Mary Williamsburg</t>
  </si>
  <si>
    <t>Department of Anthropology College of William and Mary Williamsburg</t>
  </si>
  <si>
    <t>Missionaries and Anthropologists Part II</t>
  </si>
  <si>
    <t>266 MET w</t>
  </si>
  <si>
    <t>Wereld en Zending Tijdschrift voor Missiologie</t>
  </si>
  <si>
    <t xml:space="preserve">266 SMI m </t>
  </si>
  <si>
    <t>Merindukan Djiwa Jang Tersesat</t>
  </si>
  <si>
    <t>Dr. Oswald J. Smith</t>
  </si>
  <si>
    <t>266 MCG c</t>
  </si>
  <si>
    <t>Church Growth and Christian Mission</t>
  </si>
  <si>
    <t>Donald Anderson McGavran, dkk</t>
  </si>
  <si>
    <t>Harper &amp; Row Publisher</t>
  </si>
  <si>
    <t xml:space="preserve">266 MAG </t>
  </si>
  <si>
    <t>Bahtera Injil di Halmahera</t>
  </si>
  <si>
    <t>Pdt. M. Th. Magany</t>
  </si>
  <si>
    <t>Gereja Masehi Injili Di Halmahera</t>
  </si>
  <si>
    <t>266 KUI m</t>
  </si>
  <si>
    <t>Missiologia</t>
  </si>
  <si>
    <t>Dr. Arie de Kuiper</t>
  </si>
  <si>
    <t>979-415-328-1</t>
  </si>
  <si>
    <t>266 KUI</t>
  </si>
  <si>
    <t>979-415-011-8</t>
  </si>
  <si>
    <t>266 KAM a</t>
  </si>
  <si>
    <t>Ajaib Di Mata Kita  III Masalah Komunikasi Antara Timur dan Barat Dilihat Dari Sudut Pengalaman Selama Seabad Pekabaran Injil di Irian Jaya</t>
  </si>
  <si>
    <t>Dr. F.C Kamma</t>
  </si>
  <si>
    <t>266 HIL b</t>
  </si>
  <si>
    <t>Bangkok: An urban Arena</t>
  </si>
  <si>
    <t>Ronald C. Hill</t>
  </si>
  <si>
    <t xml:space="preserve">Convention Press </t>
  </si>
  <si>
    <t>0-87808-124-0</t>
  </si>
  <si>
    <t xml:space="preserve">266 GOS </t>
  </si>
  <si>
    <t>The Gospel And Frontier Peoples a Report of a Consultation December 1972</t>
  </si>
  <si>
    <t xml:space="preserve">R.Pierce Beaver </t>
  </si>
  <si>
    <t xml:space="preserve">266 DEA w  </t>
  </si>
  <si>
    <t xml:space="preserve">The World Christ Knew </t>
  </si>
  <si>
    <t>Canon Anthony Deane</t>
  </si>
  <si>
    <t>Guild Books</t>
  </si>
  <si>
    <t>266 COS i</t>
  </si>
  <si>
    <t>International Review of Mission: The Bible In Mission (Vol. LXX No. 279, July 1981</t>
  </si>
  <si>
    <t>Emilio Castro</t>
  </si>
  <si>
    <t>WCC Publication</t>
  </si>
  <si>
    <t>978-979-29-10008-7</t>
  </si>
  <si>
    <t>266 COM w</t>
  </si>
  <si>
    <t>The Way of The Master</t>
  </si>
  <si>
    <t>Ray Comfort</t>
  </si>
  <si>
    <t>0-87808-423-1</t>
  </si>
  <si>
    <t xml:space="preserve">266 CHR </t>
  </si>
  <si>
    <t>Christopaganism or Indigenous Christianity?</t>
  </si>
  <si>
    <t>Tetsunao Yamamori dan Charles R. Taber</t>
  </si>
  <si>
    <t>264.23 BUK</t>
  </si>
  <si>
    <t xml:space="preserve">Buku Zinuno Niha Keriso </t>
  </si>
  <si>
    <t xml:space="preserve">Gereja Baptis Independen Gunungsitoli </t>
  </si>
  <si>
    <t>264.23  NJA  Nyanyian Kemenangan Iman  Thn.1965</t>
  </si>
  <si>
    <t>Njanjian Kemenangan Iman</t>
  </si>
  <si>
    <t xml:space="preserve">Lagu Rohani </t>
  </si>
  <si>
    <t>Kalam Hidup, Bandung</t>
  </si>
  <si>
    <t xml:space="preserve"> 979-0-801856-86-9</t>
  </si>
  <si>
    <t>264.23  KID</t>
  </si>
  <si>
    <t>KIDUNG KEESAAN</t>
  </si>
  <si>
    <t>Lagu Rohani</t>
  </si>
  <si>
    <t>YAMUGER</t>
  </si>
  <si>
    <t>979-3739-31-2</t>
  </si>
  <si>
    <t>264.13 GOT</t>
  </si>
  <si>
    <t>Kuasa Ucapan Berkat</t>
  </si>
  <si>
    <t>Bill Gothard</t>
  </si>
  <si>
    <t>264.1 HAR b</t>
  </si>
  <si>
    <t>Berdoa Bersama Umat Tuhan Berguru Kepada Kitab Mazmur</t>
  </si>
  <si>
    <t>Martin Harun OFM</t>
  </si>
  <si>
    <t>264 TER t</t>
  </si>
  <si>
    <t>Terpujilah Engkau Tuhanku</t>
  </si>
  <si>
    <t>Buku Pujian</t>
  </si>
  <si>
    <t>Sekretariat Keluarga Fransiskan Indonesia</t>
  </si>
  <si>
    <t>Setkli</t>
  </si>
  <si>
    <t>979-415-833-X</t>
  </si>
  <si>
    <t>264 OLS d</t>
  </si>
  <si>
    <t>Alkitab Dan Liturgi</t>
  </si>
  <si>
    <t>E.H.van Olst</t>
  </si>
  <si>
    <t>264 OLS a</t>
  </si>
  <si>
    <t>Alkitab dan Liturgi</t>
  </si>
  <si>
    <t>E.H. van Olst</t>
  </si>
  <si>
    <t xml:space="preserve">264 LIT </t>
  </si>
  <si>
    <t>LITURGIA (Geredja Kristen Indjili Di Irian Barat)</t>
  </si>
  <si>
    <t>Penerbitan Negara Sukarnapura</t>
  </si>
  <si>
    <t>978-0-8028-6376-8</t>
  </si>
  <si>
    <t>262.72 VIS u</t>
  </si>
  <si>
    <t>Unity of the Church: in the New Testament and Today</t>
  </si>
  <si>
    <t>Lukas Vischer, Dkk</t>
  </si>
  <si>
    <t>2-8254-0992-8</t>
  </si>
  <si>
    <t>262.5 WOR</t>
  </si>
  <si>
    <t>World Council of Churches</t>
  </si>
  <si>
    <t>262.13 MAN m</t>
  </si>
  <si>
    <t>Mengenal 265 Paus</t>
  </si>
  <si>
    <t>Sinta Manurung (E)</t>
  </si>
  <si>
    <t>Kristisima Media Pustaka</t>
  </si>
  <si>
    <t xml:space="preserve">262.0017 MEN </t>
  </si>
  <si>
    <t>Menjadi Gereja yang Diutus</t>
  </si>
  <si>
    <t>Badan Pekerja Sinode Gereja Kristen Pasundan</t>
  </si>
  <si>
    <t>979-415-506-3</t>
  </si>
  <si>
    <t>262.0011 JON m</t>
  </si>
  <si>
    <t>Menuju Keesaan Gereja (Sejarah, Dokumen-dokumen dan Tema-tema Gerakan Oikumenis</t>
  </si>
  <si>
    <t>Dr. Christian De Jonge</t>
  </si>
  <si>
    <t>262.001 OIK</t>
  </si>
  <si>
    <t>Oikumene, Geredja dan Masjarakat di Indonesia</t>
  </si>
  <si>
    <t>DR. J. L. Ch. Abineno</t>
  </si>
  <si>
    <t>979-415-773-2</t>
  </si>
  <si>
    <t>262. 1 BAR p</t>
  </si>
  <si>
    <t>Pelayanan dalam Perjanjian Baru</t>
  </si>
  <si>
    <t>David L. Barrtlett</t>
  </si>
  <si>
    <t>262 PPA n</t>
  </si>
  <si>
    <t xml:space="preserve">Notulen Sidang Badan Pekerja Lengkap Dewan Gereja-gereja di Indonesia </t>
  </si>
  <si>
    <t>PPAG-Malang</t>
  </si>
  <si>
    <t xml:space="preserve">262 NOT </t>
  </si>
  <si>
    <t>Notulen Sidang Badan Pekerja Lengkap Dewan Gereja-gereja di Indonesia</t>
  </si>
  <si>
    <t>Badan Pekerja Lengkap Dewan Gereja-gereja di Indonesia</t>
  </si>
  <si>
    <t>262 NEE</t>
  </si>
  <si>
    <t>Bagaimana Memberitakan Injil</t>
  </si>
  <si>
    <t xml:space="preserve">Yayasan Perpustakaan Injil </t>
  </si>
  <si>
    <t xml:space="preserve">262 HAR </t>
  </si>
  <si>
    <t>Harapan dan Keprihatinan Bangsa dan Gereja Memasuki Akhir Abad ke-20</t>
  </si>
  <si>
    <t>262 GRO s</t>
  </si>
  <si>
    <t>Spektrum Kerasulan Kitab Suci</t>
  </si>
  <si>
    <t>C. Groenen, dkk</t>
  </si>
  <si>
    <t>262 GER</t>
  </si>
  <si>
    <t>Gereja-gereja Memasuki Dasawarsa 80-an</t>
  </si>
  <si>
    <t>262 DGI n</t>
  </si>
  <si>
    <t>Notulen: Sidang Raya Ke VII Dewan Gereja-gereja di Indonesia 18-28 April 1971</t>
  </si>
  <si>
    <t>Kampus Universitas HKBP Nommensen Pematang Siantar</t>
  </si>
  <si>
    <t>262 ABI g</t>
  </si>
  <si>
    <t>Gereja dan Keesaan Gereja</t>
  </si>
  <si>
    <t>Prof.Dr. J.L.Ch.Abineno</t>
  </si>
  <si>
    <t>979-415-802-X</t>
  </si>
  <si>
    <t>261.SIM i</t>
  </si>
  <si>
    <t>Iman Kristen dan Pancasila</t>
  </si>
  <si>
    <t>Dr.T.B.Simatupang</t>
  </si>
  <si>
    <t>261.833 MAC h</t>
  </si>
  <si>
    <t>Hamartologi Doktrin Alkitab Tentang Dosa</t>
  </si>
  <si>
    <t>John F. Macarthur, JR.</t>
  </si>
  <si>
    <t>979-8976-37-1</t>
  </si>
  <si>
    <t>261.833 GRA b</t>
  </si>
  <si>
    <t>Bebas Dari Tujuh Dosa Maut</t>
  </si>
  <si>
    <t>Yaysan Komunikasi Bina Kasih</t>
  </si>
  <si>
    <t>979-763-969-x</t>
  </si>
  <si>
    <t>261.832.1 HIR d</t>
  </si>
  <si>
    <t>Diciptakan Dengan Indah</t>
  </si>
  <si>
    <t>Julie Hiramine</t>
  </si>
  <si>
    <t>979-415-793-7</t>
  </si>
  <si>
    <t>261.832 DAR a</t>
  </si>
  <si>
    <t>Aids (Kutukan Tuhan?)</t>
  </si>
  <si>
    <t>Pdt. Eka Darmaputera, Ph. D. dan Dr. Lukas Hendrata</t>
  </si>
  <si>
    <t>979-415-437-7</t>
  </si>
  <si>
    <t>261.83 STE</t>
  </si>
  <si>
    <t>Injil Dan Orang-orang Miskin</t>
  </si>
  <si>
    <t>Wolfgang Stegemann</t>
  </si>
  <si>
    <t>979-8131-46-0</t>
  </si>
  <si>
    <t>261.83 KUY i</t>
  </si>
  <si>
    <t>Iman Kristen dan Problema Sosial</t>
  </si>
  <si>
    <t>978-979-687-005-9</t>
  </si>
  <si>
    <t>261.8 YEW a</t>
  </si>
  <si>
    <t>Agama dan Kerukunan</t>
  </si>
  <si>
    <t>DR.A.A. Yewangoe</t>
  </si>
  <si>
    <t>978-0-8028-6541-0</t>
  </si>
  <si>
    <t>261.8 WIT w</t>
  </si>
  <si>
    <t>Work A Kingdom Perspective On Labor</t>
  </si>
  <si>
    <t>Ben Witherington III</t>
  </si>
  <si>
    <t>979-687-009-6</t>
  </si>
  <si>
    <t xml:space="preserve">261.8 PER </t>
  </si>
  <si>
    <t>Pergulatan Kehadiran Kristen Di Indonesia</t>
  </si>
  <si>
    <t>Pdt.Eka Darmaputera, Ph.D.</t>
  </si>
  <si>
    <t>978-979-687-926-7</t>
  </si>
  <si>
    <t>261.8 MAL k</t>
  </si>
  <si>
    <t>Kesatuan dalam Keragaman</t>
  </si>
  <si>
    <t>Debora K.Malik</t>
  </si>
  <si>
    <t>978-0-8028-6724-7</t>
  </si>
  <si>
    <t>261.8 LOA n</t>
  </si>
  <si>
    <t>The New Testament on Sexuality</t>
  </si>
  <si>
    <t>William Loader</t>
  </si>
  <si>
    <t>978-602-96520-5-5</t>
  </si>
  <si>
    <t>261.7 WAL t</t>
  </si>
  <si>
    <t xml:space="preserve">Terbelah Dalam Kancah Revolusi </t>
  </si>
  <si>
    <t xml:space="preserve">Hans van de Wal </t>
  </si>
  <si>
    <t xml:space="preserve">Yayasan Cemara </t>
  </si>
  <si>
    <t>978-602-18655-5-2</t>
  </si>
  <si>
    <t>261.7 RAM k</t>
  </si>
  <si>
    <t xml:space="preserve">Keterjalinan dalam Keterpisahan </t>
  </si>
  <si>
    <t xml:space="preserve">Aguswati Hildebrandt Rambe </t>
  </si>
  <si>
    <t>OASE Intim</t>
  </si>
  <si>
    <t>979-416-729-0</t>
  </si>
  <si>
    <t xml:space="preserve">261.7 PES </t>
  </si>
  <si>
    <t>Pesan-Pesan Kenabian Di Pusaran Zaman</t>
  </si>
  <si>
    <t>Weinata Sairin, M.Th.</t>
  </si>
  <si>
    <t xml:space="preserve">261.7 DIA </t>
  </si>
  <si>
    <t>Dialog Kristen - Islam Saifuddin Ibrahim VS Insan Mokoginta</t>
  </si>
  <si>
    <t>Rozikin B. Sukandar ( Editor )</t>
  </si>
  <si>
    <t>Amanat Agung Indonesia</t>
  </si>
  <si>
    <t>978-602-7557-02-4</t>
  </si>
  <si>
    <t>261.7 DAU k</t>
  </si>
  <si>
    <t>Kekristenan &amp; Politik: Percikan Pergumulan Rangkap Seorang Pendeta</t>
  </si>
  <si>
    <t>978-602-7762-65-7</t>
  </si>
  <si>
    <t>261.7 CAM t</t>
  </si>
  <si>
    <t xml:space="preserve">Teologi Politik Panggilan Gereja di Bidang Politik Pascaorde Baru </t>
  </si>
  <si>
    <t xml:space="preserve">John Campbell-Nelson </t>
  </si>
  <si>
    <t>261.561 CHE b</t>
  </si>
  <si>
    <t>The Bible Cure (Pengobatan Injil)</t>
  </si>
  <si>
    <t>Reginald Cherry, M.D.</t>
  </si>
  <si>
    <t>261.56 MOR s</t>
  </si>
  <si>
    <t>Sains dan Alkitab</t>
  </si>
  <si>
    <t>Hendry M. Morris</t>
  </si>
  <si>
    <t>978-1-58983-347-0</t>
  </si>
  <si>
    <t>261.55 NEU s</t>
  </si>
  <si>
    <t>The Social Sciences and Biblical Translation</t>
  </si>
  <si>
    <t>Dietmar Neufeld</t>
  </si>
  <si>
    <t>978-979-415-077-1</t>
  </si>
  <si>
    <t>261.55 CUP b</t>
  </si>
  <si>
    <t>Beriman Dan Berilmu</t>
  </si>
  <si>
    <t>David Cupples</t>
  </si>
  <si>
    <t>1-85075-813-1</t>
  </si>
  <si>
    <t>261.55 CHA s</t>
  </si>
  <si>
    <t>Social-Scientific Old Testament Criticism</t>
  </si>
  <si>
    <t>David J. Chalcraft</t>
  </si>
  <si>
    <t>979-415-016-9</t>
  </si>
  <si>
    <t>261.515 JON d</t>
  </si>
  <si>
    <t>Dengarkan Perasaan Anda</t>
  </si>
  <si>
    <t>Myra Chave-Jones</t>
  </si>
  <si>
    <t>978-0-521-69486-5</t>
  </si>
  <si>
    <t>261.51 PAU j</t>
  </si>
  <si>
    <t>Jesus and Philosophy</t>
  </si>
  <si>
    <t>Paul K. Moser</t>
  </si>
  <si>
    <t>cambridge university press</t>
  </si>
  <si>
    <t>979-8307-18-6</t>
  </si>
  <si>
    <t>261.51 BRO f</t>
  </si>
  <si>
    <t>Filsafat &amp; Iman Kristen 1</t>
  </si>
  <si>
    <t>Colin Brown</t>
  </si>
  <si>
    <t>LRII</t>
  </si>
  <si>
    <t>0-8264-6328-2</t>
  </si>
  <si>
    <t>261.51 BOE m</t>
  </si>
  <si>
    <t>Marxist Criticism of the Bible</t>
  </si>
  <si>
    <t>Roland Boer</t>
  </si>
  <si>
    <t>978-979-413-083-4</t>
  </si>
  <si>
    <t>261.51 BER r</t>
  </si>
  <si>
    <t>Ringkasan Sejarah Filsafat</t>
  </si>
  <si>
    <t>Prof. K. Bertens</t>
  </si>
  <si>
    <t>979-415-417-2</t>
  </si>
  <si>
    <t>261.5 ITE m</t>
  </si>
  <si>
    <t>Memandang Yesus Gambar Yesus dalam Bebrbagai Budaya</t>
  </si>
  <si>
    <t>Antonh Wessels</t>
  </si>
  <si>
    <t>261.292 TRA</t>
  </si>
  <si>
    <t>Transformasi Indonesia</t>
  </si>
  <si>
    <t>Metanoia (E)</t>
  </si>
  <si>
    <t>979-96603-4-3</t>
  </si>
  <si>
    <t>261.27 DIR m</t>
  </si>
  <si>
    <t>Menghilangkan Sakit Hati Antar Umat yang Lahir oleh Sejarah</t>
  </si>
  <si>
    <t>Dr. Pradjarta Dirdjosantojoto, SH, MA, dkk.</t>
  </si>
  <si>
    <t>Pustaka Percik</t>
  </si>
  <si>
    <t>978-3-374-03794-0</t>
  </si>
  <si>
    <t>261.22 MUS</t>
  </si>
  <si>
    <t>Muslim Christian Relations Observed - Comparative Studies From Indonesia and the Netherlands</t>
  </si>
  <si>
    <t>Evangelische Verlagsantalt , Leipzig</t>
  </si>
  <si>
    <t>261.1 REV</t>
  </si>
  <si>
    <t>Revitalisasi Gerakan Ekumene di Indonesia</t>
  </si>
  <si>
    <t>Pdt. Dr. Robert P. Borrong  &amp; Drs. Supardan (E)</t>
  </si>
  <si>
    <t>PT. Wonosari Sawunggaling</t>
  </si>
  <si>
    <t>979-415-307-9</t>
  </si>
  <si>
    <t>261 YEW t</t>
  </si>
  <si>
    <t>Theologia Crucis Di Asia</t>
  </si>
  <si>
    <t>Dr. A. A. Yewangoe</t>
  </si>
  <si>
    <t>978-979-687-006-0</t>
  </si>
  <si>
    <t>261 YEW i</t>
  </si>
  <si>
    <t>Iman, Agama dan Masyarakat Dalam Negara Pancasila</t>
  </si>
  <si>
    <t xml:space="preserve"> Dr. A. A. Yewangoe</t>
  </si>
  <si>
    <t>979-687-171-8</t>
  </si>
  <si>
    <t>261 WEL i</t>
  </si>
  <si>
    <t>Injil &amp; Marapu</t>
  </si>
  <si>
    <t>F.D. Wellem</t>
  </si>
  <si>
    <t>261 UGA m</t>
  </si>
  <si>
    <t>Menelusuri Jalur-jalur Keluhuran</t>
  </si>
  <si>
    <t>Hermogenes Ugang</t>
  </si>
  <si>
    <t>979-415-712-0</t>
  </si>
  <si>
    <t>261 TAK n</t>
  </si>
  <si>
    <t>Nasi Dan Allah</t>
  </si>
  <si>
    <t>Dr. Masao Takenake</t>
  </si>
  <si>
    <t>978-602-231-524-7</t>
  </si>
  <si>
    <t>261 SIN</t>
  </si>
  <si>
    <t xml:space="preserve">Teologi Gereja Kristen Protestan Simalungun </t>
  </si>
  <si>
    <t xml:space="preserve">Martin Lukito Sinaga </t>
  </si>
  <si>
    <t>979-687-235-8</t>
  </si>
  <si>
    <t>261 SCH m</t>
  </si>
  <si>
    <t>Menghadapi Tantangan, Memperjuangkan Kerukunan</t>
  </si>
  <si>
    <t>Olaf H. Schumann</t>
  </si>
  <si>
    <t>261 SCH d</t>
  </si>
  <si>
    <t>Dialog Antar Umat Beragama - Dimanakah Kita Berada Kini ?</t>
  </si>
  <si>
    <t>Olaf Schumann</t>
  </si>
  <si>
    <t>Lembaga Penelitian dan Studi - Dewan Gereja-Gereja di Indonesia, Jakarta</t>
  </si>
  <si>
    <t>979-415-118-1</t>
  </si>
  <si>
    <t>261 SCH a</t>
  </si>
  <si>
    <t>Adat dan Injil Perjumpaan Adat Dengan Iman Kristen Di Tanah Batak</t>
  </si>
  <si>
    <t>979-8694-02-3</t>
  </si>
  <si>
    <t>261 PLU</t>
  </si>
  <si>
    <t>Pluralisme dan Demokrasi</t>
  </si>
  <si>
    <t>Fridolin Ukur &amp; Retnowinarti</t>
  </si>
  <si>
    <t>Badan Litbang PGI</t>
  </si>
  <si>
    <t>261 NEI c</t>
  </si>
  <si>
    <t>Christian Faith and Other Faiths</t>
  </si>
  <si>
    <t>978-602-231-062-4</t>
  </si>
  <si>
    <t>261 MOJ m</t>
  </si>
  <si>
    <t>Meniadakan Atau Merangkul?</t>
  </si>
  <si>
    <t>Julianus Mojau</t>
  </si>
  <si>
    <t>979-415-242-0</t>
  </si>
  <si>
    <t>261 LEE</t>
  </si>
  <si>
    <t>Agama Kristen Dalam Sejarah Dunia</t>
  </si>
  <si>
    <t>Arend Th. Van Leeuwen</t>
  </si>
  <si>
    <t>0-883344-075-x</t>
  </si>
  <si>
    <t>261 KRA c</t>
  </si>
  <si>
    <t>Christianity in Culture</t>
  </si>
  <si>
    <t>Charles H. Kraft</t>
  </si>
  <si>
    <t>3-8204-5888-3</t>
  </si>
  <si>
    <t>261 HAI c</t>
  </si>
  <si>
    <t>The Character and Theological Struggle of The Church In Halmahera, Indonesia, 1941-1979 (26)</t>
  </si>
  <si>
    <t>James Haire</t>
  </si>
  <si>
    <t xml:space="preserve">Verlag Peter D. Lang </t>
  </si>
  <si>
    <t>979-687-191-2</t>
  </si>
  <si>
    <t>261 GRU a</t>
  </si>
  <si>
    <t>Agama Kristen Dan Demokrasi</t>
  </si>
  <si>
    <t>John W. de Gruchy</t>
  </si>
  <si>
    <t>1-84127-098-9</t>
  </si>
  <si>
    <t>261 DEI m</t>
  </si>
  <si>
    <t>The Material Culture of the Bible An Introduction</t>
  </si>
  <si>
    <t>Iggris</t>
  </si>
  <si>
    <t>Ferdinand E. Deist</t>
  </si>
  <si>
    <t>978-602-231-199-7</t>
  </si>
  <si>
    <t>261 DAU k</t>
  </si>
  <si>
    <t>Kristenisasi  &amp; Islamisasi</t>
  </si>
  <si>
    <t>Prof. Dr. Djoko Suryo</t>
  </si>
  <si>
    <t>979-8131-37-1</t>
  </si>
  <si>
    <t>261 CAR g</t>
  </si>
  <si>
    <t>God and Culture Allah dan Kebudayaan</t>
  </si>
  <si>
    <t>D.A. Carson &amp; John D. Woodbridge</t>
  </si>
  <si>
    <t>978-0-8028-3174-3</t>
  </si>
  <si>
    <t>261 CAR c</t>
  </si>
  <si>
    <t>Christ &amp; Culture</t>
  </si>
  <si>
    <t>261 BRO f</t>
  </si>
  <si>
    <t>Filsafat &amp; Iman Kristen 2</t>
  </si>
  <si>
    <t>979-415-660-4</t>
  </si>
  <si>
    <t>261 ADA t</t>
  </si>
  <si>
    <t>Teologi Lintas Budaya Refleksi Barat di Asia</t>
  </si>
  <si>
    <t>Daniel J. Adams</t>
  </si>
  <si>
    <t>978-979-3292-89-2</t>
  </si>
  <si>
    <t>260.6 OSB s</t>
  </si>
  <si>
    <t>Spiral Hermeneutika Pengantar Komprehensif bagi Penafsiran Alkitab</t>
  </si>
  <si>
    <t>Bahasa Indonesia</t>
  </si>
  <si>
    <t>Grant R. Osborne</t>
  </si>
  <si>
    <t>260 MAC c</t>
  </si>
  <si>
    <t>Ecumenics : the science of the church universal</t>
  </si>
  <si>
    <t>Tokyo</t>
  </si>
  <si>
    <t>John A. Mackay</t>
  </si>
  <si>
    <t>0-8264-5604-9</t>
  </si>
  <si>
    <t>260 HAR e</t>
  </si>
  <si>
    <t>Early Christian Life and Thought in Social Context</t>
  </si>
  <si>
    <t>Mark Harding</t>
  </si>
  <si>
    <t>978-0-06-063796-5</t>
  </si>
  <si>
    <t>214.9 HAY m</t>
  </si>
  <si>
    <t>The Moral Vision of the New Testament</t>
  </si>
  <si>
    <t>Richard B. Hays</t>
  </si>
  <si>
    <t>4-8202-5005-1</t>
  </si>
  <si>
    <t xml:space="preserve"> 232.9 JES</t>
  </si>
  <si>
    <t>Jesus Who Is He ?</t>
  </si>
  <si>
    <t>Japan</t>
  </si>
  <si>
    <t>Japan Bible Society</t>
  </si>
  <si>
    <t xml:space="preserve"> 232.9 BRU p</t>
  </si>
  <si>
    <t>The Parabolic Teaching Of Christ</t>
  </si>
  <si>
    <t>Alexander Balman Bruce, D.D</t>
  </si>
  <si>
    <t>Hodder and Stoughton</t>
  </si>
  <si>
    <t>0-7642-2101-9</t>
  </si>
  <si>
    <t>259.4 BAC k</t>
  </si>
  <si>
    <t>Kuasa Penyembuhan (Dalam Pola Pikir Kristiani)</t>
  </si>
  <si>
    <t>Dr. William Backus</t>
  </si>
  <si>
    <t>Kanugrahan</t>
  </si>
  <si>
    <t xml:space="preserve">259.4  EAV </t>
  </si>
  <si>
    <t>Principles Of Mental Health For Christian Living</t>
  </si>
  <si>
    <t>C.B Eavey</t>
  </si>
  <si>
    <t>254.8 ARK s</t>
  </si>
  <si>
    <t>Sumber Pembiayaan Gereja</t>
  </si>
  <si>
    <t>Iwan Stephane Arkady S.Th</t>
  </si>
  <si>
    <t xml:space="preserve">254.5 WAJ </t>
  </si>
  <si>
    <t>Wajah GKST: Buku Kenangan 100 Tahun Injil Masuk Tana Poso</t>
  </si>
  <si>
    <t>Gereja Kristen Sulawesi Tengah (Anggota PGI)</t>
  </si>
  <si>
    <t>253.9 MES b</t>
  </si>
  <si>
    <t>Banyak Wanita Telah Berbuat Baik, Tetapi Kau Melebihi Mereka Semua</t>
  </si>
  <si>
    <t>Pdt. dr. Olly E. Mesach</t>
  </si>
  <si>
    <t>0-8499-0031-X</t>
  </si>
  <si>
    <t>253.52 BUR e</t>
  </si>
  <si>
    <t>Every Pastor Needs A Pastor</t>
  </si>
  <si>
    <t>Louis McBurney</t>
  </si>
  <si>
    <t>Marble Retreat</t>
  </si>
  <si>
    <t>979-763-768-9</t>
  </si>
  <si>
    <t>253.5 SUS m</t>
  </si>
  <si>
    <t>Menjadi Konselor yang Profesional</t>
  </si>
  <si>
    <t>Pdt. Yakub .B. Susabda, Ph. D.</t>
  </si>
  <si>
    <t>979-415-429-6</t>
  </si>
  <si>
    <t>253.5 STU</t>
  </si>
  <si>
    <t>Studi Kasus Pastoral II Nusa Tenggara Timur</t>
  </si>
  <si>
    <t>Panitia Metode Studi Kasus GMIT/GKS</t>
  </si>
  <si>
    <t>979-542-209-X</t>
  </si>
  <si>
    <t>253.5 SAH K</t>
  </si>
  <si>
    <t>Konseling Krisis &amp; Terapi Singkat: Pertolongan di Saat-saat Sulit</t>
  </si>
  <si>
    <t>Hadi P.Sahardjo</t>
  </si>
  <si>
    <t>Pionir Jaya</t>
  </si>
  <si>
    <t>253.5 ABI p</t>
  </si>
  <si>
    <t>Percakapan Pastoral dalam Praktik</t>
  </si>
  <si>
    <t>979-9043-66-2</t>
  </si>
  <si>
    <t>253.08 ING s</t>
  </si>
  <si>
    <t>Sekelumit Tentang Gembala Sidang</t>
  </si>
  <si>
    <t>John Ingouf</t>
  </si>
  <si>
    <t>979-9342-39-2</t>
  </si>
  <si>
    <t>253 CAR c</t>
  </si>
  <si>
    <t>Charles Spurgeon Ahli Pidato yang Luar Biasa</t>
  </si>
  <si>
    <t>Pastoral</t>
  </si>
  <si>
    <t>J.C.Carlile</t>
  </si>
  <si>
    <t>979-415-673-6</t>
  </si>
  <si>
    <t>253.08 ABI p</t>
  </si>
  <si>
    <t xml:space="preserve">PENATUA </t>
  </si>
  <si>
    <t>979-415-689-2</t>
  </si>
  <si>
    <t>253.08 ABI d</t>
  </si>
  <si>
    <t xml:space="preserve">DIAKEN </t>
  </si>
  <si>
    <t>253 TID t</t>
  </si>
  <si>
    <t>Teologi Penggembalaan (suatu Pengeantar)</t>
  </si>
  <si>
    <t>Derek J. Tidball</t>
  </si>
  <si>
    <t>Gandum Emas</t>
  </si>
  <si>
    <t>979-415-601-9</t>
  </si>
  <si>
    <t>253 STO a</t>
  </si>
  <si>
    <t>Apakah Penggembalaan Itu?</t>
  </si>
  <si>
    <t>Prof. Dr. M. Bons-Storm</t>
  </si>
  <si>
    <t>344.09 NID M</t>
  </si>
  <si>
    <t>Meaning Across Cultures: American Society of Missiology Series, No. 4</t>
  </si>
  <si>
    <t>979-8131-00-2</t>
  </si>
  <si>
    <t>253 SHA p</t>
  </si>
  <si>
    <t>Sepuluh Pemikiran Besar dari Sejarah Gereja</t>
  </si>
  <si>
    <t>Mark Shaw</t>
  </si>
  <si>
    <t>253 PED</t>
  </si>
  <si>
    <t>Pedoman Bagi Gembala Sidang dan Pimpinan Jemaat</t>
  </si>
  <si>
    <t>William E. Pickthorn</t>
  </si>
  <si>
    <t xml:space="preserve">Yayasan Penerbit Gandum Mas </t>
  </si>
  <si>
    <t>979-415-340-0</t>
  </si>
  <si>
    <t>253 LEI m</t>
  </si>
  <si>
    <t>Melayani dengan Efektif: 34 Prinsip Pelayanan Bagi Pendeta Dan Kaum Awam</t>
  </si>
  <si>
    <t>Ronald W. Leigh</t>
  </si>
  <si>
    <t>253 BON a</t>
  </si>
  <si>
    <t>Dr. M. Bons-Storm</t>
  </si>
  <si>
    <t>252.9 SPU s</t>
  </si>
  <si>
    <t>SERMONS volume IX</t>
  </si>
  <si>
    <t>Rev. C.H Spurgeon</t>
  </si>
  <si>
    <t>Funk &amp; Wagnalls Company, London and Toronto</t>
  </si>
  <si>
    <t>252.59 NAI r</t>
  </si>
  <si>
    <t>Renungan Setiap Hari Lima Menit</t>
  </si>
  <si>
    <t>G.M.A. Nainggolan</t>
  </si>
  <si>
    <t>979-415-228-5</t>
  </si>
  <si>
    <t>252.55 ALL</t>
  </si>
  <si>
    <t>Allah Orang Muda(Renungan Khusus Untuk Pemuda)</t>
  </si>
  <si>
    <t>Dr. A.A. Sitompul dan Gr.Manahan Tampubolon</t>
  </si>
  <si>
    <t>252.09 ABI</t>
  </si>
  <si>
    <t>Firman Hidup 20</t>
  </si>
  <si>
    <t>252 SPU s</t>
  </si>
  <si>
    <t>Sermons volume VII</t>
  </si>
  <si>
    <t>Rev. C.H. Spurgeon</t>
  </si>
  <si>
    <t>Funk &amp; Wagnalls Company</t>
  </si>
  <si>
    <t>252 SEB</t>
  </si>
  <si>
    <t>Charismata Kumpulan Doa dan Berkat untuk Berbagai Penyembuhan</t>
  </si>
  <si>
    <t>RD. Alfons Sebatu PhD</t>
  </si>
  <si>
    <t>Grafika Mardi Yuana</t>
  </si>
  <si>
    <t>978-602-231-187-4</t>
  </si>
  <si>
    <t>252 RAP</t>
  </si>
  <si>
    <t>Iman Bikin Aman, Doa Bikin Nyaman</t>
  </si>
  <si>
    <t>Pdt. L.Z. Raprap</t>
  </si>
  <si>
    <t>978-979-687-184-1</t>
  </si>
  <si>
    <t>Selamat Mewaris (33 Renungan tentang Pusaka Hidup)</t>
  </si>
  <si>
    <t>978-979-687-458-3</t>
  </si>
  <si>
    <t xml:space="preserve">252 ISM </t>
  </si>
  <si>
    <t>Selamat Berkarunia (33 Renungan tengang Hidup Majemuk)</t>
  </si>
  <si>
    <t>978-979-9290-78-6</t>
  </si>
  <si>
    <t>Selamat Berbakti (33 Renungan tengang Ibadah)</t>
  </si>
  <si>
    <t>252 ISM</t>
  </si>
  <si>
    <t>978-079-415-102-0</t>
  </si>
  <si>
    <t>Selamat Mengikut Dia ! 33 Renungan tentang Kristus</t>
  </si>
  <si>
    <t>978-979-687-053-0</t>
  </si>
  <si>
    <t>Selamat Berkiprah</t>
  </si>
  <si>
    <t>979-415-161-9</t>
  </si>
  <si>
    <t>252 BAK k</t>
  </si>
  <si>
    <t xml:space="preserve">Khotbah-Khotbah Masa Kini 3 </t>
  </si>
  <si>
    <t>Drs. W. Bakker, dkk</t>
  </si>
  <si>
    <t>978-979-687-339-5</t>
  </si>
  <si>
    <t>252 AND s</t>
  </si>
  <si>
    <t>Selamat Berteman</t>
  </si>
  <si>
    <t>251.08 LEA n</t>
  </si>
  <si>
    <t>New Testament Illustrations for use in Bible Society Publications (Series 1: Illustrations by John Lear)</t>
  </si>
  <si>
    <t>979-25-6424-1</t>
  </si>
  <si>
    <t>251.08 GUN m</t>
  </si>
  <si>
    <t>Rhema Sorgawi (Volume 1) Menjadi Orang Kristen Yang Berbeda</t>
  </si>
  <si>
    <t>Sadikin Gunawan</t>
  </si>
  <si>
    <t>YPI Kawanan Kecil</t>
  </si>
  <si>
    <t>979-415-295-1</t>
  </si>
  <si>
    <t>251.01 JON k</t>
  </si>
  <si>
    <t>Khotbah Persiapan-Isi-Bentuk</t>
  </si>
  <si>
    <t>Dr. S.de Jong</t>
  </si>
  <si>
    <t>251.01 EVA c</t>
  </si>
  <si>
    <t>Cara Mempersiapkan Khotbah</t>
  </si>
  <si>
    <t>William Evans</t>
  </si>
  <si>
    <t>978-602-17845-0-1</t>
  </si>
  <si>
    <t>251.01 DIA</t>
  </si>
  <si>
    <t>Dian Penuntun Rancangan Khotbah Leksionari (Edisi 16 Mei 2013-November 2013)</t>
  </si>
  <si>
    <t>Komisi Pengadaan Materi Bina Sinode GKI</t>
  </si>
  <si>
    <t>Grafika KreasIndo</t>
  </si>
  <si>
    <t>251.01 DAU m</t>
  </si>
  <si>
    <t>Metodologi Penafsiran Perumpamaan Yesus</t>
  </si>
  <si>
    <t>Pdt. Dr. Paulus Daun, Th. M.</t>
  </si>
  <si>
    <t>Yayasan Daun Family, Manado</t>
  </si>
  <si>
    <t>979-9043-64-6</t>
  </si>
  <si>
    <t>251.01 BRO  m</t>
  </si>
  <si>
    <t>Menyampaikan Firman Allah dengan Efektif</t>
  </si>
  <si>
    <t>Dr. H. C. Brown</t>
  </si>
  <si>
    <t>251 VER k</t>
  </si>
  <si>
    <t>Khotbah-Khotbah Masa Kini 1</t>
  </si>
  <si>
    <t>Dr. J. Verkuyl</t>
  </si>
  <si>
    <t>251 ROT h</t>
  </si>
  <si>
    <t>Homiletika (Ilmu Berkhotbah)</t>
  </si>
  <si>
    <t>Dr.H.Rothlisberger</t>
  </si>
  <si>
    <t>251 RON b</t>
  </si>
  <si>
    <t>Bintang di Langit Pasir di laut (Kumpulan Khotbah)</t>
  </si>
  <si>
    <t>Jusuf Roni</t>
  </si>
  <si>
    <t>Yayasan ANDI</t>
  </si>
  <si>
    <t xml:space="preserve">251 RAN </t>
  </si>
  <si>
    <t>Rancangan Khotbah Edisi: Keduapuluh Sembilan Juni-November 2004</t>
  </si>
  <si>
    <t>Pdt. Willy Darmawan</t>
  </si>
  <si>
    <t>Komisi Bahan PA dan Rancangan Khotbah Badan Pekerja Majelis Sinode Gereja Kristen Indonesia</t>
  </si>
  <si>
    <t>979-415-165-3</t>
  </si>
  <si>
    <t>251 NDO f</t>
  </si>
  <si>
    <t xml:space="preserve">Firman Hidup 52 </t>
  </si>
  <si>
    <t>Pdt. M .Ndoen</t>
  </si>
  <si>
    <t>0-937396-30-3</t>
  </si>
  <si>
    <t>251 GIB p</t>
  </si>
  <si>
    <t>The Preacher And His Preaching</t>
  </si>
  <si>
    <t>Alfred  P.Gibbs</t>
  </si>
  <si>
    <t>Walterick Publishers</t>
  </si>
  <si>
    <t>251 DIA</t>
  </si>
  <si>
    <t>Dian Penuntun Rancangan Khotbah Leksionari (Edisi 12 Juni 2011- Nopember 2011)</t>
  </si>
  <si>
    <t>Komisi Rancangan Khotbah dan Bahan Pemahaman Alkitab Gereja Kristen Indonesia)</t>
  </si>
  <si>
    <t>Gereja Kristen Indonesia</t>
  </si>
  <si>
    <t>Dian Penuntun Rancangan Khotbah Leksionari (Edisi 09 Nopember 2009-Mei 2010)</t>
  </si>
  <si>
    <t>Dian Penuntun Rancangan Khotbah Leksionari (Edisi 07 November 2008-Mei 2009)</t>
  </si>
  <si>
    <t>979-415-963-8</t>
  </si>
  <si>
    <t>250.9 RUC s</t>
  </si>
  <si>
    <t>Sejarah Gereja Asia</t>
  </si>
  <si>
    <t>D.R.Anne Ruck</t>
  </si>
  <si>
    <t>250 UKU j</t>
  </si>
  <si>
    <t>Laporan Nasional Survai Menyeluruh Gereja di Indonesia Jerih dan Juang</t>
  </si>
  <si>
    <t>DR.F.Ukur dan D.R.F.L.Cooley</t>
  </si>
  <si>
    <t>Lembaga Penelitian dan Studi-DGI Jakarta</t>
  </si>
  <si>
    <t>250 RIC c</t>
  </si>
  <si>
    <t>Early Christian Fathers</t>
  </si>
  <si>
    <t>Cyril C.Richardson, Th.D., D.D.</t>
  </si>
  <si>
    <t>250 NAB m</t>
  </si>
  <si>
    <t>Menyampaikan Berita Kesukaan: Tugas Dan Panggilan Jemaat Di Tengah-tengah Lingkungannya</t>
  </si>
  <si>
    <t>Soritua Nababan</t>
  </si>
  <si>
    <t>979-9062-51-9</t>
  </si>
  <si>
    <t>248.8425 KEE t</t>
  </si>
  <si>
    <t>Tuhan Aku Ingin, Suamiku Mau Berdoa Bersama</t>
  </si>
  <si>
    <t>Larry Keefauver,D.Min.</t>
  </si>
  <si>
    <t>248.842 WHI</t>
  </si>
  <si>
    <t>Bung, Bahaya Menghadangmu!</t>
  </si>
  <si>
    <t>Jerry White</t>
  </si>
  <si>
    <t>NavPress Indonesia</t>
  </si>
  <si>
    <t>978-979-21-2897-0</t>
  </si>
  <si>
    <t>248.842 RAM a</t>
  </si>
  <si>
    <t>Adam Harus Bicara Sebuah Buku Lelaki</t>
  </si>
  <si>
    <t>248.842 CHA b</t>
  </si>
  <si>
    <t>Big Bible Promises for Men (Janji-janji Besar Allah bagi Para Pria)</t>
  </si>
  <si>
    <t>Alice Chapin</t>
  </si>
  <si>
    <t>979-1043-23-X</t>
  </si>
  <si>
    <t>248.84 MOO m</t>
  </si>
  <si>
    <t>Menjadi Wanita Kristen Paling Bahagia</t>
  </si>
  <si>
    <t>Moony</t>
  </si>
  <si>
    <t>Visimedia</t>
  </si>
  <si>
    <t>248.84 LAN p</t>
  </si>
  <si>
    <t>Pedoman Lengkap Janji-Janji Alkitab</t>
  </si>
  <si>
    <t>J.Stephen Lang</t>
  </si>
  <si>
    <t>0-8308-1608-9</t>
  </si>
  <si>
    <t>248.84 LAM f</t>
  </si>
  <si>
    <t>Following Jesus in the "Real World"</t>
  </si>
  <si>
    <t>Richard Lamb</t>
  </si>
  <si>
    <t>0-940232-08-1</t>
  </si>
  <si>
    <t>248.8 MOL s</t>
  </si>
  <si>
    <t>The Spiritual Guide Volume 5</t>
  </si>
  <si>
    <t>Michael Molinos</t>
  </si>
  <si>
    <t>SeedSowers Christian Books Publishing House</t>
  </si>
  <si>
    <t>248.8 LAR p</t>
  </si>
  <si>
    <t>Pedoman Pelayanan Bagi Pekerja di Ladang Tuhan</t>
  </si>
  <si>
    <t>James F.Larkin</t>
  </si>
  <si>
    <t>979-416-000-0</t>
  </si>
  <si>
    <t>248.8 KEB</t>
  </si>
  <si>
    <t>Kebersamaan Hidup</t>
  </si>
  <si>
    <t>Pdt.O.E.Ch. Wuwungan, D. Th. Dkk</t>
  </si>
  <si>
    <t>248.6 WAL</t>
  </si>
  <si>
    <t>Temukanlah Sendiri Sukacita Dalam Mempelajari Alkitab</t>
  </si>
  <si>
    <t>Oletta Wald</t>
  </si>
  <si>
    <t>978-979-687-511-5</t>
  </si>
  <si>
    <t xml:space="preserve">248.6 BEY </t>
  </si>
  <si>
    <t>Memberi dengan Sukacita (Tafsir dan Teologi Persembahan)</t>
  </si>
  <si>
    <t>Pdt.Dr.Ulrich Beyer dan Pdt. Evalina Simamora, S.Th.</t>
  </si>
  <si>
    <t>978-602-1603-05-5</t>
  </si>
  <si>
    <t>248.5 MET b</t>
  </si>
  <si>
    <t>Beritakan Kebenaran; Injil yang Seutuhnya Melalui Anugerah, Dikomunikasikan Dengan Penuh Kebenaran dan Kasih</t>
  </si>
  <si>
    <t>Will Metzger</t>
  </si>
  <si>
    <t>979-415-131-9</t>
  </si>
  <si>
    <t>248.40 KOY t</t>
  </si>
  <si>
    <t>Tidak Ada Gagang Pada Salib</t>
  </si>
  <si>
    <t>Kosuke Koyama</t>
  </si>
  <si>
    <t>248.4 WIL  d</t>
  </si>
  <si>
    <t>A Doctor Heals By Faith - The Reality of Sprritual Healing</t>
  </si>
  <si>
    <t>Rev. H.A Wilson</t>
  </si>
  <si>
    <t>Hodder &amp; Stoughton</t>
  </si>
  <si>
    <t>978-1-4335-2502-X</t>
  </si>
  <si>
    <t>248.4 TRU</t>
  </si>
  <si>
    <t>Luther on The Christian Life</t>
  </si>
  <si>
    <t>Carl R. Trueman</t>
  </si>
  <si>
    <t>Literatur Saat</t>
  </si>
  <si>
    <t>248.4 THO h</t>
  </si>
  <si>
    <t>Hidup Yesus dalam Hidupku</t>
  </si>
  <si>
    <t>Mayor W.Ian Thomas</t>
  </si>
  <si>
    <t>978-979-3315-25-6</t>
  </si>
  <si>
    <t>248.4 SHA</t>
  </si>
  <si>
    <t>"Sharing Life" Hidup Berbagi Untuk Berbagi Hidup</t>
  </si>
  <si>
    <t>Aya Susanti ( Editor )</t>
  </si>
  <si>
    <t>YT Leadership Foundation, Jkt</t>
  </si>
  <si>
    <t>978-979-21-4466-6</t>
  </si>
  <si>
    <t>248.4 PUR a</t>
  </si>
  <si>
    <t>Allah Menyertai Keluarga - Menggali Inspirasi Dari Alkitab</t>
  </si>
  <si>
    <t>Albertus Purnomo</t>
  </si>
  <si>
    <t>979-415-142-4</t>
  </si>
  <si>
    <t>248.4 PAT p</t>
  </si>
  <si>
    <t>Pedoman Bagi Orang Kristen Baru</t>
  </si>
  <si>
    <t>Leroy 'Pat' Patterson</t>
  </si>
  <si>
    <t xml:space="preserve">248.4 MAS       </t>
  </si>
  <si>
    <t>The Message Of The Bible</t>
  </si>
  <si>
    <t>Guideposts, Carmel Newyork</t>
  </si>
  <si>
    <t>978-979-17892-0-2</t>
  </si>
  <si>
    <t>248.4 LUM m</t>
  </si>
  <si>
    <t>Menjadi Kristen</t>
  </si>
  <si>
    <t>D.J.Lumenta</t>
  </si>
  <si>
    <t>TERANG</t>
  </si>
  <si>
    <t>979-415-499-7</t>
  </si>
  <si>
    <t>248.4 HAD d</t>
  </si>
  <si>
    <t>Dialog dan Edukasi</t>
  </si>
  <si>
    <t>N.K. Atmadja Hadinoto</t>
  </si>
  <si>
    <t>979-504-105-3</t>
  </si>
  <si>
    <t>248.4 BRE</t>
  </si>
  <si>
    <t>Penuntun Alat Peraga Baru (Panduan Pendalaman Alkitab untuk Perorangan, Keluarga atau Kelompok)</t>
  </si>
  <si>
    <t>Frank Breaden</t>
  </si>
  <si>
    <t>248.4 POL p</t>
  </si>
  <si>
    <t>Pola Hidup Kristen</t>
  </si>
  <si>
    <t>248.34 MES s</t>
  </si>
  <si>
    <t>Seratus 75 Renungan Inspiratif</t>
  </si>
  <si>
    <t>Pdt.Dr. Olly E. Mesach, M.Th</t>
  </si>
  <si>
    <t>248.32 PRO</t>
  </si>
  <si>
    <t>Indonesia: Profil Doa Suku-Suku Yang Terabaikan</t>
  </si>
  <si>
    <t>Persekutuan Jaringan Riset Nasional-PJRN</t>
  </si>
  <si>
    <t>979-415-380-X</t>
  </si>
  <si>
    <t>248.32 MAR d</t>
  </si>
  <si>
    <t>Doa yang Dikabulkan</t>
  </si>
  <si>
    <t>Catherine Marshal</t>
  </si>
  <si>
    <t>0-9638077-0-6</t>
  </si>
  <si>
    <t>248.32 KID</t>
  </si>
  <si>
    <t>Kidung Rohani Buku Pujian Gereja Yesus Sejati</t>
  </si>
  <si>
    <t>Departemen Literatur Gereja Yesus Sejati Pusat Indonesia</t>
  </si>
  <si>
    <t>978-0-9850296-2-3</t>
  </si>
  <si>
    <t>248.32 EAS a</t>
  </si>
  <si>
    <t>A Watchman's Guide to Praying God's Promises</t>
  </si>
  <si>
    <t>Dick Eastman</t>
  </si>
  <si>
    <t>Every Home for Christ</t>
  </si>
  <si>
    <t>248.3 SMI w</t>
  </si>
  <si>
    <t xml:space="preserve">Worship and Hymns for all Accasions </t>
  </si>
  <si>
    <t>Dorothy Alden Smith</t>
  </si>
  <si>
    <t>0-8007-0843-1</t>
  </si>
  <si>
    <t>248.3 MIT p</t>
  </si>
  <si>
    <t>Praying Jesus Way A New Approach to Personel Prayer</t>
  </si>
  <si>
    <t>Curtis C. Mitchell</t>
  </si>
  <si>
    <t>978-0-8028-6540-3</t>
  </si>
  <si>
    <t>248.29 PIL</t>
  </si>
  <si>
    <t>Flights of the Soul</t>
  </si>
  <si>
    <t>978-979-26-1460-2</t>
  </si>
  <si>
    <t>248.24 HAN</t>
  </si>
  <si>
    <t xml:space="preserve">40 Kebiasaan Katolik dan Akar Biblisnya </t>
  </si>
  <si>
    <t xml:space="preserve">Scott Hahn </t>
  </si>
  <si>
    <t xml:space="preserve">Dioma Publishing </t>
  </si>
  <si>
    <t>248.2. TAT l</t>
  </si>
  <si>
    <t>LAKSMI ( Sebuah Kesaksian )</t>
  </si>
  <si>
    <t>Tati S.L Tobing- Kartohadiprojo</t>
  </si>
  <si>
    <t>Unit Publikasi dan Informasi</t>
  </si>
  <si>
    <t>978-979-687-505-4</t>
  </si>
  <si>
    <t>248.2 YAH t</t>
  </si>
  <si>
    <t>Titik Nol</t>
  </si>
  <si>
    <t>Pdt.Ayub Yahya</t>
  </si>
  <si>
    <t>0-06-440031-X</t>
  </si>
  <si>
    <t>248.2 WIL f</t>
  </si>
  <si>
    <t xml:space="preserve">The First Your Years </t>
  </si>
  <si>
    <t>Laura Ingalls</t>
  </si>
  <si>
    <t>0-06-026476-8</t>
  </si>
  <si>
    <t>The First Four Years</t>
  </si>
  <si>
    <t>Laura Ingalls Wilder</t>
  </si>
  <si>
    <t>Harper Trophy Book</t>
  </si>
  <si>
    <t>979-415-306-0</t>
  </si>
  <si>
    <t>248.2 TAN t</t>
  </si>
  <si>
    <t>Tiada Hidup Tanpa Agama</t>
  </si>
  <si>
    <t>Pdt. Victor  I. Tanya, M.Th., Ph. D.</t>
  </si>
  <si>
    <t>248.2 SIT d</t>
  </si>
  <si>
    <t>Di Pintu Gerbang Pembinaan Warga Gereja 3</t>
  </si>
  <si>
    <t>Dr.A.A.Sitompul</t>
  </si>
  <si>
    <t>Di Pintu Gerbang Pembinaan Warga Gereja 2 (Pendidikan dan Kebudayaan)</t>
  </si>
  <si>
    <t>979-3106-80-8</t>
  </si>
  <si>
    <t>248.2 SCO r</t>
  </si>
  <si>
    <t>Rome Sweet Home (Roma Rumahku)</t>
  </si>
  <si>
    <t>Scott dan Kimberly Hahn</t>
  </si>
  <si>
    <t>248.2 PES</t>
  </si>
  <si>
    <t>Pesan-Pesan Kasih II ( Bunda Sang Penyelamat Berbicara Kepada Dunia Dari Naju, Korea)</t>
  </si>
  <si>
    <t>Bernadette Vega Guinadi</t>
  </si>
  <si>
    <t>Marian Centre Indonesia</t>
  </si>
  <si>
    <t>979-415-597-7</t>
  </si>
  <si>
    <t>248.2 PAT f</t>
  </si>
  <si>
    <t>Firman Hidup 49</t>
  </si>
  <si>
    <t>Robert Patterson</t>
  </si>
  <si>
    <t>248.2 NAO h</t>
  </si>
  <si>
    <t>Haruskah Aku Bunuh Diri? Dan 8 Kesaksian Lainnya</t>
  </si>
  <si>
    <t>Naomi, dkk</t>
  </si>
  <si>
    <t>0-19-503569-0</t>
  </si>
  <si>
    <t>248.2 MAL g</t>
  </si>
  <si>
    <t>Glossolalia Behavioral Science Perspectives on Speaking in Tongues</t>
  </si>
  <si>
    <t>H. Newton Malony &amp; A. Adams Lovekin</t>
  </si>
  <si>
    <t>248.2 HAY t</t>
  </si>
  <si>
    <t>On The Throne of The World</t>
  </si>
  <si>
    <t>Carlyle B. Haynes</t>
  </si>
  <si>
    <t>Southern Publishing Association</t>
  </si>
  <si>
    <t>09-01-031-5</t>
  </si>
  <si>
    <t>248.2 FRI d</t>
  </si>
  <si>
    <t>Dari Beirut Ke Jerusalem</t>
  </si>
  <si>
    <t>Thomas L. Friedman</t>
  </si>
  <si>
    <t>Erlangga</t>
  </si>
  <si>
    <t>248.2 DAR t</t>
  </si>
  <si>
    <t>Tuhan dari Poci dan Panji</t>
  </si>
  <si>
    <t>Pdt. Eka Darmaputera</t>
  </si>
  <si>
    <t>979-17349-8-4</t>
  </si>
  <si>
    <t>248.2 DAR k</t>
  </si>
  <si>
    <t>Kita Lebih Dari Pemenang</t>
  </si>
  <si>
    <t>0-564-084352</t>
  </si>
  <si>
    <t>248.2 BRI s</t>
  </si>
  <si>
    <t>Stepping Aside</t>
  </si>
  <si>
    <t>England</t>
  </si>
  <si>
    <t>David Brindley</t>
  </si>
  <si>
    <t>Biddles, Ltd, Guildford</t>
  </si>
  <si>
    <t>979-415-151-3</t>
  </si>
  <si>
    <t>248.2 BOE d</t>
  </si>
  <si>
    <t>Dapatkah Orang Kaya Masuk Sorga?</t>
  </si>
  <si>
    <t>Conrad Boerma</t>
  </si>
  <si>
    <t>248 TOR r</t>
  </si>
  <si>
    <t>Rahasia Berhasilnja Kehidupan Kristen</t>
  </si>
  <si>
    <t>R.A. Torrey</t>
  </si>
  <si>
    <t>248 SEA a</t>
  </si>
  <si>
    <t>The Art Of Selfishness</t>
  </si>
  <si>
    <t>David Seabury</t>
  </si>
  <si>
    <t>Simon And Schuster</t>
  </si>
  <si>
    <t>978-602-231-517-9</t>
  </si>
  <si>
    <t>248 SAI</t>
  </si>
  <si>
    <t>Merenung-Renungkan Renungan</t>
  </si>
  <si>
    <t>Weinata Sairin</t>
  </si>
  <si>
    <t>979-687-183-1</t>
  </si>
  <si>
    <t>248 RET p</t>
  </si>
  <si>
    <t>Perempuan-perempuan dalam Alkitab (Peran Partisipasi &amp; Perjuangannya)</t>
  </si>
  <si>
    <t>Retnowati</t>
  </si>
  <si>
    <t>979-001-003-6</t>
  </si>
  <si>
    <t>248 HAG a</t>
  </si>
  <si>
    <t>Aku Pernah Ke Neraka</t>
  </si>
  <si>
    <t>Kenneth E. Hagin</t>
  </si>
  <si>
    <t>978-0-8028-6560-1</t>
  </si>
  <si>
    <t>248 GRE o</t>
  </si>
  <si>
    <t>An Outline of New Testament Spirituality</t>
  </si>
  <si>
    <t>Prosper Grech</t>
  </si>
  <si>
    <t>979-429-353-9</t>
  </si>
  <si>
    <t>248 GOR k</t>
  </si>
  <si>
    <t>Keheningan Di Batas Malam</t>
  </si>
  <si>
    <t>P. Gabrill Goran, SVD</t>
  </si>
  <si>
    <t>248 DAR</t>
  </si>
  <si>
    <t>Dari Sahabat - Kumpulan Tulisan Untuk Bopha dan Yosafat dalam rangka Penahbisan Pendeta</t>
  </si>
  <si>
    <t>GKI Ayudia - GKI Sudirman</t>
  </si>
  <si>
    <t>979-415-534-9</t>
  </si>
  <si>
    <t>248 BER</t>
  </si>
  <si>
    <t>Berakar di dalam Dia &amp; Dibangun di atas Dia</t>
  </si>
  <si>
    <t>Dr.Robert P. Borrong, dkk</t>
  </si>
  <si>
    <t>978-602-19416-6-9</t>
  </si>
  <si>
    <t>248  TUA  r</t>
  </si>
  <si>
    <t>Rukun Itu Indah</t>
  </si>
  <si>
    <t>Magyolin Carolina Tuasuun</t>
  </si>
  <si>
    <t>978-0-8010-3612-5</t>
  </si>
  <si>
    <t>246.9 NET a</t>
  </si>
  <si>
    <t>The Architecture of Herod the Great Builder</t>
  </si>
  <si>
    <t>Ehud Netzer</t>
  </si>
  <si>
    <t>978-3-438-04812-7</t>
  </si>
  <si>
    <t>246.75 REI m</t>
  </si>
  <si>
    <t>Musik Geschichten der Bibel</t>
  </si>
  <si>
    <t>246.55 SUB k</t>
  </si>
  <si>
    <t>Kristen Singa Memenuhi Panggilan Yesus Kristus sebagai Singa dari Suku Yehuda dan Melewati Jalan yang Telah Ditetapkan-Nya</t>
  </si>
  <si>
    <t>Pdt.Ir. Timotius Subekti</t>
  </si>
  <si>
    <t>0-8028-4676-9</t>
  </si>
  <si>
    <t>246.55 STE s</t>
  </si>
  <si>
    <t>Symbols of The Christian Faith</t>
  </si>
  <si>
    <t>Alva William Steffler</t>
  </si>
  <si>
    <t>246.55 HAR l</t>
  </si>
  <si>
    <t>Lambang-lambang di Perjanjian Lama</t>
  </si>
  <si>
    <t>Ralph W. Harris</t>
  </si>
  <si>
    <t>0-300-06440-3</t>
  </si>
  <si>
    <t xml:space="preserve">246.09 DAN </t>
  </si>
  <si>
    <t>Material Christianity</t>
  </si>
  <si>
    <t>Colleen McDannell</t>
  </si>
  <si>
    <t>979-687-237-4</t>
  </si>
  <si>
    <t>243 TIM b</t>
  </si>
  <si>
    <t>Pemberita Firman Pencinta Budaya</t>
  </si>
  <si>
    <t>DR.Eben Nuban Timo</t>
  </si>
  <si>
    <t>979-3292-09-1</t>
  </si>
  <si>
    <t>242.8 ROS d</t>
  </si>
  <si>
    <t xml:space="preserve">Buku Pertamaku </t>
  </si>
  <si>
    <t>Philip Ross</t>
  </si>
  <si>
    <t>242.8 CAR b</t>
  </si>
  <si>
    <t>Bless This Mess &amp; Other Prayers</t>
  </si>
  <si>
    <t>Jo Carr dan Imogene Sorley</t>
  </si>
  <si>
    <t>0-8096-1861-3</t>
  </si>
  <si>
    <t>242.8 CAM w</t>
  </si>
  <si>
    <t>Where Cross The Crowded Ways</t>
  </si>
  <si>
    <t>Ernest T. Campbell</t>
  </si>
  <si>
    <t xml:space="preserve">Association Press </t>
  </si>
  <si>
    <t>978-979-687-301-2</t>
  </si>
  <si>
    <t>242.2 WAL a</t>
  </si>
  <si>
    <t>242 LUC t</t>
  </si>
  <si>
    <t>Traveling Light</t>
  </si>
  <si>
    <t xml:space="preserve">Max Lucado </t>
  </si>
  <si>
    <t>GOSPEL PRESS</t>
  </si>
  <si>
    <t>979-415-035-5</t>
  </si>
  <si>
    <t>242 HEY</t>
  </si>
  <si>
    <t>Perjamuan Tuhan Studi Mengenai Paskah dan Perjamuan Kudus Bertolak dari Penafsiran dan Teologi Alkitabiah</t>
  </si>
  <si>
    <t>Dr. C.J. Den Heyer</t>
  </si>
  <si>
    <t>241.66 EVA</t>
  </si>
  <si>
    <t>Evangelium Vitae (Injil Kehidupan)</t>
  </si>
  <si>
    <t>R. Hardawiryana, SJ</t>
  </si>
  <si>
    <t>978-602-8073-27-1</t>
  </si>
  <si>
    <t>241.6 BUR</t>
  </si>
  <si>
    <t>Teaching Your Children Healthy Sexuality</t>
  </si>
  <si>
    <t>Jim Burns</t>
  </si>
  <si>
    <t>Visi Anugerah Indonesia</t>
  </si>
  <si>
    <t>978-0-8028-6863-3</t>
  </si>
  <si>
    <t>241.6 BRO b</t>
  </si>
  <si>
    <t xml:space="preserve">Bible Gender Sexuality </t>
  </si>
  <si>
    <t>James v. Brownson</t>
  </si>
  <si>
    <t>978-979-21-4276-1</t>
  </si>
  <si>
    <t>241.53 MAR k</t>
  </si>
  <si>
    <t>Khotbah Di Bukit</t>
  </si>
  <si>
    <t>Kanisius - LBI</t>
  </si>
  <si>
    <t>241.3 DAR r</t>
  </si>
  <si>
    <t>Roh Kudus Memperbarui Hidup Kita</t>
  </si>
  <si>
    <t>Pdt. Eka Darmaputera, Ph.D.</t>
  </si>
  <si>
    <t xml:space="preserve">Gloria Graffa </t>
  </si>
  <si>
    <t xml:space="preserve">241.2 TAN </t>
  </si>
  <si>
    <t>Declare His Glory (Nyatakanlah Kemuliaan-Nya)</t>
  </si>
  <si>
    <t>Dr.Abraham Alex Tanuseputera</t>
  </si>
  <si>
    <t>Yayasan Pekabarn Injil Immanuel</t>
  </si>
  <si>
    <t>0-5670-4322-3</t>
  </si>
  <si>
    <t>241.0412  HOR  s</t>
  </si>
  <si>
    <t>Solidarity And Difference - A Contemporary Reading of Paul's Ethics</t>
  </si>
  <si>
    <t>David. G. Horrell</t>
  </si>
  <si>
    <t>90-00-02474-9</t>
  </si>
  <si>
    <t>241 ZON  w</t>
  </si>
  <si>
    <t>Werkboekje bij de 20 edruk van Het (Oranje Kruis Boekje)</t>
  </si>
  <si>
    <t>71a</t>
  </si>
  <si>
    <t>Van Goor Zonen</t>
  </si>
  <si>
    <t>978-602-95128-8-5</t>
  </si>
  <si>
    <t>241 SOS</t>
  </si>
  <si>
    <t>Etika Perjanjian Lama</t>
  </si>
  <si>
    <t>Pdt. DR. Karel Sosipater</t>
  </si>
  <si>
    <t>Suara Harapan Bangsa</t>
  </si>
  <si>
    <t>978-0801048401</t>
  </si>
  <si>
    <t>241 SLO</t>
  </si>
  <si>
    <t>At Home in a Strange Land: Using the Old Testament Christian Ethics</t>
  </si>
  <si>
    <t>Andrew Sloane</t>
  </si>
  <si>
    <t>979-415-288-9</t>
  </si>
  <si>
    <t>241 NAP</t>
  </si>
  <si>
    <t>Jalan Yang Lebih Utama Lagi (Etika Perjanjian Baru)</t>
  </si>
  <si>
    <t>Pdt.Drs. Henkten Napel</t>
  </si>
  <si>
    <t>978-979-772-041-4</t>
  </si>
  <si>
    <t>241 MAN c</t>
  </si>
  <si>
    <t>Carita Orang Basudara: Kisah-kisah Pendamaian dari Maluku</t>
  </si>
  <si>
    <t>Jacky Manuputty, Zairin Salampessy, Dkk</t>
  </si>
  <si>
    <t>Lembaga Antar Umum Maluku</t>
  </si>
  <si>
    <t>241 JON</t>
  </si>
  <si>
    <t>Hukum Kemerdekaan Buku Pegangan Etik Kristen Bagian Umum 1</t>
  </si>
  <si>
    <t>Dr.J.A.B. Jongeneel</t>
  </si>
  <si>
    <t>978-0-521-09085-8</t>
  </si>
  <si>
    <t>241 HAL</t>
  </si>
  <si>
    <t>Prioritas Christian Ethics</t>
  </si>
  <si>
    <t>Garth L. Hallett</t>
  </si>
  <si>
    <t>978-602-8009-54-6</t>
  </si>
  <si>
    <t xml:space="preserve">241 FOS </t>
  </si>
  <si>
    <t>Corak Watak Manusia dalam Alkitab</t>
  </si>
  <si>
    <t>Harry Foster</t>
  </si>
  <si>
    <t>979-415-813-5</t>
  </si>
  <si>
    <t>241 DRU t</t>
  </si>
  <si>
    <t>Teologi dan Ekologi Buku Pegangan</t>
  </si>
  <si>
    <t>Celia Deane-Drummond</t>
  </si>
  <si>
    <t>979-415-187-4</t>
  </si>
  <si>
    <t>241 DAR p</t>
  </si>
  <si>
    <t>Etika Sederhana Untuk Semua</t>
  </si>
  <si>
    <t>Dr.Phil. Eka Darmaputera</t>
  </si>
  <si>
    <t>979-672-765-X</t>
  </si>
  <si>
    <t>241 CHA p</t>
  </si>
  <si>
    <t>Pengantar Teologi Moral</t>
  </si>
  <si>
    <t>Dr.William Chang, OFMCap.</t>
  </si>
  <si>
    <t>241 BOR a</t>
  </si>
  <si>
    <t>Adven dan Kepedulian Terhadap Lingkungan</t>
  </si>
  <si>
    <t>Dr.R.P.Borrong</t>
  </si>
  <si>
    <t>UPI STT Jakarta</t>
  </si>
  <si>
    <t>978-979-1322-01-0</t>
  </si>
  <si>
    <t>240 UNA h</t>
  </si>
  <si>
    <t>Hidup dalam Etika Kristen (Seri Pelajaran Alkitab Praktis)</t>
  </si>
  <si>
    <t>240 DEW s</t>
  </si>
  <si>
    <t>Supaya Kami Ternyata Tahan Uji</t>
  </si>
  <si>
    <t>Dewan-Dewan Gereja-Gereja di Indonesia</t>
  </si>
  <si>
    <t>Departemen Pembinaan dan Pendidikan Dewan Gereja-gereja di Indonesia</t>
  </si>
  <si>
    <t>240 SIT</t>
  </si>
  <si>
    <t>Di Pintu Gerbang Pembinaan Warga Gereja 1 (Pendidikan dan Kebudayaan)</t>
  </si>
  <si>
    <t>Dr.A.A Sitompul</t>
  </si>
  <si>
    <t xml:space="preserve">240 MEM </t>
  </si>
  <si>
    <t>Membina Bersama - Laporan Konsultasi Nasional Pembinaan Warga Gereja, Malang 16-22 Pebruari 2017</t>
  </si>
  <si>
    <t>240 ABE p</t>
  </si>
  <si>
    <t>Pembinaan Warga Gereja: Pengertian, Proses, Evaluasi, dan Usaha Memotivasi</t>
  </si>
  <si>
    <t>BA. Abednego, Widi Artanto</t>
  </si>
  <si>
    <t>Persekutuan Gereja-Gereja di Indonesia</t>
  </si>
  <si>
    <t>0-268-00578-8</t>
  </si>
  <si>
    <t>239.1 FLO</t>
  </si>
  <si>
    <t>Aspects of Religious Propaganda in Judaism and Early Christianity</t>
  </si>
  <si>
    <t>Ellisabeth Schussler Fiorenza</t>
  </si>
  <si>
    <t>University of Notre Dame</t>
  </si>
  <si>
    <t>239 MCD a2</t>
  </si>
  <si>
    <t>Apologetika Volume 2 (Bukti yang Meneguhkan Kebenaran Alkitab)</t>
  </si>
  <si>
    <t xml:space="preserve">Josh McDowell </t>
  </si>
  <si>
    <t xml:space="preserve">Gandum Mas </t>
  </si>
  <si>
    <t>978-979-29-1127-5</t>
  </si>
  <si>
    <t>239 LOL m</t>
  </si>
  <si>
    <t>Menyibak Kontroversi Dugaan Ketidakaslian Alkitab</t>
  </si>
  <si>
    <t>Ir. Harold Lolowang, M.Sc.</t>
  </si>
  <si>
    <t>0-8024-8594-4</t>
  </si>
  <si>
    <t>239 LEW t</t>
  </si>
  <si>
    <t>Testing Christianity's Truth Claims</t>
  </si>
  <si>
    <t>Gordon R.Lewis</t>
  </si>
  <si>
    <t>239  McD  a1</t>
  </si>
  <si>
    <t>Apologetika Volume 1</t>
  </si>
  <si>
    <t>979-731-9210</t>
  </si>
  <si>
    <t>236.9  PAN  e</t>
  </si>
  <si>
    <t>Eskatologi Biblika - Tinjauan Alkitabiah Tentang Akhir Zaman : Pengangkatan Gereja, Masa Tribulasi, Kerajaan Syalom, Kerajaan Kekal.</t>
  </si>
  <si>
    <t>Andi Offset, Yogyakarta</t>
  </si>
  <si>
    <t>978-602-1919-682</t>
  </si>
  <si>
    <t>236.3 SAB k</t>
  </si>
  <si>
    <t>Kematian Yang Menghidupkan -Suara Kebenaran Daily Enlightenment</t>
  </si>
  <si>
    <t>Dr. Erastus Sabdono</t>
  </si>
  <si>
    <t>Relite</t>
  </si>
  <si>
    <t>236.25 MUH w</t>
  </si>
  <si>
    <t>Wahyu Tentang Neraka</t>
  </si>
  <si>
    <t>Muhamad Nurdin</t>
  </si>
  <si>
    <t>979-001-077-X</t>
  </si>
  <si>
    <t>236.25 BYU o</t>
  </si>
  <si>
    <t>Orang Kristen Masuk Neraka? Memastikan Diri Menjadi Orang Kristen yang Sejati dan Menjadi Ahli Waris Kerajaan Allah</t>
  </si>
  <si>
    <t>Seung Woo Byun</t>
  </si>
  <si>
    <t>979-763-429-9</t>
  </si>
  <si>
    <t>236.24  PIP  m</t>
  </si>
  <si>
    <t>90 Minutes I Heaven - Sebuah Kesaksian Tentang Surga &amp; Kematian</t>
  </si>
  <si>
    <t>Don Piper &amp; Cecil Murphey</t>
  </si>
  <si>
    <t>979-504-124-X</t>
  </si>
  <si>
    <t>236.2 WHI k</t>
  </si>
  <si>
    <t>Kemenangan Akhir</t>
  </si>
  <si>
    <t>Ellen G.White</t>
  </si>
  <si>
    <t>236.2 MUN a</t>
  </si>
  <si>
    <t>Apakah Alkitab Meramalkan Masa Depan?</t>
  </si>
  <si>
    <t>978-0-8026-6665-3</t>
  </si>
  <si>
    <t>236.2  THI  l</t>
  </si>
  <si>
    <t>Life After Death, A New Approach To The Last Things</t>
  </si>
  <si>
    <t>Anthony C. Thisselton</t>
  </si>
  <si>
    <t>236 WIL e</t>
  </si>
  <si>
    <t>Eskatologi, Studi Alkitabiah yang Dibutuhkan Tentang Akhir Zaman</t>
  </si>
  <si>
    <t>H. L. Willmington</t>
  </si>
  <si>
    <t>0-8028-4733-1</t>
  </si>
  <si>
    <t>236 SCH e</t>
  </si>
  <si>
    <t>Eschatology</t>
  </si>
  <si>
    <t>Hans Schwarz</t>
  </si>
  <si>
    <t>978-979-415-518-9</t>
  </si>
  <si>
    <t>236 BEY g</t>
  </si>
  <si>
    <t xml:space="preserve">Garis-garis Besar Eskatologi dalam Perjanjian Baru </t>
  </si>
  <si>
    <t>Dr.Ulrich Beyer</t>
  </si>
  <si>
    <t>979-8307-16-X</t>
  </si>
  <si>
    <t>230 BER t</t>
  </si>
  <si>
    <t>Teologi Sistematika 6, Doktrin Akhir Jaman</t>
  </si>
  <si>
    <t>Louis Berkhof</t>
  </si>
  <si>
    <t>979-415-666-3</t>
  </si>
  <si>
    <t>236 BAR k</t>
  </si>
  <si>
    <t>Kasih Yang Tak Terperi</t>
  </si>
  <si>
    <t>978-1-629-95-090-7</t>
  </si>
  <si>
    <t>236  MAT  f</t>
  </si>
  <si>
    <t>From Age To Age - The Unfolding of Biblical Eschatology</t>
  </si>
  <si>
    <t>Keith A. Mathison</t>
  </si>
  <si>
    <t>P &amp; R Publisher</t>
  </si>
  <si>
    <t>235.47 HAR s</t>
  </si>
  <si>
    <t>Kemenangan Atas Satan</t>
  </si>
  <si>
    <t xml:space="preserve">Leo Harris </t>
  </si>
  <si>
    <t xml:space="preserve">YAPENRI </t>
  </si>
  <si>
    <t>978-979-1270-47-2</t>
  </si>
  <si>
    <t>235.47 BAX</t>
  </si>
  <si>
    <t>Sebuah Penyingkapan tentang Pembebasan Dari Serangan Iblis</t>
  </si>
  <si>
    <t>Mary K. Baxter</t>
  </si>
  <si>
    <t>Light Publishing</t>
  </si>
  <si>
    <t>979-26-1328-5</t>
  </si>
  <si>
    <t>235 KRE a</t>
  </si>
  <si>
    <t>Angels dan Demons, Malaikat dan Iblis, Apa yang Kita Tahu tentang Mereka</t>
  </si>
  <si>
    <t>DR.Peter Kreeft</t>
  </si>
  <si>
    <t>978-1-58134-964-1</t>
  </si>
  <si>
    <t>234.7  PIP  f</t>
  </si>
  <si>
    <t>The Future of Justification, A Response to N.T. Wright</t>
  </si>
  <si>
    <t>John Piper</t>
  </si>
  <si>
    <t>979-25-6425-X</t>
  </si>
  <si>
    <t>234.5 UNA h</t>
  </si>
  <si>
    <t>Hidup Baru di dalam Kristus (Seri Pelajaran Alkitab Praktis)</t>
  </si>
  <si>
    <t>979-1029-01-6</t>
  </si>
  <si>
    <t>234.5 UNA b</t>
  </si>
  <si>
    <t>Bertumbuh dalam Karakter Baru, Seri Pelajaran Alkitab Praktis untuk Pribadi, Keluarga dan Kelompok Sel</t>
  </si>
  <si>
    <t>979-21-1385-1</t>
  </si>
  <si>
    <t>234.5 PRA p</t>
  </si>
  <si>
    <t>Panduan Menjadi Katolik</t>
  </si>
  <si>
    <t>L. Prasetya, Pr</t>
  </si>
  <si>
    <t>978-979-21-1709-7</t>
  </si>
  <si>
    <t>234.5 HAD p</t>
  </si>
  <si>
    <t>Pertobatan dalam Tradisi Katolik</t>
  </si>
  <si>
    <t>Al.Purwa Hadiwardoyo, MSF</t>
  </si>
  <si>
    <t>234.5 DAR p</t>
  </si>
  <si>
    <t>Pengharapan Memberi Keberanian</t>
  </si>
  <si>
    <t>Eka Darmaputera Ph. D</t>
  </si>
  <si>
    <t>979-8555-49-X</t>
  </si>
  <si>
    <t>234.5 CAR m</t>
  </si>
  <si>
    <t>Mempertanggungjawabkan Iman Katolik buku kelima</t>
  </si>
  <si>
    <t>Dr. H. Pidyarto O. Carm</t>
  </si>
  <si>
    <t>Dioma</t>
  </si>
  <si>
    <t>979-415-171-8</t>
  </si>
  <si>
    <t>234.5  SOE  p</t>
  </si>
  <si>
    <t>Pertobatan</t>
  </si>
  <si>
    <t>Jay Robinson</t>
  </si>
  <si>
    <t>BPK. Gunung Agung</t>
  </si>
  <si>
    <t>234.3  TAK  c</t>
  </si>
  <si>
    <t xml:space="preserve">Cara Menghidupkan Mayat di dalam Terang Firman Allah </t>
  </si>
  <si>
    <t>Pondsius Takaliuang</t>
  </si>
  <si>
    <t>Yayasan Pekabaran Injil Indonesia dengan Gandum Mas</t>
  </si>
  <si>
    <t>979-415-279-X</t>
  </si>
  <si>
    <t>234.23 SOE p</t>
  </si>
  <si>
    <t>Pokok-pokok Iman yang Perlu Ditekankan</t>
  </si>
  <si>
    <t>Dr.R. Soedarmo</t>
  </si>
  <si>
    <t>234.23 SOE b</t>
  </si>
  <si>
    <t>Berakar, Tumbuh, Berkembang &amp; Berbuah: Mengupas Kisah Perjalanan Injil di GKP Jemaat Kampung Sawah</t>
  </si>
  <si>
    <t>DR. Koernia Atje Soejana S. Th.</t>
  </si>
  <si>
    <t>Majelis Gereja Kristen Pasundan Kampung Sawah</t>
  </si>
  <si>
    <t>234.23 PRI   p</t>
  </si>
  <si>
    <t>Pertanyaan Tentang Iman Kristen Dijawab dari Alkitab</t>
  </si>
  <si>
    <t>Derek Prime</t>
  </si>
  <si>
    <t>234.23 PAL</t>
  </si>
  <si>
    <t>Menggapai Terang</t>
  </si>
  <si>
    <t>Pendeta E. Palis</t>
  </si>
  <si>
    <t>BPH Majelis Sinode GKE</t>
  </si>
  <si>
    <t>978-602-17030-0-7</t>
  </si>
  <si>
    <t>234.23 RAM j</t>
  </si>
  <si>
    <t>Jalinan Sejuta Ilalang, Pergumulan, Tantangan dan Harapan</t>
  </si>
  <si>
    <t>Aguswati Hildebrandt Rambe dkk</t>
  </si>
  <si>
    <t>Yayasan OASE INTIM</t>
  </si>
  <si>
    <t>234.23 LIF f</t>
  </si>
  <si>
    <t>Firman Allah dan Kuasa Iman</t>
  </si>
  <si>
    <t>Harvey M. Lifsey</t>
  </si>
  <si>
    <t>978-0-8028-0399-3</t>
  </si>
  <si>
    <t>234.23 JOH s</t>
  </si>
  <si>
    <t>Sharing Possessions (What Faith Demands)</t>
  </si>
  <si>
    <t>978-979-415-117-4</t>
  </si>
  <si>
    <t>234.23 BOL i</t>
  </si>
  <si>
    <t>Intisari Iman Kristen</t>
  </si>
  <si>
    <t>Dr.B.J.Boland</t>
  </si>
  <si>
    <t>234.23 AMB s</t>
  </si>
  <si>
    <t>Siap Sedia Memberi Jawab Iman</t>
  </si>
  <si>
    <t>234.23 ABI a</t>
  </si>
  <si>
    <t>Aku Percaya Kepada Allah</t>
  </si>
  <si>
    <t>Dr.J.L.Ch. Abineno</t>
  </si>
  <si>
    <t xml:space="preserve">978-1-57293-627-0 </t>
  </si>
  <si>
    <t>234.23  STO  s</t>
  </si>
  <si>
    <t>Saat Segalanya Semakin Sulit</t>
  </si>
  <si>
    <t>Joe Stowell</t>
  </si>
  <si>
    <t>Discovery House</t>
  </si>
  <si>
    <t>978-602-8139-48-9</t>
  </si>
  <si>
    <t>234.23  SLA  a</t>
  </si>
  <si>
    <t>Andai Aku Bisa Menanyakan Banyak Hal Kepada Tuhan</t>
  </si>
  <si>
    <t>Katryn Slattery</t>
  </si>
  <si>
    <t>234.23  HAA a</t>
  </si>
  <si>
    <t>Adventures in Faith- Studies in the Life of Abraham</t>
  </si>
  <si>
    <t>M.R De Haan</t>
  </si>
  <si>
    <t>979-25-6422-5</t>
  </si>
  <si>
    <t>234.2 UNA r</t>
  </si>
  <si>
    <t>Rahasia Berjalan Di Atas Air dan Mengapa Anda Tenggelam?</t>
  </si>
  <si>
    <t>234.2  MUR  m</t>
  </si>
  <si>
    <t>Membina Iman</t>
  </si>
  <si>
    <t>Andrew Murray</t>
  </si>
  <si>
    <t xml:space="preserve"> Kalam Hidup</t>
  </si>
  <si>
    <t>979-98946-0-3</t>
  </si>
  <si>
    <t>234.164 BRI m</t>
  </si>
  <si>
    <t>Mengejar Kekudusan</t>
  </si>
  <si>
    <t>Jerry Bridges</t>
  </si>
  <si>
    <t>978-0-385-53184-9</t>
  </si>
  <si>
    <t>234.163 PIT j</t>
  </si>
  <si>
    <t>Jesus and The Jewish Roots of the Eucharist</t>
  </si>
  <si>
    <t>Brant Pitre</t>
  </si>
  <si>
    <t>979-763-709-3</t>
  </si>
  <si>
    <t>234.161 BON b</t>
  </si>
  <si>
    <t>Baptisan Roh Kudus</t>
  </si>
  <si>
    <t xml:space="preserve">Reinhard Bonnke </t>
  </si>
  <si>
    <t>979-415-476-8</t>
  </si>
  <si>
    <t>234.16 ABI p</t>
  </si>
  <si>
    <t>Sakramen Perjamuan Malam, Menurut Ajaran Para Reformator</t>
  </si>
  <si>
    <t>Dr. J.L. Ch. Abineno</t>
  </si>
  <si>
    <t>1-56563-352-0</t>
  </si>
  <si>
    <t>234.13 TUR h</t>
  </si>
  <si>
    <t>The Holy Spirit and Spiritual Gifts</t>
  </si>
  <si>
    <t>Max Turner</t>
  </si>
  <si>
    <t>234.13 TRA g</t>
  </si>
  <si>
    <t>Gaya Hidup yang Berbeda</t>
  </si>
  <si>
    <t>Thomas E.Trask dan Wayde I. Gooddall</t>
  </si>
  <si>
    <t>234.13  AZA  m</t>
  </si>
  <si>
    <t>Memberi Setjara Kristen</t>
  </si>
  <si>
    <t>V.S Azariah</t>
  </si>
  <si>
    <t>234 PFE d</t>
  </si>
  <si>
    <t>Djalan Keselamatan</t>
  </si>
  <si>
    <t>Werner Pfendsack dan H.J.Visch</t>
  </si>
  <si>
    <t>234 KRU k</t>
  </si>
  <si>
    <t>Kabar Keselamatan di Poso</t>
  </si>
  <si>
    <t>J. Kruyt</t>
  </si>
  <si>
    <t>979-8307-14-3</t>
  </si>
  <si>
    <t>Telogi Sistematika 4, Doktrin Keselamatan</t>
  </si>
  <si>
    <t>0-8146-5954-3</t>
  </si>
  <si>
    <t>233.5  SCH  b</t>
  </si>
  <si>
    <t>Body Symbolism In The Bible</t>
  </si>
  <si>
    <t>Thomas Staubli - Silvia Schoer</t>
  </si>
  <si>
    <t>979-415-574-8</t>
  </si>
  <si>
    <t>233 SIT m</t>
  </si>
  <si>
    <t>Manusia dan Budaya</t>
  </si>
  <si>
    <t>0-06-065921-1</t>
  </si>
  <si>
    <t>233 MOO m</t>
  </si>
  <si>
    <t>Man Without Tears (Soundings For A Christian Anthropology)</t>
  </si>
  <si>
    <t>Christopher F. Mooney</t>
  </si>
  <si>
    <t>979-415-238-2</t>
  </si>
  <si>
    <t>233 ABI m</t>
  </si>
  <si>
    <t>Manusia dan Sesamanya di dalam Dunia</t>
  </si>
  <si>
    <t>979-415-901-8</t>
  </si>
  <si>
    <t>233  PLA m</t>
  </si>
  <si>
    <t>Manusia, Gambar Allah</t>
  </si>
  <si>
    <t>Dr. Arie Jan Plaisier</t>
  </si>
  <si>
    <t>233  BER  t</t>
  </si>
  <si>
    <t>Teologi Sistematika 4</t>
  </si>
  <si>
    <t>Lembaga Reformed Injil Indonesia</t>
  </si>
  <si>
    <t>979-8307-13-5</t>
  </si>
  <si>
    <t>230  BER  t</t>
  </si>
  <si>
    <t>Teologi Sistematika 3 doktrin Kristus</t>
  </si>
  <si>
    <t>979-8307-12-7</t>
  </si>
  <si>
    <t>Teologi Sistematika 2 : Doktrin Manusia</t>
  </si>
  <si>
    <t>0-03-012456-5</t>
  </si>
  <si>
    <t>232.97 LEO r</t>
  </si>
  <si>
    <t>Resurrection and the Message of Easter</t>
  </si>
  <si>
    <t>Xavier Leon-Dufour</t>
  </si>
  <si>
    <t>978-602-8009-17-1</t>
  </si>
  <si>
    <t>232.963 DAI a</t>
  </si>
  <si>
    <t>Apa Yang Terjadi Setelah Kita Mati ? Memahami Misteri Alam Baka Dalam Terang Kuasa Injil Yesus Kristus.</t>
  </si>
  <si>
    <t>Martin B. Dainton</t>
  </si>
  <si>
    <t>1-880317-63-X</t>
  </si>
  <si>
    <t>232.96 MEI j</t>
  </si>
  <si>
    <t>Jesus: The Last Day</t>
  </si>
  <si>
    <t>Molly Dewsnap Meinhardt ( Editor )</t>
  </si>
  <si>
    <t>0-87784-927-7</t>
  </si>
  <si>
    <t>232.954  BRU  h</t>
  </si>
  <si>
    <t>The Hard Sayings of Jesus</t>
  </si>
  <si>
    <t>F.F Bruce</t>
  </si>
  <si>
    <t>232.95  UBS g</t>
  </si>
  <si>
    <t>The Gospel Of Jesus Christ - According of Luke</t>
  </si>
  <si>
    <t>Teology</t>
  </si>
  <si>
    <t>979-983-07-2-9</t>
  </si>
  <si>
    <t>232.92 SAT b</t>
  </si>
  <si>
    <t>The Birth of The Christ</t>
  </si>
  <si>
    <t>I. J. Satyabudi</t>
  </si>
  <si>
    <t>Wacana Press</t>
  </si>
  <si>
    <t>979-1122-12-1</t>
  </si>
  <si>
    <t>232.91 BUR s</t>
  </si>
  <si>
    <t>Secrets of Mary Magdalene (Rahasia-rahasia Maria Magdalena)</t>
  </si>
  <si>
    <t>Dan Burstein dan Arne J.De Keijzer</t>
  </si>
  <si>
    <t>OnRead-Books Publishers</t>
  </si>
  <si>
    <t>979-3500-61-1</t>
  </si>
  <si>
    <t>232.91 HAN s</t>
  </si>
  <si>
    <t>Santa Perawan Maria, Bunda Allah dalam Misteri Kristus dan Gereja</t>
  </si>
  <si>
    <t>Dr. Petrus Maria Handoko CM</t>
  </si>
  <si>
    <t>979-3500-69-7</t>
  </si>
  <si>
    <t>232.91  CAR m</t>
  </si>
  <si>
    <t>MARIA Dalam Kitab Suci dan Dalam Hidup Kita</t>
  </si>
  <si>
    <t>Wilfried Stinissen O. Carm</t>
  </si>
  <si>
    <t>Dioma,  Malang</t>
  </si>
  <si>
    <t>979-415-703-3</t>
  </si>
  <si>
    <t>232.908 WON s</t>
  </si>
  <si>
    <t>Studi Perjanjian Lama Bagi Pemula</t>
  </si>
  <si>
    <t>John Rogerson</t>
  </si>
  <si>
    <t>056-704-470-x</t>
  </si>
  <si>
    <t>232.908 FRA j</t>
  </si>
  <si>
    <t>Jesus in the Nag Hammadi Writings</t>
  </si>
  <si>
    <t>Majella Franzmann</t>
  </si>
  <si>
    <t>978-979-21-2573-3</t>
  </si>
  <si>
    <t>232.908 WAL i</t>
  </si>
  <si>
    <t>In The Steps of Jesus (Menapak Jejak Mesias)</t>
  </si>
  <si>
    <t>979-9223-11-3</t>
  </si>
  <si>
    <t>232.908 MEY k</t>
  </si>
  <si>
    <t>Kehidupan Yesus Dalam Ilustrasi (Berdasarkan Injil dan Disusun Secara Kronologis)</t>
  </si>
  <si>
    <t>David John Meyers</t>
  </si>
  <si>
    <t>Bina Communio</t>
  </si>
  <si>
    <t>978-979-1338-52-3</t>
  </si>
  <si>
    <t>232.908 KOM r</t>
  </si>
  <si>
    <t>Reinventing Jesus, Bagaimana Para Pemikir Skeptis Keliru Memahami Yesus dan Menyesatkan Budaya Populer</t>
  </si>
  <si>
    <t>J.Ed. Komoszewski; M. James Sawyer; Daniel B. Wallace</t>
  </si>
  <si>
    <t>Divisi Literatur Perkantas</t>
  </si>
  <si>
    <t>978-979-21-1269-6</t>
  </si>
  <si>
    <t>232.908 KEE y</t>
  </si>
  <si>
    <t xml:space="preserve">Yesus </t>
  </si>
  <si>
    <t>979-21-1146-8</t>
  </si>
  <si>
    <t>232.908 GIA l</t>
  </si>
  <si>
    <t>Langkah-Nya… langkah-Ku! (Kumpulan Ulasan Injil)</t>
  </si>
  <si>
    <t>978-979-1338-37-0</t>
  </si>
  <si>
    <t>232.908 EVA</t>
  </si>
  <si>
    <t>Hari-hari Terakhir Yesus, Apa yang Sesungguhnya Terjadi?</t>
  </si>
  <si>
    <t>Craig A. Evans &amp; N. T. Wright</t>
  </si>
  <si>
    <t>978-602-8009-52-2</t>
  </si>
  <si>
    <t>232.908 DIC m</t>
  </si>
  <si>
    <t>Menyelidiki Kesejarahan Yesus</t>
  </si>
  <si>
    <t>John Dickson</t>
  </si>
  <si>
    <t>232.908 DAN j</t>
  </si>
  <si>
    <t>Jesus and the New Age</t>
  </si>
  <si>
    <t>Frederick W. Danker</t>
  </si>
  <si>
    <t>Clayton Publishing House</t>
  </si>
  <si>
    <t>232.908 ABI y</t>
  </si>
  <si>
    <t xml:space="preserve">Yesus Juru Selamat Dunia  </t>
  </si>
  <si>
    <t>Dr. J.L. CH. Abineno</t>
  </si>
  <si>
    <t>232.908  WON  h</t>
  </si>
  <si>
    <t>Hikayat Yesus - Penguraian dan Penafsiran Kehidupan Yesus Dalam Empat Kitab Injil</t>
  </si>
  <si>
    <t>Dr. Peter Wongso</t>
  </si>
  <si>
    <t>Seminar Alkitab Asia Tenggara</t>
  </si>
  <si>
    <t>979-763-710-7</t>
  </si>
  <si>
    <t>232.908  EVA  m</t>
  </si>
  <si>
    <t>Merekayasa Yesus, Membongkar Pemutarbalikan Injil oleh Ilmuan Modern</t>
  </si>
  <si>
    <t>0-8028-3931-2</t>
  </si>
  <si>
    <t>232.908  DUN  j</t>
  </si>
  <si>
    <t>Jesus Remembered, Christianity in the Making Vol. 1</t>
  </si>
  <si>
    <t>William B. Eedmans Publishing Company</t>
  </si>
  <si>
    <t>978-0-567-64517-3</t>
  </si>
  <si>
    <t>232.908  CAS  j</t>
  </si>
  <si>
    <t>Jesus Of Nazareth - An Independent Historian's Account of his Life and Teaching</t>
  </si>
  <si>
    <t>Maurice Casey</t>
  </si>
  <si>
    <t>979-95810-9-5</t>
  </si>
  <si>
    <t>232.906 HAK h</t>
  </si>
  <si>
    <t>ketegaran Menghadapi Krisis Identitas</t>
  </si>
  <si>
    <t>Pdt. Dr. Samuel Benyamin Hakh</t>
  </si>
  <si>
    <t>Unit Publikasi dan Informasi STT Jakarta</t>
  </si>
  <si>
    <t>232.903 JES</t>
  </si>
  <si>
    <t>Jesus Kristus Gembala Jang Baik (Tugas Kristen Dalam Revolusi Indonesia)</t>
  </si>
  <si>
    <t>Hasil Karya Sidang Lengkap ke-V Dewan Geredja-gredja di Indonesia</t>
  </si>
  <si>
    <t>979-17349-1-7</t>
  </si>
  <si>
    <t>232.903 AND y</t>
  </si>
  <si>
    <t>Yesus Biografi Lengkap Tentang Pribadi-Nya, Negara-Nya, dan Bangsa-Nya</t>
  </si>
  <si>
    <t>Leith Anderson</t>
  </si>
  <si>
    <t>979-463-179-5</t>
  </si>
  <si>
    <t>232.901 IND y</t>
  </si>
  <si>
    <t>Yesus Menurut Injil Lukas</t>
  </si>
  <si>
    <t>0-8407-5856-1</t>
  </si>
  <si>
    <t>232.901 WIL j</t>
  </si>
  <si>
    <t>The Jerusalem Jesus Knew</t>
  </si>
  <si>
    <t>John Wilkinson</t>
  </si>
  <si>
    <t>981-220-2587</t>
  </si>
  <si>
    <t>232.901 STO</t>
  </si>
  <si>
    <t>The Story of Jesus</t>
  </si>
  <si>
    <t>Inggris - Cina</t>
  </si>
  <si>
    <t>Bible Society of Singapore</t>
  </si>
  <si>
    <t>0-85111-288-9</t>
  </si>
  <si>
    <t>232.901 BOC</t>
  </si>
  <si>
    <t>Jesus according to Scripture, Restoring the Portrait from the Gospel</t>
  </si>
  <si>
    <t>Darrell L.Bock</t>
  </si>
  <si>
    <t>Baker Academic dan Apollos</t>
  </si>
  <si>
    <t>232.901  PRO  t</t>
  </si>
  <si>
    <t>Tahun - Tahun Yesus Yang Hilang, Bukti-bukti Dokumenter tentang Perjalanan Yesus Selama 17 tahun ke Timur</t>
  </si>
  <si>
    <t>Elizabeth Clare Prophet</t>
  </si>
  <si>
    <t>979-415-428-8</t>
  </si>
  <si>
    <t>232.90 THE a</t>
  </si>
  <si>
    <t>Aku Disuruh Pilatus - Kisah Penelusuran Jejak Yesus Dan Masanya</t>
  </si>
  <si>
    <t>Gerd TheiBen</t>
  </si>
  <si>
    <t>232.9 RAK y</t>
  </si>
  <si>
    <t>Yesus, Maria Magdalena, Yudas dan Makam Keluarga</t>
  </si>
  <si>
    <t>Ioanes Rakhmat</t>
  </si>
  <si>
    <t>Sirao Credentia Center, Banten</t>
  </si>
  <si>
    <t>0-664-22310-9</t>
  </si>
  <si>
    <t>232.9 MOX p</t>
  </si>
  <si>
    <t>Putting Jesus in His Place (A Radical Vision of Household and Kingdom)</t>
  </si>
  <si>
    <t>Halvor Moxnes</t>
  </si>
  <si>
    <t>Westminster John Knox Press.</t>
  </si>
  <si>
    <t>978-0-300-14096-5</t>
  </si>
  <si>
    <t>232.9 MEI m</t>
  </si>
  <si>
    <t>A Marginal Jew volume IV</t>
  </si>
  <si>
    <t>John P. Meier</t>
  </si>
  <si>
    <t>978-0-300-14032-3</t>
  </si>
  <si>
    <t>A Marginal Jew Volume III</t>
  </si>
  <si>
    <t>0-385-26425-9</t>
  </si>
  <si>
    <t xml:space="preserve">A Marginal Jew Volume I </t>
  </si>
  <si>
    <t>0-943-575-83-4</t>
  </si>
  <si>
    <t>232.9 EDE</t>
  </si>
  <si>
    <t>The Life and Times of Jesus the Messiah, Complete and Unabridged in the Volume</t>
  </si>
  <si>
    <t>Alfred Edersheim</t>
  </si>
  <si>
    <t>0-931464-50-1</t>
  </si>
  <si>
    <t>232.9 CHO</t>
  </si>
  <si>
    <t>Chronos, Kairos, Christos</t>
  </si>
  <si>
    <t>Jerry Vardaman dan Edwin M.Yamauchi</t>
  </si>
  <si>
    <t>979-97615-5-7</t>
  </si>
  <si>
    <t xml:space="preserve">232.9 AGU </t>
  </si>
  <si>
    <t>Yesus Menjamah Aku, Kesaksian Tentang Kasih &amp; Penyembuhan Allah</t>
  </si>
  <si>
    <t>Frater Angelus Agustinus, CSE</t>
  </si>
  <si>
    <t>Pertapaan Shanti Bhuana, Jawa Barat</t>
  </si>
  <si>
    <t>232.8 MUD d</t>
  </si>
  <si>
    <t xml:space="preserve">Dialog Masalah Ketuhanan Yesus </t>
  </si>
  <si>
    <t xml:space="preserve">K.H. Bahaudin Mudhary </t>
  </si>
  <si>
    <t>Kiblat Centre</t>
  </si>
  <si>
    <t>232.8 JUS b</t>
  </si>
  <si>
    <t>Benih Keilahian &amp; Kemanusiaan Kristus</t>
  </si>
  <si>
    <t>K. A. M. Jusuf Roni</t>
  </si>
  <si>
    <t>979-21-1568-4</t>
  </si>
  <si>
    <t>232.5 STA r</t>
  </si>
  <si>
    <t>Rahasia Di Balik Kisah Paskah 2</t>
  </si>
  <si>
    <t>Surip Stanislaus, OFM Cap.</t>
  </si>
  <si>
    <t>979-21-1567-6</t>
  </si>
  <si>
    <t>Rahasia Di Balik Kisah Paskah 1</t>
  </si>
  <si>
    <t>232.5 MUN a</t>
  </si>
  <si>
    <t>Apa Bukti Untuk Kebangkitan?</t>
  </si>
  <si>
    <t>978-0-8308-2719-0</t>
  </si>
  <si>
    <t>232.5 LIC r</t>
  </si>
  <si>
    <t>The Resurrection of Jesus (A New Historiographical Approach)</t>
  </si>
  <si>
    <t>Michael R. Licona</t>
  </si>
  <si>
    <t>IVP Academic dan Apollos Nottingham, England</t>
  </si>
  <si>
    <t>The Ressurrection of Jesus - A New Historiographical Approach</t>
  </si>
  <si>
    <t>978-979-1338-87-5</t>
  </si>
  <si>
    <t>232.5 HAB c</t>
  </si>
  <si>
    <t>The Case for the Resurrection of Jesus, Kebangkitan Yesus dalam Gugatan: Bagaimana Menghadapinya?</t>
  </si>
  <si>
    <t>Gary R. Habermas &amp; Michael R. Licona</t>
  </si>
  <si>
    <t>232.5  STA  r</t>
  </si>
  <si>
    <t>Rahasia Dibalik Kisah Paskah 1</t>
  </si>
  <si>
    <t>Surip Stanislaus, OFM Cap</t>
  </si>
  <si>
    <t xml:space="preserve">232.43 ROT </t>
  </si>
  <si>
    <t>Tafsiran 1 Semuel</t>
  </si>
  <si>
    <t>Dr. H. Rothlisberger</t>
  </si>
  <si>
    <t xml:space="preserve">232.4 DJA </t>
  </si>
  <si>
    <t>Djalan Golgota</t>
  </si>
  <si>
    <t>Roy dan Revel Hession</t>
  </si>
  <si>
    <t>Yayasan Penerbitan Kristen Indjili)</t>
  </si>
  <si>
    <t>0-85110-767-2</t>
  </si>
  <si>
    <t>232.3 STO c</t>
  </si>
  <si>
    <t>The Cross Of Christ</t>
  </si>
  <si>
    <t>John Stott</t>
  </si>
  <si>
    <t>232.2 SUT f</t>
  </si>
  <si>
    <t>Firman Hidup 19</t>
  </si>
  <si>
    <t>Pdt. S. J. Sutjiono</t>
  </si>
  <si>
    <t>979-26-0707-2</t>
  </si>
  <si>
    <t>232.2 SAD f</t>
  </si>
  <si>
    <t>Firman Yesus (Bukan Manusia Biasa)</t>
  </si>
  <si>
    <t>R. Sader</t>
  </si>
  <si>
    <t>232.2 BAL f</t>
  </si>
  <si>
    <t>Firman Hidup 31</t>
  </si>
  <si>
    <t>Pdt. Frans Balla, S. Th</t>
  </si>
  <si>
    <t>232.2  HAD f</t>
  </si>
  <si>
    <t>Firman Hidup  14</t>
  </si>
  <si>
    <t>978-979-415-358-1</t>
  </si>
  <si>
    <t>232.12 SIA p</t>
  </si>
  <si>
    <t>Pengharapan Mesias dalam Perjanjian Lama</t>
  </si>
  <si>
    <t>Pdt.Dr.S.M. Siahaan</t>
  </si>
  <si>
    <t>978-84-91382-27-7</t>
  </si>
  <si>
    <t>232.12 HEN</t>
  </si>
  <si>
    <t>Sang Mesias Diwahyukan dalam Kitab Suci</t>
  </si>
  <si>
    <t>Hendrik Schipper</t>
  </si>
  <si>
    <t>Boaz Multimedia</t>
  </si>
  <si>
    <t>979-415-358-3</t>
  </si>
  <si>
    <t>232.12  SIA b</t>
  </si>
  <si>
    <t>Pengharapan Mesias Dalam Perjanjian Lama</t>
  </si>
  <si>
    <t>Pdt. Dr. S.M Siahaan</t>
  </si>
  <si>
    <t>978-0-06-117393-6</t>
  </si>
  <si>
    <t>232.1 EHR j</t>
  </si>
  <si>
    <t>Jesus, Interrupted</t>
  </si>
  <si>
    <t>0-394-75531-6</t>
  </si>
  <si>
    <t>232.09 SHE f</t>
  </si>
  <si>
    <t>The First Coming, How The Kingdom of God Became Christianity</t>
  </si>
  <si>
    <t>Thomas Sheehan</t>
  </si>
  <si>
    <t>William Collins &amp; Son Ltd</t>
  </si>
  <si>
    <t>978-979-22-3831-0</t>
  </si>
  <si>
    <t>232. 908 SPO y</t>
  </si>
  <si>
    <t>Yesus Bagi Orang Non Religius</t>
  </si>
  <si>
    <t>John Shelby Spong</t>
  </si>
  <si>
    <t xml:space="preserve">221.4 TOV  </t>
  </si>
  <si>
    <t>979-99815-1-4</t>
  </si>
  <si>
    <t>232. 908 RAK t</t>
  </si>
  <si>
    <t>the Trial of Jesus in John Dominic Crossan's Theory</t>
  </si>
  <si>
    <t>Dr. Ioanes Rakhmat</t>
  </si>
  <si>
    <t>Stt Jakarta</t>
  </si>
  <si>
    <t>0-78144-165-x</t>
  </si>
  <si>
    <t>232. 9 GAR c</t>
  </si>
  <si>
    <t>Cracking Davinci's Code</t>
  </si>
  <si>
    <t>James L. Garlow &amp; Peter Jones</t>
  </si>
  <si>
    <t>Victor</t>
  </si>
  <si>
    <t>0-385-23610-7</t>
  </si>
  <si>
    <t>232. 9 CHA j</t>
  </si>
  <si>
    <t>Jesus Within Judaism, New Light from Exciting Archeological Discoveries</t>
  </si>
  <si>
    <t>James H. Charlesworth (E)</t>
  </si>
  <si>
    <t>978-0-8028-4013-4</t>
  </si>
  <si>
    <t>232. 12 FIT o</t>
  </si>
  <si>
    <t>The One Who is to Come</t>
  </si>
  <si>
    <t>Joseph A. Fitzmyer, S. J.</t>
  </si>
  <si>
    <t>232.908 HID j</t>
  </si>
  <si>
    <t>J.K. (menurut tjatatan empat orang jang mengetahui keadaan sebenarnja)</t>
  </si>
  <si>
    <t>232 WAH d</t>
  </si>
  <si>
    <t xml:space="preserve">Dialog Kristen - Islam </t>
  </si>
  <si>
    <t>Rev. E. Wahyudi S. Th</t>
  </si>
  <si>
    <t>Poreuthentes Ministry</t>
  </si>
  <si>
    <t>978-979-21-2042-4</t>
  </si>
  <si>
    <t>232 VAN t</t>
  </si>
  <si>
    <t xml:space="preserve">Tenggelam ke Dalam Misteri Yesus, Menghayati dan Mendalami Injil Yohanes </t>
  </si>
  <si>
    <t xml:space="preserve">Jean Vanier </t>
  </si>
  <si>
    <t xml:space="preserve">Kanisius </t>
  </si>
  <si>
    <t>232 TAR</t>
  </si>
  <si>
    <t>Yesus Hidup</t>
  </si>
  <si>
    <t>Emilien Tardif MSC</t>
  </si>
  <si>
    <t>978-602-8502-00-9</t>
  </si>
  <si>
    <t>232 SWI y</t>
  </si>
  <si>
    <t>Seri Tokoh Terbesar - Tokoh Terbesar YESUS</t>
  </si>
  <si>
    <t>0-916586-66-9</t>
  </si>
  <si>
    <t>232 STY g</t>
  </si>
  <si>
    <t>God's Living Word</t>
  </si>
  <si>
    <t>Theodore G. Stylianopoulos</t>
  </si>
  <si>
    <t>Holy Cross Orthodox Press</t>
  </si>
  <si>
    <t>978-979-687-719-5</t>
  </si>
  <si>
    <t>232 STA s</t>
  </si>
  <si>
    <t>Surprised by Jesus, Siapakah Gerangan Orang Ini?</t>
  </si>
  <si>
    <t>Tim Stafford</t>
  </si>
  <si>
    <t>979-21-0943-9</t>
  </si>
  <si>
    <t>232 SET</t>
  </si>
  <si>
    <t xml:space="preserve">Orang Gila dari Nazaret </t>
  </si>
  <si>
    <t xml:space="preserve">A. Satyawan, S.J </t>
  </si>
  <si>
    <t>1-880317-14-1</t>
  </si>
  <si>
    <t>232 SEA</t>
  </si>
  <si>
    <t>The Search For Jesus, Modern Scholarship Looks at The Gospels</t>
  </si>
  <si>
    <t>Stephen Patterson; Marcus Borg; John Dominic Crossan</t>
  </si>
  <si>
    <t>978-979-1338-27-1</t>
  </si>
  <si>
    <t>232 SAG f</t>
  </si>
  <si>
    <t>Firman Menjadi Daging (Kristologi Berdasarkan Yoh. 1:14)</t>
  </si>
  <si>
    <t>Pdt. Dr. Ir. Mangapul Sagala</t>
  </si>
  <si>
    <t>232 KEM i</t>
  </si>
  <si>
    <t>The Imitation Of Christ</t>
  </si>
  <si>
    <t>Thomas E. Kempis</t>
  </si>
  <si>
    <t>Chatolik Book Publishing Co, Newyork</t>
  </si>
  <si>
    <t>978-979-21-2539-9</t>
  </si>
  <si>
    <t>232 KEL p</t>
  </si>
  <si>
    <t>Palungan, Menyingkap Kisah Kelahiran</t>
  </si>
  <si>
    <t>Joseph F. Kelly</t>
  </si>
  <si>
    <t>979-16124-0-4</t>
  </si>
  <si>
    <t>232 JAC j</t>
  </si>
  <si>
    <t>The Jesus Family Tomb</t>
  </si>
  <si>
    <t>Simcha Jacobovici dan Charles Pellegrino</t>
  </si>
  <si>
    <t>Read</t>
  </si>
  <si>
    <t>981-04-9462-9</t>
  </si>
  <si>
    <t>232 INJ</t>
  </si>
  <si>
    <t>Injil Tuhan Yesus, Sebuah Sintesis Harmoni Dari Ke Empat Injil)</t>
  </si>
  <si>
    <t>Jeffrey Khoo, Ph. D</t>
  </si>
  <si>
    <t>Far Eastern Bible College press, Singap[ore</t>
  </si>
  <si>
    <t>978-0-8028-2861-3</t>
  </si>
  <si>
    <t>232 HUR c</t>
  </si>
  <si>
    <t>How on Earth Did Jesus Become a God? Historical Questions about Earliest Devotion to Jesus</t>
  </si>
  <si>
    <t>978-0-8308-3868-4</t>
  </si>
  <si>
    <t>232 HIS</t>
  </si>
  <si>
    <t>The Historical Jesus, Five Views</t>
  </si>
  <si>
    <t>James K.Beilby dan Paul Rhodes Eddy</t>
  </si>
  <si>
    <t>978-979-21-1654-0</t>
  </si>
  <si>
    <t>232 GIA w</t>
  </si>
  <si>
    <t>Wah.. Apa Itu?</t>
  </si>
  <si>
    <t>Agustinus Gianto, SJ</t>
  </si>
  <si>
    <t>978-979-21-3106-2</t>
  </si>
  <si>
    <t>232 GIA k</t>
  </si>
  <si>
    <t>Kisah Manusia, Kisahnya Tuhan</t>
  </si>
  <si>
    <t>979-415-912-3</t>
  </si>
  <si>
    <t>232 FRA y</t>
  </si>
  <si>
    <t>Yesus Sang Radikal, Potret Manusia yang Disalibkan</t>
  </si>
  <si>
    <t>979-415-771-6</t>
  </si>
  <si>
    <t>232 DUN a</t>
  </si>
  <si>
    <t>Akulah…Studi Mengenai Tujuh Pernyataan Yesus</t>
  </si>
  <si>
    <t>Maxie Dunnam</t>
  </si>
  <si>
    <t>981-220-320-6</t>
  </si>
  <si>
    <t>232 DIA</t>
  </si>
  <si>
    <t>Dia Menjamah Saya, Perjumpaan dengan Yesus yang Mengubahkan Hidup dan Menyembuhkan - Injil Lukas</t>
  </si>
  <si>
    <t>The Bible Society of Singapore</t>
  </si>
  <si>
    <t>979-415-342-7</t>
  </si>
  <si>
    <t>232 BOE h</t>
  </si>
  <si>
    <t>Siapakah Yesus Sebenarnya?</t>
  </si>
  <si>
    <t>Dr. Robert R. Boehlke</t>
  </si>
  <si>
    <t>978-979-22-4442-7</t>
  </si>
  <si>
    <t>232 BOC m</t>
  </si>
  <si>
    <t>Mendongkel Yesus dari Takhtanya, Upaya Mutakhir untuk Menjungkirbalikkan Iman Gereja Mengenai Yesus Kristus</t>
  </si>
  <si>
    <t>Darrel L. Bock &amp; Daniel B . Wallace</t>
  </si>
  <si>
    <t>978-0-8028-4559-7</t>
  </si>
  <si>
    <t>232 BAU j</t>
  </si>
  <si>
    <t>Jesus and The God of Israel, God Crucified and Other Studies on the New Testament's Christology of Divine Identity</t>
  </si>
  <si>
    <t>978-0-8028-6390-4</t>
  </si>
  <si>
    <t>Jesus and The Eyewitnesses</t>
  </si>
  <si>
    <t>978-602-9422-64-1</t>
  </si>
  <si>
    <t>232 BAR p</t>
  </si>
  <si>
    <t>Perumpamaan Yesus</t>
  </si>
  <si>
    <t>Armand Barus</t>
  </si>
  <si>
    <t>979-1238-35-9</t>
  </si>
  <si>
    <t>232 BAI m</t>
  </si>
  <si>
    <t>The Messianic Legacy, Warisan Abadi Seorang Mesias</t>
  </si>
  <si>
    <t>Michael Baigent, Richard Leigh, dan Henry Lincoln</t>
  </si>
  <si>
    <t>Ramala Books</t>
  </si>
  <si>
    <t>979-687-312-5</t>
  </si>
  <si>
    <t>232 ABI y</t>
  </si>
  <si>
    <t>Yesus dari Nazaret (Suatu Uraian Historis Alkitabiah)</t>
  </si>
  <si>
    <t>232  RID p</t>
  </si>
  <si>
    <t>Pemberitaan Yesus Menurut Injil2 Sinoptis</t>
  </si>
  <si>
    <t>Dr. H. Ridderbos, Drs. H. Baarlink</t>
  </si>
  <si>
    <t>1-55540-441-3</t>
  </si>
  <si>
    <t>231042 SUS t</t>
  </si>
  <si>
    <t xml:space="preserve">Text and Tradition </t>
  </si>
  <si>
    <t>978-979-99896-2-8</t>
  </si>
  <si>
    <t>231.8 TJA</t>
  </si>
  <si>
    <t>Lihatlah, Kecacatan Itu?</t>
  </si>
  <si>
    <t>Erick Susanto Tjandra</t>
  </si>
  <si>
    <t>Kanaan Publisher</t>
  </si>
  <si>
    <t>979-565-416-0</t>
  </si>
  <si>
    <t>231.8 MAS</t>
  </si>
  <si>
    <t xml:space="preserve">God's Best Ideas! </t>
  </si>
  <si>
    <t>Fio Mascarenhas</t>
  </si>
  <si>
    <t>OBOR</t>
  </si>
  <si>
    <t>231.8 KEA</t>
  </si>
  <si>
    <t>Keadilan Bagi yang Lemah (Buku Peringatan Hari Jadi ke-67 Prof. Dr. Ihromi, M. A.)</t>
  </si>
  <si>
    <t>Karel Phill Erari, et al.</t>
  </si>
  <si>
    <t>978-979-21-1626-7</t>
  </si>
  <si>
    <t>231.7652 TAY a</t>
  </si>
  <si>
    <t>Asal-usul Agama Kristen</t>
  </si>
  <si>
    <t>Justin Taylor</t>
  </si>
  <si>
    <t>978-0-8028-4875-8</t>
  </si>
  <si>
    <t>231.76 WOR</t>
  </si>
  <si>
    <t>A World History of Christianity</t>
  </si>
  <si>
    <t>Adrian Hastings</t>
  </si>
  <si>
    <t>979-21-1215-4</t>
  </si>
  <si>
    <t>231.76 COL s</t>
  </si>
  <si>
    <t xml:space="preserve">The Story of Christianity, Menelusuri Jejak Kristianitas </t>
  </si>
  <si>
    <t>Michael Collins &amp; Matthew A. Price</t>
  </si>
  <si>
    <t>231.74 DEI</t>
  </si>
  <si>
    <t>Dei Verbum (Sabda Allah)</t>
  </si>
  <si>
    <t>978-979-29-1840-3</t>
  </si>
  <si>
    <t>231.73 ANG</t>
  </si>
  <si>
    <t>The Secret Miracle - Cara Menghadirkan Mukjizat Dalam Diri Anda</t>
  </si>
  <si>
    <t>979-415-441-5</t>
  </si>
  <si>
    <t>231.72 PIX k</t>
  </si>
  <si>
    <t>Kerajaan Allah, Artinya Bagi Kehidupan Politis, Ideologis dan Kemasyarakatan</t>
  </si>
  <si>
    <t>George V. Pixley</t>
  </si>
  <si>
    <t>0-88344-156-x</t>
  </si>
  <si>
    <t>231.7 PIX g</t>
  </si>
  <si>
    <t>God's Kingdom, A Guide for Biblical Study</t>
  </si>
  <si>
    <t>231.7 LEE a</t>
  </si>
  <si>
    <t>231.648 STR</t>
  </si>
  <si>
    <t>Bagaimana Memahami Kehendak Tuhan</t>
  </si>
  <si>
    <t>Richard L. Strauss</t>
  </si>
  <si>
    <t>978-602-8073-18-9</t>
  </si>
  <si>
    <t>231.6 CHA l</t>
  </si>
  <si>
    <t>Love Is A Verb Kisah-kisah yang terjadi ketika cinta dihidupkan</t>
  </si>
  <si>
    <t>Garry Chapman</t>
  </si>
  <si>
    <t>231.44 ZAO k</t>
  </si>
  <si>
    <t>Kembali ke Citra Allah</t>
  </si>
  <si>
    <t>Eddy Susanto Zaoputra</t>
  </si>
  <si>
    <t>Lembaga Santo Yohanes</t>
  </si>
  <si>
    <t>979-415-125-4</t>
  </si>
  <si>
    <t>231.3 WHI j</t>
  </si>
  <si>
    <t>Jawabnya adalah Roh</t>
  </si>
  <si>
    <t>R.E.O. White</t>
  </si>
  <si>
    <t>978-602-231-056-3</t>
  </si>
  <si>
    <t>231.3 SIA r</t>
  </si>
  <si>
    <t>Ruakh dalam Perjanjian Lama Tinjauan Historis-Teologis Atas Pengertian Roh</t>
  </si>
  <si>
    <t>S.M. Siahaan</t>
  </si>
  <si>
    <t>978-602-0904-09-2</t>
  </si>
  <si>
    <t>231.3 KEE g</t>
  </si>
  <si>
    <t>Gift &amp; Giver Mengenali dan Mengalami Kuasa Roh Kudus</t>
  </si>
  <si>
    <t>979-8475-96-8</t>
  </si>
  <si>
    <t>231.3 HAG m</t>
  </si>
  <si>
    <t>Mengenal Karunia Roh Kudus</t>
  </si>
  <si>
    <t>979-15634-0-3</t>
  </si>
  <si>
    <t>231.3 BRO r</t>
  </si>
  <si>
    <t>Roh Kudus Senjata Akhir Zaman</t>
  </si>
  <si>
    <t>Elizabeth Brookshaw</t>
  </si>
  <si>
    <t>The Body of Christ Ministry</t>
  </si>
  <si>
    <t>231.3 ABI r</t>
  </si>
  <si>
    <t>Roh Kudus dan Pekerjaan-Nya</t>
  </si>
  <si>
    <t>979-9290-01-5</t>
  </si>
  <si>
    <t>231.20 SPR s</t>
  </si>
  <si>
    <t>Sifat Allah, Mencari dan Menemukan Allah</t>
  </si>
  <si>
    <t>R. C. Sproul</t>
  </si>
  <si>
    <t>231.2 KRA</t>
  </si>
  <si>
    <t>Studies in Biblical Theology No. 50 Christ, Lord, Son of God</t>
  </si>
  <si>
    <t>Werner Kramer</t>
  </si>
  <si>
    <t>Alec R. Allenson</t>
  </si>
  <si>
    <t>978-0-8028-0772-4</t>
  </si>
  <si>
    <t>231.2 COL k</t>
  </si>
  <si>
    <t>King and Messiah as Son of God</t>
  </si>
  <si>
    <t>Adela Yarbro Collins &amp; John J. Collins</t>
  </si>
  <si>
    <t>231.1 EVA t</t>
  </si>
  <si>
    <t>Teologi Allah, Allah Kita Maha Agung</t>
  </si>
  <si>
    <t>Tony Evans</t>
  </si>
  <si>
    <t>231.1 DAV b</t>
  </si>
  <si>
    <t>Bagaimana Engkau Tahu Bahwa Allah adalah Bapamu?</t>
  </si>
  <si>
    <t xml:space="preserve">Kay Arthur David &amp; BJ. Lawson </t>
  </si>
  <si>
    <t>Lembaga Pemahaman Alkitab Induktif</t>
  </si>
  <si>
    <t>979-98307-0-2</t>
  </si>
  <si>
    <t>231.044 SAT k</t>
  </si>
  <si>
    <t>Kontroversi Nama Allah</t>
  </si>
  <si>
    <t>0-9723702-1-8</t>
  </si>
  <si>
    <t>231.044 MOS s</t>
  </si>
  <si>
    <t>Who is this Allah, Siapakah Allah Ini?</t>
  </si>
  <si>
    <t>G. J. O Moshay</t>
  </si>
  <si>
    <t>Overseas Ministry</t>
  </si>
  <si>
    <t>979-3292-92-X</t>
  </si>
  <si>
    <t>231.044 LET a1</t>
  </si>
  <si>
    <t>Allah Trinitas dalam Alkitab, Sejarah, Theologi dan Penyembahan</t>
  </si>
  <si>
    <t>Robert Letham</t>
  </si>
  <si>
    <t>979-21-0599-0</t>
  </si>
  <si>
    <t>231.044 JAC p</t>
  </si>
  <si>
    <t>Paham Allah  (Dalam Filsafat, Agama-agama, dan Teologi)</t>
  </si>
  <si>
    <t>Tom Jacobs SJ</t>
  </si>
  <si>
    <t>978-3-941387-04-1</t>
  </si>
  <si>
    <t>231.042 ZOL o</t>
  </si>
  <si>
    <t>Pohon Yeli dan Mitos Wam dalam Agama Orang Yali</t>
  </si>
  <si>
    <t>Dr. Siegfried Zollner</t>
  </si>
  <si>
    <t>Wahine</t>
  </si>
  <si>
    <t>0-87784-770-3</t>
  </si>
  <si>
    <t>231.042 PAC k</t>
  </si>
  <si>
    <t>Knowing God</t>
  </si>
  <si>
    <t>J.I. Packer</t>
  </si>
  <si>
    <t>979-687-176-9</t>
  </si>
  <si>
    <t>231.04 YAN k</t>
  </si>
  <si>
    <t>Seri Monografi - Kebenaran Allah Lawan Kebenaran Sendiri</t>
  </si>
  <si>
    <t>231.04 SIT s</t>
  </si>
  <si>
    <t>Siapakah Nama Sang Pencipta?</t>
  </si>
  <si>
    <t>Samin H.Sitohang, S.H., M.Div., M.Th.</t>
  </si>
  <si>
    <t>0-7852-0702-3</t>
  </si>
  <si>
    <t>231.04 RIC e</t>
  </si>
  <si>
    <t>Every Name of God in The Bible</t>
  </si>
  <si>
    <t>Larry Richards</t>
  </si>
  <si>
    <t>978-602-97270-2-9</t>
  </si>
  <si>
    <t>231.04 LUK y</t>
  </si>
  <si>
    <t>Yahweh Tuhan Umat Israel dalam Perjanjian Lama dan Tuhan umat Kristen di Indonesia</t>
  </si>
  <si>
    <t>Pdt. DR. Darwis Luke, M.Th.</t>
  </si>
  <si>
    <t>Dinamika Press</t>
  </si>
  <si>
    <t>978-602-97270-1-2</t>
  </si>
  <si>
    <t>231.04 LUK</t>
  </si>
  <si>
    <t>Sejarah Pemahaman dan Penggunaan Nama Allah dan Tuhan di Indonesia</t>
  </si>
  <si>
    <t>231.04 GOS s</t>
  </si>
  <si>
    <t>Satu Allah…satu Tuhan Yesus Kristus</t>
  </si>
  <si>
    <t>Pdt. Dr. Christian Gossweiler</t>
  </si>
  <si>
    <t>231. 9 BUL j</t>
  </si>
  <si>
    <t>Jesus Christ and Mythology</t>
  </si>
  <si>
    <t>0-89130-515-7</t>
  </si>
  <si>
    <t>231. 7 MIL</t>
  </si>
  <si>
    <t>Sin and Judgment in the Prophets</t>
  </si>
  <si>
    <t>Patrick D. Miller, Jr.</t>
  </si>
  <si>
    <t>979-21-1203-3</t>
  </si>
  <si>
    <t>231 VOR t</t>
  </si>
  <si>
    <t xml:space="preserve">Trinitas (Bapa, Firman, Roh Kudus) </t>
  </si>
  <si>
    <t>Herbert Vorgrimler</t>
  </si>
  <si>
    <t>979-763-247-4</t>
  </si>
  <si>
    <t>231 TOW n</t>
  </si>
  <si>
    <t>Nama-Nama Allah</t>
  </si>
  <si>
    <t>Elmer L. Towns</t>
  </si>
  <si>
    <t xml:space="preserve">231 STR h </t>
  </si>
  <si>
    <t>Hoofdlijnen: Schets Eener Bijbelsche Geloofsleer</t>
  </si>
  <si>
    <t>K. Straatsma</t>
  </si>
  <si>
    <t>J.M. Bredee's Boekhandel En Uitg-Mu</t>
  </si>
  <si>
    <t>978-1-326-25518-3</t>
  </si>
  <si>
    <t>231 SAN e</t>
  </si>
  <si>
    <t>Erquicke Mein Herz In Christus</t>
  </si>
  <si>
    <t>231 ROS</t>
  </si>
  <si>
    <t>The Lord Is God</t>
  </si>
  <si>
    <t>Hellmut Rosin</t>
  </si>
  <si>
    <t>231 NOO h</t>
  </si>
  <si>
    <t>The History of Allah</t>
  </si>
  <si>
    <t>979-763-744-1</t>
  </si>
  <si>
    <t>231 NOO f</t>
  </si>
  <si>
    <t>1001 Fakta Mengejutkan Tentang Alkitab</t>
  </si>
  <si>
    <t>Jerry MacGregor &amp; Marie Prys</t>
  </si>
  <si>
    <t>979-763-728-X</t>
  </si>
  <si>
    <t>231 MAG f</t>
  </si>
  <si>
    <t>1001 Fakta Mengejutkan Tentang Allah</t>
  </si>
  <si>
    <t>Jerry Macgregor, Ph. D &amp; Marie Prys</t>
  </si>
  <si>
    <t>231 JON k</t>
  </si>
  <si>
    <t>Keesaan Tuhan, Allah Kita, sebagai pasal Iman dan sebagai norma Kesusilaan</t>
  </si>
  <si>
    <t>Dr. J. A. B. Jongeneel</t>
  </si>
  <si>
    <t>231 DIV</t>
  </si>
  <si>
    <t>A. Dives In Misericordia (Kaya Dalam Kerahiman) B. Misericordiae Vultus (Wajah Kerahiman)</t>
  </si>
  <si>
    <t>F.X. Adisusanto &amp; Bernadeta Harini Tri Prasasti</t>
  </si>
  <si>
    <t>979-8307-11-9</t>
  </si>
  <si>
    <t>Teologi Sistematika 1: Doktrin Allah</t>
  </si>
  <si>
    <t>0-345-38456-3</t>
  </si>
  <si>
    <t>231 ARM h</t>
  </si>
  <si>
    <t>A History of God</t>
  </si>
  <si>
    <t>Ballantine Books</t>
  </si>
  <si>
    <t>231 AMB a</t>
  </si>
  <si>
    <t>Allahu Akbar</t>
  </si>
  <si>
    <t>PBK Sinar Kasih</t>
  </si>
  <si>
    <t>231 ABI a</t>
  </si>
  <si>
    <t>Apa Kata Alkitab? I nomor 2</t>
  </si>
  <si>
    <t>P. D. Nilakandi</t>
  </si>
  <si>
    <t>The New International Commentary on the New Testament: The Epistle of Paul to The Churches of Galatia</t>
  </si>
  <si>
    <t>Herman N. Ridderbos, Th.D</t>
  </si>
  <si>
    <t>978-979-687-975-5</t>
  </si>
  <si>
    <t xml:space="preserve"> 228 DAR m</t>
  </si>
  <si>
    <t xml:space="preserve">MenyingkAP Janji Tuhan </t>
  </si>
  <si>
    <t>978-602-14830-3-9</t>
  </si>
  <si>
    <t xml:space="preserve">  230 NGE  t</t>
  </si>
  <si>
    <t>Teologi Tanah - Perspektif Kristen Terhadap Ketidak adilan Sosio - ekologis di Indonesia</t>
  </si>
  <si>
    <t>Zakaria J. Ngelow</t>
  </si>
  <si>
    <t>Yayasan Oase Intim</t>
  </si>
  <si>
    <t>1-56338-355-1</t>
  </si>
  <si>
    <t xml:space="preserve">   230 ERI r</t>
  </si>
  <si>
    <t>Rhetorical Argumentation In Biblical Text edited  by : Anders Erikson, Thomas H. Olbricht, Walter Ubelacker</t>
  </si>
  <si>
    <t>Anders Eriksson, Thomas H. Olbricht, and Ubelacker</t>
  </si>
  <si>
    <t>Trinity Press International</t>
  </si>
  <si>
    <t>978-602-19196-2-0</t>
  </si>
  <si>
    <t>230 SAB m</t>
  </si>
  <si>
    <t>Menemukan Kekristenan Yang  Hilang</t>
  </si>
  <si>
    <t>Rehobot Literature</t>
  </si>
  <si>
    <t>978-602-19709-5-9</t>
  </si>
  <si>
    <t>230 GUL s</t>
  </si>
  <si>
    <t>Spiritus Ubi Vult Spirat Teologi Misi Pentakostal Isu-Isu Terpilih</t>
  </si>
  <si>
    <t>Junifrius Gultom</t>
  </si>
  <si>
    <t>Bethel Press</t>
  </si>
  <si>
    <t>230 LEV r</t>
  </si>
  <si>
    <t>Religious Conceptions of the Stone Age</t>
  </si>
  <si>
    <t>G. Rachel Levy</t>
  </si>
  <si>
    <t>Harper Torchbooks</t>
  </si>
  <si>
    <t>3-579-04398-6</t>
  </si>
  <si>
    <t>230 BAL t</t>
  </si>
  <si>
    <t>Theologische Modelle Der Kommunikation</t>
  </si>
  <si>
    <t>German</t>
  </si>
  <si>
    <t>Heinrich Balz</t>
  </si>
  <si>
    <t>Guitersloher Verlagshaus Gerd Mohn</t>
  </si>
  <si>
    <t>230 RIM l</t>
  </si>
  <si>
    <t>Lot's Wife And Science Of Physics</t>
  </si>
  <si>
    <t>Harry Rimmer, Sc. D</t>
  </si>
  <si>
    <t>Eerdmans Publishing</t>
  </si>
  <si>
    <t>978-602-231-186-7</t>
  </si>
  <si>
    <t>230 SCH m</t>
  </si>
  <si>
    <t>Menggugat Kodrat Mengangkat Harkat - Tafsiran Dengan Perspektif Feminis Atas Teks-Teks Perjanjian Baru</t>
  </si>
  <si>
    <t>Ruth Schafer, dkk</t>
  </si>
  <si>
    <t>978-602-6327-17-8</t>
  </si>
  <si>
    <t>Monster Dalam Diri Kita</t>
  </si>
  <si>
    <t>Truth Literature</t>
  </si>
  <si>
    <t>978-979-29-2827-3</t>
  </si>
  <si>
    <t>227.7 HAG k</t>
  </si>
  <si>
    <t>Tafsiran Surat Kolose Dari Bahasa Yunani</t>
  </si>
  <si>
    <t>0-687-17184-9</t>
  </si>
  <si>
    <t>230.9 GON a3</t>
  </si>
  <si>
    <t>A History of Christian Thought Volume III</t>
  </si>
  <si>
    <t>Justo L. Gonzalez</t>
  </si>
  <si>
    <t>602-8165-15-8</t>
  </si>
  <si>
    <t>230.42 HAL p</t>
  </si>
  <si>
    <t>Penuntun ke Dalam Theologia (Institute Calvin)</t>
  </si>
  <si>
    <t>David W. Hall &amp; Peter A. Lillback</t>
  </si>
  <si>
    <t>978-3292-85-7</t>
  </si>
  <si>
    <t>230.42 BAV d</t>
  </si>
  <si>
    <t>Dogmatika Reformed "Vol 1: Prolegomena"</t>
  </si>
  <si>
    <t>Herman Bavinck</t>
  </si>
  <si>
    <t>978-3292-84-9</t>
  </si>
  <si>
    <t>230.42 BAV</t>
  </si>
  <si>
    <t>Dogmatika Reformed "Vol 3: Dosa dan Keselamatan di dalam Kristus"</t>
  </si>
  <si>
    <t>978-3292-86-8</t>
  </si>
  <si>
    <t>230.42 BAV d2</t>
  </si>
  <si>
    <t>Dogmatika Reformed "Vol 2: Allah dan Penciptaan"</t>
  </si>
  <si>
    <t>230.42  VAN b</t>
  </si>
  <si>
    <t>Biblical Authority After Babel: Retrieving the Solas in the Spirit of Mare Protestant Christianity</t>
  </si>
  <si>
    <t>Kevin  J. Vanhoozer</t>
  </si>
  <si>
    <t>978-0-8028-2799-9</t>
  </si>
  <si>
    <t>230.41 BAY m</t>
  </si>
  <si>
    <t xml:space="preserve">Martin Luther's Theology "A Contemporary Interpretatiom </t>
  </si>
  <si>
    <t>Oswald Bayer</t>
  </si>
  <si>
    <t>230.071.1 WEB k1</t>
  </si>
  <si>
    <t>Kamu Ini Terang Dunia</t>
  </si>
  <si>
    <t>230.071.1 WEB k2</t>
  </si>
  <si>
    <t>230.071 HEA t</t>
  </si>
  <si>
    <t>Teologi Pendidikan</t>
  </si>
  <si>
    <t>W. Stanley Heath, Ph. D., D. D., Th. D.</t>
  </si>
  <si>
    <t>230.071  WEB  k</t>
  </si>
  <si>
    <t>H.R Weber</t>
  </si>
  <si>
    <t>978-602-73118-1-7</t>
  </si>
  <si>
    <t>230.071  NAH  v</t>
  </si>
  <si>
    <t>25 Virus Mematikan Manusia Akhir Zaman</t>
  </si>
  <si>
    <t>Jacob Nahuway</t>
  </si>
  <si>
    <t>PT. Multigraph Print</t>
  </si>
  <si>
    <t>979-9143-05-5</t>
  </si>
  <si>
    <t>230.0462 ELL m</t>
  </si>
  <si>
    <t>Metode Penginjilan</t>
  </si>
  <si>
    <t>D. W. Ellis</t>
  </si>
  <si>
    <t xml:space="preserve">Yayasan Komunikasi Bina Kasih/OMF </t>
  </si>
  <si>
    <t>978-979-19829-0-0</t>
  </si>
  <si>
    <t>230.046.3 BAK</t>
  </si>
  <si>
    <t>A Dispensational Theology (Teologi Sistematika Dispensasional)</t>
  </si>
  <si>
    <t>Charles F. Baker</t>
  </si>
  <si>
    <t>Pustaka Alkitab Anugerah, jakarta</t>
  </si>
  <si>
    <t>230.046.2 MAI m</t>
  </si>
  <si>
    <t>Membina Jemaat Misioner</t>
  </si>
  <si>
    <t>Pdt. D.R. Maitimoe</t>
  </si>
  <si>
    <t>230.046.26 LIA k</t>
  </si>
  <si>
    <t>Ketiadasalahan Alkitab</t>
  </si>
  <si>
    <t>Dr. Steven E. Liauw</t>
  </si>
  <si>
    <t>Graphe</t>
  </si>
  <si>
    <t>230.046.26 LIA d</t>
  </si>
  <si>
    <t>Doktrin Alkitab Alkitabiah</t>
  </si>
  <si>
    <t>Gereja Baptis Independen Alkitabiah Graphe</t>
  </si>
  <si>
    <t>230.046.26 IHR t</t>
  </si>
  <si>
    <t>Tengoklah, Aku Dijadikan Semuanja Baru (Bahan-bahan Penyelidikan Alkitab)</t>
  </si>
  <si>
    <t>Ds. Ihromi M. A; Dr. A. de Kuiper; Drs. Liem Kiem Yang; Drs. J. E. Tulung</t>
  </si>
  <si>
    <t>230.046.26 FIL t</t>
  </si>
  <si>
    <t>Temuan Baru Kebahagiaan Sejati 2, Panduan Menemukan Hal-hal Baru Untuk Kelompok Kecil)</t>
  </si>
  <si>
    <t>Fiilipus</t>
  </si>
  <si>
    <t>Yayasan Sumber Sejahtera</t>
  </si>
  <si>
    <t>230.046.26 GUN b</t>
  </si>
  <si>
    <t xml:space="preserve">Bahan Pemahaman Alkitab </t>
  </si>
  <si>
    <t>Pdt. Linna Gunnawan</t>
  </si>
  <si>
    <t>Badan Pekerja Majelis Sinode Gereja Kristen Indonesia</t>
  </si>
  <si>
    <t>230.046.2 BOW</t>
  </si>
  <si>
    <t>The Gospel From The Mount ( A new Translation and Interpretation of Matthew, Chs. 5 to 7</t>
  </si>
  <si>
    <t>John Wick Bowman &amp; Roland W. Tapp</t>
  </si>
  <si>
    <t>979-26-0055-8</t>
  </si>
  <si>
    <t>230.046 FIR m</t>
  </si>
  <si>
    <t>Menggerakkan Jemaat Pemuridan Menurut Injil Markus</t>
  </si>
  <si>
    <t xml:space="preserve">A Denny Firmanto </t>
  </si>
  <si>
    <t>979-497-617-2</t>
  </si>
  <si>
    <t>230.042 KWI i</t>
  </si>
  <si>
    <t>Iman Katolik (Buku Informasi &amp; Referensi)</t>
  </si>
  <si>
    <t>979-565-374-1</t>
  </si>
  <si>
    <t>230.042 ALF p2</t>
  </si>
  <si>
    <t>Pendalaman Iman Katolik Jilid 2</t>
  </si>
  <si>
    <t xml:space="preserve">Alfred Mcbride, o. Praem </t>
  </si>
  <si>
    <t>979-565-373-3</t>
  </si>
  <si>
    <t>230.042 ALF</t>
  </si>
  <si>
    <t xml:space="preserve">Pendalaman Iman Katolik Jilid 1 </t>
  </si>
  <si>
    <t>230.0415 LAD t2</t>
  </si>
  <si>
    <t>Teologi Perjanjian Baru Jilid 2</t>
  </si>
  <si>
    <t>George Eldon Ladd</t>
  </si>
  <si>
    <t>230.0415 LAD t</t>
  </si>
  <si>
    <t>Teologi Perjanjian Baru Jilid 1</t>
  </si>
  <si>
    <t>1-57506-096-5</t>
  </si>
  <si>
    <t>230.0411 OLL t</t>
  </si>
  <si>
    <t>Old Testament Theology; Flowering and future Volume 1</t>
  </si>
  <si>
    <t>Ben C. Ollenburger</t>
  </si>
  <si>
    <t>979-687-231-5</t>
  </si>
  <si>
    <t>230.0411 KAR b</t>
  </si>
  <si>
    <t>Teologi Perjanjian Lama: Bunga Rampai</t>
  </si>
  <si>
    <t>Yonky Karman</t>
  </si>
  <si>
    <t>979-672-496-0</t>
  </si>
  <si>
    <t>230.041.5 HAR i</t>
  </si>
  <si>
    <t>Inilah Injil Yesus Kristus (Ulasan Injil Hari Minggu Tahun B Masa Khusus)</t>
  </si>
  <si>
    <t>978-979-415-606-3</t>
  </si>
  <si>
    <t>230.041.5 GUT t3</t>
  </si>
  <si>
    <t>Teologi Perjanjian Baru 3, Ekklesiologi, Eskatologi, Etika</t>
  </si>
  <si>
    <t>978-979-415-671-1</t>
  </si>
  <si>
    <t>230.041.5 GUT t</t>
  </si>
  <si>
    <t>Teologi Perjanjian Baru 2</t>
  </si>
  <si>
    <t>Donald Guthrie, B.D., M. TH</t>
  </si>
  <si>
    <t>978-979-415-562-2</t>
  </si>
  <si>
    <t>230.041.5 GUT</t>
  </si>
  <si>
    <t>Teologi Perjanjian Baru 1: Allah, Manusia, Kristus</t>
  </si>
  <si>
    <t>978-979-687-498-9</t>
  </si>
  <si>
    <t>230.041.1 BAR t1</t>
  </si>
  <si>
    <t>Teologi Perjanjian Lama 1</t>
  </si>
  <si>
    <t>DR. Christoph Barth Marie-Claire Barth-Frommel, M. Th</t>
  </si>
  <si>
    <t>978-0-465-02255-7</t>
  </si>
  <si>
    <t>230.041.1 ALT t</t>
  </si>
  <si>
    <t>The Art of Biblical Narrative</t>
  </si>
  <si>
    <t>Basic Books</t>
  </si>
  <si>
    <t>978-602-70123-3-2</t>
  </si>
  <si>
    <t>230.041.1  SAN  s</t>
  </si>
  <si>
    <t>Satu iota Tak Akan Di tiadakan</t>
  </si>
  <si>
    <t>Pdt. Dr. Agus Santoso</t>
  </si>
  <si>
    <t>STT Cipanas Press</t>
  </si>
  <si>
    <t>230.041 YAT t</t>
  </si>
  <si>
    <t>The Essentials of Biblical Hebrew</t>
  </si>
  <si>
    <t>Kyle M. Yates</t>
  </si>
  <si>
    <t>Harper &amp; Row, Plubishers</t>
  </si>
  <si>
    <t>978-0-567-65254-6</t>
  </si>
  <si>
    <t>230.041 PYP t</t>
  </si>
  <si>
    <t>The Unchained Bible Cultural Appropriations Biblical Texts</t>
  </si>
  <si>
    <t>Hugh S. Pyper</t>
  </si>
  <si>
    <t>979-3080-05-1</t>
  </si>
  <si>
    <t>230 ENN t1</t>
  </si>
  <si>
    <t>The Moody Handbook of Theology Buku Pegangan Teologi 1</t>
  </si>
  <si>
    <t>Paul Enns</t>
  </si>
  <si>
    <t>230.041 BRE s</t>
  </si>
  <si>
    <t>SEMEIA Food and Drink in The Biblical Worlds</t>
  </si>
  <si>
    <t>Athalya Brenner</t>
  </si>
  <si>
    <t>979-415-353-2</t>
  </si>
  <si>
    <t>230.041 BAR t</t>
  </si>
  <si>
    <t>Theologia Perjanjian Lama 1</t>
  </si>
  <si>
    <t>Dr.C.Barth</t>
  </si>
  <si>
    <t>978-0-8028-2926-9</t>
  </si>
  <si>
    <t>230.04 POW g</t>
  </si>
  <si>
    <t>Giving to God</t>
  </si>
  <si>
    <t>Mark Allan Powell</t>
  </si>
  <si>
    <t>979-415-968-9</t>
  </si>
  <si>
    <t>230.04 HUN m</t>
  </si>
  <si>
    <t>Memperkenalkan Teologi Perjanjian Baru</t>
  </si>
  <si>
    <t>A. M. Hunter</t>
  </si>
  <si>
    <t>230.04 FEI m</t>
  </si>
  <si>
    <t>Masih Relevankah Perjanjian Lama di Era Perjanjian Baru</t>
  </si>
  <si>
    <t>John S. Feinberg (ed)</t>
  </si>
  <si>
    <t>0-87813-414-X</t>
  </si>
  <si>
    <t>230.041  SHE  s</t>
  </si>
  <si>
    <t>Symbols of Divine Order in the Chruch</t>
  </si>
  <si>
    <t>Sanford G. Shetler &amp; J. Word Shank</t>
  </si>
  <si>
    <t>Sword &amp; Trumpet, Inc</t>
  </si>
  <si>
    <t>979-96365-9-5</t>
  </si>
  <si>
    <t>230.01 TIL t</t>
  </si>
  <si>
    <t>Teologi Kebudayaan tendensi, aplikasi &amp; komparasi</t>
  </si>
  <si>
    <t>Paul Tillich</t>
  </si>
  <si>
    <t>IRCISOD</t>
  </si>
  <si>
    <t>230.01 PEU t</t>
  </si>
  <si>
    <t>Tubuh Jiwa Roh (Sebuah Pengantar dalam Filsafat Manusia)</t>
  </si>
  <si>
    <t>Prof. Dr. C. A. van Peursen</t>
  </si>
  <si>
    <t>230.007.1 h</t>
  </si>
  <si>
    <t>Harta Abadi 401 Butir Tanya Jawab Pengajaran Agama Kristen</t>
  </si>
  <si>
    <t>000-011-025</t>
  </si>
  <si>
    <t>230.007 SUB p</t>
  </si>
  <si>
    <t>Pengantar Riset Kuantitatif &amp; Kualitatif (Termasuk Riset Teologi dan Keagamaan)</t>
  </si>
  <si>
    <t>Andreas B. Subagyo, Ph. D</t>
  </si>
  <si>
    <t>797-21-0666-9</t>
  </si>
  <si>
    <t>230.005 BAN b</t>
  </si>
  <si>
    <t>Berbakti Dengan Spirit dan Nalar: Spriritualitas atau Teologi?</t>
  </si>
  <si>
    <t>J. B. Banawiratma, Sj Dkk</t>
  </si>
  <si>
    <t>Kanasius</t>
  </si>
  <si>
    <t>978-979-687-205-3</t>
  </si>
  <si>
    <t>230. DRE a</t>
  </si>
  <si>
    <t>Apa itu Teologi? Pengantar ke dalam Ilmu Teologi</t>
  </si>
  <si>
    <t>Pdt. B. F. Drewes, M. Th., Pdt. Julianus Mojau, M.Th.</t>
  </si>
  <si>
    <t>0-687-17182-2</t>
  </si>
  <si>
    <t>230. 9 GON a1</t>
  </si>
  <si>
    <t>A History of Christian Thought Volume I</t>
  </si>
  <si>
    <t>0-687-17183-0</t>
  </si>
  <si>
    <t>230. 9 GON a2</t>
  </si>
  <si>
    <t>A History of Christian Thought Volume II</t>
  </si>
  <si>
    <t>0-8028-4757-9</t>
  </si>
  <si>
    <t>230. 04115 FEE  l</t>
  </si>
  <si>
    <t>Listening to The Spirit in The Text</t>
  </si>
  <si>
    <t>978-979-415-761-9</t>
  </si>
  <si>
    <t>230 WUW b</t>
  </si>
  <si>
    <t>Bina Warga - Bunga Rampai Pembinaan Warga Gereja</t>
  </si>
  <si>
    <t>Pdt. O.E Ch. Wuwungan, D.Th</t>
  </si>
  <si>
    <t>978-0-310-32470-6</t>
  </si>
  <si>
    <t>230 WRI s</t>
  </si>
  <si>
    <t>Surprised By Hope</t>
  </si>
  <si>
    <t>N. T. Wright</t>
  </si>
  <si>
    <t>230 WIL t</t>
  </si>
  <si>
    <t>Tiuplah Sangkakala</t>
  </si>
  <si>
    <t>David Wilkerson</t>
  </si>
  <si>
    <t>0-8028-1435-2</t>
  </si>
  <si>
    <t>230 CHR w</t>
  </si>
  <si>
    <t>Who In The World ?</t>
  </si>
  <si>
    <t>Christians, Schipper &amp; Smedes ( Edited )</t>
  </si>
  <si>
    <t>230 VER a</t>
  </si>
  <si>
    <t>Aku Pertjaja Sebuah Uraian tentang Indjil dan Panggilan Kepada Iman</t>
  </si>
  <si>
    <t>DR. J. Verkuyl</t>
  </si>
  <si>
    <t>979-415-287-0</t>
  </si>
  <si>
    <t>Aku Percaya</t>
  </si>
  <si>
    <t>978-0-9788-914-0-4</t>
  </si>
  <si>
    <t>230 MOL t</t>
  </si>
  <si>
    <t>The Unabridged Collected Works</t>
  </si>
  <si>
    <t>Kahley House Publishing</t>
  </si>
  <si>
    <t>230 TOM</t>
  </si>
  <si>
    <t>Teologi Kontekstualisasi (Suatu Pengantar)</t>
  </si>
  <si>
    <t>DR. Y. Tomatala, D. Miss.</t>
  </si>
  <si>
    <t>230 THI  t</t>
  </si>
  <si>
    <t>Teologi Sistematika</t>
  </si>
  <si>
    <t>Henry C. Thiessen</t>
  </si>
  <si>
    <t>979-463-497-2</t>
  </si>
  <si>
    <t>230 BIR t</t>
  </si>
  <si>
    <t>Teman Sekerja Allah</t>
  </si>
  <si>
    <t>Biro Pelayanan Wanita PGI, Jakarta</t>
  </si>
  <si>
    <t>979-8307-31-3</t>
  </si>
  <si>
    <t>230 SUS</t>
  </si>
  <si>
    <t>Teologi Modern II</t>
  </si>
  <si>
    <t>Yakub B. Susabda</t>
  </si>
  <si>
    <t>Lembaga Reformed Injili Indonesia</t>
  </si>
  <si>
    <t>979-415-191-2</t>
  </si>
  <si>
    <t>230 SON s</t>
  </si>
  <si>
    <t>Sebutkanlah Nama-nama Kami Teologi Cerita dari Perspektif Asia</t>
  </si>
  <si>
    <t>Coan Seng Song</t>
  </si>
  <si>
    <t>979-415-382-6</t>
  </si>
  <si>
    <t>230 SON a</t>
  </si>
  <si>
    <t>Allah yang Turut Menderita</t>
  </si>
  <si>
    <t>Choan-Seng Song</t>
  </si>
  <si>
    <t>979-3799-05-6</t>
  </si>
  <si>
    <t>230 SIS m</t>
  </si>
  <si>
    <t>Menuju Kedewasaan Rohani</t>
  </si>
  <si>
    <t>Sisyanti</t>
  </si>
  <si>
    <t>979-412-027-8</t>
  </si>
  <si>
    <t>230 SIM h</t>
  </si>
  <si>
    <t>Harapan, Keprihatinan, dan Tekad</t>
  </si>
  <si>
    <t>Dr. T.B. Simatupang</t>
  </si>
  <si>
    <t>Inti Idayu Press</t>
  </si>
  <si>
    <t>230 SEO</t>
  </si>
  <si>
    <t>The Experiental Meaning of Spirituality and Theology of Work</t>
  </si>
  <si>
    <t>Gaborone, Botswana</t>
  </si>
  <si>
    <t>Bishop Johannes T. Seoka (Jo)</t>
  </si>
  <si>
    <t>Coler House</t>
  </si>
  <si>
    <t>979-415-508-x</t>
  </si>
  <si>
    <t>230 SCH r</t>
  </si>
  <si>
    <t>Rancang Bangun Teologi Lokal</t>
  </si>
  <si>
    <t>Robert J. Schreiter, C. PP. S.</t>
  </si>
  <si>
    <t>970-3080-53-1</t>
  </si>
  <si>
    <t>230 SAN t</t>
  </si>
  <si>
    <t>Theologi Lukas, Intisari dan Aplikasinya</t>
  </si>
  <si>
    <t>David Iman Santoso</t>
  </si>
  <si>
    <t>978-602-73199-4-3</t>
  </si>
  <si>
    <t>230 SAB i</t>
  </si>
  <si>
    <t>Injil yang Benar Suara Kebenaran</t>
  </si>
  <si>
    <t>Erastus Sabdono</t>
  </si>
  <si>
    <t>979-415-355-9</t>
  </si>
  <si>
    <t>230 RUM</t>
  </si>
  <si>
    <t>Masa Roh Kudus dan Kasih Karunia</t>
  </si>
  <si>
    <t>Pdt. Nazarius Rumpak, M. Th., D. Min</t>
  </si>
  <si>
    <t>1-56338-314-4</t>
  </si>
  <si>
    <t>230 KIM r</t>
  </si>
  <si>
    <t>Reading The Hebrew Bible For A New Millennium - Form , Concept and Theological Perspective Volume 1: Theological and Hermeneutical Studies</t>
  </si>
  <si>
    <t>Wonil Kim, dkk</t>
  </si>
  <si>
    <t>230 RAM w</t>
  </si>
  <si>
    <t xml:space="preserve">Was Christ Born In Bethlehem </t>
  </si>
  <si>
    <t>William Ramsay</t>
  </si>
  <si>
    <t>Williams James &amp; Scott Roberts</t>
  </si>
  <si>
    <t>230 PRO p</t>
  </si>
  <si>
    <t>Promise and Fulfilment</t>
  </si>
  <si>
    <t>087808-441-x</t>
  </si>
  <si>
    <t>230 PRI</t>
  </si>
  <si>
    <t>Doing Theology With The Maasai</t>
  </si>
  <si>
    <t>Doug Priest Jr.</t>
  </si>
  <si>
    <t>Pasadena, California</t>
  </si>
  <si>
    <t>230.071 HEI p</t>
  </si>
  <si>
    <t>Pengajaran Agama Kristen (Katekismus Heidelberg)</t>
  </si>
  <si>
    <t>978-602-74705-0-7</t>
  </si>
  <si>
    <t>230 PAR i</t>
  </si>
  <si>
    <t>Seri 6 Imam Besar Kekal yang Dijanjikan Dengan Sumpah: Silsilah Imam Besar Dilihat dari Sudut Pandang Sejarah Penebusan</t>
  </si>
  <si>
    <t>Abraham Park</t>
  </si>
  <si>
    <t>Yayasan Damai Sejahtera Utama</t>
  </si>
  <si>
    <t>979-98682-0-3</t>
  </si>
  <si>
    <t>230 PAN a</t>
  </si>
  <si>
    <t>Ajaran Kristus Mengenai Pemulihan Segala Sesuatu</t>
  </si>
  <si>
    <t>Ir. Fermin Panjaitan</t>
  </si>
  <si>
    <t>Christyan'sWorkstation</t>
  </si>
  <si>
    <t>230 OPP m</t>
  </si>
  <si>
    <t>Merindukan Raja: Menarik, Mudah dibaca Sesui dengan isi Alkitab</t>
  </si>
  <si>
    <t>230 OPP t</t>
  </si>
  <si>
    <t>Alkitab Bergambar Untuk Semua Umur Tanah Perjanjian</t>
  </si>
  <si>
    <t>H.A. Oppusunggu</t>
  </si>
  <si>
    <t>979-8976-03-7</t>
  </si>
  <si>
    <t>230 OPP p</t>
  </si>
  <si>
    <t>Alkitab Bergambar Untuk Semua Umur PILIHANKU</t>
  </si>
  <si>
    <t>230 OCT b</t>
  </si>
  <si>
    <t>Buah Yang Tinggal Tetap</t>
  </si>
  <si>
    <t>P. Octavianus</t>
  </si>
  <si>
    <t>YPIP</t>
  </si>
  <si>
    <t>979-415-465-2</t>
  </si>
  <si>
    <t>230 MAS m</t>
  </si>
  <si>
    <t>Masihkah Benih Tersimpan…?</t>
  </si>
  <si>
    <t>L. A. Hoedemaker…/et al.</t>
  </si>
  <si>
    <t>BPK Gunung  bekerjasama dengan BPM Sinode GKI Jawa Barat</t>
  </si>
  <si>
    <t xml:space="preserve">230 LUT </t>
  </si>
  <si>
    <t xml:space="preserve">Teologi Kontemporer , Berbeda Namun Satu Tubuh </t>
  </si>
  <si>
    <t xml:space="preserve">Erwin W. Lutzer </t>
  </si>
  <si>
    <t>78-602-7788-38-1</t>
  </si>
  <si>
    <t>230 LUK r</t>
  </si>
  <si>
    <t>Rupa-rupa Angin Pengajaran: Pergumulan 30 Tahun "Membaca Arah Angin" Teologi Kekinian</t>
  </si>
  <si>
    <t>Daniel Lucas Lukito</t>
  </si>
  <si>
    <t>979-415-249-8</t>
  </si>
  <si>
    <t>230 LOH p</t>
  </si>
  <si>
    <t>Pengantar Sejarah Dogma Kristen</t>
  </si>
  <si>
    <t>Bernhard Lohse</t>
  </si>
  <si>
    <t>978-0-281-07131-9</t>
  </si>
  <si>
    <t>230 KRU c</t>
  </si>
  <si>
    <t>Christianity At The Cross Roads</t>
  </si>
  <si>
    <t>SPCK</t>
  </si>
  <si>
    <t>230 KRA t</t>
  </si>
  <si>
    <t>Theologia Kaum Awam</t>
  </si>
  <si>
    <t>0-567-04393-2</t>
  </si>
  <si>
    <t>230 JON a</t>
  </si>
  <si>
    <t>A History of Christian Doctrine</t>
  </si>
  <si>
    <t>Hubert Cunliffe- Jones</t>
  </si>
  <si>
    <t>230 HIN b</t>
  </si>
  <si>
    <t>Bahasa Tuhan - Eksistensi, Peran dan Fungsi Bahasa Ibrani dalam Penyusunan ALKITAB</t>
  </si>
  <si>
    <t>Teguh Hindarto</t>
  </si>
  <si>
    <t>230 HAN m</t>
  </si>
  <si>
    <t>Mari Berteologi</t>
  </si>
  <si>
    <t>Nugroho S. Hananiel</t>
  </si>
  <si>
    <t xml:space="preserve"> Gandum Mas</t>
  </si>
  <si>
    <t>230 HAD t</t>
  </si>
  <si>
    <t>Theologia Reformatoris Abad ke 20 jilid I</t>
  </si>
  <si>
    <t>978-979-415-067-2</t>
  </si>
  <si>
    <t>230 HAD i</t>
  </si>
  <si>
    <t>Inilah Sahadatku</t>
  </si>
  <si>
    <t>979-415-606-x</t>
  </si>
  <si>
    <t>230 GUT t</t>
  </si>
  <si>
    <t>Teologi Perjanjian Baru 3 Eklesiologi, Eskatologi, Etika</t>
  </si>
  <si>
    <t>979-415-562-4</t>
  </si>
  <si>
    <t>230 GUT t1</t>
  </si>
  <si>
    <t>Teologi Perjanjian Baru 1 Allah, Manusia, Kristus</t>
  </si>
  <si>
    <t>979-415-671-X</t>
  </si>
  <si>
    <t>230 GUT  t</t>
  </si>
  <si>
    <t>Teologi Perjanjian Baru 2, Misi Kristus, Roh Kudus, Kehidupan Kristen</t>
  </si>
  <si>
    <t>0-8028-1847-1</t>
  </si>
  <si>
    <t>230 GRE t</t>
  </si>
  <si>
    <t>The theology &amp; Revolution In The Scottish Reformation</t>
  </si>
  <si>
    <t>Richard L. Greaves</t>
  </si>
  <si>
    <t>Christian University Press</t>
  </si>
  <si>
    <t>979-687-205-6</t>
  </si>
  <si>
    <t>230 DRE a</t>
  </si>
  <si>
    <t>Apa Itu Teologi? (Pengantar ke dalam Ilmu Teologi)</t>
  </si>
  <si>
    <t>Pdt B. F. Drewes, M. Th dan Pdt. Julianus Mojau, M. Th</t>
  </si>
  <si>
    <t>230 DOB  V</t>
  </si>
  <si>
    <t>Voice In Stone - The Decipherment of Ancient Scripts and Writings</t>
  </si>
  <si>
    <t>Ernst Doblhoper</t>
  </si>
  <si>
    <t>230 CAP c</t>
  </si>
  <si>
    <t>Citra Anda Menurut Allah</t>
  </si>
  <si>
    <t>Charles Capps</t>
  </si>
  <si>
    <t>230 BRI d</t>
  </si>
  <si>
    <t>Dasar Yang Teguh</t>
  </si>
  <si>
    <t>John Wesley Brill</t>
  </si>
  <si>
    <t>978-0-8028-6239-6</t>
  </si>
  <si>
    <t>230 BRA t</t>
  </si>
  <si>
    <t>That All May Believe</t>
  </si>
  <si>
    <t>Carl E. Braaten</t>
  </si>
  <si>
    <t>978-1-4335-2269-7</t>
  </si>
  <si>
    <t>230 BRA</t>
  </si>
  <si>
    <t>God Is Love A Biblical and Systematic Theology</t>
  </si>
  <si>
    <t>Gerald Bray</t>
  </si>
  <si>
    <t>Crosswar</t>
  </si>
  <si>
    <t>230 BEN r</t>
  </si>
  <si>
    <t>Resep dari Tuhan Yesus</t>
  </si>
  <si>
    <t>Jakobus Benjamin</t>
  </si>
  <si>
    <t>979-415-484-9</t>
  </si>
  <si>
    <t>230 BAR t</t>
  </si>
  <si>
    <t>Theologia Perjanjian Lama 4</t>
  </si>
  <si>
    <t>Dr. C. Barth</t>
  </si>
  <si>
    <t>979-415-482-2</t>
  </si>
  <si>
    <t>230 BAR</t>
  </si>
  <si>
    <t>Theologia Perjanjian Lama 3</t>
  </si>
  <si>
    <t>979-415-615-9</t>
  </si>
  <si>
    <t>Theologia Perjanjian Lama 2</t>
  </si>
  <si>
    <t>979-8694-01-5</t>
  </si>
  <si>
    <t>230 BAD a</t>
  </si>
  <si>
    <t>Agama Masyarakat dan Negara</t>
  </si>
  <si>
    <t>Budaya</t>
  </si>
  <si>
    <t>Badan Penelitian  dan Pengembangan Persekutuan Gereja-Gereja di Indonesia, Jakarta</t>
  </si>
  <si>
    <t>979-415-628-0</t>
  </si>
  <si>
    <t>230 AVI a</t>
  </si>
  <si>
    <t>Ambang Pintu Teologi</t>
  </si>
  <si>
    <t>Paul Avis</t>
  </si>
  <si>
    <t>230 ABI s</t>
  </si>
  <si>
    <t>Sekitar Theologia Praktika</t>
  </si>
  <si>
    <t>Dr. JL. CH. Abineno</t>
  </si>
  <si>
    <t>88-237-3437-1</t>
  </si>
  <si>
    <t>230  UBS i</t>
  </si>
  <si>
    <t>I Will Turn to the Father</t>
  </si>
  <si>
    <t>230  TRE  p</t>
  </si>
  <si>
    <t>Pembaharuan Pikiran</t>
  </si>
  <si>
    <t>Casey Treat</t>
  </si>
  <si>
    <t>230  SON  s</t>
  </si>
  <si>
    <t>Sebutkanlah Nama - Nama Kami Teologi Cerita Dari Perspektif Asia</t>
  </si>
  <si>
    <t>C.S Song</t>
  </si>
  <si>
    <t>979-415-194-7</t>
  </si>
  <si>
    <t>230  NIF  d</t>
  </si>
  <si>
    <t>Dogmatika Masa Kini</t>
  </si>
  <si>
    <t>Dr. G.C Van Niftrik, Dr. B.J Boland</t>
  </si>
  <si>
    <t>230  KON  l</t>
  </si>
  <si>
    <t>Living Hymn Stories</t>
  </si>
  <si>
    <t>Wilbur Konkel</t>
  </si>
  <si>
    <t>Bethany Fellowship, Inc</t>
  </si>
  <si>
    <t>230  HAM  p</t>
  </si>
  <si>
    <t>Persepuluhan 10 %</t>
  </si>
  <si>
    <t>Jeff Hammond B.Th, M.A, Th. D, Dip. R.E; Annette Hammond. B.A.</t>
  </si>
  <si>
    <t>230  ERY  t</t>
  </si>
  <si>
    <t>Teologi Kristen - Volume 1</t>
  </si>
  <si>
    <t>Millard J. Erickson</t>
  </si>
  <si>
    <t>230  BEN  c</t>
  </si>
  <si>
    <t>The Christian Teacher</t>
  </si>
  <si>
    <t>Clarence H. Benson</t>
  </si>
  <si>
    <t>0-19-514183-0</t>
  </si>
  <si>
    <t>229.92 EHR lc</t>
  </si>
  <si>
    <t>Lost Christianities The Battles for Scripture and the Faith We Never Knew</t>
  </si>
  <si>
    <t>978-1-58983-715-7</t>
  </si>
  <si>
    <t>229.914 STO a</t>
  </si>
  <si>
    <t>Armenian Apocrypha Relating To Abraham</t>
  </si>
  <si>
    <t>The Society of Biblical Literature</t>
  </si>
  <si>
    <t>979-415-066-5</t>
  </si>
  <si>
    <t>229.914 BAV  s</t>
  </si>
  <si>
    <t>Sejarah Kerajaan Allah 2 (Perjanjian Baru)</t>
  </si>
  <si>
    <t>Dr. J.H Bavinck</t>
  </si>
  <si>
    <t>979-415-087-8</t>
  </si>
  <si>
    <t xml:space="preserve">229.914  BAK  </t>
  </si>
  <si>
    <t>Sejarah Kerajaan Allah 1 (Perjanjian Lama)</t>
  </si>
  <si>
    <t>Dr. F. L. Bakker</t>
  </si>
  <si>
    <t>978-0-8028-6666-0</t>
  </si>
  <si>
    <t>229.9 LOA p</t>
  </si>
  <si>
    <t>The Pseudepigraphia On Sexuality</t>
  </si>
  <si>
    <t xml:space="preserve">William Loader </t>
  </si>
  <si>
    <t>978-979-687-923-6</t>
  </si>
  <si>
    <t>229.9 KUI d</t>
  </si>
  <si>
    <t>Didakhe Pengajaran Kedua Belas Rasul</t>
  </si>
  <si>
    <t>978-0-8028-6748-3</t>
  </si>
  <si>
    <t>229.8 GOO t</t>
  </si>
  <si>
    <t xml:space="preserve">Thomas and The Gospels </t>
  </si>
  <si>
    <t>Mark Goodacre</t>
  </si>
  <si>
    <t>0-226-50049-7</t>
  </si>
  <si>
    <t xml:space="preserve">229.406 MAC w </t>
  </si>
  <si>
    <t>Wisdom and the Hebrew Epic Ben Sira's Hymn in Praise of the Fathers</t>
  </si>
  <si>
    <t>229.4 VAW t</t>
  </si>
  <si>
    <t>The Book of Sirach</t>
  </si>
  <si>
    <t>Bruce Vawter, C. M.</t>
  </si>
  <si>
    <t>978-602-7653-13-2</t>
  </si>
  <si>
    <t>229.224 SIM p</t>
  </si>
  <si>
    <t>Pengantar Kitab-Kitab Puisi dan Nabi-Nabi Besar</t>
  </si>
  <si>
    <t>Ferry Simanjuntak</t>
  </si>
  <si>
    <t>Satu-Satu</t>
  </si>
  <si>
    <t>0-19-514182-2</t>
  </si>
  <si>
    <t>229.92 EHR ls</t>
  </si>
  <si>
    <t>Lost Scripture Books that Did Not Make It into the New Testament</t>
  </si>
  <si>
    <t>978-0-8028-4633-4</t>
  </si>
  <si>
    <t>229.061 HAR i</t>
  </si>
  <si>
    <t>Invitation to the Apocrypha</t>
  </si>
  <si>
    <t>Daniel J. Harrington</t>
  </si>
  <si>
    <t>0-87784-774-6</t>
  </si>
  <si>
    <t>229 WIL i</t>
  </si>
  <si>
    <t>I Saw Heaven Opened The Message of Revelation</t>
  </si>
  <si>
    <t>Michael Wilcock</t>
  </si>
  <si>
    <t>0-687-20653-7</t>
  </si>
  <si>
    <t>229 ROS  j</t>
  </si>
  <si>
    <t>Judaism Outside the Hebrew Canon</t>
  </si>
  <si>
    <t>Leonhard Rost</t>
  </si>
  <si>
    <t>229 APO t</t>
  </si>
  <si>
    <t xml:space="preserve">THE APOCRYPHA According to The Authorized Version)  </t>
  </si>
  <si>
    <t>229 APO a</t>
  </si>
  <si>
    <t>Apocriefe Boeken Lutherse Vertaling</t>
  </si>
  <si>
    <t>Het Nederlandsch Bijbelgenootschap Amsterdam</t>
  </si>
  <si>
    <t>0-8028-4714-5</t>
  </si>
  <si>
    <t>228.067  HEM  t</t>
  </si>
  <si>
    <t>The Letters To The Seven Churches of Asia in Their Local Setting</t>
  </si>
  <si>
    <t>Colin J. Hemer</t>
  </si>
  <si>
    <t>William Eerdmans</t>
  </si>
  <si>
    <t>0-8010-2299-1</t>
  </si>
  <si>
    <t>228 OSB</t>
  </si>
  <si>
    <t>Baker Exegetical Commentary On The New Testament Revelation</t>
  </si>
  <si>
    <t>228 LAY w</t>
  </si>
  <si>
    <t>Wahyu Tuhan bagi Gereja-Nya</t>
  </si>
  <si>
    <t>Agnes Maria Layantara</t>
  </si>
  <si>
    <t>979-3292-04-0</t>
  </si>
  <si>
    <t>228 KIS w</t>
  </si>
  <si>
    <t>Tafsiran Kitab Wahyu</t>
  </si>
  <si>
    <t>Simon J. Kistemaker</t>
  </si>
  <si>
    <t>Tafsiran Wahyu Yohanes 1</t>
  </si>
  <si>
    <t xml:space="preserve">Drs. J. J. de Heer </t>
  </si>
  <si>
    <t>979-731-971-7</t>
  </si>
  <si>
    <t>228 HAG w</t>
  </si>
  <si>
    <t>Tafsiran Kitab Wahyu Dari Bahasa Yunani</t>
  </si>
  <si>
    <t>979-415-079-7</t>
  </si>
  <si>
    <t>228 DAA p</t>
  </si>
  <si>
    <t>Pedoman ke Dalam Kitab Wahyu Yohanes</t>
  </si>
  <si>
    <t>David H. van Daalen</t>
  </si>
  <si>
    <t>0-8267-0195-7</t>
  </si>
  <si>
    <t>228 BRA a</t>
  </si>
  <si>
    <t xml:space="preserve">A Translator's Guide to The Revelation To John </t>
  </si>
  <si>
    <t>978-0-8028-6598-4</t>
  </si>
  <si>
    <t>228  POR a</t>
  </si>
  <si>
    <t>Apocalypse Againts Empire - Theologies of Resistance In Early Judaism</t>
  </si>
  <si>
    <t>Anathea E. Portier - Young</t>
  </si>
  <si>
    <t>979-22-2183-2</t>
  </si>
  <si>
    <t>227.97 KRO t</t>
  </si>
  <si>
    <t>The Lost Gospel - Kisah Pencarian Injil Yudas</t>
  </si>
  <si>
    <t>Herberth Krosney</t>
  </si>
  <si>
    <t>PT. Gramedia Pustaka Utama, Jakarta</t>
  </si>
  <si>
    <t>0-19-531460-3</t>
  </si>
  <si>
    <t>227.97 EHR l</t>
  </si>
  <si>
    <t>The Lost Gospel of Judas Iscariot, A New Look at Betrayer and Betrayed</t>
  </si>
  <si>
    <t>979-3574-57-7</t>
  </si>
  <si>
    <t>227.97  WRI  m</t>
  </si>
  <si>
    <t>Apakah Kebenaran di dalam Kristianitas Telah Gugur? Menjawab Injil Yudas</t>
  </si>
  <si>
    <t>N.T Wright</t>
  </si>
  <si>
    <t>Gradien Books</t>
  </si>
  <si>
    <t>0-8066-8862-9</t>
  </si>
  <si>
    <t>227.94 KYS a</t>
  </si>
  <si>
    <t xml:space="preserve">Augsburg Commentary on the New Testament I,II,III John </t>
  </si>
  <si>
    <t>Robert Kysar</t>
  </si>
  <si>
    <t>978-979-26-3563-7</t>
  </si>
  <si>
    <t>227.93-97 WIE w</t>
  </si>
  <si>
    <t>Seri Tafsiran 2 Petrus, 2-3 Yoh, Yudas (Waspada di dalam Kristus) Waspada terhadap Para Penipu Berkedok Agama</t>
  </si>
  <si>
    <t>Warren W. Wiersbe</t>
  </si>
  <si>
    <t>0-631-12080-7</t>
  </si>
  <si>
    <t>227.92 FIR t</t>
  </si>
  <si>
    <t>The First Epistle of Peter</t>
  </si>
  <si>
    <t>F. W. Beare (E)</t>
  </si>
  <si>
    <t>0-8499-0006-9</t>
  </si>
  <si>
    <t>227.92 BLA f</t>
  </si>
  <si>
    <t>First Peter A Translation and  Devotional Commentary</t>
  </si>
  <si>
    <t>E. M. Blaiklock</t>
  </si>
  <si>
    <t>979-9043-76-x</t>
  </si>
  <si>
    <t>227.91 SUR s</t>
  </si>
  <si>
    <t>Surat Yakobus - Kupasan Firman Allah</t>
  </si>
  <si>
    <t>Doreen Widjana</t>
  </si>
  <si>
    <t>978-0-8066-1937-8</t>
  </si>
  <si>
    <t>227.91 MAR a</t>
  </si>
  <si>
    <t>Augsburg Commentary on the New Testament: James, I-II Peter/Jude</t>
  </si>
  <si>
    <t>R. A. martin &amp; John H. Elliot</t>
  </si>
  <si>
    <t>979-415-496-2</t>
  </si>
  <si>
    <t>227.91 GUN y</t>
  </si>
  <si>
    <t xml:space="preserve">Tafsiran Alkitab Surat Yakobus </t>
  </si>
  <si>
    <t>DS. J.J.W. Gunning</t>
  </si>
  <si>
    <t>979-415-496-3</t>
  </si>
  <si>
    <t>Tafsiran Surat Yakobus</t>
  </si>
  <si>
    <t>Ds. J. J. W. Gunning</t>
  </si>
  <si>
    <t>Tafsiran Alkitab Surat Yakobus</t>
  </si>
  <si>
    <t>J. J. W. Gunning</t>
  </si>
  <si>
    <t>0-06-061697-0</t>
  </si>
  <si>
    <t>227.91 DAV j</t>
  </si>
  <si>
    <t xml:space="preserve">James A Good News Commentary </t>
  </si>
  <si>
    <t>978-602-231-032-7</t>
  </si>
  <si>
    <t>227.91 DAR</t>
  </si>
  <si>
    <t>Seri Pemahaman Alkitab - Iman Dalam Perbuatan</t>
  </si>
  <si>
    <t>0-8066-8874-2</t>
  </si>
  <si>
    <t>227.9 HUL t</t>
  </si>
  <si>
    <t>Augsburg Commentary on the New Testament 1-1 Timothy, Titus &amp; II Thessalonians</t>
  </si>
  <si>
    <t>Arland J. Hultgren &amp; Roger Aus</t>
  </si>
  <si>
    <t>978-602-393-073-9</t>
  </si>
  <si>
    <t>Surat 2 Petrus dan Yudas Surat Wasiat dalam Rangkap Dua</t>
  </si>
  <si>
    <t xml:space="preserve">227.9 GUN </t>
  </si>
  <si>
    <t>227.9 BRA h</t>
  </si>
  <si>
    <t>Helps for Translators: A Translator's Guide to The Letters From James, Peter, and Jude</t>
  </si>
  <si>
    <t>0-8066-8876-9</t>
  </si>
  <si>
    <t>227.87 SMI a</t>
  </si>
  <si>
    <t>Augsburg Commentary On The New Testament HEBREWS</t>
  </si>
  <si>
    <t>Robert H. Smith</t>
  </si>
  <si>
    <t>0-548-222-320</t>
  </si>
  <si>
    <t>227.87 KIT a</t>
  </si>
  <si>
    <t>A History of The Hebrews V2: Sources of Information And History of the Period Down to the Babylonian Exile</t>
  </si>
  <si>
    <t>Rudolf  Kittel &amp; Hope W. Hogg</t>
  </si>
  <si>
    <t>William and Norgate</t>
  </si>
  <si>
    <t>978-602-225-599-4</t>
  </si>
  <si>
    <t>227.87 HEN a</t>
  </si>
  <si>
    <t xml:space="preserve">Analisis Wacana Surat Filemon </t>
  </si>
  <si>
    <t>Hendi</t>
  </si>
  <si>
    <t>Leutikaprio</t>
  </si>
  <si>
    <t xml:space="preserve">227.87 HAG i </t>
  </si>
  <si>
    <t>Tafsiran Ibrani dari Bahasa Yunani</t>
  </si>
  <si>
    <t>Dave Hagelberg, M. Th</t>
  </si>
  <si>
    <t>0-7162-0474-6</t>
  </si>
  <si>
    <t>227.87 ELL t</t>
  </si>
  <si>
    <t>227.87 BRI i</t>
  </si>
  <si>
    <t>Tafsiran Surat Ibrani</t>
  </si>
  <si>
    <t>J. Wesley Brill</t>
  </si>
  <si>
    <t>979-687-335-4</t>
  </si>
  <si>
    <t>227.86 SCH f</t>
  </si>
  <si>
    <t>Tafsiran Alkitab Surat Paulus Kepada Filemon</t>
  </si>
  <si>
    <t>Pdt. DR. Rainer Scheunemann, Th. D.</t>
  </si>
  <si>
    <t>979-8976-81-9</t>
  </si>
  <si>
    <t>227.84 STO t</t>
  </si>
  <si>
    <t>Seri Pemahaman Dan Penerapan Amanat Alkitab Masa Kini - 2 Timotius, Pemurnian Ajaran dan Kehidupan Adalah Syarat Inti Menjadi Bentara Kristus</t>
  </si>
  <si>
    <t>978-602-393-075-3</t>
  </si>
  <si>
    <t>227.81 HOU t</t>
  </si>
  <si>
    <t>Surat 1 dan 2 Tesalonika,Pendidikan Dasar Lanjutan</t>
  </si>
  <si>
    <t>979-9043-69-7</t>
  </si>
  <si>
    <t>227.81 DUK t</t>
  </si>
  <si>
    <t>Kupasan Friman Allah Surat 1 dan 2 Tesalonika</t>
  </si>
  <si>
    <t>Bill Duke</t>
  </si>
  <si>
    <t>0-06-066455-x</t>
  </si>
  <si>
    <t>227.8 PAL t</t>
  </si>
  <si>
    <t>1 and 2 Thessalonians</t>
  </si>
  <si>
    <t>Earl F. Palmer</t>
  </si>
  <si>
    <t>227.8 HEA h</t>
  </si>
  <si>
    <t>Helps For Translators: A Translators Handbook on Paul's Letters to The Galatians</t>
  </si>
  <si>
    <t>Arichea &amp; Nida</t>
  </si>
  <si>
    <t>0-06-063555-x</t>
  </si>
  <si>
    <t>227.8 HAG h</t>
  </si>
  <si>
    <t xml:space="preserve">Hebrews A Good News Commentary </t>
  </si>
  <si>
    <t>0-88312-928-0</t>
  </si>
  <si>
    <t>227.8 GRE e</t>
  </si>
  <si>
    <t>An Exegetical Summary of Titus and Philemon</t>
  </si>
  <si>
    <t>0-06-062338-1</t>
  </si>
  <si>
    <t>227.8 FEE</t>
  </si>
  <si>
    <t>1 and 2 Timothy, Titus A good News Commentary</t>
  </si>
  <si>
    <t>227.8 BUD t</t>
  </si>
  <si>
    <t>Tafsiran Alkitab  Surat-Surat Patoral I &amp; II Timotius dan Titus</t>
  </si>
  <si>
    <t>Dr. R. Budiman</t>
  </si>
  <si>
    <t>979-26-3533-5</t>
  </si>
  <si>
    <t>227.8 BRI t</t>
  </si>
  <si>
    <t>Tafsiran Surat Tesalonika</t>
  </si>
  <si>
    <t>0-8267-0190-6</t>
  </si>
  <si>
    <t>227.8 BRA t</t>
  </si>
  <si>
    <t>Helps for Translators: A Translator's Guide to Paul's Letters to Timothy and to Titus</t>
  </si>
  <si>
    <t>227.8 BLO t</t>
  </si>
  <si>
    <t>Towards A New Dictionary of Biblical Hebrew (based On Semantic Domains)</t>
  </si>
  <si>
    <t xml:space="preserve">Reinier de Blois </t>
  </si>
  <si>
    <t>0-8066-1893-0</t>
  </si>
  <si>
    <t>227.7 SCH t</t>
  </si>
  <si>
    <t>The Letter to The Colossians A Commentary</t>
  </si>
  <si>
    <t>Eduard Schweizer</t>
  </si>
  <si>
    <t>227.7 MAR c</t>
  </si>
  <si>
    <t xml:space="preserve">Colossians The Church's Lord and The Christian's Liberty </t>
  </si>
  <si>
    <t>Ralph Martin</t>
  </si>
  <si>
    <t>979-9043-75-1</t>
  </si>
  <si>
    <t>227.7 WID k</t>
  </si>
  <si>
    <t>Kupasan Firman Allah Surat Kolose</t>
  </si>
  <si>
    <t>227.7 BRA c</t>
  </si>
  <si>
    <t>Helps For Translators: A Translators Handbook on Paul's Letters to the Colossians and to Philemon</t>
  </si>
  <si>
    <t>227.7 BOL k</t>
  </si>
  <si>
    <t>Tafsiran Kolose</t>
  </si>
  <si>
    <t>Dr. M. H. Bolkestein</t>
  </si>
  <si>
    <t>978-1-58983-499-6</t>
  </si>
  <si>
    <t>227.7 BEE e</t>
  </si>
  <si>
    <t>Echoes of Scripture in the Letter of Paul to The Colossians</t>
  </si>
  <si>
    <t>Christopher A. Beetham</t>
  </si>
  <si>
    <t>978-602-231-412-7</t>
  </si>
  <si>
    <t>227.7 BAR k</t>
  </si>
  <si>
    <t>Tafsiran Alkitab Kontekstual-Oikumenis Surat Kolose</t>
  </si>
  <si>
    <t xml:space="preserve">Armand Barus </t>
  </si>
  <si>
    <t>0-8028-1840-4</t>
  </si>
  <si>
    <t>227.6 MAR p</t>
  </si>
  <si>
    <t>The New Century Bible Commentary Philippians</t>
  </si>
  <si>
    <t>Amerka</t>
  </si>
  <si>
    <t>978-979-29-1006-3</t>
  </si>
  <si>
    <t>227.6 HAG f</t>
  </si>
  <si>
    <t>Tafsiran Surat FILIPI dari Bahasa Yunani</t>
  </si>
  <si>
    <t>0-06-061138-3</t>
  </si>
  <si>
    <t>227.6 BRU p</t>
  </si>
  <si>
    <t>Philippians A  Good News Commentary</t>
  </si>
  <si>
    <t xml:space="preserve">F.F. Bruce </t>
  </si>
  <si>
    <t>227.6 BRI f</t>
  </si>
  <si>
    <t>Tafsiran Surat Filipi</t>
  </si>
  <si>
    <t>227.6 ABI f</t>
  </si>
  <si>
    <t>J. L. Ch. Abineno</t>
  </si>
  <si>
    <t>979-415-119-x</t>
  </si>
  <si>
    <t>Tafsiran Alkitab Surat Filipi</t>
  </si>
  <si>
    <t>978-979-687-300-5</t>
  </si>
  <si>
    <t>0-8066-2165-6</t>
  </si>
  <si>
    <t>227.5 TAY A</t>
  </si>
  <si>
    <t>Augsburg Commentary on the New Testament Ephesians &amp; Colossians</t>
  </si>
  <si>
    <t>Walter F. Taylor Jr. &amp; John H. P. Reumann</t>
  </si>
  <si>
    <t>0-87784-587-5</t>
  </si>
  <si>
    <t>227.5 STO g</t>
  </si>
  <si>
    <t>God's New Society The Message of Ephesians</t>
  </si>
  <si>
    <t>Seri Pemahaman dan Penerapan Amanat Alkitab Masa Kini Efesus</t>
  </si>
  <si>
    <t>334 00377 6</t>
  </si>
  <si>
    <t>227.5 ALL t</t>
  </si>
  <si>
    <t xml:space="preserve"> The Epistle to the Ephesians </t>
  </si>
  <si>
    <t>John A. Allan</t>
  </si>
  <si>
    <t>979-415-498-9</t>
  </si>
  <si>
    <t>227.5 ABI e</t>
  </si>
  <si>
    <t>Tafsiran Alkitab Surat Efesus</t>
  </si>
  <si>
    <t>978-979-415-498-4</t>
  </si>
  <si>
    <t>Tafsiran Surat Efesus</t>
  </si>
  <si>
    <t>227.5 ABI s</t>
  </si>
  <si>
    <t>978-979-415-810-4</t>
  </si>
  <si>
    <t>227.4,5 BAR g</t>
  </si>
  <si>
    <t>Pemahaman Alkitab Setiap Hari Galatia-Efesus</t>
  </si>
  <si>
    <t>978-979-1169-79-0</t>
  </si>
  <si>
    <t>227.4 SAN g</t>
  </si>
  <si>
    <t>Tafsiran Surat Rasul Paulus Kepada Jemaat di Galatia</t>
  </si>
  <si>
    <t>978-1-118-47266-8</t>
  </si>
  <si>
    <t>227.4 RIC</t>
  </si>
  <si>
    <t xml:space="preserve">Wiley-Blackwell Buble Commentaries "Galatians Through the Centuries" </t>
  </si>
  <si>
    <t>John Riches</t>
  </si>
  <si>
    <t>Wiley-Blackwell</t>
  </si>
  <si>
    <t>979-415-485-7</t>
  </si>
  <si>
    <t>220 POS t</t>
  </si>
  <si>
    <t>Ds. J.J. Gunning</t>
  </si>
  <si>
    <t>227.4 ARI g</t>
  </si>
  <si>
    <t>Helps For Translators: A Translators Handbook on Paul's Letter to the Galatians</t>
  </si>
  <si>
    <t>Daniel C. Arichea, JR. Dkk</t>
  </si>
  <si>
    <t>979-26-3544-0</t>
  </si>
  <si>
    <t>227.32 HEA k</t>
  </si>
  <si>
    <t>Tafsiran 2 Korintus, Kedewasaan Iman (Sebuah Tafsiran Eksegetikal)</t>
  </si>
  <si>
    <t>978-979-415-344-4</t>
  </si>
  <si>
    <t>227.3 PFI u</t>
  </si>
  <si>
    <t>Ulasan Atas Surat 2 Korintus Kekuatan dalam Kelemahan</t>
  </si>
  <si>
    <t>V.C. Pfitzner</t>
  </si>
  <si>
    <t>227.3 PFI k</t>
  </si>
  <si>
    <t>V.C.  Pfitzner</t>
  </si>
  <si>
    <t>227.3 HER t</t>
  </si>
  <si>
    <t>The Second Epistle of Saint Paul to The Corinthians</t>
  </si>
  <si>
    <t>0-8066-2023-4</t>
  </si>
  <si>
    <t>227.3 BUL s</t>
  </si>
  <si>
    <t>The Second Letter to The Corinthians</t>
  </si>
  <si>
    <t>227.2 RIE s</t>
  </si>
  <si>
    <t>Surat Rasul Paulus Jang Pertama kepada Orang Korintus</t>
  </si>
  <si>
    <t>K. Riedel</t>
  </si>
  <si>
    <t>978-979-687-291-6</t>
  </si>
  <si>
    <t>227.2 PFI k</t>
  </si>
  <si>
    <t>Ulasan Atas 1 Korintus Kesatuan Dalam Kepelbagaian</t>
  </si>
  <si>
    <t>V. C. Pfitzner</t>
  </si>
  <si>
    <t>0-8066-8866-1</t>
  </si>
  <si>
    <t>227.2 HAR a</t>
  </si>
  <si>
    <t>Augsburg Commentary on the New Testament 1 Corinthians</t>
  </si>
  <si>
    <t>Roy A. Harrisville</t>
  </si>
  <si>
    <t>227.2 BRI s</t>
  </si>
  <si>
    <t>Tafsiran Surat Korintus Pertama</t>
  </si>
  <si>
    <t>463-1166-3</t>
  </si>
  <si>
    <t>227.1 SET o</t>
  </si>
  <si>
    <t>Orang Berdosa yang Membutuhkan Anugerah Allah. Jilid 1</t>
  </si>
  <si>
    <t>Pdt. Liely S. Setiadi, M. Th</t>
  </si>
  <si>
    <t>0-85111-747-3</t>
  </si>
  <si>
    <t>227.1 MOR</t>
  </si>
  <si>
    <t>The Epistle To The Romans</t>
  </si>
  <si>
    <t>978-0-8028-2609-1</t>
  </si>
  <si>
    <t>227.1 HUL p</t>
  </si>
  <si>
    <t>Paul's Letter to the Romans, A Commentary</t>
  </si>
  <si>
    <t xml:space="preserve">Arland J. Hultgren </t>
  </si>
  <si>
    <t>0-8091-2898-5</t>
  </si>
  <si>
    <t>227.1 HEI p</t>
  </si>
  <si>
    <t>Paul's Letter to the Romans A Commentary</t>
  </si>
  <si>
    <t>978-0-8066-8684-0</t>
  </si>
  <si>
    <t>227.1 HAR</t>
  </si>
  <si>
    <t>Augsburg Commentary on the New Testament: Romans</t>
  </si>
  <si>
    <t>227.1 HAG r</t>
  </si>
  <si>
    <t>Tafsiran Roma dari Bahasa Yunani</t>
  </si>
  <si>
    <t>979-687-198-0</t>
  </si>
  <si>
    <t>227.1 END</t>
  </si>
  <si>
    <t>Tafsiran Alkitab Surat Roma</t>
  </si>
  <si>
    <t>Th. Van Den End</t>
  </si>
  <si>
    <t>979-415-045-2</t>
  </si>
  <si>
    <t>227.1 BAR p</t>
  </si>
  <si>
    <t>Pemahaman Alkitab Setiap Hari (Roma)</t>
  </si>
  <si>
    <t>227.1 BAR g</t>
  </si>
  <si>
    <t>Pemahaman Alkitab Setiap Hari Galatia dan Efesus</t>
  </si>
  <si>
    <t>1-55540-122-8</t>
  </si>
  <si>
    <t>221.07 GRE e</t>
  </si>
  <si>
    <t>Essays on Biblical Method and Translation</t>
  </si>
  <si>
    <t>Edward L. Greenstein</t>
  </si>
  <si>
    <t xml:space="preserve">scholars Press </t>
  </si>
  <si>
    <t>978-0-8028-6008-8</t>
  </si>
  <si>
    <t>227.067 KIM c</t>
  </si>
  <si>
    <t>Christ and Caesar, The Gospel and Roman Empire in the Writings of Paul and Luke</t>
  </si>
  <si>
    <t>Seyoon Kim</t>
  </si>
  <si>
    <t>978-0-19-991734-1</t>
  </si>
  <si>
    <t>227.066 SCH c</t>
  </si>
  <si>
    <t>Canonizing Paul</t>
  </si>
  <si>
    <t>Eric W. Scherbenske</t>
  </si>
  <si>
    <t>978-0-8028-7073-5</t>
  </si>
  <si>
    <t>227.06  CAM  t</t>
  </si>
  <si>
    <t>The Deliverance Of GOD - An Apocalyptic Rereading of Justification in Paul</t>
  </si>
  <si>
    <t>Douglas A. Campbell</t>
  </si>
  <si>
    <t>0-8066-1401-3</t>
  </si>
  <si>
    <t>227. 92 PET p</t>
  </si>
  <si>
    <t>Peter in the New testament</t>
  </si>
  <si>
    <t>Raymond E. Brown, S.S , Karl P. Donfried &amp; John Reumann (E)</t>
  </si>
  <si>
    <t>0-8028-0986-3</t>
  </si>
  <si>
    <t>227. 9 JOH b</t>
  </si>
  <si>
    <t>Brother of Jesus Friend of God</t>
  </si>
  <si>
    <t>978-979-95190-4-7</t>
  </si>
  <si>
    <t>227.86 SAN  hk</t>
  </si>
  <si>
    <t>Hiburkanlah Buah Hatiku di dalam Kristus Tafir Surat Filemon</t>
  </si>
  <si>
    <t>0-06-066479-7</t>
  </si>
  <si>
    <t>227 PAT c</t>
  </si>
  <si>
    <t>Colossians, Philemon, Ephesians</t>
  </si>
  <si>
    <t>Arthur G. Patzia</t>
  </si>
  <si>
    <t>227 LUN k</t>
  </si>
  <si>
    <t>Komunikasi Mengena: Meningkatkan Efektivitas komunikasi antar pribadi</t>
  </si>
  <si>
    <t>A. G. Lunandi</t>
  </si>
  <si>
    <t>0-87784-602-2</t>
  </si>
  <si>
    <t>227 LUC f</t>
  </si>
  <si>
    <t>Fullness &amp; Freedom, The Message of Colossians &amp; Philemon</t>
  </si>
  <si>
    <t>R. C. Lucas</t>
  </si>
  <si>
    <t>979-687-313-3</t>
  </si>
  <si>
    <t>227 HER t</t>
  </si>
  <si>
    <t>Teologi Sukses Antara Allah dan Mamon</t>
  </si>
  <si>
    <t>Ir. Herlianto, M. Th</t>
  </si>
  <si>
    <t>0-8028-1405-0</t>
  </si>
  <si>
    <t>227 BRU t</t>
  </si>
  <si>
    <t>Tyndale New Testament Commentaries, The Epistle Of Paul To The Romans</t>
  </si>
  <si>
    <t>Eermans Publishing Company</t>
  </si>
  <si>
    <t>227 BRI t</t>
  </si>
  <si>
    <t>Tafsiran Surat Timotius &amp; Titus</t>
  </si>
  <si>
    <t>978-979-687-694-5</t>
  </si>
  <si>
    <t>227 BAR y</t>
  </si>
  <si>
    <t>Pemahaman Alkitab Setiap Hari - Surat Yakobus, 1 &amp; 2 Petrus</t>
  </si>
  <si>
    <t>978-979-21-4362-1</t>
  </si>
  <si>
    <t>227  MAR  p</t>
  </si>
  <si>
    <t>Pengantar Surat-surat Paulus</t>
  </si>
  <si>
    <t>YM. Seto Marsunu</t>
  </si>
  <si>
    <t>Kanisius dan Lembaga Biblika Indonesia</t>
  </si>
  <si>
    <t>978-0-8028-6278-5</t>
  </si>
  <si>
    <t>227  CHI  c</t>
  </si>
  <si>
    <t>The Chruch's Guide For Reading Paul</t>
  </si>
  <si>
    <t>227  BRI  s</t>
  </si>
  <si>
    <t>Tafsiran Surat Korintus  Kedua</t>
  </si>
  <si>
    <t xml:space="preserve"> J. Wesley Brill</t>
  </si>
  <si>
    <t>0-8108-0843-9</t>
  </si>
  <si>
    <t>226.906 KIS t</t>
  </si>
  <si>
    <t>The Sermon on the Mount: A History of Interpretation and Bibliography</t>
  </si>
  <si>
    <t>Warren S. Kissinger</t>
  </si>
  <si>
    <t>Scarecrow</t>
  </si>
  <si>
    <t>226.9 VER c</t>
  </si>
  <si>
    <t>Chotbah di Bukit</t>
  </si>
  <si>
    <t>979-3012-29-3</t>
  </si>
  <si>
    <t>226.9 TOW m</t>
  </si>
  <si>
    <t>Mendoakan Mazmur 23</t>
  </si>
  <si>
    <t>Imanuel</t>
  </si>
  <si>
    <t xml:space="preserve">0-87784-660-X </t>
  </si>
  <si>
    <t>226.9 STO c</t>
  </si>
  <si>
    <t>Christian Counter-Culture,The Message of the Sermon on the Mount</t>
  </si>
  <si>
    <t xml:space="preserve">John R. W. Stott </t>
  </si>
  <si>
    <t>978-0-8010-4963-7</t>
  </si>
  <si>
    <t>226.9 PEN t</t>
  </si>
  <si>
    <t xml:space="preserve">The Sermon on the Mount and Human Flourishing a Theological Commentary </t>
  </si>
  <si>
    <t xml:space="preserve">Jonathan T. Pennington </t>
  </si>
  <si>
    <t xml:space="preserve">0-8170-0501-3 </t>
  </si>
  <si>
    <t>226.9 JOR s</t>
  </si>
  <si>
    <t>Sermon on The Mount (Revised Edition)</t>
  </si>
  <si>
    <t>Clarence Jordan</t>
  </si>
  <si>
    <t>Judson Press</t>
  </si>
  <si>
    <t>978-979-415-906-4</t>
  </si>
  <si>
    <t>226.9 ABI k</t>
  </si>
  <si>
    <t>Khotbah di Bukit: Catatan-catatan tentang Matius 5-7</t>
  </si>
  <si>
    <t>978-979-415-662-9</t>
  </si>
  <si>
    <t>226.9  VER k</t>
  </si>
  <si>
    <t>Khotbah di Bukit</t>
  </si>
  <si>
    <t>0-687-37560-6</t>
  </si>
  <si>
    <t>226.9  STR t</t>
  </si>
  <si>
    <t>The Sermon On The Mount - An Exegetical Commentary</t>
  </si>
  <si>
    <t>Georg Strecker</t>
  </si>
  <si>
    <t>0-8006-0527-6</t>
  </si>
  <si>
    <t>226.806 TOL p</t>
  </si>
  <si>
    <t xml:space="preserve">Perspective on the Parables </t>
  </si>
  <si>
    <t xml:space="preserve">Mary Ann Tolbert </t>
  </si>
  <si>
    <t>978-0-8028-4241-1</t>
  </si>
  <si>
    <t>226.8 SNO s</t>
  </si>
  <si>
    <t>Stories with Intent, A Comprehensive Guide to the Parable of Jesus</t>
  </si>
  <si>
    <t>Klyne R. Snodgrass</t>
  </si>
  <si>
    <t>978-979-21-4277-8</t>
  </si>
  <si>
    <t>226.8 MAR p</t>
  </si>
  <si>
    <t>Pesan Tuhan Dalam Perumpamaan</t>
  </si>
  <si>
    <t>0-7914-2311-5</t>
  </si>
  <si>
    <t>226.8 CUL a</t>
  </si>
  <si>
    <t>A Word Fitly Spoken</t>
  </si>
  <si>
    <t>Philip L. Culbertson</t>
  </si>
  <si>
    <t>State University of New York Press</t>
  </si>
  <si>
    <t>0-8308-1271-7</t>
  </si>
  <si>
    <t>226.8 BLO i</t>
  </si>
  <si>
    <t>Interpreting The Parables</t>
  </si>
  <si>
    <t>0-8028-3476-0</t>
  </si>
  <si>
    <t>226.8 BAI p</t>
  </si>
  <si>
    <t>Poet and Peasant A Literary Cultural Approach to The Parables in Luke</t>
  </si>
  <si>
    <t>Kenneth Ewing Bailey</t>
  </si>
  <si>
    <t>978-0-8010-3937-9</t>
  </si>
  <si>
    <t>226.6 PEN r</t>
  </si>
  <si>
    <t>Reading the Gospels Wisely, a Narrative and Theological Introduction</t>
  </si>
  <si>
    <t xml:space="preserve">Johnathan T. Pennington </t>
  </si>
  <si>
    <t>0-551-00336-7</t>
  </si>
  <si>
    <t>226.6 NEI</t>
  </si>
  <si>
    <t xml:space="preserve">New Century Bible The Acts Of The Apostles </t>
  </si>
  <si>
    <t>William Neil Ph.D., D.D.,</t>
  </si>
  <si>
    <t xml:space="preserve"> the Attic Press, Inc. Greenwood, s.c</t>
  </si>
  <si>
    <t>0-8066-8884-X</t>
  </si>
  <si>
    <t>226.6 KRO a</t>
  </si>
  <si>
    <t>Augsburg Commentary on the New Testament ACTS</t>
  </si>
  <si>
    <t>Gerhard A. Krodel</t>
  </si>
  <si>
    <t>226.6 HAR k</t>
  </si>
  <si>
    <t>Kamu Akan Menjadi Saksi-Ku</t>
  </si>
  <si>
    <t xml:space="preserve">Martin Harun, OFM </t>
  </si>
  <si>
    <t>978-602-231-113-3</t>
  </si>
  <si>
    <t>226.6 DRE k</t>
  </si>
  <si>
    <t>Tafsiran Alkitab Kisah Para Rasul</t>
  </si>
  <si>
    <t>B. F. Drewes</t>
  </si>
  <si>
    <t>978-602-231-107-2</t>
  </si>
  <si>
    <t>226.6 DAR m</t>
  </si>
  <si>
    <t>Seri Pemahaman Alkitab Menjadi Saksi Kristus</t>
  </si>
  <si>
    <t>979-3083-06-9</t>
  </si>
  <si>
    <t>226.6 CAR k</t>
  </si>
  <si>
    <t>Kisah Para Rasul</t>
  </si>
  <si>
    <t>Matthew E. Carlton</t>
  </si>
  <si>
    <t>Kartidaya</t>
  </si>
  <si>
    <t>979-415-354-0</t>
  </si>
  <si>
    <t>226.6 BRI k</t>
  </si>
  <si>
    <t>Ds. H. v. d. Brink</t>
  </si>
  <si>
    <t>226.5 NEA t</t>
  </si>
  <si>
    <t>The Gospel According to Saint JOHN</t>
  </si>
  <si>
    <t xml:space="preserve">Rosalind J. Near </t>
  </si>
  <si>
    <t>0-06-065575-5</t>
  </si>
  <si>
    <t>John A Good News Commentary</t>
  </si>
  <si>
    <t>978-979-415-820-3</t>
  </si>
  <si>
    <t>226.5 KYS i</t>
  </si>
  <si>
    <t>Injil Yohanes sebagai Cerita, Berkenalan dengan Narasi Salah Satu Injil</t>
  </si>
  <si>
    <t>0-8066-8860-2</t>
  </si>
  <si>
    <t>226.5 KYS</t>
  </si>
  <si>
    <t>Augsburg Commentary on the New Testament John</t>
  </si>
  <si>
    <t>10:A</t>
  </si>
  <si>
    <t>978-979-15839-8+5</t>
  </si>
  <si>
    <t>226.5 JEH m</t>
  </si>
  <si>
    <t xml:space="preserve">Mempelai Anak Domba </t>
  </si>
  <si>
    <t>Alfons Jehadut</t>
  </si>
  <si>
    <t>226.5 PIO i</t>
  </si>
  <si>
    <t>Injil Yohanes dalam Terjemahan Sederhana Indonesia</t>
  </si>
  <si>
    <t>Pioneer Bible Translator</t>
  </si>
  <si>
    <t>978-979-21-4371-3</t>
  </si>
  <si>
    <t>226.5 HAR y</t>
  </si>
  <si>
    <t>Yohanes Injil Cinta Kasih</t>
  </si>
  <si>
    <t>Martin Harun</t>
  </si>
  <si>
    <t>226.5 HAR k</t>
  </si>
  <si>
    <t>Kita Telah Melihat KemuliaanNya</t>
  </si>
  <si>
    <t>Tafsiran Injil Yohanes Pasal: 13-21 dari bahasa Yunani</t>
  </si>
  <si>
    <t>Tafsiran Injil Yohanes Pasal: 1-5 dari bahasa Yunani</t>
  </si>
  <si>
    <t>978-979-21-1727-1</t>
  </si>
  <si>
    <t>226.5 HAD y</t>
  </si>
  <si>
    <t>Tafsir Injil Yohanes</t>
  </si>
  <si>
    <t>A. S. Hadiwiyata</t>
  </si>
  <si>
    <t>226.5 HAA a</t>
  </si>
  <si>
    <t>A Translator's Handbook on the Letters of John volume XIII</t>
  </si>
  <si>
    <t>C. Haas; M. De Jonge; J.L. Swellengrebel</t>
  </si>
  <si>
    <t>0-8267-0154-X</t>
  </si>
  <si>
    <t>226.5 HAA j</t>
  </si>
  <si>
    <t>Penerjemah</t>
  </si>
  <si>
    <t>0-8267-0173-6</t>
  </si>
  <si>
    <t>227.9 HAA j</t>
  </si>
  <si>
    <t>A Handbook on: The Letters of John</t>
  </si>
  <si>
    <t>226.5 GRA</t>
  </si>
  <si>
    <t>Tafsiran Surat Jahja</t>
  </si>
  <si>
    <t>Ds. TH. B. W. G. Gramberg</t>
  </si>
  <si>
    <t>1-58516-649-9</t>
  </si>
  <si>
    <t>226.5 GOS l</t>
  </si>
  <si>
    <t>The Learning Bible New International Version</t>
  </si>
  <si>
    <t>John's Gospel</t>
  </si>
  <si>
    <t>0-631-22907-8</t>
  </si>
  <si>
    <t>226.5 EDW b</t>
  </si>
  <si>
    <t>Blackwell Bible Commentaries JOHN</t>
  </si>
  <si>
    <t>Mark Edwards</t>
  </si>
  <si>
    <t>Blackwell Publishing</t>
  </si>
  <si>
    <t>1-58983-255-8</t>
  </si>
  <si>
    <t>226.5 CUL c</t>
  </si>
  <si>
    <t>Critical Readings of John 6</t>
  </si>
  <si>
    <t>R. Alan Culpepper</t>
  </si>
  <si>
    <t>0-664-24771-7</t>
  </si>
  <si>
    <t>226.5 BAR i</t>
  </si>
  <si>
    <t>Introduction to John and The Acts of The Apostles</t>
  </si>
  <si>
    <t>226.5 ALE t</t>
  </si>
  <si>
    <t>The Epistles of John, Introduction and Commentary</t>
  </si>
  <si>
    <t>Neil Alexander</t>
  </si>
  <si>
    <t>978-0-8028-4865-9</t>
  </si>
  <si>
    <t>226.5  STE j</t>
  </si>
  <si>
    <t>Jesus And His Own - A Commentary on John 15-17</t>
  </si>
  <si>
    <t xml:space="preserve">Daniel B. Stevick </t>
  </si>
  <si>
    <t>William B.Eerdmans</t>
  </si>
  <si>
    <t>978-0-8028-2938-2</t>
  </si>
  <si>
    <t>226.5  KOE  t</t>
  </si>
  <si>
    <t>The Word Of Life - A Theology of John's Gospel</t>
  </si>
  <si>
    <t>0-8091-3111-0</t>
  </si>
  <si>
    <t>226.4 POW w</t>
  </si>
  <si>
    <t>What Are They Saying About Luke?</t>
  </si>
  <si>
    <t xml:space="preserve">226.4 LUK </t>
  </si>
  <si>
    <t>Luke A Greek-English Diglot for the use of Translators</t>
  </si>
  <si>
    <t>979-21-0530-1</t>
  </si>
  <si>
    <t>226.4 LEK l</t>
  </si>
  <si>
    <t>Tafsir Injil Lukas</t>
  </si>
  <si>
    <t>0-415-17322-1</t>
  </si>
  <si>
    <t>226.4 KNI l</t>
  </si>
  <si>
    <t>Luke's Gospel</t>
  </si>
  <si>
    <t>jonathan knight</t>
  </si>
  <si>
    <t>979-9290-18-x</t>
  </si>
  <si>
    <t>226.4 EDW i</t>
  </si>
  <si>
    <t>Injil Lukas sebagai Cerita, Berkenalan dengan Narasi Salah Satu Injil</t>
  </si>
  <si>
    <t>O. C. Edwards, Jr.</t>
  </si>
  <si>
    <t>226.4 DRE</t>
  </si>
  <si>
    <t>Kerajaan Allah dan Harta Milik Kita</t>
  </si>
  <si>
    <t>Drs. B. F. Drewes</t>
  </si>
  <si>
    <t>87-87732-49-1</t>
  </si>
  <si>
    <t>226.4  BLO j</t>
  </si>
  <si>
    <t xml:space="preserve">Jesus the Son of Man </t>
  </si>
  <si>
    <t xml:space="preserve">Carl Bloch </t>
  </si>
  <si>
    <t>978-979-21-2484-2</t>
  </si>
  <si>
    <t>226.3 RIY m</t>
  </si>
  <si>
    <t>Markus, "Engkau adalah Mesias!"</t>
  </si>
  <si>
    <t>St. Eko Riyadi, Pr</t>
  </si>
  <si>
    <t>226.3 POS m</t>
  </si>
  <si>
    <t>Tafsiran Injil Markus</t>
  </si>
  <si>
    <t>Walter M. Post</t>
  </si>
  <si>
    <t>0-415-11364-4</t>
  </si>
  <si>
    <t>226.3 PAI m</t>
  </si>
  <si>
    <t>Mark's Gospel</t>
  </si>
  <si>
    <t xml:space="preserve">226.3 MAR </t>
  </si>
  <si>
    <t>Mark A Greek-English Diglot for the use of Translators</t>
  </si>
  <si>
    <t>979-21-0529-8</t>
  </si>
  <si>
    <t>226.3 LEK m</t>
  </si>
  <si>
    <t>Tafsir Injil Markus</t>
  </si>
  <si>
    <t xml:space="preserve">Penerbit Kanisius </t>
  </si>
  <si>
    <t>0-8091-4263-5</t>
  </si>
  <si>
    <t>226.3 HAR w</t>
  </si>
  <si>
    <t>What Are They Saying About Mark?</t>
  </si>
  <si>
    <t>Daniel J. Harrington, Sj</t>
  </si>
  <si>
    <t>1-55671-119-0</t>
  </si>
  <si>
    <t>226.3 CAR t</t>
  </si>
  <si>
    <t>Translator's Reference Translation The Gospel of Mark</t>
  </si>
  <si>
    <t>Matthew E.Carlton</t>
  </si>
  <si>
    <t>SIL International</t>
  </si>
  <si>
    <t>979-687-308-7</t>
  </si>
  <si>
    <t>226.3 BRU m</t>
  </si>
  <si>
    <t xml:space="preserve">Markus injil Menurut Petrus </t>
  </si>
  <si>
    <t xml:space="preserve">Jacob Van Bruggen </t>
  </si>
  <si>
    <t>979-415-633-7</t>
  </si>
  <si>
    <t>226.3 BOL k</t>
  </si>
  <si>
    <t>Kerajaan yang Terselubung Ulasan atas Injil Markus</t>
  </si>
  <si>
    <t>978-0-8028-2798-2</t>
  </si>
  <si>
    <t>226.3 BLA t</t>
  </si>
  <si>
    <t>The Disciples According to Mark - Markan Redaction in Current Debate , Second Edition</t>
  </si>
  <si>
    <t>C. Clifton Black</t>
  </si>
  <si>
    <t>0-8066-8856-4</t>
  </si>
  <si>
    <t>226.3  JOE  m</t>
  </si>
  <si>
    <t>Augsburg Commentary on the New Testament: Mark</t>
  </si>
  <si>
    <t>Donald. H. Juel</t>
  </si>
  <si>
    <t>226.2 WIL n</t>
  </si>
  <si>
    <t>The NIV Application Commentary MATTHEW</t>
  </si>
  <si>
    <t>Michael J. Wilkins</t>
  </si>
  <si>
    <t>979-026-3570-X</t>
  </si>
  <si>
    <t>226.2 WIE l</t>
  </si>
  <si>
    <t>Loyal di Dalam Kristus, Mengikut Raja Segala Raja)</t>
  </si>
  <si>
    <t>0-8091-3624-4</t>
  </si>
  <si>
    <t>226.2 SEN w</t>
  </si>
  <si>
    <t>What Are They Saying About Matthew ? A Revised  &amp; Expanded Edition</t>
  </si>
  <si>
    <t>Donald Senior, C.P</t>
  </si>
  <si>
    <t>978-0-310-24357-1</t>
  </si>
  <si>
    <t>226.2 OSB e</t>
  </si>
  <si>
    <t>Exegetical Commentary On The New Testament MATTHEW</t>
  </si>
  <si>
    <t>226.2 MAT m</t>
  </si>
  <si>
    <t>Matthew A Greek-English Diglot for the use of Translators</t>
  </si>
  <si>
    <t>226.2 HEE i</t>
  </si>
  <si>
    <t>Tafsiran Alkitab Injil Matius 2 (fs 13 s/d fs 22)</t>
  </si>
  <si>
    <t>Drs. J. J. de Heer</t>
  </si>
  <si>
    <t>226.2  SAM i</t>
  </si>
  <si>
    <t>Injil Matius -Raja Diatas Segala Raja</t>
  </si>
  <si>
    <t>Samuel Wasikin</t>
  </si>
  <si>
    <t>0-8028-2660-1</t>
  </si>
  <si>
    <t>226.1606 KUN t</t>
  </si>
  <si>
    <t>The Ten Commandments in History, Mozaic Paradigms for A Well-Ordered Society</t>
  </si>
  <si>
    <t>Paul Grimley Kuntz</t>
  </si>
  <si>
    <t>978-3-438-05133-2</t>
  </si>
  <si>
    <t>226.1 PLI t</t>
  </si>
  <si>
    <t>The Gospel of Thomas, Original Text with Commentary</t>
  </si>
  <si>
    <t>Uwe-Karsten Plisch</t>
  </si>
  <si>
    <t>226.1  DRE s</t>
  </si>
  <si>
    <t>Satu Injil Tiga Pekabar Terjadinya dan Amanat Injil-Injil Matius, Markus dan Lukas</t>
  </si>
  <si>
    <t>Drs. B.F Drewes</t>
  </si>
  <si>
    <t>0-06-016641-x</t>
  </si>
  <si>
    <t>226.095.05 MIT t</t>
  </si>
  <si>
    <t>The Gospel According to Jesus, A New Translation and Guide To His Essential Teachings For Believers and Unbelievers</t>
  </si>
  <si>
    <t xml:space="preserve">Stephen Mitchell </t>
  </si>
  <si>
    <t>978-979-687-532-0</t>
  </si>
  <si>
    <t>226.095.05 LIN</t>
  </si>
  <si>
    <t>Cerita itu Berlanjut Cara Baru Membaca Injil Markus &amp; Matius 2</t>
  </si>
  <si>
    <t>978-0-8028-4557-3</t>
  </si>
  <si>
    <t>226.061 PUS a</t>
  </si>
  <si>
    <t>An Introduction to The Gospels and Acts</t>
  </si>
  <si>
    <t>Charles B. Puskas &amp; David Crump</t>
  </si>
  <si>
    <t>978-0-8028-3318-1</t>
  </si>
  <si>
    <t>226.061  HAR t</t>
  </si>
  <si>
    <t>The Content And Setting of The Gospel Tradition</t>
  </si>
  <si>
    <t>Mark Harding and Alanna Nobbs (Ed.)</t>
  </si>
  <si>
    <t>3-438-05130-3</t>
  </si>
  <si>
    <t>226.04 ALA s</t>
  </si>
  <si>
    <r>
      <rPr>
        <rFont val="Calibri"/>
        <color theme="1"/>
        <sz val="9.0"/>
      </rPr>
      <t>Synopsis Quattuor Evangeliorum: Locis parallelis evangeliorum apocryphorum et patrum adhibitis edidit (</t>
    </r>
    <r>
      <rPr>
        <rFont val="Arial"/>
        <i/>
        <color theme="1"/>
        <sz val="11.0"/>
      </rPr>
      <t>Editio quindecima revisa)</t>
    </r>
  </si>
  <si>
    <t xml:space="preserve">Yunani - Jerman </t>
  </si>
  <si>
    <t xml:space="preserve">Kurt Aland </t>
  </si>
  <si>
    <t>0-310-45321-6</t>
  </si>
  <si>
    <t>226.001 CON e</t>
  </si>
  <si>
    <t>Eternal Word and Changing Worlds</t>
  </si>
  <si>
    <t>Harvie M. Conn</t>
  </si>
  <si>
    <t>Academic</t>
  </si>
  <si>
    <t>0-8006-3075-0</t>
  </si>
  <si>
    <t>226. 061 POW f</t>
  </si>
  <si>
    <t>Fortress Introduction to The Gospels</t>
  </si>
  <si>
    <t>978-3-438-05405-0</t>
  </si>
  <si>
    <t>226. 04 ALA s</t>
  </si>
  <si>
    <t>Synopsis of the Four Gospels Greek- English Edition of the Synopsis Quattuor Evangeliorum (fourteenth edition)</t>
  </si>
  <si>
    <t>German Bible Society</t>
  </si>
  <si>
    <t>0-8267-0500-6</t>
  </si>
  <si>
    <t>226. 04  ALA s</t>
  </si>
  <si>
    <t xml:space="preserve">Synopsis of the Four Gospels  English Edition </t>
  </si>
  <si>
    <t>English</t>
  </si>
  <si>
    <t>3-438-05405-1</t>
  </si>
  <si>
    <t>226  ALA s</t>
  </si>
  <si>
    <t>Synopsis of the Four Gospels Greek- English Edition of the Synopsis Quattuor Evangeliorum (Third Edition)</t>
  </si>
  <si>
    <t>Yunani - Inggris</t>
  </si>
  <si>
    <t>0-521-54040-2</t>
  </si>
  <si>
    <t>226 BOC t</t>
  </si>
  <si>
    <t>The Written Gospel</t>
  </si>
  <si>
    <t>Markus Bockmuehl and Donald A. Hagner (E)</t>
  </si>
  <si>
    <t>978-0-8028-4054-7</t>
  </si>
  <si>
    <t>226 WAT g</t>
  </si>
  <si>
    <t>Gospel Writing A Canonical Perspective</t>
  </si>
  <si>
    <t>Francis Watson</t>
  </si>
  <si>
    <t>0-8407-5150-8</t>
  </si>
  <si>
    <t>226 THO g</t>
  </si>
  <si>
    <t>Gospel Parallels A Synopsis of the First Three Gospels</t>
  </si>
  <si>
    <t>Burton H. Throckmorton (E)</t>
  </si>
  <si>
    <t>226 TAY</t>
  </si>
  <si>
    <t>Living Gospels</t>
  </si>
  <si>
    <t>Kenneth N. Taylor</t>
  </si>
  <si>
    <t>0-8066-8854-8</t>
  </si>
  <si>
    <t>226 SMI a</t>
  </si>
  <si>
    <t>Augsburg Commentary on the New Testament Matthew</t>
  </si>
  <si>
    <t>226 NAB y</t>
  </si>
  <si>
    <t>Yesus Kristus Dalam Penderitaan Dan Pengharapan Asia: Notulen Sidang Badan Pekerja Lengkap Dewan Gereja-gereja di Indonesia</t>
  </si>
  <si>
    <t>Notulen                       Sidang Badan Pekerja Lengkap Dewan Gereja-gereja</t>
  </si>
  <si>
    <t>978-1-4514-6940-0</t>
  </si>
  <si>
    <t>226 EVE b</t>
  </si>
  <si>
    <t>Behind The Gospel: Understanding the Oral Tradition</t>
  </si>
  <si>
    <t>Eric Eve</t>
  </si>
  <si>
    <t>979-602-8009-60-7</t>
  </si>
  <si>
    <t>226 BAX m</t>
  </si>
  <si>
    <t>Menggali Isi Alkitab 3 Matius sampai dengan Kisah Para Rasul</t>
  </si>
  <si>
    <t>978-0-8028-6645-5</t>
  </si>
  <si>
    <t>226  DUN  j</t>
  </si>
  <si>
    <t>Jesus, Paul, and the Gospels</t>
  </si>
  <si>
    <t>James D.G Dunn</t>
  </si>
  <si>
    <t>0-310-34670-3</t>
  </si>
  <si>
    <t>NASB - Parallel New Testament In Greek and English</t>
  </si>
  <si>
    <t>978-979-21-2655-6</t>
  </si>
  <si>
    <t xml:space="preserve"> 226.5 RIY y</t>
  </si>
  <si>
    <t>Yohanes "Firman Menjadi Manusia"</t>
  </si>
  <si>
    <t>St. Eko Riyadi, Pr.</t>
  </si>
  <si>
    <t>225.9 TRA t</t>
  </si>
  <si>
    <t>The Bible As Literature The New  Testament</t>
  </si>
  <si>
    <t>Barnes B. Trawick</t>
  </si>
  <si>
    <t>979-9143-83-7</t>
  </si>
  <si>
    <t>222.32 WIL h</t>
  </si>
  <si>
    <t>Seri Pemahaman Dan Penerapan Amanat Alkitab Masa Kini - Hakim - Hakim</t>
  </si>
  <si>
    <t>978-979-29-2900-3</t>
  </si>
  <si>
    <t>226 SCH k</t>
  </si>
  <si>
    <t>Kingdom of GOD Tafsiran Perumpamaan - Perumpamaan Tuhan Yesus</t>
  </si>
  <si>
    <t>Dr. Rainer Scheunemann</t>
  </si>
  <si>
    <t>979-415-391-5</t>
  </si>
  <si>
    <t>220.61 WAH d</t>
  </si>
  <si>
    <t>Di Sini Kutemukan</t>
  </si>
  <si>
    <t>Prof. S. Wismoadi Wahono, Ph.D</t>
  </si>
  <si>
    <t>220.61 WAH</t>
  </si>
  <si>
    <t>979-415-420-2</t>
  </si>
  <si>
    <t>220.61 SOE t</t>
  </si>
  <si>
    <t>Tuntunan Membaca Alkitab</t>
  </si>
  <si>
    <t>Dr. R. Soedarmo</t>
  </si>
  <si>
    <t>979-415-929-8</t>
  </si>
  <si>
    <t>220.61 SOE m</t>
  </si>
  <si>
    <t>Makna Ungkapan-ungkapan Asing Dalam Alkitab</t>
  </si>
  <si>
    <t>0-0891-4189-2</t>
  </si>
  <si>
    <t>220.61 CAR r</t>
  </si>
  <si>
    <t>Reading The bible</t>
  </si>
  <si>
    <t>Timothy R. Carmody</t>
  </si>
  <si>
    <t>0-664-24427-0</t>
  </si>
  <si>
    <t>220.61 BIR l</t>
  </si>
  <si>
    <t>Library of Living Faith The Bible As The Church's Book</t>
  </si>
  <si>
    <t>Phyllis A Bird</t>
  </si>
  <si>
    <t>1-4185-0014-3</t>
  </si>
  <si>
    <t>220.61 AND 3</t>
  </si>
  <si>
    <t>30 Days to Understanding The Bible</t>
  </si>
  <si>
    <t>Max Anders</t>
  </si>
  <si>
    <t>978-0-06-223496-4</t>
  </si>
  <si>
    <t>220.61  HAM  m</t>
  </si>
  <si>
    <t>Making Sense Of The Bible</t>
  </si>
  <si>
    <t>Adam Hamilton</t>
  </si>
  <si>
    <t>0-8028-4273-9</t>
  </si>
  <si>
    <t>220.609 HIS</t>
  </si>
  <si>
    <t>A History of Biblical Interpretation Volume 1</t>
  </si>
  <si>
    <t>Alan J. Hauser &amp; Dvane F. Watson (E)</t>
  </si>
  <si>
    <t>978-0-664-23925-1</t>
  </si>
  <si>
    <t>220.6082 CRO w</t>
  </si>
  <si>
    <t>When Momma Speaks</t>
  </si>
  <si>
    <t>Stephanie Buckhanon Crowder</t>
  </si>
  <si>
    <t>0-8010-3173-7/978-0-8010-3173-1</t>
  </si>
  <si>
    <t>220.601 ADA r</t>
  </si>
  <si>
    <t>Reading Scripture With The Church</t>
  </si>
  <si>
    <t>A. K. M. Adam, dkk</t>
  </si>
  <si>
    <t>220.1 GRO k</t>
  </si>
  <si>
    <t>Kerasulan Kitab Suci</t>
  </si>
  <si>
    <t>220 WIL o</t>
  </si>
  <si>
    <t xml:space="preserve">Old Testament Guides "Ezra And Nehemiah" </t>
  </si>
  <si>
    <t>H.G.M Williamson</t>
  </si>
  <si>
    <t>220 WHI g</t>
  </si>
  <si>
    <t xml:space="preserve">Gereja &amp; Yayasan Penginjilan </t>
  </si>
  <si>
    <t>979-979-29-5674-0</t>
  </si>
  <si>
    <t>803 SIT k</t>
  </si>
  <si>
    <t>Kamus Alkitab &amp; Theologi: Memahami Istilah-istilah Sulit Dalam Alkitab dan Gereja</t>
  </si>
  <si>
    <t>Jonar S.</t>
  </si>
  <si>
    <t>Andi-Yogyakarta</t>
  </si>
  <si>
    <t>978-602-1507-20-9</t>
  </si>
  <si>
    <t>324.6 IRA p</t>
  </si>
  <si>
    <t xml:space="preserve">Panduan Pemantauan Korupsi Pemilu </t>
  </si>
  <si>
    <t>Ade Irwan Dkk</t>
  </si>
  <si>
    <t>ICW</t>
  </si>
  <si>
    <t>3-87808-975-9</t>
  </si>
  <si>
    <t>418.02 Wil s</t>
  </si>
  <si>
    <t>The Science of Translation: Problrms and Methods</t>
  </si>
  <si>
    <t>Wolfram Wilss</t>
  </si>
  <si>
    <t>Gnv</t>
  </si>
  <si>
    <t>0108-0255-4</t>
  </si>
  <si>
    <t>305.4 AKE s</t>
  </si>
  <si>
    <t>Simple Library Cataloging</t>
  </si>
  <si>
    <t>Susan Grey Akers</t>
  </si>
  <si>
    <t>221.61 HIL s</t>
  </si>
  <si>
    <t>Survei Perjanjian Lama</t>
  </si>
  <si>
    <t>Andrew E. Hill &amp; Johan H. Walton</t>
  </si>
  <si>
    <t>220.7 GAE e</t>
  </si>
  <si>
    <t>The Expositor's Bible Commentary: Volume 11 - Ephesians - Philemon</t>
  </si>
  <si>
    <t xml:space="preserve">Regency </t>
  </si>
  <si>
    <t>978-602-231-816-3</t>
  </si>
  <si>
    <t>923.3 PAR e</t>
  </si>
  <si>
    <t>Engkau Membuat Berhasil Perjalananku</t>
  </si>
  <si>
    <t>Soy Martua Sumurung Pardede</t>
  </si>
  <si>
    <t>Bpk Gunung Mulia</t>
  </si>
  <si>
    <t>979-8475-78-X</t>
  </si>
  <si>
    <t>250 WAG g</t>
  </si>
  <si>
    <t>Gereja-gereja Rasuli yang Baru</t>
  </si>
  <si>
    <t>C. Peter Wagner</t>
  </si>
  <si>
    <t>978-979-504-282-2</t>
  </si>
  <si>
    <t>291.2 NAD k</t>
  </si>
  <si>
    <t>Kepercayaan Gereja Masehi Advent hari Ketujuh Uraian Doktrin dasar Alkitabiah</t>
  </si>
  <si>
    <t>Wilson Nadeak Dkk</t>
  </si>
  <si>
    <t>Advent Indonesia</t>
  </si>
  <si>
    <t>0-8146-2454-5</t>
  </si>
  <si>
    <t>220.7 FAR c</t>
  </si>
  <si>
    <t>The International Bible Commentary</t>
  </si>
  <si>
    <t>William R. Farmer Dkk</t>
  </si>
  <si>
    <t>0-8361-3418-4</t>
  </si>
  <si>
    <t>225.487 GUI g</t>
  </si>
  <si>
    <t>The Greek New Testament Analyzed</t>
  </si>
  <si>
    <t>French</t>
  </si>
  <si>
    <t>Pierre Guillemette</t>
  </si>
  <si>
    <t>Herald Press</t>
  </si>
  <si>
    <t>225.38 SMI g</t>
  </si>
  <si>
    <t>A Manual Greek Lexicon of the New Testament</t>
  </si>
  <si>
    <t>G. Abbott Smith</t>
  </si>
  <si>
    <t>University Press Aberdeen</t>
  </si>
  <si>
    <t>978-979-21-0825-5</t>
  </si>
  <si>
    <t>230 DIS t</t>
  </si>
  <si>
    <t>Teologi Sistematika 1: Allah Penyelamat</t>
  </si>
  <si>
    <t>Dr. Nico Syukur Dister, OFM</t>
  </si>
  <si>
    <t>978-979-21-0826-2</t>
  </si>
  <si>
    <t>Teologi Sistematika 2: Ekonomi Keselamatan</t>
  </si>
  <si>
    <t>978-979-413-205-0</t>
  </si>
  <si>
    <t>225 GRO p</t>
  </si>
  <si>
    <t>Pengantar ke dalam Perjanjian Baru</t>
  </si>
  <si>
    <t>Dr. C. Groenen OFM</t>
  </si>
  <si>
    <t>978-979-9290-92-2</t>
  </si>
  <si>
    <t>270 LAN r</t>
  </si>
  <si>
    <t>Runtut Pijar Tokoh dan Pemikiran Kristen dari Masa ke Masa</t>
  </si>
  <si>
    <t>Tony Lane</t>
  </si>
  <si>
    <t>978-602-393-125-5</t>
  </si>
  <si>
    <t>225.92 BRU p</t>
  </si>
  <si>
    <t>Tafsiran Perjanjian Baru Paulus Pionir bagi Mesias Israel</t>
  </si>
  <si>
    <t>Jakob van Bruggen</t>
  </si>
  <si>
    <t>978-979-3292-74-8</t>
  </si>
  <si>
    <t>225.61 GUT p</t>
  </si>
  <si>
    <t>Pengantar Perjanjian Baru Vol. 1</t>
  </si>
  <si>
    <t>978-979-3292-75-5</t>
  </si>
  <si>
    <t>Pengantar Perjanjian Baru Vol. 2</t>
  </si>
  <si>
    <t>978-979-3292-76-2</t>
  </si>
  <si>
    <t>Pengantar Perjanjian Baru Vol. 3</t>
  </si>
  <si>
    <t>978-602-8165-73-0</t>
  </si>
  <si>
    <t>Teologi Sistematika Vol. 5 Doktrin Gereja</t>
  </si>
  <si>
    <t>978-602-231-604-6</t>
  </si>
  <si>
    <t>223.07 SAN p</t>
  </si>
  <si>
    <t>Pertolongan dari balik Layar - Tafsiran Kitab Ester</t>
  </si>
  <si>
    <t>Dr. Agus Santoso Dkk</t>
  </si>
  <si>
    <t>978-602-232-776-0</t>
  </si>
  <si>
    <t>223.7 SAN s</t>
  </si>
  <si>
    <t>Sang Pendobrak Tatanan - Tafsir Kitab Rut</t>
  </si>
  <si>
    <t>Agus Santoso Dkk</t>
  </si>
  <si>
    <t>978-602-231-778-4</t>
  </si>
  <si>
    <t>223.7 SAN r</t>
  </si>
  <si>
    <t>Restorasi dan Pendidikan Karakter - Tafsir Kitab Hagai</t>
  </si>
  <si>
    <t>220.7 SAN t</t>
  </si>
  <si>
    <t>Tafsir Alkitab Kontekstual-Oikumenis 1 Tawarikh</t>
  </si>
  <si>
    <t>11:a</t>
  </si>
  <si>
    <t>978-602-231-764-7</t>
  </si>
  <si>
    <t>223.7 SAN f</t>
  </si>
  <si>
    <t>Tafsir Kitab Surat Filemon</t>
  </si>
  <si>
    <t>220.7 FRO t</t>
  </si>
  <si>
    <t>Tafsiran Alkitab Kitab Mazmur 1-72 Pembimbing dan Tafsirannya</t>
  </si>
  <si>
    <t>Marie Claire Barth Frommel Dkk</t>
  </si>
  <si>
    <t>932 VEN e</t>
  </si>
  <si>
    <t>EGYPT History &amp; Civilization</t>
  </si>
  <si>
    <t>Dr. R. Ventura</t>
  </si>
  <si>
    <t>J. Paul Getty Trust</t>
  </si>
  <si>
    <t>0-385-01517-8</t>
  </si>
  <si>
    <t>227.9 BRO a</t>
  </si>
  <si>
    <t>The Anchor Bible The Gospel According to John I-XII</t>
  </si>
  <si>
    <t>Raymond E. Brown, S.S.</t>
  </si>
  <si>
    <t>978-87-7523-413-4</t>
  </si>
  <si>
    <t>229.95 MAD h</t>
  </si>
  <si>
    <t>Historien om Job tegnet og fortalt af Peter Madsen</t>
  </si>
  <si>
    <t>Peter Madsen</t>
  </si>
  <si>
    <t>Bibelselskabets Forlag</t>
  </si>
  <si>
    <t>978-87-7523-337-3</t>
  </si>
  <si>
    <t>232.9 MAD m</t>
  </si>
  <si>
    <t>Menneskesønnen : en tegneserie om Jesus</t>
  </si>
  <si>
    <t>979-415-349-4</t>
  </si>
  <si>
    <t>248.4 LEW k</t>
  </si>
  <si>
    <t>Ketika Putra - Putri anda Memberontak</t>
  </si>
  <si>
    <t>Margie M. Lewis</t>
  </si>
  <si>
    <t>0-8028-0254-0</t>
  </si>
  <si>
    <t>225.61 CHI b</t>
  </si>
  <si>
    <t>Beginning New Testament Study</t>
  </si>
  <si>
    <t>Grand Rapids, Michigan</t>
  </si>
  <si>
    <t>978-1-4016-7514-1</t>
  </si>
  <si>
    <t>220.5 JOH m</t>
  </si>
  <si>
    <t>The modern life study Bible God's word for our world New King James Version</t>
  </si>
  <si>
    <t>Kevin Johnson</t>
  </si>
  <si>
    <t>Thomas Nelson</t>
  </si>
  <si>
    <t>979-763-4334</t>
  </si>
  <si>
    <t>230.133 YUD s</t>
  </si>
  <si>
    <t>How to Overcome Occultism (Seluk-beluk Okultisme dan Langkah-langkah Pelepasannya)</t>
  </si>
  <si>
    <t>Pdt. Prof. Dr. Ir. Bambang Yudho, M.Sc., M.A., Ph.D.</t>
  </si>
  <si>
    <t>230.133 HAW s</t>
  </si>
  <si>
    <t>Seluk-beluk Sihir (Tenung, Santet, Mantra, Ramalan, Jampi-jampi, Pelet)</t>
  </si>
  <si>
    <t>Craig S. Hawkins</t>
  </si>
  <si>
    <t>979-763-720-4</t>
  </si>
  <si>
    <t>230.133 LAR m</t>
  </si>
  <si>
    <t>Membongkar Tipu Daya Iblis - Strategi Melucuti pengaruh Iblis dalam Pikiran &amp; Tubuh</t>
  </si>
  <si>
    <t>Bob Larson</t>
  </si>
  <si>
    <t>978-979-29-5788-4</t>
  </si>
  <si>
    <t>266 HAR t</t>
  </si>
  <si>
    <t>Teologi Misi - dari Missio Dei menuju Missio Ecclesia</t>
  </si>
  <si>
    <t>Harianto GP</t>
  </si>
  <si>
    <t>978-979-29-5729-7</t>
  </si>
  <si>
    <t>236 SIT m</t>
  </si>
  <si>
    <t>Menyingkap Misteri Dunia Orang Mati</t>
  </si>
  <si>
    <t>Jonar Situmorang, M.A.</t>
  </si>
  <si>
    <t>978-979-21-4811-4</t>
  </si>
  <si>
    <t>220.228 PRA p</t>
  </si>
  <si>
    <t>Pesona Kitab Wahyu - dan Kunci untuk Membukannya</t>
  </si>
  <si>
    <t>Iswadi Prayidno, Pr</t>
  </si>
  <si>
    <t>978-979-21-6234-9</t>
  </si>
  <si>
    <t>220.7 PUR d</t>
  </si>
  <si>
    <t>Dari Hawa sampai Miryam - Menafsirkan Kisah Perempuan dalam Alkitab</t>
  </si>
  <si>
    <t>Albertus Purnomo, OFM</t>
  </si>
  <si>
    <t>978-979-415-164-8</t>
  </si>
  <si>
    <t>232.095 SUG w</t>
  </si>
  <si>
    <t>Wajah Yesus di Asia</t>
  </si>
  <si>
    <t>R. S. Sugirtharajah</t>
  </si>
  <si>
    <t>978-602-231-157-7</t>
  </si>
  <si>
    <t>232 KUS w</t>
  </si>
  <si>
    <t>Wajah-wajah Yesus Kristus - Kristologi Lintas Budaya</t>
  </si>
  <si>
    <t>Volker Kuster</t>
  </si>
  <si>
    <t>978-979-687-587-0</t>
  </si>
  <si>
    <t>239.93 TIM a</t>
  </si>
  <si>
    <t>Aku Memahami yang Aku Imani - Memahami Allah Tritunggal, Roh Kudus, dan Karunia-karunia Roh secara Bertanggung Jawab</t>
  </si>
  <si>
    <t>Ebenhaizer I. Nuban Timo</t>
  </si>
  <si>
    <t>978-979-415-504-2</t>
  </si>
  <si>
    <t>225 CHA b</t>
  </si>
  <si>
    <t>Bagaimana membaca Perjanjian Lama</t>
  </si>
  <si>
    <t>Etienne Charpentier</t>
  </si>
  <si>
    <t>978-602-1336-06-9</t>
  </si>
  <si>
    <t>261.83 ADI g</t>
  </si>
  <si>
    <t>Gereja Pascapandemi Merengkuh Kerapuhan</t>
  </si>
  <si>
    <t>Joas Adiprasetya</t>
  </si>
  <si>
    <t>978-602-231-385-4</t>
  </si>
  <si>
    <t>226.07 PAT s</t>
  </si>
  <si>
    <t>Tafsir Alkitab Kontekstual-Oikumenis 1 &amp; 2 Samuel</t>
  </si>
  <si>
    <t>275 HOK s</t>
  </si>
  <si>
    <t>Sejarah Gereja Asia - Volume 1</t>
  </si>
  <si>
    <t>Donald E. Hoke</t>
  </si>
  <si>
    <t>Sejarah Gereja Asia - Volume 2</t>
  </si>
  <si>
    <t>978-602-393-133-0</t>
  </si>
  <si>
    <t>231.3 COL d</t>
  </si>
  <si>
    <t>Dia yang memberi Hidup - Doktrin tentang Roh Kudus</t>
  </si>
  <si>
    <t>Graham A. Cole</t>
  </si>
  <si>
    <t>978-979-8131-01-1</t>
  </si>
  <si>
    <t>230 TIL p</t>
  </si>
  <si>
    <t>Pengantar Theologi Sistematik: Prolegomena dan Doktrin Wahyu, Alkitab, dan Allah</t>
  </si>
  <si>
    <t>Cornelius Van Til</t>
  </si>
  <si>
    <t>978-602-393-110-1</t>
  </si>
  <si>
    <t>230 BRA a</t>
  </si>
  <si>
    <t>Allah adalah Kasih - Theologi Biblikal &amp; Sistematis</t>
  </si>
  <si>
    <t>978-602-393-094-4</t>
  </si>
  <si>
    <t>222.1 HEN b</t>
  </si>
  <si>
    <t>Tafsiran Matthew Henry: Kitab Bilangan, Ulangan</t>
  </si>
  <si>
    <t>978-602-393-108-8</t>
  </si>
  <si>
    <t>222.1 HEN y</t>
  </si>
  <si>
    <t>Tafsiran Matthew Henry: Kitab Yosua, Hakim-hakim, Rut</t>
  </si>
  <si>
    <t>978-602-393-118-7</t>
  </si>
  <si>
    <t>222.4 HEN s</t>
  </si>
  <si>
    <t>Tafsiran Matthew Henry: Kitab 1 &amp; 2 Samuel</t>
  </si>
  <si>
    <t>978-602-393-128-6</t>
  </si>
  <si>
    <t>222.5 HEN r</t>
  </si>
  <si>
    <t>Tafsiran Matthew Henry: Kitab 1 &amp; 2 Raja-raja</t>
  </si>
  <si>
    <t>978-602-393-139-2</t>
  </si>
  <si>
    <t>Tafsiran Matthew Henry: Kitab 1 &amp; 2 Tawarikh, Ezra, Nehemia, Ester</t>
  </si>
  <si>
    <t>978-602-393-069-2</t>
  </si>
  <si>
    <t>224.1 HEN p</t>
  </si>
  <si>
    <t>Tafsiran Matthew Henry: Kitab Pengkhotbah, Kidung Agung</t>
  </si>
  <si>
    <t>978-602-393-020-3</t>
  </si>
  <si>
    <t>224.1 HEN y</t>
  </si>
  <si>
    <t>Tafsiran Matthew Henry: Kitab Yesaya 1-39</t>
  </si>
  <si>
    <t>978-602-393-024-1</t>
  </si>
  <si>
    <t>Tafsiran Matthew Henry: Kitab Yesaya 40-66</t>
  </si>
  <si>
    <t>978-602-393-048-7</t>
  </si>
  <si>
    <t>224.2 HEN y</t>
  </si>
  <si>
    <t>Tafsiran Matthew Henry: Kitab Yeremia 25-52, Ratapan</t>
  </si>
  <si>
    <t>978-979-3292-70-0</t>
  </si>
  <si>
    <t>226.2 HEN m</t>
  </si>
  <si>
    <t>Tafsiran Matthew Henry: Injil Matius 15-28</t>
  </si>
  <si>
    <t>602-8242-15-2</t>
  </si>
  <si>
    <t>226.2 HEN l</t>
  </si>
  <si>
    <t>Tafsiran Matthew Henry: Injil Lukas 13-24</t>
  </si>
  <si>
    <t>602-8165-39-5</t>
  </si>
  <si>
    <t>226.5 HEN y</t>
  </si>
  <si>
    <t>Tafsiran Matthew Henry: Injil Yohanes 12-21</t>
  </si>
  <si>
    <t>978-0-664-22080-8</t>
  </si>
  <si>
    <t>224.507 NEW d</t>
  </si>
  <si>
    <t>The Old Testament Library: Daniel</t>
  </si>
  <si>
    <t>Carol A. Newsom</t>
  </si>
  <si>
    <t>WJK</t>
  </si>
  <si>
    <t>978-0-8028-2524-7</t>
  </si>
  <si>
    <t>222.1507 CRA d</t>
  </si>
  <si>
    <t>(NICOT) The Book of Deuteronomy</t>
  </si>
  <si>
    <t>978-0-8028-2526-1</t>
  </si>
  <si>
    <t>222.3507 HUB r</t>
  </si>
  <si>
    <t>Robert L. Hubbard JR</t>
  </si>
  <si>
    <t>978-0-8028-2525-4</t>
  </si>
  <si>
    <t>222.2077 WOU j</t>
  </si>
  <si>
    <t>(NICOT) The Book of Joshua</t>
  </si>
  <si>
    <t>Marten H. Woudstra</t>
  </si>
  <si>
    <t>978-0-8028-2545-2</t>
  </si>
  <si>
    <t>223.7077 WAL p</t>
  </si>
  <si>
    <t>(NICOT) The Book of Proverbs Chapters 1-15</t>
  </si>
  <si>
    <t>Bruce K. Waltke</t>
  </si>
  <si>
    <t>978-0-310-52233-1</t>
  </si>
  <si>
    <t>222.52 HOB k</t>
  </si>
  <si>
    <t>Word Biblical Commentary: 2 Kings - Volume 13</t>
  </si>
  <si>
    <t>T. R. Hobbs</t>
  </si>
  <si>
    <t>978-0-310-52228-7</t>
  </si>
  <si>
    <t>223.8 MUR e</t>
  </si>
  <si>
    <t>Word Biblical Commentary: Ecclesiastes - Volume 23a</t>
  </si>
  <si>
    <t>978-0-310-52229-4</t>
  </si>
  <si>
    <t>224.2 CRA j</t>
  </si>
  <si>
    <t>Word Biblical Commentary: Jeremiah 1-25 - Volume 26</t>
  </si>
  <si>
    <t>Peter C. Craigie Dkk</t>
  </si>
  <si>
    <t>978-0-310-52225-6</t>
  </si>
  <si>
    <t>224.2077 KEO j</t>
  </si>
  <si>
    <t>Word Biblical Commentary: Jeremiah 26-52 - Volume 27</t>
  </si>
  <si>
    <t>Gerald L. Keown Dkk</t>
  </si>
  <si>
    <t>978-0-310-52215-7</t>
  </si>
  <si>
    <t>220.7 ALL e</t>
  </si>
  <si>
    <t>Word Biblical Commentary: Ezekiel 1-19 - Volume 28</t>
  </si>
  <si>
    <t>978-0-310-52214-0</t>
  </si>
  <si>
    <t>Word Biblical Commentary: Ezekiel 20-48 - Volume 29</t>
  </si>
  <si>
    <t>978-08054-9503-4</t>
  </si>
  <si>
    <t>The New American Commentary: (NAC) Vol. 3B - Numbers</t>
  </si>
  <si>
    <t>R. Dennis Cole</t>
  </si>
  <si>
    <t>978-08054-0104-2</t>
  </si>
  <si>
    <t>227 MER d</t>
  </si>
  <si>
    <t>The New American Commentary: (NAC) Vol. 4 - Deuteronomy</t>
  </si>
  <si>
    <t>Eugene H. Merrill</t>
  </si>
  <si>
    <t>978-08054-0105-9</t>
  </si>
  <si>
    <t>222.20 HOW j</t>
  </si>
  <si>
    <t>The New American Commentary: (NAC) Vol. 5 - Joshua</t>
  </si>
  <si>
    <t>David M. Howard, Jr</t>
  </si>
  <si>
    <t>978-0-8054-0108-0</t>
  </si>
  <si>
    <t>222.5 HOU k</t>
  </si>
  <si>
    <t>The New American Commentary: (NAC) Vol. 8 - 1, 2 Kings</t>
  </si>
  <si>
    <t>Paul R. House</t>
  </si>
  <si>
    <t>978-08054-0109-7</t>
  </si>
  <si>
    <t>222.6 THO c</t>
  </si>
  <si>
    <t>The New American Commentary: (NAC) Vol. 9 - 1, 2 Chronicles</t>
  </si>
  <si>
    <t>978-0-8054-0111-0</t>
  </si>
  <si>
    <t>222 ALD j</t>
  </si>
  <si>
    <t>The New American Commentary: (NAC) Vol. 11 - Job</t>
  </si>
  <si>
    <t>Robert L. Alden</t>
  </si>
  <si>
    <t>978-0-8054-0144-8</t>
  </si>
  <si>
    <t>224.1 SMI i</t>
  </si>
  <si>
    <t>The New American Commentary: (NAC) Vol. 15B - Isaiah 40-66</t>
  </si>
  <si>
    <t>978-0-8054-0121-9</t>
  </si>
  <si>
    <t>224.9 TAY h</t>
  </si>
  <si>
    <t>The New American Commentary: (NAC) Vol. 21A - Haggai, Malachi</t>
  </si>
  <si>
    <t>Richard A. Taylor Dkk</t>
  </si>
  <si>
    <t>978-0-310-20934-8</t>
  </si>
  <si>
    <t>222.207 HUB j</t>
  </si>
  <si>
    <t>The NIV Application Commentary: Joshua</t>
  </si>
  <si>
    <t>Robert L. Hubbard JR.</t>
  </si>
  <si>
    <t>978-0-310-21129-7</t>
  </si>
  <si>
    <t>222.507 KON k</t>
  </si>
  <si>
    <t>The NIV Application Commentary: 1 &amp; 2 Kings</t>
  </si>
  <si>
    <t>August H. Konkel</t>
  </si>
  <si>
    <t>978-0-310-20670-5</t>
  </si>
  <si>
    <t>223.206 TUC p</t>
  </si>
  <si>
    <t>The NIV Application Commentary: Psalms - Volume 2</t>
  </si>
  <si>
    <t>W. Dennis Tucker JR. Dkk</t>
  </si>
  <si>
    <t>978-0-310-21852-4</t>
  </si>
  <si>
    <t>223.7077 KOP p</t>
  </si>
  <si>
    <t>The NIV Application Commentary: Proverbs</t>
  </si>
  <si>
    <t>Paul E. Koptak</t>
  </si>
  <si>
    <t>978-0-310-20616-3</t>
  </si>
  <si>
    <t>224.2077 DEA j</t>
  </si>
  <si>
    <t>The NIV Application Commentary: Jeremiah, Lamentations</t>
  </si>
  <si>
    <t>J. Andrew Dearman</t>
  </si>
  <si>
    <t>978-0-310-20723-8</t>
  </si>
  <si>
    <t>294.707 BAK j</t>
  </si>
  <si>
    <t>The NIV Application Commentary: Joel, Obadiah, Malachi</t>
  </si>
  <si>
    <t>David W. Baker</t>
  </si>
  <si>
    <t>978-0-310-48490-1</t>
  </si>
  <si>
    <t>227.307 BLO c</t>
  </si>
  <si>
    <t>The NIV Application Commentary: 1 Corinthians</t>
  </si>
  <si>
    <t>978-0-310-49420-1</t>
  </si>
  <si>
    <t>The NIV Application Commentary: 2 Corinthians</t>
  </si>
  <si>
    <t>Scott J. Hafemann</t>
  </si>
  <si>
    <t>978-0-310-48470-7</t>
  </si>
  <si>
    <t>227.407 MCK g</t>
  </si>
  <si>
    <t>The NIV Application Commentary: Galatians</t>
  </si>
  <si>
    <t>978-0-310-49300-6</t>
  </si>
  <si>
    <t>227.606 THI p</t>
  </si>
  <si>
    <t>The NIV Application Commentary: Philippians</t>
  </si>
  <si>
    <t>Frank Thielman</t>
  </si>
  <si>
    <t>978-0-310-50110-7</t>
  </si>
  <si>
    <t>227.8307 LIE t</t>
  </si>
  <si>
    <t>The NIV Application Commentary: 1 &amp; 2 Timothy, Titus</t>
  </si>
  <si>
    <t>Walter L. Liefeld</t>
  </si>
  <si>
    <t>978-0-310-49360-0</t>
  </si>
  <si>
    <t>227.9107 NYS j</t>
  </si>
  <si>
    <t>The NIV Application Commentary: James</t>
  </si>
  <si>
    <t>David P. Nystrom</t>
  </si>
  <si>
    <t>978-0-310-49290-0</t>
  </si>
  <si>
    <t>227.9207 MCK p</t>
  </si>
  <si>
    <t>The NIV Application Commentary: 1 Peter</t>
  </si>
  <si>
    <t>978-0-310-48620-6</t>
  </si>
  <si>
    <t>227.9407 BUR j</t>
  </si>
  <si>
    <t>The NIV Application Commentary: Letters of John</t>
  </si>
  <si>
    <t>264</t>
  </si>
  <si>
    <t>220.6 KNI i</t>
  </si>
  <si>
    <t>220.6 MIL t</t>
  </si>
  <si>
    <t>Tokoh &amp; Tempat dalam Alkitab - Referensi bergambar dari A-Z</t>
  </si>
  <si>
    <t>Stephen M. Miller</t>
  </si>
  <si>
    <t>978-602-231-917-7</t>
  </si>
  <si>
    <t>Selamat Berhikmat - 33 Renungan tentang belajar Bijak</t>
  </si>
  <si>
    <t>978-602-231-749-4</t>
  </si>
  <si>
    <t>220.61 MIL p</t>
  </si>
  <si>
    <t>Panduan Lengkap Alkitab</t>
  </si>
  <si>
    <t>978-602-231-985-6</t>
  </si>
  <si>
    <t>200.3 ARI k</t>
  </si>
  <si>
    <t>Kamus Gereja &amp; Teologi Kristen</t>
  </si>
  <si>
    <t>Jan S. Aritonang Dkk</t>
  </si>
  <si>
    <t>978-602-393-130-9</t>
  </si>
  <si>
    <t>231.044 LET a2</t>
  </si>
  <si>
    <t>Allah Trinitas: dalam Alkitab, Sejarah, Theologi, dan Penyembahan</t>
  </si>
  <si>
    <t>978-602-393-137-8</t>
  </si>
  <si>
    <t>230 BER p</t>
  </si>
  <si>
    <t>Panduan Tentang Doktrin Kristen</t>
  </si>
  <si>
    <t>978-602-393-074-6</t>
  </si>
  <si>
    <t>251.01 LOH t</t>
  </si>
  <si>
    <t>Theologi Martin Luther: Perkembangan Historis dan Theologi Sistematiknya</t>
  </si>
  <si>
    <t>978-602-393-054-8</t>
  </si>
  <si>
    <t>284.2 SEL b</t>
  </si>
  <si>
    <t>Buku Pegangan Calvin</t>
  </si>
  <si>
    <t>Herman J. Selderhuis</t>
  </si>
  <si>
    <t>978-602-8165-56-3</t>
  </si>
  <si>
    <t>230.044 BER t</t>
  </si>
  <si>
    <t>978-602-8165-70-9</t>
  </si>
  <si>
    <t>233 BER t</t>
  </si>
  <si>
    <t>Teologi Sistematika 2: Doktrin Manusia</t>
  </si>
  <si>
    <t>978-602-8165-71-6</t>
  </si>
  <si>
    <t>232 BER t</t>
  </si>
  <si>
    <t>Teologi Sistematika 3: Doktrin Kristus</t>
  </si>
  <si>
    <t>978-602-8165-72-3</t>
  </si>
  <si>
    <t>234 BER t</t>
  </si>
  <si>
    <t>Teologi Sistematika 4: Doktrin Keselamatan</t>
  </si>
  <si>
    <t>Teologi Sistematika 5: Doktrin Gereja</t>
  </si>
  <si>
    <t>978-602-8165-74-7</t>
  </si>
  <si>
    <t>236 BER t</t>
  </si>
  <si>
    <t>Teologi Sistematika 6: Doktrin Akhir Jaman</t>
  </si>
  <si>
    <t>978-979-8307-28-7</t>
  </si>
  <si>
    <t>265.1 RAY a</t>
  </si>
  <si>
    <t>Apa itu Baptisan? Makna dan cara Baptisan Kristen</t>
  </si>
  <si>
    <t>Robert G. Rayburn</t>
  </si>
  <si>
    <t>978-602-393-142-2</t>
  </si>
  <si>
    <t>234 KRI s</t>
  </si>
  <si>
    <t>Sola Gratia Dei: Buku Pegangan Soteriologi</t>
  </si>
  <si>
    <t>Billy Kristanto</t>
  </si>
  <si>
    <t>978-602-393-145-3</t>
  </si>
  <si>
    <t>248.4 LIM m</t>
  </si>
  <si>
    <t>7 Meditasi tentang Cinta</t>
  </si>
  <si>
    <t>Jadi S. Lima</t>
  </si>
  <si>
    <t>978-979-3292-94-6</t>
  </si>
  <si>
    <t>230 BOI d</t>
  </si>
  <si>
    <t>Dasar-dasar Iman Kristen</t>
  </si>
  <si>
    <t>James Montgomery Boice</t>
  </si>
  <si>
    <t>978-602-8165-12-9</t>
  </si>
  <si>
    <t>248.4 LAN b</t>
  </si>
  <si>
    <t>Bagaimana Orang Berubah</t>
  </si>
  <si>
    <t>Timothy S. Lane Dkk</t>
  </si>
  <si>
    <t>978-602-393-077-7</t>
  </si>
  <si>
    <t>230.09 GEO t</t>
  </si>
  <si>
    <t>Theologi Para Reformator (Edisi Revisi)</t>
  </si>
  <si>
    <t>Iman dalam Perbuatan - Surat Yakobus</t>
  </si>
  <si>
    <t>220.7 DAR m</t>
  </si>
  <si>
    <t>Mencari Allah - Kitab Amos</t>
  </si>
  <si>
    <t>978-602-231-090-7</t>
  </si>
  <si>
    <t>252 DAR m</t>
  </si>
  <si>
    <t>Merayakan Hidup</t>
  </si>
  <si>
    <t>Menjadi Saksi Kristus - Kitab Para Rasul</t>
  </si>
  <si>
    <t>Menyingkap Janji Tuhan - Kitab Wahyu</t>
  </si>
  <si>
    <t>978-979-415-938-5</t>
  </si>
  <si>
    <t>270.6 MCG s</t>
  </si>
  <si>
    <t>Sejarah Pemikiran Reformasi</t>
  </si>
  <si>
    <t>Alister E. McGrath</t>
  </si>
  <si>
    <t>978-979-415-567-7</t>
  </si>
  <si>
    <t>284 JON c</t>
  </si>
  <si>
    <t>Apa Itu Calvinisme?</t>
  </si>
  <si>
    <t>Christiaan De Jonge</t>
  </si>
  <si>
    <t>978-979-29-6425-7</t>
  </si>
  <si>
    <t>220 LAB d</t>
  </si>
  <si>
    <t>Dasar-dasar Hermeneutik</t>
  </si>
  <si>
    <t>Kresbinol Labobar</t>
  </si>
  <si>
    <t>978-979-29-1171-8</t>
  </si>
  <si>
    <t>239 MAT m</t>
  </si>
  <si>
    <t>Meruntuhkan Benteng Ateisme Modern</t>
  </si>
  <si>
    <t>B. E. Matindas</t>
  </si>
  <si>
    <t>223.206 LON m</t>
  </si>
  <si>
    <t>978-602-7788-05-3</t>
  </si>
  <si>
    <t>261.88 BUD m</t>
  </si>
  <si>
    <t>7 Model Kristologi Sosial</t>
  </si>
  <si>
    <t>Kalvin S. Budiman</t>
  </si>
  <si>
    <t>979-9532-14-0</t>
  </si>
  <si>
    <t>234.9 SPR k</t>
  </si>
  <si>
    <t>Kaum Pilihan Allah</t>
  </si>
  <si>
    <t>978-979-3080-91-8</t>
  </si>
  <si>
    <t>251.003 BRI a</t>
  </si>
  <si>
    <t>The Art &amp; Craft of Biblical Preaching - Jilid 1</t>
  </si>
  <si>
    <t>Craig Brian Larson Dkk</t>
  </si>
  <si>
    <t>978-979-3080-96-3</t>
  </si>
  <si>
    <t>The Art &amp; Craft of Biblical Preaching - Jilid 2</t>
  </si>
  <si>
    <t>978-602-7788-04-6</t>
  </si>
  <si>
    <t>The Art &amp; Craft of Biblical Preaching - Jilid 3</t>
  </si>
  <si>
    <t>979-9532-11-6</t>
  </si>
  <si>
    <t>231.042 FRA d</t>
  </si>
  <si>
    <t>Doktrin Pengetahuan Tentang Allah: Objek Pengetahuan dan Justifikasi Pengetahuan - VOL 1</t>
  </si>
  <si>
    <t>John M. Frame</t>
  </si>
  <si>
    <t>979-9532-12-4</t>
  </si>
  <si>
    <t>Doktrin Pengetahuan Tentang Allah: Metode Pengetahuan - VOL 2</t>
  </si>
  <si>
    <t>978-602-7788-01-5</t>
  </si>
  <si>
    <t>253 MCI o</t>
  </si>
  <si>
    <t>Overcoming the Dark Side of Leadership - Menaklukan sisi gelap Kepemimpinan</t>
  </si>
  <si>
    <t>Gary L. McIntost Dkk</t>
  </si>
  <si>
    <t>978-602-7788-07-7</t>
  </si>
  <si>
    <t>239 KOU t</t>
  </si>
  <si>
    <t>Tactics - Rancangan Permainan untuk Mendiskusikan Keyakinan dan Nilai-nilai Kristen Anda</t>
  </si>
  <si>
    <t>Gregory Koukl</t>
  </si>
  <si>
    <t>978-979-3080-94-9</t>
  </si>
  <si>
    <t>239.7 COP g</t>
  </si>
  <si>
    <t>Is God a Moral Monster? Memahami Allah Perjanjian Lama</t>
  </si>
  <si>
    <t>Paul Copan</t>
  </si>
  <si>
    <t>978-1-58134-812-5</t>
  </si>
  <si>
    <t>234 DEM c</t>
  </si>
  <si>
    <t>The Cross and Salvation - The Doctrine of Salvation</t>
  </si>
  <si>
    <t>Bruce Demarest</t>
  </si>
  <si>
    <t>978-1-58134-829-3</t>
  </si>
  <si>
    <t>270.6 NIC r</t>
  </si>
  <si>
    <t>The Reformation: How a Monk and a Mallet Changed the World</t>
  </si>
  <si>
    <t>Stephen J. Nichols</t>
  </si>
  <si>
    <t>CrossWay</t>
  </si>
  <si>
    <t>978-0-8028-4098-1</t>
  </si>
  <si>
    <t>225.4 ALA t</t>
  </si>
  <si>
    <t>978-1-59856-290-3</t>
  </si>
  <si>
    <t>225.52 TYN n</t>
  </si>
  <si>
    <t>The New Testament 1526</t>
  </si>
  <si>
    <t>William Tyndale</t>
  </si>
  <si>
    <t>Hendrickson Bibles</t>
  </si>
  <si>
    <t>978-0-310-49474-4</t>
  </si>
  <si>
    <t>225.6 GUN s</t>
  </si>
  <si>
    <t>A Surfey of the New Testament</t>
  </si>
  <si>
    <t>Robert H. Gundry</t>
  </si>
  <si>
    <t xml:space="preserve"> 978-0-310-52776-3</t>
  </si>
  <si>
    <t>230 CRI v</t>
  </si>
  <si>
    <t>The Voice of God in the Text of Scripture</t>
  </si>
  <si>
    <t>Oliver D. Crisp Dkk</t>
  </si>
  <si>
    <t>978-0-310-26892-5</t>
  </si>
  <si>
    <t>220.7 LON m</t>
  </si>
  <si>
    <t>The Expositor's Bible Commentary: Vol. 9 - Matthew &amp; Mark</t>
  </si>
  <si>
    <t>Tremper Longman III Dkk</t>
  </si>
  <si>
    <t>978-0-310-23500-2</t>
  </si>
  <si>
    <t>220.7 LON l</t>
  </si>
  <si>
    <t>The Expositor's Bible Commentary: Vol. 10 - Luke ~ Acts</t>
  </si>
  <si>
    <t>220.7 LON r</t>
  </si>
  <si>
    <t>The Expositor's Bible Commentary: Vol. 11 - Romans ~ Galatians</t>
  </si>
  <si>
    <t>220.7 LON e</t>
  </si>
  <si>
    <t>The Expositor's Bible Commentary: Vol. 12 - Ephesians ~ Philemon</t>
  </si>
  <si>
    <t>220.7 LON h</t>
  </si>
  <si>
    <t>The Expositor's Bible Commentary: Vol. 13 - Hebrews ~ Revelation</t>
  </si>
  <si>
    <t>978-602-9254-26-6</t>
  </si>
  <si>
    <t>248.84 THO i</t>
  </si>
  <si>
    <t>Sacred Influence</t>
  </si>
  <si>
    <t>Gary Thomas</t>
  </si>
  <si>
    <t>Katalis</t>
  </si>
  <si>
    <t>978-602-9254-20-4</t>
  </si>
  <si>
    <t>248.84 THO m</t>
  </si>
  <si>
    <t>Sacred Marriage</t>
  </si>
  <si>
    <t>978-602-9254-27-3</t>
  </si>
  <si>
    <t>248.84 THO p</t>
  </si>
  <si>
    <t>Sacred Parenting</t>
  </si>
  <si>
    <t>jenis terbitan  kategori bacaan</t>
  </si>
  <si>
    <t>978-602-18547-8-5</t>
  </si>
  <si>
    <t>248.84 THO s</t>
  </si>
  <si>
    <t>The Sacred Search</t>
  </si>
  <si>
    <t>978-602-72268-0-7</t>
  </si>
  <si>
    <t>240 RON s</t>
  </si>
  <si>
    <t>Sistem Berteologi - Seluk Beluk Pengajaran Kristen</t>
  </si>
  <si>
    <t>Dr. Daniel Ronda, Th.M.</t>
  </si>
  <si>
    <t>Matana Bina Utama</t>
  </si>
  <si>
    <t>978-979-21-6162-5</t>
  </si>
  <si>
    <t>230 MAN d</t>
  </si>
  <si>
    <t>Daya Pikat &amp; Daya Ubah Cerita Alkitab - Pengantar Tafsir Naratif</t>
  </si>
  <si>
    <t>Hortensius F. Mandaru</t>
  </si>
  <si>
    <t>0-520-03999-8</t>
  </si>
  <si>
    <t>492.6 SEG b</t>
  </si>
  <si>
    <t>A Basic Grammar of the Ugaritic Language - with Selected Texts and Glossary</t>
  </si>
  <si>
    <t>Stanislav Segert</t>
  </si>
  <si>
    <t>University of California Press</t>
  </si>
  <si>
    <t>978-623-9611-86-6</t>
  </si>
  <si>
    <t>230 KUR a</t>
  </si>
  <si>
    <t>Pendidikan Agama Kristen PAK REMAJA</t>
  </si>
  <si>
    <t>jenis terbitan kategori bacaan</t>
  </si>
  <si>
    <r>
      <rPr>
        <rFont val="Times New Roman"/>
        <color theme="1"/>
        <sz val="11.0"/>
      </rPr>
      <t xml:space="preserve">Johanes Kurniawan, </t>
    </r>
    <r>
      <rPr>
        <rFont val="Times New Roman"/>
        <color rgb="FF1155CC"/>
        <sz val="11.0"/>
        <u/>
      </rPr>
      <t>S.Th</t>
    </r>
    <r>
      <rPr>
        <rFont val="Times New Roman"/>
        <color theme="1"/>
        <sz val="11.0"/>
      </rPr>
      <t>., M.Pd.K</t>
    </r>
  </si>
  <si>
    <t>Ekumene</t>
  </si>
  <si>
    <t>978-623-9611-85-9</t>
  </si>
  <si>
    <t>230 KUR r</t>
  </si>
  <si>
    <t>Pendidikan Agama Kristen PAK ANAK</t>
  </si>
  <si>
    <r>
      <rPr>
        <rFont val="Times New Roman"/>
        <color theme="1"/>
        <sz val="11.0"/>
      </rPr>
      <t xml:space="preserve">Kurniawan, </t>
    </r>
    <r>
      <rPr>
        <rFont val="Times New Roman"/>
        <color rgb="FF1155CC"/>
        <sz val="11.0"/>
        <u/>
      </rPr>
      <t>S.Th</t>
    </r>
    <r>
      <rPr>
        <rFont val="Times New Roman"/>
        <color theme="1"/>
        <sz val="11.0"/>
      </rPr>
      <t>., M.Pd.K</t>
    </r>
  </si>
  <si>
    <t>978-623-9611-87-3</t>
  </si>
  <si>
    <t>230 KUR d</t>
  </si>
  <si>
    <t>Pendidikan Agama Kristen PAK DEWASA</t>
  </si>
  <si>
    <t>Kurniawan, S.Th., M.Pd.K</t>
  </si>
  <si>
    <t>978-979-21-7098-6</t>
  </si>
  <si>
    <t>210 SYU p</t>
  </si>
  <si>
    <t>Psikologi Agama Pengalaman dan Motivasi Beragama</t>
  </si>
  <si>
    <t>Nico Syukur Dister, OFM</t>
  </si>
  <si>
    <t>210 SYU d</t>
  </si>
  <si>
    <t>Psikologi Agama Dasar dan Sikap Hidup Beragama</t>
  </si>
  <si>
    <t>978-979-8131-15-8</t>
  </si>
  <si>
    <t>236 HOE a</t>
  </si>
  <si>
    <t>Alkitab dan Akhir Zaman</t>
  </si>
  <si>
    <t>Anthony A. Hoekema</t>
  </si>
  <si>
    <t>978-602-393-090-6</t>
  </si>
  <si>
    <t>248.4 PAR p</t>
  </si>
  <si>
    <t>Pacaran, Pernikahan, dan Keluarga</t>
  </si>
  <si>
    <t>Jimmy Pardede</t>
  </si>
  <si>
    <t>220.93 BAK m</t>
  </si>
  <si>
    <t>David L. Baker and John J. Bimson</t>
  </si>
  <si>
    <t>978-979-8131-35-6</t>
  </si>
  <si>
    <t>780.922 STU k</t>
  </si>
  <si>
    <t>Karunia Musik</t>
  </si>
  <si>
    <t>Jane Stuart Smith and Betty Carlson</t>
  </si>
  <si>
    <t>978-979-415-083-2</t>
  </si>
  <si>
    <t>264 VAN a</t>
  </si>
  <si>
    <t>978-623-7519-05-8</t>
  </si>
  <si>
    <t>222 SIT m</t>
  </si>
  <si>
    <t>Mengenal Dunia Perjanjian Baru</t>
  </si>
  <si>
    <r>
      <rPr>
        <rFont val="Times New Roman"/>
        <color theme="1"/>
        <sz val="11.0"/>
      </rPr>
      <t xml:space="preserve">Pdt. Dr. Jonar T.H. Situmorang, M.A., </t>
    </r>
    <r>
      <rPr>
        <rFont val="Times New Roman"/>
        <color rgb="FF1155CC"/>
        <sz val="11.0"/>
        <u/>
      </rPr>
      <t>M.Th</t>
    </r>
    <r>
      <rPr>
        <rFont val="Times New Roman"/>
        <color theme="1"/>
        <sz val="11.0"/>
      </rPr>
      <t>.</t>
    </r>
  </si>
  <si>
    <t>PBMR ANDI</t>
  </si>
  <si>
    <t>978-602-231-466-0</t>
  </si>
  <si>
    <t>230 GER k</t>
  </si>
  <si>
    <t>Korban dan Pendamaian</t>
  </si>
  <si>
    <t>978-979-29-6668-8</t>
  </si>
  <si>
    <t>248 RIN k</t>
  </si>
  <si>
    <t>Kristologi dalam Kitab Ibrani</t>
  </si>
  <si>
    <t>Iswara Rintis Purwantara</t>
  </si>
  <si>
    <t>978-979-687-907-6</t>
  </si>
  <si>
    <t>025.49 TAI d</t>
  </si>
  <si>
    <t>Daftar Tajuk Subyek Untuk Perpustakaan</t>
  </si>
  <si>
    <t>J.N.B. Tairas dan Drs. Soekarman K., MLS</t>
  </si>
  <si>
    <t>Libri</t>
  </si>
  <si>
    <t>R.Perpustakaan</t>
  </si>
  <si>
    <t>978-979-29-6434-9</t>
  </si>
  <si>
    <t>207 HAR t</t>
  </si>
  <si>
    <t>Teologi PAK</t>
  </si>
  <si>
    <t>978-602-8502-62-7</t>
  </si>
  <si>
    <t>248.4 VAL d</t>
  </si>
  <si>
    <t>Diciptakan untuk Berkuasa</t>
  </si>
  <si>
    <t>Kris Vallotton</t>
  </si>
  <si>
    <t>978-623-7370-64-2</t>
  </si>
  <si>
    <t>249 HAD o</t>
  </si>
  <si>
    <t>Orang Tua - Gembala yang Baik dalam Keluarga</t>
  </si>
  <si>
    <t>Himawan Hadirahardja</t>
  </si>
  <si>
    <t>978-979-687-995-3</t>
  </si>
  <si>
    <t>284 BAT d</t>
  </si>
  <si>
    <t>Dua Belas Tulisan Mengenai Calvin dan Calvinisme</t>
  </si>
  <si>
    <t>Agustinus M.L. Batlajery &amp; Th. van den End</t>
  </si>
  <si>
    <t>978-979-687-795-9</t>
  </si>
  <si>
    <t>025.4 HAM p</t>
  </si>
  <si>
    <t>Pengantar Klasifikasi Persepuluhan Dewey</t>
  </si>
  <si>
    <t>Drs. Towa P. Hamakonda, MLS. dan J.N.B. Tairas</t>
  </si>
  <si>
    <t>978-602-231-547-6</t>
  </si>
  <si>
    <t>296 HER a</t>
  </si>
  <si>
    <t>Agama Yahudi Pendekatan Pada Ilmu Agama-Agama 3</t>
  </si>
  <si>
    <t>Olaf Herbert Schumann</t>
  </si>
  <si>
    <t>978-979-687-692-1</t>
  </si>
  <si>
    <t>268 GRO c</t>
  </si>
  <si>
    <t>Christian Religious Education (PAK) Berbagi Cerita &amp; Visi Kita</t>
  </si>
  <si>
    <t>Thomas H. Groome</t>
  </si>
  <si>
    <t>979-979-25-2056-9</t>
  </si>
  <si>
    <t>782.251 SUR s</t>
  </si>
  <si>
    <t>Story Behind The Song - Hyme &amp; Kontemporer</t>
  </si>
  <si>
    <t>Yusak I. Suryana STh</t>
  </si>
  <si>
    <t>YIS Production Jakarta</t>
  </si>
  <si>
    <t>978-979-687-693-8</t>
  </si>
  <si>
    <t>Teologi Perjanjian Lama 2</t>
  </si>
  <si>
    <r>
      <rPr>
        <rFont val="Times New Roman"/>
        <color theme="1"/>
        <sz val="11.0"/>
      </rPr>
      <t xml:space="preserve">DR. Christoph Barth and Marie-Claire Barth-Frommel, </t>
    </r>
    <r>
      <rPr>
        <rFont val="Times New Roman"/>
        <color rgb="FF1155CC"/>
        <sz val="11.0"/>
        <u/>
      </rPr>
      <t>M.TH</t>
    </r>
  </si>
  <si>
    <t>978-979-687-960-1</t>
  </si>
  <si>
    <t>780 MCN s</t>
  </si>
  <si>
    <t>Sejarah Musik 2</t>
  </si>
  <si>
    <t>Rhoderick J. McNeill</t>
  </si>
  <si>
    <t>0-415-18248-4</t>
  </si>
  <si>
    <t>228 PIP a</t>
  </si>
  <si>
    <t>Apocalyptic Bodies</t>
  </si>
  <si>
    <t>Tina Pippin</t>
  </si>
  <si>
    <t>979-3080-07-8</t>
  </si>
  <si>
    <t>230 ENN t2</t>
  </si>
  <si>
    <t>The Moody Handbook of Theology jilid 2</t>
  </si>
  <si>
    <t>226.9 STO k</t>
  </si>
  <si>
    <t>John RW Stott</t>
  </si>
  <si>
    <t>978-623-01-3052-6</t>
  </si>
  <si>
    <t>225 SUD w</t>
  </si>
  <si>
    <t>Werta Apik Ngenani Yesus Kristus (Matius, Markus, Lukas, Yohanes) Bahasa Banyumasan</t>
  </si>
  <si>
    <t>Sudarmanto, S.Pd.K, dkk</t>
  </si>
  <si>
    <t>Penerbit Andi / PASEBAN</t>
  </si>
  <si>
    <t>978-623-01-3053-3</t>
  </si>
  <si>
    <t>227 SUD r</t>
  </si>
  <si>
    <t>Roma, Galatia, 1&amp;2 Timotius, Yakobus, 1,2,3 Yohanes, Yudhas Bahasa Banyumasan</t>
  </si>
  <si>
    <t>978-602-1641-28-6</t>
  </si>
  <si>
    <t>227 SUK b</t>
  </si>
  <si>
    <t>Babade Rasul-Rasul Bahasa Banyumasan</t>
  </si>
  <si>
    <t>Tim Penterjemah Bahasa Banyumas</t>
  </si>
  <si>
    <t>978-1-58983-254-1</t>
  </si>
  <si>
    <t>221.486 TOV t</t>
  </si>
  <si>
    <t>The Greek and Hebrew Bible - Collected Essays on the Septuagint</t>
  </si>
  <si>
    <t>Netherland</t>
  </si>
  <si>
    <t>9-786239-077532</t>
  </si>
  <si>
    <t>920.72 SIN k</t>
  </si>
  <si>
    <t>Keajaiban Badai - Perjalanan Rohani Istri Tentara</t>
  </si>
  <si>
    <t>Roswitha Sinambela</t>
  </si>
  <si>
    <t>Mahkamah Keadilan Indonesia</t>
  </si>
  <si>
    <t>070.482 PAT b</t>
  </si>
  <si>
    <t>The Bible Translator Volume 73 Issue 1 April 2022</t>
  </si>
  <si>
    <t>Marijke de Lang and Andy Warren-Rothlin</t>
  </si>
  <si>
    <t>1-56338-333-0</t>
  </si>
  <si>
    <t>220.12 AIC t</t>
  </si>
  <si>
    <t>The Control of Biblical Meaning: Canon as Semiotic Mechanism</t>
  </si>
  <si>
    <t>George Aichele</t>
  </si>
  <si>
    <t>978-1-54565-811-6</t>
  </si>
  <si>
    <t>220.5 NOS a</t>
  </si>
  <si>
    <t>A Guide to Bible Translation: People, Languages, and Topics</t>
  </si>
  <si>
    <t>9780979-565-932-7</t>
  </si>
  <si>
    <t>910.2 CHE p</t>
  </si>
  <si>
    <t>Peziarah di Bumi: Gereja dan Pariwisata Holistik</t>
  </si>
  <si>
    <t>Dr. Martin Chen &amp; Frans Nala, Lic. Theol</t>
  </si>
  <si>
    <t>220.91 SUM j</t>
  </si>
  <si>
    <t>Jerusalem: Kota Suci &amp; Darah</t>
  </si>
  <si>
    <t>Rev. Nicky J. Sumual</t>
  </si>
  <si>
    <t>978-979-687-197-1</t>
  </si>
  <si>
    <t>238.41 TAP b</t>
  </si>
  <si>
    <t>Buku Konkord: Konfesi Gereja Lutheran</t>
  </si>
  <si>
    <t>Theodore G. Tappert</t>
  </si>
  <si>
    <t>978-602-52243-0-0</t>
  </si>
  <si>
    <t>259.2 BUD d</t>
  </si>
  <si>
    <t>Dinamika Spiritualitas Generasi Muda Kristen Indonesia</t>
  </si>
  <si>
    <t>Bambang Budijanto, Ph.D.</t>
  </si>
  <si>
    <t>Bilangan Research Center</t>
  </si>
  <si>
    <t>978-979-21-2034-9</t>
  </si>
  <si>
    <t>220.950.5 PAN d</t>
  </si>
  <si>
    <t>Dengarkan Ceritaku</t>
  </si>
  <si>
    <t>Panitia Spiritualitas KOPTARI</t>
  </si>
  <si>
    <t>978-1-83973-432-8</t>
  </si>
  <si>
    <t>227.606 SUR t</t>
  </si>
  <si>
    <t>The Universal Eschatological Worship of Jesus Christ in Paul's Letter to the Philippians</t>
  </si>
  <si>
    <t>UK</t>
  </si>
  <si>
    <t>Surif</t>
  </si>
  <si>
    <t>Langham Monographs</t>
  </si>
  <si>
    <t>978-602-208-011-4</t>
  </si>
  <si>
    <t>206.1 DAR p</t>
  </si>
  <si>
    <t>Pemimpin yang Memimpin: Kepemimpinan dalam Perspektif Alkitab</t>
  </si>
  <si>
    <t>Kairos</t>
  </si>
  <si>
    <t>206.1 OCT m</t>
  </si>
  <si>
    <t>Manajemen dan Kepemimpinan Menurut Wahyu Allah</t>
  </si>
  <si>
    <t>Pdt. DR. P. Octavianus</t>
  </si>
  <si>
    <t>YPPII</t>
  </si>
  <si>
    <t>206.1 MAE p</t>
  </si>
  <si>
    <t>Prinsip-Prinsip Dasar Kepemimpinan Kristen</t>
  </si>
  <si>
    <t>Daniel Maedjaja</t>
  </si>
  <si>
    <t>979-421-153-2</t>
  </si>
  <si>
    <t>303.34 KAR p</t>
  </si>
  <si>
    <t>Pemimpin dan Kepemimpinan: Apakah Pemimpin Abnormal Itu?</t>
  </si>
  <si>
    <t>Dra. Kartini Kartono</t>
  </si>
  <si>
    <t>Rajawali</t>
  </si>
  <si>
    <t>979-12-5986-011-8</t>
  </si>
  <si>
    <t>223.706 DIR t</t>
  </si>
  <si>
    <t>The Inexperienced Person and the Journer to Wisdom in the Book of Proverbs</t>
  </si>
  <si>
    <t>Italia</t>
  </si>
  <si>
    <t>Bernardus Dirgaprimawan</t>
  </si>
  <si>
    <t>Pontifical Biblical Institute</t>
  </si>
  <si>
    <t>225.95 TEN s</t>
  </si>
  <si>
    <t>Survei Perjanjian Baru</t>
  </si>
  <si>
    <t>Merrill C. Tenney</t>
  </si>
  <si>
    <t>Penerbit Gandum Mas</t>
  </si>
  <si>
    <t>978-1-59463-440-6</t>
  </si>
  <si>
    <t>248.86 KEL w</t>
  </si>
  <si>
    <t>Walking with God through Pain and Suffering</t>
  </si>
  <si>
    <t>Timothy Keller</t>
  </si>
  <si>
    <t>Riverhead Books</t>
  </si>
  <si>
    <t>Kartu kuning</t>
  </si>
  <si>
    <t>979-8131-23-1</t>
  </si>
  <si>
    <t>238 WIL p</t>
  </si>
  <si>
    <t>Pengakuan Iman Westminster: untuk kelas penelaahan</t>
  </si>
  <si>
    <t>G. I. Williamson</t>
  </si>
  <si>
    <t>Penerbit Momentum</t>
  </si>
  <si>
    <t>978-0-7852-2198-6</t>
  </si>
  <si>
    <t>248.4 STE t</t>
  </si>
  <si>
    <t>The Hole in Our Gospel</t>
  </si>
  <si>
    <t>Richard Stearns</t>
  </si>
  <si>
    <t>978-979-687-937-3</t>
  </si>
  <si>
    <t>252 MUL p</t>
  </si>
  <si>
    <t>Pelita Umat: Ulasan Tafsir Alkitab yang Kritis, Mendalam, dan Menggugah</t>
  </si>
  <si>
    <t>Pdt. Yohanes Bambang Mulyono</t>
  </si>
  <si>
    <t>979-9532-42-6</t>
  </si>
  <si>
    <t>232.9 KIS p</t>
  </si>
  <si>
    <t>Perumpamaan-perumpamaan Yesus</t>
  </si>
  <si>
    <t>Simon J. Kistemaker, Esther Sri Astuti, Wardani Mumpuni, Rahmiati Tanudjaja</t>
  </si>
  <si>
    <t>242 DEN p</t>
  </si>
  <si>
    <t>Perjamuan Tuhan: Studi Mengenai Paskah dan Perjamuan Kudus Bertolak dari Penafsiran dan Teologi Alkitab</t>
  </si>
  <si>
    <t>DR. C.J. Den Heyer, Ny. S.L. Tobing-Kartohadiprojo (Penerjemah)</t>
  </si>
  <si>
    <t>979-26-3566-1</t>
  </si>
  <si>
    <t>251 GRE p</t>
  </si>
  <si>
    <t>Preaching Christ from The Old Testament (Mengkhotbahkan Kristus dari Perjanjian Lama)</t>
  </si>
  <si>
    <t>Sidney Greidanus</t>
  </si>
  <si>
    <t>978-602-8009-03-4</t>
  </si>
  <si>
    <t>220.60 VEN k</t>
  </si>
  <si>
    <t>Kitab Suci untuk Kita</t>
  </si>
  <si>
    <t>Henk Venema</t>
  </si>
  <si>
    <t>979-9428-35-1</t>
  </si>
  <si>
    <t>221.92 WAG r</t>
  </si>
  <si>
    <t>Rasul dan Nabi Dasar dari Gereja</t>
  </si>
  <si>
    <t>0-8028-2384-X</t>
  </si>
  <si>
    <t>232 GOP t</t>
  </si>
  <si>
    <t>Theology of the New Testament Vol. 1: The Ministry of Jesus In Its Theological Significance</t>
  </si>
  <si>
    <t>Leonhard Goppelt</t>
  </si>
  <si>
    <t>Wm. B. Eerdsman Publishing Co.</t>
  </si>
  <si>
    <t>937 SAP b</t>
  </si>
  <si>
    <t>Bangsa Romawi (Spotlights): Menyelidiki dan Memahami Bangsa Romawi Kuno</t>
  </si>
  <si>
    <t>Dr. Lyndon Saputra</t>
  </si>
  <si>
    <t>978-979-687-700</t>
  </si>
  <si>
    <t>263 BUR p</t>
  </si>
  <si>
    <t>Palestina Milik Siapa?: Fakta yang Tidak Diungkapkan kepada Orang Kristen tentang Tanah Perjanjian</t>
  </si>
  <si>
    <t>0-684-15157-X</t>
  </si>
  <si>
    <t>225.6 JER n</t>
  </si>
  <si>
    <t>New Testament Theology</t>
  </si>
  <si>
    <t>Joachim Jeremias, John Bowden (penerjemah)</t>
  </si>
  <si>
    <t>Charsles Scribner's Sons</t>
  </si>
  <si>
    <t>0-8499-0865-5</t>
  </si>
  <si>
    <t>230 HUB s</t>
  </si>
  <si>
    <t>Studies in Old Testament Theology: Historical and Contemporary Images of God and God's People</t>
  </si>
  <si>
    <t>Robert L. Hubbard</t>
  </si>
  <si>
    <t>Word Publishing</t>
  </si>
  <si>
    <t>978-979-081-453-0</t>
  </si>
  <si>
    <t>222 PAR p</t>
  </si>
  <si>
    <t>Pertemuan yang Terlupakan Dilihat dari Sudut Pandang Penyelenggaraan Sejarah Penebusan</t>
  </si>
  <si>
    <t>Korea Selatan</t>
  </si>
  <si>
    <t>Pdt. Abraham Park, D.Min., D.D., Pdt Youn Doo Hee (penerjemah)</t>
  </si>
  <si>
    <t>Grasindo &amp; Yayasan Damai Sejahtera Utama</t>
  </si>
  <si>
    <t>0-8028-3499-X</t>
  </si>
  <si>
    <t>225.7 KAS c</t>
  </si>
  <si>
    <t>Commentary on Romans</t>
  </si>
  <si>
    <t>W. B. Eerdmans Publishing Company</t>
  </si>
  <si>
    <t>978-979-687-394-4</t>
  </si>
  <si>
    <t>232 YAN d</t>
  </si>
  <si>
    <t>Dia Hidup! Dari Awal Ledakan Kepercayaan Kristen</t>
  </si>
  <si>
    <t>221 BAL i</t>
  </si>
  <si>
    <t>Intisari Alkitab: Perjanjian Lama</t>
  </si>
  <si>
    <t>John Balchin, et al., Dra Retnawaty Rimba (penerjemah)</t>
  </si>
  <si>
    <t>Persekutuan Pembaca Alkitab</t>
  </si>
  <si>
    <t>1-85985-137-1</t>
  </si>
  <si>
    <t>225.92 STO m</t>
  </si>
  <si>
    <t>Men with A Message: An Introduction to The New Testament and Its Writers</t>
  </si>
  <si>
    <t>Candle Books</t>
  </si>
  <si>
    <t>220.91 KRA r</t>
  </si>
  <si>
    <t>Rand McNally Bible Atlas</t>
  </si>
  <si>
    <t>Emil G. Kraeling</t>
  </si>
  <si>
    <t>Rand McNally &amp; Company</t>
  </si>
  <si>
    <t>0-85110-684-6</t>
  </si>
  <si>
    <t>226.606 STO t</t>
  </si>
  <si>
    <t>The Message of Acts</t>
  </si>
  <si>
    <t>0-85110-963-2</t>
  </si>
  <si>
    <t>227.5077 STO t</t>
  </si>
  <si>
    <t>The Message of Ephesians</t>
  </si>
  <si>
    <t>0-85110-982-9</t>
  </si>
  <si>
    <t>227.4077 STO t</t>
  </si>
  <si>
    <t>The Message of Galatians</t>
  </si>
  <si>
    <t>0-85111-143-2</t>
  </si>
  <si>
    <t>227.1077 STO t</t>
  </si>
  <si>
    <t>The Message of Romans</t>
  </si>
  <si>
    <t>979-3240-01-6</t>
  </si>
  <si>
    <t>221.6 DRA m1</t>
  </si>
  <si>
    <t>Memahami Perjanjian Lama 1</t>
  </si>
  <si>
    <t>979-3240-02-4</t>
  </si>
  <si>
    <t>221.9 DRA m2</t>
  </si>
  <si>
    <t>Memahami Perjanjian Lama 2</t>
  </si>
  <si>
    <t>979-3240-03-2</t>
  </si>
  <si>
    <t>221.61 DRA m3</t>
  </si>
  <si>
    <t>Memahami Perjanjian Lama 3</t>
  </si>
  <si>
    <t>248.409 THO m</t>
  </si>
  <si>
    <t>Mencari Wajah Allah</t>
  </si>
  <si>
    <t>Gary L. Thomas</t>
  </si>
  <si>
    <t>Apakah Alkitab Benar? Memahami Kebenaran Alkitab Masa Kini</t>
  </si>
  <si>
    <t>David Robert Ord dan Robert B. Coote</t>
  </si>
  <si>
    <t>978-979-709-361-7</t>
  </si>
  <si>
    <t>956.944 KUN j</t>
  </si>
  <si>
    <t>Jerusalem: Kesucian, Konflik, dan Pengadilan Akhir</t>
  </si>
  <si>
    <t>Trias Kuncahyono</t>
  </si>
  <si>
    <t>Penerbit Buku Kompas</t>
  </si>
  <si>
    <t>220.61 STO m</t>
  </si>
  <si>
    <t>Memahami Isi Alkitab</t>
  </si>
  <si>
    <t>979-8131-19-3</t>
  </si>
  <si>
    <t>322.109 KEL m</t>
  </si>
  <si>
    <t>Munculnya Kemerdekaan di Dunia Modern</t>
  </si>
  <si>
    <t>Douglas F. Kelly</t>
  </si>
  <si>
    <t>978-979-22-3945-4</t>
  </si>
  <si>
    <t>232 RAT y</t>
  </si>
  <si>
    <t>Yesus dari Nazaret</t>
  </si>
  <si>
    <t>Joseph Ratzinger (Paus Benediktus XVI)</t>
  </si>
  <si>
    <t>Gramedia Pustaka Utama</t>
  </si>
  <si>
    <t>225 BAL i</t>
  </si>
  <si>
    <t>Intisari Alkitab: Perjanjian Baru</t>
  </si>
  <si>
    <t>212.7  LEA h</t>
  </si>
  <si>
    <t>Hikmat: Janganlah Menghayati Hidup Tanpa Hikmat</t>
  </si>
  <si>
    <t>Larry Lea</t>
  </si>
  <si>
    <t>230 PRI h1</t>
  </si>
  <si>
    <t>Hati yang Tersenyum 1: Belajar dari Ayat-ayat Injil Matius-Markus</t>
  </si>
  <si>
    <t>Y.B. Priyanahadi</t>
  </si>
  <si>
    <t>230 PRI h2</t>
  </si>
  <si>
    <t>Hati yang Tersenyum 2: Belajar dari Ayat-ayat Injil Lukas-Yohanes</t>
  </si>
  <si>
    <t>261.8325 KUY i</t>
  </si>
  <si>
    <t>Abraham Kuyper</t>
  </si>
  <si>
    <t>979-99815-0-6</t>
  </si>
  <si>
    <t>264 SUT l</t>
  </si>
  <si>
    <t>Liturgi Meja Tuhan: Dinamika Perayaan - Pelayanan</t>
  </si>
  <si>
    <t>Ester Sutanto</t>
  </si>
  <si>
    <t>979291104-6</t>
  </si>
  <si>
    <t>248.5 KRIS t</t>
  </si>
  <si>
    <t>Tuhan Yesus Tidak Tidur 2: 120 Renungan Bukti Penyertaan Tuhan pada Masa Kesukaran</t>
  </si>
  <si>
    <t>Purnawan Kristanto</t>
  </si>
  <si>
    <t>Mengapa Harus Salib?: Kumpulan Renungan Tentang Sengsara dan Kebangkitan Yesus Kristus</t>
  </si>
  <si>
    <t>979-8307-03-8</t>
  </si>
  <si>
    <t>232.9635 TON t</t>
  </si>
  <si>
    <t>Tujuh Perkataan Salib</t>
  </si>
  <si>
    <t>Stephen Tong</t>
  </si>
  <si>
    <t>979-687-212-9</t>
  </si>
  <si>
    <t>287 LUM m</t>
  </si>
  <si>
    <t>Model Kepemimpinan Episkopal: Merajut Tradisi Episkopos Gereja dan Worldview Batak Toba sebagai Bangunan Berteologi Kontekstual Pasca John Wesley</t>
  </si>
  <si>
    <t>Pdt. Sahat Martua Lumbantobing</t>
  </si>
  <si>
    <t>979-497-961-9</t>
  </si>
  <si>
    <t>270 BED g</t>
  </si>
  <si>
    <t>Gereja Indonesia Pasca-Vatikan II</t>
  </si>
  <si>
    <t>Marcel Beding, et al.</t>
  </si>
  <si>
    <t>248 YAH t</t>
  </si>
  <si>
    <t>Titik Nol: Saat Seorang Pendeta Tak di Mimbar</t>
  </si>
  <si>
    <t>Ayub Yahya</t>
  </si>
  <si>
    <t>277 MOB c</t>
  </si>
  <si>
    <t>The Church as a Social Institution</t>
  </si>
  <si>
    <t>David O. Moberg</t>
  </si>
  <si>
    <t>Prentice-Hall</t>
  </si>
  <si>
    <t>220.60 FRA b</t>
  </si>
  <si>
    <t>Believe: Living The Story of The Bible to Become Like Jesus</t>
  </si>
  <si>
    <t>Randy Frazee</t>
  </si>
  <si>
    <t>979-8131-05-3</t>
  </si>
  <si>
    <t>230.51092 FRAM c</t>
  </si>
  <si>
    <t>Cornelius Van Til: Suatu Analisis Terhadap Pemikirannya</t>
  </si>
  <si>
    <t>John M. Frame, Irwan Tjulianto (terj.)</t>
  </si>
  <si>
    <t>979-9532-76-0</t>
  </si>
  <si>
    <t>251 TJAN p</t>
  </si>
  <si>
    <t>Persiapan Khotbah yang Praktis</t>
  </si>
  <si>
    <t>235.4 EVA b</t>
  </si>
  <si>
    <t>The Battle Is The Lord's (Tuhanlah yang Berperang)</t>
  </si>
  <si>
    <t>979-26-3536-X</t>
  </si>
  <si>
    <t>248.4 WIE y</t>
  </si>
  <si>
    <t>Yakin di Dalam Kristus: Bagaimana Menjalankan Kehidupan Kristen yang Stabil</t>
  </si>
  <si>
    <t>979-415-593-4</t>
  </si>
  <si>
    <t>251.01 KIL d</t>
  </si>
  <si>
    <t>Dasar-dasar Khotbah</t>
  </si>
  <si>
    <t>John Killinger</t>
  </si>
  <si>
    <t>Gunung Mulia</t>
  </si>
  <si>
    <t>262.1 WOF k</t>
  </si>
  <si>
    <t>Kepemimpinan Kristen yang Mengubahkan</t>
  </si>
  <si>
    <t>Jerry C. Wofford</t>
  </si>
  <si>
    <t>979-763-989-4</t>
  </si>
  <si>
    <t>289.94 TAL s</t>
  </si>
  <si>
    <t>Sejarah Gerakan Pentakosta</t>
  </si>
  <si>
    <t>Steven H. Talumewo</t>
  </si>
  <si>
    <t>Ada &amp; Baru (Juni 2023)</t>
  </si>
  <si>
    <t>978-623-314-041-6</t>
  </si>
  <si>
    <t>225.1 LUT s</t>
  </si>
  <si>
    <t>Sejarah Penyalinan Kitab Suci Perjanjian Baru</t>
  </si>
  <si>
    <t>Christopher Luthy</t>
  </si>
  <si>
    <t>2021</t>
  </si>
  <si>
    <t>978-623-314-046-1</t>
  </si>
  <si>
    <t>962.0 SIT s</t>
  </si>
  <si>
    <t>Sejarah dan Peradaban Mesir Kuno</t>
  </si>
  <si>
    <t>Jonar T.H. Situmorang</t>
  </si>
  <si>
    <t>978-979-29-1870-0</t>
  </si>
  <si>
    <t>220.3 FIS s</t>
  </si>
  <si>
    <t>199 Tokoh, Tempat dan Istilah dalam Alkitab yang Perlu Anda Ketahui</t>
  </si>
  <si>
    <t>Jean Fischer</t>
  </si>
  <si>
    <t>978-623-314-069-0</t>
  </si>
  <si>
    <t>228 HAG a</t>
  </si>
  <si>
    <t>Akhir Zaman: Penganiayaan di Kitab Wahyu</t>
  </si>
  <si>
    <t>978-979-29-3770-1</t>
  </si>
  <si>
    <t>270.02 SIT s</t>
  </si>
  <si>
    <t>Sejarah Gereja Umum</t>
  </si>
  <si>
    <t>978-979-29-5766-9</t>
  </si>
  <si>
    <t>220.63 MAR a</t>
  </si>
  <si>
    <t>Analisis Retoris: Suatu Teknik Studi Hermeneutik terhadap Teks Alkitab</t>
  </si>
  <si>
    <t>Petrus Maryono</t>
  </si>
  <si>
    <t>978-979-29-4839-4</t>
  </si>
  <si>
    <t>220.63 VIR h</t>
  </si>
  <si>
    <t>Hermeneutik: Prinsip-Prinsip dan Proses Interpretasi Alkitabiah</t>
  </si>
  <si>
    <t>Henry A. Virkler &amp; Karelynne Gerber Ayayo</t>
  </si>
  <si>
    <t>978-979-29-7045-6</t>
  </si>
  <si>
    <t>227.10 IBR t</t>
  </si>
  <si>
    <t>Tafsiran Surat Roma</t>
  </si>
  <si>
    <t>David Ibrahim</t>
  </si>
  <si>
    <t>978-623-90897-0-2</t>
  </si>
  <si>
    <t>228 SUB t</t>
  </si>
  <si>
    <t>978-979-29-5660-3</t>
  </si>
  <si>
    <t>262 SIT e</t>
  </si>
  <si>
    <t>Ekklesiologi</t>
  </si>
  <si>
    <t>978-979-29-5716-7</t>
  </si>
  <si>
    <t>254 DAM s</t>
  </si>
  <si>
    <t>Strategic Church</t>
  </si>
  <si>
    <t>Frank Damazio</t>
  </si>
  <si>
    <t>978-623-7519-50-8</t>
  </si>
  <si>
    <t>230 LAB d</t>
  </si>
  <si>
    <t>Dogmatika Kristen</t>
  </si>
  <si>
    <t>978-979-29-4802-8</t>
  </si>
  <si>
    <t>251 PUR k</t>
  </si>
  <si>
    <t>Khotbah Ekspositori yang Berkualitas</t>
  </si>
  <si>
    <t>232 TOD k</t>
  </si>
  <si>
    <t>Kristologi: Tinjauan Berbagai Makna tentang Salib Kristus</t>
  </si>
  <si>
    <t>James H. Todd</t>
  </si>
  <si>
    <t>978-979-29-6637-4</t>
  </si>
  <si>
    <t>221 SIT m</t>
  </si>
  <si>
    <t>Mengenal Dunia Perjanjian Lama</t>
  </si>
  <si>
    <t>978-602-231-405-9</t>
  </si>
  <si>
    <t>284.1 VAN s</t>
  </si>
  <si>
    <t>95 Dalil Martin Luther</t>
  </si>
  <si>
    <t>Th. van den End</t>
  </si>
  <si>
    <t>978-979-415-179-2</t>
  </si>
  <si>
    <t>230.046 BAR p</t>
  </si>
  <si>
    <t>Pengantar ke dalam Teologi Berdasarkan Injil</t>
  </si>
  <si>
    <t>Karl Barth</t>
  </si>
  <si>
    <t>978-602-231-851-4</t>
  </si>
  <si>
    <t>228 HAK k</t>
  </si>
  <si>
    <t>Kitab Wahyu Pasal 1-13</t>
  </si>
  <si>
    <t>Samuel B. Hakh</t>
  </si>
  <si>
    <t>978-602-231-516</t>
  </si>
  <si>
    <t>227.80 DRE s</t>
  </si>
  <si>
    <t>Surat 1-2 Tesalonika</t>
  </si>
  <si>
    <t>Barend F. Drewes</t>
  </si>
  <si>
    <t>284.2 BAT e</t>
  </si>
  <si>
    <t>Ecclesia Reformata Semper Reformanda: Dua Belas Tulisan tentang Calvin dan Calvinisme</t>
  </si>
  <si>
    <t>978-602-231-693-0</t>
  </si>
  <si>
    <t>230.01 SET t</t>
  </si>
  <si>
    <t>Teks dan Konteks Teologi Lintas Budaya</t>
  </si>
  <si>
    <t>Robert Setio, et al.</t>
  </si>
  <si>
    <t>978-602-231-323-6</t>
  </si>
  <si>
    <t>260 ARU d</t>
  </si>
  <si>
    <t>Dari Disabilitas ke Penebusan</t>
  </si>
  <si>
    <t>Ronald Arulangi, et al.</t>
  </si>
  <si>
    <t>1-57683-196-5</t>
  </si>
  <si>
    <t>222.105209 PET o</t>
  </si>
  <si>
    <t>The Old Testament books of Moses</t>
  </si>
  <si>
    <t>Eugene H. Peterson</t>
  </si>
  <si>
    <t>Navpress</t>
  </si>
  <si>
    <t>979-687-290-0</t>
  </si>
  <si>
    <t>252 DAU f</t>
  </si>
  <si>
    <t>Firman Hidup 64</t>
  </si>
  <si>
    <t>979-21-1050-X</t>
  </si>
  <si>
    <t>270.92 SUH</t>
  </si>
  <si>
    <t xml:space="preserve">Gereja : Komunitas Pengharapan </t>
  </si>
  <si>
    <t>Mgr. I. Suharyo, Pr</t>
  </si>
  <si>
    <t xml:space="preserve">R. Perpustakaan </t>
  </si>
  <si>
    <t>Gereja Yesus Benar Kidung Rohani Not angka Paduam Empat Suara</t>
  </si>
  <si>
    <t xml:space="preserve">          </t>
  </si>
  <si>
    <t>248.4 TEL</t>
  </si>
  <si>
    <t>Yesus Sahabatku &amp; Teladanku</t>
  </si>
  <si>
    <t>242 LUC</t>
  </si>
  <si>
    <t xml:space="preserve">Traveling Light </t>
  </si>
  <si>
    <t>214 GER</t>
  </si>
  <si>
    <t>Heart to Heart Evangelization, Membangun Jembatan-jembatan antara Pewartaan dan Keadilan</t>
  </si>
  <si>
    <t>Hamran Amrie</t>
  </si>
  <si>
    <t>VI. C.1.6 II</t>
  </si>
  <si>
    <t xml:space="preserve">Der Romer Brief : Ubersetzt Und Erklart von Otto Kuss </t>
  </si>
  <si>
    <t>Verlag Friedrich Pustet Regensburg</t>
  </si>
  <si>
    <t>Trans.PF 5997. s8 H4613</t>
  </si>
  <si>
    <t>German Student Jargon in the Eighteenth and Nineteenth Centuries</t>
  </si>
  <si>
    <t>Henne &amp; Objartel</t>
  </si>
  <si>
    <t xml:space="preserve">Walter de Gruyter </t>
  </si>
  <si>
    <t xml:space="preserve">Trans.PF 3361.H43 </t>
  </si>
  <si>
    <t xml:space="preserve"> Theorie der deutschen Syntax (Linguistische Reihe 1)</t>
  </si>
  <si>
    <t>Hans-Jurgen Heringer</t>
  </si>
  <si>
    <t xml:space="preserve">Max Hueber Verlag Munchen </t>
  </si>
  <si>
    <t xml:space="preserve">Trans. PE 161. K8 </t>
  </si>
  <si>
    <t>Die Verwendung der Feindseligkeitsbezeichnungen in der altenglischen Dichtersprache</t>
  </si>
  <si>
    <t>Wolfgang Kuhlwein</t>
  </si>
  <si>
    <t>Karl Wachholtz Verlag Neumunster</t>
  </si>
  <si>
    <t xml:space="preserve">Trans. BV 4319. B 26 </t>
  </si>
  <si>
    <t xml:space="preserve">Theologische Modelle der Kommunikation </t>
  </si>
  <si>
    <t xml:space="preserve">Gutersloher Verlagshaus </t>
  </si>
  <si>
    <t>Trans PF. 3611.W3</t>
  </si>
  <si>
    <t>Berichte Des Institute Fur Buchmarkt-Forscung</t>
  </si>
  <si>
    <t>Dr. Gerhard Wahrig</t>
  </si>
  <si>
    <t xml:space="preserve">Verlag Fur Buchmarkt- Forschung </t>
  </si>
  <si>
    <t xml:space="preserve">KOS </t>
  </si>
  <si>
    <t>Tiga Orang pengembara</t>
  </si>
  <si>
    <t>Ade Kosmaya; Wilson Nadeak dan Pesu Aftarudin</t>
  </si>
  <si>
    <t>Yayasan Pustaka WINA</t>
  </si>
  <si>
    <t>I C3 Kh 2b</t>
  </si>
  <si>
    <t>Firman Allah yang Hidup (Perjanjian Baru dalam Bahasa Sehari-hari)+</t>
  </si>
  <si>
    <t>Living Bibles International</t>
  </si>
  <si>
    <t>978-979-687-935-9</t>
  </si>
  <si>
    <t xml:space="preserve">992.4 ALE </t>
  </si>
  <si>
    <t>Hudson Taylor (Misonaris yang Memenangkan Suatu Bangsa Melalui Doa)</t>
  </si>
  <si>
    <t>Santoso Sri Buwono</t>
  </si>
  <si>
    <t>0-920479-12-X</t>
  </si>
  <si>
    <t xml:space="preserve">972.81 DAH </t>
  </si>
  <si>
    <t>Burgess of Guatemala</t>
  </si>
  <si>
    <t>Anna Marie Dahlquist</t>
  </si>
  <si>
    <t>cedar books</t>
  </si>
  <si>
    <t>979-415-634-5</t>
  </si>
  <si>
    <t>956.95 JAG</t>
  </si>
  <si>
    <t>Dari Aleksander Agung Sampai Bar Kokhba (Sejarah Israel dari ±330 SM - 135M</t>
  </si>
  <si>
    <t>Prof. Dr. H. Jagersma</t>
  </si>
  <si>
    <t>1-57506-070-1</t>
  </si>
  <si>
    <t>956.94'903 MAG</t>
  </si>
  <si>
    <t>The Archaelogy of The Early Islamic Settlement in Palestine</t>
  </si>
  <si>
    <t>0-86318-625-4</t>
  </si>
  <si>
    <t>956.94 TUB</t>
  </si>
  <si>
    <t>Bible Lands</t>
  </si>
  <si>
    <t>Jonathan N. Tubb</t>
  </si>
  <si>
    <t>Dorling Kindersley</t>
  </si>
  <si>
    <t>939.48 PET</t>
  </si>
  <si>
    <t>All Petra A Wonderland of The Past</t>
  </si>
  <si>
    <t>Al- Ulama</t>
  </si>
  <si>
    <t>965-280-074-0</t>
  </si>
  <si>
    <t>939.48 MOS</t>
  </si>
  <si>
    <t>The Zealots of Masada</t>
  </si>
  <si>
    <t>Moshe Pearlman</t>
  </si>
  <si>
    <t>0-19-515696-x</t>
  </si>
  <si>
    <t>938 ROB</t>
  </si>
  <si>
    <t>The Ancient Greek Word</t>
  </si>
  <si>
    <t>Jennifer T. Roberts &amp; Tracy Barrett</t>
  </si>
  <si>
    <t>0-19-515380-4</t>
  </si>
  <si>
    <t>937 MEL</t>
  </si>
  <si>
    <t>The Ancient Roman Word</t>
  </si>
  <si>
    <t>Ronald Mellor &amp; Marni Mcgee</t>
  </si>
  <si>
    <t>0-415-25317-9</t>
  </si>
  <si>
    <t>935.001 MAT</t>
  </si>
  <si>
    <t>The Archaeology of Mesopotamia</t>
  </si>
  <si>
    <t>Roger Matthews</t>
  </si>
  <si>
    <t>979-413-950-5</t>
  </si>
  <si>
    <t xml:space="preserve">933.01 SUH </t>
  </si>
  <si>
    <t>Mengenal Alam Hidup Perjanjian Lama</t>
  </si>
  <si>
    <t>I. Suharyo Pr.</t>
  </si>
  <si>
    <t>88-7009-258-5</t>
  </si>
  <si>
    <t>933.01 MAG</t>
  </si>
  <si>
    <t>The Golden Book Israel</t>
  </si>
  <si>
    <t>Giovanna Magi</t>
  </si>
  <si>
    <t>Bonechi &amp; Steimatzky</t>
  </si>
  <si>
    <t>9-652-80084-8</t>
  </si>
  <si>
    <t>933.01 AVI</t>
  </si>
  <si>
    <t>Pictorial Guide to The Model of Ancient Jerusalem</t>
  </si>
  <si>
    <t>Michael Avi-Yonah</t>
  </si>
  <si>
    <t>88-8029-441-5</t>
  </si>
  <si>
    <t>933.01 ART</t>
  </si>
  <si>
    <t>Art and history of Jerusalem</t>
  </si>
  <si>
    <t>933 VAU</t>
  </si>
  <si>
    <t>Ancient Israel Volume 1</t>
  </si>
  <si>
    <t>Roland de Vaux</t>
  </si>
  <si>
    <t>McGraw-Hill Book</t>
  </si>
  <si>
    <t>0-415-08993-x</t>
  </si>
  <si>
    <t>930 HOW</t>
  </si>
  <si>
    <t>Ancient History from Coins</t>
  </si>
  <si>
    <t>Christopher Howgego</t>
  </si>
  <si>
    <t>0-691-00209-6</t>
  </si>
  <si>
    <t>930 ANC</t>
  </si>
  <si>
    <t>The Ancient Near East Volume II</t>
  </si>
  <si>
    <t>James B. Pritchard (E)</t>
  </si>
  <si>
    <t>Princeton University</t>
  </si>
  <si>
    <t>979-415-853-4</t>
  </si>
  <si>
    <t xml:space="preserve">923.7 MUL </t>
  </si>
  <si>
    <t>Mulai Dari Musa dan Segala Nabi (Beginning With Moses and All The Prophets)</t>
  </si>
  <si>
    <t xml:space="preserve">Dr. Andar Ismail </t>
  </si>
  <si>
    <t xml:space="preserve">922.3 ABI </t>
  </si>
  <si>
    <t>Karl Barth (Hidup, Pekerjaan dan Teologianya)</t>
  </si>
  <si>
    <t>979-415-431-8</t>
  </si>
  <si>
    <t>Hidup, Pekerjaan dan Theologianya</t>
  </si>
  <si>
    <t>979-444-410-3</t>
  </si>
  <si>
    <t xml:space="preserve">920.1 PRA k </t>
  </si>
  <si>
    <t xml:space="preserve">Kiprah, Peran dan Pemikiran </t>
  </si>
  <si>
    <t>Radius Prawiro</t>
  </si>
  <si>
    <t>Pustaka Utama Grafiti</t>
  </si>
  <si>
    <t xml:space="preserve">920.008 WOR </t>
  </si>
  <si>
    <t>The Life Of David Living stone</t>
  </si>
  <si>
    <t>Mrs. J.H Worcester, Jr.</t>
  </si>
  <si>
    <t>978-979-21-2100-1</t>
  </si>
  <si>
    <t xml:space="preserve">920.008 SUH </t>
  </si>
  <si>
    <t>Menjadi Manusia Dewasa</t>
  </si>
  <si>
    <t>Mgr. I. Suharyo</t>
  </si>
  <si>
    <t>979-416-302-3</t>
  </si>
  <si>
    <t xml:space="preserve">920.008 SET </t>
  </si>
  <si>
    <t>Setelah Fajar Merekah</t>
  </si>
  <si>
    <t>Ds. W.J. Rumambi</t>
  </si>
  <si>
    <t>920.008 PEN</t>
  </si>
  <si>
    <t>Penatalayan Yang Baik</t>
  </si>
  <si>
    <t>Pdt. W. Lumban Tobing</t>
  </si>
  <si>
    <t>920.008 LEA</t>
  </si>
  <si>
    <t>Leaving Living Legacy (Journeys of Faithfulness &amp; Providence</t>
  </si>
  <si>
    <t xml:space="preserve">Lee Soo Ann &amp; Lee Soo Jin </t>
  </si>
  <si>
    <t>The Bible Society of Singapaore.</t>
  </si>
  <si>
    <t>920.008 JAM</t>
  </si>
  <si>
    <t>Uncle Cam</t>
  </si>
  <si>
    <t>James &amp; Marti Hefley</t>
  </si>
  <si>
    <t>Word</t>
  </si>
  <si>
    <t xml:space="preserve">912 ATS </t>
  </si>
  <si>
    <t xml:space="preserve">Atlas (Ilmu Pengetaguan Sosial) Indonesia &amp; Dunia </t>
  </si>
  <si>
    <t xml:space="preserve">Drs. Imam Suhardiman </t>
  </si>
  <si>
    <t xml:space="preserve">Indo Prima </t>
  </si>
  <si>
    <t>0-06-181883-6</t>
  </si>
  <si>
    <t>912 ATS</t>
  </si>
  <si>
    <t xml:space="preserve">The Harper Atlas of The Bible </t>
  </si>
  <si>
    <t xml:space="preserve">James B. Pritchard </t>
  </si>
  <si>
    <t>44-1000222</t>
  </si>
  <si>
    <t xml:space="preserve">Atlas of the Bible index and chronological table </t>
  </si>
  <si>
    <t xml:space="preserve">Carta Jerusalem </t>
  </si>
  <si>
    <t>911 POE K</t>
  </si>
  <si>
    <t>Kerajaan Mori Sejarah dari Sulawesi Tengah</t>
  </si>
  <si>
    <t>Edward L. Poelinggomang</t>
  </si>
  <si>
    <t>965-220-502-8</t>
  </si>
  <si>
    <t>911 AVI</t>
  </si>
  <si>
    <t>The Holy Land A Historical Geography</t>
  </si>
  <si>
    <t>978-602-97190-1-7</t>
  </si>
  <si>
    <t>909.04 SAI r</t>
  </si>
  <si>
    <t>Riwayat Tanjung Priok dan tempat-tempat Lama di Jakarta</t>
  </si>
  <si>
    <t>Ridwan Saidi</t>
  </si>
  <si>
    <t>Perkumpulan Renaissance Indonesia</t>
  </si>
  <si>
    <t>0-292-77628-4</t>
  </si>
  <si>
    <t>898.3 HAR s</t>
  </si>
  <si>
    <t>Signs, Songs, and Memory in the Andes: Translating Quechua Language and Culture</t>
  </si>
  <si>
    <t>Regina Harrison</t>
  </si>
  <si>
    <t>University of Texas Press</t>
  </si>
  <si>
    <t>90-04-05807-9</t>
  </si>
  <si>
    <t>893.2 FUT</t>
  </si>
  <si>
    <t>The Future of Coptic Studies</t>
  </si>
  <si>
    <t>R. Mcl. Wilson (E)</t>
  </si>
  <si>
    <t>979-9342-52-X</t>
  </si>
  <si>
    <t xml:space="preserve">813 WEL </t>
  </si>
  <si>
    <t>Billy Graham Penginjil Besar</t>
  </si>
  <si>
    <t>0-8028-4919-9</t>
  </si>
  <si>
    <t xml:space="preserve">809.93522 MAR </t>
  </si>
  <si>
    <t>Making Sense of the Bible: Literary Type as an Approach to Understanding</t>
  </si>
  <si>
    <t>Marshall D. Johnson</t>
  </si>
  <si>
    <t>0-674-22002-1</t>
  </si>
  <si>
    <t>808.6 WIL e</t>
  </si>
  <si>
    <t>Early Christian Rhetoric: The Language of the Gospel</t>
  </si>
  <si>
    <t>Amos N. Wilder</t>
  </si>
  <si>
    <t xml:space="preserve">808.6 MOD </t>
  </si>
  <si>
    <t>Modernisasi dan Pelestarian: Perkembangan Metode dan Teknik Penulisan Aksara Bali</t>
  </si>
  <si>
    <t>I.B. Made Suasta</t>
  </si>
  <si>
    <t>Proyek Pengkajian dan Pembinaan Nilai-nilai Budaya Direktorat Sejarah dan Nilai Tradisional Direktorat Jenderal Kebudayaan Departemen Pendidikan dan Kebudayaan RI Jakarta</t>
  </si>
  <si>
    <t>979-9290-89-9</t>
  </si>
  <si>
    <t xml:space="preserve">808.1 UKU </t>
  </si>
  <si>
    <t>Wajah Cinta (Kumpulan Puisi)</t>
  </si>
  <si>
    <t xml:space="preserve">Dr. Fridolin Ukur </t>
  </si>
  <si>
    <t>978-979-99896-1-1</t>
  </si>
  <si>
    <t>808.1 TJA</t>
  </si>
  <si>
    <t>Teriakan Suara Hati (Puisi Reflektif Aktual tentang Handicapped)</t>
  </si>
  <si>
    <t>Erick Yusanto Tjandra</t>
  </si>
  <si>
    <t>978-979-687-637-2</t>
  </si>
  <si>
    <t xml:space="preserve">808.1 FOK </t>
  </si>
  <si>
    <t>Menemukan Makna Pusi Alkitab (Penuntun Membaca Puisi Alkitab sebagai Karya Sastra)</t>
  </si>
  <si>
    <t>Dr. Jan Fokkelman</t>
  </si>
  <si>
    <t>808.1 ALI l</t>
  </si>
  <si>
    <t>Lajar Terkembang (Tjetakan Keenam)</t>
  </si>
  <si>
    <t>S. Takdir Alisjahbana</t>
  </si>
  <si>
    <t xml:space="preserve">Dinas Penerbitan Balai Pustaka, Djakarta </t>
  </si>
  <si>
    <t>808.066 JON t</t>
  </si>
  <si>
    <t>Theme in English Expository Discourse</t>
  </si>
  <si>
    <t>Linda Kay Jones</t>
  </si>
  <si>
    <t xml:space="preserve">808.04 NID </t>
  </si>
  <si>
    <t>978-0226-816272</t>
  </si>
  <si>
    <t>808.02 TUR a</t>
  </si>
  <si>
    <t>A Manual for Writers of Term Papers, Theses, and Dissertations (Sixth Edition)</t>
  </si>
  <si>
    <t>Kate L. Turabian</t>
  </si>
  <si>
    <t>1-56282-988-2</t>
  </si>
  <si>
    <t xml:space="preserve">808 ROS </t>
  </si>
  <si>
    <t>A Poet's Bible: Redicovering The Voices of The Original Text</t>
  </si>
  <si>
    <t>David Rosenberg</t>
  </si>
  <si>
    <t>0-936534-04-4</t>
  </si>
  <si>
    <t>808 REI y</t>
  </si>
  <si>
    <t>Your Thwarts in Pieces Your Mooring Rope Cut: Poetry from Babylonia and Assyria</t>
  </si>
  <si>
    <t>Erica reiner</t>
  </si>
  <si>
    <t>808 BUN</t>
  </si>
  <si>
    <t>Anthology of ASEAN Literatures Oral Literature of Indonesia (Bunga Rampai Sastra-Sastra Lisan Indonesia)</t>
  </si>
  <si>
    <t>Subagio Sastrowardoyo; Sapardi Djoko Damono; A. Kasim Achmad</t>
  </si>
  <si>
    <t>Diterbitkan dengan bantuan The ASEAN Commitment dibantu oleh diteribitkan on Cultue and Information)</t>
  </si>
  <si>
    <t>0-8028-4477-4</t>
  </si>
  <si>
    <t>780.933 BRA  m</t>
  </si>
  <si>
    <t>Music in Ancient Israel/Palestina</t>
  </si>
  <si>
    <t>Joachim Braun</t>
  </si>
  <si>
    <t xml:space="preserve">726.5 HEU </t>
  </si>
  <si>
    <t xml:space="preserve">Gereja-Gereja tua di Jakarta </t>
  </si>
  <si>
    <t>Adolf Heuken SJ</t>
  </si>
  <si>
    <t>978-979-15107-6-9</t>
  </si>
  <si>
    <t xml:space="preserve">719.32 WOR </t>
  </si>
  <si>
    <t>World Heritage Nature &amp; Culture (Under The Protection of UNESCO) : Asia Tengah &amp; Asia Selatan/ Volume 3</t>
  </si>
  <si>
    <t>Agus Santosa (Editor)</t>
  </si>
  <si>
    <t>Batara Publishing</t>
  </si>
  <si>
    <t>704.948 TAK</t>
  </si>
  <si>
    <t>Christian Art in Asia</t>
  </si>
  <si>
    <t>Masao Takenaka</t>
  </si>
  <si>
    <t>Nissha Printinng</t>
  </si>
  <si>
    <t xml:space="preserve">701.92DUR </t>
  </si>
  <si>
    <t>Our Stories, Our Faith</t>
  </si>
  <si>
    <t xml:space="preserve">Hope S. Antone dan Yong Ting Jin </t>
  </si>
  <si>
    <t>World Student Christian Federation</t>
  </si>
  <si>
    <t>701.82  OUR</t>
  </si>
  <si>
    <t>Our Stories Our Faith</t>
  </si>
  <si>
    <t xml:space="preserve">681.61 LIN </t>
  </si>
  <si>
    <t>Type Handbook Schriftenhandbuch Catalogue de Caracteres</t>
  </si>
  <si>
    <t>Linotype Limited</t>
  </si>
  <si>
    <t xml:space="preserve">613 KAN </t>
  </si>
  <si>
    <t>Kesehatan Dalam Kehidupan Kristen</t>
  </si>
  <si>
    <t>Louise Abuthan Kandau</t>
  </si>
  <si>
    <t>965-280-071-6</t>
  </si>
  <si>
    <t>551.467 WON</t>
  </si>
  <si>
    <t>Wonder of The Red Sea</t>
  </si>
  <si>
    <t>David Fridman &amp; Tony Malqvist</t>
  </si>
  <si>
    <t xml:space="preserve">499.284 H 38 </t>
  </si>
  <si>
    <t>Yale University Publications In Anthropology: The Phonology and Morphology of Ulu Muar Malay</t>
  </si>
  <si>
    <t>Rufus S. Hendon</t>
  </si>
  <si>
    <t>Department of Anthropology Yale University</t>
  </si>
  <si>
    <t xml:space="preserve">499.226 LAN </t>
  </si>
  <si>
    <t>Languages of Central Sulawesi</t>
  </si>
  <si>
    <t>Donald F. Barr &amp; Sharon G. Barr</t>
  </si>
  <si>
    <t xml:space="preserve"> -</t>
  </si>
  <si>
    <t>499.2253 D.65</t>
  </si>
  <si>
    <t>Pelajaran Bahasa Indonesia-Tetun</t>
  </si>
  <si>
    <t>P.J. Serantes &amp; I. H. Doko</t>
  </si>
  <si>
    <t xml:space="preserve">Ganaco N.V. </t>
  </si>
  <si>
    <t>499.2253  D65</t>
  </si>
  <si>
    <t>Percakapan Sehari-hari Tetun-Indonesia (Pelajaran Bahasa)</t>
  </si>
  <si>
    <t>Ganaco N.V.</t>
  </si>
  <si>
    <t>499.221 K45.5 c.1</t>
  </si>
  <si>
    <t xml:space="preserve">499.221 BAH </t>
  </si>
  <si>
    <t>Bahasa dan Sastra Indonesia</t>
  </si>
  <si>
    <t>Dr. T. Fatimah Djajasudarma &amp; Drs. Wilson Nadeak</t>
  </si>
  <si>
    <t>HPBI Bandung &amp; Yayasan Pustaka Wina</t>
  </si>
  <si>
    <t>0-8264-6841-1</t>
  </si>
  <si>
    <t>492.45 BIB</t>
  </si>
  <si>
    <t>Biblical Hebrew Studies in Chronology and Typology</t>
  </si>
  <si>
    <t>Ian Young €</t>
  </si>
  <si>
    <t>1-57506-036-1</t>
  </si>
  <si>
    <t>492.4 VER</t>
  </si>
  <si>
    <t>The Verbless Clause in Biblical Hebrew</t>
  </si>
  <si>
    <t>Cynthia L. Miller (E)</t>
  </si>
  <si>
    <t>0-8122-7927-1</t>
  </si>
  <si>
    <t xml:space="preserve">492 GAR </t>
  </si>
  <si>
    <t xml:space="preserve">Dialect Geography of Syria-Palestine, 1000-586 B.C.E. </t>
  </si>
  <si>
    <t xml:space="preserve">W. Randall Garr </t>
  </si>
  <si>
    <t>University of Pennsylvania Press</t>
  </si>
  <si>
    <t>492 GAR</t>
  </si>
  <si>
    <t>Dialect Geography of Syria-Palestine, 1000-586</t>
  </si>
  <si>
    <t>W.  Randall Garr</t>
  </si>
  <si>
    <t>University of Pennsylvania</t>
  </si>
  <si>
    <t xml:space="preserve">487.4 ZER </t>
  </si>
  <si>
    <t>Joseph Smith S.J.</t>
  </si>
  <si>
    <t>s</t>
  </si>
  <si>
    <t>487.4 PER</t>
  </si>
  <si>
    <t>The New Analytical Greek Lexicon</t>
  </si>
  <si>
    <t>Theologi</t>
  </si>
  <si>
    <t>Wesley J</t>
  </si>
  <si>
    <t>UBS Translation Library</t>
  </si>
  <si>
    <t xml:space="preserve">487.4 MOU </t>
  </si>
  <si>
    <t>Basics of Biblical Greek Grammar (Third Edition)</t>
  </si>
  <si>
    <t>0-8028-2216-9</t>
  </si>
  <si>
    <t>487.4 BIB</t>
  </si>
  <si>
    <t>Biblical Greek Language and Lexicography</t>
  </si>
  <si>
    <t>Essays in Honor of Frederick W. Danker</t>
  </si>
  <si>
    <t>430 Nov</t>
  </si>
  <si>
    <t>Nestle &amp; Aland</t>
  </si>
  <si>
    <t>419 HAI h</t>
  </si>
  <si>
    <t>Haider's Guide To Structural Linguistics</t>
  </si>
  <si>
    <t>Norman L. Haider</t>
  </si>
  <si>
    <t>Phillips-Campbell Publishing Co., INC.</t>
  </si>
  <si>
    <t>0-521-29556-4</t>
  </si>
  <si>
    <t xml:space="preserve">419 ELL </t>
  </si>
  <si>
    <t>Child Language</t>
  </si>
  <si>
    <t>Alisaon J. Elliot</t>
  </si>
  <si>
    <t xml:space="preserve">419 CON </t>
  </si>
  <si>
    <t>Content, Style, and Format (Guidelines for Authors and Adapters of UBS Handbooks)</t>
  </si>
  <si>
    <t>418.4 OLD</t>
  </si>
  <si>
    <t>Helps For Translator, Old Testament Quotations in the New Testament</t>
  </si>
  <si>
    <t xml:space="preserve">418.4 NID </t>
  </si>
  <si>
    <t>Signs Sense Translation</t>
  </si>
  <si>
    <t>88-8049-294-2</t>
  </si>
  <si>
    <t xml:space="preserve">418.08 GUA </t>
  </si>
  <si>
    <t xml:space="preserve">Similarity and Difference in Translation </t>
  </si>
  <si>
    <t>Stefano Arduini dan Robert Hodgson Jr.</t>
  </si>
  <si>
    <t xml:space="preserve">Guaraldi Rimini </t>
  </si>
  <si>
    <t xml:space="preserve">418.02 SEC </t>
  </si>
  <si>
    <t>Section Headings and Reference System for The Bible</t>
  </si>
  <si>
    <t>0-129-8844</t>
  </si>
  <si>
    <t xml:space="preserve">418.02 PAP </t>
  </si>
  <si>
    <t>Papers on Translation : Aspects, Concepts, Implications</t>
  </si>
  <si>
    <t>Franz Eppert</t>
  </si>
  <si>
    <t>Seameo Regional Language Centre</t>
  </si>
  <si>
    <t xml:space="preserve">Translator's Commentary on Selected Passages </t>
  </si>
  <si>
    <t>Theory &amp; Practice of Translation (Nida-Taber)</t>
  </si>
  <si>
    <t>418.02 HEL</t>
  </si>
  <si>
    <t>A Translator's Handbook on The Gospel of Luke</t>
  </si>
  <si>
    <t>J. Reiling and J. L. Swellengrebel</t>
  </si>
  <si>
    <t>418.02 H36</t>
  </si>
  <si>
    <t>Section Headings and Reference System for The Bible (volume IV Part 3 Short Reference System)</t>
  </si>
  <si>
    <t>418.02 CLU</t>
  </si>
  <si>
    <t xml:space="preserve">Translators Revived a Biographical Memoir of The Authors of The English Version of the   BIBLE   </t>
  </si>
  <si>
    <t>Republications Post Office Box, Mobile, Alabma 36660</t>
  </si>
  <si>
    <t>418.02 B.23</t>
  </si>
  <si>
    <t>Plants and Animanls of the Bible</t>
  </si>
  <si>
    <t>0-8010-6190-3</t>
  </si>
  <si>
    <t>418 MOR H</t>
  </si>
  <si>
    <t>Handbook for Bible Teachers and Preachers</t>
  </si>
  <si>
    <t>G. Campbell Morgan</t>
  </si>
  <si>
    <t>978-979-91-0214-0</t>
  </si>
  <si>
    <t>417.7 CHA s</t>
  </si>
  <si>
    <t>Sadur (Sejarah Terjemahan di Indonesia dan Malaysia)</t>
  </si>
  <si>
    <t>Henri Chambert-Loir</t>
  </si>
  <si>
    <t xml:space="preserve">415 PAR </t>
  </si>
  <si>
    <t>Pengantar Linguistik Umum (Bidang Sintaksis) Seri B</t>
  </si>
  <si>
    <t xml:space="preserve">415 P21 v.1 </t>
  </si>
  <si>
    <r>
      <rPr>
        <rFont val="Calibri"/>
        <color theme="1"/>
        <sz val="9.0"/>
      </rPr>
      <t xml:space="preserve">Pengantar Linguistik Umum: Kisah Zaman </t>
    </r>
    <r>
      <rPr>
        <rFont val="Calibri"/>
        <i/>
        <color theme="1"/>
        <sz val="9.0"/>
      </rPr>
      <t>Seri A</t>
    </r>
  </si>
  <si>
    <t xml:space="preserve">Nusa Indah </t>
  </si>
  <si>
    <t xml:space="preserve">415 MAG </t>
  </si>
  <si>
    <t xml:space="preserve">Indonesian Reference Grammar </t>
  </si>
  <si>
    <t>Macdonald dan Soenjono</t>
  </si>
  <si>
    <t>978-0-913573-03-7</t>
  </si>
  <si>
    <t xml:space="preserve">413.492.4 ANA </t>
  </si>
  <si>
    <t>The Analytical Hebrew and Chaldee Lexicon</t>
  </si>
  <si>
    <t>Benjamin Davidson</t>
  </si>
  <si>
    <t>978-022-603-933-6</t>
  </si>
  <si>
    <t>413.48 BAU</t>
  </si>
  <si>
    <t xml:space="preserve">A Greek - English Lexicon of The NT and Other Early Christian Literature Thrid Edition </t>
  </si>
  <si>
    <t>Walter Bauer's</t>
  </si>
  <si>
    <t>University Of Chicago Press</t>
  </si>
  <si>
    <t xml:space="preserve">A Greek - English Lexicon of The NT and Other Early Christian Literature Scond dition </t>
  </si>
  <si>
    <t>413.029 BUL</t>
  </si>
  <si>
    <t>A Critical Lexicon and Concordance to The English and Greek New Testament</t>
  </si>
  <si>
    <t>Ethelbert W. Bullinger, D.D.</t>
  </si>
  <si>
    <t>413.028 BRO  n</t>
  </si>
  <si>
    <t>The New Brown-Driver-Briggs-Gesenius</t>
  </si>
  <si>
    <t>Francis Brown, D.D., D. Litt.</t>
  </si>
  <si>
    <t>Lafayette</t>
  </si>
  <si>
    <t>0-913573-20-5</t>
  </si>
  <si>
    <t>413.028 BRO</t>
  </si>
  <si>
    <t>The New Brown - Driver - Briggs - Gesenius, Hebrew And English Lexicon</t>
  </si>
  <si>
    <t>Francis Brown, D.D, D. Liu</t>
  </si>
  <si>
    <t xml:space="preserve">412.08 ASI </t>
  </si>
  <si>
    <t>5 Th Asian Translators Forum (Translation and Cultural Dialogue)</t>
  </si>
  <si>
    <t>Federation Internationale des Traducteurs</t>
  </si>
  <si>
    <t>Himpunan Penerjemah Indonesia</t>
  </si>
  <si>
    <t>978-979-687-319-7</t>
  </si>
  <si>
    <t xml:space="preserve">411 HOR </t>
  </si>
  <si>
    <t>Menjadi Penulis (Membina Jmeaat yang Menulis)</t>
  </si>
  <si>
    <t>Marion van Horne</t>
  </si>
  <si>
    <t xml:space="preserve">410 POR </t>
  </si>
  <si>
    <t>Sociolinguistuc (Goals, Approaches and Problems)</t>
  </si>
  <si>
    <t xml:space="preserve">410 PED </t>
  </si>
  <si>
    <t>LINGUAPHONE (English Course Spoken Exercises/ Buku Petunjuk Belajar)</t>
  </si>
  <si>
    <t>Sociolinguistics</t>
  </si>
  <si>
    <t>R. A. Hudson</t>
  </si>
  <si>
    <t xml:space="preserve">410 GRA </t>
  </si>
  <si>
    <t>Cent Pages sur la linguistique et l'enseignement du francais aux etragers</t>
  </si>
  <si>
    <t>409.9922 S1 I</t>
  </si>
  <si>
    <t>Asal Bangsa dan Bahasa Nusantara</t>
  </si>
  <si>
    <t>Melayu-Indonesia</t>
  </si>
  <si>
    <t>Prof. Dr. Slametmuljana</t>
  </si>
  <si>
    <t xml:space="preserve">370.15 SEA </t>
  </si>
  <si>
    <t>Kesembuhan Emosi (Mendaur Ulang Luka-Luka Batin Anda Sehingga Hidup Anda Kembali Utuh)</t>
  </si>
  <si>
    <t>979-413-982-3</t>
  </si>
  <si>
    <t xml:space="preserve">351.076 JAC </t>
  </si>
  <si>
    <t>Permasalahan Sekitar Kitab Suci 1 (Umat Bertanya Tom Jacobs Menjawab)</t>
  </si>
  <si>
    <t>306.09 MAL</t>
  </si>
  <si>
    <t>The New Testament Word Insights From Cultural Anthropology</t>
  </si>
  <si>
    <t>WJK ( West Minster,John Knox Press)</t>
  </si>
  <si>
    <t xml:space="preserve">305-34 MCG </t>
  </si>
  <si>
    <t xml:space="preserve">Faktor dalam Persahabatan </t>
  </si>
  <si>
    <t>Alan Loy Mcgiinis</t>
  </si>
  <si>
    <t>0-88312-597-8</t>
  </si>
  <si>
    <t>Ethnologue  (Languages of the World/ Tenth Edition)</t>
  </si>
  <si>
    <t>Wycliffe Bible Translators, Dallas, Texas</t>
  </si>
  <si>
    <t>979-9062-94-2</t>
  </si>
  <si>
    <t>Realy Bad Girls of The Bible</t>
  </si>
  <si>
    <t>297.3 H11</t>
  </si>
  <si>
    <t>Kebatinan Islam Abad XVI</t>
  </si>
  <si>
    <t>296.155 MAN</t>
  </si>
  <si>
    <t>The Dead Sea Scrolls A Colege textcbook and A Study Guide</t>
  </si>
  <si>
    <t>Menahem Mansoor</t>
  </si>
  <si>
    <t xml:space="preserve">0-8006-1692-8 </t>
  </si>
  <si>
    <t xml:space="preserve">296.09 JAG </t>
  </si>
  <si>
    <t>Isarel in the Old Testament Period</t>
  </si>
  <si>
    <t>kristian H.Sugiyarto</t>
  </si>
  <si>
    <t xml:space="preserve">296. 4 SIN </t>
  </si>
  <si>
    <t>Dari Israel Ke Asia</t>
  </si>
  <si>
    <t>0-8264-0819-2</t>
  </si>
  <si>
    <t>296 KUN</t>
  </si>
  <si>
    <t>Judaism Between Yesterday and Tommorow</t>
  </si>
  <si>
    <t>Hans Kung</t>
  </si>
  <si>
    <t>292.09 HEU  200</t>
  </si>
  <si>
    <t>200 Tahun Gereja Katolik di Jakarta</t>
  </si>
  <si>
    <t>Yayasan Cipta Loka Caraka</t>
  </si>
  <si>
    <t xml:space="preserve">291.75 CUL </t>
  </si>
  <si>
    <t>Dinamika Pendidikan Kristen</t>
  </si>
  <si>
    <t xml:space="preserve">Iris V. Cully </t>
  </si>
  <si>
    <t>291.75  CUL  d</t>
  </si>
  <si>
    <t>Iris V. Cully</t>
  </si>
  <si>
    <t>979-9062-25-X</t>
  </si>
  <si>
    <t xml:space="preserve">291.4 KUA </t>
  </si>
  <si>
    <t>Kuasa Di Balik Doa dan Puasa</t>
  </si>
  <si>
    <t>Mahesh Chavda</t>
  </si>
  <si>
    <t>978-979-687-137-7</t>
  </si>
  <si>
    <t xml:space="preserve">291.3 ROW </t>
  </si>
  <si>
    <t>Ibadat Israel Kuno (Worship in Ancient Israel)</t>
  </si>
  <si>
    <t>979-95664-6-3</t>
  </si>
  <si>
    <t>291.23 THO</t>
  </si>
  <si>
    <t>Surga Itu Nyata! (Heaven Is So Real)</t>
  </si>
  <si>
    <t>Choo Thomas</t>
  </si>
  <si>
    <t>979-25-6421-7</t>
  </si>
  <si>
    <t xml:space="preserve">291.216 UNA </t>
  </si>
  <si>
    <t xml:space="preserve">Menyingkap Tabir Praktek-praktek Kuasa Kegelapan </t>
  </si>
  <si>
    <t>0-8028-3972-x</t>
  </si>
  <si>
    <t>291.2'11 SMI</t>
  </si>
  <si>
    <t>The Early History of God</t>
  </si>
  <si>
    <t>0-8028-1009-8</t>
  </si>
  <si>
    <t>291.1 B.11</t>
  </si>
  <si>
    <t>The Church Between Temple and Mosque</t>
  </si>
  <si>
    <t>J.H. Bavinck</t>
  </si>
  <si>
    <t>979-9290-63-5</t>
  </si>
  <si>
    <t xml:space="preserve">284.2 ENA </t>
  </si>
  <si>
    <t>Enam Belas Dokumen Dasar Calvinisme</t>
  </si>
  <si>
    <t>Th. Van den End</t>
  </si>
  <si>
    <t>2-8254-0996-0</t>
  </si>
  <si>
    <t>280.042 RAI</t>
  </si>
  <si>
    <t>Ecumenism in Transition</t>
  </si>
  <si>
    <t>Konrad Raiser</t>
  </si>
  <si>
    <t>WCC. Publications, Geneva</t>
  </si>
  <si>
    <t>280.042 ARA</t>
  </si>
  <si>
    <t>Arak-Arakan Oikumene Meniti Tahun-Tahun Pertumbuhan</t>
  </si>
  <si>
    <t>Majelis Pekerja Harian PGI</t>
  </si>
  <si>
    <t>Sekretariat Umum Persekutuan Gereja-gereja di Indonesia Jakarta</t>
  </si>
  <si>
    <t>270.82  WEL  b</t>
  </si>
  <si>
    <t>Pahlawan Iman - Bily Graham</t>
  </si>
  <si>
    <t>Adonai Publishing</t>
  </si>
  <si>
    <t>270.82  DAL</t>
  </si>
  <si>
    <t>Dalam Kemantapan Kebersamaan Menapaki Dekade Penuh Harapan ( Lima Dokumen Keasaan Gereja ) - Persekutuan Gereja - Gereja di Indonesia</t>
  </si>
  <si>
    <t>270.09 HOL</t>
  </si>
  <si>
    <t>The Holy Land Satellite Atlas Volume 2</t>
  </si>
  <si>
    <t>Rohr Productions</t>
  </si>
  <si>
    <t>The Holy Land Satellite Atlas Volume 1</t>
  </si>
  <si>
    <t>1-58516-001-6</t>
  </si>
  <si>
    <t>270.09 BIB</t>
  </si>
  <si>
    <t>Bible Atlas</t>
  </si>
  <si>
    <t>John Strange (E)</t>
  </si>
  <si>
    <t xml:space="preserve">270 VER </t>
  </si>
  <si>
    <t>Geredja Dan Bidat</t>
  </si>
  <si>
    <t xml:space="preserve">270 RAN </t>
  </si>
  <si>
    <t>OEGSTGEEST - Kebijaksanaan " Lembaga-Lembaga Pekabaran Injil Yang Bekerjasama " 1897 - 1942</t>
  </si>
  <si>
    <t>Mr. S.C Graaf Van Randwijck</t>
  </si>
  <si>
    <t xml:space="preserve">270 MEN </t>
  </si>
  <si>
    <t>Mengenal 265 Paus (dari St.Petrus Hingga Benediktus XVI)</t>
  </si>
  <si>
    <t xml:space="preserve">Sinta Manurung </t>
  </si>
  <si>
    <t>270 JUS</t>
  </si>
  <si>
    <t>Jusuf Roni Berbicara tentang Kesatuan Gereja</t>
  </si>
  <si>
    <t>978-979-9143-99-0</t>
  </si>
  <si>
    <t xml:space="preserve">266 OPP </t>
  </si>
  <si>
    <t>Melayankan Injil Melalui Media</t>
  </si>
  <si>
    <t>H.A. Oppusunggu, dkk.</t>
  </si>
  <si>
    <t>264.23 FRA</t>
  </si>
  <si>
    <t xml:space="preserve">Terpujilah Engkau, Tuhanku "Lagu-lagu Fransiskan" </t>
  </si>
  <si>
    <t>SEKAFI</t>
  </si>
  <si>
    <t>264.13 GOT k</t>
  </si>
  <si>
    <t>Kuasa Ucapan berkat</t>
  </si>
  <si>
    <t>979-8475-68-2</t>
  </si>
  <si>
    <t>264.1 ROB</t>
  </si>
  <si>
    <t>Cara Mendapatkan Kuasa</t>
  </si>
  <si>
    <t>Stuart Robinson</t>
  </si>
  <si>
    <t>262 KRY k</t>
  </si>
  <si>
    <t xml:space="preserve">Kabar Keselamatan Di Poso (Sejarah Gereja  Kristen Sulawesi Tengah sampai th. 1947) </t>
  </si>
  <si>
    <t xml:space="preserve">J. Kruyt </t>
  </si>
  <si>
    <t>261.56 HEA</t>
  </si>
  <si>
    <t>Sains, Iman &amp; Teknologi</t>
  </si>
  <si>
    <t>W. Stanley Heath</t>
  </si>
  <si>
    <t>261.51 BER</t>
  </si>
  <si>
    <t>Ringkasan Sejarah Filsafat oleh : Prof. K. Bertens</t>
  </si>
  <si>
    <t>Prof.K. Bertens</t>
  </si>
  <si>
    <t xml:space="preserve">261.27 NOO </t>
  </si>
  <si>
    <t>Menuju Dialog Teologis Kristen-Islam</t>
  </si>
  <si>
    <t>978-979-687-414-9</t>
  </si>
  <si>
    <t>261.2 ARI</t>
  </si>
  <si>
    <t>Tak Mungkin Tanpa Sesamaku</t>
  </si>
  <si>
    <t>S. Wesley Ariarajah</t>
  </si>
  <si>
    <t xml:space="preserve">261 YEW </t>
  </si>
  <si>
    <t>Dr. A.A. Yewangoe</t>
  </si>
  <si>
    <t>261 SCH</t>
  </si>
  <si>
    <t>Dialog Antar Umat Beragama - Dari Manakah Kita Bertolak</t>
  </si>
  <si>
    <t xml:space="preserve">261 DEI </t>
  </si>
  <si>
    <t>Material Culture of the Bible An Introduction</t>
  </si>
  <si>
    <t>978-979-687-580-1</t>
  </si>
  <si>
    <t xml:space="preserve">255 CRO </t>
  </si>
  <si>
    <t>Apakah Engkau Mengasihi Aku? Pertanyaan-Opertanyaan Yesus Kepada Gereja</t>
  </si>
  <si>
    <t>Michael H. Crosby</t>
  </si>
  <si>
    <t>978-979-415-894-4</t>
  </si>
  <si>
    <t>252.61 ISM</t>
  </si>
  <si>
    <t>Selamat Natal (33 Renungan tentang Natal) …tgl. 04/03/'15</t>
  </si>
  <si>
    <t>2+R15+O1531</t>
  </si>
  <si>
    <t>Selamat Pagi , Tuhan!</t>
  </si>
  <si>
    <t>978-979-687-845-1</t>
  </si>
  <si>
    <t>Selamat Berpelita (33 Renungan tentang Alkitab)</t>
  </si>
  <si>
    <t>978-979-687-722-5</t>
  </si>
  <si>
    <t>Selamat Berkerabat (33 Renungan tentang Kebersamaan)</t>
  </si>
  <si>
    <t>978-602-231-023-5</t>
  </si>
  <si>
    <t>Selamat Berjuang (33 Renungan tentang Perjuangan Hidup)</t>
  </si>
  <si>
    <t>978-979-687-579-5</t>
  </si>
  <si>
    <t>Selamat Bergereja (33 Renungan tentang Komunitas Iman)</t>
  </si>
  <si>
    <t>Selamat  Berkarya (33 Renungan tentang Hidup)</t>
  </si>
  <si>
    <t>978-979-415-827-2</t>
  </si>
  <si>
    <t>Selamat Panjang Umur (33 Renungan tentang Hidup)</t>
  </si>
  <si>
    <t>978-979-415-581-3</t>
  </si>
  <si>
    <t>Selamat  Berkarya (33 Renungan tentang Kerja)</t>
  </si>
  <si>
    <t>979-9290-74-0</t>
  </si>
  <si>
    <t xml:space="preserve">251.01 KIL </t>
  </si>
  <si>
    <t>Dasar-Dasar Khotbah</t>
  </si>
  <si>
    <t>978-602-8930-91-8</t>
  </si>
  <si>
    <t>242.8 HAN</t>
  </si>
  <si>
    <t>100 Kisah Doa Seri Ke- 2 (Ilustrasi dan Renungan yang Membangun Iman Anda)</t>
  </si>
  <si>
    <t>Djohan Handojo</t>
  </si>
  <si>
    <t>Light Publishing dan Media Transformation Ministry Ltd.</t>
  </si>
  <si>
    <t>241.53  MAR  k</t>
  </si>
  <si>
    <t>Yayasan Lembaga Biblika Indonesia</t>
  </si>
  <si>
    <t>241  HAL  p</t>
  </si>
  <si>
    <t>New Studies in Christian Ethics - Priorities Christian Ethics</t>
  </si>
  <si>
    <t>240  UNA  h</t>
  </si>
  <si>
    <t>Hidup Dalam Etika Kristen</t>
  </si>
  <si>
    <t>240  SIT  d</t>
  </si>
  <si>
    <t>Dipintu Gerbang Pembinaan Warga Gereja - 1 Pendidikan dan Kebudayaan</t>
  </si>
  <si>
    <t>Dr. A.A Sitompul</t>
  </si>
  <si>
    <t>238  ABI  a</t>
  </si>
  <si>
    <t>Ake Percaya Kepada Allah</t>
  </si>
  <si>
    <t>Josh Mc.Dowell</t>
  </si>
  <si>
    <t>237  LOL  m</t>
  </si>
  <si>
    <t>Menyibak Kontroversi Dugaaan Ketidak Aslian Alkitab</t>
  </si>
  <si>
    <t>Ir. Harold Lolowang, M.Sc</t>
  </si>
  <si>
    <t>236.9 PAN</t>
  </si>
  <si>
    <t>Eskatologi Biblika</t>
  </si>
  <si>
    <t>236.24 PIP</t>
  </si>
  <si>
    <t>90 Minutes Heaven (Sebuah Kesaksian Tentang Surga dan Kematian)</t>
  </si>
  <si>
    <t>Don Piper dan Cecil Murphey</t>
  </si>
  <si>
    <t xml:space="preserve">236.2  MUN  </t>
  </si>
  <si>
    <t>Apakah Alkitab meramalkan Masadepan ?</t>
  </si>
  <si>
    <t>Rallp O. Muncaster</t>
  </si>
  <si>
    <t>236  WIL  e</t>
  </si>
  <si>
    <t>Eskatologi - Study Alkitabiah Yang Dibutuhkan Tentang Akhir Zaman</t>
  </si>
  <si>
    <t>H.L Willmington</t>
  </si>
  <si>
    <t>236  BAR  k</t>
  </si>
  <si>
    <t>John Darton</t>
  </si>
  <si>
    <t>235.GRA</t>
  </si>
  <si>
    <t>Malaikat</t>
  </si>
  <si>
    <t>Binarupa Aksara</t>
  </si>
  <si>
    <t>978-979-21-2561-0</t>
  </si>
  <si>
    <t xml:space="preserve">235.3 DAR </t>
  </si>
  <si>
    <t>Malaikat-malaikat dalam Kitab Suci</t>
  </si>
  <si>
    <t>Sr. Darmawijaya</t>
  </si>
  <si>
    <t>978-979-29-3665-8</t>
  </si>
  <si>
    <t>234.25 ANG</t>
  </si>
  <si>
    <t>Energizing Hope - Pengharapan Sebagai Daya Tahan Yang Tangguh Bagi Pemenang</t>
  </si>
  <si>
    <t>234.23 AMB</t>
  </si>
  <si>
    <t>Siap Sedia Memberi Jwab Iman</t>
  </si>
  <si>
    <t>979-415-448-2</t>
  </si>
  <si>
    <t>234.23 ABI</t>
  </si>
  <si>
    <t>Pokok-pokok Penting dari Iman Kristen</t>
  </si>
  <si>
    <t>234.161  BON  b</t>
  </si>
  <si>
    <t>Reinhard Bonnke</t>
  </si>
  <si>
    <t>233. BER</t>
  </si>
  <si>
    <t>233 PLA</t>
  </si>
  <si>
    <t>Manusia, Gambar Allah (Terobosan-terobosan dalam Bidang Antropologi Kristen)</t>
  </si>
  <si>
    <t>233 DAV m</t>
  </si>
  <si>
    <t>Manly Love In The Bible and The Hermeneutics of sex by : Jonathan Loved David</t>
  </si>
  <si>
    <t>Jonathan Loved David</t>
  </si>
  <si>
    <t>Teologi Sistematika 6</t>
  </si>
  <si>
    <t>Teologi Sistematika 1</t>
  </si>
  <si>
    <t>232.908 KEE</t>
  </si>
  <si>
    <t>Seri Acces Guides: Yesus</t>
  </si>
  <si>
    <t>232.908 DIC</t>
  </si>
  <si>
    <t>Menyelidiki Kesejarahan Yesus Pencarian Seorang Sejarawan oleh : John Dickson</t>
  </si>
  <si>
    <t>232.908  STO</t>
  </si>
  <si>
    <t>The Story of Yesus</t>
  </si>
  <si>
    <t>232.908  DIC  m</t>
  </si>
  <si>
    <t>232.903  JES</t>
  </si>
  <si>
    <t>Jesus Kristus Gembala Jang Baik</t>
  </si>
  <si>
    <t>Craig A. Evans, N.T Wright</t>
  </si>
  <si>
    <t>Perkantas - Divisi Literatur</t>
  </si>
  <si>
    <t>979-565-233-8</t>
  </si>
  <si>
    <t xml:space="preserve">232.901 ZAN </t>
  </si>
  <si>
    <t>Jesus of The Gospels (Apa Kata Injil Tentang Dia)</t>
  </si>
  <si>
    <t>Arthur E. Zannoni</t>
  </si>
  <si>
    <t>232.901 PRO t</t>
  </si>
  <si>
    <t>Tahun-tahun Yesus yang Hilang, Bukti-bukti Dokumenter Tentang Perjalanan Yesus Selama 17 Tahun ke Timur</t>
  </si>
  <si>
    <t>Bina Komunio</t>
  </si>
  <si>
    <t>0-78144-165-X</t>
  </si>
  <si>
    <t>232.9 GAR</t>
  </si>
  <si>
    <t>Cracking Da Vinci's Code</t>
  </si>
  <si>
    <t>James L. Garlow dan Peter Jones</t>
  </si>
  <si>
    <t>Victor (Cook Communications Ministries Kingsway Communications, LTD</t>
  </si>
  <si>
    <t>232.9  RAK  y</t>
  </si>
  <si>
    <t>Iones Rakhmat</t>
  </si>
  <si>
    <t>Sirao Credentia Center</t>
  </si>
  <si>
    <t>232.8 SEN</t>
  </si>
  <si>
    <t>Kristus dalam Perjanjian Lama 2</t>
  </si>
  <si>
    <t xml:space="preserve">DR. H.I. Senduk </t>
  </si>
  <si>
    <t>Seksi Penerbitan Yayasan Bethel</t>
  </si>
  <si>
    <t>978-979-21-1667-0</t>
  </si>
  <si>
    <t>232.4 JAC</t>
  </si>
  <si>
    <t>Syalom Salam Selamat</t>
  </si>
  <si>
    <t>Tom Jacobs, SJ</t>
  </si>
  <si>
    <t>232.4  JAC  s</t>
  </si>
  <si>
    <t>Syalom, Salam , Selamat</t>
  </si>
  <si>
    <t>232.2 LIF</t>
  </si>
  <si>
    <t>232.1 NOO</t>
  </si>
  <si>
    <t>Menyongsong Sang Ratu Adil (Perjumpaan Iman Kristen &amp; Kejawen)</t>
  </si>
  <si>
    <t xml:space="preserve">Bambang Noorsena </t>
  </si>
  <si>
    <t>979-415-000-2</t>
  </si>
  <si>
    <t>232 PEA k</t>
  </si>
  <si>
    <t xml:space="preserve">Kuasa Positif Yesus Kristus </t>
  </si>
  <si>
    <t xml:space="preserve">Norman Vicent Peale </t>
  </si>
  <si>
    <t>232 GIA</t>
  </si>
  <si>
    <t>Wah… apa itu? (Kumpulan Ulasan Injil)</t>
  </si>
  <si>
    <t>Agustinus Gianto, s.j.</t>
  </si>
  <si>
    <t>232 BER</t>
  </si>
  <si>
    <t>Teologi Sistematika (Doktrin Kristus/ volume 3)</t>
  </si>
  <si>
    <t>232 AMB</t>
  </si>
  <si>
    <t>Dengan Kasih Kita Jawah</t>
  </si>
  <si>
    <t>232  SWI  y</t>
  </si>
  <si>
    <t>Seri Tokoh Terbesar - YESUS</t>
  </si>
  <si>
    <t>232  JAC  j</t>
  </si>
  <si>
    <t>Jesus Family Tomb - Makam Keluarga Yesus</t>
  </si>
  <si>
    <t>Taiwan</t>
  </si>
  <si>
    <t>Simcha Jacobovici &amp; Charles Pellegrino</t>
  </si>
  <si>
    <t>232  GIA  w</t>
  </si>
  <si>
    <t>Wah…. Apa Itu ?   Kumpulan Ulasan Injil</t>
  </si>
  <si>
    <t>232  EDE  l</t>
  </si>
  <si>
    <t>The Life And Times of Jesus The MESSIAH - Complete and Unbridged in One Volume</t>
  </si>
  <si>
    <t>Hendrickson Publsher</t>
  </si>
  <si>
    <t>979-504-120-7</t>
  </si>
  <si>
    <t xml:space="preserve">231.2 WHI  </t>
  </si>
  <si>
    <t>Kerinduan Segala Zaman II</t>
  </si>
  <si>
    <t>Ellen G. White</t>
  </si>
  <si>
    <t>979-504-108-8</t>
  </si>
  <si>
    <t xml:space="preserve">Kerinduan Segala Zaman </t>
  </si>
  <si>
    <t>231.1-3 AMR</t>
  </si>
  <si>
    <t>Dialog Agama Kristen (Pokok Pembahasan Allah Tritunggal Maha Esa)</t>
  </si>
  <si>
    <t>231.044 HER</t>
  </si>
  <si>
    <t>Siapakah Yang Bernama Allah Itu? (Untuk Kalangan Sendiri)</t>
  </si>
  <si>
    <t>231.042 AMB</t>
  </si>
  <si>
    <t>Diktat Khusus Untuk Bimbingan Cepat Membina Penginjilan Pribadi</t>
  </si>
  <si>
    <t>979-687</t>
  </si>
  <si>
    <t>231.04 YAN</t>
  </si>
  <si>
    <t>Kebenaran Allah Lawan Kebenaran Sendiri</t>
  </si>
  <si>
    <t>Dr. Liem Kheim Yang</t>
  </si>
  <si>
    <t>978-979-687-773-7</t>
  </si>
  <si>
    <t>231 JEN</t>
  </si>
  <si>
    <t>Percakapan dengan Poppi tentang Allah</t>
  </si>
  <si>
    <t>Robert W. Jenson &amp; Solveig Lucia Gold</t>
  </si>
  <si>
    <t>230-041</t>
  </si>
  <si>
    <t>The Eccential  Biblikal)</t>
  </si>
  <si>
    <t>John Joseph Oqnea</t>
  </si>
  <si>
    <t>979-763-297-0</t>
  </si>
  <si>
    <t>230.006 ELL</t>
  </si>
  <si>
    <t>Manajemen Pelayanan (Pengantar &amp; Lokakarya)</t>
  </si>
  <si>
    <t>Pdt. Drs. Agus Lay</t>
  </si>
  <si>
    <t>230 WUW p</t>
  </si>
  <si>
    <t xml:space="preserve">Pemahaman Alkitab Dan Warga Gereja </t>
  </si>
  <si>
    <t>Pdt. O.E. Ch. Wuwungan, D.Th</t>
  </si>
  <si>
    <t>979-8694-00-7</t>
  </si>
  <si>
    <t>230 RET a</t>
  </si>
  <si>
    <t>Agama - Agama dan Tantangan Kebudayaan</t>
  </si>
  <si>
    <t>Badan Litbang PGI dengan Yayasan Bina Darma</t>
  </si>
  <si>
    <t>Inilah Sahabatku</t>
  </si>
  <si>
    <t>978-0-393-01955-1</t>
  </si>
  <si>
    <t>230 GUL</t>
  </si>
  <si>
    <t xml:space="preserve">The Five Books of Moses </t>
  </si>
  <si>
    <t>W.W Norton &amp; Company</t>
  </si>
  <si>
    <t>978-0-8028-6388-1</t>
  </si>
  <si>
    <t>230 GRE</t>
  </si>
  <si>
    <t>Motherhood and Love (beyond the gendered stereotypes of theology)</t>
  </si>
  <si>
    <t>Christina Grenholm</t>
  </si>
  <si>
    <t>978-9-3292-94-6</t>
  </si>
  <si>
    <t>230 BOI</t>
  </si>
  <si>
    <t xml:space="preserve">Dasar-Dasar Iman Kristen </t>
  </si>
  <si>
    <t>230  SOS e</t>
  </si>
  <si>
    <t>Etika Perjanjian Lama - The Old Testament  Law &amp; Obedience</t>
  </si>
  <si>
    <t>Pdt. Dr. Karel Sosipater</t>
  </si>
  <si>
    <t>230  SON  a</t>
  </si>
  <si>
    <t>Allah Yang Turut Menderita</t>
  </si>
  <si>
    <t>Choan Seng Song</t>
  </si>
  <si>
    <t>230  pro</t>
  </si>
  <si>
    <t>Promise And Fulfilment</t>
  </si>
  <si>
    <t>T &amp; T . ClARk</t>
  </si>
  <si>
    <t>0-87808-441-X</t>
  </si>
  <si>
    <t>230  PRI  d</t>
  </si>
  <si>
    <t>Doing Theologi With The Maasai</t>
  </si>
  <si>
    <t>978-074-592-1716</t>
  </si>
  <si>
    <t>Bible World The Great Plan - The Bible Story Begins</t>
  </si>
  <si>
    <t>Lion Publishing</t>
  </si>
  <si>
    <t>229.914 BAK  s</t>
  </si>
  <si>
    <t>229. 92 ARE</t>
  </si>
  <si>
    <t>The Gospels Fact, Myth, or Legend?</t>
  </si>
  <si>
    <t>J. P. Arendzen, Ph. D., D. D</t>
  </si>
  <si>
    <t>Sands &amp; co</t>
  </si>
  <si>
    <t>0-385-09630-5</t>
  </si>
  <si>
    <t>229 OLD</t>
  </si>
  <si>
    <t>The Old Testament Pseudepigrapha. Volume I</t>
  </si>
  <si>
    <t>1-58983-218-3</t>
  </si>
  <si>
    <t>228. 06 REA</t>
  </si>
  <si>
    <t>The Reality of Apocalypse</t>
  </si>
  <si>
    <t>David L. Barr (E)</t>
  </si>
  <si>
    <t>0-415-18249-2</t>
  </si>
  <si>
    <t>228 PIP</t>
  </si>
  <si>
    <t>Pemahaman Alkitab Setiap Hari Roma</t>
  </si>
  <si>
    <t>Routledge Taylor &amp; Francis Group</t>
  </si>
  <si>
    <t>979-22-2270-7</t>
  </si>
  <si>
    <t>227.97 KRO</t>
  </si>
  <si>
    <t>The Lost Gospel Kisah Pencarian Injil Yudas</t>
  </si>
  <si>
    <t>Herbert Krosney</t>
  </si>
  <si>
    <t>227.97 DAV</t>
  </si>
  <si>
    <t>The Cambridge Bible Commentary - A Letter to Hebrews</t>
  </si>
  <si>
    <t>J.H. Davies</t>
  </si>
  <si>
    <t>227.97 BRI</t>
  </si>
  <si>
    <t>979-415-161-0</t>
  </si>
  <si>
    <t>227.87 BAR i</t>
  </si>
  <si>
    <t>Pemahaman Alkitab Setiap Hari Surat Ibrani</t>
  </si>
  <si>
    <t>0-8499-0249-5</t>
  </si>
  <si>
    <t>220.7 BAU w</t>
  </si>
  <si>
    <t>Word Biblical Commentary Vol. 50 Jude, 2 Peter</t>
  </si>
  <si>
    <t>Richard J. Bauckham</t>
  </si>
  <si>
    <t>227.93-97  WIE  w</t>
  </si>
  <si>
    <t>Waspada Didalam Kristus</t>
  </si>
  <si>
    <t>0-551-00610-2</t>
  </si>
  <si>
    <t>227.92 BES</t>
  </si>
  <si>
    <t xml:space="preserve">New Century Bible 1 Petrus </t>
  </si>
  <si>
    <t>Attic Press</t>
  </si>
  <si>
    <t xml:space="preserve">227.91-93,97 BRA </t>
  </si>
  <si>
    <t>A Translator's Guiede To The Letters From James, Peter, and Jude</t>
  </si>
  <si>
    <t>227.81282 FEE</t>
  </si>
  <si>
    <t>The First and Second Letters to The Thessalonians</t>
  </si>
  <si>
    <t>Gondon D. Fee</t>
  </si>
  <si>
    <t>227.81 MOR</t>
  </si>
  <si>
    <t>The Epistles of Paul to The Ephesians and to The Colossians</t>
  </si>
  <si>
    <t>E. K. Simpson, M. A.F.F. Bruce, D.D.</t>
  </si>
  <si>
    <t>227.81 ELL</t>
  </si>
  <si>
    <t>A Translator's Handbook on Paul's Leter to the Thessalonians</t>
  </si>
  <si>
    <t>Ellingworth and Nida</t>
  </si>
  <si>
    <t>0-8267-0146-9</t>
  </si>
  <si>
    <t>A Translator's Handbook on Paul's Leetter to the Thessalonians</t>
  </si>
  <si>
    <t>A Handbook on Paul's Letters to the Colossians and to Thessalonians</t>
  </si>
  <si>
    <t>Paul Ellingworth &amp; Eugene A. Nida</t>
  </si>
  <si>
    <t>227.8 LOC</t>
  </si>
  <si>
    <t xml:space="preserve">The International Critical Commentary The Pastoral Epistles </t>
  </si>
  <si>
    <t>Walter Lock, D.D</t>
  </si>
  <si>
    <t xml:space="preserve">227.8 ELL </t>
  </si>
  <si>
    <t>A Handbook on Paul's Letters to the Thessalonians</t>
  </si>
  <si>
    <t>227.8 BUD</t>
  </si>
  <si>
    <t>Tafsiran Alkitab 1 &amp; 2 Timotius dan Titus</t>
  </si>
  <si>
    <t>0-8267-0145-0</t>
  </si>
  <si>
    <t xml:space="preserve">227.7-86 BRA </t>
  </si>
  <si>
    <t>A Translator's Handbook on Paul' Letter to The Colossians and to Philemon</t>
  </si>
  <si>
    <t>Bratcher dan Nida</t>
  </si>
  <si>
    <t xml:space="preserve">227.7.86 BRA </t>
  </si>
  <si>
    <t>A Translators Handbook on Paul's Letters to The Colossians and to Philemon</t>
  </si>
  <si>
    <t>0-8267-0166-3</t>
  </si>
  <si>
    <t xml:space="preserve">227.7,86 BRA </t>
  </si>
  <si>
    <t>A Handbook on Paul's Letters to the Colossians and to Philemon</t>
  </si>
  <si>
    <t>Robert G. Bratcher dan Eugene A. Nida</t>
  </si>
  <si>
    <t>0-85364-125-0</t>
  </si>
  <si>
    <t>227.7 MAR</t>
  </si>
  <si>
    <t xml:space="preserve">Collosians: The Church's Lord and The Christian's Liberty </t>
  </si>
  <si>
    <t xml:space="preserve">Ralph P. Martin, M. A., </t>
  </si>
  <si>
    <t>227.7 HAG</t>
  </si>
  <si>
    <t>Tafsiran Surat Kolose - Dari Bahasa Yunani</t>
  </si>
  <si>
    <t>227.6 ABI</t>
  </si>
  <si>
    <t>Dr. J. L. CH. Abineno</t>
  </si>
  <si>
    <t>227.56 ABI</t>
  </si>
  <si>
    <t xml:space="preserve">227.5 BRA </t>
  </si>
  <si>
    <t>A Translators Handbook on Paul's Letter to The Ephesians</t>
  </si>
  <si>
    <t>0-551-00545-9</t>
  </si>
  <si>
    <t>227.4 GUT</t>
  </si>
  <si>
    <t>New Century Bible Galatians</t>
  </si>
  <si>
    <t>978-0-8028-2449-3</t>
  </si>
  <si>
    <t>227.2 THI</t>
  </si>
  <si>
    <t>The New International Greek Testament Commentary</t>
  </si>
  <si>
    <t>0-8267--185-X</t>
  </si>
  <si>
    <t xml:space="preserve">227.2 BRA </t>
  </si>
  <si>
    <t>A Translator's Guide to Paul's First Letter To The Corinthians</t>
  </si>
  <si>
    <t xml:space="preserve">227.1 NEW </t>
  </si>
  <si>
    <t>A Translator's Handbook on Paul's Leter to the Romans</t>
  </si>
  <si>
    <t>Newman dan Nida</t>
  </si>
  <si>
    <t>227.1 f. 11</t>
  </si>
  <si>
    <t>Faith : in an unfaithful world (new Testament in Contemporary Pictures</t>
  </si>
  <si>
    <t>Denmark</t>
  </si>
  <si>
    <t>Scandinavia Publishing House</t>
  </si>
  <si>
    <t>978-979-687-189-6</t>
  </si>
  <si>
    <t>Tafsiran Alkitab  Surat Roma</t>
  </si>
  <si>
    <t xml:space="preserve">227.1  BAR  p  </t>
  </si>
  <si>
    <t>Pemahaman Alkitab Setiap Hari - Roma</t>
  </si>
  <si>
    <t>Pemahaman Alkitab Setiap Hari - Ibrani</t>
  </si>
  <si>
    <t>227 MAR</t>
  </si>
  <si>
    <t xml:space="preserve">New Century Bible Colossians and Philemon </t>
  </si>
  <si>
    <t>227 LIG</t>
  </si>
  <si>
    <t>J. B. Lightfoot</t>
  </si>
  <si>
    <t>227 CHI t</t>
  </si>
  <si>
    <t>The Church's Guide for Reading Paul</t>
  </si>
  <si>
    <t>227 BAR</t>
  </si>
  <si>
    <t>New Clarendon Bible The Pastoral Epistles</t>
  </si>
  <si>
    <t>Clarendon</t>
  </si>
  <si>
    <t>227 ABB i</t>
  </si>
  <si>
    <t>(ICC) The Epistle to the Ephesians and to the Colossians</t>
  </si>
  <si>
    <t>T. K. Abbott, B.D., D.Litt.</t>
  </si>
  <si>
    <t>Pengantar Surat Surat PAULUS</t>
  </si>
  <si>
    <t>978-0-8028-6691-2</t>
  </si>
  <si>
    <t>226.9 HAR</t>
  </si>
  <si>
    <t>Taking Jesus at His Word</t>
  </si>
  <si>
    <t>Addison Hodges Hart</t>
  </si>
  <si>
    <t>978-0-8026-6691-2</t>
  </si>
  <si>
    <t>226.9  HAR  t</t>
  </si>
  <si>
    <t>0-8028-6077-x</t>
  </si>
  <si>
    <t>226.8'07 HUL</t>
  </si>
  <si>
    <t>The Parables of Jesus</t>
  </si>
  <si>
    <t>Arland J. Hultgren</t>
  </si>
  <si>
    <t>0-8028-6077-X</t>
  </si>
  <si>
    <t>226.8'07  HUL  p</t>
  </si>
  <si>
    <t>The Parables of Jesus - A Commentarry</t>
  </si>
  <si>
    <t>Commentarry</t>
  </si>
  <si>
    <t>226.8 YAN</t>
  </si>
  <si>
    <t xml:space="preserve">Mendengarkan Perumpamaan Yesus </t>
  </si>
  <si>
    <t>979-504-110-X</t>
  </si>
  <si>
    <t>226.6 WHI</t>
  </si>
  <si>
    <t>Kisah Para rasul</t>
  </si>
  <si>
    <t>226.6 POL</t>
  </si>
  <si>
    <t xml:space="preserve">New International Version - The New American Commentary (NAC) ACTS Vol. 26 </t>
  </si>
  <si>
    <t>John Polhill</t>
  </si>
  <si>
    <t>0-85111-874-7</t>
  </si>
  <si>
    <t>226.6 MAR</t>
  </si>
  <si>
    <t>Tyndale New Testament Commentaries Acts</t>
  </si>
  <si>
    <t>226.6 LUK</t>
  </si>
  <si>
    <t>Saint Luke</t>
  </si>
  <si>
    <t>Penguin Books</t>
  </si>
  <si>
    <t>226.6 KIS</t>
  </si>
  <si>
    <t>Kisah Para Rasul dalam Bahasa Tountemboan</t>
  </si>
  <si>
    <t>226.6 BEG</t>
  </si>
  <si>
    <t>The Beginning of Christianity. Part I. The Acts of The Apostles. Vol. V</t>
  </si>
  <si>
    <t>F. J. Foakes Jackson &amp; Kirsopp Lake</t>
  </si>
  <si>
    <t>The Beginning of Christianity. Part I. The Acts of The Apostles. Vol. IV</t>
  </si>
  <si>
    <t>226.5 VER</t>
  </si>
  <si>
    <t>Tafsairan Indjil Jahjah</t>
  </si>
  <si>
    <t>Prof. Dr. J. Verkuyl</t>
  </si>
  <si>
    <t>226.5 LIN</t>
  </si>
  <si>
    <t>The New Century Bible Commentary The Gospel of John</t>
  </si>
  <si>
    <t xml:space="preserve">0-8267-0154-X </t>
  </si>
  <si>
    <t xml:space="preserve">226.5 HAA </t>
  </si>
  <si>
    <t>A Translator's Handbook on The Letters of John</t>
  </si>
  <si>
    <t>Haas De Jonge dan Swellengrebel</t>
  </si>
  <si>
    <t>0-8028-3407-8</t>
  </si>
  <si>
    <t>226.5 BRU</t>
  </si>
  <si>
    <t>The Gospel of John</t>
  </si>
  <si>
    <t>978-979-21-2653-2</t>
  </si>
  <si>
    <t>226.4 RIY l</t>
  </si>
  <si>
    <t>Seri Tafsir Empat Injil: Lukas,  "Sungguh, Orang ini adalah Orang Benar!"</t>
  </si>
  <si>
    <t>226.4 BAR</t>
  </si>
  <si>
    <t>978-979-415-816-6</t>
  </si>
  <si>
    <t>226.4  BOL  i</t>
  </si>
  <si>
    <t>Tafsiran Alkitab Injil Lukas</t>
  </si>
  <si>
    <t>Dr. B.J. Boland</t>
  </si>
  <si>
    <t>226.3 TER</t>
  </si>
  <si>
    <t>Terang Dunia</t>
  </si>
  <si>
    <t>Perkumpulan Penginjil Saku</t>
  </si>
  <si>
    <t>978-979-415-821-0</t>
  </si>
  <si>
    <t>226.3 RHO</t>
  </si>
  <si>
    <t>Injil Markus</t>
  </si>
  <si>
    <t xml:space="preserve"> David Rhoads and Donald Michie</t>
  </si>
  <si>
    <t>226.3 KEM</t>
  </si>
  <si>
    <t>Kemana Anda</t>
  </si>
  <si>
    <t>226.3 HUN</t>
  </si>
  <si>
    <t>The Gospel According to Saint Mark</t>
  </si>
  <si>
    <t>226.3 APA</t>
  </si>
  <si>
    <t>Apa Pekerjaan Yang Terpenting</t>
  </si>
  <si>
    <t>978-979-21-2654-9</t>
  </si>
  <si>
    <t>226.2 RIY m</t>
  </si>
  <si>
    <t>Seri Tafsir Empat Injil: Matius, "Sungguh, Ia ini adalah Anak Allah!"</t>
  </si>
  <si>
    <t>978-979-687-551-1</t>
  </si>
  <si>
    <t>226.2 NIE</t>
  </si>
  <si>
    <t>Tafsiran Alkitab Kitab Injil Matius 23-28</t>
  </si>
  <si>
    <t>Dr. J. T. Nielsen</t>
  </si>
  <si>
    <t>0-8267-01345</t>
  </si>
  <si>
    <t>226.2 NEW</t>
  </si>
  <si>
    <t>A Translator's Handbook The Gospel of Matthew</t>
  </si>
  <si>
    <t>Barclay M. Newman dan Philip Stine</t>
  </si>
  <si>
    <t>979-415-822-4</t>
  </si>
  <si>
    <t>226.2 KIN</t>
  </si>
  <si>
    <t>Injil Matius sebagai Cerita</t>
  </si>
  <si>
    <t xml:space="preserve">Jack Dean Kingsbury </t>
  </si>
  <si>
    <t>978-979-3292-70-9</t>
  </si>
  <si>
    <t xml:space="preserve">226.2 HEN     </t>
  </si>
  <si>
    <t>Tafsiran Matthew Henry -Injil Matius 15-28</t>
  </si>
  <si>
    <t>979-415-126-2</t>
  </si>
  <si>
    <t>226.2 HEE</t>
  </si>
  <si>
    <t>Tafsiran Alkitab Injil Matius . Pasal 1-22</t>
  </si>
  <si>
    <t xml:space="preserve">226.2 BRA </t>
  </si>
  <si>
    <t>A Transalator Guide to The Gospel of Matthew</t>
  </si>
  <si>
    <t>0-06-060731-9</t>
  </si>
  <si>
    <t>226.2 BEA</t>
  </si>
  <si>
    <t>The Gospel According to Matthew</t>
  </si>
  <si>
    <t>Francis Wright Beare</t>
  </si>
  <si>
    <t>226.2  WAR  l</t>
  </si>
  <si>
    <t>Loyal Didalam Kristus - Seri Tafsiran Matius - Mengikut Raja Segala Raja</t>
  </si>
  <si>
    <t>226.2  RIY  m</t>
  </si>
  <si>
    <t>Matius " Sungguh, Ia ini adalah Anak Allah "</t>
  </si>
  <si>
    <t>0-8006-1248-5</t>
  </si>
  <si>
    <t>226 PER</t>
  </si>
  <si>
    <t>The Resurrection According to Matthew, Mark, and Luke</t>
  </si>
  <si>
    <t>Norman Parrin</t>
  </si>
  <si>
    <t>978-602-8955-54-6</t>
  </si>
  <si>
    <t>226 KRI</t>
  </si>
  <si>
    <t>Injil Suci Dalam Sekilas</t>
  </si>
  <si>
    <t>Haris Kristoforus</t>
  </si>
  <si>
    <t>Penerbit Pohon Cahaya</t>
  </si>
  <si>
    <t>226 DUN j</t>
  </si>
  <si>
    <t xml:space="preserve">Jesus, Paul and the Gospels </t>
  </si>
  <si>
    <t>226  SYN</t>
  </si>
  <si>
    <t>Synopsis Quattor Evangeliorum</t>
  </si>
  <si>
    <t>225.9  WOR</t>
  </si>
  <si>
    <t>The World of the New Testament</t>
  </si>
  <si>
    <t>J.L Packer, et all ( Edited )</t>
  </si>
  <si>
    <t>225.8  NEW</t>
  </si>
  <si>
    <t xml:space="preserve">225.7 NEI </t>
  </si>
  <si>
    <t>The Interpretation of The New Testament (1861-1961)</t>
  </si>
  <si>
    <t xml:space="preserve">Stephen Neil </t>
  </si>
  <si>
    <t>0-8006-2803-9</t>
  </si>
  <si>
    <t>225.6'1  PRE  e</t>
  </si>
  <si>
    <t>Engaging The New Testament</t>
  </si>
  <si>
    <t>Russell Pregeant</t>
  </si>
  <si>
    <t>Fortress Press - Minneapolis</t>
  </si>
  <si>
    <t>225.6 NEW</t>
  </si>
  <si>
    <t>Leland Ryken (E)</t>
  </si>
  <si>
    <t>225.6  MAC  w</t>
  </si>
  <si>
    <t>Who  Wrote The New Testament ? Making of the Christian Myth</t>
  </si>
  <si>
    <t>225.599.224 MENT.</t>
  </si>
  <si>
    <t>Buko Sipunenan Pakerekat Baga Sibau Ka ngangan Mentawai</t>
  </si>
  <si>
    <t>225.499.221 kit</t>
  </si>
  <si>
    <t>Kitab Suci Perjanjian Baru Pengantar Teks dan Catatan</t>
  </si>
  <si>
    <t>978-971-29-1141-5</t>
  </si>
  <si>
    <t>225.499.211       MAY   PB. Handwriten HUB Unity Bible  Thn.2016</t>
  </si>
  <si>
    <t>May They Be One - Hand Writen HUB Unity Bible - NT</t>
  </si>
  <si>
    <t>NT</t>
  </si>
  <si>
    <t>Philipines</t>
  </si>
  <si>
    <t>Philippine Bible Society</t>
  </si>
  <si>
    <t>978-3-438-05110-3</t>
  </si>
  <si>
    <t>225.480 GRE</t>
  </si>
  <si>
    <t>The Greek New Testament Fourth Revised Edition</t>
  </si>
  <si>
    <t>978-3-438-05160-8</t>
  </si>
  <si>
    <t>225.480 ALA</t>
  </si>
  <si>
    <t>Novum Testamentum Graece 28 Revised Edition</t>
  </si>
  <si>
    <t>225.48 GRE</t>
  </si>
  <si>
    <t>The Greek New Testament Dictionary</t>
  </si>
  <si>
    <t xml:space="preserve">225.4 SCH </t>
  </si>
  <si>
    <t>Huch J. Schonfield</t>
  </si>
  <si>
    <t>978-0-19-870973-2</t>
  </si>
  <si>
    <t>225.4 PAR t</t>
  </si>
  <si>
    <t xml:space="preserve">Textual Scholarship and the making of the New Testament </t>
  </si>
  <si>
    <t>225.4  PIC  i</t>
  </si>
  <si>
    <t>The Identity of the New Testament Text</t>
  </si>
  <si>
    <t xml:space="preserve">Thomas Nelson Inc. </t>
  </si>
  <si>
    <t>225.09 LUD</t>
  </si>
  <si>
    <t>Kota-kota pada zaman Perjanjian Baru</t>
  </si>
  <si>
    <t>Charles Ludwig</t>
  </si>
  <si>
    <t>225.09  TOO  d</t>
  </si>
  <si>
    <t>Diambang Fajar Kekristenan</t>
  </si>
  <si>
    <t>Lawrence. E. Toombs</t>
  </si>
  <si>
    <t>978-602-9609-936</t>
  </si>
  <si>
    <t>225.04 SOS e</t>
  </si>
  <si>
    <t>Etika Perjanjian Baru</t>
  </si>
  <si>
    <t>Karel Sosipater</t>
  </si>
  <si>
    <t>Suara Harapan Bangsa Jakarta</t>
  </si>
  <si>
    <t>978-0-687-34120-7</t>
  </si>
  <si>
    <t>225.04 DUN t</t>
  </si>
  <si>
    <t>New Testament Theology An Introduction</t>
  </si>
  <si>
    <t>979-9532-02-7</t>
  </si>
  <si>
    <t>225.04 BRA</t>
  </si>
  <si>
    <t>Ucapan Paulus yang Sulit</t>
  </si>
  <si>
    <t>978-602-960-9936</t>
  </si>
  <si>
    <t>225.04  SOS  e</t>
  </si>
  <si>
    <t>Etika Perjanjian Baru - The New Testament Love In Christ</t>
  </si>
  <si>
    <t>Suara Harapan Bangsa, Jakarta</t>
  </si>
  <si>
    <t>225.04  LUD  k</t>
  </si>
  <si>
    <t>Kota - Kota Pada Zaman Perjanjian Baru</t>
  </si>
  <si>
    <t>Charles  Ludwig</t>
  </si>
  <si>
    <t>Dahsyaat - Kumpulan Ulasan Injil</t>
  </si>
  <si>
    <t>225.04  DRE  s</t>
  </si>
  <si>
    <t>B.F Drewes</t>
  </si>
  <si>
    <t>225. 04 GIA</t>
  </si>
  <si>
    <t>Bersama Dia Kumpulan Ulasan Injil</t>
  </si>
  <si>
    <t>225 WHI  k</t>
  </si>
  <si>
    <t xml:space="preserve">           </t>
  </si>
  <si>
    <t>978-979-415-905-7</t>
  </si>
  <si>
    <t>225 DRA</t>
  </si>
  <si>
    <t>Memahami Perjanjian Baru</t>
  </si>
  <si>
    <t>225 CHA</t>
  </si>
  <si>
    <t>Pengantar Perjanjian Baru</t>
  </si>
  <si>
    <t>Adina Chapman</t>
  </si>
  <si>
    <t>225  DRA  m</t>
  </si>
  <si>
    <t>224.98 UNG</t>
  </si>
  <si>
    <t>Unger's Bibel Commentary Zechariah</t>
  </si>
  <si>
    <t>Merrill F.Ungr, TH.D., PH.D.</t>
  </si>
  <si>
    <t>224.9077 BAK n</t>
  </si>
  <si>
    <t>224.9 BAL d</t>
  </si>
  <si>
    <t>Tyndale Old Testament Commentaries (TOTC) Vol. 23 -  Daniel</t>
  </si>
  <si>
    <t>Joyge G. Baldwin, B.A., B.D.</t>
  </si>
  <si>
    <t>224.8 WAA</t>
  </si>
  <si>
    <t>A Translator's Handbook On The Book Of Amos</t>
  </si>
  <si>
    <t>Jan De Waar &amp; William A. Smalley</t>
  </si>
  <si>
    <t>0-8267-0128-0</t>
  </si>
  <si>
    <t>A Transaltor's Handbook on The Book of Amos</t>
  </si>
  <si>
    <t>Jan De Waard dan William A.Smalley</t>
  </si>
  <si>
    <t>224.7 WAT</t>
  </si>
  <si>
    <t>The Cambridge Bible Commentary - The Books of Joel, Obadiah, Jonah, Nahum, Habakuk and Zephaniah</t>
  </si>
  <si>
    <t>A.W Argyle</t>
  </si>
  <si>
    <t>979-415-895-X</t>
  </si>
  <si>
    <t>131.3 PEA b</t>
  </si>
  <si>
    <t>Berpikir Positif: Kunci Sukses</t>
  </si>
  <si>
    <t>Norman Vincent Peale</t>
  </si>
  <si>
    <t>979-9143-48-9</t>
  </si>
  <si>
    <t>224.6 KID</t>
  </si>
  <si>
    <t>Seri Pemahaman Dan Penerapan Amanat Alkitab Masa Kini - HOSEA</t>
  </si>
  <si>
    <t>Tyndale Old Testament Commentaries (TOTC) Vol. 24 - Hosea</t>
  </si>
  <si>
    <t>978-0-86524-162-7</t>
  </si>
  <si>
    <t>224.5 STU</t>
  </si>
  <si>
    <t>Studies inDaniel's Prophecy</t>
  </si>
  <si>
    <t>Charles H. H. Wright</t>
  </si>
  <si>
    <t>Klock &amp; Klock Christian Publishers</t>
  </si>
  <si>
    <t>0-86524-162-7</t>
  </si>
  <si>
    <t>Studies In Daniel's Prophecy</t>
  </si>
  <si>
    <t>Charles H. H. Wright,  PH. D., D.D.</t>
  </si>
  <si>
    <t>Klock &amp; Klock</t>
  </si>
  <si>
    <t>224.5 HAM b</t>
  </si>
  <si>
    <t>The Cambridge Bible Commentary - the Book of Daniel</t>
  </si>
  <si>
    <t>224.5 DAN</t>
  </si>
  <si>
    <t>Daniel, Ezra &amp; Nehemia</t>
  </si>
  <si>
    <t xml:space="preserve">224.5 CON </t>
  </si>
  <si>
    <t>A Handbook On The Book of Daniel</t>
  </si>
  <si>
    <t>Rene Peter-Contesse dan John Ellington</t>
  </si>
  <si>
    <t>0-281-03697-7</t>
  </si>
  <si>
    <t>224.5 CAS</t>
  </si>
  <si>
    <t>Son of Man</t>
  </si>
  <si>
    <t>224.5 CO m</t>
  </si>
  <si>
    <t>Par Rene Peter - Contesse</t>
  </si>
  <si>
    <t>Publie Par L'Alliance Biblique Universelle, Stuttgar</t>
  </si>
  <si>
    <t>224.4 BLO</t>
  </si>
  <si>
    <t>The New International Commentary On The Old Testament - The Books Of Ezekiel Chapters 1-24</t>
  </si>
  <si>
    <t>0-8028-4599-1</t>
  </si>
  <si>
    <t>224.3 ZVI</t>
  </si>
  <si>
    <t>Micah</t>
  </si>
  <si>
    <t>Ehud Ben ZVI</t>
  </si>
  <si>
    <t>0-567-05042-4</t>
  </si>
  <si>
    <t>224.206 McK</t>
  </si>
  <si>
    <t>The International Critical Commentary Jeremiah. Volume I</t>
  </si>
  <si>
    <t>William McKane, F.B.A.</t>
  </si>
  <si>
    <t>Jeremiah</t>
  </si>
  <si>
    <t>H.Cunliffe-Jones</t>
  </si>
  <si>
    <t>978-0-8308-4283-4</t>
  </si>
  <si>
    <t>224.2 LAL j</t>
  </si>
  <si>
    <t>Tyndale Old Testament Commentaries (TOTC) Vol. 21  - Jeremiah And Lamentations</t>
  </si>
  <si>
    <t>Hetty Lalleman</t>
  </si>
  <si>
    <t>224.2 KID y</t>
  </si>
  <si>
    <t>Seri Pemahaman Dan Penerapan Amanat Alkitab Masa Kini: Yeremia, Teladan Iman Di Tengah Kekacauan Kehidupan Modern</t>
  </si>
  <si>
    <t>0-8499-0225-8</t>
  </si>
  <si>
    <t>224.2 CRA</t>
  </si>
  <si>
    <t>Word Biblical Commentary Vol. 26. Jeremiah 1-25</t>
  </si>
  <si>
    <t>Peter C. Graige, dll</t>
  </si>
  <si>
    <t>0-8006-6039-0</t>
  </si>
  <si>
    <t>224.1  BAL  d</t>
  </si>
  <si>
    <t>Deutero - Isaiah</t>
  </si>
  <si>
    <t>224 NOR</t>
  </si>
  <si>
    <t>The Second Isaiah (Introduction, Translation, And Commentary To Chapter XL-LV)</t>
  </si>
  <si>
    <t>Christopher R. North</t>
  </si>
  <si>
    <t>0-87784-271-x</t>
  </si>
  <si>
    <t xml:space="preserve">224 HAR </t>
  </si>
  <si>
    <t>Tyndale Old Testament Commentaries Jeremiah &amp; Lamentations</t>
  </si>
  <si>
    <t>R.K. Harrison, B.D.,M.Th., PH.D.</t>
  </si>
  <si>
    <t>223.9 KOC</t>
  </si>
  <si>
    <t>223.8  KRU  q</t>
  </si>
  <si>
    <t>Qoheleth</t>
  </si>
  <si>
    <t>223.7 SIN</t>
  </si>
  <si>
    <t>Tafsir Alkitab - Amsal 10:1-22:16</t>
  </si>
  <si>
    <t>Hermeneia a Critical and Historical Commentary on the Bible - Psalm 3</t>
  </si>
  <si>
    <t>223.1 TER</t>
  </si>
  <si>
    <t>Commentaire De L'ancien Testament</t>
  </si>
  <si>
    <t>Delachaux &amp; Niestle Neuchatel</t>
  </si>
  <si>
    <t>223.1 SIN</t>
  </si>
  <si>
    <t>Hidup di Bawah Bayanng-bayang Maut</t>
  </si>
  <si>
    <t>Pdt. Emanuel Gerrit Singgih, Ph. D.</t>
  </si>
  <si>
    <t>0-8028-4881-8</t>
  </si>
  <si>
    <t>222.9077 FOX c</t>
  </si>
  <si>
    <t>Character and Ideology In The Book of Esther</t>
  </si>
  <si>
    <t>978-0-8308-4213-1</t>
  </si>
  <si>
    <t>Tyndale Old Testament  Commentaries (TOTC) Vol. 13 - Esther</t>
  </si>
  <si>
    <t>0-8267-0116-7</t>
  </si>
  <si>
    <t>222.9 OMA e</t>
  </si>
  <si>
    <t>A Handbook on: The Book of Esther</t>
  </si>
  <si>
    <t>Roger L. Omanson Dkk</t>
  </si>
  <si>
    <t>1-904594-05-0</t>
  </si>
  <si>
    <t>222.6 ROG C</t>
  </si>
  <si>
    <t>Chronicles of The Bible Lands</t>
  </si>
  <si>
    <t>Angus Books</t>
  </si>
  <si>
    <t>222.6  SEL  c</t>
  </si>
  <si>
    <t>Tyndale Old Testament Commentary - 1 Chronicles</t>
  </si>
  <si>
    <t>0-8499-0209-6</t>
  </si>
  <si>
    <t>222.43 KLE</t>
  </si>
  <si>
    <t>New International Version - The New American Commentary (NAC) Romans, Vol. 27</t>
  </si>
  <si>
    <t>Ralph W. Klein</t>
  </si>
  <si>
    <t>222.4 SMI</t>
  </si>
  <si>
    <t xml:space="preserve">The International Critical Commentary Samuel </t>
  </si>
  <si>
    <t>978-602-231-103-4</t>
  </si>
  <si>
    <t xml:space="preserve">222.35 RUT </t>
  </si>
  <si>
    <t>Selamat Sehati (33 Renungan tentang Sehati Sepikir)</t>
  </si>
  <si>
    <t>0-8006-9515-1 (Alk.Paper)</t>
  </si>
  <si>
    <t>222.35 COC</t>
  </si>
  <si>
    <t>Andre La Cocque - Ruth</t>
  </si>
  <si>
    <t>222.22  HES J</t>
  </si>
  <si>
    <t>Tyndale Old Testament Commentary - Joshua</t>
  </si>
  <si>
    <t>978-0-664-22666-3</t>
  </si>
  <si>
    <t>222.2 NEL j</t>
  </si>
  <si>
    <t>The Old Testament Library (OTL) - Joshua</t>
  </si>
  <si>
    <t>Kentucky</t>
  </si>
  <si>
    <t>978-0-8028-2702-9</t>
  </si>
  <si>
    <t>222.2 CON j</t>
  </si>
  <si>
    <t>The Two Horizons Old Testament Commentary: Joshua</t>
  </si>
  <si>
    <t>J. Gordon McConville &amp; Stephen N. Williams</t>
  </si>
  <si>
    <t>222.2 BUT</t>
  </si>
  <si>
    <t>New International Version - The New American Commentary 1,2 Timothy, Titus Vol. 34</t>
  </si>
  <si>
    <t>Thomas Lee and Hayne Griffin</t>
  </si>
  <si>
    <t>222.2 BRA</t>
  </si>
  <si>
    <t>A Translator's Hnadbook on The Book of Joshua</t>
  </si>
  <si>
    <t>Robert G. Bratcher dan Braclay M. Newman</t>
  </si>
  <si>
    <t>222.157  CAI  k</t>
  </si>
  <si>
    <t>Tafsiran Alkitab - Kitab Ulangan 12 - 34</t>
  </si>
  <si>
    <t>I.J Cairns</t>
  </si>
  <si>
    <t>222.15 NIC</t>
  </si>
  <si>
    <t>Deuteronomy and Tradition</t>
  </si>
  <si>
    <t>E. W. Nicholson</t>
  </si>
  <si>
    <t xml:space="preserve">222.15 CHR </t>
  </si>
  <si>
    <t>New International Version - The New American Commentary (NAC) Vol. 15A -  ISAIAH 1-39</t>
  </si>
  <si>
    <t>Duane L. Christensen</t>
  </si>
  <si>
    <t>222.15 Bla l</t>
  </si>
  <si>
    <t>The Layman's Bible Commentary Volume 5</t>
  </si>
  <si>
    <t>Edward P. Blair</t>
  </si>
  <si>
    <t xml:space="preserve">222.14 LON </t>
  </si>
  <si>
    <t>The expositor's Bible Commentary Volume 5. Psalms</t>
  </si>
  <si>
    <t>0-8267-0110-8</t>
  </si>
  <si>
    <t xml:space="preserve">222.13 PET </t>
  </si>
  <si>
    <t xml:space="preserve">A Handbook On Leviticus </t>
  </si>
  <si>
    <t xml:space="preserve">222.13 CON </t>
  </si>
  <si>
    <t>A Translator's Handbook on Leviticus</t>
  </si>
  <si>
    <t>978-0-8308-4202-5</t>
  </si>
  <si>
    <t>222.120 COL e</t>
  </si>
  <si>
    <t>Tyndale Old Testament - EXODUS</t>
  </si>
  <si>
    <t>222.12 DOZ</t>
  </si>
  <si>
    <t>Commentary On Exodus</t>
  </si>
  <si>
    <t>Thomas B. Dozeman</t>
  </si>
  <si>
    <t>0-8028-0592-2</t>
  </si>
  <si>
    <t>222.12 COA</t>
  </si>
  <si>
    <t>Exodus 1-18</t>
  </si>
  <si>
    <t>George W. Coats</t>
  </si>
  <si>
    <t>978-0-8006-5999-8</t>
  </si>
  <si>
    <t>222.11 GEN</t>
  </si>
  <si>
    <t>Genesis: Text &amp; Contexts</t>
  </si>
  <si>
    <t>Athalya Brenner, Archic Chi Chung Lee, Gale. A. Yee (Editor)</t>
  </si>
  <si>
    <t>222.11 DAV</t>
  </si>
  <si>
    <t>The Cambridge Bible Commentary - Genesis 1 - 11</t>
  </si>
  <si>
    <t>The Cambridge Bible Commentary  -  Genesis 12 - 50</t>
  </si>
  <si>
    <t>0-8146-5040-6</t>
  </si>
  <si>
    <t>222.11 COT</t>
  </si>
  <si>
    <t>BERIT OLAM - Studies in Hebrew Narrative &amp; Poetri Genesis</t>
  </si>
  <si>
    <t xml:space="preserve">David W. Cotter </t>
  </si>
  <si>
    <t xml:space="preserve">222.11  VER  </t>
  </si>
  <si>
    <t>J.P Versteeg</t>
  </si>
  <si>
    <t>0-8146-5046-5</t>
  </si>
  <si>
    <t>222.1066 SHE</t>
  </si>
  <si>
    <t>BERIT OLAM - Studies in Hebrew Narrative &amp; Poetri Leviticus, Numbers, Deuteronomy</t>
  </si>
  <si>
    <t>Stephen K. Sherwood</t>
  </si>
  <si>
    <t>222.1 WOL p</t>
  </si>
  <si>
    <t>Pengenalan Pentateukh</t>
  </si>
  <si>
    <t>Herbert Wolf</t>
  </si>
  <si>
    <t>979-504-116-9</t>
  </si>
  <si>
    <t>222.1 WHI</t>
  </si>
  <si>
    <t>Sejarah Para Nabi</t>
  </si>
  <si>
    <t>979-504-118-5</t>
  </si>
  <si>
    <t>Para Nabi dan Raja</t>
  </si>
  <si>
    <t>979-504-117-7</t>
  </si>
  <si>
    <t xml:space="preserve">222.1 PEA </t>
  </si>
  <si>
    <t>A Translator's Guide to Selection from the First Books of The Old Testament</t>
  </si>
  <si>
    <t>222.1 LEK</t>
  </si>
  <si>
    <t>Menuju Tanah Terjanji</t>
  </si>
  <si>
    <t>978-0-89906-014-9</t>
  </si>
  <si>
    <t>222.1  SCH    s</t>
  </si>
  <si>
    <t>The Stone Edition -The Torah : Haftaros And Five Megillos With A Commentary Anthologized From The Rabbinic Writing</t>
  </si>
  <si>
    <t>Rabbi Nosson Scherman</t>
  </si>
  <si>
    <t>Mesorah Punlications, Ltd</t>
  </si>
  <si>
    <t>222 HOW</t>
  </si>
  <si>
    <t>Kitab-kitab Sejarah dalam Perjanjian Lama</t>
  </si>
  <si>
    <t>David Howard Jr.</t>
  </si>
  <si>
    <t>0-8010-6713-8</t>
  </si>
  <si>
    <t>221.4'4 OWE</t>
  </si>
  <si>
    <t>Analytical Key to The Old Testament. Vol.4 Isaiah-Malachi</t>
  </si>
  <si>
    <t>0-8010-6715-4</t>
  </si>
  <si>
    <t>Analytical Key to The Old Testament. Vol.3 Ezra-Song of Solomon</t>
  </si>
  <si>
    <t>0-8010-6753-7</t>
  </si>
  <si>
    <t>Analytical Key to The Old Testament. Vol. 2 Judges-Chronicles</t>
  </si>
  <si>
    <t xml:space="preserve">221.04 BRA </t>
  </si>
  <si>
    <t>Marginal Notes For The Old Testament</t>
  </si>
  <si>
    <t xml:space="preserve">Bratcher </t>
  </si>
  <si>
    <t>221.04  BAC</t>
  </si>
  <si>
    <t>979-415-504-7</t>
  </si>
  <si>
    <t>221. 9505 WAI</t>
  </si>
  <si>
    <t>Bagaimana Membaca Perjanjian Lama</t>
  </si>
  <si>
    <t>221. 93 MUN</t>
  </si>
  <si>
    <t>The Autority and Relevance of The Bible in The Modern World</t>
  </si>
  <si>
    <t>Dr. kenneth G. McMillan</t>
  </si>
  <si>
    <t>221. 04 ROE</t>
  </si>
  <si>
    <t>Memahami Alkitab Jilid I</t>
  </si>
  <si>
    <t>Allan Wainwright</t>
  </si>
  <si>
    <t xml:space="preserve">221,04 BRA </t>
  </si>
  <si>
    <t>Marginal Notes For The Old Testament (Based On The Text Of Today's English Version)</t>
  </si>
  <si>
    <t>979-415-385-0</t>
  </si>
  <si>
    <t>221 BLO</t>
  </si>
  <si>
    <t>Pengantar kepada Perjanjian Lama</t>
  </si>
  <si>
    <t>Dr. J. Blommendaal</t>
  </si>
  <si>
    <t>979-3240-12-1</t>
  </si>
  <si>
    <t>221 BAL</t>
  </si>
  <si>
    <t>Intisari Alkitab Perjanjian Lama</t>
  </si>
  <si>
    <t>John Bachin; Peter Cotterell; Mary Evans; Gilber Kirby; Peggy Knight; Derek Tidball</t>
  </si>
  <si>
    <t>220.950.5 FOK</t>
  </si>
  <si>
    <t>Dibalik Kisah-kisah Alkitab</t>
  </si>
  <si>
    <t>220.950  DRA  g</t>
  </si>
  <si>
    <t>Bible World - The Great Plan, The Bible Story Begins</t>
  </si>
  <si>
    <t>A Lion Book</t>
  </si>
  <si>
    <t>0-8254-2463-1</t>
  </si>
  <si>
    <t>220.95 DOW</t>
  </si>
  <si>
    <t>The Kregel Pictorial Guide to The Story of The Bible</t>
  </si>
  <si>
    <t>978-0-8028-6701-8</t>
  </si>
  <si>
    <t>220.95 DEV</t>
  </si>
  <si>
    <t>The Lives of Ordinary Peoplein Ancient Israel</t>
  </si>
  <si>
    <t>1-85078-227-X</t>
  </si>
  <si>
    <t>220.95  GRE</t>
  </si>
  <si>
    <t>The Great Bible Discovery - The Acts of The Ap[ostles</t>
  </si>
  <si>
    <t>Larousse S.A</t>
  </si>
  <si>
    <t>Tien Wah Press</t>
  </si>
  <si>
    <t>978-979-1029-12-4</t>
  </si>
  <si>
    <t>220.93 UNA</t>
  </si>
  <si>
    <t>Mengenal Benda-benda Alkitab dan Mengungkap Kisah-kisah Menarik di Dalamnya</t>
  </si>
  <si>
    <t>220.93 FRE a</t>
  </si>
  <si>
    <t>Arkeologi dan Sejarah Alkitab</t>
  </si>
  <si>
    <t>Joseph P. Free -Howard F. Vos</t>
  </si>
  <si>
    <t>0-8028-4962-8</t>
  </si>
  <si>
    <t>220.9'2'082 WOM</t>
  </si>
  <si>
    <t>Women in Scripture</t>
  </si>
  <si>
    <t>Carol Meyers (E)</t>
  </si>
  <si>
    <t>3-89116-040-2</t>
  </si>
  <si>
    <t>220.920 SCH</t>
  </si>
  <si>
    <t>Philipp Melanchthon</t>
  </si>
  <si>
    <t>Heinz Scheible</t>
  </si>
  <si>
    <t>220.920 NUB</t>
  </si>
  <si>
    <t xml:space="preserve">Hagar dan Putri-Putrinya, Perempuan Tertindas Dalam Alkitab </t>
  </si>
  <si>
    <t>220.920  SID  s</t>
  </si>
  <si>
    <t>Simon - Mengapa Engkau Menyangkal Aku ?</t>
  </si>
  <si>
    <t>Aidan P. Sidik, Pr.</t>
  </si>
  <si>
    <t>979-9442-09-5</t>
  </si>
  <si>
    <t>Wanita Yang Kuat &amp; Mulia Ester</t>
  </si>
  <si>
    <t>979-9544-04-1</t>
  </si>
  <si>
    <t>220.92 BUK</t>
  </si>
  <si>
    <t>Buku Terbaik Nama-nama Rohani (Nama-nama Pilihan untuk Anak Anda)</t>
  </si>
  <si>
    <t>Gayle Palmquist &amp; John Hartzell</t>
  </si>
  <si>
    <t>Betlehem</t>
  </si>
  <si>
    <t>220.92  NUB  h</t>
  </si>
  <si>
    <t>Hagar dan Putri Putrinya - Perempuan Tertindas Dalam Alkitab</t>
  </si>
  <si>
    <t>220.92  NAI  n</t>
  </si>
  <si>
    <t>PS. Naipospos, Drs. J.J de Heer</t>
  </si>
  <si>
    <t>0-310-28151-2</t>
  </si>
  <si>
    <t>220.92  LOC  a</t>
  </si>
  <si>
    <t>All The Woman of the Bible</t>
  </si>
  <si>
    <t>Herbert Lockyer</t>
  </si>
  <si>
    <t>220.92  BUK</t>
  </si>
  <si>
    <t>Buku Terbaik - Nama - Nama Rohani, Nama-Nama Pilihan Untuk Anak Anda</t>
  </si>
  <si>
    <t>Bethlehem</t>
  </si>
  <si>
    <t>978-979-21-2365-4</t>
  </si>
  <si>
    <t>220.9 SEL</t>
  </si>
  <si>
    <t>Paulus</t>
  </si>
  <si>
    <t>David Self</t>
  </si>
  <si>
    <t>220.9 DEV</t>
  </si>
  <si>
    <t>Crities of The Biblical World</t>
  </si>
  <si>
    <t>Lamoine F. Devries</t>
  </si>
  <si>
    <t>220.9  SMI  b</t>
  </si>
  <si>
    <t xml:space="preserve">Bible From A to Z </t>
  </si>
  <si>
    <t>220.9  RID  p</t>
  </si>
  <si>
    <t>galatia</t>
  </si>
  <si>
    <t>978-979-687-736-2</t>
  </si>
  <si>
    <t>220.8 HEN</t>
  </si>
  <si>
    <t>Perencanaan Strategis Dalam Gereja Dan Pelayanan</t>
  </si>
  <si>
    <t>R. Henry Migliore, Ph.D</t>
  </si>
  <si>
    <t>Tafsiran Alkitab  Kitab Obaja</t>
  </si>
  <si>
    <t>220.7 ROT</t>
  </si>
  <si>
    <t>Tafsiran Kitab 1 Samuel</t>
  </si>
  <si>
    <t>Dr.H. Rothlisberger</t>
  </si>
  <si>
    <t>220.7 NEW</t>
  </si>
  <si>
    <t>F. Davidson</t>
  </si>
  <si>
    <t>220.7 MUL</t>
  </si>
  <si>
    <t>Tafsiran Kitab Judas</t>
  </si>
  <si>
    <t>Dr. Mr. D.C. Mulder</t>
  </si>
  <si>
    <t>0-687-19269-2</t>
  </si>
  <si>
    <t>220.7 INT</t>
  </si>
  <si>
    <t>The Interpreter's one volume commentary on the Bible (Suplementary volume)</t>
  </si>
  <si>
    <t>Keith Crim (E)</t>
  </si>
  <si>
    <t>0--687-19299-4</t>
  </si>
  <si>
    <t>The Interpreter's one volume commentary on the Bible</t>
  </si>
  <si>
    <t>220.7 HEE</t>
  </si>
  <si>
    <t>Ds. A. Pos</t>
  </si>
  <si>
    <t>220.7 BAR</t>
  </si>
  <si>
    <t>Tafsiran Alkitab Kitab Mazmur 1-41</t>
  </si>
  <si>
    <t>M.C Bart &amp; B.A. Pareira</t>
  </si>
  <si>
    <t>220.7 BAC</t>
  </si>
  <si>
    <t xml:space="preserve">The Gospel of Luke </t>
  </si>
  <si>
    <t xml:space="preserve">William Barclay </t>
  </si>
  <si>
    <t>220.68 R. 35</t>
  </si>
  <si>
    <t xml:space="preserve">Dapatkah Alkitab Dipercaya? </t>
  </si>
  <si>
    <t>979-731-896-6</t>
  </si>
  <si>
    <t>220.67 NOO</t>
  </si>
  <si>
    <t>220.64  BIB  The Bible Code  Thn. 1997</t>
  </si>
  <si>
    <t>The Bible Code ( Sandi Alkitab )</t>
  </si>
  <si>
    <t xml:space="preserve">220.6 SIT  </t>
  </si>
  <si>
    <t xml:space="preserve">Methode Penafsiran Alkitab </t>
  </si>
  <si>
    <t>Dr. A.A. Sitompul dan Dr. U. Beyer</t>
  </si>
  <si>
    <t>220.6 REU</t>
  </si>
  <si>
    <t>Menyelidiki Alkitab Bersama-sama</t>
  </si>
  <si>
    <t>B. F. Rosin-Reuser</t>
  </si>
  <si>
    <t>220.6 BAR</t>
  </si>
  <si>
    <t>220.6  BAR  a</t>
  </si>
  <si>
    <t>Alkitab Didunia Modern</t>
  </si>
  <si>
    <t>220.520.82  MOS  g</t>
  </si>
  <si>
    <t>Good News for Modern Man ' The Devil's Masterpiece"</t>
  </si>
  <si>
    <t>M.L Moser, Jr.</t>
  </si>
  <si>
    <t>An Introduction To The Bible Societies Greek New Testament</t>
  </si>
  <si>
    <t>978-84-330-1798-7</t>
  </si>
  <si>
    <t>220.470  BIB  ( Latina Americana ) Thn. 2007</t>
  </si>
  <si>
    <t>Biblia de Jerusalen - Latino Americana</t>
  </si>
  <si>
    <t>Latina Americana</t>
  </si>
  <si>
    <t>Desclee De Brouwer, Bilbao</t>
  </si>
  <si>
    <t>0-564-00029-9</t>
  </si>
  <si>
    <t>220.44 HEB</t>
  </si>
  <si>
    <t>Hebrew Old Testament</t>
  </si>
  <si>
    <t>3-438-05218-0</t>
  </si>
  <si>
    <t>220.44 Alk. Hebrew</t>
  </si>
  <si>
    <t>Alkitab Hebrew</t>
  </si>
  <si>
    <t>Great Britain at the University Press</t>
  </si>
  <si>
    <t>220.3 KIT t</t>
  </si>
  <si>
    <t>Theologisches Worterbuch Band II</t>
  </si>
  <si>
    <t>Gerhard Kittel</t>
  </si>
  <si>
    <t>Theologisches Worterbuch Band V</t>
  </si>
  <si>
    <t>0-8407-2071-8</t>
  </si>
  <si>
    <t xml:space="preserve">220.3 NEW </t>
  </si>
  <si>
    <t>New Illustrated Bible Dictionary (Completely Revised and Updated Edition)</t>
  </si>
  <si>
    <t>Ronald F. Youngblood (General Editor)</t>
  </si>
  <si>
    <t>0-385-26190-X</t>
  </si>
  <si>
    <t xml:space="preserve">220.3 ANC.2 V.3 </t>
  </si>
  <si>
    <t>The Anchor Bible Dictionary Volume 3 H-J</t>
  </si>
  <si>
    <t>David Noel Freedman (Editor)</t>
  </si>
  <si>
    <t>0-8267-0304-6</t>
  </si>
  <si>
    <t>220.2 SCRIPT</t>
  </si>
  <si>
    <t>Scripture of The World</t>
  </si>
  <si>
    <t>220.13 LEK</t>
  </si>
  <si>
    <t>Sabda Tuhan dan Pembacanya</t>
  </si>
  <si>
    <t>220.13 FRO</t>
  </si>
  <si>
    <t>Menemukan Kuasa Alkitab</t>
  </si>
  <si>
    <t>R. N. Frost</t>
  </si>
  <si>
    <t xml:space="preserve">220.13 COG </t>
  </si>
  <si>
    <t xml:space="preserve">Word and World </t>
  </si>
  <si>
    <t>Donald Coggan (Archbishop of York)</t>
  </si>
  <si>
    <t>978-602-1315-13-2</t>
  </si>
  <si>
    <t>220.13  SUG</t>
  </si>
  <si>
    <t xml:space="preserve">School Of Life 2 </t>
  </si>
  <si>
    <t xml:space="preserve"> Yotam Sugihyono &amp; Alvita Dewi Siswoyo Marpaung.</t>
  </si>
  <si>
    <t>220.13  RID  d</t>
  </si>
  <si>
    <t>Dapatkah Alkitab Dipercayai ?</t>
  </si>
  <si>
    <t>BPK - Gunung Mulia</t>
  </si>
  <si>
    <t>978-0-8010-3242-4</t>
  </si>
  <si>
    <t>220.12 EVA e</t>
  </si>
  <si>
    <t>Exploring The Origins of the Bible</t>
  </si>
  <si>
    <t>Craig A. Evans Dkk</t>
  </si>
  <si>
    <t>220.12 EXP</t>
  </si>
  <si>
    <t>Exploring the Origins of the Bible</t>
  </si>
  <si>
    <t>Craig A. Evans and Emanuel Tov (E)</t>
  </si>
  <si>
    <t>220.1 MUN</t>
  </si>
  <si>
    <t xml:space="preserve">Benarkah Alkitab merupakan Pesan dari Tuhan? </t>
  </si>
  <si>
    <t>90-6126-910-5</t>
  </si>
  <si>
    <t>220.1 BLO</t>
  </si>
  <si>
    <t>Het Verhaal Van De Bijbel</t>
  </si>
  <si>
    <t>Door Hanna Blok</t>
  </si>
  <si>
    <t>220.1 BAK</t>
  </si>
  <si>
    <t>Two Testament, One Bible</t>
  </si>
  <si>
    <t>D. L. Baker</t>
  </si>
  <si>
    <t>220.1 ALK</t>
  </si>
  <si>
    <t>Korespondensi Agama</t>
  </si>
  <si>
    <t>220.07 PAS</t>
  </si>
  <si>
    <t>The Pastor's Bible Study. Volume One</t>
  </si>
  <si>
    <t>The Pastor's Bible Study Volume Two</t>
  </si>
  <si>
    <t xml:space="preserve"> 0-687-04364-6</t>
  </si>
  <si>
    <t>220.07 CAR p</t>
  </si>
  <si>
    <t>The Pastor's Bible Study Volume One</t>
  </si>
  <si>
    <t>Warren Carter</t>
  </si>
  <si>
    <t>979-763-445-0</t>
  </si>
  <si>
    <t>220.04 WIJ</t>
  </si>
  <si>
    <t>23 Fakta Unik Dan Misteri Alkitab. Pesona Alkitab</t>
  </si>
  <si>
    <t>Dede Wijaya</t>
  </si>
  <si>
    <t>978-1-84483-454-9</t>
  </si>
  <si>
    <t>220.04 POR</t>
  </si>
  <si>
    <t>The Illustrated Guide to The Bible</t>
  </si>
  <si>
    <t>Duncan Baird</t>
  </si>
  <si>
    <t>220.04 GUA</t>
  </si>
  <si>
    <t>Anda Bertanya? Alkitab Menjawab</t>
  </si>
  <si>
    <t>DR. Caprili Guanga</t>
  </si>
  <si>
    <t xml:space="preserve">0-465-00427- X </t>
  </si>
  <si>
    <t xml:space="preserve">220.04 ALT </t>
  </si>
  <si>
    <t>978-979-463-705-0</t>
  </si>
  <si>
    <t>220.04  WHA</t>
  </si>
  <si>
    <t xml:space="preserve">What is the Bible ?   Apakah Alkitab itu </t>
  </si>
  <si>
    <t>Sue Graves</t>
  </si>
  <si>
    <t>220.04  AMB  b</t>
  </si>
  <si>
    <t>Benarkah Ada Nubuat Kenabian Muhammad Dalam Alkitab ?</t>
  </si>
  <si>
    <t>220. 92 LOC</t>
  </si>
  <si>
    <t>All the Woman of the Bible</t>
  </si>
  <si>
    <t>0-8010-2427-7</t>
  </si>
  <si>
    <t>220. 03 CAR  k</t>
  </si>
  <si>
    <t xml:space="preserve">The King James Version Debate A Plea for Realism </t>
  </si>
  <si>
    <t>220.  SWI  k</t>
  </si>
  <si>
    <t>Seri Tokoh Terbesar - Kisah Menarik Orang - Orang Yang Terlupakan</t>
  </si>
  <si>
    <t>220.  SWI  a</t>
  </si>
  <si>
    <t>Seri Tokoh Terbesar - Ayub</t>
  </si>
  <si>
    <t>215 MUN</t>
  </si>
  <si>
    <t>Ilmu Pengetahuan: Apakah Alkitab Mendahului Masanya?</t>
  </si>
  <si>
    <t xml:space="preserve">215  MUN  </t>
  </si>
  <si>
    <t>Ilmu Pengetahuan - Apakah Alkitab Mendahului Masanya ?</t>
  </si>
  <si>
    <t>Ralph. O. Muncaster</t>
  </si>
  <si>
    <t>978-979-15839-0-9</t>
  </si>
  <si>
    <t>214 PAR</t>
  </si>
  <si>
    <t>Keadilan, Perdamaian &amp; Keutuhan Ciptaan</t>
  </si>
  <si>
    <t>Berthold. A. Pareira</t>
  </si>
  <si>
    <t>73-75116</t>
  </si>
  <si>
    <t xml:space="preserve">210.14 NEW </t>
  </si>
  <si>
    <t>New Essays on Religious Language</t>
  </si>
  <si>
    <t>Dallas M. High</t>
  </si>
  <si>
    <t>204.5 HAN</t>
  </si>
  <si>
    <t>The Holy Land</t>
  </si>
  <si>
    <t>J.E Hanauer</t>
  </si>
  <si>
    <t>200.8 KAT</t>
  </si>
  <si>
    <t>Compassionate And Free (Tersentuh Dan Bebas)</t>
  </si>
  <si>
    <t>Marianne Katopo</t>
  </si>
  <si>
    <t xml:space="preserve">153.8 PAR </t>
  </si>
  <si>
    <t>60 Menit Ayah - Satu Jam Untuk Mengubah Kehidupan Anak Anda</t>
  </si>
  <si>
    <t>Yayasan Pekabaran In jil</t>
  </si>
  <si>
    <t xml:space="preserve">121.686 NUR </t>
  </si>
  <si>
    <t>Selamat Natal Menurut Al-Quran</t>
  </si>
  <si>
    <t>R. Muhamad Nurdin</t>
  </si>
  <si>
    <t>978-0-8028-2895-8</t>
  </si>
  <si>
    <t>091 HUR</t>
  </si>
  <si>
    <t>The Earliest Christian Artifacts Manuscripts and Christian Origins</t>
  </si>
  <si>
    <t>0-8028-4366-2</t>
  </si>
  <si>
    <t>091 GER</t>
  </si>
  <si>
    <t>The Biblical Resource Series Memory &amp; Manuscript</t>
  </si>
  <si>
    <t>Birger Gerhardsson</t>
  </si>
  <si>
    <t>080 ROE</t>
  </si>
  <si>
    <t>Kenangan Kepada Orang Benar Membawa Berkat</t>
  </si>
  <si>
    <t>Pdt. Prof. DR. W. A. Roeroe</t>
  </si>
  <si>
    <t>Ukritpress dan letak</t>
  </si>
  <si>
    <t xml:space="preserve">070.51  HEN  </t>
  </si>
  <si>
    <t>That's A Thought A Selection of Inspiring Messages From the later years of The rev. Sidney H. Iggulden</t>
  </si>
  <si>
    <t>Sidney H. Iggulden</t>
  </si>
  <si>
    <t>Son Printters, Lahore Pakistan</t>
  </si>
  <si>
    <t>978-3-8416-0650-1</t>
  </si>
  <si>
    <t xml:space="preserve">070.48 SAN </t>
  </si>
  <si>
    <t xml:space="preserve">Leiden und Hoffnung </t>
  </si>
  <si>
    <t xml:space="preserve">Germany </t>
  </si>
  <si>
    <t xml:space="preserve">Fromm Verlag </t>
  </si>
  <si>
    <t>070.48 DAR</t>
  </si>
  <si>
    <t xml:space="preserve">Dari Surabaya Ke Jayapura </t>
  </si>
  <si>
    <t xml:space="preserve">Weinata Sairin </t>
  </si>
  <si>
    <t>0-938978-13-6</t>
  </si>
  <si>
    <t>411 VOI t</t>
  </si>
  <si>
    <t>The Alphabet Makers</t>
  </si>
  <si>
    <t>Katherine Voigtlander &amp; Karen Lewis</t>
  </si>
  <si>
    <t>011.008 MEM</t>
  </si>
  <si>
    <t>40 Tahun Membiara</t>
  </si>
  <si>
    <t>Sr. M. Benedicta</t>
  </si>
  <si>
    <t xml:space="preserve">010.4 TEE </t>
  </si>
  <si>
    <t xml:space="preserve">Modern Indonesian Literature </t>
  </si>
  <si>
    <t>A. Teeuw</t>
  </si>
  <si>
    <t>The Hague Martinus Nijhoff</t>
  </si>
  <si>
    <t>010.4 IGG</t>
  </si>
  <si>
    <t>Menggali Butir - Butir Keutamaan</t>
  </si>
  <si>
    <t>Dr. William Chang, OFM Cap</t>
  </si>
  <si>
    <t xml:space="preserve">010 JKLPK </t>
  </si>
  <si>
    <t xml:space="preserve">Bagaimana Orang Kristen Menghadapi Pemilu 2004? </t>
  </si>
  <si>
    <t>JKLPK Regional Jabotabed</t>
  </si>
  <si>
    <t>978-969-250-871-4</t>
  </si>
  <si>
    <t>010 IGG</t>
  </si>
  <si>
    <t>Grasped by GOD for GOD oleh : Rev. Sidney H. Iggulden</t>
  </si>
  <si>
    <t>Rev.Sidney H. Iggulden</t>
  </si>
  <si>
    <t>Son Printers</t>
  </si>
  <si>
    <t>978-602-6255-01-3</t>
  </si>
  <si>
    <t xml:space="preserve">010 END </t>
  </si>
  <si>
    <t xml:space="preserve">One For All, All For One "Strategi Menilai Kerja Kelompok </t>
  </si>
  <si>
    <t>Herman Yosep Sunu Endrayanto</t>
  </si>
  <si>
    <t xml:space="preserve">PT Matana Publishing Utama </t>
  </si>
  <si>
    <t>978-602-6255-04-4</t>
  </si>
  <si>
    <t xml:space="preserve">Digital Multimedia "Teknologi Penunjang Pembelajaran PAK dan Sekolah Minggu </t>
  </si>
  <si>
    <t xml:space="preserve">Igrea Siswanto </t>
  </si>
  <si>
    <t xml:space="preserve">010 DOC </t>
  </si>
  <si>
    <t>Suara Dari Mimbar - Seri 20</t>
  </si>
  <si>
    <t>Pdt. Ny. M. Sihite Sumbayak, STh.</t>
  </si>
  <si>
    <t>978-602-231-689-3</t>
  </si>
  <si>
    <t>010 BAK</t>
  </si>
  <si>
    <t xml:space="preserve">Baki 2020 Buku Almanak Kristen Indonesia </t>
  </si>
  <si>
    <t xml:space="preserve">PGI </t>
  </si>
  <si>
    <t xml:space="preserve">001.4 SUT </t>
  </si>
  <si>
    <t xml:space="preserve">Metodologi Penelitian Kualitatif dasar teori dan terapannya dalam penelitian </t>
  </si>
  <si>
    <t xml:space="preserve">H.B. Sutopo </t>
  </si>
  <si>
    <t xml:space="preserve">Universitas Sebelas Maret </t>
  </si>
  <si>
    <t>0-300-02288-3</t>
  </si>
  <si>
    <t xml:space="preserve"> 935  HOP d</t>
  </si>
  <si>
    <t>The Discovery Of Dura - Europos</t>
  </si>
  <si>
    <t>Clark Hopkins</t>
  </si>
  <si>
    <t>New Haven And London Yale University Press</t>
  </si>
  <si>
    <t xml:space="preserve"> 226.3 PER</t>
  </si>
  <si>
    <t>Perhatikan</t>
  </si>
  <si>
    <t>0-8054-3145-4</t>
  </si>
  <si>
    <t xml:space="preserve"> 091 COM</t>
  </si>
  <si>
    <t>Encountering The Manuscripts</t>
  </si>
  <si>
    <t>Philip Comfort</t>
  </si>
  <si>
    <t>Boadman &amp; Holman Publisher</t>
  </si>
  <si>
    <t xml:space="preserve">  229.7  DOR m</t>
  </si>
  <si>
    <t>2 Maccabees</t>
  </si>
  <si>
    <t xml:space="preserve">   222.5  WIS  k</t>
  </si>
  <si>
    <t>Tyndale Old Testament Commentaries (TOTC) Vol. 9 - 1 And 2 Kings</t>
  </si>
  <si>
    <t xml:space="preserve">    222.1   TOR</t>
  </si>
  <si>
    <t>The Torah</t>
  </si>
  <si>
    <t>The Jewish Publication Society Of America, Philadelphia</t>
  </si>
  <si>
    <t xml:space="preserve">    070.482   STU</t>
  </si>
  <si>
    <t>Stulos - Jurnal Teologi Vol.15 No.1 Juni 2016</t>
  </si>
  <si>
    <t>Jurnal</t>
  </si>
  <si>
    <t>Sekolah Tinggi Teologi Bandung</t>
  </si>
  <si>
    <t xml:space="preserve">    070.482   NEW</t>
  </si>
  <si>
    <t>Journal for the study of The New Testament Booklist 2016 Vol. 38.5 August 2016</t>
  </si>
  <si>
    <t>Sage Publishing</t>
  </si>
  <si>
    <t xml:space="preserve">    070.482   CHU </t>
  </si>
  <si>
    <t xml:space="preserve">Church Society In Asia Today </t>
  </si>
  <si>
    <t xml:space="preserve">Trinity Theological, Singapore </t>
  </si>
  <si>
    <t>90-6126-259-3</t>
  </si>
  <si>
    <t>220.439.31 STA</t>
  </si>
  <si>
    <t>Start Bijbel</t>
  </si>
  <si>
    <t>Alkitab</t>
  </si>
  <si>
    <t xml:space="preserve">     025.31  EVA</t>
  </si>
  <si>
    <t>Herbs 2016 - Eva Sachbuch I Religion</t>
  </si>
  <si>
    <t>978-0-8054-9648-2</t>
  </si>
  <si>
    <t>224.96-99 CEN e</t>
  </si>
  <si>
    <t>Exposition - Exalting Jesus in</t>
  </si>
  <si>
    <t>Christ -Centeres</t>
  </si>
  <si>
    <t>Holman Reference</t>
  </si>
  <si>
    <t xml:space="preserve">070.482 SAA        </t>
  </si>
  <si>
    <t>Buku Doa - Saat teduh, Doa-Doa Pengharapan</t>
  </si>
  <si>
    <t>227.4 BET g</t>
  </si>
  <si>
    <t>Hermeneia - Galatians</t>
  </si>
  <si>
    <t>225.520.1 COU</t>
  </si>
  <si>
    <t>On Course</t>
  </si>
  <si>
    <t>The Bible Society Australia</t>
  </si>
  <si>
    <t>291.216 UNA m</t>
  </si>
  <si>
    <t>Menyingkap Tabir Praktek- Praktek Kuasa Kegelapan</t>
  </si>
  <si>
    <t>Tjangkir Mas</t>
  </si>
  <si>
    <t>John E. Ingouf</t>
  </si>
  <si>
    <t>Lembaga Literatur Baptis</t>
  </si>
  <si>
    <t>978-614-430-057-2</t>
  </si>
  <si>
    <t xml:space="preserve">232.492.7 BOL          </t>
  </si>
  <si>
    <t>The Bold Proclamation of The Apostles of Christ</t>
  </si>
  <si>
    <t>Libanon</t>
  </si>
  <si>
    <t>Arab</t>
  </si>
  <si>
    <t>231.04 TOW  n</t>
  </si>
  <si>
    <t>Nama - Nama Allah</t>
  </si>
  <si>
    <t>011.088 DOC s</t>
  </si>
  <si>
    <t>Samuel Doctorian Dimulai di Kalvari</t>
  </si>
  <si>
    <t>979-413-932-3</t>
  </si>
  <si>
    <t xml:space="preserve">351.076 PER                           </t>
  </si>
  <si>
    <t>Permasalahan Sekitar Kitab Suci - 1</t>
  </si>
  <si>
    <t xml:space="preserve">296.09 EAR             </t>
  </si>
  <si>
    <t>Early Judaism - A Comprehensive Overview</t>
  </si>
  <si>
    <t>John. J. Collins and Daniel C. Harlow                    ( Edited)</t>
  </si>
  <si>
    <t>Eeerdmans</t>
  </si>
  <si>
    <t>Volker Kuster, Robert Setio ( Eds )</t>
  </si>
  <si>
    <t>Evangelische Verlagsanstalt Leipzig</t>
  </si>
  <si>
    <t>241 SOS e</t>
  </si>
  <si>
    <t>Etika Perjanjian Lama - The Old Testament</t>
  </si>
  <si>
    <t>Law &amp; Obidience</t>
  </si>
  <si>
    <t>Suara Harapan bangsa</t>
  </si>
  <si>
    <t>978-979-21-1931-2</t>
  </si>
  <si>
    <t>230 STA t</t>
  </si>
  <si>
    <t>Tragedi Kemanusiaan- Kejatuhan, Peradaban Jahat dan Penderitaan Manusia</t>
  </si>
  <si>
    <t>Surip Stanislaus, OFM.Cap</t>
  </si>
  <si>
    <t>227.1 MOR t</t>
  </si>
  <si>
    <t>227.1 MUR t</t>
  </si>
  <si>
    <t>Kita Telah Melihat KemuliaanNYA</t>
  </si>
  <si>
    <t>225.9 BAR n</t>
  </si>
  <si>
    <t>The New Testament Bacground</t>
  </si>
  <si>
    <t>C.K. Barrett ( Editor )</t>
  </si>
  <si>
    <t>The Masage Of The New Testament</t>
  </si>
  <si>
    <t>978-1541-040380</t>
  </si>
  <si>
    <t>224.96 MEY b</t>
  </si>
  <si>
    <t>The Book of Zephaniah - A Verse by : Verse Commentary Prof. Tom Meyer</t>
  </si>
  <si>
    <t>Prof. Tom Meyer</t>
  </si>
  <si>
    <t>Jerusalem University College</t>
  </si>
  <si>
    <t>Tyndall Old Testament - Ezra And Nehemiah</t>
  </si>
  <si>
    <t>222.43 ROT s</t>
  </si>
  <si>
    <t>Tafsiran - 1 Semual</t>
  </si>
  <si>
    <t>Badan Penerbit Kristen, Jakarta</t>
  </si>
  <si>
    <t>222.4 BAL s</t>
  </si>
  <si>
    <t>Tyndale Testament Commentaries (TOTC) - 1 And 2 Samuel</t>
  </si>
  <si>
    <t>664-20841-X</t>
  </si>
  <si>
    <t>222.13 PAT k</t>
  </si>
  <si>
    <t>Tafsiran Alkitab - Kitab Imamat</t>
  </si>
  <si>
    <t>Robery M. Paterson</t>
  </si>
  <si>
    <t>90-6126-913-X</t>
  </si>
  <si>
    <t>220.1.439.31 MCD o</t>
  </si>
  <si>
    <t>Dr. C.C de Bruin De Staten Bijbel en Zijn Voorgangers</t>
  </si>
  <si>
    <t>Dr. F.G.M Boeyerr</t>
  </si>
  <si>
    <t>Nederlands Bijbelgennotschap Haarlem</t>
  </si>
  <si>
    <t>220.1 CER p</t>
  </si>
  <si>
    <t>Alkitab : Dari Mana Datangnya ? Pedoman Alkitab Praktis</t>
  </si>
  <si>
    <t>H.L Cermat</t>
  </si>
  <si>
    <t>220.04 WAH d</t>
  </si>
  <si>
    <t>Disini Kutemukan</t>
  </si>
  <si>
    <t>Prof. S. Wismoady Wahono Ph. D</t>
  </si>
  <si>
    <t>220.04 CER d</t>
  </si>
  <si>
    <t>Alkitab : Dari Mana Datangnya ?</t>
  </si>
  <si>
    <t>210.14 NEW</t>
  </si>
  <si>
    <t>New Essays on Religion</t>
  </si>
  <si>
    <t>Language And Natural Theology</t>
  </si>
  <si>
    <t>Mouton &amp; Co</t>
  </si>
  <si>
    <t xml:space="preserve">208.2 NAG        </t>
  </si>
  <si>
    <t>Marvin Meyer (Edited)</t>
  </si>
  <si>
    <t xml:space="preserve">011.008 MEM          </t>
  </si>
  <si>
    <t>Sr. M. Benedicta, S.P.M</t>
  </si>
  <si>
    <t>978-0-310-22636-9</t>
  </si>
  <si>
    <t>The Morphologi of Biblical Greek</t>
  </si>
  <si>
    <t>978-949-29-3716-9</t>
  </si>
  <si>
    <t>232 ANG t</t>
  </si>
  <si>
    <t>Transformasi Komunitas - Mengaktifkan Potensi-potensi dalam Komunitas untuk mencapai Taraf Hidup yang lebih Sejahtera</t>
  </si>
  <si>
    <t>978-614-8001-30-7</t>
  </si>
  <si>
    <t xml:space="preserve">226.492 GOO           </t>
  </si>
  <si>
    <t>Thus Spoke The Christ - Good News Arabic ( GNA)</t>
  </si>
  <si>
    <t>Bible Society Libanon</t>
  </si>
  <si>
    <t>Tyndale Old Testament Commentaries (TOTC) Vol. 4 - Numbers</t>
  </si>
  <si>
    <t>Gordon J.Wenham, MA, PH.D.</t>
  </si>
  <si>
    <t>Genesis - texts contexts</t>
  </si>
  <si>
    <t>Athalya Brenner Archie Chi Chung Lee,  Gale A. Yee ( Editors )</t>
  </si>
  <si>
    <t>The Old Testament Library - Genesis</t>
  </si>
  <si>
    <t>978-614-430-068-8</t>
  </si>
  <si>
    <t>The True Meaning of the Gospel and Acts in Arabic , Produced by : Alkalima</t>
  </si>
  <si>
    <t>Alfurat</t>
  </si>
  <si>
    <t>Philosophische Anthropologie</t>
  </si>
  <si>
    <t>Wilhelm Kamlah</t>
  </si>
  <si>
    <t>Bibliographisches Insitut Mannheim Wien Zurich</t>
  </si>
  <si>
    <t>0-671-63190-X</t>
  </si>
  <si>
    <t>808.83 KAZ n</t>
  </si>
  <si>
    <t>Nikos Kazantzakis</t>
  </si>
  <si>
    <t>Toucstone Book</t>
  </si>
  <si>
    <t>978-0-8204-2123-0</t>
  </si>
  <si>
    <t>415 MCK n</t>
  </si>
  <si>
    <t>A New Syntax Of The Verb in New Testament Greek</t>
  </si>
  <si>
    <t>979-8307-30-5</t>
  </si>
  <si>
    <t>230 SUS t</t>
  </si>
  <si>
    <t>Seri Pengantar - Teologi Modern I</t>
  </si>
  <si>
    <t>Yakub Susabda</t>
  </si>
  <si>
    <t>227 ROB w</t>
  </si>
  <si>
    <t>Word Pictures In The New Testament</t>
  </si>
  <si>
    <t>Archibald Thomas Robertson</t>
  </si>
  <si>
    <t>226 KRI i</t>
  </si>
  <si>
    <t>Injil Suci Dalam Sekilas - Matius, Markus, Lukas, Yohanes</t>
  </si>
  <si>
    <t>Pohon Cahaya, Yogyakarta</t>
  </si>
  <si>
    <t>Tyndale Testament Commentaries (TOTC) - Ecclesiastes</t>
  </si>
  <si>
    <t>Hetty Laleman</t>
  </si>
  <si>
    <t>Tyndale Testament Commentaries (TOTC) -1 Chronicles</t>
  </si>
  <si>
    <t>Tafsiran Semuel</t>
  </si>
  <si>
    <t>Pengetahuan Tentang Isi Alkitab</t>
  </si>
  <si>
    <t>J. Madjan &amp; K. Riedel</t>
  </si>
  <si>
    <t>978-9692-5087-14</t>
  </si>
  <si>
    <t>010.4 IGG g</t>
  </si>
  <si>
    <t>Grasped by GOD For GOD</t>
  </si>
  <si>
    <t>Pakistan</t>
  </si>
  <si>
    <t>Rev. Sidney H. Iggulden</t>
  </si>
  <si>
    <t>Pakistan Bible Society</t>
  </si>
  <si>
    <t>978979-29-2827-3</t>
  </si>
  <si>
    <t>0-551-0036-7</t>
  </si>
  <si>
    <t>226.6 NEI n</t>
  </si>
  <si>
    <t>New Century Bible - The Acts of The Apostles</t>
  </si>
  <si>
    <t>William Neil</t>
  </si>
  <si>
    <t>226.4 RIY lk</t>
  </si>
  <si>
    <t>Lukas " Sungguh, Orang ini adalah Orang Benar !</t>
  </si>
  <si>
    <t>025.31 AKT</t>
  </si>
  <si>
    <t>Information Fur Den Buchhandel - Herbst 2016</t>
  </si>
  <si>
    <t>Edition Chrismon - Herbst 2016</t>
  </si>
  <si>
    <t>LKG - Gebundelte Auslieferung</t>
  </si>
  <si>
    <t>Aktuell - Herbst 2016</t>
  </si>
  <si>
    <t>978-0-310-23082-3</t>
  </si>
  <si>
    <t>222.11-13 LON e</t>
  </si>
  <si>
    <t>The Expositor's Bible Commentary - Revised Edition,Genesis - Leviticus - 1</t>
  </si>
  <si>
    <t>Tremper Longman III &amp; David E. Garland ( Generals Editor</t>
  </si>
  <si>
    <t>978-0-567-10123-5</t>
  </si>
  <si>
    <t>International Critical Commentary - Colossian And Philemon   A Critical And Exegetical Commentary</t>
  </si>
  <si>
    <t>978-0-56732-328-6</t>
  </si>
  <si>
    <t>224.6 MAC h</t>
  </si>
  <si>
    <t>Hosea - A Critical And Exegetical Commentary</t>
  </si>
  <si>
    <t>A.A Macintosh</t>
  </si>
  <si>
    <t>224.1 WIL c</t>
  </si>
  <si>
    <t>International Critical Commentary - ISAIAH 1-5  A Critical And Exegetical Commentary</t>
  </si>
  <si>
    <t>H.G M. Williamson</t>
  </si>
  <si>
    <t>979-763-438-8</t>
  </si>
  <si>
    <t>220.04 PER i</t>
  </si>
  <si>
    <t>Injil Yudas Menggugah Atau Menggugat Iman ?</t>
  </si>
  <si>
    <t>Nicholas Perrin</t>
  </si>
  <si>
    <t>0-8267-0341-0</t>
  </si>
  <si>
    <t>487.4 GREE</t>
  </si>
  <si>
    <t>Greek - English Lexicon Of The New Testament</t>
  </si>
  <si>
    <t>Johannes P. Louw (Editor)</t>
  </si>
  <si>
    <t xml:space="preserve"> 230.041.1 SAN s</t>
  </si>
  <si>
    <t>Satu Iota Tak Akan Ditinggalkan - Pengantar Kedalam Perjanjian Lama.</t>
  </si>
  <si>
    <t>978-979-29-3606-3</t>
  </si>
  <si>
    <t>227.91 SCH t</t>
  </si>
  <si>
    <t>Tafsiran Surat Yakobus - Iman dan Perbuatan</t>
  </si>
  <si>
    <t>Pdt. DR. Rainer Scheunemann</t>
  </si>
  <si>
    <t>Gift &amp; Giver - Mengenali Roh Kudus</t>
  </si>
  <si>
    <t>Craig.S. Keener</t>
  </si>
  <si>
    <t xml:space="preserve">                                        225.520.1          CON                      </t>
  </si>
  <si>
    <t>The Amplified Bible</t>
  </si>
  <si>
    <r>
      <rPr>
        <rFont val="Calibri"/>
        <color theme="1"/>
        <sz val="9.0"/>
      </rPr>
      <t>Contemporer English Version -</t>
    </r>
    <r>
      <rPr>
        <rFont val="Calibri"/>
        <b/>
        <color theme="1"/>
        <sz val="9.0"/>
      </rPr>
      <t>Life Source</t>
    </r>
    <r>
      <rPr>
        <rFont val="Calibri"/>
        <color theme="1"/>
        <sz val="9.0"/>
      </rPr>
      <t xml:space="preserve"> - The Handbook for life New Testament</t>
    </r>
  </si>
  <si>
    <t xml:space="preserve">                                                                  413.499.221               KRA             k</t>
  </si>
  <si>
    <t>Kamus Indonesisch - Nederlands en Nederlands - Indonesisch</t>
  </si>
  <si>
    <t>Indonesia - Belanda</t>
  </si>
  <si>
    <t>A.L.N Kramer Sr</t>
  </si>
  <si>
    <t xml:space="preserve">Gravenhage </t>
  </si>
  <si>
    <t>Ya Allah Ya Ruhulqudus Aku Selamat Dunia dan Akhirat (Kisah Nyata Muhamad Nurdin)</t>
  </si>
  <si>
    <t>0-85648-303-6</t>
  </si>
  <si>
    <t>Words of Joy</t>
  </si>
  <si>
    <t>Word Biblical Commentary Vol. 49. 1 Peter</t>
  </si>
  <si>
    <t>Word Biblical Commentary Vol. 45. 1&amp; 2 Thessalonians</t>
  </si>
  <si>
    <t>1411-7649</t>
  </si>
  <si>
    <t>Veritas (Jurnal Teologi dan Pelayanan) Volume 2 Nomor 1 (April 2001)</t>
  </si>
  <si>
    <t>Veritas (Jurnal Teologi dan Pelayanan) Volume 12 Nomor 1 (April 2011)</t>
  </si>
  <si>
    <t>978-1-55671-248-7</t>
  </si>
  <si>
    <t>Translator's Notes Luke 9-16</t>
  </si>
  <si>
    <t>Larry Allen dan Linda Neeley</t>
  </si>
  <si>
    <t>978-88-8498-468-5</t>
  </si>
  <si>
    <t>Translation and The Machine: Technology, Meaning, Praxis</t>
  </si>
  <si>
    <t>Steve Berneking dan Scott S. Elliott</t>
  </si>
  <si>
    <t>Edizioni Di Storia E Letteratura</t>
  </si>
  <si>
    <t>Jacky Raymond</t>
  </si>
  <si>
    <t>Tobelorese Ethnobiology: The Folk Classification of "Biocic Forms"</t>
  </si>
  <si>
    <t>4-8202-4216-4</t>
  </si>
  <si>
    <t>The Panoramic Bible</t>
  </si>
  <si>
    <t>Ilustrasi</t>
  </si>
  <si>
    <t>978-979-26-3569-0</t>
  </si>
  <si>
    <t>The Name Jesus (Berdoalah dalam Nama Yesus… doa Anda akan dijawab! (Mengenal Yesus melalui Penggambaran, perbuatan, dan karakter-Nya dari Kejadian-Wahyu)</t>
  </si>
  <si>
    <t>Wol Soo Bae</t>
  </si>
  <si>
    <t>0-316-50603-6</t>
  </si>
  <si>
    <t>The Joy of Life: From Growing up to Growing Old, a Celebration of Life's Fun and Wonder</t>
  </si>
  <si>
    <t>Philip B. Kunhardt Jr.</t>
  </si>
  <si>
    <t>Little, Brown and Company (Canada) Limited</t>
  </si>
  <si>
    <t>The International Critical Commentary Epistles of ST. Paul to The Thessalonians</t>
  </si>
  <si>
    <t>0-7607-4827-6</t>
  </si>
  <si>
    <t>The Bible Timeline</t>
  </si>
  <si>
    <t>Thomas Robinson</t>
  </si>
  <si>
    <t>Metro Books</t>
  </si>
  <si>
    <t>The Bibel Translator Ten-Year Index (Volume 1-10/ 1950-1959)</t>
  </si>
  <si>
    <t>978-602-8930-35-2</t>
  </si>
  <si>
    <t>The Action Bible (Kisah Penebusan Tuhan)</t>
  </si>
  <si>
    <t>Sergio Carielb</t>
  </si>
  <si>
    <t>979-459-917-4</t>
  </si>
  <si>
    <t>Tata Bahasa Baku Bahasa Indonesia Edisi Ketiga</t>
  </si>
  <si>
    <t>Balai Pustaka</t>
  </si>
  <si>
    <t>Supaya Pasti Selamat ? Apakah Yang harus Kita Lakukan (Untuk Kalngan Sendiri)</t>
  </si>
  <si>
    <t>Iskander Jadeed</t>
  </si>
  <si>
    <t>Jalan Alrachmat</t>
  </si>
  <si>
    <t>Sulitkah Menjadi Seorang Kristen? (Untuk kalangan Sendiri)</t>
  </si>
  <si>
    <t xml:space="preserve">Abd-Almasih </t>
  </si>
  <si>
    <t>Suku Gorontalo di Sulawesi Utara (Profil Sosial Budaya)</t>
  </si>
  <si>
    <t>Gorontalo  /Sulawesi Utara</t>
  </si>
  <si>
    <t>Gorontalo</t>
  </si>
  <si>
    <t>PJRN</t>
  </si>
  <si>
    <t>Sudah Kutemukan (Untuk Kalangan Sendiri)</t>
  </si>
  <si>
    <t xml:space="preserve">KK Alavi </t>
  </si>
  <si>
    <t>3-921957-34-6</t>
  </si>
  <si>
    <r>
      <rPr>
        <rFont val="Calibri"/>
        <color theme="1"/>
        <sz val="9.0"/>
      </rPr>
      <t>So sch</t>
    </r>
    <r>
      <rPr>
        <rFont val="Calibri"/>
        <color rgb="FF000000"/>
        <sz val="9.0"/>
      </rPr>
      <t>ön ist Stuttgart</t>
    </r>
  </si>
  <si>
    <t>Karin Mader</t>
  </si>
  <si>
    <t>Sachbuchverlag Karin Mader Grasberg</t>
  </si>
  <si>
    <t>Skripsi: Si Tou Timou Tumou Tou (Slogan atau Falsafah Hidup di Minahasa ?)</t>
  </si>
  <si>
    <t>Keyse Libertinia Supit</t>
  </si>
  <si>
    <t>Skripsi: Peran Isa Bin Maryam Di Dalam Kiamat Menurut Ajaran Islam</t>
  </si>
  <si>
    <t>Iriani Siahaan</t>
  </si>
  <si>
    <t xml:space="preserve">Skripsi: Maria Dalam Gereja </t>
  </si>
  <si>
    <t>Sofie Leasa</t>
  </si>
  <si>
    <t>Siapakah Saya?</t>
  </si>
  <si>
    <t>Siapakah Kristus Selayaknya Menurut Anda?</t>
  </si>
  <si>
    <t>Abdul Masih</t>
  </si>
  <si>
    <t>Siapa Kristus Selayaknya Menurut Anda</t>
  </si>
  <si>
    <t>Selidikilah Anda Pasti Selamat (Untuk Kalangan Sendiri)</t>
  </si>
  <si>
    <t>Sultan Muhammed Paul</t>
  </si>
  <si>
    <t>1-85372-273-1</t>
  </si>
  <si>
    <t>Selections From The Writings of The Promised Messiah (Greek)</t>
  </si>
  <si>
    <t>Islam International Publications Limited</t>
  </si>
  <si>
    <t>Raqeem Press</t>
  </si>
  <si>
    <t>1-85372-284-7</t>
  </si>
  <si>
    <t>Selected Verses of The Holy Quran Chinese</t>
  </si>
  <si>
    <t>Cina</t>
  </si>
  <si>
    <t>1-85372-058-5</t>
  </si>
  <si>
    <t>Selected Verses of The Holy Quran (Hebrew)</t>
  </si>
  <si>
    <t>Selected Passages from the Bible</t>
  </si>
  <si>
    <t>ABS</t>
  </si>
  <si>
    <t>Selamat Menurut Karya Juruselamat</t>
  </si>
  <si>
    <t>Seorang Murid Yesus (kingdo08@yahoo.com)</t>
  </si>
  <si>
    <t>Sejarah tentang Aluk, Adat dan Budaya "Tallu Lembangna" Di Toraja</t>
  </si>
  <si>
    <t>Diseminarkan Tanggal 26 Maret 2009 Di Audiotorium Lipi Jalan Gatot Subroto, Jakarta</t>
  </si>
  <si>
    <t>Sejarah Pergumulan Injil Di Sumba</t>
  </si>
  <si>
    <t>Oe. H. Kapita</t>
  </si>
  <si>
    <t>Sinode Gereja Kristen Sumba</t>
  </si>
  <si>
    <t>979-763-714x</t>
  </si>
  <si>
    <t>Secret Bible Codes</t>
  </si>
  <si>
    <t>Liana Lupas &amp; Erroll F. Rhodes (E)</t>
  </si>
  <si>
    <t>Saudara Perlukan Sponsor!!</t>
  </si>
  <si>
    <t>Salib dalam Injil dan Al-Qur'an (Untuk Kalangan Sendiri)</t>
  </si>
  <si>
    <t>87-87732610</t>
  </si>
  <si>
    <t>River Songs: Selections from the Psalms with prayer meditations</t>
  </si>
  <si>
    <t>Ben Alex</t>
  </si>
  <si>
    <t>0-225-66683-9</t>
  </si>
  <si>
    <t>Responses to 101 Questions on the Dead Sea Scrolls</t>
  </si>
  <si>
    <t>Geoffrey Chapman</t>
  </si>
  <si>
    <t>Rahasia Allah Yang Paling Besar (Kisah Nyata)</t>
  </si>
  <si>
    <t>Pnuntun. Volume 3. Guru Agama Kristen di Sekolah Dasar</t>
  </si>
  <si>
    <t>PAK-PGI</t>
  </si>
  <si>
    <t>Penuntun. Volume 2. Guru Agama Kristen di Sekolah Dasar</t>
  </si>
  <si>
    <t>979-416-164-0</t>
  </si>
  <si>
    <t>Penulisan Features</t>
  </si>
  <si>
    <t xml:space="preserve">Drs. Umar Nur Zain </t>
  </si>
  <si>
    <t>Overde Geesteluke Gaven</t>
  </si>
  <si>
    <t>Donald Gee</t>
  </si>
  <si>
    <t xml:space="preserve">The Gospel Publishing House </t>
  </si>
  <si>
    <t>90-00-02402-1</t>
  </si>
  <si>
    <t>Oranje Krus Boekje</t>
  </si>
  <si>
    <t>Twintigste Druk</t>
  </si>
  <si>
    <t xml:space="preserve">Orang Tugutil Di Halmahera Tengah </t>
  </si>
  <si>
    <t>Drs. Haryo S. Martodirdjo &amp; John Totomo</t>
  </si>
  <si>
    <t>Nowy Testament</t>
  </si>
  <si>
    <t>Warszawa</t>
  </si>
  <si>
    <t>3-438-05101-7</t>
  </si>
  <si>
    <t>0734-0788</t>
  </si>
  <si>
    <t xml:space="preserve">Notes on Translation  (Volume 14, Number 3) </t>
  </si>
  <si>
    <t>New Testament Justice:  in an unrighteous world</t>
  </si>
  <si>
    <t xml:space="preserve">Paul </t>
  </si>
  <si>
    <t>New Testament Illustrated A Kingdom of Peace: in an evil world</t>
  </si>
  <si>
    <t>Matthew</t>
  </si>
  <si>
    <t>3-438-05102-8</t>
  </si>
  <si>
    <t>Nestle-Aland Novum Testamentum Graece</t>
  </si>
  <si>
    <t>979-3292-10-5</t>
  </si>
  <si>
    <t>My 1st Book (Janji-janji Alkitab)</t>
  </si>
  <si>
    <t>Carine Mackenzie</t>
  </si>
  <si>
    <t>0-85648-292-7</t>
  </si>
  <si>
    <t>Mountain Songs: Selection from the Psalms</t>
  </si>
  <si>
    <t>Jorgen Vium Olesen (Editor)</t>
  </si>
  <si>
    <t>Minutes of The United Bibes Societies Global Board Reading, England</t>
  </si>
  <si>
    <t>Mengenal Kebenaran Injil (Untuk Kalangan Sendiri)</t>
  </si>
  <si>
    <t>Iskandar Jadeed</t>
  </si>
  <si>
    <t>978-1-57293-685-0</t>
  </si>
  <si>
    <t>Memelihara Kedekatan dengan Allah</t>
  </si>
  <si>
    <t>David Sper</t>
  </si>
  <si>
    <t>PT. Duta Harapan Dunia</t>
  </si>
  <si>
    <t xml:space="preserve">Member's Handbook </t>
  </si>
  <si>
    <t>`-</t>
  </si>
  <si>
    <t>Memahami dan Mengenal Allah Tritunggal</t>
  </si>
  <si>
    <t>Abd. Yadi</t>
  </si>
  <si>
    <t>Meletakkan Dasar (Kritik Tekstual Perjanjian Baru)</t>
  </si>
  <si>
    <t>Good News Publishers</t>
  </si>
  <si>
    <t>Masalah Nabi Palsu</t>
  </si>
  <si>
    <t>O. E. Ch. Wuwungan</t>
  </si>
  <si>
    <t>Martin Luther (Riwayat Hidup dan Kata-kata Mutiara)</t>
  </si>
  <si>
    <t>Pdt. A. Munthe, M.Th</t>
  </si>
  <si>
    <t xml:space="preserve">KOLPORTASE GKPS </t>
  </si>
  <si>
    <t>Makalah Kongres Bahasa Jawa III Yogyakarta 2001</t>
  </si>
  <si>
    <t>H. Moh. Amin Soekarno</t>
  </si>
  <si>
    <t>Makalah Khusus Kongres Bahasa Jawa III Yogyakarta 2001</t>
  </si>
  <si>
    <t>Ki Atma</t>
  </si>
  <si>
    <t>Languages of Indonesia (SIL International Indonesia Branch)</t>
  </si>
  <si>
    <t>Kesempurnaan Taurat dan Injil (Untuk Kalangan Sendiri)</t>
  </si>
  <si>
    <t>Kesempurnaan Taurat dan Injil (Untuk Kaalngan Sendiri)</t>
  </si>
  <si>
    <t>Keselamatan di dalam Islam</t>
  </si>
  <si>
    <t>979-416-569-7</t>
  </si>
  <si>
    <t>Kepemimpinan dan Pembinaan Warga Gereja (Seri Membangun Bangsa)</t>
  </si>
  <si>
    <t>Sularso Sopater, Bambang Subandrijo, J.H. Wirakotan (tim Penyunting)</t>
  </si>
  <si>
    <t>Keluarga Berentjana Dalam Dunia Katolik di Indonesia</t>
  </si>
  <si>
    <t>Prof.Dr.Soekoto S.J.</t>
  </si>
  <si>
    <t>Badan Koordinasi Keluarga Berentjana Nasional Biro Penerangan dan Motivasi</t>
  </si>
  <si>
    <t>Kasih KaruniaKu Cukup Bagimu (Untuk Kalangan Sendiri)</t>
  </si>
  <si>
    <t>Ghulam Masih Naaman</t>
  </si>
  <si>
    <t>979-763-959-2</t>
  </si>
  <si>
    <t>Jesus of the Gospels (Kronologi Kisah Yesus Menurut Empat Injil)</t>
  </si>
  <si>
    <t>Michael Eaton</t>
  </si>
  <si>
    <t>0-0044-0100-322-6</t>
  </si>
  <si>
    <t>Jerusalem With Map of The Old City</t>
  </si>
  <si>
    <t>Jalan Indah Menuju Keselamatan</t>
  </si>
  <si>
    <t>Ev. J.O. Grooms B.D.</t>
  </si>
  <si>
    <t>Is-Salmi</t>
  </si>
  <si>
    <t>Ghaqda Biblika</t>
  </si>
  <si>
    <t>Injil Matius: Raja Di Atas Segala Raja (dalam Terjemahan Sederhana Indonesia)</t>
  </si>
  <si>
    <t>Injil Barnabas Suatu Kesaksian Palsu</t>
  </si>
  <si>
    <t>87-87732-114</t>
  </si>
  <si>
    <t>In the Beginning : The Story of Creation as Told in the Book of Genesis, in the Words of the Good News Bible(The Story of Creation)</t>
  </si>
  <si>
    <t>Bent L. Hansen and Flemming Walsoe</t>
  </si>
  <si>
    <t>Forlaget Scandinavia Copenhagen</t>
  </si>
  <si>
    <t>965-220-993-5</t>
  </si>
  <si>
    <t>Ilustrated Wall Maps of The Bible</t>
  </si>
  <si>
    <t>Hundred and Thirty-Fifth Report of The British and Foreign Bible Society for The Year Ended March</t>
  </si>
  <si>
    <t>90-6126-096-5</t>
  </si>
  <si>
    <t xml:space="preserve">Groot Nieuws Voor U </t>
  </si>
  <si>
    <t>Griechischen Neven Testament</t>
  </si>
  <si>
    <t>Dr. Alfredi Schmoller</t>
  </si>
  <si>
    <t>Privileg Wurtt Bibelanstalt Stuttgart</t>
  </si>
  <si>
    <t>God's Word For The Family</t>
  </si>
  <si>
    <t>0-8028-3673-9</t>
  </si>
  <si>
    <t>God's New Covenant (A New Testament Translation)</t>
  </si>
  <si>
    <t>Heinz W. Cassirer</t>
  </si>
  <si>
    <t>Free Copy for tourists (Yoyage to the unknown West)</t>
  </si>
  <si>
    <t>0-89453-448-3</t>
  </si>
  <si>
    <t>Experiencing the Good News Volume 10</t>
  </si>
  <si>
    <t>James M. Reese</t>
  </si>
  <si>
    <t>Michael Glazier</t>
  </si>
  <si>
    <t>EVANGELIARIUM</t>
  </si>
  <si>
    <t>Komisi Liturgi Konferensi Waligereja Indonesia</t>
  </si>
  <si>
    <t>979-9981-522</t>
  </si>
  <si>
    <t>Etika Politik Kristen (Serba-Serbi Politik Praktis)</t>
  </si>
  <si>
    <t>Robert P. Borrong</t>
  </si>
  <si>
    <t>Unit Publikasi dan Informasi dan Pusat Studi Etika Sekolah Tinggi Teologi Jakarta</t>
  </si>
  <si>
    <t>Direktori PGI gerea-Gereja Di Indonesia (PGI 1950-2010)</t>
  </si>
  <si>
    <t>Majelis Pekerja Harian</t>
  </si>
  <si>
    <t xml:space="preserve">Direktori Penerbit </t>
  </si>
  <si>
    <t>Ikatan Penerbit Indonesia</t>
  </si>
  <si>
    <t>Concordance to The Holy Bible Hand-Konkordanz zum</t>
  </si>
  <si>
    <t xml:space="preserve">Complete Concordance of The Revised Standard Version Bible </t>
  </si>
  <si>
    <t>Communicating Scriptures</t>
  </si>
  <si>
    <t>Viggo Sogaard (Editor)</t>
  </si>
  <si>
    <t>0-340-22216-6</t>
  </si>
  <si>
    <t>Commentary on Thje New Testament A Chapter by Chapter Exposition</t>
  </si>
  <si>
    <t>Prof. E. M. Blaiklock</t>
  </si>
  <si>
    <t>3-88183-003-0</t>
  </si>
  <si>
    <t>Christoffel Mission for the Blind Bensheim (A Report on the world-wide Christian Relief to the Handicapped)</t>
  </si>
  <si>
    <t>965-220-572-9</t>
  </si>
  <si>
    <t>Carta's Illustrated Calender of Zbiblical Times</t>
  </si>
  <si>
    <t>85892-084-0</t>
  </si>
  <si>
    <t>Build Me A Boat</t>
  </si>
  <si>
    <t>Les Pobjie</t>
  </si>
  <si>
    <t>The Bible Society in Australia Inc. Bible House</t>
  </si>
  <si>
    <t>Boku Mohobu Wamba Se'o-Se'Oleo Wuna-Indonesia-Inggirisi (Kapake We Salata)/ (Buku Saku Bahasa Sehari-Hari Muna-Indonesia-Inggris/ Dialek Selatan)</t>
  </si>
  <si>
    <t>Muna-Indonesia-Inggris</t>
  </si>
  <si>
    <t>Dr. Rene va den Berg</t>
  </si>
  <si>
    <t>Program kerjasama Badan Pemberdayaan Masyarakat SULTRA Summer Institute of Linguistics Kendari)</t>
  </si>
  <si>
    <t>Rudolf Kittel (E)</t>
  </si>
  <si>
    <t>979-415-102-5</t>
  </si>
  <si>
    <t>220.93  DEU  p</t>
  </si>
  <si>
    <t>Purbakala Alkitab - Dalam Kata dan Gambar</t>
  </si>
  <si>
    <t>Dr. A. Van Deursen</t>
  </si>
  <si>
    <t>Bible Translation</t>
  </si>
  <si>
    <t>Benarkah Alkitab Dipalsukan?</t>
  </si>
  <si>
    <t>Benarkah Al;kitan Dipalsukan?</t>
  </si>
  <si>
    <t>Bagaimana Supaya Dosa Anda Diampuni</t>
  </si>
  <si>
    <t>Bagaimana Kita Berdoa?</t>
  </si>
  <si>
    <t>Ayat ayat Penting di dalam Al-Quraan</t>
  </si>
  <si>
    <t>0-415-01925-7</t>
  </si>
  <si>
    <t>Atlas of The World's Languages</t>
  </si>
  <si>
    <t>Christopher Moseley &amp; R.E. Asher (E)</t>
  </si>
  <si>
    <t>Atlas Indonesia dan Dunia</t>
  </si>
  <si>
    <t>Lintas Media</t>
  </si>
  <si>
    <t>978-979-015-422-3</t>
  </si>
  <si>
    <t>Atlas Alkitab</t>
  </si>
  <si>
    <t>June E. Darling</t>
  </si>
  <si>
    <t>Erlangga for Kids</t>
  </si>
  <si>
    <t>Atlas (Ilmu Pengetahuan Sosial) Indonesia &amp; Dunia</t>
  </si>
  <si>
    <t>Imam Suhardiman</t>
  </si>
  <si>
    <t>CV. Indo Prima Sarana</t>
  </si>
  <si>
    <t>Apakah Yang Harus kita Lakukan Supaya Pasti Selamat?</t>
  </si>
  <si>
    <t>Apakah Gereja Orthodox? (Mengenal Gereja Mula-Mula)</t>
  </si>
  <si>
    <t>Archimandrite Romo (Abuna) dan Daniel B.D. Byantoro, Ph. D.</t>
  </si>
  <si>
    <t>Gereja Orthodox Indonesia</t>
  </si>
  <si>
    <t>Anjing di Kitab Wahyu</t>
  </si>
  <si>
    <t xml:space="preserve">Anciant Scale Weights </t>
  </si>
  <si>
    <t>AMPHORA  NEW YORK</t>
  </si>
  <si>
    <t>0-8028-8084-3</t>
  </si>
  <si>
    <t>Analytical Concordance to the Bible</t>
  </si>
  <si>
    <t>Analytical Concordance to The Bible</t>
  </si>
  <si>
    <t>Robert Young, LL.D.</t>
  </si>
  <si>
    <t>965-481-012-3</t>
  </si>
  <si>
    <t>210.14 RAB l</t>
  </si>
  <si>
    <t>Linguistic Studies (Collected Papers In Hebrew and Semitic Languages)</t>
  </si>
  <si>
    <t>Yerusalem</t>
  </si>
  <si>
    <t>Haim Rabin</t>
  </si>
  <si>
    <t>The Academy of the Hebrew Language dan The Bialik Institute, Jerusalem</t>
  </si>
  <si>
    <t>Amos 2:6-16 Israel's Moral Transgressions</t>
  </si>
  <si>
    <t xml:space="preserve">Yohanes Subagyo </t>
  </si>
  <si>
    <t>Romae</t>
  </si>
  <si>
    <t>939.48 PIC</t>
  </si>
  <si>
    <t>Mount Nebo</t>
  </si>
  <si>
    <t>Michele Piccirillo</t>
  </si>
  <si>
    <t>Custodia Terra Santa</t>
  </si>
  <si>
    <t>487 NEW b</t>
  </si>
  <si>
    <t>0-87395-543-9</t>
  </si>
  <si>
    <t xml:space="preserve">297.04 H.11 </t>
  </si>
  <si>
    <t>Contemporary Islam and the Challenge of History</t>
  </si>
  <si>
    <t>Yvonne Yazbeck Haddad</t>
  </si>
  <si>
    <t>270.6 MIC</t>
  </si>
  <si>
    <t xml:space="preserve">Michael </t>
  </si>
  <si>
    <t>261.7 RAM</t>
  </si>
  <si>
    <t>236 UGG m</t>
  </si>
  <si>
    <t>Melihat Tanda-tanda Jaman: Pengalaman Pancasila Dalam Membangun Masa Depan</t>
  </si>
  <si>
    <t>978-1-57506-164-1</t>
  </si>
  <si>
    <t>234.5 BOD s</t>
  </si>
  <si>
    <t>A Severe Mercy</t>
  </si>
  <si>
    <t>1-85372-067-4</t>
  </si>
  <si>
    <t>Amaokwu Ole Na Ole A Hooro Na Karon Nso</t>
  </si>
  <si>
    <t xml:space="preserve">The International Critical Commentary Revelation </t>
  </si>
  <si>
    <t>Charles</t>
  </si>
  <si>
    <t>Almasih Dalam Injil dan Al Qur'an (Untuk Kalngan Sendiri)</t>
  </si>
  <si>
    <t xml:space="preserve">ABD Al-Fadi </t>
  </si>
  <si>
    <t>Allah yang Tak Terduga</t>
  </si>
  <si>
    <t xml:space="preserve">Bill Crowder </t>
  </si>
  <si>
    <t>Allah Itu Esa Di Dalam Tritunggal Yang Kudus</t>
  </si>
  <si>
    <t>Zachariah Butrus</t>
  </si>
  <si>
    <t>Ajarilah Aku JalanMu Ya'Allah</t>
  </si>
  <si>
    <t>A Short Guide To The Library</t>
  </si>
  <si>
    <t xml:space="preserve">Unwin Brothers Limited </t>
  </si>
  <si>
    <t>978-0-8006-6048-0</t>
  </si>
  <si>
    <t>227.1 JEW h</t>
  </si>
  <si>
    <t>Hermeneia a Critical and Historical Commentary on the Bible - Romans</t>
  </si>
  <si>
    <t>Robert Jewett</t>
  </si>
  <si>
    <t>0-8006-6003-x</t>
  </si>
  <si>
    <t>The Johannine Epistles</t>
  </si>
  <si>
    <t>James</t>
  </si>
  <si>
    <t>Martin Dibellius</t>
  </si>
  <si>
    <t>0-8006-6005-6</t>
  </si>
  <si>
    <t>1 Corinthians</t>
  </si>
  <si>
    <t>0-917006-29-1</t>
  </si>
  <si>
    <t>YOUNG'S                        Analytical                            Concordance To The Bible</t>
  </si>
  <si>
    <t>_</t>
  </si>
  <si>
    <t>Dilengkapi Dengan Konkordansi</t>
  </si>
  <si>
    <t>Robert Young, LL.D</t>
  </si>
  <si>
    <t>Yesus Bagi</t>
  </si>
  <si>
    <t xml:space="preserve"> Betlehem Publishing</t>
  </si>
  <si>
    <t>Worship And Hyms For All Occasions</t>
  </si>
  <si>
    <t>Word Biblical Commentary  Jude, 2 Peter. Vol 50</t>
  </si>
  <si>
    <t>Word Books Publisher, Waco, Texas</t>
  </si>
  <si>
    <t>221.3 BUH w</t>
  </si>
  <si>
    <t>Wilhelm Gesenius' Hebräisches und Aramäisches Handwörterbuch Ȕber Das Alte Testament</t>
  </si>
  <si>
    <t>Dilengkapi Dengan Kamus Ibrani</t>
  </si>
  <si>
    <t>Dr. Frants Buhl</t>
  </si>
  <si>
    <t>Springer-Verlag</t>
  </si>
  <si>
    <t>978-0-06-065518</t>
  </si>
  <si>
    <t xml:space="preserve">Who Wrote The New Testament - Making of the Christian Myth </t>
  </si>
  <si>
    <t>Who is Jesus ?  by : Thomas P. Rausch</t>
  </si>
  <si>
    <t>Vol. 1 Theological and Hermeneutical.</t>
  </si>
  <si>
    <t>979-9532-00-0</t>
  </si>
  <si>
    <t xml:space="preserve">Ucapan Yesus Yang Sulit - Hard Saying's of Jesus </t>
  </si>
  <si>
    <t>The Word Of Life - A Guide to English Version pf the Bible</t>
  </si>
  <si>
    <t>Lloyd. R. Bailey ( Editor)</t>
  </si>
  <si>
    <t>The War with Words (Structure and Transcendence)</t>
  </si>
  <si>
    <t>978-0-567-57558-6</t>
  </si>
  <si>
    <t>The Testaments Of Job, Text, Narrative and Reception History</t>
  </si>
  <si>
    <t>Maria haralambakis</t>
  </si>
  <si>
    <t>The Story Of Christianity Menelusuri Jejak Kristianitas oleh : Michael Collins &amp; Matthew A. Price</t>
  </si>
  <si>
    <t>The Semantics Of Biblical Language by : james Barr</t>
  </si>
  <si>
    <t>The Second Letter To The Corinthians by : Mark A. Seifrid</t>
  </si>
  <si>
    <t>Apollos</t>
  </si>
  <si>
    <t>The Real-Life story Of Otokichi</t>
  </si>
  <si>
    <t>Dilengkapi Dengan Gambar</t>
  </si>
  <si>
    <t>The New Interpreter's Dictionary of The Bible  S - Z  Vol. 5</t>
  </si>
  <si>
    <t>413.2 COM n</t>
  </si>
  <si>
    <t>Novo Testamento Trilingue Portugues - Ingles - Espanhol</t>
  </si>
  <si>
    <t>Edicao Comemorativa</t>
  </si>
  <si>
    <t>Sociedade Biblica do Brasil</t>
  </si>
  <si>
    <t>The New Interpreter's Dictionary of The Bible  Mc - R  Vol. 4</t>
  </si>
  <si>
    <t>The New Interpreter's Dictionary of The Bible  I - Ma  Vol. 3</t>
  </si>
  <si>
    <t>The New Interpreter's Dictionary of The Bible  D - H  Vol. 2</t>
  </si>
  <si>
    <t>The New Interpreter's Dictionary of The Bible  A - C  Vol. 1</t>
  </si>
  <si>
    <t xml:space="preserve">The Message New of theTestament </t>
  </si>
  <si>
    <t>Michigan</t>
  </si>
  <si>
    <t>The Letters To The Collonians and To Philemon by : Douglas J. Moo</t>
  </si>
  <si>
    <t>Buku Konkord Konfesi Gereja Lutheran</t>
  </si>
  <si>
    <t>The Letters Of 2 Peter And Jude by : Peter H. David</t>
  </si>
  <si>
    <t>The Letter To The Philipians  by : G. Walter - Hansen</t>
  </si>
  <si>
    <t>The Letter To The Philipians</t>
  </si>
  <si>
    <t>The Letter To The Hebrews by : Peter T. O'Brien</t>
  </si>
  <si>
    <t xml:space="preserve">The JOY </t>
  </si>
  <si>
    <t>Dilengkapi Dengan Gambar-Gambar</t>
  </si>
  <si>
    <t>Philip B. Kunhardt Jr</t>
  </si>
  <si>
    <t>Printed In The United States Of America</t>
  </si>
  <si>
    <t>0 567 05040 8</t>
  </si>
  <si>
    <t xml:space="preserve">The International Critical Commentary on the Holy Scripures of the Old and New Testament   Vol.1         </t>
  </si>
  <si>
    <t>J.A. EMERTON   C.E.B. Cranfield</t>
  </si>
  <si>
    <t>0 567 05041 6</t>
  </si>
  <si>
    <t xml:space="preserve">The International Critical Commentary  A Critical And Exegetical Commentary on The Epistle To The Romans  Vol. 11                    </t>
  </si>
  <si>
    <t>The International Commentary on                            The Book Of Job</t>
  </si>
  <si>
    <t>Samuel Rolles Driver, D.D &amp; George Buchana Gray, D.Litt</t>
  </si>
  <si>
    <t>The First Letter To The Corinthians by : Roy E. Ciampa and Brians S. Rosner</t>
  </si>
  <si>
    <t>The ConQuerors 2005</t>
  </si>
  <si>
    <t>Dilengkapi dengan bermacam-macam gambar.</t>
  </si>
  <si>
    <t xml:space="preserve">                                                                                                                                                </t>
  </si>
  <si>
    <t>978-0-521-09933-2</t>
  </si>
  <si>
    <t>The Cambridge Bible Commentari - The Book of the Prophet ISAIAH 40 - 66</t>
  </si>
  <si>
    <t>A.S Herbert</t>
  </si>
  <si>
    <t>The Cambridge Bible Commentari - The Book of the Prophet Ezekiel</t>
  </si>
  <si>
    <t>978-482387056</t>
  </si>
  <si>
    <t xml:space="preserve">The Book Of Enoch </t>
  </si>
  <si>
    <t>Salt Heart Publisher</t>
  </si>
  <si>
    <t>978-1-84465-746-9</t>
  </si>
  <si>
    <t>The Bible And The Environment - Towards a Critical Ecological Biblical Theology</t>
  </si>
  <si>
    <t>David G. Harrell</t>
  </si>
  <si>
    <t>The acts of The Apostolos by : David G. Peterson</t>
  </si>
  <si>
    <t xml:space="preserve">The Acts Of The Apostles </t>
  </si>
  <si>
    <t>F.J.FOAKES-JACKSON</t>
  </si>
  <si>
    <t>978-969-250-872-2</t>
  </si>
  <si>
    <t>That's A Thought - A Selection of Inspiring Messages oleh : Rev. Sidney Henery Iggulden</t>
  </si>
  <si>
    <t>Teologi Perjanjian Lama - 1 oleh : Dr. Christoper Barth, Marie Claire Barth, Frommel, M.Th</t>
  </si>
  <si>
    <t xml:space="preserve">Teaching Your Children Healty Sexuality </t>
  </si>
  <si>
    <t>Synopsis Quattuor Evangeliorum</t>
  </si>
  <si>
    <t>Smart Living - Gaya Hidup Sehat dan Rahasia Umur Panjang Menurut Alkitab.</t>
  </si>
  <si>
    <t>Setia Kendati Lemah - Renungan Bagi Para Imam</t>
  </si>
  <si>
    <t>Setia Di Jalan Ketulusan</t>
  </si>
  <si>
    <t>SDs. W.J. Rumambi</t>
  </si>
  <si>
    <t>Seri Tokoh Terbesar - Seorang yang penuh kasih karunia dan tegar</t>
  </si>
  <si>
    <t>Seri Tafsiran Matius -Loyal Didalam Kristus Mengikut Raja Segala Raja by : Warren W. Wiersbe</t>
  </si>
  <si>
    <t>Seri Tafsiran 2 Petrus, 2-3 Yohanes - Yohanes by : Warren.W Wiersbe</t>
  </si>
  <si>
    <t>Sentuhan Hati Mempercayai Janji Tuahn untuk Menyediakan</t>
  </si>
  <si>
    <t>Dilengkapi Dengan Gambar Dan Firman Tuhan</t>
  </si>
  <si>
    <t>Jimmy Widiarta H. Tritamihardja, MSc</t>
  </si>
  <si>
    <t>Yayasan Yaski</t>
  </si>
  <si>
    <t>Selidiki Dan Lebih Lagi</t>
  </si>
  <si>
    <t>Dilengkapi Deangan Gambar</t>
  </si>
  <si>
    <t>Debby Sjogren</t>
  </si>
  <si>
    <t>ACMC (Advancing Churches In Mission Commitment</t>
  </si>
  <si>
    <t>1-85372-112-3</t>
  </si>
  <si>
    <t>Selected Verses Of The Holy Quran In Yoruba</t>
  </si>
  <si>
    <t xml:space="preserve">Selamat Pagi, Tuhan oleh : Andar Ismail 33 Renungan Tentang Doa </t>
  </si>
  <si>
    <t>Sejarah Gereja oleh : H. Berkhof, I. H Enklaar</t>
  </si>
  <si>
    <t>978-602-8073-68-4</t>
  </si>
  <si>
    <t xml:space="preserve">School Of Life </t>
  </si>
  <si>
    <t>PT . Visi Anugerah Indonesia</t>
  </si>
  <si>
    <t>Rukun Itu Indah -  Renungan Untuk Ciptakan Perdamaian Dalam Keluarga, Gereja Dan Masyarakat</t>
  </si>
  <si>
    <t>Revised and Edited by : Frederick W. Danker</t>
  </si>
  <si>
    <t>Qumran and the History of the Biblical Text</t>
  </si>
  <si>
    <t>Frank Mooro Cross and Shermaryahu Talmon</t>
  </si>
  <si>
    <t>Practical Anthropology Volume 14 (Number 2)</t>
  </si>
  <si>
    <t>PGI - Direktori Gereja - Gereja Di Indonesia 1950 - 2010</t>
  </si>
  <si>
    <t>Hanafiah Panggawa &amp; Partners</t>
  </si>
  <si>
    <t>Pertolongan Yang Datang Dari Atas</t>
  </si>
  <si>
    <t>Dilengkapi Dengan Ayat-ayat Firman Tuhan</t>
  </si>
  <si>
    <t>Watson Goodman</t>
  </si>
  <si>
    <t>Lembaga Literatur/Yallki</t>
  </si>
  <si>
    <t>Pertolongan Yang Dari Atas</t>
  </si>
  <si>
    <t>Lembaga Literature / YALLKI</t>
  </si>
  <si>
    <t>Pergulatan Teologis Protestan Dengan Sistim Politik Di Indonesia oleh : Julianus Mojau</t>
  </si>
  <si>
    <t>Perencanaan Strategis Dalam Gereja Dan Pelayanan - Dari Konsep Menuju Keberhasilan oleh : Henry Migliore, Robert E.Stevens</t>
  </si>
  <si>
    <t>Percakapan Dengan Poppi Tentang Allah oleh : Robert W. Jenson dan Solveig L.G</t>
  </si>
  <si>
    <t>Pengantar Perjanjian Lama - 2 Sastra dan Nubuat oleh : W.S Lasor, D.A Hubbard &amp; F.W Bush</t>
  </si>
  <si>
    <t>Pengantar Perjanjian Lama - 1 Sastra dan Nubuat oleh : W.S Lasor, D.A Hubbard &amp; F.W Bush</t>
  </si>
  <si>
    <t>979-415-043-6</t>
  </si>
  <si>
    <t>Pengantar Perjanjian Lama</t>
  </si>
  <si>
    <t>602-7653-13-2</t>
  </si>
  <si>
    <t xml:space="preserve">Pengantar Kitab - Kitab Puisi Dan Nabi-Nabi Besar </t>
  </si>
  <si>
    <t>Pdt. DR. A.L Jantje Haans</t>
  </si>
  <si>
    <t>Satu - Satu</t>
  </si>
  <si>
    <t>Pendeta dan Kependetaan</t>
  </si>
  <si>
    <t>Pdt. Anthonius Kurniasatya</t>
  </si>
  <si>
    <t>Gereje Kristen Indonesia Cimahi</t>
  </si>
  <si>
    <t>Paul's Letter To The Romans by : Colin G. Kruse</t>
  </si>
  <si>
    <t>Over De Geesteluke Gaven</t>
  </si>
  <si>
    <t>Uitgave Kracht Van Omhoog</t>
  </si>
  <si>
    <t>Oranje Kruis Boekje</t>
  </si>
  <si>
    <t>Goor Zonen</t>
  </si>
  <si>
    <t>90-6126-914-8</t>
  </si>
  <si>
    <t>Om Een Verstaanbare Bijbel - Nederlandse Bijbelvertalingen na de Statenbijbel</t>
  </si>
  <si>
    <t>oleh : Martin B. Dainton</t>
  </si>
  <si>
    <t>Novum Testamentum Graece The Scholarly Edition Of The Greek - NT</t>
  </si>
  <si>
    <t xml:space="preserve">New Testament illustrated                         PEACE                     </t>
  </si>
  <si>
    <t>Naska Vidio Seri Pelajaran Kelompok Kecil Program 40 Days Of purpose</t>
  </si>
  <si>
    <t>Dr. Rick Warren</t>
  </si>
  <si>
    <t>Purpose Driven Movement iIndonesia</t>
  </si>
  <si>
    <t>Kosong</t>
  </si>
  <si>
    <t>978-1453890295</t>
  </si>
  <si>
    <t>NASB - NIV Parallel BIBLE</t>
  </si>
  <si>
    <t>Nama - Nama Pribadi Dalam Alkitab oleh : drs. J.J Drane</t>
  </si>
  <si>
    <t>Museum Sumatera, NTT dan NTB</t>
  </si>
  <si>
    <t>Museum Indonesia</t>
  </si>
  <si>
    <t>Museum Kalimantan, Sulawesi, Maluku, Papua</t>
  </si>
  <si>
    <t>Museum Encounters Java &amp; Bali</t>
  </si>
  <si>
    <t>Mountain Songs                        Selection the Psalmas</t>
  </si>
  <si>
    <t xml:space="preserve">Jorgen Vium Olesen </t>
  </si>
  <si>
    <t xml:space="preserve">Menyelidiki Kesejarahan Yesus </t>
  </si>
  <si>
    <t>Yayasan Komunikasi BINA KASIH</t>
  </si>
  <si>
    <t>Menghadapi Tantangan, Memperjuangkan Kerukunan oleh : Olaf H. Schumann</t>
  </si>
  <si>
    <t>Memahami Perjanjian Baru oleh : John Drane</t>
  </si>
  <si>
    <t>Let words Influence of Eugene A. Nida</t>
  </si>
  <si>
    <t>Kunci Bahasa Yunani - PB Surat Roma Hingga Kitab Wahyu oleh : Pdt. B.F Drewes, M.Th, Dr. Wilfrid Haubeck</t>
  </si>
  <si>
    <t>Kunci Bahasa Yunani - PB Kitab Injil Matius Hingga Kitab Kisah Para Rasul oleh : Pdt. B.F drewes, M.Th, Dr. Wilfrid Haubeck</t>
  </si>
  <si>
    <t>Kotbah di Bukit  oleh : Dr. J. Verkuyl</t>
  </si>
  <si>
    <t>Kitab Yang Mengubah Dunia - Bagaimana Alkitab Sampai Kepada Kita oleh : Meryl Doney</t>
  </si>
  <si>
    <t>Publishing</t>
  </si>
  <si>
    <t>Kitab Yang Agung oleh : Klaus Koch</t>
  </si>
  <si>
    <t>Khotbah Dibukit oleh : Dr. J. Verkuyl diterjemahkan oleh : Soegiarto</t>
  </si>
  <si>
    <t>Khotbah Dibukit - Catatan Catatan Tentang Matius 5-7</t>
  </si>
  <si>
    <t>Kepemimpinan dan Pembinaan WARGA GEREJA</t>
  </si>
  <si>
    <t xml:space="preserve">Dr.Sularso Sopater,                Drs. Bambang Subandrijo, S.Th.              Dr. J.H Wirakota </t>
  </si>
  <si>
    <t xml:space="preserve">Pustaka Sinar Harapan, anggota Ikapi, Jakarta pekerja Sama Dengan Wahana Dhrama Nusa </t>
  </si>
  <si>
    <t>Pdt. Prof. Dr. W.A Roeroe</t>
  </si>
  <si>
    <t>Ukit Press</t>
  </si>
  <si>
    <t>Kata Pengantar oleh : Dr. Ir. Nico Njotorahardjo.</t>
  </si>
  <si>
    <t>978-979-21-4418-5</t>
  </si>
  <si>
    <t>Kasih Tanpa Pamrih, Tulus Tiada Modus</t>
  </si>
  <si>
    <t xml:space="preserve"> Editor : FX. Didik Bagiyowinadi, Pr</t>
  </si>
  <si>
    <t>Kamus Yunani Indonesia Untuk Perjanjian Baru oleh : Barclay M. Newton JR</t>
  </si>
  <si>
    <t>979-416-279-5</t>
  </si>
  <si>
    <t xml:space="preserve">Kamus Umum Bahasa Indonesia </t>
  </si>
  <si>
    <t>Prof. Dr. J.S. Badudu                          Prof. Sutan Mohammad Zain</t>
  </si>
  <si>
    <t>Kamus Teologi Inggris - Indonesia oleh : Henk Ten Napel</t>
  </si>
  <si>
    <t>979-413-553-4</t>
  </si>
  <si>
    <t>Kamus Latin-Indonesia</t>
  </si>
  <si>
    <t>Dilengkapi Dengan Kamus Bahasa Latin-Indonesia</t>
  </si>
  <si>
    <t>Drs. K. Prenty c.m        Drs, J, Adisubarata         W.J.S. Poerwadarminta</t>
  </si>
  <si>
    <t>Kamus Gambaran Alkitab - The Dictionary of Biblical Imagery Editor Umum : Leland Ryken, James C. Wilhoit, Tremper Longman III</t>
  </si>
  <si>
    <t>Kamus Betawi - Indonesia dan Indonesia - Betawi</t>
  </si>
  <si>
    <t>Kamus Alkitab A Dictionary of The Bible oleh : W.R.F Browning</t>
  </si>
  <si>
    <t>jewish Evangelism A Call To The church</t>
  </si>
  <si>
    <t>Dr. Kai Kjar-Hansen</t>
  </si>
  <si>
    <t>Jalan Kepada Allah</t>
  </si>
  <si>
    <t>IVP Introduction To The Bible - Pengantar Untuk Mengenal Alkitab by : Philip Johnston</t>
  </si>
  <si>
    <t>Isaiah 40-66</t>
  </si>
  <si>
    <t>Shalom M.Paul</t>
  </si>
  <si>
    <t>Intisari Iman Kristen oleh : Dr. B.J Boland</t>
  </si>
  <si>
    <t>Injil Matius Sebagai Cerita - Berkenalan Dengan Narasi Salah Satu Injil oleh : Jack Dean Kingsbury</t>
  </si>
  <si>
    <t>Injil Markus Sebagai Cerita - Berkenalan Dengan Narasi Salah Satu Injil oleh : David Rhoads dan Donald Michie</t>
  </si>
  <si>
    <t>In The Steps Of Yesus - Menapaki Jejak Mesias oleh : Peter Walker</t>
  </si>
  <si>
    <t>979-3240-19-9</t>
  </si>
  <si>
    <t>Hikmat &amp; Hidup Sukses - Panduan Untuk Memperoleh Manfaat dari Kitab Amsal</t>
  </si>
  <si>
    <t>0-06-069863-2                         0-06-069862-4</t>
  </si>
  <si>
    <t>Harper's Bible Dictionary</t>
  </si>
  <si>
    <t>Dilengkapi Dengan Index Dan Peta</t>
  </si>
  <si>
    <t xml:space="preserve"> Paul J. Achtemeier</t>
  </si>
  <si>
    <t>Haeper &amp; Row, Publishers, San Francisco</t>
  </si>
  <si>
    <t>0-06-181606x</t>
  </si>
  <si>
    <t>Harper Dictionary Of Contemporary Usage</t>
  </si>
  <si>
    <t>William and Mary Morris</t>
  </si>
  <si>
    <t>0-226-03932-3</t>
  </si>
  <si>
    <t>Dilengkapi Dengan Kamus berbahasa Inggris  &amp; Yunani</t>
  </si>
  <si>
    <t xml:space="preserve">William F. Arndt and                    F.Wilbur Gingrich       </t>
  </si>
  <si>
    <t>The University Of Chicago Press Chicago And London</t>
  </si>
  <si>
    <t xml:space="preserve">Firman Allah Yang Hidup </t>
  </si>
  <si>
    <t>Lengkapi Dengan Mazmur Dan Amsal</t>
  </si>
  <si>
    <t>Fauna And Flora Of The Bible</t>
  </si>
  <si>
    <t>Faith</t>
  </si>
  <si>
    <t xml:space="preserve">Encyclopedia Of The Bible - Menjelajahi Dunia Kitab Suci </t>
  </si>
  <si>
    <t>Eben Haezer</t>
  </si>
  <si>
    <t>Abraham  Krisbiantoro</t>
  </si>
  <si>
    <t>Gereja Bethel Indonesia</t>
  </si>
  <si>
    <t>Dibalik Kisah - Kisah Alkitab - Penuntun Membaca Narasi Alkitab</t>
  </si>
  <si>
    <t>Dian Penuntun Rancangan Khotbah Leksionari (Edisi 08 Juni 2009-Nopember 2009)</t>
  </si>
  <si>
    <t>Diabetes - Strategi Mengalahkan Diabetes Menurut Alkitab</t>
  </si>
  <si>
    <t>Datanglah KerjaanMu</t>
  </si>
  <si>
    <t>Dari Alexander Agung Sampai Barkokhba - Sejarah Israel dari 330 SM - 135 M oleh : Prof. Dr. H.Jagersman</t>
  </si>
  <si>
    <t>0564 07202 8</t>
  </si>
  <si>
    <t>Concordance to the Good News Bible</t>
  </si>
  <si>
    <t>Dilengkapi Dengan Index</t>
  </si>
  <si>
    <t>David Robinson Assistant, L. Jane Rowley</t>
  </si>
  <si>
    <t>Cerita Itu Berlanjut - Cara Baru Membaca Injil Markus &amp; Matius oleh : Nico Ter Linden - 2</t>
  </si>
  <si>
    <t>Cerita Itu Berlanjut - Cara Baru Membaca Hakim-Hakim dan Raja-Raja  oleh : Nico Ter Linden - 3</t>
  </si>
  <si>
    <t>Carilah Kehendak-Nya Maka Kamu Akan Sejahtera</t>
  </si>
  <si>
    <t>W. Juniatininggsih Ali sukmawan</t>
  </si>
  <si>
    <t>Majalah Dilah</t>
  </si>
  <si>
    <t>Bible Picture Book Series The Beginning Of The World</t>
  </si>
  <si>
    <t>BEJBEL   Statenvertaling</t>
  </si>
  <si>
    <t>Bahan-Bahan Penelaahan Alkitab</t>
  </si>
  <si>
    <t>Universitas Satya Wacana Salatiga</t>
  </si>
  <si>
    <t>978-1-57075-690-0</t>
  </si>
  <si>
    <t xml:space="preserve">A Muslim View of Christianity - Easays on Dialogue </t>
  </si>
  <si>
    <t>Mahmoud Ayoub</t>
  </si>
  <si>
    <t>100 Kisah Doa Seri ke - 2 Ilustrasi &amp; Renungan Yang Membangun Iman Anda oleh : Djohan Handojo</t>
  </si>
  <si>
    <t>"Satu Allah…satu Tuhan Yesus Kristus" (1 Kor. 8:6) (Untuk kalangan Sendiri)</t>
  </si>
  <si>
    <t>0-8407-4963-5</t>
  </si>
  <si>
    <t xml:space="preserve"> The Greek New Testament According To The Majority Text</t>
  </si>
  <si>
    <t xml:space="preserve"> Zane C. Hodges Arthur L. Farstad</t>
  </si>
  <si>
    <t xml:space="preserve"> Ora et Labora LABORIOUS is yours</t>
  </si>
  <si>
    <t>Universitas Multi Media Nusantara</t>
  </si>
  <si>
    <t>0-87779-408-1</t>
  </si>
  <si>
    <t xml:space="preserve"> New Collegiate Dictionary</t>
  </si>
  <si>
    <t>G &amp; C. Merriam Company</t>
  </si>
  <si>
    <t>Made in the States of America</t>
  </si>
  <si>
    <t xml:space="preserve">152.322 PAN </t>
  </si>
  <si>
    <t>Panggilan Dan Tanggung Jawab Memasuki Masadepan Bersama</t>
  </si>
  <si>
    <t>Persekutuan Gereja - Gereja Di Indonesia</t>
  </si>
  <si>
    <t>R. Perpustakaam</t>
  </si>
  <si>
    <t>978-602-231-366-3</t>
  </si>
  <si>
    <t>261 NAT</t>
  </si>
  <si>
    <t>Perempuan Kristiani Indonesia Berteologi Feminis Dalam Konteks</t>
  </si>
  <si>
    <t xml:space="preserve">Asnath N. Natar </t>
  </si>
  <si>
    <t>R. Perpus</t>
  </si>
  <si>
    <t>978-602-231-299-4</t>
  </si>
  <si>
    <t>Perempuan Konflik &amp; Rekonsiliasi Perspektif Teologi dan Praksis</t>
  </si>
  <si>
    <t xml:space="preserve">253 TID </t>
  </si>
  <si>
    <t>978-0-8499-3775-0</t>
  </si>
  <si>
    <t>248.8 MAC</t>
  </si>
  <si>
    <t xml:space="preserve">Whats the Bible Says About Parenting </t>
  </si>
  <si>
    <t xml:space="preserve">John MacArthur </t>
  </si>
  <si>
    <t xml:space="preserve">What the Bible Says About Parenting </t>
  </si>
  <si>
    <t>230.41 BAY</t>
  </si>
  <si>
    <t>979-415-606-X</t>
  </si>
  <si>
    <t>230 GUT</t>
  </si>
  <si>
    <t>Teologi Perjanjian Baru 3</t>
  </si>
  <si>
    <t>226.9 PEN</t>
  </si>
  <si>
    <t>226.5 MIC</t>
  </si>
  <si>
    <t>The New International Commentary on the New Testament "The Gospel Of John"</t>
  </si>
  <si>
    <t>223.06 ALT</t>
  </si>
  <si>
    <t>463-1202-S</t>
  </si>
  <si>
    <t>220 TAM i</t>
  </si>
  <si>
    <t xml:space="preserve">Injil  Matius (Pedoman Penerjemahan Alkitab </t>
  </si>
  <si>
    <t>Kareasi H. Tambur Dkk</t>
  </si>
  <si>
    <t>Panitia Spiritualitas Koptari</t>
  </si>
  <si>
    <t>158.4 JON</t>
  </si>
  <si>
    <t>I S B N</t>
  </si>
  <si>
    <t>Propinsi</t>
  </si>
  <si>
    <t>Tambahan isi</t>
  </si>
  <si>
    <t>Pengarang/ Editor</t>
  </si>
  <si>
    <t xml:space="preserve">Ada Fisik </t>
  </si>
  <si>
    <t xml:space="preserve">Tidak Ada Fisik </t>
  </si>
  <si>
    <t>979-463-899-4</t>
  </si>
  <si>
    <t>G WHITE</t>
  </si>
  <si>
    <t>Penerjemah, Penerjemahan Alkitab, &amp; Pembina Penerjemahan</t>
  </si>
  <si>
    <t>Anwar Tjen, (et.al)</t>
  </si>
  <si>
    <t xml:space="preserve">978-0-567-57546-3 </t>
  </si>
  <si>
    <t>480 TJE C</t>
  </si>
  <si>
    <t>On Conditionals In The Greek Pentateuch : A Study of Translation Syntax</t>
  </si>
  <si>
    <t>Inggris, Yunani &amp; Ibrani</t>
  </si>
  <si>
    <t>Anwar Tjen</t>
  </si>
  <si>
    <t>521-05554-7</t>
  </si>
  <si>
    <t>415 LEW s</t>
  </si>
  <si>
    <t>M. Blanche Lewis</t>
  </si>
  <si>
    <t>415 KER t</t>
  </si>
  <si>
    <t>Dr. Gorys Keraf</t>
  </si>
  <si>
    <t>Rahasia Di Balik Kisah Paskah</t>
  </si>
  <si>
    <t>227.8 LOH h</t>
  </si>
  <si>
    <t>Helps for Translators: A Translators Handbook on Paul's Letter to The Philippians</t>
  </si>
  <si>
    <t>225.04 HAR m</t>
  </si>
  <si>
    <t>Memberitakan Injil Kerajaan</t>
  </si>
  <si>
    <t>Identity: Identified</t>
  </si>
  <si>
    <t>978-979-565-932-7</t>
  </si>
  <si>
    <t>(ed) Dr. Martin Chen &amp; Frans Nala</t>
  </si>
  <si>
    <t>JUMLAH</t>
  </si>
  <si>
    <t>ENSIKLOPEDI</t>
  </si>
  <si>
    <t>NO</t>
  </si>
  <si>
    <t>Nama Bahasa</t>
  </si>
  <si>
    <t>978-602-1006-41-2</t>
  </si>
  <si>
    <t>230.3 BEA e</t>
  </si>
  <si>
    <t>Ensiklopedi Alkitab Tematik</t>
  </si>
  <si>
    <t>Ensiklopedi</t>
  </si>
  <si>
    <t>Mike Beaumont</t>
  </si>
  <si>
    <t>0-7172-4693-0</t>
  </si>
  <si>
    <t>413.028 NEW</t>
  </si>
  <si>
    <t>The New Lexicon Webster's (Vol-1) Dictionary of the English Language (Encyclopedic edition)</t>
  </si>
  <si>
    <t>Lexicon Publications Inc.</t>
  </si>
  <si>
    <t>The New Lexicon Webster's Dictionary of the English Language (Vol-2) (Encyclopedic edition)</t>
  </si>
  <si>
    <t>0-19-572435-6</t>
  </si>
  <si>
    <t>220.3 BAR w</t>
  </si>
  <si>
    <t>World Christian Encyclopedia</t>
  </si>
  <si>
    <t>David B.Barrett (E)</t>
  </si>
  <si>
    <t>Nairobi Oxford University press 1982</t>
  </si>
  <si>
    <t>1-59339-266-4</t>
  </si>
  <si>
    <t>200.3   SFR e</t>
  </si>
  <si>
    <t>Britamnica Encyclopedia of World Religions</t>
  </si>
  <si>
    <t>Jacob E. Sfra</t>
  </si>
  <si>
    <t>Britannica</t>
  </si>
  <si>
    <t>1-60136-000-2</t>
  </si>
  <si>
    <t>220.3 SCH e</t>
  </si>
  <si>
    <t>Encyclopedia of World Religions</t>
  </si>
  <si>
    <t>Johannes P.Schade, PhD., M.D., D. Sc. Hc.</t>
  </si>
  <si>
    <t>Concord Publishing</t>
  </si>
  <si>
    <t>90-04-11316-9</t>
  </si>
  <si>
    <t>220.3  BRI e</t>
  </si>
  <si>
    <t>The Encyclopedia of Christianity, vol. 1 A-D</t>
  </si>
  <si>
    <t>Erwin Fahlbusch</t>
  </si>
  <si>
    <t>90-04-11695-8</t>
  </si>
  <si>
    <t>220.3    ENS</t>
  </si>
  <si>
    <t>The Encyclopedia of Christianity vol.2 E-I</t>
  </si>
  <si>
    <t>90-04-12654-6</t>
  </si>
  <si>
    <t>The Encyclopedia of Christianity vol.3. J-O</t>
  </si>
  <si>
    <t>90-04-14595-8</t>
  </si>
  <si>
    <t>220.3     ENC</t>
  </si>
  <si>
    <t>The Encyclopedia of Christianity vol.4 P-Sh</t>
  </si>
  <si>
    <t>978-90-04-14596-2</t>
  </si>
  <si>
    <t>220.   ENC</t>
  </si>
  <si>
    <t>The Encyclopedia of Christianity vol.5 Si-Z</t>
  </si>
  <si>
    <t>979-8976-45-2</t>
  </si>
  <si>
    <t>220.3 ENS</t>
  </si>
  <si>
    <t>Ensiklopedi Alkitab Masa Kini Jilid I A-L</t>
  </si>
  <si>
    <t>J.D. Douglas</t>
  </si>
  <si>
    <t>Ensiklopedi Alkitab Masa Kini Jilid II M-Z</t>
  </si>
  <si>
    <t>220.3 MIL a</t>
  </si>
  <si>
    <t>Algamene Bijbelse Encyclopaedie</t>
  </si>
  <si>
    <t>Madeleine S. Miller &amp; J. Lane Miller</t>
  </si>
  <si>
    <t>Servire</t>
  </si>
  <si>
    <t>979-413-007-9</t>
  </si>
  <si>
    <t>225.3 DUF</t>
  </si>
  <si>
    <t>Ensiklopedi Perjanjian Baru</t>
  </si>
  <si>
    <t>220.3 MCE e</t>
  </si>
  <si>
    <t>Ensiklopedia Alkitab Praktis</t>
  </si>
  <si>
    <t>W.N. Mcelrath, B.A.</t>
  </si>
  <si>
    <t>Ensiklopedia Alkitab Praktis Edisi II 1978, Cetakan XV: 2003</t>
  </si>
  <si>
    <t>978-979-21-2447-7</t>
  </si>
  <si>
    <t>220.3 ROC</t>
  </si>
  <si>
    <t xml:space="preserve">The Jesus Encyclopedia </t>
  </si>
  <si>
    <t>Lois Rock</t>
  </si>
  <si>
    <t>220.3     PAC</t>
  </si>
  <si>
    <t>Ensiklopedi Fakta Alkitab (Bible Almanac I)</t>
  </si>
  <si>
    <t>J.I. Packer Merrill</t>
  </si>
  <si>
    <t>Yayasan Penerbitan Gandum Mas</t>
  </si>
  <si>
    <t>Ensiklopedi Fakta Alkitab (Bible Almanac II)</t>
  </si>
  <si>
    <t>J.I. Packer Merrill &amp; C. Tenney</t>
  </si>
  <si>
    <t>220.3    HEU e</t>
  </si>
  <si>
    <t>Ensiklopedia Orang Kudus (Cetakan ke-15)</t>
  </si>
  <si>
    <t>A. Heuken SJ</t>
  </si>
  <si>
    <t>225.3 DUF e</t>
  </si>
  <si>
    <t>Ensiklopedia Perjanjian Baru (Cetakan ke-11)</t>
  </si>
  <si>
    <t>079-8976-45-2</t>
  </si>
  <si>
    <t>Ensiklopedia Alkitab Masa Kini Jilid I A-L</t>
  </si>
  <si>
    <t>979-8976-62-2</t>
  </si>
  <si>
    <t>Ensiklopedia Alkitab Masa Kini Jilid II M-Z</t>
  </si>
  <si>
    <t>220.3 SEL</t>
  </si>
  <si>
    <t>Encyclopaedia of the Social Science Volume 9-10 Lab-Mor</t>
  </si>
  <si>
    <t>Edwin R.A. Seligman</t>
  </si>
  <si>
    <t>Encyclopaedia of the Social Science Volume 11-12 Mor-Pun</t>
  </si>
  <si>
    <t>Encyclopaedia of the Social Science Volume 13-14 Pur-Tra</t>
  </si>
  <si>
    <t>Encyclopaedia of the Social Science Volume 15 Tra-Zwi</t>
  </si>
  <si>
    <t>220.3 HUE</t>
  </si>
  <si>
    <t>Ensiklopedi Orang Kudus</t>
  </si>
  <si>
    <t>220.3 KOE l</t>
  </si>
  <si>
    <t>Lexicon in Veteris Testamenti Libros</t>
  </si>
  <si>
    <t>Ludwig Koehler</t>
  </si>
  <si>
    <t>E.J. Brill</t>
  </si>
  <si>
    <t>0-8264-1252-1</t>
  </si>
  <si>
    <t>291.2  ENC</t>
  </si>
  <si>
    <t>The Encyclopedia of Apocalypticism Vol.3 Edited by : Stephen J. Stein</t>
  </si>
  <si>
    <t>Encyclopedia</t>
  </si>
  <si>
    <t>Stephen J. Stein ( Edited )</t>
  </si>
  <si>
    <t>Continum</t>
  </si>
  <si>
    <t>220.3 KOD t</t>
  </si>
  <si>
    <t>Twentieth Century Encyclopedia</t>
  </si>
  <si>
    <t>Archen Kodesh</t>
  </si>
  <si>
    <t>220.3 MGD</t>
  </si>
  <si>
    <t>Algemene Bijbelse Encyclopedie</t>
  </si>
  <si>
    <t>Madeleine S &amp; J. Lane Miller</t>
  </si>
  <si>
    <t>Met Nederlandse Medewerking Van</t>
  </si>
  <si>
    <t>220.95 ARI</t>
  </si>
  <si>
    <t>Carta's Illustrated  Encyclopedia of The Holy Temple in Jerusalem</t>
  </si>
  <si>
    <t>Israel Ariel &amp; Chaim Richman</t>
  </si>
  <si>
    <t>0-7172-0135-X</t>
  </si>
  <si>
    <t>031 ENC</t>
  </si>
  <si>
    <t>Enscyclopedia Americana. Vol.1</t>
  </si>
  <si>
    <t>Grolier</t>
  </si>
  <si>
    <t>Enscyclopedia Americana. Vol.2</t>
  </si>
  <si>
    <t>Enscyclopedia Americana. Vol.3</t>
  </si>
  <si>
    <t>Enscyclopedia Americana. Vol.4</t>
  </si>
  <si>
    <t>Enscyclopedia Americana. Vol.5</t>
  </si>
  <si>
    <t>Enscyclopedia Americana. Vol.6</t>
  </si>
  <si>
    <t xml:space="preserve">Cathedrals to civil War </t>
  </si>
  <si>
    <t>Enscyclopedia Americana. Vol.7</t>
  </si>
  <si>
    <t>Civilization to Coronium</t>
  </si>
  <si>
    <t>Enscyclopedia Americana. Vol.8</t>
  </si>
  <si>
    <t>Corot to Desdemona</t>
  </si>
  <si>
    <t xml:space="preserve">031 DES </t>
  </si>
  <si>
    <t>Enscyclopedia Americana. Vol.9</t>
  </si>
  <si>
    <t>Desert to Egret</t>
  </si>
  <si>
    <t>031 EGY</t>
  </si>
  <si>
    <t>Enscyclopedia Americana. Vol.10</t>
  </si>
  <si>
    <t>Egypt to Falsetto</t>
  </si>
  <si>
    <t>031 FAL</t>
  </si>
  <si>
    <t>Enscyclopedia Americana. Vol.11</t>
  </si>
  <si>
    <t>Falstaff to Francke</t>
  </si>
  <si>
    <t>031 FRA</t>
  </si>
  <si>
    <t>Enscyclopedia Americana. Vol.12</t>
  </si>
  <si>
    <t>Franco to Goethals</t>
  </si>
  <si>
    <t>031 GEO</t>
  </si>
  <si>
    <t>Enscyclopedia Americana. Vol.13</t>
  </si>
  <si>
    <t>Goethe to Heartst</t>
  </si>
  <si>
    <t xml:space="preserve">031 HEA </t>
  </si>
  <si>
    <t>Enscyclopedia Americana. Vol.14</t>
  </si>
  <si>
    <t>Heart to India</t>
  </si>
  <si>
    <t>031 IND</t>
  </si>
  <si>
    <t>Enscyclopedia Americana. Vol.15</t>
  </si>
  <si>
    <t>Indian to Jeffers</t>
  </si>
  <si>
    <t>031 JEF</t>
  </si>
  <si>
    <t>Enscyclopedia Americana. Vol.16</t>
  </si>
  <si>
    <t>Jefferson to Latin</t>
  </si>
  <si>
    <t>031 LAT</t>
  </si>
  <si>
    <t>Enscyclopedia Americana. Vol.17</t>
  </si>
  <si>
    <t>Latin America to Lytton</t>
  </si>
  <si>
    <t>Enscyclopedia Americana. Vol.18</t>
  </si>
  <si>
    <t xml:space="preserve">M to Mexico City </t>
  </si>
  <si>
    <t>031 Mey</t>
  </si>
  <si>
    <t>Enscyclopedia Americana. Vol.19</t>
  </si>
  <si>
    <t>Meyer to Nauvoo</t>
  </si>
  <si>
    <t>031 NAV</t>
  </si>
  <si>
    <t>Enscyclopedia Americana. Vol.20</t>
  </si>
  <si>
    <t>Navajo to opium</t>
  </si>
  <si>
    <t>031 OPO</t>
  </si>
  <si>
    <t>Enscyclopedia Americana. Vol.21</t>
  </si>
  <si>
    <t xml:space="preserve">Oporto </t>
  </si>
  <si>
    <t>031 PHO</t>
  </si>
  <si>
    <t>Enscyclopedia Americana. Vol.22</t>
  </si>
  <si>
    <t>Photography to pumpkin</t>
  </si>
  <si>
    <t>031 PUM</t>
  </si>
  <si>
    <t>Enscyclopedia Americana. Vol.23</t>
  </si>
  <si>
    <t>Pumps to Russell</t>
  </si>
  <si>
    <t>031 RUS</t>
  </si>
  <si>
    <t>Enscyclopedia Americana. Vol.24</t>
  </si>
  <si>
    <t>Russia to Skimmer</t>
  </si>
  <si>
    <t>031 SKI</t>
  </si>
  <si>
    <t>Enscyclopedia Americana. Vol.25</t>
  </si>
  <si>
    <t>Skin to Sumac</t>
  </si>
  <si>
    <t>031 SUM</t>
  </si>
  <si>
    <t>Enscyclopedia Americana. Vol.26</t>
  </si>
  <si>
    <t>Sumatra to Tram</t>
  </si>
  <si>
    <t>031 TRA</t>
  </si>
  <si>
    <t>Enscyclopedia Americana. Vol.27</t>
  </si>
  <si>
    <t>Trance to Venial</t>
  </si>
  <si>
    <t>031 VAN</t>
  </si>
  <si>
    <t>Enscyclopedia Americana. Vol.28</t>
  </si>
  <si>
    <t>Vanice to Wilmot</t>
  </si>
  <si>
    <t>031 WIL</t>
  </si>
  <si>
    <t>Enscyclopedia Americana. Vol.29</t>
  </si>
  <si>
    <t>Wiilmot Proviso</t>
  </si>
  <si>
    <t>Enscyclopedia Americana. Vol.30</t>
  </si>
  <si>
    <t>979-97229-6-9</t>
  </si>
  <si>
    <t>220.3 HEU e</t>
  </si>
  <si>
    <t>Ensiklopedi Gereja. Jilid I</t>
  </si>
  <si>
    <t>Odolf Heuken S.J</t>
  </si>
  <si>
    <t>979-97229-7-7</t>
  </si>
  <si>
    <t>Ensiklopedi Gereja. Jilid II</t>
  </si>
  <si>
    <t>979-97229-8-5</t>
  </si>
  <si>
    <t>Ensiklopedi Gereja. Jilid III</t>
  </si>
  <si>
    <t>979-97229-9-3</t>
  </si>
  <si>
    <t>Ensiklopedi Gereja. Jilid IV</t>
  </si>
  <si>
    <t>979-97229-5-0</t>
  </si>
  <si>
    <t>Ensiklopedi Gereja. Jilid V</t>
  </si>
  <si>
    <t>Ensiklopedi Gereja. Jilid VI</t>
  </si>
  <si>
    <t>Ensiklopedi Gereja. Jilid VII</t>
  </si>
  <si>
    <t>Ensiklopedi Gereja. Jilid VIII</t>
  </si>
  <si>
    <t>Ensiklopedi Gereja. Jilid IX</t>
  </si>
  <si>
    <t>039.499. 221     ENS</t>
  </si>
  <si>
    <t>Ensiklopedi Indonesia Vol. 2</t>
  </si>
  <si>
    <t>Ichtiar Baru Van Hoeve</t>
  </si>
  <si>
    <t>Ensiklopedi Indonesia jilid. 3</t>
  </si>
  <si>
    <t>Ensiklopedi Indonesia jilid. 5</t>
  </si>
  <si>
    <t>Ensiklopedi Indonesia jilid. 6</t>
  </si>
  <si>
    <t>Ensiklopedi Indonesia jilid. 7</t>
  </si>
  <si>
    <t>0-7172-0247-x</t>
  </si>
  <si>
    <t xml:space="preserve">031     AME </t>
  </si>
  <si>
    <t>The Americana Annual</t>
  </si>
  <si>
    <t>0-7172-0254-2</t>
  </si>
  <si>
    <t>978-0-545-00878-5</t>
  </si>
  <si>
    <t>031 AME</t>
  </si>
  <si>
    <t>978-0-545-03964-2</t>
  </si>
  <si>
    <t>978-0-545-07551-0</t>
  </si>
  <si>
    <t>979-99479-0-1</t>
  </si>
  <si>
    <t xml:space="preserve">297.122.03 MUH </t>
  </si>
  <si>
    <t>Ensiklopedi Al-Qur'an Jilid 1</t>
  </si>
  <si>
    <t>Dr. Ahsin Sakho Muhammad (Editor)</t>
  </si>
  <si>
    <t>Ensiklopedi Al-Qur'an Jilid 2</t>
  </si>
  <si>
    <t>Ensiklopedi Al-Qur'an Jilid 3</t>
  </si>
  <si>
    <t>Ensiklopedi Al-Qur'an Jilid 4</t>
  </si>
  <si>
    <t>Ensiklopedi Al-Qur'an Jilid 5</t>
  </si>
  <si>
    <t>Ensiklopedi Al-Qur'an Jilid 6</t>
  </si>
  <si>
    <t>979-685-127-x</t>
  </si>
  <si>
    <t>Katalog Beranotasi Ensiklopedia, kamus, dan Daftar Istilah Bahasa Indonesia</t>
  </si>
  <si>
    <t>039.49 WAS m</t>
  </si>
  <si>
    <t>Mengenal Tanah Air - Ensiklopedi Nusantara</t>
  </si>
  <si>
    <t>Editor : Widjiono Wasis</t>
  </si>
  <si>
    <t>Mawar Gempita</t>
  </si>
  <si>
    <t>?</t>
  </si>
  <si>
    <t>220.3 DOU e</t>
  </si>
  <si>
    <t>Ensiklopedi Alkitab Masa Kini  - JILID I ( A- l )</t>
  </si>
  <si>
    <t>J.D Douglas DKK</t>
  </si>
  <si>
    <t>Yayasan Komunikasi Bina Kasih / OMF</t>
  </si>
  <si>
    <t>Ensiklopedi Alkitab Masa Kini  - JILID II ( M-Z )</t>
  </si>
  <si>
    <t>978-979-21-2691-4</t>
  </si>
  <si>
    <t>220.3 ATK e</t>
  </si>
  <si>
    <t>Encyclopedia of The Bible: Menjelajah Dunia Kitab Suci</t>
  </si>
  <si>
    <t>Peter Atkinson</t>
  </si>
  <si>
    <t>978-0-8264-1253-9</t>
  </si>
  <si>
    <t>291.2 COL e</t>
  </si>
  <si>
    <t>The Encyclopedia of Apocalypticism Vol. 1 (The Origins of Apocalypticism in Judaism and Christianity)</t>
  </si>
  <si>
    <t>John J. Collins (ed)</t>
  </si>
  <si>
    <t>Continuum Publishing Company</t>
  </si>
  <si>
    <t>978-0-8264-1254-6</t>
  </si>
  <si>
    <t>291.2 MCG e</t>
  </si>
  <si>
    <t>The Encyclopedia of Apocalypticism Vol. 2 (Apocalypticism in Western History and Culture)</t>
  </si>
  <si>
    <t>Bernard McGinn (ed)</t>
  </si>
  <si>
    <t>978-0-8264-1255-3</t>
  </si>
  <si>
    <t>291.2 STE e</t>
  </si>
  <si>
    <t>The Encyclopedia of Apocalypticism Vol. 3 (Apocalypticism in Modern Peroid and the Contemporary))</t>
  </si>
  <si>
    <t xml:space="preserve">Stephen J. Stein </t>
  </si>
  <si>
    <t>220.3 ARC</t>
  </si>
  <si>
    <t xml:space="preserve">The Encyclopedia of Bible Difficulties (Hal-hal yang sulit dalam Lakota) </t>
  </si>
  <si>
    <t>Gleason L. Archer</t>
  </si>
  <si>
    <t>978-965-221-068-5</t>
  </si>
  <si>
    <t>225.0393 STE n</t>
  </si>
  <si>
    <t>The New Encyclopedia of Archaelogical Excavations in The Holy Land</t>
  </si>
  <si>
    <t>Ephraim Stern (E)</t>
  </si>
  <si>
    <t>978-9327-00-8</t>
  </si>
  <si>
    <t>039.499 ENS</t>
  </si>
  <si>
    <t xml:space="preserve">Ensiklopedi Nasional Indonesia 1 </t>
  </si>
  <si>
    <t xml:space="preserve">PT Delta Pamungkas </t>
  </si>
  <si>
    <t>Ensiklopedi Nasional Indonesia 2</t>
  </si>
  <si>
    <t>Ensiklopedi Nasional Indonesia 3</t>
  </si>
  <si>
    <t>Ensiklopedi Nasional Indonesia 4</t>
  </si>
  <si>
    <t>Ensiklopedi Nasional Indonesia 5</t>
  </si>
  <si>
    <t>Ensiklopedi Nasional Indonesia 6</t>
  </si>
  <si>
    <t>Ensiklopedi Nasional Indonesia 7</t>
  </si>
  <si>
    <t>Ensiklopedi Nasional Indonesia 8</t>
  </si>
  <si>
    <t>Ensiklopedi Nasional Indonesia 9</t>
  </si>
  <si>
    <t>Ensiklopedi Nasional Indonesia 10</t>
  </si>
  <si>
    <t>Ensiklopedi Nasional Indonesia 11</t>
  </si>
  <si>
    <t>Ensiklopedi Nasional Indonesia 12</t>
  </si>
  <si>
    <t>Ensiklopedi Nasional Indonesia 13</t>
  </si>
  <si>
    <t>978-9327-00-9</t>
  </si>
  <si>
    <t>Ensiklopedi Nasional Indonesia 14</t>
  </si>
  <si>
    <t>978-9327-00-10</t>
  </si>
  <si>
    <t>Ensiklopedi Nasional Indonesia 15</t>
  </si>
  <si>
    <t>978-9327-00-11</t>
  </si>
  <si>
    <t>Ensiklopedi Nasional Indonesia 16</t>
  </si>
  <si>
    <t>978-9327-00-12</t>
  </si>
  <si>
    <t>Ensiklopedi Nasional Indonesia 17</t>
  </si>
  <si>
    <t>978-9327-00-13</t>
  </si>
  <si>
    <t>Ensiklopedi Nasional Indonesia 18</t>
  </si>
  <si>
    <t>220.3 DUF e</t>
  </si>
  <si>
    <t xml:space="preserve">           Jakarta, 4 Desember 2015 </t>
  </si>
  <si>
    <t xml:space="preserve">                       </t>
  </si>
  <si>
    <t xml:space="preserve">                              Yang membuat</t>
  </si>
  <si>
    <t xml:space="preserve">                                                             Mengetahui</t>
  </si>
  <si>
    <t xml:space="preserve">                              (Nomi Dora Laimu)</t>
  </si>
  <si>
    <t xml:space="preserve">                                        (Bambang Sitompul)</t>
  </si>
  <si>
    <t xml:space="preserve">                               Staf Perpustakaan</t>
  </si>
  <si>
    <t xml:space="preserve">                                         Kabid Permus</t>
  </si>
  <si>
    <t>RM. PS 05-Aset-L</t>
  </si>
  <si>
    <t>PORS. BHS IND - NON LAI</t>
  </si>
  <si>
    <t>0-8010-4270-4</t>
  </si>
  <si>
    <t>220.2 HAT c</t>
  </si>
  <si>
    <t>A Concordance to The Septuagint Volume 1</t>
  </si>
  <si>
    <t>Edwin Hatch, M.A., D.D.</t>
  </si>
  <si>
    <t xml:space="preserve">A Concordance to The Septuagint Volume 2 </t>
  </si>
  <si>
    <t>0-564-07202-8</t>
  </si>
  <si>
    <t>220.52 ROB</t>
  </si>
  <si>
    <t>Concordance to The Good News Bible</t>
  </si>
  <si>
    <t>David Robinson (E)</t>
  </si>
  <si>
    <t>The Bible Societies</t>
  </si>
  <si>
    <t>220.3 NEL</t>
  </si>
  <si>
    <t>Nelson's Concordance of the Revised Standard Version Bible</t>
  </si>
  <si>
    <t>Thomas Nelson &amp; Sons</t>
  </si>
  <si>
    <t xml:space="preserve">Thomas Nelson </t>
  </si>
  <si>
    <t>0-8407-4999-6</t>
  </si>
  <si>
    <t>220.3 STR c</t>
  </si>
  <si>
    <t>Strong's Exhaustive Concordance of the Bible</t>
  </si>
  <si>
    <t>James Strong, S.T.D., LL.D.</t>
  </si>
  <si>
    <t>220.3 YOU c</t>
  </si>
  <si>
    <t>Robert Young, LL. D.</t>
  </si>
  <si>
    <t>I.K. Funk Company</t>
  </si>
  <si>
    <t>220.2 YOU c</t>
  </si>
  <si>
    <t>Young's Analytical Concordance to the Bible</t>
  </si>
  <si>
    <t xml:space="preserve">220.2 VER c </t>
  </si>
  <si>
    <t xml:space="preserve">Concordance to the Holy Bible </t>
  </si>
  <si>
    <t>King James Version</t>
  </si>
  <si>
    <t>220.2 KON c</t>
  </si>
  <si>
    <t>Chinese Bible Concordance</t>
  </si>
  <si>
    <t>The Bible Soicieties in Hong Kong</t>
  </si>
  <si>
    <t>220.2 SCH k</t>
  </si>
  <si>
    <t xml:space="preserve">Hand Konkordanz Zum Griechischen Neuen Testament </t>
  </si>
  <si>
    <t xml:space="preserve">D.Dr. Alfred Schmoller </t>
  </si>
  <si>
    <t>Stuttgard PWB</t>
  </si>
  <si>
    <t>413.029 BUL c</t>
  </si>
  <si>
    <t>A Critical Lexicon and Concordance to the English and Greek New Testament</t>
  </si>
  <si>
    <t>0-310-20839-4</t>
  </si>
  <si>
    <t>221.4.4 KOH c</t>
  </si>
  <si>
    <t>The Hebrew English Concordance to the Old Testament</t>
  </si>
  <si>
    <t>John R. Kohlenberger III Dkk</t>
  </si>
  <si>
    <t>1-56563-208-7</t>
  </si>
  <si>
    <t>221.4.4 WIG c</t>
  </si>
  <si>
    <t>The Englishman's Hebrew Concordance of the Old Testament</t>
  </si>
  <si>
    <t>George V. Wigram</t>
  </si>
  <si>
    <t>Nelson's Complete Concordance of the Revised Standard Version Bible</t>
  </si>
  <si>
    <t xml:space="preserve">John W. Ellison </t>
  </si>
  <si>
    <t>978-1-4185-4237-5</t>
  </si>
  <si>
    <t>220.5 STR c</t>
  </si>
  <si>
    <t>The New Strong's Expanded Exhaustive Concordance of the Bible</t>
  </si>
  <si>
    <t>James Strong, LL.D., S.T.D.</t>
  </si>
  <si>
    <t>220.3 ROB c</t>
  </si>
  <si>
    <t>David Robinson Dkk</t>
  </si>
  <si>
    <t>220.3 LIS k</t>
  </si>
  <si>
    <t>Konkordanz zum Hebraischen Alten Testament</t>
  </si>
  <si>
    <t>DR. Theol. Gerhard Lisowsky</t>
  </si>
  <si>
    <t>220.3 OMI c</t>
  </si>
  <si>
    <t>Veteris Testament Concordantiae</t>
  </si>
  <si>
    <t>Minor Exemplis Omissis</t>
  </si>
  <si>
    <t>Lipsiae Veit Et Comp.</t>
  </si>
  <si>
    <t>220.3 AGU k</t>
  </si>
  <si>
    <t xml:space="preserve">Konkordansi Alkitab Lengkap </t>
  </si>
  <si>
    <t>220.3 WOL c</t>
  </si>
  <si>
    <t>Concordantie Kitab Soetji - Basa Djawi</t>
  </si>
  <si>
    <t>Jawa</t>
  </si>
  <si>
    <t>Djawi</t>
  </si>
  <si>
    <t>J.D. Wolterbeek</t>
  </si>
  <si>
    <t>Gereformeerd ING Negari Welandi</t>
  </si>
  <si>
    <t>220.3 GUN k</t>
  </si>
  <si>
    <t>Konkordansi Alkitab Perjanjian Baru</t>
  </si>
  <si>
    <t>Andhika Gunawan</t>
  </si>
  <si>
    <t>Yayasan Andi Yogyakarta</t>
  </si>
  <si>
    <t>220.3 WAL k</t>
  </si>
  <si>
    <t>Konkordansi Alkitab Thn. 1978</t>
  </si>
  <si>
    <t>Dr. D.F. Walker</t>
  </si>
  <si>
    <t>Kanisius &amp; BPK Gunung Mulia</t>
  </si>
  <si>
    <t>0-7734-2395-8</t>
  </si>
  <si>
    <t>492.4 PRI c</t>
  </si>
  <si>
    <t>Concordance of the Hebrew Accents In the Hebrew Bible Volume I</t>
  </si>
  <si>
    <t>James D. Price</t>
  </si>
  <si>
    <t>Edwin Mellen Press</t>
  </si>
  <si>
    <t>225.3 LOU</t>
  </si>
  <si>
    <t>Greek-English Lexicon Vol 1</t>
  </si>
  <si>
    <t>Dilengkapi Dengan Kamus Yunani Dan Peta</t>
  </si>
  <si>
    <t>0 8267-0342-9</t>
  </si>
  <si>
    <t xml:space="preserve">Greek-English Lexicon Vol 2 </t>
  </si>
  <si>
    <t>Louw &amp; Nida</t>
  </si>
  <si>
    <t>492.4 BRO b</t>
  </si>
  <si>
    <t>The New Brown - Driver - Briggs - Gesenius Hebrew and English Lexicon with an Appendix Containing the Biblical Aramaic</t>
  </si>
  <si>
    <t>Francis Brown Dkk</t>
  </si>
  <si>
    <t>Associated Publisher and Authors</t>
  </si>
  <si>
    <t>978-1-56563-206-6</t>
  </si>
  <si>
    <t>492.43 BRO b</t>
  </si>
  <si>
    <t>The Brown - Driver - Briggs Hebrew and English Lexicon</t>
  </si>
  <si>
    <t>978-979-687-224-4</t>
  </si>
  <si>
    <t>Konkordansi Alkitab Thn. 2011</t>
  </si>
  <si>
    <t>979-415-766-X</t>
  </si>
  <si>
    <t>Konkordansi Alkitab Thn. 2000</t>
  </si>
  <si>
    <t>979-687-211-0</t>
  </si>
  <si>
    <t>Konkordansi Alkitab Thn. 2003</t>
  </si>
  <si>
    <t xml:space="preserve">           Jakarta, 28 September 2016</t>
  </si>
  <si>
    <t>KAMUS</t>
  </si>
  <si>
    <t>220.3 OWE k</t>
  </si>
  <si>
    <t>W. Stuart Owen Dkk</t>
  </si>
  <si>
    <t>0-385-19360-2</t>
  </si>
  <si>
    <t>220.3. ANC</t>
  </si>
  <si>
    <t>The Anchor Bible Dictionary Vol.1 A-C</t>
  </si>
  <si>
    <t>David Noel Freedman (E)</t>
  </si>
  <si>
    <t>The Anchor Bible Dictionary Vol.2 D-G</t>
  </si>
  <si>
    <t>0-385-19361-0</t>
  </si>
  <si>
    <t>The Anchor Bible Dictionary Vol.3 H-J</t>
  </si>
  <si>
    <t>0-385-19362-9</t>
  </si>
  <si>
    <t>The Anchor Bible Dictionary Vol.4 K-N</t>
  </si>
  <si>
    <t>0-385-19363-7</t>
  </si>
  <si>
    <t>The Anchor Bible Dictionary Vol.5 O-S</t>
  </si>
  <si>
    <t>The Anchor Bible Dictionary Vol. 6 Si-Z</t>
  </si>
  <si>
    <t>0-687-19270-6</t>
  </si>
  <si>
    <t>220.3 BUT i</t>
  </si>
  <si>
    <t>The Interpreter's Dictionary of The Bible A-D</t>
  </si>
  <si>
    <t>George Arthur Buttrick (E)</t>
  </si>
  <si>
    <t>Nashville Abingdon Press Neew York</t>
  </si>
  <si>
    <t>220.3 CRI d</t>
  </si>
  <si>
    <t xml:space="preserve">The Interpreter's Dictionary of the Bible </t>
  </si>
  <si>
    <t>Kith Crim</t>
  </si>
  <si>
    <t>Neshville Abingdom press</t>
  </si>
  <si>
    <t>0-310-33781-X</t>
  </si>
  <si>
    <t>225.4 VIN d</t>
  </si>
  <si>
    <t>Expository Dictionary of New Testament Words</t>
  </si>
  <si>
    <t>W.E. Vine</t>
  </si>
  <si>
    <t>0-06-181606-X</t>
  </si>
  <si>
    <t>423.1 MOR d</t>
  </si>
  <si>
    <t xml:space="preserve">Harper Dictionary of Contemporary Usage </t>
  </si>
  <si>
    <t>William &amp; Mary Morris</t>
  </si>
  <si>
    <t>Harper &amp; Row</t>
  </si>
  <si>
    <t>0-310-21910-8</t>
  </si>
  <si>
    <t>225.3 NEW</t>
  </si>
  <si>
    <t>The New International Dictionary of New Testament Theology Vol. 3</t>
  </si>
  <si>
    <t>Colin Brown (E)</t>
  </si>
  <si>
    <t>0-310-21900-0</t>
  </si>
  <si>
    <t>The New International Dictionary of New Testament Theology Vol. 2</t>
  </si>
  <si>
    <t>The New International Dictionary of New Testament Theology Vol. 1</t>
  </si>
  <si>
    <t>0-87779-206-2</t>
  </si>
  <si>
    <t>423 WEB</t>
  </si>
  <si>
    <t>Webster's Third New International Dictionary</t>
  </si>
  <si>
    <t>Philip Babcock Gove, Ph.D (E)</t>
  </si>
  <si>
    <t>D.G.Z.C. Merriam Company</t>
  </si>
  <si>
    <t>1-85075-244-3</t>
  </si>
  <si>
    <t>220.3 ELW d</t>
  </si>
  <si>
    <t>The Dictionary of Classical Hebrew vol. I</t>
  </si>
  <si>
    <t>John Elwolde (E)</t>
  </si>
  <si>
    <t>1-85075-544-2</t>
  </si>
  <si>
    <t>The Dictionary of Classical Hebrew vol. II</t>
  </si>
  <si>
    <t>1-85075-634-1</t>
  </si>
  <si>
    <t xml:space="preserve">The Dictionary of Classical Hebrew vol.III </t>
  </si>
  <si>
    <t>1-85075-681-3</t>
  </si>
  <si>
    <t>The Dictionary of Classical Hebrew vol.IV</t>
  </si>
  <si>
    <t>0-529-06936-9</t>
  </si>
  <si>
    <t>220.8 P.C</t>
  </si>
  <si>
    <t>World's Compact Bible Dictionary and Concordance</t>
  </si>
  <si>
    <t>Dan Penwell (E)</t>
  </si>
  <si>
    <t>0-687-19272-2</t>
  </si>
  <si>
    <t>220.3 BUT</t>
  </si>
  <si>
    <t>The Interpreter's Dictionary of The Bible K-Q</t>
  </si>
  <si>
    <t>0-687-19273-0</t>
  </si>
  <si>
    <t>The Interpreter's Dictionary of The Bible R-Z</t>
  </si>
  <si>
    <t>0-687-19271-4</t>
  </si>
  <si>
    <t>The Interpreter's Dictionary of The Bible E-J</t>
  </si>
  <si>
    <t>978-0-687-05427-5</t>
  </si>
  <si>
    <t>220.3 NEW</t>
  </si>
  <si>
    <t>The New Interpreter's Dictionary of the Bible A-C vol.1</t>
  </si>
  <si>
    <t>Abingdon</t>
  </si>
  <si>
    <t>978-0-687-33355-4</t>
  </si>
  <si>
    <t>The New Interpreter's Dictionary of the Bible D-H vol.2</t>
  </si>
  <si>
    <t>978-0-687-33365-3</t>
  </si>
  <si>
    <t>The New Interpreter's Dictionary of the Bible I-Ma vol.3</t>
  </si>
  <si>
    <t>978-0-687-33395-0</t>
  </si>
  <si>
    <t>The New Interpreter's Dictionary of the Bible Me-R vol.4</t>
  </si>
  <si>
    <t>978-0-687-33375-2</t>
  </si>
  <si>
    <t>The New Interpreter's Dictionary of the Bible S-Z vol.5</t>
  </si>
  <si>
    <t>978-0-226-03933-6</t>
  </si>
  <si>
    <t>A Greek-English Lexicon of The New Testament and Other Early Christian Literature  Third Edition</t>
  </si>
  <si>
    <t>Frederick William Danker</t>
  </si>
  <si>
    <t>0-8028-2338-6</t>
  </si>
  <si>
    <t>221.3 BOH d</t>
  </si>
  <si>
    <t>Theological Dictionary of the Old Testament vol. XIII</t>
  </si>
  <si>
    <t>G.Johannes Boherweok (E)</t>
  </si>
  <si>
    <t>220.3 ROW d</t>
  </si>
  <si>
    <t>Dictionary of Bible Personal Names</t>
  </si>
  <si>
    <t>220.3 BRY d</t>
  </si>
  <si>
    <t xml:space="preserve">The New Compact Bible Dictionary </t>
  </si>
  <si>
    <t>T. Alton Bryant</t>
  </si>
  <si>
    <t>Special Crusade Edition</t>
  </si>
  <si>
    <t>220.3 DEU w</t>
  </si>
  <si>
    <t>Bijbels Beeld Woordenboek</t>
  </si>
  <si>
    <t>DR. A. Van Deursen</t>
  </si>
  <si>
    <t>979-3012-32-3</t>
  </si>
  <si>
    <t>220.3 GER k</t>
  </si>
  <si>
    <t>Kamus Alkitab</t>
  </si>
  <si>
    <t>Howard M. Gering</t>
  </si>
  <si>
    <t>220.3 RIE k</t>
  </si>
  <si>
    <t>Kamus Istilah Theologia</t>
  </si>
  <si>
    <t>0-8010-6185-7</t>
  </si>
  <si>
    <t>220.3 MUL</t>
  </si>
  <si>
    <t xml:space="preserve">Dictinary of Latin and Greek Theological Terms </t>
  </si>
  <si>
    <t>Richard A. Muller</t>
  </si>
  <si>
    <t>220.3 DOU d</t>
  </si>
  <si>
    <t>The New Bible Dictionary</t>
  </si>
  <si>
    <t>J.D. Douglas, M.A.</t>
  </si>
  <si>
    <t>0-8407-5712-3</t>
  </si>
  <si>
    <t>220.3 SMI</t>
  </si>
  <si>
    <t>A Dictionary of the Bible</t>
  </si>
  <si>
    <t>William Smith, L.L.D</t>
  </si>
  <si>
    <t>Thomas Nelson Publishers</t>
  </si>
  <si>
    <t>423 MER  d</t>
  </si>
  <si>
    <t>Webster's New Collegiate Dictionary</t>
  </si>
  <si>
    <t>G. &amp; C. Merriam Company</t>
  </si>
  <si>
    <t>G. &amp; C. Merriam Co.</t>
  </si>
  <si>
    <t>0-8308-1777-8</t>
  </si>
  <si>
    <t>492.4 GRE d</t>
  </si>
  <si>
    <t>Dictionary of Jesus and the Gospels</t>
  </si>
  <si>
    <t>InterVarsity Press</t>
  </si>
  <si>
    <t>965-220-093-X</t>
  </si>
  <si>
    <t>492.42 KLE</t>
  </si>
  <si>
    <t>A Comprehensive Etymological Dictionary of the Hebrew Language for Readers of English</t>
  </si>
  <si>
    <t>Ernest Klein</t>
  </si>
  <si>
    <t>The University of Haifa</t>
  </si>
  <si>
    <t>0-8028-46807</t>
  </si>
  <si>
    <t>226.92 AND d</t>
  </si>
  <si>
    <t>Biographical Dictionary of Christian Missions</t>
  </si>
  <si>
    <t>Gerald H. Anderson (E)</t>
  </si>
  <si>
    <t>Etymological Dictionary of The Hebrew Language</t>
  </si>
  <si>
    <t>Inggris &amp; Ibrani</t>
  </si>
  <si>
    <t>Baruch Sarel (E)</t>
  </si>
  <si>
    <t>979-687-139-4</t>
  </si>
  <si>
    <t>413.270 WEL</t>
  </si>
  <si>
    <t>Kamus Sejarah Gereja Edisi Revisi</t>
  </si>
  <si>
    <t>17-123098-1</t>
  </si>
  <si>
    <t>220.03   ROW</t>
  </si>
  <si>
    <t>H.H.Rowley</t>
  </si>
  <si>
    <t>0-8308-1438-8</t>
  </si>
  <si>
    <t>220.3 ALE d</t>
  </si>
  <si>
    <t>New Dictionary of Biblical Theology</t>
  </si>
  <si>
    <t>0-8028-2409-9</t>
  </si>
  <si>
    <t>225.3    BAL d</t>
  </si>
  <si>
    <t>Exegetical Dictionary of The New Testament vol.1</t>
  </si>
  <si>
    <t>Horst Balz and Gerhard Schneider</t>
  </si>
  <si>
    <t>0-8028-2400-5</t>
  </si>
  <si>
    <t>220.3 FRE e</t>
  </si>
  <si>
    <t>Eerdmans Dictionary of the Bible</t>
  </si>
  <si>
    <t>David Noel Freedman</t>
  </si>
  <si>
    <t>1-932443-20-7</t>
  </si>
  <si>
    <t>220.3 JAS d</t>
  </si>
  <si>
    <t>Dictionary of the Targumim, Talmud Bavli, Talmud-Yerushalmi and Midrashic Literature</t>
  </si>
  <si>
    <t>Inggris &amp; Yunani</t>
  </si>
  <si>
    <t>Marcus Jastrow</t>
  </si>
  <si>
    <t>Judaica Treasury</t>
  </si>
  <si>
    <t>978-0-8028-2549-0</t>
  </si>
  <si>
    <t>296.09 JOL D</t>
  </si>
  <si>
    <t>The Eerdmans Dictionary of Early Judaism</t>
  </si>
  <si>
    <t>220.3   TOO d</t>
  </si>
  <si>
    <t>Dictionary of Deities and Demons in the Bible (DDD)</t>
  </si>
  <si>
    <t>Karel van der Toorn</t>
  </si>
  <si>
    <t>220.3 YOU d</t>
  </si>
  <si>
    <t>New Illustratede Bible Dictionary</t>
  </si>
  <si>
    <t>Ronald F. Youngblood</t>
  </si>
  <si>
    <t>0-06-069862-4</t>
  </si>
  <si>
    <t>220.3 ACH d</t>
  </si>
  <si>
    <t>Paul J. Achlemeier (E)</t>
  </si>
  <si>
    <t>0-340-25919-1</t>
  </si>
  <si>
    <t>220.3 GLA d</t>
  </si>
  <si>
    <t>The Illustrated Bible Dictionary 1</t>
  </si>
  <si>
    <t>Mary Gladstone Dkk</t>
  </si>
  <si>
    <t>0-340-25920-5</t>
  </si>
  <si>
    <t>The Illustrated Bible Dictionary 2</t>
  </si>
  <si>
    <t>0-340-25921-3</t>
  </si>
  <si>
    <t>The Illustrated Bible Dictionary 3</t>
  </si>
  <si>
    <t>The New International Dictionary of New Testament Theology</t>
  </si>
  <si>
    <t>225.4 DIC</t>
  </si>
  <si>
    <t>220.3 GER K</t>
  </si>
  <si>
    <t>Bible Dictionary</t>
  </si>
  <si>
    <t xml:space="preserve">Paul J. Achlemeier (E) </t>
  </si>
  <si>
    <t>487.4 LOU g</t>
  </si>
  <si>
    <t>Greek-English Lexicon Volume 1</t>
  </si>
  <si>
    <t>Johannes P. Louw Dkk</t>
  </si>
  <si>
    <t>0-8267-0342-9</t>
  </si>
  <si>
    <t>Greek-English Lexicon Volume 2</t>
  </si>
  <si>
    <t>9-78-3-438-06008-2</t>
  </si>
  <si>
    <t>413. 028 GRE</t>
  </si>
  <si>
    <t>Greek-English Dictionary of The New Testament</t>
  </si>
  <si>
    <t>Barclay M. Newman, JR.</t>
  </si>
  <si>
    <t>487.4 GUI</t>
  </si>
  <si>
    <t>The Greek Testament Analyzed</t>
  </si>
  <si>
    <t>487.4 ARN g</t>
  </si>
  <si>
    <t>A Greek - English Lexicon of the New Testament and Other Early Christian Literature - Second Edition</t>
  </si>
  <si>
    <t>William F. Arndt Dkk</t>
  </si>
  <si>
    <t>University of Chicago</t>
  </si>
  <si>
    <t>A Greek - English Lexicon of the New Testament and Other Early Christian Literature - Third Edition</t>
  </si>
  <si>
    <t>Frederick William Danker Dkk</t>
  </si>
  <si>
    <t>0-943575-33-8</t>
  </si>
  <si>
    <t>487.4 PER n</t>
  </si>
  <si>
    <t xml:space="preserve">Yunani </t>
  </si>
  <si>
    <t xml:space="preserve">Wesley J. Perschbacher </t>
  </si>
  <si>
    <t>487.4 SMI</t>
  </si>
  <si>
    <t>Manual Greek Lexicon of The New Testament</t>
  </si>
  <si>
    <t>G. Abbott- Smith, D.D.,  D.D.L., LL. D.</t>
  </si>
  <si>
    <t>Aberdeen</t>
  </si>
  <si>
    <t>480 ANA</t>
  </si>
  <si>
    <t>Analitycal Greek New Testament</t>
  </si>
  <si>
    <t>Barbara Friberg &amp; Timothy Friberg (E)</t>
  </si>
  <si>
    <t>0-310-20290-6</t>
  </si>
  <si>
    <t>492.4 DAV a</t>
  </si>
  <si>
    <t>Tne Analytical Hebrew and Chaldee Lexicon</t>
  </si>
  <si>
    <t xml:space="preserve"> 413.029 ARN g</t>
  </si>
  <si>
    <t xml:space="preserve">A Greek-English Lexicon of The New Testament and Other Early Christian Literature </t>
  </si>
  <si>
    <t>220.4 GRE i</t>
  </si>
  <si>
    <t>The Interlinear Bible Hebrew-English Volume 1</t>
  </si>
  <si>
    <t>Jay P. Green, Sr.</t>
  </si>
  <si>
    <t>The Interlinear Bible Hebrew-English Volume 2</t>
  </si>
  <si>
    <t>The Interlinear Bible Hebrew-English Volume 3</t>
  </si>
  <si>
    <t>The Interlinear Bible Greek-English Volume 4</t>
  </si>
  <si>
    <t>978-1-56563-977-5</t>
  </si>
  <si>
    <t>The Interlinear Bible Hebrew - Greek - English</t>
  </si>
  <si>
    <t>413.1 GIN s</t>
  </si>
  <si>
    <t>Shorter Lexicon of the Greek New Testament</t>
  </si>
  <si>
    <t>F. Wilbur Gingrich</t>
  </si>
  <si>
    <t>0-8028-2325-4</t>
  </si>
  <si>
    <t>221.3. WEC t</t>
  </si>
  <si>
    <t>Theological Dictionary of The Old Testament Volume 1</t>
  </si>
  <si>
    <t>G. Johannes Botter Weck &amp; Helmer Ringgren</t>
  </si>
  <si>
    <t>Teological Dictionary of The Old Testament Volume 2</t>
  </si>
  <si>
    <t xml:space="preserve">Theological Dictionary of The Old Testament Volume 3 </t>
  </si>
  <si>
    <t>Theological Dictionary of The Old Testament Volume 4</t>
  </si>
  <si>
    <t>Theological Dictionary of The Old Testament Volume 5</t>
  </si>
  <si>
    <t>0-8028-2243-6</t>
  </si>
  <si>
    <t>221.3. KIT t</t>
  </si>
  <si>
    <t>Theological Dictionary of The New Testament Volume I</t>
  </si>
  <si>
    <t>Gerhard Kittel &amp; Gerhard Friedriuch (E)</t>
  </si>
  <si>
    <t>0-8028-2244-4</t>
  </si>
  <si>
    <t>Theological Dictionary of The New Testament Volume II</t>
  </si>
  <si>
    <t>0-8028-2245-2</t>
  </si>
  <si>
    <t>Theological Dictionary of The New Testament Volume III</t>
  </si>
  <si>
    <t>0-8028-2246-0</t>
  </si>
  <si>
    <t>Theological Dictionary of The New Testament Volume IV</t>
  </si>
  <si>
    <t>0-8028-2247-9</t>
  </si>
  <si>
    <t>Theological Dictionary of The New Testament Volume V</t>
  </si>
  <si>
    <t>0-8028-2248-7</t>
  </si>
  <si>
    <t>Theological Dictionary of The New Testament Volume VI</t>
  </si>
  <si>
    <t>0-8028-2249-5</t>
  </si>
  <si>
    <t>Theological Dictionary of The New Testament Volume VII</t>
  </si>
  <si>
    <t>0-8028-2250-9</t>
  </si>
  <si>
    <t>Theological Dictionary of The New Testament Volume VIII</t>
  </si>
  <si>
    <t>0-8028-2322-X</t>
  </si>
  <si>
    <t>Theological Dictionary of The New Testament Volume IX</t>
  </si>
  <si>
    <t>0-8028-2323-8</t>
  </si>
  <si>
    <t>Theological Dictionary of The New Testament Volume X</t>
  </si>
  <si>
    <t>979-421-142-7</t>
  </si>
  <si>
    <t>433 RAH k</t>
  </si>
  <si>
    <t>Kamus Lengkap Jerman - Indonesia Indonesia - Jerman</t>
  </si>
  <si>
    <t>Datje Rahajoekoesoemah</t>
  </si>
  <si>
    <t>Raja Grafindo Persada</t>
  </si>
  <si>
    <t>979-24-3602-2</t>
  </si>
  <si>
    <t>413 CHA k</t>
  </si>
  <si>
    <t>Kamus Jepang - Indonesia Indonesia - Jepang</t>
  </si>
  <si>
    <t>Jepang - Indonesia</t>
  </si>
  <si>
    <t>T. Chandra</t>
  </si>
  <si>
    <t>Evergreen Japanese Course</t>
  </si>
  <si>
    <t>979-593-004-3</t>
  </si>
  <si>
    <t>495.603.1 NEL k</t>
  </si>
  <si>
    <t>Kamus Kanji Modern Jepang - Indonesia</t>
  </si>
  <si>
    <t>Japan - Indonesia</t>
  </si>
  <si>
    <t>Andrew N. Nelson</t>
  </si>
  <si>
    <t>Kesaint Blanc</t>
  </si>
  <si>
    <t>7-119-01837-X</t>
  </si>
  <si>
    <t>495.13 YOW k</t>
  </si>
  <si>
    <t>Kamus Besar Tionghoa-Indonesia</t>
  </si>
  <si>
    <t>China-Ind</t>
  </si>
  <si>
    <t>Hendra Yowargana</t>
  </si>
  <si>
    <t>Pustaka Bahasa Asing</t>
  </si>
  <si>
    <t>90-247-2320-5</t>
  </si>
  <si>
    <t>413.2 CEN w</t>
  </si>
  <si>
    <t>Makassaars - Nederlands Woordenboek</t>
  </si>
  <si>
    <t>A.A. Cense</t>
  </si>
  <si>
    <t>S-Gravenhage - Martinus Nijhoff</t>
  </si>
  <si>
    <t>011 BIB k</t>
  </si>
  <si>
    <t>Bibliografi Perkamusan Indonesia</t>
  </si>
  <si>
    <t>Pusat Pembinaan dan Pengembangan Bahasa Departemen Pendidikan dan Kebudayaan Jakarta</t>
  </si>
  <si>
    <t>413.1 KAM</t>
  </si>
  <si>
    <t>Kamus Yunani-Indonesia</t>
  </si>
  <si>
    <t>Yunani -Indonesia</t>
  </si>
  <si>
    <t>John Miller &amp; Gery van Klinken</t>
  </si>
  <si>
    <t>413.1 WEL k</t>
  </si>
  <si>
    <t>Kramers' Woordenboek Engels</t>
  </si>
  <si>
    <t>DR. F.P.H. Prick van Wely</t>
  </si>
  <si>
    <t>Zevenentwintigste Druk Van Goor Zonen</t>
  </si>
  <si>
    <t>979-8276-02-7</t>
  </si>
  <si>
    <t>413.439.3 WOJ k</t>
  </si>
  <si>
    <t>Kamus Umum Belanda - Indonesia</t>
  </si>
  <si>
    <t>Prof. Drs. S. Wojowasito</t>
  </si>
  <si>
    <t>473 PRE k</t>
  </si>
  <si>
    <t>Kamus Latin - Indonesia</t>
  </si>
  <si>
    <t>Latin -Indonesia</t>
  </si>
  <si>
    <t>Drs. K. Prent c.m. Dkk</t>
  </si>
  <si>
    <t>979-8543-50-5</t>
  </si>
  <si>
    <t>413.2 SAL d</t>
  </si>
  <si>
    <t>The Contemporary English-Indonesia dictionary. Vol. 1</t>
  </si>
  <si>
    <t>Drs. Peter Salim, M.A</t>
  </si>
  <si>
    <t>Media Eka Pustaka</t>
  </si>
  <si>
    <t>The Contemporary English-Indonesia dictionary. Vol. 2</t>
  </si>
  <si>
    <t>0-582-08675-2</t>
  </si>
  <si>
    <t>413.1 SUM d</t>
  </si>
  <si>
    <t>Longman Dictionary of English Language and Culture</t>
  </si>
  <si>
    <t>Della Summers</t>
  </si>
  <si>
    <t>Longman</t>
  </si>
  <si>
    <t>978-979-15107-3-8</t>
  </si>
  <si>
    <t>719.32 SAN w</t>
  </si>
  <si>
    <t>World Heritage Nature &amp; Culture Volume 1 - Under The Protection of Unesco Afrika Selatan &amp; Afrika Tengah</t>
  </si>
  <si>
    <t>Agus Santosa</t>
  </si>
  <si>
    <t>World Heritage Nature &amp; Culture Volume 2 - Under The Protection of Unesco Afrika Utara &amp; Timur Tengah</t>
  </si>
  <si>
    <t>World Heritage Nature &amp; Culture Volume 3 - Under The Protection of Unesco Asia Tengah &amp; Asia Selatan</t>
  </si>
  <si>
    <t>World Heritage Nature &amp; Culture Volume 4 - Under The Protection of Unesco Asia Timur &amp; Asia Tenggara</t>
  </si>
  <si>
    <t>World Heritage Nature &amp; Culture Volume 5 - Under The Protection of Unesco Eropa Barat</t>
  </si>
  <si>
    <t>World Heritage Nature &amp; Culture Volume 6 - Under The Protection of Unesco Eropa Utara</t>
  </si>
  <si>
    <t>World Heritage Nature &amp; Culture Volume 7 - Under The Protection of Unesco  Eropa Timur</t>
  </si>
  <si>
    <t>World Heritage Nature &amp; Culture Volume 8 - Under The Protection of Unesco Eropa Tengah &amp; Eropa Selatan</t>
  </si>
  <si>
    <t>World Heritage Nature &amp; Culture Volume 9 - Under The Protection of Unesco America Utara, America Tengah &amp; Oceania</t>
  </si>
  <si>
    <t>World Heritage Nature &amp; Culture Volume 10 - Under The Protection of Unesco America Selatan &amp; Karibia</t>
  </si>
  <si>
    <t>499.221.3 HAR k</t>
  </si>
  <si>
    <t>Kamues Indonesia</t>
  </si>
  <si>
    <t>E. St. Harahap</t>
  </si>
  <si>
    <t>G. Kolff &amp; Co. Batavia</t>
  </si>
  <si>
    <t>979-407-182-X</t>
  </si>
  <si>
    <t>4.99.221.3 ALW k</t>
  </si>
  <si>
    <t>Kamus Besar Bahasa Indonesia Edisi Ketiga</t>
  </si>
  <si>
    <t>Hasan Alwi Dkk</t>
  </si>
  <si>
    <t>978-979-22-3841-9</t>
  </si>
  <si>
    <t>413.499.221 SUG k</t>
  </si>
  <si>
    <t>Kamus Besar Bahasa Indonesia Pusat Bahasa Edisi Keempat</t>
  </si>
  <si>
    <t>Dendy Sugono Dkk</t>
  </si>
  <si>
    <t>978-602-437-171-5</t>
  </si>
  <si>
    <t>413.499.221 SUN k</t>
  </si>
  <si>
    <t>Kamus Besar Bahasa Indonesia Edisi Kelima</t>
  </si>
  <si>
    <t>Dadang Sunendar Dkk</t>
  </si>
  <si>
    <t>Badan Pengembangan dan Pembinaan Bahasa Kementerian Pendidikan dan Kebudayaan</t>
  </si>
  <si>
    <t>413.499.221 BAD k</t>
  </si>
  <si>
    <t xml:space="preserve">Kamus Ungkapan Bahasa Indonesia </t>
  </si>
  <si>
    <t>Dr. J.S. Badudu</t>
  </si>
  <si>
    <t>Pustaka Prima Bandung</t>
  </si>
  <si>
    <t>978-602-03-0566-0</t>
  </si>
  <si>
    <t>413.2 ECH k</t>
  </si>
  <si>
    <t>Kamus Indonesia - Inggris (Edisi Ketiga) Thn. 2014</t>
  </si>
  <si>
    <t>John M. Echols Dkk</t>
  </si>
  <si>
    <t>978-403-757-7</t>
  </si>
  <si>
    <t>Kamus Indonesia Inggris (Edisi Ketiga) Thn. 2003</t>
  </si>
  <si>
    <t>413.499.222 BAD k</t>
  </si>
  <si>
    <t>Kamus Umum Bahasa Indonesia</t>
  </si>
  <si>
    <t>Prof. Dr. J.S. Badudu Dkk</t>
  </si>
  <si>
    <t>979-655-128-4</t>
  </si>
  <si>
    <t>413.2 SUL k</t>
  </si>
  <si>
    <t>Kamus Ungkapan Inggris - Indonesia</t>
  </si>
  <si>
    <t>Joseph J. Sullivan Dkk</t>
  </si>
  <si>
    <t>979-511-292-9</t>
  </si>
  <si>
    <t>413.499.222 KRI k</t>
  </si>
  <si>
    <t>Kamus Linguistik Edisi Ketiga</t>
  </si>
  <si>
    <t>979-709-063-9</t>
  </si>
  <si>
    <t>Kamus kata-kata Serapan Asing Dalam Bahasa Indonesia</t>
  </si>
  <si>
    <t>Kompas</t>
  </si>
  <si>
    <t>419.221 KRI k</t>
  </si>
  <si>
    <t>Kamus Linguistik</t>
  </si>
  <si>
    <t>978-979-415-548-6</t>
  </si>
  <si>
    <t>413.2 NEW k</t>
  </si>
  <si>
    <t xml:space="preserve">Kamus Yunani - Indonesia Untuk Perjanjian Baru </t>
  </si>
  <si>
    <t>978-979-433-542-0</t>
  </si>
  <si>
    <t>Tesaurus Alfabetis Bahasa Indonesia Pusat Bahasa</t>
  </si>
  <si>
    <t>1-84205-558-5</t>
  </si>
  <si>
    <t xml:space="preserve"> 413.1 DES d</t>
  </si>
  <si>
    <t>Webster's Dictionary and Thesaurus</t>
  </si>
  <si>
    <t>Scotland</t>
  </si>
  <si>
    <t>Geddes Dkk</t>
  </si>
  <si>
    <t>Polskabook</t>
  </si>
  <si>
    <t>499.221.3 ALI k</t>
  </si>
  <si>
    <t xml:space="preserve">Kamus Besar Bahasa Indonesia Edisi Kedua </t>
  </si>
  <si>
    <t>Lukman Ali Dkk</t>
  </si>
  <si>
    <t>220.3 DAV d</t>
  </si>
  <si>
    <t>The Westminster Dictionary of the Bible</t>
  </si>
  <si>
    <t>John D. Davis, PH. D., D.D., LL.D.</t>
  </si>
  <si>
    <t>413.499.225 BEC k</t>
  </si>
  <si>
    <t>Kamus Bergambar Yalahatan-Indonesia</t>
  </si>
  <si>
    <t>Carrie Beckley</t>
  </si>
  <si>
    <t>BPM Maluku &amp; SIL International</t>
  </si>
  <si>
    <t>979-672-990-3</t>
  </si>
  <si>
    <t xml:space="preserve">  413.2 WID k</t>
  </si>
  <si>
    <t>Kamus Basa Jawa (Bausastra Jawa)</t>
  </si>
  <si>
    <t>Widada Dkk</t>
  </si>
  <si>
    <t>413.499.222 PRA k</t>
  </si>
  <si>
    <t>Bausastra Djawa-Indonesia</t>
  </si>
  <si>
    <t>S. Prawiroatmodjo</t>
  </si>
  <si>
    <t>Express &amp; Marfiah Surabaja</t>
  </si>
  <si>
    <t xml:space="preserve"> 413.499.222 KOE k</t>
  </si>
  <si>
    <t xml:space="preserve">Kamus kecil Sunda - Indonesia </t>
  </si>
  <si>
    <t>Sunda -Indonesia</t>
  </si>
  <si>
    <t>M. O. Koesman</t>
  </si>
  <si>
    <t xml:space="preserve">Tarate Bandung </t>
  </si>
  <si>
    <t>979-730-062-5</t>
  </si>
  <si>
    <t xml:space="preserve">413.2 TAM k      </t>
  </si>
  <si>
    <t>Kamus Lengkap Sunda-Indonesia, Indonesia-Sunda Sunda-Sunda</t>
  </si>
  <si>
    <t>Sunda - Indonesia</t>
  </si>
  <si>
    <t>Drs. Budi Rahayu Tamsyah, Spk.</t>
  </si>
  <si>
    <t>Pustaka Setia</t>
  </si>
  <si>
    <t>979-523-999-6</t>
  </si>
  <si>
    <t xml:space="preserve">  413.2 PAW k</t>
  </si>
  <si>
    <t>Kamus Lengkap Bahasa Madura-Indonesia</t>
  </si>
  <si>
    <t>Jawa Timur</t>
  </si>
  <si>
    <t>Madura -Indonesia</t>
  </si>
  <si>
    <t>Adrian Pawitra</t>
  </si>
  <si>
    <t>Dian Rakyat</t>
  </si>
  <si>
    <t>413.2 SAF k</t>
  </si>
  <si>
    <t xml:space="preserve">Kamus Bahasa Madura-Indonesia </t>
  </si>
  <si>
    <t>Asis Safioedin S.H.</t>
  </si>
  <si>
    <t>Offset Bumirestu</t>
  </si>
  <si>
    <t xml:space="preserve"> 413.2 BER k</t>
  </si>
  <si>
    <t>Kamus Muna-Indonesia</t>
  </si>
  <si>
    <t>Muna -Indonesia</t>
  </si>
  <si>
    <t>Dr. Rene van den Berg Dkk</t>
  </si>
  <si>
    <t>413.2 HEN p</t>
  </si>
  <si>
    <t>Pratisch Madurees-Nederlands Woordenboek</t>
  </si>
  <si>
    <t>Madura-Belanda</t>
  </si>
  <si>
    <t>H. Hendriks</t>
  </si>
  <si>
    <t>G.C.T. Van Dorp &amp; Co.N.V.</t>
  </si>
  <si>
    <t>413.2 SIN k</t>
  </si>
  <si>
    <t>Kamus Indonesia-Bali</t>
  </si>
  <si>
    <t>Bali</t>
  </si>
  <si>
    <t>Indonesia - Bali</t>
  </si>
  <si>
    <t>Balai Penelitian Bahasa Singaraja</t>
  </si>
  <si>
    <t>Departemen Pendidikan &amp; Kebudayaan Jakarta</t>
  </si>
  <si>
    <t xml:space="preserve"> 413.2 MEL k </t>
  </si>
  <si>
    <t>Kamus Gayo-Indonesia</t>
  </si>
  <si>
    <t>Aceh</t>
  </si>
  <si>
    <t>Gayo -Indonesia</t>
  </si>
  <si>
    <t>M.J. Melalatoa Dkk</t>
  </si>
  <si>
    <t xml:space="preserve"> 413.2 CHA k</t>
  </si>
  <si>
    <t>Kamus Dialek Jakarta</t>
  </si>
  <si>
    <t>DKI  Jakarta</t>
  </si>
  <si>
    <t>Jakarta/Betawi</t>
  </si>
  <si>
    <t>Abdul Chaer</t>
  </si>
  <si>
    <t>413.2 SAI k</t>
  </si>
  <si>
    <t>Sulawesi Selatan</t>
  </si>
  <si>
    <t>Bugis - Indonsia</t>
  </si>
  <si>
    <t>M. Ide Said DM.</t>
  </si>
  <si>
    <t xml:space="preserve"> 413.2 TAM k</t>
  </si>
  <si>
    <t>Kamus Toradja-Indonesia</t>
  </si>
  <si>
    <t>Toraja - Indonesia</t>
  </si>
  <si>
    <t>J.Tammu Dkk</t>
  </si>
  <si>
    <t xml:space="preserve">Jajasan Perguruan Kristen Toradja </t>
  </si>
  <si>
    <t xml:space="preserve"> 413.2 KAP k</t>
  </si>
  <si>
    <t>Kamus Sumba/Kambera-Indonesia</t>
  </si>
  <si>
    <t>NTT</t>
  </si>
  <si>
    <t>Sumba - Indonesia</t>
  </si>
  <si>
    <t>Oe.H. Kapita</t>
  </si>
  <si>
    <t>Arnoldus</t>
  </si>
  <si>
    <t>979-25-9630-5</t>
  </si>
  <si>
    <t xml:space="preserve"> 413.2 SUN k</t>
  </si>
  <si>
    <t>Kamus Bahasa Tonsea, Tonsea-Indonesia</t>
  </si>
  <si>
    <t>Sulawesi Utara</t>
  </si>
  <si>
    <t>Tonsea -Indonesia</t>
  </si>
  <si>
    <t>Alfred Sundah</t>
  </si>
  <si>
    <t>Sanggar Kadoodan</t>
  </si>
  <si>
    <t>978-979-709-541-3</t>
  </si>
  <si>
    <t>413.2 LAS k</t>
  </si>
  <si>
    <t>Kamus Li Niha, Nias-Indonesia</t>
  </si>
  <si>
    <t>Sumatera Utara</t>
  </si>
  <si>
    <t>Nias -Indonesia</t>
  </si>
  <si>
    <t>Apolonius Lase</t>
  </si>
  <si>
    <t>413.2 TAM k</t>
  </si>
  <si>
    <t>Kamus Bahasa Batak Toba-Indonesia</t>
  </si>
  <si>
    <t>sumatera Utara</t>
  </si>
  <si>
    <t>Batak Toba -Indonesia</t>
  </si>
  <si>
    <t>Drs. Anggur P. Tambunan</t>
  </si>
  <si>
    <t>413.2 SIR k</t>
  </si>
  <si>
    <t>Kamus Bahasa Angkola/Mandailing-Indonesia</t>
  </si>
  <si>
    <t>Angkola -Indonesia</t>
  </si>
  <si>
    <t>Ahmad Samin Siregar</t>
  </si>
  <si>
    <t xml:space="preserve">Batak Toba -Indonesia </t>
  </si>
  <si>
    <t>DRS. Anggur P. Tambunan</t>
  </si>
  <si>
    <t xml:space="preserve"> 413.2 LAI k</t>
  </si>
  <si>
    <t>Kamus Nias-Indonesia</t>
  </si>
  <si>
    <t>Sitasi Z. Laiya Dkk</t>
  </si>
  <si>
    <t xml:space="preserve"> 413.2 HAS k        </t>
  </si>
  <si>
    <t>Kamus Simalungun-Indonesia</t>
  </si>
  <si>
    <t>Simalungun -Indonesia</t>
  </si>
  <si>
    <t>Zubeirsyah M. Hasyim Dkk</t>
  </si>
  <si>
    <t>413.2 SIL k</t>
  </si>
  <si>
    <t>Kamus Yunani - Indonesia</t>
  </si>
  <si>
    <t>Pdt. W. Silitonga</t>
  </si>
  <si>
    <t xml:space="preserve"> 413.2 MAN k     </t>
  </si>
  <si>
    <t>Pak-pak Dairi -Indonesia</t>
  </si>
  <si>
    <t xml:space="preserve"> 413.2 ARI k    </t>
  </si>
  <si>
    <t>Kamus Mentawai-Indonesia</t>
  </si>
  <si>
    <t>Sumatera Barat</t>
  </si>
  <si>
    <t>Mentawai - Indonesia</t>
  </si>
  <si>
    <t>Syamsir Arifin Dkk</t>
  </si>
  <si>
    <t>413.2 PIK k</t>
  </si>
  <si>
    <t>Kamus Bahasa Tidore-Indonesia-Inggris</t>
  </si>
  <si>
    <t>Maluku Utara</t>
  </si>
  <si>
    <t>Tidore-Indonesia-Inggris</t>
  </si>
  <si>
    <t>Dr. Joost J.J. Pikkert, M.A. Dkk</t>
  </si>
  <si>
    <t>Pemerintah Daerah Tingkat II</t>
  </si>
  <si>
    <t xml:space="preserve">          413.2 SOE k     </t>
  </si>
  <si>
    <t>Kamus Bahasa Biak-Indonesia</t>
  </si>
  <si>
    <t>Papua</t>
  </si>
  <si>
    <t>Biak-Indonesia</t>
  </si>
  <si>
    <t>Soeparno</t>
  </si>
  <si>
    <t xml:space="preserve"> 413.2 DOK k           </t>
  </si>
  <si>
    <t>Kamus Kecil Indonesia-Tetun Belu-Tetun Dili</t>
  </si>
  <si>
    <t>Indonesia - Tetun</t>
  </si>
  <si>
    <t>P.J. Serantes &amp; I.H. Doko</t>
  </si>
  <si>
    <t>413.2 CHI k</t>
  </si>
  <si>
    <t>Kamus Rejang-Indonesia</t>
  </si>
  <si>
    <t>Bengkulu</t>
  </si>
  <si>
    <t>Rejang -Indonesia</t>
  </si>
  <si>
    <t>H.Syahril Chili</t>
  </si>
  <si>
    <t>979-22-2954-X</t>
  </si>
  <si>
    <t xml:space="preserve"> 413.2 MAN k       </t>
  </si>
  <si>
    <t>Kamus Indonesia-Tetun, Tetun-Indonesia</t>
  </si>
  <si>
    <t>Yohanes Manhitu</t>
  </si>
  <si>
    <t xml:space="preserve"> 413.2 MAT k    </t>
  </si>
  <si>
    <t>Kamus Sou Naunue-Sou Manai Bahasa Indonesia-Naulu</t>
  </si>
  <si>
    <t>Maluku Tengah</t>
  </si>
  <si>
    <t>Indonesia - Naulu</t>
  </si>
  <si>
    <t>Rosemary A. Bolton &amp; Hunanatu Matoke</t>
  </si>
  <si>
    <t>Badan Pemberdayaan Masyarakat Propinsi Maluku</t>
  </si>
  <si>
    <t>979-415-548-9</t>
  </si>
  <si>
    <t xml:space="preserve">          413.2           KAM            </t>
  </si>
  <si>
    <t>Barclay M. Newman Jr.</t>
  </si>
  <si>
    <t>413.2 BIN k</t>
  </si>
  <si>
    <t>Kamus Dwibahasa Dayak Ngaju-Indonesia</t>
  </si>
  <si>
    <t>Kalimantan Tengah</t>
  </si>
  <si>
    <t>Dayak Ngaju -Indonesia</t>
  </si>
  <si>
    <t>Albert A. Bingan Dkk</t>
  </si>
  <si>
    <t>Primal Indah</t>
  </si>
  <si>
    <t xml:space="preserve"> 413.2 BIN k</t>
  </si>
  <si>
    <t>Upon Ajar Basa Dayak Ngaju (Pokok Pelajaran Bahasa Dayak Ngaju)</t>
  </si>
  <si>
    <t>Dayak Ngaju</t>
  </si>
  <si>
    <t>Primal Indah Palangka Raya</t>
  </si>
  <si>
    <t xml:space="preserve">          413.2 SUR k       </t>
  </si>
  <si>
    <t>Kamus Tondano-Indonesia</t>
  </si>
  <si>
    <t>Sri Timur Suratman Dkk</t>
  </si>
  <si>
    <t>979-22-2501-3</t>
  </si>
  <si>
    <t>Kamus Bahasa &amp; Budaya Manado</t>
  </si>
  <si>
    <t>Yapi Tambayong</t>
  </si>
  <si>
    <t xml:space="preserve"> 413.2  HOO i</t>
  </si>
  <si>
    <t>Indian Word List</t>
  </si>
  <si>
    <t>J.S.M. Hooper, M.A., D.D.</t>
  </si>
  <si>
    <t>The Bibel Society of India and Ceylon Ban Galore</t>
  </si>
  <si>
    <t xml:space="preserve"> 413.2 BER b</t>
  </si>
  <si>
    <t>Buku Saku Bahasa Sehari-hari Muna-Indonesia-Inggris (Dialek Selatan)</t>
  </si>
  <si>
    <t>Sulawesi</t>
  </si>
  <si>
    <t>Dr. Rene van den Berg</t>
  </si>
  <si>
    <t>Badan Pemberdayaan Masyarakat SULTRA</t>
  </si>
  <si>
    <t>979-415-337-0</t>
  </si>
  <si>
    <t>230.03.S.2 SOE k</t>
  </si>
  <si>
    <t>483 WAL k</t>
  </si>
  <si>
    <t>Kamus Singkat Yunani - Indonesia</t>
  </si>
  <si>
    <t>Lampiran</t>
  </si>
  <si>
    <t>978-979-415-127-3</t>
  </si>
  <si>
    <t>413.230 NAP k</t>
  </si>
  <si>
    <t>Kamus Teologi Inggris-Indonesia</t>
  </si>
  <si>
    <t>Inggris -Indonesia</t>
  </si>
  <si>
    <t>Henk ten Napel</t>
  </si>
  <si>
    <t>978-979-687-583-2</t>
  </si>
  <si>
    <t>413.220.3 BRO k</t>
  </si>
  <si>
    <t>Kamus Alkitab a Dictionary of the Bible</t>
  </si>
  <si>
    <t>W.R.F. Browning</t>
  </si>
  <si>
    <t>978-602-8009-78-2</t>
  </si>
  <si>
    <t>413.2 ACH k</t>
  </si>
  <si>
    <t>Kamus Ibrani - Indonesia Perjanjian Lama</t>
  </si>
  <si>
    <t>Ibrani - Indonesia</t>
  </si>
  <si>
    <t>Reinhard Achenbach</t>
  </si>
  <si>
    <t>Bina Kasih</t>
  </si>
  <si>
    <t>270.3 WEL k</t>
  </si>
  <si>
    <t>Dr. F.D. Wellem</t>
  </si>
  <si>
    <t>979-429-186-2</t>
  </si>
  <si>
    <t>220.3 HAA k</t>
  </si>
  <si>
    <t>Herbert Haag</t>
  </si>
  <si>
    <t xml:space="preserve">978-1-55671-216-6 </t>
  </si>
  <si>
    <t>409 LEW e</t>
  </si>
  <si>
    <t>Ethnologue - Languages of the World</t>
  </si>
  <si>
    <t>M. Paul Lewis</t>
  </si>
  <si>
    <t>Dallas</t>
  </si>
  <si>
    <t xml:space="preserve">       220.3                    WAL           k</t>
  </si>
  <si>
    <t>Konkordansi Alkitab Cetakan 1 (Edisi ke-1)</t>
  </si>
  <si>
    <t>979-415-274-9</t>
  </si>
  <si>
    <t>413.220.3 NAP k</t>
  </si>
  <si>
    <t>Inggri -Indonesia</t>
  </si>
  <si>
    <t>979-605-409-4</t>
  </si>
  <si>
    <t xml:space="preserve"> 413.2 RIV k</t>
  </si>
  <si>
    <t>Kamus Italia - Indonesia (Edisi Revisi)</t>
  </si>
  <si>
    <t>Italia -Indonesia</t>
  </si>
  <si>
    <t>S. Faizah Soenoto Rivai</t>
  </si>
  <si>
    <t>979-415-978-6</t>
  </si>
  <si>
    <t>413.2 BAK k</t>
  </si>
  <si>
    <t>Kamus Singkat Ibrani - Indonesia</t>
  </si>
  <si>
    <t>D.L. Baker Dkk</t>
  </si>
  <si>
    <t xml:space="preserve"> 413.2 NEW k</t>
  </si>
  <si>
    <t>Yunani - Indonesia</t>
  </si>
  <si>
    <t xml:space="preserve">          413.2                   SPA             n</t>
  </si>
  <si>
    <t>Nieuw Nederlandsch-Maleisch woordenboek</t>
  </si>
  <si>
    <t>Prof. C. Spat</t>
  </si>
  <si>
    <t xml:space="preserve">413.2 KAS k       </t>
  </si>
  <si>
    <t>Kamus Al Munir Arab - Indonesia</t>
  </si>
  <si>
    <t>Arab - Indonesia</t>
  </si>
  <si>
    <t>Kashiko</t>
  </si>
  <si>
    <t>978-979-26-3875-2</t>
  </si>
  <si>
    <t>Kamus Arab "Al Azhar"</t>
  </si>
  <si>
    <t>Drs. Sairuddin</t>
  </si>
  <si>
    <t>413.2 LIN k</t>
  </si>
  <si>
    <t>Kamus Mori - Indonesia - Untuk SD, SLTP, SLTA dan Umum</t>
  </si>
  <si>
    <t>L.Lingkua, B.A.</t>
  </si>
  <si>
    <t>Percetakan UD. RIO Palu</t>
  </si>
  <si>
    <t>978-979-19-0005-8</t>
  </si>
  <si>
    <t>413.2 MAN k</t>
  </si>
  <si>
    <t>Kamus Bahasa Indonesia - Bahasa Padoe</t>
  </si>
  <si>
    <t>Drs. Roman Manule, BE dkk.</t>
  </si>
  <si>
    <t>Pemerintah Kab. Luwu Timur</t>
  </si>
  <si>
    <t>978-1-4082-1533-3</t>
  </si>
  <si>
    <t>413.1 LON d</t>
  </si>
  <si>
    <t>Longman - Dictionary of Contemporary English New Edition for Advanced Learners</t>
  </si>
  <si>
    <t>Pearson Longman</t>
  </si>
  <si>
    <t>978-0-19-479914-0</t>
  </si>
  <si>
    <t>413.1 TUR d</t>
  </si>
  <si>
    <t>Oxford Advanced Learner's Dictionary - International Student's Edition</t>
  </si>
  <si>
    <t>Joanna Turnbull Dkk</t>
  </si>
  <si>
    <t>978-1-107-61950-0</t>
  </si>
  <si>
    <t>413.1 MCI d</t>
  </si>
  <si>
    <t>Cambridge Advanced Learner's Dictionary Fourth Edition</t>
  </si>
  <si>
    <t>Colin McIntosh</t>
  </si>
  <si>
    <t>978-979-3610.19.1</t>
  </si>
  <si>
    <t xml:space="preserve">       413.1 SUR k</t>
  </si>
  <si>
    <t>Kamus Lengkap Inggris - Indonesia , Indonesia - Inggris</t>
  </si>
  <si>
    <t>Inggris - Indonesia</t>
  </si>
  <si>
    <t>Ida Surjani. S</t>
  </si>
  <si>
    <t>Tim Muliapurna Jayaterbit</t>
  </si>
  <si>
    <t>978-979-433-839-1</t>
  </si>
  <si>
    <t>413.1 STE k</t>
  </si>
  <si>
    <t>Kamus Lengkap Indonesia - Inggris (Edisi Kedua)</t>
  </si>
  <si>
    <t>Inggris - Indo</t>
  </si>
  <si>
    <t>Alan M. Stevens Dkk</t>
  </si>
  <si>
    <t>Greek-English</t>
  </si>
  <si>
    <t>Andrews University Press</t>
  </si>
  <si>
    <t>978-979-29-5674-0</t>
  </si>
  <si>
    <t>803 JON k</t>
  </si>
  <si>
    <t>Kamus Alkitab &amp; Theologi</t>
  </si>
  <si>
    <t>413.15 OWE</t>
  </si>
  <si>
    <t>Kamus Lambang dan Kiasan dalam Alkitan (Edisi Revisi)</t>
  </si>
  <si>
    <t>485 SCH</t>
  </si>
  <si>
    <t>Belajar Bahasa Yunani Koine: Panduan Memahami Dan Menerjemahkan Teks Perjanjian Baru</t>
  </si>
  <si>
    <t>978-0-19-432568-4</t>
  </si>
  <si>
    <t>413.1 STA d</t>
  </si>
  <si>
    <t>Oxford Greek - English Learner's Dictionary</t>
  </si>
  <si>
    <t>D. N. Stavropoulos</t>
  </si>
  <si>
    <t>978-0-19-860172-2</t>
  </si>
  <si>
    <t>413.1 DON d</t>
  </si>
  <si>
    <t>Oxford English - Hebrew Dictionary</t>
  </si>
  <si>
    <t>N. S. Doniach, O.B.E. Dkk</t>
  </si>
  <si>
    <t>413.1 BEN</t>
  </si>
  <si>
    <t xml:space="preserve">Ancient Hebrew Dictionary: 1000 Verbs and Nouns of the Hebrew Bible </t>
  </si>
  <si>
    <t>Jeff A. Benner</t>
  </si>
  <si>
    <t>Virtualbookworm</t>
  </si>
  <si>
    <t>220.3 KON</t>
  </si>
  <si>
    <t xml:space="preserve">Konkordansi Lakota Lengkap </t>
  </si>
  <si>
    <t xml:space="preserve">Pdt. Markus Agung </t>
  </si>
  <si>
    <t>0-8407-5138-9</t>
  </si>
  <si>
    <t>220.3 VIN d</t>
  </si>
  <si>
    <t>An Expository  Dictionary of New Testament Words</t>
  </si>
  <si>
    <t>W.E. VINE</t>
  </si>
  <si>
    <t>413.1 ECH k</t>
  </si>
  <si>
    <t>Kamus Inggris - Indonesia Thn. 2000</t>
  </si>
  <si>
    <t>Inggris-Indonesia</t>
  </si>
  <si>
    <t>Kamus Inggris - Indonesia Thn. 2007</t>
  </si>
  <si>
    <t>979-20-3268-1</t>
  </si>
  <si>
    <t>413.1 KRA k</t>
  </si>
  <si>
    <t>Kamus Indonesia - Inggris TruAlfa Indonesian - English Dictionary</t>
  </si>
  <si>
    <t xml:space="preserve">Wayne B. Krause </t>
  </si>
  <si>
    <t>PT Elex Media Komputindo</t>
  </si>
  <si>
    <t>413.1 SHA d</t>
  </si>
  <si>
    <t xml:space="preserve">An Indonesia English Dictionary </t>
  </si>
  <si>
    <t>John M. Echols &amp; Hassan Shadily (Editor)</t>
  </si>
  <si>
    <t>Bhratara</t>
  </si>
  <si>
    <t>978-979-22-6031-1</t>
  </si>
  <si>
    <t>413.1 GUI k</t>
  </si>
  <si>
    <t xml:space="preserve">Kamus Spanyol - Indonesia Indonesia - Spanyol </t>
  </si>
  <si>
    <t>Spanyol-Indonesia</t>
  </si>
  <si>
    <t>Milagros Guindel</t>
  </si>
  <si>
    <t>Kompas Gramedia</t>
  </si>
  <si>
    <t>413.1 WOJ k</t>
  </si>
  <si>
    <t>Kamus Lengkap Inggris - Indonesia , Indonesia - Inggris (Edisi Lux)</t>
  </si>
  <si>
    <t>Prof. Drs. S. Wojowasito Dkk</t>
  </si>
  <si>
    <t>Hasta</t>
  </si>
  <si>
    <t xml:space="preserve">225 DRE </t>
  </si>
  <si>
    <t>Kunci Bahasa Yunani Perjanjian Baru (Surat Roma hingga Kitab Wahyu)</t>
  </si>
  <si>
    <t>Pdt. B.F. Drewes, M.Th.; Dr. Wilfrid Haubeck dan Dr. Heinrich von Siebenthal</t>
  </si>
  <si>
    <t>413.1 DWI t</t>
  </si>
  <si>
    <t xml:space="preserve">Tata Bahasa Belanda Singkat - Cepat </t>
  </si>
  <si>
    <t>Indonesia-Belanda</t>
  </si>
  <si>
    <t>Mr. Moeljadi Dwidjodarmo</t>
  </si>
  <si>
    <t>Kinta</t>
  </si>
  <si>
    <t>979-22-2447-5</t>
  </si>
  <si>
    <t>413.499.221 END k</t>
  </si>
  <si>
    <t xml:space="preserve">Tesaurus Bahasa Indonesia </t>
  </si>
  <si>
    <t xml:space="preserve">Eko Endarmoko </t>
  </si>
  <si>
    <t>Gramedia Pustaka</t>
  </si>
  <si>
    <t>413.2 YUS k</t>
  </si>
  <si>
    <t>Struktur Bahasa Karo</t>
  </si>
  <si>
    <t>Karo</t>
  </si>
  <si>
    <t>Yusmaniar Dkk</t>
  </si>
  <si>
    <t>979-416-927-7</t>
  </si>
  <si>
    <t>413.2 BUN k</t>
  </si>
  <si>
    <t xml:space="preserve">Kamus Betawi-Indonesia dan Indonesia Betawi </t>
  </si>
  <si>
    <t>Bundari, MRE</t>
  </si>
  <si>
    <t>978-979-813158-5</t>
  </si>
  <si>
    <t>220.3 RYK k</t>
  </si>
  <si>
    <t>Kamus bergambaran Alkitab (The Dictonary of biblical imagery)</t>
  </si>
  <si>
    <t>Leland Ryken Dkk</t>
  </si>
  <si>
    <t>Perpustakaan Nasional</t>
  </si>
  <si>
    <t>0-8308-1778-6</t>
  </si>
  <si>
    <t>227.3 GER d</t>
  </si>
  <si>
    <t xml:space="preserve">Dictionary Paul of and His Letters </t>
  </si>
  <si>
    <t>499.221.3 MOE k</t>
  </si>
  <si>
    <t>Kamus Besar Bahasa Indonesia</t>
  </si>
  <si>
    <t>Anton M. Moeliono Dkk</t>
  </si>
  <si>
    <t>499.221.3 POE k</t>
  </si>
  <si>
    <t>W.J.S. Poerwadarminta</t>
  </si>
  <si>
    <t>Perpustakaan Perguruan Kementerian P. P. dan K. Djakarta</t>
  </si>
  <si>
    <t>413.2 AND k</t>
  </si>
  <si>
    <t>Kalimat Bahasa Torete Kamus Singkat Indonesia - Torete - Inggris</t>
  </si>
  <si>
    <t>Indonesia - Torete - Inggris</t>
  </si>
  <si>
    <t>T. David Andersen Dkk</t>
  </si>
  <si>
    <t>413.2 WOJ k</t>
  </si>
  <si>
    <t>Kamus Indonesia - Inggeris (Edisi Populer)</t>
  </si>
  <si>
    <t>Indonesia - Inggris</t>
  </si>
  <si>
    <t>Cypress</t>
  </si>
  <si>
    <t>Buku Saku Bahasa Sehari-hari Muna-Indonesia-Inggris</t>
  </si>
  <si>
    <t>Muna - Indonesia - Inggris</t>
  </si>
  <si>
    <t>Barclay M. Newman JR.</t>
  </si>
  <si>
    <t>Kamus Yunani - Indonesia Untuk Perjanjian Baru Thn. 1988</t>
  </si>
  <si>
    <t>UKSW</t>
  </si>
  <si>
    <t>Kamus Indonesia Indonesisch - Nederlands en Nederlands - Indonesisch</t>
  </si>
  <si>
    <t>A. L. N. Kramer Sr</t>
  </si>
  <si>
    <t>Gravenhage</t>
  </si>
  <si>
    <t>413.2 SNI w</t>
  </si>
  <si>
    <t>Campagne's Duitsch Woordenboek</t>
  </si>
  <si>
    <t>J. Snijder Dkk</t>
  </si>
  <si>
    <t>L. C. G. Malmberg N.V.</t>
  </si>
  <si>
    <t>Campagne's School Woordenboek</t>
  </si>
  <si>
    <t>H. C. A. Campagne</t>
  </si>
  <si>
    <t>ALKITAB BHS. DAERAH - NON LAI</t>
  </si>
  <si>
    <t>979-463-857-9</t>
  </si>
  <si>
    <t>ALLAH IAK WENE NADUK A'GE WUSOGO WOGENEBEGEI WENE</t>
  </si>
  <si>
    <t>SOT ( Short Old Testament )</t>
  </si>
  <si>
    <t>Ngalik</t>
  </si>
  <si>
    <t>Nggijaraken Kitab Soetji</t>
  </si>
  <si>
    <t>220.499.222</t>
  </si>
  <si>
    <t>KITAB</t>
  </si>
  <si>
    <t>Kitab Soetji</t>
  </si>
  <si>
    <t>Goejoban Pakempalan Nggijaraken Kitab Soetji</t>
  </si>
  <si>
    <t>978-979-21-6273-8</t>
  </si>
  <si>
    <t>Kitab Suci Basa Jawa</t>
  </si>
  <si>
    <t>Pratelan Isinipun</t>
  </si>
  <si>
    <t>Kajawekaken Dening dan A. Soenarja, SJ</t>
  </si>
  <si>
    <t>10-650: JAWA; RV062;2,5 M</t>
  </si>
  <si>
    <t>220499222 ALK. Jawa Thn. 1988</t>
  </si>
  <si>
    <t>KItab Suci</t>
  </si>
  <si>
    <t>St. Darmawijaya Pr. Cens. ahd</t>
  </si>
  <si>
    <t>979-463-069-1</t>
  </si>
  <si>
    <t xml:space="preserve">                              (Vera Harefa)</t>
  </si>
  <si>
    <t xml:space="preserve">     FORMULIR IDENTIFIKASI KOLEKSI PERPUSTAKAAN</t>
  </si>
  <si>
    <t>PB IND NON - LAI</t>
  </si>
  <si>
    <t>225.492.7 NOU</t>
  </si>
  <si>
    <t>Le Nouveau Testament en arabe tchadien</t>
  </si>
  <si>
    <t>PB</t>
  </si>
  <si>
    <t>Alliance Biblique</t>
  </si>
  <si>
    <t>225.499.221 PB GER-IND Tahun 1950</t>
  </si>
  <si>
    <t>Kitab Perdjandjian Baharu Diterjemahkan dari Bahasa Gerika ke Bahasa Indonesia 1950</t>
  </si>
  <si>
    <t>Madjelis Serikat Hendak Merambahkan Alkitab</t>
  </si>
  <si>
    <t>225.499.221 KIT</t>
  </si>
  <si>
    <t xml:space="preserve">Kitab Perdjandjian Baharu </t>
  </si>
  <si>
    <t>225.499.221 PB GER-IND Tahun 1952</t>
  </si>
  <si>
    <t>Kitab Perdjandjian Baharu Diterjemahkan dari Bahasa Gerika ke Bahasa Indonesia 1952</t>
  </si>
  <si>
    <t>Perserikatan Kerdjasama Penerbit dan Penjebar Alkitab</t>
  </si>
  <si>
    <t>225.499.221 KIT PB IND Tahun 1952</t>
  </si>
  <si>
    <t>225.499.221 KIT PB IND Tahun 1953</t>
  </si>
  <si>
    <t>Kitab Suci Perjanjian Baru (Pengantar teks dan Catatan)</t>
  </si>
  <si>
    <t>Dilengkapi dengan Catatan-catatan poko dan peta Alkitab</t>
  </si>
  <si>
    <t>Percetakan Arnoldus, Ende</t>
  </si>
  <si>
    <t xml:space="preserve">Kitab Suci Perjanjian Baru dengan Pengantar dan Catatan </t>
  </si>
  <si>
    <t>Dilengkapi Daftar Nama dan Catatan Pokok</t>
  </si>
  <si>
    <t>225.499.221 FIR</t>
  </si>
  <si>
    <t>Firman Allah Yang Hidup- Dilengkapi dengan Mazmur dan Amsal  (Perjanjian Baru dalam Bahasa Sehari-hari)</t>
  </si>
  <si>
    <t>225.499.221 JAW</t>
  </si>
  <si>
    <t>JAWABAN (Perjanjian Baru dalam Bahasa Sehari-hari)</t>
  </si>
  <si>
    <t>Kitab Suci Perjanjian Lama II</t>
  </si>
  <si>
    <t>Dilengkapi dengan kamus dan peta Alkitab</t>
  </si>
  <si>
    <t>Kitab Suci Perjanjian Lama II dengan Deuterokanonika</t>
  </si>
  <si>
    <t>225.499.221 PER</t>
  </si>
  <si>
    <t xml:space="preserve">Perjanjian Baru, Mazmur-Amsal </t>
  </si>
  <si>
    <t>Bumi Asih Jaya</t>
  </si>
  <si>
    <t>225.499.221 MAZ</t>
  </si>
  <si>
    <t>Mazmur, Amsal dan Perjanjian Baru</t>
  </si>
  <si>
    <t>225.499.221 PB GER-IND Tahun 1955</t>
  </si>
  <si>
    <t>Kitab Perdjandjian Baharu Diterjemahkan dari Bahasa Gerika ke Bahasa Indonesia 1955</t>
  </si>
  <si>
    <t xml:space="preserve">Kitab Perdjandjian Baharu Diterjemahkan dari Bahasa Gerika ke Bahasa Indonesia 1955
</t>
  </si>
  <si>
    <t xml:space="preserve">225.04 PER </t>
  </si>
  <si>
    <t>Perjanjian Baru dalam Lima Terjemahan secara Paralel (Jilid III 2 Korintus s/d Wahyu)</t>
  </si>
  <si>
    <t>Disusun oleh Abigail Fatmar</t>
  </si>
  <si>
    <t>Perjanjian Baru dalam Lima Terjemahan secara Paralel (Jilid II Yohaens s/d Korintus)</t>
  </si>
  <si>
    <t>Perjanjian Baru dalam Lima Terjemahan secara Paralel (Jilid I Matius s/d Lukas)</t>
  </si>
  <si>
    <t>978-981-220-354-0</t>
  </si>
  <si>
    <t>225.499.28 PB MELAYU BABA Tahun 2007</t>
  </si>
  <si>
    <t xml:space="preserve">Perjanjian Bharu </t>
  </si>
  <si>
    <t>Melayu Baba</t>
  </si>
  <si>
    <t>983-030-108-7</t>
  </si>
  <si>
    <t xml:space="preserve">225.499.3 SIM </t>
  </si>
  <si>
    <t>Simanya Bauh Agah Kana</t>
  </si>
  <si>
    <t>Malaysia</t>
  </si>
  <si>
    <t>Biatah</t>
  </si>
  <si>
    <t>25</t>
  </si>
  <si>
    <t>1-932438-02-5</t>
  </si>
  <si>
    <t xml:space="preserve">225.499.221 PER </t>
  </si>
  <si>
    <t>Perjanjian Baru (Versi Mudah Dibaca)</t>
  </si>
  <si>
    <t xml:space="preserve">World Bible Tranlation Center &amp; YASUMA </t>
  </si>
  <si>
    <t>26</t>
  </si>
  <si>
    <t>27</t>
  </si>
  <si>
    <t>463-1619-6 (Plastic)</t>
  </si>
  <si>
    <t>225.499.221  PER  PB Dengan Catatan Versi Pemulihan  Thn. 2014</t>
  </si>
  <si>
    <t>Perjanjian Baru Dengan Catatan Versi Pemulihan</t>
  </si>
  <si>
    <t>Bagan &amp; Peta</t>
  </si>
  <si>
    <t>Yayasan Perpustakaan Injil, Jakarta</t>
  </si>
  <si>
    <t>28</t>
  </si>
  <si>
    <t>225.499.221  KIT  PB. Kitab2 Yunani Kristen  Thn. 1994</t>
  </si>
  <si>
    <t>Kitab Kitab Yunani Kristen - Terjemahan Dunia Baru</t>
  </si>
  <si>
    <t>Dilengkapi Kamus, Appendiks, Atlas</t>
  </si>
  <si>
    <t>Watch Tower Bible And Tract Society</t>
  </si>
  <si>
    <t>29</t>
  </si>
  <si>
    <t>225.499.225  TES  PB. Bhs. Tettum  Thn. 1973</t>
  </si>
  <si>
    <t>Testamento Fe'u In Nu'An Neik Lais Meto</t>
  </si>
  <si>
    <t>Indonesia  (Flores)</t>
  </si>
  <si>
    <t>Tettum</t>
  </si>
  <si>
    <t>Percetakan Ende</t>
  </si>
  <si>
    <t>30</t>
  </si>
  <si>
    <t>225.499.225  NAR  Thn. 1970</t>
  </si>
  <si>
    <t>Naruk Boa Djoang Jesus Kristus Dewa Nei</t>
  </si>
  <si>
    <t>Uskup Agung Ende</t>
  </si>
  <si>
    <t>31</t>
  </si>
  <si>
    <t>978-979-17710-1-6</t>
  </si>
  <si>
    <t>225.499.221  KITAB SUCI ZABUR INJIL Thn. 2013</t>
  </si>
  <si>
    <t>Kitab Suci Zabur dan Injil</t>
  </si>
  <si>
    <t>Khazanah Bahari</t>
  </si>
  <si>
    <t>32</t>
  </si>
  <si>
    <t>225.499.221 PB Ver Mud Dibaca Thn. 2005</t>
  </si>
  <si>
    <t>Perjanjian Baru Versi Mudah Dibaca</t>
  </si>
  <si>
    <t>Kamus &amp; Peta</t>
  </si>
  <si>
    <t>World Bible Translation</t>
  </si>
  <si>
    <t>33</t>
  </si>
  <si>
    <t>226.6 YES y</t>
  </si>
  <si>
    <t>Yesus Pung Utusang-Utusang Pung Carita</t>
  </si>
  <si>
    <t>SOT</t>
  </si>
  <si>
    <t>Ambon</t>
  </si>
  <si>
    <t>Yayasan Sumber Sejahtera &amp; Wycliffe</t>
  </si>
  <si>
    <t>34</t>
  </si>
  <si>
    <t>226.2 KIT INDJIL KARANGAN MATIUS Thn. 1953</t>
  </si>
  <si>
    <t>Kitab Indjil Karangan Matius</t>
  </si>
  <si>
    <t>Injil</t>
  </si>
  <si>
    <t>Bergambar</t>
  </si>
  <si>
    <t>Perserikatan kerdjasama Penerbit dan Penjebar Alkitab</t>
  </si>
  <si>
    <t>35</t>
  </si>
  <si>
    <t>36</t>
  </si>
  <si>
    <t>37</t>
  </si>
  <si>
    <t>38</t>
  </si>
  <si>
    <t>39</t>
  </si>
  <si>
    <t>40</t>
  </si>
  <si>
    <t>41</t>
  </si>
  <si>
    <t>42</t>
  </si>
  <si>
    <t>43</t>
  </si>
  <si>
    <t xml:space="preserve">           Jakarta,  28 September 2016</t>
  </si>
  <si>
    <t xml:space="preserve">                                                          Mengetahui</t>
  </si>
  <si>
    <t>ALKITAB  -  NON LAI</t>
  </si>
  <si>
    <t>Fisik</t>
  </si>
  <si>
    <t>Tidak ada Fisik</t>
  </si>
  <si>
    <t>90 72540 52 2</t>
  </si>
  <si>
    <t xml:space="preserve">DE KORAN : Arabisch- Nederlands (De Heilige Qoor'aan Met Nederlandse </t>
  </si>
  <si>
    <t>Alkitab Non LAI</t>
  </si>
  <si>
    <t>Arab -Belanda</t>
  </si>
  <si>
    <t xml:space="preserve">The Oriental &amp; Religious Publishing Corporation </t>
  </si>
  <si>
    <t>220.499.221  KIT  Kitab Suci ( YAHWEH)  Thn. 2002</t>
  </si>
  <si>
    <t>Kitab Suci Umat Perjanjian Tuhan - Pengagung Nama YAHWEH</t>
  </si>
  <si>
    <t>Jaringan Gereja-Gereja Pengagung Nama Yahweh</t>
  </si>
  <si>
    <t>289.322 Kitab Mormon Bahasa Indonesia Thn. 1976</t>
  </si>
  <si>
    <t>Kitab Mormon</t>
  </si>
  <si>
    <t>Dilengkapi dengan ringkasan isi pasal dan kamus</t>
  </si>
  <si>
    <t>Corporationof the President of the church of Jesus Christ of Later day Saints</t>
  </si>
  <si>
    <t>289.322 Kitab Mormon Bahasa Indonesia Thn. 1985</t>
  </si>
  <si>
    <t>Menghadiri Msia pada Hari Minggu</t>
  </si>
  <si>
    <t>Karmel- Batu</t>
  </si>
  <si>
    <t xml:space="preserve">INDJIL BARNABAS </t>
  </si>
  <si>
    <t>C.V. Pelita Bandung</t>
  </si>
  <si>
    <t>Kitab-Kitab Yunani Kristen Terjemahan Dunia Baru</t>
  </si>
  <si>
    <t>Dilengkapi dengan tabel buku-buku dari Kitab-kitab Yunani Kristen Ditulis dalam tarikh Masehi &amp; Indeks kata-kata Alkitab</t>
  </si>
  <si>
    <t>Watchtower Bible and Tract Society of New York, Inc. &amp; International Bible Students Association</t>
  </si>
  <si>
    <t>New World Translation of the Holy Scriptures</t>
  </si>
  <si>
    <t>Dilengkapi dengan indeks, peta Alkitab</t>
  </si>
  <si>
    <t>Watchtower Bible and Tract Society of New York, Inc. International Bible Students Association</t>
  </si>
  <si>
    <t xml:space="preserve">Testamento Fe'u In Nu'an Neik Lais Meto </t>
  </si>
  <si>
    <t>Percetakan Arnoldus Ende-Flores</t>
  </si>
  <si>
    <t>Kidung Rohani: Buku Pujian Gereja Yesus Sejati</t>
  </si>
  <si>
    <t>Buku Nyanyian</t>
  </si>
  <si>
    <t xml:space="preserve">Dilengkapi dengan lampiran indeks kidung dan indeks judul  </t>
  </si>
  <si>
    <t xml:space="preserve">226.37 M44 </t>
  </si>
  <si>
    <t>Indjil Markus (Mawi Komentar)</t>
  </si>
  <si>
    <t>Penerbitan Jajasan Kanisius</t>
  </si>
  <si>
    <t>220.492.7  QUR</t>
  </si>
  <si>
    <t>Al Qur'an dan Terjemahannya -               JUZ 1 - JUZ 30</t>
  </si>
  <si>
    <t>Alqur'an</t>
  </si>
  <si>
    <t>Indonesia-Arab</t>
  </si>
  <si>
    <t>Departemen AGAMA REPUBLIK Indonesia Proyek Pengadaan Kitab Suci Alqur'an - PT. Intermasa</t>
  </si>
  <si>
    <r>
      <rPr>
        <rFont val="Calibri"/>
        <color theme="1"/>
        <sz val="9.0"/>
      </rPr>
      <t>Kitab Suci Terjemahan Dunia Baru (</t>
    </r>
    <r>
      <rPr>
        <rFont val="Calibri"/>
        <b/>
        <color theme="1"/>
        <sz val="9.0"/>
      </rPr>
      <t>Hard Cov</t>
    </r>
    <r>
      <rPr>
        <rFont val="Calibri"/>
        <color theme="1"/>
        <sz val="9.0"/>
      </rPr>
      <t>er)</t>
    </r>
  </si>
  <si>
    <t>Dielngkapi dengan peta Alkitab</t>
  </si>
  <si>
    <t>Saksi-Saksi Yehuwa Indonesia, Jakarta-Indonesia</t>
  </si>
  <si>
    <t xml:space="preserve">220.52 KS Terjemahan Dunia Baru Saksi-Saksi Yehuwa Thn. 2006
</t>
  </si>
  <si>
    <r>
      <rPr>
        <rFont val="Calibri"/>
        <color theme="1"/>
        <sz val="9.0"/>
      </rPr>
      <t>Kitab Suci Terjemahan Dunia Baru (</t>
    </r>
    <r>
      <rPr>
        <rFont val="Calibri"/>
        <b/>
        <color theme="1"/>
        <sz val="9.0"/>
      </rPr>
      <t>Art.Pape</t>
    </r>
    <r>
      <rPr>
        <rFont val="Calibri"/>
        <color theme="1"/>
        <sz val="9.0"/>
      </rPr>
      <t>r)</t>
    </r>
  </si>
  <si>
    <t>229.8 Indjil Barnabas Thn. 1970</t>
  </si>
  <si>
    <t>INDJIL BARNABAS (Terjemahan dari Bahasa Arab)</t>
  </si>
  <si>
    <t>Bacaan Mulia</t>
  </si>
  <si>
    <t>Penerbit Djambatan</t>
  </si>
  <si>
    <t>Al Qur'an dan Terjemahnya (Juz 1- Juz 30)</t>
  </si>
  <si>
    <t>Penerbit Al-Hidayah Surabaya</t>
  </si>
  <si>
    <t>971-130-222-5</t>
  </si>
  <si>
    <t>Good News New Testament and Psalms (Fourth Edition)</t>
  </si>
  <si>
    <t>Philippina</t>
  </si>
  <si>
    <t>Dilengkapi dengan kamus &amp; peta Alkitab</t>
  </si>
  <si>
    <t>1-85372-007-0</t>
  </si>
  <si>
    <t>The Holy Qur'an" Arabic Text and English Translation</t>
  </si>
  <si>
    <t>Inggris- Arab</t>
  </si>
  <si>
    <t>Dilengkapi dengan kamusArab dan indeks</t>
  </si>
  <si>
    <t>Islam International Publications LTD.</t>
  </si>
  <si>
    <t>979-497-163-4</t>
  </si>
  <si>
    <t>225499221 MISA Hari Minggu Hari Raya Tahun 1983</t>
  </si>
  <si>
    <t>Misa Hari Minggu dan Hari Raya ( Ukuran Kecil )</t>
  </si>
  <si>
    <t>978-979-21-3052-2</t>
  </si>
  <si>
    <t>Misa Hari Minggu dan Hari Raya ( Ukuran Besar )</t>
  </si>
  <si>
    <t>225.499.221  KITAB SUCI ZABUR INJIL Thn. 2008</t>
  </si>
  <si>
    <t>Kitab Suci Zabur dan Injil (Terjemahan Bahasa Melayu)</t>
  </si>
  <si>
    <t>Dilengkapi dengan kamus</t>
  </si>
  <si>
    <t xml:space="preserve">Khazanah Bahari </t>
  </si>
  <si>
    <t>0-86660-349-2</t>
  </si>
  <si>
    <t>Firman Allah yang Hidup (Alkitab dalam Bahasa Sehari-hari)</t>
  </si>
  <si>
    <t>Dilengkapi dengan peta Alkitab</t>
  </si>
  <si>
    <r>
      <rPr>
        <rFont val="Calibri"/>
        <color theme="1"/>
        <sz val="9.0"/>
      </rPr>
      <t>NARUK BO</t>
    </r>
    <r>
      <rPr>
        <rFont val="Calibri"/>
        <color rgb="FF000000"/>
        <sz val="9.0"/>
      </rPr>
      <t>Ä-DJOÄNG JESUS KRISTUS DEWA NEI</t>
    </r>
  </si>
  <si>
    <t>Kitab Suci Katolik</t>
  </si>
  <si>
    <t>Dilengkapi dengan pengantar dan catatan lengkap &amp; konkordansi Alkitab dan peta Alkitab</t>
  </si>
  <si>
    <t>Percetakan Arnoldus Ende</t>
  </si>
  <si>
    <t>Kitab Suci: Kajawekaken Dening</t>
  </si>
  <si>
    <t>Jawi Jangkep</t>
  </si>
  <si>
    <t>Dilengkapi dengan konkordansi Alkitab</t>
  </si>
  <si>
    <r>
      <rPr>
        <rFont val="Calibri"/>
        <color theme="1"/>
        <sz val="9.0"/>
      </rPr>
      <t xml:space="preserve">Misa Hari Minggu dan Hari Raya (edisi Revisi) </t>
    </r>
    <r>
      <rPr>
        <rFont val="Calibri"/>
        <i/>
        <color rgb="FF000000"/>
        <sz val="9.0"/>
      </rPr>
      <t>Komisi Liturgi Keuskupan Agung Semarang)</t>
    </r>
  </si>
  <si>
    <t>979-565-270-2</t>
  </si>
  <si>
    <t>220.499.221  Kitab Suci Kom. Kristiani  Thn. 2002</t>
  </si>
  <si>
    <t xml:space="preserve">Kitab Suci Komunitas Kristiani (Edisi Pastoral Katolik) </t>
  </si>
  <si>
    <t>Dilengkapi dengan kamus singkat dan indeks</t>
  </si>
  <si>
    <t>Groot nieuws Bijbel</t>
  </si>
  <si>
    <t>Nederlands</t>
  </si>
  <si>
    <t>Dilengkapi Dengan Peta Alkitab</t>
  </si>
  <si>
    <t>Nederlands Bijbelgenootschap</t>
  </si>
  <si>
    <t>Good News For Modern Ma/                   Die Gute Nachricht</t>
  </si>
  <si>
    <t>0-56-400101-5</t>
  </si>
  <si>
    <t>The Bible                         Revised Standar Version</t>
  </si>
  <si>
    <t>The British &amp; Foreign BIBLE SOCIETY</t>
  </si>
  <si>
    <t>0-00-107192-0</t>
  </si>
  <si>
    <t>The Good News Children's Bible</t>
  </si>
  <si>
    <t>Guido Bertello</t>
  </si>
  <si>
    <t>The Bible Societies Collins</t>
  </si>
  <si>
    <t>0-310-34-670-3</t>
  </si>
  <si>
    <t>Nasb-Niv Parallel New Testament In Greek And English</t>
  </si>
  <si>
    <t>Inggris/  Yunani</t>
  </si>
  <si>
    <t>Dilengkapi Dengan Bahasa Inggris &amp;Yunani</t>
  </si>
  <si>
    <t>RegencyReference Library</t>
  </si>
  <si>
    <t xml:space="preserve">The Interlinear Bible         Hebrew,Greek,English </t>
  </si>
  <si>
    <t xml:space="preserve">Alkitab </t>
  </si>
  <si>
    <t>Jay P. Gree, Sr</t>
  </si>
  <si>
    <t>Bakerr Book House</t>
  </si>
  <si>
    <t>978-979-16949-1-9</t>
  </si>
  <si>
    <t>220.499.221  KIT  Kitab Suci Literal Translation   (Yayasan Lentera Bangsa)  Thn. 2008</t>
  </si>
  <si>
    <t>Kitab Suci - Indonesian Literal Translation</t>
  </si>
  <si>
    <t>Kamus, Peta, Gambar</t>
  </si>
  <si>
    <t>Yayasan Lentera Bangsa</t>
  </si>
  <si>
    <t>978-82-541-0801-7</t>
  </si>
  <si>
    <t>Bibelen - Ny Oversettelse 2011</t>
  </si>
  <si>
    <t>Norwegia</t>
  </si>
  <si>
    <t>Bibelselskapet</t>
  </si>
  <si>
    <t>978-82-541-0787-4</t>
  </si>
  <si>
    <t>Bibelen - Bibel 2011 Ny Oversettelse</t>
  </si>
  <si>
    <t>978-3-438-04810-3</t>
  </si>
  <si>
    <t>Engel Geschichten der Bibel</t>
  </si>
  <si>
    <t>The Modern Life Study Bible - GOD's  Word For Our World - New King James Version</t>
  </si>
  <si>
    <t>978-0-7180-0359-3</t>
  </si>
  <si>
    <t>220.520.4  ORT  The Orthodox Study Bible     Thn. 2008</t>
  </si>
  <si>
    <t>The Orthodox Study Bible</t>
  </si>
  <si>
    <t>978-438-05116-5</t>
  </si>
  <si>
    <t>225.480 The Greek NT 5th Revised Edition Tahun 2014</t>
  </si>
  <si>
    <t xml:space="preserve"> The Greek New Testament - The Standard Edition for translators and student - 5</t>
  </si>
  <si>
    <t>Deutsche Bibelgesellscraft, American Bible Society, United Bible  Society</t>
  </si>
  <si>
    <t>225.480 The Greek 4th Revised Edition Tahun 1993</t>
  </si>
  <si>
    <t>The Greek New Testament - fourth edition</t>
  </si>
  <si>
    <t>New Revised Standard Version - The Harper Collins Study Bible</t>
  </si>
  <si>
    <t>978-979-565-657-9</t>
  </si>
  <si>
    <t>220.1 EIL b</t>
  </si>
  <si>
    <t xml:space="preserve">Bible for Young Catholics: Alkitab Untuk Orang Muda Katolik </t>
  </si>
  <si>
    <t>Dilengkapi dengan peta dan gambar berwarna</t>
  </si>
  <si>
    <t>Anne Eileen Heffernan FSP</t>
  </si>
  <si>
    <t>R. Audio Visual Anak</t>
  </si>
  <si>
    <t>978-6-167218-80-9</t>
  </si>
  <si>
    <t xml:space="preserve">220.495.91  THA </t>
  </si>
  <si>
    <t>Thai Holy Bible</t>
  </si>
  <si>
    <t>Thailand Bible Society</t>
  </si>
  <si>
    <t>978-602-73116-0-2</t>
  </si>
  <si>
    <t xml:space="preserve">220.499.221  HOL </t>
  </si>
  <si>
    <t>Holy Bible - Indonesian Modern Bible</t>
  </si>
  <si>
    <t>Dilengkapi Kamus, Peta dan Perjalanan Misi Paulus</t>
  </si>
  <si>
    <t>Yayasan Anugerah Kebenaran Indonesia</t>
  </si>
  <si>
    <t>978-1480022980</t>
  </si>
  <si>
    <t>220.439.9  GHG</t>
  </si>
  <si>
    <t>GHGJHR - Alk. Bulgaria</t>
  </si>
  <si>
    <t xml:space="preserve">PCT International </t>
  </si>
  <si>
    <t>220.520.8  Hol</t>
  </si>
  <si>
    <t>Holy Bible placed by The Gideons in Memory</t>
  </si>
  <si>
    <t>The Gideons International</t>
  </si>
  <si>
    <t xml:space="preserve">Holy Bible placed by The Gideons </t>
  </si>
  <si>
    <t>220.492.7  BIB</t>
  </si>
  <si>
    <t>Arabic Bible</t>
  </si>
  <si>
    <t>0-87083-620-X</t>
  </si>
  <si>
    <t>225.520.4  NEW</t>
  </si>
  <si>
    <t>The New Testament - Recovery Version</t>
  </si>
  <si>
    <t>Living Stream Ministry</t>
  </si>
  <si>
    <t>225.520.83  HOL</t>
  </si>
  <si>
    <t>Holy Bible New Testament</t>
  </si>
  <si>
    <t>International Bible Society</t>
  </si>
  <si>
    <t>85-311-1223-5</t>
  </si>
  <si>
    <t xml:space="preserve">   220.469       BIB</t>
  </si>
  <si>
    <t xml:space="preserve"> Biblia Sagrada - Edicao Comemorativa Com Letra Gigante</t>
  </si>
  <si>
    <t>Brasil</t>
  </si>
  <si>
    <t>Portugis</t>
  </si>
  <si>
    <t>220.499.221  KIT  Kitab Suci Katolik   Thn. 2003</t>
  </si>
  <si>
    <t>Kitab Suci Katolik Dengan Pengantar dan Catatan Lengkap</t>
  </si>
  <si>
    <t>978-81-89851-73-6</t>
  </si>
  <si>
    <t>220.499.221  CHR  Christian Community Bible  Thn. 2014</t>
  </si>
  <si>
    <t>Christian Community Bible - Chatolic Pastoral Edition ( Revised Edition)</t>
  </si>
  <si>
    <t>Dilengkapi Kamus dan  Liturgical Calender</t>
  </si>
  <si>
    <t>Claret Publishing Group</t>
  </si>
  <si>
    <t>220.499.221 KITAB SUCI TORAT INJIL Thn. 2000</t>
  </si>
  <si>
    <t xml:space="preserve">Kitab Suci Torat dan Injil </t>
  </si>
  <si>
    <t>Bet Yesua Hamasiah</t>
  </si>
  <si>
    <t>221.499.221  KIT Kitab Suci PL I  Thn.1978</t>
  </si>
  <si>
    <t xml:space="preserve">Kitab Suci Perjanjian Lama I - Dengan Pengantar dan Catatan </t>
  </si>
  <si>
    <t>Nusa Indah, Ende</t>
  </si>
  <si>
    <t xml:space="preserve">Kitab Suci Perjanjian Lama II - Dengan Pengantar dan Catatan </t>
  </si>
  <si>
    <t>220.499.221  KIT  Alk. Bhs. Ind  Thn. 1999</t>
  </si>
  <si>
    <t>Kitab Suci - Alkitab Katolik Deuterokanonika</t>
  </si>
  <si>
    <t>IBS:10-650;JAWA;RV062;2.5M-1988</t>
  </si>
  <si>
    <t>220.499.222  KIT  Alk. Jawa  Thn. 1988</t>
  </si>
  <si>
    <t>Kitab Suci - Kajawekaken Dening A. Soenarja SJ</t>
  </si>
  <si>
    <t xml:space="preserve">Goejoeban Pakempalan Nggijaraken - Pradjandjian Lawas </t>
  </si>
  <si>
    <t>220.499.222  KIT  Alk. Jawa  Thn. 1989</t>
  </si>
  <si>
    <t>220.499.222  KIT  Alk. Jawa Thn. 1949</t>
  </si>
  <si>
    <t>Goejoeban Pakempalan Nggijaraken Kitab Soetji</t>
  </si>
  <si>
    <t>978-1-326-86670-9</t>
  </si>
  <si>
    <t>220.499.992  CLA</t>
  </si>
  <si>
    <t>Armenia</t>
  </si>
  <si>
    <t>Armenian</t>
  </si>
  <si>
    <t>Tigran Aivazian</t>
  </si>
  <si>
    <t>978-971-29-1109-5</t>
  </si>
  <si>
    <t>220.520.83  HOL  English Standard Version - NLT  Thn. 2014</t>
  </si>
  <si>
    <t>The Holy Bible English Standard Version - NLT , Parallel Edition</t>
  </si>
  <si>
    <t>Philipine Bible Society</t>
  </si>
  <si>
    <t xml:space="preserve">                                         220.520.6                                            NEW</t>
  </si>
  <si>
    <t>The New English Bible</t>
  </si>
  <si>
    <t>The Bible Societies in association with Oxford University Press, Cambridge University Press</t>
  </si>
  <si>
    <t>Eight Keys to Happiness - A New Look at the Beatitudes</t>
  </si>
  <si>
    <t xml:space="preserve">                                         231.042                                                                                PAC                                              K</t>
  </si>
  <si>
    <t>Knowing GOD</t>
  </si>
  <si>
    <t>J.I Packer</t>
  </si>
  <si>
    <t xml:space="preserve">                                         234.23                                                                                  HAA                                              a</t>
  </si>
  <si>
    <t>Adventures In Faith - From The Life of Abraham</t>
  </si>
  <si>
    <t>978-602-14458-3-9</t>
  </si>
  <si>
    <t>220.499.227  KIT  Alk. Dayak Kanayatn  Thn. 2016</t>
  </si>
  <si>
    <t>Kitab Suci Berbahasa Dayak Kanayatn</t>
  </si>
  <si>
    <t>Pemerintah Provinsi Kalimantan Barat Dinas Pendidikan dan Kebudayaan</t>
  </si>
  <si>
    <t>225.52045 JAM</t>
  </si>
  <si>
    <t xml:space="preserve">International Children's Version </t>
  </si>
  <si>
    <t xml:space="preserve">Dr. James C. Dobson's </t>
  </si>
  <si>
    <t>978-979-463-251-2</t>
  </si>
  <si>
    <t xml:space="preserve">220.520.81 HOL </t>
  </si>
  <si>
    <t>Holy Bible New International Version</t>
  </si>
  <si>
    <t>Biblica the International Bible Society</t>
  </si>
  <si>
    <t>220.499.222  KIT  Alk. Jawa Thn. 1988</t>
  </si>
  <si>
    <t>A. Soenarja, SJ</t>
  </si>
  <si>
    <t xml:space="preserve">                                                                                                                 </t>
  </si>
  <si>
    <t>PB DAERAH NON - LAI</t>
  </si>
  <si>
    <t>Jumlah Fisik</t>
  </si>
  <si>
    <t>978-602-19540-3-4</t>
  </si>
  <si>
    <t>225.499.226 WOE</t>
  </si>
  <si>
    <t>Woenta Dandi Wo"ohoe</t>
  </si>
  <si>
    <t>Mori</t>
  </si>
  <si>
    <t>Bijbelgenootschappen</t>
  </si>
  <si>
    <t>225.499.225 JAN PB. Alune Thn. 2012</t>
  </si>
  <si>
    <t>Janji Beluke</t>
  </si>
  <si>
    <t>Maluku</t>
  </si>
  <si>
    <t>Alune</t>
  </si>
  <si>
    <t>Dilengkapi Kamus &amp; Peta</t>
  </si>
  <si>
    <t>Gereja Protestan Maluku &amp; Wycliffe</t>
  </si>
  <si>
    <t>225.499.226</t>
  </si>
  <si>
    <t>Toetoeloedo Uee ISA Ka Ana Goeroedo</t>
  </si>
  <si>
    <t>Bare'e</t>
  </si>
  <si>
    <t>Dilengkapi Gambar</t>
  </si>
  <si>
    <t>225.499.225 PUK  PB. Luang Thn. 2005</t>
  </si>
  <si>
    <t>Puka Lululi</t>
  </si>
  <si>
    <t>Luang</t>
  </si>
  <si>
    <t>Dilengkapi Kamus, Lagu &amp; Peta</t>
  </si>
  <si>
    <t>225.499.225 MAK PB. Kisar Thn. 2008</t>
  </si>
  <si>
    <t>Makromod Lalap Lirna Wawan</t>
  </si>
  <si>
    <t>Kisar</t>
  </si>
  <si>
    <t>225.499.225</t>
  </si>
  <si>
    <t>Ma Djooungu - Madutu Awi Boku Ma Djarita</t>
  </si>
  <si>
    <t>Tabaru</t>
  </si>
  <si>
    <t>Firma J. Van Boekhoven</t>
  </si>
  <si>
    <t>225.499.223 ALL  PB. Ketengban Thn. 1997</t>
  </si>
  <si>
    <t>Allahdi Ukupu Pediramseu Upu</t>
  </si>
  <si>
    <t>Ketengban, Papua</t>
  </si>
  <si>
    <t>Dilengkapi dengan kamus Alkitab</t>
  </si>
  <si>
    <t>225.499.223 DEG PB Bhs. Kemtuik Thn. 2008</t>
  </si>
  <si>
    <t>Deguo Teguop</t>
  </si>
  <si>
    <t>Kemtuik</t>
  </si>
  <si>
    <t>Dilengkapi dengan ayat-ayat penting, Hukum yang Terutama,Hukum Allah, doa Bapa Kami, Ayat-ayat tentang hari-hari perayaan dan peristiwa penting dan peta Alkitab</t>
  </si>
  <si>
    <t>225.499.223 ALL PB Bhs. Sentani Thn. 1997</t>
  </si>
  <si>
    <t>Allahle A Neme Heteungekoke Homofae</t>
  </si>
  <si>
    <t>Sentani</t>
  </si>
  <si>
    <t xml:space="preserve">Dilengkapi dengan Peta </t>
  </si>
  <si>
    <t>225.499.223 MAR  PB Moskona  Thn. 2001</t>
  </si>
  <si>
    <t xml:space="preserve">Mar Efenirah Noga Allah Egen Ofoj Rot </t>
  </si>
  <si>
    <t>Moskona</t>
  </si>
  <si>
    <t>225.499.223 MAR PB. Meyah  Thn.1997</t>
  </si>
  <si>
    <t>Mar Efeinah Ongga Allah Anggot Eimofoj Rot</t>
  </si>
  <si>
    <t>Meyah</t>
  </si>
  <si>
    <t xml:space="preserve">Dilengkapi dengan kamus Alkitab </t>
  </si>
  <si>
    <t>225.499.223 ENG PB Bhs. Mairasi Thn. 2004</t>
  </si>
  <si>
    <t>Enggavoter Fariri Teai Ao</t>
  </si>
  <si>
    <t>Mairasi</t>
  </si>
  <si>
    <t>225.499.223 PEN PB. Saveri (Isirawa) Thn. 2005</t>
  </si>
  <si>
    <t>PEN MÄMÄTAINAV RARARA AGÄVIÄ AVA</t>
  </si>
  <si>
    <t>Saverï (Isirawa)</t>
  </si>
  <si>
    <t>225.499.223 ALL PB. Hurumbik Keron  Thn. 1975</t>
  </si>
  <si>
    <t xml:space="preserve">Allah Wene Alkitab: Hurumbik Keron Perjanjian Baru </t>
  </si>
  <si>
    <t xml:space="preserve">Hurumbik Keron </t>
  </si>
  <si>
    <t xml:space="preserve">Mission N.R.C </t>
  </si>
  <si>
    <t>978-602-71363-5-9</t>
  </si>
  <si>
    <t>225.499.225 SUR PB. Fordata Thn. 2016</t>
  </si>
  <si>
    <t>Surat Ralan na'a Vaidida</t>
  </si>
  <si>
    <t>Fordata</t>
  </si>
  <si>
    <t>Gereja Protestan Maluku</t>
  </si>
  <si>
    <t>225.499.223 BHI PB. Muna Thn. 2004</t>
  </si>
  <si>
    <t>Bhihita Metaa Podhandi'a Bu'ou</t>
  </si>
  <si>
    <t>Dilengkapi dengan kamus Alkitab, konkordansi Alkitab, peta Alkitab</t>
  </si>
  <si>
    <t>225.499.225 PUK</t>
  </si>
  <si>
    <t>225.499.223 ALA Bhs. Orya Thn. 2005</t>
  </si>
  <si>
    <t>Alap mo Ol Ese, zere mo zi niban de ol ziaha-en gun hup dena</t>
  </si>
  <si>
    <t>Orya</t>
  </si>
  <si>
    <t>Dilengkapi dengan Peta Alkitab</t>
  </si>
  <si>
    <t>221.499.225 LAS PL Bhs. Timor Thn. 1955</t>
  </si>
  <si>
    <t>Lasi Sul Aknino Unu - antui neki a'at meto</t>
  </si>
  <si>
    <t>PL</t>
  </si>
  <si>
    <t>Timor</t>
  </si>
  <si>
    <t>Bijbelse Geschiedenissen</t>
  </si>
  <si>
    <t>225.499.225 FEF PB Bhs. Timor Thn. 1991</t>
  </si>
  <si>
    <t>Fef Bela Fe'oe Anbi Oesif Jesoes</t>
  </si>
  <si>
    <t>225.499.224</t>
  </si>
  <si>
    <t>Soera Gamaboe'oela Li Si Bohooe</t>
  </si>
  <si>
    <t>Sumatera</t>
  </si>
  <si>
    <t>Nias</t>
  </si>
  <si>
    <t>Nederlandsch Bejbelgenootschap</t>
  </si>
  <si>
    <t>225.499.227 PEN PB. Dayak Laut Thn. 1952</t>
  </si>
  <si>
    <t>Penyanggup Baru - Iya NYA Surat Ti Madah Ka Penyanggup Isa Almesih, Tuhan Enggau Penglepas Kitai</t>
  </si>
  <si>
    <t>Kalimantan</t>
  </si>
  <si>
    <t>Dayak Laut</t>
  </si>
  <si>
    <t>The British And Foreign  Bible Society</t>
  </si>
  <si>
    <t>225.499.227  DJA  PB. Dayak Ngaju  Thn. 1926</t>
  </si>
  <si>
    <t>DJANDJI  TAHETA</t>
  </si>
  <si>
    <t>DayakNgaju</t>
  </si>
  <si>
    <t>Ilambagan Hapan Balandjian Oloh Kristen Hong Tanah Balanda (Nederlandsch Bijbelgenootschap) Awi. P W.M Trap Hong Lewoe, Leiden</t>
  </si>
  <si>
    <t>Woenta Dandi Wo'ohoe</t>
  </si>
  <si>
    <t>Loewoeno Bawaa Anoe Tepo'asa Kona Woenta Mempori</t>
  </si>
  <si>
    <t>2 ( 1 copyan )</t>
  </si>
  <si>
    <t>Bijbelgenootschap</t>
  </si>
  <si>
    <t>Beken Binohe Susi</t>
  </si>
  <si>
    <t>Sangir</t>
  </si>
  <si>
    <t>E.J Brill</t>
  </si>
  <si>
    <t>225.499.223 PB. Mai Brat Thn. 2005</t>
  </si>
  <si>
    <t>Watum ro Tuhan Bosi ro Tna</t>
  </si>
  <si>
    <t>Mai Brat</t>
  </si>
  <si>
    <t>225.499.225 LIA PB Bhs. Tetun Thn. 2000</t>
  </si>
  <si>
    <t>Liabuan diak ba imi</t>
  </si>
  <si>
    <t>Tetun</t>
  </si>
  <si>
    <t>Timor Oriental</t>
  </si>
  <si>
    <t>978-0-7272-0392-2</t>
  </si>
  <si>
    <t>225.499.225 JAN PB Bhs. Kupang Thn. 2007</t>
  </si>
  <si>
    <t>Janji Baru</t>
  </si>
  <si>
    <t>Kupang</t>
  </si>
  <si>
    <t>Jakarta</t>
  </si>
  <si>
    <t xml:space="preserve">           Jakarta, 28 September 2016 </t>
  </si>
  <si>
    <t>ALK + PB (AMERICA)</t>
  </si>
  <si>
    <t xml:space="preserve">Non Fisik </t>
  </si>
  <si>
    <t>220.520.3  HOL  The Holy Bible - NRSV  Thn. 1966</t>
  </si>
  <si>
    <t>Holy Bible - NRSV</t>
  </si>
  <si>
    <t xml:space="preserve">The British &amp; Foreign Bible Society </t>
  </si>
  <si>
    <t xml:space="preserve">220.520.43  </t>
  </si>
  <si>
    <t xml:space="preserve">Holy Bible </t>
  </si>
  <si>
    <t>American Bibel Society</t>
  </si>
  <si>
    <t xml:space="preserve">220.5203 C.1 </t>
  </si>
  <si>
    <t>Holy Bible (King James Version)</t>
  </si>
  <si>
    <t>0-564-01191-6</t>
  </si>
  <si>
    <t>The Bible (Authorized Version)</t>
  </si>
  <si>
    <t>0-564-00101-5</t>
  </si>
  <si>
    <t>The Bible: Revised Standard Version</t>
  </si>
  <si>
    <t>220.520.6  NEW  The New English Bible With Apocrypha  Thn. 1970</t>
  </si>
  <si>
    <t>The New English Bible With The Apocrypha</t>
  </si>
  <si>
    <t>220.520.6  NEW  The New English Bible With Apocrypha  Thn. 1971</t>
  </si>
  <si>
    <t>220.520.5  NEW  The New American Bible  Thn. 1970</t>
  </si>
  <si>
    <t>The New American Bible</t>
  </si>
  <si>
    <t>P.J. Kenedy &amp; Sons</t>
  </si>
  <si>
    <t>The New American Bible (Cover Batik )</t>
  </si>
  <si>
    <t>220.520.5  NEW  The new English Bible  Thn. 1970</t>
  </si>
  <si>
    <t>The New English Bible  Thn. 1970</t>
  </si>
  <si>
    <t>220.520. 410 GNB</t>
  </si>
  <si>
    <t xml:space="preserve">Good News Bible </t>
  </si>
  <si>
    <t>Dilengkapi dengan Kamus dan Peta Alkitab</t>
  </si>
  <si>
    <t>0-340-59630-9</t>
  </si>
  <si>
    <t xml:space="preserve">220.5203 NIV </t>
  </si>
  <si>
    <t>The Bible: New International Version</t>
  </si>
  <si>
    <t xml:space="preserve">220.52041 C.1 </t>
  </si>
  <si>
    <t>The Moffatt Translation of The Bible: Containing the Old and New Testaments</t>
  </si>
  <si>
    <t>Hodder and Stoughton &amp; Coverdale House Publishers</t>
  </si>
  <si>
    <t>0-340-15204-4</t>
  </si>
  <si>
    <t>220.520410 T.L.E</t>
  </si>
  <si>
    <t>The Living Bive Ball : The Bible I n everday language for Everyone</t>
  </si>
  <si>
    <t>0-908867-09-3</t>
  </si>
  <si>
    <t xml:space="preserve">220.52082 GOO </t>
  </si>
  <si>
    <t>Dilengkapi dengan Kalender Alkitab, Kronologi Alkitab</t>
  </si>
  <si>
    <t xml:space="preserve">The Bible Society </t>
  </si>
  <si>
    <t xml:space="preserve">220.520410 GNB </t>
  </si>
  <si>
    <t>Dilengkapi dengan kamus, peta Alkitab, kronologi Alkitab dan indeks Alkitab</t>
  </si>
  <si>
    <t>0-19-528348-1</t>
  </si>
  <si>
    <t>220.52043 Ox 2</t>
  </si>
  <si>
    <t>The New Oxford Annotated Bible With The Apocrypha (Revised Standard Version)</t>
  </si>
  <si>
    <t xml:space="preserve">Dilengkapi dengan kamus &amp; Peta Alkitab  beserta dengan indeks Alkitab </t>
  </si>
  <si>
    <t>0-564-00201-1</t>
  </si>
  <si>
    <t>220.5206 N 42</t>
  </si>
  <si>
    <t xml:space="preserve">The New English Bible </t>
  </si>
  <si>
    <t>The Bible Societis &amp; Oxford University Press &amp; Cambridge University Press</t>
  </si>
  <si>
    <t>0-413-90402-4</t>
  </si>
  <si>
    <t xml:space="preserve">220.5203 K.J.V </t>
  </si>
  <si>
    <t>The Holy Bible: Authorized Version)</t>
  </si>
  <si>
    <t>Her Majesty's Printers</t>
  </si>
  <si>
    <t xml:space="preserve">220.52043 B 47 </t>
  </si>
  <si>
    <t xml:space="preserve">The Bible </t>
  </si>
  <si>
    <t xml:space="preserve">220.520.82 GOO </t>
  </si>
  <si>
    <t>Dilengkapi dengan kamus &amp; indeks Alkitab</t>
  </si>
  <si>
    <t>0-87973-831-6</t>
  </si>
  <si>
    <t xml:space="preserve">220.520410 C.1 </t>
  </si>
  <si>
    <t>Our Sunday Visitor</t>
  </si>
  <si>
    <t>0-529-06463-4</t>
  </si>
  <si>
    <t xml:space="preserve">220.5203 KJV </t>
  </si>
  <si>
    <t>The Holy Bible (King James Version)</t>
  </si>
  <si>
    <t>0-8407-1300-2</t>
  </si>
  <si>
    <t xml:space="preserve">220.52044 N.A.E. </t>
  </si>
  <si>
    <t>The New American Bible (The New Catholic Translation)</t>
  </si>
  <si>
    <t>Good News Bible With Deuterocanonicals/ Apocrypha</t>
  </si>
  <si>
    <t>0-8423-2582-4</t>
  </si>
  <si>
    <t>220.520.83 CAT   The One Year Bible  Thn. 1967</t>
  </si>
  <si>
    <t>The Catholic One Year Bible - The Entre Catholic Living Bible Arranged In 365 Daily Readings</t>
  </si>
  <si>
    <t>0-647-50566-5</t>
  </si>
  <si>
    <t>Good News Bible (Revised Edition)</t>
  </si>
  <si>
    <t>The Bible Society of Australia</t>
  </si>
  <si>
    <t>0-88834-601-8</t>
  </si>
  <si>
    <t>Dilengkapi dengan kamus, peta Alkitab, indeks Alkitab dan bagan sejarah Alkitab</t>
  </si>
  <si>
    <t>Canadian Bible Society</t>
  </si>
  <si>
    <t>Holy Bible: Containing the Old and New Testaments</t>
  </si>
  <si>
    <t>Dilengkapi dengan referensi ayat Alkitab tentang mujizat &amp; perumpamaan Tuhan kita</t>
  </si>
  <si>
    <t xml:space="preserve">Zondervan Bible Publishers </t>
  </si>
  <si>
    <t>0-647-50571-1</t>
  </si>
  <si>
    <t xml:space="preserve">220.5203 N.R.S.V. </t>
  </si>
  <si>
    <t>The Holy Bible (Nes RevisedStandard Version</t>
  </si>
  <si>
    <t>0-8407---0450</t>
  </si>
  <si>
    <t>The Promise (Contemporary English Version)</t>
  </si>
  <si>
    <t>Dilengkapi dengan kamus dan kronologi Alkitab</t>
  </si>
  <si>
    <t xml:space="preserve">220.5206 B 47 </t>
  </si>
  <si>
    <t xml:space="preserve">Oxford University Press &amp; Cambridge University Press </t>
  </si>
  <si>
    <t>220.520.43 The Holy Bible - N.R.S.V.   Thn. 1989</t>
  </si>
  <si>
    <t>Holy Bible (NRSV)</t>
  </si>
  <si>
    <t>Good News  (Revised Edition)</t>
  </si>
  <si>
    <t xml:space="preserve">220.520.3 HOL </t>
  </si>
  <si>
    <t>Holy Bible (Reference Edition/ King James Version)</t>
  </si>
  <si>
    <t>Dilengkapi dengan konkordansi, peta Alkitab &amp; perumapaan dan mujizat dalam Alkitab</t>
  </si>
  <si>
    <t>0-8423-2451-8</t>
  </si>
  <si>
    <t xml:space="preserve">220.520.8 ONE </t>
  </si>
  <si>
    <t>The One Year Bible (The Entire New International Version Arranged in 365 Daily Readings)</t>
  </si>
  <si>
    <t>220.52045 N.J.V.</t>
  </si>
  <si>
    <t>Holy Bible (New Internationl  Version)</t>
  </si>
  <si>
    <t>Dilengkapi dengan berat dan ukuran meja</t>
  </si>
  <si>
    <t>0-88834-636-0</t>
  </si>
  <si>
    <t>Good News Bible</t>
  </si>
  <si>
    <t>Dilengkapi dengan kamus &amp; garis besar sejarah Alkitab.</t>
  </si>
  <si>
    <t>Holy Bible</t>
  </si>
  <si>
    <t>Dilengkapi dengan kamus &amp; Kronologi peristiwa-peristiwa di Alkitab &amp; peta Alkitab</t>
  </si>
  <si>
    <t>1-58516-836-X</t>
  </si>
  <si>
    <t>Good News Bible (warna Hijau)</t>
  </si>
  <si>
    <t>Dilengkapi dengan peta Alkitab, Indeks Alkitab &amp; Konkordansi Alkitab</t>
  </si>
  <si>
    <t>God News Bible (Warna Cokelat, merah bata)</t>
  </si>
  <si>
    <t>Dilengkapi dengan kamus, konkordansi Alkiatb dan jua Index Alkitab.</t>
  </si>
  <si>
    <t>220.520.410</t>
  </si>
  <si>
    <t>Dielngkapi dengan kamus, Peta Alkitab &amp; perjalanan perjanjian baru dari penulisan septuaginta.</t>
  </si>
  <si>
    <t>220-52042-t</t>
  </si>
  <si>
    <t>Good News Bible (Today's English Version)</t>
  </si>
  <si>
    <t xml:space="preserve">Dilengkapi dengan peta Alkitab &amp; Kamus </t>
  </si>
  <si>
    <t>Holy Bible (New Revised Standard Version)</t>
  </si>
  <si>
    <t>0-88834-637-9</t>
  </si>
  <si>
    <t>Good News Bible with Deuterocanonical/Apocrypphal Books. Hijau)</t>
  </si>
  <si>
    <t>Dilengkapi dengan Indeks Alkitab, Terjemahan Septuaginta, Peta Alkitab  &amp; Kamus</t>
  </si>
  <si>
    <t>0-647-50645-9</t>
  </si>
  <si>
    <t>220.520.2 HOLY BIBLE CEV Tahun 1995</t>
  </si>
  <si>
    <t xml:space="preserve">Holy Bible Contemporary English Version (Warna Merah) </t>
  </si>
  <si>
    <t xml:space="preserve">Dilingkapi dengan, kamus mini Alkitab </t>
  </si>
  <si>
    <t>0-340-58758-X</t>
  </si>
  <si>
    <t xml:space="preserve">2205203 NIV </t>
  </si>
  <si>
    <t>The Bible (New International Version)</t>
  </si>
  <si>
    <t>220.520.3  FIR  The First Scofield Reference Bible  Thn. 1986</t>
  </si>
  <si>
    <t>The First Scofield Reference Bible (King James Version)</t>
  </si>
  <si>
    <t>Dilengkapi dengan kalender untuk membaca Alkitab harian, indeks Alkitab, peta Alkitab, kamus Alkitab serta topik dalam Alkitab.</t>
  </si>
  <si>
    <t xml:space="preserve">World Bible Publishers &amp; Oxford University Press          </t>
  </si>
  <si>
    <t>220.520.1  BIB  The Bible In Basic English  Thn. 1965</t>
  </si>
  <si>
    <t>The Bible In Basic English</t>
  </si>
  <si>
    <t>Dilengkapi dengan gambar-gambar Alkitab</t>
  </si>
  <si>
    <t>Cambridge University Press &amp; Evans Brothers, LTD.</t>
  </si>
  <si>
    <t>220.520.3  WAY  The Way of Life  Thn. 1978</t>
  </si>
  <si>
    <t>The Holy Bible:The Way Of Life (Containing The Old and New Testaments)</t>
  </si>
  <si>
    <t>Dilengkapi dengan peta Alkitab &amp; kata yang diubah artinya</t>
  </si>
  <si>
    <t xml:space="preserve">220.5205 C.3 </t>
  </si>
  <si>
    <t>0-564-00211-9</t>
  </si>
  <si>
    <t>220.5206 C.1</t>
  </si>
  <si>
    <t>The New English Bible (Warna Hijau)</t>
  </si>
  <si>
    <t xml:space="preserve">220.52043 C.1 </t>
  </si>
  <si>
    <t>Holy Bible (Sampul warna biru)</t>
  </si>
  <si>
    <t xml:space="preserve">Dilengkapi dengna peta Alkitab </t>
  </si>
  <si>
    <t>220.5205 Am3</t>
  </si>
  <si>
    <t>The New American Bible (The First Complete American Version of Holy Scripture translated directly from the original Hebrew, Aramaic and Greek)</t>
  </si>
  <si>
    <t xml:space="preserve">225 NEW </t>
  </si>
  <si>
    <t>The New English Bible (New Testament)</t>
  </si>
  <si>
    <t>Oxford University Press &amp; Cambridge University Press</t>
  </si>
  <si>
    <t xml:space="preserve">221.5206 N42 </t>
  </si>
  <si>
    <t>The New English Bible (The Old Testament)</t>
  </si>
  <si>
    <t>220.5203 KJV. Ref.</t>
  </si>
  <si>
    <t>The Holy Bible: Containing the Old and New Testament (King James Version)</t>
  </si>
  <si>
    <t xml:space="preserve">Dilengkapi dengnan peta Alkitab, konkordansi Alkitab, cara belajar Alkitab  serta tulisan berwarna merah </t>
  </si>
  <si>
    <t xml:space="preserve">220.520410 T.E.V. </t>
  </si>
  <si>
    <t xml:space="preserve">Holy Bible (Today's English Version) </t>
  </si>
  <si>
    <t xml:space="preserve">220.520410 G.N.B. </t>
  </si>
  <si>
    <t>Dilengkapi denngan peta Alkitab, indeks Alkitab, tabel kronologi di Alkitab, &amp; kamus Alkitab</t>
  </si>
  <si>
    <t>0-005126525</t>
  </si>
  <si>
    <t>Good News Bible with Deuterocanonical Books/Apocrypha(Warna Cokelat)/ Today's English Version</t>
  </si>
  <si>
    <t>Dilengkapi dengan indeks Alkitab, kamus Alkitab, peta Alkitab, grafik sejarah Alkitab, bacaaan septuaginta</t>
  </si>
  <si>
    <t>Good News Bible (Today's English Version)/ Sampul warna putih)</t>
  </si>
  <si>
    <t>Dilengkapi dengan grafik sejarah Alkitab</t>
  </si>
  <si>
    <t>0-647-50616-5</t>
  </si>
  <si>
    <t>.</t>
  </si>
  <si>
    <t>Dilengkapi dengan indeks Alkitab</t>
  </si>
  <si>
    <t>0-647-50573-8</t>
  </si>
  <si>
    <t>220.520.1 GOOD NEWS BIBLE (R.Ed) AUS Tahun 2002</t>
  </si>
  <si>
    <t>Good News Australia (New Testament &amp; Old Testament/ Revised Edition)</t>
  </si>
  <si>
    <t>Dilengkapi dengan indeks Alkitab &amp;kronologi Alkitab &amp; kamus Alkitab</t>
  </si>
  <si>
    <t xml:space="preserve">220.470 BIB </t>
  </si>
  <si>
    <t>Bibbia Emaus: Nuovissima versione dai testi originali</t>
  </si>
  <si>
    <t>Dilengkapi dengan indeks Alkitab, peta Alkitab, kronologi Alkitab, kalender Yahudi &amp; hari libur, indeks liturgi, kamus Alkitab</t>
  </si>
  <si>
    <t>Edizioni San Paolo</t>
  </si>
  <si>
    <t>The Holy Bible :Containing The Old And New Testaments (King James Version)</t>
  </si>
  <si>
    <t>Korea</t>
  </si>
  <si>
    <t>France</t>
  </si>
  <si>
    <t>Dilengkapi dengan peta Alkitab, referensi Alkitab, tulisan tanda merah</t>
  </si>
  <si>
    <t>0-529-07184-3</t>
  </si>
  <si>
    <t>225.520.3  COM  The Complete Word Study NT-KJV  Thn. 1992</t>
  </si>
  <si>
    <t>The Complete Word Study New Testament (King James Version)</t>
  </si>
  <si>
    <t xml:space="preserve">Dilengkapi dengan kamus Yunani, Perjanjian Baru, indeks Alkitab, kode gramatikal  daftar kata keterangan tidak teratur, </t>
  </si>
  <si>
    <t>220.5203 BIB</t>
  </si>
  <si>
    <t>220.52042 C.1</t>
  </si>
  <si>
    <t>Dilengkapi denngan peta Alkitab</t>
  </si>
  <si>
    <t>220.5203 KJV.HL</t>
  </si>
  <si>
    <t>Holy Bible ( Illustrated)</t>
  </si>
  <si>
    <t>Dilengkapi dengan 10 perinta Tuhan dan Ucapan Bahagia</t>
  </si>
  <si>
    <t>Dilengkapi dengan kamus Alkitab dan daftar bacaan Alkitab sepanjang tahun</t>
  </si>
  <si>
    <t>Eyre and Spottiswoode</t>
  </si>
  <si>
    <t>The Holy Bible : Containing The Old and New Testaments</t>
  </si>
  <si>
    <t>Dilengkapi dengan Hyme</t>
  </si>
  <si>
    <t>Wm. Collins Sons &amp; Co Ltd. Glasgow</t>
  </si>
  <si>
    <t>1-885427-28-X</t>
  </si>
  <si>
    <t>220 HOL</t>
  </si>
  <si>
    <t>Holy Bible: Easy-to-Read Version</t>
  </si>
  <si>
    <t>Word Bible Translation Center</t>
  </si>
  <si>
    <t>0-647-16253-9</t>
  </si>
  <si>
    <t xml:space="preserve">220.520.82 HOL </t>
  </si>
  <si>
    <t>Holy Bible (Good News Bible/Today's English Version)</t>
  </si>
  <si>
    <t>Dilengkapi dengan kamus Alkitab, terjemahan septuaginta, indeks Alkitab &amp; sejarah Alkitab</t>
  </si>
  <si>
    <t>220.520.81  HOL  Holy Bible - NIV  Thn. 1978</t>
  </si>
  <si>
    <t>Holy Bible: New International Version</t>
  </si>
  <si>
    <t>Dilengkapi dengan tabel berat dan ukuran</t>
  </si>
  <si>
    <t>0-564-05413-5</t>
  </si>
  <si>
    <t>220.520410 Ch.R</t>
  </si>
  <si>
    <t>Bible Society's Chain Reference Bible  (Good News Edition)</t>
  </si>
  <si>
    <t>Dilengkapi dengan kamus Alkitab, indeks kata &amp; indeks nama, indeks kata dasar, kata kunci topik, peta Alkitab, grafik sejarah Alkitab, terjemahan septuaginta,</t>
  </si>
  <si>
    <t>0-529-07036-7</t>
  </si>
  <si>
    <t>220.5203 KJV</t>
  </si>
  <si>
    <t>Holy Bible: King James Version &amp; Red Letter Edition</t>
  </si>
  <si>
    <t xml:space="preserve">Dilengkapi dengan peta Alkitab ringkasan setiap kitab, konkordansi Alkitab, </t>
  </si>
  <si>
    <t>220.520410 TEV</t>
  </si>
  <si>
    <t>Holy Bible: Today's English Version</t>
  </si>
  <si>
    <t>Dilengkapi dengan kamus Alkitab &amp; peta Alkitab</t>
  </si>
  <si>
    <t>Good News Bible: Today's English Version</t>
  </si>
  <si>
    <t>Dilengkapi dengan kamus Alkitabpeta Alkitab, indeks peta, bagian septuaginta, indeks subjek</t>
  </si>
  <si>
    <t>0-310-92588-6</t>
  </si>
  <si>
    <t>220.520.81 THE NIV STUDY BIBLE Tahun 1995</t>
  </si>
  <si>
    <t>The NIV Study Bible: 10 th Anniversary Edition</t>
  </si>
  <si>
    <t xml:space="preserve">Dilengkapi dengan kronologi Perjanjian Lama &amp; Perjanjian Baru, </t>
  </si>
  <si>
    <t>0-8010-2319-X</t>
  </si>
  <si>
    <t>Introducing the Apocrypha: Message, Context and Significance</t>
  </si>
  <si>
    <t>Dilengkapi dengan indeks Kitab Suci dan tulisan-tulisan kuno lainnya</t>
  </si>
  <si>
    <t>0-564-09045-X</t>
  </si>
  <si>
    <t>220.520.81 HOL Holy Bible Uncovered - NIV  Thn. 1984</t>
  </si>
  <si>
    <t>Holy Bible Uncovered (New International Version)</t>
  </si>
  <si>
    <t>Dilengkapi dengan kamus Alkitab &amp;  tabel berat dan ukuran</t>
  </si>
  <si>
    <t>978-1-4143-3927-6</t>
  </si>
  <si>
    <t xml:space="preserve">220.04 CHR </t>
  </si>
  <si>
    <t>Cronological Life Application Study Bible (New Living Translation /second edition)</t>
  </si>
  <si>
    <t>Dilengkapi dengan peta Alkitab &amp; Konkordansi</t>
  </si>
  <si>
    <t>978-0-8423-8489-6</t>
  </si>
  <si>
    <t>220.1 HOL</t>
  </si>
  <si>
    <t>Holy Bible (New Living Translation/ NLT)</t>
  </si>
  <si>
    <t>978-0-8423-8493-3</t>
  </si>
  <si>
    <t>220.04 LIF</t>
  </si>
  <si>
    <t>Life Application Study Bible (NLT)</t>
  </si>
  <si>
    <t>220.520.81 COM</t>
  </si>
  <si>
    <t>Comparative Study Bible: New International Version, Amplified Version, King James Version, Updated New American Standard Bible</t>
  </si>
  <si>
    <t>U.S.A.</t>
  </si>
  <si>
    <t>0-310-91933-9</t>
  </si>
  <si>
    <t>220.520.81 THE NIV TOPICAL Tahun 1989</t>
  </si>
  <si>
    <t xml:space="preserve">The NIV Topical Study Bible </t>
  </si>
  <si>
    <t>978-0-521-75921-2</t>
  </si>
  <si>
    <t>220.1 NLT</t>
  </si>
  <si>
    <t>The Holy Bible New Living Translation</t>
  </si>
  <si>
    <t>978-0-8423-3391-7</t>
  </si>
  <si>
    <t xml:space="preserve">220.1 HOL </t>
  </si>
  <si>
    <t>Holy Bible New Living Translation: Easy to Understand Relevant for Today</t>
  </si>
  <si>
    <t>978-9653-590151</t>
  </si>
  <si>
    <t>221.296  COM  Complete Jewish Bible  Thn. 1998</t>
  </si>
  <si>
    <t>Complete Jewish Bible</t>
  </si>
  <si>
    <t>Dilenngkapi dengan peta Alkitab &amp; glosarium</t>
  </si>
  <si>
    <t>Jewish New Testament Publications, INC.</t>
  </si>
  <si>
    <t>0-310-92722-6</t>
  </si>
  <si>
    <t>220.520.81 STU</t>
  </si>
  <si>
    <t xml:space="preserve">Student Bible </t>
  </si>
  <si>
    <t>Dilengkapi dengan indeks peta, tentang NIV,</t>
  </si>
  <si>
    <t>0-8010-5599-7</t>
  </si>
  <si>
    <t>220.520 LEW</t>
  </si>
  <si>
    <t>The English Bible From KJV to NIV A History and Evaluation (With Indexes)</t>
  </si>
  <si>
    <t>Dilengkapi dengan Bibliografi Alkitab terjemahan Inggris</t>
  </si>
  <si>
    <t>978-981-4270-95-3</t>
  </si>
  <si>
    <t xml:space="preserve">220.04 REV </t>
  </si>
  <si>
    <t>The Revival Study Bible (New King James Version/NKJV)</t>
  </si>
  <si>
    <t>Dilengkapi dengan konkordansi, indeks kontributor &amp; indeks umum</t>
  </si>
  <si>
    <t>Genesis Book</t>
  </si>
  <si>
    <t>0-19-528389-9</t>
  </si>
  <si>
    <t>220.5205 CAT The Catholic Study Bible  Thn. 991</t>
  </si>
  <si>
    <t>The Catholic Study Bible</t>
  </si>
  <si>
    <t>0-8340-0426-7</t>
  </si>
  <si>
    <t>220.520.1 HOLY BIBLE THE GIDEONS Tahun 1982</t>
  </si>
  <si>
    <t>Holy Bible: Placed By The Gideons</t>
  </si>
  <si>
    <t>King James II Version of The Bible</t>
  </si>
  <si>
    <t>Associated Publishers and Authors Inc.</t>
  </si>
  <si>
    <t>220.5'2 WHI</t>
  </si>
  <si>
    <t>The King James Only Controversy: Can You Trust the Modern Translations?</t>
  </si>
  <si>
    <t>Bethany House Publishers</t>
  </si>
  <si>
    <t>0-529-06904-0</t>
  </si>
  <si>
    <t>220.5203 NRSV</t>
  </si>
  <si>
    <t>Holy Bible (The New Revised Standard Version)</t>
  </si>
  <si>
    <t>978-981-220-454-7</t>
  </si>
  <si>
    <t>Bible: English Standard Version</t>
  </si>
  <si>
    <t>Chinese &amp;Inggris</t>
  </si>
  <si>
    <t>Holy Bible (English Standard Version /ESV)</t>
  </si>
  <si>
    <t>0-647-50695-5</t>
  </si>
  <si>
    <t>The Big Rescue Bible</t>
  </si>
  <si>
    <t>Dilengkapi dengan kamus Alkitab mini</t>
  </si>
  <si>
    <t>0-06-064923-20485</t>
  </si>
  <si>
    <t>220.5203 H.74</t>
  </si>
  <si>
    <t>Holy Bible: From The Ancient Eastern Text</t>
  </si>
  <si>
    <t>1-58516-151-9</t>
  </si>
  <si>
    <t xml:space="preserve">Dilengkapi dengan peta Alkitab </t>
  </si>
  <si>
    <t>962-293-347-5</t>
  </si>
  <si>
    <t>220.520 3 KJU?Cunp</t>
  </si>
  <si>
    <t>Holy Bible: King James Version</t>
  </si>
  <si>
    <t>Inggris &amp; Chinese</t>
  </si>
  <si>
    <t>Dilengkapi dengan  kalender</t>
  </si>
  <si>
    <t>Lembaga Alkitab Hongkong</t>
  </si>
  <si>
    <t>220.52043 H74</t>
  </si>
  <si>
    <t>The Holy Bible: Containing The Old and New Testaments</t>
  </si>
  <si>
    <t>0-647-50641-6</t>
  </si>
  <si>
    <t>220.04  LEV  Alk. Level 66  Thn. 2000</t>
  </si>
  <si>
    <t>Level 66: 66 Personal Messages From The Creator of The University To You</t>
  </si>
  <si>
    <t>Dilengkapi dengna kamus Alkitab mini</t>
  </si>
  <si>
    <t>Holy Bible: New American Standard Bible</t>
  </si>
  <si>
    <t>Dilengkapi dengan membaca Alkitab dalam setahun, &amp; bagian terkenal dari Alkitab</t>
  </si>
  <si>
    <t>1-931471-73-8</t>
  </si>
  <si>
    <t xml:space="preserve">Discover The Bible </t>
  </si>
  <si>
    <t>Holy Bible (King James Version &amp; Red Letter Edition)</t>
  </si>
  <si>
    <t xml:space="preserve">Dilengkapi dengan  konkordansi, Kalender Alkitab, </t>
  </si>
  <si>
    <t>0-00-512808-0</t>
  </si>
  <si>
    <t>Good News Study Bible</t>
  </si>
  <si>
    <t>Dilengkapi dengan kamus Alkitab, indeks kata &amp; indeks nama</t>
  </si>
  <si>
    <t>The Bible Societies/ Harper Collins</t>
  </si>
  <si>
    <t xml:space="preserve">News Testament &amp; Psalms Proverbs </t>
  </si>
  <si>
    <t xml:space="preserve">The Gideons International </t>
  </si>
  <si>
    <t>0-529-05119-2</t>
  </si>
  <si>
    <t>220.520 TJN</t>
  </si>
  <si>
    <t xml:space="preserve">Tiny Fingers Bible </t>
  </si>
  <si>
    <t>Christian Heritage Publishing Co, Inc.</t>
  </si>
  <si>
    <t>Holy Bible: Children Illustrated Edition (Contemporary English Version)</t>
  </si>
  <si>
    <t>Dilengkapi dengan peta Alkitab, kronologi Alkitab dan warna ilustrasi</t>
  </si>
  <si>
    <t>225.520.82  BIB  Bible For Today's Family  Thn. 1992</t>
  </si>
  <si>
    <t>Bible For Today's Family New Testament - CEV  Thn. 1992</t>
  </si>
  <si>
    <t>Dilengkapi Kamus dan Peta</t>
  </si>
  <si>
    <t>225.520410 cev</t>
  </si>
  <si>
    <t>The Bible For Today's Family (Contemporary English Version)</t>
  </si>
  <si>
    <t>978-1937628239</t>
  </si>
  <si>
    <t>New Testament: Good News Translation</t>
  </si>
  <si>
    <t>962-293-309-2</t>
  </si>
  <si>
    <t>220.5201 TEV-TCV</t>
  </si>
  <si>
    <t>Holy Bible (Today's English Version &amp; Today's Chinese Version)</t>
  </si>
  <si>
    <t>Dilengkapi dengan peta Alkitab, kamus Alkitab, indeks peta</t>
  </si>
  <si>
    <t>978-971-29-0943-6</t>
  </si>
  <si>
    <t>220.520.82  GOO  Good New Bible (TEV)  Thn. 2011</t>
  </si>
  <si>
    <t>May They Be One Bible (Good News Bible)</t>
  </si>
  <si>
    <t>Philippines</t>
  </si>
  <si>
    <t xml:space="preserve">Dilengkapi dengan kamus Alkitab, </t>
  </si>
  <si>
    <t>u</t>
  </si>
  <si>
    <t>225.5951 K.96</t>
  </si>
  <si>
    <t>New Testament (Placed By The Gideons)</t>
  </si>
  <si>
    <t>Inggris &amp; Jepang</t>
  </si>
  <si>
    <t>978-9-748183-79-4</t>
  </si>
  <si>
    <t>225.495 NEW</t>
  </si>
  <si>
    <t>New Testament Thai-Chinese</t>
  </si>
  <si>
    <t>Thailand &amp; Chinese</t>
  </si>
  <si>
    <t>0-310-91893-6</t>
  </si>
  <si>
    <t>220.520.3 KJV STUDY BIBLE Tahun 2002</t>
  </si>
  <si>
    <t>KJV Study Bible (King James Version)</t>
  </si>
  <si>
    <t>0-647-505967</t>
  </si>
  <si>
    <t xml:space="preserve">Good News Bible Revised Edition) </t>
  </si>
  <si>
    <t>Dilengkapi dengan kamus Alkitab, peta Alkitab, indeks nama, indeks peta</t>
  </si>
  <si>
    <t>981-220-311-7</t>
  </si>
  <si>
    <t xml:space="preserve">225.495.6 HOL </t>
  </si>
  <si>
    <t>Holy Bible (New Testament with Psalms)</t>
  </si>
  <si>
    <t>0-8407-2030-0</t>
  </si>
  <si>
    <t>The Bible For Today's Family (Contemporary English Version/ New Testament))</t>
  </si>
  <si>
    <t>220.520. N.R.S.V.</t>
  </si>
  <si>
    <t xml:space="preserve">220.5208 HOT </t>
  </si>
  <si>
    <t>Dilengkapi dengan kamus Alkitab, Indeks, terjemahan septuaginta, &amp; bagan sejarah Alkitab</t>
  </si>
  <si>
    <t>90-6126-034-5</t>
  </si>
  <si>
    <t>220.492 C.1</t>
  </si>
  <si>
    <t>Bijbel</t>
  </si>
  <si>
    <t>Nederlands BijbelgenootscHAP Haarlem</t>
  </si>
  <si>
    <t>0-564-01813-9</t>
  </si>
  <si>
    <t xml:space="preserve">220.669 C.1 </t>
  </si>
  <si>
    <t>Bibeli Mimo</t>
  </si>
  <si>
    <t>Nigeria</t>
  </si>
  <si>
    <t>Yoruba</t>
  </si>
  <si>
    <t xml:space="preserve">The Bible Society of Nigeria </t>
  </si>
  <si>
    <t>225.512 C.2</t>
  </si>
  <si>
    <r>
      <rPr>
        <rFont val="Calibri"/>
        <color theme="1"/>
        <sz val="9.0"/>
      </rPr>
      <t>Kuoy</t>
    </r>
    <r>
      <rPr>
        <rFont val="Calibri"/>
        <color rgb="FF000000"/>
        <sz val="9.0"/>
      </rPr>
      <t>ϋ Bible</t>
    </r>
  </si>
  <si>
    <t>Tionghoa</t>
  </si>
  <si>
    <t>The Bible Society in Hongkong</t>
  </si>
  <si>
    <t>Sulit diketahui apa judulnya krn bhs taiwan</t>
  </si>
  <si>
    <t>The Bible Society in Taiwan</t>
  </si>
  <si>
    <t>The Holy Bible New Testament with Psalms/ Proverbs</t>
  </si>
  <si>
    <t>Dilengkapi dengan peta Alkitab &amp; lagu</t>
  </si>
  <si>
    <t>Good News New Testament (Today's English Version)</t>
  </si>
  <si>
    <t>220..525 TEV-Ps</t>
  </si>
  <si>
    <t>Good News For Modern Man (The New Testament &amp; Psalms in Today's English Version)</t>
  </si>
  <si>
    <t>Dilengkapi dengan kamus Alkitab, peta Alkitab, indeks</t>
  </si>
  <si>
    <t>220.520.1  NEW  The New American Bible  Thn. 1983</t>
  </si>
  <si>
    <t>The New American Bible  - The New Catholic Translation</t>
  </si>
  <si>
    <t>Dilengkapi Personal Study Notes</t>
  </si>
  <si>
    <t>220.5203 HOL</t>
  </si>
  <si>
    <t>The Holy Bible: Containing The Old And New Testaments (King James Version)</t>
  </si>
  <si>
    <t>Dilengkapi dengan peta Alkitab, kamus kosakata yang sudah berubah artinya</t>
  </si>
  <si>
    <t xml:space="preserve">The Way of Life </t>
  </si>
  <si>
    <t>225.52042 T.68</t>
  </si>
  <si>
    <t>Dilengkapi dengan kamus, peta Alkitab, catatan terjemahan</t>
  </si>
  <si>
    <t>158516267-1</t>
  </si>
  <si>
    <t>Bik 'Ehgo 'Ihi 'Nan Biyati'</t>
  </si>
  <si>
    <t xml:space="preserve"> Apache &amp; Inggris</t>
  </si>
  <si>
    <t xml:space="preserve">Dilengkapi dengan peta Alkitab, </t>
  </si>
  <si>
    <t xml:space="preserve">225.52041 C.1 </t>
  </si>
  <si>
    <t xml:space="preserve">Good News For Modern Man ( The New Testament in Today's English Version/Third Edition) </t>
  </si>
  <si>
    <t>225.48 The New Testament in Greek and English Thn 1966</t>
  </si>
  <si>
    <t>The New Testament In Greek and English</t>
  </si>
  <si>
    <t xml:space="preserve">Dilengkapi dengan kosakata, indeks </t>
  </si>
  <si>
    <t>0-88834-301-1</t>
  </si>
  <si>
    <t>225.701 C.1</t>
  </si>
  <si>
    <t>Oshkimasina'ikan</t>
  </si>
  <si>
    <t>Ojibawe</t>
  </si>
  <si>
    <r>
      <rPr>
        <rFont val="Calibri"/>
        <color theme="1"/>
        <sz val="9.0"/>
      </rPr>
      <t xml:space="preserve">Good News New Testament (Today's English Version/ Fourth Edition) </t>
    </r>
    <r>
      <rPr>
        <rFont val="Calibri"/>
        <b/>
        <color rgb="FF000000"/>
        <sz val="9.0"/>
      </rPr>
      <t>Warna Hijau Putih</t>
    </r>
  </si>
  <si>
    <r>
      <rPr>
        <rFont val="Calibri"/>
        <color theme="1"/>
        <sz val="9.0"/>
      </rPr>
      <t xml:space="preserve">Good News New Testament (Today's English Version/ Fourth Edition) </t>
    </r>
    <r>
      <rPr>
        <rFont val="Calibri"/>
        <b/>
        <color rgb="FF000000"/>
        <sz val="9.0"/>
      </rPr>
      <t>Warna Merah Jambu</t>
    </r>
  </si>
  <si>
    <t>225.520410 T.E.V</t>
  </si>
  <si>
    <r>
      <rPr>
        <rFont val="Calibri"/>
        <color theme="1"/>
        <sz val="9.0"/>
      </rPr>
      <t xml:space="preserve">Good News New Testament (Today's English Version/ Fourth Edition) </t>
    </r>
    <r>
      <rPr>
        <rFont val="Calibri"/>
        <b/>
        <color rgb="FF000000"/>
        <sz val="9.0"/>
      </rPr>
      <t>Warna Biru-Abu-abu</t>
    </r>
  </si>
  <si>
    <t xml:space="preserve">Dilengkapi dengan peta Alkitab, kamus Alkitab, indeks </t>
  </si>
  <si>
    <t>Good News For Modern Man (The New Testament/ Today's English Version)</t>
  </si>
  <si>
    <r>
      <rPr>
        <rFont val="Calibri"/>
        <color theme="1"/>
        <sz val="9.0"/>
      </rPr>
      <t xml:space="preserve">Good News New Testament (The News Testament in Today's English Version/ Fourth Edition) </t>
    </r>
    <r>
      <rPr>
        <rFont val="Calibri"/>
        <b/>
        <color rgb="FF000000"/>
        <sz val="9.0"/>
      </rPr>
      <t>Warna Biru Muda</t>
    </r>
  </si>
  <si>
    <t>0-564-04091-6</t>
  </si>
  <si>
    <r>
      <rPr>
        <rFont val="Calibri"/>
        <color theme="1"/>
        <sz val="9.0"/>
      </rPr>
      <t xml:space="preserve">Good News New Testament (Today's English Version). </t>
    </r>
    <r>
      <rPr>
        <rFont val="Calibri"/>
        <b/>
        <color rgb="FF000000"/>
        <sz val="9.0"/>
      </rPr>
      <t>Warna Hitam</t>
    </r>
  </si>
  <si>
    <t xml:space="preserve">225.5203 KJV. </t>
  </si>
  <si>
    <t>New Testament Psalms Proverbs</t>
  </si>
  <si>
    <t>0-647-50736-6</t>
  </si>
  <si>
    <r>
      <rPr>
        <rFont val="Calibri"/>
        <color theme="1"/>
        <sz val="9.0"/>
      </rPr>
      <t xml:space="preserve">Today's New Testament and Psalms </t>
    </r>
    <r>
      <rPr>
        <rFont val="Calibri"/>
        <b/>
        <color rgb="FF000000"/>
        <sz val="9.0"/>
      </rPr>
      <t>(Contemporary English Version)</t>
    </r>
  </si>
  <si>
    <t>Dilengkapi dengan kamus kecil, peta Alkitab &amp; ayat referensi</t>
  </si>
  <si>
    <t>225.52 L.49</t>
  </si>
  <si>
    <t>The New Life Testament</t>
  </si>
  <si>
    <t>Dilengkapi dengan kamus &amp; tempat peristiwa yang terjadi ketika Yesus lahir disertai referensi ayat.</t>
  </si>
  <si>
    <t>225.520410 N.I.V</t>
  </si>
  <si>
    <t>The Great News (The New Testament New International Version)</t>
  </si>
  <si>
    <t>551-05070-5</t>
  </si>
  <si>
    <t xml:space="preserve">225.5206 C.1 </t>
  </si>
  <si>
    <t>The Amplified New Testament (Twenty-Fourth Edition)</t>
  </si>
  <si>
    <t xml:space="preserve">Dilengkapi dengan biografi &amp; indeks pengarang </t>
  </si>
  <si>
    <t>Marshall, Morgan &amp; Scott Edinburgh</t>
  </si>
  <si>
    <t xml:space="preserve">225.520412 C.1 </t>
  </si>
  <si>
    <t>The New  Life Testament</t>
  </si>
  <si>
    <t>Dilengkapi dengan tempat peristiwa yang terjadi ketika Yesus lahir disertai referensi ayat.</t>
  </si>
  <si>
    <t>Christian Literature International</t>
  </si>
  <si>
    <t>0-647-50551-7</t>
  </si>
  <si>
    <t>225.520.1  LEV  NT-Level 27  Thn. 1995</t>
  </si>
  <si>
    <t>Level 27 (27 Personal Messages From The Creator of The Universe to You</t>
  </si>
  <si>
    <r>
      <rPr>
        <rFont val="Calibri"/>
        <color theme="1"/>
        <sz val="9.0"/>
      </rPr>
      <t xml:space="preserve">Good News For Modern Man (The New Testament In Today's English Version/ </t>
    </r>
    <r>
      <rPr>
        <rFont val="Calibri"/>
        <b/>
        <color rgb="FF000000"/>
        <sz val="9.0"/>
      </rPr>
      <t>Warna merah &amp; putih</t>
    </r>
    <r>
      <rPr>
        <rFont val="Calibri"/>
        <color rgb="FF000000"/>
        <sz val="9.0"/>
      </rPr>
      <t>)</t>
    </r>
  </si>
  <si>
    <t xml:space="preserve">Dilengkapi dengan kamus Alkitab &amp; peta Alkitab, daftar lokasi Lembaga Alkitab </t>
  </si>
  <si>
    <t xml:space="preserve">225.5204 C.1 </t>
  </si>
  <si>
    <r>
      <rPr>
        <rFont val="Calibri"/>
        <color theme="1"/>
        <sz val="9.0"/>
      </rPr>
      <t xml:space="preserve">Good News For Modern Man: The New Testament in Today's English. </t>
    </r>
    <r>
      <rPr>
        <rFont val="Calibri"/>
        <b/>
        <color rgb="FF000000"/>
        <sz val="9.0"/>
      </rPr>
      <t>(Warna Orange &amp; hitam)</t>
    </r>
  </si>
  <si>
    <t>Dilengkapi dengan kamus Alkitab, indeks &amp; peta Alkitab</t>
  </si>
  <si>
    <t>8423-0100-3</t>
  </si>
  <si>
    <t xml:space="preserve">225.52041 C.3 </t>
  </si>
  <si>
    <t>Living new Testament</t>
  </si>
  <si>
    <t xml:space="preserve">225.520.410 G.59 </t>
  </si>
  <si>
    <r>
      <rPr>
        <rFont val="Calibri"/>
        <color theme="1"/>
        <sz val="9.0"/>
      </rPr>
      <t xml:space="preserve">Good News For Modern Man: The New Testament in Today's English. </t>
    </r>
    <r>
      <rPr>
        <rFont val="Calibri"/>
        <b/>
        <color rgb="FF000000"/>
        <sz val="9.0"/>
      </rPr>
      <t>(Third Edition)</t>
    </r>
  </si>
  <si>
    <r>
      <rPr>
        <rFont val="Calibri"/>
        <color theme="1"/>
        <sz val="9.0"/>
      </rPr>
      <t xml:space="preserve">Good News For Modern Man: The New Testament in Today's English. </t>
    </r>
    <r>
      <rPr>
        <rFont val="Calibri"/>
        <b/>
        <color rgb="FF000000"/>
        <sz val="9.0"/>
      </rPr>
      <t>(Second Edition)</t>
    </r>
  </si>
  <si>
    <t>The Bible Society of Singapore &amp; Brunei</t>
  </si>
  <si>
    <r>
      <rPr>
        <rFont val="Calibri"/>
        <color theme="1"/>
        <sz val="9.0"/>
      </rPr>
      <t xml:space="preserve">The Living New Testament: Paraphrased </t>
    </r>
    <r>
      <rPr>
        <rFont val="Calibri"/>
        <b/>
        <color rgb="FF000000"/>
        <sz val="9.0"/>
      </rPr>
      <t>(Warna Hijau Muda)</t>
    </r>
  </si>
  <si>
    <t>0-564-04981-6</t>
  </si>
  <si>
    <t xml:space="preserve">225.52042 T.68 </t>
  </si>
  <si>
    <t>The Translator's New Testament (Warna Biru Tua)</t>
  </si>
  <si>
    <t>Dilengkapi dengan catatan terjemahan, peta Alkitab &amp; kosakata</t>
  </si>
  <si>
    <t>225.52045 H.74</t>
  </si>
  <si>
    <t>The New International Version (New Testament)</t>
  </si>
  <si>
    <t>Good News New Testament (The New Testament In Today's English Version / Fourth Edition)</t>
  </si>
  <si>
    <t>Dilengkapi dengan kamus Alkitab, indeks nama dan peta Alkitab</t>
  </si>
  <si>
    <t>0-564-04081-9</t>
  </si>
  <si>
    <t>New Testament: Good News Edition (Illustrated)</t>
  </si>
  <si>
    <t>Dilengkapi dengan kamus Alkitab, indeks, bacaan Firman Tuhan  harian</t>
  </si>
  <si>
    <t>The Bible Societies Collins/Fount</t>
  </si>
  <si>
    <t>3-438-02562-0</t>
  </si>
  <si>
    <t>225.51 G98</t>
  </si>
  <si>
    <t>Good News For Modern Man: Die Gute Nachricht (NT in Today's English in Heutigem Deutsch)</t>
  </si>
  <si>
    <r>
      <rPr>
        <rFont val="Calibri"/>
        <color theme="1"/>
        <sz val="9.0"/>
      </rPr>
      <t>American Bible Society &amp; W</t>
    </r>
    <r>
      <rPr>
        <rFont val="Calibri"/>
        <color rgb="FF000000"/>
        <sz val="9.0"/>
      </rPr>
      <t>ϋrttembergische Bibelanstalt Stuttgart</t>
    </r>
  </si>
  <si>
    <t>064750831-1</t>
  </si>
  <si>
    <t>To Wards The Goal The Prize: New Testament in Contemporary English</t>
  </si>
  <si>
    <t xml:space="preserve">New Testament Psalms </t>
  </si>
  <si>
    <t>0-647-50528-2</t>
  </si>
  <si>
    <t>Good News: New Testament Today's English Version</t>
  </si>
  <si>
    <t>Dilengkapi dengan kamus, indeks &amp; bacaan Alkitab harian</t>
  </si>
  <si>
    <t>225.520.410 TEV</t>
  </si>
  <si>
    <t>Discovery Good News New Testament (Today's English Version)</t>
  </si>
  <si>
    <t xml:space="preserve">Dilengkapi dengan kamus Alkitab, indeks, peta Alkitab, </t>
  </si>
  <si>
    <r>
      <rPr>
        <rFont val="Calibri"/>
        <color theme="1"/>
        <sz val="9.0"/>
      </rPr>
      <t xml:space="preserve">Good News Bible (Today's English Version/ </t>
    </r>
    <r>
      <rPr>
        <rFont val="Calibri"/>
        <b/>
        <color rgb="FF000000"/>
        <sz val="9.0"/>
      </rPr>
      <t>Warna Abu-abu)</t>
    </r>
  </si>
  <si>
    <t>Hol</t>
  </si>
  <si>
    <t>Dilengkapi dengan kamus Alkitab, Indeks, terjemahan septuaginta, &amp; bagan sejarah Alkitab &amp; nama Lembaga Alkitab sedunia</t>
  </si>
  <si>
    <t>220.48 AI.1.1</t>
  </si>
  <si>
    <t>Yunani &amp; Inggris</t>
  </si>
  <si>
    <t>Dilengkapi dengan indeks</t>
  </si>
  <si>
    <r>
      <rPr>
        <rFont val="Calibri"/>
        <color theme="1"/>
        <sz val="9.0"/>
      </rPr>
      <t>American Bible Society, British &amp; Foreign Bible Society, National Bible Society of Scotland, Netherlands Bible Society, W</t>
    </r>
    <r>
      <rPr>
        <rFont val="Calibri"/>
        <color rgb="FF000000"/>
        <sz val="9.0"/>
      </rPr>
      <t>ϋrttemberg Bible Society</t>
    </r>
  </si>
  <si>
    <t>0-647-50796-X</t>
  </si>
  <si>
    <t xml:space="preserve">225 TOW </t>
  </si>
  <si>
    <t>Towards The Goal (Games Edition)/ New Testament in Contemporary English</t>
  </si>
  <si>
    <t xml:space="preserve">225.520410 NT-CEV </t>
  </si>
  <si>
    <t>Bible For Today's Family (New Testament)</t>
  </si>
  <si>
    <t>C.2 225.520410 BFTF</t>
  </si>
  <si>
    <t>Dilengkapi dengan peta Alkitab &amp; kamus Alkitab</t>
  </si>
  <si>
    <t>971-130-059-1</t>
  </si>
  <si>
    <t>Good News: New Testament and Psalms (The New Testament in Today's English Version)</t>
  </si>
  <si>
    <t>American Bible Society &amp; Philippine Bible Society</t>
  </si>
  <si>
    <t>81-221-3078-X</t>
  </si>
  <si>
    <t>Winning Encounters (A Sports New Testament With The Testimonies of Athletes Who Are Winning In  Life)</t>
  </si>
  <si>
    <t xml:space="preserve">The Bible Society of India </t>
  </si>
  <si>
    <t>225.7 M.56</t>
  </si>
  <si>
    <t>A Textual Commentary On The Greek New Testament</t>
  </si>
  <si>
    <t xml:space="preserve">225.5203 C.1 </t>
  </si>
  <si>
    <t>New Testament &amp; Psalms</t>
  </si>
  <si>
    <t>Good News  (New Testament)</t>
  </si>
  <si>
    <t>The Bible Society of Papua New Guinea</t>
  </si>
  <si>
    <t>064750801-X</t>
  </si>
  <si>
    <t>New Testament (Contemporary English Version)</t>
  </si>
  <si>
    <t>The Living Bible: The Bible in Everyday Language for Everyone (Special Edition)</t>
  </si>
  <si>
    <t>Dilengkapi dengan  perpaduan terjemahan</t>
  </si>
  <si>
    <t>3-43805100-1</t>
  </si>
  <si>
    <t>225.495 C.1</t>
  </si>
  <si>
    <t>Novum Testamentum Graece (Nestle-Aland)</t>
  </si>
  <si>
    <t>Dilengkapi dengan beberapa catatan penting</t>
  </si>
  <si>
    <t>Deutsche Bibelstiftung Stuttgart</t>
  </si>
  <si>
    <t xml:space="preserve">225.5205 C.1 </t>
  </si>
  <si>
    <t>The New Life Testament (Warna Biru)</t>
  </si>
  <si>
    <t>225.520.82  NT &amp; Psalm - TEV  Thn. 1988</t>
  </si>
  <si>
    <t>The New Testament of the Good News Bible and Psalms</t>
  </si>
  <si>
    <t>Disertai dengan kamus Alkitab &amp; peta Alkitab</t>
  </si>
  <si>
    <t xml:space="preserve"> Philippine Bible Society</t>
  </si>
  <si>
    <t>978-978-8034-65-0</t>
  </si>
  <si>
    <t>220.520.3  SEL  Selected Passages  Thn. 1976</t>
  </si>
  <si>
    <t>Selected Passages from the Bible: The New testament and Selected Passages from The Old Testament-King Fjaws Versiaon</t>
  </si>
  <si>
    <t>Dilengkapi dengan Kata-kata yang sudah iubahkan</t>
  </si>
  <si>
    <t>New Testament (Today's English Version)</t>
  </si>
  <si>
    <t>Dielngkapi dengan kamus Alkitab</t>
  </si>
  <si>
    <t>225.5203 AME g</t>
  </si>
  <si>
    <t>Good News for a New Age (The New Testament / Revised Standard Version)</t>
  </si>
  <si>
    <r>
      <rPr>
        <rFont val="Calibri"/>
        <color theme="1"/>
        <sz val="9.0"/>
      </rPr>
      <t xml:space="preserve">Good News for a New Age (The New Testament / King James Version) </t>
    </r>
    <r>
      <rPr>
        <rFont val="Calibri"/>
        <i/>
        <color theme="1"/>
        <sz val="9.0"/>
      </rPr>
      <t>Ukurannya kecil</t>
    </r>
  </si>
  <si>
    <r>
      <rPr>
        <rFont val="Calibri"/>
        <color theme="1"/>
        <sz val="9.0"/>
      </rPr>
      <t xml:space="preserve">Good News New Testament (Today's English Version) </t>
    </r>
    <r>
      <rPr>
        <rFont val="Calibri"/>
        <i/>
        <color rgb="FF000000"/>
        <sz val="9.0"/>
      </rPr>
      <t>Ukurannya kecil</t>
    </r>
  </si>
  <si>
    <t xml:space="preserve">Disertai dengan kamus Alkitab </t>
  </si>
  <si>
    <t xml:space="preserve">225.495 C.1 </t>
  </si>
  <si>
    <t xml:space="preserve"> H KAINH ΔΘΗΚΗ </t>
  </si>
  <si>
    <t>BIBΔIKH ETAIPIA</t>
  </si>
  <si>
    <t>225.52043 C.1</t>
  </si>
  <si>
    <t>Dilengkapi dengan keselarasan keempat Injil</t>
  </si>
  <si>
    <t xml:space="preserve">225.52043 C.1 POC </t>
  </si>
  <si>
    <t>Good News for a New Age/ Revised Standard Version</t>
  </si>
  <si>
    <t xml:space="preserve">225.52041 C.2 </t>
  </si>
  <si>
    <t>Good News For Modern Man: The New Testament (Today's English Version/ Third Edition)</t>
  </si>
  <si>
    <t>The New Testament of Our Lord and Saviour Jesus Christ with Psalms &amp; Proverbs</t>
  </si>
  <si>
    <t>Good News for Modern Man (The New Testament Today's English Version)</t>
  </si>
  <si>
    <t xml:space="preserve">225.52043 C.3 </t>
  </si>
  <si>
    <t>Good News For A New Age (The New Testament King james Version)</t>
  </si>
  <si>
    <t>Dilengkapi dengan peta Akitab</t>
  </si>
  <si>
    <t>New Testament: of Our Lord and Saviour Jesus Christ</t>
  </si>
  <si>
    <t>9980-63-051-5</t>
  </si>
  <si>
    <t>Good News (New Testament/ Today's English Version)</t>
  </si>
  <si>
    <t>220.520.82  HOL</t>
  </si>
  <si>
    <t>Holy Bible Good News Translation</t>
  </si>
  <si>
    <t>Dilengkapi kamus dan Peta</t>
  </si>
  <si>
    <t>\</t>
  </si>
  <si>
    <t>981-3099-53-4</t>
  </si>
  <si>
    <t xml:space="preserve">Holy Bible - New International Version </t>
  </si>
  <si>
    <t>220.520.82  GOO</t>
  </si>
  <si>
    <t>Good News Bible - Australian Edition</t>
  </si>
  <si>
    <t>The Bible Society Australi</t>
  </si>
  <si>
    <t>220.520.81  HOL  The Holy Bible- NIV  Thn. 1984</t>
  </si>
  <si>
    <t xml:space="preserve">     220.520.3     HOL  Holy Bible (KJV)  Thn. 1992</t>
  </si>
  <si>
    <t>Holy Bible King James Version</t>
  </si>
  <si>
    <t>0-647-50741-2</t>
  </si>
  <si>
    <t xml:space="preserve">     220.520.1     COU</t>
  </si>
  <si>
    <t>On Course - The New Testament in Contemporary English with Introduction Golfers</t>
  </si>
  <si>
    <t>The Bible Society in Australia Inc.</t>
  </si>
  <si>
    <t xml:space="preserve">     220.520.8     HOL</t>
  </si>
  <si>
    <t>The Holy Bible Containing the Old And New Testaments</t>
  </si>
  <si>
    <t>Birma</t>
  </si>
  <si>
    <t>Buemese</t>
  </si>
  <si>
    <t>978-971-29-1054-8</t>
  </si>
  <si>
    <t xml:space="preserve">         225.520.8            NEW</t>
  </si>
  <si>
    <t xml:space="preserve">        225.520.1         CON</t>
  </si>
  <si>
    <t>Contemporary English Version - Life Source The Handbook For Life</t>
  </si>
  <si>
    <t xml:space="preserve">          220.04         AMP</t>
  </si>
  <si>
    <t>Zondervan Publishing</t>
  </si>
  <si>
    <t>225.520.83  HOL  The Holy Bible - NLT, Thn. 2009</t>
  </si>
  <si>
    <t>The Holy Bible - New Living Translation</t>
  </si>
  <si>
    <t>220.520.1  NEW  The New American Bible, 1983</t>
  </si>
  <si>
    <t>The New American Bible - The New Catholic Translation</t>
  </si>
  <si>
    <t>220.520.81  NIV  Alk. NIV  Thn. 1985</t>
  </si>
  <si>
    <t>The NIV - Study Bible - 10 th Anniversary Edition</t>
  </si>
  <si>
    <t>233</t>
  </si>
  <si>
    <t>220.520.82  GOO  Alk - T.E.V  Thn. 2001</t>
  </si>
  <si>
    <t>Good News Bible - Revised Edition  Thn. 2001</t>
  </si>
  <si>
    <t>Bible Society in Australia</t>
  </si>
  <si>
    <t>234</t>
  </si>
  <si>
    <t>220.520 82  GOO Alk. T.E.V  Thn. 1986</t>
  </si>
  <si>
    <t>Good News Bible Todays English Version ( TEV) Thn. 1986</t>
  </si>
  <si>
    <t>235</t>
  </si>
  <si>
    <t>220.520.43  HOL  The Holy Bible - New Revised Standard Version  Thn. 1989</t>
  </si>
  <si>
    <t>Holy Bible -  New Revised Standard Version Thn. 1989</t>
  </si>
  <si>
    <t>World Bible Publisher, Inc.</t>
  </si>
  <si>
    <t>236</t>
  </si>
  <si>
    <t>220.520.3  HOL  Alk. King James  Thn. 1971</t>
  </si>
  <si>
    <t>Holy Bible - King James Version  Thn. 1971</t>
  </si>
  <si>
    <t>Associated - Publisher and Authors Inc Grand Rapids, Mich</t>
  </si>
  <si>
    <t>237</t>
  </si>
  <si>
    <t>220.520.7  JER  Alk. Jerusalem  Thn. 1968</t>
  </si>
  <si>
    <t>The Jerusalem Bible -School Edition Thn. 1968</t>
  </si>
  <si>
    <t>Darton, Longman &amp; Todd</t>
  </si>
  <si>
    <t>238</t>
  </si>
  <si>
    <t>220.520.6  NEW  the new English Bible  Thn. 1970</t>
  </si>
  <si>
    <t>The New English Bible - Thn. 1970</t>
  </si>
  <si>
    <t>239</t>
  </si>
  <si>
    <t>225.499.12  TAR  NT - Hiri Motu  Thn. 1982</t>
  </si>
  <si>
    <t>Nt - Hiri Motu  Thn. 1982</t>
  </si>
  <si>
    <t>Hiri Motu</t>
  </si>
  <si>
    <t>Bible Society of Papua New Guinea</t>
  </si>
  <si>
    <t>240</t>
  </si>
  <si>
    <t>220.520.82  GOO  Good News Bible ( Australian Edition )  Thn. 1992</t>
  </si>
  <si>
    <t>Good News Bible - Australian Edition  Thn. 1992</t>
  </si>
  <si>
    <t>Australia Bible Society</t>
  </si>
  <si>
    <t>241</t>
  </si>
  <si>
    <t>225.520.82  GOO  NT- TEV (Today's English Version ) Thn. 1976</t>
  </si>
  <si>
    <t>NT - Good News Testaments  Today's English Version ( TEV), Thn. 1976</t>
  </si>
  <si>
    <t>242</t>
  </si>
  <si>
    <t>225.520.1  COU  NT - Contemporary English  Thn. 1998</t>
  </si>
  <si>
    <t>On Course The New Testament in Contemporary English with Introduction to Golfers</t>
  </si>
  <si>
    <t>243</t>
  </si>
  <si>
    <t>220.520.82  GOO Good News For Modern Man - The NT TEV  Thn. 1966</t>
  </si>
  <si>
    <t>Good News For Modern Man - The NT (TEV)  Thn. 1966</t>
  </si>
  <si>
    <t>244</t>
  </si>
  <si>
    <t>220.520.1  HOL Holy Bible  Thn. 2000</t>
  </si>
  <si>
    <t>Holy Bible  Thn. 2000</t>
  </si>
  <si>
    <t>World Bible Translation Center</t>
  </si>
  <si>
    <t>245</t>
  </si>
  <si>
    <t>0 647 16253 9</t>
  </si>
  <si>
    <t>220.520.82  GOO  Good News Bible (TEV)  Thn. 2000</t>
  </si>
  <si>
    <t>246</t>
  </si>
  <si>
    <t>220.520.6  NEW  The New English Bible With Apocrypha, Thn. 1970</t>
  </si>
  <si>
    <t>The New English Bible - With Apocrypha, Thn. 1970</t>
  </si>
  <si>
    <t>Oxford University Press, Cambridge University Press</t>
  </si>
  <si>
    <t>247</t>
  </si>
  <si>
    <t>220.520.6  NEW  The New English Bible With Apocrypha, Thn. 1971</t>
  </si>
  <si>
    <t>The New English Bible - With Apocrypha, Thn. 1971</t>
  </si>
  <si>
    <t>248</t>
  </si>
  <si>
    <t>225.520.82  DIS  Discovery Good News NT - TEV  Thn. 1977</t>
  </si>
  <si>
    <t>Discovery Good News NT - TEV  Thn. 1977</t>
  </si>
  <si>
    <t>249</t>
  </si>
  <si>
    <t>220.6'1  FEE  e</t>
  </si>
  <si>
    <t>The Eerdmans Companion to the Bible</t>
  </si>
  <si>
    <t>250</t>
  </si>
  <si>
    <t>978-0-06-078684-7</t>
  </si>
  <si>
    <t>220.520.43  The Harper Collins Study Bible Tahun 2006</t>
  </si>
  <si>
    <t>New Revised Standard Version   - The Harper Collins Study Bible  Thn. 2006</t>
  </si>
  <si>
    <t>251</t>
  </si>
  <si>
    <t>220.520.1  NEW  The New Life Testament  Thn. 1969</t>
  </si>
  <si>
    <t>Christian Literature</t>
  </si>
  <si>
    <t>252</t>
  </si>
  <si>
    <t>220.520.83  LIV  The Living Bible  Thn. 1972</t>
  </si>
  <si>
    <t>The Living Bible- Parapharased  Thn. 1972</t>
  </si>
  <si>
    <t>Hodder And Stoughton and Coverdale House Publisher</t>
  </si>
  <si>
    <t>253</t>
  </si>
  <si>
    <t>220.520.43  HOL  Holy Bible - NRSV    Thn. 1989</t>
  </si>
  <si>
    <t>Holy Bible - The New evised Standard Version  Thn. 1989</t>
  </si>
  <si>
    <t>254</t>
  </si>
  <si>
    <t>0 647 50551 7</t>
  </si>
  <si>
    <t>225.520.1  LEV  NT - Level 27  Thn. 1994</t>
  </si>
  <si>
    <t>Level 27</t>
  </si>
  <si>
    <t>255</t>
  </si>
  <si>
    <t>81-221-2489-5</t>
  </si>
  <si>
    <t>220.04  BIB  Ronie's Bible  Thn. 2007</t>
  </si>
  <si>
    <t>Ronnie's Bible  Thn. 2007</t>
  </si>
  <si>
    <t>Bible Society of India</t>
  </si>
  <si>
    <t>256</t>
  </si>
  <si>
    <t>9781 9376 28239</t>
  </si>
  <si>
    <t>225.520.82  HOL  NT-TEV  Thn. 2012</t>
  </si>
  <si>
    <t>New Testament - Good News Tranlations</t>
  </si>
  <si>
    <t>Good News Translation ( GNT )</t>
  </si>
  <si>
    <t>257</t>
  </si>
  <si>
    <t>220.520.5  HOL  New American Standard Bible  Thn. 1991</t>
  </si>
  <si>
    <t>Holy Bible New American Standard Bible</t>
  </si>
  <si>
    <t>258</t>
  </si>
  <si>
    <t>225.520.83  HOL  NT Holy Bible ( NLT )  Thn. 1997</t>
  </si>
  <si>
    <t>259</t>
  </si>
  <si>
    <t>225.520.4  NEW  The NT-Recovery Version  Thn. 1991</t>
  </si>
  <si>
    <t>260</t>
  </si>
  <si>
    <t>220.520.1  HOL Holy Bible -CEV CHILD Thn. 1995</t>
  </si>
  <si>
    <t>Holy Bible - Contemporary English Version</t>
  </si>
  <si>
    <t>261</t>
  </si>
  <si>
    <t>9780840 710918</t>
  </si>
  <si>
    <t>220.949.4  NEW  New Geneva Study Bible  Thn. 1995</t>
  </si>
  <si>
    <t>New Geneva Study Bible</t>
  </si>
  <si>
    <t>262</t>
  </si>
  <si>
    <t>220.520.1  HOL Royal Sovereign Slim Personal</t>
  </si>
  <si>
    <t>Royal Sovereign Slim Personal Reference Bible  ( Holy bible )</t>
  </si>
  <si>
    <t>World Bible Pulishers</t>
  </si>
  <si>
    <t>263</t>
  </si>
  <si>
    <t>0 647 50801 X</t>
  </si>
  <si>
    <t>225.520.1  NEW  NT-TEV  Thn. 2002</t>
  </si>
  <si>
    <t>New Testaments Contemporary English Version (Revised edition)  Thn. 2002</t>
  </si>
  <si>
    <t xml:space="preserve">225.520.3 NEW  NT-KJ  Thn. 1964  </t>
  </si>
  <si>
    <t>New Testament &amp; Psalm</t>
  </si>
  <si>
    <t>265</t>
  </si>
  <si>
    <t>220.520.82  GOO  Good News NT-TEV  Thn. 1979</t>
  </si>
  <si>
    <t>Good News New Testament- Today's English Version (TEV)  thn. 1979</t>
  </si>
  <si>
    <t>225.51  NEW  NT Tai-China  Thn. 2008</t>
  </si>
  <si>
    <t>Nt Tai - China  Thn. 2008</t>
  </si>
  <si>
    <t>Tai-China</t>
  </si>
  <si>
    <t>220.520.83  HOL  English Standard Version  Thn. 2014</t>
  </si>
  <si>
    <t>The Holy Bible English Standard Version - NLT, Parallel Edition</t>
  </si>
  <si>
    <t>268</t>
  </si>
  <si>
    <t>2220.520.3  TIN  Tiny Finger  The Children's Holy Bible  Thn. 1987</t>
  </si>
  <si>
    <t>Tiny Finger Bible -The Children's Holy Bible  Old &amp; New Testament In The  KJV</t>
  </si>
  <si>
    <t>269</t>
  </si>
  <si>
    <t>978-1-4143-3929-0</t>
  </si>
  <si>
    <t>220.520.1  CHR  Chronological Life Application Study Bible  Thn</t>
  </si>
  <si>
    <t>Chronological Life Application Study Bible - NLT</t>
  </si>
  <si>
    <t>Canonical Table Of Contents, Chronological Survey of the Bible,Penjelasan Kitab, Kamus, Peta</t>
  </si>
  <si>
    <t>Tyndale House Publisher, Inc.</t>
  </si>
  <si>
    <t>270</t>
  </si>
  <si>
    <t>220.520.83  HOL  Holy Bible - NLT  Thn. 1996</t>
  </si>
  <si>
    <t>Holy Bible New Living Translation - Giant Print Edition</t>
  </si>
  <si>
    <t>271</t>
  </si>
  <si>
    <t>978-0310-903338</t>
  </si>
  <si>
    <t>220.520.81  COM  Comparative Study Bible  Thn. 1999</t>
  </si>
  <si>
    <t>NIV KJV Comparative Study Bible - NASB AMP</t>
  </si>
  <si>
    <t>272</t>
  </si>
  <si>
    <t>978-0-7180-2068-2</t>
  </si>
  <si>
    <t>220.520.3  CHR  Chronological Study Bible  Thn. 2008</t>
  </si>
  <si>
    <t>Chronological Study Bible - NKJV Thn. 2008</t>
  </si>
  <si>
    <t>Kamus, Peta Notes</t>
  </si>
  <si>
    <t>273</t>
  </si>
  <si>
    <t>978-0-19-529000-4</t>
  </si>
  <si>
    <t>220.520.6  OXF  Oxford Study Bible  Thn. 1992</t>
  </si>
  <si>
    <t>The Oxford Study Bible - Revised English Bible with Apocrypha  Thn. 1992</t>
  </si>
  <si>
    <t>Kamus, Peta</t>
  </si>
  <si>
    <t>274</t>
  </si>
  <si>
    <t>1-57683-454-9</t>
  </si>
  <si>
    <t>220.520.8  MES  The Message  Thn.2003</t>
  </si>
  <si>
    <t>The Message // Remix - The Bible In Contemporary Language</t>
  </si>
  <si>
    <t>275</t>
  </si>
  <si>
    <t>0-06-064923-2</t>
  </si>
  <si>
    <t>220.4  LAM  h</t>
  </si>
  <si>
    <t>Holy Bible From The Ancient Easter Text</t>
  </si>
  <si>
    <t>Peta</t>
  </si>
  <si>
    <t>Harper &amp; Row  Publisher</t>
  </si>
  <si>
    <t>276</t>
  </si>
  <si>
    <t xml:space="preserve">        220.5'2                    WHI             k</t>
  </si>
  <si>
    <t>277</t>
  </si>
  <si>
    <t>220.520.82  GOO  Good New Children's Bible - TEV  Thn. 2001</t>
  </si>
  <si>
    <t>The Good News Children's Bible - TEV</t>
  </si>
  <si>
    <t>278</t>
  </si>
  <si>
    <t>1-58516-034-2</t>
  </si>
  <si>
    <t>220.520.3  HOL Holy Bible - KJV " Extra Large Print "</t>
  </si>
  <si>
    <t>Holy Bible - King James Version</t>
  </si>
  <si>
    <t>279</t>
  </si>
  <si>
    <t>978-1-58516-151-9</t>
  </si>
  <si>
    <t>220.520.3  HOL  Holy Bible - KJV</t>
  </si>
  <si>
    <t>280</t>
  </si>
  <si>
    <t>0-8407-0459-3</t>
  </si>
  <si>
    <t>220.520.1  PRO  The Promise - CEV  Thn.</t>
  </si>
  <si>
    <t>The Promise - Contemporary English Version  Thn. 1995</t>
  </si>
  <si>
    <t>281</t>
  </si>
  <si>
    <t>0-310-93728-0</t>
  </si>
  <si>
    <t>220.520.81  NIV  The NIV Serendipity  Thn. 1990</t>
  </si>
  <si>
    <t>The NIV Serendipity Bible  For Study Groups  Thn. 1990</t>
  </si>
  <si>
    <t>Zondervan Bible Publisher</t>
  </si>
  <si>
    <t>282</t>
  </si>
  <si>
    <t>978-0-9822405-0-2</t>
  </si>
  <si>
    <t>220.520.3  CHR The Christian Walk Bible  Thn. 2009</t>
  </si>
  <si>
    <t>The Christian Walk Bible - KJV</t>
  </si>
  <si>
    <t>World to World</t>
  </si>
  <si>
    <t>283</t>
  </si>
  <si>
    <t>981 3099 53 4</t>
  </si>
  <si>
    <t>220.520.81  HOL  The Holy Bible- NIV  Thn. 1991</t>
  </si>
  <si>
    <t>Hly Bible - NIV  Thn. 1991</t>
  </si>
  <si>
    <t>284</t>
  </si>
  <si>
    <t>1-56320-285-9</t>
  </si>
  <si>
    <t>220.520.81  Hol  The Holy Bible - NIV  Thn. 2011</t>
  </si>
  <si>
    <t>220.520.81  HOL  The Holy Bible - NIV  Thn. 2011</t>
  </si>
  <si>
    <t>Biblica</t>
  </si>
  <si>
    <t>285</t>
  </si>
  <si>
    <t>220.520.3  HOL  The Holy Bible Authorized KJV</t>
  </si>
  <si>
    <t xml:space="preserve">The Holy Bible - Authorized Version  </t>
  </si>
  <si>
    <t>Eyre And Spottiswoode</t>
  </si>
  <si>
    <t>286</t>
  </si>
  <si>
    <t>978-1401-7514-1</t>
  </si>
  <si>
    <t>220.520.1  MOD  The Modern Life Bible Study - NKJV  Thn. 2014</t>
  </si>
  <si>
    <t>The Modern Life Study Bible - God's Word For Our World - NKJV</t>
  </si>
  <si>
    <t>287</t>
  </si>
  <si>
    <t>0-310-91493-6</t>
  </si>
  <si>
    <t>220.520.3  KJV  KJV - Study Bible  Thn. 2002</t>
  </si>
  <si>
    <t>Zondervan - KJV Study Bible</t>
  </si>
  <si>
    <t>288</t>
  </si>
  <si>
    <t>220.520.3  HOL  Holy Bible - Dictionary, Study Helps  Thn. 1989</t>
  </si>
  <si>
    <t>Holy Bible - Dictionary, Study Helps</t>
  </si>
  <si>
    <t>289</t>
  </si>
  <si>
    <t>220.520.43  HOL  The Holy Bible Containing The OT and NT- NRSV  Thn. 1990</t>
  </si>
  <si>
    <t>The Holy Bible Containing the Old And New Testaments - New Revised Standard Version</t>
  </si>
  <si>
    <t>290</t>
  </si>
  <si>
    <t>220.520.43  HOL  The Holy Bible The OT &amp; NT  Thn. 1989</t>
  </si>
  <si>
    <t>The Holy Bible Containing The OT and NT - NRSV  Thn. 1989</t>
  </si>
  <si>
    <t>291</t>
  </si>
  <si>
    <t>220.520.3  HOL  Holy Bible - KJV  Thn. 1965</t>
  </si>
  <si>
    <t>Holy Bible - King JamesVersion  - American Bible Society  Thn. 1965</t>
  </si>
  <si>
    <t>292</t>
  </si>
  <si>
    <t>220.520.3  HOL  The Holy Bible - RSV  Thn. 1965</t>
  </si>
  <si>
    <t>Dilengkapi Preface, Peta</t>
  </si>
  <si>
    <t>293</t>
  </si>
  <si>
    <t>220.520.82  HOL  Holy Bible - Good News Translation</t>
  </si>
  <si>
    <t>Holy Bible Good News Translation - American Bible Society</t>
  </si>
  <si>
    <t>294</t>
  </si>
  <si>
    <t>220.520.3  HOL  Holy Bible - KJV   (Box )</t>
  </si>
  <si>
    <t>Holy Bible- King James Version</t>
  </si>
  <si>
    <t>Collins Clear Type Press</t>
  </si>
  <si>
    <t>295</t>
  </si>
  <si>
    <t>220.520.3  HOL  The Holy Bible - KJV</t>
  </si>
  <si>
    <t xml:space="preserve">The Holy Bible - King James Version  </t>
  </si>
  <si>
    <t>296</t>
  </si>
  <si>
    <t>Holy Bible - King James Version  Thn. 1986</t>
  </si>
  <si>
    <t>World Bible Publisher</t>
  </si>
  <si>
    <t>297</t>
  </si>
  <si>
    <t>220.520.3  HOL The Holy Bible - KJV  Thn. 1966</t>
  </si>
  <si>
    <t>Holy Bible - The British and Foreign Bible Society  Thn. 1966</t>
  </si>
  <si>
    <t>298</t>
  </si>
  <si>
    <t>220.520.13  HOL  Holy Bible - Illustrated  Thn. 1974</t>
  </si>
  <si>
    <t>Holy Bible Illustrated Thn. 1974</t>
  </si>
  <si>
    <t>299</t>
  </si>
  <si>
    <t>220.520.1  HOL  The Holy Bible  Thn. 1983</t>
  </si>
  <si>
    <t>The Holy Bible - Majesty's Special Command</t>
  </si>
  <si>
    <t>300</t>
  </si>
  <si>
    <t>220.520.1  BIB  The Bible  Thn. 1966</t>
  </si>
  <si>
    <t>The Bible Authorized Version</t>
  </si>
  <si>
    <t>British &amp; Foreign Bible Society</t>
  </si>
  <si>
    <t>301</t>
  </si>
  <si>
    <t>220.520.3  HOL  Holy Bible KJV/CUNP  Thn. 1988</t>
  </si>
  <si>
    <t>Holy Bible - King James Version / Chinese Union Version  Thn. 1988</t>
  </si>
  <si>
    <t>Hongkong Bible Society</t>
  </si>
  <si>
    <t>302</t>
  </si>
  <si>
    <t xml:space="preserve">225.520.3  HOL  The Holy  Bible - KJV  </t>
  </si>
  <si>
    <t>Holy Bible - Reference Edition</t>
  </si>
  <si>
    <t>303</t>
  </si>
  <si>
    <t>0-385-01189-X</t>
  </si>
  <si>
    <t>220.520.7  JER  ( Reader's Edition )</t>
  </si>
  <si>
    <t>The Jerusalem Bible - Reader's Edition</t>
  </si>
  <si>
    <t>Chronological Table, Map</t>
  </si>
  <si>
    <t>304</t>
  </si>
  <si>
    <t>225.44  GRE</t>
  </si>
  <si>
    <t xml:space="preserve">The Greek New Testament - According To The Majority Text </t>
  </si>
  <si>
    <t>305</t>
  </si>
  <si>
    <t xml:space="preserve">   225.04  PER  n</t>
  </si>
  <si>
    <t>The New Testament - An Introduction Second Edition</t>
  </si>
  <si>
    <t>Norman Perrin, Dennis C. Duling</t>
  </si>
  <si>
    <t>306</t>
  </si>
  <si>
    <t>225.520.82  GOO  NT- TEV (Today's English Version ) Thn. 1984</t>
  </si>
  <si>
    <t>Good News New Testaments - Today's English Version</t>
  </si>
  <si>
    <t>307</t>
  </si>
  <si>
    <t>225.520.82  NEW NT - TEV  Thn. 1968</t>
  </si>
  <si>
    <t>Good News For Modern Man - The New Testament Today's English Version</t>
  </si>
  <si>
    <t>308</t>
  </si>
  <si>
    <t>225.57 Mosoq Rimanakuy PB. Quechua Cuzco 1986</t>
  </si>
  <si>
    <t>Mosoq Rimanakuynin (El Nuevo Testamento)</t>
  </si>
  <si>
    <t>Peru</t>
  </si>
  <si>
    <t>Quechua del Cuzco &amp;  Y En Espanol</t>
  </si>
  <si>
    <t xml:space="preserve">Sociedad Biblica Peruana </t>
  </si>
  <si>
    <t>309</t>
  </si>
  <si>
    <t xml:space="preserve">225.7287 C.1 </t>
  </si>
  <si>
    <t xml:space="preserve">Pap Tummat Karta </t>
  </si>
  <si>
    <t>Cuna (San Blas Island)</t>
  </si>
  <si>
    <t>International Bible Association</t>
  </si>
  <si>
    <t>310</t>
  </si>
  <si>
    <t xml:space="preserve">225.8662 C.3 </t>
  </si>
  <si>
    <t>Mushuj Testamento</t>
  </si>
  <si>
    <t>Quechua, Imbabura</t>
  </si>
  <si>
    <t>Dilengkapi dengan peta Alkitab &amp; kamus</t>
  </si>
  <si>
    <t>Sociedades Biblicas Unidas</t>
  </si>
  <si>
    <t>311</t>
  </si>
  <si>
    <t>Novo Testamento (O Novo Testamento De Nosso Senhor Jesus Cristo)</t>
  </si>
  <si>
    <t>Brazil</t>
  </si>
  <si>
    <t>Sociedade Biblica Do Brasil</t>
  </si>
  <si>
    <t>312</t>
  </si>
  <si>
    <t xml:space="preserve">225.8661 C.2 </t>
  </si>
  <si>
    <t>Dios Rimashca Shimicunami : Dios Q'uipata Quillcachishcami</t>
  </si>
  <si>
    <t>Quichua del Ecuador, Chimborazo (NT)</t>
  </si>
  <si>
    <t xml:space="preserve">Sociedades Biblicas Unidas Quito </t>
  </si>
  <si>
    <t>313</t>
  </si>
  <si>
    <t>225.469 C.1</t>
  </si>
  <si>
    <t>O Novo Testamento De Nosso Senhor Jesus Cristo</t>
  </si>
  <si>
    <t>Alk / PB Eropa</t>
  </si>
  <si>
    <t>225.440  BON  NT - French  Thn. 1971</t>
  </si>
  <si>
    <t>Bonnes Nouvelles Aujourd'Hui: Le Nouveau Testament traduit en francais courant d'apres le texte grec</t>
  </si>
  <si>
    <t>Francais</t>
  </si>
  <si>
    <t>Dilengkapi dengna peta Alkitab</t>
  </si>
  <si>
    <t>225.982  DIO  NT - Spanyol  Thn. 1966</t>
  </si>
  <si>
    <t>DIOS  LLEGA AL HOMBRE: El Nuevo Testamento</t>
  </si>
  <si>
    <t>Sociedades Biblicas En America Latina</t>
  </si>
  <si>
    <t xml:space="preserve">225.810 C.1 </t>
  </si>
  <si>
    <t>A Biblia Na Linguagem De Hoje (O Novo Testamento)</t>
  </si>
  <si>
    <t>Dielngkapi dengan kosakata &amp; peta Alkitab</t>
  </si>
  <si>
    <t>90-6126-063-9</t>
  </si>
  <si>
    <t>221.439.31  VAN  NT - Dutch  Thn. 1974</t>
  </si>
  <si>
    <t>een keuze uit het oude testament in chronologische volgorde</t>
  </si>
  <si>
    <t>Dilengkapi dengan indeks setiap kitab</t>
  </si>
  <si>
    <t xml:space="preserve">225.541 N85 </t>
  </si>
  <si>
    <t>Nouveau Testament</t>
  </si>
  <si>
    <t xml:space="preserve">N.T. Francais TOB </t>
  </si>
  <si>
    <t xml:space="preserve">225.430 WOM </t>
  </si>
  <si>
    <t>Womit wir leben kӧnnen</t>
  </si>
  <si>
    <t>Kreuz-Verlag Stuttgart</t>
  </si>
  <si>
    <t xml:space="preserve">225.6731 C.1 </t>
  </si>
  <si>
    <t>Usendo Waha</t>
  </si>
  <si>
    <t>Angola</t>
  </si>
  <si>
    <t>en Chokwe</t>
  </si>
  <si>
    <t>Sociedade Biblica em Angola</t>
  </si>
  <si>
    <t>82-541-0245-7</t>
  </si>
  <si>
    <t>225.439.82  DET  NT -  Norwegia  Thn. 1988</t>
  </si>
  <si>
    <t xml:space="preserve"> Det nye testamente og  Salmenes Bok</t>
  </si>
  <si>
    <t>Det Norske Bibelselskaps Forlag</t>
  </si>
  <si>
    <t>3-438-02502-7</t>
  </si>
  <si>
    <t>225.430  DIE  NT - German  Thn. 1971</t>
  </si>
  <si>
    <t>Die Gute Nachricht: Das Neue Testament in heutigem Deutsch</t>
  </si>
  <si>
    <t>Dielngkapi dengan  peta Alkitab</t>
  </si>
  <si>
    <t>Bibelanstalt Stuttgart</t>
  </si>
  <si>
    <t xml:space="preserve">225.438 C.1 ILL </t>
  </si>
  <si>
    <t>Mata Biblia dla dzieci: z kolorowymi ilustracjami</t>
  </si>
  <si>
    <t>Polandia</t>
  </si>
  <si>
    <t>225.67512 C.1</t>
  </si>
  <si>
    <t>Fana Ngbango</t>
  </si>
  <si>
    <t>Kongo</t>
  </si>
  <si>
    <t>Swahili</t>
  </si>
  <si>
    <t xml:space="preserve">Dilengkapi dengan peta Alkitab  </t>
  </si>
  <si>
    <t>La Société Biblique du Zaïre</t>
  </si>
  <si>
    <t>225.460  PAL  NT - Spanyol  Thn. 1988</t>
  </si>
  <si>
    <t>La palabra De Vida</t>
  </si>
  <si>
    <t xml:space="preserve">Sociedades Biblicas Unidas </t>
  </si>
  <si>
    <t>3-438-02532-9</t>
  </si>
  <si>
    <t>225.430  NT  - German  Thn. 1973</t>
  </si>
  <si>
    <t xml:space="preserve">Gute Nachricht erklärt: Das Neue Testament in heutigem Deutsch mit Einleitungen und Erklärungen </t>
  </si>
  <si>
    <t>3-438-02500-0</t>
  </si>
  <si>
    <t>Die Gute Nachrich - Das Neue Testament in Heutigem Deutsch</t>
  </si>
  <si>
    <t>Dilengkapi dengan peta Alkitab &amp; penjelasan yang tepat</t>
  </si>
  <si>
    <t>225.430  DIE  NT - German  Thn. 1976</t>
  </si>
  <si>
    <t>Die Gute Nachricht (Das Neue Testament in heutigem Deutsch)</t>
  </si>
  <si>
    <t>Dilengkapi dengan kamus, indeks, &amp; peta Alkitab</t>
  </si>
  <si>
    <t>91-7038-255-7</t>
  </si>
  <si>
    <t xml:space="preserve">225.485 C.1 </t>
  </si>
  <si>
    <t>Nya testamentet</t>
  </si>
  <si>
    <t>Swensk</t>
  </si>
  <si>
    <t>Dilengkapi dengan pembagian judul</t>
  </si>
  <si>
    <t>Evangeliipress</t>
  </si>
  <si>
    <t>90-6126-114-7</t>
  </si>
  <si>
    <t xml:space="preserve">225.492 C.1 </t>
  </si>
  <si>
    <t>Groot Nieuws voor u (hetnieuwe testament in de omgangstaal)</t>
  </si>
  <si>
    <t>Belanda Sehari-hari</t>
  </si>
  <si>
    <t>Dilengkapi dengan kamus &amp; indeks</t>
  </si>
  <si>
    <t>Nederlandsch Bijbelgenootschap &amp; Katholieke Bijbelstichting</t>
  </si>
  <si>
    <t>Novo Testamento (De Nosso Senhor Jesus Cristo)</t>
  </si>
  <si>
    <t>Portugal</t>
  </si>
  <si>
    <t>Sociedade Biblica</t>
  </si>
  <si>
    <t>90-6126801-X</t>
  </si>
  <si>
    <t>Dilengkapi dengan kamus, indeks &amp;  peta Alkitab</t>
  </si>
  <si>
    <t>90-6126-101-5</t>
  </si>
  <si>
    <t xml:space="preserve">225.481 C.1 </t>
  </si>
  <si>
    <t>Det nye testamenteog Salmenes bok</t>
  </si>
  <si>
    <t>Dansk</t>
  </si>
  <si>
    <t>225.821 C.1</t>
  </si>
  <si>
    <t>Dios Nvita Na Shiýaxauapi</t>
  </si>
  <si>
    <t>Argentina</t>
  </si>
  <si>
    <t xml:space="preserve">225.596 B 48 </t>
  </si>
  <si>
    <t>Bikalar Bi Kunda Puo Na Minsea Mihnluma</t>
  </si>
  <si>
    <t>Ngoumba</t>
  </si>
  <si>
    <t>Société Biblique Cameroun - Gabon</t>
  </si>
  <si>
    <t xml:space="preserve">225.531 G.98 </t>
  </si>
  <si>
    <t xml:space="preserve">225.462 C.2 </t>
  </si>
  <si>
    <t>La Palabra De Vida</t>
  </si>
  <si>
    <t>225.479 C.1</t>
  </si>
  <si>
    <r>
      <rPr>
        <rFont val="Calibri"/>
        <color rgb="FF000000"/>
        <sz val="12.0"/>
      </rPr>
      <t>ახალი  ალთქმა               და  ფსალმუნი</t>
    </r>
    <r>
      <rPr>
        <rFont val="Calibri"/>
        <b/>
        <color rgb="FF000000"/>
        <sz val="12.0"/>
      </rPr>
      <t xml:space="preserve"> (New Testament and Psalms in The Georgian Language)</t>
    </r>
  </si>
  <si>
    <t>Georgian</t>
  </si>
  <si>
    <t xml:space="preserve">Bibelen for små og store </t>
  </si>
  <si>
    <t xml:space="preserve">Norsk </t>
  </si>
  <si>
    <t>Dilengkapi kutipan teks</t>
  </si>
  <si>
    <t>Bibelselskapets forlag</t>
  </si>
  <si>
    <t>Bibelen for born og unge</t>
  </si>
  <si>
    <t>Det danske Bibelselskab Kobenhavn</t>
  </si>
  <si>
    <t>85-311-0850-0</t>
  </si>
  <si>
    <t>413.2 NOV</t>
  </si>
  <si>
    <t xml:space="preserve">Novo Testamento Trilíngüe </t>
  </si>
  <si>
    <t>Portuguȇs- Inglȇs- Espanhol</t>
  </si>
  <si>
    <t>Dilengkapi dengan kamus &amp; kosakata</t>
  </si>
  <si>
    <t>225.458 c.1</t>
  </si>
  <si>
    <t>Ghaqda Biblika Maltija: It-Testment IL- Gdid Tas-Salvatur Taghna Sidna Gesus Kristu</t>
  </si>
  <si>
    <t>Dilengkapi dengan glosarium &amp; peta</t>
  </si>
  <si>
    <t>Ghaqda Biblika Maltija &amp; Klabb Kotba Maltin</t>
  </si>
  <si>
    <t xml:space="preserve">Isezerano Risha Na Zaburi </t>
  </si>
  <si>
    <t>Kirundi</t>
  </si>
  <si>
    <t xml:space="preserve"> British and Foreign Bible Society (BFBS)</t>
  </si>
  <si>
    <t>220.47 Sveto Pismo Alk. Kroasia Thn. 1989</t>
  </si>
  <si>
    <t>Sveto Pismo: Staroga I Novoga Zavjeta</t>
  </si>
  <si>
    <t>Kroat</t>
  </si>
  <si>
    <t>Izdanje Biblijskoga Drustva</t>
  </si>
  <si>
    <t>965-431-002-3 B</t>
  </si>
  <si>
    <t>הברית   החדשה</t>
  </si>
  <si>
    <t>The Bible Society in Israel</t>
  </si>
  <si>
    <t>Bijbel: In De Nieuwe Vertaling</t>
  </si>
  <si>
    <t>Het Nederlandsch Bijbelgenootschap</t>
  </si>
  <si>
    <t xml:space="preserve">225.440 C.1 </t>
  </si>
  <si>
    <t>220.551 La Sacra Bibbia Alk. Italia Thn. 1976</t>
  </si>
  <si>
    <t>La Sacra Bibbia Ossia L'Antico E Il Nuovo Testamento</t>
  </si>
  <si>
    <t xml:space="preserve">Libreria Sacre Scripture </t>
  </si>
  <si>
    <t xml:space="preserve">90-6126-355-7 </t>
  </si>
  <si>
    <t xml:space="preserve">220.492 C.1 </t>
  </si>
  <si>
    <t>Groot nieuws Bijbel (Vertaling in omgangstaal)</t>
  </si>
  <si>
    <t>Dilengkapi dengan kronologi sejarah &amp; peta Alkitab</t>
  </si>
  <si>
    <t>Nederlands Bijbelgenootschap Haarlem</t>
  </si>
  <si>
    <t>220.843 SOC Qheshwa Biblia - Alk. Qheshwa Bolivia</t>
  </si>
  <si>
    <t xml:space="preserve">Qheshwa Biblia </t>
  </si>
  <si>
    <t>Dilengkapi dengan glosarium &amp; peta Alkitab</t>
  </si>
  <si>
    <t xml:space="preserve">Sociedades Biblicas Unidas Cochabamba </t>
  </si>
  <si>
    <t xml:space="preserve">220.469.798 BIB </t>
  </si>
  <si>
    <t>Biblia (A Biblia Sagrada/ Contendo O Velho E O Novo Testamento)</t>
  </si>
  <si>
    <t xml:space="preserve">Brasil </t>
  </si>
  <si>
    <t>Portugues</t>
  </si>
  <si>
    <t>Sociede Biblicas Unidas</t>
  </si>
  <si>
    <t>0-564-03222-0</t>
  </si>
  <si>
    <t>220.59187 Biblia Alk. Slovak Thn. 1989</t>
  </si>
  <si>
    <t>Biblia (Pismo Svate Starej A Novej Zmluvy)</t>
  </si>
  <si>
    <t>Slovakia</t>
  </si>
  <si>
    <t>Slowakia</t>
  </si>
  <si>
    <t>Vydala Slovenska Evanjelicka Cirkev A.V. V CSSR</t>
  </si>
  <si>
    <t>90-6126-047-7</t>
  </si>
  <si>
    <t>225.492 C.1 POC</t>
  </si>
  <si>
    <t xml:space="preserve">Het Nieuwe Testament En De Psalmen </t>
  </si>
  <si>
    <t>978-0529-064875</t>
  </si>
  <si>
    <t xml:space="preserve">225.5203 NT.K.J.V. </t>
  </si>
  <si>
    <t>New Testament (King James Version/ The Precious Promises Edition)</t>
  </si>
  <si>
    <t>Dielngkapi dengan catatan mengenai keselamatan</t>
  </si>
  <si>
    <t>9980-63-140-6</t>
  </si>
  <si>
    <t>Good News (New Testament)</t>
  </si>
  <si>
    <t xml:space="preserve">Dilengkapi dengan kamus, </t>
  </si>
  <si>
    <t>The Bible Societyof Papua New Guinea</t>
  </si>
  <si>
    <t>Bibelen 2011 ny oversettelse (ukuran kecil)</t>
  </si>
  <si>
    <t>Dilengkapi kamus dan peta</t>
  </si>
  <si>
    <t xml:space="preserve">The Norwegian Bible Society </t>
  </si>
  <si>
    <t>Bibelen 2011 ny oversettelse (ukuran besar)</t>
  </si>
  <si>
    <t>978-0-8276-0366-0</t>
  </si>
  <si>
    <t>221.52 TAN</t>
  </si>
  <si>
    <t>Tanakh The Holy Scriptures: The Jewish Bible</t>
  </si>
  <si>
    <t>Jerusalem</t>
  </si>
  <si>
    <t>220.439.9 GNG</t>
  </si>
  <si>
    <t>Bulgarian Bible</t>
  </si>
  <si>
    <t>Bulgaria</t>
  </si>
  <si>
    <t>Bibliata</t>
  </si>
  <si>
    <t>225.470  NOV</t>
  </si>
  <si>
    <t>O Novo Testamento - Com Vocabulario</t>
  </si>
  <si>
    <t>225.520.1  MOR  NT - CEV  Thn. 1995</t>
  </si>
  <si>
    <t>More Than Gold 1 Peter 1.7 New Testament ( Contemporary English Version )</t>
  </si>
  <si>
    <t>American Bible Society, New York</t>
  </si>
  <si>
    <t>88-237-3404-X</t>
  </si>
  <si>
    <t>226.3  VAN  Markus (Bhs. Italia)  Thn. 2000</t>
  </si>
  <si>
    <t>Vangelo Seconf Marco the Gospel According to Mark ….</t>
  </si>
  <si>
    <t>Comitato Italiano per la XV Giornata Mondiale della Gioventio</t>
  </si>
  <si>
    <t>225.944  PB. Perancis  Thn. 1974</t>
  </si>
  <si>
    <t>Bonnes Nouvelles Aujourd'hui</t>
  </si>
  <si>
    <t>Societes Bibliques</t>
  </si>
  <si>
    <t>225.440  NOV  NT - Perancis</t>
  </si>
  <si>
    <t>Le Nouveau Testament</t>
  </si>
  <si>
    <t>SGM Intyernational ,Londres</t>
  </si>
  <si>
    <t>225.439.31  PSA  Psalmen Bhs. Belanda  Thn. 1968</t>
  </si>
  <si>
    <t>Psalmen</t>
  </si>
  <si>
    <t>Portion</t>
  </si>
  <si>
    <t>Boekencentrum NV, Jongbloed C.V, Proos En Brand N.V, N.V GEBR Zomer En Keuning</t>
  </si>
  <si>
    <t>225.460  NUE  NT-Spanyol  Thn. 1938</t>
  </si>
  <si>
    <t>Nuevo Testamento</t>
  </si>
  <si>
    <t>Deposito Central De La Sociedad Biblica B.Y.E Fedrico Balart, Maddrid</t>
  </si>
  <si>
    <t>85-311-0265-0</t>
  </si>
  <si>
    <t xml:space="preserve">225.981  NT - Brasil  </t>
  </si>
  <si>
    <t>O Caminho da Vitoria - Novo Testamento Na Linguagem de Hoje</t>
  </si>
  <si>
    <t>90-6126-468-5</t>
  </si>
  <si>
    <t>230.439.31  Wes  m</t>
  </si>
  <si>
    <t>Mensen Mensen Mensen</t>
  </si>
  <si>
    <t>Nederlands Bijbelgenootschap- Harlem</t>
  </si>
  <si>
    <t/>
  </si>
  <si>
    <t>220.460  DIO  Alk. Bhs. Spanyol  Thn. 1986</t>
  </si>
  <si>
    <t>Dios Habla Hoy</t>
  </si>
  <si>
    <t>220.469  BIB  Alk. Portugal  Thn. 1968</t>
  </si>
  <si>
    <t>Biblia Sagrada</t>
  </si>
  <si>
    <t>Sociedade Biblica Rua Passos Manuel</t>
  </si>
  <si>
    <t>220.459  BIB  Alk. Rumanian , UBS 1995</t>
  </si>
  <si>
    <t>Biblia Sau Sfinta Scriptura</t>
  </si>
  <si>
    <t>Rumania</t>
  </si>
  <si>
    <t>Rumanian</t>
  </si>
  <si>
    <t>220.439.31  BIJ  Alk. Bhs. Belanda  Thn. 1951</t>
  </si>
  <si>
    <t>Nederlands Bijbel Genootschap, Harlem</t>
  </si>
  <si>
    <t>220.430  DAS  NT - German  Thn. 1979</t>
  </si>
  <si>
    <t>Das Neue Testament</t>
  </si>
  <si>
    <t xml:space="preserve">German </t>
  </si>
  <si>
    <t>Evangelische Haupt Bijbelgesellschaft zu , Berlin</t>
  </si>
  <si>
    <t>3-438-01672-9</t>
  </si>
  <si>
    <t>220.430  GUT  Alk. Bhs. German  Thn. 2000</t>
  </si>
  <si>
    <t>Gute Nachricht Bibel</t>
  </si>
  <si>
    <t>3-438-01620-6</t>
  </si>
  <si>
    <t>220.430  GUT  Alk. German  Thn. 1999</t>
  </si>
  <si>
    <t>Gute Nachricht Bibel (cov. Biru)</t>
  </si>
  <si>
    <t>220.430  DIE  Alk. Bhs. German  Thn. 1983</t>
  </si>
  <si>
    <t>Die Bibel Mit Bildren und</t>
  </si>
  <si>
    <t>Deutsche Bibelgessellschaft Stuttgart</t>
  </si>
  <si>
    <t>978-3-438-01-500-6</t>
  </si>
  <si>
    <t>220.439.31  DIE  Alk. Bhs. Belanda  Thn. 2013</t>
  </si>
  <si>
    <t>DIE Bibel</t>
  </si>
  <si>
    <t>Kamus, Chronik Der Familie</t>
  </si>
  <si>
    <t>225.499.969  NT &amp; Psalm Georgian</t>
  </si>
  <si>
    <t xml:space="preserve">NT &amp; Psalm Georgian  </t>
  </si>
  <si>
    <t>Georgia</t>
  </si>
  <si>
    <t>220.496.333  BIB  Alk. Yoruba  Thn. 1988</t>
  </si>
  <si>
    <t>Bibeli Mimo Tabi Majemu LaiLai Ati Titun</t>
  </si>
  <si>
    <t>90-6126-065-5</t>
  </si>
  <si>
    <t>220.439.31  BIJ  Alk. Belanda  Thn. 1987</t>
  </si>
  <si>
    <t>BIJBEL</t>
  </si>
  <si>
    <t>Dutch</t>
  </si>
  <si>
    <t xml:space="preserve">220.439.31  BIJ  Alk. Bhs. Belanda </t>
  </si>
  <si>
    <t>BIjbel</t>
  </si>
  <si>
    <t>220.439.31  BIJ  Alk. Bhs. Belanda Thn. 1979</t>
  </si>
  <si>
    <t>220.439.31  BIJ  Alk. Bhs. Belanda Thn. 1963</t>
  </si>
  <si>
    <t>220.439.31  BIJ  Alk. Bhs. Belanda Thn. 1967</t>
  </si>
  <si>
    <t>220.439.31  BIJ  Alk. Bhs. Belanda Thn. 1971</t>
  </si>
  <si>
    <t>220.520.3  HOL  Holy Bible - Illustrated</t>
  </si>
  <si>
    <t>Holy Bible  Illustrated</t>
  </si>
  <si>
    <t>220.430  DIE  Alk. Bhs. German  Thn. 1982</t>
  </si>
  <si>
    <t>Die Gute Nachricht - Die Bibel</t>
  </si>
  <si>
    <t>220.430  DIE  Alk. Bhs. Yunani - Modern Thn. 1985</t>
  </si>
  <si>
    <t>TA IEPA TPAMMATA</t>
  </si>
  <si>
    <t>Etaipia</t>
  </si>
  <si>
    <t>UBS-EPF</t>
  </si>
  <si>
    <t>415  GRA  An Analysis of the Greek - NT</t>
  </si>
  <si>
    <t>An Analysis of The Greek New Testament</t>
  </si>
  <si>
    <t>Paradigms of verbs</t>
  </si>
  <si>
    <t>Biblical Institute Press, Rome</t>
  </si>
  <si>
    <t>3-438-04008-5</t>
  </si>
  <si>
    <t>220.04  ICH</t>
  </si>
  <si>
    <t>Ich Entdecke dia Bibel</t>
  </si>
  <si>
    <t>220.460  DIO  Alk. Spanyol  Thn. 1988</t>
  </si>
  <si>
    <t>85-311-0223-5</t>
  </si>
  <si>
    <t>220.469  bib  Alk. Portugis  Thn. 1995</t>
  </si>
  <si>
    <t>R.R Donne3lley and Sons Company, USA</t>
  </si>
  <si>
    <t>90-6126-067-1</t>
  </si>
  <si>
    <t>220.439.31  BIJ  Alk. Bhs. Belanda  Thn. 1987</t>
  </si>
  <si>
    <t>Bijbel Statenvertaling 1637 - 1987</t>
  </si>
  <si>
    <t>Nederland</t>
  </si>
  <si>
    <t>Nederlands Bijbelgenootsch Haarlem, Belgisch Bijbelgenootschap Brussel</t>
  </si>
  <si>
    <t>220.04. 439.31  OME  Portion Bhs. Belanda</t>
  </si>
  <si>
    <t>Om Een Verstananbare Bijbel - Nederlandse Bijbelvertalingen na de Stantenbijbel</t>
  </si>
  <si>
    <t>Nederlandsche</t>
  </si>
  <si>
    <t>Nederlandsche Bijbelgenootschap</t>
  </si>
  <si>
    <t>220.469  AFE  Alk. Bhs. Brasil  Thn. 1998</t>
  </si>
  <si>
    <t>A FE Vem Pelo Ouvir - Biblia Sagrada Novo Testamento</t>
  </si>
  <si>
    <t>2-7468-0040</t>
  </si>
  <si>
    <t>225.440  NOU  NT - French  Thn.2000</t>
  </si>
  <si>
    <t>Gambar</t>
  </si>
  <si>
    <t>Societe Biblique Francais</t>
  </si>
  <si>
    <t>2-85300-059-1</t>
  </si>
  <si>
    <t>220.440  LA  Alk. Bhs. Perancis</t>
  </si>
  <si>
    <t>LA Sainte Bible</t>
  </si>
  <si>
    <t>225.480  NOV  NT - German  Thn. 1979</t>
  </si>
  <si>
    <t xml:space="preserve"> Nestle - Aland Novum Testamentum Graece</t>
  </si>
  <si>
    <t>Aqlkitab</t>
  </si>
  <si>
    <t>Greek</t>
  </si>
  <si>
    <t>Deutsche Bibelstiftung, Stuttgart</t>
  </si>
  <si>
    <t>220.520.1  HOL  The Holy Bible  Thn. 1957</t>
  </si>
  <si>
    <t>The Holy Bible Containing The OT &amp; NT  Thn. 1957</t>
  </si>
  <si>
    <t>90-6126-007-8</t>
  </si>
  <si>
    <t>220.439.31  BIJ  Alk. Dutch  Thn. 1979</t>
  </si>
  <si>
    <t>BIJBEL dat is de ganse Heilige Scrift - Editie 1977</t>
  </si>
  <si>
    <t>Nederlands Bijbelgenotschap, Haarlem Thn. 1979</t>
  </si>
  <si>
    <t>220.439.31  BIJ  Alk. Frisian</t>
  </si>
  <si>
    <t>Bibel</t>
  </si>
  <si>
    <t>Frisian</t>
  </si>
  <si>
    <t>220.439.31  BIJ  Alk. Bhs. Belanda  Thn. 1967</t>
  </si>
  <si>
    <t>Nedreland</t>
  </si>
  <si>
    <t>Nederland Bijbelgenootschap</t>
  </si>
  <si>
    <t>225.440  LE  NT - Perancis  Thn. 1961</t>
  </si>
  <si>
    <t>Le Nouveau Testament - Traduction D'apres Le Texte Grec</t>
  </si>
  <si>
    <t>Angleterre</t>
  </si>
  <si>
    <t>951-600-440-7</t>
  </si>
  <si>
    <t>220.494.54  UUS  NT - Psalm Finland  Thn. 1983</t>
  </si>
  <si>
    <t>Uusi Testamentti Ja Psalmit Nykysuomeksi</t>
  </si>
  <si>
    <t>Finland</t>
  </si>
  <si>
    <t>Yhdeksas Painos</t>
  </si>
  <si>
    <t>225.480  NOV  NT - Greek  Thn. 1979</t>
  </si>
  <si>
    <t>Nestle Aland - Novum Testamentum Graece</t>
  </si>
  <si>
    <t>Derutsche  Bibelstiftung, Stuttgart</t>
  </si>
  <si>
    <t>225.480  NOV  NT - Greek  Thn. 1963</t>
  </si>
  <si>
    <t>82-541-0177-9</t>
  </si>
  <si>
    <t>220.439.82  BIB  Alk. Norwegia  Thn. 1985</t>
  </si>
  <si>
    <t>BIBELEN</t>
  </si>
  <si>
    <t>Norwegian</t>
  </si>
  <si>
    <t>Bibelselskapets</t>
  </si>
  <si>
    <t>220.948.97  RAA  Alk. Finland  Thn. 1986</t>
  </si>
  <si>
    <t>RAAMATTU</t>
  </si>
  <si>
    <t>Libreria Sacre Scritture, Roma</t>
  </si>
  <si>
    <t>220.470  Alk. Italia  Thn. 1976</t>
  </si>
  <si>
    <t>La Sacra Biblia</t>
  </si>
  <si>
    <t>220.459  BIB  Alk. Rumanian , UBS 1989</t>
  </si>
  <si>
    <t>220.469  Biblia  Alk. Portugis  Thn. 1969</t>
  </si>
  <si>
    <t>A Biblia Sagrada: Contendo O Velho e O Novo Testamento</t>
  </si>
  <si>
    <t>La Bible</t>
  </si>
  <si>
    <t>PeraNCIS</t>
  </si>
  <si>
    <t>societe Biblique Canadianne</t>
  </si>
  <si>
    <t>220.460  WAN  Alk. Spanyol  Thn. 1970</t>
  </si>
  <si>
    <t>Wanaadi A'deddu</t>
  </si>
  <si>
    <t>America Latina</t>
  </si>
  <si>
    <t>Sociedade Biblicas en America Latina</t>
  </si>
  <si>
    <t>220.430  DIE  Alk. German  Thn. 1965</t>
  </si>
  <si>
    <t>Bibelanstalt</t>
  </si>
  <si>
    <t>220.944  BIB  Alk. Francais  Thn. 1975</t>
  </si>
  <si>
    <t>LA BIBLE</t>
  </si>
  <si>
    <t>80-85810-07-7</t>
  </si>
  <si>
    <t>220..943.7  BIB  Alk. Ceko  Thn. 1995</t>
  </si>
  <si>
    <t>BIBLE</t>
  </si>
  <si>
    <t>Ceko</t>
  </si>
  <si>
    <t>Ceska Biblicka Spolecnost</t>
  </si>
  <si>
    <t>225.944  BON  NT - Francais  Thn. 1973</t>
  </si>
  <si>
    <t>220.460  SAN  Alk. Spanyol  Thn. 1988</t>
  </si>
  <si>
    <t>Santa Biblia</t>
  </si>
  <si>
    <t>Sociedades Biblicas America Latina</t>
  </si>
  <si>
    <t>220.469  NOU  NT - Francais  Thn. 1978</t>
  </si>
  <si>
    <t>Novo Testamento</t>
  </si>
  <si>
    <t>90-6126-350-6</t>
  </si>
  <si>
    <t>220.439.31  GRO  Alk. Belanda  Thn. 1986</t>
  </si>
  <si>
    <t>Groot Nieuws Bijbel</t>
  </si>
  <si>
    <t>Gambar &amp; Peta</t>
  </si>
  <si>
    <t>Nederlans Bijbelgenootschap</t>
  </si>
  <si>
    <t>90-6126-913-X-geb</t>
  </si>
  <si>
    <t>220.1.439.31  BRO  s  Thn. 1993</t>
  </si>
  <si>
    <t>De Statenbijbel en zijn voorgangers</t>
  </si>
  <si>
    <t>Nederlands Bijbelgenootschap, Haarlem</t>
  </si>
  <si>
    <t xml:space="preserve"> SANTA BIBLIA</t>
  </si>
  <si>
    <t>Chile</t>
  </si>
  <si>
    <t>221.439.31  DAS  PL. Belanda  Thn. 1967</t>
  </si>
  <si>
    <t>Die Bibel</t>
  </si>
  <si>
    <t>Wurtembergische  Bibelanstalt Stuttgart'</t>
  </si>
  <si>
    <t>0-564-09532-X</t>
  </si>
  <si>
    <t>225.496.338  EDW  NT-Nzema  Thn. 1986</t>
  </si>
  <si>
    <t>Ngyekyelee  Fofole Ne</t>
  </si>
  <si>
    <t>Ghana</t>
  </si>
  <si>
    <t>Nzema</t>
  </si>
  <si>
    <t>Bible Society of Ghana</t>
  </si>
  <si>
    <t>225.439.31  DAS  NT. Belanda  Thn. 1956</t>
  </si>
  <si>
    <t>Wurttembergische Bibelanstalt, Stuttgart</t>
  </si>
  <si>
    <t>225.470  NOU  NT. Latina  Thn. 1973</t>
  </si>
  <si>
    <t>Novum Testamentum Latine</t>
  </si>
  <si>
    <t>220.491.93  BIB  Alk. Latvian  Thn. 1989</t>
  </si>
  <si>
    <t>BIBELE Vecas Un Jaunas Deribas Svetie Raksti</t>
  </si>
  <si>
    <t>Latvian</t>
  </si>
  <si>
    <t>Bibeles Sabiedriba</t>
  </si>
  <si>
    <t>220.438  BIB  Alk. Polish  Thn. 1989</t>
  </si>
  <si>
    <t>BIBLIA</t>
  </si>
  <si>
    <t>Polish</t>
  </si>
  <si>
    <t>Brytjskie I. Zagraniczne Towarzystwo Biblijne, Warsawa</t>
  </si>
  <si>
    <t>220.946.9  BIB  Alk. Portugis  Thn. 1988</t>
  </si>
  <si>
    <t>Sociedade Biblica Portugal</t>
  </si>
  <si>
    <t>220.946.9  BIB  Alk. Portugis  Thn. 1967</t>
  </si>
  <si>
    <t>A Biblia Sagrada Contendo O Velho E O Novo Testamento ….</t>
  </si>
  <si>
    <t>Portugas</t>
  </si>
  <si>
    <t xml:space="preserve">Deposito Das Escrituras Sagradas </t>
  </si>
  <si>
    <t>3-438-01860-8</t>
  </si>
  <si>
    <t>220.430  DIE  Alk. German  Thn. 1982</t>
  </si>
  <si>
    <t>Die Gute Nachricht Die Bibel in heutigem deutsch</t>
  </si>
  <si>
    <t>85-311-0001-1</t>
  </si>
  <si>
    <t>220.446.9  BIB  Alk. Portugis  Thn. 1988</t>
  </si>
  <si>
    <t>A Biblia - Na Linguagem De Ho Je ( Alk. Portugis )</t>
  </si>
  <si>
    <t>220.491.84  SVE  Alk. Slovenia  Thn. 1975</t>
  </si>
  <si>
    <t>Sveto Pismo</t>
  </si>
  <si>
    <t>Slovenia</t>
  </si>
  <si>
    <t>Ljubljana</t>
  </si>
  <si>
    <t>kdfghjsdfnbv</t>
  </si>
  <si>
    <t>GNGJINJA CBETO NHCMO</t>
  </si>
  <si>
    <t>Serbia</t>
  </si>
  <si>
    <t>Serbian</t>
  </si>
  <si>
    <t>225.943.8  NOWNt Polandia &amp; Psalm</t>
  </si>
  <si>
    <t>Nowy Testament I Psalmy</t>
  </si>
  <si>
    <t>Brythyjskie I Zagraniczne Towarzystwo Biblijne, Warsawa</t>
  </si>
  <si>
    <t>220.460  SAN  Alk. Spanyol  Thn. 1974</t>
  </si>
  <si>
    <t>La Santa Biblia - Antiguo Y Nuevo Testamento</t>
  </si>
  <si>
    <t>220.470  BIB  Alk. Hongaria  Thn. 2007</t>
  </si>
  <si>
    <t>UJSZOVETSEG - A ZSOLTAROK KONYVE</t>
  </si>
  <si>
    <t>Hongaria</t>
  </si>
  <si>
    <t>Magyar Bibliatarsulat Magbizasabol</t>
  </si>
  <si>
    <t>220.981  SAN  Alk. Brasil  Thn. 2012</t>
  </si>
  <si>
    <t>220.491.819  HOB  Alk. Macedonia  Thn. 1970</t>
  </si>
  <si>
    <t>HOBNOT 3ABET</t>
  </si>
  <si>
    <t>Macedonia</t>
  </si>
  <si>
    <t>Gpumahcko u uhocmpaho ouo ruck dpyumgo</t>
  </si>
  <si>
    <t>220.440  BIB  Alk. Perancis  Thn. 1989</t>
  </si>
  <si>
    <t>220.460  SAN  Alk. Spanyol  Thn. 1960</t>
  </si>
  <si>
    <t>Unidas</t>
  </si>
  <si>
    <t>Sociedadfes Biblicas Unidas</t>
  </si>
  <si>
    <t>220.430  Alk. German  Thn. 1982</t>
  </si>
  <si>
    <t>Die Heilige  Schrift</t>
  </si>
  <si>
    <t>Verlag Der Zurcher Bibel</t>
  </si>
  <si>
    <t xml:space="preserve">  220.491.991  SEA  Alk. Albania  Thn. 1985</t>
  </si>
  <si>
    <t>Leabhraichean - T -Seann Tiomn Aidh …</t>
  </si>
  <si>
    <t>Albania</t>
  </si>
  <si>
    <t>Comunn-Bhiobull Dutchchail Na H-Alba, National Bible Society of Scotland</t>
  </si>
  <si>
    <t>220.430  Alk. German  Thn. 1966</t>
  </si>
  <si>
    <t>Die Bibe; order dia ganze Heilige Scrift des Alten und Neuen Testament</t>
  </si>
  <si>
    <t>978-94-6073-0238</t>
  </si>
  <si>
    <t>220.439.31  BIJ  Alk. Belanda  Thn. 2013</t>
  </si>
  <si>
    <t>BIJBEL - De Nieuwe Bijbelvertaling</t>
  </si>
  <si>
    <t>Bijbel  Genootschap</t>
  </si>
  <si>
    <t>220.439.31  BIJ  Alk. Dutch  Thn. 1987</t>
  </si>
  <si>
    <t>225.430  NOV  NT-German  Thn. 1963</t>
  </si>
  <si>
    <t>Nestle - Aland Novum Testamentum Graece</t>
  </si>
  <si>
    <t>Wurttembergische Bibelanstalt, Stuttgar</t>
  </si>
  <si>
    <t>220.430  DIE  Alk. German  Thn. 1980</t>
  </si>
  <si>
    <t>BIBEL</t>
  </si>
  <si>
    <t>Die Gute Nachricht - Die Bibel In Heutigem Deutsch</t>
  </si>
  <si>
    <t>220.520.3  SEL  Alk. English ( KJV )  Thn. 1976</t>
  </si>
  <si>
    <t>Selected Passages From The Bible</t>
  </si>
  <si>
    <t>220.520.3  NEW  Alk. English  Thn. 1970</t>
  </si>
  <si>
    <t>220.520.3  BIB  Alk. English  Thn. 1965</t>
  </si>
  <si>
    <t>220.520.3  NEW  NT - English ( KJV )  Thn. 1964</t>
  </si>
  <si>
    <t>The New Testament of Our Lord And Saviour Jesus Christ</t>
  </si>
  <si>
    <t>225.430  GOO  NT - German  Thn. 1971</t>
  </si>
  <si>
    <t>Good News For Modern Man - Die Gute Nachricht</t>
  </si>
  <si>
    <t>United Bible Society - Weltbund der Bibelgesellschaften</t>
  </si>
  <si>
    <t>225.408  GRE  NT - Greek  Thn. 1967</t>
  </si>
  <si>
    <t>The Greek New Testament Edited by : Kurt Aland, Matthew Black</t>
  </si>
  <si>
    <t>United Bib le Society</t>
  </si>
  <si>
    <t>220.520.42  BIB</t>
  </si>
  <si>
    <t>The Bible - Revised Standard Version  Illustrated</t>
  </si>
  <si>
    <t>Bristish &amp; Foreign Bible Society</t>
  </si>
  <si>
    <t>220.3  LEW  e</t>
  </si>
  <si>
    <t>The English Bible From KJV to NIV - A History and Evaluation with indexes</t>
  </si>
  <si>
    <t>220.520.42  BIB  Alk. English ( RSV )   Thn. 1985</t>
  </si>
  <si>
    <t>The Bible Containing The Old And New Testament</t>
  </si>
  <si>
    <t>220.430  DIE  Alk. German  Thn. 1966</t>
  </si>
  <si>
    <t>Die Heilige Scrift Des Alten Und Des Neuen Testaments</t>
  </si>
  <si>
    <t>225.480  NOV  NT - Greek  Thn. 2012</t>
  </si>
  <si>
    <t>Novum Testamentum Graece  Thn. 2006</t>
  </si>
  <si>
    <t>Novum Testamentum Graece  Thn. 2012</t>
  </si>
  <si>
    <t>Novum Testamentum Graece  Thn.1979</t>
  </si>
  <si>
    <t>225.480  GRE  NT : Greek - English  Thn. 2008</t>
  </si>
  <si>
    <t>220.520.3  NEW  Alk. Chain - Reference  Thn. 1964</t>
  </si>
  <si>
    <t>The New Chain - Reference Bible ( Four Improved Edition</t>
  </si>
  <si>
    <t>B.B Kirkbride Bible Co, Inc</t>
  </si>
  <si>
    <t>220.439.82  BIB  Alk. Norwegia  Thn.2011</t>
  </si>
  <si>
    <t>BIBELEN - Ny Oversettelse 2011</t>
  </si>
  <si>
    <t>220.439.82  BIB  Alk.Norwegia Thn. 1982</t>
  </si>
  <si>
    <t>Bibelen Eller Den Heliga Skrift  Thn. 1982</t>
  </si>
  <si>
    <t>Noewegia</t>
  </si>
  <si>
    <t>Skeab Forlag</t>
  </si>
  <si>
    <t>220.439.82  Alk. Norwegia  Thn. 1986</t>
  </si>
  <si>
    <t>Bibelen Den Hellige Skrifts Kanoniske Boger</t>
  </si>
  <si>
    <t>Bibelselskab, Kobenhavn</t>
  </si>
  <si>
    <t>220.439.82  BIB  Alk. Norwegia  Thn. 2011</t>
  </si>
  <si>
    <t>Bibelen - Bible 2011 Ny Oversettelse</t>
  </si>
  <si>
    <t>220.439.82  BIB  Alk. Norwegia  Thn. 1987</t>
  </si>
  <si>
    <t>Bibelselskapets Forlag</t>
  </si>
  <si>
    <t>3-438-01190-5</t>
  </si>
  <si>
    <t>220.430  DIE  Alk. German  Thn. 1985</t>
  </si>
  <si>
    <t>225.430  ENG  NT - German  Thn. 2013</t>
  </si>
  <si>
    <t>Engel Gesechicten der Bibel</t>
  </si>
  <si>
    <t>978-2-85300-679-8</t>
  </si>
  <si>
    <t>220.440  ABA  Alk. Perancis  Thn. 2011</t>
  </si>
  <si>
    <t>LA BIBLE - Notes Integrales TraductionCecumenique, Cerf - Biblio</t>
  </si>
  <si>
    <t>Francaise</t>
  </si>
  <si>
    <t>P. Abadie Dkk</t>
  </si>
  <si>
    <t>Societe Biblique Francaise</t>
  </si>
  <si>
    <t>220.460  SAN  Alk. Spanyol  Thn. 1989</t>
  </si>
  <si>
    <t>Mexico</t>
  </si>
  <si>
    <t>220.972.94  BIB  Alk. Haiti  Thn. 1987</t>
  </si>
  <si>
    <t>BIB LA</t>
  </si>
  <si>
    <t>Haiti</t>
  </si>
  <si>
    <t>Societe Biblique Haitienne, Port au Prince</t>
  </si>
  <si>
    <t>225.480  KAI  Nt - Greek  Thn. 1967</t>
  </si>
  <si>
    <t xml:space="preserve">H. KAINK  </t>
  </si>
  <si>
    <t>Etaipeia</t>
  </si>
  <si>
    <t>Billing &amp; Son, Ltd.</t>
  </si>
  <si>
    <t>225.520.82  NEW  NT-English &amp; Psalm  1981</t>
  </si>
  <si>
    <t>Good News - New Testament and Psalm - The New Testament in Today's English Version  Thn. 1981</t>
  </si>
  <si>
    <t>Philippine</t>
  </si>
  <si>
    <t>225.520.3  NEW  Nt - English (KJV)</t>
  </si>
  <si>
    <t>New Testament Psalm Proverb - The Gideons Intyernational</t>
  </si>
  <si>
    <t>Shinil Printing</t>
  </si>
  <si>
    <t>225.480  GRE  NT - Greek  Thn. 1966</t>
  </si>
  <si>
    <t>Wurttemberg Bible Society</t>
  </si>
  <si>
    <t>225.460  DIO  NT - Spanyol  Thn. 1989</t>
  </si>
  <si>
    <t>Dios llega Homre</t>
  </si>
  <si>
    <t>225.460  DIO  NT - Spanyol  Thn. 1976</t>
  </si>
  <si>
    <t>225.480  GRE  NT - Greek  Thn. 1967</t>
  </si>
  <si>
    <t>220.439.31  BIJ  Alk. Belanda  Thn. 1977</t>
  </si>
  <si>
    <t>225.430  GOO  NT. German  Thn. 1977</t>
  </si>
  <si>
    <t>Wurttembergische- Bibelanstalt Stuttgart</t>
  </si>
  <si>
    <t>221.439.31  VAN  OT - Belanda  Thn. 1973</t>
  </si>
  <si>
    <t>Van God Ges Proken</t>
  </si>
  <si>
    <t>OT</t>
  </si>
  <si>
    <t>Nedetlands Bejbelgenootschap</t>
  </si>
  <si>
    <t>225.460  DIO  NT - Spanyol  Thn. 1987</t>
  </si>
  <si>
    <t>La Palabra De Dios En El Equador</t>
  </si>
  <si>
    <t>Equator</t>
  </si>
  <si>
    <t>Traducction Directa Del Texto Original Griego</t>
  </si>
  <si>
    <t>3-7831-0293-6</t>
  </si>
  <si>
    <t>221.430  DAS  OT - German  Thn. 1975</t>
  </si>
  <si>
    <t>Das Alte Testament</t>
  </si>
  <si>
    <t>Kreuz Verlag Stuttgart, Berlin</t>
  </si>
  <si>
    <t>3-438-01551-x</t>
  </si>
  <si>
    <t>221.439.31  DIE  OT - Belanda</t>
  </si>
  <si>
    <t>Die Gute Nachricht Altes Testament</t>
  </si>
  <si>
    <t>Deutsche Bibe</t>
  </si>
  <si>
    <t>225.439.31  GRO  NT - Belanda  Thn. 1972</t>
  </si>
  <si>
    <t>Groot Nieuws Voor U</t>
  </si>
  <si>
    <t>225.491.7  GNG  NT - Rusia  Thn. 1968</t>
  </si>
  <si>
    <t>GNG…BETXORO ….</t>
  </si>
  <si>
    <t>242.2.430  WOM  Renungan ( Bhs. German )  Thn. 1963</t>
  </si>
  <si>
    <t>Womit  Wir  Leben  Konnen</t>
  </si>
  <si>
    <t>Renungan</t>
  </si>
  <si>
    <t>Kreuz - Verlag, Stuttgart</t>
  </si>
  <si>
    <t>220.469  BIB  Alk. Portugis  Thn. 1968</t>
  </si>
  <si>
    <t>A Biblia Sagrada - Contendo  O Velho E O Novo  Testamentio</t>
  </si>
  <si>
    <t>Santa Biblia Version Reina-Valera Revisada</t>
  </si>
  <si>
    <t xml:space="preserve">225.981 NT Brazil </t>
  </si>
  <si>
    <t xml:space="preserve">Novo Testamento Na Linguagem de Hoje </t>
  </si>
  <si>
    <t xml:space="preserve">NT </t>
  </si>
  <si>
    <t xml:space="preserve">Brazil </t>
  </si>
  <si>
    <t xml:space="preserve">Sociedades Biblicas Brazil </t>
  </si>
  <si>
    <t>978-88-237-1255-3</t>
  </si>
  <si>
    <t>220.470  PAR  Alk. Italy  Thn. 2000</t>
  </si>
  <si>
    <t>Parola Del Signore - La Bibbla Interconfessionale</t>
  </si>
  <si>
    <t>Italy</t>
  </si>
  <si>
    <t>225.491.82  KHB  NT - Serbia  Thn. 1986</t>
  </si>
  <si>
    <t>KHBOT H PAJI ….</t>
  </si>
  <si>
    <t>225.439.31  NEW  NT - Dutch  Thn. 1968</t>
  </si>
  <si>
    <t>New Testament - Dutch &amp; English  Thn. 1968</t>
  </si>
  <si>
    <t>84-85132-13-0</t>
  </si>
  <si>
    <t>225.460  DIO  NT - Spanyol  Thn. 1988</t>
  </si>
  <si>
    <t>Dios Habla Al Hombre</t>
  </si>
  <si>
    <t>Sociedaad Biblica, Madrid Espana</t>
  </si>
  <si>
    <t>225.439.31  HET  NT - Belanda  Thn. 1969</t>
  </si>
  <si>
    <t>Het Nieuwe Testament</t>
  </si>
  <si>
    <t>225.982  DIO  NT - Toba ( Argentina )  Thn. 1981</t>
  </si>
  <si>
    <t>Dios Nvita Na Shiyaxauapi</t>
  </si>
  <si>
    <t>Toba</t>
  </si>
  <si>
    <t>Sociedades Biblicas Unidas, Buenos Aires</t>
  </si>
  <si>
    <t>Het Nieuwe Leidsche Vertaling</t>
  </si>
  <si>
    <t>Nederlandsch Protestantenbond Uitgegeven Door J. Brandt &amp; Zoon , Amsterdam</t>
  </si>
  <si>
    <t>225.440  NOU  NT - French  Thn.1973</t>
  </si>
  <si>
    <t>Nouveau Testament - TOB</t>
  </si>
  <si>
    <t>Les Societes Bibliques - Les Editions du Cerf</t>
  </si>
  <si>
    <t xml:space="preserve">220.439.31  BIJ  Alk. Belanda  </t>
  </si>
  <si>
    <t>BIJBEL - Nieuwe Vertaling Op Last Van Het ….</t>
  </si>
  <si>
    <t>225.439.31  GRO  NT - Belanda  Thn. 1988</t>
  </si>
  <si>
    <t>Groot Nieuwe Voor u - Het Nieuwe Testament in de Omgangstaal</t>
  </si>
  <si>
    <t>Nederlandsch Bijbelgenootschap, Katholieke Bijbelstichting</t>
  </si>
  <si>
    <t>Die Gute Nachricht - Das Neue Testament in Heutigem Deutsche</t>
  </si>
  <si>
    <t>Deutsche Bibelstifung Stuttgart</t>
  </si>
  <si>
    <t>225.469  NOV  Nt - Portugis  Thn. 1983</t>
  </si>
  <si>
    <t xml:space="preserve">225.520  NEW  NT - Psalm &amp; Proverb  </t>
  </si>
  <si>
    <t>New Testament Psalm &amp; Proverbs - Red Letter Edition</t>
  </si>
  <si>
    <t>225.982  ITU  NT - Argentina  Thn. 1983</t>
  </si>
  <si>
    <t>Itun Berria - Elizen Arteko Biblia</t>
  </si>
  <si>
    <t>Elizen Arteko Biblia</t>
  </si>
  <si>
    <t>225.469  NOU  NT - Portugis  Thn. 1988</t>
  </si>
  <si>
    <t>O Novo Testamento - A Boa Nova Para Toda A Gente</t>
  </si>
  <si>
    <t>Sociedade Biblica Rua Jose Estevao, 4-B 1100 Lisboa, Portugal</t>
  </si>
  <si>
    <t>225.440  NOU  NT - French  Thn. 1973</t>
  </si>
  <si>
    <t>225.460  PAL  NT - Spanyol  Thn. 1986</t>
  </si>
  <si>
    <t>La Palabra De Vida - El Nuevo Testamento</t>
  </si>
  <si>
    <t>225.440  BON   NT - French  Thn. 1971</t>
  </si>
  <si>
    <t>225.440  NT - French  Thn. 1973</t>
  </si>
  <si>
    <t>225.981  BIB  NT - Brasil  Thn. 1984</t>
  </si>
  <si>
    <t>A Biblia Na Linguagem De Hoje - O Novo Testamento</t>
  </si>
  <si>
    <t>225.439.7  NYA  NT - Swedia  Thn. 1985</t>
  </si>
  <si>
    <t>Nya Testamentet</t>
  </si>
  <si>
    <t>Evangeli Press, Orebro</t>
  </si>
  <si>
    <t xml:space="preserve">221.494.4  BIB  </t>
  </si>
  <si>
    <t>222.11  VER  a</t>
  </si>
  <si>
    <t>0-8308-2554-1</t>
  </si>
  <si>
    <t>224  CON  e</t>
  </si>
  <si>
    <t>225.967.572  ISE  NT - Burundi  Thn. 1967</t>
  </si>
  <si>
    <t>Isezerano Risha Na Zaburi</t>
  </si>
  <si>
    <t>NT / Psalm</t>
  </si>
  <si>
    <t>Burundi</t>
  </si>
  <si>
    <t xml:space="preserve">Kirundi </t>
  </si>
  <si>
    <t>978-90-6539-366-1</t>
  </si>
  <si>
    <t>225.430  LEV  NT - German  Thn. 2011</t>
  </si>
  <si>
    <t>De Levensbron</t>
  </si>
  <si>
    <t>Bijbelekst</t>
  </si>
  <si>
    <t>225.943.8  MAT  NT - Poland  Thn. 1987</t>
  </si>
  <si>
    <t>Mata Biblia Dla Dzieci</t>
  </si>
  <si>
    <t>Poland</t>
  </si>
  <si>
    <t>Lion Book</t>
  </si>
  <si>
    <t>225.470  BON  NT - Francais  Thn. 1973</t>
  </si>
  <si>
    <t>225.470  BON  NT - Francais  Thn. 1978</t>
  </si>
  <si>
    <t>220.439.31  GRO  Alk. Belanda  Thn. 1984</t>
  </si>
  <si>
    <t>Nederlands Bijbelgenootschapm Haarlem</t>
  </si>
  <si>
    <t>220.460  DIO  Alk. Spanyol  Thn. 1987</t>
  </si>
  <si>
    <t>Dios Habla Hoy - LA Biblia CON Deuterocanonicos</t>
  </si>
  <si>
    <t>Sociedad Biblica Americana, Nueva York</t>
  </si>
  <si>
    <t>90-6126-008-6</t>
  </si>
  <si>
    <t>BIJBEL - dat is de ganse HEILIGE SCHRIFT</t>
  </si>
  <si>
    <t>0-564-00208-9</t>
  </si>
  <si>
    <t>220.440  BIB  Alk. Francais  Thn. 1970</t>
  </si>
  <si>
    <t>LA  Bible  … par Louis Segond</t>
  </si>
  <si>
    <t>Paris</t>
  </si>
  <si>
    <t>220.439.31  BIJ  Alk,  Belanda  Thn. 1953</t>
  </si>
  <si>
    <t>220.470  SAC  Alk. Italia  Thn. 1966</t>
  </si>
  <si>
    <t>LA SACRA BIBLIA</t>
  </si>
  <si>
    <t>Societa Biblica Britannica E. Forestiera</t>
  </si>
  <si>
    <t>220.44 Hebrew Old Testament</t>
  </si>
  <si>
    <t>87-7523-018-6</t>
  </si>
  <si>
    <t>225.51 Nyggja Testamenti PB. Faroese Thn. 1986</t>
  </si>
  <si>
    <t>Nyggja Testamenti</t>
  </si>
  <si>
    <t>Faroese</t>
  </si>
  <si>
    <t>Det Danske Bibelselskab</t>
  </si>
  <si>
    <t>0564 097659</t>
  </si>
  <si>
    <t>220.59166 Y Beibl Cymraeg Newydd Alk. Welsh Thn. 2004</t>
  </si>
  <si>
    <t>Y Beibl Cymraeg Newydd: Agraffiad Diwygiedig</t>
  </si>
  <si>
    <t>Welsh</t>
  </si>
  <si>
    <t>978-3-438-05152-3</t>
  </si>
  <si>
    <t>220.48 Biblia Graeca Thn. 2013</t>
  </si>
  <si>
    <t>Biblia Graeca: Septuaginta &amp; Novum Testamentum Graece</t>
  </si>
  <si>
    <t>Deutsche Biblegesellschaft</t>
  </si>
  <si>
    <t>ALK + PB (AFRIKA)</t>
  </si>
  <si>
    <t>0-564-03842-3</t>
  </si>
  <si>
    <t>220596 Nmale Kronkron Le Alk. Ga Thn. 1983</t>
  </si>
  <si>
    <t>Biblia Nmale Kronkron Le: Kpanmo Momo Ke Kpanmo He Le Ye Ga Wiemo Mli</t>
  </si>
  <si>
    <t>Ga</t>
  </si>
  <si>
    <t xml:space="preserve">The Bible Society of Ghana </t>
  </si>
  <si>
    <t>225.596 Malombla Ma Yondi Ni Tjembi Alk. Bassa Thn. 1967</t>
  </si>
  <si>
    <t>Malombla Ma Yondo Ni Tjembi</t>
  </si>
  <si>
    <t>Bassa</t>
  </si>
  <si>
    <t>Societe Biblique</t>
  </si>
  <si>
    <t xml:space="preserve">220.596 K11 </t>
  </si>
  <si>
    <t>Kaat Nyambe: Malombla Ma Kwan Ni Malombla Ma Yondo</t>
  </si>
  <si>
    <t>Dilengkapi dengan indeks, peta Alkitab,</t>
  </si>
  <si>
    <t>0-564-00293-3</t>
  </si>
  <si>
    <t xml:space="preserve">220.6757 C.1 </t>
  </si>
  <si>
    <t>Biblia Yera</t>
  </si>
  <si>
    <t>Kinyarwanda</t>
  </si>
  <si>
    <t>0-7982-0810-4</t>
  </si>
  <si>
    <t xml:space="preserve">220.68 C.1 </t>
  </si>
  <si>
    <t xml:space="preserve">Ombeimbela </t>
  </si>
  <si>
    <t>Omerikutiro Wombeimbela Wasuid-Afrika</t>
  </si>
  <si>
    <t xml:space="preserve">220.6894 LUS Mukanda Wanzambi - Alk. Lunda (Zambia) </t>
  </si>
  <si>
    <t xml:space="preserve">Mukanda Wanzambi </t>
  </si>
  <si>
    <t>Zambia</t>
  </si>
  <si>
    <t>Lunda: Ndembu</t>
  </si>
  <si>
    <t>Lusaka The Bible Society of Zambia</t>
  </si>
  <si>
    <t>0-7982-0633-0</t>
  </si>
  <si>
    <t>Etestamendi Ekulu</t>
  </si>
  <si>
    <t>Ehanganombimbeli Lyaafrika-Lukadhi</t>
  </si>
  <si>
    <t>220.596399 EHA Ombimbeli Ondjapuki - Alk. Ndonga (Af. Selatan)</t>
  </si>
  <si>
    <t>Ombimbeli Ondjapuki</t>
  </si>
  <si>
    <t>Namibia</t>
  </si>
  <si>
    <t>Ndonga</t>
  </si>
  <si>
    <t>0-564-00432-4</t>
  </si>
  <si>
    <t>Litafi Mai- Tsarki  (Tsofon Alkawali Da Sabon Alkawali)</t>
  </si>
  <si>
    <t>Hausa</t>
  </si>
  <si>
    <t>The Bible Society of Nigeria</t>
  </si>
  <si>
    <t>0-564-00712-9</t>
  </si>
  <si>
    <t xml:space="preserve">220.6751 C.1 </t>
  </si>
  <si>
    <t>Biblia: Ka ma jucoko ie Lembariba Ma Con ku Lembariba Ma Nyen</t>
  </si>
  <si>
    <t>Zaire</t>
  </si>
  <si>
    <t>Alur (Lur)</t>
  </si>
  <si>
    <t>La Societe Biblique Du Zaire</t>
  </si>
  <si>
    <t>0-564-01883-X</t>
  </si>
  <si>
    <t>Bonkanda Wa Nzakomba</t>
  </si>
  <si>
    <t>Lomongo</t>
  </si>
  <si>
    <t>0-564-09282-7</t>
  </si>
  <si>
    <t xml:space="preserve">220.667 C.1 </t>
  </si>
  <si>
    <r>
      <rPr>
        <rFont val="Calibri"/>
        <color theme="1"/>
        <sz val="9.0"/>
      </rPr>
      <t>Biblia : Alo</t>
    </r>
    <r>
      <rPr>
        <rFont val="Calibri"/>
        <color rgb="FF000000"/>
        <sz val="9.0"/>
      </rPr>
      <t xml:space="preserve">             ŊɔŊLɔ KɔKɔE LA   ( Le Eʋegbe Me)</t>
    </r>
  </si>
  <si>
    <t>Ewe (Eʋegbe)</t>
  </si>
  <si>
    <t>0-564-00413-8</t>
  </si>
  <si>
    <t>220.68 C.1</t>
  </si>
  <si>
    <t>Biblia: Yaani Agano La Kale Na Agano Fipya</t>
  </si>
  <si>
    <t>Kiswahili</t>
  </si>
  <si>
    <t>British and Foreign Bible Society (BFBS)</t>
  </si>
  <si>
    <t>0-7982-0800-7</t>
  </si>
  <si>
    <t xml:space="preserve">Bibeli </t>
  </si>
  <si>
    <t>Kwangali</t>
  </si>
  <si>
    <t xml:space="preserve">220.6762 C.1 </t>
  </si>
  <si>
    <t>Bukuit Ne Tilil: ne mi Arorutiet Ne Bo Keny ak Arorutiet Ne Leel</t>
  </si>
  <si>
    <t>Kenya</t>
  </si>
  <si>
    <t>Kalenjin</t>
  </si>
  <si>
    <r>
      <rPr>
        <rFont val="Calibri"/>
        <color theme="1"/>
        <sz val="9.0"/>
      </rPr>
      <t xml:space="preserve">Iuku Ria Murungu             (Maandiko Jamatheru Ja Murungu Najo Nijo </t>
    </r>
    <r>
      <rPr>
        <rFont val="Calibri"/>
        <i/>
        <color rgb="FF000000"/>
        <sz val="9.0"/>
      </rPr>
      <t>Kiriikaniro Giikuru na Kiriikaniro Gikieru)</t>
    </r>
  </si>
  <si>
    <t>Kimeru</t>
  </si>
  <si>
    <t xml:space="preserve">220.6894 C.2 </t>
  </si>
  <si>
    <t xml:space="preserve">Zambia </t>
  </si>
  <si>
    <t>0-564-01312-9</t>
  </si>
  <si>
    <t>Igala</t>
  </si>
  <si>
    <t xml:space="preserve"> 220.6711 C.1 </t>
  </si>
  <si>
    <t>MA ZHIKLÉ</t>
  </si>
  <si>
    <t>Mofa</t>
  </si>
  <si>
    <t>Dilengkapi dengna peta Alkitab &amp; kamus</t>
  </si>
  <si>
    <t>Société biblique du Cameroun</t>
  </si>
  <si>
    <t>0-564-00612-2</t>
  </si>
  <si>
    <t>IBUKU RĨA NGAI</t>
  </si>
  <si>
    <t>Gikũyũ</t>
  </si>
  <si>
    <t xml:space="preserve">220.6894 C.1 </t>
  </si>
  <si>
    <t>IBBAIBBELE (Ibbuku Lyamajwi Aa-Leza)</t>
  </si>
  <si>
    <t>Zambia &amp; Zimbabwe</t>
  </si>
  <si>
    <t>Tonga (Zambia)</t>
  </si>
  <si>
    <t>The Bible Society of Zambia</t>
  </si>
  <si>
    <t xml:space="preserve">220.691 C.1 </t>
  </si>
  <si>
    <t>NY BAIBOLY (NY Soratra Masina )</t>
  </si>
  <si>
    <t xml:space="preserve">Fikambanana Mampiely Baiboly </t>
  </si>
  <si>
    <t>0-564-02480-5</t>
  </si>
  <si>
    <t xml:space="preserve">220.6626 C.1 </t>
  </si>
  <si>
    <t>DWED ABASI (Edisana Dwed Abasi Ibom)</t>
  </si>
  <si>
    <t xml:space="preserve">Efik </t>
  </si>
  <si>
    <t xml:space="preserve">220.6641 C.1 </t>
  </si>
  <si>
    <t xml:space="preserve">KAYEMA BAIBULI </t>
  </si>
  <si>
    <t xml:space="preserve"> Liberia</t>
  </si>
  <si>
    <t>Mende</t>
  </si>
  <si>
    <t>The Bible Society in Sierra Leone</t>
  </si>
  <si>
    <t>0-564-00792-7</t>
  </si>
  <si>
    <t xml:space="preserve">220.624 C.1 </t>
  </si>
  <si>
    <t>Sudan</t>
  </si>
  <si>
    <t xml:space="preserve">Bangala </t>
  </si>
  <si>
    <t>The Bible Society in Sudan</t>
  </si>
  <si>
    <t xml:space="preserve">220.8 C.1 </t>
  </si>
  <si>
    <t>SANTA BIBLIA (Antiguo Y Nuevo Testamento)</t>
  </si>
  <si>
    <t>español</t>
  </si>
  <si>
    <t>0-564-03852-0</t>
  </si>
  <si>
    <t>TWERƐ KRONKRON ASANTE (Anyamesɛm Anaa Twere Kronkron Akan Kasa Mu)</t>
  </si>
  <si>
    <t>Twi: Asante</t>
  </si>
  <si>
    <t xml:space="preserve">220.6762.1 C.2 </t>
  </si>
  <si>
    <t>IBIBULIA: eyilim Indakano yakhale nende Indakano imbia muluLuyia</t>
  </si>
  <si>
    <t>Oluluyia (Luyia)</t>
  </si>
  <si>
    <t>0-564-01073-1</t>
  </si>
  <si>
    <t xml:space="preserve">220.6762.1 C.1 </t>
  </si>
  <si>
    <t xml:space="preserve">220.6711 C.1 </t>
  </si>
  <si>
    <t xml:space="preserve">KALATE ZAMBE </t>
  </si>
  <si>
    <t>Bulu</t>
  </si>
  <si>
    <t>Alliance Biblique Du Cameroun</t>
  </si>
  <si>
    <t>0-564-03832-6</t>
  </si>
  <si>
    <t>Nwoma Krɔnkrɔn</t>
  </si>
  <si>
    <t>Fante</t>
  </si>
  <si>
    <t xml:space="preserve">220.6683 C.1 </t>
  </si>
  <si>
    <t>BIBLU WIWE LỌ</t>
  </si>
  <si>
    <t xml:space="preserve">Nigeria </t>
  </si>
  <si>
    <t>Gun- Alada</t>
  </si>
  <si>
    <t>Societe Biblique au Benin</t>
  </si>
  <si>
    <t>Mukanda Wakalunga</t>
  </si>
  <si>
    <t>Angola &amp; Zambia</t>
  </si>
  <si>
    <t>Luvale</t>
  </si>
  <si>
    <t>0-564-00802-8</t>
  </si>
  <si>
    <t xml:space="preserve">EBAIBOL ERI NA </t>
  </si>
  <si>
    <t>Isoko</t>
  </si>
  <si>
    <t>EBIBILIA ENCHENU</t>
  </si>
  <si>
    <t>Ekegusii</t>
  </si>
  <si>
    <t>Ekeombe Ki'Ebibilia Gia Kenya</t>
  </si>
  <si>
    <t>MBIVILIA (Maandiko Matheu ma Ngai)</t>
  </si>
  <si>
    <t>Kenya &amp; Tanzania</t>
  </si>
  <si>
    <t xml:space="preserve">Kikamba </t>
  </si>
  <si>
    <t>BIBLIA (Makomi Na Bulɛɛ Na Njambe Mabiangami Nkombo)</t>
  </si>
  <si>
    <t>Lingala (haut Fleuve)</t>
  </si>
  <si>
    <t>9-966-843-30-2</t>
  </si>
  <si>
    <t>BAIBELE wa Musilo (uwabamo Icipingo ca Kale ne Cipingo Cipya)</t>
  </si>
  <si>
    <t>Bemba Zambia</t>
  </si>
  <si>
    <t>0-7982-0039-1</t>
  </si>
  <si>
    <t xml:space="preserve">220.68 C.1  </t>
  </si>
  <si>
    <t>OMBIBELI (OYO OMUSHANGWA MUYAPUKI WA WANENENA METESTAMENTI LIKULU NOLIPE)</t>
  </si>
  <si>
    <t>Namibia dan Angola</t>
  </si>
  <si>
    <t>Kwanyama</t>
  </si>
  <si>
    <t>Ehanganombibeli Laafrika Lokoumbuwanhu</t>
  </si>
  <si>
    <t xml:space="preserve">220.6762 C.2 </t>
  </si>
  <si>
    <r>
      <rPr>
        <rFont val="Calibri"/>
        <color theme="1"/>
        <sz val="9.0"/>
      </rPr>
      <t xml:space="preserve">Iuku Ria Murungu             (Maandiko Jamatheru Ja Murungu Najo Nijo </t>
    </r>
    <r>
      <rPr>
        <rFont val="Calibri"/>
        <i/>
        <color rgb="FF000000"/>
        <sz val="9.0"/>
      </rPr>
      <t>Kiriikaniro Giikuru na Kiriikaniro Gikieru)</t>
    </r>
  </si>
  <si>
    <r>
      <rPr>
        <rFont val="Calibri"/>
        <color theme="1"/>
        <sz val="9.0"/>
      </rPr>
      <t xml:space="preserve">MUMA MALER (moting'o </t>
    </r>
    <r>
      <rPr>
        <rFont val="Calibri"/>
        <i/>
        <color rgb="FF000000"/>
        <sz val="9.0"/>
      </rPr>
      <t>Muma Machon kod Muma Manyien)</t>
    </r>
  </si>
  <si>
    <t>Luo</t>
  </si>
  <si>
    <t xml:space="preserve">225.469C.1 </t>
  </si>
  <si>
    <t>O NOVO TESTAMENTO (A Boa Nova Para Toda A Gnete)</t>
  </si>
  <si>
    <t>Portuguesa</t>
  </si>
  <si>
    <t>Sociedade Biblica Rua Jose Estevao</t>
  </si>
  <si>
    <t>R43 982-217-326-1</t>
  </si>
  <si>
    <t xml:space="preserve">220.499.462 SAM.B </t>
  </si>
  <si>
    <t xml:space="preserve">(Ole) TUSI PAIA </t>
  </si>
  <si>
    <t>Samoan</t>
  </si>
  <si>
    <t>The Bible Society in the South Pacific</t>
  </si>
  <si>
    <t>0-564-00263-1</t>
  </si>
  <si>
    <t xml:space="preserve">KITABU KITAKATIFU </t>
  </si>
  <si>
    <t>Luragooli</t>
  </si>
  <si>
    <t xml:space="preserve">TWERE KRONKRON ASANTE </t>
  </si>
  <si>
    <t xml:space="preserve">220.46 C.1 </t>
  </si>
  <si>
    <t xml:space="preserve">Spanish </t>
  </si>
  <si>
    <t>Dilengkapi dengan peta Alkitab &amp; glosarium</t>
  </si>
  <si>
    <t xml:space="preserve">Sociedades Biblicas En America Latina </t>
  </si>
  <si>
    <t>9-966-843-62-0</t>
  </si>
  <si>
    <t xml:space="preserve">Mukanda wa Nzambi </t>
  </si>
  <si>
    <t>Tshiluba</t>
  </si>
  <si>
    <t>0-564-02963-7</t>
  </si>
  <si>
    <t xml:space="preserve">225.6246 C.1 </t>
  </si>
  <si>
    <t>RUAC KUƆTH IN THIAK (NT)</t>
  </si>
  <si>
    <t xml:space="preserve">Nuer </t>
  </si>
  <si>
    <t>The Bible Society of the Sudan</t>
  </si>
  <si>
    <t>0-564-02992-0</t>
  </si>
  <si>
    <t xml:space="preserve">225.6694 C.1 </t>
  </si>
  <si>
    <t>Alkawal Kesal</t>
  </si>
  <si>
    <t>Fulfulde</t>
  </si>
  <si>
    <t xml:space="preserve">225.5955 C.1 </t>
  </si>
  <si>
    <t>Injil Ngan Katuk (New Testament)</t>
  </si>
  <si>
    <t>Brunei</t>
  </si>
  <si>
    <t>The Bible Society of Singapore, Malasyia &amp; Brunei</t>
  </si>
  <si>
    <t>Testament Ge Cigi Les Psaumes (NT)</t>
  </si>
  <si>
    <t>Ngambai</t>
  </si>
  <si>
    <t>Alliance Biblique du Cameroun</t>
  </si>
  <si>
    <t xml:space="preserve">225.6671 C.1 </t>
  </si>
  <si>
    <t xml:space="preserve">Apam Foforo </t>
  </si>
  <si>
    <t>Twi Akuapem</t>
  </si>
  <si>
    <t xml:space="preserve">225.6674 C.1 </t>
  </si>
  <si>
    <t xml:space="preserve">Naawuni Kundi Palli </t>
  </si>
  <si>
    <t>Dagbani</t>
  </si>
  <si>
    <t xml:space="preserve">Bible Society of Ghana </t>
  </si>
  <si>
    <t>0-564-03862-8</t>
  </si>
  <si>
    <t xml:space="preserve">225.6676 c.1 </t>
  </si>
  <si>
    <t>AHYƐMU FOFOR (NT)</t>
  </si>
  <si>
    <t xml:space="preserve">225.67511 C.1 </t>
  </si>
  <si>
    <t>Bulunda Bupya ne Mitotelo (NT)</t>
  </si>
  <si>
    <t>Kisanga</t>
  </si>
  <si>
    <t>Societe Biblique Du Zaire</t>
  </si>
  <si>
    <t xml:space="preserve">0-564-02872-X </t>
  </si>
  <si>
    <t xml:space="preserve">225.6675 C.1 </t>
  </si>
  <si>
    <t>SOMI HE  Ɔ</t>
  </si>
  <si>
    <t>Dangme</t>
  </si>
  <si>
    <t xml:space="preserve">225.6762 C.1 </t>
  </si>
  <si>
    <t>NKUMA INJEGA YA AMERU</t>
  </si>
  <si>
    <t xml:space="preserve">225.68941 C.1 </t>
  </si>
  <si>
    <t>LITABA ZE NDE ZA JESUS KRESTE (NT)</t>
  </si>
  <si>
    <t>Lozi</t>
  </si>
  <si>
    <t>0-564-02843-6</t>
  </si>
  <si>
    <t xml:space="preserve">220.6248 C.1 </t>
  </si>
  <si>
    <t>Wӓnyi Jwɔk Mɛn Nyan</t>
  </si>
  <si>
    <t>Shilluk NT</t>
  </si>
  <si>
    <t xml:space="preserve">225.851 C.1 </t>
  </si>
  <si>
    <t>Mosoq Testamento (Senorninchik Jesucristopa)</t>
  </si>
  <si>
    <t>Quechua: Ayacucho N.T.</t>
  </si>
  <si>
    <t>0-564-09522-2</t>
  </si>
  <si>
    <t xml:space="preserve">225.6691 C.1 </t>
  </si>
  <si>
    <t>ỌFỌ TITỌN TI ORIṢÉ BIRI IWÉ SAM (The New Testament and Psalms)</t>
  </si>
  <si>
    <t>Iṣẹkiri</t>
  </si>
  <si>
    <t>Bible Society of Nigeria</t>
  </si>
  <si>
    <t xml:space="preserve">225.6791 C.1 </t>
  </si>
  <si>
    <t xml:space="preserve">ATESTAMENTE LE' Ḍimpsha </t>
  </si>
  <si>
    <t>Mozambique</t>
  </si>
  <si>
    <t>Ronga (NT)</t>
  </si>
  <si>
    <t>Casa Da Biblia Maputo, Mozambique</t>
  </si>
  <si>
    <t xml:space="preserve">225.66681 C.1 </t>
  </si>
  <si>
    <t>NYANMIEN NDE UFLE</t>
  </si>
  <si>
    <t>Baoulé (NT)</t>
  </si>
  <si>
    <t xml:space="preserve">Societe Biblique En Afrique Occidentale </t>
  </si>
  <si>
    <t xml:space="preserve">225.68971 C.1 </t>
  </si>
  <si>
    <t>NLAKANO NAHIHANO MASALMO</t>
  </si>
  <si>
    <t>Lomwe (NT &amp; Psalms)</t>
  </si>
  <si>
    <t>0-564-03053-8</t>
  </si>
  <si>
    <t xml:space="preserve">225.6245 C.1 </t>
  </si>
  <si>
    <t xml:space="preserve">OFU U'DI RII AII LONGO OLE RI TRO </t>
  </si>
  <si>
    <t>Ma' di (NT &amp; Psalms)</t>
  </si>
  <si>
    <t>0-564-02243-8</t>
  </si>
  <si>
    <t xml:space="preserve">225.6241 C.1 </t>
  </si>
  <si>
    <t>ṮIKITAḎIZA ṮIAŊ</t>
  </si>
  <si>
    <t>Nuba Nairere (NT)</t>
  </si>
  <si>
    <t>0-7982-0606-3</t>
  </si>
  <si>
    <t xml:space="preserve">225.681 C.1 </t>
  </si>
  <si>
    <t>LiThestamente Lelisha neTihlabelelo</t>
  </si>
  <si>
    <t>SiSwati (NT &amp; Psalms)</t>
  </si>
  <si>
    <t>225.691 C.1</t>
  </si>
  <si>
    <t>TESTAMENTA VAOVAO</t>
  </si>
  <si>
    <t>Malagache</t>
  </si>
  <si>
    <t>KĨRĨKANĨRO KĨRĨA KĨERŨ KĨA JESU KRISTO</t>
  </si>
  <si>
    <t>Gikuyu (NT &amp; Psalms)</t>
  </si>
  <si>
    <t>0-564-02182-2</t>
  </si>
  <si>
    <t xml:space="preserve">225.6244 C.1 </t>
  </si>
  <si>
    <t>LOŊ CI PIAC MAC LOŊ DE YECU KRITHO</t>
  </si>
  <si>
    <r>
      <rPr>
        <rFont val="Calibri"/>
        <color theme="1"/>
        <sz val="9.0"/>
      </rPr>
      <t>Dinka Pada</t>
    </r>
    <r>
      <rPr>
        <rFont val="Calibri"/>
        <color rgb="FF000000"/>
        <sz val="9.0"/>
      </rPr>
      <t>Ŋ (NT)</t>
    </r>
  </si>
  <si>
    <t xml:space="preserve">225.6751 C.1 </t>
  </si>
  <si>
    <t>LUWAWANU LUAMONA</t>
  </si>
  <si>
    <t>Kikongo: Fioti (NT)</t>
  </si>
  <si>
    <t xml:space="preserve">225.67610 c.1 </t>
  </si>
  <si>
    <t>AKITUTUKET ŊINA KITETE</t>
  </si>
  <si>
    <t>Uganda</t>
  </si>
  <si>
    <t>Karimojong (NT)</t>
  </si>
  <si>
    <t>The Bible Society of  Uganda</t>
  </si>
  <si>
    <t xml:space="preserve">225.6741 C.1 </t>
  </si>
  <si>
    <t>TESTAMENT TI FINI</t>
  </si>
  <si>
    <t>Sango (Orthographe Francaise/NT)</t>
  </si>
  <si>
    <t>Le Foyer De La Bible Bangui</t>
  </si>
  <si>
    <t>220.520.8  HOL</t>
  </si>
  <si>
    <t>The Holy Bible Old And New Testament Translate In To The Burmese</t>
  </si>
  <si>
    <t>Burmese</t>
  </si>
  <si>
    <t xml:space="preserve">225.68972 C.1 </t>
  </si>
  <si>
    <t xml:space="preserve">ULWITIKANO ULUPYA </t>
  </si>
  <si>
    <t>Malawi</t>
  </si>
  <si>
    <t>Nyakyusa Ngonde (NT)</t>
  </si>
  <si>
    <t>Bible Society in Malawi</t>
  </si>
  <si>
    <t>9-966-84335-3</t>
  </si>
  <si>
    <t xml:space="preserve">225.67612 C.1 </t>
  </si>
  <si>
    <t xml:space="preserve">ENDAGAANO EMPYA NE ZABBULI </t>
  </si>
  <si>
    <t>Luganda (NT/Ps)</t>
  </si>
  <si>
    <t>Dilengkapi dengan peta Alkitab &amp; Kamus</t>
  </si>
  <si>
    <t>564-022233</t>
  </si>
  <si>
    <t xml:space="preserve">225.6243 C.1 </t>
  </si>
  <si>
    <t>KITHAM GINA GIYAŊ</t>
  </si>
  <si>
    <t>Nuba: Heiban (NT)</t>
  </si>
  <si>
    <t>The Bible Societies Sudan</t>
  </si>
  <si>
    <t xml:space="preserve">225.6247 C.1 </t>
  </si>
  <si>
    <t xml:space="preserve">TAO' BARO TO'DI LOŊGO </t>
  </si>
  <si>
    <t>Moru (NT/Ps)</t>
  </si>
  <si>
    <t>0-564-03183-6</t>
  </si>
  <si>
    <t>ÌRÒHÌN AYO</t>
  </si>
  <si>
    <t>Dilengkapi dengan peta Alkitab &amp; Kamu</t>
  </si>
  <si>
    <t xml:space="preserve">225.6677 C.1 </t>
  </si>
  <si>
    <t>NUBABLA YEYE LA KPLE PSALMOWO FE AGBALÉ</t>
  </si>
  <si>
    <t xml:space="preserve">Ewe </t>
  </si>
  <si>
    <t>978-9966-27-600-1</t>
  </si>
  <si>
    <t>220.967.61  EKI  Alk. Luganda  Thn. 2013</t>
  </si>
  <si>
    <t>Ekitabo  Etitukuvu - Bible in Luganda  Thn. 2013</t>
  </si>
  <si>
    <t>Luganda</t>
  </si>
  <si>
    <t>Bible Society of Uganda</t>
  </si>
  <si>
    <t>225.967.11  BIK  NT - Ngoumba  Thn. 1969</t>
  </si>
  <si>
    <t>Societe Biblique Cameroun - Gabon</t>
  </si>
  <si>
    <t>225.67512 LAS Fana Ngbangɔ - PB Ngbandi (Zaire) Thn. 1988</t>
  </si>
  <si>
    <t>Fana Ngbangɔ - PB. Ngbandi (Zaire) Thn. 1988</t>
  </si>
  <si>
    <t>220.669 THE Alk. Nupe (Nigeria) Thn. 1980</t>
  </si>
  <si>
    <t>Litafi Lilici - The Holy Bible in Nupe</t>
  </si>
  <si>
    <t>225.96</t>
  </si>
  <si>
    <t>ALKITAB/ PB/ PORT - ASIA</t>
  </si>
  <si>
    <t>220.495.7  HOL  Alk.Hankul, 1978</t>
  </si>
  <si>
    <t>Hankul</t>
  </si>
  <si>
    <t>220.495.7  HOL  Alk. Korea Thn. 1988</t>
  </si>
  <si>
    <t>The Holy Bible- Korea</t>
  </si>
  <si>
    <t>Korea Bible Society</t>
  </si>
  <si>
    <t>220.495.7  HOL  Alk. Hankul Thn. 1978</t>
  </si>
  <si>
    <t>The Holy Bible Hankul and Revised</t>
  </si>
  <si>
    <t>220.495.7  HOL  Alk. Korea  Thn. 1984</t>
  </si>
  <si>
    <t>The Holy Bible - Hankul and Revised</t>
  </si>
  <si>
    <t>225.495.7  KOR  PB. Korea Thn. 1967</t>
  </si>
  <si>
    <t>Korean New Testament</t>
  </si>
  <si>
    <t>220.495.1  KUO Alk. Kuoyu (China) Thn. 1963</t>
  </si>
  <si>
    <t>Kuoyu Bible - Shangti</t>
  </si>
  <si>
    <t>Kuoyu</t>
  </si>
  <si>
    <t>220.495.1  KUO Alk. Kuoyu (China) Thn. 1964</t>
  </si>
  <si>
    <t>220.495.1  KUO Alk. Kuoyu (China) Thn. 1966</t>
  </si>
  <si>
    <t>225.495.1  Kuoyu NT + Psalm  Thn. 1967</t>
  </si>
  <si>
    <t>Kuoyu NT + Psalm " Shangti Edition " , Thn. 1967</t>
  </si>
  <si>
    <t>12</t>
  </si>
  <si>
    <t>220.495.1  HOL  Alk. Chinese Sehari-hari  Thn. 1981</t>
  </si>
  <si>
    <t>The Holy Bible - Today's Chinese version</t>
  </si>
  <si>
    <t>13</t>
  </si>
  <si>
    <t>225.495.1  PB. China (The Parallel) Thn.</t>
  </si>
  <si>
    <t>The Parallel New Testament, Thn. 2002</t>
  </si>
  <si>
    <t>14</t>
  </si>
  <si>
    <t>220.495.1  BIB  Alk. Shangti (China)  Thn.1987</t>
  </si>
  <si>
    <t>Bible in Chinese Union Version-Shangti Ed.</t>
  </si>
  <si>
    <t>15</t>
  </si>
  <si>
    <t>220.495.1  HOL  Alk. China Sehari-hari Thn. 1991</t>
  </si>
  <si>
    <t>The Holy Bible - Today's Chinese  Thn. 1991</t>
  </si>
  <si>
    <t>16</t>
  </si>
  <si>
    <t>220.495.919  THA  Alk. Thailand  Thn. 1966</t>
  </si>
  <si>
    <t>Thai Holy Bible  Thn. 1966</t>
  </si>
  <si>
    <t>Thailand Bible House</t>
  </si>
  <si>
    <t>17</t>
  </si>
  <si>
    <t>971-130-016-8</t>
  </si>
  <si>
    <t>220.499.21  NAI  Alk. Ilokano  Thn. 1983</t>
  </si>
  <si>
    <t>Philipine  BibleSociety</t>
  </si>
  <si>
    <t>Phiplippina</t>
  </si>
  <si>
    <t>Ilokano</t>
  </si>
  <si>
    <t xml:space="preserve">Kamus </t>
  </si>
  <si>
    <t>18</t>
  </si>
  <si>
    <t>220.495.919  THA  Alk. Thailand  Thn. 1988</t>
  </si>
  <si>
    <t>Thai</t>
  </si>
  <si>
    <t>19</t>
  </si>
  <si>
    <t>221.499.919  THA  PL. Thailand Thn. 1966</t>
  </si>
  <si>
    <t>Thai Old Testament</t>
  </si>
  <si>
    <t>20</t>
  </si>
  <si>
    <t>220.495.919  BLU  Alk. Blue Meo (Thai)</t>
  </si>
  <si>
    <t>Blue Meo Shoreter SOT &amp; NT</t>
  </si>
  <si>
    <t>SOT-NT</t>
  </si>
  <si>
    <t>Blue Meo</t>
  </si>
  <si>
    <t>Comite Hulpverlening Southeast Asia Zoa</t>
  </si>
  <si>
    <t>21</t>
  </si>
  <si>
    <t>225.495.1 NEW PB.Kuoyu (China), Thn. 1977</t>
  </si>
  <si>
    <t>The New Testament Kuoyu - English</t>
  </si>
  <si>
    <t>22</t>
  </si>
  <si>
    <t>220.495.919 HOL Alk. Thailand Thn. 1983</t>
  </si>
  <si>
    <t>23</t>
  </si>
  <si>
    <t>220.495.919  HOL  Alk. Lisu (Thai) Thn. 1986</t>
  </si>
  <si>
    <t>The Holy Bible in Lisu</t>
  </si>
  <si>
    <t>Lisu</t>
  </si>
  <si>
    <t>24</t>
  </si>
  <si>
    <t>220.495.8  BEN  Alk. Bengali  Thn. 1988</t>
  </si>
  <si>
    <t>Bengali Bible</t>
  </si>
  <si>
    <t>Bangladesh</t>
  </si>
  <si>
    <t>Bengali</t>
  </si>
  <si>
    <t>Bangladesh Bible Society</t>
  </si>
  <si>
    <t>225.491.44  PB. Bengali  Thn. 1988</t>
  </si>
  <si>
    <t>Bengali - NT</t>
  </si>
  <si>
    <t>220.495.6  Alk. Japan  Thn. 1989</t>
  </si>
  <si>
    <t>Alkitab Japan</t>
  </si>
  <si>
    <t>974-8183-173</t>
  </si>
  <si>
    <t>220.495.919.1  LAO  SOT-NT Lao  Thn. 1999</t>
  </si>
  <si>
    <t>SOT-NT Lao</t>
  </si>
  <si>
    <t>SOT- NT</t>
  </si>
  <si>
    <t>Lao</t>
  </si>
  <si>
    <t>1-58516-122-5</t>
  </si>
  <si>
    <t>220.495.972  HOL  Alk.Blue Hmong (Thai) Thn.2000</t>
  </si>
  <si>
    <t>The Holy Bible in Blue Hmong</t>
  </si>
  <si>
    <t>Blue Hmong</t>
  </si>
  <si>
    <t>Korean Bible Society</t>
  </si>
  <si>
    <t>TBS-1989-2.5M</t>
  </si>
  <si>
    <t>220.495.91  BIB  Alk.Lahu (Thai)  Thn.1989</t>
  </si>
  <si>
    <t>LI HPU</t>
  </si>
  <si>
    <t>Lahu</t>
  </si>
  <si>
    <t>4-8202-1038-6</t>
  </si>
  <si>
    <t>220.495.6  BIB  Alk. Japan + DC  Thn. 1989</t>
  </si>
  <si>
    <t>Alkitab Japan + DC</t>
  </si>
  <si>
    <t>220.495.6  Alk. Japan  Thn.2007</t>
  </si>
  <si>
    <t>Alkitab Japan Thn. 2007</t>
  </si>
  <si>
    <t>220.495.6  HOL  Alk. Japan  Thn. 1987</t>
  </si>
  <si>
    <t xml:space="preserve">Japan </t>
  </si>
  <si>
    <t>220.495.6  BIB  Alk. Japan Thn. 1978</t>
  </si>
  <si>
    <t>Alk. Japan</t>
  </si>
  <si>
    <t>4-8202-1041-6</t>
  </si>
  <si>
    <t>220.495.6  BIB  Alk. Japan  Thn. 1989</t>
  </si>
  <si>
    <t>4-8202-1007-6</t>
  </si>
  <si>
    <t>220.495.6  BIB  Alk. Japan  Thn. 1981</t>
  </si>
  <si>
    <t>220.491.48  Hol  Alk. Gujarathi  Thn. 1989</t>
  </si>
  <si>
    <t>Alk. Gujarathi ( India )</t>
  </si>
  <si>
    <t>Alkitan</t>
  </si>
  <si>
    <t>Gujarathi</t>
  </si>
  <si>
    <t>The Bible Society of India</t>
  </si>
  <si>
    <t>220.491.48  SIN  Alk. Sinhala (India)  Thn. 1938</t>
  </si>
  <si>
    <t>Sinhala Bible</t>
  </si>
  <si>
    <t>Sinhala</t>
  </si>
  <si>
    <t>Ceylon Bible Society</t>
  </si>
  <si>
    <t>978-6-167218-42-7</t>
  </si>
  <si>
    <t>220.495.919  HOL  Alk. Thailand  Thn. 2011</t>
  </si>
  <si>
    <t>The Holy Bible - Thai Standard Version</t>
  </si>
  <si>
    <t>220.495.919  THA  Alk. Thailand  Thn. 1985</t>
  </si>
  <si>
    <t>Thai Bible</t>
  </si>
  <si>
    <t>225.495.919  THA  PB Thai  Thn. 1982</t>
  </si>
  <si>
    <t>220.495.919  LAI  Alk. LAI ( Hakka)  Thn.1995</t>
  </si>
  <si>
    <t>LAI Baibal Thiang - Holy Bible in LAI ( Hakka, Myanmar )</t>
  </si>
  <si>
    <t>Myanmar</t>
  </si>
  <si>
    <t>Hakka</t>
  </si>
  <si>
    <t>Lembaga Alkitab Indonesia untuk Bible Society of Myanmar</t>
  </si>
  <si>
    <t>220.495.932  BIB  Alk. KHMER  Thn. 1987</t>
  </si>
  <si>
    <t>The Bible In Khmer, Cambodian  Thn. 1987</t>
  </si>
  <si>
    <t>Cambodian</t>
  </si>
  <si>
    <t>Khmer</t>
  </si>
  <si>
    <t>220.491.44  BIB  Alk. Bengali  Thn. 1988</t>
  </si>
  <si>
    <t xml:space="preserve">Bengali Bible </t>
  </si>
  <si>
    <t>44</t>
  </si>
  <si>
    <t xml:space="preserve">225.491.495  NEW  PB. Nepali  ( English-Nepal) </t>
  </si>
  <si>
    <t>PB. Nepal ( English - Nepali )</t>
  </si>
  <si>
    <t>Nepali</t>
  </si>
  <si>
    <t>Nepal Bible Sociaety</t>
  </si>
  <si>
    <t>45</t>
  </si>
  <si>
    <t>220.495.1  KUO  Alk. Kuoyu-Shangti Thn. 1967</t>
  </si>
  <si>
    <t>Kuoyu Bible "Shangti"Ed. Thn. 1967</t>
  </si>
  <si>
    <t>Shangti</t>
  </si>
  <si>
    <t>46</t>
  </si>
  <si>
    <t>220.495.1  KUO  Alk. Chinese-Shangti Thn. 1977</t>
  </si>
  <si>
    <t>Kuoyu Bible "Shangti"Ed. Thn. 1977</t>
  </si>
  <si>
    <t>47</t>
  </si>
  <si>
    <t>220.495.1  KUO  Alk. Kuoyu-Shangti Thn. 1973</t>
  </si>
  <si>
    <t>Kuoyu Bible "Shangti"Ed. Thn. 1973</t>
  </si>
  <si>
    <t>48</t>
  </si>
  <si>
    <t>220.495.1  KUO  Alk. Kuoyu (Shangti Ed.)  Thn.1964</t>
  </si>
  <si>
    <t>Kuoyu Bible "Shangti"Ed. Thn. 1964</t>
  </si>
  <si>
    <t>49</t>
  </si>
  <si>
    <t>220.495.1  KUO  Alk. Kuoyu (Shangti Ed.)  Thn.1970</t>
  </si>
  <si>
    <t>Kuoyu Bible "Shangti"Ed. Thn. 1970</t>
  </si>
  <si>
    <t>50</t>
  </si>
  <si>
    <t>220.495.1  HOL Alk. Chinese Sehari-hari  Thn. 1991</t>
  </si>
  <si>
    <t>The Holy Bible - Today's Chinese Version, Thn. 1991</t>
  </si>
  <si>
    <t>51</t>
  </si>
  <si>
    <t>220.495.1  HOL  Alk. Rev. Chinese Union Version (Shangti Ed.)  Thn..2010</t>
  </si>
  <si>
    <t>The Holy Bible - Revised Chinese Union Version ( Shangti Edition ), Thn. 2010</t>
  </si>
  <si>
    <t>52</t>
  </si>
  <si>
    <t>220.491.492  HOL  Alk. Hindi  Thn. 1978</t>
  </si>
  <si>
    <t>The Holy Bible  - Hindi  Thn. 1978</t>
  </si>
  <si>
    <t>Hindi</t>
  </si>
  <si>
    <t>Bible Society of india</t>
  </si>
  <si>
    <t>53</t>
  </si>
  <si>
    <t>225.491.44  PB. Bengali  Thn.1992</t>
  </si>
  <si>
    <t>New Testament - Bengali, Thn. 1992</t>
  </si>
  <si>
    <t>Anjuman Printing Press</t>
  </si>
  <si>
    <t>54</t>
  </si>
  <si>
    <t>220.491.44  PB. Bengali  Thn.1992</t>
  </si>
  <si>
    <t>55</t>
  </si>
  <si>
    <t>225.454.9  PB. Pakistan (Chatolic)  Thn.2010</t>
  </si>
  <si>
    <t>New Testament - Pakistani, Thn. 1992</t>
  </si>
  <si>
    <t>56</t>
  </si>
  <si>
    <t>220.499.21  MAA  Alk. Pangasinan  Thn. 1983</t>
  </si>
  <si>
    <t>Maang a Balita Biblia - Alkitab Pangasinan  Thn. 1983</t>
  </si>
  <si>
    <t>Pangasinan</t>
  </si>
  <si>
    <t>Philippina Bible Society</t>
  </si>
  <si>
    <t>57</t>
  </si>
  <si>
    <t>220.499.21 ANG  Alk. Tagalog Thn. 2001</t>
  </si>
  <si>
    <t>Maang a Balita Biblia - Alkitab Pangasinan  Thn. 2001</t>
  </si>
  <si>
    <t>58</t>
  </si>
  <si>
    <t>220.499.21 AN  Alk. Bicol Thn. 1982</t>
  </si>
  <si>
    <t>An Biblia - Alkitab Bicol  Thn.1982</t>
  </si>
  <si>
    <t>Bicol</t>
  </si>
  <si>
    <t>59</t>
  </si>
  <si>
    <t>220.499.21 BAR  Alk. Samarenyo Thn. 1984</t>
  </si>
  <si>
    <t>Baraan Nga Biblia - Alkitab Samarenyo Popular Version Thn.1984</t>
  </si>
  <si>
    <t>Samarenyo</t>
  </si>
  <si>
    <t>60</t>
  </si>
  <si>
    <t>220.499.21 Maa Alk. Cebuano hn. 1988</t>
  </si>
  <si>
    <t>Maayong Balita Biblia  Alk. Cebuano  -  Thn.1988</t>
  </si>
  <si>
    <t>Cebuano</t>
  </si>
  <si>
    <t>61</t>
  </si>
  <si>
    <t>220.499.21 Maa Alk. Hiligaynon Thn. 1988</t>
  </si>
  <si>
    <t>Maayong Balita Nga Biblia  Alk. Hiligaynon  -  Thn.1988</t>
  </si>
  <si>
    <t>Hiligaynon</t>
  </si>
  <si>
    <t>62</t>
  </si>
  <si>
    <t>220.499.21  AN  Alk. Samarenyo  Thn. 1983</t>
  </si>
  <si>
    <t>An Baraan Nga Kasuratan Alk. Samarenyo  Thn. 1983</t>
  </si>
  <si>
    <t>63</t>
  </si>
  <si>
    <t>971-29-0110-6</t>
  </si>
  <si>
    <t>220.499.21  MAG Alk. Tagalog  Thn. 1980</t>
  </si>
  <si>
    <t>Amagandang Balita Biblia-  Alk. Tagalog Popular Version  Thn. 1980</t>
  </si>
  <si>
    <t>Tagalog Popular</t>
  </si>
  <si>
    <t>64</t>
  </si>
  <si>
    <t>220.499.21  ING  Alk. Pampango  Thn.1994</t>
  </si>
  <si>
    <t>Ing Mayap a Balita Biblia -   Alk. Pampango  Thn. 1994</t>
  </si>
  <si>
    <t>Alkiotab</t>
  </si>
  <si>
    <t>Pampango</t>
  </si>
  <si>
    <t>65</t>
  </si>
  <si>
    <t>971-29-0662-0</t>
  </si>
  <si>
    <t>220.499.21  TI  Alk. Ilokano Popular  Thn.</t>
  </si>
  <si>
    <t>Ti Baro A Naimbag A Damag Biblia -  Alk. Ilikano Popular Version</t>
  </si>
  <si>
    <t xml:space="preserve">Ilokano Popular </t>
  </si>
  <si>
    <t>Kamus , Peta</t>
  </si>
  <si>
    <t>66</t>
  </si>
  <si>
    <t>978-971-290-9115</t>
  </si>
  <si>
    <t>220.499.21  MAG Alk. Tagalog(Popular)  Thn. 2005</t>
  </si>
  <si>
    <t>MagandangBalita Biblia - Alk.  Tagalog Catholic Edition Thn. 2005</t>
  </si>
  <si>
    <t xml:space="preserve">Tagalog Popular </t>
  </si>
  <si>
    <t>Peta ,Kronolog Alkitab</t>
  </si>
  <si>
    <t>971-130-241-1</t>
  </si>
  <si>
    <t>220.499.21 Maayong Balita nga Biblia Alk. Hiligaynon Thn. 1983</t>
  </si>
  <si>
    <t>Maayong Balita nga Biblia - Alk. Hiligaynon</t>
  </si>
  <si>
    <t>Hiiligaynon</t>
  </si>
  <si>
    <t>Kronolog Alkitab, Peta, Indeks</t>
  </si>
  <si>
    <t>67</t>
  </si>
  <si>
    <t>971-29-0347-8</t>
  </si>
  <si>
    <t>220.499.21  Maayong Balita nga Biblia Alk. Hiligaynon 1983</t>
  </si>
  <si>
    <t>Maayong Balita Nga Biblia -  Alk. Hiligaynon(Populer Ed )  -  Thn.1988</t>
  </si>
  <si>
    <t>Hiligaynon (Populer Ed)</t>
  </si>
  <si>
    <t>68</t>
  </si>
  <si>
    <t>220.499.21  ING  Alk. Pampango  Thn.1996</t>
  </si>
  <si>
    <t>Ing Biblia Alk. Pampango - Alk. Pampango  Thn. 1986</t>
  </si>
  <si>
    <t>69</t>
  </si>
  <si>
    <t>220.499.21  MAU  Alk. Pangasinan  Thn. 1983</t>
  </si>
  <si>
    <t>Maung A Balita Biblia</t>
  </si>
  <si>
    <t>70</t>
  </si>
  <si>
    <t>971-130-009-5</t>
  </si>
  <si>
    <t>225.499.211  MAA  PB. Cebuano (Popular Version) Thn. 1985</t>
  </si>
  <si>
    <t>Maayong Balita Alang Kanimo</t>
  </si>
  <si>
    <t>71</t>
  </si>
  <si>
    <t>1-56320-009-0</t>
  </si>
  <si>
    <t>225.492.7  NEW  PB. Arab  Thn. 1995</t>
  </si>
  <si>
    <t>NT - Arab ( New International version ) Thn. 1995</t>
  </si>
  <si>
    <t>72</t>
  </si>
  <si>
    <t xml:space="preserve">220.495.1  NT - Chinese(  Shen Edition )  </t>
  </si>
  <si>
    <t>NT. Chinese ( Shen Edition )</t>
  </si>
  <si>
    <t>73</t>
  </si>
  <si>
    <t>971-130-734-0</t>
  </si>
  <si>
    <t>220.499.211  MAR  Alk. Bikol  Thn. 1992</t>
  </si>
  <si>
    <t>Marahay Na Bareta Biblia ( Alk. Bikol )  Thn. 1992</t>
  </si>
  <si>
    <t>Bikol</t>
  </si>
  <si>
    <t>74</t>
  </si>
  <si>
    <t>220.492.7  Alk. Arab  Thn. 1976</t>
  </si>
  <si>
    <t>75</t>
  </si>
  <si>
    <t>220.492.7  Alk. Arab  Thn. 1986</t>
  </si>
  <si>
    <t>Arabic Bible  Thn. 1986</t>
  </si>
  <si>
    <t>76</t>
  </si>
  <si>
    <t>220.492.7  ALK Arab  Thn. 1990</t>
  </si>
  <si>
    <t>Arabic Bible  Thn. 1990</t>
  </si>
  <si>
    <t>77</t>
  </si>
  <si>
    <t>220.494.35  KUT  Alk. Turkey</t>
  </si>
  <si>
    <t>Kutsal Kitab - Eski vc Yeni Antlasma (Tevrat, Zebur, Incil )</t>
  </si>
  <si>
    <t>Turki</t>
  </si>
  <si>
    <t>Bible Society of Turkey</t>
  </si>
  <si>
    <t>78</t>
  </si>
  <si>
    <t>79</t>
  </si>
  <si>
    <t>80</t>
  </si>
  <si>
    <t>220.937  HOL  Alk. Persia  Thn. 1966</t>
  </si>
  <si>
    <t>The Holy Bible in Persia  Thn. 1966</t>
  </si>
  <si>
    <t>Persia</t>
  </si>
  <si>
    <t>Persian</t>
  </si>
  <si>
    <t>Britain</t>
  </si>
  <si>
    <t>81</t>
  </si>
  <si>
    <t>225.495.1  KUO  Kuoyu  NT  &amp; Psalm Thn. 1967</t>
  </si>
  <si>
    <t>Kuoyu NT &amp; Psalm  Thn. 1967</t>
  </si>
  <si>
    <t>Bible Society of Hongkong</t>
  </si>
  <si>
    <t>82</t>
  </si>
  <si>
    <t>9980 63 177 5</t>
  </si>
  <si>
    <t>220.995.3  BIB  Alk. Motu ( Papua New Guinea )  Thn. 1984</t>
  </si>
  <si>
    <t>Alkitab Motu Thn. 1984</t>
  </si>
  <si>
    <t>Motu</t>
  </si>
  <si>
    <t>83</t>
  </si>
  <si>
    <t>220.995.3  BIB  Alk. Toaripi ( Papua New Guinea )  Thn. 1983</t>
  </si>
  <si>
    <t>Safu Buka  - Toaripi Langguage of Papua New Guinea Thn. 1983</t>
  </si>
  <si>
    <t>Toaripi</t>
  </si>
  <si>
    <t>84</t>
  </si>
  <si>
    <t>220.491.439  HOL  Alk. Urdu  Thn.1989</t>
  </si>
  <si>
    <t>The Holy Bible In Urdu  Thn. 1989</t>
  </si>
  <si>
    <t>Urdu</t>
  </si>
  <si>
    <t>Bible Society of Pakistan</t>
  </si>
  <si>
    <t>85</t>
  </si>
  <si>
    <t>220.937  HOL  Alk. Persia  Thn. 2000</t>
  </si>
  <si>
    <t>The Holy Bible In Persian  Thn. 2000</t>
  </si>
  <si>
    <t>86</t>
  </si>
  <si>
    <t>81 221 0000 9</t>
  </si>
  <si>
    <t>220.494.812  HOL  Alk. Malayalam  Thn. 1987</t>
  </si>
  <si>
    <t>The Holy Bible Malayalam</t>
  </si>
  <si>
    <t>Philppina</t>
  </si>
  <si>
    <t>Malayalam</t>
  </si>
  <si>
    <t>87</t>
  </si>
  <si>
    <t>220.499.59  HOL  Alk. Fiji  Thn. 1988</t>
  </si>
  <si>
    <t>AI VOLA TABU - The Holy Bible In Fijian  Thn. 1988</t>
  </si>
  <si>
    <t>Fiji ( South Pacific )</t>
  </si>
  <si>
    <t>Fiji</t>
  </si>
  <si>
    <t>Bible Society of South Pacific</t>
  </si>
  <si>
    <t>88</t>
  </si>
  <si>
    <t>The Holy Bible Hindi Thn. 1978</t>
  </si>
  <si>
    <t>89</t>
  </si>
  <si>
    <t>962 327 147 6</t>
  </si>
  <si>
    <t>220.495.932  BIB  Alk. Khmer  Thn. 2001</t>
  </si>
  <si>
    <t>The Bible In Khmer  Thn. 2001</t>
  </si>
  <si>
    <t>Kambodia</t>
  </si>
  <si>
    <t>90</t>
  </si>
  <si>
    <t>971-2-0037-1</t>
  </si>
  <si>
    <t>220.499.21  MAA  Alk. Cebuano  Thn. 2000</t>
  </si>
  <si>
    <t>Maayong Balita Biblia - Cebuano Popular Version  Thn. 2000</t>
  </si>
  <si>
    <t>Kamus,Kronologi Alkitab, Peta</t>
  </si>
  <si>
    <t>91</t>
  </si>
  <si>
    <t>81- 221- 4066- 1</t>
  </si>
  <si>
    <t>220.491.492  HOL  Alk. Hindi  Thn. 1994</t>
  </si>
  <si>
    <t>The Holy Bible Hindi Thn. 1994</t>
  </si>
  <si>
    <t>92</t>
  </si>
  <si>
    <t>81- 21- 0069- 4</t>
  </si>
  <si>
    <t>220.494.827  HOL  Alk. Telugu  Thn. 1987</t>
  </si>
  <si>
    <t>The Holy Bible - Telugu</t>
  </si>
  <si>
    <t>Teludu</t>
  </si>
  <si>
    <t>93</t>
  </si>
  <si>
    <t>962-327-382-7</t>
  </si>
  <si>
    <t>220.491.495  HOL  Alk. Nepali  Thn. 2005</t>
  </si>
  <si>
    <t>The Holy Bible ( New Revised Version )  Thn. 2005</t>
  </si>
  <si>
    <t>Nepal</t>
  </si>
  <si>
    <t>Nepal Bible Society</t>
  </si>
  <si>
    <t>94</t>
  </si>
  <si>
    <t>81-221-0243-3</t>
  </si>
  <si>
    <t>220.494.811  HOL  Alk. Tamil (India)  Thn. 2012</t>
  </si>
  <si>
    <t>The Holy Bible - Tamil O.V</t>
  </si>
  <si>
    <t>Tamil</t>
  </si>
  <si>
    <t>Bible Society Of India</t>
  </si>
  <si>
    <t>95</t>
  </si>
  <si>
    <t>81-88400-12-2</t>
  </si>
  <si>
    <t>220.494.812  Vishudha Sathyavedapusthakam  Alk. Malayalam Thn. 2007</t>
  </si>
  <si>
    <t>Vishudha Sathyavedapusthakam (Aaradhana Bible) Revised Modern Malayalam Version of The Holy  Bible, Thn. 2007</t>
  </si>
  <si>
    <t>World Foundation</t>
  </si>
  <si>
    <t>96</t>
  </si>
  <si>
    <t>220.494.811  HOL  Alk. Tamil  Thn. 1978</t>
  </si>
  <si>
    <t>The Holy Bible - Tamil O.V Edition  Thn. 1978</t>
  </si>
  <si>
    <t>97</t>
  </si>
  <si>
    <t>220.492.7  NEW NT Arabic  Thn. 1986</t>
  </si>
  <si>
    <t>Arabic NT  Thn. 1986</t>
  </si>
  <si>
    <t>United Bible Society ( UBS)</t>
  </si>
  <si>
    <t>98</t>
  </si>
  <si>
    <t>220.491.992  Armenia Bible  Thn. 1997</t>
  </si>
  <si>
    <t>UUSNRUQUCNR…… Armenian Bible  Thn. 1997</t>
  </si>
  <si>
    <t>Bible Society of Armenia</t>
  </si>
  <si>
    <t>99</t>
  </si>
  <si>
    <t>978-1-921445-90-3</t>
  </si>
  <si>
    <t>220.495.8  HOL  Alk. Myanmar (Burmese)  Thn. 2013</t>
  </si>
  <si>
    <t>The Holy Bible In Myanmar ( Burmese )  Thn. 2013</t>
  </si>
  <si>
    <t>Myanmar (Birma)</t>
  </si>
  <si>
    <t>United Bible Societies ( UBS )  Thn. 2013</t>
  </si>
  <si>
    <t>100</t>
  </si>
  <si>
    <t>225.499.222  NIE  NT. Jawa Suriname  Thn. 1999</t>
  </si>
  <si>
    <t>Kitab Sutyi Prejanjian Anyar - ing Basa Jawa Suriname, Thn. 1999</t>
  </si>
  <si>
    <t>Suriname</t>
  </si>
  <si>
    <t>Jawa Suriname</t>
  </si>
  <si>
    <t>The Bible League</t>
  </si>
  <si>
    <t>101</t>
  </si>
  <si>
    <t>225.495.932  NT Cambodian  Thn. 1987</t>
  </si>
  <si>
    <t>Cambodian NT  Thn. 1987</t>
  </si>
  <si>
    <t>Cambodia</t>
  </si>
  <si>
    <t xml:space="preserve">Cambodia Bible Society </t>
  </si>
  <si>
    <t>102</t>
  </si>
  <si>
    <t>981 220 311 7</t>
  </si>
  <si>
    <t>225.495.6  HOL  NT. Japan + Psalm  Thn. 2005</t>
  </si>
  <si>
    <t>Holy Bible -New Testament With Psalm  Thn. 2006</t>
  </si>
  <si>
    <t>103</t>
  </si>
  <si>
    <t>225.495.91  THA  PB. Thai  Thn. 1988</t>
  </si>
  <si>
    <t>Thai NT  Thn. 1988</t>
  </si>
  <si>
    <t>104</t>
  </si>
  <si>
    <t>9980-63-073-6</t>
  </si>
  <si>
    <t>225.499.12  LOI  Dobu - NT  Thn. 1988</t>
  </si>
  <si>
    <t>Dobu - NT  Thn. 1988</t>
  </si>
  <si>
    <t>Papua New Guinea (Port. Moresby)</t>
  </si>
  <si>
    <t>Dobu</t>
  </si>
  <si>
    <t>105</t>
  </si>
  <si>
    <t>225.495.919.1  LAO  Laotian - NT  Thn. 1986</t>
  </si>
  <si>
    <t>Laotian - NT  Thn. 1986</t>
  </si>
  <si>
    <t>Laotian</t>
  </si>
  <si>
    <t>Kambodia Bible Society</t>
  </si>
  <si>
    <t>106</t>
  </si>
  <si>
    <t>225.495.91  THA NT. Thai  Thn. 1984</t>
  </si>
  <si>
    <t>Thai NT  Thn. 1984</t>
  </si>
  <si>
    <t>107</t>
  </si>
  <si>
    <t xml:space="preserve">225.495.7  NEW  NT &amp; Psalm -Hankul  Thn 1969 </t>
  </si>
  <si>
    <t>NT&amp; Psalm . Hankul   Thn. 1969</t>
  </si>
  <si>
    <t>PB &amp; Psalm</t>
  </si>
  <si>
    <t>108</t>
  </si>
  <si>
    <t>225.495.7  NEW  NT &amp; Psalm -Hankul  Thn 1968</t>
  </si>
  <si>
    <t>NT&amp; Psalm . Hankul   Thn. 1968</t>
  </si>
  <si>
    <t>109</t>
  </si>
  <si>
    <t>220.495.1  KUO   Kuoyu Bible  Thn. 1974</t>
  </si>
  <si>
    <t>Alkitab Kuoyu  Thn. 1974</t>
  </si>
  <si>
    <t>Bible Society in Hongkong</t>
  </si>
  <si>
    <t>110</t>
  </si>
  <si>
    <t>225.427.995.3  NUP  NT. Tok Pisin</t>
  </si>
  <si>
    <t>Nupela Testamen</t>
  </si>
  <si>
    <t>Tok Pisin</t>
  </si>
  <si>
    <t>111</t>
  </si>
  <si>
    <t>225.495.992  SRA  NT - Koho   Thn. 1973</t>
  </si>
  <si>
    <t>Sra Goh Bota Ho-Bal Pa</t>
  </si>
  <si>
    <t>Koho</t>
  </si>
  <si>
    <t>Bible Society of Vietnam</t>
  </si>
  <si>
    <t>112</t>
  </si>
  <si>
    <t>225.495.922  CHA NT - Vietnam  Thn. 1979</t>
  </si>
  <si>
    <t>Chanly Binhan Hy-Vong  - Vietnam NT  Thn. 1979</t>
  </si>
  <si>
    <t>Vietnam</t>
  </si>
  <si>
    <t>113</t>
  </si>
  <si>
    <t>114</t>
  </si>
  <si>
    <t>220.495.1  KUO   Kuoyu Bible   Thn. 1971</t>
  </si>
  <si>
    <t>Kuoyu Bible  Thn. 1971</t>
  </si>
  <si>
    <t>115</t>
  </si>
  <si>
    <t>225.495.1  NEW  Chinese Union Version   Thn. 2006</t>
  </si>
  <si>
    <t>225.495.1  NEW  NT Chinese Union Version {Shangti Edition }  Thn. 2006</t>
  </si>
  <si>
    <t>116</t>
  </si>
  <si>
    <t>225.495.6  CHI  NT- Ainu  Thn. 1981</t>
  </si>
  <si>
    <t>Chikoro Utarapa Ne Yesu Kiristo - NT Ainu  Thn. 1981</t>
  </si>
  <si>
    <t>Ainu</t>
  </si>
  <si>
    <t>117</t>
  </si>
  <si>
    <t>225.499.211  ANG  NT Hiligaynon  Thn. 1987</t>
  </si>
  <si>
    <t>Ang Bag Ong Katipan - Hiligaynon NT  Thn. 1987</t>
  </si>
  <si>
    <t>118</t>
  </si>
  <si>
    <t>225.499.211  ANG  NT- Tagalog with Psalm  Thn. 1988</t>
  </si>
  <si>
    <t>Ang Bagong Tipan Ng Magandang Balita Biblia at Mga Awit</t>
  </si>
  <si>
    <t>Tagalog</t>
  </si>
  <si>
    <t>119</t>
  </si>
  <si>
    <t>9980 63  932 6</t>
  </si>
  <si>
    <t>225.495.3  GAG  NT Buang  Thn. 2003</t>
  </si>
  <si>
    <t>Gagek Mewis  NT - Buang  Thn. 2003</t>
  </si>
  <si>
    <t>Buang</t>
  </si>
  <si>
    <t>Papua New Guinea Society</t>
  </si>
  <si>
    <t>120</t>
  </si>
  <si>
    <t>225.499.222  NJO  PB. Jawa Suriname + Psalm, Thn. 1970</t>
  </si>
  <si>
    <t>Njo Testament Nanga Dem Psalm</t>
  </si>
  <si>
    <t>Netherlands</t>
  </si>
  <si>
    <t>NV. Grafische Industrie Haarlem</t>
  </si>
  <si>
    <t>121</t>
  </si>
  <si>
    <t>jkiiiii</t>
  </si>
  <si>
    <t>225.495.1  LEA  NT - Rev. Chinese Union Version, Thn. 2012</t>
  </si>
  <si>
    <t>The Learning Bible - Revised Chinese Union  (NT)</t>
  </si>
  <si>
    <t>122</t>
  </si>
  <si>
    <t>225.499.28  BER  Nt - Iban, Thn. 1983</t>
  </si>
  <si>
    <t>Berita Manah Ka rebak Diatu</t>
  </si>
  <si>
    <t>Iban</t>
  </si>
  <si>
    <t>The Bible Society of Singapore, Malaysia &amp; Brunei</t>
  </si>
  <si>
    <t>123</t>
  </si>
  <si>
    <t>220.495.1  Alk. China</t>
  </si>
  <si>
    <t>Alkitab China</t>
  </si>
  <si>
    <t>124</t>
  </si>
  <si>
    <t>986-7530-07-1</t>
  </si>
  <si>
    <t>220.495.1HOL  Alk. China Union Version Puction, Thn. 2004</t>
  </si>
  <si>
    <t>Alk. Chinese Union Version Punction, Thn. 2004</t>
  </si>
  <si>
    <t>125</t>
  </si>
  <si>
    <t>225.499.222  KIT  PB. Jawa (Suriname)  Thn. 1999</t>
  </si>
  <si>
    <t>225.495.1  GOO  NT-Chinese  Thn. 1976</t>
  </si>
  <si>
    <t>Good News For Modern Man - The New Testament in Todays Chinese, Thn. 1976</t>
  </si>
  <si>
    <t>220.495.1  Alk. Japan</t>
  </si>
  <si>
    <t>Alkitab Japan (Cov. merah)</t>
  </si>
  <si>
    <t>9980 63 128 7</t>
  </si>
  <si>
    <t>225.499.12  WEN  PB. Yongkom  Thn. 1987</t>
  </si>
  <si>
    <t>Weng Amun - NT Yongkom  Thn. 1987</t>
  </si>
  <si>
    <t>Yongkom</t>
  </si>
  <si>
    <t>225.495.6  NEW  NT - Good News Translation  Thn. 2014</t>
  </si>
  <si>
    <t>New Testament - Good News Translation</t>
  </si>
  <si>
    <t>225.492.7  Arabic NT  Thn. 1984</t>
  </si>
  <si>
    <t>Arabic NT  Thn. 1984</t>
  </si>
  <si>
    <t>225.491.43  NT - Hindi Thn. 1967</t>
  </si>
  <si>
    <t>NT - Hindi  Thn. 1967</t>
  </si>
  <si>
    <t>225.495.1  Thai NT  Thn. 1988</t>
  </si>
  <si>
    <t>NT - Thai  Thn. 1988</t>
  </si>
  <si>
    <t>225.495.1  NT Chinese   with Psalm / Proveb Thn. 2010</t>
  </si>
  <si>
    <t>NT - Chinese  Thn. 2010</t>
  </si>
  <si>
    <t>Chinese</t>
  </si>
  <si>
    <t>Taiwan Bible Society</t>
  </si>
  <si>
    <t>981 3099 21 6</t>
  </si>
  <si>
    <t>225.499.28  PER  PB Malay + Maz  Thn. 1988</t>
  </si>
  <si>
    <t>Perjanjian Baru dan Mazmur - Berita Baik Untuk Manusia Modern</t>
  </si>
  <si>
    <t>Malay</t>
  </si>
  <si>
    <t>Bible Society of Malaysia</t>
  </si>
  <si>
    <t>981 3099 20 8</t>
  </si>
  <si>
    <t>225.495.1  NT Chinese  Thn.1988</t>
  </si>
  <si>
    <t>NT - Chinese  Thn. 1988</t>
  </si>
  <si>
    <t>9980-63-089-2</t>
  </si>
  <si>
    <t>225.499.12  YES  NT - Selepet  Thn. 1987</t>
  </si>
  <si>
    <t>NT - Selepet  Thn. 1987 ( Papua New Guinea )</t>
  </si>
  <si>
    <t>Selepet</t>
  </si>
  <si>
    <t>Bible Society of Papua</t>
  </si>
  <si>
    <t>225.495.1  NEW  Kuoyu - English Thn. 1963</t>
  </si>
  <si>
    <t>The New Testament Kuoyu and English Thn. 1963</t>
  </si>
  <si>
    <t>225.495.1  NEW  NT Kuoyu - English  Thn. 1980</t>
  </si>
  <si>
    <t>New Testament Kuoyu - English  Thn. 1980</t>
  </si>
  <si>
    <t xml:space="preserve">Korea </t>
  </si>
  <si>
    <t>`</t>
  </si>
  <si>
    <t>225.495.1  NEW  NT Kuoyu - English  Thn. 1982</t>
  </si>
  <si>
    <t>New Testament Kuoyu - English  Thn. 1982</t>
  </si>
  <si>
    <t>225.495.1  NEW  NT Kuoyu - English  Thn. 1978</t>
  </si>
  <si>
    <t>New Testament Kuoyu - English  Thn. 1978</t>
  </si>
  <si>
    <t>225.495.1  NEW  NT Kuoyu - English  Thn. 1977</t>
  </si>
  <si>
    <t>New Testament Kuoyu - English  Thn. 1977</t>
  </si>
  <si>
    <t>962 293 8612</t>
  </si>
  <si>
    <t>225.495.1  NEW  Revised Chinese Union  Thn. 2006</t>
  </si>
  <si>
    <t>NT- Revised Chinese Union Version  Thn. 2006</t>
  </si>
  <si>
    <t>971-130-048-6</t>
  </si>
  <si>
    <t>225.499.211  MAB  NT - Tagalog  Thn. 1988</t>
  </si>
  <si>
    <t>Mabuting Balita Para Sa Ating Panahon  NT - Tagalog  Thn. 1988</t>
  </si>
  <si>
    <t>225.491.82  NT - Serbian &amp; Psalm  Thn. 1971</t>
  </si>
  <si>
    <t>NT- Serbian&amp; Psalm Thn. 1971</t>
  </si>
  <si>
    <t>962 327 011 9</t>
  </si>
  <si>
    <t>225.495.7  NT Hankul  Thn. 1984</t>
  </si>
  <si>
    <t>NT - Hankul  Thn. 1984</t>
  </si>
  <si>
    <t>225.495.1  KUO NT- Kuoyu (China) Thn. 1966</t>
  </si>
  <si>
    <t>NT - Kuoyu  Thn. 1966</t>
  </si>
  <si>
    <t>225.495.1  KUO NT- Kuoyu (China) Thn. 1974</t>
  </si>
  <si>
    <t>NT - Kuoyu  Thn. 1974</t>
  </si>
  <si>
    <t>Bible Societies in Republic of China</t>
  </si>
  <si>
    <t>225.492.7  NT-Arab  Thn. 1978</t>
  </si>
  <si>
    <t>NT - Arab  Thn. 1978</t>
  </si>
  <si>
    <t>Arabic</t>
  </si>
  <si>
    <t>Beirut</t>
  </si>
  <si>
    <t>225.966.62  NT - Liberia  Thn. 1988</t>
  </si>
  <si>
    <t>NT - Liberia  Thn. 1988</t>
  </si>
  <si>
    <t>Liberia</t>
  </si>
  <si>
    <t>Bible Society in Liberia</t>
  </si>
  <si>
    <t>225.491.47  NEW  NT - Gujarati  Thn. 1975</t>
  </si>
  <si>
    <t>NT - Gujarati  Thn. 1975</t>
  </si>
  <si>
    <t>Gujarati</t>
  </si>
  <si>
    <t>232.492.7  BOL  The Aposteles of Christ  Thn. 2017</t>
  </si>
  <si>
    <t>The Bold Proclamation of The Aposteles of Christ  Thn. 2017</t>
  </si>
  <si>
    <t>www.asraarulinjil.com</t>
  </si>
  <si>
    <t>226.492.7  TRU  Gospel &amp; Acts Arab  Thn. 2017</t>
  </si>
  <si>
    <t>The True Meaning of the Gospel and Acts in Arabic</t>
  </si>
  <si>
    <t>Alkalima</t>
  </si>
  <si>
    <t>220.492.7  Arabic Bible  Rhn. 1986</t>
  </si>
  <si>
    <t>220.495.1  HOL  Alk. TEV - TCV  Thn. 1992</t>
  </si>
  <si>
    <t>Holy Bible  TEV - TCV  Thn. 1992</t>
  </si>
  <si>
    <t>United Bible Societies ( UBS )</t>
  </si>
  <si>
    <t>225.494.48  NEW  NT Sinhalese  Thn. 1987</t>
  </si>
  <si>
    <t>The New Testament Revsed Version  - NT Sinhalese</t>
  </si>
  <si>
    <t>Sinhalese</t>
  </si>
  <si>
    <t>225.499.12  NT-Neo  Thn. 1969</t>
  </si>
  <si>
    <t xml:space="preserve">NT - Neo  Thn. 1969 ( Papua New Guinea / PNG )  </t>
  </si>
  <si>
    <t xml:space="preserve">Neo (PNG) </t>
  </si>
  <si>
    <t>225.937  NT Persian  Thn. 1966</t>
  </si>
  <si>
    <t>NT - Persian  Thn. 1966</t>
  </si>
  <si>
    <t>0 564 08239 2</t>
  </si>
  <si>
    <t>225.499.7  NT - Ga  Thn. 1977</t>
  </si>
  <si>
    <t>NT - Ga Thn. 1977</t>
  </si>
  <si>
    <t>225.499.12  NUP  NT -Papua New Guinea  Thn. 1988</t>
  </si>
  <si>
    <t>NT - Papua New Guinea  Thn. 1988</t>
  </si>
  <si>
    <t>Pidgin</t>
  </si>
  <si>
    <t>225.495.7  NT - Korea  Thn. 1967</t>
  </si>
  <si>
    <t>NT - Korea  Thn. 1967</t>
  </si>
  <si>
    <t>225.499.12  NT - Aekyom  Thn. 1987</t>
  </si>
  <si>
    <t>NT - Aekyom  Thn. 1987</t>
  </si>
  <si>
    <t>Aekyom</t>
  </si>
  <si>
    <t>4-8202-2018-7</t>
  </si>
  <si>
    <t>225.495.6  NT - Japan  Ps +Hymm  Thn. 1982</t>
  </si>
  <si>
    <t>NT - Japan Ps + Hymm  Thn. 1982</t>
  </si>
  <si>
    <t>220.495.6  Alk. Japan  Thn. 1968</t>
  </si>
  <si>
    <t>Alk. Japan  Thn. 1968</t>
  </si>
  <si>
    <t>225.495.932  NT - Khmer  Thn. 1982</t>
  </si>
  <si>
    <t>Nt - Khmer  Thn. 1982</t>
  </si>
  <si>
    <t>Khmer Bible Society</t>
  </si>
  <si>
    <t>4-8202-2029-2</t>
  </si>
  <si>
    <t>225.495.6  NT - Japan - English  Thn. 1985</t>
  </si>
  <si>
    <t>NT - Japan - English  Thn. 1985</t>
  </si>
  <si>
    <t>225.495.6  NT - Japan - English  Thn. 1982</t>
  </si>
  <si>
    <t>NT - Japan - English  Thn. 1982</t>
  </si>
  <si>
    <t>4-8202-3234-7</t>
  </si>
  <si>
    <t>225.495.6  NT Japan  Thn. 2005</t>
  </si>
  <si>
    <t>NT - Japan  Thn. 2005</t>
  </si>
  <si>
    <t>975-462-013X</t>
  </si>
  <si>
    <t>225.494.35  NT - Turkish Thn. 1988</t>
  </si>
  <si>
    <t>NT - Turkish</t>
  </si>
  <si>
    <t>Turkish</t>
  </si>
  <si>
    <t>United Bible Sociaties</t>
  </si>
  <si>
    <t>225.491.44  NT - Bengali  Thn. 1989</t>
  </si>
  <si>
    <t>NT - Bengali  Thn. 1989</t>
  </si>
  <si>
    <t>971-130-050-8</t>
  </si>
  <si>
    <t>225.499.211  ANG  NT- Tagalog with psalm   Thn. 1988</t>
  </si>
  <si>
    <t>NT - Tagalog with psalm  Thn. 1988</t>
  </si>
  <si>
    <t>225.495.7  NT - Hankul  Thn. 1989</t>
  </si>
  <si>
    <t>NT - Hankul  Thn. 1989</t>
  </si>
  <si>
    <t>225.495.6  NT - Japan  Thn. 1975</t>
  </si>
  <si>
    <t>NT - Japan  Thn. 1975</t>
  </si>
  <si>
    <t>4-8202-2034-9</t>
  </si>
  <si>
    <t>225.495.6  NOV  NT - Japan  Thn. 1988</t>
  </si>
  <si>
    <t>NT - Japan  Thn. 1988</t>
  </si>
  <si>
    <t>0-8276-0366-5</t>
  </si>
  <si>
    <t>221.52  TAN  The Jewish Bible  Thn. 1985</t>
  </si>
  <si>
    <t>The Jewish Bible - Tanakh The Holy Scriptures</t>
  </si>
  <si>
    <t>225.499.28 PB MANUSIA MODERN Thn. 1976</t>
  </si>
  <si>
    <t>Perjanjian Baru dan Mazmur - Berita Baik Untuk Manusia Modern  Thn. 1976</t>
  </si>
  <si>
    <t>The Bible Society of Singapore, Malaysia, Brunei</t>
  </si>
  <si>
    <t>978-0-647-50931-9</t>
  </si>
  <si>
    <t>220.499.15  HOL  Alk. Kriol  Thn. 2007</t>
  </si>
  <si>
    <t>Holi Baibul - The Bible in the Kriol of Northern Australia Thn. 2007</t>
  </si>
  <si>
    <t>9980 63 009 4</t>
  </si>
  <si>
    <t>225.499.12  ENA  NT - Enga  Thn. 1988</t>
  </si>
  <si>
    <t>NT - Enga  Thn. 1988 ( Papua New Guinea )</t>
  </si>
  <si>
    <t>220.51  NT China - Inggris  Thn. 1988</t>
  </si>
  <si>
    <t>NT  China - Inggris  Thn. 1988</t>
  </si>
  <si>
    <t>962-293-089-1</t>
  </si>
  <si>
    <t>225.520.82  NEW  NT. China  Thn. 1993</t>
  </si>
  <si>
    <t>NT - China  Thn. 1993</t>
  </si>
  <si>
    <t>Unted Bible Society</t>
  </si>
  <si>
    <t>978-1-9376282-3-9</t>
  </si>
  <si>
    <t>225.520.82  HOL  NT - TEV  Thn. 2012</t>
  </si>
  <si>
    <t>The Holy  NT - TEV  Thn. 2012</t>
  </si>
  <si>
    <t>81-221-2485-X</t>
  </si>
  <si>
    <t>220.04  BIB  Ronnie's Bible  Thn. 2007</t>
  </si>
  <si>
    <t>225.520.1  LEV  Nt - Level 27  Thn. 1994</t>
  </si>
  <si>
    <t>NT - Level 27  Thn. 1994</t>
  </si>
  <si>
    <t>Bible Society Australia</t>
  </si>
  <si>
    <t>225.520.1  BIB  The Bible For Today's Family</t>
  </si>
  <si>
    <t>225.520.1  BIB  The Bible For Today Family  Thn. 1991</t>
  </si>
  <si>
    <t>Ekitabo Ekitukuvu - The Bible in Luganda  Thn. 2013</t>
  </si>
  <si>
    <t>Bible Society Uganda</t>
  </si>
  <si>
    <t>220.495.1  BIB  Alk. China  Thn. 2010</t>
  </si>
  <si>
    <t>BIBle - English Standard Version  ( China-English)  Thn. 2012</t>
  </si>
  <si>
    <t>Bible Society of  Singapore</t>
  </si>
  <si>
    <t>220.495.1  HOL  Holy Bible Chinese - English  Thn. 2008</t>
  </si>
  <si>
    <t>Holy Bible - Chinese / English  Thn. 2008 ( English Standard Version )</t>
  </si>
  <si>
    <t>Bible Society of China</t>
  </si>
  <si>
    <t xml:space="preserve">220.520.3  HOL  Holy Bible - KJV </t>
  </si>
  <si>
    <t>Holy Bible - KJV</t>
  </si>
  <si>
    <t xml:space="preserve">Dilengkapi Kamus </t>
  </si>
  <si>
    <t>220.1958 BIB Sqaw Karen Bible - Alk. Sqaw Karen (Myanmar) Thn. 1985</t>
  </si>
  <si>
    <t>Sqaw Karen Bible 43 (1985)</t>
  </si>
  <si>
    <t>Sgaw Karen</t>
  </si>
  <si>
    <t>Tulisan Sgaw Karen</t>
  </si>
  <si>
    <t>Rengah Jian</t>
  </si>
  <si>
    <t>Nabantuan Bagu</t>
  </si>
  <si>
    <t>220.599.2 Bup Kudus Baru - Alk. Iban Thn.</t>
  </si>
  <si>
    <t>225.599 Kawenata Hou PB. Maori Thn. 1983</t>
  </si>
  <si>
    <t>Kawenata Hou</t>
  </si>
  <si>
    <t>Maori</t>
  </si>
  <si>
    <t>The Bible Society in New Zealand</t>
  </si>
  <si>
    <t>9980-63-012-4</t>
  </si>
  <si>
    <t>220.599 THE Buku Baepole - Alk. Kyaka Enga 1987</t>
  </si>
  <si>
    <t xml:space="preserve">Buku Baepole (Anatunya Buku Baepole) </t>
  </si>
  <si>
    <t>Kyaka Enga</t>
  </si>
  <si>
    <t xml:space="preserve">220.5994 THE Te Biblia Mo'a Ra - Alk. Tahiti </t>
  </si>
  <si>
    <t>Te Bibilia Mo'a Ra (Oia Te Faufaa Tahito E Te Faufaa Api Ra)</t>
  </si>
  <si>
    <t>Tahitian</t>
  </si>
  <si>
    <t xml:space="preserve">225.59915 T54 </t>
  </si>
  <si>
    <t xml:space="preserve">Tjukurpa Palya Jesunya </t>
  </si>
  <si>
    <t>Pitjantjatjara</t>
  </si>
  <si>
    <t>The British &amp; Foreign Bible Society in Australia</t>
  </si>
  <si>
    <t xml:space="preserve">220.9614 C.1 </t>
  </si>
  <si>
    <t>TUSI PAIA</t>
  </si>
  <si>
    <t>Samoa</t>
  </si>
  <si>
    <t>Samoan (PL &amp; PB)</t>
  </si>
  <si>
    <t xml:space="preserve">220.5994 T 87 </t>
  </si>
  <si>
    <t>220.520.82  BIB i</t>
  </si>
  <si>
    <t>Artikel-artikel</t>
  </si>
  <si>
    <t>Bible Society New Zealand</t>
  </si>
  <si>
    <t>220.5994 O Le Tusi Paia Alk. Samoa Thn. 1969</t>
  </si>
  <si>
    <t>O Le Tusi Paia</t>
  </si>
  <si>
    <t>225.599 Injil Ngan Katuk Alk. Kenyah Thn. 1971</t>
  </si>
  <si>
    <t>Injil Ngan Katuk: Palai Surat chen Kitap Tuket Mading</t>
  </si>
  <si>
    <t>Kenyah</t>
  </si>
  <si>
    <t>The Bible Society of Singapore, Malaysia and Brunei</t>
  </si>
  <si>
    <t>KOLEKSI ANAK - NON LAI</t>
  </si>
  <si>
    <t>978-979-29-5705-1</t>
  </si>
  <si>
    <t>222 MAH</t>
  </si>
  <si>
    <t>Mengenal dan Belajar dari Raja-Raja Israel dan Yehuda</t>
  </si>
  <si>
    <t>Ratih Maharani</t>
  </si>
  <si>
    <t xml:space="preserve">R. Audio Visual Anak </t>
  </si>
  <si>
    <t>978-979-295-739-6</t>
  </si>
  <si>
    <t>220 MAH</t>
  </si>
  <si>
    <t>100 Cerita Tentang Musa</t>
  </si>
  <si>
    <t>978-979-295-736-5</t>
  </si>
  <si>
    <t>230 MAH</t>
  </si>
  <si>
    <t>Allah Sumber Mujizat Bagian 1</t>
  </si>
  <si>
    <t>978-979-295-743-3</t>
  </si>
  <si>
    <t>Allah Sumber Mujizat Bagian 2</t>
  </si>
  <si>
    <t>978-603-231-541-4</t>
  </si>
  <si>
    <t>220.9 CER</t>
  </si>
  <si>
    <t xml:space="preserve">Cerita Alkitab Pilihan Perjanjian Lama </t>
  </si>
  <si>
    <t xml:space="preserve">Indonesia &amp; Inggris </t>
  </si>
  <si>
    <t>Bpk. Gunung Mulia Team</t>
  </si>
  <si>
    <t>978-603-231-542-1</t>
  </si>
  <si>
    <t xml:space="preserve">Cerita Alkitab Pilihan Perjanjian Baru </t>
  </si>
  <si>
    <t>978-602-327-041-5</t>
  </si>
  <si>
    <t>Membaca dan Mewarnai Cerita Alkitab Perjanjian Baru</t>
  </si>
  <si>
    <t>f57</t>
  </si>
  <si>
    <t>978-602-231-548-3</t>
  </si>
  <si>
    <t>153.9 AKU</t>
  </si>
  <si>
    <t>Aku Bisa Besikap Baik</t>
  </si>
  <si>
    <t>978-602-231-247-5</t>
  </si>
  <si>
    <t>220.9 SAA</t>
  </si>
  <si>
    <t>Saat Teduh Anak Yesus Sahabatku, Usia 3-5</t>
  </si>
  <si>
    <t>978-602-231-162-1</t>
  </si>
  <si>
    <t>Saat Teduh Anak Yesus Sahabatku, Usia 9-10</t>
  </si>
  <si>
    <t>Saat Teduh Anak Yesus Sahabatku, Usia 11-12</t>
  </si>
  <si>
    <t>978-602-982-920-4</t>
  </si>
  <si>
    <t>220 SCH</t>
  </si>
  <si>
    <t>Antarlah Anak-Anak  ke Allah</t>
  </si>
  <si>
    <t>978-979-687-983-0</t>
  </si>
  <si>
    <t>220.61 BAI</t>
  </si>
  <si>
    <t>Melintasi Negeri-Negeri Di Alkitab</t>
  </si>
  <si>
    <t>978-979-678-973-1</t>
  </si>
  <si>
    <t xml:space="preserve">Model Bait Suci Salomo </t>
  </si>
  <si>
    <t>978-602-231-001-3</t>
  </si>
  <si>
    <t>220.61 TAB</t>
  </si>
  <si>
    <r>
      <rPr>
        <rFont val="Calibri"/>
        <color theme="1"/>
        <sz val="9.0"/>
      </rPr>
      <t xml:space="preserve">Model Tabernakel (kemah Pertemuan) </t>
    </r>
    <r>
      <rPr>
        <rFont val="Calibri"/>
        <i/>
        <color rgb="FF000000"/>
        <sz val="9.0"/>
      </rPr>
      <t>Bonus Sisipan Maket Tabernakel</t>
    </r>
  </si>
  <si>
    <t>978-602-231-000-6</t>
  </si>
  <si>
    <t>220.61 KEH</t>
  </si>
  <si>
    <t>Kehidupan Zaman Alkitab (Seri Discovery)</t>
  </si>
  <si>
    <t>978-602-8537-94-0</t>
  </si>
  <si>
    <t>220.9 SAL</t>
  </si>
  <si>
    <t>Salomo Raja yang Bijaksana</t>
  </si>
  <si>
    <t>C. John Syauta</t>
  </si>
  <si>
    <t>978-602-8537-45-2</t>
  </si>
  <si>
    <t>220.9 DAU</t>
  </si>
  <si>
    <t>Daud Melawan Goliat</t>
  </si>
  <si>
    <t>978-602-8537-76-6</t>
  </si>
  <si>
    <t>220.9 ABR</t>
  </si>
  <si>
    <t>Abraham Taat Kepada Tuhan</t>
  </si>
  <si>
    <t>978-602-8537-44-5</t>
  </si>
  <si>
    <t>220.9 NUH</t>
  </si>
  <si>
    <t>Nuh dan Air Bah</t>
  </si>
  <si>
    <t>978-602-8537-47-6</t>
  </si>
  <si>
    <t>220.9 DAN</t>
  </si>
  <si>
    <t>Daniel Dalam Gua Singa</t>
  </si>
  <si>
    <t>978-602-8537-71-1</t>
  </si>
  <si>
    <t>220.9 MAR</t>
  </si>
  <si>
    <t>Maria Ibu Yesus</t>
  </si>
  <si>
    <t>978-602-8537-93-3</t>
  </si>
  <si>
    <t>Maria Magdalena, Perempuan Yang Mengasihi Yesus</t>
  </si>
  <si>
    <t>978-602-8537-91-9</t>
  </si>
  <si>
    <t>220.9 MUS</t>
  </si>
  <si>
    <t>Musa Menuntun Umat Tuhan</t>
  </si>
  <si>
    <t>978-602-8537-72-8</t>
  </si>
  <si>
    <t>220.9 ZAK</t>
  </si>
  <si>
    <t>Zakheus Bertemu Yesus dan Bertobat</t>
  </si>
  <si>
    <t>978-602-8537-48-3</t>
  </si>
  <si>
    <t>220.9 YUS</t>
  </si>
  <si>
    <t>Yusuf menjadi Penguasa</t>
  </si>
  <si>
    <t>978-602-8537-46-9</t>
  </si>
  <si>
    <t>220.9 PAU</t>
  </si>
  <si>
    <t>Paulus Menberitakan Injil</t>
  </si>
  <si>
    <t>978-602-8537-75-9</t>
  </si>
  <si>
    <t xml:space="preserve">220.9 HAN </t>
  </si>
  <si>
    <t xml:space="preserve">Hana Berdoa Kepada Tuhan </t>
  </si>
  <si>
    <t>978-602-8537-87-2</t>
  </si>
  <si>
    <t>220.9 RUT</t>
  </si>
  <si>
    <t xml:space="preserve">Rut menjaga Naomi </t>
  </si>
  <si>
    <t>978-602-8537-96-4</t>
  </si>
  <si>
    <t>220.9 SAM</t>
  </si>
  <si>
    <t xml:space="preserve">Samuel Mendengar Suara Tuhan </t>
  </si>
  <si>
    <t>978-602-8537-98-8</t>
  </si>
  <si>
    <t xml:space="preserve">Marta Dan Saudaranya, Maria </t>
  </si>
  <si>
    <t>978-602-8537-74-2</t>
  </si>
  <si>
    <t>220.9 GID</t>
  </si>
  <si>
    <t>Gideon Dan Pasukannya</t>
  </si>
  <si>
    <t>978-602-8537-90-2</t>
  </si>
  <si>
    <t>220.9 YAK</t>
  </si>
  <si>
    <t>Yakub kembali ke Rumah Ayahnya</t>
  </si>
  <si>
    <t>978-602-8537-97-1</t>
  </si>
  <si>
    <t>220.9 ELI</t>
  </si>
  <si>
    <t>Elia dan Bulu-Buli Minyak</t>
  </si>
  <si>
    <t>978-602-8537-95-7</t>
  </si>
  <si>
    <t>220.9 YOH</t>
  </si>
  <si>
    <t xml:space="preserve">Yohanes Pembabtis menyiapkan jalan bagi Tuhan </t>
  </si>
  <si>
    <t>978-602-8537-73-5</t>
  </si>
  <si>
    <t>220.9 YES</t>
  </si>
  <si>
    <t>Yesus Anak Allah</t>
  </si>
  <si>
    <t>978-602-8537-88-9</t>
  </si>
  <si>
    <t xml:space="preserve">220.9 PET </t>
  </si>
  <si>
    <t>Petrus Berjalan di Atas Air</t>
  </si>
  <si>
    <t>978-602-8537-49-0</t>
  </si>
  <si>
    <t>220.9 EST</t>
  </si>
  <si>
    <t xml:space="preserve">Esther Menyelamatkan Bangsanya </t>
  </si>
  <si>
    <t>268.432 CER</t>
  </si>
  <si>
    <t>Cerita Bergambar Ucapan Syukur kepada Tuhan</t>
  </si>
  <si>
    <t>Stephanie McFetridge Britt</t>
  </si>
  <si>
    <t>Alice Saputra Communications</t>
  </si>
  <si>
    <t>979-9439-26-4</t>
  </si>
  <si>
    <t>232 GOD</t>
  </si>
  <si>
    <t>God Made Me to Love Him</t>
  </si>
  <si>
    <t>Joy To Learn</t>
  </si>
  <si>
    <t>978-1-4003-1804-9</t>
  </si>
  <si>
    <t>268.432 LUC t</t>
  </si>
  <si>
    <t>Thank You, God, for Loving Me</t>
  </si>
  <si>
    <t>Max Lucado</t>
  </si>
  <si>
    <t>978-0-7459-6075-3</t>
  </si>
  <si>
    <t>224.92 JON</t>
  </si>
  <si>
    <t>All Join In Jonah and the Big Fish</t>
  </si>
  <si>
    <t>Christina Goodings</t>
  </si>
  <si>
    <t>Trafalgar Square Publishing</t>
  </si>
  <si>
    <t xml:space="preserve">220.92 MAC b </t>
  </si>
  <si>
    <t>Berkenalan dengan Para Tokoh Perjanjian Baru</t>
  </si>
  <si>
    <t>Catherine  Mackenzie</t>
  </si>
  <si>
    <t>Gloria Grafia</t>
  </si>
  <si>
    <t>979001131-8</t>
  </si>
  <si>
    <t>372.55 PAA b</t>
  </si>
  <si>
    <t>Berkreasi Bersama Yesus: Kreasi Kertas untuk Anak-anak Sekolah Minggu</t>
  </si>
  <si>
    <t xml:space="preserve">Revi Devi Paat </t>
  </si>
  <si>
    <t>979-9439-68-X</t>
  </si>
  <si>
    <t xml:space="preserve">268.432 HOR I </t>
  </si>
  <si>
    <t>I'm Glad I'm Your Mother</t>
  </si>
  <si>
    <t>Bill &amp; Kathy Horlacher</t>
  </si>
  <si>
    <t>978-602-96545-1-6</t>
  </si>
  <si>
    <t>796.332.63 LET</t>
  </si>
  <si>
    <t>Let's Play Ball: Everything you want to know about balls</t>
  </si>
  <si>
    <t>Paddy</t>
  </si>
  <si>
    <t>979-3292-15-6</t>
  </si>
  <si>
    <t>248.32 AND</t>
  </si>
  <si>
    <t>Aku Dapat Berbicara dengan Allah (Anak-anak, usia 3-7)</t>
  </si>
  <si>
    <t>Debby Anderson</t>
  </si>
  <si>
    <t>979-9439-38-8</t>
  </si>
  <si>
    <t>248.32 PRA</t>
  </si>
  <si>
    <t>Praying The Will of God into My Life (Berdoa atas Kehendak Tuhan dalam hidupku)</t>
  </si>
  <si>
    <t>English-Indonesia</t>
  </si>
  <si>
    <t>13-978-1-58134-861-3</t>
  </si>
  <si>
    <t>241.4 AND k</t>
  </si>
  <si>
    <t>Kindness Counts!</t>
  </si>
  <si>
    <t>A Publishing Ministry of Good News Publishers</t>
  </si>
  <si>
    <t>979-21-0109-8</t>
  </si>
  <si>
    <t xml:space="preserve">808.882 SUM n </t>
  </si>
  <si>
    <t>NATO: No Action Talk Only (100 Cerita Bijak)</t>
  </si>
  <si>
    <t>Yustinus Sumantri Hp.</t>
  </si>
  <si>
    <t>220.920NUB.h</t>
  </si>
  <si>
    <t>Hagar dan Putri-putrinya: Perempuan Tertindasdalam Alkitab</t>
  </si>
  <si>
    <t xml:space="preserve">Dr. Eben Nuban Timo </t>
  </si>
  <si>
    <t>978-1-58411-090-3</t>
  </si>
  <si>
    <t>268.432 KYL c</t>
  </si>
  <si>
    <t>The Christian Girl's Guide to: Create the Most Stylish You Inside &amp; Out!</t>
  </si>
  <si>
    <t>Amerika Serikat</t>
  </si>
  <si>
    <t>(Interior Illustrator: Anita DuFalla)</t>
  </si>
  <si>
    <t xml:space="preserve">Legacy press </t>
  </si>
  <si>
    <t>979-9439-43-4</t>
  </si>
  <si>
    <t>236.24 HEA</t>
  </si>
  <si>
    <t>Heaven is a Wonderful Place</t>
  </si>
  <si>
    <t>978-979-687-807-9</t>
  </si>
  <si>
    <t xml:space="preserve">920.008 HIG </t>
  </si>
  <si>
    <t>Ibu Teresa: Wanita yang Melayani Kaum Termiskin di Antara Kaum Miskin</t>
  </si>
  <si>
    <t>Caroline Higgins</t>
  </si>
  <si>
    <t>978-979-687-867-3</t>
  </si>
  <si>
    <t xml:space="preserve">220.950.5 GOD c </t>
  </si>
  <si>
    <t>66 Cerita Alkitab Pertamaku (Bible Character Building For Kids)</t>
  </si>
  <si>
    <t xml:space="preserve">Jan Godfrey &amp; Paola Bertolini Grudina </t>
  </si>
  <si>
    <t>979-9439-52-3</t>
  </si>
  <si>
    <t>268.432 WEA m</t>
  </si>
  <si>
    <t>Mean Billy Joe Gill: Teaching the Truth About Respect</t>
  </si>
  <si>
    <t xml:space="preserve">Joanna Weaver </t>
  </si>
  <si>
    <t>978-09857928-00</t>
  </si>
  <si>
    <t>268.432 SAN c</t>
  </si>
  <si>
    <t>The Christian Alphabet Book: Teaching Children About Jesus, Prayer and the Bible</t>
  </si>
  <si>
    <t>Tracy Sands</t>
  </si>
  <si>
    <t>Love the Dove Publishing</t>
  </si>
  <si>
    <t>978-979-1319-08-9</t>
  </si>
  <si>
    <t>268.432 HEA s</t>
  </si>
  <si>
    <t>Simple Science Object Talks: Lebih dari 100 pembahasan sains yang dapat Anda praktekkan!</t>
  </si>
  <si>
    <t>Heno Head, Jr.</t>
  </si>
  <si>
    <t>Majesty Books Publisher</t>
  </si>
  <si>
    <t>978-979-687</t>
  </si>
  <si>
    <t>813 PAS d</t>
  </si>
  <si>
    <t>10 Dongeng Sebelum Tidur (Bedtime Stories)</t>
  </si>
  <si>
    <t>Jenny Hari-Bernadus</t>
  </si>
  <si>
    <t>978-979-687-704-1</t>
  </si>
  <si>
    <t>790.068 SOE g</t>
  </si>
  <si>
    <t>30 Games Kreatif Interaktif (Untuk keluarga,Jemaat dan dan Perusahaan)</t>
  </si>
  <si>
    <t>Adi Soenarno &amp; Dick Daniel Alfredo Pratama</t>
  </si>
  <si>
    <t>741.6 REF s</t>
  </si>
  <si>
    <t>Serunya Sekolah Mingguku!!: 100 Ilustrasi dengan alat peraga untuk menghidupkan sesi cerita</t>
  </si>
  <si>
    <t>Sue Relf</t>
  </si>
  <si>
    <t>978-602-231-082-2</t>
  </si>
  <si>
    <t>268.432 NEIc</t>
  </si>
  <si>
    <t>50 Cerita untuk Sekolah Minggu: Buku Pegangan Bercerita bagi orangtua, Guru dan Pencerita untuk Berbagai Kesempatan</t>
  </si>
  <si>
    <t>Lynda Neilands</t>
  </si>
  <si>
    <t>978-979-687-852-9</t>
  </si>
  <si>
    <t>Permainan Di Dalam Map : 10 Permainan Menggunakan Kertas dan Map (Usia di atas 6 tahun)</t>
  </si>
  <si>
    <t>Mary Grace Becker, Lois Keffer. Susan Martins Miller, Dawn Renee Weary</t>
  </si>
  <si>
    <t>978-979-687-866-6</t>
  </si>
  <si>
    <t>26 Permainan Seru Berkelompok: Mengembangkan Kerja Sama Anak dalam Tim (Usia di atas 8 tahun)</t>
  </si>
  <si>
    <t>Jody Hoch &amp; Renee Gray-Wilburn</t>
  </si>
  <si>
    <t>27 Permainan Seru Berkelompok: Mengembangkan Kerja Sama Anak dalam Tim (Usia di atas 8 tahun)</t>
  </si>
  <si>
    <t>978-979-26-3521-8</t>
  </si>
  <si>
    <t>220.92 DAY k</t>
  </si>
  <si>
    <t>Kisah Tokoh-tokoh Unik dalam Alkitab (Seri Ensiklopedi Anak)</t>
  </si>
  <si>
    <t>Tery Jean Day</t>
  </si>
  <si>
    <t>978-602-231-095-2</t>
  </si>
  <si>
    <t>268.432 PAT k</t>
  </si>
  <si>
    <r>
      <rPr>
        <rFont val="Calibri"/>
        <color theme="1"/>
        <sz val="9.0"/>
      </rPr>
      <t xml:space="preserve">17 Kreasi Boneka (Bonus </t>
    </r>
    <r>
      <rPr>
        <rFont val="Calibri"/>
        <i/>
        <color rgb="FF000000"/>
        <sz val="9.0"/>
      </rPr>
      <t>Panduan Praktis Mengajar dengan Efektif)</t>
    </r>
  </si>
  <si>
    <t>Katte Fonny Barahama-Pattipeilohy</t>
  </si>
  <si>
    <t>979-001246-2</t>
  </si>
  <si>
    <t>796.2 MOO g</t>
  </si>
  <si>
    <r>
      <rPr>
        <rFont val="Calibri"/>
        <color theme="1"/>
        <sz val="9.0"/>
      </rPr>
      <t>Games Bible 2 Bilangan-Ulangan-Yosua (P</t>
    </r>
    <r>
      <rPr>
        <rFont val="Calibri"/>
        <i/>
        <color rgb="FF000000"/>
        <sz val="9.0"/>
      </rPr>
      <t>uzzles, Dot to Dot, Mozes, Clouring)</t>
    </r>
  </si>
  <si>
    <t>halaman belum dihitung krn tidak ada dicetak</t>
  </si>
  <si>
    <t>978-979-687-928-1</t>
  </si>
  <si>
    <t>268.432 COR b</t>
  </si>
  <si>
    <t>Belajar Alkitab Sambil Bereksperimen (26 Kegiatan Ilmiah Anak/ usia 7-9 tahun)</t>
  </si>
  <si>
    <t>Laurie Cordray</t>
  </si>
  <si>
    <t>978-979-687-662-4</t>
  </si>
  <si>
    <t>268.432 HOC b</t>
  </si>
  <si>
    <t>Batita Asyik: Berbagai Aktivitas Asyik untuk Anak Usia 1-3 Tahun di Sekolah Minggu Kelompok Bermain dan di Rumah</t>
  </si>
  <si>
    <t>Jodi Hoch, Janet Lee dan Susan Martins Miller</t>
  </si>
  <si>
    <t>978-979-687-810-9</t>
  </si>
  <si>
    <t>268.432 KEF k</t>
  </si>
  <si>
    <t>Kreasi Kertas: Panduan Berbagai Kreasi dari Kertas untuk Guru Sekolah Minggu/ Agama dan Orang Tua ( Usia Di atas 7 tahun)</t>
  </si>
  <si>
    <t>Lois Keffer</t>
  </si>
  <si>
    <t>978-979-687-682-2</t>
  </si>
  <si>
    <t>268.432 PAR k</t>
  </si>
  <si>
    <t>Kreasi Anak Fantastis</t>
  </si>
  <si>
    <t>Susan Parsons &amp; Lois Keffer</t>
  </si>
  <si>
    <t>979-9439-14-0</t>
  </si>
  <si>
    <t>Funny Faces (Create Your Own Sticker Book): Helping Children Learn Feelings &amp; Emotion</t>
  </si>
  <si>
    <t>Joy Publishing</t>
  </si>
  <si>
    <t>268.432 LIE m</t>
  </si>
  <si>
    <t>Mengajar Sekolah Minggu yang Kreatif: Pedoman Praktis untuk Membuat Sekolah Mingu Lebih Menarik (Peganagn Guru Sekolah Minggu)</t>
  </si>
  <si>
    <t>Paulus Lie</t>
  </si>
  <si>
    <t>268.432 LIE t</t>
  </si>
  <si>
    <t>Teknik Kreatif dan Terpadu dalam Mengajar Sekolah Minggu: 60 Contoh Pujian Kreatif Teknik Mnegajar berdoa dari balita sampai besar, teknik menyusun paket acara yang menarik, dan aktivitas anak yang modern dan interaktif</t>
  </si>
  <si>
    <t>794.15 KRI p</t>
  </si>
  <si>
    <t>77 Permainan Asyik 1: Cara Jitu Memeriahkan Acara Sekolah Minggu &amp; Persekutuan Pemuda</t>
  </si>
  <si>
    <t xml:space="preserve">77 Permainan Asyik 2 </t>
  </si>
  <si>
    <t>979-9461-92-8</t>
  </si>
  <si>
    <t>155.418 SIS b</t>
  </si>
  <si>
    <t>Bergembira dengan 50 Permainan Asyik dan Lucu</t>
  </si>
  <si>
    <t>Igrea Siswanto</t>
  </si>
  <si>
    <t>0-1235-5345-5</t>
  </si>
  <si>
    <t xml:space="preserve">NOAH'S ARK </t>
  </si>
  <si>
    <t>Dennis Wu &amp; Lance Morrow</t>
  </si>
  <si>
    <t xml:space="preserve">Sola interactive </t>
  </si>
  <si>
    <t>979-9368-07-3</t>
  </si>
  <si>
    <t>Pak Anggur dan Bentuk-bentuk: Buku "Veggiecational" tentang Bentuk-bentuk</t>
  </si>
  <si>
    <t>Phil Vischer</t>
  </si>
  <si>
    <t>Adolos Publishing</t>
  </si>
  <si>
    <t>979-9368-05-7</t>
  </si>
  <si>
    <t>Waktu untuk Tom: Buku "Veggiecational" tentang Waktu!</t>
  </si>
  <si>
    <t>979-9368-03-0</t>
  </si>
  <si>
    <t xml:space="preserve">Permainan Lawan Kata Archibald:"Veggiecational" tentang Lawan Kata </t>
  </si>
  <si>
    <t>979-9368-04-9</t>
  </si>
  <si>
    <t>Berapa Banyak Veggie? : "Veggiecational" tentang Angka</t>
  </si>
  <si>
    <t>979-9368-06-5</t>
  </si>
  <si>
    <t>Warna-warna Kesukaan Junior: "Veggiecational" tentang Warna-warna!</t>
  </si>
  <si>
    <t>220.950.5 BEE a</t>
  </si>
  <si>
    <t>Alkitab Bergambarku</t>
  </si>
  <si>
    <t xml:space="preserve">V. Gilbert Beers </t>
  </si>
  <si>
    <t>978-979-798-568-4</t>
  </si>
  <si>
    <t>The Explorer Bible: Kumpulan Kisah, doa , dan aktivitas yang mengasyikkan untuk kalian para petualang cilik!</t>
  </si>
  <si>
    <t>Leena Lane</t>
  </si>
  <si>
    <t>234.23 SLA a</t>
  </si>
  <si>
    <t>Andai Aku Bisa Menanyakan Banak Hal Kepada Tuhan Yesus: Jawabann Cerdas tentang iman Kristiani untuk anak-anak yang penuh rasa ingin tahu</t>
  </si>
  <si>
    <t xml:space="preserve">Kathryn Slattery </t>
  </si>
  <si>
    <t>979-9439-55-8</t>
  </si>
  <si>
    <t>The Animal Kingdom (100 Beautiful Stickers)</t>
  </si>
  <si>
    <t>Journey Into</t>
  </si>
  <si>
    <t>979-9143-02-0</t>
  </si>
  <si>
    <t>649.58 WHI c</t>
  </si>
  <si>
    <t>Cerita-Cerita Kocak Menakjubkan: Menyingkap Misteri Maut</t>
  </si>
  <si>
    <t>Paul White</t>
  </si>
  <si>
    <t>979-3292-14-8</t>
  </si>
  <si>
    <t xml:space="preserve">248.32 AND a </t>
  </si>
  <si>
    <t>Allah tahu namaku</t>
  </si>
  <si>
    <t>978-979-687-987-8</t>
  </si>
  <si>
    <t>Kalender Inspirasi  Saat Teduh (366 Hikmat bagi Jiwa)</t>
  </si>
  <si>
    <t>Penyunting: Lautan Asima Siregar &amp; Yessy</t>
  </si>
  <si>
    <t>Cerita Bergambar Janji Alkitab Kecilku</t>
  </si>
  <si>
    <t>Maria Margaretha L</t>
  </si>
  <si>
    <t>978-0-7814-3076-0</t>
  </si>
  <si>
    <t>232 AND j</t>
  </si>
  <si>
    <t>Jesus Is With Me (Sing to the tune of "Jingle Bells!)</t>
  </si>
  <si>
    <t>David c Cook</t>
  </si>
  <si>
    <t>0-310-97491-7</t>
  </si>
  <si>
    <t>God Bless This Baby (Special Memory Daybreak Calender</t>
  </si>
  <si>
    <t xml:space="preserve">Zondervan Gifts </t>
  </si>
  <si>
    <t>978-979-687-671-6</t>
  </si>
  <si>
    <t>Yesus Menyembuhkan Seorang Gadis Cilik (Jesus Heals a Little Girl)</t>
  </si>
  <si>
    <t>Sarah Bolme dan Edward</t>
  </si>
  <si>
    <t>978-602-231-053-2</t>
  </si>
  <si>
    <t>220.1 DAV c</t>
  </si>
  <si>
    <t>65 Cerita Alkitab Klkasik (The Classic Children's Bible)</t>
  </si>
  <si>
    <t>Rhona Davies</t>
  </si>
  <si>
    <t>978-0-307-45805-6</t>
  </si>
  <si>
    <t xml:space="preserve">232.92 DES I </t>
  </si>
  <si>
    <t>Little Star</t>
  </si>
  <si>
    <t xml:space="preserve">Anthony DeStefano </t>
  </si>
  <si>
    <t>Water Brook Press</t>
  </si>
  <si>
    <t>978-979-687-763-8</t>
  </si>
  <si>
    <t>220.1MOO w</t>
  </si>
  <si>
    <t>Warna-Warni Ciptaan Tuhan (Colourful-Creation)</t>
  </si>
  <si>
    <t>Lucy Moore</t>
  </si>
  <si>
    <t>978-0-8028-5272-4</t>
  </si>
  <si>
    <t>282.092.2 SAN m</t>
  </si>
  <si>
    <t>More Saints Lives &amp; Illuminations</t>
  </si>
  <si>
    <t>Ruth Sanderson</t>
  </si>
  <si>
    <t>Eerdmans Books for Young Readers</t>
  </si>
  <si>
    <t>978-979-033-243-0</t>
  </si>
  <si>
    <t>248.32 TOU k</t>
  </si>
  <si>
    <t>Kumpulan Doa untuk Balita</t>
  </si>
  <si>
    <t xml:space="preserve">Sarah Toulmin </t>
  </si>
  <si>
    <t>978-979-687-934-2</t>
  </si>
  <si>
    <t>220.9 GRO c</t>
  </si>
  <si>
    <t>A Child's Garden of Bible Stories: The Classic Edition Taman Alkitab Anak</t>
  </si>
  <si>
    <t>Indonesia-Inggris</t>
  </si>
  <si>
    <t>Arthur W. Gross</t>
  </si>
  <si>
    <t>979-9439-60-4</t>
  </si>
  <si>
    <t>220.92 MAR p</t>
  </si>
  <si>
    <r>
      <rPr>
        <rFont val="Calibri"/>
        <color theme="1"/>
        <sz val="9.0"/>
      </rPr>
      <t>The Persian Plot: A Tale About Courage</t>
    </r>
    <r>
      <rPr>
        <rFont val="Calibri"/>
        <i/>
        <color theme="1"/>
        <sz val="9.0"/>
      </rPr>
      <t xml:space="preserve"> Sebuah Kisah Tentang Keberanian</t>
    </r>
  </si>
  <si>
    <t>T. F. Marsh</t>
  </si>
  <si>
    <t>978-979-21-1689-2</t>
  </si>
  <si>
    <t>155.4 MUN</t>
  </si>
  <si>
    <t>Kamu Boleh Marah: Panduan untuk Mengatasi Rasa Marah</t>
  </si>
  <si>
    <t xml:space="preserve">Michaelene Mundy </t>
  </si>
  <si>
    <t>978-602-8670-60-9</t>
  </si>
  <si>
    <t>372.42 MUK I</t>
  </si>
  <si>
    <t>Loli Anak Tuhan (3)</t>
  </si>
  <si>
    <t>Yulius S.D. Mukin</t>
  </si>
  <si>
    <t xml:space="preserve"> Fidei Press</t>
  </si>
  <si>
    <t>978-979-687-660-0</t>
  </si>
  <si>
    <t>813 STI m</t>
  </si>
  <si>
    <t>Menyelamatkan Patung Sphinx</t>
  </si>
  <si>
    <t>Geronimo Stilton</t>
  </si>
  <si>
    <t>978-979-687-706-5</t>
  </si>
  <si>
    <t>813 GOD s</t>
  </si>
  <si>
    <t>Sepuluh Dongeng Binatang (Seri Cerita 5 Menit)</t>
  </si>
  <si>
    <t>John Goodwin</t>
  </si>
  <si>
    <t>979-3292-23-7</t>
  </si>
  <si>
    <t>372.42 LUC</t>
  </si>
  <si>
    <t>Sebuah Topi untuk Ivan</t>
  </si>
  <si>
    <t>220.92 BER b</t>
  </si>
  <si>
    <r>
      <rPr>
        <rFont val="Calibri"/>
        <color theme="1"/>
        <sz val="9.0"/>
      </rPr>
      <t xml:space="preserve">Berdoa Di Taman Getsemani (Praying In Gethsemane): Membaca dan Mewarnai </t>
    </r>
    <r>
      <rPr>
        <rFont val="Calibri"/>
        <i/>
        <color theme="1"/>
        <sz val="9.0"/>
      </rPr>
      <t>Read and Colour</t>
    </r>
  </si>
  <si>
    <t>Jenny Bernadus</t>
  </si>
  <si>
    <t>978-602-231-102-7</t>
  </si>
  <si>
    <t>220.92 BER t</t>
  </si>
  <si>
    <r>
      <rPr>
        <rFont val="Calibri"/>
        <color theme="1"/>
        <sz val="9.0"/>
      </rPr>
      <t xml:space="preserve">Tuhan Bangkit Berosraklah (God is Risen, Rejoice!): Membaca dan Mewarnai </t>
    </r>
    <r>
      <rPr>
        <rFont val="Calibri"/>
        <i/>
        <color theme="1"/>
        <sz val="9.0"/>
      </rPr>
      <t>read and Colour</t>
    </r>
  </si>
  <si>
    <t>979-9368-16-2</t>
  </si>
  <si>
    <t>220.950.5 HAL p</t>
  </si>
  <si>
    <t xml:space="preserve">Penciptaan </t>
  </si>
  <si>
    <r>
      <rPr>
        <rFont val="Calibri"/>
        <color theme="1"/>
        <sz val="9.0"/>
      </rPr>
      <t xml:space="preserve">Ilustrasi :Helen &amp; David Haidle, Ditulis oleh </t>
    </r>
    <r>
      <rPr>
        <rFont val="Calibri"/>
        <i/>
        <color theme="1"/>
        <sz val="9.0"/>
      </rPr>
      <t>Helen Haidle</t>
    </r>
  </si>
  <si>
    <t>978-979-672-417-8</t>
  </si>
  <si>
    <t>220.9 GRA m</t>
  </si>
  <si>
    <t>Menuju Tanah Terjanji (Kitab Suci Untuk Anak-anak) 3</t>
  </si>
  <si>
    <t>Anne de Graaf</t>
  </si>
  <si>
    <t>979-3292-25-3</t>
  </si>
  <si>
    <t>232 HUN m</t>
  </si>
  <si>
    <t>Menemukan Yesus di Kitab Kejadian</t>
  </si>
  <si>
    <t>Susan Hunt &amp; Richie Hunt</t>
  </si>
  <si>
    <t>979-9439-10-8</t>
  </si>
  <si>
    <t>243.32 JOY</t>
  </si>
  <si>
    <t>Joy to Pray (Gemar Berdoa)</t>
  </si>
  <si>
    <t>978-979-687-493-4</t>
  </si>
  <si>
    <t>234.131 MAK m</t>
  </si>
  <si>
    <t xml:space="preserve">Meong </t>
  </si>
  <si>
    <t>Debora Toety Maklis</t>
  </si>
  <si>
    <t>978-979-687-487-3</t>
  </si>
  <si>
    <t>813 MAK m</t>
  </si>
  <si>
    <t>MERITIK</t>
  </si>
  <si>
    <t>978-979-687-484-2</t>
  </si>
  <si>
    <t>813 MAK b</t>
  </si>
  <si>
    <t>BANGKONG</t>
  </si>
  <si>
    <t xml:space="preserve"> Toety Maklis</t>
  </si>
  <si>
    <t>232 WIL w</t>
  </si>
  <si>
    <t>Waldo, Ceritakan Tentang Kristus</t>
  </si>
  <si>
    <t>Hans Wilhelm</t>
  </si>
  <si>
    <t>Quality Press</t>
  </si>
  <si>
    <t>978-979-687-684-6</t>
  </si>
  <si>
    <t>813 STI p</t>
  </si>
  <si>
    <t>Petualangan di Koloseum</t>
  </si>
  <si>
    <t>813 LIE k</t>
  </si>
  <si>
    <t>Kisah Petualangan Kyai Sadrach</t>
  </si>
  <si>
    <t>Yenny Lie, ST</t>
  </si>
  <si>
    <t>978-979-1910-1-7</t>
  </si>
  <si>
    <t xml:space="preserve">248.4 PEN </t>
  </si>
  <si>
    <t>Natal di Penginapan Tuan Levi</t>
  </si>
  <si>
    <t>Eko Black</t>
  </si>
  <si>
    <t xml:space="preserve">Golden Kidz </t>
  </si>
  <si>
    <t xml:space="preserve">220.859 WHI a </t>
  </si>
  <si>
    <t>African Jungle Fables</t>
  </si>
  <si>
    <t>Joy Comics a Division of Joy Publishing</t>
  </si>
  <si>
    <t>978-602-231-029-7</t>
  </si>
  <si>
    <t>220.950.5 LIN r</t>
  </si>
  <si>
    <t>Read- Aloud Bible Stories: Membaca Nyaring Cerita-Cerita Alkitab Berbasis Karakter Vol. 2</t>
  </si>
  <si>
    <t>Ella K. Lindvall</t>
  </si>
  <si>
    <t>3-905332-59-0</t>
  </si>
  <si>
    <t>268.432 BRO t</t>
  </si>
  <si>
    <t>Trudge and Zippy</t>
  </si>
  <si>
    <t>Derek &amp; Michelle Brooks</t>
  </si>
  <si>
    <t>Aurora Production AG, Switzerland</t>
  </si>
  <si>
    <t>978-979-687-837-6</t>
  </si>
  <si>
    <t>252 BEE d</t>
  </si>
  <si>
    <t xml:space="preserve">Di Bawah Pohon Rindang </t>
  </si>
  <si>
    <t xml:space="preserve">V. Gilbert Beers &amp; Helen Endres </t>
  </si>
  <si>
    <t>979-291164-0</t>
  </si>
  <si>
    <t>372.67 SOJ f</t>
  </si>
  <si>
    <t>Fabel Asyik yang Mendidik 2 (15 cerita Binatang yang Menarik dan Memberi Teladan)</t>
  </si>
  <si>
    <t>Donatus Soji</t>
  </si>
  <si>
    <t>979291077-3</t>
  </si>
  <si>
    <t>372.677 SOJ f</t>
  </si>
  <si>
    <t>Fabel Asyik yang Mendidik (15 cerita Binatang yang Menarik dan Memberi Teladan)</t>
  </si>
  <si>
    <t>602-8165-52-2</t>
  </si>
  <si>
    <t>220.1 HUN k</t>
  </si>
  <si>
    <r>
      <rPr>
        <rFont val="Calibri"/>
        <color theme="1"/>
        <sz val="9.0"/>
      </rPr>
      <t xml:space="preserve">Kebenaran Utama Bagi Anak: Big Truths for Little Kids </t>
    </r>
    <r>
      <rPr>
        <rFont val="Calibri"/>
        <i/>
        <color theme="1"/>
        <sz val="9.0"/>
      </rPr>
      <t>Menagajar Anak-anak untuk Hidup bagi Allah</t>
    </r>
  </si>
  <si>
    <t>979-21-0158-6</t>
  </si>
  <si>
    <t>220.92 RAB y</t>
  </si>
  <si>
    <t>Yunus dan Ikan Raksasa 23</t>
  </si>
  <si>
    <t>Bente Raben-Korch</t>
  </si>
  <si>
    <t>978-979-21-0154-6</t>
  </si>
  <si>
    <t>220.92 KOR r</t>
  </si>
  <si>
    <t>Rut dan Naomi 19</t>
  </si>
  <si>
    <t>220.92 DAV k</t>
  </si>
  <si>
    <t>Kisah Penciptaan Dunia</t>
  </si>
  <si>
    <t>Alice Joyce Davidson</t>
  </si>
  <si>
    <t>979-21-0149-7</t>
  </si>
  <si>
    <t>220.92 KOR m</t>
  </si>
  <si>
    <t>Musa Memipin Bangsa Israel Menuju Kanaan</t>
  </si>
  <si>
    <t xml:space="preserve">220.92 dav K </t>
  </si>
  <si>
    <t xml:space="preserve">Kisah daud dan Goliat </t>
  </si>
  <si>
    <t>978-979-672-414-7</t>
  </si>
  <si>
    <t>220.92 GRA r</t>
  </si>
  <si>
    <t>Raja Daud dan Raja Salomo 5</t>
  </si>
  <si>
    <t>602-8242-16-0</t>
  </si>
  <si>
    <t xml:space="preserve">248.4AND a </t>
  </si>
  <si>
    <t>Aku Cinta Alkitabku!</t>
  </si>
  <si>
    <t>978-979-687-853-6</t>
  </si>
  <si>
    <t>Cerita Paskah Batita</t>
  </si>
  <si>
    <t>Juliet David</t>
  </si>
  <si>
    <t>0-7097-1354-1</t>
  </si>
  <si>
    <t xml:space="preserve">232.9 STO </t>
  </si>
  <si>
    <t>Stories of Jesus</t>
  </si>
  <si>
    <t>Patricia Ludlow</t>
  </si>
  <si>
    <t>Brown Watson</t>
  </si>
  <si>
    <t>0-75253-133-6</t>
  </si>
  <si>
    <t>Bible Stories: Over 200 beautifully Illustrated stories from the Old and New Testaments; Artefacts, maps and illustrations</t>
  </si>
  <si>
    <t>Martin Manser</t>
  </si>
  <si>
    <t>Parragon</t>
  </si>
  <si>
    <t>0-86163-817-4</t>
  </si>
  <si>
    <t>220.950.5 JEN b</t>
  </si>
  <si>
    <t>The Bible for Children</t>
  </si>
  <si>
    <t>Philip S. Jennings</t>
  </si>
  <si>
    <t>Award Publications Limited</t>
  </si>
  <si>
    <t>0-600-56388-X</t>
  </si>
  <si>
    <t>Classic Bible Stories</t>
  </si>
  <si>
    <t>Geoffrey Willis</t>
  </si>
  <si>
    <t>The Hamlyn Publishing Group Limited</t>
  </si>
  <si>
    <t>87-7247-277-4</t>
  </si>
  <si>
    <t xml:space="preserve">220.950.5 CHI </t>
  </si>
  <si>
    <r>
      <rPr>
        <rFont val="Calibri"/>
        <color theme="1"/>
        <sz val="9.0"/>
      </rPr>
      <t xml:space="preserve">The Children's Bible (CEV </t>
    </r>
    <r>
      <rPr>
        <rFont val="Calibri"/>
        <i/>
        <color theme="1"/>
        <sz val="9.0"/>
      </rPr>
      <t>Contemporary English Version)</t>
    </r>
  </si>
  <si>
    <t>Jose Perez Montero</t>
  </si>
  <si>
    <t>232.9 LUK</t>
  </si>
  <si>
    <t>Luke Tells The Good News About Jesus</t>
  </si>
  <si>
    <t>John F. Whealon, S.T.L., S.S.L.</t>
  </si>
  <si>
    <t>Alkitab Bergambarku (Diperhatikan dan dibagikan)</t>
  </si>
  <si>
    <t>V. Gilbert Beers</t>
  </si>
  <si>
    <t>0-8499-1198-2</t>
  </si>
  <si>
    <t>220.950.5 BAK b</t>
  </si>
  <si>
    <t>The Beginners Bible for Toddlers</t>
  </si>
  <si>
    <t>Carolyn Nabors Baker</t>
  </si>
  <si>
    <t>World Publishing</t>
  </si>
  <si>
    <t>978-602-8009-72-0</t>
  </si>
  <si>
    <t xml:space="preserve">220.950.5 TAY </t>
  </si>
  <si>
    <t>Cuplikan Berwarna Cerita-cerita Alkitab (Edisi Baru)</t>
  </si>
  <si>
    <t>979-21-0143-8</t>
  </si>
  <si>
    <t>220.92 KOR y</t>
  </si>
  <si>
    <t>Yakub dan Esau Bertemu Kembali 8</t>
  </si>
  <si>
    <t>M. Ivonna Indah</t>
  </si>
  <si>
    <t>978-979-687-663-1</t>
  </si>
  <si>
    <t>Alkitab itu… Untukku!</t>
  </si>
  <si>
    <t>Christine Tangvald</t>
  </si>
  <si>
    <t>248.32 MIL m</t>
  </si>
  <si>
    <t>Mustahil? Mari Berdoa: Pohon Raksasa itu Musathil Dipindahkan</t>
  </si>
  <si>
    <t>Sheila Miller</t>
  </si>
  <si>
    <t>Alkitab Bergambar untuk Anak-anak</t>
  </si>
  <si>
    <t>978-979-687-435-4</t>
  </si>
  <si>
    <t>220.92 MUS</t>
  </si>
  <si>
    <t>Musa (Cerita Alkitab untuk Anak Kecil)</t>
  </si>
  <si>
    <t>979-9439-25-6</t>
  </si>
  <si>
    <t xml:space="preserve">220.9 MOS </t>
  </si>
  <si>
    <t>Bible Stories Moses The Great Leader (Belajar Alkitab sambil bermain)</t>
  </si>
  <si>
    <t>978-979-687-931-1</t>
  </si>
  <si>
    <t>992.4 ALE f</t>
  </si>
  <si>
    <t>Florence Nightingale (Perempuan Dengan Lentera dalam Perang)</t>
  </si>
  <si>
    <t>978-979-21-0150-8</t>
  </si>
  <si>
    <t>220.92 KOR p</t>
  </si>
  <si>
    <t>Patung Lembu Emas 15</t>
  </si>
  <si>
    <t>979-3292-12-1</t>
  </si>
  <si>
    <t>232 FER m</t>
  </si>
  <si>
    <t>Mengenal Yesus Kristus (Seri Pemahaman Iman Kristen Bagi Anak)</t>
  </si>
  <si>
    <t>Sinclair B. Ferguson</t>
  </si>
  <si>
    <t>0564-08205-8</t>
  </si>
  <si>
    <t>220.9 HOI m</t>
  </si>
  <si>
    <t>Mary Jones and her Bible</t>
  </si>
  <si>
    <t>Mig Holder</t>
  </si>
  <si>
    <t>978-602-231-072-3</t>
  </si>
  <si>
    <t>Fransiskus dari Asisi: Laki-laki yang Memberikan Segalanya Untuk Mengikut Yesus</t>
  </si>
  <si>
    <t>978-979-687-808-6</t>
  </si>
  <si>
    <t>992.4 ALE d</t>
  </si>
  <si>
    <t xml:space="preserve">David Livingstone:Misionaris yang "Menemukan" Afrika </t>
  </si>
  <si>
    <t xml:space="preserve">Kisah menara Babel </t>
  </si>
  <si>
    <t>220.920 PET</t>
  </si>
  <si>
    <t>Petualangan Nomensen Bertaruh  Nyawa (Seri Tokoh Gereja0</t>
  </si>
  <si>
    <t>Drs. Paulus Lie, S.Th. (Penanggung Jawab)</t>
  </si>
  <si>
    <t>ANDI bekerja sama dengan Tim Pelayanan Anak (TPA "EFATA"</t>
  </si>
  <si>
    <t>978-602-8009-20-1</t>
  </si>
  <si>
    <t>220.92 BUT c</t>
  </si>
  <si>
    <t>Cerita Tuhan Yesus (Domba yang Hilang/ Sepuluh Uanng Perak)</t>
  </si>
  <si>
    <t>Nick Butterworth &amp; Mick Inkpen</t>
  </si>
  <si>
    <t>978-602-8009-21-8</t>
  </si>
  <si>
    <t>Cerita Tuhan Yesus (Pintu Masuk yang Kecil/ Orang Asing yanng Murah Hati)</t>
  </si>
  <si>
    <t>978-602-8009-22-5</t>
  </si>
  <si>
    <t>Cerita Tuhan Yesus (Petani yan g Kaya/ Mutiara yang Berharga)</t>
  </si>
  <si>
    <t>ESTER (Menyelamatkan Bangsanya)</t>
  </si>
  <si>
    <t>232 HAM y</t>
  </si>
  <si>
    <t>Yesus Memanggil Murid-murid-Nya</t>
  </si>
  <si>
    <t>Judy Hamilton</t>
  </si>
  <si>
    <t>232HAM y</t>
  </si>
  <si>
    <t>Yesus Anak Laki-laki Istimewa</t>
  </si>
  <si>
    <t>220.950.5 BEE b</t>
  </si>
  <si>
    <t>Buku Besar: Cerita-cerita Favorit ALKITAB SEPANJANG MASA (150 Kisah Besar bagi Anak-anak Kecil)</t>
  </si>
  <si>
    <t>V. Gilbert Beers &amp; Ronald A. Beers</t>
  </si>
  <si>
    <t>978-602-8009-19-5</t>
  </si>
  <si>
    <t>Cerita Tuhan Yesus: Dua anak Laki-laki/ Rumah Di Atas Batu)</t>
  </si>
  <si>
    <t>978-979-687-087-5</t>
  </si>
  <si>
    <t>823 DYC h</t>
  </si>
  <si>
    <t>Hutan yang Damai 2</t>
  </si>
  <si>
    <t xml:space="preserve">Peter J. Dyck </t>
  </si>
  <si>
    <t>978-602-231-054-9</t>
  </si>
  <si>
    <t xml:space="preserve">Martin Luther: Biarawan Jerman yang Menjadi Reformator Gereja </t>
  </si>
  <si>
    <t>978-979-565-632-6</t>
  </si>
  <si>
    <t>220.950.5 GIP t</t>
  </si>
  <si>
    <t xml:space="preserve">10 Tulah di Mesir </t>
  </si>
  <si>
    <t xml:space="preserve">Yesra Giptarima &amp; Jaclyn Litaay </t>
  </si>
  <si>
    <t>979-695-613-6</t>
  </si>
  <si>
    <t>220.920 MAR s</t>
  </si>
  <si>
    <t>Santo Yosef Maria Pignatelli (Bara Api Dalam Sekam)</t>
  </si>
  <si>
    <t>Maria</t>
  </si>
  <si>
    <t>979-695-814-7</t>
  </si>
  <si>
    <t>220.92 HUD s</t>
  </si>
  <si>
    <t>Santa Louisa de Marillac: Mawar bagi Kaum Miskin</t>
  </si>
  <si>
    <t>B. Hudiono, PR., DKK.</t>
  </si>
  <si>
    <t>979-695-413-3</t>
  </si>
  <si>
    <t>Orang Samaria yang Baik Hati (The Good Samaritan)</t>
  </si>
  <si>
    <t>Heather Amery</t>
  </si>
  <si>
    <t>979-9439-36-1</t>
  </si>
  <si>
    <t>220.92 AYO</t>
  </si>
  <si>
    <t>Ayo! Berpetualang Bersama Alkitab 2 (Bible Adventure)</t>
  </si>
  <si>
    <t>978-0-8028-5350-9</t>
  </si>
  <si>
    <t>264.13 CON s</t>
  </si>
  <si>
    <t xml:space="preserve">Sleepy Time Blessings </t>
  </si>
  <si>
    <t>Sally Anne Conan</t>
  </si>
  <si>
    <t>978-0-307-45804-9</t>
  </si>
  <si>
    <t>242.6DES T</t>
  </si>
  <si>
    <t>This Little Prayer of Mine</t>
  </si>
  <si>
    <t>220.92 GRA s</t>
  </si>
  <si>
    <t>Simson dan Samuel 4 (Kitab Suci Untuk Anak-anak)</t>
  </si>
  <si>
    <t>979-3292-17-2</t>
  </si>
  <si>
    <t>220.52036 HUN m</t>
  </si>
  <si>
    <t>Bible Verses (Ayat-ayat Alkitab ABC-ku): Menyimpan Firman Allah dalam Hati Anak-anak</t>
  </si>
  <si>
    <t xml:space="preserve">Susan Hunt </t>
  </si>
  <si>
    <t>813 LEM y</t>
  </si>
  <si>
    <t>You Are Precious (Engkau Berharga)</t>
  </si>
  <si>
    <t>Mandaliem Lembong</t>
  </si>
  <si>
    <t>979-3292-26-1</t>
  </si>
  <si>
    <t>232. HUN m</t>
  </si>
  <si>
    <t>Menemukan Yesus di Kitab Keluaran</t>
  </si>
  <si>
    <t>978-979-687-930-4</t>
  </si>
  <si>
    <t xml:space="preserve">992.4 ALE a </t>
  </si>
  <si>
    <t>Augustinus : Bapa Gereja Dari Hippo</t>
  </si>
  <si>
    <t>Marlee Alex</t>
  </si>
  <si>
    <t>978-979-687-439-2</t>
  </si>
  <si>
    <t>220.92 GRA g</t>
  </si>
  <si>
    <t>Gideon (Seri Cerita Alkitab untuk Anak-anak</t>
  </si>
  <si>
    <t>Kisah Bayi Musa</t>
  </si>
  <si>
    <t xml:space="preserve">220.9 YUS </t>
  </si>
  <si>
    <t>Yusuf Menjadi Penguasa (tokoh Terkenal dalam Alkitab)</t>
  </si>
  <si>
    <t>C. John Syauta (Penerjemah)</t>
  </si>
  <si>
    <t>87-7247-057-7</t>
  </si>
  <si>
    <t>The Children's Bible Story Book</t>
  </si>
  <si>
    <t>978-979-687-679-2</t>
  </si>
  <si>
    <t>232.908 BOX b</t>
  </si>
  <si>
    <t>Buku Pertamaku tentang Yesus (My First Book About Jesus)</t>
  </si>
  <si>
    <t xml:space="preserve">Su Box dan Yorgos Sgouros </t>
  </si>
  <si>
    <t xml:space="preserve">978-979-687-853-6 </t>
  </si>
  <si>
    <t>220.950.5 DAV c</t>
  </si>
  <si>
    <t>Cerita paskah Batita</t>
  </si>
  <si>
    <t>978-979-687-623-5</t>
  </si>
  <si>
    <t>232 HAL y</t>
  </si>
  <si>
    <t>YESUS (Kisah Kehidupan, Pengajaran dan Mukjizat Yesus): Siapakah Yesus? Apa saja yang Ia lakukan? Mengapa orang-orang terus mengingat-Nya?</t>
  </si>
  <si>
    <t>Sarah Hall</t>
  </si>
  <si>
    <t>978-602-00-2648-0</t>
  </si>
  <si>
    <t xml:space="preserve">370.114 LIH </t>
  </si>
  <si>
    <t xml:space="preserve">Lihat dan Lakukan </t>
  </si>
  <si>
    <t>Club IndonesiaAnak-anak Rajawali Mandiri)</t>
  </si>
  <si>
    <t>979-21-0155-1</t>
  </si>
  <si>
    <t xml:space="preserve">Raja Pertama Orang Israel </t>
  </si>
  <si>
    <t>Yesus : Siapakah Yesus?, Apa saja yang Ia lakukan? Mengapa orang-orang terus mengingat-Nya?</t>
  </si>
  <si>
    <t>979-3012-66-8</t>
  </si>
  <si>
    <t>Rencana Penyelamatan: Kisah Nabi Nuh</t>
  </si>
  <si>
    <t>979-21-0504-2</t>
  </si>
  <si>
    <t>232.4 KOR y</t>
  </si>
  <si>
    <t>Yesus Disalibkan 11</t>
  </si>
  <si>
    <t>Kisah Ester</t>
  </si>
  <si>
    <t>978-979-687-437-8</t>
  </si>
  <si>
    <t xml:space="preserve">220.92 YOS </t>
  </si>
  <si>
    <t>Yosua</t>
  </si>
  <si>
    <t>978-979-687-442-2</t>
  </si>
  <si>
    <t>220.92 GRA d</t>
  </si>
  <si>
    <t xml:space="preserve">Daud </t>
  </si>
  <si>
    <t>220.92 gra Y</t>
  </si>
  <si>
    <t>978-979-687-429-3</t>
  </si>
  <si>
    <t>220.92 gra M</t>
  </si>
  <si>
    <t>Menara Babel</t>
  </si>
  <si>
    <t>602-8242-17-9</t>
  </si>
  <si>
    <t>236 AND y</t>
  </si>
  <si>
    <t>Yesus Akan Datang Kembali!</t>
  </si>
  <si>
    <t>979-96055-15-8</t>
  </si>
  <si>
    <t>907 pra M</t>
  </si>
  <si>
    <t>Menyelidiki! Laut Samudera dan Alam Semesta</t>
  </si>
  <si>
    <t>Yogi Prapnomo</t>
  </si>
  <si>
    <t>Refika Aditama</t>
  </si>
  <si>
    <t>978-979-687-166-7</t>
  </si>
  <si>
    <t>813 HUN a</t>
  </si>
  <si>
    <t xml:space="preserve">Kisah Tiga Pohon </t>
  </si>
  <si>
    <t xml:space="preserve">Angela Elwel Hunt </t>
  </si>
  <si>
    <t>979-9439-89-2</t>
  </si>
  <si>
    <t xml:space="preserve">220.9 HEA g </t>
  </si>
  <si>
    <t>God Made the Ocean</t>
  </si>
  <si>
    <t>0-647-50742-0</t>
  </si>
  <si>
    <t>Top 10 Stories Jesus told</t>
  </si>
  <si>
    <t>The Bible Society in Australia</t>
  </si>
  <si>
    <t>248.4 REN u</t>
  </si>
  <si>
    <t>Ugrok dan Pinki</t>
  </si>
  <si>
    <t>Rene &amp; Nani</t>
  </si>
  <si>
    <t>979-695-878-3</t>
  </si>
  <si>
    <t>Sepuluh Perintah Allah untuk Anak-Anak</t>
  </si>
  <si>
    <t xml:space="preserve">220.92 KIS </t>
  </si>
  <si>
    <t>366 Kisah Alkitab 12: Elia Diberi Makan oleh Gagak</t>
  </si>
  <si>
    <t>Roberto Brunelli</t>
  </si>
  <si>
    <t>978-979-687-446-0</t>
  </si>
  <si>
    <t>220.92 GRA e</t>
  </si>
  <si>
    <t>Ester (Seri Cerita Alkitab untuk Anak Kecil)</t>
  </si>
  <si>
    <t>978-979-15784-8-6</t>
  </si>
  <si>
    <t xml:space="preserve">372.42 KIT </t>
  </si>
  <si>
    <t>Kita Siap Hadapi Gempa dan Tsunami</t>
  </si>
  <si>
    <t>Joyce Manarisip</t>
  </si>
  <si>
    <t>YTBI</t>
  </si>
  <si>
    <t>268.432 WIL w</t>
  </si>
  <si>
    <t>Waldo, Ceritakan Tentang Malaikat Pelindung</t>
  </si>
  <si>
    <t>979-21-0153-5</t>
  </si>
  <si>
    <t>Simson dan rambut Ajaibnya 18</t>
  </si>
  <si>
    <t>220.92 SUD y</t>
  </si>
  <si>
    <t>YOTAM (Pahlawan Cilik)</t>
  </si>
  <si>
    <t>Andreas Sudarsono</t>
  </si>
  <si>
    <t>242.8 DAV d</t>
  </si>
  <si>
    <t xml:space="preserve">Doa dan Ucapan Syukur </t>
  </si>
  <si>
    <t>978-979-1570-4-7-9</t>
  </si>
  <si>
    <t xml:space="preserve">363.1 ADA </t>
  </si>
  <si>
    <t>Ada Gempa di Kepulauan Mentawai (petualangan Sihaben dan Marista)</t>
  </si>
  <si>
    <t>Vonny Sumampouw</t>
  </si>
  <si>
    <t>372.577 WHI k</t>
  </si>
  <si>
    <t>Cerita Bergambar Dokter Rimba: Keledai Belang</t>
  </si>
  <si>
    <t>Drs. Ganda Wargasetia</t>
  </si>
  <si>
    <t>978-979-687-492-7</t>
  </si>
  <si>
    <t>813 MAK a</t>
  </si>
  <si>
    <t>Ahli Jungkir Balik: Specialist in Somersault</t>
  </si>
  <si>
    <t>Berkenalan dengan Para Tokoh Perjanjian Lama</t>
  </si>
  <si>
    <t xml:space="preserve">Kisah Nabi Nuh </t>
  </si>
  <si>
    <t>979-21-0141-1</t>
  </si>
  <si>
    <t xml:space="preserve">Yakub dan Esau 6 </t>
  </si>
  <si>
    <t>Kisah Ishak dan Ribka</t>
  </si>
  <si>
    <t>Kisah Orang Samaria yang Murah Hati</t>
  </si>
  <si>
    <t>Kisah Paulus</t>
  </si>
  <si>
    <t>Kisah Anak yang Hilang</t>
  </si>
  <si>
    <t>Kisah Yosua</t>
  </si>
  <si>
    <t>Kisah Domba yang Hilang</t>
  </si>
  <si>
    <t>979-3012-68-4</t>
  </si>
  <si>
    <t>220.92 MAC s</t>
  </si>
  <si>
    <t>Samuel: Anak yang Mendengar</t>
  </si>
  <si>
    <t>979-3012-70-6</t>
  </si>
  <si>
    <t xml:space="preserve">220.92 MAC e </t>
  </si>
  <si>
    <t>Elia: Pelaku Mukjizat Tuhan</t>
  </si>
  <si>
    <t>979-3012-69-2</t>
  </si>
  <si>
    <t>220.92 MAC d</t>
  </si>
  <si>
    <t>Daniel: Nabi yang Berdoa</t>
  </si>
  <si>
    <t>Kisah Rut dan Naomi</t>
  </si>
  <si>
    <t>979-3012-71-4</t>
  </si>
  <si>
    <t xml:space="preserve">Daud: Pejuang yang Tidak Takut </t>
  </si>
  <si>
    <t>979-3012-72-2</t>
  </si>
  <si>
    <t>Sara dan Abraham: Janji yang Mengagumkan</t>
  </si>
  <si>
    <t>979-9439-64-7</t>
  </si>
  <si>
    <t>813 MAR s</t>
  </si>
  <si>
    <r>
      <rPr>
        <rFont val="Calibri"/>
        <color theme="1"/>
        <sz val="9.0"/>
      </rPr>
      <t xml:space="preserve">The Super Secret (A Tale about Wisdom </t>
    </r>
    <r>
      <rPr>
        <rFont val="Calibri"/>
        <i/>
        <color rgb="FF000000"/>
        <sz val="9.0"/>
      </rPr>
      <t>Sebuah Kisah Tentang Kebijaksanaan)</t>
    </r>
  </si>
  <si>
    <t>979-504-043-X</t>
  </si>
  <si>
    <t>232 RAS p</t>
  </si>
  <si>
    <t>Penjelajahan ke Plenat Bumi</t>
  </si>
  <si>
    <t>H. M. Rasi</t>
  </si>
  <si>
    <t>978-979-687-884-0</t>
  </si>
  <si>
    <t>929.2 MAC f</t>
  </si>
  <si>
    <t>Fajar Baru di lereng Bukit</t>
  </si>
  <si>
    <t>Roger Lea MacBride</t>
  </si>
  <si>
    <t>978-979-687-870-3</t>
  </si>
  <si>
    <t>929.2 WIL r</t>
  </si>
  <si>
    <t>Rumah Kecil di Padang Rumput</t>
  </si>
  <si>
    <t>979-415-647-7</t>
  </si>
  <si>
    <t>232.901 KNE p</t>
  </si>
  <si>
    <t>Permadani Merah Bagi Sang Mesias</t>
  </si>
  <si>
    <t>Ulrich Knellwolf</t>
  </si>
  <si>
    <t>978-979-29-1941-7</t>
  </si>
  <si>
    <t>220.92 EMS y</t>
  </si>
  <si>
    <t>YUNUS :Nabi dalam Perut Ikan</t>
  </si>
  <si>
    <t>Esmeralda L.</t>
  </si>
  <si>
    <t>979-9439-33-7</t>
  </si>
  <si>
    <t>372.42 CON d</t>
  </si>
  <si>
    <t>Don't Do That Dexter!</t>
  </si>
  <si>
    <t>JoDee McConnaughhay</t>
  </si>
  <si>
    <t xml:space="preserve">Standard Publishing </t>
  </si>
  <si>
    <t>234.131 MCC k</t>
  </si>
  <si>
    <t>Keep Trying, Travis!</t>
  </si>
  <si>
    <t>979-9439-66-3</t>
  </si>
  <si>
    <t>370.114 STE g</t>
  </si>
  <si>
    <t xml:space="preserve">Good Job, Rob! </t>
  </si>
  <si>
    <t>Jennifer Stewart</t>
  </si>
  <si>
    <t>978-979-687-494-1</t>
  </si>
  <si>
    <t>234.131 MAK a</t>
  </si>
  <si>
    <t>Anak Tikus yang Ingin Menjadi Raja</t>
  </si>
  <si>
    <t>978-979-687-491-0</t>
  </si>
  <si>
    <t>Biji Jagung Berubah Menjadi Kangkung</t>
  </si>
  <si>
    <t>978-979-687-486-6</t>
  </si>
  <si>
    <t>813 MAK j</t>
  </si>
  <si>
    <t>Jangkrik dan Semut (The Ant and The Cricket)</t>
  </si>
  <si>
    <t>979-95664-49-9</t>
  </si>
  <si>
    <t>220.92 BLY b</t>
  </si>
  <si>
    <t>Enid Blyton</t>
  </si>
  <si>
    <t>Betlehem Publishing</t>
  </si>
  <si>
    <t>979-415-747-3</t>
  </si>
  <si>
    <t>813 ISM t</t>
  </si>
  <si>
    <t>Tuhan, Ampunilah Kecerobohanku!</t>
  </si>
  <si>
    <t>979-763-969-X</t>
  </si>
  <si>
    <t xml:space="preserve"> Diciptakan dengan Indah: Ups, I Got PMS, What Should I Do?</t>
  </si>
  <si>
    <t>979-763-968-1</t>
  </si>
  <si>
    <t>Persiapan Awal Menghadapi Masa Haid: Diciptakan dengan Indah</t>
  </si>
  <si>
    <t>978-979-687-539-9</t>
  </si>
  <si>
    <t>813 STI t</t>
  </si>
  <si>
    <t>Tugas Khusus Ke Mesir</t>
  </si>
  <si>
    <t>978-979-687-819-2</t>
  </si>
  <si>
    <t>Mumi Tanpa Nama</t>
  </si>
  <si>
    <t>978-979-687-851-2</t>
  </si>
  <si>
    <t>10 Cerita Alkitab (Bible Stories)</t>
  </si>
  <si>
    <t>Elena Pasquali</t>
  </si>
  <si>
    <t>978-1-85985-740-3</t>
  </si>
  <si>
    <t>220.1 ADA b</t>
  </si>
  <si>
    <t>Bible Facts</t>
  </si>
  <si>
    <t>Anne Adams</t>
  </si>
  <si>
    <t>978-0-310-70078-4</t>
  </si>
  <si>
    <t>220.9 SAT r</t>
  </si>
  <si>
    <t xml:space="preserve">The Rhyme Bible Storybook </t>
  </si>
  <si>
    <t>L.J. Sattgast</t>
  </si>
  <si>
    <t>Zonderkidz</t>
  </si>
  <si>
    <t>978-1-4335-0595-9</t>
  </si>
  <si>
    <t>782.4 ELW t</t>
  </si>
  <si>
    <t xml:space="preserve">The Toddler's Song Book </t>
  </si>
  <si>
    <t>Ellen Banks Elwell</t>
  </si>
  <si>
    <t>Crossway Books , Wheaton, Illinois</t>
  </si>
  <si>
    <t>978-602-231-035-8</t>
  </si>
  <si>
    <t>220.92 JOS s</t>
  </si>
  <si>
    <t xml:space="preserve">Simon &amp; Mukjizat Paskah (Simon </t>
  </si>
  <si>
    <t>Mary Joslin &amp; Anna Luraschi</t>
  </si>
  <si>
    <t>978-979-15829-0-2</t>
  </si>
  <si>
    <t xml:space="preserve">220.1 CER </t>
  </si>
  <si>
    <t>100 Cerita Alkitab Disertai 100 Lagu Rohani (Termasuk 2 Audio CD)</t>
  </si>
  <si>
    <t>Stephen Elkins</t>
  </si>
  <si>
    <t>978-602-231-011-2</t>
  </si>
  <si>
    <t>232.901 WRI l</t>
  </si>
  <si>
    <t>The Life of Jesus (Kisah Hidup Yesus)</t>
  </si>
  <si>
    <t>Sally Ann Wright &amp; Holly Surplice</t>
  </si>
  <si>
    <t>3-905332-88-4</t>
  </si>
  <si>
    <t>Jimmy's Lamp</t>
  </si>
  <si>
    <t>Derek &amp; Michelle Brookes</t>
  </si>
  <si>
    <t>978-1-57856-323-4</t>
  </si>
  <si>
    <t>231 BER g</t>
  </si>
  <si>
    <t>God Gave Us You</t>
  </si>
  <si>
    <t xml:space="preserve">Lisa Tawn Bergren </t>
  </si>
  <si>
    <t>978-1-4000-7446-4</t>
  </si>
  <si>
    <t>God Gave Us Heaven</t>
  </si>
  <si>
    <t>979-565-495-0</t>
  </si>
  <si>
    <t>372.55 HEN k</t>
  </si>
  <si>
    <t>Kreasi Cerita Alkitab dari kertas dan flanel</t>
  </si>
  <si>
    <t>Anita Henderrina</t>
  </si>
  <si>
    <t>602-8139-24-6</t>
  </si>
  <si>
    <t>372.55 HAN k</t>
  </si>
  <si>
    <t>10 Kreasi Hiasan Telur Paskah</t>
  </si>
  <si>
    <t>Nani Handayani</t>
  </si>
  <si>
    <t>978-1-4000-7316-0</t>
  </si>
  <si>
    <t>231 MAC g</t>
  </si>
  <si>
    <t>God Loves Me More Than That: Dandi Daley Mackall</t>
  </si>
  <si>
    <t>Dandi Daley Mackall</t>
  </si>
  <si>
    <t xml:space="preserve">978-979-687-729-4 </t>
  </si>
  <si>
    <t xml:space="preserve">793.4 LAN a </t>
  </si>
  <si>
    <t>Alkitab Aktivitasku: 42 Cerita &amp; 111 Kegiatan yang Menarik dan Mendidik (Jilid 2 Usia 7-9 Tahun)</t>
  </si>
  <si>
    <t xml:space="preserve">Leena Lane </t>
  </si>
  <si>
    <t>978-979-687-729-4</t>
  </si>
  <si>
    <t xml:space="preserve">220.92 LAN a </t>
  </si>
  <si>
    <t>978-979-687-723-2</t>
  </si>
  <si>
    <t>793.4 BOX a</t>
  </si>
  <si>
    <t>Alkitab Aktivitasku: 42 Cerita &amp; 88 Kegiatan yang Menarik dan Mendidik</t>
  </si>
  <si>
    <t xml:space="preserve">Su Box dan Graham Round </t>
  </si>
  <si>
    <t>978-979-9368-19-5</t>
  </si>
  <si>
    <t>220.950.5 ADA f</t>
  </si>
  <si>
    <t>Fakta Alkitab untuk Anak-anak (Jilid 1)</t>
  </si>
  <si>
    <t>Adolos Publishing bekerja sama dengan PT Nafiri Gabriel</t>
  </si>
  <si>
    <t>978-0-8028-5161-1</t>
  </si>
  <si>
    <t>220.92 WILJ</t>
  </si>
  <si>
    <t>Joseph</t>
  </si>
  <si>
    <t>Brian Wildsmith</t>
  </si>
  <si>
    <t>978-0-8028-5397-4</t>
  </si>
  <si>
    <t>220.92 HOP m</t>
  </si>
  <si>
    <t xml:space="preserve">Mary's Song </t>
  </si>
  <si>
    <t xml:space="preserve">Lee Bennett Hopkins </t>
  </si>
  <si>
    <t xml:space="preserve">220.04 MEN  </t>
  </si>
  <si>
    <t>Membaca Alkitab &amp; Berkreasi</t>
  </si>
  <si>
    <t>Gillian Chapman</t>
  </si>
  <si>
    <t>978-979-687-980-9</t>
  </si>
  <si>
    <t>268.432 JUL b</t>
  </si>
  <si>
    <t>The Busy Christmas Stable (Natal yang Sibuk di Kandang)</t>
  </si>
  <si>
    <t>0-8028-3789-1</t>
  </si>
  <si>
    <t>220.92 SCH b</t>
  </si>
  <si>
    <t>The Blessing of the Lord: Stories from the Old and New Testaments</t>
  </si>
  <si>
    <t>Gary D. Schmidt</t>
  </si>
  <si>
    <t>978-979-463-999-3</t>
  </si>
  <si>
    <t>My First Touch And Feel Bible (Creation : Noah's Ark)</t>
  </si>
  <si>
    <t>Daniel Vium Olesen (Text and lay-out), Gustavo Mazali (Illustrations Copyright</t>
  </si>
  <si>
    <t xml:space="preserve">Scandinavia Publishing House </t>
  </si>
  <si>
    <t>978-602-238-360-4</t>
  </si>
  <si>
    <t xml:space="preserve">220.9 KIS </t>
  </si>
  <si>
    <r>
      <rPr>
        <rFont val="Calibri"/>
        <color theme="1"/>
        <sz val="9.0"/>
      </rPr>
      <t xml:space="preserve">Kisah-kisah Alkitab Perjanjian Baru (Kisah Doa Bapa Kami) </t>
    </r>
    <r>
      <rPr>
        <rFont val="Calibri"/>
        <i/>
        <color rgb="FF000000"/>
        <sz val="9.0"/>
      </rPr>
      <t>Edisi Dwibahasa</t>
    </r>
  </si>
  <si>
    <t>Elvin Saputra</t>
  </si>
  <si>
    <t>Karisma Publishing</t>
  </si>
  <si>
    <t>1-85830-375-3</t>
  </si>
  <si>
    <t xml:space="preserve">220.950.5 STO </t>
  </si>
  <si>
    <t>Stories From The BIble</t>
  </si>
  <si>
    <t>Grandreams Books Ltd.</t>
  </si>
  <si>
    <t>220.04 ADA b</t>
  </si>
  <si>
    <t>40 Binatang Dalam Alkitab Untuk Anak-anak (Dalam Gambar dan Dwibahasa)</t>
  </si>
  <si>
    <t>220.04 ADA a</t>
  </si>
  <si>
    <t xml:space="preserve">40 Ayat Favorit untuk Anak-anak </t>
  </si>
  <si>
    <t>978-0-8028-5321-9</t>
  </si>
  <si>
    <t>235.3 LAN a</t>
  </si>
  <si>
    <t xml:space="preserve">Angels Among Us </t>
  </si>
  <si>
    <t>978-0-8028-5382-0</t>
  </si>
  <si>
    <t>220.92 WIL j</t>
  </si>
  <si>
    <t>Jonah's Whale</t>
  </si>
  <si>
    <t>Eileen Spinelli</t>
  </si>
  <si>
    <t>220.950.5 ANG k</t>
  </si>
  <si>
    <t>Kumpulan Cerita Alkitab Hosana</t>
  </si>
  <si>
    <t>Angela dan Ken Abraham</t>
  </si>
  <si>
    <t>978-979-687737-9</t>
  </si>
  <si>
    <t>268.432 HAR c</t>
  </si>
  <si>
    <t>74 Cerita Alkitab Anak Aktif: Kumpulan Kisah yang Dapat Diceritakan dengan Melibatkan Anak</t>
  </si>
  <si>
    <t>Bob Hartman</t>
  </si>
  <si>
    <t>978-602-231-003-7</t>
  </si>
  <si>
    <t>220.9 DAV a</t>
  </si>
  <si>
    <t>Alkitab Anak Sehari-Hari: 365 Cerita Dalam Setahun- 1 Hari 1 Cerita (Ensiklopedi Alkitab Praktis)</t>
  </si>
  <si>
    <t>978-602-231-002-0</t>
  </si>
  <si>
    <t>Model Kapal Romawi</t>
  </si>
  <si>
    <t>978-979-687-854-3</t>
  </si>
  <si>
    <t>232.5 JUL y</t>
  </si>
  <si>
    <t xml:space="preserve">Yesus Bangkit </t>
  </si>
  <si>
    <t>979-26-3501-7</t>
  </si>
  <si>
    <t>220.3 ADA k</t>
  </si>
  <si>
    <t xml:space="preserve">Kisah Kota Kota dalam Alkitab </t>
  </si>
  <si>
    <t>978-979-798-783-1</t>
  </si>
  <si>
    <t>220.3 BEA e</t>
  </si>
  <si>
    <t>Ensiklopedia Junior Alkitab</t>
  </si>
  <si>
    <t>Emilie Beaumont</t>
  </si>
  <si>
    <t>978-979-687-798-0</t>
  </si>
  <si>
    <t>248.32 SIM d</t>
  </si>
  <si>
    <t>Doa-Doaku: Kumpulan Doa Anak Sehari-hari</t>
  </si>
  <si>
    <t>Al.L. Simanjuntak</t>
  </si>
  <si>
    <t>BIVI : si Penjelajah Alkitab (Seri Tokoh Alkitab 1)</t>
  </si>
  <si>
    <t>Dian S &amp; Fung Ing (Ilustrasi)</t>
  </si>
  <si>
    <t>Soulmate, Christian Kidz Publisher</t>
  </si>
  <si>
    <t>979-9062-01-2</t>
  </si>
  <si>
    <t>Kisah Alkitab Perjanjian Lama CILUUUK-BAA</t>
  </si>
  <si>
    <t>813 CIL</t>
  </si>
  <si>
    <t>Kisah Alkitab Perjanjian Baru CILUUK BAA  3</t>
  </si>
  <si>
    <t>PT. IPEKA CITRA BINADAYA</t>
  </si>
  <si>
    <t>978-0-8028-5322-6</t>
  </si>
  <si>
    <t>223.2 DEL p</t>
  </si>
  <si>
    <t>Psalm for Young Children</t>
  </si>
  <si>
    <t>Marie-Helene Delval</t>
  </si>
  <si>
    <t>978-979-687-771-3</t>
  </si>
  <si>
    <t>220.9 DOY k</t>
  </si>
  <si>
    <t>Kisah Ajaib dan Mendebarkan di dalam Alkitab</t>
  </si>
  <si>
    <t>Christopher Doyle &amp; Toni Goffe</t>
  </si>
  <si>
    <t>220.1 HAR k</t>
  </si>
  <si>
    <t>Kisah-kisah tentang Iman  5 (Seri Kumpulan Kisah Alkitab Edisi Dwibahasa)</t>
  </si>
  <si>
    <t>979-9439-15-9</t>
  </si>
  <si>
    <r>
      <rPr>
        <rFont val="Calibri"/>
        <color theme="1"/>
        <sz val="9.0"/>
      </rPr>
      <t xml:space="preserve">Create Your Own Funny Faces (Sticker Book) </t>
    </r>
    <r>
      <rPr>
        <rFont val="Calibri"/>
        <i/>
        <color rgb="FF000000"/>
        <sz val="9.0"/>
      </rPr>
      <t>For Children ages 2-6</t>
    </r>
  </si>
  <si>
    <t>Kisah-kisah yang Membangun Karakter 4  (Seri Kumpulan Kisah Alkitab Edisi Dwibahasa)</t>
  </si>
  <si>
    <r>
      <rPr>
        <rFont val="Calibri"/>
        <color theme="1"/>
        <sz val="9.0"/>
      </rPr>
      <t xml:space="preserve">Bintang: Seri PA Kelompok Kecil Remaja (2) </t>
    </r>
    <r>
      <rPr>
        <rFont val="Calibri"/>
        <i/>
        <color rgb="FF000000"/>
        <sz val="9.0"/>
      </rPr>
      <t>Lembara Kerja Peserta</t>
    </r>
  </si>
  <si>
    <t>Tan Giok Lie, Ed. D.</t>
  </si>
  <si>
    <t>Sekolah Tinggi Teologia Bandung</t>
  </si>
  <si>
    <t xml:space="preserve">Malam Menjelang Natal </t>
  </si>
  <si>
    <t>Clement C. Moore</t>
  </si>
  <si>
    <t>979-415-902-6</t>
  </si>
  <si>
    <t>Persembahan Natal: Fragmen Kecil, Peragaan dan Sajak Sajak Natal untuk Anak Usia TK dan SD</t>
  </si>
  <si>
    <t>978-987-27976-1-4</t>
  </si>
  <si>
    <t>El gran desafio de la Biblia: una aventura a traves de la gran historia de Dios</t>
  </si>
  <si>
    <t>Liga para la lectura de la Biblia</t>
  </si>
  <si>
    <t>3-905332-87-6</t>
  </si>
  <si>
    <t>268.432 BRO g</t>
  </si>
  <si>
    <t>Good Morning Grandpa Grumpy!</t>
  </si>
  <si>
    <t>978-0-310-72784-2</t>
  </si>
  <si>
    <t>223.2 WAT p</t>
  </si>
  <si>
    <t xml:space="preserve">PSALM 23 </t>
  </si>
  <si>
    <t>Richard Jesse Watson</t>
  </si>
  <si>
    <t>978-979-074-539-1</t>
  </si>
  <si>
    <t>220.92 KYU k</t>
  </si>
  <si>
    <t>9 Kisah Kasih dalam Alkitab</t>
  </si>
  <si>
    <t>Jo Kyung-Ae</t>
  </si>
  <si>
    <t>978-979-074-620-6</t>
  </si>
  <si>
    <t>220.92 YEO k</t>
  </si>
  <si>
    <t>9 Kisah Keberanian dalam Alkitab</t>
  </si>
  <si>
    <t>Kim Hak Yeon</t>
  </si>
  <si>
    <t>978-979-074-279-6</t>
  </si>
  <si>
    <t>Bible Art Museum: Kisah Penciptaan Hingga Air Bah (1)</t>
  </si>
  <si>
    <t>Kim Yeon-su</t>
  </si>
  <si>
    <t>978-602-8930-36-9</t>
  </si>
  <si>
    <t>220.9 ACT</t>
  </si>
  <si>
    <t xml:space="preserve">The Action Bible (2): Kisah Penebusan Tuhan: </t>
  </si>
  <si>
    <t>David C. Cook</t>
  </si>
  <si>
    <t>978-979-074-796-8</t>
  </si>
  <si>
    <t>220.950.5 MOU b</t>
  </si>
  <si>
    <t xml:space="preserve">Bible Art Museum: Yusuf dan Musa Penyelamat Israel (4) </t>
  </si>
  <si>
    <t>978-979-074-797-5</t>
  </si>
  <si>
    <t>Bible Art Museum: Perjalanan Menuju Kanaan (5)</t>
  </si>
  <si>
    <t>978-979-687-635-8</t>
  </si>
  <si>
    <t>Komik Manga Sejarah Kristen: Dari Janji Keselamatan Hingga Runtuhnya Bizantium</t>
  </si>
  <si>
    <t>Masakazu Higuchi</t>
  </si>
  <si>
    <t>978-979-687-665-5</t>
  </si>
  <si>
    <t>16 Cerita Alkitab Bergambar</t>
  </si>
  <si>
    <t>Bethan James &amp; Yorgos Sgouros</t>
  </si>
  <si>
    <t>978-979-176-570-1</t>
  </si>
  <si>
    <t>Manga Mesias yang Diurapi</t>
  </si>
  <si>
    <t>Darsum Sansulung (Editor)</t>
  </si>
  <si>
    <t>SPS</t>
  </si>
  <si>
    <t>978-1-84101-590-3</t>
  </si>
  <si>
    <t xml:space="preserve">220.3 ENC </t>
  </si>
  <si>
    <t>The Encyclopedia of Bible Crafts: 187 fun-filled. Easy-to-do craft activities for children (Ideal for 5-11 s)</t>
  </si>
  <si>
    <t>Laurie Castañeda</t>
  </si>
  <si>
    <t>The Bible Reading Fellowship</t>
  </si>
  <si>
    <t>978-979-687-924-3</t>
  </si>
  <si>
    <t>220.950.5 HEN k</t>
  </si>
  <si>
    <t>Kubaca Alkitab Tiap hari</t>
  </si>
  <si>
    <t xml:space="preserve">Karyn Henley </t>
  </si>
  <si>
    <t xml:space="preserve">231.2 JES </t>
  </si>
  <si>
    <t>Jesus the Son of Man: Selections from the New Testament</t>
  </si>
  <si>
    <t>978-979-687-994-6</t>
  </si>
  <si>
    <t>105 Cerita Alkitab Anak Kecil (Read With Me Bible)</t>
  </si>
  <si>
    <t>Doris Rikkers</t>
  </si>
  <si>
    <t>978-979-687-734-8</t>
  </si>
  <si>
    <t>813 BEE i</t>
  </si>
  <si>
    <t>Istana di Balik Awan</t>
  </si>
  <si>
    <t>978-602-231-044-0</t>
  </si>
  <si>
    <t>Seri Cerita Berbasis Karakter - Anak Laki-Laki, Anak Perempuan dan Yesus</t>
  </si>
  <si>
    <t>978-602-231-043-3</t>
  </si>
  <si>
    <t>Seri Cerita Berbasis Karakter - Angin Ributpun Patuh</t>
  </si>
  <si>
    <t>978-602-231-034-1</t>
  </si>
  <si>
    <t>Seri Cerita Berbasis Karakter - Laki - Laki Yang Sangat Pendek</t>
  </si>
  <si>
    <t>979-3240-29-6</t>
  </si>
  <si>
    <t>Panggung Boneka - Media Alternatif Mengajar Sekolah Minggu</t>
  </si>
  <si>
    <t>Sylvia Rahardja</t>
  </si>
  <si>
    <t>Yayasan Pancar Pijar Alkitab</t>
  </si>
  <si>
    <t>Aku Percaya - Sebuah Perjalanan Iman Untuk Anak-Anak</t>
  </si>
  <si>
    <t>Dave Strehler</t>
  </si>
  <si>
    <t>978-602-8009-88-1</t>
  </si>
  <si>
    <t>Buku Aktivitas Keluarga dan Sekolah Minggu - Detektif Alkitab</t>
  </si>
  <si>
    <t>Peter Martin</t>
  </si>
  <si>
    <t>978-602-71340-0-3</t>
  </si>
  <si>
    <t>Children Illustrated Book Based From NKJV Luke 15 :11-31 - Father's House</t>
  </si>
  <si>
    <t>Dana Obera</t>
  </si>
  <si>
    <t>Yayasan Kasih Anugerah Indonesia</t>
  </si>
  <si>
    <t>YESUS Peganglah Tanganku - Renungan Harian Untuk Anak-Anak</t>
  </si>
  <si>
    <t>Phil. A. Smouse</t>
  </si>
  <si>
    <t>978-979-687-463-7</t>
  </si>
  <si>
    <t>Alkitab Manga - Kisah Kisah Perjanjian Lama &amp; Baru Dalam Goresan Lukisan Komik Jepang</t>
  </si>
  <si>
    <t>Akinsiku</t>
  </si>
  <si>
    <t>978-602-8009-94-2</t>
  </si>
  <si>
    <t>Seri Mukjizat - Orang Sakit Sermbuh A Sick Man Healed</t>
  </si>
  <si>
    <t>Irna Permanasari</t>
  </si>
  <si>
    <t>978-602-8009-93-5</t>
  </si>
  <si>
    <t>Seri Mukjizat - Lima Roti Dan Dua Ika, Five Loaves and Two Fish</t>
  </si>
  <si>
    <t xml:space="preserve">Seri Mukjizat - Lazarus Bangkit Dari </t>
  </si>
  <si>
    <t>Seri Mukjizat - Orang Sakit Sermbuh</t>
  </si>
  <si>
    <t>Makhluk Berkedip</t>
  </si>
  <si>
    <t>Dilengkapi Dengan Gambar, Indek Dan disertai Doa dan juga Kesaksian Pribadi</t>
  </si>
  <si>
    <t>Sigit Purnomo</t>
  </si>
  <si>
    <t>PT. Sarana bobo</t>
  </si>
  <si>
    <t>Kumpulan Dongen Betty Gajah Serta 14 dongen binatang lainnya</t>
  </si>
  <si>
    <t>Kisah-Kisah Anjing</t>
  </si>
  <si>
    <t>Buku Doa Untuk Anak-anak</t>
  </si>
  <si>
    <t>Cerita Janji Alkitab Kecilku</t>
  </si>
  <si>
    <t>Dilelengkapi Dengan Gambar Dan Ayat-ayat Alkitab</t>
  </si>
  <si>
    <t>World Kids</t>
  </si>
  <si>
    <t>Ia Ingin Menjadi Sahabatmu</t>
  </si>
  <si>
    <t>Yallki-Ehc</t>
  </si>
  <si>
    <t>Buku Bergambar Mewarnai</t>
  </si>
  <si>
    <t>978-602-231-066-2</t>
  </si>
  <si>
    <t xml:space="preserve">Seri Cerita Berbasis Karakter- Simon &amp; Perahunya                               </t>
  </si>
  <si>
    <t>978-602-231-041-9</t>
  </si>
  <si>
    <t xml:space="preserve">Seri Cerita Berbasis Karakter-  Laki-laki Yang Berkata " Terimakasih "                  </t>
  </si>
  <si>
    <t>978-602-231-132-4</t>
  </si>
  <si>
    <t>Berjalan Diatas Air - A Walk on the Waves</t>
  </si>
  <si>
    <t>978-602-231-137-9</t>
  </si>
  <si>
    <t>Pangeran Yang Dicari - cari</t>
  </si>
  <si>
    <t>978-602-231-134-8</t>
  </si>
  <si>
    <t>Hidup Pasukan Allah</t>
  </si>
  <si>
    <t>978-602-231-245-1</t>
  </si>
  <si>
    <t>Kisah - Kisah Alkitab Berstiker</t>
  </si>
  <si>
    <t>Sally Ann Wright &amp; Moira Madean</t>
  </si>
  <si>
    <t>978-979-9143-00-6</t>
  </si>
  <si>
    <t>Intisari Cerita Alkitab - Perjanjian Lama</t>
  </si>
  <si>
    <t>978-979-8976-99-5</t>
  </si>
  <si>
    <t>Intisari Cerita Alkitab - Perjanjian Baru</t>
  </si>
  <si>
    <t>Buku Doa Anak</t>
  </si>
  <si>
    <t>Christine Harder Tangvald</t>
  </si>
  <si>
    <t>978-979-687-955-7</t>
  </si>
  <si>
    <t>Seri Aku Bisa - Satu Hari Penuh Keajaiban</t>
  </si>
  <si>
    <t>Ita Siregar</t>
  </si>
  <si>
    <t>978-602-231-145-4</t>
  </si>
  <si>
    <t>Alkitab Aktivitasku Jilid 3 - 34 Cerita &amp; 76 Kegiatan yg menarik dan mendidik</t>
  </si>
  <si>
    <t>Sally Ann Wright &amp; Moira Maclean</t>
  </si>
  <si>
    <t>978-979-542-334-8</t>
  </si>
  <si>
    <t>Berpetualang Dalam Kerajaan Allah - Renungan Harian Untuk Menghormati Tuhan, Allahmu  Seri 1 : Kejadian 1 - 35</t>
  </si>
  <si>
    <t>Christiana Niowni, et all</t>
  </si>
  <si>
    <t>978-979-542-335-5</t>
  </si>
  <si>
    <t>Berpetualang Dalam Kerajaan Allah - Renungan Harian Untuk Menghormati Tuhan, Allahmu  Seri 1I : Kejadian 35 - Bilangan 11</t>
  </si>
  <si>
    <t>978-1-84427-584-7</t>
  </si>
  <si>
    <t xml:space="preserve">                      220.950.5     TAN       </t>
  </si>
  <si>
    <t>Tantangan Dahsyat Alkitab - Mulai Petualang Menjelajahi Kisah Dahsyat Alkitab</t>
  </si>
  <si>
    <t>Maggie Barfield, et all</t>
  </si>
  <si>
    <t>978-602-8537-25-4</t>
  </si>
  <si>
    <t xml:space="preserve">                    220.950.5          PEA       g</t>
  </si>
  <si>
    <t>Good and Evil - Komik Alkitab</t>
  </si>
  <si>
    <t>Michael Pearl</t>
  </si>
  <si>
    <t>978-602-231-248-2</t>
  </si>
  <si>
    <t xml:space="preserve">       207              SIM        s</t>
  </si>
  <si>
    <t>Saat Teduh Anak  Usia 6-9 Tahun</t>
  </si>
  <si>
    <t>May Manz Simon</t>
  </si>
  <si>
    <t>Saat Teduh Anak - Yesus Sahabatku usia 3-4 tahun</t>
  </si>
  <si>
    <t>Mary Manz Simon</t>
  </si>
  <si>
    <t>978-602-231-230-7</t>
  </si>
  <si>
    <t xml:space="preserve">                                   220.950.5      ALK     </t>
  </si>
  <si>
    <t>Alkitab Dalam Gambar - Cerita Untuk Sikecil</t>
  </si>
  <si>
    <t>978-979-687-657-0</t>
  </si>
  <si>
    <t xml:space="preserve">       220.9            BEE       s</t>
  </si>
  <si>
    <t>Step by Step Bible - Langkah Demi Langkah Menelusuri Alkitab</t>
  </si>
  <si>
    <t>V. Gilbert . Beers</t>
  </si>
  <si>
    <t>0-7868-3121-9</t>
  </si>
  <si>
    <t xml:space="preserve">      649.7           MIL       m</t>
  </si>
  <si>
    <t>Seri Bacaan Anak Walt Disney - Malam yang Mencekam</t>
  </si>
  <si>
    <t>A.A Milne</t>
  </si>
  <si>
    <t>PT Elex Media Komputindo - Kelompok Gramedia</t>
  </si>
  <si>
    <t>0-307-12637-4</t>
  </si>
  <si>
    <t xml:space="preserve">      649.7           MIL       p</t>
  </si>
  <si>
    <t>Seri Bacaan Anak Walt Disney - Pesta musim Semi</t>
  </si>
  <si>
    <t>0-7868-3053-0</t>
  </si>
  <si>
    <t xml:space="preserve">      649.7             TAL        p</t>
  </si>
  <si>
    <t>Seri Bacaan Anak Walt Disney - Pesta Syukuran</t>
  </si>
  <si>
    <t>Bruce Talkington</t>
  </si>
  <si>
    <t>0-307-98802-3</t>
  </si>
  <si>
    <t xml:space="preserve">      649.7            GEI      g</t>
  </si>
  <si>
    <t>Seri Bacaan Anak Walt Disney -Gufi Sang Pahlawan</t>
  </si>
  <si>
    <t>978-979-22-1337-9</t>
  </si>
  <si>
    <t xml:space="preserve">      649.7            MUL     b</t>
  </si>
  <si>
    <t>Barbie - Rapunzel</t>
  </si>
  <si>
    <t>Diane Muldrow</t>
  </si>
  <si>
    <t>PT Pustaka Gramedia Pustaka Utama</t>
  </si>
  <si>
    <t xml:space="preserve">      649.7       AUR</t>
  </si>
  <si>
    <t>Kumpulan Dongeng- Aura dan Rambut Beningnya</t>
  </si>
  <si>
    <t>PT Penerbitan sarana Bobo</t>
  </si>
  <si>
    <t xml:space="preserve">      649.55          TOY      </t>
  </si>
  <si>
    <t>Disney -  Toy Strory</t>
  </si>
  <si>
    <t>Pixar</t>
  </si>
  <si>
    <t>Gramedia majalah</t>
  </si>
  <si>
    <t xml:space="preserve">      070.482     BES</t>
  </si>
  <si>
    <t>Best No.31 Thn. VI Edisi Pebruari - Maret 2016</t>
  </si>
  <si>
    <t>Majalah</t>
  </si>
  <si>
    <t>BPK Penabur, Jakarta</t>
  </si>
  <si>
    <t>Best No.32 Thn. VI Edisi April - Mei 2016</t>
  </si>
  <si>
    <t>Best No.29 Thn. V  Edisi Oktober -Nopember 2015</t>
  </si>
  <si>
    <t>978-1-59480-204-1</t>
  </si>
  <si>
    <t xml:space="preserve">      649.7       BOO</t>
  </si>
  <si>
    <t>Book of Hope - Edisi Cerita</t>
  </si>
  <si>
    <t>Book Of Hope International</t>
  </si>
  <si>
    <t xml:space="preserve">      649.7            OGD        m</t>
  </si>
  <si>
    <t>Seri Menunggu Pak Pos Datang - Mancing Ikan</t>
  </si>
  <si>
    <t>Brian Ogden</t>
  </si>
  <si>
    <t>979-565-246-X</t>
  </si>
  <si>
    <t>232.92 WIL m</t>
  </si>
  <si>
    <t>Masa Kecil Yesus</t>
  </si>
  <si>
    <t>Sally Wilkins</t>
  </si>
  <si>
    <t>231.5 MAC b</t>
  </si>
  <si>
    <t>Buku Pertamaku (My 1st Book) - Janji-Janji Alkitab</t>
  </si>
  <si>
    <t>Dilengkapi  gambar</t>
  </si>
  <si>
    <t>978-979-565-245-8</t>
  </si>
  <si>
    <t>232.91 WIL m</t>
  </si>
  <si>
    <t>Masa Kecil Maria</t>
  </si>
  <si>
    <t>Dilengkapi gambar</t>
  </si>
  <si>
    <t>602-8165-53-0</t>
  </si>
  <si>
    <t>920.008.8</t>
  </si>
  <si>
    <t>Biografi Tokoh Kristen - John Owen</t>
  </si>
  <si>
    <t>Dilengkapi gambar berwarna</t>
  </si>
  <si>
    <t>602-1603-26-5</t>
  </si>
  <si>
    <t>270.2092 CAR a</t>
  </si>
  <si>
    <t>Biografi Tokoh Kristen - Athanasius</t>
  </si>
  <si>
    <t>602-8165-20-4</t>
  </si>
  <si>
    <t>Biografi Tokoh Kristen - John Calvin</t>
  </si>
  <si>
    <t>Dilengkapi dengan gambar</t>
  </si>
  <si>
    <t>Biografi Tokoh Kristen - Augustinus dari Hippo</t>
  </si>
  <si>
    <t>Dilengkapi dengan gambar berwarna</t>
  </si>
  <si>
    <t>979-565-477-2</t>
  </si>
  <si>
    <t>221.95 FX t</t>
  </si>
  <si>
    <t>Seri Kado Bintang 1: Telur Paskah Yang Hilang</t>
  </si>
  <si>
    <t>Gabriel, F.X</t>
  </si>
  <si>
    <t>978-979-20-0504-9</t>
  </si>
  <si>
    <t>232.96 RAB y</t>
  </si>
  <si>
    <t xml:space="preserve">Seri Kisah Perjanjian Baru - Yesus Disalibkan </t>
  </si>
  <si>
    <t>978-979-21-0499-8</t>
  </si>
  <si>
    <t>232.95 RAB y</t>
  </si>
  <si>
    <t>Seri Kisah Perjanjian Baru - Yesus Berjalan Diatas Air</t>
  </si>
  <si>
    <t>978-979-21-0505-6</t>
  </si>
  <si>
    <t xml:space="preserve">       232.97           RAB            y</t>
  </si>
  <si>
    <t>Seri Kisah Perjanjian Baru - Yesus Naik Ke Surga</t>
  </si>
  <si>
    <t>978-979-21-0503-2</t>
  </si>
  <si>
    <t>232.95 RAB p</t>
  </si>
  <si>
    <t>Seri Kisah Perjanjian Baru - Perjamuan Terakhir</t>
  </si>
  <si>
    <t>978-979-21-01447</t>
  </si>
  <si>
    <t>221.92 RAB y</t>
  </si>
  <si>
    <t>Seri Kisah Perjanjian Lama - Yusuf dan Kakak-kakaknya</t>
  </si>
  <si>
    <t>978-979-565-691-3</t>
  </si>
  <si>
    <t>221.92 WAH y</t>
  </si>
  <si>
    <t>Seri Kisah Alkitab 1 - Yakub dan Esau Kembar Tapi Beda</t>
  </si>
  <si>
    <t>Linda Wahjudi</t>
  </si>
  <si>
    <t>978-979-21-0136-2</t>
  </si>
  <si>
    <t>231.765 RAB a</t>
  </si>
  <si>
    <t>Seri Kisah Perjanjian Lama - Adam dan Hawa</t>
  </si>
  <si>
    <t>236.9 AND y</t>
  </si>
  <si>
    <t>220.1 AND a</t>
  </si>
  <si>
    <t>602-8165-27-1</t>
  </si>
  <si>
    <t>231.765 AND m</t>
  </si>
  <si>
    <t>Mari Kita Menjelajah Dunia Allah</t>
  </si>
  <si>
    <t>978-979-21-0501-8</t>
  </si>
  <si>
    <t>Seri Kisah Perjanjian Baru - Perumpamaan Tentang Utang dan Harta</t>
  </si>
  <si>
    <t>978-979-21-0502-5</t>
  </si>
  <si>
    <t>Seri Kisah Perjanjian Baru - Yesus Memasuki Kota Yerusalem</t>
  </si>
  <si>
    <t>978-979-21-0496-7</t>
  </si>
  <si>
    <t>232.95 RAB m</t>
  </si>
  <si>
    <t>Seri Kisah Perjanjian Baru - Murid-Murid Yesus</t>
  </si>
  <si>
    <t>978-979-21-2541-2</t>
  </si>
  <si>
    <t>220.1 PIP r</t>
  </si>
  <si>
    <t>Read &amp; Know Bible</t>
  </si>
  <si>
    <t>Sophie Piper</t>
  </si>
  <si>
    <t>602-1603-03-6</t>
  </si>
  <si>
    <t>220.1 HEL g</t>
  </si>
  <si>
    <t>Gambaran Besar Ksiah Alkitab</t>
  </si>
  <si>
    <t>David Helm</t>
  </si>
  <si>
    <t>978-602-9226-39-3</t>
  </si>
  <si>
    <t>220.1 SCH a</t>
  </si>
  <si>
    <t>Alkitab Bercerita</t>
  </si>
  <si>
    <t>Marian M. Schoolland</t>
  </si>
  <si>
    <t>978-979-21-3948-8</t>
  </si>
  <si>
    <t>Alkitab Anak</t>
  </si>
  <si>
    <t>979-781-499-8</t>
  </si>
  <si>
    <t>220.3 WAT c</t>
  </si>
  <si>
    <t>The Childrens's Bible: Kisah Alkitab Untuk Anak</t>
  </si>
  <si>
    <t>The Kingstone Bible Vol. 3 The Ten Commmandments</t>
  </si>
  <si>
    <t>Dilengkapi Gambar Berwarna</t>
  </si>
  <si>
    <t>978-185-078-2230</t>
  </si>
  <si>
    <t xml:space="preserve">    225.95    GRE</t>
  </si>
  <si>
    <t>The Great Bible Discovery - The Good News 19</t>
  </si>
  <si>
    <t>OM Publishing</t>
  </si>
  <si>
    <t>The Great Bible Discovery - The Acts Of The Apostles</t>
  </si>
  <si>
    <t>Kwartet Cerita - Perjanjian Baru</t>
  </si>
  <si>
    <t>60 (Lembar )</t>
  </si>
  <si>
    <t>Anak Terang Indonesia</t>
  </si>
  <si>
    <t>Domino NUH - Permainan Mencari Pasangan Binatang Bahtra Nuh</t>
  </si>
  <si>
    <t>56 (Lembar )</t>
  </si>
  <si>
    <t>Kwartet Pedang ROH</t>
  </si>
  <si>
    <t>47 (Lembar )</t>
  </si>
  <si>
    <t>Domba Kecil</t>
  </si>
  <si>
    <t>979731897-4</t>
  </si>
  <si>
    <t xml:space="preserve">       268.432           SIS          p</t>
  </si>
  <si>
    <t>20 Peraga Sekolah Minggu Asyik</t>
  </si>
  <si>
    <t>Catatan-Catatan</t>
  </si>
  <si>
    <t>978-602-231-280-2</t>
  </si>
  <si>
    <t xml:space="preserve">       220.04         WRI        a</t>
  </si>
  <si>
    <t>Alkitab Masa Kecilku</t>
  </si>
  <si>
    <t>Gambar berwarna-warni</t>
  </si>
  <si>
    <t>Sally Ann Wright</t>
  </si>
  <si>
    <t>BPK</t>
  </si>
  <si>
    <t xml:space="preserve">       220.04         KOR        a</t>
  </si>
  <si>
    <t>Adam dan Hawa - 1</t>
  </si>
  <si>
    <t>Bente Raben Korch</t>
  </si>
  <si>
    <t>978-979-21-0137-9</t>
  </si>
  <si>
    <t xml:space="preserve">       220.04         KOR        b</t>
  </si>
  <si>
    <t>Bahtera Nabi Nuh - 2</t>
  </si>
  <si>
    <t>978-979-21-0138-6</t>
  </si>
  <si>
    <t>Abraham dan Sara - 3</t>
  </si>
  <si>
    <t>978-979-21-0140-9</t>
  </si>
  <si>
    <t xml:space="preserve">       220.04          KOR        i</t>
  </si>
  <si>
    <t>Ishak dan Ribka - 5</t>
  </si>
  <si>
    <t>978-979-21-0141-6</t>
  </si>
  <si>
    <t xml:space="preserve">       220.04           KOR       y</t>
  </si>
  <si>
    <t>Yakub dan Esau - 6</t>
  </si>
  <si>
    <t>978-979-21-0145-4</t>
  </si>
  <si>
    <t xml:space="preserve">       220.04         KOR        y</t>
  </si>
  <si>
    <t>Yusuf Si Penafsir Mimpi 10</t>
  </si>
  <si>
    <t>978-979-21-0146-1</t>
  </si>
  <si>
    <t>Yusuf Berjumpa Kembali Dengan Saudara-Saudaranya 11</t>
  </si>
  <si>
    <t>978-979-21-0147-8</t>
  </si>
  <si>
    <t>Bayi Dalam Keranjang - 12</t>
  </si>
  <si>
    <t>978-979-21-0149-2</t>
  </si>
  <si>
    <t xml:space="preserve">       220.04         KOR        m</t>
  </si>
  <si>
    <t>Musa Memimpin Bangsa Israel -14</t>
  </si>
  <si>
    <t xml:space="preserve">       220.04         KOR        p</t>
  </si>
  <si>
    <t>Patung Lembu Emas - 15</t>
  </si>
  <si>
    <t>978-979-21-0151-5</t>
  </si>
  <si>
    <t>Bileam dan Keledai Yang Bijak - 16</t>
  </si>
  <si>
    <t>978-979-21-0152-2</t>
  </si>
  <si>
    <t>Penaklukan Yerikho - 17</t>
  </si>
  <si>
    <t>978-979-21-0153-9</t>
  </si>
  <si>
    <t xml:space="preserve">       220.04         KOR        s</t>
  </si>
  <si>
    <t>Simson dan Rambut Ajaibnya - 18</t>
  </si>
  <si>
    <t xml:space="preserve">       220.04           KOR       r</t>
  </si>
  <si>
    <t>Rut dan Naomi - 19</t>
  </si>
  <si>
    <t>978-979-21-0157-7</t>
  </si>
  <si>
    <t xml:space="preserve">       220.04         KOR        d</t>
  </si>
  <si>
    <t>Daud dan Raja Saul - 22</t>
  </si>
  <si>
    <t>978-979-21-0159-1</t>
  </si>
  <si>
    <t>Ratu Ester Yang Cantik - 24</t>
  </si>
  <si>
    <t xml:space="preserve">       268.432          COR       b</t>
  </si>
  <si>
    <t>Belajar Alkitab Sambil Bereksperimen - 26 Kegiatan Ilmiah Anak</t>
  </si>
  <si>
    <t>Laurie Corday</t>
  </si>
  <si>
    <t>978-602-231-098-3</t>
  </si>
  <si>
    <t xml:space="preserve">       220.04            BER      m</t>
  </si>
  <si>
    <t>Mukjizat Dirumah Yairus</t>
  </si>
  <si>
    <t>Jeni Bernadus</t>
  </si>
  <si>
    <t>0-7459-4744-1</t>
  </si>
  <si>
    <t xml:space="preserve">       225.04            ROC       e</t>
  </si>
  <si>
    <t>Easter - The Everlasting Story</t>
  </si>
  <si>
    <t>Lion Children's Books</t>
  </si>
  <si>
    <t>978-0-7459-6170-5</t>
  </si>
  <si>
    <t xml:space="preserve">       220.04             PAS       t</t>
  </si>
  <si>
    <t>The Trees A Traditional Folktale</t>
  </si>
  <si>
    <t>Elena Pasquali, Sophie Windham</t>
  </si>
  <si>
    <t>978-0-7459-6235-1</t>
  </si>
  <si>
    <t xml:space="preserve">       268.432           PAS       t</t>
  </si>
  <si>
    <t>Just Because</t>
  </si>
  <si>
    <t>Rebecca Elliott</t>
  </si>
  <si>
    <t>978-1-62707-226-7</t>
  </si>
  <si>
    <t xml:space="preserve">       225.04            SPA       </t>
  </si>
  <si>
    <t>Spark - Waktu Bersama Yesus</t>
  </si>
  <si>
    <t>RBC Ministries</t>
  </si>
  <si>
    <t>978-602-9237-57-3</t>
  </si>
  <si>
    <t xml:space="preserve">       372.674            PUJ       p</t>
  </si>
  <si>
    <t>Pupet Show ( Pertunjukan Panggung Boneka )</t>
  </si>
  <si>
    <t>Pujianto</t>
  </si>
  <si>
    <t>The Happy Holy Kids</t>
  </si>
  <si>
    <t>978-602-8009-50-8</t>
  </si>
  <si>
    <t xml:space="preserve">       268.432.04           SUS      k</t>
  </si>
  <si>
    <t>Kau Istimewa ( You Are Special</t>
  </si>
  <si>
    <t>Ita Susanto</t>
  </si>
  <si>
    <t>978-602-231-047-1</t>
  </si>
  <si>
    <t xml:space="preserve">       220.9             JAM         b</t>
  </si>
  <si>
    <t>Buku Aktivitas Cerita Alkitab - 1</t>
  </si>
  <si>
    <t>Bethan James</t>
  </si>
  <si>
    <t>978-979-29-1963-9</t>
  </si>
  <si>
    <t>Jurnalisme Untuk Sekolah Minggu - Kiat Melatih Ketrampilan Menulis Bagi Anak Sekolah Minggu</t>
  </si>
  <si>
    <t>Haryadi Baskoro &amp; Claudia Oki Hermawati</t>
  </si>
  <si>
    <t>978-602-231-013-6</t>
  </si>
  <si>
    <t xml:space="preserve">       220.9            LAN        a</t>
  </si>
  <si>
    <t>Alkitab Pertamaku- My First Bible</t>
  </si>
  <si>
    <t>Leena Lane &amp; Gillian Chapman</t>
  </si>
  <si>
    <t>0-7847-1756-7</t>
  </si>
  <si>
    <t xml:space="preserve">       268.432           STE      g</t>
  </si>
  <si>
    <t>God's - Green</t>
  </si>
  <si>
    <t>Gambar berwarna-warni (Tebal)</t>
  </si>
  <si>
    <t>Charlie Stewart</t>
  </si>
  <si>
    <t>Standard Publishing</t>
  </si>
  <si>
    <t>0-7847-1755-9</t>
  </si>
  <si>
    <t xml:space="preserve">       268.432           STE      b</t>
  </si>
  <si>
    <t>God's -Blue</t>
  </si>
  <si>
    <t>0-7847-1753-2</t>
  </si>
  <si>
    <t xml:space="preserve">       268.432           STE      y</t>
  </si>
  <si>
    <t>God's - Yellow</t>
  </si>
  <si>
    <t>Koleksi Cerita 7 Kebiasaan Anak Bahagia</t>
  </si>
  <si>
    <t>978-602-7688-51-3</t>
  </si>
  <si>
    <t xml:space="preserve">       153.9            COV         d</t>
  </si>
  <si>
    <t>Diriku Seperti Apa Adanya- Just The Way I am</t>
  </si>
  <si>
    <t>Sean Covey</t>
  </si>
  <si>
    <t>978-602-7688-52-0</t>
  </si>
  <si>
    <t xml:space="preserve">       153.9            COV         b</t>
  </si>
  <si>
    <t>Bila Aku Tumbuh Dewasa- When I Grow Up  - 2</t>
  </si>
  <si>
    <t>Diriku Seperti Apa Adanya- Just The Way I am  - 1</t>
  </si>
  <si>
    <t>978-602-7688-53-7</t>
  </si>
  <si>
    <t xml:space="preserve">       153.9            COV         t</t>
  </si>
  <si>
    <t>Tempat Untuk Segala Sesuatu- A Place for Everything  - 3</t>
  </si>
  <si>
    <t>978-602-7688-54-4</t>
  </si>
  <si>
    <t xml:space="preserve">       153.9            COV        s</t>
  </si>
  <si>
    <t>Sammy dan Kue Pai Kenari- Sammy and the Pecan Pie  - 4</t>
  </si>
  <si>
    <t xml:space="preserve">       153.9            COV        l</t>
  </si>
  <si>
    <t>Lily dan Kue Yang Tidak Enak -Lily and the Yucky Cookies  - 5</t>
  </si>
  <si>
    <t>978-602-7688-56-8</t>
  </si>
  <si>
    <t>Sophie dan Puisi Sempurna - Sophie and the Perfect Poem  - 6</t>
  </si>
  <si>
    <t>978-602-7688-57-5</t>
  </si>
  <si>
    <t xml:space="preserve">       153.9            COV         g</t>
  </si>
  <si>
    <t>Goob dan Kakeknya- Goob and His Grandpa - 7</t>
  </si>
  <si>
    <t>978-602-8139-87-4</t>
  </si>
  <si>
    <t>236 ALC</t>
  </si>
  <si>
    <t>Surga: Berbagai Jawaban Atas Pertanyaan Anak-Anak Tentang Surga</t>
  </si>
  <si>
    <t>Randy Alcorn</t>
  </si>
  <si>
    <t>978-602-8139-95-5</t>
  </si>
  <si>
    <t>268.432 HAR</t>
  </si>
  <si>
    <t>Kreasi Figur Orang</t>
  </si>
  <si>
    <t>Hardianto</t>
  </si>
  <si>
    <t>978-0-8423-3174-6</t>
  </si>
  <si>
    <t>220.950.5 TAY</t>
  </si>
  <si>
    <t>A Child's First Bible</t>
  </si>
  <si>
    <t>978-0-310-70825-4</t>
  </si>
  <si>
    <t>220.505 JON</t>
  </si>
  <si>
    <t>The Jesus Storybook Bible</t>
  </si>
  <si>
    <t>Gambar berwarna</t>
  </si>
  <si>
    <t>Sally Lloyd Jones</t>
  </si>
  <si>
    <t>ZondervanKidz</t>
  </si>
  <si>
    <t>978-979-29-2888-1</t>
  </si>
  <si>
    <t>248 SOE</t>
  </si>
  <si>
    <t>Tahu Jadi Seru, Ingat Tambah Mantap</t>
  </si>
  <si>
    <t>Gambar Berwarna</t>
  </si>
  <si>
    <t>Santosa Soewignjo</t>
  </si>
  <si>
    <t>978-979-687-402-6</t>
  </si>
  <si>
    <t>220.950.5 SIM</t>
  </si>
  <si>
    <t>Seni Bercerita-Cara Bercerita Efektif</t>
  </si>
  <si>
    <t>A. L. Simanjuntak</t>
  </si>
  <si>
    <t>978-979-29-5684-9</t>
  </si>
  <si>
    <t>259 SAC</t>
  </si>
  <si>
    <t>Mengajar Sekolah Minggu Secara Atraktif dan Efektif</t>
  </si>
  <si>
    <t>Nella Sachli</t>
  </si>
  <si>
    <t>Mengenal &amp; Belajar dari Raja-Raja Israel &amp; Yehuda</t>
  </si>
  <si>
    <t>978-602-231-149-2</t>
  </si>
  <si>
    <t>220.9 PAS</t>
  </si>
  <si>
    <t>10 Perumpamaan Yesus</t>
  </si>
  <si>
    <t>978-979-29-1861-1</t>
  </si>
  <si>
    <t>160 SIS</t>
  </si>
  <si>
    <t>25 Sulap Asyik &amp; Menarik</t>
  </si>
  <si>
    <t>978-979-29-5722-8</t>
  </si>
  <si>
    <t>220.93 MAH</t>
  </si>
  <si>
    <t>Mengenal dan Nelajar dari Benda-benda di Alkitab</t>
  </si>
  <si>
    <t>978-602-231-357-1</t>
  </si>
  <si>
    <t>220.9 MAC</t>
  </si>
  <si>
    <t>Dunia Binatang di Dalam Alkitab</t>
  </si>
  <si>
    <t>978-979-29-1989-9</t>
  </si>
  <si>
    <t>257.1 SIS</t>
  </si>
  <si>
    <t>Asyik Bermain Plastisin untuk Sekolah Minggu</t>
  </si>
  <si>
    <t>978-979-18916-6-0</t>
  </si>
  <si>
    <t>268.432 HAS</t>
  </si>
  <si>
    <t>Aktivitas Asyik Belajar Alkitab 2</t>
  </si>
  <si>
    <t>Ervina Hasibuan &amp; Magne Vatland</t>
  </si>
  <si>
    <t>Lentera Kasih</t>
  </si>
  <si>
    <t>978-979-18916-5-3</t>
  </si>
  <si>
    <t>268.432 DAM</t>
  </si>
  <si>
    <t xml:space="preserve">Aktivitas Asyik Belajar Alkitab </t>
  </si>
  <si>
    <t>Fillia Damai, dkk</t>
  </si>
  <si>
    <t>220.8794 KEE</t>
  </si>
  <si>
    <t>Belajar Alkitab Melalui Permainan</t>
  </si>
  <si>
    <t>Ronald F. Keeler</t>
  </si>
  <si>
    <t>978-979-415-095-5</t>
  </si>
  <si>
    <t>242.63 DAR</t>
  </si>
  <si>
    <t>Berdoalah Anakku!</t>
  </si>
  <si>
    <t>Evang Darmaputera</t>
  </si>
  <si>
    <t>221.95 AME t</t>
  </si>
  <si>
    <t>The Young David: A Scripture Activity Book from the American Bible Society</t>
  </si>
  <si>
    <t>741.642 AME g</t>
  </si>
  <si>
    <t>Good News for Friends and Enemies</t>
  </si>
  <si>
    <t>978-1-62707-809-2</t>
  </si>
  <si>
    <t>242.62 BOW o</t>
  </si>
  <si>
    <t>Our Daily Bread for Kids: 365 Meaningful Moments with God</t>
  </si>
  <si>
    <t>Crystal Bowman, Teri McKinley</t>
  </si>
  <si>
    <t>LINGUISTIK</t>
  </si>
  <si>
    <r>
      <rPr>
        <rFont val="Calibri"/>
        <color theme="1"/>
        <sz val="9.0"/>
      </rPr>
      <t xml:space="preserve">Nusa: Linguistic Studies of Indonesian and Other Languages in Indonesia Volume 24 1986 </t>
    </r>
    <r>
      <rPr>
        <rFont val="Calibri"/>
        <b/>
        <color rgb="FF000000"/>
        <sz val="9.0"/>
      </rPr>
      <t>(Role Structure in Javanese)</t>
    </r>
  </si>
  <si>
    <t>Gloria Risser Poedjosoedarmo (Amran Halim, dkk/ Editor)</t>
  </si>
  <si>
    <t>Badan Penyelenggara Seri NUSA Universitas Katolik Indonesia Atma Jaya Jakrta</t>
  </si>
  <si>
    <t>2</t>
  </si>
  <si>
    <r>
      <rPr>
        <rFont val="Calibri"/>
        <color theme="1"/>
        <sz val="9.0"/>
      </rPr>
      <t>Nusa: Linguistic Studies of Indonesian and Other Languages in Indonesia Volume 25/1986</t>
    </r>
    <r>
      <rPr>
        <rFont val="Calibri"/>
        <b/>
        <color rgb="FF000000"/>
        <sz val="9.0"/>
      </rPr>
      <t xml:space="preserve"> (Miscellaneous Studies of Indonesian and Other Languages in Indonesia/ Part VIII)</t>
    </r>
  </si>
  <si>
    <t>Soenjono Dardjowidjojo (Editor)</t>
  </si>
  <si>
    <t>3</t>
  </si>
  <si>
    <t>499.221 MCC i</t>
  </si>
  <si>
    <r>
      <rPr>
        <rFont val="Calibri"/>
        <color theme="1"/>
        <sz val="9.0"/>
      </rPr>
      <t xml:space="preserve">Nusa: Linguistic Studies of Indonesian and Other Languages in Indonesia Volume21/22/ 1985 </t>
    </r>
    <r>
      <rPr>
        <rFont val="Calibri"/>
        <b/>
        <color rgb="FF000000"/>
        <sz val="9.0"/>
      </rPr>
      <t xml:space="preserve">( The Internal Structure of Indonesian Roots Part I) </t>
    </r>
  </si>
  <si>
    <t xml:space="preserve">Keith Michael Mccune </t>
  </si>
  <si>
    <t>4</t>
  </si>
  <si>
    <t>499.223 REEs</t>
  </si>
  <si>
    <r>
      <rPr>
        <rFont val="Calibri"/>
        <color theme="1"/>
        <sz val="9.0"/>
      </rPr>
      <t xml:space="preserve">Nusa: Linguistic Studies of Indonesian and Other Languages in Indonesia Volume 40/1996 </t>
    </r>
    <r>
      <rPr>
        <rFont val="Calibri"/>
        <b/>
        <color rgb="FF000000"/>
        <sz val="9.0"/>
      </rPr>
      <t>( Studies in Irian Languages Part I)</t>
    </r>
  </si>
  <si>
    <t>5</t>
  </si>
  <si>
    <r>
      <rPr>
        <rFont val="Calibri"/>
        <color theme="1"/>
        <sz val="9.0"/>
      </rPr>
      <t xml:space="preserve">Nusa: Linguistic Studies of Indonesian and Other Languages in Indonesia Volume 34/1992 </t>
    </r>
    <r>
      <rPr>
        <rFont val="Calibri"/>
        <b/>
        <color rgb="FF000000"/>
        <sz val="9.0"/>
      </rPr>
      <t>( Descriptive Studies in Languages of Maluku)</t>
    </r>
    <r>
      <rPr>
        <rFont val="Calibri"/>
        <color rgb="FF000000"/>
        <sz val="9.0"/>
      </rPr>
      <t xml:space="preserve"> </t>
    </r>
  </si>
  <si>
    <t>Donald A. Burquest and Wyn D. Laidig</t>
  </si>
  <si>
    <t>6</t>
  </si>
  <si>
    <r>
      <rPr>
        <rFont val="Calibri"/>
        <color theme="1"/>
        <sz val="9.0"/>
      </rPr>
      <t xml:space="preserve">Nusa: Linguistic Studies of Indonesian and Other Languages in Indonesia Volume 44/1998 </t>
    </r>
    <r>
      <rPr>
        <rFont val="Calibri"/>
        <b/>
        <color rgb="FF000000"/>
        <sz val="9.0"/>
      </rPr>
      <t>(Ergativity and Balinese Syntax Part III/ of Three Parts)</t>
    </r>
  </si>
  <si>
    <t>KI Ketut Artawa</t>
  </si>
  <si>
    <t>7</t>
  </si>
  <si>
    <r>
      <rPr>
        <rFont val="Calibri"/>
        <color theme="1"/>
        <sz val="9.0"/>
      </rPr>
      <t>Nusa: Linguistic Studies of Indonesian and Other Languages in Indonesia Volume 33/ 1991</t>
    </r>
    <r>
      <rPr>
        <rFont val="Calibri"/>
        <b/>
        <color rgb="FF000000"/>
        <sz val="9.0"/>
      </rPr>
      <t xml:space="preserve"> (Studies In Sulawesi Linguistics Part II) </t>
    </r>
  </si>
  <si>
    <t xml:space="preserve">J. N. Sneddon </t>
  </si>
  <si>
    <t>8</t>
  </si>
  <si>
    <t xml:space="preserve">Miscellaneous Studies in Indonesian and Languages in Indonesia Part II </t>
  </si>
  <si>
    <t>Amran Halim (Editor)</t>
  </si>
  <si>
    <t>9</t>
  </si>
  <si>
    <r>
      <rPr>
        <rFont val="Calibri"/>
        <color theme="1"/>
        <sz val="9.0"/>
      </rPr>
      <t>Nusa: Linguistic Studies of Indonesian and Other Languages in Indonesia Volume 23/ 1985</t>
    </r>
    <r>
      <rPr>
        <rFont val="Calibri"/>
        <b/>
        <color rgb="FF000000"/>
        <sz val="9.0"/>
      </rPr>
      <t xml:space="preserve"> ( The Internal Structure of Indonesian Roots Part II)</t>
    </r>
  </si>
  <si>
    <t>10</t>
  </si>
  <si>
    <r>
      <rPr>
        <rFont val="Calibri"/>
        <color theme="1"/>
        <sz val="9.0"/>
      </rPr>
      <t xml:space="preserve">Nusa: Linguistic Studies of Indonesian and Other Languages in Indonesia Volume 26/ 1986 </t>
    </r>
    <r>
      <rPr>
        <rFont val="Calibri"/>
        <b/>
        <color rgb="FF000000"/>
        <sz val="9.0"/>
      </rPr>
      <t>(Iau Verb Morphology)</t>
    </r>
  </si>
  <si>
    <t>11</t>
  </si>
  <si>
    <r>
      <rPr>
        <rFont val="Calibri"/>
        <color theme="1"/>
        <sz val="9.0"/>
      </rPr>
      <t xml:space="preserve">Nusa: Linguistic Studies of Indonesian and Other Languages in Indonesia Volume 8 </t>
    </r>
    <r>
      <rPr>
        <rFont val="Calibri"/>
        <b/>
        <color rgb="FF000000"/>
        <sz val="9.0"/>
      </rPr>
      <t>(Javanese Transitive Verbs: A Tagmemic Grammar)</t>
    </r>
  </si>
  <si>
    <r>
      <rPr>
        <rFont val="Calibri"/>
        <color theme="1"/>
        <sz val="9.0"/>
      </rPr>
      <t xml:space="preserve">Nusa: Linguistic Studies of Indonesian and Other Languages in Indonesia Volume 18/ 1984 </t>
    </r>
    <r>
      <rPr>
        <rFont val="Calibri"/>
        <b/>
        <color rgb="FF000000"/>
        <sz val="9.0"/>
      </rPr>
      <t xml:space="preserve">( Towards A Description of Contemporary Indonesian: Preliminary Studies Part I) </t>
    </r>
  </si>
  <si>
    <t>410 VER p</t>
  </si>
  <si>
    <r>
      <rPr>
        <rFont val="Calibri"/>
        <color theme="1"/>
        <sz val="9.0"/>
      </rPr>
      <t xml:space="preserve">Nusa: Linguistic Studies of Indonesian and Other Languages in Indonesia Volume 20/ 1984 </t>
    </r>
    <r>
      <rPr>
        <rFont val="Calibri"/>
        <b/>
        <color rgb="FF000000"/>
        <sz val="9.0"/>
      </rPr>
      <t xml:space="preserve">( Plant Names in Austronesian Linguistics ) </t>
    </r>
  </si>
  <si>
    <t>Jilis A. J. Verheijen</t>
  </si>
  <si>
    <r>
      <rPr>
        <rFont val="Calibri"/>
        <color theme="1"/>
        <sz val="9.0"/>
      </rPr>
      <t xml:space="preserve">Nusa: Linguistic Studies of Indonesian and Other Languages in Indonesia Volume 14 </t>
    </r>
    <r>
      <rPr>
        <rFont val="Calibri"/>
        <b/>
        <color rgb="FF000000"/>
        <sz val="9.0"/>
      </rPr>
      <t>(Outline of Rejang Syntax)</t>
    </r>
  </si>
  <si>
    <t>418 VER g</t>
  </si>
  <si>
    <r>
      <rPr>
        <rFont val="Calibri"/>
        <color theme="1"/>
        <sz val="9.0"/>
      </rPr>
      <t xml:space="preserve">Nusa: Linguistic Studies of Indonesian and Other Languages in Indonesia Volume 35/ 1993 </t>
    </r>
    <r>
      <rPr>
        <rFont val="Calibri"/>
        <b/>
        <color rgb="FF000000"/>
        <sz val="9.0"/>
      </rPr>
      <t>(Glossary of Taxonomic-Indonesian Plant Names)</t>
    </r>
  </si>
  <si>
    <t xml:space="preserve">417 TAD s </t>
  </si>
  <si>
    <r>
      <rPr>
        <rFont val="Calibri"/>
        <color theme="1"/>
        <sz val="9.0"/>
      </rPr>
      <t>Nusa: Linguistic Studies of Indonesian and Other Languages in Indonesia Volume 50, 2002</t>
    </r>
    <r>
      <rPr>
        <rFont val="Calibri"/>
        <b/>
        <color rgb="FF000000"/>
        <sz val="9.0"/>
      </rPr>
      <t xml:space="preserve"> (Studies in Malay Dialects Part III)</t>
    </r>
  </si>
  <si>
    <t>410.225 LAI d</t>
  </si>
  <si>
    <r>
      <rPr>
        <rFont val="Calibri"/>
        <color theme="1"/>
        <sz val="9.0"/>
      </rPr>
      <t xml:space="preserve">Nusa: Linguistic Studies of Indonesian and Other Languages in Indonesia Volume 38/1995 </t>
    </r>
    <r>
      <rPr>
        <rFont val="Calibri"/>
        <b/>
        <color rgb="FF000000"/>
        <sz val="9.0"/>
      </rPr>
      <t>(Descriptive Studies in Languages of Maluku Part II)</t>
    </r>
    <r>
      <rPr>
        <rFont val="Calibri"/>
        <color rgb="FF000000"/>
        <sz val="9.0"/>
      </rPr>
      <t xml:space="preserve"> </t>
    </r>
  </si>
  <si>
    <t>WYN D. Laidig</t>
  </si>
  <si>
    <r>
      <rPr>
        <rFont val="Calibri"/>
        <color theme="1"/>
        <sz val="9.0"/>
      </rPr>
      <t xml:space="preserve">Nusa: Linguistic Studies of Indonesian and Other Languages in Indonesia Volume 41/1997 </t>
    </r>
    <r>
      <rPr>
        <rFont val="Calibri"/>
        <b/>
        <color rgb="FF000000"/>
        <sz val="9.0"/>
      </rPr>
      <t xml:space="preserve">(Sanskrit Loan-Words in Indonesian): An annotated check-list of words from Sanskrit in Indonesian and Traditional Malay) </t>
    </r>
  </si>
  <si>
    <t>J. G. de Casparis</t>
  </si>
  <si>
    <r>
      <rPr>
        <rFont val="Calibri"/>
        <color theme="1"/>
        <sz val="9.0"/>
      </rPr>
      <t xml:space="preserve">Nusa: Linguistic Studies of Indonesian and Other Languages in Indonesia Volume 43, 1998 </t>
    </r>
    <r>
      <rPr>
        <rFont val="Calibri"/>
        <b/>
        <color rgb="FF000000"/>
        <sz val="9.0"/>
      </rPr>
      <t>(Ergativity and Balinese Syntax Part II/ of Three Parts)</t>
    </r>
  </si>
  <si>
    <r>
      <rPr>
        <rFont val="Calibri"/>
        <color theme="1"/>
        <sz val="9.0"/>
      </rPr>
      <t xml:space="preserve">Nusa: Linguistic Studies of Indonesian and Other Languages in Indonesia Volume 35/ 1993 </t>
    </r>
    <r>
      <rPr>
        <rFont val="Calibri"/>
        <b/>
        <color rgb="FF000000"/>
        <sz val="9.0"/>
      </rPr>
      <t xml:space="preserve">(Glossary of Taxonomic-Indonesian Plant Names) </t>
    </r>
  </si>
  <si>
    <t>415.499.28 IKR m</t>
  </si>
  <si>
    <r>
      <rPr>
        <rFont val="Calibri"/>
        <color theme="1"/>
        <sz val="9.0"/>
      </rPr>
      <t xml:space="preserve">Nusa: Linguistic Studies of Indonesian and Other Languages in Indonesia Volume 9 </t>
    </r>
    <r>
      <rPr>
        <rFont val="Calibri"/>
        <b/>
        <color rgb="FF000000"/>
        <sz val="9.0"/>
      </rPr>
      <t>(Melayu Betawi Grammar)</t>
    </r>
  </si>
  <si>
    <t xml:space="preserve">413.1 COL a </t>
  </si>
  <si>
    <r>
      <rPr>
        <rFont val="Calibri"/>
        <color theme="1"/>
        <sz val="9.0"/>
      </rPr>
      <t xml:space="preserve">Nusa: Linguistic Studies of Indonesian and Other Languages in Indonesia Volume 51 &amp; 52, 2003 </t>
    </r>
    <r>
      <rPr>
        <rFont val="Calibri"/>
        <b/>
        <color rgb="FF000000"/>
        <sz val="9.0"/>
      </rPr>
      <t>(Asilulu-English Dictionary)</t>
    </r>
  </si>
  <si>
    <t>Asilulu-English</t>
  </si>
  <si>
    <t>410 KIA V</t>
  </si>
  <si>
    <r>
      <rPr>
        <rFont val="Calibri"/>
        <color theme="1"/>
        <sz val="9.0"/>
      </rPr>
      <t xml:space="preserve">Nusa: Linguistic Studies of Indonesian and Other Languages in Indonesia Volume 39/1996 </t>
    </r>
    <r>
      <rPr>
        <rFont val="Calibri"/>
        <b/>
        <color rgb="FF000000"/>
        <sz val="9.0"/>
      </rPr>
      <t>(Voice In Austronesian)</t>
    </r>
  </si>
  <si>
    <t>414 REI s</t>
  </si>
  <si>
    <r>
      <rPr>
        <rFont val="Calibri"/>
        <color theme="1"/>
        <sz val="9.0"/>
      </rPr>
      <t xml:space="preserve">Nusa: Linguistic Studies of Indonesian and Other Languages in Indonesia Volume 48, 2001 </t>
    </r>
    <r>
      <rPr>
        <rFont val="Calibri"/>
        <b/>
        <color rgb="FF000000"/>
        <sz val="9.0"/>
      </rPr>
      <t xml:space="preserve">(Sijaro Panta : A Folktale From Kumun, Kerinci) Text, Translation, Vocabulary, and Sketch of Kumun Phonology </t>
    </r>
  </si>
  <si>
    <t>410 MEA s</t>
  </si>
  <si>
    <r>
      <rPr>
        <rFont val="Calibri"/>
        <color theme="1"/>
        <sz val="9.0"/>
      </rPr>
      <t xml:space="preserve">Nusa: Linguistic Studies of Indonesian and Other Languages in Indonesia Volume 45, 1999 </t>
    </r>
    <r>
      <rPr>
        <rFont val="Calibri"/>
        <b/>
        <color rgb="FF000000"/>
        <sz val="9.0"/>
      </rPr>
      <t>(Studies In Sulawesi Linguistics Part V)</t>
    </r>
  </si>
  <si>
    <r>
      <rPr>
        <rFont val="Calibri"/>
        <color theme="1"/>
        <sz val="9.0"/>
      </rPr>
      <t xml:space="preserve">Nusa: Linguistic Studies of Indonesian and Other Languages in Indonesia Volume 47, 2000 </t>
    </r>
    <r>
      <rPr>
        <rFont val="Calibri"/>
        <b/>
        <color rgb="FF000000"/>
        <sz val="9.0"/>
      </rPr>
      <t>(Studies In Irian Languages Part II)</t>
    </r>
  </si>
  <si>
    <t>413 PUR s</t>
  </si>
  <si>
    <r>
      <rPr>
        <rFont val="Calibri"/>
        <color theme="1"/>
        <sz val="9.0"/>
      </rPr>
      <t xml:space="preserve">Nusa: Linguistic Studies of Indonesian and Other Languages in Indonesia Volume 53, 2004 </t>
    </r>
    <r>
      <rPr>
        <rFont val="Calibri"/>
        <b/>
        <color rgb="FF000000"/>
        <sz val="9.0"/>
      </rPr>
      <t>(Studies In Malay Dialects Part IV)</t>
    </r>
  </si>
  <si>
    <t xml:space="preserve">499.28 COL s </t>
  </si>
  <si>
    <r>
      <rPr>
        <rFont val="Calibri"/>
        <color theme="1"/>
        <sz val="9.0"/>
      </rPr>
      <t xml:space="preserve">Nusa: Linguistic Studies of Indonesian and Other Languages in Indonesia Volume 16, 1983 </t>
    </r>
    <r>
      <rPr>
        <rFont val="Calibri"/>
        <b/>
        <color rgb="FF000000"/>
        <sz val="9.0"/>
      </rPr>
      <t>(Studies In malay Dialects Part I)</t>
    </r>
  </si>
  <si>
    <r>
      <rPr>
        <rFont val="Calibri"/>
        <color theme="1"/>
        <sz val="9.0"/>
      </rPr>
      <t xml:space="preserve">Nusa: Linguistic Studies of Indonesian and Other Languages in Indonesia Volume 46, 1999 </t>
    </r>
    <r>
      <rPr>
        <rFont val="Calibri"/>
        <b/>
        <color rgb="FF000000"/>
        <sz val="9.0"/>
      </rPr>
      <t>(Studies in Sulawesi Linguistics Part VI)</t>
    </r>
  </si>
  <si>
    <t>Inggris, Indonesia, Laiyolo</t>
  </si>
  <si>
    <t>Nusa: Linguistic Studies of Indonesian and Other Languages in Indonesia Volume 49, 2001 (Studies in Sulawesi Linguistics Part VII)</t>
  </si>
  <si>
    <t>415.499 MUH m</t>
  </si>
  <si>
    <t>Nusa: Linguistic Studies of Indonesian and Other Languages in Indonesia Volume 11 (Morphology of Jakarta Dialect, Affixation and Reduplication)</t>
  </si>
  <si>
    <t xml:space="preserve">Muhadjir </t>
  </si>
  <si>
    <t>Nusa: Linguistic Studies of Indonesian and Other Languages in Indonesia Volume 17, 1983 ( Studies In Malay Dialects Part II)</t>
  </si>
  <si>
    <t>Nusa: Linguistic Studies of Indonesian and Other Languages in Indonesia Volume 10 (Historical Linguistics in Indonesia Part I)</t>
  </si>
  <si>
    <t>Nusa: Linguistic Studies of Indonesian and Other Languages in Indonesia Volume 15, 1983 (Miscellaneous Studies of Indonesian and Other Languages in indonesian Part VII)</t>
  </si>
  <si>
    <t>Soenjono Dardjowidjojo &amp; John W. M. Verhaar (Editor)</t>
  </si>
  <si>
    <t>Nusa: Linguistic Studies of Indonesian and Other Languages in Indonesia Volume 12 (Discourse Structures of The Chinese Indonesian of Malang)</t>
  </si>
  <si>
    <t>Nusa: Linguistic Studies of Indonesian and Other Languages in Indonesia Volume 32, 1990 (Miscellaneous Studies of Indonesian and Other Languages in indonesian Part X)</t>
  </si>
  <si>
    <t>Nusa: Linguistic Studies of Indonesian and Other Languages in Indonesia Volume 113 ( A Grammar of Sawu)</t>
  </si>
  <si>
    <t xml:space="preserve">Alan T. Walker </t>
  </si>
  <si>
    <t>Nusa: Linguistic Studies of Indonesian and Other Languages in Indonesia Volume 7 (Miscellaneous Studies of Indonesian and Other Languages in indonesian Part  VI)</t>
  </si>
  <si>
    <t>415 art E</t>
  </si>
  <si>
    <t>Nusa: Linguistic Studies of Indonesian and Other Languages in Indonesia Volume 42, 1998 ( Ergativity and Balinese Syntax Part I/ of Three Parts)</t>
  </si>
  <si>
    <t>410 BER s</t>
  </si>
  <si>
    <t>Nusa: Linguistic Studies of Indonesian and Other Languages in Indonesia Volume 37, 1995 (Studies in Sulawesi Linguistics Part IV)</t>
  </si>
  <si>
    <t>Nusa: Linguistic Studies of Indonesian and Other Languages in Indonesia Volume 36, 1994 (Studies in Sulawesi Linguistics Part III)</t>
  </si>
  <si>
    <t>499.221 VERA t</t>
  </si>
  <si>
    <t>Nusa: Linguistic Studies of Indonesian and Other Languages in Indonesia Volume 19, 1984 (Towards A Description of Contemporary Indonesian: Preliminary Studies Part II)</t>
  </si>
  <si>
    <t>John  W. M. Verhaar</t>
  </si>
  <si>
    <t>Nusa: Linguistic Studies of Indonesian and Other Languages in Indonesia Volume 24, 1986 ( Role Structure in Javanese)</t>
  </si>
  <si>
    <t xml:space="preserve">Gloria Risser Poedjosoedarmo </t>
  </si>
  <si>
    <t>Miscellaneous Studies of Indonesian and Other Languages in indonesian Part III</t>
  </si>
  <si>
    <t>Miscellaneous Studies of Indonesian and Other Languages in indonesian Part IV</t>
  </si>
  <si>
    <t xml:space="preserve">Ignatius Suharno </t>
  </si>
  <si>
    <t>Nusa: Linguistic Studies of Indonesian and Other Languages in Indonesia Volume 25, 1986: Miscellaneous Studies of Indonesian and Other Languages in indonesian Part VIII</t>
  </si>
  <si>
    <t>499 WAL g</t>
  </si>
  <si>
    <t>Miscellaneous Studies of Indonesian and Other Languages in indonesian Part I</t>
  </si>
  <si>
    <t>Miscellaneous Studies of Indonesian and Other Languages in indonesian Part IX</t>
  </si>
  <si>
    <t>499.221 SME i</t>
  </si>
  <si>
    <t xml:space="preserve">Nusa: Linguistic Studies of Indonesian and Other Languages in Indonesia Volume 28/29, 1987: Lom- Indonesian-English &amp; English -Lom Wordlists </t>
  </si>
  <si>
    <t>410.221 PUR t</t>
  </si>
  <si>
    <t>Nusa: Linguistic Studies of Indonesian and Other Languages in Indonesia Volume 30, 1988: Towards A Description of Contemporary Indonesian ( Preliminary Studies Part III)</t>
  </si>
  <si>
    <t>Bambang Kaswanti Purwo (Ed.)</t>
  </si>
  <si>
    <t>Nusa: Linguistic Studies of Indonesian and Other Languages in Indonesia Volume 31, 1989 : Studies in Sulawesi Linguistics Part I)</t>
  </si>
  <si>
    <t xml:space="preserve">James N. Sneddon </t>
  </si>
  <si>
    <t>Nusa: Linguistic Studies of Indonesian and Other Languages in Indonesia Volume 33, 1991: Studies in Sulawesi Linguistics Part II</t>
  </si>
  <si>
    <t xml:space="preserve">Nusa: Linguistic Studies of Indonesian and Other Languages in Indonesia Volume  6: Miscellaneous Studies in Indonesian and Languages in Indonesia Part V </t>
  </si>
  <si>
    <t>John W. M. Verhaar</t>
  </si>
  <si>
    <t>The Bible Translator: Ten-Year Index Volumes 21 to 30 1970 to 1979</t>
  </si>
  <si>
    <t>The Bible Translator: Vol. 22 No. 4 October 1971</t>
  </si>
  <si>
    <t>The Bible Translator: Vol. 22 No. 3 July 1971</t>
  </si>
  <si>
    <t>The Bible Translator: Vol. 22 No. 1 January 1971</t>
  </si>
  <si>
    <t>The Bible Translator: Vol. 22 No. 2 April 1971</t>
  </si>
  <si>
    <t>The Bible Translator: Vol. 21 No. 4 October 1970</t>
  </si>
  <si>
    <t>The Bible Translator: Vol. 21 No. 3  July 1970</t>
  </si>
  <si>
    <t>The Bible Translator: Vol. 21 No. 2 April 1970</t>
  </si>
  <si>
    <t>Tiberian Hebrew Phonology oleh : Joseph L. Malone</t>
  </si>
  <si>
    <t>Pellba 5: Pertemuan Linguistik Lembaga Bahasa Atma Jaya: Kelima (Bahasa Budaya)</t>
  </si>
  <si>
    <t>Bambang Kaswanti Purwo (Penyunting)</t>
  </si>
  <si>
    <t>Penerbit Kanisius kerja sama dengan Lembaga Bahasa Unika Atma Jaya, Jakarta</t>
  </si>
  <si>
    <t>979-497-078-6</t>
  </si>
  <si>
    <t>410 PUR p</t>
  </si>
  <si>
    <t>Pellba 6: Pertemuan Linguistik Lembaga Bahasa Atma Jaya: Keenam</t>
  </si>
  <si>
    <t>979-497-490-0</t>
  </si>
  <si>
    <t>410 DAR p</t>
  </si>
  <si>
    <t>Pellba 8 : Sewindu -  Pertemuan Linguistik Lembaga Bahasa Atma Jaya: Kedelapan</t>
  </si>
  <si>
    <t>979-497-819-1</t>
  </si>
  <si>
    <t>Pellba 9 : Pertemuan Linguistik Lembaga Bahasa Atma Jaya: Kesembilan</t>
  </si>
  <si>
    <t>418. 02 NID t</t>
  </si>
  <si>
    <t>Translator's Notes On Literacy Selections (Part 2 Series C,D,E, and Supplement A and B)</t>
  </si>
  <si>
    <t>418.02 WON  b</t>
  </si>
  <si>
    <t>Helps for Translators: Bible Translations for Popular Use</t>
  </si>
  <si>
    <r>
      <rPr>
        <rFont val="Calibri"/>
        <b/>
        <color rgb="FF000000"/>
        <sz val="9.0"/>
      </rPr>
      <t xml:space="preserve">The Bible Translator (vol. 27 No. 4 October 1976):        </t>
    </r>
    <r>
      <rPr>
        <rFont val="Calibri"/>
        <color rgb="FF000000"/>
        <sz val="9.0"/>
      </rPr>
      <t xml:space="preserve">                              *Questions to be answered before we translate  ( William A. Smalley)                                             * What do you translate?- The problem of discovering the original text of the Old Testament (Raymond R. Rickards)                 *The problem of transcribing Bible names in Japanese (Bernardin Schneider)                                                                                          *Suggestions for handling symbolic actions in translation (David J. Clark)                    *Translating "glory" in the New Testament (Euan Fry)                                                      *The Kingdom of God/ Heaven in the Gospel of Matthew (Barclay M. Newman Jr.)                                                                                 *Helps that really help (Eugene A. Nida)                                                                                        * Some notes on the use of TEV as a translation source text by translators who speak English as a second language (David Lithgow)</t>
    </r>
  </si>
  <si>
    <r>
      <rPr>
        <rFont val="Calibri"/>
        <b/>
        <color rgb="FF000000"/>
        <sz val="9.0"/>
      </rPr>
      <t xml:space="preserve">The Bible Translator (vol. 28 No. 2 April 1977:   </t>
    </r>
    <r>
      <rPr>
        <rFont val="Calibri"/>
        <color rgb="FF000000"/>
        <sz val="9.0"/>
      </rPr>
      <t xml:space="preserve">                                                       * The Old Way and the New Way (Barclay M. Newman, Jr.)                                        * A Translator's Nuisance: Chapter and Verse Division in the Bible (John Ellington)  * Genesis 15: An Exercise in Translation Priciples ( Raymond R. Rickards)                * Letter to a Friend (Eugene H. Glassman)      * Religious Words! Which and Where? (Eugene W. Bunkowske)                               * Translating Luke's Passion Story from the TEV (William A. Smaley)                             * Just Like Melchizedek (Paul Ellingworth      * The Translation of Luke 11.5-13 (Raymond R. Rickards)                                 * Sex- Oriented Language in TEV Proverbs  (Roger A. Bullard) </t>
    </r>
  </si>
  <si>
    <r>
      <rPr>
        <rFont val="Calibri"/>
        <b/>
        <color theme="1"/>
        <sz val="9.0"/>
      </rPr>
      <t xml:space="preserve">The Bible Translator Vol. 32  No. 2 April 1981:                                                  </t>
    </r>
    <r>
      <rPr>
        <rFont val="Calibri"/>
        <b val="0"/>
        <color rgb="FF000000"/>
        <sz val="9.0"/>
      </rPr>
      <t xml:space="preserve">* A Basic  principle: one symbol for each distinctive sound (Howard Hatton)               * Practical Limitations to phonemic alphabet ( Eugene A. Nida)                              * Some problems in writing Kwara' ae (David J. Clark)                                               *The Development of a standard alphabet for Romani ( Donald Kenrick)                      * Tone orthography-conventions for languages with two tone levels and downstop (Linda J. Thayer)                         * Is your Bible disfigured? Transliterating Biblical names (Priest Munthali)                    * Punctuation (Norman A. Mundhenk)         * Standards in typewriter keyboards for third-world languages (Linda J. Thayer)     </t>
    </r>
  </si>
  <si>
    <r>
      <rPr>
        <rFont val="Calibri"/>
        <b/>
        <color theme="1"/>
        <sz val="9.0"/>
      </rPr>
      <t xml:space="preserve">The Bible Translator Vol. 31 No. 2 April 1980:                                   </t>
    </r>
    <r>
      <rPr>
        <rFont val="Calibri"/>
        <b val="0"/>
        <color rgb="FF000000"/>
        <sz val="9.0"/>
      </rPr>
      <t xml:space="preserve">*Translating 'mercy', Steadfast love', in the book of Genesis (Heber F. Peacoek)   </t>
    </r>
    <r>
      <rPr>
        <rFont val="Calibri"/>
        <b/>
        <color rgb="FF000000"/>
        <sz val="9.0"/>
      </rPr>
      <t xml:space="preserve">          *Leprosy in translation of the Bible          ( Johs G. Andersen)                                          *The use and limitations of the Bible (John Ellington)                                                *Translating the Lord's Prayer (Matthew 6.9-13)  (Daniel C. Arichea Jr.)                                                                 *New Meanings for old (Eugene A. Nida)                                                            *Testing your translation (Jacob A. Loewen)                                                         *Translating 1 Corinthians (Paul Ellingworth)                                                 * Where on earth are we? Problems of position and movement in space (Noel D. Osborn)                                                </t>
    </r>
  </si>
  <si>
    <r>
      <rPr>
        <rFont val="Calibri"/>
        <b/>
        <color theme="1"/>
        <sz val="9.0"/>
      </rPr>
      <t xml:space="preserve">The Bible Translator Vol. 30 No. 2 April 1979:                                                        </t>
    </r>
    <r>
      <rPr>
        <rFont val="Calibri"/>
        <b val="0"/>
        <color rgb="FF000000"/>
        <sz val="9.0"/>
      </rPr>
      <t xml:space="preserve">*Man and Adam in Genesis 1-5 (John Ellington)                                                        *Translating 'believe' in the gospel of John (Daniel C. Arichea Jr.)                                                                       *Our Father in Heaven (David J. Clark)        *An oral approach to translation (Euan Fry)                                                               *Learning to deal with translation problems (Donald S. Deer and John Ellington )                                                         *Traing translators to write in their own languages (Jacob A. Loewen)                        *Easy-to- read Dutch: a new translation for children and adults (Harm W. Hollander and Gep. J. Marseille)                    *"Verses marked with brackets...' (Barclay M. Newman Jr. )                                              *How is your Handbook wearing? (Paul Ellingworth)                                                  </t>
    </r>
  </si>
  <si>
    <r>
      <rPr>
        <rFont val="Calibri"/>
        <b/>
        <color theme="1"/>
        <sz val="9.0"/>
      </rPr>
      <t xml:space="preserve">The Bible Translator Vol. 31 No. 4 October 1980:                                                  </t>
    </r>
    <r>
      <rPr>
        <rFont val="Calibri"/>
        <b val="0"/>
        <color rgb="FF000000"/>
        <sz val="9.0"/>
      </rPr>
      <t>*Introducing guides for translators (Heber F. Peacock)                                                    * Readability and the preparation of sriptures for children (Barclay M. Newman Jr. )                                                     *Scripture cassetes (Edward R. Hope)             *An Experimet in audio sricptures (Philip C. Stine)                                                         *What is the picture? (Daniel C. Arichea Jr. )                                                                      *The meaning of kosmos, 'world' in the New Testament (Robert G. Bratcher)             *The Selection of a translation team (Eugene A. Nida)                                            *The Dead Sea Scrolls and the translator (Gonzalo Baez-Camargo)                                *Some problems with 'us' and 'we' (Barclay M. Newman Jr.)</t>
    </r>
    <r>
      <rPr>
        <rFont val="Calibri"/>
        <b/>
        <color rgb="FF000000"/>
        <sz val="9.0"/>
      </rPr>
      <t xml:space="preserve">    </t>
    </r>
  </si>
  <si>
    <r>
      <rPr>
        <rFont val="Calibri"/>
        <b/>
        <color theme="1"/>
        <sz val="9.0"/>
      </rPr>
      <t xml:space="preserve">The Bible Translator Vol. 29 No. 4 October 1978):                                            </t>
    </r>
    <r>
      <rPr>
        <rFont val="Calibri"/>
        <b val="0"/>
        <color rgb="FF000000"/>
        <sz val="9.0"/>
      </rPr>
      <t xml:space="preserve">*Translating of Children(Barclay M. Newman Jr.)                                              *Translating the O.T. Months into Zairian langugaes (John Ellington)                                 *How Soon is 'Immediately' in Mark? (Paul Ellinworth)                                                       *'Faith' in the Gospels of Matthew, Mark, and Luke (Daniel C. Arichea)                         *Dividing the Psalms into Strophes (Robert C. Bratcher)                                                   *The testing of Faith , A Study of the Structure of the Book of James (Euan Fry)       *The Nature and Purpose of Bible Selections                                                    *Restructuring: Some Examples from Joshua (Daniel C. Arichea Jr.)                        *The Problem of Interference between Languages in Translation. Examples of Unnatural Translation from the Shona Bible (Du Toit Van der Merwe)                                                                         </t>
    </r>
    <r>
      <rPr>
        <rFont val="Calibri"/>
        <b/>
        <color rgb="FF000000"/>
        <sz val="9.0"/>
      </rPr>
      <t xml:space="preserve">            </t>
    </r>
  </si>
  <si>
    <r>
      <rPr>
        <rFont val="Calibri"/>
        <b/>
        <color theme="1"/>
        <sz val="9.0"/>
      </rPr>
      <t xml:space="preserve">The Bible Translator Vol. 29 No. 2 April 1978:                                                   * </t>
    </r>
    <r>
      <rPr>
        <rFont val="Calibri"/>
        <b val="0"/>
        <color rgb="FF000000"/>
        <sz val="9.0"/>
      </rPr>
      <t>Translating 'grace' (</t>
    </r>
    <r>
      <rPr>
        <rFont val="Calibri"/>
        <b val="0"/>
        <i/>
        <color rgb="FF000000"/>
        <sz val="9.0"/>
      </rPr>
      <t xml:space="preserve">charis) </t>
    </r>
    <r>
      <rPr>
        <rFont val="Calibri"/>
        <b val="0"/>
        <color rgb="FF000000"/>
        <sz val="9.0"/>
      </rPr>
      <t xml:space="preserve"> in the New Testament ( Daniel C. Arichea Jr.)                * Some observations regarding a poetic restructuring of John 1:1-18 (Barclay M. Newman Jr)                                                   *The Meaning of </t>
    </r>
    <r>
      <rPr>
        <rFont val="Calibri"/>
        <b val="0"/>
        <i/>
        <color rgb="FF000000"/>
        <sz val="9.0"/>
      </rPr>
      <t>sarx</t>
    </r>
    <r>
      <rPr>
        <rFont val="Calibri"/>
        <b val="0"/>
        <color rgb="FF000000"/>
        <sz val="9.0"/>
      </rPr>
      <t xml:space="preserve"> ('flesh') in Paul's letters (Robert G. Bratcher)                       *The Wider contexts (Noel D. Osborn)            *Translating 'Thus says the Lord' (William A. Smalley)                                               *Translating 'the Kigdom of God' outside the Gospels (Barclay M. Newman Jr)                     *The 'Kingdom of God' in Luke (Warren W. Glover)                                                      *Translating Biblical measurements (Euan Fry)                                                                               </t>
    </r>
  </si>
  <si>
    <r>
      <rPr>
        <rFont val="Calibri"/>
        <b/>
        <color theme="1"/>
        <sz val="9.0"/>
      </rPr>
      <t xml:space="preserve">The Bible Translator Vol. 32 No. 4 October 1981:                                             </t>
    </r>
    <r>
      <rPr>
        <rFont val="Calibri"/>
        <b val="0"/>
        <color rgb="FF000000"/>
        <sz val="9.0"/>
      </rPr>
      <t xml:space="preserve">*Translators are born not made (Eugene A. Nida)                                                           *Should a translation of the Bible be ambiguous? (Jean-Claude Margot)                  *Translating Biblical festivals (Daniel C. Arichea Jr)                                                     *Translating Christ and Messiah in the New Testament (Jill Smith and Harold Fehderau )  *Bible geographies and atless and their use in translating (John A. Thompson)                 *Translation and interpretation (a few notes on the King James Version) (Barclay Newman Jr)                                                    *Paul... preacher or evangelist? (Richard B. Cook)                                                            *A Boa Nova para as Criancas: ' Good News for Children' (Ignacio Mendoza)                  </t>
    </r>
  </si>
  <si>
    <r>
      <rPr>
        <rFont val="Calibri"/>
        <b/>
        <color theme="1"/>
        <sz val="9.0"/>
      </rPr>
      <t xml:space="preserve">The Bible Translator Vol. 21 No. 4 October 1970:                                            </t>
    </r>
    <r>
      <rPr>
        <rFont val="Calibri"/>
        <b val="0"/>
        <color rgb="FF000000"/>
        <sz val="9.0"/>
      </rPr>
      <t xml:space="preserve">* Translators' Handbook of Ruth (Jan de Waard)                                                          *A New Translation in Hungarian                         *Cultural Consistency in Translation ( L. G. Kelly)                                                         *Translating Kerusso and Related Verbs (Meinert H. Grumm)                                       *Venda Names for God (D. W. Giesekke )     *A Guide for Balanced Living (Noel D. Osborn)                                                        *'How Far Along Are You?' (Donald S. Deer)                                                                 </t>
    </r>
  </si>
  <si>
    <r>
      <rPr>
        <rFont val="Calibri"/>
        <b/>
        <color theme="1"/>
        <sz val="9.0"/>
      </rPr>
      <t xml:space="preserve">The Bible Translator Vol. 22 No. 4 October 1971:                                              </t>
    </r>
    <r>
      <rPr>
        <rFont val="Calibri"/>
        <b val="0"/>
        <color rgb="FF000000"/>
        <sz val="9.0"/>
      </rPr>
      <t>*The new Faces of ' The Bible Translator'      *Selected Translation Problems from the Prophets with Particular Reference to Bamileke (Jan de Waard)                               *Recent Translations of Genesis 1:1 A Critical Look (Gerhard F. Hasel)                     *How Did Agag Meet Samuel? (Robert G. Bratcher)                                                     Form and Meaning in Translation (Jacob A. Loewen)                                                        *Report on the Incentive Bonus Plan in the Philippines (W. Jannes Moorhead)</t>
    </r>
  </si>
  <si>
    <r>
      <rPr>
        <rFont val="Calibri"/>
        <b/>
        <color theme="1"/>
        <sz val="9.0"/>
      </rPr>
      <t xml:space="preserve">The Bible Translator Vol. 21 No. 3 July 1970:                                                                   </t>
    </r>
    <r>
      <rPr>
        <rFont val="Calibri"/>
        <b val="0"/>
        <color rgb="FF000000"/>
        <sz val="9.0"/>
      </rPr>
      <t>*Formal Correspendence in Translation (Eugene A. Nida)                                          *The New Testament in Modern Greek (Elias Oikonomos)                                       *Some Principles of ' Common-Language' Translation (william L. Wonderly)                    *Impersonal Pronoun in Some Melanesian Languages of New Guinea (David Lithgow) *Who Married Herodias? (w. A.A. Wilson)  *Towards a Translation of 'the Son of Man'  in the Gosples (Barclay M. Newman)            *Letter to the Editor (Wesley J. Culshaw)    *The New English Bible (Keith R. Crim)</t>
    </r>
    <r>
      <rPr>
        <rFont val="Calibri"/>
        <b/>
        <color rgb="FF000000"/>
        <sz val="9.0"/>
      </rPr>
      <t xml:space="preserve"> </t>
    </r>
  </si>
  <si>
    <t>The Bible Translator Vol.64, Issue 3, December 2013</t>
  </si>
  <si>
    <r>
      <rPr>
        <rFont val="Calibri"/>
        <b/>
        <color theme="1"/>
        <sz val="9.0"/>
      </rPr>
      <t xml:space="preserve">The Bible Translator Vol. 21 No. 2 April 1970:                                                   </t>
    </r>
    <r>
      <rPr>
        <rFont val="Calibri"/>
        <b val="0"/>
        <color rgb="FF000000"/>
        <sz val="9.0"/>
      </rPr>
      <t xml:space="preserve">*Bible Translation in our New Age (William A. Smalley)                                                   *Translation Report: 1969 (William D. Reyburn)                                                      *Treatment of Controversial Passages in Recent Roman Catholic Translations and Commentaries (R.W. F. Wootton )                  *The Communicability of Tagalog Translation of the New Testament in The Philippines (G. Henry Waterman)                     *Luther's Insights into the Translator's Task ( Michael Trinklein)                                        *The Divine Names in the Tsonga Bible (T. Schneider)                                                        </t>
    </r>
    <r>
      <rPr>
        <rFont val="Calibri"/>
        <b/>
        <color rgb="FF000000"/>
        <sz val="9.0"/>
      </rPr>
      <t xml:space="preserve"> </t>
    </r>
  </si>
  <si>
    <t>The Bible Translator Vol. 64, 1 Issue 3, December 2013</t>
  </si>
  <si>
    <t>2051-6770 (ISSN)</t>
  </si>
  <si>
    <t>The Bible Translator - Vol. 65 Issue  April 2014</t>
  </si>
  <si>
    <t>Bell, David et all</t>
  </si>
  <si>
    <t>The Bible Translator - Vol. 65 Issue December 2014</t>
  </si>
  <si>
    <t>Dyk, Janet et all</t>
  </si>
  <si>
    <t>The Bible Translator Vol. 66 Issue April  2015</t>
  </si>
  <si>
    <t>Winedt, Marlon et all</t>
  </si>
  <si>
    <t>The Bible Translator Vol. 66 Issue 2 August 2015</t>
  </si>
  <si>
    <t>Clark, David.j et al</t>
  </si>
  <si>
    <t>Helps For Translators : All Creatures Great and Small: Living Things in the Bible</t>
  </si>
  <si>
    <t>Sociolinguistics and Communication (UBS Monograph Series , No. 1</t>
  </si>
  <si>
    <t>0-958-6414-8 -X</t>
  </si>
  <si>
    <t xml:space="preserve">Weaving Our Story </t>
  </si>
  <si>
    <t>Ranjini E. Wickramaratne-Rebera</t>
  </si>
  <si>
    <t>Directory of Bible Societies (edition 1965)</t>
  </si>
  <si>
    <t>Olivier Beguin</t>
  </si>
  <si>
    <t>414. Sm1 v.1</t>
  </si>
  <si>
    <t>Manual of Articulatory Phonetics (Revised Edition)</t>
  </si>
  <si>
    <t xml:space="preserve">William A. Smalley </t>
  </si>
  <si>
    <t>Chusing- Malloy, INC.</t>
  </si>
  <si>
    <t xml:space="preserve">418.4 PRI </t>
  </si>
  <si>
    <t>Preliminary and Interim Report on the Hebrew Old Testament Text Project: Compte rendu preliminaire et Provisoire sur le travail d' analyse textuelle de l' Ancien Testament hebreu (Vol. 3)</t>
  </si>
  <si>
    <t>(Adrian Schenker &amp; John A. Thompson (Secretaries)</t>
  </si>
  <si>
    <t xml:space="preserve">418.4 PRE </t>
  </si>
  <si>
    <t>0-7852-7232-1</t>
  </si>
  <si>
    <t>Taking the Word to the World 50 Years of the United Bible Societies</t>
  </si>
  <si>
    <t>Edwin H. Robertson</t>
  </si>
  <si>
    <t>Helps For Translators : Bible Translations for Popular Use (volume VII)</t>
  </si>
  <si>
    <t xml:space="preserve">418.4 NEW </t>
  </si>
  <si>
    <t>A New Testament Wordbook for Translators: Some Translational Articles in Preliminary Form</t>
  </si>
  <si>
    <t>Sociolinguistics and Communication (UBS Monograph Series, No. 1)</t>
  </si>
  <si>
    <t>Johannes P. Louw  (Ed.)</t>
  </si>
  <si>
    <t>Trans. BL 65.L2</t>
  </si>
  <si>
    <t>Theolinguistics</t>
  </si>
  <si>
    <t>J.P. Van Noppen</t>
  </si>
  <si>
    <t xml:space="preserve">Studiereeks Tijdschrift VUB </t>
  </si>
  <si>
    <t xml:space="preserve">499.2213 Br.72 </t>
  </si>
  <si>
    <t>Morfologi (Bahasa Indoensia Untuk SMTP)</t>
  </si>
  <si>
    <t xml:space="preserve">418.02 BIB </t>
  </si>
  <si>
    <t>VI  D1 v.1</t>
  </si>
  <si>
    <t xml:space="preserve">The Bible Translator Volume I </t>
  </si>
  <si>
    <t>E.A. Nida</t>
  </si>
  <si>
    <t xml:space="preserve">418.02 CUR </t>
  </si>
  <si>
    <t xml:space="preserve">The Bible Translator Volume III </t>
  </si>
  <si>
    <t>The Bible Translator (Cumulativie Index volume 31 to 37/ 1980-86)</t>
  </si>
  <si>
    <t>The Bible Translator</t>
  </si>
  <si>
    <t>Rev. W. J. Bradnock</t>
  </si>
  <si>
    <t>The Bible Translator (Volume III)</t>
  </si>
  <si>
    <t>The Bible Translator (Volume XVIII)</t>
  </si>
  <si>
    <t>The Bible Translator (Volume I)</t>
  </si>
  <si>
    <t>The Bible Translator (Volume VII)</t>
  </si>
  <si>
    <t>W.J. Bradnock</t>
  </si>
  <si>
    <t>418..02 BIB</t>
  </si>
  <si>
    <t>The Bible Translator (Volume V)</t>
  </si>
  <si>
    <t>The Bible Translator Ten-Year Index ( Volumes 1-10/ 1950-1959)</t>
  </si>
  <si>
    <t>The Bible Translator (vol. 26 No. 3 July 1975)</t>
  </si>
  <si>
    <t>Technical Paper For The Bible Translator (Volume 26)</t>
  </si>
  <si>
    <t>The Bible translator. Technical Papers Vol.  63, no.3 July 2012</t>
  </si>
  <si>
    <t>Stephen W. Pattemoro</t>
  </si>
  <si>
    <t>The Bible translator. Technical Papers Vol.  63, no.4. Oktober 2012</t>
  </si>
  <si>
    <t>Lingustics 2001</t>
  </si>
  <si>
    <t>Dilengakapi dengan Daftar Isi dan gambar</t>
  </si>
  <si>
    <t>Published</t>
  </si>
  <si>
    <t>Literature 2001</t>
  </si>
  <si>
    <t>Dilengkapi dengan Daftar Isi Dan Gambar</t>
  </si>
  <si>
    <t>SIL International Cabang Indonesia</t>
  </si>
  <si>
    <t>Bible Translations For Popular Use</t>
  </si>
  <si>
    <t>0-8267-0139-6</t>
  </si>
  <si>
    <t>A Translator's Handbook on Paul's Letter To The Romans</t>
  </si>
  <si>
    <t>Newman &amp;Nida</t>
  </si>
  <si>
    <t>A Translator's Guide to The Gospel Of Mark</t>
  </si>
  <si>
    <t>Meaning-based Translation:                      A Guide to Cross-language Equivance</t>
  </si>
  <si>
    <t>University Press Of America</t>
  </si>
  <si>
    <t>Csociolinguistics And Communication</t>
  </si>
  <si>
    <t>Translators' Notes On Literacy Selections</t>
  </si>
  <si>
    <t>A Translator's Guide to Pau'l Second Letet To The  Corinthians</t>
  </si>
  <si>
    <t>London/   New York</t>
  </si>
  <si>
    <t>A Translator's Guide to the Gospel Of Matthew</t>
  </si>
  <si>
    <t>0-642-03345-5</t>
  </si>
  <si>
    <t>STYLE MANUAL         for authors editors and printers</t>
  </si>
  <si>
    <t>Astralia</t>
  </si>
  <si>
    <t>John Pitson</t>
  </si>
  <si>
    <t>Australia Government Publishing Service</t>
  </si>
  <si>
    <t xml:space="preserve"> A Translator's HandBook on The Book Of Ruth</t>
  </si>
  <si>
    <t>Jan  De Waard and Eugene A. Nida</t>
  </si>
  <si>
    <t xml:space="preserve"> A Translators HandBook on The Bok Of Jonah</t>
  </si>
  <si>
    <t>Brynmor F. Price and Eugene A.Nida</t>
  </si>
  <si>
    <t xml:space="preserve"> A Translators HanndBook on Paul's Letter To The GALATIANS</t>
  </si>
  <si>
    <t>Arichea and Nida</t>
  </si>
  <si>
    <t>A Translators HandBook on Paul's Letter To The Philippians</t>
  </si>
  <si>
    <t xml:space="preserve"> Loh and Nida</t>
  </si>
  <si>
    <t>A Translator HandBook on Paul's Letters To The Colossians and to Philemon</t>
  </si>
  <si>
    <t>Bratcha and Nida</t>
  </si>
  <si>
    <t xml:space="preserve"> A Translator's HandBook on The Book Of Of Amos</t>
  </si>
  <si>
    <t xml:space="preserve"> Jan De Waard and William A. smalley</t>
  </si>
  <si>
    <t xml:space="preserve">The Science of Trans of Translation/                                  Problems And Methods                          </t>
  </si>
  <si>
    <r>
      <rPr>
        <rFont val="Calibri"/>
        <color theme="1"/>
        <sz val="9.0"/>
      </rPr>
      <t>GNV ( Gunter Narr Verlag T</t>
    </r>
    <r>
      <rPr>
        <rFont val="Calibri"/>
        <color rgb="FF000000"/>
        <sz val="9.0"/>
      </rPr>
      <t>übingen</t>
    </r>
  </si>
  <si>
    <t>A Translator's HandBook On The Gospel Of Luka</t>
  </si>
  <si>
    <t>J. Reiling &amp; J.L. Swellengrebel</t>
  </si>
  <si>
    <t>Dilengkapi Dengan Peta</t>
  </si>
  <si>
    <t>London              The British and Foreign Bible Society</t>
  </si>
  <si>
    <t>Bibliography of The Summer Institute of Linguistics</t>
  </si>
  <si>
    <t>Kalimat Bahasa Torete</t>
  </si>
  <si>
    <t>Sulawesi Tengah</t>
  </si>
  <si>
    <t>Torete</t>
  </si>
  <si>
    <t>Mozaik</t>
  </si>
  <si>
    <t>225 DRE</t>
  </si>
  <si>
    <t>Kunci Bahasa Yunani Perjanjian Baru</t>
  </si>
  <si>
    <t>Pdt. B.F. Drewes, M. Th.</t>
  </si>
  <si>
    <t>Memahami Gramatika dasar - Bahasa Yunani Koine</t>
  </si>
  <si>
    <t>dr. Ferdinan K. Suawa, M.A</t>
  </si>
  <si>
    <t>Journal of Translation and Textlinguistics (Volume 6, Number 4-1993)</t>
  </si>
  <si>
    <t xml:space="preserve">        415                 BRO          s</t>
  </si>
  <si>
    <t>Syntax Of New Testament Greek</t>
  </si>
  <si>
    <t>Kjames A. Brooks, Carlton L. Winbery</t>
  </si>
  <si>
    <t>Jurnal of Translation and Textlinguistics (Volume 6, Number 4--1993)</t>
  </si>
  <si>
    <t xml:space="preserve">Journal of Biblical Text Research </t>
  </si>
  <si>
    <t>Jepang dan Inggris</t>
  </si>
  <si>
    <t>Jung-Woo Kim (Chong-shin Univ.)</t>
  </si>
  <si>
    <t xml:space="preserve">     401.43           BAN       s</t>
  </si>
  <si>
    <t>Semantic, Structure Analysis of Philemon</t>
  </si>
  <si>
    <t>John Banker</t>
  </si>
  <si>
    <t>Summer Institute of Linguistics, Inc</t>
  </si>
  <si>
    <t xml:space="preserve">                                            302.224.4           WEB                c       </t>
  </si>
  <si>
    <t>The Communication of the Gospel To The Illiterates</t>
  </si>
  <si>
    <t xml:space="preserve">       418.02             BIB                   c       </t>
  </si>
  <si>
    <t>Bible Translations An Introductory Course In Translation Principles</t>
  </si>
  <si>
    <t xml:space="preserve">     226      GOS   </t>
  </si>
  <si>
    <t>Gospel Paralels - A Synopsis of The First Three Gospels</t>
  </si>
  <si>
    <t>Burton H. Chrockmorcon, J.R               ( Edited )</t>
  </si>
  <si>
    <t xml:space="preserve">     220.6             STU      h</t>
  </si>
  <si>
    <t>Hermeneutik - Menafsirkan Firman Tuhan Dengan Tepat - Edisi Revisi</t>
  </si>
  <si>
    <t>Douglas Stuart Gordon D. Fee</t>
  </si>
  <si>
    <t xml:space="preserve">     401.41      DIS </t>
  </si>
  <si>
    <t>Overseas Chinese Affairs Commission, Taipei- Taiwan</t>
  </si>
  <si>
    <t xml:space="preserve">     418.02   KON</t>
  </si>
  <si>
    <t>Konsultasi Alkitab " Perjanjian Lama Terjemahan Baru 2 " Wilayah Nusa Tenggara dan Bali, STFT Ledalero, maumere 27-30 Juni 2016</t>
  </si>
  <si>
    <t>STFT Ledalero, Maumere</t>
  </si>
  <si>
    <t>492..29 PEL</t>
  </si>
  <si>
    <t>Basic of Biblical Aramaic: Complete Grammar, Lexicon, and Annotated Text</t>
  </si>
  <si>
    <t>415 PAN</t>
  </si>
  <si>
    <t>Kamus Bahasa Ibrani</t>
  </si>
  <si>
    <t>158'</t>
  </si>
  <si>
    <t xml:space="preserve">        225.4'8            MAR         n</t>
  </si>
  <si>
    <t>Regency Library</t>
  </si>
  <si>
    <t xml:space="preserve">        225.04            WEN         e</t>
  </si>
  <si>
    <t>The Elements Of New Testament Greek</t>
  </si>
  <si>
    <t>J.W Wenham</t>
  </si>
  <si>
    <t xml:space="preserve">        225.6              FEE         e</t>
  </si>
  <si>
    <t>Exegetical Method - A Student's Handbook</t>
  </si>
  <si>
    <t>Otto Kaser &amp; Werner Georg Kommel</t>
  </si>
  <si>
    <t>The Seabury Press, Newyork</t>
  </si>
  <si>
    <t xml:space="preserve">        225.6              FEE         n</t>
  </si>
  <si>
    <t>New Testament Exegesis - A Handbook For Students And Pastors</t>
  </si>
  <si>
    <t xml:space="preserve">        225.04              GUT        p</t>
  </si>
  <si>
    <t>Manford Geodge Gutzke</t>
  </si>
  <si>
    <t xml:space="preserve">        220.92              BAK        e</t>
  </si>
  <si>
    <t xml:space="preserve">         261                  NEI          c</t>
  </si>
  <si>
    <t>Christian Faith</t>
  </si>
  <si>
    <t xml:space="preserve">        418.02            NID          t</t>
  </si>
  <si>
    <t>Toward A Science of Translating</t>
  </si>
  <si>
    <t>Leiden</t>
  </si>
  <si>
    <t>Vocal And Literacy</t>
  </si>
  <si>
    <t>S.S Curry, Ph. D, Litt. D</t>
  </si>
  <si>
    <t>The Expression Company</t>
  </si>
  <si>
    <t xml:space="preserve">        220.5.2            WHI        k</t>
  </si>
  <si>
    <t>Bethani House Publisher</t>
  </si>
  <si>
    <t xml:space="preserve">   302.224.4           WEB         c</t>
  </si>
  <si>
    <t>The Communication Of The Gospel To Illiterates</t>
  </si>
  <si>
    <t>9971-45-048-8</t>
  </si>
  <si>
    <t>410  CHR  o</t>
  </si>
  <si>
    <t>The Odyssey Of Homer</t>
  </si>
  <si>
    <t>0-88344-043-1</t>
  </si>
  <si>
    <t>220.601  GOT  b</t>
  </si>
  <si>
    <t>The Bible and Liberation - Political and Social Hermeneutics</t>
  </si>
  <si>
    <t>Norman K. Gottwald (Edited)</t>
  </si>
  <si>
    <t>229.406  MAC  w</t>
  </si>
  <si>
    <t>Wisdom and the Hebrew Epic</t>
  </si>
  <si>
    <t>University Chicago Press</t>
  </si>
  <si>
    <t xml:space="preserve">          FORMULIR IDENTIFIKASI KOLEKSI PERPUSTAKAAN</t>
  </si>
  <si>
    <t>JURNAL - NON LAI</t>
  </si>
  <si>
    <t>221.04 OLD</t>
  </si>
  <si>
    <t xml:space="preserve">Old Testament Abstracts </t>
  </si>
  <si>
    <t>Catholic Biblical Association</t>
  </si>
  <si>
    <t>1476-8690 (ISSN)</t>
  </si>
  <si>
    <t>070.482  JOU</t>
  </si>
  <si>
    <t>Journal for the Study of the Historical Jesus Volume 10  No. 1 2012</t>
  </si>
  <si>
    <t xml:space="preserve">Journal for the Study of the Historical Jesus Volume 9 No. 2-3 2011 </t>
  </si>
  <si>
    <t>Journal for the Study of the Historical Jesus Volume 9 No. 1 2011</t>
  </si>
  <si>
    <t>Journal for the Study of the Historical Jesus Volume  7 No. 3 2009</t>
  </si>
  <si>
    <t xml:space="preserve">Journal for the Study of the Historical Jesus Volume 8 No. 1 2010 </t>
  </si>
  <si>
    <t>Robert L. Webb (Executive Editor)</t>
  </si>
  <si>
    <t>Journal for the Study of the Historical Jesus Volume 8 No. 2  2010</t>
  </si>
  <si>
    <t>Journal for the Study of the Historical Jesus Volume 8 No. 3 2010</t>
  </si>
  <si>
    <t>0309-0892 (ISSN)</t>
  </si>
  <si>
    <t>Journal for the Study of The New Testament Volume 33.1 September 2010</t>
  </si>
  <si>
    <t>Simon J. Gathercole (Editor)</t>
  </si>
  <si>
    <t>SAGE  Publications</t>
  </si>
  <si>
    <t>Journal for the Study of The New Testament Volume 14  No. 3   2016 - Jesus in History, Culture and Media</t>
  </si>
  <si>
    <t>Tom Holmen, et all</t>
  </si>
  <si>
    <t>Journal for the Study of The New Testament Booklist 2010 Volume 32, 5</t>
  </si>
  <si>
    <t>Journal for the Study of The New Testament Volume 32,4 June 2010</t>
  </si>
  <si>
    <t>Journal for the Study of The New Testament Volume 32,3 March 2010</t>
  </si>
  <si>
    <t>Journal for the Study of The New Testament Volume 31.1 September 2008</t>
  </si>
  <si>
    <t>Journal for the Study of The New Testament Volume 34.2 December 2011</t>
  </si>
  <si>
    <t>Journal for the Study of The New Testament Volume 34.1 September 2011</t>
  </si>
  <si>
    <t>Journal for the Study of The New Testament Booklist 2011 Volume 33,5 August 2011</t>
  </si>
  <si>
    <t>Journal for the Study of The New Testament Volume 33,4 June 2011</t>
  </si>
  <si>
    <t>Journal for the Study of The New Testament Volume 33,3 March 2011</t>
  </si>
  <si>
    <t>Journal for the Study of The New Testament Volume 33,2 December 2010</t>
  </si>
  <si>
    <t>Journal for the Study of The New Testament  Booklist Volume 37,5 August  2015</t>
  </si>
  <si>
    <t>Aymer, Margareth et all</t>
  </si>
  <si>
    <t>070.482  NEW</t>
  </si>
  <si>
    <t>Journal for the Study of The New Testament  Booklist Volume 38.1  September  2015</t>
  </si>
  <si>
    <t>Journal for the Study of The New Testament  Volume 38.3  March  2016</t>
  </si>
  <si>
    <t>David. G. Horrell , et all</t>
  </si>
  <si>
    <t>Journal for the Study of the Old Testament (Volume 35,3 March 2011)</t>
  </si>
  <si>
    <t>Benjamin D.H. Hilbert, Joseberg Fleurant, Gordon Oeste, Dawn Maria Sellars, J. Todd Hibbard, Tova Forti, Peter Hatton</t>
  </si>
  <si>
    <t>Journal for the Study of the Old Testament Volume 41.1 Juni 2017</t>
  </si>
  <si>
    <t>Nissim Amzallag, et.all</t>
  </si>
  <si>
    <t>Journal for the Study of the Old Testament Volume 42.1 September 2017</t>
  </si>
  <si>
    <t>Amitai Baruchi Unna, et all</t>
  </si>
  <si>
    <t>Journal for the Study of the Old Testament (Volume 35,2 December 2010)</t>
  </si>
  <si>
    <t>Cynthia Edenburg, Andrew J. Schmutzer, Nicholas P. Lunn, Howard J. Curzer, C. L. Brinks, Eric Ortlund, Anthony R. Petterson, Bradford A. Anderson</t>
  </si>
  <si>
    <t>Journal for the Study of the Old Testament (Volume 34,5 June 2010)</t>
  </si>
  <si>
    <t>John Jarick &amp; Keith W. Whitelam (Editors)</t>
  </si>
  <si>
    <t>Journal for the Study of the Old Testament (Volume 35,4 June 2011)</t>
  </si>
  <si>
    <t>Nissim Amzallag, Brad Embry, Benjamin D. Hilbert, Yitzhak Berger, M. J. De Jong</t>
  </si>
  <si>
    <t>Journal for the Study of the Old Testament (Volume 36,1 September 2011</t>
  </si>
  <si>
    <t>Katherine Low, Dan Rickett, Amy Kalmanofsky, Jeremy D. Smoak, Brian P. Gault, Benjamin J. M. Johnson</t>
  </si>
  <si>
    <t>Journal for the Study of the Old Testament (Volume 36,2 December 2011)</t>
  </si>
  <si>
    <t>Jacob L. Wright, Serge Frolov, David A. Bosworth, John W. Olley, Juan Manuel Tebes</t>
  </si>
  <si>
    <t>Journal for the Study of the Old Testament (Volume 36,5 June 2012</t>
  </si>
  <si>
    <t>Journal for the Study of the Old Testament (Volume 35,5 June 2011)</t>
  </si>
  <si>
    <t>Journal for the Study of the Old Testament (Volume 39,4 June 2015)</t>
  </si>
  <si>
    <t>Mcaffee, Matthew et al</t>
  </si>
  <si>
    <t>Journal for the Study of the Old Testament (Volume 40.1 September 2015)</t>
  </si>
  <si>
    <t>Williamson JR, Robert et al</t>
  </si>
  <si>
    <t>1476-993X (ISSN)</t>
  </si>
  <si>
    <t>070.482  CUR</t>
  </si>
  <si>
    <t>Currents in Biblical Research Volume 10.2, February 2012</t>
  </si>
  <si>
    <t>Kristin De Troyer, Nicholas Perrin &amp; Christopher W. Skinner, Timo S. Paananen, Jonathan S. Milgram</t>
  </si>
  <si>
    <t>Currents in Biblical Research Volume 11.1, October 2012</t>
  </si>
  <si>
    <t>Currents in Biblical Research Volume 16.1, October 2017</t>
  </si>
  <si>
    <t>Currents in Biblical Research Volume 9,2, February 2011</t>
  </si>
  <si>
    <t xml:space="preserve">John W. Olley, Judith A. Diehl, Derek R. Brown, Coleman A. Baker </t>
  </si>
  <si>
    <t>Currents in Biblical Research Volume 8,3, June 2010</t>
  </si>
  <si>
    <t>Walter Brueggemann, Brad E. Kelle, Oh-Young Kwon</t>
  </si>
  <si>
    <t>Currents in Biblical Research Volume 9.1, October 2010</t>
  </si>
  <si>
    <t>Susanne Scholz, Matthew C. Easter, Aldred A. Genade, Ben C. Dunson, David M. Miller</t>
  </si>
  <si>
    <t>Currents in Biblical Research Volume 8.2, February 2010</t>
  </si>
  <si>
    <t>Claire E. Carroll, V. Henry T. Nguyen, Michael Naylor, James B. Rives</t>
  </si>
  <si>
    <t>Currents in Biblical Research Volume 6.3, June 2008</t>
  </si>
  <si>
    <t>David M. Valeta, Michael F. Bird and Preston M. Sprinkle, Chris Keith, James C. Vanderkam</t>
  </si>
  <si>
    <t>Currents in Biblical Research Volume 9.3, June 2011</t>
  </si>
  <si>
    <t>Geoffrey D. Miller, Paul Foster, Mark  Batluck, Daniel Johansson, C. D Elledge</t>
  </si>
  <si>
    <t xml:space="preserve">Currents in Biblical Research Volume 10.1, October 2011  </t>
  </si>
  <si>
    <t>Judy Diehl, John W. Olley, B. J. Oropeza, Robert R. Cargill, Eileen M. Schuller</t>
  </si>
  <si>
    <t>Currents in Biblical Research Volume 13.3, June 2015</t>
  </si>
  <si>
    <t>Nestor, Dermot et all</t>
  </si>
  <si>
    <t>0027-9358 (ISSN)</t>
  </si>
  <si>
    <t>741.652  NAT</t>
  </si>
  <si>
    <t>National Geographic : The Kings James Bible Making Masterpiece (Vol. 220 No. 6. December 2011)</t>
  </si>
  <si>
    <t>National Geographic : Eyewitness to The Civil War  Vol.221 No. 5/ May 2012</t>
  </si>
  <si>
    <t>Chris Johns</t>
  </si>
  <si>
    <t>National Geographic Society</t>
  </si>
  <si>
    <t>National Geographic : TWINS ALIKE BUT NOT ALIKE (Vol. 221. No. 1. January 2012)</t>
  </si>
  <si>
    <t>National Geographic : The Journey of the Apostles (Vol. 221. No. 3.  March 2012)</t>
  </si>
  <si>
    <t>National Geographic : Who Buried the Warriors' Gold? England's Medieval Mystery (Vo. 220. No. 5. November 2011)</t>
  </si>
  <si>
    <t>National Geographic : The New Science of The Teenage Brain Vol. 220. No. 4. October 2011)</t>
  </si>
  <si>
    <t>National Geographic : Can We Fly? (Vol.220. No. 3.  September 2011)</t>
  </si>
  <si>
    <t>National Geographic : Making Robots Human (Vol. 220. No. 2.  August 2011)</t>
  </si>
  <si>
    <r>
      <rPr>
        <rFont val="Calibri"/>
        <color theme="1"/>
        <sz val="11.0"/>
      </rPr>
      <t xml:space="preserve">National Geographic : The Birth of Relligion  </t>
    </r>
    <r>
      <rPr>
        <rFont val="Calibri"/>
        <i/>
        <color rgb="FF000000"/>
        <sz val="11.0"/>
      </rPr>
      <t>The World's First Temple (vol.219. No. 6. June 2011)</t>
    </r>
  </si>
  <si>
    <r>
      <rPr>
        <rFont val="Calibri"/>
        <color theme="1"/>
        <sz val="11.0"/>
      </rPr>
      <t xml:space="preserve">National Geographic : The Genius of The INCA (New Discoveries Reveal How They Forged a Mighty Empire) </t>
    </r>
    <r>
      <rPr>
        <rFont val="Calibri"/>
        <i/>
        <color rgb="FF000000"/>
        <sz val="11.0"/>
      </rPr>
      <t>Vol. 219. No. 4. April 2011</t>
    </r>
  </si>
  <si>
    <t>National Geographic : Designing the Perfect Pet (Can fox become man's best friend?) Vol. 219. No.3. March 2011</t>
  </si>
  <si>
    <t>National Geographic : Under Paris Vol. 219. No.2. February 2011</t>
  </si>
  <si>
    <t>National Geographic : Population 7 Billion (How your world will change Vol. 219. No. 1. January 2011</t>
  </si>
  <si>
    <t>National Geographic : Mysteries of Great Migrations (What Guides Them Into the Unknown?) Vol. 218. No. 5. November 2010</t>
  </si>
  <si>
    <t>National Geographic : Australia's Great Barrier Reef  Vol. 219. No. 5. May 2011</t>
  </si>
  <si>
    <t>National Geographic : Reviving Extinct Species Vol. 223. No. 4. April 2013</t>
  </si>
  <si>
    <t>National Geographic : The World's Largest Trees Vo. 222. No. 6. December 2012</t>
  </si>
  <si>
    <t>National Geographic : CUBA On The Edge of Change Vol. 222. No. 5 November 2012</t>
  </si>
  <si>
    <t>National Geographic : What Dogs Tell Us (The ABC's of DNA Vol. 221. No. 2. February 2012</t>
  </si>
  <si>
    <t>National Geographic : Bloodvory 25,000 Elephants Were Killed Last Year Vol.222. No. 4 October 2012</t>
  </si>
  <si>
    <t>National Geographic : What's Up With The Weather Vol. 222. No. 3. September 2012</t>
  </si>
  <si>
    <t>National Geographic : The East End Is Reborn Olympic London Vol. 222. No. 2. August 2012</t>
  </si>
  <si>
    <t>National Geographic :  Solar Super Storms (How They Could Impact Our High-Tech World Vol.221. No. 6. June 2012</t>
  </si>
  <si>
    <t xml:space="preserve">National Geographic : What Really Happened Exclusive New Photos of The Wreck Vol.221. No. 4. April 2012 </t>
  </si>
  <si>
    <t>National Geographic :  Raksasa Angkasa November 2017</t>
  </si>
  <si>
    <t>2302-5476 (ISSN)</t>
  </si>
  <si>
    <t>070.452  JUR</t>
  </si>
  <si>
    <t>Jurnal Teologi Vol. 06 Nomor 01, Mei 2017</t>
  </si>
  <si>
    <t>Vinsensius Rosihan Arifin, et.all</t>
  </si>
  <si>
    <t>Pusat Penelitian dan Pelatihan Teologi Kontekstual Universitas Sanata Dharma kerjasama dengan Asosiasi Teolog Katolik Indonesia (ASTEKA)</t>
  </si>
  <si>
    <t>Jurnal Teologi Vol. 04 Nomor 01, Mei 2015</t>
  </si>
  <si>
    <t>Jurnal Teologi Vol. 03 Nomor 01, Mei 2014</t>
  </si>
  <si>
    <t>Jurnal Teologi Vol. 03 Nomor 02, Nopember 2014</t>
  </si>
  <si>
    <t>1412-2588 (ISSN)</t>
  </si>
  <si>
    <t>070.482  JUR</t>
  </si>
  <si>
    <t>Jurnal Pendidikan PENABUR No.24/Tahun Ke 14 / Juni 2015</t>
  </si>
  <si>
    <t>BPK Penabur</t>
  </si>
  <si>
    <t>741.652   NAT</t>
  </si>
  <si>
    <t>National Geographic - Januari 2014 ( Bhs. English )</t>
  </si>
  <si>
    <t>National Geographic - February 2014 ( Bhs. English )</t>
  </si>
  <si>
    <t>National Geographic - March 2014 ( Bhs. English )</t>
  </si>
  <si>
    <t>National Geographic - April 2014 ( Bhs. English )</t>
  </si>
  <si>
    <t>National Geographic - May 2014 ( Bhs. English )</t>
  </si>
  <si>
    <t>National Geographic - June 2014 ( Bhs. English )</t>
  </si>
  <si>
    <t>National Geographic - July 2014 ( Bhs. English )</t>
  </si>
  <si>
    <t>National Geographic - August 2014 ( Bhs. English )</t>
  </si>
  <si>
    <t>National Geographic - September 2014 ( Bhs. English )</t>
  </si>
  <si>
    <t>National Geographic - October 2014 ( Bhs. English )</t>
  </si>
  <si>
    <t>National Geographic - November 2014 ( Bhs. English )</t>
  </si>
  <si>
    <t>National Geographic - December 2014 ( Bhs. English )</t>
  </si>
  <si>
    <t>National Geographic - Januari 2013      ( Bhs. English )</t>
  </si>
  <si>
    <t>National Geographic - Februari 2013    ( Bhs. English )</t>
  </si>
  <si>
    <t>National Geographic - March  2013      ( Bhs. English )</t>
  </si>
  <si>
    <t>National Geographic - April 2013         ( Bhs. English )</t>
  </si>
  <si>
    <t>National Geographic - May 2013         ( Bhs. English )</t>
  </si>
  <si>
    <t>National Geographic - Juni 2013          (  Bhs. English )</t>
  </si>
  <si>
    <t>National Geographic - Juli 2013           ( Bhs. English )</t>
  </si>
  <si>
    <t>National Geographic - August 2013     ( Bhs. English )</t>
  </si>
  <si>
    <t>National Geographic - September 2013 ( Bhs. English )</t>
  </si>
  <si>
    <t>National Geographic - October 2013    ( Bhs. English )</t>
  </si>
  <si>
    <t>National Geographic - November  2013 ( Bhs. English )</t>
  </si>
  <si>
    <t>National Geographic - December 2013  ( Bhs. English )</t>
  </si>
  <si>
    <t>National Geographic - Januari 2015      ( Bhs. Indonesia )</t>
  </si>
  <si>
    <t>National Geographic - Februari 2015    ( Bhs. Indonesia )</t>
  </si>
  <si>
    <t>National Geographic - Maret 2015       ( Bhs. Indonesia )</t>
  </si>
  <si>
    <t>National Geographic - April 2015 ( Bhs. Indonesia )</t>
  </si>
  <si>
    <t>National Geographic - Mey 2015 ( Bhs. Indonesia )</t>
  </si>
  <si>
    <t>National Geographic - Juni  2015 ( Bhs. Indonesia )</t>
  </si>
  <si>
    <t>National Geographic - Juli 2015 ( Bhs. Indonesia )</t>
  </si>
  <si>
    <t>National Geographic - August 2015 ( Bhs. Indonesia )</t>
  </si>
  <si>
    <t>National Geographic -September 2015 ( Bhs. Indonesia )</t>
  </si>
  <si>
    <t>National Geographic - Januari 2015 ( Bhs. English)</t>
  </si>
  <si>
    <t>National Geographic - March 2015 ( Bhs. English)</t>
  </si>
  <si>
    <t>National Geographic - April 2015 ( Bhs. English )</t>
  </si>
  <si>
    <t>National Geographic - May 2015 ( Bhs. English )</t>
  </si>
  <si>
    <t>National Geographic - June 2015 ( Bhs. English )</t>
  </si>
  <si>
    <t>National Geographic - July 2015 ( Bhs. English )</t>
  </si>
  <si>
    <t>National Geographic - August 2015 ( Bhs. English )</t>
  </si>
  <si>
    <t>National Geographic : September 2015 - IVORY</t>
  </si>
  <si>
    <t>National Geographic : October  2015 - Almost Human</t>
  </si>
  <si>
    <t>National Geographic  - Indonesia : Oktober 2015  -                    Setengah Manusia</t>
  </si>
  <si>
    <t>National Geographic  - Indonesia : November 2015  -                    Maaf, Tak ada gambar indah untuk perubahan iklim  Edisi Spesial</t>
  </si>
  <si>
    <t>PT. Gramedia Percetakan</t>
  </si>
  <si>
    <t>National Geographic  - Indonesia : November 2015  -                    Cool it</t>
  </si>
  <si>
    <t xml:space="preserve">National Geographic  -Perawan Suci  Desem 2015  -                    </t>
  </si>
  <si>
    <t xml:space="preserve">National Geographic  December 2015 -Marry The Most Powerful Woman in the World            </t>
  </si>
  <si>
    <t xml:space="preserve">National Geographic Januari 2016  - Artika Meleleh , Apa Pengaruhnya Pada bumi Kita ?          </t>
  </si>
  <si>
    <t>National Geographic  Januari 2016 -Why We Need Wild</t>
  </si>
  <si>
    <t>National Geographic  Pebruari 2016 -Indonesia " Perempuan Saudi Kini "</t>
  </si>
  <si>
    <t>National Geographic  February 2016 Under London</t>
  </si>
  <si>
    <t>National Geographic  Maret  2016  - Jangan Buang Aku</t>
  </si>
  <si>
    <t>PT Gramedia Percetakan</t>
  </si>
  <si>
    <t>National Geographic  Maret  2016  - Eat me</t>
  </si>
  <si>
    <t>National Geographic  Maret  April  2016  - The Photo Ark</t>
  </si>
  <si>
    <t>National Geographic  April 2016  - Sukacita Kematian</t>
  </si>
  <si>
    <t>National Geographic  Mei 2016  -Ganja Apa Benar Bermanfaat ?</t>
  </si>
  <si>
    <t>National Geographic  May 2016  -Yellowstone</t>
  </si>
  <si>
    <t>National Geographic  June 2016  -Yellowstone</t>
  </si>
  <si>
    <t>National Geographic  Jun1 2016  - Menjarah Masa Depan Pencurian Pusaka Indonesia</t>
  </si>
  <si>
    <t xml:space="preserve">National Geographic  July 2016  - </t>
  </si>
  <si>
    <t xml:space="preserve">National Geographic  Jul1 2016  - </t>
  </si>
  <si>
    <t>National Geographic  Agustus 2016  - Revolusi DNA</t>
  </si>
  <si>
    <t>134</t>
  </si>
  <si>
    <t xml:space="preserve">National Geographic  Agustus 2016  - </t>
  </si>
  <si>
    <t>135</t>
  </si>
  <si>
    <t>136</t>
  </si>
  <si>
    <t>National Geographic  Januari 2017 - Ekspresi Gender</t>
  </si>
  <si>
    <t>137</t>
  </si>
  <si>
    <t>National Geographic  Januari 2017 - Gender Revolution</t>
  </si>
  <si>
    <t>138</t>
  </si>
  <si>
    <t>National Geographic  Februari 2017 - Mafia Cina Di Pesisir Jawa</t>
  </si>
  <si>
    <t>139</t>
  </si>
  <si>
    <t>National Geographic  Februari 2017 - The Birth of Booze</t>
  </si>
  <si>
    <t>140</t>
  </si>
  <si>
    <t>National Geographic-   Maret 2017</t>
  </si>
  <si>
    <t>National Geographic-   Maret 2017  " Sisi Lain Keganasan  Viking "</t>
  </si>
  <si>
    <t>141</t>
  </si>
  <si>
    <t>National Geographic  April 2017 - Kehidupan Setelah ISIS</t>
  </si>
  <si>
    <t>142</t>
  </si>
  <si>
    <t>National Geographic May 2017 - 200 Tahun Kebun Raya Bogor</t>
  </si>
  <si>
    <t>143</t>
  </si>
  <si>
    <t>National Geographic Juni 2017 - Ada Dusta Diantar Kita</t>
  </si>
  <si>
    <t>144</t>
  </si>
  <si>
    <t>National Geographic Juli  2017</t>
  </si>
  <si>
    <t>145</t>
  </si>
  <si>
    <t>National Geographic  Agustus 2017 - Kabar Dari Langit</t>
  </si>
  <si>
    <t>146</t>
  </si>
  <si>
    <t xml:space="preserve">National Geographic September 2017 - </t>
  </si>
  <si>
    <t>147</t>
  </si>
  <si>
    <t>National Geographic Oktober 2017 - Delta Kayan Sembakung</t>
  </si>
  <si>
    <t>National Geographicb - Desember 2017  " Yesus Sejati</t>
  </si>
  <si>
    <t>148</t>
  </si>
  <si>
    <t>Novum Testamentum: An International Quarterly for New Testament and Related Studies Vol. LII Fasc. 2 (2010)</t>
  </si>
  <si>
    <t>margaret M. Mitchell, Joseph G. Barabe and Abigail B. Quandt, Christos Karakolis, James R. Harrison, G.K. Beale, D.A. Carson (eds.), Stanley E. Porter and Christopher D. Stanley (eds.), J. Frey, C.K. Rothschild, J. Schroter</t>
  </si>
  <si>
    <t>149</t>
  </si>
  <si>
    <t>Novum Testamentum: An International Quarterly for New Testament and Related Studies Vol. LIII Fasc. I (2011)</t>
  </si>
  <si>
    <t>150</t>
  </si>
  <si>
    <t>Novum Testamentum: An International Quarterly for New Testament and Related Studies Vol. LVII Fasc. 3 (2015)</t>
  </si>
  <si>
    <t>Bosenius, Barbel et all</t>
  </si>
  <si>
    <t>151</t>
  </si>
  <si>
    <t>Novum Testamentum Vol. LVII FASC . 4 (2015)</t>
  </si>
  <si>
    <t>Krause, Andre.R et al</t>
  </si>
  <si>
    <t>152</t>
  </si>
  <si>
    <t>070.482  VET</t>
  </si>
  <si>
    <t>Vetus Testamentum: A quartely published by the International Organization for the Study of the Old Testament Vol. LXII No. 3. 2012</t>
  </si>
  <si>
    <r>
      <rPr>
        <rFont val="Calibri"/>
        <color theme="1"/>
        <sz val="11.0"/>
      </rPr>
      <t>Eve Levavi Feinstein, Erasmus Ga</t>
    </r>
    <r>
      <rPr>
        <rFont val="Calibri"/>
        <color rgb="FF000000"/>
        <sz val="11.0"/>
      </rPr>
      <t>ß, Noah Hacham, Innocent Himbaza, hayah Katz, Benjamin Kilchor, A. Marx, Joost Smit Sibinga,  Shirly Natan-Yulzary, Thomas Gudbergsen, Joachim J. Krause, John Makujina, Stefan C. Matzal</t>
    </r>
  </si>
  <si>
    <t>153</t>
  </si>
  <si>
    <t>Vetus Testamentum: A quartely published by the International Organization for the Study of the Old Testament Vol. LXII No. 4. 2012</t>
  </si>
  <si>
    <t>Mark Leuchter, Shuichi Hasegawa, Alinda Damsma, Benjamin J.M. Johnson, Dohyung Kim, Jonathan Grossman, Benjamin Scolnic, Andrew Witt, Christopher B. Hays, Thomas Wagner, Szabolcs Ferencz Kato, Jeremy Schipper, Jaclyn Neel, Diodorus</t>
  </si>
  <si>
    <t>154</t>
  </si>
  <si>
    <t>978-90-04-25801-3</t>
  </si>
  <si>
    <t>Vetus Testamentum: A quartely published by the International Organization for the Study of the Old Testament IOSOT 2013 (Warna Biru)</t>
  </si>
  <si>
    <t>J. Joosten, R. Smend, C. Edenburg, A. Alt, H.L. Ginsberg, P. Winter, M. Kessler, S. Japhet, W. Zimmerli, A. Lemaire, D. Pardee, J. A. Emerton, D. T. Tsumura</t>
  </si>
  <si>
    <t>155</t>
  </si>
  <si>
    <t>Vetus Testamentum: A quartely published by the International Organization for the Study of the Old Testament Vol. LXI No. 4. 2011</t>
  </si>
  <si>
    <t>B. T. Arnold, T.S. Hadjiev, J. Kraut, G. Kwakkel, C. Levin, S. Niditch, J.M. Robker, J. Stackert, R. Kessler, E. Viezel</t>
  </si>
  <si>
    <t>156</t>
  </si>
  <si>
    <t>Vetus Testamentum: A quartely published by the International Organization for the Study of the Old Testament Vol. LXII No. I. 2012</t>
  </si>
  <si>
    <t>Marian Broida, Israel Finkelstein, Shimon Gesundheit, paul Albertus Kruger, Elvira Martin-Contreras, Max Rogland, Avi Shveka, Christopher J. Thomson, Takamitsu Muraoka</t>
  </si>
  <si>
    <t>157</t>
  </si>
  <si>
    <t>Vetus Testamentum: A quartely published by the International Organization for the Study of the Old Testament Vol. LXII No. 2. 2012</t>
  </si>
  <si>
    <t>Joel S. Baden, Goran Eidevall,Humphrey H. Hardy II and Benjamin D. Thomas, Israel Knohl, Istvan Haag, Stephen Llewelyn and Jack Tsonis, Lauren A. S. Monroe, Matthieu Richelle, Jacques Vermeylen, Alex Van De Sande</t>
  </si>
  <si>
    <t>158</t>
  </si>
  <si>
    <t>Vetus Testamentum: A quartely published by the International Organization for the Study of the Old Testament Vol. LXI No. 3. 2011</t>
  </si>
  <si>
    <t>S. Z. Aster, G. Dorival, O. Munnich, , G. Dorival, P.G. Mosca, A. Pinker, J. U. Ro, T.A. Rudnig, M. Saur, A. Taggar-Cohen, H. Thomas, K. Vermeulen, J.L. Wright</t>
  </si>
  <si>
    <t>159</t>
  </si>
  <si>
    <t>Vetus Testamentum: A quartely published by the International Organization for the Study of the Old Testament Vol. LXI No. 2. 2011</t>
  </si>
  <si>
    <t>E. Assis, Y. Breuer, I. Finkelstein, G. Goswell, S.E. Holtz, T. M. Law, A. Rofe, N. Shupak, D. Vainstub, Ph. Guillaume</t>
  </si>
  <si>
    <t>160</t>
  </si>
  <si>
    <t>Vetus Testamentum: A quartely published by the International Organization for the Study of the Old Testament Vol. LX No. I. 2010</t>
  </si>
  <si>
    <t>N. Amzallag and M. Avriel, E. Assis, J. S. Baden, J. Burnside, M. K.Y.H. Hom, A. Kabasele Mukenge, N. Na'aman, A. E. Portier-Young, St. Schorch, B. Wells, Y.H. Kim, J.T. walsh</t>
  </si>
  <si>
    <t>161</t>
  </si>
  <si>
    <t>Vetus Testamentum: A quartely published by the International Organization for the Study of the Old Testament Vol. LX No. 2. 2010</t>
  </si>
  <si>
    <t>A. M. Butts, I. Dershowitz, B. Embry, T. Ganzel, C. B. Hays, S. I. Kang, T. Linafelt and F. W. Dobbs-Allsopp, O. Wikander, B. Ziemer, J. Burnside</t>
  </si>
  <si>
    <t>162</t>
  </si>
  <si>
    <t>Vetus Testamentum Vol. LXV No. 1 2015</t>
  </si>
  <si>
    <t xml:space="preserve">Mark A. Awabuy ; Noga Ayali-Darshan; Raanan Eichler;DanielA. Fress; Rainer Kessler; Mark Leuchter;Elvira Martin-Contreras; </t>
  </si>
  <si>
    <t>163</t>
  </si>
  <si>
    <t>0042-4935</t>
  </si>
  <si>
    <t>Vetus Testamentum Vol. LXV No.3  2015</t>
  </si>
  <si>
    <t>Abernehy , Andre. T et all</t>
  </si>
  <si>
    <t>164</t>
  </si>
  <si>
    <t>Vetus Testamentum Vol. LXV No.4 2015</t>
  </si>
  <si>
    <t>165</t>
  </si>
  <si>
    <t>Vetus Testamentum Vol. LXVI No.1 2016</t>
  </si>
  <si>
    <t>Joseph Blenkinshop, et all</t>
  </si>
  <si>
    <t>166</t>
  </si>
  <si>
    <t>Vetus Testamentum Vol. LXVI No.2 2016</t>
  </si>
  <si>
    <t>Michaela Bauks, et all</t>
  </si>
  <si>
    <t>167</t>
  </si>
  <si>
    <t>Vetus Testamentum Vol. LXVII No.4 2017</t>
  </si>
  <si>
    <t>Robin Baker, et.all</t>
  </si>
  <si>
    <t>168</t>
  </si>
  <si>
    <t>Journal For The Study Of The Old Testament Vol. 40.2 December 2015</t>
  </si>
  <si>
    <t>Deena E. Grant, et all</t>
  </si>
  <si>
    <t>169</t>
  </si>
  <si>
    <r>
      <rPr>
        <rFont val="Calibri"/>
        <color theme="1"/>
        <sz val="11.0"/>
      </rPr>
      <t xml:space="preserve">Journal for the Study of the Old Testament </t>
    </r>
    <r>
      <rPr>
        <rFont val="Calibri"/>
        <b/>
        <color rgb="FF000000"/>
        <sz val="11.0"/>
      </rPr>
      <t xml:space="preserve">(2002-2003): </t>
    </r>
    <r>
      <rPr>
        <rFont val="Calibri"/>
        <color rgb="FF000000"/>
        <sz val="11.0"/>
      </rPr>
      <t xml:space="preserve">                * </t>
    </r>
    <r>
      <rPr>
        <rFont val="Calibri"/>
        <b/>
        <color rgb="FF000000"/>
        <sz val="11.0"/>
      </rPr>
      <t xml:space="preserve">Volume 27.1 September 2002 </t>
    </r>
    <r>
      <rPr>
        <rFont val="Calibri"/>
        <color rgb="FF000000"/>
        <sz val="11.0"/>
      </rPr>
      <t xml:space="preserve">(126 halaman)                               * </t>
    </r>
    <r>
      <rPr>
        <rFont val="Calibri"/>
        <b/>
        <color rgb="FF000000"/>
        <sz val="11.0"/>
      </rPr>
      <t xml:space="preserve">Volume 27.2 December 2002  </t>
    </r>
    <r>
      <rPr>
        <rFont val="Calibri"/>
        <color rgb="FF000000"/>
        <sz val="11.0"/>
      </rPr>
      <t xml:space="preserve">  (256 halaman)                               * </t>
    </r>
    <r>
      <rPr>
        <rFont val="Calibri"/>
        <b/>
        <color rgb="FF000000"/>
        <sz val="11.0"/>
      </rPr>
      <t xml:space="preserve">Volume 27.3 March  2002      </t>
    </r>
    <r>
      <rPr>
        <rFont val="Calibri"/>
        <color rgb="FF000000"/>
        <sz val="11.0"/>
      </rPr>
      <t xml:space="preserve">            ( 383 halaman)                              * </t>
    </r>
    <r>
      <rPr>
        <rFont val="Calibri"/>
        <b/>
        <color rgb="FF000000"/>
        <sz val="11.0"/>
      </rPr>
      <t xml:space="preserve">Volume 27.4 June 2003      </t>
    </r>
    <r>
      <rPr>
        <rFont val="Calibri"/>
        <color rgb="FF000000"/>
        <sz val="11.0"/>
      </rPr>
      <t xml:space="preserve">          (511 halaman)                               * </t>
    </r>
    <r>
      <rPr>
        <rFont val="Calibri"/>
        <b/>
        <color rgb="FF000000"/>
        <sz val="11.0"/>
      </rPr>
      <t>Volume 27.5 June 2003</t>
    </r>
    <r>
      <rPr>
        <rFont val="Calibri"/>
        <color rgb="FF000000"/>
        <sz val="11.0"/>
      </rPr>
      <t xml:space="preserve">                     ( 222 halaman)                                            </t>
    </r>
  </si>
  <si>
    <t>The Continuum Publishing Group Ltd.</t>
  </si>
  <si>
    <t>2002-2003</t>
  </si>
  <si>
    <t>170</t>
  </si>
  <si>
    <r>
      <rPr>
        <rFont val="Calibri"/>
        <color theme="1"/>
        <sz val="11.0"/>
      </rPr>
      <t xml:space="preserve">Journal for the Study of the Old Testament </t>
    </r>
    <r>
      <rPr>
        <rFont val="Calibri"/>
        <b/>
        <color rgb="FF000000"/>
        <sz val="11.0"/>
      </rPr>
      <t xml:space="preserve">(2004-2005): </t>
    </r>
    <r>
      <rPr>
        <rFont val="Calibri"/>
        <color rgb="FF000000"/>
        <sz val="11.0"/>
      </rPr>
      <t xml:space="preserve">                * </t>
    </r>
    <r>
      <rPr>
        <rFont val="Calibri"/>
        <b/>
        <color rgb="FF000000"/>
        <sz val="11.0"/>
      </rPr>
      <t xml:space="preserve">Volume 29.4 June 2005       </t>
    </r>
    <r>
      <rPr>
        <rFont val="Calibri"/>
        <color rgb="FF000000"/>
        <sz val="11.0"/>
      </rPr>
      <t xml:space="preserve">(506  halaman)                               * </t>
    </r>
    <r>
      <rPr>
        <rFont val="Calibri"/>
        <b/>
        <color rgb="FF000000"/>
        <sz val="11.0"/>
      </rPr>
      <t xml:space="preserve">Volume 29.5 June 2005  </t>
    </r>
    <r>
      <rPr>
        <rFont val="Calibri"/>
        <color rgb="FF000000"/>
        <sz val="11.0"/>
      </rPr>
      <t xml:space="preserve">     (237 halaman)                               * </t>
    </r>
    <r>
      <rPr>
        <rFont val="Calibri"/>
        <b/>
        <color rgb="FF000000"/>
        <sz val="11.0"/>
      </rPr>
      <t xml:space="preserve">Volume 29.3 March 2005     </t>
    </r>
    <r>
      <rPr>
        <rFont val="Calibri"/>
        <color rgb="FF000000"/>
        <sz val="11.0"/>
      </rPr>
      <t xml:space="preserve">            ( 379 halaman)                              * </t>
    </r>
    <r>
      <rPr>
        <rFont val="Calibri"/>
        <b/>
        <color rgb="FF000000"/>
        <sz val="11.0"/>
      </rPr>
      <t xml:space="preserve">Volume 29.2 December 2004  </t>
    </r>
    <r>
      <rPr>
        <rFont val="Calibri"/>
        <color rgb="FF000000"/>
        <sz val="11.0"/>
      </rPr>
      <t xml:space="preserve">          (253  halaman)                               * </t>
    </r>
    <r>
      <rPr>
        <rFont val="Calibri"/>
        <b/>
        <color rgb="FF000000"/>
        <sz val="11.0"/>
      </rPr>
      <t>Volume 29.1 September 2004</t>
    </r>
    <r>
      <rPr>
        <rFont val="Calibri"/>
        <color rgb="FF000000"/>
        <sz val="11.0"/>
      </rPr>
      <t xml:space="preserve">                     (127 halaman)                                            </t>
    </r>
  </si>
  <si>
    <t>2004-2005</t>
  </si>
  <si>
    <t>171</t>
  </si>
  <si>
    <r>
      <rPr>
        <rFont val="Calibri"/>
        <color theme="1"/>
        <sz val="11.0"/>
      </rPr>
      <t xml:space="preserve">Journal for the Study of the Old Testament </t>
    </r>
    <r>
      <rPr>
        <rFont val="Calibri"/>
        <b/>
        <color theme="1"/>
        <sz val="11.0"/>
      </rPr>
      <t xml:space="preserve">(2006-2007): </t>
    </r>
    <r>
      <rPr>
        <rFont val="Calibri"/>
        <color theme="1"/>
        <sz val="11.0"/>
      </rPr>
      <t xml:space="preserve">                * </t>
    </r>
    <r>
      <rPr>
        <rFont val="Calibri"/>
        <b/>
        <color theme="1"/>
        <sz val="11.0"/>
      </rPr>
      <t xml:space="preserve">Volume 31.2 December 2006      </t>
    </r>
    <r>
      <rPr>
        <rFont val="Calibri"/>
        <color theme="1"/>
        <sz val="11.0"/>
      </rPr>
      <t xml:space="preserve">(256  halaman)                               * </t>
    </r>
    <r>
      <rPr>
        <rFont val="Calibri"/>
        <b/>
        <color theme="1"/>
        <sz val="11.0"/>
      </rPr>
      <t xml:space="preserve">Volume 31.3 March 2007  </t>
    </r>
    <r>
      <rPr>
        <rFont val="Calibri"/>
        <color theme="1"/>
        <sz val="11.0"/>
      </rPr>
      <t xml:space="preserve">     (376 halaman)                               * </t>
    </r>
    <r>
      <rPr>
        <rFont val="Calibri"/>
        <b/>
        <color theme="1"/>
        <sz val="11.0"/>
      </rPr>
      <t xml:space="preserve">Volume 31.4 June 2007     </t>
    </r>
    <r>
      <rPr>
        <rFont val="Calibri"/>
        <color theme="1"/>
        <sz val="11.0"/>
      </rPr>
      <t xml:space="preserve">            ( 507 halaman)                              * </t>
    </r>
    <r>
      <rPr>
        <rFont val="Calibri"/>
        <b/>
        <color theme="1"/>
        <sz val="11.0"/>
      </rPr>
      <t xml:space="preserve">Volume 31.5 June 2007  </t>
    </r>
    <r>
      <rPr>
        <rFont val="Calibri"/>
        <color theme="1"/>
        <sz val="11.0"/>
      </rPr>
      <t xml:space="preserve">          (297  halaman)                                                                        </t>
    </r>
  </si>
  <si>
    <t>2006-2007</t>
  </si>
  <si>
    <t>172</t>
  </si>
  <si>
    <r>
      <rPr>
        <rFont val="Calibri"/>
        <color theme="1"/>
        <sz val="11.0"/>
      </rPr>
      <t xml:space="preserve">Journal for the Study of the Old Testament </t>
    </r>
    <r>
      <rPr>
        <rFont val="Calibri"/>
        <b/>
        <color rgb="FF000000"/>
        <sz val="11.0"/>
      </rPr>
      <t xml:space="preserve">(2009): </t>
    </r>
    <r>
      <rPr>
        <rFont val="Calibri"/>
        <color rgb="FF000000"/>
        <sz val="11.0"/>
      </rPr>
      <t xml:space="preserve">                      * </t>
    </r>
    <r>
      <rPr>
        <rFont val="Calibri"/>
        <b/>
        <color rgb="FF000000"/>
        <sz val="11.0"/>
      </rPr>
      <t xml:space="preserve">Volume 33.5 June 2009      </t>
    </r>
    <r>
      <rPr>
        <rFont val="Calibri"/>
        <color rgb="FF000000"/>
        <sz val="11.0"/>
      </rPr>
      <t xml:space="preserve">(270  halaman)                               * </t>
    </r>
    <r>
      <rPr>
        <rFont val="Calibri"/>
        <b/>
        <color rgb="FF000000"/>
        <sz val="11.0"/>
      </rPr>
      <t>Volume 34.1 September 2009</t>
    </r>
    <r>
      <rPr>
        <rFont val="Calibri"/>
        <color rgb="FF000000"/>
        <sz val="11.0"/>
      </rPr>
      <t xml:space="preserve">     (109 halaman)                               * </t>
    </r>
    <r>
      <rPr>
        <rFont val="Calibri"/>
        <b/>
        <color rgb="FF000000"/>
        <sz val="11.0"/>
      </rPr>
      <t xml:space="preserve">Volume 34.2 December 2009    </t>
    </r>
    <r>
      <rPr>
        <rFont val="Calibri"/>
        <color rgb="FF000000"/>
        <sz val="11.0"/>
      </rPr>
      <t xml:space="preserve">            ( 239 halaman)                                                                                                    </t>
    </r>
  </si>
  <si>
    <t>173</t>
  </si>
  <si>
    <r>
      <rPr>
        <rFont val="Calibri"/>
        <color theme="1"/>
        <sz val="11.0"/>
      </rPr>
      <t xml:space="preserve">Journal for the Study of the Old Testament </t>
    </r>
    <r>
      <rPr>
        <rFont val="Calibri"/>
        <b/>
        <color theme="1"/>
        <sz val="11.0"/>
      </rPr>
      <t>(2008-2009):</t>
    </r>
    <r>
      <rPr>
        <rFont val="Calibri"/>
        <color theme="1"/>
        <sz val="11.0"/>
      </rPr>
      <t xml:space="preserve">                 * Volume </t>
    </r>
    <r>
      <rPr>
        <rFont val="Calibri"/>
        <b/>
        <color theme="1"/>
        <sz val="11.0"/>
      </rPr>
      <t xml:space="preserve">33.1 September 2008 </t>
    </r>
    <r>
      <rPr>
        <rFont val="Calibri"/>
        <color theme="1"/>
        <sz val="11.0"/>
      </rPr>
      <t xml:space="preserve">    (128  halaman)                               * Volume </t>
    </r>
    <r>
      <rPr>
        <rFont val="Calibri"/>
        <b/>
        <color theme="1"/>
        <sz val="11.0"/>
      </rPr>
      <t xml:space="preserve">33.2 December 2008 </t>
    </r>
    <r>
      <rPr>
        <rFont val="Calibri"/>
        <color theme="1"/>
        <sz val="11.0"/>
      </rPr>
      <t xml:space="preserve">    (256 halaman)                               * Volume </t>
    </r>
    <r>
      <rPr>
        <rFont val="Calibri"/>
        <b/>
        <color theme="1"/>
        <sz val="11.0"/>
      </rPr>
      <t xml:space="preserve">33.3 March 2009           </t>
    </r>
    <r>
      <rPr>
        <rFont val="Calibri"/>
        <color theme="1"/>
        <sz val="11.0"/>
      </rPr>
      <t xml:space="preserve"> ( 380 halaman)                              * Volume </t>
    </r>
    <r>
      <rPr>
        <rFont val="Calibri"/>
        <b/>
        <color theme="1"/>
        <sz val="11.0"/>
      </rPr>
      <t xml:space="preserve">33.4 June 2009      </t>
    </r>
    <r>
      <rPr>
        <rFont val="Calibri"/>
        <color theme="1"/>
        <sz val="11.0"/>
      </rPr>
      <t xml:space="preserve">    (510  halaman)            </t>
    </r>
  </si>
  <si>
    <t>2008-2009</t>
  </si>
  <si>
    <t>174</t>
  </si>
  <si>
    <r>
      <rPr>
        <rFont val="Calibri"/>
        <color theme="1"/>
        <sz val="11.0"/>
      </rPr>
      <t xml:space="preserve">Journal for the Study of the Old Testament </t>
    </r>
    <r>
      <rPr>
        <rFont val="Calibri"/>
        <b/>
        <color theme="1"/>
        <sz val="11.0"/>
      </rPr>
      <t>(2007-2008):</t>
    </r>
    <r>
      <rPr>
        <rFont val="Calibri"/>
        <color theme="1"/>
        <sz val="11.0"/>
      </rPr>
      <t xml:space="preserve">                 * Volume </t>
    </r>
    <r>
      <rPr>
        <rFont val="Calibri"/>
        <b/>
        <color theme="1"/>
        <sz val="11.0"/>
      </rPr>
      <t xml:space="preserve">32.1 September 2007 </t>
    </r>
    <r>
      <rPr>
        <rFont val="Calibri"/>
        <color theme="1"/>
        <sz val="11.0"/>
      </rPr>
      <t xml:space="preserve">    (131 halaman)                               * Volume </t>
    </r>
    <r>
      <rPr>
        <rFont val="Calibri"/>
        <b/>
        <color theme="1"/>
        <sz val="11.0"/>
      </rPr>
      <t xml:space="preserve">32.2 December 2007 </t>
    </r>
    <r>
      <rPr>
        <rFont val="Calibri"/>
        <color theme="1"/>
        <sz val="11.0"/>
      </rPr>
      <t xml:space="preserve">    (261 halaman)                               * Volume </t>
    </r>
    <r>
      <rPr>
        <rFont val="Calibri"/>
        <b/>
        <color theme="1"/>
        <sz val="11.0"/>
      </rPr>
      <t xml:space="preserve">32.3 March 2008          </t>
    </r>
    <r>
      <rPr>
        <rFont val="Calibri"/>
        <color theme="1"/>
        <sz val="11.0"/>
      </rPr>
      <t xml:space="preserve"> ( 389 halaman)                              * Volume </t>
    </r>
    <r>
      <rPr>
        <rFont val="Calibri"/>
        <b/>
        <color theme="1"/>
        <sz val="11.0"/>
      </rPr>
      <t xml:space="preserve">32.4 June 2008     </t>
    </r>
    <r>
      <rPr>
        <rFont val="Calibri"/>
        <color theme="1"/>
        <sz val="11.0"/>
      </rPr>
      <t xml:space="preserve">    (520  halaman)                               * Volume </t>
    </r>
    <r>
      <rPr>
        <rFont val="Calibri"/>
        <b/>
        <color theme="1"/>
        <sz val="11.0"/>
      </rPr>
      <t xml:space="preserve">32.5 June 2008  </t>
    </r>
    <r>
      <rPr>
        <rFont val="Calibri"/>
        <color theme="1"/>
        <sz val="11.0"/>
      </rPr>
      <t xml:space="preserve">       (280  halaman)                 </t>
    </r>
  </si>
  <si>
    <t>2007-2009</t>
  </si>
  <si>
    <t>175</t>
  </si>
  <si>
    <r>
      <rPr>
        <rFont val="Calibri"/>
        <color theme="1"/>
        <sz val="11.0"/>
      </rPr>
      <t xml:space="preserve">Journal for the Study of the Old Testament </t>
    </r>
    <r>
      <rPr>
        <rFont val="Calibri"/>
        <b/>
        <color theme="1"/>
        <sz val="11.0"/>
      </rPr>
      <t>(2003-2004):</t>
    </r>
    <r>
      <rPr>
        <rFont val="Calibri"/>
        <color theme="1"/>
        <sz val="11.0"/>
      </rPr>
      <t xml:space="preserve">                 * Volume </t>
    </r>
    <r>
      <rPr>
        <rFont val="Calibri"/>
        <b/>
        <color theme="1"/>
        <sz val="11.0"/>
      </rPr>
      <t xml:space="preserve">28.1 September 2003 </t>
    </r>
    <r>
      <rPr>
        <rFont val="Calibri"/>
        <color theme="1"/>
        <sz val="11.0"/>
      </rPr>
      <t xml:space="preserve">    (127 halaman)                               * Volume </t>
    </r>
    <r>
      <rPr>
        <rFont val="Calibri"/>
        <b/>
        <color theme="1"/>
        <sz val="11.0"/>
      </rPr>
      <t xml:space="preserve">28.2 December 2003  </t>
    </r>
    <r>
      <rPr>
        <rFont val="Calibri"/>
        <color theme="1"/>
        <sz val="11.0"/>
      </rPr>
      <t xml:space="preserve"> ( 252 halaman)                               * Volume </t>
    </r>
    <r>
      <rPr>
        <rFont val="Calibri"/>
        <b/>
        <color theme="1"/>
        <sz val="11.0"/>
      </rPr>
      <t xml:space="preserve">28.3 March 2004         </t>
    </r>
    <r>
      <rPr>
        <rFont val="Calibri"/>
        <color theme="1"/>
        <sz val="11.0"/>
      </rPr>
      <t xml:space="preserve"> ( 384 halaman)                              * Volume </t>
    </r>
    <r>
      <rPr>
        <rFont val="Calibri"/>
        <b/>
        <color theme="1"/>
        <sz val="11.0"/>
      </rPr>
      <t xml:space="preserve">28.4 June 2004     </t>
    </r>
    <r>
      <rPr>
        <rFont val="Calibri"/>
        <color theme="1"/>
        <sz val="11.0"/>
      </rPr>
      <t xml:space="preserve">    (511  halaman)                               * Volume </t>
    </r>
    <r>
      <rPr>
        <rFont val="Calibri"/>
        <b/>
        <color theme="1"/>
        <sz val="11.0"/>
      </rPr>
      <t>28.5 June 2004</t>
    </r>
    <r>
      <rPr>
        <rFont val="Calibri"/>
        <color theme="1"/>
        <sz val="11.0"/>
      </rPr>
      <t xml:space="preserve">       (260 halaman)                 </t>
    </r>
  </si>
  <si>
    <t>2003-2004</t>
  </si>
  <si>
    <t>176</t>
  </si>
  <si>
    <r>
      <rPr>
        <rFont val="Calibri"/>
        <color theme="1"/>
        <sz val="11.0"/>
      </rPr>
      <t xml:space="preserve">Journal for the Study of The New Testament </t>
    </r>
    <r>
      <rPr>
        <rFont val="Calibri"/>
        <b/>
        <color theme="1"/>
        <sz val="11.0"/>
      </rPr>
      <t xml:space="preserve">(2006-2007):               * Volume 29.1 September 2006    (124 halaman)                              * Volume 29.2 December 2006    (243 halaman)                              * Volume 29.3 March 2007         (375 halaman)                              * Volume 29.4 June 2007           (501 halaman)                              * Volume 29.5 2007                    (183 halaman)        </t>
    </r>
  </si>
  <si>
    <t>David G. Horrel (Editor)</t>
  </si>
  <si>
    <t>177</t>
  </si>
  <si>
    <r>
      <rPr>
        <rFont val="Calibri"/>
        <color theme="1"/>
        <sz val="11.0"/>
      </rPr>
      <t xml:space="preserve">Journal for the Study of The New Testament </t>
    </r>
    <r>
      <rPr>
        <rFont val="Calibri"/>
        <b/>
        <color theme="1"/>
        <sz val="11.0"/>
      </rPr>
      <t xml:space="preserve">(2005-2006):               * Volume28.1 September 2005   (127 halaman)                              * Volume 28.2 December 2005  (263 halaman)                              * Volume 28.3 March 2006         (382 halaman)                              * Volume 28.4 June 2006          (503 halaman)                              * Volume 28.5 2006    (Booklist)/ (183 halaman)        </t>
    </r>
  </si>
  <si>
    <t>2005-2006</t>
  </si>
  <si>
    <t>178</t>
  </si>
  <si>
    <r>
      <rPr>
        <rFont val="Calibri"/>
        <color theme="1"/>
        <sz val="11.0"/>
      </rPr>
      <t xml:space="preserve">Journal for the Study of The New Testament </t>
    </r>
    <r>
      <rPr>
        <rFont val="Calibri"/>
        <b/>
        <color theme="1"/>
        <sz val="11.0"/>
      </rPr>
      <t xml:space="preserve">(2004-2005):                                   * Volume 27.2 December 2004   (247 halaman)                                                  * Volume 27.3 March 2005                    (376 halaman)                                                                      * Volume 27.4 June 2005                               (504 halaman)                                                      * Volume 27.5 2005/ Booklist     (183 halaman)                  </t>
    </r>
  </si>
  <si>
    <t>179</t>
  </si>
  <si>
    <r>
      <rPr>
        <rFont val="Calibri"/>
        <color theme="1"/>
        <sz val="11.0"/>
      </rPr>
      <t xml:space="preserve">Journal for the Study of The New Testament </t>
    </r>
    <r>
      <rPr>
        <rFont val="Calibri"/>
        <b/>
        <color theme="1"/>
        <sz val="11.0"/>
      </rPr>
      <t xml:space="preserve">(2002-2003):                                * Volume 25.1 September 2002   (247 halaman)                                             * Volume 27.3 March 2005                  (376 halaman)                                                      * Volume 27.4 June 2005                       (504 halaman)                                                * Volume 27.5 2005/ Booklist     (183 halaman)                  </t>
    </r>
  </si>
  <si>
    <t>John M. G. Barclay</t>
  </si>
  <si>
    <t>180</t>
  </si>
  <si>
    <r>
      <rPr>
        <rFont val="Calibri"/>
        <color theme="1"/>
        <sz val="11.0"/>
      </rPr>
      <t xml:space="preserve">Journal for the Study of The New Testament </t>
    </r>
    <r>
      <rPr>
        <rFont val="Calibri"/>
        <b/>
        <color theme="1"/>
        <sz val="11.0"/>
      </rPr>
      <t xml:space="preserve">(2003-2004):                                  * Volume 26.1 September 2003   (128 halaman)                                                  * Volume 26.2 December 2003                       (255 halaman)                                       * Volume 26.3 March 2004                         (376 halaman)                                               * Volume 26.4 June 2004                       (520 halaman)                                                  * Volume 27.1 September 2004     (120 halaman)               </t>
    </r>
  </si>
  <si>
    <t>181</t>
  </si>
  <si>
    <r>
      <rPr>
        <rFont val="Calibri"/>
        <color theme="1"/>
        <sz val="11.0"/>
      </rPr>
      <t xml:space="preserve">Journal for the Study of The New Testament </t>
    </r>
    <r>
      <rPr>
        <rFont val="Calibri"/>
        <b/>
        <color theme="1"/>
        <sz val="11.0"/>
      </rPr>
      <t xml:space="preserve">(2009):                                           * Volume 31.3 March 2009                                     (128 halaman)                                                   * Volume 26.2 December 2003                         (255 halaman)                                       * Volume 26.3 March 2004                             (376 halaman)                                              * Volume 26.4 June 2004                     (520 halaman)                                                      * Volume 27.1 September 2004     (120 halaman)                </t>
    </r>
  </si>
  <si>
    <t>182</t>
  </si>
  <si>
    <t xml:space="preserve">Journal for the study of the - Historical Jesus - Vol. 13 No. 1 </t>
  </si>
  <si>
    <t>Eve, Eric et all</t>
  </si>
  <si>
    <t>183</t>
  </si>
  <si>
    <t>Currents In Biblical Research - Vol. 14.1, October 2015</t>
  </si>
  <si>
    <t>Emadi, Samuel et all</t>
  </si>
  <si>
    <t>184</t>
  </si>
  <si>
    <t>1412-3878 (ISSN)</t>
  </si>
  <si>
    <t>Diskursus Vol. 14 Nomor 1, April 2015</t>
  </si>
  <si>
    <t>Cahyadi, Haryanto et all</t>
  </si>
  <si>
    <t>STF  Driyarkara</t>
  </si>
  <si>
    <t>185</t>
  </si>
  <si>
    <t>2088-5970 (ISSN)</t>
  </si>
  <si>
    <t>Jurnal Teologi - Reformed Indonesia Vol.5 No.2  Juli 2015</t>
  </si>
  <si>
    <t>Lim, Budianto et all</t>
  </si>
  <si>
    <t>STT Reformed Indonesia</t>
  </si>
  <si>
    <t>186</t>
  </si>
  <si>
    <r>
      <rPr>
        <rFont val="Calibri"/>
        <color theme="1"/>
        <sz val="11.0"/>
      </rPr>
      <t xml:space="preserve">Journal for the Study of The New Testament </t>
    </r>
    <r>
      <rPr>
        <rFont val="Calibri"/>
        <b/>
        <color theme="1"/>
        <sz val="11.0"/>
      </rPr>
      <t xml:space="preserve">(2007-2008):                             * Volume 30.1 September 2007  (127 halaman)                                         * Volume 30.2 December 2007      (253 halaman)                                                         * Volume 30.3 March 2008                    (378 halaman)                                                      * Volume 30.4 June 2008                         (502 halaman)                                              </t>
    </r>
  </si>
  <si>
    <t>2007-2008</t>
  </si>
  <si>
    <t>187</t>
  </si>
  <si>
    <r>
      <rPr>
        <rFont val="Calibri"/>
        <color theme="1"/>
        <sz val="11.0"/>
      </rPr>
      <t xml:space="preserve">National Geographic: Amazon Forest to Farms Battle to Stop The Land Grab </t>
    </r>
    <r>
      <rPr>
        <rFont val="Calibri"/>
        <b/>
        <color rgb="FF000000"/>
        <sz val="11.0"/>
      </rPr>
      <t>(Volume 211. No. 1. January-June 2007):                                                          * January 2007  (160 halaman)                      * February 2007 (154 halaman)                    * March 2007 (158 halaman)                    * April 2007 (160 halaman)                     * May 2007 (154 halaman)                                    * June 2007 (158 halaman)</t>
    </r>
  </si>
  <si>
    <t>Chris Johns (Editor)</t>
  </si>
  <si>
    <t>188</t>
  </si>
  <si>
    <r>
      <rPr>
        <rFont val="Calibri"/>
        <color theme="1"/>
        <sz val="11.0"/>
      </rPr>
      <t xml:space="preserve">National Geographic: Our Coasts in Crisis (Panda, Inc). </t>
    </r>
    <r>
      <rPr>
        <rFont val="Calibri"/>
        <b/>
        <color rgb="FF000000"/>
        <sz val="11.0"/>
      </rPr>
      <t xml:space="preserve">Volume 210 . No. 1 (July-December) 2006                                              * July 2006 (164 halaman)                          * August 2006 (152 halaman)                       * September 2006 (152 halaman)                * October 2006 (158 halaman)                    * November 2006 (164 halaman)                     * December 2006 (162 halaman)  </t>
    </r>
  </si>
  <si>
    <t>189</t>
  </si>
  <si>
    <r>
      <rPr>
        <rFont val="Calibri"/>
        <color theme="1"/>
        <sz val="11.0"/>
      </rPr>
      <t xml:space="preserve">National Geographic: Why We Love Caffeine </t>
    </r>
    <r>
      <rPr>
        <rFont val="Calibri"/>
        <b/>
        <color rgb="FF000000"/>
        <sz val="11.0"/>
      </rPr>
      <t xml:space="preserve">( January-June 2005) Volume 207. No. 1. January 2005:                                             * January 2005 (124 halaman)          * February 2005 (130 halaman)        * March 2005 (124 halaman)            * April 2005 (131 halaman)              * May 2005 (128 halaman)               * June 2005 (122 halaman)           </t>
    </r>
  </si>
  <si>
    <t>William L. Allen</t>
  </si>
  <si>
    <t>190</t>
  </si>
  <si>
    <r>
      <rPr>
        <rFont val="Calibri"/>
        <color theme="1"/>
        <sz val="11.0"/>
      </rPr>
      <t xml:space="preserve">National Geographic: Who Murdered The Mountain Gorillas?     </t>
    </r>
    <r>
      <rPr>
        <rFont val="Calibri"/>
        <b/>
        <color rgb="FF000000"/>
        <sz val="11.0"/>
      </rPr>
      <t xml:space="preserve">( July-December 2008) Volume 214. No. 1. July 2008:                                            * July 2008 (193 halaman)               * August 2008 (154 halaman)          * September 2008 (148 halaman)     * October 2008 (142 halaman)         * November 2008 (156 halaman)      * December 2008 (162 halaman)  </t>
    </r>
  </si>
  <si>
    <t>191</t>
  </si>
  <si>
    <r>
      <rPr>
        <rFont val="Calibri"/>
        <color theme="1"/>
        <sz val="11.0"/>
      </rPr>
      <t xml:space="preserve">National Geographic: Angkor (Why an Ancient Civilization Collapsed)                       </t>
    </r>
    <r>
      <rPr>
        <rFont val="Calibri"/>
        <b/>
        <color rgb="FF000000"/>
        <sz val="11.0"/>
      </rPr>
      <t xml:space="preserve">( July-December 2009) Volume 216. No. 1                                                           * July 2008 (193 halaman)                        * August 2008 (154 halaman)                  * September 2008 (148 halaman )             * October 2008 (142 halaman)                   * November 2008 (156 halaman)                    * December 2008 (162 halaman)  </t>
    </r>
  </si>
  <si>
    <t>192</t>
  </si>
  <si>
    <r>
      <rPr>
        <rFont val="Calibri"/>
        <color theme="1"/>
        <sz val="11.0"/>
      </rPr>
      <t xml:space="preserve">National Geographic: Hubble Renewed (The Telescope Sees More Clearly Than Ever)/ </t>
    </r>
    <r>
      <rPr>
        <rFont val="Calibri"/>
        <b/>
        <color rgb="FF000000"/>
        <sz val="11.0"/>
      </rPr>
      <t xml:space="preserve">Volume 217. No. 2. February 2010:                                   * February 2010 (148 halaman)              * March 2010 (144 halaman)                   * April 2010 (181 halaman)                     * May 2010 (142 halaman)                        * June 2010 (148 halaman)        </t>
    </r>
  </si>
  <si>
    <t>193</t>
  </si>
  <si>
    <r>
      <rPr>
        <rFont val="Calibri"/>
        <color theme="1"/>
        <sz val="11.0"/>
      </rPr>
      <t xml:space="preserve">National Geographic:Gold ( The True Cost of a Global Obsession) </t>
    </r>
    <r>
      <rPr>
        <rFont val="Calibri"/>
        <b/>
        <color rgb="FF000000"/>
        <sz val="11.0"/>
      </rPr>
      <t xml:space="preserve">Volume 215. No. 1. January 2009:                                             * January 2009 (160 halaman)          * February 2009 (154 halaman)             * March 2009 (158 halaman)                    * April 2009 (158 halaman)                          * May 2009 (144 halaman)                          * June 2009 ( 144 halaman)            </t>
    </r>
  </si>
  <si>
    <t>194</t>
  </si>
  <si>
    <t>SEMEIA 77: Bible and Ethics of Reading ( an Experimental Journal for Biblical Criticism)/ Issues 77-80, 1997</t>
  </si>
  <si>
    <t>Danna Nolan Fewell &amp; Gary A. Phillips</t>
  </si>
  <si>
    <t xml:space="preserve">Scholars Press </t>
  </si>
  <si>
    <t>195</t>
  </si>
  <si>
    <t>SEMEIA 65: Orality and Textuality in Early Christian Literature ( an Experimental Journal for Biblical Criticism)/ Issues 65-68, 1995</t>
  </si>
  <si>
    <t>Joanna Dewey</t>
  </si>
  <si>
    <t>196</t>
  </si>
  <si>
    <t>SEMEIA : 73 "Reading With" (An Exploration of The Interface Between Critical and Ordinary Readings of The Bible)  ( an Experimental Journal for Biblical Criticism)/ Issues 73-76, 1996</t>
  </si>
  <si>
    <t>Daniel Patte, Vanderbilt University</t>
  </si>
  <si>
    <t>197</t>
  </si>
  <si>
    <t xml:space="preserve">230.041 SEM </t>
  </si>
  <si>
    <t>SEMEIA: Food and Drink in the Biblical Worlds (86)</t>
  </si>
  <si>
    <t>Athalya  (editor)</t>
  </si>
  <si>
    <t xml:space="preserve">The Society of Biblical Literature 825 Houston Mill Road </t>
  </si>
  <si>
    <t>198</t>
  </si>
  <si>
    <t>The Bible Translator (Volume 3 No. 4 October 1952)</t>
  </si>
  <si>
    <t>E. A. Nida (editor)</t>
  </si>
  <si>
    <t>199</t>
  </si>
  <si>
    <t>The Bible Translator Volume 68  Issue 1 April 2017</t>
  </si>
  <si>
    <t>Robert A. Boscom, et all</t>
  </si>
  <si>
    <t>SEMEIA 67  an Experimental Journal for Biblical Criticism: Transformations, Passages, and Processes: Ritual Approaches to Biblical Texts (1994)</t>
  </si>
  <si>
    <t>Mark McVann (editor)</t>
  </si>
  <si>
    <t>Biblical Archaelogy November / December 2015               Volume 41 No. 6</t>
  </si>
  <si>
    <t>McCollough, Tom et all</t>
  </si>
  <si>
    <t>Veritas - Jurnal Teologi Dan Pelayanan Vol. 15 No. 12 Oktober 2014</t>
  </si>
  <si>
    <t>1412-5943 (ISSN)</t>
  </si>
  <si>
    <t>LOGOS - Jurnal Filsafat - Teologi Vol. 12 No.1 , Januari 2015</t>
  </si>
  <si>
    <t>Fakultas Filsafat Universitas Katolik St. Thomas S.U</t>
  </si>
  <si>
    <t>LOGOS - Jurnal Filsafat - Teologi Vol. 11 No.1 , Januari 2014</t>
  </si>
  <si>
    <t>LOGOS - Jurnal Filsafat - Teologi Vol. 11 No.2 , Januari 2014</t>
  </si>
  <si>
    <t>LOGOS - Jurnal Filsafat - Teologi Vol. 10 No.1 , Januari 2013</t>
  </si>
  <si>
    <t>LOGOS - Jurnal Filsafat - Teologi Vol. 10 No.2 , Juni 2013</t>
  </si>
  <si>
    <t>LOGOS - Jurnal Filsafat - Teologi Vol.9 No.1 , Januari 2012</t>
  </si>
  <si>
    <t>LOGOS - Jurnal Filsafat - Teologi Vol. 8 No.1 , Januari 2011</t>
  </si>
  <si>
    <t>LOGOS - Jurnal Filsafat - Teologi Vol. 7 No.1 , Januari 2009</t>
  </si>
  <si>
    <t>Diskursus Vol. 13 Nomor 1, April 2014</t>
  </si>
  <si>
    <t>0142-064X (ISSN)</t>
  </si>
  <si>
    <t>Journal For The Study of The New Testament            Vol. 37.4 June 2015</t>
  </si>
  <si>
    <t>Journal For The Study of The Old Testament            Vol. 39.5 June 2015</t>
  </si>
  <si>
    <t>0042-4935 (ISSN)</t>
  </si>
  <si>
    <t>Vetus Testamentum Vol. LXV No.2 2015</t>
  </si>
  <si>
    <r>
      <rPr>
        <rFont val="Calibri"/>
        <b/>
        <color rgb="FF000000"/>
        <sz val="11.0"/>
      </rPr>
      <t xml:space="preserve">Studia Philosophica et Theologica:   </t>
    </r>
    <r>
      <rPr>
        <rFont val="Calibri"/>
        <color rgb="FF000000"/>
        <sz val="11.0"/>
      </rPr>
      <t xml:space="preserve">                   *Vol. 2 No. 1 Oktober 2002  (88 halaman)                        *Vol.2 No. 2 Maret 2003 177 halaman)                       *Vol. 3 No. 1 Oktober 2003 (78 halaman)                    *Vol. 3 No. 2 Maret 2004 (172 halaman)                        </t>
    </r>
  </si>
  <si>
    <t xml:space="preserve">PT. Business News, Anggota SPS/SGP </t>
  </si>
  <si>
    <r>
      <rPr>
        <rFont val="Calibri"/>
        <b/>
        <color rgb="FF000000"/>
        <sz val="11.0"/>
      </rPr>
      <t xml:space="preserve">Studia Philosophica et Theologica:                        </t>
    </r>
    <r>
      <rPr>
        <rFont val="Calibri"/>
        <color rgb="FF000000"/>
        <sz val="11.0"/>
      </rPr>
      <t xml:space="preserve">*Vol. 5 No. 1  Maret 2005 (125 halaman)                        *Vol. 5 No. 2 Oktober 2005 (234 halaman)                           *Vol. 7 No. 2 Oktober 2007 (218 halaman)                                      *Vol. 8 No. 1 Maret 2008 (121 halaman)   </t>
    </r>
  </si>
  <si>
    <t>STFT Widya Sasana</t>
  </si>
  <si>
    <r>
      <rPr>
        <rFont val="Calibri"/>
        <b/>
        <color rgb="FF000000"/>
        <sz val="11.0"/>
      </rPr>
      <t>DISKURSUS</t>
    </r>
    <r>
      <rPr>
        <rFont val="Calibri"/>
        <color rgb="FF000000"/>
        <sz val="11.0"/>
      </rPr>
      <t xml:space="preserve"> (Jurnal Filsafat dan Teologi-Sekolah Tinggi Filsafat Driyarkara/ </t>
    </r>
    <r>
      <rPr>
        <rFont val="Calibri"/>
        <b/>
        <color rgb="FF000000"/>
        <sz val="11.0"/>
      </rPr>
      <t xml:space="preserve">Vol. 2. No. 1 April 2003): </t>
    </r>
    <r>
      <rPr>
        <rFont val="Calibri"/>
        <color rgb="FF000000"/>
        <sz val="11.0"/>
      </rPr>
      <t xml:space="preserve">                                                </t>
    </r>
    <r>
      <rPr>
        <rFont val="Calibri"/>
        <b/>
        <color rgb="FF000000"/>
        <sz val="11.0"/>
      </rPr>
      <t xml:space="preserve">Vol. 5. No. 1 April 2006:      </t>
    </r>
    <r>
      <rPr>
        <rFont val="Calibri"/>
        <color rgb="FF000000"/>
        <sz val="11.0"/>
      </rPr>
      <t xml:space="preserve">*                                 </t>
    </r>
    <r>
      <rPr>
        <rFont val="Calibri"/>
        <b/>
        <color rgb="FF000000"/>
        <sz val="11.0"/>
      </rPr>
      <t xml:space="preserve">Vol. 6 No. 1 April 2007 :              </t>
    </r>
    <r>
      <rPr>
        <rFont val="Calibri"/>
        <color rgb="FF000000"/>
        <sz val="11.0"/>
      </rPr>
      <t xml:space="preserve">*                 </t>
    </r>
  </si>
  <si>
    <t>Orientasi Baru Jurnal Filsafat dan Teologi  Vol. 18, No. 1, April 2009</t>
  </si>
  <si>
    <t xml:space="preserve">Indra T,                  B.R Agung P, Y.Hariprabowo,      Paulus Agung W,           Bernard H,                    Jean-Francois M </t>
  </si>
  <si>
    <t>Fakultas Teologi, Universitas Sanata Dharma Yogyakarta</t>
  </si>
  <si>
    <t>Orientasi Baru Jurnal Filsafat dan Teologi Vol. 19, No. 2, Oktober 2010</t>
  </si>
  <si>
    <t>Syafaatun A,              Yohanes Robini M,            Gregorius Ari N,          Agus Tridiatno Y,                  Y. Triyono,                 MM. Sri H</t>
  </si>
  <si>
    <t>Orientasi  Baru Jurnal Filsafat dan Teologi Vol. 19, No. 1, April 2010</t>
  </si>
  <si>
    <t>V.Indra S,             Heru P, Hairus S,      Ch. Suryanti,           Ag. Purnama            CB. Mulyatno</t>
  </si>
  <si>
    <t>Orientasi Baru Jurnal Filsafat dan Teologi Vol. 20, No. 1, April 2011</t>
  </si>
  <si>
    <t xml:space="preserve">Jarot H                  Y.B. Prasetyantha      Petrus T.K, Meteus M           Reza A.A.   Eny W             </t>
  </si>
  <si>
    <t>Orientasi Baru Jurnal Filsafat dan Teologi Vol. 21, No. 2, Oktober 2012</t>
  </si>
  <si>
    <t xml:space="preserve">V. Indra S,         F.Purwanto,                 E. Pranawa,                 Robertus R              M. Purwatma,         C.B. Mulyatno,         FI. Hasto R                                         </t>
  </si>
  <si>
    <t>Orientasi Baru Jurnal Filsafat Dan Teologi Vol 21, No. 2, Oktober</t>
  </si>
  <si>
    <t>St. Eko R,          Hendri M.S,               A. Addy K, Tjipto S,          Bernardus Ario T,                 Zuly Q</t>
  </si>
  <si>
    <t>Orientasi Baru Jurnal Filsafat dan Teologi Vol. 22, No. 1, April 2013</t>
  </si>
  <si>
    <t>Albertus P, Mateus M,                             AI. Purwahadiwardaya,   A. Eddy K,  Budi S</t>
  </si>
  <si>
    <t>Orientasi Baru Jurnal Filsafat dan Teologi Vol. 22, No. 2, Oktober 2013</t>
  </si>
  <si>
    <t>Ant. Hari K, Y.I.Iswarahadi, Hartono Budi, St.gitowiratmo,  Francisia SSE Seda, E. Prasetyantono</t>
  </si>
  <si>
    <t>Orientasi Baru Jurnal Filsafat dan Teologi Vol. 25, No. 2, tober 2017</t>
  </si>
  <si>
    <t>Orientasi Baru Jurnal Filsafat dan Teologi Vol. 24, Nomor 02, Oktober 2015</t>
  </si>
  <si>
    <t>Jarot Hadoanto, et all</t>
  </si>
  <si>
    <t>Orientasi Baru Jurnal Filsafat dan Teologi Vol. 25, Nomor 01, April 2015</t>
  </si>
  <si>
    <t>Orientasi Baru Jurnal Filsafat dan Teologi Vol. 26, Nomor 01, April 2017</t>
  </si>
  <si>
    <t>Veritas Jurnal Dan Pelayanan Vol 2. Nomor 2 (Oktober 2001)</t>
  </si>
  <si>
    <t>Daniel, Kalvin S, Kristian, Yudha, Rahmiati, Hali D, Heman El, Wahyu P, Makus D, Andri K, Alex L</t>
  </si>
  <si>
    <t>Veritas Jurnal Dan Pelayanan Vol 3 Nomor 1 (April 2002)</t>
  </si>
  <si>
    <t xml:space="preserve">Y.A Hartopo, Henry E, Herlianto, Hidalgo, Ferry Y, Armand, Nathanael, Caprili, Timotius </t>
  </si>
  <si>
    <t>Veritas  Jurnal Teologi Dan Pelayanan Vol 10 Nomor 1&amp;2 (April dan Oktober 2009)</t>
  </si>
  <si>
    <t>Daniel, Ferry Y, Timotius, Megawati R, Andreas H, Pancha W, Bedjo,  Budianto L</t>
  </si>
  <si>
    <t>Veritas Jurnal Teologi Dan Pelayanan Vol 11 Nomor 1&amp;2 (April dan Oktober 2010)</t>
  </si>
  <si>
    <t xml:space="preserve">Daniel, Kalvin, Hendra, Alex, Timotius,  Martus, Andri </t>
  </si>
  <si>
    <t>Veritas Jurnal Teologi Dan Pelayanan Vol 12 Nomor 2 (April 2011)</t>
  </si>
  <si>
    <t>Kalvi, Leonard, Bedjo, Chardra, Joannes, Kristian, Irwan, Yudha</t>
  </si>
  <si>
    <t>Veritas Jurnal Teologi dan Pelayanan Vol 13 Nomor 1&amp;2 (April-Oktober 2012)</t>
  </si>
  <si>
    <t>Kalvin, eko, Murni, Michael, Hendrikus, jimmy, Martus A</t>
  </si>
  <si>
    <t>Veritas Jurnal Teologi Dan Pelayanan Vol 14 Nomor 1 (April)</t>
  </si>
  <si>
    <t>Leonard, Ester, Alvin, Sylva, Paulus Ch.R, Chandra G, Pancha W.Y, Tan Kian G</t>
  </si>
  <si>
    <t>Diskursus Jurnal Filsafat Teologi -Sekolah Tinggi Filsafat Driyarkara Vol 4, N0. 1, April 2005</t>
  </si>
  <si>
    <t>Louis L, Karlina S, Andrianus S,                  Ignatius L. Madya U</t>
  </si>
  <si>
    <t>Diskursus Jurnal Filsafat Teologi -Sekolah Tinggi Filsafat Driyarkara  Edisi Khusus - Special Edition 2005  Vol 4, N0. 2, Juni 2005</t>
  </si>
  <si>
    <t>Immnuel Kant 1724-1804</t>
  </si>
  <si>
    <t>Diskursus Jurnal Filsafat Teologi Sekolah Tinggi Filsafat Driyarkara Vol 4, No. 3, Oktober 2005</t>
  </si>
  <si>
    <t>Andrianus, Frans, Antonius, Thomas Aquino</t>
  </si>
  <si>
    <t>Diskursus Jurnal Filsafat Dan Teologi - Sekolah Tinggi Filsafat Driyarkara Vol 5, No. 2, Oktober 2006</t>
  </si>
  <si>
    <t>A. Sudiarja, Johannes M, Jose M. Martin H</t>
  </si>
  <si>
    <t>Diskursus Jurnal Filsafat Dan Teologi - Sekolah Tinggi Filsafat Driyarkara Vol 6, No. 2, Oktober 2007</t>
  </si>
  <si>
    <t>Karlina, J. Sudarminta, AI Rusmadji, Y,B. Prasetyantha, M.Purwatma</t>
  </si>
  <si>
    <t>Diskursus Jurnal Filsafat Dan Teologi Vol. 9, No. 2, Oktober 2010</t>
  </si>
  <si>
    <t>Paulus, Matius A,      AI, Andang, Zakiyuddin, Armada R</t>
  </si>
  <si>
    <t>Diskursus Jurnal Filsafat Dan Teologi Vol. 10, No. 2, Oktober 2011</t>
  </si>
  <si>
    <t>A. Sudiarja, Yeremias, William, Hartono, A. Sunarko</t>
  </si>
  <si>
    <t>Diskursus Jurnal Filsafat Dan Teologi Vol. 10, Nomor 1, April 2011</t>
  </si>
  <si>
    <t>CB. Mulyatno, A. Widyarsono, Budiono K, Yap Fu Lan, V. Indra S</t>
  </si>
  <si>
    <t>Diskursus Jurnal Filsafat Dan Teologi Vol 11, Nomor 1, April 2012</t>
  </si>
  <si>
    <t xml:space="preserve">B. Hari J, Karlina S, Petrus, Martin H, E. Pranawa               </t>
  </si>
  <si>
    <t>Diskursus Jurnal Filsafat Dan Teologi Vol 11, Nomor 2, Oktober 2012</t>
  </si>
  <si>
    <t xml:space="preserve">Thomas H, Otto G,Albertus B,Sefnat H,  Marting            </t>
  </si>
  <si>
    <t>Diskursus Jurnal Fisafat Dan Teologi Vol 12, Nomor 1, April 2013</t>
  </si>
  <si>
    <t>Martin S,                      J. Sudarminta,                A. Sonny K, Paul B.K,          Joas A</t>
  </si>
  <si>
    <t>Diskursus Jurnal Filsafat Dan Teologi Vol. 12, Nomor 2, Oktober 2013</t>
  </si>
  <si>
    <t>Karlina S, A. widyarsono, A. Galih Prasetyo, Binsar J,                         e. Pranawa Dhatu M</t>
  </si>
  <si>
    <t>Diskursus Jurnal Filsafat Dan Teologi Vol. 14, Nomor 2, Oktober 2015</t>
  </si>
  <si>
    <t>J. Haryatmoko, et all</t>
  </si>
  <si>
    <t>Stulos Jurnal  Teologi Vol 9. Nomor 2 September 2010</t>
  </si>
  <si>
    <t>Tagordo S, Harapan S, Halie D.L, Joseph T, Desiana N</t>
  </si>
  <si>
    <t xml:space="preserve">Bandung </t>
  </si>
  <si>
    <t xml:space="preserve">Stulos Jurnal Teologis Vol 10. Nomor 1. April  2011 </t>
  </si>
  <si>
    <t>Christiady, B.Kreysen, Noh Ibrahim P,  Ramly B, Muliawan S, Togardo S, Cathryne B</t>
  </si>
  <si>
    <t>Stulos Jurnal Teologis Vol 10. Nomor 2. April  2011</t>
  </si>
  <si>
    <t>Tommy O. Lengkong, Tonny M.H, Stefanus S, Hadi P, Santobi, Dr. Agus S, Targodo Siburian</t>
  </si>
  <si>
    <t>Stulos Jurnal Teologis Vol 11.Nomor. April 2012</t>
  </si>
  <si>
    <t>Noh Ibrahim B, Desiana M.N, Tagardo S, Aeron S, Christiady C, Harapan S, Victor S, Amos S</t>
  </si>
  <si>
    <t>Stulos Jurnal Teologi Vol. 12. nomor 1. April 2013</t>
  </si>
  <si>
    <t>Tan Giok L, Tjiauw Thuan - Hali, Harianto G.P, Heriyanto, Noh I.B, Grace E, Harapan S, Junihot M</t>
  </si>
  <si>
    <t>Novum Testamentum An International Quarterly For New Testamant and Related Studies. Vol. LV FASC. I (2013)</t>
  </si>
  <si>
    <t xml:space="preserve">J.K. Elliott, </t>
  </si>
  <si>
    <t>Novum Testamentum An International Quarterly For New Testamant and Related Studies. Vol. LV FASC. 2 (2013)</t>
  </si>
  <si>
    <t>J.K. Elliott,</t>
  </si>
  <si>
    <t>Novum Testamantum An International Quarterly For New Testament and Related Studies Vol. LV FASC. 3 (2013)</t>
  </si>
  <si>
    <t>J.K. Elliott</t>
  </si>
  <si>
    <t>Novum Testamentum An International Quarterly for New Testament and Related Studies Vol. LV FASC. 4 (2013)</t>
  </si>
  <si>
    <t>Novum Testamentum An International Quarterly for New Testament and Related Studies Vol. LVIII  FASC.2 (20136)</t>
  </si>
  <si>
    <t>Vetus Testamentum  A quarterly Published by the International Organization For the Study of the Old Testament Vol. LXIII No.2 2013</t>
  </si>
  <si>
    <t xml:space="preserve">S.D Weeks </t>
  </si>
  <si>
    <t>Vetus Testamentum A quarterly Published by the International Orgazation For the Study of the Old Testament</t>
  </si>
  <si>
    <t xml:space="preserve">Vetus Testanmentum A quarterly Pulblisished by the International Organization for the Study of the Old Testament IOSOT 2013 </t>
  </si>
  <si>
    <t xml:space="preserve">Vetus Testanmentum A quarterly Pulblisished by the International Organization for the Study of the Old Testament Vol. LXIII No. 4 2013 </t>
  </si>
  <si>
    <t>Vetus Testamentum Vol. I No. 1 2015</t>
  </si>
  <si>
    <t>Mark A</t>
  </si>
  <si>
    <t>Jurnal For the Study Of the Old testament Vol. 37.1.September 2012</t>
  </si>
  <si>
    <t>Orly K, Micha R, AARon J. Koller, Geoffrey J. Aimers, Marko Marttila, Kelly M. Wilson, Douglas Watson</t>
  </si>
  <si>
    <t>Londo ECIY ISP</t>
  </si>
  <si>
    <t>Jurnal For the Study Of the Old testament Vol. 37.2. Desember 2012</t>
  </si>
  <si>
    <t>Karolien V. John M, Clinton J, Brian T, Elizabeth K, Richard W,  Rob Barrett</t>
  </si>
  <si>
    <t>Jurnal for the Study og the Old Testament Vol 37.3. March 2013</t>
  </si>
  <si>
    <t>T.M. Lemos, Roland B, Juliana C, Michael A, David J, Daniel A. Frese</t>
  </si>
  <si>
    <t>Jurnal For the Study Of The Old Testament Vol. 37.4.Juni 2013</t>
  </si>
  <si>
    <t>Simund W, Janson C, Richard M, Koog P, Doug Inggram</t>
  </si>
  <si>
    <t>Jurnal For The Study Of The Old Testament Vol. 37.5. June 2013</t>
  </si>
  <si>
    <t>Dr Deberah Rooke, Regent's Park College, Pusey Street, Oxford OXI 2LB, Englang</t>
  </si>
  <si>
    <t>Journal For the Study of The New Testamnt Vol 34.3 March 2012</t>
  </si>
  <si>
    <t>Americas</t>
  </si>
  <si>
    <t>Andrew T. Lincoln, Jane H,                         N.Clayton, Stephen L,     M.David L</t>
  </si>
  <si>
    <t>0142-064X</t>
  </si>
  <si>
    <t xml:space="preserve">                         070.482         HIS</t>
  </si>
  <si>
    <t>Journal For the Study of The New Testamnt Vol 34.5 Agustus 2012</t>
  </si>
  <si>
    <t>Martinus C. Samuel B, Douglas A, ……</t>
  </si>
  <si>
    <t xml:space="preserve">                         070.482         NEW</t>
  </si>
  <si>
    <t>Journal For the Study of The New Testamnt Vol 38.3 March 2016</t>
  </si>
  <si>
    <t>Jurnal For the Study Of The Historical Jesus Vol. 10 No.2 2012. Jesus In History, Culture and Art</t>
  </si>
  <si>
    <t>Michael A, Daise</t>
  </si>
  <si>
    <t>Jurnal For the Study Of The Historical Jesus Vol. 13No.1 2015 Jesus In History, Culture and Art</t>
  </si>
  <si>
    <t>Eric Eve, et all</t>
  </si>
  <si>
    <t xml:space="preserve">                         070.482         CUR</t>
  </si>
  <si>
    <t>Currents In Biblical Research Vol. 11.2, Febrary 2013</t>
  </si>
  <si>
    <t>Alan J. Hauser, Jonathan Klawans, Scot McKnight and Schuryler Kaufman</t>
  </si>
  <si>
    <t>Currents In Biblical Research Vol. 14.2, Febrary 2016</t>
  </si>
  <si>
    <t>Semi Jurnal Reformed Injili Vol 1. No. 1-Maret 2001</t>
  </si>
  <si>
    <t>Penyunting : Emil Salim, Arson Arunde, Welly Chan</t>
  </si>
  <si>
    <t>Semi Jurnal Reformed Injili Vol II. No. 1-Maret 2001</t>
  </si>
  <si>
    <t>Alfred J, Emil S, Markus  Hans B, Welly Chan</t>
  </si>
  <si>
    <r>
      <rPr>
        <rFont val="Calibri"/>
        <color rgb="FF000000"/>
        <sz val="11.0"/>
      </rPr>
      <t>∏AIΔAΓΩΓΟΣ Penuntun Jurnal Teologi Dan Gereja Vol. 11, No. 23, 2010</t>
    </r>
  </si>
  <si>
    <t>Yonky K, Anwar T, Miftah S, Peter L. M.Sastrapratedja, Kuntadi S</t>
  </si>
  <si>
    <t>Komisi  Pengkajian  Teologi (KPT) GKI Sinode wilayah Jawa Barat</t>
  </si>
  <si>
    <t>Jurnal teologi Proklamasi Quo Vadis Indonesia ? (Qou Vadis Kekristenan)</t>
  </si>
  <si>
    <t xml:space="preserve">Editor: Robert P. Borong, Martin L. Sinaga, Victor Silaen, Trisno S, Ioanes Rakhmat, Abraham S. Wilar, </t>
  </si>
  <si>
    <t>Jurnal teologi Proklamasi Mencari Arah-Arah Baru Berteologi di Indonesia</t>
  </si>
  <si>
    <t>L.A. Hoedermaker, Th. Sumartana, Albertus Patty</t>
  </si>
  <si>
    <t>Exsodus</t>
  </si>
  <si>
    <t>Pdt. Dr. CoralieF.J, Elston B, Dra. Magdalena H,          Julianus M,                   I Wayan J</t>
  </si>
  <si>
    <t>Fakultas Teologi UKIT</t>
  </si>
  <si>
    <t>Pdt. Piet M. Tampi, S.Th., M.Si. Pdt. Marthinus Mamonto, S.Th., M.Si, Pdt. Marhaeni L. Tumiwa-Mawuntu, S.Th.,M.Si</t>
  </si>
  <si>
    <t>Jurnal Jaffray (Jurnal Teologi Dan Pastoral) Vol. 7, No. 1, April 2009</t>
  </si>
  <si>
    <t>Jurnal yang berisi Tulisan teologi dan pestoral dimana mengakat  isu-isu yang relevan dalam pemikiran dan iman Kristiani, dan masalah-masalah aktual dalam pelayanan gereja dan masyarakat saat ini.</t>
  </si>
  <si>
    <t xml:space="preserve">Dr. Jason Lase, M.Th                  Pdt. Peniel Maiaweng          Sindung Tjahyadi                       Polikarpus Ka'pan, M.Th                                  Ivan Th. J. Weismann       Rudy Harold, M. Th                              </t>
  </si>
  <si>
    <t>Lembaga Penerbitan Jaffray Makassar</t>
  </si>
  <si>
    <t>Jurnal Teologi Reformed Indonesia Vol. 1 No. 1 Juli 2011</t>
  </si>
  <si>
    <t>Dilengkapi dengan memberi kontribusi pemikiran yang unik dan tersendiri bagi gereja dan Kekristenan di Indonesia</t>
  </si>
  <si>
    <t xml:space="preserve">Yaku B.                    Yohanes B.                    Ihan Martoyo.                  Mangapul Segala.                      Leonard S.                            Yuso A                 </t>
  </si>
  <si>
    <t>Jurnal Teologi Reformed Indonesia Vol. 1 No. 1 Januari 2012</t>
  </si>
  <si>
    <t>Wilson S, Jimmy, Ina E, Philip, Amos W</t>
  </si>
  <si>
    <t>Jurnal Teologi Reformed Indonesia Vol. 3 No. 1 Januari 2013</t>
  </si>
  <si>
    <t>Yuso A,  R. Dean, Byung Soo H, Simeoan T, Yohanes B,  Pieters K, Musa S</t>
  </si>
  <si>
    <t>Studia Philosophica et Theologica Vol. 10 No. 1 Maret 2010</t>
  </si>
  <si>
    <t>Fransisco B,                  Donatus S,                   E.P.D Martasudjita                   Georg Kirchberger,            Antonius S,                     Yustinus</t>
  </si>
  <si>
    <t xml:space="preserve"> STFT Widya Sasana Malang</t>
  </si>
  <si>
    <t>Studia Philosophica et Theologica Vol. 10 No. 2 Oktober  2010</t>
  </si>
  <si>
    <t xml:space="preserve">Paul B, Raymundus S, F.X. Didik B, Edison,          A. Khudori,                  Zakiyuddin B,                Zainuddin                                        </t>
  </si>
  <si>
    <t>Studia Philosophia et Theologica Vol 7 No. 1 Maret 2007</t>
  </si>
  <si>
    <t>Dilengkapi dengan Bahasa Inggris dan bahasa Indonesia</t>
  </si>
  <si>
    <t xml:space="preserve">Al. Rusmadji, Donatus  S, CB. Kusmaryanto, Moch, Umi Sumbalah </t>
  </si>
  <si>
    <t>Studia Philosophia et Theologica Vol 9No. 2 Oktober 2009</t>
  </si>
  <si>
    <t>Gadis  A,  Mikhael D,  Raymundus S, Jan S,  Samuel B</t>
  </si>
  <si>
    <t xml:space="preserve"> INTIM - Jurnal STT Makasar Menguak tabu-tabu-Melawan Korupsi</t>
  </si>
  <si>
    <t xml:space="preserve">Aguswati H.R, Anthony C.B, Zakharia J.N.,…………..Dll                  </t>
  </si>
  <si>
    <t>STT INTIM MAKASAR</t>
  </si>
  <si>
    <t>Pasca Jilid IV Nomor Agustus 2001</t>
  </si>
  <si>
    <t>Pdt. Ichwei G, Indra, M.Th,  Pdt. R. Frank White.,…………….</t>
  </si>
  <si>
    <t>LPPM "Bukit Simongan"</t>
  </si>
  <si>
    <t>Jurnal Teologi Sekolah Tinggi Jakarta Edisi No.2/Th. 1 Mei/2002. Proklamasi Medengar suara-suara"yang lain" (titik tolok baru berteologi)</t>
  </si>
  <si>
    <t>Jurnal ini lebih  memacu perkembangan pemikiran keagamaan dan teologi Kristen pada khusus</t>
  </si>
  <si>
    <t>Jan S. A,  Andreas A.Y, John H, Anwar T.,……….</t>
  </si>
  <si>
    <t>Church Society. Vol 7 Number 1 April 2004</t>
  </si>
  <si>
    <t xml:space="preserve"> Dr Roland C, Rev Dr Thomas H,  Rev Roger W,…………</t>
  </si>
  <si>
    <t>Trinity Theological College Singapore</t>
  </si>
  <si>
    <t>Church Society. Vol 9 Number 1 April 2006</t>
  </si>
  <si>
    <t>Dr Lee Soo Ann, Lee Kian Cheng, Josepphine</t>
  </si>
  <si>
    <t>SBL (Society of Biblical Literatur) 2010 Annual Meeting Session Guide Atlanta 20-23 November 2010</t>
  </si>
  <si>
    <t>Dilengkapi dengan  Indeks Dan Gambar</t>
  </si>
  <si>
    <t>SBL (Society of Biblical Literatur)</t>
  </si>
  <si>
    <t>National Geographic                                     King David, Desember</t>
  </si>
  <si>
    <t>National GeoGraphic                  Can We Fly? September</t>
  </si>
  <si>
    <t>National Geographic, July, Agustus, September</t>
  </si>
  <si>
    <t>Respons Jurnal etika Sosial. Vol 8, No 01- Juni 2003</t>
  </si>
  <si>
    <t>Dilengkapi Dengan Daftar Buku</t>
  </si>
  <si>
    <t xml:space="preserve">Armada Riyanto CM, Mediana Handayani, Msi,   Jeremias Jena, Rodemeus Ristyantoro, Embu Henriquez             </t>
  </si>
  <si>
    <t xml:space="preserve"> Pusat Pengembangan Etika Universitas Katolik Indonesia Atma Jaya</t>
  </si>
  <si>
    <t>Aditya Wacana  Jurnal Agama Dan Kebudayaan. Tahun- I Edisi 2</t>
  </si>
  <si>
    <t>Donatur Sarmada kelen, MA</t>
  </si>
  <si>
    <t>Aditya Wacana Pusat Pengkajian  Agama Dan Kebudayaan</t>
  </si>
  <si>
    <t xml:space="preserve">Aditya Wacana  Jurnal Agama Dan Kebudayaan. Vol. II. No.1 </t>
  </si>
  <si>
    <t>Aurelius Pati Soge</t>
  </si>
  <si>
    <t>Hikmat Jurnal Pendidikan-Pemuda-Perdamaian. Vo. 1No. 1Desember 2008</t>
  </si>
  <si>
    <t>Judith G Lim,  Berta Esti A.P, Ruth S. Kadarmanto, Supardan, Banawiratma, Prasasta W</t>
  </si>
  <si>
    <t>Yayasan Cemara</t>
  </si>
  <si>
    <t>Perspektif Jurnal Agama Dan Kebudayaan. Vol 6-No.2</t>
  </si>
  <si>
    <t>Dilengkapi Dengan daftar Isi</t>
  </si>
  <si>
    <t>Raymundus Sudhiarsa</t>
  </si>
  <si>
    <t>Perspektif Jurnal Agama Dan Kebudayaan. Vol. 4-No.1</t>
  </si>
  <si>
    <t>Dilengkapi Dengan Daftar</t>
  </si>
  <si>
    <t>Besukacitalah Nyanyian Baru</t>
  </si>
  <si>
    <t>Dilengkapi Dengan Nyanyian</t>
  </si>
  <si>
    <t>Pdt. Sularso Sopater, Th.M</t>
  </si>
  <si>
    <t>Sekolah Tinggi Teologia</t>
  </si>
  <si>
    <t xml:space="preserve">Adiutores Jurnal Teologi            </t>
  </si>
  <si>
    <t>Hendi, EkaPradana, Magdalena, Eddy Santoso,……..</t>
  </si>
  <si>
    <t xml:space="preserve">STT   Soteria Purwarketo </t>
  </si>
  <si>
    <t>Chongshin Theological Journal Vol 1, No.2</t>
  </si>
  <si>
    <t>John Eui-whan Kim</t>
  </si>
  <si>
    <t>Presbyterian General Assembly</t>
  </si>
  <si>
    <t>01-42-064X</t>
  </si>
  <si>
    <t>070.482   JOU</t>
  </si>
  <si>
    <t>Journal for the study of The New Testament - Vol. 37.4 June 2015</t>
  </si>
  <si>
    <t>Journal for the study of Old Testament - Vol. 39.5 June 2015</t>
  </si>
  <si>
    <t>070.482   VET</t>
  </si>
  <si>
    <t>Vetus Testamentum  vol. LXV No.2 2015</t>
  </si>
  <si>
    <t>0098-9444 (ISSN)</t>
  </si>
  <si>
    <t xml:space="preserve">    220.93  BIB</t>
  </si>
  <si>
    <t>Biblical Archaeology Review - Juli/August 2016 Vol. 42 No.4</t>
  </si>
  <si>
    <t>Biblical Archaeology Review - Juli/August 2015 Vol. 41 No.4</t>
  </si>
  <si>
    <t>070.482   BIB</t>
  </si>
  <si>
    <t>Vetus Testamentum Vol.LXV No. 4 2015</t>
  </si>
  <si>
    <t>Brill</t>
  </si>
  <si>
    <t>Journal For The Study  Old Testament Vol. 40.2 December 2015</t>
  </si>
  <si>
    <t>Deena E. Grant , et all</t>
  </si>
  <si>
    <t>Sage Publications</t>
  </si>
  <si>
    <t>Journal For The Study  Historical Jesus Vol. 13 No. 1 2015</t>
  </si>
  <si>
    <t>0142-064 X (ISSN)</t>
  </si>
  <si>
    <t>Journal For The Study of the  The New Testament Vol.38.2 December  2015</t>
  </si>
  <si>
    <t>070.482  WAC</t>
  </si>
  <si>
    <t>Wacana Biblikao.2 April - Juni 2015</t>
  </si>
  <si>
    <t>Dr. V. Indra Sanjaya, Pr</t>
  </si>
  <si>
    <t xml:space="preserve">    70.482   NOV</t>
  </si>
  <si>
    <t>Novum Testamentum An International Quarterly For New Testamant and Related Studies. Vol. LVIII FASC. 1 (2016)</t>
  </si>
  <si>
    <t>Laiden/ Boston</t>
  </si>
  <si>
    <t>Armin D. Baum , et all</t>
  </si>
  <si>
    <t>Novum Testamentum An International Quarterly For New Testamant and Related Studies. Vol. LVIII FASC. 2 (2016)</t>
  </si>
  <si>
    <t>David k. Bryan, et all</t>
  </si>
  <si>
    <t>Jurnal Filsafat dan Teologi  Vol. 18, No. 1, April 2009</t>
  </si>
  <si>
    <t>Fakultas Teologi, Universitas Sanata Dharma</t>
  </si>
  <si>
    <t>Orientasi Baru Jurnal Filsafat dan Teologi Vol. 20, No. 1, Oktober 2011</t>
  </si>
  <si>
    <t>Orientasi Baru Jurnal Filsafat dan Teologi Vol.  21, No. 2, Oktober 2012</t>
  </si>
  <si>
    <t>Veritas  Jurnal Teologi Dan Pelayanan Vol 10 Nomor 1 (April 2009)</t>
  </si>
  <si>
    <t>Veritas Jurnal Teologi Dan Pelayanan Vol 11 Nomor 1 (April 2010)</t>
  </si>
  <si>
    <t>Veritas Jurnal Teologi dan Pelayanan Vol 13 Nomor 2 (Oktober 2012)</t>
  </si>
  <si>
    <t>Diskursus Jurnal Filsafat Teologi -Sekolah Tinggi Filsafat Driyarkara Vol 4, N0. 2, Juni 2005</t>
  </si>
  <si>
    <t>Jurnal Teologi Vol. 04 Nomor 02 November 2015</t>
  </si>
  <si>
    <t>Pusat Penelitian dan Pelatihan Kontekstual Univ. Sanata Dharma Kerjasama dengan Asosiasi Teologi Katolik Indonesia.</t>
  </si>
  <si>
    <t>Wacana Biblika 2 April - Juni 2016</t>
  </si>
  <si>
    <t xml:space="preserve">   070.482     WAC</t>
  </si>
  <si>
    <t>Wacana Biblika Vol. 16 No. 2 April - Juni 2016</t>
  </si>
  <si>
    <t xml:space="preserve">   070.482     PEN</t>
  </si>
  <si>
    <t>Pendalaman Kitab Suci  Vol. 31 No. 3 Mei - Juni 2016</t>
  </si>
  <si>
    <t xml:space="preserve">   070.482     LOG</t>
  </si>
  <si>
    <t>Logos - Jurnal Filsafat   Teologi Vol.12 No.2 , Juni 2015</t>
  </si>
  <si>
    <t>Fak. Filsafat Univ. Katolik St. Thomas S.U</t>
  </si>
  <si>
    <t>Logos - Jurnal Filsafat   Teologi Vol.13 No.1 , Juni 2016</t>
  </si>
  <si>
    <t>0309-0892</t>
  </si>
  <si>
    <t>070.482 JOU</t>
  </si>
  <si>
    <t>Journal for the Study of the Old Testament Volume 40.3, March 2016</t>
  </si>
  <si>
    <t>Jonathan Vroom, etc</t>
  </si>
  <si>
    <t>0048-1009</t>
  </si>
  <si>
    <t>070.482 NOV</t>
  </si>
  <si>
    <t>Novum Testament Vol. LVII FASC 4 (2015)</t>
  </si>
  <si>
    <t>Andrew R. Krause, etc</t>
  </si>
  <si>
    <t>070.482 BIB</t>
  </si>
  <si>
    <t>070.482  HIS</t>
  </si>
  <si>
    <t>Journal For The Study Of The Historical Jesus Vol. 13 No.2-3, 2015</t>
  </si>
  <si>
    <t>National Geographic Juli 2016 - Sains Forensik , Cara Baru Singkap Kejahatan</t>
  </si>
  <si>
    <t>070.482 NEW</t>
  </si>
  <si>
    <t>Journal for the Study of The New Testament Vol. 38.4 June 2016</t>
  </si>
  <si>
    <t>070.482 CUR</t>
  </si>
  <si>
    <t>Currents In Biblical Research Vol. 14.3, June 2016</t>
  </si>
  <si>
    <t xml:space="preserve">  070.482 DIS</t>
  </si>
  <si>
    <t>Diskursus Vol. 15 Nomor 1, April 2016</t>
  </si>
  <si>
    <t>Pusat Penelitian Filsafat Dan Teologi, Sekolah Tinggi Filsafat Driyarkara</t>
  </si>
  <si>
    <t xml:space="preserve">  070.482 NOV</t>
  </si>
  <si>
    <t>Novum Testamentum Vol. LVIII FASC. 3 2016</t>
  </si>
  <si>
    <t>Novum Testamentum Vol. LIX  FASC. 4 2017</t>
  </si>
  <si>
    <t xml:space="preserve">  070.482 VET</t>
  </si>
  <si>
    <t>Vetus Testamentum Vol. LXVI No. 3 2016</t>
  </si>
  <si>
    <t>070.482 WAC</t>
  </si>
  <si>
    <t>Wacana Biblika Vol. 17 No. 1. Januari - Maret 2017</t>
  </si>
  <si>
    <t>Journal for the Study of The New Testament Volume 39.1 September 2016</t>
  </si>
  <si>
    <t>Journal for the Study of the Old Testament Volume 41.2 December 2016</t>
  </si>
  <si>
    <t>0142-064x</t>
  </si>
  <si>
    <t>Journal for the Study of The New Testament Volume 39.2 December 2016</t>
  </si>
  <si>
    <t>Currents In Biblical Research Vol.15.2 February 2017</t>
  </si>
  <si>
    <t>1568-5330 (ISSN)</t>
  </si>
  <si>
    <t>070.482  VETVol. LXVII No.1 2017</t>
  </si>
  <si>
    <t>Vetus Testamentum Vol. LXVII No.1 2017</t>
  </si>
  <si>
    <t>ISSN : 0042-4935</t>
  </si>
  <si>
    <t xml:space="preserve">  070.482  VET</t>
  </si>
  <si>
    <t>Vetus Testamentu, Vol. LXVII No.2 2017</t>
  </si>
  <si>
    <t>2356-1904</t>
  </si>
  <si>
    <t>070.482 JUR  Jurnal Simpson Vol.2 No.1 Juni 2015</t>
  </si>
  <si>
    <t>Jurnal Simpson vol.2 no.1 juni 2015</t>
  </si>
  <si>
    <t>Tanggapan thd Bidat Gnosticisme &amp; Injil Tomas; Pengertian Orang Percaya ttg Ungkapan "Allah Menyesal" ; Iman dan Akal ; Pemanfaatan Media Internet ; Karakteristik Sekolah Yang Berhasil dan Implementasinya.</t>
  </si>
  <si>
    <t>Sekolah Tinggi Teologi Simpson</t>
  </si>
  <si>
    <t>424</t>
  </si>
  <si>
    <t>ISSN - 0048-1009</t>
  </si>
  <si>
    <t xml:space="preserve">    070.482     NOV</t>
  </si>
  <si>
    <t>Novum Testamentum Vol.LIX FASC 2 (2017)</t>
  </si>
  <si>
    <t>423</t>
  </si>
  <si>
    <t>National Geographic February 2017 " The Birth of BOOZE "</t>
  </si>
  <si>
    <t>425</t>
  </si>
  <si>
    <t>National Geographic  April 2017 " Kehidupan Setelah ISIS "</t>
  </si>
  <si>
    <t>426</t>
  </si>
  <si>
    <t>ISSN - 1858-4683</t>
  </si>
  <si>
    <t xml:space="preserve">    070.482     STU</t>
  </si>
  <si>
    <t>Stulos - Jurnal Teologi Vol.15 No.2 Desember 2016</t>
  </si>
  <si>
    <t>427</t>
  </si>
  <si>
    <t>ISSN -1858-0408</t>
  </si>
  <si>
    <t xml:space="preserve">    070.482     PEN</t>
  </si>
  <si>
    <t>Pendalaman Kitab Suci Vol.32 No.2 Maret - April 2017</t>
  </si>
  <si>
    <t>428</t>
  </si>
  <si>
    <t>ISSN-1412-5943</t>
  </si>
  <si>
    <t xml:space="preserve">    070.482     LOG</t>
  </si>
  <si>
    <t>Logos - Jurnal Filsafat Teologi Vol.13 No.2 Juni 2016</t>
  </si>
  <si>
    <t>429</t>
  </si>
  <si>
    <t>ISSN-2051-6770</t>
  </si>
  <si>
    <t xml:space="preserve">    070.482    BIB</t>
  </si>
  <si>
    <t>The Bible Translator Vol.67 Issue 3 December 2016</t>
  </si>
  <si>
    <t>430</t>
  </si>
  <si>
    <t>978-3-8416-0657-0</t>
  </si>
  <si>
    <t xml:space="preserve">    070.482     SAN            e</t>
  </si>
  <si>
    <t>From Ferlag - Erquicke Mein Herz in Christus</t>
  </si>
  <si>
    <t>UnivFrom Verlag</t>
  </si>
  <si>
    <t>431</t>
  </si>
  <si>
    <t xml:space="preserve">    070.482      SAN         e</t>
  </si>
  <si>
    <t>432</t>
  </si>
  <si>
    <t>ISSN:  2502-7743</t>
  </si>
  <si>
    <t>070.482  GEM</t>
  </si>
  <si>
    <t>Gema Teologika - Jurnal Teologi Kontekstual &amp; Filsafat Vol.1 No. 2, Oktober 2016</t>
  </si>
  <si>
    <t>Fakultas Teologi Universitas Kristen Duta Wacana, Yogyakarta</t>
  </si>
  <si>
    <t>Gema Teologika - Jurnal Teologi Kontekstual &amp; Filsafat Vol.1 No. 2, April 2017</t>
  </si>
  <si>
    <t>433</t>
  </si>
  <si>
    <t xml:space="preserve">                 070.482                             SAN                      e</t>
  </si>
  <si>
    <t>434</t>
  </si>
  <si>
    <t>ISSN: 2502-7743</t>
  </si>
  <si>
    <t>ISSN : 1412-2588</t>
  </si>
  <si>
    <t>Jurnal Pendidikan Penabur No.27 /Tahun ke-15/Desember 2016</t>
  </si>
  <si>
    <t xml:space="preserve">Badan Pendidikan Kristen Penabur </t>
  </si>
  <si>
    <t>ISSN: 2051-6770</t>
  </si>
  <si>
    <t>070.482  BIB</t>
  </si>
  <si>
    <t>The Bible Translator Vol.67 Issue 2 August 2016</t>
  </si>
  <si>
    <t>The Bible Translator Vol.67 Issue 2 August 2017</t>
  </si>
  <si>
    <t>438</t>
  </si>
  <si>
    <t>1858-0408</t>
  </si>
  <si>
    <t>070.482  PEN</t>
  </si>
  <si>
    <t>Pendalaman Kitab Suci Vol.32 No. 4 Juli-Agustus 2017</t>
  </si>
  <si>
    <t>439</t>
  </si>
  <si>
    <t>Pendalaman Kitab Suci Vol.32 No.5 September - Agustus  2017</t>
  </si>
  <si>
    <t>440</t>
  </si>
  <si>
    <t>070.482 BAS</t>
  </si>
  <si>
    <t>Basis Nomor 07-08, Tahun Ke-66, 2017</t>
  </si>
  <si>
    <t>Yayasan BP Basis</t>
  </si>
  <si>
    <t>441</t>
  </si>
  <si>
    <t>9772 5026 46147</t>
  </si>
  <si>
    <t>070.482  INS</t>
  </si>
  <si>
    <t>Inspirasi Vol.89/Thn. VIII/2017</t>
  </si>
  <si>
    <t>Inspirasi</t>
  </si>
  <si>
    <t>442</t>
  </si>
  <si>
    <t>070.482  BAH</t>
  </si>
  <si>
    <t>Bahana - Agustus 2017 Vol. 316</t>
  </si>
  <si>
    <t>Bahana</t>
  </si>
  <si>
    <t>Basis Nomor 11-12, Tahun Ke-66, 2017</t>
  </si>
  <si>
    <t>Pendalaman Kitab Suci Vol.31 No.6  Nopember - Desember  2017</t>
  </si>
  <si>
    <t>445</t>
  </si>
  <si>
    <t>ISSN : 1476-993X</t>
  </si>
  <si>
    <t>Currents In Biblical Research Vol. 15.3, June 2017</t>
  </si>
  <si>
    <t>446</t>
  </si>
  <si>
    <t>ISSN: 0042-4935</t>
  </si>
  <si>
    <t>070.482  VETVol. LXVII No.3 2017</t>
  </si>
  <si>
    <t>Vetus Testamentum Vol. LXVII No. 3 2017</t>
  </si>
  <si>
    <t>447</t>
  </si>
  <si>
    <t>4687 5715 ROO 118</t>
  </si>
  <si>
    <t>23.7  WHY  b</t>
  </si>
  <si>
    <t>The Cambridge Bible Commentary - The Book of Proverbs</t>
  </si>
  <si>
    <t>Comentary</t>
  </si>
  <si>
    <t>448</t>
  </si>
  <si>
    <t>222.5  GRA  b</t>
  </si>
  <si>
    <t>1 &amp; 2 Kings History and Story in Ancient Israel</t>
  </si>
  <si>
    <t>Blomsbury</t>
  </si>
  <si>
    <t>449</t>
  </si>
  <si>
    <t>222.11  HAM  b</t>
  </si>
  <si>
    <t>978-0-8028-2309</t>
  </si>
  <si>
    <t>The Book Of Genesis Chapte  18 - 50</t>
  </si>
  <si>
    <t>450</t>
  </si>
  <si>
    <t>070.482  LOG</t>
  </si>
  <si>
    <t>Logos - Jurnal Filsafat Teologi Vol.14 No.1, Januari 2017</t>
  </si>
  <si>
    <t>ISSN : 1412-3878</t>
  </si>
  <si>
    <t>070.482  DIS</t>
  </si>
  <si>
    <t>Diskursus Vol.16 No.1, April 2017</t>
  </si>
  <si>
    <t>Sekolah Tinggi Filsafat Driyarkara</t>
  </si>
  <si>
    <t>070.482  JOU  Journal for thestudy of the OT. Vol 41.5, June 2017</t>
  </si>
  <si>
    <t xml:space="preserve"> Journal for thestudy of the OT. Vol 41.5, June 2017</t>
  </si>
  <si>
    <t>070.482  JOU  Journal for the Study of the OT. Vol 39.3, March  2017</t>
  </si>
  <si>
    <t>Journal for the study of The New Testament Vol. 39.3 August 2017</t>
  </si>
  <si>
    <t>John H. Walton, et all</t>
  </si>
  <si>
    <t>Journal for the study of The New Testament Vol. 39.4 June 2017</t>
  </si>
  <si>
    <t>Gregory M. Barnhill, et .all</t>
  </si>
  <si>
    <t>070.482  JOU  Journal for the Study of the New Testament. Vol 39.4, June  2017</t>
  </si>
  <si>
    <t>Robinson College, et all</t>
  </si>
  <si>
    <t>070.482  JOU  Journal for the Study of the New Testament. Vol 40.1, September  2017</t>
  </si>
  <si>
    <t>Journal for the study of The New Testament Vol.40.1 September 2017</t>
  </si>
  <si>
    <t xml:space="preserve">Seon Yong Kim, et.all </t>
  </si>
  <si>
    <t>070.482  JOU  Journal for the Study of the Historical Jesus. Vol 15 no.1 2017</t>
  </si>
  <si>
    <t>Journal for the Study of the Historical Jesus Vol. 15 No.1 2017</t>
  </si>
  <si>
    <t xml:space="preserve"> Jurnal</t>
  </si>
  <si>
    <t>Andrea Nicolotti, et.all</t>
  </si>
  <si>
    <t>070.482  PEN  Jurnal Pendidikan No.28 Thn. Ke 16/Juni 2017</t>
  </si>
  <si>
    <t>Jurnal Pendidikan No.28 Thn. Ke-16/ Juni 2017 - PENABUR</t>
  </si>
  <si>
    <t>Agustinus Grahito, et.all</t>
  </si>
  <si>
    <t>Badan Pendidikan Kristen BPK. Penabur</t>
  </si>
  <si>
    <t>ISSN : 0216-9894</t>
  </si>
  <si>
    <t>070.482  WAC  Wacana Biblika Vol.18 No.1, Jan-Mar'18</t>
  </si>
  <si>
    <t>Wacana Biblika Vol. 18 No.1, Januari-Maret 2018</t>
  </si>
  <si>
    <t>Valens Agino, et.all</t>
  </si>
  <si>
    <t>ISSN : 1858-0408</t>
  </si>
  <si>
    <t>070.482  PEN  Pendalaman Kitab SuciVol.32 No.1, Jan-Jun'18</t>
  </si>
  <si>
    <t>Pendalaman Kitab Suci Vol.32, No.1, Jan-Jun'18</t>
  </si>
  <si>
    <t>070.482  JOU  Journal for the Study of the New Testament. Vol 40.3  March 2018</t>
  </si>
  <si>
    <t>Journal for the study of The New Testament Vol. 40.3 March 2018</t>
  </si>
  <si>
    <t>070.482  JOU  Journal for the Study of the New Testament. Vol 42.4  June 2020</t>
  </si>
  <si>
    <t>Journal for the Study of the New Testament. Vol 42.4  June 2020</t>
  </si>
  <si>
    <t>ISSN 2051-6770</t>
  </si>
  <si>
    <t>The Bible Translator Vol.71 Issue 1 April 2020</t>
  </si>
  <si>
    <t>The Bible Translator Vol.71 Issue 2 August 2020</t>
  </si>
  <si>
    <t>The Bible Translator Vol.71 Issue 3 December 2020</t>
  </si>
  <si>
    <t>The Bible Translator Vol.72 Issue 1 April 2021</t>
  </si>
  <si>
    <t>The Bible Translator Vol.72 Issue 2 August 2021</t>
  </si>
  <si>
    <t>ISSN 2051-6771</t>
  </si>
  <si>
    <t>The Bible Translator Vol.72 Issue 3 December 2021</t>
  </si>
  <si>
    <t>ISSN 2051-6772</t>
  </si>
  <si>
    <t>The Bible Translator Vol.73 Issue 3 December 2022</t>
  </si>
  <si>
    <t>ISSN 2051-6773</t>
  </si>
  <si>
    <t>The Bible Translator Vol.73 Issue 2 August 2022</t>
  </si>
  <si>
    <t>Dr. Marijke H. de Lang</t>
  </si>
  <si>
    <t>SAGE</t>
  </si>
  <si>
    <t>ISSN 0309-0892</t>
  </si>
  <si>
    <t>070.482 SHE j</t>
  </si>
  <si>
    <t>Journal for the Study of the Old Testament Volume 44.3 March 2020</t>
  </si>
  <si>
    <t>David Shepherd</t>
  </si>
  <si>
    <t>Journal for the Study of the Old Testament Volume 44.4 Juni 2020</t>
  </si>
  <si>
    <t>Journal for the Study of the Old Testament Volume 44.5 Juni 2020</t>
  </si>
  <si>
    <t>Journal for the Study of the Old Testament Volume 45.1 September 2020</t>
  </si>
  <si>
    <t>Journal for the Study of the Old Testament Volume 45.2 December 2020</t>
  </si>
  <si>
    <t>ISSN 0142-064X</t>
  </si>
  <si>
    <t>Journal for the Study of the New Testament Volume 42.3 March 2020</t>
  </si>
  <si>
    <t>Louise Lawrence</t>
  </si>
  <si>
    <t>Journal for the Study of the New Testament Volume 42.4 June 2020</t>
  </si>
  <si>
    <t>Journal for the Study of the New Testament Volume 43.1 September 2020</t>
  </si>
  <si>
    <t>Journal for the Study of the New Testament Volume 43.2 December 2020</t>
  </si>
  <si>
    <t>ISSN 1476-993X</t>
  </si>
  <si>
    <t>070.482 BAU c</t>
  </si>
  <si>
    <t>Currents in Biblical Research Volume 18.2, February 2020</t>
  </si>
  <si>
    <t>Albert Baumgarten Dkk</t>
  </si>
  <si>
    <t>Currents in Biblical Research Volume 18.3, Juni 2020</t>
  </si>
  <si>
    <t>Currents in Biblical Research Volume 19.1, October 2020</t>
  </si>
  <si>
    <t>Currents in Biblical Research Volume 19.2, February 2021</t>
  </si>
  <si>
    <t>Currents in Biblical Research Volume 20.1, October 2021</t>
  </si>
  <si>
    <t>Currents in Biblical Research Volume 20.3, June 2022</t>
  </si>
  <si>
    <t>Currents in Biblical Research Volume 20.2, February 2022</t>
  </si>
  <si>
    <t>Currents in Biblical Research Volume 21.1, October 2022</t>
  </si>
  <si>
    <t>ISSN 1858-4683</t>
  </si>
  <si>
    <t>070.482 SIB s</t>
  </si>
  <si>
    <t>Stulos Jurnal  Teologi Vol 19. Nomor 1 Januari 2021</t>
  </si>
  <si>
    <t>Tagordo P. Siburian, D. Th. Dkk</t>
  </si>
  <si>
    <t>STULOS</t>
  </si>
  <si>
    <t>ISSN 1858-4684</t>
  </si>
  <si>
    <t>Stulos Jurnal  Teologi Vol 19. Nomor 2 Januari 2022</t>
  </si>
  <si>
    <t>ISSN 1412-5943</t>
  </si>
  <si>
    <t>070.482 GUN l</t>
  </si>
  <si>
    <t>Logos Jurnal Filsafat Teologi Vol.16 No.2, Juni 2019</t>
  </si>
  <si>
    <t>Leo Agung Srie Gunawan</t>
  </si>
  <si>
    <t>Logos Jurnal Filsafat Teologi Vol.18 No.1, Januari 2021</t>
  </si>
  <si>
    <t>741.652 GOL n</t>
  </si>
  <si>
    <t>National Geographic Indonesia - Mei 2021 " Segara untuk Kehidupan Semesta "</t>
  </si>
  <si>
    <t>Susan Goldberg Dkk</t>
  </si>
  <si>
    <t>National Geographic Indonesia - Juni 2021 "Perayaan menuju Keabadian"</t>
  </si>
  <si>
    <t>National Geographic Indonesia - Juli 2021 "Terlalu panas untuk dihuni"</t>
  </si>
  <si>
    <t>National Geographic Indonesia - Agustus 2021 "Gagasan Daulat Pangan"</t>
  </si>
  <si>
    <t>National Geographic Indonesia - September 2021 "Kekalutan Afganistan"</t>
  </si>
  <si>
    <t>National Geographic Indonesia - Oktober 2021 "Revolusi telah Tiba"</t>
  </si>
  <si>
    <t>National Geographic Indonesia - November 2021 "Permata Air Hitam"</t>
  </si>
  <si>
    <t>National Geographic Indonesia - Desember 2021 "Pusparagam Lore Lindu"</t>
  </si>
  <si>
    <t>National Geographic Indonesia - Januari 2022 "2021 - Imaji Perjalanan Setahun"</t>
  </si>
  <si>
    <t>National Geographic Indonesia - Februari 2022 "Notre Dame - Membangun kembali sang Perlambang"</t>
  </si>
  <si>
    <t>National Geographic Indonesia - Maret 2022 "Misi Pencarian Musik Nusantara"</t>
  </si>
  <si>
    <t>National Geographic Indonesia - April 2022 "Menjelajahi Pulau-Pulau di Langit"</t>
  </si>
  <si>
    <t>National Geographic Indonesia - Mei 2022 "Menyelamatkan Hutan"</t>
  </si>
  <si>
    <t>National Geographic Indonesia - Juni 2022 "Kekuatan Sentuhan"</t>
  </si>
  <si>
    <t>National Geographic Indonesia - Juli 2022 "Kelelap Cepat"</t>
  </si>
  <si>
    <t>National Geographic Indonesia - Agustus 2022 "Menguak Stonehenge"</t>
  </si>
  <si>
    <t>National Geographic Indonesia - September 2022 "Mahluk Ajaib di Tanah"</t>
  </si>
  <si>
    <t>National Geographic Indonesia - Oktober 2022 "Di Dalam Benak Satwa"</t>
  </si>
  <si>
    <t>National Geographic Indonesia - November 2022 "Harta Karun Tut"</t>
  </si>
  <si>
    <t>National Geographic Indonesia - Desember 2022 "Imaji Tahun Ini"</t>
  </si>
  <si>
    <t>Pendalaman Kitab Suci Vol.36, No.2. Juli-Desember 2021</t>
  </si>
  <si>
    <t>Prof. Dr. Martin Harun, OFM</t>
  </si>
  <si>
    <t>Pendalaman Kitab Suci Vol.36, No.2. Januari-Juni 2022</t>
  </si>
  <si>
    <t>Pendalaman Kitab Suci Vol.37, No.2. Juli-Desember 2022</t>
  </si>
  <si>
    <t>ISSN : 1858-0409</t>
  </si>
  <si>
    <t>Pendalaman Kitab Suci Vol.38, No.1. Januari - Juni 2023</t>
  </si>
  <si>
    <t>Wacana Biblika Vol.21 No.3. Juli-September 2021</t>
  </si>
  <si>
    <t>Wacana</t>
  </si>
  <si>
    <t>RD. Yohanes Subagyo</t>
  </si>
  <si>
    <t>Wacana Biblika Vol.21 No.4. Oktober-Desember 2021</t>
  </si>
  <si>
    <t>Wacana Biblika Vol.22 No.1. Januari-Maret 2022</t>
  </si>
  <si>
    <t>Wacana Biblika Vol.22 No.3. Juli-September 2022</t>
  </si>
  <si>
    <t>ISSN 0853-0917</t>
  </si>
  <si>
    <t>070.482  WAS</t>
  </si>
  <si>
    <t>Wasiat - Renungan Keluarga Vol.49 No.9-10</t>
  </si>
  <si>
    <t>Pdt. Arliyanus Larosa Dkk</t>
  </si>
  <si>
    <t>Devisi Marketing graha Arteri Mas</t>
  </si>
  <si>
    <t>Wasiat - Renungan Keluarga Vol.54 No.11-12</t>
  </si>
  <si>
    <t>Wasiat - Renungan Keluarga Vol.55 No.1-2</t>
  </si>
  <si>
    <t>070.482 WAS</t>
  </si>
  <si>
    <t>Wasiat - Renungan Keluarga Vol.55 No. 3-4</t>
  </si>
  <si>
    <t>Wasiat - Renungan Keluarga Vol.55 No. 7-8</t>
  </si>
  <si>
    <t>ISSN 0853-0918</t>
  </si>
  <si>
    <t>Wasiat - Renungan Keluarga Vol.55 No. 10-11</t>
  </si>
  <si>
    <t>Wasiat - Renungan Keluarga Vol.55 No. 11-12</t>
  </si>
  <si>
    <t>Stulos Jurnal  Teologi Vol 20. Nomor 2 Juli-Desember 2022</t>
  </si>
  <si>
    <t>0020-9643</t>
  </si>
  <si>
    <t>205 KIN b</t>
  </si>
  <si>
    <t>Interpretation: Biblical Authority and Human Sexuality</t>
  </si>
  <si>
    <t>Union Theological Seminary in Virginia</t>
  </si>
  <si>
    <t>205 BRO e</t>
  </si>
  <si>
    <t>Interpretation: Essays on Bible and Theology</t>
  </si>
  <si>
    <t>205 KIN t</t>
  </si>
  <si>
    <t>Interpretation: Theology and Ecology</t>
  </si>
  <si>
    <t>205 BRO a</t>
  </si>
  <si>
    <t>Interpretation: Atonement and the Church</t>
  </si>
  <si>
    <t>205 KIN e</t>
  </si>
  <si>
    <t>Interpretation: Eucharist</t>
  </si>
  <si>
    <t>Interpretation: Atonement and Scripture</t>
  </si>
  <si>
    <t>205 KIN a</t>
  </si>
  <si>
    <t>Interpretation: 50th Anniversary Issue</t>
  </si>
  <si>
    <t>Interpretation: Apocalypse 2000</t>
  </si>
  <si>
    <t>205 KIN s</t>
  </si>
  <si>
    <t>Interpretation: Salvation and Healing</t>
  </si>
  <si>
    <t>Interpretation: The Reign of God</t>
  </si>
  <si>
    <t>205 BRO t</t>
  </si>
  <si>
    <t>Interpretation: The Family</t>
  </si>
  <si>
    <t>Interpretation: The Church at the Center</t>
  </si>
  <si>
    <t>205 KIN j</t>
  </si>
  <si>
    <t>Interpretation: The Gospel of John</t>
  </si>
  <si>
    <t>205 BRO h</t>
  </si>
  <si>
    <t>Interpretation: Holiness and Purity</t>
  </si>
  <si>
    <t>205 KIN l</t>
  </si>
  <si>
    <t>Interpretation: The Gospel of Luke</t>
  </si>
  <si>
    <t>205 KIN h</t>
  </si>
  <si>
    <t>Interpretation: The Historical Jesus</t>
  </si>
  <si>
    <t>205 BRO l</t>
  </si>
  <si>
    <t>Interpretation: Living with Scripture</t>
  </si>
  <si>
    <t>205 BRO p</t>
  </si>
  <si>
    <t>Interpretation: Preaching into the 21st century</t>
  </si>
  <si>
    <t>205 KIN m</t>
  </si>
  <si>
    <t>Interpretation: The Gospel of Mark</t>
  </si>
  <si>
    <t>Interpretation: The Resurgence of Systematic Theology</t>
  </si>
  <si>
    <t>205 BRO j</t>
  </si>
  <si>
    <t>Interpretation: The Book of Job</t>
  </si>
  <si>
    <t>Interpretation: The Book of Exodus</t>
  </si>
  <si>
    <t>205 BRO s</t>
  </si>
  <si>
    <t>Interpretation: Second Corinthians</t>
  </si>
  <si>
    <t>205 BRO n</t>
  </si>
  <si>
    <t>Interpretation: The Book of Numbers</t>
  </si>
  <si>
    <t>Interpretation: Baptism</t>
  </si>
  <si>
    <t>Interpretation: The Trinity</t>
  </si>
  <si>
    <t>205 KIN p</t>
  </si>
  <si>
    <t>Interpretation: Proclamation and the Life of the Church</t>
  </si>
  <si>
    <t>205 ACH e</t>
  </si>
  <si>
    <t>Paul J. Achtemeier</t>
  </si>
  <si>
    <t>Interpretation: The Book of Psalms</t>
  </si>
  <si>
    <t>Interpretation: The Church in Transition</t>
  </si>
  <si>
    <t>Interpretation: The Gospel of Matthew</t>
  </si>
  <si>
    <t>Interpretation: Essays in Honor of Paul J. Achtemeier</t>
  </si>
  <si>
    <t>Interpretation: The Book of Genesis</t>
  </si>
  <si>
    <t>Interpretation: The Resurrection</t>
  </si>
  <si>
    <t>205 ACH t</t>
  </si>
  <si>
    <t>Interpretation: The Figure of Moses</t>
  </si>
  <si>
    <t>205 ACH w</t>
  </si>
  <si>
    <t>Interpretation: Wealth and Poverty in Biblical Perspective</t>
  </si>
  <si>
    <t>Interpretation: The Bible, Theology, and Feminist Approaches</t>
  </si>
  <si>
    <t>Interpretation: The Book of Acts</t>
  </si>
  <si>
    <t>Interpretation: The Figure of Abraham</t>
  </si>
  <si>
    <t>205 ACH n</t>
  </si>
  <si>
    <t>Interpretation: New Vistas on Scriptural Issues</t>
  </si>
  <si>
    <t>205 ACH f</t>
  </si>
  <si>
    <t>Interpretation: First Corinthians</t>
  </si>
  <si>
    <t>205 ACH p</t>
  </si>
  <si>
    <t>Interpretation: Paul the Apostle</t>
  </si>
  <si>
    <t>MAJALAH/TABLOID - NON LAI</t>
  </si>
  <si>
    <t>Wacana Biblika Vol. 15 No.2 April - Juni 2015</t>
  </si>
  <si>
    <t>Subagyo, RD. Yohanes et al</t>
  </si>
  <si>
    <t>Wacana BiblikaVol. 15 No. 4 Oktober - Desember 2015</t>
  </si>
  <si>
    <t>Majalah Rohani Populer  Bahana (Juli 2011 Vol. 243)</t>
  </si>
  <si>
    <t>Majalah Rohani Populer Bahana (Maret 2011 Vol. 239)</t>
  </si>
  <si>
    <t>Majalah Rohani Populer Bahana (September 2011 Vol. 245)</t>
  </si>
  <si>
    <t>Majalah Rohani Populer Bahana (April 2011 Vol. 240)</t>
  </si>
  <si>
    <t>Majalah Rohani Populer Bahana (Oktober 2011 Vol. 246)</t>
  </si>
  <si>
    <t>Majalah Rohani Populer Bahana  (November 2011 Vol. 247)</t>
  </si>
  <si>
    <t>Majalah Rohani Populer Bahana (Februari 2011 Vol. 238)</t>
  </si>
  <si>
    <t>Majalah Rohani Populer Bahana (Januari 2011 Vol. 237)</t>
  </si>
  <si>
    <t>Majalah Rohani Populer Bahana  2010 Vol. 233)</t>
  </si>
  <si>
    <t>Majalah Rohani Populer Bahana (Agustus 2012 Vol. 256)</t>
  </si>
  <si>
    <t>Majalah Rohani Populer Bahana (January 2012 Vol. 249)</t>
  </si>
  <si>
    <t>Majalah Rohani Populer Bahana (Agustus 2010 Vol. 232)</t>
  </si>
  <si>
    <t>Majalah Rohani Populer Bahana (September 2012 Vol. 257)</t>
  </si>
  <si>
    <t>Majalah Rohani PopulerBahana  (Maret 2013 Vol. 263)</t>
  </si>
  <si>
    <t>Inspirasi : Mewujud Nyatakan Kasih Allah Vol. 38/ Th. IV/2012</t>
  </si>
  <si>
    <t>Majalah Rohani Populer Bahana (Juni 2013 Vol. 266)</t>
  </si>
  <si>
    <t>Majalah Rohani Populer Bahana (Mei 2013 Vol. 265)</t>
  </si>
  <si>
    <t>Majalah Rohani Populer Bahana (April 2013 Vol. 264)</t>
  </si>
  <si>
    <t>Majalah Rohani Populer Bahana ( Desember 2012 Vol. 260)</t>
  </si>
  <si>
    <t>Majalah Rohani Populer Bahana (Oktober 2012 Vol. 258)</t>
  </si>
  <si>
    <t>Majalah Rohani Populer Bahana  2012 Vol. 251)</t>
  </si>
  <si>
    <t>Majalah Rohani Populer Bahana (November 2012 Vol. 259)</t>
  </si>
  <si>
    <t>Majalah Rohani Populer Bahana (April 2012 Vol. 252)</t>
  </si>
  <si>
    <t>070.482   INS</t>
  </si>
  <si>
    <t>Inspirasi (Vol. 48/Th.V/2013)</t>
  </si>
  <si>
    <t>Majalah Rohani Populer Bahana  (Juli 2012 Vol. 255)</t>
  </si>
  <si>
    <t>Majalah Rohani Populer- Bahana (Maret  2016 Vol. 299)</t>
  </si>
  <si>
    <t>Majalah Rohani Populer- Bahana (Pebruari   2016Vol. 298)</t>
  </si>
  <si>
    <t>Majalah Rohani Populer- Bahana (Januari  2016 Vol. 297)</t>
  </si>
  <si>
    <t>Majalah Rohani Populer- Bahana (Desember  2015 Vol. 296)</t>
  </si>
  <si>
    <t>Majalah Rohani Populer- Bahana (Nopember  2015 Vol. 295)</t>
  </si>
  <si>
    <t>Majalah Rohani Populer- Bahana (Oktober  2015 Vol. 294)</t>
  </si>
  <si>
    <t>Majalah Rohani Populer- Bahana (September 2015 Vol. 293)</t>
  </si>
  <si>
    <t>Majalah Rohani Populer- Bahana (Agustus 2015 Vol. 292)</t>
  </si>
  <si>
    <t>Majalah Rohani Populer- Bahana (Juli 2015 Vol. 2921 )</t>
  </si>
  <si>
    <t>Majalah Rohani Populer- Bahana (Juni 2015 Vol. 290 )</t>
  </si>
  <si>
    <t>Majalah Rohani Populer- Bahana (Mei 2015 Vol. 289 )</t>
  </si>
  <si>
    <t>Majalah Rohani Populer- Bahana (April 2015 Vol. 288 )</t>
  </si>
  <si>
    <t>Majalah Rohani Populer- Bahana (Maret 2015 Vol. 287 )</t>
  </si>
  <si>
    <t>Majalah Rohani Populer- Bahana (Januari 2016 Vol. 297 )</t>
  </si>
  <si>
    <t>Majalah Rohani Populer- Bahana (Pebruari 2016 Vol. 298 )</t>
  </si>
  <si>
    <t>Majalah Rohani Populer- Bahana (Maret 2016 Vol. 299 )</t>
  </si>
  <si>
    <t>Majalah Rohani Populer- Bahana (April 2016 Vol.300 )</t>
  </si>
  <si>
    <t>Majalah Rohani Populer- Bahana (Mei 2016 Vol.301 )</t>
  </si>
  <si>
    <t>Majalah Rohani Populer- Bahana (Juni 2016 Vol.302 )</t>
  </si>
  <si>
    <t>Majalah Rohani Populer- Bahana (Juli- 2016 Vol.303 )</t>
  </si>
  <si>
    <t>Majalah Rohani Populer- Bahana (Agustusi 2016 Vol.304 )</t>
  </si>
  <si>
    <t>Majalah Rohani Populer- Bahana (September 2016 Vol.305 )</t>
  </si>
  <si>
    <t>Majalah Rohani Populer- Bahana (Oktober2016 Vol.306 )</t>
  </si>
  <si>
    <t>Majalah Rohani Populer- Bahana (Januari 2017 Vol.307</t>
  </si>
  <si>
    <t>Majalah Rohani Populer- Bahana (Pebruari 2017 Vol.308 )</t>
  </si>
  <si>
    <t>Majalah Rohani Populer- Bahana (Maret 2017 Vol.310 )</t>
  </si>
  <si>
    <t>Majalah Rohani Populer- Bahana (April 2017 Vol.312 )</t>
  </si>
  <si>
    <t>Majalah Rohani Populer- Bahana (Mei 2017 Vol.313 )</t>
  </si>
  <si>
    <t>Majalah Rohani Populer- Bahana (Juni 2017 Vol.314)</t>
  </si>
  <si>
    <t>Majalah Rohani Populer- Bahana (Juli 2017 Vol.315 )</t>
  </si>
  <si>
    <t>Majalah Rohani Populer- Bahana (Agustus 2017 Vol.316 )</t>
  </si>
  <si>
    <t>Majalah Rohani Populer- Bahana (September 2017 Vol.317 )</t>
  </si>
  <si>
    <t>Majalah Rohani Populer- Bahana (Oktober 2017 Vol.318 )</t>
  </si>
  <si>
    <t>Majalah Rohani Populer- Bahana (Nopember 2017 Vol.319 )</t>
  </si>
  <si>
    <t>Majalah Rohani Populer- Bahana (Desember  2017 Vol.320 )</t>
  </si>
  <si>
    <t>Majalah Rohani Populer - Inspirasi  Vol. 86/th. VIii/ 2016</t>
  </si>
  <si>
    <t>Majalah Rohani Populer - Inspirasi  Vol. 85/th. VIii/ 2016</t>
  </si>
  <si>
    <t>Majalah Rohani Populer - Inspirasi  Vol.84/th. VIii/ 2016</t>
  </si>
  <si>
    <t>Majalah Rohani Populer - Inspirasi  Vol. 83/th. VIii/ 2016</t>
  </si>
  <si>
    <t>Majalah Rohani Populer - Inspirasi  Vol. 82/th. VIii/ 2016</t>
  </si>
  <si>
    <t>Majalah Rohani Populer - Inspirasi  Vol. 81/th. VIii/ 2016</t>
  </si>
  <si>
    <t>Majalah Rohani Populer - Inspirasi  Vol. 80/th. VIii/ 2016</t>
  </si>
  <si>
    <t>Majalah Rohani Populer - Inspirasi  Vol. 78/th. VIii/ 2016</t>
  </si>
  <si>
    <t>Majalah Rohani Populer - Inspirasi  Vol. 77/th. VIi/ 2016</t>
  </si>
  <si>
    <t>Majalah Rohani Populer - Inspirasi  Vol. 76/th. VI/ 2016</t>
  </si>
  <si>
    <t>Majalah Rohani Populer - Inspirasi  Vol. 75/th. VI/ 2016</t>
  </si>
  <si>
    <t>Majalah Rohani Populer - Inspirasi  Vol. 74/th. VI/ 2016</t>
  </si>
  <si>
    <t>Majalah Rohani Populer - Inspirasi  Vol. 73/th. VI/ 2016</t>
  </si>
  <si>
    <t>Majalah Rohani Populer - Inspirasi  Vol. 72/th. VI/ 2016</t>
  </si>
  <si>
    <t>Majalah Rohani Populer - Inspirasi  Vol. 71/th. VI/ 2016</t>
  </si>
  <si>
    <t>Majalah Rohani Populer - Inspirasi  Vol. 70/th. VI/ 2015</t>
  </si>
  <si>
    <t>Majalah Rohani Populer - Inspirasi  Vol. 69/th. VI/ 2015</t>
  </si>
  <si>
    <t>Majalah Rohani Populer - Inspirasi  Vol. 68/th. VI/ 2015</t>
  </si>
  <si>
    <t>Majalah Rohani Populer - Inspirasi  Vol. 67/th. VI/ 2015</t>
  </si>
  <si>
    <t>Majalah Rohani Populer - Inspirasi  Vol. 66/th. VI/ 2015</t>
  </si>
  <si>
    <t>Majalah Rohani Populer - Inspirasi  Vol. 65/th. VI/ 2015</t>
  </si>
  <si>
    <t>Majalah Rohani Populer - Inspirasi  Vol. 64/th. VI/ 2015</t>
  </si>
  <si>
    <t>Majalah Rohani Populer - Inspirasi  Vol. 63/th. VI/ 2015</t>
  </si>
  <si>
    <t>Majalah Rohani Populer - Inspirasi  Vol. 62/th. VI/ 2015</t>
  </si>
  <si>
    <t>Majalah Rohani Populer - Inspirasi  Vol. 61/th. VI/ 2015</t>
  </si>
  <si>
    <t>Inspirasi Vol. 36 /Th.IV/2012</t>
  </si>
  <si>
    <t>Inspirasi Vol. 42/Th.IV/2013</t>
  </si>
  <si>
    <t>Inspirasi Vol. 33/Th. III/2012</t>
  </si>
  <si>
    <t>Inspirasi Vol. 39/Th. IV/2013</t>
  </si>
  <si>
    <t>Inspirasi Vol. 21?Th.II/Juni 2011</t>
  </si>
  <si>
    <t>Inspirasi Vol. 37?Th.IV/2012</t>
  </si>
  <si>
    <t xml:space="preserve">Inspirasi Vol. 34/Th.IV/2012 </t>
  </si>
  <si>
    <t>Inspirasi Vol.28/Th.III/2012</t>
  </si>
  <si>
    <t>Inspirasi No. 4/Th. I November 2009</t>
  </si>
  <si>
    <t xml:space="preserve">Inspirasi Vol. 67/Th.VII /2015 </t>
  </si>
  <si>
    <t xml:space="preserve">Inspirasi Vol. 68/Th.VII /2015 </t>
  </si>
  <si>
    <t>070.482  HID</t>
  </si>
  <si>
    <t>Majalah Mingguan Katolik - HIDUP No.31 Tahun ke 69 02 Agustus 2015</t>
  </si>
  <si>
    <t>Yayasan Hidup</t>
  </si>
  <si>
    <t>Majalah Mingguan Katolik - HIDUP No.30Tahun ke 69 - 26 Juli 2015</t>
  </si>
  <si>
    <t>Majalah Mingguan Katolik - HIDUP No.29 Tahun ke 69 - 19 Juli 2015</t>
  </si>
  <si>
    <t>Majalah Mingguan Katolik - HIDUP No.28 Tahun ke 69 - 12 Juli 2015</t>
  </si>
  <si>
    <t>Majalah Mingguan Katolik - HIDUP No.27 Tahun ke 69 - 05 Juli 2015</t>
  </si>
  <si>
    <t>Majalah Mingguan Katolik - HIDUP No.25 Tahun ke 69 - 21 Juni 2015</t>
  </si>
  <si>
    <t>Majalah Mingguan Katolik - HIDUP No.24 Tahun ke 69 - 14 Juni 2015</t>
  </si>
  <si>
    <t>Majalah Mingguan Katolik - HIDUP No.23 Tahun ke 69 - 07 Juni 2015</t>
  </si>
  <si>
    <t>Majalah Mingguan Katolik - HIDUP No.22 Tahun ke 69 - 31 Mei 2015</t>
  </si>
  <si>
    <t>Majalah Mingguan Katolik - HIDUP No.21 Tahun ke 69 - 24 Mei 2015</t>
  </si>
  <si>
    <t>Majalah Mingguan Katolik - HIDUP No.20 Tahun ke 69 - 17 Mei  2015</t>
  </si>
  <si>
    <t>Majalah Mingguan Katolik - HIDUP No.19 Tahun ke 69 -10 Mei 2015</t>
  </si>
  <si>
    <t>Majalah Mingguan Katolik - HIDUP No.10 Tahun ke 69 - 08 Maret  2015</t>
  </si>
  <si>
    <t>070.482  BES</t>
  </si>
  <si>
    <t>Best KID'S - Indonesia Sehat ….yuk ..Makan Buah</t>
  </si>
  <si>
    <t>Anak2</t>
  </si>
  <si>
    <t xml:space="preserve">     220.93     BIB</t>
  </si>
  <si>
    <t>Biblical Archaeology March / April 2016 Vol. 42 No. 2</t>
  </si>
  <si>
    <t xml:space="preserve"> Biblical Archaeology Society</t>
  </si>
  <si>
    <t>Biblical Archaeology Review:  Digs 2016</t>
  </si>
  <si>
    <t xml:space="preserve">Biblical Archaeology Review: May / June 2016 Vol. 42 No.3 </t>
  </si>
  <si>
    <t>Biblical Archaelogy Review Juli /Agustus 2015               Volume 41 No. 4</t>
  </si>
  <si>
    <t>Mumcuoglu and Garfinkel Yosef , at all</t>
  </si>
  <si>
    <t xml:space="preserve">Biblical Archaelogy Review - Celebrating 40 Years of BAR          </t>
  </si>
  <si>
    <t>Shanks Hershel, at all</t>
  </si>
  <si>
    <t>Biblical Archaelogy Review Januari /Pebruari 2015               Volume 41 No. 1</t>
  </si>
  <si>
    <t>Sauter Megan , at all</t>
  </si>
  <si>
    <t>Biblical Archaelogy Review :Was King Saul Impaled on the Wall of Beth Shean?                  ( Volume 38 No. 2. March/April 2012)</t>
  </si>
  <si>
    <t>Biblical Archaelog Review : Dig the Adventure (January/February 2012. Vol. 38 No. 1)</t>
  </si>
  <si>
    <t>Biblical Archaelog Review :  Christ as Orpheus? (March/April 2009. Vol. 35 No.2)</t>
  </si>
  <si>
    <t>National Geographic: 6,7 Billion Reasons to Bring The World Closer Together</t>
  </si>
  <si>
    <t>Onward Publishing, Inc.</t>
  </si>
  <si>
    <t>Biblical Archaelog Review : Food for Vultures (November/ December 2011. Vol. 37 No.6)</t>
  </si>
  <si>
    <t xml:space="preserve"> Biblical Archaeology Review: 200 Th Issue (July/August/ September/October 2009 Vol. 35 No. 4/5)</t>
  </si>
  <si>
    <t xml:space="preserve"> Biblical Archaeology Review -  November / December 2015 Vol. 41 No. 6</t>
  </si>
  <si>
    <t xml:space="preserve"> Biblical Archaeology Review: Secrets from the Dead Sea Scroll Caves (September/October 2011. Vol. 37 No. 5)</t>
  </si>
  <si>
    <t xml:space="preserve"> Biblical Archaeology Review: Smashed Ivories from Nimrud wells (July/ August 2011. Vol. 37 No. 4)</t>
  </si>
  <si>
    <t>126</t>
  </si>
  <si>
    <t>Biblical Archaeology Review: Zahi Hawass Interview EGYPT'S INFAMOUS Antiquities Chief (May/ June 2011. Vol. 37 No. 3)</t>
  </si>
  <si>
    <t>127</t>
  </si>
  <si>
    <t xml:space="preserve">Biblical Archaeology Review: Solomo's Temple Alike and Different (March/April 2011. Vol. 37 No. 2) </t>
  </si>
  <si>
    <t>128</t>
  </si>
  <si>
    <t>Biblical Archaeology Review: DIG IN ! And Uncover History (January/February 2011. Vol. 37 No. 1)</t>
  </si>
  <si>
    <t>129</t>
  </si>
  <si>
    <t>Biblical Archaeology Review: Live the Dig Life in 2010 (January/ February 2010. Vol. 36 No. 1)</t>
  </si>
  <si>
    <t>130</t>
  </si>
  <si>
    <t xml:space="preserve">Biblical Archaeology Review: Join a Dig (january/ February 2009. Vol. 35 No. 1) </t>
  </si>
  <si>
    <t>131</t>
  </si>
  <si>
    <t>Biblical Archaeology Review:  Digs 2016 Vol. 42. No.1 January / Februari</t>
  </si>
  <si>
    <t>132</t>
  </si>
  <si>
    <t>Biblical Archaeology Review:  March/April 2016 Vol. 42. No.2 March / April</t>
  </si>
  <si>
    <t>133</t>
  </si>
  <si>
    <t>Biblical Archaeology Review:  Januari/Pebruari 2017 Vol. 43. No.1  / Januari /Pebruari 2017</t>
  </si>
  <si>
    <t>National</t>
  </si>
  <si>
    <t xml:space="preserve">Businew News (Bulan Mei 2005/No. 7204/Tahun- XLIX) </t>
  </si>
  <si>
    <t xml:space="preserve">Businew News (Bulan September  2005/No. 7256/Tahun- XLIX) </t>
  </si>
  <si>
    <t xml:space="preserve">Businew News (Bulan Maret  2005/No. 7191/Tahun- XLIX) </t>
  </si>
  <si>
    <t xml:space="preserve">Businew News (Bulan April 2005/No. 7192/Tahun- XLIX) </t>
  </si>
  <si>
    <t xml:space="preserve">Businew News (Bulan Oktober 2005/No. 7268/Tahun- XLIX) </t>
  </si>
  <si>
    <t xml:space="preserve">Businew News (Bulan Desember 2005/No. 7293/Tahun- XLIX) </t>
  </si>
  <si>
    <t xml:space="preserve">Businew News (Bulan Agustus 2005/No. 7243/Tahun- XLIX) </t>
  </si>
  <si>
    <t xml:space="preserve">Businew News (Bulan Juli 2005/No. 7230/Tahun- XLIX) </t>
  </si>
  <si>
    <t xml:space="preserve">Businew News (Bulan Juni 2005/No. 7217/Tahun- XLIX) </t>
  </si>
  <si>
    <t xml:space="preserve">Businew News (Bulan Oktober 2005/No. 7280/Tahun- XLIX) </t>
  </si>
  <si>
    <t xml:space="preserve">Businew News (Bulan Janu7ari 2005/No. 7158/Tahun- XLIX) </t>
  </si>
  <si>
    <t>Biblical Archaeology Reviuw Dig 2008 Volunteer Opportunities</t>
  </si>
  <si>
    <t>Bahana Majalah Rohani Populer April 2008 Vol. 204. New Age Movement Memburu Pencerahan Menuai Kehampaan</t>
  </si>
  <si>
    <t>Dilengakapi Dengan Gambar Dan Kesaksian Pribadi lepas Pribadi</t>
  </si>
  <si>
    <t>Manati Imanuel Zega</t>
  </si>
  <si>
    <t>Bahana Majalah Rohani Populer Juni 2008 Vol. 206. Terobosan Finansial Padukan Spiritualitas, Relasi Dan Kapatitas</t>
  </si>
  <si>
    <t>Dilengkapi Dengan Gambar Dan Kesaksian Pribadi lepas Pribadi</t>
  </si>
  <si>
    <t>Otniel Sintoro</t>
  </si>
  <si>
    <t>Bahana Majalah Rohani Populer. Juli 2008 Vol. 207. Brlliant Mind Maksimalkan Daya Pikir &amp; Otak Anda</t>
  </si>
  <si>
    <t>Hariyono</t>
  </si>
  <si>
    <t>Bahana Majalah Rohani Populer. Agustus 2008 Vol. 208. Ayah hebat Keluarga Kuat Pulihkan Taman Eden Dalam Keluarga.</t>
  </si>
  <si>
    <t>Bahana Majalah Rohani Populer September 2008. Vol 209. Healthy Makes Happy Jiwa Kuat, Tubuh Sehat</t>
  </si>
  <si>
    <t xml:space="preserve">Bahana Majalah rohani Populer. Oktober 2008 Vol. 210. Ramalan Sakti Tidak Sejati Tuhan Penguasa Masa Depan </t>
  </si>
  <si>
    <t>Dilengkapi Dengan  Gambar Dan Kesaksian Pribadi Lepas Pribadi</t>
  </si>
  <si>
    <t>Bahana Majalah Rohani Populer Desember 2008 Vol .212. Natal Cinta Yang Berpengharapan Habis Gelap Terbitlah Terang</t>
  </si>
  <si>
    <t>Bahana Majalah Rohani Populer  Januari, Februari, Maret, April, Mei, Juni 2009 Vol. 213. Hero Lies In You Hadapi Krisis dengan Karakter Kristus</t>
  </si>
  <si>
    <t>Bahana Majalah Rohani Populer  Juli, Agustus, September, Oktober, November, Desember  2009 Vol. 213. Hero Lies In You Hadapi Krisis dengan Karakter Kristus</t>
  </si>
  <si>
    <t>Bahana Majalah Rohani Populer Februari 2012 Vol.250. Seks Pranikah Meningkah Pendidikan Seks Kurang Efektif?</t>
  </si>
  <si>
    <t>Bahana Majalah Rohani Populer  Juli 2012 Vol. 255. Finding Hope Pengharapan Ibarat Sauh</t>
  </si>
  <si>
    <t>Bahana Majalah Rohani Populer Juli 2013 Vol. 267. X-Factor Gereja Di pusaran Aniaya</t>
  </si>
  <si>
    <t>Bahana Majalah Rohani Populer  Agustus 2013 Vol. 268 Saat Kelelahan Melanda</t>
  </si>
  <si>
    <t>Bahana Majalah Rohani Populer, September 2013 Vol.269. Amarah Tak Terkendali Apa Untungnya?</t>
  </si>
  <si>
    <t>Dilengkapi Dengan Gambar Dan Kesaksian Pribadi Lepas Pribadi</t>
  </si>
  <si>
    <t>Bahana Majalah Rohani Populer Oktober 2013 Vol. 270 Menjadi Istri Bahagia</t>
  </si>
  <si>
    <t xml:space="preserve"> Bahana Majalah Rohani Populer November 2013 Vol. 271 Gereja "Autis" Menjamur</t>
  </si>
  <si>
    <t xml:space="preserve">Bahana Majalah Rohani Populer Maret 2014 Vol. 275 Pembawa Firman Idola </t>
  </si>
  <si>
    <t>Bahana Majalah rohani Populer April 2014 Vol. 276 Mengapa Orang benar Menderita</t>
  </si>
  <si>
    <t>Bahana Majalah rohani Populer April 2016 Vol. 300 " Bahaya New Age Movement "</t>
  </si>
  <si>
    <t>Bahana Majalah rohani Populer Mei 2014 Vol. 276 Mengapa Orang benar Menderita</t>
  </si>
  <si>
    <t xml:space="preserve">Bahana Majalah rohani Populer Mei 2017 Vol. 313 - Bertemu Jodoh Di Gereja </t>
  </si>
  <si>
    <t>Bahana Majalah rohani Populer Juni 2017 Vol. 314- Melompat Lebih Tinggi Dari Kelemahanmu</t>
  </si>
  <si>
    <t>Bahana Majalah rohani Populer Oktober 2017 " Ketika Waktu Keluarga Tergadai "</t>
  </si>
  <si>
    <t>Inspirasi Indonesia Vol.33/Th.IV/2012</t>
  </si>
  <si>
    <t>Inspirasi Indonesia Vol.34/Th.IV/2012</t>
  </si>
  <si>
    <t>Dilengkapi Dengan Gambar Dan Kesaksian Pribadi</t>
  </si>
  <si>
    <t>Inspirasi Indonesia Vol.41/Th.IV/2013</t>
  </si>
  <si>
    <t>Inspirasi Indonesia Vol. 43/Th.IV/2013</t>
  </si>
  <si>
    <t>Inspirasi Indonesia Vol.44/Th.IV/2013</t>
  </si>
  <si>
    <t>Inspirasi Indonesia Vol. 46/Th.V/2013</t>
  </si>
  <si>
    <t>Inspirasi Indonesia Vol. 40/Th.IV/2013</t>
  </si>
  <si>
    <t xml:space="preserve">Dilengkapi Dengan Gambar Dan Kesaksian Pribadi lepas pribadi </t>
  </si>
  <si>
    <t>Inspirasi Indonesia Vol. 47/Th.IV/2013</t>
  </si>
  <si>
    <t>Inspirasi Indonesia Vol.48/Th.IV/2013</t>
  </si>
  <si>
    <t>Dilengkapi Dengan Dan Kesaksian Pribadi Lepas Pribadi</t>
  </si>
  <si>
    <t>Inspirasi Indonesia Vol.74/Th.IV/2016</t>
  </si>
  <si>
    <t>Inspirasi Indonesia Vol.84/Th.VIII/2017</t>
  </si>
  <si>
    <t>Inspirasi Indonesia Vol.85/Th.VIII/2017</t>
  </si>
  <si>
    <t>Inspirasi Indonesia Vol.86/Th.VIII/2017</t>
  </si>
  <si>
    <t>Inspirasi Indonesia Vol.87/Th.VIII/2017</t>
  </si>
  <si>
    <t>Inspirasi Indonesia Vol.91/Th.VIII/2017</t>
  </si>
  <si>
    <t>Inspirasi Indonesia Vol.92/Th.VIII/2017</t>
  </si>
  <si>
    <t>Inspirasi Indonesia Vol.93/Th.VIII/2017</t>
  </si>
  <si>
    <t>Limaunese Your Inspiration For Life</t>
  </si>
  <si>
    <t>Prof. Yagi Toshihiko</t>
  </si>
  <si>
    <t>Limaunese Magazine</t>
  </si>
  <si>
    <t>Museografia Majalah Ilmu Permuseuman. Jilid XXV No. 2 Th. 1999/2000</t>
  </si>
  <si>
    <t>Dilengkapi Dengan Gambar Dan tabel</t>
  </si>
  <si>
    <t>Titik Suyati</t>
  </si>
  <si>
    <t>Direktorat Museum, Direktorat Jendral Sejarah Dan Purbakala Kementrian Kebudayaan Dan Pariwisata</t>
  </si>
  <si>
    <t xml:space="preserve">Museografia Majalah Ilmu Permuseuman Jilid XXV No. 1. Tahun. 2001 </t>
  </si>
  <si>
    <t xml:space="preserve">Dilengakpi dengan  Gambar Dan  Tabel </t>
  </si>
  <si>
    <t xml:space="preserve"> Endang Sriwigati</t>
  </si>
  <si>
    <t>Museografia Majalah Ilmu Permuseman. Jilid XXV No. 2 Th. 1995/1996</t>
  </si>
  <si>
    <t>Delengakpi Dengan Foto-foto</t>
  </si>
  <si>
    <t>Hamzuri</t>
  </si>
  <si>
    <t>Museografia Majalah Ilmu Permuseuman. Jilid XXV No. 1 Th.1998/1999</t>
  </si>
  <si>
    <t>Dilengkapi Dengan Foto</t>
  </si>
  <si>
    <t>Museografia Majalah Ilmu Permuseuman. Jilid XXVIII No. 1 Th. 1999/2000</t>
  </si>
  <si>
    <t>Dilengkapi Dengan Foto Dan gambar Lainnya</t>
  </si>
  <si>
    <t>Museografia majalah Ilmu Permuseuman. Jilid XXIX. No.1. Thun No. 1.Tahun.2000</t>
  </si>
  <si>
    <t>Taty Suyati HS</t>
  </si>
  <si>
    <t>Museografia Majalah Ilmu Permuseuman. Jilid XXVI No. 1 Tahun. 1997/1998</t>
  </si>
  <si>
    <t>Dilengkapi dengan Gambar dan Tabel</t>
  </si>
  <si>
    <t>Museografia Majalah Ilmu Permuseuman. Jilid XXII No. 1, Th. 1992/1993</t>
  </si>
  <si>
    <t>Dilengkapi Dengan Gambar Dan Tabel</t>
  </si>
  <si>
    <t>R. Lukman purakusumah</t>
  </si>
  <si>
    <t>Museografia Majalah Ilmu Permuseuman. Jilid XXV No. 1 Th.1996/1997</t>
  </si>
  <si>
    <t>Museografia. Vol. V, No.7-Juli 2011</t>
  </si>
  <si>
    <t>Museografia. V ol. IV, No.5-Juli 2010</t>
  </si>
  <si>
    <t>978-979-3288-64-2</t>
  </si>
  <si>
    <t xml:space="preserve">      025             SUW       p</t>
  </si>
  <si>
    <t>Psikologi Perpustakaan</t>
  </si>
  <si>
    <t>Wiji Suwarno</t>
  </si>
  <si>
    <t>Sagung Seto</t>
  </si>
  <si>
    <t>978-979-19443-2-8</t>
  </si>
  <si>
    <t xml:space="preserve">     069.07      MUS</t>
  </si>
  <si>
    <t>Museum Encounters - Java &amp; Bali</t>
  </si>
  <si>
    <t>Direktorat Museum Direktorat Jendral Sejarah dan Purbakala " Monografi Museum " Jawa &amp; Bali</t>
  </si>
  <si>
    <t xml:space="preserve">     069.047      KOL</t>
  </si>
  <si>
    <t>Koleksi Emas Museum Sonobudoyo</t>
  </si>
  <si>
    <t>Departemen Pendidikan Nasional Republik Indonesia - Dirjen Kebudayaan, Bgn. Proyek Pembinaan Permuseuman DIY Thn. 1999 - 2000</t>
  </si>
  <si>
    <t xml:space="preserve">     702.88     PEN</t>
  </si>
  <si>
    <t>Penanganan Serangga Perusak Koleksi Miniatur Rumah Adat - Museum Nasional</t>
  </si>
  <si>
    <t>Museum Nasional</t>
  </si>
  <si>
    <t>ISSN 1400-2256</t>
  </si>
  <si>
    <t xml:space="preserve">    070.482  VIS</t>
  </si>
  <si>
    <t>Visipustaka Vol. 9 No.1, April 2007             Majalah Perpustakaan</t>
  </si>
  <si>
    <t>Visipustaka Vol. 9 No.2, April 2007             Majalah Perpustakaan</t>
  </si>
  <si>
    <t>070.482  WAR</t>
  </si>
  <si>
    <t>Warta MuseumThn. XI/No.11/Tahun 2016</t>
  </si>
  <si>
    <t>Museum Nasional RI</t>
  </si>
  <si>
    <t>Biang lala. Tepis Prasangka Raih Hidup Rukun Dan Bahagia</t>
  </si>
  <si>
    <t xml:space="preserve">Supriatno, et all                          </t>
  </si>
  <si>
    <t>Majalah Bianglala</t>
  </si>
  <si>
    <t>200</t>
  </si>
  <si>
    <t>Wacana Biblika Vol. 9. No. 1, Januari-Maret 2009. Kabar Baik Menyapa si Kecil</t>
  </si>
  <si>
    <t>Buletin</t>
  </si>
  <si>
    <t>Dilengkapi dengan ayat-ayat Firman Tuhan &amp; Gambar</t>
  </si>
  <si>
    <t>V. Inra Sanjaya, PR</t>
  </si>
  <si>
    <t>201</t>
  </si>
  <si>
    <t>Wacana Biblika Vol. 10, No, I, Januari - Maret. Karisma Imamat</t>
  </si>
  <si>
    <t>Dilengkapi Dengan Aya-ayat Firman Tuhan dan Gambar</t>
  </si>
  <si>
    <t>Marti Harun, OFM</t>
  </si>
  <si>
    <t>202</t>
  </si>
  <si>
    <t>Wacana Biblika Vol 24, No.2, Maret- April 2001</t>
  </si>
  <si>
    <t>Jarot Hadianto</t>
  </si>
  <si>
    <t>203</t>
  </si>
  <si>
    <t>Wacana Biblika Vol. 10, No. 2, April-Juni 2010</t>
  </si>
  <si>
    <t>204</t>
  </si>
  <si>
    <t>wacana Biblika Vol. 10, No. 2, April-Juni 2010</t>
  </si>
  <si>
    <t>Dilengkapi dengan Ayat-ayat Firman Tuhan</t>
  </si>
  <si>
    <t>205</t>
  </si>
  <si>
    <t>Wacana Biblika Vol. 10, No.2, Oktober-Desember 2010</t>
  </si>
  <si>
    <t>Dilengkapi Dengan Ayt-Ayat Firman Tuhan</t>
  </si>
  <si>
    <t>206</t>
  </si>
  <si>
    <t>Wacana Biblika Vol. 11, No. 1, Januari-Maret 2011</t>
  </si>
  <si>
    <t>207</t>
  </si>
  <si>
    <t>Wacana Biblika. Vol.12, No.4, Oktober-Desember 2012</t>
  </si>
  <si>
    <t>208</t>
  </si>
  <si>
    <t>Wacana Biblika Vol. 12, No. 3, Juli-September 2012</t>
  </si>
  <si>
    <t>209</t>
  </si>
  <si>
    <t>Wacana Biblika Vol. 13, No 1, Januari-Maret 2013</t>
  </si>
  <si>
    <t>Dilengkapi Dengan Ayat-Ayat Firman Tuhan</t>
  </si>
  <si>
    <t>210</t>
  </si>
  <si>
    <t>Wacana Biblika Vol.13, No.2, April-Juni 2013</t>
  </si>
  <si>
    <t>Dilengkapi Dengan Gambar Ayat Firman Tuhan</t>
  </si>
  <si>
    <t>211</t>
  </si>
  <si>
    <t>Wacana Biblika Vol. 13, No 1, Oktober-Desember 20132013</t>
  </si>
  <si>
    <t>Dilengkapi Dengan Gambar Dan Ayat Firman Tuhan</t>
  </si>
  <si>
    <t>212</t>
  </si>
  <si>
    <t xml:space="preserve">     070.482      BES</t>
  </si>
  <si>
    <t>Best Kids No. 20 Tahun. IV/ Edisi Maret-April</t>
  </si>
  <si>
    <t>Dilengkapi Dengan Gambar Dan Ayat-ayat Firman</t>
  </si>
  <si>
    <t>213</t>
  </si>
  <si>
    <t>Reformata - Edisi 188 Tahun XI 1-30 Juni 2015</t>
  </si>
  <si>
    <t>Tabloid Rohani</t>
  </si>
  <si>
    <t>Redaksi Reformata</t>
  </si>
  <si>
    <t>214</t>
  </si>
  <si>
    <t>Best Kids - No. 27 Thn. V Edisi  Mei - Juni 2015</t>
  </si>
  <si>
    <t>Majalah Rohani</t>
  </si>
  <si>
    <t>Best Kids No.37 Thn. VII Edisi Januari - Februri 2017</t>
  </si>
  <si>
    <t>Best Kids No.37 Thn. VII Edisi Februari - Maret 2017</t>
  </si>
  <si>
    <t>Best Kids No.37 Thn. VII Edisi Januari - Februari 2017</t>
  </si>
  <si>
    <t>Best Kids No.38 Thn. VII Edisi Maret- April 2017</t>
  </si>
  <si>
    <t>215</t>
  </si>
  <si>
    <t xml:space="preserve">     070.482      BAS</t>
  </si>
  <si>
    <t>Basis No. 9-10 , Tahun ke -64, 2015</t>
  </si>
  <si>
    <t xml:space="preserve">Tabloid </t>
  </si>
  <si>
    <t>Yayasan BP Basisi</t>
  </si>
  <si>
    <t>216</t>
  </si>
  <si>
    <t>Basis No. 11-12 , Tahun ke -64, 2015</t>
  </si>
  <si>
    <t>Basis 13-14 , Tahun ke -65, 2015</t>
  </si>
  <si>
    <t>217</t>
  </si>
  <si>
    <t>Basis 01-02 , Tahun ke -66, 2017</t>
  </si>
  <si>
    <t>218</t>
  </si>
  <si>
    <t xml:space="preserve">     070.482      BEST</t>
  </si>
  <si>
    <t>No. 30 Tahun V Edisi Desember 2015 - Januari 2016</t>
  </si>
  <si>
    <t>BPK - Penabur</t>
  </si>
  <si>
    <t>219</t>
  </si>
  <si>
    <t xml:space="preserve">     070.482      WAR</t>
  </si>
  <si>
    <t>Warta Sumber Hidup Vol. 17 No.1 Tahun 2014</t>
  </si>
  <si>
    <t>220</t>
  </si>
  <si>
    <t>Warta Sumber Hidup  No.32 Tahun  VI / Edisi Maret - April 2016</t>
  </si>
  <si>
    <t>221</t>
  </si>
  <si>
    <t xml:space="preserve">     060      SAD</t>
  </si>
  <si>
    <t>Sadigh Gallery - March 17 2016</t>
  </si>
  <si>
    <t>Sadigh Gallery Ancient, Art</t>
  </si>
  <si>
    <t>222</t>
  </si>
  <si>
    <t>Sadigh Gallery - MAY 12, 2016</t>
  </si>
  <si>
    <t>223</t>
  </si>
  <si>
    <t xml:space="preserve">     050     BAS</t>
  </si>
  <si>
    <t>Basis  No. 01 - 02 , Tahun ke-65, 2016</t>
  </si>
  <si>
    <t>224</t>
  </si>
  <si>
    <t>Basis  No. 11 - 12 Tahun ke 65, Thn. 2016</t>
  </si>
  <si>
    <t>225</t>
  </si>
  <si>
    <t xml:space="preserve">     050     TEM</t>
  </si>
  <si>
    <t>Tempo   9 September - 15 September 2013</t>
  </si>
  <si>
    <t>PT. Tempo Inti Media</t>
  </si>
  <si>
    <t>226</t>
  </si>
  <si>
    <t>Tempo   28 Oktober - 03 Nopember  2013</t>
  </si>
  <si>
    <t>227</t>
  </si>
  <si>
    <t>Tempo 11 Nopember - 17 Nopember 2013</t>
  </si>
  <si>
    <t>228</t>
  </si>
  <si>
    <t>Tempo  18  Nopember - 24 Nopember 2013</t>
  </si>
  <si>
    <t>229</t>
  </si>
  <si>
    <t>Tempo  23 Desember - 29 Desember 2013</t>
  </si>
  <si>
    <t>230</t>
  </si>
  <si>
    <t>Tempo  30 Desember- 5 Januari 2014</t>
  </si>
  <si>
    <t>231</t>
  </si>
  <si>
    <t>Tempo  6 Januari - 12 Januari 2014</t>
  </si>
  <si>
    <t>232</t>
  </si>
  <si>
    <t>Tempo  27 Januari - 2 Pebruari 2014</t>
  </si>
  <si>
    <t>Tempo 6 April - 12 April 2015</t>
  </si>
  <si>
    <t>Tempo  20 April - 26 April 2015</t>
  </si>
  <si>
    <t>Tempo 11 Mei - 17 Mei 2015</t>
  </si>
  <si>
    <t>Tempo  23 Nopember- 29 Nopember 2015</t>
  </si>
  <si>
    <t>Tempo 21 Desember -27 Desember 2015</t>
  </si>
  <si>
    <t>0853-0917</t>
  </si>
  <si>
    <t>Wasiat - Renungan Keluarga Vol.54 No.3-4</t>
  </si>
  <si>
    <t>0027-9358</t>
  </si>
  <si>
    <t>741.652 NAT</t>
  </si>
  <si>
    <t>National Geographic January 2017: Gender Revolution</t>
  </si>
  <si>
    <t>National Geographic</t>
  </si>
  <si>
    <t>National Geographic Indonesia Januari 2017: Ekspresi Gender</t>
  </si>
  <si>
    <t>National Geographic Indonesia</t>
  </si>
  <si>
    <t>070.482 BAH</t>
  </si>
  <si>
    <t>Majalah Bahana Desember 2016 Vol. 308</t>
  </si>
  <si>
    <t>National Geographic Indonesia Februari 2017: Mafia Cina di Pesisir Jawa</t>
  </si>
  <si>
    <t>Majalah Bahana Januari 2017 Vol. 309</t>
  </si>
  <si>
    <t>National Geographic Indonesia Juni 2017 - Ada Dusta Di Antara Kita</t>
  </si>
  <si>
    <t>National Geographic Indonesia Maret 2021: Mukjizat Virus</t>
  </si>
  <si>
    <t>National Geographic Indonesia April 2021: Jati Diri Terakhir</t>
  </si>
  <si>
    <t>070.482  BAS</t>
  </si>
  <si>
    <t>BASIS - Melawan Dominasi Pikiran</t>
  </si>
  <si>
    <t>BASIS - Ketika Cinta Dan Benci Viral No.09-10 Thn. Ke 66, 2017</t>
  </si>
  <si>
    <t>070.482  BES  BEST Juni-Juli 2017</t>
  </si>
  <si>
    <t>Best No.39 Thn. VII Edisi Juni - Juli 2017</t>
  </si>
  <si>
    <t>BPK Penabur, Jkt</t>
  </si>
  <si>
    <t>070.482  WAC Wacana Biblika  Vol.7 No.3 Juli-September 2017</t>
  </si>
  <si>
    <t>Wacana Biblika Vol. 17 No.3 Juli - September 2017</t>
  </si>
  <si>
    <t xml:space="preserve">        070.482           INS</t>
  </si>
  <si>
    <t>Inspirasi - Vol.90 / Thn. IX/2017</t>
  </si>
  <si>
    <t>Inspirasi - Vol.91 / Thn. IX/2017</t>
  </si>
  <si>
    <t>Inspirasi - Vol.92 / Thn. IX/2017</t>
  </si>
  <si>
    <t xml:space="preserve">        070.482           BES</t>
  </si>
  <si>
    <t>Best Kids - Muyayan Ghesok No.41 Thn. VII. Edisi September - Oktober 2017</t>
  </si>
  <si>
    <t>BPK Penabur,Jkt</t>
  </si>
  <si>
    <t>Best Kids - Muyayan Ghesok No.40 Thn. VII. Edisi   Agustus -September 2017</t>
  </si>
  <si>
    <t>1412-1670</t>
  </si>
  <si>
    <t>Surat Parsaoran Immanuel</t>
  </si>
  <si>
    <t>Huria Kristen Batak Protestan</t>
  </si>
  <si>
    <t>ISSN 1412-1670</t>
  </si>
  <si>
    <t>Surat Parsaoran Immanuel No. 3 Maret 2020 Tahun ke- 130</t>
  </si>
  <si>
    <t>Surat Parsaoran Immanuel No. 11 November 2020 Tahun ke- 131</t>
  </si>
  <si>
    <t>Surat Parsaoran Immanuel No. 5 Mei 2021 Tahun ke- 131</t>
  </si>
  <si>
    <t>Surat Parsaoran Immanuel No. 6 Juni 2021 Tahun ke- 131</t>
  </si>
  <si>
    <t>Surat Parsaoran Immanuel No. 7 Juli 2021 Tahun ke- 131</t>
  </si>
  <si>
    <t>Surat Parsaoran Immanuel No. 8 Agustus 2021 Tahun ke- 131</t>
  </si>
  <si>
    <t>Surat Parsaoran Immanuel No. 9 September 2021 Tahun ke- 131</t>
  </si>
  <si>
    <t>Surat Parsaoran Immanuel No. 10 Oktober 2021 Tahun ke- 131</t>
  </si>
  <si>
    <t>Surat Parsaoran Immanuel No. 11 November 2021 Tahun ke- 131</t>
  </si>
  <si>
    <t>Surat Parsaoran Immanuel No. 12 Desember 2021 Tahun ke- 131</t>
  </si>
  <si>
    <t>Surat Parsaoran Immanuel No. 1 Januari 2022 Tahun ke- 132</t>
  </si>
  <si>
    <t>Surat Parsaoran Immanuel No. 2 Februari 2022 Tahun ke- 132</t>
  </si>
  <si>
    <t>Surat Parsaoran Immanuel No. 4 April 2022 Tahun ke- 132</t>
  </si>
  <si>
    <t>Surat Parsaoran Immanuel No. 5 Mei 2022 Tahun ke- 132</t>
  </si>
  <si>
    <t>Surat Parsaoran Immanuel No. 6 Juni 2022 Tahun ke- 132</t>
  </si>
  <si>
    <t>Surat Parsaoran Immanuel No. 7 Juli 2022 Tahun ke- 132</t>
  </si>
  <si>
    <t>Majalah Rohani Populer  Bahana (Vol. 347. 2020)</t>
  </si>
  <si>
    <t>Majalah Rohani Populer  Bahana (Vol. 349. 2020)</t>
  </si>
  <si>
    <t>Majalah Rohani Populer  Bahana (Vol. 360. April 2021)</t>
  </si>
  <si>
    <t>Majalah Rohani Populer  Bahana (Vol. 352. Juni 2021)</t>
  </si>
  <si>
    <t>Majalah Rohani Populer  Bahana (Vol. 363. Juli 2021)</t>
  </si>
  <si>
    <t>Majalah Rohani Populer  Bahana (Vol. 364. Agustus 2021)</t>
  </si>
  <si>
    <t>Majalah Rohani Populer  Bahana (Vol. 366. Oktober 2021)</t>
  </si>
  <si>
    <t>Majalah Rohani Populer  Bahana (Vol. 367. November 2021)</t>
  </si>
  <si>
    <t>Majalah Rohani Populer  Bahana (Vol. 368. Desember 2021)</t>
  </si>
  <si>
    <t>Majalah Rohani Populer  Bahana (Vol. 369. Januari 2022)</t>
  </si>
  <si>
    <t>Majalah Rohani Populer  Bahana (Vol. 370. Februari 2022)</t>
  </si>
  <si>
    <t>Majalah Rohani Populer  Bahana (Vol. 371. Maret 2022)</t>
  </si>
  <si>
    <t>Majalah Rohani Populer  Bahana (Vol. 372. April 2022)</t>
  </si>
  <si>
    <t>Majalah Rohani Populer  Bahana (Vol. 373. Mei 2022)</t>
  </si>
  <si>
    <t>Majalah Rohani Populer  Bahana (Vol. 374. Juni 2022)</t>
  </si>
  <si>
    <t>Majalah Rohani Populer  Bahana (Vol. 375. Juli 2022)</t>
  </si>
  <si>
    <t>Majalah Rohani Populer  Bahana (Vol. 376. Agustus 2022)</t>
  </si>
  <si>
    <t>Majalah Rohani Populer  Bahana (Vol. 381/2023)</t>
  </si>
  <si>
    <t>ISSN 1979-133X</t>
  </si>
  <si>
    <t>070.482 GAH</t>
  </si>
  <si>
    <t>Majalah Gaharu (April 2021)</t>
  </si>
  <si>
    <t>Yusuf Mujiono Dkk</t>
  </si>
  <si>
    <t>Yayasan Sinergi Reformata</t>
  </si>
  <si>
    <t>Majalah Gaharu (Mei 2021)</t>
  </si>
  <si>
    <t>Majalah Gaharu (Juni 2021)</t>
  </si>
  <si>
    <t>Majalah Gaharu (September 2021)</t>
  </si>
  <si>
    <t>Majalah Gaharu (November 2021)</t>
  </si>
  <si>
    <t>Majalah Gaharu (Januari 2022) No. 215 Thn. ke-20</t>
  </si>
  <si>
    <t>Majalah Gaharu (Februari 2022) No. 216 Thn. ke-20</t>
  </si>
  <si>
    <t>Majalah Gaharu (Maret 2022) No. 217 Thn. ke-20</t>
  </si>
  <si>
    <t>Majalah Gaharu (Mei 2022) No. 217 Thn. ke-21</t>
  </si>
  <si>
    <t>Majalah Gaharu (Juni 2022) No. 220 Thn. ke-20</t>
  </si>
  <si>
    <t>ISSN 2502-6461 / 977-2502-6461-47</t>
  </si>
  <si>
    <t>070.482 INS</t>
  </si>
  <si>
    <t>Inspirasi - Vol.106/Thn.XI/2020</t>
  </si>
  <si>
    <t>Info Dana Pensiun - Edisi 79 September - Oktober 2018</t>
  </si>
  <si>
    <t>Jagat Media</t>
  </si>
  <si>
    <t>BULETIN &amp; RENUNGAN - NON LAI</t>
  </si>
  <si>
    <t xml:space="preserve">  070.482   WOR</t>
  </si>
  <si>
    <t>World Annual Report 2000 (Bulletin Number 190/191)</t>
  </si>
  <si>
    <t xml:space="preserve">  070.482  BUL</t>
  </si>
  <si>
    <t>Bulletin United Bible Societies Number 99/100 (Second/Third Quarter 1975)</t>
  </si>
  <si>
    <t>Bible House, Hauptstatter Strasse</t>
  </si>
  <si>
    <t xml:space="preserve">  070.482   BUL</t>
  </si>
  <si>
    <t>Bulletin United Bible Societies : World Annual Report 1976</t>
  </si>
  <si>
    <t>Bulletin United Bible Societies : The Role of the Bible in the World' Churches Number 112/113 (Third/Fourth Quarter 1978)</t>
  </si>
  <si>
    <t>Bulletin United Bible Societies Number 108/109 (Third/Fourth Quarters 1977)</t>
  </si>
  <si>
    <t>Bulletin United Bible Societies : World Annual Report 1978 Number 114/115 (First/Second Quarters 1979)</t>
  </si>
  <si>
    <t>Bulletin United Bible Societies : World Annual Report 1969 Number 83 (Third Quarter 1970)</t>
  </si>
  <si>
    <t>Bulletin United Bible Societies : World Annual Report 1970 Number 87 (Third Quarter 1971)</t>
  </si>
  <si>
    <t>DR. Oliver Beguin</t>
  </si>
  <si>
    <t>Bulletin United Bible Societies : World Annual Report 1971 Number 90/ Second  Quarter 1972</t>
  </si>
  <si>
    <t>Bulletin United Bible Societies : World Annual Report 1972 Number 94 (Second Quarter 1973)</t>
  </si>
  <si>
    <t>BULETIN United Bible Societies Number 112/113 (Third/Fourth Quarters 1978)</t>
  </si>
  <si>
    <t>BULETIN United Bible Societies Number 108/109 (Third/Fourth Quarters 1977)</t>
  </si>
  <si>
    <t>BULETIN United Bible Societies Number 114/115 : World Annual Report 1978 (First/Second Quarteers 1979)</t>
  </si>
  <si>
    <t xml:space="preserve">  070.482   WAS</t>
  </si>
  <si>
    <t>Wasiat Vol. 47 No.7-8 Juli-Agustus 2014</t>
  </si>
  <si>
    <t>Renungan Keluarga</t>
  </si>
  <si>
    <t>Divisi Marketing Graha Arteri Mas</t>
  </si>
  <si>
    <t>Wasiat Vol. 47 No.10-11 Oktober-Nopember 2014</t>
  </si>
  <si>
    <t xml:space="preserve">  070.482  WAS</t>
  </si>
  <si>
    <t>Wasiat Vol. 47 No.11-12 Nopember-Desember 2014</t>
  </si>
  <si>
    <t>Wasiat Vol. 50 No. 3-4 Maret -April 2017</t>
  </si>
  <si>
    <t>Wasiat Vol. 48 No. 9-10 September -Oktober 2015</t>
  </si>
  <si>
    <t>Wasiat Vol. 48 No. 7-8 Juli- Agustus 2015</t>
  </si>
  <si>
    <t>Wasiat Vol. 48 No. 3-4 Maret - April 2015</t>
  </si>
  <si>
    <t>Wasiat Vol. 48 No. 1-2 Januari - Pebruari  2015</t>
  </si>
  <si>
    <t>Wasiat Vol. 47 No. 7-8 Julii - Agustus  2014</t>
  </si>
  <si>
    <t>Wasiat Vol. 48 No. 11-12 Nopember - Desember  2015</t>
  </si>
  <si>
    <t>Wasiat Vol 50, No.50 No.7-8, Juli-Agustus 2017</t>
  </si>
  <si>
    <t>Wasiat Vol 50, No.50 No.5-6, Mei-Juni 2017</t>
  </si>
  <si>
    <t>Wasiat Vol 50, No.50 No.1-2, Januari-Februari 2017</t>
  </si>
  <si>
    <t>Wasiat Vol.49, No.50 No.9-10, September-Oktober 2016</t>
  </si>
  <si>
    <t>Wasiat Vol 49, No.11-12, November-Desember 2016</t>
  </si>
  <si>
    <t>19073100 (ISSN)</t>
  </si>
  <si>
    <t xml:space="preserve">  070.482   MAN</t>
  </si>
  <si>
    <t>Mana Sorgawi- Januari 2015 N0. 202. Tahun XVII</t>
  </si>
  <si>
    <t>YPI Kawanan Kecil Devisi Renungan  Harian</t>
  </si>
  <si>
    <t>Mana Sorgawi- Pebruari 2015 N0. 203. Tahun XVII</t>
  </si>
  <si>
    <t xml:space="preserve">  070.482  MAN</t>
  </si>
  <si>
    <t>Mana Sorgawi- Maret 2015 N0. 202. Tahun XVII</t>
  </si>
  <si>
    <t>Mana Sorgawi- April 2015 N0. 202. Tahun XVII</t>
  </si>
  <si>
    <t>Mana Sorgawi- Mei 2015 N0. 202. Tahun XVII</t>
  </si>
  <si>
    <t>Mana Sorgawi- Juni 2015 N0. 202. Tahun XVII</t>
  </si>
  <si>
    <t>Mana Sorgawi- iuli 2015 N0. 202. Tahun XVII</t>
  </si>
  <si>
    <t>Mana Sorgawi- Agustus 2015 N0. 202. Tahun XVII</t>
  </si>
  <si>
    <t>Mana Sorgawi- September 2015 N0. 210. Tahun XVIII</t>
  </si>
  <si>
    <t>Mana Sorgawi- Agustus 2015 N0. 211. Tahun XVIII</t>
  </si>
  <si>
    <t>Mana Sorgawi- Nopember 2015 N0. 211. Tahun XVIII</t>
  </si>
  <si>
    <t>Mana Sorgawi- Desember 2015 N0. 213 Tahun XVIII</t>
  </si>
  <si>
    <t xml:space="preserve">  070.482   KAR</t>
  </si>
  <si>
    <t>Kartidaya - 01 JAN - MAR 2014</t>
  </si>
  <si>
    <t xml:space="preserve">  070.482  KAR</t>
  </si>
  <si>
    <t>Kartidaya - 03 OKT - DES 2013</t>
  </si>
  <si>
    <t xml:space="preserve">  070.482   BER</t>
  </si>
  <si>
    <t>Berita kartidaya 02 - April-Juni 2015</t>
  </si>
  <si>
    <t xml:space="preserve">  070.482   NAR</t>
  </si>
  <si>
    <t>Narwastu Membawa Harapan Dan Kelegaan (pembaharuan) Kontroversi Kedatangan Benny Hinn Ke Indonesia</t>
  </si>
  <si>
    <t>Dilengkapi dengan Gambar</t>
  </si>
  <si>
    <t>Rusmin Lesmana</t>
  </si>
  <si>
    <t>Perkumpulan Narwastu Indonesia</t>
  </si>
  <si>
    <t>Narwastu Membawa Harapan Dan Kelegaan (pembaharuan) STT SETIA KEMBALI DIGONCANG PRAHARA</t>
  </si>
  <si>
    <t xml:space="preserve">Warwastu ini berbicara tentang Syariat Dibalik Peraturan Bersama dan hidup berdampingan dengan Damai dan PenjelasanMujizat Musa </t>
  </si>
  <si>
    <t>Ir. Skur Nababan</t>
  </si>
  <si>
    <t xml:space="preserve">Narwastu Membawa Harapan Dan Kelegaan  Mentawai Menangis  INTOLERANSI PADA UMAT KRISTEN MENINGKAT  </t>
  </si>
  <si>
    <t>Gereja Hasus Bisa Menjadi tempat Mengadu MasyarakaDan Dilengkapi dengan Gambar</t>
  </si>
  <si>
    <t>RDR. OttHasibuan, SH., MM</t>
  </si>
  <si>
    <t xml:space="preserve">  070.482  NAR</t>
  </si>
  <si>
    <t>Narwastu Membawa Harapan Dan Kelegaan   PDS DI MATA PIMPINAN ARAS GEREJA NASIONAL</t>
  </si>
  <si>
    <t xml:space="preserve">Dilengkapi dengan Gambar dan </t>
  </si>
  <si>
    <t>Sahat Sinanga, SH., M.Kn</t>
  </si>
  <si>
    <t>Narwastu Membawa Harapan Dan kelegaan  Pesan Natal PGI dan KWI. TOKO KRISTIANI PEMBERI INSPIRASI</t>
  </si>
  <si>
    <t>Dilegkapi dengan Gambar</t>
  </si>
  <si>
    <t xml:space="preserve"> Lois Erika  Suhartono</t>
  </si>
  <si>
    <t xml:space="preserve"> Narwastu Membawa harapan Dan Kelegaan Herlin Pierena Curhat  Soal Isu Perselingkuhan   </t>
  </si>
  <si>
    <t xml:space="preserve">Pdt. Ruyandi Hutasoit </t>
  </si>
  <si>
    <t>Narwastu  Membawa Harapan Dan Kelegaan (Pembaharuan). Runner Up Putri Indonesia 2007, Bicara Kasih Tuhan.</t>
  </si>
  <si>
    <t>Henri Sibarani</t>
  </si>
  <si>
    <t xml:space="preserve">Narwastu Membawa Harapan Dan Kelegaan Pembahruan. Tragedi Ciketing  </t>
  </si>
  <si>
    <t>Deddy A. Madong, SH</t>
  </si>
  <si>
    <t xml:space="preserve">Narwastu Membawa Harapan Dan Kelegaan Pembaharuan. </t>
  </si>
  <si>
    <t xml:space="preserve"> Michail Wattimena, SE.,MM</t>
  </si>
  <si>
    <t>NAR PEN</t>
  </si>
  <si>
    <t>Narwastu Membawa harapan Dan Kelegaan Pembaharua. Kisah-kisah Yang Membangkitkan Iman</t>
  </si>
  <si>
    <t>Dr. H Aziz Syamsuddin</t>
  </si>
  <si>
    <t>Narwastu Membawa Harapan Dan Kelegaan Pembaharuan. Pemkot Bogor Membangkang</t>
  </si>
  <si>
    <t>B. Hartono, SH.,SE.,Ak, MH</t>
  </si>
  <si>
    <t>Narwastu Membawa harapan Dan Kelegaan Pembaharuan. Doa mengubahkan segalanya</t>
  </si>
  <si>
    <t>Dilengakpi dengan Gambar</t>
  </si>
  <si>
    <t>Narwastu Membawa Harapan Dan Kelegaan Pembaharuan. Gereja Masih Dintimidasi</t>
  </si>
  <si>
    <t>Narwastu Membawa harapan Dan Klegaan Pembaharuan. Tujuh Tahun PDS Hadir Ditengah Gereja Dan Bangsa</t>
  </si>
  <si>
    <t>Ruyandi Hutasoit &amp; Denny Tewu</t>
  </si>
  <si>
    <t>Narwastu Membawa Harapan Dan Kelegaan. Lebih Mudah Didirikan Diskotik Daripada Gereja di Negeri Ini</t>
  </si>
  <si>
    <t xml:space="preserve">Ivan D. Gultom, MBA &amp; G. Seto Harianto </t>
  </si>
  <si>
    <t>Narwastu Membawa Harapan Dan Kelegaan (Pembaharuan) Kesaksian Tuna Netra Yang Berjuang Mencari Nafkah</t>
  </si>
  <si>
    <t>Jonro I. Munthe</t>
  </si>
  <si>
    <t>Narwastu Membawa Harapan Dan Kelegaan (Pembaharuan) Merasakan Keajaiban Anugereh Tuhan.</t>
  </si>
  <si>
    <t>Narwastu Membawa Harapan Dan Kelegaan(Pembaharuan)Konas Gereja-Gereja Jilid 2 Sukses</t>
  </si>
  <si>
    <t>Narwastu Membawa Harapan dan Kelegaan (Pembaharuan) Tokoh Muda Nasionla Dan Religius</t>
  </si>
  <si>
    <t>Narwastu Membawa Harapan Dan Kelegaan ( Pembaharuan) PDS Yakin Disertai Tuhan</t>
  </si>
  <si>
    <t>Narwastu Membawa Harapan Dan Kelegaan (Pembaharuan) Benarkah Nur Afni Octavia Pindah Agama?</t>
  </si>
  <si>
    <t>Narwastu Membawa harapan Dan Kelegaan ( Pembaharuan) Rindu Pemimpi Berkarakter Seperti Yesuf</t>
  </si>
  <si>
    <t>Narwastu Membawa Harapan Dan KelegaanPembaharuan</t>
  </si>
  <si>
    <t>Rolas Budima Sitinjak, S.H.,M.H</t>
  </si>
  <si>
    <t>Narwastu Membawa Harapan Dan Kelegaan Pembaharuan Menuju 7 Tahun</t>
  </si>
  <si>
    <t>Hanyan Girsang</t>
  </si>
  <si>
    <t>Narwastu Membawa Harapan Dan Kelegaan Pembaharuan Wilson Sirat Jai Bagi Sesama.</t>
  </si>
  <si>
    <t>Jopie Rory</t>
  </si>
  <si>
    <t>Narwastu Membawa Harapan Dan Kelegaan Pembaharuan,Edisi Juli, agustus, September, Oktober, November, Desember 2009.  Bisakah Ponse Atau Laptop Gantikan Alkitab.</t>
  </si>
  <si>
    <t>Dilengkapi Dengan Gambar Dan Kesaksian</t>
  </si>
  <si>
    <t xml:space="preserve">Narwastu Membawa Harapan Dan Kelegaan Pembaharuan. Di Bekasi Gereja Dirusak Dan Ditutup </t>
  </si>
  <si>
    <t xml:space="preserve">Dilengkapi dengan Gambar </t>
  </si>
  <si>
    <t>Junimart Girsang</t>
  </si>
  <si>
    <t xml:space="preserve">  070.482   BIB</t>
  </si>
  <si>
    <t>Bible Study  Magazine</t>
  </si>
  <si>
    <t xml:space="preserve">  070.482   CHA</t>
  </si>
  <si>
    <t>Charisma Life In The Spirit. The Lost Generation ( Apakah Kita Sedang Menjangkau Generasi Dgital,  Ataukah Kita Sedang Kehilangan Mereka?.....</t>
  </si>
  <si>
    <t>By J. Lee Grady, Nathaniel TJHI</t>
  </si>
  <si>
    <t>Lembaga Alkitab Indonesia (LAI)</t>
  </si>
  <si>
    <t xml:space="preserve">  070.482   WAR</t>
  </si>
  <si>
    <t>Warta Ayub Sosiasi Yayasan Untuk Bangsa</t>
  </si>
  <si>
    <t xml:space="preserve">Drs. J. Terkelin Tarigan   Jhon Purba,           Stefanus Agus </t>
  </si>
  <si>
    <t>Yayasan Spirit</t>
  </si>
  <si>
    <t>EV. Bambang Soenowo,                Drs. Willem Bayang Malta                            Ir. Ciputra</t>
  </si>
  <si>
    <t>MR. Ricard.E. wacek,      Hartini,     Drs. Thomas Bambang, MA</t>
  </si>
  <si>
    <t>Pdt. Ir. Lokky Tjahya</t>
  </si>
  <si>
    <t>Pdt. Benyamin Banu, S.Th,                        Ev. Jhon D. Watimurry     Ir. Drs. Bonar Simangunsong, Msc., SE</t>
  </si>
  <si>
    <t xml:space="preserve"> Benyamin,            Mely, Prof. M. M. Sangian, MPA    </t>
  </si>
  <si>
    <t>Non Rawung</t>
  </si>
  <si>
    <t xml:space="preserve">Dilengkapi dengan Gambar dan Buku acara. </t>
  </si>
  <si>
    <t>Ir. Ciputra</t>
  </si>
  <si>
    <t xml:space="preserve">  070.482   MIA</t>
  </si>
  <si>
    <t>Mia Media Informasi Ayub.</t>
  </si>
  <si>
    <t>DR. Ir. Ciputra</t>
  </si>
  <si>
    <t>Buletin Sinode, Mengatualisasi GKI yang Moderat, Mewaspadai Terosr, Mewaspadai Gelapnya Hati manusia.</t>
  </si>
  <si>
    <t>Kundati Sumadikarya</t>
  </si>
  <si>
    <t>BPMSW Gereja Kristen Indonesia</t>
  </si>
  <si>
    <t>Buletin Sinode Mengatualisasi GKI yang Moderat Bencana dan Pemaknaan Penderitaan</t>
  </si>
  <si>
    <t>Ronny Nathanael,                        S.D. Jonazh</t>
  </si>
  <si>
    <t>Buletin Sinode Mengatualisasi GKI Yang Moderat Bisnis Yesus Tak Berhenti Karena Salib</t>
  </si>
  <si>
    <t>Kundati Sumadikarya &amp; Ronny Nathanael</t>
  </si>
  <si>
    <t>Buletin Sinode Mengaktualisasi GKI yang Moderat</t>
  </si>
  <si>
    <t>Dilengkapi dengan Gamabr</t>
  </si>
  <si>
    <t>Berita Keselamatan Semangat Suci, Memberi Atau Membeli</t>
  </si>
  <si>
    <t>Dilengkapi dengan gamabr</t>
  </si>
  <si>
    <t>R. Basuki Kartodarsono</t>
  </si>
  <si>
    <t>Gereja Bala Keselamatan  Di Indonesia</t>
  </si>
  <si>
    <t>Berita Keselamatan  Belajar dari Nebgara Gagal</t>
  </si>
  <si>
    <t>Mayor Sasmoko D. Herjahjo</t>
  </si>
  <si>
    <t xml:space="preserve">Andalkan  Yesus, Penyakit Sembuh. Spektrum. PDS Menuju Rel Yang Benar </t>
  </si>
  <si>
    <t>Drs Hulman Thamrin Simanjuntak, MM.MSc,   Pdt. DR. Matheus Mangentang</t>
  </si>
  <si>
    <t>The People Institute</t>
  </si>
  <si>
    <t xml:space="preserve">  070.482   MED</t>
  </si>
  <si>
    <t>Media Informasi Ayub</t>
  </si>
  <si>
    <t>Dilengkpi dengan Gambar</t>
  </si>
  <si>
    <t xml:space="preserve"> Barbara Lois Oudang</t>
  </si>
  <si>
    <t>Word in Action</t>
  </si>
  <si>
    <t>James Catford</t>
  </si>
  <si>
    <t xml:space="preserve">  070.482   PER</t>
  </si>
  <si>
    <t xml:space="preserve">Peran GPI Dalam pendididkan - Keselamatan Gereja dan Para Presiden Amerika </t>
  </si>
  <si>
    <t>Pdt. Dr. Samuel B Hakh</t>
  </si>
  <si>
    <t>GPI (Greja Protestan Di Indonesia)</t>
  </si>
  <si>
    <t xml:space="preserve">  070.482   STA</t>
  </si>
  <si>
    <t>Standard Menyentuh hati dan likiran,</t>
  </si>
  <si>
    <t xml:space="preserve">Dilengkapi dengan gambar </t>
  </si>
  <si>
    <t>Prof. Craig A. Evans, Ph.D</t>
  </si>
  <si>
    <t>Golden Croos Punlishers</t>
  </si>
  <si>
    <t xml:space="preserve">  070.482   SUN</t>
  </si>
  <si>
    <t>Sunhodos. Natal Dan Perdamaian Tingkatkan Persekutuan</t>
  </si>
  <si>
    <t>Pdt John Chr Ruhulessin</t>
  </si>
  <si>
    <t xml:space="preserve">  070.482   GOS</t>
  </si>
  <si>
    <t>Gospel Clippings</t>
  </si>
  <si>
    <t>Dilengkapi dengan Gamba</t>
  </si>
  <si>
    <t>Dr. Arile Heryanto</t>
  </si>
  <si>
    <t>Yayasan Epiphania Jakarta</t>
  </si>
  <si>
    <t xml:space="preserve">  070.482  OIK</t>
  </si>
  <si>
    <t>Oikumene Umta Kristiani Bukan Warga negara Kelas Dua</t>
  </si>
  <si>
    <t>Pdt. Dr. Richard M. Daulay</t>
  </si>
  <si>
    <t xml:space="preserve">  070.482   ASI</t>
  </si>
  <si>
    <t>Asia Theological Assocition, Japan Asia Graduate School Of Theology, Japan</t>
  </si>
  <si>
    <t xml:space="preserve">  070.482   SUR</t>
  </si>
  <si>
    <t>Surat Parsaoran IMANUEL Hidup Berpengalan Dengan Tuhan</t>
  </si>
  <si>
    <t>Pdt. Siman P. Hutahaean, S.Th</t>
  </si>
  <si>
    <t>Huria Kristen  Batak Protestan</t>
  </si>
  <si>
    <t xml:space="preserve">Misso Et Theologia Kobe Lutherab Teological Seminary Juornal </t>
  </si>
  <si>
    <t>Dr. Tabata Rie Nasaki</t>
  </si>
  <si>
    <t xml:space="preserve">  070.482   LAP</t>
  </si>
  <si>
    <t>Laporan Tahun 2008 Yayasan Kartidaya Visi 2015 "Enam Tahun Lagi"</t>
  </si>
  <si>
    <t>Dilengkapi dengan Gamabar</t>
  </si>
  <si>
    <t>Ir. Kusmantoro Tedja, M.B.A</t>
  </si>
  <si>
    <t xml:space="preserve">  070.482  BER</t>
  </si>
  <si>
    <t xml:space="preserve">Berita Kartidaya, Tantangan Jadi Kesempatan </t>
  </si>
  <si>
    <t>Marnix Riupassa</t>
  </si>
  <si>
    <t xml:space="preserve">  070.482   KON</t>
  </si>
  <si>
    <t>Konsultasi Kasih Yang Peduli III "Menyeranglah Kemari Dan Tolonglah Kami!"</t>
  </si>
  <si>
    <t xml:space="preserve"> Dr. Iman Santoso </t>
  </si>
  <si>
    <t>Persekutuan Jaringan Riset Nasional (PJRN)</t>
  </si>
  <si>
    <t xml:space="preserve">                                                                                                                                                                                                                                                                                                                                                                                                                                                                                                                                                                                                                                                                                                                                                                                                                                                                                                                                                                                                                                                                                                                                                                                                                                                                                                                                                                                                                                                                                                                           </t>
  </si>
  <si>
    <t xml:space="preserve">Buletin Bahasa PKBB 1. No. 13/2001,      2.No. 14/2001,             3. No.15/2001,                            3   No.16/2001                                                                                                                                                                                                                                                                                                                                                                                                                                                                                                                                                                                                                                                                                                              </t>
  </si>
  <si>
    <t>Dilengkapi dengan Daftar Isi</t>
  </si>
  <si>
    <t>Pro. Dr. Bambang Kaswanti Purwo</t>
  </si>
  <si>
    <t>Pusat Kajian Bahasa Dan Budaya (Center For And Cultural studies) Universitas Katolik Indonesia Atman Jaya</t>
  </si>
  <si>
    <t>Buletin Bahasa PKBB 1. No. 17/2002,              2 .No, 19/ 2002,      3.No. 20/2002</t>
  </si>
  <si>
    <t xml:space="preserve">Dilengkapi dengan Daftar Isi </t>
  </si>
  <si>
    <t>Prof. Dr. Bambang Kaswanti Purwo</t>
  </si>
  <si>
    <t>Buletin Bahasa PKBB 1, No. 21/2003,           2. No. 22/2003, No. 23/2003,                     3. No. 24/2003</t>
  </si>
  <si>
    <t>Dilengkapi dengan daftar Isi</t>
  </si>
  <si>
    <t>Buletin Bahasa PKBB 1.No. 25/2004/            2. No. 26/2004, No. 27/2004                  3.No. 28/2004</t>
  </si>
  <si>
    <t>Buletin Bahasa PKBB 1. No. 29/2005                   2. No. 29/2005                                3. No. 30/2005                            4. No. 31/2005                                     5. No. 322005</t>
  </si>
  <si>
    <t>Buletin Bahasa PKBB              1. No 33/2006                            2. No. 35/2006                              3. No. 36/2005</t>
  </si>
  <si>
    <t>Buletin Bahasa PKBB                    1. No. 37/ 2007                          2. No. 38/2007</t>
  </si>
  <si>
    <t>bUletin</t>
  </si>
  <si>
    <t xml:space="preserve">  070.482   SOU</t>
  </si>
  <si>
    <t xml:space="preserve">The Source Of Life </t>
  </si>
  <si>
    <t>General Secretary</t>
  </si>
  <si>
    <t xml:space="preserve">  070.482   GOO</t>
  </si>
  <si>
    <t xml:space="preserve">Good News For The Pacific </t>
  </si>
  <si>
    <t>Mr. Solomone Duru</t>
  </si>
  <si>
    <t>Media Wacana Edisi Perdana/VIII/Th.1/2003 DIRGAHAYU RI KE-58 17 Agustus  1945- 17 Agsutus 2003"Wujudkan Kejayaan Bangsa Dan Negara</t>
  </si>
  <si>
    <t>Erwin Lobo, Parulian S Simanjuntak. S/H. Santosa Pasaribu.SE                          ……………..</t>
  </si>
  <si>
    <t>Media Wacana</t>
  </si>
  <si>
    <t xml:space="preserve">  070.482   BEN</t>
  </si>
  <si>
    <t>Bencana Yesus Sebagai Raja Dalam Transformasi Edisi VII, Jli, 2006</t>
  </si>
  <si>
    <t>Transformation Connection Indonesia</t>
  </si>
  <si>
    <t>Buletin Keluarga, Pernikahan Yang Tanggug, Dibangun Atas Komitmen Yang Kuat. Vol 2 Tahun 2004</t>
  </si>
  <si>
    <t>Dr. James Dobson</t>
  </si>
  <si>
    <t>Wahana Inspirasi &amp;Informasi Bagi Orang Tua Dan Pasutri</t>
  </si>
  <si>
    <t xml:space="preserve">  070.482   MEN</t>
  </si>
  <si>
    <t>Menuju 2010. Edisi III. 2008</t>
  </si>
  <si>
    <t>Dev. Of The Poor</t>
  </si>
  <si>
    <t>Megacities And Yayasan Family Kasih</t>
  </si>
  <si>
    <t xml:space="preserve">  070.482   GKI</t>
  </si>
  <si>
    <t>GKI News Grahira Kary Indonesia. Vol 4, Tahun Kedua, Januari 2009</t>
  </si>
  <si>
    <t>Pdt. Iswari</t>
  </si>
  <si>
    <t>CC-GKI News</t>
  </si>
  <si>
    <t>Menuju 2010  Hati Tuhan  bagi Kota Dan Bangsa</t>
  </si>
  <si>
    <t>FM Dev. Of Poor</t>
  </si>
  <si>
    <t xml:space="preserve">  070.482   TRU</t>
  </si>
  <si>
    <t>Trumpet  Reflekctions on the Emanuel</t>
  </si>
  <si>
    <t>Dr Richard Phua</t>
  </si>
  <si>
    <t>Trinity Theologia college</t>
  </si>
  <si>
    <t xml:space="preserve">  070.482   KAM</t>
  </si>
  <si>
    <t>Kampernaum News Memotifasi Melengkapi Mendewasakan Edisi IV Nopember 2007</t>
  </si>
  <si>
    <t>Pdt. Benny Tatimu, Pdt. Drs. Jason Belompapueng, MBA, M.Sc&amp; Pdt. M. Ferrty H. Kakiay, S.Th</t>
  </si>
  <si>
    <t>Kapernaum News</t>
  </si>
  <si>
    <t xml:space="preserve">  070.482   NIU</t>
  </si>
  <si>
    <t>Niuws uit Borneo</t>
  </si>
  <si>
    <t>Dlingkapi dengan Gambar</t>
  </si>
  <si>
    <t>Rivers of Life Ministries Borneo</t>
  </si>
  <si>
    <t xml:space="preserve">  070.482   MEL</t>
  </si>
  <si>
    <t>Melayani Dan Mengikuti Kristus.  Seminar Alkitab Asia Tenggara Stauros.  Edisi Desember 2008</t>
  </si>
  <si>
    <t>Pdt. Dr. Andrew Gih</t>
  </si>
  <si>
    <t xml:space="preserve">  070.482   HID</t>
  </si>
  <si>
    <t>Hidup Sesuai Status</t>
  </si>
  <si>
    <t>Daniel Adipranata</t>
  </si>
  <si>
    <t xml:space="preserve">  070.482   KOM</t>
  </si>
  <si>
    <t>Komitmen Buletin STT Iman</t>
  </si>
  <si>
    <t xml:space="preserve">Pdt. Joshua Ong, Ph. D. </t>
  </si>
  <si>
    <t>STT Iman</t>
  </si>
  <si>
    <t xml:space="preserve">  070.482   URA</t>
  </si>
  <si>
    <t>Uraian"Reformed baptis" Cibinong</t>
  </si>
  <si>
    <t>Dilengkapi dengan ayat-ayat Firman Tuhan</t>
  </si>
  <si>
    <t>Komunitas Injil"Reformed Baptis"</t>
  </si>
  <si>
    <t xml:space="preserve">  070.482   PON</t>
  </si>
  <si>
    <t>Pondok Hayat</t>
  </si>
  <si>
    <t>Yayasan Pelayanan Pondok Hayat</t>
  </si>
  <si>
    <t>Truly Great Kingdom Truths</t>
  </si>
  <si>
    <t>Cina/Inggris</t>
  </si>
  <si>
    <t>Dilengkapi dengan Gambar Dan Kata Log</t>
  </si>
  <si>
    <t>Esther Chan</t>
  </si>
  <si>
    <t xml:space="preserve">                                                                   </t>
  </si>
  <si>
    <t xml:space="preserve">  070.482   BUI</t>
  </si>
  <si>
    <t>Building Integrity and Compassion</t>
  </si>
  <si>
    <t>Inggris/Cina</t>
  </si>
  <si>
    <t>Dilengkapi Dengan Gambar Dan Daftar Isi Berbahasa Cina</t>
  </si>
  <si>
    <t>Hong Kong Bible  Society</t>
  </si>
  <si>
    <t xml:space="preserve">  070.482  APP</t>
  </si>
  <si>
    <t>Appreciation and Thanksgiving</t>
  </si>
  <si>
    <t xml:space="preserve">  070.482  CAU</t>
  </si>
  <si>
    <t>Be Cautious With Words, Responsible In Deeds</t>
  </si>
  <si>
    <t xml:space="preserve">  070.482  TAB</t>
  </si>
  <si>
    <t>Tabloid Rohani Mawar Saron Ibadah  Para Pelayan Tuhan Awal Tahun. Senin,  04 Februari 2013</t>
  </si>
  <si>
    <t>Dilengkapi Dengan Gambar dan Foto bersama Pdt. Jacob</t>
  </si>
  <si>
    <t>JPdt. Dr. Jacob Nahuway, MA</t>
  </si>
  <si>
    <t xml:space="preserve"> Mawar Saron</t>
  </si>
  <si>
    <t xml:space="preserve">  070.482  MEN</t>
  </si>
  <si>
    <t>Menghilangkan Sakit Hati Antar Umat Yang Lahir Oleh Sejarah, Rekaman Proses Farum Sarasehan Dan Pendeta</t>
  </si>
  <si>
    <t xml:space="preserve">                                                                                                                                                                                            </t>
  </si>
  <si>
    <t xml:space="preserve">Dilengkapi Dengan Gambar Dan Foto   </t>
  </si>
  <si>
    <t>Dr. Pradjarta Dirjosantojoto, SH, M           K.H Mahfudz Ridwa                      Pdt. Jahanes B. Sudarmo, S.Th</t>
  </si>
  <si>
    <t xml:space="preserve">  070.482  DAR</t>
  </si>
  <si>
    <t>Dari Sahabat Istimewa Chlidren Bible Study</t>
  </si>
  <si>
    <t>Dilengkapi Dengan Gambar Index</t>
  </si>
  <si>
    <t>Persembahan Yayasan Jangkar Kehidupan</t>
  </si>
  <si>
    <t xml:space="preserve">  070.482  GEM</t>
  </si>
  <si>
    <t>Gema Wacana Edisi Th. IV/ November - Desember 2005. Damai Yes Kekerasan No!</t>
  </si>
  <si>
    <t>Suparda, Endang Wilandari……</t>
  </si>
  <si>
    <t>Komisi Dan Komunikasi dan Informasi Gereja Kristen Jawa Barat</t>
  </si>
  <si>
    <t xml:space="preserve">  070.482  BEL</t>
  </si>
  <si>
    <t>Belajar Untuk Menerima Orang lain</t>
  </si>
  <si>
    <t>Dilengkapi dengan Gambar.</t>
  </si>
  <si>
    <t>Sharolyn Sander</t>
  </si>
  <si>
    <t>Yayasan Jangkar Kehidupan</t>
  </si>
  <si>
    <t xml:space="preserve">  070.482  ANU</t>
  </si>
  <si>
    <t>Anurah Semata 2011 Laporan Kartidaya</t>
  </si>
  <si>
    <t>Lenny Sihotang</t>
  </si>
  <si>
    <t xml:space="preserve">  070.482  PEN</t>
  </si>
  <si>
    <t>Penyuluh Membangkitkan Iman, Pengharapan Dan Kasih. Paham Calvinis Dan Arminian Kegerakan Roh Kudus</t>
  </si>
  <si>
    <t>Pdt. Edy Prajitno,                         Pdt. R. Bambang Johan</t>
  </si>
  <si>
    <t>Badan Pekerja Harian Gereja Bethel Indonesia</t>
  </si>
  <si>
    <t>Berita Kartidaya Bersatu Mencapai Visi</t>
  </si>
  <si>
    <t>Berita Kartidaya, Kekayaan</t>
  </si>
  <si>
    <t xml:space="preserve">Dilengkapi Dengan Gambar </t>
  </si>
  <si>
    <t>Berita Kartidaya Berhargakah Semua Ini?</t>
  </si>
  <si>
    <t>Berita Kartidaya 2 Mil</t>
  </si>
  <si>
    <t>Berita Kartidaya</t>
  </si>
  <si>
    <t>Helman Siahaan</t>
  </si>
  <si>
    <t xml:space="preserve">  070.482  BUK</t>
  </si>
  <si>
    <t>Buku Pengharapan Book Of Hope</t>
  </si>
  <si>
    <t>Dilengkapi Dengan Gambar dan Indeks dan disertai Doa Dan Juga Kesaksian Hidup</t>
  </si>
  <si>
    <t>Malang</t>
  </si>
  <si>
    <t xml:space="preserve">  070.482  BOO</t>
  </si>
  <si>
    <t>Book Of Hope</t>
  </si>
  <si>
    <t>Dilengkapi Dengan Gambar, Indeks Dan Disertai Dengan Doa Dan juga Kesaksian Hidup</t>
  </si>
  <si>
    <t>Buku Pengharapan</t>
  </si>
  <si>
    <t>Book Of Hope (Buku Pengharapan Edisi Animasi)</t>
  </si>
  <si>
    <t>Book Of Hope (Buku Pengharapan Edisi  CERITA</t>
  </si>
  <si>
    <t xml:space="preserve">  070.482  LAP</t>
  </si>
  <si>
    <t>laporan Tahun Kartidaya</t>
  </si>
  <si>
    <t>Oikos Ekklesia Mencerahkan Dan Menguatkan Iman (Terang Keselamatan)</t>
  </si>
  <si>
    <t>Dilengkapi Dengan Firman Tuhan</t>
  </si>
  <si>
    <t>Pdt. Varry B. Komansila, STh.                                     Pdt. Nindya Wijaya, S.Th</t>
  </si>
  <si>
    <t>GKA (Gereja Kemah Abraham)</t>
  </si>
  <si>
    <t xml:space="preserve">  070.482  MIN</t>
  </si>
  <si>
    <t>Ministry Profile Yayasan Jangkar Kehidupan</t>
  </si>
  <si>
    <t>Dilengkapi Dengan Gambar Dan Program Radio</t>
  </si>
  <si>
    <t xml:space="preserve">  070.482  SAN</t>
  </si>
  <si>
    <t>Santapan Rohani Juni-juli</t>
  </si>
  <si>
    <t>J. David Branon. Anne M. Cetas. William E.  David C. Egner……</t>
  </si>
  <si>
    <t>Buletin Berita Kasih Tuhan</t>
  </si>
  <si>
    <t xml:space="preserve"> Richard natasasmita</t>
  </si>
  <si>
    <t>Untuk Kalangan sendiri</t>
  </si>
  <si>
    <t>Pdt. Dr. Parlin Napitupulu, MA, D. Mia</t>
  </si>
  <si>
    <t>Buletin Berita Kasih Tuhan. Rencana Allah Bagi gereja</t>
  </si>
  <si>
    <t>Pdt. Yan Lahallo, M.Th</t>
  </si>
  <si>
    <t>Yayasan Berkat</t>
  </si>
  <si>
    <t>Buletin Berita Kasih Tuhan. Tujuan Hidup Umat percaya</t>
  </si>
  <si>
    <t xml:space="preserve">Pdt. Dennie Olde Frans, M.Th </t>
  </si>
  <si>
    <t>Buletin Berita Klasih Tuhan</t>
  </si>
  <si>
    <t>Buletin Berkat Beritakan Kasih Tuhan (Bagaimana Meresponi Panggilan Tuhan)</t>
  </si>
  <si>
    <t>Cahyadi, S.Th</t>
  </si>
  <si>
    <t>Buletin Berkat Beritakan Kasih Tuhan (Keselamatan Adalah Sumber Kekuatan Untuk Taat Dalam Misinya)</t>
  </si>
  <si>
    <t>Ev. Pieter Handoko Joshua, S.Th</t>
  </si>
  <si>
    <t>Berita Berkat Beritakan Kasih Tuhan. Peperanagn Rohani</t>
  </si>
  <si>
    <t>Lenny Gho Rajumi Sitompul Sukirno</t>
  </si>
  <si>
    <t>Buletin Berkat Beritakan Kasih Tuhan (Menjadi Pribadi Yang Mengutus)</t>
  </si>
  <si>
    <t>Dilengakapi dengan Daftar Isi dan gambar Da Ayat Firman Tuhan</t>
  </si>
  <si>
    <t>Samgar Setia Budhi, SKM,Th.M</t>
  </si>
  <si>
    <t xml:space="preserve">  070.482  SAU</t>
  </si>
  <si>
    <t>Salus Majalah Seminar Tinggi St. Paulus. Menurut Makna Rohani Hidup Ceremanial Kita</t>
  </si>
  <si>
    <t>Fr. Erwin Sasmito</t>
  </si>
  <si>
    <t>Majalah seminar Tinggi. St. Paulus</t>
  </si>
  <si>
    <t>Menjadi Partner Allah Bersama PPA tahun XXI / Edisi 2/2007</t>
  </si>
  <si>
    <t>Paul Hidayat Hans wuysang</t>
  </si>
  <si>
    <t xml:space="preserve"> Persekutuan Pembaca Alkitab</t>
  </si>
  <si>
    <t xml:space="preserve">  070.482  PAR</t>
  </si>
  <si>
    <t>PARTNER Tahun Xxi/Edisi 3/ 2007</t>
  </si>
  <si>
    <t xml:space="preserve">Dilengkapi Dengan Gamabr </t>
  </si>
  <si>
    <t>Buletin Berita Kasih Tuhan Media Komunikasi Informasi Dan Pembinaan</t>
  </si>
  <si>
    <t>Sherly I.M Tan  S.Th</t>
  </si>
  <si>
    <t>Berita Kartida Edisi 2/2007</t>
  </si>
  <si>
    <t>Vitri Caroline</t>
  </si>
  <si>
    <t>Gema Wacana  Membangun Iman Menabur Kasih            ( Mencari Tuhan Ditengah Kesibukan)</t>
  </si>
  <si>
    <t>Soemartono DS</t>
  </si>
  <si>
    <t xml:space="preserve"> Komisi Komunikasi Dan Informasi  Gereja Kristen Jaya Bekasi</t>
  </si>
  <si>
    <t xml:space="preserve">  070.482  MAK</t>
  </si>
  <si>
    <t>Maklaah Sahabat Awan  Sekitar Pemilu 2004</t>
  </si>
  <si>
    <t>Buketin</t>
  </si>
  <si>
    <t>Yabina Ministry</t>
  </si>
  <si>
    <t xml:space="preserve">  070.482  MAJ</t>
  </si>
  <si>
    <t>Majalah Gereja Kristen Jawa jakarta No. 09/ Thn. 33/ Sepetember 2005</t>
  </si>
  <si>
    <t>Yasinta</t>
  </si>
  <si>
    <t>Majalah Dilah Gereja Kristen Jawa Jekarta</t>
  </si>
  <si>
    <t>Majalah Gereja Kristen Jawa jakarta No. 09/ Thn. 32/ Maret 2004</t>
  </si>
  <si>
    <t xml:space="preserve">  070.482  MEM</t>
  </si>
  <si>
    <t>Memahami Keanggotaan Gereja ( Seminar tentang Hidup dan Pelayanan Kristen CLASS (Christian Life And Service Seminar) Gereja Bethel Indonesia- Jl. Merak 29 Bogor 16161. Pelajaran 1</t>
  </si>
  <si>
    <t>Memahami Keanggotaan Gereja ( Seminar tentang Hidup dan Pelayanan Kristen CLASS (Christian Life And Service Seminar) Gereja Bethel Indonesia- Jl. Merak 29 Bogor 16161. Pelajaran 2</t>
  </si>
  <si>
    <t>Buletin Berkat Beritakan  Kasih Tuhan (Ladang Sudah Menguning)</t>
  </si>
  <si>
    <t xml:space="preserve"> Lenny Gho Rajumi Sitompul Sukirno</t>
  </si>
  <si>
    <t xml:space="preserve">  070.482  MED</t>
  </si>
  <si>
    <t>Media Komunikasi Yasuma Edisi XVII Agustus 2003</t>
  </si>
  <si>
    <t>Ev. M. Bambang Soewono</t>
  </si>
  <si>
    <t>Media Komunikasi Yasuma</t>
  </si>
  <si>
    <t xml:space="preserve">  070.482  PER</t>
  </si>
  <si>
    <t>Perkembangan Pelayanan di Papua 1996-2003</t>
  </si>
  <si>
    <t>Dilengkapi Dengan Gambar Dan Peta</t>
  </si>
  <si>
    <t>Wahana Visi Indonesia</t>
  </si>
  <si>
    <t xml:space="preserve">  070.482  SEM</t>
  </si>
  <si>
    <t>Seminar Alkitab Asia Tenggara. Bagi Kristus, Bagi Gereja, Bagi Dunia, Dan Bagi Kemuliaan Allah</t>
  </si>
  <si>
    <t>Pdt. Dr. Daniel Lucas Lukito</t>
  </si>
  <si>
    <t>Oikocredit Project Partners 2002</t>
  </si>
  <si>
    <t xml:space="preserve">Kosong </t>
  </si>
  <si>
    <t xml:space="preserve">  070.482  STT</t>
  </si>
  <si>
    <t>STT Bandung Buletin Kepemimpinan Dan Kejernihan Tujuan</t>
  </si>
  <si>
    <t>Pdt. Agus Gunawan, M.Th</t>
  </si>
  <si>
    <t>STT Bandung</t>
  </si>
  <si>
    <t>Menuju 2010</t>
  </si>
  <si>
    <t>Ransformation Connection Indonesia</t>
  </si>
  <si>
    <t>Laporan Tahun STT Bandung</t>
  </si>
  <si>
    <t>STT Bandung To the Lord, the Best, The Gretest</t>
  </si>
  <si>
    <t>Bulletin Seminari Alkitab Asia Tenggara April 2004</t>
  </si>
  <si>
    <t>Pdt. Ferry Y. Mamahit</t>
  </si>
  <si>
    <t xml:space="preserve">  070.482  STA</t>
  </si>
  <si>
    <t>Stauros Seminar Alkitab Asia Tenggara</t>
  </si>
  <si>
    <t>Dilengkapi Denga Gambar</t>
  </si>
  <si>
    <t>Pdt. Dr. David Iman Santoso</t>
  </si>
  <si>
    <t xml:space="preserve">Membangun Generasi Masa Depan </t>
  </si>
  <si>
    <t>Sturos Ladang Dianatara Gandum</t>
  </si>
  <si>
    <t xml:space="preserve">Pdt. Soetjipto Notonegoro </t>
  </si>
  <si>
    <t>Bersyukur Kepada Tuhan Atas Ciptaan-Nya Mazmur 104</t>
  </si>
  <si>
    <t>Pdt. Dr. Ferry Y. Mamahit</t>
  </si>
  <si>
    <t xml:space="preserve">  070.482  TAN</t>
  </si>
  <si>
    <t>Tanggung Jawab Seorang Anak Tuhan Nehemia 1:5-6,11</t>
  </si>
  <si>
    <t>Pdt. Dr. Rahmiati Tanudjaja</t>
  </si>
  <si>
    <t>Stauros Membangun Sebuah Warisan Yang kekal Yosua 24:25-27</t>
  </si>
  <si>
    <t xml:space="preserve">  070.482  IMA</t>
  </si>
  <si>
    <t>Iman Yang Mengalahkan  Krisis Keluaran 14:1-14</t>
  </si>
  <si>
    <t>Pdt. Dr. Kornelius  kuswanto</t>
  </si>
  <si>
    <t>Berita Jaffray Media Komunikasi STT Jaffray Makassar Tahun VIII/ No. 12/ Juni 2009</t>
  </si>
  <si>
    <t>Pdt. Dr. Daniel Ronda Th.M</t>
  </si>
  <si>
    <t>Media Komunikasi STT Jaffray Makassar</t>
  </si>
  <si>
    <t xml:space="preserve">  070.482  IND</t>
  </si>
  <si>
    <t>Indonesia Voice Yayasan Persekutuan Pengusaha-2 Injil Sepenuhnya Internasional Indonesia</t>
  </si>
  <si>
    <t>Dr. Lukas Halim</t>
  </si>
  <si>
    <t>Indonesia Voice</t>
  </si>
  <si>
    <t xml:space="preserve">  070.482  WAR</t>
  </si>
  <si>
    <t>Warta Museum, Museum Saat Ini Dan Masa Depan</t>
  </si>
  <si>
    <t>Dilengkapi Dengan Fota Atau Gambar</t>
  </si>
  <si>
    <t>Kepala Seksi Layanan Edukasi Museum Nasianal</t>
  </si>
  <si>
    <t>Warta Museum, Konsep Intrapreneuring Bagi Museum Publik</t>
  </si>
  <si>
    <t>Dilengkapi Dengan Foto Atau Gambar</t>
  </si>
  <si>
    <t>Manna Sorgawi (Mei 2009). Renungan Untuk Pribadi, Keluarga Dan Kelompok</t>
  </si>
  <si>
    <t>Maryam, Mei Katrin Posuka, S.PAK,                               Ev. Ayuningsih Benyamin, S.E., MA    Ester Simamora, S.Mis., Surtijono, STh</t>
  </si>
  <si>
    <t>Manna Sorgawi Mei 2009). Renungan Untuk Pribadi, Keluarga Dan Kelompok</t>
  </si>
  <si>
    <t xml:space="preserve">Miryam, Mei Ktrin Posuka, S.PAK,               Ev. Ayuningsih, Benyamin, S.E., MA                Ester Simamora, S. Mis., Surtijono, STh                                        </t>
  </si>
  <si>
    <t>Manna Sorgawi (Juli 2009). Renungan Untuk Pribadi, Keluarga Dan Kelompok</t>
  </si>
  <si>
    <t>Manna Sorgawi (September 2009). Renungan Untuk Pribadi, keluarga Dan Kelompok</t>
  </si>
  <si>
    <t>Manna Sorgawi (Oktober 2009) Renungan Untuk Pribadi, keluarga dan kelompok</t>
  </si>
  <si>
    <t>Manna Sorgawi (November 2009) Renungan Untuk Pribadi, Keluarga Dan kelompok</t>
  </si>
  <si>
    <t>Manna Sorgawi (Desember 2009) Renungan Untuk Pribadi, Keluarga Dan Kelompok</t>
  </si>
  <si>
    <t>Manna Sorgawi (Januari 2010) Renungan Harian Untuk Pribadi, Keluarga Dan Kelompok</t>
  </si>
  <si>
    <t>Manna Sorgawi (Februari 2010). Renungan Harian Untuk Pribadi  Keluarga dan Kelompok</t>
  </si>
  <si>
    <t>Manna Sorgawi (Marer 2010). Renungan Harian Untuk Pribadi  Keluarga dan Kelompok</t>
  </si>
  <si>
    <t>Dilengakapi Dengan Firman Tuhan</t>
  </si>
  <si>
    <t>Manna Sorgawi ( April 2010). Renungan Harian Untuk Pribadi, Keluarga dan Kelompok</t>
  </si>
  <si>
    <t>Manna Sorgawi (Mei 2010) Renungan Harian Untuk Pribadi, Keluarga dan Kelompok</t>
  </si>
  <si>
    <t>Dilengakpi Dengan Firman Tuhan</t>
  </si>
  <si>
    <t>Manna Sorgawi ( Juni 2010) Renungan Harian Untuk Pribadi, Keluarga dan Kelompok</t>
  </si>
  <si>
    <t>Manna Sorgawi (Juli 2010) Renungan Harian Untuk Pribadi, Keluarga Dan Kelompok</t>
  </si>
  <si>
    <t>Manna Sorgawi (Agustus 2010) Renungan Harian Untuk Pribadi, Keluarga Dan Kelompok</t>
  </si>
  <si>
    <t>Manna Sorgawi             ( September 2010) Renungan Harian Untuk Pribadi, Keluarga Dan Kelompok</t>
  </si>
  <si>
    <t>Manna Sorgawi ( Oktober 2010) Renungan Harian Untuk Pribadi, Keluarga Dan Kelompok</t>
  </si>
  <si>
    <t>Manna Sorgawi (November 2010) Renungan Harian Untuk Pribadi, Keluarga Dan Kelompok</t>
  </si>
  <si>
    <t xml:space="preserve">Manna Sorgawi ( Desember 2010) Renungan Harian  Untuk Pribadi, Keluarga Dan Kelompok </t>
  </si>
  <si>
    <t xml:space="preserve">Manna Sorgawi ( Januari 2011) Renungan Harian  Untuk Pribadi, Keluarga Dan Kelompok </t>
  </si>
  <si>
    <t xml:space="preserve">Manna Sorgawi (Februaru 2011) Renungan Harian  Untuk Pribadi, Keluarga Dan Kelompok </t>
  </si>
  <si>
    <t xml:space="preserve">Manna Sorgawi ( Maret 2011) Renungan Harian  Untuk Pribadi, Keluarga Dan Kelompok </t>
  </si>
  <si>
    <t xml:space="preserve">Manna Sorgawi (April 2011 Renungan Harian  Untuk Pribadi, Keluarga Dan Kelompok </t>
  </si>
  <si>
    <t xml:space="preserve">Manna Sorgawi (Mei 2011) Renungan Harian  Untuk Pribadi, Keluarga Dan Kelompok </t>
  </si>
  <si>
    <t xml:space="preserve">Manna Sorgawi ( Juni 2011) Renungan Harian  Untuk Pribadi, Keluarga Dan Kelompok </t>
  </si>
  <si>
    <t xml:space="preserve">Manna Sorgawi (Juli 2011) Renungan Harian  Untuk Pribadi, Keluarga Dan Kelompok </t>
  </si>
  <si>
    <t xml:space="preserve">Manna Sorgawi (Agustus 2011) Renungan Harian  Untuk Pribadi, Keluarga Dan Kelompok </t>
  </si>
  <si>
    <t xml:space="preserve">Manna Sorgawi (September 2011) Renungan Harian  Untuk Pribadi, Keluarga Dan Kelompok </t>
  </si>
  <si>
    <t xml:space="preserve">Manna Sorgawi (Oktober 2011) Renungan Harian  Untuk Pribadi, Keluarga Dan Kelompok </t>
  </si>
  <si>
    <t xml:space="preserve">Manna Sorgawi (November 2011) Renungan Harian  Untuk Pribadi, Keluarga Dan Kelompok </t>
  </si>
  <si>
    <t xml:space="preserve">Manna Sorgawi (Desember 2011) Renungan Harian  Untuk Pribadi, Keluarga Dan Kelompok </t>
  </si>
  <si>
    <t xml:space="preserve">Manna Sorgawi ( Januari 2012) Renungan Harian  Untuk Pribadi, Keluarga Dan Kelompok </t>
  </si>
  <si>
    <t xml:space="preserve">Manna Sorgawi (Februari 2012) Renungan Harian  Untuk Pribadi, Keluarga Dan Kelompok </t>
  </si>
  <si>
    <t xml:space="preserve">Manna Sorgawi (Maret 2012) Renungan Harian  Untuk Pribadi, Keluarga Dan Kelompok </t>
  </si>
  <si>
    <t xml:space="preserve">Manna Sorgawi (April 2012) Renungan Harian  Untuk Pribadi, Keluarga Dan Kelompok </t>
  </si>
  <si>
    <t xml:space="preserve">  070.482 MAN</t>
  </si>
  <si>
    <t xml:space="preserve">Manna Sorgawi (Mei 2012) Renungan Harian  Untuk Pribadi, Keluarga Dan Kelompok </t>
  </si>
  <si>
    <t xml:space="preserve">Manna Sorgawi (Juni 2012) Renungan Harian  Untuk Pribadi, Keluarga Dan Kelompok </t>
  </si>
  <si>
    <t xml:space="preserve">Manna Sorgawi (Juli 2012) Renungan Harian  Untuk Pribadi, Keluarga Dan Kelompok </t>
  </si>
  <si>
    <t xml:space="preserve">Manna Sorgawi (Agustus 2012) Renungan Harian  Untuk Pribadi, Keluarga Dan Kelompok </t>
  </si>
  <si>
    <t xml:space="preserve">Manna Sorgawi (September 2012) Renungan Harian  Untuk Pribadi, Keluarga Dan Kelompok </t>
  </si>
  <si>
    <t xml:space="preserve">Manna Sorgawi (Oktober 2012) Renungan Harian  Untuk Pribadi, Keluarga Dan Kelompok </t>
  </si>
  <si>
    <t xml:space="preserve">Manna Sorgawi (November 2012) Renungan Harian  Untuk Pribadi, Keluarga Dan Kelompok </t>
  </si>
  <si>
    <t xml:space="preserve">Manna Sorgawi (Januari 2013) Renungan Harian  Untuk Pribadi, Keluarga Dan Kelompok </t>
  </si>
  <si>
    <t xml:space="preserve">Manna Sorgawi (Febrari 2013) Renungan Harian  Untuk Pribadi, Keluarga Dan Kelompok </t>
  </si>
  <si>
    <t xml:space="preserve">Manna Sorgawi (Maret 2013) Renungan Harian  Untuk Pribadi, Keluarga Dan Kelompok </t>
  </si>
  <si>
    <t xml:space="preserve">Manna Sorgawi (April 2013) Renungan Harian  Untuk Pribadi, Keluarga Dan Kelompok </t>
  </si>
  <si>
    <t xml:space="preserve">Manna Sorgawi (Mei  2013) Renungan Harian  Untuk Pribadi, Keluarga Dan Kelompok </t>
  </si>
  <si>
    <t xml:space="preserve">Manna Sorgawi (Juni 2013) Renungan Harian  Untuk Pribadi, Keluarga Dan Kelompok </t>
  </si>
  <si>
    <t xml:space="preserve">Manna Sorgawi (Juli 2013) Renungan Harian  Untuk Pribadi, Keluarga Dan Kelompok </t>
  </si>
  <si>
    <t xml:space="preserve">Manna Sorgawi (Agatus 2013) Renungan Harian  Untuk Pribadi, Keluarga Dan Kelompok </t>
  </si>
  <si>
    <t xml:space="preserve">Manna Sorgawi (September  2013) Renungan Harian  Untuk Pribadi, Keluarga Dan Kelompok </t>
  </si>
  <si>
    <t xml:space="preserve">Manna Sorgawi (November 2013) Renungan Harian  Untuk Pribadi, Keluarga Dan Kelompok </t>
  </si>
  <si>
    <t xml:space="preserve">Manna Sorgawi (Desember 2013) Renungan Harian  Untuk Pribadi, Keluarga Dan Kelompok </t>
  </si>
  <si>
    <t xml:space="preserve">Manna Sorgawi (Januari 2014) Renungan Harian  Untuk Pribadi, Keluarga Dan Kelompok </t>
  </si>
  <si>
    <t xml:space="preserve">Manna Sorgawi (Febrari 2014) Renungan Harian  Untuk Pribadi, Keluarga Dan Kelompok </t>
  </si>
  <si>
    <t xml:space="preserve">Manna Sorgawi (Maret 2014) Renungan Harian  Untuk Pribadi, Keluarga Dan Kelompok </t>
  </si>
  <si>
    <t xml:space="preserve">Manna Sorgawi (April  2014) Renungan Harian  Untuk Pribadi, Keluarga Dan Kelompok </t>
  </si>
  <si>
    <t>Manna Sorgawi - Januari 2016 No.214 Tahun XVIII                    ( Ttg - Perkamen )</t>
  </si>
  <si>
    <t>Sutijono, S.Th,  et all</t>
  </si>
  <si>
    <t>Manna Sorgawi - Februari 2016 No.215 Tahun XVIII                       ( Ttg - Gantang )</t>
  </si>
  <si>
    <t>Manna Sorgawi - Maret 2016 No.216    Tahun XVIII  ( Ttg - Gantang )</t>
  </si>
  <si>
    <t>Manna Sorgawi -April 2016 No.217 Tahun XVIII     ( Ttg - Gantang )</t>
  </si>
  <si>
    <t>Manna Sorgawi - Mei 2016 No.218 Tahun XVIII   ttg Pohon Ara</t>
  </si>
  <si>
    <t>Manna Sorgawi -Juni  2016 No.219 Tahun XVIII  ttg Patam</t>
  </si>
  <si>
    <t>Manna Sorgawi -Juli  2016 No.220 Tahun XiX  ttg Garpu Hofni - Pinehas</t>
  </si>
  <si>
    <t>Wasiat Maret- April 2007. Vol. 40/ No. 3-4</t>
  </si>
  <si>
    <t>Dilengkapi Dengan Firman Tuhan Dan Gambar</t>
  </si>
  <si>
    <t>Priscilla Susanti S.Th</t>
  </si>
  <si>
    <t>Yayasan Komunikasi Bersama</t>
  </si>
  <si>
    <t>Wasiat Mei- Juni 2007. Vol. 40/ No. 5-6</t>
  </si>
  <si>
    <t>Wasiat Juli-Agustus  2007. Vol. 40/ No. 7-8</t>
  </si>
  <si>
    <t>Wasiat September-Oktober 2007           Vol. 40/No. 9-10</t>
  </si>
  <si>
    <t>Wasiat Januari-Februari 2008. Vol. 41/ No. 1-2. Iman Dan Mitos</t>
  </si>
  <si>
    <t>Wasiat Meret - April. 2008. Vpl 41 / No. 3-4</t>
  </si>
  <si>
    <t>Wasiat Mei-Juni  2008. Vol 41/ No. 5-6</t>
  </si>
  <si>
    <t>Wasiat Juli-Agustus                                     2008. Vol. 41/ No. 7-8</t>
  </si>
  <si>
    <t>Pdt. Nanang</t>
  </si>
  <si>
    <t>Wasiat September-Oktober 2008           Vol. 41/No. 9-11</t>
  </si>
  <si>
    <t>Wasiat Januari-Februari 2009. Vol. 42/ No. 1-2. Kekerasan Agama</t>
  </si>
  <si>
    <t>Wasiat Maret-April 2009. Vol. 42/ No. 3-4          Kepemimpinan</t>
  </si>
  <si>
    <t>Wasiat Mei-Juni  2009. Vol 42/ No. 5-6</t>
  </si>
  <si>
    <t>Wasit Juli-Agustus 2009. Vol. 42/ No. 7-8. Iman Dan Musik</t>
  </si>
  <si>
    <t>Wasiat September-Oktober 2009. Vol. 42/ No. 9-10</t>
  </si>
  <si>
    <t>Wasiat November- Desember. 2009. Vol. 42/ No. 11-12. Berdamai Dengan Bumi</t>
  </si>
  <si>
    <t>Wasiat Januari-Februari. Vol. 43/ No.1-2. Harapan</t>
  </si>
  <si>
    <t>Dilengkpi Dengan Firman Tuhan Dan Gambar</t>
  </si>
  <si>
    <t>Wasiat Maret-April 2010. Vol. 43/ No. 3-4          Krisis Sosial</t>
  </si>
  <si>
    <t>Wasiat Mei-juni 2010. Vol. 43/ No. 5-6. Iman Dan Sains</t>
  </si>
  <si>
    <t>Wasiat Juli-Agustus 2010. Vol. 43/ No.7-8. Karakter Murid Yesus</t>
  </si>
  <si>
    <t>Wasiat September-Oktober 2010. Vol.43/No. 9-10.  Menikah Dan Membujang</t>
  </si>
  <si>
    <t>Wasiat November-Desember 2010. Vol. 43/ No. 11-12 Natal &amp;Tradisinya</t>
  </si>
  <si>
    <t>Wasiat Januari-Februari 2011. Vol. 44/ No.1-2. Membaca Tanda-Tanda Zaman</t>
  </si>
  <si>
    <t>Wasiat Maret-April 2011. Vol. 44/ No.3-4. Salib Dan Kebangkitan</t>
  </si>
  <si>
    <t>Wasiat Mei-Juni 2011. Vol. 44/No. 5-6. Tumbuh Melalui Kegagalan</t>
  </si>
  <si>
    <t>Wasiat Juli-Agustus 2011. Vol 44/No. 7-8. Hidup Tak Selalu Muda</t>
  </si>
  <si>
    <t>Wasiat September- Oktober 2011. Vol. 44/ No.9-10. Kekerasan Seksual</t>
  </si>
  <si>
    <t>Wasiat November-Desember 2011. Vol. 44/ No.11-12. Mamonisme</t>
  </si>
  <si>
    <t>Wasiat Januari-Februari 2012. Vol. 45/ No 1-2. Allah Itu Esa</t>
  </si>
  <si>
    <t>Wasiat Maret-April 2012. Vol. 45/ No. 3-4. Menghayati Paskah</t>
  </si>
  <si>
    <t>Wasiat  Mei-Juni 2012. Vol.45/No.5-6. Sabat Untuk Manusia</t>
  </si>
  <si>
    <t xml:space="preserve">Wasiat Juli-Agustus 2012. Vol 45/ No. 7-8. Memelihara Kehidupana  </t>
  </si>
  <si>
    <t>Wasiat September-Oktober 2012. Vol 45/No. 9-10. Jangan Mencuri</t>
  </si>
  <si>
    <t>Wasiat November-Desember  2012. Vol. 45/No 11-12. Menghayati Natal</t>
  </si>
  <si>
    <t>Wasiat Januari-Februari 2013. Vol 46/ No.1-2. Doa &amp; Harapan</t>
  </si>
  <si>
    <t>Wasiat Maret-April 2013. Vol.46/ No. 3-4. Hidup Berpadanan Dengan Panggilan</t>
  </si>
  <si>
    <t>Wasiat Mei-Juni 2013. Vol. 46/No. 5-6. Menyikapi Perubahan</t>
  </si>
  <si>
    <t xml:space="preserve">Wasiat Juli-Agustus 2013. Vol. 46/ No. 7-8. Tiap Karya Diberkatinya </t>
  </si>
  <si>
    <t>Wasiat November- Desember 2013. Vol. 46/ No. 11-12.  Transformasi Budaya</t>
  </si>
  <si>
    <t>Wasiat Januari - Februari 2014. Vol. 47/ No. 1-2. Kebajikan</t>
  </si>
  <si>
    <t>Wasiat Maret -April 2014. Vol. 47/No. 1-2 Satunya Kata Dan Perbuatan</t>
  </si>
  <si>
    <t xml:space="preserve">Wasiat Mei-Juni 2014 Vol. 47/No. 5-6 Bersyukur Dan Bersaksi                </t>
  </si>
  <si>
    <t>Wasiat - Renungan Keluarga Vol.49 No.3-4  Maret - April 2016</t>
  </si>
  <si>
    <t>Pdt. Nanang , et all</t>
  </si>
  <si>
    <t>Devisi Marketing - Graha Arteri Mas</t>
  </si>
  <si>
    <t>Wasiat - Renungan Keluarga Vol.49 No.5-6  Mei- Juni 2016</t>
  </si>
  <si>
    <t>Pdt. Addi Soselia Patria , et all</t>
  </si>
  <si>
    <t>Wasiat - Renungan Keluarga Vol.50 No.9-10  September - Oktober 2017</t>
  </si>
  <si>
    <t>Wasiat - Renungan Keluarga Vol.50 No.11-12  Nopember - Desember 2017</t>
  </si>
  <si>
    <t xml:space="preserve">  070.482   REN</t>
  </si>
  <si>
    <t>Renungan Harian Spiritrenur ( KARUNIA)</t>
  </si>
  <si>
    <t>Dilengkapi Dengan Gambar Dan Ayta Firman Tuhan</t>
  </si>
  <si>
    <t>Ambar Dan Farida</t>
  </si>
  <si>
    <t>Karunia</t>
  </si>
  <si>
    <t>Renungan Harian Kenosis</t>
  </si>
  <si>
    <t>Pdt. Ricky Mantiri, S.Th (M.Th)</t>
  </si>
  <si>
    <t>Kenosis</t>
  </si>
  <si>
    <t xml:space="preserve">  070.482   REH</t>
  </si>
  <si>
    <t>Rehoboy Membagun Umta Kerajaan Sorga Dalam Kebenaran</t>
  </si>
  <si>
    <t>Pdt. DR. ErastusSabdono, M.Th                Pdt. Tohap Sihotang, S.Th</t>
  </si>
  <si>
    <t>Rehobot Ministry</t>
  </si>
  <si>
    <t xml:space="preserve">  070.482   MAS</t>
  </si>
  <si>
    <t>Masa Penghayatan Adven</t>
  </si>
  <si>
    <t>Dilengkapi Dengan Gambar dan Ayat Firman Tuhan</t>
  </si>
  <si>
    <t>Sigit Wijayanta, PhD</t>
  </si>
  <si>
    <t>Adven</t>
  </si>
  <si>
    <t>Renungan Hariaan Siang ( Mengalahkan Raksasa Kehidupan)</t>
  </si>
  <si>
    <t>Hariyano</t>
  </si>
  <si>
    <t>Renungan Malam ( Tuahn Masih Melakukan Mukjizat-Nya)</t>
  </si>
  <si>
    <t xml:space="preserve">  070.482   LAD</t>
  </si>
  <si>
    <t>Ladang Sudah Menguning Tuailah. EBEN HAEZER</t>
  </si>
  <si>
    <t>Pdt. George Tapiheru, M.Th &amp;TP4</t>
  </si>
  <si>
    <t xml:space="preserve">  070.482   SPI</t>
  </si>
  <si>
    <t>Spiritualitas Penelaan Alkitab Untuk Mahasiswa</t>
  </si>
  <si>
    <t>Dilengkapi Dengan Aya-ayat Firman Tuhan</t>
  </si>
  <si>
    <t>Liesje A. sumampouw, S.Th</t>
  </si>
  <si>
    <t>Pdt. L.A. Sumampouw Pangkey, S.Th.</t>
  </si>
  <si>
    <t>Spiritualitas Penelaan Alkitab Untuk Mahasiswa (Cita-cita Indonesia Baru Dalam Perspektif Iman Kristen</t>
  </si>
  <si>
    <t>Sondang Sirait, MM</t>
  </si>
  <si>
    <t xml:space="preserve">  070.482   SAN</t>
  </si>
  <si>
    <t>Santapan Rohani Juli.Agustu 1990 XXI/4</t>
  </si>
  <si>
    <t>Pdt. JFK Wattimena, Pdt. H. Jonathans,     Dr. R. Soedarmo,       Pdt. Elia Tjasa</t>
  </si>
  <si>
    <t xml:space="preserve">  070.482   PEN</t>
  </si>
  <si>
    <t>Pendalaman Kitab Suci Vol. 22, No. 1, Januari-Febrari 2007</t>
  </si>
  <si>
    <t>Bulatin</t>
  </si>
  <si>
    <t>Jarot Hadianto  et all</t>
  </si>
  <si>
    <t>Pendalaman Kitab Suci Vol. 23</t>
  </si>
  <si>
    <t>Dilengkapi</t>
  </si>
  <si>
    <t>Jarot Hadianto et all</t>
  </si>
  <si>
    <t>Pendalaman Kitab Suci. Vol.25, No. 1, Januari-Februari 2009</t>
  </si>
  <si>
    <t>Dilengkapi Dengan Gambar Dan Ayat-aya Firman Tuhan</t>
  </si>
  <si>
    <t>Pendalaman Kitab Suci. Vol.25, No. 3, maret- April 2010</t>
  </si>
  <si>
    <t>Pendalaman Kitab suci. Vol. 25, No. 3. Mei- Juni 2010</t>
  </si>
  <si>
    <t>Dilengkapi Dengan aya-ayat Firman Tuhan</t>
  </si>
  <si>
    <t>Pendalaman Kitab Suci. Vol. 26, No. 1, Januari-Februari 2011</t>
  </si>
  <si>
    <t>Dilengkapi dengan Aya-Ayat Firman Tuhan</t>
  </si>
  <si>
    <t>Pendalaman Kitab Suci. Vol. 26. No. 1, Maret April 2011</t>
  </si>
  <si>
    <t>Dilengkapi Dengan ayat-ayat Firman Tuhan</t>
  </si>
  <si>
    <t>Pendalaman Kitab Suci Vol. 26. No. 3, Mei-Juni 2011</t>
  </si>
  <si>
    <t>Pendalam Kitab Suci. Vol.26. No.4, Juli-Agustus 2011</t>
  </si>
  <si>
    <t>Pendalaman Kita Suci. Vol. 26, No. 5, September-Oktober 2011</t>
  </si>
  <si>
    <t>Pendalaman Kitab Suci. Vol. 27, No. 1, Januari-Februari 2012</t>
  </si>
  <si>
    <t>Pendalaman Kitab Suci. . Vol. 27, No. Juli-Agustus 2012</t>
  </si>
  <si>
    <t>Pendalaman Kitab Suci Vol. 27., No. 5, September-Oktober 2012</t>
  </si>
  <si>
    <t>Pendalaman Kitab Suci Vol. 28, No. 1, Januari-Februari 2013</t>
  </si>
  <si>
    <t>Dilengkapi ayat-ayat Firman Tuhan</t>
  </si>
  <si>
    <t>Pendalaman Kitab Suci Vol. 28, No. 3, Mei-Juni 2013</t>
  </si>
  <si>
    <t>Dilengkapi Gengan Aya-ayat Firman Tuhan</t>
  </si>
  <si>
    <t>Pendalaman Kitab Suci Vol. 28, No, Juli- Agustus 2013</t>
  </si>
  <si>
    <t>Pendalaman Kitab Suci Vol. 28, No. 6, November-Desember 2013</t>
  </si>
  <si>
    <t>Pendalaman Kitab Suci Vol. 29, No. 1, Januari-Februari 2014</t>
  </si>
  <si>
    <t>Pendalaman Kitab Suci Vol. 29, No. 2, Maret-April 2014</t>
  </si>
  <si>
    <t>Pendalaman Kitab Suci Vol. 29, No. 3, Mei-Juni 2014</t>
  </si>
  <si>
    <t>Pendalaman Kitab Suci Vol. 29, No. 4,Juli-Agustus 2014</t>
  </si>
  <si>
    <t>Pendalaman Kitab Suci Vol. 29, No.5, September-Agustus 2014</t>
  </si>
  <si>
    <t>Pendalaman Kitab Suci Volo. 29, No. 3, Mei-Juni 2014</t>
  </si>
  <si>
    <t>Pendalaman Kitab Suci Volo. 31, No. 4, Juli-Agustus 2016</t>
  </si>
  <si>
    <t>Pendalaman Kitab Suci Volo. 31, No.5, September-Oktober 2016</t>
  </si>
  <si>
    <t>Pendalaman Kitab Suci Volo. 31, No. 6, Nopember-Desember 2016</t>
  </si>
  <si>
    <t>Warta Kasih Edisi 2012 No.275.XXII-kalangan Sendiri                           ( Gereja Yang Bermisi)</t>
  </si>
  <si>
    <t>Bram Pambudianto</t>
  </si>
  <si>
    <t>Warta Kasih</t>
  </si>
  <si>
    <t>Mana Sorgawi - Juli 2015 No. 208 Tahun xviii</t>
  </si>
  <si>
    <t>Mana Sorgawi - Agustus 2015 No. 208 Tahun xviii</t>
  </si>
  <si>
    <t>Mana Sorgawi - Maret  2016 No. 216 Tahun xviii</t>
  </si>
  <si>
    <t>Mana Sorgawi - April 2016 No. 217 Tahun xix</t>
  </si>
  <si>
    <t>Pendalaman Kitab Suci Vol. 31 No.1, Januari - Februari 2016</t>
  </si>
  <si>
    <t>Dilengkapi: Foto / Gambar</t>
  </si>
  <si>
    <t>Pendalaman Kitab Suci Vol. 31 No.2, Maret - April 2016</t>
  </si>
  <si>
    <t xml:space="preserve">  070.482   WAC</t>
  </si>
  <si>
    <t>Wacana Biblika Vol. 16 No.1,Januari - Maret 2016</t>
  </si>
  <si>
    <t>Kartidaya 03 2015            Okt - Des</t>
  </si>
  <si>
    <t xml:space="preserve">  070.482   UNR</t>
  </si>
  <si>
    <t>Tentang Unrwa</t>
  </si>
  <si>
    <t>United Nations Information Centre, Jakarta - Communication Division, Jerusalem</t>
  </si>
  <si>
    <t>Mana Sorgawi Januari 2016 No.214 Tahun XIX</t>
  </si>
  <si>
    <t>YPI Kawanan Kecil Devisi Cenderamata</t>
  </si>
  <si>
    <t>R Perpustakaan</t>
  </si>
  <si>
    <t>Mana Sorgawi Pebruari 2016 No.215 Tahun XIX</t>
  </si>
  <si>
    <t>Mana Sorgawi Maret 2016 No.216 Tahun XIX</t>
  </si>
  <si>
    <t>Mana Sorgawi April  2016 No.217 Tahun XIX</t>
  </si>
  <si>
    <t>Mana Sorgawi Mei  2016 No.218</t>
  </si>
  <si>
    <t>Mana Sorgawi Juni 2016 No.219 Tahun XIX</t>
  </si>
  <si>
    <t>Mana Sorgawi Juli 2016 No.220 Tahun XIX</t>
  </si>
  <si>
    <t>Mana Sorgawi Juni 2017No.231 Tahun XX</t>
  </si>
  <si>
    <t>Mana Sorgawi Juli 2017  No.232 Tahun XX</t>
  </si>
  <si>
    <t>Mana Sorgawi  Agustus 2017 7No.233 Tahun XX</t>
  </si>
  <si>
    <t>Mana Sorgawi September 2017  No.234 Tahun XX</t>
  </si>
  <si>
    <t>Buletin Holistik Jan - Mar 2016</t>
  </si>
  <si>
    <t>Pelkesi</t>
  </si>
  <si>
    <t xml:space="preserve">     070.482      PEN</t>
  </si>
  <si>
    <t>Pendalaman Kitab Suci Volume 32, No. 1, januari - Februari 2017</t>
  </si>
  <si>
    <t>indonesia</t>
  </si>
  <si>
    <t>ISSN -0216-9894</t>
  </si>
  <si>
    <t>Wacana Biblika Vol. 17 No.2,April - Juni 2017</t>
  </si>
  <si>
    <t>070.482  SUA</t>
  </si>
  <si>
    <t>Suara Kenabian - Daily Enlightenment "Neshama Pelita Tuhan</t>
  </si>
  <si>
    <t>978-602-7408-722</t>
  </si>
  <si>
    <t xml:space="preserve">        230             SAB       p</t>
  </si>
  <si>
    <t>Pelaqjaran Sekolah Minggu - Pengenalan Akan Kasih Untuk TK &amp; SD</t>
  </si>
  <si>
    <t>Pelajaran &amp; Renungan</t>
  </si>
  <si>
    <t>070.482  TRU</t>
  </si>
  <si>
    <t>Renunganku - Truth Yunior  Edisi 82/Oktober/2016</t>
  </si>
  <si>
    <t>Renunganku - Truth For KID's  09/TK/'15</t>
  </si>
  <si>
    <t>Renunganku - Truth For KID's  10/TK/'15</t>
  </si>
  <si>
    <t>Wasiat - Renungan Keluarga Nopember - Desember 2017</t>
  </si>
  <si>
    <t>Tim Redaksi  Wasiat</t>
  </si>
  <si>
    <t>Berita Keselamatan Komitmen pada kebenaran</t>
  </si>
  <si>
    <t>Mayor H. Tuhumury</t>
  </si>
  <si>
    <t>Bala Keselamatan</t>
  </si>
  <si>
    <t>Rak majalah</t>
  </si>
  <si>
    <t>070.482 WAR</t>
  </si>
  <si>
    <t>Warta Anugerah Edisi Januari 2023</t>
  </si>
  <si>
    <t>Wasiat Renungan Keluarga Januari - Februari</t>
  </si>
  <si>
    <t>Wasiat Renungan Keluarga Maret - April</t>
  </si>
  <si>
    <t>Wasiat Renungan Keluarga Mei-Juni</t>
  </si>
  <si>
    <t>PORS. ASIA</t>
  </si>
  <si>
    <t>Ang Mabuting Balita  Tungkol kay Jesu-Cristo Ayon Kay (Juan)</t>
  </si>
  <si>
    <t xml:space="preserve">Philippine </t>
  </si>
  <si>
    <t>Dilengkapi Dengan ayat-ayat Alkitab Dalam bahasa Philippine</t>
  </si>
  <si>
    <t>The Gospel According (Today's English Version) John</t>
  </si>
  <si>
    <t>Proverbios</t>
  </si>
  <si>
    <t>Dilengkapi Dengan ayat-ayat Alkitab Dalam bahasa Dalam Bahasa Brazil</t>
  </si>
  <si>
    <t>Impresso No Brazil</t>
  </si>
  <si>
    <t>Berita Baik Karangan MARKUS</t>
  </si>
  <si>
    <t>The Bible Society Of Malaysia</t>
  </si>
  <si>
    <t xml:space="preserve">Injil Markus </t>
  </si>
  <si>
    <t>Dilengkapi Dengan Bahsa Cina</t>
  </si>
  <si>
    <t>Injil John</t>
  </si>
  <si>
    <t>Pesion Arab</t>
  </si>
  <si>
    <t>Dilengkapi Dengan Bahasa Arab</t>
  </si>
  <si>
    <t xml:space="preserve">Pesion  Bahasa Arab </t>
  </si>
  <si>
    <t>Persion bahasa Arab</t>
  </si>
  <si>
    <t>Asian Voice The Caseof the Transformed attorney</t>
  </si>
  <si>
    <t>Asian</t>
  </si>
  <si>
    <t>FGBMFI</t>
  </si>
  <si>
    <t>Howan</t>
  </si>
  <si>
    <t xml:space="preserve">Dilengkapi Dangan Gambar </t>
  </si>
  <si>
    <t>Scriptures Unlishers</t>
  </si>
  <si>
    <t>The Bible Society Of Egypt</t>
  </si>
  <si>
    <t>Arabic New Reader</t>
  </si>
  <si>
    <t>Dilengkapi Dengan Ayat AlQuran</t>
  </si>
  <si>
    <t>How Plainy it shows what he has dane? Psalm 19:1 Tev.               Heart to Heart (Feel the Heart Beat of God for 150 Days</t>
  </si>
  <si>
    <t>God's Word For Singles Stand Firman In the the Faith</t>
  </si>
  <si>
    <t xml:space="preserve">Nothing Can Separate Us from the Love Of God (Help From The Scriptures For Coping With diseases) </t>
  </si>
  <si>
    <t>Kitab Injil  Markoes</t>
  </si>
  <si>
    <t>British And Foreign Bible Society</t>
  </si>
  <si>
    <t xml:space="preserve">Peace! </t>
  </si>
  <si>
    <t>Jenesis</t>
  </si>
  <si>
    <t>The Bible Society Of Papua New Guinea Lae- Port Moresby</t>
  </si>
  <si>
    <t>ten Minutes With The Lord One Hundred Times</t>
  </si>
  <si>
    <t>God I Kisim Bek Ol Manmeri Bilong En. Eksoda</t>
  </si>
  <si>
    <t>Dilengkapi Dengan gambar Peta</t>
  </si>
  <si>
    <t>The Bible Society Of papua New Guinea Lae- Port Moresby</t>
  </si>
  <si>
    <r>
      <rPr>
        <rFont val="Calibri"/>
        <color theme="1"/>
        <sz val="9.0"/>
      </rPr>
      <t>Porsion bahasa Haiti.  LIV B</t>
    </r>
    <r>
      <rPr>
        <rFont val="Calibri"/>
        <color rgb="FF000000"/>
        <sz val="9.0"/>
      </rPr>
      <t>όn Nouvel Luk TЀ ЀKRI-A (Injil Lukas)</t>
    </r>
  </si>
  <si>
    <t>Dilengkapi Dengan Gambar Peta</t>
  </si>
  <si>
    <t>SOCIЀTЀ BibliQue HaЇTienenne</t>
  </si>
  <si>
    <t>MGA Aral NG IKALAWANG CONCILIO VATICANO.</t>
  </si>
  <si>
    <t>Pilipina</t>
  </si>
  <si>
    <t>Dilengkapi Dengan Gambar Dan Ayat-ayat Firman Tuhan</t>
  </si>
  <si>
    <t>ST. Paul Publication. Pasay City, Philippines</t>
  </si>
  <si>
    <t>RUT</t>
  </si>
  <si>
    <t xml:space="preserve">The British and Foreign Bible Society in Australia </t>
  </si>
  <si>
    <t>Rut ESTA JONA</t>
  </si>
  <si>
    <t>Papua  New Guinea</t>
  </si>
  <si>
    <t>Dilengkapi Dengan gambar Dan Ayat-ayat Firman Tuhan</t>
  </si>
  <si>
    <t xml:space="preserve">The Bible Society Of Papua New Guinea </t>
  </si>
  <si>
    <t xml:space="preserve">Marilah Lihat </t>
  </si>
  <si>
    <t xml:space="preserve"> Yohanes </t>
  </si>
  <si>
    <t>TjukUrba Pajla Markaku</t>
  </si>
  <si>
    <t>Pithantjara (Australia)</t>
  </si>
  <si>
    <t>British &amp; Foreign Bible Society Australia</t>
  </si>
  <si>
    <t>IN PIRSUIT OF PEACE</t>
  </si>
  <si>
    <t>Kitab Zaboer Jaitoe SEGALA MAZMOER</t>
  </si>
  <si>
    <t>Dilengkapi Dengan Pemazmur Daud</t>
  </si>
  <si>
    <t>Amsterdam</t>
  </si>
  <si>
    <t>1. Gutpela Nius Buk1                                                2. Gutpela Nius Buk2                               3. Gutpela Nius Buk3                                  4. Gutpela Nius Buk4</t>
  </si>
  <si>
    <t>1. Nim Nga Ik Kai Buk1                                      2. Nim Nga Ik Kai Buk2                        3. Nim Nga Ik Kai Buk3</t>
  </si>
  <si>
    <t>MATIYU</t>
  </si>
  <si>
    <t>Pasific</t>
  </si>
  <si>
    <t>The Bible Of Papua new Guinea</t>
  </si>
  <si>
    <t>Renungan Dalam Bahasa Arab</t>
  </si>
  <si>
    <t>Living Bibles Sri Lanka</t>
  </si>
  <si>
    <t>Porsion Jepang</t>
  </si>
  <si>
    <t>Maikas-a ay Liblo</t>
  </si>
  <si>
    <t>Bikpelas Jisas I Kam Long Yumi</t>
  </si>
  <si>
    <t>Pugma Arabic Life Of xt</t>
  </si>
  <si>
    <t>Porsion Japan</t>
  </si>
  <si>
    <t>Orang Yang Tiada Tandingannya      Kisah Hidup Dan Pengajara Yesus   ( The Man You Cannot Ignore)</t>
  </si>
  <si>
    <t>Malay/English</t>
  </si>
  <si>
    <t>Lembaga Alkitab  Singapura , Malaysia Dan Brunei</t>
  </si>
  <si>
    <t>Berita Baik Karangan Yahya</t>
  </si>
  <si>
    <t>The Bible Of Malaysia</t>
  </si>
  <si>
    <t>Berita Baik Karangan Lukas</t>
  </si>
  <si>
    <t>The Bible society</t>
  </si>
  <si>
    <t>Berita Baik Karangan Matius</t>
  </si>
  <si>
    <t>Jesus Who Are You?</t>
  </si>
  <si>
    <t xml:space="preserve">The Bible Society in Hong Kong </t>
  </si>
  <si>
    <t>The Gospel Of Jesus Christ</t>
  </si>
  <si>
    <t xml:space="preserve">United Bible Societies Asia Pacific Region Hong Kong </t>
  </si>
  <si>
    <t>Rejoice And Be Renewed</t>
  </si>
  <si>
    <t>America/  Philippines</t>
  </si>
  <si>
    <t xml:space="preserve">Executive Committee Of The Common Bible Translation </t>
  </si>
  <si>
    <t>The Man You Cannot Ignore</t>
  </si>
  <si>
    <t>the new testament in today's English Version</t>
  </si>
  <si>
    <t>United Bible Societies Singapore</t>
  </si>
  <si>
    <t>Love</t>
  </si>
  <si>
    <t>Dilengkapi Dengan Gambar dan disertai dengan kata-kata</t>
  </si>
  <si>
    <t>I Am Some Body</t>
  </si>
  <si>
    <t>Dilengkapi Denngan Gambara</t>
  </si>
  <si>
    <t>Moses Hero Of The Exsodus And Law Giver</t>
  </si>
  <si>
    <t>The Bible Society Of Nigeria</t>
  </si>
  <si>
    <t>Dirava Ena Hereva Oi Dekenai Buku 3</t>
  </si>
  <si>
    <t>The Bible Society Of Papua new Guinea</t>
  </si>
  <si>
    <t>Jesus Who Is He?</t>
  </si>
  <si>
    <t>Inggris/                   Jepang</t>
  </si>
  <si>
    <t>The Life Of Faith In Jesus The MESSIAH</t>
  </si>
  <si>
    <t>Surat paulus Untuk Diroma</t>
  </si>
  <si>
    <t>Surat Paulus Untuk Ibrani</t>
  </si>
  <si>
    <t>How To Write Miriam Adeney</t>
  </si>
  <si>
    <t>Asia</t>
  </si>
  <si>
    <t>Asia Evangelical Literature Fellowship</t>
  </si>
  <si>
    <t>Ia Bonne Nouvelle As Boas Nova</t>
  </si>
  <si>
    <t>Japan/ Korea</t>
  </si>
  <si>
    <t>The Gospel According To Luka</t>
  </si>
  <si>
    <t>Turning to GOD Finding a Spiritual Path to Recovery</t>
  </si>
  <si>
    <t xml:space="preserve">Taiwan </t>
  </si>
  <si>
    <t>The Bible Society In Taiwan</t>
  </si>
  <si>
    <t>Nau Doi Koranh Brah, Nau Nkoch Bri taq bah Nau Brah Ndu  Ngoi</t>
  </si>
  <si>
    <t>Vietman</t>
  </si>
  <si>
    <t>The Bible Societies In Viatnam Saigon</t>
  </si>
  <si>
    <t>The Gospel Of Luke. Coll. Japanese</t>
  </si>
  <si>
    <t>The Acts Of The Apostles. Coll. Japanese</t>
  </si>
  <si>
    <t>The Gospel Of Mark, coll. Japanese</t>
  </si>
  <si>
    <t>Daw Ino Pag-Umisa Ta Kalibutan Libro 1</t>
  </si>
  <si>
    <t>Baa Na Galekkep Ta Kalibutan Libro 2</t>
  </si>
  <si>
    <t>Isturya Tenged Ki Jacob Libro 4</t>
  </si>
  <si>
    <t>Isturya Tenged Ki Jacob Libro 5</t>
  </si>
  <si>
    <t>Mabuting Balita Para Sa Iyo</t>
  </si>
  <si>
    <t>Amoy Vernacular Psalms</t>
  </si>
  <si>
    <t>Amoy</t>
  </si>
  <si>
    <t>British And Foreign Bible Society Shanghai</t>
  </si>
  <si>
    <t>Hong Kong Bible Society</t>
  </si>
  <si>
    <t>Maikatlo ay Liblo</t>
  </si>
  <si>
    <t>In Cooperation with Bureau of Publik Schools and Instute of National Language of the Departement of Education Manila, Philippines</t>
  </si>
  <si>
    <t>The Man You Cannot Igrone</t>
  </si>
  <si>
    <t>Dilengkapi Dengan Gambar dan Peta</t>
  </si>
  <si>
    <t>The  Gospel According to Luka</t>
  </si>
  <si>
    <t xml:space="preserve">Hong Kong Bible Societies </t>
  </si>
  <si>
    <t>Rith Bible Story</t>
  </si>
  <si>
    <t>The Miraculus Change</t>
  </si>
  <si>
    <t>The Crucibixion Of Jesus</t>
  </si>
  <si>
    <t>The prodigal Son</t>
  </si>
  <si>
    <t>Jesus Is Alive</t>
  </si>
  <si>
    <t>Dilengkapi Dengan gambar</t>
  </si>
  <si>
    <t>The Good Samaitan</t>
  </si>
  <si>
    <t>Ruth</t>
  </si>
  <si>
    <t>Hong Kong Bible Society Of Month</t>
  </si>
  <si>
    <t>National Council Of Chuches Of Singapore</t>
  </si>
  <si>
    <t>Bible Society Of Singapore</t>
  </si>
  <si>
    <t>The Stori Of Ruht</t>
  </si>
  <si>
    <t>Eskimo</t>
  </si>
  <si>
    <t>Canada Bible Society</t>
  </si>
  <si>
    <t>Penampat Si Mehuni</t>
  </si>
  <si>
    <t>United Bible Prayer Supplement</t>
  </si>
  <si>
    <t>Asia Pacific</t>
  </si>
  <si>
    <t>The Gospel Of Mattew</t>
  </si>
  <si>
    <t>SI PHIAN Niet Voor Verkoop Eigendom Indsch Comite N.B.G</t>
  </si>
  <si>
    <t>Sango Malamu 2&amp;3</t>
  </si>
  <si>
    <t xml:space="preserve"> SOCIETE BIBLIQUE DU ZAIRE</t>
  </si>
  <si>
    <t>Good News</t>
  </si>
  <si>
    <t>Persion bahasa Kuoyu</t>
  </si>
  <si>
    <t>Kuo</t>
  </si>
  <si>
    <t xml:space="preserve">Persion Bahasa Arab </t>
  </si>
  <si>
    <t>Salvation For Everyone</t>
  </si>
  <si>
    <t>The Bible Society Of India</t>
  </si>
  <si>
    <t>Jesus Anyunmangung Pu Tuka Mudgu Awaning. The Sermon On The Mount</t>
  </si>
  <si>
    <t>Maung</t>
  </si>
  <si>
    <t xml:space="preserve"> The Bible Society In Australia</t>
  </si>
  <si>
    <t>Yara Urluj ta Mark Ani. Mirrawung, Selections From MARK</t>
  </si>
  <si>
    <t>John Rnss</t>
  </si>
  <si>
    <t xml:space="preserve">Rusia </t>
  </si>
  <si>
    <t>Sampulnya Berwarna Hitan</t>
  </si>
  <si>
    <t>Matjuyuku Tjukurrpa The Gospel Of Matteum</t>
  </si>
  <si>
    <t>Ngaanyatjarra &amp; English</t>
  </si>
  <si>
    <t>The Bible Society In Australia Incoprorated Canberra</t>
  </si>
  <si>
    <t>The Bible In AsiaBible Weeks In Asia</t>
  </si>
  <si>
    <t>S.J.de S, Weerasinghe</t>
  </si>
  <si>
    <t>The Bible Reading Habits Of the Habits Of The Asia Church</t>
  </si>
  <si>
    <t>The Bible In Asia, The Bible And Drama</t>
  </si>
  <si>
    <t>The Teaching And love Of Isa Masih</t>
  </si>
  <si>
    <t>The United Bible Society Of India</t>
  </si>
  <si>
    <t>The Bible Asia Reading The Bible Effectively</t>
  </si>
  <si>
    <t>The United Bible Societies by THE CHRISTIAN LITERATURE SOCIETY</t>
  </si>
  <si>
    <t xml:space="preserve">The Bible Asia Adult Bible Study </t>
  </si>
  <si>
    <t>Thai Exsodus</t>
  </si>
  <si>
    <t>Thai (CL)Proverbs</t>
  </si>
  <si>
    <t>Thai (CL) Acts</t>
  </si>
  <si>
    <t>Persion Thailand</t>
  </si>
  <si>
    <t>Sudah Kutemukan</t>
  </si>
  <si>
    <t>KK ALVI</t>
  </si>
  <si>
    <t>Jalan Alrahmat Jakarta</t>
  </si>
  <si>
    <t>Thai 2 Kings R 580</t>
  </si>
  <si>
    <t>Muangthai</t>
  </si>
  <si>
    <t>Dilengkapi Dengan Bahasa Thai</t>
  </si>
  <si>
    <t>Thai Judges</t>
  </si>
  <si>
    <t>Thai 1 Kings R 580</t>
  </si>
  <si>
    <t>Thai 1 Samuel R 580</t>
  </si>
  <si>
    <t>Thai 2 Samuel R 580</t>
  </si>
  <si>
    <t>Thai Joshua</t>
  </si>
  <si>
    <t>Thai Job R 580</t>
  </si>
  <si>
    <t>Thai Ezra R 580</t>
  </si>
  <si>
    <t>Thai Ester</t>
  </si>
  <si>
    <t>Dilemgkapi Dengan Bahasa Thai</t>
  </si>
  <si>
    <t>Populer Thai John</t>
  </si>
  <si>
    <t>Thai Jhon S570</t>
  </si>
  <si>
    <t>Thai Genesis R 580</t>
  </si>
  <si>
    <t>Thai Proverbs R570</t>
  </si>
  <si>
    <t>Thai Genesis Ch. 1-11 R 680</t>
  </si>
  <si>
    <t>Thai Nehemiah R580</t>
  </si>
  <si>
    <t>Thai Ruth R 580</t>
  </si>
  <si>
    <t>Thai The Miracle #LS690P</t>
  </si>
  <si>
    <t>Popular Thai Genesis 560</t>
  </si>
  <si>
    <t>Thai (CL) MATTEW#560</t>
  </si>
  <si>
    <t>Thai Proverbs R580</t>
  </si>
  <si>
    <t>Thai &amp; English Genesis</t>
  </si>
  <si>
    <t>The Messenger Inside a Fish</t>
  </si>
  <si>
    <t>Thailand-Inglish</t>
  </si>
  <si>
    <t>Dilengkapi Dengan gambar-gambar</t>
  </si>
  <si>
    <t>Divine Wards OF Misdom &amp;Psalms For Inspiration</t>
  </si>
  <si>
    <t>Dilengkapi Dengan Gambar-gambar</t>
  </si>
  <si>
    <t>The Prophet Solomon</t>
  </si>
  <si>
    <t>The Prophet Joseph</t>
  </si>
  <si>
    <t>The Prophet Noah</t>
  </si>
  <si>
    <t xml:space="preserve">David </t>
  </si>
  <si>
    <t>Persion Bahasa Asing Thailand</t>
  </si>
  <si>
    <t>Gospel According to ST. LUKA 590</t>
  </si>
  <si>
    <t xml:space="preserve">Pakistan Bible Society               </t>
  </si>
  <si>
    <t>Gospel According to ST.  Matthew 590</t>
  </si>
  <si>
    <t>Gospel According to ST. John 590</t>
  </si>
  <si>
    <t>West Pakistan Bible Society</t>
  </si>
  <si>
    <t>The Acts Of The Apostles</t>
  </si>
  <si>
    <t>The Bible Society Of India.</t>
  </si>
  <si>
    <t>Jesus Is Boru</t>
  </si>
  <si>
    <t>The Bible HoNG Kong Bible Sociatio</t>
  </si>
  <si>
    <t xml:space="preserve">Persion Arab </t>
  </si>
  <si>
    <t xml:space="preserve">Mezmur lar Veya Zebur </t>
  </si>
  <si>
    <t>Istanbul</t>
  </si>
  <si>
    <t>Istabul</t>
  </si>
  <si>
    <t>Kitab Indjil Johannes Dalam Bahasa Sinddhi,</t>
  </si>
  <si>
    <t>Sinddhi</t>
  </si>
  <si>
    <t>Matta Incili</t>
  </si>
  <si>
    <t>Dilengkapi Dengan bahasa Istanbul Dan gambar-gambar</t>
  </si>
  <si>
    <t>I LOVE  A GIRL</t>
  </si>
  <si>
    <t>Bahasa Arab</t>
  </si>
  <si>
    <t>Walter Trobisch</t>
  </si>
  <si>
    <t>LI'I MANANGO PAPALABANA LJUKA</t>
  </si>
  <si>
    <t>Samba</t>
  </si>
  <si>
    <t>Kampert en Hekm-  Amsterdam</t>
  </si>
  <si>
    <t>The Follwers Of Jesus The Messiah</t>
  </si>
  <si>
    <t>Inglish</t>
  </si>
  <si>
    <t>United Bible Societies Asia Pacifik Region Hong Kong</t>
  </si>
  <si>
    <t>Printed At The Karimi Press For The British &amp;Forion Bible Society</t>
  </si>
  <si>
    <t>Arab Tamil</t>
  </si>
  <si>
    <t xml:space="preserve">The Gospel Of Mark </t>
  </si>
  <si>
    <t xml:space="preserve">British And Foreign Bible Society Madras Auxiliary </t>
  </si>
  <si>
    <t>The Way Of The Pilgrim</t>
  </si>
  <si>
    <t>The Way Of Peace</t>
  </si>
  <si>
    <t>The Way Of Hope The Gospel According to Mark</t>
  </si>
  <si>
    <t>Good News For You</t>
  </si>
  <si>
    <t xml:space="preserve"> YÚHANNÁ KÍ INJÍL</t>
  </si>
  <si>
    <t>British And Foreign Bible Society, North India Auxiliary Allahabad</t>
  </si>
  <si>
    <t>Persion Bahasa Arab</t>
  </si>
  <si>
    <t xml:space="preserve">ST. LUKE </t>
  </si>
  <si>
    <t>ST. JOHN</t>
  </si>
  <si>
    <t>Injil Luke Dalam Bahasa Arab</t>
  </si>
  <si>
    <t>ST. Matthew</t>
  </si>
  <si>
    <t>Markos Incili</t>
  </si>
  <si>
    <t>Bible Society In Turkey</t>
  </si>
  <si>
    <t>Persion Arab/ sgm, Cover photo by kind Permission of Antony Miles ABIIP</t>
  </si>
  <si>
    <t xml:space="preserve">Arbic New Reader, Read &amp;Rejoice O.T.4. </t>
  </si>
  <si>
    <t>Dilengkapi Dengan Gambar Dan Bahasa Arab</t>
  </si>
  <si>
    <t>Read &amp; Rejoice N.T  ( 1 )</t>
  </si>
  <si>
    <t>Read &amp; Rejoice N.T  ( 2 )</t>
  </si>
  <si>
    <t>Read &amp; Rejoice N.T  ( 3 )</t>
  </si>
  <si>
    <t>Genesis</t>
  </si>
  <si>
    <t>Ceylon</t>
  </si>
  <si>
    <t>The Bible Socity Of Indian</t>
  </si>
  <si>
    <t>Gospel According to ST. MARK 590</t>
  </si>
  <si>
    <t>GOD NEWS FOR YOU. New Reader Scriptures Book 5 Sinhala</t>
  </si>
  <si>
    <t>CBS</t>
  </si>
  <si>
    <t xml:space="preserve"> R 580 Arabic (REV) Proverbs The Bible Society Of EGYPT</t>
  </si>
  <si>
    <t>Habercilerin Isteri (Kitab Mukaddes Sirketi)</t>
  </si>
  <si>
    <t>Dilengkapi Denga Peta</t>
  </si>
  <si>
    <t>Persion Arab</t>
  </si>
  <si>
    <t>BY.W.M. MILLER</t>
  </si>
  <si>
    <t>THE WAY TO SALVATION</t>
  </si>
  <si>
    <t>The Peg Doll</t>
  </si>
  <si>
    <t>Arab/Inglish</t>
  </si>
  <si>
    <t>Dilengkapi Dengan Buku Bergambar</t>
  </si>
  <si>
    <t>The Boy Who Ran Away</t>
  </si>
  <si>
    <t>Thai True Success Sermon on The Mount CL680</t>
  </si>
  <si>
    <t>TBS</t>
  </si>
  <si>
    <t>The Cospel According To ST. Luke</t>
  </si>
  <si>
    <t>I LOVE  A  YOUNG MAN</t>
  </si>
  <si>
    <t>By Walter Trobisch</t>
  </si>
  <si>
    <t xml:space="preserve">Life Of xt Arabic </t>
  </si>
  <si>
    <t>The Sermon On the Mount</t>
  </si>
  <si>
    <t>Good News For You Book 2</t>
  </si>
  <si>
    <t>Woord Voordedag</t>
  </si>
  <si>
    <t>Daily Words</t>
  </si>
  <si>
    <t>Gespre kken In Israel</t>
  </si>
  <si>
    <t>978 963 558 1047</t>
  </si>
  <si>
    <t>Jesus Peldazatai</t>
  </si>
  <si>
    <t xml:space="preserve">Magyar Bibleatarsulat </t>
  </si>
  <si>
    <t xml:space="preserve">Marilah- Marilah </t>
  </si>
  <si>
    <t>The Bible Sociaty Of Malaysia</t>
  </si>
  <si>
    <t>Overbs And Ecclesiastes WISDOM for MODERN MAN</t>
  </si>
  <si>
    <t>Un nino ole-l4</t>
  </si>
  <si>
    <t>Korea Portion</t>
  </si>
  <si>
    <t xml:space="preserve">Thai Good News For You Book </t>
  </si>
  <si>
    <t>Melayu</t>
  </si>
  <si>
    <t>T.S.B</t>
  </si>
  <si>
    <t xml:space="preserve">The Life and Teachingsof Jesus Christ (According to the Synoptic Gospels) </t>
  </si>
  <si>
    <t>The Bible Of Singapore &amp; Brunei</t>
  </si>
  <si>
    <t>Inddia</t>
  </si>
  <si>
    <t>Korean Porsion</t>
  </si>
  <si>
    <t>Korean Portion</t>
  </si>
  <si>
    <t>The Story of Abraham in Persian ( Dastaneh Ebrahim)</t>
  </si>
  <si>
    <t>Teherab/Iran</t>
  </si>
  <si>
    <t>Teheran/Iran</t>
  </si>
  <si>
    <t>Dr. Bruce's Revision</t>
  </si>
  <si>
    <t>BFBS&amp;ABS</t>
  </si>
  <si>
    <t xml:space="preserve">Proverbs in Persian, Reprinted from </t>
  </si>
  <si>
    <t>Teheran</t>
  </si>
  <si>
    <t>British &amp; foreign Bible Society Teheran</t>
  </si>
  <si>
    <t xml:space="preserve">The Epistle to Hebrews in  Persian </t>
  </si>
  <si>
    <t>Good News for You                                      (Book 1)</t>
  </si>
  <si>
    <t>Love For All</t>
  </si>
  <si>
    <t>Asi Pacifik</t>
  </si>
  <si>
    <t>Ingrgris</t>
  </si>
  <si>
    <t>979-504-064-2</t>
  </si>
  <si>
    <t>PENJELAJAHAN Ke PLANIT BUMI</t>
  </si>
  <si>
    <t>Bandung</t>
  </si>
  <si>
    <t>Dilengkapi Dengan Gambar Dan Cerita-cerita di dalam Alkitab</t>
  </si>
  <si>
    <t>Moris Ba Sai Liurai ( Istoria Kona Ba Jesus Nia Parte 1)</t>
  </si>
  <si>
    <t>Belun Ba Ema HOTU ( Istoria Kona-Ba Jesus Parte 2)</t>
  </si>
  <si>
    <t>NE'E SALVADOR KBI'IT NA'IN  (Istoria Ne'e Jesus Nian Parte 3)</t>
  </si>
  <si>
    <t>The Unending Journey</t>
  </si>
  <si>
    <t>The Mighty Saviour</t>
  </si>
  <si>
    <t xml:space="preserve">MOSES </t>
  </si>
  <si>
    <t>MOISES</t>
  </si>
  <si>
    <t xml:space="preserve">David The Daring </t>
  </si>
  <si>
    <t>Day Of DISASTER</t>
  </si>
  <si>
    <t xml:space="preserve">Abraham </t>
  </si>
  <si>
    <t>The Bible Sociaty Of  Singapore, Malaysia &amp; Brunei</t>
  </si>
  <si>
    <t>The Man Who TRUSTED GOD</t>
  </si>
  <si>
    <r>
      <rPr>
        <rFont val="Calibri"/>
        <color theme="1"/>
        <sz val="9.0"/>
      </rPr>
      <t>O Dil</t>
    </r>
    <r>
      <rPr>
        <rFont val="Calibri"/>
        <color rgb="FF000000"/>
        <sz val="9.0"/>
      </rPr>
      <t>úሀio                                             SUPERBOOK</t>
    </r>
  </si>
  <si>
    <t>Sociedade Biblica do Brazil</t>
  </si>
  <si>
    <t>Geprekken In Israel 1,2,3,5,7,8</t>
  </si>
  <si>
    <t>Yupaychanapaq (Takikuna)</t>
  </si>
  <si>
    <t>Peruana</t>
  </si>
  <si>
    <t>Sociedad Biblica Peruana A.C</t>
  </si>
  <si>
    <t>The Book Of Daniel In Persian</t>
  </si>
  <si>
    <t>B.S.I</t>
  </si>
  <si>
    <t>Ajaran Yesus - Matius 1 - 11:1 ( Bhs. Korea</t>
  </si>
  <si>
    <t>PORS. AFRIKA</t>
  </si>
  <si>
    <t xml:space="preserve">Habari Njema 1                                                                           </t>
  </si>
  <si>
    <t>Pors. Afrika</t>
  </si>
  <si>
    <t>Afrika</t>
  </si>
  <si>
    <t>Tanzania</t>
  </si>
  <si>
    <t xml:space="preserve">Habari Njema 2                                                                         </t>
  </si>
  <si>
    <t>Habari Ujema 4</t>
  </si>
  <si>
    <t>MATHAYO</t>
  </si>
  <si>
    <t>MHUBIRI MWANAFILOSOFIA</t>
  </si>
  <si>
    <t>The Bible Society</t>
  </si>
  <si>
    <t>Silomon Supati Embuku E 1</t>
  </si>
  <si>
    <t>The Bible Society Of Kenya</t>
  </si>
  <si>
    <t>Silomon Supati Embuku E 2</t>
  </si>
  <si>
    <t>Silomom Supati Embuku E 3</t>
  </si>
  <si>
    <t>Silomon Supati Embuku E 4</t>
  </si>
  <si>
    <t>Dengan Dengan Gambar</t>
  </si>
  <si>
    <t>Silomon Supati Embuku E 5</t>
  </si>
  <si>
    <t>Ilomon Supati Embuku 6</t>
  </si>
  <si>
    <t>RUTI</t>
  </si>
  <si>
    <t>Bible Society Of Kenya Nairobi</t>
  </si>
  <si>
    <t>Kitaaba Uumama</t>
  </si>
  <si>
    <t>Se iketibe Ke Uwem Josef</t>
  </si>
  <si>
    <t>Labarin Nuhu</t>
  </si>
  <si>
    <t>Bible Society Of Nigeria</t>
  </si>
  <si>
    <t>Orin Dafili.</t>
  </si>
  <si>
    <t>Jon</t>
  </si>
  <si>
    <t>Rut he Sane</t>
  </si>
  <si>
    <t>Bible Society Of Ghana</t>
  </si>
  <si>
    <t>Israel Ma Nimeli Kome a he Sane</t>
  </si>
  <si>
    <t>Mose Womi Nƹ Ji EnyϽ</t>
  </si>
  <si>
    <t>Yona he Sene</t>
  </si>
  <si>
    <t>Yesu Lͻ Wό</t>
  </si>
  <si>
    <t>Yesu SumϽϽ Bo</t>
  </si>
  <si>
    <t>Yesu SuƆ Mo</t>
  </si>
  <si>
    <t>GYSƹSE Kulo WƆ</t>
  </si>
  <si>
    <t>Habari Njema</t>
  </si>
  <si>
    <t xml:space="preserve">Tanzana </t>
  </si>
  <si>
    <t xml:space="preserve">Habari Njema </t>
  </si>
  <si>
    <t>Paul On the road to Damascus</t>
  </si>
  <si>
    <t>Daily Strength</t>
  </si>
  <si>
    <t xml:space="preserve">Scriture Gift Mision </t>
  </si>
  <si>
    <t xml:space="preserve">Johannnses </t>
  </si>
  <si>
    <t>Descubra Jesus</t>
  </si>
  <si>
    <t>MBUDI YARUHAFO</t>
  </si>
  <si>
    <t>GCIRIKU</t>
  </si>
  <si>
    <t>Dilengkapi Dengan Injil: Matius Markus Lukas Dan Yohanes</t>
  </si>
  <si>
    <t xml:space="preserve">Bible Society Of South Africa </t>
  </si>
  <si>
    <t xml:space="preserve">MBUDHI DHODHIWA </t>
  </si>
  <si>
    <t>The Glorius Liberty</t>
  </si>
  <si>
    <t>The Bible Society's Populer Report</t>
  </si>
  <si>
    <t>NY FIAINAN' I JESO</t>
  </si>
  <si>
    <t>Malagasy</t>
  </si>
  <si>
    <t>Malgache</t>
  </si>
  <si>
    <t>Societe Biblique de Madagascar Pour I'adaptation en Langue Malgache</t>
  </si>
  <si>
    <t>NY FIAINA</t>
  </si>
  <si>
    <t>AGAPH</t>
  </si>
  <si>
    <r>
      <rPr>
        <rFont val="Calibri"/>
        <color theme="1"/>
        <sz val="9.0"/>
      </rPr>
      <t xml:space="preserve">Enwmenez Biblike </t>
    </r>
    <r>
      <rPr>
        <rFont val="Calibri"/>
        <color rgb="FF000000"/>
        <sz val="9.0"/>
      </rPr>
      <t>Etairiez</t>
    </r>
  </si>
  <si>
    <t>EIRHNH</t>
  </si>
  <si>
    <r>
      <rPr>
        <rFont val="Calibri"/>
        <color theme="1"/>
        <sz val="9.0"/>
      </rPr>
      <t xml:space="preserve">Enwmenez Biblike </t>
    </r>
    <r>
      <rPr>
        <rFont val="Calibri"/>
        <color rgb="FF000000"/>
        <sz val="9.0"/>
      </rPr>
      <t>Etairiez</t>
    </r>
  </si>
  <si>
    <t>ELPIDA</t>
  </si>
  <si>
    <r>
      <rPr>
        <rFont val="Calibri"/>
        <color theme="1"/>
        <sz val="9.0"/>
      </rPr>
      <t xml:space="preserve">Enwmenez Biblike </t>
    </r>
    <r>
      <rPr>
        <rFont val="Calibri"/>
        <color rgb="FF000000"/>
        <sz val="9.0"/>
      </rPr>
      <t>Etairiez</t>
    </r>
  </si>
  <si>
    <t>Isaac Jacob in persian</t>
  </si>
  <si>
    <t>United Bibli Societies  Malagasy</t>
  </si>
  <si>
    <t xml:space="preserve"> Ocae </t>
  </si>
  <si>
    <t>Malgacha</t>
  </si>
  <si>
    <t>Ny Tantaran I Josefa</t>
  </si>
  <si>
    <t>Chama cha Biblia cha Kenya</t>
  </si>
  <si>
    <t>YOANE</t>
  </si>
  <si>
    <t>Kisata</t>
  </si>
  <si>
    <t xml:space="preserve"> Londres La Societen  BibliQuel Brita</t>
  </si>
  <si>
    <t xml:space="preserve">                                                           Mengetahui</t>
  </si>
  <si>
    <t>PORS. AMERIKA</t>
  </si>
  <si>
    <t>Ruth UnipkagiYauyuk</t>
  </si>
  <si>
    <t>Pors. Amerika</t>
  </si>
  <si>
    <t xml:space="preserve">Ruth </t>
  </si>
  <si>
    <t>The Bible  Society Of Nigeria 18, W</t>
  </si>
  <si>
    <t>The Good News Of Jesus. The life that changed history</t>
  </si>
  <si>
    <t>American</t>
  </si>
  <si>
    <t>By Bibli Society/Collins</t>
  </si>
  <si>
    <t>Jesus pacale dzole San Marcowa</t>
  </si>
  <si>
    <t>Guitemala</t>
  </si>
  <si>
    <t>Sociedades Biblicas en Costa Rica</t>
  </si>
  <si>
    <t>0-88834-603-4</t>
  </si>
  <si>
    <t>Atuagaksat Aniavianut Testamentitarnit</t>
  </si>
  <si>
    <t>The Canadian Bible Society</t>
  </si>
  <si>
    <t>Deus Falaa Familia</t>
  </si>
  <si>
    <t>VIDA DE JESUS</t>
  </si>
  <si>
    <t>ParaBolas De JESUS</t>
  </si>
  <si>
    <t>Salmos Na Lingugem de Hoje</t>
  </si>
  <si>
    <t>Milagres de Jesus</t>
  </si>
  <si>
    <t>Jesus Cristo e Voce</t>
  </si>
  <si>
    <t>Mateus apresenta Jesus</t>
  </si>
  <si>
    <t>Cruzada Mundial De Literatura</t>
  </si>
  <si>
    <t xml:space="preserve">O SERMAO DO MONTE Jesus </t>
  </si>
  <si>
    <t>Brasilia</t>
  </si>
  <si>
    <t xml:space="preserve">Romanos </t>
  </si>
  <si>
    <t>Jonte de agua Viva</t>
  </si>
  <si>
    <t>O Caminho</t>
  </si>
  <si>
    <t>Promesas de  Dios Para ti</t>
  </si>
  <si>
    <t xml:space="preserve">Sociedades Biblica Unidas </t>
  </si>
  <si>
    <t>De Pescadores a discipulos</t>
  </si>
  <si>
    <t>A Ovelha Perdida</t>
  </si>
  <si>
    <t>O Semeador</t>
  </si>
  <si>
    <t xml:space="preserve">Good News </t>
  </si>
  <si>
    <t>Marcos A Semente</t>
  </si>
  <si>
    <t>O Evangelho de Lucas</t>
  </si>
  <si>
    <t>O Evangelho de JOAO</t>
  </si>
  <si>
    <t>Jesuscritopa Causaynin</t>
  </si>
  <si>
    <t xml:space="preserve">Argetina </t>
  </si>
  <si>
    <t>Hana</t>
  </si>
  <si>
    <t>MIK JESUS SENE IYȌK Kḻ</t>
  </si>
  <si>
    <t>America Latin</t>
  </si>
  <si>
    <t xml:space="preserve">Un Mensaje Joven </t>
  </si>
  <si>
    <t>Jóvenes, Construyamos Ia Civiliazacion del Amor</t>
  </si>
  <si>
    <r>
      <rPr>
        <rFont val="Calibri"/>
        <color theme="1"/>
        <sz val="9.0"/>
      </rPr>
      <t>El Hombre que t</t>
    </r>
    <r>
      <rPr>
        <rFont val="Calibri"/>
        <color rgb="FF000000"/>
        <sz val="9.0"/>
      </rPr>
      <t>ú debes conocer</t>
    </r>
  </si>
  <si>
    <r>
      <rPr>
        <rFont val="Calibri"/>
        <color theme="1"/>
        <sz val="9.0"/>
      </rPr>
      <t>Porcion Ay</t>
    </r>
    <r>
      <rPr>
        <rFont val="Calibri"/>
        <color rgb="FF000000"/>
        <sz val="9.0"/>
      </rPr>
      <t>údame a vivir…</t>
    </r>
  </si>
  <si>
    <t>Milagres de Jesus 2</t>
  </si>
  <si>
    <t>Jesus Vence A Morte</t>
  </si>
  <si>
    <t>Promssas de Deus Para Voce</t>
  </si>
  <si>
    <t xml:space="preserve">Carta Aos Galatas </t>
  </si>
  <si>
    <t>brasil</t>
  </si>
  <si>
    <t>Bencaaos de Deus para Voce</t>
  </si>
  <si>
    <t>Palavras de Sabedoria para Voce</t>
  </si>
  <si>
    <t xml:space="preserve">The Birth of Jesus </t>
  </si>
  <si>
    <t>Lifestyle of Love</t>
  </si>
  <si>
    <t>Prited in United States Of America</t>
  </si>
  <si>
    <t>0-87680-792-9</t>
  </si>
  <si>
    <t>GOOD NEWS FOR EVIRYONE</t>
  </si>
  <si>
    <t>A Book About Jesus</t>
  </si>
  <si>
    <t>Not Only the Earth</t>
  </si>
  <si>
    <t>Beside Still Warters</t>
  </si>
  <si>
    <t>The Awetsome Choice</t>
  </si>
  <si>
    <t>God's Promises to You</t>
  </si>
  <si>
    <t>Great is the Company</t>
  </si>
  <si>
    <t>Wings For The Word</t>
  </si>
  <si>
    <t>Christian Giving</t>
  </si>
  <si>
    <t>United Society For Christian Literatur Lutter worth press London</t>
  </si>
  <si>
    <t>Really Free</t>
  </si>
  <si>
    <t>0-88834-633-6</t>
  </si>
  <si>
    <t>Good News From Luke</t>
  </si>
  <si>
    <t>Discover Jesus</t>
  </si>
  <si>
    <t>Peace!</t>
  </si>
  <si>
    <t>God's Waord For The Family</t>
  </si>
  <si>
    <t>Rejoice and Be Renewed</t>
  </si>
  <si>
    <t>I AM SOMEBODY</t>
  </si>
  <si>
    <t xml:space="preserve">ACT NOW! Luke tells of God's Love </t>
  </si>
  <si>
    <t xml:space="preserve">Discorvering the Gospel of Mark </t>
  </si>
  <si>
    <t>The Compassion Of Jesus</t>
  </si>
  <si>
    <t>U.S.A</t>
  </si>
  <si>
    <t>Tred And True Job For Modern Man</t>
  </si>
  <si>
    <t>How To share The Good News With Your Muslim Frind</t>
  </si>
  <si>
    <t>R.Max Kershaw</t>
  </si>
  <si>
    <t>The Right Time           Mark's Story About Jesus</t>
  </si>
  <si>
    <t>Beside Still Waters</t>
  </si>
  <si>
    <t>Good News For New Readers                              (Seri A)</t>
  </si>
  <si>
    <t xml:space="preserve">America </t>
  </si>
  <si>
    <t>Good News For New Readers                              (Seri B)</t>
  </si>
  <si>
    <t>The Linght That Gives Life</t>
  </si>
  <si>
    <t>The Normal Christian Life</t>
  </si>
  <si>
    <t>Prined in the United State of America</t>
  </si>
  <si>
    <t>Nada pode nos Separar do amor de Deus</t>
  </si>
  <si>
    <t>Good News from Mark</t>
  </si>
  <si>
    <t>Vergewist U Van Alles</t>
  </si>
  <si>
    <t>God's Multicolourred Family</t>
  </si>
  <si>
    <t>Caderno Biblico (DENGAN BERBAGAI CERITA)</t>
  </si>
  <si>
    <r>
      <rPr>
        <rFont val="Calibri"/>
        <color theme="1"/>
        <sz val="9.0"/>
      </rPr>
      <t>El Hombre que t</t>
    </r>
    <r>
      <rPr>
        <rFont val="Calibri"/>
        <color rgb="FF000000"/>
        <sz val="9.0"/>
      </rPr>
      <t>ú debes conocer</t>
    </r>
  </si>
  <si>
    <r>
      <rPr>
        <rFont val="Calibri"/>
        <color theme="1"/>
        <sz val="9.0"/>
      </rPr>
      <t>Porcion Ay</t>
    </r>
    <r>
      <rPr>
        <rFont val="Calibri"/>
        <color rgb="FF000000"/>
        <sz val="9.0"/>
      </rPr>
      <t>údame a vivir…</t>
    </r>
  </si>
  <si>
    <t>The Right Time                                                Mark's Story About Jesus</t>
  </si>
  <si>
    <t>Jesús Pacálé dzólè San Lucaswa</t>
  </si>
  <si>
    <t>Guatemala</t>
  </si>
  <si>
    <t>Spciedad Biblica Internacional</t>
  </si>
  <si>
    <t>Lecturas Biblicas Sencillas</t>
  </si>
  <si>
    <t xml:space="preserve">Argentina </t>
  </si>
  <si>
    <t>Sociedad Biblica Argentina</t>
  </si>
  <si>
    <t>0-88834-612-3</t>
  </si>
  <si>
    <t>Jesus E-Awasisiwit</t>
  </si>
  <si>
    <t>Taronto, Ontario</t>
  </si>
  <si>
    <t>How Can I Live with My Loss?</t>
  </si>
  <si>
    <t>Knowing God Through  1 PETER</t>
  </si>
  <si>
    <t>R.B.C ( Resources For Biblical Communication)</t>
  </si>
  <si>
    <t>The Greatest Story Ever Told</t>
  </si>
  <si>
    <t>Free In the Spirit Romans 8</t>
  </si>
  <si>
    <t>The Holiday Of Gad</t>
  </si>
  <si>
    <t>Why Would Goog GOD Allove Sovereignth? God: His Sovereignty</t>
  </si>
  <si>
    <t>When Trust Is Lost ( Healing For Victims Of Sexual Abuse</t>
  </si>
  <si>
    <t>Accepted By God</t>
  </si>
  <si>
    <t>Evangile Selon Jean Portin Yohanes</t>
  </si>
  <si>
    <t>Paris/ New York</t>
  </si>
  <si>
    <t>The Great News</t>
  </si>
  <si>
    <t>New York International Bible Society</t>
  </si>
  <si>
    <t>The Grace of Giving</t>
  </si>
  <si>
    <t>Edwin L. Frizen, Jr</t>
  </si>
  <si>
    <t>The story JOSEPH</t>
  </si>
  <si>
    <t>Dilengkapi Dengan Gambar dan Cerita tentang toko di Dalam Alkitab</t>
  </si>
  <si>
    <t>The Young DAVID</t>
  </si>
  <si>
    <t>The Story Of RUTH</t>
  </si>
  <si>
    <t>The Story Of NOAH</t>
  </si>
  <si>
    <t>Journey To A New Land MOSES</t>
  </si>
  <si>
    <t>Jurney To Freedom MOSES</t>
  </si>
  <si>
    <t>Jesus, O Filho de Deus</t>
  </si>
  <si>
    <t>Rasllia</t>
  </si>
  <si>
    <t>Jesus Ensinal A Viner</t>
  </si>
  <si>
    <t>Milagres De Jesus 1</t>
  </si>
  <si>
    <t>0-664-21303-0</t>
  </si>
  <si>
    <t>the Gospel of Luka</t>
  </si>
  <si>
    <t xml:space="preserve">Westminster Press </t>
  </si>
  <si>
    <t>PORS. EROPA</t>
  </si>
  <si>
    <t xml:space="preserve">Eigendom Indisch Comite N.B.G. </t>
  </si>
  <si>
    <t>Pors. Eropa</t>
  </si>
  <si>
    <t xml:space="preserve">Panjabi </t>
  </si>
  <si>
    <t>London British And Foreign Bible Society</t>
  </si>
  <si>
    <t>Warsawa (Lukas)</t>
  </si>
  <si>
    <t>Warsawa</t>
  </si>
  <si>
    <t>Warsawa Bryjskie I Zargraniczne Towarzyswo Biblijne</t>
  </si>
  <si>
    <t xml:space="preserve"> A Catalogue of the Books On Religion </t>
  </si>
  <si>
    <t>E.J.BRILL OF LEIDEN</t>
  </si>
  <si>
    <t xml:space="preserve">Christus und die Völker </t>
  </si>
  <si>
    <t>Dilengkapi Dengan Peta Dan Gambar</t>
  </si>
  <si>
    <t>Serving All churhes Servicio A Todas Las Iglesias AuService De Toutes Les Egleses</t>
  </si>
  <si>
    <t>inggis</t>
  </si>
  <si>
    <t>Ewangelia Wedlung MARKA</t>
  </si>
  <si>
    <t>Palandia</t>
  </si>
  <si>
    <t>Brytyjskie I Zagraniczne Towarzystwo Biblijne</t>
  </si>
  <si>
    <t>Ewangelia Wedlung Mateusza</t>
  </si>
  <si>
    <t>Ewangelia Wedlung Lukasaza</t>
  </si>
  <si>
    <t>Ewangelia Wedlung Jana</t>
  </si>
  <si>
    <t>LICHT</t>
  </si>
  <si>
    <t>Nederlandsch Bijbel Genootschap</t>
  </si>
  <si>
    <t>Pinchas Lapide  Ist Die Bible Richtig übersetzt?</t>
  </si>
  <si>
    <t>Gütersloher Vergshaus Gerd Mohn</t>
  </si>
  <si>
    <t>Marcus En Korinte</t>
  </si>
  <si>
    <t>Netherlandsch</t>
  </si>
  <si>
    <t>Christians In Chains</t>
  </si>
  <si>
    <t>Light Of Life-Villach-Austria</t>
  </si>
  <si>
    <t>Het Evangelie Naar Johannes</t>
  </si>
  <si>
    <t>Het Evangelie Van Mattheus</t>
  </si>
  <si>
    <t>Dru, Ribbens Djokja</t>
  </si>
  <si>
    <t>Het Evangelie Van Johannes</t>
  </si>
  <si>
    <t>Das Vaterunser in 40 Sprachen</t>
  </si>
  <si>
    <t xml:space="preserve">Dengan Berbagai bahasa: </t>
  </si>
  <si>
    <t xml:space="preserve">O bom Saritano </t>
  </si>
  <si>
    <t xml:space="preserve">O Homem que foi batizado </t>
  </si>
  <si>
    <t>De Man Die Gedoopt Werd</t>
  </si>
  <si>
    <t>Jesus Is Born</t>
  </si>
  <si>
    <t>De ark Van Noach</t>
  </si>
  <si>
    <t>Het dochtertje Van jairus</t>
  </si>
  <si>
    <t>Jona</t>
  </si>
  <si>
    <t>Zacheus</t>
  </si>
  <si>
    <t xml:space="preserve">The Person Of Christ In The Gospel And The Korban </t>
  </si>
  <si>
    <t>ABD Al-Fadi</t>
  </si>
  <si>
    <t>The Cross In the Gospel and the Koran</t>
  </si>
  <si>
    <t>Themes for The Diligent</t>
  </si>
  <si>
    <t xml:space="preserve">God Is One the Holy Trinity </t>
  </si>
  <si>
    <t>Trinity And Unity</t>
  </si>
  <si>
    <t>What Do You Think About Christ</t>
  </si>
  <si>
    <t>Tes Everything Hold On To The Good</t>
  </si>
  <si>
    <t>Why I Became A Christian</t>
  </si>
  <si>
    <t>Did God Appear In The Flesh?</t>
  </si>
  <si>
    <t>How Do We Pray ?</t>
  </si>
  <si>
    <t>Sin And Atonement In Islam And Chistianity</t>
  </si>
  <si>
    <t>The Light Of The World</t>
  </si>
  <si>
    <t>George Ford</t>
  </si>
  <si>
    <t>Christ In Islam And Christianity</t>
  </si>
  <si>
    <t>Sumnalo Evandelje Isusosko Hristosko E Jovanostar</t>
  </si>
  <si>
    <t>Biblijsko drustvo Beograd</t>
  </si>
  <si>
    <t>Teach Me Your Way O Lord</t>
  </si>
  <si>
    <t>Victory Of The Truth</t>
  </si>
  <si>
    <t>The crucifixion Of Christ: A Fact, Not Fiction</t>
  </si>
  <si>
    <t>John Gilchrist</t>
  </si>
  <si>
    <t>Die Gute Navhricht Psalamen</t>
  </si>
  <si>
    <t>Deusetsche Bibestitung Stuttgart</t>
  </si>
  <si>
    <t>MACHT</t>
  </si>
  <si>
    <t xml:space="preserve">DE Heerbaan </t>
  </si>
  <si>
    <t>N.B.G</t>
  </si>
  <si>
    <t>Gevangene Schrijft</t>
  </si>
  <si>
    <t>Verwachting En Vervulling</t>
  </si>
  <si>
    <t>De Heerbaan 2,5,&amp;6</t>
  </si>
  <si>
    <t>VAART</t>
  </si>
  <si>
    <t>LICHT (Het Evangelie Van Johanes</t>
  </si>
  <si>
    <t>Dilengkapi Dengan Bahasa Inggris Dan Peta</t>
  </si>
  <si>
    <t>Hemelvaart en Pinksteren</t>
  </si>
  <si>
    <t>In het begin</t>
  </si>
  <si>
    <t>Jesus je vstal</t>
  </si>
  <si>
    <t>Slovenian</t>
  </si>
  <si>
    <t>Buku bergambar dan disertai dgn cerita</t>
  </si>
  <si>
    <t>The Moon</t>
  </si>
  <si>
    <t>Wheatom, Illinois</t>
  </si>
  <si>
    <t>0 264 664175</t>
  </si>
  <si>
    <t>Bible Across The Word</t>
  </si>
  <si>
    <t>Neville Cryer</t>
  </si>
  <si>
    <t>Mowrays London And Oxford</t>
  </si>
  <si>
    <t>Gos's plan For Man</t>
  </si>
  <si>
    <t>Scriptuire Gift Mission</t>
  </si>
  <si>
    <t>Lord and Saviour</t>
  </si>
  <si>
    <t>The Gospel  According To</t>
  </si>
  <si>
    <t>Pourguoi</t>
  </si>
  <si>
    <t>francais</t>
  </si>
  <si>
    <t>Edite par les Societes Bibliques</t>
  </si>
  <si>
    <t>Psalms in persian</t>
  </si>
  <si>
    <t>Reprinted from the Bable of 1895</t>
  </si>
  <si>
    <t>MENSEN, MENSEN, MENSEN</t>
  </si>
  <si>
    <t>W.S. WESTERMAN</t>
  </si>
  <si>
    <t xml:space="preserve">The British And Foreigh Bible Society </t>
  </si>
  <si>
    <t>Jezus en de strom</t>
  </si>
  <si>
    <t>Dilengkapi Dengan Gambar yg menceritakan tentang kisah Jesus Kristus</t>
  </si>
  <si>
    <r>
      <rPr>
        <rFont val="Calibri"/>
        <color theme="1"/>
        <sz val="9.0"/>
      </rPr>
      <t>Zache</t>
    </r>
    <r>
      <rPr>
        <rFont val="Calibri"/>
        <color rgb="FF000000"/>
        <sz val="9.0"/>
      </rPr>
      <t>üs</t>
    </r>
  </si>
  <si>
    <t>Dilengkapi Dengan Gambar yg menceritakan tentang kisah Zakheus</t>
  </si>
  <si>
    <r>
      <rPr>
        <rFont val="Calibri"/>
        <color theme="1"/>
        <sz val="9.0"/>
      </rPr>
      <t>Bartime</t>
    </r>
    <r>
      <rPr>
        <rFont val="Calibri"/>
        <color rgb="FF000000"/>
        <sz val="9.0"/>
      </rPr>
      <t>üs</t>
    </r>
  </si>
  <si>
    <t>Dilengkapi Dengan Gambar yg Cerita kisah Bartemeus</t>
  </si>
  <si>
    <t>Jezus is opgestaan</t>
  </si>
  <si>
    <t>Dilengkapi Dengan Gambar Cerita Jesus</t>
  </si>
  <si>
    <t>Bruit In Kana</t>
  </si>
  <si>
    <t>Dilengkapi Dengan Gambar dan Cerita dalam Firman Tuhan</t>
  </si>
  <si>
    <t>Jozef</t>
  </si>
  <si>
    <t>Dilengakapi Dengan Gambar Dan Cerita tentang Kisah Yusuf</t>
  </si>
  <si>
    <t>Dilengkapi Dengan Gambar Dan Kisah Tentang Yona</t>
  </si>
  <si>
    <t>Uittocht uit Egypte</t>
  </si>
  <si>
    <t>Zachrias en Elisabet</t>
  </si>
  <si>
    <t>Dilengkapi Dengan Gambar dan cerita tentang Zakharia dan elisabet</t>
  </si>
  <si>
    <t>De verloren zoon</t>
  </si>
  <si>
    <t>Koning David</t>
  </si>
  <si>
    <t>Op weg naar het beloofde land</t>
  </si>
  <si>
    <t>De barmhartige Samaritaan</t>
  </si>
  <si>
    <t>De werkers in de wijngaard</t>
  </si>
  <si>
    <t>Genezing van een verlamde</t>
  </si>
  <si>
    <t>Jakob en Esau</t>
  </si>
  <si>
    <t>Abraham</t>
  </si>
  <si>
    <t>Dilengkapi Dengan Gambar Dan kisah Tentang Abraham</t>
  </si>
  <si>
    <t>Dilengkapi Dengan Gambar Orang Samaria</t>
  </si>
  <si>
    <r>
      <rPr>
        <rFont val="Calibri"/>
        <color theme="1"/>
        <sz val="9.0"/>
      </rPr>
      <t>Djesuny Bilin Wal</t>
    </r>
    <r>
      <rPr>
        <rFont val="Calibri"/>
        <color rgb="FF000000"/>
        <sz val="9.0"/>
      </rPr>
      <t>han</t>
    </r>
  </si>
  <si>
    <t>The Bible Society In Australia</t>
  </si>
  <si>
    <t>Tjiitjanya Wanka Nyinarra</t>
  </si>
  <si>
    <t>Djesu ga Dowu Yindi</t>
  </si>
  <si>
    <r>
      <rPr>
        <rFont val="Calibri"/>
        <color theme="1"/>
        <sz val="9.0"/>
      </rPr>
      <t>Djesu Ro</t>
    </r>
    <r>
      <rPr>
        <rFont val="Calibri"/>
        <color rgb="FF000000"/>
        <sz val="9.0"/>
      </rPr>
      <t>hiyin Djiwarr'lil</t>
    </r>
  </si>
  <si>
    <t>Tjiitjalu Kapi Pirriyantarra Kanmarrmanu</t>
  </si>
  <si>
    <t>Tjiitjanya Kutipitjangu</t>
  </si>
  <si>
    <t>God maakt alles nieuw</t>
  </si>
  <si>
    <t>De twaalfjarige Jesus</t>
  </si>
  <si>
    <t>Dilengkapi Dengan Gambar Dan Cerita Tentang Firman Tuhan</t>
  </si>
  <si>
    <t>Kracht voor vandaag en vertrouwe Voor Morge</t>
  </si>
  <si>
    <t>Alida M. Bosshardt</t>
  </si>
  <si>
    <t>Dilengkapi Dengan Gambar Bunga</t>
  </si>
  <si>
    <t>De Nieuwel Bijbel Van Een Vrij Volk</t>
  </si>
  <si>
    <t>Een Vertaling Om Voor Telezen</t>
  </si>
  <si>
    <t>De Waarhheid die tot Eeuwig Leven leidt</t>
  </si>
  <si>
    <t>Nes ammim israel</t>
  </si>
  <si>
    <t>3-7461-0030-5</t>
  </si>
  <si>
    <t>ICH GLAUBE</t>
  </si>
  <si>
    <t>Sniomarta na n-Abstal</t>
  </si>
  <si>
    <t>Hibernian</t>
  </si>
  <si>
    <t>Hibernian Bible Society</t>
  </si>
  <si>
    <t>An Soisceal naomta  ( Lucais)</t>
  </si>
  <si>
    <t>no MATEJY The Serbian language Gospel Of Matthew (One of the portions)</t>
  </si>
  <si>
    <t>PORS. AUSTRALIA</t>
  </si>
  <si>
    <t>Izesuni Gavaqa Lamanaq</t>
  </si>
  <si>
    <t>Pors. Australia</t>
  </si>
  <si>
    <t>Gahaku</t>
  </si>
  <si>
    <t>Dilengkapi Dengan Ayat-ayat Firman Tuhan Dalam</t>
  </si>
  <si>
    <t>Word Of Encouragement</t>
  </si>
  <si>
    <t>Alion Book</t>
  </si>
  <si>
    <t>Word Of Life</t>
  </si>
  <si>
    <t>Promises Of Jesus</t>
  </si>
  <si>
    <t xml:space="preserve">The Life Of Jesus </t>
  </si>
  <si>
    <t>Great Waords Of Jesus</t>
  </si>
  <si>
    <t>Word Of L Love</t>
  </si>
  <si>
    <t>Prayers Of Jesus</t>
  </si>
  <si>
    <t>Djorra Dhuyu</t>
  </si>
  <si>
    <t>The British And Foreign Bible Society In Australia</t>
  </si>
  <si>
    <t>Mak The Gospel Of Mark Sini-sina</t>
  </si>
  <si>
    <t xml:space="preserve"> The Britis And Bible Society Ini Austrateli                                                              </t>
  </si>
  <si>
    <t>Djesuwalanuwuy NamaKurru Dhuwu</t>
  </si>
  <si>
    <t>For Reading Out Loud</t>
  </si>
  <si>
    <t xml:space="preserve">Anglican Information Office SYNEY </t>
  </si>
  <si>
    <t xml:space="preserve">Dhuwundja Dahwu   Djesuwala Dwyr Dhaibghawuy Dhinjaga Nhawuy </t>
  </si>
  <si>
    <t>A Miracle Of Love</t>
  </si>
  <si>
    <t>The Word Home Bible League</t>
  </si>
  <si>
    <t>Luther's Small Catechism A Hand Book For Catechetical Instruction</t>
  </si>
  <si>
    <t>North Adelaide, South Australia (The Lutheran Book Depok)</t>
  </si>
  <si>
    <t>Ko Te Evaselio A Sagato Maleko</t>
  </si>
  <si>
    <t xml:space="preserve">Zealand </t>
  </si>
  <si>
    <t xml:space="preserve">The Bible In New Zealand. </t>
  </si>
  <si>
    <t xml:space="preserve">The Textual History Of Qur'an and The Bible </t>
  </si>
  <si>
    <t>Light Of Life. Villach/ Australia</t>
  </si>
  <si>
    <t>Looking at the Good News Bible</t>
  </si>
  <si>
    <t>The Bible In Australia</t>
  </si>
  <si>
    <t>journey Into Freedom</t>
  </si>
  <si>
    <t xml:space="preserve">Words of  FAITH </t>
  </si>
  <si>
    <t>Dilengkapi Dengan Gambar Dan Ayt Firman Tuhan</t>
  </si>
  <si>
    <t>Words of Caonfidence</t>
  </si>
  <si>
    <t>Words of THANKS</t>
  </si>
  <si>
    <t xml:space="preserve">Build Me A Boat </t>
  </si>
  <si>
    <t>Ruth Ru: TJAKU TJUKURPA</t>
  </si>
  <si>
    <t>Gideon dan Simson ( Komik )</t>
  </si>
  <si>
    <t>Porsion Ind. Non Lai</t>
  </si>
  <si>
    <t>Sekolah Alkitab Pematang Siantar</t>
  </si>
  <si>
    <t>Temuan Baru  Damai Sejati - Proyek Filipus</t>
  </si>
  <si>
    <t>Siapa Tuhan Itu ? Proyek Filipus</t>
  </si>
  <si>
    <t>Jawaban - Proyek Filipus</t>
  </si>
  <si>
    <t xml:space="preserve">226.3 CAR </t>
  </si>
  <si>
    <t>The Gospel of Mark</t>
  </si>
  <si>
    <t>070.482  DAR</t>
  </si>
  <si>
    <t>Dari Surabaya Ke Jayapura</t>
  </si>
  <si>
    <t>Persekutuan Gereja-Gereja Di Indonesia</t>
  </si>
  <si>
    <t>Dari Ambon Ke Surabaya</t>
  </si>
  <si>
    <t>wertyuioidfghjkl;'</t>
  </si>
  <si>
    <t>PORS. BHS DAERAH - NON LAI</t>
  </si>
  <si>
    <t>Lolita Katoewoea</t>
  </si>
  <si>
    <t>Pors. Bhs. Daerah -  Non LAI</t>
  </si>
  <si>
    <t>Sesusuien Makepa' Aren E Neitoudano (Cerita-cerita Menarik Dalam bahasa Tondano)</t>
  </si>
  <si>
    <t>Tondano                   Indonesia                      Inggris</t>
  </si>
  <si>
    <t>Dilengkapi Dengan Gambar Dan Cerita</t>
  </si>
  <si>
    <t>Pusat penerjemah Bahasa                      Universitas Kristen Indonesia Tomohon</t>
  </si>
  <si>
    <r>
      <rPr>
        <rFont val="Calibri"/>
        <color theme="1"/>
        <sz val="9.0"/>
      </rPr>
      <t>Injil Markus                                    U Nuwu' L</t>
    </r>
    <r>
      <rPr>
        <rFont val="Calibri"/>
        <color rgb="FF000000"/>
        <sz val="9.0"/>
      </rPr>
      <t>é'os tumoro Si Yesus Kristus</t>
    </r>
  </si>
  <si>
    <t>Tombulu</t>
  </si>
  <si>
    <t xml:space="preserve">Dilengkapi Dengan Gambar-gambar Aya-ayat Firman dan </t>
  </si>
  <si>
    <r>
      <rPr>
        <rFont val="Calibri"/>
        <color theme="1"/>
        <sz val="9.0"/>
      </rPr>
      <t>Injil Markus En Abar L</t>
    </r>
    <r>
      <rPr>
        <rFont val="Calibri"/>
        <color rgb="FF000000"/>
        <sz val="9.0"/>
      </rPr>
      <t>é'os ni Yesus Kristus</t>
    </r>
  </si>
  <si>
    <t>Tondano</t>
  </si>
  <si>
    <t>Kisah Para Rasul                                  Cirita Tentang                       Yesus pe Utusan-Utusan</t>
  </si>
  <si>
    <t>Manado</t>
  </si>
  <si>
    <t>Dilengkapi Dengan Gambar Peta Dan cerita dalam Firman Tuhan</t>
  </si>
  <si>
    <r>
      <rPr>
        <rFont val="Calibri"/>
        <color theme="1"/>
        <sz val="9.0"/>
      </rPr>
      <t>kisah Para Rasul                                  Sisilen an doro'</t>
    </r>
    <r>
      <rPr>
        <rFont val="Calibri"/>
        <color rgb="FF000000"/>
        <sz val="9.0"/>
      </rPr>
      <t>é ruru'du'an I Yesus</t>
    </r>
  </si>
  <si>
    <t>Tountemboan</t>
  </si>
  <si>
    <r>
      <rPr>
        <rFont val="Calibri"/>
        <color theme="1"/>
        <sz val="9.0"/>
      </rPr>
      <t>Kisah Para Rasul                Sirita n</t>
    </r>
    <r>
      <rPr>
        <rFont val="Calibri"/>
        <color rgb="FF000000"/>
        <sz val="9.0"/>
      </rPr>
      <t>é Aatu Ni Yesus</t>
    </r>
  </si>
  <si>
    <r>
      <rPr>
        <rFont val="Calibri"/>
        <color theme="1"/>
        <sz val="9.0"/>
      </rPr>
      <t xml:space="preserve">Kisah Para rasul                      Sisilen an doro' </t>
    </r>
    <r>
      <rPr>
        <rFont val="Calibri"/>
        <color rgb="FF000000"/>
        <sz val="9.0"/>
      </rPr>
      <t>é ruru' du'an I Yesus</t>
    </r>
  </si>
  <si>
    <t>kaheba mapia didona Puang Yesu ang nauki'     Markus                          Kabar baik Tentang Tuhan Yesus yang ditulis Oleh Markus</t>
  </si>
  <si>
    <t>Tabulahan</t>
  </si>
  <si>
    <t>Dilengkapi Dengan Gambar dan ayat-ayat Firman Tuhan</t>
  </si>
  <si>
    <t>B.P.H.S Gerja Toraja Mamasa</t>
  </si>
  <si>
    <t>Sura' Nabi Yunus</t>
  </si>
  <si>
    <t>Duri</t>
  </si>
  <si>
    <t>Kulumpang</t>
  </si>
  <si>
    <t>Tulurano Wola Ronga Kore</t>
  </si>
  <si>
    <t>Moronene</t>
  </si>
  <si>
    <t xml:space="preserve">Cerita Yusuf                        Kej 37,39-50 </t>
  </si>
  <si>
    <t>Yunus Kitab Yunus Dalam Bahasa manodo</t>
  </si>
  <si>
    <t>Tulang-Tulang Yusuf</t>
  </si>
  <si>
    <t>Majelis Pendididkan Katolik, Ujung Pandang</t>
  </si>
  <si>
    <t>Cerita NiYusuf                Kej 37,39-50</t>
  </si>
  <si>
    <t>Tonsea</t>
  </si>
  <si>
    <t>Pusat Penerjemah Bahasa UKI</t>
  </si>
  <si>
    <t>Injil Markus Un Abar Le'os ni Yesus Kristus</t>
  </si>
  <si>
    <t>Siyesus Niriing Paey Nicabai                         Yesus Dipabtis lalu dicobai</t>
  </si>
  <si>
    <t>Pendau</t>
  </si>
  <si>
    <t>Dilengkapi Dengan Gambar Dan Cerita Firman Tuhan</t>
  </si>
  <si>
    <t>Eda Tonapande                   Si Pithi Yang Cerdik</t>
  </si>
  <si>
    <t>Tim Penerjemah Bahasa Pendau</t>
  </si>
  <si>
    <t>Banya' Neintolu Bulaan</t>
  </si>
  <si>
    <t>Iona mampeulai'I hawa'Na Pue'Ala</t>
  </si>
  <si>
    <t>Behoa</t>
  </si>
  <si>
    <r>
      <rPr>
        <rFont val="Calibri"/>
        <color theme="1"/>
        <sz val="9.0"/>
      </rPr>
      <t>Ngak</t>
    </r>
    <r>
      <rPr>
        <rFont val="Calibri"/>
        <color rgb="FF000000"/>
        <sz val="9.0"/>
      </rPr>
      <t>óra' Pandiri' Kana Topohawu'</t>
    </r>
  </si>
  <si>
    <r>
      <rPr>
        <rFont val="Calibri"/>
        <color theme="1"/>
        <sz val="9.0"/>
      </rPr>
      <t>Daritak</t>
    </r>
    <r>
      <rPr>
        <rFont val="Calibri"/>
        <color rgb="FF000000"/>
        <sz val="9.0"/>
      </rPr>
      <t>áná Pesupa' Âna Iesu                          Kisah Kelahiran Yesus</t>
    </r>
  </si>
  <si>
    <t>Iesu I Rano Galilea                   Yasus Di Danau Galiea</t>
  </si>
  <si>
    <t>Urong Tonabaraka                        Belanga Ajaib</t>
  </si>
  <si>
    <t>Iesu Mopakauri' Rodua Tauna                                Yesus Menyembuhkan Dua Orang</t>
  </si>
  <si>
    <t>Iesus Mopakauri' Tauna To Napesawi'I Seta'                   Yesus menyembuhkan Orang Yang Kemasukan Roh jahat</t>
  </si>
  <si>
    <t>Ana' Ntawine To Mate Hai Towawine To Ti'Ara Nalalu                    Gadis Yang Mati Dan Wanita Yang sakit</t>
  </si>
  <si>
    <t xml:space="preserve">Ada Gempa Di Kepulauan Mentawai </t>
  </si>
  <si>
    <t>Siopu Alata'ala Nepegadoi Basa Ni'edeai Basa Rindunia</t>
  </si>
  <si>
    <t>Posimayuong Nepeonoi Posiampunong                    Perumpamaan Tentang Hamba Yang Tidak Mau Mengampuni Orang</t>
  </si>
  <si>
    <t>Posimayuong Nepeonoi Topokarajaa Rijo'ong Nuangguruonyo                  Perumpamaan Tentang Pekerjaa-Pekerjaan Di Kebun Anggur</t>
  </si>
  <si>
    <t>Kareba Kaparannoean Natonoranni Marakoe</t>
  </si>
  <si>
    <t>Toraja</t>
  </si>
  <si>
    <t>Kareba Kaparannoean Natonoranni Joane'</t>
  </si>
  <si>
    <r>
      <rPr>
        <rFont val="Calibri"/>
        <color theme="1"/>
        <sz val="9.0"/>
      </rPr>
      <t xml:space="preserve">Iesu Mowáti' </t>
    </r>
    <r>
      <rPr>
        <rFont val="Calibri"/>
        <color rgb="FF000000"/>
        <sz val="9.0"/>
      </rPr>
      <t>Ánángkói'          Yesus Memberkati Anak-anak</t>
    </r>
  </si>
  <si>
    <t>Dilengkapi Dengan Gambar Dan Aya-ayat Firman Tuhan</t>
  </si>
  <si>
    <t>Sitina Napande Nombilang                       Tina Bisa Berhitung</t>
  </si>
  <si>
    <t>Ngakóra' Marasa to nauki' Marakusi</t>
  </si>
  <si>
    <r>
      <rPr>
        <rFont val="Calibri"/>
        <color theme="1"/>
        <sz val="9.0"/>
      </rPr>
      <t>B</t>
    </r>
    <r>
      <rPr>
        <rFont val="Calibri"/>
        <color rgb="FF000000"/>
        <sz val="9.0"/>
      </rPr>
      <t>ásá Behóá</t>
    </r>
  </si>
  <si>
    <t>Kuasana Pue Yesu                I Surana Tatiu</t>
  </si>
  <si>
    <t>Napu</t>
  </si>
  <si>
    <t>Tuntukana Pobagonda Surona Pue Yesu</t>
  </si>
  <si>
    <t>Panitia Penerjemah bahasa Napu</t>
  </si>
  <si>
    <t xml:space="preserve">Ngaro Marasa                     au nauki                       MATIU </t>
  </si>
  <si>
    <t>Polaluita Alo-Alona I lalu Básá Behóá                  Buku 1 Percakapan Sehari-hari dalam bahasa Behoa Buku 1 Everyday Conversation in Behoa Book</t>
  </si>
  <si>
    <t>Panitia Pengembanagan bahasa Behoa</t>
  </si>
  <si>
    <r>
      <rPr>
        <rFont val="Calibri"/>
        <color theme="1"/>
        <sz val="9.0"/>
      </rPr>
      <t>Se'imo Soera Laolita I mPoe</t>
    </r>
    <r>
      <rPr>
        <rFont val="Calibri"/>
        <color rgb="FF000000"/>
        <sz val="9.0"/>
      </rPr>
      <t>é Isa pai ana goeroenja</t>
    </r>
  </si>
  <si>
    <t>Masina MANADO</t>
  </si>
  <si>
    <t>Testamento Tuan/ Dia Dale Hodi Lia Tetum                   A. Mathysen, Nailulik Ktholiek mak nalo</t>
  </si>
  <si>
    <t>Cerita atau tokoh yang ada dalam Alkitab</t>
  </si>
  <si>
    <t>Manga Wêke Hipile wou                                  Pêdariandi Cêbe</t>
  </si>
  <si>
    <r>
      <rPr>
        <rFont val="Calibri"/>
        <color theme="1"/>
        <sz val="9.0"/>
      </rPr>
      <t>Sangh</t>
    </r>
    <r>
      <rPr>
        <rFont val="Calibri"/>
        <color rgb="FF000000"/>
        <sz val="9.0"/>
      </rPr>
      <t>é</t>
    </r>
  </si>
  <si>
    <t>All rights reserved. Printed in the Philippines</t>
  </si>
  <si>
    <t>396.09 HAM h</t>
  </si>
  <si>
    <t>Hamonangan Na Parpudi</t>
  </si>
  <si>
    <t>Batak Toba</t>
  </si>
  <si>
    <t>Opo Yesus nake kuasa Ia pesbiak kita</t>
  </si>
  <si>
    <t>NTT/NTB</t>
  </si>
  <si>
    <t>Bhs Baru</t>
  </si>
  <si>
    <t>Lahin Endohin Peltanek fi di Oplahtala sula ejunai                        Kejadian Bahasa Baru</t>
  </si>
  <si>
    <t>Kumpulan Dongeng Dari Suku Sawai</t>
  </si>
  <si>
    <t>Sawai</t>
  </si>
  <si>
    <t>Pusat Pengkajian dan Pengembanagan Maluku</t>
  </si>
  <si>
    <t xml:space="preserve">Injil Lukas </t>
  </si>
  <si>
    <t>Nou, Pomasikata-Tabaru!                    Mari Berbahasa Tabaru!                          Let's Speak Taburu</t>
  </si>
  <si>
    <t>NTT/NTB       MALUKU</t>
  </si>
  <si>
    <t>Dilengkapai Dengan Gambar</t>
  </si>
  <si>
    <t>Tim Leterasi Suku Tabaru</t>
  </si>
  <si>
    <t>MARKUSE                             Sou Misete Bei Alla Kena Yesuse Rebe Markuse Ialenakelu          Injil Markus Dalam Bahasa Alune Dan Dilengkapi</t>
  </si>
  <si>
    <t>Dilngkapi Dengan Gambar Dan Cerita Firman Tuhan Dan Peta</t>
  </si>
  <si>
    <t>Alune Language     Located in Maluku, Indonesia</t>
  </si>
  <si>
    <t>Yusup Nin Morimori Kitab Kej 37, 39-50</t>
  </si>
  <si>
    <t>Kisar          Maluku</t>
  </si>
  <si>
    <t>Dilengkapi Dengan Cerita Firman Tuhan</t>
  </si>
  <si>
    <t>Panitia Penerjemah bahasa Kisar</t>
  </si>
  <si>
    <t>I&amp;II Tesalonika                      I&amp;II Timotius             Titus                                      Filemon</t>
  </si>
  <si>
    <t>Kisar (Meher)</t>
  </si>
  <si>
    <t>Kelompok Kerja Pengembangan Bahasa Meher</t>
  </si>
  <si>
    <t>Musa Mormiorni La'a Mesir</t>
  </si>
  <si>
    <t>NTT/NTB     Maluku</t>
  </si>
  <si>
    <t>Dilengkapi Dengan Bahasa Luang Dan Cerita di dalam Firman Tuhan</t>
  </si>
  <si>
    <t>MATIUSE                            Sou Misete Bei Alla Kena Yesuse Rebe Matiuse Ilekiule</t>
  </si>
  <si>
    <t>Dilengkapi Dengan Gambar, Peta Dan Ayat-ayat Firman Tuhan</t>
  </si>
  <si>
    <t>Pauluse Eni Sulata Ete Jemate Toini Me Kota Tesalonika, Ete Timotiuse Kai Ete Tituse</t>
  </si>
  <si>
    <t>Setia Bakti</t>
  </si>
  <si>
    <t>MARKUS                    awi Lefo</t>
  </si>
  <si>
    <t>Galela</t>
  </si>
  <si>
    <t>published 1990          Galela  Language       Located in Maluku,  Indonesia</t>
  </si>
  <si>
    <t>Alkitab Bahasa Galela     Yahanes awi Surati ma nonoma Yahanes awi Surati ma Sinoto Yahanes awi Surati ma Saange Yohanes awi Gogelelo</t>
  </si>
  <si>
    <t>Galale</t>
  </si>
  <si>
    <t>Panitia Penerjemahan Alkitab Bahasa Galela Gereja Mesehi Injil di Halmahera Wijayah Galela</t>
  </si>
  <si>
    <t>O Ishak De O Yakub Mangga Jarita                     Kitab Kejadian 25:19-36:43</t>
  </si>
  <si>
    <t>O Yusuf Awi Jarita Kitab Kejadian 35, 37, 39-50</t>
  </si>
  <si>
    <t xml:space="preserve">O Bonar De O Toko                    (Bonar Dan Ayam)                 Seri Bacaan Hiburan        </t>
  </si>
  <si>
    <t>NTT/NTB            Maluku</t>
  </si>
  <si>
    <t>Dilengkapi Dengan Cerita Dan Gambar</t>
  </si>
  <si>
    <t xml:space="preserve">Ongo Tina Moeto Manakoka                           (Tina Bisa Berhitung)                  Muatan Lokal                        </t>
  </si>
  <si>
    <t xml:space="preserve">O Gumilamo Moi                    Seekor Ular Sawa                       Seri Bacaan Pemuda                </t>
  </si>
  <si>
    <t xml:space="preserve">O Goroba Moi                     Sebuah Gerobak                     Seri Bacaan Pemula                   </t>
  </si>
  <si>
    <t xml:space="preserve">O Gomoma Ma Gogoga Pasou                            Pencegahan Penyakit Malaria                                       Seri Kesehatan                        </t>
  </si>
  <si>
    <t>Isake Kai Ripka                       Ishak Dan Ribka                      Kej 24:1-67                      Serita Buku Kisah Dari Alkitab</t>
  </si>
  <si>
    <t>NTT/NTB Maluku</t>
  </si>
  <si>
    <t>O Guusa                         (Penyakit Kulit)</t>
  </si>
  <si>
    <t>O Gomoma Ma Gogoga       (Malaria)</t>
  </si>
  <si>
    <t>O Daud de o Sam Yakulubati                                Daud Dan Sam Cacingan</t>
  </si>
  <si>
    <t xml:space="preserve">MARKUS                </t>
  </si>
  <si>
    <t>Tim Man Halla Wanakunu Yotowawa</t>
  </si>
  <si>
    <t>Roh Kudus Nina HONOWORK NAIR    Lolo Ma Nodi Yesus Lirnenihe (Kisah Para Rasul Dalam Bahasa Kisar)</t>
  </si>
  <si>
    <t>Dilengkapi Dengan Cerita,Gambar Dan Peta</t>
  </si>
  <si>
    <t>Yayasan  Sumber Sejahtera</t>
  </si>
  <si>
    <t>La'a Yusup Mormiorni             Kitab Kejadian 37-50</t>
  </si>
  <si>
    <t>Dilengkapi Dengan Gambar Dan Cerita Dalam Firman Tuhan</t>
  </si>
  <si>
    <t>Sinode GPM (Gereja Protestan Maluku)</t>
  </si>
  <si>
    <t>Uplerlawna Nohi-na'Ara Rimormiori La'pa Nuh Mormiorni Wali                                                      Kitab Kejadian 1-11</t>
  </si>
  <si>
    <t>La'a Yakop Mormiorni                         Kitab Kejadian 25-36</t>
  </si>
  <si>
    <t>Rmori Yesus                           Kelahiran Yesus</t>
  </si>
  <si>
    <t>Markus                      Na'a Vaidida</t>
  </si>
  <si>
    <t>La'a Abraham Mormiorni                Kitab Kejadian 12-24</t>
  </si>
  <si>
    <t>Dilengkapi Dengan Cerita Tentang Firman Tuhan</t>
  </si>
  <si>
    <t>Paulus Na'Enyatga Horatni La'a Krei Wokni-Le'enu Makden La Filipi, Tesalonika, Me La' Walia Timotius, Titus, Nora Filemon</t>
  </si>
  <si>
    <t>Yakowsi                        Bahasa Luang</t>
  </si>
  <si>
    <t>Kisah Para Rasul Dalam Bahsa Luang</t>
  </si>
  <si>
    <t xml:space="preserve">Kanaun Gosat Hai Makus                          Injil Markus </t>
  </si>
  <si>
    <t>Buru</t>
  </si>
  <si>
    <t>Injil MARKUS Dalam Bahasa Melayu Maluku Utara</t>
  </si>
  <si>
    <t>Carita Yesuf                               Kej 37,39-50 Dalam Bahasa Melayu Maluku Utara</t>
  </si>
  <si>
    <t>Pusat Penerjemah Bahasa UKIT</t>
  </si>
  <si>
    <t>Yunus                        Kitab Yunus dalam bahasa Melayu Maluku Utara</t>
  </si>
  <si>
    <r>
      <rPr>
        <rFont val="Calibri"/>
        <color theme="1"/>
        <sz val="9.0"/>
      </rPr>
      <t>Kyat Ta Renut Jou Yesus Ng</t>
    </r>
    <r>
      <rPr>
        <rFont val="Calibri"/>
        <color rgb="FF000000"/>
        <sz val="9.0"/>
      </rPr>
      <t>ósno Ne                  Kisah Para Rasul Dalam Bahasa Sawai</t>
    </r>
  </si>
  <si>
    <t>Sinode Gereja Masehi Injili di Halmahera</t>
  </si>
  <si>
    <t>Kanaun Gosat Hai MATIUS                              Injil Matius Dalam Bahasa Baru</t>
  </si>
  <si>
    <t>Matius                                 Loikaru Makromod Lalap Lirna Waa'an Eni</t>
  </si>
  <si>
    <t>Mehe (Kisar)</t>
  </si>
  <si>
    <t xml:space="preserve">MARKUSE                             Sou Misete Bei Alla Kena Yesuse Rebe Markuse Ialenakelu          Injil Markus Dalam Bahasa Alune </t>
  </si>
  <si>
    <t>Paulus Pung Surat-surat par Timotius, Titus, Pilemon, deng Jamaat Tesalonika</t>
  </si>
  <si>
    <t>Melayu Ambon</t>
  </si>
  <si>
    <t>1&amp;2 Tesaloknika, 1&amp;2 Timotius &amp;Titus                                    Nasehat-Sehat Untuk Jemaat dalam bahasa melatu</t>
  </si>
  <si>
    <t>Melayu Maluku Utara</t>
  </si>
  <si>
    <t>Pusat Penerjemah Alkitab</t>
  </si>
  <si>
    <t>Yesus Pung Utusang-Utusang Pung Carita          Kitab Kisah Rasul         Dalam Bahasa Ambon</t>
  </si>
  <si>
    <t>Dilengkapi Dengan Gambra Dan Cerita Tantang Firman Tuhan</t>
  </si>
  <si>
    <t>Lukas                                        Pung Kabar Bae Soal Yesus                                       Injil Lukas Dalam Bahasa Ambon</t>
  </si>
  <si>
    <t>Carita Natal                   Seri Buku Bacaan Pemula</t>
  </si>
  <si>
    <t>Melayu Dobo</t>
  </si>
  <si>
    <t>Yayasan Sulinama</t>
  </si>
  <si>
    <t>Bungah Sura'na Paulus Lako Tosarani Jio Kota         Korintus</t>
  </si>
  <si>
    <t>Dilengkapi Dengan bahasa Yunani</t>
  </si>
  <si>
    <t>LI'I MANANGO PAPALARANA LJUKA</t>
  </si>
  <si>
    <t>Dilengkapi Dengan bahasa Sunda</t>
  </si>
  <si>
    <t>Lara Paliida Pazuru</t>
  </si>
  <si>
    <t>Injili I Tetebini                       Ma Rasul                        MATEUSU                A LEFOKA</t>
  </si>
  <si>
    <t>Lolodaka</t>
  </si>
  <si>
    <t>Dilengkapi Dengan Loladaka</t>
  </si>
  <si>
    <t xml:space="preserve">Nou, Pomakata-tabaru </t>
  </si>
  <si>
    <t>Dilengkapi Dengan Gambar Dan Bahasa Tabaru</t>
  </si>
  <si>
    <t>Kerjasama UNPATTI-SIL</t>
  </si>
  <si>
    <t>Sulat Knino</t>
  </si>
  <si>
    <t>Testamento Foun Nian Dale Hodi Lia Tetum</t>
  </si>
  <si>
    <t>Tetum</t>
  </si>
  <si>
    <t>Dilengkapi Dengan Gambar Dan Daftar Isi</t>
  </si>
  <si>
    <t>Pertjetakan Arnoldus" Ende/ Flores</t>
  </si>
  <si>
    <t>Dehet Hmulan Hesa Kua Ama Lamtua Allah Koet Apan Dapa Nol Apan Kloma Kia                         Kejadian Dalam Bahasa Helong</t>
  </si>
  <si>
    <t>Helong</t>
  </si>
  <si>
    <t>Dilengkapi Denga Gamabar Dan Peta Dan Juga Bahasa Helong</t>
  </si>
  <si>
    <t>Ama lamtu Yesus Anans In Nutus Sa Oen DEHET                        Kisah Para Rasul Dalam Bahasa Helong</t>
  </si>
  <si>
    <t>Markus dui Lamatuak Yesus Dudui Malole na           Injil Markus Dalam Bahasa Dengka</t>
  </si>
  <si>
    <t>Dengka</t>
  </si>
  <si>
    <t>Dilengkapi Dengan Bahasa Dengka Dan Gambar Serta Peta</t>
  </si>
  <si>
    <t>Lamatuak Yesus Tutui Malolen Tungga          Markus Sususlan                      Injil Markus Dalam Bahasa Lole</t>
  </si>
  <si>
    <t>Lole</t>
  </si>
  <si>
    <t>Lamatuank Yesus Hataholi Nadedenu Nala Tutui Nala                               Kisah Para Rasul Dalam Bahasa Rote Tengah(Termanu)</t>
  </si>
  <si>
    <t>Termanu</t>
  </si>
  <si>
    <t>Lamatuank Yesus Tutui Malolen tungga Sususrak  MARKUS          Injil Markus Dalam Bahasa Tii</t>
  </si>
  <si>
    <t>Tii</t>
  </si>
  <si>
    <t xml:space="preserve">Daud Inesi Goliat          Daud Mengalahkan Goliat </t>
  </si>
  <si>
    <t>NTT/NTB    Maluku</t>
  </si>
  <si>
    <t>Nuaulu</t>
  </si>
  <si>
    <t>Dilengakapi Dengan Gambar dan Cerita Goliat dan daud</t>
  </si>
  <si>
    <t>MARKUS                        Yabar Ssoba ya'a Yesus Kristus, re Markus Attiya</t>
  </si>
  <si>
    <t>Dobel</t>
  </si>
  <si>
    <t>Dilengkapi Dengan Gambar Dan kisah Tentang Yesus</t>
  </si>
  <si>
    <t>Waroni Noi Wesie, Poe Tuamene                            Apa Yang Ada Di Hutan, Di Tanah</t>
  </si>
  <si>
    <t xml:space="preserve">Dilengkapi Dengan Gambar Binatang </t>
  </si>
  <si>
    <t>Teneam Runa Patona No Nikonaka Panesi                  Teneam Dan Patona Cacingan</t>
  </si>
  <si>
    <t>Dilengkapi Dengan Gambar dan Cerita Anak Cacingan</t>
  </si>
  <si>
    <t>Tuamene Nene Muaine          Makanan Alam Untuk Tanah</t>
  </si>
  <si>
    <t>Dilengkapi Dengan Gambar Dan Kegiatan Memelihararan Tanaman</t>
  </si>
  <si>
    <t>Irahu Uta Kacang                 Budidaya Tanaman Kacang-Kacangan</t>
  </si>
  <si>
    <t>Dilengkapi Dengan Gambar dan Cerita</t>
  </si>
  <si>
    <t>Unoo Etute             Saya Melihat Ekor</t>
  </si>
  <si>
    <t>Dilengkapi Dengan Gambar dan Cerita  tentang Ekor</t>
  </si>
  <si>
    <t>Irahu Paha Msinae          Bercocok Tanam Bawang Merah</t>
  </si>
  <si>
    <t>Dilengkapi Dengan Gambar dan Cerita Tentang Bercocok Tanam</t>
  </si>
  <si>
    <t>Yusuf Ani Sere Fafadi Sar ani Ma'a                    Rre 37,39-50                              Kisah Yusuf Dalam Bahasa Dobel Kej 37,39-50</t>
  </si>
  <si>
    <t>Dilengkapi Dengan Gambar Dan Ceriata Tentang Yusuf</t>
  </si>
  <si>
    <r>
      <rPr>
        <rFont val="Calibri"/>
        <color theme="1"/>
        <sz val="9.0"/>
      </rPr>
      <t>Dan</t>
    </r>
    <r>
      <rPr>
        <rFont val="Calibri"/>
        <color rgb="FF000000"/>
        <sz val="9.0"/>
      </rPr>
      <t>öu Gasua Jan Dauk Yesus Igara-Gara                       Daajar Jerbaca Pel Dakou Gambar</t>
    </r>
  </si>
  <si>
    <t>Dialek Feruni</t>
  </si>
  <si>
    <t>Dilengkapi Dengan Gambar Dan belajar membaca dan Mewarnai Melalui Permainan</t>
  </si>
  <si>
    <t>Komitmen Pengembangan Bahasa-bahasa Aru</t>
  </si>
  <si>
    <t>Tkunwa Ishak Wasi Tuhwoban Kheyeike    25-50                  Sejarah Turunan Ishak Kej 25-50</t>
  </si>
  <si>
    <t>Selaru</t>
  </si>
  <si>
    <t>Dilengkapi Dengan Gambar dan cerita Sejarah Turunan Ishak</t>
  </si>
  <si>
    <t>Yunus, Yunus dalam Bahasa Selaru</t>
  </si>
  <si>
    <t>Dilengkapi Dengan</t>
  </si>
  <si>
    <t>Yesus Kanei Oboban Moni'Moninai Ir Dapo Tau Epepir Er Darter Ka Darsirpei Aka Tamata                                                          Kisah Rasul Dalam Bahasa Barat (Dialek Feruni)</t>
  </si>
  <si>
    <t>(Diealek Feruni)</t>
  </si>
  <si>
    <t>Dilengkapi Dengan Gamabr dan cerita</t>
  </si>
  <si>
    <t>Tim Penerjemah Bahasa Tarangan Barat Komite  Pengembangan  Bahasa-bahasa Aru</t>
  </si>
  <si>
    <t>Yesus Igara               Kelahiran Yesus Dalam Bahasa Tangaran Barat</t>
  </si>
  <si>
    <t>Tangarang Barat</t>
  </si>
  <si>
    <t>Dilengkapi Dengan Cerita Kelahiran Tuhan Yesus</t>
  </si>
  <si>
    <t>Yesus Igara Cerita natal Dari Ijil Matius dan Injil Lukas Dalam Bahasa Tarangan Barat (Dialek Furunia)</t>
  </si>
  <si>
    <t>Cerita Natal dan Injil Matius Dan Injil Lukas</t>
  </si>
  <si>
    <t xml:space="preserve">Yunus                     Kitab Yunus Dalam Bahasa Tarangan Barat                               </t>
  </si>
  <si>
    <t>Tarangan Barat</t>
  </si>
  <si>
    <t>Dilengkapi Dengan Gambar Dan Cerita Yunus Serta Peta</t>
  </si>
  <si>
    <t>AI TOROA DE O NGIHIA MOI            Mertuaku Dan Seekor Ular</t>
  </si>
  <si>
    <t xml:space="preserve">Sio Maisosia No Atata        Kisah Para Rasul                 Dalam Bahasa Nuaulu </t>
  </si>
  <si>
    <t>Dilengkapi Dengan Gambar Dan Cerita Kisah Para Rasul</t>
  </si>
  <si>
    <t>Yesus Ahrata                       Cerita Natal                          Dari Injil Matius Dan Injil Lukas Dalam bahasa Kola</t>
  </si>
  <si>
    <t>Kola</t>
  </si>
  <si>
    <t>Dilengakapi Dengan Gambar Dan Cerita Kelahiran Yesus</t>
  </si>
  <si>
    <t>Fahnau Ka Wabloba Aka"Yesus Ahrata"          Ceriata Natal: Belajar Membeca Dan Mewarnai Melalui Permainan</t>
  </si>
  <si>
    <t xml:space="preserve">Dilengkapi Dengan Gambar dan Cerita Tentang Kelahiran Yesus </t>
  </si>
  <si>
    <t>Khyehyeike 1-24            ti Tel Maslyarkwe         Kejadian 1-24   Dalam Bahasa Selalru</t>
  </si>
  <si>
    <t xml:space="preserve">Dilengkapi Dengan Gambar Dan Cerita yang </t>
  </si>
  <si>
    <t>Habari Roanga ra Lukas     toma demo Sahu</t>
  </si>
  <si>
    <t>Halmahera</t>
  </si>
  <si>
    <t>Yayasan Tagala Rano</t>
  </si>
  <si>
    <t>Otaufani Ilalamo De O Nuh (Riwayat Nuh Dan Kebanjiran)</t>
  </si>
  <si>
    <t>Dilengkapi Dengan Gambar Dan Cerita Tentang Nuh</t>
  </si>
  <si>
    <t>O Dunia Ma Dodadi          Pencipta Dunia</t>
  </si>
  <si>
    <t>Dilengkapi Dengan Gambar Cerita Tentang Penciptaan</t>
  </si>
  <si>
    <t>O Kain De Habel             Kain Dan Habel</t>
  </si>
  <si>
    <t>Dilengkapi Dengan Gambar dan Ceriat Tentang Kain Dan Habel</t>
  </si>
  <si>
    <t>O Tuma Datotesere         Burung Bangau Yang Rakus</t>
  </si>
  <si>
    <t>Dilengkapi Dengan dan Cerita Tentang Rurung Bangau Yang Rakus</t>
  </si>
  <si>
    <t xml:space="preserve">O Pedeke Moi Ma Demo Dala                          Katak Yang Burmulut Besar </t>
  </si>
  <si>
    <t>Dilengkapi Dengan Gambar Dan Cerita yang menarik yaitu Katak Yang Suka Bahasa Galela</t>
  </si>
  <si>
    <t>Nagoona O Deru Yalutu                  Siapa Yang Menenggelamkan Perahu?</t>
  </si>
  <si>
    <t>Dilengkapi Dengan Cerita Tentang  Siapa Yang Menenggelamkan Perahu???</t>
  </si>
  <si>
    <t>Yesus Akwara            Cerita Natal: dari Injil Matius dan Injil Lukas Dalam bahasa Dobel</t>
  </si>
  <si>
    <t>Wornau Ya'a Kkwakwa "Yesus Akwara"                     Cerita Natal: Belajar Membaca dan Mewarnai Melalui Permainan</t>
  </si>
  <si>
    <t>Yesus Lahir                      Cerita natal: dari Injil Matius dan Injil Lukas dalam Bahasa Melayu Dobo</t>
  </si>
  <si>
    <t>Dobo</t>
  </si>
  <si>
    <t>Yayasan Sejahtera</t>
  </si>
  <si>
    <t xml:space="preserve">O Ngopa De                o Ngoosa                             Seorang Anak Dan Bulan Itu            </t>
  </si>
  <si>
    <t>Dilengkapi Dengan Gambar Dan Cerita Seorang anak Dan Bulan</t>
  </si>
  <si>
    <t>O Made Ma Panyake               Penyakit Kelami</t>
  </si>
  <si>
    <t>Dilengkapi Dengan Gambar Dan Cerita Tentang Penyakit Kelamin</t>
  </si>
  <si>
    <t xml:space="preserve">O Suyu Gena Nanga Rohe Ma Rano Yabodito                    Merokok Berbahaya Bagi Kesehatan                        </t>
  </si>
  <si>
    <t>Dilengkapi Dengan Gambar Dan Cerita Tentang Merokok Berbahaya Bagi Kesehatan</t>
  </si>
  <si>
    <t>O Yohanes O Captikus Walawangi                          Yohanes  Melawan Minuman Keras</t>
  </si>
  <si>
    <t>Dilengkapi Dengan Gambar Dan Tentang Cerita Yohanes Melawan Minuman Keras</t>
  </si>
  <si>
    <t>Ongo Lena Momadoto O Tauge Maaka             Lena Belajar Membuat Tauge</t>
  </si>
  <si>
    <t>Dilengkapi Dengan Gambar Dan Cerita Tentang Lena Belajar Membuat Tauge</t>
  </si>
  <si>
    <t>O Gikimoi Awi Jaji Wacohp Dede                           O Abraham De Lo Awi Ngopa De Awi Danoka       Kitab Kejadian 12:1-25:18</t>
  </si>
  <si>
    <t>Dilengkapi Dengan Gambar Dan cerita Tentang Kitab Kejadian 12:1-25:18</t>
  </si>
  <si>
    <t>Sababu O Aids So O Wales Wosone                                   Wles Mati Karena AIDS</t>
  </si>
  <si>
    <t>Dilengkapi Dengan Gambar Dan Cerita Tentang  Wale Mati Karena AIDS</t>
  </si>
  <si>
    <t>Anto Awi Tamate Ma Doro ( Kebun Anto)</t>
  </si>
  <si>
    <t>Dilengkapi Dengan cerita tentang  Kebun Anto</t>
  </si>
  <si>
    <t>O Sou Gena Ma Ngale O Kia                                                         Apa itu Obat?</t>
  </si>
  <si>
    <t xml:space="preserve">O Ede Moi                  Seorang Nenek </t>
  </si>
  <si>
    <t>Tonitiho O Totoade Moi                Melewati Sebuah Cerita Rakyat</t>
  </si>
  <si>
    <t>Dilengkapi Dengan Cerita Dan gambar</t>
  </si>
  <si>
    <t>Ongo Ede O Rica Ma Gahu Moaka                      Nenek membuat Bubuk Cabe</t>
  </si>
  <si>
    <t xml:space="preserve">Pedoman Penghayatan dan Pengalaman Pancasila                                  Pancasila Ma Mamalo De Ma Manara Ma Siminiko </t>
  </si>
  <si>
    <t>Dilengkapi Dengan Cerita Pancasila</t>
  </si>
  <si>
    <t>Numa Wani Erohokai Roi Nante                         Menara Babel</t>
  </si>
  <si>
    <t>Dilengkapi Dengan Cerita Menara Babel</t>
  </si>
  <si>
    <t>Paulus Ne Surata Osi Sio Tesalonika, Ne Surata Osi Timotius, Runa Ne Surate Osi Titus</t>
  </si>
  <si>
    <t>Dilengkapi Dengan Gambar Dan Cerita Alkitab</t>
  </si>
  <si>
    <t>Pengajahan-Pengajahan      Deside                               Isa Almasih</t>
  </si>
  <si>
    <t>Sasak</t>
  </si>
  <si>
    <t>SGM Indonesia</t>
  </si>
  <si>
    <t>O Yesus Kristus                                   Awi Dodoto</t>
  </si>
  <si>
    <t>Scripture Gift Mission, Eccleston Hall, Eccleston Street, London, S.W.1, England</t>
  </si>
  <si>
    <t>AIKUNE                       Kitab Kejadian  dalam bahasa Nuaulu</t>
  </si>
  <si>
    <t xml:space="preserve">Dilengkapi Dengan Gambar Dan Cerita Tentang Kitab Kejadian </t>
  </si>
  <si>
    <t>INDJIL                                      DARIBE FILI MATTHEJOES</t>
  </si>
  <si>
    <t>Masare</t>
  </si>
  <si>
    <t>Dilengkapi Dengan Ayat Firman Tuhan</t>
  </si>
  <si>
    <t>URUM</t>
  </si>
  <si>
    <t>PAPUA</t>
  </si>
  <si>
    <t>Dani Barat</t>
  </si>
  <si>
    <t xml:space="preserve">Dilengkapi Dengan Ayat Firman Tuhan </t>
  </si>
  <si>
    <t>Bafujap Terpen Defate Bawantek I W                       Desa terpen Terhindar Dari Penyakit Flu Burung</t>
  </si>
  <si>
    <t>Mpu, Indonesia, Inggeris</t>
  </si>
  <si>
    <t>Dilengkapi Dengan Dengan Gambar &amp; Bebagai Bahasa Mpur, Indonesia, Inggeris</t>
  </si>
  <si>
    <t>Yayasan Betania Indonesia</t>
  </si>
  <si>
    <t>Yusufa Aut Kutut Bawantek Ma Mu K AIDS                            Yusuf Mati Karena AIDS</t>
  </si>
  <si>
    <t>Mpu, Indonesia</t>
  </si>
  <si>
    <t>Dilengkapi Dengan Gambar Dan Cerita Tentang Yusuf Mati Kena AIDS</t>
  </si>
  <si>
    <t>Tubo Tammate Mapia Tangkadake                      --Kuasa To Taditondom Yabona Lino--                     --Kuasa Di atas Segala Kuasa Di Dunia--</t>
  </si>
  <si>
    <t>Bambam</t>
  </si>
  <si>
    <t>Panitia Penerjemah Bahasa Bambam</t>
  </si>
  <si>
    <t xml:space="preserve">Lukas </t>
  </si>
  <si>
    <t>World Home Bible League South Holland, Ill. U.S.A</t>
  </si>
  <si>
    <t>Roma, 1 Korintus, Galatia, Efesus, Wahyu</t>
  </si>
  <si>
    <t>Irian Jaya, Indonesia                    (Katengban)</t>
  </si>
  <si>
    <t>Allah Aki Markus po dete'I hel tok</t>
  </si>
  <si>
    <t>Kaure</t>
  </si>
  <si>
    <t>Dilengkapi Dengan cerita Tentang Alkitab</t>
  </si>
  <si>
    <t>Lukat Wone</t>
  </si>
  <si>
    <t xml:space="preserve">Dani </t>
  </si>
  <si>
    <t>Enggavoter We'er Urati        Kisah Para Rasul dalam Bahasa Mairasi                               Irian Jaya, Indonesia</t>
  </si>
  <si>
    <t>Panitia Bahasa Mairasi</t>
  </si>
  <si>
    <t xml:space="preserve">Yesusuere Fariri Amori         </t>
  </si>
  <si>
    <t>Buku Wahyu</t>
  </si>
  <si>
    <t>YAPKRI</t>
  </si>
  <si>
    <t>2 Korintus                           Ibrani</t>
  </si>
  <si>
    <t xml:space="preserve">                                                                                                                                                                                                                                                                                                                                                                                                                                                                                                                                                                                                                                                                                                                                                                                                                                                                                                                                                                                                                                                                                                                                                                                                                                                                                                                                                                                                                                                                                                                                                                                                                                                                                                                                                                                                                                                                                                                                                                                                                                                                                                                                                                                                                                                                                                                                                                                                                                                                                                            </t>
  </si>
  <si>
    <t>Dilengkapi Dengan Gamabar   Dan Cerita Firman Tuhan</t>
  </si>
  <si>
    <t>Galatia, Efesus, Filipi, Kolose</t>
  </si>
  <si>
    <r>
      <rPr>
        <rFont val="Calibri"/>
        <color theme="1"/>
        <sz val="9.0"/>
      </rPr>
      <t>Yesus mo dam tasibin zini mae hap de a</t>
    </r>
    <r>
      <rPr>
        <rFont val="Calibri"/>
        <color rgb="FF000000"/>
        <sz val="9.0"/>
      </rPr>
      <t>ïsïl                  Kisah Para Rasul Dalam bahasa Orya</t>
    </r>
  </si>
  <si>
    <t>Markusmo Ol Dawem</t>
  </si>
  <si>
    <t xml:space="preserve">Dilengkapi Dengan Gamabr Seta ayat-ayat Firman Tuhan Dan Juga Peta </t>
  </si>
  <si>
    <t>Percetakan Universitas Cenderawasih</t>
  </si>
  <si>
    <t>Yesus Igara                          Cerita Natal dari Injil Matius dan Injil Lukas dalam bahasa Tarangan Barat (Dialek Barat)</t>
  </si>
  <si>
    <t>Dilengkapi DenganGambar dan Cerita kelahiran Yesus</t>
  </si>
  <si>
    <t>Kikliboka Si En Dinyi           Kamus Bergambar              Bahasa Una         Bahasa Indonesia</t>
  </si>
  <si>
    <t>Una</t>
  </si>
  <si>
    <t xml:space="preserve">Dilengkapi Dengan Gambar-Gambar Hewan  </t>
  </si>
  <si>
    <t>Ililaam Uram               Keladi Raksasa</t>
  </si>
  <si>
    <t>Dilengkapi Dengan cerita Keladi Raksasa</t>
  </si>
  <si>
    <t>Nukde Ban Eterena Uram 5</t>
  </si>
  <si>
    <t>Dilengkapi Dengan Buku Matetika Program SBH Una</t>
  </si>
  <si>
    <t>Yusuf AIDS Aryi                    Dibmou Deyok                     Yusuf Mati Karena AIDS</t>
  </si>
  <si>
    <t>Buku Berpikir Kritis 1</t>
  </si>
  <si>
    <t>Iwan AB Kwatima Tok AB Deyok                                 Iwan Dan Ular Bisa</t>
  </si>
  <si>
    <t>Kirim Ab Bib Ab, Antaniboka Kurandei            Persahabatan Ayam Dan Elang</t>
  </si>
  <si>
    <t>Dilengkapi Dengan Gambar dan Cerita Persahabatan Ayam Dan Elang</t>
  </si>
  <si>
    <t>Saboka Yina Aryi Ninyi Nakina Donung Deyok         Merokok Berbahaya Bagi kesehatan</t>
  </si>
  <si>
    <t>Dilengkapi Dengan Gambar Dan Cerita Tentang Merokok</t>
  </si>
  <si>
    <t>Babel Atei Doramnyi Deyok                             Menara Babel</t>
  </si>
  <si>
    <t>Dilengkapi Dengan Gambar Dan Cerita Tentang Menara Babel</t>
  </si>
  <si>
    <t>Yayasan YAKPESMI</t>
  </si>
  <si>
    <t>Musa Kam Kuramwe Talak Uram                    Kehidupan Musa: Masa Muda</t>
  </si>
  <si>
    <t>Daud Biryi Goliat Bisi Obmou Deyok                            Daud Mengalahkan Goliat</t>
  </si>
  <si>
    <t>Er Imtamnyi Biryi Musa Bokdonokmou Uram                   Musa: Utusan Allah</t>
  </si>
  <si>
    <t>Yesus Kristus                       nggiwa nai men gum sok mo Yefun Allah bi rus-i</t>
  </si>
  <si>
    <t>Abun</t>
  </si>
  <si>
    <t>Otyin Trar hra Yakub Wfe                                              Cerita Mengenai Yusuf Dalam Buku Kejadian</t>
  </si>
  <si>
    <t>Tehit</t>
  </si>
  <si>
    <t>Cerita Tentang Kisah Yusuf  Dalam Kejadian</t>
  </si>
  <si>
    <t>Yayasan Betania Irian Jaya</t>
  </si>
  <si>
    <t>Yusuf Wadi Fe Aids                     Yusuf Mati karena Aids</t>
  </si>
  <si>
    <t>Tehit Kna Saifi</t>
  </si>
  <si>
    <t>Cerita Tentang Yusuf Mati karena Aids</t>
  </si>
  <si>
    <t>Dase Wasira Keb Yonemo Bogaira</t>
  </si>
  <si>
    <t>Foe</t>
  </si>
  <si>
    <t>The British &amp; Foreign Bible Society In Australia</t>
  </si>
  <si>
    <t xml:space="preserve">Dauti Sobu Kahai Bosi-Bosi                        Daud Kena Luka Borok </t>
  </si>
  <si>
    <t>Ambai</t>
  </si>
  <si>
    <t>Cerita Tentang Dau Kena Luka Borok</t>
  </si>
  <si>
    <t>Yosia Aids See Ikiyoo Kaa Boota                  Yosias Mati karena AIDS</t>
  </si>
  <si>
    <t>Auye</t>
  </si>
  <si>
    <t>Cerita Tentang Yosias Mati Kerena Aids</t>
  </si>
  <si>
    <t>Yesus Nyan Owenaa Aefanev Jaanoug Tan Naug Sur                       Yesus Menyembuhkan Orang yang Kemasukan Roh Jahat</t>
  </si>
  <si>
    <t>Cerita Tentang Yesus Menyebuhkan Orang yang Kemasukan Roh Jahat</t>
  </si>
  <si>
    <t>Yesus Nyan Nargwarogwav            Kisah kelahiran Yesus</t>
  </si>
  <si>
    <t>Dilengkapi Cerita Tentang Kisah Kelahiran Yesus</t>
  </si>
  <si>
    <t>Wasasi Tantan Avar Aefanari                                                             Perumpamaan Penabur</t>
  </si>
  <si>
    <t>Dilengkapi Dengan Gambar Tentang Perumpamaan Penabur</t>
  </si>
  <si>
    <t>Tato Namor Nanggen Nan                                 Anak Hilang</t>
  </si>
  <si>
    <t>Dilengkapi Dengan Gambar Tentang Perumpamaan Anak Yang Hilang</t>
  </si>
  <si>
    <t>Katgunip Kayan - Kejadian dalam Bahasa Wambon</t>
  </si>
  <si>
    <t>Wambon</t>
  </si>
  <si>
    <t>Yayasan Misi Penginjilan Pemuridan di Papua</t>
  </si>
  <si>
    <t>Markus - Injil Markus dalam Bahasa Rote Tengah ( Termanu )</t>
  </si>
  <si>
    <t>Yohanes Aksara Jawa</t>
  </si>
  <si>
    <t>Bhs. Jawa</t>
  </si>
  <si>
    <t>BFBS</t>
  </si>
  <si>
    <t>Matius</t>
  </si>
  <si>
    <t>76 (121-199)</t>
  </si>
  <si>
    <t>Para Rasul</t>
  </si>
  <si>
    <t>76 (261-337)</t>
  </si>
  <si>
    <t>Indjil Soetji Jochanan</t>
  </si>
  <si>
    <t>Yohanes Aksara Arab Bahasa Jawa</t>
  </si>
  <si>
    <t>Lelampahane Para Rasoel</t>
  </si>
  <si>
    <t>Johannes</t>
  </si>
  <si>
    <t>Indjil Loekas</t>
  </si>
  <si>
    <t>Bhs. Indonesia</t>
  </si>
  <si>
    <t>Matius Aksara Jawa</t>
  </si>
  <si>
    <t>Markus Aksara Jawa</t>
  </si>
  <si>
    <t>Kisah Rasul Aksara Jawa</t>
  </si>
  <si>
    <t>Johanes Aksara Jawa</t>
  </si>
  <si>
    <t>Lukas Aksara Jawa</t>
  </si>
  <si>
    <t>Careta Saratos Empa</t>
  </si>
  <si>
    <t>Bhs. Madura</t>
  </si>
  <si>
    <t>979-3083-11-5</t>
  </si>
  <si>
    <t>Uplerawna Nohi-Na'Ara Nohkerna-Rai Miaran Di</t>
  </si>
  <si>
    <t>979-3083-10-7</t>
  </si>
  <si>
    <t>Nuh Lernana Gera Ktiowru-Opli Nhia'a</t>
  </si>
  <si>
    <t>979-3083-13-1</t>
  </si>
  <si>
    <t>Yesus Natlier Lia Pat Samaria</t>
  </si>
  <si>
    <t>979-3083-14-X</t>
  </si>
  <si>
    <t>Yakopa Nora Hyalli Esau</t>
  </si>
  <si>
    <t>979-3038-12-3</t>
  </si>
  <si>
    <t>Kain Norwutga Habel</t>
  </si>
  <si>
    <t>979-3083-56-5</t>
  </si>
  <si>
    <t>Boro Ro Mkair-Kar Sor Mai Tabam Ro Mesir</t>
  </si>
  <si>
    <t>979-3083-55-7</t>
  </si>
  <si>
    <t>Masmair Ro Musa Wore Wo Yaku</t>
  </si>
  <si>
    <t>979-3083-54-9</t>
  </si>
  <si>
    <t>Syoh Maboh Sau Miya Yunus</t>
  </si>
  <si>
    <t>979-3083-60-3</t>
  </si>
  <si>
    <t>Allah Yno Riof K'Daniel</t>
  </si>
  <si>
    <t>Daud Ysya Yao Sam Mafa Saba</t>
  </si>
  <si>
    <t>Tabak Sikowah Raa Tibyo Kiyam</t>
  </si>
  <si>
    <t>Bokias Ro Yesus Kristus</t>
  </si>
  <si>
    <t>Percetakan UC</t>
  </si>
  <si>
    <t>Filipi 1&amp;2 Tesalonika 1&amp;2 Timotius Titus Filemon</t>
  </si>
  <si>
    <t xml:space="preserve">   </t>
  </si>
  <si>
    <t>Matius Kisah Para-rasul Yakobus</t>
  </si>
  <si>
    <t xml:space="preserve"> 1&amp;2 Tesalonika 1&amp;2 Timotius Titus Filemon</t>
  </si>
  <si>
    <t>YSS</t>
  </si>
  <si>
    <t>Yusuf Ni Tomu</t>
  </si>
  <si>
    <t>Nabi Yunus</t>
  </si>
  <si>
    <t>Nggon Ge Dik Yo Mo Syur Wak</t>
  </si>
  <si>
    <t>YBIJ</t>
  </si>
  <si>
    <t>Surat Bok Yo Gato Paulus, Yakobus Si Yohanes Krom Ne</t>
  </si>
  <si>
    <t>Sukdu Subot Yusuf</t>
  </si>
  <si>
    <t>Aunau We Ato Na Kaiwo Ambai</t>
  </si>
  <si>
    <t>Kaiwo Mahikai Na Rukasi</t>
  </si>
  <si>
    <t>IBS</t>
  </si>
  <si>
    <t>1korintus Galatia Filipi Filemoni Yakobusi 1,2,3 Yohanesi</t>
  </si>
  <si>
    <t>979-3083-16-6</t>
  </si>
  <si>
    <t>Daud Me Goliat See Mee Damaa To Wogemaata Menaa</t>
  </si>
  <si>
    <t>979-3083-15-8</t>
  </si>
  <si>
    <t>Yunus Doge Damaa To Me Nookomeeta Menaa</t>
  </si>
  <si>
    <t>979-3083-18-2</t>
  </si>
  <si>
    <t>Musa Me Ukuwata Peeta Menaa</t>
  </si>
  <si>
    <t>979-3083-20-4</t>
  </si>
  <si>
    <t>Yusup Me Ukuwata Peeta Menaa</t>
  </si>
  <si>
    <t>979-3083-19-8</t>
  </si>
  <si>
    <t>Elia Me Ukuwata Peeta Menaa</t>
  </si>
  <si>
    <t>979-3083-17-4</t>
  </si>
  <si>
    <t>Tuhan Me Mesir Magaa Kaa Pedeo Agiyoo Yamiyaata Menaa</t>
  </si>
  <si>
    <t>Markus Taterisi Waakena Aiserem Tulistababili</t>
  </si>
  <si>
    <t>Berik</t>
  </si>
  <si>
    <t>Damat Daniel Si Singa Fai Ousdam Ke Bumat Laba Nom Voohemu</t>
  </si>
  <si>
    <t>Bauzi</t>
  </si>
  <si>
    <t>Bohe Faena Fai Labe Yunus Tolazehe Im</t>
  </si>
  <si>
    <t>Kejadian Buku 1</t>
  </si>
  <si>
    <t>YKH</t>
  </si>
  <si>
    <t>Kejadian Buku 2</t>
  </si>
  <si>
    <t>Kejadian Buku 3</t>
  </si>
  <si>
    <t>Taterisi Buku aa je Etamwelamana</t>
  </si>
  <si>
    <t>Yesus Kristus</t>
  </si>
  <si>
    <t>Markus</t>
  </si>
  <si>
    <t>Citak</t>
  </si>
  <si>
    <t>TEAM</t>
  </si>
  <si>
    <t>Hingam-hingam</t>
  </si>
  <si>
    <t>Damal</t>
  </si>
  <si>
    <t>Flores</t>
  </si>
  <si>
    <t>AEF</t>
  </si>
  <si>
    <t>Na Lii Manangoe Palawitina I Loekahoe</t>
  </si>
  <si>
    <t>Kambera</t>
  </si>
  <si>
    <t>Na Rukuda Da Papahurungu</t>
  </si>
  <si>
    <t>Indjil Sino Isi Jahja</t>
  </si>
  <si>
    <t>Imbi Pu</t>
  </si>
  <si>
    <t>Bima</t>
  </si>
  <si>
    <t>YAKIN</t>
  </si>
  <si>
    <t>Tana'o Pu</t>
  </si>
  <si>
    <t>Ringa Pu</t>
  </si>
  <si>
    <t>Mai Ra</t>
  </si>
  <si>
    <t xml:space="preserve">Margi Rahayu </t>
  </si>
  <si>
    <t>Bak</t>
  </si>
  <si>
    <t>Widi Sane tur Sane Jumeneng Langgeng</t>
  </si>
  <si>
    <t>Liafoun Diak Ba Imi</t>
  </si>
  <si>
    <t>Dili</t>
  </si>
  <si>
    <t>Usif Yesus In Haef Ein Sin Reta</t>
  </si>
  <si>
    <t>Amarasi</t>
  </si>
  <si>
    <t>AWP</t>
  </si>
  <si>
    <t>Na'I Yesus Niakan Mamfatin Di'ak</t>
  </si>
  <si>
    <t>Nu mla Babel</t>
  </si>
  <si>
    <t>Yamdena</t>
  </si>
  <si>
    <t>Ibar Ngamone ma nof Yesus Kristus ni Momorip</t>
  </si>
  <si>
    <t>Habari Roanga Ra Markus</t>
  </si>
  <si>
    <t>Sahu</t>
  </si>
  <si>
    <t>Kata kunci</t>
  </si>
  <si>
    <t>YASUMA</t>
  </si>
  <si>
    <t>Carita Mula-mula</t>
  </si>
  <si>
    <t>Nasihat-nasihat Kasi Jama'at Dong</t>
  </si>
  <si>
    <t>Lii Lole neti Ana Pajuu-paleha Lamatua Yesus</t>
  </si>
  <si>
    <t>Ndao</t>
  </si>
  <si>
    <t xml:space="preserve">AWP </t>
  </si>
  <si>
    <t>Li'I kira ndaa ngiki li'I ndandi ndaa ngero</t>
  </si>
  <si>
    <t>Lasi Soel Aknino Oenoe</t>
  </si>
  <si>
    <t>Kesah Penyawo Yesus</t>
  </si>
  <si>
    <t>Tewoyan</t>
  </si>
  <si>
    <t>Ewnggelion Injoerat Mateoes Iete Saritan Pembelom Toehan Jesoes</t>
  </si>
  <si>
    <t>Ngaju</t>
  </si>
  <si>
    <t>Injil Adi Nuris San Mataios</t>
  </si>
  <si>
    <t>Darat</t>
  </si>
  <si>
    <t>Surat Sarita</t>
  </si>
  <si>
    <t>BMB</t>
  </si>
  <si>
    <t>Aji Mana Madakuti Ka Ebijamakita</t>
  </si>
  <si>
    <t>Kapauku</t>
  </si>
  <si>
    <t>Ki Me Napal Hin Emelingam me</t>
  </si>
  <si>
    <t>Boginet-Te</t>
  </si>
  <si>
    <t>Yesusav Titisrimana Vain Pev Pane Matai Mai Na</t>
  </si>
  <si>
    <t>Isirawa</t>
  </si>
  <si>
    <t>Jesusi Bu 1</t>
  </si>
  <si>
    <t>Edopi</t>
  </si>
  <si>
    <t>YPPM</t>
  </si>
  <si>
    <t>Jesusi Bu 2</t>
  </si>
  <si>
    <t>Ada Da Boko Kua Boko Topedidi Bu</t>
  </si>
  <si>
    <t>Allah Upu Buku Rasul</t>
  </si>
  <si>
    <t>Ketengban</t>
  </si>
  <si>
    <t>Gambar dan Peta</t>
  </si>
  <si>
    <t>Yesus Kristus Momon</t>
  </si>
  <si>
    <t>Kwerba</t>
  </si>
  <si>
    <t>Timon Peterut Eke Nagagerak Wone</t>
  </si>
  <si>
    <t>Dani</t>
  </si>
  <si>
    <t>Ruka</t>
  </si>
  <si>
    <t>Momuna</t>
  </si>
  <si>
    <t>Dorkas Owos Ofufom</t>
  </si>
  <si>
    <t>YPMA</t>
  </si>
  <si>
    <t>Rot Tinefa Minggit Kompos</t>
  </si>
  <si>
    <t>Mareet ah Jig Yusuf Dokun Lukas Yotkon</t>
  </si>
  <si>
    <t>Daud Enggak Efera Efeef Eteu</t>
  </si>
  <si>
    <t>Otkotkona</t>
  </si>
  <si>
    <t>Kembis</t>
  </si>
  <si>
    <t>Mek Mahta Of Simon</t>
  </si>
  <si>
    <t>Yusuf Ojgun Esebra</t>
  </si>
  <si>
    <t>Mokaha</t>
  </si>
  <si>
    <t>Timo Owos Efera Noga Merah Et</t>
  </si>
  <si>
    <t>Yesus Nhei Wali</t>
  </si>
  <si>
    <t>Press Sentani</t>
  </si>
  <si>
    <t>Yohanes</t>
  </si>
  <si>
    <t>Injil Yohanes</t>
  </si>
  <si>
    <t>Kadadiam</t>
  </si>
  <si>
    <t>GTM</t>
  </si>
  <si>
    <t>Lukas</t>
  </si>
  <si>
    <t>Suro-suroI Pue Yesus</t>
  </si>
  <si>
    <t>Daa</t>
  </si>
  <si>
    <t>979-95430-7-X</t>
  </si>
  <si>
    <t>Sakaya Bete Nabi Nuh</t>
  </si>
  <si>
    <t>979-95430-00-3</t>
  </si>
  <si>
    <t>Tesa Katuwu Nabi Musa</t>
  </si>
  <si>
    <t>979-95430-5-3</t>
  </si>
  <si>
    <t>Tesa Kain Ante Habel</t>
  </si>
  <si>
    <t>979-95430-8-8</t>
  </si>
  <si>
    <t>Tana Masir Nikarata Kasusa Bete</t>
  </si>
  <si>
    <t>979-95430-01-1</t>
  </si>
  <si>
    <t>Daud Nombadagi Goliat</t>
  </si>
  <si>
    <t>979-95430-3-7</t>
  </si>
  <si>
    <t>Alatala Nompakasalama Daniel</t>
  </si>
  <si>
    <t>979-95430-6-1</t>
  </si>
  <si>
    <t>Tesa Pompajadi Dunia</t>
  </si>
  <si>
    <t>979-95430-4-5</t>
  </si>
  <si>
    <t>Yesus Ante Samba'a Besi To Samaria</t>
  </si>
  <si>
    <t>Tesa I Pue Yesu</t>
  </si>
  <si>
    <t>2 Timotius, Titus, Filemon, 1,2,3 Yohanes</t>
  </si>
  <si>
    <t xml:space="preserve">GTM </t>
  </si>
  <si>
    <t>Yunus, Epesus, Pilemon</t>
  </si>
  <si>
    <t>Balantak</t>
  </si>
  <si>
    <t>BAMAG</t>
  </si>
  <si>
    <t>Kolose</t>
  </si>
  <si>
    <t>Pa'palakoanna Ingganna Suho</t>
  </si>
  <si>
    <t>Aksara Bugis</t>
  </si>
  <si>
    <t>Bugis</t>
  </si>
  <si>
    <t>Markus Aksara Bugis</t>
  </si>
  <si>
    <t>Boegineesch</t>
  </si>
  <si>
    <t>Lukas Aksara Bugis</t>
  </si>
  <si>
    <t>Singog Inta Pinoejoet Nongkon Soerat I Rasoel</t>
  </si>
  <si>
    <t>NBG</t>
  </si>
  <si>
    <t>Toetoeloedo Mia Nse'eloe</t>
  </si>
  <si>
    <t>Baree</t>
  </si>
  <si>
    <t>Kareba Belo</t>
  </si>
  <si>
    <t>Ledo</t>
  </si>
  <si>
    <t>A.C. Nix &amp; Co</t>
  </si>
  <si>
    <t>Kajadia bo Pesuvu</t>
  </si>
  <si>
    <t>Kajadia</t>
  </si>
  <si>
    <t>978-602-71363-3-5</t>
  </si>
  <si>
    <t xml:space="preserve">      222.9      KIT</t>
  </si>
  <si>
    <t>Ester - Kitab Ester Dalam Bahasa Ambon</t>
  </si>
  <si>
    <t>Portion Bhs. Daerah Non LAI</t>
  </si>
  <si>
    <t>Gereja Protestan Maluku  GPM)</t>
  </si>
  <si>
    <t>978-602-71363-2-8</t>
  </si>
  <si>
    <t xml:space="preserve">      224.5      DAN</t>
  </si>
  <si>
    <t>Daniel - Kitab Daniel Dalam Bahasa Ambon</t>
  </si>
  <si>
    <t xml:space="preserve">       226.6        TKU</t>
  </si>
  <si>
    <t>Tkunw a Yesuske Wasi Nyasoare Ti Karyaatare -Ti Tel Maslyarkwe ( Kisah Para Rasul Bhs. Selaru )</t>
  </si>
  <si>
    <t xml:space="preserve">     227.5-86         LON         e</t>
  </si>
  <si>
    <t>The Expositor's Bible Commentary Revised Edition 12   Ephesians - Philemon</t>
  </si>
  <si>
    <t>978-602-1641-24-8</t>
  </si>
  <si>
    <t>220.04 ORA</t>
  </si>
  <si>
    <t>Crita Dalam Bahasa Papua: Orang Samaria yang Pu Hati Baik</t>
  </si>
  <si>
    <t>Yayasan Kartidaya</t>
  </si>
  <si>
    <t>978-602-1641-23-1</t>
  </si>
  <si>
    <t>220.04 SAK</t>
  </si>
  <si>
    <t>Crita Dalam Bahasa Papua: Sakeus Ko Turun Cepat!</t>
  </si>
  <si>
    <t>978-602-1641-25-5</t>
  </si>
  <si>
    <t>220.04 ADE</t>
  </si>
  <si>
    <t>Crita Dalam Bahasa Papua: Ade Kaka Dua</t>
  </si>
  <si>
    <t>978-602-1641-26-2</t>
  </si>
  <si>
    <t>220.04 YES</t>
  </si>
  <si>
    <t>Crita Dalam Bahasa Papua: Yesus Hidup Kembali</t>
  </si>
  <si>
    <t xml:space="preserve">           Jakarta, 15 Maret 2022 </t>
  </si>
  <si>
    <t xml:space="preserve">                              (Mawar Gea)</t>
  </si>
  <si>
    <t xml:space="preserve">                                        (Albert Tambunan)</t>
  </si>
  <si>
    <t>AV - NON LAI</t>
  </si>
  <si>
    <t>Bible Alive &amp; Active</t>
  </si>
  <si>
    <t>VHS</t>
  </si>
  <si>
    <t>AV - Anak</t>
  </si>
  <si>
    <t>Logosdor</t>
  </si>
  <si>
    <t>SESB ( Stuttgarter Elektonische Studien Bibel )Nederlands Bijbel Genootschap</t>
  </si>
  <si>
    <t>Libronix</t>
  </si>
  <si>
    <t>Bible Works 9 - Logos Libronix Bible Software</t>
  </si>
  <si>
    <t>CDR</t>
  </si>
  <si>
    <t>Bible Works</t>
  </si>
  <si>
    <t>Daftar Karya Cetak dan Karya Rekam UU. No.9 Thn. 1990</t>
  </si>
  <si>
    <t>Bible Stories</t>
  </si>
  <si>
    <t>Doko Media</t>
  </si>
  <si>
    <t>Instrumental My Worship</t>
  </si>
  <si>
    <t>CD</t>
  </si>
  <si>
    <t>Maranatha</t>
  </si>
  <si>
    <t>Healing Harmony</t>
  </si>
  <si>
    <t>Instrumental Inspirational Truth</t>
  </si>
  <si>
    <t>Sola Gracia</t>
  </si>
  <si>
    <t>The Greatest Hymns Instrumentalia Vol. 1 " You Raise Me Up "</t>
  </si>
  <si>
    <t xml:space="preserve">PT Hosana </t>
  </si>
  <si>
    <t>The Greatest Hymns Instrumentalia Vol. 2 " Dia Mengerti "</t>
  </si>
  <si>
    <t>Pujian Sahabat Kristus 1</t>
  </si>
  <si>
    <t>Yay Eunike</t>
  </si>
  <si>
    <t xml:space="preserve">Doko Music Classics - HALELUYA </t>
  </si>
  <si>
    <t>Messianic Scripture Songs From Israel</t>
  </si>
  <si>
    <t>Hatakit Ltd ( Israel )</t>
  </si>
  <si>
    <t>The Best Christmast Song</t>
  </si>
  <si>
    <t>Lagu Rohani Vol. 1 ( !00 Cerita Alkitab )</t>
  </si>
  <si>
    <t>Wonder Workshop</t>
  </si>
  <si>
    <t>Lagu Rohani Vol. 2 ( !00 Cerita Alkitab )</t>
  </si>
  <si>
    <t>100 Nyanyian Sekolah Minggu - Lagu Rohani Anak-anak</t>
  </si>
  <si>
    <t>Hosana Music</t>
  </si>
  <si>
    <t>Anak Bijak</t>
  </si>
  <si>
    <t>Insight</t>
  </si>
  <si>
    <t>Bersinar</t>
  </si>
  <si>
    <t xml:space="preserve">Worship  Without Words - Instrumental Expression of Worship  </t>
  </si>
  <si>
    <t>Kingsway Music</t>
  </si>
  <si>
    <t xml:space="preserve">Allegra - I Belong To You </t>
  </si>
  <si>
    <t>Alliby Record</t>
  </si>
  <si>
    <t>Oh Holy Night - Christmas Song</t>
  </si>
  <si>
    <t>100 Nyanyian Sekolah Minggu - Lagu Rohani Anak-anak  Vol. 2</t>
  </si>
  <si>
    <t>Christmas Song of Joy</t>
  </si>
  <si>
    <t>Timothy Music Ministry - Sola Gratia</t>
  </si>
  <si>
    <t>Top 100 Christmas Song's for KID's</t>
  </si>
  <si>
    <t>Wonder Kids</t>
  </si>
  <si>
    <t>Adelia Lukmana - Lebih Dari Semua Vol. 3</t>
  </si>
  <si>
    <t>Mirabilia Music</t>
  </si>
  <si>
    <t>Worship Platinum</t>
  </si>
  <si>
    <t>Blesing Music</t>
  </si>
  <si>
    <t>Toodler's Song Book</t>
  </si>
  <si>
    <t>Museu da Biblia</t>
  </si>
  <si>
    <t>Hinos Inspirados na Biblia</t>
  </si>
  <si>
    <t>Best Family Christmas</t>
  </si>
  <si>
    <t>TOP TEN " 20 " Bahana Aniversery with Jonathan Prawira</t>
  </si>
  <si>
    <t xml:space="preserve">Inspirational Worship </t>
  </si>
  <si>
    <t>Vita Jazzy Worship</t>
  </si>
  <si>
    <t>The Bible - Music &amp; Manuals</t>
  </si>
  <si>
    <t>Oasis Children Resources</t>
  </si>
  <si>
    <t>Pujian Rohani - Mari Melayani Yesus</t>
  </si>
  <si>
    <t>AV - Umum</t>
  </si>
  <si>
    <t>B.L ( Billy Record )</t>
  </si>
  <si>
    <t>Nanda Usmany</t>
  </si>
  <si>
    <t>Linguaphone - New English Course</t>
  </si>
  <si>
    <t>Kaset</t>
  </si>
  <si>
    <t>Globe Record</t>
  </si>
  <si>
    <t>Linguaphone - Intermediate English Course</t>
  </si>
  <si>
    <t>Bacayo Di Nan Kalam ( Pop Minang ) o/. Atong Cancera S.M</t>
  </si>
  <si>
    <t>Caroline Record</t>
  </si>
  <si>
    <t>Messianic Serial Art - Megillat Esther ( Scrooll of Ecclesiastes )</t>
  </si>
  <si>
    <t>Messianic Serial Art - Megillat Ruth ( Scrooll of Ecclesiastes )</t>
  </si>
  <si>
    <t xml:space="preserve">Joseph in Egypt  </t>
  </si>
  <si>
    <t>VCD</t>
  </si>
  <si>
    <t>Emperor</t>
  </si>
  <si>
    <t xml:space="preserve">Joseph's Reunion </t>
  </si>
  <si>
    <t>TheProdigal Son</t>
  </si>
  <si>
    <t>The Bible Story - Ruth</t>
  </si>
  <si>
    <t>The Bible Story - Elisha</t>
  </si>
  <si>
    <t>The Bible Story - Daniel</t>
  </si>
  <si>
    <t>The Bible Story - Esther</t>
  </si>
  <si>
    <t>Moses</t>
  </si>
  <si>
    <t>Adam &amp; Eve</t>
  </si>
  <si>
    <t>The Ten Commandments</t>
  </si>
  <si>
    <t>Bkn International</t>
  </si>
  <si>
    <t>Daniel and the Lion's Den</t>
  </si>
  <si>
    <t>NUH - Perjalanan Manusia</t>
  </si>
  <si>
    <t>Joshua &amp; the Battle of Jericho</t>
  </si>
  <si>
    <t>The Last Supper Crucifixion and Ressurrection</t>
  </si>
  <si>
    <t>David and Goliath</t>
  </si>
  <si>
    <t>Daniel &amp; the Lion's Den</t>
  </si>
  <si>
    <t>Jonah and the Whale</t>
  </si>
  <si>
    <t>Pada awalnya ada Cahaya (PL Episode 1)</t>
  </si>
  <si>
    <t>Dengan Berpeluh Engkau akan (PL Episode 2)</t>
  </si>
  <si>
    <t>Kain dan Habel (PL Episode 3)</t>
  </si>
  <si>
    <t>Nabi Nuh (PL Episode 4)</t>
  </si>
  <si>
    <t>Putera-putera Nuh (PL Episode 5)</t>
  </si>
  <si>
    <t>Menara Babel (PL Episode 6)</t>
  </si>
  <si>
    <t>Putera Terah (PL Episode 7)</t>
  </si>
  <si>
    <t>Khafilah Abram (PL Episode 8)</t>
  </si>
  <si>
    <t>Sodom &amp; Gomoro (PL Episode 10)</t>
  </si>
  <si>
    <t>Ishak &amp; Ismael (PL PL Episode 10)</t>
  </si>
  <si>
    <t>Pemberitahuan tentang Kelahiran Yesus (PB Episode 1)</t>
  </si>
  <si>
    <t>Raja Herodes dan Orang Majus (PB Episode 3)</t>
  </si>
  <si>
    <t>Kanak-kanak Yesus di Bait Suci (PB Episode 4)</t>
  </si>
  <si>
    <t>Pencobaan di Padang Gurun (PB Episode 6)</t>
  </si>
  <si>
    <t>Yohanes Pembaptis (PB Episode 7)</t>
  </si>
  <si>
    <t>Pernikahan di Kana (PB Episode 8)</t>
  </si>
  <si>
    <t>Yesus dan Wanita Samaria di Sumur (PB Episode 9)</t>
  </si>
  <si>
    <t xml:space="preserve">Khotbah di Bukit (PB Episode 10) </t>
  </si>
  <si>
    <t>Anak Yang Hilang (PB Episode 11)</t>
  </si>
  <si>
    <t>Gembala yang Baik (PB Episode 12)</t>
  </si>
  <si>
    <t>Yesus Memilih 12 murid (PB Episode 13)</t>
  </si>
  <si>
    <t>Mukjizat-Mukjizat Yesus (PB Episode 14)</t>
  </si>
  <si>
    <t>Kisah tentang Zakeus (PB Episode 15)</t>
  </si>
  <si>
    <t>Pengajaran Yesus (PB Episode 17)</t>
  </si>
  <si>
    <t>Yesus Menghidupkan Lazarus (PB Episode 18)</t>
  </si>
  <si>
    <t>Yesus Masuk Yerusalem (PB Episode 19)</t>
  </si>
  <si>
    <t>Perjamuan Terakhir (PB Episode 20)</t>
  </si>
  <si>
    <t>Penderitaan di Taman Getsemani (PB Episode 21)</t>
  </si>
  <si>
    <t>Pengadilan Yesus (PB Episode 22)</t>
  </si>
  <si>
    <t>Yesus Wafat di Kayu Salib (Episode 23)</t>
  </si>
  <si>
    <t>Kebangkitan Yesus (Episode 24)</t>
  </si>
  <si>
    <t>Kisah Para Rasul (Episode 26)</t>
  </si>
  <si>
    <t>Veggie Tales - God Made You Special</t>
  </si>
  <si>
    <t>Big Idea</t>
  </si>
  <si>
    <t>Veggie Tales - Madam Blue Berry</t>
  </si>
  <si>
    <t>Veggie Tales - Daig And The Giant Pickle</t>
  </si>
  <si>
    <t>Veggie Tales - Jonah a Viggietales Movie</t>
  </si>
  <si>
    <t>Veggie Tales - Heroes as The Bible</t>
  </si>
  <si>
    <t>Veggie Tales - Larry Boy</t>
  </si>
  <si>
    <t>Veggie Tales - It’s a Meaningful Life</t>
  </si>
  <si>
    <t>Josh and The Big Wall</t>
  </si>
  <si>
    <t>Pertempuran Yosua di Yeriko</t>
  </si>
  <si>
    <t>Kidscreen</t>
  </si>
  <si>
    <t>Mujizat Yesus</t>
  </si>
  <si>
    <t>Alef Bet Adventures</t>
  </si>
  <si>
    <t>Davka</t>
  </si>
  <si>
    <t>Talking Hebrew Word Book</t>
  </si>
  <si>
    <t>Davka Dik Duk</t>
  </si>
  <si>
    <t>Carta's Comprehensive Bible Atlas</t>
  </si>
  <si>
    <t>Joseph in Egypt    (copy)</t>
  </si>
  <si>
    <t>Joseph's Reunion  (copy)</t>
  </si>
  <si>
    <t>TheProdigal Son   (copy)</t>
  </si>
  <si>
    <t>The Hanging Church (copy)</t>
  </si>
  <si>
    <t>The Ten Commandments - versi bhs. Indonesia</t>
  </si>
  <si>
    <t>Daniel and the Lions Den - versi bhs. Indonesia</t>
  </si>
  <si>
    <t>Duncan's Greates Hits</t>
  </si>
  <si>
    <t>Membangun Karakter</t>
  </si>
  <si>
    <t>Keberanian &amp; Kekuatan</t>
  </si>
  <si>
    <t>Kisah - Kisah Tentang Iman</t>
  </si>
  <si>
    <t>Bible Stories The Greates ( DVD Tokoh-tokoh Alkitab )</t>
  </si>
  <si>
    <t>DVD</t>
  </si>
  <si>
    <t>The Bible Land As Classroom a Video Aid for Bible Translators</t>
  </si>
  <si>
    <t>Home Run</t>
  </si>
  <si>
    <t>DVD  teks Indonesia</t>
  </si>
  <si>
    <t>The Live And Passion of Christ Hosted and Produced by : Benny Hinn</t>
  </si>
  <si>
    <t>Light House Production</t>
  </si>
  <si>
    <t>Karya Tuhan Yesus Dalam Kehidupan Anak-Anak Manusia - Ikhsan Palopo</t>
  </si>
  <si>
    <t>Karya Tuhan Yesus Dalam Kehidupan Anak-Anak Manusia -Hary Sunarpo</t>
  </si>
  <si>
    <t>Ministry of Culture and Tourism The Republik of Indonesia</t>
  </si>
  <si>
    <t>Raja damai Segera Datang</t>
  </si>
  <si>
    <t>Lihatlah, Aku membuat Semuanya Baik</t>
  </si>
  <si>
    <t>Penabur Firman di Nusantara</t>
  </si>
  <si>
    <t>The Best Kids &amp; Sunday Scholl Song Vol. 2 Kevin &amp; Karyn</t>
  </si>
  <si>
    <t>DVD - Karaoke</t>
  </si>
  <si>
    <t>Stora Adhiswara</t>
  </si>
  <si>
    <t>Home Edition - THEO Teaching Children Gods Word</t>
  </si>
  <si>
    <t>Insight Unlimited</t>
  </si>
  <si>
    <t>Hillsong - Kids JR - Crazy Noise - Worship For Little Ones</t>
  </si>
  <si>
    <t xml:space="preserve">The Second Change </t>
  </si>
  <si>
    <t>Michael W. Smith</t>
  </si>
  <si>
    <t>Yesus The Wrestler</t>
  </si>
  <si>
    <t>Narated by : Andy Frost</t>
  </si>
  <si>
    <t>100 Bible Stories  - 100 Bible Song's on DVD</t>
  </si>
  <si>
    <t>Cilukba Kecil - Kecil Untuk Bapa</t>
  </si>
  <si>
    <t>Solagracia</t>
  </si>
  <si>
    <t>Dramatized Audio Bible - Perjanjian Baru - Alkitab Suara</t>
  </si>
  <si>
    <t>Aku Anak Indonesia Cinta Budaya Bangsaku</t>
  </si>
  <si>
    <t>Korgvox Mahkota Musik</t>
  </si>
  <si>
    <t>The Bible's Story Keepers</t>
  </si>
  <si>
    <t>Emperor Edutainment</t>
  </si>
  <si>
    <t>Kid's Ten Commandments</t>
  </si>
  <si>
    <t>Who Wrote The New Testament</t>
  </si>
  <si>
    <t>268.635  LPM  k</t>
  </si>
  <si>
    <t>Kisah Yesus</t>
  </si>
  <si>
    <t xml:space="preserve">VCD </t>
  </si>
  <si>
    <t>LPMI</t>
  </si>
  <si>
    <t>268.635  GER  g</t>
  </si>
  <si>
    <t>7 Gelar Yesus Dalam Penyaliban - Yesus Hamba Allah</t>
  </si>
  <si>
    <t>Pdt. Bigman Sirait</t>
  </si>
  <si>
    <t>Solideo Gloria - Gereja Reformasi Indonesia</t>
  </si>
  <si>
    <t>7 Alasan Mengapa Yesus Disalibkan - Menggenapi Murka Allah</t>
  </si>
  <si>
    <t>268.635  GER  f</t>
  </si>
  <si>
    <t>7 Fakta Seputar Salib - Bukan Menmyangkal Diri</t>
  </si>
  <si>
    <t>268.635  GER k</t>
  </si>
  <si>
    <t>7 Kemungkinan Tokoh Dalam Penyaliban</t>
  </si>
  <si>
    <t>268.635  GER  p</t>
  </si>
  <si>
    <t>7 Paradoks Jalan Salib - Yesus Kuat &amp; Lemah</t>
  </si>
  <si>
    <t>268.635  COM</t>
  </si>
  <si>
    <t>Come Follow Me - The Ultimate Journey</t>
  </si>
  <si>
    <t>268.635  LIO</t>
  </si>
  <si>
    <t>SEL. NON LAI</t>
  </si>
  <si>
    <t>The Light That Gives Life</t>
  </si>
  <si>
    <t>Selection</t>
  </si>
  <si>
    <t>Mosaik Kencana</t>
  </si>
  <si>
    <t>Yayasan Bina Darma Salatiga</t>
  </si>
  <si>
    <t>A Biblia de/                           Mary Jones</t>
  </si>
  <si>
    <t>Cerita tentang              Mary Jones</t>
  </si>
  <si>
    <t>UMUM</t>
  </si>
  <si>
    <t>Undang-Undang Nomor 7 Tahun 1983 tentang Pajak Penghasilan dan Undang-Undang Nomor 6 Tahun 1983 tentang Ketentuan Umum dan Tata Cara Perpajakan beserta Peraturan Pelaksanaannya</t>
  </si>
  <si>
    <t>Kelompok Kerja Pajak Penghasilan Direktorat Jenderal Pajak</t>
  </si>
  <si>
    <t xml:space="preserve">Undang-Undang R.I. Nomor: 12 Tahun 2003 tentang Pemilihan Umum ( PEMILU ) </t>
  </si>
  <si>
    <t>Sukarno DM (Pimpinan)</t>
  </si>
  <si>
    <t>CV.  Mini Jaya Abadi Jakarta</t>
  </si>
  <si>
    <t>979-428-163-8</t>
  </si>
  <si>
    <t>Katalog Agama: Koleksi Perpustakaan Nasional RI</t>
  </si>
  <si>
    <t>Sri Rumiati Atmakusumah &amp; Asiah Yanna Saragih (Penyunting)</t>
  </si>
  <si>
    <t xml:space="preserve">Kerjasama Perpustakaan Nasional RI dengan Yayasan KAWEDRI </t>
  </si>
  <si>
    <t>979-8175-87-5</t>
  </si>
  <si>
    <t>Panduan Perpajakan Bagi Yayasan dan Organisasi Sejenis</t>
  </si>
  <si>
    <t>Direktorat Jenderal Pajak dan Yayasan Bina Pembangunan</t>
  </si>
  <si>
    <t>PT. BinaRena Pariwara kerjasama dengan Direktorat Jenderal Pajak dan Yayasan Bina Pembangunan</t>
  </si>
  <si>
    <t>3309 Sch3</t>
  </si>
  <si>
    <t>Marketing in Indonesia</t>
  </si>
  <si>
    <t>PT. Intermasa</t>
  </si>
  <si>
    <t>978-979-15784-6-2</t>
  </si>
  <si>
    <t>261.5 KOM</t>
  </si>
  <si>
    <t>Komitmen Kemanusiaan YTBI: Potret Program Tanggap Darurat dan Rehabilitasi</t>
  </si>
  <si>
    <t>Heri Soba</t>
  </si>
  <si>
    <t>Yayasan tanggul Bencana Indonesia</t>
  </si>
  <si>
    <t>979-694-725-0</t>
  </si>
  <si>
    <t>658.83 ALL u</t>
  </si>
  <si>
    <t>The Ultimate Selling Guide:Lebih dari 600 Saran, Pelajaran, Kutipan, Pengamatan, dan Prinsip di Bidang Penjualan (Cetakan ke-2)</t>
  </si>
  <si>
    <t>Lloyd Allard</t>
  </si>
  <si>
    <t>920.008 IKR</t>
  </si>
  <si>
    <t>Ikrar dan Ikhtiar dalam Hidup Pendeta Basoeki Probowinoto</t>
  </si>
  <si>
    <t>Nico L. Kana &amp; N. Daldjoeni</t>
  </si>
  <si>
    <t>979-416-538-7</t>
  </si>
  <si>
    <t>Victor Matondang Sahabat Semua Orang</t>
  </si>
  <si>
    <t>Supardan, Sabam Sirait, Patmono, Sk, Maradjohan Doloksaribu, Moxa Nadeak (Penyunting)</t>
  </si>
  <si>
    <t>Laporan Seminar Tentang Manusia diadakan dalam rangka ulang tahun ke-50 STT Jakarta- th. 1984</t>
  </si>
  <si>
    <t xml:space="preserve">Refleksi 50 Tahun Indonesia Merdeka: Forum Refleksi &amp; Inspirasi Jubileum 1995 </t>
  </si>
  <si>
    <t>Jayadi Damanik, Banu Subagyo, Willy Darmawan</t>
  </si>
  <si>
    <t>Departemen Pelayanan dan Pembangunan- PGI, Majelis Pekerja Harian PGI Wilayah Jakarta, Yayasan Komunikasi Masyarakat-PGI, Pokja Jaringan Kerja Lembaga Pelayanan Kristen, Yayasan Bimbingan Kesejahteraan Sosial- Surakarta</t>
  </si>
  <si>
    <t>979-416-566-2</t>
  </si>
  <si>
    <t>Pembelajaran Memasuki Era Kesejagatan (Seri Membangun Bangsa)</t>
  </si>
  <si>
    <t>Bidang Sosial Kemasyarakatan dan Pendidikan</t>
  </si>
  <si>
    <t>Pustakan Sinar Harapan bekerjasama Dengan Yayasan Wahana Dharma Nusa Jakarta</t>
  </si>
  <si>
    <t>979-416-571-9</t>
  </si>
  <si>
    <t>Perekonomian Indonesia menyongsong Abad XXI (Seri Membangun Bangsa)</t>
  </si>
  <si>
    <t xml:space="preserve">Bramantyo Djohanputro, Johnny Jermias, Frans </t>
  </si>
  <si>
    <t>979-95794-2-2</t>
  </si>
  <si>
    <t xml:space="preserve">        598 COA p</t>
  </si>
  <si>
    <t>Panduan lapangan Burung-Burung Di Kawasan Wallacea (Sulawesi, Maluku dan Nusa Tenggara)</t>
  </si>
  <si>
    <t>Brian J. Coates &amp; K. David Bishop</t>
  </si>
  <si>
    <t>BirdLife International Indonesia Programme &amp; Dove Publications Pty. Ltd.</t>
  </si>
  <si>
    <t>979-709-100-7</t>
  </si>
  <si>
    <t>320.83 PRO</t>
  </si>
  <si>
    <t>Profil Daerah kabupaten dan Kota  (Jilid 3)</t>
  </si>
  <si>
    <t>Tim Litbang Kompas</t>
  </si>
  <si>
    <t>979-709-009-4</t>
  </si>
  <si>
    <t>Profil Daerah kabupaten dan Kota  (Jilid 1)</t>
  </si>
  <si>
    <t>979-415-008-8</t>
  </si>
  <si>
    <t>210.26 SAI h</t>
  </si>
  <si>
    <t>Himpunan Peraturan di Bidang Keagamaan</t>
  </si>
  <si>
    <t>Pdt. Weinata Sairin, M. Th.</t>
  </si>
  <si>
    <t>Undanng-Undang Nomor 8 Tahun 1983 tentang Pajak Pertambahan Nilai Barang dan Jasa dan Pajak Penjualan atas barang Mewah beserta Peraturan Pelaksanaannya</t>
  </si>
  <si>
    <t>Kelompok Kerja P.P.N. Direktorat Jenderal Pajak</t>
  </si>
  <si>
    <t>Undang-Undang Republik Indonesia Nomor 19 Tahun 2002 tentang Hak Cipta (2002)</t>
  </si>
  <si>
    <t>BP. Panca Usaha Putra-Jakarta Timur</t>
  </si>
  <si>
    <t>979-709-054-X</t>
  </si>
  <si>
    <t xml:space="preserve">320.83 PRO </t>
  </si>
  <si>
    <t>Profil Daerah kabupaten dan Kota  (Jilid 2)</t>
  </si>
  <si>
    <t>979-709-124-4</t>
  </si>
  <si>
    <t>Profil Daerah kabupaten dan Kota  (Jilid 4)</t>
  </si>
  <si>
    <t>Himpunan Peraturan Perundanga-Undangan : Paket Kebijaksanaan 6 Juli 1992</t>
  </si>
  <si>
    <t>BP. Dharma Bhakti</t>
  </si>
  <si>
    <t>979-415-255-2</t>
  </si>
  <si>
    <t xml:space="preserve">320.5 D.24 </t>
  </si>
  <si>
    <t>Pancasila Identitas dan Modernitas: Tinjauan Etis dan Budaya</t>
  </si>
  <si>
    <t>Eka Darmaputera, Ph. D.</t>
  </si>
  <si>
    <t>979-498-167-2</t>
  </si>
  <si>
    <t>001.4 SUT m</t>
  </si>
  <si>
    <t>Metodologi Penelitian Kualitatif: Dasar Teori dan Terapannya dalam Penelitian (Edisi-2)</t>
  </si>
  <si>
    <t>H.B. Sutopo</t>
  </si>
  <si>
    <t>Universitas sebelas Maret Surakarta</t>
  </si>
  <si>
    <t xml:space="preserve">Visi Pustakaan Vol. 9 No. 1, April 2007 </t>
  </si>
  <si>
    <t>Dilengkapi Dengan Gambar, Grafik Dan Tabel</t>
  </si>
  <si>
    <t>Blasius sudarsono, Harkrisyati Kamil…</t>
  </si>
  <si>
    <t>Pusat Jasa Perpustakaan dan Informasi</t>
  </si>
  <si>
    <t xml:space="preserve">Visi Pustakaan Vol. 9 No. 2, April 2007 </t>
  </si>
  <si>
    <t>Pedoman Teknis Preservasi: Alih Media Bahan Perpustkaan Menggunakan Kamera Digital</t>
  </si>
  <si>
    <t>Revi Kuswara&amp; Muhammad Wahid</t>
  </si>
  <si>
    <t>Pengembangan Museum Nasional</t>
  </si>
  <si>
    <t>Dilengkapi  Dengan Gambar</t>
  </si>
  <si>
    <t>Muhahammad Hifni</t>
  </si>
  <si>
    <t>SD Muhammadiyah 5 Kebayoran Baru Jakarta</t>
  </si>
  <si>
    <t xml:space="preserve">Museum Tematik di Indonesia. </t>
  </si>
  <si>
    <t>Dilengkapi Dengan Berbagai Gambar Yang ada di museum di Indonesia.</t>
  </si>
  <si>
    <t>Dilektorat Pelestarian Cagar Budaya Dan Permuseuman Direktoran Jenderal Kebudayaan Kementerian Pendidikan dan Kebudayaan</t>
  </si>
  <si>
    <t>Candi Indonesia -seri Jawa</t>
  </si>
  <si>
    <t xml:space="preserve">Dr. Timbul Haryono, Msc.                                                              Drs. Djoko Dwiyanto,                       Dra. Tri Lestari Hartati,                           DS. Nugrahani, Msc,                          Drs. Sektiadi                                       </t>
  </si>
  <si>
    <t>702.88 SUL p</t>
  </si>
  <si>
    <t>Penanganan Serangan Perusak Koleksi Miniatur Rumah Adat Museum Nasional</t>
  </si>
  <si>
    <t>Dyah Sulistyani, S.Si. Dkk</t>
  </si>
  <si>
    <t>Beau geste by Ugo Nespolo</t>
  </si>
  <si>
    <t>Federico Failla</t>
  </si>
  <si>
    <t>Fokus Jembatan Informasi Seputar Kita. Kepala Perpusnas Resmikan Gedung Baru Perpustakaan TMII</t>
  </si>
  <si>
    <t xml:space="preserve">Dilengakpi Dengan Gambar </t>
  </si>
  <si>
    <t>Agus Sutoyo</t>
  </si>
  <si>
    <t>Fokus</t>
  </si>
  <si>
    <t>Begawan Pustaka Itu Telah Tiada</t>
  </si>
  <si>
    <t>Dilengakpi Denga Gambar</t>
  </si>
  <si>
    <t>Agu Sutoyo</t>
  </si>
  <si>
    <t>Gemilang Perpustakaan Nasional</t>
  </si>
  <si>
    <t>Malam Anugrah Museum Awards 2013</t>
  </si>
  <si>
    <t>Joko Widodo</t>
  </si>
  <si>
    <t>Komunitas Jelajah</t>
  </si>
  <si>
    <t>Komitmen Kemanusiaan YTBI. Potret Program Tanggap Darurat Dan Rehabilitas</t>
  </si>
  <si>
    <t>Dilengkapai Deangan Gambar</t>
  </si>
  <si>
    <t>Yayasan Tanggul Bencana Indonesia</t>
  </si>
  <si>
    <t>Darwangsa's heritage. On the appreciation of the javanese Mahabrata</t>
  </si>
  <si>
    <t>Wiilem van der Molen</t>
  </si>
  <si>
    <t xml:space="preserve">Fakultas Ilmu Pengetahuan Budaya Universal </t>
  </si>
  <si>
    <t>Antara Kebun Raya Bogor Dan Taman Fatahilla Sekelumit Kisah Tentang Prasasti Dan Sejarah Indonesia</t>
  </si>
  <si>
    <t>Arlo Griffiths</t>
  </si>
  <si>
    <t>Teknik Termuda Bermain Organ</t>
  </si>
  <si>
    <t>Dilengakapi Dengan Not-not  Dan Organ</t>
  </si>
  <si>
    <t>DS.Soewito M</t>
  </si>
  <si>
    <t>CV. Titik Terang</t>
  </si>
  <si>
    <t>Museum Kalimatan Sulawesi Maluku</t>
  </si>
  <si>
    <t>se-Kalimantan, Sulawesi, Maluku Dan Papua</t>
  </si>
  <si>
    <t xml:space="preserve">Museum Sumatera NTT Dan NTB </t>
  </si>
  <si>
    <t>Dra.Intan Mardiana N.M. Hum</t>
  </si>
  <si>
    <t>Visi Indonesia 2030</t>
  </si>
  <si>
    <t>Chairul Tanjung</t>
  </si>
  <si>
    <t>Yayasan Indonesia Forum</t>
  </si>
  <si>
    <t>Museum encountersJava Dan Bali</t>
  </si>
  <si>
    <t>Daftar Karya Cetak Dan Karya Rekam. Vol 21 No. 1 Tahun 2012. Koleksi Pepustakaan Nasional RI. Dalam Rangka Pelaksanaan UU.No.4./1990</t>
  </si>
  <si>
    <t>Dilengkapi Dengan Daftar Cetakkan</t>
  </si>
  <si>
    <t>H.T. Syamsul Bacri, SH. Msi</t>
  </si>
  <si>
    <t>Perspektif Jurnal Agama Dan Kebudayaan</t>
  </si>
  <si>
    <t>Dilengkapi Dengan Daftar Isi</t>
  </si>
  <si>
    <t>Looking Good In Print</t>
  </si>
  <si>
    <t>Roger C. Parker</t>
  </si>
  <si>
    <t>Ventana Press</t>
  </si>
  <si>
    <t xml:space="preserve">Mosaik Kencana </t>
  </si>
  <si>
    <t>Bambang S Sulasmono &amp; Mianto N. Agung</t>
  </si>
  <si>
    <t>Pengaruh Portugis Di Indonesia</t>
  </si>
  <si>
    <t>Pusat Pembinaan Dan Pengembangan Bahasa Departemen Pendidikan Dan Kebudayaan RI</t>
  </si>
  <si>
    <t xml:space="preserve">Book Marketing Made Easier </t>
  </si>
  <si>
    <t>John Kremer</t>
  </si>
  <si>
    <t>United State of America</t>
  </si>
  <si>
    <t>Undang-Undang Republik Indonesia Nomor 19 Tahun 2002 Tentang                   HAK CIPTA</t>
  </si>
  <si>
    <t>Dilengkapi Dengan Undand-undang Dasar serta Pasal-pasalnya</t>
  </si>
  <si>
    <t>PB. PANCA USAHA PUTRA-JAKARTA</t>
  </si>
  <si>
    <t>Undang-Undang Nomor 8 Tahun 1983 tentang Pajak Pertambahan Nilai Barang Dan jasa Dan Pajak Penjualan Atas Barang Mewah Beserta Peraturan pelaksanaan</t>
  </si>
  <si>
    <t>Undang-Undang Nomor 7 Tahun 1983 tentang  Pajak Penghasilan dan Undang-Undang Nomor 6 Tahun 1983 tentang Ketentuan Umum Dan Tata Cara Perpajakan Beserta Peraturan Pelaksanaannya</t>
  </si>
  <si>
    <t>Perekonomian Indonesia Menyongsong Abad XXI</t>
  </si>
  <si>
    <t>Panduan Lapangan                   Burung-Burung Di Kawasan Wallacea</t>
  </si>
  <si>
    <t>Brian J. Coates dan K. Davi Bishop</t>
  </si>
  <si>
    <t>BirdLife International Indonesia Programme</t>
  </si>
  <si>
    <t>Himpunan Peraturan Di Bidang Keagamaan</t>
  </si>
  <si>
    <t>Pdt. Weinata Sairin, M.Th.</t>
  </si>
  <si>
    <t>Profil Daerah Kabupaten Dan Kota Jilid (1)</t>
  </si>
  <si>
    <t xml:space="preserve"> Daniel Dhakidae, Ph.D dan H. Witdarmono</t>
  </si>
  <si>
    <t>PT. Kompas Media Nusantara</t>
  </si>
  <si>
    <t>979-709-054-x</t>
  </si>
  <si>
    <t>Profil Daerah Kabupaten Dan Kota Jilid (2)</t>
  </si>
  <si>
    <t>Profil Daerah Kabupaten Dan Kota Jilid (3)</t>
  </si>
  <si>
    <t>Profil Daerah Kabupaten Dan Kota Jilid (4)</t>
  </si>
  <si>
    <t>Dra. Suryantie Saloh</t>
  </si>
  <si>
    <t>979 428163 8</t>
  </si>
  <si>
    <t>Katalog Agama                 Koleksi Perpustakaan Nasional RI</t>
  </si>
  <si>
    <t>Sri Rumiati Atmakusumah Asiah Yanna Saragih</t>
  </si>
  <si>
    <t xml:space="preserve">Kerjasama Antara Perpustakaan RI Dan Yayasan Kawedri </t>
  </si>
  <si>
    <t>The Ultimate Selling Guide</t>
  </si>
  <si>
    <t xml:space="preserve">Pembelajaran Memasuki Era Kesejagatan </t>
  </si>
  <si>
    <t>Anugrah Pekerti,      Aris Pongtularan Dan lain-lain</t>
  </si>
  <si>
    <t>Refleksi  50 Tahun Indonesia                         Forum Refleksi &amp; Ispirasi Jubileum 1995</t>
  </si>
  <si>
    <t>Jayadi Damanik,     Banu Subagyo,        Willy Darmawan</t>
  </si>
  <si>
    <t>Departemen Pelayanan &amp; Pembangunan-PGI</t>
  </si>
  <si>
    <t>Melanchton Siregar Pendidik Dan Penjuang</t>
  </si>
  <si>
    <t>Yayasan Komunikasi</t>
  </si>
  <si>
    <t>Komitmen Kemanusiaan YTBI                                Yayasan Tanggul Bencana Indonesia</t>
  </si>
  <si>
    <t>Moch. Socpardi, Drs. &amp; B.Wiwoho</t>
  </si>
  <si>
    <t>PT. Bina  Rena Pariwara</t>
  </si>
  <si>
    <t>Nama &amp; Alamat Gereja Injil SE.Indonesia</t>
  </si>
  <si>
    <t>Pancasila Indetitas Dan Modernitas</t>
  </si>
  <si>
    <t>Eka Darmaputra, Ph. D</t>
  </si>
  <si>
    <r>
      <rPr>
        <rFont val="Calibri"/>
        <color theme="1"/>
        <sz val="9.0"/>
      </rPr>
      <t>Hellmut Sch</t>
    </r>
    <r>
      <rPr>
        <rFont val="Calibri"/>
        <color rgb="FF000000"/>
        <sz val="9.0"/>
      </rPr>
      <t>ütte</t>
    </r>
  </si>
  <si>
    <t>Agama Hindu &amp; Buddha</t>
  </si>
  <si>
    <t>DR. Harun Hadiwijono</t>
  </si>
  <si>
    <t>Undang-Undang R.I. Nomor : 12 Tahun 2003 Tentang Pemilihan(Pemilu) 2003</t>
  </si>
  <si>
    <t>Sukarno DM                  D. Soemarmo                                                         Ariyanti                    Ny. Arifini</t>
  </si>
  <si>
    <t>Ecce Homo                                      Laporan Seminar Tentang Manusia diadakan dalam Rangka ulang tahun ke-50                 STT-Jakarta-th.1984</t>
  </si>
  <si>
    <t>Radius Prawiro                   Kiprah, Peran dan Pemikiran</t>
  </si>
  <si>
    <t>PT. Pustakan Utama Grafiti</t>
  </si>
  <si>
    <t>Himpunan Peraturan Perundan-undangan                          Paket Kebijaksanaan 6 Juli 1992</t>
  </si>
  <si>
    <t>In the Beginning</t>
  </si>
  <si>
    <t>Kidung Rohani                                         Buku Pujian Gereja Yesus Sejati</t>
  </si>
  <si>
    <t>Departemen Literartur</t>
  </si>
  <si>
    <t>Yayasan Cipta Loka Caraka Jakarta 2007</t>
  </si>
  <si>
    <t>Gereja-Gereja Di Indonesia 2010</t>
  </si>
  <si>
    <t xml:space="preserve">Stuttgart </t>
  </si>
  <si>
    <t>Jost Schilgen</t>
  </si>
  <si>
    <t>978-979-8353-06-2</t>
  </si>
  <si>
    <t>GLORIOUS METALS- The Collection of The National Museum of Indonesia vol.1</t>
  </si>
  <si>
    <t>MASKS &amp; WAYANG - The Collection of The National Museum of Indonesia vol. 2</t>
  </si>
  <si>
    <t>MASKS &amp; WAYANG Jewelry- The Collection of The National Museum of Indonesia Vol.3</t>
  </si>
  <si>
    <t>Hukum Pelayanan Dan Perdagangan Amanna GAPPA</t>
  </si>
  <si>
    <t>Indoensia</t>
  </si>
  <si>
    <t>Plilip O.L. Tobing</t>
  </si>
  <si>
    <t>Yayasan kebudayaan Sulawesi Selatan Ujung Pandang</t>
  </si>
  <si>
    <t>dari Surabaya Ke Jayapura</t>
  </si>
  <si>
    <t>Weinata sairin                         F.W. raintung                         H.H. Hangandji</t>
  </si>
  <si>
    <t>Persekuatuan gereja-gereja di Indonesia</t>
  </si>
  <si>
    <t>Badan Pekerjaan Lengkap Dewan Gerej-gereja di Indonesia</t>
  </si>
  <si>
    <t>Keesaan gereja dan Kesatuan Bangsa</t>
  </si>
  <si>
    <t>PPAG- Malang</t>
  </si>
  <si>
    <t>Wisma Oikoumene Sukabumi</t>
  </si>
  <si>
    <t>laporan Nasional survei menyeluruh gereja di Indonesia                                  Jerih &amp; Juang</t>
  </si>
  <si>
    <t>Lembaga Penelitian  dan Studi-DGI Jakarta</t>
  </si>
  <si>
    <t>Badan Pekerjaan Dewan Gereja-gereja di Indonesia</t>
  </si>
  <si>
    <t>Sidang Raya Ke VII Dewan Gereja-gereja Di Indonesia 18-28 April 1971</t>
  </si>
  <si>
    <t xml:space="preserve"> Universitas HKBP Nommensen Pematang Siantar</t>
  </si>
  <si>
    <t>Peninjau Tahun: XVI/1                                      Majalah Badan Penelitian Dan pengembangan Persekuatuan Gereja-gereja Di Indonesia</t>
  </si>
  <si>
    <t>OIKUMENE</t>
  </si>
  <si>
    <t>Peninjau Th:XVIII/2+XIX/1                                     Majalah Badan Penelitian Dan pengembangan Persekuatuan Gereja-gereja Di Indonesia</t>
  </si>
  <si>
    <t>Harapan. Keprihatinan. Dan Tekat</t>
  </si>
  <si>
    <t>DR. T.B. Simatupang</t>
  </si>
  <si>
    <t>Direktori Alumni STT Jakarta</t>
  </si>
  <si>
    <t>978-979-3575-12-4</t>
  </si>
  <si>
    <t>Pedoman Membangun Rumah Sederhana Tahan Gempa</t>
  </si>
  <si>
    <t>PMI (Palang Merah Indonesia)</t>
  </si>
  <si>
    <t>Katalog Dalam Terbitan volume 18. Nomor 1 Maret 2006</t>
  </si>
  <si>
    <t>Romlh (E)</t>
  </si>
  <si>
    <t>Katalog Dalam Terbitan Volume 18. Nomor 2 Juni 2006</t>
  </si>
  <si>
    <t>Romlah (E)</t>
  </si>
  <si>
    <t>Katalog Dalam Terbitan Volume 18. Nomnor 3 September 2006</t>
  </si>
  <si>
    <t>Katalog Dalam Terbitan Volume 18. Nomor 4 Desember 2006</t>
  </si>
  <si>
    <t>978-979-008-026-3</t>
  </si>
  <si>
    <t>Katalog Induk Nasional 2006</t>
  </si>
  <si>
    <t>Sri Sumaryati &amp; Sukirno (E)</t>
  </si>
  <si>
    <t>979-15131-0-4</t>
  </si>
  <si>
    <t>Pelatihan Aparat Penegak Hukkum Tentang Perlindungan Anak</t>
  </si>
  <si>
    <t>Enny Rosyidah Badawy, SH</t>
  </si>
  <si>
    <t>978-979-15131-1-1</t>
  </si>
  <si>
    <t>Pedoman Penanganan Anak Berhadapan dengan Hukum (Pelaku,korban dan Saksi Tindak Pidana)</t>
  </si>
  <si>
    <t>Warta KPAI</t>
  </si>
  <si>
    <t>978-979-3288-29-1</t>
  </si>
  <si>
    <t>025 PEN</t>
  </si>
  <si>
    <t>Perpustakaan Digital</t>
  </si>
  <si>
    <t>979-9316-98-7</t>
  </si>
  <si>
    <t>Katalog Sejarah Indonesia</t>
  </si>
  <si>
    <t>Arta Simamora, SE (E)</t>
  </si>
  <si>
    <t>Katalog Dalam Terbitan Volume 15. Nomor 2 Juni 2003</t>
  </si>
  <si>
    <t>Katalog dalam Terbitan Volume 15. Nomor 3 September 2003</t>
  </si>
  <si>
    <t>Katalog dalam Terbitan Volume 15. Nomor 4 Desember 2003</t>
  </si>
  <si>
    <t>Katalog dalam Terbitan Volume 17. Nomor 1 Maret 2005</t>
  </si>
  <si>
    <t>Katalog dalam Terbitan Volume 17. Nomor 2 Juni 2005</t>
  </si>
  <si>
    <t>Katalog dalam Terbitan Volume 15. Nomor 1 Maret 2003</t>
  </si>
  <si>
    <t>Bibliografi Nasional Indonesia Volume 50. No. 2 Juni 2002</t>
  </si>
  <si>
    <t>Nurwati &amp; Arta Simamora (E)</t>
  </si>
  <si>
    <t>Bibliografi Nasional Indonesia Volume 50. No.3 September  2003</t>
  </si>
  <si>
    <t>Daftar Karya Cetak dan Karya Rekam</t>
  </si>
  <si>
    <t>Daftar Karya Cetak dan Karya Rekam Koleksi Perpustakaan Nasional RI.</t>
  </si>
  <si>
    <t>978-979-008-098-0</t>
  </si>
  <si>
    <t>Katalog Induk Nasional 2007</t>
  </si>
  <si>
    <t>Sri Sumaryati  (E)</t>
  </si>
  <si>
    <t>978-979-008-093-5</t>
  </si>
  <si>
    <t>Katalog Bidang Pendidikan</t>
  </si>
  <si>
    <t>978-979-008-094-2</t>
  </si>
  <si>
    <t>Katalog Ilmu Komputer</t>
  </si>
  <si>
    <t>Yuniarti Safarina (E)</t>
  </si>
  <si>
    <t>Katalog Dalam Terbitan Volume 19. Nomor 4 Desember 2007</t>
  </si>
  <si>
    <t>Katalog Dalam Terbitan Volume 19. Nomor 3 September 2007</t>
  </si>
  <si>
    <t>Katalog Dalam Terbitan Volume 19. Nomor 2 Juni 2007</t>
  </si>
  <si>
    <t>Katalog Dalam Terbitan Volume 19. Nomor1 Maret 2007</t>
  </si>
  <si>
    <t>Daftar Karya Cetak &amp; Karya Rekam</t>
  </si>
  <si>
    <t>Demokrasi</t>
  </si>
  <si>
    <t>979-8289-25-0</t>
  </si>
  <si>
    <t>Daftar Tajuk Subyek untuk Perpustakaan (Jilid I A sampai dengan K)</t>
  </si>
  <si>
    <t>Daftar Karya Cetak &amp; Karya Rekam Volume 14 Tahun 2005</t>
  </si>
  <si>
    <t>Daftar Karya Cetak &amp; Karya Rekam Volume 15 Tahun 2006</t>
  </si>
  <si>
    <t>Bibliografi Nasional Indonesia Volume 55. Nomor 1 Maret 2007</t>
  </si>
  <si>
    <t>Bibliografi Nasional Indonesia Volume 55. Nomor 2 Juni 2007</t>
  </si>
  <si>
    <t>Bibliografi Nasional Indonesia Volume 55. Nomor  3 September 2007</t>
  </si>
  <si>
    <t>Bibliografi Nasional Indonesia Volume 55. Nomor 4 Desember 2007</t>
  </si>
  <si>
    <t>Bibliografi Nasional Indonesia Volume 53. Nomor 4 Desember 2005</t>
  </si>
  <si>
    <t>Bibliografi Nasional Indonesia Volume 53. Nomor 3 September 2005</t>
  </si>
  <si>
    <t>Bibliografi Nasional Indonesia Volume 53. Nomor 2 Juni 2005</t>
  </si>
  <si>
    <t>Bibliografi Nasional Indonesia Volume 53. Nomor 1 Maret 2005</t>
  </si>
  <si>
    <t>Daftar Karya Cetak &amp; Rekam</t>
  </si>
  <si>
    <t>979-3856-49-1</t>
  </si>
  <si>
    <t>Katalog Hukum</t>
  </si>
  <si>
    <t>Stansye A. Tangkawarow Sukirno (E)</t>
  </si>
  <si>
    <t>Daftar Tajuk Subyek untuk Perpustakaan Jilid II. L sampai Z</t>
  </si>
  <si>
    <t xml:space="preserve">Perpustakaan Nasional RI </t>
  </si>
  <si>
    <t>Bibliografi Nasional Indonesia Volume 51. Nomor 3 September 2003</t>
  </si>
  <si>
    <t>Bibliografi Nasional Indonesia Volume 51. Nomor 4 Desember 2003</t>
  </si>
  <si>
    <t>979-9316-99-5</t>
  </si>
  <si>
    <t>Bibliografi Beranotasi Sains dan Teknologi</t>
  </si>
  <si>
    <t xml:space="preserve">Yuniarti Safarina </t>
  </si>
  <si>
    <t>Bibliografi Nasional Indonesia Volume 50. Nomor 4 Desember 2002</t>
  </si>
  <si>
    <t>Daftar Buku 2003</t>
  </si>
  <si>
    <t>Daftar Buku 2002</t>
  </si>
  <si>
    <t>Visi Pustaka Vol. 9 No. 3, Desember 2007</t>
  </si>
  <si>
    <t>978-979-008-099-7</t>
  </si>
  <si>
    <t>Katalog Bidang Bahasa dan Kesusasteraan</t>
  </si>
  <si>
    <t>979-3856-54-8</t>
  </si>
  <si>
    <t>Katalog Induk Nasional 2005</t>
  </si>
  <si>
    <t>979-3499-09-5</t>
  </si>
  <si>
    <t>Katalog Induk Nasional 2003</t>
  </si>
  <si>
    <t>979-9316-76-6</t>
  </si>
  <si>
    <t>Katalog Induk Nasional 2002</t>
  </si>
  <si>
    <t xml:space="preserve">226.3 BRA </t>
  </si>
  <si>
    <t>A Translator's Handbook on The Gospel of Mark</t>
  </si>
  <si>
    <t>JUSTICE</t>
  </si>
  <si>
    <t>979-9316-53-7</t>
  </si>
  <si>
    <t xml:space="preserve">                                            348.025      PER</t>
  </si>
  <si>
    <t>Peraturan Pemerintah Repubelik Indonesia Nomor 70 Tahun 1991</t>
  </si>
  <si>
    <t xml:space="preserve">       324.6            IRA         p</t>
  </si>
  <si>
    <t>Panduan Pemantauan Korupsi Pemilu</t>
  </si>
  <si>
    <t>Ade Irawan, et all</t>
  </si>
  <si>
    <t>348.025    ELE</t>
  </si>
  <si>
    <t>Elections In Indonesia</t>
  </si>
  <si>
    <t>The Asia Fondation</t>
  </si>
  <si>
    <t xml:space="preserve">   305.8     WAR</t>
  </si>
  <si>
    <t>Warisan Budaya Takbenda Indonesia - Penetapan Tahun 2014</t>
  </si>
  <si>
    <t>Direktorat Internalisasi Nilai Dan Diplomasi Budaya  Direktorat Jendral Kebudayaan Kementrian Pendidikan Dan Kebudayaan</t>
  </si>
  <si>
    <t xml:space="preserve">      375      KEL</t>
  </si>
  <si>
    <t>Wendie Razif Soetikno, S.Si, MDM</t>
  </si>
  <si>
    <t>Modul Pelatihan Monitoring Peradilan Dalam Kasus Kebebasan Beragama / Berkeyakinan</t>
  </si>
  <si>
    <t>Elsam ( Lembaga Study &amp; Advokasi Masyarakat )</t>
  </si>
  <si>
    <t>Tentang UNRWA</t>
  </si>
  <si>
    <t>United Nations</t>
  </si>
  <si>
    <t xml:space="preserve">     1415             DAN      d</t>
  </si>
  <si>
    <t>Dewan Pertimbangan Presiden - Hasil Kajian Revitalisasi dan Aktualisasi Pancasila</t>
  </si>
  <si>
    <t>Drs. Sidarto Danusubroto, S.H</t>
  </si>
  <si>
    <t xml:space="preserve">       144          MEL</t>
  </si>
  <si>
    <t>Melembagakan Pengaturan Internet Berbasis Hak Asasi Manusia</t>
  </si>
  <si>
    <t>Lembaga Studi dan Advokasi Masyarakat (ELSAM)</t>
  </si>
  <si>
    <t xml:space="preserve">     069.132      PRA</t>
  </si>
  <si>
    <t>Prasasti Raja-Raja Nusantara</t>
  </si>
  <si>
    <t>Kementrian Pendidikan dan Kebudayaan Museum Nasional RI</t>
  </si>
  <si>
    <t xml:space="preserve">     069.074    BUK</t>
  </si>
  <si>
    <t>Buku Panduan Museum Nasional Gedung B</t>
  </si>
  <si>
    <t xml:space="preserve">     002  SOW</t>
  </si>
  <si>
    <t>Sower Of The Word A 95-Year History Of The Gideons International</t>
  </si>
  <si>
    <t xml:space="preserve">         069.132                 PRA             h</t>
  </si>
  <si>
    <t xml:space="preserve">           184                      COR            r</t>
  </si>
  <si>
    <t>Francis Mac Donald Cornford</t>
  </si>
  <si>
    <t xml:space="preserve">          294                      HAD          a</t>
  </si>
  <si>
    <t>Agama Hindu … Budha</t>
  </si>
  <si>
    <t xml:space="preserve">        371.227                MES             i</t>
  </si>
  <si>
    <t xml:space="preserve">          184                       COR           r</t>
  </si>
  <si>
    <t>Dari Ambon ke Surabaya</t>
  </si>
  <si>
    <t xml:space="preserve">          184                       COR          r</t>
  </si>
  <si>
    <t>Carita Orang Basudara</t>
  </si>
  <si>
    <t>Lembaga Antar Iman Maluku ( LAIM ), Ambon</t>
  </si>
  <si>
    <t xml:space="preserve">         121.4           MOS</t>
  </si>
  <si>
    <t>978-602-441-054-4</t>
  </si>
  <si>
    <t>301.18 KAS</t>
  </si>
  <si>
    <t>Self Disruption</t>
  </si>
  <si>
    <t>Rhenald Kasali</t>
  </si>
  <si>
    <t>PUZZLE, KARTU, dll</t>
  </si>
  <si>
    <t xml:space="preserve">Judul </t>
  </si>
  <si>
    <t xml:space="preserve">Jumlah </t>
  </si>
  <si>
    <t>793.73  DAU</t>
  </si>
  <si>
    <t xml:space="preserve"> Daud &amp; Goliat</t>
  </si>
  <si>
    <t>Puzzle</t>
  </si>
  <si>
    <t>Anak-Anak</t>
  </si>
  <si>
    <t>Gethsemane</t>
  </si>
  <si>
    <t>R. Anak</t>
  </si>
  <si>
    <t>793.73  TUH</t>
  </si>
  <si>
    <t>Tuhan Setia Dalam Segala Perkataan-NYA</t>
  </si>
  <si>
    <t>793.73  JON</t>
  </si>
  <si>
    <t>Jonah And The Whale</t>
  </si>
  <si>
    <t>Daud &amp; Goliat</t>
  </si>
  <si>
    <t>793.73  DAN</t>
  </si>
  <si>
    <t>Daniel Di Gua Singa</t>
  </si>
  <si>
    <t>793.73  ISA</t>
  </si>
  <si>
    <t>Wonderful Counselor</t>
  </si>
  <si>
    <t>Pokok Anggur</t>
  </si>
  <si>
    <t>793.73  NUH</t>
  </si>
  <si>
    <t>Nuh</t>
  </si>
  <si>
    <t>793.73  SAM</t>
  </si>
  <si>
    <t>Orang Samaria</t>
  </si>
  <si>
    <t>793.73  AIR</t>
  </si>
  <si>
    <t>Air dari Batu</t>
  </si>
  <si>
    <t>793.73  MUS</t>
  </si>
  <si>
    <t>The Story Of Baby Moses</t>
  </si>
  <si>
    <t>793.73  SAB</t>
  </si>
  <si>
    <t>Sahabat Musa, Yosua dan Kaleb</t>
  </si>
  <si>
    <t>793.73  ALL</t>
  </si>
  <si>
    <t>Allah Menyelamatkan Umat-NYA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</si>
</sst>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
    <numFmt numFmtId="165" formatCode="_(&quot;$&quot;* #,##0.00_);_(&quot;$&quot;* \(#,##0.00\);_(&quot;$&quot;* &quot;-&quot;??_);_(@_)"/>
    <numFmt numFmtId="166" formatCode="[$Rp-421]#,##0.00"/>
  </numFmts>
  <fonts count="65">
    <font>
      <sz val="11.0"/>
      <color theme="1"/>
      <name val="Calibri"/>
      <scheme val="minor"/>
    </font>
    <font>
      <sz val="12.0"/>
      <color rgb="FF000000"/>
      <name val="Calibri"/>
    </font>
    <font>
      <sz val="11.0"/>
      <color theme="1"/>
      <name val="Calibri"/>
    </font>
    <font>
      <color theme="1"/>
      <name val="Calibri"/>
      <scheme val="minor"/>
    </font>
    <font>
      <sz val="9.0"/>
      <color theme="1"/>
      <name val="Calibri"/>
    </font>
    <font>
      <b/>
      <sz val="33.0"/>
      <color rgb="FF000000"/>
      <name val="Calibri"/>
    </font>
    <font/>
    <font>
      <b/>
      <sz val="9.0"/>
      <color rgb="FF000000"/>
      <name val="Calibri"/>
    </font>
    <font>
      <sz val="11.0"/>
      <color theme="1"/>
      <name val="Times New Roman"/>
    </font>
    <font>
      <b/>
      <sz val="9.0"/>
      <color theme="1"/>
      <name val="Calibri"/>
    </font>
    <font>
      <b/>
      <sz val="11.0"/>
      <color theme="1"/>
      <name val="Calibri"/>
    </font>
    <font>
      <sz val="11.0"/>
      <color theme="1"/>
      <name val="Arial"/>
    </font>
    <font>
      <sz val="9.0"/>
      <color rgb="FF000000"/>
      <name val="Calibri"/>
    </font>
    <font>
      <b/>
      <sz val="9.0"/>
      <color theme="1"/>
      <name val="Times New Roman"/>
    </font>
    <font>
      <sz val="11.0"/>
      <color rgb="FFFF0000"/>
      <name val="Calibri"/>
    </font>
    <font>
      <sz val="8.0"/>
      <color theme="1"/>
      <name val="Calibri"/>
    </font>
    <font>
      <sz val="9.0"/>
      <color theme="1"/>
      <name val="Times New Roman"/>
    </font>
    <font>
      <sz val="8.0"/>
      <color theme="1"/>
      <name val="Times New Roman"/>
    </font>
    <font>
      <sz val="10.0"/>
      <color theme="0"/>
      <name val="Calibri"/>
    </font>
    <font>
      <sz val="9.0"/>
      <color rgb="FF000000"/>
      <name val="Arial"/>
    </font>
    <font>
      <sz val="11.0"/>
      <color rgb="FF000000"/>
      <name val="Calibri"/>
    </font>
    <font>
      <sz val="10.0"/>
      <color rgb="FF000000"/>
      <name val="Calibri"/>
    </font>
    <font>
      <b/>
      <sz val="10.0"/>
      <color rgb="FF000000"/>
      <name val="Calibri"/>
    </font>
    <font>
      <sz val="10.0"/>
      <color theme="1"/>
      <name val="Times New Roman"/>
    </font>
    <font>
      <b/>
      <sz val="10.0"/>
      <color theme="1"/>
      <name val="Calibri"/>
    </font>
    <font>
      <sz val="10.0"/>
      <color theme="1"/>
      <name val="Calibri"/>
    </font>
    <font>
      <sz val="11.0"/>
      <color rgb="FF000000"/>
      <name val="&quot;Times New Roman&quot;"/>
    </font>
    <font>
      <sz val="11.0"/>
      <color rgb="FF000000"/>
      <name val="Times New Roman"/>
    </font>
    <font>
      <sz val="11.0"/>
      <color rgb="FF000000"/>
      <name val="Roboto"/>
    </font>
    <font>
      <sz val="11.0"/>
      <color rgb="FF000000"/>
      <name val="Arial"/>
    </font>
    <font>
      <sz val="10.0"/>
      <color rgb="FF000000"/>
      <name val="Times New Roman"/>
    </font>
    <font>
      <color rgb="FF000000"/>
      <name val="Calibri"/>
      <scheme val="minor"/>
    </font>
    <font>
      <sz val="11.0"/>
      <color rgb="FF0070C0"/>
      <name val="Calibri"/>
    </font>
    <font>
      <sz val="11.0"/>
      <color theme="0"/>
      <name val="Times New Roman"/>
    </font>
    <font>
      <sz val="10.0"/>
      <color rgb="FF000000"/>
      <name val="Arial"/>
    </font>
    <font>
      <sz val="9.0"/>
      <color rgb="FF000000"/>
      <name val="Times New Roman"/>
    </font>
    <font>
      <sz val="9.0"/>
      <color theme="1"/>
      <name val="Arial"/>
    </font>
    <font>
      <sz val="9.0"/>
      <color rgb="FF000000"/>
      <name val="Docs-Calibri"/>
    </font>
    <font>
      <color rgb="FF000000"/>
      <name val="Times New Roman"/>
    </font>
    <font>
      <u/>
      <sz val="11.0"/>
      <color theme="1"/>
      <name val="Times New Roman"/>
    </font>
    <font>
      <b/>
      <sz val="12.0"/>
      <color theme="1"/>
      <name val="Times New Roman"/>
    </font>
    <font>
      <sz val="12.0"/>
      <color theme="1"/>
      <name val="Times New Roman"/>
    </font>
    <font>
      <b/>
      <sz val="12.0"/>
      <color theme="1"/>
      <name val="Calibri"/>
    </font>
    <font>
      <sz val="12.0"/>
      <color theme="1"/>
      <name val="Calibri"/>
    </font>
    <font>
      <color theme="1"/>
      <name val="Times New Roman"/>
    </font>
    <font>
      <b/>
      <sz val="36.0"/>
      <color theme="1"/>
      <name val="Calibri"/>
    </font>
    <font>
      <b/>
      <sz val="18.0"/>
      <color theme="1"/>
      <name val="Calibri"/>
    </font>
    <font>
      <b/>
      <sz val="28.0"/>
      <color rgb="FF000000"/>
      <name val="Calibri"/>
    </font>
    <font>
      <b/>
      <sz val="12.0"/>
      <color rgb="FF000000"/>
      <name val="Calibri"/>
    </font>
    <font>
      <sz val="9.0"/>
      <color rgb="FFFF0000"/>
      <name val="Calibri"/>
    </font>
    <font>
      <color rgb="FFFFFFFF"/>
      <name val="Calibri"/>
      <scheme val="minor"/>
    </font>
    <font>
      <b/>
      <sz val="11.0"/>
      <color theme="1"/>
      <name val="Times New Roman"/>
    </font>
    <font>
      <u/>
      <sz val="9.0"/>
      <color theme="1"/>
      <name val="Calibri"/>
    </font>
    <font>
      <sz val="11.0"/>
      <color rgb="FFFF0000"/>
      <name val="Times New Roman"/>
    </font>
    <font>
      <sz val="10.0"/>
      <color rgb="FFFF0000"/>
      <name val="Times New Roman"/>
    </font>
    <font>
      <sz val="9.0"/>
      <color rgb="FFFFFF00"/>
      <name val="Calibri"/>
    </font>
    <font>
      <sz val="9.0"/>
      <color rgb="FFFF0000"/>
      <name val="Times New Roman"/>
    </font>
    <font>
      <sz val="12.0"/>
      <color rgb="FFFF0000"/>
      <name val="Calibri"/>
    </font>
    <font>
      <u/>
      <sz val="12.0"/>
      <color theme="10"/>
      <name val="Calibri"/>
    </font>
    <font>
      <b/>
      <color theme="1"/>
      <name val="Calibri"/>
      <scheme val="minor"/>
    </font>
    <font>
      <color theme="1"/>
      <name val="Calibri"/>
    </font>
    <font>
      <b/>
      <sz val="11.0"/>
      <color rgb="FF000000"/>
      <name val="Calibri"/>
    </font>
    <font>
      <sz val="9.0"/>
      <color rgb="FF92D050"/>
      <name val="Calibri"/>
    </font>
    <font>
      <u/>
      <sz val="9.0"/>
      <color theme="1"/>
      <name val="Calibri"/>
    </font>
    <font>
      <u/>
      <sz val="9.0"/>
      <color theme="1"/>
      <name val="Calibri"/>
    </font>
  </fonts>
  <fills count="1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FABF8F"/>
        <bgColor rgb="FFFABF8F"/>
      </patternFill>
    </fill>
    <fill>
      <patternFill patternType="solid">
        <fgColor rgb="FFFF0000"/>
        <bgColor rgb="FFFF0000"/>
      </patternFill>
    </fill>
    <fill>
      <patternFill patternType="solid">
        <fgColor rgb="FFFFF2CC"/>
        <bgColor rgb="FFFFF2CC"/>
      </patternFill>
    </fill>
    <fill>
      <patternFill patternType="solid">
        <fgColor rgb="FFF2F2F2"/>
        <bgColor rgb="FFF2F2F2"/>
      </patternFill>
    </fill>
    <fill>
      <patternFill patternType="solid">
        <fgColor rgb="FF00FF00"/>
        <bgColor rgb="FF00FF00"/>
      </patternFill>
    </fill>
    <fill>
      <patternFill patternType="solid">
        <fgColor theme="4"/>
        <bgColor theme="4"/>
      </patternFill>
    </fill>
    <fill>
      <patternFill patternType="solid">
        <fgColor rgb="FF92D050"/>
        <bgColor rgb="FF92D050"/>
      </patternFill>
    </fill>
    <fill>
      <patternFill patternType="solid">
        <fgColor rgb="FFFF00FF"/>
        <bgColor rgb="FFFF00FF"/>
      </patternFill>
    </fill>
    <fill>
      <patternFill patternType="solid">
        <fgColor rgb="FF00B050"/>
        <bgColor rgb="FF00B050"/>
      </patternFill>
    </fill>
    <fill>
      <patternFill patternType="solid">
        <fgColor rgb="FF9900FF"/>
        <bgColor rgb="FF9900FF"/>
      </patternFill>
    </fill>
    <fill>
      <patternFill patternType="solid">
        <fgColor rgb="FFEFEFEF"/>
        <bgColor rgb="FFEFEFEF"/>
      </patternFill>
    </fill>
    <fill>
      <patternFill patternType="solid">
        <fgColor rgb="FFFFC000"/>
        <bgColor rgb="FFFFC000"/>
      </patternFill>
    </fill>
  </fills>
  <borders count="42">
    <border/>
    <border>
      <left/>
      <right/>
      <top/>
      <bottom/>
    </border>
    <border>
      <left/>
      <top/>
      <bottom/>
    </border>
    <border>
      <top/>
      <bottom/>
    </border>
    <border>
      <right/>
      <top/>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bottom style="thin">
        <color rgb="FF000000"/>
      </bottom>
    </border>
    <border>
      <left style="thin">
        <color rgb="FF000000"/>
      </left>
      <right style="thin">
        <color rgb="FF000000"/>
      </right>
    </border>
    <border>
      <left/>
      <right style="thin">
        <color rgb="FF000000"/>
      </right>
      <top style="thin">
        <color rgb="FF000000"/>
      </top>
      <bottom style="thin">
        <color rgb="FF000000"/>
      </bottom>
    </border>
    <border>
      <left/>
      <right/>
      <top/>
    </border>
    <border>
      <left/>
      <right/>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style="thin">
        <color rgb="FFAAAAAA"/>
      </right>
      <top style="thin">
        <color rgb="FF000000"/>
      </top>
      <bottom style="thin">
        <color rgb="FFAAAAAA"/>
      </bottom>
    </border>
    <border>
      <left/>
      <top/>
      <bottom style="thin">
        <color rgb="FF000000"/>
      </bottom>
    </border>
    <border>
      <right/>
      <top/>
      <bottom style="thin">
        <color rgb="FF000000"/>
      </bottom>
    </border>
    <border>
      <left/>
      <top style="thin">
        <color rgb="FF000000"/>
      </top>
      <bottom/>
    </border>
    <border>
      <top style="thin">
        <color rgb="FF000000"/>
      </top>
      <bottom/>
    </border>
    <border>
      <right/>
      <top style="thin">
        <color rgb="FF000000"/>
      </top>
      <bottom/>
    </border>
    <border>
      <left style="thin">
        <color rgb="FF000000"/>
      </left>
      <right/>
      <top/>
      <bottom/>
    </border>
    <border>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top/>
    </border>
    <border>
      <left/>
      <right/>
      <top style="thin">
        <color rgb="FF000000"/>
      </top>
      <bottom/>
    </border>
    <border>
      <left style="thin">
        <color rgb="FF000000"/>
      </left>
      <right/>
      <top style="thin">
        <color rgb="FF000000"/>
      </top>
      <bottom/>
    </border>
    <border>
      <left style="thin">
        <color rgb="FF000000"/>
      </left>
      <right/>
      <top/>
      <bottom style="thin">
        <color rgb="FF000000"/>
      </bottom>
    </border>
    <border>
      <left/>
      <right/>
      <top style="thin">
        <color rgb="FF000000"/>
      </top>
      <bottom style="thin">
        <color rgb="FF000000"/>
      </bottom>
    </border>
    <border>
      <left/>
      <right/>
      <top/>
      <bottom style="thin">
        <color rgb="FF000000"/>
      </bottom>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right" readingOrder="0" shrinkToFit="0" vertical="center" wrapText="1"/>
    </xf>
    <xf borderId="0" fillId="0" fontId="2" numFmtId="0" xfId="0" applyAlignment="1" applyFont="1">
      <alignment horizontal="center" vertical="center"/>
    </xf>
    <xf borderId="0" fillId="2" fontId="3" numFmtId="0" xfId="0" applyFill="1" applyFont="1"/>
    <xf borderId="1" fillId="2" fontId="4" numFmtId="0" xfId="0" applyAlignment="1" applyBorder="1" applyFont="1">
      <alignment horizontal="center" shrinkToFit="0" vertical="center" wrapText="1"/>
    </xf>
    <xf borderId="2" fillId="3" fontId="5" numFmtId="0" xfId="0" applyAlignment="1" applyBorder="1" applyFill="1" applyFont="1">
      <alignment horizontal="center" shrinkToFit="0" vertical="center" wrapText="1"/>
    </xf>
    <xf borderId="3" fillId="0" fontId="6" numFmtId="0" xfId="0" applyBorder="1" applyFont="1"/>
    <xf borderId="4" fillId="0" fontId="6" numFmtId="0" xfId="0" applyBorder="1" applyFont="1"/>
    <xf borderId="0" fillId="2" fontId="3" numFmtId="0" xfId="0" applyAlignment="1" applyFont="1">
      <alignment readingOrder="0"/>
    </xf>
    <xf borderId="1" fillId="3" fontId="7" numFmtId="0" xfId="0" applyAlignment="1" applyBorder="1" applyFont="1">
      <alignment horizontal="center" shrinkToFit="0" vertical="center" wrapText="1"/>
    </xf>
    <xf borderId="1" fillId="3" fontId="7" numFmtId="0" xfId="0" applyAlignment="1" applyBorder="1" applyFont="1">
      <alignment horizontal="left" readingOrder="0" shrinkToFit="0" vertical="center" wrapText="1"/>
    </xf>
    <xf borderId="1" fillId="3" fontId="7" numFmtId="0" xfId="0" applyAlignment="1" applyBorder="1" applyFont="1">
      <alignment horizontal="center" readingOrder="0" shrinkToFit="0" vertical="center" wrapText="1"/>
    </xf>
    <xf borderId="0" fillId="0" fontId="8" numFmtId="0" xfId="0" applyAlignment="1" applyFont="1">
      <alignment horizontal="center" shrinkToFit="0" vertical="center" wrapText="1"/>
    </xf>
    <xf borderId="5" fillId="0" fontId="6" numFmtId="0" xfId="0" applyBorder="1" applyFont="1"/>
    <xf borderId="6" fillId="0" fontId="9" numFmtId="0" xfId="0" applyAlignment="1" applyBorder="1" applyFont="1">
      <alignment horizontal="center" shrinkToFit="0" vertical="center" wrapText="1"/>
    </xf>
    <xf borderId="7" fillId="0" fontId="9" numFmtId="0" xfId="0" applyAlignment="1" applyBorder="1" applyFont="1">
      <alignment horizontal="center" shrinkToFit="0" vertical="center" wrapText="1"/>
    </xf>
    <xf borderId="8" fillId="0" fontId="6" numFmtId="0" xfId="0" applyBorder="1" applyFont="1"/>
    <xf borderId="9" fillId="0" fontId="6" numFmtId="0" xfId="0" applyBorder="1" applyFont="1"/>
    <xf borderId="0" fillId="0" fontId="9" numFmtId="0" xfId="0" applyAlignment="1" applyFont="1">
      <alignment horizontal="center" shrinkToFit="0" vertical="center" wrapText="1"/>
    </xf>
    <xf borderId="6" fillId="2" fontId="9" numFmtId="0" xfId="0" applyAlignment="1" applyBorder="1" applyFont="1">
      <alignment horizontal="center" readingOrder="0" shrinkToFit="0" vertical="center" wrapText="1"/>
    </xf>
    <xf borderId="6" fillId="3" fontId="7" numFmtId="0" xfId="0" applyAlignment="1" applyBorder="1" applyFont="1">
      <alignment horizontal="center" readingOrder="0" shrinkToFit="0" vertical="center" wrapText="1"/>
    </xf>
    <xf borderId="6" fillId="3" fontId="9" numFmtId="0" xfId="0" applyAlignment="1" applyBorder="1" applyFont="1">
      <alignment horizontal="center" readingOrder="0" shrinkToFit="0" vertical="center" wrapText="1"/>
    </xf>
    <xf borderId="6" fillId="3" fontId="7" numFmtId="0" xfId="0" applyAlignment="1" applyBorder="1" applyFont="1">
      <alignment horizontal="center" shrinkToFit="0" vertical="center" wrapText="1"/>
    </xf>
    <xf borderId="7" fillId="3" fontId="7" numFmtId="0" xfId="0" applyAlignment="1" applyBorder="1" applyFont="1">
      <alignment horizontal="center" readingOrder="0" shrinkToFit="0" vertical="center" wrapText="1"/>
    </xf>
    <xf borderId="6" fillId="4" fontId="7" numFmtId="0" xfId="0" applyAlignment="1" applyBorder="1" applyFill="1" applyFont="1">
      <alignment horizontal="center" readingOrder="0" shrinkToFit="0" vertical="center" wrapText="1"/>
    </xf>
    <xf borderId="6" fillId="4" fontId="9" numFmtId="0" xfId="0" applyAlignment="1" applyBorder="1" applyFont="1">
      <alignment horizontal="center" readingOrder="0" vertical="center"/>
    </xf>
    <xf borderId="6" fillId="0" fontId="9" numFmtId="0" xfId="0" applyAlignment="1" applyBorder="1" applyFont="1">
      <alignment readingOrder="0" shrinkToFit="0" wrapText="1"/>
    </xf>
    <xf borderId="6" fillId="5" fontId="10" numFmtId="0" xfId="0" applyAlignment="1" applyBorder="1" applyFill="1" applyFont="1">
      <alignment horizontal="center" readingOrder="0" vertical="center"/>
    </xf>
    <xf borderId="6" fillId="5" fontId="4" numFmtId="0" xfId="0" applyAlignment="1" applyBorder="1" applyFont="1">
      <alignment horizontal="center" vertical="center"/>
    </xf>
    <xf borderId="6" fillId="5" fontId="9" numFmtId="0" xfId="0" applyAlignment="1" applyBorder="1" applyFont="1">
      <alignment horizontal="center" readingOrder="0" vertical="center"/>
    </xf>
    <xf borderId="6" fillId="5" fontId="4" numFmtId="0" xfId="0" applyAlignment="1" applyBorder="1" applyFont="1">
      <alignment horizontal="left" vertical="center"/>
    </xf>
    <xf borderId="6" fillId="5" fontId="4" numFmtId="0" xfId="0" applyAlignment="1" applyBorder="1" applyFont="1">
      <alignment horizontal="center" readingOrder="0" vertical="center"/>
    </xf>
    <xf borderId="6" fillId="5" fontId="2" numFmtId="0" xfId="0" applyAlignment="1" applyBorder="1" applyFont="1">
      <alignment horizontal="center" vertical="center"/>
    </xf>
    <xf borderId="6" fillId="5" fontId="2" numFmtId="0" xfId="0" applyAlignment="1" applyBorder="1" applyFont="1">
      <alignment vertical="center"/>
    </xf>
    <xf borderId="1" fillId="2" fontId="2" numFmtId="0" xfId="0" applyAlignment="1" applyBorder="1" applyFont="1">
      <alignment vertical="center"/>
    </xf>
    <xf borderId="6" fillId="5" fontId="4" numFmtId="0" xfId="0" applyAlignment="1" applyBorder="1" applyFont="1">
      <alignment horizontal="left" readingOrder="0" shrinkToFit="0" vertical="center" wrapText="1"/>
    </xf>
    <xf borderId="1" fillId="2" fontId="2" numFmtId="0" xfId="0" applyAlignment="1" applyBorder="1" applyFont="1">
      <alignment shrinkToFit="0" vertical="center" wrapText="1"/>
    </xf>
    <xf borderId="6" fillId="5" fontId="2" numFmtId="0" xfId="0" applyAlignment="1" applyBorder="1" applyFont="1">
      <alignment horizontal="center" readingOrder="0" vertical="center"/>
    </xf>
    <xf borderId="0" fillId="2" fontId="2" numFmtId="0" xfId="0" applyAlignment="1" applyFont="1">
      <alignment vertical="center"/>
    </xf>
    <xf borderId="6" fillId="5" fontId="4" numFmtId="0" xfId="0" applyAlignment="1" applyBorder="1" applyFont="1">
      <alignment horizontal="left" readingOrder="0" vertical="center"/>
    </xf>
    <xf borderId="0" fillId="2" fontId="11" numFmtId="0" xfId="0" applyAlignment="1" applyFont="1">
      <alignment vertical="center"/>
    </xf>
    <xf borderId="1" fillId="2" fontId="2" numFmtId="0" xfId="0" applyAlignment="1" applyBorder="1" applyFont="1">
      <alignment shrinkToFit="0" wrapText="1"/>
    </xf>
    <xf borderId="0" fillId="5" fontId="4" numFmtId="0" xfId="0" applyAlignment="1" applyFont="1">
      <alignment horizontal="left" vertical="center"/>
    </xf>
    <xf borderId="6" fillId="5" fontId="9" numFmtId="0" xfId="0" applyAlignment="1" applyBorder="1" applyFont="1">
      <alignment horizontal="center" vertical="center"/>
    </xf>
    <xf quotePrefix="1" borderId="6" fillId="5" fontId="4" numFmtId="0" xfId="0" applyAlignment="1" applyBorder="1" applyFont="1">
      <alignment horizontal="center" vertical="center"/>
    </xf>
    <xf borderId="1" fillId="2" fontId="2" numFmtId="0" xfId="0" applyBorder="1" applyFont="1"/>
    <xf borderId="6" fillId="5" fontId="12" numFmtId="0" xfId="0" applyAlignment="1" applyBorder="1" applyFont="1">
      <alignment readingOrder="0"/>
    </xf>
    <xf borderId="6" fillId="5" fontId="13" numFmtId="0" xfId="0" applyAlignment="1" applyBorder="1" applyFont="1">
      <alignment horizontal="center" readingOrder="0" vertical="center"/>
    </xf>
    <xf borderId="6" fillId="5" fontId="7" numFmtId="0" xfId="0" applyAlignment="1" applyBorder="1" applyFont="1">
      <alignment horizontal="center" readingOrder="0" vertical="center"/>
    </xf>
    <xf borderId="6" fillId="3" fontId="4" numFmtId="0" xfId="0" applyAlignment="1" applyBorder="1" applyFont="1">
      <alignment horizontal="center" vertical="center"/>
    </xf>
    <xf borderId="6" fillId="3" fontId="9" numFmtId="0" xfId="0" applyAlignment="1" applyBorder="1" applyFont="1">
      <alignment horizontal="center" readingOrder="0" vertical="center"/>
    </xf>
    <xf borderId="6" fillId="3" fontId="4" numFmtId="0" xfId="0" applyAlignment="1" applyBorder="1" applyFont="1">
      <alignment horizontal="left" readingOrder="0" vertical="center"/>
    </xf>
    <xf borderId="6" fillId="3" fontId="4" numFmtId="0" xfId="0" applyAlignment="1" applyBorder="1" applyFont="1">
      <alignment horizontal="center" readingOrder="0" vertical="center"/>
    </xf>
    <xf borderId="6" fillId="3" fontId="2" numFmtId="0" xfId="0" applyAlignment="1" applyBorder="1" applyFont="1">
      <alignment horizontal="center" readingOrder="0" vertical="center"/>
    </xf>
    <xf borderId="6" fillId="3" fontId="2" numFmtId="0" xfId="0" applyAlignment="1" applyBorder="1" applyFont="1">
      <alignment vertical="center"/>
    </xf>
    <xf borderId="6" fillId="3" fontId="4" numFmtId="0" xfId="0" applyAlignment="1" applyBorder="1" applyFont="1">
      <alignment horizontal="left" vertical="center"/>
    </xf>
    <xf borderId="6" fillId="3" fontId="2" numFmtId="0" xfId="0" applyAlignment="1" applyBorder="1" applyFont="1">
      <alignment horizontal="center" vertical="center"/>
    </xf>
    <xf borderId="10" fillId="5" fontId="4" numFmtId="0" xfId="0" applyAlignment="1" applyBorder="1" applyFont="1">
      <alignment horizontal="center" vertical="center"/>
    </xf>
    <xf borderId="11" fillId="5" fontId="4" numFmtId="0" xfId="0" applyAlignment="1" applyBorder="1" applyFont="1">
      <alignment horizontal="center" vertical="center"/>
    </xf>
    <xf borderId="1" fillId="2" fontId="8" numFmtId="0" xfId="0" applyBorder="1" applyFont="1"/>
    <xf borderId="6" fillId="5" fontId="12" numFmtId="0" xfId="0" applyAlignment="1" applyBorder="1" applyFont="1">
      <alignment horizontal="center" vertical="center"/>
    </xf>
    <xf borderId="0" fillId="2" fontId="2" numFmtId="0" xfId="0" applyAlignment="1" applyFont="1">
      <alignment shrinkToFit="0" wrapText="1"/>
    </xf>
    <xf borderId="6" fillId="5" fontId="12" numFmtId="0" xfId="0" applyAlignment="1" applyBorder="1" applyFont="1">
      <alignment horizontal="center" readingOrder="0" vertical="center"/>
    </xf>
    <xf borderId="6" fillId="6" fontId="4" numFmtId="0" xfId="0" applyAlignment="1" applyBorder="1" applyFill="1" applyFont="1">
      <alignment horizontal="center" vertical="center"/>
    </xf>
    <xf borderId="6" fillId="6" fontId="9" numFmtId="0" xfId="0" applyAlignment="1" applyBorder="1" applyFont="1">
      <alignment horizontal="center" readingOrder="0" vertical="center"/>
    </xf>
    <xf borderId="6" fillId="6" fontId="4" numFmtId="0" xfId="0" applyAlignment="1" applyBorder="1" applyFont="1">
      <alignment horizontal="left" vertical="center"/>
    </xf>
    <xf borderId="6" fillId="6" fontId="2" numFmtId="0" xfId="0" applyAlignment="1" applyBorder="1" applyFont="1">
      <alignment horizontal="center" readingOrder="0" vertical="center"/>
    </xf>
    <xf borderId="6" fillId="6" fontId="2" numFmtId="0" xfId="0" applyAlignment="1" applyBorder="1" applyFont="1">
      <alignment vertical="center"/>
    </xf>
    <xf borderId="6" fillId="5" fontId="9" numFmtId="3" xfId="0" applyAlignment="1" applyBorder="1" applyFont="1" applyNumberFormat="1">
      <alignment horizontal="center" readingOrder="0" vertical="center"/>
    </xf>
    <xf borderId="1" fillId="5" fontId="2" numFmtId="0" xfId="0" applyAlignment="1" applyBorder="1" applyFont="1">
      <alignment vertical="center"/>
    </xf>
    <xf borderId="1" fillId="5" fontId="2" numFmtId="0" xfId="0" applyBorder="1" applyFont="1"/>
    <xf borderId="1" fillId="2" fontId="14" numFmtId="0" xfId="0" applyBorder="1" applyFont="1"/>
    <xf borderId="1" fillId="5" fontId="2" numFmtId="0" xfId="0" applyAlignment="1" applyBorder="1" applyFont="1">
      <alignment horizontal="center" vertical="center"/>
    </xf>
    <xf borderId="6" fillId="5" fontId="2" numFmtId="0" xfId="0" applyAlignment="1" applyBorder="1" applyFont="1">
      <alignment readingOrder="0" vertical="center"/>
    </xf>
    <xf borderId="0" fillId="2" fontId="2" numFmtId="0" xfId="0" applyFont="1"/>
    <xf borderId="12" fillId="5" fontId="4" numFmtId="0" xfId="0" applyAlignment="1" applyBorder="1" applyFont="1">
      <alignment horizontal="center" readingOrder="0" vertical="center"/>
    </xf>
    <xf quotePrefix="1" borderId="6" fillId="5" fontId="4" numFmtId="0" xfId="0" applyAlignment="1" applyBorder="1" applyFont="1">
      <alignment horizontal="center" readingOrder="0" vertical="center"/>
    </xf>
    <xf borderId="6" fillId="5" fontId="15" numFmtId="0" xfId="0" applyAlignment="1" applyBorder="1" applyFont="1">
      <alignment horizontal="center" vertical="center"/>
    </xf>
    <xf borderId="6" fillId="5" fontId="15" numFmtId="0" xfId="0" applyAlignment="1" applyBorder="1" applyFont="1">
      <alignment horizontal="center" readingOrder="0" vertical="center"/>
    </xf>
    <xf borderId="6" fillId="5" fontId="16" numFmtId="0" xfId="0" applyAlignment="1" applyBorder="1" applyFont="1">
      <alignment horizontal="center" vertical="center"/>
    </xf>
    <xf borderId="6" fillId="5" fontId="16" numFmtId="0" xfId="0" applyAlignment="1" applyBorder="1" applyFont="1">
      <alignment horizontal="center" readingOrder="0" vertical="center"/>
    </xf>
    <xf borderId="6" fillId="5" fontId="8" numFmtId="0" xfId="0" applyAlignment="1" applyBorder="1" applyFont="1">
      <alignment readingOrder="0" vertical="center"/>
    </xf>
    <xf borderId="6" fillId="5" fontId="17" numFmtId="0" xfId="0" applyAlignment="1" applyBorder="1" applyFont="1">
      <alignment horizontal="center" vertical="center"/>
    </xf>
    <xf borderId="6" fillId="5" fontId="8" numFmtId="0" xfId="0" applyAlignment="1" applyBorder="1" applyFont="1">
      <alignment horizontal="center" vertical="center"/>
    </xf>
    <xf borderId="6" fillId="5" fontId="8" numFmtId="0" xfId="0" applyAlignment="1" applyBorder="1" applyFont="1">
      <alignment vertical="center"/>
    </xf>
    <xf borderId="6" fillId="5" fontId="9" numFmtId="0" xfId="0" applyAlignment="1" applyBorder="1" applyFont="1">
      <alignment horizontal="center" readingOrder="0" shrinkToFit="0" vertical="center" wrapText="0"/>
    </xf>
    <xf borderId="6" fillId="5" fontId="8" numFmtId="0" xfId="0" applyAlignment="1" applyBorder="1" applyFont="1">
      <alignment horizontal="center" readingOrder="0" vertical="center"/>
    </xf>
    <xf borderId="1" fillId="2" fontId="18" numFmtId="0" xfId="0" applyBorder="1" applyFont="1"/>
    <xf borderId="6" fillId="5" fontId="4" numFmtId="164" xfId="0" applyAlignment="1" applyBorder="1" applyFont="1" applyNumberFormat="1">
      <alignment horizontal="center" readingOrder="0" vertical="center"/>
    </xf>
    <xf borderId="6" fillId="5" fontId="15" numFmtId="0" xfId="0" applyAlignment="1" applyBorder="1" applyFont="1">
      <alignment horizontal="left" vertical="center"/>
    </xf>
    <xf borderId="9" fillId="5" fontId="4" numFmtId="0" xfId="0" applyAlignment="1" applyBorder="1" applyFont="1">
      <alignment horizontal="center" vertical="center"/>
    </xf>
    <xf borderId="13" fillId="5" fontId="4" numFmtId="0" xfId="0" applyAlignment="1" applyBorder="1" applyFont="1">
      <alignment horizontal="center" vertical="center"/>
    </xf>
    <xf borderId="6" fillId="5" fontId="19" numFmtId="0" xfId="0" applyAlignment="1" applyBorder="1" applyFont="1">
      <alignment horizontal="center" readingOrder="0"/>
    </xf>
    <xf borderId="6" fillId="5" fontId="19" numFmtId="0" xfId="0" applyAlignment="1" applyBorder="1" applyFont="1">
      <alignment readingOrder="0"/>
    </xf>
    <xf borderId="6" fillId="5" fontId="20" numFmtId="0" xfId="0" applyAlignment="1" applyBorder="1" applyFont="1">
      <alignment horizontal="center" vertical="center"/>
    </xf>
    <xf borderId="6" fillId="5" fontId="10" numFmtId="0" xfId="0" applyAlignment="1" applyBorder="1" applyFont="1">
      <alignment horizontal="center"/>
    </xf>
    <xf borderId="6" fillId="5" fontId="4" numFmtId="0" xfId="0" applyAlignment="1" applyBorder="1" applyFont="1">
      <alignment horizontal="center"/>
    </xf>
    <xf borderId="6" fillId="5" fontId="9" numFmtId="0" xfId="0" applyAlignment="1" applyBorder="1" applyFont="1">
      <alignment horizontal="center" readingOrder="0"/>
    </xf>
    <xf borderId="6" fillId="5" fontId="4" numFmtId="0" xfId="0" applyAlignment="1" applyBorder="1" applyFont="1">
      <alignment readingOrder="0"/>
    </xf>
    <xf borderId="6" fillId="5" fontId="4" numFmtId="0" xfId="0" applyAlignment="1" applyBorder="1" applyFont="1">
      <alignment horizontal="center" readingOrder="0"/>
    </xf>
    <xf borderId="6" fillId="5" fontId="2" numFmtId="0" xfId="0" applyAlignment="1" applyBorder="1" applyFont="1">
      <alignment horizontal="center"/>
    </xf>
    <xf borderId="6" fillId="5" fontId="2" numFmtId="0" xfId="0" applyBorder="1" applyFont="1"/>
    <xf borderId="6" fillId="5" fontId="7" numFmtId="0" xfId="0" applyAlignment="1" applyBorder="1" applyFont="1">
      <alignment horizontal="center" vertical="center"/>
    </xf>
    <xf borderId="6" fillId="5" fontId="21" numFmtId="0" xfId="0" applyAlignment="1" applyBorder="1" applyFont="1">
      <alignment horizontal="center" vertical="center"/>
    </xf>
    <xf borderId="6" fillId="5" fontId="22" numFmtId="0" xfId="0" applyAlignment="1" applyBorder="1" applyFont="1">
      <alignment horizontal="center" readingOrder="0" vertical="center"/>
    </xf>
    <xf borderId="6" fillId="5" fontId="21" numFmtId="0" xfId="0" applyAlignment="1" applyBorder="1" applyFont="1">
      <alignment horizontal="left" readingOrder="0" vertical="center"/>
    </xf>
    <xf borderId="6" fillId="5" fontId="21" numFmtId="0" xfId="0" applyAlignment="1" applyBorder="1" applyFont="1">
      <alignment horizontal="center" readingOrder="0" vertical="center"/>
    </xf>
    <xf borderId="6" fillId="5" fontId="21" numFmtId="0" xfId="0" applyAlignment="1" applyBorder="1" applyFont="1">
      <alignment vertical="center"/>
    </xf>
    <xf borderId="6" fillId="5" fontId="23" numFmtId="0" xfId="0" applyAlignment="1" applyBorder="1" applyFont="1">
      <alignment horizontal="center" vertical="center"/>
    </xf>
    <xf borderId="6" fillId="5" fontId="24" numFmtId="0" xfId="0" applyAlignment="1" applyBorder="1" applyFont="1">
      <alignment horizontal="center" readingOrder="0" vertical="center"/>
    </xf>
    <xf borderId="6" fillId="5" fontId="25" numFmtId="0" xfId="0" applyAlignment="1" applyBorder="1" applyFont="1">
      <alignment horizontal="left" readingOrder="0" vertical="center"/>
    </xf>
    <xf borderId="6" fillId="5" fontId="25" numFmtId="0" xfId="0" applyAlignment="1" applyBorder="1" applyFont="1">
      <alignment horizontal="center" vertical="center"/>
    </xf>
    <xf borderId="6" fillId="5" fontId="25" numFmtId="0" xfId="0" applyAlignment="1" applyBorder="1" applyFont="1">
      <alignment horizontal="center" readingOrder="0" vertical="center"/>
    </xf>
    <xf borderId="6" fillId="5" fontId="26" numFmtId="0" xfId="0" applyAlignment="1" applyBorder="1" applyFont="1">
      <alignment horizontal="center" readingOrder="0" shrinkToFit="0" wrapText="0"/>
    </xf>
    <xf borderId="6" fillId="5" fontId="20" numFmtId="0" xfId="0" applyAlignment="1" applyBorder="1" applyFont="1">
      <alignment horizontal="center" readingOrder="0" vertical="center"/>
    </xf>
    <xf borderId="6" fillId="3" fontId="10" numFmtId="0" xfId="0" applyAlignment="1" applyBorder="1" applyFont="1">
      <alignment horizontal="center" readingOrder="0" vertical="center"/>
    </xf>
    <xf borderId="1" fillId="2" fontId="8" numFmtId="0" xfId="0" applyAlignment="1" applyBorder="1" applyFont="1">
      <alignment vertical="center"/>
    </xf>
    <xf borderId="6" fillId="5" fontId="8" numFmtId="0" xfId="0" applyAlignment="1" applyBorder="1" applyFont="1">
      <alignment horizontal="left" readingOrder="0" vertical="center"/>
    </xf>
    <xf borderId="6" fillId="5" fontId="8" numFmtId="0" xfId="0" applyAlignment="1" applyBorder="1" applyFont="1">
      <alignment horizontal="left" vertical="center"/>
    </xf>
    <xf borderId="6" fillId="5" fontId="27" numFmtId="0" xfId="0" applyAlignment="1" applyBorder="1" applyFont="1">
      <alignment horizontal="left" vertical="center"/>
    </xf>
    <xf borderId="6" fillId="5" fontId="12" numFmtId="0" xfId="0" applyAlignment="1" applyBorder="1" applyFont="1">
      <alignment horizontal="left" vertical="center"/>
    </xf>
    <xf borderId="6" fillId="5" fontId="27" numFmtId="0" xfId="0" applyAlignment="1" applyBorder="1" applyFont="1">
      <alignment horizontal="center" vertical="center"/>
    </xf>
    <xf borderId="6" fillId="5" fontId="4" numFmtId="1" xfId="0" applyAlignment="1" applyBorder="1" applyFont="1" applyNumberFormat="1">
      <alignment horizontal="center" vertical="center"/>
    </xf>
    <xf borderId="6" fillId="5" fontId="4" numFmtId="165" xfId="0" applyAlignment="1" applyBorder="1" applyFont="1" applyNumberFormat="1">
      <alignment horizontal="center" vertical="center"/>
    </xf>
    <xf borderId="6" fillId="5" fontId="27" numFmtId="0" xfId="0" applyAlignment="1" applyBorder="1" applyFont="1">
      <alignment horizontal="center" readingOrder="0" vertical="center"/>
    </xf>
    <xf borderId="6" fillId="5" fontId="28" numFmtId="0" xfId="0" applyAlignment="1" applyBorder="1" applyFont="1">
      <alignment readingOrder="0" vertical="center"/>
    </xf>
    <xf borderId="6" fillId="5" fontId="16" numFmtId="0" xfId="0" applyAlignment="1" applyBorder="1" applyFont="1">
      <alignment horizontal="left" readingOrder="0" vertical="center"/>
    </xf>
    <xf borderId="6" fillId="5" fontId="28" numFmtId="0" xfId="0" applyAlignment="1" applyBorder="1" applyFont="1">
      <alignment horizontal="center" readingOrder="0" vertical="center"/>
    </xf>
    <xf borderId="6" fillId="5" fontId="27" numFmtId="0" xfId="0" applyAlignment="1" applyBorder="1" applyFont="1">
      <alignment horizontal="left" readingOrder="0" vertical="center"/>
    </xf>
    <xf borderId="6" fillId="5" fontId="13" numFmtId="0" xfId="0" applyAlignment="1" applyBorder="1" applyFont="1">
      <alignment horizontal="center" vertical="center"/>
    </xf>
    <xf borderId="6" fillId="5" fontId="29" numFmtId="0" xfId="0" applyAlignment="1" applyBorder="1" applyFont="1">
      <alignment horizontal="center" readingOrder="0" vertical="center"/>
    </xf>
    <xf borderId="6" fillId="5" fontId="29" numFmtId="0" xfId="0" applyAlignment="1" applyBorder="1" applyFont="1">
      <alignment vertical="center"/>
    </xf>
    <xf borderId="6" fillId="5" fontId="29" numFmtId="0" xfId="0" applyAlignment="1" applyBorder="1" applyFont="1">
      <alignment horizontal="center" vertical="center"/>
    </xf>
    <xf borderId="6" fillId="5" fontId="30" numFmtId="0" xfId="0" applyAlignment="1" applyBorder="1" applyFont="1">
      <alignment horizontal="center" vertical="center"/>
    </xf>
    <xf borderId="6" fillId="5" fontId="25" numFmtId="0" xfId="0" applyAlignment="1" applyBorder="1" applyFont="1">
      <alignment horizontal="left" vertical="center"/>
    </xf>
    <xf borderId="6" fillId="5" fontId="28" numFmtId="0" xfId="0" applyAlignment="1" applyBorder="1" applyFont="1">
      <alignment vertical="center"/>
    </xf>
    <xf borderId="6" fillId="5" fontId="20" numFmtId="0" xfId="0" applyAlignment="1" applyBorder="1" applyFont="1">
      <alignment vertical="center"/>
    </xf>
    <xf borderId="6" fillId="5" fontId="12" numFmtId="0" xfId="0" applyAlignment="1" applyBorder="1" applyFont="1">
      <alignment horizontal="left" readingOrder="0" vertical="center"/>
    </xf>
    <xf borderId="14" fillId="2" fontId="2" numFmtId="0" xfId="0" applyBorder="1" applyFont="1"/>
    <xf borderId="6" fillId="2" fontId="11" numFmtId="0" xfId="0" applyAlignment="1" applyBorder="1" applyFont="1">
      <alignment vertical="center"/>
    </xf>
    <xf borderId="6" fillId="2" fontId="2" numFmtId="0" xfId="0" applyBorder="1" applyFont="1"/>
    <xf borderId="15" fillId="2" fontId="2" numFmtId="0" xfId="0" applyBorder="1" applyFont="1"/>
    <xf borderId="6" fillId="5" fontId="19" numFmtId="0" xfId="0" applyAlignment="1" applyBorder="1" applyFont="1">
      <alignment horizontal="center" vertical="center"/>
    </xf>
    <xf borderId="9" fillId="5" fontId="9" numFmtId="0" xfId="0" applyAlignment="1" applyBorder="1" applyFont="1">
      <alignment horizontal="center" readingOrder="0" vertical="center"/>
    </xf>
    <xf borderId="9" fillId="5" fontId="4" numFmtId="0" xfId="0" applyAlignment="1" applyBorder="1" applyFont="1">
      <alignment horizontal="left" vertical="center"/>
    </xf>
    <xf borderId="9" fillId="5" fontId="4" numFmtId="0" xfId="0" applyAlignment="1" applyBorder="1" applyFont="1">
      <alignment horizontal="center" shrinkToFit="0" vertical="center" wrapText="1"/>
    </xf>
    <xf borderId="9" fillId="5" fontId="12" numFmtId="0" xfId="0" applyAlignment="1" applyBorder="1" applyFont="1">
      <alignment horizontal="center" readingOrder="0" vertical="center"/>
    </xf>
    <xf borderId="9" fillId="5" fontId="2" numFmtId="0" xfId="0" applyAlignment="1" applyBorder="1" applyFont="1">
      <alignment horizontal="center" readingOrder="0" vertical="center"/>
    </xf>
    <xf borderId="9" fillId="5" fontId="2" numFmtId="0" xfId="0" applyAlignment="1" applyBorder="1" applyFont="1">
      <alignment vertical="center"/>
    </xf>
    <xf borderId="4" fillId="2" fontId="2" numFmtId="0" xfId="0" applyBorder="1" applyFont="1"/>
    <xf borderId="4" fillId="2" fontId="2" numFmtId="0" xfId="0" applyAlignment="1" applyBorder="1" applyFont="1">
      <alignment vertical="bottom"/>
    </xf>
    <xf borderId="9" fillId="5" fontId="27" numFmtId="0" xfId="0" applyAlignment="1" applyBorder="1" applyFont="1">
      <alignment horizontal="center" vertical="center"/>
    </xf>
    <xf borderId="9" fillId="5" fontId="12" numFmtId="0" xfId="0" applyAlignment="1" applyBorder="1" applyFont="1">
      <alignment horizontal="center" vertical="center"/>
    </xf>
    <xf borderId="9" fillId="5" fontId="9" numFmtId="0" xfId="0" applyAlignment="1" applyBorder="1" applyFont="1">
      <alignment horizontal="center" vertical="center"/>
    </xf>
    <xf borderId="1" fillId="2" fontId="21" numFmtId="0" xfId="0" applyAlignment="1" applyBorder="1" applyFont="1">
      <alignment vertical="center"/>
    </xf>
    <xf borderId="0" fillId="2" fontId="31" numFmtId="0" xfId="0" applyFont="1"/>
    <xf borderId="6" fillId="5" fontId="27" numFmtId="3" xfId="0" applyAlignment="1" applyBorder="1" applyFont="1" applyNumberFormat="1">
      <alignment horizontal="center" vertical="center"/>
    </xf>
    <xf borderId="6" fillId="7" fontId="10" numFmtId="0" xfId="0" applyAlignment="1" applyBorder="1" applyFill="1" applyFont="1">
      <alignment horizontal="center" readingOrder="0" vertical="center"/>
    </xf>
    <xf borderId="6" fillId="7" fontId="4" numFmtId="0" xfId="0" applyAlignment="1" applyBorder="1" applyFont="1">
      <alignment horizontal="center" vertical="center"/>
    </xf>
    <xf borderId="6" fillId="7" fontId="9" numFmtId="0" xfId="0" applyAlignment="1" applyBorder="1" applyFont="1">
      <alignment horizontal="center" readingOrder="0" vertical="center"/>
    </xf>
    <xf borderId="6" fillId="7" fontId="4" numFmtId="0" xfId="0" applyAlignment="1" applyBorder="1" applyFont="1">
      <alignment horizontal="left" vertical="center"/>
    </xf>
    <xf borderId="6" fillId="7" fontId="4" numFmtId="0" xfId="0" applyAlignment="1" applyBorder="1" applyFont="1">
      <alignment horizontal="center" readingOrder="0" vertical="center"/>
    </xf>
    <xf borderId="6" fillId="7" fontId="2" numFmtId="0" xfId="0" applyAlignment="1" applyBorder="1" applyFont="1">
      <alignment horizontal="center" vertical="center"/>
    </xf>
    <xf borderId="6" fillId="7" fontId="2" numFmtId="0" xfId="0" applyAlignment="1" applyBorder="1" applyFont="1">
      <alignment vertical="center"/>
    </xf>
    <xf borderId="6" fillId="6" fontId="10" numFmtId="0" xfId="0" applyAlignment="1" applyBorder="1" applyFont="1">
      <alignment horizontal="center" readingOrder="0" vertical="center"/>
    </xf>
    <xf borderId="6" fillId="6" fontId="4" numFmtId="0" xfId="0" applyAlignment="1" applyBorder="1" applyFont="1">
      <alignment horizontal="left" readingOrder="0" vertical="center"/>
    </xf>
    <xf borderId="0" fillId="2" fontId="32" numFmtId="0" xfId="0" applyAlignment="1" applyFont="1">
      <alignment vertical="center"/>
    </xf>
    <xf borderId="6" fillId="5" fontId="24" numFmtId="0" xfId="0" applyAlignment="1" applyBorder="1" applyFont="1">
      <alignment horizontal="center" vertical="center"/>
    </xf>
    <xf borderId="6" fillId="5" fontId="22" numFmtId="0" xfId="0" applyAlignment="1" applyBorder="1" applyFont="1">
      <alignment horizontal="center" vertical="center"/>
    </xf>
    <xf borderId="6" fillId="5" fontId="21" numFmtId="0" xfId="0" applyAlignment="1" applyBorder="1" applyFont="1">
      <alignment horizontal="left" vertical="center"/>
    </xf>
    <xf borderId="12" fillId="5" fontId="4" numFmtId="0" xfId="0" applyAlignment="1" applyBorder="1" applyFont="1">
      <alignment horizontal="center" vertical="center"/>
    </xf>
    <xf borderId="6" fillId="5" fontId="16" numFmtId="0" xfId="0" applyAlignment="1" applyBorder="1" applyFont="1">
      <alignment horizontal="left" vertical="center"/>
    </xf>
    <xf borderId="6" fillId="5" fontId="11" numFmtId="0" xfId="0" applyAlignment="1" applyBorder="1" applyFont="1">
      <alignment vertical="center"/>
    </xf>
    <xf borderId="6" fillId="5" fontId="27" numFmtId="0" xfId="0" applyAlignment="1" applyBorder="1" applyFont="1">
      <alignment horizontal="left" readingOrder="0" shrinkToFit="0" vertical="center" wrapText="1"/>
    </xf>
    <xf borderId="6" fillId="5" fontId="27" numFmtId="0" xfId="0" applyAlignment="1" applyBorder="1" applyFont="1">
      <alignment horizontal="center" shrinkToFit="0" vertical="center" wrapText="1"/>
    </xf>
    <xf borderId="12" fillId="5" fontId="27" numFmtId="0" xfId="0" applyAlignment="1" applyBorder="1" applyFont="1">
      <alignment horizontal="center" readingOrder="0" vertical="center"/>
    </xf>
    <xf borderId="6" fillId="5" fontId="27" numFmtId="0" xfId="0" applyAlignment="1" applyBorder="1" applyFont="1">
      <alignment vertical="center"/>
    </xf>
    <xf borderId="6" fillId="5" fontId="27" numFmtId="0" xfId="0" applyAlignment="1" applyBorder="1" applyFont="1">
      <alignment horizontal="center" shrinkToFit="0" vertical="center" wrapText="0"/>
    </xf>
    <xf borderId="6" fillId="5" fontId="27" numFmtId="0" xfId="0" applyAlignment="1" applyBorder="1" applyFont="1">
      <alignment horizontal="left" shrinkToFit="0" vertical="center" wrapText="0"/>
    </xf>
    <xf borderId="6" fillId="5" fontId="8" numFmtId="0" xfId="0" applyAlignment="1" applyBorder="1" applyFont="1">
      <alignment horizontal="center" shrinkToFit="0" vertical="center" wrapText="0"/>
    </xf>
    <xf borderId="6" fillId="5" fontId="8" numFmtId="0" xfId="0" applyAlignment="1" applyBorder="1" applyFont="1">
      <alignment shrinkToFit="0" vertical="center" wrapText="0"/>
    </xf>
    <xf borderId="6" fillId="5" fontId="29" numFmtId="0" xfId="0" applyAlignment="1" applyBorder="1" applyFont="1">
      <alignment horizontal="left" vertical="center"/>
    </xf>
    <xf borderId="6" fillId="5" fontId="10" numFmtId="0" xfId="0" applyAlignment="1" applyBorder="1" applyFont="1">
      <alignment horizontal="center" vertical="center"/>
    </xf>
    <xf borderId="6" fillId="5" fontId="8" numFmtId="0" xfId="0" applyAlignment="1" applyBorder="1" applyFont="1">
      <alignment horizontal="center" readingOrder="0" shrinkToFit="0" vertical="center" wrapText="1"/>
    </xf>
    <xf borderId="6" fillId="5" fontId="27" numFmtId="0" xfId="0" applyAlignment="1" applyBorder="1" applyFont="1">
      <alignment horizontal="left" shrinkToFit="0" vertical="center" wrapText="1"/>
    </xf>
    <xf borderId="0" fillId="2" fontId="8" numFmtId="0" xfId="0" applyAlignment="1" applyFont="1">
      <alignment vertical="center"/>
    </xf>
    <xf borderId="6" fillId="5" fontId="4" numFmtId="0" xfId="0" applyAlignment="1" applyBorder="1" applyFont="1">
      <alignment horizontal="center" shrinkToFit="0" vertical="center" wrapText="1"/>
    </xf>
    <xf borderId="6" fillId="5" fontId="9" numFmtId="0" xfId="0" applyAlignment="1" applyBorder="1" applyFont="1">
      <alignment horizontal="center" shrinkToFit="0" vertical="center" wrapText="1"/>
    </xf>
    <xf borderId="6" fillId="5" fontId="4" numFmtId="0" xfId="0" applyAlignment="1" applyBorder="1" applyFont="1">
      <alignment horizontal="left" shrinkToFit="0" vertical="center" wrapText="1"/>
    </xf>
    <xf borderId="6" fillId="5" fontId="20" numFmtId="0" xfId="0" applyAlignment="1" applyBorder="1" applyFont="1">
      <alignment horizontal="center" shrinkToFit="0" vertical="center" wrapText="1"/>
    </xf>
    <xf borderId="6" fillId="5" fontId="2" numFmtId="0" xfId="0" applyAlignment="1" applyBorder="1" applyFont="1">
      <alignment shrinkToFit="0" vertical="center" wrapText="1"/>
    </xf>
    <xf borderId="6" fillId="5" fontId="4" numFmtId="0" xfId="0" applyAlignment="1" applyBorder="1" applyFont="1">
      <alignment horizontal="center" readingOrder="0" shrinkToFit="0" vertical="center" wrapText="1"/>
    </xf>
    <xf borderId="6" fillId="5" fontId="9" numFmtId="0" xfId="0" applyAlignment="1" applyBorder="1" applyFont="1">
      <alignment horizontal="center" readingOrder="0" shrinkToFit="0" vertical="center" wrapText="1"/>
    </xf>
    <xf borderId="6" fillId="5" fontId="8" numFmtId="0" xfId="0" applyAlignment="1" applyBorder="1" applyFont="1">
      <alignment horizontal="left" readingOrder="0" shrinkToFit="0" vertical="center" wrapText="1"/>
    </xf>
    <xf borderId="6" fillId="5" fontId="3" numFmtId="0" xfId="0" applyAlignment="1" applyBorder="1" applyFont="1">
      <alignment readingOrder="0"/>
    </xf>
    <xf borderId="6" fillId="5" fontId="27" numFmtId="0" xfId="0" applyAlignment="1" applyBorder="1" applyFont="1">
      <alignment horizontal="center" readingOrder="0" shrinkToFit="0" vertical="center" wrapText="1"/>
    </xf>
    <xf borderId="6" fillId="5" fontId="20" numFmtId="0" xfId="0" applyAlignment="1" applyBorder="1" applyFont="1">
      <alignment horizontal="center" readingOrder="0" shrinkToFit="0" vertical="center" wrapText="1"/>
    </xf>
    <xf borderId="1" fillId="2" fontId="33" numFmtId="0" xfId="0" applyAlignment="1" applyBorder="1" applyFont="1">
      <alignment horizontal="center" vertical="center"/>
    </xf>
    <xf borderId="6" fillId="5" fontId="8" numFmtId="0" xfId="0" applyAlignment="1" applyBorder="1" applyFont="1">
      <alignment horizontal="center" shrinkToFit="0" vertical="center" wrapText="1"/>
    </xf>
    <xf borderId="6" fillId="5" fontId="8" numFmtId="0" xfId="0" applyAlignment="1" applyBorder="1" applyFont="1">
      <alignment shrinkToFit="0" vertical="center" wrapText="1"/>
    </xf>
    <xf borderId="6" fillId="5" fontId="4" numFmtId="0" xfId="0" applyAlignment="1" applyBorder="1" applyFont="1">
      <alignment vertical="center"/>
    </xf>
    <xf borderId="1" fillId="2" fontId="20" numFmtId="0" xfId="0" applyBorder="1" applyFont="1"/>
    <xf borderId="1" fillId="5" fontId="4" numFmtId="0" xfId="0" applyAlignment="1" applyBorder="1" applyFont="1">
      <alignment horizontal="center" vertical="center"/>
    </xf>
    <xf borderId="6" fillId="5" fontId="9" numFmtId="3" xfId="0" applyAlignment="1" applyBorder="1" applyFont="1" applyNumberFormat="1">
      <alignment horizontal="center" vertical="center"/>
    </xf>
    <xf borderId="6" fillId="7" fontId="9" numFmtId="0" xfId="0" applyAlignment="1" applyBorder="1" applyFont="1">
      <alignment horizontal="center" vertical="center"/>
    </xf>
    <xf borderId="1" fillId="2" fontId="4" numFmtId="0" xfId="0" applyBorder="1" applyFont="1"/>
    <xf borderId="6" fillId="5" fontId="34" numFmtId="0" xfId="0" applyAlignment="1" applyBorder="1" applyFont="1">
      <alignment horizontal="center" vertical="center"/>
    </xf>
    <xf borderId="0" fillId="2" fontId="8" numFmtId="0" xfId="0" applyAlignment="1" applyFont="1">
      <alignment shrinkToFit="0" vertical="center" wrapText="0"/>
    </xf>
    <xf borderId="1" fillId="2" fontId="2" numFmtId="0" xfId="0" applyAlignment="1" applyBorder="1" applyFont="1">
      <alignment shrinkToFit="0" wrapText="0"/>
    </xf>
    <xf borderId="6" fillId="5" fontId="12" numFmtId="0" xfId="0" applyAlignment="1" applyBorder="1" applyFont="1">
      <alignment vertical="center"/>
    </xf>
    <xf borderId="1" fillId="2" fontId="4" numFmtId="0" xfId="0" applyAlignment="1" applyBorder="1" applyFont="1">
      <alignment horizontal="center" vertical="center"/>
    </xf>
    <xf borderId="1" fillId="2" fontId="9" numFmtId="0" xfId="0" applyAlignment="1" applyBorder="1" applyFont="1">
      <alignment horizontal="center" vertical="center"/>
    </xf>
    <xf borderId="1" fillId="2" fontId="4" numFmtId="0" xfId="0" applyAlignment="1" applyBorder="1" applyFont="1">
      <alignment horizontal="left" vertical="center"/>
    </xf>
    <xf borderId="0" fillId="2" fontId="32" numFmtId="0" xfId="0" applyFont="1"/>
    <xf borderId="1" fillId="5" fontId="29" numFmtId="0" xfId="0" applyAlignment="1" applyBorder="1" applyFont="1">
      <alignment horizontal="center" vertical="center"/>
    </xf>
    <xf borderId="0" fillId="2" fontId="11" numFmtId="0" xfId="0" applyAlignment="1" applyFont="1">
      <alignment shrinkToFit="0" vertical="center" wrapText="1"/>
    </xf>
    <xf borderId="0" fillId="5" fontId="4" numFmtId="0" xfId="0" applyAlignment="1" applyFont="1">
      <alignment horizontal="center" vertical="center"/>
    </xf>
    <xf borderId="1" fillId="2" fontId="8" numFmtId="0" xfId="0" applyAlignment="1" applyBorder="1" applyFont="1">
      <alignment shrinkToFit="0" vertical="center" wrapText="1"/>
    </xf>
    <xf borderId="0" fillId="2" fontId="3" numFmtId="0" xfId="0" applyAlignment="1" applyFont="1">
      <alignment shrinkToFit="0" wrapText="1"/>
    </xf>
    <xf borderId="16" fillId="5" fontId="4" numFmtId="0" xfId="0" applyAlignment="1" applyBorder="1" applyFont="1">
      <alignment horizontal="center" vertical="center"/>
    </xf>
    <xf borderId="1" fillId="5" fontId="27" numFmtId="0" xfId="0" applyAlignment="1" applyBorder="1" applyFont="1">
      <alignment horizontal="center" readingOrder="0" vertical="center"/>
    </xf>
    <xf borderId="6" fillId="5" fontId="29" numFmtId="0" xfId="0" applyAlignment="1" applyBorder="1" applyFont="1">
      <alignment readingOrder="0" vertical="center"/>
    </xf>
    <xf borderId="6" fillId="5" fontId="29" numFmtId="0" xfId="0" applyAlignment="1" applyBorder="1" applyFont="1">
      <alignment horizontal="left" readingOrder="0" vertical="center"/>
    </xf>
    <xf borderId="6" fillId="5" fontId="35" numFmtId="0" xfId="0" applyAlignment="1" applyBorder="1" applyFont="1">
      <alignment horizontal="center" readingOrder="0" vertical="center"/>
    </xf>
    <xf borderId="6" fillId="5" fontId="35" numFmtId="0" xfId="0" applyAlignment="1" applyBorder="1" applyFont="1">
      <alignment horizontal="center" vertical="center"/>
    </xf>
    <xf borderId="1" fillId="2" fontId="20" numFmtId="0" xfId="0" applyAlignment="1" applyBorder="1" applyFont="1">
      <alignment vertical="center"/>
    </xf>
    <xf borderId="6" fillId="5" fontId="35" numFmtId="0" xfId="0" applyAlignment="1" applyBorder="1" applyFont="1">
      <alignment horizontal="left" vertical="center"/>
    </xf>
    <xf borderId="6" fillId="5" fontId="16" numFmtId="0" xfId="0" applyAlignment="1" applyBorder="1" applyFont="1">
      <alignment vertical="center"/>
    </xf>
    <xf borderId="6" fillId="5" fontId="13" numFmtId="0" xfId="0" applyAlignment="1" applyBorder="1" applyFont="1">
      <alignment vertical="center"/>
    </xf>
    <xf borderId="6" fillId="5" fontId="36" numFmtId="0" xfId="0" applyAlignment="1" applyBorder="1" applyFont="1">
      <alignment horizontal="left" readingOrder="0" vertical="center"/>
    </xf>
    <xf borderId="6" fillId="5" fontId="14" numFmtId="0" xfId="0" applyAlignment="1" applyBorder="1" applyFont="1">
      <alignment vertical="center"/>
    </xf>
    <xf borderId="6" fillId="5" fontId="9" numFmtId="0" xfId="0" applyAlignment="1" applyBorder="1" applyFont="1">
      <alignment horizontal="left" vertical="center"/>
    </xf>
    <xf borderId="6" fillId="5" fontId="37" numFmtId="0" xfId="0" applyAlignment="1" applyBorder="1" applyFont="1">
      <alignment horizontal="center" readingOrder="0"/>
    </xf>
    <xf borderId="6" fillId="5" fontId="27" numFmtId="0" xfId="0" applyAlignment="1" applyBorder="1" applyFont="1">
      <alignment readingOrder="0"/>
    </xf>
    <xf borderId="6" fillId="5" fontId="12" numFmtId="0" xfId="0" applyAlignment="1" applyBorder="1" applyFont="1">
      <alignment horizontal="center" readingOrder="0"/>
    </xf>
    <xf borderId="6" fillId="5" fontId="35" numFmtId="0" xfId="0" applyAlignment="1" applyBorder="1" applyFont="1">
      <alignment horizontal="center" readingOrder="0"/>
    </xf>
    <xf borderId="6" fillId="5" fontId="29" numFmtId="0" xfId="0" applyAlignment="1" applyBorder="1" applyFont="1">
      <alignment readingOrder="0"/>
    </xf>
    <xf borderId="6" fillId="0" fontId="8" numFmtId="0" xfId="0" applyAlignment="1" applyBorder="1" applyFont="1">
      <alignment vertical="center"/>
    </xf>
    <xf borderId="6" fillId="5" fontId="8" numFmtId="3" xfId="0" applyAlignment="1" applyBorder="1" applyFont="1" applyNumberFormat="1">
      <alignment horizontal="center" readingOrder="0" vertical="center"/>
    </xf>
    <xf borderId="6" fillId="5" fontId="38" numFmtId="3" xfId="0" applyAlignment="1" applyBorder="1" applyFont="1" applyNumberFormat="1">
      <alignment horizontal="center" readingOrder="0"/>
    </xf>
    <xf borderId="6" fillId="5" fontId="38" numFmtId="0" xfId="0" applyAlignment="1" applyBorder="1" applyFont="1">
      <alignment horizontal="left" readingOrder="0"/>
    </xf>
    <xf borderId="6" fillId="5" fontId="38" numFmtId="0" xfId="0" applyAlignment="1" applyBorder="1" applyFont="1">
      <alignment horizontal="left" readingOrder="0" vertical="top"/>
    </xf>
    <xf borderId="6" fillId="5" fontId="8" numFmtId="166" xfId="0" applyAlignment="1" applyBorder="1" applyFont="1" applyNumberFormat="1">
      <alignment horizontal="center" readingOrder="0" vertical="center"/>
    </xf>
    <xf borderId="6" fillId="5" fontId="8" numFmtId="166" xfId="0" applyAlignment="1" applyBorder="1" applyFont="1" applyNumberFormat="1">
      <alignment horizontal="center" vertical="center"/>
    </xf>
    <xf quotePrefix="1" borderId="6" fillId="5" fontId="8" numFmtId="0" xfId="0" applyAlignment="1" applyBorder="1" applyFont="1">
      <alignment horizontal="center" readingOrder="0" vertical="center"/>
    </xf>
    <xf borderId="6" fillId="5" fontId="8" numFmtId="166" xfId="0" applyAlignment="1" applyBorder="1" applyFont="1" applyNumberFormat="1">
      <alignment vertical="center"/>
    </xf>
    <xf borderId="6" fillId="5" fontId="39" numFmtId="0" xfId="0" applyAlignment="1" applyBorder="1" applyFont="1">
      <alignment horizontal="center" readingOrder="0" vertical="center"/>
    </xf>
    <xf borderId="6" fillId="5" fontId="8" numFmtId="0" xfId="0" applyAlignment="1" applyBorder="1" applyFont="1">
      <alignment horizontal="center" readingOrder="0" vertical="center"/>
    </xf>
    <xf borderId="6" fillId="5" fontId="40" numFmtId="0" xfId="0" applyAlignment="1" applyBorder="1" applyFont="1">
      <alignment horizontal="center" readingOrder="0" vertical="center"/>
    </xf>
    <xf borderId="6" fillId="5" fontId="41" numFmtId="0" xfId="0" applyAlignment="1" applyBorder="1" applyFont="1">
      <alignment horizontal="center" readingOrder="0" vertical="center"/>
    </xf>
    <xf borderId="6" fillId="5" fontId="41" numFmtId="0" xfId="0" applyAlignment="1" applyBorder="1" applyFont="1">
      <alignment horizontal="left" readingOrder="0" vertical="center"/>
    </xf>
    <xf borderId="6" fillId="5" fontId="41" numFmtId="0" xfId="0" applyAlignment="1" applyBorder="1" applyFont="1">
      <alignment horizontal="center" vertical="center"/>
    </xf>
    <xf borderId="6" fillId="5" fontId="41" numFmtId="0" xfId="0" applyAlignment="1" applyBorder="1" applyFont="1">
      <alignment vertical="center"/>
    </xf>
    <xf borderId="1" fillId="2" fontId="2" numFmtId="0" xfId="0" applyAlignment="1" applyBorder="1" applyFont="1">
      <alignment readingOrder="0" vertical="center"/>
    </xf>
    <xf borderId="6" fillId="5" fontId="41" numFmtId="0" xfId="0" applyAlignment="1" applyBorder="1" applyFont="1">
      <alignment horizontal="left" readingOrder="0" shrinkToFit="0" vertical="center" wrapText="1"/>
    </xf>
    <xf borderId="0" fillId="5" fontId="3" numFmtId="0" xfId="0" applyFont="1"/>
    <xf borderId="6" fillId="5" fontId="40" numFmtId="3" xfId="0" applyAlignment="1" applyBorder="1" applyFont="1" applyNumberFormat="1">
      <alignment horizontal="center" readingOrder="0" vertical="center"/>
    </xf>
    <xf borderId="6" fillId="5" fontId="42" numFmtId="0" xfId="0" applyAlignment="1" applyBorder="1" applyFont="1">
      <alignment horizontal="center" readingOrder="0" vertical="center"/>
    </xf>
    <xf borderId="6" fillId="5" fontId="43" numFmtId="0" xfId="0" applyAlignment="1" applyBorder="1" applyFont="1">
      <alignment horizontal="center" readingOrder="0" vertical="center"/>
    </xf>
    <xf borderId="6" fillId="5" fontId="43" numFmtId="0" xfId="0" applyAlignment="1" applyBorder="1" applyFont="1">
      <alignment horizontal="left" readingOrder="0" vertical="center"/>
    </xf>
    <xf borderId="6" fillId="5" fontId="43" numFmtId="0" xfId="0" applyAlignment="1" applyBorder="1" applyFont="1">
      <alignment horizontal="center" vertical="center"/>
    </xf>
    <xf borderId="6" fillId="5" fontId="43" numFmtId="0" xfId="0" applyAlignment="1" applyBorder="1" applyFont="1">
      <alignment vertical="center"/>
    </xf>
    <xf borderId="6" fillId="8" fontId="10" numFmtId="0" xfId="0" applyAlignment="1" applyBorder="1" applyFill="1" applyFont="1">
      <alignment horizontal="center" readingOrder="0" vertical="center"/>
    </xf>
    <xf borderId="6" fillId="8" fontId="4" numFmtId="0" xfId="0" applyAlignment="1" applyBorder="1" applyFont="1">
      <alignment horizontal="center" readingOrder="0" vertical="center"/>
    </xf>
    <xf borderId="6" fillId="8" fontId="9" numFmtId="0" xfId="0" applyAlignment="1" applyBorder="1" applyFont="1">
      <alignment horizontal="center" readingOrder="0" vertical="center"/>
    </xf>
    <xf borderId="6" fillId="8" fontId="4" numFmtId="0" xfId="0" applyAlignment="1" applyBorder="1" applyFont="1">
      <alignment horizontal="left" readingOrder="0" vertical="center"/>
    </xf>
    <xf borderId="6" fillId="8" fontId="4" numFmtId="0" xfId="0" applyAlignment="1" applyBorder="1" applyFont="1">
      <alignment horizontal="center" vertical="center"/>
    </xf>
    <xf borderId="6" fillId="8" fontId="2" numFmtId="0" xfId="0" applyAlignment="1" applyBorder="1" applyFont="1">
      <alignment horizontal="center" readingOrder="0" vertical="center"/>
    </xf>
    <xf borderId="6" fillId="8" fontId="2" numFmtId="0" xfId="0" applyAlignment="1" applyBorder="1" applyFont="1">
      <alignment vertical="center"/>
    </xf>
    <xf borderId="1" fillId="8" fontId="2" numFmtId="0" xfId="0" applyAlignment="1" applyBorder="1" applyFont="1">
      <alignment readingOrder="0" vertical="center"/>
    </xf>
    <xf quotePrefix="1" borderId="6" fillId="8" fontId="4" numFmtId="0" xfId="0" applyAlignment="1" applyBorder="1" applyFont="1">
      <alignment horizontal="center" readingOrder="0" vertical="center"/>
    </xf>
    <xf borderId="6" fillId="8" fontId="9" numFmtId="3" xfId="0" applyAlignment="1" applyBorder="1" applyFont="1" applyNumberFormat="1">
      <alignment horizontal="center" readingOrder="0" vertical="center"/>
    </xf>
    <xf borderId="6" fillId="3" fontId="9" numFmtId="0" xfId="0" applyAlignment="1" applyBorder="1" applyFont="1">
      <alignment horizontal="center" vertical="center"/>
    </xf>
    <xf borderId="6" fillId="3" fontId="16" numFmtId="0" xfId="0" applyAlignment="1" applyBorder="1" applyFont="1">
      <alignment horizontal="center" vertical="center"/>
    </xf>
    <xf quotePrefix="1" borderId="6" fillId="3" fontId="4" numFmtId="0" xfId="0" applyAlignment="1" applyBorder="1" applyFont="1">
      <alignment horizontal="center" vertical="center"/>
    </xf>
    <xf borderId="6" fillId="6" fontId="9" numFmtId="0" xfId="0" applyAlignment="1" applyBorder="1" applyFont="1">
      <alignment horizontal="center" vertical="center"/>
    </xf>
    <xf borderId="6" fillId="6" fontId="2" numFmtId="0" xfId="0" applyAlignment="1" applyBorder="1" applyFont="1">
      <alignment horizontal="center" vertical="center"/>
    </xf>
    <xf borderId="6" fillId="3" fontId="4" numFmtId="1" xfId="0" applyAlignment="1" applyBorder="1" applyFont="1" applyNumberFormat="1">
      <alignment horizontal="center" vertical="center"/>
    </xf>
    <xf borderId="6" fillId="3" fontId="4" numFmtId="165" xfId="0" applyAlignment="1" applyBorder="1" applyFont="1" applyNumberFormat="1">
      <alignment horizontal="center" vertical="center"/>
    </xf>
    <xf borderId="6" fillId="3" fontId="12" numFmtId="0" xfId="0" applyAlignment="1" applyBorder="1" applyFont="1">
      <alignment horizontal="left" vertical="center"/>
    </xf>
    <xf borderId="10" fillId="3" fontId="4" numFmtId="0" xfId="0" applyAlignment="1" applyBorder="1" applyFont="1">
      <alignment horizontal="center" vertical="center"/>
    </xf>
    <xf borderId="6" fillId="2" fontId="2" numFmtId="0" xfId="0" applyAlignment="1" applyBorder="1" applyFont="1">
      <alignment vertical="center"/>
    </xf>
    <xf borderId="6" fillId="2" fontId="8" numFmtId="0" xfId="0" applyBorder="1" applyFont="1"/>
    <xf borderId="17" fillId="3" fontId="4" numFmtId="0" xfId="0" applyAlignment="1" applyBorder="1" applyFont="1">
      <alignment horizontal="center" vertical="center"/>
    </xf>
    <xf borderId="0" fillId="2" fontId="8" numFmtId="0" xfId="0" applyFont="1"/>
    <xf borderId="1" fillId="2" fontId="8" numFmtId="0" xfId="0" applyAlignment="1" applyBorder="1" applyFont="1">
      <alignment horizontal="center"/>
    </xf>
    <xf borderId="1" fillId="2" fontId="8" numFmtId="0" xfId="0" applyAlignment="1" applyBorder="1" applyFont="1">
      <alignment horizontal="center" vertical="center"/>
    </xf>
    <xf borderId="6" fillId="3" fontId="13" numFmtId="0" xfId="0" applyAlignment="1" applyBorder="1" applyFont="1">
      <alignment horizontal="center" vertical="center"/>
    </xf>
    <xf borderId="1" fillId="3" fontId="2" numFmtId="0" xfId="0" applyAlignment="1" applyBorder="1" applyFont="1">
      <alignment vertical="center"/>
    </xf>
    <xf borderId="1" fillId="7" fontId="2" numFmtId="0" xfId="0" applyAlignment="1" applyBorder="1" applyFont="1">
      <alignment vertical="center"/>
    </xf>
    <xf borderId="6" fillId="3" fontId="12" numFmtId="0" xfId="0" applyAlignment="1" applyBorder="1" applyFont="1">
      <alignment horizontal="center" vertical="center"/>
    </xf>
    <xf borderId="6" fillId="3" fontId="20" numFmtId="0" xfId="0" applyAlignment="1" applyBorder="1" applyFont="1">
      <alignment horizontal="center" vertical="center"/>
    </xf>
    <xf borderId="6" fillId="3" fontId="11" numFmtId="0" xfId="0" applyAlignment="1" applyBorder="1" applyFont="1">
      <alignment vertical="center"/>
    </xf>
    <xf borderId="6" fillId="9" fontId="10" numFmtId="0" xfId="0" applyAlignment="1" applyBorder="1" applyFill="1" applyFont="1">
      <alignment horizontal="center" readingOrder="0" vertical="center"/>
    </xf>
    <xf borderId="6" fillId="9" fontId="4" numFmtId="0" xfId="0" applyAlignment="1" applyBorder="1" applyFont="1">
      <alignment horizontal="center" vertical="center"/>
    </xf>
    <xf borderId="6" fillId="9" fontId="9" numFmtId="0" xfId="0" applyAlignment="1" applyBorder="1" applyFont="1">
      <alignment horizontal="center" vertical="center"/>
    </xf>
    <xf borderId="6" fillId="9" fontId="4" numFmtId="0" xfId="0" applyAlignment="1" applyBorder="1" applyFont="1">
      <alignment horizontal="left" vertical="center"/>
    </xf>
    <xf borderId="6" fillId="9" fontId="2" numFmtId="0" xfId="0" applyAlignment="1" applyBorder="1" applyFont="1">
      <alignment horizontal="center" vertical="center"/>
    </xf>
    <xf borderId="6" fillId="9" fontId="2" numFmtId="0" xfId="0" applyAlignment="1" applyBorder="1" applyFont="1">
      <alignment vertical="center"/>
    </xf>
    <xf borderId="1" fillId="6" fontId="4" numFmtId="0" xfId="0" applyAlignment="1" applyBorder="1" applyFont="1">
      <alignment horizontal="center" vertical="center"/>
    </xf>
    <xf borderId="6" fillId="6" fontId="20" numFmtId="0" xfId="0" applyAlignment="1" applyBorder="1" applyFont="1">
      <alignment horizontal="center" vertical="center"/>
    </xf>
    <xf borderId="0" fillId="3" fontId="2" numFmtId="0" xfId="0" applyAlignment="1" applyFont="1">
      <alignment vertical="center"/>
    </xf>
    <xf borderId="6" fillId="2" fontId="10" numFmtId="0" xfId="0" applyAlignment="1" applyBorder="1" applyFont="1">
      <alignment horizontal="center" readingOrder="0" vertical="center"/>
    </xf>
    <xf borderId="6" fillId="2" fontId="4" numFmtId="0" xfId="0" applyAlignment="1" applyBorder="1" applyFont="1">
      <alignment horizontal="center" vertical="center"/>
    </xf>
    <xf borderId="6" fillId="2" fontId="9" numFmtId="0" xfId="0" applyAlignment="1" applyBorder="1" applyFont="1">
      <alignment horizontal="center" readingOrder="0" vertical="center"/>
    </xf>
    <xf borderId="6" fillId="2" fontId="4" numFmtId="0" xfId="0" applyAlignment="1" applyBorder="1" applyFont="1">
      <alignment horizontal="left" readingOrder="0" vertical="center"/>
    </xf>
    <xf borderId="6" fillId="2" fontId="4" numFmtId="0" xfId="0" applyAlignment="1" applyBorder="1" applyFont="1">
      <alignment horizontal="center" readingOrder="0" vertical="center"/>
    </xf>
    <xf borderId="6" fillId="2" fontId="2" numFmtId="0" xfId="0" applyAlignment="1" applyBorder="1" applyFont="1">
      <alignment horizontal="center" vertical="center"/>
    </xf>
    <xf borderId="0" fillId="6" fontId="2" numFmtId="0" xfId="0" applyAlignment="1" applyFont="1">
      <alignment vertical="center"/>
    </xf>
    <xf borderId="0" fillId="7" fontId="2" numFmtId="0" xfId="0" applyAlignment="1" applyFont="1">
      <alignment vertical="center"/>
    </xf>
    <xf borderId="6" fillId="3" fontId="23" numFmtId="0" xfId="0" applyAlignment="1" applyBorder="1" applyFont="1">
      <alignment horizontal="center" vertical="center"/>
    </xf>
    <xf borderId="6" fillId="3" fontId="24" numFmtId="0" xfId="0" applyAlignment="1" applyBorder="1" applyFont="1">
      <alignment horizontal="center" vertical="center"/>
    </xf>
    <xf borderId="6" fillId="3" fontId="25" numFmtId="0" xfId="0" applyAlignment="1" applyBorder="1" applyFont="1">
      <alignment horizontal="left" vertical="center"/>
    </xf>
    <xf borderId="6" fillId="3" fontId="25" numFmtId="0" xfId="0" applyAlignment="1" applyBorder="1" applyFont="1">
      <alignment horizontal="center" vertical="center"/>
    </xf>
    <xf borderId="1" fillId="3" fontId="4" numFmtId="0" xfId="0" applyAlignment="1" applyBorder="1" applyFont="1">
      <alignment horizontal="left" vertical="center"/>
    </xf>
    <xf borderId="1" fillId="6" fontId="2" numFmtId="0" xfId="0" applyAlignment="1" applyBorder="1" applyFont="1">
      <alignment vertical="center"/>
    </xf>
    <xf borderId="13" fillId="3" fontId="4" numFmtId="0" xfId="0" applyAlignment="1" applyBorder="1" applyFont="1">
      <alignment horizontal="center" vertical="center"/>
    </xf>
    <xf borderId="13" fillId="3" fontId="9" numFmtId="0" xfId="0" applyAlignment="1" applyBorder="1" applyFont="1">
      <alignment horizontal="center" vertical="center"/>
    </xf>
    <xf borderId="13" fillId="3" fontId="4" numFmtId="0" xfId="0" applyAlignment="1" applyBorder="1" applyFont="1">
      <alignment horizontal="left" vertical="center"/>
    </xf>
    <xf borderId="13" fillId="3" fontId="2" numFmtId="0" xfId="0" applyAlignment="1" applyBorder="1" applyFont="1">
      <alignment horizontal="center" vertical="center"/>
    </xf>
    <xf borderId="13" fillId="3" fontId="2" numFmtId="0" xfId="0" applyAlignment="1" applyBorder="1" applyFont="1">
      <alignment vertical="center"/>
    </xf>
    <xf borderId="1" fillId="3" fontId="4" numFmtId="0" xfId="0" applyAlignment="1" applyBorder="1" applyFont="1">
      <alignment horizontal="center" vertical="center"/>
    </xf>
    <xf borderId="6" fillId="2" fontId="4" numFmtId="0" xfId="0" applyAlignment="1" applyBorder="1" applyFont="1">
      <alignment horizontal="center" shrinkToFit="0" vertical="center" wrapText="1"/>
    </xf>
    <xf borderId="6" fillId="2" fontId="12" numFmtId="0" xfId="0" applyAlignment="1" applyBorder="1" applyFont="1">
      <alignment horizontal="center" shrinkToFit="0" vertical="center" wrapText="1"/>
    </xf>
    <xf borderId="6" fillId="2" fontId="20" numFmtId="0" xfId="0" applyAlignment="1" applyBorder="1" applyFont="1">
      <alignment horizontal="center" vertical="center"/>
    </xf>
    <xf borderId="1" fillId="3" fontId="2" numFmtId="0" xfId="0" applyAlignment="1" applyBorder="1" applyFont="1">
      <alignment horizontal="center" vertical="center"/>
    </xf>
    <xf borderId="6" fillId="6" fontId="12" numFmtId="0" xfId="0" applyAlignment="1" applyBorder="1" applyFont="1">
      <alignment horizontal="left" vertical="center"/>
    </xf>
    <xf borderId="1" fillId="3" fontId="9" numFmtId="0" xfId="0" applyAlignment="1" applyBorder="1" applyFont="1">
      <alignment horizontal="center" vertical="center"/>
    </xf>
    <xf borderId="6" fillId="3" fontId="32" numFmtId="0" xfId="0" applyAlignment="1" applyBorder="1" applyFont="1">
      <alignment horizontal="center" vertical="center"/>
    </xf>
    <xf borderId="0" fillId="3" fontId="32" numFmtId="0" xfId="0" applyAlignment="1" applyFont="1">
      <alignment vertical="center"/>
    </xf>
    <xf borderId="6" fillId="3" fontId="8" numFmtId="0" xfId="0" applyAlignment="1" applyBorder="1" applyFont="1">
      <alignment horizontal="center" vertical="center"/>
    </xf>
    <xf borderId="1" fillId="2" fontId="16" numFmtId="0" xfId="0" applyAlignment="1" applyBorder="1" applyFont="1">
      <alignment vertical="center"/>
    </xf>
    <xf borderId="1" fillId="3" fontId="9" numFmtId="0" xfId="0" applyAlignment="1" applyBorder="1" applyFont="1">
      <alignment horizontal="center" readingOrder="0" vertical="center"/>
    </xf>
    <xf borderId="6" fillId="3" fontId="13" numFmtId="0" xfId="0" applyAlignment="1" applyBorder="1" applyFont="1">
      <alignment horizontal="center" readingOrder="0" vertical="center"/>
    </xf>
    <xf borderId="4" fillId="3" fontId="2" numFmtId="0" xfId="0" applyAlignment="1" applyBorder="1" applyFont="1">
      <alignment vertical="center"/>
    </xf>
    <xf borderId="6" fillId="3" fontId="9" numFmtId="0" xfId="0" applyAlignment="1" applyBorder="1" applyFont="1">
      <alignment horizontal="left" vertical="center"/>
    </xf>
    <xf borderId="4" fillId="6" fontId="2" numFmtId="0" xfId="0" applyAlignment="1" applyBorder="1" applyFont="1">
      <alignment vertical="center"/>
    </xf>
    <xf borderId="1" fillId="2" fontId="14" numFmtId="0" xfId="0" applyAlignment="1" applyBorder="1" applyFont="1">
      <alignment vertical="center"/>
    </xf>
    <xf borderId="0" fillId="5" fontId="2" numFmtId="0" xfId="0" applyAlignment="1" applyFont="1">
      <alignment vertical="center"/>
    </xf>
    <xf borderId="6" fillId="2" fontId="27" numFmtId="0" xfId="0" applyAlignment="1" applyBorder="1" applyFont="1">
      <alignment horizontal="center" vertical="center"/>
    </xf>
    <xf borderId="6" fillId="2" fontId="27" numFmtId="0" xfId="0" applyAlignment="1" applyBorder="1" applyFont="1">
      <alignment horizontal="left" vertical="center"/>
    </xf>
    <xf borderId="6" fillId="2" fontId="8" numFmtId="0" xfId="0" applyAlignment="1" applyBorder="1" applyFont="1">
      <alignment horizontal="center" vertical="center"/>
    </xf>
    <xf borderId="6" fillId="0" fontId="4" numFmtId="0" xfId="0" applyAlignment="1" applyBorder="1" applyFont="1">
      <alignment horizontal="center" vertical="center"/>
    </xf>
    <xf borderId="6" fillId="0" fontId="9" numFmtId="0" xfId="0" applyAlignment="1" applyBorder="1" applyFont="1">
      <alignment horizontal="center" vertical="center"/>
    </xf>
    <xf borderId="6" fillId="0" fontId="4" numFmtId="0" xfId="0" applyAlignment="1" applyBorder="1" applyFont="1">
      <alignment horizontal="left" vertical="center"/>
    </xf>
    <xf borderId="6" fillId="0" fontId="2" numFmtId="0" xfId="0" applyAlignment="1" applyBorder="1" applyFont="1">
      <alignment horizontal="center" vertical="center"/>
    </xf>
    <xf borderId="0" fillId="0" fontId="2" numFmtId="0" xfId="0" applyAlignment="1" applyFont="1">
      <alignment vertical="center"/>
    </xf>
    <xf borderId="6" fillId="0" fontId="8" numFmtId="0" xfId="0" applyAlignment="1" applyBorder="1" applyFont="1">
      <alignment horizontal="center" vertical="center"/>
    </xf>
    <xf borderId="6" fillId="0" fontId="27" numFmtId="0" xfId="0" applyAlignment="1" applyBorder="1" applyFont="1">
      <alignment horizontal="center" vertical="center"/>
    </xf>
    <xf borderId="6" fillId="3" fontId="29" numFmtId="0" xfId="0" applyAlignment="1" applyBorder="1" applyFont="1">
      <alignment shrinkToFit="0" vertical="center" wrapText="1"/>
    </xf>
    <xf borderId="0" fillId="0" fontId="8" numFmtId="0" xfId="0" applyAlignment="1" applyFont="1">
      <alignment vertical="center"/>
    </xf>
    <xf borderId="6" fillId="6" fontId="12" numFmtId="0" xfId="0" applyAlignment="1" applyBorder="1" applyFont="1">
      <alignment horizontal="center" vertical="center"/>
    </xf>
    <xf borderId="6" fillId="2" fontId="8" numFmtId="0" xfId="0" applyAlignment="1" applyBorder="1" applyFont="1">
      <alignment vertical="center"/>
    </xf>
    <xf borderId="0" fillId="5" fontId="8" numFmtId="0" xfId="0" applyAlignment="1" applyFont="1">
      <alignment vertical="center"/>
    </xf>
    <xf borderId="0" fillId="2" fontId="44" numFmtId="0" xfId="0" applyFont="1"/>
    <xf borderId="0" fillId="3" fontId="9" numFmtId="0" xfId="0" applyAlignment="1" applyFont="1">
      <alignment horizontal="center" vertical="center"/>
    </xf>
    <xf borderId="6" fillId="3" fontId="10" numFmtId="0" xfId="0" applyAlignment="1" applyBorder="1" applyFont="1">
      <alignment horizontal="center" vertical="center"/>
    </xf>
    <xf borderId="6" fillId="3" fontId="4" numFmtId="0" xfId="0" applyAlignment="1" applyBorder="1" applyFont="1">
      <alignment horizontal="center" shrinkToFit="0" vertical="center" wrapText="1"/>
    </xf>
    <xf borderId="18" fillId="3" fontId="9" numFmtId="0" xfId="0" applyAlignment="1" applyBorder="1" applyFont="1">
      <alignment horizontal="center" vertical="center"/>
    </xf>
    <xf borderId="6" fillId="6" fontId="4" numFmtId="1" xfId="0" applyAlignment="1" applyBorder="1" applyFont="1" applyNumberFormat="1">
      <alignment horizontal="center" vertical="center"/>
    </xf>
    <xf borderId="4" fillId="2" fontId="8" numFmtId="0" xfId="0" applyAlignment="1" applyBorder="1" applyFont="1">
      <alignment vertical="center"/>
    </xf>
    <xf borderId="0" fillId="2" fontId="8" numFmtId="166" xfId="0" applyAlignment="1" applyFont="1" applyNumberFormat="1">
      <alignment vertical="center"/>
    </xf>
    <xf borderId="0" fillId="2" fontId="8" numFmtId="166" xfId="0" applyFont="1" applyNumberFormat="1"/>
    <xf borderId="6" fillId="6" fontId="10" numFmtId="0" xfId="0" applyAlignment="1" applyBorder="1" applyFont="1">
      <alignment horizontal="center" vertical="center"/>
    </xf>
    <xf borderId="6" fillId="3" fontId="8" numFmtId="0" xfId="0" applyAlignment="1" applyBorder="1" applyFont="1">
      <alignment horizontal="left" vertical="center"/>
    </xf>
    <xf borderId="6" fillId="3" fontId="8" numFmtId="0" xfId="0" applyAlignment="1" applyBorder="1" applyFont="1">
      <alignment vertical="center"/>
    </xf>
    <xf borderId="6" fillId="3" fontId="27" numFmtId="0" xfId="0" applyAlignment="1" applyBorder="1" applyFont="1">
      <alignment horizontal="center" vertical="center"/>
    </xf>
    <xf borderId="6" fillId="7" fontId="8" numFmtId="0" xfId="0" applyAlignment="1" applyBorder="1" applyFont="1">
      <alignment horizontal="center" vertical="center"/>
    </xf>
    <xf borderId="6" fillId="7" fontId="8" numFmtId="0" xfId="0" applyAlignment="1" applyBorder="1" applyFont="1">
      <alignment horizontal="center" readingOrder="0" vertical="center"/>
    </xf>
    <xf borderId="6" fillId="7" fontId="8" numFmtId="0" xfId="0" applyAlignment="1" applyBorder="1" applyFont="1">
      <alignment horizontal="left" vertical="center"/>
    </xf>
    <xf borderId="6" fillId="7" fontId="8" numFmtId="0" xfId="0" applyAlignment="1" applyBorder="1" applyFont="1">
      <alignment vertical="center"/>
    </xf>
    <xf borderId="6" fillId="7" fontId="7" numFmtId="0" xfId="0" applyAlignment="1" applyBorder="1" applyFont="1">
      <alignment horizontal="center" vertical="center"/>
    </xf>
    <xf borderId="6" fillId="7" fontId="24" numFmtId="0" xfId="0" applyAlignment="1" applyBorder="1" applyFont="1">
      <alignment horizontal="center" vertical="center"/>
    </xf>
    <xf borderId="6" fillId="7" fontId="27" numFmtId="0" xfId="0" applyAlignment="1" applyBorder="1" applyFont="1">
      <alignment horizontal="center" vertical="center"/>
    </xf>
    <xf borderId="6" fillId="7" fontId="12" numFmtId="0" xfId="0" applyAlignment="1" applyBorder="1" applyFont="1">
      <alignment horizontal="center" vertical="center"/>
    </xf>
    <xf borderId="6" fillId="10" fontId="10" numFmtId="0" xfId="0" applyAlignment="1" applyBorder="1" applyFill="1" applyFont="1">
      <alignment horizontal="center" readingOrder="0" vertical="center"/>
    </xf>
    <xf borderId="6" fillId="10" fontId="4" numFmtId="0" xfId="0" applyAlignment="1" applyBorder="1" applyFont="1">
      <alignment horizontal="center" vertical="center"/>
    </xf>
    <xf borderId="6" fillId="10" fontId="9" numFmtId="0" xfId="0" applyAlignment="1" applyBorder="1" applyFont="1">
      <alignment horizontal="center" vertical="center"/>
    </xf>
    <xf borderId="6" fillId="10" fontId="4" numFmtId="0" xfId="0" applyAlignment="1" applyBorder="1" applyFont="1">
      <alignment horizontal="left" vertical="center"/>
    </xf>
    <xf borderId="6" fillId="10" fontId="12" numFmtId="0" xfId="0" applyAlignment="1" applyBorder="1" applyFont="1">
      <alignment horizontal="center" vertical="center"/>
    </xf>
    <xf borderId="6" fillId="10" fontId="20" numFmtId="0" xfId="0" applyAlignment="1" applyBorder="1" applyFont="1">
      <alignment horizontal="center" vertical="center"/>
    </xf>
    <xf borderId="6" fillId="10" fontId="2" numFmtId="0" xfId="0" applyAlignment="1" applyBorder="1" applyFont="1">
      <alignment vertical="center"/>
    </xf>
    <xf borderId="6" fillId="2" fontId="9" numFmtId="0" xfId="0" applyAlignment="1" applyBorder="1" applyFont="1">
      <alignment horizontal="center" vertical="center"/>
    </xf>
    <xf borderId="6" fillId="2" fontId="4" numFmtId="0" xfId="0" applyAlignment="1" applyBorder="1" applyFont="1">
      <alignment horizontal="left" vertical="center"/>
    </xf>
    <xf borderId="6" fillId="2" fontId="12" numFmtId="0" xfId="0" applyAlignment="1" applyBorder="1" applyFont="1">
      <alignment horizontal="center" vertical="center"/>
    </xf>
    <xf borderId="6" fillId="7" fontId="20" numFmtId="0" xfId="0" applyAlignment="1" applyBorder="1" applyFont="1">
      <alignment horizontal="center" vertical="center"/>
    </xf>
    <xf borderId="6" fillId="7" fontId="27" numFmtId="0" xfId="0" applyAlignment="1" applyBorder="1" applyFont="1">
      <alignment horizontal="left" readingOrder="0" vertical="center"/>
    </xf>
    <xf borderId="6" fillId="7" fontId="27" numFmtId="0" xfId="0" applyAlignment="1" applyBorder="1" applyFont="1">
      <alignment horizontal="center" readingOrder="0" vertical="center"/>
    </xf>
    <xf borderId="0" fillId="2" fontId="8" numFmtId="0" xfId="0" applyAlignment="1" applyFont="1">
      <alignment readingOrder="0" vertical="center"/>
    </xf>
    <xf borderId="9" fillId="5" fontId="9" numFmtId="0" xfId="0" applyAlignment="1" applyBorder="1" applyFont="1">
      <alignment horizontal="center" shrinkToFit="0" vertical="center" wrapText="1"/>
    </xf>
    <xf borderId="7" fillId="11" fontId="45" numFmtId="0" xfId="0" applyAlignment="1" applyBorder="1" applyFill="1" applyFont="1">
      <alignment horizontal="center" shrinkToFit="0" vertical="center" wrapText="1"/>
    </xf>
    <xf borderId="9" fillId="11" fontId="46" numFmtId="0" xfId="0" applyAlignment="1" applyBorder="1" applyFont="1">
      <alignment horizontal="center" shrinkToFit="0" vertical="center" wrapText="1"/>
    </xf>
    <xf borderId="6" fillId="11" fontId="46" numFmtId="0" xfId="0" applyAlignment="1" applyBorder="1" applyFont="1">
      <alignment horizontal="center" readingOrder="0" vertical="center"/>
    </xf>
    <xf borderId="6" fillId="11" fontId="8" numFmtId="0" xfId="0" applyAlignment="1" applyBorder="1" applyFont="1">
      <alignment vertical="center"/>
    </xf>
    <xf borderId="0" fillId="5" fontId="10" numFmtId="0" xfId="0" applyAlignment="1" applyFont="1">
      <alignment horizontal="center" readingOrder="0" vertical="center"/>
    </xf>
    <xf borderId="0" fillId="5" fontId="8" numFmtId="0" xfId="0" applyAlignment="1" applyFont="1">
      <alignment horizontal="center" readingOrder="0" vertical="center"/>
    </xf>
    <xf borderId="0" fillId="5" fontId="8" numFmtId="0" xfId="0" applyAlignment="1" applyFont="1">
      <alignment horizontal="left" readingOrder="0" vertical="center"/>
    </xf>
    <xf borderId="0" fillId="5" fontId="8" numFmtId="0" xfId="0" applyAlignment="1" applyFont="1">
      <alignment horizontal="center" vertical="center"/>
    </xf>
    <xf borderId="0" fillId="0" fontId="43" numFmtId="0" xfId="0" applyAlignment="1" applyFont="1">
      <alignment horizontal="right" readingOrder="0" shrinkToFit="0" vertical="center" wrapText="1"/>
    </xf>
    <xf borderId="1" fillId="3" fontId="43" numFmtId="0" xfId="0" applyAlignment="1" applyBorder="1" applyFont="1">
      <alignment horizontal="center" vertical="center"/>
    </xf>
    <xf borderId="2" fillId="3" fontId="5" numFmtId="0" xfId="0" applyAlignment="1" applyBorder="1" applyFont="1">
      <alignment horizontal="center" vertical="center"/>
    </xf>
    <xf borderId="1" fillId="3" fontId="47" numFmtId="0" xfId="0" applyAlignment="1" applyBorder="1" applyFont="1">
      <alignment horizontal="center" vertical="center"/>
    </xf>
    <xf borderId="1" fillId="3" fontId="7" numFmtId="0" xfId="0" applyAlignment="1" applyBorder="1" applyFont="1">
      <alignment horizontal="left" shrinkToFit="0" vertical="center" wrapText="1"/>
    </xf>
    <xf borderId="1" fillId="3" fontId="7" numFmtId="0" xfId="0" applyAlignment="1" applyBorder="1" applyFont="1">
      <alignment horizontal="center" vertical="center"/>
    </xf>
    <xf borderId="7" fillId="0" fontId="9" numFmtId="0" xfId="0" applyAlignment="1" applyBorder="1" applyFont="1">
      <alignment horizontal="center" vertical="center"/>
    </xf>
    <xf borderId="1" fillId="3" fontId="48" numFmtId="0" xfId="0" applyAlignment="1" applyBorder="1" applyFont="1">
      <alignment horizontal="center" vertical="center"/>
    </xf>
    <xf borderId="19" fillId="3" fontId="48" numFmtId="0" xfId="0" applyAlignment="1" applyBorder="1" applyFont="1">
      <alignment horizontal="center" vertical="center"/>
    </xf>
    <xf borderId="20" fillId="0" fontId="6" numFmtId="0" xfId="0" applyBorder="1" applyFont="1"/>
    <xf borderId="14" fillId="3" fontId="7" numFmtId="0" xfId="0" applyAlignment="1" applyBorder="1" applyFont="1">
      <alignment horizontal="center" vertical="center"/>
    </xf>
    <xf borderId="6" fillId="9" fontId="9" numFmtId="0" xfId="0" applyAlignment="1" applyBorder="1" applyFont="1">
      <alignment horizontal="center" shrinkToFit="0" vertical="center" wrapText="1"/>
    </xf>
    <xf borderId="17" fillId="9" fontId="9" numFmtId="0" xfId="0" applyAlignment="1" applyBorder="1" applyFont="1">
      <alignment horizontal="center" shrinkToFit="0" vertical="center" wrapText="1"/>
    </xf>
    <xf borderId="6" fillId="9" fontId="9" numFmtId="0" xfId="0" applyAlignment="1" applyBorder="1" applyFont="1">
      <alignment horizontal="center" readingOrder="0" shrinkToFit="0" vertical="center" wrapText="1"/>
    </xf>
    <xf borderId="17" fillId="5" fontId="4" numFmtId="0" xfId="0" applyAlignment="1" applyBorder="1" applyFont="1">
      <alignment horizontal="center" shrinkToFit="0" vertical="center" wrapText="1"/>
    </xf>
    <xf borderId="6" fillId="5" fontId="16" numFmtId="0" xfId="0" applyAlignment="1" applyBorder="1" applyFont="1">
      <alignment horizontal="center" shrinkToFit="0" vertical="center" wrapText="1"/>
    </xf>
    <xf quotePrefix="1" borderId="6" fillId="5" fontId="4" numFmtId="0" xfId="0" applyAlignment="1" applyBorder="1" applyFont="1">
      <alignment horizontal="center" shrinkToFit="0" vertical="center" wrapText="1"/>
    </xf>
    <xf borderId="6" fillId="5" fontId="2" numFmtId="0" xfId="0" applyAlignment="1" applyBorder="1" applyFont="1">
      <alignment horizontal="center" readingOrder="0" shrinkToFit="0" vertical="center" wrapText="1"/>
    </xf>
    <xf borderId="4" fillId="2" fontId="2" numFmtId="0" xfId="0" applyAlignment="1" applyBorder="1" applyFont="1">
      <alignment shrinkToFit="0" wrapText="1"/>
    </xf>
    <xf borderId="6" fillId="4" fontId="4" numFmtId="0" xfId="0" applyAlignment="1" applyBorder="1" applyFont="1">
      <alignment horizontal="center" shrinkToFit="0" vertical="center" wrapText="1"/>
    </xf>
    <xf borderId="6" fillId="4" fontId="4" numFmtId="0" xfId="0" applyAlignment="1" applyBorder="1" applyFont="1">
      <alignment horizontal="left" shrinkToFit="0" vertical="center" wrapText="1"/>
    </xf>
    <xf borderId="6" fillId="4" fontId="2" numFmtId="0" xfId="0" applyAlignment="1" applyBorder="1" applyFont="1">
      <alignment horizontal="center" vertical="center"/>
    </xf>
    <xf borderId="6" fillId="2" fontId="4" numFmtId="0" xfId="0" applyAlignment="1" applyBorder="1" applyFont="1">
      <alignment horizontal="left" shrinkToFit="0" vertical="center" wrapText="1"/>
    </xf>
    <xf borderId="6" fillId="5" fontId="25" numFmtId="0" xfId="0" applyAlignment="1" applyBorder="1" applyFont="1">
      <alignment horizontal="center" shrinkToFit="0" vertical="center" wrapText="1"/>
    </xf>
    <xf borderId="6" fillId="5" fontId="25" numFmtId="0" xfId="0" applyAlignment="1" applyBorder="1" applyFont="1">
      <alignment horizontal="center" readingOrder="0" shrinkToFit="0" vertical="center" wrapText="1"/>
    </xf>
    <xf borderId="6" fillId="5" fontId="25" numFmtId="0" xfId="0" applyAlignment="1" applyBorder="1" applyFont="1">
      <alignment horizontal="left" shrinkToFit="0" vertical="center" wrapText="1"/>
    </xf>
    <xf borderId="4" fillId="2" fontId="25" numFmtId="0" xfId="0" applyBorder="1" applyFont="1"/>
    <xf borderId="1" fillId="2" fontId="25" numFmtId="0" xfId="0" applyBorder="1" applyFont="1"/>
    <xf borderId="16" fillId="5" fontId="4" numFmtId="0" xfId="0" applyAlignment="1" applyBorder="1" applyFont="1">
      <alignment horizontal="center" shrinkToFit="0" vertical="center" wrapText="1"/>
    </xf>
    <xf borderId="6" fillId="4" fontId="4" numFmtId="0" xfId="0" applyAlignment="1" applyBorder="1" applyFont="1">
      <alignment horizontal="center" readingOrder="0" shrinkToFit="0" vertical="center" wrapText="1"/>
    </xf>
    <xf borderId="6" fillId="4" fontId="2" numFmtId="0" xfId="0" applyAlignment="1" applyBorder="1" applyFont="1">
      <alignment horizontal="center" readingOrder="0" vertical="center"/>
    </xf>
    <xf borderId="10" fillId="5" fontId="4" numFmtId="0" xfId="0" applyAlignment="1" applyBorder="1" applyFont="1">
      <alignment horizontal="center" shrinkToFit="0" vertical="center" wrapText="1"/>
    </xf>
    <xf borderId="6" fillId="12" fontId="4" numFmtId="0" xfId="0" applyAlignment="1" applyBorder="1" applyFill="1" applyFont="1">
      <alignment horizontal="center" shrinkToFit="0" vertical="center" wrapText="1"/>
    </xf>
    <xf borderId="6" fillId="12" fontId="9" numFmtId="0" xfId="0" applyAlignment="1" applyBorder="1" applyFont="1">
      <alignment horizontal="center" shrinkToFit="0" vertical="center" wrapText="1"/>
    </xf>
    <xf borderId="6" fillId="12" fontId="4" numFmtId="0" xfId="0" applyAlignment="1" applyBorder="1" applyFont="1">
      <alignment horizontal="left" shrinkToFit="0" vertical="center" wrapText="1"/>
    </xf>
    <xf borderId="6" fillId="0" fontId="4" numFmtId="0" xfId="0" applyAlignment="1" applyBorder="1" applyFont="1">
      <alignment horizontal="center" shrinkToFit="0" vertical="center" wrapText="1"/>
    </xf>
    <xf borderId="6" fillId="0" fontId="4" numFmtId="0" xfId="0" applyAlignment="1" applyBorder="1" applyFont="1">
      <alignment horizontal="left" shrinkToFit="0" vertical="center" wrapText="1"/>
    </xf>
    <xf borderId="6" fillId="0" fontId="3" numFmtId="0" xfId="0" applyAlignment="1" applyBorder="1" applyFont="1">
      <alignment horizontal="center" vertical="center"/>
    </xf>
    <xf borderId="6" fillId="5" fontId="3" numFmtId="0" xfId="0" applyAlignment="1" applyBorder="1" applyFont="1">
      <alignment horizontal="center" readingOrder="0" vertical="center"/>
    </xf>
    <xf borderId="0" fillId="5" fontId="4" numFmtId="0" xfId="0" applyAlignment="1" applyFont="1">
      <alignment horizontal="center" shrinkToFit="0" vertical="center" wrapText="1"/>
    </xf>
    <xf borderId="6" fillId="5" fontId="12" numFmtId="0" xfId="0" applyAlignment="1" applyBorder="1" applyFont="1">
      <alignment horizontal="center" readingOrder="0" shrinkToFit="0" vertical="center" wrapText="1"/>
    </xf>
    <xf borderId="6" fillId="5" fontId="3" numFmtId="0" xfId="0" applyAlignment="1" applyBorder="1" applyFont="1">
      <alignment horizontal="center" readingOrder="0" shrinkToFit="0" vertical="center" wrapText="1"/>
    </xf>
    <xf borderId="6" fillId="5" fontId="49" numFmtId="0" xfId="0" applyAlignment="1" applyBorder="1" applyFont="1">
      <alignment horizontal="center" shrinkToFit="0" vertical="center" wrapText="1"/>
    </xf>
    <xf borderId="0" fillId="2" fontId="4" numFmtId="0" xfId="0" applyFont="1"/>
    <xf borderId="6" fillId="0" fontId="25" numFmtId="0" xfId="0" applyAlignment="1" applyBorder="1" applyFont="1">
      <alignment horizontal="center" readingOrder="0" shrinkToFit="0" vertical="center" wrapText="1"/>
    </xf>
    <xf borderId="6" fillId="0" fontId="25" numFmtId="0" xfId="0" applyAlignment="1" applyBorder="1" applyFont="1">
      <alignment horizontal="left" readingOrder="0" shrinkToFit="0" vertical="center" wrapText="1"/>
    </xf>
    <xf borderId="6" fillId="0" fontId="4" numFmtId="0" xfId="0" applyAlignment="1" applyBorder="1" applyFont="1">
      <alignment horizontal="center" readingOrder="0" shrinkToFit="0" vertical="center" wrapText="1"/>
    </xf>
    <xf borderId="6" fillId="0" fontId="25" numFmtId="0" xfId="0" applyAlignment="1" applyBorder="1" applyFont="1">
      <alignment horizontal="center" shrinkToFit="0" vertical="center" wrapText="1"/>
    </xf>
    <xf borderId="6" fillId="0" fontId="3" numFmtId="0" xfId="0" applyAlignment="1" applyBorder="1" applyFont="1">
      <alignment horizontal="center" readingOrder="0" vertical="center"/>
    </xf>
    <xf borderId="6" fillId="0" fontId="25" numFmtId="0" xfId="0" applyAlignment="1" applyBorder="1" applyFont="1">
      <alignment horizontal="left" shrinkToFit="0" vertical="center" wrapText="1"/>
    </xf>
    <xf borderId="7" fillId="0" fontId="25" numFmtId="0" xfId="0" applyAlignment="1" applyBorder="1" applyFont="1">
      <alignment horizontal="center" shrinkToFit="0" vertical="center" wrapText="1"/>
    </xf>
    <xf borderId="6" fillId="0" fontId="8" numFmtId="0" xfId="0" applyAlignment="1" applyBorder="1" applyFont="1">
      <alignment horizontal="center" shrinkToFit="0" vertical="center" wrapText="1"/>
    </xf>
    <xf borderId="6" fillId="0" fontId="16" numFmtId="0" xfId="0" applyAlignment="1" applyBorder="1" applyFont="1">
      <alignment horizontal="center" shrinkToFit="0" vertical="center" wrapText="1"/>
    </xf>
    <xf borderId="7" fillId="0" fontId="4" numFmtId="0" xfId="0" applyAlignment="1" applyBorder="1" applyFont="1">
      <alignment horizontal="center" vertical="center"/>
    </xf>
    <xf borderId="6" fillId="0" fontId="13" numFmtId="0" xfId="0" applyAlignment="1" applyBorder="1" applyFont="1">
      <alignment horizontal="center" shrinkToFit="0" vertical="center" wrapText="1"/>
    </xf>
    <xf borderId="0" fillId="0" fontId="3" numFmtId="0" xfId="0" applyFont="1"/>
    <xf borderId="21" fillId="3" fontId="42" numFmtId="0" xfId="0" applyAlignment="1" applyBorder="1" applyFont="1">
      <alignment horizontal="center" vertical="center"/>
    </xf>
    <xf borderId="22" fillId="0" fontId="6" numFmtId="0" xfId="0" applyBorder="1" applyFont="1"/>
    <xf borderId="23" fillId="0" fontId="6" numFmtId="0" xfId="0" applyBorder="1" applyFont="1"/>
    <xf borderId="2" fillId="3" fontId="42" numFmtId="0" xfId="0" applyAlignment="1" applyBorder="1" applyFont="1">
      <alignment horizontal="center" vertical="center"/>
    </xf>
    <xf borderId="1" fillId="3" fontId="4" numFmtId="0" xfId="0" applyAlignment="1" applyBorder="1" applyFont="1">
      <alignment horizontal="center" shrinkToFit="0" vertical="center" wrapText="1"/>
    </xf>
    <xf borderId="2" fillId="3" fontId="42" numFmtId="0" xfId="0" applyAlignment="1" applyBorder="1" applyFont="1">
      <alignment horizontal="center" shrinkToFit="0" vertical="center" wrapText="1"/>
    </xf>
    <xf borderId="0" fillId="0" fontId="16" numFmtId="0" xfId="0" applyAlignment="1" applyFont="1">
      <alignment horizontal="center" shrinkToFit="0" vertical="center" wrapText="1"/>
    </xf>
    <xf borderId="1" fillId="3" fontId="42" numFmtId="0" xfId="0" applyAlignment="1" applyBorder="1" applyFont="1">
      <alignment horizontal="center" vertical="center"/>
    </xf>
    <xf borderId="1" fillId="3" fontId="4" numFmtId="0" xfId="0" applyAlignment="1" applyBorder="1" applyFont="1">
      <alignment horizontal="left" shrinkToFit="0" vertical="center" wrapText="1"/>
    </xf>
    <xf borderId="2" fillId="3" fontId="43" numFmtId="0" xfId="0" applyAlignment="1" applyBorder="1" applyFont="1">
      <alignment horizontal="center" vertical="center"/>
    </xf>
    <xf borderId="0" fillId="0" fontId="2" numFmtId="0" xfId="0" applyAlignment="1" applyFont="1">
      <alignment horizontal="left" vertical="center"/>
    </xf>
    <xf borderId="0" fillId="0" fontId="4" numFmtId="0" xfId="0" applyAlignment="1" applyFont="1">
      <alignment horizontal="right" shrinkToFit="0" vertical="center" wrapText="1"/>
    </xf>
    <xf borderId="0" fillId="0" fontId="4" numFmtId="0" xfId="0" applyAlignment="1" applyFont="1">
      <alignment horizontal="center" shrinkToFit="0" vertical="center" wrapText="1"/>
    </xf>
    <xf borderId="19" fillId="3" fontId="7" numFmtId="0" xfId="0" applyAlignment="1" applyBorder="1" applyFont="1">
      <alignment horizontal="center" vertical="center"/>
    </xf>
    <xf borderId="6" fillId="4" fontId="4" numFmtId="0" xfId="0" applyAlignment="1" applyBorder="1" applyFont="1">
      <alignment horizontal="center" vertical="center"/>
    </xf>
    <xf borderId="6" fillId="4" fontId="9" numFmtId="0" xfId="0" applyAlignment="1" applyBorder="1" applyFont="1">
      <alignment horizontal="center" shrinkToFit="0" vertical="center" wrapText="1"/>
    </xf>
    <xf borderId="6" fillId="0" fontId="9" numFmtId="0" xfId="0" applyAlignment="1" applyBorder="1" applyFont="1">
      <alignment horizontal="center" readingOrder="0" shrinkToFit="0" vertical="center" wrapText="1"/>
    </xf>
    <xf borderId="6" fillId="0" fontId="3" numFmtId="0" xfId="0" applyBorder="1" applyFont="1"/>
    <xf borderId="21" fillId="3" fontId="9" numFmtId="0" xfId="0" applyAlignment="1" applyBorder="1" applyFont="1">
      <alignment horizontal="center" vertical="center"/>
    </xf>
    <xf borderId="1" fillId="3" fontId="9" numFmtId="0" xfId="0" applyAlignment="1" applyBorder="1" applyFont="1">
      <alignment horizontal="center" shrinkToFit="0" vertical="center" wrapText="1"/>
    </xf>
    <xf borderId="0" fillId="0" fontId="10" numFmtId="0" xfId="0" applyAlignment="1" applyFont="1">
      <alignment horizontal="center" vertical="center"/>
    </xf>
    <xf borderId="0" fillId="0" fontId="43" numFmtId="0" xfId="0" applyAlignment="1" applyFont="1">
      <alignment horizontal="right" shrinkToFit="0" vertical="center" wrapText="1"/>
    </xf>
    <xf borderId="6" fillId="13" fontId="4" numFmtId="0" xfId="0" applyAlignment="1" applyBorder="1" applyFill="1" applyFont="1">
      <alignment horizontal="center" shrinkToFit="0" vertical="center" wrapText="1"/>
    </xf>
    <xf borderId="6" fillId="13" fontId="4" numFmtId="0" xfId="0" applyAlignment="1" applyBorder="1" applyFont="1">
      <alignment horizontal="center" vertical="center"/>
    </xf>
    <xf borderId="6" fillId="13" fontId="4" numFmtId="0" xfId="0" applyAlignment="1" applyBorder="1" applyFont="1">
      <alignment horizontal="center" readingOrder="0" shrinkToFit="0" vertical="center" wrapText="1"/>
    </xf>
    <xf borderId="17" fillId="13" fontId="4" numFmtId="0" xfId="0" applyAlignment="1" applyBorder="1" applyFont="1">
      <alignment horizontal="center" shrinkToFit="0" vertical="center" wrapText="1"/>
    </xf>
    <xf borderId="17" fillId="13" fontId="4" numFmtId="0" xfId="0" applyAlignment="1" applyBorder="1" applyFont="1">
      <alignment horizontal="center" readingOrder="0" shrinkToFit="0" vertical="center" wrapText="1"/>
    </xf>
    <xf borderId="6" fillId="13" fontId="2" numFmtId="0" xfId="0" applyAlignment="1" applyBorder="1" applyFont="1">
      <alignment horizontal="center" readingOrder="0" vertical="center"/>
    </xf>
    <xf borderId="6" fillId="13" fontId="4" numFmtId="0" xfId="0" applyAlignment="1" applyBorder="1" applyFont="1">
      <alignment horizontal="left" shrinkToFit="0" vertical="center" wrapText="1"/>
    </xf>
    <xf borderId="6" fillId="13" fontId="3" numFmtId="0" xfId="0" applyAlignment="1" applyBorder="1" applyFont="1">
      <alignment horizontal="center" readingOrder="0" vertical="center"/>
    </xf>
    <xf borderId="11" fillId="13" fontId="4" numFmtId="0" xfId="0" applyAlignment="1" applyBorder="1" applyFont="1">
      <alignment horizontal="center" shrinkToFit="0" vertical="center" wrapText="1"/>
    </xf>
    <xf borderId="1" fillId="2" fontId="2" numFmtId="0" xfId="0" applyAlignment="1" applyBorder="1" applyFont="1">
      <alignment horizontal="left"/>
    </xf>
    <xf borderId="17" fillId="5" fontId="4" numFmtId="0" xfId="0" applyAlignment="1" applyBorder="1" applyFont="1">
      <alignment horizontal="center" readingOrder="0" shrinkToFit="0" vertical="center" wrapText="1"/>
    </xf>
    <xf borderId="6" fillId="13" fontId="9" numFmtId="0" xfId="0" applyAlignment="1" applyBorder="1" applyFont="1">
      <alignment horizontal="center" shrinkToFit="0" vertical="center" wrapText="1"/>
    </xf>
    <xf borderId="6" fillId="13" fontId="9" numFmtId="0" xfId="0" applyAlignment="1" applyBorder="1" applyFont="1">
      <alignment horizontal="center" readingOrder="0" shrinkToFit="0" vertical="center" wrapText="1"/>
    </xf>
    <xf borderId="6" fillId="13" fontId="4" numFmtId="0" xfId="0" applyAlignment="1" applyBorder="1" applyFont="1">
      <alignment horizontal="left" readingOrder="0" shrinkToFit="0" vertical="center" wrapText="1"/>
    </xf>
    <xf borderId="6" fillId="14" fontId="4" numFmtId="0" xfId="0" applyAlignment="1" applyBorder="1" applyFill="1" applyFont="1">
      <alignment horizontal="center" shrinkToFit="0" vertical="center" wrapText="1"/>
    </xf>
    <xf borderId="6" fillId="14" fontId="4" numFmtId="0" xfId="0" applyAlignment="1" applyBorder="1" applyFont="1">
      <alignment horizontal="left" shrinkToFit="0" vertical="center" wrapText="1"/>
    </xf>
    <xf borderId="6" fillId="14" fontId="2" numFmtId="0" xfId="0" applyAlignment="1" applyBorder="1" applyFont="1">
      <alignment horizontal="center" vertical="center"/>
    </xf>
    <xf borderId="12" fillId="13" fontId="4" numFmtId="0" xfId="0" applyAlignment="1" applyBorder="1" applyFont="1">
      <alignment horizontal="left" shrinkToFit="0" vertical="center" wrapText="1"/>
    </xf>
    <xf borderId="6" fillId="12" fontId="2" numFmtId="0" xfId="0" applyAlignment="1" applyBorder="1" applyFont="1">
      <alignment horizontal="center" vertical="center"/>
    </xf>
    <xf borderId="0" fillId="5" fontId="4" numFmtId="0" xfId="0" applyAlignment="1" applyFont="1">
      <alignment horizontal="center" readingOrder="0" shrinkToFit="0" vertical="center" wrapText="1"/>
    </xf>
    <xf borderId="16" fillId="13" fontId="4" numFmtId="0" xfId="0" applyAlignment="1" applyBorder="1" applyFont="1">
      <alignment horizontal="left" shrinkToFit="0" vertical="center" wrapText="1"/>
    </xf>
    <xf borderId="16" fillId="5" fontId="4" numFmtId="0" xfId="0" applyAlignment="1" applyBorder="1" applyFont="1">
      <alignment horizontal="left" readingOrder="0" shrinkToFit="0" vertical="center" wrapText="1"/>
    </xf>
    <xf borderId="6" fillId="13" fontId="4" numFmtId="3" xfId="0" applyAlignment="1" applyBorder="1" applyFont="1" applyNumberFormat="1">
      <alignment horizontal="center" readingOrder="0" shrinkToFit="0" vertical="center" wrapText="1"/>
    </xf>
    <xf borderId="12" fillId="13" fontId="4" numFmtId="0" xfId="0" applyAlignment="1" applyBorder="1" applyFont="1">
      <alignment horizontal="center" shrinkToFit="0" vertical="center" wrapText="1"/>
    </xf>
    <xf borderId="16" fillId="13" fontId="4" numFmtId="0" xfId="0" applyAlignment="1" applyBorder="1" applyFont="1">
      <alignment horizontal="center" shrinkToFit="0" vertical="center" wrapText="1"/>
    </xf>
    <xf borderId="16" fillId="13" fontId="4" numFmtId="0" xfId="0" applyAlignment="1" applyBorder="1" applyFont="1">
      <alignment horizontal="center" readingOrder="0" shrinkToFit="0" vertical="center" wrapText="1"/>
    </xf>
    <xf borderId="6" fillId="13" fontId="16" numFmtId="0" xfId="0" applyAlignment="1" applyBorder="1" applyFont="1">
      <alignment horizontal="center" readingOrder="0" shrinkToFit="0" vertical="center" wrapText="1"/>
    </xf>
    <xf borderId="6" fillId="5" fontId="16" numFmtId="0" xfId="0" applyAlignment="1" applyBorder="1" applyFont="1">
      <alignment horizontal="center" readingOrder="0" shrinkToFit="0" vertical="center" wrapText="1"/>
    </xf>
    <xf borderId="6" fillId="5" fontId="25" numFmtId="0" xfId="0" applyAlignment="1" applyBorder="1" applyFont="1">
      <alignment horizontal="left" readingOrder="0" shrinkToFit="0" vertical="center" wrapText="1"/>
    </xf>
    <xf borderId="6" fillId="13" fontId="25" numFmtId="0" xfId="0" applyAlignment="1" applyBorder="1" applyFont="1">
      <alignment horizontal="center" shrinkToFit="0" vertical="center" wrapText="1"/>
    </xf>
    <xf borderId="6" fillId="13" fontId="25" numFmtId="0" xfId="0" applyAlignment="1" applyBorder="1" applyFont="1">
      <alignment horizontal="center" readingOrder="0" shrinkToFit="0" vertical="center" wrapText="1"/>
    </xf>
    <xf borderId="6" fillId="13" fontId="25" numFmtId="0" xfId="0" applyAlignment="1" applyBorder="1" applyFont="1">
      <alignment horizontal="left" readingOrder="0" shrinkToFit="0" vertical="center" wrapText="1"/>
    </xf>
    <xf borderId="6" fillId="13" fontId="2" numFmtId="0" xfId="0" applyAlignment="1" applyBorder="1" applyFont="1">
      <alignment horizontal="center" vertical="center"/>
    </xf>
    <xf borderId="6" fillId="14" fontId="25" numFmtId="0" xfId="0" applyAlignment="1" applyBorder="1" applyFont="1">
      <alignment horizontal="center" shrinkToFit="0" vertical="center" wrapText="1"/>
    </xf>
    <xf borderId="6" fillId="14" fontId="25" numFmtId="0" xfId="0" applyAlignment="1" applyBorder="1" applyFont="1">
      <alignment horizontal="left" shrinkToFit="0" vertical="center" wrapText="1"/>
    </xf>
    <xf borderId="6" fillId="4" fontId="25" numFmtId="0" xfId="0" applyAlignment="1" applyBorder="1" applyFont="1">
      <alignment horizontal="center" shrinkToFit="0" vertical="center" wrapText="1"/>
    </xf>
    <xf borderId="6" fillId="4" fontId="25" numFmtId="0" xfId="0" applyAlignment="1" applyBorder="1" applyFont="1">
      <alignment horizontal="left" shrinkToFit="0" vertical="center" wrapText="1"/>
    </xf>
    <xf borderId="6" fillId="13" fontId="25" numFmtId="0" xfId="0" applyAlignment="1" applyBorder="1" applyFont="1">
      <alignment horizontal="left" shrinkToFit="0" vertical="center" wrapText="1"/>
    </xf>
    <xf borderId="6" fillId="13" fontId="25" numFmtId="0" xfId="0" applyAlignment="1" applyBorder="1" applyFont="1">
      <alignment horizontal="left" readingOrder="0" shrinkToFit="0" vertical="center" wrapText="0"/>
    </xf>
    <xf borderId="7" fillId="5" fontId="4" numFmtId="0" xfId="0" applyAlignment="1" applyBorder="1" applyFont="1">
      <alignment horizontal="center" readingOrder="0" vertical="center"/>
    </xf>
    <xf borderId="6" fillId="5" fontId="4" numFmtId="0" xfId="0" applyAlignment="1" applyBorder="1" applyFont="1">
      <alignment horizontal="center" readingOrder="0" shrinkToFit="0" wrapText="1"/>
    </xf>
    <xf borderId="9" fillId="5" fontId="4" numFmtId="0" xfId="0" applyAlignment="1" applyBorder="1" applyFont="1">
      <alignment horizontal="center" readingOrder="0" shrinkToFit="0" vertical="center" wrapText="1"/>
    </xf>
    <xf borderId="9" fillId="5" fontId="4" numFmtId="0" xfId="0" applyAlignment="1" applyBorder="1" applyFont="1">
      <alignment shrinkToFit="0" vertical="center" wrapText="1"/>
    </xf>
    <xf borderId="9" fillId="5" fontId="4" numFmtId="0" xfId="0" applyAlignment="1" applyBorder="1" applyFont="1">
      <alignment horizontal="center" shrinkToFit="0" wrapText="1"/>
    </xf>
    <xf borderId="9" fillId="5" fontId="2" numFmtId="0" xfId="0" applyAlignment="1" applyBorder="1" applyFont="1">
      <alignment horizontal="center" vertical="center"/>
    </xf>
    <xf borderId="6" fillId="5" fontId="3" numFmtId="0" xfId="0" applyAlignment="1" applyBorder="1" applyFont="1">
      <alignment horizontal="center" readingOrder="0"/>
    </xf>
    <xf borderId="6" fillId="2" fontId="4" numFmtId="0" xfId="0" applyAlignment="1" applyBorder="1" applyFont="1">
      <alignment horizontal="center" readingOrder="0" shrinkToFit="0" vertical="center" wrapText="1"/>
    </xf>
    <xf borderId="6" fillId="0" fontId="16" numFmtId="0" xfId="0" applyAlignment="1" applyBorder="1" applyFont="1">
      <alignment horizontal="left" shrinkToFit="0" vertical="center" wrapText="1"/>
    </xf>
    <xf borderId="0" fillId="0" fontId="43" numFmtId="0" xfId="0" applyAlignment="1" applyFont="1">
      <alignment horizontal="center" shrinkToFit="0" vertical="center" wrapText="1"/>
    </xf>
    <xf borderId="2" fillId="3" fontId="7" numFmtId="0" xfId="0" applyAlignment="1" applyBorder="1" applyFont="1">
      <alignment horizontal="center" vertical="center"/>
    </xf>
    <xf borderId="6" fillId="0" fontId="50" numFmtId="0" xfId="0" applyBorder="1" applyFont="1"/>
    <xf borderId="0" fillId="15" fontId="8" numFmtId="0" xfId="0" applyAlignment="1" applyFill="1" applyFont="1">
      <alignment horizontal="center" vertical="center"/>
    </xf>
    <xf borderId="6" fillId="15" fontId="16" numFmtId="0" xfId="0" applyAlignment="1" applyBorder="1" applyFont="1">
      <alignment horizontal="center" shrinkToFit="0" vertical="center" wrapText="1"/>
    </xf>
    <xf borderId="6" fillId="15" fontId="16" numFmtId="3" xfId="0" applyAlignment="1" applyBorder="1" applyFont="1" applyNumberFormat="1">
      <alignment horizontal="center" readingOrder="0" shrinkToFit="0" vertical="center" wrapText="1"/>
    </xf>
    <xf borderId="6" fillId="15" fontId="16" numFmtId="0" xfId="0" applyAlignment="1" applyBorder="1" applyFont="1">
      <alignment horizontal="center" vertical="center"/>
    </xf>
    <xf borderId="6" fillId="15" fontId="8" numFmtId="0" xfId="0" applyAlignment="1" applyBorder="1" applyFont="1">
      <alignment horizontal="center" readingOrder="0" shrinkToFit="0" vertical="center" wrapText="1"/>
    </xf>
    <xf borderId="6" fillId="15" fontId="8" numFmtId="0" xfId="0" applyAlignment="1" applyBorder="1" applyFont="1">
      <alignment horizontal="center" readingOrder="0" vertical="center"/>
    </xf>
    <xf borderId="0" fillId="3" fontId="3" numFmtId="0" xfId="0" applyFont="1"/>
    <xf borderId="6" fillId="5" fontId="4" numFmtId="3" xfId="0" applyAlignment="1" applyBorder="1" applyFont="1" applyNumberFormat="1">
      <alignment horizontal="center" readingOrder="0" shrinkToFit="0" vertical="center" wrapText="1"/>
    </xf>
    <xf borderId="6" fillId="5" fontId="38" numFmtId="0" xfId="0" applyAlignment="1" applyBorder="1" applyFont="1">
      <alignment readingOrder="0" shrinkToFit="0" wrapText="1"/>
    </xf>
    <xf borderId="7" fillId="5" fontId="16" numFmtId="0" xfId="0" applyAlignment="1" applyBorder="1" applyFont="1">
      <alignment horizontal="center" readingOrder="0" shrinkToFit="0" vertical="center" wrapText="1"/>
    </xf>
    <xf borderId="0" fillId="3" fontId="3" numFmtId="0" xfId="0" applyAlignment="1" applyFont="1">
      <alignment readingOrder="0"/>
    </xf>
    <xf borderId="6" fillId="0" fontId="49" numFmtId="0" xfId="0" applyAlignment="1" applyBorder="1" applyFont="1">
      <alignment horizontal="center" shrinkToFit="0" vertical="center" wrapText="1"/>
    </xf>
    <xf borderId="6" fillId="0" fontId="3" numFmtId="0" xfId="0" applyAlignment="1" applyBorder="1" applyFont="1">
      <alignment readingOrder="0"/>
    </xf>
    <xf borderId="2" fillId="3" fontId="4" numFmtId="0" xfId="0" applyAlignment="1" applyBorder="1" applyFont="1">
      <alignment horizontal="center" vertical="center"/>
    </xf>
    <xf borderId="0" fillId="2" fontId="4" numFmtId="0" xfId="0" applyAlignment="1" applyFont="1">
      <alignment horizontal="center" shrinkToFit="0" vertical="center" wrapText="1"/>
    </xf>
    <xf borderId="2" fillId="2" fontId="5" numFmtId="0" xfId="0" applyAlignment="1" applyBorder="1" applyFont="1">
      <alignment horizontal="center" vertical="center"/>
    </xf>
    <xf borderId="1" fillId="2" fontId="7" numFmtId="0" xfId="0" applyAlignment="1" applyBorder="1" applyFont="1">
      <alignment horizontal="center" shrinkToFit="0" vertical="center" wrapText="1"/>
    </xf>
    <xf borderId="1" fillId="2" fontId="7" numFmtId="0" xfId="0" applyAlignment="1" applyBorder="1" applyFont="1">
      <alignment horizontal="left" vertical="center"/>
    </xf>
    <xf borderId="1" fillId="2" fontId="7" numFmtId="0" xfId="0" applyAlignment="1" applyBorder="1" applyFont="1">
      <alignment horizontal="center" vertical="center"/>
    </xf>
    <xf borderId="0" fillId="2" fontId="16" numFmtId="0" xfId="0" applyAlignment="1" applyFont="1">
      <alignment horizontal="center" shrinkToFit="0" vertical="center" wrapText="1"/>
    </xf>
    <xf borderId="6" fillId="2" fontId="9" numFmtId="0" xfId="0" applyAlignment="1" applyBorder="1" applyFont="1">
      <alignment horizontal="center" shrinkToFit="0" vertical="center" wrapText="1"/>
    </xf>
    <xf borderId="7" fillId="2" fontId="9" numFmtId="0" xfId="0" applyAlignment="1" applyBorder="1" applyFont="1">
      <alignment horizontal="center" vertical="center"/>
    </xf>
    <xf borderId="19" fillId="2" fontId="7" numFmtId="0" xfId="0" applyAlignment="1" applyBorder="1" applyFont="1">
      <alignment horizontal="center" vertical="center"/>
    </xf>
    <xf borderId="1" fillId="2" fontId="48" numFmtId="0" xfId="0" applyAlignment="1" applyBorder="1" applyFont="1">
      <alignment horizontal="center"/>
    </xf>
    <xf borderId="0" fillId="5" fontId="51" numFmtId="0" xfId="0" applyAlignment="1" applyFont="1">
      <alignment horizontal="center" shrinkToFit="0" wrapText="1"/>
    </xf>
    <xf borderId="6" fillId="0" fontId="16" numFmtId="0" xfId="0" applyAlignment="1" applyBorder="1" applyFont="1">
      <alignment horizontal="center" vertical="center"/>
    </xf>
    <xf borderId="0" fillId="5" fontId="16" numFmtId="0" xfId="0" applyAlignment="1" applyFont="1">
      <alignment horizontal="center" shrinkToFit="0" wrapText="1"/>
    </xf>
    <xf borderId="0" fillId="5" fontId="23" numFmtId="0" xfId="0" applyAlignment="1" applyFont="1">
      <alignment readingOrder="0" shrinkToFit="0" wrapText="1"/>
    </xf>
    <xf borderId="6" fillId="2" fontId="16" numFmtId="0" xfId="0" applyAlignment="1" applyBorder="1" applyFont="1">
      <alignment horizontal="center" shrinkToFit="0" vertical="center" wrapText="1"/>
    </xf>
    <xf borderId="0" fillId="5" fontId="23" numFmtId="0" xfId="0" applyAlignment="1" applyFont="1">
      <alignment shrinkToFit="0" wrapText="1"/>
    </xf>
    <xf borderId="6" fillId="12" fontId="4" numFmtId="0" xfId="0" applyAlignment="1" applyBorder="1" applyFont="1">
      <alignment horizontal="center" vertical="center"/>
    </xf>
    <xf borderId="6" fillId="5" fontId="16" numFmtId="0" xfId="0" applyAlignment="1" applyBorder="1" applyFont="1">
      <alignment horizontal="left" readingOrder="0" shrinkToFit="0" vertical="center" wrapText="1"/>
    </xf>
    <xf quotePrefix="1" borderId="6" fillId="0" fontId="4" numFmtId="0" xfId="0" applyAlignment="1" applyBorder="1" applyFont="1">
      <alignment horizontal="center" vertical="center"/>
    </xf>
    <xf quotePrefix="1" borderId="6" fillId="12" fontId="4" numFmtId="0" xfId="0" applyAlignment="1" applyBorder="1" applyFont="1">
      <alignment horizontal="center" vertical="center"/>
    </xf>
    <xf borderId="6" fillId="0" fontId="4" numFmtId="0" xfId="0" applyAlignment="1" applyBorder="1" applyFont="1">
      <alignment horizontal="left" readingOrder="0" shrinkToFit="0" vertical="center" wrapText="1"/>
    </xf>
    <xf borderId="6" fillId="0" fontId="4" numFmtId="0" xfId="0" applyAlignment="1" applyBorder="1" applyFont="1">
      <alignment horizontal="center" readingOrder="0" vertical="center"/>
    </xf>
    <xf borderId="0" fillId="5" fontId="16" numFmtId="0" xfId="0" applyAlignment="1" applyFont="1">
      <alignment shrinkToFit="0" wrapText="1"/>
    </xf>
    <xf borderId="0" fillId="0" fontId="2" numFmtId="0" xfId="0" applyAlignment="1" applyFont="1">
      <alignment shrinkToFit="0" vertical="center" wrapText="1"/>
    </xf>
    <xf borderId="1" fillId="3" fontId="4" numFmtId="0" xfId="0" applyAlignment="1" applyBorder="1" applyFont="1">
      <alignment vertical="center"/>
    </xf>
    <xf borderId="1" fillId="3" fontId="7" numFmtId="0" xfId="0" applyAlignment="1" applyBorder="1" applyFont="1">
      <alignment horizontal="left" vertical="center"/>
    </xf>
    <xf borderId="0" fillId="0" fontId="51" numFmtId="0" xfId="0" applyAlignment="1" applyFont="1">
      <alignment horizontal="center" shrinkToFit="0" vertical="center" wrapText="1"/>
    </xf>
    <xf borderId="24" fillId="9" fontId="9" numFmtId="0" xfId="0" applyAlignment="1" applyBorder="1" applyFont="1">
      <alignment horizontal="center" shrinkToFit="0" vertical="center" wrapText="1"/>
    </xf>
    <xf borderId="0" fillId="0" fontId="23" numFmtId="0" xfId="0" applyAlignment="1" applyFont="1">
      <alignment shrinkToFit="0" vertical="center" wrapText="1"/>
    </xf>
    <xf borderId="6" fillId="12" fontId="4" numFmtId="0" xfId="0" applyAlignment="1" applyBorder="1" applyFont="1">
      <alignment horizontal="center" readingOrder="0" shrinkToFit="0" vertical="center" wrapText="1"/>
    </xf>
    <xf borderId="6" fillId="12" fontId="4" numFmtId="0" xfId="0" applyAlignment="1" applyBorder="1" applyFont="1">
      <alignment horizontal="left" vertical="center"/>
    </xf>
    <xf borderId="6" fillId="12" fontId="4" numFmtId="0" xfId="0" applyAlignment="1" applyBorder="1" applyFont="1">
      <alignment horizontal="left" readingOrder="0" vertical="center"/>
    </xf>
    <xf borderId="6" fillId="12" fontId="4" numFmtId="0" xfId="0" applyAlignment="1" applyBorder="1" applyFont="1">
      <alignment horizontal="center" readingOrder="0" vertical="center"/>
    </xf>
    <xf borderId="6" fillId="5" fontId="4" numFmtId="3" xfId="0" applyAlignment="1" applyBorder="1" applyFont="1" applyNumberFormat="1">
      <alignment horizontal="center" readingOrder="0" vertical="center"/>
    </xf>
    <xf borderId="0" fillId="5" fontId="23" numFmtId="0" xfId="0" applyAlignment="1" applyFont="1">
      <alignment readingOrder="0" shrinkToFit="0" vertical="center" wrapText="1"/>
    </xf>
    <xf borderId="0" fillId="0" fontId="4" numFmtId="0" xfId="0" applyAlignment="1" applyFont="1">
      <alignment horizontal="center" vertical="center"/>
    </xf>
    <xf borderId="12" fillId="0" fontId="4" numFmtId="0" xfId="0" applyAlignment="1" applyBorder="1" applyFont="1">
      <alignment horizontal="center" shrinkToFit="0" vertical="center" wrapText="1"/>
    </xf>
    <xf borderId="10" fillId="12" fontId="4" numFmtId="0" xfId="0" applyAlignment="1" applyBorder="1" applyFont="1">
      <alignment horizontal="center" readingOrder="0" shrinkToFit="0" vertical="center" wrapText="1"/>
    </xf>
    <xf borderId="10" fillId="12" fontId="4" numFmtId="0" xfId="0" applyAlignment="1" applyBorder="1" applyFont="1">
      <alignment horizontal="center" shrinkToFit="0" vertical="center" wrapText="1"/>
    </xf>
    <xf borderId="10" fillId="12" fontId="4" numFmtId="0" xfId="0" applyAlignment="1" applyBorder="1" applyFont="1">
      <alignment horizontal="left" shrinkToFit="0" vertical="center" wrapText="1"/>
    </xf>
    <xf borderId="10" fillId="12" fontId="49" numFmtId="0" xfId="0" applyAlignment="1" applyBorder="1" applyFont="1">
      <alignment horizontal="center" shrinkToFit="0" vertical="center" wrapText="1"/>
    </xf>
    <xf borderId="25" fillId="12" fontId="4" numFmtId="0" xfId="0" applyAlignment="1" applyBorder="1" applyFont="1">
      <alignment horizontal="center" shrinkToFit="0" vertical="center" wrapText="1"/>
    </xf>
    <xf borderId="0" fillId="0" fontId="2" numFmtId="0" xfId="0" applyFont="1"/>
    <xf borderId="6" fillId="12" fontId="12" numFmtId="0" xfId="0" applyAlignment="1" applyBorder="1" applyFont="1">
      <alignment horizontal="center" shrinkToFit="0" vertical="center" wrapText="1"/>
    </xf>
    <xf borderId="1" fillId="6" fontId="2" numFmtId="0" xfId="0" applyBorder="1" applyFont="1"/>
    <xf borderId="6" fillId="6" fontId="4" numFmtId="0" xfId="0" applyAlignment="1" applyBorder="1" applyFont="1">
      <alignment horizontal="center" shrinkToFit="0" vertical="center" wrapText="1"/>
    </xf>
    <xf borderId="1" fillId="6" fontId="23" numFmtId="0" xfId="0" applyAlignment="1" applyBorder="1" applyFont="1">
      <alignment shrinkToFit="0" vertical="center" wrapText="1"/>
    </xf>
    <xf borderId="0" fillId="0" fontId="23" numFmtId="0" xfId="0" applyAlignment="1" applyFont="1">
      <alignment readingOrder="0" shrinkToFit="0" vertical="center" wrapText="1"/>
    </xf>
    <xf borderId="2" fillId="2" fontId="42" numFmtId="0" xfId="0" applyAlignment="1" applyBorder="1" applyFont="1">
      <alignment horizontal="center" vertical="center"/>
    </xf>
    <xf borderId="0" fillId="0" fontId="16" numFmtId="0" xfId="0" applyAlignment="1" applyFont="1">
      <alignment shrinkToFit="0" vertical="center" wrapText="1"/>
    </xf>
    <xf borderId="0" fillId="0" fontId="4" numFmtId="0" xfId="0" applyAlignment="1" applyFont="1">
      <alignment vertical="center"/>
    </xf>
    <xf borderId="0" fillId="0" fontId="4" numFmtId="0" xfId="0" applyAlignment="1" applyFont="1">
      <alignment horizontal="left" vertical="center"/>
    </xf>
    <xf borderId="0" fillId="0" fontId="2" numFmtId="0" xfId="0" applyAlignment="1" applyFont="1">
      <alignment shrinkToFit="0" wrapText="1"/>
    </xf>
    <xf borderId="14" fillId="3" fontId="48" numFmtId="0" xfId="0" applyAlignment="1" applyBorder="1" applyFont="1">
      <alignment horizontal="center"/>
    </xf>
    <xf borderId="6" fillId="16" fontId="9" numFmtId="0" xfId="0" applyAlignment="1" applyBorder="1" applyFill="1" applyFont="1">
      <alignment horizontal="center" readingOrder="0" shrinkToFit="0" vertical="center" wrapText="1"/>
    </xf>
    <xf borderId="6" fillId="0" fontId="23" numFmtId="0" xfId="0" applyAlignment="1" applyBorder="1" applyFont="1">
      <alignment horizontal="center" shrinkToFit="0" vertical="center" wrapText="1"/>
    </xf>
    <xf borderId="6" fillId="5" fontId="23" numFmtId="0" xfId="0" applyAlignment="1" applyBorder="1" applyFont="1">
      <alignment horizontal="center" readingOrder="0" shrinkToFit="0" vertical="center" wrapText="1"/>
    </xf>
    <xf borderId="26" fillId="5" fontId="4" numFmtId="0" xfId="0" applyAlignment="1" applyBorder="1" applyFont="1">
      <alignment horizontal="center" vertical="center"/>
    </xf>
    <xf borderId="17" fillId="12" fontId="4" numFmtId="0" xfId="0" applyAlignment="1" applyBorder="1" applyFont="1">
      <alignment horizontal="center" shrinkToFit="0" vertical="center" wrapText="1"/>
    </xf>
    <xf borderId="26" fillId="12" fontId="4" numFmtId="0" xfId="0" applyAlignment="1" applyBorder="1" applyFont="1">
      <alignment horizontal="center" vertical="center"/>
    </xf>
    <xf borderId="26" fillId="5" fontId="4" numFmtId="0" xfId="0" applyAlignment="1" applyBorder="1" applyFont="1">
      <alignment horizontal="center" readingOrder="0" vertical="center"/>
    </xf>
    <xf borderId="6" fillId="5" fontId="16" numFmtId="0" xfId="0" applyAlignment="1" applyBorder="1" applyFont="1">
      <alignment horizontal="left" shrinkToFit="0" vertical="center" wrapText="1"/>
    </xf>
    <xf borderId="6" fillId="12" fontId="16" numFmtId="0" xfId="0" applyAlignment="1" applyBorder="1" applyFont="1">
      <alignment horizontal="center" shrinkToFit="0" vertical="center" wrapText="1"/>
    </xf>
    <xf borderId="6" fillId="12" fontId="16" numFmtId="0" xfId="0" applyAlignment="1" applyBorder="1" applyFont="1">
      <alignment horizontal="center" vertical="center"/>
    </xf>
    <xf borderId="6" fillId="12" fontId="16" numFmtId="0" xfId="0" applyAlignment="1" applyBorder="1" applyFont="1">
      <alignment horizontal="left" shrinkToFit="0" vertical="center" wrapText="1"/>
    </xf>
    <xf borderId="6" fillId="12" fontId="8" numFmtId="0" xfId="0" applyAlignment="1" applyBorder="1" applyFont="1">
      <alignment horizontal="center" vertical="center"/>
    </xf>
    <xf borderId="7" fillId="0" fontId="4" numFmtId="0" xfId="0" applyAlignment="1" applyBorder="1" applyFont="1">
      <alignment horizontal="center" shrinkToFit="0" vertical="center" wrapText="1"/>
    </xf>
    <xf borderId="9" fillId="0" fontId="16" numFmtId="0" xfId="0" applyAlignment="1" applyBorder="1" applyFont="1">
      <alignment horizontal="center" shrinkToFit="0" vertical="center" wrapText="1"/>
    </xf>
    <xf borderId="26" fillId="5" fontId="4" numFmtId="0" xfId="0" applyAlignment="1" applyBorder="1" applyFont="1">
      <alignment horizontal="center" shrinkToFit="0" vertical="center" wrapText="1"/>
    </xf>
    <xf borderId="13" fillId="5" fontId="16" numFmtId="0" xfId="0" applyAlignment="1" applyBorder="1" applyFont="1">
      <alignment horizontal="center" readingOrder="0" shrinkToFit="0" vertical="center" wrapText="1"/>
    </xf>
    <xf borderId="7" fillId="5" fontId="4" numFmtId="0" xfId="0" applyAlignment="1" applyBorder="1" applyFont="1">
      <alignment horizontal="center" readingOrder="0" shrinkToFit="0" vertical="center" wrapText="1"/>
    </xf>
    <xf borderId="9" fillId="5" fontId="16" numFmtId="0" xfId="0" applyAlignment="1" applyBorder="1" applyFont="1">
      <alignment horizontal="center" readingOrder="0" shrinkToFit="0" vertical="center" wrapText="1"/>
    </xf>
    <xf borderId="0" fillId="0" fontId="23" numFmtId="0" xfId="0" applyAlignment="1" applyFont="1">
      <alignment shrinkToFit="0" wrapText="1"/>
    </xf>
    <xf borderId="0" fillId="0" fontId="16" numFmtId="0" xfId="0" applyAlignment="1" applyFont="1">
      <alignment shrinkToFit="0" wrapText="1"/>
    </xf>
    <xf borderId="1" fillId="2" fontId="2" numFmtId="0" xfId="0" applyAlignment="1" applyBorder="1" applyFont="1">
      <alignment readingOrder="0"/>
    </xf>
    <xf borderId="0" fillId="2" fontId="51" numFmtId="0" xfId="0" applyAlignment="1" applyFont="1">
      <alignment horizontal="center" shrinkToFit="0" wrapText="1"/>
    </xf>
    <xf borderId="27" fillId="2" fontId="9" numFmtId="0" xfId="0" applyAlignment="1" applyBorder="1" applyFont="1">
      <alignment horizontal="center" shrinkToFit="0" vertical="center" wrapText="1"/>
    </xf>
    <xf borderId="6" fillId="12" fontId="8" numFmtId="0" xfId="0" applyAlignment="1" applyBorder="1" applyFont="1">
      <alignment horizontal="center" shrinkToFit="0" vertical="center" wrapText="1"/>
    </xf>
    <xf borderId="6" fillId="2" fontId="23" numFmtId="0" xfId="0" applyAlignment="1" applyBorder="1" applyFont="1">
      <alignment shrinkToFit="0" wrapText="1"/>
    </xf>
    <xf borderId="6" fillId="2" fontId="3" numFmtId="0" xfId="0" applyBorder="1" applyFont="1"/>
    <xf borderId="6" fillId="0" fontId="52" numFmtId="0" xfId="0" applyAlignment="1" applyBorder="1" applyFont="1">
      <alignment horizontal="center" vertical="center"/>
    </xf>
    <xf borderId="6" fillId="0" fontId="49" numFmtId="0" xfId="0" applyAlignment="1" applyBorder="1" applyFont="1">
      <alignment horizontal="center" vertical="center"/>
    </xf>
    <xf borderId="6" fillId="0" fontId="53" numFmtId="0" xfId="0" applyAlignment="1" applyBorder="1" applyFont="1">
      <alignment horizontal="center" shrinkToFit="0" vertical="center" wrapText="1"/>
    </xf>
    <xf borderId="6" fillId="0" fontId="49" numFmtId="0" xfId="0" applyAlignment="1" applyBorder="1" applyFont="1">
      <alignment horizontal="left" shrinkToFit="0" vertical="center" wrapText="1"/>
    </xf>
    <xf borderId="6" fillId="2" fontId="54" numFmtId="0" xfId="0" applyAlignment="1" applyBorder="1" applyFont="1">
      <alignment shrinkToFit="0" wrapText="1"/>
    </xf>
    <xf borderId="6" fillId="2" fontId="14" numFmtId="0" xfId="0" applyBorder="1" applyFont="1"/>
    <xf borderId="0" fillId="2" fontId="14" numFmtId="0" xfId="0" applyFont="1"/>
    <xf borderId="6" fillId="17" fontId="4" numFmtId="0" xfId="0" applyAlignment="1" applyBorder="1" applyFill="1" applyFont="1">
      <alignment horizontal="center" vertical="center"/>
    </xf>
    <xf borderId="6" fillId="17" fontId="8" numFmtId="0" xfId="0" applyAlignment="1" applyBorder="1" applyFont="1">
      <alignment horizontal="center" shrinkToFit="0" vertical="center" wrapText="1"/>
    </xf>
    <xf borderId="6" fillId="17" fontId="4" numFmtId="0" xfId="0" applyAlignment="1" applyBorder="1" applyFont="1">
      <alignment horizontal="center" shrinkToFit="0" vertical="center" wrapText="1"/>
    </xf>
    <xf borderId="6" fillId="17" fontId="4" numFmtId="0" xfId="0" applyAlignment="1" applyBorder="1" applyFont="1">
      <alignment horizontal="left" shrinkToFit="0" vertical="center" wrapText="1"/>
    </xf>
    <xf borderId="6" fillId="2" fontId="23" numFmtId="0" xfId="0" applyAlignment="1" applyBorder="1" applyFont="1">
      <alignment readingOrder="0" shrinkToFit="0" wrapText="1"/>
    </xf>
    <xf borderId="6" fillId="2" fontId="55" numFmtId="0" xfId="0" applyAlignment="1" applyBorder="1" applyFont="1">
      <alignment horizontal="center" vertical="center"/>
    </xf>
    <xf borderId="16" fillId="2" fontId="8" numFmtId="0" xfId="0" applyAlignment="1" applyBorder="1" applyFont="1">
      <alignment horizontal="center" shrinkToFit="0" vertical="center" wrapText="1"/>
    </xf>
    <xf borderId="6" fillId="13" fontId="8" numFmtId="0" xfId="0" applyAlignment="1" applyBorder="1" applyFont="1">
      <alignment horizontal="center" shrinkToFit="0" vertical="center" wrapText="1"/>
    </xf>
    <xf borderId="6" fillId="2" fontId="8" numFmtId="0" xfId="0" applyAlignment="1" applyBorder="1" applyFont="1">
      <alignment horizontal="center" shrinkToFit="0" vertical="center" wrapText="1"/>
    </xf>
    <xf borderId="6" fillId="6" fontId="8" numFmtId="0" xfId="0" applyAlignment="1" applyBorder="1" applyFont="1">
      <alignment horizontal="center" shrinkToFit="0" vertical="center" wrapText="1"/>
    </xf>
    <xf borderId="6" fillId="6" fontId="4" numFmtId="0" xfId="0" applyAlignment="1" applyBorder="1" applyFont="1">
      <alignment horizontal="left" shrinkToFit="0" vertical="center" wrapText="1"/>
    </xf>
    <xf borderId="6" fillId="6" fontId="16" numFmtId="0" xfId="0" applyAlignment="1" applyBorder="1" applyFont="1">
      <alignment horizontal="center" shrinkToFit="0" vertical="center" wrapText="1"/>
    </xf>
    <xf borderId="6" fillId="2" fontId="16" numFmtId="0" xfId="0" applyAlignment="1" applyBorder="1" applyFont="1">
      <alignment shrinkToFit="0" wrapText="1"/>
    </xf>
    <xf borderId="6" fillId="2" fontId="16" numFmtId="0" xfId="0" applyAlignment="1" applyBorder="1" applyFont="1">
      <alignment horizontal="center" shrinkToFit="0" wrapText="1"/>
    </xf>
    <xf borderId="12" fillId="0" fontId="4" numFmtId="0" xfId="0" applyAlignment="1" applyBorder="1" applyFont="1">
      <alignment horizontal="left" shrinkToFit="0" vertical="center" wrapText="1"/>
    </xf>
    <xf borderId="6" fillId="2" fontId="16" numFmtId="0" xfId="0" applyAlignment="1" applyBorder="1" applyFont="1">
      <alignment readingOrder="0" shrinkToFit="0" wrapText="1"/>
    </xf>
    <xf borderId="6" fillId="13" fontId="16" numFmtId="0" xfId="0" applyAlignment="1" applyBorder="1" applyFont="1">
      <alignment horizontal="center" shrinkToFit="0" vertical="center" wrapText="1"/>
    </xf>
    <xf borderId="6" fillId="0" fontId="56" numFmtId="0" xfId="0" applyAlignment="1" applyBorder="1" applyFont="1">
      <alignment horizontal="center" shrinkToFit="0" vertical="center" wrapText="1"/>
    </xf>
    <xf borderId="6" fillId="2" fontId="56" numFmtId="0" xfId="0" applyAlignment="1" applyBorder="1" applyFont="1">
      <alignment shrinkToFit="0" wrapText="1"/>
    </xf>
    <xf quotePrefix="1" borderId="6" fillId="12" fontId="16" numFmtId="0" xfId="0" applyAlignment="1" applyBorder="1" applyFont="1">
      <alignment horizontal="center" shrinkToFit="0" vertical="center" wrapText="1"/>
    </xf>
    <xf borderId="6" fillId="12" fontId="4" numFmtId="0" xfId="0" applyBorder="1" applyFont="1"/>
    <xf borderId="6" fillId="12" fontId="4" numFmtId="0" xfId="0" applyAlignment="1" applyBorder="1" applyFont="1">
      <alignment horizontal="center"/>
    </xf>
    <xf borderId="6" fillId="12" fontId="4" numFmtId="0" xfId="0" applyAlignment="1" applyBorder="1" applyFont="1">
      <alignment horizontal="left"/>
    </xf>
    <xf borderId="6" fillId="2" fontId="25" numFmtId="0" xfId="0" applyBorder="1" applyFont="1"/>
    <xf borderId="0" fillId="2" fontId="25" numFmtId="0" xfId="0" applyFont="1"/>
    <xf quotePrefix="1" borderId="6" fillId="5" fontId="16" numFmtId="0" xfId="0" applyAlignment="1" applyBorder="1" applyFont="1">
      <alignment horizontal="center" shrinkToFit="0" vertical="center" wrapText="1"/>
    </xf>
    <xf borderId="6" fillId="5" fontId="4" numFmtId="0" xfId="0" applyBorder="1" applyFont="1"/>
    <xf borderId="6" fillId="5" fontId="4" numFmtId="0" xfId="0" applyAlignment="1" applyBorder="1" applyFont="1">
      <alignment horizontal="left"/>
    </xf>
    <xf borderId="6" fillId="12" fontId="16" numFmtId="0" xfId="0" applyAlignment="1" applyBorder="1" applyFont="1">
      <alignment shrinkToFit="0" vertical="center" wrapText="1"/>
    </xf>
    <xf borderId="6" fillId="5" fontId="16" numFmtId="0" xfId="0" applyAlignment="1" applyBorder="1" applyFont="1">
      <alignment shrinkToFit="0" vertical="center" wrapText="1"/>
    </xf>
    <xf quotePrefix="1" borderId="6" fillId="6" fontId="16" numFmtId="0" xfId="0" applyAlignment="1" applyBorder="1" applyFont="1">
      <alignment horizontal="center" shrinkToFit="0" vertical="center" wrapText="1"/>
    </xf>
    <xf borderId="6" fillId="6" fontId="16" numFmtId="0" xfId="0" applyAlignment="1" applyBorder="1" applyFont="1">
      <alignment horizontal="left" shrinkToFit="0" vertical="center" wrapText="1"/>
    </xf>
    <xf borderId="6" fillId="2" fontId="25" numFmtId="0" xfId="0" applyAlignment="1" applyBorder="1" applyFont="1">
      <alignment readingOrder="0"/>
    </xf>
    <xf borderId="6" fillId="12" fontId="16" numFmtId="0" xfId="0" applyAlignment="1" applyBorder="1" applyFont="1">
      <alignment horizontal="left" readingOrder="0" shrinkToFit="0" vertical="center" wrapText="1"/>
    </xf>
    <xf borderId="6" fillId="2" fontId="16" numFmtId="0" xfId="0" applyAlignment="1" applyBorder="1" applyFont="1">
      <alignment horizontal="left" shrinkToFit="0" vertical="center" wrapText="1"/>
    </xf>
    <xf borderId="0" fillId="0" fontId="4" numFmtId="0" xfId="0" applyAlignment="1" applyFont="1">
      <alignment horizontal="left" shrinkToFit="0" vertical="center" wrapText="1"/>
    </xf>
    <xf borderId="0" fillId="0" fontId="25" numFmtId="0" xfId="0" applyAlignment="1" applyFont="1">
      <alignment horizontal="center"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2" numFmtId="0" xfId="0" applyAlignment="1" applyFont="1">
      <alignment horizontal="center" shrinkToFit="0" vertical="center" wrapText="1"/>
    </xf>
    <xf borderId="0" fillId="0" fontId="2" numFmtId="0" xfId="0" applyAlignment="1" applyFont="1">
      <alignment horizontal="left" shrinkToFit="0" vertical="center" wrapText="1"/>
    </xf>
    <xf borderId="6" fillId="0" fontId="10" numFmtId="0" xfId="0" applyAlignment="1" applyBorder="1" applyFont="1">
      <alignment horizontal="center" shrinkToFit="0" vertical="center" wrapText="1"/>
    </xf>
    <xf borderId="7" fillId="0" fontId="10" numFmtId="0" xfId="0" applyAlignment="1" applyBorder="1" applyFont="1">
      <alignment horizontal="center" vertical="center"/>
    </xf>
    <xf borderId="1" fillId="3" fontId="48" numFmtId="0" xfId="0" applyAlignment="1" applyBorder="1" applyFont="1">
      <alignment horizontal="center"/>
    </xf>
    <xf borderId="0" fillId="2" fontId="43" numFmtId="0" xfId="0" applyFont="1"/>
    <xf borderId="6" fillId="9" fontId="42" numFmtId="0" xfId="0" applyAlignment="1" applyBorder="1" applyFont="1">
      <alignment horizontal="center" shrinkToFit="0" vertical="center" wrapText="1"/>
    </xf>
    <xf borderId="17" fillId="9" fontId="42" numFmtId="0" xfId="0" applyAlignment="1" applyBorder="1" applyFont="1">
      <alignment horizontal="center" shrinkToFit="0" vertical="center" wrapText="1"/>
    </xf>
    <xf borderId="0" fillId="0" fontId="40" numFmtId="0" xfId="0" applyAlignment="1" applyFont="1">
      <alignment horizontal="center" shrinkToFit="0" wrapText="1"/>
    </xf>
    <xf borderId="6" fillId="12" fontId="43" numFmtId="0" xfId="0" applyAlignment="1" applyBorder="1" applyFont="1">
      <alignment horizontal="center" vertical="center"/>
    </xf>
    <xf borderId="6" fillId="12" fontId="43" numFmtId="0" xfId="0" applyAlignment="1" applyBorder="1" applyFont="1">
      <alignment horizontal="center" shrinkToFit="0" vertical="center" wrapText="1"/>
    </xf>
    <xf borderId="6" fillId="12" fontId="43" numFmtId="0" xfId="0" applyAlignment="1" applyBorder="1" applyFont="1">
      <alignment horizontal="left" shrinkToFit="0" vertical="center" wrapText="1"/>
    </xf>
    <xf borderId="6" fillId="0" fontId="41" numFmtId="0" xfId="0" applyAlignment="1" applyBorder="1" applyFont="1">
      <alignment horizontal="center" shrinkToFit="0" wrapText="1"/>
    </xf>
    <xf borderId="6" fillId="0" fontId="43" numFmtId="0" xfId="0" applyAlignment="1" applyBorder="1" applyFont="1">
      <alignment horizontal="center" vertical="center"/>
    </xf>
    <xf borderId="6" fillId="0" fontId="43" numFmtId="0" xfId="0" applyAlignment="1" applyBorder="1" applyFont="1">
      <alignment horizontal="center" shrinkToFit="0" vertical="center" wrapText="1"/>
    </xf>
    <xf borderId="6" fillId="0" fontId="43" numFmtId="0" xfId="0" applyAlignment="1" applyBorder="1" applyFont="1">
      <alignment horizontal="left" shrinkToFit="0" vertical="center" wrapText="1"/>
    </xf>
    <xf borderId="6" fillId="0" fontId="57" numFmtId="0" xfId="0" applyAlignment="1" applyBorder="1" applyFont="1">
      <alignment horizontal="center" vertical="center"/>
    </xf>
    <xf borderId="6" fillId="0" fontId="57" numFmtId="0" xfId="0" applyAlignment="1" applyBorder="1" applyFont="1">
      <alignment horizontal="center" shrinkToFit="0" vertical="center" wrapText="1"/>
    </xf>
    <xf borderId="6" fillId="12" fontId="57" numFmtId="0" xfId="0" applyAlignment="1" applyBorder="1" applyFont="1">
      <alignment horizontal="center" vertical="center"/>
    </xf>
    <xf borderId="6" fillId="0" fontId="1" numFmtId="0" xfId="0" applyAlignment="1" applyBorder="1" applyFont="1">
      <alignment horizontal="left" shrinkToFit="0" vertical="center" wrapText="1"/>
    </xf>
    <xf borderId="6" fillId="0" fontId="43" numFmtId="0" xfId="0" applyAlignment="1" applyBorder="1" applyFont="1">
      <alignment horizontal="center" readingOrder="0" vertical="center"/>
    </xf>
    <xf borderId="6" fillId="0" fontId="43" numFmtId="0" xfId="0" applyAlignment="1" applyBorder="1" applyFont="1">
      <alignment horizontal="center" readingOrder="0" shrinkToFit="0" vertical="center" wrapText="1"/>
    </xf>
    <xf borderId="6" fillId="0" fontId="43" numFmtId="0" xfId="0" applyAlignment="1" applyBorder="1" applyFont="1">
      <alignment horizontal="left" readingOrder="0" shrinkToFit="0" vertical="center" wrapText="1"/>
    </xf>
    <xf borderId="6" fillId="0" fontId="41" numFmtId="0" xfId="0" applyAlignment="1" applyBorder="1" applyFont="1">
      <alignment horizontal="center" shrinkToFit="0" vertical="center" wrapText="1"/>
    </xf>
    <xf borderId="6" fillId="12" fontId="41" numFmtId="0" xfId="0" applyAlignment="1" applyBorder="1" applyFont="1">
      <alignment horizontal="center" shrinkToFit="0" vertical="center" wrapText="1"/>
    </xf>
    <xf borderId="28" fillId="12" fontId="43" numFmtId="0" xfId="0" applyAlignment="1" applyBorder="1" applyFont="1">
      <alignment horizontal="center" vertical="center"/>
    </xf>
    <xf borderId="1" fillId="2" fontId="43" numFmtId="0" xfId="0" applyBorder="1" applyFont="1"/>
    <xf borderId="6" fillId="13" fontId="43" numFmtId="0" xfId="0" applyAlignment="1" applyBorder="1" applyFont="1">
      <alignment horizontal="center" vertical="center"/>
    </xf>
    <xf borderId="6" fillId="13" fontId="41" numFmtId="0" xfId="0" applyAlignment="1" applyBorder="1" applyFont="1">
      <alignment horizontal="center" shrinkToFit="0" vertical="center" wrapText="1"/>
    </xf>
    <xf borderId="28" fillId="13" fontId="43" numFmtId="0" xfId="0" applyAlignment="1" applyBorder="1" applyFont="1">
      <alignment horizontal="center" vertical="center"/>
    </xf>
    <xf borderId="6" fillId="13" fontId="43" numFmtId="0" xfId="0" applyAlignment="1" applyBorder="1" applyFont="1">
      <alignment horizontal="left" shrinkToFit="0" vertical="center" wrapText="1"/>
    </xf>
    <xf borderId="6" fillId="13" fontId="43" numFmtId="0" xfId="0" applyAlignment="1" applyBorder="1" applyFont="1">
      <alignment horizontal="center" shrinkToFit="0" vertical="center" wrapText="1"/>
    </xf>
    <xf borderId="6" fillId="13" fontId="41" numFmtId="0" xfId="0" applyAlignment="1" applyBorder="1" applyFont="1">
      <alignment horizontal="center" readingOrder="0" shrinkToFit="0" wrapText="1"/>
    </xf>
    <xf borderId="4" fillId="2" fontId="43" numFmtId="0" xfId="0" applyBorder="1" applyFont="1"/>
    <xf quotePrefix="1" borderId="6" fillId="12" fontId="43" numFmtId="0" xfId="0" applyAlignment="1" applyBorder="1" applyFont="1">
      <alignment horizontal="center" vertical="center"/>
    </xf>
    <xf borderId="6" fillId="12" fontId="43" numFmtId="0" xfId="0" applyAlignment="1" applyBorder="1" applyFont="1">
      <alignment horizontal="left" vertical="center"/>
    </xf>
    <xf borderId="6" fillId="4" fontId="43" numFmtId="0" xfId="0" applyAlignment="1" applyBorder="1" applyFont="1">
      <alignment horizontal="center" readingOrder="0" vertical="center"/>
    </xf>
    <xf borderId="6" fillId="4" fontId="43" numFmtId="0" xfId="0" applyAlignment="1" applyBorder="1" applyFont="1">
      <alignment horizontal="left" readingOrder="0" shrinkToFit="0" vertical="center" wrapText="1"/>
    </xf>
    <xf borderId="6" fillId="4" fontId="43" numFmtId="0" xfId="0" applyAlignment="1" applyBorder="1" applyFont="1">
      <alignment horizontal="center" shrinkToFit="0" vertical="center" wrapText="1"/>
    </xf>
    <xf borderId="6" fillId="4" fontId="43" numFmtId="0" xfId="0" applyAlignment="1" applyBorder="1" applyFont="1">
      <alignment horizontal="center" vertical="center"/>
    </xf>
    <xf borderId="6" fillId="0" fontId="41" numFmtId="0" xfId="0" applyAlignment="1" applyBorder="1" applyFont="1">
      <alignment horizontal="center" readingOrder="0" shrinkToFit="0" wrapText="1"/>
    </xf>
    <xf borderId="25" fillId="12" fontId="43" numFmtId="0" xfId="0" applyAlignment="1" applyBorder="1" applyFont="1">
      <alignment horizontal="center" vertical="center"/>
    </xf>
    <xf borderId="6" fillId="5" fontId="41" numFmtId="0" xfId="0" applyAlignment="1" applyBorder="1" applyFont="1">
      <alignment horizontal="center" shrinkToFit="0" vertical="center" wrapText="1"/>
    </xf>
    <xf borderId="6" fillId="5" fontId="43" numFmtId="0" xfId="0" applyAlignment="1" applyBorder="1" applyFont="1">
      <alignment horizontal="left" shrinkToFit="0" vertical="center" wrapText="1"/>
    </xf>
    <xf borderId="6" fillId="5" fontId="43" numFmtId="0" xfId="0" applyAlignment="1" applyBorder="1" applyFont="1">
      <alignment horizontal="center" shrinkToFit="0" vertical="center" wrapText="1"/>
    </xf>
    <xf borderId="6" fillId="5" fontId="43" numFmtId="0" xfId="0" applyAlignment="1" applyBorder="1" applyFont="1">
      <alignment horizontal="center" readingOrder="0" shrinkToFit="0" vertical="center" wrapText="1"/>
    </xf>
    <xf borderId="25" fillId="5" fontId="43" numFmtId="0" xfId="0" applyAlignment="1" applyBorder="1" applyFont="1">
      <alignment horizontal="center" vertical="center"/>
    </xf>
    <xf borderId="6" fillId="5" fontId="41" numFmtId="0" xfId="0" applyAlignment="1" applyBorder="1" applyFont="1">
      <alignment horizontal="center" readingOrder="0" shrinkToFit="0" wrapText="1"/>
    </xf>
    <xf borderId="28" fillId="12" fontId="43" numFmtId="0" xfId="0" applyAlignment="1" applyBorder="1" applyFont="1">
      <alignment horizontal="center" shrinkToFit="0" vertical="center" wrapText="1"/>
    </xf>
    <xf borderId="28" fillId="5" fontId="43" numFmtId="0" xfId="0" applyAlignment="1" applyBorder="1" applyFont="1">
      <alignment horizontal="center" shrinkToFit="0" vertical="center" wrapText="1"/>
    </xf>
    <xf borderId="6" fillId="12" fontId="41" numFmtId="0" xfId="0" applyAlignment="1" applyBorder="1" applyFont="1">
      <alignment horizontal="left" shrinkToFit="0" vertical="center" wrapText="1"/>
    </xf>
    <xf borderId="6" fillId="12" fontId="41" numFmtId="0" xfId="0" applyAlignment="1" applyBorder="1" applyFont="1">
      <alignment horizontal="center" shrinkToFit="0" wrapText="1"/>
    </xf>
    <xf borderId="6" fillId="7" fontId="43" numFmtId="0" xfId="0" applyAlignment="1" applyBorder="1" applyFont="1">
      <alignment horizontal="center" vertical="center"/>
    </xf>
    <xf borderId="6" fillId="7" fontId="41" numFmtId="0" xfId="0" applyAlignment="1" applyBorder="1" applyFont="1">
      <alignment horizontal="center" shrinkToFit="0" vertical="center" wrapText="1"/>
    </xf>
    <xf borderId="6" fillId="7" fontId="41" numFmtId="0" xfId="0" applyAlignment="1" applyBorder="1" applyFont="1">
      <alignment horizontal="left" shrinkToFit="0" vertical="center" wrapText="1"/>
    </xf>
    <xf borderId="6" fillId="7" fontId="41" numFmtId="0" xfId="0" applyAlignment="1" applyBorder="1" applyFont="1">
      <alignment horizontal="center" shrinkToFit="0" wrapText="1"/>
    </xf>
    <xf borderId="10" fillId="12" fontId="43" numFmtId="0" xfId="0" applyAlignment="1" applyBorder="1" applyFont="1">
      <alignment horizontal="center" shrinkToFit="0" vertical="center" wrapText="1"/>
    </xf>
    <xf borderId="26" fillId="12" fontId="43" numFmtId="0" xfId="0" applyAlignment="1" applyBorder="1" applyFont="1">
      <alignment horizontal="center" shrinkToFit="0" vertical="center" wrapText="1"/>
    </xf>
    <xf borderId="10" fillId="12" fontId="43" numFmtId="0" xfId="0" applyAlignment="1" applyBorder="1" applyFont="1">
      <alignment horizontal="center" vertical="center"/>
    </xf>
    <xf borderId="29" fillId="12" fontId="43" numFmtId="0" xfId="0" applyAlignment="1" applyBorder="1" applyFont="1">
      <alignment horizontal="center" shrinkToFit="0" vertical="center" wrapText="1"/>
    </xf>
    <xf borderId="6" fillId="5" fontId="41" numFmtId="0" xfId="0" applyAlignment="1" applyBorder="1" applyFont="1">
      <alignment horizontal="center" readingOrder="0" shrinkToFit="0" vertical="center" wrapText="1"/>
    </xf>
    <xf borderId="6" fillId="5" fontId="43" numFmtId="0" xfId="0" applyAlignment="1" applyBorder="1" applyFont="1">
      <alignment horizontal="left" readingOrder="0" shrinkToFit="0" vertical="center" wrapText="1"/>
    </xf>
    <xf borderId="25" fillId="5" fontId="43" numFmtId="0" xfId="0" applyAlignment="1" applyBorder="1" applyFont="1">
      <alignment horizontal="center" readingOrder="0" vertical="center"/>
    </xf>
    <xf borderId="6" fillId="12" fontId="41" numFmtId="0" xfId="0" applyAlignment="1" applyBorder="1" applyFont="1">
      <alignment horizontal="center" readingOrder="0" shrinkToFit="0" vertical="center" wrapText="1"/>
    </xf>
    <xf borderId="6" fillId="12" fontId="43" numFmtId="0" xfId="0" applyAlignment="1" applyBorder="1" applyFont="1">
      <alignment horizontal="center" readingOrder="0" vertical="center"/>
    </xf>
    <xf borderId="6" fillId="12" fontId="43" numFmtId="0" xfId="0" applyAlignment="1" applyBorder="1" applyFont="1">
      <alignment horizontal="left" readingOrder="0" shrinkToFit="0" vertical="center" wrapText="1"/>
    </xf>
    <xf borderId="6" fillId="12" fontId="43" numFmtId="0" xfId="0" applyAlignment="1" applyBorder="1" applyFont="1">
      <alignment horizontal="center" readingOrder="0" shrinkToFit="0" vertical="center" wrapText="1"/>
    </xf>
    <xf borderId="25" fillId="12" fontId="43" numFmtId="0" xfId="0" applyAlignment="1" applyBorder="1" applyFont="1">
      <alignment horizontal="center" readingOrder="0" vertical="center"/>
    </xf>
    <xf borderId="10" fillId="12" fontId="41" numFmtId="0" xfId="0" applyAlignment="1" applyBorder="1" applyFont="1">
      <alignment horizontal="center" shrinkToFit="0" vertical="center" wrapText="1"/>
    </xf>
    <xf borderId="10" fillId="12" fontId="43" numFmtId="0" xfId="0" applyAlignment="1" applyBorder="1" applyFont="1">
      <alignment horizontal="left" shrinkToFit="0" vertical="center" wrapText="1"/>
    </xf>
    <xf borderId="29" fillId="2" fontId="43" numFmtId="0" xfId="0" applyBorder="1" applyFont="1"/>
    <xf borderId="6" fillId="2" fontId="43" numFmtId="0" xfId="0" applyAlignment="1" applyBorder="1" applyFont="1">
      <alignment horizontal="center" vertical="center"/>
    </xf>
    <xf borderId="6" fillId="2" fontId="41" numFmtId="0" xfId="0" applyAlignment="1" applyBorder="1" applyFont="1">
      <alignment horizontal="center" shrinkToFit="0" vertical="center" wrapText="1"/>
    </xf>
    <xf borderId="6" fillId="2" fontId="43" numFmtId="0" xfId="0" applyAlignment="1" applyBorder="1" applyFont="1">
      <alignment horizontal="left" shrinkToFit="0" vertical="center" wrapText="1"/>
    </xf>
    <xf borderId="6" fillId="2" fontId="43" numFmtId="0" xfId="0" applyAlignment="1" applyBorder="1" applyFont="1">
      <alignment horizontal="center" shrinkToFit="0" vertical="center" wrapText="1"/>
    </xf>
    <xf borderId="28" fillId="2" fontId="43" numFmtId="0" xfId="0" applyAlignment="1" applyBorder="1" applyFont="1">
      <alignment horizontal="center" shrinkToFit="0" vertical="center" wrapText="1"/>
    </xf>
    <xf borderId="28" fillId="2" fontId="43" numFmtId="0" xfId="0" applyAlignment="1" applyBorder="1" applyFont="1">
      <alignment horizontal="center" vertical="center"/>
    </xf>
    <xf borderId="25" fillId="2" fontId="43" numFmtId="0" xfId="0" applyAlignment="1" applyBorder="1" applyFont="1">
      <alignment horizontal="center" vertical="center"/>
    </xf>
    <xf borderId="6" fillId="2" fontId="41" numFmtId="0" xfId="0" applyAlignment="1" applyBorder="1" applyFont="1">
      <alignment horizontal="center" shrinkToFit="0" wrapText="1"/>
    </xf>
    <xf borderId="23" fillId="2" fontId="43" numFmtId="0" xfId="0" applyBorder="1" applyFont="1"/>
    <xf borderId="28" fillId="2" fontId="43" numFmtId="0" xfId="0" applyBorder="1" applyFont="1"/>
    <xf borderId="24" fillId="2" fontId="43" numFmtId="0" xfId="0" applyBorder="1" applyFont="1"/>
    <xf borderId="29" fillId="2" fontId="43" numFmtId="0" xfId="0" applyAlignment="1" applyBorder="1" applyFont="1">
      <alignment horizontal="center" vertical="center"/>
    </xf>
    <xf borderId="28" fillId="2" fontId="41" numFmtId="0" xfId="0" applyAlignment="1" applyBorder="1" applyFont="1">
      <alignment horizontal="center" shrinkToFit="0" vertical="center" wrapText="1"/>
    </xf>
    <xf borderId="28" fillId="2" fontId="43" numFmtId="0" xfId="0" applyAlignment="1" applyBorder="1" applyFont="1">
      <alignment horizontal="left" shrinkToFit="0" vertical="center" wrapText="1"/>
    </xf>
    <xf borderId="30" fillId="2" fontId="43" numFmtId="0" xfId="0" applyBorder="1" applyFont="1"/>
    <xf borderId="26" fillId="2" fontId="43" numFmtId="0" xfId="0" applyAlignment="1" applyBorder="1" applyFont="1">
      <alignment horizontal="center" vertical="center"/>
    </xf>
    <xf borderId="31" fillId="2" fontId="41" numFmtId="0" xfId="0" applyAlignment="1" applyBorder="1" applyFont="1">
      <alignment horizontal="center" shrinkToFit="0" vertical="center" wrapText="1"/>
    </xf>
    <xf borderId="31" fillId="2" fontId="43" numFmtId="0" xfId="0" applyAlignment="1" applyBorder="1" applyFont="1">
      <alignment horizontal="center" vertical="center"/>
    </xf>
    <xf borderId="31" fillId="2" fontId="43" numFmtId="0" xfId="0" applyAlignment="1" applyBorder="1" applyFont="1">
      <alignment horizontal="left" shrinkToFit="0" vertical="center" wrapText="1"/>
    </xf>
    <xf borderId="31" fillId="2" fontId="43" numFmtId="0" xfId="0" applyAlignment="1" applyBorder="1" applyFont="1">
      <alignment horizontal="center" shrinkToFit="0" vertical="center" wrapText="1"/>
    </xf>
    <xf borderId="13" fillId="2" fontId="43" numFmtId="0" xfId="0" applyAlignment="1" applyBorder="1" applyFont="1">
      <alignment horizontal="center" vertical="center"/>
    </xf>
    <xf borderId="20" fillId="2" fontId="43" numFmtId="0" xfId="0" applyBorder="1" applyFont="1"/>
    <xf borderId="32" fillId="2" fontId="43" numFmtId="0" xfId="0" applyBorder="1" applyFont="1"/>
    <xf borderId="33" fillId="0" fontId="43" numFmtId="0" xfId="0" applyAlignment="1" applyBorder="1" applyFont="1">
      <alignment horizontal="center" vertical="center"/>
    </xf>
    <xf borderId="0" fillId="0" fontId="41" numFmtId="0" xfId="0" applyAlignment="1" applyFont="1">
      <alignment horizontal="center" shrinkToFit="0" vertical="center" wrapText="1"/>
    </xf>
    <xf borderId="0" fillId="0" fontId="43" numFmtId="0" xfId="0" applyAlignment="1" applyFont="1">
      <alignment horizontal="center" vertical="center"/>
    </xf>
    <xf borderId="0" fillId="0" fontId="43" numFmtId="0" xfId="0" applyAlignment="1" applyFont="1">
      <alignment horizontal="left" shrinkToFit="0" vertical="center" wrapText="1"/>
    </xf>
    <xf borderId="5" fillId="0" fontId="43" numFmtId="0" xfId="0" applyAlignment="1" applyBorder="1" applyFont="1">
      <alignment horizontal="center" vertical="center"/>
    </xf>
    <xf borderId="34" fillId="0" fontId="43" numFmtId="0" xfId="0" applyAlignment="1" applyBorder="1" applyFont="1">
      <alignment horizontal="center" vertical="center"/>
    </xf>
    <xf borderId="35" fillId="0" fontId="41" numFmtId="0" xfId="0" applyAlignment="1" applyBorder="1" applyFont="1">
      <alignment horizontal="center" shrinkToFit="0" vertical="center" wrapText="1"/>
    </xf>
    <xf borderId="35" fillId="0" fontId="43" numFmtId="0" xfId="0" applyAlignment="1" applyBorder="1" applyFont="1">
      <alignment horizontal="center" vertical="center"/>
    </xf>
    <xf borderId="35" fillId="0" fontId="43" numFmtId="0" xfId="0" applyAlignment="1" applyBorder="1" applyFont="1">
      <alignment horizontal="left" shrinkToFit="0" vertical="center" wrapText="1"/>
    </xf>
    <xf borderId="35" fillId="0" fontId="43" numFmtId="0" xfId="0" applyAlignment="1" applyBorder="1" applyFont="1">
      <alignment horizontal="center" shrinkToFit="0" vertical="center" wrapText="1"/>
    </xf>
    <xf borderId="36" fillId="0" fontId="43" numFmtId="0" xfId="0" applyAlignment="1" applyBorder="1" applyFont="1">
      <alignment horizontal="center" vertical="center"/>
    </xf>
    <xf borderId="7" fillId="0" fontId="43" numFmtId="0" xfId="0" applyAlignment="1" applyBorder="1" applyFont="1">
      <alignment horizontal="center" vertical="center"/>
    </xf>
    <xf borderId="8" fillId="0" fontId="41" numFmtId="0" xfId="0" applyAlignment="1" applyBorder="1" applyFont="1">
      <alignment horizontal="center" shrinkToFit="0" vertical="center" wrapText="1"/>
    </xf>
    <xf borderId="8" fillId="0" fontId="43" numFmtId="0" xfId="0" applyAlignment="1" applyBorder="1" applyFont="1">
      <alignment horizontal="center" vertical="center"/>
    </xf>
    <xf borderId="8" fillId="0" fontId="43" numFmtId="0" xfId="0" applyAlignment="1" applyBorder="1" applyFont="1">
      <alignment horizontal="left" shrinkToFit="0" vertical="center" wrapText="1"/>
    </xf>
    <xf borderId="8" fillId="0" fontId="43" numFmtId="0" xfId="0" applyAlignment="1" applyBorder="1" applyFont="1">
      <alignment horizontal="center" shrinkToFit="0" vertical="center" wrapText="1"/>
    </xf>
    <xf borderId="9" fillId="0" fontId="43" numFmtId="0" xfId="0" applyAlignment="1" applyBorder="1" applyFont="1">
      <alignment horizontal="center" vertical="center"/>
    </xf>
    <xf borderId="19" fillId="3" fontId="7" numFmtId="0" xfId="0" applyAlignment="1" applyBorder="1" applyFont="1">
      <alignment horizontal="center" shrinkToFit="0" vertical="center" wrapText="1"/>
    </xf>
    <xf borderId="0" fillId="0" fontId="51" numFmtId="0" xfId="0" applyAlignment="1" applyFont="1">
      <alignment horizontal="center" shrinkToFit="0" wrapText="1"/>
    </xf>
    <xf borderId="6" fillId="0" fontId="4" numFmtId="3" xfId="0" applyAlignment="1" applyBorder="1" applyFont="1" applyNumberFormat="1">
      <alignment horizontal="center" readingOrder="0" shrinkToFit="0" vertical="center" wrapText="1"/>
    </xf>
    <xf borderId="6" fillId="0" fontId="8" numFmtId="0" xfId="0" applyAlignment="1" applyBorder="1" applyFont="1">
      <alignment horizontal="center" readingOrder="0" shrinkToFit="0" vertical="center" wrapText="1"/>
    </xf>
    <xf borderId="11" fillId="0" fontId="4" numFmtId="0" xfId="0" applyAlignment="1" applyBorder="1" applyFont="1">
      <alignment horizontal="center" shrinkToFit="0" vertical="center" wrapText="1"/>
    </xf>
    <xf borderId="6" fillId="12" fontId="4" numFmtId="3" xfId="0" applyAlignment="1" applyBorder="1" applyFont="1" applyNumberFormat="1">
      <alignment horizontal="center" readingOrder="0" shrinkToFit="0" vertical="center" wrapText="1"/>
    </xf>
    <xf borderId="6" fillId="12" fontId="8" numFmtId="0" xfId="0" applyAlignment="1" applyBorder="1" applyFont="1">
      <alignment horizontal="center" readingOrder="0" shrinkToFit="0" vertical="center" wrapText="1"/>
    </xf>
    <xf borderId="6" fillId="3" fontId="4" numFmtId="0" xfId="0" applyAlignment="1" applyBorder="1" applyFont="1">
      <alignment horizontal="center" readingOrder="0" shrinkToFit="0" vertical="center" wrapText="1"/>
    </xf>
    <xf borderId="6" fillId="3" fontId="8" numFmtId="0" xfId="0" applyAlignment="1" applyBorder="1" applyFont="1">
      <alignment horizontal="center" readingOrder="0" shrinkToFit="0" vertical="center" wrapText="1"/>
    </xf>
    <xf borderId="6" fillId="3" fontId="8" numFmtId="0" xfId="0" applyAlignment="1" applyBorder="1" applyFont="1">
      <alignment horizontal="center" shrinkToFit="0" vertical="center" wrapText="1"/>
    </xf>
    <xf borderId="35" fillId="0" fontId="4" numFmtId="0" xfId="0" applyAlignment="1" applyBorder="1" applyFont="1">
      <alignment horizontal="center" shrinkToFit="0" vertical="center" wrapText="1"/>
    </xf>
    <xf borderId="35" fillId="0" fontId="8" numFmtId="0" xfId="0" applyAlignment="1" applyBorder="1" applyFont="1">
      <alignment horizontal="center" shrinkToFit="0" vertical="center" wrapText="1"/>
    </xf>
    <xf borderId="1" fillId="2" fontId="2" numFmtId="0" xfId="0" applyAlignment="1" applyBorder="1" applyFont="1">
      <alignment horizontal="center"/>
    </xf>
    <xf borderId="0" fillId="0" fontId="10" numFmtId="0" xfId="0" applyFont="1"/>
    <xf borderId="6" fillId="0" fontId="10" numFmtId="0" xfId="0" applyAlignment="1" applyBorder="1" applyFont="1">
      <alignment horizontal="center"/>
    </xf>
    <xf borderId="6" fillId="2" fontId="2" numFmtId="0" xfId="0" applyAlignment="1" applyBorder="1" applyFont="1">
      <alignment horizontal="center"/>
    </xf>
    <xf borderId="6" fillId="12" fontId="2" numFmtId="0" xfId="0" applyBorder="1" applyFont="1"/>
    <xf borderId="6" fillId="12" fontId="2" numFmtId="0" xfId="0" applyAlignment="1" applyBorder="1" applyFont="1">
      <alignment horizontal="left"/>
    </xf>
    <xf quotePrefix="1" borderId="6" fillId="2" fontId="2" numFmtId="0" xfId="0" applyAlignment="1" applyBorder="1" applyFont="1">
      <alignment horizontal="center"/>
    </xf>
    <xf borderId="6" fillId="12" fontId="2" numFmtId="0" xfId="0" applyAlignment="1" applyBorder="1" applyFont="1">
      <alignment readingOrder="0"/>
    </xf>
    <xf borderId="6" fillId="12" fontId="2" numFmtId="0" xfId="0" applyAlignment="1" applyBorder="1" applyFont="1">
      <alignment horizontal="left" readingOrder="0"/>
    </xf>
    <xf borderId="6" fillId="12" fontId="2" numFmtId="0" xfId="0" applyAlignment="1" applyBorder="1" applyFont="1">
      <alignment horizontal="center"/>
    </xf>
    <xf borderId="6" fillId="12" fontId="58" numFmtId="0" xfId="0" applyBorder="1" applyFont="1"/>
    <xf borderId="6" fillId="5" fontId="2" numFmtId="0" xfId="0" applyAlignment="1" applyBorder="1" applyFont="1">
      <alignment readingOrder="0"/>
    </xf>
    <xf borderId="6" fillId="5" fontId="2" numFmtId="0" xfId="0" applyAlignment="1" applyBorder="1" applyFont="1">
      <alignment horizontal="left"/>
    </xf>
    <xf borderId="6" fillId="2" fontId="14" numFmtId="0" xfId="0" applyAlignment="1" applyBorder="1" applyFont="1">
      <alignment horizontal="center"/>
    </xf>
    <xf borderId="6" fillId="12" fontId="14" numFmtId="0" xfId="0" applyBorder="1" applyFont="1"/>
    <xf borderId="6" fillId="4" fontId="20" numFmtId="0" xfId="0" applyBorder="1" applyFont="1"/>
    <xf borderId="6" fillId="4" fontId="20" numFmtId="3" xfId="0" applyAlignment="1" applyBorder="1" applyFont="1" applyNumberFormat="1">
      <alignment horizontal="left" readingOrder="0"/>
    </xf>
    <xf borderId="6" fillId="4" fontId="20" numFmtId="0" xfId="0" applyAlignment="1" applyBorder="1" applyFont="1">
      <alignment readingOrder="0"/>
    </xf>
    <xf borderId="6" fillId="4" fontId="20" numFmtId="0" xfId="0" applyAlignment="1" applyBorder="1" applyFont="1">
      <alignment horizontal="center"/>
    </xf>
    <xf borderId="6" fillId="4" fontId="20" numFmtId="0" xfId="0" applyAlignment="1" applyBorder="1" applyFont="1">
      <alignment horizontal="left" readingOrder="0"/>
    </xf>
    <xf borderId="6" fillId="4" fontId="20" numFmtId="0" xfId="0" applyAlignment="1" applyBorder="1" applyFont="1">
      <alignment horizontal="left"/>
    </xf>
    <xf borderId="6" fillId="4" fontId="14" numFmtId="0" xfId="0" applyBorder="1" applyFont="1"/>
    <xf borderId="6" fillId="4" fontId="20" numFmtId="0" xfId="0" applyAlignment="1" applyBorder="1" applyFont="1">
      <alignment horizontal="center" readingOrder="0"/>
    </xf>
    <xf borderId="6" fillId="0" fontId="35" numFmtId="0" xfId="0" applyAlignment="1" applyBorder="1" applyFont="1">
      <alignment horizontal="center" readingOrder="0" shrinkToFit="0" vertical="center" wrapText="1"/>
    </xf>
    <xf borderId="6" fillId="0" fontId="35" numFmtId="0" xfId="0" applyAlignment="1" applyBorder="1" applyFont="1">
      <alignment horizontal="center" shrinkToFit="0" vertical="center" wrapText="1"/>
    </xf>
    <xf borderId="6" fillId="2" fontId="20" numFmtId="0" xfId="0" applyAlignment="1" applyBorder="1" applyFont="1">
      <alignment horizontal="center"/>
    </xf>
    <xf borderId="6" fillId="2" fontId="20" numFmtId="0" xfId="0" applyAlignment="1" applyBorder="1" applyFont="1">
      <alignment horizontal="center" readingOrder="0"/>
    </xf>
    <xf borderId="6" fillId="0" fontId="20" numFmtId="0" xfId="0" applyAlignment="1" applyBorder="1" applyFont="1">
      <alignment horizontal="center"/>
    </xf>
    <xf borderId="6" fillId="0" fontId="20" numFmtId="0" xfId="0" applyAlignment="1" applyBorder="1" applyFont="1">
      <alignment horizontal="center" readingOrder="0"/>
    </xf>
    <xf borderId="6" fillId="0" fontId="2" numFmtId="0" xfId="0" applyBorder="1" applyFont="1"/>
    <xf borderId="6" fillId="0" fontId="2" numFmtId="0" xfId="0" applyAlignment="1" applyBorder="1" applyFont="1">
      <alignment horizontal="left"/>
    </xf>
    <xf borderId="0" fillId="0" fontId="2" numFmtId="0" xfId="0" applyAlignment="1" applyFont="1">
      <alignment horizontal="left"/>
    </xf>
    <xf borderId="1" fillId="3" fontId="43" numFmtId="0" xfId="0" applyAlignment="1" applyBorder="1" applyFont="1">
      <alignment horizontal="center" shrinkToFit="0" vertical="center" wrapText="1"/>
    </xf>
    <xf borderId="1" fillId="3" fontId="47" numFmtId="0" xfId="0" applyAlignment="1" applyBorder="1" applyFont="1">
      <alignment horizontal="center" shrinkToFit="0" vertical="center" wrapText="1"/>
    </xf>
    <xf borderId="1" fillId="3" fontId="48" numFmtId="0" xfId="0" applyAlignment="1" applyBorder="1" applyFont="1">
      <alignment horizontal="center" shrinkToFit="0" vertical="center" wrapText="1"/>
    </xf>
    <xf borderId="19" fillId="3" fontId="48" numFmtId="0" xfId="0" applyAlignment="1" applyBorder="1" applyFont="1">
      <alignment horizontal="center" shrinkToFit="0" vertical="center" wrapText="1"/>
    </xf>
    <xf borderId="0" fillId="13" fontId="3" numFmtId="0" xfId="0" applyFont="1"/>
    <xf borderId="1" fillId="13" fontId="2" numFmtId="0" xfId="0" applyBorder="1" applyFont="1"/>
    <xf borderId="6" fillId="13" fontId="7" numFmtId="0" xfId="0" applyAlignment="1" applyBorder="1" applyFont="1">
      <alignment horizontal="center" shrinkToFit="0" vertical="center" wrapText="1"/>
    </xf>
    <xf borderId="17" fillId="13" fontId="9" numFmtId="0" xfId="0" applyAlignment="1" applyBorder="1" applyFont="1">
      <alignment horizontal="center" shrinkToFit="0" vertical="center" wrapText="1"/>
    </xf>
    <xf borderId="1" fillId="13" fontId="2" numFmtId="0" xfId="0" applyAlignment="1" applyBorder="1" applyFont="1">
      <alignment readingOrder="0"/>
    </xf>
    <xf borderId="17" fillId="2" fontId="9" numFmtId="0" xfId="0" applyAlignment="1" applyBorder="1" applyFont="1">
      <alignment horizontal="center" shrinkToFit="0" vertical="center" wrapText="1"/>
    </xf>
    <xf quotePrefix="1" borderId="17" fillId="2" fontId="9" numFmtId="0" xfId="0" applyAlignment="1" applyBorder="1" applyFont="1">
      <alignment horizontal="center" shrinkToFit="0" vertical="center" wrapText="1"/>
    </xf>
    <xf borderId="6" fillId="0" fontId="4" numFmtId="0" xfId="0" applyAlignment="1" applyBorder="1" applyFont="1">
      <alignment shrinkToFit="0" vertical="center" wrapText="1"/>
    </xf>
    <xf borderId="6" fillId="2" fontId="4" numFmtId="0" xfId="0" applyAlignment="1" applyBorder="1" applyFont="1">
      <alignment shrinkToFit="0" vertical="center" wrapText="1"/>
    </xf>
    <xf borderId="0" fillId="13" fontId="2" numFmtId="0" xfId="0" applyFont="1"/>
    <xf borderId="26" fillId="2" fontId="4" numFmtId="0" xfId="0" applyAlignment="1" applyBorder="1" applyFont="1">
      <alignment horizontal="center" shrinkToFit="0" vertical="center" wrapText="1"/>
    </xf>
    <xf borderId="1" fillId="14" fontId="2" numFmtId="0" xfId="0" applyBorder="1" applyFont="1"/>
    <xf borderId="6" fillId="14" fontId="8" numFmtId="0" xfId="0" applyAlignment="1" applyBorder="1" applyFont="1">
      <alignment horizontal="center" shrinkToFit="0" vertical="center" wrapText="1"/>
    </xf>
    <xf borderId="26" fillId="14" fontId="4" numFmtId="0" xfId="0" applyAlignment="1" applyBorder="1" applyFont="1">
      <alignment horizontal="center" shrinkToFit="0" vertical="center" wrapText="1"/>
    </xf>
    <xf borderId="6" fillId="0" fontId="9" numFmtId="0" xfId="0" applyAlignment="1" applyBorder="1" applyFont="1">
      <alignment horizontal="left" shrinkToFit="0" vertical="center" wrapText="1"/>
    </xf>
    <xf borderId="2" fillId="13" fontId="2" numFmtId="0" xfId="0" applyBorder="1" applyFont="1"/>
    <xf borderId="1" fillId="7" fontId="2" numFmtId="0" xfId="0" applyBorder="1" applyFont="1"/>
    <xf borderId="6" fillId="7" fontId="8" numFmtId="0" xfId="0" applyAlignment="1" applyBorder="1" applyFont="1">
      <alignment horizontal="center" shrinkToFit="0" vertical="center" wrapText="1"/>
    </xf>
    <xf borderId="6" fillId="7" fontId="4" numFmtId="0" xfId="0" applyAlignment="1" applyBorder="1" applyFont="1">
      <alignment horizontal="center" shrinkToFit="0" vertical="center" wrapText="1"/>
    </xf>
    <xf borderId="6" fillId="7" fontId="4" numFmtId="0" xfId="0" applyAlignment="1" applyBorder="1" applyFont="1">
      <alignment horizontal="left" shrinkToFit="0" vertical="center" wrapText="1"/>
    </xf>
    <xf borderId="26" fillId="7" fontId="4" numFmtId="0" xfId="0" applyAlignment="1" applyBorder="1" applyFont="1">
      <alignment horizontal="center" shrinkToFit="0" vertical="center" wrapText="1"/>
    </xf>
    <xf borderId="6" fillId="2" fontId="4" numFmtId="0" xfId="0" applyAlignment="1" applyBorder="1" applyFont="1">
      <alignment horizontal="left" readingOrder="0" shrinkToFit="0" vertical="center" wrapText="1"/>
    </xf>
    <xf borderId="26" fillId="2" fontId="4" numFmtId="0" xfId="0" applyAlignment="1" applyBorder="1" applyFont="1">
      <alignment horizontal="center" readingOrder="0" shrinkToFit="0" vertical="center" wrapText="1"/>
    </xf>
    <xf borderId="0" fillId="2" fontId="2" numFmtId="0" xfId="0" applyAlignment="1" applyFont="1">
      <alignment readingOrder="0"/>
    </xf>
    <xf borderId="7" fillId="0" fontId="4" numFmtId="0" xfId="0" applyAlignment="1" applyBorder="1" applyFont="1">
      <alignment horizontal="center" readingOrder="0" shrinkToFit="0" vertical="center" wrapText="1"/>
    </xf>
    <xf borderId="6" fillId="9" fontId="59" numFmtId="0" xfId="0" applyAlignment="1" applyBorder="1" applyFont="1">
      <alignment readingOrder="0" vertical="center"/>
    </xf>
    <xf quotePrefix="1" borderId="6" fillId="0" fontId="4" numFmtId="0" xfId="0" applyAlignment="1" applyBorder="1" applyFont="1">
      <alignment horizontal="center" shrinkToFit="0" vertical="center" wrapText="1"/>
    </xf>
    <xf quotePrefix="1" borderId="6" fillId="0" fontId="4" numFmtId="0" xfId="0" applyAlignment="1" applyBorder="1" applyFont="1">
      <alignment horizontal="center" readingOrder="0" shrinkToFit="0" vertical="center" wrapText="1"/>
    </xf>
    <xf quotePrefix="1" borderId="6" fillId="5" fontId="4" numFmtId="0" xfId="0" applyAlignment="1" applyBorder="1" applyFont="1">
      <alignment horizontal="center" readingOrder="0" shrinkToFit="0" vertical="center" wrapText="1"/>
    </xf>
    <xf borderId="6" fillId="0" fontId="12" numFmtId="0" xfId="0" applyAlignment="1" applyBorder="1" applyFont="1">
      <alignment horizontal="left" shrinkToFit="0" vertical="center" wrapText="1"/>
    </xf>
    <xf borderId="21" fillId="3" fontId="42" numFmtId="0" xfId="0" applyAlignment="1" applyBorder="1" applyFont="1">
      <alignment horizontal="center" shrinkToFit="0" vertical="center" wrapText="1"/>
    </xf>
    <xf borderId="0" fillId="0" fontId="2" numFmtId="0" xfId="0" applyFont="1"/>
    <xf borderId="0" fillId="0" fontId="60" numFmtId="0" xfId="0" applyFont="1"/>
    <xf borderId="2" fillId="3" fontId="61" numFmtId="0" xfId="0" applyAlignment="1" applyBorder="1" applyFont="1">
      <alignment horizontal="center" vertical="center"/>
    </xf>
    <xf borderId="1" fillId="3" fontId="61" numFmtId="0" xfId="0" applyAlignment="1" applyBorder="1" applyFont="1">
      <alignment horizontal="center" vertical="center"/>
    </xf>
    <xf borderId="1" fillId="3" fontId="61" numFmtId="0" xfId="0" applyAlignment="1" applyBorder="1" applyFont="1">
      <alignment horizontal="center" shrinkToFit="0" vertical="center" wrapText="1"/>
    </xf>
    <xf borderId="1" fillId="3" fontId="61" numFmtId="0" xfId="0" applyAlignment="1" applyBorder="1" applyFont="1">
      <alignment horizontal="left" shrinkToFit="0" vertical="center" wrapText="1"/>
    </xf>
    <xf borderId="33" fillId="0" fontId="60" numFmtId="0" xfId="0" applyBorder="1" applyFont="1"/>
    <xf borderId="19" fillId="3" fontId="61" numFmtId="0" xfId="0" applyAlignment="1" applyBorder="1" applyFont="1">
      <alignment horizontal="center" vertical="center"/>
    </xf>
    <xf borderId="14" fillId="3" fontId="61" numFmtId="0" xfId="0" applyAlignment="1" applyBorder="1" applyFont="1">
      <alignment horizontal="center" vertical="center"/>
    </xf>
    <xf borderId="6" fillId="9" fontId="10" numFmtId="0" xfId="0" applyAlignment="1" applyBorder="1" applyFont="1">
      <alignment horizontal="center" vertical="center"/>
    </xf>
    <xf borderId="6" fillId="9" fontId="10" numFmtId="0" xfId="0" applyAlignment="1" applyBorder="1" applyFont="1">
      <alignment horizontal="center" shrinkToFit="0" vertical="center" wrapText="1"/>
    </xf>
    <xf borderId="6" fillId="9" fontId="10" numFmtId="0" xfId="0" applyAlignment="1" applyBorder="1" applyFont="1">
      <alignment horizontal="left" shrinkToFit="0" vertical="center" wrapText="1"/>
    </xf>
    <xf borderId="17" fillId="9" fontId="10" numFmtId="0" xfId="0" applyAlignment="1" applyBorder="1" applyFont="1">
      <alignment horizontal="center" shrinkToFit="0" vertical="center" wrapText="1"/>
    </xf>
    <xf borderId="6" fillId="16" fontId="10" numFmtId="0" xfId="0" applyAlignment="1" applyBorder="1" applyFont="1">
      <alignment horizontal="center" readingOrder="0" shrinkToFit="0" wrapText="1"/>
    </xf>
    <xf borderId="6" fillId="2" fontId="2" numFmtId="0" xfId="0" applyAlignment="1" applyBorder="1" applyFont="1">
      <alignment horizontal="center" shrinkToFit="0" vertical="center" wrapText="1"/>
    </xf>
    <xf borderId="6" fillId="2" fontId="10" numFmtId="0" xfId="0" applyAlignment="1" applyBorder="1" applyFont="1">
      <alignment horizontal="center" shrinkToFit="0" vertical="center" wrapText="1"/>
    </xf>
    <xf borderId="6" fillId="2" fontId="2" numFmtId="0" xfId="0" applyAlignment="1" applyBorder="1" applyFont="1">
      <alignment horizontal="left" shrinkToFit="0" vertical="center" wrapText="1"/>
    </xf>
    <xf borderId="6" fillId="2" fontId="2" numFmtId="0" xfId="0" applyAlignment="1" applyBorder="1" applyFont="1">
      <alignment horizontal="center" readingOrder="0" shrinkToFit="0" vertical="center" wrapText="1"/>
    </xf>
    <xf borderId="6" fillId="0" fontId="2" numFmtId="0" xfId="0" applyAlignment="1" applyBorder="1" applyFont="1">
      <alignment horizontal="center" shrinkToFit="0" vertical="center" wrapText="1"/>
    </xf>
    <xf borderId="6" fillId="0" fontId="2" numFmtId="0" xfId="0" applyAlignment="1" applyBorder="1" applyFont="1">
      <alignment horizontal="left" shrinkToFit="0" vertical="center" wrapText="1"/>
    </xf>
    <xf borderId="11" fillId="0" fontId="2" numFmtId="0" xfId="0" applyAlignment="1" applyBorder="1" applyFont="1">
      <alignment horizontal="center" shrinkToFit="0" vertical="center" wrapText="1"/>
    </xf>
    <xf borderId="6" fillId="12" fontId="2" numFmtId="0" xfId="0" applyAlignment="1" applyBorder="1" applyFont="1">
      <alignment horizontal="center" shrinkToFit="0" vertical="center" wrapText="1"/>
    </xf>
    <xf borderId="6" fillId="12" fontId="2" numFmtId="0" xfId="0" applyAlignment="1" applyBorder="1" applyFont="1">
      <alignment horizontal="left" shrinkToFit="0" vertical="center" wrapText="1"/>
    </xf>
    <xf borderId="12" fillId="0" fontId="2" numFmtId="0" xfId="0" applyAlignment="1" applyBorder="1" applyFont="1">
      <alignment horizontal="center" shrinkToFit="0" vertical="center" wrapText="1"/>
    </xf>
    <xf quotePrefix="1" borderId="6" fillId="2" fontId="4" numFmtId="0" xfId="0" applyAlignment="1" applyBorder="1" applyFont="1">
      <alignment horizontal="center" vertical="center"/>
    </xf>
    <xf borderId="6" fillId="0" fontId="14" numFmtId="0" xfId="0" applyAlignment="1" applyBorder="1" applyFont="1">
      <alignment horizontal="center" shrinkToFit="0" vertical="center" wrapText="1"/>
    </xf>
    <xf borderId="6" fillId="0" fontId="2" numFmtId="0" xfId="0" applyAlignment="1" applyBorder="1" applyFont="1">
      <alignment horizontal="left" readingOrder="0" shrinkToFit="0" vertical="center" wrapText="1"/>
    </xf>
    <xf borderId="6" fillId="0" fontId="20" numFmtId="0" xfId="0" applyAlignment="1" applyBorder="1" applyFont="1">
      <alignment horizontal="left" shrinkToFit="0" vertical="center" wrapText="1"/>
    </xf>
    <xf borderId="6" fillId="0" fontId="2" numFmtId="0" xfId="0" applyAlignment="1" applyBorder="1" applyFont="1">
      <alignment shrinkToFit="0" vertical="center" wrapText="1"/>
    </xf>
    <xf borderId="33" fillId="0" fontId="2" numFmtId="0" xfId="0" applyBorder="1" applyFont="1"/>
    <xf borderId="24" fillId="0" fontId="2" numFmtId="0" xfId="0" applyBorder="1" applyFont="1"/>
    <xf borderId="1" fillId="0" fontId="2" numFmtId="0" xfId="0" applyBorder="1" applyFont="1"/>
    <xf borderId="6" fillId="0" fontId="10" numFmtId="0" xfId="0" applyAlignment="1" applyBorder="1" applyFont="1">
      <alignment shrinkToFit="0" vertical="center" wrapText="1"/>
    </xf>
    <xf borderId="6" fillId="0" fontId="2" numFmtId="0" xfId="0" applyAlignment="1" applyBorder="1" applyFont="1">
      <alignment horizontal="left" shrinkToFit="0" wrapText="1"/>
    </xf>
    <xf borderId="6" fillId="12" fontId="2" numFmtId="0" xfId="0" applyAlignment="1" applyBorder="1" applyFont="1">
      <alignment horizontal="left" shrinkToFit="0" wrapText="1"/>
    </xf>
    <xf borderId="7" fillId="2" fontId="2" numFmtId="0" xfId="0" applyAlignment="1" applyBorder="1" applyFont="1">
      <alignment horizontal="center" readingOrder="0" shrinkToFit="0" vertical="center" wrapText="1"/>
    </xf>
    <xf borderId="1" fillId="12" fontId="4" numFmtId="0" xfId="0" applyBorder="1" applyFont="1"/>
    <xf borderId="6" fillId="12" fontId="49" numFmtId="0" xfId="0" applyAlignment="1" applyBorder="1" applyFont="1">
      <alignment horizontal="center" vertical="center"/>
    </xf>
    <xf borderId="6" fillId="12" fontId="62" numFmtId="0" xfId="0" applyAlignment="1" applyBorder="1" applyFont="1">
      <alignment horizontal="center" vertical="center"/>
    </xf>
    <xf borderId="6" fillId="12" fontId="2" numFmtId="0" xfId="0" applyAlignment="1" applyBorder="1" applyFont="1">
      <alignment horizontal="center" readingOrder="0" shrinkToFit="0" vertical="center" wrapText="1"/>
    </xf>
    <xf borderId="6" fillId="12" fontId="2" numFmtId="0" xfId="0" applyAlignment="1" applyBorder="1" applyFont="1">
      <alignment horizontal="left" readingOrder="0" shrinkToFit="0" vertical="center" wrapText="1"/>
    </xf>
    <xf borderId="6" fillId="12" fontId="2" numFmtId="0" xfId="0" applyAlignment="1" applyBorder="1" applyFont="1">
      <alignment horizontal="center" readingOrder="0" vertical="center"/>
    </xf>
    <xf borderId="6" fillId="5" fontId="2" numFmtId="0" xfId="0" applyAlignment="1" applyBorder="1" applyFont="1">
      <alignment horizontal="left" readingOrder="0" shrinkToFit="0" wrapText="1"/>
    </xf>
    <xf borderId="6" fillId="5" fontId="2" numFmtId="0" xfId="0" applyAlignment="1" applyBorder="1" applyFont="1">
      <alignment horizontal="center" shrinkToFit="0" vertical="center" wrapText="1"/>
    </xf>
    <xf borderId="6" fillId="5" fontId="2" numFmtId="0" xfId="0" applyAlignment="1" applyBorder="1" applyFont="1">
      <alignment horizontal="center" readingOrder="0" shrinkToFit="0" wrapText="1"/>
    </xf>
    <xf borderId="6" fillId="5" fontId="2" numFmtId="0" xfId="0" applyAlignment="1" applyBorder="1" applyFont="1">
      <alignment horizontal="left" readingOrder="0" shrinkToFit="0" vertical="center" wrapText="1"/>
    </xf>
    <xf borderId="6" fillId="5" fontId="2" numFmtId="0" xfId="0" applyAlignment="1" applyBorder="1" applyFont="1">
      <alignment horizontal="left" shrinkToFit="0" wrapText="1"/>
    </xf>
    <xf borderId="11" fillId="5" fontId="2" numFmtId="0" xfId="0" applyAlignment="1" applyBorder="1" applyFont="1">
      <alignment horizontal="center" shrinkToFit="0" vertical="center" wrapText="1"/>
    </xf>
    <xf borderId="6" fillId="5" fontId="2" numFmtId="0" xfId="0" applyAlignment="1" applyBorder="1" applyFont="1">
      <alignment horizontal="left" shrinkToFit="0" vertical="center" wrapText="1"/>
    </xf>
    <xf borderId="6" fillId="5" fontId="2" numFmtId="0" xfId="0" applyAlignment="1" applyBorder="1" applyFont="1">
      <alignment horizontal="left" readingOrder="0" vertical="center"/>
    </xf>
    <xf borderId="7" fillId="5" fontId="2" numFmtId="0" xfId="0" applyAlignment="1" applyBorder="1" applyFont="1">
      <alignment horizontal="center" readingOrder="0" vertical="center"/>
    </xf>
    <xf borderId="33" fillId="0" fontId="60" numFmtId="0" xfId="0" applyAlignment="1" applyBorder="1" applyFont="1">
      <alignment readingOrder="0"/>
    </xf>
    <xf borderId="2" fillId="3" fontId="10" numFmtId="0" xfId="0" applyAlignment="1" applyBorder="1" applyFont="1">
      <alignment horizontal="center" vertical="center"/>
    </xf>
    <xf borderId="1" fillId="3" fontId="2" numFmtId="0" xfId="0" applyAlignment="1" applyBorder="1" applyFont="1">
      <alignment horizontal="center" shrinkToFit="0" vertical="center" wrapText="1"/>
    </xf>
    <xf borderId="2" fillId="3" fontId="10" numFmtId="0" xfId="0" applyAlignment="1" applyBorder="1" applyFont="1">
      <alignment horizontal="center" shrinkToFit="0" vertical="center" wrapText="1"/>
    </xf>
    <xf borderId="1" fillId="3" fontId="10" numFmtId="0" xfId="0" applyAlignment="1" applyBorder="1" applyFont="1">
      <alignment horizontal="center" vertical="center"/>
    </xf>
    <xf borderId="1" fillId="3" fontId="2" numFmtId="0" xfId="0" applyAlignment="1" applyBorder="1" applyFont="1">
      <alignment horizontal="left" shrinkToFit="0" vertical="center" wrapText="1"/>
    </xf>
    <xf borderId="2" fillId="3" fontId="2" numFmtId="0" xfId="0" applyAlignment="1" applyBorder="1" applyFont="1">
      <alignment horizontal="center" vertical="center"/>
    </xf>
    <xf borderId="2" fillId="3" fontId="2" numFmtId="0" xfId="0" applyAlignment="1" applyBorder="1" applyFont="1">
      <alignment horizontal="left" vertical="center"/>
    </xf>
    <xf borderId="6" fillId="16" fontId="59" numFmtId="0" xfId="0" applyAlignment="1" applyBorder="1" applyFont="1">
      <alignment horizontal="center" readingOrder="0" shrinkToFit="0" vertical="center" wrapText="1"/>
    </xf>
    <xf borderId="6" fillId="0" fontId="3" numFmtId="0" xfId="0" applyAlignment="1" applyBorder="1" applyFont="1">
      <alignment horizontal="center"/>
    </xf>
    <xf quotePrefix="1" borderId="37" fillId="0" fontId="4" numFmtId="0" xfId="0" applyAlignment="1" applyBorder="1" applyFont="1">
      <alignment horizontal="center" shrinkToFit="0" vertical="center" wrapText="1"/>
    </xf>
    <xf borderId="37" fillId="0" fontId="4" numFmtId="0" xfId="0" applyAlignment="1" applyBorder="1" applyFont="1">
      <alignment horizontal="center" shrinkToFit="0" vertical="center" wrapText="1"/>
    </xf>
    <xf borderId="17" fillId="2" fontId="4" numFmtId="0" xfId="0" applyAlignment="1" applyBorder="1" applyFont="1">
      <alignment horizontal="center" shrinkToFit="0" vertical="center" wrapText="1"/>
    </xf>
    <xf quotePrefix="1" borderId="17" fillId="12" fontId="4" numFmtId="0" xfId="0" applyAlignment="1" applyBorder="1" applyFont="1">
      <alignment horizontal="center" shrinkToFit="0" vertical="center" wrapText="1"/>
    </xf>
    <xf borderId="17" fillId="12" fontId="4" numFmtId="0" xfId="0" applyAlignment="1" applyBorder="1" applyFont="1">
      <alignment horizontal="left" shrinkToFit="0" vertical="center" wrapText="1"/>
    </xf>
    <xf borderId="6" fillId="12" fontId="63" numFmtId="0" xfId="0" applyAlignment="1" applyBorder="1" applyFont="1">
      <alignment horizontal="center" shrinkToFit="0" vertical="center" wrapText="1"/>
    </xf>
    <xf borderId="6" fillId="0" fontId="64" numFmtId="0" xfId="0" applyAlignment="1" applyBorder="1" applyFont="1">
      <alignment horizontal="center" shrinkToFit="0" vertical="center" wrapText="1"/>
    </xf>
    <xf quotePrefix="1" borderId="17" fillId="2" fontId="4" numFmtId="0" xfId="0" applyAlignment="1" applyBorder="1" applyFont="1">
      <alignment horizontal="center" shrinkToFit="0" vertical="center" wrapText="1"/>
    </xf>
    <xf borderId="6" fillId="0" fontId="14" numFmtId="0" xfId="0" applyBorder="1" applyFont="1"/>
    <xf borderId="6" fillId="13" fontId="3" numFmtId="0" xfId="0" applyAlignment="1" applyBorder="1" applyFont="1">
      <alignment readingOrder="0"/>
    </xf>
    <xf borderId="6" fillId="12" fontId="4" numFmtId="0" xfId="0" applyAlignment="1" applyBorder="1" applyFont="1">
      <alignment horizontal="left" readingOrder="0" shrinkToFit="0" vertical="center" wrapText="1"/>
    </xf>
    <xf borderId="9" fillId="5" fontId="4" numFmtId="0" xfId="0" applyAlignment="1" applyBorder="1" applyFont="1">
      <alignment horizontal="left" readingOrder="0" shrinkToFit="0" vertical="center" wrapText="1"/>
    </xf>
    <xf borderId="17" fillId="5" fontId="16" numFmtId="0" xfId="0" applyAlignment="1" applyBorder="1" applyFont="1">
      <alignment horizontal="center" shrinkToFit="0" vertical="center" wrapText="1"/>
    </xf>
    <xf borderId="6" fillId="5" fontId="16" numFmtId="0" xfId="0" applyBorder="1" applyFont="1"/>
    <xf borderId="9" fillId="5" fontId="16" numFmtId="0" xfId="0" applyAlignment="1" applyBorder="1" applyFont="1">
      <alignment horizontal="center" readingOrder="0"/>
    </xf>
    <xf borderId="9" fillId="5" fontId="16" numFmtId="0" xfId="0" applyAlignment="1" applyBorder="1" applyFont="1">
      <alignment readingOrder="0" shrinkToFit="0" wrapText="1"/>
    </xf>
    <xf borderId="9" fillId="5" fontId="16" numFmtId="0" xfId="0" applyAlignment="1" applyBorder="1" applyFont="1">
      <alignment horizontal="center"/>
    </xf>
    <xf borderId="9" fillId="5" fontId="16" numFmtId="0" xfId="0" applyBorder="1" applyFont="1"/>
    <xf borderId="11" fillId="5" fontId="4" numFmtId="0" xfId="0" applyAlignment="1" applyBorder="1" applyFont="1">
      <alignment horizontal="center" shrinkToFit="0" vertical="center" wrapText="1"/>
    </xf>
    <xf borderId="6" fillId="5" fontId="3" numFmtId="0" xfId="0" applyBorder="1" applyFont="1"/>
    <xf borderId="21" fillId="2" fontId="42" numFmtId="0" xfId="0" applyAlignment="1" applyBorder="1" applyFont="1">
      <alignment horizontal="center" shrinkToFit="0" vertical="center" wrapText="1"/>
    </xf>
    <xf borderId="0" fillId="0" fontId="16" numFmtId="0" xfId="0" applyAlignment="1" applyFont="1">
      <alignment horizontal="left" shrinkToFit="0" vertical="center" wrapText="1"/>
    </xf>
    <xf borderId="0" fillId="0" fontId="10" numFmtId="0" xfId="0" applyAlignment="1" applyFont="1">
      <alignment horizontal="center" shrinkToFit="0" vertical="center" wrapText="1"/>
    </xf>
    <xf borderId="6" fillId="2" fontId="16" numFmtId="0" xfId="0" applyAlignment="1" applyBorder="1" applyFont="1">
      <alignment horizontal="center" vertical="center"/>
    </xf>
    <xf borderId="7" fillId="0" fontId="10" numFmtId="0" xfId="0" applyAlignment="1" applyBorder="1" applyFont="1">
      <alignment horizontal="center" shrinkToFit="0" vertical="center" wrapText="1"/>
    </xf>
    <xf borderId="38" fillId="0" fontId="4" numFmtId="0" xfId="0" applyAlignment="1" applyBorder="1" applyFont="1">
      <alignment horizontal="center" shrinkToFit="0" vertical="center" wrapText="1"/>
    </xf>
    <xf borderId="0" fillId="0" fontId="16" numFmtId="0" xfId="0" applyAlignment="1" applyFont="1">
      <alignment horizontal="center" vertical="center"/>
    </xf>
    <xf borderId="2" fillId="3" fontId="5" numFmtId="0" xfId="0" applyAlignment="1" applyBorder="1" applyFont="1">
      <alignment horizontal="left" vertical="center"/>
    </xf>
    <xf borderId="8"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6" fillId="9" fontId="9" numFmtId="0" xfId="0" applyAlignment="1" applyBorder="1" applyFont="1">
      <alignment horizontal="left" shrinkToFit="0" vertical="center" wrapText="1"/>
    </xf>
    <xf borderId="0" fillId="5" fontId="3" numFmtId="0" xfId="0" applyAlignment="1" applyFont="1">
      <alignment readingOrder="0"/>
    </xf>
    <xf borderId="6" fillId="14" fontId="2" numFmtId="0" xfId="0" applyAlignment="1" applyBorder="1" applyFont="1">
      <alignment horizontal="center" shrinkToFit="0" vertical="center" wrapText="1"/>
    </xf>
    <xf borderId="2" fillId="3" fontId="42" numFmtId="0" xfId="0" applyAlignment="1" applyBorder="1" applyFont="1">
      <alignment horizontal="center" readingOrder="0" vertical="center"/>
    </xf>
    <xf borderId="39" fillId="0" fontId="4" numFmtId="0" xfId="0" applyAlignment="1" applyBorder="1" applyFont="1">
      <alignment horizontal="center" shrinkToFit="0" vertical="center" wrapText="1"/>
    </xf>
    <xf borderId="37" fillId="0" fontId="4" numFmtId="0" xfId="0" applyAlignment="1" applyBorder="1" applyFont="1">
      <alignment horizontal="left" shrinkToFit="0" vertical="center" wrapText="1"/>
    </xf>
    <xf borderId="37" fillId="0" fontId="4" numFmtId="0" xfId="0" applyAlignment="1" applyBorder="1" applyFont="1">
      <alignment horizontal="center" vertical="center"/>
    </xf>
    <xf borderId="7" fillId="0" fontId="49" numFmtId="0" xfId="0" applyAlignment="1" applyBorder="1" applyFont="1">
      <alignment horizontal="center" vertical="center"/>
    </xf>
    <xf borderId="7" fillId="0" fontId="15" numFmtId="0" xfId="0" applyAlignment="1" applyBorder="1" applyFont="1">
      <alignment horizontal="center" vertical="center"/>
    </xf>
    <xf borderId="0" fillId="0" fontId="14" numFmtId="0" xfId="0" applyFont="1"/>
    <xf borderId="6" fillId="0" fontId="14" numFmtId="0" xfId="0" applyAlignment="1" applyBorder="1" applyFont="1">
      <alignment horizontal="center" vertical="center"/>
    </xf>
    <xf borderId="11" fillId="0" fontId="16" numFmtId="0" xfId="0" applyAlignment="1" applyBorder="1" applyFont="1">
      <alignment horizontal="center" shrinkToFit="0" vertical="center" wrapText="1"/>
    </xf>
    <xf borderId="11" fillId="0" fontId="16" numFmtId="0" xfId="0" applyAlignment="1" applyBorder="1" applyFont="1">
      <alignment horizontal="left" shrinkToFit="0" vertical="center" wrapText="1"/>
    </xf>
    <xf borderId="12" fillId="0" fontId="16" numFmtId="0" xfId="0" applyAlignment="1" applyBorder="1" applyFont="1">
      <alignment horizontal="center" shrinkToFit="0" vertical="center" wrapText="1"/>
    </xf>
    <xf borderId="26" fillId="12" fontId="4" numFmtId="0" xfId="0" applyAlignment="1" applyBorder="1" applyFont="1">
      <alignment horizontal="center" shrinkToFit="0" vertical="center" wrapText="1"/>
    </xf>
    <xf quotePrefix="1" borderId="6" fillId="12" fontId="4" numFmtId="0" xfId="0" applyAlignment="1" applyBorder="1" applyFont="1">
      <alignment horizontal="center" shrinkToFit="0" vertical="center" wrapText="1"/>
    </xf>
    <xf borderId="9" fillId="13" fontId="4" numFmtId="0" xfId="0" applyAlignment="1" applyBorder="1" applyFont="1">
      <alignment horizontal="center" shrinkToFit="0" vertical="center" wrapText="1"/>
    </xf>
    <xf borderId="6" fillId="13" fontId="12" numFmtId="0" xfId="0" applyAlignment="1" applyBorder="1" applyFont="1">
      <alignment horizontal="center" shrinkToFit="0" vertical="center" wrapText="1"/>
    </xf>
    <xf borderId="6" fillId="13" fontId="12" numFmtId="0" xfId="0" applyAlignment="1" applyBorder="1" applyFont="1">
      <alignment horizontal="left" shrinkToFit="0" vertical="center" wrapText="1"/>
    </xf>
    <xf borderId="26" fillId="13" fontId="12" numFmtId="0" xfId="0" applyAlignment="1" applyBorder="1" applyFont="1">
      <alignment horizontal="center" shrinkToFit="0" vertical="center" wrapText="1"/>
    </xf>
    <xf borderId="7" fillId="13" fontId="2" numFmtId="0" xfId="0" applyAlignment="1" applyBorder="1" applyFont="1">
      <alignment horizontal="center" readingOrder="0" vertical="center"/>
    </xf>
    <xf borderId="40" fillId="0" fontId="10" numFmtId="0" xfId="0" applyBorder="1" applyFont="1"/>
    <xf borderId="41" fillId="0" fontId="10" numFmtId="0" xfId="0" applyBorder="1" applyFont="1"/>
    <xf borderId="10" fillId="9" fontId="9" numFmtId="0" xfId="0" applyAlignment="1" applyBorder="1" applyFont="1">
      <alignment horizontal="center" shrinkToFit="0" vertical="center" wrapText="1"/>
    </xf>
    <xf borderId="10" fillId="9" fontId="9" numFmtId="0" xfId="0" applyAlignment="1" applyBorder="1" applyFont="1">
      <alignment horizontal="center" vertical="center"/>
    </xf>
    <xf borderId="17" fillId="9" fontId="9" numFmtId="0" xfId="0" applyAlignment="1" applyBorder="1" applyFont="1">
      <alignment horizontal="center" vertical="center"/>
    </xf>
    <xf borderId="1" fillId="9" fontId="9" numFmtId="0" xfId="0" applyAlignment="1" applyBorder="1" applyFont="1">
      <alignment horizontal="center" shrinkToFit="0" vertical="center" wrapText="1"/>
    </xf>
  </cellXfs>
  <cellStyles count="1">
    <cellStyle xfId="0" name="Normal" builtinId="0"/>
  </cellStyles>
  <dxfs count="2">
    <dxf>
      <font/>
      <fill>
        <patternFill patternType="none"/>
      </fill>
      <border/>
    </dxf>
    <dxf>
      <font/>
      <fill>
        <patternFill patternType="solid">
          <fgColor rgb="FF00FFFF"/>
          <bgColor rgb="FF00FFF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xdr:colOff>
      <xdr:row>0</xdr:row>
      <xdr:rowOff>66675</xdr:rowOff>
    </xdr:from>
    <xdr:ext cx="704850" cy="809625"/>
    <xdr:pic>
      <xdr:nvPicPr>
        <xdr:cNvPr descr="C:\Users\ADRIE\Documents\01. DATA ISO\01. TAHUN 2013\00. BAHAN ISO &amp; DATA ISO LAMA\ISO 9001-2008.png" id="0" name="image1.png" title="Gamba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1</xdr:row>
      <xdr:rowOff>28575</xdr:rowOff>
    </xdr:from>
    <xdr:ext cx="809625" cy="5238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114300</xdr:rowOff>
    </xdr:from>
    <xdr:ext cx="485775" cy="4095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1</xdr:row>
      <xdr:rowOff>28575</xdr:rowOff>
    </xdr:from>
    <xdr:ext cx="809625" cy="5810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57150</xdr:colOff>
      <xdr:row>1</xdr:row>
      <xdr:rowOff>38100</xdr:rowOff>
    </xdr:from>
    <xdr:ext cx="742950" cy="5048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295275</xdr:colOff>
      <xdr:row>0</xdr:row>
      <xdr:rowOff>152400</xdr:rowOff>
    </xdr:from>
    <xdr:ext cx="723900" cy="390525"/>
    <xdr:pic>
      <xdr:nvPicPr>
        <xdr:cNvPr descr="C:\Users\ADRIE\Documents\01. DATA ISO\01. TAHUN 2013\00. BAHAN ISO &amp; DATA ISO LAMA\ISO 9001-2008.png"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xdr:colOff>
      <xdr:row>0</xdr:row>
      <xdr:rowOff>104775</xdr:rowOff>
    </xdr:from>
    <xdr:ext cx="619125" cy="333375"/>
    <xdr:pic>
      <xdr:nvPicPr>
        <xdr:cNvPr descr="C:\Users\ADRIE\Documents\01. DATA ISO\01. TAHUN 2013\00. BAHAN ISO &amp; DATA ISO LAMA\ISO 9001-2008.png"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419100</xdr:colOff>
      <xdr:row>0</xdr:row>
      <xdr:rowOff>152400</xdr:rowOff>
    </xdr:from>
    <xdr:ext cx="714375" cy="466725"/>
    <xdr:pic>
      <xdr:nvPicPr>
        <xdr:cNvPr descr="C:\Users\ADRIE\Documents\01. DATA ISO\01. TAHUN 2013\00. BAHAN ISO &amp; DATA ISO LAMA\ISO 9001-2008.png"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0</xdr:row>
      <xdr:rowOff>95250</xdr:rowOff>
    </xdr:from>
    <xdr:ext cx="676275" cy="476250"/>
    <xdr:pic>
      <xdr:nvPicPr>
        <xdr:cNvPr descr="C:\Users\ADRIE\Documents\01. DATA ISO\01. TAHUN 2013\00. BAHAN ISO &amp; DATA ISO LAMA\ISO 9001-2008.png"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209550</xdr:colOff>
      <xdr:row>0</xdr:row>
      <xdr:rowOff>66675</xdr:rowOff>
    </xdr:from>
    <xdr:ext cx="695325" cy="476250"/>
    <xdr:pic>
      <xdr:nvPicPr>
        <xdr:cNvPr descr="C:\Users\ADRIE\Documents\01. DATA ISO\01. TAHUN 2013\00. BAHAN ISO &amp; DATA ISO LAMA\ISO 9001-2008.png"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219075</xdr:colOff>
      <xdr:row>0</xdr:row>
      <xdr:rowOff>104775</xdr:rowOff>
    </xdr:from>
    <xdr:ext cx="762000" cy="533400"/>
    <xdr:pic>
      <xdr:nvPicPr>
        <xdr:cNvPr descr="C:\Users\ADRIE\Documents\01. DATA ISO\01. TAHUN 2013\00. BAHAN ISO &amp; DATA ISO LAMA\ISO 9001-2008.png"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0</xdr:row>
      <xdr:rowOff>190500</xdr:rowOff>
    </xdr:from>
    <xdr:ext cx="666750" cy="447675"/>
    <xdr:pic>
      <xdr:nvPicPr>
        <xdr:cNvPr descr="C:\Users\ADRIE\Documents\01. DATA ISO\01. TAHUN 2013\00. BAHAN ISO &amp; DATA ISO LAMA\ISO 9001-2008.png"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xdr:row>
      <xdr:rowOff>9525</xdr:rowOff>
    </xdr:from>
    <xdr:ext cx="638175" cy="762000"/>
    <xdr:pic>
      <xdr:nvPicPr>
        <xdr:cNvPr descr="C:\Users\ADRIE\Documents\01. DATA ISO\01. TAHUN 2013\00. BAHAN ISO &amp; DATA ISO LAMA\ISO 9001-2008.png"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0</xdr:row>
      <xdr:rowOff>180975</xdr:rowOff>
    </xdr:from>
    <xdr:ext cx="695325" cy="4857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123825</xdr:colOff>
      <xdr:row>0</xdr:row>
      <xdr:rowOff>161925</xdr:rowOff>
    </xdr:from>
    <xdr:ext cx="723900" cy="4857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152400</xdr:rowOff>
    </xdr:from>
    <xdr:ext cx="762000" cy="5429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62000" cy="5429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42950" cy="495300"/>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238125</xdr:colOff>
      <xdr:row>0</xdr:row>
      <xdr:rowOff>152400</xdr:rowOff>
    </xdr:from>
    <xdr:ext cx="685800" cy="4476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42950" cy="5429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14375" cy="514350"/>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114300</xdr:rowOff>
    </xdr:from>
    <xdr:ext cx="685800" cy="4095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52475" cy="48577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0</xdr:row>
      <xdr:rowOff>161925</xdr:rowOff>
    </xdr:from>
    <xdr:ext cx="742950" cy="523875"/>
    <xdr:pic>
      <xdr:nvPicPr>
        <xdr:cNvPr descr="C:\Users\ADRIE\Documents\01. DATA ISO\01. TAHUN 2013\00. BAHAN ISO &amp; DATA ISO LAMA\ISO 9001-2008.png"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xdr:colOff>
      <xdr:row>0</xdr:row>
      <xdr:rowOff>171450</xdr:rowOff>
    </xdr:from>
    <xdr:ext cx="695325" cy="466725"/>
    <xdr:pic>
      <xdr:nvPicPr>
        <xdr:cNvPr descr="C:\Users\ADRIE\Documents\01. DATA ISO\01. TAHUN 2013\00. BAHAN ISO &amp; DATA ISO LAMA\ISO 9001-2008.png"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0</xdr:row>
      <xdr:rowOff>180975</xdr:rowOff>
    </xdr:from>
    <xdr:ext cx="733425" cy="504825"/>
    <xdr:pic>
      <xdr:nvPicPr>
        <xdr:cNvPr descr="C:\Users\ADRIE\Documents\01. DATA ISO\01. TAHUN 2013\00. BAHAN ISO &amp; DATA ISO LAMA\ISO 9001-2008.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th/" TargetMode="External"/><Relationship Id="rId3" Type="http://schemas.openxmlformats.org/officeDocument/2006/relationships/hyperlink" Target="http://s.th/" TargetMode="External"/><Relationship Id="rId4" Type="http://schemas.openxmlformats.org/officeDocument/2006/relationships/hyperlink" Target="http://m.th/" TargetMode="External"/><Relationship Id="rId5" Type="http://schemas.openxmlformats.org/officeDocument/2006/relationships/hyperlink" Target="http://m.th/"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asraarulinjil.c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7.29"/>
    <col customWidth="1" min="2" max="2" width="19.29"/>
    <col customWidth="1" min="3" max="3" width="13.86"/>
    <col customWidth="1" min="4" max="4" width="48.0"/>
    <col customWidth="1" min="5" max="5" width="12.57"/>
    <col customWidth="1" min="6" max="6" width="7.86"/>
    <col customWidth="1" min="7" max="7" width="9.14"/>
    <col customWidth="1" hidden="1" min="8" max="8" width="10.0"/>
    <col customWidth="1" min="9" max="9" width="10.43"/>
    <col customWidth="1" min="10" max="10" width="9.43"/>
    <col customWidth="1" hidden="1" min="11" max="11" width="9.29"/>
    <col customWidth="1" min="12" max="12" width="22.71"/>
    <col customWidth="1" min="13" max="13" width="12.57"/>
    <col customWidth="1" min="14" max="14" width="8.71"/>
    <col customWidth="1" min="15" max="15" width="12.57"/>
    <col customWidth="1" min="16" max="16" width="8.86"/>
    <col customWidth="1" min="17" max="17" width="9.29"/>
    <col customWidth="1" min="18" max="19" width="8.71"/>
    <col customWidth="1" min="20" max="20" width="17.71"/>
    <col customWidth="1" min="21" max="38" width="8.71"/>
  </cols>
  <sheetData>
    <row r="1" ht="15.75" customHeight="1">
      <c r="A1" s="1" t="s">
        <v>0</v>
      </c>
      <c r="Q1" s="2"/>
      <c r="S1" s="3"/>
      <c r="T1" s="3"/>
      <c r="U1" s="3"/>
      <c r="V1" s="3"/>
      <c r="W1" s="3"/>
      <c r="X1" s="3"/>
      <c r="Y1" s="3"/>
      <c r="Z1" s="3"/>
      <c r="AA1" s="3"/>
      <c r="AB1" s="3"/>
      <c r="AC1" s="3"/>
      <c r="AD1" s="3"/>
      <c r="AE1" s="3"/>
      <c r="AF1" s="3"/>
      <c r="AG1" s="3"/>
      <c r="AH1" s="3"/>
      <c r="AI1" s="3"/>
      <c r="AJ1" s="3"/>
      <c r="AK1" s="3"/>
      <c r="AL1" s="3"/>
    </row>
    <row r="2" ht="45.0" customHeight="1">
      <c r="A2" s="4"/>
      <c r="B2" s="5" t="s">
        <v>1</v>
      </c>
      <c r="C2" s="6"/>
      <c r="D2" s="6"/>
      <c r="E2" s="6"/>
      <c r="F2" s="6"/>
      <c r="G2" s="6"/>
      <c r="H2" s="6"/>
      <c r="I2" s="6"/>
      <c r="J2" s="6"/>
      <c r="K2" s="6"/>
      <c r="L2" s="6"/>
      <c r="M2" s="6"/>
      <c r="N2" s="6"/>
      <c r="O2" s="6"/>
      <c r="P2" s="7"/>
      <c r="Q2" s="2"/>
      <c r="S2" s="3"/>
      <c r="T2" s="8" t="s">
        <v>2</v>
      </c>
      <c r="U2" s="3">
        <f>U5+W5+V5+X5+Y5+Z5+AA5+AB5+AC5+AD5+AE5</f>
        <v>3533</v>
      </c>
      <c r="V2" s="3"/>
      <c r="W2" s="3"/>
      <c r="X2" s="3"/>
      <c r="Y2" s="3"/>
      <c r="Z2" s="3"/>
      <c r="AA2" s="3"/>
      <c r="AB2" s="3"/>
      <c r="AC2" s="3"/>
      <c r="AD2" s="3"/>
      <c r="AE2" s="3"/>
      <c r="AF2" s="3"/>
      <c r="AG2" s="3"/>
      <c r="AH2" s="3"/>
      <c r="AI2" s="3"/>
      <c r="AJ2" s="3"/>
      <c r="AK2" s="3"/>
      <c r="AL2" s="3"/>
    </row>
    <row r="3" ht="13.5" customHeight="1">
      <c r="A3" s="4"/>
      <c r="B3" s="9"/>
      <c r="C3" s="9"/>
      <c r="D3" s="10"/>
      <c r="E3" s="11" t="s">
        <v>0</v>
      </c>
      <c r="F3" s="11" t="s">
        <v>0</v>
      </c>
      <c r="G3" s="9"/>
      <c r="H3" s="9"/>
      <c r="I3" s="11" t="s">
        <v>0</v>
      </c>
      <c r="J3" s="12"/>
      <c r="L3" s="13"/>
      <c r="M3" s="14" t="s">
        <v>3</v>
      </c>
      <c r="N3" s="15" t="s">
        <v>4</v>
      </c>
      <c r="O3" s="16"/>
      <c r="P3" s="17"/>
      <c r="Q3" s="2"/>
      <c r="S3" s="3"/>
      <c r="T3" s="3"/>
      <c r="U3" s="3"/>
      <c r="V3" s="3"/>
      <c r="W3" s="3"/>
      <c r="X3" s="3"/>
      <c r="Y3" s="3"/>
      <c r="Z3" s="3"/>
      <c r="AA3" s="3"/>
      <c r="AB3" s="3"/>
      <c r="AC3" s="3"/>
      <c r="AD3" s="3"/>
      <c r="AE3" s="3"/>
      <c r="AF3" s="3"/>
      <c r="AG3" s="3"/>
      <c r="AH3" s="3"/>
      <c r="AI3" s="3"/>
      <c r="AJ3" s="3"/>
      <c r="AK3" s="3"/>
      <c r="AL3" s="3"/>
    </row>
    <row r="4" ht="18.75" customHeight="1">
      <c r="A4" s="4"/>
      <c r="B4" s="9"/>
      <c r="C4" s="9"/>
      <c r="D4" s="10"/>
      <c r="E4" s="9"/>
      <c r="F4" s="9"/>
      <c r="G4" s="11" t="s">
        <v>5</v>
      </c>
      <c r="H4" s="9"/>
      <c r="I4" s="11" t="s">
        <v>6</v>
      </c>
      <c r="J4" s="12"/>
      <c r="K4" s="12"/>
      <c r="L4" s="12"/>
      <c r="M4" s="18"/>
      <c r="N4" s="18"/>
      <c r="O4" s="14" t="s">
        <v>7</v>
      </c>
      <c r="P4" s="18"/>
      <c r="Q4" s="2"/>
      <c r="S4" s="3"/>
      <c r="T4" s="3"/>
      <c r="U4" s="3"/>
      <c r="V4" s="3"/>
      <c r="W4" s="3"/>
      <c r="X4" s="3"/>
      <c r="Y4" s="3"/>
      <c r="Z4" s="3"/>
      <c r="AA4" s="3"/>
      <c r="AB4" s="3"/>
      <c r="AC4" s="3"/>
      <c r="AD4" s="3"/>
      <c r="AE4" s="3"/>
      <c r="AF4" s="3"/>
      <c r="AG4" s="3"/>
      <c r="AH4" s="3"/>
      <c r="AI4" s="3"/>
      <c r="AJ4" s="3"/>
      <c r="AK4" s="3"/>
      <c r="AL4" s="3"/>
    </row>
    <row r="5" ht="24.0" customHeight="1">
      <c r="A5" s="19" t="s">
        <v>8</v>
      </c>
      <c r="B5" s="20" t="s">
        <v>9</v>
      </c>
      <c r="C5" s="20" t="s">
        <v>10</v>
      </c>
      <c r="D5" s="20" t="s">
        <v>11</v>
      </c>
      <c r="E5" s="20" t="s">
        <v>12</v>
      </c>
      <c r="F5" s="20" t="s">
        <v>13</v>
      </c>
      <c r="G5" s="21" t="s">
        <v>14</v>
      </c>
      <c r="H5" s="22"/>
      <c r="I5" s="20" t="s">
        <v>15</v>
      </c>
      <c r="J5" s="20" t="s">
        <v>16</v>
      </c>
      <c r="K5" s="23" t="s">
        <v>17</v>
      </c>
      <c r="L5" s="17"/>
      <c r="M5" s="20" t="s">
        <v>18</v>
      </c>
      <c r="N5" s="20" t="s">
        <v>19</v>
      </c>
      <c r="O5" s="20" t="s">
        <v>20</v>
      </c>
      <c r="P5" s="24" t="s">
        <v>21</v>
      </c>
      <c r="Q5" s="25" t="s">
        <v>22</v>
      </c>
      <c r="R5" s="26" t="s">
        <v>23</v>
      </c>
      <c r="S5" s="3"/>
      <c r="T5" s="8" t="s">
        <v>24</v>
      </c>
      <c r="U5" s="3">
        <f>Q6+Q7+Q8+Q13+Q22+Q25+Q40+Q41+Q65+Q98+Q106+Q118+Q132+Q133+Q136+Q139+Q145+Q146+Q149+Q150+Q155+Q158+Q159+Q188+Q204+Q228+Q269+Q283+Q284+Q285+Q286+Q287+Q289+Q293+Q308+Q312+Q313+Q314+Q315+Q316+Q317+Q318+Q319+Q320+Q321+Q324+Q325+Q326+Q327+Q329+Q330+Q399+Q401+Q402+Q403+Q404+Q405+Q406+Q408+Q409+Q410+Q411+Q412+Q413+Q415+Q416+Q417+Q418+Q419+Q420+Q421+Q422+Q423+Q424+Q425+Q426+Q427+Q429+Q430+Q431+Q432+Q433+Q434+Q435+Q437+Q438+Q439+Q440+Q441+Q442+Q443+Q444+Q446+Q447+Q448+Q449+Q450+Q453+Q454+Q455+Q456+Q457+Q458+Q459+Q460+Q463+Q464+Q465+Q466+Q467+Q468+Q469+Q470+Q471+Q474+Q475+Q476+Q477+Q478+Q479+Q480+Q481+Q483+Q484+Q488+Q494+Q495+Q496+Q498+Q499+Q500+Q502+Q503+Q504+Q505+Q506+Q507+Q510+Q511+Q513+Q514+Q515+Q518+Q519+Q520+Q522+Q523+Q524+Q525+Q528+Q529+Q530+Q531+Q532+Q533+Q536+Q537+Q540+Q541+Q542+Q543+Q544+Q546+Q547+Q548+Q549+Q550+Q551+Q552+Q553+Q554+Q555+Q556+Q557+Q558+Q559+Q560+Q561+Q562+Q565+Q567+Q568+Q570+Q571+Q572+Q573+Q575+Q577+Q578+Q579+Q580+Q581+Q582+Q583+Q584+Q585+Q586+Q587+Q588+Q589+Q591+Q592+Q595+Q596+Q598+Q599+Q600+Q601+Q602+Q603+Q605+Q608+Q609+Q610+Q611+Q612+Q613+Q614+Q616+Q618+Q619+Q620+Q621+Q622+Q625+Q626+Q627+Q628+Q632+Q633+Q634+Q638+Q639+Q641+Q642+Q644+Q646+Q647+Q648+Q653+Q654+Q655+Q656+Q657+Q658+Q659+Q660+Q662+Q663+Q664+Q666+Q667+Q668+Q669+Q671+Q672+Q676+Q677+Q678+Q681+Q683+Q684+Q686+Q687+Q688+Q694+Q697+Q698+Q701+Q704+Q4005+Q4006+Q4007+Q4008+Q4035</f>
        <v>311</v>
      </c>
      <c r="V5" s="3">
        <f>sum(Q295:Q306)</f>
        <v>19</v>
      </c>
      <c r="W5" s="3">
        <f>sum(Q332:Q397)</f>
        <v>80</v>
      </c>
      <c r="X5" s="3">
        <f>sum(Q705:Q2022)</f>
        <v>1568</v>
      </c>
      <c r="Y5" s="3">
        <f>sum(Q2024:Q2726)</f>
        <v>791</v>
      </c>
      <c r="Z5" s="3">
        <f>sum(Q2729:Q3081)</f>
        <v>429</v>
      </c>
      <c r="AA5" s="3">
        <f>sum(Q3083:Q3545)</f>
        <v>295</v>
      </c>
      <c r="AB5" s="3">
        <f>sum(Q3547:Q3837)</f>
        <v>30</v>
      </c>
      <c r="AC5" s="3">
        <f>sum(Q3839:Q4003)</f>
        <v>0</v>
      </c>
      <c r="AD5" s="3">
        <f>sum(Q4010:Q4027)</f>
        <v>0</v>
      </c>
      <c r="AE5" s="3">
        <f>sum(Q4037:Q4225)</f>
        <v>10</v>
      </c>
      <c r="AF5" s="3"/>
      <c r="AG5" s="3"/>
      <c r="AH5" s="3"/>
      <c r="AI5" s="3"/>
      <c r="AJ5" s="3"/>
      <c r="AK5" s="3"/>
      <c r="AL5" s="3"/>
    </row>
    <row r="6" ht="36.0" customHeight="1">
      <c r="A6" s="27">
        <v>1.0</v>
      </c>
      <c r="B6" s="28" t="s">
        <v>25</v>
      </c>
      <c r="C6" s="29" t="s">
        <v>26</v>
      </c>
      <c r="D6" s="30" t="s">
        <v>27</v>
      </c>
      <c r="E6" s="28" t="s">
        <v>28</v>
      </c>
      <c r="F6" s="28" t="s">
        <v>29</v>
      </c>
      <c r="G6" s="28" t="s">
        <v>30</v>
      </c>
      <c r="H6" s="28" t="s">
        <v>31</v>
      </c>
      <c r="I6" s="28" t="s">
        <v>30</v>
      </c>
      <c r="J6" s="28">
        <v>345.0</v>
      </c>
      <c r="K6" s="28"/>
      <c r="L6" s="31" t="s">
        <v>32</v>
      </c>
      <c r="M6" s="28" t="s">
        <v>33</v>
      </c>
      <c r="N6" s="28">
        <v>2006.0</v>
      </c>
      <c r="O6" s="31">
        <v>6.0</v>
      </c>
      <c r="P6" s="28">
        <v>2.0</v>
      </c>
      <c r="Q6" s="32">
        <v>2.0</v>
      </c>
      <c r="R6" s="33"/>
      <c r="S6" s="34"/>
      <c r="T6" s="34"/>
      <c r="U6" s="34"/>
      <c r="V6" s="34"/>
      <c r="W6" s="34"/>
      <c r="X6" s="34"/>
      <c r="Y6" s="3"/>
      <c r="Z6" s="3"/>
      <c r="AA6" s="3"/>
      <c r="AB6" s="3"/>
      <c r="AC6" s="3"/>
      <c r="AD6" s="3"/>
      <c r="AE6" s="3"/>
      <c r="AF6" s="3"/>
      <c r="AG6" s="3"/>
      <c r="AH6" s="3"/>
      <c r="AI6" s="3"/>
      <c r="AJ6" s="3"/>
      <c r="AK6" s="3"/>
      <c r="AL6" s="3"/>
    </row>
    <row r="7" ht="24.0" customHeight="1">
      <c r="A7" s="27">
        <f t="shared" ref="A7:A9" si="1">A6+1</f>
        <v>2</v>
      </c>
      <c r="B7" s="28" t="s">
        <v>34</v>
      </c>
      <c r="C7" s="29" t="s">
        <v>35</v>
      </c>
      <c r="D7" s="35" t="s">
        <v>36</v>
      </c>
      <c r="E7" s="28"/>
      <c r="F7" s="31" t="s">
        <v>29</v>
      </c>
      <c r="G7" s="31" t="s">
        <v>37</v>
      </c>
      <c r="H7" s="28"/>
      <c r="I7" s="31" t="s">
        <v>38</v>
      </c>
      <c r="J7" s="28">
        <v>317.0</v>
      </c>
      <c r="K7" s="28"/>
      <c r="L7" s="28" t="s">
        <v>39</v>
      </c>
      <c r="M7" s="28" t="s">
        <v>40</v>
      </c>
      <c r="N7" s="28">
        <v>1979.0</v>
      </c>
      <c r="O7" s="31">
        <v>3.0</v>
      </c>
      <c r="P7" s="28">
        <v>1.0</v>
      </c>
      <c r="Q7" s="32">
        <v>1.0</v>
      </c>
      <c r="R7" s="33"/>
      <c r="S7" s="34"/>
      <c r="T7" s="34"/>
      <c r="U7" s="34"/>
      <c r="V7" s="34"/>
      <c r="W7" s="34"/>
      <c r="X7" s="34"/>
      <c r="Y7" s="36"/>
      <c r="Z7" s="36"/>
      <c r="AA7" s="36"/>
      <c r="AB7" s="36"/>
      <c r="AC7" s="36"/>
      <c r="AD7" s="36"/>
      <c r="AE7" s="36"/>
      <c r="AF7" s="36"/>
      <c r="AG7" s="36"/>
      <c r="AH7" s="36"/>
      <c r="AI7" s="36"/>
      <c r="AJ7" s="36"/>
      <c r="AK7" s="36"/>
      <c r="AL7" s="36"/>
    </row>
    <row r="8" ht="24.0" customHeight="1">
      <c r="A8" s="27">
        <f t="shared" si="1"/>
        <v>3</v>
      </c>
      <c r="B8" s="31" t="s">
        <v>41</v>
      </c>
      <c r="C8" s="29" t="s">
        <v>35</v>
      </c>
      <c r="D8" s="35" t="s">
        <v>42</v>
      </c>
      <c r="E8" s="28"/>
      <c r="F8" s="31" t="s">
        <v>29</v>
      </c>
      <c r="G8" s="31" t="s">
        <v>37</v>
      </c>
      <c r="H8" s="28"/>
      <c r="I8" s="31" t="s">
        <v>38</v>
      </c>
      <c r="J8" s="31">
        <v>232.0</v>
      </c>
      <c r="K8" s="28"/>
      <c r="L8" s="28" t="s">
        <v>39</v>
      </c>
      <c r="M8" s="28" t="s">
        <v>43</v>
      </c>
      <c r="N8" s="31">
        <v>1985.0</v>
      </c>
      <c r="O8" s="31">
        <v>3.0</v>
      </c>
      <c r="P8" s="31">
        <v>1.0</v>
      </c>
      <c r="Q8" s="37">
        <v>1.0</v>
      </c>
      <c r="R8" s="33"/>
      <c r="S8" s="38"/>
      <c r="T8" s="38"/>
      <c r="U8" s="38"/>
      <c r="V8" s="38"/>
      <c r="W8" s="38"/>
      <c r="X8" s="38"/>
      <c r="Y8" s="36"/>
      <c r="Z8" s="36"/>
      <c r="AA8" s="36"/>
      <c r="AB8" s="36"/>
      <c r="AC8" s="36"/>
      <c r="AD8" s="36"/>
      <c r="AE8" s="36"/>
      <c r="AF8" s="36"/>
      <c r="AG8" s="36"/>
      <c r="AH8" s="36"/>
      <c r="AI8" s="36"/>
      <c r="AJ8" s="36"/>
      <c r="AK8" s="36"/>
      <c r="AL8" s="36"/>
    </row>
    <row r="9">
      <c r="A9" s="27">
        <f t="shared" si="1"/>
        <v>4</v>
      </c>
      <c r="B9" s="31" t="s">
        <v>44</v>
      </c>
      <c r="C9" s="29" t="s">
        <v>45</v>
      </c>
      <c r="D9" s="39" t="s">
        <v>46</v>
      </c>
      <c r="E9" s="28" t="s">
        <v>28</v>
      </c>
      <c r="F9" s="28" t="s">
        <v>47</v>
      </c>
      <c r="G9" s="28" t="s">
        <v>37</v>
      </c>
      <c r="H9" s="28"/>
      <c r="I9" s="28" t="s">
        <v>38</v>
      </c>
      <c r="J9" s="28">
        <f>715</f>
        <v>715</v>
      </c>
      <c r="K9" s="28"/>
      <c r="L9" s="31" t="s">
        <v>48</v>
      </c>
      <c r="M9" s="28" t="s">
        <v>49</v>
      </c>
      <c r="N9" s="28">
        <v>1991.0</v>
      </c>
      <c r="O9" s="31">
        <v>7.0</v>
      </c>
      <c r="P9" s="28">
        <v>2.0</v>
      </c>
      <c r="Q9" s="37">
        <v>2.0</v>
      </c>
      <c r="R9" s="33"/>
      <c r="S9" s="40"/>
      <c r="T9" s="40"/>
      <c r="U9" s="40"/>
      <c r="V9" s="40"/>
      <c r="W9" s="40"/>
      <c r="X9" s="40"/>
      <c r="Y9" s="41"/>
      <c r="Z9" s="41"/>
      <c r="AA9" s="41"/>
      <c r="AB9" s="41"/>
      <c r="AC9" s="41"/>
      <c r="AD9" s="41"/>
      <c r="AE9" s="41"/>
      <c r="AF9" s="41"/>
      <c r="AG9" s="41"/>
      <c r="AH9" s="41"/>
      <c r="AI9" s="41"/>
      <c r="AJ9" s="41"/>
      <c r="AK9" s="41"/>
      <c r="AL9" s="41"/>
    </row>
    <row r="10">
      <c r="A10" s="27"/>
      <c r="B10" s="31" t="s">
        <v>50</v>
      </c>
      <c r="C10" s="29" t="s">
        <v>51</v>
      </c>
      <c r="D10" s="39" t="s">
        <v>52</v>
      </c>
      <c r="E10" s="28"/>
      <c r="F10" s="31" t="s">
        <v>29</v>
      </c>
      <c r="G10" s="31" t="s">
        <v>38</v>
      </c>
      <c r="H10" s="28"/>
      <c r="I10" s="31" t="s">
        <v>38</v>
      </c>
      <c r="J10" s="31">
        <v>69.0</v>
      </c>
      <c r="K10" s="28"/>
      <c r="L10" s="31" t="s">
        <v>53</v>
      </c>
      <c r="M10" s="31" t="s">
        <v>54</v>
      </c>
      <c r="N10" s="31">
        <v>2003.0</v>
      </c>
      <c r="O10" s="31">
        <v>13.0</v>
      </c>
      <c r="P10" s="31">
        <v>2.0</v>
      </c>
      <c r="Q10" s="37">
        <v>2.0</v>
      </c>
      <c r="R10" s="33"/>
      <c r="S10" s="40"/>
      <c r="T10" s="40"/>
      <c r="U10" s="40"/>
      <c r="V10" s="40"/>
      <c r="W10" s="40"/>
      <c r="X10" s="40"/>
      <c r="Y10" s="41"/>
      <c r="Z10" s="41"/>
      <c r="AA10" s="41"/>
      <c r="AB10" s="41"/>
      <c r="AC10" s="41"/>
      <c r="AD10" s="41"/>
      <c r="AE10" s="41"/>
      <c r="AF10" s="41"/>
      <c r="AG10" s="41"/>
      <c r="AH10" s="41"/>
      <c r="AI10" s="41"/>
      <c r="AJ10" s="41"/>
      <c r="AK10" s="41"/>
      <c r="AL10" s="41"/>
    </row>
    <row r="11">
      <c r="A11" s="27">
        <f t="shared" ref="A11:A261" si="2">A10+1</f>
        <v>1</v>
      </c>
      <c r="B11" s="28" t="s">
        <v>55</v>
      </c>
      <c r="C11" s="29" t="s">
        <v>56</v>
      </c>
      <c r="D11" s="42" t="s">
        <v>57</v>
      </c>
      <c r="E11" s="28"/>
      <c r="F11" s="28" t="s">
        <v>29</v>
      </c>
      <c r="G11" s="28" t="s">
        <v>58</v>
      </c>
      <c r="H11" s="28"/>
      <c r="I11" s="28" t="s">
        <v>38</v>
      </c>
      <c r="J11" s="28">
        <v>482.0</v>
      </c>
      <c r="K11" s="28"/>
      <c r="L11" s="31" t="s">
        <v>59</v>
      </c>
      <c r="M11" s="28" t="s">
        <v>60</v>
      </c>
      <c r="N11" s="28">
        <v>2003.0</v>
      </c>
      <c r="O11" s="31">
        <v>3.0</v>
      </c>
      <c r="P11" s="28">
        <v>1.0</v>
      </c>
      <c r="Q11" s="37">
        <v>1.0</v>
      </c>
      <c r="R11" s="33"/>
      <c r="S11" s="40"/>
      <c r="T11" s="40"/>
      <c r="U11" s="40"/>
      <c r="V11" s="40"/>
      <c r="W11" s="40"/>
      <c r="X11" s="40"/>
      <c r="Y11" s="41"/>
      <c r="Z11" s="41"/>
      <c r="AA11" s="41"/>
      <c r="AB11" s="41"/>
      <c r="AC11" s="41"/>
      <c r="AD11" s="41"/>
      <c r="AE11" s="41"/>
      <c r="AF11" s="41"/>
      <c r="AG11" s="41"/>
      <c r="AH11" s="41"/>
      <c r="AI11" s="41"/>
      <c r="AJ11" s="41"/>
      <c r="AK11" s="41"/>
      <c r="AL11" s="41"/>
    </row>
    <row r="12">
      <c r="A12" s="27">
        <f t="shared" si="2"/>
        <v>2</v>
      </c>
      <c r="B12" s="28" t="s">
        <v>61</v>
      </c>
      <c r="C12" s="29" t="s">
        <v>62</v>
      </c>
      <c r="D12" s="30" t="s">
        <v>63</v>
      </c>
      <c r="E12" s="28"/>
      <c r="F12" s="28" t="s">
        <v>29</v>
      </c>
      <c r="G12" s="28" t="s">
        <v>38</v>
      </c>
      <c r="H12" s="28"/>
      <c r="I12" s="28" t="s">
        <v>38</v>
      </c>
      <c r="J12" s="28">
        <v>373.0</v>
      </c>
      <c r="K12" s="28"/>
      <c r="L12" s="28" t="s">
        <v>64</v>
      </c>
      <c r="M12" s="28" t="s">
        <v>65</v>
      </c>
      <c r="N12" s="28">
        <v>1994.0</v>
      </c>
      <c r="O12" s="31">
        <v>5.0</v>
      </c>
      <c r="P12" s="28">
        <v>1.0</v>
      </c>
      <c r="Q12" s="37">
        <v>1.0</v>
      </c>
      <c r="R12" s="33"/>
      <c r="S12" s="34"/>
      <c r="T12" s="34"/>
      <c r="U12" s="34"/>
      <c r="V12" s="34"/>
      <c r="W12" s="34"/>
      <c r="X12" s="34"/>
      <c r="Y12" s="41"/>
      <c r="Z12" s="41"/>
      <c r="AA12" s="41"/>
      <c r="AB12" s="41"/>
      <c r="AC12" s="41"/>
      <c r="AD12" s="41"/>
      <c r="AE12" s="41"/>
      <c r="AF12" s="41"/>
      <c r="AG12" s="41"/>
      <c r="AH12" s="41"/>
      <c r="AI12" s="41"/>
      <c r="AJ12" s="41"/>
      <c r="AK12" s="41"/>
      <c r="AL12" s="41"/>
    </row>
    <row r="13">
      <c r="A13" s="27">
        <f t="shared" si="2"/>
        <v>3</v>
      </c>
      <c r="B13" s="28" t="s">
        <v>66</v>
      </c>
      <c r="C13" s="29" t="s">
        <v>62</v>
      </c>
      <c r="D13" s="30" t="s">
        <v>67</v>
      </c>
      <c r="E13" s="28"/>
      <c r="F13" s="28" t="s">
        <v>29</v>
      </c>
      <c r="G13" s="28" t="s">
        <v>38</v>
      </c>
      <c r="H13" s="28"/>
      <c r="I13" s="28" t="s">
        <v>38</v>
      </c>
      <c r="J13" s="28">
        <v>367.0</v>
      </c>
      <c r="K13" s="28"/>
      <c r="L13" s="28" t="s">
        <v>64</v>
      </c>
      <c r="M13" s="28" t="s">
        <v>65</v>
      </c>
      <c r="N13" s="28">
        <v>1994.0</v>
      </c>
      <c r="O13" s="31">
        <v>5.0</v>
      </c>
      <c r="P13" s="28">
        <v>2.0</v>
      </c>
      <c r="Q13" s="37">
        <v>1.0</v>
      </c>
      <c r="R13" s="33"/>
      <c r="S13" s="34"/>
      <c r="T13" s="34"/>
      <c r="U13" s="34"/>
      <c r="V13" s="34"/>
      <c r="W13" s="34"/>
      <c r="X13" s="34"/>
      <c r="Y13" s="41"/>
      <c r="Z13" s="41"/>
      <c r="AA13" s="41"/>
      <c r="AB13" s="41"/>
      <c r="AC13" s="41"/>
      <c r="AD13" s="41"/>
      <c r="AE13" s="41"/>
      <c r="AF13" s="41"/>
      <c r="AG13" s="41"/>
      <c r="AH13" s="41"/>
      <c r="AI13" s="41"/>
      <c r="AJ13" s="41"/>
      <c r="AK13" s="41"/>
      <c r="AL13" s="41"/>
    </row>
    <row r="14">
      <c r="A14" s="27">
        <f t="shared" si="2"/>
        <v>4</v>
      </c>
      <c r="B14" s="28" t="s">
        <v>68</v>
      </c>
      <c r="C14" s="43" t="s">
        <v>69</v>
      </c>
      <c r="D14" s="30" t="s">
        <v>70</v>
      </c>
      <c r="E14" s="28" t="s">
        <v>31</v>
      </c>
      <c r="F14" s="28" t="s">
        <v>29</v>
      </c>
      <c r="G14" s="28" t="s">
        <v>37</v>
      </c>
      <c r="H14" s="28"/>
      <c r="I14" s="28" t="s">
        <v>38</v>
      </c>
      <c r="J14" s="28">
        <v>234.0</v>
      </c>
      <c r="K14" s="28"/>
      <c r="L14" s="28" t="s">
        <v>71</v>
      </c>
      <c r="M14" s="28" t="s">
        <v>72</v>
      </c>
      <c r="N14" s="28">
        <v>2004.0</v>
      </c>
      <c r="O14" s="31">
        <v>16.0</v>
      </c>
      <c r="P14" s="28">
        <v>1.0</v>
      </c>
      <c r="Q14" s="37">
        <v>1.0</v>
      </c>
      <c r="R14" s="33"/>
      <c r="S14" s="34"/>
      <c r="T14" s="34"/>
      <c r="U14" s="34"/>
      <c r="V14" s="34"/>
      <c r="W14" s="34"/>
      <c r="X14" s="34"/>
      <c r="Y14" s="41"/>
      <c r="Z14" s="41"/>
      <c r="AA14" s="41"/>
      <c r="AB14" s="41"/>
      <c r="AC14" s="41"/>
      <c r="AD14" s="41"/>
      <c r="AE14" s="41"/>
      <c r="AF14" s="41"/>
      <c r="AG14" s="41"/>
      <c r="AH14" s="41"/>
      <c r="AI14" s="41"/>
      <c r="AJ14" s="41"/>
      <c r="AK14" s="41"/>
      <c r="AL14" s="41"/>
    </row>
    <row r="15">
      <c r="A15" s="27">
        <f t="shared" si="2"/>
        <v>5</v>
      </c>
      <c r="B15" s="28" t="s">
        <v>73</v>
      </c>
      <c r="C15" s="29" t="s">
        <v>74</v>
      </c>
      <c r="D15" s="30" t="s">
        <v>75</v>
      </c>
      <c r="E15" s="28" t="s">
        <v>31</v>
      </c>
      <c r="F15" s="28" t="s">
        <v>29</v>
      </c>
      <c r="G15" s="28" t="s">
        <v>37</v>
      </c>
      <c r="H15" s="28"/>
      <c r="I15" s="28" t="s">
        <v>38</v>
      </c>
      <c r="J15" s="28">
        <v>615.0</v>
      </c>
      <c r="K15" s="28"/>
      <c r="L15" s="28" t="s">
        <v>76</v>
      </c>
      <c r="M15" s="28" t="s">
        <v>77</v>
      </c>
      <c r="N15" s="28">
        <v>2005.0</v>
      </c>
      <c r="O15" s="31">
        <v>3.0</v>
      </c>
      <c r="P15" s="28">
        <v>1.0</v>
      </c>
      <c r="Q15" s="37">
        <v>1.0</v>
      </c>
      <c r="R15" s="33"/>
      <c r="S15" s="40"/>
      <c r="T15" s="40"/>
      <c r="U15" s="40"/>
      <c r="V15" s="40"/>
      <c r="W15" s="40"/>
      <c r="X15" s="40"/>
      <c r="Y15" s="41"/>
      <c r="Z15" s="41"/>
      <c r="AA15" s="41"/>
      <c r="AB15" s="41"/>
      <c r="AC15" s="41"/>
      <c r="AD15" s="41"/>
      <c r="AE15" s="41"/>
      <c r="AF15" s="41"/>
      <c r="AG15" s="41"/>
      <c r="AH15" s="41"/>
      <c r="AI15" s="41"/>
      <c r="AJ15" s="41"/>
      <c r="AK15" s="41"/>
      <c r="AL15" s="41"/>
    </row>
    <row r="16">
      <c r="A16" s="27">
        <f t="shared" si="2"/>
        <v>6</v>
      </c>
      <c r="B16" s="28" t="s">
        <v>78</v>
      </c>
      <c r="C16" s="43" t="s">
        <v>79</v>
      </c>
      <c r="D16" s="39" t="s">
        <v>80</v>
      </c>
      <c r="E16" s="28" t="s">
        <v>31</v>
      </c>
      <c r="F16" s="28" t="s">
        <v>29</v>
      </c>
      <c r="G16" s="28" t="s">
        <v>81</v>
      </c>
      <c r="H16" s="28"/>
      <c r="I16" s="28" t="s">
        <v>38</v>
      </c>
      <c r="J16" s="31">
        <v>200.0</v>
      </c>
      <c r="K16" s="28"/>
      <c r="L16" s="28" t="s">
        <v>82</v>
      </c>
      <c r="M16" s="28" t="s">
        <v>83</v>
      </c>
      <c r="N16" s="28">
        <v>1985.0</v>
      </c>
      <c r="O16" s="31">
        <v>16.0</v>
      </c>
      <c r="P16" s="28">
        <v>1.0</v>
      </c>
      <c r="Q16" s="37">
        <v>1.0</v>
      </c>
      <c r="R16" s="33"/>
      <c r="S16" s="40"/>
      <c r="T16" s="40"/>
      <c r="U16" s="40"/>
      <c r="V16" s="40"/>
      <c r="W16" s="40"/>
      <c r="X16" s="40"/>
      <c r="Y16" s="41"/>
      <c r="Z16" s="41"/>
      <c r="AA16" s="41"/>
      <c r="AB16" s="41"/>
      <c r="AC16" s="41"/>
      <c r="AD16" s="41"/>
      <c r="AE16" s="41"/>
      <c r="AF16" s="41"/>
      <c r="AG16" s="41"/>
      <c r="AH16" s="41"/>
      <c r="AI16" s="41"/>
      <c r="AJ16" s="41"/>
      <c r="AK16" s="41"/>
      <c r="AL16" s="41"/>
    </row>
    <row r="17">
      <c r="A17" s="27">
        <f t="shared" si="2"/>
        <v>7</v>
      </c>
      <c r="B17" s="28" t="s">
        <v>84</v>
      </c>
      <c r="C17" s="29" t="s">
        <v>85</v>
      </c>
      <c r="D17" s="30" t="s">
        <v>86</v>
      </c>
      <c r="E17" s="28" t="s">
        <v>31</v>
      </c>
      <c r="F17" s="28" t="s">
        <v>29</v>
      </c>
      <c r="G17" s="28" t="s">
        <v>30</v>
      </c>
      <c r="H17" s="28"/>
      <c r="I17" s="28" t="s">
        <v>30</v>
      </c>
      <c r="J17" s="28">
        <v>96.0</v>
      </c>
      <c r="K17" s="28"/>
      <c r="L17" s="28" t="s">
        <v>87</v>
      </c>
      <c r="M17" s="28" t="s">
        <v>88</v>
      </c>
      <c r="N17" s="28">
        <v>2005.0</v>
      </c>
      <c r="O17" s="31" t="s">
        <v>89</v>
      </c>
      <c r="P17" s="28">
        <v>1.0</v>
      </c>
      <c r="Q17" s="37">
        <v>1.0</v>
      </c>
      <c r="R17" s="33"/>
      <c r="S17" s="40"/>
      <c r="T17" s="40"/>
      <c r="U17" s="40"/>
      <c r="V17" s="40"/>
      <c r="W17" s="40"/>
      <c r="X17" s="40"/>
      <c r="Y17" s="41"/>
      <c r="Z17" s="41"/>
      <c r="AA17" s="41"/>
      <c r="AB17" s="41"/>
      <c r="AC17" s="41"/>
      <c r="AD17" s="41"/>
      <c r="AE17" s="41"/>
      <c r="AF17" s="41"/>
      <c r="AG17" s="41"/>
      <c r="AH17" s="41"/>
      <c r="AI17" s="41"/>
      <c r="AJ17" s="41"/>
      <c r="AK17" s="41"/>
      <c r="AL17" s="41"/>
    </row>
    <row r="18">
      <c r="A18" s="27">
        <f t="shared" si="2"/>
        <v>8</v>
      </c>
      <c r="B18" s="44" t="s">
        <v>31</v>
      </c>
      <c r="C18" s="29" t="s">
        <v>90</v>
      </c>
      <c r="D18" s="39" t="s">
        <v>91</v>
      </c>
      <c r="E18" s="28" t="s">
        <v>92</v>
      </c>
      <c r="F18" s="28" t="s">
        <v>29</v>
      </c>
      <c r="G18" s="28" t="s">
        <v>37</v>
      </c>
      <c r="H18" s="28"/>
      <c r="I18" s="28" t="s">
        <v>38</v>
      </c>
      <c r="J18" s="31">
        <v>284.0</v>
      </c>
      <c r="K18" s="28"/>
      <c r="L18" s="28" t="s">
        <v>93</v>
      </c>
      <c r="M18" s="31" t="s">
        <v>94</v>
      </c>
      <c r="N18" s="31">
        <v>1971.0</v>
      </c>
      <c r="O18" s="31">
        <v>8.0</v>
      </c>
      <c r="P18" s="28">
        <v>2.0</v>
      </c>
      <c r="Q18" s="32">
        <v>1.0</v>
      </c>
      <c r="R18" s="33"/>
      <c r="S18" s="40"/>
      <c r="T18" s="40"/>
      <c r="U18" s="40"/>
      <c r="V18" s="40"/>
      <c r="W18" s="40"/>
      <c r="X18" s="40"/>
      <c r="Y18" s="45"/>
      <c r="Z18" s="45"/>
      <c r="AA18" s="45"/>
      <c r="AB18" s="45"/>
      <c r="AC18" s="45"/>
      <c r="AD18" s="45"/>
      <c r="AE18" s="45"/>
      <c r="AF18" s="45"/>
      <c r="AG18" s="45"/>
      <c r="AH18" s="45"/>
      <c r="AI18" s="45"/>
      <c r="AJ18" s="45"/>
      <c r="AK18" s="45"/>
      <c r="AL18" s="45"/>
    </row>
    <row r="19">
      <c r="A19" s="27">
        <f t="shared" si="2"/>
        <v>9</v>
      </c>
      <c r="B19" s="28" t="s">
        <v>95</v>
      </c>
      <c r="C19" s="29" t="s">
        <v>96</v>
      </c>
      <c r="D19" s="39" t="s">
        <v>97</v>
      </c>
      <c r="E19" s="28" t="s">
        <v>28</v>
      </c>
      <c r="F19" s="28" t="s">
        <v>29</v>
      </c>
      <c r="G19" s="28" t="s">
        <v>98</v>
      </c>
      <c r="H19" s="28"/>
      <c r="I19" s="28" t="s">
        <v>38</v>
      </c>
      <c r="J19" s="28">
        <v>203.0</v>
      </c>
      <c r="K19" s="28"/>
      <c r="L19" s="31" t="s">
        <v>99</v>
      </c>
      <c r="M19" s="28" t="s">
        <v>100</v>
      </c>
      <c r="N19" s="28">
        <v>1971.0</v>
      </c>
      <c r="O19" s="31">
        <v>8.0</v>
      </c>
      <c r="P19" s="28">
        <v>1.0</v>
      </c>
      <c r="Q19" s="32">
        <v>1.0</v>
      </c>
      <c r="R19" s="33"/>
      <c r="S19" s="34"/>
      <c r="T19" s="34"/>
      <c r="U19" s="34"/>
      <c r="V19" s="34"/>
      <c r="W19" s="34"/>
      <c r="X19" s="34"/>
      <c r="Y19" s="45"/>
      <c r="Z19" s="45"/>
      <c r="AA19" s="45"/>
      <c r="AB19" s="45"/>
      <c r="AC19" s="45"/>
      <c r="AD19" s="45"/>
      <c r="AE19" s="45"/>
      <c r="AF19" s="45"/>
      <c r="AG19" s="45"/>
      <c r="AH19" s="45"/>
      <c r="AI19" s="45"/>
      <c r="AJ19" s="45"/>
      <c r="AK19" s="45"/>
      <c r="AL19" s="45"/>
    </row>
    <row r="20">
      <c r="A20" s="27">
        <f t="shared" si="2"/>
        <v>10</v>
      </c>
      <c r="B20" s="31" t="s">
        <v>101</v>
      </c>
      <c r="C20" s="29" t="s">
        <v>102</v>
      </c>
      <c r="D20" s="39" t="s">
        <v>103</v>
      </c>
      <c r="E20" s="28"/>
      <c r="F20" s="28" t="s">
        <v>29</v>
      </c>
      <c r="G20" s="28" t="s">
        <v>37</v>
      </c>
      <c r="H20" s="28"/>
      <c r="I20" s="28" t="s">
        <v>38</v>
      </c>
      <c r="J20" s="31">
        <v>616.0</v>
      </c>
      <c r="K20" s="28"/>
      <c r="L20" s="31" t="s">
        <v>104</v>
      </c>
      <c r="M20" s="31" t="s">
        <v>105</v>
      </c>
      <c r="N20" s="31">
        <v>1910.0</v>
      </c>
      <c r="O20" s="31">
        <v>9.0</v>
      </c>
      <c r="P20" s="31">
        <v>1.0</v>
      </c>
      <c r="Q20" s="37">
        <v>1.0</v>
      </c>
      <c r="R20" s="33"/>
      <c r="S20" s="40"/>
      <c r="T20" s="40"/>
      <c r="U20" s="40"/>
      <c r="V20" s="40"/>
      <c r="W20" s="40"/>
      <c r="X20" s="40"/>
      <c r="Y20" s="45"/>
      <c r="Z20" s="45"/>
      <c r="AA20" s="45"/>
      <c r="AB20" s="45"/>
      <c r="AC20" s="45"/>
      <c r="AD20" s="45"/>
      <c r="AE20" s="45"/>
      <c r="AF20" s="45"/>
      <c r="AG20" s="45"/>
      <c r="AH20" s="45"/>
      <c r="AI20" s="45"/>
      <c r="AJ20" s="45"/>
      <c r="AK20" s="45"/>
      <c r="AL20" s="45"/>
    </row>
    <row r="21">
      <c r="A21" s="27">
        <f t="shared" si="2"/>
        <v>11</v>
      </c>
      <c r="B21" s="28"/>
      <c r="C21" s="29" t="s">
        <v>106</v>
      </c>
      <c r="D21" s="30" t="s">
        <v>107</v>
      </c>
      <c r="E21" s="28"/>
      <c r="F21" s="28" t="s">
        <v>29</v>
      </c>
      <c r="G21" s="28" t="s">
        <v>38</v>
      </c>
      <c r="H21" s="28"/>
      <c r="I21" s="28" t="s">
        <v>38</v>
      </c>
      <c r="J21" s="28">
        <v>1104.0</v>
      </c>
      <c r="K21" s="28"/>
      <c r="L21" s="31" t="s">
        <v>108</v>
      </c>
      <c r="M21" s="28" t="s">
        <v>109</v>
      </c>
      <c r="N21" s="28">
        <v>1968.0</v>
      </c>
      <c r="O21" s="31">
        <v>9.0</v>
      </c>
      <c r="P21" s="28">
        <v>1.0</v>
      </c>
      <c r="Q21" s="32">
        <v>1.0</v>
      </c>
      <c r="R21" s="33"/>
      <c r="S21" s="40"/>
      <c r="T21" s="40"/>
      <c r="U21" s="40"/>
      <c r="V21" s="40"/>
      <c r="W21" s="40"/>
      <c r="X21" s="40"/>
      <c r="Y21" s="45"/>
      <c r="Z21" s="45"/>
      <c r="AA21" s="45"/>
      <c r="AB21" s="45"/>
      <c r="AC21" s="45"/>
      <c r="AD21" s="45"/>
      <c r="AE21" s="45"/>
      <c r="AF21" s="45"/>
      <c r="AG21" s="45"/>
      <c r="AH21" s="45"/>
      <c r="AI21" s="45"/>
      <c r="AJ21" s="45"/>
      <c r="AK21" s="45"/>
      <c r="AL21" s="45"/>
    </row>
    <row r="22">
      <c r="A22" s="27">
        <f t="shared" si="2"/>
        <v>12</v>
      </c>
      <c r="B22" s="28" t="s">
        <v>110</v>
      </c>
      <c r="C22" s="29" t="s">
        <v>111</v>
      </c>
      <c r="D22" s="30" t="s">
        <v>112</v>
      </c>
      <c r="E22" s="28" t="s">
        <v>31</v>
      </c>
      <c r="F22" s="28" t="s">
        <v>29</v>
      </c>
      <c r="G22" s="28" t="s">
        <v>30</v>
      </c>
      <c r="H22" s="28"/>
      <c r="I22" s="28" t="s">
        <v>30</v>
      </c>
      <c r="J22" s="28">
        <v>347.0</v>
      </c>
      <c r="K22" s="28"/>
      <c r="L22" s="28" t="s">
        <v>113</v>
      </c>
      <c r="M22" s="28" t="s">
        <v>114</v>
      </c>
      <c r="N22" s="28">
        <v>1997.0</v>
      </c>
      <c r="O22" s="31">
        <v>16.0</v>
      </c>
      <c r="P22" s="28">
        <v>1.0</v>
      </c>
      <c r="Q22" s="37">
        <v>1.0</v>
      </c>
      <c r="R22" s="33"/>
      <c r="S22" s="40"/>
      <c r="T22" s="40"/>
      <c r="U22" s="40"/>
      <c r="V22" s="40"/>
      <c r="W22" s="40"/>
      <c r="X22" s="40"/>
      <c r="Y22" s="45"/>
      <c r="Z22" s="45"/>
      <c r="AA22" s="45"/>
      <c r="AB22" s="45"/>
      <c r="AC22" s="45"/>
      <c r="AD22" s="45"/>
      <c r="AE22" s="45"/>
      <c r="AF22" s="45"/>
      <c r="AG22" s="45"/>
      <c r="AH22" s="45"/>
      <c r="AI22" s="45"/>
      <c r="AJ22" s="45"/>
      <c r="AK22" s="45"/>
      <c r="AL22" s="45"/>
    </row>
    <row r="23" ht="15.75" customHeight="1">
      <c r="A23" s="27">
        <f t="shared" si="2"/>
        <v>13</v>
      </c>
      <c r="B23" s="28" t="s">
        <v>31</v>
      </c>
      <c r="C23" s="43" t="s">
        <v>115</v>
      </c>
      <c r="D23" s="30" t="s">
        <v>116</v>
      </c>
      <c r="E23" s="28"/>
      <c r="F23" s="28" t="s">
        <v>29</v>
      </c>
      <c r="G23" s="28" t="s">
        <v>37</v>
      </c>
      <c r="H23" s="28" t="s">
        <v>31</v>
      </c>
      <c r="I23" s="28" t="s">
        <v>38</v>
      </c>
      <c r="J23" s="28">
        <v>118.0</v>
      </c>
      <c r="K23" s="28"/>
      <c r="L23" s="31" t="s">
        <v>117</v>
      </c>
      <c r="M23" s="28" t="s">
        <v>118</v>
      </c>
      <c r="N23" s="28">
        <v>1940.0</v>
      </c>
      <c r="O23" s="31">
        <v>15.0</v>
      </c>
      <c r="P23" s="28">
        <v>1.0</v>
      </c>
      <c r="Q23" s="37">
        <v>1.0</v>
      </c>
      <c r="R23" s="33"/>
      <c r="S23" s="40"/>
      <c r="T23" s="40"/>
      <c r="U23" s="40"/>
      <c r="V23" s="40"/>
      <c r="W23" s="40"/>
      <c r="X23" s="40"/>
      <c r="Y23" s="45"/>
      <c r="Z23" s="45"/>
      <c r="AA23" s="45"/>
      <c r="AB23" s="45"/>
      <c r="AC23" s="45"/>
      <c r="AD23" s="45"/>
      <c r="AE23" s="45"/>
      <c r="AF23" s="45"/>
      <c r="AG23" s="45"/>
      <c r="AH23" s="45"/>
      <c r="AI23" s="45"/>
      <c r="AJ23" s="45"/>
      <c r="AK23" s="45"/>
      <c r="AL23" s="45"/>
    </row>
    <row r="24" ht="46.5" customHeight="1">
      <c r="A24" s="27">
        <f t="shared" si="2"/>
        <v>14</v>
      </c>
      <c r="B24" s="28" t="s">
        <v>119</v>
      </c>
      <c r="C24" s="29" t="s">
        <v>120</v>
      </c>
      <c r="D24" s="39" t="s">
        <v>121</v>
      </c>
      <c r="E24" s="28" t="s">
        <v>28</v>
      </c>
      <c r="F24" s="28" t="s">
        <v>29</v>
      </c>
      <c r="G24" s="28" t="s">
        <v>37</v>
      </c>
      <c r="H24" s="28"/>
      <c r="I24" s="28" t="s">
        <v>38</v>
      </c>
      <c r="J24" s="28">
        <v>512.0</v>
      </c>
      <c r="K24" s="28"/>
      <c r="L24" s="31" t="s">
        <v>122</v>
      </c>
      <c r="M24" s="28" t="s">
        <v>123</v>
      </c>
      <c r="N24" s="28">
        <v>2003.0</v>
      </c>
      <c r="O24" s="31">
        <v>9.0</v>
      </c>
      <c r="P24" s="28">
        <v>1.0</v>
      </c>
      <c r="Q24" s="32">
        <v>1.0</v>
      </c>
      <c r="R24" s="33"/>
      <c r="S24" s="40"/>
      <c r="T24" s="40"/>
      <c r="U24" s="40"/>
      <c r="V24" s="40"/>
      <c r="W24" s="40"/>
      <c r="X24" s="40"/>
      <c r="Y24" s="45"/>
      <c r="Z24" s="45"/>
      <c r="AA24" s="45"/>
      <c r="AB24" s="45"/>
      <c r="AC24" s="45"/>
      <c r="AD24" s="45"/>
      <c r="AE24" s="45"/>
      <c r="AF24" s="45"/>
      <c r="AG24" s="45"/>
      <c r="AH24" s="45"/>
      <c r="AI24" s="45"/>
      <c r="AJ24" s="45"/>
      <c r="AK24" s="45"/>
      <c r="AL24" s="45"/>
    </row>
    <row r="25" ht="26.25" customHeight="1">
      <c r="A25" s="27">
        <f t="shared" si="2"/>
        <v>15</v>
      </c>
      <c r="B25" s="28" t="s">
        <v>124</v>
      </c>
      <c r="C25" s="29" t="s">
        <v>125</v>
      </c>
      <c r="D25" s="46" t="s">
        <v>126</v>
      </c>
      <c r="E25" s="28" t="s">
        <v>31</v>
      </c>
      <c r="F25" s="28" t="s">
        <v>29</v>
      </c>
      <c r="G25" s="28" t="s">
        <v>127</v>
      </c>
      <c r="H25" s="28"/>
      <c r="I25" s="28" t="s">
        <v>38</v>
      </c>
      <c r="J25" s="31">
        <v>197.0</v>
      </c>
      <c r="K25" s="28"/>
      <c r="L25" s="28" t="s">
        <v>128</v>
      </c>
      <c r="M25" s="28" t="s">
        <v>128</v>
      </c>
      <c r="N25" s="28">
        <v>2006.0</v>
      </c>
      <c r="O25" s="31">
        <v>12.0</v>
      </c>
      <c r="P25" s="28">
        <v>1.0</v>
      </c>
      <c r="Q25" s="37">
        <v>1.0</v>
      </c>
      <c r="R25" s="33"/>
      <c r="S25" s="40"/>
      <c r="T25" s="40"/>
      <c r="U25" s="40"/>
      <c r="V25" s="40"/>
      <c r="W25" s="40"/>
      <c r="X25" s="40"/>
      <c r="Y25" s="45"/>
      <c r="Z25" s="45"/>
      <c r="AA25" s="45"/>
      <c r="AB25" s="45"/>
      <c r="AC25" s="45"/>
      <c r="AD25" s="45"/>
      <c r="AE25" s="45"/>
      <c r="AF25" s="45"/>
      <c r="AG25" s="45"/>
      <c r="AH25" s="45"/>
      <c r="AI25" s="45"/>
      <c r="AJ25" s="45"/>
      <c r="AK25" s="45"/>
      <c r="AL25" s="45"/>
    </row>
    <row r="26" ht="15.75" customHeight="1">
      <c r="A26" s="27">
        <f t="shared" si="2"/>
        <v>16</v>
      </c>
      <c r="B26" s="28"/>
      <c r="C26" s="29" t="s">
        <v>129</v>
      </c>
      <c r="D26" s="30" t="s">
        <v>130</v>
      </c>
      <c r="E26" s="28" t="s">
        <v>31</v>
      </c>
      <c r="F26" s="28" t="s">
        <v>29</v>
      </c>
      <c r="G26" s="28" t="s">
        <v>131</v>
      </c>
      <c r="H26" s="28"/>
      <c r="I26" s="28" t="s">
        <v>38</v>
      </c>
      <c r="J26" s="28">
        <v>128.0</v>
      </c>
      <c r="K26" s="28"/>
      <c r="L26" s="28" t="s">
        <v>132</v>
      </c>
      <c r="M26" s="28" t="s">
        <v>133</v>
      </c>
      <c r="N26" s="28">
        <v>1971.0</v>
      </c>
      <c r="O26" s="31">
        <v>15.0</v>
      </c>
      <c r="P26" s="28">
        <v>1.0</v>
      </c>
      <c r="Q26" s="37">
        <v>1.0</v>
      </c>
      <c r="R26" s="33"/>
      <c r="S26" s="40"/>
      <c r="T26" s="40"/>
      <c r="U26" s="40"/>
      <c r="V26" s="40"/>
      <c r="W26" s="40"/>
      <c r="X26" s="40"/>
      <c r="Y26" s="45"/>
      <c r="Z26" s="45"/>
      <c r="AA26" s="45"/>
      <c r="AB26" s="45"/>
      <c r="AC26" s="45"/>
      <c r="AD26" s="45"/>
      <c r="AE26" s="45"/>
      <c r="AF26" s="45"/>
      <c r="AG26" s="45"/>
      <c r="AH26" s="45"/>
      <c r="AI26" s="45"/>
      <c r="AJ26" s="45"/>
      <c r="AK26" s="45"/>
      <c r="AL26" s="45"/>
    </row>
    <row r="27" ht="15.75" customHeight="1">
      <c r="A27" s="27">
        <f t="shared" si="2"/>
        <v>17</v>
      </c>
      <c r="B27" s="28" t="s">
        <v>134</v>
      </c>
      <c r="C27" s="29" t="s">
        <v>135</v>
      </c>
      <c r="D27" s="39" t="s">
        <v>136</v>
      </c>
      <c r="E27" s="28" t="s">
        <v>137</v>
      </c>
      <c r="F27" s="28" t="s">
        <v>29</v>
      </c>
      <c r="G27" s="28" t="s">
        <v>30</v>
      </c>
      <c r="H27" s="28"/>
      <c r="I27" s="28" t="s">
        <v>30</v>
      </c>
      <c r="J27" s="28">
        <v>200.0</v>
      </c>
      <c r="K27" s="28"/>
      <c r="L27" s="31" t="s">
        <v>138</v>
      </c>
      <c r="M27" s="28" t="s">
        <v>139</v>
      </c>
      <c r="N27" s="28">
        <v>2006.0</v>
      </c>
      <c r="O27" s="31">
        <v>3.0</v>
      </c>
      <c r="P27" s="28">
        <v>1.0</v>
      </c>
      <c r="Q27" s="37">
        <v>1.0</v>
      </c>
      <c r="R27" s="33"/>
      <c r="S27" s="34"/>
      <c r="T27" s="34"/>
      <c r="U27" s="34"/>
      <c r="V27" s="34"/>
      <c r="W27" s="34"/>
      <c r="X27" s="34"/>
      <c r="Y27" s="45"/>
      <c r="Z27" s="45"/>
      <c r="AA27" s="45"/>
      <c r="AB27" s="45"/>
      <c r="AC27" s="45"/>
      <c r="AD27" s="45"/>
      <c r="AE27" s="45"/>
      <c r="AF27" s="45"/>
      <c r="AG27" s="45"/>
      <c r="AH27" s="45"/>
      <c r="AI27" s="45"/>
      <c r="AJ27" s="45"/>
      <c r="AK27" s="45"/>
      <c r="AL27" s="45"/>
    </row>
    <row r="28" ht="15.75" customHeight="1">
      <c r="A28" s="27">
        <f t="shared" si="2"/>
        <v>18</v>
      </c>
      <c r="B28" s="28" t="s">
        <v>134</v>
      </c>
      <c r="C28" s="29" t="s">
        <v>135</v>
      </c>
      <c r="D28" s="39" t="s">
        <v>140</v>
      </c>
      <c r="E28" s="28" t="s">
        <v>137</v>
      </c>
      <c r="F28" s="28" t="s">
        <v>29</v>
      </c>
      <c r="G28" s="28" t="s">
        <v>30</v>
      </c>
      <c r="H28" s="28"/>
      <c r="I28" s="28" t="s">
        <v>30</v>
      </c>
      <c r="J28" s="28">
        <v>204.0</v>
      </c>
      <c r="K28" s="28"/>
      <c r="L28" s="31" t="s">
        <v>138</v>
      </c>
      <c r="M28" s="28" t="s">
        <v>139</v>
      </c>
      <c r="N28" s="28">
        <v>2006.0</v>
      </c>
      <c r="O28" s="31">
        <v>3.0</v>
      </c>
      <c r="P28" s="28">
        <v>1.0</v>
      </c>
      <c r="Q28" s="37">
        <v>1.0</v>
      </c>
      <c r="R28" s="33"/>
      <c r="S28" s="34"/>
      <c r="T28" s="34"/>
      <c r="U28" s="34"/>
      <c r="V28" s="34"/>
      <c r="W28" s="34"/>
      <c r="X28" s="34"/>
      <c r="Y28" s="45"/>
      <c r="Z28" s="45"/>
      <c r="AA28" s="45"/>
      <c r="AB28" s="45"/>
      <c r="AC28" s="45"/>
      <c r="AD28" s="45"/>
      <c r="AE28" s="45"/>
      <c r="AF28" s="45"/>
      <c r="AG28" s="45"/>
      <c r="AH28" s="45"/>
      <c r="AI28" s="45"/>
      <c r="AJ28" s="45"/>
      <c r="AK28" s="45"/>
      <c r="AL28" s="45"/>
    </row>
    <row r="29" ht="15.75" customHeight="1">
      <c r="A29" s="27">
        <f t="shared" si="2"/>
        <v>19</v>
      </c>
      <c r="B29" s="28" t="s">
        <v>141</v>
      </c>
      <c r="C29" s="29" t="s">
        <v>142</v>
      </c>
      <c r="D29" s="30" t="s">
        <v>143</v>
      </c>
      <c r="E29" s="28" t="s">
        <v>144</v>
      </c>
      <c r="F29" s="28" t="s">
        <v>29</v>
      </c>
      <c r="G29" s="28" t="s">
        <v>30</v>
      </c>
      <c r="H29" s="28"/>
      <c r="I29" s="28" t="s">
        <v>30</v>
      </c>
      <c r="J29" s="28">
        <v>88.0</v>
      </c>
      <c r="K29" s="28"/>
      <c r="L29" s="28" t="s">
        <v>145</v>
      </c>
      <c r="M29" s="28" t="s">
        <v>146</v>
      </c>
      <c r="N29" s="28">
        <v>2008.0</v>
      </c>
      <c r="O29" s="31">
        <v>14.0</v>
      </c>
      <c r="P29" s="28">
        <v>1.0</v>
      </c>
      <c r="Q29" s="37">
        <v>1.0</v>
      </c>
      <c r="R29" s="33"/>
      <c r="S29" s="34"/>
      <c r="T29" s="34"/>
      <c r="U29" s="34"/>
      <c r="V29" s="34"/>
      <c r="W29" s="34"/>
      <c r="X29" s="34"/>
      <c r="Y29" s="45"/>
      <c r="Z29" s="45"/>
      <c r="AA29" s="45"/>
      <c r="AB29" s="45"/>
      <c r="AC29" s="45"/>
      <c r="AD29" s="45"/>
      <c r="AE29" s="45"/>
      <c r="AF29" s="45"/>
      <c r="AG29" s="45"/>
      <c r="AH29" s="45"/>
      <c r="AI29" s="45"/>
      <c r="AJ29" s="45"/>
      <c r="AK29" s="45"/>
      <c r="AL29" s="45"/>
    </row>
    <row r="30" ht="15.75" customHeight="1">
      <c r="A30" s="27">
        <f t="shared" si="2"/>
        <v>20</v>
      </c>
      <c r="B30" s="28" t="s">
        <v>147</v>
      </c>
      <c r="C30" s="29" t="s">
        <v>148</v>
      </c>
      <c r="D30" s="30" t="s">
        <v>149</v>
      </c>
      <c r="E30" s="28" t="s">
        <v>31</v>
      </c>
      <c r="F30" s="28" t="s">
        <v>29</v>
      </c>
      <c r="G30" s="28" t="s">
        <v>30</v>
      </c>
      <c r="H30" s="28"/>
      <c r="I30" s="28" t="s">
        <v>30</v>
      </c>
      <c r="J30" s="28">
        <v>119.0</v>
      </c>
      <c r="K30" s="28"/>
      <c r="L30" s="28" t="s">
        <v>150</v>
      </c>
      <c r="M30" s="28" t="s">
        <v>151</v>
      </c>
      <c r="N30" s="28">
        <v>2012.0</v>
      </c>
      <c r="O30" s="31">
        <v>13.0</v>
      </c>
      <c r="P30" s="28">
        <v>1.0</v>
      </c>
      <c r="Q30" s="37">
        <v>1.0</v>
      </c>
      <c r="R30" s="33"/>
      <c r="S30" s="40"/>
      <c r="T30" s="40"/>
      <c r="U30" s="40"/>
      <c r="V30" s="40"/>
      <c r="W30" s="40"/>
      <c r="X30" s="40"/>
      <c r="Y30" s="45"/>
      <c r="Z30" s="45"/>
      <c r="AA30" s="45"/>
      <c r="AB30" s="45"/>
      <c r="AC30" s="45"/>
      <c r="AD30" s="45"/>
      <c r="AE30" s="45"/>
      <c r="AF30" s="45"/>
      <c r="AG30" s="45"/>
      <c r="AH30" s="45"/>
      <c r="AI30" s="45"/>
      <c r="AJ30" s="45"/>
      <c r="AK30" s="45"/>
      <c r="AL30" s="45"/>
    </row>
    <row r="31" ht="15.75" customHeight="1">
      <c r="A31" s="27">
        <f t="shared" si="2"/>
        <v>21</v>
      </c>
      <c r="B31" s="28" t="s">
        <v>152</v>
      </c>
      <c r="C31" s="29" t="s">
        <v>153</v>
      </c>
      <c r="D31" s="39" t="s">
        <v>154</v>
      </c>
      <c r="E31" s="28" t="s">
        <v>28</v>
      </c>
      <c r="F31" s="28" t="s">
        <v>29</v>
      </c>
      <c r="G31" s="28" t="s">
        <v>37</v>
      </c>
      <c r="H31" s="28"/>
      <c r="I31" s="28" t="s">
        <v>38</v>
      </c>
      <c r="J31" s="28">
        <v>620.0</v>
      </c>
      <c r="K31" s="28"/>
      <c r="L31" s="31" t="s">
        <v>155</v>
      </c>
      <c r="M31" s="28" t="s">
        <v>156</v>
      </c>
      <c r="N31" s="28">
        <v>1987.0</v>
      </c>
      <c r="O31" s="31">
        <v>6.0</v>
      </c>
      <c r="P31" s="28">
        <v>1.0</v>
      </c>
      <c r="Q31" s="32">
        <v>1.0</v>
      </c>
      <c r="R31" s="33"/>
      <c r="S31" s="34"/>
      <c r="T31" s="34"/>
      <c r="U31" s="34"/>
      <c r="V31" s="34"/>
      <c r="W31" s="34"/>
      <c r="X31" s="34"/>
      <c r="Y31" s="45"/>
      <c r="Z31" s="45"/>
      <c r="AA31" s="45"/>
      <c r="AB31" s="45"/>
      <c r="AC31" s="45"/>
      <c r="AD31" s="45"/>
      <c r="AE31" s="45"/>
      <c r="AF31" s="45"/>
      <c r="AG31" s="45"/>
      <c r="AH31" s="45"/>
      <c r="AI31" s="45"/>
      <c r="AJ31" s="45"/>
      <c r="AK31" s="45"/>
      <c r="AL31" s="45"/>
    </row>
    <row r="32" ht="15.75" customHeight="1">
      <c r="A32" s="27">
        <f t="shared" si="2"/>
        <v>22</v>
      </c>
      <c r="B32" s="28"/>
      <c r="C32" s="29" t="s">
        <v>157</v>
      </c>
      <c r="D32" s="30" t="s">
        <v>158</v>
      </c>
      <c r="E32" s="28" t="s">
        <v>144</v>
      </c>
      <c r="F32" s="28" t="s">
        <v>29</v>
      </c>
      <c r="G32" s="28" t="s">
        <v>30</v>
      </c>
      <c r="H32" s="28"/>
      <c r="I32" s="28" t="s">
        <v>159</v>
      </c>
      <c r="J32" s="28">
        <v>80.0</v>
      </c>
      <c r="K32" s="28"/>
      <c r="L32" s="28" t="s">
        <v>160</v>
      </c>
      <c r="M32" s="28" t="s">
        <v>161</v>
      </c>
      <c r="N32" s="28">
        <v>2001.0</v>
      </c>
      <c r="O32" s="31">
        <v>13.0</v>
      </c>
      <c r="P32" s="28">
        <v>1.0</v>
      </c>
      <c r="Q32" s="32">
        <v>1.0</v>
      </c>
      <c r="R32" s="33"/>
      <c r="S32" s="40"/>
      <c r="T32" s="40"/>
      <c r="U32" s="40"/>
      <c r="V32" s="40"/>
      <c r="W32" s="40"/>
      <c r="X32" s="40"/>
      <c r="Y32" s="45"/>
      <c r="Z32" s="45"/>
      <c r="AA32" s="45"/>
      <c r="AB32" s="45"/>
      <c r="AC32" s="45"/>
      <c r="AD32" s="45"/>
      <c r="AE32" s="45"/>
      <c r="AF32" s="45"/>
      <c r="AG32" s="45"/>
      <c r="AH32" s="45"/>
      <c r="AI32" s="45"/>
      <c r="AJ32" s="45"/>
      <c r="AK32" s="45"/>
      <c r="AL32" s="45"/>
    </row>
    <row r="33" ht="15.75" customHeight="1">
      <c r="A33" s="27">
        <f t="shared" si="2"/>
        <v>23</v>
      </c>
      <c r="B33" s="28" t="s">
        <v>162</v>
      </c>
      <c r="C33" s="47" t="s">
        <v>163</v>
      </c>
      <c r="D33" s="30" t="s">
        <v>164</v>
      </c>
      <c r="E33" s="28" t="s">
        <v>165</v>
      </c>
      <c r="F33" s="28" t="s">
        <v>29</v>
      </c>
      <c r="G33" s="28" t="s">
        <v>166</v>
      </c>
      <c r="H33" s="28"/>
      <c r="I33" s="28" t="s">
        <v>167</v>
      </c>
      <c r="J33" s="28">
        <v>637.0</v>
      </c>
      <c r="K33" s="28"/>
      <c r="L33" s="28" t="s">
        <v>168</v>
      </c>
      <c r="M33" s="28" t="s">
        <v>169</v>
      </c>
      <c r="N33" s="28">
        <v>2011.0</v>
      </c>
      <c r="O33" s="31">
        <v>15.0</v>
      </c>
      <c r="P33" s="28">
        <v>1.0</v>
      </c>
      <c r="Q33" s="37">
        <v>1.0</v>
      </c>
      <c r="R33" s="33"/>
      <c r="S33" s="34"/>
      <c r="T33" s="34"/>
      <c r="U33" s="34"/>
      <c r="V33" s="34"/>
      <c r="W33" s="34"/>
      <c r="X33" s="34"/>
      <c r="Y33" s="45"/>
      <c r="Z33" s="45"/>
      <c r="AA33" s="45"/>
      <c r="AB33" s="45"/>
      <c r="AC33" s="45"/>
      <c r="AD33" s="45"/>
      <c r="AE33" s="45"/>
      <c r="AF33" s="45"/>
      <c r="AG33" s="45"/>
      <c r="AH33" s="45"/>
      <c r="AI33" s="45"/>
      <c r="AJ33" s="45"/>
      <c r="AK33" s="45"/>
      <c r="AL33" s="45"/>
    </row>
    <row r="34" ht="47.25" customHeight="1">
      <c r="A34" s="27">
        <f t="shared" si="2"/>
        <v>24</v>
      </c>
      <c r="B34" s="28" t="s">
        <v>170</v>
      </c>
      <c r="C34" s="29" t="s">
        <v>171</v>
      </c>
      <c r="D34" s="39" t="s">
        <v>172</v>
      </c>
      <c r="E34" s="28" t="s">
        <v>28</v>
      </c>
      <c r="F34" s="28" t="s">
        <v>29</v>
      </c>
      <c r="G34" s="28" t="s">
        <v>37</v>
      </c>
      <c r="H34" s="28"/>
      <c r="I34" s="28" t="s">
        <v>38</v>
      </c>
      <c r="J34" s="31">
        <v>595.0</v>
      </c>
      <c r="K34" s="28"/>
      <c r="L34" s="28" t="s">
        <v>173</v>
      </c>
      <c r="M34" s="28" t="s">
        <v>156</v>
      </c>
      <c r="N34" s="28">
        <v>1976.0</v>
      </c>
      <c r="O34" s="31">
        <v>6.0</v>
      </c>
      <c r="P34" s="28">
        <v>2.0</v>
      </c>
      <c r="Q34" s="37">
        <v>2.0</v>
      </c>
      <c r="R34" s="33"/>
      <c r="S34" s="34"/>
      <c r="T34" s="34"/>
      <c r="U34" s="34"/>
      <c r="V34" s="34"/>
      <c r="W34" s="34"/>
      <c r="X34" s="34"/>
      <c r="Y34" s="45"/>
      <c r="Z34" s="45"/>
      <c r="AA34" s="45"/>
      <c r="AB34" s="45"/>
      <c r="AC34" s="45"/>
      <c r="AD34" s="45"/>
      <c r="AE34" s="45"/>
      <c r="AF34" s="45"/>
      <c r="AG34" s="45"/>
      <c r="AH34" s="45"/>
      <c r="AI34" s="45"/>
      <c r="AJ34" s="45"/>
      <c r="AK34" s="45"/>
      <c r="AL34" s="45"/>
    </row>
    <row r="35" ht="47.25" customHeight="1">
      <c r="A35" s="27">
        <f t="shared" si="2"/>
        <v>25</v>
      </c>
      <c r="B35" s="28" t="s">
        <v>174</v>
      </c>
      <c r="C35" s="29" t="s">
        <v>175</v>
      </c>
      <c r="D35" s="39" t="s">
        <v>176</v>
      </c>
      <c r="E35" s="28" t="s">
        <v>28</v>
      </c>
      <c r="F35" s="28" t="s">
        <v>29</v>
      </c>
      <c r="G35" s="28" t="s">
        <v>37</v>
      </c>
      <c r="H35" s="28"/>
      <c r="I35" s="28" t="s">
        <v>38</v>
      </c>
      <c r="J35" s="31">
        <v>361.0</v>
      </c>
      <c r="K35" s="28"/>
      <c r="L35" s="28" t="s">
        <v>177</v>
      </c>
      <c r="M35" s="28" t="s">
        <v>178</v>
      </c>
      <c r="N35" s="28">
        <v>2012.0</v>
      </c>
      <c r="O35" s="31">
        <v>4.0</v>
      </c>
      <c r="P35" s="28">
        <v>1.0</v>
      </c>
      <c r="Q35" s="32">
        <v>1.0</v>
      </c>
      <c r="R35" s="33"/>
      <c r="S35" s="40"/>
      <c r="T35" s="40"/>
      <c r="U35" s="40"/>
      <c r="V35" s="40"/>
      <c r="W35" s="40"/>
      <c r="X35" s="40"/>
      <c r="Y35" s="45"/>
      <c r="Z35" s="45"/>
      <c r="AA35" s="45"/>
      <c r="AB35" s="45"/>
      <c r="AC35" s="45"/>
      <c r="AD35" s="45"/>
      <c r="AE35" s="45"/>
      <c r="AF35" s="45"/>
      <c r="AG35" s="45"/>
      <c r="AH35" s="45"/>
      <c r="AI35" s="45"/>
      <c r="AJ35" s="45"/>
      <c r="AK35" s="45"/>
      <c r="AL35" s="45"/>
    </row>
    <row r="36" ht="47.25" customHeight="1">
      <c r="A36" s="27">
        <f t="shared" si="2"/>
        <v>26</v>
      </c>
      <c r="B36" s="28" t="s">
        <v>179</v>
      </c>
      <c r="C36" s="29" t="s">
        <v>180</v>
      </c>
      <c r="D36" s="39" t="s">
        <v>181</v>
      </c>
      <c r="E36" s="28" t="s">
        <v>28</v>
      </c>
      <c r="F36" s="28" t="s">
        <v>29</v>
      </c>
      <c r="G36" s="28" t="s">
        <v>37</v>
      </c>
      <c r="H36" s="28"/>
      <c r="I36" s="28" t="s">
        <v>38</v>
      </c>
      <c r="J36" s="28">
        <v>286.0</v>
      </c>
      <c r="K36" s="28"/>
      <c r="L36" s="28" t="s">
        <v>182</v>
      </c>
      <c r="M36" s="28" t="s">
        <v>156</v>
      </c>
      <c r="N36" s="28">
        <v>1985.0</v>
      </c>
      <c r="O36" s="31">
        <v>6.0</v>
      </c>
      <c r="P36" s="28">
        <v>3.0</v>
      </c>
      <c r="Q36" s="37">
        <v>2.0</v>
      </c>
      <c r="R36" s="33"/>
      <c r="S36" s="34"/>
      <c r="T36" s="34"/>
      <c r="U36" s="34"/>
      <c r="V36" s="34"/>
      <c r="W36" s="34"/>
      <c r="X36" s="34"/>
      <c r="Y36" s="45"/>
      <c r="Z36" s="45"/>
      <c r="AA36" s="45"/>
      <c r="AB36" s="45"/>
      <c r="AC36" s="45"/>
      <c r="AD36" s="45"/>
      <c r="AE36" s="45"/>
      <c r="AF36" s="45"/>
      <c r="AG36" s="45"/>
      <c r="AH36" s="45"/>
      <c r="AI36" s="45"/>
      <c r="AJ36" s="45"/>
      <c r="AK36" s="45"/>
      <c r="AL36" s="45"/>
    </row>
    <row r="37" ht="47.25" customHeight="1">
      <c r="A37" s="27">
        <f t="shared" si="2"/>
        <v>27</v>
      </c>
      <c r="B37" s="28" t="s">
        <v>183</v>
      </c>
      <c r="C37" s="29" t="s">
        <v>171</v>
      </c>
      <c r="D37" s="39" t="s">
        <v>184</v>
      </c>
      <c r="E37" s="28" t="s">
        <v>28</v>
      </c>
      <c r="F37" s="28" t="s">
        <v>29</v>
      </c>
      <c r="G37" s="28" t="s">
        <v>37</v>
      </c>
      <c r="H37" s="28"/>
      <c r="I37" s="28" t="s">
        <v>38</v>
      </c>
      <c r="J37" s="31">
        <v>592.0</v>
      </c>
      <c r="K37" s="28"/>
      <c r="L37" s="28" t="s">
        <v>173</v>
      </c>
      <c r="M37" s="28" t="s">
        <v>156</v>
      </c>
      <c r="N37" s="31">
        <v>1976.0</v>
      </c>
      <c r="O37" s="31">
        <v>6.0</v>
      </c>
      <c r="P37" s="31">
        <v>3.0</v>
      </c>
      <c r="Q37" s="37">
        <v>3.0</v>
      </c>
      <c r="R37" s="33"/>
      <c r="S37" s="34"/>
      <c r="T37" s="34"/>
      <c r="U37" s="34"/>
      <c r="V37" s="34"/>
      <c r="W37" s="34"/>
      <c r="X37" s="34"/>
      <c r="Y37" s="45"/>
      <c r="Z37" s="45"/>
      <c r="AA37" s="45"/>
      <c r="AB37" s="45"/>
      <c r="AC37" s="45"/>
      <c r="AD37" s="45"/>
      <c r="AE37" s="45"/>
      <c r="AF37" s="45"/>
      <c r="AG37" s="45"/>
      <c r="AH37" s="45"/>
      <c r="AI37" s="45"/>
      <c r="AJ37" s="45"/>
      <c r="AK37" s="45"/>
      <c r="AL37" s="45"/>
    </row>
    <row r="38" ht="47.25" customHeight="1">
      <c r="A38" s="27">
        <f t="shared" si="2"/>
        <v>28</v>
      </c>
      <c r="B38" s="28"/>
      <c r="C38" s="29" t="s">
        <v>185</v>
      </c>
      <c r="D38" s="39" t="s">
        <v>186</v>
      </c>
      <c r="E38" s="28" t="s">
        <v>28</v>
      </c>
      <c r="F38" s="28" t="s">
        <v>29</v>
      </c>
      <c r="G38" s="28" t="s">
        <v>37</v>
      </c>
      <c r="H38" s="28"/>
      <c r="I38" s="28" t="s">
        <v>38</v>
      </c>
      <c r="J38" s="28">
        <v>383.0</v>
      </c>
      <c r="K38" s="28"/>
      <c r="L38" s="28" t="s">
        <v>187</v>
      </c>
      <c r="M38" s="28" t="s">
        <v>188</v>
      </c>
      <c r="N38" s="28">
        <v>1985.0</v>
      </c>
      <c r="O38" s="31">
        <v>6.0</v>
      </c>
      <c r="P38" s="28">
        <v>2.0</v>
      </c>
      <c r="Q38" s="32">
        <v>2.0</v>
      </c>
      <c r="R38" s="33"/>
      <c r="S38" s="34"/>
      <c r="T38" s="34"/>
      <c r="U38" s="34"/>
      <c r="V38" s="34"/>
      <c r="W38" s="34"/>
      <c r="X38" s="34"/>
      <c r="Y38" s="3"/>
      <c r="Z38" s="3"/>
      <c r="AA38" s="3"/>
      <c r="AB38" s="3"/>
      <c r="AC38" s="3"/>
      <c r="AD38" s="3"/>
      <c r="AE38" s="3"/>
      <c r="AF38" s="3"/>
      <c r="AG38" s="3"/>
      <c r="AH38" s="3"/>
      <c r="AI38" s="3"/>
      <c r="AJ38" s="3"/>
      <c r="AK38" s="3"/>
      <c r="AL38" s="3"/>
    </row>
    <row r="39" ht="47.25" customHeight="1">
      <c r="A39" s="27">
        <f t="shared" si="2"/>
        <v>29</v>
      </c>
      <c r="B39" s="28" t="s">
        <v>189</v>
      </c>
      <c r="C39" s="29" t="s">
        <v>190</v>
      </c>
      <c r="D39" s="39" t="s">
        <v>191</v>
      </c>
      <c r="E39" s="28" t="s">
        <v>28</v>
      </c>
      <c r="F39" s="28" t="s">
        <v>29</v>
      </c>
      <c r="G39" s="28" t="s">
        <v>37</v>
      </c>
      <c r="H39" s="28"/>
      <c r="I39" s="28" t="s">
        <v>38</v>
      </c>
      <c r="J39" s="31">
        <v>496.0</v>
      </c>
      <c r="K39" s="28"/>
      <c r="L39" s="28" t="s">
        <v>192</v>
      </c>
      <c r="M39" s="28" t="s">
        <v>178</v>
      </c>
      <c r="N39" s="28">
        <v>1990.0</v>
      </c>
      <c r="O39" s="31">
        <v>4.0</v>
      </c>
      <c r="P39" s="28">
        <v>1.0</v>
      </c>
      <c r="Q39" s="32">
        <v>1.0</v>
      </c>
      <c r="R39" s="33"/>
      <c r="S39" s="40"/>
      <c r="T39" s="40"/>
      <c r="U39" s="40"/>
      <c r="V39" s="40"/>
      <c r="W39" s="40"/>
      <c r="X39" s="40"/>
      <c r="Y39" s="3"/>
      <c r="Z39" s="3"/>
      <c r="AA39" s="3"/>
      <c r="AB39" s="3"/>
      <c r="AC39" s="3"/>
      <c r="AD39" s="3"/>
      <c r="AE39" s="3"/>
      <c r="AF39" s="3"/>
      <c r="AG39" s="3"/>
      <c r="AH39" s="3"/>
      <c r="AI39" s="3"/>
      <c r="AJ39" s="3"/>
      <c r="AK39" s="3"/>
      <c r="AL39" s="3"/>
    </row>
    <row r="40" ht="47.25" customHeight="1">
      <c r="A40" s="27">
        <f t="shared" si="2"/>
        <v>30</v>
      </c>
      <c r="B40" s="28" t="s">
        <v>31</v>
      </c>
      <c r="C40" s="29" t="s">
        <v>193</v>
      </c>
      <c r="D40" s="30" t="s">
        <v>194</v>
      </c>
      <c r="E40" s="28" t="s">
        <v>28</v>
      </c>
      <c r="F40" s="28" t="s">
        <v>29</v>
      </c>
      <c r="G40" s="28" t="s">
        <v>38</v>
      </c>
      <c r="H40" s="28"/>
      <c r="I40" s="28" t="s">
        <v>38</v>
      </c>
      <c r="J40" s="28">
        <v>335.0</v>
      </c>
      <c r="K40" s="28"/>
      <c r="L40" s="28" t="s">
        <v>195</v>
      </c>
      <c r="M40" s="28" t="s">
        <v>196</v>
      </c>
      <c r="N40" s="28">
        <v>1906.0</v>
      </c>
      <c r="O40" s="31">
        <v>7.0</v>
      </c>
      <c r="P40" s="28">
        <v>1.0</v>
      </c>
      <c r="Q40" s="37">
        <v>1.0</v>
      </c>
      <c r="R40" s="33"/>
      <c r="S40" s="40"/>
      <c r="T40" s="40"/>
      <c r="U40" s="40"/>
      <c r="V40" s="40"/>
      <c r="W40" s="40"/>
      <c r="X40" s="40"/>
      <c r="Y40" s="3"/>
      <c r="Z40" s="3"/>
      <c r="AA40" s="3"/>
      <c r="AB40" s="3"/>
      <c r="AC40" s="3"/>
      <c r="AD40" s="3"/>
      <c r="AE40" s="3"/>
      <c r="AF40" s="3"/>
      <c r="AG40" s="3"/>
      <c r="AH40" s="3"/>
      <c r="AI40" s="3"/>
      <c r="AJ40" s="3"/>
      <c r="AK40" s="3"/>
      <c r="AL40" s="3"/>
    </row>
    <row r="41" ht="47.25" customHeight="1">
      <c r="A41" s="27">
        <f t="shared" si="2"/>
        <v>31</v>
      </c>
      <c r="B41" s="28" t="s">
        <v>197</v>
      </c>
      <c r="C41" s="29" t="s">
        <v>198</v>
      </c>
      <c r="D41" s="39" t="s">
        <v>199</v>
      </c>
      <c r="E41" s="28" t="s">
        <v>28</v>
      </c>
      <c r="F41" s="28" t="s">
        <v>29</v>
      </c>
      <c r="G41" s="28" t="s">
        <v>37</v>
      </c>
      <c r="H41" s="28"/>
      <c r="I41" s="28" t="s">
        <v>38</v>
      </c>
      <c r="J41" s="28">
        <v>416.0</v>
      </c>
      <c r="K41" s="28"/>
      <c r="L41" s="28" t="s">
        <v>200</v>
      </c>
      <c r="M41" s="28" t="s">
        <v>123</v>
      </c>
      <c r="N41" s="28">
        <v>2012.0</v>
      </c>
      <c r="O41" s="31">
        <v>9.0</v>
      </c>
      <c r="P41" s="28">
        <v>1.0</v>
      </c>
      <c r="Q41" s="32">
        <v>1.0</v>
      </c>
      <c r="R41" s="33"/>
      <c r="S41" s="34"/>
      <c r="T41" s="34"/>
      <c r="U41" s="34"/>
      <c r="V41" s="34"/>
      <c r="W41" s="34"/>
      <c r="X41" s="34"/>
      <c r="Y41" s="3"/>
      <c r="Z41" s="3"/>
      <c r="AA41" s="3"/>
      <c r="AB41" s="3"/>
      <c r="AC41" s="3"/>
      <c r="AD41" s="3"/>
      <c r="AE41" s="3"/>
      <c r="AF41" s="3"/>
      <c r="AG41" s="3"/>
      <c r="AH41" s="3"/>
      <c r="AI41" s="3"/>
      <c r="AJ41" s="3"/>
      <c r="AK41" s="3"/>
      <c r="AL41" s="3"/>
    </row>
    <row r="42" ht="47.25" customHeight="1">
      <c r="A42" s="27">
        <f t="shared" si="2"/>
        <v>32</v>
      </c>
      <c r="B42" s="28" t="s">
        <v>201</v>
      </c>
      <c r="C42" s="48" t="s">
        <v>202</v>
      </c>
      <c r="D42" s="30" t="s">
        <v>203</v>
      </c>
      <c r="E42" s="28" t="s">
        <v>28</v>
      </c>
      <c r="F42" s="28" t="s">
        <v>29</v>
      </c>
      <c r="G42" s="28" t="s">
        <v>30</v>
      </c>
      <c r="H42" s="28"/>
      <c r="I42" s="28" t="s">
        <v>30</v>
      </c>
      <c r="J42" s="28">
        <v>338.0</v>
      </c>
      <c r="K42" s="28"/>
      <c r="L42" s="28" t="s">
        <v>204</v>
      </c>
      <c r="M42" s="28" t="s">
        <v>151</v>
      </c>
      <c r="N42" s="28">
        <v>2008.0</v>
      </c>
      <c r="O42" s="31" t="s">
        <v>205</v>
      </c>
      <c r="P42" s="28">
        <v>1.0</v>
      </c>
      <c r="Q42" s="37">
        <v>1.0</v>
      </c>
      <c r="R42" s="33"/>
      <c r="S42" s="34"/>
      <c r="T42" s="34"/>
      <c r="U42" s="34"/>
      <c r="V42" s="34"/>
      <c r="W42" s="34"/>
      <c r="X42" s="34"/>
      <c r="Y42" s="3"/>
      <c r="Z42" s="3"/>
      <c r="AA42" s="3"/>
      <c r="AB42" s="3"/>
      <c r="AC42" s="3"/>
      <c r="AD42" s="3"/>
      <c r="AE42" s="3"/>
      <c r="AF42" s="3"/>
      <c r="AG42" s="3"/>
      <c r="AH42" s="3"/>
      <c r="AI42" s="3"/>
      <c r="AJ42" s="3"/>
      <c r="AK42" s="3"/>
      <c r="AL42" s="3"/>
    </row>
    <row r="43" ht="47.25" customHeight="1">
      <c r="A43" s="27">
        <f t="shared" si="2"/>
        <v>33</v>
      </c>
      <c r="B43" s="28" t="s">
        <v>206</v>
      </c>
      <c r="C43" s="29" t="s">
        <v>207</v>
      </c>
      <c r="D43" s="30" t="s">
        <v>208</v>
      </c>
      <c r="E43" s="28" t="s">
        <v>28</v>
      </c>
      <c r="F43" s="28" t="s">
        <v>29</v>
      </c>
      <c r="G43" s="28" t="s">
        <v>37</v>
      </c>
      <c r="H43" s="28"/>
      <c r="I43" s="28" t="s">
        <v>38</v>
      </c>
      <c r="J43" s="28">
        <v>455.0</v>
      </c>
      <c r="K43" s="28"/>
      <c r="L43" s="28" t="s">
        <v>209</v>
      </c>
      <c r="M43" s="28" t="s">
        <v>156</v>
      </c>
      <c r="N43" s="28">
        <v>1975.0</v>
      </c>
      <c r="O43" s="31">
        <v>7.0</v>
      </c>
      <c r="P43" s="28">
        <v>2.0</v>
      </c>
      <c r="Q43" s="37">
        <v>2.0</v>
      </c>
      <c r="R43" s="33"/>
      <c r="S43" s="34"/>
      <c r="T43" s="34"/>
      <c r="U43" s="34"/>
      <c r="V43" s="34"/>
      <c r="W43" s="34"/>
      <c r="X43" s="34"/>
      <c r="Y43" s="45"/>
      <c r="Z43" s="45"/>
      <c r="AA43" s="45"/>
      <c r="AB43" s="45"/>
      <c r="AC43" s="45"/>
      <c r="AD43" s="45"/>
      <c r="AE43" s="45"/>
      <c r="AF43" s="45"/>
      <c r="AG43" s="45"/>
      <c r="AH43" s="45"/>
      <c r="AI43" s="45"/>
      <c r="AJ43" s="45"/>
      <c r="AK43" s="45"/>
      <c r="AL43" s="45"/>
    </row>
    <row r="44" ht="15.75" customHeight="1">
      <c r="A44" s="27">
        <f t="shared" si="2"/>
        <v>34</v>
      </c>
      <c r="B44" s="28" t="s">
        <v>31</v>
      </c>
      <c r="C44" s="29" t="s">
        <v>210</v>
      </c>
      <c r="D44" s="39" t="s">
        <v>211</v>
      </c>
      <c r="E44" s="28" t="s">
        <v>28</v>
      </c>
      <c r="F44" s="28" t="s">
        <v>29</v>
      </c>
      <c r="G44" s="28" t="s">
        <v>37</v>
      </c>
      <c r="H44" s="28"/>
      <c r="I44" s="28" t="s">
        <v>38</v>
      </c>
      <c r="J44" s="31">
        <v>373.0</v>
      </c>
      <c r="K44" s="28"/>
      <c r="L44" s="31" t="s">
        <v>212</v>
      </c>
      <c r="M44" s="31" t="s">
        <v>213</v>
      </c>
      <c r="N44" s="31">
        <v>1956.0</v>
      </c>
      <c r="O44" s="31">
        <v>7.0</v>
      </c>
      <c r="P44" s="28">
        <v>1.0</v>
      </c>
      <c r="Q44" s="32">
        <v>1.0</v>
      </c>
      <c r="R44" s="33"/>
      <c r="S44" s="40"/>
      <c r="T44" s="40"/>
      <c r="U44" s="40"/>
      <c r="V44" s="40"/>
      <c r="W44" s="40"/>
      <c r="X44" s="40"/>
      <c r="Y44" s="45"/>
      <c r="Z44" s="45"/>
      <c r="AA44" s="45"/>
      <c r="AB44" s="45"/>
      <c r="AC44" s="45"/>
      <c r="AD44" s="45"/>
      <c r="AE44" s="45"/>
      <c r="AF44" s="45"/>
      <c r="AG44" s="45"/>
      <c r="AH44" s="45"/>
      <c r="AI44" s="45"/>
      <c r="AJ44" s="45"/>
      <c r="AK44" s="45"/>
      <c r="AL44" s="45"/>
    </row>
    <row r="45" ht="15.75" customHeight="1">
      <c r="A45" s="27">
        <f t="shared" si="2"/>
        <v>35</v>
      </c>
      <c r="B45" s="28" t="s">
        <v>31</v>
      </c>
      <c r="C45" s="29" t="s">
        <v>210</v>
      </c>
      <c r="D45" s="39" t="s">
        <v>214</v>
      </c>
      <c r="E45" s="28" t="s">
        <v>28</v>
      </c>
      <c r="F45" s="28" t="s">
        <v>29</v>
      </c>
      <c r="G45" s="28" t="s">
        <v>37</v>
      </c>
      <c r="H45" s="28"/>
      <c r="I45" s="28" t="s">
        <v>38</v>
      </c>
      <c r="J45" s="31">
        <v>497.0</v>
      </c>
      <c r="K45" s="28"/>
      <c r="L45" s="31" t="s">
        <v>215</v>
      </c>
      <c r="M45" s="31" t="s">
        <v>213</v>
      </c>
      <c r="N45" s="31">
        <v>1959.0</v>
      </c>
      <c r="O45" s="31">
        <v>7.0</v>
      </c>
      <c r="P45" s="28">
        <v>1.0</v>
      </c>
      <c r="Q45" s="37">
        <v>1.0</v>
      </c>
      <c r="R45" s="33"/>
      <c r="S45" s="40"/>
      <c r="T45" s="40"/>
      <c r="U45" s="40"/>
      <c r="V45" s="40"/>
      <c r="W45" s="40"/>
      <c r="X45" s="40"/>
      <c r="Y45" s="45"/>
      <c r="Z45" s="45"/>
      <c r="AA45" s="45"/>
      <c r="AB45" s="45"/>
      <c r="AC45" s="45"/>
      <c r="AD45" s="45"/>
      <c r="AE45" s="45"/>
      <c r="AF45" s="45"/>
      <c r="AG45" s="45"/>
      <c r="AH45" s="45"/>
      <c r="AI45" s="45"/>
      <c r="AJ45" s="45"/>
      <c r="AK45" s="45"/>
      <c r="AL45" s="45"/>
    </row>
    <row r="46" ht="15.75" customHeight="1">
      <c r="A46" s="27">
        <f t="shared" si="2"/>
        <v>36</v>
      </c>
      <c r="B46" s="28" t="s">
        <v>31</v>
      </c>
      <c r="C46" s="29" t="s">
        <v>216</v>
      </c>
      <c r="D46" s="39" t="s">
        <v>217</v>
      </c>
      <c r="E46" s="28" t="s">
        <v>28</v>
      </c>
      <c r="F46" s="28" t="s">
        <v>29</v>
      </c>
      <c r="G46" s="28" t="s">
        <v>37</v>
      </c>
      <c r="H46" s="28"/>
      <c r="I46" s="28" t="s">
        <v>38</v>
      </c>
      <c r="J46" s="28">
        <v>316.0</v>
      </c>
      <c r="K46" s="28"/>
      <c r="L46" s="28" t="s">
        <v>218</v>
      </c>
      <c r="M46" s="28" t="s">
        <v>219</v>
      </c>
      <c r="N46" s="28">
        <v>1966.0</v>
      </c>
      <c r="O46" s="31">
        <v>9.0</v>
      </c>
      <c r="P46" s="28">
        <v>1.0</v>
      </c>
      <c r="Q46" s="37">
        <v>1.0</v>
      </c>
      <c r="R46" s="33"/>
      <c r="S46" s="40"/>
      <c r="T46" s="40"/>
      <c r="U46" s="40"/>
      <c r="V46" s="40"/>
      <c r="W46" s="40"/>
      <c r="X46" s="40"/>
      <c r="Y46" s="45"/>
      <c r="Z46" s="45"/>
      <c r="AA46" s="45"/>
      <c r="AB46" s="45"/>
      <c r="AC46" s="45"/>
      <c r="AD46" s="45"/>
      <c r="AE46" s="45"/>
      <c r="AF46" s="45"/>
      <c r="AG46" s="45"/>
      <c r="AH46" s="45"/>
      <c r="AI46" s="45"/>
      <c r="AJ46" s="45"/>
      <c r="AK46" s="45"/>
      <c r="AL46" s="45"/>
    </row>
    <row r="47" ht="15.75" customHeight="1">
      <c r="A47" s="27">
        <f t="shared" si="2"/>
        <v>37</v>
      </c>
      <c r="B47" s="28" t="s">
        <v>220</v>
      </c>
      <c r="C47" s="29" t="s">
        <v>221</v>
      </c>
      <c r="D47" s="39" t="s">
        <v>222</v>
      </c>
      <c r="E47" s="28" t="s">
        <v>223</v>
      </c>
      <c r="F47" s="28" t="s">
        <v>29</v>
      </c>
      <c r="G47" s="28" t="s">
        <v>37</v>
      </c>
      <c r="H47" s="28"/>
      <c r="I47" s="28" t="s">
        <v>38</v>
      </c>
      <c r="J47" s="31">
        <v>352.0</v>
      </c>
      <c r="K47" s="28"/>
      <c r="L47" s="31" t="s">
        <v>224</v>
      </c>
      <c r="M47" s="28" t="s">
        <v>54</v>
      </c>
      <c r="N47" s="28">
        <v>1993.0</v>
      </c>
      <c r="O47" s="31" t="s">
        <v>225</v>
      </c>
      <c r="P47" s="28">
        <v>2.0</v>
      </c>
      <c r="Q47" s="37">
        <v>2.0</v>
      </c>
      <c r="R47" s="33"/>
      <c r="S47" s="40"/>
      <c r="T47" s="40"/>
      <c r="U47" s="40"/>
      <c r="V47" s="40"/>
      <c r="W47" s="40"/>
      <c r="X47" s="40"/>
      <c r="Y47" s="45"/>
      <c r="Z47" s="45"/>
      <c r="AA47" s="45"/>
      <c r="AB47" s="45"/>
      <c r="AC47" s="45"/>
      <c r="AD47" s="45"/>
      <c r="AE47" s="45"/>
      <c r="AF47" s="45"/>
      <c r="AG47" s="45"/>
      <c r="AH47" s="45"/>
      <c r="AI47" s="45"/>
      <c r="AJ47" s="45"/>
      <c r="AK47" s="45"/>
      <c r="AL47" s="45"/>
    </row>
    <row r="48" ht="15.75" customHeight="1">
      <c r="A48" s="27">
        <f t="shared" si="2"/>
        <v>38</v>
      </c>
      <c r="B48" s="28" t="s">
        <v>226</v>
      </c>
      <c r="C48" s="29" t="s">
        <v>227</v>
      </c>
      <c r="D48" s="30" t="s">
        <v>228</v>
      </c>
      <c r="E48" s="28" t="s">
        <v>28</v>
      </c>
      <c r="F48" s="28" t="s">
        <v>29</v>
      </c>
      <c r="G48" s="28" t="s">
        <v>37</v>
      </c>
      <c r="H48" s="28"/>
      <c r="I48" s="28" t="s">
        <v>38</v>
      </c>
      <c r="J48" s="28">
        <v>352.0</v>
      </c>
      <c r="K48" s="28"/>
      <c r="L48" s="28" t="s">
        <v>229</v>
      </c>
      <c r="M48" s="28" t="s">
        <v>230</v>
      </c>
      <c r="N48" s="28">
        <v>1981.0</v>
      </c>
      <c r="O48" s="31">
        <v>9.0</v>
      </c>
      <c r="P48" s="28">
        <v>1.0</v>
      </c>
      <c r="Q48" s="32">
        <v>1.0</v>
      </c>
      <c r="R48" s="33"/>
      <c r="S48" s="34"/>
      <c r="T48" s="34"/>
      <c r="U48" s="34"/>
      <c r="V48" s="34"/>
      <c r="W48" s="34"/>
      <c r="X48" s="34"/>
      <c r="Y48" s="45"/>
      <c r="Z48" s="45"/>
      <c r="AA48" s="45"/>
      <c r="AB48" s="45"/>
      <c r="AC48" s="45"/>
      <c r="AD48" s="45"/>
      <c r="AE48" s="45"/>
      <c r="AF48" s="45"/>
      <c r="AG48" s="45"/>
      <c r="AH48" s="45"/>
      <c r="AI48" s="45"/>
      <c r="AJ48" s="45"/>
      <c r="AK48" s="45"/>
      <c r="AL48" s="45"/>
    </row>
    <row r="49" ht="15.75" customHeight="1">
      <c r="A49" s="27">
        <f t="shared" si="2"/>
        <v>39</v>
      </c>
      <c r="B49" s="28" t="s">
        <v>231</v>
      </c>
      <c r="C49" s="29" t="s">
        <v>232</v>
      </c>
      <c r="D49" s="39" t="s">
        <v>233</v>
      </c>
      <c r="E49" s="28" t="s">
        <v>28</v>
      </c>
      <c r="F49" s="28" t="s">
        <v>29</v>
      </c>
      <c r="G49" s="28" t="s">
        <v>234</v>
      </c>
      <c r="H49" s="28"/>
      <c r="I49" s="28" t="s">
        <v>38</v>
      </c>
      <c r="J49" s="28">
        <v>374.0</v>
      </c>
      <c r="K49" s="28"/>
      <c r="L49" s="28" t="s">
        <v>235</v>
      </c>
      <c r="M49" s="28" t="s">
        <v>236</v>
      </c>
      <c r="N49" s="28">
        <v>1997.0</v>
      </c>
      <c r="O49" s="31">
        <v>7.0</v>
      </c>
      <c r="P49" s="28">
        <v>1.0</v>
      </c>
      <c r="Q49" s="37">
        <v>1.0</v>
      </c>
      <c r="R49" s="33"/>
      <c r="S49" s="34"/>
      <c r="T49" s="34"/>
      <c r="U49" s="34"/>
      <c r="V49" s="34"/>
      <c r="W49" s="34"/>
      <c r="X49" s="34"/>
      <c r="Y49" s="45"/>
      <c r="Z49" s="45"/>
      <c r="AA49" s="45"/>
      <c r="AB49" s="45"/>
      <c r="AC49" s="45"/>
      <c r="AD49" s="45"/>
      <c r="AE49" s="45"/>
      <c r="AF49" s="45"/>
      <c r="AG49" s="45"/>
      <c r="AH49" s="45"/>
      <c r="AI49" s="45"/>
      <c r="AJ49" s="45"/>
      <c r="AK49" s="45"/>
      <c r="AL49" s="45"/>
    </row>
    <row r="50" ht="15.75" customHeight="1">
      <c r="A50" s="27">
        <f t="shared" si="2"/>
        <v>40</v>
      </c>
      <c r="B50" s="31" t="s">
        <v>237</v>
      </c>
      <c r="C50" s="29" t="s">
        <v>232</v>
      </c>
      <c r="D50" s="39" t="s">
        <v>238</v>
      </c>
      <c r="E50" s="28" t="s">
        <v>28</v>
      </c>
      <c r="F50" s="28" t="s">
        <v>29</v>
      </c>
      <c r="G50" s="28" t="s">
        <v>234</v>
      </c>
      <c r="H50" s="28"/>
      <c r="I50" s="28" t="s">
        <v>38</v>
      </c>
      <c r="J50" s="31">
        <v>903.0</v>
      </c>
      <c r="K50" s="28"/>
      <c r="L50" s="28" t="s">
        <v>235</v>
      </c>
      <c r="M50" s="28" t="s">
        <v>236</v>
      </c>
      <c r="N50" s="31">
        <v>1998.0</v>
      </c>
      <c r="O50" s="31">
        <v>7.0</v>
      </c>
      <c r="P50" s="28">
        <v>1.0</v>
      </c>
      <c r="Q50" s="37">
        <v>1.0</v>
      </c>
      <c r="R50" s="33"/>
      <c r="S50" s="40"/>
      <c r="T50" s="40"/>
      <c r="U50" s="40"/>
      <c r="V50" s="40"/>
      <c r="W50" s="40"/>
      <c r="X50" s="40"/>
      <c r="Y50" s="45"/>
      <c r="Z50" s="45"/>
      <c r="AA50" s="45"/>
      <c r="AB50" s="45"/>
      <c r="AC50" s="45"/>
      <c r="AD50" s="45"/>
      <c r="AE50" s="45"/>
      <c r="AF50" s="45"/>
      <c r="AG50" s="45"/>
      <c r="AH50" s="45"/>
      <c r="AI50" s="45"/>
      <c r="AJ50" s="45"/>
      <c r="AK50" s="45"/>
      <c r="AL50" s="45"/>
    </row>
    <row r="51" ht="30.75" customHeight="1">
      <c r="A51" s="27">
        <f t="shared" si="2"/>
        <v>41</v>
      </c>
      <c r="B51" s="31" t="s">
        <v>239</v>
      </c>
      <c r="C51" s="29" t="s">
        <v>232</v>
      </c>
      <c r="D51" s="39" t="s">
        <v>240</v>
      </c>
      <c r="E51" s="28" t="s">
        <v>28</v>
      </c>
      <c r="F51" s="28" t="s">
        <v>29</v>
      </c>
      <c r="G51" s="28" t="s">
        <v>234</v>
      </c>
      <c r="H51" s="28"/>
      <c r="I51" s="28" t="s">
        <v>38</v>
      </c>
      <c r="J51" s="31">
        <v>1354.0</v>
      </c>
      <c r="K51" s="28"/>
      <c r="L51" s="28" t="s">
        <v>235</v>
      </c>
      <c r="M51" s="28" t="s">
        <v>236</v>
      </c>
      <c r="N51" s="31">
        <v>1998.0</v>
      </c>
      <c r="O51" s="31">
        <v>7.0</v>
      </c>
      <c r="P51" s="31">
        <v>1.0</v>
      </c>
      <c r="Q51" s="37">
        <v>1.0</v>
      </c>
      <c r="R51" s="33"/>
      <c r="S51" s="40"/>
      <c r="T51" s="40"/>
      <c r="U51" s="40"/>
      <c r="V51" s="40"/>
      <c r="W51" s="40"/>
      <c r="X51" s="40"/>
      <c r="Y51" s="45"/>
      <c r="Z51" s="45"/>
      <c r="AA51" s="45"/>
      <c r="AB51" s="45"/>
      <c r="AC51" s="45"/>
      <c r="AD51" s="45"/>
      <c r="AE51" s="45"/>
      <c r="AF51" s="45"/>
      <c r="AG51" s="45"/>
      <c r="AH51" s="45"/>
      <c r="AI51" s="45"/>
      <c r="AJ51" s="45"/>
      <c r="AK51" s="45"/>
      <c r="AL51" s="45"/>
    </row>
    <row r="52" ht="30.75" customHeight="1">
      <c r="A52" s="27">
        <f t="shared" si="2"/>
        <v>42</v>
      </c>
      <c r="B52" s="28" t="s">
        <v>241</v>
      </c>
      <c r="C52" s="29" t="s">
        <v>242</v>
      </c>
      <c r="D52" s="39" t="s">
        <v>243</v>
      </c>
      <c r="E52" s="28" t="s">
        <v>28</v>
      </c>
      <c r="F52" s="28" t="s">
        <v>29</v>
      </c>
      <c r="G52" s="28" t="s">
        <v>37</v>
      </c>
      <c r="H52" s="28"/>
      <c r="I52" s="28" t="s">
        <v>38</v>
      </c>
      <c r="J52" s="28">
        <v>603.0</v>
      </c>
      <c r="K52" s="28"/>
      <c r="L52" s="31" t="s">
        <v>244</v>
      </c>
      <c r="M52" s="28" t="s">
        <v>245</v>
      </c>
      <c r="N52" s="28">
        <v>1981.0</v>
      </c>
      <c r="O52" s="31">
        <v>9.0</v>
      </c>
      <c r="P52" s="28">
        <v>1.0</v>
      </c>
      <c r="Q52" s="37">
        <v>1.0</v>
      </c>
      <c r="R52" s="33"/>
      <c r="S52" s="40"/>
      <c r="T52" s="40"/>
      <c r="U52" s="40"/>
      <c r="V52" s="40"/>
      <c r="W52" s="40"/>
      <c r="X52" s="40"/>
      <c r="Y52" s="45"/>
      <c r="Z52" s="45"/>
      <c r="AA52" s="45"/>
      <c r="AB52" s="45"/>
      <c r="AC52" s="45"/>
      <c r="AD52" s="45"/>
      <c r="AE52" s="45"/>
      <c r="AF52" s="45"/>
      <c r="AG52" s="45"/>
      <c r="AH52" s="45"/>
      <c r="AI52" s="45"/>
      <c r="AJ52" s="45"/>
      <c r="AK52" s="45"/>
      <c r="AL52" s="45"/>
    </row>
    <row r="53" ht="15.75" customHeight="1">
      <c r="A53" s="27">
        <f t="shared" si="2"/>
        <v>43</v>
      </c>
      <c r="B53" s="28" t="s">
        <v>246</v>
      </c>
      <c r="C53" s="29" t="s">
        <v>247</v>
      </c>
      <c r="D53" s="30" t="s">
        <v>248</v>
      </c>
      <c r="E53" s="28" t="s">
        <v>28</v>
      </c>
      <c r="F53" s="28" t="s">
        <v>29</v>
      </c>
      <c r="G53" s="28" t="s">
        <v>38</v>
      </c>
      <c r="H53" s="28"/>
      <c r="I53" s="28" t="s">
        <v>38</v>
      </c>
      <c r="J53" s="28">
        <v>281.0</v>
      </c>
      <c r="K53" s="28"/>
      <c r="L53" s="31" t="s">
        <v>249</v>
      </c>
      <c r="M53" s="28" t="s">
        <v>250</v>
      </c>
      <c r="N53" s="28">
        <v>1988.0</v>
      </c>
      <c r="O53" s="31">
        <v>8.0</v>
      </c>
      <c r="P53" s="28">
        <v>1.0</v>
      </c>
      <c r="Q53" s="32">
        <v>1.0</v>
      </c>
      <c r="R53" s="33"/>
      <c r="S53" s="40"/>
      <c r="T53" s="40"/>
      <c r="U53" s="40"/>
      <c r="V53" s="40"/>
      <c r="W53" s="40"/>
      <c r="X53" s="40"/>
      <c r="Y53" s="45"/>
      <c r="Z53" s="45"/>
      <c r="AA53" s="45"/>
      <c r="AB53" s="45"/>
      <c r="AC53" s="45"/>
      <c r="AD53" s="45"/>
      <c r="AE53" s="45"/>
      <c r="AF53" s="45"/>
      <c r="AG53" s="45"/>
      <c r="AH53" s="45"/>
      <c r="AI53" s="45"/>
      <c r="AJ53" s="45"/>
      <c r="AK53" s="45"/>
      <c r="AL53" s="45"/>
    </row>
    <row r="54" ht="15.75" hidden="1" customHeight="1">
      <c r="A54" s="27">
        <f t="shared" si="2"/>
        <v>44</v>
      </c>
      <c r="B54" s="49" t="s">
        <v>251</v>
      </c>
      <c r="C54" s="50" t="s">
        <v>252</v>
      </c>
      <c r="D54" s="51" t="s">
        <v>253</v>
      </c>
      <c r="E54" s="49"/>
      <c r="F54" s="49" t="s">
        <v>29</v>
      </c>
      <c r="G54" s="49" t="s">
        <v>30</v>
      </c>
      <c r="H54" s="49" t="s">
        <v>31</v>
      </c>
      <c r="I54" s="49" t="s">
        <v>30</v>
      </c>
      <c r="J54" s="49">
        <v>172.0</v>
      </c>
      <c r="K54" s="49"/>
      <c r="L54" s="49" t="s">
        <v>254</v>
      </c>
      <c r="M54" s="52" t="s">
        <v>255</v>
      </c>
      <c r="N54" s="49">
        <v>1996.0</v>
      </c>
      <c r="O54" s="49"/>
      <c r="P54" s="49">
        <v>1.0</v>
      </c>
      <c r="Q54" s="53">
        <v>1.0</v>
      </c>
      <c r="R54" s="54"/>
      <c r="S54" s="40"/>
      <c r="T54" s="40"/>
      <c r="U54" s="40"/>
      <c r="V54" s="40"/>
      <c r="W54" s="40"/>
      <c r="X54" s="40"/>
      <c r="Y54" s="45"/>
      <c r="Z54" s="45"/>
      <c r="AA54" s="45"/>
      <c r="AB54" s="45"/>
      <c r="AC54" s="45"/>
      <c r="AD54" s="45"/>
      <c r="AE54" s="45"/>
      <c r="AF54" s="45"/>
      <c r="AG54" s="45"/>
      <c r="AH54" s="45"/>
      <c r="AI54" s="45"/>
      <c r="AJ54" s="45"/>
      <c r="AK54" s="45"/>
      <c r="AL54" s="45"/>
    </row>
    <row r="55" ht="15.75" customHeight="1">
      <c r="A55" s="27">
        <f t="shared" si="2"/>
        <v>45</v>
      </c>
      <c r="B55" s="28" t="s">
        <v>256</v>
      </c>
      <c r="C55" s="29" t="s">
        <v>257</v>
      </c>
      <c r="D55" s="39" t="s">
        <v>258</v>
      </c>
      <c r="E55" s="28" t="s">
        <v>28</v>
      </c>
      <c r="F55" s="28" t="s">
        <v>29</v>
      </c>
      <c r="G55" s="28" t="s">
        <v>234</v>
      </c>
      <c r="H55" s="28"/>
      <c r="I55" s="28" t="s">
        <v>38</v>
      </c>
      <c r="J55" s="28">
        <v>376.0</v>
      </c>
      <c r="K55" s="28"/>
      <c r="L55" s="31" t="s">
        <v>259</v>
      </c>
      <c r="M55" s="28" t="s">
        <v>236</v>
      </c>
      <c r="N55" s="28">
        <v>2007.0</v>
      </c>
      <c r="O55" s="31">
        <v>7.0</v>
      </c>
      <c r="P55" s="28">
        <v>1.0</v>
      </c>
      <c r="Q55" s="37">
        <v>1.0</v>
      </c>
      <c r="R55" s="33"/>
      <c r="S55" s="34"/>
      <c r="T55" s="34"/>
      <c r="U55" s="34"/>
      <c r="V55" s="34"/>
      <c r="W55" s="34"/>
      <c r="X55" s="34"/>
      <c r="Y55" s="45"/>
      <c r="Z55" s="45"/>
      <c r="AA55" s="45"/>
      <c r="AB55" s="45"/>
      <c r="AC55" s="45"/>
      <c r="AD55" s="45"/>
      <c r="AE55" s="45"/>
      <c r="AF55" s="45"/>
      <c r="AG55" s="45"/>
      <c r="AH55" s="45"/>
      <c r="AI55" s="45"/>
      <c r="AJ55" s="45"/>
      <c r="AK55" s="45"/>
      <c r="AL55" s="45"/>
    </row>
    <row r="56" ht="15.75" customHeight="1">
      <c r="A56" s="27">
        <f t="shared" si="2"/>
        <v>46</v>
      </c>
      <c r="B56" s="28" t="s">
        <v>260</v>
      </c>
      <c r="C56" s="29" t="s">
        <v>261</v>
      </c>
      <c r="D56" s="39" t="s">
        <v>262</v>
      </c>
      <c r="E56" s="28" t="s">
        <v>223</v>
      </c>
      <c r="F56" s="28" t="s">
        <v>29</v>
      </c>
      <c r="G56" s="28" t="s">
        <v>37</v>
      </c>
      <c r="H56" s="28"/>
      <c r="I56" s="28" t="s">
        <v>38</v>
      </c>
      <c r="J56" s="28">
        <v>171.0</v>
      </c>
      <c r="K56" s="28"/>
      <c r="L56" s="31" t="s">
        <v>263</v>
      </c>
      <c r="M56" s="28" t="s">
        <v>54</v>
      </c>
      <c r="N56" s="28">
        <v>1972.0</v>
      </c>
      <c r="O56" s="31" t="s">
        <v>225</v>
      </c>
      <c r="P56" s="28">
        <v>3.0</v>
      </c>
      <c r="Q56" s="37">
        <v>3.0</v>
      </c>
      <c r="R56" s="33"/>
      <c r="S56" s="34"/>
      <c r="T56" s="34"/>
      <c r="U56" s="34"/>
      <c r="V56" s="34"/>
      <c r="W56" s="34"/>
      <c r="X56" s="34"/>
      <c r="Y56" s="45"/>
      <c r="Z56" s="45"/>
      <c r="AA56" s="45"/>
      <c r="AB56" s="45"/>
      <c r="AC56" s="45"/>
      <c r="AD56" s="45"/>
      <c r="AE56" s="45"/>
      <c r="AF56" s="45"/>
      <c r="AG56" s="45"/>
      <c r="AH56" s="45"/>
      <c r="AI56" s="45"/>
      <c r="AJ56" s="45"/>
      <c r="AK56" s="45"/>
      <c r="AL56" s="45"/>
    </row>
    <row r="57" ht="15.75" customHeight="1">
      <c r="A57" s="27">
        <f t="shared" si="2"/>
        <v>47</v>
      </c>
      <c r="B57" s="28" t="s">
        <v>264</v>
      </c>
      <c r="C57" s="29" t="s">
        <v>265</v>
      </c>
      <c r="D57" s="30" t="s">
        <v>266</v>
      </c>
      <c r="E57" s="28" t="s">
        <v>28</v>
      </c>
      <c r="F57" s="28" t="s">
        <v>29</v>
      </c>
      <c r="G57" s="28" t="s">
        <v>37</v>
      </c>
      <c r="H57" s="28"/>
      <c r="I57" s="28" t="s">
        <v>38</v>
      </c>
      <c r="J57" s="28">
        <v>812.0</v>
      </c>
      <c r="K57" s="28"/>
      <c r="L57" s="31" t="s">
        <v>267</v>
      </c>
      <c r="M57" s="28" t="s">
        <v>156</v>
      </c>
      <c r="N57" s="28">
        <v>1982.0</v>
      </c>
      <c r="O57" s="31">
        <v>7.0</v>
      </c>
      <c r="P57" s="28">
        <v>1.0</v>
      </c>
      <c r="Q57" s="37">
        <v>1.0</v>
      </c>
      <c r="R57" s="33"/>
      <c r="S57" s="34"/>
      <c r="T57" s="34"/>
      <c r="U57" s="34"/>
      <c r="V57" s="34"/>
      <c r="W57" s="34"/>
      <c r="X57" s="34"/>
      <c r="Y57" s="45"/>
      <c r="Z57" s="45"/>
      <c r="AA57" s="45"/>
      <c r="AB57" s="45"/>
      <c r="AC57" s="45"/>
      <c r="AD57" s="45"/>
      <c r="AE57" s="45"/>
      <c r="AF57" s="45"/>
      <c r="AG57" s="45"/>
      <c r="AH57" s="45"/>
      <c r="AI57" s="45"/>
      <c r="AJ57" s="45"/>
      <c r="AK57" s="45"/>
      <c r="AL57" s="45"/>
    </row>
    <row r="58" ht="15.75" hidden="1" customHeight="1">
      <c r="A58" s="27">
        <f t="shared" si="2"/>
        <v>48</v>
      </c>
      <c r="B58" s="49" t="s">
        <v>268</v>
      </c>
      <c r="C58" s="50" t="s">
        <v>269</v>
      </c>
      <c r="D58" s="55" t="s">
        <v>270</v>
      </c>
      <c r="E58" s="49" t="s">
        <v>137</v>
      </c>
      <c r="F58" s="49" t="s">
        <v>29</v>
      </c>
      <c r="G58" s="49" t="s">
        <v>58</v>
      </c>
      <c r="H58" s="49"/>
      <c r="I58" s="49" t="s">
        <v>38</v>
      </c>
      <c r="J58" s="49">
        <v>223.0</v>
      </c>
      <c r="K58" s="49"/>
      <c r="L58" s="52" t="s">
        <v>271</v>
      </c>
      <c r="M58" s="49" t="s">
        <v>272</v>
      </c>
      <c r="N58" s="49">
        <v>2002.0</v>
      </c>
      <c r="O58" s="49"/>
      <c r="P58" s="49">
        <v>1.0</v>
      </c>
      <c r="Q58" s="56">
        <v>1.0</v>
      </c>
      <c r="R58" s="54"/>
      <c r="S58" s="34"/>
      <c r="T58" s="34"/>
      <c r="U58" s="34"/>
      <c r="V58" s="34"/>
      <c r="W58" s="34"/>
      <c r="X58" s="34"/>
      <c r="Y58" s="45"/>
      <c r="Z58" s="45"/>
      <c r="AA58" s="45"/>
      <c r="AB58" s="45"/>
      <c r="AC58" s="45"/>
      <c r="AD58" s="45"/>
      <c r="AE58" s="45"/>
      <c r="AF58" s="45"/>
      <c r="AG58" s="45"/>
      <c r="AH58" s="45"/>
      <c r="AI58" s="45"/>
      <c r="AJ58" s="45"/>
      <c r="AK58" s="45"/>
      <c r="AL58" s="45"/>
    </row>
    <row r="59" ht="15.75" hidden="1" customHeight="1">
      <c r="A59" s="27">
        <f t="shared" si="2"/>
        <v>49</v>
      </c>
      <c r="B59" s="49" t="s">
        <v>273</v>
      </c>
      <c r="C59" s="50" t="s">
        <v>274</v>
      </c>
      <c r="D59" s="55" t="s">
        <v>275</v>
      </c>
      <c r="E59" s="49" t="s">
        <v>137</v>
      </c>
      <c r="F59" s="49" t="s">
        <v>29</v>
      </c>
      <c r="G59" s="49" t="s">
        <v>37</v>
      </c>
      <c r="H59" s="49"/>
      <c r="I59" s="49" t="s">
        <v>38</v>
      </c>
      <c r="J59" s="49">
        <v>256.0</v>
      </c>
      <c r="K59" s="49"/>
      <c r="L59" s="49" t="s">
        <v>276</v>
      </c>
      <c r="M59" s="49" t="s">
        <v>277</v>
      </c>
      <c r="N59" s="49">
        <v>2000.0</v>
      </c>
      <c r="O59" s="49"/>
      <c r="P59" s="49">
        <v>1.0</v>
      </c>
      <c r="Q59" s="53">
        <v>1.0</v>
      </c>
      <c r="R59" s="54"/>
      <c r="S59" s="38"/>
      <c r="T59" s="38"/>
      <c r="U59" s="38"/>
      <c r="V59" s="38"/>
      <c r="W59" s="38"/>
      <c r="X59" s="38"/>
      <c r="Y59" s="45"/>
      <c r="Z59" s="45"/>
      <c r="AA59" s="45"/>
      <c r="AB59" s="45"/>
      <c r="AC59" s="45"/>
      <c r="AD59" s="45"/>
      <c r="AE59" s="45"/>
      <c r="AF59" s="45"/>
      <c r="AG59" s="45"/>
      <c r="AH59" s="45"/>
      <c r="AI59" s="45"/>
      <c r="AJ59" s="45"/>
      <c r="AK59" s="45"/>
      <c r="AL59" s="45"/>
    </row>
    <row r="60" ht="15.75" customHeight="1">
      <c r="A60" s="27">
        <f t="shared" si="2"/>
        <v>50</v>
      </c>
      <c r="B60" s="57" t="s">
        <v>278</v>
      </c>
      <c r="C60" s="29" t="s">
        <v>279</v>
      </c>
      <c r="D60" s="30" t="s">
        <v>280</v>
      </c>
      <c r="E60" s="28" t="s">
        <v>28</v>
      </c>
      <c r="F60" s="28" t="s">
        <v>29</v>
      </c>
      <c r="G60" s="28" t="s">
        <v>38</v>
      </c>
      <c r="H60" s="28"/>
      <c r="I60" s="28" t="s">
        <v>38</v>
      </c>
      <c r="J60" s="28">
        <v>234.0</v>
      </c>
      <c r="K60" s="28"/>
      <c r="L60" s="31" t="s">
        <v>281</v>
      </c>
      <c r="M60" s="28" t="s">
        <v>250</v>
      </c>
      <c r="N60" s="28">
        <v>1988.0</v>
      </c>
      <c r="O60" s="31">
        <v>8.0</v>
      </c>
      <c r="P60" s="28">
        <v>1.0</v>
      </c>
      <c r="Q60" s="32">
        <v>1.0</v>
      </c>
      <c r="R60" s="33"/>
      <c r="S60" s="34"/>
      <c r="T60" s="34"/>
      <c r="U60" s="34"/>
      <c r="V60" s="34"/>
      <c r="W60" s="34"/>
      <c r="X60" s="34"/>
      <c r="Y60" s="45"/>
      <c r="Z60" s="45"/>
      <c r="AA60" s="45"/>
      <c r="AB60" s="45"/>
      <c r="AC60" s="45"/>
      <c r="AD60" s="45"/>
      <c r="AE60" s="45"/>
      <c r="AF60" s="45"/>
      <c r="AG60" s="45"/>
      <c r="AH60" s="45"/>
      <c r="AI60" s="45"/>
      <c r="AJ60" s="45"/>
      <c r="AK60" s="45"/>
      <c r="AL60" s="45"/>
    </row>
    <row r="61" ht="15.75" customHeight="1">
      <c r="A61" s="27">
        <f t="shared" si="2"/>
        <v>51</v>
      </c>
      <c r="B61" s="28" t="s">
        <v>282</v>
      </c>
      <c r="C61" s="48" t="s">
        <v>283</v>
      </c>
      <c r="D61" s="39" t="s">
        <v>284</v>
      </c>
      <c r="E61" s="28" t="s">
        <v>28</v>
      </c>
      <c r="F61" s="28" t="s">
        <v>29</v>
      </c>
      <c r="G61" s="28" t="s">
        <v>37</v>
      </c>
      <c r="H61" s="28"/>
      <c r="I61" s="28" t="s">
        <v>38</v>
      </c>
      <c r="J61" s="28">
        <v>127.0</v>
      </c>
      <c r="K61" s="28"/>
      <c r="L61" s="31" t="s">
        <v>285</v>
      </c>
      <c r="M61" s="28" t="s">
        <v>286</v>
      </c>
      <c r="N61" s="28">
        <v>1973.0</v>
      </c>
      <c r="O61" s="31">
        <v>8.0</v>
      </c>
      <c r="P61" s="28">
        <v>1.0</v>
      </c>
      <c r="Q61" s="37">
        <v>1.0</v>
      </c>
      <c r="R61" s="33"/>
      <c r="S61" s="34"/>
      <c r="T61" s="34"/>
      <c r="U61" s="34"/>
      <c r="V61" s="34"/>
      <c r="W61" s="34"/>
      <c r="X61" s="34"/>
      <c r="Y61" s="45"/>
      <c r="Z61" s="45"/>
      <c r="AA61" s="45"/>
      <c r="AB61" s="45"/>
      <c r="AC61" s="45"/>
      <c r="AD61" s="45"/>
      <c r="AE61" s="45"/>
      <c r="AF61" s="45"/>
      <c r="AG61" s="45"/>
      <c r="AH61" s="45"/>
      <c r="AI61" s="45"/>
      <c r="AJ61" s="45"/>
      <c r="AK61" s="45"/>
      <c r="AL61" s="45"/>
    </row>
    <row r="62" ht="15.75" customHeight="1">
      <c r="A62" s="27">
        <f t="shared" si="2"/>
        <v>52</v>
      </c>
      <c r="B62" s="28" t="s">
        <v>287</v>
      </c>
      <c r="C62" s="29" t="s">
        <v>288</v>
      </c>
      <c r="D62" s="39" t="s">
        <v>289</v>
      </c>
      <c r="E62" s="28" t="s">
        <v>28</v>
      </c>
      <c r="F62" s="28" t="s">
        <v>29</v>
      </c>
      <c r="G62" s="28" t="s">
        <v>37</v>
      </c>
      <c r="H62" s="28"/>
      <c r="I62" s="28" t="s">
        <v>38</v>
      </c>
      <c r="J62" s="28">
        <v>411.0</v>
      </c>
      <c r="K62" s="28"/>
      <c r="L62" s="28" t="s">
        <v>290</v>
      </c>
      <c r="M62" s="28" t="s">
        <v>291</v>
      </c>
      <c r="N62" s="28">
        <v>2002.0</v>
      </c>
      <c r="O62" s="31">
        <v>8.0</v>
      </c>
      <c r="P62" s="28">
        <v>1.0</v>
      </c>
      <c r="Q62" s="32">
        <v>1.0</v>
      </c>
      <c r="R62" s="33"/>
      <c r="S62" s="40"/>
      <c r="T62" s="40"/>
      <c r="U62" s="40"/>
      <c r="V62" s="40"/>
      <c r="W62" s="40"/>
      <c r="X62" s="40"/>
      <c r="Y62" s="45"/>
      <c r="Z62" s="45"/>
      <c r="AA62" s="45"/>
      <c r="AB62" s="45"/>
      <c r="AC62" s="45"/>
      <c r="AD62" s="45"/>
      <c r="AE62" s="45"/>
      <c r="AF62" s="45"/>
      <c r="AG62" s="45"/>
      <c r="AH62" s="45"/>
      <c r="AI62" s="45"/>
      <c r="AJ62" s="45"/>
      <c r="AK62" s="45"/>
      <c r="AL62" s="45"/>
    </row>
    <row r="63" ht="15.75" customHeight="1">
      <c r="A63" s="27">
        <f t="shared" si="2"/>
        <v>53</v>
      </c>
      <c r="B63" s="58" t="s">
        <v>292</v>
      </c>
      <c r="C63" s="29" t="s">
        <v>293</v>
      </c>
      <c r="D63" s="39" t="s">
        <v>294</v>
      </c>
      <c r="E63" s="28" t="s">
        <v>28</v>
      </c>
      <c r="F63" s="28" t="s">
        <v>29</v>
      </c>
      <c r="G63" s="28" t="s">
        <v>37</v>
      </c>
      <c r="H63" s="28"/>
      <c r="I63" s="28" t="s">
        <v>38</v>
      </c>
      <c r="J63" s="28">
        <v>308.0</v>
      </c>
      <c r="K63" s="28"/>
      <c r="L63" s="28" t="s">
        <v>295</v>
      </c>
      <c r="M63" s="28" t="s">
        <v>178</v>
      </c>
      <c r="N63" s="28">
        <v>1984.0</v>
      </c>
      <c r="O63" s="31">
        <v>8.0</v>
      </c>
      <c r="P63" s="31">
        <v>2.0</v>
      </c>
      <c r="Q63" s="37">
        <v>2.0</v>
      </c>
      <c r="R63" s="33"/>
      <c r="S63" s="40"/>
      <c r="T63" s="40"/>
      <c r="U63" s="40"/>
      <c r="V63" s="40"/>
      <c r="W63" s="40"/>
      <c r="X63" s="40"/>
      <c r="Y63" s="45"/>
      <c r="Z63" s="45"/>
      <c r="AA63" s="45"/>
      <c r="AB63" s="45"/>
      <c r="AC63" s="45"/>
      <c r="AD63" s="45"/>
      <c r="AE63" s="45"/>
      <c r="AF63" s="45"/>
      <c r="AG63" s="45"/>
      <c r="AH63" s="45"/>
      <c r="AI63" s="45"/>
      <c r="AJ63" s="45"/>
      <c r="AK63" s="45"/>
      <c r="AL63" s="45"/>
    </row>
    <row r="64" ht="15.75" customHeight="1">
      <c r="A64" s="27">
        <f t="shared" si="2"/>
        <v>54</v>
      </c>
      <c r="B64" s="31" t="s">
        <v>296</v>
      </c>
      <c r="C64" s="29" t="s">
        <v>297</v>
      </c>
      <c r="D64" s="39" t="s">
        <v>298</v>
      </c>
      <c r="E64" s="28" t="s">
        <v>28</v>
      </c>
      <c r="F64" s="28" t="s">
        <v>29</v>
      </c>
      <c r="G64" s="28" t="s">
        <v>37</v>
      </c>
      <c r="H64" s="28"/>
      <c r="I64" s="28" t="s">
        <v>38</v>
      </c>
      <c r="J64" s="31">
        <v>366.0</v>
      </c>
      <c r="K64" s="28"/>
      <c r="L64" s="28" t="s">
        <v>295</v>
      </c>
      <c r="M64" s="28" t="s">
        <v>178</v>
      </c>
      <c r="N64" s="31">
        <v>1984.0</v>
      </c>
      <c r="O64" s="31">
        <v>8.0</v>
      </c>
      <c r="P64" s="31">
        <v>1.0</v>
      </c>
      <c r="Q64" s="37">
        <v>1.0</v>
      </c>
      <c r="R64" s="33"/>
      <c r="S64" s="40"/>
      <c r="T64" s="40"/>
      <c r="U64" s="40"/>
      <c r="V64" s="40"/>
      <c r="W64" s="40"/>
      <c r="X64" s="40"/>
      <c r="Y64" s="59"/>
      <c r="Z64" s="59"/>
      <c r="AA64" s="59"/>
      <c r="AB64" s="59"/>
      <c r="AC64" s="59"/>
      <c r="AD64" s="59"/>
      <c r="AE64" s="59"/>
      <c r="AF64" s="59"/>
      <c r="AG64" s="59"/>
      <c r="AH64" s="59"/>
      <c r="AI64" s="59"/>
      <c r="AJ64" s="59"/>
      <c r="AK64" s="59"/>
      <c r="AL64" s="59"/>
    </row>
    <row r="65" ht="22.5" customHeight="1">
      <c r="A65" s="27">
        <f t="shared" si="2"/>
        <v>55</v>
      </c>
      <c r="B65" s="28" t="s">
        <v>299</v>
      </c>
      <c r="C65" s="29" t="s">
        <v>300</v>
      </c>
      <c r="D65" s="30" t="s">
        <v>301</v>
      </c>
      <c r="E65" s="43" t="s">
        <v>302</v>
      </c>
      <c r="F65" s="28" t="s">
        <v>29</v>
      </c>
      <c r="G65" s="28" t="s">
        <v>30</v>
      </c>
      <c r="H65" s="28"/>
      <c r="I65" s="28" t="s">
        <v>30</v>
      </c>
      <c r="J65" s="31">
        <v>341.0</v>
      </c>
      <c r="K65" s="28"/>
      <c r="L65" s="28" t="s">
        <v>303</v>
      </c>
      <c r="M65" s="28" t="s">
        <v>151</v>
      </c>
      <c r="N65" s="28">
        <v>1990.0</v>
      </c>
      <c r="O65" s="31">
        <v>8.0</v>
      </c>
      <c r="P65" s="28">
        <v>1.0</v>
      </c>
      <c r="Q65" s="32">
        <v>1.0</v>
      </c>
      <c r="R65" s="33"/>
      <c r="S65" s="40"/>
      <c r="T65" s="40"/>
      <c r="U65" s="40"/>
      <c r="V65" s="40"/>
      <c r="W65" s="40"/>
      <c r="X65" s="40"/>
      <c r="Y65" s="45"/>
      <c r="Z65" s="45"/>
      <c r="AA65" s="45"/>
      <c r="AB65" s="45"/>
      <c r="AC65" s="45"/>
      <c r="AD65" s="45"/>
      <c r="AE65" s="45"/>
      <c r="AF65" s="45"/>
      <c r="AG65" s="45"/>
      <c r="AH65" s="45"/>
      <c r="AI65" s="45"/>
      <c r="AJ65" s="45"/>
      <c r="AK65" s="45"/>
      <c r="AL65" s="45"/>
    </row>
    <row r="66" ht="22.5" customHeight="1">
      <c r="A66" s="27">
        <f t="shared" si="2"/>
        <v>56</v>
      </c>
      <c r="B66" s="28" t="s">
        <v>304</v>
      </c>
      <c r="C66" s="29" t="s">
        <v>305</v>
      </c>
      <c r="D66" s="39" t="s">
        <v>306</v>
      </c>
      <c r="E66" s="28" t="s">
        <v>28</v>
      </c>
      <c r="F66" s="28" t="s">
        <v>29</v>
      </c>
      <c r="G66" s="28" t="s">
        <v>37</v>
      </c>
      <c r="H66" s="28"/>
      <c r="I66" s="28" t="s">
        <v>38</v>
      </c>
      <c r="J66" s="28">
        <v>304.0</v>
      </c>
      <c r="K66" s="28"/>
      <c r="L66" s="28" t="s">
        <v>307</v>
      </c>
      <c r="M66" s="28" t="s">
        <v>123</v>
      </c>
      <c r="N66" s="28">
        <v>2001.0</v>
      </c>
      <c r="O66" s="31">
        <v>9.0</v>
      </c>
      <c r="P66" s="28">
        <v>1.0</v>
      </c>
      <c r="Q66" s="32">
        <v>1.0</v>
      </c>
      <c r="R66" s="33"/>
      <c r="S66" s="40"/>
      <c r="T66" s="40"/>
      <c r="U66" s="40"/>
      <c r="V66" s="40"/>
      <c r="W66" s="40"/>
      <c r="X66" s="40"/>
      <c r="Y66" s="45"/>
      <c r="Z66" s="45"/>
      <c r="AA66" s="45"/>
      <c r="AB66" s="45"/>
      <c r="AC66" s="45"/>
      <c r="AD66" s="45"/>
      <c r="AE66" s="45"/>
      <c r="AF66" s="45"/>
      <c r="AG66" s="45"/>
      <c r="AH66" s="45"/>
      <c r="AI66" s="45"/>
      <c r="AJ66" s="45"/>
      <c r="AK66" s="45"/>
      <c r="AL66" s="45"/>
    </row>
    <row r="67" ht="22.5" customHeight="1">
      <c r="A67" s="27">
        <f t="shared" si="2"/>
        <v>57</v>
      </c>
      <c r="B67" s="28" t="s">
        <v>308</v>
      </c>
      <c r="C67" s="29" t="s">
        <v>309</v>
      </c>
      <c r="D67" s="39" t="s">
        <v>310</v>
      </c>
      <c r="E67" s="28" t="s">
        <v>28</v>
      </c>
      <c r="F67" s="28" t="s">
        <v>29</v>
      </c>
      <c r="G67" s="28" t="s">
        <v>37</v>
      </c>
      <c r="H67" s="28"/>
      <c r="I67" s="28" t="s">
        <v>38</v>
      </c>
      <c r="J67" s="31">
        <v>348.0</v>
      </c>
      <c r="K67" s="28"/>
      <c r="L67" s="28" t="s">
        <v>311</v>
      </c>
      <c r="M67" s="28" t="s">
        <v>230</v>
      </c>
      <c r="N67" s="28">
        <v>2006.0</v>
      </c>
      <c r="O67" s="31">
        <v>7.0</v>
      </c>
      <c r="P67" s="28">
        <v>1.0</v>
      </c>
      <c r="Q67" s="32">
        <v>1.0</v>
      </c>
      <c r="R67" s="33"/>
      <c r="S67" s="40"/>
      <c r="T67" s="40"/>
      <c r="U67" s="40"/>
      <c r="V67" s="40"/>
      <c r="W67" s="40"/>
      <c r="X67" s="40"/>
      <c r="Y67" s="45"/>
      <c r="Z67" s="45"/>
      <c r="AA67" s="45"/>
      <c r="AB67" s="45"/>
      <c r="AC67" s="45"/>
      <c r="AD67" s="45"/>
      <c r="AE67" s="45"/>
      <c r="AF67" s="45"/>
      <c r="AG67" s="45"/>
      <c r="AH67" s="45"/>
      <c r="AI67" s="45"/>
      <c r="AJ67" s="45"/>
      <c r="AK67" s="45"/>
      <c r="AL67" s="45"/>
    </row>
    <row r="68" ht="22.5" customHeight="1">
      <c r="A68" s="27">
        <f t="shared" si="2"/>
        <v>58</v>
      </c>
      <c r="B68" s="28" t="s">
        <v>312</v>
      </c>
      <c r="C68" s="29" t="s">
        <v>313</v>
      </c>
      <c r="D68" s="30" t="s">
        <v>314</v>
      </c>
      <c r="E68" s="28" t="s">
        <v>28</v>
      </c>
      <c r="F68" s="28" t="s">
        <v>29</v>
      </c>
      <c r="G68" s="28" t="s">
        <v>37</v>
      </c>
      <c r="H68" s="28"/>
      <c r="I68" s="28" t="s">
        <v>38</v>
      </c>
      <c r="J68" s="28">
        <v>192.0</v>
      </c>
      <c r="K68" s="28"/>
      <c r="L68" s="31" t="s">
        <v>315</v>
      </c>
      <c r="M68" s="28" t="s">
        <v>250</v>
      </c>
      <c r="N68" s="28">
        <v>1978.0</v>
      </c>
      <c r="O68" s="31">
        <v>8.0</v>
      </c>
      <c r="P68" s="28">
        <v>1.0</v>
      </c>
      <c r="Q68" s="32">
        <v>1.0</v>
      </c>
      <c r="R68" s="33"/>
      <c r="S68" s="40"/>
      <c r="T68" s="40"/>
      <c r="U68" s="40"/>
      <c r="V68" s="40"/>
      <c r="W68" s="40"/>
      <c r="X68" s="40"/>
      <c r="Y68" s="45"/>
      <c r="Z68" s="45"/>
      <c r="AA68" s="45"/>
      <c r="AB68" s="45"/>
      <c r="AC68" s="45"/>
      <c r="AD68" s="45"/>
      <c r="AE68" s="45"/>
      <c r="AF68" s="45"/>
      <c r="AG68" s="45"/>
      <c r="AH68" s="45"/>
      <c r="AI68" s="45"/>
      <c r="AJ68" s="45"/>
      <c r="AK68" s="45"/>
      <c r="AL68" s="45"/>
    </row>
    <row r="69" ht="22.5" customHeight="1">
      <c r="A69" s="27">
        <f t="shared" si="2"/>
        <v>59</v>
      </c>
      <c r="B69" s="28" t="s">
        <v>31</v>
      </c>
      <c r="C69" s="29" t="s">
        <v>316</v>
      </c>
      <c r="D69" s="39" t="s">
        <v>317</v>
      </c>
      <c r="E69" s="28" t="s">
        <v>28</v>
      </c>
      <c r="F69" s="28" t="s">
        <v>29</v>
      </c>
      <c r="G69" s="28" t="s">
        <v>38</v>
      </c>
      <c r="H69" s="28"/>
      <c r="I69" s="28" t="s">
        <v>38</v>
      </c>
      <c r="J69" s="28">
        <v>517.0</v>
      </c>
      <c r="K69" s="28"/>
      <c r="L69" s="31" t="s">
        <v>318</v>
      </c>
      <c r="M69" s="28" t="s">
        <v>196</v>
      </c>
      <c r="N69" s="28">
        <v>1961.0</v>
      </c>
      <c r="O69" s="31">
        <v>7.0</v>
      </c>
      <c r="P69" s="28">
        <v>1.0</v>
      </c>
      <c r="Q69" s="37">
        <v>1.0</v>
      </c>
      <c r="R69" s="33"/>
      <c r="S69" s="40"/>
      <c r="T69" s="40"/>
      <c r="U69" s="40"/>
      <c r="V69" s="40"/>
      <c r="W69" s="40"/>
      <c r="X69" s="40"/>
      <c r="Y69" s="45"/>
      <c r="Z69" s="45"/>
      <c r="AA69" s="45"/>
      <c r="AB69" s="45"/>
      <c r="AC69" s="45"/>
      <c r="AD69" s="45"/>
      <c r="AE69" s="45"/>
      <c r="AF69" s="45"/>
      <c r="AG69" s="45"/>
      <c r="AH69" s="45"/>
      <c r="AI69" s="45"/>
      <c r="AJ69" s="45"/>
      <c r="AK69" s="45"/>
      <c r="AL69" s="45"/>
    </row>
    <row r="70" ht="22.5" customHeight="1">
      <c r="A70" s="27">
        <f t="shared" si="2"/>
        <v>60</v>
      </c>
      <c r="B70" s="28" t="s">
        <v>319</v>
      </c>
      <c r="C70" s="29" t="s">
        <v>320</v>
      </c>
      <c r="D70" s="30" t="s">
        <v>321</v>
      </c>
      <c r="E70" s="28" t="s">
        <v>28</v>
      </c>
      <c r="F70" s="28" t="s">
        <v>29</v>
      </c>
      <c r="G70" s="28" t="s">
        <v>37</v>
      </c>
      <c r="H70" s="28"/>
      <c r="I70" s="28" t="s">
        <v>38</v>
      </c>
      <c r="J70" s="28">
        <v>208.0</v>
      </c>
      <c r="K70" s="28"/>
      <c r="L70" s="28" t="s">
        <v>322</v>
      </c>
      <c r="M70" s="28" t="s">
        <v>250</v>
      </c>
      <c r="N70" s="28">
        <v>1987.0</v>
      </c>
      <c r="O70" s="31">
        <v>8.0</v>
      </c>
      <c r="P70" s="28">
        <v>1.0</v>
      </c>
      <c r="Q70" s="32">
        <v>1.0</v>
      </c>
      <c r="R70" s="33"/>
      <c r="S70" s="40"/>
      <c r="T70" s="40"/>
      <c r="U70" s="40"/>
      <c r="V70" s="40"/>
      <c r="W70" s="40"/>
      <c r="X70" s="40"/>
      <c r="Y70" s="45"/>
      <c r="Z70" s="45"/>
      <c r="AA70" s="45"/>
      <c r="AB70" s="45"/>
      <c r="AC70" s="45"/>
      <c r="AD70" s="45"/>
      <c r="AE70" s="45"/>
      <c r="AF70" s="45"/>
      <c r="AG70" s="45"/>
      <c r="AH70" s="45"/>
      <c r="AI70" s="45"/>
      <c r="AJ70" s="45"/>
      <c r="AK70" s="45"/>
      <c r="AL70" s="45"/>
    </row>
    <row r="71" ht="22.5" customHeight="1">
      <c r="A71" s="27">
        <f t="shared" si="2"/>
        <v>61</v>
      </c>
      <c r="B71" s="28" t="s">
        <v>323</v>
      </c>
      <c r="C71" s="29" t="s">
        <v>324</v>
      </c>
      <c r="D71" s="39" t="s">
        <v>325</v>
      </c>
      <c r="E71" s="28" t="s">
        <v>223</v>
      </c>
      <c r="F71" s="28" t="s">
        <v>29</v>
      </c>
      <c r="G71" s="28" t="s">
        <v>37</v>
      </c>
      <c r="H71" s="28"/>
      <c r="I71" s="28" t="s">
        <v>38</v>
      </c>
      <c r="J71" s="31">
        <v>190.0</v>
      </c>
      <c r="K71" s="28"/>
      <c r="L71" s="31" t="s">
        <v>326</v>
      </c>
      <c r="M71" s="28" t="s">
        <v>54</v>
      </c>
      <c r="N71" s="28">
        <v>1980.0</v>
      </c>
      <c r="O71" s="31" t="s">
        <v>225</v>
      </c>
      <c r="P71" s="31">
        <v>4.0</v>
      </c>
      <c r="Q71" s="37">
        <v>4.0</v>
      </c>
      <c r="R71" s="33"/>
      <c r="S71" s="40"/>
      <c r="T71" s="40"/>
      <c r="U71" s="40"/>
      <c r="V71" s="40"/>
      <c r="W71" s="40"/>
      <c r="X71" s="40"/>
      <c r="Y71" s="45"/>
      <c r="Z71" s="45"/>
      <c r="AA71" s="45"/>
      <c r="AB71" s="45"/>
      <c r="AC71" s="45"/>
      <c r="AD71" s="45"/>
      <c r="AE71" s="45"/>
      <c r="AF71" s="45"/>
      <c r="AG71" s="45"/>
      <c r="AH71" s="45"/>
      <c r="AI71" s="45"/>
      <c r="AJ71" s="45"/>
      <c r="AK71" s="45"/>
      <c r="AL71" s="45"/>
    </row>
    <row r="72" ht="22.5" customHeight="1">
      <c r="A72" s="27">
        <f t="shared" si="2"/>
        <v>62</v>
      </c>
      <c r="B72" s="28" t="s">
        <v>327</v>
      </c>
      <c r="C72" s="29" t="s">
        <v>328</v>
      </c>
      <c r="D72" s="39" t="s">
        <v>329</v>
      </c>
      <c r="E72" s="28" t="s">
        <v>28</v>
      </c>
      <c r="F72" s="28" t="s">
        <v>29</v>
      </c>
      <c r="G72" s="28" t="s">
        <v>37</v>
      </c>
      <c r="H72" s="28"/>
      <c r="I72" s="28" t="s">
        <v>38</v>
      </c>
      <c r="J72" s="28">
        <v>423.0</v>
      </c>
      <c r="K72" s="28"/>
      <c r="L72" s="28" t="s">
        <v>330</v>
      </c>
      <c r="M72" s="28" t="s">
        <v>178</v>
      </c>
      <c r="N72" s="28">
        <v>1996.0</v>
      </c>
      <c r="O72" s="31">
        <v>8.0</v>
      </c>
      <c r="P72" s="28">
        <v>1.0</v>
      </c>
      <c r="Q72" s="32">
        <v>1.0</v>
      </c>
      <c r="R72" s="33"/>
      <c r="S72" s="40"/>
      <c r="T72" s="40"/>
      <c r="U72" s="40"/>
      <c r="V72" s="40"/>
      <c r="W72" s="40"/>
      <c r="X72" s="40"/>
      <c r="Y72" s="45"/>
      <c r="Z72" s="45"/>
      <c r="AA72" s="45"/>
      <c r="AB72" s="45"/>
      <c r="AC72" s="45"/>
      <c r="AD72" s="45"/>
      <c r="AE72" s="45"/>
      <c r="AF72" s="45"/>
      <c r="AG72" s="45"/>
      <c r="AH72" s="45"/>
      <c r="AI72" s="45"/>
      <c r="AJ72" s="45"/>
      <c r="AK72" s="45"/>
      <c r="AL72" s="45"/>
    </row>
    <row r="73" ht="22.5" customHeight="1">
      <c r="A73" s="27">
        <f t="shared" si="2"/>
        <v>63</v>
      </c>
      <c r="B73" s="28" t="s">
        <v>331</v>
      </c>
      <c r="C73" s="29" t="s">
        <v>332</v>
      </c>
      <c r="D73" s="39" t="s">
        <v>333</v>
      </c>
      <c r="E73" s="28" t="s">
        <v>28</v>
      </c>
      <c r="F73" s="28" t="s">
        <v>29</v>
      </c>
      <c r="G73" s="28" t="s">
        <v>37</v>
      </c>
      <c r="H73" s="28"/>
      <c r="I73" s="28" t="s">
        <v>38</v>
      </c>
      <c r="J73" s="28">
        <v>333.0</v>
      </c>
      <c r="K73" s="28"/>
      <c r="L73" s="28" t="s">
        <v>334</v>
      </c>
      <c r="M73" s="28" t="s">
        <v>335</v>
      </c>
      <c r="N73" s="28" t="s">
        <v>31</v>
      </c>
      <c r="O73" s="31">
        <v>8.0</v>
      </c>
      <c r="P73" s="28">
        <v>1.0</v>
      </c>
      <c r="Q73" s="37">
        <v>1.0</v>
      </c>
      <c r="R73" s="33"/>
      <c r="S73" s="40"/>
      <c r="T73" s="40"/>
      <c r="U73" s="40"/>
      <c r="V73" s="40"/>
      <c r="W73" s="40"/>
      <c r="X73" s="40"/>
      <c r="Y73" s="45"/>
      <c r="Z73" s="45"/>
      <c r="AA73" s="45"/>
      <c r="AB73" s="45"/>
      <c r="AC73" s="45"/>
      <c r="AD73" s="45"/>
      <c r="AE73" s="45"/>
      <c r="AF73" s="45"/>
      <c r="AG73" s="45"/>
      <c r="AH73" s="45"/>
      <c r="AI73" s="45"/>
      <c r="AJ73" s="45"/>
      <c r="AK73" s="45"/>
      <c r="AL73" s="45"/>
    </row>
    <row r="74" ht="22.5" customHeight="1">
      <c r="A74" s="27">
        <f t="shared" si="2"/>
        <v>64</v>
      </c>
      <c r="B74" s="28" t="s">
        <v>336</v>
      </c>
      <c r="C74" s="29" t="s">
        <v>337</v>
      </c>
      <c r="D74" s="30" t="s">
        <v>338</v>
      </c>
      <c r="E74" s="28" t="s">
        <v>28</v>
      </c>
      <c r="F74" s="28" t="s">
        <v>29</v>
      </c>
      <c r="G74" s="28" t="s">
        <v>31</v>
      </c>
      <c r="H74" s="28"/>
      <c r="I74" s="28" t="s">
        <v>38</v>
      </c>
      <c r="J74" s="28">
        <v>191.0</v>
      </c>
      <c r="K74" s="28"/>
      <c r="L74" s="31" t="s">
        <v>339</v>
      </c>
      <c r="M74" s="28" t="s">
        <v>250</v>
      </c>
      <c r="N74" s="28">
        <v>1986.0</v>
      </c>
      <c r="O74" s="31">
        <v>8.0</v>
      </c>
      <c r="P74" s="28">
        <v>1.0</v>
      </c>
      <c r="Q74" s="32">
        <v>1.0</v>
      </c>
      <c r="R74" s="33"/>
      <c r="S74" s="40"/>
      <c r="T74" s="40"/>
      <c r="U74" s="40"/>
      <c r="V74" s="40"/>
      <c r="W74" s="40"/>
      <c r="X74" s="40"/>
      <c r="Y74" s="45"/>
      <c r="Z74" s="45"/>
      <c r="AA74" s="45"/>
      <c r="AB74" s="45"/>
      <c r="AC74" s="45"/>
      <c r="AD74" s="45"/>
      <c r="AE74" s="45"/>
      <c r="AF74" s="45"/>
      <c r="AG74" s="45"/>
      <c r="AH74" s="45"/>
      <c r="AI74" s="45"/>
      <c r="AJ74" s="45"/>
      <c r="AK74" s="45"/>
      <c r="AL74" s="45"/>
    </row>
    <row r="75" ht="22.5" customHeight="1">
      <c r="A75" s="27">
        <f t="shared" si="2"/>
        <v>65</v>
      </c>
      <c r="B75" s="28" t="s">
        <v>340</v>
      </c>
      <c r="C75" s="29" t="s">
        <v>341</v>
      </c>
      <c r="D75" s="39" t="s">
        <v>342</v>
      </c>
      <c r="E75" s="28" t="s">
        <v>28</v>
      </c>
      <c r="F75" s="28" t="s">
        <v>29</v>
      </c>
      <c r="G75" s="28" t="s">
        <v>234</v>
      </c>
      <c r="H75" s="28"/>
      <c r="I75" s="28" t="s">
        <v>38</v>
      </c>
      <c r="J75" s="28">
        <v>240.0</v>
      </c>
      <c r="K75" s="28"/>
      <c r="L75" s="28" t="s">
        <v>343</v>
      </c>
      <c r="M75" s="28" t="s">
        <v>236</v>
      </c>
      <c r="N75" s="28">
        <v>1988.0</v>
      </c>
      <c r="O75" s="31">
        <v>7.0</v>
      </c>
      <c r="P75" s="28">
        <v>1.0</v>
      </c>
      <c r="Q75" s="37">
        <v>1.0</v>
      </c>
      <c r="R75" s="33"/>
      <c r="S75" s="40"/>
      <c r="T75" s="40"/>
      <c r="U75" s="40"/>
      <c r="V75" s="40"/>
      <c r="W75" s="40"/>
      <c r="X75" s="40"/>
      <c r="Y75" s="45"/>
      <c r="Z75" s="45"/>
      <c r="AA75" s="45"/>
      <c r="AB75" s="45"/>
      <c r="AC75" s="45"/>
      <c r="AD75" s="45"/>
      <c r="AE75" s="45"/>
      <c r="AF75" s="45"/>
      <c r="AG75" s="45"/>
      <c r="AH75" s="45"/>
      <c r="AI75" s="45"/>
      <c r="AJ75" s="45"/>
      <c r="AK75" s="45"/>
      <c r="AL75" s="45"/>
    </row>
    <row r="76" ht="22.5" customHeight="1">
      <c r="A76" s="27">
        <f t="shared" si="2"/>
        <v>66</v>
      </c>
      <c r="B76" s="31" t="s">
        <v>344</v>
      </c>
      <c r="C76" s="29" t="s">
        <v>345</v>
      </c>
      <c r="D76" s="39" t="s">
        <v>346</v>
      </c>
      <c r="E76" s="28" t="s">
        <v>28</v>
      </c>
      <c r="F76" s="28" t="s">
        <v>29</v>
      </c>
      <c r="G76" s="28" t="s">
        <v>234</v>
      </c>
      <c r="H76" s="28"/>
      <c r="I76" s="28" t="s">
        <v>38</v>
      </c>
      <c r="J76" s="31">
        <v>337.0</v>
      </c>
      <c r="K76" s="28"/>
      <c r="L76" s="31" t="s">
        <v>347</v>
      </c>
      <c r="M76" s="28" t="s">
        <v>236</v>
      </c>
      <c r="N76" s="31">
        <v>1988.0</v>
      </c>
      <c r="O76" s="31">
        <v>7.0</v>
      </c>
      <c r="P76" s="31">
        <v>1.0</v>
      </c>
      <c r="Q76" s="37">
        <v>1.0</v>
      </c>
      <c r="R76" s="33"/>
      <c r="S76" s="34"/>
      <c r="T76" s="34"/>
      <c r="U76" s="34"/>
      <c r="V76" s="34"/>
      <c r="W76" s="34"/>
      <c r="X76" s="34"/>
      <c r="Y76" s="45"/>
      <c r="Z76" s="45"/>
      <c r="AA76" s="45"/>
      <c r="AB76" s="45"/>
      <c r="AC76" s="45"/>
      <c r="AD76" s="45"/>
      <c r="AE76" s="45"/>
      <c r="AF76" s="45"/>
      <c r="AG76" s="45"/>
      <c r="AH76" s="45"/>
      <c r="AI76" s="45"/>
      <c r="AJ76" s="45"/>
      <c r="AK76" s="45"/>
      <c r="AL76" s="45"/>
    </row>
    <row r="77" ht="22.5" customHeight="1">
      <c r="A77" s="27">
        <f t="shared" si="2"/>
        <v>67</v>
      </c>
      <c r="B77" s="28" t="s">
        <v>348</v>
      </c>
      <c r="C77" s="29" t="s">
        <v>349</v>
      </c>
      <c r="D77" s="30" t="s">
        <v>350</v>
      </c>
      <c r="E77" s="28"/>
      <c r="F77" s="28" t="s">
        <v>29</v>
      </c>
      <c r="G77" s="28" t="s">
        <v>37</v>
      </c>
      <c r="H77" s="28"/>
      <c r="I77" s="28" t="s">
        <v>38</v>
      </c>
      <c r="J77" s="60">
        <v>281.0</v>
      </c>
      <c r="K77" s="28"/>
      <c r="L77" s="28" t="s">
        <v>351</v>
      </c>
      <c r="M77" s="28" t="s">
        <v>352</v>
      </c>
      <c r="N77" s="28">
        <v>2010.0</v>
      </c>
      <c r="O77" s="31">
        <v>9.0</v>
      </c>
      <c r="P77" s="28">
        <v>1.0</v>
      </c>
      <c r="Q77" s="32">
        <v>1.0</v>
      </c>
      <c r="R77" s="33"/>
      <c r="S77" s="40"/>
      <c r="T77" s="40"/>
      <c r="U77" s="40"/>
      <c r="V77" s="40"/>
      <c r="W77" s="40"/>
      <c r="X77" s="40"/>
      <c r="Y77" s="45"/>
      <c r="Z77" s="45"/>
      <c r="AA77" s="45"/>
      <c r="AB77" s="45"/>
      <c r="AC77" s="45"/>
      <c r="AD77" s="45"/>
      <c r="AE77" s="45"/>
      <c r="AF77" s="45"/>
      <c r="AG77" s="45"/>
      <c r="AH77" s="45"/>
      <c r="AI77" s="45"/>
      <c r="AJ77" s="45"/>
      <c r="AK77" s="45"/>
      <c r="AL77" s="45"/>
    </row>
    <row r="78" ht="22.5" customHeight="1">
      <c r="A78" s="27">
        <f t="shared" si="2"/>
        <v>68</v>
      </c>
      <c r="B78" s="28" t="s">
        <v>31</v>
      </c>
      <c r="C78" s="29" t="s">
        <v>353</v>
      </c>
      <c r="D78" s="39" t="s">
        <v>354</v>
      </c>
      <c r="E78" s="28" t="s">
        <v>28</v>
      </c>
      <c r="F78" s="28" t="s">
        <v>29</v>
      </c>
      <c r="G78" s="28" t="s">
        <v>37</v>
      </c>
      <c r="H78" s="28"/>
      <c r="I78" s="28" t="s">
        <v>38</v>
      </c>
      <c r="J78" s="28">
        <v>817.0</v>
      </c>
      <c r="K78" s="28"/>
      <c r="L78" s="31" t="s">
        <v>355</v>
      </c>
      <c r="M78" s="28" t="s">
        <v>356</v>
      </c>
      <c r="N78" s="28">
        <v>1957.0</v>
      </c>
      <c r="O78" s="31" t="s">
        <v>89</v>
      </c>
      <c r="P78" s="28">
        <v>1.0</v>
      </c>
      <c r="Q78" s="32">
        <v>1.0</v>
      </c>
      <c r="R78" s="33"/>
      <c r="S78" s="40"/>
      <c r="T78" s="40"/>
      <c r="U78" s="40"/>
      <c r="V78" s="40"/>
      <c r="W78" s="40"/>
      <c r="X78" s="40"/>
      <c r="Y78" s="45"/>
      <c r="Z78" s="45"/>
      <c r="AA78" s="45"/>
      <c r="AB78" s="45"/>
      <c r="AC78" s="45"/>
      <c r="AD78" s="45"/>
      <c r="AE78" s="45"/>
      <c r="AF78" s="45"/>
      <c r="AG78" s="45"/>
      <c r="AH78" s="45"/>
      <c r="AI78" s="45"/>
      <c r="AJ78" s="45"/>
      <c r="AK78" s="45"/>
      <c r="AL78" s="45"/>
    </row>
    <row r="79" ht="22.5" customHeight="1">
      <c r="A79" s="27">
        <f t="shared" si="2"/>
        <v>69</v>
      </c>
      <c r="B79" s="28" t="s">
        <v>357</v>
      </c>
      <c r="C79" s="29" t="s">
        <v>358</v>
      </c>
      <c r="D79" s="39" t="s">
        <v>359</v>
      </c>
      <c r="E79" s="28" t="s">
        <v>28</v>
      </c>
      <c r="F79" s="28" t="s">
        <v>29</v>
      </c>
      <c r="G79" s="28" t="s">
        <v>37</v>
      </c>
      <c r="H79" s="28"/>
      <c r="I79" s="28" t="s">
        <v>38</v>
      </c>
      <c r="J79" s="28">
        <f>284+22</f>
        <v>306</v>
      </c>
      <c r="K79" s="28"/>
      <c r="L79" s="31" t="s">
        <v>360</v>
      </c>
      <c r="M79" s="28" t="s">
        <v>178</v>
      </c>
      <c r="N79" s="28">
        <v>1976.0</v>
      </c>
      <c r="O79" s="31">
        <v>8.0</v>
      </c>
      <c r="P79" s="28">
        <v>2.0</v>
      </c>
      <c r="Q79" s="32">
        <v>2.0</v>
      </c>
      <c r="R79" s="33"/>
      <c r="S79" s="40"/>
      <c r="T79" s="40"/>
      <c r="U79" s="40"/>
      <c r="V79" s="40"/>
      <c r="W79" s="40"/>
      <c r="X79" s="40"/>
      <c r="Y79" s="45"/>
      <c r="Z79" s="45"/>
      <c r="AA79" s="45"/>
      <c r="AB79" s="45"/>
      <c r="AC79" s="45"/>
      <c r="AD79" s="45"/>
      <c r="AE79" s="45"/>
      <c r="AF79" s="45"/>
      <c r="AG79" s="45"/>
      <c r="AH79" s="45"/>
      <c r="AI79" s="45"/>
      <c r="AJ79" s="45"/>
      <c r="AK79" s="45"/>
      <c r="AL79" s="45"/>
    </row>
    <row r="80" ht="22.5" customHeight="1">
      <c r="A80" s="27">
        <f t="shared" si="2"/>
        <v>70</v>
      </c>
      <c r="B80" s="28" t="s">
        <v>361</v>
      </c>
      <c r="C80" s="29" t="s">
        <v>362</v>
      </c>
      <c r="D80" s="39" t="s">
        <v>363</v>
      </c>
      <c r="E80" s="28" t="s">
        <v>28</v>
      </c>
      <c r="F80" s="28" t="s">
        <v>29</v>
      </c>
      <c r="G80" s="28" t="s">
        <v>37</v>
      </c>
      <c r="H80" s="28"/>
      <c r="I80" s="28" t="s">
        <v>38</v>
      </c>
      <c r="J80" s="28">
        <v>488.0</v>
      </c>
      <c r="K80" s="28"/>
      <c r="L80" s="28" t="s">
        <v>364</v>
      </c>
      <c r="M80" s="28" t="s">
        <v>365</v>
      </c>
      <c r="N80" s="28">
        <v>1960.0</v>
      </c>
      <c r="O80" s="31">
        <v>8.0</v>
      </c>
      <c r="P80" s="28">
        <v>1.0</v>
      </c>
      <c r="Q80" s="37">
        <v>1.0</v>
      </c>
      <c r="R80" s="33"/>
      <c r="S80" s="34"/>
      <c r="T80" s="34"/>
      <c r="U80" s="34"/>
      <c r="V80" s="34"/>
      <c r="W80" s="34"/>
      <c r="X80" s="34"/>
      <c r="Y80" s="45"/>
      <c r="Z80" s="45"/>
      <c r="AA80" s="45"/>
      <c r="AB80" s="45"/>
      <c r="AC80" s="45"/>
      <c r="AD80" s="45"/>
      <c r="AE80" s="45"/>
      <c r="AF80" s="45"/>
      <c r="AG80" s="45"/>
      <c r="AH80" s="45"/>
      <c r="AI80" s="45"/>
      <c r="AJ80" s="45"/>
      <c r="AK80" s="45"/>
      <c r="AL80" s="45"/>
    </row>
    <row r="81" ht="22.5" customHeight="1">
      <c r="A81" s="27">
        <f t="shared" si="2"/>
        <v>71</v>
      </c>
      <c r="B81" s="28" t="s">
        <v>366</v>
      </c>
      <c r="C81" s="29" t="s">
        <v>367</v>
      </c>
      <c r="D81" s="39" t="s">
        <v>368</v>
      </c>
      <c r="E81" s="28" t="s">
        <v>28</v>
      </c>
      <c r="F81" s="28" t="s">
        <v>29</v>
      </c>
      <c r="G81" s="28" t="s">
        <v>37</v>
      </c>
      <c r="H81" s="28"/>
      <c r="I81" s="28" t="s">
        <v>38</v>
      </c>
      <c r="J81" s="28">
        <v>272.0</v>
      </c>
      <c r="K81" s="28"/>
      <c r="L81" s="28" t="s">
        <v>369</v>
      </c>
      <c r="M81" s="28" t="s">
        <v>123</v>
      </c>
      <c r="N81" s="28">
        <v>1997.0</v>
      </c>
      <c r="O81" s="31">
        <v>9.0</v>
      </c>
      <c r="P81" s="28">
        <v>1.0</v>
      </c>
      <c r="Q81" s="32">
        <v>1.0</v>
      </c>
      <c r="R81" s="33"/>
      <c r="S81" s="34"/>
      <c r="T81" s="34"/>
      <c r="U81" s="34"/>
      <c r="V81" s="34"/>
      <c r="W81" s="34"/>
      <c r="X81" s="34"/>
      <c r="Y81" s="45"/>
      <c r="Z81" s="45"/>
      <c r="AA81" s="45"/>
      <c r="AB81" s="45"/>
      <c r="AC81" s="45"/>
      <c r="AD81" s="45"/>
      <c r="AE81" s="45"/>
      <c r="AF81" s="45"/>
      <c r="AG81" s="45"/>
      <c r="AH81" s="45"/>
      <c r="AI81" s="45"/>
      <c r="AJ81" s="45"/>
      <c r="AK81" s="45"/>
      <c r="AL81" s="45"/>
    </row>
    <row r="82" ht="22.5" customHeight="1">
      <c r="A82" s="27">
        <f t="shared" si="2"/>
        <v>72</v>
      </c>
      <c r="B82" s="28" t="s">
        <v>370</v>
      </c>
      <c r="C82" s="29" t="s">
        <v>371</v>
      </c>
      <c r="D82" s="30" t="s">
        <v>372</v>
      </c>
      <c r="E82" s="28" t="s">
        <v>28</v>
      </c>
      <c r="F82" s="28" t="s">
        <v>29</v>
      </c>
      <c r="G82" s="28" t="s">
        <v>37</v>
      </c>
      <c r="H82" s="28"/>
      <c r="I82" s="28" t="s">
        <v>38</v>
      </c>
      <c r="J82" s="28">
        <v>221.0</v>
      </c>
      <c r="K82" s="28"/>
      <c r="L82" s="28" t="s">
        <v>373</v>
      </c>
      <c r="M82" s="28" t="s">
        <v>156</v>
      </c>
      <c r="N82" s="28">
        <v>1964.0</v>
      </c>
      <c r="O82" s="31">
        <v>7.0</v>
      </c>
      <c r="P82" s="28">
        <v>3.0</v>
      </c>
      <c r="Q82" s="37">
        <v>3.0</v>
      </c>
      <c r="R82" s="33"/>
      <c r="S82" s="40"/>
      <c r="T82" s="40"/>
      <c r="U82" s="40"/>
      <c r="V82" s="40"/>
      <c r="W82" s="40"/>
      <c r="X82" s="40"/>
      <c r="Y82" s="45"/>
      <c r="Z82" s="45"/>
      <c r="AA82" s="45"/>
      <c r="AB82" s="45"/>
      <c r="AC82" s="45"/>
      <c r="AD82" s="45"/>
      <c r="AE82" s="45"/>
      <c r="AF82" s="45"/>
      <c r="AG82" s="45"/>
      <c r="AH82" s="45"/>
      <c r="AI82" s="45"/>
      <c r="AJ82" s="45"/>
      <c r="AK82" s="45"/>
      <c r="AL82" s="45"/>
    </row>
    <row r="83" ht="22.5" customHeight="1">
      <c r="A83" s="27">
        <f t="shared" si="2"/>
        <v>73</v>
      </c>
      <c r="B83" s="28" t="s">
        <v>374</v>
      </c>
      <c r="C83" s="29" t="s">
        <v>375</v>
      </c>
      <c r="D83" s="39" t="s">
        <v>376</v>
      </c>
      <c r="E83" s="28" t="s">
        <v>28</v>
      </c>
      <c r="F83" s="28" t="s">
        <v>29</v>
      </c>
      <c r="G83" s="28" t="s">
        <v>37</v>
      </c>
      <c r="H83" s="28" t="s">
        <v>31</v>
      </c>
      <c r="I83" s="28" t="s">
        <v>38</v>
      </c>
      <c r="J83" s="31">
        <v>255.0</v>
      </c>
      <c r="K83" s="28"/>
      <c r="L83" s="28" t="s">
        <v>377</v>
      </c>
      <c r="M83" s="28" t="s">
        <v>230</v>
      </c>
      <c r="N83" s="28">
        <v>2000.0</v>
      </c>
      <c r="O83" s="31">
        <v>7.0</v>
      </c>
      <c r="P83" s="28">
        <v>1.0</v>
      </c>
      <c r="Q83" s="32">
        <v>1.0</v>
      </c>
      <c r="R83" s="33"/>
      <c r="S83" s="34"/>
      <c r="T83" s="34"/>
      <c r="U83" s="34"/>
      <c r="V83" s="34"/>
      <c r="W83" s="34"/>
      <c r="X83" s="34"/>
      <c r="Y83" s="45"/>
      <c r="Z83" s="45"/>
      <c r="AA83" s="45"/>
      <c r="AB83" s="45"/>
      <c r="AC83" s="45"/>
      <c r="AD83" s="45"/>
      <c r="AE83" s="45"/>
      <c r="AF83" s="45"/>
      <c r="AG83" s="45"/>
      <c r="AH83" s="45"/>
      <c r="AI83" s="45"/>
      <c r="AJ83" s="45"/>
      <c r="AK83" s="45"/>
      <c r="AL83" s="45"/>
    </row>
    <row r="84" ht="22.5" customHeight="1">
      <c r="A84" s="27">
        <f t="shared" si="2"/>
        <v>74</v>
      </c>
      <c r="B84" s="28" t="s">
        <v>378</v>
      </c>
      <c r="C84" s="29" t="s">
        <v>379</v>
      </c>
      <c r="D84" s="30" t="s">
        <v>380</v>
      </c>
      <c r="E84" s="28" t="s">
        <v>28</v>
      </c>
      <c r="F84" s="28" t="s">
        <v>29</v>
      </c>
      <c r="G84" s="28" t="s">
        <v>37</v>
      </c>
      <c r="H84" s="33"/>
      <c r="I84" s="28" t="s">
        <v>38</v>
      </c>
      <c r="J84" s="28">
        <v>358.0</v>
      </c>
      <c r="K84" s="28"/>
      <c r="L84" s="28" t="s">
        <v>381</v>
      </c>
      <c r="M84" s="28" t="s">
        <v>382</v>
      </c>
      <c r="N84" s="28">
        <v>2014.0</v>
      </c>
      <c r="O84" s="31">
        <v>8.0</v>
      </c>
      <c r="P84" s="28">
        <v>1.0</v>
      </c>
      <c r="Q84" s="32">
        <v>1.0</v>
      </c>
      <c r="R84" s="33"/>
      <c r="S84" s="34"/>
      <c r="T84" s="34"/>
      <c r="U84" s="34"/>
      <c r="V84" s="34"/>
      <c r="W84" s="34"/>
      <c r="X84" s="34"/>
      <c r="Y84" s="45"/>
      <c r="Z84" s="45"/>
      <c r="AA84" s="45"/>
      <c r="AB84" s="45"/>
      <c r="AC84" s="45"/>
      <c r="AD84" s="45"/>
      <c r="AE84" s="45"/>
      <c r="AF84" s="45"/>
      <c r="AG84" s="45"/>
      <c r="AH84" s="45"/>
      <c r="AI84" s="45"/>
      <c r="AJ84" s="45"/>
      <c r="AK84" s="45"/>
      <c r="AL84" s="45"/>
    </row>
    <row r="85" ht="22.5" customHeight="1">
      <c r="A85" s="27">
        <f t="shared" si="2"/>
        <v>75</v>
      </c>
      <c r="B85" s="28" t="s">
        <v>383</v>
      </c>
      <c r="C85" s="29" t="s">
        <v>384</v>
      </c>
      <c r="D85" s="30" t="s">
        <v>385</v>
      </c>
      <c r="E85" s="28" t="s">
        <v>28</v>
      </c>
      <c r="F85" s="28" t="s">
        <v>29</v>
      </c>
      <c r="G85" s="28" t="s">
        <v>386</v>
      </c>
      <c r="H85" s="28"/>
      <c r="I85" s="28" t="s">
        <v>30</v>
      </c>
      <c r="J85" s="28">
        <v>348.0</v>
      </c>
      <c r="K85" s="28"/>
      <c r="L85" s="28" t="s">
        <v>387</v>
      </c>
      <c r="M85" s="28" t="s">
        <v>169</v>
      </c>
      <c r="N85" s="28">
        <v>2018.0</v>
      </c>
      <c r="O85" s="28" t="s">
        <v>388</v>
      </c>
      <c r="P85" s="28">
        <v>1.0</v>
      </c>
      <c r="Q85" s="32">
        <v>1.0</v>
      </c>
      <c r="R85" s="33"/>
      <c r="S85" s="40"/>
      <c r="T85" s="40"/>
      <c r="U85" s="40"/>
      <c r="V85" s="40"/>
      <c r="W85" s="40"/>
      <c r="X85" s="40"/>
      <c r="Y85" s="45"/>
      <c r="Z85" s="45"/>
      <c r="AA85" s="45"/>
      <c r="AB85" s="45"/>
      <c r="AC85" s="45"/>
      <c r="AD85" s="45"/>
      <c r="AE85" s="45"/>
      <c r="AF85" s="45"/>
      <c r="AG85" s="45"/>
      <c r="AH85" s="45"/>
      <c r="AI85" s="45"/>
      <c r="AJ85" s="45"/>
      <c r="AK85" s="45"/>
      <c r="AL85" s="45"/>
    </row>
    <row r="86" ht="22.5" customHeight="1">
      <c r="A86" s="27">
        <f t="shared" si="2"/>
        <v>76</v>
      </c>
      <c r="B86" s="28" t="s">
        <v>389</v>
      </c>
      <c r="C86" s="29" t="s">
        <v>390</v>
      </c>
      <c r="D86" s="39" t="s">
        <v>391</v>
      </c>
      <c r="E86" s="28" t="s">
        <v>28</v>
      </c>
      <c r="F86" s="28" t="s">
        <v>29</v>
      </c>
      <c r="G86" s="28" t="s">
        <v>37</v>
      </c>
      <c r="H86" s="28"/>
      <c r="I86" s="28" t="s">
        <v>38</v>
      </c>
      <c r="J86" s="28">
        <v>228.0</v>
      </c>
      <c r="K86" s="28"/>
      <c r="L86" s="31" t="s">
        <v>249</v>
      </c>
      <c r="M86" s="28" t="s">
        <v>250</v>
      </c>
      <c r="N86" s="28">
        <v>1986.0</v>
      </c>
      <c r="O86" s="31">
        <v>8.0</v>
      </c>
      <c r="P86" s="28">
        <v>1.0</v>
      </c>
      <c r="Q86" s="32">
        <v>1.0</v>
      </c>
      <c r="R86" s="33"/>
      <c r="S86" s="40"/>
      <c r="T86" s="40"/>
      <c r="U86" s="40"/>
      <c r="V86" s="40"/>
      <c r="W86" s="40"/>
      <c r="X86" s="40"/>
      <c r="Y86" s="45"/>
      <c r="Z86" s="45"/>
      <c r="AA86" s="45"/>
      <c r="AB86" s="45"/>
      <c r="AC86" s="45"/>
      <c r="AD86" s="45"/>
      <c r="AE86" s="45"/>
      <c r="AF86" s="45"/>
      <c r="AG86" s="45"/>
      <c r="AH86" s="45"/>
      <c r="AI86" s="45"/>
      <c r="AJ86" s="45"/>
      <c r="AK86" s="45"/>
      <c r="AL86" s="45"/>
    </row>
    <row r="87" ht="22.5" customHeight="1">
      <c r="A87" s="27">
        <f t="shared" si="2"/>
        <v>77</v>
      </c>
      <c r="B87" s="28" t="s">
        <v>31</v>
      </c>
      <c r="C87" s="29" t="s">
        <v>392</v>
      </c>
      <c r="D87" s="39" t="s">
        <v>393</v>
      </c>
      <c r="E87" s="28" t="s">
        <v>28</v>
      </c>
      <c r="F87" s="28" t="s">
        <v>29</v>
      </c>
      <c r="G87" s="28" t="s">
        <v>37</v>
      </c>
      <c r="H87" s="28"/>
      <c r="I87" s="28" t="s">
        <v>38</v>
      </c>
      <c r="J87" s="28">
        <v>242.0</v>
      </c>
      <c r="K87" s="28"/>
      <c r="L87" s="31" t="s">
        <v>394</v>
      </c>
      <c r="M87" s="31" t="s">
        <v>213</v>
      </c>
      <c r="N87" s="28">
        <v>1964.0</v>
      </c>
      <c r="O87" s="31">
        <v>7.0</v>
      </c>
      <c r="P87" s="31">
        <v>2.0</v>
      </c>
      <c r="Q87" s="37">
        <v>2.0</v>
      </c>
      <c r="R87" s="33"/>
      <c r="S87" s="40"/>
      <c r="T87" s="40"/>
      <c r="U87" s="40"/>
      <c r="V87" s="40"/>
      <c r="W87" s="40"/>
      <c r="X87" s="40"/>
      <c r="Y87" s="45"/>
      <c r="Z87" s="45"/>
      <c r="AA87" s="45"/>
      <c r="AB87" s="45"/>
      <c r="AC87" s="45"/>
      <c r="AD87" s="45"/>
      <c r="AE87" s="45"/>
      <c r="AF87" s="45"/>
      <c r="AG87" s="45"/>
      <c r="AH87" s="45"/>
      <c r="AI87" s="45"/>
      <c r="AJ87" s="45"/>
      <c r="AK87" s="45"/>
      <c r="AL87" s="45"/>
    </row>
    <row r="88" ht="22.5" customHeight="1">
      <c r="A88" s="27">
        <f t="shared" si="2"/>
        <v>78</v>
      </c>
      <c r="B88" s="28" t="s">
        <v>395</v>
      </c>
      <c r="C88" s="29" t="s">
        <v>396</v>
      </c>
      <c r="D88" s="30" t="s">
        <v>397</v>
      </c>
      <c r="E88" s="28" t="s">
        <v>28</v>
      </c>
      <c r="F88" s="28" t="s">
        <v>29</v>
      </c>
      <c r="G88" s="28" t="s">
        <v>37</v>
      </c>
      <c r="H88" s="28"/>
      <c r="I88" s="28" t="s">
        <v>38</v>
      </c>
      <c r="J88" s="28">
        <v>280.0</v>
      </c>
      <c r="K88" s="28"/>
      <c r="L88" s="28" t="s">
        <v>398</v>
      </c>
      <c r="M88" s="28" t="s">
        <v>382</v>
      </c>
      <c r="N88" s="28">
        <v>2008.0</v>
      </c>
      <c r="O88" s="31">
        <v>8.0</v>
      </c>
      <c r="P88" s="28">
        <v>1.0</v>
      </c>
      <c r="Q88" s="32">
        <v>1.0</v>
      </c>
      <c r="R88" s="33"/>
      <c r="S88" s="34"/>
      <c r="T88" s="34"/>
      <c r="U88" s="34"/>
      <c r="V88" s="34"/>
      <c r="W88" s="34"/>
      <c r="X88" s="34"/>
      <c r="Y88" s="45"/>
      <c r="Z88" s="45"/>
      <c r="AA88" s="45"/>
      <c r="AB88" s="45"/>
      <c r="AC88" s="45"/>
      <c r="AD88" s="45"/>
      <c r="AE88" s="45"/>
      <c r="AF88" s="45"/>
      <c r="AG88" s="45"/>
      <c r="AH88" s="45"/>
      <c r="AI88" s="45"/>
      <c r="AJ88" s="45"/>
      <c r="AK88" s="45"/>
      <c r="AL88" s="45"/>
    </row>
    <row r="89" ht="22.5" customHeight="1">
      <c r="A89" s="27">
        <f t="shared" si="2"/>
        <v>79</v>
      </c>
      <c r="B89" s="28" t="s">
        <v>399</v>
      </c>
      <c r="C89" s="29" t="s">
        <v>400</v>
      </c>
      <c r="D89" s="30" t="s">
        <v>401</v>
      </c>
      <c r="E89" s="28" t="s">
        <v>28</v>
      </c>
      <c r="F89" s="28" t="s">
        <v>29</v>
      </c>
      <c r="G89" s="28" t="s">
        <v>37</v>
      </c>
      <c r="H89" s="28"/>
      <c r="I89" s="28" t="s">
        <v>38</v>
      </c>
      <c r="J89" s="28">
        <v>792.0</v>
      </c>
      <c r="K89" s="28"/>
      <c r="L89" s="28" t="s">
        <v>402</v>
      </c>
      <c r="M89" s="28" t="s">
        <v>382</v>
      </c>
      <c r="N89" s="28">
        <v>2006.0</v>
      </c>
      <c r="O89" s="31">
        <v>8.0</v>
      </c>
      <c r="P89" s="28">
        <v>1.0</v>
      </c>
      <c r="Q89" s="32">
        <v>1.0</v>
      </c>
      <c r="R89" s="33"/>
      <c r="S89" s="40"/>
      <c r="T89" s="40"/>
      <c r="U89" s="40"/>
      <c r="V89" s="40"/>
      <c r="W89" s="40"/>
      <c r="X89" s="40"/>
      <c r="Y89" s="45"/>
      <c r="Z89" s="45"/>
      <c r="AA89" s="45"/>
      <c r="AB89" s="45"/>
      <c r="AC89" s="45"/>
      <c r="AD89" s="45"/>
      <c r="AE89" s="45"/>
      <c r="AF89" s="45"/>
      <c r="AG89" s="45"/>
      <c r="AH89" s="45"/>
      <c r="AI89" s="45"/>
      <c r="AJ89" s="45"/>
      <c r="AK89" s="45"/>
      <c r="AL89" s="45"/>
    </row>
    <row r="90" ht="22.5" customHeight="1">
      <c r="A90" s="27">
        <f t="shared" si="2"/>
        <v>80</v>
      </c>
      <c r="B90" s="28" t="s">
        <v>31</v>
      </c>
      <c r="C90" s="29" t="s">
        <v>403</v>
      </c>
      <c r="D90" s="39" t="s">
        <v>404</v>
      </c>
      <c r="E90" s="28" t="s">
        <v>28</v>
      </c>
      <c r="F90" s="28" t="s">
        <v>29</v>
      </c>
      <c r="G90" s="28" t="s">
        <v>37</v>
      </c>
      <c r="H90" s="28"/>
      <c r="I90" s="28" t="s">
        <v>38</v>
      </c>
      <c r="J90" s="28">
        <v>264.0</v>
      </c>
      <c r="K90" s="28"/>
      <c r="L90" s="28" t="s">
        <v>405</v>
      </c>
      <c r="M90" s="31" t="s">
        <v>213</v>
      </c>
      <c r="N90" s="28">
        <v>1958.0</v>
      </c>
      <c r="O90" s="31">
        <v>7.0</v>
      </c>
      <c r="P90" s="28">
        <v>2.0</v>
      </c>
      <c r="Q90" s="37">
        <v>2.0</v>
      </c>
      <c r="R90" s="33"/>
      <c r="S90" s="34"/>
      <c r="T90" s="34"/>
      <c r="U90" s="34"/>
      <c r="V90" s="34"/>
      <c r="W90" s="34"/>
      <c r="X90" s="34"/>
      <c r="Y90" s="45"/>
      <c r="Z90" s="45"/>
      <c r="AA90" s="45"/>
      <c r="AB90" s="45"/>
      <c r="AC90" s="45"/>
      <c r="AD90" s="45"/>
      <c r="AE90" s="45"/>
      <c r="AF90" s="45"/>
      <c r="AG90" s="45"/>
      <c r="AH90" s="45"/>
      <c r="AI90" s="45"/>
      <c r="AJ90" s="45"/>
      <c r="AK90" s="45"/>
      <c r="AL90" s="45"/>
    </row>
    <row r="91" ht="22.5" customHeight="1">
      <c r="A91" s="27">
        <f t="shared" si="2"/>
        <v>81</v>
      </c>
      <c r="B91" s="31" t="s">
        <v>406</v>
      </c>
      <c r="C91" s="29" t="s">
        <v>407</v>
      </c>
      <c r="D91" s="39" t="s">
        <v>408</v>
      </c>
      <c r="E91" s="28" t="s">
        <v>28</v>
      </c>
      <c r="F91" s="28" t="s">
        <v>29</v>
      </c>
      <c r="G91" s="28" t="s">
        <v>234</v>
      </c>
      <c r="H91" s="28"/>
      <c r="I91" s="28" t="s">
        <v>38</v>
      </c>
      <c r="J91" s="31">
        <v>211.0</v>
      </c>
      <c r="K91" s="28"/>
      <c r="L91" s="28" t="s">
        <v>409</v>
      </c>
      <c r="M91" s="28" t="s">
        <v>236</v>
      </c>
      <c r="N91" s="31">
        <v>1991.0</v>
      </c>
      <c r="O91" s="31">
        <v>7.0</v>
      </c>
      <c r="P91" s="28">
        <v>1.0</v>
      </c>
      <c r="Q91" s="37">
        <v>1.0</v>
      </c>
      <c r="R91" s="33"/>
      <c r="S91" s="40"/>
      <c r="T91" s="40"/>
      <c r="U91" s="40"/>
      <c r="V91" s="40"/>
      <c r="W91" s="40"/>
      <c r="X91" s="40"/>
      <c r="Y91" s="45"/>
      <c r="Z91" s="45"/>
      <c r="AA91" s="45"/>
      <c r="AB91" s="45"/>
      <c r="AC91" s="45"/>
      <c r="AD91" s="45"/>
      <c r="AE91" s="45"/>
      <c r="AF91" s="45"/>
      <c r="AG91" s="45"/>
      <c r="AH91" s="45"/>
      <c r="AI91" s="45"/>
      <c r="AJ91" s="45"/>
      <c r="AK91" s="45"/>
      <c r="AL91" s="45"/>
    </row>
    <row r="92" ht="22.5" customHeight="1">
      <c r="A92" s="27">
        <f t="shared" si="2"/>
        <v>82</v>
      </c>
      <c r="B92" s="28" t="s">
        <v>410</v>
      </c>
      <c r="C92" s="29" t="s">
        <v>407</v>
      </c>
      <c r="D92" s="39" t="s">
        <v>411</v>
      </c>
      <c r="E92" s="28" t="s">
        <v>28</v>
      </c>
      <c r="F92" s="28" t="s">
        <v>29</v>
      </c>
      <c r="G92" s="28" t="s">
        <v>234</v>
      </c>
      <c r="H92" s="28"/>
      <c r="I92" s="28" t="s">
        <v>38</v>
      </c>
      <c r="J92" s="28">
        <v>617.0</v>
      </c>
      <c r="K92" s="28"/>
      <c r="L92" s="28" t="s">
        <v>409</v>
      </c>
      <c r="M92" s="28" t="s">
        <v>236</v>
      </c>
      <c r="N92" s="28">
        <v>2000.0</v>
      </c>
      <c r="O92" s="31">
        <v>7.0</v>
      </c>
      <c r="P92" s="28">
        <v>1.0</v>
      </c>
      <c r="Q92" s="37">
        <v>1.0</v>
      </c>
      <c r="R92" s="33"/>
      <c r="S92" s="40"/>
      <c r="T92" s="40"/>
      <c r="U92" s="40"/>
      <c r="V92" s="40"/>
      <c r="W92" s="40"/>
      <c r="X92" s="40"/>
      <c r="Y92" s="45"/>
      <c r="Z92" s="45"/>
      <c r="AA92" s="45"/>
      <c r="AB92" s="45"/>
      <c r="AC92" s="45"/>
      <c r="AD92" s="45"/>
      <c r="AE92" s="45"/>
      <c r="AF92" s="45"/>
      <c r="AG92" s="45"/>
      <c r="AH92" s="45"/>
      <c r="AI92" s="45"/>
      <c r="AJ92" s="45"/>
      <c r="AK92" s="45"/>
      <c r="AL92" s="45"/>
    </row>
    <row r="93" ht="22.5" customHeight="1">
      <c r="A93" s="27">
        <f t="shared" si="2"/>
        <v>83</v>
      </c>
      <c r="B93" s="28" t="s">
        <v>412</v>
      </c>
      <c r="C93" s="29" t="s">
        <v>413</v>
      </c>
      <c r="D93" s="39" t="s">
        <v>414</v>
      </c>
      <c r="E93" s="28" t="s">
        <v>302</v>
      </c>
      <c r="F93" s="28" t="s">
        <v>29</v>
      </c>
      <c r="G93" s="28" t="s">
        <v>37</v>
      </c>
      <c r="H93" s="28"/>
      <c r="I93" s="28" t="s">
        <v>38</v>
      </c>
      <c r="J93" s="28">
        <v>704.0</v>
      </c>
      <c r="K93" s="28"/>
      <c r="L93" s="28" t="s">
        <v>415</v>
      </c>
      <c r="M93" s="28" t="s">
        <v>178</v>
      </c>
      <c r="N93" s="28">
        <v>1985.0</v>
      </c>
      <c r="O93" s="31">
        <v>9.0</v>
      </c>
      <c r="P93" s="28">
        <v>1.0</v>
      </c>
      <c r="Q93" s="32">
        <v>1.0</v>
      </c>
      <c r="R93" s="33"/>
      <c r="S93" s="40"/>
      <c r="T93" s="40"/>
      <c r="U93" s="40"/>
      <c r="V93" s="40"/>
      <c r="W93" s="40"/>
      <c r="X93" s="40"/>
      <c r="Y93" s="45"/>
      <c r="Z93" s="45"/>
      <c r="AA93" s="45"/>
      <c r="AB93" s="45"/>
      <c r="AC93" s="45"/>
      <c r="AD93" s="45"/>
      <c r="AE93" s="45"/>
      <c r="AF93" s="45"/>
      <c r="AG93" s="45"/>
      <c r="AH93" s="45"/>
      <c r="AI93" s="45"/>
      <c r="AJ93" s="45"/>
      <c r="AK93" s="45"/>
      <c r="AL93" s="45"/>
    </row>
    <row r="94" ht="22.5" customHeight="1">
      <c r="A94" s="27">
        <f t="shared" si="2"/>
        <v>84</v>
      </c>
      <c r="B94" s="28" t="s">
        <v>416</v>
      </c>
      <c r="C94" s="29" t="s">
        <v>417</v>
      </c>
      <c r="D94" s="39" t="s">
        <v>418</v>
      </c>
      <c r="E94" s="28" t="s">
        <v>223</v>
      </c>
      <c r="F94" s="28" t="s">
        <v>29</v>
      </c>
      <c r="G94" s="28" t="s">
        <v>37</v>
      </c>
      <c r="H94" s="28"/>
      <c r="I94" s="28" t="s">
        <v>38</v>
      </c>
      <c r="J94" s="28">
        <v>364.0</v>
      </c>
      <c r="K94" s="28"/>
      <c r="L94" s="31" t="s">
        <v>419</v>
      </c>
      <c r="M94" s="28" t="s">
        <v>54</v>
      </c>
      <c r="N94" s="28">
        <v>1983.0</v>
      </c>
      <c r="O94" s="31" t="s">
        <v>225</v>
      </c>
      <c r="P94" s="28">
        <v>3.0</v>
      </c>
      <c r="Q94" s="37">
        <v>3.0</v>
      </c>
      <c r="R94" s="33"/>
      <c r="S94" s="40"/>
      <c r="T94" s="40"/>
      <c r="U94" s="40"/>
      <c r="V94" s="40"/>
      <c r="W94" s="40"/>
      <c r="X94" s="40"/>
      <c r="Y94" s="45"/>
      <c r="Z94" s="45"/>
      <c r="AA94" s="45"/>
      <c r="AB94" s="45"/>
      <c r="AC94" s="45"/>
      <c r="AD94" s="45"/>
      <c r="AE94" s="45"/>
      <c r="AF94" s="45"/>
      <c r="AG94" s="45"/>
      <c r="AH94" s="45"/>
      <c r="AI94" s="45"/>
      <c r="AJ94" s="45"/>
      <c r="AK94" s="45"/>
      <c r="AL94" s="45"/>
    </row>
    <row r="95" ht="22.5" customHeight="1">
      <c r="A95" s="27">
        <f t="shared" si="2"/>
        <v>85</v>
      </c>
      <c r="B95" s="28" t="s">
        <v>420</v>
      </c>
      <c r="C95" s="29" t="s">
        <v>421</v>
      </c>
      <c r="D95" s="30" t="s">
        <v>422</v>
      </c>
      <c r="E95" s="28" t="s">
        <v>28</v>
      </c>
      <c r="F95" s="28" t="s">
        <v>29</v>
      </c>
      <c r="G95" s="28" t="s">
        <v>37</v>
      </c>
      <c r="H95" s="28"/>
      <c r="I95" s="28" t="s">
        <v>38</v>
      </c>
      <c r="J95" s="28">
        <v>447.0</v>
      </c>
      <c r="K95" s="28"/>
      <c r="L95" s="31" t="s">
        <v>423</v>
      </c>
      <c r="M95" s="28" t="s">
        <v>230</v>
      </c>
      <c r="N95" s="28">
        <v>1964.0</v>
      </c>
      <c r="O95" s="31">
        <v>7.0</v>
      </c>
      <c r="P95" s="28">
        <v>1.0</v>
      </c>
      <c r="Q95" s="32">
        <v>1.0</v>
      </c>
      <c r="R95" s="33"/>
      <c r="S95" s="40"/>
      <c r="T95" s="40"/>
      <c r="U95" s="40"/>
      <c r="V95" s="40"/>
      <c r="W95" s="40"/>
      <c r="X95" s="40"/>
      <c r="Y95" s="45"/>
      <c r="Z95" s="45"/>
      <c r="AA95" s="45"/>
      <c r="AB95" s="45"/>
      <c r="AC95" s="45"/>
      <c r="AD95" s="45"/>
      <c r="AE95" s="45"/>
      <c r="AF95" s="45"/>
      <c r="AG95" s="45"/>
      <c r="AH95" s="45"/>
      <c r="AI95" s="45"/>
      <c r="AJ95" s="45"/>
      <c r="AK95" s="45"/>
      <c r="AL95" s="45"/>
    </row>
    <row r="96" ht="22.5" customHeight="1">
      <c r="A96" s="27">
        <f t="shared" si="2"/>
        <v>86</v>
      </c>
      <c r="B96" s="31" t="s">
        <v>424</v>
      </c>
      <c r="C96" s="29" t="s">
        <v>425</v>
      </c>
      <c r="D96" s="39" t="s">
        <v>426</v>
      </c>
      <c r="E96" s="28" t="s">
        <v>28</v>
      </c>
      <c r="F96" s="28" t="s">
        <v>29</v>
      </c>
      <c r="G96" s="28" t="s">
        <v>37</v>
      </c>
      <c r="H96" s="28"/>
      <c r="I96" s="28" t="s">
        <v>38</v>
      </c>
      <c r="J96" s="31">
        <v>352.0</v>
      </c>
      <c r="K96" s="28"/>
      <c r="L96" s="31" t="s">
        <v>427</v>
      </c>
      <c r="M96" s="28" t="s">
        <v>123</v>
      </c>
      <c r="N96" s="31">
        <v>1992.0</v>
      </c>
      <c r="O96" s="31">
        <v>9.0</v>
      </c>
      <c r="P96" s="31">
        <v>1.0</v>
      </c>
      <c r="Q96" s="37">
        <v>1.0</v>
      </c>
      <c r="R96" s="33"/>
      <c r="S96" s="40"/>
      <c r="T96" s="40"/>
      <c r="U96" s="40"/>
      <c r="V96" s="40"/>
      <c r="W96" s="40"/>
      <c r="X96" s="40"/>
      <c r="Y96" s="45"/>
      <c r="Z96" s="45"/>
      <c r="AA96" s="45"/>
      <c r="AB96" s="45"/>
      <c r="AC96" s="45"/>
      <c r="AD96" s="45"/>
      <c r="AE96" s="45"/>
      <c r="AF96" s="45"/>
      <c r="AG96" s="45"/>
      <c r="AH96" s="45"/>
      <c r="AI96" s="45"/>
      <c r="AJ96" s="45"/>
      <c r="AK96" s="45"/>
      <c r="AL96" s="45"/>
    </row>
    <row r="97" ht="22.5" customHeight="1">
      <c r="A97" s="27">
        <f t="shared" si="2"/>
        <v>87</v>
      </c>
      <c r="B97" s="28" t="s">
        <v>428</v>
      </c>
      <c r="C97" s="29" t="s">
        <v>429</v>
      </c>
      <c r="D97" s="39" t="s">
        <v>430</v>
      </c>
      <c r="E97" s="28" t="s">
        <v>28</v>
      </c>
      <c r="F97" s="28" t="s">
        <v>29</v>
      </c>
      <c r="G97" s="28" t="s">
        <v>37</v>
      </c>
      <c r="H97" s="28" t="s">
        <v>37</v>
      </c>
      <c r="I97" s="28" t="s">
        <v>38</v>
      </c>
      <c r="J97" s="28">
        <v>671.0</v>
      </c>
      <c r="K97" s="28"/>
      <c r="L97" s="28" t="s">
        <v>431</v>
      </c>
      <c r="M97" s="28" t="s">
        <v>123</v>
      </c>
      <c r="N97" s="28">
        <v>2010.0</v>
      </c>
      <c r="O97" s="31">
        <v>9.0</v>
      </c>
      <c r="P97" s="28">
        <v>1.0</v>
      </c>
      <c r="Q97" s="32">
        <v>1.0</v>
      </c>
      <c r="R97" s="33"/>
      <c r="S97" s="40"/>
      <c r="T97" s="40"/>
      <c r="U97" s="40"/>
      <c r="V97" s="40"/>
      <c r="W97" s="40"/>
      <c r="X97" s="40"/>
      <c r="Y97" s="45"/>
      <c r="Z97" s="45"/>
      <c r="AA97" s="45"/>
      <c r="AB97" s="45"/>
      <c r="AC97" s="45"/>
      <c r="AD97" s="45"/>
      <c r="AE97" s="45"/>
      <c r="AF97" s="45"/>
      <c r="AG97" s="45"/>
      <c r="AH97" s="45"/>
      <c r="AI97" s="45"/>
      <c r="AJ97" s="45"/>
      <c r="AK97" s="45"/>
      <c r="AL97" s="45"/>
    </row>
    <row r="98" ht="15.75" customHeight="1">
      <c r="A98" s="27">
        <f t="shared" si="2"/>
        <v>88</v>
      </c>
      <c r="B98" s="28" t="s">
        <v>432</v>
      </c>
      <c r="C98" s="29" t="s">
        <v>433</v>
      </c>
      <c r="D98" s="39" t="s">
        <v>434</v>
      </c>
      <c r="E98" s="28" t="s">
        <v>28</v>
      </c>
      <c r="F98" s="28" t="s">
        <v>29</v>
      </c>
      <c r="G98" s="28" t="s">
        <v>37</v>
      </c>
      <c r="H98" s="28"/>
      <c r="I98" s="28" t="s">
        <v>38</v>
      </c>
      <c r="J98" s="28">
        <v>604.0</v>
      </c>
      <c r="K98" s="28"/>
      <c r="L98" s="28" t="s">
        <v>435</v>
      </c>
      <c r="M98" s="28" t="s">
        <v>49</v>
      </c>
      <c r="N98" s="28">
        <v>2018.0</v>
      </c>
      <c r="O98" s="31">
        <v>7.0</v>
      </c>
      <c r="P98" s="28">
        <v>1.0</v>
      </c>
      <c r="Q98" s="32">
        <v>1.0</v>
      </c>
      <c r="R98" s="33"/>
      <c r="S98" s="40"/>
      <c r="T98" s="40"/>
      <c r="U98" s="40"/>
      <c r="V98" s="40"/>
      <c r="W98" s="40"/>
      <c r="X98" s="40"/>
      <c r="Y98" s="45"/>
      <c r="Z98" s="45"/>
      <c r="AA98" s="45"/>
      <c r="AB98" s="45"/>
      <c r="AC98" s="45"/>
      <c r="AD98" s="45"/>
      <c r="AE98" s="45"/>
      <c r="AF98" s="45"/>
      <c r="AG98" s="45"/>
      <c r="AH98" s="45"/>
      <c r="AI98" s="45"/>
      <c r="AJ98" s="45"/>
      <c r="AK98" s="45"/>
      <c r="AL98" s="45"/>
    </row>
    <row r="99" ht="15.75" customHeight="1">
      <c r="A99" s="27">
        <f t="shared" si="2"/>
        <v>89</v>
      </c>
      <c r="B99" s="28" t="s">
        <v>436</v>
      </c>
      <c r="C99" s="29" t="s">
        <v>437</v>
      </c>
      <c r="D99" s="30" t="s">
        <v>438</v>
      </c>
      <c r="E99" s="28" t="s">
        <v>28</v>
      </c>
      <c r="F99" s="28" t="s">
        <v>29</v>
      </c>
      <c r="G99" s="28" t="s">
        <v>37</v>
      </c>
      <c r="H99" s="28"/>
      <c r="I99" s="28" t="s">
        <v>38</v>
      </c>
      <c r="J99" s="28">
        <v>416.0</v>
      </c>
      <c r="K99" s="28"/>
      <c r="L99" s="28" t="s">
        <v>439</v>
      </c>
      <c r="M99" s="28" t="s">
        <v>230</v>
      </c>
      <c r="N99" s="28">
        <v>2012.0</v>
      </c>
      <c r="O99" s="31">
        <v>8.0</v>
      </c>
      <c r="P99" s="28">
        <v>1.0</v>
      </c>
      <c r="Q99" s="32">
        <v>1.0</v>
      </c>
      <c r="R99" s="33"/>
      <c r="S99" s="40"/>
      <c r="T99" s="40"/>
      <c r="U99" s="40"/>
      <c r="V99" s="40"/>
      <c r="W99" s="40"/>
      <c r="X99" s="40"/>
      <c r="Y99" s="45"/>
      <c r="Z99" s="45"/>
      <c r="AA99" s="45"/>
      <c r="AB99" s="45"/>
      <c r="AC99" s="45"/>
      <c r="AD99" s="45"/>
      <c r="AE99" s="45"/>
      <c r="AF99" s="45"/>
      <c r="AG99" s="45"/>
      <c r="AH99" s="45"/>
      <c r="AI99" s="45"/>
      <c r="AJ99" s="45"/>
      <c r="AK99" s="45"/>
      <c r="AL99" s="45"/>
    </row>
    <row r="100" ht="15.75" customHeight="1">
      <c r="A100" s="27">
        <f t="shared" si="2"/>
        <v>90</v>
      </c>
      <c r="B100" s="28" t="s">
        <v>31</v>
      </c>
      <c r="C100" s="29" t="s">
        <v>440</v>
      </c>
      <c r="D100" s="30" t="s">
        <v>441</v>
      </c>
      <c r="E100" s="28" t="s">
        <v>28</v>
      </c>
      <c r="F100" s="28" t="s">
        <v>29</v>
      </c>
      <c r="G100" s="28" t="s">
        <v>38</v>
      </c>
      <c r="H100" s="28"/>
      <c r="I100" s="28" t="s">
        <v>38</v>
      </c>
      <c r="J100" s="28">
        <v>125.0</v>
      </c>
      <c r="K100" s="28"/>
      <c r="L100" s="28" t="s">
        <v>442</v>
      </c>
      <c r="M100" s="28" t="s">
        <v>83</v>
      </c>
      <c r="N100" s="28">
        <v>1966.0</v>
      </c>
      <c r="O100" s="31">
        <v>8.0</v>
      </c>
      <c r="P100" s="28">
        <v>1.0</v>
      </c>
      <c r="Q100" s="32">
        <v>1.0</v>
      </c>
      <c r="R100" s="33"/>
      <c r="S100" s="40"/>
      <c r="T100" s="40"/>
      <c r="U100" s="40"/>
      <c r="V100" s="40"/>
      <c r="W100" s="40"/>
      <c r="X100" s="40"/>
      <c r="Y100" s="45"/>
      <c r="Z100" s="45"/>
      <c r="AA100" s="45"/>
      <c r="AB100" s="45"/>
      <c r="AC100" s="45"/>
      <c r="AD100" s="45"/>
      <c r="AE100" s="45"/>
      <c r="AF100" s="45"/>
      <c r="AG100" s="45"/>
      <c r="AH100" s="45"/>
      <c r="AI100" s="45"/>
      <c r="AJ100" s="45"/>
      <c r="AK100" s="45"/>
      <c r="AL100" s="45"/>
    </row>
    <row r="101" ht="15.75" customHeight="1">
      <c r="A101" s="27">
        <f t="shared" si="2"/>
        <v>91</v>
      </c>
      <c r="B101" s="28" t="s">
        <v>443</v>
      </c>
      <c r="C101" s="29" t="s">
        <v>444</v>
      </c>
      <c r="D101" s="30" t="s">
        <v>445</v>
      </c>
      <c r="E101" s="28" t="s">
        <v>28</v>
      </c>
      <c r="F101" s="28" t="s">
        <v>29</v>
      </c>
      <c r="G101" s="28" t="s">
        <v>37</v>
      </c>
      <c r="H101" s="28"/>
      <c r="I101" s="28" t="s">
        <v>38</v>
      </c>
      <c r="J101" s="28">
        <v>278.0</v>
      </c>
      <c r="K101" s="28"/>
      <c r="L101" s="28" t="s">
        <v>446</v>
      </c>
      <c r="M101" s="28" t="s">
        <v>230</v>
      </c>
      <c r="N101" s="28">
        <v>1991.0</v>
      </c>
      <c r="O101" s="31">
        <v>7.0</v>
      </c>
      <c r="P101" s="28">
        <v>1.0</v>
      </c>
      <c r="Q101" s="37">
        <v>1.0</v>
      </c>
      <c r="R101" s="33"/>
      <c r="S101" s="40"/>
      <c r="T101" s="40"/>
      <c r="U101" s="40"/>
      <c r="V101" s="40"/>
      <c r="W101" s="40"/>
      <c r="X101" s="40"/>
      <c r="Y101" s="45"/>
      <c r="Z101" s="45"/>
      <c r="AA101" s="45"/>
      <c r="AB101" s="45"/>
      <c r="AC101" s="45"/>
      <c r="AD101" s="45"/>
      <c r="AE101" s="45"/>
      <c r="AF101" s="45"/>
      <c r="AG101" s="45"/>
      <c r="AH101" s="45"/>
      <c r="AI101" s="45"/>
      <c r="AJ101" s="45"/>
      <c r="AK101" s="45"/>
      <c r="AL101" s="45"/>
    </row>
    <row r="102" ht="15.75" customHeight="1">
      <c r="A102" s="27">
        <f t="shared" si="2"/>
        <v>92</v>
      </c>
      <c r="B102" s="31" t="s">
        <v>447</v>
      </c>
      <c r="C102" s="29" t="s">
        <v>448</v>
      </c>
      <c r="D102" s="39" t="s">
        <v>449</v>
      </c>
      <c r="E102" s="28" t="s">
        <v>28</v>
      </c>
      <c r="F102" s="28" t="s">
        <v>29</v>
      </c>
      <c r="G102" s="28" t="s">
        <v>37</v>
      </c>
      <c r="H102" s="28" t="s">
        <v>31</v>
      </c>
      <c r="I102" s="28" t="s">
        <v>38</v>
      </c>
      <c r="J102" s="31">
        <v>400.0</v>
      </c>
      <c r="K102" s="28"/>
      <c r="L102" s="28" t="s">
        <v>450</v>
      </c>
      <c r="M102" s="28" t="s">
        <v>230</v>
      </c>
      <c r="N102" s="28">
        <v>2002.0</v>
      </c>
      <c r="O102" s="31">
        <v>7.0</v>
      </c>
      <c r="P102" s="28">
        <v>1.0</v>
      </c>
      <c r="Q102" s="32">
        <v>1.0</v>
      </c>
      <c r="R102" s="33"/>
      <c r="S102" s="34"/>
      <c r="T102" s="34"/>
      <c r="U102" s="34"/>
      <c r="V102" s="34"/>
      <c r="W102" s="34"/>
      <c r="X102" s="34"/>
      <c r="Y102" s="61"/>
      <c r="Z102" s="61"/>
      <c r="AA102" s="61"/>
      <c r="AB102" s="61"/>
      <c r="AC102" s="61"/>
      <c r="AD102" s="61"/>
      <c r="AE102" s="61"/>
      <c r="AF102" s="61"/>
      <c r="AG102" s="61"/>
      <c r="AH102" s="61"/>
      <c r="AI102" s="61"/>
      <c r="AJ102" s="61"/>
      <c r="AK102" s="61"/>
      <c r="AL102" s="61"/>
    </row>
    <row r="103" ht="15.75" customHeight="1">
      <c r="A103" s="27">
        <f t="shared" si="2"/>
        <v>93</v>
      </c>
      <c r="B103" s="28" t="s">
        <v>31</v>
      </c>
      <c r="C103" s="29" t="s">
        <v>451</v>
      </c>
      <c r="D103" s="30" t="s">
        <v>452</v>
      </c>
      <c r="E103" s="28" t="s">
        <v>28</v>
      </c>
      <c r="F103" s="28" t="s">
        <v>29</v>
      </c>
      <c r="G103" s="28" t="s">
        <v>37</v>
      </c>
      <c r="H103" s="28"/>
      <c r="I103" s="28" t="s">
        <v>38</v>
      </c>
      <c r="J103" s="28">
        <v>178.0</v>
      </c>
      <c r="K103" s="28"/>
      <c r="L103" s="28" t="s">
        <v>453</v>
      </c>
      <c r="M103" s="28" t="s">
        <v>454</v>
      </c>
      <c r="N103" s="28">
        <v>1975.0</v>
      </c>
      <c r="O103" s="31">
        <v>8.0</v>
      </c>
      <c r="P103" s="28">
        <v>2.0</v>
      </c>
      <c r="Q103" s="37">
        <v>2.0</v>
      </c>
      <c r="R103" s="33"/>
      <c r="S103" s="40"/>
      <c r="T103" s="40"/>
      <c r="U103" s="40"/>
      <c r="V103" s="40"/>
      <c r="W103" s="40"/>
      <c r="X103" s="40"/>
      <c r="Y103" s="61"/>
      <c r="Z103" s="61"/>
      <c r="AA103" s="61"/>
      <c r="AB103" s="61"/>
      <c r="AC103" s="61"/>
      <c r="AD103" s="61"/>
      <c r="AE103" s="61"/>
      <c r="AF103" s="61"/>
      <c r="AG103" s="61"/>
      <c r="AH103" s="61"/>
      <c r="AI103" s="61"/>
      <c r="AJ103" s="61"/>
      <c r="AK103" s="61"/>
      <c r="AL103" s="61"/>
    </row>
    <row r="104" ht="15.75" customHeight="1">
      <c r="A104" s="27">
        <f t="shared" si="2"/>
        <v>94</v>
      </c>
      <c r="B104" s="28" t="s">
        <v>455</v>
      </c>
      <c r="C104" s="29" t="s">
        <v>456</v>
      </c>
      <c r="D104" s="39" t="s">
        <v>457</v>
      </c>
      <c r="E104" s="28" t="s">
        <v>302</v>
      </c>
      <c r="F104" s="28" t="s">
        <v>29</v>
      </c>
      <c r="G104" s="28" t="s">
        <v>37</v>
      </c>
      <c r="H104" s="28"/>
      <c r="I104" s="28" t="s">
        <v>38</v>
      </c>
      <c r="J104" s="28">
        <v>886.0</v>
      </c>
      <c r="K104" s="28"/>
      <c r="L104" s="28" t="s">
        <v>458</v>
      </c>
      <c r="M104" s="28" t="s">
        <v>230</v>
      </c>
      <c r="N104" s="28">
        <v>2006.0</v>
      </c>
      <c r="O104" s="31">
        <v>7.0</v>
      </c>
      <c r="P104" s="28">
        <v>1.0</v>
      </c>
      <c r="Q104" s="37">
        <v>1.0</v>
      </c>
      <c r="R104" s="33"/>
      <c r="S104" s="40"/>
      <c r="T104" s="40"/>
      <c r="U104" s="40"/>
      <c r="V104" s="40"/>
      <c r="W104" s="40"/>
      <c r="X104" s="40"/>
      <c r="Y104" s="41"/>
      <c r="Z104" s="41"/>
      <c r="AA104" s="41"/>
      <c r="AB104" s="41"/>
      <c r="AC104" s="41"/>
      <c r="AD104" s="41"/>
      <c r="AE104" s="41"/>
      <c r="AF104" s="41"/>
      <c r="AG104" s="41"/>
      <c r="AH104" s="41"/>
      <c r="AI104" s="41"/>
      <c r="AJ104" s="41"/>
      <c r="AK104" s="41"/>
      <c r="AL104" s="41"/>
    </row>
    <row r="105" ht="15.75" customHeight="1">
      <c r="A105" s="27">
        <f t="shared" si="2"/>
        <v>95</v>
      </c>
      <c r="B105" s="28" t="s">
        <v>459</v>
      </c>
      <c r="C105" s="29" t="s">
        <v>460</v>
      </c>
      <c r="D105" s="39" t="s">
        <v>461</v>
      </c>
      <c r="E105" s="28" t="s">
        <v>28</v>
      </c>
      <c r="F105" s="28" t="s">
        <v>29</v>
      </c>
      <c r="G105" s="28" t="s">
        <v>37</v>
      </c>
      <c r="H105" s="28"/>
      <c r="I105" s="28" t="s">
        <v>38</v>
      </c>
      <c r="J105" s="31">
        <v>596.0</v>
      </c>
      <c r="K105" s="28"/>
      <c r="L105" s="28" t="s">
        <v>462</v>
      </c>
      <c r="M105" s="28" t="s">
        <v>230</v>
      </c>
      <c r="N105" s="28">
        <v>2010.0</v>
      </c>
      <c r="O105" s="31">
        <v>7.0</v>
      </c>
      <c r="P105" s="28">
        <v>2.0</v>
      </c>
      <c r="Q105" s="32">
        <v>2.0</v>
      </c>
      <c r="R105" s="33"/>
      <c r="S105" s="34"/>
      <c r="T105" s="34"/>
      <c r="U105" s="34"/>
      <c r="V105" s="34"/>
      <c r="W105" s="34"/>
      <c r="X105" s="34"/>
      <c r="Y105" s="61"/>
      <c r="Z105" s="61"/>
      <c r="AA105" s="61"/>
      <c r="AB105" s="61"/>
      <c r="AC105" s="61"/>
      <c r="AD105" s="61"/>
      <c r="AE105" s="61"/>
      <c r="AF105" s="61"/>
      <c r="AG105" s="61"/>
      <c r="AH105" s="61"/>
      <c r="AI105" s="61"/>
      <c r="AJ105" s="61"/>
      <c r="AK105" s="61"/>
      <c r="AL105" s="61"/>
    </row>
    <row r="106" ht="15.75" customHeight="1">
      <c r="A106" s="27">
        <f t="shared" si="2"/>
        <v>96</v>
      </c>
      <c r="B106" s="28" t="s">
        <v>31</v>
      </c>
      <c r="C106" s="29" t="s">
        <v>463</v>
      </c>
      <c r="D106" s="39" t="s">
        <v>464</v>
      </c>
      <c r="E106" s="28" t="s">
        <v>28</v>
      </c>
      <c r="F106" s="28" t="s">
        <v>29</v>
      </c>
      <c r="G106" s="28" t="s">
        <v>38</v>
      </c>
      <c r="H106" s="28"/>
      <c r="I106" s="28" t="s">
        <v>38</v>
      </c>
      <c r="J106" s="28">
        <v>204.0</v>
      </c>
      <c r="K106" s="28"/>
      <c r="L106" s="31" t="s">
        <v>465</v>
      </c>
      <c r="M106" s="28" t="s">
        <v>466</v>
      </c>
      <c r="N106" s="28">
        <v>1965.0</v>
      </c>
      <c r="O106" s="31">
        <v>7.0</v>
      </c>
      <c r="P106" s="28">
        <v>1.0</v>
      </c>
      <c r="Q106" s="37">
        <v>1.0</v>
      </c>
      <c r="R106" s="33"/>
      <c r="S106" s="40"/>
      <c r="T106" s="40"/>
      <c r="U106" s="40"/>
      <c r="V106" s="40"/>
      <c r="W106" s="40"/>
      <c r="X106" s="40"/>
      <c r="Y106" s="41"/>
      <c r="Z106" s="41"/>
      <c r="AA106" s="41"/>
      <c r="AB106" s="41"/>
      <c r="AC106" s="41"/>
      <c r="AD106" s="41"/>
      <c r="AE106" s="41"/>
      <c r="AF106" s="41"/>
      <c r="AG106" s="41"/>
      <c r="AH106" s="41"/>
      <c r="AI106" s="41"/>
      <c r="AJ106" s="41"/>
      <c r="AK106" s="41"/>
      <c r="AL106" s="41"/>
    </row>
    <row r="107" ht="15.75" customHeight="1">
      <c r="A107" s="27">
        <f t="shared" si="2"/>
        <v>97</v>
      </c>
      <c r="B107" s="28" t="s">
        <v>467</v>
      </c>
      <c r="C107" s="29" t="s">
        <v>468</v>
      </c>
      <c r="D107" s="39" t="s">
        <v>469</v>
      </c>
      <c r="E107" s="28" t="s">
        <v>28</v>
      </c>
      <c r="F107" s="28" t="s">
        <v>29</v>
      </c>
      <c r="G107" s="28" t="s">
        <v>37</v>
      </c>
      <c r="H107" s="28"/>
      <c r="I107" s="28" t="s">
        <v>38</v>
      </c>
      <c r="J107" s="28">
        <v>318.0</v>
      </c>
      <c r="K107" s="28"/>
      <c r="L107" s="28" t="s">
        <v>470</v>
      </c>
      <c r="M107" s="28" t="s">
        <v>123</v>
      </c>
      <c r="N107" s="28">
        <v>1995.0</v>
      </c>
      <c r="O107" s="31">
        <v>9.0</v>
      </c>
      <c r="P107" s="28">
        <v>1.0</v>
      </c>
      <c r="Q107" s="32">
        <v>1.0</v>
      </c>
      <c r="R107" s="33"/>
      <c r="S107" s="40"/>
      <c r="T107" s="40"/>
      <c r="U107" s="40"/>
      <c r="V107" s="40"/>
      <c r="W107" s="40"/>
      <c r="X107" s="40"/>
      <c r="Y107" s="41"/>
      <c r="Z107" s="41"/>
      <c r="AA107" s="41"/>
      <c r="AB107" s="41"/>
      <c r="AC107" s="41"/>
      <c r="AD107" s="41"/>
      <c r="AE107" s="41"/>
      <c r="AF107" s="41"/>
      <c r="AG107" s="41"/>
      <c r="AH107" s="41"/>
      <c r="AI107" s="41"/>
      <c r="AJ107" s="41"/>
      <c r="AK107" s="41"/>
      <c r="AL107" s="41"/>
    </row>
    <row r="108" ht="15.75" customHeight="1">
      <c r="A108" s="27">
        <f t="shared" si="2"/>
        <v>98</v>
      </c>
      <c r="B108" s="28" t="s">
        <v>471</v>
      </c>
      <c r="C108" s="29" t="s">
        <v>472</v>
      </c>
      <c r="D108" s="30" t="s">
        <v>473</v>
      </c>
      <c r="E108" s="28" t="s">
        <v>28</v>
      </c>
      <c r="F108" s="28" t="s">
        <v>29</v>
      </c>
      <c r="G108" s="28" t="s">
        <v>37</v>
      </c>
      <c r="H108" s="28"/>
      <c r="I108" s="28" t="s">
        <v>38</v>
      </c>
      <c r="J108" s="28">
        <v>206.0</v>
      </c>
      <c r="K108" s="28"/>
      <c r="L108" s="31" t="s">
        <v>474</v>
      </c>
      <c r="M108" s="28" t="s">
        <v>230</v>
      </c>
      <c r="N108" s="28">
        <v>1982.0</v>
      </c>
      <c r="O108" s="31">
        <v>9.0</v>
      </c>
      <c r="P108" s="28">
        <v>2.0</v>
      </c>
      <c r="Q108" s="32">
        <v>2.0</v>
      </c>
      <c r="R108" s="33"/>
      <c r="S108" s="40"/>
      <c r="T108" s="40"/>
      <c r="U108" s="40"/>
      <c r="V108" s="40"/>
      <c r="W108" s="40"/>
      <c r="X108" s="40"/>
      <c r="Y108" s="41"/>
      <c r="Z108" s="41"/>
      <c r="AA108" s="41"/>
      <c r="AB108" s="41"/>
      <c r="AC108" s="41"/>
      <c r="AD108" s="41"/>
      <c r="AE108" s="41"/>
      <c r="AF108" s="41"/>
      <c r="AG108" s="41"/>
      <c r="AH108" s="41"/>
      <c r="AI108" s="41"/>
      <c r="AJ108" s="41"/>
      <c r="AK108" s="41"/>
      <c r="AL108" s="41"/>
    </row>
    <row r="109" ht="15.75" customHeight="1">
      <c r="A109" s="27">
        <f t="shared" si="2"/>
        <v>99</v>
      </c>
      <c r="B109" s="28" t="s">
        <v>31</v>
      </c>
      <c r="C109" s="29" t="s">
        <v>475</v>
      </c>
      <c r="D109" s="39" t="s">
        <v>476</v>
      </c>
      <c r="E109" s="28" t="s">
        <v>28</v>
      </c>
      <c r="F109" s="28" t="s">
        <v>29</v>
      </c>
      <c r="G109" s="28" t="s">
        <v>37</v>
      </c>
      <c r="H109" s="28"/>
      <c r="I109" s="28" t="s">
        <v>38</v>
      </c>
      <c r="J109" s="28">
        <v>326.0</v>
      </c>
      <c r="K109" s="28"/>
      <c r="L109" s="28" t="s">
        <v>477</v>
      </c>
      <c r="M109" s="31" t="s">
        <v>213</v>
      </c>
      <c r="N109" s="28">
        <v>1960.0</v>
      </c>
      <c r="O109" s="31">
        <v>7.0</v>
      </c>
      <c r="P109" s="31">
        <v>3.0</v>
      </c>
      <c r="Q109" s="37">
        <v>3.0</v>
      </c>
      <c r="R109" s="33"/>
      <c r="S109" s="40"/>
      <c r="T109" s="40"/>
      <c r="U109" s="40"/>
      <c r="V109" s="40"/>
      <c r="W109" s="40"/>
      <c r="X109" s="40"/>
      <c r="Y109" s="41"/>
      <c r="Z109" s="41"/>
      <c r="AA109" s="41"/>
      <c r="AB109" s="41"/>
      <c r="AC109" s="41"/>
      <c r="AD109" s="41"/>
      <c r="AE109" s="41"/>
      <c r="AF109" s="41"/>
      <c r="AG109" s="41"/>
      <c r="AH109" s="41"/>
      <c r="AI109" s="41"/>
      <c r="AJ109" s="41"/>
      <c r="AK109" s="41"/>
      <c r="AL109" s="41"/>
    </row>
    <row r="110" ht="15.75" customHeight="1">
      <c r="A110" s="27">
        <f t="shared" si="2"/>
        <v>100</v>
      </c>
      <c r="B110" s="28" t="s">
        <v>478</v>
      </c>
      <c r="C110" s="29" t="s">
        <v>479</v>
      </c>
      <c r="D110" s="39" t="s">
        <v>480</v>
      </c>
      <c r="E110" s="28" t="s">
        <v>223</v>
      </c>
      <c r="F110" s="28" t="s">
        <v>29</v>
      </c>
      <c r="G110" s="28" t="s">
        <v>37</v>
      </c>
      <c r="H110" s="28"/>
      <c r="I110" s="28" t="s">
        <v>38</v>
      </c>
      <c r="J110" s="28">
        <v>238.0</v>
      </c>
      <c r="K110" s="28"/>
      <c r="L110" s="31" t="s">
        <v>419</v>
      </c>
      <c r="M110" s="28" t="s">
        <v>54</v>
      </c>
      <c r="N110" s="28">
        <v>1975.0</v>
      </c>
      <c r="O110" s="31" t="s">
        <v>225</v>
      </c>
      <c r="P110" s="31">
        <v>8.0</v>
      </c>
      <c r="Q110" s="37">
        <v>8.0</v>
      </c>
      <c r="R110" s="33"/>
      <c r="S110" s="40"/>
      <c r="T110" s="40"/>
      <c r="U110" s="40"/>
      <c r="V110" s="40"/>
      <c r="W110" s="40"/>
      <c r="X110" s="40"/>
      <c r="Y110" s="41"/>
      <c r="Z110" s="41"/>
      <c r="AA110" s="41"/>
      <c r="AB110" s="41"/>
      <c r="AC110" s="41"/>
      <c r="AD110" s="41"/>
      <c r="AE110" s="41"/>
      <c r="AF110" s="41"/>
      <c r="AG110" s="41"/>
      <c r="AH110" s="41"/>
      <c r="AI110" s="41"/>
      <c r="AJ110" s="41"/>
      <c r="AK110" s="41"/>
      <c r="AL110" s="41"/>
    </row>
    <row r="111" ht="15.75" customHeight="1">
      <c r="A111" s="27">
        <f t="shared" si="2"/>
        <v>101</v>
      </c>
      <c r="B111" s="28" t="s">
        <v>481</v>
      </c>
      <c r="C111" s="29" t="s">
        <v>482</v>
      </c>
      <c r="D111" s="30" t="s">
        <v>483</v>
      </c>
      <c r="E111" s="28" t="s">
        <v>28</v>
      </c>
      <c r="F111" s="28" t="s">
        <v>29</v>
      </c>
      <c r="G111" s="28" t="s">
        <v>38</v>
      </c>
      <c r="H111" s="28"/>
      <c r="I111" s="28" t="s">
        <v>38</v>
      </c>
      <c r="J111" s="28">
        <v>376.0</v>
      </c>
      <c r="K111" s="28"/>
      <c r="L111" s="31" t="s">
        <v>484</v>
      </c>
      <c r="M111" s="28" t="s">
        <v>485</v>
      </c>
      <c r="N111" s="28">
        <v>1972.0</v>
      </c>
      <c r="O111" s="31">
        <v>7.0</v>
      </c>
      <c r="P111" s="28">
        <v>1.0</v>
      </c>
      <c r="Q111" s="37">
        <v>1.0</v>
      </c>
      <c r="R111" s="33"/>
      <c r="S111" s="40"/>
      <c r="T111" s="40"/>
      <c r="U111" s="40"/>
      <c r="V111" s="40"/>
      <c r="W111" s="40"/>
      <c r="X111" s="40"/>
      <c r="Y111" s="41"/>
      <c r="Z111" s="41"/>
      <c r="AA111" s="41"/>
      <c r="AB111" s="41"/>
      <c r="AC111" s="41"/>
      <c r="AD111" s="41"/>
      <c r="AE111" s="41"/>
      <c r="AF111" s="41"/>
      <c r="AG111" s="41"/>
      <c r="AH111" s="41"/>
      <c r="AI111" s="41"/>
      <c r="AJ111" s="41"/>
      <c r="AK111" s="41"/>
      <c r="AL111" s="41"/>
    </row>
    <row r="112" ht="15.75" customHeight="1">
      <c r="A112" s="27">
        <f t="shared" si="2"/>
        <v>102</v>
      </c>
      <c r="B112" s="28" t="s">
        <v>486</v>
      </c>
      <c r="C112" s="29" t="s">
        <v>487</v>
      </c>
      <c r="D112" s="30" t="s">
        <v>488</v>
      </c>
      <c r="E112" s="28" t="s">
        <v>223</v>
      </c>
      <c r="F112" s="28" t="s">
        <v>29</v>
      </c>
      <c r="G112" s="28" t="s">
        <v>37</v>
      </c>
      <c r="H112" s="28"/>
      <c r="I112" s="28" t="s">
        <v>38</v>
      </c>
      <c r="J112" s="31">
        <v>336.0</v>
      </c>
      <c r="K112" s="28"/>
      <c r="L112" s="31" t="s">
        <v>326</v>
      </c>
      <c r="M112" s="28" t="s">
        <v>54</v>
      </c>
      <c r="N112" s="28">
        <v>1995.0</v>
      </c>
      <c r="O112" s="31" t="s">
        <v>225</v>
      </c>
      <c r="P112" s="31">
        <v>2.0</v>
      </c>
      <c r="Q112" s="37">
        <v>2.0</v>
      </c>
      <c r="R112" s="33"/>
      <c r="S112" s="40"/>
      <c r="T112" s="40"/>
      <c r="U112" s="40"/>
      <c r="V112" s="40"/>
      <c r="W112" s="40"/>
      <c r="X112" s="40"/>
      <c r="Y112" s="61"/>
      <c r="Z112" s="61"/>
      <c r="AA112" s="61"/>
      <c r="AB112" s="61"/>
      <c r="AC112" s="61"/>
      <c r="AD112" s="61"/>
      <c r="AE112" s="61"/>
      <c r="AF112" s="61"/>
      <c r="AG112" s="61"/>
      <c r="AH112" s="61"/>
      <c r="AI112" s="61"/>
      <c r="AJ112" s="61"/>
      <c r="AK112" s="61"/>
      <c r="AL112" s="61"/>
    </row>
    <row r="113" ht="15.75" customHeight="1">
      <c r="A113" s="27">
        <f t="shared" si="2"/>
        <v>103</v>
      </c>
      <c r="B113" s="28" t="s">
        <v>489</v>
      </c>
      <c r="C113" s="29" t="s">
        <v>490</v>
      </c>
      <c r="D113" s="30" t="s">
        <v>491</v>
      </c>
      <c r="E113" s="28" t="s">
        <v>28</v>
      </c>
      <c r="F113" s="28" t="s">
        <v>29</v>
      </c>
      <c r="G113" s="28" t="s">
        <v>37</v>
      </c>
      <c r="H113" s="28"/>
      <c r="I113" s="28" t="s">
        <v>38</v>
      </c>
      <c r="J113" s="28">
        <v>191.0</v>
      </c>
      <c r="K113" s="28"/>
      <c r="L113" s="28" t="s">
        <v>492</v>
      </c>
      <c r="M113" s="28" t="s">
        <v>493</v>
      </c>
      <c r="N113" s="28">
        <v>2009.0</v>
      </c>
      <c r="O113" s="31" t="s">
        <v>494</v>
      </c>
      <c r="P113" s="28">
        <v>1.0</v>
      </c>
      <c r="Q113" s="37">
        <v>1.0</v>
      </c>
      <c r="R113" s="33"/>
      <c r="S113" s="40"/>
      <c r="T113" s="40"/>
      <c r="U113" s="40"/>
      <c r="V113" s="40"/>
      <c r="W113" s="40"/>
      <c r="X113" s="40"/>
      <c r="Y113" s="41"/>
      <c r="Z113" s="41"/>
      <c r="AA113" s="41"/>
      <c r="AB113" s="41"/>
      <c r="AC113" s="41"/>
      <c r="AD113" s="41"/>
      <c r="AE113" s="41"/>
      <c r="AF113" s="41"/>
      <c r="AG113" s="41"/>
      <c r="AH113" s="41"/>
      <c r="AI113" s="41"/>
      <c r="AJ113" s="41"/>
      <c r="AK113" s="41"/>
      <c r="AL113" s="41"/>
    </row>
    <row r="114" ht="15.75" customHeight="1">
      <c r="A114" s="27">
        <f t="shared" si="2"/>
        <v>104</v>
      </c>
      <c r="B114" s="28" t="s">
        <v>495</v>
      </c>
      <c r="C114" s="29" t="s">
        <v>496</v>
      </c>
      <c r="D114" s="39" t="s">
        <v>497</v>
      </c>
      <c r="E114" s="28" t="s">
        <v>28</v>
      </c>
      <c r="F114" s="28" t="s">
        <v>29</v>
      </c>
      <c r="G114" s="28" t="s">
        <v>234</v>
      </c>
      <c r="H114" s="28"/>
      <c r="I114" s="28" t="s">
        <v>38</v>
      </c>
      <c r="J114" s="28">
        <v>328.0</v>
      </c>
      <c r="K114" s="28"/>
      <c r="L114" s="28" t="s">
        <v>498</v>
      </c>
      <c r="M114" s="28" t="s">
        <v>236</v>
      </c>
      <c r="N114" s="28">
        <v>2000.0</v>
      </c>
      <c r="O114" s="31">
        <v>7.0</v>
      </c>
      <c r="P114" s="28">
        <v>1.0</v>
      </c>
      <c r="Q114" s="37">
        <v>1.0</v>
      </c>
      <c r="R114" s="33"/>
      <c r="S114" s="40"/>
      <c r="T114" s="40"/>
      <c r="U114" s="40"/>
      <c r="V114" s="40"/>
      <c r="W114" s="40"/>
      <c r="X114" s="40"/>
      <c r="Y114" s="61"/>
      <c r="Z114" s="61"/>
      <c r="AA114" s="61"/>
      <c r="AB114" s="61"/>
      <c r="AC114" s="61"/>
      <c r="AD114" s="61"/>
      <c r="AE114" s="61"/>
      <c r="AF114" s="61"/>
      <c r="AG114" s="61"/>
      <c r="AH114" s="61"/>
      <c r="AI114" s="61"/>
      <c r="AJ114" s="61"/>
      <c r="AK114" s="61"/>
      <c r="AL114" s="61"/>
    </row>
    <row r="115" ht="15.75" customHeight="1">
      <c r="A115" s="27">
        <f t="shared" si="2"/>
        <v>105</v>
      </c>
      <c r="B115" s="31" t="s">
        <v>499</v>
      </c>
      <c r="C115" s="29" t="s">
        <v>500</v>
      </c>
      <c r="D115" s="39" t="s">
        <v>501</v>
      </c>
      <c r="E115" s="31" t="s">
        <v>28</v>
      </c>
      <c r="F115" s="31" t="s">
        <v>29</v>
      </c>
      <c r="G115" s="31" t="s">
        <v>234</v>
      </c>
      <c r="H115" s="28"/>
      <c r="I115" s="31" t="s">
        <v>38</v>
      </c>
      <c r="J115" s="31">
        <v>228.0</v>
      </c>
      <c r="K115" s="28"/>
      <c r="L115" s="31" t="s">
        <v>502</v>
      </c>
      <c r="M115" s="28" t="s">
        <v>236</v>
      </c>
      <c r="N115" s="31">
        <v>1982.0</v>
      </c>
      <c r="O115" s="31">
        <v>7.0</v>
      </c>
      <c r="P115" s="31">
        <v>1.0</v>
      </c>
      <c r="Q115" s="37">
        <v>1.0</v>
      </c>
      <c r="R115" s="33"/>
      <c r="S115" s="40"/>
      <c r="T115" s="40"/>
      <c r="U115" s="40"/>
      <c r="V115" s="40"/>
      <c r="W115" s="40"/>
      <c r="X115" s="40"/>
      <c r="Y115" s="41"/>
      <c r="Z115" s="41"/>
      <c r="AA115" s="41"/>
      <c r="AB115" s="41"/>
      <c r="AC115" s="41"/>
      <c r="AD115" s="41"/>
      <c r="AE115" s="41"/>
      <c r="AF115" s="41"/>
      <c r="AG115" s="41"/>
      <c r="AH115" s="41"/>
      <c r="AI115" s="41"/>
      <c r="AJ115" s="41"/>
      <c r="AK115" s="41"/>
      <c r="AL115" s="41"/>
    </row>
    <row r="116" ht="15.75" customHeight="1">
      <c r="A116" s="27">
        <f t="shared" si="2"/>
        <v>106</v>
      </c>
      <c r="B116" s="28" t="s">
        <v>503</v>
      </c>
      <c r="C116" s="29" t="s">
        <v>504</v>
      </c>
      <c r="D116" s="39" t="s">
        <v>505</v>
      </c>
      <c r="E116" s="28" t="s">
        <v>28</v>
      </c>
      <c r="F116" s="28" t="s">
        <v>29</v>
      </c>
      <c r="G116" s="28" t="s">
        <v>38</v>
      </c>
      <c r="H116" s="28"/>
      <c r="I116" s="28" t="s">
        <v>38</v>
      </c>
      <c r="J116" s="31">
        <v>380.0</v>
      </c>
      <c r="K116" s="28"/>
      <c r="L116" s="31" t="s">
        <v>506</v>
      </c>
      <c r="M116" s="28" t="s">
        <v>507</v>
      </c>
      <c r="N116" s="28">
        <v>2005.0</v>
      </c>
      <c r="O116" s="31">
        <v>7.0</v>
      </c>
      <c r="P116" s="28">
        <v>1.0</v>
      </c>
      <c r="Q116" s="37">
        <v>1.0</v>
      </c>
      <c r="R116" s="33"/>
      <c r="S116" s="40"/>
      <c r="T116" s="40"/>
      <c r="U116" s="40"/>
      <c r="V116" s="40"/>
      <c r="W116" s="40"/>
      <c r="X116" s="40"/>
      <c r="Y116" s="61"/>
      <c r="Z116" s="61"/>
      <c r="AA116" s="61"/>
      <c r="AB116" s="61"/>
      <c r="AC116" s="61"/>
      <c r="AD116" s="61"/>
      <c r="AE116" s="61"/>
      <c r="AF116" s="61"/>
      <c r="AG116" s="61"/>
      <c r="AH116" s="61"/>
      <c r="AI116" s="61"/>
      <c r="AJ116" s="61"/>
      <c r="AK116" s="61"/>
      <c r="AL116" s="61"/>
    </row>
    <row r="117" ht="15.75" customHeight="1">
      <c r="A117" s="27">
        <f t="shared" si="2"/>
        <v>107</v>
      </c>
      <c r="B117" s="31" t="s">
        <v>508</v>
      </c>
      <c r="C117" s="29" t="s">
        <v>509</v>
      </c>
      <c r="D117" s="39" t="s">
        <v>510</v>
      </c>
      <c r="E117" s="28" t="s">
        <v>28</v>
      </c>
      <c r="F117" s="28" t="s">
        <v>29</v>
      </c>
      <c r="G117" s="28" t="s">
        <v>37</v>
      </c>
      <c r="H117" s="28"/>
      <c r="I117" s="28" t="s">
        <v>38</v>
      </c>
      <c r="J117" s="31">
        <v>471.0</v>
      </c>
      <c r="K117" s="28"/>
      <c r="L117" s="28" t="s">
        <v>339</v>
      </c>
      <c r="M117" s="28" t="s">
        <v>49</v>
      </c>
      <c r="N117" s="28">
        <v>2008.0</v>
      </c>
      <c r="O117" s="31">
        <v>7.0</v>
      </c>
      <c r="P117" s="28">
        <v>1.0</v>
      </c>
      <c r="Q117" s="32">
        <v>1.0</v>
      </c>
      <c r="R117" s="33"/>
      <c r="S117" s="34"/>
      <c r="T117" s="34"/>
      <c r="U117" s="34"/>
      <c r="V117" s="34"/>
      <c r="W117" s="34"/>
      <c r="X117" s="34"/>
      <c r="Y117" s="61"/>
      <c r="Z117" s="61"/>
      <c r="AA117" s="61"/>
      <c r="AB117" s="61"/>
      <c r="AC117" s="61"/>
      <c r="AD117" s="61"/>
      <c r="AE117" s="61"/>
      <c r="AF117" s="61"/>
      <c r="AG117" s="61"/>
      <c r="AH117" s="61"/>
      <c r="AI117" s="61"/>
      <c r="AJ117" s="61"/>
      <c r="AK117" s="61"/>
      <c r="AL117" s="61"/>
    </row>
    <row r="118" ht="15.75" customHeight="1">
      <c r="A118" s="27">
        <f t="shared" si="2"/>
        <v>108</v>
      </c>
      <c r="B118" s="28" t="s">
        <v>511</v>
      </c>
      <c r="C118" s="29" t="s">
        <v>512</v>
      </c>
      <c r="D118" s="39" t="s">
        <v>513</v>
      </c>
      <c r="E118" s="28"/>
      <c r="F118" s="28" t="s">
        <v>29</v>
      </c>
      <c r="G118" s="28" t="s">
        <v>37</v>
      </c>
      <c r="H118" s="28"/>
      <c r="I118" s="28" t="s">
        <v>38</v>
      </c>
      <c r="J118" s="31">
        <v>225.0</v>
      </c>
      <c r="K118" s="28"/>
      <c r="L118" s="28" t="s">
        <v>514</v>
      </c>
      <c r="M118" s="28" t="s">
        <v>352</v>
      </c>
      <c r="N118" s="28">
        <v>2010.0</v>
      </c>
      <c r="O118" s="31">
        <v>9.0</v>
      </c>
      <c r="P118" s="28">
        <v>1.0</v>
      </c>
      <c r="Q118" s="32">
        <v>1.0</v>
      </c>
      <c r="R118" s="33"/>
      <c r="S118" s="40"/>
      <c r="T118" s="40"/>
      <c r="U118" s="40"/>
      <c r="V118" s="40"/>
      <c r="W118" s="40"/>
      <c r="X118" s="40"/>
      <c r="Y118" s="61"/>
      <c r="Z118" s="61"/>
      <c r="AA118" s="61"/>
      <c r="AB118" s="61"/>
      <c r="AC118" s="61"/>
      <c r="AD118" s="61"/>
      <c r="AE118" s="61"/>
      <c r="AF118" s="61"/>
      <c r="AG118" s="61"/>
      <c r="AH118" s="61"/>
      <c r="AI118" s="61"/>
      <c r="AJ118" s="61"/>
      <c r="AK118" s="61"/>
      <c r="AL118" s="61"/>
    </row>
    <row r="119" ht="15.75" customHeight="1">
      <c r="A119" s="27">
        <f t="shared" si="2"/>
        <v>109</v>
      </c>
      <c r="B119" s="28" t="s">
        <v>515</v>
      </c>
      <c r="C119" s="29" t="s">
        <v>516</v>
      </c>
      <c r="D119" s="30" t="s">
        <v>517</v>
      </c>
      <c r="E119" s="28" t="s">
        <v>28</v>
      </c>
      <c r="F119" s="28" t="s">
        <v>29</v>
      </c>
      <c r="G119" s="28" t="s">
        <v>37</v>
      </c>
      <c r="H119" s="28"/>
      <c r="I119" s="28" t="s">
        <v>38</v>
      </c>
      <c r="J119" s="28">
        <v>186.0</v>
      </c>
      <c r="K119" s="28"/>
      <c r="L119" s="31" t="s">
        <v>343</v>
      </c>
      <c r="M119" s="28" t="s">
        <v>250</v>
      </c>
      <c r="N119" s="28">
        <v>1983.0</v>
      </c>
      <c r="O119" s="31">
        <v>8.0</v>
      </c>
      <c r="P119" s="28">
        <v>1.0</v>
      </c>
      <c r="Q119" s="32">
        <v>1.0</v>
      </c>
      <c r="R119" s="33"/>
      <c r="S119" s="34"/>
      <c r="T119" s="34"/>
      <c r="U119" s="34"/>
      <c r="V119" s="34"/>
      <c r="W119" s="34"/>
      <c r="X119" s="34"/>
      <c r="Y119" s="41"/>
      <c r="Z119" s="41"/>
      <c r="AA119" s="41"/>
      <c r="AB119" s="41"/>
      <c r="AC119" s="41"/>
      <c r="AD119" s="41"/>
      <c r="AE119" s="41"/>
      <c r="AF119" s="41"/>
      <c r="AG119" s="41"/>
      <c r="AH119" s="41"/>
      <c r="AI119" s="41"/>
      <c r="AJ119" s="41"/>
      <c r="AK119" s="41"/>
      <c r="AL119" s="41"/>
    </row>
    <row r="120" ht="15.75" customHeight="1">
      <c r="A120" s="27">
        <f t="shared" si="2"/>
        <v>110</v>
      </c>
      <c r="B120" s="28" t="s">
        <v>31</v>
      </c>
      <c r="C120" s="29" t="s">
        <v>518</v>
      </c>
      <c r="D120" s="39" t="s">
        <v>519</v>
      </c>
      <c r="E120" s="28" t="s">
        <v>223</v>
      </c>
      <c r="F120" s="28" t="s">
        <v>29</v>
      </c>
      <c r="G120" s="28" t="s">
        <v>37</v>
      </c>
      <c r="H120" s="28"/>
      <c r="I120" s="28" t="s">
        <v>38</v>
      </c>
      <c r="J120" s="31">
        <v>167.0</v>
      </c>
      <c r="K120" s="28"/>
      <c r="L120" s="31" t="s">
        <v>520</v>
      </c>
      <c r="M120" s="28" t="s">
        <v>54</v>
      </c>
      <c r="N120" s="28">
        <v>1977.0</v>
      </c>
      <c r="O120" s="31" t="s">
        <v>225</v>
      </c>
      <c r="P120" s="31">
        <v>2.0</v>
      </c>
      <c r="Q120" s="37">
        <v>2.0</v>
      </c>
      <c r="R120" s="33"/>
      <c r="S120" s="40"/>
      <c r="T120" s="40"/>
      <c r="U120" s="40"/>
      <c r="V120" s="40"/>
      <c r="W120" s="40"/>
      <c r="X120" s="40"/>
      <c r="Y120" s="41"/>
      <c r="Z120" s="41"/>
      <c r="AA120" s="41"/>
      <c r="AB120" s="41"/>
      <c r="AC120" s="41"/>
      <c r="AD120" s="41"/>
      <c r="AE120" s="41"/>
      <c r="AF120" s="41"/>
      <c r="AG120" s="41"/>
      <c r="AH120" s="41"/>
      <c r="AI120" s="41"/>
      <c r="AJ120" s="41"/>
      <c r="AK120" s="41"/>
      <c r="AL120" s="41"/>
    </row>
    <row r="121" ht="15.75" customHeight="1">
      <c r="A121" s="27">
        <f t="shared" si="2"/>
        <v>111</v>
      </c>
      <c r="B121" s="28" t="s">
        <v>31</v>
      </c>
      <c r="C121" s="29" t="s">
        <v>521</v>
      </c>
      <c r="D121" s="30" t="s">
        <v>522</v>
      </c>
      <c r="E121" s="28" t="s">
        <v>28</v>
      </c>
      <c r="F121" s="28" t="s">
        <v>29</v>
      </c>
      <c r="G121" s="28" t="s">
        <v>37</v>
      </c>
      <c r="H121" s="28"/>
      <c r="I121" s="28" t="s">
        <v>38</v>
      </c>
      <c r="J121" s="28">
        <v>350.0</v>
      </c>
      <c r="K121" s="28"/>
      <c r="L121" s="28" t="s">
        <v>523</v>
      </c>
      <c r="M121" s="28" t="s">
        <v>524</v>
      </c>
      <c r="N121" s="28">
        <v>1963.0</v>
      </c>
      <c r="O121" s="31">
        <v>7.0</v>
      </c>
      <c r="P121" s="28">
        <v>1.0</v>
      </c>
      <c r="Q121" s="37">
        <v>1.0</v>
      </c>
      <c r="R121" s="33"/>
      <c r="S121" s="40"/>
      <c r="T121" s="40"/>
      <c r="U121" s="40"/>
      <c r="V121" s="40"/>
      <c r="W121" s="40"/>
      <c r="X121" s="40"/>
      <c r="Y121" s="61"/>
      <c r="Z121" s="61"/>
      <c r="AA121" s="61"/>
      <c r="AB121" s="61"/>
      <c r="AC121" s="61"/>
      <c r="AD121" s="61"/>
      <c r="AE121" s="61"/>
      <c r="AF121" s="61"/>
      <c r="AG121" s="61"/>
      <c r="AH121" s="61"/>
      <c r="AI121" s="61"/>
      <c r="AJ121" s="61"/>
      <c r="AK121" s="61"/>
      <c r="AL121" s="61"/>
    </row>
    <row r="122" ht="15.75" customHeight="1">
      <c r="A122" s="27">
        <f t="shared" si="2"/>
        <v>112</v>
      </c>
      <c r="B122" s="28" t="s">
        <v>525</v>
      </c>
      <c r="C122" s="29" t="s">
        <v>526</v>
      </c>
      <c r="D122" s="39" t="s">
        <v>527</v>
      </c>
      <c r="E122" s="28" t="s">
        <v>28</v>
      </c>
      <c r="F122" s="28" t="s">
        <v>29</v>
      </c>
      <c r="G122" s="28" t="s">
        <v>234</v>
      </c>
      <c r="H122" s="28"/>
      <c r="I122" s="28" t="s">
        <v>38</v>
      </c>
      <c r="J122" s="28">
        <v>305.0</v>
      </c>
      <c r="K122" s="28"/>
      <c r="L122" s="31" t="s">
        <v>528</v>
      </c>
      <c r="M122" s="28" t="s">
        <v>236</v>
      </c>
      <c r="N122" s="28">
        <v>2004.0</v>
      </c>
      <c r="O122" s="31">
        <v>7.0</v>
      </c>
      <c r="P122" s="28">
        <v>1.0</v>
      </c>
      <c r="Q122" s="37">
        <v>1.0</v>
      </c>
      <c r="R122" s="33"/>
      <c r="S122" s="38"/>
      <c r="T122" s="38"/>
      <c r="U122" s="38"/>
      <c r="V122" s="38"/>
      <c r="W122" s="38"/>
      <c r="X122" s="38"/>
      <c r="Y122" s="61"/>
      <c r="Z122" s="61"/>
      <c r="AA122" s="61"/>
      <c r="AB122" s="61"/>
      <c r="AC122" s="61"/>
      <c r="AD122" s="61"/>
      <c r="AE122" s="61"/>
      <c r="AF122" s="61"/>
      <c r="AG122" s="61"/>
      <c r="AH122" s="61"/>
      <c r="AI122" s="61"/>
      <c r="AJ122" s="61"/>
      <c r="AK122" s="61"/>
      <c r="AL122" s="61"/>
    </row>
    <row r="123" ht="15.75" customHeight="1">
      <c r="A123" s="27">
        <f t="shared" si="2"/>
        <v>113</v>
      </c>
      <c r="B123" s="31" t="s">
        <v>529</v>
      </c>
      <c r="C123" s="29" t="s">
        <v>530</v>
      </c>
      <c r="D123" s="39" t="s">
        <v>531</v>
      </c>
      <c r="E123" s="28" t="s">
        <v>28</v>
      </c>
      <c r="F123" s="28" t="s">
        <v>29</v>
      </c>
      <c r="G123" s="28" t="s">
        <v>37</v>
      </c>
      <c r="H123" s="28"/>
      <c r="I123" s="28" t="s">
        <v>38</v>
      </c>
      <c r="J123" s="31">
        <v>355.0</v>
      </c>
      <c r="K123" s="28"/>
      <c r="L123" s="28" t="s">
        <v>532</v>
      </c>
      <c r="M123" s="28" t="s">
        <v>49</v>
      </c>
      <c r="N123" s="28">
        <v>2009.0</v>
      </c>
      <c r="O123" s="31">
        <v>7.0</v>
      </c>
      <c r="P123" s="28">
        <v>1.0</v>
      </c>
      <c r="Q123" s="32">
        <v>1.0</v>
      </c>
      <c r="R123" s="33"/>
      <c r="S123" s="38"/>
      <c r="T123" s="38"/>
      <c r="U123" s="38"/>
      <c r="V123" s="38"/>
      <c r="W123" s="38"/>
      <c r="X123" s="38"/>
      <c r="Y123" s="41"/>
      <c r="Z123" s="41"/>
      <c r="AA123" s="41"/>
      <c r="AB123" s="41"/>
      <c r="AC123" s="41"/>
      <c r="AD123" s="41"/>
      <c r="AE123" s="41"/>
      <c r="AF123" s="41"/>
      <c r="AG123" s="41"/>
      <c r="AH123" s="41"/>
      <c r="AI123" s="41"/>
      <c r="AJ123" s="41"/>
      <c r="AK123" s="41"/>
      <c r="AL123" s="41"/>
    </row>
    <row r="124" ht="15.75" customHeight="1">
      <c r="A124" s="27">
        <f t="shared" si="2"/>
        <v>114</v>
      </c>
      <c r="B124" s="28" t="s">
        <v>533</v>
      </c>
      <c r="C124" s="29" t="s">
        <v>534</v>
      </c>
      <c r="D124" s="30" t="s">
        <v>535</v>
      </c>
      <c r="E124" s="28" t="s">
        <v>28</v>
      </c>
      <c r="F124" s="28" t="s">
        <v>29</v>
      </c>
      <c r="G124" s="28" t="s">
        <v>38</v>
      </c>
      <c r="H124" s="28"/>
      <c r="I124" s="28" t="s">
        <v>38</v>
      </c>
      <c r="J124" s="28">
        <v>182.0</v>
      </c>
      <c r="K124" s="28"/>
      <c r="L124" s="31" t="s">
        <v>536</v>
      </c>
      <c r="M124" s="28" t="s">
        <v>485</v>
      </c>
      <c r="N124" s="28">
        <v>1959.0</v>
      </c>
      <c r="O124" s="31">
        <v>7.0</v>
      </c>
      <c r="P124" s="28">
        <v>1.0</v>
      </c>
      <c r="Q124" s="37">
        <v>1.0</v>
      </c>
      <c r="R124" s="33"/>
      <c r="S124" s="40"/>
      <c r="T124" s="40"/>
      <c r="U124" s="40"/>
      <c r="V124" s="40"/>
      <c r="W124" s="40"/>
      <c r="X124" s="40"/>
      <c r="Y124" s="41"/>
      <c r="Z124" s="41"/>
      <c r="AA124" s="41"/>
      <c r="AB124" s="41"/>
      <c r="AC124" s="41"/>
      <c r="AD124" s="41"/>
      <c r="AE124" s="41"/>
      <c r="AF124" s="41"/>
      <c r="AG124" s="41"/>
      <c r="AH124" s="41"/>
      <c r="AI124" s="41"/>
      <c r="AJ124" s="41"/>
      <c r="AK124" s="41"/>
      <c r="AL124" s="41"/>
    </row>
    <row r="125" ht="15.75" customHeight="1">
      <c r="A125" s="27">
        <f t="shared" si="2"/>
        <v>115</v>
      </c>
      <c r="B125" s="28" t="s">
        <v>537</v>
      </c>
      <c r="C125" s="43" t="s">
        <v>538</v>
      </c>
      <c r="D125" s="30" t="s">
        <v>539</v>
      </c>
      <c r="E125" s="28" t="s">
        <v>28</v>
      </c>
      <c r="F125" s="28" t="s">
        <v>29</v>
      </c>
      <c r="G125" s="28" t="s">
        <v>37</v>
      </c>
      <c r="H125" s="28"/>
      <c r="I125" s="28" t="s">
        <v>38</v>
      </c>
      <c r="J125" s="28">
        <v>643.0</v>
      </c>
      <c r="K125" s="28"/>
      <c r="L125" s="28" t="s">
        <v>540</v>
      </c>
      <c r="M125" s="28" t="s">
        <v>382</v>
      </c>
      <c r="N125" s="28">
        <v>2006.0</v>
      </c>
      <c r="O125" s="31">
        <v>8.0</v>
      </c>
      <c r="P125" s="28">
        <v>1.0</v>
      </c>
      <c r="Q125" s="32">
        <v>1.0</v>
      </c>
      <c r="R125" s="33"/>
      <c r="S125" s="40"/>
      <c r="T125" s="40"/>
      <c r="U125" s="40"/>
      <c r="V125" s="40"/>
      <c r="W125" s="40"/>
      <c r="X125" s="40"/>
      <c r="Y125" s="61"/>
      <c r="Z125" s="61"/>
      <c r="AA125" s="61"/>
      <c r="AB125" s="61"/>
      <c r="AC125" s="61"/>
      <c r="AD125" s="61"/>
      <c r="AE125" s="61"/>
      <c r="AF125" s="61"/>
      <c r="AG125" s="61"/>
      <c r="AH125" s="61"/>
      <c r="AI125" s="61"/>
      <c r="AJ125" s="61"/>
      <c r="AK125" s="61"/>
      <c r="AL125" s="61"/>
    </row>
    <row r="126" ht="15.75" customHeight="1">
      <c r="A126" s="27">
        <f t="shared" si="2"/>
        <v>116</v>
      </c>
      <c r="B126" s="31" t="s">
        <v>541</v>
      </c>
      <c r="C126" s="29" t="s">
        <v>542</v>
      </c>
      <c r="D126" s="30" t="s">
        <v>543</v>
      </c>
      <c r="E126" s="28" t="s">
        <v>302</v>
      </c>
      <c r="F126" s="28" t="s">
        <v>29</v>
      </c>
      <c r="G126" s="28" t="s">
        <v>30</v>
      </c>
      <c r="H126" s="28"/>
      <c r="I126" s="28" t="s">
        <v>30</v>
      </c>
      <c r="J126" s="28">
        <v>160.0</v>
      </c>
      <c r="K126" s="28"/>
      <c r="L126" s="31" t="s">
        <v>285</v>
      </c>
      <c r="M126" s="28" t="s">
        <v>544</v>
      </c>
      <c r="N126" s="28">
        <v>2003.0</v>
      </c>
      <c r="O126" s="31" t="s">
        <v>205</v>
      </c>
      <c r="P126" s="28">
        <v>1.0</v>
      </c>
      <c r="Q126" s="32">
        <v>1.0</v>
      </c>
      <c r="R126" s="33"/>
      <c r="S126" s="34"/>
      <c r="T126" s="34"/>
      <c r="U126" s="34"/>
      <c r="V126" s="34"/>
      <c r="W126" s="34"/>
      <c r="X126" s="34"/>
      <c r="Y126" s="61"/>
      <c r="Z126" s="61"/>
      <c r="AA126" s="61"/>
      <c r="AB126" s="61"/>
      <c r="AC126" s="61"/>
      <c r="AD126" s="61"/>
      <c r="AE126" s="61"/>
      <c r="AF126" s="61"/>
      <c r="AG126" s="61"/>
      <c r="AH126" s="61"/>
      <c r="AI126" s="61"/>
      <c r="AJ126" s="61"/>
      <c r="AK126" s="61"/>
      <c r="AL126" s="61"/>
    </row>
    <row r="127" ht="15.75" customHeight="1">
      <c r="A127" s="27">
        <f t="shared" si="2"/>
        <v>117</v>
      </c>
      <c r="B127" s="31" t="s">
        <v>545</v>
      </c>
      <c r="C127" s="29" t="s">
        <v>546</v>
      </c>
      <c r="D127" s="39" t="s">
        <v>547</v>
      </c>
      <c r="E127" s="28" t="s">
        <v>28</v>
      </c>
      <c r="F127" s="28" t="s">
        <v>29</v>
      </c>
      <c r="G127" s="28" t="s">
        <v>37</v>
      </c>
      <c r="H127" s="28"/>
      <c r="I127" s="28" t="s">
        <v>38</v>
      </c>
      <c r="J127" s="31">
        <v>536.0</v>
      </c>
      <c r="K127" s="28"/>
      <c r="L127" s="28" t="s">
        <v>462</v>
      </c>
      <c r="M127" s="28" t="s">
        <v>49</v>
      </c>
      <c r="N127" s="28">
        <v>1999.0</v>
      </c>
      <c r="O127" s="31">
        <v>7.0</v>
      </c>
      <c r="P127" s="28">
        <v>1.0</v>
      </c>
      <c r="Q127" s="32">
        <v>1.0</v>
      </c>
      <c r="R127" s="33"/>
      <c r="S127" s="40"/>
      <c r="T127" s="40"/>
      <c r="U127" s="40"/>
      <c r="V127" s="40"/>
      <c r="W127" s="40"/>
      <c r="X127" s="40"/>
      <c r="Y127" s="41"/>
      <c r="Z127" s="41"/>
      <c r="AA127" s="41"/>
      <c r="AB127" s="41"/>
      <c r="AC127" s="41"/>
      <c r="AD127" s="41"/>
      <c r="AE127" s="41"/>
      <c r="AF127" s="41"/>
      <c r="AG127" s="41"/>
      <c r="AH127" s="41"/>
      <c r="AI127" s="41"/>
      <c r="AJ127" s="41"/>
      <c r="AK127" s="41"/>
      <c r="AL127" s="41"/>
    </row>
    <row r="128" ht="15.75" customHeight="1">
      <c r="A128" s="27">
        <f t="shared" si="2"/>
        <v>118</v>
      </c>
      <c r="B128" s="28" t="s">
        <v>548</v>
      </c>
      <c r="C128" s="29" t="s">
        <v>549</v>
      </c>
      <c r="D128" s="30" t="s">
        <v>550</v>
      </c>
      <c r="E128" s="28" t="s">
        <v>28</v>
      </c>
      <c r="F128" s="28" t="s">
        <v>29</v>
      </c>
      <c r="G128" s="28" t="s">
        <v>38</v>
      </c>
      <c r="H128" s="28"/>
      <c r="I128" s="28" t="s">
        <v>38</v>
      </c>
      <c r="J128" s="28">
        <v>235.0</v>
      </c>
      <c r="K128" s="28"/>
      <c r="L128" s="28" t="s">
        <v>551</v>
      </c>
      <c r="M128" s="28" t="s">
        <v>230</v>
      </c>
      <c r="N128" s="28">
        <v>1981.0</v>
      </c>
      <c r="O128" s="31">
        <v>9.0</v>
      </c>
      <c r="P128" s="28">
        <v>1.0</v>
      </c>
      <c r="Q128" s="32">
        <v>1.0</v>
      </c>
      <c r="R128" s="33"/>
      <c r="S128" s="34"/>
      <c r="T128" s="34"/>
      <c r="U128" s="34"/>
      <c r="V128" s="34"/>
      <c r="W128" s="34"/>
      <c r="X128" s="34"/>
      <c r="Y128" s="41"/>
      <c r="Z128" s="41"/>
      <c r="AA128" s="41"/>
      <c r="AB128" s="41"/>
      <c r="AC128" s="41"/>
      <c r="AD128" s="41"/>
      <c r="AE128" s="41"/>
      <c r="AF128" s="41"/>
      <c r="AG128" s="41"/>
      <c r="AH128" s="41"/>
      <c r="AI128" s="41"/>
      <c r="AJ128" s="41"/>
      <c r="AK128" s="41"/>
      <c r="AL128" s="41"/>
    </row>
    <row r="129" ht="15.75" customHeight="1">
      <c r="A129" s="27">
        <f t="shared" si="2"/>
        <v>119</v>
      </c>
      <c r="B129" s="28" t="s">
        <v>552</v>
      </c>
      <c r="C129" s="29" t="s">
        <v>553</v>
      </c>
      <c r="D129" s="39" t="s">
        <v>554</v>
      </c>
      <c r="E129" s="28" t="s">
        <v>28</v>
      </c>
      <c r="F129" s="28" t="s">
        <v>29</v>
      </c>
      <c r="G129" s="28" t="s">
        <v>234</v>
      </c>
      <c r="H129" s="28"/>
      <c r="I129" s="28" t="s">
        <v>38</v>
      </c>
      <c r="J129" s="28">
        <v>494.0</v>
      </c>
      <c r="K129" s="28"/>
      <c r="L129" s="28" t="s">
        <v>555</v>
      </c>
      <c r="M129" s="28" t="s">
        <v>236</v>
      </c>
      <c r="N129" s="28">
        <v>1990.0</v>
      </c>
      <c r="O129" s="31">
        <v>7.0</v>
      </c>
      <c r="P129" s="28">
        <v>1.0</v>
      </c>
      <c r="Q129" s="37">
        <v>1.0</v>
      </c>
      <c r="R129" s="33"/>
      <c r="S129" s="34"/>
      <c r="T129" s="34"/>
      <c r="U129" s="34"/>
      <c r="V129" s="34"/>
      <c r="W129" s="34"/>
      <c r="X129" s="34"/>
      <c r="Y129" s="61"/>
      <c r="Z129" s="61"/>
      <c r="AA129" s="61"/>
      <c r="AB129" s="61"/>
      <c r="AC129" s="61"/>
      <c r="AD129" s="61"/>
      <c r="AE129" s="61"/>
      <c r="AF129" s="61"/>
      <c r="AG129" s="61"/>
      <c r="AH129" s="61"/>
      <c r="AI129" s="61"/>
      <c r="AJ129" s="61"/>
      <c r="AK129" s="61"/>
      <c r="AL129" s="61"/>
    </row>
    <row r="130" ht="15.75" customHeight="1">
      <c r="A130" s="27">
        <f t="shared" si="2"/>
        <v>120</v>
      </c>
      <c r="B130" s="28" t="s">
        <v>556</v>
      </c>
      <c r="C130" s="29" t="s">
        <v>557</v>
      </c>
      <c r="D130" s="30" t="s">
        <v>558</v>
      </c>
      <c r="E130" s="28" t="s">
        <v>28</v>
      </c>
      <c r="F130" s="28" t="s">
        <v>29</v>
      </c>
      <c r="G130" s="28" t="s">
        <v>37</v>
      </c>
      <c r="H130" s="28"/>
      <c r="I130" s="28" t="s">
        <v>38</v>
      </c>
      <c r="J130" s="28">
        <v>181.0</v>
      </c>
      <c r="K130" s="28"/>
      <c r="L130" s="31" t="s">
        <v>559</v>
      </c>
      <c r="M130" s="28" t="s">
        <v>250</v>
      </c>
      <c r="N130" s="28">
        <v>1988.0</v>
      </c>
      <c r="O130" s="31">
        <v>8.0</v>
      </c>
      <c r="P130" s="28">
        <v>1.0</v>
      </c>
      <c r="Q130" s="32">
        <v>1.0</v>
      </c>
      <c r="R130" s="33"/>
      <c r="S130" s="34"/>
      <c r="T130" s="34"/>
      <c r="U130" s="34"/>
      <c r="V130" s="34"/>
      <c r="W130" s="34"/>
      <c r="X130" s="34"/>
      <c r="Y130" s="61"/>
      <c r="Z130" s="61"/>
      <c r="AA130" s="61"/>
      <c r="AB130" s="61"/>
      <c r="AC130" s="61"/>
      <c r="AD130" s="61"/>
      <c r="AE130" s="61"/>
      <c r="AF130" s="61"/>
      <c r="AG130" s="61"/>
      <c r="AH130" s="61"/>
      <c r="AI130" s="61"/>
      <c r="AJ130" s="61"/>
      <c r="AK130" s="61"/>
      <c r="AL130" s="61"/>
    </row>
    <row r="131" ht="15.75" customHeight="1">
      <c r="A131" s="27">
        <f t="shared" si="2"/>
        <v>121</v>
      </c>
      <c r="B131" s="28" t="s">
        <v>560</v>
      </c>
      <c r="C131" s="29" t="s">
        <v>561</v>
      </c>
      <c r="D131" s="39" t="s">
        <v>562</v>
      </c>
      <c r="E131" s="28" t="s">
        <v>223</v>
      </c>
      <c r="F131" s="28" t="s">
        <v>29</v>
      </c>
      <c r="G131" s="28" t="s">
        <v>37</v>
      </c>
      <c r="H131" s="28"/>
      <c r="I131" s="28" t="s">
        <v>38</v>
      </c>
      <c r="J131" s="31">
        <v>199.0</v>
      </c>
      <c r="K131" s="28"/>
      <c r="L131" s="31" t="s">
        <v>224</v>
      </c>
      <c r="M131" s="28" t="s">
        <v>54</v>
      </c>
      <c r="N131" s="28">
        <v>1982.0</v>
      </c>
      <c r="O131" s="31" t="s">
        <v>225</v>
      </c>
      <c r="P131" s="31">
        <v>2.0</v>
      </c>
      <c r="Q131" s="37">
        <v>2.0</v>
      </c>
      <c r="R131" s="33"/>
      <c r="S131" s="38"/>
      <c r="T131" s="38"/>
      <c r="U131" s="38"/>
      <c r="V131" s="38"/>
      <c r="W131" s="38"/>
      <c r="X131" s="38"/>
      <c r="Y131" s="61"/>
      <c r="Z131" s="61"/>
      <c r="AA131" s="61"/>
      <c r="AB131" s="61"/>
      <c r="AC131" s="61"/>
      <c r="AD131" s="61"/>
      <c r="AE131" s="61"/>
      <c r="AF131" s="61"/>
      <c r="AG131" s="61"/>
      <c r="AH131" s="61"/>
      <c r="AI131" s="61"/>
      <c r="AJ131" s="61"/>
      <c r="AK131" s="61"/>
      <c r="AL131" s="61"/>
    </row>
    <row r="132" ht="15.75" customHeight="1">
      <c r="A132" s="27">
        <f t="shared" si="2"/>
        <v>122</v>
      </c>
      <c r="B132" s="28" t="s">
        <v>563</v>
      </c>
      <c r="C132" s="29" t="s">
        <v>564</v>
      </c>
      <c r="D132" s="39" t="s">
        <v>565</v>
      </c>
      <c r="E132" s="28" t="s">
        <v>28</v>
      </c>
      <c r="F132" s="28" t="s">
        <v>29</v>
      </c>
      <c r="G132" s="28" t="s">
        <v>37</v>
      </c>
      <c r="H132" s="28"/>
      <c r="I132" s="28" t="s">
        <v>38</v>
      </c>
      <c r="J132" s="31">
        <v>233.0</v>
      </c>
      <c r="K132" s="28"/>
      <c r="L132" s="28" t="s">
        <v>566</v>
      </c>
      <c r="M132" s="28" t="s">
        <v>178</v>
      </c>
      <c r="N132" s="28">
        <v>1971.0</v>
      </c>
      <c r="O132" s="31">
        <v>8.0</v>
      </c>
      <c r="P132" s="28">
        <v>2.0</v>
      </c>
      <c r="Q132" s="37">
        <v>2.0</v>
      </c>
      <c r="R132" s="33"/>
      <c r="S132" s="34"/>
      <c r="T132" s="34"/>
      <c r="U132" s="34"/>
      <c r="V132" s="34"/>
      <c r="W132" s="34"/>
      <c r="X132" s="34"/>
      <c r="Y132" s="61"/>
      <c r="Z132" s="61"/>
      <c r="AA132" s="61"/>
      <c r="AB132" s="61"/>
      <c r="AC132" s="61"/>
      <c r="AD132" s="61"/>
      <c r="AE132" s="61"/>
      <c r="AF132" s="61"/>
      <c r="AG132" s="61"/>
      <c r="AH132" s="61"/>
      <c r="AI132" s="61"/>
      <c r="AJ132" s="61"/>
      <c r="AK132" s="61"/>
      <c r="AL132" s="61"/>
    </row>
    <row r="133" ht="15.75" customHeight="1">
      <c r="A133" s="27">
        <f t="shared" si="2"/>
        <v>123</v>
      </c>
      <c r="B133" s="28" t="s">
        <v>567</v>
      </c>
      <c r="C133" s="29" t="s">
        <v>568</v>
      </c>
      <c r="D133" s="39" t="s">
        <v>569</v>
      </c>
      <c r="E133" s="28" t="s">
        <v>28</v>
      </c>
      <c r="F133" s="28" t="s">
        <v>29</v>
      </c>
      <c r="G133" s="28" t="s">
        <v>37</v>
      </c>
      <c r="H133" s="28"/>
      <c r="I133" s="28" t="s">
        <v>38</v>
      </c>
      <c r="J133" s="28">
        <v>191.0</v>
      </c>
      <c r="K133" s="28"/>
      <c r="L133" s="31" t="s">
        <v>285</v>
      </c>
      <c r="M133" s="28" t="s">
        <v>286</v>
      </c>
      <c r="N133" s="28">
        <v>1968.0</v>
      </c>
      <c r="O133" s="31">
        <v>8.0</v>
      </c>
      <c r="P133" s="28">
        <v>1.0</v>
      </c>
      <c r="Q133" s="37">
        <v>1.0</v>
      </c>
      <c r="R133" s="33"/>
      <c r="S133" s="34"/>
      <c r="T133" s="34"/>
      <c r="U133" s="34"/>
      <c r="V133" s="34"/>
      <c r="W133" s="34"/>
      <c r="X133" s="34"/>
      <c r="Y133" s="41"/>
      <c r="Z133" s="41"/>
      <c r="AA133" s="41"/>
      <c r="AB133" s="41"/>
      <c r="AC133" s="41"/>
      <c r="AD133" s="41"/>
      <c r="AE133" s="41"/>
      <c r="AF133" s="41"/>
      <c r="AG133" s="41"/>
      <c r="AH133" s="41"/>
      <c r="AI133" s="41"/>
      <c r="AJ133" s="41"/>
      <c r="AK133" s="41"/>
      <c r="AL133" s="41"/>
    </row>
    <row r="134" ht="15.75" customHeight="1">
      <c r="A134" s="27">
        <f t="shared" si="2"/>
        <v>124</v>
      </c>
      <c r="B134" s="28" t="s">
        <v>570</v>
      </c>
      <c r="C134" s="29" t="s">
        <v>571</v>
      </c>
      <c r="D134" s="39" t="s">
        <v>572</v>
      </c>
      <c r="E134" s="28" t="s">
        <v>28</v>
      </c>
      <c r="F134" s="28" t="s">
        <v>29</v>
      </c>
      <c r="G134" s="28" t="s">
        <v>37</v>
      </c>
      <c r="H134" s="28"/>
      <c r="I134" s="28" t="s">
        <v>38</v>
      </c>
      <c r="J134" s="28">
        <v>238.0</v>
      </c>
      <c r="K134" s="28"/>
      <c r="L134" s="31" t="s">
        <v>573</v>
      </c>
      <c r="M134" s="28" t="s">
        <v>230</v>
      </c>
      <c r="N134" s="28">
        <v>1974.0</v>
      </c>
      <c r="O134" s="62" t="s">
        <v>205</v>
      </c>
      <c r="P134" s="28">
        <v>1.0</v>
      </c>
      <c r="Q134" s="37">
        <v>1.0</v>
      </c>
      <c r="R134" s="33"/>
      <c r="S134" s="38"/>
      <c r="T134" s="38"/>
      <c r="U134" s="38"/>
      <c r="V134" s="38"/>
      <c r="W134" s="38"/>
      <c r="X134" s="38"/>
      <c r="Y134" s="61"/>
      <c r="Z134" s="61"/>
      <c r="AA134" s="61"/>
      <c r="AB134" s="61"/>
      <c r="AC134" s="61"/>
      <c r="AD134" s="61"/>
      <c r="AE134" s="61"/>
      <c r="AF134" s="61"/>
      <c r="AG134" s="61"/>
      <c r="AH134" s="61"/>
      <c r="AI134" s="61"/>
      <c r="AJ134" s="61"/>
      <c r="AK134" s="61"/>
      <c r="AL134" s="61"/>
    </row>
    <row r="135" ht="15.75" customHeight="1">
      <c r="A135" s="27">
        <f t="shared" si="2"/>
        <v>125</v>
      </c>
      <c r="B135" s="28" t="s">
        <v>574</v>
      </c>
      <c r="C135" s="29" t="s">
        <v>575</v>
      </c>
      <c r="D135" s="39" t="s">
        <v>576</v>
      </c>
      <c r="E135" s="28" t="s">
        <v>28</v>
      </c>
      <c r="F135" s="28" t="s">
        <v>29</v>
      </c>
      <c r="G135" s="28" t="s">
        <v>234</v>
      </c>
      <c r="H135" s="28"/>
      <c r="I135" s="28" t="s">
        <v>38</v>
      </c>
      <c r="J135" s="28">
        <v>323.0</v>
      </c>
      <c r="K135" s="28"/>
      <c r="L135" s="28" t="s">
        <v>577</v>
      </c>
      <c r="M135" s="28" t="s">
        <v>236</v>
      </c>
      <c r="N135" s="28">
        <v>1990.0</v>
      </c>
      <c r="O135" s="31">
        <v>7.0</v>
      </c>
      <c r="P135" s="28">
        <v>1.0</v>
      </c>
      <c r="Q135" s="37">
        <v>1.0</v>
      </c>
      <c r="R135" s="33"/>
      <c r="S135" s="34"/>
      <c r="T135" s="34"/>
      <c r="U135" s="34"/>
      <c r="V135" s="34"/>
      <c r="W135" s="34"/>
      <c r="X135" s="34"/>
      <c r="Y135" s="61"/>
      <c r="Z135" s="61"/>
      <c r="AA135" s="61"/>
      <c r="AB135" s="61"/>
      <c r="AC135" s="61"/>
      <c r="AD135" s="61"/>
      <c r="AE135" s="61"/>
      <c r="AF135" s="61"/>
      <c r="AG135" s="61"/>
      <c r="AH135" s="61"/>
      <c r="AI135" s="61"/>
      <c r="AJ135" s="61"/>
      <c r="AK135" s="61"/>
      <c r="AL135" s="61"/>
    </row>
    <row r="136" ht="15.75" customHeight="1">
      <c r="A136" s="27">
        <f t="shared" si="2"/>
        <v>126</v>
      </c>
      <c r="B136" s="28" t="s">
        <v>31</v>
      </c>
      <c r="C136" s="29" t="s">
        <v>578</v>
      </c>
      <c r="D136" s="30" t="s">
        <v>579</v>
      </c>
      <c r="E136" s="28" t="s">
        <v>28</v>
      </c>
      <c r="F136" s="28" t="s">
        <v>29</v>
      </c>
      <c r="G136" s="28" t="s">
        <v>37</v>
      </c>
      <c r="H136" s="28"/>
      <c r="I136" s="28" t="s">
        <v>38</v>
      </c>
      <c r="J136" s="28">
        <v>384.0</v>
      </c>
      <c r="K136" s="28"/>
      <c r="L136" s="28" t="s">
        <v>523</v>
      </c>
      <c r="M136" s="28" t="s">
        <v>524</v>
      </c>
      <c r="N136" s="28">
        <v>1962.0</v>
      </c>
      <c r="O136" s="31">
        <v>7.0</v>
      </c>
      <c r="P136" s="28">
        <v>1.0</v>
      </c>
      <c r="Q136" s="37">
        <v>1.0</v>
      </c>
      <c r="R136" s="33"/>
      <c r="S136" s="38"/>
      <c r="T136" s="38"/>
      <c r="U136" s="38"/>
      <c r="V136" s="38"/>
      <c r="W136" s="38"/>
      <c r="X136" s="38"/>
      <c r="Y136" s="61"/>
      <c r="Z136" s="61"/>
      <c r="AA136" s="61"/>
      <c r="AB136" s="61"/>
      <c r="AC136" s="61"/>
      <c r="AD136" s="61"/>
      <c r="AE136" s="61"/>
      <c r="AF136" s="61"/>
      <c r="AG136" s="61"/>
      <c r="AH136" s="61"/>
      <c r="AI136" s="61"/>
      <c r="AJ136" s="61"/>
      <c r="AK136" s="61"/>
      <c r="AL136" s="61"/>
    </row>
    <row r="137" ht="15.75" customHeight="1">
      <c r="A137" s="27">
        <f t="shared" si="2"/>
        <v>127</v>
      </c>
      <c r="B137" s="28" t="s">
        <v>580</v>
      </c>
      <c r="C137" s="29" t="s">
        <v>581</v>
      </c>
      <c r="D137" s="30" t="s">
        <v>582</v>
      </c>
      <c r="E137" s="28" t="s">
        <v>28</v>
      </c>
      <c r="F137" s="28" t="s">
        <v>29</v>
      </c>
      <c r="G137" s="28" t="s">
        <v>37</v>
      </c>
      <c r="H137" s="28"/>
      <c r="I137" s="28" t="s">
        <v>38</v>
      </c>
      <c r="J137" s="28">
        <v>277.0</v>
      </c>
      <c r="K137" s="28"/>
      <c r="L137" s="31" t="s">
        <v>583</v>
      </c>
      <c r="M137" s="28" t="s">
        <v>230</v>
      </c>
      <c r="N137" s="28">
        <v>2011.0</v>
      </c>
      <c r="O137" s="31">
        <v>8.0</v>
      </c>
      <c r="P137" s="28">
        <v>1.0</v>
      </c>
      <c r="Q137" s="32">
        <v>1.0</v>
      </c>
      <c r="R137" s="33"/>
      <c r="S137" s="40"/>
      <c r="T137" s="40"/>
      <c r="U137" s="40"/>
      <c r="V137" s="40"/>
      <c r="W137" s="40"/>
      <c r="X137" s="40"/>
      <c r="Y137" s="61"/>
      <c r="Z137" s="61"/>
      <c r="AA137" s="61"/>
      <c r="AB137" s="61"/>
      <c r="AC137" s="61"/>
      <c r="AD137" s="61"/>
      <c r="AE137" s="61"/>
      <c r="AF137" s="61"/>
      <c r="AG137" s="61"/>
      <c r="AH137" s="61"/>
      <c r="AI137" s="61"/>
      <c r="AJ137" s="61"/>
      <c r="AK137" s="61"/>
      <c r="AL137" s="61"/>
    </row>
    <row r="138" ht="15.75" customHeight="1">
      <c r="A138" s="27">
        <f t="shared" si="2"/>
        <v>128</v>
      </c>
      <c r="B138" s="28" t="s">
        <v>584</v>
      </c>
      <c r="C138" s="29" t="s">
        <v>585</v>
      </c>
      <c r="D138" s="39" t="s">
        <v>586</v>
      </c>
      <c r="E138" s="28" t="s">
        <v>28</v>
      </c>
      <c r="F138" s="28" t="s">
        <v>29</v>
      </c>
      <c r="G138" s="28" t="s">
        <v>37</v>
      </c>
      <c r="H138" s="28"/>
      <c r="I138" s="28" t="s">
        <v>38</v>
      </c>
      <c r="J138" s="28">
        <v>464.0</v>
      </c>
      <c r="K138" s="28"/>
      <c r="L138" s="28" t="s">
        <v>587</v>
      </c>
      <c r="M138" s="28" t="s">
        <v>123</v>
      </c>
      <c r="N138" s="28">
        <v>1994.0</v>
      </c>
      <c r="O138" s="31">
        <v>9.0</v>
      </c>
      <c r="P138" s="28">
        <v>1.0</v>
      </c>
      <c r="Q138" s="32">
        <v>1.0</v>
      </c>
      <c r="R138" s="33"/>
      <c r="S138" s="40"/>
      <c r="T138" s="40"/>
      <c r="U138" s="40"/>
      <c r="V138" s="40"/>
      <c r="W138" s="40"/>
      <c r="X138" s="40"/>
      <c r="Y138" s="61"/>
      <c r="Z138" s="61"/>
      <c r="AA138" s="61"/>
      <c r="AB138" s="61"/>
      <c r="AC138" s="61"/>
      <c r="AD138" s="61"/>
      <c r="AE138" s="61"/>
      <c r="AF138" s="61"/>
      <c r="AG138" s="61"/>
      <c r="AH138" s="61"/>
      <c r="AI138" s="61"/>
      <c r="AJ138" s="61"/>
      <c r="AK138" s="61"/>
      <c r="AL138" s="61"/>
    </row>
    <row r="139" ht="15.75" customHeight="1">
      <c r="A139" s="27">
        <f t="shared" si="2"/>
        <v>129</v>
      </c>
      <c r="B139" s="28" t="s">
        <v>31</v>
      </c>
      <c r="C139" s="29" t="s">
        <v>588</v>
      </c>
      <c r="D139" s="39" t="s">
        <v>589</v>
      </c>
      <c r="E139" s="28" t="s">
        <v>28</v>
      </c>
      <c r="F139" s="28" t="s">
        <v>29</v>
      </c>
      <c r="G139" s="28" t="s">
        <v>37</v>
      </c>
      <c r="H139" s="28"/>
      <c r="I139" s="28" t="s">
        <v>38</v>
      </c>
      <c r="J139" s="28">
        <v>541.0</v>
      </c>
      <c r="K139" s="28"/>
      <c r="L139" s="28" t="s">
        <v>590</v>
      </c>
      <c r="M139" s="31" t="s">
        <v>213</v>
      </c>
      <c r="N139" s="28">
        <v>1962.0</v>
      </c>
      <c r="O139" s="31">
        <v>7.0</v>
      </c>
      <c r="P139" s="28">
        <v>1.0</v>
      </c>
      <c r="Q139" s="37">
        <v>1.0</v>
      </c>
      <c r="R139" s="33"/>
      <c r="S139" s="34"/>
      <c r="T139" s="34"/>
      <c r="U139" s="34"/>
      <c r="V139" s="34"/>
      <c r="W139" s="34"/>
      <c r="X139" s="34"/>
      <c r="Y139" s="61"/>
      <c r="Z139" s="61"/>
      <c r="AA139" s="61"/>
      <c r="AB139" s="61"/>
      <c r="AC139" s="61"/>
      <c r="AD139" s="61"/>
      <c r="AE139" s="61"/>
      <c r="AF139" s="61"/>
      <c r="AG139" s="61"/>
      <c r="AH139" s="61"/>
      <c r="AI139" s="61"/>
      <c r="AJ139" s="61"/>
      <c r="AK139" s="61"/>
      <c r="AL139" s="61"/>
    </row>
    <row r="140" ht="15.75" customHeight="1">
      <c r="A140" s="27">
        <f t="shared" si="2"/>
        <v>130</v>
      </c>
      <c r="B140" s="28" t="s">
        <v>591</v>
      </c>
      <c r="C140" s="29" t="s">
        <v>592</v>
      </c>
      <c r="D140" s="39" t="s">
        <v>593</v>
      </c>
      <c r="E140" s="28" t="s">
        <v>28</v>
      </c>
      <c r="F140" s="28" t="s">
        <v>29</v>
      </c>
      <c r="G140" s="28" t="s">
        <v>37</v>
      </c>
      <c r="H140" s="28"/>
      <c r="I140" s="28" t="s">
        <v>38</v>
      </c>
      <c r="J140" s="31">
        <v>352.0</v>
      </c>
      <c r="K140" s="28"/>
      <c r="L140" s="28" t="s">
        <v>594</v>
      </c>
      <c r="M140" s="28" t="s">
        <v>37</v>
      </c>
      <c r="N140" s="28">
        <v>1979.0</v>
      </c>
      <c r="O140" s="31">
        <v>8.0</v>
      </c>
      <c r="P140" s="28">
        <v>2.0</v>
      </c>
      <c r="Q140" s="37">
        <v>2.0</v>
      </c>
      <c r="R140" s="33"/>
      <c r="S140" s="40"/>
      <c r="T140" s="40"/>
      <c r="U140" s="40"/>
      <c r="V140" s="40"/>
      <c r="W140" s="40"/>
      <c r="X140" s="40"/>
      <c r="Y140" s="61"/>
      <c r="Z140" s="61"/>
      <c r="AA140" s="61"/>
      <c r="AB140" s="61"/>
      <c r="AC140" s="61"/>
      <c r="AD140" s="61"/>
      <c r="AE140" s="61"/>
      <c r="AF140" s="61"/>
      <c r="AG140" s="61"/>
      <c r="AH140" s="61"/>
      <c r="AI140" s="61"/>
      <c r="AJ140" s="61"/>
      <c r="AK140" s="61"/>
      <c r="AL140" s="61"/>
    </row>
    <row r="141" ht="15.75" customHeight="1">
      <c r="A141" s="27">
        <f t="shared" si="2"/>
        <v>131</v>
      </c>
      <c r="B141" s="28" t="s">
        <v>595</v>
      </c>
      <c r="C141" s="29" t="s">
        <v>596</v>
      </c>
      <c r="D141" s="30" t="s">
        <v>597</v>
      </c>
      <c r="E141" s="28" t="s">
        <v>28</v>
      </c>
      <c r="F141" s="28" t="s">
        <v>29</v>
      </c>
      <c r="G141" s="28" t="s">
        <v>37</v>
      </c>
      <c r="H141" s="28"/>
      <c r="I141" s="28" t="s">
        <v>38</v>
      </c>
      <c r="J141" s="28">
        <v>619.0</v>
      </c>
      <c r="K141" s="28"/>
      <c r="L141" s="28" t="s">
        <v>598</v>
      </c>
      <c r="M141" s="28" t="s">
        <v>156</v>
      </c>
      <c r="N141" s="28">
        <v>1985.0</v>
      </c>
      <c r="O141" s="31">
        <v>7.0</v>
      </c>
      <c r="P141" s="28">
        <v>1.0</v>
      </c>
      <c r="Q141" s="37">
        <v>1.0</v>
      </c>
      <c r="R141" s="33"/>
      <c r="S141" s="34"/>
      <c r="T141" s="34"/>
      <c r="U141" s="34"/>
      <c r="V141" s="34"/>
      <c r="W141" s="34"/>
      <c r="X141" s="34"/>
      <c r="Y141" s="61"/>
      <c r="Z141" s="61"/>
      <c r="AA141" s="61"/>
      <c r="AB141" s="61"/>
      <c r="AC141" s="61"/>
      <c r="AD141" s="61"/>
      <c r="AE141" s="61"/>
      <c r="AF141" s="61"/>
      <c r="AG141" s="61"/>
      <c r="AH141" s="61"/>
      <c r="AI141" s="61"/>
      <c r="AJ141" s="61"/>
      <c r="AK141" s="61"/>
      <c r="AL141" s="61"/>
    </row>
    <row r="142" ht="15.75" customHeight="1">
      <c r="A142" s="27">
        <f t="shared" si="2"/>
        <v>132</v>
      </c>
      <c r="B142" s="31" t="s">
        <v>599</v>
      </c>
      <c r="C142" s="29" t="s">
        <v>600</v>
      </c>
      <c r="D142" s="39" t="s">
        <v>601</v>
      </c>
      <c r="E142" s="28" t="s">
        <v>28</v>
      </c>
      <c r="F142" s="28" t="s">
        <v>29</v>
      </c>
      <c r="G142" s="28" t="s">
        <v>37</v>
      </c>
      <c r="H142" s="28"/>
      <c r="I142" s="28" t="s">
        <v>38</v>
      </c>
      <c r="J142" s="31">
        <v>535.0</v>
      </c>
      <c r="K142" s="28"/>
      <c r="L142" s="28" t="s">
        <v>602</v>
      </c>
      <c r="M142" s="28" t="s">
        <v>49</v>
      </c>
      <c r="N142" s="28">
        <v>2014.0</v>
      </c>
      <c r="O142" s="31">
        <v>7.0</v>
      </c>
      <c r="P142" s="28">
        <v>1.0</v>
      </c>
      <c r="Q142" s="32">
        <v>1.0</v>
      </c>
      <c r="R142" s="33"/>
      <c r="S142" s="34"/>
      <c r="T142" s="34"/>
      <c r="U142" s="34"/>
      <c r="V142" s="34"/>
      <c r="W142" s="34"/>
      <c r="X142" s="34"/>
      <c r="Y142" s="61"/>
      <c r="Z142" s="61"/>
      <c r="AA142" s="61"/>
      <c r="AB142" s="61"/>
      <c r="AC142" s="61"/>
      <c r="AD142" s="61"/>
      <c r="AE142" s="61"/>
      <c r="AF142" s="61"/>
      <c r="AG142" s="61"/>
      <c r="AH142" s="61"/>
      <c r="AI142" s="61"/>
      <c r="AJ142" s="61"/>
      <c r="AK142" s="61"/>
      <c r="AL142" s="61"/>
    </row>
    <row r="143" ht="15.75" customHeight="1">
      <c r="A143" s="27">
        <f t="shared" si="2"/>
        <v>133</v>
      </c>
      <c r="B143" s="28" t="s">
        <v>31</v>
      </c>
      <c r="C143" s="29" t="s">
        <v>603</v>
      </c>
      <c r="D143" s="39" t="s">
        <v>604</v>
      </c>
      <c r="E143" s="28" t="s">
        <v>28</v>
      </c>
      <c r="F143" s="28" t="s">
        <v>29</v>
      </c>
      <c r="G143" s="28" t="s">
        <v>37</v>
      </c>
      <c r="H143" s="28"/>
      <c r="I143" s="28" t="s">
        <v>38</v>
      </c>
      <c r="J143" s="28">
        <v>404.0</v>
      </c>
      <c r="K143" s="28"/>
      <c r="L143" s="28" t="s">
        <v>605</v>
      </c>
      <c r="M143" s="31" t="s">
        <v>213</v>
      </c>
      <c r="N143" s="28">
        <v>1966.0</v>
      </c>
      <c r="O143" s="31">
        <v>7.0</v>
      </c>
      <c r="P143" s="28">
        <v>2.0</v>
      </c>
      <c r="Q143" s="37">
        <v>2.0</v>
      </c>
      <c r="R143" s="33"/>
      <c r="S143" s="40"/>
      <c r="T143" s="40"/>
      <c r="U143" s="40"/>
      <c r="V143" s="40"/>
      <c r="W143" s="40"/>
      <c r="X143" s="40"/>
      <c r="Y143" s="61"/>
      <c r="Z143" s="61"/>
      <c r="AA143" s="61"/>
      <c r="AB143" s="61"/>
      <c r="AC143" s="61"/>
      <c r="AD143" s="61"/>
      <c r="AE143" s="61"/>
      <c r="AF143" s="61"/>
      <c r="AG143" s="61"/>
      <c r="AH143" s="61"/>
      <c r="AI143" s="61"/>
      <c r="AJ143" s="61"/>
      <c r="AK143" s="61"/>
      <c r="AL143" s="61"/>
    </row>
    <row r="144" ht="15.75" customHeight="1">
      <c r="A144" s="27">
        <f t="shared" si="2"/>
        <v>134</v>
      </c>
      <c r="B144" s="28" t="s">
        <v>606</v>
      </c>
      <c r="C144" s="29" t="s">
        <v>341</v>
      </c>
      <c r="D144" s="39" t="s">
        <v>607</v>
      </c>
      <c r="E144" s="28" t="s">
        <v>28</v>
      </c>
      <c r="F144" s="28" t="s">
        <v>29</v>
      </c>
      <c r="G144" s="28" t="s">
        <v>234</v>
      </c>
      <c r="H144" s="28"/>
      <c r="I144" s="28" t="s">
        <v>38</v>
      </c>
      <c r="J144" s="28">
        <v>527.0</v>
      </c>
      <c r="K144" s="28"/>
      <c r="L144" s="28" t="s">
        <v>343</v>
      </c>
      <c r="M144" s="28" t="s">
        <v>236</v>
      </c>
      <c r="N144" s="28">
        <v>1986.0</v>
      </c>
      <c r="O144" s="31">
        <v>7.0</v>
      </c>
      <c r="P144" s="28">
        <v>1.0</v>
      </c>
      <c r="Q144" s="37">
        <v>1.0</v>
      </c>
      <c r="R144" s="33"/>
      <c r="S144" s="40"/>
      <c r="T144" s="40"/>
      <c r="U144" s="40"/>
      <c r="V144" s="40"/>
      <c r="W144" s="40"/>
      <c r="X144" s="40"/>
      <c r="Y144" s="61"/>
      <c r="Z144" s="61"/>
      <c r="AA144" s="61"/>
      <c r="AB144" s="61"/>
      <c r="AC144" s="61"/>
      <c r="AD144" s="61"/>
      <c r="AE144" s="61"/>
      <c r="AF144" s="61"/>
      <c r="AG144" s="61"/>
      <c r="AH144" s="61"/>
      <c r="AI144" s="61"/>
      <c r="AJ144" s="61"/>
      <c r="AK144" s="61"/>
      <c r="AL144" s="61"/>
    </row>
    <row r="145" ht="15.75" customHeight="1">
      <c r="A145" s="27">
        <f t="shared" si="2"/>
        <v>135</v>
      </c>
      <c r="B145" s="31" t="s">
        <v>608</v>
      </c>
      <c r="C145" s="29" t="s">
        <v>609</v>
      </c>
      <c r="D145" s="30" t="s">
        <v>610</v>
      </c>
      <c r="E145" s="28" t="s">
        <v>28</v>
      </c>
      <c r="F145" s="28" t="s">
        <v>29</v>
      </c>
      <c r="G145" s="28" t="s">
        <v>37</v>
      </c>
      <c r="H145" s="28"/>
      <c r="I145" s="28" t="s">
        <v>38</v>
      </c>
      <c r="J145" s="28">
        <v>978.0</v>
      </c>
      <c r="K145" s="28"/>
      <c r="L145" s="28" t="s">
        <v>611</v>
      </c>
      <c r="M145" s="28" t="s">
        <v>507</v>
      </c>
      <c r="N145" s="28">
        <v>2004.0</v>
      </c>
      <c r="O145" s="31">
        <v>7.0</v>
      </c>
      <c r="P145" s="28">
        <v>1.0</v>
      </c>
      <c r="Q145" s="32">
        <v>1.0</v>
      </c>
      <c r="R145" s="33"/>
      <c r="S145" s="34"/>
      <c r="T145" s="34"/>
      <c r="U145" s="34"/>
      <c r="V145" s="34"/>
      <c r="W145" s="34"/>
      <c r="X145" s="34"/>
      <c r="Y145" s="41"/>
      <c r="Z145" s="41"/>
      <c r="AA145" s="41"/>
      <c r="AB145" s="41"/>
      <c r="AC145" s="41"/>
      <c r="AD145" s="41"/>
      <c r="AE145" s="41"/>
      <c r="AF145" s="41"/>
      <c r="AG145" s="41"/>
      <c r="AH145" s="41"/>
      <c r="AI145" s="41"/>
      <c r="AJ145" s="41"/>
      <c r="AK145" s="41"/>
      <c r="AL145" s="41"/>
    </row>
    <row r="146" ht="15.75" customHeight="1">
      <c r="A146" s="27">
        <f t="shared" si="2"/>
        <v>136</v>
      </c>
      <c r="B146" s="28" t="s">
        <v>612</v>
      </c>
      <c r="C146" s="29" t="s">
        <v>613</v>
      </c>
      <c r="D146" s="39" t="s">
        <v>614</v>
      </c>
      <c r="E146" s="28" t="s">
        <v>28</v>
      </c>
      <c r="F146" s="28" t="s">
        <v>29</v>
      </c>
      <c r="G146" s="28" t="s">
        <v>37</v>
      </c>
      <c r="H146" s="28"/>
      <c r="I146" s="28" t="s">
        <v>38</v>
      </c>
      <c r="J146" s="31">
        <v>587.0</v>
      </c>
      <c r="K146" s="28"/>
      <c r="L146" s="28" t="s">
        <v>615</v>
      </c>
      <c r="M146" s="28" t="s">
        <v>123</v>
      </c>
      <c r="N146" s="28">
        <v>1999.0</v>
      </c>
      <c r="O146" s="31">
        <v>9.0</v>
      </c>
      <c r="P146" s="28">
        <v>2.0</v>
      </c>
      <c r="Q146" s="32">
        <v>2.0</v>
      </c>
      <c r="R146" s="33"/>
      <c r="S146" s="34"/>
      <c r="T146" s="34"/>
      <c r="U146" s="34"/>
      <c r="V146" s="34"/>
      <c r="W146" s="34"/>
      <c r="X146" s="34"/>
      <c r="Y146" s="61"/>
      <c r="Z146" s="61"/>
      <c r="AA146" s="61"/>
      <c r="AB146" s="61"/>
      <c r="AC146" s="61"/>
      <c r="AD146" s="61"/>
      <c r="AE146" s="61"/>
      <c r="AF146" s="61"/>
      <c r="AG146" s="61"/>
      <c r="AH146" s="61"/>
      <c r="AI146" s="61"/>
      <c r="AJ146" s="61"/>
      <c r="AK146" s="61"/>
      <c r="AL146" s="61"/>
    </row>
    <row r="147" ht="15.75" customHeight="1">
      <c r="A147" s="27">
        <f t="shared" si="2"/>
        <v>137</v>
      </c>
      <c r="B147" s="31" t="s">
        <v>616</v>
      </c>
      <c r="C147" s="29" t="s">
        <v>617</v>
      </c>
      <c r="D147" s="39" t="s">
        <v>618</v>
      </c>
      <c r="E147" s="28" t="s">
        <v>223</v>
      </c>
      <c r="F147" s="28" t="s">
        <v>29</v>
      </c>
      <c r="G147" s="28" t="s">
        <v>37</v>
      </c>
      <c r="H147" s="28"/>
      <c r="I147" s="28" t="s">
        <v>38</v>
      </c>
      <c r="J147" s="31">
        <v>176.0</v>
      </c>
      <c r="K147" s="28"/>
      <c r="L147" s="28" t="s">
        <v>619</v>
      </c>
      <c r="M147" s="28" t="s">
        <v>54</v>
      </c>
      <c r="N147" s="31">
        <v>1982.0</v>
      </c>
      <c r="O147" s="31">
        <v>7.0</v>
      </c>
      <c r="P147" s="31">
        <v>4.0</v>
      </c>
      <c r="Q147" s="37">
        <v>4.0</v>
      </c>
      <c r="R147" s="33"/>
      <c r="S147" s="34"/>
      <c r="T147" s="34"/>
      <c r="U147" s="34"/>
      <c r="V147" s="34"/>
      <c r="W147" s="34"/>
      <c r="X147" s="34"/>
      <c r="Y147" s="61"/>
      <c r="Z147" s="61"/>
      <c r="AA147" s="61"/>
      <c r="AB147" s="61"/>
      <c r="AC147" s="61"/>
      <c r="AD147" s="61"/>
      <c r="AE147" s="61"/>
      <c r="AF147" s="61"/>
      <c r="AG147" s="61"/>
      <c r="AH147" s="61"/>
      <c r="AI147" s="61"/>
      <c r="AJ147" s="61"/>
      <c r="AK147" s="61"/>
      <c r="AL147" s="61"/>
    </row>
    <row r="148" ht="15.75" customHeight="1">
      <c r="A148" s="27">
        <f t="shared" si="2"/>
        <v>138</v>
      </c>
      <c r="B148" s="28" t="s">
        <v>620</v>
      </c>
      <c r="C148" s="29" t="s">
        <v>621</v>
      </c>
      <c r="D148" s="39" t="s">
        <v>622</v>
      </c>
      <c r="E148" s="28" t="s">
        <v>223</v>
      </c>
      <c r="F148" s="28" t="s">
        <v>29</v>
      </c>
      <c r="G148" s="28" t="s">
        <v>37</v>
      </c>
      <c r="H148" s="28"/>
      <c r="I148" s="28" t="s">
        <v>38</v>
      </c>
      <c r="J148" s="31">
        <v>160.0</v>
      </c>
      <c r="K148" s="28"/>
      <c r="L148" s="28" t="s">
        <v>619</v>
      </c>
      <c r="M148" s="28" t="s">
        <v>54</v>
      </c>
      <c r="N148" s="28">
        <v>1983.0</v>
      </c>
      <c r="O148" s="31">
        <v>7.0</v>
      </c>
      <c r="P148" s="31">
        <v>7.0</v>
      </c>
      <c r="Q148" s="37">
        <v>7.0</v>
      </c>
      <c r="R148" s="33"/>
      <c r="S148" s="40"/>
      <c r="T148" s="40"/>
      <c r="U148" s="40"/>
      <c r="V148" s="40"/>
      <c r="W148" s="40"/>
      <c r="X148" s="40"/>
      <c r="Y148" s="61"/>
      <c r="Z148" s="61"/>
      <c r="AA148" s="61"/>
      <c r="AB148" s="61"/>
      <c r="AC148" s="61"/>
      <c r="AD148" s="61"/>
      <c r="AE148" s="61"/>
      <c r="AF148" s="61"/>
      <c r="AG148" s="61"/>
      <c r="AH148" s="61"/>
      <c r="AI148" s="61"/>
      <c r="AJ148" s="61"/>
      <c r="AK148" s="61"/>
      <c r="AL148" s="61"/>
    </row>
    <row r="149" ht="15.75" customHeight="1">
      <c r="A149" s="27">
        <f t="shared" si="2"/>
        <v>139</v>
      </c>
      <c r="B149" s="28" t="s">
        <v>623</v>
      </c>
      <c r="C149" s="29" t="s">
        <v>624</v>
      </c>
      <c r="D149" s="39" t="s">
        <v>625</v>
      </c>
      <c r="E149" s="28" t="s">
        <v>28</v>
      </c>
      <c r="F149" s="28" t="s">
        <v>29</v>
      </c>
      <c r="G149" s="28" t="s">
        <v>37</v>
      </c>
      <c r="H149" s="28"/>
      <c r="I149" s="28" t="s">
        <v>38</v>
      </c>
      <c r="J149" s="28">
        <v>353.0</v>
      </c>
      <c r="K149" s="28"/>
      <c r="L149" s="31" t="s">
        <v>626</v>
      </c>
      <c r="M149" s="28" t="s">
        <v>219</v>
      </c>
      <c r="N149" s="28">
        <v>1973.0</v>
      </c>
      <c r="O149" s="31">
        <v>9.0</v>
      </c>
      <c r="P149" s="28">
        <v>1.0</v>
      </c>
      <c r="Q149" s="32">
        <v>1.0</v>
      </c>
      <c r="R149" s="33"/>
      <c r="S149" s="34"/>
      <c r="T149" s="34"/>
      <c r="U149" s="34"/>
      <c r="V149" s="34"/>
      <c r="W149" s="34"/>
      <c r="X149" s="34"/>
      <c r="Y149" s="61"/>
      <c r="Z149" s="61"/>
      <c r="AA149" s="61"/>
      <c r="AB149" s="61"/>
      <c r="AC149" s="61"/>
      <c r="AD149" s="61"/>
      <c r="AE149" s="61"/>
      <c r="AF149" s="61"/>
      <c r="AG149" s="61"/>
      <c r="AH149" s="61"/>
      <c r="AI149" s="61"/>
      <c r="AJ149" s="61"/>
      <c r="AK149" s="61"/>
      <c r="AL149" s="61"/>
    </row>
    <row r="150" ht="15.75" customHeight="1">
      <c r="A150" s="27">
        <f t="shared" si="2"/>
        <v>140</v>
      </c>
      <c r="B150" s="28" t="s">
        <v>627</v>
      </c>
      <c r="C150" s="29" t="s">
        <v>628</v>
      </c>
      <c r="D150" s="42" t="s">
        <v>629</v>
      </c>
      <c r="E150" s="28" t="s">
        <v>28</v>
      </c>
      <c r="F150" s="28" t="s">
        <v>29</v>
      </c>
      <c r="G150" s="28" t="s">
        <v>38</v>
      </c>
      <c r="H150" s="28"/>
      <c r="I150" s="28" t="s">
        <v>38</v>
      </c>
      <c r="J150" s="28">
        <v>187.0</v>
      </c>
      <c r="K150" s="28"/>
      <c r="L150" s="28" t="s">
        <v>630</v>
      </c>
      <c r="M150" s="28" t="s">
        <v>631</v>
      </c>
      <c r="N150" s="28">
        <v>1962.0</v>
      </c>
      <c r="O150" s="31">
        <v>9.0</v>
      </c>
      <c r="P150" s="28">
        <v>1.0</v>
      </c>
      <c r="Q150" s="37">
        <v>1.0</v>
      </c>
      <c r="R150" s="33"/>
      <c r="S150" s="40"/>
      <c r="T150" s="40"/>
      <c r="U150" s="40"/>
      <c r="V150" s="40"/>
      <c r="W150" s="40"/>
      <c r="X150" s="40"/>
      <c r="Y150" s="61"/>
      <c r="Z150" s="61"/>
      <c r="AA150" s="61"/>
      <c r="AB150" s="61"/>
      <c r="AC150" s="61"/>
      <c r="AD150" s="61"/>
      <c r="AE150" s="61"/>
      <c r="AF150" s="61"/>
      <c r="AG150" s="61"/>
      <c r="AH150" s="61"/>
      <c r="AI150" s="61"/>
      <c r="AJ150" s="61"/>
      <c r="AK150" s="61"/>
      <c r="AL150" s="61"/>
    </row>
    <row r="151" ht="15.75" customHeight="1">
      <c r="A151" s="27">
        <f t="shared" si="2"/>
        <v>141</v>
      </c>
      <c r="B151" s="28" t="s">
        <v>632</v>
      </c>
      <c r="C151" s="29" t="s">
        <v>633</v>
      </c>
      <c r="D151" s="30" t="s">
        <v>634</v>
      </c>
      <c r="E151" s="28"/>
      <c r="F151" s="28" t="s">
        <v>29</v>
      </c>
      <c r="G151" s="28" t="s">
        <v>37</v>
      </c>
      <c r="H151" s="28"/>
      <c r="I151" s="28" t="s">
        <v>38</v>
      </c>
      <c r="J151" s="28">
        <v>414.0</v>
      </c>
      <c r="K151" s="28"/>
      <c r="L151" s="28" t="s">
        <v>635</v>
      </c>
      <c r="M151" s="28" t="s">
        <v>352</v>
      </c>
      <c r="N151" s="28">
        <v>2010.0</v>
      </c>
      <c r="O151" s="31">
        <v>9.0</v>
      </c>
      <c r="P151" s="28">
        <v>1.0</v>
      </c>
      <c r="Q151" s="32">
        <v>1.0</v>
      </c>
      <c r="R151" s="33"/>
      <c r="S151" s="34"/>
      <c r="T151" s="34"/>
      <c r="U151" s="34"/>
      <c r="V151" s="34"/>
      <c r="W151" s="34"/>
      <c r="X151" s="34"/>
      <c r="Y151" s="61"/>
      <c r="Z151" s="61"/>
      <c r="AA151" s="61"/>
      <c r="AB151" s="61"/>
      <c r="AC151" s="61"/>
      <c r="AD151" s="61"/>
      <c r="AE151" s="61"/>
      <c r="AF151" s="61"/>
      <c r="AG151" s="61"/>
      <c r="AH151" s="61"/>
      <c r="AI151" s="61"/>
      <c r="AJ151" s="61"/>
      <c r="AK151" s="61"/>
      <c r="AL151" s="61"/>
    </row>
    <row r="152" ht="15.75" customHeight="1">
      <c r="A152" s="27">
        <f t="shared" si="2"/>
        <v>142</v>
      </c>
      <c r="B152" s="31" t="s">
        <v>636</v>
      </c>
      <c r="C152" s="29" t="s">
        <v>637</v>
      </c>
      <c r="D152" s="35" t="s">
        <v>638</v>
      </c>
      <c r="E152" s="28" t="s">
        <v>223</v>
      </c>
      <c r="F152" s="28" t="s">
        <v>29</v>
      </c>
      <c r="G152" s="28" t="s">
        <v>37</v>
      </c>
      <c r="H152" s="28"/>
      <c r="I152" s="28" t="s">
        <v>38</v>
      </c>
      <c r="J152" s="31">
        <v>352.0</v>
      </c>
      <c r="K152" s="28"/>
      <c r="L152" s="31" t="s">
        <v>419</v>
      </c>
      <c r="M152" s="28" t="s">
        <v>54</v>
      </c>
      <c r="N152" s="28">
        <v>1985.0</v>
      </c>
      <c r="O152" s="31" t="s">
        <v>225</v>
      </c>
      <c r="P152" s="31">
        <v>5.0</v>
      </c>
      <c r="Q152" s="37">
        <v>5.0</v>
      </c>
      <c r="R152" s="33"/>
      <c r="S152" s="40"/>
      <c r="T152" s="40"/>
      <c r="U152" s="40"/>
      <c r="V152" s="40"/>
      <c r="W152" s="40"/>
      <c r="X152" s="40"/>
      <c r="Y152" s="61"/>
      <c r="Z152" s="61"/>
      <c r="AA152" s="61"/>
      <c r="AB152" s="61"/>
      <c r="AC152" s="61"/>
      <c r="AD152" s="61"/>
      <c r="AE152" s="61"/>
      <c r="AF152" s="61"/>
      <c r="AG152" s="61"/>
      <c r="AH152" s="61"/>
      <c r="AI152" s="61"/>
      <c r="AJ152" s="61"/>
      <c r="AK152" s="61"/>
      <c r="AL152" s="61"/>
    </row>
    <row r="153" ht="15.75" customHeight="1">
      <c r="A153" s="27">
        <f t="shared" si="2"/>
        <v>143</v>
      </c>
      <c r="B153" s="28" t="s">
        <v>31</v>
      </c>
      <c r="C153" s="29" t="s">
        <v>639</v>
      </c>
      <c r="D153" s="39" t="s">
        <v>640</v>
      </c>
      <c r="E153" s="28" t="s">
        <v>28</v>
      </c>
      <c r="F153" s="28" t="s">
        <v>29</v>
      </c>
      <c r="G153" s="28" t="s">
        <v>37</v>
      </c>
      <c r="H153" s="28"/>
      <c r="I153" s="28" t="s">
        <v>38</v>
      </c>
      <c r="J153" s="28">
        <v>424.0</v>
      </c>
      <c r="K153" s="28"/>
      <c r="L153" s="31" t="s">
        <v>641</v>
      </c>
      <c r="M153" s="31" t="s">
        <v>213</v>
      </c>
      <c r="N153" s="28">
        <v>1971.0</v>
      </c>
      <c r="O153" s="31">
        <v>7.0</v>
      </c>
      <c r="P153" s="28">
        <v>2.0</v>
      </c>
      <c r="Q153" s="37">
        <v>2.0</v>
      </c>
      <c r="R153" s="33"/>
      <c r="S153" s="40"/>
      <c r="T153" s="40"/>
      <c r="U153" s="40"/>
      <c r="V153" s="40"/>
      <c r="W153" s="40"/>
      <c r="X153" s="40"/>
      <c r="Y153" s="61"/>
      <c r="Z153" s="61"/>
      <c r="AA153" s="61"/>
      <c r="AB153" s="61"/>
      <c r="AC153" s="61"/>
      <c r="AD153" s="61"/>
      <c r="AE153" s="61"/>
      <c r="AF153" s="61"/>
      <c r="AG153" s="61"/>
      <c r="AH153" s="61"/>
      <c r="AI153" s="61"/>
      <c r="AJ153" s="61"/>
      <c r="AK153" s="61"/>
      <c r="AL153" s="61"/>
    </row>
    <row r="154" ht="15.75" customHeight="1">
      <c r="A154" s="27">
        <f t="shared" si="2"/>
        <v>144</v>
      </c>
      <c r="B154" s="28" t="s">
        <v>642</v>
      </c>
      <c r="C154" s="29" t="s">
        <v>643</v>
      </c>
      <c r="D154" s="39" t="s">
        <v>644</v>
      </c>
      <c r="E154" s="28" t="s">
        <v>28</v>
      </c>
      <c r="F154" s="28" t="s">
        <v>29</v>
      </c>
      <c r="G154" s="28" t="s">
        <v>37</v>
      </c>
      <c r="H154" s="28"/>
      <c r="I154" s="28" t="s">
        <v>38</v>
      </c>
      <c r="J154" s="28">
        <f>284+22</f>
        <v>306</v>
      </c>
      <c r="K154" s="28"/>
      <c r="L154" s="28" t="s">
        <v>645</v>
      </c>
      <c r="M154" s="28" t="s">
        <v>178</v>
      </c>
      <c r="N154" s="28">
        <v>1975.0</v>
      </c>
      <c r="O154" s="31">
        <v>8.0</v>
      </c>
      <c r="P154" s="31">
        <v>3.0</v>
      </c>
      <c r="Q154" s="37">
        <v>3.0</v>
      </c>
      <c r="R154" s="33"/>
      <c r="S154" s="40"/>
      <c r="T154" s="40"/>
      <c r="U154" s="40"/>
      <c r="V154" s="40"/>
      <c r="W154" s="40"/>
      <c r="X154" s="40"/>
      <c r="Y154" s="41"/>
      <c r="Z154" s="41"/>
      <c r="AA154" s="41"/>
      <c r="AB154" s="41"/>
      <c r="AC154" s="41"/>
      <c r="AD154" s="41"/>
      <c r="AE154" s="41"/>
      <c r="AF154" s="41"/>
      <c r="AG154" s="41"/>
      <c r="AH154" s="41"/>
      <c r="AI154" s="41"/>
      <c r="AJ154" s="41"/>
      <c r="AK154" s="41"/>
      <c r="AL154" s="41"/>
    </row>
    <row r="155" ht="15.75" customHeight="1">
      <c r="A155" s="27">
        <f t="shared" si="2"/>
        <v>145</v>
      </c>
      <c r="B155" s="28" t="s">
        <v>646</v>
      </c>
      <c r="C155" s="29" t="s">
        <v>647</v>
      </c>
      <c r="D155" s="39" t="s">
        <v>648</v>
      </c>
      <c r="E155" s="28" t="s">
        <v>28</v>
      </c>
      <c r="F155" s="28" t="s">
        <v>29</v>
      </c>
      <c r="G155" s="28" t="s">
        <v>37</v>
      </c>
      <c r="H155" s="28"/>
      <c r="I155" s="28" t="s">
        <v>38</v>
      </c>
      <c r="J155" s="28">
        <v>703.0</v>
      </c>
      <c r="K155" s="28"/>
      <c r="L155" s="28" t="s">
        <v>649</v>
      </c>
      <c r="M155" s="28" t="s">
        <v>291</v>
      </c>
      <c r="N155" s="28">
        <v>1999.0</v>
      </c>
      <c r="O155" s="31">
        <v>8.0</v>
      </c>
      <c r="P155" s="28">
        <v>1.0</v>
      </c>
      <c r="Q155" s="32">
        <v>1.0</v>
      </c>
      <c r="R155" s="33"/>
      <c r="S155" s="40"/>
      <c r="T155" s="40"/>
      <c r="U155" s="40"/>
      <c r="V155" s="40"/>
      <c r="W155" s="40"/>
      <c r="X155" s="40"/>
      <c r="Y155" s="61"/>
      <c r="Z155" s="61"/>
      <c r="AA155" s="61"/>
      <c r="AB155" s="61"/>
      <c r="AC155" s="61"/>
      <c r="AD155" s="61"/>
      <c r="AE155" s="61"/>
      <c r="AF155" s="61"/>
      <c r="AG155" s="61"/>
      <c r="AH155" s="61"/>
      <c r="AI155" s="61"/>
      <c r="AJ155" s="61"/>
      <c r="AK155" s="61"/>
      <c r="AL155" s="61"/>
    </row>
    <row r="156" ht="15.75" customHeight="1">
      <c r="A156" s="27">
        <f t="shared" si="2"/>
        <v>146</v>
      </c>
      <c r="B156" s="31" t="s">
        <v>650</v>
      </c>
      <c r="C156" s="29" t="s">
        <v>651</v>
      </c>
      <c r="D156" s="39" t="s">
        <v>652</v>
      </c>
      <c r="E156" s="28" t="s">
        <v>28</v>
      </c>
      <c r="F156" s="28" t="s">
        <v>29</v>
      </c>
      <c r="G156" s="28" t="s">
        <v>37</v>
      </c>
      <c r="H156" s="28"/>
      <c r="I156" s="28" t="s">
        <v>38</v>
      </c>
      <c r="J156" s="31">
        <v>922.0</v>
      </c>
      <c r="K156" s="28"/>
      <c r="L156" s="31" t="s">
        <v>653</v>
      </c>
      <c r="M156" s="28" t="s">
        <v>49</v>
      </c>
      <c r="N156" s="28">
        <v>2010.0</v>
      </c>
      <c r="O156" s="31">
        <v>7.0</v>
      </c>
      <c r="P156" s="28">
        <v>2.0</v>
      </c>
      <c r="Q156" s="32">
        <v>2.0</v>
      </c>
      <c r="R156" s="33"/>
      <c r="S156" s="40"/>
      <c r="T156" s="40"/>
      <c r="U156" s="40"/>
      <c r="V156" s="40"/>
      <c r="W156" s="40"/>
      <c r="X156" s="40"/>
      <c r="Y156" s="3"/>
      <c r="Z156" s="3"/>
      <c r="AA156" s="3"/>
      <c r="AB156" s="3"/>
      <c r="AC156" s="3"/>
      <c r="AD156" s="3"/>
      <c r="AE156" s="3"/>
      <c r="AF156" s="3"/>
      <c r="AG156" s="3"/>
      <c r="AH156" s="3"/>
      <c r="AI156" s="3"/>
      <c r="AJ156" s="3"/>
      <c r="AK156" s="3"/>
      <c r="AL156" s="3"/>
    </row>
    <row r="157" ht="15.75" hidden="1" customHeight="1">
      <c r="A157" s="27">
        <f t="shared" si="2"/>
        <v>147</v>
      </c>
      <c r="B157" s="49" t="s">
        <v>654</v>
      </c>
      <c r="C157" s="50" t="s">
        <v>655</v>
      </c>
      <c r="D157" s="51" t="s">
        <v>656</v>
      </c>
      <c r="E157" s="49" t="s">
        <v>137</v>
      </c>
      <c r="F157" s="49" t="s">
        <v>29</v>
      </c>
      <c r="G157" s="49" t="s">
        <v>657</v>
      </c>
      <c r="H157" s="49"/>
      <c r="I157" s="49" t="s">
        <v>38</v>
      </c>
      <c r="J157" s="49">
        <v>189.0</v>
      </c>
      <c r="K157" s="49"/>
      <c r="L157" s="49" t="s">
        <v>658</v>
      </c>
      <c r="M157" s="49" t="s">
        <v>659</v>
      </c>
      <c r="N157" s="49">
        <v>2003.0</v>
      </c>
      <c r="O157" s="49"/>
      <c r="P157" s="49">
        <v>1.0</v>
      </c>
      <c r="Q157" s="56">
        <v>1.0</v>
      </c>
      <c r="R157" s="54"/>
      <c r="S157" s="34"/>
      <c r="T157" s="34"/>
      <c r="U157" s="34"/>
      <c r="V157" s="34"/>
      <c r="W157" s="34"/>
      <c r="X157" s="34"/>
      <c r="Y157" s="3"/>
      <c r="Z157" s="3"/>
      <c r="AA157" s="3"/>
      <c r="AB157" s="3"/>
      <c r="AC157" s="3"/>
      <c r="AD157" s="3"/>
      <c r="AE157" s="3"/>
      <c r="AF157" s="3"/>
      <c r="AG157" s="3"/>
      <c r="AH157" s="3"/>
      <c r="AI157" s="3"/>
      <c r="AJ157" s="3"/>
      <c r="AK157" s="3"/>
      <c r="AL157" s="3"/>
    </row>
    <row r="158" ht="15.75" customHeight="1">
      <c r="A158" s="27">
        <f t="shared" si="2"/>
        <v>148</v>
      </c>
      <c r="B158" s="28" t="s">
        <v>660</v>
      </c>
      <c r="C158" s="29" t="s">
        <v>661</v>
      </c>
      <c r="D158" s="30" t="s">
        <v>662</v>
      </c>
      <c r="E158" s="28" t="s">
        <v>28</v>
      </c>
      <c r="F158" s="28" t="s">
        <v>29</v>
      </c>
      <c r="G158" s="28" t="s">
        <v>37</v>
      </c>
      <c r="H158" s="28"/>
      <c r="I158" s="28" t="s">
        <v>38</v>
      </c>
      <c r="J158" s="28">
        <v>262.0</v>
      </c>
      <c r="K158" s="28"/>
      <c r="L158" s="28" t="s">
        <v>502</v>
      </c>
      <c r="M158" s="28" t="s">
        <v>230</v>
      </c>
      <c r="N158" s="28">
        <v>1978.0</v>
      </c>
      <c r="O158" s="31">
        <v>9.0</v>
      </c>
      <c r="P158" s="28">
        <v>1.0</v>
      </c>
      <c r="Q158" s="32">
        <v>1.0</v>
      </c>
      <c r="R158" s="33"/>
      <c r="S158" s="40"/>
      <c r="T158" s="40"/>
      <c r="U158" s="40"/>
      <c r="V158" s="40"/>
      <c r="W158" s="40"/>
      <c r="X158" s="40"/>
      <c r="Y158" s="3"/>
      <c r="Z158" s="3"/>
      <c r="AA158" s="3"/>
      <c r="AB158" s="3"/>
      <c r="AC158" s="3"/>
      <c r="AD158" s="3"/>
      <c r="AE158" s="3"/>
      <c r="AF158" s="3"/>
      <c r="AG158" s="3"/>
      <c r="AH158" s="3"/>
      <c r="AI158" s="3"/>
      <c r="AJ158" s="3"/>
      <c r="AK158" s="3"/>
      <c r="AL158" s="3"/>
    </row>
    <row r="159" ht="15.75" customHeight="1">
      <c r="A159" s="27">
        <f t="shared" si="2"/>
        <v>149</v>
      </c>
      <c r="B159" s="28" t="s">
        <v>31</v>
      </c>
      <c r="C159" s="29" t="s">
        <v>663</v>
      </c>
      <c r="D159" s="39" t="s">
        <v>664</v>
      </c>
      <c r="E159" s="28" t="s">
        <v>28</v>
      </c>
      <c r="F159" s="28" t="s">
        <v>29</v>
      </c>
      <c r="G159" s="28" t="s">
        <v>37</v>
      </c>
      <c r="H159" s="28"/>
      <c r="I159" s="28" t="s">
        <v>38</v>
      </c>
      <c r="J159" s="28">
        <v>410.0</v>
      </c>
      <c r="K159" s="28"/>
      <c r="L159" s="31" t="s">
        <v>626</v>
      </c>
      <c r="M159" s="28" t="s">
        <v>219</v>
      </c>
      <c r="N159" s="28">
        <v>1968.0</v>
      </c>
      <c r="O159" s="31">
        <v>8.0</v>
      </c>
      <c r="P159" s="28">
        <v>1.0</v>
      </c>
      <c r="Q159" s="37">
        <v>1.0</v>
      </c>
      <c r="R159" s="33"/>
      <c r="S159" s="40"/>
      <c r="T159" s="40"/>
      <c r="U159" s="40"/>
      <c r="V159" s="40"/>
      <c r="W159" s="40"/>
      <c r="X159" s="40"/>
      <c r="Y159" s="3"/>
      <c r="Z159" s="3"/>
      <c r="AA159" s="3"/>
      <c r="AB159" s="3"/>
      <c r="AC159" s="3"/>
      <c r="AD159" s="3"/>
      <c r="AE159" s="3"/>
      <c r="AF159" s="3"/>
      <c r="AG159" s="3"/>
      <c r="AH159" s="3"/>
      <c r="AI159" s="3"/>
      <c r="AJ159" s="3"/>
      <c r="AK159" s="3"/>
      <c r="AL159" s="3"/>
    </row>
    <row r="160" ht="15.75" customHeight="1">
      <c r="A160" s="27">
        <f t="shared" si="2"/>
        <v>150</v>
      </c>
      <c r="B160" s="28" t="s">
        <v>665</v>
      </c>
      <c r="C160" s="29" t="s">
        <v>666</v>
      </c>
      <c r="D160" s="30" t="s">
        <v>667</v>
      </c>
      <c r="E160" s="28" t="s">
        <v>28</v>
      </c>
      <c r="F160" s="28" t="s">
        <v>29</v>
      </c>
      <c r="G160" s="28" t="s">
        <v>386</v>
      </c>
      <c r="H160" s="28"/>
      <c r="I160" s="28" t="s">
        <v>167</v>
      </c>
      <c r="J160" s="28">
        <v>423.0</v>
      </c>
      <c r="K160" s="28"/>
      <c r="L160" s="28" t="s">
        <v>668</v>
      </c>
      <c r="M160" s="28" t="s">
        <v>169</v>
      </c>
      <c r="N160" s="28">
        <v>2018.0</v>
      </c>
      <c r="O160" s="31" t="s">
        <v>205</v>
      </c>
      <c r="P160" s="28">
        <v>1.0</v>
      </c>
      <c r="Q160" s="32">
        <v>1.0</v>
      </c>
      <c r="R160" s="33"/>
      <c r="S160" s="34"/>
      <c r="T160" s="34"/>
      <c r="U160" s="34"/>
      <c r="V160" s="34"/>
      <c r="W160" s="34"/>
      <c r="X160" s="34"/>
      <c r="Y160" s="3"/>
      <c r="Z160" s="3"/>
      <c r="AA160" s="3"/>
      <c r="AB160" s="3"/>
      <c r="AC160" s="3"/>
      <c r="AD160" s="3"/>
      <c r="AE160" s="3"/>
      <c r="AF160" s="3"/>
      <c r="AG160" s="3"/>
      <c r="AH160" s="3"/>
      <c r="AI160" s="3"/>
      <c r="AJ160" s="3"/>
      <c r="AK160" s="3"/>
      <c r="AL160" s="3"/>
    </row>
    <row r="161" ht="15.75" customHeight="1">
      <c r="A161" s="27">
        <f t="shared" si="2"/>
        <v>151</v>
      </c>
      <c r="B161" s="28" t="s">
        <v>31</v>
      </c>
      <c r="C161" s="29" t="s">
        <v>669</v>
      </c>
      <c r="D161" s="39" t="s">
        <v>670</v>
      </c>
      <c r="E161" s="28" t="s">
        <v>28</v>
      </c>
      <c r="F161" s="28" t="s">
        <v>29</v>
      </c>
      <c r="G161" s="28" t="s">
        <v>37</v>
      </c>
      <c r="H161" s="28"/>
      <c r="I161" s="28" t="s">
        <v>38</v>
      </c>
      <c r="J161" s="28">
        <v>319.0</v>
      </c>
      <c r="K161" s="28"/>
      <c r="L161" s="28" t="s">
        <v>671</v>
      </c>
      <c r="M161" s="31" t="s">
        <v>213</v>
      </c>
      <c r="N161" s="28">
        <v>1016.0</v>
      </c>
      <c r="O161" s="31">
        <v>7.0</v>
      </c>
      <c r="P161" s="28">
        <v>1.0</v>
      </c>
      <c r="Q161" s="37">
        <v>1.0</v>
      </c>
      <c r="R161" s="33"/>
      <c r="S161" s="34"/>
      <c r="T161" s="34"/>
      <c r="U161" s="34"/>
      <c r="V161" s="34"/>
      <c r="W161" s="34"/>
      <c r="X161" s="34"/>
      <c r="Y161" s="45"/>
      <c r="Z161" s="45"/>
      <c r="AA161" s="45"/>
      <c r="AB161" s="45"/>
      <c r="AC161" s="45"/>
      <c r="AD161" s="45"/>
      <c r="AE161" s="45"/>
      <c r="AF161" s="45"/>
      <c r="AG161" s="45"/>
      <c r="AH161" s="45"/>
      <c r="AI161" s="45"/>
      <c r="AJ161" s="45"/>
      <c r="AK161" s="45"/>
      <c r="AL161" s="45"/>
    </row>
    <row r="162" ht="15.75" customHeight="1">
      <c r="A162" s="27">
        <f t="shared" si="2"/>
        <v>152</v>
      </c>
      <c r="B162" s="28" t="s">
        <v>672</v>
      </c>
      <c r="C162" s="29" t="s">
        <v>673</v>
      </c>
      <c r="D162" s="30" t="s">
        <v>674</v>
      </c>
      <c r="E162" s="28" t="s">
        <v>28</v>
      </c>
      <c r="F162" s="28" t="s">
        <v>29</v>
      </c>
      <c r="G162" s="28" t="s">
        <v>37</v>
      </c>
      <c r="H162" s="28"/>
      <c r="I162" s="28" t="s">
        <v>38</v>
      </c>
      <c r="J162" s="28">
        <v>640.0</v>
      </c>
      <c r="K162" s="28"/>
      <c r="L162" s="28" t="s">
        <v>675</v>
      </c>
      <c r="M162" s="28" t="s">
        <v>524</v>
      </c>
      <c r="N162" s="28">
        <v>2008.0</v>
      </c>
      <c r="O162" s="31">
        <v>8.0</v>
      </c>
      <c r="P162" s="28">
        <v>1.0</v>
      </c>
      <c r="Q162" s="32">
        <v>1.0</v>
      </c>
      <c r="R162" s="33"/>
      <c r="S162" s="40"/>
      <c r="T162" s="40"/>
      <c r="U162" s="40"/>
      <c r="V162" s="40"/>
      <c r="W162" s="40"/>
      <c r="X162" s="40"/>
      <c r="Y162" s="45"/>
      <c r="Z162" s="45"/>
      <c r="AA162" s="45"/>
      <c r="AB162" s="45"/>
      <c r="AC162" s="45"/>
      <c r="AD162" s="45"/>
      <c r="AE162" s="45"/>
      <c r="AF162" s="45"/>
      <c r="AG162" s="45"/>
      <c r="AH162" s="45"/>
      <c r="AI162" s="45"/>
      <c r="AJ162" s="45"/>
      <c r="AK162" s="45"/>
      <c r="AL162" s="45"/>
    </row>
    <row r="163" ht="15.75" customHeight="1">
      <c r="A163" s="27">
        <f t="shared" si="2"/>
        <v>153</v>
      </c>
      <c r="B163" s="28" t="s">
        <v>676</v>
      </c>
      <c r="C163" s="43" t="s">
        <v>677</v>
      </c>
      <c r="D163" s="39" t="s">
        <v>678</v>
      </c>
      <c r="E163" s="28" t="s">
        <v>28</v>
      </c>
      <c r="F163" s="28" t="s">
        <v>29</v>
      </c>
      <c r="G163" s="28" t="s">
        <v>37</v>
      </c>
      <c r="H163" s="28"/>
      <c r="I163" s="28" t="s">
        <v>38</v>
      </c>
      <c r="J163" s="28">
        <v>610.0</v>
      </c>
      <c r="K163" s="28"/>
      <c r="L163" s="28" t="s">
        <v>679</v>
      </c>
      <c r="M163" s="28" t="s">
        <v>178</v>
      </c>
      <c r="N163" s="28">
        <v>1995.0</v>
      </c>
      <c r="O163" s="31">
        <v>6.0</v>
      </c>
      <c r="P163" s="28">
        <v>1.0</v>
      </c>
      <c r="Q163" s="32">
        <v>1.0</v>
      </c>
      <c r="R163" s="33"/>
      <c r="S163" s="34"/>
      <c r="T163" s="34"/>
      <c r="U163" s="34"/>
      <c r="V163" s="34"/>
      <c r="W163" s="34"/>
      <c r="X163" s="34"/>
      <c r="Y163" s="45"/>
      <c r="Z163" s="45"/>
      <c r="AA163" s="45"/>
      <c r="AB163" s="45"/>
      <c r="AC163" s="45"/>
      <c r="AD163" s="45"/>
      <c r="AE163" s="45"/>
      <c r="AF163" s="45"/>
      <c r="AG163" s="45"/>
      <c r="AH163" s="45"/>
      <c r="AI163" s="45"/>
      <c r="AJ163" s="45"/>
      <c r="AK163" s="45"/>
      <c r="AL163" s="45"/>
    </row>
    <row r="164" ht="15.75" customHeight="1">
      <c r="A164" s="27">
        <f t="shared" si="2"/>
        <v>154</v>
      </c>
      <c r="B164" s="28" t="s">
        <v>31</v>
      </c>
      <c r="C164" s="29" t="s">
        <v>680</v>
      </c>
      <c r="D164" s="39" t="s">
        <v>681</v>
      </c>
      <c r="E164" s="28" t="s">
        <v>28</v>
      </c>
      <c r="F164" s="28" t="s">
        <v>29</v>
      </c>
      <c r="G164" s="28" t="s">
        <v>37</v>
      </c>
      <c r="H164" s="28"/>
      <c r="I164" s="28" t="s">
        <v>38</v>
      </c>
      <c r="J164" s="28">
        <v>450.0</v>
      </c>
      <c r="K164" s="28"/>
      <c r="L164" s="28" t="s">
        <v>682</v>
      </c>
      <c r="M164" s="31" t="s">
        <v>213</v>
      </c>
      <c r="N164" s="28">
        <v>1962.0</v>
      </c>
      <c r="O164" s="31">
        <v>7.0</v>
      </c>
      <c r="P164" s="28">
        <v>1.0</v>
      </c>
      <c r="Q164" s="37">
        <v>1.0</v>
      </c>
      <c r="R164" s="33"/>
      <c r="S164" s="40"/>
      <c r="T164" s="40"/>
      <c r="U164" s="40"/>
      <c r="V164" s="40"/>
      <c r="W164" s="40"/>
      <c r="X164" s="40"/>
      <c r="Y164" s="45"/>
      <c r="Z164" s="45"/>
      <c r="AA164" s="45"/>
      <c r="AB164" s="45"/>
      <c r="AC164" s="45"/>
      <c r="AD164" s="45"/>
      <c r="AE164" s="45"/>
      <c r="AF164" s="45"/>
      <c r="AG164" s="45"/>
      <c r="AH164" s="45"/>
      <c r="AI164" s="45"/>
      <c r="AJ164" s="45"/>
      <c r="AK164" s="45"/>
      <c r="AL164" s="45"/>
    </row>
    <row r="165" ht="15.75" customHeight="1">
      <c r="A165" s="27">
        <f t="shared" si="2"/>
        <v>155</v>
      </c>
      <c r="B165" s="31" t="s">
        <v>683</v>
      </c>
      <c r="C165" s="29" t="s">
        <v>684</v>
      </c>
      <c r="D165" s="39" t="s">
        <v>685</v>
      </c>
      <c r="E165" s="28" t="s">
        <v>223</v>
      </c>
      <c r="F165" s="28" t="s">
        <v>29</v>
      </c>
      <c r="G165" s="28" t="s">
        <v>37</v>
      </c>
      <c r="H165" s="28"/>
      <c r="I165" s="28" t="s">
        <v>38</v>
      </c>
      <c r="J165" s="31">
        <v>681.0</v>
      </c>
      <c r="K165" s="28"/>
      <c r="L165" s="31" t="s">
        <v>686</v>
      </c>
      <c r="M165" s="31" t="s">
        <v>54</v>
      </c>
      <c r="N165" s="31">
        <v>1980.0</v>
      </c>
      <c r="O165" s="31" t="s">
        <v>225</v>
      </c>
      <c r="P165" s="31">
        <v>1.0</v>
      </c>
      <c r="Q165" s="37">
        <v>1.0</v>
      </c>
      <c r="R165" s="33"/>
      <c r="S165" s="40"/>
      <c r="T165" s="40"/>
      <c r="U165" s="40"/>
      <c r="V165" s="40"/>
      <c r="W165" s="40"/>
      <c r="X165" s="40"/>
      <c r="Y165" s="45"/>
      <c r="Z165" s="45"/>
      <c r="AA165" s="45"/>
      <c r="AB165" s="45"/>
      <c r="AC165" s="45"/>
      <c r="AD165" s="45"/>
      <c r="AE165" s="45"/>
      <c r="AF165" s="45"/>
      <c r="AG165" s="45"/>
      <c r="AH165" s="45"/>
      <c r="AI165" s="45"/>
      <c r="AJ165" s="45"/>
      <c r="AK165" s="45"/>
      <c r="AL165" s="45"/>
    </row>
    <row r="166" ht="15.75" customHeight="1">
      <c r="A166" s="27">
        <f t="shared" si="2"/>
        <v>156</v>
      </c>
      <c r="B166" s="28" t="s">
        <v>31</v>
      </c>
      <c r="C166" s="29" t="s">
        <v>687</v>
      </c>
      <c r="D166" s="39" t="s">
        <v>688</v>
      </c>
      <c r="E166" s="28" t="s">
        <v>223</v>
      </c>
      <c r="F166" s="28" t="s">
        <v>29</v>
      </c>
      <c r="G166" s="28" t="s">
        <v>37</v>
      </c>
      <c r="H166" s="28"/>
      <c r="I166" s="28" t="s">
        <v>38</v>
      </c>
      <c r="J166" s="31">
        <v>325.0</v>
      </c>
      <c r="K166" s="28"/>
      <c r="L166" s="31" t="s">
        <v>686</v>
      </c>
      <c r="M166" s="28" t="s">
        <v>54</v>
      </c>
      <c r="N166" s="28">
        <v>1973.0</v>
      </c>
      <c r="O166" s="31" t="s">
        <v>225</v>
      </c>
      <c r="P166" s="31">
        <v>4.0</v>
      </c>
      <c r="Q166" s="37">
        <v>4.0</v>
      </c>
      <c r="R166" s="33"/>
      <c r="S166" s="40"/>
      <c r="T166" s="40"/>
      <c r="U166" s="40"/>
      <c r="V166" s="40"/>
      <c r="W166" s="40"/>
      <c r="X166" s="40"/>
      <c r="Y166" s="45"/>
      <c r="Z166" s="45"/>
      <c r="AA166" s="45"/>
      <c r="AB166" s="45"/>
      <c r="AC166" s="45"/>
      <c r="AD166" s="45"/>
      <c r="AE166" s="45"/>
      <c r="AF166" s="45"/>
      <c r="AG166" s="45"/>
      <c r="AH166" s="45"/>
      <c r="AI166" s="45"/>
      <c r="AJ166" s="45"/>
      <c r="AK166" s="45"/>
      <c r="AL166" s="45"/>
    </row>
    <row r="167" ht="15.75" customHeight="1">
      <c r="A167" s="27">
        <f t="shared" si="2"/>
        <v>157</v>
      </c>
      <c r="B167" s="28" t="s">
        <v>31</v>
      </c>
      <c r="C167" s="29" t="s">
        <v>689</v>
      </c>
      <c r="D167" s="39" t="s">
        <v>690</v>
      </c>
      <c r="E167" s="28" t="s">
        <v>28</v>
      </c>
      <c r="F167" s="28" t="s">
        <v>29</v>
      </c>
      <c r="G167" s="28" t="s">
        <v>131</v>
      </c>
      <c r="H167" s="28"/>
      <c r="I167" s="28" t="s">
        <v>38</v>
      </c>
      <c r="J167" s="28">
        <v>286.0</v>
      </c>
      <c r="K167" s="28"/>
      <c r="L167" s="31" t="s">
        <v>691</v>
      </c>
      <c r="M167" s="28" t="s">
        <v>230</v>
      </c>
      <c r="N167" s="28">
        <v>1965.0</v>
      </c>
      <c r="O167" s="31">
        <v>7.0</v>
      </c>
      <c r="P167" s="28">
        <v>2.0</v>
      </c>
      <c r="Q167" s="37">
        <v>1.0</v>
      </c>
      <c r="R167" s="33"/>
      <c r="S167" s="40"/>
      <c r="T167" s="40"/>
      <c r="U167" s="40"/>
      <c r="V167" s="40"/>
      <c r="W167" s="40"/>
      <c r="X167" s="40"/>
      <c r="Y167" s="45"/>
      <c r="Z167" s="45"/>
      <c r="AA167" s="45"/>
      <c r="AB167" s="45"/>
      <c r="AC167" s="45"/>
      <c r="AD167" s="45"/>
      <c r="AE167" s="45"/>
      <c r="AF167" s="45"/>
      <c r="AG167" s="45"/>
      <c r="AH167" s="45"/>
      <c r="AI167" s="45"/>
      <c r="AJ167" s="45"/>
      <c r="AK167" s="45"/>
      <c r="AL167" s="45"/>
    </row>
    <row r="168" ht="15.75" customHeight="1">
      <c r="A168" s="27">
        <f t="shared" si="2"/>
        <v>158</v>
      </c>
      <c r="B168" s="31" t="s">
        <v>692</v>
      </c>
      <c r="C168" s="29" t="s">
        <v>693</v>
      </c>
      <c r="D168" s="39" t="s">
        <v>694</v>
      </c>
      <c r="E168" s="28" t="s">
        <v>28</v>
      </c>
      <c r="F168" s="28" t="s">
        <v>29</v>
      </c>
      <c r="G168" s="28" t="s">
        <v>37</v>
      </c>
      <c r="H168" s="28"/>
      <c r="I168" s="28" t="s">
        <v>38</v>
      </c>
      <c r="J168" s="31">
        <v>271.0</v>
      </c>
      <c r="K168" s="28"/>
      <c r="L168" s="28" t="s">
        <v>339</v>
      </c>
      <c r="M168" s="28" t="s">
        <v>49</v>
      </c>
      <c r="N168" s="28">
        <v>2000.0</v>
      </c>
      <c r="O168" s="31">
        <v>7.0</v>
      </c>
      <c r="P168" s="28">
        <v>1.0</v>
      </c>
      <c r="Q168" s="32">
        <v>1.0</v>
      </c>
      <c r="R168" s="33"/>
      <c r="S168" s="34"/>
      <c r="T168" s="34"/>
      <c r="U168" s="34"/>
      <c r="V168" s="34"/>
      <c r="W168" s="34"/>
      <c r="X168" s="34"/>
      <c r="Y168" s="45"/>
      <c r="Z168" s="45"/>
      <c r="AA168" s="45"/>
      <c r="AB168" s="45"/>
      <c r="AC168" s="45"/>
      <c r="AD168" s="45"/>
      <c r="AE168" s="45"/>
      <c r="AF168" s="45"/>
      <c r="AG168" s="45"/>
      <c r="AH168" s="45"/>
      <c r="AI168" s="45"/>
      <c r="AJ168" s="45"/>
      <c r="AK168" s="45"/>
      <c r="AL168" s="45"/>
    </row>
    <row r="169" ht="15.75" customHeight="1">
      <c r="A169" s="27">
        <f t="shared" si="2"/>
        <v>159</v>
      </c>
      <c r="B169" s="28" t="s">
        <v>695</v>
      </c>
      <c r="C169" s="29" t="s">
        <v>696</v>
      </c>
      <c r="D169" s="39" t="s">
        <v>697</v>
      </c>
      <c r="E169" s="28" t="s">
        <v>28</v>
      </c>
      <c r="F169" s="28" t="s">
        <v>29</v>
      </c>
      <c r="G169" s="28" t="s">
        <v>38</v>
      </c>
      <c r="H169" s="28"/>
      <c r="I169" s="28" t="s">
        <v>38</v>
      </c>
      <c r="J169" s="28">
        <v>497.0</v>
      </c>
      <c r="K169" s="28"/>
      <c r="L169" s="28" t="s">
        <v>698</v>
      </c>
      <c r="M169" s="28" t="s">
        <v>230</v>
      </c>
      <c r="N169" s="28">
        <v>2011.0</v>
      </c>
      <c r="O169" s="31">
        <v>7.0</v>
      </c>
      <c r="P169" s="31">
        <v>2.0</v>
      </c>
      <c r="Q169" s="37">
        <v>2.0</v>
      </c>
      <c r="R169" s="33"/>
      <c r="S169" s="40"/>
      <c r="T169" s="40"/>
      <c r="U169" s="40"/>
      <c r="V169" s="40"/>
      <c r="W169" s="40"/>
      <c r="X169" s="40"/>
      <c r="Y169" s="45"/>
      <c r="Z169" s="45"/>
      <c r="AA169" s="45"/>
      <c r="AB169" s="45"/>
      <c r="AC169" s="45"/>
      <c r="AD169" s="45"/>
      <c r="AE169" s="45"/>
      <c r="AF169" s="45"/>
      <c r="AG169" s="45"/>
      <c r="AH169" s="45"/>
      <c r="AI169" s="45"/>
      <c r="AJ169" s="45"/>
      <c r="AK169" s="45"/>
      <c r="AL169" s="45"/>
    </row>
    <row r="170" ht="15.75" customHeight="1">
      <c r="A170" s="27">
        <f t="shared" si="2"/>
        <v>160</v>
      </c>
      <c r="B170" s="28" t="s">
        <v>699</v>
      </c>
      <c r="C170" s="29" t="s">
        <v>700</v>
      </c>
      <c r="D170" s="30" t="s">
        <v>701</v>
      </c>
      <c r="E170" s="28" t="s">
        <v>28</v>
      </c>
      <c r="F170" s="28" t="s">
        <v>29</v>
      </c>
      <c r="G170" s="28" t="s">
        <v>37</v>
      </c>
      <c r="H170" s="28"/>
      <c r="I170" s="28" t="s">
        <v>38</v>
      </c>
      <c r="J170" s="28">
        <v>490.0</v>
      </c>
      <c r="K170" s="28"/>
      <c r="L170" s="28" t="s">
        <v>577</v>
      </c>
      <c r="M170" s="28" t="s">
        <v>230</v>
      </c>
      <c r="N170" s="28">
        <v>2011.0</v>
      </c>
      <c r="O170" s="31">
        <v>8.0</v>
      </c>
      <c r="P170" s="28">
        <v>2.0</v>
      </c>
      <c r="Q170" s="32">
        <v>2.0</v>
      </c>
      <c r="R170" s="33"/>
      <c r="S170" s="40"/>
      <c r="T170" s="40"/>
      <c r="U170" s="40"/>
      <c r="V170" s="40"/>
      <c r="W170" s="40"/>
      <c r="X170" s="40"/>
      <c r="Y170" s="45"/>
      <c r="Z170" s="45"/>
      <c r="AA170" s="45"/>
      <c r="AB170" s="45"/>
      <c r="AC170" s="45"/>
      <c r="AD170" s="45"/>
      <c r="AE170" s="45"/>
      <c r="AF170" s="45"/>
      <c r="AG170" s="45"/>
      <c r="AH170" s="45"/>
      <c r="AI170" s="45"/>
      <c r="AJ170" s="45"/>
      <c r="AK170" s="45"/>
      <c r="AL170" s="45"/>
    </row>
    <row r="171" ht="15.75" customHeight="1">
      <c r="A171" s="27">
        <f t="shared" si="2"/>
        <v>161</v>
      </c>
      <c r="B171" s="31" t="s">
        <v>702</v>
      </c>
      <c r="C171" s="29" t="s">
        <v>703</v>
      </c>
      <c r="D171" s="39" t="s">
        <v>704</v>
      </c>
      <c r="E171" s="28" t="s">
        <v>28</v>
      </c>
      <c r="F171" s="28" t="s">
        <v>29</v>
      </c>
      <c r="G171" s="28" t="s">
        <v>37</v>
      </c>
      <c r="H171" s="28"/>
      <c r="I171" s="28" t="s">
        <v>38</v>
      </c>
      <c r="J171" s="31">
        <v>627.0</v>
      </c>
      <c r="K171" s="28"/>
      <c r="L171" s="28" t="s">
        <v>705</v>
      </c>
      <c r="M171" s="28" t="s">
        <v>49</v>
      </c>
      <c r="N171" s="28">
        <v>2012.0</v>
      </c>
      <c r="O171" s="31">
        <v>7.0</v>
      </c>
      <c r="P171" s="28">
        <v>1.0</v>
      </c>
      <c r="Q171" s="32">
        <v>1.0</v>
      </c>
      <c r="R171" s="33"/>
      <c r="S171" s="40"/>
      <c r="T171" s="40"/>
      <c r="U171" s="40"/>
      <c r="V171" s="40"/>
      <c r="W171" s="40"/>
      <c r="X171" s="40"/>
      <c r="Y171" s="45"/>
      <c r="Z171" s="45"/>
      <c r="AA171" s="45"/>
      <c r="AB171" s="45"/>
      <c r="AC171" s="45"/>
      <c r="AD171" s="45"/>
      <c r="AE171" s="45"/>
      <c r="AF171" s="45"/>
      <c r="AG171" s="45"/>
      <c r="AH171" s="45"/>
      <c r="AI171" s="45"/>
      <c r="AJ171" s="45"/>
      <c r="AK171" s="45"/>
      <c r="AL171" s="45"/>
    </row>
    <row r="172" ht="15.75" customHeight="1">
      <c r="A172" s="27">
        <f t="shared" si="2"/>
        <v>162</v>
      </c>
      <c r="B172" s="28" t="s">
        <v>706</v>
      </c>
      <c r="C172" s="29" t="s">
        <v>707</v>
      </c>
      <c r="D172" s="39" t="s">
        <v>708</v>
      </c>
      <c r="E172" s="28" t="s">
        <v>28</v>
      </c>
      <c r="F172" s="28" t="s">
        <v>29</v>
      </c>
      <c r="G172" s="28" t="s">
        <v>234</v>
      </c>
      <c r="H172" s="28"/>
      <c r="I172" s="28" t="s">
        <v>38</v>
      </c>
      <c r="J172" s="28">
        <v>513.0</v>
      </c>
      <c r="K172" s="28"/>
      <c r="L172" s="28" t="s">
        <v>709</v>
      </c>
      <c r="M172" s="28" t="s">
        <v>236</v>
      </c>
      <c r="N172" s="28">
        <v>1988.0</v>
      </c>
      <c r="O172" s="31">
        <v>7.0</v>
      </c>
      <c r="P172" s="28">
        <v>1.0</v>
      </c>
      <c r="Q172" s="37">
        <v>1.0</v>
      </c>
      <c r="R172" s="33"/>
      <c r="S172" s="40"/>
      <c r="T172" s="40"/>
      <c r="U172" s="40"/>
      <c r="V172" s="40"/>
      <c r="W172" s="40"/>
      <c r="X172" s="40"/>
      <c r="Y172" s="45"/>
      <c r="Z172" s="45"/>
      <c r="AA172" s="45"/>
      <c r="AB172" s="45"/>
      <c r="AC172" s="45"/>
      <c r="AD172" s="45"/>
      <c r="AE172" s="45"/>
      <c r="AF172" s="45"/>
      <c r="AG172" s="45"/>
      <c r="AH172" s="45"/>
      <c r="AI172" s="45"/>
      <c r="AJ172" s="45"/>
      <c r="AK172" s="45"/>
      <c r="AL172" s="45"/>
    </row>
    <row r="173" ht="15.75" hidden="1" customHeight="1">
      <c r="A173" s="27">
        <f t="shared" si="2"/>
        <v>163</v>
      </c>
      <c r="B173" s="49" t="s">
        <v>31</v>
      </c>
      <c r="C173" s="50" t="s">
        <v>710</v>
      </c>
      <c r="D173" s="55" t="s">
        <v>711</v>
      </c>
      <c r="E173" s="49" t="s">
        <v>31</v>
      </c>
      <c r="F173" s="49" t="s">
        <v>29</v>
      </c>
      <c r="G173" s="49" t="s">
        <v>131</v>
      </c>
      <c r="H173" s="49"/>
      <c r="I173" s="49" t="s">
        <v>38</v>
      </c>
      <c r="J173" s="49">
        <v>272.0</v>
      </c>
      <c r="K173" s="49"/>
      <c r="L173" s="49" t="s">
        <v>712</v>
      </c>
      <c r="M173" s="49" t="s">
        <v>713</v>
      </c>
      <c r="N173" s="49">
        <v>1966.0</v>
      </c>
      <c r="O173" s="49"/>
      <c r="P173" s="49">
        <v>1.0</v>
      </c>
      <c r="Q173" s="53">
        <v>1.0</v>
      </c>
      <c r="R173" s="54"/>
      <c r="S173" s="34"/>
      <c r="T173" s="34"/>
      <c r="U173" s="34"/>
      <c r="V173" s="34"/>
      <c r="W173" s="34"/>
      <c r="X173" s="34"/>
      <c r="Y173" s="45"/>
      <c r="Z173" s="45"/>
      <c r="AA173" s="45"/>
      <c r="AB173" s="45"/>
      <c r="AC173" s="45"/>
      <c r="AD173" s="45"/>
      <c r="AE173" s="45"/>
      <c r="AF173" s="45"/>
      <c r="AG173" s="45"/>
      <c r="AH173" s="45"/>
      <c r="AI173" s="45"/>
      <c r="AJ173" s="45"/>
      <c r="AK173" s="45"/>
      <c r="AL173" s="45"/>
    </row>
    <row r="174" ht="15.75" customHeight="1">
      <c r="A174" s="27">
        <f t="shared" si="2"/>
        <v>164</v>
      </c>
      <c r="B174" s="31" t="s">
        <v>714</v>
      </c>
      <c r="C174" s="29" t="s">
        <v>707</v>
      </c>
      <c r="D174" s="39" t="s">
        <v>715</v>
      </c>
      <c r="E174" s="28" t="s">
        <v>28</v>
      </c>
      <c r="F174" s="28" t="s">
        <v>29</v>
      </c>
      <c r="G174" s="28" t="s">
        <v>234</v>
      </c>
      <c r="H174" s="28"/>
      <c r="I174" s="28" t="s">
        <v>38</v>
      </c>
      <c r="J174" s="31">
        <v>976.0</v>
      </c>
      <c r="K174" s="28"/>
      <c r="L174" s="28" t="s">
        <v>709</v>
      </c>
      <c r="M174" s="28" t="s">
        <v>236</v>
      </c>
      <c r="N174" s="28">
        <v>1988.0</v>
      </c>
      <c r="O174" s="31">
        <v>7.0</v>
      </c>
      <c r="P174" s="28">
        <v>1.0</v>
      </c>
      <c r="Q174" s="37">
        <v>1.0</v>
      </c>
      <c r="R174" s="33"/>
      <c r="S174" s="40"/>
      <c r="T174" s="40"/>
      <c r="U174" s="40"/>
      <c r="V174" s="40"/>
      <c r="W174" s="40"/>
      <c r="X174" s="40"/>
      <c r="Y174" s="45"/>
      <c r="Z174" s="45"/>
      <c r="AA174" s="45"/>
      <c r="AB174" s="45"/>
      <c r="AC174" s="45"/>
      <c r="AD174" s="45"/>
      <c r="AE174" s="45"/>
      <c r="AF174" s="45"/>
      <c r="AG174" s="45"/>
      <c r="AH174" s="45"/>
      <c r="AI174" s="45"/>
      <c r="AJ174" s="45"/>
      <c r="AK174" s="45"/>
      <c r="AL174" s="45"/>
    </row>
    <row r="175" ht="15.75" customHeight="1">
      <c r="A175" s="27">
        <f t="shared" si="2"/>
        <v>165</v>
      </c>
      <c r="B175" s="28" t="s">
        <v>716</v>
      </c>
      <c r="C175" s="29" t="s">
        <v>717</v>
      </c>
      <c r="D175" s="39" t="s">
        <v>718</v>
      </c>
      <c r="E175" s="28" t="s">
        <v>28</v>
      </c>
      <c r="F175" s="28" t="s">
        <v>29</v>
      </c>
      <c r="G175" s="28" t="s">
        <v>37</v>
      </c>
      <c r="H175" s="28"/>
      <c r="I175" s="28" t="s">
        <v>38</v>
      </c>
      <c r="J175" s="28">
        <v>444.0</v>
      </c>
      <c r="K175" s="28"/>
      <c r="L175" s="31" t="s">
        <v>719</v>
      </c>
      <c r="M175" s="31" t="s">
        <v>213</v>
      </c>
      <c r="N175" s="28">
        <v>1975.0</v>
      </c>
      <c r="O175" s="31">
        <v>7.0</v>
      </c>
      <c r="P175" s="31">
        <v>2.0</v>
      </c>
      <c r="Q175" s="37">
        <v>2.0</v>
      </c>
      <c r="R175" s="33"/>
      <c r="S175" s="34"/>
      <c r="T175" s="34"/>
      <c r="U175" s="34"/>
      <c r="V175" s="34"/>
      <c r="W175" s="34"/>
      <c r="X175" s="34"/>
      <c r="Y175" s="45"/>
      <c r="Z175" s="45"/>
      <c r="AA175" s="45"/>
      <c r="AB175" s="45"/>
      <c r="AC175" s="45"/>
      <c r="AD175" s="45"/>
      <c r="AE175" s="45"/>
      <c r="AF175" s="45"/>
      <c r="AG175" s="45"/>
      <c r="AH175" s="45"/>
      <c r="AI175" s="45"/>
      <c r="AJ175" s="45"/>
      <c r="AK175" s="45"/>
      <c r="AL175" s="45"/>
    </row>
    <row r="176" ht="15.75" customHeight="1">
      <c r="A176" s="27">
        <f t="shared" si="2"/>
        <v>166</v>
      </c>
      <c r="B176" s="28" t="s">
        <v>720</v>
      </c>
      <c r="C176" s="29" t="s">
        <v>717</v>
      </c>
      <c r="D176" s="39" t="s">
        <v>721</v>
      </c>
      <c r="E176" s="28" t="s">
        <v>28</v>
      </c>
      <c r="F176" s="28" t="s">
        <v>29</v>
      </c>
      <c r="G176" s="28" t="s">
        <v>37</v>
      </c>
      <c r="H176" s="28"/>
      <c r="I176" s="28" t="s">
        <v>38</v>
      </c>
      <c r="J176" s="28">
        <v>927.0</v>
      </c>
      <c r="K176" s="28"/>
      <c r="L176" s="31" t="s">
        <v>719</v>
      </c>
      <c r="M176" s="31" t="s">
        <v>213</v>
      </c>
      <c r="N176" s="28">
        <v>1979.0</v>
      </c>
      <c r="O176" s="31">
        <v>7.0</v>
      </c>
      <c r="P176" s="31">
        <v>3.0</v>
      </c>
      <c r="Q176" s="37">
        <v>3.0</v>
      </c>
      <c r="R176" s="33"/>
      <c r="S176" s="40"/>
      <c r="T176" s="40"/>
      <c r="U176" s="40"/>
      <c r="V176" s="40"/>
      <c r="W176" s="40"/>
      <c r="X176" s="40"/>
      <c r="Y176" s="45"/>
      <c r="Z176" s="45"/>
      <c r="AA176" s="45"/>
      <c r="AB176" s="45"/>
      <c r="AC176" s="45"/>
      <c r="AD176" s="45"/>
      <c r="AE176" s="45"/>
      <c r="AF176" s="45"/>
      <c r="AG176" s="45"/>
      <c r="AH176" s="45"/>
      <c r="AI176" s="45"/>
      <c r="AJ176" s="45"/>
      <c r="AK176" s="45"/>
      <c r="AL176" s="45"/>
    </row>
    <row r="177" ht="15.75" customHeight="1">
      <c r="A177" s="27">
        <f t="shared" si="2"/>
        <v>167</v>
      </c>
      <c r="B177" s="57" t="s">
        <v>722</v>
      </c>
      <c r="C177" s="29" t="s">
        <v>723</v>
      </c>
      <c r="D177" s="39" t="s">
        <v>724</v>
      </c>
      <c r="E177" s="28" t="s">
        <v>28</v>
      </c>
      <c r="F177" s="28" t="s">
        <v>29</v>
      </c>
      <c r="G177" s="28" t="s">
        <v>37</v>
      </c>
      <c r="H177" s="28"/>
      <c r="I177" s="28" t="s">
        <v>38</v>
      </c>
      <c r="J177" s="28">
        <v>506.0</v>
      </c>
      <c r="K177" s="28"/>
      <c r="L177" s="31" t="s">
        <v>725</v>
      </c>
      <c r="M177" s="28" t="s">
        <v>291</v>
      </c>
      <c r="N177" s="28">
        <v>1997.0</v>
      </c>
      <c r="O177" s="31">
        <v>8.0</v>
      </c>
      <c r="P177" s="28">
        <v>1.0</v>
      </c>
      <c r="Q177" s="32">
        <v>1.0</v>
      </c>
      <c r="R177" s="33"/>
      <c r="S177" s="40"/>
      <c r="T177" s="40"/>
      <c r="U177" s="40"/>
      <c r="V177" s="40"/>
      <c r="W177" s="40"/>
      <c r="X177" s="40"/>
      <c r="Y177" s="45"/>
      <c r="Z177" s="45"/>
      <c r="AA177" s="45"/>
      <c r="AB177" s="45"/>
      <c r="AC177" s="45"/>
      <c r="AD177" s="45"/>
      <c r="AE177" s="45"/>
      <c r="AF177" s="45"/>
      <c r="AG177" s="45"/>
      <c r="AH177" s="45"/>
      <c r="AI177" s="45"/>
      <c r="AJ177" s="45"/>
      <c r="AK177" s="45"/>
      <c r="AL177" s="45"/>
    </row>
    <row r="178" ht="15.75" customHeight="1">
      <c r="A178" s="27">
        <f t="shared" si="2"/>
        <v>168</v>
      </c>
      <c r="B178" s="28" t="s">
        <v>726</v>
      </c>
      <c r="C178" s="29" t="s">
        <v>727</v>
      </c>
      <c r="D178" s="30" t="s">
        <v>728</v>
      </c>
      <c r="E178" s="28" t="s">
        <v>28</v>
      </c>
      <c r="F178" s="28" t="s">
        <v>29</v>
      </c>
      <c r="G178" s="28" t="s">
        <v>31</v>
      </c>
      <c r="H178" s="28"/>
      <c r="I178" s="28" t="s">
        <v>38</v>
      </c>
      <c r="J178" s="28">
        <v>274.0</v>
      </c>
      <c r="K178" s="28"/>
      <c r="L178" s="31" t="s">
        <v>729</v>
      </c>
      <c r="M178" s="28" t="s">
        <v>250</v>
      </c>
      <c r="N178" s="28">
        <v>1987.0</v>
      </c>
      <c r="O178" s="31">
        <v>8.0</v>
      </c>
      <c r="P178" s="28">
        <v>1.0</v>
      </c>
      <c r="Q178" s="32">
        <v>1.0</v>
      </c>
      <c r="R178" s="33"/>
      <c r="S178" s="34"/>
      <c r="T178" s="34"/>
      <c r="U178" s="34"/>
      <c r="V178" s="34"/>
      <c r="W178" s="34"/>
      <c r="X178" s="34"/>
      <c r="Y178" s="45"/>
      <c r="Z178" s="45"/>
      <c r="AA178" s="45"/>
      <c r="AB178" s="45"/>
      <c r="AC178" s="45"/>
      <c r="AD178" s="45"/>
      <c r="AE178" s="45"/>
      <c r="AF178" s="45"/>
      <c r="AG178" s="45"/>
      <c r="AH178" s="45"/>
      <c r="AI178" s="45"/>
      <c r="AJ178" s="45"/>
      <c r="AK178" s="45"/>
      <c r="AL178" s="45"/>
    </row>
    <row r="179" ht="15.75" hidden="1" customHeight="1">
      <c r="A179" s="27">
        <f t="shared" si="2"/>
        <v>169</v>
      </c>
      <c r="B179" s="63" t="s">
        <v>730</v>
      </c>
      <c r="C179" s="64" t="s">
        <v>731</v>
      </c>
      <c r="D179" s="65" t="s">
        <v>732</v>
      </c>
      <c r="E179" s="63" t="s">
        <v>144</v>
      </c>
      <c r="F179" s="63" t="s">
        <v>29</v>
      </c>
      <c r="G179" s="63" t="s">
        <v>98</v>
      </c>
      <c r="H179" s="63"/>
      <c r="I179" s="63" t="s">
        <v>98</v>
      </c>
      <c r="J179" s="63">
        <v>44.0</v>
      </c>
      <c r="K179" s="63"/>
      <c r="L179" s="63" t="s">
        <v>733</v>
      </c>
      <c r="M179" s="63" t="s">
        <v>100</v>
      </c>
      <c r="N179" s="63">
        <v>2000.0</v>
      </c>
      <c r="O179" s="63"/>
      <c r="P179" s="63">
        <v>1.0</v>
      </c>
      <c r="Q179" s="66">
        <v>1.0</v>
      </c>
      <c r="R179" s="67"/>
      <c r="S179" s="38"/>
      <c r="T179" s="38"/>
      <c r="U179" s="38"/>
      <c r="V179" s="38"/>
      <c r="W179" s="38"/>
      <c r="X179" s="38"/>
      <c r="Y179" s="45"/>
      <c r="Z179" s="45"/>
      <c r="AA179" s="45"/>
      <c r="AB179" s="45"/>
      <c r="AC179" s="45"/>
      <c r="AD179" s="45"/>
      <c r="AE179" s="45"/>
      <c r="AF179" s="45"/>
      <c r="AG179" s="45"/>
      <c r="AH179" s="45"/>
      <c r="AI179" s="45"/>
      <c r="AJ179" s="45"/>
      <c r="AK179" s="45"/>
      <c r="AL179" s="45"/>
    </row>
    <row r="180" ht="15.75" customHeight="1">
      <c r="A180" s="27">
        <f t="shared" si="2"/>
        <v>170</v>
      </c>
      <c r="B180" s="28" t="s">
        <v>734</v>
      </c>
      <c r="C180" s="29" t="s">
        <v>735</v>
      </c>
      <c r="D180" s="30" t="s">
        <v>736</v>
      </c>
      <c r="E180" s="28" t="s">
        <v>28</v>
      </c>
      <c r="F180" s="28" t="s">
        <v>29</v>
      </c>
      <c r="G180" s="28" t="s">
        <v>37</v>
      </c>
      <c r="H180" s="28"/>
      <c r="I180" s="28" t="s">
        <v>38</v>
      </c>
      <c r="J180" s="28">
        <v>191.0</v>
      </c>
      <c r="K180" s="28"/>
      <c r="L180" s="28" t="s">
        <v>737</v>
      </c>
      <c r="M180" s="28" t="s">
        <v>230</v>
      </c>
      <c r="N180" s="28">
        <v>1981.0</v>
      </c>
      <c r="O180" s="31">
        <v>9.0</v>
      </c>
      <c r="P180" s="28">
        <v>2.0</v>
      </c>
      <c r="Q180" s="37">
        <v>1.0</v>
      </c>
      <c r="R180" s="33"/>
      <c r="S180" s="38"/>
      <c r="T180" s="38"/>
      <c r="U180" s="38"/>
      <c r="V180" s="38"/>
      <c r="W180" s="38"/>
      <c r="X180" s="38"/>
      <c r="Y180" s="45"/>
      <c r="Z180" s="45"/>
      <c r="AA180" s="45"/>
      <c r="AB180" s="45"/>
      <c r="AC180" s="45"/>
      <c r="AD180" s="45"/>
      <c r="AE180" s="45"/>
      <c r="AF180" s="45"/>
      <c r="AG180" s="45"/>
      <c r="AH180" s="45"/>
      <c r="AI180" s="45"/>
      <c r="AJ180" s="45"/>
      <c r="AK180" s="45"/>
      <c r="AL180" s="45"/>
    </row>
    <row r="181" ht="15.75" customHeight="1">
      <c r="A181" s="27">
        <f t="shared" si="2"/>
        <v>171</v>
      </c>
      <c r="B181" s="28"/>
      <c r="C181" s="29" t="s">
        <v>738</v>
      </c>
      <c r="D181" s="39" t="s">
        <v>739</v>
      </c>
      <c r="E181" s="28"/>
      <c r="F181" s="28" t="s">
        <v>740</v>
      </c>
      <c r="G181" s="31" t="s">
        <v>741</v>
      </c>
      <c r="H181" s="28"/>
      <c r="I181" s="28" t="s">
        <v>38</v>
      </c>
      <c r="J181" s="28">
        <v>294.0</v>
      </c>
      <c r="K181" s="28"/>
      <c r="L181" s="31" t="s">
        <v>626</v>
      </c>
      <c r="M181" s="28" t="s">
        <v>219</v>
      </c>
      <c r="N181" s="28">
        <v>1957.0</v>
      </c>
      <c r="O181" s="31">
        <v>9.0</v>
      </c>
      <c r="P181" s="28">
        <v>1.0</v>
      </c>
      <c r="Q181" s="32">
        <v>1.0</v>
      </c>
      <c r="R181" s="33"/>
      <c r="S181" s="38"/>
      <c r="T181" s="38"/>
      <c r="U181" s="38"/>
      <c r="V181" s="38"/>
      <c r="W181" s="38"/>
      <c r="X181" s="38"/>
      <c r="Y181" s="45"/>
      <c r="Z181" s="45"/>
      <c r="AA181" s="45"/>
      <c r="AB181" s="45"/>
      <c r="AC181" s="45"/>
      <c r="AD181" s="45"/>
      <c r="AE181" s="45"/>
      <c r="AF181" s="45"/>
      <c r="AG181" s="45"/>
      <c r="AH181" s="45"/>
      <c r="AI181" s="45"/>
      <c r="AJ181" s="45"/>
      <c r="AK181" s="45"/>
      <c r="AL181" s="45"/>
    </row>
    <row r="182" ht="15.75" customHeight="1">
      <c r="A182" s="27">
        <f t="shared" si="2"/>
        <v>172</v>
      </c>
      <c r="B182" s="28" t="s">
        <v>31</v>
      </c>
      <c r="C182" s="29" t="s">
        <v>742</v>
      </c>
      <c r="D182" s="30" t="s">
        <v>743</v>
      </c>
      <c r="E182" s="28" t="s">
        <v>28</v>
      </c>
      <c r="F182" s="28" t="s">
        <v>29</v>
      </c>
      <c r="G182" s="28" t="s">
        <v>38</v>
      </c>
      <c r="H182" s="28"/>
      <c r="I182" s="28" t="s">
        <v>38</v>
      </c>
      <c r="J182" s="28">
        <v>257.0</v>
      </c>
      <c r="K182" s="28"/>
      <c r="L182" s="31" t="s">
        <v>744</v>
      </c>
      <c r="M182" s="28" t="s">
        <v>466</v>
      </c>
      <c r="N182" s="28">
        <v>1942.0</v>
      </c>
      <c r="O182" s="31">
        <v>7.0</v>
      </c>
      <c r="P182" s="28">
        <v>1.0</v>
      </c>
      <c r="Q182" s="37">
        <v>1.0</v>
      </c>
      <c r="R182" s="33"/>
      <c r="S182" s="38"/>
      <c r="T182" s="38"/>
      <c r="U182" s="38"/>
      <c r="V182" s="38"/>
      <c r="W182" s="38"/>
      <c r="X182" s="38"/>
      <c r="Y182" s="45"/>
      <c r="Z182" s="45"/>
      <c r="AA182" s="45"/>
      <c r="AB182" s="45"/>
      <c r="AC182" s="45"/>
      <c r="AD182" s="45"/>
      <c r="AE182" s="45"/>
      <c r="AF182" s="45"/>
      <c r="AG182" s="45"/>
      <c r="AH182" s="45"/>
      <c r="AI182" s="45"/>
      <c r="AJ182" s="45"/>
      <c r="AK182" s="45"/>
      <c r="AL182" s="45"/>
    </row>
    <row r="183" ht="15.75" customHeight="1">
      <c r="A183" s="27">
        <f t="shared" si="2"/>
        <v>173</v>
      </c>
      <c r="B183" s="28" t="s">
        <v>31</v>
      </c>
      <c r="C183" s="29" t="s">
        <v>745</v>
      </c>
      <c r="D183" s="39" t="s">
        <v>746</v>
      </c>
      <c r="E183" s="28" t="s">
        <v>28</v>
      </c>
      <c r="F183" s="28" t="s">
        <v>29</v>
      </c>
      <c r="G183" s="28" t="s">
        <v>37</v>
      </c>
      <c r="H183" s="28"/>
      <c r="I183" s="28" t="s">
        <v>38</v>
      </c>
      <c r="J183" s="28">
        <v>352.0</v>
      </c>
      <c r="K183" s="28"/>
      <c r="L183" s="28" t="s">
        <v>747</v>
      </c>
      <c r="M183" s="31" t="s">
        <v>213</v>
      </c>
      <c r="N183" s="28">
        <v>1961.0</v>
      </c>
      <c r="O183" s="31">
        <v>7.0</v>
      </c>
      <c r="P183" s="28">
        <v>1.0</v>
      </c>
      <c r="Q183" s="37">
        <v>1.0</v>
      </c>
      <c r="R183" s="33"/>
      <c r="S183" s="40"/>
      <c r="T183" s="40"/>
      <c r="U183" s="40"/>
      <c r="V183" s="40"/>
      <c r="W183" s="40"/>
      <c r="X183" s="40"/>
      <c r="Y183" s="45"/>
      <c r="Z183" s="45"/>
      <c r="AA183" s="45"/>
      <c r="AB183" s="45"/>
      <c r="AC183" s="45"/>
      <c r="AD183" s="45"/>
      <c r="AE183" s="45"/>
      <c r="AF183" s="45"/>
      <c r="AG183" s="45"/>
      <c r="AH183" s="45"/>
      <c r="AI183" s="45"/>
      <c r="AJ183" s="45"/>
      <c r="AK183" s="45"/>
      <c r="AL183" s="45"/>
    </row>
    <row r="184" ht="15.75" customHeight="1">
      <c r="A184" s="27">
        <f t="shared" si="2"/>
        <v>174</v>
      </c>
      <c r="B184" s="28" t="s">
        <v>31</v>
      </c>
      <c r="C184" s="29" t="s">
        <v>748</v>
      </c>
      <c r="D184" s="30" t="s">
        <v>749</v>
      </c>
      <c r="E184" s="28" t="s">
        <v>28</v>
      </c>
      <c r="F184" s="28" t="s">
        <v>29</v>
      </c>
      <c r="G184" s="28" t="s">
        <v>37</v>
      </c>
      <c r="H184" s="28"/>
      <c r="I184" s="28" t="s">
        <v>38</v>
      </c>
      <c r="J184" s="28">
        <v>430.0</v>
      </c>
      <c r="K184" s="28"/>
      <c r="L184" s="28" t="s">
        <v>523</v>
      </c>
      <c r="M184" s="28" t="s">
        <v>524</v>
      </c>
      <c r="N184" s="28">
        <v>1961.0</v>
      </c>
      <c r="O184" s="31">
        <v>7.0</v>
      </c>
      <c r="P184" s="28">
        <v>1.0</v>
      </c>
      <c r="Q184" s="37">
        <v>1.0</v>
      </c>
      <c r="R184" s="33"/>
      <c r="S184" s="34"/>
      <c r="T184" s="34"/>
      <c r="U184" s="34"/>
      <c r="V184" s="34"/>
      <c r="W184" s="34"/>
      <c r="X184" s="34"/>
      <c r="Y184" s="45"/>
      <c r="Z184" s="45"/>
      <c r="AA184" s="45"/>
      <c r="AB184" s="45"/>
      <c r="AC184" s="45"/>
      <c r="AD184" s="45"/>
      <c r="AE184" s="45"/>
      <c r="AF184" s="45"/>
      <c r="AG184" s="45"/>
      <c r="AH184" s="45"/>
      <c r="AI184" s="45"/>
      <c r="AJ184" s="45"/>
      <c r="AK184" s="45"/>
      <c r="AL184" s="45"/>
    </row>
    <row r="185" ht="15.75" customHeight="1">
      <c r="A185" s="27">
        <f t="shared" si="2"/>
        <v>175</v>
      </c>
      <c r="B185" s="28" t="s">
        <v>750</v>
      </c>
      <c r="C185" s="29" t="s">
        <v>751</v>
      </c>
      <c r="D185" s="30" t="s">
        <v>752</v>
      </c>
      <c r="E185" s="28" t="s">
        <v>28</v>
      </c>
      <c r="F185" s="28" t="s">
        <v>29</v>
      </c>
      <c r="G185" s="28" t="s">
        <v>31</v>
      </c>
      <c r="H185" s="28"/>
      <c r="I185" s="28" t="s">
        <v>38</v>
      </c>
      <c r="J185" s="28">
        <v>152.0</v>
      </c>
      <c r="K185" s="28"/>
      <c r="L185" s="31" t="s">
        <v>446</v>
      </c>
      <c r="M185" s="28" t="s">
        <v>250</v>
      </c>
      <c r="N185" s="28">
        <v>1984.0</v>
      </c>
      <c r="O185" s="31">
        <v>8.0</v>
      </c>
      <c r="P185" s="28">
        <v>1.0</v>
      </c>
      <c r="Q185" s="32">
        <v>1.0</v>
      </c>
      <c r="R185" s="33"/>
      <c r="S185" s="34"/>
      <c r="T185" s="34"/>
      <c r="U185" s="34"/>
      <c r="V185" s="34"/>
      <c r="W185" s="34"/>
      <c r="X185" s="34"/>
      <c r="Y185" s="45"/>
      <c r="Z185" s="45"/>
      <c r="AA185" s="45"/>
      <c r="AB185" s="45"/>
      <c r="AC185" s="45"/>
      <c r="AD185" s="45"/>
      <c r="AE185" s="45"/>
      <c r="AF185" s="45"/>
      <c r="AG185" s="45"/>
      <c r="AH185" s="45"/>
      <c r="AI185" s="45"/>
      <c r="AJ185" s="45"/>
      <c r="AK185" s="45"/>
      <c r="AL185" s="45"/>
    </row>
    <row r="186" ht="15.75" customHeight="1">
      <c r="A186" s="27">
        <f t="shared" si="2"/>
        <v>176</v>
      </c>
      <c r="B186" s="28" t="s">
        <v>753</v>
      </c>
      <c r="C186" s="29" t="s">
        <v>754</v>
      </c>
      <c r="D186" s="30" t="s">
        <v>755</v>
      </c>
      <c r="E186" s="28" t="s">
        <v>28</v>
      </c>
      <c r="F186" s="28" t="s">
        <v>29</v>
      </c>
      <c r="G186" s="28" t="s">
        <v>37</v>
      </c>
      <c r="H186" s="28"/>
      <c r="I186" s="28" t="s">
        <v>38</v>
      </c>
      <c r="J186" s="28">
        <v>240.0</v>
      </c>
      <c r="K186" s="28"/>
      <c r="L186" s="28" t="s">
        <v>756</v>
      </c>
      <c r="M186" s="28" t="s">
        <v>230</v>
      </c>
      <c r="N186" s="28">
        <v>1983.0</v>
      </c>
      <c r="O186" s="31">
        <v>9.0</v>
      </c>
      <c r="P186" s="28">
        <v>1.0</v>
      </c>
      <c r="Q186" s="32">
        <v>1.0</v>
      </c>
      <c r="R186" s="33"/>
      <c r="S186" s="34"/>
      <c r="T186" s="34"/>
      <c r="U186" s="34"/>
      <c r="V186" s="34"/>
      <c r="W186" s="34"/>
      <c r="X186" s="34"/>
      <c r="Y186" s="45"/>
      <c r="Z186" s="45"/>
      <c r="AA186" s="45"/>
      <c r="AB186" s="45"/>
      <c r="AC186" s="45"/>
      <c r="AD186" s="45"/>
      <c r="AE186" s="45"/>
      <c r="AF186" s="45"/>
      <c r="AG186" s="45"/>
      <c r="AH186" s="45"/>
      <c r="AI186" s="45"/>
      <c r="AJ186" s="45"/>
      <c r="AK186" s="45"/>
      <c r="AL186" s="45"/>
    </row>
    <row r="187" ht="15.75" customHeight="1">
      <c r="A187" s="27">
        <f t="shared" si="2"/>
        <v>177</v>
      </c>
      <c r="B187" s="28" t="s">
        <v>31</v>
      </c>
      <c r="C187" s="29" t="s">
        <v>757</v>
      </c>
      <c r="D187" s="39" t="s">
        <v>758</v>
      </c>
      <c r="E187" s="28" t="s">
        <v>28</v>
      </c>
      <c r="F187" s="28" t="s">
        <v>29</v>
      </c>
      <c r="G187" s="28" t="s">
        <v>37</v>
      </c>
      <c r="H187" s="28"/>
      <c r="I187" s="28" t="s">
        <v>38</v>
      </c>
      <c r="J187" s="28">
        <v>328.0</v>
      </c>
      <c r="K187" s="28"/>
      <c r="L187" s="31" t="str">
        <f>'JURNAL - NON LAI'!E57:G58</f>
        <v>#VALUE!</v>
      </c>
      <c r="M187" s="28" t="s">
        <v>230</v>
      </c>
      <c r="N187" s="28">
        <v>1970.0</v>
      </c>
      <c r="O187" s="31">
        <v>7.0</v>
      </c>
      <c r="P187" s="31">
        <v>2.0</v>
      </c>
      <c r="Q187" s="37">
        <v>2.0</v>
      </c>
      <c r="R187" s="33"/>
      <c r="S187" s="40"/>
      <c r="T187" s="40"/>
      <c r="U187" s="40"/>
      <c r="V187" s="40"/>
      <c r="W187" s="40"/>
      <c r="X187" s="40"/>
      <c r="Y187" s="45"/>
      <c r="Z187" s="45"/>
      <c r="AA187" s="45"/>
      <c r="AB187" s="45"/>
      <c r="AC187" s="45"/>
      <c r="AD187" s="45"/>
      <c r="AE187" s="45"/>
      <c r="AF187" s="45"/>
      <c r="AG187" s="45"/>
      <c r="AH187" s="45"/>
      <c r="AI187" s="45"/>
      <c r="AJ187" s="45"/>
      <c r="AK187" s="45"/>
      <c r="AL187" s="45"/>
    </row>
    <row r="188" ht="15.75" customHeight="1">
      <c r="A188" s="27">
        <f t="shared" si="2"/>
        <v>178</v>
      </c>
      <c r="B188" s="28" t="s">
        <v>759</v>
      </c>
      <c r="C188" s="29" t="s">
        <v>760</v>
      </c>
      <c r="D188" s="30" t="s">
        <v>761</v>
      </c>
      <c r="E188" s="28" t="s">
        <v>28</v>
      </c>
      <c r="F188" s="28" t="s">
        <v>29</v>
      </c>
      <c r="G188" s="28" t="s">
        <v>37</v>
      </c>
      <c r="H188" s="28"/>
      <c r="I188" s="28" t="s">
        <v>38</v>
      </c>
      <c r="J188" s="28">
        <v>200.0</v>
      </c>
      <c r="K188" s="28"/>
      <c r="L188" s="31" t="s">
        <v>762</v>
      </c>
      <c r="M188" s="28" t="s">
        <v>230</v>
      </c>
      <c r="N188" s="28">
        <v>1974.0</v>
      </c>
      <c r="O188" s="31">
        <v>7.0</v>
      </c>
      <c r="P188" s="28">
        <v>1.0</v>
      </c>
      <c r="Q188" s="32">
        <v>1.0</v>
      </c>
      <c r="R188" s="33"/>
      <c r="S188" s="40"/>
      <c r="T188" s="40"/>
      <c r="U188" s="40"/>
      <c r="V188" s="40"/>
      <c r="W188" s="40"/>
      <c r="X188" s="40"/>
      <c r="Y188" s="45"/>
      <c r="Z188" s="45"/>
      <c r="AA188" s="45"/>
      <c r="AB188" s="45"/>
      <c r="AC188" s="45"/>
      <c r="AD188" s="45"/>
      <c r="AE188" s="45"/>
      <c r="AF188" s="45"/>
      <c r="AG188" s="45"/>
      <c r="AH188" s="45"/>
      <c r="AI188" s="45"/>
      <c r="AJ188" s="45"/>
      <c r="AK188" s="45"/>
      <c r="AL188" s="45"/>
    </row>
    <row r="189" ht="15.75" customHeight="1">
      <c r="A189" s="27">
        <f t="shared" si="2"/>
        <v>179</v>
      </c>
      <c r="B189" s="28" t="s">
        <v>763</v>
      </c>
      <c r="C189" s="29" t="s">
        <v>764</v>
      </c>
      <c r="D189" s="39" t="s">
        <v>765</v>
      </c>
      <c r="E189" s="28" t="s">
        <v>28</v>
      </c>
      <c r="F189" s="28" t="s">
        <v>29</v>
      </c>
      <c r="G189" s="28" t="s">
        <v>234</v>
      </c>
      <c r="H189" s="28"/>
      <c r="I189" s="28" t="s">
        <v>38</v>
      </c>
      <c r="J189" s="28">
        <v>641.0</v>
      </c>
      <c r="K189" s="28"/>
      <c r="L189" s="28" t="s">
        <v>766</v>
      </c>
      <c r="M189" s="28" t="s">
        <v>236</v>
      </c>
      <c r="N189" s="28">
        <v>2000.0</v>
      </c>
      <c r="O189" s="31">
        <v>7.0</v>
      </c>
      <c r="P189" s="28">
        <v>2.0</v>
      </c>
      <c r="Q189" s="37">
        <v>2.0</v>
      </c>
      <c r="R189" s="33"/>
      <c r="S189" s="34"/>
      <c r="T189" s="34"/>
      <c r="U189" s="34"/>
      <c r="V189" s="34"/>
      <c r="W189" s="34"/>
      <c r="X189" s="34"/>
      <c r="Y189" s="45"/>
      <c r="Z189" s="45"/>
      <c r="AA189" s="45"/>
      <c r="AB189" s="45"/>
      <c r="AC189" s="45"/>
      <c r="AD189" s="45"/>
      <c r="AE189" s="45"/>
      <c r="AF189" s="45"/>
      <c r="AG189" s="45"/>
      <c r="AH189" s="45"/>
      <c r="AI189" s="45"/>
      <c r="AJ189" s="45"/>
      <c r="AK189" s="45"/>
      <c r="AL189" s="45"/>
    </row>
    <row r="190" ht="15.75" customHeight="1">
      <c r="A190" s="27">
        <f t="shared" si="2"/>
        <v>180</v>
      </c>
      <c r="B190" s="28" t="s">
        <v>767</v>
      </c>
      <c r="C190" s="29" t="s">
        <v>768</v>
      </c>
      <c r="D190" s="39" t="s">
        <v>769</v>
      </c>
      <c r="E190" s="28" t="s">
        <v>28</v>
      </c>
      <c r="F190" s="28" t="s">
        <v>29</v>
      </c>
      <c r="G190" s="28" t="s">
        <v>37</v>
      </c>
      <c r="H190" s="28"/>
      <c r="I190" s="28" t="s">
        <v>38</v>
      </c>
      <c r="J190" s="28">
        <v>384.0</v>
      </c>
      <c r="K190" s="28"/>
      <c r="L190" s="28" t="s">
        <v>770</v>
      </c>
      <c r="M190" s="28" t="s">
        <v>123</v>
      </c>
      <c r="N190" s="28">
        <v>1991.0</v>
      </c>
      <c r="O190" s="31">
        <v>9.0</v>
      </c>
      <c r="P190" s="28">
        <v>1.0</v>
      </c>
      <c r="Q190" s="32">
        <v>1.0</v>
      </c>
      <c r="R190" s="33"/>
      <c r="S190" s="40"/>
      <c r="T190" s="40"/>
      <c r="U190" s="40"/>
      <c r="V190" s="40"/>
      <c r="W190" s="40"/>
      <c r="X190" s="40"/>
      <c r="Y190" s="45"/>
      <c r="Z190" s="45"/>
      <c r="AA190" s="45"/>
      <c r="AB190" s="45"/>
      <c r="AC190" s="45"/>
      <c r="AD190" s="45"/>
      <c r="AE190" s="45"/>
      <c r="AF190" s="45"/>
      <c r="AG190" s="45"/>
      <c r="AH190" s="45"/>
      <c r="AI190" s="45"/>
      <c r="AJ190" s="45"/>
      <c r="AK190" s="45"/>
      <c r="AL190" s="45"/>
    </row>
    <row r="191" ht="15.75" customHeight="1">
      <c r="A191" s="27">
        <f t="shared" si="2"/>
        <v>181</v>
      </c>
      <c r="B191" s="28" t="s">
        <v>771</v>
      </c>
      <c r="C191" s="29" t="s">
        <v>772</v>
      </c>
      <c r="D191" s="30" t="s">
        <v>773</v>
      </c>
      <c r="E191" s="28" t="s">
        <v>28</v>
      </c>
      <c r="F191" s="28" t="s">
        <v>29</v>
      </c>
      <c r="G191" s="28" t="s">
        <v>38</v>
      </c>
      <c r="H191" s="28"/>
      <c r="I191" s="28" t="s">
        <v>38</v>
      </c>
      <c r="J191" s="28">
        <v>387.0</v>
      </c>
      <c r="K191" s="28"/>
      <c r="L191" s="28" t="s">
        <v>774</v>
      </c>
      <c r="M191" s="28" t="s">
        <v>485</v>
      </c>
      <c r="N191" s="28">
        <v>1969.0</v>
      </c>
      <c r="O191" s="31">
        <v>7.0</v>
      </c>
      <c r="P191" s="28">
        <v>1.0</v>
      </c>
      <c r="Q191" s="37">
        <v>1.0</v>
      </c>
      <c r="R191" s="33"/>
      <c r="S191" s="40"/>
      <c r="T191" s="40"/>
      <c r="U191" s="40"/>
      <c r="V191" s="40"/>
      <c r="W191" s="40"/>
      <c r="X191" s="40"/>
      <c r="Y191" s="45"/>
      <c r="Z191" s="45"/>
      <c r="AA191" s="45"/>
      <c r="AB191" s="45"/>
      <c r="AC191" s="45"/>
      <c r="AD191" s="45"/>
      <c r="AE191" s="45"/>
      <c r="AF191" s="45"/>
      <c r="AG191" s="45"/>
      <c r="AH191" s="45"/>
      <c r="AI191" s="45"/>
      <c r="AJ191" s="45"/>
      <c r="AK191" s="45"/>
      <c r="AL191" s="45"/>
    </row>
    <row r="192" ht="15.75" customHeight="1">
      <c r="A192" s="27">
        <f t="shared" si="2"/>
        <v>182</v>
      </c>
      <c r="B192" s="28" t="s">
        <v>31</v>
      </c>
      <c r="C192" s="29" t="s">
        <v>775</v>
      </c>
      <c r="D192" s="39" t="s">
        <v>776</v>
      </c>
      <c r="E192" s="28" t="s">
        <v>28</v>
      </c>
      <c r="F192" s="28" t="s">
        <v>29</v>
      </c>
      <c r="G192" s="28" t="s">
        <v>37</v>
      </c>
      <c r="H192" s="28"/>
      <c r="I192" s="28" t="s">
        <v>38</v>
      </c>
      <c r="J192" s="28">
        <v>749.0</v>
      </c>
      <c r="K192" s="28"/>
      <c r="L192" s="31" t="s">
        <v>355</v>
      </c>
      <c r="M192" s="28" t="s">
        <v>356</v>
      </c>
      <c r="N192" s="28">
        <v>1953.0</v>
      </c>
      <c r="O192" s="31">
        <v>8.0</v>
      </c>
      <c r="P192" s="28">
        <v>1.0</v>
      </c>
      <c r="Q192" s="32">
        <v>1.0</v>
      </c>
      <c r="R192" s="33"/>
      <c r="S192" s="34"/>
      <c r="T192" s="34"/>
      <c r="U192" s="34"/>
      <c r="V192" s="34"/>
      <c r="W192" s="34"/>
      <c r="X192" s="34"/>
      <c r="Y192" s="45"/>
      <c r="Z192" s="45"/>
      <c r="AA192" s="45"/>
      <c r="AB192" s="45"/>
      <c r="AC192" s="45"/>
      <c r="AD192" s="45"/>
      <c r="AE192" s="45"/>
      <c r="AF192" s="45"/>
      <c r="AG192" s="45"/>
      <c r="AH192" s="45"/>
      <c r="AI192" s="45"/>
      <c r="AJ192" s="45"/>
      <c r="AK192" s="45"/>
      <c r="AL192" s="45"/>
    </row>
    <row r="193" ht="15.75" customHeight="1">
      <c r="A193" s="27">
        <f t="shared" si="2"/>
        <v>183</v>
      </c>
      <c r="B193" s="28" t="s">
        <v>777</v>
      </c>
      <c r="C193" s="29" t="s">
        <v>778</v>
      </c>
      <c r="D193" s="39" t="s">
        <v>779</v>
      </c>
      <c r="E193" s="28" t="s">
        <v>28</v>
      </c>
      <c r="F193" s="28" t="s">
        <v>29</v>
      </c>
      <c r="G193" s="28" t="s">
        <v>30</v>
      </c>
      <c r="H193" s="28"/>
      <c r="I193" s="28" t="s">
        <v>30</v>
      </c>
      <c r="J193" s="28">
        <v>993.0</v>
      </c>
      <c r="K193" s="28"/>
      <c r="L193" s="28" t="s">
        <v>780</v>
      </c>
      <c r="M193" s="28" t="s">
        <v>169</v>
      </c>
      <c r="N193" s="28">
        <v>2015.0</v>
      </c>
      <c r="O193" s="31">
        <v>8.0</v>
      </c>
      <c r="P193" s="28">
        <v>1.0</v>
      </c>
      <c r="Q193" s="32">
        <v>1.0</v>
      </c>
      <c r="R193" s="33"/>
      <c r="S193" s="40"/>
      <c r="T193" s="40"/>
      <c r="U193" s="40"/>
      <c r="V193" s="40"/>
      <c r="W193" s="40"/>
      <c r="X193" s="40"/>
      <c r="Y193" s="45"/>
      <c r="Z193" s="45"/>
      <c r="AA193" s="45"/>
      <c r="AB193" s="45"/>
      <c r="AC193" s="45"/>
      <c r="AD193" s="45"/>
      <c r="AE193" s="45"/>
      <c r="AF193" s="45"/>
      <c r="AG193" s="45"/>
      <c r="AH193" s="45"/>
      <c r="AI193" s="45"/>
      <c r="AJ193" s="45"/>
      <c r="AK193" s="45"/>
      <c r="AL193" s="45"/>
    </row>
    <row r="194" ht="15.75" customHeight="1">
      <c r="A194" s="27">
        <f t="shared" si="2"/>
        <v>184</v>
      </c>
      <c r="B194" s="28" t="s">
        <v>781</v>
      </c>
      <c r="C194" s="29" t="s">
        <v>778</v>
      </c>
      <c r="D194" s="39" t="s">
        <v>782</v>
      </c>
      <c r="E194" s="28" t="s">
        <v>28</v>
      </c>
      <c r="F194" s="28" t="s">
        <v>29</v>
      </c>
      <c r="G194" s="28" t="s">
        <v>30</v>
      </c>
      <c r="H194" s="28"/>
      <c r="I194" s="28" t="s">
        <v>30</v>
      </c>
      <c r="J194" s="28">
        <v>1224.0</v>
      </c>
      <c r="K194" s="28"/>
      <c r="L194" s="28" t="s">
        <v>780</v>
      </c>
      <c r="M194" s="28" t="s">
        <v>169</v>
      </c>
      <c r="N194" s="28">
        <v>2014.0</v>
      </c>
      <c r="O194" s="31">
        <v>8.0</v>
      </c>
      <c r="P194" s="28">
        <v>1.0</v>
      </c>
      <c r="Q194" s="32">
        <v>1.0</v>
      </c>
      <c r="R194" s="33"/>
      <c r="S194" s="34"/>
      <c r="T194" s="34"/>
      <c r="U194" s="34"/>
      <c r="V194" s="34"/>
      <c r="W194" s="34"/>
      <c r="X194" s="34"/>
      <c r="Y194" s="45"/>
      <c r="Z194" s="45"/>
      <c r="AA194" s="45"/>
      <c r="AB194" s="45"/>
      <c r="AC194" s="45"/>
      <c r="AD194" s="45"/>
      <c r="AE194" s="45"/>
      <c r="AF194" s="45"/>
      <c r="AG194" s="45"/>
      <c r="AH194" s="45"/>
      <c r="AI194" s="45"/>
      <c r="AJ194" s="45"/>
      <c r="AK194" s="45"/>
      <c r="AL194" s="45"/>
    </row>
    <row r="195" ht="15.75" customHeight="1">
      <c r="A195" s="27">
        <f t="shared" si="2"/>
        <v>185</v>
      </c>
      <c r="B195" s="28" t="s">
        <v>783</v>
      </c>
      <c r="C195" s="29" t="s">
        <v>778</v>
      </c>
      <c r="D195" s="39" t="s">
        <v>784</v>
      </c>
      <c r="E195" s="28" t="s">
        <v>28</v>
      </c>
      <c r="F195" s="28" t="s">
        <v>29</v>
      </c>
      <c r="G195" s="28" t="s">
        <v>30</v>
      </c>
      <c r="H195" s="28"/>
      <c r="I195" s="28" t="s">
        <v>30</v>
      </c>
      <c r="J195" s="28">
        <v>852.0</v>
      </c>
      <c r="K195" s="28"/>
      <c r="L195" s="28" t="s">
        <v>780</v>
      </c>
      <c r="M195" s="28" t="s">
        <v>169</v>
      </c>
      <c r="N195" s="28">
        <v>2015.0</v>
      </c>
      <c r="O195" s="31">
        <v>8.0</v>
      </c>
      <c r="P195" s="28">
        <v>2.0</v>
      </c>
      <c r="Q195" s="32">
        <v>2.0</v>
      </c>
      <c r="R195" s="33"/>
      <c r="S195" s="34"/>
      <c r="T195" s="34"/>
      <c r="U195" s="34"/>
      <c r="V195" s="34"/>
      <c r="W195" s="34"/>
      <c r="X195" s="34"/>
      <c r="Y195" s="45"/>
      <c r="Z195" s="45"/>
      <c r="AA195" s="45"/>
      <c r="AB195" s="45"/>
      <c r="AC195" s="45"/>
      <c r="AD195" s="45"/>
      <c r="AE195" s="45"/>
      <c r="AF195" s="45"/>
      <c r="AG195" s="45"/>
      <c r="AH195" s="45"/>
      <c r="AI195" s="45"/>
      <c r="AJ195" s="45"/>
      <c r="AK195" s="45"/>
      <c r="AL195" s="45"/>
    </row>
    <row r="196" ht="15.75" customHeight="1">
      <c r="A196" s="27">
        <f t="shared" si="2"/>
        <v>186</v>
      </c>
      <c r="B196" s="28" t="s">
        <v>31</v>
      </c>
      <c r="C196" s="29" t="s">
        <v>785</v>
      </c>
      <c r="D196" s="39" t="s">
        <v>786</v>
      </c>
      <c r="E196" s="28" t="s">
        <v>28</v>
      </c>
      <c r="F196" s="28" t="s">
        <v>29</v>
      </c>
      <c r="G196" s="28" t="s">
        <v>37</v>
      </c>
      <c r="H196" s="28"/>
      <c r="I196" s="28" t="s">
        <v>38</v>
      </c>
      <c r="J196" s="28">
        <v>531.0</v>
      </c>
      <c r="K196" s="28"/>
      <c r="L196" s="31" t="s">
        <v>787</v>
      </c>
      <c r="M196" s="28" t="s">
        <v>230</v>
      </c>
      <c r="N196" s="28">
        <v>1966.0</v>
      </c>
      <c r="O196" s="31">
        <v>6.0</v>
      </c>
      <c r="P196" s="28">
        <v>1.0</v>
      </c>
      <c r="Q196" s="32">
        <v>1.0</v>
      </c>
      <c r="R196" s="33"/>
      <c r="S196" s="34"/>
      <c r="T196" s="34"/>
      <c r="U196" s="34"/>
      <c r="V196" s="34"/>
      <c r="W196" s="34"/>
      <c r="X196" s="34"/>
      <c r="Y196" s="45"/>
      <c r="Z196" s="45"/>
      <c r="AA196" s="45"/>
      <c r="AB196" s="45"/>
      <c r="AC196" s="45"/>
      <c r="AD196" s="45"/>
      <c r="AE196" s="45"/>
      <c r="AF196" s="45"/>
      <c r="AG196" s="45"/>
      <c r="AH196" s="45"/>
      <c r="AI196" s="45"/>
      <c r="AJ196" s="45"/>
      <c r="AK196" s="45"/>
      <c r="AL196" s="45"/>
    </row>
    <row r="197" ht="15.75" customHeight="1">
      <c r="A197" s="27">
        <f t="shared" si="2"/>
        <v>187</v>
      </c>
      <c r="B197" s="28" t="s">
        <v>31</v>
      </c>
      <c r="C197" s="29" t="s">
        <v>788</v>
      </c>
      <c r="D197" s="39" t="s">
        <v>789</v>
      </c>
      <c r="E197" s="28" t="s">
        <v>28</v>
      </c>
      <c r="F197" s="28" t="s">
        <v>29</v>
      </c>
      <c r="G197" s="28" t="s">
        <v>37</v>
      </c>
      <c r="H197" s="28"/>
      <c r="I197" s="28" t="s">
        <v>38</v>
      </c>
      <c r="J197" s="31">
        <v>675.0</v>
      </c>
      <c r="K197" s="28"/>
      <c r="L197" s="31" t="s">
        <v>787</v>
      </c>
      <c r="M197" s="28" t="s">
        <v>230</v>
      </c>
      <c r="N197" s="28">
        <v>1965.0</v>
      </c>
      <c r="O197" s="31">
        <v>6.0</v>
      </c>
      <c r="P197" s="28">
        <v>1.0</v>
      </c>
      <c r="Q197" s="32">
        <v>1.0</v>
      </c>
      <c r="R197" s="33"/>
      <c r="S197" s="40"/>
      <c r="T197" s="40"/>
      <c r="U197" s="40"/>
      <c r="V197" s="40"/>
      <c r="W197" s="40"/>
      <c r="X197" s="40"/>
      <c r="Y197" s="45"/>
      <c r="Z197" s="45"/>
      <c r="AA197" s="45"/>
      <c r="AB197" s="45"/>
      <c r="AC197" s="45"/>
      <c r="AD197" s="45"/>
      <c r="AE197" s="45"/>
      <c r="AF197" s="45"/>
      <c r="AG197" s="45"/>
      <c r="AH197" s="45"/>
      <c r="AI197" s="45"/>
      <c r="AJ197" s="45"/>
      <c r="AK197" s="45"/>
      <c r="AL197" s="45"/>
    </row>
    <row r="198" ht="15.75" customHeight="1">
      <c r="A198" s="27">
        <f t="shared" si="2"/>
        <v>188</v>
      </c>
      <c r="B198" s="28" t="s">
        <v>790</v>
      </c>
      <c r="C198" s="29" t="s">
        <v>791</v>
      </c>
      <c r="D198" s="30" t="s">
        <v>792</v>
      </c>
      <c r="E198" s="28" t="s">
        <v>28</v>
      </c>
      <c r="F198" s="28" t="s">
        <v>29</v>
      </c>
      <c r="G198" s="28" t="s">
        <v>38</v>
      </c>
      <c r="H198" s="28"/>
      <c r="I198" s="28" t="s">
        <v>38</v>
      </c>
      <c r="J198" s="28">
        <v>174.0</v>
      </c>
      <c r="K198" s="28"/>
      <c r="L198" s="28" t="s">
        <v>793</v>
      </c>
      <c r="M198" s="28" t="s">
        <v>794</v>
      </c>
      <c r="N198" s="28">
        <v>1974.0</v>
      </c>
      <c r="O198" s="31">
        <v>7.0</v>
      </c>
      <c r="P198" s="28">
        <v>1.0</v>
      </c>
      <c r="Q198" s="37">
        <v>1.0</v>
      </c>
      <c r="R198" s="33"/>
      <c r="S198" s="34"/>
      <c r="T198" s="34"/>
      <c r="U198" s="34"/>
      <c r="V198" s="34"/>
      <c r="W198" s="34"/>
      <c r="X198" s="34"/>
      <c r="Y198" s="45"/>
      <c r="Z198" s="45"/>
      <c r="AA198" s="45"/>
      <c r="AB198" s="45"/>
      <c r="AC198" s="45"/>
      <c r="AD198" s="45"/>
      <c r="AE198" s="45"/>
      <c r="AF198" s="45"/>
      <c r="AG198" s="45"/>
      <c r="AH198" s="45"/>
      <c r="AI198" s="45"/>
      <c r="AJ198" s="45"/>
      <c r="AK198" s="45"/>
      <c r="AL198" s="45"/>
    </row>
    <row r="199" ht="15.75" customHeight="1">
      <c r="A199" s="27">
        <f t="shared" si="2"/>
        <v>189</v>
      </c>
      <c r="B199" s="28" t="s">
        <v>795</v>
      </c>
      <c r="C199" s="29" t="s">
        <v>796</v>
      </c>
      <c r="D199" s="30" t="s">
        <v>797</v>
      </c>
      <c r="E199" s="28" t="s">
        <v>28</v>
      </c>
      <c r="F199" s="28" t="s">
        <v>29</v>
      </c>
      <c r="G199" s="28" t="s">
        <v>37</v>
      </c>
      <c r="H199" s="28"/>
      <c r="I199" s="28" t="s">
        <v>38</v>
      </c>
      <c r="J199" s="28">
        <v>112.0</v>
      </c>
      <c r="K199" s="28"/>
      <c r="L199" s="31" t="s">
        <v>798</v>
      </c>
      <c r="M199" s="28" t="s">
        <v>250</v>
      </c>
      <c r="N199" s="28">
        <v>1984.0</v>
      </c>
      <c r="O199" s="31">
        <v>8.0</v>
      </c>
      <c r="P199" s="28">
        <v>1.0</v>
      </c>
      <c r="Q199" s="32">
        <v>1.0</v>
      </c>
      <c r="R199" s="33"/>
      <c r="S199" s="34"/>
      <c r="T199" s="34"/>
      <c r="U199" s="34"/>
      <c r="V199" s="34"/>
      <c r="W199" s="34"/>
      <c r="X199" s="34"/>
      <c r="Y199" s="3"/>
      <c r="Z199" s="3"/>
      <c r="AA199" s="3"/>
      <c r="AB199" s="3"/>
      <c r="AC199" s="3"/>
      <c r="AD199" s="3"/>
      <c r="AE199" s="3"/>
      <c r="AF199" s="3"/>
      <c r="AG199" s="3"/>
      <c r="AH199" s="3"/>
      <c r="AI199" s="3"/>
      <c r="AJ199" s="3"/>
      <c r="AK199" s="3"/>
      <c r="AL199" s="3"/>
    </row>
    <row r="200" ht="15.75" customHeight="1">
      <c r="A200" s="27">
        <f t="shared" si="2"/>
        <v>190</v>
      </c>
      <c r="B200" s="28" t="s">
        <v>799</v>
      </c>
      <c r="C200" s="29" t="s">
        <v>800</v>
      </c>
      <c r="D200" s="30" t="s">
        <v>801</v>
      </c>
      <c r="E200" s="43" t="s">
        <v>302</v>
      </c>
      <c r="F200" s="28" t="s">
        <v>29</v>
      </c>
      <c r="G200" s="28" t="s">
        <v>30</v>
      </c>
      <c r="H200" s="28"/>
      <c r="I200" s="28" t="s">
        <v>30</v>
      </c>
      <c r="J200" s="28">
        <v>328.0</v>
      </c>
      <c r="K200" s="28"/>
      <c r="L200" s="28" t="s">
        <v>303</v>
      </c>
      <c r="M200" s="28" t="s">
        <v>151</v>
      </c>
      <c r="N200" s="28">
        <v>2017.0</v>
      </c>
      <c r="O200" s="31">
        <v>8.0</v>
      </c>
      <c r="P200" s="28">
        <v>1.0</v>
      </c>
      <c r="Q200" s="32">
        <v>1.0</v>
      </c>
      <c r="R200" s="33"/>
      <c r="S200" s="40"/>
      <c r="T200" s="40"/>
      <c r="U200" s="40"/>
      <c r="V200" s="40"/>
      <c r="W200" s="40"/>
      <c r="X200" s="40"/>
      <c r="Y200" s="3"/>
      <c r="Z200" s="3"/>
      <c r="AA200" s="3"/>
      <c r="AB200" s="3"/>
      <c r="AC200" s="3"/>
      <c r="AD200" s="3"/>
      <c r="AE200" s="3"/>
      <c r="AF200" s="3"/>
      <c r="AG200" s="3"/>
      <c r="AH200" s="3"/>
      <c r="AI200" s="3"/>
      <c r="AJ200" s="3"/>
      <c r="AK200" s="3"/>
      <c r="AL200" s="3"/>
    </row>
    <row r="201" ht="15.75" customHeight="1">
      <c r="A201" s="27">
        <f t="shared" si="2"/>
        <v>191</v>
      </c>
      <c r="B201" s="28" t="s">
        <v>802</v>
      </c>
      <c r="C201" s="29" t="s">
        <v>803</v>
      </c>
      <c r="D201" s="39" t="s">
        <v>804</v>
      </c>
      <c r="E201" s="28" t="s">
        <v>28</v>
      </c>
      <c r="F201" s="28" t="s">
        <v>29</v>
      </c>
      <c r="G201" s="28" t="s">
        <v>37</v>
      </c>
      <c r="H201" s="28"/>
      <c r="I201" s="28" t="s">
        <v>38</v>
      </c>
      <c r="J201" s="31">
        <v>442.0</v>
      </c>
      <c r="K201" s="28"/>
      <c r="L201" s="31" t="s">
        <v>502</v>
      </c>
      <c r="M201" s="28" t="s">
        <v>49</v>
      </c>
      <c r="N201" s="28">
        <v>1984.0</v>
      </c>
      <c r="O201" s="31">
        <v>7.0</v>
      </c>
      <c r="P201" s="28">
        <v>2.0</v>
      </c>
      <c r="Q201" s="37">
        <v>1.0</v>
      </c>
      <c r="R201" s="33"/>
      <c r="S201" s="34"/>
      <c r="T201" s="34"/>
      <c r="U201" s="34"/>
      <c r="V201" s="34"/>
      <c r="W201" s="34"/>
      <c r="X201" s="34"/>
      <c r="Y201" s="3"/>
      <c r="Z201" s="3"/>
      <c r="AA201" s="3"/>
      <c r="AB201" s="3"/>
      <c r="AC201" s="3"/>
      <c r="AD201" s="3"/>
      <c r="AE201" s="3"/>
      <c r="AF201" s="3"/>
      <c r="AG201" s="3"/>
      <c r="AH201" s="3"/>
      <c r="AI201" s="3"/>
      <c r="AJ201" s="3"/>
      <c r="AK201" s="3"/>
      <c r="AL201" s="3"/>
    </row>
    <row r="202" ht="15.75" customHeight="1">
      <c r="A202" s="27">
        <f t="shared" si="2"/>
        <v>192</v>
      </c>
      <c r="B202" s="28" t="s">
        <v>805</v>
      </c>
      <c r="C202" s="29" t="s">
        <v>806</v>
      </c>
      <c r="D202" s="39" t="s">
        <v>807</v>
      </c>
      <c r="E202" s="28" t="s">
        <v>302</v>
      </c>
      <c r="F202" s="28" t="s">
        <v>29</v>
      </c>
      <c r="G202" s="28" t="s">
        <v>37</v>
      </c>
      <c r="H202" s="28"/>
      <c r="I202" s="28" t="s">
        <v>38</v>
      </c>
      <c r="J202" s="28">
        <v>1169.0</v>
      </c>
      <c r="K202" s="28"/>
      <c r="L202" s="28" t="s">
        <v>808</v>
      </c>
      <c r="M202" s="28" t="s">
        <v>230</v>
      </c>
      <c r="N202" s="28">
        <v>2007.0</v>
      </c>
      <c r="O202" s="31">
        <v>7.0</v>
      </c>
      <c r="P202" s="28">
        <v>1.0</v>
      </c>
      <c r="Q202" s="37">
        <v>1.0</v>
      </c>
      <c r="R202" s="33"/>
      <c r="S202" s="34"/>
      <c r="T202" s="34"/>
      <c r="U202" s="34"/>
      <c r="V202" s="34"/>
      <c r="W202" s="34"/>
      <c r="X202" s="34"/>
      <c r="Y202" s="3"/>
      <c r="Z202" s="3"/>
      <c r="AA202" s="3"/>
      <c r="AB202" s="3"/>
      <c r="AC202" s="3"/>
      <c r="AD202" s="3"/>
      <c r="AE202" s="3"/>
      <c r="AF202" s="3"/>
      <c r="AG202" s="3"/>
      <c r="AH202" s="3"/>
      <c r="AI202" s="3"/>
      <c r="AJ202" s="3"/>
      <c r="AK202" s="3"/>
      <c r="AL202" s="3"/>
    </row>
    <row r="203" ht="15.75" customHeight="1">
      <c r="A203" s="27">
        <f t="shared" si="2"/>
        <v>193</v>
      </c>
      <c r="B203" s="28" t="s">
        <v>809</v>
      </c>
      <c r="C203" s="29" t="s">
        <v>810</v>
      </c>
      <c r="D203" s="30" t="s">
        <v>811</v>
      </c>
      <c r="E203" s="28" t="s">
        <v>28</v>
      </c>
      <c r="F203" s="28" t="s">
        <v>29</v>
      </c>
      <c r="G203" s="28" t="s">
        <v>37</v>
      </c>
      <c r="H203" s="28"/>
      <c r="I203" s="28" t="s">
        <v>38</v>
      </c>
      <c r="J203" s="28">
        <v>526.0</v>
      </c>
      <c r="K203" s="28"/>
      <c r="L203" s="31" t="s">
        <v>812</v>
      </c>
      <c r="M203" s="28" t="s">
        <v>230</v>
      </c>
      <c r="N203" s="28">
        <v>1995.0</v>
      </c>
      <c r="O203" s="31">
        <v>9.0</v>
      </c>
      <c r="P203" s="28">
        <v>1.0</v>
      </c>
      <c r="Q203" s="32">
        <v>1.0</v>
      </c>
      <c r="R203" s="33"/>
      <c r="S203" s="34"/>
      <c r="T203" s="34"/>
      <c r="U203" s="34"/>
      <c r="V203" s="34"/>
      <c r="W203" s="40"/>
      <c r="X203" s="40"/>
      <c r="Y203" s="3"/>
      <c r="Z203" s="3"/>
      <c r="AA203" s="3"/>
      <c r="AB203" s="3"/>
      <c r="AC203" s="3"/>
      <c r="AD203" s="3"/>
      <c r="AE203" s="3"/>
      <c r="AF203" s="3"/>
      <c r="AG203" s="3"/>
      <c r="AH203" s="3"/>
      <c r="AI203" s="3"/>
      <c r="AJ203" s="3"/>
      <c r="AK203" s="3"/>
      <c r="AL203" s="3"/>
    </row>
    <row r="204" ht="15.75" customHeight="1">
      <c r="A204" s="27">
        <f t="shared" si="2"/>
        <v>194</v>
      </c>
      <c r="B204" s="28" t="s">
        <v>31</v>
      </c>
      <c r="C204" s="29" t="s">
        <v>813</v>
      </c>
      <c r="D204" s="39" t="s">
        <v>814</v>
      </c>
      <c r="E204" s="28" t="s">
        <v>28</v>
      </c>
      <c r="F204" s="28" t="s">
        <v>29</v>
      </c>
      <c r="G204" s="28" t="s">
        <v>37</v>
      </c>
      <c r="H204" s="28"/>
      <c r="I204" s="28" t="s">
        <v>38</v>
      </c>
      <c r="J204" s="28">
        <v>136.0</v>
      </c>
      <c r="K204" s="28"/>
      <c r="L204" s="28" t="s">
        <v>815</v>
      </c>
      <c r="M204" s="28" t="s">
        <v>816</v>
      </c>
      <c r="N204" s="28">
        <v>1961.0</v>
      </c>
      <c r="O204" s="31">
        <v>6.0</v>
      </c>
      <c r="P204" s="28">
        <v>1.0</v>
      </c>
      <c r="Q204" s="32">
        <v>1.0</v>
      </c>
      <c r="R204" s="33"/>
      <c r="S204" s="40"/>
      <c r="T204" s="40"/>
      <c r="U204" s="40"/>
      <c r="V204" s="40"/>
      <c r="W204" s="40"/>
      <c r="X204" s="40"/>
      <c r="Y204" s="3"/>
      <c r="Z204" s="3"/>
      <c r="AA204" s="3"/>
      <c r="AB204" s="3"/>
      <c r="AC204" s="3"/>
      <c r="AD204" s="3"/>
      <c r="AE204" s="3"/>
      <c r="AF204" s="3"/>
      <c r="AG204" s="3"/>
      <c r="AH204" s="3"/>
      <c r="AI204" s="3"/>
      <c r="AJ204" s="3"/>
      <c r="AK204" s="3"/>
      <c r="AL204" s="3"/>
    </row>
    <row r="205" ht="15.75" customHeight="1">
      <c r="A205" s="27">
        <f t="shared" si="2"/>
        <v>195</v>
      </c>
      <c r="B205" s="28" t="s">
        <v>817</v>
      </c>
      <c r="C205" s="43" t="s">
        <v>818</v>
      </c>
      <c r="D205" s="30" t="s">
        <v>819</v>
      </c>
      <c r="E205" s="28" t="s">
        <v>28</v>
      </c>
      <c r="F205" s="28" t="s">
        <v>29</v>
      </c>
      <c r="G205" s="28" t="s">
        <v>37</v>
      </c>
      <c r="H205" s="28"/>
      <c r="I205" s="28" t="s">
        <v>38</v>
      </c>
      <c r="J205" s="28">
        <v>1162.0</v>
      </c>
      <c r="K205" s="28"/>
      <c r="L205" s="28" t="s">
        <v>820</v>
      </c>
      <c r="M205" s="28" t="s">
        <v>382</v>
      </c>
      <c r="N205" s="28">
        <v>2012.0</v>
      </c>
      <c r="O205" s="31">
        <v>8.0</v>
      </c>
      <c r="P205" s="28">
        <v>1.0</v>
      </c>
      <c r="Q205" s="32">
        <v>1.0</v>
      </c>
      <c r="R205" s="33"/>
      <c r="S205" s="40"/>
      <c r="T205" s="40"/>
      <c r="U205" s="40"/>
      <c r="V205" s="40"/>
      <c r="W205" s="40"/>
      <c r="X205" s="40"/>
      <c r="Y205" s="3"/>
      <c r="Z205" s="3"/>
      <c r="AA205" s="3"/>
      <c r="AB205" s="3"/>
      <c r="AC205" s="3"/>
      <c r="AD205" s="3"/>
      <c r="AE205" s="3"/>
      <c r="AF205" s="3"/>
      <c r="AG205" s="3"/>
      <c r="AH205" s="3"/>
      <c r="AI205" s="3"/>
      <c r="AJ205" s="3"/>
      <c r="AK205" s="3"/>
      <c r="AL205" s="3"/>
    </row>
    <row r="206" ht="15.75" customHeight="1">
      <c r="A206" s="27">
        <f t="shared" si="2"/>
        <v>196</v>
      </c>
      <c r="B206" s="28" t="s">
        <v>31</v>
      </c>
      <c r="C206" s="29" t="s">
        <v>821</v>
      </c>
      <c r="D206" s="30" t="s">
        <v>822</v>
      </c>
      <c r="E206" s="28" t="s">
        <v>28</v>
      </c>
      <c r="F206" s="28" t="s">
        <v>29</v>
      </c>
      <c r="G206" s="28" t="s">
        <v>37</v>
      </c>
      <c r="H206" s="28"/>
      <c r="I206" s="28" t="s">
        <v>38</v>
      </c>
      <c r="J206" s="28">
        <v>253.0</v>
      </c>
      <c r="K206" s="28"/>
      <c r="L206" s="28" t="s">
        <v>823</v>
      </c>
      <c r="M206" s="28" t="s">
        <v>824</v>
      </c>
      <c r="N206" s="28">
        <v>1961.0</v>
      </c>
      <c r="O206" s="31">
        <v>9.0</v>
      </c>
      <c r="P206" s="28">
        <v>1.0</v>
      </c>
      <c r="Q206" s="37">
        <v>1.0</v>
      </c>
      <c r="R206" s="33"/>
      <c r="S206" s="40"/>
      <c r="T206" s="40"/>
      <c r="U206" s="40"/>
      <c r="V206" s="40"/>
      <c r="W206" s="40"/>
      <c r="X206" s="40"/>
      <c r="Y206" s="3"/>
      <c r="Z206" s="3"/>
      <c r="AA206" s="3"/>
      <c r="AB206" s="3"/>
      <c r="AC206" s="3"/>
      <c r="AD206" s="3"/>
      <c r="AE206" s="3"/>
      <c r="AF206" s="3"/>
      <c r="AG206" s="3"/>
      <c r="AH206" s="3"/>
      <c r="AI206" s="3"/>
      <c r="AJ206" s="3"/>
      <c r="AK206" s="3"/>
      <c r="AL206" s="3"/>
    </row>
    <row r="207" ht="15.75" customHeight="1">
      <c r="A207" s="27">
        <f t="shared" si="2"/>
        <v>197</v>
      </c>
      <c r="B207" s="28" t="s">
        <v>361</v>
      </c>
      <c r="C207" s="29" t="s">
        <v>825</v>
      </c>
      <c r="D207" s="39" t="s">
        <v>826</v>
      </c>
      <c r="E207" s="28" t="s">
        <v>28</v>
      </c>
      <c r="F207" s="28" t="s">
        <v>29</v>
      </c>
      <c r="G207" s="28" t="s">
        <v>37</v>
      </c>
      <c r="H207" s="28"/>
      <c r="I207" s="28" t="s">
        <v>38</v>
      </c>
      <c r="J207" s="28">
        <v>490.0</v>
      </c>
      <c r="K207" s="28"/>
      <c r="L207" s="28" t="s">
        <v>364</v>
      </c>
      <c r="M207" s="28" t="s">
        <v>365</v>
      </c>
      <c r="N207" s="28">
        <v>1930.0</v>
      </c>
      <c r="O207" s="31">
        <v>8.0</v>
      </c>
      <c r="P207" s="28">
        <v>1.0</v>
      </c>
      <c r="Q207" s="37">
        <v>1.0</v>
      </c>
      <c r="R207" s="33"/>
      <c r="S207" s="40"/>
      <c r="T207" s="40"/>
      <c r="U207" s="40"/>
      <c r="V207" s="40"/>
      <c r="W207" s="40"/>
      <c r="X207" s="40"/>
      <c r="Y207" s="3"/>
      <c r="Z207" s="3"/>
      <c r="AA207" s="3"/>
      <c r="AB207" s="3"/>
      <c r="AC207" s="3"/>
      <c r="AD207" s="3"/>
      <c r="AE207" s="3"/>
      <c r="AF207" s="3"/>
      <c r="AG207" s="3"/>
      <c r="AH207" s="3"/>
      <c r="AI207" s="3"/>
      <c r="AJ207" s="3"/>
      <c r="AK207" s="3"/>
      <c r="AL207" s="3"/>
    </row>
    <row r="208" ht="15.75" customHeight="1">
      <c r="A208" s="27">
        <f t="shared" si="2"/>
        <v>198</v>
      </c>
      <c r="B208" s="31" t="s">
        <v>827</v>
      </c>
      <c r="C208" s="29" t="s">
        <v>828</v>
      </c>
      <c r="D208" s="39" t="s">
        <v>829</v>
      </c>
      <c r="E208" s="28" t="s">
        <v>28</v>
      </c>
      <c r="F208" s="28" t="s">
        <v>29</v>
      </c>
      <c r="G208" s="28" t="s">
        <v>37</v>
      </c>
      <c r="H208" s="28"/>
      <c r="I208" s="28" t="s">
        <v>38</v>
      </c>
      <c r="J208" s="31">
        <v>790.0</v>
      </c>
      <c r="K208" s="28"/>
      <c r="L208" s="28" t="s">
        <v>830</v>
      </c>
      <c r="M208" s="28" t="s">
        <v>49</v>
      </c>
      <c r="N208" s="28">
        <v>2009.0</v>
      </c>
      <c r="O208" s="31">
        <v>7.0</v>
      </c>
      <c r="P208" s="28">
        <v>1.0</v>
      </c>
      <c r="Q208" s="32">
        <v>1.0</v>
      </c>
      <c r="R208" s="33"/>
      <c r="S208" s="40"/>
      <c r="T208" s="40"/>
      <c r="U208" s="40"/>
      <c r="V208" s="40"/>
      <c r="W208" s="40"/>
      <c r="X208" s="40"/>
      <c r="Y208" s="3"/>
      <c r="Z208" s="3"/>
      <c r="AA208" s="3"/>
      <c r="AB208" s="3"/>
      <c r="AC208" s="3"/>
      <c r="AD208" s="3"/>
      <c r="AE208" s="3"/>
      <c r="AF208" s="3"/>
      <c r="AG208" s="3"/>
      <c r="AH208" s="3"/>
      <c r="AI208" s="3"/>
      <c r="AJ208" s="3"/>
      <c r="AK208" s="3"/>
      <c r="AL208" s="3"/>
    </row>
    <row r="209" ht="15.75" customHeight="1">
      <c r="A209" s="27">
        <f t="shared" si="2"/>
        <v>199</v>
      </c>
      <c r="B209" s="28" t="s">
        <v>831</v>
      </c>
      <c r="C209" s="29" t="s">
        <v>832</v>
      </c>
      <c r="D209" s="39" t="s">
        <v>833</v>
      </c>
      <c r="E209" s="28" t="s">
        <v>28</v>
      </c>
      <c r="F209" s="28" t="s">
        <v>29</v>
      </c>
      <c r="G209" s="28" t="s">
        <v>37</v>
      </c>
      <c r="H209" s="28" t="s">
        <v>31</v>
      </c>
      <c r="I209" s="28" t="s">
        <v>38</v>
      </c>
      <c r="J209" s="31">
        <v>812.0</v>
      </c>
      <c r="K209" s="28"/>
      <c r="L209" s="28" t="s">
        <v>834</v>
      </c>
      <c r="M209" s="28" t="s">
        <v>178</v>
      </c>
      <c r="N209" s="28">
        <v>2009.0</v>
      </c>
      <c r="O209" s="31">
        <v>8.0</v>
      </c>
      <c r="P209" s="28">
        <v>1.0</v>
      </c>
      <c r="Q209" s="32">
        <v>1.0</v>
      </c>
      <c r="R209" s="33"/>
      <c r="S209" s="40"/>
      <c r="T209" s="40"/>
      <c r="U209" s="40"/>
      <c r="V209" s="40"/>
      <c r="W209" s="40"/>
      <c r="X209" s="40"/>
      <c r="Y209" s="45"/>
      <c r="Z209" s="45"/>
      <c r="AA209" s="45"/>
      <c r="AB209" s="45"/>
      <c r="AC209" s="45"/>
      <c r="AD209" s="45"/>
      <c r="AE209" s="45"/>
      <c r="AF209" s="45"/>
      <c r="AG209" s="45"/>
      <c r="AH209" s="45"/>
      <c r="AI209" s="45"/>
      <c r="AJ209" s="45"/>
      <c r="AK209" s="45"/>
      <c r="AL209" s="45"/>
    </row>
    <row r="210" ht="15.75" customHeight="1">
      <c r="A210" s="27">
        <f t="shared" si="2"/>
        <v>200</v>
      </c>
      <c r="B210" s="28" t="s">
        <v>31</v>
      </c>
      <c r="C210" s="29" t="s">
        <v>835</v>
      </c>
      <c r="D210" s="39" t="s">
        <v>836</v>
      </c>
      <c r="E210" s="28" t="s">
        <v>28</v>
      </c>
      <c r="F210" s="28" t="s">
        <v>29</v>
      </c>
      <c r="G210" s="28" t="s">
        <v>37</v>
      </c>
      <c r="H210" s="28"/>
      <c r="I210" s="28" t="s">
        <v>38</v>
      </c>
      <c r="J210" s="28">
        <v>232.0</v>
      </c>
      <c r="K210" s="28"/>
      <c r="L210" s="31" t="s">
        <v>837</v>
      </c>
      <c r="M210" s="28" t="s">
        <v>83</v>
      </c>
      <c r="N210" s="28">
        <v>1966.0</v>
      </c>
      <c r="O210" s="31">
        <v>8.0</v>
      </c>
      <c r="P210" s="28">
        <v>1.0</v>
      </c>
      <c r="Q210" s="37">
        <v>1.0</v>
      </c>
      <c r="R210" s="33"/>
      <c r="S210" s="34"/>
      <c r="T210" s="34"/>
      <c r="U210" s="34"/>
      <c r="V210" s="34"/>
      <c r="W210" s="40"/>
      <c r="X210" s="40"/>
      <c r="Y210" s="45"/>
      <c r="Z210" s="45"/>
      <c r="AA210" s="45"/>
      <c r="AB210" s="45"/>
      <c r="AC210" s="45"/>
      <c r="AD210" s="45"/>
      <c r="AE210" s="45"/>
      <c r="AF210" s="45"/>
      <c r="AG210" s="45"/>
      <c r="AH210" s="45"/>
      <c r="AI210" s="45"/>
      <c r="AJ210" s="45"/>
      <c r="AK210" s="45"/>
      <c r="AL210" s="45"/>
    </row>
    <row r="211" ht="15.75" customHeight="1">
      <c r="A211" s="27">
        <f t="shared" si="2"/>
        <v>201</v>
      </c>
      <c r="B211" s="28" t="s">
        <v>838</v>
      </c>
      <c r="C211" s="29" t="s">
        <v>839</v>
      </c>
      <c r="D211" s="39" t="s">
        <v>840</v>
      </c>
      <c r="E211" s="28" t="s">
        <v>223</v>
      </c>
      <c r="F211" s="28" t="s">
        <v>29</v>
      </c>
      <c r="G211" s="28" t="s">
        <v>37</v>
      </c>
      <c r="H211" s="28"/>
      <c r="I211" s="28" t="s">
        <v>38</v>
      </c>
      <c r="J211" s="31">
        <v>542.0</v>
      </c>
      <c r="K211" s="28"/>
      <c r="L211" s="31" t="s">
        <v>686</v>
      </c>
      <c r="M211" s="28" t="s">
        <v>54</v>
      </c>
      <c r="N211" s="28">
        <v>1972.0</v>
      </c>
      <c r="O211" s="31" t="s">
        <v>225</v>
      </c>
      <c r="P211" s="31">
        <v>2.0</v>
      </c>
      <c r="Q211" s="37">
        <v>2.0</v>
      </c>
      <c r="R211" s="33"/>
      <c r="S211" s="40"/>
      <c r="T211" s="40"/>
      <c r="U211" s="40"/>
      <c r="V211" s="40"/>
      <c r="W211" s="40"/>
      <c r="X211" s="40"/>
      <c r="Y211" s="3"/>
      <c r="Z211" s="3"/>
      <c r="AA211" s="3"/>
      <c r="AB211" s="3"/>
      <c r="AC211" s="3"/>
      <c r="AD211" s="3"/>
      <c r="AE211" s="3"/>
      <c r="AF211" s="3"/>
      <c r="AG211" s="3"/>
      <c r="AH211" s="3"/>
      <c r="AI211" s="3"/>
      <c r="AJ211" s="3"/>
      <c r="AK211" s="3"/>
      <c r="AL211" s="3"/>
    </row>
    <row r="212" ht="15.75" customHeight="1">
      <c r="A212" s="27">
        <f t="shared" si="2"/>
        <v>202</v>
      </c>
      <c r="B212" s="28" t="s">
        <v>841</v>
      </c>
      <c r="C212" s="29" t="s">
        <v>839</v>
      </c>
      <c r="D212" s="39" t="s">
        <v>842</v>
      </c>
      <c r="E212" s="28" t="s">
        <v>223</v>
      </c>
      <c r="F212" s="28" t="s">
        <v>29</v>
      </c>
      <c r="G212" s="28" t="s">
        <v>37</v>
      </c>
      <c r="H212" s="28"/>
      <c r="I212" s="28" t="s">
        <v>38</v>
      </c>
      <c r="J212" s="28">
        <v>549.0</v>
      </c>
      <c r="K212" s="28"/>
      <c r="L212" s="31" t="s">
        <v>686</v>
      </c>
      <c r="M212" s="28" t="s">
        <v>54</v>
      </c>
      <c r="N212" s="28">
        <v>1972.0</v>
      </c>
      <c r="O212" s="31" t="s">
        <v>225</v>
      </c>
      <c r="P212" s="31">
        <v>3.0</v>
      </c>
      <c r="Q212" s="37">
        <v>3.0</v>
      </c>
      <c r="R212" s="33"/>
      <c r="S212" s="34"/>
      <c r="T212" s="34"/>
      <c r="U212" s="34"/>
      <c r="V212" s="34"/>
      <c r="W212" s="40"/>
      <c r="X212" s="40"/>
      <c r="Y212" s="45"/>
      <c r="Z212" s="45"/>
      <c r="AA212" s="45"/>
      <c r="AB212" s="45"/>
      <c r="AC212" s="45"/>
      <c r="AD212" s="45"/>
      <c r="AE212" s="45"/>
      <c r="AF212" s="45"/>
      <c r="AG212" s="45"/>
      <c r="AH212" s="45"/>
      <c r="AI212" s="45"/>
      <c r="AJ212" s="45"/>
      <c r="AK212" s="45"/>
      <c r="AL212" s="45"/>
    </row>
    <row r="213" ht="15.75" customHeight="1">
      <c r="A213" s="27">
        <f t="shared" si="2"/>
        <v>203</v>
      </c>
      <c r="B213" s="28" t="s">
        <v>843</v>
      </c>
      <c r="C213" s="29" t="s">
        <v>844</v>
      </c>
      <c r="D213" s="39" t="s">
        <v>845</v>
      </c>
      <c r="E213" s="28" t="s">
        <v>28</v>
      </c>
      <c r="F213" s="28" t="s">
        <v>29</v>
      </c>
      <c r="G213" s="28" t="s">
        <v>37</v>
      </c>
      <c r="H213" s="28"/>
      <c r="I213" s="28" t="s">
        <v>38</v>
      </c>
      <c r="J213" s="28">
        <v>427.0</v>
      </c>
      <c r="K213" s="28"/>
      <c r="L213" s="31" t="s">
        <v>756</v>
      </c>
      <c r="M213" s="28" t="s">
        <v>230</v>
      </c>
      <c r="N213" s="28">
        <v>1982.0</v>
      </c>
      <c r="O213" s="31">
        <v>2.0</v>
      </c>
      <c r="P213" s="28">
        <v>1.0</v>
      </c>
      <c r="Q213" s="32">
        <v>1.0</v>
      </c>
      <c r="R213" s="33"/>
      <c r="S213" s="40"/>
      <c r="T213" s="40"/>
      <c r="U213" s="40"/>
      <c r="V213" s="40"/>
      <c r="W213" s="40"/>
      <c r="X213" s="40"/>
      <c r="Y213" s="45"/>
      <c r="Z213" s="45"/>
      <c r="AA213" s="45"/>
      <c r="AB213" s="45"/>
      <c r="AC213" s="45"/>
      <c r="AD213" s="45"/>
      <c r="AE213" s="45"/>
      <c r="AF213" s="45"/>
      <c r="AG213" s="45"/>
      <c r="AH213" s="45"/>
      <c r="AI213" s="45"/>
      <c r="AJ213" s="45"/>
      <c r="AK213" s="45"/>
      <c r="AL213" s="45"/>
    </row>
    <row r="214" ht="15.75" customHeight="1">
      <c r="A214" s="27">
        <f t="shared" si="2"/>
        <v>204</v>
      </c>
      <c r="B214" s="28"/>
      <c r="C214" s="29" t="s">
        <v>846</v>
      </c>
      <c r="D214" s="39" t="s">
        <v>847</v>
      </c>
      <c r="E214" s="28"/>
      <c r="F214" s="28" t="s">
        <v>29</v>
      </c>
      <c r="G214" s="28" t="s">
        <v>37</v>
      </c>
      <c r="H214" s="28"/>
      <c r="I214" s="28" t="s">
        <v>38</v>
      </c>
      <c r="J214" s="28">
        <v>176.0</v>
      </c>
      <c r="K214" s="28"/>
      <c r="L214" s="28" t="s">
        <v>848</v>
      </c>
      <c r="M214" s="28" t="s">
        <v>849</v>
      </c>
      <c r="N214" s="28">
        <v>1960.0</v>
      </c>
      <c r="O214" s="31">
        <v>8.0</v>
      </c>
      <c r="P214" s="28">
        <v>1.0</v>
      </c>
      <c r="Q214" s="32">
        <v>1.0</v>
      </c>
      <c r="R214" s="33"/>
      <c r="S214" s="40"/>
      <c r="T214" s="40"/>
      <c r="U214" s="40"/>
      <c r="V214" s="40"/>
      <c r="W214" s="40"/>
      <c r="X214" s="40"/>
      <c r="Y214" s="45"/>
      <c r="Z214" s="45"/>
      <c r="AA214" s="45"/>
      <c r="AB214" s="45"/>
      <c r="AC214" s="45"/>
      <c r="AD214" s="45"/>
      <c r="AE214" s="45"/>
      <c r="AF214" s="45"/>
      <c r="AG214" s="45"/>
      <c r="AH214" s="45"/>
      <c r="AI214" s="45"/>
      <c r="AJ214" s="45"/>
      <c r="AK214" s="45"/>
      <c r="AL214" s="45"/>
    </row>
    <row r="215" ht="15.75" customHeight="1">
      <c r="A215" s="27">
        <f t="shared" si="2"/>
        <v>205</v>
      </c>
      <c r="B215" s="28" t="s">
        <v>850</v>
      </c>
      <c r="C215" s="29" t="s">
        <v>851</v>
      </c>
      <c r="D215" s="30" t="s">
        <v>852</v>
      </c>
      <c r="E215" s="28" t="s">
        <v>28</v>
      </c>
      <c r="F215" s="28" t="s">
        <v>29</v>
      </c>
      <c r="G215" s="28" t="s">
        <v>37</v>
      </c>
      <c r="H215" s="28"/>
      <c r="I215" s="28" t="s">
        <v>38</v>
      </c>
      <c r="J215" s="28">
        <v>284.0</v>
      </c>
      <c r="K215" s="28"/>
      <c r="L215" s="28" t="s">
        <v>853</v>
      </c>
      <c r="M215" s="28" t="s">
        <v>230</v>
      </c>
      <c r="N215" s="28">
        <v>1996.0</v>
      </c>
      <c r="O215" s="31">
        <v>9.0</v>
      </c>
      <c r="P215" s="28">
        <v>1.0</v>
      </c>
      <c r="Q215" s="32">
        <v>1.0</v>
      </c>
      <c r="R215" s="33"/>
      <c r="S215" s="34"/>
      <c r="T215" s="34"/>
      <c r="U215" s="34"/>
      <c r="V215" s="34"/>
      <c r="W215" s="34"/>
      <c r="X215" s="34"/>
      <c r="Y215" s="45"/>
      <c r="Z215" s="45"/>
      <c r="AA215" s="45"/>
      <c r="AB215" s="45"/>
      <c r="AC215" s="45"/>
      <c r="AD215" s="45"/>
      <c r="AE215" s="45"/>
      <c r="AF215" s="45"/>
      <c r="AG215" s="45"/>
      <c r="AH215" s="45"/>
      <c r="AI215" s="45"/>
      <c r="AJ215" s="45"/>
      <c r="AK215" s="45"/>
      <c r="AL215" s="45"/>
    </row>
    <row r="216" ht="15.75" customHeight="1">
      <c r="A216" s="27">
        <f t="shared" si="2"/>
        <v>206</v>
      </c>
      <c r="B216" s="28" t="s">
        <v>854</v>
      </c>
      <c r="C216" s="29" t="s">
        <v>855</v>
      </c>
      <c r="D216" s="39" t="s">
        <v>856</v>
      </c>
      <c r="E216" s="28" t="s">
        <v>28</v>
      </c>
      <c r="F216" s="28" t="s">
        <v>29</v>
      </c>
      <c r="G216" s="28" t="s">
        <v>37</v>
      </c>
      <c r="H216" s="28"/>
      <c r="I216" s="28" t="s">
        <v>38</v>
      </c>
      <c r="J216" s="28">
        <v>570.0</v>
      </c>
      <c r="K216" s="28"/>
      <c r="L216" s="28" t="s">
        <v>857</v>
      </c>
      <c r="M216" s="28" t="s">
        <v>291</v>
      </c>
      <c r="N216" s="28">
        <v>1992.0</v>
      </c>
      <c r="O216" s="31">
        <v>8.0</v>
      </c>
      <c r="P216" s="28">
        <v>1.0</v>
      </c>
      <c r="Q216" s="32">
        <v>1.0</v>
      </c>
      <c r="R216" s="33"/>
      <c r="S216" s="34"/>
      <c r="T216" s="34"/>
      <c r="U216" s="34"/>
      <c r="V216" s="34"/>
      <c r="W216" s="34"/>
      <c r="X216" s="34"/>
      <c r="Y216" s="45"/>
      <c r="Z216" s="45"/>
      <c r="AA216" s="45"/>
      <c r="AB216" s="45"/>
      <c r="AC216" s="45"/>
      <c r="AD216" s="45"/>
      <c r="AE216" s="45"/>
      <c r="AF216" s="45"/>
      <c r="AG216" s="45"/>
      <c r="AH216" s="45"/>
      <c r="AI216" s="45"/>
      <c r="AJ216" s="45"/>
      <c r="AK216" s="45"/>
      <c r="AL216" s="45"/>
    </row>
    <row r="217" ht="15.75" customHeight="1">
      <c r="A217" s="27">
        <f t="shared" si="2"/>
        <v>207</v>
      </c>
      <c r="B217" s="28" t="s">
        <v>31</v>
      </c>
      <c r="C217" s="29" t="s">
        <v>858</v>
      </c>
      <c r="D217" s="30" t="s">
        <v>859</v>
      </c>
      <c r="E217" s="28" t="s">
        <v>28</v>
      </c>
      <c r="F217" s="28" t="s">
        <v>29</v>
      </c>
      <c r="G217" s="28" t="s">
        <v>37</v>
      </c>
      <c r="H217" s="28"/>
      <c r="I217" s="28" t="s">
        <v>38</v>
      </c>
      <c r="J217" s="28">
        <v>555.0</v>
      </c>
      <c r="K217" s="28"/>
      <c r="L217" s="31" t="s">
        <v>729</v>
      </c>
      <c r="M217" s="28" t="s">
        <v>230</v>
      </c>
      <c r="N217" s="28">
        <v>1954.0</v>
      </c>
      <c r="O217" s="31">
        <v>7.0</v>
      </c>
      <c r="P217" s="28">
        <v>2.0</v>
      </c>
      <c r="Q217" s="37">
        <v>2.0</v>
      </c>
      <c r="R217" s="33"/>
      <c r="S217" s="40"/>
      <c r="T217" s="40"/>
      <c r="U217" s="40"/>
      <c r="V217" s="40"/>
      <c r="W217" s="40"/>
      <c r="X217" s="40"/>
      <c r="Y217" s="45"/>
      <c r="Z217" s="45"/>
      <c r="AA217" s="45"/>
      <c r="AB217" s="45"/>
      <c r="AC217" s="45"/>
      <c r="AD217" s="45"/>
      <c r="AE217" s="45"/>
      <c r="AF217" s="45"/>
      <c r="AG217" s="45"/>
      <c r="AH217" s="45"/>
      <c r="AI217" s="45"/>
      <c r="AJ217" s="45"/>
      <c r="AK217" s="45"/>
      <c r="AL217" s="45"/>
    </row>
    <row r="218" ht="15.75" customHeight="1">
      <c r="A218" s="27">
        <f t="shared" si="2"/>
        <v>208</v>
      </c>
      <c r="B218" s="28" t="s">
        <v>860</v>
      </c>
      <c r="C218" s="29" t="s">
        <v>813</v>
      </c>
      <c r="D218" s="30" t="s">
        <v>861</v>
      </c>
      <c r="E218" s="28" t="s">
        <v>28</v>
      </c>
      <c r="F218" s="28" t="s">
        <v>29</v>
      </c>
      <c r="G218" s="28" t="s">
        <v>37</v>
      </c>
      <c r="H218" s="28"/>
      <c r="I218" s="28" t="s">
        <v>38</v>
      </c>
      <c r="J218" s="28">
        <v>479.0</v>
      </c>
      <c r="K218" s="28"/>
      <c r="L218" s="31" t="s">
        <v>862</v>
      </c>
      <c r="M218" s="28" t="s">
        <v>230</v>
      </c>
      <c r="N218" s="28">
        <v>1993.0</v>
      </c>
      <c r="O218" s="31">
        <v>9.0</v>
      </c>
      <c r="P218" s="28">
        <v>1.0</v>
      </c>
      <c r="Q218" s="32">
        <v>1.0</v>
      </c>
      <c r="R218" s="33"/>
      <c r="S218" s="40"/>
      <c r="T218" s="40"/>
      <c r="U218" s="40"/>
      <c r="V218" s="40"/>
      <c r="W218" s="40"/>
      <c r="X218" s="40"/>
      <c r="Y218" s="45"/>
      <c r="Z218" s="45"/>
      <c r="AA218" s="45"/>
      <c r="AB218" s="45"/>
      <c r="AC218" s="45"/>
      <c r="AD218" s="45"/>
      <c r="AE218" s="45"/>
      <c r="AF218" s="45"/>
      <c r="AG218" s="45"/>
      <c r="AH218" s="45"/>
      <c r="AI218" s="45"/>
      <c r="AJ218" s="45"/>
      <c r="AK218" s="45"/>
      <c r="AL218" s="45"/>
    </row>
    <row r="219" ht="15.75" customHeight="1">
      <c r="A219" s="27">
        <f t="shared" si="2"/>
        <v>209</v>
      </c>
      <c r="B219" s="28" t="s">
        <v>863</v>
      </c>
      <c r="C219" s="29" t="s">
        <v>864</v>
      </c>
      <c r="D219" s="30" t="s">
        <v>865</v>
      </c>
      <c r="E219" s="28" t="s">
        <v>28</v>
      </c>
      <c r="F219" s="28" t="s">
        <v>29</v>
      </c>
      <c r="G219" s="28" t="s">
        <v>37</v>
      </c>
      <c r="H219" s="28"/>
      <c r="I219" s="28" t="s">
        <v>38</v>
      </c>
      <c r="J219" s="28">
        <v>456.0</v>
      </c>
      <c r="K219" s="28"/>
      <c r="L219" s="28" t="s">
        <v>866</v>
      </c>
      <c r="M219" s="28" t="s">
        <v>230</v>
      </c>
      <c r="N219" s="28">
        <v>2010.0</v>
      </c>
      <c r="O219" s="31">
        <v>6.0</v>
      </c>
      <c r="P219" s="28">
        <v>1.0</v>
      </c>
      <c r="Q219" s="32">
        <v>1.0</v>
      </c>
      <c r="R219" s="33"/>
      <c r="S219" s="40"/>
      <c r="T219" s="40"/>
      <c r="U219" s="40"/>
      <c r="V219" s="40"/>
      <c r="W219" s="40"/>
      <c r="X219" s="40"/>
      <c r="Y219" s="45"/>
      <c r="Z219" s="45"/>
      <c r="AA219" s="45"/>
      <c r="AB219" s="45"/>
      <c r="AC219" s="45"/>
      <c r="AD219" s="45"/>
      <c r="AE219" s="45"/>
      <c r="AF219" s="45"/>
      <c r="AG219" s="45"/>
      <c r="AH219" s="45"/>
      <c r="AI219" s="45"/>
      <c r="AJ219" s="45"/>
      <c r="AK219" s="45"/>
      <c r="AL219" s="45"/>
    </row>
    <row r="220" ht="15.75" customHeight="1">
      <c r="A220" s="27">
        <f t="shared" si="2"/>
        <v>210</v>
      </c>
      <c r="B220" s="28" t="s">
        <v>867</v>
      </c>
      <c r="C220" s="43" t="s">
        <v>868</v>
      </c>
      <c r="D220" s="30" t="s">
        <v>869</v>
      </c>
      <c r="E220" s="28" t="s">
        <v>28</v>
      </c>
      <c r="F220" s="28" t="s">
        <v>29</v>
      </c>
      <c r="G220" s="28" t="s">
        <v>37</v>
      </c>
      <c r="H220" s="28"/>
      <c r="I220" s="28" t="s">
        <v>38</v>
      </c>
      <c r="J220" s="28">
        <v>960.0</v>
      </c>
      <c r="K220" s="28"/>
      <c r="L220" s="28" t="s">
        <v>866</v>
      </c>
      <c r="M220" s="28" t="s">
        <v>230</v>
      </c>
      <c r="N220" s="28">
        <v>2010.0</v>
      </c>
      <c r="O220" s="31">
        <v>6.0</v>
      </c>
      <c r="P220" s="28">
        <v>1.0</v>
      </c>
      <c r="Q220" s="37">
        <v>1.0</v>
      </c>
      <c r="R220" s="33"/>
      <c r="S220" s="34"/>
      <c r="T220" s="34"/>
      <c r="U220" s="34"/>
      <c r="V220" s="34"/>
      <c r="W220" s="34"/>
      <c r="X220" s="34"/>
      <c r="Y220" s="45"/>
      <c r="Z220" s="45"/>
      <c r="AA220" s="45"/>
      <c r="AB220" s="45"/>
      <c r="AC220" s="45"/>
      <c r="AD220" s="45"/>
      <c r="AE220" s="45"/>
      <c r="AF220" s="45"/>
      <c r="AG220" s="45"/>
      <c r="AH220" s="45"/>
      <c r="AI220" s="45"/>
      <c r="AJ220" s="45"/>
      <c r="AK220" s="45"/>
      <c r="AL220" s="45"/>
    </row>
    <row r="221" ht="15.75" customHeight="1">
      <c r="A221" s="27">
        <f t="shared" si="2"/>
        <v>211</v>
      </c>
      <c r="B221" s="28" t="s">
        <v>870</v>
      </c>
      <c r="C221" s="29" t="s">
        <v>864</v>
      </c>
      <c r="D221" s="30" t="s">
        <v>871</v>
      </c>
      <c r="E221" s="28" t="s">
        <v>28</v>
      </c>
      <c r="F221" s="28" t="s">
        <v>29</v>
      </c>
      <c r="G221" s="28" t="s">
        <v>37</v>
      </c>
      <c r="H221" s="28"/>
      <c r="I221" s="28" t="s">
        <v>38</v>
      </c>
      <c r="J221" s="28">
        <v>768.0</v>
      </c>
      <c r="K221" s="28"/>
      <c r="L221" s="28" t="s">
        <v>866</v>
      </c>
      <c r="M221" s="28" t="s">
        <v>230</v>
      </c>
      <c r="N221" s="28">
        <v>2010.0</v>
      </c>
      <c r="O221" s="31">
        <v>6.0</v>
      </c>
      <c r="P221" s="28">
        <v>1.0</v>
      </c>
      <c r="Q221" s="32">
        <v>1.0</v>
      </c>
      <c r="R221" s="33"/>
      <c r="S221" s="40"/>
      <c r="T221" s="40"/>
      <c r="U221" s="40"/>
      <c r="V221" s="40"/>
      <c r="W221" s="40"/>
      <c r="X221" s="40"/>
      <c r="Y221" s="45"/>
      <c r="Z221" s="45"/>
      <c r="AA221" s="45"/>
      <c r="AB221" s="45"/>
      <c r="AC221" s="45"/>
      <c r="AD221" s="45"/>
      <c r="AE221" s="45"/>
      <c r="AF221" s="45"/>
      <c r="AG221" s="45"/>
      <c r="AH221" s="45"/>
      <c r="AI221" s="45"/>
      <c r="AJ221" s="45"/>
      <c r="AK221" s="45"/>
      <c r="AL221" s="45"/>
    </row>
    <row r="222" ht="15.75" customHeight="1">
      <c r="A222" s="27">
        <f t="shared" si="2"/>
        <v>212</v>
      </c>
      <c r="B222" s="28" t="s">
        <v>31</v>
      </c>
      <c r="C222" s="29" t="s">
        <v>872</v>
      </c>
      <c r="D222" s="39" t="s">
        <v>873</v>
      </c>
      <c r="E222" s="28" t="s">
        <v>28</v>
      </c>
      <c r="F222" s="28" t="s">
        <v>29</v>
      </c>
      <c r="G222" s="28" t="s">
        <v>37</v>
      </c>
      <c r="H222" s="28"/>
      <c r="I222" s="28" t="s">
        <v>38</v>
      </c>
      <c r="J222" s="28">
        <v>237.0</v>
      </c>
      <c r="K222" s="28"/>
      <c r="L222" s="28" t="s">
        <v>874</v>
      </c>
      <c r="M222" s="28" t="s">
        <v>230</v>
      </c>
      <c r="N222" s="28">
        <v>1960.0</v>
      </c>
      <c r="O222" s="31">
        <v>8.0</v>
      </c>
      <c r="P222" s="28">
        <v>1.0</v>
      </c>
      <c r="Q222" s="37">
        <v>1.0</v>
      </c>
      <c r="R222" s="33"/>
      <c r="S222" s="34"/>
      <c r="T222" s="34"/>
      <c r="U222" s="34"/>
      <c r="V222" s="34"/>
      <c r="W222" s="34"/>
      <c r="X222" s="34"/>
      <c r="Y222" s="45"/>
      <c r="Z222" s="45"/>
      <c r="AA222" s="45"/>
      <c r="AB222" s="45"/>
      <c r="AC222" s="45"/>
      <c r="AD222" s="45"/>
      <c r="AE222" s="45"/>
      <c r="AF222" s="45"/>
      <c r="AG222" s="45"/>
      <c r="AH222" s="45"/>
      <c r="AI222" s="45"/>
      <c r="AJ222" s="45"/>
      <c r="AK222" s="45"/>
      <c r="AL222" s="45"/>
    </row>
    <row r="223" ht="15.75" customHeight="1">
      <c r="A223" s="27">
        <f t="shared" si="2"/>
        <v>213</v>
      </c>
      <c r="B223" s="28" t="s">
        <v>875</v>
      </c>
      <c r="C223" s="29" t="s">
        <v>876</v>
      </c>
      <c r="D223" s="30" t="s">
        <v>877</v>
      </c>
      <c r="E223" s="28" t="s">
        <v>28</v>
      </c>
      <c r="F223" s="28" t="s">
        <v>29</v>
      </c>
      <c r="G223" s="28" t="s">
        <v>38</v>
      </c>
      <c r="H223" s="28"/>
      <c r="I223" s="28" t="s">
        <v>38</v>
      </c>
      <c r="J223" s="28">
        <v>480.0</v>
      </c>
      <c r="K223" s="28"/>
      <c r="L223" s="28" t="s">
        <v>878</v>
      </c>
      <c r="M223" s="28" t="s">
        <v>485</v>
      </c>
      <c r="N223" s="28">
        <v>1968.0</v>
      </c>
      <c r="O223" s="31">
        <v>7.0</v>
      </c>
      <c r="P223" s="28">
        <v>1.0</v>
      </c>
      <c r="Q223" s="37">
        <v>1.0</v>
      </c>
      <c r="R223" s="33"/>
      <c r="S223" s="34"/>
      <c r="T223" s="34"/>
      <c r="U223" s="34"/>
      <c r="V223" s="34"/>
      <c r="W223" s="34"/>
      <c r="X223" s="34"/>
      <c r="Y223" s="45"/>
      <c r="Z223" s="45"/>
      <c r="AA223" s="45"/>
      <c r="AB223" s="45"/>
      <c r="AC223" s="45"/>
      <c r="AD223" s="45"/>
      <c r="AE223" s="45"/>
      <c r="AF223" s="45"/>
      <c r="AG223" s="45"/>
      <c r="AH223" s="45"/>
      <c r="AI223" s="45"/>
      <c r="AJ223" s="45"/>
      <c r="AK223" s="45"/>
      <c r="AL223" s="45"/>
    </row>
    <row r="224" ht="15.75" customHeight="1">
      <c r="A224" s="27">
        <f t="shared" si="2"/>
        <v>214</v>
      </c>
      <c r="B224" s="28" t="s">
        <v>879</v>
      </c>
      <c r="C224" s="29" t="s">
        <v>880</v>
      </c>
      <c r="D224" s="39" t="s">
        <v>881</v>
      </c>
      <c r="E224" s="28" t="s">
        <v>28</v>
      </c>
      <c r="F224" s="28" t="s">
        <v>29</v>
      </c>
      <c r="G224" s="28" t="s">
        <v>37</v>
      </c>
      <c r="H224" s="28"/>
      <c r="I224" s="28" t="s">
        <v>38</v>
      </c>
      <c r="J224" s="28">
        <v>936.0</v>
      </c>
      <c r="K224" s="28"/>
      <c r="L224" s="28" t="s">
        <v>446</v>
      </c>
      <c r="M224" s="28" t="s">
        <v>230</v>
      </c>
      <c r="N224" s="28">
        <v>1973.0</v>
      </c>
      <c r="O224" s="31">
        <v>7.0</v>
      </c>
      <c r="P224" s="31">
        <v>2.0</v>
      </c>
      <c r="Q224" s="37">
        <v>2.0</v>
      </c>
      <c r="R224" s="33"/>
      <c r="S224" s="40"/>
      <c r="T224" s="40"/>
      <c r="U224" s="40"/>
      <c r="V224" s="40"/>
      <c r="W224" s="40"/>
      <c r="X224" s="40"/>
      <c r="Y224" s="45"/>
      <c r="Z224" s="45"/>
      <c r="AA224" s="45"/>
      <c r="AB224" s="45"/>
      <c r="AC224" s="45"/>
      <c r="AD224" s="45"/>
      <c r="AE224" s="45"/>
      <c r="AF224" s="45"/>
      <c r="AG224" s="45"/>
      <c r="AH224" s="45"/>
      <c r="AI224" s="45"/>
      <c r="AJ224" s="45"/>
      <c r="AK224" s="45"/>
      <c r="AL224" s="45"/>
    </row>
    <row r="225" ht="15.75" customHeight="1">
      <c r="A225" s="27">
        <f t="shared" si="2"/>
        <v>215</v>
      </c>
      <c r="B225" s="28" t="s">
        <v>882</v>
      </c>
      <c r="C225" s="29" t="s">
        <v>883</v>
      </c>
      <c r="D225" s="39" t="s">
        <v>884</v>
      </c>
      <c r="E225" s="28" t="s">
        <v>28</v>
      </c>
      <c r="F225" s="28" t="s">
        <v>29</v>
      </c>
      <c r="G225" s="28" t="s">
        <v>37</v>
      </c>
      <c r="H225" s="28"/>
      <c r="I225" s="28" t="s">
        <v>38</v>
      </c>
      <c r="J225" s="28">
        <v>608.0</v>
      </c>
      <c r="K225" s="28"/>
      <c r="L225" s="31" t="s">
        <v>885</v>
      </c>
      <c r="M225" s="28" t="s">
        <v>291</v>
      </c>
      <c r="N225" s="28">
        <v>1998.0</v>
      </c>
      <c r="O225" s="31">
        <v>8.0</v>
      </c>
      <c r="P225" s="28">
        <v>1.0</v>
      </c>
      <c r="Q225" s="32">
        <v>1.0</v>
      </c>
      <c r="R225" s="33"/>
      <c r="S225" s="40"/>
      <c r="T225" s="40"/>
      <c r="U225" s="40"/>
      <c r="V225" s="40"/>
      <c r="W225" s="40"/>
      <c r="X225" s="40"/>
      <c r="Y225" s="45"/>
      <c r="Z225" s="45"/>
      <c r="AA225" s="45"/>
      <c r="AB225" s="45"/>
      <c r="AC225" s="45"/>
      <c r="AD225" s="45"/>
      <c r="AE225" s="45"/>
      <c r="AF225" s="45"/>
      <c r="AG225" s="45"/>
      <c r="AH225" s="45"/>
      <c r="AI225" s="45"/>
      <c r="AJ225" s="45"/>
      <c r="AK225" s="45"/>
      <c r="AL225" s="45"/>
    </row>
    <row r="226" ht="15.75" customHeight="1">
      <c r="A226" s="27">
        <f t="shared" si="2"/>
        <v>216</v>
      </c>
      <c r="B226" s="28" t="s">
        <v>886</v>
      </c>
      <c r="C226" s="29" t="s">
        <v>887</v>
      </c>
      <c r="D226" s="30" t="s">
        <v>888</v>
      </c>
      <c r="E226" s="28" t="s">
        <v>302</v>
      </c>
      <c r="F226" s="28" t="s">
        <v>29</v>
      </c>
      <c r="G226" s="28" t="s">
        <v>30</v>
      </c>
      <c r="H226" s="28"/>
      <c r="I226" s="28" t="s">
        <v>30</v>
      </c>
      <c r="J226" s="28">
        <v>524.0</v>
      </c>
      <c r="K226" s="28"/>
      <c r="L226" s="28" t="s">
        <v>889</v>
      </c>
      <c r="M226" s="28" t="s">
        <v>544</v>
      </c>
      <c r="N226" s="28">
        <v>2010.0</v>
      </c>
      <c r="O226" s="31" t="s">
        <v>205</v>
      </c>
      <c r="P226" s="28">
        <v>1.0</v>
      </c>
      <c r="Q226" s="32">
        <v>1.0</v>
      </c>
      <c r="R226" s="33"/>
      <c r="S226" s="40"/>
      <c r="T226" s="40"/>
      <c r="U226" s="40"/>
      <c r="V226" s="40"/>
      <c r="W226" s="40"/>
      <c r="X226" s="40"/>
      <c r="Y226" s="45"/>
      <c r="Z226" s="45"/>
      <c r="AA226" s="45"/>
      <c r="AB226" s="45"/>
      <c r="AC226" s="45"/>
      <c r="AD226" s="45"/>
      <c r="AE226" s="45"/>
      <c r="AF226" s="45"/>
      <c r="AG226" s="45"/>
      <c r="AH226" s="45"/>
      <c r="AI226" s="45"/>
      <c r="AJ226" s="45"/>
      <c r="AK226" s="45"/>
      <c r="AL226" s="45"/>
    </row>
    <row r="227" ht="15.75" customHeight="1">
      <c r="A227" s="27">
        <f t="shared" si="2"/>
        <v>217</v>
      </c>
      <c r="B227" s="28" t="s">
        <v>890</v>
      </c>
      <c r="C227" s="29" t="s">
        <v>891</v>
      </c>
      <c r="D227" s="30" t="s">
        <v>892</v>
      </c>
      <c r="E227" s="28" t="s">
        <v>28</v>
      </c>
      <c r="F227" s="28" t="s">
        <v>29</v>
      </c>
      <c r="G227" s="28" t="s">
        <v>37</v>
      </c>
      <c r="H227" s="28"/>
      <c r="I227" s="28" t="s">
        <v>38</v>
      </c>
      <c r="J227" s="28">
        <v>970.0</v>
      </c>
      <c r="K227" s="28"/>
      <c r="L227" s="28" t="s">
        <v>893</v>
      </c>
      <c r="M227" s="28" t="s">
        <v>382</v>
      </c>
      <c r="N227" s="28">
        <v>2016.0</v>
      </c>
      <c r="O227" s="31">
        <v>8.0</v>
      </c>
      <c r="P227" s="28">
        <v>1.0</v>
      </c>
      <c r="Q227" s="32">
        <v>1.0</v>
      </c>
      <c r="R227" s="33"/>
      <c r="S227" s="40"/>
      <c r="T227" s="40"/>
      <c r="U227" s="40"/>
      <c r="V227" s="40"/>
      <c r="W227" s="40"/>
      <c r="X227" s="40"/>
      <c r="Y227" s="45"/>
      <c r="Z227" s="45"/>
      <c r="AA227" s="45"/>
      <c r="AB227" s="45"/>
      <c r="AC227" s="45"/>
      <c r="AD227" s="45"/>
      <c r="AE227" s="45"/>
      <c r="AF227" s="45"/>
      <c r="AG227" s="45"/>
      <c r="AH227" s="45"/>
      <c r="AI227" s="45"/>
      <c r="AJ227" s="45"/>
      <c r="AK227" s="45"/>
      <c r="AL227" s="45"/>
    </row>
    <row r="228" ht="16.5" customHeight="1">
      <c r="A228" s="27">
        <f t="shared" si="2"/>
        <v>218</v>
      </c>
      <c r="B228" s="28" t="s">
        <v>31</v>
      </c>
      <c r="C228" s="29" t="s">
        <v>894</v>
      </c>
      <c r="D228" s="30" t="s">
        <v>895</v>
      </c>
      <c r="E228" s="28" t="s">
        <v>28</v>
      </c>
      <c r="F228" s="28" t="s">
        <v>29</v>
      </c>
      <c r="G228" s="28" t="s">
        <v>37</v>
      </c>
      <c r="H228" s="28"/>
      <c r="I228" s="28" t="s">
        <v>38</v>
      </c>
      <c r="J228" s="28">
        <v>60.0</v>
      </c>
      <c r="K228" s="28"/>
      <c r="L228" s="28" t="s">
        <v>896</v>
      </c>
      <c r="M228" s="28" t="s">
        <v>286</v>
      </c>
      <c r="N228" s="28">
        <v>1960.0</v>
      </c>
      <c r="O228" s="31">
        <v>8.0</v>
      </c>
      <c r="P228" s="28">
        <v>1.0</v>
      </c>
      <c r="Q228" s="37">
        <v>1.0</v>
      </c>
      <c r="R228" s="33"/>
      <c r="S228" s="34"/>
      <c r="T228" s="34"/>
      <c r="U228" s="34"/>
      <c r="V228" s="34"/>
      <c r="W228" s="34"/>
      <c r="X228" s="34"/>
      <c r="Y228" s="45"/>
      <c r="Z228" s="45"/>
      <c r="AA228" s="45"/>
      <c r="AB228" s="45"/>
      <c r="AC228" s="45"/>
      <c r="AD228" s="45"/>
      <c r="AE228" s="45"/>
      <c r="AF228" s="45"/>
      <c r="AG228" s="45"/>
      <c r="AH228" s="45"/>
      <c r="AI228" s="45"/>
      <c r="AJ228" s="45"/>
      <c r="AK228" s="45"/>
      <c r="AL228" s="45"/>
    </row>
    <row r="229" ht="15.75" customHeight="1">
      <c r="A229" s="27">
        <f t="shared" si="2"/>
        <v>219</v>
      </c>
      <c r="B229" s="28" t="s">
        <v>897</v>
      </c>
      <c r="C229" s="29" t="s">
        <v>898</v>
      </c>
      <c r="D229" s="30" t="s">
        <v>899</v>
      </c>
      <c r="E229" s="28" t="s">
        <v>28</v>
      </c>
      <c r="F229" s="28" t="s">
        <v>29</v>
      </c>
      <c r="G229" s="28" t="s">
        <v>37</v>
      </c>
      <c r="H229" s="28"/>
      <c r="I229" s="28" t="s">
        <v>38</v>
      </c>
      <c r="J229" s="28">
        <v>323.0</v>
      </c>
      <c r="K229" s="28"/>
      <c r="L229" s="28" t="s">
        <v>900</v>
      </c>
      <c r="M229" s="28" t="s">
        <v>507</v>
      </c>
      <c r="N229" s="28">
        <v>2009.0</v>
      </c>
      <c r="O229" s="31">
        <v>7.0</v>
      </c>
      <c r="P229" s="28">
        <v>1.0</v>
      </c>
      <c r="Q229" s="32">
        <v>1.0</v>
      </c>
      <c r="R229" s="33"/>
      <c r="S229" s="38"/>
      <c r="T229" s="38"/>
      <c r="U229" s="38"/>
      <c r="V229" s="38"/>
      <c r="W229" s="38"/>
      <c r="X229" s="38"/>
      <c r="Y229" s="45"/>
      <c r="Z229" s="45"/>
      <c r="AA229" s="45"/>
      <c r="AB229" s="45"/>
      <c r="AC229" s="45"/>
      <c r="AD229" s="45"/>
      <c r="AE229" s="45"/>
      <c r="AF229" s="45"/>
      <c r="AG229" s="45"/>
      <c r="AH229" s="45"/>
      <c r="AI229" s="45"/>
      <c r="AJ229" s="45"/>
      <c r="AK229" s="45"/>
      <c r="AL229" s="45"/>
    </row>
    <row r="230" ht="15.75" customHeight="1">
      <c r="A230" s="27">
        <f t="shared" si="2"/>
        <v>220</v>
      </c>
      <c r="B230" s="28" t="s">
        <v>901</v>
      </c>
      <c r="C230" s="29" t="s">
        <v>902</v>
      </c>
      <c r="D230" s="39" t="s">
        <v>903</v>
      </c>
      <c r="E230" s="28" t="s">
        <v>28</v>
      </c>
      <c r="F230" s="28" t="s">
        <v>29</v>
      </c>
      <c r="G230" s="28" t="s">
        <v>37</v>
      </c>
      <c r="H230" s="28"/>
      <c r="I230" s="28" t="s">
        <v>38</v>
      </c>
      <c r="J230" s="28">
        <v>164.0</v>
      </c>
      <c r="K230" s="28"/>
      <c r="L230" s="28" t="s">
        <v>904</v>
      </c>
      <c r="M230" s="28" t="s">
        <v>219</v>
      </c>
      <c r="N230" s="28">
        <v>1973.0</v>
      </c>
      <c r="O230" s="31">
        <v>9.0</v>
      </c>
      <c r="P230" s="28">
        <v>2.0</v>
      </c>
      <c r="Q230" s="32">
        <v>2.0</v>
      </c>
      <c r="R230" s="33"/>
      <c r="S230" s="34"/>
      <c r="T230" s="34"/>
      <c r="U230" s="34"/>
      <c r="V230" s="34"/>
      <c r="W230" s="34"/>
      <c r="X230" s="34"/>
      <c r="Y230" s="45"/>
      <c r="Z230" s="45"/>
      <c r="AA230" s="45"/>
      <c r="AB230" s="45"/>
      <c r="AC230" s="45"/>
      <c r="AD230" s="45"/>
      <c r="AE230" s="45"/>
      <c r="AF230" s="45"/>
      <c r="AG230" s="45"/>
      <c r="AH230" s="45"/>
      <c r="AI230" s="45"/>
      <c r="AJ230" s="45"/>
      <c r="AK230" s="45"/>
      <c r="AL230" s="45"/>
    </row>
    <row r="231" ht="15.75" customHeight="1">
      <c r="A231" s="27">
        <f t="shared" si="2"/>
        <v>221</v>
      </c>
      <c r="B231" s="28" t="s">
        <v>905</v>
      </c>
      <c r="C231" s="29" t="s">
        <v>906</v>
      </c>
      <c r="D231" s="39" t="s">
        <v>907</v>
      </c>
      <c r="E231" s="28" t="s">
        <v>28</v>
      </c>
      <c r="F231" s="28" t="s">
        <v>29</v>
      </c>
      <c r="G231" s="28" t="s">
        <v>386</v>
      </c>
      <c r="H231" s="28" t="s">
        <v>31</v>
      </c>
      <c r="I231" s="28" t="s">
        <v>30</v>
      </c>
      <c r="J231" s="28">
        <v>850.0</v>
      </c>
      <c r="K231" s="28"/>
      <c r="L231" s="28" t="s">
        <v>780</v>
      </c>
      <c r="M231" s="28" t="s">
        <v>169</v>
      </c>
      <c r="N231" s="28">
        <v>2010.0</v>
      </c>
      <c r="O231" s="31">
        <v>8.0</v>
      </c>
      <c r="P231" s="28">
        <v>1.0</v>
      </c>
      <c r="Q231" s="32">
        <v>1.0</v>
      </c>
      <c r="R231" s="33"/>
      <c r="S231" s="40"/>
      <c r="T231" s="40"/>
      <c r="U231" s="40"/>
      <c r="V231" s="40"/>
      <c r="W231" s="40"/>
      <c r="X231" s="40"/>
      <c r="Y231" s="45"/>
      <c r="Z231" s="45"/>
      <c r="AA231" s="45"/>
      <c r="AB231" s="45"/>
      <c r="AC231" s="45"/>
      <c r="AD231" s="45"/>
      <c r="AE231" s="45"/>
      <c r="AF231" s="45"/>
      <c r="AG231" s="45"/>
      <c r="AH231" s="45"/>
      <c r="AI231" s="45"/>
      <c r="AJ231" s="45"/>
      <c r="AK231" s="45"/>
      <c r="AL231" s="45"/>
    </row>
    <row r="232" ht="15.75" customHeight="1">
      <c r="A232" s="27">
        <f t="shared" si="2"/>
        <v>222</v>
      </c>
      <c r="B232" s="28" t="s">
        <v>908</v>
      </c>
      <c r="C232" s="29" t="s">
        <v>906</v>
      </c>
      <c r="D232" s="39" t="s">
        <v>909</v>
      </c>
      <c r="E232" s="28" t="s">
        <v>28</v>
      </c>
      <c r="F232" s="28" t="s">
        <v>29</v>
      </c>
      <c r="G232" s="28" t="s">
        <v>386</v>
      </c>
      <c r="H232" s="28" t="s">
        <v>31</v>
      </c>
      <c r="I232" s="28" t="s">
        <v>30</v>
      </c>
      <c r="J232" s="28">
        <f>834+16</f>
        <v>850</v>
      </c>
      <c r="K232" s="28"/>
      <c r="L232" s="28" t="s">
        <v>780</v>
      </c>
      <c r="M232" s="28" t="s">
        <v>169</v>
      </c>
      <c r="N232" s="28">
        <v>2010.0</v>
      </c>
      <c r="O232" s="31">
        <v>8.0</v>
      </c>
      <c r="P232" s="28">
        <v>1.0</v>
      </c>
      <c r="Q232" s="32">
        <v>1.0</v>
      </c>
      <c r="R232" s="33"/>
      <c r="S232" s="34"/>
      <c r="T232" s="34"/>
      <c r="U232" s="34"/>
      <c r="V232" s="34"/>
      <c r="W232" s="34"/>
      <c r="X232" s="34"/>
      <c r="Y232" s="45"/>
      <c r="Z232" s="45"/>
      <c r="AA232" s="45"/>
      <c r="AB232" s="45"/>
      <c r="AC232" s="45"/>
      <c r="AD232" s="45"/>
      <c r="AE232" s="45"/>
      <c r="AF232" s="45"/>
      <c r="AG232" s="45"/>
      <c r="AH232" s="45"/>
      <c r="AI232" s="45"/>
      <c r="AJ232" s="45"/>
      <c r="AK232" s="45"/>
      <c r="AL232" s="45"/>
    </row>
    <row r="233" ht="15.75" customHeight="1">
      <c r="A233" s="27">
        <f t="shared" si="2"/>
        <v>223</v>
      </c>
      <c r="B233" s="28" t="s">
        <v>31</v>
      </c>
      <c r="C233" s="29" t="s">
        <v>910</v>
      </c>
      <c r="D233" s="39" t="s">
        <v>911</v>
      </c>
      <c r="E233" s="28" t="s">
        <v>28</v>
      </c>
      <c r="F233" s="28" t="s">
        <v>29</v>
      </c>
      <c r="G233" s="28" t="s">
        <v>30</v>
      </c>
      <c r="H233" s="28"/>
      <c r="I233" s="28" t="s">
        <v>30</v>
      </c>
      <c r="J233" s="31">
        <v>228.0</v>
      </c>
      <c r="K233" s="28"/>
      <c r="L233" s="28" t="s">
        <v>912</v>
      </c>
      <c r="M233" s="28" t="s">
        <v>913</v>
      </c>
      <c r="N233" s="31">
        <v>2001.0</v>
      </c>
      <c r="O233" s="31" t="s">
        <v>205</v>
      </c>
      <c r="P233" s="28">
        <v>1.0</v>
      </c>
      <c r="Q233" s="32">
        <v>1.0</v>
      </c>
      <c r="R233" s="33"/>
      <c r="S233" s="40"/>
      <c r="T233" s="40"/>
      <c r="U233" s="40"/>
      <c r="V233" s="40"/>
      <c r="W233" s="40"/>
      <c r="X233" s="40"/>
      <c r="Y233" s="45"/>
      <c r="Z233" s="45"/>
      <c r="AA233" s="45"/>
      <c r="AB233" s="45"/>
      <c r="AC233" s="45"/>
      <c r="AD233" s="45"/>
      <c r="AE233" s="45"/>
      <c r="AF233" s="45"/>
      <c r="AG233" s="45"/>
      <c r="AH233" s="45"/>
      <c r="AI233" s="45"/>
      <c r="AJ233" s="45"/>
      <c r="AK233" s="45"/>
      <c r="AL233" s="45"/>
    </row>
    <row r="234" ht="15.75" customHeight="1">
      <c r="A234" s="27">
        <f t="shared" si="2"/>
        <v>224</v>
      </c>
      <c r="B234" s="28" t="s">
        <v>31</v>
      </c>
      <c r="C234" s="29" t="s">
        <v>914</v>
      </c>
      <c r="D234" s="39" t="s">
        <v>915</v>
      </c>
      <c r="E234" s="28" t="s">
        <v>28</v>
      </c>
      <c r="F234" s="28" t="s">
        <v>29</v>
      </c>
      <c r="G234" s="28" t="s">
        <v>37</v>
      </c>
      <c r="H234" s="28"/>
      <c r="I234" s="28" t="s">
        <v>38</v>
      </c>
      <c r="J234" s="28">
        <v>155.0</v>
      </c>
      <c r="K234" s="28"/>
      <c r="L234" s="28" t="s">
        <v>916</v>
      </c>
      <c r="M234" s="28" t="s">
        <v>816</v>
      </c>
      <c r="N234" s="28">
        <v>1966.0</v>
      </c>
      <c r="O234" s="31">
        <v>6.0</v>
      </c>
      <c r="P234" s="28">
        <v>1.0</v>
      </c>
      <c r="Q234" s="32">
        <v>1.0</v>
      </c>
      <c r="R234" s="33"/>
      <c r="S234" s="34"/>
      <c r="T234" s="34"/>
      <c r="U234" s="34"/>
      <c r="V234" s="34"/>
      <c r="W234" s="34"/>
      <c r="X234" s="34"/>
      <c r="Y234" s="45"/>
      <c r="Z234" s="45"/>
      <c r="AA234" s="45"/>
      <c r="AB234" s="45"/>
      <c r="AC234" s="45"/>
      <c r="AD234" s="45"/>
      <c r="AE234" s="45"/>
      <c r="AF234" s="45"/>
      <c r="AG234" s="45"/>
      <c r="AH234" s="45"/>
      <c r="AI234" s="45"/>
      <c r="AJ234" s="45"/>
      <c r="AK234" s="45"/>
      <c r="AL234" s="45"/>
    </row>
    <row r="235" ht="15.75" customHeight="1">
      <c r="A235" s="27">
        <f t="shared" si="2"/>
        <v>225</v>
      </c>
      <c r="B235" s="28" t="s">
        <v>917</v>
      </c>
      <c r="C235" s="29" t="s">
        <v>918</v>
      </c>
      <c r="D235" s="39" t="s">
        <v>919</v>
      </c>
      <c r="E235" s="28" t="s">
        <v>28</v>
      </c>
      <c r="F235" s="28" t="s">
        <v>29</v>
      </c>
      <c r="G235" s="28" t="s">
        <v>37</v>
      </c>
      <c r="H235" s="28"/>
      <c r="I235" s="28" t="s">
        <v>38</v>
      </c>
      <c r="J235" s="28">
        <f>143+14</f>
        <v>157</v>
      </c>
      <c r="K235" s="28"/>
      <c r="L235" s="28" t="s">
        <v>920</v>
      </c>
      <c r="M235" s="28" t="s">
        <v>178</v>
      </c>
      <c r="N235" s="28">
        <v>1973.0</v>
      </c>
      <c r="O235" s="31">
        <v>8.0</v>
      </c>
      <c r="P235" s="28">
        <v>2.0</v>
      </c>
      <c r="Q235" s="32">
        <v>2.0</v>
      </c>
      <c r="R235" s="33"/>
      <c r="S235" s="34"/>
      <c r="T235" s="34"/>
      <c r="U235" s="34"/>
      <c r="V235" s="34"/>
      <c r="W235" s="34"/>
      <c r="X235" s="34"/>
      <c r="Y235" s="45"/>
      <c r="Z235" s="45"/>
      <c r="AA235" s="45"/>
      <c r="AB235" s="45"/>
      <c r="AC235" s="45"/>
      <c r="AD235" s="45"/>
      <c r="AE235" s="45"/>
      <c r="AF235" s="45"/>
      <c r="AG235" s="45"/>
      <c r="AH235" s="45"/>
      <c r="AI235" s="45"/>
      <c r="AJ235" s="45"/>
      <c r="AK235" s="45"/>
      <c r="AL235" s="45"/>
    </row>
    <row r="236" ht="15.75" customHeight="1">
      <c r="A236" s="27">
        <f t="shared" si="2"/>
        <v>226</v>
      </c>
      <c r="B236" s="28" t="s">
        <v>921</v>
      </c>
      <c r="C236" s="29" t="s">
        <v>922</v>
      </c>
      <c r="D236" s="30" t="s">
        <v>923</v>
      </c>
      <c r="E236" s="28" t="s">
        <v>28</v>
      </c>
      <c r="F236" s="28" t="s">
        <v>29</v>
      </c>
      <c r="G236" s="28" t="s">
        <v>37</v>
      </c>
      <c r="H236" s="28"/>
      <c r="I236" s="28" t="s">
        <v>38</v>
      </c>
      <c r="J236" s="31">
        <v>1208.0</v>
      </c>
      <c r="K236" s="28"/>
      <c r="L236" s="28" t="s">
        <v>924</v>
      </c>
      <c r="M236" s="28" t="s">
        <v>156</v>
      </c>
      <c r="N236" s="28">
        <v>1970.0</v>
      </c>
      <c r="O236" s="31">
        <v>7.0</v>
      </c>
      <c r="P236" s="28">
        <v>1.0</v>
      </c>
      <c r="Q236" s="37">
        <v>1.0</v>
      </c>
      <c r="R236" s="33"/>
      <c r="S236" s="40"/>
      <c r="T236" s="40"/>
      <c r="U236" s="40"/>
      <c r="V236" s="40"/>
      <c r="W236" s="40"/>
      <c r="X236" s="40"/>
      <c r="Y236" s="45"/>
      <c r="Z236" s="45"/>
      <c r="AA236" s="45"/>
      <c r="AB236" s="45"/>
      <c r="AC236" s="45"/>
      <c r="AD236" s="45"/>
      <c r="AE236" s="45"/>
      <c r="AF236" s="45"/>
      <c r="AG236" s="45"/>
      <c r="AH236" s="45"/>
      <c r="AI236" s="45"/>
      <c r="AJ236" s="45"/>
      <c r="AK236" s="45"/>
      <c r="AL236" s="45"/>
    </row>
    <row r="237" ht="15.75" customHeight="1">
      <c r="A237" s="27">
        <f t="shared" si="2"/>
        <v>227</v>
      </c>
      <c r="B237" s="28" t="s">
        <v>925</v>
      </c>
      <c r="C237" s="29" t="s">
        <v>926</v>
      </c>
      <c r="D237" s="30" t="s">
        <v>927</v>
      </c>
      <c r="E237" s="28" t="s">
        <v>302</v>
      </c>
      <c r="F237" s="28" t="s">
        <v>29</v>
      </c>
      <c r="G237" s="28" t="s">
        <v>30</v>
      </c>
      <c r="H237" s="28"/>
      <c r="I237" s="28" t="s">
        <v>30</v>
      </c>
      <c r="J237" s="28">
        <v>441.0</v>
      </c>
      <c r="K237" s="28"/>
      <c r="L237" s="28" t="s">
        <v>303</v>
      </c>
      <c r="M237" s="28" t="s">
        <v>151</v>
      </c>
      <c r="N237" s="28">
        <v>2015.0</v>
      </c>
      <c r="O237" s="31">
        <v>8.0</v>
      </c>
      <c r="P237" s="28">
        <v>1.0</v>
      </c>
      <c r="Q237" s="32">
        <v>1.0</v>
      </c>
      <c r="R237" s="33"/>
      <c r="S237" s="40"/>
      <c r="T237" s="40"/>
      <c r="U237" s="40"/>
      <c r="V237" s="40"/>
      <c r="W237" s="40"/>
      <c r="X237" s="40"/>
      <c r="Y237" s="45"/>
      <c r="Z237" s="45"/>
      <c r="AA237" s="45"/>
      <c r="AB237" s="45"/>
      <c r="AC237" s="45"/>
      <c r="AD237" s="45"/>
      <c r="AE237" s="45"/>
      <c r="AF237" s="45"/>
      <c r="AG237" s="45"/>
      <c r="AH237" s="45"/>
      <c r="AI237" s="45"/>
      <c r="AJ237" s="45"/>
      <c r="AK237" s="45"/>
      <c r="AL237" s="45"/>
    </row>
    <row r="238" ht="15.75" customHeight="1">
      <c r="A238" s="27">
        <f t="shared" si="2"/>
        <v>228</v>
      </c>
      <c r="B238" s="28" t="s">
        <v>928</v>
      </c>
      <c r="C238" s="68" t="s">
        <v>929</v>
      </c>
      <c r="D238" s="39" t="s">
        <v>930</v>
      </c>
      <c r="E238" s="28" t="s">
        <v>28</v>
      </c>
      <c r="F238" s="28" t="s">
        <v>29</v>
      </c>
      <c r="G238" s="28" t="s">
        <v>37</v>
      </c>
      <c r="H238" s="28"/>
      <c r="I238" s="28" t="s">
        <v>38</v>
      </c>
      <c r="J238" s="28">
        <v>638.0</v>
      </c>
      <c r="K238" s="28"/>
      <c r="L238" s="28" t="s">
        <v>626</v>
      </c>
      <c r="M238" s="28" t="s">
        <v>931</v>
      </c>
      <c r="N238" s="28">
        <v>1978.0</v>
      </c>
      <c r="O238" s="31">
        <v>2.0</v>
      </c>
      <c r="P238" s="28">
        <v>1.0</v>
      </c>
      <c r="Q238" s="37">
        <v>1.0</v>
      </c>
      <c r="R238" s="33"/>
      <c r="S238" s="69"/>
      <c r="T238" s="69"/>
      <c r="U238" s="69"/>
      <c r="V238" s="69"/>
      <c r="W238" s="69"/>
      <c r="X238" s="69"/>
      <c r="Y238" s="70"/>
      <c r="Z238" s="70"/>
      <c r="AA238" s="70"/>
      <c r="AB238" s="70"/>
      <c r="AC238" s="70"/>
      <c r="AD238" s="70"/>
      <c r="AE238" s="70"/>
      <c r="AF238" s="70"/>
      <c r="AG238" s="70"/>
      <c r="AH238" s="70"/>
      <c r="AI238" s="70"/>
      <c r="AJ238" s="70"/>
      <c r="AK238" s="70"/>
      <c r="AL238" s="70"/>
    </row>
    <row r="239" ht="15.75" customHeight="1">
      <c r="A239" s="27">
        <f t="shared" si="2"/>
        <v>229</v>
      </c>
      <c r="B239" s="28" t="s">
        <v>932</v>
      </c>
      <c r="C239" s="29" t="s">
        <v>933</v>
      </c>
      <c r="D239" s="30" t="s">
        <v>934</v>
      </c>
      <c r="E239" s="28" t="s">
        <v>28</v>
      </c>
      <c r="F239" s="28" t="s">
        <v>29</v>
      </c>
      <c r="G239" s="28" t="s">
        <v>37</v>
      </c>
      <c r="H239" s="28"/>
      <c r="I239" s="28" t="s">
        <v>38</v>
      </c>
      <c r="J239" s="28">
        <v>1642.0</v>
      </c>
      <c r="K239" s="28"/>
      <c r="L239" s="28" t="s">
        <v>935</v>
      </c>
      <c r="M239" s="28" t="s">
        <v>156</v>
      </c>
      <c r="N239" s="28">
        <v>1985.0</v>
      </c>
      <c r="O239" s="31">
        <v>7.0</v>
      </c>
      <c r="P239" s="28">
        <v>1.0</v>
      </c>
      <c r="Q239" s="37">
        <v>1.0</v>
      </c>
      <c r="R239" s="33"/>
      <c r="S239" s="34"/>
      <c r="T239" s="34"/>
      <c r="U239" s="34"/>
      <c r="V239" s="34"/>
      <c r="W239" s="34"/>
      <c r="X239" s="34"/>
      <c r="Y239" s="45"/>
      <c r="Z239" s="45"/>
      <c r="AA239" s="45"/>
      <c r="AB239" s="45"/>
      <c r="AC239" s="45"/>
      <c r="AD239" s="45"/>
      <c r="AE239" s="45"/>
      <c r="AF239" s="45"/>
      <c r="AG239" s="45"/>
      <c r="AH239" s="45"/>
      <c r="AI239" s="45"/>
      <c r="AJ239" s="45"/>
      <c r="AK239" s="45"/>
      <c r="AL239" s="45"/>
    </row>
    <row r="240" ht="15.75" customHeight="1">
      <c r="A240" s="27">
        <f t="shared" si="2"/>
        <v>230</v>
      </c>
      <c r="B240" s="28" t="s">
        <v>936</v>
      </c>
      <c r="C240" s="29" t="s">
        <v>937</v>
      </c>
      <c r="D240" s="39" t="s">
        <v>938</v>
      </c>
      <c r="E240" s="28" t="s">
        <v>28</v>
      </c>
      <c r="F240" s="28" t="s">
        <v>29</v>
      </c>
      <c r="G240" s="28" t="s">
        <v>37</v>
      </c>
      <c r="H240" s="28"/>
      <c r="I240" s="28" t="s">
        <v>38</v>
      </c>
      <c r="J240" s="28">
        <v>298.0</v>
      </c>
      <c r="K240" s="28"/>
      <c r="L240" s="28" t="s">
        <v>364</v>
      </c>
      <c r="M240" s="28" t="s">
        <v>365</v>
      </c>
      <c r="N240" s="28">
        <v>1930.0</v>
      </c>
      <c r="O240" s="31">
        <v>8.0</v>
      </c>
      <c r="P240" s="28">
        <v>1.0</v>
      </c>
      <c r="Q240" s="37">
        <v>1.0</v>
      </c>
      <c r="R240" s="33"/>
      <c r="S240" s="34"/>
      <c r="T240" s="34"/>
      <c r="U240" s="34"/>
      <c r="V240" s="34"/>
      <c r="W240" s="34"/>
      <c r="X240" s="34"/>
      <c r="Y240" s="45"/>
      <c r="Z240" s="45"/>
      <c r="AA240" s="45"/>
      <c r="AB240" s="45"/>
      <c r="AC240" s="45"/>
      <c r="AD240" s="45"/>
      <c r="AE240" s="45"/>
      <c r="AF240" s="45"/>
      <c r="AG240" s="45"/>
      <c r="AH240" s="45"/>
      <c r="AI240" s="45"/>
      <c r="AJ240" s="45"/>
      <c r="AK240" s="45"/>
      <c r="AL240" s="45"/>
    </row>
    <row r="241" ht="15.75" customHeight="1">
      <c r="A241" s="27">
        <f t="shared" si="2"/>
        <v>231</v>
      </c>
      <c r="B241" s="28" t="s">
        <v>31</v>
      </c>
      <c r="C241" s="29" t="s">
        <v>939</v>
      </c>
      <c r="D241" s="39" t="s">
        <v>940</v>
      </c>
      <c r="E241" s="28" t="s">
        <v>223</v>
      </c>
      <c r="F241" s="28" t="s">
        <v>29</v>
      </c>
      <c r="G241" s="28" t="s">
        <v>37</v>
      </c>
      <c r="H241" s="28"/>
      <c r="I241" s="28" t="s">
        <v>38</v>
      </c>
      <c r="J241" s="31">
        <v>798.0</v>
      </c>
      <c r="K241" s="28"/>
      <c r="L241" s="31" t="s">
        <v>941</v>
      </c>
      <c r="M241" s="28" t="s">
        <v>54</v>
      </c>
      <c r="N241" s="28">
        <v>1971.0</v>
      </c>
      <c r="O241" s="31" t="s">
        <v>225</v>
      </c>
      <c r="P241" s="31">
        <v>4.0</v>
      </c>
      <c r="Q241" s="37">
        <v>4.0</v>
      </c>
      <c r="R241" s="33"/>
      <c r="S241" s="40"/>
      <c r="T241" s="40"/>
      <c r="U241" s="40"/>
      <c r="V241" s="40"/>
      <c r="W241" s="40"/>
      <c r="X241" s="40"/>
      <c r="Y241" s="45"/>
      <c r="Z241" s="45"/>
      <c r="AA241" s="45"/>
      <c r="AB241" s="45"/>
      <c r="AC241" s="45"/>
      <c r="AD241" s="45"/>
      <c r="AE241" s="45"/>
      <c r="AF241" s="45"/>
      <c r="AG241" s="45"/>
      <c r="AH241" s="45"/>
      <c r="AI241" s="45"/>
      <c r="AJ241" s="45"/>
      <c r="AK241" s="45"/>
      <c r="AL241" s="45"/>
    </row>
    <row r="242" ht="15.75" customHeight="1">
      <c r="A242" s="27">
        <f t="shared" si="2"/>
        <v>232</v>
      </c>
      <c r="B242" s="28" t="s">
        <v>942</v>
      </c>
      <c r="C242" s="29" t="s">
        <v>943</v>
      </c>
      <c r="D242" s="39" t="s">
        <v>944</v>
      </c>
      <c r="E242" s="28" t="s">
        <v>28</v>
      </c>
      <c r="F242" s="28" t="s">
        <v>29</v>
      </c>
      <c r="G242" s="28" t="s">
        <v>234</v>
      </c>
      <c r="H242" s="28"/>
      <c r="I242" s="28" t="s">
        <v>38</v>
      </c>
      <c r="J242" s="28">
        <v>454.0</v>
      </c>
      <c r="K242" s="28"/>
      <c r="L242" s="28" t="s">
        <v>945</v>
      </c>
      <c r="M242" s="28" t="s">
        <v>236</v>
      </c>
      <c r="N242" s="28">
        <v>2000.0</v>
      </c>
      <c r="O242" s="31">
        <v>7.0</v>
      </c>
      <c r="P242" s="28">
        <v>1.0</v>
      </c>
      <c r="Q242" s="37">
        <v>1.0</v>
      </c>
      <c r="R242" s="33"/>
      <c r="S242" s="34"/>
      <c r="T242" s="34"/>
      <c r="U242" s="34"/>
      <c r="V242" s="34"/>
      <c r="W242" s="34"/>
      <c r="X242" s="34"/>
      <c r="Y242" s="45"/>
      <c r="Z242" s="45"/>
      <c r="AA242" s="45"/>
      <c r="AB242" s="45"/>
      <c r="AC242" s="45"/>
      <c r="AD242" s="45"/>
      <c r="AE242" s="45"/>
      <c r="AF242" s="45"/>
      <c r="AG242" s="45"/>
      <c r="AH242" s="45"/>
      <c r="AI242" s="45"/>
      <c r="AJ242" s="45"/>
      <c r="AK242" s="45"/>
      <c r="AL242" s="45"/>
    </row>
    <row r="243" ht="15.75" customHeight="1">
      <c r="A243" s="27">
        <f t="shared" si="2"/>
        <v>233</v>
      </c>
      <c r="B243" s="31" t="s">
        <v>946</v>
      </c>
      <c r="C243" s="29" t="s">
        <v>943</v>
      </c>
      <c r="D243" s="39" t="s">
        <v>947</v>
      </c>
      <c r="E243" s="28" t="s">
        <v>28</v>
      </c>
      <c r="F243" s="28" t="s">
        <v>29</v>
      </c>
      <c r="G243" s="28" t="s">
        <v>234</v>
      </c>
      <c r="H243" s="28"/>
      <c r="I243" s="28" t="s">
        <v>38</v>
      </c>
      <c r="J243" s="31">
        <v>896.0</v>
      </c>
      <c r="K243" s="28"/>
      <c r="L243" s="28" t="s">
        <v>945</v>
      </c>
      <c r="M243" s="28" t="s">
        <v>236</v>
      </c>
      <c r="N243" s="31">
        <v>1993.0</v>
      </c>
      <c r="O243" s="31">
        <v>7.0</v>
      </c>
      <c r="P243" s="28">
        <v>1.0</v>
      </c>
      <c r="Q243" s="37">
        <v>1.0</v>
      </c>
      <c r="R243" s="33"/>
      <c r="S243" s="40"/>
      <c r="T243" s="40"/>
      <c r="U243" s="40"/>
      <c r="V243" s="40"/>
      <c r="W243" s="40"/>
      <c r="X243" s="40"/>
      <c r="Y243" s="45"/>
      <c r="Z243" s="45"/>
      <c r="AA243" s="45"/>
      <c r="AB243" s="45"/>
      <c r="AC243" s="45"/>
      <c r="AD243" s="45"/>
      <c r="AE243" s="45"/>
      <c r="AF243" s="45"/>
      <c r="AG243" s="45"/>
      <c r="AH243" s="45"/>
      <c r="AI243" s="45"/>
      <c r="AJ243" s="45"/>
      <c r="AK243" s="45"/>
      <c r="AL243" s="45"/>
    </row>
    <row r="244" ht="15.75" customHeight="1">
      <c r="A244" s="27">
        <f t="shared" si="2"/>
        <v>234</v>
      </c>
      <c r="B244" s="31" t="s">
        <v>948</v>
      </c>
      <c r="C244" s="29" t="s">
        <v>943</v>
      </c>
      <c r="D244" s="39" t="s">
        <v>949</v>
      </c>
      <c r="E244" s="28" t="s">
        <v>28</v>
      </c>
      <c r="F244" s="28" t="s">
        <v>29</v>
      </c>
      <c r="G244" s="28" t="s">
        <v>234</v>
      </c>
      <c r="H244" s="28"/>
      <c r="I244" s="28" t="s">
        <v>38</v>
      </c>
      <c r="J244" s="31">
        <v>1293.0</v>
      </c>
      <c r="K244" s="28"/>
      <c r="L244" s="28" t="s">
        <v>945</v>
      </c>
      <c r="M244" s="28" t="s">
        <v>236</v>
      </c>
      <c r="N244" s="31">
        <v>1993.0</v>
      </c>
      <c r="O244" s="31">
        <v>7.0</v>
      </c>
      <c r="P244" s="31">
        <v>2.0</v>
      </c>
      <c r="Q244" s="37">
        <v>2.0</v>
      </c>
      <c r="R244" s="33"/>
      <c r="S244" s="38"/>
      <c r="T244" s="38"/>
      <c r="U244" s="38"/>
      <c r="V244" s="38"/>
      <c r="W244" s="38"/>
      <c r="X244" s="38"/>
      <c r="Y244" s="45"/>
      <c r="Z244" s="45"/>
      <c r="AA244" s="45"/>
      <c r="AB244" s="45"/>
      <c r="AC244" s="45"/>
      <c r="AD244" s="45"/>
      <c r="AE244" s="45"/>
      <c r="AF244" s="45"/>
      <c r="AG244" s="45"/>
      <c r="AH244" s="45"/>
      <c r="AI244" s="45"/>
      <c r="AJ244" s="45"/>
      <c r="AK244" s="45"/>
      <c r="AL244" s="45"/>
    </row>
    <row r="245" ht="15.75" customHeight="1">
      <c r="A245" s="27">
        <f t="shared" si="2"/>
        <v>235</v>
      </c>
      <c r="B245" s="31" t="s">
        <v>950</v>
      </c>
      <c r="C245" s="29" t="s">
        <v>951</v>
      </c>
      <c r="D245" s="39" t="s">
        <v>952</v>
      </c>
      <c r="E245" s="28" t="s">
        <v>28</v>
      </c>
      <c r="F245" s="28" t="s">
        <v>29</v>
      </c>
      <c r="G245" s="28" t="s">
        <v>234</v>
      </c>
      <c r="H245" s="28"/>
      <c r="I245" s="28" t="s">
        <v>38</v>
      </c>
      <c r="J245" s="31">
        <v>441.0</v>
      </c>
      <c r="K245" s="28"/>
      <c r="L245" s="31" t="s">
        <v>953</v>
      </c>
      <c r="M245" s="28" t="s">
        <v>236</v>
      </c>
      <c r="N245" s="31">
        <v>2000.0</v>
      </c>
      <c r="O245" s="31">
        <v>7.0</v>
      </c>
      <c r="P245" s="31">
        <v>1.0</v>
      </c>
      <c r="Q245" s="37">
        <v>1.0</v>
      </c>
      <c r="R245" s="33"/>
      <c r="S245" s="40"/>
      <c r="T245" s="40"/>
      <c r="U245" s="40"/>
      <c r="V245" s="40"/>
      <c r="W245" s="40"/>
      <c r="X245" s="40"/>
      <c r="Y245" s="45"/>
      <c r="Z245" s="45"/>
      <c r="AA245" s="45"/>
      <c r="AB245" s="45"/>
      <c r="AC245" s="45"/>
      <c r="AD245" s="45"/>
      <c r="AE245" s="45"/>
      <c r="AF245" s="45"/>
      <c r="AG245" s="45"/>
      <c r="AH245" s="45"/>
      <c r="AI245" s="45"/>
      <c r="AJ245" s="45"/>
      <c r="AK245" s="45"/>
      <c r="AL245" s="45"/>
    </row>
    <row r="246" ht="15.75" customHeight="1">
      <c r="A246" s="27">
        <f t="shared" si="2"/>
        <v>236</v>
      </c>
      <c r="B246" s="31" t="s">
        <v>954</v>
      </c>
      <c r="C246" s="29" t="s">
        <v>951</v>
      </c>
      <c r="D246" s="39" t="s">
        <v>955</v>
      </c>
      <c r="E246" s="28" t="s">
        <v>28</v>
      </c>
      <c r="F246" s="28" t="s">
        <v>29</v>
      </c>
      <c r="G246" s="31" t="s">
        <v>37</v>
      </c>
      <c r="H246" s="28"/>
      <c r="I246" s="28" t="s">
        <v>38</v>
      </c>
      <c r="J246" s="31">
        <v>441.0</v>
      </c>
      <c r="K246" s="28"/>
      <c r="L246" s="31" t="s">
        <v>953</v>
      </c>
      <c r="M246" s="31" t="s">
        <v>956</v>
      </c>
      <c r="N246" s="31">
        <v>1987.0</v>
      </c>
      <c r="O246" s="31">
        <v>7.0</v>
      </c>
      <c r="P246" s="31">
        <v>1.0</v>
      </c>
      <c r="Q246" s="37">
        <v>1.0</v>
      </c>
      <c r="R246" s="33"/>
      <c r="S246" s="40"/>
      <c r="T246" s="40"/>
      <c r="U246" s="40"/>
      <c r="V246" s="40"/>
      <c r="W246" s="40"/>
      <c r="X246" s="40"/>
      <c r="Y246" s="45"/>
      <c r="Z246" s="45"/>
      <c r="AA246" s="45"/>
      <c r="AB246" s="45"/>
      <c r="AC246" s="45"/>
      <c r="AD246" s="45"/>
      <c r="AE246" s="45"/>
      <c r="AF246" s="45"/>
      <c r="AG246" s="45"/>
      <c r="AH246" s="45"/>
      <c r="AI246" s="45"/>
      <c r="AJ246" s="45"/>
      <c r="AK246" s="45"/>
      <c r="AL246" s="45"/>
    </row>
    <row r="247" ht="15.75" customHeight="1">
      <c r="A247" s="27">
        <f t="shared" si="2"/>
        <v>237</v>
      </c>
      <c r="B247" s="28" t="s">
        <v>957</v>
      </c>
      <c r="C247" s="29" t="s">
        <v>958</v>
      </c>
      <c r="D247" s="39" t="s">
        <v>959</v>
      </c>
      <c r="E247" s="28" t="s">
        <v>28</v>
      </c>
      <c r="F247" s="28" t="s">
        <v>29</v>
      </c>
      <c r="G247" s="28" t="s">
        <v>37</v>
      </c>
      <c r="H247" s="28"/>
      <c r="I247" s="28" t="s">
        <v>38</v>
      </c>
      <c r="J247" s="28">
        <v>179.0</v>
      </c>
      <c r="K247" s="28"/>
      <c r="L247" s="28" t="s">
        <v>960</v>
      </c>
      <c r="M247" s="28" t="s">
        <v>961</v>
      </c>
      <c r="N247" s="28">
        <v>1976.0</v>
      </c>
      <c r="O247" s="31">
        <v>8.0</v>
      </c>
      <c r="P247" s="31">
        <v>2.0</v>
      </c>
      <c r="Q247" s="37">
        <v>2.0</v>
      </c>
      <c r="R247" s="33"/>
      <c r="S247" s="34"/>
      <c r="T247" s="34"/>
      <c r="U247" s="34"/>
      <c r="V247" s="34"/>
      <c r="W247" s="34"/>
      <c r="X247" s="34"/>
      <c r="Y247" s="45"/>
      <c r="Z247" s="45"/>
      <c r="AA247" s="45"/>
      <c r="AB247" s="45"/>
      <c r="AC247" s="45"/>
      <c r="AD247" s="45"/>
      <c r="AE247" s="45"/>
      <c r="AF247" s="45"/>
      <c r="AG247" s="45"/>
      <c r="AH247" s="45"/>
      <c r="AI247" s="45"/>
      <c r="AJ247" s="45"/>
      <c r="AK247" s="45"/>
      <c r="AL247" s="45"/>
    </row>
    <row r="248" ht="15.75" customHeight="1">
      <c r="A248" s="27">
        <f t="shared" si="2"/>
        <v>238</v>
      </c>
      <c r="B248" s="28" t="s">
        <v>962</v>
      </c>
      <c r="C248" s="29" t="s">
        <v>963</v>
      </c>
      <c r="D248" s="30" t="s">
        <v>964</v>
      </c>
      <c r="E248" s="28" t="s">
        <v>28</v>
      </c>
      <c r="F248" s="28" t="s">
        <v>29</v>
      </c>
      <c r="G248" s="28" t="s">
        <v>37</v>
      </c>
      <c r="H248" s="28"/>
      <c r="I248" s="28" t="s">
        <v>38</v>
      </c>
      <c r="J248" s="28">
        <v>928.0</v>
      </c>
      <c r="K248" s="28"/>
      <c r="L248" s="28" t="s">
        <v>756</v>
      </c>
      <c r="M248" s="31" t="s">
        <v>965</v>
      </c>
      <c r="N248" s="28">
        <v>1978.0</v>
      </c>
      <c r="O248" s="31">
        <v>8.0</v>
      </c>
      <c r="P248" s="28">
        <v>1.0</v>
      </c>
      <c r="Q248" s="37">
        <v>1.0</v>
      </c>
      <c r="R248" s="33"/>
      <c r="S248" s="40"/>
      <c r="T248" s="40"/>
      <c r="U248" s="40"/>
      <c r="V248" s="40"/>
      <c r="W248" s="40"/>
      <c r="X248" s="40"/>
      <c r="Y248" s="45"/>
      <c r="Z248" s="45"/>
      <c r="AA248" s="45"/>
      <c r="AB248" s="45"/>
      <c r="AC248" s="45"/>
      <c r="AD248" s="45"/>
      <c r="AE248" s="45"/>
      <c r="AF248" s="45"/>
      <c r="AG248" s="45"/>
      <c r="AH248" s="45"/>
      <c r="AI248" s="45"/>
      <c r="AJ248" s="45"/>
      <c r="AK248" s="45"/>
      <c r="AL248" s="45"/>
    </row>
    <row r="249" ht="15.75" customHeight="1">
      <c r="A249" s="27">
        <f t="shared" si="2"/>
        <v>239</v>
      </c>
      <c r="B249" s="28" t="s">
        <v>966</v>
      </c>
      <c r="C249" s="29" t="s">
        <v>967</v>
      </c>
      <c r="D249" s="39" t="s">
        <v>968</v>
      </c>
      <c r="E249" s="28" t="s">
        <v>28</v>
      </c>
      <c r="F249" s="28" t="s">
        <v>29</v>
      </c>
      <c r="G249" s="28" t="s">
        <v>37</v>
      </c>
      <c r="H249" s="28"/>
      <c r="I249" s="28" t="s">
        <v>38</v>
      </c>
      <c r="J249" s="28">
        <v>468.0</v>
      </c>
      <c r="K249" s="28"/>
      <c r="L249" s="28" t="s">
        <v>857</v>
      </c>
      <c r="M249" s="28" t="s">
        <v>291</v>
      </c>
      <c r="N249" s="28">
        <v>1991.0</v>
      </c>
      <c r="O249" s="31">
        <v>8.0</v>
      </c>
      <c r="P249" s="28">
        <v>1.0</v>
      </c>
      <c r="Q249" s="32">
        <v>1.0</v>
      </c>
      <c r="R249" s="33"/>
      <c r="S249" s="34"/>
      <c r="T249" s="34"/>
      <c r="U249" s="34"/>
      <c r="V249" s="34"/>
      <c r="W249" s="34"/>
      <c r="X249" s="34"/>
      <c r="Y249" s="45"/>
      <c r="Z249" s="45"/>
      <c r="AA249" s="45"/>
      <c r="AB249" s="45"/>
      <c r="AC249" s="45"/>
      <c r="AD249" s="45"/>
      <c r="AE249" s="45"/>
      <c r="AF249" s="45"/>
      <c r="AG249" s="45"/>
      <c r="AH249" s="45"/>
      <c r="AI249" s="45"/>
      <c r="AJ249" s="45"/>
      <c r="AK249" s="45"/>
      <c r="AL249" s="45"/>
    </row>
    <row r="250" ht="15.75" customHeight="1">
      <c r="A250" s="27">
        <f t="shared" si="2"/>
        <v>240</v>
      </c>
      <c r="B250" s="28" t="s">
        <v>969</v>
      </c>
      <c r="C250" s="47" t="s">
        <v>970</v>
      </c>
      <c r="D250" s="39" t="s">
        <v>971</v>
      </c>
      <c r="E250" s="28" t="s">
        <v>28</v>
      </c>
      <c r="F250" s="28" t="s">
        <v>29</v>
      </c>
      <c r="G250" s="28" t="s">
        <v>386</v>
      </c>
      <c r="H250" s="28" t="s">
        <v>31</v>
      </c>
      <c r="I250" s="28" t="s">
        <v>30</v>
      </c>
      <c r="J250" s="28">
        <f>684+19</f>
        <v>703</v>
      </c>
      <c r="K250" s="28" t="s">
        <v>31</v>
      </c>
      <c r="L250" s="28" t="s">
        <v>780</v>
      </c>
      <c r="M250" s="28" t="s">
        <v>169</v>
      </c>
      <c r="N250" s="28">
        <v>2013.0</v>
      </c>
      <c r="O250" s="31">
        <v>5.0</v>
      </c>
      <c r="P250" s="28">
        <v>1.0</v>
      </c>
      <c r="Q250" s="32">
        <v>1.0</v>
      </c>
      <c r="R250" s="33"/>
      <c r="S250" s="40"/>
      <c r="T250" s="40"/>
      <c r="U250" s="40"/>
      <c r="V250" s="40"/>
      <c r="W250" s="40"/>
      <c r="X250" s="40"/>
      <c r="Y250" s="71"/>
      <c r="Z250" s="71"/>
      <c r="AA250" s="71"/>
      <c r="AB250" s="71"/>
      <c r="AC250" s="71"/>
      <c r="AD250" s="71"/>
      <c r="AE250" s="71"/>
      <c r="AF250" s="71"/>
      <c r="AG250" s="71"/>
      <c r="AH250" s="71"/>
      <c r="AI250" s="71"/>
      <c r="AJ250" s="71"/>
      <c r="AK250" s="71"/>
      <c r="AL250" s="71"/>
    </row>
    <row r="251" ht="15.75" customHeight="1">
      <c r="A251" s="27">
        <f t="shared" si="2"/>
        <v>241</v>
      </c>
      <c r="B251" s="28" t="s">
        <v>972</v>
      </c>
      <c r="C251" s="29" t="s">
        <v>973</v>
      </c>
      <c r="D251" s="30" t="s">
        <v>974</v>
      </c>
      <c r="E251" s="28" t="s">
        <v>28</v>
      </c>
      <c r="F251" s="28" t="s">
        <v>29</v>
      </c>
      <c r="G251" s="28" t="s">
        <v>38</v>
      </c>
      <c r="H251" s="28"/>
      <c r="I251" s="28" t="s">
        <v>38</v>
      </c>
      <c r="J251" s="28">
        <v>300.0</v>
      </c>
      <c r="K251" s="28"/>
      <c r="L251" s="28" t="s">
        <v>975</v>
      </c>
      <c r="M251" s="28" t="s">
        <v>230</v>
      </c>
      <c r="N251" s="28">
        <v>1980.0</v>
      </c>
      <c r="O251" s="31">
        <v>9.0</v>
      </c>
      <c r="P251" s="28">
        <v>1.0</v>
      </c>
      <c r="Q251" s="32">
        <v>1.0</v>
      </c>
      <c r="R251" s="33"/>
      <c r="S251" s="40"/>
      <c r="T251" s="40"/>
      <c r="U251" s="40"/>
      <c r="V251" s="40"/>
      <c r="W251" s="40"/>
      <c r="X251" s="40"/>
      <c r="Y251" s="45"/>
      <c r="Z251" s="45"/>
      <c r="AA251" s="45"/>
      <c r="AB251" s="45"/>
      <c r="AC251" s="45"/>
      <c r="AD251" s="45"/>
      <c r="AE251" s="45"/>
      <c r="AF251" s="45"/>
      <c r="AG251" s="45"/>
      <c r="AH251" s="45"/>
      <c r="AI251" s="45"/>
      <c r="AJ251" s="45"/>
      <c r="AK251" s="45"/>
      <c r="AL251" s="45"/>
    </row>
    <row r="252" ht="15.75" customHeight="1">
      <c r="A252" s="27">
        <f t="shared" si="2"/>
        <v>242</v>
      </c>
      <c r="B252" s="31" t="s">
        <v>976</v>
      </c>
      <c r="C252" s="29" t="s">
        <v>977</v>
      </c>
      <c r="D252" s="39" t="s">
        <v>978</v>
      </c>
      <c r="E252" s="28" t="s">
        <v>28</v>
      </c>
      <c r="F252" s="28" t="s">
        <v>29</v>
      </c>
      <c r="G252" s="28" t="s">
        <v>37</v>
      </c>
      <c r="H252" s="28"/>
      <c r="I252" s="28" t="s">
        <v>38</v>
      </c>
      <c r="J252" s="31">
        <v>831.0</v>
      </c>
      <c r="K252" s="28"/>
      <c r="L252" s="28" t="s">
        <v>979</v>
      </c>
      <c r="M252" s="28" t="s">
        <v>49</v>
      </c>
      <c r="N252" s="28">
        <v>2015.0</v>
      </c>
      <c r="O252" s="31">
        <v>7.0</v>
      </c>
      <c r="P252" s="28">
        <v>1.0</v>
      </c>
      <c r="Q252" s="72">
        <v>1.0</v>
      </c>
      <c r="R252" s="33"/>
      <c r="S252" s="34"/>
      <c r="T252" s="34"/>
      <c r="U252" s="34"/>
      <c r="V252" s="34"/>
      <c r="W252" s="34"/>
      <c r="X252" s="34"/>
      <c r="Y252" s="45"/>
      <c r="Z252" s="45"/>
      <c r="AA252" s="45"/>
      <c r="AB252" s="45"/>
      <c r="AC252" s="45"/>
      <c r="AD252" s="45"/>
      <c r="AE252" s="45"/>
      <c r="AF252" s="45"/>
      <c r="AG252" s="45"/>
      <c r="AH252" s="45"/>
      <c r="AI252" s="45"/>
      <c r="AJ252" s="45"/>
      <c r="AK252" s="45"/>
      <c r="AL252" s="45"/>
    </row>
    <row r="253" ht="15.75" customHeight="1">
      <c r="A253" s="27">
        <f t="shared" si="2"/>
        <v>243</v>
      </c>
      <c r="B253" s="28" t="s">
        <v>31</v>
      </c>
      <c r="C253" s="29" t="s">
        <v>980</v>
      </c>
      <c r="D253" s="39" t="s">
        <v>981</v>
      </c>
      <c r="E253" s="28" t="s">
        <v>28</v>
      </c>
      <c r="F253" s="28" t="s">
        <v>29</v>
      </c>
      <c r="G253" s="28" t="s">
        <v>37</v>
      </c>
      <c r="H253" s="28"/>
      <c r="I253" s="28" t="s">
        <v>38</v>
      </c>
      <c r="J253" s="28">
        <v>384.0</v>
      </c>
      <c r="K253" s="28"/>
      <c r="L253" s="31" t="s">
        <v>982</v>
      </c>
      <c r="M253" s="28" t="s">
        <v>83</v>
      </c>
      <c r="N253" s="28">
        <v>1949.0</v>
      </c>
      <c r="O253" s="31">
        <v>8.0</v>
      </c>
      <c r="P253" s="28">
        <v>1.0</v>
      </c>
      <c r="Q253" s="37">
        <v>1.0</v>
      </c>
      <c r="R253" s="33"/>
      <c r="S253" s="34"/>
      <c r="T253" s="34"/>
      <c r="U253" s="34"/>
      <c r="V253" s="34"/>
      <c r="W253" s="34"/>
      <c r="X253" s="34"/>
      <c r="Y253" s="45"/>
      <c r="Z253" s="45"/>
      <c r="AA253" s="45"/>
      <c r="AB253" s="45"/>
      <c r="AC253" s="45"/>
      <c r="AD253" s="45"/>
      <c r="AE253" s="45"/>
      <c r="AF253" s="45"/>
      <c r="AG253" s="45"/>
      <c r="AH253" s="45"/>
      <c r="AI253" s="45"/>
      <c r="AJ253" s="45"/>
      <c r="AK253" s="45"/>
      <c r="AL253" s="45"/>
    </row>
    <row r="254" ht="15.75" customHeight="1">
      <c r="A254" s="27">
        <f t="shared" si="2"/>
        <v>244</v>
      </c>
      <c r="B254" s="28" t="s">
        <v>983</v>
      </c>
      <c r="C254" s="29" t="s">
        <v>984</v>
      </c>
      <c r="D254" s="39" t="s">
        <v>985</v>
      </c>
      <c r="E254" s="28" t="s">
        <v>223</v>
      </c>
      <c r="F254" s="28" t="s">
        <v>29</v>
      </c>
      <c r="G254" s="28" t="s">
        <v>37</v>
      </c>
      <c r="H254" s="28"/>
      <c r="I254" s="28" t="s">
        <v>38</v>
      </c>
      <c r="J254" s="31">
        <v>407.0</v>
      </c>
      <c r="K254" s="28"/>
      <c r="L254" s="28" t="s">
        <v>619</v>
      </c>
      <c r="M254" s="28" t="s">
        <v>54</v>
      </c>
      <c r="N254" s="28">
        <v>1982.0</v>
      </c>
      <c r="O254" s="31">
        <v>7.0</v>
      </c>
      <c r="P254" s="31">
        <v>4.0</v>
      </c>
      <c r="Q254" s="37">
        <v>4.0</v>
      </c>
      <c r="R254" s="33"/>
      <c r="S254" s="34"/>
      <c r="T254" s="34"/>
      <c r="U254" s="34"/>
      <c r="V254" s="34"/>
      <c r="W254" s="34"/>
      <c r="X254" s="34"/>
      <c r="Y254" s="45"/>
      <c r="Z254" s="45"/>
      <c r="AA254" s="45"/>
      <c r="AB254" s="45"/>
      <c r="AC254" s="45"/>
      <c r="AD254" s="45"/>
      <c r="AE254" s="45"/>
      <c r="AF254" s="45"/>
      <c r="AG254" s="45"/>
      <c r="AH254" s="45"/>
      <c r="AI254" s="45"/>
      <c r="AJ254" s="45"/>
      <c r="AK254" s="45"/>
      <c r="AL254" s="45"/>
    </row>
    <row r="255" ht="15.75" customHeight="1">
      <c r="A255" s="27">
        <f t="shared" si="2"/>
        <v>245</v>
      </c>
      <c r="B255" s="28" t="s">
        <v>986</v>
      </c>
      <c r="C255" s="29" t="s">
        <v>987</v>
      </c>
      <c r="D255" s="39" t="s">
        <v>988</v>
      </c>
      <c r="E255" s="28" t="s">
        <v>28</v>
      </c>
      <c r="F255" s="28" t="s">
        <v>29</v>
      </c>
      <c r="G255" s="28" t="s">
        <v>37</v>
      </c>
      <c r="H255" s="28"/>
      <c r="I255" s="28" t="s">
        <v>38</v>
      </c>
      <c r="J255" s="28">
        <v>448.0</v>
      </c>
      <c r="K255" s="28"/>
      <c r="L255" s="28" t="s">
        <v>989</v>
      </c>
      <c r="M255" s="28" t="s">
        <v>178</v>
      </c>
      <c r="N255" s="28">
        <v>2012.0</v>
      </c>
      <c r="O255" s="31">
        <v>8.0</v>
      </c>
      <c r="P255" s="28">
        <v>1.0</v>
      </c>
      <c r="Q255" s="32">
        <v>1.0</v>
      </c>
      <c r="R255" s="33"/>
      <c r="S255" s="40"/>
      <c r="T255" s="40"/>
      <c r="U255" s="40"/>
      <c r="V255" s="40"/>
      <c r="W255" s="40"/>
      <c r="X255" s="40"/>
      <c r="Y255" s="45"/>
      <c r="Z255" s="45"/>
      <c r="AA255" s="45"/>
      <c r="AB255" s="45"/>
      <c r="AC255" s="45"/>
      <c r="AD255" s="45"/>
      <c r="AE255" s="45"/>
      <c r="AF255" s="45"/>
      <c r="AG255" s="45"/>
      <c r="AH255" s="45"/>
      <c r="AI255" s="45"/>
      <c r="AJ255" s="45"/>
      <c r="AK255" s="45"/>
      <c r="AL255" s="45"/>
    </row>
    <row r="256" ht="15.75" customHeight="1">
      <c r="A256" s="27">
        <f t="shared" si="2"/>
        <v>246</v>
      </c>
      <c r="B256" s="28" t="s">
        <v>990</v>
      </c>
      <c r="C256" s="29" t="s">
        <v>987</v>
      </c>
      <c r="D256" s="39" t="s">
        <v>991</v>
      </c>
      <c r="E256" s="28" t="s">
        <v>28</v>
      </c>
      <c r="F256" s="28" t="s">
        <v>29</v>
      </c>
      <c r="G256" s="28" t="s">
        <v>37</v>
      </c>
      <c r="H256" s="28"/>
      <c r="I256" s="28" t="s">
        <v>38</v>
      </c>
      <c r="J256" s="28">
        <v>716.0</v>
      </c>
      <c r="K256" s="28"/>
      <c r="L256" s="28" t="s">
        <v>989</v>
      </c>
      <c r="M256" s="28" t="s">
        <v>178</v>
      </c>
      <c r="N256" s="28">
        <v>2013.0</v>
      </c>
      <c r="O256" s="31">
        <v>8.0</v>
      </c>
      <c r="P256" s="28">
        <v>1.0</v>
      </c>
      <c r="Q256" s="32">
        <v>1.0</v>
      </c>
      <c r="R256" s="33"/>
      <c r="S256" s="40"/>
      <c r="T256" s="40"/>
      <c r="U256" s="40"/>
      <c r="V256" s="40"/>
      <c r="W256" s="40"/>
      <c r="X256" s="40"/>
      <c r="Y256" s="45"/>
      <c r="Z256" s="45"/>
      <c r="AA256" s="45"/>
      <c r="AB256" s="45"/>
      <c r="AC256" s="45"/>
      <c r="AD256" s="45"/>
      <c r="AE256" s="45"/>
      <c r="AF256" s="45"/>
      <c r="AG256" s="45"/>
      <c r="AH256" s="45"/>
      <c r="AI256" s="45"/>
      <c r="AJ256" s="45"/>
      <c r="AK256" s="45"/>
      <c r="AL256" s="45"/>
    </row>
    <row r="257" ht="15.75" customHeight="1">
      <c r="A257" s="27">
        <f t="shared" si="2"/>
        <v>247</v>
      </c>
      <c r="B257" s="28" t="s">
        <v>992</v>
      </c>
      <c r="C257" s="29" t="s">
        <v>987</v>
      </c>
      <c r="D257" s="39" t="s">
        <v>993</v>
      </c>
      <c r="E257" s="28" t="s">
        <v>28</v>
      </c>
      <c r="F257" s="28" t="s">
        <v>29</v>
      </c>
      <c r="G257" s="28" t="s">
        <v>37</v>
      </c>
      <c r="H257" s="28"/>
      <c r="I257" s="28" t="s">
        <v>38</v>
      </c>
      <c r="J257" s="28">
        <v>441.0</v>
      </c>
      <c r="K257" s="28"/>
      <c r="L257" s="28" t="s">
        <v>989</v>
      </c>
      <c r="M257" s="28" t="s">
        <v>178</v>
      </c>
      <c r="N257" s="28">
        <v>2002.0</v>
      </c>
      <c r="O257" s="31">
        <v>8.0</v>
      </c>
      <c r="P257" s="28">
        <v>1.0</v>
      </c>
      <c r="Q257" s="32">
        <v>1.0</v>
      </c>
      <c r="R257" s="33"/>
      <c r="S257" s="40"/>
      <c r="T257" s="40"/>
      <c r="U257" s="40"/>
      <c r="V257" s="40"/>
      <c r="W257" s="40"/>
      <c r="X257" s="40"/>
      <c r="Y257" s="45"/>
      <c r="Z257" s="45"/>
      <c r="AA257" s="45"/>
      <c r="AB257" s="45"/>
      <c r="AC257" s="45"/>
      <c r="AD257" s="45"/>
      <c r="AE257" s="45"/>
      <c r="AF257" s="45"/>
      <c r="AG257" s="45"/>
      <c r="AH257" s="45"/>
      <c r="AI257" s="45"/>
      <c r="AJ257" s="45"/>
      <c r="AK257" s="45"/>
      <c r="AL257" s="45"/>
    </row>
    <row r="258" ht="15.75" customHeight="1">
      <c r="A258" s="27">
        <f t="shared" si="2"/>
        <v>248</v>
      </c>
      <c r="B258" s="31" t="s">
        <v>994</v>
      </c>
      <c r="C258" s="29" t="s">
        <v>995</v>
      </c>
      <c r="D258" s="39" t="s">
        <v>996</v>
      </c>
      <c r="E258" s="28" t="s">
        <v>28</v>
      </c>
      <c r="F258" s="28" t="s">
        <v>29</v>
      </c>
      <c r="G258" s="28" t="s">
        <v>37</v>
      </c>
      <c r="H258" s="28"/>
      <c r="I258" s="28" t="s">
        <v>38</v>
      </c>
      <c r="J258" s="31">
        <v>288.0</v>
      </c>
      <c r="K258" s="28"/>
      <c r="L258" s="31" t="s">
        <v>997</v>
      </c>
      <c r="M258" s="28" t="s">
        <v>123</v>
      </c>
      <c r="N258" s="31">
        <v>1991.0</v>
      </c>
      <c r="O258" s="31">
        <v>9.0</v>
      </c>
      <c r="P258" s="28">
        <v>1.0</v>
      </c>
      <c r="Q258" s="32">
        <v>1.0</v>
      </c>
      <c r="R258" s="33"/>
      <c r="S258" s="40"/>
      <c r="T258" s="40"/>
      <c r="U258" s="40"/>
      <c r="V258" s="40"/>
      <c r="W258" s="40"/>
      <c r="X258" s="40"/>
      <c r="Y258" s="45"/>
      <c r="Z258" s="45"/>
      <c r="AA258" s="45"/>
      <c r="AB258" s="45"/>
      <c r="AC258" s="45"/>
      <c r="AD258" s="45"/>
      <c r="AE258" s="45"/>
      <c r="AF258" s="45"/>
      <c r="AG258" s="45"/>
      <c r="AH258" s="45"/>
      <c r="AI258" s="45"/>
      <c r="AJ258" s="45"/>
      <c r="AK258" s="45"/>
      <c r="AL258" s="45"/>
    </row>
    <row r="259" ht="15.75" customHeight="1">
      <c r="A259" s="27">
        <f t="shared" si="2"/>
        <v>249</v>
      </c>
      <c r="B259" s="28" t="s">
        <v>31</v>
      </c>
      <c r="C259" s="29" t="s">
        <v>998</v>
      </c>
      <c r="D259" s="30" t="s">
        <v>999</v>
      </c>
      <c r="E259" s="28" t="s">
        <v>28</v>
      </c>
      <c r="F259" s="28" t="s">
        <v>29</v>
      </c>
      <c r="G259" s="28" t="s">
        <v>38</v>
      </c>
      <c r="H259" s="28"/>
      <c r="I259" s="28" t="s">
        <v>38</v>
      </c>
      <c r="J259" s="28">
        <v>696.0</v>
      </c>
      <c r="K259" s="28"/>
      <c r="L259" s="28" t="s">
        <v>1000</v>
      </c>
      <c r="M259" s="28" t="s">
        <v>196</v>
      </c>
      <c r="N259" s="28">
        <v>1953.0</v>
      </c>
      <c r="O259" s="31">
        <v>9.0</v>
      </c>
      <c r="P259" s="28">
        <v>1.0</v>
      </c>
      <c r="Q259" s="37">
        <v>1.0</v>
      </c>
      <c r="R259" s="33"/>
      <c r="S259" s="40"/>
      <c r="T259" s="40"/>
      <c r="U259" s="40"/>
      <c r="V259" s="40"/>
      <c r="W259" s="40"/>
      <c r="X259" s="40"/>
      <c r="Y259" s="45"/>
      <c r="Z259" s="45"/>
      <c r="AA259" s="45"/>
      <c r="AB259" s="45"/>
      <c r="AC259" s="45"/>
      <c r="AD259" s="45"/>
      <c r="AE259" s="45"/>
      <c r="AF259" s="45"/>
      <c r="AG259" s="45"/>
      <c r="AH259" s="45"/>
      <c r="AI259" s="45"/>
      <c r="AJ259" s="45"/>
      <c r="AK259" s="45"/>
      <c r="AL259" s="45"/>
    </row>
    <row r="260" ht="15.75" customHeight="1">
      <c r="A260" s="27">
        <f t="shared" si="2"/>
        <v>250</v>
      </c>
      <c r="B260" s="28" t="s">
        <v>1001</v>
      </c>
      <c r="C260" s="29" t="s">
        <v>1002</v>
      </c>
      <c r="D260" s="30" t="s">
        <v>1003</v>
      </c>
      <c r="E260" s="28" t="s">
        <v>28</v>
      </c>
      <c r="F260" s="28" t="s">
        <v>29</v>
      </c>
      <c r="G260" s="28" t="s">
        <v>37</v>
      </c>
      <c r="H260" s="28" t="s">
        <v>37</v>
      </c>
      <c r="I260" s="28" t="s">
        <v>38</v>
      </c>
      <c r="J260" s="28">
        <v>784.0</v>
      </c>
      <c r="K260" s="28"/>
      <c r="L260" s="28" t="s">
        <v>1004</v>
      </c>
      <c r="M260" s="28" t="s">
        <v>382</v>
      </c>
      <c r="N260" s="28">
        <v>2014.0</v>
      </c>
      <c r="O260" s="31">
        <v>8.0</v>
      </c>
      <c r="P260" s="28">
        <v>1.0</v>
      </c>
      <c r="Q260" s="32">
        <v>1.0</v>
      </c>
      <c r="R260" s="33"/>
      <c r="S260" s="34"/>
      <c r="T260" s="34"/>
      <c r="U260" s="34"/>
      <c r="V260" s="34"/>
      <c r="W260" s="34"/>
      <c r="X260" s="34"/>
      <c r="Y260" s="45"/>
      <c r="Z260" s="45"/>
      <c r="AA260" s="45"/>
      <c r="AB260" s="45"/>
      <c r="AC260" s="45"/>
      <c r="AD260" s="45"/>
      <c r="AE260" s="45"/>
      <c r="AF260" s="45"/>
      <c r="AG260" s="45"/>
      <c r="AH260" s="45"/>
      <c r="AI260" s="45"/>
      <c r="AJ260" s="45"/>
      <c r="AK260" s="45"/>
      <c r="AL260" s="45"/>
    </row>
    <row r="261" ht="15.75" customHeight="1">
      <c r="A261" s="27">
        <f t="shared" si="2"/>
        <v>251</v>
      </c>
      <c r="B261" s="28" t="s">
        <v>1005</v>
      </c>
      <c r="C261" s="29" t="s">
        <v>1006</v>
      </c>
      <c r="D261" s="39" t="s">
        <v>1007</v>
      </c>
      <c r="E261" s="28" t="s">
        <v>28</v>
      </c>
      <c r="F261" s="28" t="s">
        <v>29</v>
      </c>
      <c r="G261" s="28" t="s">
        <v>37</v>
      </c>
      <c r="H261" s="28"/>
      <c r="I261" s="28" t="s">
        <v>38</v>
      </c>
      <c r="J261" s="28">
        <f>138+10</f>
        <v>148</v>
      </c>
      <c r="K261" s="28"/>
      <c r="L261" s="31" t="s">
        <v>1008</v>
      </c>
      <c r="M261" s="28" t="s">
        <v>83</v>
      </c>
      <c r="N261" s="28">
        <v>1996.0</v>
      </c>
      <c r="O261" s="31">
        <v>8.0</v>
      </c>
      <c r="P261" s="28">
        <v>1.0</v>
      </c>
      <c r="Q261" s="32">
        <v>1.0</v>
      </c>
      <c r="R261" s="33"/>
      <c r="S261" s="34"/>
      <c r="T261" s="34"/>
      <c r="U261" s="34"/>
      <c r="V261" s="34"/>
      <c r="W261" s="34"/>
      <c r="X261" s="34"/>
      <c r="Y261" s="45"/>
      <c r="Z261" s="45"/>
      <c r="AA261" s="45"/>
      <c r="AB261" s="45"/>
      <c r="AC261" s="45"/>
      <c r="AD261" s="45"/>
      <c r="AE261" s="45"/>
      <c r="AF261" s="45"/>
      <c r="AG261" s="45"/>
      <c r="AH261" s="45"/>
      <c r="AI261" s="45"/>
      <c r="AJ261" s="45"/>
      <c r="AK261" s="45"/>
      <c r="AL261" s="45"/>
    </row>
    <row r="262" ht="15.75" customHeight="1">
      <c r="A262" s="27"/>
      <c r="B262" s="31" t="s">
        <v>31</v>
      </c>
      <c r="C262" s="29" t="s">
        <v>1009</v>
      </c>
      <c r="D262" s="39" t="s">
        <v>1010</v>
      </c>
      <c r="E262" s="28" t="s">
        <v>28</v>
      </c>
      <c r="F262" s="28" t="s">
        <v>29</v>
      </c>
      <c r="G262" s="28" t="s">
        <v>37</v>
      </c>
      <c r="H262" s="28"/>
      <c r="I262" s="28" t="s">
        <v>38</v>
      </c>
      <c r="J262" s="31">
        <v>127.0</v>
      </c>
      <c r="K262" s="28"/>
      <c r="L262" s="31" t="s">
        <v>1011</v>
      </c>
      <c r="M262" s="28" t="s">
        <v>83</v>
      </c>
      <c r="N262" s="31">
        <v>1965.0</v>
      </c>
      <c r="O262" s="31">
        <v>8.0</v>
      </c>
      <c r="P262" s="31">
        <v>1.0</v>
      </c>
      <c r="Q262" s="37">
        <v>1.0</v>
      </c>
      <c r="R262" s="33"/>
      <c r="S262" s="34"/>
      <c r="T262" s="34"/>
      <c r="U262" s="34"/>
      <c r="V262" s="34"/>
      <c r="W262" s="34"/>
      <c r="X262" s="34"/>
      <c r="Y262" s="45"/>
      <c r="Z262" s="45"/>
      <c r="AA262" s="45"/>
      <c r="AB262" s="45"/>
      <c r="AC262" s="45"/>
      <c r="AD262" s="45"/>
      <c r="AE262" s="45"/>
      <c r="AF262" s="45"/>
      <c r="AG262" s="45"/>
      <c r="AH262" s="45"/>
      <c r="AI262" s="45"/>
      <c r="AJ262" s="45"/>
      <c r="AK262" s="45"/>
      <c r="AL262" s="45"/>
    </row>
    <row r="263" ht="15.75" customHeight="1">
      <c r="A263" s="27">
        <f>A261+1</f>
        <v>252</v>
      </c>
      <c r="B263" s="28" t="s">
        <v>31</v>
      </c>
      <c r="C263" s="29" t="s">
        <v>1012</v>
      </c>
      <c r="D263" s="39" t="s">
        <v>1013</v>
      </c>
      <c r="E263" s="28" t="s">
        <v>28</v>
      </c>
      <c r="F263" s="28" t="s">
        <v>29</v>
      </c>
      <c r="G263" s="28" t="s">
        <v>37</v>
      </c>
      <c r="H263" s="28"/>
      <c r="I263" s="28" t="s">
        <v>38</v>
      </c>
      <c r="J263" s="28">
        <v>136.0</v>
      </c>
      <c r="K263" s="28"/>
      <c r="L263" s="28" t="s">
        <v>960</v>
      </c>
      <c r="M263" s="28" t="s">
        <v>816</v>
      </c>
      <c r="N263" s="28">
        <v>1962.0</v>
      </c>
      <c r="O263" s="31">
        <v>6.0</v>
      </c>
      <c r="P263" s="28">
        <v>1.0</v>
      </c>
      <c r="Q263" s="32">
        <v>1.0</v>
      </c>
      <c r="R263" s="33"/>
      <c r="S263" s="40"/>
      <c r="T263" s="40"/>
      <c r="U263" s="40"/>
      <c r="V263" s="40"/>
      <c r="W263" s="40"/>
      <c r="X263" s="40"/>
      <c r="Y263" s="45"/>
      <c r="Z263" s="45"/>
      <c r="AA263" s="45"/>
      <c r="AB263" s="45"/>
      <c r="AC263" s="45"/>
      <c r="AD263" s="45"/>
      <c r="AE263" s="45"/>
      <c r="AF263" s="45"/>
      <c r="AG263" s="45"/>
      <c r="AH263" s="45"/>
      <c r="AI263" s="45"/>
      <c r="AJ263" s="45"/>
      <c r="AK263" s="45"/>
      <c r="AL263" s="45"/>
    </row>
    <row r="264" ht="15.75" customHeight="1">
      <c r="A264" s="27">
        <f t="shared" ref="A264:A276" si="3">A263+1</f>
        <v>253</v>
      </c>
      <c r="B264" s="28" t="s">
        <v>1014</v>
      </c>
      <c r="C264" s="29" t="s">
        <v>1015</v>
      </c>
      <c r="D264" s="30" t="s">
        <v>1016</v>
      </c>
      <c r="E264" s="28" t="s">
        <v>28</v>
      </c>
      <c r="F264" s="28" t="s">
        <v>29</v>
      </c>
      <c r="G264" s="28" t="s">
        <v>37</v>
      </c>
      <c r="H264" s="28"/>
      <c r="I264" s="28" t="s">
        <v>38</v>
      </c>
      <c r="J264" s="28">
        <v>652.0</v>
      </c>
      <c r="K264" s="28"/>
      <c r="L264" s="28" t="s">
        <v>1017</v>
      </c>
      <c r="M264" s="28" t="s">
        <v>230</v>
      </c>
      <c r="N264" s="28">
        <v>1975.0</v>
      </c>
      <c r="O264" s="31">
        <v>7.0</v>
      </c>
      <c r="P264" s="28">
        <v>1.0</v>
      </c>
      <c r="Q264" s="37">
        <v>1.0</v>
      </c>
      <c r="R264" s="33"/>
      <c r="S264" s="34"/>
      <c r="T264" s="34"/>
      <c r="U264" s="34"/>
      <c r="V264" s="34"/>
      <c r="W264" s="34"/>
      <c r="X264" s="34"/>
      <c r="Y264" s="45"/>
      <c r="Z264" s="45"/>
      <c r="AA264" s="45"/>
      <c r="AB264" s="45"/>
      <c r="AC264" s="45"/>
      <c r="AD264" s="45"/>
      <c r="AE264" s="45"/>
      <c r="AF264" s="45"/>
      <c r="AG264" s="45"/>
      <c r="AH264" s="45"/>
      <c r="AI264" s="45"/>
      <c r="AJ264" s="45"/>
      <c r="AK264" s="45"/>
      <c r="AL264" s="45"/>
    </row>
    <row r="265" ht="15.75" customHeight="1">
      <c r="A265" s="27">
        <f t="shared" si="3"/>
        <v>254</v>
      </c>
      <c r="B265" s="28" t="s">
        <v>1018</v>
      </c>
      <c r="C265" s="29" t="s">
        <v>1019</v>
      </c>
      <c r="D265" s="39" t="s">
        <v>1020</v>
      </c>
      <c r="E265" s="28" t="s">
        <v>28</v>
      </c>
      <c r="F265" s="28" t="s">
        <v>29</v>
      </c>
      <c r="G265" s="28" t="s">
        <v>37</v>
      </c>
      <c r="H265" s="28"/>
      <c r="I265" s="28" t="s">
        <v>38</v>
      </c>
      <c r="J265" s="28">
        <v>291.0</v>
      </c>
      <c r="K265" s="28"/>
      <c r="L265" s="28" t="s">
        <v>1021</v>
      </c>
      <c r="M265" s="28" t="s">
        <v>219</v>
      </c>
      <c r="N265" s="28">
        <v>1943.0</v>
      </c>
      <c r="O265" s="31">
        <v>8.0</v>
      </c>
      <c r="P265" s="28">
        <v>1.0</v>
      </c>
      <c r="Q265" s="37">
        <v>1.0</v>
      </c>
      <c r="R265" s="33"/>
      <c r="S265" s="40"/>
      <c r="T265" s="40"/>
      <c r="U265" s="40"/>
      <c r="V265" s="40"/>
      <c r="W265" s="40"/>
      <c r="X265" s="40"/>
      <c r="Y265" s="45"/>
      <c r="Z265" s="45"/>
      <c r="AA265" s="45"/>
      <c r="AB265" s="45"/>
      <c r="AC265" s="45"/>
      <c r="AD265" s="45"/>
      <c r="AE265" s="45"/>
      <c r="AF265" s="45"/>
      <c r="AG265" s="45"/>
      <c r="AH265" s="45"/>
      <c r="AI265" s="45"/>
      <c r="AJ265" s="45"/>
      <c r="AK265" s="45"/>
      <c r="AL265" s="45"/>
    </row>
    <row r="266" ht="15.75" customHeight="1">
      <c r="A266" s="27">
        <f t="shared" si="3"/>
        <v>255</v>
      </c>
      <c r="B266" s="28" t="s">
        <v>1022</v>
      </c>
      <c r="C266" s="29" t="s">
        <v>1023</v>
      </c>
      <c r="D266" s="39" t="s">
        <v>1024</v>
      </c>
      <c r="E266" s="28" t="s">
        <v>28</v>
      </c>
      <c r="F266" s="28" t="s">
        <v>29</v>
      </c>
      <c r="G266" s="28" t="s">
        <v>386</v>
      </c>
      <c r="H266" s="28"/>
      <c r="I266" s="28" t="s">
        <v>30</v>
      </c>
      <c r="J266" s="28">
        <v>400.0</v>
      </c>
      <c r="K266" s="28"/>
      <c r="L266" s="28" t="s">
        <v>780</v>
      </c>
      <c r="M266" s="28" t="s">
        <v>169</v>
      </c>
      <c r="N266" s="28">
        <v>2011.0</v>
      </c>
      <c r="O266" s="31">
        <v>8.0</v>
      </c>
      <c r="P266" s="28">
        <v>1.0</v>
      </c>
      <c r="Q266" s="32">
        <v>1.0</v>
      </c>
      <c r="R266" s="33"/>
      <c r="S266" s="34"/>
      <c r="T266" s="34"/>
      <c r="U266" s="34"/>
      <c r="V266" s="34"/>
      <c r="W266" s="34"/>
      <c r="X266" s="34"/>
      <c r="Y266" s="45"/>
      <c r="Z266" s="45"/>
      <c r="AA266" s="45"/>
      <c r="AB266" s="45"/>
      <c r="AC266" s="45"/>
      <c r="AD266" s="45"/>
      <c r="AE266" s="45"/>
      <c r="AF266" s="45"/>
      <c r="AG266" s="45"/>
      <c r="AH266" s="45"/>
      <c r="AI266" s="45"/>
      <c r="AJ266" s="45"/>
      <c r="AK266" s="45"/>
      <c r="AL266" s="45"/>
    </row>
    <row r="267" ht="15.75" customHeight="1">
      <c r="A267" s="27">
        <f t="shared" si="3"/>
        <v>256</v>
      </c>
      <c r="B267" s="28" t="s">
        <v>1025</v>
      </c>
      <c r="C267" s="29" t="s">
        <v>1026</v>
      </c>
      <c r="D267" s="39" t="s">
        <v>1027</v>
      </c>
      <c r="E267" s="28" t="s">
        <v>28</v>
      </c>
      <c r="F267" s="28" t="s">
        <v>29</v>
      </c>
      <c r="G267" s="28" t="s">
        <v>234</v>
      </c>
      <c r="H267" s="28"/>
      <c r="I267" s="28" t="s">
        <v>38</v>
      </c>
      <c r="J267" s="28">
        <v>454.0</v>
      </c>
      <c r="K267" s="28"/>
      <c r="L267" s="28" t="s">
        <v>1028</v>
      </c>
      <c r="M267" s="28" t="s">
        <v>236</v>
      </c>
      <c r="N267" s="28">
        <v>1989.0</v>
      </c>
      <c r="O267" s="31">
        <v>7.0</v>
      </c>
      <c r="P267" s="28">
        <v>1.0</v>
      </c>
      <c r="Q267" s="37">
        <v>1.0</v>
      </c>
      <c r="R267" s="33"/>
      <c r="S267" s="40"/>
      <c r="T267" s="40"/>
      <c r="U267" s="40"/>
      <c r="V267" s="40"/>
      <c r="W267" s="40"/>
      <c r="X267" s="40"/>
      <c r="Y267" s="45"/>
      <c r="Z267" s="45"/>
      <c r="AA267" s="45"/>
      <c r="AB267" s="45"/>
      <c r="AC267" s="45"/>
      <c r="AD267" s="45"/>
      <c r="AE267" s="45"/>
      <c r="AF267" s="45"/>
      <c r="AG267" s="45"/>
      <c r="AH267" s="45"/>
      <c r="AI267" s="45"/>
      <c r="AJ267" s="45"/>
      <c r="AK267" s="45"/>
      <c r="AL267" s="45"/>
    </row>
    <row r="268" ht="15.75" customHeight="1">
      <c r="A268" s="27">
        <f t="shared" si="3"/>
        <v>257</v>
      </c>
      <c r="B268" s="31" t="s">
        <v>1029</v>
      </c>
      <c r="C268" s="29" t="s">
        <v>1030</v>
      </c>
      <c r="D268" s="39" t="s">
        <v>1031</v>
      </c>
      <c r="E268" s="31" t="s">
        <v>28</v>
      </c>
      <c r="F268" s="31" t="s">
        <v>29</v>
      </c>
      <c r="G268" s="31" t="s">
        <v>1032</v>
      </c>
      <c r="H268" s="28"/>
      <c r="I268" s="31" t="s">
        <v>38</v>
      </c>
      <c r="J268" s="31">
        <v>594.0</v>
      </c>
      <c r="K268" s="28"/>
      <c r="L268" s="31" t="s">
        <v>1033</v>
      </c>
      <c r="M268" s="28" t="s">
        <v>236</v>
      </c>
      <c r="N268" s="31">
        <v>2001.0</v>
      </c>
      <c r="O268" s="31">
        <v>7.0</v>
      </c>
      <c r="P268" s="31">
        <v>1.0</v>
      </c>
      <c r="Q268" s="37">
        <v>1.0</v>
      </c>
      <c r="R268" s="33"/>
      <c r="S268" s="40"/>
      <c r="T268" s="40"/>
      <c r="U268" s="40"/>
      <c r="V268" s="40"/>
      <c r="W268" s="40"/>
      <c r="X268" s="40"/>
      <c r="Y268" s="45"/>
      <c r="Z268" s="45"/>
      <c r="AA268" s="45"/>
      <c r="AB268" s="45"/>
      <c r="AC268" s="45"/>
      <c r="AD268" s="45"/>
      <c r="AE268" s="45"/>
      <c r="AF268" s="45"/>
      <c r="AG268" s="45"/>
      <c r="AH268" s="45"/>
      <c r="AI268" s="45"/>
      <c r="AJ268" s="45"/>
      <c r="AK268" s="45"/>
      <c r="AL268" s="45"/>
    </row>
    <row r="269" ht="15.75" customHeight="1">
      <c r="A269" s="27">
        <f t="shared" si="3"/>
        <v>258</v>
      </c>
      <c r="B269" s="28" t="s">
        <v>31</v>
      </c>
      <c r="C269" s="29" t="s">
        <v>1034</v>
      </c>
      <c r="D269" s="39" t="s">
        <v>1035</v>
      </c>
      <c r="E269" s="28" t="s">
        <v>28</v>
      </c>
      <c r="F269" s="28" t="s">
        <v>29</v>
      </c>
      <c r="G269" s="28" t="s">
        <v>37</v>
      </c>
      <c r="H269" s="28"/>
      <c r="I269" s="28" t="s">
        <v>38</v>
      </c>
      <c r="J269" s="28">
        <v>317.0</v>
      </c>
      <c r="K269" s="28"/>
      <c r="L269" s="28" t="s">
        <v>1036</v>
      </c>
      <c r="M269" s="31" t="s">
        <v>213</v>
      </c>
      <c r="N269" s="28">
        <v>1955.0</v>
      </c>
      <c r="O269" s="31">
        <v>7.0</v>
      </c>
      <c r="P269" s="28">
        <v>1.0</v>
      </c>
      <c r="Q269" s="37">
        <v>1.0</v>
      </c>
      <c r="R269" s="33"/>
      <c r="S269" s="40"/>
      <c r="T269" s="40"/>
      <c r="U269" s="40"/>
      <c r="V269" s="40"/>
      <c r="W269" s="40"/>
      <c r="X269" s="40"/>
      <c r="Y269" s="45"/>
      <c r="Z269" s="45"/>
      <c r="AA269" s="45"/>
      <c r="AB269" s="45"/>
      <c r="AC269" s="45"/>
      <c r="AD269" s="45"/>
      <c r="AE269" s="45"/>
      <c r="AF269" s="45"/>
      <c r="AG269" s="45"/>
      <c r="AH269" s="45"/>
      <c r="AI269" s="45"/>
      <c r="AJ269" s="45"/>
      <c r="AK269" s="45"/>
      <c r="AL269" s="45"/>
    </row>
    <row r="270" ht="15.75" customHeight="1">
      <c r="A270" s="27">
        <f t="shared" si="3"/>
        <v>259</v>
      </c>
      <c r="B270" s="28" t="s">
        <v>1037</v>
      </c>
      <c r="C270" s="29" t="s">
        <v>1038</v>
      </c>
      <c r="D270" s="39" t="s">
        <v>1039</v>
      </c>
      <c r="E270" s="28" t="s">
        <v>28</v>
      </c>
      <c r="F270" s="28" t="s">
        <v>29</v>
      </c>
      <c r="G270" s="28" t="s">
        <v>30</v>
      </c>
      <c r="H270" s="28"/>
      <c r="I270" s="28" t="s">
        <v>30</v>
      </c>
      <c r="J270" s="28">
        <v>519.0</v>
      </c>
      <c r="K270" s="28"/>
      <c r="L270" s="28" t="s">
        <v>615</v>
      </c>
      <c r="M270" s="28" t="s">
        <v>1040</v>
      </c>
      <c r="N270" s="28">
        <v>2015.0</v>
      </c>
      <c r="O270" s="28" t="s">
        <v>388</v>
      </c>
      <c r="P270" s="28">
        <v>1.0</v>
      </c>
      <c r="Q270" s="32">
        <v>1.0</v>
      </c>
      <c r="R270" s="33"/>
      <c r="S270" s="40"/>
      <c r="T270" s="40"/>
      <c r="U270" s="40"/>
      <c r="V270" s="40"/>
      <c r="W270" s="40"/>
      <c r="X270" s="40"/>
      <c r="Y270" s="45"/>
      <c r="Z270" s="45"/>
      <c r="AA270" s="45"/>
      <c r="AB270" s="45"/>
      <c r="AC270" s="45"/>
      <c r="AD270" s="45"/>
      <c r="AE270" s="45"/>
      <c r="AF270" s="45"/>
      <c r="AG270" s="45"/>
      <c r="AH270" s="45"/>
      <c r="AI270" s="45"/>
      <c r="AJ270" s="45"/>
      <c r="AK270" s="45"/>
      <c r="AL270" s="45"/>
    </row>
    <row r="271" ht="15.75" customHeight="1">
      <c r="A271" s="27">
        <f t="shared" si="3"/>
        <v>260</v>
      </c>
      <c r="B271" s="31" t="s">
        <v>1041</v>
      </c>
      <c r="C271" s="29" t="s">
        <v>1042</v>
      </c>
      <c r="D271" s="39" t="s">
        <v>1043</v>
      </c>
      <c r="E271" s="28" t="s">
        <v>28</v>
      </c>
      <c r="F271" s="28" t="s">
        <v>29</v>
      </c>
      <c r="G271" s="28" t="s">
        <v>37</v>
      </c>
      <c r="H271" s="28"/>
      <c r="I271" s="28" t="s">
        <v>38</v>
      </c>
      <c r="J271" s="31">
        <v>550.0</v>
      </c>
      <c r="K271" s="28"/>
      <c r="L271" s="28" t="s">
        <v>979</v>
      </c>
      <c r="M271" s="28" t="s">
        <v>49</v>
      </c>
      <c r="N271" s="28">
        <v>2002.0</v>
      </c>
      <c r="O271" s="31">
        <v>7.0</v>
      </c>
      <c r="P271" s="28">
        <v>1.0</v>
      </c>
      <c r="Q271" s="32">
        <v>1.0</v>
      </c>
      <c r="R271" s="33"/>
      <c r="S271" s="40"/>
      <c r="T271" s="40"/>
      <c r="U271" s="40"/>
      <c r="V271" s="40"/>
      <c r="W271" s="40"/>
      <c r="X271" s="40"/>
      <c r="Y271" s="45"/>
      <c r="Z271" s="45"/>
      <c r="AA271" s="45"/>
      <c r="AB271" s="45"/>
      <c r="AC271" s="45"/>
      <c r="AD271" s="45"/>
      <c r="AE271" s="45"/>
      <c r="AF271" s="45"/>
      <c r="AG271" s="45"/>
      <c r="AH271" s="45"/>
      <c r="AI271" s="45"/>
      <c r="AJ271" s="45"/>
      <c r="AK271" s="45"/>
      <c r="AL271" s="45"/>
    </row>
    <row r="272" ht="15.75" customHeight="1">
      <c r="A272" s="27">
        <f t="shared" si="3"/>
        <v>261</v>
      </c>
      <c r="B272" s="28" t="s">
        <v>1044</v>
      </c>
      <c r="C272" s="29" t="s">
        <v>1045</v>
      </c>
      <c r="D272" s="39" t="s">
        <v>1046</v>
      </c>
      <c r="E272" s="28" t="s">
        <v>28</v>
      </c>
      <c r="F272" s="28" t="s">
        <v>29</v>
      </c>
      <c r="G272" s="28" t="s">
        <v>37</v>
      </c>
      <c r="H272" s="28"/>
      <c r="I272" s="28" t="s">
        <v>38</v>
      </c>
      <c r="J272" s="28">
        <v>464.0</v>
      </c>
      <c r="K272" s="28"/>
      <c r="L272" s="31" t="s">
        <v>1047</v>
      </c>
      <c r="M272" s="28" t="s">
        <v>291</v>
      </c>
      <c r="N272" s="28">
        <v>2002.0</v>
      </c>
      <c r="O272" s="31">
        <v>8.0</v>
      </c>
      <c r="P272" s="28">
        <v>1.0</v>
      </c>
      <c r="Q272" s="32">
        <v>1.0</v>
      </c>
      <c r="R272" s="33"/>
      <c r="S272" s="34"/>
      <c r="T272" s="34"/>
      <c r="U272" s="34"/>
      <c r="V272" s="34"/>
      <c r="W272" s="34"/>
      <c r="X272" s="34"/>
      <c r="Y272" s="45"/>
      <c r="Z272" s="45"/>
      <c r="AA272" s="45"/>
      <c r="AB272" s="45"/>
      <c r="AC272" s="45"/>
      <c r="AD272" s="45"/>
      <c r="AE272" s="45"/>
      <c r="AF272" s="45"/>
      <c r="AG272" s="45"/>
      <c r="AH272" s="45"/>
      <c r="AI272" s="45"/>
      <c r="AJ272" s="45"/>
      <c r="AK272" s="45"/>
      <c r="AL272" s="45"/>
    </row>
    <row r="273" ht="15.75" customHeight="1">
      <c r="A273" s="27">
        <f t="shared" si="3"/>
        <v>262</v>
      </c>
      <c r="B273" s="28" t="s">
        <v>1048</v>
      </c>
      <c r="C273" s="29" t="s">
        <v>1049</v>
      </c>
      <c r="D273" s="30" t="s">
        <v>1050</v>
      </c>
      <c r="E273" s="28" t="s">
        <v>28</v>
      </c>
      <c r="F273" s="28" t="s">
        <v>29</v>
      </c>
      <c r="G273" s="28" t="s">
        <v>37</v>
      </c>
      <c r="H273" s="28"/>
      <c r="I273" s="28" t="s">
        <v>38</v>
      </c>
      <c r="J273" s="28">
        <v>263.0</v>
      </c>
      <c r="K273" s="28"/>
      <c r="L273" s="31" t="s">
        <v>1051</v>
      </c>
      <c r="M273" s="28" t="s">
        <v>250</v>
      </c>
      <c r="N273" s="28">
        <v>1987.0</v>
      </c>
      <c r="O273" s="31">
        <v>8.0</v>
      </c>
      <c r="P273" s="28">
        <v>1.0</v>
      </c>
      <c r="Q273" s="32">
        <v>1.0</v>
      </c>
      <c r="R273" s="33"/>
      <c r="S273" s="40"/>
      <c r="T273" s="40"/>
      <c r="U273" s="40"/>
      <c r="V273" s="40"/>
      <c r="W273" s="40"/>
      <c r="X273" s="40"/>
      <c r="Y273" s="45"/>
      <c r="Z273" s="45"/>
      <c r="AA273" s="45"/>
      <c r="AB273" s="45"/>
      <c r="AC273" s="45"/>
      <c r="AD273" s="45"/>
      <c r="AE273" s="45"/>
      <c r="AF273" s="45"/>
      <c r="AG273" s="45"/>
      <c r="AH273" s="45"/>
      <c r="AI273" s="45"/>
      <c r="AJ273" s="45"/>
      <c r="AK273" s="45"/>
      <c r="AL273" s="45"/>
    </row>
    <row r="274" ht="15.75" customHeight="1">
      <c r="A274" s="27">
        <f t="shared" si="3"/>
        <v>263</v>
      </c>
      <c r="B274" s="28" t="s">
        <v>1052</v>
      </c>
      <c r="C274" s="29" t="s">
        <v>1053</v>
      </c>
      <c r="D274" s="39" t="s">
        <v>1054</v>
      </c>
      <c r="E274" s="28" t="s">
        <v>28</v>
      </c>
      <c r="F274" s="28" t="s">
        <v>29</v>
      </c>
      <c r="G274" s="28" t="s">
        <v>37</v>
      </c>
      <c r="H274" s="28"/>
      <c r="I274" s="28" t="s">
        <v>38</v>
      </c>
      <c r="J274" s="28">
        <v>894.0</v>
      </c>
      <c r="K274" s="28"/>
      <c r="L274" s="28" t="s">
        <v>1055</v>
      </c>
      <c r="M274" s="28" t="s">
        <v>178</v>
      </c>
      <c r="N274" s="28">
        <v>2007.0</v>
      </c>
      <c r="O274" s="31">
        <v>8.0</v>
      </c>
      <c r="P274" s="28">
        <v>1.0</v>
      </c>
      <c r="Q274" s="32">
        <v>1.0</v>
      </c>
      <c r="R274" s="33"/>
      <c r="S274" s="34"/>
      <c r="T274" s="34"/>
      <c r="U274" s="34"/>
      <c r="V274" s="34"/>
      <c r="W274" s="34"/>
      <c r="X274" s="34"/>
      <c r="Y274" s="45"/>
      <c r="Z274" s="45"/>
      <c r="AA274" s="45"/>
      <c r="AB274" s="45"/>
      <c r="AC274" s="45"/>
      <c r="AD274" s="45"/>
      <c r="AE274" s="45"/>
      <c r="AF274" s="45"/>
      <c r="AG274" s="45"/>
      <c r="AH274" s="45"/>
      <c r="AI274" s="45"/>
      <c r="AJ274" s="45"/>
      <c r="AK274" s="45"/>
      <c r="AL274" s="45"/>
    </row>
    <row r="275" ht="15.75" customHeight="1">
      <c r="A275" s="27">
        <f t="shared" si="3"/>
        <v>264</v>
      </c>
      <c r="B275" s="28" t="s">
        <v>1056</v>
      </c>
      <c r="C275" s="29" t="s">
        <v>1057</v>
      </c>
      <c r="D275" s="39" t="s">
        <v>1058</v>
      </c>
      <c r="E275" s="28" t="s">
        <v>223</v>
      </c>
      <c r="F275" s="28" t="s">
        <v>29</v>
      </c>
      <c r="G275" s="28" t="s">
        <v>37</v>
      </c>
      <c r="H275" s="28"/>
      <c r="I275" s="28" t="s">
        <v>38</v>
      </c>
      <c r="J275" s="31">
        <v>236.0</v>
      </c>
      <c r="K275" s="28"/>
      <c r="L275" s="28" t="s">
        <v>619</v>
      </c>
      <c r="M275" s="28" t="s">
        <v>54</v>
      </c>
      <c r="N275" s="28">
        <v>1981.0</v>
      </c>
      <c r="O275" s="31">
        <v>7.0</v>
      </c>
      <c r="P275" s="31">
        <v>7.0</v>
      </c>
      <c r="Q275" s="37">
        <v>7.0</v>
      </c>
      <c r="R275" s="33"/>
      <c r="S275" s="40"/>
      <c r="T275" s="40"/>
      <c r="U275" s="40"/>
      <c r="V275" s="40"/>
      <c r="W275" s="40"/>
      <c r="X275" s="40"/>
      <c r="Y275" s="45"/>
      <c r="Z275" s="45"/>
      <c r="AA275" s="45"/>
      <c r="AB275" s="45"/>
      <c r="AC275" s="45"/>
      <c r="AD275" s="45"/>
      <c r="AE275" s="45"/>
      <c r="AF275" s="45"/>
      <c r="AG275" s="45"/>
      <c r="AH275" s="45"/>
      <c r="AI275" s="45"/>
      <c r="AJ275" s="45"/>
      <c r="AK275" s="45"/>
      <c r="AL275" s="45"/>
    </row>
    <row r="276" ht="15.75" customHeight="1">
      <c r="A276" s="27">
        <f t="shared" si="3"/>
        <v>265</v>
      </c>
      <c r="B276" s="28" t="s">
        <v>1059</v>
      </c>
      <c r="C276" s="29" t="s">
        <v>1057</v>
      </c>
      <c r="D276" s="39" t="s">
        <v>1060</v>
      </c>
      <c r="E276" s="28" t="s">
        <v>223</v>
      </c>
      <c r="F276" s="28" t="s">
        <v>29</v>
      </c>
      <c r="G276" s="28" t="s">
        <v>37</v>
      </c>
      <c r="H276" s="28"/>
      <c r="I276" s="28" t="s">
        <v>30</v>
      </c>
      <c r="J276" s="31">
        <v>534.0</v>
      </c>
      <c r="K276" s="28"/>
      <c r="L276" s="31" t="s">
        <v>224</v>
      </c>
      <c r="M276" s="28" t="s">
        <v>54</v>
      </c>
      <c r="N276" s="28">
        <v>1961.0</v>
      </c>
      <c r="O276" s="31" t="s">
        <v>225</v>
      </c>
      <c r="P276" s="31">
        <v>2.0</v>
      </c>
      <c r="Q276" s="37">
        <v>2.0</v>
      </c>
      <c r="R276" s="33"/>
      <c r="S276" s="34"/>
      <c r="T276" s="34"/>
      <c r="U276" s="34"/>
      <c r="V276" s="34"/>
      <c r="W276" s="34"/>
      <c r="X276" s="34"/>
      <c r="Y276" s="45"/>
      <c r="Z276" s="45"/>
      <c r="AA276" s="45"/>
      <c r="AB276" s="45"/>
      <c r="AC276" s="45"/>
      <c r="AD276" s="45"/>
      <c r="AE276" s="45"/>
      <c r="AF276" s="45"/>
      <c r="AG276" s="45"/>
      <c r="AH276" s="45"/>
      <c r="AI276" s="45"/>
      <c r="AJ276" s="45"/>
      <c r="AK276" s="45"/>
      <c r="AL276" s="45"/>
    </row>
    <row r="277" ht="15.75" customHeight="1">
      <c r="A277" s="27"/>
      <c r="B277" s="31" t="s">
        <v>1059</v>
      </c>
      <c r="C277" s="29" t="s">
        <v>1057</v>
      </c>
      <c r="D277" s="39" t="s">
        <v>1061</v>
      </c>
      <c r="E277" s="28" t="s">
        <v>223</v>
      </c>
      <c r="F277" s="28" t="s">
        <v>29</v>
      </c>
      <c r="G277" s="28" t="s">
        <v>37</v>
      </c>
      <c r="H277" s="28"/>
      <c r="I277" s="28" t="s">
        <v>30</v>
      </c>
      <c r="J277" s="31">
        <v>534.0</v>
      </c>
      <c r="K277" s="28"/>
      <c r="L277" s="31" t="s">
        <v>224</v>
      </c>
      <c r="M277" s="28" t="s">
        <v>54</v>
      </c>
      <c r="N277" s="28">
        <v>1961.0</v>
      </c>
      <c r="O277" s="31" t="s">
        <v>225</v>
      </c>
      <c r="P277" s="31">
        <v>4.0</v>
      </c>
      <c r="Q277" s="37">
        <v>4.0</v>
      </c>
      <c r="R277" s="33"/>
      <c r="S277" s="40"/>
      <c r="T277" s="40"/>
      <c r="U277" s="40"/>
      <c r="V277" s="40"/>
      <c r="W277" s="40"/>
      <c r="X277" s="40"/>
      <c r="Y277" s="45"/>
      <c r="Z277" s="45"/>
      <c r="AA277" s="45"/>
      <c r="AB277" s="45"/>
      <c r="AC277" s="45"/>
      <c r="AD277" s="45"/>
      <c r="AE277" s="45"/>
      <c r="AF277" s="45"/>
      <c r="AG277" s="45"/>
      <c r="AH277" s="45"/>
      <c r="AI277" s="45"/>
      <c r="AJ277" s="45"/>
      <c r="AK277" s="45"/>
      <c r="AL277" s="45"/>
    </row>
    <row r="278" ht="15.75" customHeight="1">
      <c r="A278" s="27">
        <f>A276+1</f>
        <v>266</v>
      </c>
      <c r="B278" s="28" t="s">
        <v>1062</v>
      </c>
      <c r="C278" s="29" t="s">
        <v>1063</v>
      </c>
      <c r="D278" s="30" t="s">
        <v>1064</v>
      </c>
      <c r="E278" s="43" t="s">
        <v>302</v>
      </c>
      <c r="F278" s="28" t="s">
        <v>29</v>
      </c>
      <c r="G278" s="28" t="s">
        <v>30</v>
      </c>
      <c r="H278" s="28"/>
      <c r="I278" s="28" t="s">
        <v>30</v>
      </c>
      <c r="J278" s="28">
        <v>625.0</v>
      </c>
      <c r="K278" s="28"/>
      <c r="L278" s="28" t="s">
        <v>303</v>
      </c>
      <c r="M278" s="28" t="s">
        <v>151</v>
      </c>
      <c r="N278" s="28">
        <v>2015.0</v>
      </c>
      <c r="O278" s="31">
        <v>8.0</v>
      </c>
      <c r="P278" s="28">
        <v>1.0</v>
      </c>
      <c r="Q278" s="32">
        <v>1.0</v>
      </c>
      <c r="R278" s="73">
        <v>1.0</v>
      </c>
      <c r="S278" s="34"/>
      <c r="T278" s="34"/>
      <c r="U278" s="34"/>
      <c r="V278" s="34"/>
      <c r="W278" s="34"/>
      <c r="X278" s="34"/>
      <c r="Y278" s="45"/>
      <c r="Z278" s="45"/>
      <c r="AA278" s="45"/>
      <c r="AB278" s="45"/>
      <c r="AC278" s="45"/>
      <c r="AD278" s="45"/>
      <c r="AE278" s="45"/>
      <c r="AF278" s="45"/>
      <c r="AG278" s="45"/>
      <c r="AH278" s="45"/>
      <c r="AI278" s="45"/>
      <c r="AJ278" s="45"/>
      <c r="AK278" s="45"/>
      <c r="AL278" s="45"/>
    </row>
    <row r="279" ht="15.75" customHeight="1">
      <c r="A279" s="27">
        <f t="shared" ref="A279:A298" si="4">A278+1</f>
        <v>267</v>
      </c>
      <c r="B279" s="28" t="s">
        <v>1065</v>
      </c>
      <c r="C279" s="29" t="s">
        <v>1066</v>
      </c>
      <c r="D279" s="30" t="s">
        <v>1067</v>
      </c>
      <c r="E279" s="28" t="s">
        <v>28</v>
      </c>
      <c r="F279" s="28" t="s">
        <v>29</v>
      </c>
      <c r="G279" s="28" t="s">
        <v>38</v>
      </c>
      <c r="H279" s="28"/>
      <c r="I279" s="28" t="s">
        <v>38</v>
      </c>
      <c r="J279" s="28">
        <v>366.0</v>
      </c>
      <c r="K279" s="28"/>
      <c r="L279" s="28" t="s">
        <v>1068</v>
      </c>
      <c r="M279" s="28" t="s">
        <v>230</v>
      </c>
      <c r="N279" s="28">
        <v>1976.0</v>
      </c>
      <c r="O279" s="31">
        <v>9.0</v>
      </c>
      <c r="P279" s="28">
        <v>1.0</v>
      </c>
      <c r="Q279" s="32">
        <v>1.0</v>
      </c>
      <c r="R279" s="33"/>
      <c r="S279" s="40"/>
      <c r="T279" s="40"/>
      <c r="U279" s="40"/>
      <c r="V279" s="40"/>
      <c r="W279" s="40"/>
      <c r="X279" s="40"/>
      <c r="Y279" s="45"/>
      <c r="Z279" s="45"/>
      <c r="AA279" s="45"/>
      <c r="AB279" s="45"/>
      <c r="AC279" s="45"/>
      <c r="AD279" s="45"/>
      <c r="AE279" s="45"/>
      <c r="AF279" s="45"/>
      <c r="AG279" s="45"/>
      <c r="AH279" s="45"/>
      <c r="AI279" s="45"/>
      <c r="AJ279" s="45"/>
      <c r="AK279" s="45"/>
      <c r="AL279" s="45"/>
    </row>
    <row r="280" ht="15.75" customHeight="1">
      <c r="A280" s="27">
        <f t="shared" si="4"/>
        <v>268</v>
      </c>
      <c r="B280" s="28" t="s">
        <v>31</v>
      </c>
      <c r="C280" s="29" t="s">
        <v>1069</v>
      </c>
      <c r="D280" s="39" t="s">
        <v>1070</v>
      </c>
      <c r="E280" s="28" t="s">
        <v>28</v>
      </c>
      <c r="F280" s="28" t="s">
        <v>29</v>
      </c>
      <c r="G280" s="28" t="s">
        <v>37</v>
      </c>
      <c r="H280" s="28"/>
      <c r="I280" s="28" t="s">
        <v>38</v>
      </c>
      <c r="J280" s="28">
        <v>917.0</v>
      </c>
      <c r="K280" s="28"/>
      <c r="L280" s="31" t="s">
        <v>355</v>
      </c>
      <c r="M280" s="28" t="s">
        <v>356</v>
      </c>
      <c r="N280" s="28">
        <v>1951.0</v>
      </c>
      <c r="O280" s="31">
        <v>8.0</v>
      </c>
      <c r="P280" s="28">
        <v>1.0</v>
      </c>
      <c r="Q280" s="32">
        <v>1.0</v>
      </c>
      <c r="R280" s="33"/>
      <c r="S280" s="40"/>
      <c r="T280" s="40"/>
      <c r="U280" s="40"/>
      <c r="V280" s="40"/>
      <c r="W280" s="40"/>
      <c r="X280" s="40"/>
      <c r="Y280" s="45"/>
      <c r="Z280" s="45"/>
      <c r="AA280" s="45"/>
      <c r="AB280" s="45"/>
      <c r="AC280" s="45"/>
      <c r="AD280" s="45"/>
      <c r="AE280" s="45"/>
      <c r="AF280" s="45"/>
      <c r="AG280" s="45"/>
      <c r="AH280" s="45"/>
      <c r="AI280" s="45"/>
      <c r="AJ280" s="45"/>
      <c r="AK280" s="45"/>
      <c r="AL280" s="45"/>
    </row>
    <row r="281" ht="15.75" customHeight="1">
      <c r="A281" s="27">
        <f t="shared" si="4"/>
        <v>269</v>
      </c>
      <c r="B281" s="28" t="s">
        <v>1071</v>
      </c>
      <c r="C281" s="29" t="s">
        <v>1072</v>
      </c>
      <c r="D281" s="39" t="s">
        <v>1073</v>
      </c>
      <c r="E281" s="28" t="s">
        <v>223</v>
      </c>
      <c r="F281" s="28" t="s">
        <v>29</v>
      </c>
      <c r="G281" s="28" t="s">
        <v>37</v>
      </c>
      <c r="H281" s="28"/>
      <c r="I281" s="28" t="s">
        <v>38</v>
      </c>
      <c r="J281" s="31">
        <v>939.0</v>
      </c>
      <c r="K281" s="28"/>
      <c r="L281" s="31" t="s">
        <v>686</v>
      </c>
      <c r="M281" s="28" t="s">
        <v>54</v>
      </c>
      <c r="N281" s="28">
        <v>1988.0</v>
      </c>
      <c r="O281" s="31" t="s">
        <v>225</v>
      </c>
      <c r="P281" s="31">
        <v>2.0</v>
      </c>
      <c r="Q281" s="37">
        <v>2.0</v>
      </c>
      <c r="R281" s="33"/>
      <c r="S281" s="38"/>
      <c r="T281" s="38"/>
      <c r="U281" s="38"/>
      <c r="V281" s="38"/>
      <c r="W281" s="38"/>
      <c r="X281" s="38"/>
      <c r="Y281" s="45"/>
      <c r="Z281" s="45"/>
      <c r="AA281" s="45"/>
      <c r="AB281" s="45"/>
      <c r="AC281" s="45"/>
      <c r="AD281" s="45"/>
      <c r="AE281" s="45"/>
      <c r="AF281" s="45"/>
      <c r="AG281" s="45"/>
      <c r="AH281" s="45"/>
      <c r="AI281" s="45"/>
      <c r="AJ281" s="45"/>
      <c r="AK281" s="45"/>
      <c r="AL281" s="45"/>
    </row>
    <row r="282" ht="15.75" customHeight="1">
      <c r="A282" s="27">
        <f t="shared" si="4"/>
        <v>270</v>
      </c>
      <c r="B282" s="28" t="s">
        <v>1074</v>
      </c>
      <c r="C282" s="43" t="s">
        <v>1075</v>
      </c>
      <c r="D282" s="39" t="s">
        <v>1076</v>
      </c>
      <c r="E282" s="28" t="s">
        <v>223</v>
      </c>
      <c r="F282" s="28" t="s">
        <v>29</v>
      </c>
      <c r="G282" s="28" t="s">
        <v>37</v>
      </c>
      <c r="H282" s="28"/>
      <c r="I282" s="28" t="s">
        <v>38</v>
      </c>
      <c r="J282" s="31">
        <v>911.0</v>
      </c>
      <c r="K282" s="28"/>
      <c r="L282" s="31" t="s">
        <v>686</v>
      </c>
      <c r="M282" s="28" t="s">
        <v>54</v>
      </c>
      <c r="N282" s="28">
        <v>1988.0</v>
      </c>
      <c r="O282" s="31" t="s">
        <v>225</v>
      </c>
      <c r="P282" s="28">
        <v>4.0</v>
      </c>
      <c r="Q282" s="37">
        <v>4.0</v>
      </c>
      <c r="R282" s="33"/>
      <c r="S282" s="40"/>
      <c r="T282" s="40"/>
      <c r="U282" s="40"/>
      <c r="V282" s="40"/>
      <c r="W282" s="40"/>
      <c r="X282" s="40"/>
      <c r="Y282" s="45"/>
      <c r="Z282" s="45"/>
      <c r="AA282" s="45"/>
      <c r="AB282" s="45"/>
      <c r="AC282" s="45"/>
      <c r="AD282" s="45"/>
      <c r="AE282" s="45"/>
      <c r="AF282" s="45"/>
      <c r="AG282" s="45"/>
      <c r="AH282" s="45"/>
      <c r="AI282" s="45"/>
      <c r="AJ282" s="45"/>
      <c r="AK282" s="45"/>
      <c r="AL282" s="45"/>
    </row>
    <row r="283" ht="15.75" customHeight="1">
      <c r="A283" s="27">
        <f t="shared" si="4"/>
        <v>271</v>
      </c>
      <c r="B283" s="31" t="s">
        <v>1077</v>
      </c>
      <c r="C283" s="29" t="s">
        <v>1078</v>
      </c>
      <c r="D283" s="39" t="s">
        <v>1079</v>
      </c>
      <c r="E283" s="28" t="s">
        <v>28</v>
      </c>
      <c r="F283" s="28" t="s">
        <v>29</v>
      </c>
      <c r="G283" s="28" t="s">
        <v>37</v>
      </c>
      <c r="H283" s="28"/>
      <c r="I283" s="28" t="s">
        <v>38</v>
      </c>
      <c r="J283" s="31">
        <v>781.0</v>
      </c>
      <c r="K283" s="28"/>
      <c r="L283" s="28" t="s">
        <v>446</v>
      </c>
      <c r="M283" s="28" t="s">
        <v>49</v>
      </c>
      <c r="N283" s="28">
        <v>1992.0</v>
      </c>
      <c r="O283" s="31">
        <v>7.0</v>
      </c>
      <c r="P283" s="28">
        <v>1.0</v>
      </c>
      <c r="Q283" s="32">
        <v>1.0</v>
      </c>
      <c r="R283" s="33"/>
      <c r="S283" s="34"/>
      <c r="T283" s="34"/>
      <c r="U283" s="34"/>
      <c r="V283" s="34"/>
      <c r="W283" s="34"/>
      <c r="X283" s="34"/>
      <c r="Y283" s="45"/>
      <c r="Z283" s="45"/>
      <c r="AA283" s="45"/>
      <c r="AB283" s="45"/>
      <c r="AC283" s="45"/>
      <c r="AD283" s="45"/>
      <c r="AE283" s="45"/>
      <c r="AF283" s="45"/>
      <c r="AG283" s="45"/>
      <c r="AH283" s="45"/>
      <c r="AI283" s="45"/>
      <c r="AJ283" s="45"/>
      <c r="AK283" s="45"/>
      <c r="AL283" s="45"/>
    </row>
    <row r="284" ht="15.75" customHeight="1">
      <c r="A284" s="27">
        <f t="shared" si="4"/>
        <v>272</v>
      </c>
      <c r="B284" s="31" t="s">
        <v>31</v>
      </c>
      <c r="C284" s="29" t="s">
        <v>1080</v>
      </c>
      <c r="D284" s="39" t="s">
        <v>1081</v>
      </c>
      <c r="E284" s="31" t="s">
        <v>28</v>
      </c>
      <c r="F284" s="31" t="s">
        <v>29</v>
      </c>
      <c r="G284" s="31" t="s">
        <v>37</v>
      </c>
      <c r="H284" s="28"/>
      <c r="I284" s="31" t="s">
        <v>38</v>
      </c>
      <c r="J284" s="31">
        <v>592.0</v>
      </c>
      <c r="K284" s="28"/>
      <c r="L284" s="31" t="s">
        <v>605</v>
      </c>
      <c r="M284" s="31" t="s">
        <v>1082</v>
      </c>
      <c r="N284" s="31">
        <v>1956.0</v>
      </c>
      <c r="O284" s="31">
        <v>7.0</v>
      </c>
      <c r="P284" s="31">
        <v>1.0</v>
      </c>
      <c r="Q284" s="37">
        <v>1.0</v>
      </c>
      <c r="R284" s="33"/>
      <c r="S284" s="34"/>
      <c r="T284" s="34"/>
      <c r="U284" s="34"/>
      <c r="V284" s="34"/>
      <c r="W284" s="34"/>
      <c r="X284" s="34"/>
      <c r="Y284" s="45"/>
      <c r="Z284" s="45"/>
      <c r="AA284" s="45"/>
      <c r="AB284" s="45"/>
      <c r="AC284" s="45"/>
      <c r="AD284" s="45"/>
      <c r="AE284" s="45"/>
      <c r="AF284" s="45"/>
      <c r="AG284" s="45"/>
      <c r="AH284" s="45"/>
      <c r="AI284" s="45"/>
      <c r="AJ284" s="45"/>
      <c r="AK284" s="45"/>
      <c r="AL284" s="45"/>
    </row>
    <row r="285" ht="15.75" customHeight="1">
      <c r="A285" s="27">
        <f t="shared" si="4"/>
        <v>273</v>
      </c>
      <c r="B285" s="28" t="s">
        <v>31</v>
      </c>
      <c r="C285" s="29" t="s">
        <v>1083</v>
      </c>
      <c r="D285" s="39" t="s">
        <v>1084</v>
      </c>
      <c r="E285" s="28" t="s">
        <v>28</v>
      </c>
      <c r="F285" s="28" t="s">
        <v>29</v>
      </c>
      <c r="G285" s="28" t="s">
        <v>38</v>
      </c>
      <c r="H285" s="28"/>
      <c r="I285" s="28" t="s">
        <v>38</v>
      </c>
      <c r="J285" s="28">
        <v>77.0</v>
      </c>
      <c r="K285" s="28"/>
      <c r="L285" s="28" t="s">
        <v>31</v>
      </c>
      <c r="M285" s="31" t="s">
        <v>1085</v>
      </c>
      <c r="N285" s="28">
        <v>1959.0</v>
      </c>
      <c r="O285" s="31">
        <v>8.0</v>
      </c>
      <c r="P285" s="28">
        <v>1.0</v>
      </c>
      <c r="Q285" s="37">
        <v>1.0</v>
      </c>
      <c r="R285" s="33"/>
      <c r="S285" s="34"/>
      <c r="T285" s="34"/>
      <c r="U285" s="34"/>
      <c r="V285" s="34"/>
      <c r="W285" s="34"/>
      <c r="X285" s="34"/>
      <c r="Y285" s="45"/>
      <c r="Z285" s="45"/>
      <c r="AA285" s="45"/>
      <c r="AB285" s="45"/>
      <c r="AC285" s="45"/>
      <c r="AD285" s="45"/>
      <c r="AE285" s="45"/>
      <c r="AF285" s="45"/>
      <c r="AG285" s="45"/>
      <c r="AH285" s="45"/>
      <c r="AI285" s="45"/>
      <c r="AJ285" s="45"/>
      <c r="AK285" s="45"/>
      <c r="AL285" s="45"/>
    </row>
    <row r="286" ht="15.75" customHeight="1">
      <c r="A286" s="27">
        <f t="shared" si="4"/>
        <v>274</v>
      </c>
      <c r="B286" s="28" t="s">
        <v>1086</v>
      </c>
      <c r="C286" s="29" t="s">
        <v>1087</v>
      </c>
      <c r="D286" s="39" t="s">
        <v>1088</v>
      </c>
      <c r="E286" s="28" t="s">
        <v>28</v>
      </c>
      <c r="F286" s="28" t="s">
        <v>29</v>
      </c>
      <c r="G286" s="28" t="s">
        <v>37</v>
      </c>
      <c r="H286" s="28"/>
      <c r="I286" s="28" t="s">
        <v>38</v>
      </c>
      <c r="J286" s="28">
        <v>681.0</v>
      </c>
      <c r="K286" s="28"/>
      <c r="L286" s="28" t="s">
        <v>1089</v>
      </c>
      <c r="M286" s="28" t="s">
        <v>178</v>
      </c>
      <c r="N286" s="28">
        <v>2005.0</v>
      </c>
      <c r="O286" s="31">
        <v>8.0</v>
      </c>
      <c r="P286" s="28">
        <v>1.0</v>
      </c>
      <c r="Q286" s="32">
        <v>1.0</v>
      </c>
      <c r="R286" s="33"/>
      <c r="S286" s="34"/>
      <c r="T286" s="34"/>
      <c r="U286" s="34"/>
      <c r="V286" s="34"/>
      <c r="W286" s="34"/>
      <c r="X286" s="34"/>
      <c r="Y286" s="45"/>
      <c r="Z286" s="45"/>
      <c r="AA286" s="45"/>
      <c r="AB286" s="45"/>
      <c r="AC286" s="45"/>
      <c r="AD286" s="45"/>
      <c r="AE286" s="45"/>
      <c r="AF286" s="45"/>
      <c r="AG286" s="45"/>
      <c r="AH286" s="45"/>
      <c r="AI286" s="45"/>
      <c r="AJ286" s="45"/>
      <c r="AK286" s="45"/>
      <c r="AL286" s="45"/>
    </row>
    <row r="287" ht="15.75" customHeight="1">
      <c r="A287" s="27">
        <f t="shared" si="4"/>
        <v>275</v>
      </c>
      <c r="B287" s="28" t="s">
        <v>1090</v>
      </c>
      <c r="C287" s="29" t="s">
        <v>1087</v>
      </c>
      <c r="D287" s="39" t="s">
        <v>1091</v>
      </c>
      <c r="E287" s="28" t="s">
        <v>28</v>
      </c>
      <c r="F287" s="28" t="s">
        <v>29</v>
      </c>
      <c r="G287" s="28" t="s">
        <v>37</v>
      </c>
      <c r="H287" s="28"/>
      <c r="I287" s="28" t="s">
        <v>38</v>
      </c>
      <c r="J287" s="28">
        <v>606.0</v>
      </c>
      <c r="K287" s="28"/>
      <c r="L287" s="28" t="s">
        <v>1089</v>
      </c>
      <c r="M287" s="28" t="s">
        <v>178</v>
      </c>
      <c r="N287" s="28">
        <v>2001.0</v>
      </c>
      <c r="O287" s="31">
        <v>8.0</v>
      </c>
      <c r="P287" s="28">
        <v>1.0</v>
      </c>
      <c r="Q287" s="32">
        <v>1.0</v>
      </c>
      <c r="R287" s="33"/>
      <c r="S287" s="34"/>
      <c r="T287" s="34"/>
      <c r="U287" s="34"/>
      <c r="V287" s="34"/>
      <c r="W287" s="34"/>
      <c r="X287" s="34"/>
      <c r="Y287" s="45"/>
      <c r="Z287" s="45"/>
      <c r="AA287" s="45"/>
      <c r="AB287" s="45"/>
      <c r="AC287" s="45"/>
      <c r="AD287" s="45"/>
      <c r="AE287" s="45"/>
      <c r="AF287" s="45"/>
      <c r="AG287" s="45"/>
      <c r="AH287" s="45"/>
      <c r="AI287" s="45"/>
      <c r="AJ287" s="45"/>
      <c r="AK287" s="45"/>
      <c r="AL287" s="45"/>
    </row>
    <row r="288" ht="15.75" hidden="1" customHeight="1">
      <c r="A288" s="27">
        <f t="shared" si="4"/>
        <v>276</v>
      </c>
      <c r="B288" s="28"/>
      <c r="C288" s="43"/>
      <c r="D288" s="30"/>
      <c r="E288" s="28"/>
      <c r="F288" s="28"/>
      <c r="G288" s="28"/>
      <c r="H288" s="28"/>
      <c r="I288" s="28"/>
      <c r="J288" s="28"/>
      <c r="K288" s="28"/>
      <c r="L288" s="28"/>
      <c r="M288" s="28"/>
      <c r="N288" s="28"/>
      <c r="O288" s="28"/>
      <c r="P288" s="28"/>
      <c r="Q288" s="32"/>
      <c r="R288" s="33"/>
      <c r="S288" s="40"/>
      <c r="T288" s="40"/>
      <c r="U288" s="40"/>
      <c r="V288" s="40"/>
      <c r="W288" s="40"/>
      <c r="X288" s="40"/>
      <c r="Y288" s="45"/>
      <c r="Z288" s="45"/>
      <c r="AA288" s="45"/>
      <c r="AB288" s="45"/>
      <c r="AC288" s="45"/>
      <c r="AD288" s="45"/>
      <c r="AE288" s="45"/>
      <c r="AF288" s="45"/>
      <c r="AG288" s="45"/>
      <c r="AH288" s="45"/>
      <c r="AI288" s="45"/>
      <c r="AJ288" s="45"/>
      <c r="AK288" s="45"/>
      <c r="AL288" s="45"/>
    </row>
    <row r="289" ht="15.75" customHeight="1">
      <c r="A289" s="27">
        <f t="shared" si="4"/>
        <v>277</v>
      </c>
      <c r="B289" s="28" t="s">
        <v>1092</v>
      </c>
      <c r="C289" s="29" t="s">
        <v>1087</v>
      </c>
      <c r="D289" s="39" t="s">
        <v>1093</v>
      </c>
      <c r="E289" s="28" t="s">
        <v>28</v>
      </c>
      <c r="F289" s="28" t="s">
        <v>29</v>
      </c>
      <c r="G289" s="28" t="s">
        <v>37</v>
      </c>
      <c r="H289" s="28"/>
      <c r="I289" s="28" t="s">
        <v>38</v>
      </c>
      <c r="J289" s="28">
        <v>432.0</v>
      </c>
      <c r="K289" s="28"/>
      <c r="L289" s="28" t="s">
        <v>1089</v>
      </c>
      <c r="M289" s="28" t="s">
        <v>178</v>
      </c>
      <c r="N289" s="28">
        <v>2007.0</v>
      </c>
      <c r="O289" s="31">
        <v>8.0</v>
      </c>
      <c r="P289" s="28">
        <v>1.0</v>
      </c>
      <c r="Q289" s="32">
        <v>1.0</v>
      </c>
      <c r="R289" s="33"/>
      <c r="S289" s="34"/>
      <c r="T289" s="34"/>
      <c r="U289" s="34"/>
      <c r="V289" s="34"/>
      <c r="W289" s="34"/>
      <c r="X289" s="34"/>
      <c r="Y289" s="45"/>
      <c r="Z289" s="45"/>
      <c r="AA289" s="45"/>
      <c r="AB289" s="45"/>
      <c r="AC289" s="45"/>
      <c r="AD289" s="45"/>
      <c r="AE289" s="45"/>
      <c r="AF289" s="45"/>
      <c r="AG289" s="45"/>
      <c r="AH289" s="45"/>
      <c r="AI289" s="45"/>
      <c r="AJ289" s="45"/>
      <c r="AK289" s="45"/>
      <c r="AL289" s="45"/>
    </row>
    <row r="290" ht="15.75" customHeight="1">
      <c r="A290" s="27">
        <f t="shared" si="4"/>
        <v>278</v>
      </c>
      <c r="B290" s="28" t="s">
        <v>31</v>
      </c>
      <c r="C290" s="29" t="s">
        <v>1094</v>
      </c>
      <c r="D290" s="39" t="s">
        <v>1095</v>
      </c>
      <c r="E290" s="28" t="s">
        <v>28</v>
      </c>
      <c r="F290" s="28" t="s">
        <v>29</v>
      </c>
      <c r="G290" s="28" t="s">
        <v>31</v>
      </c>
      <c r="H290" s="28"/>
      <c r="I290" s="28" t="s">
        <v>38</v>
      </c>
      <c r="J290" s="28">
        <v>90.0</v>
      </c>
      <c r="K290" s="28"/>
      <c r="L290" s="28" t="s">
        <v>31</v>
      </c>
      <c r="M290" s="28" t="s">
        <v>1096</v>
      </c>
      <c r="N290" s="28">
        <v>2001.0</v>
      </c>
      <c r="O290" s="31">
        <v>8.0</v>
      </c>
      <c r="P290" s="28">
        <v>1.0</v>
      </c>
      <c r="Q290" s="37">
        <v>1.0</v>
      </c>
      <c r="R290" s="33"/>
      <c r="S290" s="40"/>
      <c r="T290" s="40"/>
      <c r="U290" s="40"/>
      <c r="V290" s="40"/>
      <c r="W290" s="40"/>
      <c r="X290" s="40"/>
      <c r="Y290" s="45"/>
      <c r="Z290" s="45"/>
      <c r="AA290" s="45"/>
      <c r="AB290" s="45"/>
      <c r="AC290" s="45"/>
      <c r="AD290" s="45"/>
      <c r="AE290" s="45"/>
      <c r="AF290" s="45"/>
      <c r="AG290" s="45"/>
      <c r="AH290" s="45"/>
      <c r="AI290" s="45"/>
      <c r="AJ290" s="45"/>
      <c r="AK290" s="45"/>
      <c r="AL290" s="45"/>
    </row>
    <row r="291" ht="15.75" customHeight="1">
      <c r="A291" s="27">
        <f t="shared" si="4"/>
        <v>279</v>
      </c>
      <c r="B291" s="28" t="s">
        <v>1097</v>
      </c>
      <c r="C291" s="29" t="s">
        <v>1098</v>
      </c>
      <c r="D291" s="39" t="s">
        <v>1099</v>
      </c>
      <c r="E291" s="28" t="s">
        <v>28</v>
      </c>
      <c r="F291" s="28" t="s">
        <v>29</v>
      </c>
      <c r="G291" s="28" t="s">
        <v>37</v>
      </c>
      <c r="H291" s="28"/>
      <c r="I291" s="28" t="s">
        <v>38</v>
      </c>
      <c r="J291" s="28">
        <v>429.0</v>
      </c>
      <c r="K291" s="28"/>
      <c r="L291" s="31" t="s">
        <v>1100</v>
      </c>
      <c r="M291" s="28" t="s">
        <v>291</v>
      </c>
      <c r="N291" s="28">
        <v>1991.0</v>
      </c>
      <c r="O291" s="31">
        <v>8.0</v>
      </c>
      <c r="P291" s="28">
        <v>1.0</v>
      </c>
      <c r="Q291" s="32">
        <v>1.0</v>
      </c>
      <c r="R291" s="33"/>
      <c r="S291" s="34"/>
      <c r="T291" s="34"/>
      <c r="U291" s="34"/>
      <c r="V291" s="34"/>
      <c r="W291" s="34"/>
      <c r="X291" s="34"/>
      <c r="Y291" s="45"/>
      <c r="Z291" s="45"/>
      <c r="AA291" s="45"/>
      <c r="AB291" s="45"/>
      <c r="AC291" s="45"/>
      <c r="AD291" s="45"/>
      <c r="AE291" s="45"/>
      <c r="AF291" s="45"/>
      <c r="AG291" s="45"/>
      <c r="AH291" s="45"/>
      <c r="AI291" s="45"/>
      <c r="AJ291" s="45"/>
      <c r="AK291" s="45"/>
      <c r="AL291" s="45"/>
    </row>
    <row r="292" ht="15.75" customHeight="1">
      <c r="A292" s="27">
        <f t="shared" si="4"/>
        <v>280</v>
      </c>
      <c r="B292" s="28" t="s">
        <v>1101</v>
      </c>
      <c r="C292" s="29" t="s">
        <v>1102</v>
      </c>
      <c r="D292" s="39" t="s">
        <v>1103</v>
      </c>
      <c r="E292" s="28" t="s">
        <v>28</v>
      </c>
      <c r="F292" s="28" t="s">
        <v>29</v>
      </c>
      <c r="G292" s="28" t="s">
        <v>234</v>
      </c>
      <c r="H292" s="28"/>
      <c r="I292" s="28" t="s">
        <v>38</v>
      </c>
      <c r="J292" s="28">
        <v>407.0</v>
      </c>
      <c r="K292" s="28"/>
      <c r="L292" s="28" t="s">
        <v>1104</v>
      </c>
      <c r="M292" s="28" t="s">
        <v>236</v>
      </c>
      <c r="N292" s="28">
        <v>2000.0</v>
      </c>
      <c r="O292" s="31">
        <v>7.0</v>
      </c>
      <c r="P292" s="28">
        <v>1.0</v>
      </c>
      <c r="Q292" s="37">
        <v>1.0</v>
      </c>
      <c r="R292" s="33"/>
      <c r="S292" s="40"/>
      <c r="T292" s="40"/>
      <c r="U292" s="40"/>
      <c r="V292" s="40"/>
      <c r="W292" s="40"/>
      <c r="X292" s="40"/>
      <c r="Y292" s="45"/>
      <c r="Z292" s="45"/>
      <c r="AA292" s="45"/>
      <c r="AB292" s="45"/>
      <c r="AC292" s="45"/>
      <c r="AD292" s="45"/>
      <c r="AE292" s="45"/>
      <c r="AF292" s="45"/>
      <c r="AG292" s="45"/>
      <c r="AH292" s="45"/>
      <c r="AI292" s="45"/>
      <c r="AJ292" s="45"/>
      <c r="AK292" s="45"/>
      <c r="AL292" s="45"/>
    </row>
    <row r="293" ht="15.75" customHeight="1">
      <c r="A293" s="27">
        <f t="shared" si="4"/>
        <v>281</v>
      </c>
      <c r="B293" s="31" t="s">
        <v>1105</v>
      </c>
      <c r="C293" s="29" t="s">
        <v>1102</v>
      </c>
      <c r="D293" s="39" t="s">
        <v>1106</v>
      </c>
      <c r="E293" s="31" t="s">
        <v>28</v>
      </c>
      <c r="F293" s="31" t="s">
        <v>29</v>
      </c>
      <c r="G293" s="31" t="s">
        <v>234</v>
      </c>
      <c r="H293" s="28"/>
      <c r="I293" s="31" t="s">
        <v>38</v>
      </c>
      <c r="J293" s="31">
        <v>935.0</v>
      </c>
      <c r="K293" s="28"/>
      <c r="L293" s="31" t="s">
        <v>1104</v>
      </c>
      <c r="M293" s="28" t="s">
        <v>236</v>
      </c>
      <c r="N293" s="31">
        <v>1995.0</v>
      </c>
      <c r="O293" s="31">
        <v>7.0</v>
      </c>
      <c r="P293" s="31">
        <v>1.0</v>
      </c>
      <c r="Q293" s="37">
        <v>1.0</v>
      </c>
      <c r="R293" s="33"/>
      <c r="S293" s="40"/>
      <c r="T293" s="40"/>
      <c r="U293" s="40"/>
      <c r="V293" s="40"/>
      <c r="W293" s="40"/>
      <c r="X293" s="40"/>
      <c r="Y293" s="45"/>
      <c r="Z293" s="45"/>
      <c r="AA293" s="45"/>
      <c r="AB293" s="45"/>
      <c r="AC293" s="45"/>
      <c r="AD293" s="45"/>
      <c r="AE293" s="45"/>
      <c r="AF293" s="45"/>
      <c r="AG293" s="45"/>
      <c r="AH293" s="45"/>
      <c r="AI293" s="45"/>
      <c r="AJ293" s="45"/>
      <c r="AK293" s="45"/>
      <c r="AL293" s="45"/>
    </row>
    <row r="294" ht="15.75" customHeight="1">
      <c r="A294" s="27">
        <f t="shared" si="4"/>
        <v>282</v>
      </c>
      <c r="B294" s="28" t="s">
        <v>1107</v>
      </c>
      <c r="C294" s="29" t="s">
        <v>1108</v>
      </c>
      <c r="D294" s="30" t="s">
        <v>1109</v>
      </c>
      <c r="E294" s="28" t="s">
        <v>28</v>
      </c>
      <c r="F294" s="28" t="s">
        <v>29</v>
      </c>
      <c r="G294" s="28" t="s">
        <v>31</v>
      </c>
      <c r="H294" s="28"/>
      <c r="I294" s="28" t="s">
        <v>38</v>
      </c>
      <c r="J294" s="28">
        <v>416.0</v>
      </c>
      <c r="K294" s="28"/>
      <c r="L294" s="31" t="s">
        <v>1110</v>
      </c>
      <c r="M294" s="28" t="s">
        <v>250</v>
      </c>
      <c r="N294" s="28">
        <v>1987.0</v>
      </c>
      <c r="O294" s="31">
        <v>8.0</v>
      </c>
      <c r="P294" s="28">
        <v>1.0</v>
      </c>
      <c r="Q294" s="32">
        <v>1.0</v>
      </c>
      <c r="R294" s="33"/>
      <c r="S294" s="40"/>
      <c r="T294" s="40"/>
      <c r="U294" s="40"/>
      <c r="V294" s="40"/>
      <c r="W294" s="40"/>
      <c r="X294" s="40"/>
      <c r="Y294" s="45"/>
      <c r="Z294" s="45"/>
      <c r="AA294" s="45"/>
      <c r="AB294" s="45"/>
      <c r="AC294" s="45"/>
      <c r="AD294" s="45"/>
      <c r="AE294" s="45"/>
      <c r="AF294" s="45"/>
      <c r="AG294" s="45"/>
      <c r="AH294" s="45"/>
      <c r="AI294" s="45"/>
      <c r="AJ294" s="45"/>
      <c r="AK294" s="45"/>
      <c r="AL294" s="45"/>
    </row>
    <row r="295" ht="15.75" customHeight="1">
      <c r="A295" s="27">
        <f t="shared" si="4"/>
        <v>283</v>
      </c>
      <c r="B295" s="28" t="s">
        <v>1111</v>
      </c>
      <c r="C295" s="29" t="s">
        <v>1112</v>
      </c>
      <c r="D295" s="30" t="s">
        <v>1113</v>
      </c>
      <c r="E295" s="28" t="s">
        <v>28</v>
      </c>
      <c r="F295" s="28" t="s">
        <v>29</v>
      </c>
      <c r="G295" s="28" t="s">
        <v>38</v>
      </c>
      <c r="H295" s="28"/>
      <c r="I295" s="28" t="s">
        <v>38</v>
      </c>
      <c r="J295" s="28">
        <v>319.0</v>
      </c>
      <c r="K295" s="28"/>
      <c r="L295" s="31" t="s">
        <v>1114</v>
      </c>
      <c r="M295" s="28" t="s">
        <v>485</v>
      </c>
      <c r="N295" s="28">
        <v>1975.0</v>
      </c>
      <c r="O295" s="31">
        <v>8.0</v>
      </c>
      <c r="P295" s="28">
        <v>1.0</v>
      </c>
      <c r="Q295" s="37">
        <v>1.0</v>
      </c>
      <c r="R295" s="33"/>
      <c r="S295" s="34"/>
      <c r="T295" s="34"/>
      <c r="U295" s="34"/>
      <c r="V295" s="34"/>
      <c r="W295" s="34"/>
      <c r="X295" s="34"/>
      <c r="Y295" s="45"/>
      <c r="Z295" s="45"/>
      <c r="AA295" s="45"/>
      <c r="AB295" s="45"/>
      <c r="AC295" s="45"/>
      <c r="AD295" s="45"/>
      <c r="AE295" s="45"/>
      <c r="AF295" s="45"/>
      <c r="AG295" s="45"/>
      <c r="AH295" s="45"/>
      <c r="AI295" s="45"/>
      <c r="AJ295" s="45"/>
      <c r="AK295" s="45"/>
      <c r="AL295" s="45"/>
    </row>
    <row r="296" ht="15.75" customHeight="1">
      <c r="A296" s="27">
        <f t="shared" si="4"/>
        <v>284</v>
      </c>
      <c r="B296" s="28" t="s">
        <v>1115</v>
      </c>
      <c r="C296" s="29" t="s">
        <v>1116</v>
      </c>
      <c r="D296" s="30" t="s">
        <v>1117</v>
      </c>
      <c r="E296" s="28" t="s">
        <v>28</v>
      </c>
      <c r="F296" s="28" t="s">
        <v>29</v>
      </c>
      <c r="G296" s="28" t="s">
        <v>37</v>
      </c>
      <c r="H296" s="28"/>
      <c r="I296" s="28" t="s">
        <v>38</v>
      </c>
      <c r="J296" s="28">
        <v>789.0</v>
      </c>
      <c r="K296" s="28"/>
      <c r="L296" s="31" t="s">
        <v>1118</v>
      </c>
      <c r="M296" s="28" t="s">
        <v>507</v>
      </c>
      <c r="N296" s="28">
        <v>2012.0</v>
      </c>
      <c r="O296" s="31">
        <v>7.0</v>
      </c>
      <c r="P296" s="28">
        <v>1.0</v>
      </c>
      <c r="Q296" s="32">
        <v>1.0</v>
      </c>
      <c r="R296" s="33"/>
      <c r="S296" s="40"/>
      <c r="T296" s="40"/>
      <c r="U296" s="40"/>
      <c r="V296" s="40"/>
      <c r="W296" s="40"/>
      <c r="X296" s="40"/>
      <c r="Y296" s="45"/>
      <c r="Z296" s="45"/>
      <c r="AA296" s="45"/>
      <c r="AB296" s="45"/>
      <c r="AC296" s="45"/>
      <c r="AD296" s="45"/>
      <c r="AE296" s="45"/>
      <c r="AF296" s="45"/>
      <c r="AG296" s="45"/>
      <c r="AH296" s="45"/>
      <c r="AI296" s="45"/>
      <c r="AJ296" s="45"/>
      <c r="AK296" s="45"/>
      <c r="AL296" s="45"/>
    </row>
    <row r="297" ht="15.75" customHeight="1">
      <c r="A297" s="27">
        <f t="shared" si="4"/>
        <v>285</v>
      </c>
      <c r="B297" s="28" t="s">
        <v>1119</v>
      </c>
      <c r="C297" s="29" t="s">
        <v>1120</v>
      </c>
      <c r="D297" s="39" t="s">
        <v>1121</v>
      </c>
      <c r="E297" s="28" t="s">
        <v>223</v>
      </c>
      <c r="F297" s="28" t="s">
        <v>29</v>
      </c>
      <c r="G297" s="28" t="s">
        <v>37</v>
      </c>
      <c r="H297" s="28"/>
      <c r="I297" s="28" t="s">
        <v>38</v>
      </c>
      <c r="J297" s="31">
        <v>388.0</v>
      </c>
      <c r="K297" s="28"/>
      <c r="L297" s="28" t="s">
        <v>619</v>
      </c>
      <c r="M297" s="28" t="s">
        <v>54</v>
      </c>
      <c r="N297" s="28">
        <v>1981.0</v>
      </c>
      <c r="O297" s="31">
        <v>7.0</v>
      </c>
      <c r="P297" s="31">
        <v>7.0</v>
      </c>
      <c r="Q297" s="37">
        <v>7.0</v>
      </c>
      <c r="R297" s="33"/>
      <c r="S297" s="40"/>
      <c r="T297" s="40"/>
      <c r="U297" s="40"/>
      <c r="V297" s="40"/>
      <c r="W297" s="40"/>
      <c r="X297" s="40"/>
      <c r="Y297" s="45"/>
      <c r="Z297" s="45"/>
      <c r="AA297" s="45"/>
      <c r="AB297" s="45"/>
      <c r="AC297" s="45"/>
      <c r="AD297" s="45"/>
      <c r="AE297" s="45"/>
      <c r="AF297" s="45"/>
      <c r="AG297" s="45"/>
      <c r="AH297" s="45"/>
      <c r="AI297" s="45"/>
      <c r="AJ297" s="45"/>
      <c r="AK297" s="45"/>
      <c r="AL297" s="45"/>
    </row>
    <row r="298" ht="15.75" customHeight="1">
      <c r="A298" s="27">
        <f t="shared" si="4"/>
        <v>286</v>
      </c>
      <c r="B298" s="28" t="s">
        <v>1122</v>
      </c>
      <c r="C298" s="43" t="s">
        <v>1123</v>
      </c>
      <c r="D298" s="30" t="s">
        <v>1124</v>
      </c>
      <c r="E298" s="28" t="s">
        <v>28</v>
      </c>
      <c r="F298" s="28" t="s">
        <v>29</v>
      </c>
      <c r="G298" s="28" t="s">
        <v>37</v>
      </c>
      <c r="H298" s="28"/>
      <c r="I298" s="28" t="s">
        <v>38</v>
      </c>
      <c r="J298" s="31">
        <v>461.0</v>
      </c>
      <c r="K298" s="28"/>
      <c r="L298" s="28" t="s">
        <v>1125</v>
      </c>
      <c r="M298" s="28" t="s">
        <v>123</v>
      </c>
      <c r="N298" s="28">
        <v>1992.0</v>
      </c>
      <c r="O298" s="31">
        <v>9.0</v>
      </c>
      <c r="P298" s="28">
        <v>2.0</v>
      </c>
      <c r="Q298" s="32">
        <v>2.0</v>
      </c>
      <c r="R298" s="33"/>
      <c r="S298" s="34"/>
      <c r="T298" s="34"/>
      <c r="U298" s="34"/>
      <c r="V298" s="34"/>
      <c r="W298" s="34"/>
      <c r="X298" s="34"/>
      <c r="Y298" s="45"/>
      <c r="Z298" s="45"/>
      <c r="AA298" s="45"/>
      <c r="AB298" s="45"/>
      <c r="AC298" s="45"/>
      <c r="AD298" s="45"/>
      <c r="AE298" s="45"/>
      <c r="AF298" s="45"/>
      <c r="AG298" s="45"/>
      <c r="AH298" s="45"/>
      <c r="AI298" s="45"/>
      <c r="AJ298" s="45"/>
      <c r="AK298" s="45"/>
      <c r="AL298" s="45"/>
    </row>
    <row r="299" ht="15.75" customHeight="1">
      <c r="A299" s="27"/>
      <c r="B299" s="31" t="s">
        <v>1126</v>
      </c>
      <c r="C299" s="29" t="s">
        <v>1127</v>
      </c>
      <c r="D299" s="39" t="s">
        <v>1128</v>
      </c>
      <c r="E299" s="43" t="s">
        <v>302</v>
      </c>
      <c r="F299" s="28" t="s">
        <v>29</v>
      </c>
      <c r="G299" s="28" t="s">
        <v>30</v>
      </c>
      <c r="H299" s="28"/>
      <c r="I299" s="28" t="s">
        <v>30</v>
      </c>
      <c r="J299" s="31">
        <v>658.0</v>
      </c>
      <c r="K299" s="28"/>
      <c r="L299" s="28" t="s">
        <v>303</v>
      </c>
      <c r="M299" s="28" t="s">
        <v>151</v>
      </c>
      <c r="N299" s="31">
        <v>2015.0</v>
      </c>
      <c r="O299" s="31">
        <v>8.0</v>
      </c>
      <c r="P299" s="31">
        <v>1.0</v>
      </c>
      <c r="Q299" s="32">
        <v>1.0</v>
      </c>
      <c r="R299" s="73"/>
      <c r="S299" s="40"/>
      <c r="T299" s="40"/>
      <c r="U299" s="40"/>
      <c r="V299" s="40"/>
      <c r="W299" s="40"/>
      <c r="X299" s="40"/>
      <c r="Y299" s="45"/>
      <c r="Z299" s="45"/>
      <c r="AA299" s="45"/>
      <c r="AB299" s="45"/>
      <c r="AC299" s="45"/>
      <c r="AD299" s="45"/>
      <c r="AE299" s="45"/>
      <c r="AF299" s="45"/>
      <c r="AG299" s="45"/>
      <c r="AH299" s="45"/>
      <c r="AI299" s="45"/>
      <c r="AJ299" s="45"/>
      <c r="AK299" s="45"/>
      <c r="AL299" s="45"/>
    </row>
    <row r="300" ht="15.75" customHeight="1">
      <c r="A300" s="27">
        <f>A298+1</f>
        <v>287</v>
      </c>
      <c r="B300" s="28" t="s">
        <v>1129</v>
      </c>
      <c r="C300" s="29" t="s">
        <v>1127</v>
      </c>
      <c r="D300" s="30" t="s">
        <v>1130</v>
      </c>
      <c r="E300" s="43" t="s">
        <v>302</v>
      </c>
      <c r="F300" s="28" t="s">
        <v>29</v>
      </c>
      <c r="G300" s="28" t="s">
        <v>30</v>
      </c>
      <c r="H300" s="28"/>
      <c r="I300" s="28" t="s">
        <v>30</v>
      </c>
      <c r="J300" s="28">
        <v>603.0</v>
      </c>
      <c r="K300" s="28"/>
      <c r="L300" s="28" t="s">
        <v>303</v>
      </c>
      <c r="M300" s="28" t="s">
        <v>151</v>
      </c>
      <c r="N300" s="28">
        <v>2017.0</v>
      </c>
      <c r="O300" s="31">
        <v>8.0</v>
      </c>
      <c r="P300" s="31">
        <v>1.0</v>
      </c>
      <c r="Q300" s="32">
        <v>1.0</v>
      </c>
      <c r="R300" s="73">
        <v>1.0</v>
      </c>
      <c r="S300" s="40"/>
      <c r="T300" s="40"/>
      <c r="U300" s="40"/>
      <c r="V300" s="40"/>
      <c r="W300" s="40"/>
      <c r="X300" s="40"/>
      <c r="Y300" s="45"/>
      <c r="Z300" s="45"/>
      <c r="AA300" s="45"/>
      <c r="AB300" s="45"/>
      <c r="AC300" s="45"/>
      <c r="AD300" s="45"/>
      <c r="AE300" s="45"/>
      <c r="AF300" s="45"/>
      <c r="AG300" s="45"/>
      <c r="AH300" s="45"/>
      <c r="AI300" s="45"/>
      <c r="AJ300" s="45"/>
      <c r="AK300" s="45"/>
      <c r="AL300" s="45"/>
    </row>
    <row r="301" ht="15.75" customHeight="1">
      <c r="A301" s="27">
        <f t="shared" ref="A301:A312" si="5">A300+1</f>
        <v>288</v>
      </c>
      <c r="B301" s="31" t="s">
        <v>1131</v>
      </c>
      <c r="C301" s="29" t="s">
        <v>1132</v>
      </c>
      <c r="D301" s="30" t="s">
        <v>1133</v>
      </c>
      <c r="E301" s="43" t="s">
        <v>302</v>
      </c>
      <c r="F301" s="28" t="s">
        <v>29</v>
      </c>
      <c r="G301" s="28" t="s">
        <v>30</v>
      </c>
      <c r="H301" s="28"/>
      <c r="I301" s="28" t="s">
        <v>30</v>
      </c>
      <c r="J301" s="28">
        <v>658.0</v>
      </c>
      <c r="K301" s="28"/>
      <c r="L301" s="28" t="s">
        <v>303</v>
      </c>
      <c r="M301" s="28" t="s">
        <v>151</v>
      </c>
      <c r="N301" s="28">
        <v>2015.0</v>
      </c>
      <c r="O301" s="31">
        <v>8.0</v>
      </c>
      <c r="P301" s="28">
        <v>1.0</v>
      </c>
      <c r="Q301" s="37">
        <v>1.0</v>
      </c>
      <c r="R301" s="33"/>
      <c r="S301" s="34"/>
      <c r="T301" s="34"/>
      <c r="U301" s="34"/>
      <c r="V301" s="34"/>
      <c r="W301" s="34"/>
      <c r="X301" s="34"/>
      <c r="Y301" s="45"/>
      <c r="Z301" s="45"/>
      <c r="AA301" s="45"/>
      <c r="AB301" s="45"/>
      <c r="AC301" s="45"/>
      <c r="AD301" s="45"/>
      <c r="AE301" s="45"/>
      <c r="AF301" s="45"/>
      <c r="AG301" s="45"/>
      <c r="AH301" s="45"/>
      <c r="AI301" s="45"/>
      <c r="AJ301" s="45"/>
      <c r="AK301" s="45"/>
      <c r="AL301" s="45"/>
    </row>
    <row r="302" ht="15.75" customHeight="1">
      <c r="A302" s="27">
        <f t="shared" si="5"/>
        <v>289</v>
      </c>
      <c r="B302" s="28" t="s">
        <v>1134</v>
      </c>
      <c r="C302" s="29" t="s">
        <v>1135</v>
      </c>
      <c r="D302" s="39" t="s">
        <v>1136</v>
      </c>
      <c r="E302" s="28" t="s">
        <v>28</v>
      </c>
      <c r="F302" s="28" t="s">
        <v>29</v>
      </c>
      <c r="G302" s="28" t="s">
        <v>81</v>
      </c>
      <c r="H302" s="28"/>
      <c r="I302" s="28" t="s">
        <v>38</v>
      </c>
      <c r="J302" s="28">
        <f>228+10</f>
        <v>238</v>
      </c>
      <c r="K302" s="28"/>
      <c r="L302" s="31" t="s">
        <v>1137</v>
      </c>
      <c r="M302" s="28" t="s">
        <v>83</v>
      </c>
      <c r="N302" s="28">
        <v>1999.0</v>
      </c>
      <c r="O302" s="31">
        <v>8.0</v>
      </c>
      <c r="P302" s="31">
        <v>1.0</v>
      </c>
      <c r="Q302" s="32">
        <v>1.0</v>
      </c>
      <c r="R302" s="33"/>
      <c r="S302" s="34"/>
      <c r="T302" s="34"/>
      <c r="U302" s="34"/>
      <c r="V302" s="34"/>
      <c r="W302" s="34"/>
      <c r="X302" s="34"/>
      <c r="Y302" s="45"/>
      <c r="Z302" s="45"/>
      <c r="AA302" s="45"/>
      <c r="AB302" s="45"/>
      <c r="AC302" s="45"/>
      <c r="AD302" s="45"/>
      <c r="AE302" s="45"/>
      <c r="AF302" s="45"/>
      <c r="AG302" s="45"/>
      <c r="AH302" s="45"/>
      <c r="AI302" s="45"/>
      <c r="AJ302" s="45"/>
      <c r="AK302" s="45"/>
      <c r="AL302" s="45"/>
    </row>
    <row r="303" ht="27.75" customHeight="1">
      <c r="A303" s="27">
        <f t="shared" si="5"/>
        <v>290</v>
      </c>
      <c r="B303" s="28" t="s">
        <v>31</v>
      </c>
      <c r="C303" s="29" t="s">
        <v>1138</v>
      </c>
      <c r="D303" s="39" t="s">
        <v>1139</v>
      </c>
      <c r="E303" s="28" t="s">
        <v>28</v>
      </c>
      <c r="F303" s="28" t="s">
        <v>29</v>
      </c>
      <c r="G303" s="28" t="s">
        <v>37</v>
      </c>
      <c r="H303" s="28"/>
      <c r="I303" s="28" t="s">
        <v>38</v>
      </c>
      <c r="J303" s="28">
        <v>352.0</v>
      </c>
      <c r="K303" s="28"/>
      <c r="L303" s="28" t="s">
        <v>1140</v>
      </c>
      <c r="M303" s="31" t="s">
        <v>213</v>
      </c>
      <c r="N303" s="28">
        <v>1951.0</v>
      </c>
      <c r="O303" s="31">
        <v>7.0</v>
      </c>
      <c r="P303" s="28">
        <v>1.0</v>
      </c>
      <c r="Q303" s="37">
        <v>1.0</v>
      </c>
      <c r="R303" s="33"/>
      <c r="S303" s="40"/>
      <c r="T303" s="40"/>
      <c r="U303" s="40"/>
      <c r="V303" s="40"/>
      <c r="W303" s="40"/>
      <c r="X303" s="40"/>
      <c r="Y303" s="45"/>
      <c r="Z303" s="45"/>
      <c r="AA303" s="45"/>
      <c r="AB303" s="45"/>
      <c r="AC303" s="45"/>
      <c r="AD303" s="45"/>
      <c r="AE303" s="45"/>
      <c r="AF303" s="45"/>
      <c r="AG303" s="45"/>
      <c r="AH303" s="45"/>
      <c r="AI303" s="45"/>
      <c r="AJ303" s="45"/>
      <c r="AK303" s="45"/>
      <c r="AL303" s="45"/>
    </row>
    <row r="304" ht="29.25" customHeight="1">
      <c r="A304" s="27">
        <f t="shared" si="5"/>
        <v>291</v>
      </c>
      <c r="B304" s="31" t="s">
        <v>1141</v>
      </c>
      <c r="C304" s="29" t="s">
        <v>1142</v>
      </c>
      <c r="D304" s="39" t="s">
        <v>1143</v>
      </c>
      <c r="E304" s="28" t="s">
        <v>28</v>
      </c>
      <c r="F304" s="28" t="s">
        <v>29</v>
      </c>
      <c r="G304" s="28" t="s">
        <v>386</v>
      </c>
      <c r="H304" s="28" t="s">
        <v>31</v>
      </c>
      <c r="I304" s="28" t="s">
        <v>30</v>
      </c>
      <c r="J304" s="31">
        <v>715.0</v>
      </c>
      <c r="K304" s="28"/>
      <c r="L304" s="28" t="s">
        <v>780</v>
      </c>
      <c r="M304" s="28" t="s">
        <v>169</v>
      </c>
      <c r="N304" s="28">
        <v>2014.0</v>
      </c>
      <c r="O304" s="31">
        <v>8.0</v>
      </c>
      <c r="P304" s="28">
        <v>1.0</v>
      </c>
      <c r="Q304" s="32">
        <v>1.0</v>
      </c>
      <c r="R304" s="33"/>
      <c r="S304" s="40"/>
      <c r="T304" s="40"/>
      <c r="U304" s="40"/>
      <c r="V304" s="40"/>
      <c r="W304" s="40"/>
      <c r="X304" s="40"/>
      <c r="Y304" s="45"/>
      <c r="Z304" s="45"/>
      <c r="AA304" s="45"/>
      <c r="AB304" s="45"/>
      <c r="AC304" s="45"/>
      <c r="AD304" s="45"/>
      <c r="AE304" s="45"/>
      <c r="AF304" s="45"/>
      <c r="AG304" s="45"/>
      <c r="AH304" s="45"/>
      <c r="AI304" s="45"/>
      <c r="AJ304" s="45"/>
      <c r="AK304" s="45"/>
      <c r="AL304" s="45"/>
    </row>
    <row r="305" ht="29.25" customHeight="1">
      <c r="A305" s="27">
        <f t="shared" si="5"/>
        <v>292</v>
      </c>
      <c r="B305" s="28" t="s">
        <v>1144</v>
      </c>
      <c r="C305" s="29" t="s">
        <v>1145</v>
      </c>
      <c r="D305" s="39" t="s">
        <v>1146</v>
      </c>
      <c r="E305" s="28" t="s">
        <v>28</v>
      </c>
      <c r="F305" s="28" t="s">
        <v>29</v>
      </c>
      <c r="G305" s="28" t="s">
        <v>37</v>
      </c>
      <c r="H305" s="28"/>
      <c r="I305" s="28" t="s">
        <v>38</v>
      </c>
      <c r="J305" s="28">
        <v>451.0</v>
      </c>
      <c r="K305" s="28"/>
      <c r="L305" s="28" t="s">
        <v>364</v>
      </c>
      <c r="M305" s="28" t="s">
        <v>365</v>
      </c>
      <c r="N305" s="31">
        <v>1960.0</v>
      </c>
      <c r="O305" s="31">
        <v>8.0</v>
      </c>
      <c r="P305" s="28">
        <v>1.0</v>
      </c>
      <c r="Q305" s="37">
        <v>1.0</v>
      </c>
      <c r="R305" s="33"/>
      <c r="S305" s="40"/>
      <c r="T305" s="40"/>
      <c r="U305" s="40"/>
      <c r="V305" s="40"/>
      <c r="W305" s="40"/>
      <c r="X305" s="40"/>
      <c r="Y305" s="74"/>
      <c r="Z305" s="74"/>
      <c r="AA305" s="74"/>
      <c r="AB305" s="74"/>
      <c r="AC305" s="74"/>
      <c r="AD305" s="74"/>
      <c r="AE305" s="74"/>
      <c r="AF305" s="74"/>
      <c r="AG305" s="74"/>
      <c r="AH305" s="74"/>
      <c r="AI305" s="74"/>
      <c r="AJ305" s="74"/>
      <c r="AK305" s="74"/>
      <c r="AL305" s="74"/>
    </row>
    <row r="306" ht="15.75" customHeight="1">
      <c r="A306" s="27">
        <f t="shared" si="5"/>
        <v>293</v>
      </c>
      <c r="B306" s="28" t="s">
        <v>361</v>
      </c>
      <c r="C306" s="29" t="s">
        <v>1145</v>
      </c>
      <c r="D306" s="39" t="s">
        <v>1147</v>
      </c>
      <c r="E306" s="28" t="s">
        <v>28</v>
      </c>
      <c r="F306" s="28" t="s">
        <v>29</v>
      </c>
      <c r="G306" s="28" t="s">
        <v>37</v>
      </c>
      <c r="H306" s="28"/>
      <c r="I306" s="28" t="s">
        <v>38</v>
      </c>
      <c r="J306" s="28">
        <v>406.0</v>
      </c>
      <c r="K306" s="28"/>
      <c r="L306" s="28" t="s">
        <v>364</v>
      </c>
      <c r="M306" s="28" t="s">
        <v>365</v>
      </c>
      <c r="N306" s="28">
        <v>1930.0</v>
      </c>
      <c r="O306" s="31">
        <v>8.0</v>
      </c>
      <c r="P306" s="28">
        <v>1.0</v>
      </c>
      <c r="Q306" s="37">
        <v>1.0</v>
      </c>
      <c r="R306" s="33"/>
      <c r="S306" s="40"/>
      <c r="T306" s="40"/>
      <c r="U306" s="40"/>
      <c r="V306" s="40"/>
      <c r="W306" s="40"/>
      <c r="X306" s="40"/>
      <c r="Y306" s="3"/>
      <c r="Z306" s="3"/>
      <c r="AA306" s="3"/>
      <c r="AB306" s="3"/>
      <c r="AC306" s="3"/>
      <c r="AD306" s="3"/>
      <c r="AE306" s="3"/>
      <c r="AF306" s="3"/>
      <c r="AG306" s="3"/>
      <c r="AH306" s="3"/>
      <c r="AI306" s="3"/>
      <c r="AJ306" s="3"/>
      <c r="AK306" s="3"/>
      <c r="AL306" s="3"/>
    </row>
    <row r="307" ht="15.75" customHeight="1">
      <c r="A307" s="27">
        <f t="shared" si="5"/>
        <v>294</v>
      </c>
      <c r="B307" s="28" t="s">
        <v>31</v>
      </c>
      <c r="C307" s="29" t="s">
        <v>1148</v>
      </c>
      <c r="D307" s="39" t="s">
        <v>1149</v>
      </c>
      <c r="E307" s="28" t="s">
        <v>28</v>
      </c>
      <c r="F307" s="28" t="s">
        <v>29</v>
      </c>
      <c r="G307" s="28" t="s">
        <v>98</v>
      </c>
      <c r="H307" s="28"/>
      <c r="I307" s="28" t="s">
        <v>98</v>
      </c>
      <c r="J307" s="28">
        <v>661.0</v>
      </c>
      <c r="K307" s="28"/>
      <c r="L307" s="28" t="s">
        <v>1150</v>
      </c>
      <c r="M307" s="28" t="s">
        <v>1151</v>
      </c>
      <c r="N307" s="28">
        <v>1964.0</v>
      </c>
      <c r="O307" s="31">
        <v>9.0</v>
      </c>
      <c r="P307" s="28">
        <v>1.0</v>
      </c>
      <c r="Q307" s="32">
        <v>1.0</v>
      </c>
      <c r="R307" s="33"/>
      <c r="S307" s="40"/>
      <c r="T307" s="40"/>
      <c r="U307" s="40"/>
      <c r="V307" s="40"/>
      <c r="W307" s="40"/>
      <c r="X307" s="40"/>
      <c r="Y307" s="45"/>
      <c r="Z307" s="45"/>
      <c r="AA307" s="45"/>
      <c r="AB307" s="45"/>
      <c r="AC307" s="45"/>
      <c r="AD307" s="45"/>
      <c r="AE307" s="45"/>
      <c r="AF307" s="45"/>
      <c r="AG307" s="45"/>
      <c r="AH307" s="45"/>
      <c r="AI307" s="45"/>
      <c r="AJ307" s="45"/>
      <c r="AK307" s="45"/>
      <c r="AL307" s="45"/>
    </row>
    <row r="308" ht="15.75" customHeight="1">
      <c r="A308" s="27">
        <f t="shared" si="5"/>
        <v>295</v>
      </c>
      <c r="B308" s="28" t="s">
        <v>1152</v>
      </c>
      <c r="C308" s="29" t="s">
        <v>1153</v>
      </c>
      <c r="D308" s="39" t="s">
        <v>1154</v>
      </c>
      <c r="E308" s="43" t="s">
        <v>302</v>
      </c>
      <c r="F308" s="28" t="s">
        <v>29</v>
      </c>
      <c r="G308" s="28" t="s">
        <v>30</v>
      </c>
      <c r="H308" s="28"/>
      <c r="I308" s="28" t="s">
        <v>30</v>
      </c>
      <c r="J308" s="28">
        <v>295.0</v>
      </c>
      <c r="K308" s="28"/>
      <c r="L308" s="28" t="s">
        <v>303</v>
      </c>
      <c r="M308" s="28" t="s">
        <v>151</v>
      </c>
      <c r="N308" s="28">
        <v>2016.0</v>
      </c>
      <c r="O308" s="31">
        <v>8.0</v>
      </c>
      <c r="P308" s="28">
        <v>1.0</v>
      </c>
      <c r="Q308" s="32">
        <v>1.0</v>
      </c>
      <c r="R308" s="33"/>
      <c r="S308" s="34"/>
      <c r="T308" s="34"/>
      <c r="U308" s="34"/>
      <c r="V308" s="34"/>
      <c r="W308" s="34"/>
      <c r="X308" s="34"/>
      <c r="Y308" s="45"/>
      <c r="Z308" s="45"/>
      <c r="AA308" s="45"/>
      <c r="AB308" s="45"/>
      <c r="AC308" s="45"/>
      <c r="AD308" s="45"/>
      <c r="AE308" s="45"/>
      <c r="AF308" s="45"/>
      <c r="AG308" s="45"/>
      <c r="AH308" s="45"/>
      <c r="AI308" s="45"/>
      <c r="AJ308" s="45"/>
      <c r="AK308" s="45"/>
      <c r="AL308" s="45"/>
    </row>
    <row r="309" ht="15.75" customHeight="1">
      <c r="A309" s="27">
        <f t="shared" si="5"/>
        <v>296</v>
      </c>
      <c r="B309" s="28" t="s">
        <v>1155</v>
      </c>
      <c r="C309" s="29" t="s">
        <v>1156</v>
      </c>
      <c r="D309" s="30" t="s">
        <v>1157</v>
      </c>
      <c r="E309" s="28" t="s">
        <v>28</v>
      </c>
      <c r="F309" s="28" t="s">
        <v>29</v>
      </c>
      <c r="G309" s="28" t="s">
        <v>37</v>
      </c>
      <c r="H309" s="28"/>
      <c r="I309" s="28" t="s">
        <v>38</v>
      </c>
      <c r="J309" s="28">
        <v>398.0</v>
      </c>
      <c r="K309" s="28"/>
      <c r="L309" s="28" t="s">
        <v>1158</v>
      </c>
      <c r="M309" s="28" t="s">
        <v>123</v>
      </c>
      <c r="N309" s="28">
        <v>2002.0</v>
      </c>
      <c r="O309" s="31">
        <v>9.0</v>
      </c>
      <c r="P309" s="28">
        <v>1.0</v>
      </c>
      <c r="Q309" s="32">
        <v>1.0</v>
      </c>
      <c r="R309" s="33"/>
      <c r="S309" s="34"/>
      <c r="T309" s="34"/>
      <c r="U309" s="34"/>
      <c r="V309" s="34"/>
      <c r="W309" s="34"/>
      <c r="X309" s="34"/>
      <c r="Y309" s="45"/>
      <c r="Z309" s="45"/>
      <c r="AA309" s="45"/>
      <c r="AB309" s="45"/>
      <c r="AC309" s="45"/>
      <c r="AD309" s="45"/>
      <c r="AE309" s="45"/>
      <c r="AF309" s="45"/>
      <c r="AG309" s="45"/>
      <c r="AH309" s="45"/>
      <c r="AI309" s="45"/>
      <c r="AJ309" s="45"/>
      <c r="AK309" s="45"/>
      <c r="AL309" s="45"/>
    </row>
    <row r="310" ht="15.75" customHeight="1">
      <c r="A310" s="27">
        <f t="shared" si="5"/>
        <v>297</v>
      </c>
      <c r="B310" s="28" t="s">
        <v>1159</v>
      </c>
      <c r="C310" s="29" t="s">
        <v>1156</v>
      </c>
      <c r="D310" s="30" t="s">
        <v>1160</v>
      </c>
      <c r="E310" s="28" t="s">
        <v>28</v>
      </c>
      <c r="F310" s="28" t="s">
        <v>29</v>
      </c>
      <c r="G310" s="28" t="s">
        <v>37</v>
      </c>
      <c r="H310" s="28"/>
      <c r="I310" s="28" t="s">
        <v>38</v>
      </c>
      <c r="J310" s="28">
        <v>399.0</v>
      </c>
      <c r="K310" s="28"/>
      <c r="L310" s="28" t="s">
        <v>1158</v>
      </c>
      <c r="M310" s="28" t="s">
        <v>123</v>
      </c>
      <c r="N310" s="28">
        <v>1996.0</v>
      </c>
      <c r="O310" s="31">
        <v>9.0</v>
      </c>
      <c r="P310" s="28">
        <v>1.0</v>
      </c>
      <c r="Q310" s="32">
        <v>1.0</v>
      </c>
      <c r="R310" s="33"/>
      <c r="S310" s="40"/>
      <c r="T310" s="40"/>
      <c r="U310" s="40"/>
      <c r="V310" s="40"/>
      <c r="W310" s="40"/>
      <c r="X310" s="40"/>
      <c r="Y310" s="45"/>
      <c r="Z310" s="45"/>
      <c r="AA310" s="45"/>
      <c r="AB310" s="45"/>
      <c r="AC310" s="45"/>
      <c r="AD310" s="45"/>
      <c r="AE310" s="45"/>
      <c r="AF310" s="45"/>
      <c r="AG310" s="45"/>
      <c r="AH310" s="45"/>
      <c r="AI310" s="45"/>
      <c r="AJ310" s="45"/>
      <c r="AK310" s="45"/>
      <c r="AL310" s="45"/>
    </row>
    <row r="311" ht="15.75" customHeight="1">
      <c r="A311" s="27">
        <f t="shared" si="5"/>
        <v>298</v>
      </c>
      <c r="B311" s="28" t="s">
        <v>1161</v>
      </c>
      <c r="C311" s="29" t="s">
        <v>1162</v>
      </c>
      <c r="D311" s="30" t="s">
        <v>1163</v>
      </c>
      <c r="E311" s="28" t="s">
        <v>28</v>
      </c>
      <c r="F311" s="28" t="s">
        <v>29</v>
      </c>
      <c r="G311" s="28" t="s">
        <v>30</v>
      </c>
      <c r="H311" s="28" t="s">
        <v>1164</v>
      </c>
      <c r="I311" s="28" t="s">
        <v>30</v>
      </c>
      <c r="J311" s="28">
        <v>947.0</v>
      </c>
      <c r="K311" s="28"/>
      <c r="L311" s="31" t="s">
        <v>1165</v>
      </c>
      <c r="M311" s="28" t="s">
        <v>1166</v>
      </c>
      <c r="N311" s="28">
        <v>2001.0</v>
      </c>
      <c r="O311" s="31" t="s">
        <v>205</v>
      </c>
      <c r="P311" s="28">
        <v>3.0</v>
      </c>
      <c r="Q311" s="37">
        <v>3.0</v>
      </c>
      <c r="R311" s="33"/>
      <c r="S311" s="34"/>
      <c r="T311" s="34"/>
      <c r="U311" s="34"/>
      <c r="V311" s="34"/>
      <c r="W311" s="34"/>
      <c r="X311" s="34"/>
      <c r="Y311" s="45"/>
      <c r="Z311" s="45"/>
      <c r="AA311" s="45"/>
      <c r="AB311" s="45"/>
      <c r="AC311" s="45"/>
      <c r="AD311" s="45"/>
      <c r="AE311" s="45"/>
      <c r="AF311" s="45"/>
      <c r="AG311" s="45"/>
      <c r="AH311" s="45"/>
      <c r="AI311" s="45"/>
      <c r="AJ311" s="45"/>
      <c r="AK311" s="45"/>
      <c r="AL311" s="45"/>
    </row>
    <row r="312" ht="15.75" customHeight="1">
      <c r="A312" s="27">
        <f t="shared" si="5"/>
        <v>299</v>
      </c>
      <c r="B312" s="28" t="s">
        <v>1167</v>
      </c>
      <c r="C312" s="29" t="s">
        <v>1168</v>
      </c>
      <c r="D312" s="30" t="s">
        <v>1169</v>
      </c>
      <c r="E312" s="28" t="s">
        <v>28</v>
      </c>
      <c r="F312" s="28" t="s">
        <v>29</v>
      </c>
      <c r="G312" s="28" t="s">
        <v>37</v>
      </c>
      <c r="H312" s="28"/>
      <c r="I312" s="28" t="s">
        <v>38</v>
      </c>
      <c r="J312" s="28">
        <v>775.0</v>
      </c>
      <c r="K312" s="28"/>
      <c r="L312" s="28" t="s">
        <v>1170</v>
      </c>
      <c r="M312" s="28" t="s">
        <v>54</v>
      </c>
      <c r="N312" s="28">
        <v>1971.0</v>
      </c>
      <c r="O312" s="31">
        <v>9.0</v>
      </c>
      <c r="P312" s="28">
        <v>2.0</v>
      </c>
      <c r="Q312" s="37">
        <v>2.0</v>
      </c>
      <c r="R312" s="33"/>
      <c r="S312" s="40"/>
      <c r="T312" s="40"/>
      <c r="U312" s="40"/>
      <c r="V312" s="40"/>
      <c r="W312" s="40"/>
      <c r="X312" s="40"/>
      <c r="Y312" s="45"/>
      <c r="Z312" s="45"/>
      <c r="AA312" s="45"/>
      <c r="AB312" s="45"/>
      <c r="AC312" s="45"/>
      <c r="AD312" s="45"/>
      <c r="AE312" s="45"/>
      <c r="AF312" s="45"/>
      <c r="AG312" s="45"/>
      <c r="AH312" s="45"/>
      <c r="AI312" s="45"/>
      <c r="AJ312" s="45"/>
      <c r="AK312" s="45"/>
      <c r="AL312" s="45"/>
    </row>
    <row r="313" ht="15.75" customHeight="1">
      <c r="A313" s="27"/>
      <c r="B313" s="75" t="s">
        <v>1167</v>
      </c>
      <c r="C313" s="29" t="s">
        <v>1171</v>
      </c>
      <c r="D313" s="30" t="s">
        <v>1169</v>
      </c>
      <c r="E313" s="28" t="s">
        <v>28</v>
      </c>
      <c r="F313" s="28" t="s">
        <v>29</v>
      </c>
      <c r="G313" s="28" t="s">
        <v>37</v>
      </c>
      <c r="H313" s="28"/>
      <c r="I313" s="28" t="s">
        <v>38</v>
      </c>
      <c r="J313" s="31">
        <v>767.0</v>
      </c>
      <c r="K313" s="28"/>
      <c r="L313" s="28" t="s">
        <v>1170</v>
      </c>
      <c r="M313" s="28" t="s">
        <v>54</v>
      </c>
      <c r="N313" s="28">
        <v>1971.0</v>
      </c>
      <c r="O313" s="31">
        <v>9.0</v>
      </c>
      <c r="P313" s="31">
        <v>1.0</v>
      </c>
      <c r="Q313" s="37">
        <v>1.0</v>
      </c>
      <c r="R313" s="33"/>
      <c r="S313" s="40"/>
      <c r="T313" s="40"/>
      <c r="U313" s="40"/>
      <c r="V313" s="40"/>
      <c r="W313" s="40"/>
      <c r="X313" s="40"/>
      <c r="Y313" s="45"/>
      <c r="Z313" s="45"/>
      <c r="AA313" s="45"/>
      <c r="AB313" s="45"/>
      <c r="AC313" s="45"/>
      <c r="AD313" s="45"/>
      <c r="AE313" s="45"/>
      <c r="AF313" s="45"/>
      <c r="AG313" s="45"/>
      <c r="AH313" s="45"/>
      <c r="AI313" s="45"/>
      <c r="AJ313" s="45"/>
      <c r="AK313" s="45"/>
      <c r="AL313" s="45"/>
    </row>
    <row r="314" ht="15.75" customHeight="1">
      <c r="A314" s="27">
        <f t="shared" ref="A314:A318" si="6">A313+1</f>
        <v>1</v>
      </c>
      <c r="B314" s="28" t="s">
        <v>1172</v>
      </c>
      <c r="C314" s="29" t="s">
        <v>1173</v>
      </c>
      <c r="D314" s="39" t="s">
        <v>1174</v>
      </c>
      <c r="E314" s="28" t="s">
        <v>144</v>
      </c>
      <c r="F314" s="28" t="s">
        <v>29</v>
      </c>
      <c r="G314" s="28" t="s">
        <v>37</v>
      </c>
      <c r="H314" s="28" t="s">
        <v>31</v>
      </c>
      <c r="I314" s="28" t="s">
        <v>38</v>
      </c>
      <c r="J314" s="31">
        <v>910.0</v>
      </c>
      <c r="K314" s="28"/>
      <c r="L314" s="28" t="s">
        <v>1175</v>
      </c>
      <c r="M314" s="28" t="s">
        <v>1176</v>
      </c>
      <c r="N314" s="28">
        <v>2009.0</v>
      </c>
      <c r="O314" s="31">
        <v>9.0</v>
      </c>
      <c r="P314" s="28">
        <v>1.0</v>
      </c>
      <c r="Q314" s="32">
        <v>1.0</v>
      </c>
      <c r="R314" s="33"/>
      <c r="S314" s="40"/>
      <c r="T314" s="40"/>
      <c r="U314" s="40"/>
      <c r="V314" s="40"/>
      <c r="W314" s="40"/>
      <c r="X314" s="40"/>
      <c r="Y314" s="45"/>
      <c r="Z314" s="45"/>
      <c r="AA314" s="45"/>
      <c r="AB314" s="45"/>
      <c r="AC314" s="45"/>
      <c r="AD314" s="45"/>
      <c r="AE314" s="45"/>
      <c r="AF314" s="45"/>
      <c r="AG314" s="45"/>
      <c r="AH314" s="45"/>
      <c r="AI314" s="45"/>
      <c r="AJ314" s="45"/>
      <c r="AK314" s="45"/>
      <c r="AL314" s="45"/>
    </row>
    <row r="315" ht="15.75" customHeight="1">
      <c r="A315" s="27">
        <f t="shared" si="6"/>
        <v>2</v>
      </c>
      <c r="B315" s="28" t="s">
        <v>1177</v>
      </c>
      <c r="C315" s="29" t="s">
        <v>1178</v>
      </c>
      <c r="D315" s="30" t="s">
        <v>1179</v>
      </c>
      <c r="E315" s="28" t="s">
        <v>28</v>
      </c>
      <c r="F315" s="28" t="s">
        <v>29</v>
      </c>
      <c r="G315" s="28" t="s">
        <v>37</v>
      </c>
      <c r="H315" s="28"/>
      <c r="I315" s="28" t="s">
        <v>38</v>
      </c>
      <c r="J315" s="28">
        <v>349.0</v>
      </c>
      <c r="K315" s="28"/>
      <c r="L315" s="31" t="s">
        <v>1180</v>
      </c>
      <c r="M315" s="28" t="s">
        <v>1181</v>
      </c>
      <c r="N315" s="28">
        <v>1984.0</v>
      </c>
      <c r="O315" s="31">
        <v>9.0</v>
      </c>
      <c r="P315" s="28">
        <v>1.0</v>
      </c>
      <c r="Q315" s="32">
        <v>1.0</v>
      </c>
      <c r="R315" s="33"/>
      <c r="S315" s="34"/>
      <c r="T315" s="34"/>
      <c r="U315" s="34"/>
      <c r="V315" s="34"/>
      <c r="W315" s="34"/>
      <c r="X315" s="34"/>
      <c r="Y315" s="45"/>
      <c r="Z315" s="45"/>
      <c r="AA315" s="45"/>
      <c r="AB315" s="45"/>
      <c r="AC315" s="45"/>
      <c r="AD315" s="45"/>
      <c r="AE315" s="45"/>
      <c r="AF315" s="45"/>
      <c r="AG315" s="45"/>
      <c r="AH315" s="45"/>
      <c r="AI315" s="45"/>
      <c r="AJ315" s="45"/>
      <c r="AK315" s="45"/>
      <c r="AL315" s="45"/>
    </row>
    <row r="316" ht="15.75" customHeight="1">
      <c r="A316" s="27">
        <f t="shared" si="6"/>
        <v>3</v>
      </c>
      <c r="B316" s="28" t="s">
        <v>1182</v>
      </c>
      <c r="C316" s="29" t="s">
        <v>1183</v>
      </c>
      <c r="D316" s="30" t="s">
        <v>1184</v>
      </c>
      <c r="E316" s="28" t="s">
        <v>28</v>
      </c>
      <c r="F316" s="28" t="s">
        <v>29</v>
      </c>
      <c r="G316" s="28" t="s">
        <v>37</v>
      </c>
      <c r="H316" s="28"/>
      <c r="I316" s="28" t="s">
        <v>38</v>
      </c>
      <c r="J316" s="28">
        <v>171.0</v>
      </c>
      <c r="K316" s="28"/>
      <c r="L316" s="28" t="s">
        <v>1185</v>
      </c>
      <c r="M316" s="28" t="s">
        <v>1186</v>
      </c>
      <c r="N316" s="28">
        <v>1984.0</v>
      </c>
      <c r="O316" s="31">
        <v>9.0</v>
      </c>
      <c r="P316" s="28">
        <v>1.0</v>
      </c>
      <c r="Q316" s="37">
        <v>1.0</v>
      </c>
      <c r="R316" s="33"/>
      <c r="S316" s="40"/>
      <c r="T316" s="40"/>
      <c r="U316" s="40"/>
      <c r="V316" s="40"/>
      <c r="W316" s="40"/>
      <c r="X316" s="40"/>
      <c r="Y316" s="45"/>
      <c r="Z316" s="45"/>
      <c r="AA316" s="45"/>
      <c r="AB316" s="45"/>
      <c r="AC316" s="45"/>
      <c r="AD316" s="45"/>
      <c r="AE316" s="45"/>
      <c r="AF316" s="45"/>
      <c r="AG316" s="45"/>
      <c r="AH316" s="45"/>
      <c r="AI316" s="45"/>
      <c r="AJ316" s="45"/>
      <c r="AK316" s="45"/>
      <c r="AL316" s="45"/>
    </row>
    <row r="317" ht="38.25" customHeight="1">
      <c r="A317" s="27">
        <f t="shared" si="6"/>
        <v>4</v>
      </c>
      <c r="B317" s="28" t="s">
        <v>1187</v>
      </c>
      <c r="C317" s="29" t="s">
        <v>1188</v>
      </c>
      <c r="D317" s="39" t="s">
        <v>1189</v>
      </c>
      <c r="E317" s="28" t="s">
        <v>28</v>
      </c>
      <c r="F317" s="28" t="s">
        <v>29</v>
      </c>
      <c r="G317" s="28" t="s">
        <v>37</v>
      </c>
      <c r="H317" s="28"/>
      <c r="I317" s="28" t="s">
        <v>38</v>
      </c>
      <c r="J317" s="28">
        <v>170.0</v>
      </c>
      <c r="K317" s="28"/>
      <c r="L317" s="28" t="s">
        <v>1190</v>
      </c>
      <c r="M317" s="28" t="s">
        <v>1191</v>
      </c>
      <c r="N317" s="28">
        <v>1997.0</v>
      </c>
      <c r="O317" s="31">
        <v>9.0</v>
      </c>
      <c r="P317" s="28">
        <v>1.0</v>
      </c>
      <c r="Q317" s="37">
        <v>1.0</v>
      </c>
      <c r="R317" s="33"/>
      <c r="S317" s="34"/>
      <c r="T317" s="34"/>
      <c r="U317" s="34"/>
      <c r="V317" s="34"/>
      <c r="W317" s="34"/>
      <c r="X317" s="34"/>
      <c r="Y317" s="45"/>
      <c r="Z317" s="45"/>
      <c r="AA317" s="45"/>
      <c r="AB317" s="45"/>
      <c r="AC317" s="45"/>
      <c r="AD317" s="45"/>
      <c r="AE317" s="45"/>
      <c r="AF317" s="45"/>
      <c r="AG317" s="45"/>
      <c r="AH317" s="45"/>
      <c r="AI317" s="45"/>
      <c r="AJ317" s="45"/>
      <c r="AK317" s="45"/>
      <c r="AL317" s="45"/>
    </row>
    <row r="318" ht="15.75" customHeight="1">
      <c r="A318" s="27">
        <f t="shared" si="6"/>
        <v>5</v>
      </c>
      <c r="B318" s="28" t="s">
        <v>1192</v>
      </c>
      <c r="C318" s="29" t="s">
        <v>1193</v>
      </c>
      <c r="D318" s="39" t="s">
        <v>1194</v>
      </c>
      <c r="E318" s="28" t="s">
        <v>28</v>
      </c>
      <c r="F318" s="28" t="s">
        <v>29</v>
      </c>
      <c r="G318" s="28" t="s">
        <v>98</v>
      </c>
      <c r="H318" s="28"/>
      <c r="I318" s="28" t="s">
        <v>1195</v>
      </c>
      <c r="J318" s="28">
        <v>926.0</v>
      </c>
      <c r="K318" s="28"/>
      <c r="L318" s="31" t="s">
        <v>1196</v>
      </c>
      <c r="M318" s="28" t="s">
        <v>54</v>
      </c>
      <c r="N318" s="28">
        <v>1975.0</v>
      </c>
      <c r="O318" s="31">
        <v>8.0</v>
      </c>
      <c r="P318" s="28">
        <v>3.0</v>
      </c>
      <c r="Q318" s="37">
        <v>1.0</v>
      </c>
      <c r="R318" s="33"/>
      <c r="S318" s="34"/>
      <c r="T318" s="34"/>
      <c r="U318" s="34"/>
      <c r="V318" s="34"/>
      <c r="W318" s="34"/>
      <c r="X318" s="34"/>
      <c r="Y318" s="45"/>
      <c r="Z318" s="45"/>
      <c r="AA318" s="45"/>
      <c r="AB318" s="45"/>
      <c r="AC318" s="45"/>
      <c r="AD318" s="45"/>
      <c r="AE318" s="45"/>
      <c r="AF318" s="45"/>
      <c r="AG318" s="45"/>
      <c r="AH318" s="45"/>
      <c r="AI318" s="45"/>
      <c r="AJ318" s="45"/>
      <c r="AK318" s="45"/>
      <c r="AL318" s="45"/>
    </row>
    <row r="319" ht="15.75" customHeight="1">
      <c r="A319" s="27"/>
      <c r="B319" s="76" t="s">
        <v>31</v>
      </c>
      <c r="C319" s="29" t="s">
        <v>1193</v>
      </c>
      <c r="D319" s="30" t="s">
        <v>1197</v>
      </c>
      <c r="E319" s="28" t="s">
        <v>28</v>
      </c>
      <c r="F319" s="28" t="s">
        <v>29</v>
      </c>
      <c r="G319" s="28" t="s">
        <v>98</v>
      </c>
      <c r="H319" s="28"/>
      <c r="I319" s="28" t="s">
        <v>1195</v>
      </c>
      <c r="J319" s="31">
        <v>920.0</v>
      </c>
      <c r="K319" s="28"/>
      <c r="L319" s="31" t="s">
        <v>1196</v>
      </c>
      <c r="M319" s="28" t="s">
        <v>54</v>
      </c>
      <c r="N319" s="31">
        <v>1967.0</v>
      </c>
      <c r="O319" s="31">
        <v>8.0</v>
      </c>
      <c r="P319" s="31">
        <v>1.0</v>
      </c>
      <c r="Q319" s="37">
        <v>1.0</v>
      </c>
      <c r="R319" s="33"/>
      <c r="S319" s="34"/>
      <c r="T319" s="34"/>
      <c r="U319" s="34"/>
      <c r="V319" s="34"/>
      <c r="W319" s="34"/>
      <c r="X319" s="34"/>
      <c r="Y319" s="45"/>
      <c r="Z319" s="45"/>
      <c r="AA319" s="45"/>
      <c r="AB319" s="45"/>
      <c r="AC319" s="45"/>
      <c r="AD319" s="45"/>
      <c r="AE319" s="45"/>
      <c r="AF319" s="45"/>
      <c r="AG319" s="45"/>
      <c r="AH319" s="45"/>
      <c r="AI319" s="45"/>
      <c r="AJ319" s="45"/>
      <c r="AK319" s="45"/>
      <c r="AL319" s="45"/>
    </row>
    <row r="320" ht="15.75" customHeight="1">
      <c r="A320" s="27">
        <f>A318+1</f>
        <v>6</v>
      </c>
      <c r="B320" s="28" t="s">
        <v>1198</v>
      </c>
      <c r="C320" s="29" t="s">
        <v>1199</v>
      </c>
      <c r="D320" s="39" t="s">
        <v>1200</v>
      </c>
      <c r="E320" s="28" t="s">
        <v>28</v>
      </c>
      <c r="F320" s="28" t="s">
        <v>29</v>
      </c>
      <c r="G320" s="28" t="s">
        <v>98</v>
      </c>
      <c r="H320" s="28"/>
      <c r="I320" s="28" t="s">
        <v>38</v>
      </c>
      <c r="J320" s="28">
        <v>696.0</v>
      </c>
      <c r="K320" s="28"/>
      <c r="L320" s="28" t="s">
        <v>1170</v>
      </c>
      <c r="M320" s="28" t="s">
        <v>100</v>
      </c>
      <c r="N320" s="28">
        <v>2007.0</v>
      </c>
      <c r="O320" s="31">
        <v>9.0</v>
      </c>
      <c r="P320" s="28">
        <v>2.0</v>
      </c>
      <c r="Q320" s="37">
        <v>2.0</v>
      </c>
      <c r="R320" s="33"/>
      <c r="S320" s="34"/>
      <c r="T320" s="34"/>
      <c r="U320" s="34"/>
      <c r="V320" s="34"/>
      <c r="W320" s="34"/>
      <c r="X320" s="34"/>
      <c r="Y320" s="45"/>
      <c r="Z320" s="45"/>
      <c r="AA320" s="45"/>
      <c r="AB320" s="45"/>
      <c r="AC320" s="45"/>
      <c r="AD320" s="45"/>
      <c r="AE320" s="45"/>
      <c r="AF320" s="45"/>
      <c r="AG320" s="45"/>
      <c r="AH320" s="45"/>
      <c r="AI320" s="45"/>
      <c r="AJ320" s="45"/>
      <c r="AK320" s="45"/>
      <c r="AL320" s="45"/>
    </row>
    <row r="321" ht="15.75" customHeight="1">
      <c r="A321" s="27">
        <f t="shared" ref="A321:A456" si="7">A320+1</f>
        <v>7</v>
      </c>
      <c r="B321" s="28" t="s">
        <v>31</v>
      </c>
      <c r="C321" s="29" t="s">
        <v>1201</v>
      </c>
      <c r="D321" s="30" t="s">
        <v>1202</v>
      </c>
      <c r="E321" s="28" t="s">
        <v>28</v>
      </c>
      <c r="F321" s="28" t="s">
        <v>29</v>
      </c>
      <c r="G321" s="28" t="s">
        <v>37</v>
      </c>
      <c r="H321" s="28"/>
      <c r="I321" s="28" t="s">
        <v>38</v>
      </c>
      <c r="J321" s="28">
        <v>920.0</v>
      </c>
      <c r="K321" s="28"/>
      <c r="L321" s="31" t="s">
        <v>1196</v>
      </c>
      <c r="M321" s="28" t="s">
        <v>1203</v>
      </c>
      <c r="N321" s="28">
        <v>1981.0</v>
      </c>
      <c r="O321" s="31">
        <v>7.0</v>
      </c>
      <c r="P321" s="28">
        <v>2.0</v>
      </c>
      <c r="Q321" s="32">
        <v>2.0</v>
      </c>
      <c r="R321" s="33"/>
      <c r="S321" s="34"/>
      <c r="T321" s="34"/>
      <c r="U321" s="34"/>
      <c r="V321" s="34"/>
      <c r="W321" s="34"/>
      <c r="X321" s="34"/>
      <c r="Y321" s="45"/>
      <c r="Z321" s="45"/>
      <c r="AA321" s="45"/>
      <c r="AB321" s="45"/>
      <c r="AC321" s="45"/>
      <c r="AD321" s="45"/>
      <c r="AE321" s="45"/>
      <c r="AF321" s="45"/>
      <c r="AG321" s="45"/>
      <c r="AH321" s="45"/>
      <c r="AI321" s="45"/>
      <c r="AJ321" s="45"/>
      <c r="AK321" s="45"/>
      <c r="AL321" s="45"/>
    </row>
    <row r="322" ht="15.75" customHeight="1">
      <c r="A322" s="27">
        <f t="shared" si="7"/>
        <v>8</v>
      </c>
      <c r="B322" s="28" t="s">
        <v>1204</v>
      </c>
      <c r="C322" s="29" t="s">
        <v>1205</v>
      </c>
      <c r="D322" s="39" t="s">
        <v>1206</v>
      </c>
      <c r="E322" s="28" t="s">
        <v>28</v>
      </c>
      <c r="F322" s="28" t="s">
        <v>29</v>
      </c>
      <c r="G322" s="28" t="s">
        <v>98</v>
      </c>
      <c r="H322" s="28"/>
      <c r="I322" s="28" t="s">
        <v>1195</v>
      </c>
      <c r="J322" s="31">
        <v>1098.0</v>
      </c>
      <c r="K322" s="28"/>
      <c r="L322" s="31" t="s">
        <v>1196</v>
      </c>
      <c r="M322" s="28" t="s">
        <v>54</v>
      </c>
      <c r="N322" s="31">
        <v>1984.0</v>
      </c>
      <c r="O322" s="31">
        <v>8.0</v>
      </c>
      <c r="P322" s="31">
        <v>5.0</v>
      </c>
      <c r="Q322" s="37">
        <v>5.0</v>
      </c>
      <c r="R322" s="33"/>
      <c r="S322" s="40"/>
      <c r="T322" s="40"/>
      <c r="U322" s="40"/>
      <c r="V322" s="40"/>
      <c r="W322" s="40"/>
      <c r="X322" s="40"/>
      <c r="Y322" s="45"/>
      <c r="Z322" s="45"/>
      <c r="AA322" s="45"/>
      <c r="AB322" s="45"/>
      <c r="AC322" s="45"/>
      <c r="AD322" s="45"/>
      <c r="AE322" s="45"/>
      <c r="AF322" s="45"/>
      <c r="AG322" s="45"/>
      <c r="AH322" s="45"/>
      <c r="AI322" s="45"/>
      <c r="AJ322" s="45"/>
      <c r="AK322" s="45"/>
      <c r="AL322" s="45"/>
    </row>
    <row r="323" ht="15.75" customHeight="1">
      <c r="A323" s="27">
        <f t="shared" si="7"/>
        <v>9</v>
      </c>
      <c r="B323" s="28" t="s">
        <v>1207</v>
      </c>
      <c r="C323" s="29" t="s">
        <v>1208</v>
      </c>
      <c r="D323" s="39" t="s">
        <v>1209</v>
      </c>
      <c r="E323" s="28" t="s">
        <v>31</v>
      </c>
      <c r="F323" s="28" t="s">
        <v>29</v>
      </c>
      <c r="G323" s="28" t="s">
        <v>98</v>
      </c>
      <c r="H323" s="28"/>
      <c r="I323" s="28" t="s">
        <v>38</v>
      </c>
      <c r="J323" s="31">
        <v>704.0</v>
      </c>
      <c r="K323" s="28"/>
      <c r="L323" s="28" t="s">
        <v>1210</v>
      </c>
      <c r="M323" s="28" t="s">
        <v>100</v>
      </c>
      <c r="N323" s="28">
        <v>2007.0</v>
      </c>
      <c r="O323" s="31">
        <v>8.0</v>
      </c>
      <c r="P323" s="28">
        <v>4.0</v>
      </c>
      <c r="Q323" s="37">
        <v>3.0</v>
      </c>
      <c r="R323" s="73"/>
      <c r="S323" s="40"/>
      <c r="T323" s="40"/>
      <c r="U323" s="40"/>
      <c r="V323" s="40"/>
      <c r="W323" s="40"/>
      <c r="X323" s="40"/>
      <c r="Y323" s="45"/>
      <c r="Z323" s="45"/>
      <c r="AA323" s="45"/>
      <c r="AB323" s="45"/>
      <c r="AC323" s="45"/>
      <c r="AD323" s="45"/>
      <c r="AE323" s="45"/>
      <c r="AF323" s="45"/>
      <c r="AG323" s="45"/>
      <c r="AH323" s="45"/>
      <c r="AI323" s="45"/>
      <c r="AJ323" s="45"/>
      <c r="AK323" s="45"/>
      <c r="AL323" s="45"/>
    </row>
    <row r="324" ht="15.75" customHeight="1">
      <c r="A324" s="27">
        <f t="shared" si="7"/>
        <v>10</v>
      </c>
      <c r="B324" s="28" t="s">
        <v>1211</v>
      </c>
      <c r="C324" s="29" t="s">
        <v>1212</v>
      </c>
      <c r="D324" s="30" t="s">
        <v>1213</v>
      </c>
      <c r="E324" s="28" t="s">
        <v>31</v>
      </c>
      <c r="F324" s="28" t="s">
        <v>29</v>
      </c>
      <c r="G324" s="28" t="s">
        <v>98</v>
      </c>
      <c r="H324" s="28"/>
      <c r="I324" s="28" t="s">
        <v>38</v>
      </c>
      <c r="J324" s="28">
        <v>553.0</v>
      </c>
      <c r="K324" s="28"/>
      <c r="L324" s="28" t="s">
        <v>1214</v>
      </c>
      <c r="M324" s="28" t="s">
        <v>100</v>
      </c>
      <c r="N324" s="28">
        <v>2006.0</v>
      </c>
      <c r="O324" s="31">
        <v>8.0</v>
      </c>
      <c r="P324" s="28">
        <v>1.0</v>
      </c>
      <c r="Q324" s="32">
        <v>1.0</v>
      </c>
      <c r="R324" s="33"/>
      <c r="S324" s="34"/>
      <c r="T324" s="34"/>
      <c r="U324" s="34"/>
      <c r="V324" s="34"/>
      <c r="W324" s="34"/>
      <c r="X324" s="34"/>
      <c r="Y324" s="45"/>
      <c r="Z324" s="45"/>
      <c r="AA324" s="45"/>
      <c r="AB324" s="45"/>
      <c r="AC324" s="45"/>
      <c r="AD324" s="45"/>
      <c r="AE324" s="45"/>
      <c r="AF324" s="45"/>
      <c r="AG324" s="45"/>
      <c r="AH324" s="45"/>
      <c r="AI324" s="45"/>
      <c r="AJ324" s="45"/>
      <c r="AK324" s="45"/>
      <c r="AL324" s="45"/>
    </row>
    <row r="325" ht="15.75" customHeight="1">
      <c r="A325" s="27">
        <f t="shared" si="7"/>
        <v>11</v>
      </c>
      <c r="B325" s="31" t="s">
        <v>1192</v>
      </c>
      <c r="C325" s="29" t="s">
        <v>1215</v>
      </c>
      <c r="D325" s="39" t="s">
        <v>1216</v>
      </c>
      <c r="E325" s="28" t="s">
        <v>28</v>
      </c>
      <c r="F325" s="28" t="s">
        <v>29</v>
      </c>
      <c r="G325" s="28" t="s">
        <v>98</v>
      </c>
      <c r="H325" s="28"/>
      <c r="I325" s="28" t="s">
        <v>1195</v>
      </c>
      <c r="J325" s="28">
        <v>918.0</v>
      </c>
      <c r="K325" s="28"/>
      <c r="L325" s="31" t="s">
        <v>1217</v>
      </c>
      <c r="M325" s="28" t="s">
        <v>100</v>
      </c>
      <c r="N325" s="31">
        <v>1993.0</v>
      </c>
      <c r="O325" s="31">
        <v>8.0</v>
      </c>
      <c r="P325" s="31">
        <v>3.0</v>
      </c>
      <c r="Q325" s="37">
        <v>3.0</v>
      </c>
      <c r="R325" s="33"/>
      <c r="S325" s="34"/>
      <c r="T325" s="34"/>
      <c r="U325" s="34"/>
      <c r="V325" s="34"/>
      <c r="W325" s="34"/>
      <c r="X325" s="34"/>
      <c r="Y325" s="45"/>
      <c r="Z325" s="45"/>
      <c r="AA325" s="45"/>
      <c r="AB325" s="45"/>
      <c r="AC325" s="45"/>
      <c r="AD325" s="45"/>
      <c r="AE325" s="45"/>
      <c r="AF325" s="45"/>
      <c r="AG325" s="45"/>
      <c r="AH325" s="45"/>
      <c r="AI325" s="45"/>
      <c r="AJ325" s="45"/>
      <c r="AK325" s="45"/>
      <c r="AL325" s="45"/>
    </row>
    <row r="326" ht="15.75" customHeight="1">
      <c r="A326" s="27">
        <f t="shared" si="7"/>
        <v>12</v>
      </c>
      <c r="B326" s="28" t="s">
        <v>1218</v>
      </c>
      <c r="C326" s="29" t="s">
        <v>1219</v>
      </c>
      <c r="D326" s="39" t="s">
        <v>1220</v>
      </c>
      <c r="E326" s="28" t="s">
        <v>28</v>
      </c>
      <c r="F326" s="28" t="s">
        <v>29</v>
      </c>
      <c r="G326" s="28" t="s">
        <v>98</v>
      </c>
      <c r="H326" s="28"/>
      <c r="I326" s="28" t="s">
        <v>38</v>
      </c>
      <c r="J326" s="28">
        <v>812.0</v>
      </c>
      <c r="K326" s="28"/>
      <c r="L326" s="31" t="s">
        <v>1221</v>
      </c>
      <c r="M326" s="28" t="s">
        <v>100</v>
      </c>
      <c r="N326" s="28">
        <v>2008.0</v>
      </c>
      <c r="O326" s="31">
        <v>8.0</v>
      </c>
      <c r="P326" s="31">
        <v>2.0</v>
      </c>
      <c r="Q326" s="37">
        <v>2.0</v>
      </c>
      <c r="R326" s="33"/>
      <c r="S326" s="40"/>
      <c r="T326" s="40"/>
      <c r="U326" s="40"/>
      <c r="V326" s="40"/>
      <c r="W326" s="40"/>
      <c r="X326" s="40"/>
      <c r="Y326" s="3"/>
      <c r="Z326" s="3"/>
      <c r="AA326" s="3"/>
      <c r="AB326" s="3"/>
      <c r="AC326" s="3"/>
      <c r="AD326" s="3"/>
      <c r="AE326" s="3"/>
      <c r="AF326" s="3"/>
      <c r="AG326" s="3"/>
      <c r="AH326" s="3"/>
      <c r="AI326" s="3"/>
      <c r="AJ326" s="3"/>
      <c r="AK326" s="3"/>
      <c r="AL326" s="3"/>
    </row>
    <row r="327" ht="15.75" customHeight="1">
      <c r="A327" s="27">
        <f t="shared" si="7"/>
        <v>13</v>
      </c>
      <c r="B327" s="28" t="s">
        <v>31</v>
      </c>
      <c r="C327" s="29" t="s">
        <v>1222</v>
      </c>
      <c r="D327" s="30" t="s">
        <v>1223</v>
      </c>
      <c r="E327" s="28" t="s">
        <v>28</v>
      </c>
      <c r="F327" s="28" t="s">
        <v>29</v>
      </c>
      <c r="G327" s="28" t="s">
        <v>38</v>
      </c>
      <c r="H327" s="28"/>
      <c r="I327" s="28" t="s">
        <v>1195</v>
      </c>
      <c r="J327" s="28">
        <v>445.0</v>
      </c>
      <c r="K327" s="28"/>
      <c r="L327" s="31" t="s">
        <v>1224</v>
      </c>
      <c r="M327" s="28" t="s">
        <v>72</v>
      </c>
      <c r="N327" s="28">
        <v>1964.0</v>
      </c>
      <c r="O327" s="31">
        <v>8.0</v>
      </c>
      <c r="P327" s="28">
        <v>2.0</v>
      </c>
      <c r="Q327" s="37">
        <v>1.0</v>
      </c>
      <c r="R327" s="33"/>
      <c r="S327" s="34"/>
      <c r="T327" s="34"/>
      <c r="U327" s="34"/>
      <c r="V327" s="34"/>
      <c r="W327" s="34"/>
      <c r="X327" s="34"/>
      <c r="Y327" s="45"/>
      <c r="Z327" s="45"/>
      <c r="AA327" s="45"/>
      <c r="AB327" s="45"/>
      <c r="AC327" s="45"/>
      <c r="AD327" s="45"/>
      <c r="AE327" s="45"/>
      <c r="AF327" s="45"/>
      <c r="AG327" s="45"/>
      <c r="AH327" s="45"/>
      <c r="AI327" s="45"/>
      <c r="AJ327" s="45"/>
      <c r="AK327" s="45"/>
      <c r="AL327" s="45"/>
    </row>
    <row r="328" ht="15.75" customHeight="1">
      <c r="A328" s="27">
        <f t="shared" si="7"/>
        <v>14</v>
      </c>
      <c r="B328" s="28" t="s">
        <v>1225</v>
      </c>
      <c r="C328" s="29" t="s">
        <v>1226</v>
      </c>
      <c r="D328" s="39" t="s">
        <v>1227</v>
      </c>
      <c r="E328" s="28" t="s">
        <v>28</v>
      </c>
      <c r="F328" s="28" t="s">
        <v>29</v>
      </c>
      <c r="G328" s="28" t="s">
        <v>98</v>
      </c>
      <c r="H328" s="28"/>
      <c r="I328" s="28" t="s">
        <v>1195</v>
      </c>
      <c r="J328" s="28">
        <v>1015.0</v>
      </c>
      <c r="K328" s="28"/>
      <c r="L328" s="31" t="s">
        <v>1221</v>
      </c>
      <c r="M328" s="28" t="s">
        <v>100</v>
      </c>
      <c r="N328" s="28">
        <v>2006.0</v>
      </c>
      <c r="O328" s="31">
        <v>8.0</v>
      </c>
      <c r="P328" s="31">
        <v>2.0</v>
      </c>
      <c r="Q328" s="37">
        <v>2.0</v>
      </c>
      <c r="R328" s="33"/>
      <c r="S328" s="34"/>
      <c r="T328" s="34"/>
      <c r="U328" s="34"/>
      <c r="V328" s="34"/>
      <c r="W328" s="34"/>
      <c r="X328" s="34"/>
      <c r="Y328" s="45"/>
      <c r="Z328" s="45"/>
      <c r="AA328" s="45"/>
      <c r="AB328" s="45"/>
      <c r="AC328" s="45"/>
      <c r="AD328" s="45"/>
      <c r="AE328" s="45"/>
      <c r="AF328" s="45"/>
      <c r="AG328" s="45"/>
      <c r="AH328" s="45"/>
      <c r="AI328" s="45"/>
      <c r="AJ328" s="45"/>
      <c r="AK328" s="45"/>
      <c r="AL328" s="45"/>
    </row>
    <row r="329" ht="15.75" customHeight="1">
      <c r="A329" s="27">
        <f t="shared" si="7"/>
        <v>15</v>
      </c>
      <c r="B329" s="28" t="s">
        <v>1228</v>
      </c>
      <c r="C329" s="29" t="s">
        <v>1229</v>
      </c>
      <c r="D329" s="30" t="s">
        <v>1230</v>
      </c>
      <c r="E329" s="28" t="s">
        <v>28</v>
      </c>
      <c r="F329" s="28" t="s">
        <v>29</v>
      </c>
      <c r="G329" s="28" t="s">
        <v>98</v>
      </c>
      <c r="H329" s="28"/>
      <c r="I329" s="28" t="s">
        <v>1195</v>
      </c>
      <c r="J329" s="28">
        <v>779.0</v>
      </c>
      <c r="K329" s="28"/>
      <c r="L329" s="31" t="s">
        <v>1221</v>
      </c>
      <c r="M329" s="28" t="s">
        <v>1231</v>
      </c>
      <c r="N329" s="28">
        <v>1981.0</v>
      </c>
      <c r="O329" s="31">
        <v>9.0</v>
      </c>
      <c r="P329" s="28">
        <v>5.0</v>
      </c>
      <c r="Q329" s="37">
        <v>3.0</v>
      </c>
      <c r="R329" s="33"/>
      <c r="S329" s="34"/>
      <c r="T329" s="34"/>
      <c r="U329" s="34"/>
      <c r="V329" s="34"/>
      <c r="W329" s="34"/>
      <c r="X329" s="34"/>
      <c r="Y329" s="3"/>
      <c r="Z329" s="3"/>
      <c r="AA329" s="3"/>
      <c r="AB329" s="3"/>
      <c r="AC329" s="3"/>
      <c r="AD329" s="3"/>
      <c r="AE329" s="3"/>
      <c r="AF329" s="3"/>
      <c r="AG329" s="3"/>
      <c r="AH329" s="3"/>
      <c r="AI329" s="3"/>
      <c r="AJ329" s="3"/>
      <c r="AK329" s="3"/>
      <c r="AL329" s="3"/>
    </row>
    <row r="330" ht="15.75" customHeight="1">
      <c r="A330" s="27">
        <f t="shared" si="7"/>
        <v>16</v>
      </c>
      <c r="B330" s="28" t="s">
        <v>31</v>
      </c>
      <c r="C330" s="29" t="s">
        <v>1232</v>
      </c>
      <c r="D330" s="30" t="s">
        <v>1233</v>
      </c>
      <c r="E330" s="28" t="s">
        <v>28</v>
      </c>
      <c r="F330" s="28" t="s">
        <v>29</v>
      </c>
      <c r="G330" s="28" t="s">
        <v>37</v>
      </c>
      <c r="H330" s="28"/>
      <c r="I330" s="28" t="s">
        <v>38</v>
      </c>
      <c r="J330" s="28">
        <v>156.0</v>
      </c>
      <c r="K330" s="28"/>
      <c r="L330" s="28" t="s">
        <v>1234</v>
      </c>
      <c r="M330" s="28" t="s">
        <v>1235</v>
      </c>
      <c r="N330" s="28">
        <v>1946.0</v>
      </c>
      <c r="O330" s="31">
        <v>9.0</v>
      </c>
      <c r="P330" s="28">
        <v>1.0</v>
      </c>
      <c r="Q330" s="37">
        <v>1.0</v>
      </c>
      <c r="R330" s="33"/>
      <c r="S330" s="34"/>
      <c r="T330" s="34"/>
      <c r="U330" s="34"/>
      <c r="V330" s="34"/>
      <c r="W330" s="34"/>
      <c r="X330" s="34"/>
      <c r="Y330" s="45"/>
      <c r="Z330" s="45"/>
      <c r="AA330" s="45"/>
      <c r="AB330" s="45"/>
      <c r="AC330" s="45"/>
      <c r="AD330" s="45"/>
      <c r="AE330" s="45"/>
      <c r="AF330" s="45"/>
      <c r="AG330" s="45"/>
      <c r="AH330" s="45"/>
      <c r="AI330" s="45"/>
      <c r="AJ330" s="45"/>
      <c r="AK330" s="45"/>
      <c r="AL330" s="45"/>
    </row>
    <row r="331" ht="25.5" customHeight="1">
      <c r="A331" s="27">
        <f t="shared" si="7"/>
        <v>17</v>
      </c>
      <c r="B331" s="28" t="s">
        <v>1211</v>
      </c>
      <c r="C331" s="29" t="s">
        <v>1236</v>
      </c>
      <c r="D331" s="30" t="s">
        <v>1237</v>
      </c>
      <c r="E331" s="28" t="s">
        <v>28</v>
      </c>
      <c r="F331" s="28" t="s">
        <v>29</v>
      </c>
      <c r="G331" s="28" t="s">
        <v>98</v>
      </c>
      <c r="H331" s="28"/>
      <c r="I331" s="28" t="s">
        <v>38</v>
      </c>
      <c r="J331" s="28">
        <v>553.0</v>
      </c>
      <c r="K331" s="28"/>
      <c r="L331" s="31" t="s">
        <v>1238</v>
      </c>
      <c r="M331" s="28" t="s">
        <v>100</v>
      </c>
      <c r="N331" s="28">
        <v>2006.0</v>
      </c>
      <c r="O331" s="31">
        <v>9.0</v>
      </c>
      <c r="P331" s="28">
        <v>3.0</v>
      </c>
      <c r="Q331" s="32">
        <v>3.0</v>
      </c>
      <c r="R331" s="37">
        <v>1.0</v>
      </c>
      <c r="S331" s="40"/>
      <c r="T331" s="40"/>
      <c r="U331" s="40"/>
      <c r="V331" s="40"/>
      <c r="W331" s="40"/>
      <c r="X331" s="40"/>
      <c r="Y331" s="45"/>
      <c r="Z331" s="45"/>
      <c r="AA331" s="45"/>
      <c r="AB331" s="45"/>
      <c r="AC331" s="45"/>
      <c r="AD331" s="45"/>
      <c r="AE331" s="45"/>
      <c r="AF331" s="45"/>
      <c r="AG331" s="45"/>
      <c r="AH331" s="45"/>
      <c r="AI331" s="45"/>
      <c r="AJ331" s="45"/>
      <c r="AK331" s="45"/>
      <c r="AL331" s="45"/>
    </row>
    <row r="332" ht="15.75" customHeight="1">
      <c r="A332" s="27">
        <f t="shared" si="7"/>
        <v>18</v>
      </c>
      <c r="B332" s="31" t="s">
        <v>1204</v>
      </c>
      <c r="C332" s="29" t="s">
        <v>1239</v>
      </c>
      <c r="D332" s="39" t="s">
        <v>1240</v>
      </c>
      <c r="E332" s="28" t="s">
        <v>28</v>
      </c>
      <c r="F332" s="28" t="s">
        <v>29</v>
      </c>
      <c r="G332" s="28" t="s">
        <v>98</v>
      </c>
      <c r="H332" s="28"/>
      <c r="I332" s="28" t="s">
        <v>1195</v>
      </c>
      <c r="J332" s="31">
        <v>203.0</v>
      </c>
      <c r="K332" s="28"/>
      <c r="L332" s="31" t="s">
        <v>1196</v>
      </c>
      <c r="M332" s="28" t="s">
        <v>54</v>
      </c>
      <c r="N332" s="28">
        <v>1983.0</v>
      </c>
      <c r="O332" s="31">
        <v>9.0</v>
      </c>
      <c r="P332" s="28">
        <v>1.0</v>
      </c>
      <c r="Q332" s="32">
        <v>1.0</v>
      </c>
      <c r="R332" s="33"/>
      <c r="S332" s="40"/>
      <c r="T332" s="40"/>
      <c r="U332" s="40"/>
      <c r="V332" s="40"/>
      <c r="W332" s="40"/>
      <c r="X332" s="40"/>
      <c r="Y332" s="45"/>
      <c r="Z332" s="45"/>
      <c r="AA332" s="45"/>
      <c r="AB332" s="45"/>
      <c r="AC332" s="45"/>
      <c r="AD332" s="45"/>
      <c r="AE332" s="45"/>
      <c r="AF332" s="45"/>
      <c r="AG332" s="45"/>
      <c r="AH332" s="45"/>
      <c r="AI332" s="45"/>
      <c r="AJ332" s="45"/>
      <c r="AK332" s="45"/>
      <c r="AL332" s="45"/>
    </row>
    <row r="333" ht="15.75" customHeight="1">
      <c r="A333" s="27">
        <f t="shared" si="7"/>
        <v>19</v>
      </c>
      <c r="B333" s="28"/>
      <c r="C333" s="43" t="s">
        <v>1241</v>
      </c>
      <c r="D333" s="30" t="s">
        <v>1242</v>
      </c>
      <c r="E333" s="28" t="s">
        <v>28</v>
      </c>
      <c r="F333" s="28" t="s">
        <v>29</v>
      </c>
      <c r="G333" s="28" t="s">
        <v>1243</v>
      </c>
      <c r="H333" s="28"/>
      <c r="I333" s="28" t="s">
        <v>1244</v>
      </c>
      <c r="J333" s="28">
        <v>550.0</v>
      </c>
      <c r="K333" s="28"/>
      <c r="L333" s="28"/>
      <c r="M333" s="28" t="s">
        <v>1245</v>
      </c>
      <c r="N333" s="28">
        <v>1977.0</v>
      </c>
      <c r="O333" s="31" t="s">
        <v>1246</v>
      </c>
      <c r="P333" s="28">
        <v>1.0</v>
      </c>
      <c r="Q333" s="32">
        <v>1.0</v>
      </c>
      <c r="R333" s="33"/>
      <c r="S333" s="34"/>
      <c r="T333" s="34"/>
      <c r="U333" s="34"/>
      <c r="V333" s="34"/>
      <c r="W333" s="34"/>
      <c r="X333" s="34"/>
      <c r="Y333" s="45"/>
      <c r="Z333" s="45"/>
      <c r="AA333" s="45"/>
      <c r="AB333" s="45"/>
      <c r="AC333" s="45"/>
      <c r="AD333" s="45"/>
      <c r="AE333" s="45"/>
      <c r="AF333" s="45"/>
      <c r="AG333" s="45"/>
      <c r="AH333" s="45"/>
      <c r="AI333" s="45"/>
      <c r="AJ333" s="45"/>
      <c r="AK333" s="45"/>
      <c r="AL333" s="45"/>
    </row>
    <row r="334" ht="15.75" customHeight="1">
      <c r="A334" s="27">
        <f t="shared" si="7"/>
        <v>20</v>
      </c>
      <c r="B334" s="28" t="s">
        <v>1247</v>
      </c>
      <c r="C334" s="29" t="s">
        <v>1248</v>
      </c>
      <c r="D334" s="30" t="s">
        <v>1249</v>
      </c>
      <c r="E334" s="28" t="s">
        <v>28</v>
      </c>
      <c r="F334" s="28" t="s">
        <v>29</v>
      </c>
      <c r="G334" s="28" t="s">
        <v>37</v>
      </c>
      <c r="H334" s="28"/>
      <c r="I334" s="28" t="s">
        <v>38</v>
      </c>
      <c r="J334" s="28">
        <v>158.0</v>
      </c>
      <c r="K334" s="28"/>
      <c r="L334" s="28" t="s">
        <v>1250</v>
      </c>
      <c r="M334" s="28" t="s">
        <v>1251</v>
      </c>
      <c r="N334" s="28">
        <v>1984.0</v>
      </c>
      <c r="O334" s="31">
        <v>9.0</v>
      </c>
      <c r="P334" s="28">
        <v>1.0</v>
      </c>
      <c r="Q334" s="37">
        <v>1.0</v>
      </c>
      <c r="R334" s="33"/>
      <c r="S334" s="40"/>
      <c r="T334" s="40"/>
      <c r="U334" s="40"/>
      <c r="V334" s="40"/>
      <c r="W334" s="40"/>
      <c r="X334" s="40"/>
      <c r="Y334" s="45"/>
      <c r="Z334" s="45"/>
      <c r="AA334" s="45"/>
      <c r="AB334" s="45"/>
      <c r="AC334" s="45"/>
      <c r="AD334" s="45"/>
      <c r="AE334" s="45"/>
      <c r="AF334" s="45"/>
      <c r="AG334" s="45"/>
      <c r="AH334" s="45"/>
      <c r="AI334" s="45"/>
      <c r="AJ334" s="45"/>
      <c r="AK334" s="45"/>
      <c r="AL334" s="45"/>
    </row>
    <row r="335" ht="15.75" customHeight="1">
      <c r="A335" s="27">
        <f t="shared" si="7"/>
        <v>21</v>
      </c>
      <c r="B335" s="31" t="s">
        <v>1252</v>
      </c>
      <c r="C335" s="29" t="s">
        <v>1253</v>
      </c>
      <c r="D335" s="39" t="s">
        <v>1254</v>
      </c>
      <c r="E335" s="28" t="s">
        <v>29</v>
      </c>
      <c r="F335" s="28"/>
      <c r="G335" s="28" t="s">
        <v>38</v>
      </c>
      <c r="H335" s="28"/>
      <c r="I335" s="28" t="s">
        <v>1255</v>
      </c>
      <c r="J335" s="28">
        <v>854.0</v>
      </c>
      <c r="K335" s="28"/>
      <c r="L335" s="31" t="s">
        <v>1256</v>
      </c>
      <c r="M335" s="28" t="s">
        <v>365</v>
      </c>
      <c r="N335" s="28">
        <v>1988.0</v>
      </c>
      <c r="O335" s="31">
        <v>8.0</v>
      </c>
      <c r="P335" s="28">
        <v>1.0</v>
      </c>
      <c r="Q335" s="32">
        <v>1.0</v>
      </c>
      <c r="R335" s="33"/>
      <c r="S335" s="40"/>
      <c r="T335" s="40"/>
      <c r="U335" s="40"/>
      <c r="V335" s="40"/>
      <c r="W335" s="40"/>
      <c r="X335" s="40"/>
      <c r="Y335" s="45"/>
      <c r="Z335" s="45"/>
      <c r="AA335" s="45"/>
      <c r="AB335" s="45"/>
      <c r="AC335" s="45"/>
      <c r="AD335" s="45"/>
      <c r="AE335" s="45"/>
      <c r="AF335" s="45"/>
      <c r="AG335" s="45"/>
      <c r="AH335" s="45"/>
      <c r="AI335" s="45"/>
      <c r="AJ335" s="45"/>
      <c r="AK335" s="45"/>
      <c r="AL335" s="45"/>
    </row>
    <row r="336" ht="15.75" customHeight="1">
      <c r="A336" s="27">
        <f t="shared" si="7"/>
        <v>22</v>
      </c>
      <c r="B336" s="28" t="s">
        <v>1257</v>
      </c>
      <c r="C336" s="29" t="s">
        <v>1258</v>
      </c>
      <c r="D336" s="39" t="s">
        <v>1259</v>
      </c>
      <c r="E336" s="28" t="s">
        <v>28</v>
      </c>
      <c r="F336" s="28" t="s">
        <v>29</v>
      </c>
      <c r="G336" s="28" t="s">
        <v>98</v>
      </c>
      <c r="H336" s="28"/>
      <c r="I336" s="28" t="s">
        <v>98</v>
      </c>
      <c r="J336" s="28">
        <v>1132.0</v>
      </c>
      <c r="K336" s="28"/>
      <c r="L336" s="28" t="s">
        <v>1260</v>
      </c>
      <c r="M336" s="28" t="s">
        <v>1261</v>
      </c>
      <c r="N336" s="28">
        <v>1980.0</v>
      </c>
      <c r="O336" s="31">
        <v>7.0</v>
      </c>
      <c r="P336" s="28">
        <v>1.0</v>
      </c>
      <c r="Q336" s="32">
        <v>1.0</v>
      </c>
      <c r="R336" s="33"/>
      <c r="S336" s="34"/>
      <c r="T336" s="34"/>
      <c r="U336" s="34"/>
      <c r="V336" s="34"/>
      <c r="W336" s="34"/>
      <c r="X336" s="34"/>
      <c r="Y336" s="45"/>
      <c r="Z336" s="45"/>
      <c r="AA336" s="45"/>
      <c r="AB336" s="45"/>
      <c r="AC336" s="45"/>
      <c r="AD336" s="45"/>
      <c r="AE336" s="45"/>
      <c r="AF336" s="45"/>
      <c r="AG336" s="45"/>
      <c r="AH336" s="45"/>
      <c r="AI336" s="45"/>
      <c r="AJ336" s="45"/>
      <c r="AK336" s="45"/>
      <c r="AL336" s="45"/>
    </row>
    <row r="337" ht="15.75" customHeight="1">
      <c r="A337" s="27">
        <f t="shared" si="7"/>
        <v>23</v>
      </c>
      <c r="B337" s="28" t="s">
        <v>1262</v>
      </c>
      <c r="C337" s="29" t="s">
        <v>1258</v>
      </c>
      <c r="D337" s="39" t="s">
        <v>1263</v>
      </c>
      <c r="E337" s="28" t="s">
        <v>28</v>
      </c>
      <c r="F337" s="28" t="s">
        <v>29</v>
      </c>
      <c r="G337" s="28" t="s">
        <v>98</v>
      </c>
      <c r="H337" s="28"/>
      <c r="I337" s="28" t="s">
        <v>98</v>
      </c>
      <c r="J337" s="28">
        <v>1358.0</v>
      </c>
      <c r="K337" s="28"/>
      <c r="L337" s="28" t="s">
        <v>1260</v>
      </c>
      <c r="M337" s="28" t="s">
        <v>1261</v>
      </c>
      <c r="N337" s="28">
        <v>1980.0</v>
      </c>
      <c r="O337" s="31">
        <v>7.0</v>
      </c>
      <c r="P337" s="28">
        <v>1.0</v>
      </c>
      <c r="Q337" s="32">
        <v>1.0</v>
      </c>
      <c r="R337" s="33"/>
      <c r="S337" s="34"/>
      <c r="T337" s="34"/>
      <c r="U337" s="34"/>
      <c r="V337" s="34"/>
      <c r="W337" s="34"/>
      <c r="X337" s="34"/>
      <c r="Y337" s="45"/>
      <c r="Z337" s="45"/>
      <c r="AA337" s="45"/>
      <c r="AB337" s="45"/>
      <c r="AC337" s="45"/>
      <c r="AD337" s="45"/>
      <c r="AE337" s="45"/>
      <c r="AF337" s="45"/>
      <c r="AG337" s="45"/>
      <c r="AH337" s="45"/>
      <c r="AI337" s="45"/>
      <c r="AJ337" s="45"/>
      <c r="AK337" s="45"/>
      <c r="AL337" s="45"/>
    </row>
    <row r="338" ht="15.75" customHeight="1">
      <c r="A338" s="27">
        <f t="shared" si="7"/>
        <v>24</v>
      </c>
      <c r="B338" s="28" t="s">
        <v>31</v>
      </c>
      <c r="C338" s="29" t="s">
        <v>1264</v>
      </c>
      <c r="D338" s="30" t="s">
        <v>1265</v>
      </c>
      <c r="E338" s="28" t="s">
        <v>28</v>
      </c>
      <c r="F338" s="28" t="s">
        <v>29</v>
      </c>
      <c r="G338" s="28" t="s">
        <v>37</v>
      </c>
      <c r="H338" s="28"/>
      <c r="I338" s="28" t="s">
        <v>38</v>
      </c>
      <c r="J338" s="28">
        <v>253.0</v>
      </c>
      <c r="K338" s="28"/>
      <c r="L338" s="28" t="s">
        <v>31</v>
      </c>
      <c r="M338" s="31" t="s">
        <v>1203</v>
      </c>
      <c r="N338" s="28" t="s">
        <v>31</v>
      </c>
      <c r="O338" s="31">
        <v>2.0</v>
      </c>
      <c r="P338" s="28">
        <v>1.0</v>
      </c>
      <c r="Q338" s="32">
        <v>1.0</v>
      </c>
      <c r="R338" s="33"/>
      <c r="S338" s="34"/>
      <c r="T338" s="34"/>
      <c r="U338" s="34"/>
      <c r="V338" s="34"/>
      <c r="W338" s="34"/>
      <c r="X338" s="34"/>
      <c r="Y338" s="45"/>
      <c r="Z338" s="45"/>
      <c r="AA338" s="45"/>
      <c r="AB338" s="45"/>
      <c r="AC338" s="45"/>
      <c r="AD338" s="45"/>
      <c r="AE338" s="45"/>
      <c r="AF338" s="45"/>
      <c r="AG338" s="45"/>
      <c r="AH338" s="45"/>
      <c r="AI338" s="45"/>
      <c r="AJ338" s="45"/>
      <c r="AK338" s="45"/>
      <c r="AL338" s="45"/>
    </row>
    <row r="339" ht="15.75" customHeight="1">
      <c r="A339" s="27">
        <f t="shared" si="7"/>
        <v>25</v>
      </c>
      <c r="B339" s="28" t="s">
        <v>31</v>
      </c>
      <c r="C339" s="29" t="s">
        <v>1266</v>
      </c>
      <c r="D339" s="30" t="s">
        <v>1267</v>
      </c>
      <c r="E339" s="28" t="s">
        <v>28</v>
      </c>
      <c r="F339" s="28" t="s">
        <v>29</v>
      </c>
      <c r="G339" s="28" t="s">
        <v>37</v>
      </c>
      <c r="H339" s="28"/>
      <c r="I339" s="28" t="s">
        <v>38</v>
      </c>
      <c r="J339" s="28">
        <v>253.0</v>
      </c>
      <c r="K339" s="28"/>
      <c r="L339" s="28" t="s">
        <v>31</v>
      </c>
      <c r="M339" s="31" t="s">
        <v>1203</v>
      </c>
      <c r="N339" s="28" t="s">
        <v>31</v>
      </c>
      <c r="O339" s="31">
        <v>2.0</v>
      </c>
      <c r="P339" s="28">
        <v>1.0</v>
      </c>
      <c r="Q339" s="32">
        <v>1.0</v>
      </c>
      <c r="R339" s="33"/>
      <c r="S339" s="40"/>
      <c r="T339" s="40"/>
      <c r="U339" s="40"/>
      <c r="V339" s="40"/>
      <c r="W339" s="40"/>
      <c r="X339" s="40"/>
      <c r="Y339" s="45"/>
      <c r="Z339" s="45"/>
      <c r="AA339" s="45"/>
      <c r="AB339" s="45"/>
      <c r="AC339" s="45"/>
      <c r="AD339" s="45"/>
      <c r="AE339" s="45"/>
      <c r="AF339" s="45"/>
      <c r="AG339" s="45"/>
      <c r="AH339" s="45"/>
      <c r="AI339" s="45"/>
      <c r="AJ339" s="45"/>
      <c r="AK339" s="45"/>
      <c r="AL339" s="45"/>
    </row>
    <row r="340" ht="15.75" customHeight="1">
      <c r="A340" s="27">
        <f t="shared" si="7"/>
        <v>26</v>
      </c>
      <c r="B340" s="28" t="s">
        <v>1268</v>
      </c>
      <c r="C340" s="29" t="s">
        <v>1269</v>
      </c>
      <c r="D340" s="39" t="s">
        <v>1270</v>
      </c>
      <c r="E340" s="28" t="s">
        <v>28</v>
      </c>
      <c r="F340" s="28" t="s">
        <v>29</v>
      </c>
      <c r="G340" s="28" t="s">
        <v>30</v>
      </c>
      <c r="H340" s="28"/>
      <c r="I340" s="28" t="s">
        <v>30</v>
      </c>
      <c r="J340" s="28">
        <v>482.0</v>
      </c>
      <c r="K340" s="28"/>
      <c r="L340" s="28" t="s">
        <v>615</v>
      </c>
      <c r="M340" s="28" t="s">
        <v>1271</v>
      </c>
      <c r="N340" s="28">
        <v>2015.0</v>
      </c>
      <c r="O340" s="31">
        <v>9.0</v>
      </c>
      <c r="P340" s="28">
        <v>1.0</v>
      </c>
      <c r="Q340" s="37">
        <v>1.0</v>
      </c>
      <c r="R340" s="33"/>
      <c r="S340" s="34"/>
      <c r="T340" s="34"/>
      <c r="U340" s="34"/>
      <c r="V340" s="34"/>
      <c r="W340" s="34"/>
      <c r="X340" s="34"/>
      <c r="Y340" s="3"/>
      <c r="Z340" s="3"/>
      <c r="AA340" s="3"/>
      <c r="AB340" s="3"/>
      <c r="AC340" s="3"/>
      <c r="AD340" s="3"/>
      <c r="AE340" s="3"/>
      <c r="AF340" s="3"/>
      <c r="AG340" s="3"/>
      <c r="AH340" s="3"/>
      <c r="AI340" s="3"/>
      <c r="AJ340" s="3"/>
      <c r="AK340" s="3"/>
      <c r="AL340" s="3"/>
    </row>
    <row r="341" ht="15.75" customHeight="1">
      <c r="A341" s="27">
        <f t="shared" si="7"/>
        <v>27</v>
      </c>
      <c r="B341" s="28" t="s">
        <v>1272</v>
      </c>
      <c r="C341" s="29" t="s">
        <v>1273</v>
      </c>
      <c r="D341" s="30" t="s">
        <v>1274</v>
      </c>
      <c r="E341" s="28"/>
      <c r="F341" s="28" t="s">
        <v>29</v>
      </c>
      <c r="G341" s="28" t="s">
        <v>30</v>
      </c>
      <c r="H341" s="28"/>
      <c r="I341" s="28" t="s">
        <v>30</v>
      </c>
      <c r="J341" s="28">
        <v>368.0</v>
      </c>
      <c r="K341" s="28"/>
      <c r="L341" s="28" t="s">
        <v>1275</v>
      </c>
      <c r="M341" s="28" t="s">
        <v>151</v>
      </c>
      <c r="N341" s="28">
        <v>2012.0</v>
      </c>
      <c r="O341" s="31" t="s">
        <v>89</v>
      </c>
      <c r="P341" s="28">
        <v>1.0</v>
      </c>
      <c r="Q341" s="37">
        <v>1.0</v>
      </c>
      <c r="R341" s="33"/>
      <c r="S341" s="40"/>
      <c r="T341" s="40"/>
      <c r="U341" s="40"/>
      <c r="V341" s="40"/>
      <c r="W341" s="40"/>
      <c r="X341" s="40"/>
      <c r="Y341" s="45"/>
      <c r="Z341" s="45"/>
      <c r="AA341" s="45"/>
      <c r="AB341" s="45"/>
      <c r="AC341" s="45"/>
      <c r="AD341" s="45"/>
      <c r="AE341" s="45"/>
      <c r="AF341" s="45"/>
      <c r="AG341" s="45"/>
      <c r="AH341" s="45"/>
      <c r="AI341" s="45"/>
      <c r="AJ341" s="45"/>
      <c r="AK341" s="45"/>
      <c r="AL341" s="45"/>
    </row>
    <row r="342" ht="15.75" customHeight="1">
      <c r="A342" s="27">
        <f t="shared" si="7"/>
        <v>28</v>
      </c>
      <c r="B342" s="28" t="s">
        <v>1276</v>
      </c>
      <c r="C342" s="29" t="s">
        <v>1277</v>
      </c>
      <c r="D342" s="39" t="s">
        <v>1278</v>
      </c>
      <c r="E342" s="28" t="s">
        <v>223</v>
      </c>
      <c r="F342" s="28" t="s">
        <v>29</v>
      </c>
      <c r="G342" s="28" t="s">
        <v>37</v>
      </c>
      <c r="H342" s="28"/>
      <c r="I342" s="28" t="s">
        <v>38</v>
      </c>
      <c r="J342" s="31">
        <v>88.0</v>
      </c>
      <c r="K342" s="28"/>
      <c r="L342" s="28" t="s">
        <v>619</v>
      </c>
      <c r="M342" s="28" t="s">
        <v>54</v>
      </c>
      <c r="N342" s="28">
        <v>1984.0</v>
      </c>
      <c r="O342" s="31">
        <v>7.0</v>
      </c>
      <c r="P342" s="28">
        <v>1.0</v>
      </c>
      <c r="Q342" s="37">
        <v>1.0</v>
      </c>
      <c r="R342" s="33"/>
      <c r="S342" s="34"/>
      <c r="T342" s="34"/>
      <c r="U342" s="34"/>
      <c r="V342" s="34"/>
      <c r="W342" s="34"/>
      <c r="X342" s="34"/>
      <c r="Y342" s="45"/>
      <c r="Z342" s="45"/>
      <c r="AA342" s="45"/>
      <c r="AB342" s="45"/>
      <c r="AC342" s="45"/>
      <c r="AD342" s="45"/>
      <c r="AE342" s="45"/>
      <c r="AF342" s="45"/>
      <c r="AG342" s="45"/>
      <c r="AH342" s="45"/>
      <c r="AI342" s="45"/>
      <c r="AJ342" s="45"/>
      <c r="AK342" s="45"/>
      <c r="AL342" s="45"/>
    </row>
    <row r="343" ht="15.75" customHeight="1">
      <c r="A343" s="27">
        <f t="shared" si="7"/>
        <v>29</v>
      </c>
      <c r="B343" s="28" t="s">
        <v>1279</v>
      </c>
      <c r="C343" s="29" t="s">
        <v>1280</v>
      </c>
      <c r="D343" s="39" t="s">
        <v>1281</v>
      </c>
      <c r="E343" s="28" t="s">
        <v>223</v>
      </c>
      <c r="F343" s="28" t="s">
        <v>29</v>
      </c>
      <c r="G343" s="28" t="s">
        <v>37</v>
      </c>
      <c r="H343" s="28"/>
      <c r="I343" s="28" t="s">
        <v>38</v>
      </c>
      <c r="J343" s="31">
        <v>125.0</v>
      </c>
      <c r="K343" s="28"/>
      <c r="L343" s="28" t="s">
        <v>619</v>
      </c>
      <c r="M343" s="28" t="s">
        <v>54</v>
      </c>
      <c r="N343" s="28">
        <v>1980.0</v>
      </c>
      <c r="O343" s="31">
        <v>7.0</v>
      </c>
      <c r="P343" s="31">
        <v>4.0</v>
      </c>
      <c r="Q343" s="37">
        <v>4.0</v>
      </c>
      <c r="R343" s="33"/>
      <c r="S343" s="34"/>
      <c r="T343" s="34"/>
      <c r="U343" s="34"/>
      <c r="V343" s="34"/>
      <c r="W343" s="34"/>
      <c r="X343" s="34"/>
      <c r="Y343" s="45"/>
      <c r="Z343" s="45"/>
      <c r="AA343" s="45"/>
      <c r="AB343" s="45"/>
      <c r="AC343" s="45"/>
      <c r="AD343" s="45"/>
      <c r="AE343" s="45"/>
      <c r="AF343" s="45"/>
      <c r="AG343" s="45"/>
      <c r="AH343" s="45"/>
      <c r="AI343" s="45"/>
      <c r="AJ343" s="45"/>
      <c r="AK343" s="45"/>
      <c r="AL343" s="45"/>
    </row>
    <row r="344" ht="15.75" customHeight="1">
      <c r="A344" s="27">
        <f t="shared" si="7"/>
        <v>30</v>
      </c>
      <c r="B344" s="28" t="s">
        <v>1282</v>
      </c>
      <c r="C344" s="43" t="s">
        <v>1283</v>
      </c>
      <c r="D344" s="30" t="s">
        <v>1284</v>
      </c>
      <c r="E344" s="28"/>
      <c r="F344" s="28" t="s">
        <v>29</v>
      </c>
      <c r="G344" s="28" t="s">
        <v>37</v>
      </c>
      <c r="H344" s="28"/>
      <c r="I344" s="28" t="s">
        <v>38</v>
      </c>
      <c r="J344" s="28">
        <v>338.0</v>
      </c>
      <c r="K344" s="28"/>
      <c r="L344" s="28" t="s">
        <v>1285</v>
      </c>
      <c r="M344" s="28" t="s">
        <v>230</v>
      </c>
      <c r="N344" s="28">
        <v>1986.0</v>
      </c>
      <c r="O344" s="31" t="s">
        <v>89</v>
      </c>
      <c r="P344" s="28">
        <v>1.0</v>
      </c>
      <c r="Q344" s="37">
        <v>1.0</v>
      </c>
      <c r="R344" s="33"/>
      <c r="S344" s="34"/>
      <c r="T344" s="34"/>
      <c r="U344" s="34"/>
      <c r="V344" s="34"/>
      <c r="W344" s="34"/>
      <c r="X344" s="34"/>
      <c r="Y344" s="45"/>
      <c r="Z344" s="45"/>
      <c r="AA344" s="45"/>
      <c r="AB344" s="45"/>
      <c r="AC344" s="45"/>
      <c r="AD344" s="45"/>
      <c r="AE344" s="45"/>
      <c r="AF344" s="45"/>
      <c r="AG344" s="45"/>
      <c r="AH344" s="45"/>
      <c r="AI344" s="45"/>
      <c r="AJ344" s="45"/>
      <c r="AK344" s="45"/>
      <c r="AL344" s="45"/>
    </row>
    <row r="345" ht="15.75" customHeight="1">
      <c r="A345" s="27">
        <f t="shared" si="7"/>
        <v>31</v>
      </c>
      <c r="B345" s="28" t="s">
        <v>1286</v>
      </c>
      <c r="C345" s="29" t="s">
        <v>1287</v>
      </c>
      <c r="D345" s="30" t="s">
        <v>1288</v>
      </c>
      <c r="E345" s="28" t="s">
        <v>28</v>
      </c>
      <c r="F345" s="28" t="s">
        <v>29</v>
      </c>
      <c r="G345" s="28" t="s">
        <v>30</v>
      </c>
      <c r="H345" s="28"/>
      <c r="I345" s="28" t="s">
        <v>30</v>
      </c>
      <c r="J345" s="28">
        <v>939.0</v>
      </c>
      <c r="K345" s="28"/>
      <c r="L345" s="28" t="s">
        <v>780</v>
      </c>
      <c r="M345" s="28" t="s">
        <v>169</v>
      </c>
      <c r="N345" s="28">
        <v>2016.0</v>
      </c>
      <c r="O345" s="31">
        <v>8.0</v>
      </c>
      <c r="P345" s="28">
        <v>1.0</v>
      </c>
      <c r="Q345" s="32">
        <v>1.0</v>
      </c>
      <c r="R345" s="33"/>
      <c r="S345" s="34"/>
      <c r="T345" s="34"/>
      <c r="U345" s="34"/>
      <c r="V345" s="34"/>
      <c r="W345" s="34"/>
      <c r="X345" s="34"/>
      <c r="Y345" s="45"/>
      <c r="Z345" s="45"/>
      <c r="AA345" s="45"/>
      <c r="AB345" s="45"/>
      <c r="AC345" s="45"/>
      <c r="AD345" s="45"/>
      <c r="AE345" s="45"/>
      <c r="AF345" s="45"/>
      <c r="AG345" s="45"/>
      <c r="AH345" s="45"/>
      <c r="AI345" s="45"/>
      <c r="AJ345" s="45"/>
      <c r="AK345" s="45"/>
      <c r="AL345" s="45"/>
    </row>
    <row r="346" ht="15.75" customHeight="1">
      <c r="A346" s="27">
        <f t="shared" si="7"/>
        <v>32</v>
      </c>
      <c r="B346" s="28" t="s">
        <v>31</v>
      </c>
      <c r="C346" s="29" t="s">
        <v>1289</v>
      </c>
      <c r="D346" s="30" t="s">
        <v>1290</v>
      </c>
      <c r="E346" s="28" t="s">
        <v>28</v>
      </c>
      <c r="F346" s="28" t="s">
        <v>29</v>
      </c>
      <c r="G346" s="28" t="s">
        <v>37</v>
      </c>
      <c r="H346" s="28"/>
      <c r="I346" s="28" t="s">
        <v>38</v>
      </c>
      <c r="J346" s="28">
        <v>160.0</v>
      </c>
      <c r="K346" s="28"/>
      <c r="L346" s="28" t="s">
        <v>1291</v>
      </c>
      <c r="M346" s="28" t="s">
        <v>230</v>
      </c>
      <c r="N346" s="28">
        <v>1967.0</v>
      </c>
      <c r="O346" s="31">
        <v>8.0</v>
      </c>
      <c r="P346" s="28">
        <v>1.0</v>
      </c>
      <c r="Q346" s="37">
        <v>1.0</v>
      </c>
      <c r="R346" s="33"/>
      <c r="S346" s="40"/>
      <c r="T346" s="40"/>
      <c r="U346" s="40"/>
      <c r="V346" s="40"/>
      <c r="W346" s="40"/>
      <c r="X346" s="40"/>
      <c r="Y346" s="45"/>
      <c r="Z346" s="45"/>
      <c r="AA346" s="45"/>
      <c r="AB346" s="45"/>
      <c r="AC346" s="45"/>
      <c r="AD346" s="45"/>
      <c r="AE346" s="45"/>
      <c r="AF346" s="45"/>
      <c r="AG346" s="45"/>
      <c r="AH346" s="45"/>
      <c r="AI346" s="45"/>
      <c r="AJ346" s="45"/>
      <c r="AK346" s="45"/>
      <c r="AL346" s="45"/>
    </row>
    <row r="347" ht="15.75" customHeight="1">
      <c r="A347" s="27">
        <f t="shared" si="7"/>
        <v>33</v>
      </c>
      <c r="B347" s="28" t="s">
        <v>1292</v>
      </c>
      <c r="C347" s="29" t="s">
        <v>1293</v>
      </c>
      <c r="D347" s="30" t="s">
        <v>1294</v>
      </c>
      <c r="E347" s="28" t="s">
        <v>28</v>
      </c>
      <c r="F347" s="28" t="s">
        <v>29</v>
      </c>
      <c r="G347" s="28" t="s">
        <v>37</v>
      </c>
      <c r="H347" s="28"/>
      <c r="I347" s="28" t="s">
        <v>38</v>
      </c>
      <c r="J347" s="31">
        <v>594.0</v>
      </c>
      <c r="K347" s="28"/>
      <c r="L347" s="28" t="s">
        <v>1295</v>
      </c>
      <c r="M347" s="28" t="s">
        <v>219</v>
      </c>
      <c r="N347" s="28">
        <v>1985.0</v>
      </c>
      <c r="O347" s="31">
        <v>9.0</v>
      </c>
      <c r="P347" s="28">
        <v>1.0</v>
      </c>
      <c r="Q347" s="37">
        <v>1.0</v>
      </c>
      <c r="R347" s="33"/>
      <c r="S347" s="34"/>
      <c r="T347" s="34"/>
      <c r="U347" s="34"/>
      <c r="V347" s="34"/>
      <c r="W347" s="34"/>
      <c r="X347" s="34"/>
      <c r="Y347" s="45"/>
      <c r="Z347" s="45"/>
      <c r="AA347" s="45"/>
      <c r="AB347" s="45"/>
      <c r="AC347" s="45"/>
      <c r="AD347" s="45"/>
      <c r="AE347" s="45"/>
      <c r="AF347" s="45"/>
      <c r="AG347" s="45"/>
      <c r="AH347" s="45"/>
      <c r="AI347" s="45"/>
      <c r="AJ347" s="45"/>
      <c r="AK347" s="45"/>
      <c r="AL347" s="45"/>
    </row>
    <row r="348" ht="15.75" customHeight="1">
      <c r="A348" s="27">
        <f t="shared" si="7"/>
        <v>34</v>
      </c>
      <c r="B348" s="28" t="s">
        <v>1296</v>
      </c>
      <c r="C348" s="29" t="s">
        <v>1297</v>
      </c>
      <c r="D348" s="39" t="s">
        <v>1298</v>
      </c>
      <c r="E348" s="28" t="s">
        <v>28</v>
      </c>
      <c r="F348" s="28" t="s">
        <v>29</v>
      </c>
      <c r="G348" s="28" t="s">
        <v>37</v>
      </c>
      <c r="H348" s="28" t="s">
        <v>31</v>
      </c>
      <c r="I348" s="28" t="s">
        <v>38</v>
      </c>
      <c r="J348" s="31">
        <v>228.0</v>
      </c>
      <c r="K348" s="28"/>
      <c r="L348" s="28" t="s">
        <v>1299</v>
      </c>
      <c r="M348" s="28" t="s">
        <v>178</v>
      </c>
      <c r="N348" s="28">
        <v>2003.0</v>
      </c>
      <c r="O348" s="31">
        <v>4.0</v>
      </c>
      <c r="P348" s="28">
        <v>1.0</v>
      </c>
      <c r="Q348" s="32">
        <v>1.0</v>
      </c>
      <c r="R348" s="33"/>
      <c r="S348" s="34"/>
      <c r="T348" s="34"/>
      <c r="U348" s="34"/>
      <c r="V348" s="34"/>
      <c r="W348" s="34"/>
      <c r="X348" s="34"/>
      <c r="Y348" s="45"/>
      <c r="Z348" s="45"/>
      <c r="AA348" s="45"/>
      <c r="AB348" s="45"/>
      <c r="AC348" s="45"/>
      <c r="AD348" s="45"/>
      <c r="AE348" s="45"/>
      <c r="AF348" s="45"/>
      <c r="AG348" s="45"/>
      <c r="AH348" s="45"/>
      <c r="AI348" s="45"/>
      <c r="AJ348" s="45"/>
      <c r="AK348" s="45"/>
      <c r="AL348" s="45"/>
    </row>
    <row r="349" ht="15.75" customHeight="1">
      <c r="A349" s="27">
        <f t="shared" si="7"/>
        <v>35</v>
      </c>
      <c r="B349" s="28" t="s">
        <v>1300</v>
      </c>
      <c r="C349" s="29" t="s">
        <v>1301</v>
      </c>
      <c r="D349" s="39" t="s">
        <v>1302</v>
      </c>
      <c r="E349" s="28" t="s">
        <v>28</v>
      </c>
      <c r="F349" s="28" t="s">
        <v>29</v>
      </c>
      <c r="G349" s="28" t="s">
        <v>37</v>
      </c>
      <c r="H349" s="28"/>
      <c r="I349" s="28" t="s">
        <v>38</v>
      </c>
      <c r="J349" s="28">
        <f>357+10</f>
        <v>367</v>
      </c>
      <c r="K349" s="28"/>
      <c r="L349" s="31" t="s">
        <v>1303</v>
      </c>
      <c r="M349" s="28" t="s">
        <v>49</v>
      </c>
      <c r="N349" s="28">
        <v>1990.0</v>
      </c>
      <c r="O349" s="31">
        <v>5.0</v>
      </c>
      <c r="P349" s="28">
        <v>1.0</v>
      </c>
      <c r="Q349" s="32">
        <v>1.0</v>
      </c>
      <c r="R349" s="33"/>
      <c r="S349" s="40"/>
      <c r="T349" s="40"/>
      <c r="U349" s="40"/>
      <c r="V349" s="40"/>
      <c r="W349" s="40"/>
      <c r="X349" s="40"/>
      <c r="Y349" s="3"/>
      <c r="Z349" s="3"/>
      <c r="AA349" s="3"/>
      <c r="AB349" s="3"/>
      <c r="AC349" s="3"/>
      <c r="AD349" s="3"/>
      <c r="AE349" s="3"/>
      <c r="AF349" s="3"/>
      <c r="AG349" s="3"/>
      <c r="AH349" s="3"/>
      <c r="AI349" s="3"/>
      <c r="AJ349" s="3"/>
      <c r="AK349" s="3"/>
      <c r="AL349" s="3"/>
    </row>
    <row r="350" ht="15.75" customHeight="1">
      <c r="A350" s="27">
        <f t="shared" si="7"/>
        <v>36</v>
      </c>
      <c r="B350" s="28" t="s">
        <v>1304</v>
      </c>
      <c r="C350" s="29" t="s">
        <v>1305</v>
      </c>
      <c r="D350" s="39" t="s">
        <v>1306</v>
      </c>
      <c r="E350" s="28" t="s">
        <v>28</v>
      </c>
      <c r="F350" s="28" t="s">
        <v>29</v>
      </c>
      <c r="G350" s="28" t="s">
        <v>37</v>
      </c>
      <c r="H350" s="28"/>
      <c r="I350" s="28" t="s">
        <v>38</v>
      </c>
      <c r="J350" s="28">
        <f>356+10</f>
        <v>366</v>
      </c>
      <c r="K350" s="28"/>
      <c r="L350" s="28" t="s">
        <v>1307</v>
      </c>
      <c r="M350" s="28" t="s">
        <v>382</v>
      </c>
      <c r="N350" s="28">
        <v>2004.0</v>
      </c>
      <c r="O350" s="31">
        <v>6.0</v>
      </c>
      <c r="P350" s="28">
        <v>1.0</v>
      </c>
      <c r="Q350" s="32">
        <v>1.0</v>
      </c>
      <c r="R350" s="33"/>
      <c r="S350" s="40"/>
      <c r="T350" s="40"/>
      <c r="U350" s="40"/>
      <c r="V350" s="40"/>
      <c r="W350" s="40"/>
      <c r="X350" s="40"/>
      <c r="Y350" s="45"/>
      <c r="Z350" s="45"/>
      <c r="AA350" s="45"/>
      <c r="AB350" s="45"/>
      <c r="AC350" s="45"/>
      <c r="AD350" s="45"/>
      <c r="AE350" s="45"/>
      <c r="AF350" s="45"/>
      <c r="AG350" s="45"/>
      <c r="AH350" s="45"/>
      <c r="AI350" s="45"/>
      <c r="AJ350" s="45"/>
      <c r="AK350" s="45"/>
      <c r="AL350" s="45"/>
    </row>
    <row r="351" ht="15.75" customHeight="1">
      <c r="A351" s="27">
        <f t="shared" si="7"/>
        <v>37</v>
      </c>
      <c r="B351" s="31" t="s">
        <v>1308</v>
      </c>
      <c r="C351" s="29" t="s">
        <v>1309</v>
      </c>
      <c r="D351" s="39" t="s">
        <v>1310</v>
      </c>
      <c r="E351" s="28" t="s">
        <v>28</v>
      </c>
      <c r="F351" s="28" t="s">
        <v>29</v>
      </c>
      <c r="G351" s="28" t="s">
        <v>37</v>
      </c>
      <c r="H351" s="28"/>
      <c r="I351" s="28" t="s">
        <v>38</v>
      </c>
      <c r="J351" s="28">
        <f>528</f>
        <v>528</v>
      </c>
      <c r="K351" s="28"/>
      <c r="L351" s="31" t="s">
        <v>1311</v>
      </c>
      <c r="M351" s="28" t="s">
        <v>123</v>
      </c>
      <c r="N351" s="28">
        <v>1998.0</v>
      </c>
      <c r="O351" s="31">
        <v>5.0</v>
      </c>
      <c r="P351" s="28">
        <v>1.0</v>
      </c>
      <c r="Q351" s="37">
        <v>1.0</v>
      </c>
      <c r="R351" s="33"/>
      <c r="S351" s="40"/>
      <c r="T351" s="40"/>
      <c r="U351" s="40"/>
      <c r="V351" s="40"/>
      <c r="W351" s="40"/>
      <c r="X351" s="40"/>
      <c r="Y351" s="45"/>
      <c r="Z351" s="45"/>
      <c r="AA351" s="45"/>
      <c r="AB351" s="45"/>
      <c r="AC351" s="45"/>
      <c r="AD351" s="45"/>
      <c r="AE351" s="45"/>
      <c r="AF351" s="45"/>
      <c r="AG351" s="45"/>
      <c r="AH351" s="45"/>
      <c r="AI351" s="45"/>
      <c r="AJ351" s="45"/>
      <c r="AK351" s="45"/>
      <c r="AL351" s="45"/>
    </row>
    <row r="352" ht="15.75" customHeight="1">
      <c r="A352" s="27">
        <f t="shared" si="7"/>
        <v>38</v>
      </c>
      <c r="B352" s="28" t="s">
        <v>1312</v>
      </c>
      <c r="C352" s="29" t="s">
        <v>1313</v>
      </c>
      <c r="D352" s="39" t="s">
        <v>1314</v>
      </c>
      <c r="E352" s="28" t="s">
        <v>28</v>
      </c>
      <c r="F352" s="28" t="s">
        <v>29</v>
      </c>
      <c r="G352" s="31" t="s">
        <v>37</v>
      </c>
      <c r="H352" s="28"/>
      <c r="I352" s="28" t="s">
        <v>38</v>
      </c>
      <c r="J352" s="28">
        <v>358.0</v>
      </c>
      <c r="K352" s="28"/>
      <c r="L352" s="28" t="s">
        <v>1315</v>
      </c>
      <c r="M352" s="28" t="s">
        <v>236</v>
      </c>
      <c r="N352" s="28">
        <v>1984.0</v>
      </c>
      <c r="O352" s="31">
        <v>6.0</v>
      </c>
      <c r="P352" s="28">
        <v>2.0</v>
      </c>
      <c r="Q352" s="37">
        <v>2.0</v>
      </c>
      <c r="R352" s="33"/>
      <c r="S352" s="34"/>
      <c r="T352" s="34"/>
      <c r="U352" s="34"/>
      <c r="V352" s="34"/>
      <c r="W352" s="34"/>
      <c r="X352" s="34"/>
      <c r="Y352" s="45"/>
      <c r="Z352" s="45"/>
      <c r="AA352" s="45"/>
      <c r="AB352" s="45"/>
      <c r="AC352" s="45"/>
      <c r="AD352" s="45"/>
      <c r="AE352" s="45"/>
      <c r="AF352" s="45"/>
      <c r="AG352" s="45"/>
      <c r="AH352" s="45"/>
      <c r="AI352" s="45"/>
      <c r="AJ352" s="45"/>
      <c r="AK352" s="45"/>
      <c r="AL352" s="45"/>
    </row>
    <row r="353" ht="15.75" customHeight="1">
      <c r="A353" s="27">
        <f t="shared" si="7"/>
        <v>39</v>
      </c>
      <c r="B353" s="28" t="s">
        <v>1316</v>
      </c>
      <c r="C353" s="29" t="s">
        <v>1317</v>
      </c>
      <c r="D353" s="30" t="s">
        <v>1318</v>
      </c>
      <c r="E353" s="28" t="s">
        <v>28</v>
      </c>
      <c r="F353" s="28" t="s">
        <v>29</v>
      </c>
      <c r="G353" s="28" t="s">
        <v>37</v>
      </c>
      <c r="H353" s="28"/>
      <c r="I353" s="28" t="s">
        <v>38</v>
      </c>
      <c r="J353" s="28">
        <v>169.0</v>
      </c>
      <c r="K353" s="28"/>
      <c r="L353" s="28" t="s">
        <v>1319</v>
      </c>
      <c r="M353" s="28" t="s">
        <v>931</v>
      </c>
      <c r="N353" s="28">
        <v>1976.0</v>
      </c>
      <c r="O353" s="31">
        <v>5.0</v>
      </c>
      <c r="P353" s="28">
        <v>1.0</v>
      </c>
      <c r="Q353" s="32">
        <v>1.0</v>
      </c>
      <c r="R353" s="33"/>
      <c r="S353" s="40"/>
      <c r="T353" s="40"/>
      <c r="U353" s="40"/>
      <c r="V353" s="40"/>
      <c r="W353" s="40"/>
      <c r="X353" s="40"/>
      <c r="Y353" s="45"/>
      <c r="Z353" s="45"/>
      <c r="AA353" s="45"/>
      <c r="AB353" s="45"/>
      <c r="AC353" s="45"/>
      <c r="AD353" s="45"/>
      <c r="AE353" s="45"/>
      <c r="AF353" s="45"/>
      <c r="AG353" s="45"/>
      <c r="AH353" s="45"/>
      <c r="AI353" s="45"/>
      <c r="AJ353" s="45"/>
      <c r="AK353" s="45"/>
      <c r="AL353" s="45"/>
    </row>
    <row r="354" ht="15.75" customHeight="1">
      <c r="A354" s="27">
        <f t="shared" si="7"/>
        <v>40</v>
      </c>
      <c r="B354" s="28" t="s">
        <v>1320</v>
      </c>
      <c r="C354" s="29" t="s">
        <v>1321</v>
      </c>
      <c r="D354" s="39" t="s">
        <v>1322</v>
      </c>
      <c r="E354" s="28" t="s">
        <v>28</v>
      </c>
      <c r="F354" s="28" t="s">
        <v>29</v>
      </c>
      <c r="G354" s="28" t="s">
        <v>37</v>
      </c>
      <c r="H354" s="28"/>
      <c r="I354" s="28" t="s">
        <v>38</v>
      </c>
      <c r="J354" s="28">
        <v>258.0</v>
      </c>
      <c r="K354" s="28"/>
      <c r="L354" s="28" t="s">
        <v>1323</v>
      </c>
      <c r="M354" s="28" t="s">
        <v>178</v>
      </c>
      <c r="N354" s="28">
        <v>1990.0</v>
      </c>
      <c r="O354" s="31">
        <v>6.0</v>
      </c>
      <c r="P354" s="28">
        <v>1.0</v>
      </c>
      <c r="Q354" s="32">
        <v>1.0</v>
      </c>
      <c r="R354" s="33"/>
      <c r="S354" s="34"/>
      <c r="T354" s="34"/>
      <c r="U354" s="34"/>
      <c r="V354" s="34"/>
      <c r="W354" s="34"/>
      <c r="X354" s="34"/>
      <c r="Y354" s="45"/>
      <c r="Z354" s="45"/>
      <c r="AA354" s="45"/>
      <c r="AB354" s="45"/>
      <c r="AC354" s="45"/>
      <c r="AD354" s="45"/>
      <c r="AE354" s="45"/>
      <c r="AF354" s="45"/>
      <c r="AG354" s="45"/>
      <c r="AH354" s="45"/>
      <c r="AI354" s="45"/>
      <c r="AJ354" s="45"/>
      <c r="AK354" s="45"/>
      <c r="AL354" s="45"/>
    </row>
    <row r="355" ht="15.75" customHeight="1">
      <c r="A355" s="27">
        <f t="shared" si="7"/>
        <v>41</v>
      </c>
      <c r="B355" s="28" t="s">
        <v>1324</v>
      </c>
      <c r="C355" s="29" t="s">
        <v>1325</v>
      </c>
      <c r="D355" s="39" t="s">
        <v>1326</v>
      </c>
      <c r="E355" s="28" t="s">
        <v>28</v>
      </c>
      <c r="F355" s="28" t="s">
        <v>29</v>
      </c>
      <c r="G355" s="28" t="s">
        <v>37</v>
      </c>
      <c r="H355" s="28"/>
      <c r="I355" s="28" t="s">
        <v>38</v>
      </c>
      <c r="J355" s="31">
        <v>116.0</v>
      </c>
      <c r="K355" s="28"/>
      <c r="L355" s="28" t="s">
        <v>1327</v>
      </c>
      <c r="M355" s="28" t="s">
        <v>178</v>
      </c>
      <c r="N355" s="28">
        <v>1984.0</v>
      </c>
      <c r="O355" s="31">
        <v>4.0</v>
      </c>
      <c r="P355" s="28">
        <v>1.0</v>
      </c>
      <c r="Q355" s="32">
        <v>1.0</v>
      </c>
      <c r="R355" s="33"/>
      <c r="S355" s="34"/>
      <c r="T355" s="34"/>
      <c r="U355" s="34"/>
      <c r="V355" s="34"/>
      <c r="W355" s="34"/>
      <c r="X355" s="34"/>
      <c r="Y355" s="45"/>
      <c r="Z355" s="45"/>
      <c r="AA355" s="45"/>
      <c r="AB355" s="45"/>
      <c r="AC355" s="45"/>
      <c r="AD355" s="45"/>
      <c r="AE355" s="45"/>
      <c r="AF355" s="45"/>
      <c r="AG355" s="45"/>
      <c r="AH355" s="45"/>
      <c r="AI355" s="45"/>
      <c r="AJ355" s="45"/>
      <c r="AK355" s="45"/>
      <c r="AL355" s="45"/>
    </row>
    <row r="356" ht="15.75" customHeight="1">
      <c r="A356" s="27">
        <f t="shared" si="7"/>
        <v>42</v>
      </c>
      <c r="B356" s="28" t="s">
        <v>1328</v>
      </c>
      <c r="C356" s="29" t="s">
        <v>1329</v>
      </c>
      <c r="D356" s="39" t="s">
        <v>1330</v>
      </c>
      <c r="E356" s="28" t="s">
        <v>31</v>
      </c>
      <c r="F356" s="28" t="s">
        <v>29</v>
      </c>
      <c r="G356" s="28" t="s">
        <v>1331</v>
      </c>
      <c r="H356" s="28"/>
      <c r="I356" s="28" t="s">
        <v>38</v>
      </c>
      <c r="J356" s="28">
        <v>239.0</v>
      </c>
      <c r="K356" s="28"/>
      <c r="L356" s="31" t="s">
        <v>1332</v>
      </c>
      <c r="M356" s="28" t="s">
        <v>1333</v>
      </c>
      <c r="N356" s="28">
        <v>1988.0</v>
      </c>
      <c r="O356" s="31">
        <v>5.0</v>
      </c>
      <c r="P356" s="28">
        <v>1.0</v>
      </c>
      <c r="Q356" s="37">
        <v>1.0</v>
      </c>
      <c r="R356" s="33"/>
      <c r="S356" s="34"/>
      <c r="T356" s="34"/>
      <c r="U356" s="34"/>
      <c r="V356" s="34"/>
      <c r="W356" s="34"/>
      <c r="X356" s="34"/>
      <c r="Y356" s="45"/>
      <c r="Z356" s="45"/>
      <c r="AA356" s="45"/>
      <c r="AB356" s="45"/>
      <c r="AC356" s="45"/>
      <c r="AD356" s="45"/>
      <c r="AE356" s="45"/>
      <c r="AF356" s="45"/>
      <c r="AG356" s="45"/>
      <c r="AH356" s="45"/>
      <c r="AI356" s="45"/>
      <c r="AJ356" s="45"/>
      <c r="AK356" s="45"/>
      <c r="AL356" s="45"/>
    </row>
    <row r="357" ht="15.75" customHeight="1">
      <c r="A357" s="27">
        <f t="shared" si="7"/>
        <v>43</v>
      </c>
      <c r="B357" s="28" t="s">
        <v>1334</v>
      </c>
      <c r="C357" s="29" t="s">
        <v>1335</v>
      </c>
      <c r="D357" s="39" t="s">
        <v>1336</v>
      </c>
      <c r="E357" s="28" t="s">
        <v>28</v>
      </c>
      <c r="F357" s="28" t="s">
        <v>29</v>
      </c>
      <c r="G357" s="28" t="s">
        <v>37</v>
      </c>
      <c r="H357" s="28" t="s">
        <v>31</v>
      </c>
      <c r="I357" s="28" t="s">
        <v>38</v>
      </c>
      <c r="J357" s="28">
        <v>226.0</v>
      </c>
      <c r="K357" s="28"/>
      <c r="L357" s="31" t="s">
        <v>1337</v>
      </c>
      <c r="M357" s="28" t="s">
        <v>250</v>
      </c>
      <c r="N357" s="28">
        <v>2009.0</v>
      </c>
      <c r="O357" s="31" t="s">
        <v>494</v>
      </c>
      <c r="P357" s="28">
        <v>1.0</v>
      </c>
      <c r="Q357" s="37">
        <v>1.0</v>
      </c>
      <c r="R357" s="33"/>
      <c r="S357" s="34"/>
      <c r="T357" s="34"/>
      <c r="U357" s="34"/>
      <c r="V357" s="34"/>
      <c r="W357" s="34"/>
      <c r="X357" s="34"/>
      <c r="Y357" s="45"/>
      <c r="Z357" s="45"/>
      <c r="AA357" s="45"/>
      <c r="AB357" s="45"/>
      <c r="AC357" s="45"/>
      <c r="AD357" s="45"/>
      <c r="AE357" s="45"/>
      <c r="AF357" s="45"/>
      <c r="AG357" s="45"/>
      <c r="AH357" s="45"/>
      <c r="AI357" s="45"/>
      <c r="AJ357" s="45"/>
      <c r="AK357" s="45"/>
      <c r="AL357" s="45"/>
    </row>
    <row r="358" ht="15.75" customHeight="1">
      <c r="A358" s="27">
        <f t="shared" si="7"/>
        <v>44</v>
      </c>
      <c r="B358" s="28" t="s">
        <v>1338</v>
      </c>
      <c r="C358" s="29" t="s">
        <v>1339</v>
      </c>
      <c r="D358" s="39" t="s">
        <v>1340</v>
      </c>
      <c r="E358" s="28" t="s">
        <v>28</v>
      </c>
      <c r="F358" s="28" t="s">
        <v>29</v>
      </c>
      <c r="G358" s="28" t="s">
        <v>37</v>
      </c>
      <c r="H358" s="28"/>
      <c r="I358" s="28" t="s">
        <v>38</v>
      </c>
      <c r="J358" s="28">
        <v>191.0</v>
      </c>
      <c r="K358" s="28"/>
      <c r="L358" s="31" t="s">
        <v>1323</v>
      </c>
      <c r="M358" s="28" t="s">
        <v>178</v>
      </c>
      <c r="N358" s="28">
        <v>1986.0</v>
      </c>
      <c r="O358" s="31">
        <v>6.0</v>
      </c>
      <c r="P358" s="28">
        <v>1.0</v>
      </c>
      <c r="Q358" s="32">
        <v>1.0</v>
      </c>
      <c r="R358" s="33"/>
      <c r="S358" s="34"/>
      <c r="T358" s="34"/>
      <c r="U358" s="34"/>
      <c r="V358" s="34"/>
      <c r="W358" s="34"/>
      <c r="X358" s="34"/>
      <c r="Y358" s="45"/>
      <c r="Z358" s="45"/>
      <c r="AA358" s="45"/>
      <c r="AB358" s="45"/>
      <c r="AC358" s="45"/>
      <c r="AD358" s="45"/>
      <c r="AE358" s="45"/>
      <c r="AF358" s="45"/>
      <c r="AG358" s="45"/>
      <c r="AH358" s="45"/>
      <c r="AI358" s="45"/>
      <c r="AJ358" s="45"/>
      <c r="AK358" s="45"/>
      <c r="AL358" s="45"/>
    </row>
    <row r="359" ht="15.75" customHeight="1">
      <c r="A359" s="27">
        <f t="shared" si="7"/>
        <v>45</v>
      </c>
      <c r="B359" s="28" t="s">
        <v>1341</v>
      </c>
      <c r="C359" s="29" t="s">
        <v>1342</v>
      </c>
      <c r="D359" s="39" t="s">
        <v>1343</v>
      </c>
      <c r="E359" s="28" t="s">
        <v>28</v>
      </c>
      <c r="F359" s="28" t="s">
        <v>29</v>
      </c>
      <c r="G359" s="28" t="s">
        <v>37</v>
      </c>
      <c r="H359" s="28"/>
      <c r="I359" s="28" t="s">
        <v>38</v>
      </c>
      <c r="J359" s="28">
        <v>118.0</v>
      </c>
      <c r="K359" s="28"/>
      <c r="L359" s="28" t="s">
        <v>1344</v>
      </c>
      <c r="M359" s="28" t="s">
        <v>230</v>
      </c>
      <c r="N359" s="28">
        <v>1987.0</v>
      </c>
      <c r="O359" s="31" t="s">
        <v>494</v>
      </c>
      <c r="P359" s="28">
        <v>1.0</v>
      </c>
      <c r="Q359" s="32">
        <v>1.0</v>
      </c>
      <c r="R359" s="33"/>
      <c r="S359" s="34"/>
      <c r="T359" s="34"/>
      <c r="U359" s="34"/>
      <c r="V359" s="34"/>
      <c r="W359" s="34"/>
      <c r="X359" s="34"/>
      <c r="Y359" s="3"/>
      <c r="Z359" s="3"/>
      <c r="AA359" s="3"/>
      <c r="AB359" s="3"/>
      <c r="AC359" s="3"/>
      <c r="AD359" s="3"/>
      <c r="AE359" s="3"/>
      <c r="AF359" s="3"/>
      <c r="AG359" s="3"/>
      <c r="AH359" s="3"/>
      <c r="AI359" s="3"/>
      <c r="AJ359" s="3"/>
      <c r="AK359" s="3"/>
      <c r="AL359" s="3"/>
    </row>
    <row r="360" ht="15.75" customHeight="1">
      <c r="A360" s="27">
        <f t="shared" si="7"/>
        <v>46</v>
      </c>
      <c r="B360" s="77" t="s">
        <v>1345</v>
      </c>
      <c r="C360" s="78" t="s">
        <v>1346</v>
      </c>
      <c r="D360" s="73" t="s">
        <v>1347</v>
      </c>
      <c r="E360" s="28" t="s">
        <v>28</v>
      </c>
      <c r="F360" s="77" t="s">
        <v>29</v>
      </c>
      <c r="G360" s="28" t="s">
        <v>37</v>
      </c>
      <c r="H360" s="77"/>
      <c r="I360" s="77" t="s">
        <v>38</v>
      </c>
      <c r="J360" s="77">
        <v>451.0</v>
      </c>
      <c r="K360" s="77"/>
      <c r="L360" s="77" t="s">
        <v>1348</v>
      </c>
      <c r="M360" s="77" t="s">
        <v>250</v>
      </c>
      <c r="N360" s="77">
        <v>2015.0</v>
      </c>
      <c r="O360" s="31">
        <v>6.0</v>
      </c>
      <c r="P360" s="77">
        <v>1.0</v>
      </c>
      <c r="Q360" s="32">
        <v>1.0</v>
      </c>
      <c r="R360" s="33"/>
      <c r="S360" s="40"/>
      <c r="T360" s="40"/>
      <c r="U360" s="40"/>
      <c r="V360" s="40"/>
      <c r="W360" s="40"/>
      <c r="X360" s="40"/>
      <c r="Y360" s="45"/>
      <c r="Z360" s="45"/>
      <c r="AA360" s="45"/>
      <c r="AB360" s="45"/>
      <c r="AC360" s="45"/>
      <c r="AD360" s="45"/>
      <c r="AE360" s="45"/>
      <c r="AF360" s="45"/>
      <c r="AG360" s="45"/>
      <c r="AH360" s="45"/>
      <c r="AI360" s="45"/>
      <c r="AJ360" s="45"/>
      <c r="AK360" s="45"/>
      <c r="AL360" s="45"/>
    </row>
    <row r="361" ht="15.75" customHeight="1">
      <c r="A361" s="27">
        <f t="shared" si="7"/>
        <v>47</v>
      </c>
      <c r="B361" s="28" t="s">
        <v>31</v>
      </c>
      <c r="C361" s="29" t="s">
        <v>1349</v>
      </c>
      <c r="D361" s="39" t="s">
        <v>1350</v>
      </c>
      <c r="E361" s="28" t="s">
        <v>28</v>
      </c>
      <c r="F361" s="28" t="s">
        <v>29</v>
      </c>
      <c r="G361" s="28" t="s">
        <v>37</v>
      </c>
      <c r="H361" s="28"/>
      <c r="I361" s="28" t="s">
        <v>38</v>
      </c>
      <c r="J361" s="28">
        <v>514.0</v>
      </c>
      <c r="K361" s="28"/>
      <c r="L361" s="31" t="s">
        <v>1351</v>
      </c>
      <c r="M361" s="28" t="s">
        <v>507</v>
      </c>
      <c r="N361" s="28">
        <v>1951.0</v>
      </c>
      <c r="O361" s="31">
        <v>5.0</v>
      </c>
      <c r="P361" s="28">
        <v>1.0</v>
      </c>
      <c r="Q361" s="32">
        <v>1.0</v>
      </c>
      <c r="R361" s="33"/>
      <c r="S361" s="40"/>
      <c r="T361" s="40"/>
      <c r="U361" s="40"/>
      <c r="V361" s="40"/>
      <c r="W361" s="40"/>
      <c r="X361" s="40"/>
      <c r="Y361" s="45"/>
      <c r="Z361" s="45"/>
      <c r="AA361" s="45"/>
      <c r="AB361" s="45"/>
      <c r="AC361" s="45"/>
      <c r="AD361" s="45"/>
      <c r="AE361" s="45"/>
      <c r="AF361" s="45"/>
      <c r="AG361" s="45"/>
      <c r="AH361" s="45"/>
      <c r="AI361" s="45"/>
      <c r="AJ361" s="45"/>
      <c r="AK361" s="45"/>
      <c r="AL361" s="45"/>
    </row>
    <row r="362" ht="15.75" customHeight="1">
      <c r="A362" s="27">
        <f t="shared" si="7"/>
        <v>48</v>
      </c>
      <c r="B362" s="28" t="s">
        <v>1352</v>
      </c>
      <c r="C362" s="29" t="s">
        <v>1353</v>
      </c>
      <c r="D362" s="30" t="s">
        <v>1354</v>
      </c>
      <c r="E362" s="28" t="s">
        <v>28</v>
      </c>
      <c r="F362" s="28" t="s">
        <v>29</v>
      </c>
      <c r="G362" s="28" t="s">
        <v>37</v>
      </c>
      <c r="H362" s="28"/>
      <c r="I362" s="28" t="s">
        <v>38</v>
      </c>
      <c r="J362" s="28">
        <v>168.0</v>
      </c>
      <c r="K362" s="28"/>
      <c r="L362" s="28" t="s">
        <v>1319</v>
      </c>
      <c r="M362" s="28" t="s">
        <v>931</v>
      </c>
      <c r="N362" s="28">
        <v>1969.0</v>
      </c>
      <c r="O362" s="31">
        <v>5.0</v>
      </c>
      <c r="P362" s="28">
        <v>3.0</v>
      </c>
      <c r="Q362" s="32">
        <v>3.0</v>
      </c>
      <c r="R362" s="33"/>
      <c r="S362" s="40"/>
      <c r="T362" s="40"/>
      <c r="U362" s="40"/>
      <c r="V362" s="40"/>
      <c r="W362" s="40"/>
      <c r="X362" s="40"/>
      <c r="Y362" s="45"/>
      <c r="Z362" s="45"/>
      <c r="AA362" s="45"/>
      <c r="AB362" s="45"/>
      <c r="AC362" s="45"/>
      <c r="AD362" s="45"/>
      <c r="AE362" s="45"/>
      <c r="AF362" s="45"/>
      <c r="AG362" s="45"/>
      <c r="AH362" s="45"/>
      <c r="AI362" s="45"/>
      <c r="AJ362" s="45"/>
      <c r="AK362" s="45"/>
      <c r="AL362" s="45"/>
    </row>
    <row r="363" ht="15.75" customHeight="1">
      <c r="A363" s="27">
        <f t="shared" si="7"/>
        <v>49</v>
      </c>
      <c r="B363" s="28" t="s">
        <v>31</v>
      </c>
      <c r="C363" s="29" t="s">
        <v>1355</v>
      </c>
      <c r="D363" s="39" t="s">
        <v>1356</v>
      </c>
      <c r="E363" s="28" t="s">
        <v>28</v>
      </c>
      <c r="F363" s="28" t="s">
        <v>29</v>
      </c>
      <c r="G363" s="28" t="s">
        <v>37</v>
      </c>
      <c r="H363" s="28" t="s">
        <v>31</v>
      </c>
      <c r="I363" s="28" t="s">
        <v>38</v>
      </c>
      <c r="J363" s="31">
        <v>144.0</v>
      </c>
      <c r="K363" s="28"/>
      <c r="L363" s="28" t="s">
        <v>1357</v>
      </c>
      <c r="M363" s="28" t="s">
        <v>816</v>
      </c>
      <c r="N363" s="31">
        <v>1962.0</v>
      </c>
      <c r="O363" s="31">
        <v>6.0</v>
      </c>
      <c r="P363" s="28">
        <v>1.0</v>
      </c>
      <c r="Q363" s="32">
        <v>1.0</v>
      </c>
      <c r="R363" s="33"/>
      <c r="S363" s="34"/>
      <c r="T363" s="34"/>
      <c r="U363" s="34"/>
      <c r="V363" s="34"/>
      <c r="W363" s="34"/>
      <c r="X363" s="34"/>
      <c r="Y363" s="45"/>
      <c r="Z363" s="45"/>
      <c r="AA363" s="45"/>
      <c r="AB363" s="45"/>
      <c r="AC363" s="45"/>
      <c r="AD363" s="45"/>
      <c r="AE363" s="45"/>
      <c r="AF363" s="45"/>
      <c r="AG363" s="45"/>
      <c r="AH363" s="45"/>
      <c r="AI363" s="45"/>
      <c r="AJ363" s="45"/>
      <c r="AK363" s="45"/>
      <c r="AL363" s="45"/>
    </row>
    <row r="364" ht="15.75" customHeight="1">
      <c r="A364" s="27">
        <f t="shared" si="7"/>
        <v>50</v>
      </c>
      <c r="B364" s="28" t="s">
        <v>1358</v>
      </c>
      <c r="C364" s="29" t="s">
        <v>1359</v>
      </c>
      <c r="D364" s="30" t="s">
        <v>1360</v>
      </c>
      <c r="E364" s="28" t="s">
        <v>28</v>
      </c>
      <c r="F364" s="28" t="s">
        <v>29</v>
      </c>
      <c r="G364" s="28" t="s">
        <v>37</v>
      </c>
      <c r="H364" s="28"/>
      <c r="I364" s="28" t="s">
        <v>38</v>
      </c>
      <c r="J364" s="28">
        <v>140.0</v>
      </c>
      <c r="K364" s="28"/>
      <c r="L364" s="28" t="s">
        <v>1361</v>
      </c>
      <c r="M364" s="28" t="s">
        <v>230</v>
      </c>
      <c r="N364" s="28">
        <v>1985.0</v>
      </c>
      <c r="O364" s="31" t="s">
        <v>494</v>
      </c>
      <c r="P364" s="28">
        <v>1.0</v>
      </c>
      <c r="Q364" s="37">
        <v>1.0</v>
      </c>
      <c r="R364" s="33"/>
      <c r="S364" s="34"/>
      <c r="T364" s="34"/>
      <c r="U364" s="34"/>
      <c r="V364" s="34"/>
      <c r="W364" s="34"/>
      <c r="X364" s="34"/>
      <c r="Y364" s="45"/>
      <c r="Z364" s="45"/>
      <c r="AA364" s="45"/>
      <c r="AB364" s="45"/>
      <c r="AC364" s="45"/>
      <c r="AD364" s="45"/>
      <c r="AE364" s="45"/>
      <c r="AF364" s="45"/>
      <c r="AG364" s="45"/>
      <c r="AH364" s="45"/>
      <c r="AI364" s="45"/>
      <c r="AJ364" s="45"/>
      <c r="AK364" s="45"/>
      <c r="AL364" s="45"/>
    </row>
    <row r="365" ht="15.75" customHeight="1">
      <c r="A365" s="27">
        <f t="shared" si="7"/>
        <v>51</v>
      </c>
      <c r="B365" s="28" t="s">
        <v>1362</v>
      </c>
      <c r="C365" s="43" t="s">
        <v>1363</v>
      </c>
      <c r="D365" s="30" t="s">
        <v>1364</v>
      </c>
      <c r="E365" s="28" t="s">
        <v>28</v>
      </c>
      <c r="F365" s="28" t="s">
        <v>29</v>
      </c>
      <c r="G365" s="28" t="s">
        <v>37</v>
      </c>
      <c r="H365" s="28" t="s">
        <v>31</v>
      </c>
      <c r="I365" s="28" t="s">
        <v>38</v>
      </c>
      <c r="J365" s="28">
        <v>253.0</v>
      </c>
      <c r="K365" s="28"/>
      <c r="L365" s="31" t="s">
        <v>1365</v>
      </c>
      <c r="M365" s="28" t="s">
        <v>250</v>
      </c>
      <c r="N365" s="28">
        <v>1972.0</v>
      </c>
      <c r="O365" s="31" t="s">
        <v>494</v>
      </c>
      <c r="P365" s="28">
        <v>1.0</v>
      </c>
      <c r="Q365" s="37">
        <v>1.0</v>
      </c>
      <c r="R365" s="33"/>
      <c r="S365" s="40"/>
      <c r="T365" s="40"/>
      <c r="U365" s="40"/>
      <c r="V365" s="40"/>
      <c r="W365" s="40"/>
      <c r="X365" s="40"/>
      <c r="Y365" s="45"/>
      <c r="Z365" s="45"/>
      <c r="AA365" s="45"/>
      <c r="AB365" s="45"/>
      <c r="AC365" s="45"/>
      <c r="AD365" s="45"/>
      <c r="AE365" s="45"/>
      <c r="AF365" s="45"/>
      <c r="AG365" s="45"/>
      <c r="AH365" s="45"/>
      <c r="AI365" s="45"/>
      <c r="AJ365" s="45"/>
      <c r="AK365" s="45"/>
      <c r="AL365" s="45"/>
    </row>
    <row r="366" ht="15.75" customHeight="1">
      <c r="A366" s="27">
        <f t="shared" si="7"/>
        <v>52</v>
      </c>
      <c r="B366" s="28" t="s">
        <v>1366</v>
      </c>
      <c r="C366" s="29" t="s">
        <v>1367</v>
      </c>
      <c r="D366" s="30" t="s">
        <v>1368</v>
      </c>
      <c r="E366" s="28" t="s">
        <v>28</v>
      </c>
      <c r="F366" s="28" t="s">
        <v>29</v>
      </c>
      <c r="G366" s="28" t="s">
        <v>37</v>
      </c>
      <c r="H366" s="28"/>
      <c r="I366" s="28" t="s">
        <v>38</v>
      </c>
      <c r="J366" s="28">
        <v>375.0</v>
      </c>
      <c r="K366" s="28"/>
      <c r="L366" s="31" t="s">
        <v>1369</v>
      </c>
      <c r="M366" s="28" t="s">
        <v>507</v>
      </c>
      <c r="N366" s="28">
        <v>2010.0</v>
      </c>
      <c r="O366" s="31">
        <v>5.0</v>
      </c>
      <c r="P366" s="28">
        <v>1.0</v>
      </c>
      <c r="Q366" s="32">
        <v>1.0</v>
      </c>
      <c r="R366" s="33"/>
      <c r="S366" s="34"/>
      <c r="T366" s="34"/>
      <c r="U366" s="34"/>
      <c r="V366" s="34"/>
      <c r="W366" s="34"/>
      <c r="X366" s="34"/>
      <c r="Y366" s="45"/>
      <c r="Z366" s="45"/>
      <c r="AA366" s="45"/>
      <c r="AB366" s="45"/>
      <c r="AC366" s="45"/>
      <c r="AD366" s="45"/>
      <c r="AE366" s="45"/>
      <c r="AF366" s="45"/>
      <c r="AG366" s="45"/>
      <c r="AH366" s="45"/>
      <c r="AI366" s="45"/>
      <c r="AJ366" s="45"/>
      <c r="AK366" s="45"/>
      <c r="AL366" s="45"/>
    </row>
    <row r="367" ht="15.75" customHeight="1">
      <c r="A367" s="27">
        <f t="shared" si="7"/>
        <v>53</v>
      </c>
      <c r="B367" s="31" t="s">
        <v>1370</v>
      </c>
      <c r="C367" s="29" t="s">
        <v>1371</v>
      </c>
      <c r="D367" s="39" t="s">
        <v>1372</v>
      </c>
      <c r="E367" s="28"/>
      <c r="F367" s="28" t="s">
        <v>29</v>
      </c>
      <c r="G367" s="28" t="s">
        <v>37</v>
      </c>
      <c r="H367" s="28"/>
      <c r="I367" s="28" t="s">
        <v>38</v>
      </c>
      <c r="J367" s="31">
        <v>1219.0</v>
      </c>
      <c r="K367" s="28"/>
      <c r="L367" s="31" t="s">
        <v>224</v>
      </c>
      <c r="M367" s="28" t="s">
        <v>54</v>
      </c>
      <c r="N367" s="31">
        <v>1991.0</v>
      </c>
      <c r="O367" s="31">
        <v>5.0</v>
      </c>
      <c r="P367" s="31">
        <v>1.0</v>
      </c>
      <c r="Q367" s="37">
        <v>1.0</v>
      </c>
      <c r="R367" s="33"/>
      <c r="S367" s="40"/>
      <c r="T367" s="40"/>
      <c r="U367" s="40"/>
      <c r="V367" s="40"/>
      <c r="W367" s="40"/>
      <c r="X367" s="40"/>
      <c r="Y367" s="45"/>
      <c r="Z367" s="45"/>
      <c r="AA367" s="45"/>
      <c r="AB367" s="45"/>
      <c r="AC367" s="45"/>
      <c r="AD367" s="45"/>
      <c r="AE367" s="45"/>
      <c r="AF367" s="45"/>
      <c r="AG367" s="45"/>
      <c r="AH367" s="45"/>
      <c r="AI367" s="45"/>
      <c r="AJ367" s="45"/>
      <c r="AK367" s="45"/>
      <c r="AL367" s="45"/>
    </row>
    <row r="368" ht="15.75" customHeight="1">
      <c r="A368" s="27">
        <f t="shared" si="7"/>
        <v>54</v>
      </c>
      <c r="B368" s="28" t="s">
        <v>1373</v>
      </c>
      <c r="C368" s="29" t="s">
        <v>1374</v>
      </c>
      <c r="D368" s="39" t="s">
        <v>1375</v>
      </c>
      <c r="E368" s="28" t="s">
        <v>28</v>
      </c>
      <c r="F368" s="28" t="s">
        <v>29</v>
      </c>
      <c r="G368" s="28" t="s">
        <v>37</v>
      </c>
      <c r="H368" s="28"/>
      <c r="I368" s="28" t="s">
        <v>38</v>
      </c>
      <c r="J368" s="31">
        <v>434.0</v>
      </c>
      <c r="K368" s="28"/>
      <c r="L368" s="28" t="s">
        <v>1376</v>
      </c>
      <c r="M368" s="28" t="s">
        <v>178</v>
      </c>
      <c r="N368" s="28">
        <v>1991.0</v>
      </c>
      <c r="O368" s="31">
        <v>4.0</v>
      </c>
      <c r="P368" s="28">
        <v>1.0</v>
      </c>
      <c r="Q368" s="32">
        <v>1.0</v>
      </c>
      <c r="R368" s="33"/>
      <c r="S368" s="34"/>
      <c r="T368" s="34"/>
      <c r="U368" s="34"/>
      <c r="V368" s="34"/>
      <c r="W368" s="34"/>
      <c r="X368" s="34"/>
      <c r="Y368" s="45"/>
      <c r="Z368" s="45"/>
      <c r="AA368" s="45"/>
      <c r="AB368" s="45"/>
      <c r="AC368" s="45"/>
      <c r="AD368" s="45"/>
      <c r="AE368" s="45"/>
      <c r="AF368" s="45"/>
      <c r="AG368" s="45"/>
      <c r="AH368" s="45"/>
      <c r="AI368" s="45"/>
      <c r="AJ368" s="45"/>
      <c r="AK368" s="45"/>
      <c r="AL368" s="45"/>
    </row>
    <row r="369" ht="15.75" customHeight="1">
      <c r="A369" s="27">
        <f t="shared" si="7"/>
        <v>55</v>
      </c>
      <c r="B369" s="28" t="s">
        <v>1377</v>
      </c>
      <c r="C369" s="29" t="s">
        <v>1378</v>
      </c>
      <c r="D369" s="30" t="s">
        <v>1379</v>
      </c>
      <c r="E369" s="28" t="s">
        <v>28</v>
      </c>
      <c r="F369" s="28" t="s">
        <v>29</v>
      </c>
      <c r="G369" s="28" t="s">
        <v>37</v>
      </c>
      <c r="H369" s="28"/>
      <c r="I369" s="28" t="s">
        <v>38</v>
      </c>
      <c r="J369" s="28">
        <v>228.0</v>
      </c>
      <c r="K369" s="28"/>
      <c r="L369" s="28" t="s">
        <v>1380</v>
      </c>
      <c r="M369" s="28" t="s">
        <v>54</v>
      </c>
      <c r="N369" s="28">
        <v>1997.0</v>
      </c>
      <c r="O369" s="31" t="s">
        <v>1381</v>
      </c>
      <c r="P369" s="28">
        <v>1.0</v>
      </c>
      <c r="Q369" s="32">
        <v>1.0</v>
      </c>
      <c r="R369" s="33"/>
      <c r="S369" s="34"/>
      <c r="T369" s="34"/>
      <c r="U369" s="34"/>
      <c r="V369" s="34"/>
      <c r="W369" s="34"/>
      <c r="X369" s="34"/>
      <c r="Y369" s="45"/>
      <c r="Z369" s="45"/>
      <c r="AA369" s="45"/>
      <c r="AB369" s="45"/>
      <c r="AC369" s="45"/>
      <c r="AD369" s="45"/>
      <c r="AE369" s="45"/>
      <c r="AF369" s="45"/>
      <c r="AG369" s="45"/>
      <c r="AH369" s="45"/>
      <c r="AI369" s="45"/>
      <c r="AJ369" s="45"/>
      <c r="AK369" s="45"/>
      <c r="AL369" s="45"/>
    </row>
    <row r="370" ht="15.75" hidden="1" customHeight="1">
      <c r="A370" s="27">
        <f t="shared" si="7"/>
        <v>56</v>
      </c>
      <c r="B370" s="28"/>
      <c r="C370" s="43"/>
      <c r="D370" s="30"/>
      <c r="E370" s="28"/>
      <c r="F370" s="28"/>
      <c r="G370" s="28"/>
      <c r="H370" s="28"/>
      <c r="I370" s="28"/>
      <c r="J370" s="28"/>
      <c r="K370" s="28"/>
      <c r="L370" s="28"/>
      <c r="M370" s="28"/>
      <c r="N370" s="28"/>
      <c r="O370" s="28"/>
      <c r="P370" s="28"/>
      <c r="Q370" s="32"/>
      <c r="R370" s="33"/>
      <c r="S370" s="40"/>
      <c r="T370" s="40"/>
      <c r="U370" s="40"/>
      <c r="V370" s="40"/>
      <c r="W370" s="40"/>
      <c r="X370" s="40"/>
      <c r="Y370" s="45"/>
      <c r="Z370" s="45"/>
      <c r="AA370" s="45"/>
      <c r="AB370" s="45"/>
      <c r="AC370" s="45"/>
      <c r="AD370" s="45"/>
      <c r="AE370" s="45"/>
      <c r="AF370" s="45"/>
      <c r="AG370" s="45"/>
      <c r="AH370" s="45"/>
      <c r="AI370" s="45"/>
      <c r="AJ370" s="45"/>
      <c r="AK370" s="45"/>
      <c r="AL370" s="45"/>
    </row>
    <row r="371" ht="15.75" customHeight="1">
      <c r="A371" s="27">
        <f t="shared" si="7"/>
        <v>57</v>
      </c>
      <c r="B371" s="28" t="s">
        <v>1382</v>
      </c>
      <c r="C371" s="29" t="s">
        <v>1383</v>
      </c>
      <c r="D371" s="39" t="s">
        <v>1384</v>
      </c>
      <c r="E371" s="28" t="s">
        <v>28</v>
      </c>
      <c r="F371" s="28" t="s">
        <v>29</v>
      </c>
      <c r="G371" s="28" t="s">
        <v>234</v>
      </c>
      <c r="H371" s="28"/>
      <c r="I371" s="28" t="s">
        <v>38</v>
      </c>
      <c r="J371" s="28">
        <v>537.0</v>
      </c>
      <c r="K371" s="28"/>
      <c r="L371" s="28" t="s">
        <v>1385</v>
      </c>
      <c r="M371" s="28" t="s">
        <v>236</v>
      </c>
      <c r="N371" s="28">
        <v>1987.0</v>
      </c>
      <c r="O371" s="31">
        <v>6.0</v>
      </c>
      <c r="P371" s="28">
        <v>1.0</v>
      </c>
      <c r="Q371" s="37">
        <v>1.0</v>
      </c>
      <c r="R371" s="33"/>
      <c r="S371" s="40"/>
      <c r="T371" s="40"/>
      <c r="U371" s="40"/>
      <c r="V371" s="40"/>
      <c r="W371" s="40"/>
      <c r="X371" s="40"/>
      <c r="Y371" s="45"/>
      <c r="Z371" s="45"/>
      <c r="AA371" s="45"/>
      <c r="AB371" s="45"/>
      <c r="AC371" s="45"/>
      <c r="AD371" s="45"/>
      <c r="AE371" s="45"/>
      <c r="AF371" s="45"/>
      <c r="AG371" s="45"/>
      <c r="AH371" s="45"/>
      <c r="AI371" s="45"/>
      <c r="AJ371" s="45"/>
      <c r="AK371" s="45"/>
      <c r="AL371" s="45"/>
    </row>
    <row r="372" ht="15.75" customHeight="1">
      <c r="A372" s="27">
        <f t="shared" si="7"/>
        <v>58</v>
      </c>
      <c r="B372" s="79" t="s">
        <v>1386</v>
      </c>
      <c r="C372" s="80" t="s">
        <v>1387</v>
      </c>
      <c r="D372" s="81" t="s">
        <v>1388</v>
      </c>
      <c r="E372" s="79" t="s">
        <v>28</v>
      </c>
      <c r="F372" s="82" t="s">
        <v>29</v>
      </c>
      <c r="G372" s="79" t="s">
        <v>37</v>
      </c>
      <c r="H372" s="79"/>
      <c r="I372" s="82" t="s">
        <v>38</v>
      </c>
      <c r="J372" s="79">
        <v>253.0</v>
      </c>
      <c r="K372" s="79"/>
      <c r="L372" s="79" t="s">
        <v>1389</v>
      </c>
      <c r="M372" s="82" t="s">
        <v>250</v>
      </c>
      <c r="N372" s="79">
        <v>2018.0</v>
      </c>
      <c r="O372" s="80">
        <v>6.0</v>
      </c>
      <c r="P372" s="79">
        <v>1.0</v>
      </c>
      <c r="Q372" s="83">
        <v>1.0</v>
      </c>
      <c r="R372" s="84"/>
      <c r="S372" s="34"/>
      <c r="T372" s="34"/>
      <c r="U372" s="34"/>
      <c r="V372" s="34"/>
      <c r="W372" s="34"/>
      <c r="X372" s="34"/>
      <c r="Y372" s="45"/>
      <c r="Z372" s="45"/>
      <c r="AA372" s="45"/>
      <c r="AB372" s="45"/>
      <c r="AC372" s="45"/>
      <c r="AD372" s="45"/>
      <c r="AE372" s="45"/>
      <c r="AF372" s="45"/>
      <c r="AG372" s="45"/>
      <c r="AH372" s="45"/>
      <c r="AI372" s="45"/>
      <c r="AJ372" s="45"/>
      <c r="AK372" s="45"/>
      <c r="AL372" s="45"/>
    </row>
    <row r="373" ht="30.75" customHeight="1">
      <c r="A373" s="27">
        <f t="shared" si="7"/>
        <v>59</v>
      </c>
      <c r="B373" s="28" t="s">
        <v>1390</v>
      </c>
      <c r="C373" s="29" t="s">
        <v>1391</v>
      </c>
      <c r="D373" s="30" t="s">
        <v>1392</v>
      </c>
      <c r="E373" s="28" t="s">
        <v>28</v>
      </c>
      <c r="F373" s="28" t="s">
        <v>29</v>
      </c>
      <c r="G373" s="28" t="s">
        <v>37</v>
      </c>
      <c r="H373" s="28"/>
      <c r="I373" s="28" t="s">
        <v>38</v>
      </c>
      <c r="J373" s="28">
        <v>198.0</v>
      </c>
      <c r="K373" s="28"/>
      <c r="L373" s="28" t="s">
        <v>1393</v>
      </c>
      <c r="M373" s="28" t="s">
        <v>1394</v>
      </c>
      <c r="N373" s="28">
        <v>2003.0</v>
      </c>
      <c r="O373" s="31" t="s">
        <v>1381</v>
      </c>
      <c r="P373" s="28">
        <v>1.0</v>
      </c>
      <c r="Q373" s="32">
        <v>1.0</v>
      </c>
      <c r="R373" s="33"/>
      <c r="S373" s="40"/>
      <c r="T373" s="40"/>
      <c r="U373" s="40"/>
      <c r="V373" s="40"/>
      <c r="W373" s="40"/>
      <c r="X373" s="40"/>
      <c r="Y373" s="45"/>
      <c r="Z373" s="45"/>
      <c r="AA373" s="45"/>
      <c r="AB373" s="45"/>
      <c r="AC373" s="45"/>
      <c r="AD373" s="45"/>
      <c r="AE373" s="45"/>
      <c r="AF373" s="45"/>
      <c r="AG373" s="45"/>
      <c r="AH373" s="45"/>
      <c r="AI373" s="45"/>
      <c r="AJ373" s="45"/>
      <c r="AK373" s="45"/>
      <c r="AL373" s="45"/>
    </row>
    <row r="374" ht="30.75" customHeight="1">
      <c r="A374" s="27">
        <f t="shared" si="7"/>
        <v>60</v>
      </c>
      <c r="B374" s="28" t="s">
        <v>1395</v>
      </c>
      <c r="C374" s="85" t="s">
        <v>1396</v>
      </c>
      <c r="D374" s="30" t="s">
        <v>1397</v>
      </c>
      <c r="E374" s="28" t="s">
        <v>28</v>
      </c>
      <c r="F374" s="28" t="s">
        <v>29</v>
      </c>
      <c r="G374" s="28" t="s">
        <v>37</v>
      </c>
      <c r="H374" s="28"/>
      <c r="I374" s="28" t="s">
        <v>38</v>
      </c>
      <c r="J374" s="28">
        <v>348.0</v>
      </c>
      <c r="K374" s="28"/>
      <c r="L374" s="28" t="s">
        <v>1398</v>
      </c>
      <c r="M374" s="28" t="s">
        <v>1399</v>
      </c>
      <c r="N374" s="28">
        <v>1994.0</v>
      </c>
      <c r="O374" s="31">
        <v>5.0</v>
      </c>
      <c r="P374" s="28">
        <v>1.0</v>
      </c>
      <c r="Q374" s="32">
        <v>1.0</v>
      </c>
      <c r="R374" s="33"/>
      <c r="S374" s="34"/>
      <c r="T374" s="34"/>
      <c r="U374" s="34"/>
      <c r="V374" s="34"/>
      <c r="W374" s="34"/>
      <c r="X374" s="34"/>
      <c r="Y374" s="45"/>
      <c r="Z374" s="45"/>
      <c r="AA374" s="45"/>
      <c r="AB374" s="45"/>
      <c r="AC374" s="45"/>
      <c r="AD374" s="45"/>
      <c r="AE374" s="45"/>
      <c r="AF374" s="45"/>
      <c r="AG374" s="45"/>
      <c r="AH374" s="45"/>
      <c r="AI374" s="45"/>
      <c r="AJ374" s="45"/>
      <c r="AK374" s="45"/>
      <c r="AL374" s="45"/>
    </row>
    <row r="375" ht="15.75" customHeight="1">
      <c r="A375" s="27">
        <f t="shared" si="7"/>
        <v>61</v>
      </c>
      <c r="B375" s="28" t="s">
        <v>1400</v>
      </c>
      <c r="C375" s="29" t="s">
        <v>1401</v>
      </c>
      <c r="D375" s="39" t="s">
        <v>1402</v>
      </c>
      <c r="E375" s="28" t="s">
        <v>28</v>
      </c>
      <c r="F375" s="28" t="s">
        <v>29</v>
      </c>
      <c r="G375" s="28" t="s">
        <v>37</v>
      </c>
      <c r="H375" s="28"/>
      <c r="I375" s="28" t="s">
        <v>38</v>
      </c>
      <c r="J375" s="28">
        <v>345.0</v>
      </c>
      <c r="K375" s="28"/>
      <c r="L375" s="31" t="s">
        <v>1403</v>
      </c>
      <c r="M375" s="28" t="s">
        <v>156</v>
      </c>
      <c r="N375" s="28">
        <v>1978.0</v>
      </c>
      <c r="O375" s="31">
        <v>6.0</v>
      </c>
      <c r="P375" s="28">
        <v>1.0</v>
      </c>
      <c r="Q375" s="32">
        <v>1.0</v>
      </c>
      <c r="R375" s="33"/>
      <c r="S375" s="40"/>
      <c r="T375" s="40"/>
      <c r="U375" s="40"/>
      <c r="V375" s="40"/>
      <c r="W375" s="40"/>
      <c r="X375" s="40"/>
      <c r="Y375" s="45"/>
      <c r="Z375" s="45"/>
      <c r="AA375" s="45"/>
      <c r="AB375" s="45"/>
      <c r="AC375" s="45"/>
      <c r="AD375" s="45"/>
      <c r="AE375" s="45"/>
      <c r="AF375" s="45"/>
      <c r="AG375" s="45"/>
      <c r="AH375" s="45"/>
      <c r="AI375" s="45"/>
      <c r="AJ375" s="45"/>
      <c r="AK375" s="45"/>
      <c r="AL375" s="45"/>
    </row>
    <row r="376" ht="15.75" customHeight="1">
      <c r="A376" s="27">
        <f t="shared" si="7"/>
        <v>62</v>
      </c>
      <c r="B376" s="28" t="s">
        <v>1404</v>
      </c>
      <c r="C376" s="29" t="s">
        <v>1405</v>
      </c>
      <c r="D376" s="39" t="s">
        <v>1406</v>
      </c>
      <c r="E376" s="28" t="s">
        <v>31</v>
      </c>
      <c r="F376" s="28" t="s">
        <v>29</v>
      </c>
      <c r="G376" s="28" t="s">
        <v>1331</v>
      </c>
      <c r="H376" s="28"/>
      <c r="I376" s="28" t="s">
        <v>38</v>
      </c>
      <c r="J376" s="28">
        <v>213.0</v>
      </c>
      <c r="K376" s="28"/>
      <c r="L376" s="31" t="s">
        <v>1407</v>
      </c>
      <c r="M376" s="28" t="s">
        <v>1333</v>
      </c>
      <c r="N376" s="28">
        <v>1986.0</v>
      </c>
      <c r="O376" s="31">
        <v>5.0</v>
      </c>
      <c r="P376" s="28">
        <v>2.0</v>
      </c>
      <c r="Q376" s="37">
        <v>2.0</v>
      </c>
      <c r="R376" s="33"/>
      <c r="S376" s="34"/>
      <c r="T376" s="34"/>
      <c r="U376" s="34"/>
      <c r="V376" s="34"/>
      <c r="W376" s="34"/>
      <c r="X376" s="34"/>
      <c r="Y376" s="45"/>
      <c r="Z376" s="45"/>
      <c r="AA376" s="45"/>
      <c r="AB376" s="45"/>
      <c r="AC376" s="45"/>
      <c r="AD376" s="45"/>
      <c r="AE376" s="45"/>
      <c r="AF376" s="45"/>
      <c r="AG376" s="45"/>
      <c r="AH376" s="45"/>
      <c r="AI376" s="45"/>
      <c r="AJ376" s="45"/>
      <c r="AK376" s="45"/>
      <c r="AL376" s="45"/>
    </row>
    <row r="377" ht="15.75" customHeight="1">
      <c r="A377" s="27">
        <f t="shared" si="7"/>
        <v>63</v>
      </c>
      <c r="B377" s="28" t="s">
        <v>1408</v>
      </c>
      <c r="C377" s="29" t="s">
        <v>1409</v>
      </c>
      <c r="D377" s="73" t="s">
        <v>1410</v>
      </c>
      <c r="E377" s="28" t="s">
        <v>28</v>
      </c>
      <c r="F377" s="28" t="s">
        <v>29</v>
      </c>
      <c r="G377" s="28" t="s">
        <v>37</v>
      </c>
      <c r="H377" s="28"/>
      <c r="I377" s="28" t="s">
        <v>38</v>
      </c>
      <c r="J377" s="28">
        <v>359.0</v>
      </c>
      <c r="K377" s="28"/>
      <c r="L377" s="28" t="s">
        <v>1411</v>
      </c>
      <c r="M377" s="77" t="s">
        <v>250</v>
      </c>
      <c r="N377" s="28">
        <v>2002.0</v>
      </c>
      <c r="O377" s="31">
        <v>6.0</v>
      </c>
      <c r="P377" s="28">
        <v>1.0</v>
      </c>
      <c r="Q377" s="32">
        <v>1.0</v>
      </c>
      <c r="R377" s="33"/>
      <c r="S377" s="34"/>
      <c r="T377" s="34"/>
      <c r="U377" s="34"/>
      <c r="V377" s="34"/>
      <c r="W377" s="34"/>
      <c r="X377" s="34"/>
      <c r="Y377" s="45"/>
      <c r="Z377" s="45"/>
      <c r="AA377" s="45"/>
      <c r="AB377" s="45"/>
      <c r="AC377" s="45"/>
      <c r="AD377" s="45"/>
      <c r="AE377" s="45"/>
      <c r="AF377" s="45"/>
      <c r="AG377" s="45"/>
      <c r="AH377" s="45"/>
      <c r="AI377" s="45"/>
      <c r="AJ377" s="45"/>
      <c r="AK377" s="45"/>
      <c r="AL377" s="45"/>
    </row>
    <row r="378" ht="15.75" customHeight="1">
      <c r="A378" s="27">
        <f t="shared" si="7"/>
        <v>64</v>
      </c>
      <c r="B378" s="28" t="s">
        <v>31</v>
      </c>
      <c r="C378" s="29" t="s">
        <v>1412</v>
      </c>
      <c r="D378" s="30" t="s">
        <v>1413</v>
      </c>
      <c r="E378" s="28" t="s">
        <v>28</v>
      </c>
      <c r="F378" s="28" t="s">
        <v>29</v>
      </c>
      <c r="G378" s="28" t="s">
        <v>38</v>
      </c>
      <c r="H378" s="28" t="s">
        <v>31</v>
      </c>
      <c r="I378" s="28" t="s">
        <v>38</v>
      </c>
      <c r="J378" s="28">
        <v>237.0</v>
      </c>
      <c r="K378" s="28"/>
      <c r="L378" s="28" t="s">
        <v>1414</v>
      </c>
      <c r="M378" s="28" t="s">
        <v>65</v>
      </c>
      <c r="N378" s="28">
        <v>1959.0</v>
      </c>
      <c r="O378" s="86" t="s">
        <v>1415</v>
      </c>
      <c r="P378" s="28">
        <v>1.0</v>
      </c>
      <c r="Q378" s="32">
        <v>1.0</v>
      </c>
      <c r="R378" s="33"/>
      <c r="S378" s="34"/>
      <c r="T378" s="34"/>
      <c r="U378" s="34"/>
      <c r="V378" s="34"/>
      <c r="W378" s="34"/>
      <c r="X378" s="34"/>
      <c r="Y378" s="45"/>
      <c r="Z378" s="45"/>
      <c r="AA378" s="45"/>
      <c r="AB378" s="45"/>
      <c r="AC378" s="45"/>
      <c r="AD378" s="45"/>
      <c r="AE378" s="45"/>
      <c r="AF378" s="45"/>
      <c r="AG378" s="45"/>
      <c r="AH378" s="45"/>
      <c r="AI378" s="45"/>
      <c r="AJ378" s="45"/>
      <c r="AK378" s="45"/>
      <c r="AL378" s="45"/>
    </row>
    <row r="379" ht="15.75" customHeight="1">
      <c r="A379" s="27">
        <f t="shared" si="7"/>
        <v>65</v>
      </c>
      <c r="B379" s="28" t="s">
        <v>1416</v>
      </c>
      <c r="C379" s="29" t="s">
        <v>1417</v>
      </c>
      <c r="D379" s="39" t="s">
        <v>1418</v>
      </c>
      <c r="E379" s="28" t="s">
        <v>28</v>
      </c>
      <c r="F379" s="28" t="s">
        <v>29</v>
      </c>
      <c r="G379" s="28" t="s">
        <v>37</v>
      </c>
      <c r="H379" s="28"/>
      <c r="I379" s="28" t="s">
        <v>38</v>
      </c>
      <c r="J379" s="31">
        <v>127.0</v>
      </c>
      <c r="K379" s="28"/>
      <c r="L379" s="31" t="s">
        <v>1419</v>
      </c>
      <c r="M379" s="28" t="s">
        <v>83</v>
      </c>
      <c r="N379" s="28">
        <v>1976.0</v>
      </c>
      <c r="O379" s="31" t="s">
        <v>494</v>
      </c>
      <c r="P379" s="28">
        <v>1.0</v>
      </c>
      <c r="Q379" s="32">
        <v>1.0</v>
      </c>
      <c r="R379" s="33"/>
      <c r="S379" s="40"/>
      <c r="T379" s="40"/>
      <c r="U379" s="40"/>
      <c r="V379" s="40"/>
      <c r="W379" s="40"/>
      <c r="X379" s="40"/>
      <c r="Y379" s="45"/>
      <c r="Z379" s="45"/>
      <c r="AA379" s="45"/>
      <c r="AB379" s="45"/>
      <c r="AC379" s="45"/>
      <c r="AD379" s="45"/>
      <c r="AE379" s="45"/>
      <c r="AF379" s="45"/>
      <c r="AG379" s="45"/>
      <c r="AH379" s="45"/>
      <c r="AI379" s="45"/>
      <c r="AJ379" s="45"/>
      <c r="AK379" s="45"/>
      <c r="AL379" s="45"/>
    </row>
    <row r="380" ht="15.75" customHeight="1">
      <c r="A380" s="27">
        <f t="shared" si="7"/>
        <v>66</v>
      </c>
      <c r="B380" s="28" t="s">
        <v>1420</v>
      </c>
      <c r="C380" s="29" t="s">
        <v>1421</v>
      </c>
      <c r="D380" s="39" t="s">
        <v>1422</v>
      </c>
      <c r="E380" s="28" t="s">
        <v>28</v>
      </c>
      <c r="F380" s="28" t="s">
        <v>29</v>
      </c>
      <c r="G380" s="28" t="s">
        <v>234</v>
      </c>
      <c r="H380" s="28"/>
      <c r="I380" s="28" t="s">
        <v>38</v>
      </c>
      <c r="J380" s="28">
        <v>351.0</v>
      </c>
      <c r="K380" s="28"/>
      <c r="L380" s="31" t="s">
        <v>1423</v>
      </c>
      <c r="M380" s="28" t="s">
        <v>236</v>
      </c>
      <c r="N380" s="28">
        <v>1996.0</v>
      </c>
      <c r="O380" s="31">
        <v>6.0</v>
      </c>
      <c r="P380" s="28">
        <v>1.0</v>
      </c>
      <c r="Q380" s="32">
        <v>1.0</v>
      </c>
      <c r="R380" s="33"/>
      <c r="S380" s="40"/>
      <c r="T380" s="40"/>
      <c r="U380" s="40"/>
      <c r="V380" s="40"/>
      <c r="W380" s="40"/>
      <c r="X380" s="40"/>
      <c r="Y380" s="45"/>
      <c r="Z380" s="45"/>
      <c r="AA380" s="45"/>
      <c r="AB380" s="45"/>
      <c r="AC380" s="45"/>
      <c r="AD380" s="45"/>
      <c r="AE380" s="45"/>
      <c r="AF380" s="45"/>
      <c r="AG380" s="45"/>
      <c r="AH380" s="45"/>
      <c r="AI380" s="45"/>
      <c r="AJ380" s="45"/>
      <c r="AK380" s="45"/>
      <c r="AL380" s="45"/>
    </row>
    <row r="381" ht="15.75" customHeight="1">
      <c r="A381" s="27">
        <f t="shared" si="7"/>
        <v>67</v>
      </c>
      <c r="B381" s="28" t="s">
        <v>1424</v>
      </c>
      <c r="C381" s="29" t="s">
        <v>1405</v>
      </c>
      <c r="D381" s="30" t="s">
        <v>1425</v>
      </c>
      <c r="E381" s="28" t="s">
        <v>223</v>
      </c>
      <c r="F381" s="28" t="s">
        <v>29</v>
      </c>
      <c r="G381" s="28" t="s">
        <v>37</v>
      </c>
      <c r="H381" s="28"/>
      <c r="I381" s="28" t="s">
        <v>38</v>
      </c>
      <c r="J381" s="28">
        <v>365.0</v>
      </c>
      <c r="K381" s="28"/>
      <c r="L381" s="31" t="s">
        <v>1407</v>
      </c>
      <c r="M381" s="28" t="s">
        <v>54</v>
      </c>
      <c r="N381" s="28">
        <v>1993.0</v>
      </c>
      <c r="O381" s="31">
        <v>5.0</v>
      </c>
      <c r="P381" s="31">
        <v>4.0</v>
      </c>
      <c r="Q381" s="37">
        <v>4.0</v>
      </c>
      <c r="R381" s="33"/>
      <c r="S381" s="34"/>
      <c r="T381" s="34"/>
      <c r="U381" s="34"/>
      <c r="V381" s="34"/>
      <c r="W381" s="34"/>
      <c r="X381" s="34"/>
      <c r="Y381" s="45"/>
      <c r="Z381" s="45"/>
      <c r="AA381" s="45"/>
      <c r="AB381" s="45"/>
      <c r="AC381" s="45"/>
      <c r="AD381" s="45"/>
      <c r="AE381" s="45"/>
      <c r="AF381" s="45"/>
      <c r="AG381" s="45"/>
      <c r="AH381" s="45"/>
      <c r="AI381" s="45"/>
      <c r="AJ381" s="45"/>
      <c r="AK381" s="45"/>
      <c r="AL381" s="45"/>
    </row>
    <row r="382" ht="15.75" customHeight="1">
      <c r="A382" s="27">
        <f t="shared" si="7"/>
        <v>68</v>
      </c>
      <c r="B382" s="28" t="s">
        <v>1426</v>
      </c>
      <c r="C382" s="29" t="s">
        <v>1427</v>
      </c>
      <c r="D382" s="39" t="s">
        <v>1428</v>
      </c>
      <c r="E382" s="28" t="s">
        <v>28</v>
      </c>
      <c r="F382" s="28" t="s">
        <v>29</v>
      </c>
      <c r="G382" s="28" t="s">
        <v>37</v>
      </c>
      <c r="H382" s="28"/>
      <c r="I382" s="28" t="s">
        <v>38</v>
      </c>
      <c r="J382" s="31">
        <v>499.0</v>
      </c>
      <c r="K382" s="28"/>
      <c r="L382" s="31" t="s">
        <v>1429</v>
      </c>
      <c r="M382" s="28" t="s">
        <v>178</v>
      </c>
      <c r="N382" s="28">
        <v>1993.0</v>
      </c>
      <c r="O382" s="31">
        <v>4.0</v>
      </c>
      <c r="P382" s="28">
        <v>1.0</v>
      </c>
      <c r="Q382" s="32">
        <v>1.0</v>
      </c>
      <c r="R382" s="33"/>
      <c r="S382" s="34"/>
      <c r="T382" s="34"/>
      <c r="U382" s="34"/>
      <c r="V382" s="34"/>
      <c r="W382" s="34"/>
      <c r="X382" s="34"/>
      <c r="Y382" s="45"/>
      <c r="Z382" s="45"/>
      <c r="AA382" s="45"/>
      <c r="AB382" s="45"/>
      <c r="AC382" s="45"/>
      <c r="AD382" s="45"/>
      <c r="AE382" s="45"/>
      <c r="AF382" s="45"/>
      <c r="AG382" s="45"/>
      <c r="AH382" s="45"/>
      <c r="AI382" s="45"/>
      <c r="AJ382" s="45"/>
      <c r="AK382" s="45"/>
      <c r="AL382" s="45"/>
    </row>
    <row r="383" ht="15.75" customHeight="1">
      <c r="A383" s="27">
        <f t="shared" si="7"/>
        <v>69</v>
      </c>
      <c r="B383" s="28" t="s">
        <v>1430</v>
      </c>
      <c r="C383" s="29" t="s">
        <v>1431</v>
      </c>
      <c r="D383" s="39" t="s">
        <v>1432</v>
      </c>
      <c r="E383" s="28" t="s">
        <v>28</v>
      </c>
      <c r="F383" s="28" t="s">
        <v>29</v>
      </c>
      <c r="G383" s="28" t="s">
        <v>37</v>
      </c>
      <c r="H383" s="28"/>
      <c r="I383" s="28" t="s">
        <v>38</v>
      </c>
      <c r="J383" s="28">
        <f>232</f>
        <v>232</v>
      </c>
      <c r="K383" s="28"/>
      <c r="L383" s="28" t="s">
        <v>1433</v>
      </c>
      <c r="M383" s="28" t="s">
        <v>1434</v>
      </c>
      <c r="N383" s="28">
        <v>2009.0</v>
      </c>
      <c r="O383" s="31" t="s">
        <v>494</v>
      </c>
      <c r="P383" s="28">
        <v>1.0</v>
      </c>
      <c r="Q383" s="37">
        <v>1.0</v>
      </c>
      <c r="R383" s="33"/>
      <c r="S383" s="34"/>
      <c r="T383" s="34"/>
      <c r="U383" s="34"/>
      <c r="V383" s="34"/>
      <c r="W383" s="34"/>
      <c r="X383" s="34"/>
      <c r="Y383" s="45"/>
      <c r="Z383" s="45"/>
      <c r="AA383" s="45"/>
      <c r="AB383" s="45"/>
      <c r="AC383" s="45"/>
      <c r="AD383" s="45"/>
      <c r="AE383" s="45"/>
      <c r="AF383" s="45"/>
      <c r="AG383" s="45"/>
      <c r="AH383" s="45"/>
      <c r="AI383" s="45"/>
      <c r="AJ383" s="45"/>
      <c r="AK383" s="45"/>
      <c r="AL383" s="45"/>
    </row>
    <row r="384" ht="15.75" customHeight="1">
      <c r="A384" s="27">
        <f t="shared" si="7"/>
        <v>70</v>
      </c>
      <c r="B384" s="28" t="s">
        <v>1435</v>
      </c>
      <c r="C384" s="29" t="s">
        <v>1436</v>
      </c>
      <c r="D384" s="39" t="s">
        <v>1437</v>
      </c>
      <c r="E384" s="28" t="s">
        <v>28</v>
      </c>
      <c r="F384" s="28" t="s">
        <v>29</v>
      </c>
      <c r="G384" s="28" t="s">
        <v>37</v>
      </c>
      <c r="H384" s="28"/>
      <c r="I384" s="28" t="s">
        <v>38</v>
      </c>
      <c r="J384" s="28">
        <v>158.0</v>
      </c>
      <c r="K384" s="28"/>
      <c r="L384" s="28" t="s">
        <v>1438</v>
      </c>
      <c r="M384" s="28" t="s">
        <v>230</v>
      </c>
      <c r="N384" s="28">
        <v>1984.0</v>
      </c>
      <c r="O384" s="31" t="s">
        <v>494</v>
      </c>
      <c r="P384" s="28">
        <v>2.0</v>
      </c>
      <c r="Q384" s="37">
        <v>2.0</v>
      </c>
      <c r="R384" s="33"/>
      <c r="S384" s="38"/>
      <c r="T384" s="38"/>
      <c r="U384" s="38"/>
      <c r="V384" s="38"/>
      <c r="W384" s="38"/>
      <c r="X384" s="38"/>
      <c r="Y384" s="45"/>
      <c r="Z384" s="45"/>
      <c r="AA384" s="45"/>
      <c r="AB384" s="45"/>
      <c r="AC384" s="45"/>
      <c r="AD384" s="45"/>
      <c r="AE384" s="45"/>
      <c r="AF384" s="45"/>
      <c r="AG384" s="45"/>
      <c r="AH384" s="45"/>
      <c r="AI384" s="45"/>
      <c r="AJ384" s="45"/>
      <c r="AK384" s="45"/>
      <c r="AL384" s="45"/>
    </row>
    <row r="385" ht="15.75" customHeight="1">
      <c r="A385" s="27">
        <f t="shared" si="7"/>
        <v>71</v>
      </c>
      <c r="B385" s="28" t="s">
        <v>31</v>
      </c>
      <c r="C385" s="29" t="s">
        <v>1439</v>
      </c>
      <c r="D385" s="30" t="s">
        <v>1440</v>
      </c>
      <c r="E385" s="28" t="s">
        <v>28</v>
      </c>
      <c r="F385" s="28" t="s">
        <v>29</v>
      </c>
      <c r="G385" s="28" t="s">
        <v>131</v>
      </c>
      <c r="H385" s="28" t="s">
        <v>31</v>
      </c>
      <c r="I385" s="28" t="s">
        <v>131</v>
      </c>
      <c r="J385" s="31">
        <v>327.0</v>
      </c>
      <c r="K385" s="28"/>
      <c r="L385" s="31" t="s">
        <v>1441</v>
      </c>
      <c r="M385" s="28" t="s">
        <v>1442</v>
      </c>
      <c r="N385" s="28">
        <v>1962.0</v>
      </c>
      <c r="O385" s="31">
        <v>6.0</v>
      </c>
      <c r="P385" s="28">
        <v>1.0</v>
      </c>
      <c r="Q385" s="32">
        <v>1.0</v>
      </c>
      <c r="R385" s="33"/>
      <c r="S385" s="40"/>
      <c r="T385" s="40"/>
      <c r="U385" s="40"/>
      <c r="V385" s="40"/>
      <c r="W385" s="40"/>
      <c r="X385" s="40"/>
      <c r="Y385" s="45"/>
      <c r="Z385" s="45"/>
      <c r="AA385" s="45"/>
      <c r="AB385" s="45"/>
      <c r="AC385" s="45"/>
      <c r="AD385" s="45"/>
      <c r="AE385" s="45"/>
      <c r="AF385" s="45"/>
      <c r="AG385" s="45"/>
      <c r="AH385" s="45"/>
      <c r="AI385" s="45"/>
      <c r="AJ385" s="45"/>
      <c r="AK385" s="45"/>
      <c r="AL385" s="45"/>
    </row>
    <row r="386" ht="15.75" customHeight="1">
      <c r="A386" s="27">
        <f t="shared" si="7"/>
        <v>72</v>
      </c>
      <c r="B386" s="28" t="s">
        <v>1443</v>
      </c>
      <c r="C386" s="29" t="s">
        <v>1444</v>
      </c>
      <c r="D386" s="39" t="s">
        <v>1445</v>
      </c>
      <c r="E386" s="28" t="s">
        <v>28</v>
      </c>
      <c r="F386" s="28" t="s">
        <v>29</v>
      </c>
      <c r="G386" s="28" t="s">
        <v>37</v>
      </c>
      <c r="H386" s="28"/>
      <c r="I386" s="28" t="s">
        <v>38</v>
      </c>
      <c r="J386" s="28">
        <v>388.0</v>
      </c>
      <c r="K386" s="28"/>
      <c r="L386" s="28" t="s">
        <v>1446</v>
      </c>
      <c r="M386" s="28" t="s">
        <v>156</v>
      </c>
      <c r="N386" s="28">
        <v>1983.0</v>
      </c>
      <c r="O386" s="31">
        <v>6.0</v>
      </c>
      <c r="P386" s="28">
        <v>1.0</v>
      </c>
      <c r="Q386" s="32">
        <v>1.0</v>
      </c>
      <c r="R386" s="33"/>
      <c r="S386" s="40"/>
      <c r="T386" s="40"/>
      <c r="U386" s="40"/>
      <c r="V386" s="40"/>
      <c r="W386" s="40"/>
      <c r="X386" s="40"/>
      <c r="Y386" s="45"/>
      <c r="Z386" s="45"/>
      <c r="AA386" s="45"/>
      <c r="AB386" s="45"/>
      <c r="AC386" s="45"/>
      <c r="AD386" s="45"/>
      <c r="AE386" s="45"/>
      <c r="AF386" s="45"/>
      <c r="AG386" s="45"/>
      <c r="AH386" s="45"/>
      <c r="AI386" s="45"/>
      <c r="AJ386" s="45"/>
      <c r="AK386" s="45"/>
      <c r="AL386" s="45"/>
    </row>
    <row r="387" ht="15.75" customHeight="1">
      <c r="A387" s="27">
        <f t="shared" si="7"/>
        <v>73</v>
      </c>
      <c r="B387" s="28" t="s">
        <v>1447</v>
      </c>
      <c r="C387" s="29" t="s">
        <v>1448</v>
      </c>
      <c r="D387" s="39" t="s">
        <v>1449</v>
      </c>
      <c r="E387" s="28" t="s">
        <v>28</v>
      </c>
      <c r="F387" s="28" t="s">
        <v>29</v>
      </c>
      <c r="G387" s="28" t="s">
        <v>37</v>
      </c>
      <c r="H387" s="28"/>
      <c r="I387" s="28" t="s">
        <v>38</v>
      </c>
      <c r="J387" s="28">
        <v>887.0</v>
      </c>
      <c r="K387" s="28"/>
      <c r="L387" s="28" t="s">
        <v>1450</v>
      </c>
      <c r="M387" s="28" t="s">
        <v>230</v>
      </c>
      <c r="N387" s="28">
        <v>1997.0</v>
      </c>
      <c r="O387" s="31">
        <v>5.0</v>
      </c>
      <c r="P387" s="28">
        <v>1.0</v>
      </c>
      <c r="Q387" s="37">
        <v>1.0</v>
      </c>
      <c r="R387" s="33"/>
      <c r="S387" s="40"/>
      <c r="T387" s="40"/>
      <c r="U387" s="40"/>
      <c r="V387" s="40"/>
      <c r="W387" s="40"/>
      <c r="X387" s="40"/>
      <c r="Y387" s="45"/>
      <c r="Z387" s="45"/>
      <c r="AA387" s="45"/>
      <c r="AB387" s="45"/>
      <c r="AC387" s="45"/>
      <c r="AD387" s="45"/>
      <c r="AE387" s="45"/>
      <c r="AF387" s="45"/>
      <c r="AG387" s="45"/>
      <c r="AH387" s="45"/>
      <c r="AI387" s="45"/>
      <c r="AJ387" s="45"/>
      <c r="AK387" s="45"/>
      <c r="AL387" s="45"/>
    </row>
    <row r="388" ht="15.75" customHeight="1">
      <c r="A388" s="27">
        <f t="shared" si="7"/>
        <v>74</v>
      </c>
      <c r="B388" s="28" t="s">
        <v>31</v>
      </c>
      <c r="C388" s="29" t="s">
        <v>1451</v>
      </c>
      <c r="D388" s="39" t="s">
        <v>1452</v>
      </c>
      <c r="E388" s="28" t="s">
        <v>28</v>
      </c>
      <c r="F388" s="28" t="s">
        <v>29</v>
      </c>
      <c r="G388" s="28" t="s">
        <v>131</v>
      </c>
      <c r="H388" s="28"/>
      <c r="I388" s="28" t="s">
        <v>131</v>
      </c>
      <c r="J388" s="28">
        <v>560.0</v>
      </c>
      <c r="K388" s="28"/>
      <c r="L388" s="28" t="s">
        <v>1453</v>
      </c>
      <c r="M388" s="28" t="s">
        <v>1454</v>
      </c>
      <c r="N388" s="28">
        <v>1966.0</v>
      </c>
      <c r="O388" s="31" t="s">
        <v>89</v>
      </c>
      <c r="P388" s="28">
        <v>1.0</v>
      </c>
      <c r="Q388" s="32">
        <v>1.0</v>
      </c>
      <c r="R388" s="33"/>
      <c r="S388" s="34"/>
      <c r="T388" s="34"/>
      <c r="U388" s="34"/>
      <c r="V388" s="34"/>
      <c r="W388" s="34"/>
      <c r="X388" s="34"/>
      <c r="Y388" s="45"/>
      <c r="Z388" s="45"/>
      <c r="AA388" s="45"/>
      <c r="AB388" s="45"/>
      <c r="AC388" s="45"/>
      <c r="AD388" s="45"/>
      <c r="AE388" s="45"/>
      <c r="AF388" s="45"/>
      <c r="AG388" s="45"/>
      <c r="AH388" s="45"/>
      <c r="AI388" s="45"/>
      <c r="AJ388" s="45"/>
      <c r="AK388" s="45"/>
      <c r="AL388" s="45"/>
    </row>
    <row r="389" ht="15.75" customHeight="1">
      <c r="A389" s="27">
        <f t="shared" si="7"/>
        <v>75</v>
      </c>
      <c r="B389" s="28" t="s">
        <v>1455</v>
      </c>
      <c r="C389" s="29" t="s">
        <v>1456</v>
      </c>
      <c r="D389" s="39" t="s">
        <v>1457</v>
      </c>
      <c r="E389" s="28" t="s">
        <v>28</v>
      </c>
      <c r="F389" s="28" t="s">
        <v>29</v>
      </c>
      <c r="G389" s="28" t="s">
        <v>38</v>
      </c>
      <c r="H389" s="28" t="s">
        <v>31</v>
      </c>
      <c r="I389" s="28" t="s">
        <v>38</v>
      </c>
      <c r="J389" s="28">
        <v>243.0</v>
      </c>
      <c r="K389" s="28"/>
      <c r="L389" s="31" t="s">
        <v>1458</v>
      </c>
      <c r="M389" s="28" t="s">
        <v>230</v>
      </c>
      <c r="N389" s="28">
        <v>1982.0</v>
      </c>
      <c r="O389" s="31" t="s">
        <v>89</v>
      </c>
      <c r="P389" s="28">
        <v>1.0</v>
      </c>
      <c r="Q389" s="32">
        <v>1.0</v>
      </c>
      <c r="R389" s="33"/>
      <c r="S389" s="40"/>
      <c r="T389" s="40"/>
      <c r="U389" s="40"/>
      <c r="V389" s="40"/>
      <c r="W389" s="40"/>
      <c r="X389" s="40"/>
      <c r="Y389" s="45"/>
      <c r="Z389" s="45"/>
      <c r="AA389" s="45"/>
      <c r="AB389" s="45"/>
      <c r="AC389" s="45"/>
      <c r="AD389" s="45"/>
      <c r="AE389" s="45"/>
      <c r="AF389" s="45"/>
      <c r="AG389" s="45"/>
      <c r="AH389" s="45"/>
      <c r="AI389" s="45"/>
      <c r="AJ389" s="45"/>
      <c r="AK389" s="45"/>
      <c r="AL389" s="45"/>
    </row>
    <row r="390" ht="15.75" customHeight="1">
      <c r="A390" s="27">
        <f t="shared" si="7"/>
        <v>76</v>
      </c>
      <c r="B390" s="28" t="s">
        <v>1459</v>
      </c>
      <c r="C390" s="43" t="s">
        <v>1460</v>
      </c>
      <c r="D390" s="39" t="s">
        <v>1461</v>
      </c>
      <c r="E390" s="28" t="s">
        <v>28</v>
      </c>
      <c r="F390" s="28" t="s">
        <v>29</v>
      </c>
      <c r="G390" s="28" t="s">
        <v>37</v>
      </c>
      <c r="H390" s="28" t="s">
        <v>31</v>
      </c>
      <c r="I390" s="28" t="s">
        <v>38</v>
      </c>
      <c r="J390" s="28">
        <v>180.0</v>
      </c>
      <c r="K390" s="28"/>
      <c r="L390" s="28" t="s">
        <v>1462</v>
      </c>
      <c r="M390" s="28" t="s">
        <v>250</v>
      </c>
      <c r="N390" s="28">
        <v>2009.0</v>
      </c>
      <c r="O390" s="31" t="s">
        <v>89</v>
      </c>
      <c r="P390" s="28">
        <v>1.0</v>
      </c>
      <c r="Q390" s="37">
        <v>1.0</v>
      </c>
      <c r="R390" s="33"/>
      <c r="S390" s="34"/>
      <c r="T390" s="34"/>
      <c r="U390" s="34"/>
      <c r="V390" s="34"/>
      <c r="W390" s="34"/>
      <c r="X390" s="34"/>
      <c r="Y390" s="45"/>
      <c r="Z390" s="45"/>
      <c r="AA390" s="45"/>
      <c r="AB390" s="45"/>
      <c r="AC390" s="45"/>
      <c r="AD390" s="45"/>
      <c r="AE390" s="45"/>
      <c r="AF390" s="45"/>
      <c r="AG390" s="45"/>
      <c r="AH390" s="45"/>
      <c r="AI390" s="45"/>
      <c r="AJ390" s="45"/>
      <c r="AK390" s="45"/>
      <c r="AL390" s="45"/>
    </row>
    <row r="391" ht="15.75" customHeight="1">
      <c r="A391" s="27">
        <f t="shared" si="7"/>
        <v>77</v>
      </c>
      <c r="B391" s="28" t="s">
        <v>31</v>
      </c>
      <c r="C391" s="29" t="s">
        <v>1463</v>
      </c>
      <c r="D391" s="39" t="s">
        <v>1464</v>
      </c>
      <c r="E391" s="28" t="s">
        <v>28</v>
      </c>
      <c r="F391" s="28" t="s">
        <v>29</v>
      </c>
      <c r="G391" s="28" t="s">
        <v>37</v>
      </c>
      <c r="H391" s="28"/>
      <c r="I391" s="28" t="s">
        <v>38</v>
      </c>
      <c r="J391" s="28">
        <v>558.0</v>
      </c>
      <c r="K391" s="28"/>
      <c r="L391" s="31" t="s">
        <v>1465</v>
      </c>
      <c r="M391" s="28" t="s">
        <v>507</v>
      </c>
      <c r="N391" s="28">
        <v>1951.0</v>
      </c>
      <c r="O391" s="31">
        <v>5.0</v>
      </c>
      <c r="P391" s="28">
        <v>1.0</v>
      </c>
      <c r="Q391" s="32">
        <v>1.0</v>
      </c>
      <c r="R391" s="33"/>
      <c r="S391" s="34"/>
      <c r="T391" s="34"/>
      <c r="U391" s="34"/>
      <c r="V391" s="34"/>
      <c r="W391" s="34"/>
      <c r="X391" s="34"/>
      <c r="Y391" s="45"/>
      <c r="Z391" s="45"/>
      <c r="AA391" s="45"/>
      <c r="AB391" s="45"/>
      <c r="AC391" s="45"/>
      <c r="AD391" s="45"/>
      <c r="AE391" s="45"/>
      <c r="AF391" s="45"/>
      <c r="AG391" s="45"/>
      <c r="AH391" s="45"/>
      <c r="AI391" s="45"/>
      <c r="AJ391" s="45"/>
      <c r="AK391" s="45"/>
      <c r="AL391" s="45"/>
    </row>
    <row r="392" ht="15.75" customHeight="1">
      <c r="A392" s="27">
        <f t="shared" si="7"/>
        <v>78</v>
      </c>
      <c r="B392" s="28" t="s">
        <v>1466</v>
      </c>
      <c r="C392" s="29" t="s">
        <v>1467</v>
      </c>
      <c r="D392" s="39" t="s">
        <v>1468</v>
      </c>
      <c r="E392" s="28" t="s">
        <v>28</v>
      </c>
      <c r="F392" s="28" t="s">
        <v>29</v>
      </c>
      <c r="G392" s="28" t="s">
        <v>38</v>
      </c>
      <c r="H392" s="28"/>
      <c r="I392" s="28" t="s">
        <v>38</v>
      </c>
      <c r="J392" s="31">
        <v>331.0</v>
      </c>
      <c r="K392" s="28"/>
      <c r="L392" s="28" t="s">
        <v>1469</v>
      </c>
      <c r="M392" s="28" t="s">
        <v>83</v>
      </c>
      <c r="N392" s="28">
        <v>2008.0</v>
      </c>
      <c r="O392" s="31" t="s">
        <v>494</v>
      </c>
      <c r="P392" s="28">
        <v>1.0</v>
      </c>
      <c r="Q392" s="32">
        <v>1.0</v>
      </c>
      <c r="R392" s="33"/>
      <c r="S392" s="34"/>
      <c r="T392" s="34"/>
      <c r="U392" s="34"/>
      <c r="V392" s="34"/>
      <c r="W392" s="34"/>
      <c r="X392" s="34"/>
      <c r="Y392" s="45"/>
      <c r="Z392" s="45"/>
      <c r="AA392" s="45"/>
      <c r="AB392" s="45"/>
      <c r="AC392" s="45"/>
      <c r="AD392" s="45"/>
      <c r="AE392" s="45"/>
      <c r="AF392" s="45"/>
      <c r="AG392" s="45"/>
      <c r="AH392" s="45"/>
      <c r="AI392" s="45"/>
      <c r="AJ392" s="45"/>
      <c r="AK392" s="45"/>
      <c r="AL392" s="45"/>
    </row>
    <row r="393" ht="15.75" customHeight="1">
      <c r="A393" s="27">
        <f t="shared" si="7"/>
        <v>79</v>
      </c>
      <c r="B393" s="28" t="s">
        <v>1470</v>
      </c>
      <c r="C393" s="29" t="s">
        <v>1471</v>
      </c>
      <c r="D393" s="39" t="s">
        <v>1472</v>
      </c>
      <c r="E393" s="28" t="s">
        <v>223</v>
      </c>
      <c r="F393" s="28" t="s">
        <v>29</v>
      </c>
      <c r="G393" s="28" t="s">
        <v>37</v>
      </c>
      <c r="H393" s="28"/>
      <c r="I393" s="28" t="s">
        <v>38</v>
      </c>
      <c r="J393" s="28">
        <v>166.0</v>
      </c>
      <c r="K393" s="28"/>
      <c r="L393" s="28" t="s">
        <v>1473</v>
      </c>
      <c r="M393" s="28" t="s">
        <v>54</v>
      </c>
      <c r="N393" s="28">
        <v>1992.0</v>
      </c>
      <c r="O393" s="31">
        <v>5.0</v>
      </c>
      <c r="P393" s="31">
        <v>4.0</v>
      </c>
      <c r="Q393" s="37">
        <v>4.0</v>
      </c>
      <c r="R393" s="33"/>
      <c r="S393" s="40"/>
      <c r="T393" s="40"/>
      <c r="U393" s="40"/>
      <c r="V393" s="40"/>
      <c r="W393" s="40"/>
      <c r="X393" s="40"/>
      <c r="Y393" s="45"/>
      <c r="Z393" s="45"/>
      <c r="AA393" s="45"/>
      <c r="AB393" s="45"/>
      <c r="AC393" s="45"/>
      <c r="AD393" s="45"/>
      <c r="AE393" s="45"/>
      <c r="AF393" s="45"/>
      <c r="AG393" s="45"/>
      <c r="AH393" s="45"/>
      <c r="AI393" s="45"/>
      <c r="AJ393" s="45"/>
      <c r="AK393" s="45"/>
      <c r="AL393" s="45"/>
    </row>
    <row r="394" ht="15.75" customHeight="1">
      <c r="A394" s="27">
        <f t="shared" si="7"/>
        <v>80</v>
      </c>
      <c r="B394" s="28" t="s">
        <v>1474</v>
      </c>
      <c r="C394" s="29" t="s">
        <v>1475</v>
      </c>
      <c r="D394" s="30" t="s">
        <v>1476</v>
      </c>
      <c r="E394" s="28" t="s">
        <v>28</v>
      </c>
      <c r="F394" s="28" t="s">
        <v>29</v>
      </c>
      <c r="G394" s="28" t="s">
        <v>37</v>
      </c>
      <c r="H394" s="28"/>
      <c r="I394" s="28" t="s">
        <v>38</v>
      </c>
      <c r="J394" s="31">
        <v>263.0</v>
      </c>
      <c r="K394" s="28"/>
      <c r="L394" s="28" t="s">
        <v>1477</v>
      </c>
      <c r="M394" s="28" t="s">
        <v>1478</v>
      </c>
      <c r="N394" s="28">
        <v>2005.0</v>
      </c>
      <c r="O394" s="31">
        <v>5.0</v>
      </c>
      <c r="P394" s="28">
        <v>1.0</v>
      </c>
      <c r="Q394" s="32">
        <v>1.0</v>
      </c>
      <c r="R394" s="33"/>
      <c r="S394" s="40"/>
      <c r="T394" s="40"/>
      <c r="U394" s="40"/>
      <c r="V394" s="40"/>
      <c r="W394" s="40"/>
      <c r="X394" s="40"/>
      <c r="Y394" s="45"/>
      <c r="Z394" s="45"/>
      <c r="AA394" s="45"/>
      <c r="AB394" s="45"/>
      <c r="AC394" s="45"/>
      <c r="AD394" s="45"/>
      <c r="AE394" s="45"/>
      <c r="AF394" s="45"/>
      <c r="AG394" s="45"/>
      <c r="AH394" s="45"/>
      <c r="AI394" s="45"/>
      <c r="AJ394" s="45"/>
      <c r="AK394" s="45"/>
      <c r="AL394" s="45"/>
    </row>
    <row r="395" ht="15.75" customHeight="1">
      <c r="A395" s="27">
        <f t="shared" si="7"/>
        <v>81</v>
      </c>
      <c r="B395" s="28" t="s">
        <v>1479</v>
      </c>
      <c r="C395" s="29" t="s">
        <v>1480</v>
      </c>
      <c r="D395" s="39" t="s">
        <v>1481</v>
      </c>
      <c r="E395" s="28" t="s">
        <v>28</v>
      </c>
      <c r="F395" s="28" t="s">
        <v>29</v>
      </c>
      <c r="G395" s="28" t="s">
        <v>37</v>
      </c>
      <c r="H395" s="28"/>
      <c r="I395" s="28" t="s">
        <v>38</v>
      </c>
      <c r="J395" s="31">
        <v>135.0</v>
      </c>
      <c r="K395" s="28"/>
      <c r="L395" s="28" t="s">
        <v>1482</v>
      </c>
      <c r="M395" s="28" t="s">
        <v>1478</v>
      </c>
      <c r="N395" s="28">
        <v>2004.0</v>
      </c>
      <c r="O395" s="31">
        <v>5.0</v>
      </c>
      <c r="P395" s="28">
        <v>1.0</v>
      </c>
      <c r="Q395" s="32">
        <v>1.0</v>
      </c>
      <c r="R395" s="33"/>
      <c r="S395" s="40"/>
      <c r="T395" s="40"/>
      <c r="U395" s="40"/>
      <c r="V395" s="40"/>
      <c r="W395" s="40"/>
      <c r="X395" s="40"/>
      <c r="Y395" s="45"/>
      <c r="Z395" s="45"/>
      <c r="AA395" s="45"/>
      <c r="AB395" s="45"/>
      <c r="AC395" s="45"/>
      <c r="AD395" s="45"/>
      <c r="AE395" s="45"/>
      <c r="AF395" s="45"/>
      <c r="AG395" s="45"/>
      <c r="AH395" s="45"/>
      <c r="AI395" s="45"/>
      <c r="AJ395" s="45"/>
      <c r="AK395" s="45"/>
      <c r="AL395" s="45"/>
    </row>
    <row r="396" ht="15.75" customHeight="1">
      <c r="A396" s="27">
        <f t="shared" si="7"/>
        <v>82</v>
      </c>
      <c r="B396" s="28" t="s">
        <v>1483</v>
      </c>
      <c r="C396" s="29" t="s">
        <v>1484</v>
      </c>
      <c r="D396" s="39" t="s">
        <v>1485</v>
      </c>
      <c r="E396" s="28" t="s">
        <v>28</v>
      </c>
      <c r="F396" s="28" t="s">
        <v>29</v>
      </c>
      <c r="G396" s="28" t="s">
        <v>37</v>
      </c>
      <c r="H396" s="28"/>
      <c r="I396" s="28" t="s">
        <v>38</v>
      </c>
      <c r="J396" s="28">
        <v>930.0</v>
      </c>
      <c r="K396" s="28"/>
      <c r="L396" s="28" t="s">
        <v>402</v>
      </c>
      <c r="M396" s="28" t="s">
        <v>382</v>
      </c>
      <c r="N396" s="28">
        <v>2010.0</v>
      </c>
      <c r="O396" s="31">
        <v>4.0</v>
      </c>
      <c r="P396" s="28">
        <v>1.0</v>
      </c>
      <c r="Q396" s="32">
        <v>1.0</v>
      </c>
      <c r="R396" s="33"/>
      <c r="S396" s="34"/>
      <c r="T396" s="34"/>
      <c r="U396" s="34"/>
      <c r="V396" s="34"/>
      <c r="W396" s="34"/>
      <c r="X396" s="34"/>
      <c r="Y396" s="45"/>
      <c r="Z396" s="45"/>
      <c r="AA396" s="45"/>
      <c r="AB396" s="45"/>
      <c r="AC396" s="45"/>
      <c r="AD396" s="45"/>
      <c r="AE396" s="45"/>
      <c r="AF396" s="45"/>
      <c r="AG396" s="45"/>
      <c r="AH396" s="45"/>
      <c r="AI396" s="45"/>
      <c r="AJ396" s="45"/>
      <c r="AK396" s="45"/>
      <c r="AL396" s="45"/>
    </row>
    <row r="397" ht="15.75" customHeight="1">
      <c r="A397" s="27">
        <f t="shared" si="7"/>
        <v>83</v>
      </c>
      <c r="B397" s="28" t="s">
        <v>1486</v>
      </c>
      <c r="C397" s="29" t="s">
        <v>1487</v>
      </c>
      <c r="D397" s="39" t="s">
        <v>1488</v>
      </c>
      <c r="E397" s="28" t="s">
        <v>28</v>
      </c>
      <c r="F397" s="28" t="s">
        <v>29</v>
      </c>
      <c r="G397" s="28" t="s">
        <v>37</v>
      </c>
      <c r="H397" s="28" t="s">
        <v>31</v>
      </c>
      <c r="I397" s="28" t="s">
        <v>38</v>
      </c>
      <c r="J397" s="28">
        <v>819.0</v>
      </c>
      <c r="K397" s="28"/>
      <c r="L397" s="28" t="s">
        <v>1489</v>
      </c>
      <c r="M397" s="28" t="s">
        <v>230</v>
      </c>
      <c r="N397" s="28">
        <v>1980.0</v>
      </c>
      <c r="O397" s="31">
        <v>5.0</v>
      </c>
      <c r="P397" s="28">
        <v>2.0</v>
      </c>
      <c r="Q397" s="37">
        <v>2.0</v>
      </c>
      <c r="R397" s="33"/>
      <c r="S397" s="40"/>
      <c r="T397" s="40"/>
      <c r="U397" s="40"/>
      <c r="V397" s="40"/>
      <c r="W397" s="40"/>
      <c r="X397" s="40"/>
      <c r="Y397" s="3"/>
      <c r="Z397" s="3"/>
      <c r="AA397" s="3"/>
      <c r="AB397" s="3"/>
      <c r="AC397" s="3"/>
      <c r="AD397" s="3"/>
      <c r="AE397" s="3"/>
      <c r="AF397" s="3"/>
      <c r="AG397" s="3"/>
      <c r="AH397" s="3"/>
      <c r="AI397" s="3"/>
      <c r="AJ397" s="3"/>
      <c r="AK397" s="3"/>
      <c r="AL397" s="3"/>
    </row>
    <row r="398" ht="15.75" customHeight="1">
      <c r="A398" s="27">
        <f t="shared" si="7"/>
        <v>84</v>
      </c>
      <c r="B398" s="28" t="s">
        <v>1490</v>
      </c>
      <c r="C398" s="29" t="s">
        <v>1491</v>
      </c>
      <c r="D398" s="30" t="s">
        <v>1492</v>
      </c>
      <c r="E398" s="28" t="s">
        <v>28</v>
      </c>
      <c r="F398" s="28" t="s">
        <v>29</v>
      </c>
      <c r="G398" s="28" t="s">
        <v>37</v>
      </c>
      <c r="H398" s="28"/>
      <c r="I398" s="28" t="s">
        <v>38</v>
      </c>
      <c r="J398" s="28">
        <v>874.0</v>
      </c>
      <c r="K398" s="28"/>
      <c r="L398" s="28" t="s">
        <v>1493</v>
      </c>
      <c r="M398" s="28" t="s">
        <v>931</v>
      </c>
      <c r="N398" s="28">
        <v>1986.0</v>
      </c>
      <c r="O398" s="31">
        <v>5.0</v>
      </c>
      <c r="P398" s="28">
        <v>1.0</v>
      </c>
      <c r="Q398" s="32">
        <v>1.0</v>
      </c>
      <c r="R398" s="33"/>
      <c r="S398" s="34"/>
      <c r="T398" s="34"/>
      <c r="U398" s="34"/>
      <c r="V398" s="34"/>
      <c r="W398" s="34"/>
      <c r="X398" s="34"/>
      <c r="Y398" s="45"/>
      <c r="Z398" s="45"/>
      <c r="AA398" s="45"/>
      <c r="AB398" s="45"/>
      <c r="AC398" s="45"/>
      <c r="AD398" s="45"/>
      <c r="AE398" s="45"/>
      <c r="AF398" s="45"/>
      <c r="AG398" s="45"/>
      <c r="AH398" s="45"/>
      <c r="AI398" s="45"/>
      <c r="AJ398" s="45"/>
      <c r="AK398" s="45"/>
      <c r="AL398" s="45"/>
    </row>
    <row r="399" ht="15.75" customHeight="1">
      <c r="A399" s="27">
        <f t="shared" si="7"/>
        <v>85</v>
      </c>
      <c r="B399" s="28" t="s">
        <v>31</v>
      </c>
      <c r="C399" s="29" t="s">
        <v>1494</v>
      </c>
      <c r="D399" s="30" t="s">
        <v>1495</v>
      </c>
      <c r="E399" s="28" t="s">
        <v>28</v>
      </c>
      <c r="F399" s="28" t="s">
        <v>29</v>
      </c>
      <c r="G399" s="28" t="s">
        <v>38</v>
      </c>
      <c r="H399" s="28" t="s">
        <v>31</v>
      </c>
      <c r="I399" s="28" t="s">
        <v>38</v>
      </c>
      <c r="J399" s="28">
        <v>330.0</v>
      </c>
      <c r="K399" s="28"/>
      <c r="L399" s="28" t="s">
        <v>1496</v>
      </c>
      <c r="M399" s="28" t="s">
        <v>1497</v>
      </c>
      <c r="N399" s="28">
        <v>1945.0</v>
      </c>
      <c r="O399" s="86" t="s">
        <v>1415</v>
      </c>
      <c r="P399" s="28">
        <v>1.0</v>
      </c>
      <c r="Q399" s="32">
        <v>1.0</v>
      </c>
      <c r="R399" s="33"/>
      <c r="S399" s="34"/>
      <c r="T399" s="34"/>
      <c r="U399" s="34"/>
      <c r="V399" s="34"/>
      <c r="W399" s="34"/>
      <c r="X399" s="34"/>
      <c r="Y399" s="45"/>
      <c r="Z399" s="45"/>
      <c r="AA399" s="45"/>
      <c r="AB399" s="45"/>
      <c r="AC399" s="45"/>
      <c r="AD399" s="45"/>
      <c r="AE399" s="45"/>
      <c r="AF399" s="45"/>
      <c r="AG399" s="45"/>
      <c r="AH399" s="45"/>
      <c r="AI399" s="45"/>
      <c r="AJ399" s="45"/>
      <c r="AK399" s="45"/>
      <c r="AL399" s="45"/>
    </row>
    <row r="400" ht="15.75" customHeight="1">
      <c r="A400" s="27">
        <f t="shared" si="7"/>
        <v>86</v>
      </c>
      <c r="B400" s="28" t="s">
        <v>31</v>
      </c>
      <c r="C400" s="29" t="s">
        <v>1498</v>
      </c>
      <c r="D400" s="30" t="s">
        <v>1499</v>
      </c>
      <c r="E400" s="28" t="s">
        <v>28</v>
      </c>
      <c r="F400" s="28" t="s">
        <v>29</v>
      </c>
      <c r="G400" s="28" t="s">
        <v>37</v>
      </c>
      <c r="H400" s="28"/>
      <c r="I400" s="28" t="s">
        <v>38</v>
      </c>
      <c r="J400" s="31">
        <v>501.0</v>
      </c>
      <c r="K400" s="28"/>
      <c r="L400" s="28" t="s">
        <v>1500</v>
      </c>
      <c r="M400" s="28" t="s">
        <v>230</v>
      </c>
      <c r="N400" s="28">
        <v>1950.0</v>
      </c>
      <c r="O400" s="86" t="s">
        <v>1415</v>
      </c>
      <c r="P400" s="28">
        <v>2.0</v>
      </c>
      <c r="Q400" s="32">
        <v>2.0</v>
      </c>
      <c r="R400" s="33"/>
      <c r="S400" s="34"/>
      <c r="T400" s="34"/>
      <c r="U400" s="34"/>
      <c r="V400" s="34"/>
      <c r="W400" s="34"/>
      <c r="X400" s="34"/>
      <c r="Y400" s="45"/>
      <c r="Z400" s="45"/>
      <c r="AA400" s="45"/>
      <c r="AB400" s="45"/>
      <c r="AC400" s="45"/>
      <c r="AD400" s="45"/>
      <c r="AE400" s="45"/>
      <c r="AF400" s="45"/>
      <c r="AG400" s="45"/>
      <c r="AH400" s="45"/>
      <c r="AI400" s="45"/>
      <c r="AJ400" s="45"/>
      <c r="AK400" s="45"/>
      <c r="AL400" s="45"/>
    </row>
    <row r="401" ht="15.75" customHeight="1">
      <c r="A401" s="27">
        <f t="shared" si="7"/>
        <v>87</v>
      </c>
      <c r="B401" s="28" t="s">
        <v>1501</v>
      </c>
      <c r="C401" s="29" t="s">
        <v>1502</v>
      </c>
      <c r="D401" s="39" t="s">
        <v>1503</v>
      </c>
      <c r="E401" s="28" t="s">
        <v>28</v>
      </c>
      <c r="F401" s="28" t="s">
        <v>29</v>
      </c>
      <c r="G401" s="28" t="s">
        <v>37</v>
      </c>
      <c r="H401" s="28"/>
      <c r="I401" s="28" t="s">
        <v>38</v>
      </c>
      <c r="J401" s="31">
        <v>543.0</v>
      </c>
      <c r="K401" s="28"/>
      <c r="L401" s="28" t="s">
        <v>1504</v>
      </c>
      <c r="M401" s="28" t="s">
        <v>178</v>
      </c>
      <c r="N401" s="28">
        <v>1989.0</v>
      </c>
      <c r="O401" s="31">
        <v>4.0</v>
      </c>
      <c r="P401" s="28">
        <v>1.0</v>
      </c>
      <c r="Q401" s="32">
        <v>1.0</v>
      </c>
      <c r="R401" s="33"/>
      <c r="S401" s="34"/>
      <c r="T401" s="34"/>
      <c r="U401" s="34"/>
      <c r="V401" s="34"/>
      <c r="W401" s="34"/>
      <c r="X401" s="34"/>
      <c r="Y401" s="45"/>
      <c r="Z401" s="45"/>
      <c r="AA401" s="45"/>
      <c r="AB401" s="45"/>
      <c r="AC401" s="45"/>
      <c r="AD401" s="45"/>
      <c r="AE401" s="45"/>
      <c r="AF401" s="45"/>
      <c r="AG401" s="45"/>
      <c r="AH401" s="45"/>
      <c r="AI401" s="45"/>
      <c r="AJ401" s="45"/>
      <c r="AK401" s="45"/>
      <c r="AL401" s="45"/>
    </row>
    <row r="402" ht="15.75" customHeight="1">
      <c r="A402" s="27">
        <f t="shared" si="7"/>
        <v>88</v>
      </c>
      <c r="B402" s="28" t="s">
        <v>1505</v>
      </c>
      <c r="C402" s="29" t="s">
        <v>1502</v>
      </c>
      <c r="D402" s="39" t="s">
        <v>1506</v>
      </c>
      <c r="E402" s="28" t="s">
        <v>28</v>
      </c>
      <c r="F402" s="28" t="s">
        <v>29</v>
      </c>
      <c r="G402" s="28" t="s">
        <v>37</v>
      </c>
      <c r="H402" s="28"/>
      <c r="I402" s="28" t="s">
        <v>38</v>
      </c>
      <c r="J402" s="31">
        <v>689.0</v>
      </c>
      <c r="K402" s="28"/>
      <c r="L402" s="28" t="s">
        <v>1504</v>
      </c>
      <c r="M402" s="28" t="s">
        <v>178</v>
      </c>
      <c r="N402" s="28">
        <v>1986.0</v>
      </c>
      <c r="O402" s="31">
        <v>4.0</v>
      </c>
      <c r="P402" s="28">
        <v>1.0</v>
      </c>
      <c r="Q402" s="32">
        <v>1.0</v>
      </c>
      <c r="R402" s="33"/>
      <c r="S402" s="34"/>
      <c r="T402" s="34"/>
      <c r="U402" s="34"/>
      <c r="V402" s="34"/>
      <c r="W402" s="34"/>
      <c r="X402" s="34"/>
      <c r="Y402" s="45"/>
      <c r="Z402" s="45"/>
      <c r="AA402" s="45"/>
      <c r="AB402" s="45"/>
      <c r="AC402" s="45"/>
      <c r="AD402" s="45"/>
      <c r="AE402" s="45"/>
      <c r="AF402" s="45"/>
      <c r="AG402" s="45"/>
      <c r="AH402" s="45"/>
      <c r="AI402" s="45"/>
      <c r="AJ402" s="45"/>
      <c r="AK402" s="45"/>
      <c r="AL402" s="45"/>
    </row>
    <row r="403" ht="15.75" customHeight="1">
      <c r="A403" s="27">
        <f t="shared" si="7"/>
        <v>89</v>
      </c>
      <c r="B403" s="28" t="s">
        <v>1507</v>
      </c>
      <c r="C403" s="47" t="s">
        <v>1508</v>
      </c>
      <c r="D403" s="39" t="s">
        <v>1509</v>
      </c>
      <c r="E403" s="28" t="s">
        <v>28</v>
      </c>
      <c r="F403" s="28" t="s">
        <v>29</v>
      </c>
      <c r="G403" s="28" t="s">
        <v>386</v>
      </c>
      <c r="H403" s="28"/>
      <c r="I403" s="28" t="s">
        <v>30</v>
      </c>
      <c r="J403" s="28">
        <v>563.0</v>
      </c>
      <c r="K403" s="28"/>
      <c r="L403" s="28" t="s">
        <v>780</v>
      </c>
      <c r="M403" s="28" t="s">
        <v>169</v>
      </c>
      <c r="N403" s="28">
        <v>2017.0</v>
      </c>
      <c r="O403" s="31">
        <v>5.0</v>
      </c>
      <c r="P403" s="28">
        <v>1.0</v>
      </c>
      <c r="Q403" s="32">
        <v>1.0</v>
      </c>
      <c r="R403" s="33"/>
      <c r="S403" s="34"/>
      <c r="T403" s="34"/>
      <c r="U403" s="34"/>
      <c r="V403" s="34"/>
      <c r="W403" s="34"/>
      <c r="X403" s="34"/>
      <c r="Y403" s="45"/>
      <c r="Z403" s="45"/>
      <c r="AA403" s="45"/>
      <c r="AB403" s="45"/>
      <c r="AC403" s="45"/>
      <c r="AD403" s="45"/>
      <c r="AE403" s="45"/>
      <c r="AF403" s="45"/>
      <c r="AG403" s="45"/>
      <c r="AH403" s="45"/>
      <c r="AI403" s="45"/>
      <c r="AJ403" s="45"/>
      <c r="AK403" s="45"/>
      <c r="AL403" s="45"/>
    </row>
    <row r="404" ht="15.75" customHeight="1">
      <c r="A404" s="27">
        <f t="shared" si="7"/>
        <v>90</v>
      </c>
      <c r="B404" s="28" t="s">
        <v>1507</v>
      </c>
      <c r="C404" s="47" t="s">
        <v>1508</v>
      </c>
      <c r="D404" s="39" t="s">
        <v>1510</v>
      </c>
      <c r="E404" s="28" t="s">
        <v>28</v>
      </c>
      <c r="F404" s="28" t="s">
        <v>29</v>
      </c>
      <c r="G404" s="28" t="s">
        <v>386</v>
      </c>
      <c r="H404" s="28"/>
      <c r="I404" s="28" t="s">
        <v>30</v>
      </c>
      <c r="J404" s="28">
        <v>861.0</v>
      </c>
      <c r="K404" s="28"/>
      <c r="L404" s="28" t="s">
        <v>780</v>
      </c>
      <c r="M404" s="28" t="s">
        <v>169</v>
      </c>
      <c r="N404" s="28">
        <v>2017.0</v>
      </c>
      <c r="O404" s="31">
        <v>5.0</v>
      </c>
      <c r="P404" s="28">
        <v>1.0</v>
      </c>
      <c r="Q404" s="32">
        <v>1.0</v>
      </c>
      <c r="R404" s="33"/>
      <c r="S404" s="40"/>
      <c r="T404" s="40"/>
      <c r="U404" s="40"/>
      <c r="V404" s="40"/>
      <c r="W404" s="40"/>
      <c r="X404" s="40"/>
      <c r="Y404" s="3"/>
      <c r="Z404" s="3"/>
      <c r="AA404" s="3"/>
      <c r="AB404" s="3"/>
      <c r="AC404" s="3"/>
      <c r="AD404" s="3"/>
      <c r="AE404" s="3"/>
      <c r="AF404" s="3"/>
      <c r="AG404" s="3"/>
      <c r="AH404" s="3"/>
      <c r="AI404" s="3"/>
      <c r="AJ404" s="3"/>
      <c r="AK404" s="3"/>
      <c r="AL404" s="3"/>
    </row>
    <row r="405" ht="15.75" customHeight="1">
      <c r="A405" s="27">
        <f t="shared" si="7"/>
        <v>91</v>
      </c>
      <c r="B405" s="31" t="s">
        <v>31</v>
      </c>
      <c r="C405" s="29" t="s">
        <v>1511</v>
      </c>
      <c r="D405" s="30" t="s">
        <v>1512</v>
      </c>
      <c r="E405" s="28" t="s">
        <v>28</v>
      </c>
      <c r="F405" s="28" t="s">
        <v>29</v>
      </c>
      <c r="G405" s="28" t="s">
        <v>38</v>
      </c>
      <c r="H405" s="28"/>
      <c r="I405" s="28" t="s">
        <v>38</v>
      </c>
      <c r="J405" s="31">
        <v>416.0</v>
      </c>
      <c r="K405" s="28"/>
      <c r="L405" s="31" t="s">
        <v>1513</v>
      </c>
      <c r="M405" s="31" t="s">
        <v>1514</v>
      </c>
      <c r="N405" s="31">
        <v>1968.0</v>
      </c>
      <c r="O405" s="31">
        <v>2.0</v>
      </c>
      <c r="P405" s="28">
        <v>1.0</v>
      </c>
      <c r="Q405" s="32">
        <v>1.0</v>
      </c>
      <c r="R405" s="33"/>
      <c r="S405" s="34"/>
      <c r="T405" s="34"/>
      <c r="U405" s="34"/>
      <c r="V405" s="34"/>
      <c r="W405" s="34"/>
      <c r="X405" s="34"/>
      <c r="Y405" s="45"/>
      <c r="Z405" s="45"/>
      <c r="AA405" s="45"/>
      <c r="AB405" s="45"/>
      <c r="AC405" s="45"/>
      <c r="AD405" s="45"/>
      <c r="AE405" s="45"/>
      <c r="AF405" s="45"/>
      <c r="AG405" s="45"/>
      <c r="AH405" s="45"/>
      <c r="AI405" s="45"/>
      <c r="AJ405" s="45"/>
      <c r="AK405" s="45"/>
      <c r="AL405" s="45"/>
    </row>
    <row r="406" ht="15.75" customHeight="1">
      <c r="A406" s="27">
        <f t="shared" si="7"/>
        <v>92</v>
      </c>
      <c r="B406" s="28" t="s">
        <v>1515</v>
      </c>
      <c r="C406" s="29" t="s">
        <v>1516</v>
      </c>
      <c r="D406" s="39" t="s">
        <v>1517</v>
      </c>
      <c r="E406" s="28" t="s">
        <v>28</v>
      </c>
      <c r="F406" s="28" t="s">
        <v>29</v>
      </c>
      <c r="G406" s="28" t="s">
        <v>37</v>
      </c>
      <c r="H406" s="28" t="s">
        <v>31</v>
      </c>
      <c r="I406" s="28" t="s">
        <v>38</v>
      </c>
      <c r="J406" s="28">
        <v>746.0</v>
      </c>
      <c r="K406" s="28"/>
      <c r="L406" s="28" t="s">
        <v>1518</v>
      </c>
      <c r="M406" s="28" t="s">
        <v>230</v>
      </c>
      <c r="N406" s="37">
        <v>1986.0</v>
      </c>
      <c r="O406" s="31">
        <v>5.0</v>
      </c>
      <c r="P406" s="28">
        <v>1.0</v>
      </c>
      <c r="Q406" s="32">
        <v>1.0</v>
      </c>
      <c r="R406" s="33"/>
      <c r="S406" s="40"/>
      <c r="T406" s="40"/>
      <c r="U406" s="40"/>
      <c r="V406" s="40"/>
      <c r="W406" s="40"/>
      <c r="X406" s="40"/>
      <c r="Y406" s="45"/>
      <c r="Z406" s="45"/>
      <c r="AA406" s="45"/>
      <c r="AB406" s="45"/>
      <c r="AC406" s="45"/>
      <c r="AD406" s="45"/>
      <c r="AE406" s="45"/>
      <c r="AF406" s="45"/>
      <c r="AG406" s="45"/>
      <c r="AH406" s="45"/>
      <c r="AI406" s="45"/>
      <c r="AJ406" s="45"/>
      <c r="AK406" s="45"/>
      <c r="AL406" s="45"/>
    </row>
    <row r="407" ht="15.75" customHeight="1">
      <c r="A407" s="27">
        <f t="shared" si="7"/>
        <v>93</v>
      </c>
      <c r="B407" s="28" t="s">
        <v>1519</v>
      </c>
      <c r="C407" s="29" t="s">
        <v>1520</v>
      </c>
      <c r="D407" s="39" t="s">
        <v>1521</v>
      </c>
      <c r="E407" s="28" t="s">
        <v>28</v>
      </c>
      <c r="F407" s="28" t="s">
        <v>29</v>
      </c>
      <c r="G407" s="28" t="s">
        <v>37</v>
      </c>
      <c r="H407" s="28"/>
      <c r="I407" s="28" t="s">
        <v>38</v>
      </c>
      <c r="J407" s="28">
        <v>781.0</v>
      </c>
      <c r="K407" s="28"/>
      <c r="L407" s="28" t="s">
        <v>1522</v>
      </c>
      <c r="M407" s="28" t="s">
        <v>178</v>
      </c>
      <c r="N407" s="28">
        <v>2002.0</v>
      </c>
      <c r="O407" s="31">
        <v>6.0</v>
      </c>
      <c r="P407" s="28">
        <v>1.0</v>
      </c>
      <c r="Q407" s="32">
        <v>1.0</v>
      </c>
      <c r="R407" s="33"/>
      <c r="S407" s="34"/>
      <c r="T407" s="34"/>
      <c r="U407" s="34"/>
      <c r="V407" s="34"/>
      <c r="W407" s="34"/>
      <c r="X407" s="34"/>
      <c r="Y407" s="45"/>
      <c r="Z407" s="45"/>
      <c r="AA407" s="45"/>
      <c r="AB407" s="45"/>
      <c r="AC407" s="45"/>
      <c r="AD407" s="45"/>
      <c r="AE407" s="45"/>
      <c r="AF407" s="45"/>
      <c r="AG407" s="45"/>
      <c r="AH407" s="45"/>
      <c r="AI407" s="45"/>
      <c r="AJ407" s="45"/>
      <c r="AK407" s="45"/>
      <c r="AL407" s="45"/>
    </row>
    <row r="408" ht="15.75" customHeight="1">
      <c r="A408" s="27">
        <f t="shared" si="7"/>
        <v>94</v>
      </c>
      <c r="B408" s="31" t="s">
        <v>1523</v>
      </c>
      <c r="C408" s="29" t="s">
        <v>1524</v>
      </c>
      <c r="D408" s="30" t="s">
        <v>1525</v>
      </c>
      <c r="E408" s="28" t="s">
        <v>28</v>
      </c>
      <c r="F408" s="28" t="s">
        <v>29</v>
      </c>
      <c r="G408" s="28" t="s">
        <v>37</v>
      </c>
      <c r="H408" s="28"/>
      <c r="I408" s="28" t="s">
        <v>38</v>
      </c>
      <c r="J408" s="28">
        <v>429.0</v>
      </c>
      <c r="K408" s="28"/>
      <c r="L408" s="28" t="s">
        <v>679</v>
      </c>
      <c r="M408" s="28" t="s">
        <v>931</v>
      </c>
      <c r="N408" s="28">
        <v>1969.0</v>
      </c>
      <c r="O408" s="31">
        <v>5.0</v>
      </c>
      <c r="P408" s="28">
        <v>1.0</v>
      </c>
      <c r="Q408" s="32">
        <v>1.0</v>
      </c>
      <c r="R408" s="33"/>
      <c r="S408" s="34"/>
      <c r="T408" s="34"/>
      <c r="U408" s="34"/>
      <c r="V408" s="34"/>
      <c r="W408" s="34"/>
      <c r="X408" s="34"/>
      <c r="Y408" s="3"/>
      <c r="Z408" s="3"/>
      <c r="AA408" s="3"/>
      <c r="AB408" s="3"/>
      <c r="AC408" s="3"/>
      <c r="AD408" s="3"/>
      <c r="AE408" s="3"/>
      <c r="AF408" s="3"/>
      <c r="AG408" s="3"/>
      <c r="AH408" s="3"/>
      <c r="AI408" s="3"/>
      <c r="AJ408" s="3"/>
      <c r="AK408" s="3"/>
      <c r="AL408" s="3"/>
    </row>
    <row r="409" ht="15.75" customHeight="1">
      <c r="A409" s="27">
        <f t="shared" si="7"/>
        <v>95</v>
      </c>
      <c r="B409" s="28" t="s">
        <v>1526</v>
      </c>
      <c r="C409" s="29" t="s">
        <v>1527</v>
      </c>
      <c r="D409" s="39" t="s">
        <v>1528</v>
      </c>
      <c r="E409" s="28" t="s">
        <v>28</v>
      </c>
      <c r="F409" s="28" t="s">
        <v>29</v>
      </c>
      <c r="G409" s="28" t="s">
        <v>37</v>
      </c>
      <c r="H409" s="28" t="s">
        <v>31</v>
      </c>
      <c r="I409" s="28" t="s">
        <v>38</v>
      </c>
      <c r="J409" s="31">
        <v>159.0</v>
      </c>
      <c r="K409" s="28"/>
      <c r="L409" s="28" t="s">
        <v>1529</v>
      </c>
      <c r="M409" s="28" t="s">
        <v>816</v>
      </c>
      <c r="N409" s="28">
        <v>1970.0</v>
      </c>
      <c r="O409" s="31">
        <v>6.0</v>
      </c>
      <c r="P409" s="28">
        <v>1.0</v>
      </c>
      <c r="Q409" s="32">
        <v>1.0</v>
      </c>
      <c r="R409" s="33"/>
      <c r="S409" s="40"/>
      <c r="T409" s="40"/>
      <c r="U409" s="40"/>
      <c r="V409" s="40"/>
      <c r="W409" s="40"/>
      <c r="X409" s="40"/>
      <c r="Y409" s="3"/>
      <c r="Z409" s="3"/>
      <c r="AA409" s="3"/>
      <c r="AB409" s="3"/>
      <c r="AC409" s="3"/>
      <c r="AD409" s="3"/>
      <c r="AE409" s="3"/>
      <c r="AF409" s="3"/>
      <c r="AG409" s="3"/>
      <c r="AH409" s="3"/>
      <c r="AI409" s="3"/>
      <c r="AJ409" s="3"/>
      <c r="AK409" s="3"/>
      <c r="AL409" s="3"/>
    </row>
    <row r="410" ht="15.75" customHeight="1">
      <c r="A410" s="27">
        <f t="shared" si="7"/>
        <v>96</v>
      </c>
      <c r="B410" s="28" t="s">
        <v>1519</v>
      </c>
      <c r="C410" s="29" t="s">
        <v>1520</v>
      </c>
      <c r="D410" s="39" t="s">
        <v>1530</v>
      </c>
      <c r="E410" s="28" t="s">
        <v>28</v>
      </c>
      <c r="F410" s="28" t="s">
        <v>29</v>
      </c>
      <c r="G410" s="28" t="s">
        <v>37</v>
      </c>
      <c r="H410" s="28"/>
      <c r="I410" s="28" t="s">
        <v>38</v>
      </c>
      <c r="J410" s="28">
        <v>524.0</v>
      </c>
      <c r="K410" s="28"/>
      <c r="L410" s="28" t="s">
        <v>1522</v>
      </c>
      <c r="M410" s="28" t="s">
        <v>178</v>
      </c>
      <c r="N410" s="28">
        <v>1991.0</v>
      </c>
      <c r="O410" s="31">
        <v>6.0</v>
      </c>
      <c r="P410" s="28">
        <v>1.0</v>
      </c>
      <c r="Q410" s="32">
        <v>1.0</v>
      </c>
      <c r="R410" s="33"/>
      <c r="S410" s="40"/>
      <c r="T410" s="40"/>
      <c r="U410" s="40"/>
      <c r="V410" s="40"/>
      <c r="W410" s="40"/>
      <c r="X410" s="40"/>
      <c r="Y410" s="3"/>
      <c r="Z410" s="3"/>
      <c r="AA410" s="3"/>
      <c r="AB410" s="3"/>
      <c r="AC410" s="3"/>
      <c r="AD410" s="3"/>
      <c r="AE410" s="3"/>
      <c r="AF410" s="3"/>
      <c r="AG410" s="3"/>
      <c r="AH410" s="3"/>
      <c r="AI410" s="3"/>
      <c r="AJ410" s="3"/>
      <c r="AK410" s="3"/>
      <c r="AL410" s="3"/>
    </row>
    <row r="411" ht="15.75" customHeight="1">
      <c r="A411" s="27">
        <f t="shared" si="7"/>
        <v>97</v>
      </c>
      <c r="B411" s="28"/>
      <c r="C411" s="47" t="s">
        <v>1520</v>
      </c>
      <c r="D411" s="39" t="s">
        <v>1531</v>
      </c>
      <c r="E411" s="28" t="s">
        <v>28</v>
      </c>
      <c r="F411" s="28" t="s">
        <v>29</v>
      </c>
      <c r="G411" s="28" t="s">
        <v>37</v>
      </c>
      <c r="H411" s="28"/>
      <c r="I411" s="28" t="s">
        <v>38</v>
      </c>
      <c r="J411" s="31">
        <v>410.0</v>
      </c>
      <c r="K411" s="28"/>
      <c r="L411" s="31" t="s">
        <v>1532</v>
      </c>
      <c r="M411" s="28" t="s">
        <v>1533</v>
      </c>
      <c r="N411" s="31">
        <v>2014.0</v>
      </c>
      <c r="O411" s="31">
        <v>5.0</v>
      </c>
      <c r="P411" s="31">
        <v>2.0</v>
      </c>
      <c r="Q411" s="37">
        <v>2.0</v>
      </c>
      <c r="R411" s="33"/>
      <c r="S411" s="40"/>
      <c r="T411" s="40"/>
      <c r="U411" s="40"/>
      <c r="V411" s="40"/>
      <c r="W411" s="40"/>
      <c r="X411" s="40"/>
      <c r="Y411" s="3"/>
      <c r="Z411" s="3"/>
      <c r="AA411" s="3"/>
      <c r="AB411" s="3"/>
      <c r="AC411" s="3"/>
      <c r="AD411" s="3"/>
      <c r="AE411" s="3"/>
      <c r="AF411" s="3"/>
      <c r="AG411" s="3"/>
      <c r="AH411" s="3"/>
      <c r="AI411" s="3"/>
      <c r="AJ411" s="3"/>
      <c r="AK411" s="3"/>
      <c r="AL411" s="3"/>
    </row>
    <row r="412" ht="15.75" customHeight="1">
      <c r="A412" s="27">
        <f t="shared" si="7"/>
        <v>98</v>
      </c>
      <c r="B412" s="28" t="s">
        <v>1534</v>
      </c>
      <c r="C412" s="47" t="s">
        <v>1535</v>
      </c>
      <c r="D412" s="39" t="s">
        <v>1536</v>
      </c>
      <c r="E412" s="28" t="s">
        <v>28</v>
      </c>
      <c r="F412" s="28" t="s">
        <v>29</v>
      </c>
      <c r="G412" s="28" t="s">
        <v>37</v>
      </c>
      <c r="H412" s="28"/>
      <c r="I412" s="28" t="s">
        <v>38</v>
      </c>
      <c r="J412" s="28">
        <v>381.0</v>
      </c>
      <c r="K412" s="28"/>
      <c r="L412" s="31" t="s">
        <v>1537</v>
      </c>
      <c r="M412" s="31" t="s">
        <v>213</v>
      </c>
      <c r="N412" s="28">
        <v>2007.0</v>
      </c>
      <c r="O412" s="31">
        <v>5.0</v>
      </c>
      <c r="P412" s="28">
        <v>1.0</v>
      </c>
      <c r="Q412" s="32">
        <v>1.0</v>
      </c>
      <c r="R412" s="33"/>
      <c r="S412" s="40"/>
      <c r="T412" s="40"/>
      <c r="U412" s="40"/>
      <c r="V412" s="40"/>
      <c r="W412" s="40"/>
      <c r="X412" s="40"/>
      <c r="Y412" s="45"/>
      <c r="Z412" s="45"/>
      <c r="AA412" s="45"/>
      <c r="AB412" s="45"/>
      <c r="AC412" s="45"/>
      <c r="AD412" s="45"/>
      <c r="AE412" s="45"/>
      <c r="AF412" s="45"/>
      <c r="AG412" s="45"/>
      <c r="AH412" s="45"/>
      <c r="AI412" s="45"/>
      <c r="AJ412" s="45"/>
      <c r="AK412" s="45"/>
      <c r="AL412" s="45"/>
    </row>
    <row r="413" ht="15.75" customHeight="1">
      <c r="A413" s="27">
        <f t="shared" si="7"/>
        <v>99</v>
      </c>
      <c r="B413" s="28" t="s">
        <v>1538</v>
      </c>
      <c r="C413" s="47" t="s">
        <v>1535</v>
      </c>
      <c r="D413" s="39" t="s">
        <v>1539</v>
      </c>
      <c r="E413" s="28" t="s">
        <v>28</v>
      </c>
      <c r="F413" s="28" t="s">
        <v>29</v>
      </c>
      <c r="G413" s="28" t="s">
        <v>37</v>
      </c>
      <c r="H413" s="28" t="s">
        <v>31</v>
      </c>
      <c r="I413" s="28" t="s">
        <v>38</v>
      </c>
      <c r="J413" s="28">
        <v>368.0</v>
      </c>
      <c r="K413" s="28" t="s">
        <v>31</v>
      </c>
      <c r="L413" s="31" t="s">
        <v>1537</v>
      </c>
      <c r="M413" s="31" t="s">
        <v>213</v>
      </c>
      <c r="N413" s="28">
        <v>2007.0</v>
      </c>
      <c r="O413" s="31">
        <v>5.0</v>
      </c>
      <c r="P413" s="28">
        <v>1.0</v>
      </c>
      <c r="Q413" s="32">
        <v>1.0</v>
      </c>
      <c r="R413" s="33"/>
      <c r="S413" s="34"/>
      <c r="T413" s="34"/>
      <c r="U413" s="34"/>
      <c r="V413" s="34"/>
      <c r="W413" s="34"/>
      <c r="X413" s="34"/>
      <c r="Y413" s="45"/>
      <c r="Z413" s="45"/>
      <c r="AA413" s="45"/>
      <c r="AB413" s="45"/>
      <c r="AC413" s="45"/>
      <c r="AD413" s="45"/>
      <c r="AE413" s="45"/>
      <c r="AF413" s="45"/>
      <c r="AG413" s="45"/>
      <c r="AH413" s="45"/>
      <c r="AI413" s="45"/>
      <c r="AJ413" s="45"/>
      <c r="AK413" s="45"/>
      <c r="AL413" s="45"/>
    </row>
    <row r="414" ht="15.75" customHeight="1">
      <c r="A414" s="27">
        <f t="shared" si="7"/>
        <v>100</v>
      </c>
      <c r="B414" s="28" t="s">
        <v>1540</v>
      </c>
      <c r="C414" s="29" t="s">
        <v>1541</v>
      </c>
      <c r="D414" s="39" t="s">
        <v>1542</v>
      </c>
      <c r="E414" s="28" t="s">
        <v>28</v>
      </c>
      <c r="F414" s="28" t="s">
        <v>29</v>
      </c>
      <c r="G414" s="28" t="s">
        <v>37</v>
      </c>
      <c r="H414" s="28" t="s">
        <v>31</v>
      </c>
      <c r="I414" s="28" t="s">
        <v>38</v>
      </c>
      <c r="J414" s="28" t="s">
        <v>1543</v>
      </c>
      <c r="K414" s="28"/>
      <c r="L414" s="28" t="s">
        <v>1522</v>
      </c>
      <c r="M414" s="28" t="s">
        <v>1544</v>
      </c>
      <c r="N414" s="28">
        <v>1978.0</v>
      </c>
      <c r="O414" s="31" t="s">
        <v>494</v>
      </c>
      <c r="P414" s="28">
        <v>1.0</v>
      </c>
      <c r="Q414" s="32">
        <v>1.0</v>
      </c>
      <c r="R414" s="33"/>
      <c r="S414" s="34"/>
      <c r="T414" s="34"/>
      <c r="U414" s="34"/>
      <c r="V414" s="34"/>
      <c r="W414" s="34"/>
      <c r="X414" s="34"/>
      <c r="Y414" s="3"/>
      <c r="Z414" s="3"/>
      <c r="AA414" s="3"/>
      <c r="AB414" s="3"/>
      <c r="AC414" s="3"/>
      <c r="AD414" s="3"/>
      <c r="AE414" s="3"/>
      <c r="AF414" s="3"/>
      <c r="AG414" s="3"/>
      <c r="AH414" s="3"/>
      <c r="AI414" s="3"/>
      <c r="AJ414" s="3"/>
      <c r="AK414" s="3"/>
      <c r="AL414" s="3"/>
    </row>
    <row r="415" ht="15.75" customHeight="1">
      <c r="A415" s="27">
        <f t="shared" si="7"/>
        <v>101</v>
      </c>
      <c r="B415" s="28" t="s">
        <v>1545</v>
      </c>
      <c r="C415" s="29" t="s">
        <v>1541</v>
      </c>
      <c r="D415" s="39" t="s">
        <v>1546</v>
      </c>
      <c r="E415" s="28" t="s">
        <v>28</v>
      </c>
      <c r="F415" s="28" t="s">
        <v>29</v>
      </c>
      <c r="G415" s="28" t="s">
        <v>37</v>
      </c>
      <c r="H415" s="28" t="s">
        <v>31</v>
      </c>
      <c r="I415" s="28" t="s">
        <v>38</v>
      </c>
      <c r="J415" s="28" t="s">
        <v>1547</v>
      </c>
      <c r="K415" s="28"/>
      <c r="L415" s="28" t="s">
        <v>1522</v>
      </c>
      <c r="M415" s="28" t="s">
        <v>1544</v>
      </c>
      <c r="N415" s="28">
        <v>1977.0</v>
      </c>
      <c r="O415" s="31" t="s">
        <v>494</v>
      </c>
      <c r="P415" s="28">
        <v>1.0</v>
      </c>
      <c r="Q415" s="32">
        <v>1.0</v>
      </c>
      <c r="R415" s="33"/>
      <c r="S415" s="34"/>
      <c r="T415" s="34"/>
      <c r="U415" s="34"/>
      <c r="V415" s="34"/>
      <c r="W415" s="34"/>
      <c r="X415" s="34"/>
      <c r="Y415" s="45"/>
      <c r="Z415" s="45"/>
      <c r="AA415" s="45"/>
      <c r="AB415" s="45"/>
      <c r="AC415" s="45"/>
      <c r="AD415" s="45"/>
      <c r="AE415" s="45"/>
      <c r="AF415" s="45"/>
      <c r="AG415" s="45"/>
      <c r="AH415" s="45"/>
      <c r="AI415" s="45"/>
      <c r="AJ415" s="45"/>
      <c r="AK415" s="45"/>
      <c r="AL415" s="45"/>
    </row>
    <row r="416" ht="15.75" customHeight="1">
      <c r="A416" s="27">
        <f t="shared" si="7"/>
        <v>102</v>
      </c>
      <c r="B416" s="28" t="s">
        <v>1548</v>
      </c>
      <c r="C416" s="29" t="s">
        <v>1541</v>
      </c>
      <c r="D416" s="39" t="s">
        <v>1549</v>
      </c>
      <c r="E416" s="28" t="s">
        <v>28</v>
      </c>
      <c r="F416" s="28" t="s">
        <v>29</v>
      </c>
      <c r="G416" s="28" t="s">
        <v>37</v>
      </c>
      <c r="H416" s="28" t="s">
        <v>31</v>
      </c>
      <c r="I416" s="28" t="s">
        <v>38</v>
      </c>
      <c r="J416" s="28" t="s">
        <v>1550</v>
      </c>
      <c r="K416" s="28"/>
      <c r="L416" s="28" t="s">
        <v>1522</v>
      </c>
      <c r="M416" s="28" t="s">
        <v>1544</v>
      </c>
      <c r="N416" s="28">
        <v>1978.0</v>
      </c>
      <c r="O416" s="31" t="s">
        <v>494</v>
      </c>
      <c r="P416" s="28">
        <v>1.0</v>
      </c>
      <c r="Q416" s="32">
        <v>1.0</v>
      </c>
      <c r="R416" s="33"/>
      <c r="S416" s="40"/>
      <c r="T416" s="40"/>
      <c r="U416" s="40"/>
      <c r="V416" s="40"/>
      <c r="W416" s="40"/>
      <c r="X416" s="40"/>
      <c r="Y416" s="45"/>
      <c r="Z416" s="45"/>
      <c r="AA416" s="45"/>
      <c r="AB416" s="45"/>
      <c r="AC416" s="45"/>
      <c r="AD416" s="45"/>
      <c r="AE416" s="45"/>
      <c r="AF416" s="45"/>
      <c r="AG416" s="45"/>
      <c r="AH416" s="45"/>
      <c r="AI416" s="45"/>
      <c r="AJ416" s="45"/>
      <c r="AK416" s="45"/>
      <c r="AL416" s="45"/>
    </row>
    <row r="417" ht="15.75" customHeight="1">
      <c r="A417" s="27">
        <f t="shared" si="7"/>
        <v>103</v>
      </c>
      <c r="B417" s="28" t="s">
        <v>1551</v>
      </c>
      <c r="C417" s="29" t="s">
        <v>1552</v>
      </c>
      <c r="D417" s="30" t="s">
        <v>1553</v>
      </c>
      <c r="E417" s="28" t="s">
        <v>28</v>
      </c>
      <c r="F417" s="28" t="s">
        <v>29</v>
      </c>
      <c r="G417" s="28" t="s">
        <v>37</v>
      </c>
      <c r="H417" s="28"/>
      <c r="I417" s="28" t="s">
        <v>38</v>
      </c>
      <c r="J417" s="28">
        <v>266.0</v>
      </c>
      <c r="K417" s="28"/>
      <c r="L417" s="31" t="s">
        <v>1554</v>
      </c>
      <c r="M417" s="28" t="s">
        <v>230</v>
      </c>
      <c r="N417" s="28">
        <v>1990.0</v>
      </c>
      <c r="O417" s="31" t="s">
        <v>494</v>
      </c>
      <c r="P417" s="28">
        <v>1.0</v>
      </c>
      <c r="Q417" s="32">
        <v>1.0</v>
      </c>
      <c r="R417" s="33"/>
      <c r="S417" s="34"/>
      <c r="T417" s="34"/>
      <c r="U417" s="34"/>
      <c r="V417" s="34"/>
      <c r="W417" s="34"/>
      <c r="X417" s="34"/>
      <c r="Y417" s="3"/>
      <c r="Z417" s="3"/>
      <c r="AA417" s="3"/>
      <c r="AB417" s="3"/>
      <c r="AC417" s="3"/>
      <c r="AD417" s="3"/>
      <c r="AE417" s="3"/>
      <c r="AF417" s="3"/>
      <c r="AG417" s="3"/>
      <c r="AH417" s="3"/>
      <c r="AI417" s="3"/>
      <c r="AJ417" s="3"/>
      <c r="AK417" s="3"/>
      <c r="AL417" s="3"/>
    </row>
    <row r="418" ht="15.75" customHeight="1">
      <c r="A418" s="27">
        <f t="shared" si="7"/>
        <v>104</v>
      </c>
      <c r="B418" s="28" t="s">
        <v>1555</v>
      </c>
      <c r="C418" s="29" t="s">
        <v>1556</v>
      </c>
      <c r="D418" s="39" t="s">
        <v>1557</v>
      </c>
      <c r="E418" s="28" t="s">
        <v>28</v>
      </c>
      <c r="F418" s="28" t="s">
        <v>29</v>
      </c>
      <c r="G418" s="28" t="s">
        <v>38</v>
      </c>
      <c r="H418" s="28" t="s">
        <v>31</v>
      </c>
      <c r="I418" s="28" t="s">
        <v>38</v>
      </c>
      <c r="J418" s="28">
        <v>301.0</v>
      </c>
      <c r="K418" s="28"/>
      <c r="L418" s="31" t="s">
        <v>1558</v>
      </c>
      <c r="M418" s="28" t="s">
        <v>230</v>
      </c>
      <c r="N418" s="28">
        <v>1981.0</v>
      </c>
      <c r="O418" s="31">
        <v>6.0</v>
      </c>
      <c r="P418" s="28">
        <v>1.0</v>
      </c>
      <c r="Q418" s="32">
        <v>1.0</v>
      </c>
      <c r="R418" s="33"/>
      <c r="S418" s="40"/>
      <c r="T418" s="40"/>
      <c r="U418" s="40"/>
      <c r="V418" s="40"/>
      <c r="W418" s="40"/>
      <c r="X418" s="40"/>
      <c r="Y418" s="45"/>
      <c r="Z418" s="45"/>
      <c r="AA418" s="45"/>
      <c r="AB418" s="45"/>
      <c r="AC418" s="45"/>
      <c r="AD418" s="45"/>
      <c r="AE418" s="45"/>
      <c r="AF418" s="45"/>
      <c r="AG418" s="45"/>
      <c r="AH418" s="45"/>
      <c r="AI418" s="45"/>
      <c r="AJ418" s="45"/>
      <c r="AK418" s="45"/>
      <c r="AL418" s="45"/>
    </row>
    <row r="419" ht="15.75" customHeight="1">
      <c r="A419" s="27">
        <f t="shared" si="7"/>
        <v>105</v>
      </c>
      <c r="B419" s="28" t="s">
        <v>1559</v>
      </c>
      <c r="C419" s="29" t="s">
        <v>1560</v>
      </c>
      <c r="D419" s="39" t="s">
        <v>1561</v>
      </c>
      <c r="E419" s="28" t="s">
        <v>28</v>
      </c>
      <c r="F419" s="28" t="s">
        <v>29</v>
      </c>
      <c r="G419" s="28" t="s">
        <v>37</v>
      </c>
      <c r="H419" s="28"/>
      <c r="I419" s="28" t="s">
        <v>38</v>
      </c>
      <c r="J419" s="28">
        <v>448.0</v>
      </c>
      <c r="K419" s="28"/>
      <c r="L419" s="28" t="s">
        <v>1562</v>
      </c>
      <c r="M419" s="28" t="s">
        <v>335</v>
      </c>
      <c r="N419" s="28">
        <v>1985.0</v>
      </c>
      <c r="O419" s="31">
        <v>6.0</v>
      </c>
      <c r="P419" s="28">
        <v>2.0</v>
      </c>
      <c r="Q419" s="32">
        <v>2.0</v>
      </c>
      <c r="R419" s="33"/>
      <c r="S419" s="34"/>
      <c r="T419" s="34"/>
      <c r="U419" s="34"/>
      <c r="V419" s="34"/>
      <c r="W419" s="34"/>
      <c r="X419" s="34"/>
      <c r="Y419" s="3"/>
      <c r="Z419" s="3"/>
      <c r="AA419" s="3"/>
      <c r="AB419" s="3"/>
      <c r="AC419" s="3"/>
      <c r="AD419" s="3"/>
      <c r="AE419" s="3"/>
      <c r="AF419" s="3"/>
      <c r="AG419" s="3"/>
      <c r="AH419" s="3"/>
      <c r="AI419" s="3"/>
      <c r="AJ419" s="3"/>
      <c r="AK419" s="3"/>
      <c r="AL419" s="3"/>
    </row>
    <row r="420" ht="15.75" customHeight="1">
      <c r="A420" s="27">
        <f t="shared" si="7"/>
        <v>106</v>
      </c>
      <c r="B420" s="28" t="s">
        <v>31</v>
      </c>
      <c r="C420" s="29" t="s">
        <v>1563</v>
      </c>
      <c r="D420" s="30" t="s">
        <v>1564</v>
      </c>
      <c r="E420" s="28" t="s">
        <v>28</v>
      </c>
      <c r="F420" s="28" t="s">
        <v>29</v>
      </c>
      <c r="G420" s="28" t="s">
        <v>38</v>
      </c>
      <c r="H420" s="28" t="s">
        <v>31</v>
      </c>
      <c r="I420" s="28" t="s">
        <v>38</v>
      </c>
      <c r="J420" s="28">
        <v>135.0</v>
      </c>
      <c r="K420" s="28"/>
      <c r="L420" s="28" t="s">
        <v>1565</v>
      </c>
      <c r="M420" s="28" t="s">
        <v>1497</v>
      </c>
      <c r="N420" s="28">
        <v>1959.0</v>
      </c>
      <c r="O420" s="86" t="s">
        <v>1415</v>
      </c>
      <c r="P420" s="28">
        <v>1.0</v>
      </c>
      <c r="Q420" s="32">
        <v>1.0</v>
      </c>
      <c r="R420" s="33"/>
      <c r="S420" s="40"/>
      <c r="T420" s="40"/>
      <c r="U420" s="40"/>
      <c r="V420" s="40"/>
      <c r="W420" s="40"/>
      <c r="X420" s="40"/>
      <c r="Y420" s="3"/>
      <c r="Z420" s="3"/>
      <c r="AA420" s="3"/>
      <c r="AB420" s="3"/>
      <c r="AC420" s="3"/>
      <c r="AD420" s="3"/>
      <c r="AE420" s="3"/>
      <c r="AF420" s="3"/>
      <c r="AG420" s="3"/>
      <c r="AH420" s="3"/>
      <c r="AI420" s="3"/>
      <c r="AJ420" s="3"/>
      <c r="AK420" s="3"/>
      <c r="AL420" s="3"/>
    </row>
    <row r="421" ht="15.75" customHeight="1">
      <c r="A421" s="27">
        <f t="shared" si="7"/>
        <v>107</v>
      </c>
      <c r="B421" s="28" t="s">
        <v>1566</v>
      </c>
      <c r="C421" s="29" t="s">
        <v>1567</v>
      </c>
      <c r="D421" s="30" t="s">
        <v>1568</v>
      </c>
      <c r="E421" s="28" t="s">
        <v>28</v>
      </c>
      <c r="F421" s="28" t="s">
        <v>29</v>
      </c>
      <c r="G421" s="28" t="s">
        <v>37</v>
      </c>
      <c r="H421" s="28"/>
      <c r="I421" s="28" t="s">
        <v>38</v>
      </c>
      <c r="J421" s="28">
        <v>714.0</v>
      </c>
      <c r="K421" s="28"/>
      <c r="L421" s="28" t="s">
        <v>1376</v>
      </c>
      <c r="M421" s="28" t="s">
        <v>230</v>
      </c>
      <c r="N421" s="28">
        <v>2011.0</v>
      </c>
      <c r="O421" s="31">
        <v>6.0</v>
      </c>
      <c r="P421" s="28">
        <v>1.0</v>
      </c>
      <c r="Q421" s="32">
        <v>1.0</v>
      </c>
      <c r="R421" s="33"/>
      <c r="S421" s="40"/>
      <c r="T421" s="40"/>
      <c r="U421" s="40"/>
      <c r="V421" s="40"/>
      <c r="W421" s="40"/>
      <c r="X421" s="40"/>
      <c r="Y421" s="3"/>
      <c r="Z421" s="3"/>
      <c r="AA421" s="3"/>
      <c r="AB421" s="3"/>
      <c r="AC421" s="3"/>
      <c r="AD421" s="3"/>
      <c r="AE421" s="3"/>
      <c r="AF421" s="3"/>
      <c r="AG421" s="3"/>
      <c r="AH421" s="3"/>
      <c r="AI421" s="3"/>
      <c r="AJ421" s="3"/>
      <c r="AK421" s="3"/>
      <c r="AL421" s="3"/>
    </row>
    <row r="422" ht="15.75" customHeight="1">
      <c r="A422" s="27">
        <f t="shared" si="7"/>
        <v>108</v>
      </c>
      <c r="B422" s="28" t="s">
        <v>1569</v>
      </c>
      <c r="C422" s="43" t="s">
        <v>1570</v>
      </c>
      <c r="D422" s="30" t="s">
        <v>1571</v>
      </c>
      <c r="E422" s="28" t="s">
        <v>28</v>
      </c>
      <c r="F422" s="28" t="s">
        <v>29</v>
      </c>
      <c r="G422" s="28" t="s">
        <v>37</v>
      </c>
      <c r="H422" s="28"/>
      <c r="I422" s="28" t="s">
        <v>38</v>
      </c>
      <c r="J422" s="28">
        <v>461.0</v>
      </c>
      <c r="K422" s="28"/>
      <c r="L422" s="28" t="s">
        <v>1572</v>
      </c>
      <c r="M422" s="28" t="s">
        <v>493</v>
      </c>
      <c r="N422" s="28">
        <v>1999.0</v>
      </c>
      <c r="O422" s="31" t="s">
        <v>494</v>
      </c>
      <c r="P422" s="28">
        <v>1.0</v>
      </c>
      <c r="Q422" s="37">
        <v>1.0</v>
      </c>
      <c r="R422" s="33"/>
      <c r="S422" s="34"/>
      <c r="T422" s="34"/>
      <c r="U422" s="34"/>
      <c r="V422" s="34"/>
      <c r="W422" s="34"/>
      <c r="X422" s="34"/>
      <c r="Y422" s="3"/>
      <c r="Z422" s="3"/>
      <c r="AA422" s="3"/>
      <c r="AB422" s="3"/>
      <c r="AC422" s="3"/>
      <c r="AD422" s="3"/>
      <c r="AE422" s="3"/>
      <c r="AF422" s="3"/>
      <c r="AG422" s="3"/>
      <c r="AH422" s="3"/>
      <c r="AI422" s="3"/>
      <c r="AJ422" s="3"/>
      <c r="AK422" s="3"/>
      <c r="AL422" s="3"/>
    </row>
    <row r="423" ht="15.75" customHeight="1">
      <c r="A423" s="27">
        <f t="shared" si="7"/>
        <v>109</v>
      </c>
      <c r="B423" s="28" t="s">
        <v>31</v>
      </c>
      <c r="C423" s="29" t="s">
        <v>1573</v>
      </c>
      <c r="D423" s="30" t="s">
        <v>1574</v>
      </c>
      <c r="E423" s="28" t="s">
        <v>28</v>
      </c>
      <c r="F423" s="28" t="s">
        <v>29</v>
      </c>
      <c r="G423" s="28" t="s">
        <v>37</v>
      </c>
      <c r="H423" s="28" t="s">
        <v>31</v>
      </c>
      <c r="I423" s="28" t="s">
        <v>38</v>
      </c>
      <c r="J423" s="28">
        <v>142.0</v>
      </c>
      <c r="K423" s="28"/>
      <c r="L423" s="28" t="s">
        <v>1575</v>
      </c>
      <c r="M423" s="28" t="s">
        <v>196</v>
      </c>
      <c r="N423" s="28">
        <v>1962.0</v>
      </c>
      <c r="O423" s="31" t="s">
        <v>1381</v>
      </c>
      <c r="P423" s="28">
        <v>1.0</v>
      </c>
      <c r="Q423" s="32">
        <v>1.0</v>
      </c>
      <c r="R423" s="33"/>
      <c r="S423" s="34"/>
      <c r="T423" s="34"/>
      <c r="U423" s="34"/>
      <c r="V423" s="34"/>
      <c r="W423" s="34"/>
      <c r="X423" s="34"/>
      <c r="Y423" s="45"/>
      <c r="Z423" s="45"/>
      <c r="AA423" s="45"/>
      <c r="AB423" s="45"/>
      <c r="AC423" s="45"/>
      <c r="AD423" s="45"/>
      <c r="AE423" s="45"/>
      <c r="AF423" s="45"/>
      <c r="AG423" s="45"/>
      <c r="AH423" s="45"/>
      <c r="AI423" s="45"/>
      <c r="AJ423" s="45"/>
      <c r="AK423" s="45"/>
      <c r="AL423" s="45"/>
    </row>
    <row r="424" ht="15.75" customHeight="1">
      <c r="A424" s="27">
        <f t="shared" si="7"/>
        <v>110</v>
      </c>
      <c r="B424" s="28" t="s">
        <v>1576</v>
      </c>
      <c r="C424" s="29" t="s">
        <v>1577</v>
      </c>
      <c r="D424" s="30" t="s">
        <v>1578</v>
      </c>
      <c r="E424" s="28" t="s">
        <v>28</v>
      </c>
      <c r="F424" s="28" t="s">
        <v>29</v>
      </c>
      <c r="G424" s="28" t="s">
        <v>37</v>
      </c>
      <c r="H424" s="28"/>
      <c r="I424" s="28" t="s">
        <v>38</v>
      </c>
      <c r="J424" s="28">
        <v>126.0</v>
      </c>
      <c r="K424" s="28"/>
      <c r="L424" s="28" t="s">
        <v>1579</v>
      </c>
      <c r="M424" s="28" t="s">
        <v>230</v>
      </c>
      <c r="N424" s="28">
        <v>1985.0</v>
      </c>
      <c r="O424" s="31" t="s">
        <v>494</v>
      </c>
      <c r="P424" s="28">
        <v>1.0</v>
      </c>
      <c r="Q424" s="32">
        <v>1.0</v>
      </c>
      <c r="R424" s="33"/>
      <c r="S424" s="40"/>
      <c r="T424" s="40"/>
      <c r="U424" s="40"/>
      <c r="V424" s="40"/>
      <c r="W424" s="40"/>
      <c r="X424" s="40"/>
      <c r="Y424" s="45"/>
      <c r="Z424" s="45"/>
      <c r="AA424" s="45"/>
      <c r="AB424" s="45"/>
      <c r="AC424" s="45"/>
      <c r="AD424" s="45"/>
      <c r="AE424" s="45"/>
      <c r="AF424" s="45"/>
      <c r="AG424" s="45"/>
      <c r="AH424" s="45"/>
      <c r="AI424" s="45"/>
      <c r="AJ424" s="45"/>
      <c r="AK424" s="45"/>
      <c r="AL424" s="45"/>
    </row>
    <row r="425" ht="15.75" customHeight="1">
      <c r="A425" s="27">
        <f t="shared" si="7"/>
        <v>111</v>
      </c>
      <c r="B425" s="28" t="s">
        <v>1580</v>
      </c>
      <c r="C425" s="29" t="s">
        <v>1581</v>
      </c>
      <c r="D425" s="39" t="s">
        <v>1582</v>
      </c>
      <c r="E425" s="28" t="s">
        <v>28</v>
      </c>
      <c r="F425" s="28" t="s">
        <v>29</v>
      </c>
      <c r="G425" s="28" t="s">
        <v>37</v>
      </c>
      <c r="H425" s="28" t="s">
        <v>31</v>
      </c>
      <c r="I425" s="28" t="s">
        <v>38</v>
      </c>
      <c r="J425" s="28">
        <v>412.0</v>
      </c>
      <c r="K425" s="28"/>
      <c r="L425" s="28" t="s">
        <v>1583</v>
      </c>
      <c r="M425" s="28" t="s">
        <v>931</v>
      </c>
      <c r="N425" s="28">
        <v>1974.0</v>
      </c>
      <c r="O425" s="31">
        <v>6.0</v>
      </c>
      <c r="P425" s="28">
        <v>2.0</v>
      </c>
      <c r="Q425" s="32">
        <v>2.0</v>
      </c>
      <c r="R425" s="33"/>
      <c r="S425" s="40"/>
      <c r="T425" s="40"/>
      <c r="U425" s="40"/>
      <c r="V425" s="40"/>
      <c r="W425" s="40"/>
      <c r="X425" s="40"/>
      <c r="Y425" s="45"/>
      <c r="Z425" s="45"/>
      <c r="AA425" s="45"/>
      <c r="AB425" s="45"/>
      <c r="AC425" s="45"/>
      <c r="AD425" s="45"/>
      <c r="AE425" s="45"/>
      <c r="AF425" s="45"/>
      <c r="AG425" s="45"/>
      <c r="AH425" s="45"/>
      <c r="AI425" s="45"/>
      <c r="AJ425" s="45"/>
      <c r="AK425" s="45"/>
      <c r="AL425" s="45"/>
    </row>
    <row r="426" ht="15.75" customHeight="1">
      <c r="A426" s="27">
        <f t="shared" si="7"/>
        <v>112</v>
      </c>
      <c r="B426" s="28" t="s">
        <v>1584</v>
      </c>
      <c r="C426" s="29" t="s">
        <v>1585</v>
      </c>
      <c r="D426" s="39" t="s">
        <v>1586</v>
      </c>
      <c r="E426" s="28" t="s">
        <v>28</v>
      </c>
      <c r="F426" s="28" t="s">
        <v>29</v>
      </c>
      <c r="G426" s="28" t="s">
        <v>37</v>
      </c>
      <c r="H426" s="28" t="s">
        <v>31</v>
      </c>
      <c r="I426" s="28" t="s">
        <v>38</v>
      </c>
      <c r="J426" s="31">
        <v>218.0</v>
      </c>
      <c r="K426" s="28"/>
      <c r="L426" s="31" t="s">
        <v>1587</v>
      </c>
      <c r="M426" s="28" t="s">
        <v>83</v>
      </c>
      <c r="N426" s="28">
        <v>1988.0</v>
      </c>
      <c r="O426" s="31" t="s">
        <v>494</v>
      </c>
      <c r="P426" s="28">
        <v>1.0</v>
      </c>
      <c r="Q426" s="32">
        <v>1.0</v>
      </c>
      <c r="R426" s="33"/>
      <c r="S426" s="34"/>
      <c r="T426" s="34"/>
      <c r="U426" s="34"/>
      <c r="V426" s="34"/>
      <c r="W426" s="34"/>
      <c r="X426" s="34"/>
      <c r="Y426" s="45"/>
      <c r="Z426" s="45"/>
      <c r="AA426" s="45"/>
      <c r="AB426" s="45"/>
      <c r="AC426" s="45"/>
      <c r="AD426" s="45"/>
      <c r="AE426" s="45"/>
      <c r="AF426" s="45"/>
      <c r="AG426" s="45"/>
      <c r="AH426" s="45"/>
      <c r="AI426" s="45"/>
      <c r="AJ426" s="45"/>
      <c r="AK426" s="45"/>
      <c r="AL426" s="45"/>
    </row>
    <row r="427" ht="15.75" customHeight="1">
      <c r="A427" s="27">
        <f t="shared" si="7"/>
        <v>113</v>
      </c>
      <c r="B427" s="28" t="s">
        <v>1588</v>
      </c>
      <c r="C427" s="29" t="s">
        <v>1589</v>
      </c>
      <c r="D427" s="39" t="s">
        <v>1590</v>
      </c>
      <c r="E427" s="28" t="s">
        <v>28</v>
      </c>
      <c r="F427" s="28" t="s">
        <v>29</v>
      </c>
      <c r="G427" s="28" t="s">
        <v>38</v>
      </c>
      <c r="H427" s="28" t="s">
        <v>31</v>
      </c>
      <c r="I427" s="28" t="s">
        <v>38</v>
      </c>
      <c r="J427" s="28">
        <v>301.0</v>
      </c>
      <c r="K427" s="28"/>
      <c r="L427" s="31" t="s">
        <v>1591</v>
      </c>
      <c r="M427" s="28" t="s">
        <v>230</v>
      </c>
      <c r="N427" s="28">
        <v>1980.0</v>
      </c>
      <c r="O427" s="31">
        <v>6.0</v>
      </c>
      <c r="P427" s="28">
        <v>1.0</v>
      </c>
      <c r="Q427" s="32">
        <v>1.0</v>
      </c>
      <c r="R427" s="33"/>
      <c r="S427" s="40"/>
      <c r="T427" s="40"/>
      <c r="U427" s="40"/>
      <c r="V427" s="40"/>
      <c r="W427" s="40"/>
      <c r="X427" s="40"/>
      <c r="Y427" s="45"/>
      <c r="Z427" s="45"/>
      <c r="AA427" s="45"/>
      <c r="AB427" s="45"/>
      <c r="AC427" s="45"/>
      <c r="AD427" s="45"/>
      <c r="AE427" s="45"/>
      <c r="AF427" s="45"/>
      <c r="AG427" s="45"/>
      <c r="AH427" s="45"/>
      <c r="AI427" s="45"/>
      <c r="AJ427" s="45"/>
      <c r="AK427" s="45"/>
      <c r="AL427" s="45"/>
    </row>
    <row r="428" ht="15.75" customHeight="1">
      <c r="A428" s="27">
        <f t="shared" si="7"/>
        <v>114</v>
      </c>
      <c r="B428" s="28" t="s">
        <v>1592</v>
      </c>
      <c r="C428" s="29" t="s">
        <v>1593</v>
      </c>
      <c r="D428" s="39" t="s">
        <v>1594</v>
      </c>
      <c r="E428" s="28" t="s">
        <v>28</v>
      </c>
      <c r="F428" s="28" t="s">
        <v>29</v>
      </c>
      <c r="G428" s="28" t="s">
        <v>37</v>
      </c>
      <c r="H428" s="28"/>
      <c r="I428" s="28" t="s">
        <v>38</v>
      </c>
      <c r="J428" s="31">
        <v>597.0</v>
      </c>
      <c r="K428" s="28"/>
      <c r="L428" s="28" t="s">
        <v>1595</v>
      </c>
      <c r="M428" s="28" t="s">
        <v>178</v>
      </c>
      <c r="N428" s="28">
        <v>2001.0</v>
      </c>
      <c r="O428" s="31">
        <v>4.0</v>
      </c>
      <c r="P428" s="28">
        <v>1.0</v>
      </c>
      <c r="Q428" s="32">
        <v>1.0</v>
      </c>
      <c r="R428" s="33"/>
      <c r="S428" s="34"/>
      <c r="T428" s="34"/>
      <c r="U428" s="34"/>
      <c r="V428" s="34"/>
      <c r="W428" s="34"/>
      <c r="X428" s="34"/>
      <c r="Y428" s="45"/>
      <c r="Z428" s="45"/>
      <c r="AA428" s="45"/>
      <c r="AB428" s="45"/>
      <c r="AC428" s="45"/>
      <c r="AD428" s="45"/>
      <c r="AE428" s="45"/>
      <c r="AF428" s="45"/>
      <c r="AG428" s="45"/>
      <c r="AH428" s="45"/>
      <c r="AI428" s="45"/>
      <c r="AJ428" s="45"/>
      <c r="AK428" s="45"/>
      <c r="AL428" s="45"/>
    </row>
    <row r="429" ht="15.75" customHeight="1">
      <c r="A429" s="27">
        <f t="shared" si="7"/>
        <v>115</v>
      </c>
      <c r="B429" s="28" t="s">
        <v>1596</v>
      </c>
      <c r="C429" s="29" t="s">
        <v>1597</v>
      </c>
      <c r="D429" s="39" t="s">
        <v>1598</v>
      </c>
      <c r="E429" s="28" t="s">
        <v>28</v>
      </c>
      <c r="F429" s="28" t="s">
        <v>29</v>
      </c>
      <c r="G429" s="28" t="s">
        <v>37</v>
      </c>
      <c r="H429" s="28"/>
      <c r="I429" s="28" t="s">
        <v>38</v>
      </c>
      <c r="J429" s="28">
        <f>524+29</f>
        <v>553</v>
      </c>
      <c r="K429" s="28"/>
      <c r="L429" s="31" t="s">
        <v>1599</v>
      </c>
      <c r="M429" s="28" t="s">
        <v>178</v>
      </c>
      <c r="N429" s="28">
        <v>2015.0</v>
      </c>
      <c r="O429" s="31">
        <v>4.0</v>
      </c>
      <c r="P429" s="28">
        <v>1.0</v>
      </c>
      <c r="Q429" s="32">
        <v>1.0</v>
      </c>
      <c r="R429" s="33"/>
      <c r="S429" s="34"/>
      <c r="T429" s="34"/>
      <c r="U429" s="34"/>
      <c r="V429" s="34"/>
      <c r="W429" s="34"/>
      <c r="X429" s="34"/>
      <c r="Y429" s="45"/>
      <c r="Z429" s="45"/>
      <c r="AA429" s="45"/>
      <c r="AB429" s="45"/>
      <c r="AC429" s="45"/>
      <c r="AD429" s="45"/>
      <c r="AE429" s="45"/>
      <c r="AF429" s="45"/>
      <c r="AG429" s="45"/>
      <c r="AH429" s="45"/>
      <c r="AI429" s="45"/>
      <c r="AJ429" s="45"/>
      <c r="AK429" s="45"/>
      <c r="AL429" s="45"/>
    </row>
    <row r="430" ht="23.25" customHeight="1">
      <c r="A430" s="27">
        <f t="shared" si="7"/>
        <v>116</v>
      </c>
      <c r="B430" s="28" t="s">
        <v>1600</v>
      </c>
      <c r="C430" s="29" t="s">
        <v>1601</v>
      </c>
      <c r="D430" s="39" t="s">
        <v>1602</v>
      </c>
      <c r="E430" s="28" t="s">
        <v>28</v>
      </c>
      <c r="F430" s="28" t="s">
        <v>29</v>
      </c>
      <c r="G430" s="28" t="s">
        <v>37</v>
      </c>
      <c r="H430" s="28"/>
      <c r="I430" s="28" t="s">
        <v>38</v>
      </c>
      <c r="J430" s="28">
        <v>304.0</v>
      </c>
      <c r="K430" s="28"/>
      <c r="L430" s="31" t="s">
        <v>1603</v>
      </c>
      <c r="M430" s="28" t="s">
        <v>1399</v>
      </c>
      <c r="N430" s="28">
        <v>1955.0</v>
      </c>
      <c r="O430" s="31">
        <v>5.0</v>
      </c>
      <c r="P430" s="28">
        <v>1.0</v>
      </c>
      <c r="Q430" s="32">
        <v>1.0</v>
      </c>
      <c r="R430" s="33"/>
      <c r="S430" s="34"/>
      <c r="T430" s="34"/>
      <c r="U430" s="34"/>
      <c r="V430" s="34"/>
      <c r="W430" s="34"/>
      <c r="X430" s="34"/>
      <c r="Y430" s="45"/>
      <c r="Z430" s="45"/>
      <c r="AA430" s="45"/>
      <c r="AB430" s="45"/>
      <c r="AC430" s="45"/>
      <c r="AD430" s="45"/>
      <c r="AE430" s="45"/>
      <c r="AF430" s="45"/>
      <c r="AG430" s="45"/>
      <c r="AH430" s="45"/>
      <c r="AI430" s="45"/>
      <c r="AJ430" s="45"/>
      <c r="AK430" s="45"/>
      <c r="AL430" s="45"/>
    </row>
    <row r="431" ht="15.75" customHeight="1">
      <c r="A431" s="27">
        <f t="shared" si="7"/>
        <v>117</v>
      </c>
      <c r="B431" s="28"/>
      <c r="C431" s="29" t="s">
        <v>1604</v>
      </c>
      <c r="D431" s="39" t="s">
        <v>1605</v>
      </c>
      <c r="E431" s="28" t="s">
        <v>28</v>
      </c>
      <c r="F431" s="28" t="s">
        <v>29</v>
      </c>
      <c r="G431" s="28" t="s">
        <v>37</v>
      </c>
      <c r="H431" s="28"/>
      <c r="I431" s="28" t="s">
        <v>38</v>
      </c>
      <c r="J431" s="28">
        <v>176.0</v>
      </c>
      <c r="K431" s="28"/>
      <c r="L431" s="28" t="s">
        <v>187</v>
      </c>
      <c r="M431" s="28" t="s">
        <v>816</v>
      </c>
      <c r="N431" s="28">
        <v>1970.0</v>
      </c>
      <c r="O431" s="31">
        <v>6.0</v>
      </c>
      <c r="P431" s="28">
        <v>1.0</v>
      </c>
      <c r="Q431" s="32">
        <v>1.0</v>
      </c>
      <c r="R431" s="33"/>
      <c r="S431" s="40"/>
      <c r="T431" s="40"/>
      <c r="U431" s="40"/>
      <c r="V431" s="40"/>
      <c r="W431" s="40"/>
      <c r="X431" s="40"/>
      <c r="Y431" s="45"/>
      <c r="Z431" s="45"/>
      <c r="AA431" s="45"/>
      <c r="AB431" s="45"/>
      <c r="AC431" s="45"/>
      <c r="AD431" s="45"/>
      <c r="AE431" s="45"/>
      <c r="AF431" s="45"/>
      <c r="AG431" s="45"/>
      <c r="AH431" s="45"/>
      <c r="AI431" s="45"/>
      <c r="AJ431" s="45"/>
      <c r="AK431" s="45"/>
      <c r="AL431" s="45"/>
    </row>
    <row r="432" ht="15.75" customHeight="1">
      <c r="A432" s="27">
        <f t="shared" si="7"/>
        <v>118</v>
      </c>
      <c r="B432" s="28" t="s">
        <v>31</v>
      </c>
      <c r="C432" s="29" t="s">
        <v>1606</v>
      </c>
      <c r="D432" s="30" t="s">
        <v>1607</v>
      </c>
      <c r="E432" s="28" t="s">
        <v>28</v>
      </c>
      <c r="F432" s="28" t="s">
        <v>29</v>
      </c>
      <c r="G432" s="28" t="s">
        <v>37</v>
      </c>
      <c r="H432" s="28"/>
      <c r="I432" s="28" t="s">
        <v>38</v>
      </c>
      <c r="J432" s="28">
        <v>704.0</v>
      </c>
      <c r="K432" s="28"/>
      <c r="L432" s="31" t="s">
        <v>1608</v>
      </c>
      <c r="M432" s="28" t="s">
        <v>1609</v>
      </c>
      <c r="N432" s="28">
        <v>1966.0</v>
      </c>
      <c r="O432" s="31" t="s">
        <v>1415</v>
      </c>
      <c r="P432" s="28">
        <v>1.0</v>
      </c>
      <c r="Q432" s="32">
        <v>1.0</v>
      </c>
      <c r="R432" s="33"/>
      <c r="S432" s="34"/>
      <c r="T432" s="34"/>
      <c r="U432" s="34"/>
      <c r="V432" s="34"/>
      <c r="W432" s="34"/>
      <c r="X432" s="34"/>
      <c r="Y432" s="45"/>
      <c r="Z432" s="45"/>
      <c r="AA432" s="45"/>
      <c r="AB432" s="45"/>
      <c r="AC432" s="45"/>
      <c r="AD432" s="45"/>
      <c r="AE432" s="45"/>
      <c r="AF432" s="45"/>
      <c r="AG432" s="45"/>
      <c r="AH432" s="45"/>
      <c r="AI432" s="45"/>
      <c r="AJ432" s="45"/>
      <c r="AK432" s="45"/>
      <c r="AL432" s="45"/>
    </row>
    <row r="433" ht="78.0" customHeight="1">
      <c r="A433" s="27">
        <f t="shared" si="7"/>
        <v>119</v>
      </c>
      <c r="B433" s="28" t="s">
        <v>31</v>
      </c>
      <c r="C433" s="29" t="s">
        <v>1610</v>
      </c>
      <c r="D433" s="39" t="s">
        <v>1611</v>
      </c>
      <c r="E433" s="28" t="s">
        <v>28</v>
      </c>
      <c r="F433" s="28" t="s">
        <v>29</v>
      </c>
      <c r="G433" s="28" t="s">
        <v>37</v>
      </c>
      <c r="H433" s="28" t="s">
        <v>31</v>
      </c>
      <c r="I433" s="28" t="s">
        <v>38</v>
      </c>
      <c r="J433" s="31">
        <v>142.0</v>
      </c>
      <c r="K433" s="28"/>
      <c r="L433" s="28" t="s">
        <v>1612</v>
      </c>
      <c r="M433" s="28" t="s">
        <v>816</v>
      </c>
      <c r="N433" s="28">
        <v>1968.0</v>
      </c>
      <c r="O433" s="31">
        <v>6.0</v>
      </c>
      <c r="P433" s="28">
        <v>1.0</v>
      </c>
      <c r="Q433" s="32">
        <v>1.0</v>
      </c>
      <c r="R433" s="33"/>
      <c r="S433" s="34"/>
      <c r="T433" s="34"/>
      <c r="U433" s="34"/>
      <c r="V433" s="34"/>
      <c r="W433" s="34"/>
      <c r="X433" s="34"/>
      <c r="Y433" s="45"/>
      <c r="Z433" s="45"/>
      <c r="AA433" s="45"/>
      <c r="AB433" s="45"/>
      <c r="AC433" s="45"/>
      <c r="AD433" s="45"/>
      <c r="AE433" s="45"/>
      <c r="AF433" s="45"/>
      <c r="AG433" s="45"/>
      <c r="AH433" s="45"/>
      <c r="AI433" s="45"/>
      <c r="AJ433" s="45"/>
      <c r="AK433" s="45"/>
      <c r="AL433" s="45"/>
    </row>
    <row r="434" ht="15.75" customHeight="1">
      <c r="A434" s="27">
        <f t="shared" si="7"/>
        <v>120</v>
      </c>
      <c r="B434" s="28" t="s">
        <v>1613</v>
      </c>
      <c r="C434" s="29" t="s">
        <v>1614</v>
      </c>
      <c r="D434" s="30" t="s">
        <v>1615</v>
      </c>
      <c r="E434" s="28" t="s">
        <v>28</v>
      </c>
      <c r="F434" s="28" t="s">
        <v>29</v>
      </c>
      <c r="G434" s="28" t="s">
        <v>37</v>
      </c>
      <c r="H434" s="28"/>
      <c r="I434" s="28" t="s">
        <v>38</v>
      </c>
      <c r="J434" s="28">
        <v>832.0</v>
      </c>
      <c r="K434" s="28"/>
      <c r="L434" s="28" t="s">
        <v>675</v>
      </c>
      <c r="M434" s="28" t="s">
        <v>524</v>
      </c>
      <c r="N434" s="28">
        <v>2008.0</v>
      </c>
      <c r="O434" s="31">
        <v>4.0</v>
      </c>
      <c r="P434" s="28">
        <v>1.0</v>
      </c>
      <c r="Q434" s="32">
        <v>1.0</v>
      </c>
      <c r="R434" s="33"/>
      <c r="S434" s="34"/>
      <c r="T434" s="34"/>
      <c r="U434" s="34"/>
      <c r="V434" s="34"/>
      <c r="W434" s="34"/>
      <c r="X434" s="34"/>
      <c r="Y434" s="45"/>
      <c r="Z434" s="45"/>
      <c r="AA434" s="45"/>
      <c r="AB434" s="45"/>
      <c r="AC434" s="45"/>
      <c r="AD434" s="45"/>
      <c r="AE434" s="45"/>
      <c r="AF434" s="45"/>
      <c r="AG434" s="45"/>
      <c r="AH434" s="45"/>
      <c r="AI434" s="45"/>
      <c r="AJ434" s="45"/>
      <c r="AK434" s="45"/>
      <c r="AL434" s="45"/>
    </row>
    <row r="435" ht="15.75" customHeight="1">
      <c r="A435" s="27">
        <f t="shared" si="7"/>
        <v>121</v>
      </c>
      <c r="B435" s="28" t="s">
        <v>31</v>
      </c>
      <c r="C435" s="29" t="s">
        <v>1616</v>
      </c>
      <c r="D435" s="39" t="s">
        <v>1617</v>
      </c>
      <c r="E435" s="28" t="s">
        <v>28</v>
      </c>
      <c r="F435" s="28" t="s">
        <v>29</v>
      </c>
      <c r="G435" s="28" t="s">
        <v>37</v>
      </c>
      <c r="H435" s="28"/>
      <c r="I435" s="28" t="s">
        <v>38</v>
      </c>
      <c r="J435" s="31">
        <v>807.0</v>
      </c>
      <c r="K435" s="28"/>
      <c r="L435" s="31" t="s">
        <v>787</v>
      </c>
      <c r="M435" s="28" t="s">
        <v>230</v>
      </c>
      <c r="N435" s="28">
        <v>1969.0</v>
      </c>
      <c r="O435" s="31">
        <v>6.0</v>
      </c>
      <c r="P435" s="28">
        <v>1.0</v>
      </c>
      <c r="Q435" s="32">
        <v>1.0</v>
      </c>
      <c r="R435" s="33"/>
      <c r="S435" s="34"/>
      <c r="T435" s="34"/>
      <c r="U435" s="34"/>
      <c r="V435" s="34"/>
      <c r="W435" s="34"/>
      <c r="X435" s="34"/>
      <c r="Y435" s="41"/>
      <c r="Z435" s="41"/>
      <c r="AA435" s="41"/>
      <c r="AB435" s="41"/>
      <c r="AC435" s="41"/>
      <c r="AD435" s="41"/>
      <c r="AE435" s="41"/>
      <c r="AF435" s="41"/>
      <c r="AG435" s="41"/>
      <c r="AH435" s="41"/>
      <c r="AI435" s="41"/>
      <c r="AJ435" s="41"/>
      <c r="AK435" s="41"/>
      <c r="AL435" s="41"/>
    </row>
    <row r="436" ht="15.75" customHeight="1">
      <c r="A436" s="27">
        <f t="shared" si="7"/>
        <v>122</v>
      </c>
      <c r="B436" s="28" t="s">
        <v>1618</v>
      </c>
      <c r="C436" s="29" t="s">
        <v>1619</v>
      </c>
      <c r="D436" s="39" t="s">
        <v>1620</v>
      </c>
      <c r="E436" s="28" t="s">
        <v>223</v>
      </c>
      <c r="F436" s="28" t="s">
        <v>29</v>
      </c>
      <c r="G436" s="28" t="s">
        <v>37</v>
      </c>
      <c r="H436" s="28"/>
      <c r="I436" s="28" t="s">
        <v>38</v>
      </c>
      <c r="J436" s="28">
        <v>273.0</v>
      </c>
      <c r="K436" s="28"/>
      <c r="L436" s="31" t="s">
        <v>1621</v>
      </c>
      <c r="M436" s="28" t="s">
        <v>54</v>
      </c>
      <c r="N436" s="28">
        <v>1998.0</v>
      </c>
      <c r="O436" s="31">
        <v>5.0</v>
      </c>
      <c r="P436" s="28">
        <v>2.0</v>
      </c>
      <c r="Q436" s="37">
        <v>2.0</v>
      </c>
      <c r="R436" s="33"/>
      <c r="S436" s="40"/>
      <c r="T436" s="40"/>
      <c r="U436" s="40"/>
      <c r="V436" s="40"/>
      <c r="W436" s="40"/>
      <c r="X436" s="40"/>
      <c r="Y436" s="45"/>
      <c r="Z436" s="45"/>
      <c r="AA436" s="45"/>
      <c r="AB436" s="45"/>
      <c r="AC436" s="45"/>
      <c r="AD436" s="45"/>
      <c r="AE436" s="45"/>
      <c r="AF436" s="45"/>
      <c r="AG436" s="45"/>
      <c r="AH436" s="45"/>
      <c r="AI436" s="45"/>
      <c r="AJ436" s="45"/>
      <c r="AK436" s="45"/>
      <c r="AL436" s="45"/>
    </row>
    <row r="437" ht="15.75" customHeight="1">
      <c r="A437" s="27">
        <f t="shared" si="7"/>
        <v>123</v>
      </c>
      <c r="B437" s="28" t="s">
        <v>1622</v>
      </c>
      <c r="C437" s="29" t="s">
        <v>1623</v>
      </c>
      <c r="D437" s="39" t="s">
        <v>1624</v>
      </c>
      <c r="E437" s="28" t="s">
        <v>28</v>
      </c>
      <c r="F437" s="28" t="s">
        <v>29</v>
      </c>
      <c r="G437" s="28" t="s">
        <v>37</v>
      </c>
      <c r="H437" s="28"/>
      <c r="I437" s="28" t="s">
        <v>38</v>
      </c>
      <c r="J437" s="28">
        <f>237+22</f>
        <v>259</v>
      </c>
      <c r="K437" s="28"/>
      <c r="L437" s="31" t="s">
        <v>1625</v>
      </c>
      <c r="M437" s="28" t="s">
        <v>178</v>
      </c>
      <c r="N437" s="28">
        <v>1990.0</v>
      </c>
      <c r="O437" s="31">
        <v>4.0</v>
      </c>
      <c r="P437" s="28">
        <v>1.0</v>
      </c>
      <c r="Q437" s="32">
        <v>1.0</v>
      </c>
      <c r="R437" s="33"/>
      <c r="S437" s="40"/>
      <c r="T437" s="40"/>
      <c r="U437" s="40"/>
      <c r="V437" s="40"/>
      <c r="W437" s="40"/>
      <c r="X437" s="40"/>
      <c r="Y437" s="45"/>
      <c r="Z437" s="45"/>
      <c r="AA437" s="45"/>
      <c r="AB437" s="45"/>
      <c r="AC437" s="45"/>
      <c r="AD437" s="45"/>
      <c r="AE437" s="45"/>
      <c r="AF437" s="45"/>
      <c r="AG437" s="45"/>
      <c r="AH437" s="45"/>
      <c r="AI437" s="45"/>
      <c r="AJ437" s="45"/>
      <c r="AK437" s="45"/>
      <c r="AL437" s="45"/>
    </row>
    <row r="438" ht="15.75" customHeight="1">
      <c r="A438" s="27">
        <f t="shared" si="7"/>
        <v>124</v>
      </c>
      <c r="B438" s="28" t="s">
        <v>1626</v>
      </c>
      <c r="C438" s="29" t="s">
        <v>1627</v>
      </c>
      <c r="D438" s="39" t="s">
        <v>1628</v>
      </c>
      <c r="E438" s="28" t="s">
        <v>302</v>
      </c>
      <c r="F438" s="28" t="s">
        <v>29</v>
      </c>
      <c r="G438" s="28" t="s">
        <v>37</v>
      </c>
      <c r="H438" s="28"/>
      <c r="I438" s="28" t="s">
        <v>38</v>
      </c>
      <c r="J438" s="28">
        <v>238.0</v>
      </c>
      <c r="K438" s="28"/>
      <c r="L438" s="28" t="s">
        <v>1629</v>
      </c>
      <c r="M438" s="28" t="s">
        <v>230</v>
      </c>
      <c r="N438" s="28">
        <v>2001.0</v>
      </c>
      <c r="O438" s="31">
        <v>5.0</v>
      </c>
      <c r="P438" s="28">
        <v>1.0</v>
      </c>
      <c r="Q438" s="32">
        <v>1.0</v>
      </c>
      <c r="R438" s="33"/>
      <c r="S438" s="34"/>
      <c r="T438" s="34"/>
      <c r="U438" s="34"/>
      <c r="V438" s="34"/>
      <c r="W438" s="34"/>
      <c r="X438" s="34"/>
      <c r="Y438" s="45"/>
      <c r="Z438" s="45"/>
      <c r="AA438" s="45"/>
      <c r="AB438" s="45"/>
      <c r="AC438" s="45"/>
      <c r="AD438" s="45"/>
      <c r="AE438" s="45"/>
      <c r="AF438" s="45"/>
      <c r="AG438" s="45"/>
      <c r="AH438" s="45"/>
      <c r="AI438" s="45"/>
      <c r="AJ438" s="45"/>
      <c r="AK438" s="45"/>
      <c r="AL438" s="45"/>
    </row>
    <row r="439" ht="15.75" customHeight="1">
      <c r="A439" s="27">
        <f t="shared" si="7"/>
        <v>125</v>
      </c>
      <c r="B439" s="28" t="s">
        <v>1630</v>
      </c>
      <c r="C439" s="43" t="s">
        <v>1631</v>
      </c>
      <c r="D439" s="39" t="s">
        <v>1632</v>
      </c>
      <c r="E439" s="28" t="s">
        <v>28</v>
      </c>
      <c r="F439" s="28" t="s">
        <v>29</v>
      </c>
      <c r="G439" s="28" t="s">
        <v>37</v>
      </c>
      <c r="H439" s="28"/>
      <c r="I439" s="28" t="s">
        <v>38</v>
      </c>
      <c r="J439" s="28">
        <v>324.0</v>
      </c>
      <c r="K439" s="28"/>
      <c r="L439" s="28" t="s">
        <v>1633</v>
      </c>
      <c r="M439" s="28" t="s">
        <v>178</v>
      </c>
      <c r="N439" s="28">
        <v>1994.0</v>
      </c>
      <c r="O439" s="31">
        <v>6.0</v>
      </c>
      <c r="P439" s="28">
        <v>2.0</v>
      </c>
      <c r="Q439" s="37">
        <v>2.0</v>
      </c>
      <c r="R439" s="33"/>
      <c r="S439" s="40"/>
      <c r="T439" s="40"/>
      <c r="U439" s="40"/>
      <c r="V439" s="40"/>
      <c r="W439" s="40"/>
      <c r="X439" s="40"/>
      <c r="Y439" s="45"/>
      <c r="Z439" s="45"/>
      <c r="AA439" s="45"/>
      <c r="AB439" s="45"/>
      <c r="AC439" s="45"/>
      <c r="AD439" s="45"/>
      <c r="AE439" s="45"/>
      <c r="AF439" s="45"/>
      <c r="AG439" s="45"/>
      <c r="AH439" s="45"/>
      <c r="AI439" s="45"/>
      <c r="AJ439" s="45"/>
      <c r="AK439" s="45"/>
      <c r="AL439" s="45"/>
    </row>
    <row r="440" ht="15.75" customHeight="1">
      <c r="A440" s="27">
        <f t="shared" si="7"/>
        <v>126</v>
      </c>
      <c r="B440" s="28" t="s">
        <v>1634</v>
      </c>
      <c r="C440" s="29" t="s">
        <v>1635</v>
      </c>
      <c r="D440" s="39" t="s">
        <v>1636</v>
      </c>
      <c r="E440" s="28" t="s">
        <v>28</v>
      </c>
      <c r="F440" s="28" t="s">
        <v>29</v>
      </c>
      <c r="G440" s="28" t="s">
        <v>1032</v>
      </c>
      <c r="H440" s="28"/>
      <c r="I440" s="28" t="s">
        <v>38</v>
      </c>
      <c r="J440" s="28">
        <v>478.0</v>
      </c>
      <c r="K440" s="28"/>
      <c r="L440" s="31" t="s">
        <v>1637</v>
      </c>
      <c r="M440" s="28" t="s">
        <v>236</v>
      </c>
      <c r="N440" s="28">
        <v>2004.0</v>
      </c>
      <c r="O440" s="31">
        <v>6.0</v>
      </c>
      <c r="P440" s="28">
        <v>1.0</v>
      </c>
      <c r="Q440" s="32">
        <v>1.0</v>
      </c>
      <c r="R440" s="33"/>
      <c r="S440" s="34"/>
      <c r="T440" s="34"/>
      <c r="U440" s="34"/>
      <c r="V440" s="34"/>
      <c r="W440" s="34"/>
      <c r="X440" s="34"/>
      <c r="Y440" s="45"/>
      <c r="Z440" s="45"/>
      <c r="AA440" s="45"/>
      <c r="AB440" s="45"/>
      <c r="AC440" s="45"/>
      <c r="AD440" s="45"/>
      <c r="AE440" s="45"/>
      <c r="AF440" s="45"/>
      <c r="AG440" s="45"/>
      <c r="AH440" s="45"/>
      <c r="AI440" s="45"/>
      <c r="AJ440" s="45"/>
      <c r="AK440" s="45"/>
      <c r="AL440" s="45"/>
    </row>
    <row r="441" ht="15.75" customHeight="1">
      <c r="A441" s="27">
        <f t="shared" si="7"/>
        <v>127</v>
      </c>
      <c r="B441" s="28" t="s">
        <v>1638</v>
      </c>
      <c r="C441" s="43" t="s">
        <v>1639</v>
      </c>
      <c r="D441" s="30" t="s">
        <v>1640</v>
      </c>
      <c r="E441" s="28" t="s">
        <v>28</v>
      </c>
      <c r="F441" s="28" t="s">
        <v>29</v>
      </c>
      <c r="G441" s="28" t="s">
        <v>37</v>
      </c>
      <c r="H441" s="28" t="s">
        <v>31</v>
      </c>
      <c r="I441" s="28" t="s">
        <v>38</v>
      </c>
      <c r="J441" s="28">
        <v>160.0</v>
      </c>
      <c r="K441" s="28"/>
      <c r="L441" s="28" t="s">
        <v>1641</v>
      </c>
      <c r="M441" s="28" t="s">
        <v>250</v>
      </c>
      <c r="N441" s="28">
        <v>2015.0</v>
      </c>
      <c r="O441" s="31" t="s">
        <v>494</v>
      </c>
      <c r="P441" s="28">
        <v>1.0</v>
      </c>
      <c r="Q441" s="37">
        <v>1.0</v>
      </c>
      <c r="R441" s="33"/>
      <c r="S441" s="34"/>
      <c r="T441" s="34"/>
      <c r="U441" s="34"/>
      <c r="V441" s="34"/>
      <c r="W441" s="34"/>
      <c r="X441" s="34"/>
      <c r="Y441" s="45"/>
      <c r="Z441" s="45"/>
      <c r="AA441" s="45"/>
      <c r="AB441" s="45"/>
      <c r="AC441" s="45"/>
      <c r="AD441" s="45"/>
      <c r="AE441" s="45"/>
      <c r="AF441" s="45"/>
      <c r="AG441" s="45"/>
      <c r="AH441" s="45"/>
      <c r="AI441" s="45"/>
      <c r="AJ441" s="45"/>
      <c r="AK441" s="45"/>
      <c r="AL441" s="45"/>
    </row>
    <row r="442" ht="15.75" customHeight="1">
      <c r="A442" s="27">
        <f t="shared" si="7"/>
        <v>128</v>
      </c>
      <c r="B442" s="28" t="s">
        <v>31</v>
      </c>
      <c r="C442" s="29" t="s">
        <v>1642</v>
      </c>
      <c r="D442" s="39" t="s">
        <v>1643</v>
      </c>
      <c r="E442" s="28" t="s">
        <v>28</v>
      </c>
      <c r="F442" s="28" t="s">
        <v>29</v>
      </c>
      <c r="G442" s="28" t="s">
        <v>37</v>
      </c>
      <c r="H442" s="28"/>
      <c r="I442" s="28" t="s">
        <v>38</v>
      </c>
      <c r="J442" s="31">
        <v>659.0</v>
      </c>
      <c r="K442" s="28"/>
      <c r="L442" s="31" t="s">
        <v>1644</v>
      </c>
      <c r="M442" s="28" t="s">
        <v>230</v>
      </c>
      <c r="N442" s="28">
        <v>1968.0</v>
      </c>
      <c r="O442" s="31">
        <v>6.0</v>
      </c>
      <c r="P442" s="28">
        <v>1.0</v>
      </c>
      <c r="Q442" s="32">
        <v>1.0</v>
      </c>
      <c r="R442" s="33"/>
      <c r="S442" s="40"/>
      <c r="T442" s="40"/>
      <c r="U442" s="40"/>
      <c r="V442" s="40"/>
      <c r="W442" s="40"/>
      <c r="X442" s="40"/>
      <c r="Y442" s="45"/>
      <c r="Z442" s="45"/>
      <c r="AA442" s="45"/>
      <c r="AB442" s="45"/>
      <c r="AC442" s="45"/>
      <c r="AD442" s="45"/>
      <c r="AE442" s="45"/>
      <c r="AF442" s="45"/>
      <c r="AG442" s="45"/>
      <c r="AH442" s="45"/>
      <c r="AI442" s="45"/>
      <c r="AJ442" s="45"/>
      <c r="AK442" s="45"/>
      <c r="AL442" s="45"/>
    </row>
    <row r="443" ht="15.75" customHeight="1">
      <c r="A443" s="27">
        <f t="shared" si="7"/>
        <v>129</v>
      </c>
      <c r="B443" s="28" t="s">
        <v>1645</v>
      </c>
      <c r="C443" s="29" t="s">
        <v>1646</v>
      </c>
      <c r="D443" s="39" t="s">
        <v>1647</v>
      </c>
      <c r="E443" s="28" t="s">
        <v>223</v>
      </c>
      <c r="F443" s="28" t="s">
        <v>29</v>
      </c>
      <c r="G443" s="28" t="s">
        <v>37</v>
      </c>
      <c r="H443" s="28"/>
      <c r="I443" s="28" t="s">
        <v>38</v>
      </c>
      <c r="J443" s="28">
        <v>471.0</v>
      </c>
      <c r="K443" s="28"/>
      <c r="L443" s="31" t="s">
        <v>1621</v>
      </c>
      <c r="M443" s="28" t="s">
        <v>54</v>
      </c>
      <c r="N443" s="28">
        <v>1997.0</v>
      </c>
      <c r="O443" s="31">
        <v>5.0</v>
      </c>
      <c r="P443" s="28">
        <v>2.0</v>
      </c>
      <c r="Q443" s="37">
        <v>2.0</v>
      </c>
      <c r="R443" s="33"/>
      <c r="S443" s="40"/>
      <c r="T443" s="40"/>
      <c r="U443" s="40"/>
      <c r="V443" s="40"/>
      <c r="W443" s="40"/>
      <c r="X443" s="40"/>
      <c r="Y443" s="45"/>
      <c r="Z443" s="45"/>
      <c r="AA443" s="45"/>
      <c r="AB443" s="45"/>
      <c r="AC443" s="45"/>
      <c r="AD443" s="45"/>
      <c r="AE443" s="45"/>
      <c r="AF443" s="45"/>
      <c r="AG443" s="45"/>
      <c r="AH443" s="45"/>
      <c r="AI443" s="45"/>
      <c r="AJ443" s="45"/>
      <c r="AK443" s="45"/>
      <c r="AL443" s="45"/>
    </row>
    <row r="444" ht="15.75" customHeight="1">
      <c r="A444" s="27">
        <f t="shared" si="7"/>
        <v>130</v>
      </c>
      <c r="B444" s="28" t="s">
        <v>1648</v>
      </c>
      <c r="C444" s="29" t="s">
        <v>1649</v>
      </c>
      <c r="D444" s="39" t="s">
        <v>1650</v>
      </c>
      <c r="E444" s="28" t="s">
        <v>302</v>
      </c>
      <c r="F444" s="28" t="s">
        <v>29</v>
      </c>
      <c r="G444" s="28" t="s">
        <v>37</v>
      </c>
      <c r="H444" s="28"/>
      <c r="I444" s="28" t="s">
        <v>38</v>
      </c>
      <c r="J444" s="28">
        <v>306.0</v>
      </c>
      <c r="K444" s="28"/>
      <c r="L444" s="28" t="s">
        <v>1629</v>
      </c>
      <c r="M444" s="28" t="s">
        <v>230</v>
      </c>
      <c r="N444" s="28">
        <v>1998.0</v>
      </c>
      <c r="O444" s="31">
        <v>5.0</v>
      </c>
      <c r="P444" s="28">
        <v>1.0</v>
      </c>
      <c r="Q444" s="32">
        <v>1.0</v>
      </c>
      <c r="R444" s="33"/>
      <c r="S444" s="34"/>
      <c r="T444" s="34"/>
      <c r="U444" s="34"/>
      <c r="V444" s="34"/>
      <c r="W444" s="34"/>
      <c r="X444" s="34"/>
      <c r="Y444" s="45"/>
      <c r="Z444" s="45"/>
      <c r="AA444" s="45"/>
      <c r="AB444" s="45"/>
      <c r="AC444" s="45"/>
      <c r="AD444" s="45"/>
      <c r="AE444" s="45"/>
      <c r="AF444" s="45"/>
      <c r="AG444" s="45"/>
      <c r="AH444" s="45"/>
      <c r="AI444" s="45"/>
      <c r="AJ444" s="45"/>
      <c r="AK444" s="45"/>
      <c r="AL444" s="45"/>
    </row>
    <row r="445" ht="15.75" customHeight="1">
      <c r="A445" s="27">
        <f t="shared" si="7"/>
        <v>131</v>
      </c>
      <c r="B445" s="28" t="s">
        <v>1651</v>
      </c>
      <c r="C445" s="29" t="s">
        <v>1652</v>
      </c>
      <c r="D445" s="30" t="s">
        <v>1653</v>
      </c>
      <c r="E445" s="28" t="s">
        <v>28</v>
      </c>
      <c r="F445" s="28" t="s">
        <v>29</v>
      </c>
      <c r="G445" s="28" t="s">
        <v>37</v>
      </c>
      <c r="H445" s="28"/>
      <c r="I445" s="28" t="s">
        <v>38</v>
      </c>
      <c r="J445" s="28">
        <v>158.0</v>
      </c>
      <c r="K445" s="28"/>
      <c r="L445" s="28" t="s">
        <v>1654</v>
      </c>
      <c r="M445" s="28" t="s">
        <v>178</v>
      </c>
      <c r="N445" s="28">
        <v>2003.0</v>
      </c>
      <c r="O445" s="31">
        <v>11.0</v>
      </c>
      <c r="P445" s="28">
        <v>1.0</v>
      </c>
      <c r="Q445" s="32">
        <v>1.0</v>
      </c>
      <c r="R445" s="33"/>
      <c r="S445" s="34"/>
      <c r="T445" s="34"/>
      <c r="U445" s="34"/>
      <c r="V445" s="34"/>
      <c r="W445" s="34"/>
      <c r="X445" s="34"/>
      <c r="Y445" s="45"/>
      <c r="Z445" s="45"/>
      <c r="AA445" s="45"/>
      <c r="AB445" s="45"/>
      <c r="AC445" s="45"/>
      <c r="AD445" s="45"/>
      <c r="AE445" s="45"/>
      <c r="AF445" s="45"/>
      <c r="AG445" s="45"/>
      <c r="AH445" s="45"/>
      <c r="AI445" s="45"/>
      <c r="AJ445" s="45"/>
      <c r="AK445" s="45"/>
      <c r="AL445" s="45"/>
    </row>
    <row r="446" ht="15.75" customHeight="1">
      <c r="A446" s="27">
        <f t="shared" si="7"/>
        <v>132</v>
      </c>
      <c r="B446" s="28" t="s">
        <v>1655</v>
      </c>
      <c r="C446" s="29" t="s">
        <v>1656</v>
      </c>
      <c r="D446" s="39" t="s">
        <v>1657</v>
      </c>
      <c r="E446" s="28" t="s">
        <v>28</v>
      </c>
      <c r="F446" s="28" t="s">
        <v>29</v>
      </c>
      <c r="G446" s="28" t="s">
        <v>37</v>
      </c>
      <c r="H446" s="28"/>
      <c r="I446" s="28" t="s">
        <v>38</v>
      </c>
      <c r="J446" s="28">
        <f>306+22</f>
        <v>328</v>
      </c>
      <c r="K446" s="28"/>
      <c r="L446" s="28" t="s">
        <v>1658</v>
      </c>
      <c r="M446" s="28" t="s">
        <v>178</v>
      </c>
      <c r="N446" s="28">
        <v>2004.0</v>
      </c>
      <c r="O446" s="31">
        <v>4.0</v>
      </c>
      <c r="P446" s="28">
        <v>1.0</v>
      </c>
      <c r="Q446" s="32">
        <v>1.0</v>
      </c>
      <c r="R446" s="33"/>
      <c r="S446" s="34"/>
      <c r="T446" s="34"/>
      <c r="U446" s="34"/>
      <c r="V446" s="34"/>
      <c r="W446" s="34"/>
      <c r="X446" s="34"/>
      <c r="Y446" s="45"/>
      <c r="Z446" s="45"/>
      <c r="AA446" s="45"/>
      <c r="AB446" s="45"/>
      <c r="AC446" s="45"/>
      <c r="AD446" s="45"/>
      <c r="AE446" s="45"/>
      <c r="AF446" s="45"/>
      <c r="AG446" s="45"/>
      <c r="AH446" s="45"/>
      <c r="AI446" s="45"/>
      <c r="AJ446" s="45"/>
      <c r="AK446" s="45"/>
      <c r="AL446" s="45"/>
    </row>
    <row r="447" ht="15.75" customHeight="1">
      <c r="A447" s="27">
        <f t="shared" si="7"/>
        <v>133</v>
      </c>
      <c r="B447" s="28" t="s">
        <v>31</v>
      </c>
      <c r="C447" s="29" t="s">
        <v>1659</v>
      </c>
      <c r="D447" s="39" t="s">
        <v>1660</v>
      </c>
      <c r="E447" s="28" t="s">
        <v>28</v>
      </c>
      <c r="F447" s="28" t="s">
        <v>29</v>
      </c>
      <c r="G447" s="28" t="s">
        <v>37</v>
      </c>
      <c r="H447" s="28"/>
      <c r="I447" s="28" t="s">
        <v>38</v>
      </c>
      <c r="J447" s="28">
        <v>212.0</v>
      </c>
      <c r="K447" s="28"/>
      <c r="L447" s="28" t="s">
        <v>1661</v>
      </c>
      <c r="M447" s="28" t="s">
        <v>507</v>
      </c>
      <c r="N447" s="28">
        <v>1947.0</v>
      </c>
      <c r="O447" s="31">
        <v>5.0</v>
      </c>
      <c r="P447" s="28">
        <v>1.0</v>
      </c>
      <c r="Q447" s="32">
        <v>1.0</v>
      </c>
      <c r="R447" s="33"/>
      <c r="S447" s="34"/>
      <c r="T447" s="34"/>
      <c r="U447" s="34"/>
      <c r="V447" s="34"/>
      <c r="W447" s="34"/>
      <c r="X447" s="34"/>
      <c r="Y447" s="45"/>
      <c r="Z447" s="45"/>
      <c r="AA447" s="45"/>
      <c r="AB447" s="45"/>
      <c r="AC447" s="45"/>
      <c r="AD447" s="45"/>
      <c r="AE447" s="45"/>
      <c r="AF447" s="45"/>
      <c r="AG447" s="45"/>
      <c r="AH447" s="45"/>
      <c r="AI447" s="45"/>
      <c r="AJ447" s="45"/>
      <c r="AK447" s="45"/>
      <c r="AL447" s="45"/>
    </row>
    <row r="448" ht="15.75" customHeight="1">
      <c r="A448" s="27">
        <f t="shared" si="7"/>
        <v>134</v>
      </c>
      <c r="B448" s="28" t="s">
        <v>1662</v>
      </c>
      <c r="C448" s="29" t="s">
        <v>1663</v>
      </c>
      <c r="D448" s="39" t="s">
        <v>1664</v>
      </c>
      <c r="E448" s="28" t="s">
        <v>28</v>
      </c>
      <c r="F448" s="28" t="s">
        <v>29</v>
      </c>
      <c r="G448" s="28" t="s">
        <v>37</v>
      </c>
      <c r="H448" s="28" t="s">
        <v>31</v>
      </c>
      <c r="I448" s="28" t="s">
        <v>38</v>
      </c>
      <c r="J448" s="28">
        <v>446.0</v>
      </c>
      <c r="K448" s="28"/>
      <c r="L448" s="31" t="s">
        <v>1558</v>
      </c>
      <c r="M448" s="28" t="s">
        <v>230</v>
      </c>
      <c r="N448" s="28">
        <v>1994.0</v>
      </c>
      <c r="O448" s="31">
        <v>6.0</v>
      </c>
      <c r="P448" s="28">
        <v>1.0</v>
      </c>
      <c r="Q448" s="32">
        <v>1.0</v>
      </c>
      <c r="R448" s="33"/>
      <c r="S448" s="34"/>
      <c r="T448" s="34"/>
      <c r="U448" s="34"/>
      <c r="V448" s="34"/>
      <c r="W448" s="34"/>
      <c r="X448" s="34"/>
      <c r="Y448" s="45"/>
      <c r="Z448" s="45"/>
      <c r="AA448" s="45"/>
      <c r="AB448" s="45"/>
      <c r="AC448" s="45"/>
      <c r="AD448" s="45"/>
      <c r="AE448" s="45"/>
      <c r="AF448" s="45"/>
      <c r="AG448" s="45"/>
      <c r="AH448" s="45"/>
      <c r="AI448" s="45"/>
      <c r="AJ448" s="45"/>
      <c r="AK448" s="45"/>
      <c r="AL448" s="45"/>
    </row>
    <row r="449" ht="15.75" customHeight="1">
      <c r="A449" s="27">
        <f t="shared" si="7"/>
        <v>135</v>
      </c>
      <c r="B449" s="28" t="s">
        <v>1665</v>
      </c>
      <c r="C449" s="29" t="s">
        <v>1663</v>
      </c>
      <c r="D449" s="39" t="s">
        <v>1666</v>
      </c>
      <c r="E449" s="28" t="s">
        <v>28</v>
      </c>
      <c r="F449" s="28" t="s">
        <v>29</v>
      </c>
      <c r="G449" s="28" t="s">
        <v>38</v>
      </c>
      <c r="H449" s="28"/>
      <c r="I449" s="28" t="s">
        <v>38</v>
      </c>
      <c r="J449" s="31">
        <v>196.0</v>
      </c>
      <c r="K449" s="28"/>
      <c r="L449" s="28" t="s">
        <v>1558</v>
      </c>
      <c r="M449" s="28" t="s">
        <v>83</v>
      </c>
      <c r="N449" s="28">
        <v>1972.0</v>
      </c>
      <c r="O449" s="31" t="s">
        <v>494</v>
      </c>
      <c r="P449" s="28">
        <v>1.0</v>
      </c>
      <c r="Q449" s="32">
        <v>1.0</v>
      </c>
      <c r="R449" s="33"/>
      <c r="S449" s="34"/>
      <c r="T449" s="34"/>
      <c r="U449" s="34"/>
      <c r="V449" s="34"/>
      <c r="W449" s="34"/>
      <c r="X449" s="34"/>
      <c r="Y449" s="45"/>
      <c r="Z449" s="45"/>
      <c r="AA449" s="45"/>
      <c r="AB449" s="45"/>
      <c r="AC449" s="45"/>
      <c r="AD449" s="45"/>
      <c r="AE449" s="45"/>
      <c r="AF449" s="45"/>
      <c r="AG449" s="45"/>
      <c r="AH449" s="45"/>
      <c r="AI449" s="45"/>
      <c r="AJ449" s="45"/>
      <c r="AK449" s="45"/>
      <c r="AL449" s="45"/>
    </row>
    <row r="450" ht="15.75" customHeight="1">
      <c r="A450" s="27">
        <f t="shared" si="7"/>
        <v>136</v>
      </c>
      <c r="B450" s="28" t="s">
        <v>1667</v>
      </c>
      <c r="C450" s="29" t="s">
        <v>1668</v>
      </c>
      <c r="D450" s="39" t="s">
        <v>1669</v>
      </c>
      <c r="E450" s="28" t="s">
        <v>28</v>
      </c>
      <c r="F450" s="28" t="s">
        <v>29</v>
      </c>
      <c r="G450" s="28" t="s">
        <v>37</v>
      </c>
      <c r="H450" s="28"/>
      <c r="I450" s="28" t="s">
        <v>38</v>
      </c>
      <c r="J450" s="28">
        <f>589+34</f>
        <v>623</v>
      </c>
      <c r="K450" s="28"/>
      <c r="L450" s="28" t="s">
        <v>1670</v>
      </c>
      <c r="M450" s="28" t="s">
        <v>49</v>
      </c>
      <c r="N450" s="28">
        <v>1984.0</v>
      </c>
      <c r="O450" s="31">
        <v>5.0</v>
      </c>
      <c r="P450" s="28">
        <v>1.0</v>
      </c>
      <c r="Q450" s="37">
        <v>1.0</v>
      </c>
      <c r="R450" s="33"/>
      <c r="S450" s="34"/>
      <c r="T450" s="34"/>
      <c r="U450" s="34"/>
      <c r="V450" s="34"/>
      <c r="W450" s="34"/>
      <c r="X450" s="34"/>
      <c r="Y450" s="45"/>
      <c r="Z450" s="45"/>
      <c r="AA450" s="45"/>
      <c r="AB450" s="45"/>
      <c r="AC450" s="45"/>
      <c r="AD450" s="45"/>
      <c r="AE450" s="45"/>
      <c r="AF450" s="45"/>
      <c r="AG450" s="45"/>
      <c r="AH450" s="45"/>
      <c r="AI450" s="45"/>
      <c r="AJ450" s="45"/>
      <c r="AK450" s="45"/>
      <c r="AL450" s="45"/>
    </row>
    <row r="451" ht="15.75" customHeight="1">
      <c r="A451" s="27">
        <f t="shared" si="7"/>
        <v>137</v>
      </c>
      <c r="B451" s="28" t="s">
        <v>1671</v>
      </c>
      <c r="C451" s="29" t="s">
        <v>1672</v>
      </c>
      <c r="D451" s="39" t="s">
        <v>1673</v>
      </c>
      <c r="E451" s="28" t="s">
        <v>28</v>
      </c>
      <c r="F451" s="28" t="s">
        <v>29</v>
      </c>
      <c r="G451" s="28" t="s">
        <v>98</v>
      </c>
      <c r="H451" s="28"/>
      <c r="I451" s="28" t="s">
        <v>38</v>
      </c>
      <c r="J451" s="28">
        <v>123.0</v>
      </c>
      <c r="K451" s="28"/>
      <c r="L451" s="31" t="s">
        <v>1380</v>
      </c>
      <c r="M451" s="28" t="s">
        <v>100</v>
      </c>
      <c r="N451" s="28">
        <v>2008.0</v>
      </c>
      <c r="O451" s="31">
        <v>6.0</v>
      </c>
      <c r="P451" s="28">
        <v>2.0</v>
      </c>
      <c r="Q451" s="37">
        <v>2.0</v>
      </c>
      <c r="R451" s="33"/>
      <c r="S451" s="40"/>
      <c r="T451" s="40"/>
      <c r="U451" s="40"/>
      <c r="V451" s="40"/>
      <c r="W451" s="40"/>
      <c r="X451" s="40"/>
      <c r="Y451" s="45"/>
      <c r="Z451" s="45"/>
      <c r="AA451" s="45"/>
      <c r="AB451" s="45"/>
      <c r="AC451" s="45"/>
      <c r="AD451" s="45"/>
      <c r="AE451" s="45"/>
      <c r="AF451" s="45"/>
      <c r="AG451" s="45"/>
      <c r="AH451" s="45"/>
      <c r="AI451" s="45"/>
      <c r="AJ451" s="45"/>
      <c r="AK451" s="45"/>
      <c r="AL451" s="45"/>
    </row>
    <row r="452" ht="15.75" customHeight="1">
      <c r="A452" s="27">
        <f t="shared" si="7"/>
        <v>138</v>
      </c>
      <c r="B452" s="28" t="s">
        <v>31</v>
      </c>
      <c r="C452" s="29" t="s">
        <v>1674</v>
      </c>
      <c r="D452" s="39" t="s">
        <v>1675</v>
      </c>
      <c r="E452" s="28" t="s">
        <v>28</v>
      </c>
      <c r="F452" s="28" t="s">
        <v>29</v>
      </c>
      <c r="G452" s="28" t="s">
        <v>37</v>
      </c>
      <c r="H452" s="28"/>
      <c r="I452" s="28" t="s">
        <v>38</v>
      </c>
      <c r="J452" s="28">
        <v>554.0</v>
      </c>
      <c r="K452" s="28"/>
      <c r="L452" s="28" t="s">
        <v>1676</v>
      </c>
      <c r="M452" s="28" t="s">
        <v>507</v>
      </c>
      <c r="N452" s="28">
        <v>1948.0</v>
      </c>
      <c r="O452" s="31">
        <v>5.0</v>
      </c>
      <c r="P452" s="28">
        <v>1.0</v>
      </c>
      <c r="Q452" s="32">
        <v>1.0</v>
      </c>
      <c r="R452" s="33"/>
      <c r="S452" s="34"/>
      <c r="T452" s="34"/>
      <c r="U452" s="34"/>
      <c r="V452" s="34"/>
      <c r="W452" s="34"/>
      <c r="X452" s="34"/>
      <c r="Y452" s="45"/>
      <c r="Z452" s="45"/>
      <c r="AA452" s="45"/>
      <c r="AB452" s="45"/>
      <c r="AC452" s="45"/>
      <c r="AD452" s="45"/>
      <c r="AE452" s="45"/>
      <c r="AF452" s="45"/>
      <c r="AG452" s="45"/>
      <c r="AH452" s="45"/>
      <c r="AI452" s="45"/>
      <c r="AJ452" s="45"/>
      <c r="AK452" s="45"/>
      <c r="AL452" s="45"/>
    </row>
    <row r="453" ht="15.75" customHeight="1">
      <c r="A453" s="27">
        <f t="shared" si="7"/>
        <v>139</v>
      </c>
      <c r="B453" s="28" t="s">
        <v>31</v>
      </c>
      <c r="C453" s="29" t="s">
        <v>1677</v>
      </c>
      <c r="D453" s="39" t="s">
        <v>1678</v>
      </c>
      <c r="E453" s="28" t="s">
        <v>28</v>
      </c>
      <c r="F453" s="28" t="s">
        <v>29</v>
      </c>
      <c r="G453" s="28" t="s">
        <v>37</v>
      </c>
      <c r="H453" s="28" t="s">
        <v>31</v>
      </c>
      <c r="I453" s="28" t="s">
        <v>38</v>
      </c>
      <c r="J453" s="28">
        <v>275.0</v>
      </c>
      <c r="K453" s="28"/>
      <c r="L453" s="31" t="s">
        <v>1679</v>
      </c>
      <c r="M453" s="28" t="s">
        <v>188</v>
      </c>
      <c r="N453" s="28">
        <v>1965.0</v>
      </c>
      <c r="O453" s="31">
        <v>6.0</v>
      </c>
      <c r="P453" s="28">
        <v>1.0</v>
      </c>
      <c r="Q453" s="32">
        <v>1.0</v>
      </c>
      <c r="R453" s="33"/>
      <c r="S453" s="40"/>
      <c r="T453" s="40"/>
      <c r="U453" s="40"/>
      <c r="V453" s="40"/>
      <c r="W453" s="40"/>
      <c r="X453" s="40"/>
      <c r="Y453" s="45"/>
      <c r="Z453" s="45"/>
      <c r="AA453" s="45"/>
      <c r="AB453" s="45"/>
      <c r="AC453" s="45"/>
      <c r="AD453" s="45"/>
      <c r="AE453" s="45"/>
      <c r="AF453" s="45"/>
      <c r="AG453" s="45"/>
      <c r="AH453" s="45"/>
      <c r="AI453" s="45"/>
      <c r="AJ453" s="45"/>
      <c r="AK453" s="45"/>
      <c r="AL453" s="45"/>
    </row>
    <row r="454" ht="15.75" customHeight="1">
      <c r="A454" s="27">
        <f t="shared" si="7"/>
        <v>140</v>
      </c>
      <c r="B454" s="28" t="s">
        <v>1680</v>
      </c>
      <c r="C454" s="29" t="s">
        <v>1681</v>
      </c>
      <c r="D454" s="30" t="s">
        <v>1682</v>
      </c>
      <c r="E454" s="28" t="s">
        <v>223</v>
      </c>
      <c r="F454" s="28" t="s">
        <v>29</v>
      </c>
      <c r="G454" s="28" t="s">
        <v>37</v>
      </c>
      <c r="H454" s="28"/>
      <c r="I454" s="28" t="s">
        <v>38</v>
      </c>
      <c r="J454" s="28">
        <v>703.0</v>
      </c>
      <c r="K454" s="28"/>
      <c r="L454" s="31" t="s">
        <v>1683</v>
      </c>
      <c r="M454" s="28" t="s">
        <v>54</v>
      </c>
      <c r="N454" s="28">
        <v>2000.0</v>
      </c>
      <c r="O454" s="31">
        <v>5.0</v>
      </c>
      <c r="P454" s="28">
        <v>1.0</v>
      </c>
      <c r="Q454" s="37">
        <v>1.0</v>
      </c>
      <c r="R454" s="33"/>
      <c r="S454" s="40"/>
      <c r="T454" s="40"/>
      <c r="U454" s="40"/>
      <c r="V454" s="40"/>
      <c r="W454" s="40"/>
      <c r="X454" s="40"/>
      <c r="Y454" s="45"/>
      <c r="Z454" s="45"/>
      <c r="AA454" s="45"/>
      <c r="AB454" s="45"/>
      <c r="AC454" s="45"/>
      <c r="AD454" s="45"/>
      <c r="AE454" s="45"/>
      <c r="AF454" s="45"/>
      <c r="AG454" s="45"/>
      <c r="AH454" s="45"/>
      <c r="AI454" s="45"/>
      <c r="AJ454" s="45"/>
      <c r="AK454" s="45"/>
      <c r="AL454" s="45"/>
    </row>
    <row r="455" ht="15.75" customHeight="1">
      <c r="A455" s="27">
        <f t="shared" si="7"/>
        <v>141</v>
      </c>
      <c r="B455" s="28" t="s">
        <v>1684</v>
      </c>
      <c r="C455" s="29" t="s">
        <v>1685</v>
      </c>
      <c r="D455" s="39" t="s">
        <v>1686</v>
      </c>
      <c r="E455" s="28" t="s">
        <v>28</v>
      </c>
      <c r="F455" s="28" t="s">
        <v>29</v>
      </c>
      <c r="G455" s="28" t="s">
        <v>234</v>
      </c>
      <c r="H455" s="28"/>
      <c r="I455" s="28" t="s">
        <v>38</v>
      </c>
      <c r="J455" s="28">
        <v>306.0</v>
      </c>
      <c r="K455" s="28"/>
      <c r="L455" s="31" t="s">
        <v>1687</v>
      </c>
      <c r="M455" s="28" t="s">
        <v>236</v>
      </c>
      <c r="N455" s="28">
        <v>1998.0</v>
      </c>
      <c r="O455" s="31">
        <v>6.0</v>
      </c>
      <c r="P455" s="28">
        <v>1.0</v>
      </c>
      <c r="Q455" s="32">
        <v>1.0</v>
      </c>
      <c r="R455" s="33"/>
      <c r="S455" s="40"/>
      <c r="T455" s="40"/>
      <c r="U455" s="40"/>
      <c r="V455" s="40"/>
      <c r="W455" s="40"/>
      <c r="X455" s="40"/>
      <c r="Y455" s="45"/>
      <c r="Z455" s="45"/>
      <c r="AA455" s="45"/>
      <c r="AB455" s="45"/>
      <c r="AC455" s="45"/>
      <c r="AD455" s="45"/>
      <c r="AE455" s="45"/>
      <c r="AF455" s="45"/>
      <c r="AG455" s="45"/>
      <c r="AH455" s="45"/>
      <c r="AI455" s="45"/>
      <c r="AJ455" s="45"/>
      <c r="AK455" s="45"/>
      <c r="AL455" s="45"/>
    </row>
    <row r="456" ht="15.75" customHeight="1">
      <c r="A456" s="27">
        <f t="shared" si="7"/>
        <v>142</v>
      </c>
      <c r="B456" s="28" t="s">
        <v>1688</v>
      </c>
      <c r="C456" s="43" t="s">
        <v>1689</v>
      </c>
      <c r="D456" s="30" t="s">
        <v>1690</v>
      </c>
      <c r="E456" s="28" t="s">
        <v>28</v>
      </c>
      <c r="F456" s="28" t="s">
        <v>29</v>
      </c>
      <c r="G456" s="28" t="s">
        <v>37</v>
      </c>
      <c r="H456" s="28" t="s">
        <v>31</v>
      </c>
      <c r="I456" s="28" t="s">
        <v>38</v>
      </c>
      <c r="J456" s="28">
        <v>192.0</v>
      </c>
      <c r="K456" s="28"/>
      <c r="L456" s="31" t="s">
        <v>492</v>
      </c>
      <c r="M456" s="28" t="s">
        <v>250</v>
      </c>
      <c r="N456" s="28">
        <v>1964.0</v>
      </c>
      <c r="O456" s="31" t="s">
        <v>494</v>
      </c>
      <c r="P456" s="28">
        <v>1.0</v>
      </c>
      <c r="Q456" s="37">
        <v>1.0</v>
      </c>
      <c r="R456" s="33"/>
      <c r="S456" s="40"/>
      <c r="T456" s="40"/>
      <c r="U456" s="40"/>
      <c r="V456" s="40"/>
      <c r="W456" s="40"/>
      <c r="X456" s="40"/>
      <c r="Y456" s="45"/>
      <c r="Z456" s="45"/>
      <c r="AA456" s="45"/>
      <c r="AB456" s="45"/>
      <c r="AC456" s="45"/>
      <c r="AD456" s="45"/>
      <c r="AE456" s="45"/>
      <c r="AF456" s="45"/>
      <c r="AG456" s="45"/>
      <c r="AH456" s="45"/>
      <c r="AI456" s="45"/>
      <c r="AJ456" s="45"/>
      <c r="AK456" s="45"/>
      <c r="AL456" s="45"/>
    </row>
    <row r="457" ht="15.75" customHeight="1">
      <c r="A457" s="27"/>
      <c r="B457" s="31" t="s">
        <v>1691</v>
      </c>
      <c r="C457" s="29" t="s">
        <v>1692</v>
      </c>
      <c r="D457" s="39" t="s">
        <v>1693</v>
      </c>
      <c r="E457" s="28" t="s">
        <v>28</v>
      </c>
      <c r="F457" s="28" t="s">
        <v>29</v>
      </c>
      <c r="G457" s="28" t="s">
        <v>37</v>
      </c>
      <c r="H457" s="28"/>
      <c r="I457" s="28" t="s">
        <v>38</v>
      </c>
      <c r="J457" s="31">
        <v>1011.0</v>
      </c>
      <c r="K457" s="28"/>
      <c r="L457" s="28" t="s">
        <v>402</v>
      </c>
      <c r="M457" s="28" t="s">
        <v>382</v>
      </c>
      <c r="N457" s="31">
        <v>2008.0</v>
      </c>
      <c r="O457" s="31">
        <v>4.0</v>
      </c>
      <c r="P457" s="31">
        <v>1.0</v>
      </c>
      <c r="Q457" s="37">
        <v>1.0</v>
      </c>
      <c r="R457" s="33"/>
      <c r="S457" s="34"/>
      <c r="T457" s="34"/>
      <c r="U457" s="34"/>
      <c r="V457" s="34"/>
      <c r="W457" s="34"/>
      <c r="X457" s="34"/>
      <c r="Y457" s="45"/>
      <c r="Z457" s="45"/>
      <c r="AA457" s="45"/>
      <c r="AB457" s="45"/>
      <c r="AC457" s="45"/>
      <c r="AD457" s="45"/>
      <c r="AE457" s="45"/>
      <c r="AF457" s="45"/>
      <c r="AG457" s="45"/>
      <c r="AH457" s="45"/>
      <c r="AI457" s="45"/>
      <c r="AJ457" s="45"/>
      <c r="AK457" s="45"/>
      <c r="AL457" s="45"/>
    </row>
    <row r="458" ht="15.75" customHeight="1">
      <c r="A458" s="27">
        <f>A456+1</f>
        <v>143</v>
      </c>
      <c r="B458" s="28" t="s">
        <v>1694</v>
      </c>
      <c r="C458" s="29" t="s">
        <v>1695</v>
      </c>
      <c r="D458" s="30" t="s">
        <v>1696</v>
      </c>
      <c r="E458" s="28" t="s">
        <v>28</v>
      </c>
      <c r="F458" s="28" t="s">
        <v>29</v>
      </c>
      <c r="G458" s="28" t="s">
        <v>37</v>
      </c>
      <c r="H458" s="28"/>
      <c r="I458" s="28" t="s">
        <v>38</v>
      </c>
      <c r="J458" s="31">
        <v>863.0</v>
      </c>
      <c r="K458" s="28"/>
      <c r="L458" s="28" t="s">
        <v>402</v>
      </c>
      <c r="M458" s="28" t="s">
        <v>382</v>
      </c>
      <c r="N458" s="28">
        <v>2008.0</v>
      </c>
      <c r="O458" s="31">
        <v>4.0</v>
      </c>
      <c r="P458" s="28">
        <v>1.0</v>
      </c>
      <c r="Q458" s="32">
        <v>1.0</v>
      </c>
      <c r="R458" s="33"/>
      <c r="S458" s="34"/>
      <c r="T458" s="34"/>
      <c r="U458" s="34"/>
      <c r="V458" s="34"/>
      <c r="W458" s="34"/>
      <c r="X458" s="34"/>
      <c r="Y458" s="45"/>
      <c r="Z458" s="45"/>
      <c r="AA458" s="45"/>
      <c r="AB458" s="45"/>
      <c r="AC458" s="45"/>
      <c r="AD458" s="45"/>
      <c r="AE458" s="45"/>
      <c r="AF458" s="45"/>
      <c r="AG458" s="45"/>
      <c r="AH458" s="45"/>
      <c r="AI458" s="45"/>
      <c r="AJ458" s="45"/>
      <c r="AK458" s="45"/>
      <c r="AL458" s="45"/>
    </row>
    <row r="459" ht="15.75" customHeight="1">
      <c r="A459" s="27">
        <f t="shared" ref="A459:A470" si="8">A458+1</f>
        <v>144</v>
      </c>
      <c r="B459" s="28" t="s">
        <v>1697</v>
      </c>
      <c r="C459" s="29" t="s">
        <v>1698</v>
      </c>
      <c r="D459" s="39" t="s">
        <v>1699</v>
      </c>
      <c r="E459" s="28" t="s">
        <v>144</v>
      </c>
      <c r="F459" s="28" t="s">
        <v>29</v>
      </c>
      <c r="G459" s="28" t="s">
        <v>37</v>
      </c>
      <c r="H459" s="28"/>
      <c r="I459" s="28" t="s">
        <v>38</v>
      </c>
      <c r="J459" s="28">
        <f>1051+22</f>
        <v>1073</v>
      </c>
      <c r="K459" s="28"/>
      <c r="L459" s="31" t="s">
        <v>1700</v>
      </c>
      <c r="M459" s="28" t="s">
        <v>230</v>
      </c>
      <c r="N459" s="31">
        <v>2014.0</v>
      </c>
      <c r="O459" s="31">
        <v>5.0</v>
      </c>
      <c r="P459" s="28">
        <v>1.0</v>
      </c>
      <c r="Q459" s="32">
        <v>1.0</v>
      </c>
      <c r="R459" s="33"/>
      <c r="S459" s="34"/>
      <c r="T459" s="34"/>
      <c r="U459" s="34"/>
      <c r="V459" s="34"/>
      <c r="W459" s="34"/>
      <c r="X459" s="34"/>
      <c r="Y459" s="45"/>
      <c r="Z459" s="45"/>
      <c r="AA459" s="45"/>
      <c r="AB459" s="45"/>
      <c r="AC459" s="45"/>
      <c r="AD459" s="45"/>
      <c r="AE459" s="45"/>
      <c r="AF459" s="45"/>
      <c r="AG459" s="45"/>
      <c r="AH459" s="45"/>
      <c r="AI459" s="45"/>
      <c r="AJ459" s="45"/>
      <c r="AK459" s="45"/>
      <c r="AL459" s="45"/>
    </row>
    <row r="460" ht="15.75" customHeight="1">
      <c r="A460" s="27">
        <f t="shared" si="8"/>
        <v>145</v>
      </c>
      <c r="B460" s="28" t="s">
        <v>1701</v>
      </c>
      <c r="C460" s="29" t="s">
        <v>1702</v>
      </c>
      <c r="D460" s="30" t="s">
        <v>1703</v>
      </c>
      <c r="E460" s="28" t="s">
        <v>28</v>
      </c>
      <c r="F460" s="28" t="s">
        <v>29</v>
      </c>
      <c r="G460" s="28" t="s">
        <v>37</v>
      </c>
      <c r="H460" s="28"/>
      <c r="I460" s="28" t="s">
        <v>38</v>
      </c>
      <c r="J460" s="28">
        <v>471.0</v>
      </c>
      <c r="K460" s="28"/>
      <c r="L460" s="28" t="s">
        <v>1704</v>
      </c>
      <c r="M460" s="28" t="s">
        <v>230</v>
      </c>
      <c r="N460" s="28">
        <v>2003.0</v>
      </c>
      <c r="O460" s="31">
        <v>6.0</v>
      </c>
      <c r="P460" s="28">
        <v>1.0</v>
      </c>
      <c r="Q460" s="32">
        <v>1.0</v>
      </c>
      <c r="R460" s="33"/>
      <c r="S460" s="34"/>
      <c r="T460" s="34"/>
      <c r="U460" s="34"/>
      <c r="V460" s="34"/>
      <c r="W460" s="34"/>
      <c r="X460" s="34"/>
      <c r="Y460" s="45"/>
      <c r="Z460" s="45"/>
      <c r="AA460" s="45"/>
      <c r="AB460" s="45"/>
      <c r="AC460" s="45"/>
      <c r="AD460" s="45"/>
      <c r="AE460" s="45"/>
      <c r="AF460" s="45"/>
      <c r="AG460" s="45"/>
      <c r="AH460" s="45"/>
      <c r="AI460" s="45"/>
      <c r="AJ460" s="45"/>
      <c r="AK460" s="45"/>
      <c r="AL460" s="45"/>
    </row>
    <row r="461" ht="15.75" customHeight="1">
      <c r="A461" s="27">
        <f t="shared" si="8"/>
        <v>146</v>
      </c>
      <c r="B461" s="28" t="s">
        <v>1705</v>
      </c>
      <c r="C461" s="29" t="s">
        <v>1702</v>
      </c>
      <c r="D461" s="30" t="s">
        <v>1706</v>
      </c>
      <c r="E461" s="28" t="s">
        <v>28</v>
      </c>
      <c r="F461" s="28" t="s">
        <v>29</v>
      </c>
      <c r="G461" s="28" t="s">
        <v>37</v>
      </c>
      <c r="H461" s="28"/>
      <c r="I461" s="28" t="s">
        <v>38</v>
      </c>
      <c r="J461" s="28">
        <v>547.0</v>
      </c>
      <c r="K461" s="28"/>
      <c r="L461" s="28" t="s">
        <v>1704</v>
      </c>
      <c r="M461" s="28" t="s">
        <v>230</v>
      </c>
      <c r="N461" s="28">
        <v>2003.0</v>
      </c>
      <c r="O461" s="31">
        <v>6.0</v>
      </c>
      <c r="P461" s="28">
        <v>1.0</v>
      </c>
      <c r="Q461" s="32">
        <v>1.0</v>
      </c>
      <c r="R461" s="33"/>
      <c r="S461" s="34"/>
      <c r="T461" s="34"/>
      <c r="U461" s="34"/>
      <c r="V461" s="34"/>
      <c r="W461" s="34"/>
      <c r="X461" s="34"/>
      <c r="Y461" s="45"/>
      <c r="Z461" s="45"/>
      <c r="AA461" s="45"/>
      <c r="AB461" s="45"/>
      <c r="AC461" s="45"/>
      <c r="AD461" s="45"/>
      <c r="AE461" s="45"/>
      <c r="AF461" s="45"/>
      <c r="AG461" s="45"/>
      <c r="AH461" s="45"/>
      <c r="AI461" s="45"/>
      <c r="AJ461" s="45"/>
      <c r="AK461" s="45"/>
      <c r="AL461" s="45"/>
    </row>
    <row r="462" ht="15.75" customHeight="1">
      <c r="A462" s="27">
        <f t="shared" si="8"/>
        <v>147</v>
      </c>
      <c r="B462" s="28" t="s">
        <v>1707</v>
      </c>
      <c r="C462" s="29" t="s">
        <v>1708</v>
      </c>
      <c r="D462" s="39" t="s">
        <v>1709</v>
      </c>
      <c r="E462" s="28" t="s">
        <v>28</v>
      </c>
      <c r="F462" s="28" t="s">
        <v>29</v>
      </c>
      <c r="G462" s="28" t="s">
        <v>37</v>
      </c>
      <c r="H462" s="28"/>
      <c r="I462" s="28" t="s">
        <v>38</v>
      </c>
      <c r="J462" s="28">
        <v>559.0</v>
      </c>
      <c r="K462" s="28"/>
      <c r="L462" s="28" t="s">
        <v>1453</v>
      </c>
      <c r="M462" s="28" t="s">
        <v>178</v>
      </c>
      <c r="N462" s="28">
        <v>1993.0</v>
      </c>
      <c r="O462" s="31">
        <v>6.0</v>
      </c>
      <c r="P462" s="28">
        <v>1.0</v>
      </c>
      <c r="Q462" s="32">
        <v>1.0</v>
      </c>
      <c r="R462" s="33"/>
      <c r="S462" s="34"/>
      <c r="T462" s="34"/>
      <c r="U462" s="34"/>
      <c r="V462" s="34"/>
      <c r="W462" s="34"/>
      <c r="X462" s="34"/>
      <c r="Y462" s="45"/>
      <c r="Z462" s="45"/>
      <c r="AA462" s="45"/>
      <c r="AB462" s="45"/>
      <c r="AC462" s="45"/>
      <c r="AD462" s="45"/>
      <c r="AE462" s="45"/>
      <c r="AF462" s="45"/>
      <c r="AG462" s="45"/>
      <c r="AH462" s="45"/>
      <c r="AI462" s="45"/>
      <c r="AJ462" s="45"/>
      <c r="AK462" s="45"/>
      <c r="AL462" s="45"/>
    </row>
    <row r="463" ht="15.75" customHeight="1">
      <c r="A463" s="27">
        <f t="shared" si="8"/>
        <v>148</v>
      </c>
      <c r="B463" s="28" t="s">
        <v>1710</v>
      </c>
      <c r="C463" s="29" t="s">
        <v>1708</v>
      </c>
      <c r="D463" s="39" t="s">
        <v>1711</v>
      </c>
      <c r="E463" s="28" t="s">
        <v>28</v>
      </c>
      <c r="F463" s="28" t="s">
        <v>29</v>
      </c>
      <c r="G463" s="28" t="s">
        <v>37</v>
      </c>
      <c r="H463" s="28"/>
      <c r="I463" s="28" t="s">
        <v>38</v>
      </c>
      <c r="J463" s="28">
        <v>588.0</v>
      </c>
      <c r="K463" s="28"/>
      <c r="L463" s="28" t="s">
        <v>1453</v>
      </c>
      <c r="M463" s="28" t="s">
        <v>178</v>
      </c>
      <c r="N463" s="28">
        <v>1993.0</v>
      </c>
      <c r="O463" s="31">
        <v>6.0</v>
      </c>
      <c r="P463" s="28">
        <v>1.0</v>
      </c>
      <c r="Q463" s="32">
        <v>1.0</v>
      </c>
      <c r="R463" s="33"/>
      <c r="S463" s="40"/>
      <c r="T463" s="40"/>
      <c r="U463" s="40"/>
      <c r="V463" s="40"/>
      <c r="W463" s="40"/>
      <c r="X463" s="40"/>
      <c r="Y463" s="45"/>
      <c r="Z463" s="45"/>
      <c r="AA463" s="45"/>
      <c r="AB463" s="45"/>
      <c r="AC463" s="45"/>
      <c r="AD463" s="45"/>
      <c r="AE463" s="45"/>
      <c r="AF463" s="45"/>
      <c r="AG463" s="45"/>
      <c r="AH463" s="45"/>
      <c r="AI463" s="45"/>
      <c r="AJ463" s="45"/>
      <c r="AK463" s="45"/>
      <c r="AL463" s="45"/>
    </row>
    <row r="464" ht="15.75" customHeight="1">
      <c r="A464" s="27">
        <f t="shared" si="8"/>
        <v>149</v>
      </c>
      <c r="B464" s="28" t="s">
        <v>1712</v>
      </c>
      <c r="C464" s="43" t="s">
        <v>1713</v>
      </c>
      <c r="D464" s="30" t="s">
        <v>1714</v>
      </c>
      <c r="E464" s="28" t="s">
        <v>28</v>
      </c>
      <c r="F464" s="28" t="s">
        <v>29</v>
      </c>
      <c r="G464" s="28" t="s">
        <v>37</v>
      </c>
      <c r="H464" s="28" t="s">
        <v>31</v>
      </c>
      <c r="I464" s="28" t="s">
        <v>38</v>
      </c>
      <c r="J464" s="28">
        <v>492.0</v>
      </c>
      <c r="K464" s="28"/>
      <c r="L464" s="31" t="s">
        <v>492</v>
      </c>
      <c r="M464" s="28" t="s">
        <v>250</v>
      </c>
      <c r="N464" s="28">
        <v>1975.0</v>
      </c>
      <c r="O464" s="31" t="s">
        <v>494</v>
      </c>
      <c r="P464" s="28">
        <v>1.0</v>
      </c>
      <c r="Q464" s="37">
        <v>1.0</v>
      </c>
      <c r="R464" s="33"/>
      <c r="S464" s="40"/>
      <c r="T464" s="40"/>
      <c r="U464" s="40"/>
      <c r="V464" s="40"/>
      <c r="W464" s="40"/>
      <c r="X464" s="40"/>
      <c r="Y464" s="45"/>
      <c r="Z464" s="45"/>
      <c r="AA464" s="45"/>
      <c r="AB464" s="45"/>
      <c r="AC464" s="45"/>
      <c r="AD464" s="45"/>
      <c r="AE464" s="45"/>
      <c r="AF464" s="45"/>
      <c r="AG464" s="45"/>
      <c r="AH464" s="45"/>
      <c r="AI464" s="45"/>
      <c r="AJ464" s="45"/>
      <c r="AK464" s="45"/>
      <c r="AL464" s="45"/>
    </row>
    <row r="465" ht="15.75" customHeight="1">
      <c r="A465" s="27">
        <f t="shared" si="8"/>
        <v>150</v>
      </c>
      <c r="B465" s="28" t="s">
        <v>31</v>
      </c>
      <c r="C465" s="29" t="s">
        <v>1715</v>
      </c>
      <c r="D465" s="39" t="s">
        <v>1716</v>
      </c>
      <c r="E465" s="28" t="s">
        <v>28</v>
      </c>
      <c r="F465" s="28" t="s">
        <v>29</v>
      </c>
      <c r="G465" s="28" t="s">
        <v>131</v>
      </c>
      <c r="H465" s="28"/>
      <c r="I465" s="28" t="s">
        <v>131</v>
      </c>
      <c r="J465" s="28">
        <v>1285.0</v>
      </c>
      <c r="K465" s="28"/>
      <c r="L465" s="31" t="s">
        <v>1717</v>
      </c>
      <c r="M465" s="28" t="s">
        <v>1544</v>
      </c>
      <c r="N465" s="28">
        <v>1969.0</v>
      </c>
      <c r="O465" s="31" t="s">
        <v>89</v>
      </c>
      <c r="P465" s="28">
        <v>1.0</v>
      </c>
      <c r="Q465" s="32">
        <v>1.0</v>
      </c>
      <c r="R465" s="33"/>
      <c r="S465" s="40"/>
      <c r="T465" s="40"/>
      <c r="U465" s="40"/>
      <c r="V465" s="40"/>
      <c r="W465" s="40"/>
      <c r="X465" s="40"/>
      <c r="Y465" s="45"/>
      <c r="Z465" s="45"/>
      <c r="AA465" s="45"/>
      <c r="AB465" s="45"/>
      <c r="AC465" s="45"/>
      <c r="AD465" s="45"/>
      <c r="AE465" s="45"/>
      <c r="AF465" s="45"/>
      <c r="AG465" s="45"/>
      <c r="AH465" s="45"/>
      <c r="AI465" s="45"/>
      <c r="AJ465" s="45"/>
      <c r="AK465" s="45"/>
      <c r="AL465" s="45"/>
    </row>
    <row r="466" ht="15.75" customHeight="1">
      <c r="A466" s="27">
        <f t="shared" si="8"/>
        <v>151</v>
      </c>
      <c r="B466" s="28" t="s">
        <v>31</v>
      </c>
      <c r="C466" s="29" t="s">
        <v>1715</v>
      </c>
      <c r="D466" s="39" t="s">
        <v>1718</v>
      </c>
      <c r="E466" s="28" t="s">
        <v>28</v>
      </c>
      <c r="F466" s="28" t="s">
        <v>29</v>
      </c>
      <c r="G466" s="28" t="s">
        <v>131</v>
      </c>
      <c r="H466" s="28"/>
      <c r="I466" s="28" t="s">
        <v>131</v>
      </c>
      <c r="J466" s="28">
        <v>578.0</v>
      </c>
      <c r="K466" s="28"/>
      <c r="L466" s="31" t="s">
        <v>1717</v>
      </c>
      <c r="M466" s="28" t="s">
        <v>1544</v>
      </c>
      <c r="N466" s="28">
        <v>1969.0</v>
      </c>
      <c r="O466" s="31" t="s">
        <v>89</v>
      </c>
      <c r="P466" s="28">
        <v>1.0</v>
      </c>
      <c r="Q466" s="32">
        <v>1.0</v>
      </c>
      <c r="R466" s="33"/>
      <c r="S466" s="34"/>
      <c r="T466" s="34"/>
      <c r="U466" s="34"/>
      <c r="V466" s="34"/>
      <c r="W466" s="34"/>
      <c r="X466" s="34"/>
      <c r="Y466" s="45"/>
      <c r="Z466" s="45"/>
      <c r="AA466" s="45"/>
      <c r="AB466" s="45"/>
      <c r="AC466" s="45"/>
      <c r="AD466" s="45"/>
      <c r="AE466" s="45"/>
      <c r="AF466" s="45"/>
      <c r="AG466" s="45"/>
      <c r="AH466" s="45"/>
      <c r="AI466" s="45"/>
      <c r="AJ466" s="45"/>
      <c r="AK466" s="45"/>
      <c r="AL466" s="45"/>
    </row>
    <row r="467" ht="15.75" customHeight="1">
      <c r="A467" s="27">
        <f t="shared" si="8"/>
        <v>152</v>
      </c>
      <c r="B467" s="28" t="s">
        <v>1719</v>
      </c>
      <c r="C467" s="29" t="s">
        <v>1720</v>
      </c>
      <c r="D467" s="39" t="s">
        <v>1721</v>
      </c>
      <c r="E467" s="28" t="s">
        <v>28</v>
      </c>
      <c r="F467" s="28" t="s">
        <v>29</v>
      </c>
      <c r="G467" s="28" t="s">
        <v>37</v>
      </c>
      <c r="H467" s="28"/>
      <c r="I467" s="28" t="s">
        <v>38</v>
      </c>
      <c r="J467" s="31">
        <v>556.0</v>
      </c>
      <c r="K467" s="28"/>
      <c r="L467" s="31" t="s">
        <v>1722</v>
      </c>
      <c r="M467" s="28" t="s">
        <v>178</v>
      </c>
      <c r="N467" s="28">
        <v>2005.0</v>
      </c>
      <c r="O467" s="31">
        <v>4.0</v>
      </c>
      <c r="P467" s="28">
        <v>1.0</v>
      </c>
      <c r="Q467" s="32">
        <v>1.0</v>
      </c>
      <c r="R467" s="33"/>
      <c r="S467" s="34"/>
      <c r="T467" s="34"/>
      <c r="U467" s="34"/>
      <c r="V467" s="34"/>
      <c r="W467" s="34"/>
      <c r="X467" s="34"/>
      <c r="Y467" s="45"/>
      <c r="Z467" s="45"/>
      <c r="AA467" s="45"/>
      <c r="AB467" s="45"/>
      <c r="AC467" s="45"/>
      <c r="AD467" s="45"/>
      <c r="AE467" s="45"/>
      <c r="AF467" s="45"/>
      <c r="AG467" s="45"/>
      <c r="AH467" s="45"/>
      <c r="AI467" s="45"/>
      <c r="AJ467" s="45"/>
      <c r="AK467" s="45"/>
      <c r="AL467" s="45"/>
    </row>
    <row r="468" ht="15.75" customHeight="1">
      <c r="A468" s="27">
        <f t="shared" si="8"/>
        <v>153</v>
      </c>
      <c r="B468" s="28" t="s">
        <v>31</v>
      </c>
      <c r="C468" s="29" t="s">
        <v>1723</v>
      </c>
      <c r="D468" s="39" t="s">
        <v>1724</v>
      </c>
      <c r="E468" s="28" t="s">
        <v>28</v>
      </c>
      <c r="F468" s="28" t="s">
        <v>29</v>
      </c>
      <c r="G468" s="28" t="s">
        <v>37</v>
      </c>
      <c r="H468" s="28"/>
      <c r="I468" s="28" t="s">
        <v>38</v>
      </c>
      <c r="J468" s="28">
        <v>329.0</v>
      </c>
      <c r="K468" s="28"/>
      <c r="L468" s="31" t="s">
        <v>1725</v>
      </c>
      <c r="M468" s="28" t="s">
        <v>188</v>
      </c>
      <c r="N468" s="28">
        <v>1965.0</v>
      </c>
      <c r="O468" s="31">
        <v>6.0</v>
      </c>
      <c r="P468" s="28">
        <v>1.0</v>
      </c>
      <c r="Q468" s="32">
        <v>1.0</v>
      </c>
      <c r="R468" s="33"/>
      <c r="S468" s="34"/>
      <c r="T468" s="34"/>
      <c r="U468" s="34"/>
      <c r="V468" s="34"/>
      <c r="W468" s="34"/>
      <c r="X468" s="34"/>
      <c r="Y468" s="45"/>
      <c r="Z468" s="45"/>
      <c r="AA468" s="45"/>
      <c r="AB468" s="45"/>
      <c r="AC468" s="45"/>
      <c r="AD468" s="45"/>
      <c r="AE468" s="45"/>
      <c r="AF468" s="45"/>
      <c r="AG468" s="45"/>
      <c r="AH468" s="45"/>
      <c r="AI468" s="45"/>
      <c r="AJ468" s="45"/>
      <c r="AK468" s="45"/>
      <c r="AL468" s="45"/>
    </row>
    <row r="469" ht="15.75" customHeight="1">
      <c r="A469" s="27">
        <f t="shared" si="8"/>
        <v>154</v>
      </c>
      <c r="B469" s="28" t="s">
        <v>1726</v>
      </c>
      <c r="C469" s="29" t="s">
        <v>1727</v>
      </c>
      <c r="D469" s="39" t="s">
        <v>1728</v>
      </c>
      <c r="E469" s="28" t="s">
        <v>28</v>
      </c>
      <c r="F469" s="28" t="s">
        <v>29</v>
      </c>
      <c r="G469" s="28" t="s">
        <v>37</v>
      </c>
      <c r="H469" s="28"/>
      <c r="I469" s="28" t="s">
        <v>38</v>
      </c>
      <c r="J469" s="28">
        <v>375.0</v>
      </c>
      <c r="K469" s="28"/>
      <c r="L469" s="28" t="s">
        <v>1729</v>
      </c>
      <c r="M469" s="28" t="s">
        <v>335</v>
      </c>
      <c r="N469" s="28">
        <v>1983.0</v>
      </c>
      <c r="O469" s="31">
        <v>6.0</v>
      </c>
      <c r="P469" s="28">
        <v>1.0</v>
      </c>
      <c r="Q469" s="32">
        <v>1.0</v>
      </c>
      <c r="R469" s="33"/>
      <c r="S469" s="34"/>
      <c r="T469" s="34"/>
      <c r="U469" s="34"/>
      <c r="V469" s="34"/>
      <c r="W469" s="34"/>
      <c r="X469" s="34"/>
      <c r="Y469" s="45"/>
      <c r="Z469" s="45"/>
      <c r="AA469" s="45"/>
      <c r="AB469" s="45"/>
      <c r="AC469" s="45"/>
      <c r="AD469" s="45"/>
      <c r="AE469" s="45"/>
      <c r="AF469" s="45"/>
      <c r="AG469" s="45"/>
      <c r="AH469" s="45"/>
      <c r="AI469" s="45"/>
      <c r="AJ469" s="45"/>
      <c r="AK469" s="45"/>
      <c r="AL469" s="45"/>
    </row>
    <row r="470" ht="15.75" customHeight="1">
      <c r="A470" s="27">
        <f t="shared" si="8"/>
        <v>155</v>
      </c>
      <c r="B470" s="28" t="s">
        <v>31</v>
      </c>
      <c r="C470" s="29" t="s">
        <v>1730</v>
      </c>
      <c r="D470" s="39" t="s">
        <v>1731</v>
      </c>
      <c r="E470" s="28" t="s">
        <v>28</v>
      </c>
      <c r="F470" s="28" t="s">
        <v>29</v>
      </c>
      <c r="G470" s="28" t="s">
        <v>37</v>
      </c>
      <c r="H470" s="28"/>
      <c r="I470" s="28" t="s">
        <v>38</v>
      </c>
      <c r="J470" s="28">
        <v>572.0</v>
      </c>
      <c r="K470" s="28"/>
      <c r="L470" s="31" t="s">
        <v>1732</v>
      </c>
      <c r="M470" s="28" t="s">
        <v>507</v>
      </c>
      <c r="N470" s="28">
        <v>1951.0</v>
      </c>
      <c r="O470" s="31">
        <v>5.0</v>
      </c>
      <c r="P470" s="28">
        <v>1.0</v>
      </c>
      <c r="Q470" s="32">
        <v>1.0</v>
      </c>
      <c r="R470" s="33"/>
      <c r="S470" s="40"/>
      <c r="T470" s="40"/>
      <c r="U470" s="40"/>
      <c r="V470" s="40"/>
      <c r="W470" s="40"/>
      <c r="X470" s="40"/>
      <c r="Y470" s="45"/>
      <c r="Z470" s="45"/>
      <c r="AA470" s="45"/>
      <c r="AB470" s="45"/>
      <c r="AC470" s="45"/>
      <c r="AD470" s="45"/>
      <c r="AE470" s="45"/>
      <c r="AF470" s="45"/>
      <c r="AG470" s="45"/>
      <c r="AH470" s="45"/>
      <c r="AI470" s="45"/>
      <c r="AJ470" s="45"/>
      <c r="AK470" s="45"/>
      <c r="AL470" s="45"/>
    </row>
    <row r="471" ht="15.75" customHeight="1">
      <c r="A471" s="27">
        <f>A474+1</f>
        <v>157</v>
      </c>
      <c r="B471" s="28" t="s">
        <v>1733</v>
      </c>
      <c r="C471" s="29" t="s">
        <v>1371</v>
      </c>
      <c r="D471" s="30" t="s">
        <v>1734</v>
      </c>
      <c r="E471" s="28" t="s">
        <v>223</v>
      </c>
      <c r="F471" s="28" t="s">
        <v>29</v>
      </c>
      <c r="G471" s="28" t="s">
        <v>37</v>
      </c>
      <c r="H471" s="28"/>
      <c r="I471" s="28" t="s">
        <v>38</v>
      </c>
      <c r="J471" s="28">
        <v>1230.0</v>
      </c>
      <c r="K471" s="28"/>
      <c r="L471" s="31" t="s">
        <v>224</v>
      </c>
      <c r="M471" s="28" t="s">
        <v>54</v>
      </c>
      <c r="N471" s="28">
        <v>1991.0</v>
      </c>
      <c r="O471" s="31">
        <v>5.0</v>
      </c>
      <c r="P471" s="28">
        <v>1.0</v>
      </c>
      <c r="Q471" s="37">
        <v>1.0</v>
      </c>
      <c r="R471" s="33"/>
      <c r="S471" s="34"/>
      <c r="T471" s="34"/>
      <c r="U471" s="34"/>
      <c r="V471" s="34"/>
      <c r="W471" s="34"/>
      <c r="X471" s="34"/>
      <c r="Y471" s="45"/>
      <c r="Z471" s="45"/>
      <c r="AA471" s="45"/>
      <c r="AB471" s="45"/>
      <c r="AC471" s="45"/>
      <c r="AD471" s="45"/>
      <c r="AE471" s="45"/>
      <c r="AF471" s="45"/>
      <c r="AG471" s="45"/>
      <c r="AH471" s="45"/>
      <c r="AI471" s="45"/>
      <c r="AJ471" s="45"/>
      <c r="AK471" s="45"/>
      <c r="AL471" s="45"/>
    </row>
    <row r="472" ht="15.75" customHeight="1">
      <c r="A472" s="27">
        <f t="shared" ref="A472:A473" si="9">A471+1</f>
        <v>158</v>
      </c>
      <c r="B472" s="28" t="s">
        <v>1735</v>
      </c>
      <c r="C472" s="29" t="s">
        <v>1736</v>
      </c>
      <c r="D472" s="39" t="s">
        <v>1737</v>
      </c>
      <c r="E472" s="28" t="s">
        <v>28</v>
      </c>
      <c r="F472" s="28" t="s">
        <v>29</v>
      </c>
      <c r="G472" s="28" t="s">
        <v>38</v>
      </c>
      <c r="H472" s="28" t="s">
        <v>31</v>
      </c>
      <c r="I472" s="28" t="s">
        <v>38</v>
      </c>
      <c r="J472" s="28">
        <v>437.0</v>
      </c>
      <c r="K472" s="28"/>
      <c r="L472" s="31" t="s">
        <v>1738</v>
      </c>
      <c r="M472" s="28" t="s">
        <v>230</v>
      </c>
      <c r="N472" s="28">
        <v>1980.0</v>
      </c>
      <c r="O472" s="31">
        <v>6.0</v>
      </c>
      <c r="P472" s="28">
        <v>1.0</v>
      </c>
      <c r="Q472" s="32">
        <v>1.0</v>
      </c>
      <c r="R472" s="33"/>
      <c r="S472" s="34"/>
      <c r="T472" s="34"/>
      <c r="U472" s="34"/>
      <c r="V472" s="34"/>
      <c r="W472" s="34"/>
      <c r="X472" s="34"/>
      <c r="Y472" s="45"/>
      <c r="Z472" s="45"/>
      <c r="AA472" s="45"/>
      <c r="AB472" s="45"/>
      <c r="AC472" s="45"/>
      <c r="AD472" s="45"/>
      <c r="AE472" s="45"/>
      <c r="AF472" s="45"/>
      <c r="AG472" s="45"/>
      <c r="AH472" s="45"/>
      <c r="AI472" s="45"/>
      <c r="AJ472" s="45"/>
      <c r="AK472" s="45"/>
      <c r="AL472" s="45"/>
    </row>
    <row r="473" ht="15.75" customHeight="1">
      <c r="A473" s="27">
        <f t="shared" si="9"/>
        <v>159</v>
      </c>
      <c r="B473" s="28" t="s">
        <v>1739</v>
      </c>
      <c r="C473" s="29" t="s">
        <v>1736</v>
      </c>
      <c r="D473" s="39" t="s">
        <v>1740</v>
      </c>
      <c r="E473" s="28" t="s">
        <v>28</v>
      </c>
      <c r="F473" s="28" t="s">
        <v>29</v>
      </c>
      <c r="G473" s="28" t="s">
        <v>38</v>
      </c>
      <c r="H473" s="28" t="s">
        <v>31</v>
      </c>
      <c r="I473" s="28" t="s">
        <v>38</v>
      </c>
      <c r="J473" s="28">
        <v>527.0</v>
      </c>
      <c r="K473" s="28"/>
      <c r="L473" s="31" t="s">
        <v>1738</v>
      </c>
      <c r="M473" s="28" t="s">
        <v>230</v>
      </c>
      <c r="N473" s="28">
        <v>1980.0</v>
      </c>
      <c r="O473" s="31">
        <v>6.0</v>
      </c>
      <c r="P473" s="28">
        <v>1.0</v>
      </c>
      <c r="Q473" s="32">
        <v>1.0</v>
      </c>
      <c r="R473" s="33"/>
      <c r="S473" s="40"/>
      <c r="T473" s="40"/>
      <c r="U473" s="40"/>
      <c r="V473" s="40"/>
      <c r="W473" s="40"/>
      <c r="X473" s="40"/>
      <c r="Y473" s="45"/>
      <c r="Z473" s="45"/>
      <c r="AA473" s="45"/>
      <c r="AB473" s="45"/>
      <c r="AC473" s="45"/>
      <c r="AD473" s="45"/>
      <c r="AE473" s="45"/>
      <c r="AF473" s="45"/>
      <c r="AG473" s="45"/>
      <c r="AH473" s="45"/>
      <c r="AI473" s="45"/>
      <c r="AJ473" s="45"/>
      <c r="AK473" s="45"/>
      <c r="AL473" s="45"/>
    </row>
    <row r="474" ht="15.75" customHeight="1">
      <c r="A474" s="27">
        <f>A470+1</f>
        <v>156</v>
      </c>
      <c r="B474" s="28" t="s">
        <v>31</v>
      </c>
      <c r="C474" s="29" t="s">
        <v>1730</v>
      </c>
      <c r="D474" s="39" t="s">
        <v>1741</v>
      </c>
      <c r="E474" s="28" t="s">
        <v>28</v>
      </c>
      <c r="F474" s="28" t="s">
        <v>29</v>
      </c>
      <c r="G474" s="28" t="s">
        <v>37</v>
      </c>
      <c r="H474" s="28"/>
      <c r="I474" s="28" t="s">
        <v>38</v>
      </c>
      <c r="J474" s="28">
        <v>422.0</v>
      </c>
      <c r="K474" s="28"/>
      <c r="L474" s="31" t="s">
        <v>1732</v>
      </c>
      <c r="M474" s="28" t="s">
        <v>507</v>
      </c>
      <c r="N474" s="28">
        <v>1952.0</v>
      </c>
      <c r="O474" s="31">
        <v>5.0</v>
      </c>
      <c r="P474" s="28">
        <v>1.0</v>
      </c>
      <c r="Q474" s="32">
        <v>1.0</v>
      </c>
      <c r="R474" s="33"/>
      <c r="S474" s="40"/>
      <c r="T474" s="40"/>
      <c r="U474" s="40"/>
      <c r="V474" s="40"/>
      <c r="W474" s="40"/>
      <c r="X474" s="40"/>
      <c r="Y474" s="45"/>
      <c r="Z474" s="45"/>
      <c r="AA474" s="45"/>
      <c r="AB474" s="45"/>
      <c r="AC474" s="45"/>
      <c r="AD474" s="45"/>
      <c r="AE474" s="45"/>
      <c r="AF474" s="45"/>
      <c r="AG474" s="45"/>
      <c r="AH474" s="45"/>
      <c r="AI474" s="45"/>
      <c r="AJ474" s="45"/>
      <c r="AK474" s="45"/>
      <c r="AL474" s="45"/>
    </row>
    <row r="475" ht="15.75" customHeight="1">
      <c r="A475" s="27">
        <f>A473+1</f>
        <v>160</v>
      </c>
      <c r="B475" s="31" t="s">
        <v>1742</v>
      </c>
      <c r="C475" s="29" t="s">
        <v>1743</v>
      </c>
      <c r="D475" s="39" t="s">
        <v>1744</v>
      </c>
      <c r="E475" s="28" t="s">
        <v>28</v>
      </c>
      <c r="F475" s="28" t="s">
        <v>29</v>
      </c>
      <c r="G475" s="28" t="s">
        <v>37</v>
      </c>
      <c r="H475" s="28"/>
      <c r="I475" s="28" t="s">
        <v>38</v>
      </c>
      <c r="J475" s="31">
        <v>518.0</v>
      </c>
      <c r="K475" s="28"/>
      <c r="L475" s="28" t="s">
        <v>1745</v>
      </c>
      <c r="M475" s="28" t="s">
        <v>1746</v>
      </c>
      <c r="N475" s="31">
        <v>2007.0</v>
      </c>
      <c r="O475" s="31" t="s">
        <v>1381</v>
      </c>
      <c r="P475" s="28">
        <v>1.0</v>
      </c>
      <c r="Q475" s="32">
        <v>1.0</v>
      </c>
      <c r="R475" s="33"/>
      <c r="S475" s="34"/>
      <c r="T475" s="34"/>
      <c r="U475" s="34"/>
      <c r="V475" s="34"/>
      <c r="W475" s="34"/>
      <c r="X475" s="34"/>
      <c r="Y475" s="45"/>
      <c r="Z475" s="45"/>
      <c r="AA475" s="45"/>
      <c r="AB475" s="45"/>
      <c r="AC475" s="45"/>
      <c r="AD475" s="45"/>
      <c r="AE475" s="45"/>
      <c r="AF475" s="45"/>
      <c r="AG475" s="45"/>
      <c r="AH475" s="45"/>
      <c r="AI475" s="45"/>
      <c r="AJ475" s="45"/>
      <c r="AK475" s="45"/>
      <c r="AL475" s="45"/>
    </row>
    <row r="476" ht="15.75" customHeight="1">
      <c r="A476" s="27">
        <f t="shared" ref="A476:A520" si="10">A475+1</f>
        <v>161</v>
      </c>
      <c r="B476" s="28" t="s">
        <v>1747</v>
      </c>
      <c r="C476" s="29" t="s">
        <v>1748</v>
      </c>
      <c r="D476" s="39" t="s">
        <v>1749</v>
      </c>
      <c r="E476" s="28" t="s">
        <v>28</v>
      </c>
      <c r="F476" s="28" t="s">
        <v>29</v>
      </c>
      <c r="G476" s="28" t="s">
        <v>234</v>
      </c>
      <c r="H476" s="28"/>
      <c r="I476" s="28" t="s">
        <v>38</v>
      </c>
      <c r="J476" s="28">
        <v>423.0</v>
      </c>
      <c r="K476" s="28"/>
      <c r="L476" s="28" t="s">
        <v>1750</v>
      </c>
      <c r="M476" s="28" t="s">
        <v>236</v>
      </c>
      <c r="N476" s="28">
        <v>2002.0</v>
      </c>
      <c r="O476" s="31">
        <v>6.0</v>
      </c>
      <c r="P476" s="28">
        <v>2.0</v>
      </c>
      <c r="Q476" s="32">
        <v>2.0</v>
      </c>
      <c r="R476" s="33"/>
      <c r="S476" s="34"/>
      <c r="T476" s="34"/>
      <c r="U476" s="34"/>
      <c r="V476" s="34"/>
      <c r="W476" s="34"/>
      <c r="X476" s="34"/>
      <c r="Y476" s="45"/>
      <c r="Z476" s="45"/>
      <c r="AA476" s="45"/>
      <c r="AB476" s="45"/>
      <c r="AC476" s="45"/>
      <c r="AD476" s="45"/>
      <c r="AE476" s="45"/>
      <c r="AF476" s="45"/>
      <c r="AG476" s="45"/>
      <c r="AH476" s="45"/>
      <c r="AI476" s="45"/>
      <c r="AJ476" s="45"/>
      <c r="AK476" s="45"/>
      <c r="AL476" s="45"/>
    </row>
    <row r="477" ht="15.75" customHeight="1">
      <c r="A477" s="27">
        <f t="shared" si="10"/>
        <v>162</v>
      </c>
      <c r="B477" s="28" t="s">
        <v>1751</v>
      </c>
      <c r="C477" s="29" t="s">
        <v>1752</v>
      </c>
      <c r="D477" s="30" t="s">
        <v>1753</v>
      </c>
      <c r="E477" s="28" t="s">
        <v>28</v>
      </c>
      <c r="F477" s="28" t="s">
        <v>29</v>
      </c>
      <c r="G477" s="28" t="s">
        <v>37</v>
      </c>
      <c r="H477" s="28" t="s">
        <v>31</v>
      </c>
      <c r="I477" s="28" t="s">
        <v>38</v>
      </c>
      <c r="J477" s="31">
        <v>178.0</v>
      </c>
      <c r="K477" s="28"/>
      <c r="L477" s="31" t="s">
        <v>1754</v>
      </c>
      <c r="M477" s="28" t="s">
        <v>961</v>
      </c>
      <c r="N477" s="28">
        <v>1942.0</v>
      </c>
      <c r="O477" s="31">
        <v>6.0</v>
      </c>
      <c r="P477" s="28">
        <v>2.0</v>
      </c>
      <c r="Q477" s="32">
        <v>2.0</v>
      </c>
      <c r="R477" s="33"/>
      <c r="S477" s="34"/>
      <c r="T477" s="34"/>
      <c r="U477" s="34"/>
      <c r="V477" s="34"/>
      <c r="W477" s="34"/>
      <c r="X477" s="34"/>
      <c r="Y477" s="45"/>
      <c r="Z477" s="45"/>
      <c r="AA477" s="45"/>
      <c r="AB477" s="45"/>
      <c r="AC477" s="45"/>
      <c r="AD477" s="45"/>
      <c r="AE477" s="45"/>
      <c r="AF477" s="45"/>
      <c r="AG477" s="45"/>
      <c r="AH477" s="45"/>
      <c r="AI477" s="45"/>
      <c r="AJ477" s="45"/>
      <c r="AK477" s="45"/>
      <c r="AL477" s="45"/>
    </row>
    <row r="478" ht="15.75" customHeight="1">
      <c r="A478" s="27">
        <f t="shared" si="10"/>
        <v>163</v>
      </c>
      <c r="B478" s="28" t="s">
        <v>1755</v>
      </c>
      <c r="C478" s="29" t="s">
        <v>1756</v>
      </c>
      <c r="D478" s="30" t="s">
        <v>1757</v>
      </c>
      <c r="E478" s="28" t="s">
        <v>28</v>
      </c>
      <c r="F478" s="28" t="s">
        <v>29</v>
      </c>
      <c r="G478" s="28" t="s">
        <v>37</v>
      </c>
      <c r="H478" s="28"/>
      <c r="I478" s="28" t="s">
        <v>38</v>
      </c>
      <c r="J478" s="28">
        <f>971+38</f>
        <v>1009</v>
      </c>
      <c r="K478" s="28"/>
      <c r="L478" s="31" t="s">
        <v>1393</v>
      </c>
      <c r="M478" s="28" t="s">
        <v>230</v>
      </c>
      <c r="N478" s="28">
        <v>2013.0</v>
      </c>
      <c r="O478" s="28" t="s">
        <v>388</v>
      </c>
      <c r="P478" s="28">
        <v>1.0</v>
      </c>
      <c r="Q478" s="32">
        <v>1.0</v>
      </c>
      <c r="R478" s="33"/>
      <c r="S478" s="34"/>
      <c r="T478" s="34"/>
      <c r="U478" s="34"/>
      <c r="V478" s="34"/>
      <c r="W478" s="34"/>
      <c r="X478" s="34"/>
      <c r="Y478" s="45"/>
      <c r="Z478" s="45"/>
      <c r="AA478" s="45"/>
      <c r="AB478" s="45"/>
      <c r="AC478" s="45"/>
      <c r="AD478" s="45"/>
      <c r="AE478" s="45"/>
      <c r="AF478" s="45"/>
      <c r="AG478" s="45"/>
      <c r="AH478" s="45"/>
      <c r="AI478" s="45"/>
      <c r="AJ478" s="45"/>
      <c r="AK478" s="45"/>
      <c r="AL478" s="45"/>
    </row>
    <row r="479" ht="15.75" customHeight="1">
      <c r="A479" s="27">
        <f t="shared" si="10"/>
        <v>164</v>
      </c>
      <c r="B479" s="28" t="s">
        <v>1758</v>
      </c>
      <c r="C479" s="29" t="s">
        <v>1759</v>
      </c>
      <c r="D479" s="39" t="s">
        <v>1760</v>
      </c>
      <c r="E479" s="28" t="s">
        <v>28</v>
      </c>
      <c r="F479" s="28" t="s">
        <v>29</v>
      </c>
      <c r="G479" s="28" t="s">
        <v>37</v>
      </c>
      <c r="H479" s="28" t="s">
        <v>31</v>
      </c>
      <c r="I479" s="28" t="s">
        <v>38</v>
      </c>
      <c r="J479" s="28">
        <v>591.0</v>
      </c>
      <c r="K479" s="28"/>
      <c r="L479" s="28" t="s">
        <v>1761</v>
      </c>
      <c r="M479" s="28" t="s">
        <v>230</v>
      </c>
      <c r="N479" s="28">
        <v>1988.0</v>
      </c>
      <c r="O479" s="31">
        <v>5.0</v>
      </c>
      <c r="P479" s="28">
        <v>1.0</v>
      </c>
      <c r="Q479" s="32">
        <v>1.0</v>
      </c>
      <c r="R479" s="33"/>
      <c r="S479" s="34"/>
      <c r="T479" s="34"/>
      <c r="U479" s="34"/>
      <c r="V479" s="34"/>
      <c r="W479" s="34"/>
      <c r="X479" s="34"/>
      <c r="Y479" s="45"/>
      <c r="Z479" s="45"/>
      <c r="AA479" s="45"/>
      <c r="AB479" s="45"/>
      <c r="AC479" s="45"/>
      <c r="AD479" s="45"/>
      <c r="AE479" s="45"/>
      <c r="AF479" s="45"/>
      <c r="AG479" s="45"/>
      <c r="AH479" s="45"/>
      <c r="AI479" s="45"/>
      <c r="AJ479" s="45"/>
      <c r="AK479" s="45"/>
      <c r="AL479" s="45"/>
    </row>
    <row r="480" ht="15.75" customHeight="1">
      <c r="A480" s="27">
        <f t="shared" si="10"/>
        <v>165</v>
      </c>
      <c r="B480" s="28" t="s">
        <v>1762</v>
      </c>
      <c r="C480" s="29" t="s">
        <v>1763</v>
      </c>
      <c r="D480" s="39" t="s">
        <v>1764</v>
      </c>
      <c r="E480" s="28" t="s">
        <v>28</v>
      </c>
      <c r="F480" s="28" t="s">
        <v>29</v>
      </c>
      <c r="G480" s="28" t="s">
        <v>38</v>
      </c>
      <c r="H480" s="28" t="s">
        <v>31</v>
      </c>
      <c r="I480" s="28" t="s">
        <v>38</v>
      </c>
      <c r="J480" s="28">
        <v>281.0</v>
      </c>
      <c r="K480" s="28"/>
      <c r="L480" s="31" t="s">
        <v>1765</v>
      </c>
      <c r="M480" s="28" t="s">
        <v>230</v>
      </c>
      <c r="N480" s="28">
        <v>1980.0</v>
      </c>
      <c r="O480" s="31">
        <v>6.0</v>
      </c>
      <c r="P480" s="28">
        <v>1.0</v>
      </c>
      <c r="Q480" s="32">
        <v>1.0</v>
      </c>
      <c r="R480" s="33"/>
      <c r="S480" s="34"/>
      <c r="T480" s="34"/>
      <c r="U480" s="34"/>
      <c r="V480" s="34"/>
      <c r="W480" s="34"/>
      <c r="X480" s="34"/>
      <c r="Y480" s="45"/>
      <c r="Z480" s="45"/>
      <c r="AA480" s="45"/>
      <c r="AB480" s="45"/>
      <c r="AC480" s="45"/>
      <c r="AD480" s="45"/>
      <c r="AE480" s="45"/>
      <c r="AF480" s="45"/>
      <c r="AG480" s="45"/>
      <c r="AH480" s="45"/>
      <c r="AI480" s="45"/>
      <c r="AJ480" s="45"/>
      <c r="AK480" s="45"/>
      <c r="AL480" s="45"/>
    </row>
    <row r="481" ht="15.75" customHeight="1">
      <c r="A481" s="27">
        <f t="shared" si="10"/>
        <v>166</v>
      </c>
      <c r="B481" s="28" t="s">
        <v>1766</v>
      </c>
      <c r="C481" s="29" t="s">
        <v>1767</v>
      </c>
      <c r="D481" s="30" t="s">
        <v>1768</v>
      </c>
      <c r="E481" s="28" t="s">
        <v>223</v>
      </c>
      <c r="F481" s="28" t="s">
        <v>29</v>
      </c>
      <c r="G481" s="28" t="s">
        <v>37</v>
      </c>
      <c r="H481" s="28"/>
      <c r="I481" s="28" t="s">
        <v>38</v>
      </c>
      <c r="J481" s="28">
        <v>815.0</v>
      </c>
      <c r="K481" s="28"/>
      <c r="L481" s="28" t="s">
        <v>1473</v>
      </c>
      <c r="M481" s="28" t="s">
        <v>54</v>
      </c>
      <c r="N481" s="28">
        <v>1992.0</v>
      </c>
      <c r="O481" s="31">
        <v>5.0</v>
      </c>
      <c r="P481" s="31">
        <v>3.0</v>
      </c>
      <c r="Q481" s="37">
        <v>3.0</v>
      </c>
      <c r="R481" s="33"/>
      <c r="S481" s="40"/>
      <c r="T481" s="40"/>
      <c r="U481" s="40"/>
      <c r="V481" s="40"/>
      <c r="W481" s="40"/>
      <c r="X481" s="40"/>
      <c r="Y481" s="45"/>
      <c r="Z481" s="45"/>
      <c r="AA481" s="45"/>
      <c r="AB481" s="45"/>
      <c r="AC481" s="45"/>
      <c r="AD481" s="45"/>
      <c r="AE481" s="45"/>
      <c r="AF481" s="45"/>
      <c r="AG481" s="45"/>
      <c r="AH481" s="45"/>
      <c r="AI481" s="45"/>
      <c r="AJ481" s="45"/>
      <c r="AK481" s="45"/>
      <c r="AL481" s="45"/>
    </row>
    <row r="482" ht="15.75" customHeight="1">
      <c r="A482" s="27">
        <f t="shared" si="10"/>
        <v>167</v>
      </c>
      <c r="B482" s="28" t="s">
        <v>1769</v>
      </c>
      <c r="C482" s="29" t="s">
        <v>1770</v>
      </c>
      <c r="D482" s="39" t="s">
        <v>1771</v>
      </c>
      <c r="E482" s="28" t="s">
        <v>28</v>
      </c>
      <c r="F482" s="28" t="s">
        <v>29</v>
      </c>
      <c r="G482" s="28" t="s">
        <v>30</v>
      </c>
      <c r="H482" s="28" t="s">
        <v>31</v>
      </c>
      <c r="I482" s="28" t="s">
        <v>30</v>
      </c>
      <c r="J482" s="28">
        <f>586</f>
        <v>586</v>
      </c>
      <c r="K482" s="28"/>
      <c r="L482" s="28" t="s">
        <v>1513</v>
      </c>
      <c r="M482" s="28" t="s">
        <v>1772</v>
      </c>
      <c r="N482" s="28">
        <v>1985.0</v>
      </c>
      <c r="O482" s="31">
        <v>5.0</v>
      </c>
      <c r="P482" s="28">
        <v>2.0</v>
      </c>
      <c r="Q482" s="32">
        <v>2.0</v>
      </c>
      <c r="R482" s="33"/>
      <c r="S482" s="34"/>
      <c r="T482" s="34"/>
      <c r="U482" s="34"/>
      <c r="V482" s="34"/>
      <c r="W482" s="34"/>
      <c r="X482" s="34"/>
      <c r="Y482" s="45"/>
      <c r="Z482" s="45"/>
      <c r="AA482" s="45"/>
      <c r="AB482" s="45"/>
      <c r="AC482" s="45"/>
      <c r="AD482" s="45"/>
      <c r="AE482" s="45"/>
      <c r="AF482" s="45"/>
      <c r="AG482" s="45"/>
      <c r="AH482" s="45"/>
      <c r="AI482" s="45"/>
      <c r="AJ482" s="45"/>
      <c r="AK482" s="45"/>
      <c r="AL482" s="45"/>
    </row>
    <row r="483" ht="15.75" customHeight="1">
      <c r="A483" s="27">
        <f t="shared" si="10"/>
        <v>168</v>
      </c>
      <c r="B483" s="28" t="s">
        <v>1773</v>
      </c>
      <c r="C483" s="29" t="s">
        <v>1774</v>
      </c>
      <c r="D483" s="39" t="s">
        <v>1775</v>
      </c>
      <c r="E483" s="28" t="s">
        <v>28</v>
      </c>
      <c r="F483" s="28" t="s">
        <v>29</v>
      </c>
      <c r="G483" s="28" t="s">
        <v>38</v>
      </c>
      <c r="H483" s="28" t="s">
        <v>31</v>
      </c>
      <c r="I483" s="28" t="s">
        <v>38</v>
      </c>
      <c r="J483" s="31">
        <v>240.0</v>
      </c>
      <c r="K483" s="28"/>
      <c r="L483" s="28" t="s">
        <v>1513</v>
      </c>
      <c r="M483" s="28" t="s">
        <v>83</v>
      </c>
      <c r="N483" s="28">
        <v>1975.0</v>
      </c>
      <c r="O483" s="31" t="s">
        <v>494</v>
      </c>
      <c r="P483" s="28">
        <v>1.0</v>
      </c>
      <c r="Q483" s="32">
        <v>1.0</v>
      </c>
      <c r="R483" s="33"/>
      <c r="S483" s="34"/>
      <c r="T483" s="34"/>
      <c r="U483" s="34"/>
      <c r="V483" s="34"/>
      <c r="W483" s="34"/>
      <c r="X483" s="34"/>
      <c r="Y483" s="3"/>
      <c r="Z483" s="3"/>
      <c r="AA483" s="3"/>
      <c r="AB483" s="3"/>
      <c r="AC483" s="3"/>
      <c r="AD483" s="3"/>
      <c r="AE483" s="3"/>
      <c r="AF483" s="3"/>
      <c r="AG483" s="3"/>
      <c r="AH483" s="3"/>
      <c r="AI483" s="3"/>
      <c r="AJ483" s="3"/>
      <c r="AK483" s="3"/>
      <c r="AL483" s="3"/>
    </row>
    <row r="484" ht="15.75" customHeight="1">
      <c r="A484" s="27">
        <f t="shared" si="10"/>
        <v>169</v>
      </c>
      <c r="B484" s="28" t="s">
        <v>1776</v>
      </c>
      <c r="C484" s="29" t="s">
        <v>1777</v>
      </c>
      <c r="D484" s="39" t="s">
        <v>1778</v>
      </c>
      <c r="E484" s="28" t="s">
        <v>28</v>
      </c>
      <c r="F484" s="28" t="s">
        <v>29</v>
      </c>
      <c r="G484" s="28" t="s">
        <v>234</v>
      </c>
      <c r="H484" s="28"/>
      <c r="I484" s="28" t="s">
        <v>38</v>
      </c>
      <c r="J484" s="28">
        <v>1539.0</v>
      </c>
      <c r="K484" s="28"/>
      <c r="L484" s="31" t="s">
        <v>1779</v>
      </c>
      <c r="M484" s="28" t="s">
        <v>236</v>
      </c>
      <c r="N484" s="28">
        <v>2011.0</v>
      </c>
      <c r="O484" s="31">
        <v>6.0</v>
      </c>
      <c r="P484" s="28">
        <v>1.0</v>
      </c>
      <c r="Q484" s="32">
        <v>1.0</v>
      </c>
      <c r="R484" s="33"/>
      <c r="S484" s="34"/>
      <c r="T484" s="34"/>
      <c r="U484" s="34"/>
      <c r="V484" s="34"/>
      <c r="W484" s="34"/>
      <c r="X484" s="34"/>
      <c r="Y484" s="45"/>
      <c r="Z484" s="45"/>
      <c r="AA484" s="45"/>
      <c r="AB484" s="45"/>
      <c r="AC484" s="45"/>
      <c r="AD484" s="45"/>
      <c r="AE484" s="45"/>
      <c r="AF484" s="45"/>
      <c r="AG484" s="45"/>
      <c r="AH484" s="45"/>
      <c r="AI484" s="45"/>
      <c r="AJ484" s="45"/>
      <c r="AK484" s="45"/>
      <c r="AL484" s="45"/>
    </row>
    <row r="485" ht="15.75" customHeight="1">
      <c r="A485" s="27">
        <f t="shared" si="10"/>
        <v>170</v>
      </c>
      <c r="B485" s="28" t="s">
        <v>1780</v>
      </c>
      <c r="C485" s="29" t="s">
        <v>1777</v>
      </c>
      <c r="D485" s="39" t="s">
        <v>1781</v>
      </c>
      <c r="E485" s="28" t="s">
        <v>28</v>
      </c>
      <c r="F485" s="28" t="s">
        <v>29</v>
      </c>
      <c r="G485" s="28" t="s">
        <v>1032</v>
      </c>
      <c r="H485" s="28"/>
      <c r="I485" s="28" t="s">
        <v>38</v>
      </c>
      <c r="J485" s="28">
        <v>1038.0</v>
      </c>
      <c r="K485" s="28"/>
      <c r="L485" s="31" t="s">
        <v>1779</v>
      </c>
      <c r="M485" s="28" t="s">
        <v>236</v>
      </c>
      <c r="N485" s="28">
        <v>2006.0</v>
      </c>
      <c r="O485" s="31">
        <v>6.0</v>
      </c>
      <c r="P485" s="28">
        <v>1.0</v>
      </c>
      <c r="Q485" s="32">
        <v>1.0</v>
      </c>
      <c r="R485" s="33"/>
      <c r="S485" s="40"/>
      <c r="T485" s="40"/>
      <c r="U485" s="40"/>
      <c r="V485" s="40"/>
      <c r="W485" s="40"/>
      <c r="X485" s="40"/>
      <c r="Y485" s="45"/>
      <c r="Z485" s="45"/>
      <c r="AA485" s="45"/>
      <c r="AB485" s="45"/>
      <c r="AC485" s="45"/>
      <c r="AD485" s="45"/>
      <c r="AE485" s="45"/>
      <c r="AF485" s="45"/>
      <c r="AG485" s="45"/>
      <c r="AH485" s="45"/>
      <c r="AI485" s="45"/>
      <c r="AJ485" s="45"/>
      <c r="AK485" s="45"/>
      <c r="AL485" s="45"/>
    </row>
    <row r="486" ht="15.75" customHeight="1">
      <c r="A486" s="27">
        <f t="shared" si="10"/>
        <v>171</v>
      </c>
      <c r="B486" s="28"/>
      <c r="C486" s="29" t="s">
        <v>1782</v>
      </c>
      <c r="D486" s="39" t="s">
        <v>1783</v>
      </c>
      <c r="E486" s="28" t="s">
        <v>28</v>
      </c>
      <c r="F486" s="28" t="s">
        <v>29</v>
      </c>
      <c r="G486" s="28" t="s">
        <v>37</v>
      </c>
      <c r="H486" s="28"/>
      <c r="I486" s="28" t="s">
        <v>38</v>
      </c>
      <c r="J486" s="28">
        <v>360.0</v>
      </c>
      <c r="K486" s="28"/>
      <c r="L486" s="28" t="s">
        <v>1784</v>
      </c>
      <c r="M486" s="28" t="s">
        <v>507</v>
      </c>
      <c r="N486" s="28">
        <v>1921.0</v>
      </c>
      <c r="O486" s="31">
        <v>5.0</v>
      </c>
      <c r="P486" s="28">
        <v>1.0</v>
      </c>
      <c r="Q486" s="32">
        <v>1.0</v>
      </c>
      <c r="R486" s="33"/>
      <c r="S486" s="40"/>
      <c r="T486" s="40"/>
      <c r="U486" s="40"/>
      <c r="V486" s="40"/>
      <c r="W486" s="40"/>
      <c r="X486" s="40"/>
      <c r="Y486" s="3"/>
      <c r="Z486" s="3"/>
      <c r="AA486" s="3"/>
      <c r="AB486" s="3"/>
      <c r="AC486" s="3"/>
      <c r="AD486" s="3"/>
      <c r="AE486" s="3"/>
      <c r="AF486" s="3"/>
      <c r="AG486" s="3"/>
      <c r="AH486" s="3"/>
      <c r="AI486" s="3"/>
      <c r="AJ486" s="3"/>
      <c r="AK486" s="3"/>
      <c r="AL486" s="3"/>
    </row>
    <row r="487" ht="15.75" customHeight="1">
      <c r="A487" s="27">
        <f t="shared" si="10"/>
        <v>172</v>
      </c>
      <c r="B487" s="28" t="s">
        <v>1785</v>
      </c>
      <c r="C487" s="43" t="s">
        <v>1786</v>
      </c>
      <c r="D487" s="30" t="s">
        <v>1787</v>
      </c>
      <c r="E487" s="28" t="s">
        <v>28</v>
      </c>
      <c r="F487" s="28" t="s">
        <v>29</v>
      </c>
      <c r="G487" s="28" t="s">
        <v>37</v>
      </c>
      <c r="H487" s="28" t="s">
        <v>31</v>
      </c>
      <c r="I487" s="28" t="s">
        <v>38</v>
      </c>
      <c r="J487" s="28">
        <v>294.0</v>
      </c>
      <c r="K487" s="28"/>
      <c r="L487" s="31" t="s">
        <v>1788</v>
      </c>
      <c r="M487" s="28" t="s">
        <v>250</v>
      </c>
      <c r="N487" s="28">
        <v>1976.0</v>
      </c>
      <c r="O487" s="31" t="s">
        <v>494</v>
      </c>
      <c r="P487" s="28">
        <v>1.0</v>
      </c>
      <c r="Q487" s="37">
        <v>1.0</v>
      </c>
      <c r="R487" s="33"/>
      <c r="S487" s="34"/>
      <c r="T487" s="34"/>
      <c r="U487" s="34"/>
      <c r="V487" s="34"/>
      <c r="W487" s="34"/>
      <c r="X487" s="34"/>
      <c r="Y487" s="3"/>
      <c r="Z487" s="3"/>
      <c r="AA487" s="3"/>
      <c r="AB487" s="3"/>
      <c r="AC487" s="3"/>
      <c r="AD487" s="3"/>
      <c r="AE487" s="3"/>
      <c r="AF487" s="3"/>
      <c r="AG487" s="3"/>
      <c r="AH487" s="3"/>
      <c r="AI487" s="3"/>
      <c r="AJ487" s="3"/>
      <c r="AK487" s="3"/>
      <c r="AL487" s="3"/>
    </row>
    <row r="488" ht="15.75" customHeight="1">
      <c r="A488" s="27">
        <f t="shared" si="10"/>
        <v>173</v>
      </c>
      <c r="B488" s="28" t="s">
        <v>1789</v>
      </c>
      <c r="C488" s="29" t="s">
        <v>1790</v>
      </c>
      <c r="D488" s="39" t="s">
        <v>1791</v>
      </c>
      <c r="E488" s="28" t="s">
        <v>28</v>
      </c>
      <c r="F488" s="28" t="s">
        <v>29</v>
      </c>
      <c r="G488" s="28" t="s">
        <v>37</v>
      </c>
      <c r="H488" s="28"/>
      <c r="I488" s="28" t="s">
        <v>38</v>
      </c>
      <c r="J488" s="28">
        <v>448.0</v>
      </c>
      <c r="K488" s="28"/>
      <c r="L488" s="28" t="s">
        <v>1792</v>
      </c>
      <c r="M488" s="28" t="s">
        <v>1399</v>
      </c>
      <c r="N488" s="28">
        <v>1993.0</v>
      </c>
      <c r="O488" s="31">
        <v>5.0</v>
      </c>
      <c r="P488" s="28">
        <v>1.0</v>
      </c>
      <c r="Q488" s="32">
        <v>1.0</v>
      </c>
      <c r="R488" s="33"/>
      <c r="S488" s="34"/>
      <c r="T488" s="34"/>
      <c r="U488" s="34"/>
      <c r="V488" s="34"/>
      <c r="W488" s="34"/>
      <c r="X488" s="34"/>
      <c r="Y488" s="87"/>
      <c r="Z488" s="87"/>
      <c r="AA488" s="87"/>
      <c r="AB488" s="87"/>
      <c r="AC488" s="87"/>
      <c r="AD488" s="87"/>
      <c r="AE488" s="87"/>
      <c r="AF488" s="87"/>
      <c r="AG488" s="87"/>
      <c r="AH488" s="87"/>
      <c r="AI488" s="87"/>
      <c r="AJ488" s="87"/>
      <c r="AK488" s="87"/>
      <c r="AL488" s="87"/>
    </row>
    <row r="489" ht="15.0" customHeight="1">
      <c r="A489" s="27">
        <f t="shared" si="10"/>
        <v>174</v>
      </c>
      <c r="B489" s="28" t="s">
        <v>1793</v>
      </c>
      <c r="C489" s="29" t="s">
        <v>1794</v>
      </c>
      <c r="D489" s="39" t="s">
        <v>1795</v>
      </c>
      <c r="E489" s="28" t="s">
        <v>28</v>
      </c>
      <c r="F489" s="28" t="s">
        <v>29</v>
      </c>
      <c r="G489" s="28" t="s">
        <v>37</v>
      </c>
      <c r="H489" s="28"/>
      <c r="I489" s="28" t="s">
        <v>38</v>
      </c>
      <c r="J489" s="28">
        <v>578.0</v>
      </c>
      <c r="K489" s="28"/>
      <c r="L489" s="28" t="s">
        <v>1796</v>
      </c>
      <c r="M489" s="28" t="s">
        <v>335</v>
      </c>
      <c r="N489" s="28">
        <v>1990.0</v>
      </c>
      <c r="O489" s="31">
        <v>6.0</v>
      </c>
      <c r="P489" s="28">
        <v>2.0</v>
      </c>
      <c r="Q489" s="37">
        <v>2.0</v>
      </c>
      <c r="R489" s="33"/>
      <c r="S489" s="40"/>
      <c r="T489" s="40"/>
      <c r="U489" s="40"/>
      <c r="V489" s="40"/>
      <c r="W489" s="40"/>
      <c r="X489" s="40"/>
      <c r="Y489" s="3"/>
      <c r="Z489" s="3"/>
      <c r="AA489" s="3"/>
      <c r="AB489" s="3"/>
      <c r="AC489" s="3"/>
      <c r="AD489" s="3"/>
      <c r="AE489" s="3"/>
      <c r="AF489" s="3"/>
      <c r="AG489" s="3"/>
      <c r="AH489" s="3"/>
      <c r="AI489" s="3"/>
      <c r="AJ489" s="3"/>
      <c r="AK489" s="3"/>
      <c r="AL489" s="3"/>
    </row>
    <row r="490" ht="15.75" customHeight="1">
      <c r="A490" s="27">
        <f t="shared" si="10"/>
        <v>175</v>
      </c>
      <c r="B490" s="28" t="s">
        <v>31</v>
      </c>
      <c r="C490" s="29" t="s">
        <v>1797</v>
      </c>
      <c r="D490" s="39" t="s">
        <v>1798</v>
      </c>
      <c r="E490" s="28" t="s">
        <v>28</v>
      </c>
      <c r="F490" s="28" t="s">
        <v>29</v>
      </c>
      <c r="G490" s="28" t="s">
        <v>37</v>
      </c>
      <c r="H490" s="28"/>
      <c r="I490" s="28" t="s">
        <v>38</v>
      </c>
      <c r="J490" s="28">
        <v>339.0</v>
      </c>
      <c r="K490" s="28"/>
      <c r="L490" s="31" t="s">
        <v>1799</v>
      </c>
      <c r="M490" s="28" t="s">
        <v>507</v>
      </c>
      <c r="N490" s="28">
        <v>1951.0</v>
      </c>
      <c r="O490" s="31">
        <v>5.0</v>
      </c>
      <c r="P490" s="28">
        <v>1.0</v>
      </c>
      <c r="Q490" s="32">
        <v>1.0</v>
      </c>
      <c r="R490" s="33"/>
      <c r="S490" s="40"/>
      <c r="T490" s="40"/>
      <c r="U490" s="40"/>
      <c r="V490" s="40"/>
      <c r="W490" s="40"/>
      <c r="X490" s="40"/>
      <c r="Y490" s="3"/>
      <c r="Z490" s="3"/>
      <c r="AA490" s="3"/>
      <c r="AB490" s="3"/>
      <c r="AC490" s="3"/>
      <c r="AD490" s="3"/>
      <c r="AE490" s="3"/>
      <c r="AF490" s="3"/>
      <c r="AG490" s="3"/>
      <c r="AH490" s="3"/>
      <c r="AI490" s="3"/>
      <c r="AJ490" s="3"/>
      <c r="AK490" s="3"/>
      <c r="AL490" s="3"/>
    </row>
    <row r="491" ht="15.75" customHeight="1">
      <c r="A491" s="27">
        <f t="shared" si="10"/>
        <v>176</v>
      </c>
      <c r="B491" s="28" t="s">
        <v>31</v>
      </c>
      <c r="C491" s="29" t="s">
        <v>1800</v>
      </c>
      <c r="D491" s="39" t="s">
        <v>1801</v>
      </c>
      <c r="E491" s="28" t="s">
        <v>28</v>
      </c>
      <c r="F491" s="28" t="s">
        <v>29</v>
      </c>
      <c r="G491" s="28" t="s">
        <v>37</v>
      </c>
      <c r="H491" s="28"/>
      <c r="I491" s="28" t="s">
        <v>38</v>
      </c>
      <c r="J491" s="28">
        <v>117.0</v>
      </c>
      <c r="K491" s="28"/>
      <c r="L491" s="28" t="s">
        <v>182</v>
      </c>
      <c r="M491" s="28" t="s">
        <v>188</v>
      </c>
      <c r="N491" s="28">
        <v>1971.0</v>
      </c>
      <c r="O491" s="31">
        <v>6.0</v>
      </c>
      <c r="P491" s="28">
        <v>1.0</v>
      </c>
      <c r="Q491" s="32">
        <v>1.0</v>
      </c>
      <c r="R491" s="33"/>
      <c r="S491" s="34"/>
      <c r="T491" s="34"/>
      <c r="U491" s="34"/>
      <c r="V491" s="34"/>
      <c r="W491" s="34"/>
      <c r="X491" s="34"/>
      <c r="Y491" s="3"/>
      <c r="Z491" s="3"/>
      <c r="AA491" s="3"/>
      <c r="AB491" s="3"/>
      <c r="AC491" s="3"/>
      <c r="AD491" s="3"/>
      <c r="AE491" s="3"/>
      <c r="AF491" s="3"/>
      <c r="AG491" s="3"/>
      <c r="AH491" s="3"/>
      <c r="AI491" s="3"/>
      <c r="AJ491" s="3"/>
      <c r="AK491" s="3"/>
      <c r="AL491" s="3"/>
    </row>
    <row r="492" ht="15.75" customHeight="1">
      <c r="A492" s="27">
        <f t="shared" si="10"/>
        <v>177</v>
      </c>
      <c r="B492" s="28" t="s">
        <v>1802</v>
      </c>
      <c r="C492" s="29" t="s">
        <v>1803</v>
      </c>
      <c r="D492" s="39" t="s">
        <v>1804</v>
      </c>
      <c r="E492" s="28" t="s">
        <v>28</v>
      </c>
      <c r="F492" s="28" t="s">
        <v>29</v>
      </c>
      <c r="G492" s="28" t="s">
        <v>38</v>
      </c>
      <c r="H492" s="28" t="s">
        <v>31</v>
      </c>
      <c r="I492" s="28" t="s">
        <v>38</v>
      </c>
      <c r="J492" s="31">
        <v>252.0</v>
      </c>
      <c r="K492" s="28"/>
      <c r="L492" s="31" t="s">
        <v>1805</v>
      </c>
      <c r="M492" s="28" t="s">
        <v>83</v>
      </c>
      <c r="N492" s="28">
        <v>1972.0</v>
      </c>
      <c r="O492" s="31" t="s">
        <v>494</v>
      </c>
      <c r="P492" s="28">
        <v>1.0</v>
      </c>
      <c r="Q492" s="32">
        <v>1.0</v>
      </c>
      <c r="R492" s="33"/>
      <c r="S492" s="40"/>
      <c r="T492" s="40"/>
      <c r="U492" s="40"/>
      <c r="V492" s="40"/>
      <c r="W492" s="40"/>
      <c r="X492" s="40"/>
      <c r="Y492" s="3"/>
      <c r="Z492" s="3"/>
      <c r="AA492" s="3"/>
      <c r="AB492" s="3"/>
      <c r="AC492" s="3"/>
      <c r="AD492" s="3"/>
      <c r="AE492" s="3"/>
      <c r="AF492" s="3"/>
      <c r="AG492" s="3"/>
      <c r="AH492" s="3"/>
      <c r="AI492" s="3"/>
      <c r="AJ492" s="3"/>
      <c r="AK492" s="3"/>
      <c r="AL492" s="3"/>
    </row>
    <row r="493" ht="15.75" customHeight="1">
      <c r="A493" s="27">
        <f t="shared" si="10"/>
        <v>178</v>
      </c>
      <c r="B493" s="28" t="s">
        <v>1806</v>
      </c>
      <c r="C493" s="29" t="s">
        <v>1807</v>
      </c>
      <c r="D493" s="39" t="s">
        <v>1808</v>
      </c>
      <c r="E493" s="28" t="s">
        <v>28</v>
      </c>
      <c r="F493" s="28" t="s">
        <v>29</v>
      </c>
      <c r="G493" s="28" t="s">
        <v>37</v>
      </c>
      <c r="H493" s="28" t="s">
        <v>31</v>
      </c>
      <c r="I493" s="28" t="s">
        <v>38</v>
      </c>
      <c r="J493" s="28">
        <v>288.0</v>
      </c>
      <c r="K493" s="28"/>
      <c r="L493" s="28" t="s">
        <v>1809</v>
      </c>
      <c r="M493" s="28" t="s">
        <v>230</v>
      </c>
      <c r="N493" s="28">
        <v>1981.0</v>
      </c>
      <c r="O493" s="31">
        <v>5.0</v>
      </c>
      <c r="P493" s="28">
        <v>1.0</v>
      </c>
      <c r="Q493" s="32">
        <v>1.0</v>
      </c>
      <c r="R493" s="33"/>
      <c r="S493" s="40"/>
      <c r="T493" s="40"/>
      <c r="U493" s="40"/>
      <c r="V493" s="40"/>
      <c r="W493" s="40"/>
      <c r="X493" s="40"/>
      <c r="Y493" s="3"/>
      <c r="Z493" s="3"/>
      <c r="AA493" s="3"/>
      <c r="AB493" s="3"/>
      <c r="AC493" s="3"/>
      <c r="AD493" s="3"/>
      <c r="AE493" s="3"/>
      <c r="AF493" s="3"/>
      <c r="AG493" s="3"/>
      <c r="AH493" s="3"/>
      <c r="AI493" s="3"/>
      <c r="AJ493" s="3"/>
      <c r="AK493" s="3"/>
      <c r="AL493" s="3"/>
    </row>
    <row r="494" ht="15.75" customHeight="1">
      <c r="A494" s="27">
        <f t="shared" si="10"/>
        <v>179</v>
      </c>
      <c r="B494" s="28" t="s">
        <v>1810</v>
      </c>
      <c r="C494" s="29" t="s">
        <v>1811</v>
      </c>
      <c r="D494" s="39" t="s">
        <v>1812</v>
      </c>
      <c r="E494" s="28" t="s">
        <v>28</v>
      </c>
      <c r="F494" s="28" t="s">
        <v>29</v>
      </c>
      <c r="G494" s="28" t="s">
        <v>98</v>
      </c>
      <c r="H494" s="28"/>
      <c r="I494" s="28" t="s">
        <v>38</v>
      </c>
      <c r="J494" s="28">
        <v>135.0</v>
      </c>
      <c r="K494" s="28"/>
      <c r="L494" s="28" t="s">
        <v>1813</v>
      </c>
      <c r="M494" s="28" t="s">
        <v>100</v>
      </c>
      <c r="N494" s="28">
        <v>2006.0</v>
      </c>
      <c r="O494" s="31">
        <v>6.0</v>
      </c>
      <c r="P494" s="28">
        <v>2.0</v>
      </c>
      <c r="Q494" s="37">
        <v>2.0</v>
      </c>
      <c r="R494" s="33"/>
      <c r="S494" s="34"/>
      <c r="T494" s="34"/>
      <c r="U494" s="34"/>
      <c r="V494" s="34"/>
      <c r="W494" s="34"/>
      <c r="X494" s="34"/>
      <c r="Y494" s="3"/>
      <c r="Z494" s="3"/>
      <c r="AA494" s="3"/>
      <c r="AB494" s="3"/>
      <c r="AC494" s="3"/>
      <c r="AD494" s="3"/>
      <c r="AE494" s="3"/>
      <c r="AF494" s="3"/>
      <c r="AG494" s="3"/>
      <c r="AH494" s="3"/>
      <c r="AI494" s="3"/>
      <c r="AJ494" s="3"/>
      <c r="AK494" s="3"/>
      <c r="AL494" s="3"/>
    </row>
    <row r="495" ht="15.75" customHeight="1">
      <c r="A495" s="27">
        <f t="shared" si="10"/>
        <v>180</v>
      </c>
      <c r="B495" s="28" t="s">
        <v>1814</v>
      </c>
      <c r="C495" s="29" t="s">
        <v>1815</v>
      </c>
      <c r="D495" s="39" t="s">
        <v>1816</v>
      </c>
      <c r="E495" s="28" t="s">
        <v>28</v>
      </c>
      <c r="F495" s="28" t="s">
        <v>29</v>
      </c>
      <c r="G495" s="28" t="s">
        <v>234</v>
      </c>
      <c r="H495" s="28"/>
      <c r="I495" s="28" t="s">
        <v>38</v>
      </c>
      <c r="J495" s="28">
        <v>417.0</v>
      </c>
      <c r="K495" s="28"/>
      <c r="L495" s="28" t="s">
        <v>1817</v>
      </c>
      <c r="M495" s="28" t="s">
        <v>236</v>
      </c>
      <c r="N495" s="28">
        <v>1985.0</v>
      </c>
      <c r="O495" s="31">
        <v>6.0</v>
      </c>
      <c r="P495" s="28">
        <v>1.0</v>
      </c>
      <c r="Q495" s="32">
        <v>1.0</v>
      </c>
      <c r="R495" s="33"/>
      <c r="S495" s="34"/>
      <c r="T495" s="34"/>
      <c r="U495" s="34"/>
      <c r="V495" s="34"/>
      <c r="W495" s="34"/>
      <c r="X495" s="34"/>
      <c r="Y495" s="45"/>
      <c r="Z495" s="45"/>
      <c r="AA495" s="45"/>
      <c r="AB495" s="45"/>
      <c r="AC495" s="45"/>
      <c r="AD495" s="45"/>
      <c r="AE495" s="45"/>
      <c r="AF495" s="45"/>
      <c r="AG495" s="45"/>
      <c r="AH495" s="45"/>
      <c r="AI495" s="45"/>
      <c r="AJ495" s="45"/>
      <c r="AK495" s="45"/>
      <c r="AL495" s="45"/>
    </row>
    <row r="496" ht="15.75" customHeight="1">
      <c r="A496" s="27">
        <f t="shared" si="10"/>
        <v>181</v>
      </c>
      <c r="B496" s="28" t="s">
        <v>31</v>
      </c>
      <c r="C496" s="29" t="s">
        <v>1818</v>
      </c>
      <c r="D496" s="39" t="s">
        <v>1819</v>
      </c>
      <c r="E496" s="28" t="s">
        <v>28</v>
      </c>
      <c r="F496" s="28" t="s">
        <v>29</v>
      </c>
      <c r="G496" s="28" t="s">
        <v>37</v>
      </c>
      <c r="H496" s="28"/>
      <c r="I496" s="28" t="s">
        <v>38</v>
      </c>
      <c r="J496" s="28">
        <v>268.0</v>
      </c>
      <c r="K496" s="28"/>
      <c r="L496" s="28" t="s">
        <v>187</v>
      </c>
      <c r="M496" s="28" t="s">
        <v>188</v>
      </c>
      <c r="N496" s="28">
        <v>1965.0</v>
      </c>
      <c r="O496" s="31">
        <v>6.0</v>
      </c>
      <c r="P496" s="28">
        <v>1.0</v>
      </c>
      <c r="Q496" s="32">
        <v>1.0</v>
      </c>
      <c r="R496" s="33"/>
      <c r="S496" s="34"/>
      <c r="T496" s="34"/>
      <c r="U496" s="34"/>
      <c r="V496" s="34"/>
      <c r="W496" s="34"/>
      <c r="X496" s="34"/>
      <c r="Y496" s="45"/>
      <c r="Z496" s="45"/>
      <c r="AA496" s="45"/>
      <c r="AB496" s="45"/>
      <c r="AC496" s="45"/>
      <c r="AD496" s="45"/>
      <c r="AE496" s="45"/>
      <c r="AF496" s="45"/>
      <c r="AG496" s="45"/>
      <c r="AH496" s="45"/>
      <c r="AI496" s="45"/>
      <c r="AJ496" s="45"/>
      <c r="AK496" s="45"/>
      <c r="AL496" s="45"/>
    </row>
    <row r="497" ht="15.75" customHeight="1">
      <c r="A497" s="27">
        <f t="shared" si="10"/>
        <v>182</v>
      </c>
      <c r="B497" s="28" t="s">
        <v>1820</v>
      </c>
      <c r="C497" s="29" t="s">
        <v>1821</v>
      </c>
      <c r="D497" s="39" t="s">
        <v>1822</v>
      </c>
      <c r="E497" s="28" t="s">
        <v>28</v>
      </c>
      <c r="F497" s="28" t="s">
        <v>29</v>
      </c>
      <c r="G497" s="28" t="s">
        <v>37</v>
      </c>
      <c r="H497" s="28"/>
      <c r="I497" s="28" t="s">
        <v>38</v>
      </c>
      <c r="J497" s="28">
        <v>239.0</v>
      </c>
      <c r="K497" s="28"/>
      <c r="L497" s="28" t="s">
        <v>187</v>
      </c>
      <c r="M497" s="28" t="s">
        <v>156</v>
      </c>
      <c r="N497" s="28">
        <v>1986.0</v>
      </c>
      <c r="O497" s="31">
        <v>6.0</v>
      </c>
      <c r="P497" s="28">
        <v>1.0</v>
      </c>
      <c r="Q497" s="32">
        <v>1.0</v>
      </c>
      <c r="R497" s="33"/>
      <c r="S497" s="40"/>
      <c r="T497" s="40"/>
      <c r="U497" s="40"/>
      <c r="V497" s="40"/>
      <c r="W497" s="40"/>
      <c r="X497" s="40"/>
      <c r="Y497" s="45"/>
      <c r="Z497" s="45"/>
      <c r="AA497" s="45"/>
      <c r="AB497" s="45"/>
      <c r="AC497" s="45"/>
      <c r="AD497" s="45"/>
      <c r="AE497" s="45"/>
      <c r="AF497" s="45"/>
      <c r="AG497" s="45"/>
      <c r="AH497" s="45"/>
      <c r="AI497" s="45"/>
      <c r="AJ497" s="45"/>
      <c r="AK497" s="45"/>
      <c r="AL497" s="45"/>
    </row>
    <row r="498" ht="15.75" customHeight="1">
      <c r="A498" s="27">
        <f t="shared" si="10"/>
        <v>183</v>
      </c>
      <c r="B498" s="28" t="s">
        <v>1823</v>
      </c>
      <c r="C498" s="29" t="s">
        <v>1824</v>
      </c>
      <c r="D498" s="39" t="s">
        <v>1825</v>
      </c>
      <c r="E498" s="28" t="s">
        <v>28</v>
      </c>
      <c r="F498" s="28" t="s">
        <v>29</v>
      </c>
      <c r="G498" s="28" t="s">
        <v>234</v>
      </c>
      <c r="H498" s="28"/>
      <c r="I498" s="28" t="s">
        <v>38</v>
      </c>
      <c r="J498" s="28">
        <v>311.0</v>
      </c>
      <c r="K498" s="28"/>
      <c r="L498" s="28" t="s">
        <v>1826</v>
      </c>
      <c r="M498" s="28" t="s">
        <v>236</v>
      </c>
      <c r="N498" s="28">
        <v>2000.0</v>
      </c>
      <c r="O498" s="31">
        <v>6.0</v>
      </c>
      <c r="P498" s="28">
        <v>1.0</v>
      </c>
      <c r="Q498" s="32">
        <v>1.0</v>
      </c>
      <c r="R498" s="33"/>
      <c r="S498" s="34"/>
      <c r="T498" s="34"/>
      <c r="U498" s="34"/>
      <c r="V498" s="34"/>
      <c r="W498" s="34"/>
      <c r="X498" s="34"/>
      <c r="Y498" s="45"/>
      <c r="Z498" s="45"/>
      <c r="AA498" s="45"/>
      <c r="AB498" s="45"/>
      <c r="AC498" s="45"/>
      <c r="AD498" s="45"/>
      <c r="AE498" s="45"/>
      <c r="AF498" s="45"/>
      <c r="AG498" s="45"/>
      <c r="AH498" s="45"/>
      <c r="AI498" s="45"/>
      <c r="AJ498" s="45"/>
      <c r="AK498" s="45"/>
      <c r="AL498" s="45"/>
    </row>
    <row r="499" ht="15.75" customHeight="1">
      <c r="A499" s="27">
        <f t="shared" si="10"/>
        <v>184</v>
      </c>
      <c r="B499" s="28" t="s">
        <v>1827</v>
      </c>
      <c r="C499" s="29" t="s">
        <v>1828</v>
      </c>
      <c r="D499" s="39" t="s">
        <v>1829</v>
      </c>
      <c r="E499" s="28" t="s">
        <v>28</v>
      </c>
      <c r="F499" s="28" t="s">
        <v>29</v>
      </c>
      <c r="G499" s="28" t="s">
        <v>38</v>
      </c>
      <c r="H499" s="28" t="s">
        <v>31</v>
      </c>
      <c r="I499" s="28" t="s">
        <v>38</v>
      </c>
      <c r="J499" s="28">
        <v>428.0</v>
      </c>
      <c r="K499" s="28"/>
      <c r="L499" s="28" t="s">
        <v>1817</v>
      </c>
      <c r="M499" s="28" t="s">
        <v>230</v>
      </c>
      <c r="N499" s="28">
        <v>1982.0</v>
      </c>
      <c r="O499" s="31">
        <v>6.0</v>
      </c>
      <c r="P499" s="28">
        <v>1.0</v>
      </c>
      <c r="Q499" s="32">
        <v>1.0</v>
      </c>
      <c r="R499" s="33"/>
      <c r="S499" s="40"/>
      <c r="T499" s="40"/>
      <c r="U499" s="40"/>
      <c r="V499" s="40"/>
      <c r="W499" s="40"/>
      <c r="X499" s="40"/>
      <c r="Y499" s="3"/>
      <c r="Z499" s="3"/>
      <c r="AA499" s="3"/>
      <c r="AB499" s="3"/>
      <c r="AC499" s="3"/>
      <c r="AD499" s="3"/>
      <c r="AE499" s="3"/>
      <c r="AF499" s="3"/>
      <c r="AG499" s="3"/>
      <c r="AH499" s="3"/>
      <c r="AI499" s="3"/>
      <c r="AJ499" s="3"/>
      <c r="AK499" s="3"/>
      <c r="AL499" s="3"/>
    </row>
    <row r="500" ht="15.75" customHeight="1">
      <c r="A500" s="27">
        <f t="shared" si="10"/>
        <v>185</v>
      </c>
      <c r="B500" s="28" t="s">
        <v>1830</v>
      </c>
      <c r="C500" s="29" t="s">
        <v>1831</v>
      </c>
      <c r="D500" s="39" t="s">
        <v>1832</v>
      </c>
      <c r="E500" s="28" t="s">
        <v>28</v>
      </c>
      <c r="F500" s="28" t="s">
        <v>29</v>
      </c>
      <c r="G500" s="28" t="s">
        <v>37</v>
      </c>
      <c r="H500" s="28"/>
      <c r="I500" s="28" t="s">
        <v>38</v>
      </c>
      <c r="J500" s="28">
        <v>268.0</v>
      </c>
      <c r="K500" s="28"/>
      <c r="L500" s="28" t="s">
        <v>187</v>
      </c>
      <c r="M500" s="28" t="s">
        <v>188</v>
      </c>
      <c r="N500" s="28">
        <v>1974.0</v>
      </c>
      <c r="O500" s="31">
        <v>6.0</v>
      </c>
      <c r="P500" s="28">
        <v>1.0</v>
      </c>
      <c r="Q500" s="32">
        <v>1.0</v>
      </c>
      <c r="R500" s="33"/>
      <c r="S500" s="40"/>
      <c r="T500" s="40"/>
      <c r="U500" s="40"/>
      <c r="V500" s="40"/>
      <c r="W500" s="40"/>
      <c r="X500" s="40"/>
      <c r="Y500" s="3"/>
      <c r="Z500" s="3"/>
      <c r="AA500" s="3"/>
      <c r="AB500" s="3"/>
      <c r="AC500" s="3"/>
      <c r="AD500" s="3"/>
      <c r="AE500" s="3"/>
      <c r="AF500" s="3"/>
      <c r="AG500" s="3"/>
      <c r="AH500" s="3"/>
      <c r="AI500" s="3"/>
      <c r="AJ500" s="3"/>
      <c r="AK500" s="3"/>
      <c r="AL500" s="3"/>
    </row>
    <row r="501" ht="15.75" customHeight="1">
      <c r="A501" s="27">
        <f t="shared" si="10"/>
        <v>186</v>
      </c>
      <c r="B501" s="28" t="s">
        <v>1820</v>
      </c>
      <c r="C501" s="29" t="s">
        <v>1831</v>
      </c>
      <c r="D501" s="39" t="s">
        <v>1833</v>
      </c>
      <c r="E501" s="28" t="s">
        <v>28</v>
      </c>
      <c r="F501" s="28" t="s">
        <v>29</v>
      </c>
      <c r="G501" s="28" t="s">
        <v>37</v>
      </c>
      <c r="H501" s="28"/>
      <c r="I501" s="28" t="s">
        <v>38</v>
      </c>
      <c r="J501" s="28">
        <v>239.0</v>
      </c>
      <c r="K501" s="28"/>
      <c r="L501" s="28" t="s">
        <v>187</v>
      </c>
      <c r="M501" s="28" t="s">
        <v>188</v>
      </c>
      <c r="N501" s="28">
        <v>1974.0</v>
      </c>
      <c r="O501" s="31">
        <v>6.0</v>
      </c>
      <c r="P501" s="28">
        <v>1.0</v>
      </c>
      <c r="Q501" s="32">
        <v>1.0</v>
      </c>
      <c r="R501" s="33"/>
      <c r="S501" s="34"/>
      <c r="T501" s="34"/>
      <c r="U501" s="34"/>
      <c r="V501" s="34"/>
      <c r="W501" s="34"/>
      <c r="X501" s="34"/>
      <c r="Y501" s="45"/>
      <c r="Z501" s="45"/>
      <c r="AA501" s="45"/>
      <c r="AB501" s="45"/>
      <c r="AC501" s="45"/>
      <c r="AD501" s="45"/>
      <c r="AE501" s="45"/>
      <c r="AF501" s="45"/>
      <c r="AG501" s="45"/>
      <c r="AH501" s="45"/>
      <c r="AI501" s="45"/>
      <c r="AJ501" s="45"/>
      <c r="AK501" s="45"/>
      <c r="AL501" s="45"/>
    </row>
    <row r="502" ht="15.75" customHeight="1">
      <c r="A502" s="27">
        <f t="shared" si="10"/>
        <v>187</v>
      </c>
      <c r="B502" s="28" t="s">
        <v>31</v>
      </c>
      <c r="C502" s="29" t="s">
        <v>1834</v>
      </c>
      <c r="D502" s="39" t="s">
        <v>1835</v>
      </c>
      <c r="E502" s="28" t="s">
        <v>28</v>
      </c>
      <c r="F502" s="28" t="s">
        <v>29</v>
      </c>
      <c r="G502" s="28" t="s">
        <v>37</v>
      </c>
      <c r="H502" s="28"/>
      <c r="I502" s="28" t="s">
        <v>38</v>
      </c>
      <c r="J502" s="28">
        <v>534.0</v>
      </c>
      <c r="K502" s="28"/>
      <c r="L502" s="31" t="s">
        <v>1836</v>
      </c>
      <c r="M502" s="31" t="s">
        <v>213</v>
      </c>
      <c r="N502" s="28">
        <v>1910.0</v>
      </c>
      <c r="O502" s="31">
        <v>7.0</v>
      </c>
      <c r="P502" s="28">
        <v>1.0</v>
      </c>
      <c r="Q502" s="32">
        <v>1.0</v>
      </c>
      <c r="R502" s="33"/>
      <c r="S502" s="34"/>
      <c r="T502" s="34"/>
      <c r="U502" s="34"/>
      <c r="V502" s="34"/>
      <c r="W502" s="34"/>
      <c r="X502" s="34"/>
      <c r="Y502" s="3"/>
      <c r="Z502" s="3"/>
      <c r="AA502" s="3"/>
      <c r="AB502" s="3"/>
      <c r="AC502" s="3"/>
      <c r="AD502" s="3"/>
      <c r="AE502" s="3"/>
      <c r="AF502" s="3"/>
      <c r="AG502" s="3"/>
      <c r="AH502" s="3"/>
      <c r="AI502" s="3"/>
      <c r="AJ502" s="3"/>
      <c r="AK502" s="3"/>
      <c r="AL502" s="3"/>
    </row>
    <row r="503" ht="15.75" customHeight="1">
      <c r="A503" s="27">
        <f t="shared" si="10"/>
        <v>188</v>
      </c>
      <c r="B503" s="28" t="s">
        <v>1837</v>
      </c>
      <c r="C503" s="29" t="s">
        <v>1838</v>
      </c>
      <c r="D503" s="39" t="s">
        <v>1839</v>
      </c>
      <c r="E503" s="28" t="s">
        <v>28</v>
      </c>
      <c r="F503" s="28" t="s">
        <v>29</v>
      </c>
      <c r="G503" s="28" t="s">
        <v>1032</v>
      </c>
      <c r="H503" s="28"/>
      <c r="I503" s="28" t="s">
        <v>38</v>
      </c>
      <c r="J503" s="28">
        <v>387.0</v>
      </c>
      <c r="K503" s="28"/>
      <c r="L503" s="28" t="s">
        <v>1840</v>
      </c>
      <c r="M503" s="28" t="s">
        <v>236</v>
      </c>
      <c r="N503" s="28">
        <v>1985.0</v>
      </c>
      <c r="O503" s="31">
        <v>6.0</v>
      </c>
      <c r="P503" s="28">
        <v>1.0</v>
      </c>
      <c r="Q503" s="32">
        <v>1.0</v>
      </c>
      <c r="R503" s="33"/>
      <c r="S503" s="34"/>
      <c r="T503" s="34"/>
      <c r="U503" s="34"/>
      <c r="V503" s="34"/>
      <c r="W503" s="34"/>
      <c r="X503" s="34"/>
      <c r="Y503" s="3"/>
      <c r="Z503" s="3"/>
      <c r="AA503" s="3"/>
      <c r="AB503" s="3"/>
      <c r="AC503" s="3"/>
      <c r="AD503" s="3"/>
      <c r="AE503" s="3"/>
      <c r="AF503" s="3"/>
      <c r="AG503" s="3"/>
      <c r="AH503" s="3"/>
      <c r="AI503" s="3"/>
      <c r="AJ503" s="3"/>
      <c r="AK503" s="3"/>
      <c r="AL503" s="3"/>
    </row>
    <row r="504" ht="15.75" customHeight="1">
      <c r="A504" s="27">
        <f t="shared" si="10"/>
        <v>189</v>
      </c>
      <c r="B504" s="28" t="s">
        <v>1841</v>
      </c>
      <c r="C504" s="29" t="s">
        <v>1842</v>
      </c>
      <c r="D504" s="30" t="s">
        <v>1843</v>
      </c>
      <c r="E504" s="28" t="s">
        <v>28</v>
      </c>
      <c r="F504" s="28" t="s">
        <v>29</v>
      </c>
      <c r="G504" s="28" t="s">
        <v>37</v>
      </c>
      <c r="H504" s="28"/>
      <c r="I504" s="28" t="s">
        <v>38</v>
      </c>
      <c r="J504" s="28">
        <v>198.0</v>
      </c>
      <c r="K504" s="28"/>
      <c r="L504" s="28" t="s">
        <v>1844</v>
      </c>
      <c r="M504" s="28" t="s">
        <v>230</v>
      </c>
      <c r="N504" s="28">
        <v>1990.0</v>
      </c>
      <c r="O504" s="31" t="s">
        <v>494</v>
      </c>
      <c r="P504" s="28">
        <v>1.0</v>
      </c>
      <c r="Q504" s="32">
        <v>1.0</v>
      </c>
      <c r="R504" s="33"/>
      <c r="S504" s="34"/>
      <c r="T504" s="34"/>
      <c r="U504" s="34"/>
      <c r="V504" s="34"/>
      <c r="W504" s="34"/>
      <c r="X504" s="34"/>
      <c r="Y504" s="3"/>
      <c r="Z504" s="3"/>
      <c r="AA504" s="3"/>
      <c r="AB504" s="3"/>
      <c r="AC504" s="3"/>
      <c r="AD504" s="3"/>
      <c r="AE504" s="3"/>
      <c r="AF504" s="3"/>
      <c r="AG504" s="3"/>
      <c r="AH504" s="3"/>
      <c r="AI504" s="3"/>
      <c r="AJ504" s="3"/>
      <c r="AK504" s="3"/>
      <c r="AL504" s="3"/>
    </row>
    <row r="505" ht="15.75" customHeight="1">
      <c r="A505" s="27">
        <f t="shared" si="10"/>
        <v>190</v>
      </c>
      <c r="B505" s="28" t="s">
        <v>1845</v>
      </c>
      <c r="C505" s="29" t="s">
        <v>1846</v>
      </c>
      <c r="D505" s="39" t="s">
        <v>1847</v>
      </c>
      <c r="E505" s="28" t="s">
        <v>28</v>
      </c>
      <c r="F505" s="28" t="s">
        <v>29</v>
      </c>
      <c r="G505" s="28" t="s">
        <v>37</v>
      </c>
      <c r="H505" s="28"/>
      <c r="I505" s="28" t="s">
        <v>38</v>
      </c>
      <c r="J505" s="28">
        <v>286.0</v>
      </c>
      <c r="K505" s="28"/>
      <c r="L505" s="28" t="s">
        <v>1848</v>
      </c>
      <c r="M505" s="28" t="s">
        <v>335</v>
      </c>
      <c r="N505" s="28">
        <v>1985.0</v>
      </c>
      <c r="O505" s="31">
        <v>6.0</v>
      </c>
      <c r="P505" s="28">
        <v>1.0</v>
      </c>
      <c r="Q505" s="32">
        <v>1.0</v>
      </c>
      <c r="R505" s="33"/>
      <c r="S505" s="34"/>
      <c r="T505" s="34"/>
      <c r="U505" s="34"/>
      <c r="V505" s="34"/>
      <c r="W505" s="34"/>
      <c r="X505" s="34"/>
      <c r="Y505" s="3"/>
      <c r="Z505" s="3"/>
      <c r="AA505" s="3"/>
      <c r="AB505" s="3"/>
      <c r="AC505" s="3"/>
      <c r="AD505" s="3"/>
      <c r="AE505" s="3"/>
      <c r="AF505" s="3"/>
      <c r="AG505" s="3"/>
      <c r="AH505" s="3"/>
      <c r="AI505" s="3"/>
      <c r="AJ505" s="3"/>
      <c r="AK505" s="3"/>
      <c r="AL505" s="3"/>
    </row>
    <row r="506" ht="15.75" customHeight="1">
      <c r="A506" s="27">
        <f t="shared" si="10"/>
        <v>191</v>
      </c>
      <c r="B506" s="28" t="s">
        <v>31</v>
      </c>
      <c r="C506" s="29" t="s">
        <v>1849</v>
      </c>
      <c r="D506" s="39" t="s">
        <v>1850</v>
      </c>
      <c r="E506" s="28" t="s">
        <v>28</v>
      </c>
      <c r="F506" s="28" t="s">
        <v>29</v>
      </c>
      <c r="G506" s="28" t="s">
        <v>37</v>
      </c>
      <c r="H506" s="28"/>
      <c r="I506" s="28" t="s">
        <v>38</v>
      </c>
      <c r="J506" s="28">
        <v>575.0</v>
      </c>
      <c r="K506" s="28"/>
      <c r="L506" s="31" t="s">
        <v>1851</v>
      </c>
      <c r="M506" s="28" t="s">
        <v>507</v>
      </c>
      <c r="N506" s="28">
        <v>1951.0</v>
      </c>
      <c r="O506" s="31">
        <v>5.0</v>
      </c>
      <c r="P506" s="28">
        <v>1.0</v>
      </c>
      <c r="Q506" s="32">
        <v>1.0</v>
      </c>
      <c r="R506" s="33"/>
      <c r="S506" s="40"/>
      <c r="T506" s="40"/>
      <c r="U506" s="40"/>
      <c r="V506" s="40"/>
      <c r="W506" s="40"/>
      <c r="X506" s="40"/>
      <c r="Y506" s="3"/>
      <c r="Z506" s="3"/>
      <c r="AA506" s="3"/>
      <c r="AB506" s="3"/>
      <c r="AC506" s="3"/>
      <c r="AD506" s="3"/>
      <c r="AE506" s="3"/>
      <c r="AF506" s="3"/>
      <c r="AG506" s="3"/>
      <c r="AH506" s="3"/>
      <c r="AI506" s="3"/>
      <c r="AJ506" s="3"/>
      <c r="AK506" s="3"/>
      <c r="AL506" s="3"/>
    </row>
    <row r="507" ht="15.75" customHeight="1">
      <c r="A507" s="27">
        <f t="shared" si="10"/>
        <v>192</v>
      </c>
      <c r="B507" s="28" t="s">
        <v>1852</v>
      </c>
      <c r="C507" s="29" t="s">
        <v>1853</v>
      </c>
      <c r="D507" s="39" t="s">
        <v>1854</v>
      </c>
      <c r="E507" s="28" t="s">
        <v>28</v>
      </c>
      <c r="F507" s="28" t="s">
        <v>29</v>
      </c>
      <c r="G507" s="28" t="s">
        <v>38</v>
      </c>
      <c r="H507" s="28" t="s">
        <v>31</v>
      </c>
      <c r="I507" s="28" t="s">
        <v>38</v>
      </c>
      <c r="J507" s="31">
        <v>366.0</v>
      </c>
      <c r="K507" s="28"/>
      <c r="L507" s="28" t="s">
        <v>1855</v>
      </c>
      <c r="M507" s="28" t="s">
        <v>230</v>
      </c>
      <c r="N507" s="28">
        <v>1984.0</v>
      </c>
      <c r="O507" s="31">
        <v>6.0</v>
      </c>
      <c r="P507" s="28">
        <v>1.0</v>
      </c>
      <c r="Q507" s="32">
        <v>1.0</v>
      </c>
      <c r="R507" s="33"/>
      <c r="S507" s="34"/>
      <c r="T507" s="34"/>
      <c r="U507" s="34"/>
      <c r="V507" s="34"/>
      <c r="W507" s="34"/>
      <c r="X507" s="34"/>
      <c r="Y507" s="3"/>
      <c r="Z507" s="3"/>
      <c r="AA507" s="3"/>
      <c r="AB507" s="3"/>
      <c r="AC507" s="3"/>
      <c r="AD507" s="3"/>
      <c r="AE507" s="3"/>
      <c r="AF507" s="3"/>
      <c r="AG507" s="3"/>
      <c r="AH507" s="3"/>
      <c r="AI507" s="3"/>
      <c r="AJ507" s="3"/>
      <c r="AK507" s="3"/>
      <c r="AL507" s="3"/>
    </row>
    <row r="508" ht="15.75" customHeight="1">
      <c r="A508" s="27">
        <f t="shared" si="10"/>
        <v>193</v>
      </c>
      <c r="B508" s="28" t="s">
        <v>1856</v>
      </c>
      <c r="C508" s="29" t="s">
        <v>1857</v>
      </c>
      <c r="D508" s="39" t="s">
        <v>1858</v>
      </c>
      <c r="E508" s="28" t="s">
        <v>28</v>
      </c>
      <c r="F508" s="28" t="s">
        <v>29</v>
      </c>
      <c r="G508" s="28" t="s">
        <v>37</v>
      </c>
      <c r="H508" s="28" t="s">
        <v>31</v>
      </c>
      <c r="I508" s="28" t="s">
        <v>38</v>
      </c>
      <c r="J508" s="28">
        <v>802.0</v>
      </c>
      <c r="K508" s="28"/>
      <c r="L508" s="28" t="s">
        <v>1859</v>
      </c>
      <c r="M508" s="28" t="s">
        <v>931</v>
      </c>
      <c r="N508" s="28">
        <v>1970.0</v>
      </c>
      <c r="O508" s="31">
        <v>6.0</v>
      </c>
      <c r="P508" s="28">
        <v>2.0</v>
      </c>
      <c r="Q508" s="32">
        <v>2.0</v>
      </c>
      <c r="R508" s="33"/>
      <c r="S508" s="34"/>
      <c r="T508" s="34"/>
      <c r="U508" s="34"/>
      <c r="V508" s="34"/>
      <c r="W508" s="34"/>
      <c r="X508" s="34"/>
      <c r="Y508" s="3"/>
      <c r="Z508" s="3"/>
      <c r="AA508" s="3"/>
      <c r="AB508" s="3"/>
      <c r="AC508" s="3"/>
      <c r="AD508" s="3"/>
      <c r="AE508" s="3"/>
      <c r="AF508" s="3"/>
      <c r="AG508" s="3"/>
      <c r="AH508" s="3"/>
      <c r="AI508" s="3"/>
      <c r="AJ508" s="3"/>
      <c r="AK508" s="3"/>
      <c r="AL508" s="3"/>
    </row>
    <row r="509" ht="15.75" customHeight="1">
      <c r="A509" s="27">
        <f t="shared" si="10"/>
        <v>194</v>
      </c>
      <c r="B509" s="28" t="s">
        <v>1860</v>
      </c>
      <c r="C509" s="29" t="s">
        <v>1857</v>
      </c>
      <c r="D509" s="30" t="s">
        <v>1861</v>
      </c>
      <c r="E509" s="28" t="s">
        <v>28</v>
      </c>
      <c r="F509" s="28" t="s">
        <v>29</v>
      </c>
      <c r="G509" s="28" t="s">
        <v>37</v>
      </c>
      <c r="H509" s="28"/>
      <c r="I509" s="28" t="s">
        <v>38</v>
      </c>
      <c r="J509" s="28">
        <v>111.0</v>
      </c>
      <c r="K509" s="28"/>
      <c r="L509" s="28" t="s">
        <v>1862</v>
      </c>
      <c r="M509" s="28" t="s">
        <v>507</v>
      </c>
      <c r="N509" s="28">
        <v>2017.0</v>
      </c>
      <c r="O509" s="31">
        <v>5.0</v>
      </c>
      <c r="P509" s="28">
        <v>1.0</v>
      </c>
      <c r="Q509" s="32">
        <v>1.0</v>
      </c>
      <c r="R509" s="33"/>
      <c r="S509" s="40"/>
      <c r="T509" s="40"/>
      <c r="U509" s="40"/>
      <c r="V509" s="40"/>
      <c r="W509" s="40"/>
      <c r="X509" s="40"/>
      <c r="Y509" s="3"/>
      <c r="Z509" s="3"/>
      <c r="AA509" s="3"/>
      <c r="AB509" s="3"/>
      <c r="AC509" s="3"/>
      <c r="AD509" s="3"/>
      <c r="AE509" s="3"/>
      <c r="AF509" s="3"/>
      <c r="AG509" s="3"/>
      <c r="AH509" s="3"/>
      <c r="AI509" s="3"/>
      <c r="AJ509" s="3"/>
      <c r="AK509" s="3"/>
      <c r="AL509" s="3"/>
    </row>
    <row r="510" ht="15.75" customHeight="1">
      <c r="A510" s="27">
        <f t="shared" si="10"/>
        <v>195</v>
      </c>
      <c r="B510" s="28" t="s">
        <v>1863</v>
      </c>
      <c r="C510" s="29" t="s">
        <v>1864</v>
      </c>
      <c r="D510" s="39" t="s">
        <v>1865</v>
      </c>
      <c r="E510" s="28" t="s">
        <v>28</v>
      </c>
      <c r="F510" s="28" t="s">
        <v>29</v>
      </c>
      <c r="G510" s="28" t="s">
        <v>37</v>
      </c>
      <c r="H510" s="28"/>
      <c r="I510" s="28" t="s">
        <v>38</v>
      </c>
      <c r="J510" s="28">
        <v>448.0</v>
      </c>
      <c r="K510" s="28"/>
      <c r="L510" s="28" t="s">
        <v>1866</v>
      </c>
      <c r="M510" s="28" t="s">
        <v>178</v>
      </c>
      <c r="N510" s="28">
        <v>2003.0</v>
      </c>
      <c r="O510" s="31">
        <v>6.0</v>
      </c>
      <c r="P510" s="28">
        <v>1.0</v>
      </c>
      <c r="Q510" s="32">
        <v>1.0</v>
      </c>
      <c r="R510" s="33"/>
      <c r="S510" s="34"/>
      <c r="T510" s="34"/>
      <c r="U510" s="34"/>
      <c r="V510" s="34"/>
      <c r="W510" s="34"/>
      <c r="X510" s="34"/>
      <c r="Y510" s="3"/>
      <c r="Z510" s="3"/>
      <c r="AA510" s="3"/>
      <c r="AB510" s="3"/>
      <c r="AC510" s="3"/>
      <c r="AD510" s="3"/>
      <c r="AE510" s="3"/>
      <c r="AF510" s="3"/>
      <c r="AG510" s="3"/>
      <c r="AH510" s="3"/>
      <c r="AI510" s="3"/>
      <c r="AJ510" s="3"/>
      <c r="AK510" s="3"/>
      <c r="AL510" s="3"/>
    </row>
    <row r="511" ht="15.75" customHeight="1">
      <c r="A511" s="27">
        <f t="shared" si="10"/>
        <v>196</v>
      </c>
      <c r="B511" s="28" t="s">
        <v>1867</v>
      </c>
      <c r="C511" s="29" t="s">
        <v>1868</v>
      </c>
      <c r="D511" s="39" t="s">
        <v>1869</v>
      </c>
      <c r="E511" s="28" t="s">
        <v>28</v>
      </c>
      <c r="F511" s="28" t="s">
        <v>29</v>
      </c>
      <c r="G511" s="28" t="s">
        <v>37</v>
      </c>
      <c r="H511" s="28"/>
      <c r="I511" s="28" t="s">
        <v>38</v>
      </c>
      <c r="J511" s="28">
        <v>615.0</v>
      </c>
      <c r="K511" s="28"/>
      <c r="L511" s="31" t="s">
        <v>1870</v>
      </c>
      <c r="M511" s="77" t="s">
        <v>250</v>
      </c>
      <c r="N511" s="28">
        <v>2014.0</v>
      </c>
      <c r="O511" s="31">
        <v>6.0</v>
      </c>
      <c r="P511" s="28">
        <v>1.0</v>
      </c>
      <c r="Q511" s="32">
        <v>1.0</v>
      </c>
      <c r="R511" s="33"/>
      <c r="S511" s="34"/>
      <c r="T511" s="34"/>
      <c r="U511" s="34"/>
      <c r="V511" s="34"/>
      <c r="W511" s="34"/>
      <c r="X511" s="34"/>
      <c r="Y511" s="3"/>
      <c r="Z511" s="3"/>
      <c r="AA511" s="3"/>
      <c r="AB511" s="3"/>
      <c r="AC511" s="3"/>
      <c r="AD511" s="3"/>
      <c r="AE511" s="3"/>
      <c r="AF511" s="3"/>
      <c r="AG511" s="3"/>
      <c r="AH511" s="3"/>
      <c r="AI511" s="3"/>
      <c r="AJ511" s="3"/>
      <c r="AK511" s="3"/>
      <c r="AL511" s="3"/>
    </row>
    <row r="512" ht="15.75" customHeight="1">
      <c r="A512" s="27">
        <f t="shared" si="10"/>
        <v>197</v>
      </c>
      <c r="B512" s="28" t="s">
        <v>1871</v>
      </c>
      <c r="C512" s="29" t="s">
        <v>1872</v>
      </c>
      <c r="D512" s="39" t="s">
        <v>1873</v>
      </c>
      <c r="E512" s="28" t="s">
        <v>28</v>
      </c>
      <c r="F512" s="28" t="s">
        <v>29</v>
      </c>
      <c r="G512" s="28" t="s">
        <v>234</v>
      </c>
      <c r="H512" s="28"/>
      <c r="I512" s="28" t="s">
        <v>38</v>
      </c>
      <c r="J512" s="28">
        <v>301.0</v>
      </c>
      <c r="K512" s="28"/>
      <c r="L512" s="28" t="s">
        <v>1738</v>
      </c>
      <c r="M512" s="28" t="s">
        <v>236</v>
      </c>
      <c r="N512" s="28">
        <v>2000.0</v>
      </c>
      <c r="O512" s="31">
        <v>6.0</v>
      </c>
      <c r="P512" s="28">
        <v>1.0</v>
      </c>
      <c r="Q512" s="32">
        <v>1.0</v>
      </c>
      <c r="R512" s="33"/>
      <c r="S512" s="40"/>
      <c r="T512" s="40"/>
      <c r="U512" s="40"/>
      <c r="V512" s="40"/>
      <c r="W512" s="40"/>
      <c r="X512" s="40"/>
      <c r="Y512" s="3"/>
      <c r="Z512" s="3"/>
      <c r="AA512" s="3"/>
      <c r="AB512" s="3"/>
      <c r="AC512" s="3"/>
      <c r="AD512" s="3"/>
      <c r="AE512" s="3"/>
      <c r="AF512" s="3"/>
      <c r="AG512" s="3"/>
      <c r="AH512" s="3"/>
      <c r="AI512" s="3"/>
      <c r="AJ512" s="3"/>
      <c r="AK512" s="3"/>
      <c r="AL512" s="3"/>
    </row>
    <row r="513" ht="39.0" customHeight="1">
      <c r="A513" s="27">
        <f t="shared" si="10"/>
        <v>198</v>
      </c>
      <c r="B513" s="28" t="s">
        <v>1874</v>
      </c>
      <c r="C513" s="29" t="s">
        <v>1875</v>
      </c>
      <c r="D513" s="39" t="s">
        <v>1876</v>
      </c>
      <c r="E513" s="28" t="s">
        <v>144</v>
      </c>
      <c r="F513" s="28" t="s">
        <v>29</v>
      </c>
      <c r="G513" s="28" t="s">
        <v>37</v>
      </c>
      <c r="H513" s="28"/>
      <c r="I513" s="28" t="s">
        <v>38</v>
      </c>
      <c r="J513" s="28">
        <f>698+22</f>
        <v>720</v>
      </c>
      <c r="K513" s="28"/>
      <c r="L513" s="31" t="s">
        <v>1877</v>
      </c>
      <c r="M513" s="28" t="s">
        <v>230</v>
      </c>
      <c r="N513" s="28">
        <v>2007.0</v>
      </c>
      <c r="O513" s="31">
        <v>5.0</v>
      </c>
      <c r="P513" s="28">
        <v>1.0</v>
      </c>
      <c r="Q513" s="32">
        <v>1.0</v>
      </c>
      <c r="R513" s="33"/>
      <c r="S513" s="34"/>
      <c r="T513" s="34"/>
      <c r="U513" s="34"/>
      <c r="V513" s="34"/>
      <c r="W513" s="34"/>
      <c r="X513" s="34"/>
      <c r="Y513" s="3"/>
      <c r="Z513" s="3"/>
      <c r="AA513" s="3"/>
      <c r="AB513" s="3"/>
      <c r="AC513" s="3"/>
      <c r="AD513" s="3"/>
      <c r="AE513" s="3"/>
      <c r="AF513" s="3"/>
      <c r="AG513" s="3"/>
      <c r="AH513" s="3"/>
      <c r="AI513" s="3"/>
      <c r="AJ513" s="3"/>
      <c r="AK513" s="3"/>
      <c r="AL513" s="3"/>
    </row>
    <row r="514" ht="15.75" customHeight="1">
      <c r="A514" s="27">
        <f t="shared" si="10"/>
        <v>199</v>
      </c>
      <c r="B514" s="28" t="s">
        <v>1878</v>
      </c>
      <c r="C514" s="29" t="s">
        <v>1879</v>
      </c>
      <c r="D514" s="39" t="s">
        <v>1880</v>
      </c>
      <c r="E514" s="28" t="s">
        <v>28</v>
      </c>
      <c r="F514" s="28" t="s">
        <v>29</v>
      </c>
      <c r="G514" s="28" t="s">
        <v>1032</v>
      </c>
      <c r="H514" s="28"/>
      <c r="I514" s="28" t="s">
        <v>38</v>
      </c>
      <c r="J514" s="28">
        <v>305.0</v>
      </c>
      <c r="K514" s="28"/>
      <c r="L514" s="28" t="s">
        <v>1881</v>
      </c>
      <c r="M514" s="28" t="s">
        <v>236</v>
      </c>
      <c r="N514" s="28">
        <v>1983.0</v>
      </c>
      <c r="O514" s="31">
        <v>6.0</v>
      </c>
      <c r="P514" s="28">
        <v>1.0</v>
      </c>
      <c r="Q514" s="32">
        <v>1.0</v>
      </c>
      <c r="R514" s="33"/>
      <c r="S514" s="40"/>
      <c r="T514" s="40"/>
      <c r="U514" s="40"/>
      <c r="V514" s="40"/>
      <c r="W514" s="40"/>
      <c r="X514" s="40"/>
      <c r="Y514" s="3"/>
      <c r="Z514" s="3"/>
      <c r="AA514" s="3"/>
      <c r="AB514" s="3"/>
      <c r="AC514" s="3"/>
      <c r="AD514" s="3"/>
      <c r="AE514" s="3"/>
      <c r="AF514" s="3"/>
      <c r="AG514" s="3"/>
      <c r="AH514" s="3"/>
      <c r="AI514" s="3"/>
      <c r="AJ514" s="3"/>
      <c r="AK514" s="3"/>
      <c r="AL514" s="3"/>
    </row>
    <row r="515" ht="15.75" customHeight="1">
      <c r="A515" s="27">
        <f t="shared" si="10"/>
        <v>200</v>
      </c>
      <c r="B515" s="28" t="s">
        <v>1882</v>
      </c>
      <c r="C515" s="29" t="s">
        <v>1883</v>
      </c>
      <c r="D515" s="39" t="s">
        <v>1884</v>
      </c>
      <c r="E515" s="28" t="s">
        <v>28</v>
      </c>
      <c r="F515" s="28" t="s">
        <v>29</v>
      </c>
      <c r="G515" s="28" t="s">
        <v>38</v>
      </c>
      <c r="H515" s="28" t="s">
        <v>31</v>
      </c>
      <c r="I515" s="28" t="s">
        <v>38</v>
      </c>
      <c r="J515" s="31">
        <v>237.0</v>
      </c>
      <c r="K515" s="28"/>
      <c r="L515" s="28" t="s">
        <v>1885</v>
      </c>
      <c r="M515" s="28" t="s">
        <v>1886</v>
      </c>
      <c r="N515" s="28">
        <v>1971.0</v>
      </c>
      <c r="O515" s="31" t="s">
        <v>494</v>
      </c>
      <c r="P515" s="28">
        <v>1.0</v>
      </c>
      <c r="Q515" s="32">
        <v>1.0</v>
      </c>
      <c r="R515" s="33"/>
      <c r="S515" s="34"/>
      <c r="T515" s="34"/>
      <c r="U515" s="34"/>
      <c r="V515" s="34"/>
      <c r="W515" s="34"/>
      <c r="X515" s="34"/>
      <c r="Y515" s="3"/>
      <c r="Z515" s="3"/>
      <c r="AA515" s="3"/>
      <c r="AB515" s="3"/>
      <c r="AC515" s="3"/>
      <c r="AD515" s="3"/>
      <c r="AE515" s="3"/>
      <c r="AF515" s="3"/>
      <c r="AG515" s="3"/>
      <c r="AH515" s="3"/>
      <c r="AI515" s="3"/>
      <c r="AJ515" s="3"/>
      <c r="AK515" s="3"/>
      <c r="AL515" s="3"/>
    </row>
    <row r="516" ht="15.75" customHeight="1">
      <c r="A516" s="27">
        <f t="shared" si="10"/>
        <v>201</v>
      </c>
      <c r="B516" s="28" t="s">
        <v>31</v>
      </c>
      <c r="C516" s="29" t="s">
        <v>1887</v>
      </c>
      <c r="D516" s="39" t="s">
        <v>1888</v>
      </c>
      <c r="E516" s="28" t="s">
        <v>28</v>
      </c>
      <c r="F516" s="28" t="s">
        <v>29</v>
      </c>
      <c r="G516" s="28" t="s">
        <v>37</v>
      </c>
      <c r="H516" s="28"/>
      <c r="I516" s="28" t="s">
        <v>38</v>
      </c>
      <c r="J516" s="28">
        <v>421.0</v>
      </c>
      <c r="K516" s="28"/>
      <c r="L516" s="28" t="s">
        <v>1889</v>
      </c>
      <c r="M516" s="28" t="s">
        <v>507</v>
      </c>
      <c r="N516" s="28">
        <v>1951.0</v>
      </c>
      <c r="O516" s="31">
        <v>5.0</v>
      </c>
      <c r="P516" s="28">
        <v>1.0</v>
      </c>
      <c r="Q516" s="37">
        <v>1.0</v>
      </c>
      <c r="R516" s="33"/>
      <c r="S516" s="40"/>
      <c r="T516" s="40"/>
      <c r="U516" s="40"/>
      <c r="V516" s="40"/>
      <c r="W516" s="40"/>
      <c r="X516" s="40"/>
      <c r="Y516" s="45"/>
      <c r="Z516" s="45"/>
      <c r="AA516" s="45"/>
      <c r="AB516" s="45"/>
      <c r="AC516" s="45"/>
      <c r="AD516" s="45"/>
      <c r="AE516" s="45"/>
      <c r="AF516" s="45"/>
      <c r="AG516" s="45"/>
      <c r="AH516" s="45"/>
      <c r="AI516" s="45"/>
      <c r="AJ516" s="45"/>
      <c r="AK516" s="45"/>
      <c r="AL516" s="45"/>
    </row>
    <row r="517" ht="15.75" customHeight="1">
      <c r="A517" s="27">
        <f t="shared" si="10"/>
        <v>202</v>
      </c>
      <c r="B517" s="28"/>
      <c r="C517" s="29" t="s">
        <v>1890</v>
      </c>
      <c r="D517" s="39" t="s">
        <v>1891</v>
      </c>
      <c r="E517" s="28" t="s">
        <v>28</v>
      </c>
      <c r="F517" s="28" t="s">
        <v>29</v>
      </c>
      <c r="G517" s="28" t="s">
        <v>37</v>
      </c>
      <c r="H517" s="28"/>
      <c r="I517" s="28" t="s">
        <v>38</v>
      </c>
      <c r="J517" s="28">
        <v>546.0</v>
      </c>
      <c r="K517" s="28"/>
      <c r="L517" s="31" t="s">
        <v>1892</v>
      </c>
      <c r="M517" s="28" t="s">
        <v>156</v>
      </c>
      <c r="N517" s="28">
        <v>1984.0</v>
      </c>
      <c r="O517" s="31">
        <v>6.0</v>
      </c>
      <c r="P517" s="28">
        <v>1.0</v>
      </c>
      <c r="Q517" s="32">
        <v>1.0</v>
      </c>
      <c r="R517" s="33"/>
      <c r="S517" s="40"/>
      <c r="T517" s="40"/>
      <c r="U517" s="40"/>
      <c r="V517" s="40"/>
      <c r="W517" s="40"/>
      <c r="X517" s="40"/>
      <c r="Y517" s="45"/>
      <c r="Z517" s="45"/>
      <c r="AA517" s="45"/>
      <c r="AB517" s="45"/>
      <c r="AC517" s="45"/>
      <c r="AD517" s="45"/>
      <c r="AE517" s="45"/>
      <c r="AF517" s="45"/>
      <c r="AG517" s="45"/>
      <c r="AH517" s="45"/>
      <c r="AI517" s="45"/>
      <c r="AJ517" s="45"/>
      <c r="AK517" s="45"/>
      <c r="AL517" s="45"/>
    </row>
    <row r="518" ht="15.75" customHeight="1">
      <c r="A518" s="27">
        <f t="shared" si="10"/>
        <v>203</v>
      </c>
      <c r="B518" s="28" t="s">
        <v>1893</v>
      </c>
      <c r="C518" s="29" t="s">
        <v>1894</v>
      </c>
      <c r="D518" s="39" t="s">
        <v>1895</v>
      </c>
      <c r="E518" s="28" t="s">
        <v>28</v>
      </c>
      <c r="F518" s="28" t="s">
        <v>29</v>
      </c>
      <c r="G518" s="28" t="s">
        <v>37</v>
      </c>
      <c r="H518" s="28"/>
      <c r="I518" s="28" t="s">
        <v>38</v>
      </c>
      <c r="J518" s="31">
        <v>474.0</v>
      </c>
      <c r="K518" s="28"/>
      <c r="L518" s="31" t="s">
        <v>1892</v>
      </c>
      <c r="M518" s="28" t="s">
        <v>156</v>
      </c>
      <c r="N518" s="28">
        <v>1984.0</v>
      </c>
      <c r="O518" s="31">
        <v>6.0</v>
      </c>
      <c r="P518" s="28">
        <v>1.0</v>
      </c>
      <c r="Q518" s="32">
        <v>1.0</v>
      </c>
      <c r="R518" s="33"/>
      <c r="S518" s="34"/>
      <c r="T518" s="34"/>
      <c r="U518" s="34"/>
      <c r="V518" s="34"/>
      <c r="W518" s="34"/>
      <c r="X518" s="34"/>
      <c r="Y518" s="3"/>
      <c r="Z518" s="3"/>
      <c r="AA518" s="3"/>
      <c r="AB518" s="3"/>
      <c r="AC518" s="3"/>
      <c r="AD518" s="3"/>
      <c r="AE518" s="3"/>
      <c r="AF518" s="3"/>
      <c r="AG518" s="3"/>
      <c r="AH518" s="3"/>
      <c r="AI518" s="3"/>
      <c r="AJ518" s="3"/>
      <c r="AK518" s="3"/>
      <c r="AL518" s="3"/>
    </row>
    <row r="519" ht="15.75" customHeight="1">
      <c r="A519" s="27">
        <f t="shared" si="10"/>
        <v>204</v>
      </c>
      <c r="B519" s="28" t="s">
        <v>1896</v>
      </c>
      <c r="C519" s="29" t="s">
        <v>1897</v>
      </c>
      <c r="D519" s="39" t="s">
        <v>1898</v>
      </c>
      <c r="E519" s="28" t="s">
        <v>28</v>
      </c>
      <c r="F519" s="28" t="s">
        <v>29</v>
      </c>
      <c r="G519" s="28" t="s">
        <v>37</v>
      </c>
      <c r="H519" s="28"/>
      <c r="I519" s="28" t="s">
        <v>38</v>
      </c>
      <c r="J519" s="28">
        <v>436.0</v>
      </c>
      <c r="K519" s="28"/>
      <c r="L519" s="28" t="s">
        <v>1899</v>
      </c>
      <c r="M519" s="28" t="s">
        <v>1394</v>
      </c>
      <c r="N519" s="28">
        <v>2016.0</v>
      </c>
      <c r="O519" s="31">
        <v>5.0</v>
      </c>
      <c r="P519" s="28">
        <v>1.0</v>
      </c>
      <c r="Q519" s="32">
        <v>1.0</v>
      </c>
      <c r="R519" s="33"/>
      <c r="S519" s="38"/>
      <c r="T519" s="38"/>
      <c r="U519" s="38"/>
      <c r="V519" s="38"/>
      <c r="W519" s="38"/>
      <c r="X519" s="38"/>
      <c r="Y519" s="3"/>
      <c r="Z519" s="3"/>
      <c r="AA519" s="3"/>
      <c r="AB519" s="3"/>
      <c r="AC519" s="3"/>
      <c r="AD519" s="3"/>
      <c r="AE519" s="3"/>
      <c r="AF519" s="3"/>
      <c r="AG519" s="3"/>
      <c r="AH519" s="3"/>
      <c r="AI519" s="3"/>
      <c r="AJ519" s="3"/>
      <c r="AK519" s="3"/>
      <c r="AL519" s="3"/>
    </row>
    <row r="520" ht="15.75" customHeight="1">
      <c r="A520" s="27">
        <f t="shared" si="10"/>
        <v>205</v>
      </c>
      <c r="B520" s="28" t="s">
        <v>1900</v>
      </c>
      <c r="C520" s="29" t="s">
        <v>1901</v>
      </c>
      <c r="D520" s="39" t="s">
        <v>1902</v>
      </c>
      <c r="E520" s="28" t="s">
        <v>28</v>
      </c>
      <c r="F520" s="28" t="s">
        <v>29</v>
      </c>
      <c r="G520" s="28" t="s">
        <v>37</v>
      </c>
      <c r="H520" s="28" t="s">
        <v>31</v>
      </c>
      <c r="I520" s="28" t="s">
        <v>38</v>
      </c>
      <c r="J520" s="28">
        <v>288.0</v>
      </c>
      <c r="K520" s="28"/>
      <c r="L520" s="28" t="s">
        <v>1903</v>
      </c>
      <c r="M520" s="28" t="s">
        <v>230</v>
      </c>
      <c r="N520" s="28">
        <v>1988.0</v>
      </c>
      <c r="O520" s="31">
        <v>5.0</v>
      </c>
      <c r="P520" s="28">
        <v>1.0</v>
      </c>
      <c r="Q520" s="32">
        <v>1.0</v>
      </c>
      <c r="R520" s="33"/>
      <c r="S520" s="34"/>
      <c r="T520" s="34"/>
      <c r="U520" s="34"/>
      <c r="V520" s="34"/>
      <c r="W520" s="34"/>
      <c r="X520" s="34"/>
      <c r="Y520" s="3"/>
      <c r="Z520" s="3"/>
      <c r="AA520" s="3"/>
      <c r="AB520" s="3"/>
      <c r="AC520" s="3"/>
      <c r="AD520" s="3"/>
      <c r="AE520" s="3"/>
      <c r="AF520" s="3"/>
      <c r="AG520" s="3"/>
      <c r="AH520" s="3"/>
      <c r="AI520" s="3"/>
      <c r="AJ520" s="3"/>
      <c r="AK520" s="3"/>
      <c r="AL520" s="3"/>
    </row>
    <row r="521" ht="15.75" customHeight="1">
      <c r="A521" s="27">
        <f>A522+1</f>
        <v>207</v>
      </c>
      <c r="B521" s="28" t="s">
        <v>1904</v>
      </c>
      <c r="C521" s="29" t="s">
        <v>1905</v>
      </c>
      <c r="D521" s="39" t="s">
        <v>1906</v>
      </c>
      <c r="E521" s="28"/>
      <c r="F521" s="28" t="s">
        <v>29</v>
      </c>
      <c r="G521" s="28" t="s">
        <v>1331</v>
      </c>
      <c r="H521" s="28"/>
      <c r="I521" s="28" t="s">
        <v>38</v>
      </c>
      <c r="J521" s="28">
        <v>155.0</v>
      </c>
      <c r="K521" s="28"/>
      <c r="L521" s="31" t="s">
        <v>1907</v>
      </c>
      <c r="M521" s="28" t="s">
        <v>1333</v>
      </c>
      <c r="N521" s="28">
        <v>1990.0</v>
      </c>
      <c r="O521" s="31">
        <v>5.0</v>
      </c>
      <c r="P521" s="28">
        <v>3.0</v>
      </c>
      <c r="Q521" s="37">
        <v>3.0</v>
      </c>
      <c r="R521" s="33"/>
      <c r="S521" s="40"/>
      <c r="T521" s="40"/>
      <c r="U521" s="40"/>
      <c r="V521" s="40"/>
      <c r="W521" s="40"/>
      <c r="X521" s="40"/>
      <c r="Y521" s="3"/>
      <c r="Z521" s="3"/>
      <c r="AA521" s="3"/>
      <c r="AB521" s="3"/>
      <c r="AC521" s="3"/>
      <c r="AD521" s="3"/>
      <c r="AE521" s="3"/>
      <c r="AF521" s="3"/>
      <c r="AG521" s="3"/>
      <c r="AH521" s="3"/>
      <c r="AI521" s="3"/>
      <c r="AJ521" s="3"/>
      <c r="AK521" s="3"/>
      <c r="AL521" s="3"/>
    </row>
    <row r="522" ht="15.75" customHeight="1">
      <c r="A522" s="27">
        <f>A520+1</f>
        <v>206</v>
      </c>
      <c r="B522" s="28" t="s">
        <v>1908</v>
      </c>
      <c r="C522" s="29" t="s">
        <v>1909</v>
      </c>
      <c r="D522" s="39" t="s">
        <v>1910</v>
      </c>
      <c r="E522" s="28" t="s">
        <v>28</v>
      </c>
      <c r="F522" s="28" t="s">
        <v>29</v>
      </c>
      <c r="G522" s="28" t="s">
        <v>37</v>
      </c>
      <c r="H522" s="28"/>
      <c r="I522" s="28" t="s">
        <v>38</v>
      </c>
      <c r="J522" s="28">
        <v>188.0</v>
      </c>
      <c r="K522" s="28"/>
      <c r="L522" s="28" t="s">
        <v>1911</v>
      </c>
      <c r="M522" s="28" t="s">
        <v>156</v>
      </c>
      <c r="N522" s="28">
        <v>1975.0</v>
      </c>
      <c r="O522" s="31">
        <v>6.0</v>
      </c>
      <c r="P522" s="28">
        <v>2.0</v>
      </c>
      <c r="Q522" s="32">
        <v>2.0</v>
      </c>
      <c r="R522" s="33"/>
      <c r="S522" s="40"/>
      <c r="T522" s="40"/>
      <c r="U522" s="40"/>
      <c r="V522" s="40"/>
      <c r="W522" s="40"/>
      <c r="X522" s="40"/>
      <c r="Y522" s="3"/>
      <c r="Z522" s="3"/>
      <c r="AA522" s="3"/>
      <c r="AB522" s="3"/>
      <c r="AC522" s="3"/>
      <c r="AD522" s="3"/>
      <c r="AE522" s="3"/>
      <c r="AF522" s="3"/>
      <c r="AG522" s="3"/>
      <c r="AH522" s="3"/>
      <c r="AI522" s="3"/>
      <c r="AJ522" s="3"/>
      <c r="AK522" s="3"/>
      <c r="AL522" s="3"/>
    </row>
    <row r="523" ht="15.75" customHeight="1">
      <c r="A523" s="27">
        <f t="shared" ref="A523:A537" si="11">A522+1</f>
        <v>207</v>
      </c>
      <c r="B523" s="28" t="s">
        <v>1912</v>
      </c>
      <c r="C523" s="29" t="s">
        <v>1913</v>
      </c>
      <c r="D523" s="39" t="s">
        <v>1914</v>
      </c>
      <c r="E523" s="28" t="s">
        <v>28</v>
      </c>
      <c r="F523" s="28" t="s">
        <v>29</v>
      </c>
      <c r="G523" s="28" t="s">
        <v>37</v>
      </c>
      <c r="H523" s="28"/>
      <c r="I523" s="28" t="s">
        <v>38</v>
      </c>
      <c r="J523" s="28">
        <v>187.0</v>
      </c>
      <c r="K523" s="28"/>
      <c r="L523" s="31" t="s">
        <v>1915</v>
      </c>
      <c r="M523" s="28" t="s">
        <v>178</v>
      </c>
      <c r="N523" s="28">
        <v>2004.0</v>
      </c>
      <c r="O523" s="31">
        <v>6.0</v>
      </c>
      <c r="P523" s="28">
        <v>1.0</v>
      </c>
      <c r="Q523" s="32">
        <v>1.0</v>
      </c>
      <c r="R523" s="33"/>
      <c r="S523" s="40"/>
      <c r="T523" s="40"/>
      <c r="U523" s="40"/>
      <c r="V523" s="40"/>
      <c r="W523" s="40"/>
      <c r="X523" s="40"/>
      <c r="Y523" s="3"/>
      <c r="Z523" s="3"/>
      <c r="AA523" s="3"/>
      <c r="AB523" s="3"/>
      <c r="AC523" s="3"/>
      <c r="AD523" s="3"/>
      <c r="AE523" s="3"/>
      <c r="AF523" s="3"/>
      <c r="AG523" s="3"/>
      <c r="AH523" s="3"/>
      <c r="AI523" s="3"/>
      <c r="AJ523" s="3"/>
      <c r="AK523" s="3"/>
      <c r="AL523" s="3"/>
    </row>
    <row r="524" ht="15.75" customHeight="1">
      <c r="A524" s="27">
        <f t="shared" si="11"/>
        <v>208</v>
      </c>
      <c r="B524" s="28" t="s">
        <v>1916</v>
      </c>
      <c r="C524" s="29" t="s">
        <v>1917</v>
      </c>
      <c r="D524" s="39" t="s">
        <v>1918</v>
      </c>
      <c r="E524" s="28" t="s">
        <v>28</v>
      </c>
      <c r="F524" s="28" t="s">
        <v>29</v>
      </c>
      <c r="G524" s="28" t="s">
        <v>234</v>
      </c>
      <c r="H524" s="28"/>
      <c r="I524" s="28" t="s">
        <v>38</v>
      </c>
      <c r="J524" s="28">
        <v>514.0</v>
      </c>
      <c r="K524" s="28"/>
      <c r="L524" s="28" t="s">
        <v>1919</v>
      </c>
      <c r="M524" s="28" t="s">
        <v>236</v>
      </c>
      <c r="N524" s="28">
        <v>1996.0</v>
      </c>
      <c r="O524" s="31">
        <v>6.0</v>
      </c>
      <c r="P524" s="28">
        <v>1.0</v>
      </c>
      <c r="Q524" s="32">
        <v>1.0</v>
      </c>
      <c r="R524" s="33"/>
      <c r="S524" s="40"/>
      <c r="T524" s="40"/>
      <c r="U524" s="40"/>
      <c r="V524" s="40"/>
      <c r="W524" s="40"/>
      <c r="X524" s="40"/>
      <c r="Y524" s="3"/>
      <c r="Z524" s="3"/>
      <c r="AA524" s="3"/>
      <c r="AB524" s="3"/>
      <c r="AC524" s="3"/>
      <c r="AD524" s="3"/>
      <c r="AE524" s="3"/>
      <c r="AF524" s="3"/>
      <c r="AG524" s="3"/>
      <c r="AH524" s="3"/>
      <c r="AI524" s="3"/>
      <c r="AJ524" s="3"/>
      <c r="AK524" s="3"/>
      <c r="AL524" s="3"/>
    </row>
    <row r="525" ht="15.75" customHeight="1">
      <c r="A525" s="27">
        <f t="shared" si="11"/>
        <v>209</v>
      </c>
      <c r="B525" s="28" t="s">
        <v>1920</v>
      </c>
      <c r="C525" s="29" t="s">
        <v>1921</v>
      </c>
      <c r="D525" s="39" t="s">
        <v>1922</v>
      </c>
      <c r="E525" s="28" t="s">
        <v>144</v>
      </c>
      <c r="F525" s="28" t="s">
        <v>29</v>
      </c>
      <c r="G525" s="28" t="s">
        <v>37</v>
      </c>
      <c r="H525" s="28"/>
      <c r="I525" s="28" t="s">
        <v>38</v>
      </c>
      <c r="J525" s="28">
        <f>555+20</f>
        <v>575</v>
      </c>
      <c r="K525" s="28"/>
      <c r="L525" s="31" t="s">
        <v>1923</v>
      </c>
      <c r="M525" s="28" t="s">
        <v>230</v>
      </c>
      <c r="N525" s="31">
        <v>2012.0</v>
      </c>
      <c r="O525" s="31">
        <v>5.0</v>
      </c>
      <c r="P525" s="28">
        <v>2.0</v>
      </c>
      <c r="Q525" s="32">
        <v>2.0</v>
      </c>
      <c r="R525" s="33"/>
      <c r="S525" s="34"/>
      <c r="T525" s="34"/>
      <c r="U525" s="34"/>
      <c r="V525" s="34"/>
      <c r="W525" s="34"/>
      <c r="X525" s="34"/>
      <c r="Y525" s="3"/>
      <c r="Z525" s="3"/>
      <c r="AA525" s="3"/>
      <c r="AB525" s="3"/>
      <c r="AC525" s="3"/>
      <c r="AD525" s="3"/>
      <c r="AE525" s="3"/>
      <c r="AF525" s="3"/>
      <c r="AG525" s="3"/>
      <c r="AH525" s="3"/>
      <c r="AI525" s="3"/>
      <c r="AJ525" s="3"/>
      <c r="AK525" s="3"/>
      <c r="AL525" s="3"/>
    </row>
    <row r="526" ht="15.75" customHeight="1">
      <c r="A526" s="27">
        <f t="shared" si="11"/>
        <v>210</v>
      </c>
      <c r="B526" s="28" t="s">
        <v>1924</v>
      </c>
      <c r="C526" s="29" t="s">
        <v>1925</v>
      </c>
      <c r="D526" s="39" t="s">
        <v>1926</v>
      </c>
      <c r="E526" s="28" t="s">
        <v>28</v>
      </c>
      <c r="F526" s="28" t="s">
        <v>29</v>
      </c>
      <c r="G526" s="28" t="s">
        <v>234</v>
      </c>
      <c r="H526" s="28"/>
      <c r="I526" s="28" t="s">
        <v>38</v>
      </c>
      <c r="J526" s="28">
        <v>534.0</v>
      </c>
      <c r="K526" s="28"/>
      <c r="L526" s="28" t="s">
        <v>1927</v>
      </c>
      <c r="M526" s="28" t="s">
        <v>236</v>
      </c>
      <c r="N526" s="28">
        <v>1989.0</v>
      </c>
      <c r="O526" s="31">
        <v>6.0</v>
      </c>
      <c r="P526" s="28">
        <v>1.0</v>
      </c>
      <c r="Q526" s="32">
        <v>1.0</v>
      </c>
      <c r="R526" s="33"/>
      <c r="S526" s="34"/>
      <c r="T526" s="34"/>
      <c r="U526" s="34"/>
      <c r="V526" s="34"/>
      <c r="W526" s="34"/>
      <c r="X526" s="34"/>
      <c r="Y526" s="3"/>
      <c r="Z526" s="3"/>
      <c r="AA526" s="3"/>
      <c r="AB526" s="3"/>
      <c r="AC526" s="3"/>
      <c r="AD526" s="3"/>
      <c r="AE526" s="3"/>
      <c r="AF526" s="3"/>
      <c r="AG526" s="3"/>
      <c r="AH526" s="3"/>
      <c r="AI526" s="3"/>
      <c r="AJ526" s="3"/>
      <c r="AK526" s="3"/>
      <c r="AL526" s="3"/>
    </row>
    <row r="527" ht="15.75" customHeight="1">
      <c r="A527" s="27">
        <f t="shared" si="11"/>
        <v>211</v>
      </c>
      <c r="B527" s="28" t="s">
        <v>1928</v>
      </c>
      <c r="C527" s="29" t="s">
        <v>1929</v>
      </c>
      <c r="D527" s="39" t="s">
        <v>1930</v>
      </c>
      <c r="E527" s="28" t="s">
        <v>28</v>
      </c>
      <c r="F527" s="28" t="s">
        <v>29</v>
      </c>
      <c r="G527" s="28" t="s">
        <v>37</v>
      </c>
      <c r="H527" s="28"/>
      <c r="I527" s="28" t="s">
        <v>38</v>
      </c>
      <c r="J527" s="28">
        <v>338.0</v>
      </c>
      <c r="K527" s="28"/>
      <c r="L527" s="28" t="s">
        <v>1931</v>
      </c>
      <c r="M527" s="28" t="s">
        <v>156</v>
      </c>
      <c r="N527" s="28">
        <v>1975.0</v>
      </c>
      <c r="O527" s="31">
        <v>6.0</v>
      </c>
      <c r="P527" s="28">
        <v>2.0</v>
      </c>
      <c r="Q527" s="32">
        <v>2.0</v>
      </c>
      <c r="R527" s="33"/>
      <c r="S527" s="34"/>
      <c r="T527" s="34"/>
      <c r="U527" s="34"/>
      <c r="V527" s="34"/>
      <c r="W527" s="34"/>
      <c r="X527" s="34"/>
      <c r="Y527" s="3"/>
      <c r="Z527" s="3"/>
      <c r="AA527" s="3"/>
      <c r="AB527" s="3"/>
      <c r="AC527" s="3"/>
      <c r="AD527" s="3"/>
      <c r="AE527" s="3"/>
      <c r="AF527" s="3"/>
      <c r="AG527" s="3"/>
      <c r="AH527" s="3"/>
      <c r="AI527" s="3"/>
      <c r="AJ527" s="3"/>
      <c r="AK527" s="3"/>
      <c r="AL527" s="3"/>
    </row>
    <row r="528" ht="15.75" customHeight="1">
      <c r="A528" s="27">
        <f t="shared" si="11"/>
        <v>212</v>
      </c>
      <c r="B528" s="28" t="s">
        <v>1932</v>
      </c>
      <c r="C528" s="29" t="s">
        <v>1933</v>
      </c>
      <c r="D528" s="30" t="s">
        <v>1934</v>
      </c>
      <c r="E528" s="28" t="s">
        <v>28</v>
      </c>
      <c r="F528" s="28" t="s">
        <v>29</v>
      </c>
      <c r="G528" s="28" t="s">
        <v>37</v>
      </c>
      <c r="H528" s="28"/>
      <c r="I528" s="28" t="s">
        <v>38</v>
      </c>
      <c r="J528" s="28">
        <v>305.0</v>
      </c>
      <c r="K528" s="28"/>
      <c r="L528" s="31" t="s">
        <v>1935</v>
      </c>
      <c r="M528" s="28" t="s">
        <v>931</v>
      </c>
      <c r="N528" s="28">
        <v>1981.0</v>
      </c>
      <c r="O528" s="31">
        <v>5.0</v>
      </c>
      <c r="P528" s="28">
        <v>1.0</v>
      </c>
      <c r="Q528" s="32">
        <v>1.0</v>
      </c>
      <c r="R528" s="33"/>
      <c r="S528" s="34"/>
      <c r="T528" s="34"/>
      <c r="U528" s="34"/>
      <c r="V528" s="34"/>
      <c r="W528" s="34"/>
      <c r="X528" s="34"/>
      <c r="Y528" s="3"/>
      <c r="Z528" s="3"/>
      <c r="AA528" s="3"/>
      <c r="AB528" s="3"/>
      <c r="AC528" s="3"/>
      <c r="AD528" s="3"/>
      <c r="AE528" s="3"/>
      <c r="AF528" s="3"/>
      <c r="AG528" s="3"/>
      <c r="AH528" s="3"/>
      <c r="AI528" s="3"/>
      <c r="AJ528" s="3"/>
      <c r="AK528" s="3"/>
      <c r="AL528" s="3"/>
    </row>
    <row r="529" ht="15.75" customHeight="1">
      <c r="A529" s="27">
        <f t="shared" si="11"/>
        <v>213</v>
      </c>
      <c r="B529" s="28" t="s">
        <v>1936</v>
      </c>
      <c r="C529" s="29" t="s">
        <v>1937</v>
      </c>
      <c r="D529" s="30" t="s">
        <v>1938</v>
      </c>
      <c r="E529" s="28" t="s">
        <v>302</v>
      </c>
      <c r="F529" s="28" t="s">
        <v>29</v>
      </c>
      <c r="G529" s="28" t="s">
        <v>37</v>
      </c>
      <c r="H529" s="28"/>
      <c r="I529" s="28" t="s">
        <v>38</v>
      </c>
      <c r="J529" s="31">
        <v>765.0</v>
      </c>
      <c r="K529" s="28"/>
      <c r="L529" s="28" t="s">
        <v>1450</v>
      </c>
      <c r="M529" s="28" t="s">
        <v>123</v>
      </c>
      <c r="N529" s="28">
        <v>1999.0</v>
      </c>
      <c r="O529" s="31">
        <v>5.0</v>
      </c>
      <c r="P529" s="28">
        <v>1.0</v>
      </c>
      <c r="Q529" s="32">
        <v>1.0</v>
      </c>
      <c r="R529" s="33"/>
      <c r="S529" s="40"/>
      <c r="T529" s="40"/>
      <c r="U529" s="40"/>
      <c r="V529" s="40"/>
      <c r="W529" s="40"/>
      <c r="X529" s="40"/>
      <c r="Y529" s="3"/>
      <c r="Z529" s="3"/>
      <c r="AA529" s="3"/>
      <c r="AB529" s="3"/>
      <c r="AC529" s="3"/>
      <c r="AD529" s="3"/>
      <c r="AE529" s="3"/>
      <c r="AF529" s="3"/>
      <c r="AG529" s="3"/>
      <c r="AH529" s="3"/>
      <c r="AI529" s="3"/>
      <c r="AJ529" s="3"/>
      <c r="AK529" s="3"/>
      <c r="AL529" s="3"/>
    </row>
    <row r="530" ht="15.75" customHeight="1">
      <c r="A530" s="27">
        <f t="shared" si="11"/>
        <v>214</v>
      </c>
      <c r="B530" s="28" t="s">
        <v>1939</v>
      </c>
      <c r="C530" s="29" t="s">
        <v>1940</v>
      </c>
      <c r="D530" s="30" t="s">
        <v>1941</v>
      </c>
      <c r="E530" s="28" t="s">
        <v>28</v>
      </c>
      <c r="F530" s="28" t="s">
        <v>29</v>
      </c>
      <c r="G530" s="28" t="s">
        <v>37</v>
      </c>
      <c r="H530" s="28"/>
      <c r="I530" s="28" t="s">
        <v>38</v>
      </c>
      <c r="J530" s="28">
        <v>207.0</v>
      </c>
      <c r="K530" s="28"/>
      <c r="L530" s="28" t="s">
        <v>1942</v>
      </c>
      <c r="M530" s="28" t="s">
        <v>230</v>
      </c>
      <c r="N530" s="28">
        <v>1983.0</v>
      </c>
      <c r="O530" s="31" t="s">
        <v>494</v>
      </c>
      <c r="P530" s="28">
        <v>1.0</v>
      </c>
      <c r="Q530" s="32">
        <v>1.0</v>
      </c>
      <c r="R530" s="33"/>
      <c r="S530" s="34"/>
      <c r="T530" s="34"/>
      <c r="U530" s="34"/>
      <c r="V530" s="34"/>
      <c r="W530" s="34"/>
      <c r="X530" s="34"/>
      <c r="Y530" s="3"/>
      <c r="Z530" s="3"/>
      <c r="AA530" s="3"/>
      <c r="AB530" s="3"/>
      <c r="AC530" s="3"/>
      <c r="AD530" s="3"/>
      <c r="AE530" s="3"/>
      <c r="AF530" s="3"/>
      <c r="AG530" s="3"/>
      <c r="AH530" s="3"/>
      <c r="AI530" s="3"/>
      <c r="AJ530" s="3"/>
      <c r="AK530" s="3"/>
      <c r="AL530" s="3"/>
    </row>
    <row r="531" ht="15.75" customHeight="1">
      <c r="A531" s="27">
        <f t="shared" si="11"/>
        <v>215</v>
      </c>
      <c r="B531" s="28" t="s">
        <v>1943</v>
      </c>
      <c r="C531" s="29" t="s">
        <v>1944</v>
      </c>
      <c r="D531" s="73" t="s">
        <v>1945</v>
      </c>
      <c r="E531" s="28" t="s">
        <v>28</v>
      </c>
      <c r="F531" s="77" t="s">
        <v>29</v>
      </c>
      <c r="G531" s="28" t="s">
        <v>37</v>
      </c>
      <c r="H531" s="28"/>
      <c r="I531" s="77" t="s">
        <v>38</v>
      </c>
      <c r="J531" s="28">
        <v>454.0</v>
      </c>
      <c r="K531" s="28"/>
      <c r="L531" s="28" t="s">
        <v>1946</v>
      </c>
      <c r="M531" s="77" t="s">
        <v>250</v>
      </c>
      <c r="N531" s="28">
        <v>2010.0</v>
      </c>
      <c r="O531" s="31">
        <v>6.0</v>
      </c>
      <c r="P531" s="28">
        <v>1.0</v>
      </c>
      <c r="Q531" s="32">
        <v>1.0</v>
      </c>
      <c r="R531" s="33"/>
      <c r="S531" s="34"/>
      <c r="T531" s="34"/>
      <c r="U531" s="34"/>
      <c r="V531" s="34"/>
      <c r="W531" s="34"/>
      <c r="X531" s="34"/>
      <c r="Y531" s="3"/>
      <c r="Z531" s="3"/>
      <c r="AA531" s="3"/>
      <c r="AB531" s="3"/>
      <c r="AC531" s="3"/>
      <c r="AD531" s="3"/>
      <c r="AE531" s="3"/>
      <c r="AF531" s="3"/>
      <c r="AG531" s="3"/>
      <c r="AH531" s="3"/>
      <c r="AI531" s="3"/>
      <c r="AJ531" s="3"/>
      <c r="AK531" s="3"/>
      <c r="AL531" s="3"/>
    </row>
    <row r="532" ht="15.75" customHeight="1">
      <c r="A532" s="27">
        <f t="shared" si="11"/>
        <v>216</v>
      </c>
      <c r="B532" s="28" t="s">
        <v>1947</v>
      </c>
      <c r="C532" s="29" t="s">
        <v>1948</v>
      </c>
      <c r="D532" s="30" t="s">
        <v>1949</v>
      </c>
      <c r="E532" s="28" t="s">
        <v>28</v>
      </c>
      <c r="F532" s="28" t="s">
        <v>29</v>
      </c>
      <c r="G532" s="28" t="s">
        <v>37</v>
      </c>
      <c r="H532" s="28"/>
      <c r="I532" s="28" t="s">
        <v>38</v>
      </c>
      <c r="J532" s="31">
        <v>310.0</v>
      </c>
      <c r="K532" s="28"/>
      <c r="L532" s="28" t="s">
        <v>1950</v>
      </c>
      <c r="M532" s="28" t="s">
        <v>1478</v>
      </c>
      <c r="N532" s="28">
        <v>1997.0</v>
      </c>
      <c r="O532" s="31">
        <v>5.0</v>
      </c>
      <c r="P532" s="28">
        <v>1.0</v>
      </c>
      <c r="Q532" s="32">
        <v>1.0</v>
      </c>
      <c r="R532" s="33"/>
      <c r="S532" s="34"/>
      <c r="T532" s="34"/>
      <c r="U532" s="34"/>
      <c r="V532" s="34"/>
      <c r="W532" s="34"/>
      <c r="X532" s="34"/>
      <c r="Y532" s="3"/>
      <c r="Z532" s="3"/>
      <c r="AA532" s="3"/>
      <c r="AB532" s="3"/>
      <c r="AC532" s="3"/>
      <c r="AD532" s="3"/>
      <c r="AE532" s="3"/>
      <c r="AF532" s="3"/>
      <c r="AG532" s="3"/>
      <c r="AH532" s="3"/>
      <c r="AI532" s="3"/>
      <c r="AJ532" s="3"/>
      <c r="AK532" s="3"/>
      <c r="AL532" s="3"/>
    </row>
    <row r="533" ht="15.75" customHeight="1">
      <c r="A533" s="27">
        <f t="shared" si="11"/>
        <v>217</v>
      </c>
      <c r="B533" s="28" t="s">
        <v>1951</v>
      </c>
      <c r="C533" s="29" t="s">
        <v>1952</v>
      </c>
      <c r="D533" s="39" t="s">
        <v>1953</v>
      </c>
      <c r="E533" s="28" t="s">
        <v>28</v>
      </c>
      <c r="F533" s="28" t="s">
        <v>29</v>
      </c>
      <c r="G533" s="28" t="s">
        <v>234</v>
      </c>
      <c r="H533" s="28"/>
      <c r="I533" s="28" t="s">
        <v>38</v>
      </c>
      <c r="J533" s="28">
        <v>304.0</v>
      </c>
      <c r="K533" s="28"/>
      <c r="L533" s="31" t="s">
        <v>1954</v>
      </c>
      <c r="M533" s="28" t="s">
        <v>236</v>
      </c>
      <c r="N533" s="28">
        <v>1983.0</v>
      </c>
      <c r="O533" s="31">
        <v>6.0</v>
      </c>
      <c r="P533" s="28">
        <v>1.0</v>
      </c>
      <c r="Q533" s="32">
        <v>1.0</v>
      </c>
      <c r="R533" s="33"/>
      <c r="S533" s="34"/>
      <c r="T533" s="34"/>
      <c r="U533" s="34"/>
      <c r="V533" s="34"/>
      <c r="W533" s="34"/>
      <c r="X533" s="34"/>
      <c r="Y533" s="3"/>
      <c r="Z533" s="3"/>
      <c r="AA533" s="3"/>
      <c r="AB533" s="3"/>
      <c r="AC533" s="3"/>
      <c r="AD533" s="3"/>
      <c r="AE533" s="3"/>
      <c r="AF533" s="3"/>
      <c r="AG533" s="3"/>
      <c r="AH533" s="3"/>
      <c r="AI533" s="3"/>
      <c r="AJ533" s="3"/>
      <c r="AK533" s="3"/>
      <c r="AL533" s="3"/>
    </row>
    <row r="534" ht="15.75" customHeight="1">
      <c r="A534" s="27">
        <f t="shared" si="11"/>
        <v>218</v>
      </c>
      <c r="B534" s="28" t="s">
        <v>1955</v>
      </c>
      <c r="C534" s="29" t="s">
        <v>1956</v>
      </c>
      <c r="D534" s="39" t="s">
        <v>1957</v>
      </c>
      <c r="E534" s="28" t="s">
        <v>223</v>
      </c>
      <c r="F534" s="28" t="s">
        <v>29</v>
      </c>
      <c r="G534" s="28" t="s">
        <v>37</v>
      </c>
      <c r="H534" s="28"/>
      <c r="I534" s="28" t="s">
        <v>38</v>
      </c>
      <c r="J534" s="28">
        <v>340.0</v>
      </c>
      <c r="K534" s="28"/>
      <c r="L534" s="31" t="s">
        <v>224</v>
      </c>
      <c r="M534" s="28" t="s">
        <v>54</v>
      </c>
      <c r="N534" s="28">
        <v>1983.0</v>
      </c>
      <c r="O534" s="88">
        <v>44474.0</v>
      </c>
      <c r="P534" s="31">
        <v>4.0</v>
      </c>
      <c r="Q534" s="37">
        <v>4.0</v>
      </c>
      <c r="R534" s="33"/>
      <c r="S534" s="34"/>
      <c r="T534" s="34"/>
      <c r="U534" s="34"/>
      <c r="V534" s="34"/>
      <c r="W534" s="34"/>
      <c r="X534" s="34"/>
      <c r="Y534" s="3"/>
      <c r="Z534" s="3"/>
      <c r="AA534" s="3"/>
      <c r="AB534" s="3"/>
      <c r="AC534" s="3"/>
      <c r="AD534" s="3"/>
      <c r="AE534" s="3"/>
      <c r="AF534" s="3"/>
      <c r="AG534" s="3"/>
      <c r="AH534" s="3"/>
      <c r="AI534" s="3"/>
      <c r="AJ534" s="3"/>
      <c r="AK534" s="3"/>
      <c r="AL534" s="3"/>
    </row>
    <row r="535" ht="15.75" customHeight="1">
      <c r="A535" s="27">
        <f t="shared" si="11"/>
        <v>219</v>
      </c>
      <c r="B535" s="28" t="s">
        <v>1958</v>
      </c>
      <c r="C535" s="29" t="s">
        <v>1959</v>
      </c>
      <c r="D535" s="39" t="s">
        <v>1960</v>
      </c>
      <c r="E535" s="28" t="s">
        <v>28</v>
      </c>
      <c r="F535" s="28" t="s">
        <v>29</v>
      </c>
      <c r="G535" s="28" t="s">
        <v>37</v>
      </c>
      <c r="H535" s="28"/>
      <c r="I535" s="28" t="s">
        <v>38</v>
      </c>
      <c r="J535" s="28">
        <v>580.0</v>
      </c>
      <c r="K535" s="28"/>
      <c r="L535" s="28" t="s">
        <v>1931</v>
      </c>
      <c r="M535" s="28" t="s">
        <v>188</v>
      </c>
      <c r="N535" s="28">
        <v>1982.0</v>
      </c>
      <c r="O535" s="31">
        <v>6.0</v>
      </c>
      <c r="P535" s="28">
        <v>1.0</v>
      </c>
      <c r="Q535" s="32">
        <v>1.0</v>
      </c>
      <c r="R535" s="33"/>
      <c r="S535" s="34"/>
      <c r="T535" s="34"/>
      <c r="U535" s="34"/>
      <c r="V535" s="34"/>
      <c r="W535" s="34"/>
      <c r="X535" s="34"/>
      <c r="Y535" s="3"/>
      <c r="Z535" s="3"/>
      <c r="AA535" s="3"/>
      <c r="AB535" s="3"/>
      <c r="AC535" s="3"/>
      <c r="AD535" s="3"/>
      <c r="AE535" s="3"/>
      <c r="AF535" s="3"/>
      <c r="AG535" s="3"/>
      <c r="AH535" s="3"/>
      <c r="AI535" s="3"/>
      <c r="AJ535" s="3"/>
      <c r="AK535" s="3"/>
      <c r="AL535" s="3"/>
    </row>
    <row r="536" ht="15.75" customHeight="1">
      <c r="A536" s="27">
        <f t="shared" si="11"/>
        <v>220</v>
      </c>
      <c r="B536" s="28" t="s">
        <v>1961</v>
      </c>
      <c r="C536" s="29" t="s">
        <v>1962</v>
      </c>
      <c r="D536" s="39" t="s">
        <v>1963</v>
      </c>
      <c r="E536" s="28" t="s">
        <v>28</v>
      </c>
      <c r="F536" s="28" t="s">
        <v>29</v>
      </c>
      <c r="G536" s="28" t="s">
        <v>37</v>
      </c>
      <c r="H536" s="28" t="s">
        <v>31</v>
      </c>
      <c r="I536" s="28" t="s">
        <v>38</v>
      </c>
      <c r="J536" s="28">
        <v>522.0</v>
      </c>
      <c r="K536" s="28"/>
      <c r="L536" s="28" t="s">
        <v>1964</v>
      </c>
      <c r="M536" s="28" t="s">
        <v>230</v>
      </c>
      <c r="N536" s="28">
        <v>1981.0</v>
      </c>
      <c r="O536" s="31">
        <v>5.0</v>
      </c>
      <c r="P536" s="28">
        <v>1.0</v>
      </c>
      <c r="Q536" s="32">
        <v>1.0</v>
      </c>
      <c r="R536" s="33"/>
      <c r="S536" s="34"/>
      <c r="T536" s="34"/>
      <c r="U536" s="34"/>
      <c r="V536" s="34"/>
      <c r="W536" s="34"/>
      <c r="X536" s="34"/>
      <c r="Y536" s="3"/>
      <c r="Z536" s="3"/>
      <c r="AA536" s="3"/>
      <c r="AB536" s="3"/>
      <c r="AC536" s="3"/>
      <c r="AD536" s="3"/>
      <c r="AE536" s="3"/>
      <c r="AF536" s="3"/>
      <c r="AG536" s="3"/>
      <c r="AH536" s="3"/>
      <c r="AI536" s="3"/>
      <c r="AJ536" s="3"/>
      <c r="AK536" s="3"/>
      <c r="AL536" s="3"/>
    </row>
    <row r="537" ht="15.75" customHeight="1">
      <c r="A537" s="27">
        <f t="shared" si="11"/>
        <v>221</v>
      </c>
      <c r="B537" s="31" t="s">
        <v>1965</v>
      </c>
      <c r="C537" s="29" t="s">
        <v>1966</v>
      </c>
      <c r="D537" s="39" t="s">
        <v>1967</v>
      </c>
      <c r="E537" s="28" t="s">
        <v>28</v>
      </c>
      <c r="F537" s="28" t="s">
        <v>29</v>
      </c>
      <c r="G537" s="28" t="s">
        <v>37</v>
      </c>
      <c r="H537" s="28"/>
      <c r="I537" s="28" t="s">
        <v>38</v>
      </c>
      <c r="J537" s="31">
        <v>440.0</v>
      </c>
      <c r="K537" s="28"/>
      <c r="L537" s="28" t="s">
        <v>1968</v>
      </c>
      <c r="M537" s="28" t="s">
        <v>1772</v>
      </c>
      <c r="N537" s="28">
        <v>1966.0</v>
      </c>
      <c r="O537" s="31">
        <v>5.0</v>
      </c>
      <c r="P537" s="28">
        <v>1.0</v>
      </c>
      <c r="Q537" s="32">
        <v>1.0</v>
      </c>
      <c r="R537" s="33"/>
      <c r="S537" s="34"/>
      <c r="T537" s="34"/>
      <c r="U537" s="34"/>
      <c r="V537" s="34"/>
      <c r="W537" s="34"/>
      <c r="X537" s="34"/>
      <c r="Y537" s="3"/>
      <c r="Z537" s="3"/>
      <c r="AA537" s="3"/>
      <c r="AB537" s="3"/>
      <c r="AC537" s="3"/>
      <c r="AD537" s="3"/>
      <c r="AE537" s="3"/>
      <c r="AF537" s="3"/>
      <c r="AG537" s="3"/>
      <c r="AH537" s="3"/>
      <c r="AI537" s="3"/>
      <c r="AJ537" s="3"/>
      <c r="AK537" s="3"/>
      <c r="AL537" s="3"/>
    </row>
    <row r="538" ht="15.75" customHeight="1">
      <c r="A538" s="27"/>
      <c r="B538" s="31" t="s">
        <v>31</v>
      </c>
      <c r="C538" s="29" t="s">
        <v>1969</v>
      </c>
      <c r="D538" s="39" t="s">
        <v>1970</v>
      </c>
      <c r="E538" s="28" t="s">
        <v>28</v>
      </c>
      <c r="F538" s="28" t="s">
        <v>29</v>
      </c>
      <c r="G538" s="28" t="s">
        <v>37</v>
      </c>
      <c r="H538" s="28"/>
      <c r="I538" s="28" t="s">
        <v>38</v>
      </c>
      <c r="J538" s="31">
        <v>211.0</v>
      </c>
      <c r="K538" s="28"/>
      <c r="L538" s="28" t="s">
        <v>1968</v>
      </c>
      <c r="M538" s="28" t="s">
        <v>1772</v>
      </c>
      <c r="N538" s="31">
        <v>1966.0</v>
      </c>
      <c r="O538" s="31">
        <v>5.0</v>
      </c>
      <c r="P538" s="31">
        <v>1.0</v>
      </c>
      <c r="Q538" s="37">
        <v>1.0</v>
      </c>
      <c r="R538" s="33"/>
      <c r="S538" s="40"/>
      <c r="T538" s="40"/>
      <c r="U538" s="40"/>
      <c r="V538" s="40"/>
      <c r="W538" s="40"/>
      <c r="X538" s="40"/>
      <c r="Y538" s="3"/>
      <c r="Z538" s="3"/>
      <c r="AA538" s="3"/>
      <c r="AB538" s="3"/>
      <c r="AC538" s="3"/>
      <c r="AD538" s="3"/>
      <c r="AE538" s="3"/>
      <c r="AF538" s="3"/>
      <c r="AG538" s="3"/>
      <c r="AH538" s="3"/>
      <c r="AI538" s="3"/>
      <c r="AJ538" s="3"/>
      <c r="AK538" s="3"/>
      <c r="AL538" s="3"/>
    </row>
    <row r="539" ht="15.75" hidden="1" customHeight="1">
      <c r="A539" s="27">
        <f t="shared" ref="A539:A543" si="12">A538+1</f>
        <v>1</v>
      </c>
      <c r="B539" s="28"/>
      <c r="C539" s="29"/>
      <c r="D539" s="39"/>
      <c r="E539" s="28"/>
      <c r="F539" s="28"/>
      <c r="G539" s="28"/>
      <c r="H539" s="28"/>
      <c r="I539" s="28"/>
      <c r="J539" s="28"/>
      <c r="K539" s="28"/>
      <c r="L539" s="28"/>
      <c r="M539" s="31"/>
      <c r="N539" s="28"/>
      <c r="O539" s="31"/>
      <c r="P539" s="28"/>
      <c r="Q539" s="37"/>
      <c r="R539" s="33"/>
      <c r="S539" s="40"/>
      <c r="T539" s="40"/>
      <c r="U539" s="40"/>
      <c r="V539" s="40"/>
      <c r="W539" s="40"/>
      <c r="X539" s="40"/>
      <c r="Y539" s="3"/>
      <c r="Z539" s="3"/>
      <c r="AA539" s="3"/>
      <c r="AB539" s="3"/>
      <c r="AC539" s="3"/>
      <c r="AD539" s="3"/>
      <c r="AE539" s="3"/>
      <c r="AF539" s="3"/>
      <c r="AG539" s="3"/>
      <c r="AH539" s="3"/>
      <c r="AI539" s="3"/>
      <c r="AJ539" s="3"/>
      <c r="AK539" s="3"/>
      <c r="AL539" s="3"/>
    </row>
    <row r="540" ht="15.75" customHeight="1">
      <c r="A540" s="27">
        <f t="shared" si="12"/>
        <v>2</v>
      </c>
      <c r="B540" s="28" t="s">
        <v>1971</v>
      </c>
      <c r="C540" s="29" t="s">
        <v>1972</v>
      </c>
      <c r="D540" s="39" t="s">
        <v>1973</v>
      </c>
      <c r="E540" s="28" t="s">
        <v>28</v>
      </c>
      <c r="F540" s="28" t="s">
        <v>29</v>
      </c>
      <c r="G540" s="28" t="s">
        <v>37</v>
      </c>
      <c r="H540" s="28"/>
      <c r="I540" s="28" t="s">
        <v>38</v>
      </c>
      <c r="J540" s="28">
        <v>538.0</v>
      </c>
      <c r="K540" s="28"/>
      <c r="L540" s="28" t="s">
        <v>1974</v>
      </c>
      <c r="M540" s="77" t="s">
        <v>250</v>
      </c>
      <c r="N540" s="28">
        <v>2002.0</v>
      </c>
      <c r="O540" s="31">
        <v>6.0</v>
      </c>
      <c r="P540" s="28">
        <v>1.0</v>
      </c>
      <c r="Q540" s="32">
        <v>1.0</v>
      </c>
      <c r="R540" s="33"/>
      <c r="S540" s="40"/>
      <c r="T540" s="40"/>
      <c r="U540" s="40"/>
      <c r="V540" s="40"/>
      <c r="W540" s="40"/>
      <c r="X540" s="40"/>
      <c r="Y540" s="3"/>
      <c r="Z540" s="3"/>
      <c r="AA540" s="3"/>
      <c r="AB540" s="3"/>
      <c r="AC540" s="3"/>
      <c r="AD540" s="3"/>
      <c r="AE540" s="3"/>
      <c r="AF540" s="3"/>
      <c r="AG540" s="3"/>
      <c r="AH540" s="3"/>
      <c r="AI540" s="3"/>
      <c r="AJ540" s="3"/>
      <c r="AK540" s="3"/>
      <c r="AL540" s="3"/>
    </row>
    <row r="541" ht="15.75" customHeight="1">
      <c r="A541" s="27">
        <f t="shared" si="12"/>
        <v>3</v>
      </c>
      <c r="B541" s="28" t="s">
        <v>1975</v>
      </c>
      <c r="C541" s="29" t="s">
        <v>1976</v>
      </c>
      <c r="D541" s="39" t="s">
        <v>1977</v>
      </c>
      <c r="E541" s="28" t="s">
        <v>28</v>
      </c>
      <c r="F541" s="28" t="s">
        <v>29</v>
      </c>
      <c r="G541" s="28" t="s">
        <v>38</v>
      </c>
      <c r="H541" s="28"/>
      <c r="I541" s="28" t="s">
        <v>38</v>
      </c>
      <c r="J541" s="28">
        <v>416.0</v>
      </c>
      <c r="K541" s="28"/>
      <c r="L541" s="28" t="s">
        <v>1978</v>
      </c>
      <c r="M541" s="28" t="s">
        <v>230</v>
      </c>
      <c r="N541" s="28">
        <v>1981.0</v>
      </c>
      <c r="O541" s="31">
        <v>6.0</v>
      </c>
      <c r="P541" s="28">
        <v>1.0</v>
      </c>
      <c r="Q541" s="32">
        <v>1.0</v>
      </c>
      <c r="R541" s="33"/>
      <c r="S541" s="34"/>
      <c r="T541" s="34"/>
      <c r="U541" s="34"/>
      <c r="V541" s="34"/>
      <c r="W541" s="34"/>
      <c r="X541" s="34"/>
      <c r="Y541" s="3"/>
      <c r="Z541" s="3"/>
      <c r="AA541" s="3"/>
      <c r="AB541" s="3"/>
      <c r="AC541" s="3"/>
      <c r="AD541" s="3"/>
      <c r="AE541" s="3"/>
      <c r="AF541" s="3"/>
      <c r="AG541" s="3"/>
      <c r="AH541" s="3"/>
      <c r="AI541" s="3"/>
      <c r="AJ541" s="3"/>
      <c r="AK541" s="3"/>
      <c r="AL541" s="3"/>
    </row>
    <row r="542" ht="15.75" customHeight="1">
      <c r="A542" s="27">
        <f t="shared" si="12"/>
        <v>4</v>
      </c>
      <c r="B542" s="28" t="s">
        <v>1979</v>
      </c>
      <c r="C542" s="29" t="s">
        <v>1980</v>
      </c>
      <c r="D542" s="39" t="s">
        <v>1981</v>
      </c>
      <c r="E542" s="28" t="s">
        <v>28</v>
      </c>
      <c r="F542" s="28" t="s">
        <v>29</v>
      </c>
      <c r="G542" s="28" t="s">
        <v>37</v>
      </c>
      <c r="H542" s="28" t="s">
        <v>31</v>
      </c>
      <c r="I542" s="28" t="s">
        <v>38</v>
      </c>
      <c r="J542" s="28" t="s">
        <v>1982</v>
      </c>
      <c r="K542" s="28"/>
      <c r="L542" s="28" t="s">
        <v>1983</v>
      </c>
      <c r="M542" s="28" t="s">
        <v>1544</v>
      </c>
      <c r="N542" s="28">
        <v>1978.0</v>
      </c>
      <c r="O542" s="31" t="s">
        <v>494</v>
      </c>
      <c r="P542" s="28">
        <v>1.0</v>
      </c>
      <c r="Q542" s="32">
        <v>1.0</v>
      </c>
      <c r="R542" s="33"/>
      <c r="S542" s="40"/>
      <c r="T542" s="40"/>
      <c r="U542" s="40"/>
      <c r="V542" s="40"/>
      <c r="W542" s="40"/>
      <c r="X542" s="40"/>
      <c r="Y542" s="3"/>
      <c r="Z542" s="3"/>
      <c r="AA542" s="3"/>
      <c r="AB542" s="3"/>
      <c r="AC542" s="3"/>
      <c r="AD542" s="3"/>
      <c r="AE542" s="3"/>
      <c r="AF542" s="3"/>
      <c r="AG542" s="3"/>
      <c r="AH542" s="3"/>
      <c r="AI542" s="3"/>
      <c r="AJ542" s="3"/>
      <c r="AK542" s="3"/>
      <c r="AL542" s="3"/>
    </row>
    <row r="543" ht="15.75" customHeight="1">
      <c r="A543" s="27">
        <f t="shared" si="12"/>
        <v>5</v>
      </c>
      <c r="B543" s="28"/>
      <c r="C543" s="29" t="s">
        <v>1984</v>
      </c>
      <c r="D543" s="39" t="s">
        <v>1985</v>
      </c>
      <c r="E543" s="28" t="s">
        <v>28</v>
      </c>
      <c r="F543" s="28" t="s">
        <v>29</v>
      </c>
      <c r="G543" s="28" t="s">
        <v>37</v>
      </c>
      <c r="H543" s="28"/>
      <c r="I543" s="28" t="s">
        <v>38</v>
      </c>
      <c r="J543" s="28">
        <v>434.0</v>
      </c>
      <c r="K543" s="28"/>
      <c r="L543" s="28" t="s">
        <v>1986</v>
      </c>
      <c r="M543" s="28" t="s">
        <v>507</v>
      </c>
      <c r="N543" s="28">
        <v>1951.0</v>
      </c>
      <c r="O543" s="31">
        <v>5.0</v>
      </c>
      <c r="P543" s="28">
        <v>1.0</v>
      </c>
      <c r="Q543" s="32">
        <v>1.0</v>
      </c>
      <c r="R543" s="33"/>
      <c r="S543" s="40"/>
      <c r="T543" s="40"/>
      <c r="U543" s="40"/>
      <c r="V543" s="40"/>
      <c r="W543" s="40"/>
      <c r="X543" s="40"/>
      <c r="Y543" s="3"/>
      <c r="Z543" s="3"/>
      <c r="AA543" s="3"/>
      <c r="AB543" s="3"/>
      <c r="AC543" s="3"/>
      <c r="AD543" s="3"/>
      <c r="AE543" s="3"/>
      <c r="AF543" s="3"/>
      <c r="AG543" s="3"/>
      <c r="AH543" s="3"/>
      <c r="AI543" s="3"/>
      <c r="AJ543" s="3"/>
      <c r="AK543" s="3"/>
      <c r="AL543" s="3"/>
    </row>
    <row r="544" ht="15.75" customHeight="1">
      <c r="A544" s="27"/>
      <c r="B544" s="31" t="s">
        <v>1987</v>
      </c>
      <c r="C544" s="29" t="s">
        <v>1988</v>
      </c>
      <c r="D544" s="39" t="s">
        <v>1989</v>
      </c>
      <c r="E544" s="28" t="s">
        <v>28</v>
      </c>
      <c r="F544" s="28" t="s">
        <v>29</v>
      </c>
      <c r="G544" s="28" t="s">
        <v>37</v>
      </c>
      <c r="H544" s="28"/>
      <c r="I544" s="28" t="s">
        <v>38</v>
      </c>
      <c r="J544" s="31">
        <v>696.0</v>
      </c>
      <c r="K544" s="28"/>
      <c r="L544" s="31" t="s">
        <v>1990</v>
      </c>
      <c r="M544" s="31" t="s">
        <v>123</v>
      </c>
      <c r="N544" s="31">
        <v>2007.0</v>
      </c>
      <c r="O544" s="31">
        <v>5.0</v>
      </c>
      <c r="P544" s="31">
        <v>1.0</v>
      </c>
      <c r="Q544" s="37">
        <v>1.0</v>
      </c>
      <c r="R544" s="33"/>
      <c r="S544" s="40"/>
      <c r="T544" s="40"/>
      <c r="U544" s="40"/>
      <c r="V544" s="40"/>
      <c r="W544" s="40"/>
      <c r="X544" s="40"/>
      <c r="Y544" s="3"/>
      <c r="Z544" s="3"/>
      <c r="AA544" s="3"/>
      <c r="AB544" s="3"/>
      <c r="AC544" s="3"/>
      <c r="AD544" s="3"/>
      <c r="AE544" s="3"/>
      <c r="AF544" s="3"/>
      <c r="AG544" s="3"/>
      <c r="AH544" s="3"/>
      <c r="AI544" s="3"/>
      <c r="AJ544" s="3"/>
      <c r="AK544" s="3"/>
      <c r="AL544" s="3"/>
    </row>
    <row r="545" ht="15.75" customHeight="1">
      <c r="A545" s="27">
        <f>A543+1</f>
        <v>6</v>
      </c>
      <c r="B545" s="28" t="s">
        <v>1991</v>
      </c>
      <c r="C545" s="29" t="s">
        <v>1992</v>
      </c>
      <c r="D545" s="39" t="s">
        <v>1993</v>
      </c>
      <c r="E545" s="28" t="s">
        <v>28</v>
      </c>
      <c r="F545" s="28" t="s">
        <v>29</v>
      </c>
      <c r="G545" s="28" t="s">
        <v>234</v>
      </c>
      <c r="H545" s="28"/>
      <c r="I545" s="28" t="s">
        <v>38</v>
      </c>
      <c r="J545" s="28">
        <v>915.0</v>
      </c>
      <c r="K545" s="28"/>
      <c r="L545" s="28" t="s">
        <v>1994</v>
      </c>
      <c r="M545" s="28" t="s">
        <v>236</v>
      </c>
      <c r="N545" s="28">
        <v>2002.0</v>
      </c>
      <c r="O545" s="31">
        <v>6.0</v>
      </c>
      <c r="P545" s="28">
        <v>1.0</v>
      </c>
      <c r="Q545" s="32">
        <v>1.0</v>
      </c>
      <c r="R545" s="33"/>
      <c r="S545" s="38"/>
      <c r="T545" s="38"/>
      <c r="U545" s="38"/>
      <c r="V545" s="38"/>
      <c r="W545" s="38"/>
      <c r="X545" s="38"/>
      <c r="Y545" s="3"/>
      <c r="Z545" s="3"/>
      <c r="AA545" s="3"/>
      <c r="AB545" s="3"/>
      <c r="AC545" s="3"/>
      <c r="AD545" s="3"/>
      <c r="AE545" s="3"/>
      <c r="AF545" s="3"/>
      <c r="AG545" s="3"/>
      <c r="AH545" s="3"/>
      <c r="AI545" s="3"/>
      <c r="AJ545" s="3"/>
      <c r="AK545" s="3"/>
      <c r="AL545" s="3"/>
    </row>
    <row r="546" ht="15.75" customHeight="1">
      <c r="A546" s="27">
        <f t="shared" ref="A546:A626" si="13">A545+1</f>
        <v>7</v>
      </c>
      <c r="B546" s="28" t="s">
        <v>1995</v>
      </c>
      <c r="C546" s="29" t="s">
        <v>1996</v>
      </c>
      <c r="D546" s="39" t="s">
        <v>1997</v>
      </c>
      <c r="E546" s="28" t="s">
        <v>28</v>
      </c>
      <c r="F546" s="28" t="s">
        <v>29</v>
      </c>
      <c r="G546" s="28" t="s">
        <v>98</v>
      </c>
      <c r="H546" s="28"/>
      <c r="I546" s="28" t="s">
        <v>38</v>
      </c>
      <c r="J546" s="28">
        <v>294.0</v>
      </c>
      <c r="K546" s="28"/>
      <c r="L546" s="28" t="s">
        <v>1998</v>
      </c>
      <c r="M546" s="28" t="s">
        <v>100</v>
      </c>
      <c r="N546" s="28">
        <v>2007.0</v>
      </c>
      <c r="O546" s="31">
        <v>6.0</v>
      </c>
      <c r="P546" s="28">
        <v>2.0</v>
      </c>
      <c r="Q546" s="37">
        <v>2.0</v>
      </c>
      <c r="R546" s="33"/>
      <c r="S546" s="34"/>
      <c r="T546" s="34"/>
      <c r="U546" s="34"/>
      <c r="V546" s="34"/>
      <c r="W546" s="34"/>
      <c r="X546" s="34"/>
      <c r="Y546" s="3"/>
      <c r="Z546" s="3"/>
      <c r="AA546" s="3"/>
      <c r="AB546" s="3"/>
      <c r="AC546" s="3"/>
      <c r="AD546" s="3"/>
      <c r="AE546" s="3"/>
      <c r="AF546" s="3"/>
      <c r="AG546" s="3"/>
      <c r="AH546" s="3"/>
      <c r="AI546" s="3"/>
      <c r="AJ546" s="3"/>
      <c r="AK546" s="3"/>
      <c r="AL546" s="3"/>
    </row>
    <row r="547" ht="15.75" customHeight="1">
      <c r="A547" s="27">
        <f t="shared" si="13"/>
        <v>8</v>
      </c>
      <c r="B547" s="28" t="s">
        <v>1999</v>
      </c>
      <c r="C547" s="43" t="s">
        <v>2000</v>
      </c>
      <c r="D547" s="30" t="s">
        <v>2001</v>
      </c>
      <c r="E547" s="28" t="s">
        <v>28</v>
      </c>
      <c r="F547" s="28" t="s">
        <v>29</v>
      </c>
      <c r="G547" s="28" t="s">
        <v>37</v>
      </c>
      <c r="H547" s="28"/>
      <c r="I547" s="28" t="s">
        <v>38</v>
      </c>
      <c r="J547" s="28">
        <f>1348</f>
        <v>1348</v>
      </c>
      <c r="K547" s="28"/>
      <c r="L547" s="28" t="s">
        <v>540</v>
      </c>
      <c r="M547" s="28" t="s">
        <v>382</v>
      </c>
      <c r="N547" s="28">
        <v>2012.0</v>
      </c>
      <c r="O547" s="31">
        <v>8.0</v>
      </c>
      <c r="P547" s="28">
        <v>1.0</v>
      </c>
      <c r="Q547" s="32">
        <v>1.0</v>
      </c>
      <c r="R547" s="33"/>
      <c r="S547" s="40"/>
      <c r="T547" s="40"/>
      <c r="U547" s="40"/>
      <c r="V547" s="40"/>
      <c r="W547" s="40"/>
      <c r="X547" s="40"/>
      <c r="Y547" s="3"/>
      <c r="Z547" s="3"/>
      <c r="AA547" s="3"/>
      <c r="AB547" s="3"/>
      <c r="AC547" s="3"/>
      <c r="AD547" s="3"/>
      <c r="AE547" s="3"/>
      <c r="AF547" s="3"/>
      <c r="AG547" s="3"/>
      <c r="AH547" s="3"/>
      <c r="AI547" s="3"/>
      <c r="AJ547" s="3"/>
      <c r="AK547" s="3"/>
      <c r="AL547" s="3"/>
    </row>
    <row r="548" ht="15.75" customHeight="1">
      <c r="A548" s="27">
        <f t="shared" si="13"/>
        <v>9</v>
      </c>
      <c r="B548" s="31" t="s">
        <v>2002</v>
      </c>
      <c r="C548" s="29" t="s">
        <v>2003</v>
      </c>
      <c r="D548" s="39" t="s">
        <v>2004</v>
      </c>
      <c r="E548" s="28" t="s">
        <v>28</v>
      </c>
      <c r="F548" s="28" t="s">
        <v>29</v>
      </c>
      <c r="G548" s="28" t="s">
        <v>37</v>
      </c>
      <c r="H548" s="28"/>
      <c r="I548" s="28" t="s">
        <v>38</v>
      </c>
      <c r="J548" s="28">
        <v>240.0</v>
      </c>
      <c r="K548" s="28"/>
      <c r="L548" s="28" t="s">
        <v>2005</v>
      </c>
      <c r="M548" s="28" t="s">
        <v>493</v>
      </c>
      <c r="N548" s="28">
        <v>2006.0</v>
      </c>
      <c r="O548" s="31" t="s">
        <v>494</v>
      </c>
      <c r="P548" s="28">
        <v>2.0</v>
      </c>
      <c r="Q548" s="32">
        <v>2.0</v>
      </c>
      <c r="R548" s="33"/>
      <c r="S548" s="40"/>
      <c r="T548" s="40"/>
      <c r="U548" s="40"/>
      <c r="V548" s="40"/>
      <c r="W548" s="40"/>
      <c r="X548" s="40"/>
      <c r="Y548" s="3"/>
      <c r="Z548" s="3"/>
      <c r="AA548" s="3"/>
      <c r="AB548" s="3"/>
      <c r="AC548" s="3"/>
      <c r="AD548" s="3"/>
      <c r="AE548" s="3"/>
      <c r="AF548" s="3"/>
      <c r="AG548" s="3"/>
      <c r="AH548" s="3"/>
      <c r="AI548" s="3"/>
      <c r="AJ548" s="3"/>
      <c r="AK548" s="3"/>
      <c r="AL548" s="3"/>
    </row>
    <row r="549" ht="15.75" customHeight="1">
      <c r="A549" s="27">
        <f t="shared" si="13"/>
        <v>10</v>
      </c>
      <c r="B549" s="28" t="s">
        <v>2006</v>
      </c>
      <c r="C549" s="29" t="s">
        <v>2007</v>
      </c>
      <c r="D549" s="39" t="s">
        <v>2008</v>
      </c>
      <c r="E549" s="28" t="s">
        <v>28</v>
      </c>
      <c r="F549" s="28" t="s">
        <v>29</v>
      </c>
      <c r="G549" s="28" t="s">
        <v>38</v>
      </c>
      <c r="H549" s="28"/>
      <c r="I549" s="28" t="s">
        <v>38</v>
      </c>
      <c r="J549" s="28">
        <v>252.0</v>
      </c>
      <c r="K549" s="28"/>
      <c r="L549" s="28" t="s">
        <v>2009</v>
      </c>
      <c r="M549" s="28" t="s">
        <v>83</v>
      </c>
      <c r="N549" s="28">
        <v>1976.0</v>
      </c>
      <c r="O549" s="31" t="s">
        <v>494</v>
      </c>
      <c r="P549" s="28">
        <v>1.0</v>
      </c>
      <c r="Q549" s="32">
        <v>1.0</v>
      </c>
      <c r="R549" s="33"/>
      <c r="S549" s="40"/>
      <c r="T549" s="40"/>
      <c r="U549" s="40"/>
      <c r="V549" s="40"/>
      <c r="W549" s="40"/>
      <c r="X549" s="40"/>
      <c r="Y549" s="3"/>
      <c r="Z549" s="3"/>
      <c r="AA549" s="3"/>
      <c r="AB549" s="3"/>
      <c r="AC549" s="3"/>
      <c r="AD549" s="3"/>
      <c r="AE549" s="3"/>
      <c r="AF549" s="3"/>
      <c r="AG549" s="3"/>
      <c r="AH549" s="3"/>
      <c r="AI549" s="3"/>
      <c r="AJ549" s="3"/>
      <c r="AK549" s="3"/>
      <c r="AL549" s="3"/>
    </row>
    <row r="550" ht="15.75" customHeight="1">
      <c r="A550" s="27">
        <f t="shared" si="13"/>
        <v>11</v>
      </c>
      <c r="B550" s="28" t="s">
        <v>2010</v>
      </c>
      <c r="C550" s="43" t="s">
        <v>2011</v>
      </c>
      <c r="D550" s="30" t="s">
        <v>2012</v>
      </c>
      <c r="E550" s="28" t="s">
        <v>28</v>
      </c>
      <c r="F550" s="28" t="s">
        <v>29</v>
      </c>
      <c r="G550" s="28" t="s">
        <v>37</v>
      </c>
      <c r="H550" s="28"/>
      <c r="I550" s="28" t="s">
        <v>38</v>
      </c>
      <c r="J550" s="28">
        <v>212.0</v>
      </c>
      <c r="K550" s="28"/>
      <c r="L550" s="28" t="s">
        <v>2013</v>
      </c>
      <c r="M550" s="28" t="s">
        <v>230</v>
      </c>
      <c r="N550" s="28">
        <v>1995.0</v>
      </c>
      <c r="O550" s="31" t="s">
        <v>494</v>
      </c>
      <c r="P550" s="28">
        <v>1.0</v>
      </c>
      <c r="Q550" s="32">
        <v>1.0</v>
      </c>
      <c r="R550" s="33"/>
      <c r="S550" s="40"/>
      <c r="T550" s="40"/>
      <c r="U550" s="40"/>
      <c r="V550" s="40"/>
      <c r="W550" s="40"/>
      <c r="X550" s="40"/>
      <c r="Y550" s="3"/>
      <c r="Z550" s="3"/>
      <c r="AA550" s="3"/>
      <c r="AB550" s="3"/>
      <c r="AC550" s="3"/>
      <c r="AD550" s="3"/>
      <c r="AE550" s="3"/>
      <c r="AF550" s="3"/>
      <c r="AG550" s="3"/>
      <c r="AH550" s="3"/>
      <c r="AI550" s="3"/>
      <c r="AJ550" s="3"/>
      <c r="AK550" s="3"/>
      <c r="AL550" s="3"/>
    </row>
    <row r="551" ht="15.75" customHeight="1">
      <c r="A551" s="27">
        <f t="shared" si="13"/>
        <v>12</v>
      </c>
      <c r="B551" s="28" t="s">
        <v>31</v>
      </c>
      <c r="C551" s="29" t="s">
        <v>2014</v>
      </c>
      <c r="D551" s="39" t="s">
        <v>2015</v>
      </c>
      <c r="E551" s="28" t="s">
        <v>28</v>
      </c>
      <c r="F551" s="28" t="s">
        <v>29</v>
      </c>
      <c r="G551" s="28" t="s">
        <v>37</v>
      </c>
      <c r="H551" s="28"/>
      <c r="I551" s="28" t="s">
        <v>38</v>
      </c>
      <c r="J551" s="28">
        <v>489.0</v>
      </c>
      <c r="K551" s="28"/>
      <c r="L551" s="31" t="s">
        <v>2016</v>
      </c>
      <c r="M551" s="28" t="s">
        <v>507</v>
      </c>
      <c r="N551" s="28">
        <v>1912.0</v>
      </c>
      <c r="O551" s="31">
        <v>5.0</v>
      </c>
      <c r="P551" s="28">
        <v>1.0</v>
      </c>
      <c r="Q551" s="32">
        <v>1.0</v>
      </c>
      <c r="R551" s="33"/>
      <c r="S551" s="40"/>
      <c r="T551" s="40"/>
      <c r="U551" s="40"/>
      <c r="V551" s="40"/>
      <c r="W551" s="40"/>
      <c r="X551" s="40"/>
      <c r="Y551" s="3"/>
      <c r="Z551" s="3"/>
      <c r="AA551" s="3"/>
      <c r="AB551" s="3"/>
      <c r="AC551" s="3"/>
      <c r="AD551" s="3"/>
      <c r="AE551" s="3"/>
      <c r="AF551" s="3"/>
      <c r="AG551" s="3"/>
      <c r="AH551" s="3"/>
      <c r="AI551" s="3"/>
      <c r="AJ551" s="3"/>
      <c r="AK551" s="3"/>
      <c r="AL551" s="3"/>
    </row>
    <row r="552" ht="15.75" customHeight="1">
      <c r="A552" s="27">
        <f t="shared" si="13"/>
        <v>13</v>
      </c>
      <c r="B552" s="28" t="s">
        <v>2017</v>
      </c>
      <c r="C552" s="29" t="s">
        <v>2018</v>
      </c>
      <c r="D552" s="39" t="s">
        <v>2019</v>
      </c>
      <c r="E552" s="28" t="s">
        <v>28</v>
      </c>
      <c r="F552" s="28" t="s">
        <v>29</v>
      </c>
      <c r="G552" s="28" t="s">
        <v>37</v>
      </c>
      <c r="H552" s="28"/>
      <c r="I552" s="28" t="s">
        <v>38</v>
      </c>
      <c r="J552" s="28">
        <v>409.0</v>
      </c>
      <c r="K552" s="28"/>
      <c r="L552" s="28" t="s">
        <v>2020</v>
      </c>
      <c r="M552" s="28" t="s">
        <v>236</v>
      </c>
      <c r="N552" s="28">
        <v>1984.0</v>
      </c>
      <c r="O552" s="31">
        <v>6.0</v>
      </c>
      <c r="P552" s="28">
        <v>1.0</v>
      </c>
      <c r="Q552" s="32">
        <v>1.0</v>
      </c>
      <c r="R552" s="33"/>
      <c r="S552" s="40"/>
      <c r="T552" s="40"/>
      <c r="U552" s="40"/>
      <c r="V552" s="40"/>
      <c r="W552" s="40"/>
      <c r="X552" s="40"/>
      <c r="Y552" s="3"/>
      <c r="Z552" s="3"/>
      <c r="AA552" s="3"/>
      <c r="AB552" s="3"/>
      <c r="AC552" s="3"/>
      <c r="AD552" s="3"/>
      <c r="AE552" s="3"/>
      <c r="AF552" s="3"/>
      <c r="AG552" s="3"/>
      <c r="AH552" s="3"/>
      <c r="AI552" s="3"/>
      <c r="AJ552" s="3"/>
      <c r="AK552" s="3"/>
      <c r="AL552" s="3"/>
    </row>
    <row r="553" ht="15.75" customHeight="1">
      <c r="A553" s="27">
        <f t="shared" si="13"/>
        <v>14</v>
      </c>
      <c r="B553" s="28" t="s">
        <v>2021</v>
      </c>
      <c r="C553" s="29" t="s">
        <v>2022</v>
      </c>
      <c r="D553" s="39" t="s">
        <v>2023</v>
      </c>
      <c r="E553" s="28" t="s">
        <v>144</v>
      </c>
      <c r="F553" s="28" t="s">
        <v>29</v>
      </c>
      <c r="G553" s="28" t="s">
        <v>37</v>
      </c>
      <c r="H553" s="28"/>
      <c r="I553" s="28" t="s">
        <v>38</v>
      </c>
      <c r="J553" s="28">
        <f>667+14</f>
        <v>681</v>
      </c>
      <c r="K553" s="28"/>
      <c r="L553" s="28" t="s">
        <v>2024</v>
      </c>
      <c r="M553" s="28" t="s">
        <v>230</v>
      </c>
      <c r="N553" s="31">
        <v>1993.0</v>
      </c>
      <c r="O553" s="31">
        <v>5.0</v>
      </c>
      <c r="P553" s="28">
        <v>2.0</v>
      </c>
      <c r="Q553" s="32">
        <v>2.0</v>
      </c>
      <c r="R553" s="33"/>
      <c r="S553" s="40"/>
      <c r="T553" s="40"/>
      <c r="U553" s="40"/>
      <c r="V553" s="40"/>
      <c r="W553" s="40"/>
      <c r="X553" s="40"/>
      <c r="Y553" s="45"/>
      <c r="Z553" s="45"/>
      <c r="AA553" s="45"/>
      <c r="AB553" s="45"/>
      <c r="AC553" s="45"/>
      <c r="AD553" s="45"/>
      <c r="AE553" s="45"/>
      <c r="AF553" s="45"/>
      <c r="AG553" s="45"/>
      <c r="AH553" s="45"/>
      <c r="AI553" s="45"/>
      <c r="AJ553" s="45"/>
      <c r="AK553" s="45"/>
      <c r="AL553" s="45"/>
    </row>
    <row r="554" ht="15.75" customHeight="1">
      <c r="A554" s="27">
        <f t="shared" si="13"/>
        <v>15</v>
      </c>
      <c r="B554" s="28" t="s">
        <v>2025</v>
      </c>
      <c r="C554" s="29" t="s">
        <v>2026</v>
      </c>
      <c r="D554" s="39" t="s">
        <v>2027</v>
      </c>
      <c r="E554" s="28" t="s">
        <v>28</v>
      </c>
      <c r="F554" s="28" t="s">
        <v>29</v>
      </c>
      <c r="G554" s="28" t="s">
        <v>37</v>
      </c>
      <c r="H554" s="28" t="s">
        <v>31</v>
      </c>
      <c r="I554" s="28" t="s">
        <v>38</v>
      </c>
      <c r="J554" s="28">
        <v>334.0</v>
      </c>
      <c r="K554" s="28"/>
      <c r="L554" s="28" t="s">
        <v>2028</v>
      </c>
      <c r="M554" s="28" t="s">
        <v>250</v>
      </c>
      <c r="N554" s="28">
        <v>2014.0</v>
      </c>
      <c r="O554" s="31" t="s">
        <v>494</v>
      </c>
      <c r="P554" s="28">
        <v>1.0</v>
      </c>
      <c r="Q554" s="37">
        <v>1.0</v>
      </c>
      <c r="R554" s="33"/>
      <c r="S554" s="34"/>
      <c r="T554" s="34"/>
      <c r="U554" s="34"/>
      <c r="V554" s="34"/>
      <c r="W554" s="34"/>
      <c r="X554" s="34"/>
      <c r="Y554" s="3"/>
      <c r="Z554" s="3"/>
      <c r="AA554" s="3"/>
      <c r="AB554" s="3"/>
      <c r="AC554" s="3"/>
      <c r="AD554" s="3"/>
      <c r="AE554" s="3"/>
      <c r="AF554" s="3"/>
      <c r="AG554" s="3"/>
      <c r="AH554" s="3"/>
      <c r="AI554" s="3"/>
      <c r="AJ554" s="3"/>
      <c r="AK554" s="3"/>
      <c r="AL554" s="3"/>
    </row>
    <row r="555" ht="15.75" customHeight="1">
      <c r="A555" s="27">
        <f t="shared" si="13"/>
        <v>16</v>
      </c>
      <c r="B555" s="28" t="s">
        <v>2029</v>
      </c>
      <c r="C555" s="29" t="s">
        <v>2030</v>
      </c>
      <c r="D555" s="39" t="s">
        <v>2031</v>
      </c>
      <c r="E555" s="28" t="s">
        <v>28</v>
      </c>
      <c r="F555" s="28" t="s">
        <v>29</v>
      </c>
      <c r="G555" s="28" t="s">
        <v>38</v>
      </c>
      <c r="H555" s="28"/>
      <c r="I555" s="28" t="s">
        <v>38</v>
      </c>
      <c r="J555" s="31">
        <v>231.0</v>
      </c>
      <c r="K555" s="28"/>
      <c r="L555" s="28" t="s">
        <v>2032</v>
      </c>
      <c r="M555" s="28" t="s">
        <v>83</v>
      </c>
      <c r="N555" s="28">
        <v>2016.0</v>
      </c>
      <c r="O555" s="31" t="s">
        <v>494</v>
      </c>
      <c r="P555" s="28">
        <v>1.0</v>
      </c>
      <c r="Q555" s="32">
        <v>1.0</v>
      </c>
      <c r="R555" s="33"/>
      <c r="S555" s="34"/>
      <c r="T555" s="34"/>
      <c r="U555" s="34"/>
      <c r="V555" s="34"/>
      <c r="W555" s="34"/>
      <c r="X555" s="34"/>
      <c r="Y555" s="3"/>
      <c r="Z555" s="3"/>
      <c r="AA555" s="3"/>
      <c r="AB555" s="3"/>
      <c r="AC555" s="3"/>
      <c r="AD555" s="3"/>
      <c r="AE555" s="3"/>
      <c r="AF555" s="3"/>
      <c r="AG555" s="3"/>
      <c r="AH555" s="3"/>
      <c r="AI555" s="3"/>
      <c r="AJ555" s="3"/>
      <c r="AK555" s="3"/>
      <c r="AL555" s="3"/>
    </row>
    <row r="556" ht="15.75" customHeight="1">
      <c r="A556" s="27">
        <f t="shared" si="13"/>
        <v>17</v>
      </c>
      <c r="B556" s="28" t="s">
        <v>2033</v>
      </c>
      <c r="C556" s="29" t="s">
        <v>2034</v>
      </c>
      <c r="D556" s="39" t="s">
        <v>2035</v>
      </c>
      <c r="E556" s="28" t="s">
        <v>31</v>
      </c>
      <c r="F556" s="28" t="s">
        <v>29</v>
      </c>
      <c r="G556" s="28" t="s">
        <v>98</v>
      </c>
      <c r="H556" s="28"/>
      <c r="I556" s="28" t="s">
        <v>38</v>
      </c>
      <c r="J556" s="28">
        <v>355.0</v>
      </c>
      <c r="K556" s="28"/>
      <c r="L556" s="28" t="s">
        <v>2036</v>
      </c>
      <c r="M556" s="28" t="s">
        <v>54</v>
      </c>
      <c r="N556" s="28">
        <v>1985.0</v>
      </c>
      <c r="O556" s="31" t="s">
        <v>2037</v>
      </c>
      <c r="P556" s="28">
        <v>1.0</v>
      </c>
      <c r="Q556" s="37">
        <v>1.0</v>
      </c>
      <c r="R556" s="33"/>
      <c r="S556" s="34"/>
      <c r="T556" s="34"/>
      <c r="U556" s="34"/>
      <c r="V556" s="34"/>
      <c r="W556" s="34"/>
      <c r="X556" s="34"/>
      <c r="Y556" s="3"/>
      <c r="Z556" s="3"/>
      <c r="AA556" s="3"/>
      <c r="AB556" s="3"/>
      <c r="AC556" s="3"/>
      <c r="AD556" s="3"/>
      <c r="AE556" s="3"/>
      <c r="AF556" s="3"/>
      <c r="AG556" s="3"/>
      <c r="AH556" s="3"/>
      <c r="AI556" s="3"/>
      <c r="AJ556" s="3"/>
      <c r="AK556" s="3"/>
      <c r="AL556" s="3"/>
    </row>
    <row r="557" ht="15.75" customHeight="1">
      <c r="A557" s="27">
        <f t="shared" si="13"/>
        <v>18</v>
      </c>
      <c r="B557" s="28" t="s">
        <v>2038</v>
      </c>
      <c r="C557" s="29" t="s">
        <v>2039</v>
      </c>
      <c r="D557" s="39" t="s">
        <v>2040</v>
      </c>
      <c r="E557" s="28" t="s">
        <v>28</v>
      </c>
      <c r="F557" s="28" t="s">
        <v>29</v>
      </c>
      <c r="G557" s="28" t="s">
        <v>37</v>
      </c>
      <c r="H557" s="28"/>
      <c r="I557" s="28" t="s">
        <v>38</v>
      </c>
      <c r="J557" s="28">
        <v>388.0</v>
      </c>
      <c r="K557" s="28"/>
      <c r="L557" s="28" t="s">
        <v>2041</v>
      </c>
      <c r="M557" s="28" t="s">
        <v>178</v>
      </c>
      <c r="N557" s="28">
        <v>2004.0</v>
      </c>
      <c r="O557" s="31">
        <v>6.0</v>
      </c>
      <c r="P557" s="28">
        <v>1.0</v>
      </c>
      <c r="Q557" s="32">
        <v>1.0</v>
      </c>
      <c r="R557" s="33"/>
      <c r="S557" s="34"/>
      <c r="T557" s="34"/>
      <c r="U557" s="34"/>
      <c r="V557" s="34"/>
      <c r="W557" s="34"/>
      <c r="X557" s="34"/>
      <c r="Y557" s="45"/>
      <c r="Z557" s="45"/>
      <c r="AA557" s="45"/>
      <c r="AB557" s="45"/>
      <c r="AC557" s="45"/>
      <c r="AD557" s="45"/>
      <c r="AE557" s="45"/>
      <c r="AF557" s="45"/>
      <c r="AG557" s="45"/>
      <c r="AH557" s="45"/>
      <c r="AI557" s="45"/>
      <c r="AJ557" s="45"/>
      <c r="AK557" s="45"/>
      <c r="AL557" s="45"/>
    </row>
    <row r="558" ht="15.75" customHeight="1">
      <c r="A558" s="27">
        <f t="shared" si="13"/>
        <v>19</v>
      </c>
      <c r="B558" s="77" t="s">
        <v>2042</v>
      </c>
      <c r="C558" s="78" t="s">
        <v>2043</v>
      </c>
      <c r="D558" s="73" t="s">
        <v>2044</v>
      </c>
      <c r="E558" s="28" t="s">
        <v>28</v>
      </c>
      <c r="F558" s="77" t="s">
        <v>29</v>
      </c>
      <c r="G558" s="28" t="s">
        <v>37</v>
      </c>
      <c r="H558" s="89"/>
      <c r="I558" s="77" t="s">
        <v>38</v>
      </c>
      <c r="J558" s="77">
        <v>538.0</v>
      </c>
      <c r="K558" s="89"/>
      <c r="L558" s="77" t="s">
        <v>2045</v>
      </c>
      <c r="M558" s="77" t="s">
        <v>250</v>
      </c>
      <c r="N558" s="77">
        <v>2007.0</v>
      </c>
      <c r="O558" s="31">
        <v>6.0</v>
      </c>
      <c r="P558" s="77">
        <v>1.0</v>
      </c>
      <c r="Q558" s="32">
        <v>1.0</v>
      </c>
      <c r="R558" s="33"/>
      <c r="S558" s="40"/>
      <c r="T558" s="40"/>
      <c r="U558" s="40"/>
      <c r="V558" s="40"/>
      <c r="W558" s="40"/>
      <c r="X558" s="40"/>
      <c r="Y558" s="45"/>
      <c r="Z558" s="45"/>
      <c r="AA558" s="45"/>
      <c r="AB558" s="45"/>
      <c r="AC558" s="45"/>
      <c r="AD558" s="45"/>
      <c r="AE558" s="45"/>
      <c r="AF558" s="45"/>
      <c r="AG558" s="45"/>
      <c r="AH558" s="45"/>
      <c r="AI558" s="45"/>
      <c r="AJ558" s="45"/>
      <c r="AK558" s="45"/>
      <c r="AL558" s="45"/>
    </row>
    <row r="559" ht="15.75" customHeight="1">
      <c r="A559" s="27">
        <f t="shared" si="13"/>
        <v>20</v>
      </c>
      <c r="B559" s="28" t="s">
        <v>2046</v>
      </c>
      <c r="C559" s="29" t="s">
        <v>2047</v>
      </c>
      <c r="D559" s="39" t="s">
        <v>2048</v>
      </c>
      <c r="E559" s="28" t="s">
        <v>28</v>
      </c>
      <c r="F559" s="28" t="s">
        <v>29</v>
      </c>
      <c r="G559" s="28" t="s">
        <v>1032</v>
      </c>
      <c r="H559" s="28"/>
      <c r="I559" s="28" t="s">
        <v>38</v>
      </c>
      <c r="J559" s="28">
        <v>515.0</v>
      </c>
      <c r="K559" s="28"/>
      <c r="L559" s="28" t="s">
        <v>2049</v>
      </c>
      <c r="M559" s="28" t="s">
        <v>236</v>
      </c>
      <c r="N559" s="28">
        <v>1992.0</v>
      </c>
      <c r="O559" s="31">
        <v>6.0</v>
      </c>
      <c r="P559" s="28">
        <v>1.0</v>
      </c>
      <c r="Q559" s="32">
        <v>1.0</v>
      </c>
      <c r="R559" s="33"/>
      <c r="S559" s="40"/>
      <c r="T559" s="40"/>
      <c r="U559" s="40"/>
      <c r="V559" s="40"/>
      <c r="W559" s="40"/>
      <c r="X559" s="40"/>
      <c r="Y559" s="45"/>
      <c r="Z559" s="45"/>
      <c r="AA559" s="45"/>
      <c r="AB559" s="45"/>
      <c r="AC559" s="45"/>
      <c r="AD559" s="45"/>
      <c r="AE559" s="45"/>
      <c r="AF559" s="45"/>
      <c r="AG559" s="45"/>
      <c r="AH559" s="45"/>
      <c r="AI559" s="45"/>
      <c r="AJ559" s="45"/>
      <c r="AK559" s="45"/>
      <c r="AL559" s="45"/>
    </row>
    <row r="560" ht="15.75" customHeight="1">
      <c r="A560" s="27">
        <f t="shared" si="13"/>
        <v>21</v>
      </c>
      <c r="B560" s="28" t="s">
        <v>2050</v>
      </c>
      <c r="C560" s="29" t="s">
        <v>2051</v>
      </c>
      <c r="D560" s="30" t="s">
        <v>2027</v>
      </c>
      <c r="E560" s="28" t="s">
        <v>28</v>
      </c>
      <c r="F560" s="28" t="s">
        <v>29</v>
      </c>
      <c r="G560" s="28" t="s">
        <v>37</v>
      </c>
      <c r="H560" s="28" t="s">
        <v>31</v>
      </c>
      <c r="I560" s="28" t="s">
        <v>38</v>
      </c>
      <c r="J560" s="28">
        <v>252.0</v>
      </c>
      <c r="K560" s="28"/>
      <c r="L560" s="31" t="s">
        <v>2052</v>
      </c>
      <c r="M560" s="28" t="s">
        <v>250</v>
      </c>
      <c r="N560" s="28">
        <v>1980.0</v>
      </c>
      <c r="O560" s="31" t="s">
        <v>494</v>
      </c>
      <c r="P560" s="28">
        <v>1.0</v>
      </c>
      <c r="Q560" s="37">
        <v>1.0</v>
      </c>
      <c r="R560" s="33"/>
      <c r="S560" s="34"/>
      <c r="T560" s="34"/>
      <c r="U560" s="34"/>
      <c r="V560" s="34"/>
      <c r="W560" s="34"/>
      <c r="X560" s="34"/>
      <c r="Y560" s="3"/>
      <c r="Z560" s="3"/>
      <c r="AA560" s="3"/>
      <c r="AB560" s="3"/>
      <c r="AC560" s="3"/>
      <c r="AD560" s="3"/>
      <c r="AE560" s="3"/>
      <c r="AF560" s="3"/>
      <c r="AG560" s="3"/>
      <c r="AH560" s="3"/>
      <c r="AI560" s="3"/>
      <c r="AJ560" s="3"/>
      <c r="AK560" s="3"/>
      <c r="AL560" s="3"/>
    </row>
    <row r="561" ht="15.75" customHeight="1">
      <c r="A561" s="27">
        <f t="shared" si="13"/>
        <v>22</v>
      </c>
      <c r="B561" s="28" t="s">
        <v>2053</v>
      </c>
      <c r="C561" s="43" t="s">
        <v>2054</v>
      </c>
      <c r="D561" s="39" t="s">
        <v>2055</v>
      </c>
      <c r="E561" s="28" t="s">
        <v>28</v>
      </c>
      <c r="F561" s="28" t="s">
        <v>29</v>
      </c>
      <c r="G561" s="28" t="s">
        <v>37</v>
      </c>
      <c r="H561" s="28"/>
      <c r="I561" s="28" t="s">
        <v>38</v>
      </c>
      <c r="J561" s="31">
        <v>163.0</v>
      </c>
      <c r="K561" s="28"/>
      <c r="L561" s="28" t="s">
        <v>2056</v>
      </c>
      <c r="M561" s="28" t="s">
        <v>230</v>
      </c>
      <c r="N561" s="28">
        <v>1997.0</v>
      </c>
      <c r="O561" s="31" t="s">
        <v>494</v>
      </c>
      <c r="P561" s="28">
        <v>1.0</v>
      </c>
      <c r="Q561" s="32">
        <v>1.0</v>
      </c>
      <c r="R561" s="33"/>
      <c r="S561" s="34"/>
      <c r="T561" s="34"/>
      <c r="U561" s="34"/>
      <c r="V561" s="34"/>
      <c r="W561" s="34"/>
      <c r="X561" s="34"/>
      <c r="Y561" s="3"/>
      <c r="Z561" s="3"/>
      <c r="AA561" s="3"/>
      <c r="AB561" s="3"/>
      <c r="AC561" s="3"/>
      <c r="AD561" s="3"/>
      <c r="AE561" s="3"/>
      <c r="AF561" s="3"/>
      <c r="AG561" s="3"/>
      <c r="AH561" s="3"/>
      <c r="AI561" s="3"/>
      <c r="AJ561" s="3"/>
      <c r="AK561" s="3"/>
      <c r="AL561" s="3"/>
    </row>
    <row r="562" ht="15.75" customHeight="1">
      <c r="A562" s="27">
        <f t="shared" si="13"/>
        <v>23</v>
      </c>
      <c r="B562" s="28" t="s">
        <v>2057</v>
      </c>
      <c r="C562" s="29" t="s">
        <v>2058</v>
      </c>
      <c r="D562" s="30" t="s">
        <v>2059</v>
      </c>
      <c r="E562" s="28" t="s">
        <v>28</v>
      </c>
      <c r="F562" s="28" t="s">
        <v>29</v>
      </c>
      <c r="G562" s="28" t="s">
        <v>37</v>
      </c>
      <c r="H562" s="28"/>
      <c r="I562" s="28" t="s">
        <v>38</v>
      </c>
      <c r="J562" s="28">
        <v>450.0</v>
      </c>
      <c r="K562" s="28"/>
      <c r="L562" s="28" t="s">
        <v>2060</v>
      </c>
      <c r="M562" s="28" t="s">
        <v>1394</v>
      </c>
      <c r="N562" s="28">
        <v>2016.0</v>
      </c>
      <c r="O562" s="31">
        <v>5.0</v>
      </c>
      <c r="P562" s="28">
        <v>1.0</v>
      </c>
      <c r="Q562" s="32">
        <v>1.0</v>
      </c>
      <c r="R562" s="33"/>
      <c r="S562" s="34"/>
      <c r="T562" s="34"/>
      <c r="U562" s="34"/>
      <c r="V562" s="34"/>
      <c r="W562" s="34"/>
      <c r="X562" s="34"/>
      <c r="Y562" s="45"/>
      <c r="Z562" s="45"/>
      <c r="AA562" s="45"/>
      <c r="AB562" s="45"/>
      <c r="AC562" s="45"/>
      <c r="AD562" s="45"/>
      <c r="AE562" s="45"/>
      <c r="AF562" s="45"/>
      <c r="AG562" s="45"/>
      <c r="AH562" s="45"/>
      <c r="AI562" s="45"/>
      <c r="AJ562" s="45"/>
      <c r="AK562" s="45"/>
      <c r="AL562" s="45"/>
    </row>
    <row r="563" ht="15.75" customHeight="1">
      <c r="A563" s="27">
        <f t="shared" si="13"/>
        <v>24</v>
      </c>
      <c r="B563" s="28" t="s">
        <v>2061</v>
      </c>
      <c r="C563" s="29" t="s">
        <v>2062</v>
      </c>
      <c r="D563" s="39" t="s">
        <v>2063</v>
      </c>
      <c r="E563" s="28" t="s">
        <v>223</v>
      </c>
      <c r="F563" s="28" t="s">
        <v>29</v>
      </c>
      <c r="G563" s="28" t="s">
        <v>37</v>
      </c>
      <c r="H563" s="28"/>
      <c r="I563" s="28" t="s">
        <v>38</v>
      </c>
      <c r="J563" s="31">
        <v>458.0</v>
      </c>
      <c r="K563" s="28"/>
      <c r="L563" s="31" t="s">
        <v>2064</v>
      </c>
      <c r="M563" s="28" t="s">
        <v>54</v>
      </c>
      <c r="N563" s="28">
        <v>1990.0</v>
      </c>
      <c r="O563" s="88">
        <v>44474.0</v>
      </c>
      <c r="P563" s="31">
        <v>4.0</v>
      </c>
      <c r="Q563" s="37">
        <v>4.0</v>
      </c>
      <c r="R563" s="33"/>
      <c r="S563" s="34"/>
      <c r="T563" s="34"/>
      <c r="U563" s="34"/>
      <c r="V563" s="34"/>
      <c r="W563" s="34"/>
      <c r="X563" s="34"/>
      <c r="Y563" s="3"/>
      <c r="Z563" s="3"/>
      <c r="AA563" s="3"/>
      <c r="AB563" s="3"/>
      <c r="AC563" s="3"/>
      <c r="AD563" s="3"/>
      <c r="AE563" s="3"/>
      <c r="AF563" s="3"/>
      <c r="AG563" s="3"/>
      <c r="AH563" s="3"/>
      <c r="AI563" s="3"/>
      <c r="AJ563" s="3"/>
      <c r="AK563" s="3"/>
      <c r="AL563" s="3"/>
    </row>
    <row r="564" ht="15.75" customHeight="1">
      <c r="A564" s="27">
        <f t="shared" si="13"/>
        <v>25</v>
      </c>
      <c r="B564" s="28" t="s">
        <v>2065</v>
      </c>
      <c r="C564" s="29" t="s">
        <v>2066</v>
      </c>
      <c r="D564" s="39" t="s">
        <v>2067</v>
      </c>
      <c r="E564" s="28" t="s">
        <v>28</v>
      </c>
      <c r="F564" s="28" t="s">
        <v>29</v>
      </c>
      <c r="G564" s="28" t="s">
        <v>37</v>
      </c>
      <c r="H564" s="28" t="s">
        <v>31</v>
      </c>
      <c r="I564" s="28" t="s">
        <v>38</v>
      </c>
      <c r="J564" s="28" t="s">
        <v>2068</v>
      </c>
      <c r="K564" s="28"/>
      <c r="L564" s="28" t="s">
        <v>2069</v>
      </c>
      <c r="M564" s="28" t="s">
        <v>1544</v>
      </c>
      <c r="N564" s="28">
        <v>1977.0</v>
      </c>
      <c r="O564" s="31" t="s">
        <v>494</v>
      </c>
      <c r="P564" s="28">
        <v>1.0</v>
      </c>
      <c r="Q564" s="32">
        <v>1.0</v>
      </c>
      <c r="R564" s="33"/>
      <c r="S564" s="40"/>
      <c r="T564" s="40"/>
      <c r="U564" s="40"/>
      <c r="V564" s="40"/>
      <c r="W564" s="40"/>
      <c r="X564" s="40"/>
      <c r="Y564" s="3"/>
      <c r="Z564" s="3"/>
      <c r="AA564" s="3"/>
      <c r="AB564" s="3"/>
      <c r="AC564" s="3"/>
      <c r="AD564" s="3"/>
      <c r="AE564" s="3"/>
      <c r="AF564" s="3"/>
      <c r="AG564" s="3"/>
      <c r="AH564" s="3"/>
      <c r="AI564" s="3"/>
      <c r="AJ564" s="3"/>
      <c r="AK564" s="3"/>
      <c r="AL564" s="3"/>
    </row>
    <row r="565" ht="15.75" customHeight="1">
      <c r="A565" s="27">
        <f t="shared" si="13"/>
        <v>26</v>
      </c>
      <c r="B565" s="28" t="s">
        <v>2070</v>
      </c>
      <c r="C565" s="29" t="s">
        <v>2071</v>
      </c>
      <c r="D565" s="39" t="s">
        <v>2072</v>
      </c>
      <c r="E565" s="28" t="s">
        <v>28</v>
      </c>
      <c r="F565" s="28" t="s">
        <v>29</v>
      </c>
      <c r="G565" s="28" t="s">
        <v>38</v>
      </c>
      <c r="H565" s="28" t="s">
        <v>31</v>
      </c>
      <c r="I565" s="28" t="s">
        <v>38</v>
      </c>
      <c r="J565" s="28">
        <v>351.0</v>
      </c>
      <c r="K565" s="28"/>
      <c r="L565" s="31" t="s">
        <v>2073</v>
      </c>
      <c r="M565" s="28" t="s">
        <v>230</v>
      </c>
      <c r="N565" s="28">
        <v>1980.0</v>
      </c>
      <c r="O565" s="31">
        <v>6.0</v>
      </c>
      <c r="P565" s="28">
        <v>1.0</v>
      </c>
      <c r="Q565" s="37">
        <v>1.0</v>
      </c>
      <c r="R565" s="33"/>
      <c r="S565" s="34"/>
      <c r="T565" s="34"/>
      <c r="U565" s="34"/>
      <c r="V565" s="34"/>
      <c r="W565" s="34"/>
      <c r="X565" s="34"/>
      <c r="Y565" s="3"/>
      <c r="Z565" s="3"/>
      <c r="AA565" s="3"/>
      <c r="AB565" s="3"/>
      <c r="AC565" s="3"/>
      <c r="AD565" s="3"/>
      <c r="AE565" s="3"/>
      <c r="AF565" s="3"/>
      <c r="AG565" s="3"/>
      <c r="AH565" s="3"/>
      <c r="AI565" s="3"/>
      <c r="AJ565" s="3"/>
      <c r="AK565" s="3"/>
      <c r="AL565" s="3"/>
    </row>
    <row r="566" ht="15.75" customHeight="1">
      <c r="A566" s="27">
        <f t="shared" si="13"/>
        <v>27</v>
      </c>
      <c r="B566" s="28" t="s">
        <v>2074</v>
      </c>
      <c r="C566" s="43" t="s">
        <v>2075</v>
      </c>
      <c r="D566" s="30" t="s">
        <v>2076</v>
      </c>
      <c r="E566" s="28" t="s">
        <v>223</v>
      </c>
      <c r="F566" s="28" t="s">
        <v>29</v>
      </c>
      <c r="G566" s="28" t="s">
        <v>37</v>
      </c>
      <c r="H566" s="28"/>
      <c r="I566" s="28" t="s">
        <v>38</v>
      </c>
      <c r="J566" s="28">
        <v>955.0</v>
      </c>
      <c r="K566" s="28"/>
      <c r="L566" s="28" t="s">
        <v>2077</v>
      </c>
      <c r="M566" s="28" t="s">
        <v>54</v>
      </c>
      <c r="N566" s="28">
        <v>1999.0</v>
      </c>
      <c r="O566" s="31">
        <v>5.0</v>
      </c>
      <c r="P566" s="28">
        <v>1.0</v>
      </c>
      <c r="Q566" s="37">
        <v>1.0</v>
      </c>
      <c r="R566" s="33"/>
      <c r="S566" s="38"/>
      <c r="T566" s="38"/>
      <c r="U566" s="38"/>
      <c r="V566" s="38"/>
      <c r="W566" s="38"/>
      <c r="X566" s="38"/>
      <c r="Y566" s="3"/>
      <c r="Z566" s="3"/>
      <c r="AA566" s="3"/>
      <c r="AB566" s="3"/>
      <c r="AC566" s="3"/>
      <c r="AD566" s="3"/>
      <c r="AE566" s="3"/>
      <c r="AF566" s="3"/>
      <c r="AG566" s="3"/>
      <c r="AH566" s="3"/>
      <c r="AI566" s="3"/>
      <c r="AJ566" s="3"/>
      <c r="AK566" s="3"/>
      <c r="AL566" s="3"/>
    </row>
    <row r="567" ht="15.75" customHeight="1">
      <c r="A567" s="27">
        <f t="shared" si="13"/>
        <v>28</v>
      </c>
      <c r="B567" s="28" t="s">
        <v>2078</v>
      </c>
      <c r="C567" s="29" t="s">
        <v>2079</v>
      </c>
      <c r="D567" s="30" t="s">
        <v>2080</v>
      </c>
      <c r="E567" s="28" t="s">
        <v>28</v>
      </c>
      <c r="F567" s="28" t="s">
        <v>29</v>
      </c>
      <c r="G567" s="28" t="s">
        <v>37</v>
      </c>
      <c r="H567" s="28"/>
      <c r="I567" s="28" t="s">
        <v>38</v>
      </c>
      <c r="J567" s="28">
        <v>868.0</v>
      </c>
      <c r="K567" s="28"/>
      <c r="L567" s="28" t="s">
        <v>2081</v>
      </c>
      <c r="M567" s="28" t="s">
        <v>230</v>
      </c>
      <c r="N567" s="28">
        <v>2009.0</v>
      </c>
      <c r="O567" s="31">
        <v>6.0</v>
      </c>
      <c r="P567" s="28">
        <v>1.0</v>
      </c>
      <c r="Q567" s="32">
        <v>1.0</v>
      </c>
      <c r="R567" s="33"/>
      <c r="S567" s="40"/>
      <c r="T567" s="40"/>
      <c r="U567" s="40"/>
      <c r="V567" s="40"/>
      <c r="W567" s="40"/>
      <c r="X567" s="40"/>
      <c r="Y567" s="45"/>
      <c r="Z567" s="45"/>
      <c r="AA567" s="45"/>
      <c r="AB567" s="45"/>
      <c r="AC567" s="45"/>
      <c r="AD567" s="45"/>
      <c r="AE567" s="45"/>
      <c r="AF567" s="45"/>
      <c r="AG567" s="45"/>
      <c r="AH567" s="45"/>
      <c r="AI567" s="45"/>
      <c r="AJ567" s="45"/>
      <c r="AK567" s="45"/>
      <c r="AL567" s="45"/>
    </row>
    <row r="568" ht="14.25" customHeight="1">
      <c r="A568" s="27">
        <f t="shared" si="13"/>
        <v>29</v>
      </c>
      <c r="B568" s="28" t="s">
        <v>2082</v>
      </c>
      <c r="C568" s="29" t="s">
        <v>2083</v>
      </c>
      <c r="D568" s="39" t="s">
        <v>2084</v>
      </c>
      <c r="E568" s="28" t="s">
        <v>28</v>
      </c>
      <c r="F568" s="28" t="s">
        <v>29</v>
      </c>
      <c r="G568" s="28" t="s">
        <v>38</v>
      </c>
      <c r="H568" s="28"/>
      <c r="I568" s="28" t="s">
        <v>38</v>
      </c>
      <c r="J568" s="28">
        <v>248.0</v>
      </c>
      <c r="K568" s="28"/>
      <c r="L568" s="28" t="s">
        <v>2085</v>
      </c>
      <c r="M568" s="28" t="s">
        <v>83</v>
      </c>
      <c r="N568" s="28">
        <v>2016.0</v>
      </c>
      <c r="O568" s="31" t="s">
        <v>494</v>
      </c>
      <c r="P568" s="28">
        <v>1.0</v>
      </c>
      <c r="Q568" s="32">
        <v>1.0</v>
      </c>
      <c r="R568" s="33"/>
      <c r="S568" s="34"/>
      <c r="T568" s="34"/>
      <c r="U568" s="34"/>
      <c r="V568" s="34"/>
      <c r="W568" s="34"/>
      <c r="X568" s="34"/>
      <c r="Y568" s="45"/>
      <c r="Z568" s="45"/>
      <c r="AA568" s="45"/>
      <c r="AB568" s="45"/>
      <c r="AC568" s="45"/>
      <c r="AD568" s="45"/>
      <c r="AE568" s="45"/>
      <c r="AF568" s="45"/>
      <c r="AG568" s="45"/>
      <c r="AH568" s="45"/>
      <c r="AI568" s="45"/>
      <c r="AJ568" s="45"/>
      <c r="AK568" s="45"/>
      <c r="AL568" s="45"/>
    </row>
    <row r="569" ht="15.75" customHeight="1">
      <c r="A569" s="27">
        <f t="shared" si="13"/>
        <v>30</v>
      </c>
      <c r="B569" s="28" t="s">
        <v>2086</v>
      </c>
      <c r="C569" s="29" t="s">
        <v>2087</v>
      </c>
      <c r="D569" s="30" t="s">
        <v>2088</v>
      </c>
      <c r="E569" s="28" t="s">
        <v>28</v>
      </c>
      <c r="F569" s="28" t="s">
        <v>29</v>
      </c>
      <c r="G569" s="28" t="s">
        <v>37</v>
      </c>
      <c r="H569" s="28"/>
      <c r="I569" s="28" t="s">
        <v>38</v>
      </c>
      <c r="J569" s="28">
        <f>659+25</f>
        <v>684</v>
      </c>
      <c r="K569" s="28"/>
      <c r="L569" s="28" t="s">
        <v>2089</v>
      </c>
      <c r="M569" s="28" t="s">
        <v>1478</v>
      </c>
      <c r="N569" s="28">
        <v>2004.0</v>
      </c>
      <c r="O569" s="31">
        <v>5.0</v>
      </c>
      <c r="P569" s="28">
        <v>1.0</v>
      </c>
      <c r="Q569" s="32">
        <v>1.0</v>
      </c>
      <c r="R569" s="33"/>
      <c r="S569" s="40"/>
      <c r="T569" s="40"/>
      <c r="U569" s="40"/>
      <c r="V569" s="40"/>
      <c r="W569" s="40"/>
      <c r="X569" s="40"/>
      <c r="Y569" s="3"/>
      <c r="Z569" s="3"/>
      <c r="AA569" s="3"/>
      <c r="AB569" s="3"/>
      <c r="AC569" s="3"/>
      <c r="AD569" s="3"/>
      <c r="AE569" s="3"/>
      <c r="AF569" s="3"/>
      <c r="AG569" s="3"/>
      <c r="AH569" s="3"/>
      <c r="AI569" s="3"/>
      <c r="AJ569" s="3"/>
      <c r="AK569" s="3"/>
      <c r="AL569" s="3"/>
    </row>
    <row r="570" ht="15.75" customHeight="1">
      <c r="A570" s="27">
        <f t="shared" si="13"/>
        <v>31</v>
      </c>
      <c r="B570" s="28" t="s">
        <v>2090</v>
      </c>
      <c r="C570" s="43" t="s">
        <v>2091</v>
      </c>
      <c r="D570" s="39" t="s">
        <v>2092</v>
      </c>
      <c r="E570" s="28" t="s">
        <v>28</v>
      </c>
      <c r="F570" s="28" t="s">
        <v>29</v>
      </c>
      <c r="G570" s="28" t="s">
        <v>37</v>
      </c>
      <c r="H570" s="28"/>
      <c r="I570" s="28" t="s">
        <v>38</v>
      </c>
      <c r="J570" s="31">
        <v>146.0</v>
      </c>
      <c r="K570" s="28"/>
      <c r="L570" s="28" t="s">
        <v>2093</v>
      </c>
      <c r="M570" s="28" t="s">
        <v>230</v>
      </c>
      <c r="N570" s="28">
        <v>1998.0</v>
      </c>
      <c r="O570" s="31" t="s">
        <v>494</v>
      </c>
      <c r="P570" s="28">
        <v>1.0</v>
      </c>
      <c r="Q570" s="32">
        <v>1.0</v>
      </c>
      <c r="R570" s="33"/>
      <c r="S570" s="34"/>
      <c r="T570" s="34"/>
      <c r="U570" s="34"/>
      <c r="V570" s="34"/>
      <c r="W570" s="34"/>
      <c r="X570" s="34"/>
      <c r="Y570" s="3"/>
      <c r="Z570" s="3"/>
      <c r="AA570" s="3"/>
      <c r="AB570" s="3"/>
      <c r="AC570" s="3"/>
      <c r="AD570" s="3"/>
      <c r="AE570" s="3"/>
      <c r="AF570" s="3"/>
      <c r="AG570" s="3"/>
      <c r="AH570" s="3"/>
      <c r="AI570" s="3"/>
      <c r="AJ570" s="3"/>
      <c r="AK570" s="3"/>
      <c r="AL570" s="3"/>
    </row>
    <row r="571" ht="15.75" customHeight="1">
      <c r="A571" s="27">
        <f t="shared" si="13"/>
        <v>32</v>
      </c>
      <c r="B571" s="28" t="s">
        <v>2094</v>
      </c>
      <c r="C571" s="29" t="s">
        <v>2095</v>
      </c>
      <c r="D571" s="39" t="s">
        <v>2096</v>
      </c>
      <c r="E571" s="28" t="s">
        <v>28</v>
      </c>
      <c r="F571" s="28" t="s">
        <v>29</v>
      </c>
      <c r="G571" s="28" t="s">
        <v>37</v>
      </c>
      <c r="H571" s="28"/>
      <c r="I571" s="28" t="s">
        <v>38</v>
      </c>
      <c r="J571" s="28">
        <v>762.0</v>
      </c>
      <c r="K571" s="28"/>
      <c r="L571" s="28" t="s">
        <v>2097</v>
      </c>
      <c r="M571" s="28" t="s">
        <v>2098</v>
      </c>
      <c r="N571" s="28">
        <v>2017.0</v>
      </c>
      <c r="O571" s="31">
        <v>6.0</v>
      </c>
      <c r="P571" s="28">
        <v>1.0</v>
      </c>
      <c r="Q571" s="32">
        <v>1.0</v>
      </c>
      <c r="R571" s="33"/>
      <c r="S571" s="34"/>
      <c r="T571" s="34"/>
      <c r="U571" s="34"/>
      <c r="V571" s="34"/>
      <c r="W571" s="34"/>
      <c r="X571" s="34"/>
      <c r="Y571" s="3"/>
      <c r="Z571" s="3"/>
      <c r="AA571" s="3"/>
      <c r="AB571" s="3"/>
      <c r="AC571" s="3"/>
      <c r="AD571" s="3"/>
      <c r="AE571" s="3"/>
      <c r="AF571" s="3"/>
      <c r="AG571" s="3"/>
      <c r="AH571" s="3"/>
      <c r="AI571" s="3"/>
      <c r="AJ571" s="3"/>
      <c r="AK571" s="3"/>
      <c r="AL571" s="3"/>
    </row>
    <row r="572" ht="15.75" customHeight="1">
      <c r="A572" s="27">
        <f t="shared" si="13"/>
        <v>33</v>
      </c>
      <c r="B572" s="28" t="s">
        <v>2099</v>
      </c>
      <c r="C572" s="29" t="s">
        <v>2100</v>
      </c>
      <c r="D572" s="39" t="s">
        <v>2101</v>
      </c>
      <c r="E572" s="28" t="s">
        <v>28</v>
      </c>
      <c r="F572" s="28" t="s">
        <v>29</v>
      </c>
      <c r="G572" s="28" t="s">
        <v>37</v>
      </c>
      <c r="H572" s="28" t="s">
        <v>31</v>
      </c>
      <c r="I572" s="28" t="s">
        <v>38</v>
      </c>
      <c r="J572" s="28">
        <v>294.0</v>
      </c>
      <c r="K572" s="28"/>
      <c r="L572" s="28" t="s">
        <v>2102</v>
      </c>
      <c r="M572" s="28" t="s">
        <v>230</v>
      </c>
      <c r="N572" s="28">
        <v>1990.0</v>
      </c>
      <c r="O572" s="31">
        <v>5.0</v>
      </c>
      <c r="P572" s="28">
        <v>1.0</v>
      </c>
      <c r="Q572" s="32">
        <v>1.0</v>
      </c>
      <c r="R572" s="33"/>
      <c r="S572" s="34"/>
      <c r="T572" s="34"/>
      <c r="U572" s="34"/>
      <c r="V572" s="34"/>
      <c r="W572" s="34"/>
      <c r="X572" s="34"/>
      <c r="Y572" s="3"/>
      <c r="Z572" s="3"/>
      <c r="AA572" s="3"/>
      <c r="AB572" s="3"/>
      <c r="AC572" s="3"/>
      <c r="AD572" s="3"/>
      <c r="AE572" s="3"/>
      <c r="AF572" s="3"/>
      <c r="AG572" s="3"/>
      <c r="AH572" s="3"/>
      <c r="AI572" s="3"/>
      <c r="AJ572" s="3"/>
      <c r="AK572" s="3"/>
      <c r="AL572" s="3"/>
    </row>
    <row r="573" ht="15.75" customHeight="1">
      <c r="A573" s="27">
        <f t="shared" si="13"/>
        <v>34</v>
      </c>
      <c r="B573" s="28" t="s">
        <v>2103</v>
      </c>
      <c r="C573" s="29" t="s">
        <v>2104</v>
      </c>
      <c r="D573" s="39" t="s">
        <v>2105</v>
      </c>
      <c r="E573" s="28" t="s">
        <v>28</v>
      </c>
      <c r="F573" s="28" t="s">
        <v>29</v>
      </c>
      <c r="G573" s="28" t="s">
        <v>37</v>
      </c>
      <c r="H573" s="28" t="s">
        <v>31</v>
      </c>
      <c r="I573" s="28" t="s">
        <v>38</v>
      </c>
      <c r="J573" s="28" t="s">
        <v>2106</v>
      </c>
      <c r="K573" s="28"/>
      <c r="L573" s="28" t="s">
        <v>679</v>
      </c>
      <c r="M573" s="28" t="s">
        <v>1544</v>
      </c>
      <c r="N573" s="28">
        <v>1979.0</v>
      </c>
      <c r="O573" s="31" t="s">
        <v>494</v>
      </c>
      <c r="P573" s="28">
        <v>1.0</v>
      </c>
      <c r="Q573" s="32">
        <v>1.0</v>
      </c>
      <c r="R573" s="33"/>
      <c r="S573" s="40"/>
      <c r="T573" s="40"/>
      <c r="U573" s="40"/>
      <c r="V573" s="40"/>
      <c r="W573" s="40"/>
      <c r="X573" s="40"/>
      <c r="Y573" s="3"/>
      <c r="Z573" s="3"/>
      <c r="AA573" s="3"/>
      <c r="AB573" s="3"/>
      <c r="AC573" s="3"/>
      <c r="AD573" s="3"/>
      <c r="AE573" s="3"/>
      <c r="AF573" s="3"/>
      <c r="AG573" s="3"/>
      <c r="AH573" s="3"/>
      <c r="AI573" s="3"/>
      <c r="AJ573" s="3"/>
      <c r="AK573" s="3"/>
      <c r="AL573" s="3"/>
    </row>
    <row r="574" ht="15.75" customHeight="1">
      <c r="A574" s="27">
        <f t="shared" si="13"/>
        <v>35</v>
      </c>
      <c r="B574" s="28" t="s">
        <v>2103</v>
      </c>
      <c r="C574" s="29" t="s">
        <v>2104</v>
      </c>
      <c r="D574" s="39" t="s">
        <v>2107</v>
      </c>
      <c r="E574" s="28" t="s">
        <v>28</v>
      </c>
      <c r="F574" s="28" t="s">
        <v>29</v>
      </c>
      <c r="G574" s="28" t="s">
        <v>37</v>
      </c>
      <c r="H574" s="28" t="s">
        <v>31</v>
      </c>
      <c r="I574" s="28" t="s">
        <v>38</v>
      </c>
      <c r="J574" s="28" t="s">
        <v>2108</v>
      </c>
      <c r="K574" s="28"/>
      <c r="L574" s="28" t="s">
        <v>679</v>
      </c>
      <c r="M574" s="28" t="s">
        <v>1544</v>
      </c>
      <c r="N574" s="28">
        <v>1978.0</v>
      </c>
      <c r="O574" s="31" t="s">
        <v>494</v>
      </c>
      <c r="P574" s="28">
        <v>1.0</v>
      </c>
      <c r="Q574" s="32">
        <v>1.0</v>
      </c>
      <c r="R574" s="33"/>
      <c r="S574" s="38"/>
      <c r="T574" s="38"/>
      <c r="U574" s="38"/>
      <c r="V574" s="38"/>
      <c r="W574" s="38"/>
      <c r="X574" s="38"/>
      <c r="Y574" s="45"/>
      <c r="Z574" s="45"/>
      <c r="AA574" s="45"/>
      <c r="AB574" s="45"/>
      <c r="AC574" s="45"/>
      <c r="AD574" s="45"/>
      <c r="AE574" s="45"/>
      <c r="AF574" s="45"/>
      <c r="AG574" s="45"/>
      <c r="AH574" s="45"/>
      <c r="AI574" s="45"/>
      <c r="AJ574" s="45"/>
      <c r="AK574" s="45"/>
      <c r="AL574" s="45"/>
    </row>
    <row r="575" ht="15.75" customHeight="1">
      <c r="A575" s="27">
        <f t="shared" si="13"/>
        <v>36</v>
      </c>
      <c r="B575" s="28" t="s">
        <v>2103</v>
      </c>
      <c r="C575" s="29" t="s">
        <v>2104</v>
      </c>
      <c r="D575" s="39" t="s">
        <v>2109</v>
      </c>
      <c r="E575" s="28" t="s">
        <v>28</v>
      </c>
      <c r="F575" s="28" t="s">
        <v>29</v>
      </c>
      <c r="G575" s="28" t="s">
        <v>37</v>
      </c>
      <c r="H575" s="28" t="s">
        <v>31</v>
      </c>
      <c r="I575" s="28" t="s">
        <v>38</v>
      </c>
      <c r="J575" s="28" t="s">
        <v>2068</v>
      </c>
      <c r="K575" s="28"/>
      <c r="L575" s="28" t="s">
        <v>679</v>
      </c>
      <c r="M575" s="28" t="s">
        <v>1544</v>
      </c>
      <c r="N575" s="28">
        <v>1977.0</v>
      </c>
      <c r="O575" s="31" t="s">
        <v>494</v>
      </c>
      <c r="P575" s="28">
        <v>1.0</v>
      </c>
      <c r="Q575" s="32">
        <v>1.0</v>
      </c>
      <c r="R575" s="33"/>
      <c r="S575" s="40"/>
      <c r="T575" s="40"/>
      <c r="U575" s="40"/>
      <c r="V575" s="40"/>
      <c r="W575" s="40"/>
      <c r="X575" s="40"/>
      <c r="Y575" s="45"/>
      <c r="Z575" s="45"/>
      <c r="AA575" s="45"/>
      <c r="AB575" s="45"/>
      <c r="AC575" s="45"/>
      <c r="AD575" s="45"/>
      <c r="AE575" s="45"/>
      <c r="AF575" s="45"/>
      <c r="AG575" s="45"/>
      <c r="AH575" s="45"/>
      <c r="AI575" s="45"/>
      <c r="AJ575" s="45"/>
      <c r="AK575" s="45"/>
      <c r="AL575" s="45"/>
    </row>
    <row r="576" ht="15.75" customHeight="1">
      <c r="A576" s="27">
        <f t="shared" si="13"/>
        <v>37</v>
      </c>
      <c r="B576" s="28" t="s">
        <v>2103</v>
      </c>
      <c r="C576" s="29" t="s">
        <v>2104</v>
      </c>
      <c r="D576" s="39" t="s">
        <v>2110</v>
      </c>
      <c r="E576" s="28" t="s">
        <v>28</v>
      </c>
      <c r="F576" s="28" t="s">
        <v>29</v>
      </c>
      <c r="G576" s="28" t="s">
        <v>37</v>
      </c>
      <c r="H576" s="28" t="s">
        <v>31</v>
      </c>
      <c r="I576" s="28" t="s">
        <v>38</v>
      </c>
      <c r="J576" s="28">
        <v>80.0</v>
      </c>
      <c r="K576" s="28"/>
      <c r="L576" s="28" t="s">
        <v>679</v>
      </c>
      <c r="M576" s="28" t="s">
        <v>1544</v>
      </c>
      <c r="N576" s="28">
        <v>1977.0</v>
      </c>
      <c r="O576" s="31" t="s">
        <v>494</v>
      </c>
      <c r="P576" s="28">
        <v>1.0</v>
      </c>
      <c r="Q576" s="32">
        <v>1.0</v>
      </c>
      <c r="R576" s="33"/>
      <c r="S576" s="40"/>
      <c r="T576" s="40"/>
      <c r="U576" s="40"/>
      <c r="V576" s="40"/>
      <c r="W576" s="40"/>
      <c r="X576" s="40"/>
      <c r="Y576" s="45"/>
      <c r="Z576" s="45"/>
      <c r="AA576" s="45"/>
      <c r="AB576" s="45"/>
      <c r="AC576" s="45"/>
      <c r="AD576" s="45"/>
      <c r="AE576" s="45"/>
      <c r="AF576" s="45"/>
      <c r="AG576" s="45"/>
      <c r="AH576" s="45"/>
      <c r="AI576" s="45"/>
      <c r="AJ576" s="45"/>
      <c r="AK576" s="45"/>
      <c r="AL576" s="45"/>
    </row>
    <row r="577" ht="15.75" customHeight="1">
      <c r="A577" s="27">
        <f t="shared" si="13"/>
        <v>38</v>
      </c>
      <c r="B577" s="31" t="s">
        <v>2111</v>
      </c>
      <c r="C577" s="29" t="s">
        <v>2112</v>
      </c>
      <c r="D577" s="39" t="s">
        <v>2113</v>
      </c>
      <c r="E577" s="28" t="s">
        <v>28</v>
      </c>
      <c r="F577" s="28" t="s">
        <v>29</v>
      </c>
      <c r="G577" s="28" t="s">
        <v>37</v>
      </c>
      <c r="H577" s="28"/>
      <c r="I577" s="28" t="s">
        <v>38</v>
      </c>
      <c r="J577" s="31">
        <v>352.0</v>
      </c>
      <c r="K577" s="28"/>
      <c r="L577" s="31" t="s">
        <v>2114</v>
      </c>
      <c r="M577" s="28" t="s">
        <v>236</v>
      </c>
      <c r="N577" s="31">
        <v>1987.0</v>
      </c>
      <c r="O577" s="31">
        <v>6.0</v>
      </c>
      <c r="P577" s="31">
        <v>1.0</v>
      </c>
      <c r="Q577" s="37">
        <v>1.0</v>
      </c>
      <c r="R577" s="33"/>
      <c r="S577" s="34"/>
      <c r="T577" s="34"/>
      <c r="U577" s="34"/>
      <c r="V577" s="34"/>
      <c r="W577" s="34"/>
      <c r="X577" s="34"/>
      <c r="Y577" s="45"/>
      <c r="Z577" s="45"/>
      <c r="AA577" s="45"/>
      <c r="AB577" s="45"/>
      <c r="AC577" s="45"/>
      <c r="AD577" s="45"/>
      <c r="AE577" s="45"/>
      <c r="AF577" s="45"/>
      <c r="AG577" s="45"/>
      <c r="AH577" s="45"/>
      <c r="AI577" s="45"/>
      <c r="AJ577" s="45"/>
      <c r="AK577" s="45"/>
      <c r="AL577" s="45"/>
    </row>
    <row r="578" ht="15.75" customHeight="1">
      <c r="A578" s="27">
        <f t="shared" si="13"/>
        <v>39</v>
      </c>
      <c r="B578" s="28" t="s">
        <v>2115</v>
      </c>
      <c r="C578" s="29" t="s">
        <v>2112</v>
      </c>
      <c r="D578" s="39" t="s">
        <v>2116</v>
      </c>
      <c r="E578" s="28" t="s">
        <v>28</v>
      </c>
      <c r="F578" s="28" t="s">
        <v>29</v>
      </c>
      <c r="G578" s="28" t="s">
        <v>37</v>
      </c>
      <c r="H578" s="28"/>
      <c r="I578" s="28" t="s">
        <v>38</v>
      </c>
      <c r="J578" s="28">
        <v>517.0</v>
      </c>
      <c r="K578" s="28"/>
      <c r="L578" s="28" t="s">
        <v>2117</v>
      </c>
      <c r="M578" s="28" t="s">
        <v>236</v>
      </c>
      <c r="N578" s="28">
        <v>2000.0</v>
      </c>
      <c r="O578" s="31">
        <v>6.0</v>
      </c>
      <c r="P578" s="28">
        <v>1.0</v>
      </c>
      <c r="Q578" s="32">
        <v>1.0</v>
      </c>
      <c r="R578" s="33"/>
      <c r="S578" s="40"/>
      <c r="T578" s="40"/>
      <c r="U578" s="40"/>
      <c r="V578" s="40"/>
      <c r="W578" s="40"/>
      <c r="X578" s="40"/>
      <c r="Y578" s="45"/>
      <c r="Z578" s="45"/>
      <c r="AA578" s="45"/>
      <c r="AB578" s="45"/>
      <c r="AC578" s="45"/>
      <c r="AD578" s="45"/>
      <c r="AE578" s="45"/>
      <c r="AF578" s="45"/>
      <c r="AG578" s="45"/>
      <c r="AH578" s="45"/>
      <c r="AI578" s="45"/>
      <c r="AJ578" s="45"/>
      <c r="AK578" s="45"/>
      <c r="AL578" s="45"/>
    </row>
    <row r="579" ht="15.75" customHeight="1">
      <c r="A579" s="27">
        <f t="shared" si="13"/>
        <v>40</v>
      </c>
      <c r="B579" s="31" t="s">
        <v>2118</v>
      </c>
      <c r="C579" s="29" t="s">
        <v>2119</v>
      </c>
      <c r="D579" s="39" t="s">
        <v>2120</v>
      </c>
      <c r="E579" s="28" t="s">
        <v>28</v>
      </c>
      <c r="F579" s="28" t="s">
        <v>29</v>
      </c>
      <c r="G579" s="28" t="s">
        <v>98</v>
      </c>
      <c r="H579" s="28"/>
      <c r="I579" s="28" t="s">
        <v>38</v>
      </c>
      <c r="J579" s="31">
        <v>367.0</v>
      </c>
      <c r="K579" s="28"/>
      <c r="L579" s="28" t="s">
        <v>2121</v>
      </c>
      <c r="M579" s="28" t="s">
        <v>100</v>
      </c>
      <c r="N579" s="28">
        <v>2015.0</v>
      </c>
      <c r="O579" s="31">
        <v>6.0</v>
      </c>
      <c r="P579" s="28">
        <v>1.0</v>
      </c>
      <c r="Q579" s="37">
        <v>1.0</v>
      </c>
      <c r="R579" s="33"/>
      <c r="S579" s="40"/>
      <c r="T579" s="40"/>
      <c r="U579" s="40"/>
      <c r="V579" s="40"/>
      <c r="W579" s="40"/>
      <c r="X579" s="40"/>
      <c r="Y579" s="74"/>
      <c r="Z579" s="74"/>
      <c r="AA579" s="74"/>
      <c r="AB579" s="74"/>
      <c r="AC579" s="74"/>
      <c r="AD579" s="74"/>
      <c r="AE579" s="74"/>
      <c r="AF579" s="74"/>
      <c r="AG579" s="74"/>
      <c r="AH579" s="74"/>
      <c r="AI579" s="74"/>
      <c r="AJ579" s="74"/>
      <c r="AK579" s="74"/>
      <c r="AL579" s="74"/>
    </row>
    <row r="580" ht="15.75" customHeight="1">
      <c r="A580" s="27">
        <f t="shared" si="13"/>
        <v>41</v>
      </c>
      <c r="B580" s="28" t="s">
        <v>2122</v>
      </c>
      <c r="C580" s="43" t="s">
        <v>2123</v>
      </c>
      <c r="D580" s="30" t="s">
        <v>2124</v>
      </c>
      <c r="E580" s="28" t="s">
        <v>28</v>
      </c>
      <c r="F580" s="28" t="s">
        <v>29</v>
      </c>
      <c r="G580" s="28" t="s">
        <v>37</v>
      </c>
      <c r="H580" s="28" t="s">
        <v>31</v>
      </c>
      <c r="I580" s="28" t="s">
        <v>38</v>
      </c>
      <c r="J580" s="28">
        <v>224.0</v>
      </c>
      <c r="K580" s="28"/>
      <c r="L580" s="31" t="s">
        <v>492</v>
      </c>
      <c r="M580" s="28" t="s">
        <v>250</v>
      </c>
      <c r="N580" s="28">
        <v>1967.0</v>
      </c>
      <c r="O580" s="31" t="s">
        <v>494</v>
      </c>
      <c r="P580" s="28">
        <v>2.0</v>
      </c>
      <c r="Q580" s="37">
        <v>1.0</v>
      </c>
      <c r="R580" s="33"/>
      <c r="S580" s="40"/>
      <c r="T580" s="40"/>
      <c r="U580" s="40"/>
      <c r="V580" s="40"/>
      <c r="W580" s="40"/>
      <c r="X580" s="40"/>
      <c r="Y580" s="3"/>
      <c r="Z580" s="3"/>
      <c r="AA580" s="3"/>
      <c r="AB580" s="3"/>
      <c r="AC580" s="3"/>
      <c r="AD580" s="3"/>
      <c r="AE580" s="3"/>
      <c r="AF580" s="3"/>
      <c r="AG580" s="3"/>
      <c r="AH580" s="3"/>
      <c r="AI580" s="3"/>
      <c r="AJ580" s="3"/>
      <c r="AK580" s="3"/>
      <c r="AL580" s="3"/>
    </row>
    <row r="581" ht="15.75" customHeight="1">
      <c r="A581" s="27">
        <f t="shared" si="13"/>
        <v>42</v>
      </c>
      <c r="B581" s="28" t="s">
        <v>2125</v>
      </c>
      <c r="C581" s="43" t="s">
        <v>2126</v>
      </c>
      <c r="D581" s="39" t="s">
        <v>2127</v>
      </c>
      <c r="E581" s="28" t="s">
        <v>28</v>
      </c>
      <c r="F581" s="28" t="s">
        <v>29</v>
      </c>
      <c r="G581" s="28" t="s">
        <v>2128</v>
      </c>
      <c r="H581" s="28"/>
      <c r="I581" s="28" t="s">
        <v>38</v>
      </c>
      <c r="J581" s="28">
        <v>227.0</v>
      </c>
      <c r="K581" s="28"/>
      <c r="L581" s="28" t="s">
        <v>2129</v>
      </c>
      <c r="M581" s="28" t="s">
        <v>2130</v>
      </c>
      <c r="N581" s="28">
        <v>1993.0</v>
      </c>
      <c r="O581" s="31" t="s">
        <v>494</v>
      </c>
      <c r="P581" s="28">
        <v>1.0</v>
      </c>
      <c r="Q581" s="32">
        <v>1.0</v>
      </c>
      <c r="R581" s="33"/>
      <c r="S581" s="34"/>
      <c r="T581" s="34"/>
      <c r="U581" s="34"/>
      <c r="V581" s="34"/>
      <c r="W581" s="34"/>
      <c r="X581" s="34"/>
      <c r="Y581" s="3"/>
      <c r="Z581" s="3"/>
      <c r="AA581" s="3"/>
      <c r="AB581" s="3"/>
      <c r="AC581" s="3"/>
      <c r="AD581" s="3"/>
      <c r="AE581" s="3"/>
      <c r="AF581" s="3"/>
      <c r="AG581" s="3"/>
      <c r="AH581" s="3"/>
      <c r="AI581" s="3"/>
      <c r="AJ581" s="3"/>
      <c r="AK581" s="3"/>
      <c r="AL581" s="3"/>
    </row>
    <row r="582" ht="15.75" customHeight="1">
      <c r="A582" s="27">
        <f t="shared" si="13"/>
        <v>43</v>
      </c>
      <c r="B582" s="28" t="s">
        <v>2131</v>
      </c>
      <c r="C582" s="29" t="s">
        <v>2132</v>
      </c>
      <c r="D582" s="39" t="s">
        <v>2133</v>
      </c>
      <c r="E582" s="28" t="s">
        <v>144</v>
      </c>
      <c r="F582" s="28" t="s">
        <v>29</v>
      </c>
      <c r="G582" s="28" t="s">
        <v>37</v>
      </c>
      <c r="H582" s="28"/>
      <c r="I582" s="28" t="s">
        <v>38</v>
      </c>
      <c r="J582" s="28">
        <f>774+20</f>
        <v>794</v>
      </c>
      <c r="K582" s="28"/>
      <c r="L582" s="31" t="s">
        <v>2102</v>
      </c>
      <c r="M582" s="28" t="s">
        <v>230</v>
      </c>
      <c r="N582" s="31">
        <v>1995.0</v>
      </c>
      <c r="O582" s="31">
        <v>5.0</v>
      </c>
      <c r="P582" s="28">
        <v>3.0</v>
      </c>
      <c r="Q582" s="32">
        <v>3.0</v>
      </c>
      <c r="R582" s="33"/>
      <c r="S582" s="34"/>
      <c r="T582" s="34"/>
      <c r="U582" s="34"/>
      <c r="V582" s="34"/>
      <c r="W582" s="34"/>
      <c r="X582" s="34"/>
      <c r="Y582" s="3"/>
      <c r="Z582" s="3"/>
      <c r="AA582" s="3"/>
      <c r="AB582" s="3"/>
      <c r="AC582" s="3"/>
      <c r="AD582" s="3"/>
      <c r="AE582" s="3"/>
      <c r="AF582" s="3"/>
      <c r="AG582" s="3"/>
      <c r="AH582" s="3"/>
      <c r="AI582" s="3"/>
      <c r="AJ582" s="3"/>
      <c r="AK582" s="3"/>
      <c r="AL582" s="3"/>
    </row>
    <row r="583" ht="15.75" customHeight="1">
      <c r="A583" s="27">
        <f t="shared" si="13"/>
        <v>44</v>
      </c>
      <c r="B583" s="28" t="s">
        <v>2134</v>
      </c>
      <c r="C583" s="29" t="s">
        <v>2135</v>
      </c>
      <c r="D583" s="39" t="s">
        <v>2136</v>
      </c>
      <c r="E583" s="28" t="s">
        <v>28</v>
      </c>
      <c r="F583" s="28" t="s">
        <v>29</v>
      </c>
      <c r="G583" s="28" t="s">
        <v>37</v>
      </c>
      <c r="H583" s="28" t="s">
        <v>31</v>
      </c>
      <c r="I583" s="28" t="s">
        <v>38</v>
      </c>
      <c r="J583" s="28">
        <v>39.0</v>
      </c>
      <c r="K583" s="28"/>
      <c r="L583" s="28" t="s">
        <v>2137</v>
      </c>
      <c r="M583" s="28" t="s">
        <v>816</v>
      </c>
      <c r="N583" s="28">
        <v>1970.0</v>
      </c>
      <c r="O583" s="31">
        <v>6.0</v>
      </c>
      <c r="P583" s="28">
        <v>1.0</v>
      </c>
      <c r="Q583" s="32">
        <v>1.0</v>
      </c>
      <c r="R583" s="33"/>
      <c r="S583" s="34"/>
      <c r="T583" s="34"/>
      <c r="U583" s="34"/>
      <c r="V583" s="34"/>
      <c r="W583" s="34"/>
      <c r="X583" s="34"/>
      <c r="Y583" s="3"/>
      <c r="Z583" s="3"/>
      <c r="AA583" s="3"/>
      <c r="AB583" s="3"/>
      <c r="AC583" s="3"/>
      <c r="AD583" s="3"/>
      <c r="AE583" s="3"/>
      <c r="AF583" s="3"/>
      <c r="AG583" s="3"/>
      <c r="AH583" s="3"/>
      <c r="AI583" s="3"/>
      <c r="AJ583" s="3"/>
      <c r="AK583" s="3"/>
      <c r="AL583" s="3"/>
    </row>
    <row r="584" ht="15.75" customHeight="1">
      <c r="A584" s="27">
        <f t="shared" si="13"/>
        <v>45</v>
      </c>
      <c r="B584" s="28" t="s">
        <v>2138</v>
      </c>
      <c r="C584" s="29" t="s">
        <v>2139</v>
      </c>
      <c r="D584" s="39" t="s">
        <v>2140</v>
      </c>
      <c r="E584" s="28" t="s">
        <v>28</v>
      </c>
      <c r="F584" s="28" t="s">
        <v>29</v>
      </c>
      <c r="G584" s="28" t="s">
        <v>37</v>
      </c>
      <c r="H584" s="28"/>
      <c r="I584" s="28" t="s">
        <v>38</v>
      </c>
      <c r="J584" s="31">
        <v>322.0</v>
      </c>
      <c r="K584" s="28"/>
      <c r="L584" s="28" t="s">
        <v>2141</v>
      </c>
      <c r="M584" s="28" t="s">
        <v>83</v>
      </c>
      <c r="N584" s="28">
        <v>2008.0</v>
      </c>
      <c r="O584" s="31" t="s">
        <v>494</v>
      </c>
      <c r="P584" s="28">
        <v>1.0</v>
      </c>
      <c r="Q584" s="32">
        <v>1.0</v>
      </c>
      <c r="R584" s="33"/>
      <c r="S584" s="34"/>
      <c r="T584" s="34"/>
      <c r="U584" s="34"/>
      <c r="V584" s="34"/>
      <c r="W584" s="34"/>
      <c r="X584" s="34"/>
      <c r="Y584" s="3"/>
      <c r="Z584" s="3"/>
      <c r="AA584" s="3"/>
      <c r="AB584" s="3"/>
      <c r="AC584" s="3"/>
      <c r="AD584" s="3"/>
      <c r="AE584" s="3"/>
      <c r="AF584" s="3"/>
      <c r="AG584" s="3"/>
      <c r="AH584" s="3"/>
      <c r="AI584" s="3"/>
      <c r="AJ584" s="3"/>
      <c r="AK584" s="3"/>
      <c r="AL584" s="3"/>
    </row>
    <row r="585" ht="15.75" customHeight="1">
      <c r="A585" s="27">
        <f t="shared" si="13"/>
        <v>46</v>
      </c>
      <c r="B585" s="28" t="s">
        <v>2142</v>
      </c>
      <c r="C585" s="29" t="s">
        <v>2139</v>
      </c>
      <c r="D585" s="39" t="s">
        <v>2143</v>
      </c>
      <c r="E585" s="28" t="s">
        <v>28</v>
      </c>
      <c r="F585" s="28" t="s">
        <v>29</v>
      </c>
      <c r="G585" s="28" t="s">
        <v>37</v>
      </c>
      <c r="H585" s="28"/>
      <c r="I585" s="28" t="s">
        <v>38</v>
      </c>
      <c r="J585" s="31">
        <v>117.0</v>
      </c>
      <c r="K585" s="28"/>
      <c r="L585" s="28" t="s">
        <v>2144</v>
      </c>
      <c r="M585" s="28" t="s">
        <v>83</v>
      </c>
      <c r="N585" s="28">
        <v>2004.0</v>
      </c>
      <c r="O585" s="31" t="s">
        <v>494</v>
      </c>
      <c r="P585" s="28">
        <v>1.0</v>
      </c>
      <c r="Q585" s="32">
        <v>1.0</v>
      </c>
      <c r="R585" s="33"/>
      <c r="S585" s="34"/>
      <c r="T585" s="34"/>
      <c r="U585" s="34"/>
      <c r="V585" s="34"/>
      <c r="W585" s="34"/>
      <c r="X585" s="34"/>
      <c r="Y585" s="3"/>
      <c r="Z585" s="3"/>
      <c r="AA585" s="3"/>
      <c r="AB585" s="3"/>
      <c r="AC585" s="3"/>
      <c r="AD585" s="3"/>
      <c r="AE585" s="3"/>
      <c r="AF585" s="3"/>
      <c r="AG585" s="3"/>
      <c r="AH585" s="3"/>
      <c r="AI585" s="3"/>
      <c r="AJ585" s="3"/>
      <c r="AK585" s="3"/>
      <c r="AL585" s="3"/>
    </row>
    <row r="586" ht="15.75" customHeight="1">
      <c r="A586" s="27">
        <f t="shared" si="13"/>
        <v>47</v>
      </c>
      <c r="B586" s="28" t="s">
        <v>2145</v>
      </c>
      <c r="C586" s="29" t="s">
        <v>2146</v>
      </c>
      <c r="D586" s="39" t="s">
        <v>2147</v>
      </c>
      <c r="E586" s="28" t="s">
        <v>28</v>
      </c>
      <c r="F586" s="28" t="s">
        <v>29</v>
      </c>
      <c r="G586" s="28" t="s">
        <v>37</v>
      </c>
      <c r="H586" s="28" t="s">
        <v>31</v>
      </c>
      <c r="I586" s="28" t="s">
        <v>38</v>
      </c>
      <c r="J586" s="28">
        <v>424.0</v>
      </c>
      <c r="K586" s="28"/>
      <c r="L586" s="28" t="s">
        <v>2148</v>
      </c>
      <c r="M586" s="28" t="s">
        <v>230</v>
      </c>
      <c r="N586" s="28">
        <v>1982.0</v>
      </c>
      <c r="O586" s="31">
        <v>5.0</v>
      </c>
      <c r="P586" s="28">
        <v>2.0</v>
      </c>
      <c r="Q586" s="32">
        <v>2.0</v>
      </c>
      <c r="R586" s="33"/>
      <c r="S586" s="34"/>
      <c r="T586" s="34"/>
      <c r="U586" s="34"/>
      <c r="V586" s="34"/>
      <c r="W586" s="34"/>
      <c r="X586" s="34"/>
      <c r="Y586" s="3"/>
      <c r="Z586" s="3"/>
      <c r="AA586" s="3"/>
      <c r="AB586" s="3"/>
      <c r="AC586" s="3"/>
      <c r="AD586" s="3"/>
      <c r="AE586" s="3"/>
      <c r="AF586" s="3"/>
      <c r="AG586" s="3"/>
      <c r="AH586" s="3"/>
      <c r="AI586" s="3"/>
      <c r="AJ586" s="3"/>
      <c r="AK586" s="3"/>
      <c r="AL586" s="3"/>
    </row>
    <row r="587" ht="15.75" customHeight="1">
      <c r="A587" s="27">
        <f t="shared" si="13"/>
        <v>48</v>
      </c>
      <c r="B587" s="28"/>
      <c r="C587" s="29" t="s">
        <v>2149</v>
      </c>
      <c r="D587" s="30" t="s">
        <v>2150</v>
      </c>
      <c r="E587" s="28"/>
      <c r="F587" s="28" t="s">
        <v>29</v>
      </c>
      <c r="G587" s="28" t="s">
        <v>37</v>
      </c>
      <c r="H587" s="28"/>
      <c r="I587" s="28" t="s">
        <v>38</v>
      </c>
      <c r="J587" s="28">
        <v>393.0</v>
      </c>
      <c r="K587" s="28"/>
      <c r="L587" s="31" t="s">
        <v>2151</v>
      </c>
      <c r="M587" s="31" t="s">
        <v>2152</v>
      </c>
      <c r="N587" s="28">
        <v>1962.0</v>
      </c>
      <c r="O587" s="31">
        <v>9.0</v>
      </c>
      <c r="P587" s="28">
        <v>1.0</v>
      </c>
      <c r="Q587" s="32">
        <v>1.0</v>
      </c>
      <c r="R587" s="33"/>
      <c r="S587" s="34"/>
      <c r="T587" s="34"/>
      <c r="U587" s="34"/>
      <c r="V587" s="34"/>
      <c r="W587" s="34"/>
      <c r="X587" s="34"/>
      <c r="Y587" s="45"/>
      <c r="Z587" s="45"/>
      <c r="AA587" s="45"/>
      <c r="AB587" s="45"/>
      <c r="AC587" s="45"/>
      <c r="AD587" s="45"/>
      <c r="AE587" s="45"/>
      <c r="AF587" s="45"/>
      <c r="AG587" s="45"/>
      <c r="AH587" s="45"/>
      <c r="AI587" s="45"/>
      <c r="AJ587" s="45"/>
      <c r="AK587" s="45"/>
      <c r="AL587" s="45"/>
    </row>
    <row r="588" ht="15.75" customHeight="1">
      <c r="A588" s="27">
        <f t="shared" si="13"/>
        <v>49</v>
      </c>
      <c r="B588" s="28"/>
      <c r="C588" s="29" t="s">
        <v>2153</v>
      </c>
      <c r="D588" s="39" t="s">
        <v>2154</v>
      </c>
      <c r="E588" s="28" t="s">
        <v>28</v>
      </c>
      <c r="F588" s="28" t="s">
        <v>29</v>
      </c>
      <c r="G588" s="28" t="s">
        <v>37</v>
      </c>
      <c r="H588" s="28"/>
      <c r="I588" s="28" t="s">
        <v>38</v>
      </c>
      <c r="J588" s="28">
        <v>552.0</v>
      </c>
      <c r="K588" s="28"/>
      <c r="L588" s="28" t="s">
        <v>2155</v>
      </c>
      <c r="M588" s="28" t="s">
        <v>507</v>
      </c>
      <c r="N588" s="28">
        <v>1951.0</v>
      </c>
      <c r="O588" s="31">
        <v>5.0</v>
      </c>
      <c r="P588" s="28">
        <v>1.0</v>
      </c>
      <c r="Q588" s="32">
        <v>1.0</v>
      </c>
      <c r="R588" s="33"/>
      <c r="S588" s="34"/>
      <c r="T588" s="34"/>
      <c r="U588" s="34"/>
      <c r="V588" s="34"/>
      <c r="W588" s="34"/>
      <c r="X588" s="34"/>
      <c r="Y588" s="45"/>
      <c r="Z588" s="45"/>
      <c r="AA588" s="45"/>
      <c r="AB588" s="45"/>
      <c r="AC588" s="45"/>
      <c r="AD588" s="45"/>
      <c r="AE588" s="45"/>
      <c r="AF588" s="45"/>
      <c r="AG588" s="45"/>
      <c r="AH588" s="45"/>
      <c r="AI588" s="45"/>
      <c r="AJ588" s="45"/>
      <c r="AK588" s="45"/>
      <c r="AL588" s="45"/>
    </row>
    <row r="589" ht="21.75" customHeight="1">
      <c r="A589" s="27">
        <f t="shared" si="13"/>
        <v>50</v>
      </c>
      <c r="B589" s="28" t="s">
        <v>2156</v>
      </c>
      <c r="C589" s="29" t="s">
        <v>2157</v>
      </c>
      <c r="D589" s="39" t="s">
        <v>2158</v>
      </c>
      <c r="E589" s="28" t="s">
        <v>223</v>
      </c>
      <c r="F589" s="28" t="s">
        <v>29</v>
      </c>
      <c r="G589" s="28" t="s">
        <v>37</v>
      </c>
      <c r="H589" s="28"/>
      <c r="I589" s="28" t="s">
        <v>38</v>
      </c>
      <c r="J589" s="31">
        <v>323.0</v>
      </c>
      <c r="K589" s="28"/>
      <c r="L589" s="28" t="s">
        <v>2159</v>
      </c>
      <c r="M589" s="28" t="s">
        <v>54</v>
      </c>
      <c r="N589" s="28">
        <v>1982.0</v>
      </c>
      <c r="O589" s="31">
        <v>5.0</v>
      </c>
      <c r="P589" s="31">
        <v>4.0</v>
      </c>
      <c r="Q589" s="37">
        <v>4.0</v>
      </c>
      <c r="R589" s="33"/>
      <c r="S589" s="34"/>
      <c r="T589" s="34"/>
      <c r="U589" s="34"/>
      <c r="V589" s="34"/>
      <c r="W589" s="34"/>
      <c r="X589" s="34"/>
      <c r="Y589" s="45"/>
      <c r="Z589" s="45"/>
      <c r="AA589" s="45"/>
      <c r="AB589" s="45"/>
      <c r="AC589" s="45"/>
      <c r="AD589" s="45"/>
      <c r="AE589" s="45"/>
      <c r="AF589" s="45"/>
      <c r="AG589" s="45"/>
      <c r="AH589" s="45"/>
      <c r="AI589" s="45"/>
      <c r="AJ589" s="45"/>
      <c r="AK589" s="45"/>
      <c r="AL589" s="45"/>
    </row>
    <row r="590" ht="15.75" customHeight="1">
      <c r="A590" s="27">
        <f t="shared" si="13"/>
        <v>51</v>
      </c>
      <c r="B590" s="28" t="s">
        <v>1507</v>
      </c>
      <c r="C590" s="47" t="s">
        <v>2160</v>
      </c>
      <c r="D590" s="39" t="s">
        <v>2161</v>
      </c>
      <c r="E590" s="28" t="s">
        <v>28</v>
      </c>
      <c r="F590" s="28" t="s">
        <v>29</v>
      </c>
      <c r="G590" s="28" t="s">
        <v>386</v>
      </c>
      <c r="H590" s="28"/>
      <c r="I590" s="28" t="s">
        <v>30</v>
      </c>
      <c r="J590" s="28">
        <v>954.0</v>
      </c>
      <c r="K590" s="28"/>
      <c r="L590" s="28" t="s">
        <v>780</v>
      </c>
      <c r="M590" s="60" t="s">
        <v>169</v>
      </c>
      <c r="N590" s="28">
        <v>2019.0</v>
      </c>
      <c r="O590" s="31">
        <v>5.0</v>
      </c>
      <c r="P590" s="28">
        <v>1.0</v>
      </c>
      <c r="Q590" s="32">
        <v>1.0</v>
      </c>
      <c r="R590" s="33"/>
      <c r="S590" s="38"/>
      <c r="T590" s="38"/>
      <c r="U590" s="38"/>
      <c r="V590" s="38"/>
      <c r="W590" s="38"/>
      <c r="X590" s="38"/>
      <c r="Y590" s="45"/>
      <c r="Z590" s="45"/>
      <c r="AA590" s="45"/>
      <c r="AB590" s="45"/>
      <c r="AC590" s="45"/>
      <c r="AD590" s="45"/>
      <c r="AE590" s="45"/>
      <c r="AF590" s="45"/>
      <c r="AG590" s="45"/>
      <c r="AH590" s="45"/>
      <c r="AI590" s="45"/>
      <c r="AJ590" s="45"/>
      <c r="AK590" s="45"/>
      <c r="AL590" s="45"/>
    </row>
    <row r="591" ht="15.75" customHeight="1">
      <c r="A591" s="27">
        <f t="shared" si="13"/>
        <v>52</v>
      </c>
      <c r="B591" s="28" t="s">
        <v>2162</v>
      </c>
      <c r="C591" s="29" t="s">
        <v>2163</v>
      </c>
      <c r="D591" s="39" t="s">
        <v>2164</v>
      </c>
      <c r="E591" s="28" t="s">
        <v>28</v>
      </c>
      <c r="F591" s="28" t="s">
        <v>29</v>
      </c>
      <c r="G591" s="28" t="s">
        <v>37</v>
      </c>
      <c r="H591" s="28"/>
      <c r="I591" s="28" t="s">
        <v>38</v>
      </c>
      <c r="J591" s="31">
        <v>125.0</v>
      </c>
      <c r="K591" s="28"/>
      <c r="L591" s="28" t="s">
        <v>2165</v>
      </c>
      <c r="M591" s="28" t="s">
        <v>230</v>
      </c>
      <c r="N591" s="28">
        <v>1988.0</v>
      </c>
      <c r="O591" s="31" t="s">
        <v>494</v>
      </c>
      <c r="P591" s="28">
        <v>1.0</v>
      </c>
      <c r="Q591" s="32">
        <v>1.0</v>
      </c>
      <c r="R591" s="33"/>
      <c r="S591" s="34"/>
      <c r="T591" s="34"/>
      <c r="U591" s="34"/>
      <c r="V591" s="34"/>
      <c r="W591" s="34"/>
      <c r="X591" s="34"/>
      <c r="Y591" s="45"/>
      <c r="Z591" s="45"/>
      <c r="AA591" s="45"/>
      <c r="AB591" s="45"/>
      <c r="AC591" s="45"/>
      <c r="AD591" s="45"/>
      <c r="AE591" s="45"/>
      <c r="AF591" s="45"/>
      <c r="AG591" s="45"/>
      <c r="AH591" s="45"/>
      <c r="AI591" s="45"/>
      <c r="AJ591" s="45"/>
      <c r="AK591" s="45"/>
      <c r="AL591" s="45"/>
    </row>
    <row r="592" ht="15.75" customHeight="1">
      <c r="A592" s="27">
        <f t="shared" si="13"/>
        <v>53</v>
      </c>
      <c r="B592" s="28" t="s">
        <v>2166</v>
      </c>
      <c r="C592" s="29" t="s">
        <v>2167</v>
      </c>
      <c r="D592" s="39" t="s">
        <v>2168</v>
      </c>
      <c r="E592" s="28" t="s">
        <v>28</v>
      </c>
      <c r="F592" s="28" t="s">
        <v>29</v>
      </c>
      <c r="G592" s="28" t="s">
        <v>38</v>
      </c>
      <c r="H592" s="28" t="s">
        <v>31</v>
      </c>
      <c r="I592" s="28" t="s">
        <v>38</v>
      </c>
      <c r="J592" s="28">
        <v>427.0</v>
      </c>
      <c r="K592" s="28"/>
      <c r="L592" s="28" t="s">
        <v>1859</v>
      </c>
      <c r="M592" s="28" t="s">
        <v>230</v>
      </c>
      <c r="N592" s="28">
        <v>1986.0</v>
      </c>
      <c r="O592" s="31">
        <v>6.0</v>
      </c>
      <c r="P592" s="28">
        <v>1.0</v>
      </c>
      <c r="Q592" s="32">
        <v>1.0</v>
      </c>
      <c r="R592" s="33"/>
      <c r="S592" s="34"/>
      <c r="T592" s="34"/>
      <c r="U592" s="34"/>
      <c r="V592" s="34"/>
      <c r="W592" s="34"/>
      <c r="X592" s="34"/>
      <c r="Y592" s="45"/>
      <c r="Z592" s="45"/>
      <c r="AA592" s="45"/>
      <c r="AB592" s="45"/>
      <c r="AC592" s="45"/>
      <c r="AD592" s="45"/>
      <c r="AE592" s="45"/>
      <c r="AF592" s="45"/>
      <c r="AG592" s="45"/>
      <c r="AH592" s="45"/>
      <c r="AI592" s="45"/>
      <c r="AJ592" s="45"/>
      <c r="AK592" s="45"/>
      <c r="AL592" s="45"/>
    </row>
    <row r="593" ht="15.75" customHeight="1">
      <c r="A593" s="27">
        <f t="shared" si="13"/>
        <v>54</v>
      </c>
      <c r="B593" s="90" t="s">
        <v>2169</v>
      </c>
      <c r="C593" s="29" t="s">
        <v>2170</v>
      </c>
      <c r="D593" s="39" t="s">
        <v>2171</v>
      </c>
      <c r="E593" s="28" t="s">
        <v>28</v>
      </c>
      <c r="F593" s="28" t="s">
        <v>29</v>
      </c>
      <c r="G593" s="28" t="s">
        <v>38</v>
      </c>
      <c r="H593" s="28" t="s">
        <v>31</v>
      </c>
      <c r="I593" s="28" t="s">
        <v>38</v>
      </c>
      <c r="J593" s="28">
        <v>342.0</v>
      </c>
      <c r="K593" s="28"/>
      <c r="L593" s="31" t="s">
        <v>2172</v>
      </c>
      <c r="M593" s="28" t="s">
        <v>230</v>
      </c>
      <c r="N593" s="28">
        <v>1984.0</v>
      </c>
      <c r="O593" s="31">
        <v>6.0</v>
      </c>
      <c r="P593" s="28">
        <v>2.0</v>
      </c>
      <c r="Q593" s="32">
        <v>2.0</v>
      </c>
      <c r="R593" s="33"/>
      <c r="S593" s="38"/>
      <c r="T593" s="38"/>
      <c r="U593" s="38"/>
      <c r="V593" s="38"/>
      <c r="W593" s="38"/>
      <c r="X593" s="38"/>
      <c r="Y593" s="45"/>
      <c r="Z593" s="45"/>
      <c r="AA593" s="45"/>
      <c r="AB593" s="45"/>
      <c r="AC593" s="45"/>
      <c r="AD593" s="45"/>
      <c r="AE593" s="45"/>
      <c r="AF593" s="45"/>
      <c r="AG593" s="45"/>
      <c r="AH593" s="45"/>
      <c r="AI593" s="45"/>
      <c r="AJ593" s="45"/>
      <c r="AK593" s="45"/>
      <c r="AL593" s="45"/>
    </row>
    <row r="594" ht="15.75" customHeight="1">
      <c r="A594" s="27">
        <f t="shared" si="13"/>
        <v>55</v>
      </c>
      <c r="B594" s="90" t="s">
        <v>31</v>
      </c>
      <c r="C594" s="29" t="s">
        <v>2173</v>
      </c>
      <c r="D594" s="39" t="s">
        <v>2174</v>
      </c>
      <c r="E594" s="28" t="s">
        <v>28</v>
      </c>
      <c r="F594" s="28" t="s">
        <v>29</v>
      </c>
      <c r="G594" s="28" t="s">
        <v>37</v>
      </c>
      <c r="H594" s="28"/>
      <c r="I594" s="28" t="s">
        <v>38</v>
      </c>
      <c r="J594" s="28">
        <v>384.0</v>
      </c>
      <c r="K594" s="28"/>
      <c r="L594" s="31" t="s">
        <v>2175</v>
      </c>
      <c r="M594" s="28" t="s">
        <v>507</v>
      </c>
      <c r="N594" s="28">
        <v>1949.0</v>
      </c>
      <c r="O594" s="31">
        <v>5.0</v>
      </c>
      <c r="P594" s="28">
        <v>1.0</v>
      </c>
      <c r="Q594" s="32">
        <v>1.0</v>
      </c>
      <c r="R594" s="33"/>
      <c r="S594" s="40"/>
      <c r="T594" s="40"/>
      <c r="U594" s="40"/>
      <c r="V594" s="40"/>
      <c r="W594" s="40"/>
      <c r="X594" s="40"/>
      <c r="Y594" s="45"/>
      <c r="Z594" s="45"/>
      <c r="AA594" s="45"/>
      <c r="AB594" s="45"/>
      <c r="AC594" s="45"/>
      <c r="AD594" s="45"/>
      <c r="AE594" s="45"/>
      <c r="AF594" s="45"/>
      <c r="AG594" s="45"/>
      <c r="AH594" s="45"/>
      <c r="AI594" s="45"/>
      <c r="AJ594" s="45"/>
      <c r="AK594" s="45"/>
      <c r="AL594" s="45"/>
    </row>
    <row r="595" ht="15.75" customHeight="1">
      <c r="A595" s="27">
        <f t="shared" si="13"/>
        <v>56</v>
      </c>
      <c r="B595" s="90" t="s">
        <v>2176</v>
      </c>
      <c r="C595" s="29" t="s">
        <v>2177</v>
      </c>
      <c r="D595" s="30" t="s">
        <v>2178</v>
      </c>
      <c r="E595" s="28"/>
      <c r="F595" s="28" t="s">
        <v>740</v>
      </c>
      <c r="G595" s="28" t="s">
        <v>2179</v>
      </c>
      <c r="H595" s="28"/>
      <c r="I595" s="28" t="s">
        <v>38</v>
      </c>
      <c r="J595" s="28">
        <v>176.0</v>
      </c>
      <c r="K595" s="28"/>
      <c r="L595" s="28" t="s">
        <v>2180</v>
      </c>
      <c r="M595" s="28" t="s">
        <v>37</v>
      </c>
      <c r="N595" s="28">
        <v>1968.0</v>
      </c>
      <c r="O595" s="31" t="s">
        <v>89</v>
      </c>
      <c r="P595" s="28">
        <v>1.0</v>
      </c>
      <c r="Q595" s="37">
        <v>1.0</v>
      </c>
      <c r="R595" s="33"/>
      <c r="S595" s="40"/>
      <c r="T595" s="40"/>
      <c r="U595" s="40"/>
      <c r="V595" s="40"/>
      <c r="W595" s="40"/>
      <c r="X595" s="40"/>
      <c r="Y595" s="45"/>
      <c r="Z595" s="45"/>
      <c r="AA595" s="45"/>
      <c r="AB595" s="45"/>
      <c r="AC595" s="45"/>
      <c r="AD595" s="45"/>
      <c r="AE595" s="45"/>
      <c r="AF595" s="45"/>
      <c r="AG595" s="45"/>
      <c r="AH595" s="45"/>
      <c r="AI595" s="45"/>
      <c r="AJ595" s="45"/>
      <c r="AK595" s="45"/>
      <c r="AL595" s="45"/>
    </row>
    <row r="596" ht="15.75" customHeight="1">
      <c r="A596" s="27">
        <f t="shared" si="13"/>
        <v>57</v>
      </c>
      <c r="B596" s="91" t="s">
        <v>2181</v>
      </c>
      <c r="C596" s="29" t="s">
        <v>2182</v>
      </c>
      <c r="D596" s="30" t="s">
        <v>2183</v>
      </c>
      <c r="E596" s="28" t="s">
        <v>28</v>
      </c>
      <c r="F596" s="28" t="s">
        <v>29</v>
      </c>
      <c r="G596" s="28" t="s">
        <v>98</v>
      </c>
      <c r="H596" s="28"/>
      <c r="I596" s="28" t="s">
        <v>2184</v>
      </c>
      <c r="J596" s="28">
        <v>1574.0</v>
      </c>
      <c r="K596" s="28"/>
      <c r="L596" s="31" t="s">
        <v>2185</v>
      </c>
      <c r="M596" s="28" t="s">
        <v>100</v>
      </c>
      <c r="N596" s="28">
        <v>1997.0</v>
      </c>
      <c r="O596" s="31">
        <v>8.0</v>
      </c>
      <c r="P596" s="28">
        <v>2.0</v>
      </c>
      <c r="Q596" s="32">
        <v>2.0</v>
      </c>
      <c r="R596" s="33"/>
      <c r="S596" s="34"/>
      <c r="T596" s="34"/>
      <c r="U596" s="34"/>
      <c r="V596" s="34"/>
      <c r="W596" s="34"/>
      <c r="X596" s="34"/>
      <c r="Y596" s="45"/>
      <c r="Z596" s="45"/>
      <c r="AA596" s="45"/>
      <c r="AB596" s="45"/>
      <c r="AC596" s="45"/>
      <c r="AD596" s="45"/>
      <c r="AE596" s="45"/>
      <c r="AF596" s="45"/>
      <c r="AG596" s="45"/>
      <c r="AH596" s="45"/>
      <c r="AI596" s="45"/>
      <c r="AJ596" s="45"/>
      <c r="AK596" s="45"/>
      <c r="AL596" s="45"/>
    </row>
    <row r="597" ht="15.75" customHeight="1">
      <c r="A597" s="27">
        <f t="shared" si="13"/>
        <v>58</v>
      </c>
      <c r="B597" s="90" t="s">
        <v>2186</v>
      </c>
      <c r="C597" s="29" t="s">
        <v>2187</v>
      </c>
      <c r="D597" s="30" t="s">
        <v>2188</v>
      </c>
      <c r="E597" s="28" t="s">
        <v>28</v>
      </c>
      <c r="F597" s="28" t="s">
        <v>29</v>
      </c>
      <c r="G597" s="28" t="s">
        <v>37</v>
      </c>
      <c r="H597" s="28" t="s">
        <v>31</v>
      </c>
      <c r="I597" s="28" t="s">
        <v>38</v>
      </c>
      <c r="J597" s="28">
        <v>1020.0</v>
      </c>
      <c r="K597" s="28"/>
      <c r="L597" s="28" t="s">
        <v>2189</v>
      </c>
      <c r="M597" s="28" t="s">
        <v>365</v>
      </c>
      <c r="N597" s="31">
        <v>1990.0</v>
      </c>
      <c r="O597" s="31">
        <v>2.0</v>
      </c>
      <c r="P597" s="28">
        <v>1.0</v>
      </c>
      <c r="Q597" s="32">
        <v>1.0</v>
      </c>
      <c r="R597" s="33"/>
      <c r="S597" s="40"/>
      <c r="T597" s="40"/>
      <c r="U597" s="40"/>
      <c r="V597" s="40"/>
      <c r="W597" s="40"/>
      <c r="X597" s="40"/>
      <c r="Y597" s="3"/>
      <c r="Z597" s="3"/>
      <c r="AA597" s="3"/>
      <c r="AB597" s="3"/>
      <c r="AC597" s="3"/>
      <c r="AD597" s="3"/>
      <c r="AE597" s="3"/>
      <c r="AF597" s="3"/>
      <c r="AG597" s="3"/>
      <c r="AH597" s="3"/>
      <c r="AI597" s="3"/>
      <c r="AJ597" s="3"/>
      <c r="AK597" s="3"/>
      <c r="AL597" s="3"/>
    </row>
    <row r="598" ht="15.75" customHeight="1">
      <c r="A598" s="27">
        <f t="shared" si="13"/>
        <v>59</v>
      </c>
      <c r="B598" s="91" t="s">
        <v>2190</v>
      </c>
      <c r="C598" s="29" t="s">
        <v>2191</v>
      </c>
      <c r="D598" s="30" t="s">
        <v>2192</v>
      </c>
      <c r="E598" s="28" t="s">
        <v>144</v>
      </c>
      <c r="F598" s="28" t="s">
        <v>29</v>
      </c>
      <c r="G598" s="28" t="s">
        <v>30</v>
      </c>
      <c r="H598" s="28"/>
      <c r="I598" s="28" t="s">
        <v>30</v>
      </c>
      <c r="J598" s="28">
        <f>1122-541+20</f>
        <v>601</v>
      </c>
      <c r="K598" s="28"/>
      <c r="L598" s="31" t="s">
        <v>2193</v>
      </c>
      <c r="M598" s="28" t="s">
        <v>2194</v>
      </c>
      <c r="N598" s="28">
        <v>1980.0</v>
      </c>
      <c r="O598" s="31" t="s">
        <v>1415</v>
      </c>
      <c r="P598" s="28">
        <v>2.0</v>
      </c>
      <c r="Q598" s="32">
        <v>2.0</v>
      </c>
      <c r="R598" s="33"/>
      <c r="S598" s="34"/>
      <c r="T598" s="34"/>
      <c r="U598" s="34"/>
      <c r="V598" s="34"/>
      <c r="W598" s="34"/>
      <c r="X598" s="34"/>
      <c r="Y598" s="45"/>
      <c r="Z598" s="45"/>
      <c r="AA598" s="45"/>
      <c r="AB598" s="45"/>
      <c r="AC598" s="45"/>
      <c r="AD598" s="45"/>
      <c r="AE598" s="45"/>
      <c r="AF598" s="45"/>
      <c r="AG598" s="45"/>
      <c r="AH598" s="45"/>
      <c r="AI598" s="45"/>
      <c r="AJ598" s="45"/>
      <c r="AK598" s="45"/>
      <c r="AL598" s="45"/>
    </row>
    <row r="599" ht="15.75" customHeight="1">
      <c r="A599" s="27">
        <f t="shared" si="13"/>
        <v>60</v>
      </c>
      <c r="B599" s="90" t="s">
        <v>2195</v>
      </c>
      <c r="C599" s="29" t="s">
        <v>2196</v>
      </c>
      <c r="D599" s="39" t="s">
        <v>2197</v>
      </c>
      <c r="E599" s="28" t="s">
        <v>223</v>
      </c>
      <c r="F599" s="28" t="s">
        <v>29</v>
      </c>
      <c r="G599" s="28" t="s">
        <v>37</v>
      </c>
      <c r="H599" s="28"/>
      <c r="I599" s="28" t="s">
        <v>38</v>
      </c>
      <c r="J599" s="28">
        <v>110.0</v>
      </c>
      <c r="K599" s="28"/>
      <c r="L599" s="31" t="s">
        <v>2198</v>
      </c>
      <c r="M599" s="28" t="s">
        <v>54</v>
      </c>
      <c r="N599" s="28">
        <v>1992.0</v>
      </c>
      <c r="O599" s="88">
        <v>44474.0</v>
      </c>
      <c r="P599" s="28">
        <v>1.0</v>
      </c>
      <c r="Q599" s="37">
        <v>1.0</v>
      </c>
      <c r="R599" s="33"/>
      <c r="S599" s="38"/>
      <c r="T599" s="38"/>
      <c r="U599" s="38"/>
      <c r="V599" s="38"/>
      <c r="W599" s="38"/>
      <c r="X599" s="38"/>
      <c r="Y599" s="74"/>
      <c r="Z599" s="74"/>
      <c r="AA599" s="74"/>
      <c r="AB599" s="74"/>
      <c r="AC599" s="74"/>
      <c r="AD599" s="74"/>
      <c r="AE599" s="74"/>
      <c r="AF599" s="74"/>
      <c r="AG599" s="74"/>
      <c r="AH599" s="74"/>
      <c r="AI599" s="74"/>
      <c r="AJ599" s="74"/>
      <c r="AK599" s="74"/>
      <c r="AL599" s="74"/>
    </row>
    <row r="600" ht="15.75" customHeight="1">
      <c r="A600" s="27">
        <f t="shared" si="13"/>
        <v>61</v>
      </c>
      <c r="B600" s="28" t="s">
        <v>2199</v>
      </c>
      <c r="C600" s="29" t="s">
        <v>2200</v>
      </c>
      <c r="D600" s="30" t="s">
        <v>2201</v>
      </c>
      <c r="E600" s="28" t="s">
        <v>28</v>
      </c>
      <c r="F600" s="28" t="s">
        <v>29</v>
      </c>
      <c r="G600" s="28" t="s">
        <v>98</v>
      </c>
      <c r="H600" s="28"/>
      <c r="I600" s="28" t="s">
        <v>31</v>
      </c>
      <c r="J600" s="28">
        <v>1507.0</v>
      </c>
      <c r="K600" s="28"/>
      <c r="L600" s="31" t="s">
        <v>2202</v>
      </c>
      <c r="M600" s="28" t="s">
        <v>100</v>
      </c>
      <c r="N600" s="28">
        <v>2009.0</v>
      </c>
      <c r="O600" s="31">
        <v>8.0</v>
      </c>
      <c r="P600" s="28">
        <v>1.0</v>
      </c>
      <c r="Q600" s="32">
        <v>1.0</v>
      </c>
      <c r="R600" s="33"/>
      <c r="S600" s="40"/>
      <c r="T600" s="40"/>
      <c r="U600" s="40"/>
      <c r="V600" s="40"/>
      <c r="W600" s="40"/>
      <c r="X600" s="40"/>
      <c r="Y600" s="3"/>
      <c r="Z600" s="3"/>
      <c r="AA600" s="3"/>
      <c r="AB600" s="3"/>
      <c r="AC600" s="3"/>
      <c r="AD600" s="3"/>
      <c r="AE600" s="3"/>
      <c r="AF600" s="3"/>
      <c r="AG600" s="3"/>
      <c r="AH600" s="3"/>
      <c r="AI600" s="3"/>
      <c r="AJ600" s="3"/>
      <c r="AK600" s="3"/>
      <c r="AL600" s="3"/>
    </row>
    <row r="601" ht="15.75" customHeight="1">
      <c r="A601" s="27">
        <f t="shared" si="13"/>
        <v>62</v>
      </c>
      <c r="B601" s="28" t="s">
        <v>2203</v>
      </c>
      <c r="C601" s="43" t="s">
        <v>2204</v>
      </c>
      <c r="D601" s="30" t="s">
        <v>2205</v>
      </c>
      <c r="E601" s="28" t="s">
        <v>144</v>
      </c>
      <c r="F601" s="28" t="s">
        <v>29</v>
      </c>
      <c r="G601" s="28" t="s">
        <v>30</v>
      </c>
      <c r="H601" s="28"/>
      <c r="I601" s="28" t="s">
        <v>30</v>
      </c>
      <c r="J601" s="28">
        <v>463.0</v>
      </c>
      <c r="K601" s="28"/>
      <c r="L601" s="28" t="s">
        <v>2206</v>
      </c>
      <c r="M601" s="28" t="s">
        <v>151</v>
      </c>
      <c r="N601" s="28">
        <v>2002.0</v>
      </c>
      <c r="O601" s="31" t="s">
        <v>1381</v>
      </c>
      <c r="P601" s="31">
        <v>1.0</v>
      </c>
      <c r="Q601" s="37">
        <v>1.0</v>
      </c>
      <c r="R601" s="33"/>
      <c r="S601" s="34"/>
      <c r="T601" s="34"/>
      <c r="U601" s="34"/>
      <c r="V601" s="34"/>
      <c r="W601" s="34"/>
      <c r="X601" s="34"/>
      <c r="Y601" s="3"/>
      <c r="Z601" s="3"/>
      <c r="AA601" s="3"/>
      <c r="AB601" s="3"/>
      <c r="AC601" s="3"/>
      <c r="AD601" s="3"/>
      <c r="AE601" s="3"/>
      <c r="AF601" s="3"/>
      <c r="AG601" s="3"/>
      <c r="AH601" s="3"/>
      <c r="AI601" s="3"/>
      <c r="AJ601" s="3"/>
      <c r="AK601" s="3"/>
      <c r="AL601" s="3"/>
    </row>
    <row r="602" ht="15.75" customHeight="1">
      <c r="A602" s="27">
        <f t="shared" si="13"/>
        <v>63</v>
      </c>
      <c r="B602" s="28" t="s">
        <v>2207</v>
      </c>
      <c r="C602" s="29" t="s">
        <v>2208</v>
      </c>
      <c r="D602" s="39" t="s">
        <v>2209</v>
      </c>
      <c r="E602" s="28" t="s">
        <v>28</v>
      </c>
      <c r="F602" s="28" t="s">
        <v>29</v>
      </c>
      <c r="G602" s="28" t="s">
        <v>38</v>
      </c>
      <c r="H602" s="28" t="s">
        <v>31</v>
      </c>
      <c r="I602" s="28" t="s">
        <v>38</v>
      </c>
      <c r="J602" s="31">
        <v>266.0</v>
      </c>
      <c r="K602" s="28"/>
      <c r="L602" s="28" t="s">
        <v>2210</v>
      </c>
      <c r="M602" s="28" t="s">
        <v>83</v>
      </c>
      <c r="N602" s="28">
        <v>1975.0</v>
      </c>
      <c r="O602" s="31" t="s">
        <v>494</v>
      </c>
      <c r="P602" s="28">
        <v>1.0</v>
      </c>
      <c r="Q602" s="32">
        <v>1.0</v>
      </c>
      <c r="R602" s="33"/>
      <c r="S602" s="34"/>
      <c r="T602" s="34"/>
      <c r="U602" s="34"/>
      <c r="V602" s="34"/>
      <c r="W602" s="34"/>
      <c r="X602" s="34"/>
      <c r="Y602" s="3"/>
      <c r="Z602" s="3"/>
      <c r="AA602" s="3"/>
      <c r="AB602" s="3"/>
      <c r="AC602" s="3"/>
      <c r="AD602" s="3"/>
      <c r="AE602" s="3"/>
      <c r="AF602" s="3"/>
      <c r="AG602" s="3"/>
      <c r="AH602" s="3"/>
      <c r="AI602" s="3"/>
      <c r="AJ602" s="3"/>
      <c r="AK602" s="3"/>
      <c r="AL602" s="3"/>
    </row>
    <row r="603" ht="15.75" customHeight="1">
      <c r="A603" s="27">
        <f t="shared" si="13"/>
        <v>64</v>
      </c>
      <c r="B603" s="28" t="s">
        <v>2211</v>
      </c>
      <c r="C603" s="29" t="s">
        <v>2212</v>
      </c>
      <c r="D603" s="39" t="s">
        <v>2213</v>
      </c>
      <c r="E603" s="28" t="s">
        <v>28</v>
      </c>
      <c r="F603" s="28" t="s">
        <v>29</v>
      </c>
      <c r="G603" s="28" t="s">
        <v>98</v>
      </c>
      <c r="H603" s="28"/>
      <c r="I603" s="28" t="s">
        <v>38</v>
      </c>
      <c r="J603" s="28">
        <v>264.0</v>
      </c>
      <c r="K603" s="28"/>
      <c r="L603" s="31" t="s">
        <v>2214</v>
      </c>
      <c r="M603" s="28" t="s">
        <v>100</v>
      </c>
      <c r="N603" s="28">
        <v>2004.0</v>
      </c>
      <c r="O603" s="31">
        <v>6.0</v>
      </c>
      <c r="P603" s="28">
        <v>2.0</v>
      </c>
      <c r="Q603" s="37">
        <v>2.0</v>
      </c>
      <c r="R603" s="33"/>
      <c r="S603" s="34"/>
      <c r="T603" s="34"/>
      <c r="U603" s="34"/>
      <c r="V603" s="34"/>
      <c r="W603" s="34"/>
      <c r="X603" s="34"/>
      <c r="Y603" s="3"/>
      <c r="Z603" s="3"/>
      <c r="AA603" s="3"/>
      <c r="AB603" s="3"/>
      <c r="AC603" s="3"/>
      <c r="AD603" s="3"/>
      <c r="AE603" s="3"/>
      <c r="AF603" s="3"/>
      <c r="AG603" s="3"/>
      <c r="AH603" s="3"/>
      <c r="AI603" s="3"/>
      <c r="AJ603" s="3"/>
      <c r="AK603" s="3"/>
      <c r="AL603" s="3"/>
    </row>
    <row r="604" ht="15.75" customHeight="1">
      <c r="A604" s="27">
        <f t="shared" si="13"/>
        <v>65</v>
      </c>
      <c r="B604" s="28" t="s">
        <v>31</v>
      </c>
      <c r="C604" s="29" t="s">
        <v>2215</v>
      </c>
      <c r="D604" s="30" t="s">
        <v>2216</v>
      </c>
      <c r="E604" s="28" t="s">
        <v>28</v>
      </c>
      <c r="F604" s="28" t="s">
        <v>29</v>
      </c>
      <c r="G604" s="28" t="s">
        <v>37</v>
      </c>
      <c r="H604" s="28"/>
      <c r="I604" s="28" t="s">
        <v>38</v>
      </c>
      <c r="J604" s="31">
        <v>1126.0</v>
      </c>
      <c r="K604" s="28"/>
      <c r="L604" s="28" t="s">
        <v>737</v>
      </c>
      <c r="M604" s="28" t="s">
        <v>2217</v>
      </c>
      <c r="N604" s="28">
        <v>1962.0</v>
      </c>
      <c r="O604" s="31">
        <v>2.0</v>
      </c>
      <c r="P604" s="28">
        <v>1.0</v>
      </c>
      <c r="Q604" s="37">
        <v>1.0</v>
      </c>
      <c r="R604" s="33"/>
      <c r="S604" s="40"/>
      <c r="T604" s="40"/>
      <c r="U604" s="40"/>
      <c r="V604" s="40"/>
      <c r="W604" s="40"/>
      <c r="X604" s="40"/>
      <c r="Y604" s="3"/>
      <c r="Z604" s="3"/>
      <c r="AA604" s="3"/>
      <c r="AB604" s="3"/>
      <c r="AC604" s="3"/>
      <c r="AD604" s="3"/>
      <c r="AE604" s="3"/>
      <c r="AF604" s="3"/>
      <c r="AG604" s="3"/>
      <c r="AH604" s="3"/>
      <c r="AI604" s="3"/>
      <c r="AJ604" s="3"/>
      <c r="AK604" s="3"/>
      <c r="AL604" s="3"/>
    </row>
    <row r="605" ht="15.75" customHeight="1">
      <c r="A605" s="27">
        <f t="shared" si="13"/>
        <v>66</v>
      </c>
      <c r="B605" s="31" t="s">
        <v>2218</v>
      </c>
      <c r="C605" s="92" t="s">
        <v>2219</v>
      </c>
      <c r="D605" s="93" t="s">
        <v>2220</v>
      </c>
      <c r="E605" s="28" t="s">
        <v>2221</v>
      </c>
      <c r="F605" s="28" t="s">
        <v>2222</v>
      </c>
      <c r="G605" s="31" t="s">
        <v>37</v>
      </c>
      <c r="H605" s="28"/>
      <c r="I605" s="31" t="s">
        <v>38</v>
      </c>
      <c r="J605" s="31">
        <v>584.0</v>
      </c>
      <c r="K605" s="28"/>
      <c r="L605" s="31" t="s">
        <v>2223</v>
      </c>
      <c r="M605" s="31" t="s">
        <v>2224</v>
      </c>
      <c r="N605" s="31">
        <v>1983.0</v>
      </c>
      <c r="O605" s="31" t="s">
        <v>89</v>
      </c>
      <c r="P605" s="31">
        <v>1.0</v>
      </c>
      <c r="Q605" s="37">
        <v>1.0</v>
      </c>
      <c r="R605" s="33"/>
      <c r="S605" s="40"/>
      <c r="T605" s="40"/>
      <c r="U605" s="40"/>
      <c r="V605" s="40"/>
      <c r="W605" s="40"/>
      <c r="X605" s="40"/>
      <c r="Y605" s="3"/>
      <c r="Z605" s="3"/>
      <c r="AA605" s="3"/>
      <c r="AB605" s="3"/>
      <c r="AC605" s="3"/>
      <c r="AD605" s="3"/>
      <c r="AE605" s="3"/>
      <c r="AF605" s="3"/>
      <c r="AG605" s="3"/>
      <c r="AH605" s="3"/>
      <c r="AI605" s="3"/>
      <c r="AJ605" s="3"/>
      <c r="AK605" s="3"/>
      <c r="AL605" s="3"/>
    </row>
    <row r="606" ht="15.75" customHeight="1">
      <c r="A606" s="27">
        <f t="shared" si="13"/>
        <v>67</v>
      </c>
      <c r="B606" s="28" t="s">
        <v>2225</v>
      </c>
      <c r="C606" s="43" t="s">
        <v>2226</v>
      </c>
      <c r="D606" s="30" t="s">
        <v>2227</v>
      </c>
      <c r="E606" s="28" t="s">
        <v>31</v>
      </c>
      <c r="F606" s="28" t="s">
        <v>29</v>
      </c>
      <c r="G606" s="28" t="s">
        <v>30</v>
      </c>
      <c r="H606" s="28"/>
      <c r="I606" s="28" t="s">
        <v>30</v>
      </c>
      <c r="J606" s="28">
        <v>302.0</v>
      </c>
      <c r="K606" s="28"/>
      <c r="L606" s="28" t="s">
        <v>2228</v>
      </c>
      <c r="M606" s="28" t="s">
        <v>2229</v>
      </c>
      <c r="N606" s="28">
        <v>2001.0</v>
      </c>
      <c r="O606" s="31">
        <v>12.0</v>
      </c>
      <c r="P606" s="28">
        <v>1.0</v>
      </c>
      <c r="Q606" s="94">
        <v>1.0</v>
      </c>
      <c r="R606" s="33"/>
      <c r="S606" s="34"/>
      <c r="T606" s="34"/>
      <c r="U606" s="34"/>
      <c r="V606" s="34"/>
      <c r="W606" s="34"/>
      <c r="X606" s="34"/>
      <c r="Y606" s="3"/>
      <c r="Z606" s="3"/>
      <c r="AA606" s="3"/>
      <c r="AB606" s="3"/>
      <c r="AC606" s="3"/>
      <c r="AD606" s="3"/>
      <c r="AE606" s="3"/>
      <c r="AF606" s="3"/>
      <c r="AG606" s="3"/>
      <c r="AH606" s="3"/>
      <c r="AI606" s="3"/>
      <c r="AJ606" s="3"/>
      <c r="AK606" s="3"/>
      <c r="AL606" s="3"/>
    </row>
    <row r="607" ht="15.75" customHeight="1">
      <c r="A607" s="27">
        <f t="shared" si="13"/>
        <v>68</v>
      </c>
      <c r="B607" s="28" t="s">
        <v>31</v>
      </c>
      <c r="C607" s="29" t="s">
        <v>2230</v>
      </c>
      <c r="D607" s="30" t="s">
        <v>2231</v>
      </c>
      <c r="E607" s="28" t="s">
        <v>28</v>
      </c>
      <c r="F607" s="28" t="s">
        <v>29</v>
      </c>
      <c r="G607" s="28" t="s">
        <v>58</v>
      </c>
      <c r="H607" s="28"/>
      <c r="I607" s="28" t="s">
        <v>2184</v>
      </c>
      <c r="J607" s="28">
        <v>1850.0</v>
      </c>
      <c r="K607" s="28"/>
      <c r="L607" s="31" t="s">
        <v>2232</v>
      </c>
      <c r="M607" s="28" t="s">
        <v>2233</v>
      </c>
      <c r="N607" s="28">
        <v>1989.0</v>
      </c>
      <c r="O607" s="31">
        <v>8.0</v>
      </c>
      <c r="P607" s="28">
        <v>2.0</v>
      </c>
      <c r="Q607" s="37">
        <v>1.0</v>
      </c>
      <c r="R607" s="33"/>
      <c r="S607" s="40"/>
      <c r="T607" s="40"/>
      <c r="U607" s="40"/>
      <c r="V607" s="40"/>
      <c r="W607" s="40"/>
      <c r="X607" s="40"/>
      <c r="Y607" s="3"/>
      <c r="Z607" s="3"/>
      <c r="AA607" s="3"/>
      <c r="AB607" s="3"/>
      <c r="AC607" s="3"/>
      <c r="AD607" s="3"/>
      <c r="AE607" s="3"/>
      <c r="AF607" s="3"/>
      <c r="AG607" s="3"/>
      <c r="AH607" s="3"/>
      <c r="AI607" s="3"/>
      <c r="AJ607" s="3"/>
      <c r="AK607" s="3"/>
      <c r="AL607" s="3"/>
    </row>
    <row r="608" ht="15.75" customHeight="1">
      <c r="A608" s="27">
        <f t="shared" si="13"/>
        <v>69</v>
      </c>
      <c r="B608" s="28" t="s">
        <v>2234</v>
      </c>
      <c r="C608" s="29" t="s">
        <v>2235</v>
      </c>
      <c r="D608" s="30" t="s">
        <v>2236</v>
      </c>
      <c r="E608" s="28" t="s">
        <v>144</v>
      </c>
      <c r="F608" s="28" t="s">
        <v>29</v>
      </c>
      <c r="G608" s="28" t="s">
        <v>30</v>
      </c>
      <c r="H608" s="28"/>
      <c r="I608" s="28" t="s">
        <v>30</v>
      </c>
      <c r="J608" s="28">
        <f>398+18</f>
        <v>416</v>
      </c>
      <c r="K608" s="28"/>
      <c r="L608" s="28" t="s">
        <v>2237</v>
      </c>
      <c r="M608" s="28" t="s">
        <v>2238</v>
      </c>
      <c r="N608" s="28">
        <v>1998.0</v>
      </c>
      <c r="O608" s="28" t="s">
        <v>388</v>
      </c>
      <c r="P608" s="28">
        <v>1.0</v>
      </c>
      <c r="Q608" s="32"/>
      <c r="R608" s="33"/>
      <c r="S608" s="34"/>
      <c r="T608" s="34"/>
      <c r="U608" s="34"/>
      <c r="V608" s="34"/>
      <c r="W608" s="34"/>
      <c r="X608" s="34"/>
      <c r="Y608" s="3"/>
      <c r="Z608" s="3"/>
      <c r="AA608" s="3"/>
      <c r="AB608" s="3"/>
      <c r="AC608" s="3"/>
      <c r="AD608" s="3"/>
      <c r="AE608" s="3"/>
      <c r="AF608" s="3"/>
      <c r="AG608" s="3"/>
      <c r="AH608" s="3"/>
      <c r="AI608" s="3"/>
      <c r="AJ608" s="3"/>
      <c r="AK608" s="3"/>
      <c r="AL608" s="3"/>
    </row>
    <row r="609" ht="15.75" customHeight="1">
      <c r="A609" s="27">
        <f t="shared" si="13"/>
        <v>70</v>
      </c>
      <c r="B609" s="28" t="s">
        <v>2239</v>
      </c>
      <c r="C609" s="29" t="s">
        <v>2240</v>
      </c>
      <c r="D609" s="39" t="s">
        <v>2241</v>
      </c>
      <c r="E609" s="28" t="s">
        <v>28</v>
      </c>
      <c r="F609" s="28" t="s">
        <v>29</v>
      </c>
      <c r="G609" s="28" t="s">
        <v>37</v>
      </c>
      <c r="H609" s="28"/>
      <c r="I609" s="28" t="s">
        <v>38</v>
      </c>
      <c r="J609" s="28">
        <v>573.0</v>
      </c>
      <c r="K609" s="28"/>
      <c r="L609" s="31" t="s">
        <v>244</v>
      </c>
      <c r="M609" s="28" t="s">
        <v>245</v>
      </c>
      <c r="N609" s="28">
        <v>1981.0</v>
      </c>
      <c r="O609" s="31">
        <v>9.0</v>
      </c>
      <c r="P609" s="28">
        <v>1.0</v>
      </c>
      <c r="Q609" s="37">
        <v>1.0</v>
      </c>
      <c r="R609" s="33"/>
      <c r="S609" s="40"/>
      <c r="T609" s="40"/>
      <c r="U609" s="40"/>
      <c r="V609" s="40"/>
      <c r="W609" s="40"/>
      <c r="X609" s="40"/>
      <c r="Y609" s="45"/>
      <c r="Z609" s="45"/>
      <c r="AA609" s="45"/>
      <c r="AB609" s="45"/>
      <c r="AC609" s="45"/>
      <c r="AD609" s="45"/>
      <c r="AE609" s="45"/>
      <c r="AF609" s="45"/>
      <c r="AG609" s="45"/>
      <c r="AH609" s="45"/>
      <c r="AI609" s="45"/>
      <c r="AJ609" s="45"/>
      <c r="AK609" s="45"/>
      <c r="AL609" s="45"/>
    </row>
    <row r="610" ht="15.75" customHeight="1">
      <c r="A610" s="27">
        <f t="shared" si="13"/>
        <v>71</v>
      </c>
      <c r="B610" s="28" t="s">
        <v>2242</v>
      </c>
      <c r="C610" s="29" t="s">
        <v>2243</v>
      </c>
      <c r="D610" s="39" t="s">
        <v>2244</v>
      </c>
      <c r="E610" s="28" t="s">
        <v>28</v>
      </c>
      <c r="F610" s="28" t="s">
        <v>29</v>
      </c>
      <c r="G610" s="28" t="s">
        <v>37</v>
      </c>
      <c r="H610" s="28" t="s">
        <v>31</v>
      </c>
      <c r="I610" s="28" t="s">
        <v>38</v>
      </c>
      <c r="J610" s="28">
        <v>606.0</v>
      </c>
      <c r="K610" s="28"/>
      <c r="L610" s="28" t="s">
        <v>1717</v>
      </c>
      <c r="M610" s="28" t="s">
        <v>178</v>
      </c>
      <c r="N610" s="28">
        <v>1983.0</v>
      </c>
      <c r="O610" s="31">
        <v>4.0</v>
      </c>
      <c r="P610" s="28">
        <v>1.0</v>
      </c>
      <c r="Q610" s="32">
        <v>1.0</v>
      </c>
      <c r="R610" s="33"/>
      <c r="S610" s="40"/>
      <c r="T610" s="40"/>
      <c r="U610" s="40"/>
      <c r="V610" s="40"/>
      <c r="W610" s="40"/>
      <c r="X610" s="40"/>
      <c r="Y610" s="74"/>
      <c r="Z610" s="74"/>
      <c r="AA610" s="74"/>
      <c r="AB610" s="74"/>
      <c r="AC610" s="74"/>
      <c r="AD610" s="74"/>
      <c r="AE610" s="74"/>
      <c r="AF610" s="74"/>
      <c r="AG610" s="74"/>
      <c r="AH610" s="74"/>
      <c r="AI610" s="74"/>
      <c r="AJ610" s="74"/>
      <c r="AK610" s="74"/>
      <c r="AL610" s="74"/>
    </row>
    <row r="611" ht="15.75" customHeight="1">
      <c r="A611" s="27">
        <f t="shared" si="13"/>
        <v>72</v>
      </c>
      <c r="B611" s="28" t="s">
        <v>2245</v>
      </c>
      <c r="C611" s="29" t="s">
        <v>2243</v>
      </c>
      <c r="D611" s="39" t="s">
        <v>2246</v>
      </c>
      <c r="E611" s="28" t="s">
        <v>28</v>
      </c>
      <c r="F611" s="28" t="s">
        <v>29</v>
      </c>
      <c r="G611" s="28" t="s">
        <v>37</v>
      </c>
      <c r="H611" s="28" t="s">
        <v>31</v>
      </c>
      <c r="I611" s="28" t="s">
        <v>38</v>
      </c>
      <c r="J611" s="28">
        <v>509.0</v>
      </c>
      <c r="K611" s="28"/>
      <c r="L611" s="28" t="s">
        <v>1717</v>
      </c>
      <c r="M611" s="28" t="s">
        <v>178</v>
      </c>
      <c r="N611" s="28">
        <v>1979.0</v>
      </c>
      <c r="O611" s="31">
        <v>4.0</v>
      </c>
      <c r="P611" s="28">
        <v>1.0</v>
      </c>
      <c r="Q611" s="32">
        <v>1.0</v>
      </c>
      <c r="R611" s="33"/>
      <c r="S611" s="34"/>
      <c r="T611" s="34"/>
      <c r="U611" s="34"/>
      <c r="V611" s="34"/>
      <c r="W611" s="34"/>
      <c r="X611" s="34"/>
      <c r="Y611" s="3"/>
      <c r="Z611" s="3"/>
      <c r="AA611" s="3"/>
      <c r="AB611" s="3"/>
      <c r="AC611" s="3"/>
      <c r="AD611" s="3"/>
      <c r="AE611" s="3"/>
      <c r="AF611" s="3"/>
      <c r="AG611" s="3"/>
      <c r="AH611" s="3"/>
      <c r="AI611" s="3"/>
      <c r="AJ611" s="3"/>
      <c r="AK611" s="3"/>
      <c r="AL611" s="3"/>
    </row>
    <row r="612" ht="15.75" customHeight="1">
      <c r="A612" s="27">
        <f t="shared" si="13"/>
        <v>73</v>
      </c>
      <c r="B612" s="28" t="s">
        <v>2247</v>
      </c>
      <c r="C612" s="29" t="s">
        <v>2248</v>
      </c>
      <c r="D612" s="39" t="s">
        <v>2249</v>
      </c>
      <c r="E612" s="28" t="s">
        <v>28</v>
      </c>
      <c r="F612" s="28" t="s">
        <v>29</v>
      </c>
      <c r="G612" s="28" t="s">
        <v>37</v>
      </c>
      <c r="H612" s="28" t="s">
        <v>31</v>
      </c>
      <c r="I612" s="28" t="s">
        <v>38</v>
      </c>
      <c r="J612" s="28">
        <v>392.0</v>
      </c>
      <c r="K612" s="28"/>
      <c r="L612" s="28" t="s">
        <v>1323</v>
      </c>
      <c r="M612" s="28" t="s">
        <v>178</v>
      </c>
      <c r="N612" s="28">
        <v>1977.0</v>
      </c>
      <c r="O612" s="31">
        <v>4.0</v>
      </c>
      <c r="P612" s="28">
        <v>2.0</v>
      </c>
      <c r="Q612" s="32">
        <v>2.0</v>
      </c>
      <c r="R612" s="33"/>
      <c r="S612" s="40"/>
      <c r="T612" s="40"/>
      <c r="U612" s="40"/>
      <c r="V612" s="40"/>
      <c r="W612" s="40"/>
      <c r="X612" s="40"/>
      <c r="Y612" s="45"/>
      <c r="Z612" s="45"/>
      <c r="AA612" s="45"/>
      <c r="AB612" s="45"/>
      <c r="AC612" s="45"/>
      <c r="AD612" s="45"/>
      <c r="AE612" s="45"/>
      <c r="AF612" s="45"/>
      <c r="AG612" s="45"/>
      <c r="AH612" s="45"/>
      <c r="AI612" s="45"/>
      <c r="AJ612" s="45"/>
      <c r="AK612" s="45"/>
      <c r="AL612" s="45"/>
    </row>
    <row r="613" ht="15.75" customHeight="1">
      <c r="A613" s="27">
        <f t="shared" si="13"/>
        <v>74</v>
      </c>
      <c r="B613" s="28" t="s">
        <v>2250</v>
      </c>
      <c r="C613" s="29" t="s">
        <v>2248</v>
      </c>
      <c r="D613" s="39" t="s">
        <v>2251</v>
      </c>
      <c r="E613" s="28" t="s">
        <v>28</v>
      </c>
      <c r="F613" s="28" t="s">
        <v>29</v>
      </c>
      <c r="G613" s="28" t="s">
        <v>37</v>
      </c>
      <c r="H613" s="28" t="s">
        <v>31</v>
      </c>
      <c r="I613" s="28" t="s">
        <v>38</v>
      </c>
      <c r="J613" s="28">
        <v>259.0</v>
      </c>
      <c r="K613" s="28"/>
      <c r="L613" s="28" t="s">
        <v>1323</v>
      </c>
      <c r="M613" s="28" t="s">
        <v>178</v>
      </c>
      <c r="N613" s="28">
        <v>1974.0</v>
      </c>
      <c r="O613" s="31">
        <v>4.0</v>
      </c>
      <c r="P613" s="28">
        <v>3.0</v>
      </c>
      <c r="Q613" s="37">
        <v>3.0</v>
      </c>
      <c r="R613" s="33"/>
      <c r="S613" s="34"/>
      <c r="T613" s="34"/>
      <c r="U613" s="34"/>
      <c r="V613" s="34"/>
      <c r="W613" s="34"/>
      <c r="X613" s="34"/>
      <c r="Y613" s="3"/>
      <c r="Z613" s="3"/>
      <c r="AA613" s="3"/>
      <c r="AB613" s="3"/>
      <c r="AC613" s="3"/>
      <c r="AD613" s="3"/>
      <c r="AE613" s="3"/>
      <c r="AF613" s="3"/>
      <c r="AG613" s="3"/>
      <c r="AH613" s="3"/>
      <c r="AI613" s="3"/>
      <c r="AJ613" s="3"/>
      <c r="AK613" s="3"/>
      <c r="AL613" s="3"/>
    </row>
    <row r="614" ht="15.75" customHeight="1">
      <c r="A614" s="27">
        <f t="shared" si="13"/>
        <v>75</v>
      </c>
      <c r="B614" s="28" t="s">
        <v>31</v>
      </c>
      <c r="C614" s="29" t="s">
        <v>2252</v>
      </c>
      <c r="D614" s="39" t="s">
        <v>2253</v>
      </c>
      <c r="E614" s="28" t="s">
        <v>28</v>
      </c>
      <c r="F614" s="28" t="s">
        <v>29</v>
      </c>
      <c r="G614" s="28" t="s">
        <v>38</v>
      </c>
      <c r="H614" s="28"/>
      <c r="I614" s="28" t="s">
        <v>38</v>
      </c>
      <c r="J614" s="28">
        <v>544.0</v>
      </c>
      <c r="K614" s="28"/>
      <c r="L614" s="28" t="s">
        <v>2254</v>
      </c>
      <c r="M614" s="28" t="s">
        <v>466</v>
      </c>
      <c r="N614" s="28">
        <v>1962.0</v>
      </c>
      <c r="O614" s="31">
        <v>2.0</v>
      </c>
      <c r="P614" s="28">
        <v>2.0</v>
      </c>
      <c r="Q614" s="37">
        <v>1.0</v>
      </c>
      <c r="R614" s="33"/>
      <c r="S614" s="40"/>
      <c r="T614" s="40"/>
      <c r="U614" s="40"/>
      <c r="V614" s="40"/>
      <c r="W614" s="40"/>
      <c r="X614" s="40"/>
      <c r="Y614" s="3"/>
      <c r="Z614" s="3"/>
      <c r="AA614" s="3"/>
      <c r="AB614" s="3"/>
      <c r="AC614" s="3"/>
      <c r="AD614" s="3"/>
      <c r="AE614" s="3"/>
      <c r="AF614" s="3"/>
      <c r="AG614" s="3"/>
      <c r="AH614" s="3"/>
      <c r="AI614" s="3"/>
      <c r="AJ614" s="3"/>
      <c r="AK614" s="3"/>
      <c r="AL614" s="3"/>
    </row>
    <row r="615" ht="15.75" customHeight="1">
      <c r="A615" s="27">
        <f t="shared" si="13"/>
        <v>76</v>
      </c>
      <c r="B615" s="28" t="s">
        <v>31</v>
      </c>
      <c r="C615" s="29" t="s">
        <v>2255</v>
      </c>
      <c r="D615" s="39" t="s">
        <v>2256</v>
      </c>
      <c r="E615" s="28" t="s">
        <v>28</v>
      </c>
      <c r="F615" s="28" t="s">
        <v>29</v>
      </c>
      <c r="G615" s="28" t="s">
        <v>30</v>
      </c>
      <c r="H615" s="28"/>
      <c r="I615" s="28" t="s">
        <v>30</v>
      </c>
      <c r="J615" s="28">
        <v>1147.0</v>
      </c>
      <c r="K615" s="28"/>
      <c r="L615" s="31" t="s">
        <v>2257</v>
      </c>
      <c r="M615" s="28" t="s">
        <v>2258</v>
      </c>
      <c r="N615" s="28">
        <v>2001.0</v>
      </c>
      <c r="O615" s="31" t="s">
        <v>2259</v>
      </c>
      <c r="P615" s="28">
        <v>1.0</v>
      </c>
      <c r="Q615" s="32">
        <v>1.0</v>
      </c>
      <c r="R615" s="33"/>
      <c r="S615" s="40"/>
      <c r="T615" s="40"/>
      <c r="U615" s="40"/>
      <c r="V615" s="40"/>
      <c r="W615" s="40"/>
      <c r="X615" s="40"/>
      <c r="Y615" s="3"/>
      <c r="Z615" s="3"/>
      <c r="AA615" s="3"/>
      <c r="AB615" s="3"/>
      <c r="AC615" s="3"/>
      <c r="AD615" s="3"/>
      <c r="AE615" s="3"/>
      <c r="AF615" s="3"/>
      <c r="AG615" s="3"/>
      <c r="AH615" s="3"/>
      <c r="AI615" s="3"/>
      <c r="AJ615" s="3"/>
      <c r="AK615" s="3"/>
      <c r="AL615" s="3"/>
    </row>
    <row r="616" ht="15.75" customHeight="1">
      <c r="A616" s="27">
        <f t="shared" si="13"/>
        <v>77</v>
      </c>
      <c r="B616" s="28" t="s">
        <v>31</v>
      </c>
      <c r="C616" s="29" t="s">
        <v>2260</v>
      </c>
      <c r="D616" s="39" t="s">
        <v>2261</v>
      </c>
      <c r="E616" s="28" t="s">
        <v>28</v>
      </c>
      <c r="F616" s="28" t="s">
        <v>29</v>
      </c>
      <c r="G616" s="28" t="s">
        <v>30</v>
      </c>
      <c r="H616" s="28"/>
      <c r="I616" s="28" t="s">
        <v>30</v>
      </c>
      <c r="J616" s="28">
        <v>1258.0</v>
      </c>
      <c r="K616" s="28"/>
      <c r="L616" s="31" t="s">
        <v>2257</v>
      </c>
      <c r="M616" s="28" t="s">
        <v>2258</v>
      </c>
      <c r="N616" s="28">
        <v>2005.0</v>
      </c>
      <c r="O616" s="31">
        <v>9.0</v>
      </c>
      <c r="P616" s="28">
        <v>1.0</v>
      </c>
      <c r="Q616" s="32">
        <v>1.0</v>
      </c>
      <c r="R616" s="33"/>
      <c r="S616" s="34"/>
      <c r="T616" s="34"/>
      <c r="U616" s="34"/>
      <c r="V616" s="34"/>
      <c r="W616" s="34"/>
      <c r="X616" s="34"/>
      <c r="Y616" s="3"/>
      <c r="Z616" s="3"/>
      <c r="AA616" s="3"/>
      <c r="AB616" s="3"/>
      <c r="AC616" s="3"/>
      <c r="AD616" s="3"/>
      <c r="AE616" s="3"/>
      <c r="AF616" s="3"/>
      <c r="AG616" s="3"/>
      <c r="AH616" s="3"/>
      <c r="AI616" s="3"/>
      <c r="AJ616" s="3"/>
      <c r="AK616" s="3"/>
      <c r="AL616" s="3"/>
    </row>
    <row r="617" ht="15.75" customHeight="1">
      <c r="A617" s="27">
        <f t="shared" si="13"/>
        <v>78</v>
      </c>
      <c r="B617" s="28"/>
      <c r="C617" s="29" t="s">
        <v>2262</v>
      </c>
      <c r="D617" s="39" t="s">
        <v>2263</v>
      </c>
      <c r="E617" s="28" t="s">
        <v>28</v>
      </c>
      <c r="F617" s="28" t="s">
        <v>29</v>
      </c>
      <c r="G617" s="28" t="s">
        <v>30</v>
      </c>
      <c r="H617" s="28"/>
      <c r="I617" s="28" t="s">
        <v>30</v>
      </c>
      <c r="J617" s="28">
        <v>1219.0</v>
      </c>
      <c r="K617" s="28"/>
      <c r="L617" s="31" t="s">
        <v>2257</v>
      </c>
      <c r="M617" s="28" t="s">
        <v>2258</v>
      </c>
      <c r="N617" s="28">
        <v>2004.0</v>
      </c>
      <c r="O617" s="31">
        <v>9.0</v>
      </c>
      <c r="P617" s="28">
        <v>1.0</v>
      </c>
      <c r="Q617" s="32">
        <v>1.0</v>
      </c>
      <c r="R617" s="33"/>
      <c r="S617" s="34"/>
      <c r="T617" s="34"/>
      <c r="U617" s="34"/>
      <c r="V617" s="34"/>
      <c r="W617" s="34"/>
      <c r="X617" s="34"/>
      <c r="Y617" s="3"/>
      <c r="Z617" s="3"/>
      <c r="AA617" s="3"/>
      <c r="AB617" s="3"/>
      <c r="AC617" s="3"/>
      <c r="AD617" s="3"/>
      <c r="AE617" s="3"/>
      <c r="AF617" s="3"/>
      <c r="AG617" s="3"/>
      <c r="AH617" s="3"/>
      <c r="AI617" s="3"/>
      <c r="AJ617" s="3"/>
      <c r="AK617" s="3"/>
      <c r="AL617" s="3"/>
    </row>
    <row r="618" ht="15.75" customHeight="1">
      <c r="A618" s="27">
        <f t="shared" si="13"/>
        <v>79</v>
      </c>
      <c r="B618" s="28" t="s">
        <v>2264</v>
      </c>
      <c r="C618" s="29" t="s">
        <v>2265</v>
      </c>
      <c r="D618" s="30" t="s">
        <v>2266</v>
      </c>
      <c r="E618" s="28" t="s">
        <v>28</v>
      </c>
      <c r="F618" s="28" t="s">
        <v>29</v>
      </c>
      <c r="G618" s="28" t="s">
        <v>30</v>
      </c>
      <c r="H618" s="28" t="s">
        <v>1164</v>
      </c>
      <c r="I618" s="28" t="s">
        <v>30</v>
      </c>
      <c r="J618" s="28">
        <v>762.0</v>
      </c>
      <c r="K618" s="28"/>
      <c r="L618" s="31" t="s">
        <v>1165</v>
      </c>
      <c r="M618" s="28" t="s">
        <v>1166</v>
      </c>
      <c r="N618" s="28">
        <v>2004.0</v>
      </c>
      <c r="O618" s="31" t="s">
        <v>1415</v>
      </c>
      <c r="P618" s="28">
        <v>1.0</v>
      </c>
      <c r="Q618" s="32">
        <v>1.0</v>
      </c>
      <c r="R618" s="33"/>
      <c r="S618" s="34"/>
      <c r="T618" s="34"/>
      <c r="U618" s="34"/>
      <c r="V618" s="34"/>
      <c r="W618" s="34"/>
      <c r="X618" s="34"/>
      <c r="Y618" s="3"/>
      <c r="Z618" s="3"/>
      <c r="AA618" s="3"/>
      <c r="AB618" s="3"/>
      <c r="AC618" s="3"/>
      <c r="AD618" s="3"/>
      <c r="AE618" s="3"/>
      <c r="AF618" s="3"/>
      <c r="AG618" s="3"/>
      <c r="AH618" s="3"/>
      <c r="AI618" s="3"/>
      <c r="AJ618" s="3"/>
      <c r="AK618" s="3"/>
      <c r="AL618" s="3"/>
    </row>
    <row r="619" ht="15.75" customHeight="1">
      <c r="A619" s="27">
        <f t="shared" si="13"/>
        <v>80</v>
      </c>
      <c r="B619" s="28" t="s">
        <v>2267</v>
      </c>
      <c r="C619" s="29" t="s">
        <v>2268</v>
      </c>
      <c r="D619" s="30" t="s">
        <v>2269</v>
      </c>
      <c r="E619" s="28" t="s">
        <v>28</v>
      </c>
      <c r="F619" s="28" t="s">
        <v>29</v>
      </c>
      <c r="G619" s="28" t="s">
        <v>38</v>
      </c>
      <c r="H619" s="28"/>
      <c r="I619" s="28" t="s">
        <v>38</v>
      </c>
      <c r="J619" s="28">
        <v>1310.0</v>
      </c>
      <c r="K619" s="28"/>
      <c r="L619" s="31" t="s">
        <v>2270</v>
      </c>
      <c r="M619" s="28" t="s">
        <v>230</v>
      </c>
      <c r="N619" s="28">
        <v>1981.0</v>
      </c>
      <c r="O619" s="31" t="s">
        <v>2259</v>
      </c>
      <c r="P619" s="28">
        <v>1.0</v>
      </c>
      <c r="Q619" s="32">
        <v>1.0</v>
      </c>
      <c r="R619" s="33"/>
      <c r="S619" s="34"/>
      <c r="T619" s="34"/>
      <c r="U619" s="34"/>
      <c r="V619" s="34"/>
      <c r="W619" s="34"/>
      <c r="X619" s="34"/>
      <c r="Y619" s="3"/>
      <c r="Z619" s="3"/>
      <c r="AA619" s="3"/>
      <c r="AB619" s="3"/>
      <c r="AC619" s="3"/>
      <c r="AD619" s="3"/>
      <c r="AE619" s="3"/>
      <c r="AF619" s="3"/>
      <c r="AG619" s="3"/>
      <c r="AH619" s="3"/>
      <c r="AI619" s="3"/>
      <c r="AJ619" s="3"/>
      <c r="AK619" s="3"/>
      <c r="AL619" s="3"/>
    </row>
    <row r="620" ht="15.75" customHeight="1">
      <c r="A620" s="27">
        <f t="shared" si="13"/>
        <v>81</v>
      </c>
      <c r="B620" s="28" t="s">
        <v>31</v>
      </c>
      <c r="C620" s="29" t="s">
        <v>2271</v>
      </c>
      <c r="D620" s="30" t="s">
        <v>2272</v>
      </c>
      <c r="E620" s="28" t="s">
        <v>28</v>
      </c>
      <c r="F620" s="28" t="s">
        <v>29</v>
      </c>
      <c r="G620" s="28" t="s">
        <v>37</v>
      </c>
      <c r="H620" s="28"/>
      <c r="I620" s="28" t="s">
        <v>38</v>
      </c>
      <c r="J620" s="28">
        <v>1199.0</v>
      </c>
      <c r="K620" s="28"/>
      <c r="L620" s="31" t="s">
        <v>2273</v>
      </c>
      <c r="M620" s="28" t="s">
        <v>230</v>
      </c>
      <c r="N620" s="28">
        <v>1958.0</v>
      </c>
      <c r="O620" s="31">
        <v>2.0</v>
      </c>
      <c r="P620" s="28">
        <v>1.0</v>
      </c>
      <c r="Q620" s="32">
        <v>1.0</v>
      </c>
      <c r="R620" s="33"/>
      <c r="S620" s="34"/>
      <c r="T620" s="34"/>
      <c r="U620" s="34"/>
      <c r="V620" s="34"/>
      <c r="W620" s="34"/>
      <c r="X620" s="34"/>
      <c r="Y620" s="3"/>
      <c r="Z620" s="3"/>
      <c r="AA620" s="3"/>
      <c r="AB620" s="3"/>
      <c r="AC620" s="3"/>
      <c r="AD620" s="3"/>
      <c r="AE620" s="3"/>
      <c r="AF620" s="3"/>
      <c r="AG620" s="3"/>
      <c r="AH620" s="3"/>
      <c r="AI620" s="3"/>
      <c r="AJ620" s="3"/>
      <c r="AK620" s="3"/>
      <c r="AL620" s="3"/>
    </row>
    <row r="621" ht="15.75" customHeight="1">
      <c r="A621" s="27">
        <f t="shared" si="13"/>
        <v>82</v>
      </c>
      <c r="B621" s="28" t="s">
        <v>2274</v>
      </c>
      <c r="C621" s="29" t="s">
        <v>2275</v>
      </c>
      <c r="D621" s="39" t="s">
        <v>2276</v>
      </c>
      <c r="E621" s="28" t="s">
        <v>28</v>
      </c>
      <c r="F621" s="28" t="s">
        <v>29</v>
      </c>
      <c r="G621" s="28" t="s">
        <v>37</v>
      </c>
      <c r="H621" s="28"/>
      <c r="I621" s="28" t="s">
        <v>38</v>
      </c>
      <c r="J621" s="28">
        <v>374.0</v>
      </c>
      <c r="K621" s="28"/>
      <c r="L621" s="28" t="s">
        <v>182</v>
      </c>
      <c r="M621" s="28" t="s">
        <v>156</v>
      </c>
      <c r="N621" s="28">
        <v>1977.0</v>
      </c>
      <c r="O621" s="31">
        <v>6.0</v>
      </c>
      <c r="P621" s="28">
        <v>2.0</v>
      </c>
      <c r="Q621" s="32">
        <v>2.0</v>
      </c>
      <c r="R621" s="33"/>
      <c r="S621" s="34"/>
      <c r="T621" s="34"/>
      <c r="U621" s="34"/>
      <c r="V621" s="34"/>
      <c r="W621" s="34"/>
      <c r="X621" s="34"/>
      <c r="Y621" s="3"/>
      <c r="Z621" s="3"/>
      <c r="AA621" s="3"/>
      <c r="AB621" s="3"/>
      <c r="AC621" s="3"/>
      <c r="AD621" s="3"/>
      <c r="AE621" s="3"/>
      <c r="AF621" s="3"/>
      <c r="AG621" s="3"/>
      <c r="AH621" s="3"/>
      <c r="AI621" s="3"/>
      <c r="AJ621" s="3"/>
      <c r="AK621" s="3"/>
      <c r="AL621" s="3"/>
    </row>
    <row r="622" ht="15.75" customHeight="1">
      <c r="A622" s="27">
        <f t="shared" si="13"/>
        <v>83</v>
      </c>
      <c r="B622" s="28" t="s">
        <v>31</v>
      </c>
      <c r="C622" s="29" t="s">
        <v>2277</v>
      </c>
      <c r="D622" s="39" t="s">
        <v>2278</v>
      </c>
      <c r="E622" s="28" t="s">
        <v>28</v>
      </c>
      <c r="F622" s="28" t="s">
        <v>29</v>
      </c>
      <c r="G622" s="28" t="s">
        <v>37</v>
      </c>
      <c r="H622" s="28" t="s">
        <v>31</v>
      </c>
      <c r="I622" s="28" t="s">
        <v>38</v>
      </c>
      <c r="J622" s="31">
        <v>143.0</v>
      </c>
      <c r="K622" s="28"/>
      <c r="L622" s="28" t="s">
        <v>2279</v>
      </c>
      <c r="M622" s="28" t="s">
        <v>816</v>
      </c>
      <c r="N622" s="31">
        <v>1963.0</v>
      </c>
      <c r="O622" s="31">
        <v>6.0</v>
      </c>
      <c r="P622" s="28">
        <v>1.0</v>
      </c>
      <c r="Q622" s="32">
        <v>1.0</v>
      </c>
      <c r="R622" s="33"/>
      <c r="S622" s="40"/>
      <c r="T622" s="40"/>
      <c r="U622" s="40"/>
      <c r="V622" s="40"/>
      <c r="W622" s="40"/>
      <c r="X622" s="40"/>
      <c r="Y622" s="45"/>
      <c r="Z622" s="45"/>
      <c r="AA622" s="45"/>
      <c r="AB622" s="45"/>
      <c r="AC622" s="45"/>
      <c r="AD622" s="45"/>
      <c r="AE622" s="45"/>
      <c r="AF622" s="45"/>
      <c r="AG622" s="45"/>
      <c r="AH622" s="45"/>
      <c r="AI622" s="45"/>
      <c r="AJ622" s="45"/>
      <c r="AK622" s="45"/>
      <c r="AL622" s="45"/>
    </row>
    <row r="623" ht="15.75" customHeight="1">
      <c r="A623" s="27">
        <f t="shared" si="13"/>
        <v>84</v>
      </c>
      <c r="B623" s="28" t="s">
        <v>2280</v>
      </c>
      <c r="C623" s="29" t="s">
        <v>2281</v>
      </c>
      <c r="D623" s="30" t="s">
        <v>2282</v>
      </c>
      <c r="E623" s="28" t="s">
        <v>28</v>
      </c>
      <c r="F623" s="28" t="s">
        <v>29</v>
      </c>
      <c r="G623" s="28" t="s">
        <v>37</v>
      </c>
      <c r="H623" s="28" t="s">
        <v>31</v>
      </c>
      <c r="I623" s="28" t="s">
        <v>38</v>
      </c>
      <c r="J623" s="28">
        <v>889.0</v>
      </c>
      <c r="K623" s="28"/>
      <c r="L623" s="28" t="s">
        <v>924</v>
      </c>
      <c r="M623" s="28" t="s">
        <v>37</v>
      </c>
      <c r="N623" s="28">
        <v>1968.0</v>
      </c>
      <c r="O623" s="31" t="s">
        <v>1415</v>
      </c>
      <c r="P623" s="28">
        <v>1.0</v>
      </c>
      <c r="Q623" s="32">
        <v>1.0</v>
      </c>
      <c r="R623" s="33"/>
      <c r="S623" s="40"/>
      <c r="T623" s="40"/>
      <c r="U623" s="40"/>
      <c r="V623" s="40"/>
      <c r="W623" s="40"/>
      <c r="X623" s="40"/>
      <c r="Y623" s="45"/>
      <c r="Z623" s="45"/>
      <c r="AA623" s="45"/>
      <c r="AB623" s="45"/>
      <c r="AC623" s="45"/>
      <c r="AD623" s="45"/>
      <c r="AE623" s="45"/>
      <c r="AF623" s="45"/>
      <c r="AG623" s="45"/>
      <c r="AH623" s="45"/>
      <c r="AI623" s="45"/>
      <c r="AJ623" s="45"/>
      <c r="AK623" s="45"/>
      <c r="AL623" s="45"/>
    </row>
    <row r="624" ht="15.75" customHeight="1">
      <c r="A624" s="27">
        <f t="shared" si="13"/>
        <v>85</v>
      </c>
      <c r="B624" s="28" t="s">
        <v>2283</v>
      </c>
      <c r="C624" s="29" t="s">
        <v>2284</v>
      </c>
      <c r="D624" s="39" t="s">
        <v>2285</v>
      </c>
      <c r="E624" s="28" t="s">
        <v>28</v>
      </c>
      <c r="F624" s="28" t="s">
        <v>29</v>
      </c>
      <c r="G624" s="28" t="s">
        <v>37</v>
      </c>
      <c r="H624" s="28"/>
      <c r="I624" s="28" t="s">
        <v>38</v>
      </c>
      <c r="J624" s="28">
        <v>811.0</v>
      </c>
      <c r="K624" s="28"/>
      <c r="L624" s="31" t="s">
        <v>355</v>
      </c>
      <c r="M624" s="28" t="s">
        <v>356</v>
      </c>
      <c r="N624" s="28">
        <v>1984.0</v>
      </c>
      <c r="O624" s="31">
        <v>9.0</v>
      </c>
      <c r="P624" s="28">
        <v>1.0</v>
      </c>
      <c r="Q624" s="32">
        <v>1.0</v>
      </c>
      <c r="R624" s="33"/>
      <c r="S624" s="40"/>
      <c r="T624" s="40"/>
      <c r="U624" s="40"/>
      <c r="V624" s="40"/>
      <c r="W624" s="40"/>
      <c r="X624" s="40"/>
      <c r="Y624" s="45"/>
      <c r="Z624" s="45"/>
      <c r="AA624" s="45"/>
      <c r="AB624" s="45"/>
      <c r="AC624" s="45"/>
      <c r="AD624" s="45"/>
      <c r="AE624" s="45"/>
      <c r="AF624" s="45"/>
      <c r="AG624" s="45"/>
      <c r="AH624" s="45"/>
      <c r="AI624" s="45"/>
      <c r="AJ624" s="45"/>
      <c r="AK624" s="45"/>
      <c r="AL624" s="45"/>
    </row>
    <row r="625" ht="15.75" customHeight="1">
      <c r="A625" s="27">
        <f t="shared" si="13"/>
        <v>86</v>
      </c>
      <c r="B625" s="28" t="s">
        <v>2286</v>
      </c>
      <c r="C625" s="29" t="s">
        <v>2287</v>
      </c>
      <c r="D625" s="39" t="s">
        <v>2288</v>
      </c>
      <c r="E625" s="28" t="s">
        <v>28</v>
      </c>
      <c r="F625" s="28" t="s">
        <v>29</v>
      </c>
      <c r="G625" s="28" t="s">
        <v>37</v>
      </c>
      <c r="H625" s="28"/>
      <c r="I625" s="28" t="s">
        <v>38</v>
      </c>
      <c r="J625" s="28">
        <v>917.0</v>
      </c>
      <c r="K625" s="28"/>
      <c r="L625" s="31" t="s">
        <v>355</v>
      </c>
      <c r="M625" s="28" t="s">
        <v>356</v>
      </c>
      <c r="N625" s="28">
        <v>1984.0</v>
      </c>
      <c r="O625" s="31">
        <v>9.0</v>
      </c>
      <c r="P625" s="28">
        <v>1.0</v>
      </c>
      <c r="Q625" s="32">
        <v>1.0</v>
      </c>
      <c r="R625" s="33"/>
      <c r="S625" s="34"/>
      <c r="T625" s="34"/>
      <c r="U625" s="34"/>
      <c r="V625" s="34"/>
      <c r="W625" s="34"/>
      <c r="X625" s="34"/>
      <c r="Y625" s="45"/>
      <c r="Z625" s="45"/>
      <c r="AA625" s="45"/>
      <c r="AB625" s="45"/>
      <c r="AC625" s="45"/>
      <c r="AD625" s="45"/>
      <c r="AE625" s="45"/>
      <c r="AF625" s="45"/>
      <c r="AG625" s="45"/>
      <c r="AH625" s="45"/>
      <c r="AI625" s="45"/>
      <c r="AJ625" s="45"/>
      <c r="AK625" s="45"/>
      <c r="AL625" s="45"/>
    </row>
    <row r="626" ht="15.75" customHeight="1">
      <c r="A626" s="95">
        <f t="shared" si="13"/>
        <v>87</v>
      </c>
      <c r="B626" s="96" t="s">
        <v>2289</v>
      </c>
      <c r="C626" s="97" t="s">
        <v>2290</v>
      </c>
      <c r="D626" s="98" t="s">
        <v>2291</v>
      </c>
      <c r="E626" s="96" t="s">
        <v>28</v>
      </c>
      <c r="F626" s="96" t="s">
        <v>29</v>
      </c>
      <c r="G626" s="96" t="s">
        <v>37</v>
      </c>
      <c r="H626" s="96"/>
      <c r="I626" s="96" t="s">
        <v>38</v>
      </c>
      <c r="J626" s="96">
        <v>1144.0</v>
      </c>
      <c r="K626" s="96"/>
      <c r="L626" s="99" t="s">
        <v>2292</v>
      </c>
      <c r="M626" s="96" t="s">
        <v>356</v>
      </c>
      <c r="N626" s="96">
        <v>1984.0</v>
      </c>
      <c r="O626" s="99" t="s">
        <v>494</v>
      </c>
      <c r="P626" s="96">
        <v>1.0</v>
      </c>
      <c r="Q626" s="100">
        <v>1.0</v>
      </c>
      <c r="R626" s="101"/>
      <c r="S626" s="40"/>
      <c r="T626" s="40"/>
      <c r="U626" s="40"/>
      <c r="V626" s="40"/>
      <c r="W626" s="40"/>
      <c r="X626" s="40"/>
      <c r="Y626" s="45"/>
      <c r="Z626" s="45"/>
      <c r="AA626" s="45"/>
      <c r="AB626" s="45"/>
      <c r="AC626" s="45"/>
      <c r="AD626" s="45"/>
      <c r="AE626" s="45"/>
      <c r="AF626" s="45"/>
      <c r="AG626" s="45"/>
      <c r="AH626" s="45"/>
      <c r="AI626" s="45"/>
      <c r="AJ626" s="45"/>
      <c r="AK626" s="45"/>
      <c r="AL626" s="45"/>
    </row>
    <row r="627" ht="15.75" customHeight="1">
      <c r="A627" s="27">
        <f>A625+1</f>
        <v>87</v>
      </c>
      <c r="B627" s="28" t="s">
        <v>2293</v>
      </c>
      <c r="C627" s="97" t="s">
        <v>2294</v>
      </c>
      <c r="D627" s="39" t="s">
        <v>2295</v>
      </c>
      <c r="E627" s="28" t="s">
        <v>28</v>
      </c>
      <c r="F627" s="28" t="s">
        <v>29</v>
      </c>
      <c r="G627" s="28" t="s">
        <v>37</v>
      </c>
      <c r="H627" s="28"/>
      <c r="I627" s="28" t="s">
        <v>38</v>
      </c>
      <c r="J627" s="28">
        <v>1142.0</v>
      </c>
      <c r="K627" s="28"/>
      <c r="L627" s="99" t="s">
        <v>2292</v>
      </c>
      <c r="M627" s="28" t="s">
        <v>356</v>
      </c>
      <c r="N627" s="28">
        <v>1984.0</v>
      </c>
      <c r="O627" s="99" t="s">
        <v>494</v>
      </c>
      <c r="P627" s="28">
        <v>1.0</v>
      </c>
      <c r="Q627" s="32">
        <v>1.0</v>
      </c>
      <c r="R627" s="33"/>
      <c r="S627" s="40"/>
      <c r="T627" s="40"/>
      <c r="U627" s="40"/>
      <c r="V627" s="40"/>
      <c r="W627" s="40"/>
      <c r="X627" s="40"/>
      <c r="Y627" s="45"/>
      <c r="Z627" s="45"/>
      <c r="AA627" s="45"/>
      <c r="AB627" s="45"/>
      <c r="AC627" s="45"/>
      <c r="AD627" s="45"/>
      <c r="AE627" s="45"/>
      <c r="AF627" s="45"/>
      <c r="AG627" s="45"/>
      <c r="AH627" s="45"/>
      <c r="AI627" s="45"/>
      <c r="AJ627" s="45"/>
      <c r="AK627" s="45"/>
      <c r="AL627" s="45"/>
    </row>
    <row r="628" ht="15.75" customHeight="1">
      <c r="A628" s="27">
        <f t="shared" ref="A628:A645" si="14">A627+1</f>
        <v>88</v>
      </c>
      <c r="B628" s="28" t="s">
        <v>2296</v>
      </c>
      <c r="C628" s="97" t="s">
        <v>2297</v>
      </c>
      <c r="D628" s="39" t="s">
        <v>2298</v>
      </c>
      <c r="E628" s="28" t="s">
        <v>28</v>
      </c>
      <c r="F628" s="28" t="s">
        <v>29</v>
      </c>
      <c r="G628" s="28" t="s">
        <v>37</v>
      </c>
      <c r="H628" s="28"/>
      <c r="I628" s="28" t="s">
        <v>38</v>
      </c>
      <c r="J628" s="28">
        <v>957.0</v>
      </c>
      <c r="K628" s="28"/>
      <c r="L628" s="99" t="s">
        <v>2292</v>
      </c>
      <c r="M628" s="28" t="s">
        <v>356</v>
      </c>
      <c r="N628" s="28">
        <v>1984.0</v>
      </c>
      <c r="O628" s="99" t="s">
        <v>494</v>
      </c>
      <c r="P628" s="28">
        <v>1.0</v>
      </c>
      <c r="Q628" s="32">
        <v>1.0</v>
      </c>
      <c r="R628" s="33"/>
      <c r="S628" s="34"/>
      <c r="T628" s="34"/>
      <c r="U628" s="34"/>
      <c r="V628" s="34"/>
      <c r="W628" s="34"/>
      <c r="X628" s="34"/>
      <c r="Y628" s="45"/>
      <c r="Z628" s="45"/>
      <c r="AA628" s="45"/>
      <c r="AB628" s="45"/>
      <c r="AC628" s="45"/>
      <c r="AD628" s="45"/>
      <c r="AE628" s="45"/>
      <c r="AF628" s="45"/>
      <c r="AG628" s="45"/>
      <c r="AH628" s="45"/>
      <c r="AI628" s="45"/>
      <c r="AJ628" s="45"/>
      <c r="AK628" s="45"/>
      <c r="AL628" s="45"/>
    </row>
    <row r="629" ht="15.75" customHeight="1">
      <c r="A629" s="27">
        <f t="shared" si="14"/>
        <v>89</v>
      </c>
      <c r="B629" s="28" t="s">
        <v>2299</v>
      </c>
      <c r="C629" s="97" t="s">
        <v>2300</v>
      </c>
      <c r="D629" s="39" t="s">
        <v>2301</v>
      </c>
      <c r="E629" s="28" t="s">
        <v>28</v>
      </c>
      <c r="F629" s="28" t="s">
        <v>29</v>
      </c>
      <c r="G629" s="28" t="s">
        <v>37</v>
      </c>
      <c r="H629" s="28"/>
      <c r="I629" s="28" t="s">
        <v>38</v>
      </c>
      <c r="J629" s="28">
        <v>1198.0</v>
      </c>
      <c r="K629" s="28"/>
      <c r="L629" s="99" t="s">
        <v>2292</v>
      </c>
      <c r="M629" s="28" t="s">
        <v>356</v>
      </c>
      <c r="N629" s="28">
        <v>1984.0</v>
      </c>
      <c r="O629" s="99" t="s">
        <v>494</v>
      </c>
      <c r="P629" s="28">
        <v>1.0</v>
      </c>
      <c r="Q629" s="32">
        <v>1.0</v>
      </c>
      <c r="R629" s="33"/>
      <c r="S629" s="40"/>
      <c r="T629" s="40"/>
      <c r="U629" s="40"/>
      <c r="V629" s="40"/>
      <c r="W629" s="40"/>
      <c r="X629" s="40"/>
      <c r="Y629" s="45"/>
      <c r="Z629" s="45"/>
      <c r="AA629" s="45"/>
      <c r="AB629" s="45"/>
      <c r="AC629" s="45"/>
      <c r="AD629" s="45"/>
      <c r="AE629" s="45"/>
      <c r="AF629" s="45"/>
      <c r="AG629" s="45"/>
      <c r="AH629" s="45"/>
      <c r="AI629" s="45"/>
      <c r="AJ629" s="45"/>
      <c r="AK629" s="45"/>
      <c r="AL629" s="45"/>
    </row>
    <row r="630" ht="15.75" customHeight="1">
      <c r="A630" s="27">
        <f t="shared" si="14"/>
        <v>90</v>
      </c>
      <c r="B630" s="28" t="s">
        <v>2302</v>
      </c>
      <c r="C630" s="97" t="s">
        <v>2290</v>
      </c>
      <c r="D630" s="39" t="s">
        <v>2303</v>
      </c>
      <c r="E630" s="28" t="s">
        <v>28</v>
      </c>
      <c r="F630" s="28" t="s">
        <v>29</v>
      </c>
      <c r="G630" s="28" t="s">
        <v>37</v>
      </c>
      <c r="H630" s="28"/>
      <c r="I630" s="28" t="s">
        <v>38</v>
      </c>
      <c r="J630" s="28">
        <v>1176.0</v>
      </c>
      <c r="K630" s="28"/>
      <c r="L630" s="99" t="s">
        <v>2292</v>
      </c>
      <c r="M630" s="28" t="s">
        <v>356</v>
      </c>
      <c r="N630" s="28">
        <v>1984.0</v>
      </c>
      <c r="O630" s="99" t="s">
        <v>494</v>
      </c>
      <c r="P630" s="28">
        <v>1.0</v>
      </c>
      <c r="Q630" s="32">
        <v>1.0</v>
      </c>
      <c r="R630" s="33"/>
      <c r="S630" s="34"/>
      <c r="T630" s="34"/>
      <c r="U630" s="34"/>
      <c r="V630" s="34"/>
      <c r="W630" s="34"/>
      <c r="X630" s="34"/>
      <c r="Y630" s="45"/>
      <c r="Z630" s="45"/>
      <c r="AA630" s="45"/>
      <c r="AB630" s="45"/>
      <c r="AC630" s="45"/>
      <c r="AD630" s="45"/>
      <c r="AE630" s="45"/>
      <c r="AF630" s="45"/>
      <c r="AG630" s="45"/>
      <c r="AH630" s="45"/>
      <c r="AI630" s="45"/>
      <c r="AJ630" s="45"/>
      <c r="AK630" s="45"/>
      <c r="AL630" s="45"/>
    </row>
    <row r="631" ht="15.75" customHeight="1">
      <c r="A631" s="27">
        <f t="shared" si="14"/>
        <v>91</v>
      </c>
      <c r="B631" s="28" t="s">
        <v>2304</v>
      </c>
      <c r="C631" s="29" t="s">
        <v>2305</v>
      </c>
      <c r="D631" s="39" t="s">
        <v>2306</v>
      </c>
      <c r="E631" s="28" t="s">
        <v>28</v>
      </c>
      <c r="F631" s="28" t="s">
        <v>29</v>
      </c>
      <c r="G631" s="28" t="s">
        <v>37</v>
      </c>
      <c r="H631" s="28"/>
      <c r="I631" s="28" t="s">
        <v>38</v>
      </c>
      <c r="J631" s="28">
        <v>817.0</v>
      </c>
      <c r="K631" s="28"/>
      <c r="L631" s="31" t="s">
        <v>355</v>
      </c>
      <c r="M631" s="28" t="s">
        <v>356</v>
      </c>
      <c r="N631" s="28">
        <v>1984.0</v>
      </c>
      <c r="O631" s="31">
        <v>9.0</v>
      </c>
      <c r="P631" s="28">
        <v>2.0</v>
      </c>
      <c r="Q631" s="32">
        <v>2.0</v>
      </c>
      <c r="R631" s="33"/>
      <c r="S631" s="34"/>
      <c r="T631" s="34"/>
      <c r="U631" s="34"/>
      <c r="V631" s="34"/>
      <c r="W631" s="34"/>
      <c r="X631" s="34"/>
      <c r="Y631" s="45"/>
      <c r="Z631" s="45"/>
      <c r="AA631" s="45"/>
      <c r="AB631" s="45"/>
      <c r="AC631" s="45"/>
      <c r="AD631" s="45"/>
      <c r="AE631" s="45"/>
      <c r="AF631" s="45"/>
      <c r="AG631" s="45"/>
      <c r="AH631" s="45"/>
      <c r="AI631" s="45"/>
      <c r="AJ631" s="45"/>
      <c r="AK631" s="45"/>
      <c r="AL631" s="45"/>
    </row>
    <row r="632" ht="15.75" customHeight="1">
      <c r="A632" s="27">
        <f t="shared" si="14"/>
        <v>92</v>
      </c>
      <c r="B632" s="28" t="s">
        <v>2307</v>
      </c>
      <c r="C632" s="29" t="s">
        <v>2308</v>
      </c>
      <c r="D632" s="39" t="s">
        <v>2309</v>
      </c>
      <c r="E632" s="28" t="s">
        <v>28</v>
      </c>
      <c r="F632" s="28" t="s">
        <v>29</v>
      </c>
      <c r="G632" s="28" t="s">
        <v>37</v>
      </c>
      <c r="H632" s="28"/>
      <c r="I632" s="28" t="s">
        <v>38</v>
      </c>
      <c r="J632" s="28">
        <v>763.0</v>
      </c>
      <c r="K632" s="28"/>
      <c r="L632" s="31" t="s">
        <v>355</v>
      </c>
      <c r="M632" s="28" t="s">
        <v>356</v>
      </c>
      <c r="N632" s="28">
        <v>1984.0</v>
      </c>
      <c r="O632" s="31">
        <v>9.0</v>
      </c>
      <c r="P632" s="28">
        <v>1.0</v>
      </c>
      <c r="Q632" s="32">
        <v>1.0</v>
      </c>
      <c r="R632" s="33"/>
      <c r="S632" s="34"/>
      <c r="T632" s="34"/>
      <c r="U632" s="34"/>
      <c r="V632" s="34"/>
      <c r="W632" s="34"/>
      <c r="X632" s="34"/>
      <c r="Y632" s="45"/>
      <c r="Z632" s="45"/>
      <c r="AA632" s="45"/>
      <c r="AB632" s="45"/>
      <c r="AC632" s="45"/>
      <c r="AD632" s="45"/>
      <c r="AE632" s="45"/>
      <c r="AF632" s="45"/>
      <c r="AG632" s="45"/>
      <c r="AH632" s="45"/>
      <c r="AI632" s="45"/>
      <c r="AJ632" s="45"/>
      <c r="AK632" s="45"/>
      <c r="AL632" s="45"/>
    </row>
    <row r="633" ht="15.75" customHeight="1">
      <c r="A633" s="27">
        <f t="shared" si="14"/>
        <v>93</v>
      </c>
      <c r="B633" s="28" t="s">
        <v>2310</v>
      </c>
      <c r="C633" s="29" t="s">
        <v>2311</v>
      </c>
      <c r="D633" s="39" t="s">
        <v>2312</v>
      </c>
      <c r="E633" s="28" t="s">
        <v>28</v>
      </c>
      <c r="F633" s="28" t="s">
        <v>29</v>
      </c>
      <c r="G633" s="28" t="s">
        <v>37</v>
      </c>
      <c r="H633" s="28"/>
      <c r="I633" s="28" t="s">
        <v>38</v>
      </c>
      <c r="J633" s="28">
        <v>749.0</v>
      </c>
      <c r="K633" s="28"/>
      <c r="L633" s="31" t="s">
        <v>355</v>
      </c>
      <c r="M633" s="28" t="s">
        <v>356</v>
      </c>
      <c r="N633" s="28">
        <v>1984.0</v>
      </c>
      <c r="O633" s="31">
        <v>9.0</v>
      </c>
      <c r="P633" s="28">
        <v>2.0</v>
      </c>
      <c r="Q633" s="32">
        <v>2.0</v>
      </c>
      <c r="R633" s="33"/>
      <c r="S633" s="34"/>
      <c r="T633" s="34"/>
      <c r="U633" s="34"/>
      <c r="V633" s="34"/>
      <c r="W633" s="34"/>
      <c r="X633" s="34"/>
      <c r="Y633" s="45"/>
      <c r="Z633" s="45"/>
      <c r="AA633" s="45"/>
      <c r="AB633" s="45"/>
      <c r="AC633" s="45"/>
      <c r="AD633" s="45"/>
      <c r="AE633" s="45"/>
      <c r="AF633" s="45"/>
      <c r="AG633" s="45"/>
      <c r="AH633" s="45"/>
      <c r="AI633" s="45"/>
      <c r="AJ633" s="45"/>
      <c r="AK633" s="45"/>
      <c r="AL633" s="45"/>
    </row>
    <row r="634" ht="15.75" customHeight="1">
      <c r="A634" s="27">
        <f t="shared" si="14"/>
        <v>94</v>
      </c>
      <c r="B634" s="28"/>
      <c r="C634" s="29" t="s">
        <v>2313</v>
      </c>
      <c r="D634" s="39" t="s">
        <v>2314</v>
      </c>
      <c r="E634" s="28" t="s">
        <v>28</v>
      </c>
      <c r="F634" s="28" t="s">
        <v>29</v>
      </c>
      <c r="G634" s="28" t="s">
        <v>37</v>
      </c>
      <c r="H634" s="28"/>
      <c r="I634" s="28" t="s">
        <v>38</v>
      </c>
      <c r="J634" s="28">
        <v>668.0</v>
      </c>
      <c r="K634" s="28"/>
      <c r="L634" s="31" t="s">
        <v>355</v>
      </c>
      <c r="M634" s="28" t="s">
        <v>356</v>
      </c>
      <c r="N634" s="28">
        <v>1984.0</v>
      </c>
      <c r="O634" s="31">
        <v>9.0</v>
      </c>
      <c r="P634" s="28">
        <v>1.0</v>
      </c>
      <c r="Q634" s="32">
        <v>1.0</v>
      </c>
      <c r="R634" s="33"/>
      <c r="S634" s="34"/>
      <c r="T634" s="34"/>
      <c r="U634" s="34"/>
      <c r="V634" s="34"/>
      <c r="W634" s="34"/>
      <c r="X634" s="34"/>
      <c r="Y634" s="45"/>
      <c r="Z634" s="45"/>
      <c r="AA634" s="45"/>
      <c r="AB634" s="45"/>
      <c r="AC634" s="45"/>
      <c r="AD634" s="45"/>
      <c r="AE634" s="45"/>
      <c r="AF634" s="45"/>
      <c r="AG634" s="45"/>
      <c r="AH634" s="45"/>
      <c r="AI634" s="45"/>
      <c r="AJ634" s="45"/>
      <c r="AK634" s="45"/>
      <c r="AL634" s="45"/>
    </row>
    <row r="635" ht="15.75" customHeight="1">
      <c r="A635" s="27">
        <f t="shared" si="14"/>
        <v>95</v>
      </c>
      <c r="B635" s="28" t="s">
        <v>31</v>
      </c>
      <c r="C635" s="29" t="s">
        <v>2315</v>
      </c>
      <c r="D635" s="39" t="s">
        <v>2316</v>
      </c>
      <c r="E635" s="28" t="s">
        <v>28</v>
      </c>
      <c r="F635" s="28" t="s">
        <v>29</v>
      </c>
      <c r="G635" s="28" t="s">
        <v>37</v>
      </c>
      <c r="H635" s="28"/>
      <c r="I635" s="28" t="s">
        <v>38</v>
      </c>
      <c r="J635" s="28">
        <v>425.0</v>
      </c>
      <c r="K635" s="28"/>
      <c r="L635" s="28" t="s">
        <v>2317</v>
      </c>
      <c r="M635" s="28" t="s">
        <v>236</v>
      </c>
      <c r="N635" s="28">
        <v>1962.0</v>
      </c>
      <c r="O635" s="31">
        <v>9.0</v>
      </c>
      <c r="P635" s="28">
        <v>1.0</v>
      </c>
      <c r="Q635" s="32">
        <v>1.0</v>
      </c>
      <c r="R635" s="33"/>
      <c r="S635" s="40"/>
      <c r="T635" s="40"/>
      <c r="U635" s="40"/>
      <c r="V635" s="40"/>
      <c r="W635" s="40"/>
      <c r="X635" s="40"/>
      <c r="Y635" s="45"/>
      <c r="Z635" s="45"/>
      <c r="AA635" s="45"/>
      <c r="AB635" s="45"/>
      <c r="AC635" s="45"/>
      <c r="AD635" s="45"/>
      <c r="AE635" s="45"/>
      <c r="AF635" s="45"/>
      <c r="AG635" s="45"/>
      <c r="AH635" s="45"/>
      <c r="AI635" s="45"/>
      <c r="AJ635" s="45"/>
      <c r="AK635" s="45"/>
      <c r="AL635" s="45"/>
    </row>
    <row r="636" ht="15.75" customHeight="1">
      <c r="A636" s="27">
        <f t="shared" si="14"/>
        <v>96</v>
      </c>
      <c r="B636" s="28" t="s">
        <v>2318</v>
      </c>
      <c r="C636" s="29" t="s">
        <v>2319</v>
      </c>
      <c r="D636" s="39" t="s">
        <v>2320</v>
      </c>
      <c r="E636" s="28" t="s">
        <v>28</v>
      </c>
      <c r="F636" s="28" t="s">
        <v>29</v>
      </c>
      <c r="G636" s="28" t="s">
        <v>37</v>
      </c>
      <c r="H636" s="28" t="s">
        <v>31</v>
      </c>
      <c r="I636" s="28" t="s">
        <v>38</v>
      </c>
      <c r="J636" s="31">
        <v>171.0</v>
      </c>
      <c r="K636" s="28"/>
      <c r="L636" s="31" t="s">
        <v>2321</v>
      </c>
      <c r="M636" s="28" t="s">
        <v>816</v>
      </c>
      <c r="N636" s="28">
        <v>1970.0</v>
      </c>
      <c r="O636" s="31">
        <v>6.0</v>
      </c>
      <c r="P636" s="28">
        <v>2.0</v>
      </c>
      <c r="Q636" s="32">
        <v>2.0</v>
      </c>
      <c r="R636" s="33"/>
      <c r="S636" s="34"/>
      <c r="T636" s="34"/>
      <c r="U636" s="34"/>
      <c r="V636" s="34"/>
      <c r="W636" s="34"/>
      <c r="X636" s="34"/>
      <c r="Y636" s="45"/>
      <c r="Z636" s="45"/>
      <c r="AA636" s="45"/>
      <c r="AB636" s="45"/>
      <c r="AC636" s="45"/>
      <c r="AD636" s="45"/>
      <c r="AE636" s="45"/>
      <c r="AF636" s="45"/>
      <c r="AG636" s="45"/>
      <c r="AH636" s="45"/>
      <c r="AI636" s="45"/>
      <c r="AJ636" s="45"/>
      <c r="AK636" s="45"/>
      <c r="AL636" s="45"/>
    </row>
    <row r="637" ht="15.75" customHeight="1">
      <c r="A637" s="27">
        <f t="shared" si="14"/>
        <v>97</v>
      </c>
      <c r="B637" s="28" t="s">
        <v>31</v>
      </c>
      <c r="C637" s="29" t="s">
        <v>2322</v>
      </c>
      <c r="D637" s="30" t="s">
        <v>2323</v>
      </c>
      <c r="E637" s="28" t="s">
        <v>28</v>
      </c>
      <c r="F637" s="28" t="s">
        <v>29</v>
      </c>
      <c r="G637" s="28" t="s">
        <v>131</v>
      </c>
      <c r="H637" s="28" t="s">
        <v>31</v>
      </c>
      <c r="I637" s="28" t="s">
        <v>131</v>
      </c>
      <c r="J637" s="31">
        <v>151.0</v>
      </c>
      <c r="K637" s="28"/>
      <c r="L637" s="31" t="s">
        <v>2324</v>
      </c>
      <c r="M637" s="28" t="s">
        <v>1442</v>
      </c>
      <c r="N637" s="28">
        <v>1952.0</v>
      </c>
      <c r="O637" s="31">
        <v>6.0</v>
      </c>
      <c r="P637" s="28">
        <v>1.0</v>
      </c>
      <c r="Q637" s="32">
        <v>1.0</v>
      </c>
      <c r="R637" s="33"/>
      <c r="S637" s="34"/>
      <c r="T637" s="34"/>
      <c r="U637" s="34"/>
      <c r="V637" s="34"/>
      <c r="W637" s="34"/>
      <c r="X637" s="34"/>
      <c r="Y637" s="45"/>
      <c r="Z637" s="45"/>
      <c r="AA637" s="45"/>
      <c r="AB637" s="45"/>
      <c r="AC637" s="45"/>
      <c r="AD637" s="45"/>
      <c r="AE637" s="45"/>
      <c r="AF637" s="45"/>
      <c r="AG637" s="45"/>
      <c r="AH637" s="45"/>
      <c r="AI637" s="45"/>
      <c r="AJ637" s="45"/>
      <c r="AK637" s="45"/>
      <c r="AL637" s="45"/>
    </row>
    <row r="638" ht="15.75" customHeight="1">
      <c r="A638" s="27">
        <f t="shared" si="14"/>
        <v>98</v>
      </c>
      <c r="B638" s="28" t="s">
        <v>2325</v>
      </c>
      <c r="C638" s="29" t="s">
        <v>2326</v>
      </c>
      <c r="D638" s="30" t="s">
        <v>2327</v>
      </c>
      <c r="E638" s="28"/>
      <c r="F638" s="28" t="s">
        <v>29</v>
      </c>
      <c r="G638" s="28" t="s">
        <v>38</v>
      </c>
      <c r="H638" s="28"/>
      <c r="I638" s="28" t="s">
        <v>38</v>
      </c>
      <c r="J638" s="28">
        <v>305.0</v>
      </c>
      <c r="K638" s="28"/>
      <c r="L638" s="28" t="s">
        <v>2328</v>
      </c>
      <c r="M638" s="28" t="s">
        <v>83</v>
      </c>
      <c r="N638" s="28">
        <v>1986.0</v>
      </c>
      <c r="O638" s="31">
        <v>9.0</v>
      </c>
      <c r="P638" s="28">
        <v>1.0</v>
      </c>
      <c r="Q638" s="32">
        <v>1.0</v>
      </c>
      <c r="R638" s="33"/>
      <c r="S638" s="34"/>
      <c r="T638" s="34"/>
      <c r="U638" s="34"/>
      <c r="V638" s="34"/>
      <c r="W638" s="34"/>
      <c r="X638" s="34"/>
      <c r="Y638" s="45"/>
      <c r="Z638" s="45"/>
      <c r="AA638" s="45"/>
      <c r="AB638" s="45"/>
      <c r="AC638" s="45"/>
      <c r="AD638" s="45"/>
      <c r="AE638" s="45"/>
      <c r="AF638" s="45"/>
      <c r="AG638" s="45"/>
      <c r="AH638" s="45"/>
      <c r="AI638" s="45"/>
      <c r="AJ638" s="45"/>
      <c r="AK638" s="45"/>
      <c r="AL638" s="45"/>
    </row>
    <row r="639" ht="15.75" hidden="1" customHeight="1">
      <c r="A639" s="27">
        <f t="shared" si="14"/>
        <v>99</v>
      </c>
      <c r="B639" s="28" t="s">
        <v>2329</v>
      </c>
      <c r="C639" s="102" t="s">
        <v>1162</v>
      </c>
      <c r="D639" s="30" t="s">
        <v>2330</v>
      </c>
      <c r="E639" s="28" t="s">
        <v>28</v>
      </c>
      <c r="F639" s="28" t="s">
        <v>29</v>
      </c>
      <c r="G639" s="28" t="s">
        <v>30</v>
      </c>
      <c r="H639" s="28"/>
      <c r="I639" s="28" t="s">
        <v>30</v>
      </c>
      <c r="J639" s="28">
        <v>686.0</v>
      </c>
      <c r="K639" s="28"/>
      <c r="L639" s="60" t="s">
        <v>1165</v>
      </c>
      <c r="M639" s="31" t="s">
        <v>544</v>
      </c>
      <c r="N639" s="28">
        <v>2010.0</v>
      </c>
      <c r="O639" s="28"/>
      <c r="P639" s="28">
        <v>1.0</v>
      </c>
      <c r="Q639" s="32">
        <v>1.0</v>
      </c>
      <c r="R639" s="33"/>
      <c r="S639" s="34"/>
      <c r="T639" s="34"/>
      <c r="U639" s="34"/>
      <c r="V639" s="34"/>
      <c r="W639" s="34"/>
      <c r="X639" s="34"/>
      <c r="Y639" s="45"/>
      <c r="Z639" s="45"/>
      <c r="AA639" s="45"/>
      <c r="AB639" s="45"/>
      <c r="AC639" s="45"/>
      <c r="AD639" s="45"/>
      <c r="AE639" s="45"/>
      <c r="AF639" s="45"/>
      <c r="AG639" s="45"/>
      <c r="AH639" s="45"/>
      <c r="AI639" s="45"/>
      <c r="AJ639" s="45"/>
      <c r="AK639" s="45"/>
      <c r="AL639" s="45"/>
    </row>
    <row r="640" ht="15.75" customHeight="1">
      <c r="A640" s="27">
        <f t="shared" si="14"/>
        <v>100</v>
      </c>
      <c r="B640" s="28" t="s">
        <v>2331</v>
      </c>
      <c r="C640" s="29" t="s">
        <v>2332</v>
      </c>
      <c r="D640" s="39" t="s">
        <v>2333</v>
      </c>
      <c r="E640" s="28" t="s">
        <v>28</v>
      </c>
      <c r="F640" s="28" t="s">
        <v>29</v>
      </c>
      <c r="G640" s="28" t="s">
        <v>37</v>
      </c>
      <c r="H640" s="28"/>
      <c r="I640" s="28" t="s">
        <v>38</v>
      </c>
      <c r="J640" s="28">
        <v>734.0</v>
      </c>
      <c r="K640" s="28"/>
      <c r="L640" s="31" t="s">
        <v>244</v>
      </c>
      <c r="M640" s="28" t="s">
        <v>245</v>
      </c>
      <c r="N640" s="28">
        <v>1979.0</v>
      </c>
      <c r="O640" s="31">
        <v>9.0</v>
      </c>
      <c r="P640" s="28">
        <v>1.0</v>
      </c>
      <c r="Q640" s="32">
        <v>1.0</v>
      </c>
      <c r="R640" s="33"/>
      <c r="S640" s="40"/>
      <c r="T640" s="40"/>
      <c r="U640" s="40"/>
      <c r="V640" s="40"/>
      <c r="W640" s="40"/>
      <c r="X640" s="40"/>
      <c r="Y640" s="45"/>
      <c r="Z640" s="45"/>
      <c r="AA640" s="45"/>
      <c r="AB640" s="45"/>
      <c r="AC640" s="45"/>
      <c r="AD640" s="45"/>
      <c r="AE640" s="45"/>
      <c r="AF640" s="45"/>
      <c r="AG640" s="45"/>
      <c r="AH640" s="45"/>
      <c r="AI640" s="45"/>
      <c r="AJ640" s="45"/>
      <c r="AK640" s="45"/>
      <c r="AL640" s="45"/>
    </row>
    <row r="641" ht="15.75" customHeight="1">
      <c r="A641" s="27">
        <f t="shared" si="14"/>
        <v>101</v>
      </c>
      <c r="B641" s="103" t="s">
        <v>2334</v>
      </c>
      <c r="C641" s="104" t="s">
        <v>2335</v>
      </c>
      <c r="D641" s="105" t="s">
        <v>2336</v>
      </c>
      <c r="E641" s="103" t="s">
        <v>28</v>
      </c>
      <c r="F641" s="103" t="s">
        <v>29</v>
      </c>
      <c r="G641" s="103" t="s">
        <v>37</v>
      </c>
      <c r="H641" s="103"/>
      <c r="I641" s="103" t="s">
        <v>38</v>
      </c>
      <c r="J641" s="103">
        <v>1059.0</v>
      </c>
      <c r="K641" s="103"/>
      <c r="L641" s="106" t="s">
        <v>244</v>
      </c>
      <c r="M641" s="103" t="s">
        <v>245</v>
      </c>
      <c r="N641" s="103">
        <v>1984.0</v>
      </c>
      <c r="O641" s="106">
        <v>9.0</v>
      </c>
      <c r="P641" s="103">
        <v>1.0</v>
      </c>
      <c r="Q641" s="106">
        <v>1.0</v>
      </c>
      <c r="R641" s="107"/>
      <c r="S641" s="40"/>
      <c r="T641" s="40"/>
      <c r="U641" s="40"/>
      <c r="V641" s="40"/>
      <c r="W641" s="40"/>
      <c r="X641" s="40"/>
      <c r="Y641" s="45"/>
      <c r="Z641" s="45"/>
      <c r="AA641" s="45"/>
      <c r="AB641" s="45"/>
      <c r="AC641" s="45"/>
      <c r="AD641" s="45"/>
      <c r="AE641" s="45"/>
      <c r="AF641" s="45"/>
      <c r="AG641" s="45"/>
      <c r="AH641" s="45"/>
      <c r="AI641" s="45"/>
      <c r="AJ641" s="45"/>
      <c r="AK641" s="45"/>
      <c r="AL641" s="45"/>
    </row>
    <row r="642" ht="15.75" customHeight="1">
      <c r="A642" s="27">
        <f t="shared" si="14"/>
        <v>102</v>
      </c>
      <c r="B642" s="31" t="s">
        <v>2337</v>
      </c>
      <c r="C642" s="29" t="s">
        <v>2338</v>
      </c>
      <c r="D642" s="30" t="s">
        <v>2339</v>
      </c>
      <c r="E642" s="28" t="s">
        <v>28</v>
      </c>
      <c r="F642" s="28" t="s">
        <v>29</v>
      </c>
      <c r="G642" s="28" t="s">
        <v>37</v>
      </c>
      <c r="H642" s="28"/>
      <c r="I642" s="28" t="s">
        <v>38</v>
      </c>
      <c r="J642" s="28">
        <v>627.0</v>
      </c>
      <c r="K642" s="28"/>
      <c r="L642" s="31" t="s">
        <v>2340</v>
      </c>
      <c r="M642" s="28" t="s">
        <v>230</v>
      </c>
      <c r="N642" s="28">
        <v>1994.0</v>
      </c>
      <c r="O642" s="31">
        <v>9.0</v>
      </c>
      <c r="P642" s="28">
        <v>2.0</v>
      </c>
      <c r="Q642" s="32">
        <v>2.0</v>
      </c>
      <c r="R642" s="33"/>
      <c r="S642" s="40"/>
      <c r="T642" s="40"/>
      <c r="U642" s="40"/>
      <c r="V642" s="40"/>
      <c r="W642" s="40"/>
      <c r="X642" s="40"/>
      <c r="Y642" s="45"/>
      <c r="Z642" s="45"/>
      <c r="AA642" s="45"/>
      <c r="AB642" s="45"/>
      <c r="AC642" s="45"/>
      <c r="AD642" s="45"/>
      <c r="AE642" s="45"/>
      <c r="AF642" s="45"/>
      <c r="AG642" s="45"/>
      <c r="AH642" s="45"/>
      <c r="AI642" s="45"/>
      <c r="AJ642" s="45"/>
      <c r="AK642" s="45"/>
      <c r="AL642" s="45"/>
    </row>
    <row r="643" ht="15.75" customHeight="1">
      <c r="A643" s="27">
        <f t="shared" si="14"/>
        <v>103</v>
      </c>
      <c r="B643" s="28" t="s">
        <v>2341</v>
      </c>
      <c r="C643" s="29" t="s">
        <v>2342</v>
      </c>
      <c r="D643" s="30" t="s">
        <v>2343</v>
      </c>
      <c r="E643" s="28" t="s">
        <v>28</v>
      </c>
      <c r="F643" s="28" t="s">
        <v>29</v>
      </c>
      <c r="G643" s="28" t="s">
        <v>37</v>
      </c>
      <c r="H643" s="28"/>
      <c r="I643" s="28" t="s">
        <v>38</v>
      </c>
      <c r="J643" s="28">
        <v>264.0</v>
      </c>
      <c r="K643" s="28"/>
      <c r="L643" s="28" t="s">
        <v>31</v>
      </c>
      <c r="M643" s="28" t="s">
        <v>1203</v>
      </c>
      <c r="N643" s="28">
        <v>1865.0</v>
      </c>
      <c r="O643" s="31" t="s">
        <v>2259</v>
      </c>
      <c r="P643" s="28">
        <v>1.0</v>
      </c>
      <c r="Q643" s="37">
        <v>1.0</v>
      </c>
      <c r="R643" s="33"/>
      <c r="S643" s="40"/>
      <c r="T643" s="40"/>
      <c r="U643" s="40"/>
      <c r="V643" s="40"/>
      <c r="W643" s="40"/>
      <c r="X643" s="40"/>
      <c r="Y643" s="45"/>
      <c r="Z643" s="45"/>
      <c r="AA643" s="45"/>
      <c r="AB643" s="45"/>
      <c r="AC643" s="45"/>
      <c r="AD643" s="45"/>
      <c r="AE643" s="45"/>
      <c r="AF643" s="45"/>
      <c r="AG643" s="45"/>
      <c r="AH643" s="45"/>
      <c r="AI643" s="45"/>
      <c r="AJ643" s="45"/>
      <c r="AK643" s="45"/>
      <c r="AL643" s="45"/>
    </row>
    <row r="644" ht="15.75" customHeight="1">
      <c r="A644" s="27">
        <f t="shared" si="14"/>
        <v>104</v>
      </c>
      <c r="B644" s="28" t="s">
        <v>2344</v>
      </c>
      <c r="C644" s="29" t="s">
        <v>2345</v>
      </c>
      <c r="D644" s="30" t="s">
        <v>2346</v>
      </c>
      <c r="E644" s="28" t="s">
        <v>302</v>
      </c>
      <c r="F644" s="28" t="s">
        <v>29</v>
      </c>
      <c r="G644" s="28" t="s">
        <v>37</v>
      </c>
      <c r="H644" s="28"/>
      <c r="I644" s="28" t="s">
        <v>38</v>
      </c>
      <c r="J644" s="28">
        <v>3223.0</v>
      </c>
      <c r="K644" s="28"/>
      <c r="L644" s="31" t="s">
        <v>0</v>
      </c>
      <c r="M644" s="31" t="s">
        <v>382</v>
      </c>
      <c r="N644" s="28">
        <v>1999.0</v>
      </c>
      <c r="O644" s="31">
        <v>9.0</v>
      </c>
      <c r="P644" s="28">
        <v>1.0</v>
      </c>
      <c r="Q644" s="32">
        <v>1.0</v>
      </c>
      <c r="R644" s="33"/>
      <c r="S644" s="34"/>
      <c r="T644" s="34"/>
      <c r="U644" s="34"/>
      <c r="V644" s="34"/>
      <c r="W644" s="34"/>
      <c r="X644" s="34"/>
      <c r="Y644" s="45"/>
      <c r="Z644" s="45"/>
      <c r="AA644" s="45"/>
      <c r="AB644" s="45"/>
      <c r="AC644" s="45"/>
      <c r="AD644" s="45"/>
      <c r="AE644" s="45"/>
      <c r="AF644" s="45"/>
      <c r="AG644" s="45"/>
      <c r="AH644" s="45"/>
      <c r="AI644" s="45"/>
      <c r="AJ644" s="45"/>
      <c r="AK644" s="45"/>
      <c r="AL644" s="45"/>
    </row>
    <row r="645" ht="15.75" customHeight="1">
      <c r="A645" s="27">
        <f t="shared" si="14"/>
        <v>105</v>
      </c>
      <c r="B645" s="28" t="s">
        <v>31</v>
      </c>
      <c r="C645" s="29" t="s">
        <v>2347</v>
      </c>
      <c r="D645" s="30" t="s">
        <v>2348</v>
      </c>
      <c r="E645" s="28" t="s">
        <v>28</v>
      </c>
      <c r="F645" s="28" t="s">
        <v>29</v>
      </c>
      <c r="G645" s="28" t="s">
        <v>98</v>
      </c>
      <c r="H645" s="28"/>
      <c r="I645" s="28" t="s">
        <v>2184</v>
      </c>
      <c r="J645" s="28">
        <v>1434.0</v>
      </c>
      <c r="K645" s="28"/>
      <c r="L645" s="31" t="s">
        <v>2349</v>
      </c>
      <c r="M645" s="28" t="s">
        <v>1231</v>
      </c>
      <c r="N645" s="28">
        <v>1937.0</v>
      </c>
      <c r="O645" s="31">
        <v>8.0</v>
      </c>
      <c r="P645" s="31">
        <v>2.0</v>
      </c>
      <c r="Q645" s="37">
        <v>2.0</v>
      </c>
      <c r="R645" s="33"/>
      <c r="S645" s="34"/>
      <c r="T645" s="34"/>
      <c r="U645" s="34"/>
      <c r="V645" s="34"/>
      <c r="W645" s="34"/>
      <c r="X645" s="34"/>
      <c r="Y645" s="45"/>
      <c r="Z645" s="45"/>
      <c r="AA645" s="45"/>
      <c r="AB645" s="45"/>
      <c r="AC645" s="45"/>
      <c r="AD645" s="45"/>
      <c r="AE645" s="45"/>
      <c r="AF645" s="45"/>
      <c r="AG645" s="45"/>
      <c r="AH645" s="45"/>
      <c r="AI645" s="45"/>
      <c r="AJ645" s="45"/>
      <c r="AK645" s="45"/>
      <c r="AL645" s="45"/>
    </row>
    <row r="646" ht="15.75" customHeight="1">
      <c r="A646" s="27">
        <f>A644+1</f>
        <v>105</v>
      </c>
      <c r="B646" s="28" t="s">
        <v>31</v>
      </c>
      <c r="C646" s="29" t="s">
        <v>2350</v>
      </c>
      <c r="D646" s="30" t="s">
        <v>2351</v>
      </c>
      <c r="E646" s="28"/>
      <c r="F646" s="28" t="s">
        <v>29</v>
      </c>
      <c r="G646" s="28" t="s">
        <v>98</v>
      </c>
      <c r="H646" s="28"/>
      <c r="I646" s="28" t="s">
        <v>1195</v>
      </c>
      <c r="J646" s="31">
        <v>1184.0</v>
      </c>
      <c r="K646" s="28"/>
      <c r="L646" s="31" t="s">
        <v>2352</v>
      </c>
      <c r="M646" s="28" t="s">
        <v>1231</v>
      </c>
      <c r="N646" s="28">
        <v>1952.0</v>
      </c>
      <c r="O646" s="31">
        <v>8.0</v>
      </c>
      <c r="P646" s="28">
        <v>1.0</v>
      </c>
      <c r="Q646" s="32">
        <v>1.0</v>
      </c>
      <c r="R646" s="33"/>
      <c r="S646" s="34"/>
      <c r="T646" s="34"/>
      <c r="U646" s="34"/>
      <c r="V646" s="34"/>
      <c r="W646" s="34"/>
      <c r="X646" s="34"/>
      <c r="Y646" s="45"/>
      <c r="Z646" s="45"/>
      <c r="AA646" s="45"/>
      <c r="AB646" s="45"/>
      <c r="AC646" s="45"/>
      <c r="AD646" s="45"/>
      <c r="AE646" s="45"/>
      <c r="AF646" s="45"/>
      <c r="AG646" s="45"/>
      <c r="AH646" s="45"/>
      <c r="AI646" s="45"/>
      <c r="AJ646" s="45"/>
      <c r="AK646" s="45"/>
      <c r="AL646" s="45"/>
    </row>
    <row r="647" ht="15.75" customHeight="1">
      <c r="A647" s="27"/>
      <c r="B647" s="108"/>
      <c r="C647" s="109" t="s">
        <v>2353</v>
      </c>
      <c r="D647" s="110" t="s">
        <v>2354</v>
      </c>
      <c r="E647" s="111" t="s">
        <v>2355</v>
      </c>
      <c r="F647" s="112" t="s">
        <v>29</v>
      </c>
      <c r="G647" s="112" t="s">
        <v>98</v>
      </c>
      <c r="H647" s="111"/>
      <c r="I647" s="112" t="s">
        <v>2356</v>
      </c>
      <c r="J647" s="112">
        <v>1288.0</v>
      </c>
      <c r="K647" s="111"/>
      <c r="L647" s="112" t="s">
        <v>2357</v>
      </c>
      <c r="M647" s="112" t="s">
        <v>2358</v>
      </c>
      <c r="N647" s="112">
        <v>1929.0</v>
      </c>
      <c r="O647" s="112">
        <v>8.0</v>
      </c>
      <c r="P647" s="112">
        <v>1.0</v>
      </c>
      <c r="Q647" s="37">
        <v>1.0</v>
      </c>
      <c r="R647" s="33"/>
      <c r="S647" s="40"/>
      <c r="T647" s="40"/>
      <c r="U647" s="40"/>
      <c r="V647" s="40"/>
      <c r="W647" s="40"/>
      <c r="X647" s="40"/>
      <c r="Y647" s="45"/>
      <c r="Z647" s="45"/>
      <c r="AA647" s="45"/>
      <c r="AB647" s="45"/>
      <c r="AC647" s="45"/>
      <c r="AD647" s="45"/>
      <c r="AE647" s="45"/>
      <c r="AF647" s="45"/>
      <c r="AG647" s="45"/>
      <c r="AH647" s="45"/>
      <c r="AI647" s="45"/>
      <c r="AJ647" s="45"/>
      <c r="AK647" s="45"/>
      <c r="AL647" s="45"/>
    </row>
    <row r="648" ht="15.75" customHeight="1">
      <c r="A648" s="27">
        <f t="shared" ref="A648:A669" si="15">A647+1</f>
        <v>1</v>
      </c>
      <c r="B648" s="28" t="s">
        <v>2359</v>
      </c>
      <c r="C648" s="29" t="s">
        <v>2360</v>
      </c>
      <c r="D648" s="30" t="s">
        <v>2361</v>
      </c>
      <c r="E648" s="28" t="s">
        <v>144</v>
      </c>
      <c r="F648" s="28" t="s">
        <v>29</v>
      </c>
      <c r="G648" s="28" t="s">
        <v>37</v>
      </c>
      <c r="H648" s="28"/>
      <c r="I648" s="28" t="s">
        <v>38</v>
      </c>
      <c r="J648" s="28">
        <f>258+8</f>
        <v>266</v>
      </c>
      <c r="K648" s="28"/>
      <c r="L648" s="28" t="s">
        <v>2362</v>
      </c>
      <c r="M648" s="28" t="s">
        <v>213</v>
      </c>
      <c r="N648" s="28">
        <v>2011.0</v>
      </c>
      <c r="O648" s="31" t="s">
        <v>2259</v>
      </c>
      <c r="P648" s="28">
        <v>2.0</v>
      </c>
      <c r="Q648" s="37">
        <v>1.0</v>
      </c>
      <c r="R648" s="33"/>
      <c r="S648" s="40"/>
      <c r="T648" s="40"/>
      <c r="U648" s="40"/>
      <c r="V648" s="40"/>
      <c r="W648" s="40"/>
      <c r="X648" s="40"/>
      <c r="Y648" s="45"/>
      <c r="Z648" s="45"/>
      <c r="AA648" s="45"/>
      <c r="AB648" s="45"/>
      <c r="AC648" s="45"/>
      <c r="AD648" s="45"/>
      <c r="AE648" s="45"/>
      <c r="AF648" s="45"/>
      <c r="AG648" s="45"/>
      <c r="AH648" s="45"/>
      <c r="AI648" s="45"/>
      <c r="AJ648" s="45"/>
      <c r="AK648" s="45"/>
      <c r="AL648" s="45"/>
    </row>
    <row r="649" ht="15.75" customHeight="1">
      <c r="A649" s="27">
        <f t="shared" si="15"/>
        <v>2</v>
      </c>
      <c r="B649" s="28" t="s">
        <v>2363</v>
      </c>
      <c r="C649" s="29" t="s">
        <v>2364</v>
      </c>
      <c r="D649" s="39" t="s">
        <v>2365</v>
      </c>
      <c r="E649" s="28" t="s">
        <v>144</v>
      </c>
      <c r="F649" s="28" t="s">
        <v>29</v>
      </c>
      <c r="G649" s="28" t="s">
        <v>37</v>
      </c>
      <c r="H649" s="28"/>
      <c r="I649" s="28" t="s">
        <v>38</v>
      </c>
      <c r="J649" s="31">
        <v>324.0</v>
      </c>
      <c r="K649" s="28"/>
      <c r="L649" s="31" t="s">
        <v>2366</v>
      </c>
      <c r="M649" s="28" t="s">
        <v>356</v>
      </c>
      <c r="N649" s="31">
        <v>2005.0</v>
      </c>
      <c r="O649" s="31">
        <v>9.0</v>
      </c>
      <c r="P649" s="28">
        <v>1.0</v>
      </c>
      <c r="Q649" s="37">
        <v>1.0</v>
      </c>
      <c r="R649" s="33"/>
      <c r="S649" s="40"/>
      <c r="T649" s="40"/>
      <c r="U649" s="40"/>
      <c r="V649" s="40"/>
      <c r="W649" s="40"/>
      <c r="X649" s="40"/>
      <c r="Y649" s="45"/>
      <c r="Z649" s="45"/>
      <c r="AA649" s="45"/>
      <c r="AB649" s="45"/>
      <c r="AC649" s="45"/>
      <c r="AD649" s="45"/>
      <c r="AE649" s="45"/>
      <c r="AF649" s="45"/>
      <c r="AG649" s="45"/>
      <c r="AH649" s="45"/>
      <c r="AI649" s="45"/>
      <c r="AJ649" s="45"/>
      <c r="AK649" s="45"/>
      <c r="AL649" s="45"/>
    </row>
    <row r="650" ht="15.75" customHeight="1">
      <c r="A650" s="27">
        <f t="shared" si="15"/>
        <v>3</v>
      </c>
      <c r="B650" s="28" t="s">
        <v>2367</v>
      </c>
      <c r="C650" s="29" t="s">
        <v>2364</v>
      </c>
      <c r="D650" s="39" t="s">
        <v>2368</v>
      </c>
      <c r="E650" s="28" t="s">
        <v>144</v>
      </c>
      <c r="F650" s="28" t="s">
        <v>29</v>
      </c>
      <c r="G650" s="28" t="s">
        <v>37</v>
      </c>
      <c r="H650" s="28"/>
      <c r="I650" s="28" t="s">
        <v>38</v>
      </c>
      <c r="J650" s="28">
        <v>298.0</v>
      </c>
      <c r="K650" s="28"/>
      <c r="L650" s="31" t="s">
        <v>2366</v>
      </c>
      <c r="M650" s="28" t="s">
        <v>356</v>
      </c>
      <c r="N650" s="28">
        <v>2006.0</v>
      </c>
      <c r="O650" s="31">
        <v>9.0</v>
      </c>
      <c r="P650" s="28">
        <v>1.0</v>
      </c>
      <c r="Q650" s="32">
        <v>1.0</v>
      </c>
      <c r="R650" s="33"/>
      <c r="S650" s="40"/>
      <c r="T650" s="40"/>
      <c r="U650" s="40"/>
      <c r="V650" s="40"/>
      <c r="W650" s="40"/>
      <c r="X650" s="40"/>
      <c r="Y650" s="45"/>
      <c r="Z650" s="45"/>
      <c r="AA650" s="45"/>
      <c r="AB650" s="45"/>
      <c r="AC650" s="45"/>
      <c r="AD650" s="45"/>
      <c r="AE650" s="45"/>
      <c r="AF650" s="45"/>
      <c r="AG650" s="45"/>
      <c r="AH650" s="45"/>
      <c r="AI650" s="45"/>
      <c r="AJ650" s="45"/>
      <c r="AK650" s="45"/>
      <c r="AL650" s="45"/>
    </row>
    <row r="651" ht="15.75" customHeight="1">
      <c r="A651" s="27">
        <f t="shared" si="15"/>
        <v>4</v>
      </c>
      <c r="B651" s="28" t="s">
        <v>2369</v>
      </c>
      <c r="C651" s="29" t="s">
        <v>2370</v>
      </c>
      <c r="D651" s="30" t="s">
        <v>2371</v>
      </c>
      <c r="E651" s="28" t="s">
        <v>31</v>
      </c>
      <c r="F651" s="28" t="s">
        <v>29</v>
      </c>
      <c r="G651" s="28" t="s">
        <v>31</v>
      </c>
      <c r="H651" s="28"/>
      <c r="I651" s="28" t="s">
        <v>31</v>
      </c>
      <c r="J651" s="28">
        <v>239.0</v>
      </c>
      <c r="K651" s="28"/>
      <c r="L651" s="31" t="s">
        <v>2372</v>
      </c>
      <c r="M651" s="31" t="s">
        <v>2373</v>
      </c>
      <c r="N651" s="28">
        <v>1975.0</v>
      </c>
      <c r="O651" s="31">
        <v>3.0</v>
      </c>
      <c r="P651" s="28">
        <v>1.0</v>
      </c>
      <c r="Q651" s="37">
        <v>1.0</v>
      </c>
      <c r="R651" s="33"/>
      <c r="S651" s="40"/>
      <c r="T651" s="40"/>
      <c r="U651" s="40"/>
      <c r="V651" s="40"/>
      <c r="W651" s="40"/>
      <c r="X651" s="40"/>
      <c r="Y651" s="3"/>
      <c r="Z651" s="3"/>
      <c r="AA651" s="3"/>
      <c r="AB651" s="3"/>
      <c r="AC651" s="3"/>
      <c r="AD651" s="3"/>
      <c r="AE651" s="3"/>
      <c r="AF651" s="3"/>
      <c r="AG651" s="3"/>
      <c r="AH651" s="3"/>
      <c r="AI651" s="3"/>
      <c r="AJ651" s="3"/>
      <c r="AK651" s="3"/>
      <c r="AL651" s="3"/>
    </row>
    <row r="652" ht="15.75" customHeight="1">
      <c r="A652" s="27">
        <f t="shared" si="15"/>
        <v>5</v>
      </c>
      <c r="B652" s="28" t="s">
        <v>2374</v>
      </c>
      <c r="C652" s="29" t="s">
        <v>2375</v>
      </c>
      <c r="D652" s="30" t="s">
        <v>2376</v>
      </c>
      <c r="E652" s="28" t="s">
        <v>2377</v>
      </c>
      <c r="F652" s="28" t="s">
        <v>29</v>
      </c>
      <c r="G652" s="28" t="s">
        <v>37</v>
      </c>
      <c r="H652" s="28"/>
      <c r="I652" s="28" t="s">
        <v>38</v>
      </c>
      <c r="J652" s="28">
        <v>680.0</v>
      </c>
      <c r="K652" s="28"/>
      <c r="L652" s="31" t="s">
        <v>2378</v>
      </c>
      <c r="M652" s="28" t="s">
        <v>2379</v>
      </c>
      <c r="N652" s="28">
        <v>1987.0</v>
      </c>
      <c r="O652" s="31">
        <v>9.0</v>
      </c>
      <c r="P652" s="28">
        <v>1.0</v>
      </c>
      <c r="Q652" s="32">
        <v>1.0</v>
      </c>
      <c r="R652" s="33"/>
      <c r="S652" s="40"/>
      <c r="T652" s="40"/>
      <c r="U652" s="40"/>
      <c r="V652" s="40"/>
      <c r="W652" s="40"/>
      <c r="X652" s="40"/>
      <c r="Y652" s="3"/>
      <c r="Z652" s="3"/>
      <c r="AA652" s="3"/>
      <c r="AB652" s="3"/>
      <c r="AC652" s="3"/>
      <c r="AD652" s="3"/>
      <c r="AE652" s="3"/>
      <c r="AF652" s="3"/>
      <c r="AG652" s="3"/>
      <c r="AH652" s="3"/>
      <c r="AI652" s="3"/>
      <c r="AJ652" s="3"/>
      <c r="AK652" s="3"/>
      <c r="AL652" s="3"/>
    </row>
    <row r="653" ht="15.75" customHeight="1">
      <c r="A653" s="27">
        <f t="shared" si="15"/>
        <v>6</v>
      </c>
      <c r="B653" s="28" t="s">
        <v>2380</v>
      </c>
      <c r="C653" s="29" t="s">
        <v>2381</v>
      </c>
      <c r="D653" s="39" t="s">
        <v>2382</v>
      </c>
      <c r="E653" s="28" t="s">
        <v>28</v>
      </c>
      <c r="F653" s="28" t="s">
        <v>29</v>
      </c>
      <c r="G653" s="28" t="s">
        <v>234</v>
      </c>
      <c r="H653" s="28"/>
      <c r="I653" s="28" t="s">
        <v>38</v>
      </c>
      <c r="J653" s="28">
        <v>323.0</v>
      </c>
      <c r="K653" s="28"/>
      <c r="L653" s="28" t="s">
        <v>2383</v>
      </c>
      <c r="M653" s="28" t="s">
        <v>236</v>
      </c>
      <c r="N653" s="28">
        <v>986.0</v>
      </c>
      <c r="O653" s="31">
        <v>6.0</v>
      </c>
      <c r="P653" s="28">
        <v>1.0</v>
      </c>
      <c r="Q653" s="32">
        <v>1.0</v>
      </c>
      <c r="R653" s="33"/>
      <c r="S653" s="34"/>
      <c r="T653" s="34"/>
      <c r="U653" s="34"/>
      <c r="V653" s="34"/>
      <c r="W653" s="34"/>
      <c r="X653" s="34"/>
      <c r="Y653" s="45"/>
      <c r="Z653" s="45"/>
      <c r="AA653" s="45"/>
      <c r="AB653" s="45"/>
      <c r="AC653" s="45"/>
      <c r="AD653" s="45"/>
      <c r="AE653" s="45"/>
      <c r="AF653" s="45"/>
      <c r="AG653" s="45"/>
      <c r="AH653" s="45"/>
      <c r="AI653" s="45"/>
      <c r="AJ653" s="45"/>
      <c r="AK653" s="45"/>
      <c r="AL653" s="45"/>
    </row>
    <row r="654" ht="15.75" customHeight="1">
      <c r="A654" s="27">
        <f t="shared" si="15"/>
        <v>7</v>
      </c>
      <c r="B654" s="28" t="s">
        <v>2384</v>
      </c>
      <c r="C654" s="43" t="s">
        <v>2385</v>
      </c>
      <c r="D654" s="30" t="s">
        <v>2386</v>
      </c>
      <c r="E654" s="28"/>
      <c r="F654" s="28" t="s">
        <v>29</v>
      </c>
      <c r="G654" s="28" t="s">
        <v>37</v>
      </c>
      <c r="H654" s="28" t="s">
        <v>31</v>
      </c>
      <c r="I654" s="28" t="s">
        <v>38</v>
      </c>
      <c r="J654" s="31">
        <v>306.0</v>
      </c>
      <c r="K654" s="28"/>
      <c r="L654" s="28" t="s">
        <v>2387</v>
      </c>
      <c r="M654" s="28" t="s">
        <v>2388</v>
      </c>
      <c r="N654" s="28">
        <v>1975.0</v>
      </c>
      <c r="O654" s="31" t="s">
        <v>205</v>
      </c>
      <c r="P654" s="28">
        <v>1.0</v>
      </c>
      <c r="Q654" s="37">
        <v>1.0</v>
      </c>
      <c r="R654" s="33"/>
      <c r="S654" s="34"/>
      <c r="T654" s="34"/>
      <c r="U654" s="34"/>
      <c r="V654" s="34"/>
      <c r="W654" s="34"/>
      <c r="X654" s="34"/>
      <c r="Y654" s="45"/>
      <c r="Z654" s="45"/>
      <c r="AA654" s="45"/>
      <c r="AB654" s="45"/>
      <c r="AC654" s="45"/>
      <c r="AD654" s="45"/>
      <c r="AE654" s="45"/>
      <c r="AF654" s="45"/>
      <c r="AG654" s="45"/>
      <c r="AH654" s="45"/>
      <c r="AI654" s="45"/>
      <c r="AJ654" s="45"/>
      <c r="AK654" s="45"/>
      <c r="AL654" s="45"/>
    </row>
    <row r="655" ht="15.75" customHeight="1">
      <c r="A655" s="27">
        <f t="shared" si="15"/>
        <v>8</v>
      </c>
      <c r="B655" s="28" t="s">
        <v>2389</v>
      </c>
      <c r="C655" s="29" t="s">
        <v>2390</v>
      </c>
      <c r="D655" s="30" t="s">
        <v>2391</v>
      </c>
      <c r="E655" s="28" t="s">
        <v>144</v>
      </c>
      <c r="F655" s="28" t="s">
        <v>29</v>
      </c>
      <c r="G655" s="28" t="s">
        <v>37</v>
      </c>
      <c r="H655" s="28"/>
      <c r="I655" s="28" t="s">
        <v>38</v>
      </c>
      <c r="J655" s="28">
        <v>319.0</v>
      </c>
      <c r="K655" s="28"/>
      <c r="L655" s="28" t="s">
        <v>2392</v>
      </c>
      <c r="M655" s="28" t="s">
        <v>230</v>
      </c>
      <c r="N655" s="28">
        <v>2010.0</v>
      </c>
      <c r="O655" s="31" t="s">
        <v>205</v>
      </c>
      <c r="P655" s="28">
        <v>1.0</v>
      </c>
      <c r="Q655" s="32">
        <v>1.0</v>
      </c>
      <c r="R655" s="33"/>
      <c r="S655" s="34"/>
      <c r="T655" s="34"/>
      <c r="U655" s="34"/>
      <c r="V655" s="34"/>
      <c r="W655" s="34"/>
      <c r="X655" s="34"/>
      <c r="Y655" s="45"/>
      <c r="Z655" s="45"/>
      <c r="AA655" s="45"/>
      <c r="AB655" s="45"/>
      <c r="AC655" s="45"/>
      <c r="AD655" s="45"/>
      <c r="AE655" s="45"/>
      <c r="AF655" s="45"/>
      <c r="AG655" s="45"/>
      <c r="AH655" s="45"/>
      <c r="AI655" s="45"/>
      <c r="AJ655" s="45"/>
      <c r="AK655" s="45"/>
      <c r="AL655" s="45"/>
    </row>
    <row r="656" ht="15.75" customHeight="1">
      <c r="A656" s="27">
        <f t="shared" si="15"/>
        <v>9</v>
      </c>
      <c r="B656" s="28" t="s">
        <v>31</v>
      </c>
      <c r="C656" s="29" t="s">
        <v>2393</v>
      </c>
      <c r="D656" s="30" t="s">
        <v>2394</v>
      </c>
      <c r="E656" s="28" t="s">
        <v>31</v>
      </c>
      <c r="F656" s="28" t="s">
        <v>29</v>
      </c>
      <c r="G656" s="28" t="s">
        <v>38</v>
      </c>
      <c r="H656" s="28"/>
      <c r="I656" s="28" t="s">
        <v>38</v>
      </c>
      <c r="J656" s="28">
        <v>191.0</v>
      </c>
      <c r="K656" s="28"/>
      <c r="L656" s="28" t="s">
        <v>2395</v>
      </c>
      <c r="M656" s="28" t="s">
        <v>65</v>
      </c>
      <c r="N656" s="28">
        <v>1957.0</v>
      </c>
      <c r="O656" s="31" t="s">
        <v>205</v>
      </c>
      <c r="P656" s="28">
        <v>1.0</v>
      </c>
      <c r="Q656" s="37">
        <v>1.0</v>
      </c>
      <c r="R656" s="33"/>
      <c r="S656" s="34"/>
      <c r="T656" s="34"/>
      <c r="U656" s="34"/>
      <c r="V656" s="34"/>
      <c r="W656" s="34"/>
      <c r="X656" s="34"/>
      <c r="Y656" s="3"/>
      <c r="Z656" s="3"/>
      <c r="AA656" s="3"/>
      <c r="AB656" s="3"/>
      <c r="AC656" s="3"/>
      <c r="AD656" s="3"/>
      <c r="AE656" s="3"/>
      <c r="AF656" s="3"/>
      <c r="AG656" s="3"/>
      <c r="AH656" s="3"/>
      <c r="AI656" s="3"/>
      <c r="AJ656" s="3"/>
      <c r="AK656" s="3"/>
      <c r="AL656" s="3"/>
    </row>
    <row r="657" ht="15.75" customHeight="1">
      <c r="A657" s="27">
        <f t="shared" si="15"/>
        <v>10</v>
      </c>
      <c r="B657" s="28" t="s">
        <v>2396</v>
      </c>
      <c r="C657" s="29" t="s">
        <v>2397</v>
      </c>
      <c r="D657" s="30" t="s">
        <v>2398</v>
      </c>
      <c r="E657" s="28" t="s">
        <v>31</v>
      </c>
      <c r="F657" s="28" t="s">
        <v>29</v>
      </c>
      <c r="G657" s="28" t="s">
        <v>131</v>
      </c>
      <c r="H657" s="28"/>
      <c r="I657" s="28" t="s">
        <v>38</v>
      </c>
      <c r="J657" s="28">
        <v>85.0</v>
      </c>
      <c r="K657" s="28"/>
      <c r="L657" s="28" t="s">
        <v>2399</v>
      </c>
      <c r="M657" s="28" t="s">
        <v>2400</v>
      </c>
      <c r="N657" s="28">
        <v>1989.0</v>
      </c>
      <c r="O657" s="31" t="s">
        <v>205</v>
      </c>
      <c r="P657" s="28">
        <v>1.0</v>
      </c>
      <c r="Q657" s="37">
        <v>1.0</v>
      </c>
      <c r="R657" s="33"/>
      <c r="S657" s="34"/>
      <c r="T657" s="34"/>
      <c r="U657" s="34"/>
      <c r="V657" s="34"/>
      <c r="W657" s="34"/>
      <c r="X657" s="34"/>
      <c r="Y657" s="45"/>
      <c r="Z657" s="45"/>
      <c r="AA657" s="45"/>
      <c r="AB657" s="45"/>
      <c r="AC657" s="45"/>
      <c r="AD657" s="45"/>
      <c r="AE657" s="45"/>
      <c r="AF657" s="45"/>
      <c r="AG657" s="45"/>
      <c r="AH657" s="45"/>
      <c r="AI657" s="45"/>
      <c r="AJ657" s="45"/>
      <c r="AK657" s="45"/>
      <c r="AL657" s="45"/>
    </row>
    <row r="658" ht="15.75" customHeight="1">
      <c r="A658" s="27">
        <f t="shared" si="15"/>
        <v>11</v>
      </c>
      <c r="B658" s="28" t="s">
        <v>2401</v>
      </c>
      <c r="C658" s="29" t="s">
        <v>2402</v>
      </c>
      <c r="D658" s="39" t="s">
        <v>2403</v>
      </c>
      <c r="E658" s="28" t="s">
        <v>144</v>
      </c>
      <c r="F658" s="28" t="s">
        <v>29</v>
      </c>
      <c r="G658" s="28" t="s">
        <v>30</v>
      </c>
      <c r="H658" s="28"/>
      <c r="I658" s="28" t="s">
        <v>30</v>
      </c>
      <c r="J658" s="31">
        <v>143.0</v>
      </c>
      <c r="K658" s="28"/>
      <c r="L658" s="28" t="s">
        <v>2404</v>
      </c>
      <c r="M658" s="28" t="s">
        <v>2405</v>
      </c>
      <c r="N658" s="28">
        <v>2004.0</v>
      </c>
      <c r="O658" s="31" t="s">
        <v>205</v>
      </c>
      <c r="P658" s="28">
        <v>1.0</v>
      </c>
      <c r="Q658" s="32">
        <v>1.0</v>
      </c>
      <c r="R658" s="33"/>
      <c r="S658" s="34"/>
      <c r="T658" s="34"/>
      <c r="U658" s="34"/>
      <c r="V658" s="34"/>
      <c r="W658" s="34"/>
      <c r="X658" s="34"/>
      <c r="Y658" s="45"/>
      <c r="Z658" s="45"/>
      <c r="AA658" s="45"/>
      <c r="AB658" s="45"/>
      <c r="AC658" s="45"/>
      <c r="AD658" s="45"/>
      <c r="AE658" s="45"/>
      <c r="AF658" s="45"/>
      <c r="AG658" s="45"/>
      <c r="AH658" s="45"/>
      <c r="AI658" s="45"/>
      <c r="AJ658" s="45"/>
      <c r="AK658" s="45"/>
      <c r="AL658" s="45"/>
    </row>
    <row r="659" ht="15.75" customHeight="1">
      <c r="A659" s="27">
        <f t="shared" si="15"/>
        <v>12</v>
      </c>
      <c r="B659" s="28" t="s">
        <v>2406</v>
      </c>
      <c r="C659" s="29" t="s">
        <v>2407</v>
      </c>
      <c r="D659" s="39" t="s">
        <v>2408</v>
      </c>
      <c r="E659" s="28" t="s">
        <v>144</v>
      </c>
      <c r="F659" s="28" t="s">
        <v>29</v>
      </c>
      <c r="G659" s="28" t="s">
        <v>30</v>
      </c>
      <c r="H659" s="28"/>
      <c r="I659" s="28" t="s">
        <v>30</v>
      </c>
      <c r="J659" s="28">
        <f>100</f>
        <v>100</v>
      </c>
      <c r="K659" s="28"/>
      <c r="L659" s="31" t="s">
        <v>2409</v>
      </c>
      <c r="M659" s="28" t="s">
        <v>161</v>
      </c>
      <c r="N659" s="28">
        <v>2009.0</v>
      </c>
      <c r="O659" s="28" t="s">
        <v>388</v>
      </c>
      <c r="P659" s="28">
        <v>1.0</v>
      </c>
      <c r="Q659" s="32">
        <v>1.0</v>
      </c>
      <c r="R659" s="33"/>
      <c r="S659" s="34"/>
      <c r="T659" s="34"/>
      <c r="U659" s="34"/>
      <c r="V659" s="34"/>
      <c r="W659" s="34"/>
      <c r="X659" s="34"/>
      <c r="Y659" s="45"/>
      <c r="Z659" s="45"/>
      <c r="AA659" s="45"/>
      <c r="AB659" s="45"/>
      <c r="AC659" s="45"/>
      <c r="AD659" s="45"/>
      <c r="AE659" s="45"/>
      <c r="AF659" s="45"/>
      <c r="AG659" s="45"/>
      <c r="AH659" s="45"/>
      <c r="AI659" s="45"/>
      <c r="AJ659" s="45"/>
      <c r="AK659" s="45"/>
      <c r="AL659" s="45"/>
    </row>
    <row r="660" ht="15.75" customHeight="1">
      <c r="A660" s="27">
        <f t="shared" si="15"/>
        <v>13</v>
      </c>
      <c r="B660" s="28" t="s">
        <v>2410</v>
      </c>
      <c r="C660" s="29" t="s">
        <v>2411</v>
      </c>
      <c r="D660" s="30" t="s">
        <v>2412</v>
      </c>
      <c r="E660" s="28" t="s">
        <v>31</v>
      </c>
      <c r="F660" s="28" t="s">
        <v>29</v>
      </c>
      <c r="G660" s="28" t="s">
        <v>30</v>
      </c>
      <c r="H660" s="28"/>
      <c r="I660" s="28" t="s">
        <v>30</v>
      </c>
      <c r="J660" s="28">
        <v>98.0</v>
      </c>
      <c r="K660" s="28"/>
      <c r="L660" s="28" t="s">
        <v>2413</v>
      </c>
      <c r="M660" s="28" t="s">
        <v>2414</v>
      </c>
      <c r="N660" s="28">
        <v>2012.0</v>
      </c>
      <c r="O660" s="31" t="s">
        <v>205</v>
      </c>
      <c r="P660" s="28">
        <v>1.0</v>
      </c>
      <c r="Q660" s="37">
        <v>1.0</v>
      </c>
      <c r="R660" s="33"/>
      <c r="S660" s="34"/>
      <c r="T660" s="34"/>
      <c r="U660" s="34"/>
      <c r="V660" s="34"/>
      <c r="W660" s="34"/>
      <c r="X660" s="34"/>
      <c r="Y660" s="45"/>
      <c r="Z660" s="45"/>
      <c r="AA660" s="45"/>
      <c r="AB660" s="45"/>
      <c r="AC660" s="45"/>
      <c r="AD660" s="45"/>
      <c r="AE660" s="45"/>
      <c r="AF660" s="45"/>
      <c r="AG660" s="45"/>
      <c r="AH660" s="45"/>
      <c r="AI660" s="45"/>
      <c r="AJ660" s="45"/>
      <c r="AK660" s="45"/>
      <c r="AL660" s="45"/>
    </row>
    <row r="661" ht="15.75" customHeight="1">
      <c r="A661" s="27">
        <f t="shared" si="15"/>
        <v>14</v>
      </c>
      <c r="B661" s="28" t="s">
        <v>31</v>
      </c>
      <c r="C661" s="29" t="s">
        <v>2415</v>
      </c>
      <c r="D661" s="30" t="s">
        <v>2416</v>
      </c>
      <c r="E661" s="28" t="s">
        <v>31</v>
      </c>
      <c r="F661" s="28" t="s">
        <v>29</v>
      </c>
      <c r="G661" s="28" t="s">
        <v>2417</v>
      </c>
      <c r="H661" s="28"/>
      <c r="I661" s="28" t="s">
        <v>38</v>
      </c>
      <c r="J661" s="28">
        <v>181.0</v>
      </c>
      <c r="K661" s="28"/>
      <c r="L661" s="28" t="s">
        <v>2418</v>
      </c>
      <c r="M661" s="28" t="s">
        <v>133</v>
      </c>
      <c r="N661" s="28">
        <v>1966.0</v>
      </c>
      <c r="O661" s="31" t="s">
        <v>205</v>
      </c>
      <c r="P661" s="28">
        <v>1.0</v>
      </c>
      <c r="Q661" s="32">
        <v>1.0</v>
      </c>
      <c r="R661" s="33"/>
      <c r="S661" s="34"/>
      <c r="T661" s="34"/>
      <c r="U661" s="34"/>
      <c r="V661" s="34"/>
      <c r="W661" s="34"/>
      <c r="X661" s="34"/>
      <c r="Y661" s="45"/>
      <c r="Z661" s="45"/>
      <c r="AA661" s="45"/>
      <c r="AB661" s="45"/>
      <c r="AC661" s="45"/>
      <c r="AD661" s="45"/>
      <c r="AE661" s="45"/>
      <c r="AF661" s="45"/>
      <c r="AG661" s="45"/>
      <c r="AH661" s="45"/>
      <c r="AI661" s="45"/>
      <c r="AJ661" s="45"/>
      <c r="AK661" s="45"/>
      <c r="AL661" s="45"/>
    </row>
    <row r="662" ht="15.75" customHeight="1">
      <c r="A662" s="27">
        <f t="shared" si="15"/>
        <v>15</v>
      </c>
      <c r="B662" s="28" t="s">
        <v>2419</v>
      </c>
      <c r="C662" s="29" t="s">
        <v>2420</v>
      </c>
      <c r="D662" s="30" t="s">
        <v>2421</v>
      </c>
      <c r="E662" s="28" t="s">
        <v>302</v>
      </c>
      <c r="F662" s="28" t="s">
        <v>29</v>
      </c>
      <c r="G662" s="28" t="s">
        <v>37</v>
      </c>
      <c r="H662" s="28"/>
      <c r="I662" s="28" t="s">
        <v>38</v>
      </c>
      <c r="J662" s="28">
        <v>844.0</v>
      </c>
      <c r="K662" s="28"/>
      <c r="L662" s="31" t="s">
        <v>2422</v>
      </c>
      <c r="M662" s="28" t="s">
        <v>2423</v>
      </c>
      <c r="N662" s="28">
        <v>2008.0</v>
      </c>
      <c r="O662" s="31">
        <v>14.0</v>
      </c>
      <c r="P662" s="28">
        <v>1.0</v>
      </c>
      <c r="Q662" s="37">
        <v>1.0</v>
      </c>
      <c r="R662" s="33"/>
      <c r="S662" s="40"/>
      <c r="T662" s="40"/>
      <c r="U662" s="40"/>
      <c r="V662" s="40"/>
      <c r="W662" s="40"/>
      <c r="X662" s="40"/>
      <c r="Y662" s="45"/>
      <c r="Z662" s="45"/>
      <c r="AA662" s="45"/>
      <c r="AB662" s="45"/>
      <c r="AC662" s="45"/>
      <c r="AD662" s="45"/>
      <c r="AE662" s="45"/>
      <c r="AF662" s="45"/>
      <c r="AG662" s="45"/>
      <c r="AH662" s="45"/>
      <c r="AI662" s="45"/>
      <c r="AJ662" s="45"/>
      <c r="AK662" s="45"/>
      <c r="AL662" s="45"/>
    </row>
    <row r="663" ht="15.75" customHeight="1">
      <c r="A663" s="27">
        <f t="shared" si="15"/>
        <v>16</v>
      </c>
      <c r="B663" s="28" t="s">
        <v>2424</v>
      </c>
      <c r="C663" s="29" t="s">
        <v>2425</v>
      </c>
      <c r="D663" s="39" t="s">
        <v>2426</v>
      </c>
      <c r="E663" s="28" t="s">
        <v>31</v>
      </c>
      <c r="F663" s="28" t="s">
        <v>29</v>
      </c>
      <c r="G663" s="28" t="s">
        <v>37</v>
      </c>
      <c r="H663" s="28"/>
      <c r="I663" s="28" t="s">
        <v>38</v>
      </c>
      <c r="J663" s="28">
        <v>104.0</v>
      </c>
      <c r="K663" s="28"/>
      <c r="L663" s="28" t="s">
        <v>2427</v>
      </c>
      <c r="M663" s="28" t="s">
        <v>2428</v>
      </c>
      <c r="N663" s="28">
        <v>1987.0</v>
      </c>
      <c r="O663" s="31" t="s">
        <v>205</v>
      </c>
      <c r="P663" s="28">
        <v>1.0</v>
      </c>
      <c r="Q663" s="32">
        <v>1.0</v>
      </c>
      <c r="R663" s="33"/>
      <c r="S663" s="34"/>
      <c r="T663" s="34"/>
      <c r="U663" s="34"/>
      <c r="V663" s="34"/>
      <c r="W663" s="34"/>
      <c r="X663" s="34"/>
      <c r="Y663" s="45"/>
      <c r="Z663" s="45"/>
      <c r="AA663" s="45"/>
      <c r="AB663" s="45"/>
      <c r="AC663" s="45"/>
      <c r="AD663" s="45"/>
      <c r="AE663" s="45"/>
      <c r="AF663" s="45"/>
      <c r="AG663" s="45"/>
      <c r="AH663" s="45"/>
      <c r="AI663" s="45"/>
      <c r="AJ663" s="45"/>
      <c r="AK663" s="45"/>
      <c r="AL663" s="45"/>
    </row>
    <row r="664" ht="15.75" customHeight="1">
      <c r="A664" s="27">
        <f t="shared" si="15"/>
        <v>17</v>
      </c>
      <c r="B664" s="28" t="s">
        <v>2429</v>
      </c>
      <c r="C664" s="29" t="s">
        <v>2430</v>
      </c>
      <c r="D664" s="30" t="s">
        <v>2431</v>
      </c>
      <c r="E664" s="28" t="s">
        <v>28</v>
      </c>
      <c r="F664" s="28" t="s">
        <v>29</v>
      </c>
      <c r="G664" s="28" t="s">
        <v>38</v>
      </c>
      <c r="H664" s="28"/>
      <c r="I664" s="28" t="s">
        <v>38</v>
      </c>
      <c r="J664" s="28">
        <v>280.0</v>
      </c>
      <c r="K664" s="28"/>
      <c r="L664" s="31" t="s">
        <v>2432</v>
      </c>
      <c r="M664" s="28" t="s">
        <v>2433</v>
      </c>
      <c r="N664" s="28">
        <v>1907.0</v>
      </c>
      <c r="O664" s="31">
        <v>15.0</v>
      </c>
      <c r="P664" s="28">
        <v>1.0</v>
      </c>
      <c r="Q664" s="37">
        <v>1.0</v>
      </c>
      <c r="R664" s="33"/>
      <c r="S664" s="34"/>
      <c r="T664" s="34"/>
      <c r="U664" s="34"/>
      <c r="V664" s="34"/>
      <c r="W664" s="34"/>
      <c r="X664" s="34"/>
      <c r="Y664" s="45"/>
      <c r="Z664" s="45"/>
      <c r="AA664" s="45"/>
      <c r="AB664" s="45"/>
      <c r="AC664" s="45"/>
      <c r="AD664" s="45"/>
      <c r="AE664" s="45"/>
      <c r="AF664" s="45"/>
      <c r="AG664" s="45"/>
      <c r="AH664" s="45"/>
      <c r="AI664" s="45"/>
      <c r="AJ664" s="45"/>
      <c r="AK664" s="45"/>
      <c r="AL664" s="45"/>
    </row>
    <row r="665" ht="15.75" customHeight="1">
      <c r="A665" s="27">
        <f t="shared" si="15"/>
        <v>18</v>
      </c>
      <c r="B665" s="28" t="s">
        <v>2434</v>
      </c>
      <c r="C665" s="29" t="s">
        <v>2435</v>
      </c>
      <c r="D665" s="30" t="s">
        <v>2436</v>
      </c>
      <c r="E665" s="28"/>
      <c r="F665" s="28" t="s">
        <v>29</v>
      </c>
      <c r="G665" s="28" t="s">
        <v>37</v>
      </c>
      <c r="H665" s="28"/>
      <c r="I665" s="28" t="s">
        <v>38</v>
      </c>
      <c r="J665" s="28">
        <v>313.0</v>
      </c>
      <c r="K665" s="28"/>
      <c r="L665" s="28" t="s">
        <v>2437</v>
      </c>
      <c r="M665" s="28" t="s">
        <v>230</v>
      </c>
      <c r="N665" s="28">
        <v>2001.0</v>
      </c>
      <c r="O665" s="31" t="s">
        <v>205</v>
      </c>
      <c r="P665" s="28">
        <v>1.0</v>
      </c>
      <c r="Q665" s="37">
        <v>1.0</v>
      </c>
      <c r="R665" s="33"/>
      <c r="S665" s="34"/>
      <c r="T665" s="34"/>
      <c r="U665" s="34"/>
      <c r="V665" s="34"/>
      <c r="W665" s="34"/>
      <c r="X665" s="34"/>
      <c r="Y665" s="45"/>
      <c r="Z665" s="45"/>
      <c r="AA665" s="45"/>
      <c r="AB665" s="45"/>
      <c r="AC665" s="45"/>
      <c r="AD665" s="45"/>
      <c r="AE665" s="45"/>
      <c r="AF665" s="45"/>
      <c r="AG665" s="45"/>
      <c r="AH665" s="45"/>
      <c r="AI665" s="45"/>
      <c r="AJ665" s="45"/>
      <c r="AK665" s="45"/>
      <c r="AL665" s="45"/>
    </row>
    <row r="666" ht="15.75" customHeight="1">
      <c r="A666" s="27">
        <f t="shared" si="15"/>
        <v>19</v>
      </c>
      <c r="B666" s="28" t="s">
        <v>2438</v>
      </c>
      <c r="C666" s="29" t="s">
        <v>2439</v>
      </c>
      <c r="D666" s="39" t="s">
        <v>2440</v>
      </c>
      <c r="E666" s="28" t="s">
        <v>144</v>
      </c>
      <c r="F666" s="28" t="s">
        <v>29</v>
      </c>
      <c r="G666" s="28" t="s">
        <v>30</v>
      </c>
      <c r="H666" s="28"/>
      <c r="I666" s="28" t="s">
        <v>30</v>
      </c>
      <c r="J666" s="31">
        <v>122.0</v>
      </c>
      <c r="K666" s="28"/>
      <c r="L666" s="28" t="s">
        <v>2441</v>
      </c>
      <c r="M666" s="28" t="s">
        <v>2442</v>
      </c>
      <c r="N666" s="28">
        <v>2007.0</v>
      </c>
      <c r="O666" s="31">
        <v>13.0</v>
      </c>
      <c r="P666" s="28">
        <v>1.0</v>
      </c>
      <c r="Q666" s="32">
        <v>1.0</v>
      </c>
      <c r="R666" s="33"/>
      <c r="S666" s="34"/>
      <c r="T666" s="34"/>
      <c r="U666" s="34"/>
      <c r="V666" s="34"/>
      <c r="W666" s="34"/>
      <c r="X666" s="34"/>
      <c r="Y666" s="45"/>
      <c r="Z666" s="45"/>
      <c r="AA666" s="45"/>
      <c r="AB666" s="45"/>
      <c r="AC666" s="45"/>
      <c r="AD666" s="45"/>
      <c r="AE666" s="45"/>
      <c r="AF666" s="45"/>
      <c r="AG666" s="45"/>
      <c r="AH666" s="45"/>
      <c r="AI666" s="45"/>
      <c r="AJ666" s="45"/>
      <c r="AK666" s="45"/>
      <c r="AL666" s="45"/>
    </row>
    <row r="667" ht="15.75" customHeight="1">
      <c r="A667" s="27">
        <f t="shared" si="15"/>
        <v>20</v>
      </c>
      <c r="B667" s="28" t="s">
        <v>31</v>
      </c>
      <c r="C667" s="29" t="s">
        <v>2443</v>
      </c>
      <c r="D667" s="30" t="s">
        <v>2444</v>
      </c>
      <c r="E667" s="28" t="s">
        <v>144</v>
      </c>
      <c r="F667" s="28" t="s">
        <v>29</v>
      </c>
      <c r="G667" s="28" t="s">
        <v>37</v>
      </c>
      <c r="H667" s="28"/>
      <c r="I667" s="28" t="s">
        <v>38</v>
      </c>
      <c r="J667" s="28">
        <f>410+8</f>
        <v>418</v>
      </c>
      <c r="K667" s="28"/>
      <c r="L667" s="31" t="s">
        <v>2445</v>
      </c>
      <c r="M667" s="28" t="s">
        <v>2446</v>
      </c>
      <c r="N667" s="28">
        <v>1943.0</v>
      </c>
      <c r="O667" s="31" t="s">
        <v>205</v>
      </c>
      <c r="P667" s="28">
        <v>1.0</v>
      </c>
      <c r="Q667" s="37">
        <v>1.0</v>
      </c>
      <c r="R667" s="33"/>
      <c r="S667" s="40"/>
      <c r="T667" s="40"/>
      <c r="U667" s="40"/>
      <c r="V667" s="40"/>
      <c r="W667" s="40"/>
      <c r="X667" s="40"/>
      <c r="Y667" s="3"/>
      <c r="Z667" s="3"/>
      <c r="AA667" s="3"/>
      <c r="AB667" s="3"/>
      <c r="AC667" s="3"/>
      <c r="AD667" s="3"/>
      <c r="AE667" s="3"/>
      <c r="AF667" s="3"/>
      <c r="AG667" s="3"/>
      <c r="AH667" s="3"/>
      <c r="AI667" s="3"/>
      <c r="AJ667" s="3"/>
      <c r="AK667" s="3"/>
      <c r="AL667" s="3"/>
    </row>
    <row r="668" ht="15.75" customHeight="1">
      <c r="A668" s="27">
        <f t="shared" si="15"/>
        <v>21</v>
      </c>
      <c r="B668" s="28" t="s">
        <v>2447</v>
      </c>
      <c r="C668" s="29" t="s">
        <v>2448</v>
      </c>
      <c r="D668" s="30" t="s">
        <v>2449</v>
      </c>
      <c r="E668" s="28" t="s">
        <v>31</v>
      </c>
      <c r="F668" s="28" t="s">
        <v>29</v>
      </c>
      <c r="G668" s="28" t="s">
        <v>30</v>
      </c>
      <c r="H668" s="28"/>
      <c r="I668" s="28" t="s">
        <v>30</v>
      </c>
      <c r="J668" s="31">
        <v>110.0</v>
      </c>
      <c r="K668" s="28"/>
      <c r="L668" s="31" t="s">
        <v>2450</v>
      </c>
      <c r="M668" s="28" t="s">
        <v>2451</v>
      </c>
      <c r="N668" s="28">
        <v>2006.0</v>
      </c>
      <c r="O668" s="31" t="s">
        <v>205</v>
      </c>
      <c r="P668" s="28">
        <v>1.0</v>
      </c>
      <c r="Q668" s="32">
        <v>1.0</v>
      </c>
      <c r="R668" s="33"/>
      <c r="S668" s="34"/>
      <c r="T668" s="34"/>
      <c r="U668" s="34"/>
      <c r="V668" s="34"/>
      <c r="W668" s="34"/>
      <c r="X668" s="34"/>
      <c r="Y668" s="45"/>
      <c r="Z668" s="45"/>
      <c r="AA668" s="45"/>
      <c r="AB668" s="45"/>
      <c r="AC668" s="45"/>
      <c r="AD668" s="45"/>
      <c r="AE668" s="45"/>
      <c r="AF668" s="45"/>
      <c r="AG668" s="45"/>
      <c r="AH668" s="45"/>
      <c r="AI668" s="45"/>
      <c r="AJ668" s="45"/>
      <c r="AK668" s="45"/>
      <c r="AL668" s="45"/>
    </row>
    <row r="669" ht="15.75" customHeight="1">
      <c r="A669" s="27">
        <f t="shared" si="15"/>
        <v>22</v>
      </c>
      <c r="B669" s="28" t="s">
        <v>2452</v>
      </c>
      <c r="C669" s="29" t="s">
        <v>2453</v>
      </c>
      <c r="D669" s="30" t="s">
        <v>2454</v>
      </c>
      <c r="E669" s="28"/>
      <c r="F669" s="28" t="s">
        <v>29</v>
      </c>
      <c r="G669" s="28" t="s">
        <v>30</v>
      </c>
      <c r="H669" s="28"/>
      <c r="I669" s="28" t="s">
        <v>30</v>
      </c>
      <c r="J669" s="28">
        <v>180.0</v>
      </c>
      <c r="K669" s="28"/>
      <c r="L669" s="28" t="s">
        <v>2455</v>
      </c>
      <c r="M669" s="28" t="s">
        <v>161</v>
      </c>
      <c r="N669" s="28">
        <v>2002.0</v>
      </c>
      <c r="O669" s="31" t="s">
        <v>205</v>
      </c>
      <c r="P669" s="28">
        <v>1.0</v>
      </c>
      <c r="Q669" s="37">
        <v>1.0</v>
      </c>
      <c r="R669" s="33"/>
      <c r="S669" s="34"/>
      <c r="T669" s="34"/>
      <c r="U669" s="34"/>
      <c r="V669" s="34"/>
      <c r="W669" s="34"/>
      <c r="X669" s="34"/>
      <c r="Y669" s="45"/>
      <c r="Z669" s="45"/>
      <c r="AA669" s="45"/>
      <c r="AB669" s="45"/>
      <c r="AC669" s="45"/>
      <c r="AD669" s="45"/>
      <c r="AE669" s="45"/>
      <c r="AF669" s="45"/>
      <c r="AG669" s="45"/>
      <c r="AH669" s="45"/>
      <c r="AI669" s="45"/>
      <c r="AJ669" s="45"/>
      <c r="AK669" s="45"/>
      <c r="AL669" s="45"/>
    </row>
    <row r="670" ht="15.75" customHeight="1">
      <c r="A670" s="27"/>
      <c r="B670" s="76" t="s">
        <v>31</v>
      </c>
      <c r="C670" s="29" t="s">
        <v>2456</v>
      </c>
      <c r="D670" s="39" t="s">
        <v>2457</v>
      </c>
      <c r="E670" s="28"/>
      <c r="F670" s="31" t="s">
        <v>29</v>
      </c>
      <c r="G670" s="31" t="s">
        <v>37</v>
      </c>
      <c r="H670" s="28"/>
      <c r="I670" s="31" t="s">
        <v>38</v>
      </c>
      <c r="J670" s="31">
        <v>366.0</v>
      </c>
      <c r="K670" s="28"/>
      <c r="L670" s="31" t="s">
        <v>2458</v>
      </c>
      <c r="M670" s="31" t="s">
        <v>72</v>
      </c>
      <c r="N670" s="31">
        <v>1956.0</v>
      </c>
      <c r="O670" s="31">
        <v>15.0</v>
      </c>
      <c r="P670" s="31">
        <v>1.0</v>
      </c>
      <c r="Q670" s="37">
        <v>1.0</v>
      </c>
      <c r="R670" s="33"/>
      <c r="S670" s="34"/>
      <c r="T670" s="34"/>
      <c r="U670" s="34"/>
      <c r="V670" s="34"/>
      <c r="W670" s="34"/>
      <c r="X670" s="34"/>
      <c r="Y670" s="45"/>
      <c r="Z670" s="45"/>
      <c r="AA670" s="45"/>
      <c r="AB670" s="45"/>
      <c r="AC670" s="45"/>
      <c r="AD670" s="45"/>
      <c r="AE670" s="45"/>
      <c r="AF670" s="45"/>
      <c r="AG670" s="45"/>
      <c r="AH670" s="45"/>
      <c r="AI670" s="45"/>
      <c r="AJ670" s="45"/>
      <c r="AK670" s="45"/>
      <c r="AL670" s="45"/>
    </row>
    <row r="671" ht="15.75" customHeight="1">
      <c r="A671" s="27">
        <f>A669+1</f>
        <v>23</v>
      </c>
      <c r="B671" s="28" t="s">
        <v>2459</v>
      </c>
      <c r="C671" s="29" t="s">
        <v>2460</v>
      </c>
      <c r="D671" s="30" t="s">
        <v>2461</v>
      </c>
      <c r="E671" s="28" t="s">
        <v>31</v>
      </c>
      <c r="F671" s="28" t="s">
        <v>29</v>
      </c>
      <c r="G671" s="28" t="s">
        <v>30</v>
      </c>
      <c r="H671" s="28"/>
      <c r="I671" s="28" t="s">
        <v>30</v>
      </c>
      <c r="J671" s="28">
        <v>126.0</v>
      </c>
      <c r="K671" s="28"/>
      <c r="L671" s="28" t="s">
        <v>2462</v>
      </c>
      <c r="M671" s="28" t="s">
        <v>2463</v>
      </c>
      <c r="N671" s="28">
        <v>2002.0</v>
      </c>
      <c r="O671" s="31" t="s">
        <v>205</v>
      </c>
      <c r="P671" s="28">
        <v>1.0</v>
      </c>
      <c r="Q671" s="37">
        <v>1.0</v>
      </c>
      <c r="R671" s="33"/>
      <c r="S671" s="34"/>
      <c r="T671" s="34"/>
      <c r="U671" s="34"/>
      <c r="V671" s="34"/>
      <c r="W671" s="34"/>
      <c r="X671" s="34"/>
      <c r="Y671" s="45"/>
      <c r="Z671" s="45"/>
      <c r="AA671" s="45"/>
      <c r="AB671" s="45"/>
      <c r="AC671" s="45"/>
      <c r="AD671" s="45"/>
      <c r="AE671" s="45"/>
      <c r="AF671" s="45"/>
      <c r="AG671" s="45"/>
      <c r="AH671" s="45"/>
      <c r="AI671" s="45"/>
      <c r="AJ671" s="45"/>
      <c r="AK671" s="45"/>
      <c r="AL671" s="45"/>
    </row>
    <row r="672" ht="15.75" customHeight="1">
      <c r="A672" s="27">
        <f t="shared" ref="A672:A705" si="16">A671+1</f>
        <v>24</v>
      </c>
      <c r="B672" s="28" t="s">
        <v>2464</v>
      </c>
      <c r="C672" s="29" t="s">
        <v>2465</v>
      </c>
      <c r="D672" s="39" t="s">
        <v>2466</v>
      </c>
      <c r="E672" s="28" t="s">
        <v>31</v>
      </c>
      <c r="F672" s="28" t="s">
        <v>29</v>
      </c>
      <c r="G672" s="28" t="s">
        <v>30</v>
      </c>
      <c r="H672" s="28"/>
      <c r="I672" s="28" t="s">
        <v>30</v>
      </c>
      <c r="J672" s="28">
        <v>65.0</v>
      </c>
      <c r="K672" s="28"/>
      <c r="L672" s="31" t="s">
        <v>2467</v>
      </c>
      <c r="M672" s="28" t="s">
        <v>151</v>
      </c>
      <c r="N672" s="28">
        <v>1998.0</v>
      </c>
      <c r="O672" s="31" t="s">
        <v>205</v>
      </c>
      <c r="P672" s="28">
        <v>1.0</v>
      </c>
      <c r="Q672" s="37">
        <v>1.0</v>
      </c>
      <c r="R672" s="33"/>
      <c r="S672" s="40"/>
      <c r="T672" s="40"/>
      <c r="U672" s="40"/>
      <c r="V672" s="40"/>
      <c r="W672" s="40"/>
      <c r="X672" s="40"/>
      <c r="Y672" s="45"/>
      <c r="Z672" s="45"/>
      <c r="AA672" s="45"/>
      <c r="AB672" s="45"/>
      <c r="AC672" s="45"/>
      <c r="AD672" s="45"/>
      <c r="AE672" s="45"/>
      <c r="AF672" s="45"/>
      <c r="AG672" s="45"/>
      <c r="AH672" s="45"/>
      <c r="AI672" s="45"/>
      <c r="AJ672" s="45"/>
      <c r="AK672" s="45"/>
      <c r="AL672" s="45"/>
    </row>
    <row r="673" ht="15.75" customHeight="1">
      <c r="A673" s="27">
        <f t="shared" si="16"/>
        <v>25</v>
      </c>
      <c r="B673" s="28"/>
      <c r="C673" s="29" t="s">
        <v>2468</v>
      </c>
      <c r="D673" s="30" t="s">
        <v>2469</v>
      </c>
      <c r="E673" s="28" t="s">
        <v>144</v>
      </c>
      <c r="F673" s="28" t="s">
        <v>29</v>
      </c>
      <c r="G673" s="28" t="s">
        <v>37</v>
      </c>
      <c r="H673" s="28"/>
      <c r="I673" s="28" t="s">
        <v>38</v>
      </c>
      <c r="J673" s="28">
        <f>127</f>
        <v>127</v>
      </c>
      <c r="K673" s="28"/>
      <c r="L673" s="28" t="s">
        <v>2470</v>
      </c>
      <c r="M673" s="28" t="s">
        <v>2471</v>
      </c>
      <c r="N673" s="28">
        <v>1969.0</v>
      </c>
      <c r="O673" s="31">
        <v>13.0</v>
      </c>
      <c r="P673" s="28">
        <v>1.0</v>
      </c>
      <c r="Q673" s="32">
        <v>1.0</v>
      </c>
      <c r="R673" s="33"/>
      <c r="S673" s="34"/>
      <c r="T673" s="34"/>
      <c r="U673" s="34"/>
      <c r="V673" s="34"/>
      <c r="W673" s="34"/>
      <c r="X673" s="34"/>
      <c r="Y673" s="45"/>
      <c r="Z673" s="45"/>
      <c r="AA673" s="45"/>
      <c r="AB673" s="45"/>
      <c r="AC673" s="45"/>
      <c r="AD673" s="45"/>
      <c r="AE673" s="45"/>
      <c r="AF673" s="45"/>
      <c r="AG673" s="45"/>
      <c r="AH673" s="45"/>
      <c r="AI673" s="45"/>
      <c r="AJ673" s="45"/>
      <c r="AK673" s="45"/>
      <c r="AL673" s="45"/>
    </row>
    <row r="674" ht="15.75" customHeight="1">
      <c r="A674" s="27">
        <f t="shared" si="16"/>
        <v>26</v>
      </c>
      <c r="B674" s="28" t="s">
        <v>31</v>
      </c>
      <c r="C674" s="29" t="s">
        <v>2472</v>
      </c>
      <c r="D674" s="30" t="s">
        <v>2473</v>
      </c>
      <c r="E674" s="28"/>
      <c r="F674" s="28" t="s">
        <v>29</v>
      </c>
      <c r="G674" s="28" t="s">
        <v>30</v>
      </c>
      <c r="H674" s="28"/>
      <c r="I674" s="28" t="s">
        <v>30</v>
      </c>
      <c r="J674" s="28">
        <v>29.0</v>
      </c>
      <c r="K674" s="28"/>
      <c r="L674" s="28" t="s">
        <v>31</v>
      </c>
      <c r="M674" s="28" t="s">
        <v>2474</v>
      </c>
      <c r="N674" s="31">
        <v>1997.0</v>
      </c>
      <c r="O674" s="31">
        <v>10.0</v>
      </c>
      <c r="P674" s="28">
        <v>1.0</v>
      </c>
      <c r="Q674" s="37">
        <v>1.0</v>
      </c>
      <c r="R674" s="33"/>
      <c r="S674" s="34"/>
      <c r="T674" s="34"/>
      <c r="U674" s="34"/>
      <c r="V674" s="34"/>
      <c r="W674" s="34"/>
      <c r="X674" s="34"/>
      <c r="Y674" s="3"/>
      <c r="Z674" s="3"/>
      <c r="AA674" s="3"/>
      <c r="AB674" s="3"/>
      <c r="AC674" s="3"/>
      <c r="AD674" s="3"/>
      <c r="AE674" s="3"/>
      <c r="AF674" s="3"/>
      <c r="AG674" s="3"/>
      <c r="AH674" s="3"/>
      <c r="AI674" s="3"/>
      <c r="AJ674" s="3"/>
      <c r="AK674" s="3"/>
      <c r="AL674" s="3"/>
    </row>
    <row r="675" ht="15.75" customHeight="1">
      <c r="A675" s="27">
        <f t="shared" si="16"/>
        <v>27</v>
      </c>
      <c r="B675" s="28" t="s">
        <v>2475</v>
      </c>
      <c r="C675" s="29" t="s">
        <v>2476</v>
      </c>
      <c r="D675" s="30" t="s">
        <v>2477</v>
      </c>
      <c r="E675" s="28"/>
      <c r="F675" s="28" t="s">
        <v>29</v>
      </c>
      <c r="G675" s="28" t="s">
        <v>30</v>
      </c>
      <c r="H675" s="28"/>
      <c r="I675" s="28" t="s">
        <v>30</v>
      </c>
      <c r="J675" s="28">
        <v>176.0</v>
      </c>
      <c r="K675" s="28"/>
      <c r="L675" s="28" t="s">
        <v>2478</v>
      </c>
      <c r="M675" s="28" t="s">
        <v>2479</v>
      </c>
      <c r="N675" s="28">
        <v>2007.0</v>
      </c>
      <c r="O675" s="31">
        <v>10.0</v>
      </c>
      <c r="P675" s="28">
        <v>2.0</v>
      </c>
      <c r="Q675" s="37">
        <v>2.0</v>
      </c>
      <c r="R675" s="33"/>
      <c r="S675" s="40"/>
      <c r="T675" s="40"/>
      <c r="U675" s="40"/>
      <c r="V675" s="40"/>
      <c r="W675" s="40"/>
      <c r="X675" s="40"/>
      <c r="Y675" s="3"/>
      <c r="Z675" s="3"/>
      <c r="AA675" s="3"/>
      <c r="AB675" s="3"/>
      <c r="AC675" s="3"/>
      <c r="AD675" s="3"/>
      <c r="AE675" s="3"/>
      <c r="AF675" s="3"/>
      <c r="AG675" s="3"/>
      <c r="AH675" s="3"/>
      <c r="AI675" s="3"/>
      <c r="AJ675" s="3"/>
      <c r="AK675" s="3"/>
      <c r="AL675" s="3"/>
    </row>
    <row r="676" ht="15.75" customHeight="1">
      <c r="A676" s="27">
        <f t="shared" si="16"/>
        <v>28</v>
      </c>
      <c r="B676" s="28" t="s">
        <v>2480</v>
      </c>
      <c r="C676" s="29" t="s">
        <v>2481</v>
      </c>
      <c r="D676" s="39" t="s">
        <v>2482</v>
      </c>
      <c r="E676" s="28" t="s">
        <v>28</v>
      </c>
      <c r="F676" s="28" t="s">
        <v>29</v>
      </c>
      <c r="G676" s="28" t="s">
        <v>37</v>
      </c>
      <c r="H676" s="28"/>
      <c r="I676" s="28" t="s">
        <v>38</v>
      </c>
      <c r="J676" s="28">
        <v>200.0</v>
      </c>
      <c r="K676" s="28"/>
      <c r="L676" s="28" t="s">
        <v>1482</v>
      </c>
      <c r="M676" s="28" t="s">
        <v>230</v>
      </c>
      <c r="N676" s="28">
        <v>2008.0</v>
      </c>
      <c r="O676" s="31">
        <v>16.0</v>
      </c>
      <c r="P676" s="28">
        <v>1.0</v>
      </c>
      <c r="Q676" s="32">
        <v>1.0</v>
      </c>
      <c r="R676" s="33"/>
      <c r="S676" s="34"/>
      <c r="T676" s="34"/>
      <c r="U676" s="34"/>
      <c r="V676" s="34"/>
      <c r="W676" s="34"/>
      <c r="X676" s="34"/>
      <c r="Y676" s="45"/>
      <c r="Z676" s="45"/>
      <c r="AA676" s="45"/>
      <c r="AB676" s="45"/>
      <c r="AC676" s="45"/>
      <c r="AD676" s="45"/>
      <c r="AE676" s="45"/>
      <c r="AF676" s="45"/>
      <c r="AG676" s="45"/>
      <c r="AH676" s="45"/>
      <c r="AI676" s="45"/>
      <c r="AJ676" s="45"/>
      <c r="AK676" s="45"/>
      <c r="AL676" s="45"/>
    </row>
    <row r="677" ht="15.75" customHeight="1">
      <c r="A677" s="27">
        <f t="shared" si="16"/>
        <v>29</v>
      </c>
      <c r="B677" s="28" t="s">
        <v>31</v>
      </c>
      <c r="C677" s="29" t="s">
        <v>2483</v>
      </c>
      <c r="D677" s="30" t="s">
        <v>2484</v>
      </c>
      <c r="E677" s="28" t="s">
        <v>31</v>
      </c>
      <c r="F677" s="28" t="s">
        <v>29</v>
      </c>
      <c r="G677" s="28" t="s">
        <v>98</v>
      </c>
      <c r="H677" s="28"/>
      <c r="I677" s="28" t="s">
        <v>98</v>
      </c>
      <c r="J677" s="28">
        <v>192.0</v>
      </c>
      <c r="K677" s="28"/>
      <c r="L677" s="28" t="s">
        <v>2485</v>
      </c>
      <c r="M677" s="28" t="s">
        <v>2486</v>
      </c>
      <c r="N677" s="28">
        <v>1972.0</v>
      </c>
      <c r="O677" s="31">
        <v>10.0</v>
      </c>
      <c r="P677" s="28">
        <v>1.0</v>
      </c>
      <c r="Q677" s="32">
        <v>1.0</v>
      </c>
      <c r="R677" s="33"/>
      <c r="S677" s="34"/>
      <c r="T677" s="34"/>
      <c r="U677" s="34"/>
      <c r="V677" s="34"/>
      <c r="W677" s="34"/>
      <c r="X677" s="34"/>
      <c r="Y677" s="45"/>
      <c r="Z677" s="45"/>
      <c r="AA677" s="45"/>
      <c r="AB677" s="45"/>
      <c r="AC677" s="45"/>
      <c r="AD677" s="45"/>
      <c r="AE677" s="45"/>
      <c r="AF677" s="45"/>
      <c r="AG677" s="45"/>
      <c r="AH677" s="45"/>
      <c r="AI677" s="45"/>
      <c r="AJ677" s="45"/>
      <c r="AK677" s="45"/>
      <c r="AL677" s="45"/>
    </row>
    <row r="678" ht="15.75" customHeight="1">
      <c r="A678" s="27">
        <f t="shared" si="16"/>
        <v>30</v>
      </c>
      <c r="B678" s="28" t="s">
        <v>31</v>
      </c>
      <c r="C678" s="29" t="s">
        <v>2487</v>
      </c>
      <c r="D678" s="39" t="s">
        <v>2488</v>
      </c>
      <c r="E678" s="28" t="s">
        <v>31</v>
      </c>
      <c r="F678" s="28" t="s">
        <v>29</v>
      </c>
      <c r="G678" s="28" t="s">
        <v>2489</v>
      </c>
      <c r="H678" s="28"/>
      <c r="I678" s="28" t="s">
        <v>38</v>
      </c>
      <c r="J678" s="28">
        <v>112.0</v>
      </c>
      <c r="K678" s="28"/>
      <c r="L678" s="28" t="s">
        <v>330</v>
      </c>
      <c r="M678" s="28" t="s">
        <v>31</v>
      </c>
      <c r="N678" s="28">
        <v>1986.0</v>
      </c>
      <c r="O678" s="31" t="s">
        <v>205</v>
      </c>
      <c r="P678" s="28">
        <v>1.0</v>
      </c>
      <c r="Q678" s="37">
        <v>1.0</v>
      </c>
      <c r="R678" s="33"/>
      <c r="S678" s="34"/>
      <c r="T678" s="34"/>
      <c r="U678" s="34"/>
      <c r="V678" s="34"/>
      <c r="W678" s="34"/>
      <c r="X678" s="34"/>
      <c r="Y678" s="45"/>
      <c r="Z678" s="45"/>
      <c r="AA678" s="45"/>
      <c r="AB678" s="45"/>
      <c r="AC678" s="45"/>
      <c r="AD678" s="45"/>
      <c r="AE678" s="45"/>
      <c r="AF678" s="45"/>
      <c r="AG678" s="45"/>
      <c r="AH678" s="45"/>
      <c r="AI678" s="45"/>
      <c r="AJ678" s="45"/>
      <c r="AK678" s="45"/>
      <c r="AL678" s="45"/>
    </row>
    <row r="679" ht="15.75" customHeight="1">
      <c r="A679" s="27">
        <f t="shared" si="16"/>
        <v>31</v>
      </c>
      <c r="B679" s="28" t="s">
        <v>2490</v>
      </c>
      <c r="C679" s="29" t="s">
        <v>2491</v>
      </c>
      <c r="D679" s="30" t="s">
        <v>2492</v>
      </c>
      <c r="E679" s="28" t="s">
        <v>31</v>
      </c>
      <c r="F679" s="28" t="s">
        <v>29</v>
      </c>
      <c r="G679" s="28" t="s">
        <v>30</v>
      </c>
      <c r="H679" s="28"/>
      <c r="I679" s="28" t="s">
        <v>30</v>
      </c>
      <c r="J679" s="28">
        <v>189.0</v>
      </c>
      <c r="K679" s="28"/>
      <c r="L679" s="31" t="s">
        <v>2493</v>
      </c>
      <c r="M679" s="28" t="s">
        <v>2494</v>
      </c>
      <c r="N679" s="28">
        <v>2005.0</v>
      </c>
      <c r="O679" s="31" t="s">
        <v>205</v>
      </c>
      <c r="P679" s="28">
        <v>1.0</v>
      </c>
      <c r="Q679" s="32">
        <v>1.0</v>
      </c>
      <c r="R679" s="33"/>
      <c r="S679" s="34"/>
      <c r="T679" s="34"/>
      <c r="U679" s="34"/>
      <c r="V679" s="34"/>
      <c r="W679" s="34"/>
      <c r="X679" s="34"/>
      <c r="Y679" s="45"/>
      <c r="Z679" s="45"/>
      <c r="AA679" s="45"/>
      <c r="AB679" s="45"/>
      <c r="AC679" s="45"/>
      <c r="AD679" s="45"/>
      <c r="AE679" s="45"/>
      <c r="AF679" s="45"/>
      <c r="AG679" s="45"/>
      <c r="AH679" s="45"/>
      <c r="AI679" s="45"/>
      <c r="AJ679" s="45"/>
      <c r="AK679" s="45"/>
      <c r="AL679" s="45"/>
    </row>
    <row r="680" ht="15.75" customHeight="1">
      <c r="A680" s="27">
        <f t="shared" si="16"/>
        <v>32</v>
      </c>
      <c r="B680" s="28"/>
      <c r="C680" s="29" t="s">
        <v>2495</v>
      </c>
      <c r="D680" s="30" t="s">
        <v>2496</v>
      </c>
      <c r="E680" s="28" t="s">
        <v>144</v>
      </c>
      <c r="F680" s="28" t="s">
        <v>29</v>
      </c>
      <c r="G680" s="28" t="s">
        <v>30</v>
      </c>
      <c r="H680" s="28"/>
      <c r="I680" s="28" t="s">
        <v>30</v>
      </c>
      <c r="J680" s="28">
        <v>247.0</v>
      </c>
      <c r="K680" s="28"/>
      <c r="L680" s="31" t="s">
        <v>2497</v>
      </c>
      <c r="M680" s="28" t="s">
        <v>2474</v>
      </c>
      <c r="N680" s="28">
        <v>1989.0</v>
      </c>
      <c r="O680" s="31" t="s">
        <v>205</v>
      </c>
      <c r="P680" s="28">
        <v>1.0</v>
      </c>
      <c r="Q680" s="37">
        <v>1.0</v>
      </c>
      <c r="R680" s="33"/>
      <c r="S680" s="40"/>
      <c r="T680" s="40"/>
      <c r="U680" s="40"/>
      <c r="V680" s="40"/>
      <c r="W680" s="40"/>
      <c r="X680" s="40"/>
      <c r="Y680" s="45"/>
      <c r="Z680" s="45"/>
      <c r="AA680" s="45"/>
      <c r="AB680" s="45"/>
      <c r="AC680" s="45"/>
      <c r="AD680" s="45"/>
      <c r="AE680" s="45"/>
      <c r="AF680" s="45"/>
      <c r="AG680" s="45"/>
      <c r="AH680" s="45"/>
      <c r="AI680" s="45"/>
      <c r="AJ680" s="45"/>
      <c r="AK680" s="45"/>
      <c r="AL680" s="45"/>
    </row>
    <row r="681" ht="15.75" customHeight="1">
      <c r="A681" s="27">
        <f t="shared" si="16"/>
        <v>33</v>
      </c>
      <c r="B681" s="28" t="s">
        <v>2498</v>
      </c>
      <c r="C681" s="29" t="s">
        <v>2499</v>
      </c>
      <c r="D681" s="39" t="s">
        <v>2500</v>
      </c>
      <c r="E681" s="28" t="s">
        <v>144</v>
      </c>
      <c r="F681" s="28" t="s">
        <v>29</v>
      </c>
      <c r="G681" s="28" t="s">
        <v>37</v>
      </c>
      <c r="H681" s="28"/>
      <c r="I681" s="28" t="s">
        <v>38</v>
      </c>
      <c r="J681" s="31">
        <v>301.0</v>
      </c>
      <c r="K681" s="28"/>
      <c r="L681" s="31" t="s">
        <v>2501</v>
      </c>
      <c r="M681" s="28" t="s">
        <v>356</v>
      </c>
      <c r="N681" s="28">
        <v>1988.0</v>
      </c>
      <c r="O681" s="31">
        <v>3.0</v>
      </c>
      <c r="P681" s="28">
        <v>1.0</v>
      </c>
      <c r="Q681" s="32">
        <v>1.0</v>
      </c>
      <c r="R681" s="33"/>
      <c r="S681" s="34"/>
      <c r="T681" s="34"/>
      <c r="U681" s="34"/>
      <c r="V681" s="34"/>
      <c r="W681" s="34"/>
      <c r="X681" s="34"/>
      <c r="Y681" s="3"/>
      <c r="Z681" s="3"/>
      <c r="AA681" s="3"/>
      <c r="AB681" s="3"/>
      <c r="AC681" s="3"/>
      <c r="AD681" s="3"/>
      <c r="AE681" s="3"/>
      <c r="AF681" s="3"/>
      <c r="AG681" s="3"/>
      <c r="AH681" s="3"/>
      <c r="AI681" s="3"/>
      <c r="AJ681" s="3"/>
      <c r="AK681" s="3"/>
      <c r="AL681" s="3"/>
    </row>
    <row r="682" ht="15.75" customHeight="1">
      <c r="A682" s="27">
        <f t="shared" si="16"/>
        <v>34</v>
      </c>
      <c r="B682" s="28" t="s">
        <v>31</v>
      </c>
      <c r="C682" s="29" t="s">
        <v>2502</v>
      </c>
      <c r="D682" s="39" t="s">
        <v>2503</v>
      </c>
      <c r="E682" s="28" t="s">
        <v>144</v>
      </c>
      <c r="F682" s="28" t="s">
        <v>29</v>
      </c>
      <c r="G682" s="28" t="s">
        <v>30</v>
      </c>
      <c r="H682" s="28"/>
      <c r="I682" s="28" t="s">
        <v>30</v>
      </c>
      <c r="J682" s="31">
        <v>477.0</v>
      </c>
      <c r="K682" s="28"/>
      <c r="L682" s="28" t="s">
        <v>2504</v>
      </c>
      <c r="M682" s="28" t="s">
        <v>151</v>
      </c>
      <c r="N682" s="31">
        <v>1976.0</v>
      </c>
      <c r="O682" s="31">
        <v>3.0</v>
      </c>
      <c r="P682" s="28">
        <v>1.0</v>
      </c>
      <c r="Q682" s="32">
        <v>1.0</v>
      </c>
      <c r="R682" s="33"/>
      <c r="S682" s="34"/>
      <c r="T682" s="34"/>
      <c r="U682" s="34"/>
      <c r="V682" s="34"/>
      <c r="W682" s="34"/>
      <c r="X682" s="34"/>
      <c r="Y682" s="45"/>
      <c r="Z682" s="45"/>
      <c r="AA682" s="45"/>
      <c r="AB682" s="45"/>
      <c r="AC682" s="45"/>
      <c r="AD682" s="45"/>
      <c r="AE682" s="45"/>
      <c r="AF682" s="45"/>
      <c r="AG682" s="45"/>
      <c r="AH682" s="45"/>
      <c r="AI682" s="45"/>
      <c r="AJ682" s="45"/>
      <c r="AK682" s="45"/>
      <c r="AL682" s="45"/>
    </row>
    <row r="683" ht="15.75" customHeight="1">
      <c r="A683" s="27">
        <f t="shared" si="16"/>
        <v>35</v>
      </c>
      <c r="B683" s="28" t="s">
        <v>31</v>
      </c>
      <c r="C683" s="29" t="s">
        <v>2502</v>
      </c>
      <c r="D683" s="39" t="s">
        <v>2505</v>
      </c>
      <c r="E683" s="28" t="s">
        <v>144</v>
      </c>
      <c r="F683" s="28" t="s">
        <v>29</v>
      </c>
      <c r="G683" s="28" t="s">
        <v>30</v>
      </c>
      <c r="H683" s="28"/>
      <c r="I683" s="28" t="s">
        <v>30</v>
      </c>
      <c r="J683" s="31">
        <v>178.0</v>
      </c>
      <c r="K683" s="28"/>
      <c r="L683" s="28" t="s">
        <v>2504</v>
      </c>
      <c r="M683" s="28" t="s">
        <v>151</v>
      </c>
      <c r="N683" s="31">
        <v>1975.0</v>
      </c>
      <c r="O683" s="31">
        <v>3.0</v>
      </c>
      <c r="P683" s="28">
        <v>1.0</v>
      </c>
      <c r="Q683" s="37">
        <v>1.0</v>
      </c>
      <c r="R683" s="33"/>
      <c r="S683" s="34"/>
      <c r="T683" s="34"/>
      <c r="U683" s="34"/>
      <c r="V683" s="34"/>
      <c r="W683" s="34"/>
      <c r="X683" s="34"/>
      <c r="Y683" s="3"/>
      <c r="Z683" s="3"/>
      <c r="AA683" s="3"/>
      <c r="AB683" s="3"/>
      <c r="AC683" s="3"/>
      <c r="AD683" s="3"/>
      <c r="AE683" s="3"/>
      <c r="AF683" s="3"/>
      <c r="AG683" s="3"/>
      <c r="AH683" s="3"/>
      <c r="AI683" s="3"/>
      <c r="AJ683" s="3"/>
      <c r="AK683" s="3"/>
      <c r="AL683" s="3"/>
    </row>
    <row r="684" ht="15.75" customHeight="1">
      <c r="A684" s="27">
        <f t="shared" si="16"/>
        <v>36</v>
      </c>
      <c r="B684" s="28" t="s">
        <v>31</v>
      </c>
      <c r="C684" s="29" t="s">
        <v>2506</v>
      </c>
      <c r="D684" s="39" t="s">
        <v>2507</v>
      </c>
      <c r="E684" s="28" t="s">
        <v>31</v>
      </c>
      <c r="F684" s="28" t="s">
        <v>29</v>
      </c>
      <c r="G684" s="28" t="s">
        <v>37</v>
      </c>
      <c r="H684" s="28"/>
      <c r="I684" s="28" t="s">
        <v>2356</v>
      </c>
      <c r="J684" s="31">
        <v>442.0</v>
      </c>
      <c r="K684" s="28"/>
      <c r="L684" s="31" t="s">
        <v>2508</v>
      </c>
      <c r="M684" s="28" t="s">
        <v>2509</v>
      </c>
      <c r="N684" s="28">
        <v>1992.0</v>
      </c>
      <c r="O684" s="31">
        <v>3.0</v>
      </c>
      <c r="P684" s="28">
        <v>1.0</v>
      </c>
      <c r="Q684" s="37">
        <v>1.0</v>
      </c>
      <c r="R684" s="33"/>
      <c r="S684" s="34"/>
      <c r="T684" s="34"/>
      <c r="U684" s="34"/>
      <c r="V684" s="34"/>
      <c r="W684" s="34"/>
      <c r="X684" s="34"/>
      <c r="Y684" s="3"/>
      <c r="Z684" s="3"/>
      <c r="AA684" s="3"/>
      <c r="AB684" s="3"/>
      <c r="AC684" s="3"/>
      <c r="AD684" s="3"/>
      <c r="AE684" s="3"/>
      <c r="AF684" s="3"/>
      <c r="AG684" s="3"/>
      <c r="AH684" s="3"/>
      <c r="AI684" s="3"/>
      <c r="AJ684" s="3"/>
      <c r="AK684" s="3"/>
      <c r="AL684" s="3"/>
    </row>
    <row r="685" ht="15.75" customHeight="1">
      <c r="A685" s="27">
        <f t="shared" si="16"/>
        <v>37</v>
      </c>
      <c r="B685" s="28" t="s">
        <v>2510</v>
      </c>
      <c r="C685" s="29" t="s">
        <v>2511</v>
      </c>
      <c r="D685" s="39" t="s">
        <v>2512</v>
      </c>
      <c r="E685" s="28" t="s">
        <v>28</v>
      </c>
      <c r="F685" s="28" t="s">
        <v>29</v>
      </c>
      <c r="G685" s="28" t="s">
        <v>37</v>
      </c>
      <c r="H685" s="28"/>
      <c r="I685" s="28" t="s">
        <v>38</v>
      </c>
      <c r="J685" s="28">
        <v>473.0</v>
      </c>
      <c r="K685" s="28"/>
      <c r="L685" s="28" t="s">
        <v>2513</v>
      </c>
      <c r="M685" s="28" t="s">
        <v>123</v>
      </c>
      <c r="N685" s="28">
        <v>2014.0</v>
      </c>
      <c r="O685" s="31">
        <v>9.0</v>
      </c>
      <c r="P685" s="28">
        <v>1.0</v>
      </c>
      <c r="Q685" s="32">
        <v>1.0</v>
      </c>
      <c r="R685" s="33"/>
      <c r="S685" s="34"/>
      <c r="T685" s="34"/>
      <c r="U685" s="34"/>
      <c r="V685" s="34"/>
      <c r="W685" s="34"/>
      <c r="X685" s="34"/>
      <c r="Y685" s="3"/>
      <c r="Z685" s="3"/>
      <c r="AA685" s="3"/>
      <c r="AB685" s="3"/>
      <c r="AC685" s="3"/>
      <c r="AD685" s="3"/>
      <c r="AE685" s="3"/>
      <c r="AF685" s="3"/>
      <c r="AG685" s="3"/>
      <c r="AH685" s="3"/>
      <c r="AI685" s="3"/>
      <c r="AJ685" s="3"/>
      <c r="AK685" s="3"/>
      <c r="AL685" s="3"/>
    </row>
    <row r="686" ht="15.75" customHeight="1">
      <c r="A686" s="27">
        <f t="shared" si="16"/>
        <v>38</v>
      </c>
      <c r="B686" s="31" t="s">
        <v>2514</v>
      </c>
      <c r="C686" s="29" t="s">
        <v>2515</v>
      </c>
      <c r="D686" s="39" t="s">
        <v>2516</v>
      </c>
      <c r="E686" s="28" t="s">
        <v>28</v>
      </c>
      <c r="F686" s="28" t="s">
        <v>29</v>
      </c>
      <c r="G686" s="28" t="s">
        <v>37</v>
      </c>
      <c r="H686" s="28"/>
      <c r="I686" s="28" t="s">
        <v>38</v>
      </c>
      <c r="J686" s="28">
        <v>642.0</v>
      </c>
      <c r="K686" s="28"/>
      <c r="L686" s="28" t="s">
        <v>2517</v>
      </c>
      <c r="M686" s="28" t="s">
        <v>123</v>
      </c>
      <c r="N686" s="31">
        <v>1992.0</v>
      </c>
      <c r="O686" s="31">
        <v>9.0</v>
      </c>
      <c r="P686" s="28">
        <v>1.0</v>
      </c>
      <c r="Q686" s="32">
        <v>1.0</v>
      </c>
      <c r="R686" s="33"/>
      <c r="S686" s="40"/>
      <c r="T686" s="40"/>
      <c r="U686" s="40"/>
      <c r="V686" s="40"/>
      <c r="W686" s="40"/>
      <c r="X686" s="40"/>
      <c r="Y686" s="3"/>
      <c r="Z686" s="3"/>
      <c r="AA686" s="3"/>
      <c r="AB686" s="3"/>
      <c r="AC686" s="3"/>
      <c r="AD686" s="3"/>
      <c r="AE686" s="3"/>
      <c r="AF686" s="3"/>
      <c r="AG686" s="3"/>
      <c r="AH686" s="3"/>
      <c r="AI686" s="3"/>
      <c r="AJ686" s="3"/>
      <c r="AK686" s="3"/>
      <c r="AL686" s="3"/>
    </row>
    <row r="687" ht="15.75" customHeight="1">
      <c r="A687" s="27">
        <f t="shared" si="16"/>
        <v>39</v>
      </c>
      <c r="B687" s="28" t="s">
        <v>2518</v>
      </c>
      <c r="C687" s="47" t="s">
        <v>2519</v>
      </c>
      <c r="D687" s="30" t="s">
        <v>2520</v>
      </c>
      <c r="E687" s="28" t="s">
        <v>28</v>
      </c>
      <c r="F687" s="28" t="s">
        <v>29</v>
      </c>
      <c r="G687" s="28" t="s">
        <v>386</v>
      </c>
      <c r="H687" s="28" t="s">
        <v>31</v>
      </c>
      <c r="I687" s="28" t="s">
        <v>30</v>
      </c>
      <c r="J687" s="28">
        <f>921-479+13</f>
        <v>455</v>
      </c>
      <c r="K687" s="28" t="s">
        <v>31</v>
      </c>
      <c r="L687" s="28" t="s">
        <v>780</v>
      </c>
      <c r="M687" s="28" t="s">
        <v>169</v>
      </c>
      <c r="N687" s="28">
        <v>2009.0</v>
      </c>
      <c r="O687" s="31">
        <v>8.0</v>
      </c>
      <c r="P687" s="28">
        <v>1.0</v>
      </c>
      <c r="Q687" s="32">
        <v>1.0</v>
      </c>
      <c r="R687" s="33"/>
      <c r="S687" s="40"/>
      <c r="T687" s="40"/>
      <c r="U687" s="40"/>
      <c r="V687" s="40"/>
      <c r="W687" s="40"/>
      <c r="X687" s="40"/>
      <c r="Y687" s="3"/>
      <c r="Z687" s="3"/>
      <c r="AA687" s="3"/>
      <c r="AB687" s="3"/>
      <c r="AC687" s="3"/>
      <c r="AD687" s="3"/>
      <c r="AE687" s="3"/>
      <c r="AF687" s="3"/>
      <c r="AG687" s="3"/>
      <c r="AH687" s="3"/>
      <c r="AI687" s="3"/>
      <c r="AJ687" s="3"/>
      <c r="AK687" s="3"/>
      <c r="AL687" s="3"/>
    </row>
    <row r="688" ht="15.75" customHeight="1">
      <c r="A688" s="27">
        <f t="shared" si="16"/>
        <v>40</v>
      </c>
      <c r="B688" s="28" t="s">
        <v>2521</v>
      </c>
      <c r="C688" s="47" t="s">
        <v>2522</v>
      </c>
      <c r="D688" s="30" t="s">
        <v>2523</v>
      </c>
      <c r="E688" s="28" t="s">
        <v>28</v>
      </c>
      <c r="F688" s="28" t="s">
        <v>29</v>
      </c>
      <c r="G688" s="28" t="s">
        <v>386</v>
      </c>
      <c r="H688" s="28" t="s">
        <v>31</v>
      </c>
      <c r="I688" s="28" t="s">
        <v>30</v>
      </c>
      <c r="J688" s="28">
        <f>478+16</f>
        <v>494</v>
      </c>
      <c r="K688" s="28" t="s">
        <v>31</v>
      </c>
      <c r="L688" s="28" t="s">
        <v>780</v>
      </c>
      <c r="M688" s="28" t="s">
        <v>169</v>
      </c>
      <c r="N688" s="28">
        <v>2009.0</v>
      </c>
      <c r="O688" s="31">
        <v>8.0</v>
      </c>
      <c r="P688" s="28">
        <v>1.0</v>
      </c>
      <c r="Q688" s="32">
        <v>1.0</v>
      </c>
      <c r="R688" s="33"/>
      <c r="S688" s="40"/>
      <c r="T688" s="40"/>
      <c r="U688" s="40"/>
      <c r="V688" s="40"/>
      <c r="W688" s="40"/>
      <c r="X688" s="40"/>
      <c r="Y688" s="3"/>
      <c r="Z688" s="3"/>
      <c r="AA688" s="3"/>
      <c r="AB688" s="3"/>
      <c r="AC688" s="3"/>
      <c r="AD688" s="3"/>
      <c r="AE688" s="3"/>
      <c r="AF688" s="3"/>
      <c r="AG688" s="3"/>
      <c r="AH688" s="3"/>
      <c r="AI688" s="3"/>
      <c r="AJ688" s="3"/>
      <c r="AK688" s="3"/>
      <c r="AL688" s="3"/>
    </row>
    <row r="689" ht="15.75" customHeight="1">
      <c r="A689" s="27">
        <f t="shared" si="16"/>
        <v>41</v>
      </c>
      <c r="B689" s="28" t="s">
        <v>2524</v>
      </c>
      <c r="C689" s="47" t="s">
        <v>2525</v>
      </c>
      <c r="D689" s="39" t="s">
        <v>2526</v>
      </c>
      <c r="E689" s="28" t="s">
        <v>144</v>
      </c>
      <c r="F689" s="28" t="s">
        <v>29</v>
      </c>
      <c r="G689" s="28" t="s">
        <v>37</v>
      </c>
      <c r="H689" s="28" t="s">
        <v>31</v>
      </c>
      <c r="I689" s="28" t="s">
        <v>30</v>
      </c>
      <c r="J689" s="31">
        <v>600.0</v>
      </c>
      <c r="K689" s="28" t="s">
        <v>31</v>
      </c>
      <c r="L689" s="31" t="s">
        <v>2527</v>
      </c>
      <c r="M689" s="28" t="s">
        <v>1533</v>
      </c>
      <c r="N689" s="28">
        <v>2014.0</v>
      </c>
      <c r="O689" s="31">
        <v>5.0</v>
      </c>
      <c r="P689" s="28">
        <v>1.0</v>
      </c>
      <c r="Q689" s="32">
        <v>1.0</v>
      </c>
      <c r="R689" s="33"/>
      <c r="S689" s="40"/>
      <c r="T689" s="40"/>
      <c r="U689" s="40"/>
      <c r="V689" s="40"/>
      <c r="W689" s="40"/>
      <c r="X689" s="40"/>
      <c r="Y689" s="45"/>
      <c r="Z689" s="45"/>
      <c r="AA689" s="45"/>
      <c r="AB689" s="45"/>
      <c r="AC689" s="45"/>
      <c r="AD689" s="45"/>
      <c r="AE689" s="45"/>
      <c r="AF689" s="45"/>
      <c r="AG689" s="45"/>
      <c r="AH689" s="45"/>
      <c r="AI689" s="45"/>
      <c r="AJ689" s="45"/>
      <c r="AK689" s="45"/>
      <c r="AL689" s="45"/>
    </row>
    <row r="690" ht="15.75" customHeight="1">
      <c r="A690" s="27">
        <f t="shared" si="16"/>
        <v>42</v>
      </c>
      <c r="B690" s="28" t="s">
        <v>2528</v>
      </c>
      <c r="C690" s="29" t="s">
        <v>2529</v>
      </c>
      <c r="D690" s="30" t="s">
        <v>2530</v>
      </c>
      <c r="E690" s="28" t="s">
        <v>28</v>
      </c>
      <c r="F690" s="28" t="s">
        <v>29</v>
      </c>
      <c r="G690" s="28" t="s">
        <v>386</v>
      </c>
      <c r="H690" s="28"/>
      <c r="I690" s="28" t="s">
        <v>30</v>
      </c>
      <c r="J690" s="28">
        <v>1426.0</v>
      </c>
      <c r="K690" s="28"/>
      <c r="L690" s="28" t="s">
        <v>780</v>
      </c>
      <c r="M690" s="28" t="s">
        <v>169</v>
      </c>
      <c r="N690" s="28">
        <v>2012.0</v>
      </c>
      <c r="O690" s="31">
        <v>5.0</v>
      </c>
      <c r="P690" s="28">
        <v>1.0</v>
      </c>
      <c r="Q690" s="32">
        <v>1.0</v>
      </c>
      <c r="R690" s="33"/>
      <c r="S690" s="38"/>
      <c r="T690" s="38"/>
      <c r="U690" s="38"/>
      <c r="V690" s="38"/>
      <c r="W690" s="38"/>
      <c r="X690" s="38"/>
      <c r="Y690" s="45"/>
      <c r="Z690" s="45"/>
      <c r="AA690" s="45"/>
      <c r="AB690" s="45"/>
      <c r="AC690" s="45"/>
      <c r="AD690" s="45"/>
      <c r="AE690" s="45"/>
      <c r="AF690" s="45"/>
      <c r="AG690" s="45"/>
      <c r="AH690" s="45"/>
      <c r="AI690" s="45"/>
      <c r="AJ690" s="45"/>
      <c r="AK690" s="45"/>
      <c r="AL690" s="45"/>
    </row>
    <row r="691" ht="15.75" customHeight="1">
      <c r="A691" s="27">
        <f t="shared" si="16"/>
        <v>43</v>
      </c>
      <c r="B691" s="28" t="s">
        <v>2531</v>
      </c>
      <c r="C691" s="29" t="s">
        <v>2532</v>
      </c>
      <c r="D691" s="39" t="s">
        <v>2533</v>
      </c>
      <c r="E691" s="28" t="s">
        <v>28</v>
      </c>
      <c r="F691" s="28" t="s">
        <v>29</v>
      </c>
      <c r="G691" s="28" t="s">
        <v>386</v>
      </c>
      <c r="H691" s="28" t="s">
        <v>31</v>
      </c>
      <c r="I691" s="28" t="s">
        <v>30</v>
      </c>
      <c r="J691" s="28">
        <f>2093-1428+24</f>
        <v>689</v>
      </c>
      <c r="K691" s="28"/>
      <c r="L691" s="28" t="s">
        <v>780</v>
      </c>
      <c r="M691" s="28" t="s">
        <v>169</v>
      </c>
      <c r="N691" s="28">
        <v>2012.0</v>
      </c>
      <c r="O691" s="31">
        <v>5.0</v>
      </c>
      <c r="P691" s="28">
        <v>1.0</v>
      </c>
      <c r="Q691" s="32">
        <v>1.0</v>
      </c>
      <c r="R691" s="33"/>
      <c r="S691" s="40"/>
      <c r="T691" s="40"/>
      <c r="U691" s="40"/>
      <c r="V691" s="40"/>
      <c r="W691" s="40"/>
      <c r="X691" s="40"/>
      <c r="Y691" s="3"/>
      <c r="Z691" s="3"/>
      <c r="AA691" s="3"/>
      <c r="AB691" s="3"/>
      <c r="AC691" s="3"/>
      <c r="AD691" s="3"/>
      <c r="AE691" s="3"/>
      <c r="AF691" s="3"/>
      <c r="AG691" s="3"/>
      <c r="AH691" s="3"/>
      <c r="AI691" s="3"/>
      <c r="AJ691" s="3"/>
      <c r="AK691" s="3"/>
      <c r="AL691" s="3"/>
    </row>
    <row r="692" ht="15.75" customHeight="1">
      <c r="A692" s="27">
        <f t="shared" si="16"/>
        <v>44</v>
      </c>
      <c r="B692" s="28" t="s">
        <v>2534</v>
      </c>
      <c r="C692" s="29" t="s">
        <v>2529</v>
      </c>
      <c r="D692" s="30" t="s">
        <v>2535</v>
      </c>
      <c r="E692" s="28" t="s">
        <v>28</v>
      </c>
      <c r="F692" s="28" t="s">
        <v>29</v>
      </c>
      <c r="G692" s="28" t="s">
        <v>386</v>
      </c>
      <c r="H692" s="28" t="s">
        <v>31</v>
      </c>
      <c r="I692" s="28" t="s">
        <v>30</v>
      </c>
      <c r="J692" s="28">
        <f>733+26</f>
        <v>759</v>
      </c>
      <c r="K692" s="28"/>
      <c r="L692" s="28" t="s">
        <v>780</v>
      </c>
      <c r="M692" s="28" t="s">
        <v>169</v>
      </c>
      <c r="N692" s="28">
        <v>2011.0</v>
      </c>
      <c r="O692" s="31">
        <v>5.0</v>
      </c>
      <c r="P692" s="28">
        <v>1.0</v>
      </c>
      <c r="Q692" s="32">
        <v>1.0</v>
      </c>
      <c r="R692" s="33"/>
      <c r="S692" s="40"/>
      <c r="T692" s="40"/>
      <c r="U692" s="40"/>
      <c r="V692" s="40"/>
      <c r="W692" s="40"/>
      <c r="X692" s="40"/>
      <c r="Y692" s="3"/>
      <c r="Z692" s="3"/>
      <c r="AA692" s="3"/>
      <c r="AB692" s="3"/>
      <c r="AC692" s="3"/>
      <c r="AD692" s="3"/>
      <c r="AE692" s="3"/>
      <c r="AF692" s="3"/>
      <c r="AG692" s="3"/>
      <c r="AH692" s="3"/>
      <c r="AI692" s="3"/>
      <c r="AJ692" s="3"/>
      <c r="AK692" s="3"/>
      <c r="AL692" s="3"/>
    </row>
    <row r="693" ht="15.75" customHeight="1">
      <c r="A693" s="27">
        <f t="shared" si="16"/>
        <v>45</v>
      </c>
      <c r="B693" s="28" t="s">
        <v>2536</v>
      </c>
      <c r="C693" s="29" t="s">
        <v>2537</v>
      </c>
      <c r="D693" s="30" t="s">
        <v>2538</v>
      </c>
      <c r="E693" s="28" t="s">
        <v>28</v>
      </c>
      <c r="F693" s="28" t="s">
        <v>29</v>
      </c>
      <c r="G693" s="28" t="s">
        <v>37</v>
      </c>
      <c r="H693" s="28" t="s">
        <v>31</v>
      </c>
      <c r="I693" s="28" t="s">
        <v>38</v>
      </c>
      <c r="J693" s="28">
        <v>320.0</v>
      </c>
      <c r="K693" s="28"/>
      <c r="L693" s="28" t="s">
        <v>1365</v>
      </c>
      <c r="M693" s="28" t="s">
        <v>250</v>
      </c>
      <c r="N693" s="28">
        <v>2008.0</v>
      </c>
      <c r="O693" s="31" t="s">
        <v>2037</v>
      </c>
      <c r="P693" s="28">
        <v>1.0</v>
      </c>
      <c r="Q693" s="32"/>
      <c r="R693" s="33"/>
      <c r="S693" s="40"/>
      <c r="T693" s="40"/>
      <c r="U693" s="40"/>
      <c r="V693" s="40"/>
      <c r="W693" s="40"/>
      <c r="X693" s="40"/>
      <c r="Y693" s="3"/>
      <c r="Z693" s="3"/>
      <c r="AA693" s="3"/>
      <c r="AB693" s="3"/>
      <c r="AC693" s="3"/>
      <c r="AD693" s="3"/>
      <c r="AE693" s="3"/>
      <c r="AF693" s="3"/>
      <c r="AG693" s="3"/>
      <c r="AH693" s="3"/>
      <c r="AI693" s="3"/>
      <c r="AJ693" s="3"/>
      <c r="AK693" s="3"/>
      <c r="AL693" s="3"/>
    </row>
    <row r="694" ht="15.75" customHeight="1">
      <c r="A694" s="27">
        <f t="shared" si="16"/>
        <v>46</v>
      </c>
      <c r="B694" s="28" t="s">
        <v>2539</v>
      </c>
      <c r="C694" s="29" t="s">
        <v>2540</v>
      </c>
      <c r="D694" s="30" t="s">
        <v>2541</v>
      </c>
      <c r="E694" s="28" t="s">
        <v>28</v>
      </c>
      <c r="F694" s="28" t="s">
        <v>29</v>
      </c>
      <c r="G694" s="28" t="s">
        <v>37</v>
      </c>
      <c r="H694" s="28"/>
      <c r="I694" s="28" t="s">
        <v>38</v>
      </c>
      <c r="J694" s="31">
        <v>258.0</v>
      </c>
      <c r="K694" s="28"/>
      <c r="L694" s="28" t="s">
        <v>2542</v>
      </c>
      <c r="M694" s="28" t="s">
        <v>1478</v>
      </c>
      <c r="N694" s="28">
        <v>1968.0</v>
      </c>
      <c r="O694" s="31">
        <v>5.0</v>
      </c>
      <c r="P694" s="31">
        <v>2.0</v>
      </c>
      <c r="Q694" s="37">
        <v>2.0</v>
      </c>
      <c r="R694" s="33"/>
      <c r="S694" s="40"/>
      <c r="T694" s="40"/>
      <c r="U694" s="40"/>
      <c r="V694" s="40"/>
      <c r="W694" s="40"/>
      <c r="X694" s="40"/>
      <c r="Y694" s="3"/>
      <c r="Z694" s="3"/>
      <c r="AA694" s="3"/>
      <c r="AB694" s="3"/>
      <c r="AC694" s="3"/>
      <c r="AD694" s="3"/>
      <c r="AE694" s="3"/>
      <c r="AF694" s="3"/>
      <c r="AG694" s="3"/>
      <c r="AH694" s="3"/>
      <c r="AI694" s="3"/>
      <c r="AJ694" s="3"/>
      <c r="AK694" s="3"/>
      <c r="AL694" s="3"/>
    </row>
    <row r="695" ht="15.75" customHeight="1">
      <c r="A695" s="27">
        <f t="shared" si="16"/>
        <v>47</v>
      </c>
      <c r="B695" s="28" t="s">
        <v>2543</v>
      </c>
      <c r="C695" s="29" t="s">
        <v>2544</v>
      </c>
      <c r="D695" s="39" t="s">
        <v>2545</v>
      </c>
      <c r="E695" s="28" t="s">
        <v>28</v>
      </c>
      <c r="F695" s="28" t="s">
        <v>29</v>
      </c>
      <c r="G695" s="28" t="s">
        <v>37</v>
      </c>
      <c r="H695" s="28"/>
      <c r="I695" s="28" t="s">
        <v>38</v>
      </c>
      <c r="J695" s="28">
        <f>516+34</f>
        <v>550</v>
      </c>
      <c r="K695" s="28"/>
      <c r="L695" s="31" t="s">
        <v>2546</v>
      </c>
      <c r="M695" s="28" t="s">
        <v>956</v>
      </c>
      <c r="N695" s="28">
        <v>1987.0</v>
      </c>
      <c r="O695" s="31">
        <v>6.0</v>
      </c>
      <c r="P695" s="28">
        <v>2.0</v>
      </c>
      <c r="Q695" s="37">
        <v>1.0</v>
      </c>
      <c r="R695" s="33"/>
      <c r="S695" s="40"/>
      <c r="T695" s="40"/>
      <c r="U695" s="40"/>
      <c r="V695" s="40"/>
      <c r="W695" s="40"/>
      <c r="X695" s="40"/>
      <c r="Y695" s="45"/>
      <c r="Z695" s="45"/>
      <c r="AA695" s="45"/>
      <c r="AB695" s="45"/>
      <c r="AC695" s="45"/>
      <c r="AD695" s="45"/>
      <c r="AE695" s="45"/>
      <c r="AF695" s="45"/>
      <c r="AG695" s="45"/>
      <c r="AH695" s="45"/>
      <c r="AI695" s="45"/>
      <c r="AJ695" s="45"/>
      <c r="AK695" s="45"/>
      <c r="AL695" s="45"/>
    </row>
    <row r="696" ht="15.75" customHeight="1">
      <c r="A696" s="27">
        <f t="shared" si="16"/>
        <v>48</v>
      </c>
      <c r="B696" s="113" t="s">
        <v>2547</v>
      </c>
      <c r="C696" s="29" t="s">
        <v>2548</v>
      </c>
      <c r="D696" s="30" t="s">
        <v>2549</v>
      </c>
      <c r="E696" s="28" t="s">
        <v>28</v>
      </c>
      <c r="F696" s="28" t="s">
        <v>29</v>
      </c>
      <c r="G696" s="28" t="s">
        <v>386</v>
      </c>
      <c r="H696" s="28" t="s">
        <v>31</v>
      </c>
      <c r="I696" s="28" t="s">
        <v>30</v>
      </c>
      <c r="J696" s="31">
        <v>898.0</v>
      </c>
      <c r="K696" s="28"/>
      <c r="L696" s="28" t="s">
        <v>780</v>
      </c>
      <c r="M696" s="28" t="s">
        <v>169</v>
      </c>
      <c r="N696" s="28">
        <v>2014.0</v>
      </c>
      <c r="O696" s="31">
        <v>5.0</v>
      </c>
      <c r="P696" s="28">
        <v>1.0</v>
      </c>
      <c r="Q696" s="32">
        <v>1.0</v>
      </c>
      <c r="R696" s="33"/>
      <c r="S696" s="34"/>
      <c r="T696" s="34"/>
      <c r="U696" s="34"/>
      <c r="V696" s="34"/>
      <c r="W696" s="34"/>
      <c r="X696" s="34"/>
      <c r="Y696" s="45"/>
      <c r="Z696" s="45"/>
      <c r="AA696" s="45"/>
      <c r="AB696" s="45"/>
      <c r="AC696" s="45"/>
      <c r="AD696" s="45"/>
      <c r="AE696" s="45"/>
      <c r="AF696" s="45"/>
      <c r="AG696" s="45"/>
      <c r="AH696" s="45"/>
      <c r="AI696" s="45"/>
      <c r="AJ696" s="45"/>
      <c r="AK696" s="45"/>
      <c r="AL696" s="45"/>
    </row>
    <row r="697" ht="15.75" customHeight="1">
      <c r="A697" s="27">
        <f t="shared" si="16"/>
        <v>49</v>
      </c>
      <c r="B697" s="28" t="s">
        <v>2550</v>
      </c>
      <c r="C697" s="47" t="s">
        <v>2551</v>
      </c>
      <c r="D697" s="39" t="s">
        <v>2552</v>
      </c>
      <c r="E697" s="28" t="s">
        <v>28</v>
      </c>
      <c r="F697" s="28" t="s">
        <v>29</v>
      </c>
      <c r="G697" s="28" t="s">
        <v>37</v>
      </c>
      <c r="H697" s="28" t="s">
        <v>31</v>
      </c>
      <c r="I697" s="28" t="s">
        <v>38</v>
      </c>
      <c r="J697" s="28">
        <f>438+27</f>
        <v>465</v>
      </c>
      <c r="K697" s="28" t="s">
        <v>31</v>
      </c>
      <c r="L697" s="28" t="s">
        <v>2553</v>
      </c>
      <c r="M697" s="28" t="s">
        <v>178</v>
      </c>
      <c r="N697" s="28">
        <v>1989.0</v>
      </c>
      <c r="O697" s="31">
        <v>8.0</v>
      </c>
      <c r="P697" s="28">
        <v>1.0</v>
      </c>
      <c r="Q697" s="32">
        <v>1.0</v>
      </c>
      <c r="R697" s="33"/>
      <c r="S697" s="34"/>
      <c r="T697" s="34"/>
      <c r="U697" s="34"/>
      <c r="V697" s="34"/>
      <c r="W697" s="34"/>
      <c r="X697" s="34"/>
      <c r="Y697" s="3"/>
      <c r="Z697" s="3"/>
      <c r="AA697" s="3"/>
      <c r="AB697" s="3"/>
      <c r="AC697" s="3"/>
      <c r="AD697" s="3"/>
      <c r="AE697" s="3"/>
      <c r="AF697" s="3"/>
      <c r="AG697" s="3"/>
      <c r="AH697" s="3"/>
      <c r="AI697" s="3"/>
      <c r="AJ697" s="3"/>
      <c r="AK697" s="3"/>
      <c r="AL697" s="3"/>
    </row>
    <row r="698" ht="15.75" customHeight="1">
      <c r="A698" s="27">
        <f t="shared" si="16"/>
        <v>50</v>
      </c>
      <c r="B698" s="28" t="s">
        <v>2554</v>
      </c>
      <c r="C698" s="29" t="s">
        <v>2555</v>
      </c>
      <c r="D698" s="39" t="s">
        <v>2556</v>
      </c>
      <c r="E698" s="28" t="s">
        <v>28</v>
      </c>
      <c r="F698" s="28" t="s">
        <v>29</v>
      </c>
      <c r="G698" s="28" t="s">
        <v>37</v>
      </c>
      <c r="H698" s="28"/>
      <c r="I698" s="28" t="s">
        <v>38</v>
      </c>
      <c r="J698" s="31">
        <v>366.0</v>
      </c>
      <c r="K698" s="28"/>
      <c r="L698" s="28" t="s">
        <v>2557</v>
      </c>
      <c r="M698" s="28" t="s">
        <v>49</v>
      </c>
      <c r="N698" s="28">
        <v>2009.0</v>
      </c>
      <c r="O698" s="31">
        <v>7.0</v>
      </c>
      <c r="P698" s="28">
        <v>1.0</v>
      </c>
      <c r="Q698" s="32">
        <v>1.0</v>
      </c>
      <c r="R698" s="33"/>
      <c r="S698" s="40"/>
      <c r="T698" s="40"/>
      <c r="U698" s="40"/>
      <c r="V698" s="40"/>
      <c r="W698" s="40"/>
      <c r="X698" s="40"/>
      <c r="Y698" s="45"/>
      <c r="Z698" s="45"/>
      <c r="AA698" s="45"/>
      <c r="AB698" s="45"/>
      <c r="AC698" s="45"/>
      <c r="AD698" s="45"/>
      <c r="AE698" s="45"/>
      <c r="AF698" s="45"/>
      <c r="AG698" s="45"/>
      <c r="AH698" s="45"/>
      <c r="AI698" s="45"/>
      <c r="AJ698" s="45"/>
      <c r="AK698" s="45"/>
      <c r="AL698" s="45"/>
    </row>
    <row r="699" ht="15.75" customHeight="1">
      <c r="A699" s="27">
        <f t="shared" si="16"/>
        <v>51</v>
      </c>
      <c r="B699" s="31" t="s">
        <v>2558</v>
      </c>
      <c r="C699" s="29" t="s">
        <v>2559</v>
      </c>
      <c r="D699" s="39" t="s">
        <v>2560</v>
      </c>
      <c r="E699" s="31" t="s">
        <v>28</v>
      </c>
      <c r="F699" s="31" t="s">
        <v>29</v>
      </c>
      <c r="G699" s="31" t="s">
        <v>37</v>
      </c>
      <c r="H699" s="28"/>
      <c r="I699" s="31" t="s">
        <v>38</v>
      </c>
      <c r="J699" s="31">
        <v>880.0</v>
      </c>
      <c r="K699" s="28"/>
      <c r="L699" s="28" t="s">
        <v>2557</v>
      </c>
      <c r="M699" s="28" t="s">
        <v>49</v>
      </c>
      <c r="N699" s="31">
        <v>1987.0</v>
      </c>
      <c r="O699" s="31">
        <v>7.0</v>
      </c>
      <c r="P699" s="31">
        <v>1.0</v>
      </c>
      <c r="Q699" s="37">
        <v>1.0</v>
      </c>
      <c r="R699" s="33"/>
      <c r="S699" s="40"/>
      <c r="T699" s="40"/>
      <c r="U699" s="40"/>
      <c r="V699" s="40"/>
      <c r="W699" s="40"/>
      <c r="X699" s="40"/>
      <c r="Y699" s="45"/>
      <c r="Z699" s="45"/>
      <c r="AA699" s="45"/>
      <c r="AB699" s="45"/>
      <c r="AC699" s="45"/>
      <c r="AD699" s="45"/>
      <c r="AE699" s="45"/>
      <c r="AF699" s="45"/>
      <c r="AG699" s="45"/>
      <c r="AH699" s="45"/>
      <c r="AI699" s="45"/>
      <c r="AJ699" s="45"/>
      <c r="AK699" s="45"/>
      <c r="AL699" s="45"/>
    </row>
    <row r="700" ht="15.75" customHeight="1">
      <c r="A700" s="27">
        <f t="shared" si="16"/>
        <v>52</v>
      </c>
      <c r="B700" s="31" t="s">
        <v>2561</v>
      </c>
      <c r="C700" s="47" t="s">
        <v>2562</v>
      </c>
      <c r="D700" s="39" t="s">
        <v>2563</v>
      </c>
      <c r="E700" s="28" t="s">
        <v>28</v>
      </c>
      <c r="F700" s="28" t="s">
        <v>29</v>
      </c>
      <c r="G700" s="28" t="s">
        <v>37</v>
      </c>
      <c r="H700" s="28" t="s">
        <v>31</v>
      </c>
      <c r="I700" s="28" t="s">
        <v>38</v>
      </c>
      <c r="J700" s="31">
        <v>380.0</v>
      </c>
      <c r="K700" s="28" t="s">
        <v>31</v>
      </c>
      <c r="L700" s="28" t="s">
        <v>2564</v>
      </c>
      <c r="M700" s="28" t="s">
        <v>1533</v>
      </c>
      <c r="N700" s="28">
        <v>2014.0</v>
      </c>
      <c r="O700" s="31">
        <v>7.0</v>
      </c>
      <c r="P700" s="28">
        <v>1.0</v>
      </c>
      <c r="Q700" s="37">
        <v>1.0</v>
      </c>
      <c r="R700" s="33"/>
      <c r="S700" s="40"/>
      <c r="T700" s="40"/>
      <c r="U700" s="40"/>
      <c r="V700" s="40"/>
      <c r="W700" s="40"/>
      <c r="X700" s="40"/>
      <c r="Y700" s="45"/>
      <c r="Z700" s="45"/>
      <c r="AA700" s="45"/>
      <c r="AB700" s="45"/>
      <c r="AC700" s="45"/>
      <c r="AD700" s="45"/>
      <c r="AE700" s="45"/>
      <c r="AF700" s="45"/>
      <c r="AG700" s="45"/>
      <c r="AH700" s="45"/>
      <c r="AI700" s="45"/>
      <c r="AJ700" s="45"/>
      <c r="AK700" s="45"/>
      <c r="AL700" s="45"/>
    </row>
    <row r="701" ht="15.75" customHeight="1">
      <c r="A701" s="27">
        <f t="shared" si="16"/>
        <v>53</v>
      </c>
      <c r="B701" s="28" t="s">
        <v>2565</v>
      </c>
      <c r="C701" s="29" t="s">
        <v>2123</v>
      </c>
      <c r="D701" s="39" t="s">
        <v>2566</v>
      </c>
      <c r="E701" s="28" t="s">
        <v>28</v>
      </c>
      <c r="F701" s="28" t="s">
        <v>29</v>
      </c>
      <c r="G701" s="28" t="s">
        <v>37</v>
      </c>
      <c r="H701" s="28"/>
      <c r="I701" s="28" t="s">
        <v>38</v>
      </c>
      <c r="J701" s="28">
        <v>236.0</v>
      </c>
      <c r="K701" s="28"/>
      <c r="L701" s="28" t="s">
        <v>492</v>
      </c>
      <c r="M701" s="28" t="s">
        <v>2567</v>
      </c>
      <c r="N701" s="28">
        <v>2008.0</v>
      </c>
      <c r="O701" s="31" t="s">
        <v>494</v>
      </c>
      <c r="P701" s="28">
        <v>1.0</v>
      </c>
      <c r="Q701" s="37">
        <v>1.0</v>
      </c>
      <c r="R701" s="33"/>
      <c r="S701" s="40"/>
      <c r="T701" s="40"/>
      <c r="U701" s="40"/>
      <c r="V701" s="40"/>
      <c r="W701" s="40"/>
      <c r="X701" s="40"/>
      <c r="Y701" s="3"/>
      <c r="Z701" s="3"/>
      <c r="AA701" s="3"/>
      <c r="AB701" s="3"/>
      <c r="AC701" s="3"/>
      <c r="AD701" s="3"/>
      <c r="AE701" s="3"/>
      <c r="AF701" s="3"/>
      <c r="AG701" s="3"/>
      <c r="AH701" s="3"/>
      <c r="AI701" s="3"/>
      <c r="AJ701" s="3"/>
      <c r="AK701" s="3"/>
      <c r="AL701" s="3"/>
    </row>
    <row r="702" ht="15.75" customHeight="1">
      <c r="A702" s="27">
        <f t="shared" si="16"/>
        <v>54</v>
      </c>
      <c r="B702" s="28" t="s">
        <v>2568</v>
      </c>
      <c r="C702" s="29" t="s">
        <v>2569</v>
      </c>
      <c r="D702" s="39" t="s">
        <v>2570</v>
      </c>
      <c r="E702" s="28" t="s">
        <v>2571</v>
      </c>
      <c r="F702" s="28" t="s">
        <v>29</v>
      </c>
      <c r="G702" s="28" t="s">
        <v>37</v>
      </c>
      <c r="H702" s="28"/>
      <c r="I702" s="28" t="s">
        <v>38</v>
      </c>
      <c r="J702" s="28">
        <f>726</f>
        <v>726</v>
      </c>
      <c r="K702" s="28"/>
      <c r="L702" s="28" t="s">
        <v>2572</v>
      </c>
      <c r="M702" s="28" t="s">
        <v>365</v>
      </c>
      <c r="N702" s="28">
        <v>1992.0</v>
      </c>
      <c r="O702" s="31">
        <v>9.0</v>
      </c>
      <c r="P702" s="28">
        <v>1.0</v>
      </c>
      <c r="Q702" s="32">
        <v>1.0</v>
      </c>
      <c r="R702" s="33"/>
      <c r="S702" s="40"/>
      <c r="T702" s="40"/>
      <c r="U702" s="40"/>
      <c r="V702" s="40"/>
      <c r="W702" s="40"/>
      <c r="X702" s="40"/>
      <c r="Y702" s="45"/>
      <c r="Z702" s="45"/>
      <c r="AA702" s="45"/>
      <c r="AB702" s="45"/>
      <c r="AC702" s="45"/>
      <c r="AD702" s="45"/>
      <c r="AE702" s="45"/>
      <c r="AF702" s="45"/>
      <c r="AG702" s="45"/>
      <c r="AH702" s="45"/>
      <c r="AI702" s="45"/>
      <c r="AJ702" s="45"/>
      <c r="AK702" s="45"/>
      <c r="AL702" s="45"/>
    </row>
    <row r="703" ht="15.75" customHeight="1">
      <c r="A703" s="27">
        <f t="shared" si="16"/>
        <v>55</v>
      </c>
      <c r="B703" s="28" t="s">
        <v>2573</v>
      </c>
      <c r="C703" s="29" t="s">
        <v>1309</v>
      </c>
      <c r="D703" s="30" t="s">
        <v>2574</v>
      </c>
      <c r="E703" s="28" t="s">
        <v>28</v>
      </c>
      <c r="F703" s="28" t="s">
        <v>29</v>
      </c>
      <c r="G703" s="28" t="s">
        <v>37</v>
      </c>
      <c r="H703" s="28"/>
      <c r="I703" s="28" t="s">
        <v>38</v>
      </c>
      <c r="J703" s="28">
        <f>246</f>
        <v>246</v>
      </c>
      <c r="K703" s="28"/>
      <c r="L703" s="28" t="s">
        <v>2575</v>
      </c>
      <c r="M703" s="28" t="s">
        <v>1434</v>
      </c>
      <c r="N703" s="28">
        <v>2009.0</v>
      </c>
      <c r="O703" s="31" t="s">
        <v>494</v>
      </c>
      <c r="P703" s="28">
        <v>1.0</v>
      </c>
      <c r="Q703" s="37">
        <v>1.0</v>
      </c>
      <c r="R703" s="33"/>
      <c r="S703" s="34"/>
      <c r="T703" s="34"/>
      <c r="U703" s="34"/>
      <c r="V703" s="34"/>
      <c r="W703" s="34"/>
      <c r="X703" s="34"/>
      <c r="Y703" s="45"/>
      <c r="Z703" s="45"/>
      <c r="AA703" s="45"/>
      <c r="AB703" s="45"/>
      <c r="AC703" s="45"/>
      <c r="AD703" s="45"/>
      <c r="AE703" s="45"/>
      <c r="AF703" s="45"/>
      <c r="AG703" s="45"/>
      <c r="AH703" s="45"/>
      <c r="AI703" s="45"/>
      <c r="AJ703" s="45"/>
      <c r="AK703" s="45"/>
      <c r="AL703" s="45"/>
    </row>
    <row r="704" ht="15.75" customHeight="1">
      <c r="A704" s="27">
        <f t="shared" si="16"/>
        <v>56</v>
      </c>
      <c r="B704" s="28" t="s">
        <v>2576</v>
      </c>
      <c r="C704" s="29" t="s">
        <v>1006</v>
      </c>
      <c r="D704" s="39" t="s">
        <v>2577</v>
      </c>
      <c r="E704" s="28" t="s">
        <v>28</v>
      </c>
      <c r="F704" s="28" t="s">
        <v>29</v>
      </c>
      <c r="G704" s="28" t="s">
        <v>37</v>
      </c>
      <c r="H704" s="28"/>
      <c r="I704" s="28" t="s">
        <v>38</v>
      </c>
      <c r="J704" s="28">
        <f>138+10</f>
        <v>148</v>
      </c>
      <c r="K704" s="28"/>
      <c r="L704" s="28" t="s">
        <v>2578</v>
      </c>
      <c r="M704" s="28" t="s">
        <v>83</v>
      </c>
      <c r="N704" s="28">
        <v>1996.0</v>
      </c>
      <c r="O704" s="31">
        <v>8.0</v>
      </c>
      <c r="P704" s="28">
        <v>1.0</v>
      </c>
      <c r="Q704" s="37">
        <v>1.0</v>
      </c>
      <c r="R704" s="33"/>
      <c r="S704" s="34"/>
      <c r="T704" s="34"/>
      <c r="U704" s="34"/>
      <c r="V704" s="34"/>
      <c r="W704" s="34"/>
      <c r="X704" s="34"/>
      <c r="Y704" s="45"/>
      <c r="Z704" s="45"/>
      <c r="AA704" s="45"/>
      <c r="AB704" s="45"/>
      <c r="AC704" s="45"/>
      <c r="AD704" s="45"/>
      <c r="AE704" s="45"/>
      <c r="AF704" s="45"/>
      <c r="AG704" s="45"/>
      <c r="AH704" s="45"/>
      <c r="AI704" s="45"/>
      <c r="AJ704" s="45"/>
      <c r="AK704" s="45"/>
      <c r="AL704" s="45"/>
    </row>
    <row r="705" ht="15.75" customHeight="1">
      <c r="A705" s="27">
        <f t="shared" si="16"/>
        <v>57</v>
      </c>
      <c r="B705" s="28" t="s">
        <v>2579</v>
      </c>
      <c r="C705" s="29" t="s">
        <v>2580</v>
      </c>
      <c r="D705" s="30" t="s">
        <v>2581</v>
      </c>
      <c r="E705" s="28" t="s">
        <v>28</v>
      </c>
      <c r="F705" s="28" t="s">
        <v>29</v>
      </c>
      <c r="G705" s="28" t="s">
        <v>38</v>
      </c>
      <c r="H705" s="28"/>
      <c r="I705" s="28" t="s">
        <v>38</v>
      </c>
      <c r="J705" s="28">
        <f>184+8</f>
        <v>192</v>
      </c>
      <c r="K705" s="28"/>
      <c r="L705" s="31" t="s">
        <v>2582</v>
      </c>
      <c r="M705" s="28" t="s">
        <v>83</v>
      </c>
      <c r="N705" s="28">
        <v>1999.0</v>
      </c>
      <c r="O705" s="31">
        <v>8.0</v>
      </c>
      <c r="P705" s="28">
        <v>1.0</v>
      </c>
      <c r="Q705" s="32">
        <v>1.0</v>
      </c>
      <c r="R705" s="33"/>
      <c r="S705" s="34"/>
      <c r="T705" s="34"/>
      <c r="U705" s="34"/>
      <c r="V705" s="34"/>
      <c r="W705" s="34"/>
      <c r="X705" s="34"/>
      <c r="Y705" s="3"/>
      <c r="Z705" s="3"/>
      <c r="AA705" s="3"/>
      <c r="AB705" s="3"/>
      <c r="AC705" s="3"/>
      <c r="AD705" s="3"/>
      <c r="AE705" s="3"/>
      <c r="AF705" s="3"/>
      <c r="AG705" s="3"/>
      <c r="AH705" s="3"/>
      <c r="AI705" s="3"/>
      <c r="AJ705" s="3"/>
      <c r="AK705" s="3"/>
      <c r="AL705" s="3"/>
    </row>
    <row r="706" ht="15.75" customHeight="1">
      <c r="A706" s="27"/>
      <c r="B706" s="31" t="s">
        <v>31</v>
      </c>
      <c r="C706" s="29" t="s">
        <v>2583</v>
      </c>
      <c r="D706" s="39" t="s">
        <v>2584</v>
      </c>
      <c r="E706" s="28" t="s">
        <v>28</v>
      </c>
      <c r="F706" s="28" t="s">
        <v>29</v>
      </c>
      <c r="G706" s="31" t="s">
        <v>37</v>
      </c>
      <c r="H706" s="28"/>
      <c r="I706" s="28" t="s">
        <v>38</v>
      </c>
      <c r="J706" s="31">
        <v>145.0</v>
      </c>
      <c r="K706" s="28"/>
      <c r="L706" s="31" t="s">
        <v>2585</v>
      </c>
      <c r="M706" s="28" t="s">
        <v>83</v>
      </c>
      <c r="N706" s="31">
        <v>1967.0</v>
      </c>
      <c r="O706" s="31">
        <v>8.0</v>
      </c>
      <c r="P706" s="31">
        <v>1.0</v>
      </c>
      <c r="Q706" s="37">
        <v>1.0</v>
      </c>
      <c r="R706" s="33"/>
      <c r="S706" s="34"/>
      <c r="T706" s="34"/>
      <c r="U706" s="34"/>
      <c r="V706" s="34"/>
      <c r="W706" s="34"/>
      <c r="X706" s="34"/>
      <c r="Y706" s="45"/>
      <c r="Z706" s="45"/>
      <c r="AA706" s="45"/>
      <c r="AB706" s="45"/>
      <c r="AC706" s="45"/>
      <c r="AD706" s="45"/>
      <c r="AE706" s="45"/>
      <c r="AF706" s="45"/>
      <c r="AG706" s="45"/>
      <c r="AH706" s="45"/>
      <c r="AI706" s="45"/>
      <c r="AJ706" s="45"/>
      <c r="AK706" s="45"/>
      <c r="AL706" s="45"/>
    </row>
    <row r="707" ht="15.75" customHeight="1">
      <c r="A707" s="27">
        <f>A705+1</f>
        <v>58</v>
      </c>
      <c r="B707" s="28" t="s">
        <v>31</v>
      </c>
      <c r="C707" s="29" t="s">
        <v>2586</v>
      </c>
      <c r="D707" s="30" t="s">
        <v>2587</v>
      </c>
      <c r="E707" s="28" t="s">
        <v>28</v>
      </c>
      <c r="F707" s="28" t="s">
        <v>29</v>
      </c>
      <c r="G707" s="28" t="s">
        <v>38</v>
      </c>
      <c r="H707" s="28"/>
      <c r="I707" s="28" t="s">
        <v>38</v>
      </c>
      <c r="J707" s="31">
        <v>239.0</v>
      </c>
      <c r="K707" s="28"/>
      <c r="L707" s="31" t="s">
        <v>2588</v>
      </c>
      <c r="M707" s="28" t="s">
        <v>2589</v>
      </c>
      <c r="N707" s="28">
        <v>1960.0</v>
      </c>
      <c r="O707" s="31">
        <v>9.0</v>
      </c>
      <c r="P707" s="28">
        <v>1.0</v>
      </c>
      <c r="Q707" s="37">
        <v>1.0</v>
      </c>
      <c r="R707" s="33"/>
      <c r="S707" s="34"/>
      <c r="T707" s="34"/>
      <c r="U707" s="34"/>
      <c r="V707" s="34"/>
      <c r="W707" s="34"/>
      <c r="X707" s="34"/>
      <c r="Y707" s="45"/>
      <c r="Z707" s="45"/>
      <c r="AA707" s="45"/>
      <c r="AB707" s="45"/>
      <c r="AC707" s="45"/>
      <c r="AD707" s="45"/>
      <c r="AE707" s="45"/>
      <c r="AF707" s="45"/>
      <c r="AG707" s="45"/>
      <c r="AH707" s="45"/>
      <c r="AI707" s="45"/>
      <c r="AJ707" s="45"/>
      <c r="AK707" s="45"/>
      <c r="AL707" s="45"/>
    </row>
    <row r="708" ht="15.75" customHeight="1">
      <c r="A708" s="27">
        <f t="shared" ref="A708:A837" si="17">A707+1</f>
        <v>59</v>
      </c>
      <c r="B708" s="28" t="s">
        <v>2590</v>
      </c>
      <c r="C708" s="29" t="s">
        <v>2591</v>
      </c>
      <c r="D708" s="39" t="s">
        <v>2592</v>
      </c>
      <c r="E708" s="28" t="s">
        <v>28</v>
      </c>
      <c r="F708" s="28" t="s">
        <v>29</v>
      </c>
      <c r="G708" s="28" t="s">
        <v>37</v>
      </c>
      <c r="H708" s="28"/>
      <c r="I708" s="28" t="s">
        <v>38</v>
      </c>
      <c r="J708" s="28">
        <f>648</f>
        <v>648</v>
      </c>
      <c r="K708" s="28"/>
      <c r="L708" s="28" t="s">
        <v>2593</v>
      </c>
      <c r="M708" s="28" t="s">
        <v>49</v>
      </c>
      <c r="N708" s="28">
        <v>1972.0</v>
      </c>
      <c r="O708" s="31">
        <v>9.0</v>
      </c>
      <c r="P708" s="28">
        <v>1.0</v>
      </c>
      <c r="Q708" s="37">
        <v>1.0</v>
      </c>
      <c r="R708" s="33"/>
      <c r="S708" s="34"/>
      <c r="T708" s="34"/>
      <c r="U708" s="34"/>
      <c r="V708" s="34"/>
      <c r="W708" s="34"/>
      <c r="X708" s="34"/>
      <c r="Y708" s="45"/>
      <c r="Z708" s="45"/>
      <c r="AA708" s="45"/>
      <c r="AB708" s="45"/>
      <c r="AC708" s="45"/>
      <c r="AD708" s="45"/>
      <c r="AE708" s="45"/>
      <c r="AF708" s="45"/>
      <c r="AG708" s="45"/>
      <c r="AH708" s="45"/>
      <c r="AI708" s="45"/>
      <c r="AJ708" s="45"/>
      <c r="AK708" s="45"/>
      <c r="AL708" s="45"/>
    </row>
    <row r="709" ht="15.75" customHeight="1">
      <c r="A709" s="27">
        <f t="shared" si="17"/>
        <v>60</v>
      </c>
      <c r="B709" s="28" t="s">
        <v>2594</v>
      </c>
      <c r="C709" s="29" t="s">
        <v>2595</v>
      </c>
      <c r="D709" s="39" t="s">
        <v>2596</v>
      </c>
      <c r="E709" s="28" t="s">
        <v>144</v>
      </c>
      <c r="F709" s="28" t="s">
        <v>29</v>
      </c>
      <c r="G709" s="28" t="s">
        <v>37</v>
      </c>
      <c r="H709" s="28"/>
      <c r="I709" s="28" t="s">
        <v>38</v>
      </c>
      <c r="J709" s="31">
        <v>928.0</v>
      </c>
      <c r="K709" s="28"/>
      <c r="L709" s="28" t="s">
        <v>2597</v>
      </c>
      <c r="M709" s="28" t="s">
        <v>49</v>
      </c>
      <c r="N709" s="28">
        <v>1997.0</v>
      </c>
      <c r="O709" s="31">
        <v>7.0</v>
      </c>
      <c r="P709" s="28">
        <v>1.0</v>
      </c>
      <c r="Q709" s="114">
        <v>1.0</v>
      </c>
      <c r="R709" s="33"/>
      <c r="S709" s="34"/>
      <c r="T709" s="34"/>
      <c r="U709" s="34"/>
      <c r="V709" s="34"/>
      <c r="W709" s="34"/>
      <c r="X709" s="34"/>
      <c r="Y709" s="45"/>
      <c r="Z709" s="45"/>
      <c r="AA709" s="45"/>
      <c r="AB709" s="45"/>
      <c r="AC709" s="45"/>
      <c r="AD709" s="45"/>
      <c r="AE709" s="45"/>
      <c r="AF709" s="45"/>
      <c r="AG709" s="45"/>
      <c r="AH709" s="45"/>
      <c r="AI709" s="45"/>
      <c r="AJ709" s="45"/>
      <c r="AK709" s="45"/>
      <c r="AL709" s="45"/>
    </row>
    <row r="710" ht="15.75" customHeight="1">
      <c r="A710" s="27">
        <f t="shared" si="17"/>
        <v>61</v>
      </c>
      <c r="B710" s="28" t="s">
        <v>2598</v>
      </c>
      <c r="C710" s="29" t="s">
        <v>2599</v>
      </c>
      <c r="D710" s="30" t="s">
        <v>2600</v>
      </c>
      <c r="E710" s="28" t="s">
        <v>2601</v>
      </c>
      <c r="F710" s="28" t="s">
        <v>29</v>
      </c>
      <c r="G710" s="28" t="s">
        <v>37</v>
      </c>
      <c r="H710" s="28"/>
      <c r="I710" s="28" t="s">
        <v>38</v>
      </c>
      <c r="J710" s="28">
        <f>466+21</f>
        <v>487</v>
      </c>
      <c r="K710" s="28"/>
      <c r="L710" s="28" t="s">
        <v>2602</v>
      </c>
      <c r="M710" s="28" t="s">
        <v>230</v>
      </c>
      <c r="N710" s="28">
        <v>2010.0</v>
      </c>
      <c r="O710" s="31" t="s">
        <v>89</v>
      </c>
      <c r="P710" s="28">
        <v>1.0</v>
      </c>
      <c r="Q710" s="32"/>
      <c r="R710" s="33"/>
      <c r="S710" s="34"/>
      <c r="T710" s="34"/>
      <c r="U710" s="34"/>
      <c r="V710" s="34"/>
      <c r="W710" s="34"/>
      <c r="X710" s="34"/>
      <c r="Y710" s="45"/>
      <c r="Z710" s="45"/>
      <c r="AA710" s="45"/>
      <c r="AB710" s="45"/>
      <c r="AC710" s="45"/>
      <c r="AD710" s="45"/>
      <c r="AE710" s="45"/>
      <c r="AF710" s="45"/>
      <c r="AG710" s="45"/>
      <c r="AH710" s="45"/>
      <c r="AI710" s="45"/>
      <c r="AJ710" s="45"/>
      <c r="AK710" s="45"/>
      <c r="AL710" s="45"/>
    </row>
    <row r="711" ht="15.75" customHeight="1">
      <c r="A711" s="27">
        <f t="shared" si="17"/>
        <v>62</v>
      </c>
      <c r="B711" s="28"/>
      <c r="C711" s="29" t="s">
        <v>2603</v>
      </c>
      <c r="D711" s="39" t="s">
        <v>2604</v>
      </c>
      <c r="E711" s="28" t="s">
        <v>144</v>
      </c>
      <c r="F711" s="28" t="s">
        <v>29</v>
      </c>
      <c r="G711" s="28" t="s">
        <v>37</v>
      </c>
      <c r="H711" s="28"/>
      <c r="I711" s="28" t="s">
        <v>38</v>
      </c>
      <c r="J711" s="31">
        <v>362.0</v>
      </c>
      <c r="K711" s="28"/>
      <c r="L711" s="28" t="s">
        <v>2605</v>
      </c>
      <c r="M711" s="28" t="s">
        <v>2606</v>
      </c>
      <c r="N711" s="28">
        <v>1937.0</v>
      </c>
      <c r="O711" s="31">
        <v>8.0</v>
      </c>
      <c r="P711" s="28">
        <v>1.0</v>
      </c>
      <c r="Q711" s="32">
        <v>1.0</v>
      </c>
      <c r="R711" s="33"/>
      <c r="S711" s="34"/>
      <c r="T711" s="34"/>
      <c r="U711" s="34"/>
      <c r="V711" s="34"/>
      <c r="W711" s="34"/>
      <c r="X711" s="34"/>
      <c r="Y711" s="45"/>
      <c r="Z711" s="45"/>
      <c r="AA711" s="45"/>
      <c r="AB711" s="45"/>
      <c r="AC711" s="45"/>
      <c r="AD711" s="45"/>
      <c r="AE711" s="45"/>
      <c r="AF711" s="45"/>
      <c r="AG711" s="45"/>
      <c r="AH711" s="45"/>
      <c r="AI711" s="45"/>
      <c r="AJ711" s="45"/>
      <c r="AK711" s="45"/>
      <c r="AL711" s="45"/>
    </row>
    <row r="712" ht="15.75" customHeight="1">
      <c r="A712" s="27">
        <f t="shared" si="17"/>
        <v>63</v>
      </c>
      <c r="B712" s="28" t="s">
        <v>2607</v>
      </c>
      <c r="C712" s="29" t="s">
        <v>2608</v>
      </c>
      <c r="D712" s="39" t="s">
        <v>2609</v>
      </c>
      <c r="E712" s="28" t="s">
        <v>28</v>
      </c>
      <c r="F712" s="28" t="s">
        <v>29</v>
      </c>
      <c r="G712" s="28" t="s">
        <v>37</v>
      </c>
      <c r="H712" s="28"/>
      <c r="I712" s="28" t="s">
        <v>38</v>
      </c>
      <c r="J712" s="28">
        <f>246</f>
        <v>246</v>
      </c>
      <c r="K712" s="28"/>
      <c r="L712" s="28" t="s">
        <v>2610</v>
      </c>
      <c r="M712" s="28" t="s">
        <v>1434</v>
      </c>
      <c r="N712" s="28">
        <v>2009.0</v>
      </c>
      <c r="O712" s="31" t="s">
        <v>494</v>
      </c>
      <c r="P712" s="28">
        <v>1.0</v>
      </c>
      <c r="Q712" s="37">
        <v>1.0</v>
      </c>
      <c r="R712" s="33"/>
      <c r="S712" s="40"/>
      <c r="T712" s="40"/>
      <c r="U712" s="40"/>
      <c r="V712" s="40"/>
      <c r="W712" s="40"/>
      <c r="X712" s="40"/>
      <c r="Y712" s="45"/>
      <c r="Z712" s="45"/>
      <c r="AA712" s="45"/>
      <c r="AB712" s="45"/>
      <c r="AC712" s="45"/>
      <c r="AD712" s="45"/>
      <c r="AE712" s="45"/>
      <c r="AF712" s="45"/>
      <c r="AG712" s="45"/>
      <c r="AH712" s="45"/>
      <c r="AI712" s="45"/>
      <c r="AJ712" s="45"/>
      <c r="AK712" s="45"/>
      <c r="AL712" s="45"/>
    </row>
    <row r="713" ht="15.75" customHeight="1">
      <c r="A713" s="27">
        <f t="shared" si="17"/>
        <v>64</v>
      </c>
      <c r="B713" s="28" t="s">
        <v>1134</v>
      </c>
      <c r="C713" s="29" t="s">
        <v>1585</v>
      </c>
      <c r="D713" s="30" t="s">
        <v>2611</v>
      </c>
      <c r="E713" s="28" t="s">
        <v>28</v>
      </c>
      <c r="F713" s="28" t="s">
        <v>29</v>
      </c>
      <c r="G713" s="28" t="s">
        <v>37</v>
      </c>
      <c r="H713" s="28"/>
      <c r="I713" s="28" t="s">
        <v>38</v>
      </c>
      <c r="J713" s="28">
        <f>204+12</f>
        <v>216</v>
      </c>
      <c r="K713" s="28"/>
      <c r="L713" s="28" t="s">
        <v>2612</v>
      </c>
      <c r="M713" s="28" t="s">
        <v>83</v>
      </c>
      <c r="N713" s="28">
        <v>2008.0</v>
      </c>
      <c r="O713" s="31" t="s">
        <v>2037</v>
      </c>
      <c r="P713" s="28">
        <v>1.0</v>
      </c>
      <c r="Q713" s="32">
        <v>1.0</v>
      </c>
      <c r="R713" s="33"/>
      <c r="S713" s="38"/>
      <c r="T713" s="38"/>
      <c r="U713" s="38"/>
      <c r="V713" s="38"/>
      <c r="W713" s="38"/>
      <c r="X713" s="38"/>
      <c r="Y713" s="45"/>
      <c r="Z713" s="45"/>
      <c r="AA713" s="45"/>
      <c r="AB713" s="45"/>
      <c r="AC713" s="45"/>
      <c r="AD713" s="45"/>
      <c r="AE713" s="45"/>
      <c r="AF713" s="45"/>
      <c r="AG713" s="45"/>
      <c r="AH713" s="45"/>
      <c r="AI713" s="45"/>
      <c r="AJ713" s="45"/>
      <c r="AK713" s="45"/>
      <c r="AL713" s="45"/>
    </row>
    <row r="714" ht="15.75" customHeight="1">
      <c r="A714" s="27">
        <f t="shared" si="17"/>
        <v>65</v>
      </c>
      <c r="B714" s="28" t="s">
        <v>2613</v>
      </c>
      <c r="C714" s="29" t="s">
        <v>2614</v>
      </c>
      <c r="D714" s="30" t="s">
        <v>1970</v>
      </c>
      <c r="E714" s="28" t="s">
        <v>28</v>
      </c>
      <c r="F714" s="28" t="s">
        <v>29</v>
      </c>
      <c r="G714" s="28" t="s">
        <v>37</v>
      </c>
      <c r="H714" s="28"/>
      <c r="I714" s="28" t="s">
        <v>38</v>
      </c>
      <c r="J714" s="28">
        <f>424+15</f>
        <v>439</v>
      </c>
      <c r="K714" s="28"/>
      <c r="L714" s="28" t="s">
        <v>1950</v>
      </c>
      <c r="M714" s="28" t="s">
        <v>1478</v>
      </c>
      <c r="N714" s="28">
        <v>2004.0</v>
      </c>
      <c r="O714" s="31">
        <v>5.0</v>
      </c>
      <c r="P714" s="28">
        <v>1.0</v>
      </c>
      <c r="Q714" s="32">
        <v>1.0</v>
      </c>
      <c r="R714" s="33"/>
      <c r="S714" s="40"/>
      <c r="T714" s="40"/>
      <c r="U714" s="40"/>
      <c r="V714" s="40"/>
      <c r="W714" s="40"/>
      <c r="X714" s="40"/>
      <c r="Y714" s="45"/>
      <c r="Z714" s="45"/>
      <c r="AA714" s="45"/>
      <c r="AB714" s="45"/>
      <c r="AC714" s="45"/>
      <c r="AD714" s="45"/>
      <c r="AE714" s="45"/>
      <c r="AF714" s="45"/>
      <c r="AG714" s="45"/>
      <c r="AH714" s="45"/>
      <c r="AI714" s="45"/>
      <c r="AJ714" s="45"/>
      <c r="AK714" s="45"/>
      <c r="AL714" s="45"/>
    </row>
    <row r="715" ht="15.75" customHeight="1">
      <c r="A715" s="27">
        <f t="shared" si="17"/>
        <v>66</v>
      </c>
      <c r="B715" s="28" t="s">
        <v>2615</v>
      </c>
      <c r="C715" s="29" t="s">
        <v>2616</v>
      </c>
      <c r="D715" s="39" t="s">
        <v>2617</v>
      </c>
      <c r="E715" s="28" t="s">
        <v>144</v>
      </c>
      <c r="F715" s="28" t="s">
        <v>29</v>
      </c>
      <c r="G715" s="28" t="s">
        <v>37</v>
      </c>
      <c r="H715" s="28"/>
      <c r="I715" s="28" t="s">
        <v>38</v>
      </c>
      <c r="J715" s="28">
        <f>362+13</f>
        <v>375</v>
      </c>
      <c r="K715" s="28"/>
      <c r="L715" s="31" t="s">
        <v>2005</v>
      </c>
      <c r="M715" s="28" t="s">
        <v>230</v>
      </c>
      <c r="N715" s="31">
        <v>1979.0</v>
      </c>
      <c r="O715" s="31">
        <v>5.0</v>
      </c>
      <c r="P715" s="28">
        <v>1.0</v>
      </c>
      <c r="Q715" s="32">
        <v>1.0</v>
      </c>
      <c r="R715" s="33"/>
      <c r="S715" s="34"/>
      <c r="T715" s="34"/>
      <c r="U715" s="34"/>
      <c r="V715" s="34"/>
      <c r="W715" s="34"/>
      <c r="X715" s="34"/>
      <c r="Y715" s="45"/>
      <c r="Z715" s="45"/>
      <c r="AA715" s="45"/>
      <c r="AB715" s="45"/>
      <c r="AC715" s="45"/>
      <c r="AD715" s="45"/>
      <c r="AE715" s="45"/>
      <c r="AF715" s="45"/>
      <c r="AG715" s="45"/>
      <c r="AH715" s="45"/>
      <c r="AI715" s="45"/>
      <c r="AJ715" s="45"/>
      <c r="AK715" s="45"/>
      <c r="AL715" s="45"/>
    </row>
    <row r="716" ht="15.75" customHeight="1">
      <c r="A716" s="27">
        <f t="shared" si="17"/>
        <v>67</v>
      </c>
      <c r="B716" s="28" t="s">
        <v>2618</v>
      </c>
      <c r="C716" s="29" t="s">
        <v>2619</v>
      </c>
      <c r="D716" s="30" t="s">
        <v>2620</v>
      </c>
      <c r="E716" s="28" t="s">
        <v>144</v>
      </c>
      <c r="F716" s="28" t="s">
        <v>29</v>
      </c>
      <c r="G716" s="28" t="s">
        <v>37</v>
      </c>
      <c r="H716" s="28"/>
      <c r="I716" s="28" t="s">
        <v>38</v>
      </c>
      <c r="J716" s="28">
        <f>192+10</f>
        <v>202</v>
      </c>
      <c r="K716" s="28"/>
      <c r="L716" s="28" t="s">
        <v>2621</v>
      </c>
      <c r="M716" s="28" t="s">
        <v>2622</v>
      </c>
      <c r="N716" s="28">
        <v>2015.0</v>
      </c>
      <c r="O716" s="31" t="s">
        <v>89</v>
      </c>
      <c r="P716" s="28">
        <v>1.0</v>
      </c>
      <c r="Q716" s="37">
        <v>1.0</v>
      </c>
      <c r="R716" s="33"/>
      <c r="S716" s="34"/>
      <c r="T716" s="34"/>
      <c r="U716" s="34"/>
      <c r="V716" s="34"/>
      <c r="W716" s="34"/>
      <c r="X716" s="34"/>
      <c r="Y716" s="45"/>
      <c r="Z716" s="45"/>
      <c r="AA716" s="45"/>
      <c r="AB716" s="45"/>
      <c r="AC716" s="45"/>
      <c r="AD716" s="45"/>
      <c r="AE716" s="45"/>
      <c r="AF716" s="45"/>
      <c r="AG716" s="45"/>
      <c r="AH716" s="45"/>
      <c r="AI716" s="45"/>
      <c r="AJ716" s="45"/>
      <c r="AK716" s="45"/>
      <c r="AL716" s="45"/>
    </row>
    <row r="717" ht="15.75" customHeight="1">
      <c r="A717" s="27">
        <f t="shared" si="17"/>
        <v>68</v>
      </c>
      <c r="B717" s="28" t="s">
        <v>2623</v>
      </c>
      <c r="C717" s="29" t="s">
        <v>2624</v>
      </c>
      <c r="D717" s="39" t="s">
        <v>2625</v>
      </c>
      <c r="E717" s="28" t="s">
        <v>28</v>
      </c>
      <c r="F717" s="28" t="s">
        <v>29</v>
      </c>
      <c r="G717" s="28" t="s">
        <v>37</v>
      </c>
      <c r="H717" s="28"/>
      <c r="I717" s="28" t="s">
        <v>38</v>
      </c>
      <c r="J717" s="28">
        <v>168.0</v>
      </c>
      <c r="K717" s="28"/>
      <c r="L717" s="28" t="s">
        <v>2626</v>
      </c>
      <c r="M717" s="28" t="s">
        <v>250</v>
      </c>
      <c r="N717" s="28">
        <v>2008.0</v>
      </c>
      <c r="O717" s="31" t="s">
        <v>494</v>
      </c>
      <c r="P717" s="28">
        <v>1.0</v>
      </c>
      <c r="Q717" s="37">
        <v>1.0</v>
      </c>
      <c r="R717" s="33"/>
      <c r="S717" s="34"/>
      <c r="T717" s="34"/>
      <c r="U717" s="34"/>
      <c r="V717" s="34"/>
      <c r="W717" s="34"/>
      <c r="X717" s="34"/>
      <c r="Y717" s="3"/>
      <c r="Z717" s="3"/>
      <c r="AA717" s="3"/>
      <c r="AB717" s="3"/>
      <c r="AC717" s="3"/>
      <c r="AD717" s="3"/>
      <c r="AE717" s="3"/>
      <c r="AF717" s="3"/>
      <c r="AG717" s="3"/>
      <c r="AH717" s="3"/>
      <c r="AI717" s="3"/>
      <c r="AJ717" s="3"/>
      <c r="AK717" s="3"/>
      <c r="AL717" s="3"/>
    </row>
    <row r="718" ht="15.75" customHeight="1">
      <c r="A718" s="115">
        <f t="shared" si="17"/>
        <v>69</v>
      </c>
      <c r="B718" s="28" t="s">
        <v>1459</v>
      </c>
      <c r="C718" s="29" t="s">
        <v>1460</v>
      </c>
      <c r="D718" s="39" t="s">
        <v>2627</v>
      </c>
      <c r="E718" s="28" t="s">
        <v>28</v>
      </c>
      <c r="F718" s="28" t="s">
        <v>29</v>
      </c>
      <c r="G718" s="28" t="s">
        <v>37</v>
      </c>
      <c r="H718" s="28"/>
      <c r="I718" s="28" t="s">
        <v>38</v>
      </c>
      <c r="J718" s="28">
        <f>180</f>
        <v>180</v>
      </c>
      <c r="K718" s="28"/>
      <c r="L718" s="28" t="s">
        <v>2628</v>
      </c>
      <c r="M718" s="28" t="s">
        <v>1434</v>
      </c>
      <c r="N718" s="28">
        <v>2009.0</v>
      </c>
      <c r="O718" s="31" t="s">
        <v>494</v>
      </c>
      <c r="P718" s="28">
        <v>1.0</v>
      </c>
      <c r="Q718" s="37">
        <v>1.0</v>
      </c>
      <c r="R718" s="33"/>
      <c r="S718" s="34"/>
      <c r="T718" s="34"/>
      <c r="U718" s="34"/>
      <c r="V718" s="34"/>
      <c r="W718" s="34"/>
      <c r="X718" s="34"/>
      <c r="Y718" s="3"/>
      <c r="Z718" s="3"/>
      <c r="AA718" s="3"/>
      <c r="AB718" s="3"/>
      <c r="AC718" s="3"/>
      <c r="AD718" s="3"/>
      <c r="AE718" s="3"/>
      <c r="AF718" s="3"/>
      <c r="AG718" s="3"/>
      <c r="AH718" s="3"/>
      <c r="AI718" s="3"/>
      <c r="AJ718" s="3"/>
      <c r="AK718" s="3"/>
      <c r="AL718" s="3"/>
    </row>
    <row r="719" ht="15.75" customHeight="1">
      <c r="A719" s="115">
        <f t="shared" si="17"/>
        <v>70</v>
      </c>
      <c r="B719" s="28" t="s">
        <v>2629</v>
      </c>
      <c r="C719" s="29" t="s">
        <v>2630</v>
      </c>
      <c r="D719" s="39" t="s">
        <v>2631</v>
      </c>
      <c r="E719" s="28" t="s">
        <v>28</v>
      </c>
      <c r="F719" s="28" t="s">
        <v>29</v>
      </c>
      <c r="G719" s="28" t="s">
        <v>37</v>
      </c>
      <c r="H719" s="28"/>
      <c r="I719" s="28" t="s">
        <v>38</v>
      </c>
      <c r="J719" s="28">
        <f>274</f>
        <v>274</v>
      </c>
      <c r="K719" s="28"/>
      <c r="L719" s="28" t="s">
        <v>2632</v>
      </c>
      <c r="M719" s="28" t="s">
        <v>1434</v>
      </c>
      <c r="N719" s="28">
        <v>2008.0</v>
      </c>
      <c r="O719" s="31" t="s">
        <v>494</v>
      </c>
      <c r="P719" s="28">
        <v>1.0</v>
      </c>
      <c r="Q719" s="37">
        <v>1.0</v>
      </c>
      <c r="R719" s="33"/>
      <c r="S719" s="34"/>
      <c r="T719" s="34"/>
      <c r="U719" s="34"/>
      <c r="V719" s="34"/>
      <c r="W719" s="34"/>
      <c r="X719" s="34"/>
      <c r="Y719" s="3"/>
      <c r="Z719" s="3"/>
      <c r="AA719" s="3"/>
      <c r="AB719" s="3"/>
      <c r="AC719" s="3"/>
      <c r="AD719" s="3"/>
      <c r="AE719" s="3"/>
      <c r="AF719" s="3"/>
      <c r="AG719" s="3"/>
      <c r="AH719" s="3"/>
      <c r="AI719" s="3"/>
      <c r="AJ719" s="3"/>
      <c r="AK719" s="3"/>
      <c r="AL719" s="3"/>
    </row>
    <row r="720" ht="15.75" customHeight="1">
      <c r="A720" s="115">
        <f t="shared" si="17"/>
        <v>71</v>
      </c>
      <c r="B720" s="28" t="s">
        <v>2633</v>
      </c>
      <c r="C720" s="29" t="s">
        <v>2634</v>
      </c>
      <c r="D720" s="39" t="s">
        <v>2635</v>
      </c>
      <c r="E720" s="28" t="s">
        <v>28</v>
      </c>
      <c r="F720" s="28" t="s">
        <v>29</v>
      </c>
      <c r="G720" s="28" t="s">
        <v>37</v>
      </c>
      <c r="H720" s="28"/>
      <c r="I720" s="28" t="s">
        <v>38</v>
      </c>
      <c r="J720" s="28">
        <f>339</f>
        <v>339</v>
      </c>
      <c r="K720" s="28"/>
      <c r="L720" s="28" t="s">
        <v>2636</v>
      </c>
      <c r="M720" s="28" t="s">
        <v>1434</v>
      </c>
      <c r="N720" s="28">
        <v>2009.0</v>
      </c>
      <c r="O720" s="31" t="s">
        <v>494</v>
      </c>
      <c r="P720" s="28">
        <v>1.0</v>
      </c>
      <c r="Q720" s="37">
        <v>1.0</v>
      </c>
      <c r="R720" s="33"/>
      <c r="S720" s="34"/>
      <c r="T720" s="34"/>
      <c r="U720" s="34"/>
      <c r="V720" s="34"/>
      <c r="W720" s="34"/>
      <c r="X720" s="34"/>
      <c r="Y720" s="45"/>
      <c r="Z720" s="45"/>
      <c r="AA720" s="45"/>
      <c r="AB720" s="45"/>
      <c r="AC720" s="45"/>
      <c r="AD720" s="45"/>
      <c r="AE720" s="45"/>
      <c r="AF720" s="45"/>
      <c r="AG720" s="45"/>
      <c r="AH720" s="45"/>
      <c r="AI720" s="45"/>
      <c r="AJ720" s="45"/>
      <c r="AK720" s="45"/>
      <c r="AL720" s="45"/>
    </row>
    <row r="721" ht="15.75" customHeight="1">
      <c r="A721" s="115">
        <f t="shared" si="17"/>
        <v>72</v>
      </c>
      <c r="B721" s="28" t="s">
        <v>2637</v>
      </c>
      <c r="C721" s="29" t="s">
        <v>2638</v>
      </c>
      <c r="D721" s="39" t="s">
        <v>2639</v>
      </c>
      <c r="E721" s="28" t="s">
        <v>28</v>
      </c>
      <c r="F721" s="28" t="s">
        <v>29</v>
      </c>
      <c r="G721" s="28" t="s">
        <v>37</v>
      </c>
      <c r="H721" s="28"/>
      <c r="I721" s="28" t="s">
        <v>38</v>
      </c>
      <c r="J721" s="31">
        <v>352.0</v>
      </c>
      <c r="K721" s="28"/>
      <c r="L721" s="31" t="s">
        <v>2640</v>
      </c>
      <c r="M721" s="28" t="s">
        <v>1434</v>
      </c>
      <c r="N721" s="28">
        <v>2015.0</v>
      </c>
      <c r="O721" s="31" t="s">
        <v>494</v>
      </c>
      <c r="P721" s="28">
        <v>1.0</v>
      </c>
      <c r="Q721" s="37">
        <v>1.0</v>
      </c>
      <c r="R721" s="33"/>
      <c r="S721" s="40"/>
      <c r="T721" s="40"/>
      <c r="U721" s="40"/>
      <c r="V721" s="40"/>
      <c r="W721" s="40"/>
      <c r="X721" s="40"/>
      <c r="Y721" s="45"/>
      <c r="Z721" s="45"/>
      <c r="AA721" s="45"/>
      <c r="AB721" s="45"/>
      <c r="AC721" s="45"/>
      <c r="AD721" s="45"/>
      <c r="AE721" s="45"/>
      <c r="AF721" s="45"/>
      <c r="AG721" s="45"/>
      <c r="AH721" s="45"/>
      <c r="AI721" s="45"/>
      <c r="AJ721" s="45"/>
      <c r="AK721" s="45"/>
      <c r="AL721" s="45"/>
    </row>
    <row r="722" ht="15.75" customHeight="1">
      <c r="A722" s="115">
        <f t="shared" si="17"/>
        <v>73</v>
      </c>
      <c r="B722" s="28" t="s">
        <v>2641</v>
      </c>
      <c r="C722" s="29" t="s">
        <v>2642</v>
      </c>
      <c r="D722" s="30" t="s">
        <v>2643</v>
      </c>
      <c r="E722" s="28" t="s">
        <v>28</v>
      </c>
      <c r="F722" s="28" t="s">
        <v>29</v>
      </c>
      <c r="G722" s="28" t="s">
        <v>37</v>
      </c>
      <c r="H722" s="28" t="s">
        <v>31</v>
      </c>
      <c r="I722" s="28" t="s">
        <v>38</v>
      </c>
      <c r="J722" s="28">
        <v>318.0</v>
      </c>
      <c r="K722" s="28"/>
      <c r="L722" s="31" t="s">
        <v>2644</v>
      </c>
      <c r="M722" s="28" t="s">
        <v>250</v>
      </c>
      <c r="N722" s="28">
        <v>1968.0</v>
      </c>
      <c r="O722" s="31" t="s">
        <v>494</v>
      </c>
      <c r="P722" s="28">
        <v>2.0</v>
      </c>
      <c r="Q722" s="37">
        <v>1.0</v>
      </c>
      <c r="R722" s="33"/>
      <c r="S722" s="40"/>
      <c r="T722" s="40"/>
      <c r="U722" s="40"/>
      <c r="V722" s="40"/>
      <c r="W722" s="40"/>
      <c r="X722" s="40"/>
      <c r="Y722" s="45"/>
      <c r="Z722" s="45"/>
      <c r="AA722" s="45"/>
      <c r="AB722" s="45"/>
      <c r="AC722" s="45"/>
      <c r="AD722" s="45"/>
      <c r="AE722" s="45"/>
      <c r="AF722" s="45"/>
      <c r="AG722" s="45"/>
      <c r="AH722" s="45"/>
      <c r="AI722" s="45"/>
      <c r="AJ722" s="45"/>
      <c r="AK722" s="45"/>
      <c r="AL722" s="45"/>
    </row>
    <row r="723" ht="15.75" customHeight="1">
      <c r="A723" s="115">
        <f t="shared" si="17"/>
        <v>74</v>
      </c>
      <c r="B723" s="28" t="s">
        <v>2645</v>
      </c>
      <c r="C723" s="29" t="s">
        <v>2646</v>
      </c>
      <c r="D723" s="30" t="s">
        <v>2647</v>
      </c>
      <c r="E723" s="28" t="s">
        <v>28</v>
      </c>
      <c r="F723" s="28" t="s">
        <v>29</v>
      </c>
      <c r="G723" s="28" t="s">
        <v>37</v>
      </c>
      <c r="H723" s="28" t="s">
        <v>31</v>
      </c>
      <c r="I723" s="28" t="s">
        <v>38</v>
      </c>
      <c r="J723" s="28">
        <v>320.0</v>
      </c>
      <c r="K723" s="28"/>
      <c r="L723" s="31" t="s">
        <v>1489</v>
      </c>
      <c r="M723" s="28" t="s">
        <v>250</v>
      </c>
      <c r="N723" s="28">
        <v>1974.0</v>
      </c>
      <c r="O723" s="31" t="s">
        <v>494</v>
      </c>
      <c r="P723" s="28">
        <v>1.0</v>
      </c>
      <c r="Q723" s="37">
        <v>1.0</v>
      </c>
      <c r="R723" s="33"/>
      <c r="S723" s="34"/>
      <c r="T723" s="34"/>
      <c r="U723" s="34"/>
      <c r="V723" s="34"/>
      <c r="W723" s="34"/>
      <c r="X723" s="34"/>
      <c r="Y723" s="45"/>
      <c r="Z723" s="45"/>
      <c r="AA723" s="45"/>
      <c r="AB723" s="45"/>
      <c r="AC723" s="45"/>
      <c r="AD723" s="45"/>
      <c r="AE723" s="45"/>
      <c r="AF723" s="45"/>
      <c r="AG723" s="45"/>
      <c r="AH723" s="45"/>
      <c r="AI723" s="45"/>
      <c r="AJ723" s="45"/>
      <c r="AK723" s="45"/>
      <c r="AL723" s="45"/>
    </row>
    <row r="724" ht="15.75" customHeight="1">
      <c r="A724" s="115">
        <f t="shared" si="17"/>
        <v>75</v>
      </c>
      <c r="B724" s="28" t="s">
        <v>2648</v>
      </c>
      <c r="C724" s="29" t="s">
        <v>2649</v>
      </c>
      <c r="D724" s="30" t="s">
        <v>2650</v>
      </c>
      <c r="E724" s="28" t="s">
        <v>28</v>
      </c>
      <c r="F724" s="28" t="s">
        <v>29</v>
      </c>
      <c r="G724" s="28" t="s">
        <v>37</v>
      </c>
      <c r="H724" s="28" t="s">
        <v>31</v>
      </c>
      <c r="I724" s="28" t="s">
        <v>38</v>
      </c>
      <c r="J724" s="28">
        <v>173.0</v>
      </c>
      <c r="K724" s="28"/>
      <c r="L724" s="31" t="s">
        <v>492</v>
      </c>
      <c r="M724" s="28" t="s">
        <v>250</v>
      </c>
      <c r="N724" s="28">
        <v>1979.0</v>
      </c>
      <c r="O724" s="31" t="s">
        <v>494</v>
      </c>
      <c r="P724" s="28">
        <v>1.0</v>
      </c>
      <c r="Q724" s="37">
        <v>1.0</v>
      </c>
      <c r="R724" s="33"/>
      <c r="S724" s="40"/>
      <c r="T724" s="40"/>
      <c r="U724" s="40"/>
      <c r="V724" s="40"/>
      <c r="W724" s="40"/>
      <c r="X724" s="40"/>
      <c r="Y724" s="3"/>
      <c r="Z724" s="3"/>
      <c r="AA724" s="3"/>
      <c r="AB724" s="3"/>
      <c r="AC724" s="3"/>
      <c r="AD724" s="3"/>
      <c r="AE724" s="3"/>
      <c r="AF724" s="3"/>
      <c r="AG724" s="3"/>
      <c r="AH724" s="3"/>
      <c r="AI724" s="3"/>
      <c r="AJ724" s="3"/>
      <c r="AK724" s="3"/>
      <c r="AL724" s="3"/>
    </row>
    <row r="725" ht="15.75" customHeight="1">
      <c r="A725" s="115">
        <f t="shared" si="17"/>
        <v>76</v>
      </c>
      <c r="B725" s="31" t="s">
        <v>2651</v>
      </c>
      <c r="C725" s="47" t="s">
        <v>2652</v>
      </c>
      <c r="D725" s="39" t="s">
        <v>2653</v>
      </c>
      <c r="E725" s="28" t="s">
        <v>28</v>
      </c>
      <c r="F725" s="28" t="s">
        <v>29</v>
      </c>
      <c r="G725" s="28" t="s">
        <v>37</v>
      </c>
      <c r="H725" s="28" t="s">
        <v>31</v>
      </c>
      <c r="I725" s="28" t="s">
        <v>38</v>
      </c>
      <c r="J725" s="31">
        <v>826.0</v>
      </c>
      <c r="K725" s="28" t="s">
        <v>31</v>
      </c>
      <c r="L725" s="28" t="s">
        <v>675</v>
      </c>
      <c r="M725" s="28" t="s">
        <v>382</v>
      </c>
      <c r="N725" s="28">
        <v>2008.0</v>
      </c>
      <c r="O725" s="31">
        <v>4.0</v>
      </c>
      <c r="P725" s="28">
        <v>1.0</v>
      </c>
      <c r="Q725" s="37">
        <v>1.0</v>
      </c>
      <c r="R725" s="33"/>
      <c r="S725" s="40"/>
      <c r="T725" s="40"/>
      <c r="U725" s="40"/>
      <c r="V725" s="40"/>
      <c r="W725" s="40"/>
      <c r="X725" s="40"/>
      <c r="Y725" s="45"/>
      <c r="Z725" s="45"/>
      <c r="AA725" s="45"/>
      <c r="AB725" s="45"/>
      <c r="AC725" s="45"/>
      <c r="AD725" s="45"/>
      <c r="AE725" s="45"/>
      <c r="AF725" s="45"/>
      <c r="AG725" s="45"/>
      <c r="AH725" s="45"/>
      <c r="AI725" s="45"/>
      <c r="AJ725" s="45"/>
      <c r="AK725" s="45"/>
      <c r="AL725" s="45"/>
    </row>
    <row r="726" ht="15.75" customHeight="1">
      <c r="A726" s="115">
        <f t="shared" si="17"/>
        <v>77</v>
      </c>
      <c r="B726" s="31" t="s">
        <v>2651</v>
      </c>
      <c r="C726" s="47" t="s">
        <v>2654</v>
      </c>
      <c r="D726" s="39" t="s">
        <v>2655</v>
      </c>
      <c r="E726" s="28" t="s">
        <v>28</v>
      </c>
      <c r="F726" s="28" t="s">
        <v>29</v>
      </c>
      <c r="G726" s="28" t="s">
        <v>37</v>
      </c>
      <c r="H726" s="28" t="s">
        <v>31</v>
      </c>
      <c r="I726" s="28" t="s">
        <v>38</v>
      </c>
      <c r="J726" s="31">
        <v>989.0</v>
      </c>
      <c r="K726" s="28" t="s">
        <v>31</v>
      </c>
      <c r="L726" s="28" t="s">
        <v>675</v>
      </c>
      <c r="M726" s="28" t="s">
        <v>382</v>
      </c>
      <c r="N726" s="28">
        <v>2005.0</v>
      </c>
      <c r="O726" s="31">
        <v>4.0</v>
      </c>
      <c r="P726" s="28">
        <v>1.0</v>
      </c>
      <c r="Q726" s="32">
        <v>1.0</v>
      </c>
      <c r="R726" s="33"/>
      <c r="S726" s="34"/>
      <c r="T726" s="34"/>
      <c r="U726" s="34"/>
      <c r="V726" s="34"/>
      <c r="W726" s="34"/>
      <c r="X726" s="34"/>
      <c r="Y726" s="45"/>
      <c r="Z726" s="45"/>
      <c r="AA726" s="45"/>
      <c r="AB726" s="45"/>
      <c r="AC726" s="45"/>
      <c r="AD726" s="45"/>
      <c r="AE726" s="45"/>
      <c r="AF726" s="45"/>
      <c r="AG726" s="45"/>
      <c r="AH726" s="45"/>
      <c r="AI726" s="45"/>
      <c r="AJ726" s="45"/>
      <c r="AK726" s="45"/>
      <c r="AL726" s="45"/>
    </row>
    <row r="727" ht="15.75" customHeight="1">
      <c r="A727" s="115">
        <f t="shared" si="17"/>
        <v>78</v>
      </c>
      <c r="B727" s="28" t="s">
        <v>2656</v>
      </c>
      <c r="C727" s="47" t="s">
        <v>2104</v>
      </c>
      <c r="D727" s="39" t="s">
        <v>2657</v>
      </c>
      <c r="E727" s="28" t="s">
        <v>28</v>
      </c>
      <c r="F727" s="28" t="s">
        <v>29</v>
      </c>
      <c r="G727" s="28" t="s">
        <v>37</v>
      </c>
      <c r="H727" s="28" t="s">
        <v>31</v>
      </c>
      <c r="I727" s="28" t="s">
        <v>38</v>
      </c>
      <c r="J727" s="31">
        <v>636.0</v>
      </c>
      <c r="K727" s="28" t="s">
        <v>31</v>
      </c>
      <c r="L727" s="28" t="s">
        <v>679</v>
      </c>
      <c r="M727" s="28" t="s">
        <v>178</v>
      </c>
      <c r="N727" s="28">
        <v>1994.0</v>
      </c>
      <c r="O727" s="31">
        <v>6.0</v>
      </c>
      <c r="P727" s="28">
        <v>1.0</v>
      </c>
      <c r="Q727" s="32">
        <v>1.0</v>
      </c>
      <c r="R727" s="33"/>
      <c r="S727" s="40"/>
      <c r="T727" s="40"/>
      <c r="U727" s="40"/>
      <c r="V727" s="40"/>
      <c r="W727" s="40"/>
      <c r="X727" s="40"/>
      <c r="Y727" s="3"/>
      <c r="Z727" s="3"/>
      <c r="AA727" s="3"/>
      <c r="AB727" s="3"/>
      <c r="AC727" s="3"/>
      <c r="AD727" s="3"/>
      <c r="AE727" s="3"/>
      <c r="AF727" s="3"/>
      <c r="AG727" s="3"/>
      <c r="AH727" s="3"/>
      <c r="AI727" s="3"/>
      <c r="AJ727" s="3"/>
      <c r="AK727" s="3"/>
      <c r="AL727" s="3"/>
    </row>
    <row r="728" ht="15.75" customHeight="1">
      <c r="A728" s="115">
        <f t="shared" si="17"/>
        <v>79</v>
      </c>
      <c r="B728" s="31" t="s">
        <v>2658</v>
      </c>
      <c r="C728" s="47" t="s">
        <v>2659</v>
      </c>
      <c r="D728" s="39" t="s">
        <v>2660</v>
      </c>
      <c r="E728" s="28" t="s">
        <v>28</v>
      </c>
      <c r="F728" s="28" t="s">
        <v>29</v>
      </c>
      <c r="G728" s="28" t="s">
        <v>37</v>
      </c>
      <c r="H728" s="28" t="s">
        <v>31</v>
      </c>
      <c r="I728" s="28" t="s">
        <v>38</v>
      </c>
      <c r="J728" s="31">
        <v>571.0</v>
      </c>
      <c r="K728" s="28" t="s">
        <v>31</v>
      </c>
      <c r="L728" s="28" t="s">
        <v>2661</v>
      </c>
      <c r="M728" s="28" t="s">
        <v>123</v>
      </c>
      <c r="N728" s="28">
        <v>1992.0</v>
      </c>
      <c r="O728" s="31">
        <v>9.0</v>
      </c>
      <c r="P728" s="28">
        <v>1.0</v>
      </c>
      <c r="Q728" s="37">
        <v>1.0</v>
      </c>
      <c r="R728" s="33"/>
      <c r="S728" s="34"/>
      <c r="T728" s="34"/>
      <c r="U728" s="34"/>
      <c r="V728" s="34"/>
      <c r="W728" s="34"/>
      <c r="X728" s="34"/>
      <c r="Y728" s="45"/>
      <c r="Z728" s="45"/>
      <c r="AA728" s="45"/>
      <c r="AB728" s="45"/>
      <c r="AC728" s="45"/>
      <c r="AD728" s="45"/>
      <c r="AE728" s="45"/>
      <c r="AF728" s="45"/>
      <c r="AG728" s="45"/>
      <c r="AH728" s="45"/>
      <c r="AI728" s="45"/>
      <c r="AJ728" s="45"/>
      <c r="AK728" s="45"/>
      <c r="AL728" s="45"/>
    </row>
    <row r="729" ht="15.75" customHeight="1">
      <c r="A729" s="115">
        <f t="shared" si="17"/>
        <v>80</v>
      </c>
      <c r="B729" s="28" t="s">
        <v>2662</v>
      </c>
      <c r="C729" s="29" t="s">
        <v>2663</v>
      </c>
      <c r="D729" s="30" t="s">
        <v>2664</v>
      </c>
      <c r="E729" s="28" t="s">
        <v>28</v>
      </c>
      <c r="F729" s="28" t="s">
        <v>29</v>
      </c>
      <c r="G729" s="28" t="s">
        <v>37</v>
      </c>
      <c r="H729" s="28"/>
      <c r="I729" s="28" t="s">
        <v>38</v>
      </c>
      <c r="J729" s="28">
        <v>1386.0</v>
      </c>
      <c r="K729" s="28"/>
      <c r="L729" s="28" t="s">
        <v>2665</v>
      </c>
      <c r="M729" s="28" t="s">
        <v>356</v>
      </c>
      <c r="N729" s="28">
        <v>1971.0</v>
      </c>
      <c r="O729" s="31">
        <v>2.0</v>
      </c>
      <c r="P729" s="31">
        <v>2.0</v>
      </c>
      <c r="Q729" s="37">
        <v>2.0</v>
      </c>
      <c r="R729" s="33"/>
      <c r="S729" s="34"/>
      <c r="T729" s="34"/>
      <c r="U729" s="34"/>
      <c r="V729" s="34"/>
      <c r="W729" s="34"/>
      <c r="X729" s="34"/>
      <c r="Y729" s="45"/>
      <c r="Z729" s="45"/>
      <c r="AA729" s="45"/>
      <c r="AB729" s="45"/>
      <c r="AC729" s="45"/>
      <c r="AD729" s="45"/>
      <c r="AE729" s="45"/>
      <c r="AF729" s="45"/>
      <c r="AG729" s="45"/>
      <c r="AH729" s="45"/>
      <c r="AI729" s="45"/>
      <c r="AJ729" s="45"/>
      <c r="AK729" s="45"/>
      <c r="AL729" s="45"/>
    </row>
    <row r="730" ht="15.75" customHeight="1">
      <c r="A730" s="115">
        <f t="shared" si="17"/>
        <v>81</v>
      </c>
      <c r="B730" s="28" t="s">
        <v>31</v>
      </c>
      <c r="C730" s="29" t="s">
        <v>689</v>
      </c>
      <c r="D730" s="39" t="s">
        <v>2666</v>
      </c>
      <c r="E730" s="28" t="s">
        <v>28</v>
      </c>
      <c r="F730" s="28" t="s">
        <v>29</v>
      </c>
      <c r="G730" s="28" t="s">
        <v>37</v>
      </c>
      <c r="H730" s="28"/>
      <c r="I730" s="28" t="s">
        <v>38</v>
      </c>
      <c r="J730" s="28">
        <v>408.0</v>
      </c>
      <c r="K730" s="28"/>
      <c r="L730" s="28" t="s">
        <v>2667</v>
      </c>
      <c r="M730" s="28" t="s">
        <v>230</v>
      </c>
      <c r="N730" s="28">
        <v>1964.0</v>
      </c>
      <c r="O730" s="31">
        <v>7.0</v>
      </c>
      <c r="P730" s="31">
        <v>2.0</v>
      </c>
      <c r="Q730" s="37">
        <v>2.0</v>
      </c>
      <c r="R730" s="33"/>
      <c r="S730" s="34"/>
      <c r="T730" s="34"/>
      <c r="U730" s="34"/>
      <c r="V730" s="34"/>
      <c r="W730" s="34"/>
      <c r="X730" s="34"/>
      <c r="Y730" s="45"/>
      <c r="Z730" s="45"/>
      <c r="AA730" s="45"/>
      <c r="AB730" s="45"/>
      <c r="AC730" s="45"/>
      <c r="AD730" s="45"/>
      <c r="AE730" s="45"/>
      <c r="AF730" s="45"/>
      <c r="AG730" s="45"/>
      <c r="AH730" s="45"/>
      <c r="AI730" s="45"/>
      <c r="AJ730" s="45"/>
      <c r="AK730" s="45"/>
      <c r="AL730" s="45"/>
    </row>
    <row r="731" ht="15.75" customHeight="1">
      <c r="A731" s="27">
        <f t="shared" si="17"/>
        <v>82</v>
      </c>
      <c r="B731" s="28" t="s">
        <v>2668</v>
      </c>
      <c r="C731" s="29" t="s">
        <v>2669</v>
      </c>
      <c r="D731" s="30" t="s">
        <v>2670</v>
      </c>
      <c r="E731" s="28"/>
      <c r="F731" s="28" t="s">
        <v>29</v>
      </c>
      <c r="G731" s="28" t="s">
        <v>30</v>
      </c>
      <c r="H731" s="28" t="s">
        <v>31</v>
      </c>
      <c r="I731" s="28" t="s">
        <v>30</v>
      </c>
      <c r="J731" s="28">
        <v>200.0</v>
      </c>
      <c r="K731" s="28"/>
      <c r="L731" s="28" t="s">
        <v>2671</v>
      </c>
      <c r="M731" s="28" t="s">
        <v>2672</v>
      </c>
      <c r="N731" s="28">
        <v>2011.0</v>
      </c>
      <c r="O731" s="31">
        <v>30.0</v>
      </c>
      <c r="P731" s="28">
        <v>1.0</v>
      </c>
      <c r="Q731" s="37">
        <v>1.0</v>
      </c>
      <c r="R731" s="33"/>
      <c r="S731" s="40"/>
      <c r="T731" s="40"/>
      <c r="U731" s="40"/>
      <c r="V731" s="40"/>
      <c r="W731" s="40"/>
      <c r="X731" s="40"/>
      <c r="Y731" s="45"/>
      <c r="Z731" s="45"/>
      <c r="AA731" s="45"/>
      <c r="AB731" s="45"/>
      <c r="AC731" s="45"/>
      <c r="AD731" s="45"/>
      <c r="AE731" s="45"/>
      <c r="AF731" s="45"/>
      <c r="AG731" s="45"/>
      <c r="AH731" s="45"/>
      <c r="AI731" s="45"/>
      <c r="AJ731" s="45"/>
      <c r="AK731" s="45"/>
      <c r="AL731" s="45"/>
    </row>
    <row r="732" ht="15.75" customHeight="1">
      <c r="A732" s="115">
        <f t="shared" si="17"/>
        <v>83</v>
      </c>
      <c r="B732" s="28" t="s">
        <v>2673</v>
      </c>
      <c r="C732" s="29" t="s">
        <v>2674</v>
      </c>
      <c r="D732" s="39" t="s">
        <v>2675</v>
      </c>
      <c r="E732" s="28" t="s">
        <v>28</v>
      </c>
      <c r="F732" s="28" t="s">
        <v>29</v>
      </c>
      <c r="G732" s="28" t="s">
        <v>98</v>
      </c>
      <c r="H732" s="28"/>
      <c r="I732" s="28" t="s">
        <v>38</v>
      </c>
      <c r="J732" s="28">
        <v>317.0</v>
      </c>
      <c r="K732" s="28"/>
      <c r="L732" s="28" t="s">
        <v>2676</v>
      </c>
      <c r="M732" s="28" t="s">
        <v>100</v>
      </c>
      <c r="N732" s="28">
        <v>2010.0</v>
      </c>
      <c r="O732" s="31">
        <v>6.0</v>
      </c>
      <c r="P732" s="28">
        <v>2.0</v>
      </c>
      <c r="Q732" s="37">
        <v>2.0</v>
      </c>
      <c r="R732" s="33"/>
      <c r="S732" s="116"/>
      <c r="T732" s="116"/>
      <c r="U732" s="116"/>
      <c r="V732" s="116"/>
      <c r="W732" s="116"/>
      <c r="X732" s="116"/>
      <c r="Y732" s="45"/>
      <c r="Z732" s="45"/>
      <c r="AA732" s="45"/>
      <c r="AB732" s="45"/>
      <c r="AC732" s="45"/>
      <c r="AD732" s="45"/>
      <c r="AE732" s="45"/>
      <c r="AF732" s="45"/>
      <c r="AG732" s="45"/>
      <c r="AH732" s="45"/>
      <c r="AI732" s="45"/>
      <c r="AJ732" s="45"/>
      <c r="AK732" s="45"/>
      <c r="AL732" s="45"/>
    </row>
    <row r="733" ht="15.75" customHeight="1">
      <c r="A733" s="115">
        <f t="shared" si="17"/>
        <v>84</v>
      </c>
      <c r="B733" s="28" t="s">
        <v>2677</v>
      </c>
      <c r="C733" s="29" t="s">
        <v>2678</v>
      </c>
      <c r="D733" s="39" t="s">
        <v>2679</v>
      </c>
      <c r="E733" s="28" t="s">
        <v>28</v>
      </c>
      <c r="F733" s="28" t="s">
        <v>29</v>
      </c>
      <c r="G733" s="28" t="s">
        <v>98</v>
      </c>
      <c r="H733" s="28"/>
      <c r="I733" s="28" t="s">
        <v>38</v>
      </c>
      <c r="J733" s="31">
        <v>203.0</v>
      </c>
      <c r="K733" s="28"/>
      <c r="L733" s="28" t="s">
        <v>2680</v>
      </c>
      <c r="M733" s="28" t="s">
        <v>100</v>
      </c>
      <c r="N733" s="28">
        <v>2011.0</v>
      </c>
      <c r="O733" s="31">
        <v>6.0</v>
      </c>
      <c r="P733" s="28">
        <v>1.0</v>
      </c>
      <c r="Q733" s="37">
        <v>1.0</v>
      </c>
      <c r="R733" s="33"/>
      <c r="S733" s="34"/>
      <c r="T733" s="34"/>
      <c r="U733" s="34"/>
      <c r="V733" s="34"/>
      <c r="W733" s="34"/>
      <c r="X733" s="34"/>
      <c r="Y733" s="45"/>
      <c r="Z733" s="45"/>
      <c r="AA733" s="45"/>
      <c r="AB733" s="45"/>
      <c r="AC733" s="45"/>
      <c r="AD733" s="45"/>
      <c r="AE733" s="45"/>
      <c r="AF733" s="45"/>
      <c r="AG733" s="45"/>
      <c r="AH733" s="45"/>
      <c r="AI733" s="45"/>
      <c r="AJ733" s="45"/>
      <c r="AK733" s="45"/>
      <c r="AL733" s="45"/>
    </row>
    <row r="734" ht="15.75" customHeight="1">
      <c r="A734" s="115">
        <f t="shared" si="17"/>
        <v>85</v>
      </c>
      <c r="B734" s="28" t="s">
        <v>2681</v>
      </c>
      <c r="C734" s="29" t="s">
        <v>2682</v>
      </c>
      <c r="D734" s="39" t="s">
        <v>2683</v>
      </c>
      <c r="E734" s="28" t="s">
        <v>28</v>
      </c>
      <c r="F734" s="28" t="s">
        <v>29</v>
      </c>
      <c r="G734" s="28" t="s">
        <v>37</v>
      </c>
      <c r="H734" s="28"/>
      <c r="I734" s="28" t="s">
        <v>131</v>
      </c>
      <c r="J734" s="28">
        <v>572.0</v>
      </c>
      <c r="K734" s="28"/>
      <c r="L734" s="31" t="s">
        <v>2684</v>
      </c>
      <c r="M734" s="28" t="s">
        <v>2685</v>
      </c>
      <c r="N734" s="28">
        <v>1979.0</v>
      </c>
      <c r="O734" s="31">
        <v>9.0</v>
      </c>
      <c r="P734" s="28">
        <v>1.0</v>
      </c>
      <c r="Q734" s="37">
        <v>1.0</v>
      </c>
      <c r="R734" s="33"/>
      <c r="S734" s="38"/>
      <c r="T734" s="38"/>
      <c r="U734" s="38"/>
      <c r="V734" s="38"/>
      <c r="W734" s="38"/>
      <c r="X734" s="38"/>
      <c r="Y734" s="45"/>
      <c r="Z734" s="45"/>
      <c r="AA734" s="45"/>
      <c r="AB734" s="45"/>
      <c r="AC734" s="45"/>
      <c r="AD734" s="45"/>
      <c r="AE734" s="45"/>
      <c r="AF734" s="45"/>
      <c r="AG734" s="45"/>
      <c r="AH734" s="45"/>
      <c r="AI734" s="45"/>
      <c r="AJ734" s="45"/>
      <c r="AK734" s="45"/>
      <c r="AL734" s="45"/>
    </row>
    <row r="735" ht="15.75" customHeight="1">
      <c r="A735" s="115">
        <f t="shared" si="17"/>
        <v>86</v>
      </c>
      <c r="B735" s="28" t="s">
        <v>31</v>
      </c>
      <c r="C735" s="29" t="s">
        <v>2686</v>
      </c>
      <c r="D735" s="39" t="s">
        <v>2687</v>
      </c>
      <c r="E735" s="28" t="s">
        <v>92</v>
      </c>
      <c r="F735" s="28" t="s">
        <v>29</v>
      </c>
      <c r="G735" s="28" t="s">
        <v>37</v>
      </c>
      <c r="H735" s="28"/>
      <c r="I735" s="28" t="s">
        <v>38</v>
      </c>
      <c r="J735" s="31">
        <v>2.157</v>
      </c>
      <c r="K735" s="28"/>
      <c r="L735" s="28" t="s">
        <v>2688</v>
      </c>
      <c r="M735" s="28" t="s">
        <v>236</v>
      </c>
      <c r="N735" s="28">
        <v>1957.0</v>
      </c>
      <c r="O735" s="31">
        <v>2.0</v>
      </c>
      <c r="P735" s="28">
        <v>1.0</v>
      </c>
      <c r="Q735" s="37">
        <v>1.0</v>
      </c>
      <c r="R735" s="33"/>
      <c r="S735" s="34"/>
      <c r="T735" s="34"/>
      <c r="U735" s="34"/>
      <c r="V735" s="34"/>
      <c r="W735" s="34"/>
      <c r="X735" s="34"/>
      <c r="Y735" s="45"/>
      <c r="Z735" s="45"/>
      <c r="AA735" s="45"/>
      <c r="AB735" s="45"/>
      <c r="AC735" s="45"/>
      <c r="AD735" s="45"/>
      <c r="AE735" s="45"/>
      <c r="AF735" s="45"/>
      <c r="AG735" s="45"/>
      <c r="AH735" s="45"/>
      <c r="AI735" s="45"/>
      <c r="AJ735" s="45"/>
      <c r="AK735" s="45"/>
      <c r="AL735" s="45"/>
    </row>
    <row r="736" ht="15.75" customHeight="1">
      <c r="A736" s="115">
        <f t="shared" si="17"/>
        <v>87</v>
      </c>
      <c r="B736" s="28" t="s">
        <v>2689</v>
      </c>
      <c r="C736" s="29" t="s">
        <v>2690</v>
      </c>
      <c r="D736" s="39" t="s">
        <v>2691</v>
      </c>
      <c r="E736" s="28" t="s">
        <v>31</v>
      </c>
      <c r="F736" s="28" t="s">
        <v>29</v>
      </c>
      <c r="G736" s="28" t="s">
        <v>37</v>
      </c>
      <c r="H736" s="28"/>
      <c r="I736" s="28" t="s">
        <v>38</v>
      </c>
      <c r="J736" s="28">
        <v>302.0</v>
      </c>
      <c r="K736" s="28"/>
      <c r="L736" s="28" t="s">
        <v>2692</v>
      </c>
      <c r="M736" s="28" t="s">
        <v>2693</v>
      </c>
      <c r="N736" s="28">
        <v>1966.0</v>
      </c>
      <c r="O736" s="31">
        <v>10.0</v>
      </c>
      <c r="P736" s="28">
        <v>1.0</v>
      </c>
      <c r="Q736" s="37">
        <v>1.0</v>
      </c>
      <c r="R736" s="33"/>
      <c r="S736" s="34"/>
      <c r="T736" s="34"/>
      <c r="U736" s="34"/>
      <c r="V736" s="34"/>
      <c r="W736" s="34"/>
      <c r="X736" s="34"/>
      <c r="Y736" s="45"/>
      <c r="Z736" s="45"/>
      <c r="AA736" s="45"/>
      <c r="AB736" s="45"/>
      <c r="AC736" s="45"/>
      <c r="AD736" s="45"/>
      <c r="AE736" s="45"/>
      <c r="AF736" s="45"/>
      <c r="AG736" s="45"/>
      <c r="AH736" s="45"/>
      <c r="AI736" s="45"/>
      <c r="AJ736" s="45"/>
      <c r="AK736" s="45"/>
      <c r="AL736" s="45"/>
    </row>
    <row r="737" ht="15.75" customHeight="1">
      <c r="A737" s="115">
        <f t="shared" si="17"/>
        <v>88</v>
      </c>
      <c r="B737" s="28" t="s">
        <v>2694</v>
      </c>
      <c r="C737" s="29" t="s">
        <v>2695</v>
      </c>
      <c r="D737" s="30" t="s">
        <v>2696</v>
      </c>
      <c r="E737" s="28" t="s">
        <v>31</v>
      </c>
      <c r="F737" s="28" t="s">
        <v>29</v>
      </c>
      <c r="G737" s="28" t="s">
        <v>30</v>
      </c>
      <c r="H737" s="28"/>
      <c r="I737" s="28" t="s">
        <v>30</v>
      </c>
      <c r="J737" s="31">
        <v>398.0</v>
      </c>
      <c r="K737" s="28"/>
      <c r="L737" s="28" t="s">
        <v>2697</v>
      </c>
      <c r="M737" s="28" t="s">
        <v>2698</v>
      </c>
      <c r="N737" s="28">
        <v>2001.0</v>
      </c>
      <c r="O737" s="31" t="s">
        <v>205</v>
      </c>
      <c r="P737" s="28">
        <v>1.0</v>
      </c>
      <c r="Q737" s="37">
        <v>1.0</v>
      </c>
      <c r="R737" s="33"/>
      <c r="S737" s="34"/>
      <c r="T737" s="34"/>
      <c r="U737" s="34"/>
      <c r="V737" s="34"/>
      <c r="W737" s="34"/>
      <c r="X737" s="34"/>
      <c r="Y737" s="45"/>
      <c r="Z737" s="45"/>
      <c r="AA737" s="45"/>
      <c r="AB737" s="45"/>
      <c r="AC737" s="45"/>
      <c r="AD737" s="45"/>
      <c r="AE737" s="45"/>
      <c r="AF737" s="45"/>
      <c r="AG737" s="45"/>
      <c r="AH737" s="45"/>
      <c r="AI737" s="45"/>
      <c r="AJ737" s="45"/>
      <c r="AK737" s="45"/>
      <c r="AL737" s="45"/>
    </row>
    <row r="738" ht="15.75" customHeight="1">
      <c r="A738" s="115">
        <f t="shared" si="17"/>
        <v>89</v>
      </c>
      <c r="B738" s="28" t="s">
        <v>2699</v>
      </c>
      <c r="C738" s="68" t="s">
        <v>2700</v>
      </c>
      <c r="D738" s="30" t="s">
        <v>2701</v>
      </c>
      <c r="E738" s="28"/>
      <c r="F738" s="28" t="s">
        <v>29</v>
      </c>
      <c r="G738" s="28" t="s">
        <v>37</v>
      </c>
      <c r="H738" s="28"/>
      <c r="I738" s="28" t="s">
        <v>38</v>
      </c>
      <c r="J738" s="28">
        <v>307.0</v>
      </c>
      <c r="K738" s="28"/>
      <c r="L738" s="31" t="s">
        <v>2702</v>
      </c>
      <c r="M738" s="28" t="s">
        <v>2703</v>
      </c>
      <c r="N738" s="28">
        <v>1981.0</v>
      </c>
      <c r="O738" s="31">
        <v>15.0</v>
      </c>
      <c r="P738" s="28">
        <v>1.0</v>
      </c>
      <c r="Q738" s="37">
        <v>1.0</v>
      </c>
      <c r="R738" s="33"/>
      <c r="S738" s="34"/>
      <c r="T738" s="34"/>
      <c r="U738" s="34"/>
      <c r="V738" s="34"/>
      <c r="W738" s="34"/>
      <c r="X738" s="34"/>
      <c r="Y738" s="45"/>
      <c r="Z738" s="45"/>
      <c r="AA738" s="45"/>
      <c r="AB738" s="45"/>
      <c r="AC738" s="45"/>
      <c r="AD738" s="45"/>
      <c r="AE738" s="45"/>
      <c r="AF738" s="45"/>
      <c r="AG738" s="45"/>
      <c r="AH738" s="45"/>
      <c r="AI738" s="45"/>
      <c r="AJ738" s="45"/>
      <c r="AK738" s="45"/>
      <c r="AL738" s="45"/>
    </row>
    <row r="739" ht="15.75" customHeight="1">
      <c r="A739" s="115">
        <f t="shared" si="17"/>
        <v>90</v>
      </c>
      <c r="B739" s="28" t="s">
        <v>2704</v>
      </c>
      <c r="C739" s="29" t="s">
        <v>2705</v>
      </c>
      <c r="D739" s="39" t="s">
        <v>2706</v>
      </c>
      <c r="E739" s="28" t="s">
        <v>28</v>
      </c>
      <c r="F739" s="28" t="s">
        <v>29</v>
      </c>
      <c r="G739" s="28" t="s">
        <v>37</v>
      </c>
      <c r="H739" s="28" t="s">
        <v>31</v>
      </c>
      <c r="I739" s="28" t="s">
        <v>38</v>
      </c>
      <c r="J739" s="28">
        <v>479.0</v>
      </c>
      <c r="K739" s="28"/>
      <c r="L739" s="28" t="s">
        <v>1629</v>
      </c>
      <c r="M739" s="28" t="s">
        <v>250</v>
      </c>
      <c r="N739" s="28">
        <v>2014.0</v>
      </c>
      <c r="O739" s="31" t="s">
        <v>494</v>
      </c>
      <c r="P739" s="28">
        <v>1.0</v>
      </c>
      <c r="Q739" s="37">
        <v>1.0</v>
      </c>
      <c r="R739" s="33"/>
      <c r="S739" s="34"/>
      <c r="T739" s="34"/>
      <c r="U739" s="34"/>
      <c r="V739" s="34"/>
      <c r="W739" s="34"/>
      <c r="X739" s="34"/>
      <c r="Y739" s="45"/>
      <c r="Z739" s="45"/>
      <c r="AA739" s="45"/>
      <c r="AB739" s="45"/>
      <c r="AC739" s="45"/>
      <c r="AD739" s="45"/>
      <c r="AE739" s="45"/>
      <c r="AF739" s="45"/>
      <c r="AG739" s="45"/>
      <c r="AH739" s="45"/>
      <c r="AI739" s="45"/>
      <c r="AJ739" s="45"/>
      <c r="AK739" s="45"/>
      <c r="AL739" s="45"/>
    </row>
    <row r="740" ht="15.75" customHeight="1">
      <c r="A740" s="115">
        <f t="shared" si="17"/>
        <v>91</v>
      </c>
      <c r="B740" s="28" t="s">
        <v>361</v>
      </c>
      <c r="C740" s="29" t="s">
        <v>2707</v>
      </c>
      <c r="D740" s="39" t="s">
        <v>2708</v>
      </c>
      <c r="E740" s="28"/>
      <c r="F740" s="28" t="s">
        <v>740</v>
      </c>
      <c r="G740" s="28" t="s">
        <v>37</v>
      </c>
      <c r="H740" s="28"/>
      <c r="I740" s="28" t="s">
        <v>38</v>
      </c>
      <c r="J740" s="28">
        <v>634.0</v>
      </c>
      <c r="K740" s="28"/>
      <c r="L740" s="28" t="s">
        <v>2709</v>
      </c>
      <c r="M740" s="28" t="s">
        <v>365</v>
      </c>
      <c r="N740" s="28">
        <v>1931.0</v>
      </c>
      <c r="O740" s="31">
        <v>8.0</v>
      </c>
      <c r="P740" s="28">
        <v>1.0</v>
      </c>
      <c r="Q740" s="37">
        <v>1.0</v>
      </c>
      <c r="R740" s="33"/>
      <c r="S740" s="40"/>
      <c r="T740" s="40"/>
      <c r="U740" s="40"/>
      <c r="V740" s="40"/>
      <c r="W740" s="40"/>
      <c r="X740" s="40"/>
      <c r="Y740" s="45"/>
      <c r="Z740" s="45"/>
      <c r="AA740" s="45"/>
      <c r="AB740" s="45"/>
      <c r="AC740" s="45"/>
      <c r="AD740" s="45"/>
      <c r="AE740" s="45"/>
      <c r="AF740" s="45"/>
      <c r="AG740" s="45"/>
      <c r="AH740" s="45"/>
      <c r="AI740" s="45"/>
      <c r="AJ740" s="45"/>
      <c r="AK740" s="45"/>
      <c r="AL740" s="45"/>
    </row>
    <row r="741" ht="15.75" customHeight="1">
      <c r="A741" s="115">
        <f t="shared" si="17"/>
        <v>92</v>
      </c>
      <c r="B741" s="28" t="s">
        <v>2710</v>
      </c>
      <c r="C741" s="29" t="s">
        <v>2711</v>
      </c>
      <c r="D741" s="39" t="s">
        <v>2712</v>
      </c>
      <c r="E741" s="31" t="s">
        <v>223</v>
      </c>
      <c r="F741" s="28" t="s">
        <v>740</v>
      </c>
      <c r="G741" s="31" t="s">
        <v>37</v>
      </c>
      <c r="H741" s="28"/>
      <c r="I741" s="28" t="s">
        <v>38</v>
      </c>
      <c r="J741" s="28">
        <v>188.0</v>
      </c>
      <c r="K741" s="28"/>
      <c r="L741" s="31" t="s">
        <v>2713</v>
      </c>
      <c r="M741" s="28" t="s">
        <v>54</v>
      </c>
      <c r="N741" s="28">
        <v>1993.0</v>
      </c>
      <c r="O741" s="31" t="s">
        <v>225</v>
      </c>
      <c r="P741" s="28">
        <v>1.0</v>
      </c>
      <c r="Q741" s="37">
        <v>1.0</v>
      </c>
      <c r="R741" s="33"/>
      <c r="S741" s="34"/>
      <c r="T741" s="34"/>
      <c r="U741" s="34"/>
      <c r="V741" s="34"/>
      <c r="W741" s="34"/>
      <c r="X741" s="34"/>
      <c r="Y741" s="45"/>
      <c r="Z741" s="45"/>
      <c r="AA741" s="45"/>
      <c r="AB741" s="45"/>
      <c r="AC741" s="45"/>
      <c r="AD741" s="45"/>
      <c r="AE741" s="45"/>
      <c r="AF741" s="45"/>
      <c r="AG741" s="45"/>
      <c r="AH741" s="45"/>
      <c r="AI741" s="45"/>
      <c r="AJ741" s="45"/>
      <c r="AK741" s="45"/>
      <c r="AL741" s="45"/>
    </row>
    <row r="742" ht="15.75" customHeight="1">
      <c r="A742" s="115">
        <f t="shared" si="17"/>
        <v>93</v>
      </c>
      <c r="B742" s="28"/>
      <c r="C742" s="29" t="s">
        <v>2714</v>
      </c>
      <c r="D742" s="39" t="s">
        <v>2715</v>
      </c>
      <c r="E742" s="28" t="s">
        <v>28</v>
      </c>
      <c r="F742" s="28" t="s">
        <v>29</v>
      </c>
      <c r="G742" s="28" t="s">
        <v>30</v>
      </c>
      <c r="H742" s="28" t="s">
        <v>31</v>
      </c>
      <c r="I742" s="28" t="s">
        <v>30</v>
      </c>
      <c r="J742" s="28">
        <v>1064.0</v>
      </c>
      <c r="K742" s="28"/>
      <c r="L742" s="31" t="s">
        <v>1745</v>
      </c>
      <c r="M742" s="28" t="s">
        <v>524</v>
      </c>
      <c r="N742" s="28">
        <v>2008.0</v>
      </c>
      <c r="O742" s="31" t="s">
        <v>1415</v>
      </c>
      <c r="P742" s="28">
        <v>1.0</v>
      </c>
      <c r="Q742" s="37">
        <v>1.0</v>
      </c>
      <c r="R742" s="33"/>
      <c r="S742" s="34"/>
      <c r="T742" s="34"/>
      <c r="U742" s="34"/>
      <c r="V742" s="34"/>
      <c r="W742" s="34"/>
      <c r="X742" s="34"/>
      <c r="Y742" s="45"/>
      <c r="Z742" s="45"/>
      <c r="AA742" s="45"/>
      <c r="AB742" s="45"/>
      <c r="AC742" s="45"/>
      <c r="AD742" s="45"/>
      <c r="AE742" s="45"/>
      <c r="AF742" s="45"/>
      <c r="AG742" s="45"/>
      <c r="AH742" s="45"/>
      <c r="AI742" s="45"/>
      <c r="AJ742" s="45"/>
      <c r="AK742" s="45"/>
      <c r="AL742" s="45"/>
    </row>
    <row r="743" ht="24.75" customHeight="1">
      <c r="A743" s="115">
        <f t="shared" si="17"/>
        <v>94</v>
      </c>
      <c r="B743" s="28" t="s">
        <v>2716</v>
      </c>
      <c r="C743" s="29" t="s">
        <v>2717</v>
      </c>
      <c r="D743" s="39" t="s">
        <v>2718</v>
      </c>
      <c r="E743" s="28" t="s">
        <v>28</v>
      </c>
      <c r="F743" s="28" t="s">
        <v>29</v>
      </c>
      <c r="G743" s="28" t="s">
        <v>37</v>
      </c>
      <c r="H743" s="28" t="s">
        <v>31</v>
      </c>
      <c r="I743" s="28" t="s">
        <v>38</v>
      </c>
      <c r="J743" s="31">
        <v>258.0</v>
      </c>
      <c r="K743" s="28"/>
      <c r="L743" s="28" t="s">
        <v>2719</v>
      </c>
      <c r="M743" s="28" t="s">
        <v>83</v>
      </c>
      <c r="N743" s="28">
        <v>1972.0</v>
      </c>
      <c r="O743" s="31" t="s">
        <v>494</v>
      </c>
      <c r="P743" s="28">
        <v>1.0</v>
      </c>
      <c r="Q743" s="32">
        <v>1.0</v>
      </c>
      <c r="R743" s="33"/>
      <c r="S743" s="38"/>
      <c r="T743" s="38"/>
      <c r="U743" s="38"/>
      <c r="V743" s="38"/>
      <c r="W743" s="38"/>
      <c r="X743" s="38"/>
      <c r="Y743" s="45"/>
      <c r="Z743" s="45"/>
      <c r="AA743" s="45"/>
      <c r="AB743" s="45"/>
      <c r="AC743" s="45"/>
      <c r="AD743" s="45"/>
      <c r="AE743" s="45"/>
      <c r="AF743" s="45"/>
      <c r="AG743" s="45"/>
      <c r="AH743" s="45"/>
      <c r="AI743" s="45"/>
      <c r="AJ743" s="45"/>
      <c r="AK743" s="45"/>
      <c r="AL743" s="45"/>
    </row>
    <row r="744" ht="15.75" customHeight="1">
      <c r="A744" s="115">
        <f t="shared" si="17"/>
        <v>95</v>
      </c>
      <c r="B744" s="28" t="s">
        <v>2720</v>
      </c>
      <c r="C744" s="29" t="s">
        <v>2721</v>
      </c>
      <c r="D744" s="30" t="s">
        <v>2722</v>
      </c>
      <c r="E744" s="28" t="s">
        <v>28</v>
      </c>
      <c r="F744" s="28" t="s">
        <v>29</v>
      </c>
      <c r="G744" s="28" t="s">
        <v>37</v>
      </c>
      <c r="H744" s="28" t="s">
        <v>31</v>
      </c>
      <c r="I744" s="28" t="s">
        <v>38</v>
      </c>
      <c r="J744" s="31">
        <v>190.0</v>
      </c>
      <c r="K744" s="28"/>
      <c r="L744" s="31" t="s">
        <v>2723</v>
      </c>
      <c r="M744" s="28" t="s">
        <v>83</v>
      </c>
      <c r="N744" s="28">
        <v>2008.0</v>
      </c>
      <c r="O744" s="31" t="s">
        <v>494</v>
      </c>
      <c r="P744" s="28">
        <v>1.0</v>
      </c>
      <c r="Q744" s="37">
        <v>1.0</v>
      </c>
      <c r="R744" s="33"/>
      <c r="S744" s="34"/>
      <c r="T744" s="34"/>
      <c r="U744" s="34"/>
      <c r="V744" s="34"/>
      <c r="W744" s="34"/>
      <c r="X744" s="34"/>
      <c r="Y744" s="45"/>
      <c r="Z744" s="45"/>
      <c r="AA744" s="45"/>
      <c r="AB744" s="45"/>
      <c r="AC744" s="45"/>
      <c r="AD744" s="45"/>
      <c r="AE744" s="45"/>
      <c r="AF744" s="45"/>
      <c r="AG744" s="45"/>
      <c r="AH744" s="45"/>
      <c r="AI744" s="45"/>
      <c r="AJ744" s="45"/>
      <c r="AK744" s="45"/>
      <c r="AL744" s="45"/>
    </row>
    <row r="745" ht="15.75" customHeight="1">
      <c r="A745" s="115">
        <f t="shared" si="17"/>
        <v>96</v>
      </c>
      <c r="B745" s="28" t="s">
        <v>2724</v>
      </c>
      <c r="C745" s="29" t="s">
        <v>2725</v>
      </c>
      <c r="D745" s="39" t="s">
        <v>2726</v>
      </c>
      <c r="E745" s="31" t="s">
        <v>28</v>
      </c>
      <c r="F745" s="31" t="s">
        <v>29</v>
      </c>
      <c r="G745" s="28" t="s">
        <v>37</v>
      </c>
      <c r="H745" s="28"/>
      <c r="I745" s="28" t="s">
        <v>38</v>
      </c>
      <c r="J745" s="31">
        <v>304.0</v>
      </c>
      <c r="K745" s="28"/>
      <c r="L745" s="28" t="s">
        <v>2727</v>
      </c>
      <c r="M745" s="28" t="s">
        <v>2728</v>
      </c>
      <c r="N745" s="28">
        <v>1995.0</v>
      </c>
      <c r="O745" s="31">
        <v>9.0</v>
      </c>
      <c r="P745" s="31">
        <v>2.0</v>
      </c>
      <c r="Q745" s="37">
        <v>2.0</v>
      </c>
      <c r="R745" s="33"/>
      <c r="S745" s="34"/>
      <c r="T745" s="34"/>
      <c r="U745" s="34"/>
      <c r="V745" s="34"/>
      <c r="W745" s="34"/>
      <c r="X745" s="34"/>
      <c r="Y745" s="45"/>
      <c r="Z745" s="45"/>
      <c r="AA745" s="45"/>
      <c r="AB745" s="45"/>
      <c r="AC745" s="45"/>
      <c r="AD745" s="45"/>
      <c r="AE745" s="45"/>
      <c r="AF745" s="45"/>
      <c r="AG745" s="45"/>
      <c r="AH745" s="45"/>
      <c r="AI745" s="45"/>
      <c r="AJ745" s="45"/>
      <c r="AK745" s="45"/>
      <c r="AL745" s="45"/>
    </row>
    <row r="746" ht="15.75" customHeight="1">
      <c r="A746" s="115">
        <f t="shared" si="17"/>
        <v>97</v>
      </c>
      <c r="B746" s="28"/>
      <c r="C746" s="29" t="s">
        <v>2729</v>
      </c>
      <c r="D746" s="30" t="s">
        <v>2730</v>
      </c>
      <c r="E746" s="28" t="s">
        <v>144</v>
      </c>
      <c r="F746" s="28" t="s">
        <v>29</v>
      </c>
      <c r="G746" s="28" t="s">
        <v>30</v>
      </c>
      <c r="H746" s="28" t="s">
        <v>31</v>
      </c>
      <c r="I746" s="28" t="s">
        <v>30</v>
      </c>
      <c r="J746" s="31">
        <v>111.0</v>
      </c>
      <c r="K746" s="28"/>
      <c r="L746" s="31" t="s">
        <v>2731</v>
      </c>
      <c r="M746" s="28" t="s">
        <v>151</v>
      </c>
      <c r="N746" s="28">
        <v>2012.0</v>
      </c>
      <c r="O746" s="31">
        <v>14.0</v>
      </c>
      <c r="P746" s="28">
        <v>1.0</v>
      </c>
      <c r="Q746" s="37">
        <v>1.0</v>
      </c>
      <c r="R746" s="33"/>
      <c r="S746" s="34"/>
      <c r="T746" s="34"/>
      <c r="U746" s="40"/>
      <c r="V746" s="40"/>
      <c r="W746" s="40"/>
      <c r="X746" s="40"/>
      <c r="Y746" s="45"/>
      <c r="Z746" s="45"/>
      <c r="AA746" s="45"/>
      <c r="AB746" s="45"/>
      <c r="AC746" s="45"/>
      <c r="AD746" s="45"/>
      <c r="AE746" s="45"/>
      <c r="AF746" s="45"/>
      <c r="AG746" s="45"/>
      <c r="AH746" s="45"/>
      <c r="AI746" s="45"/>
      <c r="AJ746" s="45"/>
      <c r="AK746" s="45"/>
      <c r="AL746" s="45"/>
    </row>
    <row r="747" ht="15.75" customHeight="1">
      <c r="A747" s="27">
        <f t="shared" si="17"/>
        <v>98</v>
      </c>
      <c r="B747" s="86" t="s">
        <v>2732</v>
      </c>
      <c r="C747" s="86" t="s">
        <v>2733</v>
      </c>
      <c r="D747" s="117" t="s">
        <v>2734</v>
      </c>
      <c r="E747" s="118"/>
      <c r="F747" s="86" t="s">
        <v>29</v>
      </c>
      <c r="G747" s="86" t="s">
        <v>30</v>
      </c>
      <c r="H747" s="118"/>
      <c r="I747" s="86" t="s">
        <v>30</v>
      </c>
      <c r="J747" s="86">
        <v>63.0</v>
      </c>
      <c r="K747" s="118"/>
      <c r="L747" s="86" t="s">
        <v>2735</v>
      </c>
      <c r="M747" s="86" t="s">
        <v>169</v>
      </c>
      <c r="N747" s="86">
        <v>2014.0</v>
      </c>
      <c r="O747" s="86" t="s">
        <v>205</v>
      </c>
      <c r="P747" s="117">
        <v>1.0</v>
      </c>
      <c r="Q747" s="86">
        <v>1.0</v>
      </c>
      <c r="R747" s="84"/>
      <c r="S747" s="40"/>
      <c r="T747" s="40"/>
      <c r="U747" s="40"/>
      <c r="V747" s="40"/>
      <c r="W747" s="40"/>
      <c r="X747" s="40"/>
      <c r="Y747" s="45"/>
      <c r="Z747" s="45"/>
      <c r="AA747" s="45"/>
      <c r="AB747" s="45"/>
      <c r="AC747" s="45"/>
      <c r="AD747" s="45"/>
      <c r="AE747" s="45"/>
      <c r="AF747" s="45"/>
      <c r="AG747" s="45"/>
      <c r="AH747" s="45"/>
      <c r="AI747" s="45"/>
      <c r="AJ747" s="45"/>
      <c r="AK747" s="45"/>
      <c r="AL747" s="45"/>
    </row>
    <row r="748" ht="15.75" customHeight="1">
      <c r="A748" s="27">
        <f t="shared" si="17"/>
        <v>99</v>
      </c>
      <c r="B748" s="83" t="s">
        <v>2736</v>
      </c>
      <c r="C748" s="86" t="s">
        <v>2737</v>
      </c>
      <c r="D748" s="117" t="s">
        <v>2738</v>
      </c>
      <c r="E748" s="117" t="s">
        <v>28</v>
      </c>
      <c r="F748" s="83" t="s">
        <v>29</v>
      </c>
      <c r="G748" s="83" t="s">
        <v>166</v>
      </c>
      <c r="H748" s="118"/>
      <c r="I748" s="83" t="s">
        <v>166</v>
      </c>
      <c r="J748" s="83">
        <v>439.0</v>
      </c>
      <c r="K748" s="118"/>
      <c r="L748" s="86" t="s">
        <v>2739</v>
      </c>
      <c r="M748" s="86" t="s">
        <v>49</v>
      </c>
      <c r="N748" s="83">
        <v>1977.0</v>
      </c>
      <c r="O748" s="86">
        <v>7.0</v>
      </c>
      <c r="P748" s="83">
        <v>1.0</v>
      </c>
      <c r="Q748" s="86">
        <v>1.0</v>
      </c>
      <c r="R748" s="84"/>
      <c r="S748" s="40"/>
      <c r="T748" s="40"/>
      <c r="U748" s="40"/>
      <c r="V748" s="40"/>
      <c r="W748" s="40"/>
      <c r="X748" s="40"/>
      <c r="Y748" s="45"/>
      <c r="Z748" s="45"/>
      <c r="AA748" s="45"/>
      <c r="AB748" s="45"/>
      <c r="AC748" s="45"/>
      <c r="AD748" s="45"/>
      <c r="AE748" s="45"/>
      <c r="AF748" s="45"/>
      <c r="AG748" s="45"/>
      <c r="AH748" s="45"/>
      <c r="AI748" s="45"/>
      <c r="AJ748" s="45"/>
      <c r="AK748" s="45"/>
      <c r="AL748" s="45"/>
    </row>
    <row r="749" ht="15.75" customHeight="1">
      <c r="A749" s="27">
        <f t="shared" si="17"/>
        <v>100</v>
      </c>
      <c r="B749" s="83" t="s">
        <v>2740</v>
      </c>
      <c r="C749" s="86" t="s">
        <v>2741</v>
      </c>
      <c r="D749" s="117" t="s">
        <v>2742</v>
      </c>
      <c r="E749" s="83" t="s">
        <v>28</v>
      </c>
      <c r="F749" s="83" t="s">
        <v>29</v>
      </c>
      <c r="G749" s="83" t="s">
        <v>2743</v>
      </c>
      <c r="H749" s="83"/>
      <c r="I749" s="83" t="s">
        <v>38</v>
      </c>
      <c r="J749" s="83">
        <v>576.0</v>
      </c>
      <c r="K749" s="83"/>
      <c r="L749" s="83" t="s">
        <v>2744</v>
      </c>
      <c r="M749" s="83" t="s">
        <v>382</v>
      </c>
      <c r="N749" s="83">
        <v>2000.0</v>
      </c>
      <c r="O749" s="86">
        <v>9.0</v>
      </c>
      <c r="P749" s="83">
        <v>1.0</v>
      </c>
      <c r="Q749" s="83">
        <v>1.0</v>
      </c>
      <c r="R749" s="84"/>
      <c r="S749" s="34"/>
      <c r="T749" s="34"/>
      <c r="U749" s="34"/>
      <c r="V749" s="34"/>
      <c r="W749" s="34"/>
      <c r="X749" s="34"/>
      <c r="Y749" s="45"/>
      <c r="Z749" s="45"/>
      <c r="AA749" s="45"/>
      <c r="AB749" s="45"/>
      <c r="AC749" s="45"/>
      <c r="AD749" s="45"/>
      <c r="AE749" s="45"/>
      <c r="AF749" s="45"/>
      <c r="AG749" s="45"/>
      <c r="AH749" s="45"/>
      <c r="AI749" s="45"/>
      <c r="AJ749" s="45"/>
      <c r="AK749" s="45"/>
      <c r="AL749" s="45"/>
    </row>
    <row r="750" ht="15.75" customHeight="1">
      <c r="A750" s="27">
        <f t="shared" si="17"/>
        <v>101</v>
      </c>
      <c r="B750" s="83" t="s">
        <v>2745</v>
      </c>
      <c r="C750" s="86" t="s">
        <v>2746</v>
      </c>
      <c r="D750" s="117" t="s">
        <v>2747</v>
      </c>
      <c r="E750" s="83" t="s">
        <v>28</v>
      </c>
      <c r="F750" s="83" t="s">
        <v>29</v>
      </c>
      <c r="G750" s="83" t="s">
        <v>2743</v>
      </c>
      <c r="H750" s="83"/>
      <c r="I750" s="83" t="s">
        <v>38</v>
      </c>
      <c r="J750" s="83">
        <v>316.0</v>
      </c>
      <c r="K750" s="83"/>
      <c r="L750" s="83" t="s">
        <v>339</v>
      </c>
      <c r="M750" s="83" t="s">
        <v>382</v>
      </c>
      <c r="N750" s="83">
        <v>1996.0</v>
      </c>
      <c r="O750" s="86">
        <v>9.0</v>
      </c>
      <c r="P750" s="83">
        <v>1.0</v>
      </c>
      <c r="Q750" s="83">
        <v>1.0</v>
      </c>
      <c r="R750" s="84"/>
      <c r="S750" s="34"/>
      <c r="T750" s="34"/>
      <c r="U750" s="34"/>
      <c r="V750" s="34"/>
      <c r="W750" s="34"/>
      <c r="X750" s="34"/>
      <c r="Y750" s="45"/>
      <c r="Z750" s="45"/>
      <c r="AA750" s="45"/>
      <c r="AB750" s="45"/>
      <c r="AC750" s="45"/>
      <c r="AD750" s="45"/>
      <c r="AE750" s="45"/>
      <c r="AF750" s="45"/>
      <c r="AG750" s="45"/>
      <c r="AH750" s="45"/>
      <c r="AI750" s="45"/>
      <c r="AJ750" s="45"/>
      <c r="AK750" s="45"/>
      <c r="AL750" s="45"/>
    </row>
    <row r="751" ht="15.75" customHeight="1">
      <c r="A751" s="27">
        <f t="shared" si="17"/>
        <v>102</v>
      </c>
      <c r="B751" s="83" t="s">
        <v>2748</v>
      </c>
      <c r="C751" s="86" t="s">
        <v>2749</v>
      </c>
      <c r="D751" s="117" t="s">
        <v>2750</v>
      </c>
      <c r="E751" s="83" t="s">
        <v>28</v>
      </c>
      <c r="F751" s="83" t="s">
        <v>29</v>
      </c>
      <c r="G751" s="83" t="s">
        <v>2743</v>
      </c>
      <c r="H751" s="83"/>
      <c r="I751" s="83" t="s">
        <v>38</v>
      </c>
      <c r="J751" s="83">
        <v>384.0</v>
      </c>
      <c r="K751" s="83"/>
      <c r="L751" s="83" t="s">
        <v>2751</v>
      </c>
      <c r="M751" s="83" t="s">
        <v>382</v>
      </c>
      <c r="N751" s="83">
        <v>1996.0</v>
      </c>
      <c r="O751" s="86">
        <v>9.0</v>
      </c>
      <c r="P751" s="83">
        <v>1.0</v>
      </c>
      <c r="Q751" s="83">
        <v>1.0</v>
      </c>
      <c r="R751" s="84"/>
      <c r="S751" s="40"/>
      <c r="T751" s="40"/>
      <c r="U751" s="40"/>
      <c r="V751" s="40"/>
      <c r="W751" s="40"/>
      <c r="X751" s="40"/>
      <c r="Y751" s="45"/>
      <c r="Z751" s="45"/>
      <c r="AA751" s="45"/>
      <c r="AB751" s="45"/>
      <c r="AC751" s="45"/>
      <c r="AD751" s="45"/>
      <c r="AE751" s="45"/>
      <c r="AF751" s="45"/>
      <c r="AG751" s="45"/>
      <c r="AH751" s="45"/>
      <c r="AI751" s="45"/>
      <c r="AJ751" s="45"/>
      <c r="AK751" s="45"/>
      <c r="AL751" s="45"/>
    </row>
    <row r="752" ht="15.75" customHeight="1">
      <c r="A752" s="27">
        <f t="shared" si="17"/>
        <v>103</v>
      </c>
      <c r="B752" s="83" t="s">
        <v>2752</v>
      </c>
      <c r="C752" s="86" t="s">
        <v>2753</v>
      </c>
      <c r="D752" s="117" t="s">
        <v>2754</v>
      </c>
      <c r="E752" s="117" t="s">
        <v>28</v>
      </c>
      <c r="F752" s="83" t="s">
        <v>29</v>
      </c>
      <c r="G752" s="83" t="s">
        <v>2743</v>
      </c>
      <c r="H752" s="118"/>
      <c r="I752" s="83" t="s">
        <v>38</v>
      </c>
      <c r="J752" s="83">
        <v>342.0</v>
      </c>
      <c r="K752" s="118"/>
      <c r="L752" s="83" t="s">
        <v>2755</v>
      </c>
      <c r="M752" s="118" t="s">
        <v>2756</v>
      </c>
      <c r="N752" s="83">
        <v>1988.0</v>
      </c>
      <c r="O752" s="86">
        <v>7.0</v>
      </c>
      <c r="P752" s="83">
        <v>1.0</v>
      </c>
      <c r="Q752" s="86">
        <v>1.0</v>
      </c>
      <c r="R752" s="84"/>
      <c r="S752" s="34"/>
      <c r="T752" s="34"/>
      <c r="U752" s="34"/>
      <c r="V752" s="34"/>
      <c r="W752" s="34"/>
      <c r="X752" s="34"/>
      <c r="Y752" s="45"/>
      <c r="Z752" s="45"/>
      <c r="AA752" s="45"/>
      <c r="AB752" s="45"/>
      <c r="AC752" s="45"/>
      <c r="AD752" s="45"/>
      <c r="AE752" s="45"/>
      <c r="AF752" s="45"/>
      <c r="AG752" s="45"/>
      <c r="AH752" s="45"/>
      <c r="AI752" s="45"/>
      <c r="AJ752" s="45"/>
      <c r="AK752" s="45"/>
      <c r="AL752" s="45"/>
    </row>
    <row r="753" ht="15.75" customHeight="1">
      <c r="A753" s="27">
        <f t="shared" si="17"/>
        <v>104</v>
      </c>
      <c r="B753" s="83" t="s">
        <v>2757</v>
      </c>
      <c r="C753" s="86" t="s">
        <v>2758</v>
      </c>
      <c r="D753" s="117" t="s">
        <v>2759</v>
      </c>
      <c r="E753" s="117" t="s">
        <v>28</v>
      </c>
      <c r="F753" s="83" t="s">
        <v>29</v>
      </c>
      <c r="G753" s="83" t="s">
        <v>2743</v>
      </c>
      <c r="H753" s="118"/>
      <c r="I753" s="83" t="s">
        <v>38</v>
      </c>
      <c r="J753" s="83">
        <v>541.0</v>
      </c>
      <c r="K753" s="118"/>
      <c r="L753" s="83" t="s">
        <v>502</v>
      </c>
      <c r="M753" s="118" t="s">
        <v>2756</v>
      </c>
      <c r="N753" s="83">
        <v>1988.0</v>
      </c>
      <c r="O753" s="86">
        <v>7.0</v>
      </c>
      <c r="P753" s="118">
        <v>2.0</v>
      </c>
      <c r="Q753" s="86">
        <v>1.0</v>
      </c>
      <c r="R753" s="84"/>
      <c r="S753" s="34"/>
      <c r="T753" s="34"/>
      <c r="U753" s="34"/>
      <c r="V753" s="34"/>
      <c r="W753" s="34"/>
      <c r="X753" s="34"/>
      <c r="Y753" s="45"/>
      <c r="Z753" s="45"/>
      <c r="AA753" s="45"/>
      <c r="AB753" s="45"/>
      <c r="AC753" s="45"/>
      <c r="AD753" s="45"/>
      <c r="AE753" s="45"/>
      <c r="AF753" s="45"/>
      <c r="AG753" s="45"/>
      <c r="AH753" s="45"/>
      <c r="AI753" s="45"/>
      <c r="AJ753" s="45"/>
      <c r="AK753" s="45"/>
      <c r="AL753" s="45"/>
    </row>
    <row r="754" ht="15.75" customHeight="1">
      <c r="A754" s="27">
        <f t="shared" si="17"/>
        <v>105</v>
      </c>
      <c r="B754" s="83" t="s">
        <v>2760</v>
      </c>
      <c r="C754" s="86" t="s">
        <v>2761</v>
      </c>
      <c r="D754" s="117" t="s">
        <v>2762</v>
      </c>
      <c r="E754" s="118"/>
      <c r="F754" s="83" t="s">
        <v>29</v>
      </c>
      <c r="G754" s="83" t="s">
        <v>166</v>
      </c>
      <c r="H754" s="118"/>
      <c r="I754" s="83" t="s">
        <v>166</v>
      </c>
      <c r="J754" s="86">
        <v>1094.0</v>
      </c>
      <c r="K754" s="118"/>
      <c r="L754" s="83" t="s">
        <v>347</v>
      </c>
      <c r="M754" s="119" t="s">
        <v>2763</v>
      </c>
      <c r="N754" s="118">
        <v>2010.0</v>
      </c>
      <c r="O754" s="86">
        <v>7.0</v>
      </c>
      <c r="P754" s="118">
        <v>1.0</v>
      </c>
      <c r="Q754" s="83">
        <v>1.0</v>
      </c>
      <c r="R754" s="84"/>
      <c r="S754" s="40"/>
      <c r="T754" s="40"/>
      <c r="U754" s="40"/>
      <c r="V754" s="40"/>
      <c r="W754" s="40"/>
      <c r="X754" s="40"/>
      <c r="Y754" s="45"/>
      <c r="Z754" s="45"/>
      <c r="AA754" s="45"/>
      <c r="AB754" s="45"/>
      <c r="AC754" s="45"/>
      <c r="AD754" s="45"/>
      <c r="AE754" s="45"/>
      <c r="AF754" s="45"/>
      <c r="AG754" s="45"/>
      <c r="AH754" s="45"/>
      <c r="AI754" s="45"/>
      <c r="AJ754" s="45"/>
      <c r="AK754" s="45"/>
      <c r="AL754" s="45"/>
    </row>
    <row r="755" ht="15.75" customHeight="1">
      <c r="A755" s="27">
        <f t="shared" si="17"/>
        <v>106</v>
      </c>
      <c r="B755" s="83" t="s">
        <v>2764</v>
      </c>
      <c r="C755" s="86" t="s">
        <v>2765</v>
      </c>
      <c r="D755" s="117" t="s">
        <v>2766</v>
      </c>
      <c r="E755" s="83" t="s">
        <v>28</v>
      </c>
      <c r="F755" s="83" t="s">
        <v>29</v>
      </c>
      <c r="G755" s="83" t="s">
        <v>2743</v>
      </c>
      <c r="H755" s="83"/>
      <c r="I755" s="83" t="s">
        <v>38</v>
      </c>
      <c r="J755" s="83">
        <v>618.0</v>
      </c>
      <c r="K755" s="83"/>
      <c r="L755" s="83" t="s">
        <v>2767</v>
      </c>
      <c r="M755" s="83" t="s">
        <v>382</v>
      </c>
      <c r="N755" s="83">
        <v>2002.0</v>
      </c>
      <c r="O755" s="86">
        <v>9.0</v>
      </c>
      <c r="P755" s="83">
        <v>1.0</v>
      </c>
      <c r="Q755" s="83">
        <v>1.0</v>
      </c>
      <c r="R755" s="84"/>
      <c r="S755" s="34"/>
      <c r="T755" s="34"/>
      <c r="U755" s="34"/>
      <c r="V755" s="34"/>
      <c r="W755" s="34"/>
      <c r="X755" s="34"/>
      <c r="Y755" s="45"/>
      <c r="Z755" s="45"/>
      <c r="AA755" s="45"/>
      <c r="AB755" s="45"/>
      <c r="AC755" s="45"/>
      <c r="AD755" s="45"/>
      <c r="AE755" s="45"/>
      <c r="AF755" s="45"/>
      <c r="AG755" s="45"/>
      <c r="AH755" s="45"/>
      <c r="AI755" s="45"/>
      <c r="AJ755" s="45"/>
      <c r="AK755" s="45"/>
      <c r="AL755" s="45"/>
    </row>
    <row r="756" ht="15.75" customHeight="1">
      <c r="A756" s="27">
        <f t="shared" si="17"/>
        <v>107</v>
      </c>
      <c r="B756" s="83" t="s">
        <v>2768</v>
      </c>
      <c r="C756" s="86" t="s">
        <v>2769</v>
      </c>
      <c r="D756" s="117" t="s">
        <v>2770</v>
      </c>
      <c r="E756" s="83" t="s">
        <v>28</v>
      </c>
      <c r="F756" s="83" t="s">
        <v>29</v>
      </c>
      <c r="G756" s="83" t="s">
        <v>2743</v>
      </c>
      <c r="H756" s="83"/>
      <c r="I756" s="83" t="s">
        <v>38</v>
      </c>
      <c r="J756" s="83">
        <v>640.0</v>
      </c>
      <c r="K756" s="83"/>
      <c r="L756" s="83" t="s">
        <v>2771</v>
      </c>
      <c r="M756" s="83" t="s">
        <v>382</v>
      </c>
      <c r="N756" s="83">
        <v>1996.0</v>
      </c>
      <c r="O756" s="86">
        <v>9.0</v>
      </c>
      <c r="P756" s="83">
        <v>1.0</v>
      </c>
      <c r="Q756" s="83">
        <v>1.0</v>
      </c>
      <c r="R756" s="84"/>
      <c r="S756" s="40"/>
      <c r="T756" s="40"/>
      <c r="U756" s="40"/>
      <c r="V756" s="40"/>
      <c r="W756" s="40"/>
      <c r="X756" s="40"/>
      <c r="Y756" s="45"/>
      <c r="Z756" s="45"/>
      <c r="AA756" s="45"/>
      <c r="AB756" s="45"/>
      <c r="AC756" s="45"/>
      <c r="AD756" s="45"/>
      <c r="AE756" s="45"/>
      <c r="AF756" s="45"/>
      <c r="AG756" s="45"/>
      <c r="AH756" s="45"/>
      <c r="AI756" s="45"/>
      <c r="AJ756" s="45"/>
      <c r="AK756" s="45"/>
      <c r="AL756" s="45"/>
    </row>
    <row r="757" ht="15.75" customHeight="1">
      <c r="A757" s="27">
        <f t="shared" si="17"/>
        <v>108</v>
      </c>
      <c r="B757" s="86" t="s">
        <v>2772</v>
      </c>
      <c r="C757" s="86" t="s">
        <v>2773</v>
      </c>
      <c r="D757" s="117" t="s">
        <v>2774</v>
      </c>
      <c r="E757" s="117" t="s">
        <v>28</v>
      </c>
      <c r="F757" s="83" t="s">
        <v>29</v>
      </c>
      <c r="G757" s="83" t="s">
        <v>166</v>
      </c>
      <c r="H757" s="118"/>
      <c r="I757" s="83" t="s">
        <v>166</v>
      </c>
      <c r="J757" s="86">
        <v>427.0</v>
      </c>
      <c r="K757" s="118"/>
      <c r="L757" s="86" t="s">
        <v>1750</v>
      </c>
      <c r="M757" s="118" t="s">
        <v>2763</v>
      </c>
      <c r="N757" s="86">
        <v>1976.0</v>
      </c>
      <c r="O757" s="86">
        <v>5.0</v>
      </c>
      <c r="P757" s="86">
        <v>2.0</v>
      </c>
      <c r="Q757" s="86">
        <v>2.0</v>
      </c>
      <c r="R757" s="84"/>
      <c r="S757" s="34"/>
      <c r="T757" s="34"/>
      <c r="U757" s="34"/>
      <c r="V757" s="34"/>
      <c r="W757" s="34"/>
      <c r="X757" s="34"/>
      <c r="Y757" s="3"/>
      <c r="Z757" s="3"/>
      <c r="AA757" s="3"/>
      <c r="AB757" s="3"/>
      <c r="AC757" s="3"/>
      <c r="AD757" s="3"/>
      <c r="AE757" s="3"/>
      <c r="AF757" s="3"/>
      <c r="AG757" s="3"/>
      <c r="AH757" s="3"/>
      <c r="AI757" s="3"/>
      <c r="AJ757" s="3"/>
      <c r="AK757" s="3"/>
      <c r="AL757" s="3"/>
    </row>
    <row r="758" ht="15.75" customHeight="1">
      <c r="A758" s="27">
        <f t="shared" si="17"/>
        <v>109</v>
      </c>
      <c r="B758" s="83" t="s">
        <v>2775</v>
      </c>
      <c r="C758" s="86" t="s">
        <v>2776</v>
      </c>
      <c r="D758" s="117" t="s">
        <v>2777</v>
      </c>
      <c r="E758" s="117" t="s">
        <v>28</v>
      </c>
      <c r="F758" s="83" t="s">
        <v>29</v>
      </c>
      <c r="G758" s="83" t="s">
        <v>166</v>
      </c>
      <c r="H758" s="118"/>
      <c r="I758" s="83" t="s">
        <v>166</v>
      </c>
      <c r="J758" s="86">
        <v>652.0</v>
      </c>
      <c r="K758" s="118"/>
      <c r="L758" s="83" t="s">
        <v>409</v>
      </c>
      <c r="M758" s="83" t="s">
        <v>2763</v>
      </c>
      <c r="N758" s="83">
        <v>1974.0</v>
      </c>
      <c r="O758" s="86">
        <v>7.0</v>
      </c>
      <c r="P758" s="83">
        <v>1.0</v>
      </c>
      <c r="Q758" s="83">
        <v>1.0</v>
      </c>
      <c r="R758" s="84"/>
      <c r="S758" s="34"/>
      <c r="T758" s="34"/>
      <c r="U758" s="34"/>
      <c r="V758" s="34"/>
      <c r="W758" s="34"/>
      <c r="X758" s="34"/>
      <c r="Y758" s="45"/>
      <c r="Z758" s="45"/>
      <c r="AA758" s="45"/>
      <c r="AB758" s="45"/>
      <c r="AC758" s="45"/>
      <c r="AD758" s="45"/>
      <c r="AE758" s="45"/>
      <c r="AF758" s="45"/>
      <c r="AG758" s="45"/>
      <c r="AH758" s="45"/>
      <c r="AI758" s="45"/>
      <c r="AJ758" s="45"/>
      <c r="AK758" s="45"/>
      <c r="AL758" s="45"/>
    </row>
    <row r="759" ht="15.75" customHeight="1">
      <c r="A759" s="27">
        <f t="shared" si="17"/>
        <v>110</v>
      </c>
      <c r="B759" s="83" t="s">
        <v>2778</v>
      </c>
      <c r="C759" s="86" t="s">
        <v>2779</v>
      </c>
      <c r="D759" s="117" t="s">
        <v>2780</v>
      </c>
      <c r="E759" s="83" t="s">
        <v>28</v>
      </c>
      <c r="F759" s="83" t="s">
        <v>29</v>
      </c>
      <c r="G759" s="83" t="s">
        <v>2743</v>
      </c>
      <c r="H759" s="83"/>
      <c r="I759" s="83" t="s">
        <v>38</v>
      </c>
      <c r="J759" s="83">
        <v>653.0</v>
      </c>
      <c r="K759" s="83"/>
      <c r="L759" s="83" t="s">
        <v>2781</v>
      </c>
      <c r="M759" s="83" t="s">
        <v>382</v>
      </c>
      <c r="N759" s="83">
        <v>1996.0</v>
      </c>
      <c r="O759" s="86">
        <v>9.0</v>
      </c>
      <c r="P759" s="83">
        <v>1.0</v>
      </c>
      <c r="Q759" s="83">
        <v>1.0</v>
      </c>
      <c r="R759" s="84"/>
      <c r="S759" s="40"/>
      <c r="T759" s="40"/>
      <c r="U759" s="40"/>
      <c r="V759" s="40"/>
      <c r="W759" s="40"/>
      <c r="X759" s="40"/>
      <c r="Y759" s="3"/>
      <c r="Z759" s="3"/>
      <c r="AA759" s="3"/>
      <c r="AB759" s="3"/>
      <c r="AC759" s="3"/>
      <c r="AD759" s="3"/>
      <c r="AE759" s="3"/>
      <c r="AF759" s="3"/>
      <c r="AG759" s="3"/>
      <c r="AH759" s="3"/>
      <c r="AI759" s="3"/>
      <c r="AJ759" s="3"/>
      <c r="AK759" s="3"/>
      <c r="AL759" s="3"/>
    </row>
    <row r="760" ht="15.75" customHeight="1">
      <c r="A760" s="27">
        <f t="shared" si="17"/>
        <v>111</v>
      </c>
      <c r="B760" s="83" t="s">
        <v>2782</v>
      </c>
      <c r="C760" s="86" t="s">
        <v>2783</v>
      </c>
      <c r="D760" s="117" t="s">
        <v>2784</v>
      </c>
      <c r="E760" s="83" t="s">
        <v>28</v>
      </c>
      <c r="F760" s="83" t="s">
        <v>29</v>
      </c>
      <c r="G760" s="83" t="s">
        <v>166</v>
      </c>
      <c r="H760" s="118"/>
      <c r="I760" s="83" t="s">
        <v>166</v>
      </c>
      <c r="J760" s="83">
        <v>377.0</v>
      </c>
      <c r="K760" s="118"/>
      <c r="L760" s="83" t="s">
        <v>2785</v>
      </c>
      <c r="M760" s="118" t="s">
        <v>2763</v>
      </c>
      <c r="N760" s="83">
        <v>2017.0</v>
      </c>
      <c r="O760" s="86">
        <v>5.0</v>
      </c>
      <c r="P760" s="83">
        <v>1.0</v>
      </c>
      <c r="Q760" s="83">
        <v>1.0</v>
      </c>
      <c r="R760" s="84"/>
      <c r="S760" s="34"/>
      <c r="T760" s="34"/>
      <c r="U760" s="34"/>
      <c r="V760" s="34"/>
      <c r="W760" s="34"/>
      <c r="X760" s="34"/>
      <c r="Y760" s="45"/>
      <c r="Z760" s="45"/>
      <c r="AA760" s="45"/>
      <c r="AB760" s="45"/>
      <c r="AC760" s="45"/>
      <c r="AD760" s="45"/>
      <c r="AE760" s="45"/>
      <c r="AF760" s="45"/>
      <c r="AG760" s="45"/>
      <c r="AH760" s="45"/>
      <c r="AI760" s="45"/>
      <c r="AJ760" s="45"/>
      <c r="AK760" s="45"/>
      <c r="AL760" s="45"/>
    </row>
    <row r="761" ht="15.75" customHeight="1">
      <c r="A761" s="27">
        <f t="shared" si="17"/>
        <v>112</v>
      </c>
      <c r="B761" s="83" t="s">
        <v>2786</v>
      </c>
      <c r="C761" s="86" t="s">
        <v>2787</v>
      </c>
      <c r="D761" s="117" t="s">
        <v>2788</v>
      </c>
      <c r="E761" s="83" t="s">
        <v>28</v>
      </c>
      <c r="F761" s="83" t="s">
        <v>29</v>
      </c>
      <c r="G761" s="83" t="s">
        <v>166</v>
      </c>
      <c r="H761" s="118"/>
      <c r="I761" s="83" t="s">
        <v>166</v>
      </c>
      <c r="J761" s="83">
        <v>911.0</v>
      </c>
      <c r="K761" s="118"/>
      <c r="L761" s="83" t="s">
        <v>2789</v>
      </c>
      <c r="M761" s="118" t="s">
        <v>2763</v>
      </c>
      <c r="N761" s="83">
        <v>2016.0</v>
      </c>
      <c r="O761" s="86">
        <v>5.0</v>
      </c>
      <c r="P761" s="83">
        <v>1.0</v>
      </c>
      <c r="Q761" s="83">
        <v>1.0</v>
      </c>
      <c r="R761" s="84"/>
      <c r="S761" s="34"/>
      <c r="T761" s="34"/>
      <c r="U761" s="34"/>
      <c r="V761" s="34"/>
      <c r="W761" s="34"/>
      <c r="X761" s="34"/>
      <c r="Y761" s="45"/>
      <c r="Z761" s="45"/>
      <c r="AA761" s="45"/>
      <c r="AB761" s="45"/>
      <c r="AC761" s="45"/>
      <c r="AD761" s="45"/>
      <c r="AE761" s="45"/>
      <c r="AF761" s="45"/>
      <c r="AG761" s="45"/>
      <c r="AH761" s="45"/>
      <c r="AI761" s="45"/>
      <c r="AJ761" s="45"/>
      <c r="AK761" s="45"/>
      <c r="AL761" s="45"/>
    </row>
    <row r="762" ht="15.75" customHeight="1">
      <c r="A762" s="27">
        <f t="shared" si="17"/>
        <v>113</v>
      </c>
      <c r="B762" s="83" t="s">
        <v>2790</v>
      </c>
      <c r="C762" s="86" t="s">
        <v>1516</v>
      </c>
      <c r="D762" s="117" t="s">
        <v>2791</v>
      </c>
      <c r="E762" s="83" t="s">
        <v>28</v>
      </c>
      <c r="F762" s="83" t="s">
        <v>29</v>
      </c>
      <c r="G762" s="83" t="s">
        <v>166</v>
      </c>
      <c r="H762" s="118"/>
      <c r="I762" s="83" t="s">
        <v>166</v>
      </c>
      <c r="J762" s="83">
        <v>756.0</v>
      </c>
      <c r="K762" s="118"/>
      <c r="L762" s="83" t="s">
        <v>1518</v>
      </c>
      <c r="M762" s="118" t="s">
        <v>2763</v>
      </c>
      <c r="N762" s="83">
        <v>1998.0</v>
      </c>
      <c r="O762" s="86">
        <v>5.0</v>
      </c>
      <c r="P762" s="118">
        <v>1.0</v>
      </c>
      <c r="Q762" s="83">
        <v>1.0</v>
      </c>
      <c r="R762" s="84"/>
      <c r="S762" s="34"/>
      <c r="T762" s="34"/>
      <c r="U762" s="34"/>
      <c r="V762" s="34"/>
      <c r="W762" s="34"/>
      <c r="X762" s="34"/>
      <c r="Y762" s="45"/>
      <c r="Z762" s="45"/>
      <c r="AA762" s="45"/>
      <c r="AB762" s="45"/>
      <c r="AC762" s="45"/>
      <c r="AD762" s="45"/>
      <c r="AE762" s="45"/>
      <c r="AF762" s="45"/>
      <c r="AG762" s="45"/>
      <c r="AH762" s="45"/>
      <c r="AI762" s="45"/>
      <c r="AJ762" s="45"/>
      <c r="AK762" s="45"/>
      <c r="AL762" s="45"/>
    </row>
    <row r="763" ht="15.75" customHeight="1">
      <c r="A763" s="27">
        <f t="shared" si="17"/>
        <v>114</v>
      </c>
      <c r="B763" s="83" t="s">
        <v>2792</v>
      </c>
      <c r="C763" s="86" t="s">
        <v>2793</v>
      </c>
      <c r="D763" s="117" t="s">
        <v>2794</v>
      </c>
      <c r="E763" s="83" t="s">
        <v>28</v>
      </c>
      <c r="F763" s="83" t="s">
        <v>29</v>
      </c>
      <c r="G763" s="86" t="s">
        <v>37</v>
      </c>
      <c r="H763" s="83"/>
      <c r="I763" s="83" t="s">
        <v>38</v>
      </c>
      <c r="J763" s="83">
        <v>681.0</v>
      </c>
      <c r="K763" s="83"/>
      <c r="L763" s="83" t="s">
        <v>2795</v>
      </c>
      <c r="M763" s="83" t="s">
        <v>382</v>
      </c>
      <c r="N763" s="83">
        <v>2003.0</v>
      </c>
      <c r="O763" s="86">
        <v>6.0</v>
      </c>
      <c r="P763" s="83">
        <v>1.0</v>
      </c>
      <c r="Q763" s="83">
        <v>1.0</v>
      </c>
      <c r="R763" s="84"/>
      <c r="S763" s="34"/>
      <c r="T763" s="34"/>
      <c r="U763" s="34"/>
      <c r="V763" s="34"/>
      <c r="W763" s="34"/>
      <c r="X763" s="34"/>
      <c r="Y763" s="45"/>
      <c r="Z763" s="45"/>
      <c r="AA763" s="45"/>
      <c r="AB763" s="45"/>
      <c r="AC763" s="45"/>
      <c r="AD763" s="45"/>
      <c r="AE763" s="45"/>
      <c r="AF763" s="45"/>
      <c r="AG763" s="45"/>
      <c r="AH763" s="45"/>
      <c r="AI763" s="45"/>
      <c r="AJ763" s="45"/>
      <c r="AK763" s="45"/>
      <c r="AL763" s="45"/>
    </row>
    <row r="764" ht="15.75" customHeight="1">
      <c r="A764" s="27">
        <f t="shared" si="17"/>
        <v>115</v>
      </c>
      <c r="B764" s="83" t="s">
        <v>2796</v>
      </c>
      <c r="C764" s="86" t="s">
        <v>2797</v>
      </c>
      <c r="D764" s="117" t="s">
        <v>2798</v>
      </c>
      <c r="E764" s="83" t="s">
        <v>28</v>
      </c>
      <c r="F764" s="83" t="s">
        <v>29</v>
      </c>
      <c r="G764" s="86" t="s">
        <v>37</v>
      </c>
      <c r="H764" s="83"/>
      <c r="I764" s="83" t="s">
        <v>38</v>
      </c>
      <c r="J764" s="83">
        <v>879.0</v>
      </c>
      <c r="K764" s="83"/>
      <c r="L764" s="83" t="s">
        <v>2799</v>
      </c>
      <c r="M764" s="83" t="s">
        <v>382</v>
      </c>
      <c r="N764" s="83">
        <v>2012.0</v>
      </c>
      <c r="O764" s="86">
        <v>6.0</v>
      </c>
      <c r="P764" s="83">
        <v>1.0</v>
      </c>
      <c r="Q764" s="83">
        <v>1.0</v>
      </c>
      <c r="R764" s="84"/>
      <c r="S764" s="40"/>
      <c r="T764" s="40"/>
      <c r="U764" s="40"/>
      <c r="V764" s="40"/>
      <c r="W764" s="40"/>
      <c r="X764" s="40"/>
      <c r="Y764" s="3"/>
      <c r="Z764" s="3"/>
      <c r="AA764" s="3"/>
      <c r="AB764" s="3"/>
      <c r="AC764" s="3"/>
      <c r="AD764" s="3"/>
      <c r="AE764" s="3"/>
      <c r="AF764" s="3"/>
      <c r="AG764" s="3"/>
      <c r="AH764" s="3"/>
      <c r="AI764" s="3"/>
      <c r="AJ764" s="3"/>
      <c r="AK764" s="3"/>
      <c r="AL764" s="3"/>
    </row>
    <row r="765" ht="15.75" customHeight="1">
      <c r="A765" s="27">
        <f t="shared" si="17"/>
        <v>116</v>
      </c>
      <c r="B765" s="83" t="s">
        <v>2800</v>
      </c>
      <c r="C765" s="86" t="s">
        <v>2801</v>
      </c>
      <c r="D765" s="117" t="s">
        <v>2802</v>
      </c>
      <c r="E765" s="83" t="s">
        <v>28</v>
      </c>
      <c r="F765" s="83" t="s">
        <v>29</v>
      </c>
      <c r="G765" s="86" t="s">
        <v>37</v>
      </c>
      <c r="H765" s="83"/>
      <c r="I765" s="83" t="s">
        <v>38</v>
      </c>
      <c r="J765" s="83">
        <v>759.0</v>
      </c>
      <c r="K765" s="83"/>
      <c r="L765" s="83" t="s">
        <v>2803</v>
      </c>
      <c r="M765" s="83" t="s">
        <v>382</v>
      </c>
      <c r="N765" s="83">
        <v>2001.0</v>
      </c>
      <c r="O765" s="86">
        <v>6.0</v>
      </c>
      <c r="P765" s="83">
        <v>1.0</v>
      </c>
      <c r="Q765" s="83">
        <v>1.0</v>
      </c>
      <c r="R765" s="84"/>
      <c r="S765" s="34"/>
      <c r="T765" s="34"/>
      <c r="U765" s="34"/>
      <c r="V765" s="34"/>
      <c r="W765" s="34"/>
      <c r="X765" s="34"/>
      <c r="Y765" s="45"/>
      <c r="Z765" s="45"/>
      <c r="AA765" s="45"/>
      <c r="AB765" s="45"/>
      <c r="AC765" s="45"/>
      <c r="AD765" s="45"/>
      <c r="AE765" s="45"/>
      <c r="AF765" s="45"/>
      <c r="AG765" s="45"/>
      <c r="AH765" s="45"/>
      <c r="AI765" s="45"/>
      <c r="AJ765" s="45"/>
      <c r="AK765" s="45"/>
      <c r="AL765" s="45"/>
    </row>
    <row r="766" ht="15.75" customHeight="1">
      <c r="A766" s="27">
        <f t="shared" si="17"/>
        <v>117</v>
      </c>
      <c r="B766" s="86" t="s">
        <v>2804</v>
      </c>
      <c r="C766" s="86" t="s">
        <v>2805</v>
      </c>
      <c r="D766" s="118" t="s">
        <v>2806</v>
      </c>
      <c r="E766" s="83"/>
      <c r="F766" s="83" t="s">
        <v>29</v>
      </c>
      <c r="G766" s="83" t="s">
        <v>166</v>
      </c>
      <c r="H766" s="83"/>
      <c r="I766" s="83" t="s">
        <v>38</v>
      </c>
      <c r="J766" s="83">
        <v>1221.0</v>
      </c>
      <c r="K766" s="83"/>
      <c r="L766" s="83" t="s">
        <v>2807</v>
      </c>
      <c r="M766" s="83" t="s">
        <v>2808</v>
      </c>
      <c r="N766" s="83">
        <v>1991.0</v>
      </c>
      <c r="O766" s="86">
        <v>3.0</v>
      </c>
      <c r="P766" s="83">
        <v>1.0</v>
      </c>
      <c r="Q766" s="86">
        <v>1.0</v>
      </c>
      <c r="R766" s="83"/>
      <c r="S766" s="34"/>
      <c r="T766" s="34"/>
      <c r="U766" s="34"/>
      <c r="V766" s="34"/>
      <c r="W766" s="34"/>
      <c r="X766" s="34"/>
      <c r="Y766" s="3"/>
      <c r="Z766" s="3"/>
      <c r="AA766" s="3"/>
      <c r="AB766" s="3"/>
      <c r="AC766" s="3"/>
      <c r="AD766" s="3"/>
      <c r="AE766" s="3"/>
      <c r="AF766" s="3"/>
      <c r="AG766" s="3"/>
      <c r="AH766" s="3"/>
      <c r="AI766" s="3"/>
      <c r="AJ766" s="3"/>
      <c r="AK766" s="3"/>
      <c r="AL766" s="3"/>
    </row>
    <row r="767" ht="15.75" customHeight="1">
      <c r="A767" s="27">
        <f t="shared" si="17"/>
        <v>118</v>
      </c>
      <c r="B767" s="86" t="s">
        <v>2809</v>
      </c>
      <c r="C767" s="86" t="s">
        <v>2810</v>
      </c>
      <c r="D767" s="118" t="s">
        <v>2811</v>
      </c>
      <c r="E767" s="118"/>
      <c r="F767" s="83" t="s">
        <v>29</v>
      </c>
      <c r="G767" s="83" t="s">
        <v>166</v>
      </c>
      <c r="H767" s="118"/>
      <c r="I767" s="83" t="s">
        <v>38</v>
      </c>
      <c r="J767" s="83">
        <v>316.0</v>
      </c>
      <c r="K767" s="118"/>
      <c r="L767" s="83" t="s">
        <v>2812</v>
      </c>
      <c r="M767" s="86" t="s">
        <v>2813</v>
      </c>
      <c r="N767" s="83">
        <v>1995.0</v>
      </c>
      <c r="O767" s="86" t="s">
        <v>205</v>
      </c>
      <c r="P767" s="117">
        <v>1.0</v>
      </c>
      <c r="Q767" s="86">
        <v>1.0</v>
      </c>
      <c r="R767" s="84"/>
      <c r="S767" s="34"/>
      <c r="T767" s="34"/>
      <c r="U767" s="34"/>
      <c r="V767" s="34"/>
      <c r="W767" s="34"/>
      <c r="X767" s="34"/>
      <c r="Y767" s="45"/>
      <c r="Z767" s="45"/>
      <c r="AA767" s="45"/>
      <c r="AB767" s="45"/>
      <c r="AC767" s="45"/>
      <c r="AD767" s="45"/>
      <c r="AE767" s="45"/>
      <c r="AF767" s="45"/>
      <c r="AG767" s="45"/>
      <c r="AH767" s="45"/>
      <c r="AI767" s="45"/>
      <c r="AJ767" s="45"/>
      <c r="AK767" s="45"/>
      <c r="AL767" s="45"/>
    </row>
    <row r="768" ht="15.75" customHeight="1">
      <c r="A768" s="27">
        <f t="shared" si="17"/>
        <v>119</v>
      </c>
      <c r="B768" s="28" t="s">
        <v>31</v>
      </c>
      <c r="C768" s="43" t="s">
        <v>2814</v>
      </c>
      <c r="D768" s="30" t="s">
        <v>112</v>
      </c>
      <c r="E768" s="28" t="s">
        <v>31</v>
      </c>
      <c r="F768" s="28" t="s">
        <v>29</v>
      </c>
      <c r="G768" s="28" t="s">
        <v>30</v>
      </c>
      <c r="H768" s="28"/>
      <c r="I768" s="28" t="s">
        <v>30</v>
      </c>
      <c r="J768" s="28">
        <v>264.0</v>
      </c>
      <c r="K768" s="28"/>
      <c r="L768" s="28" t="s">
        <v>2815</v>
      </c>
      <c r="M768" s="28" t="s">
        <v>114</v>
      </c>
      <c r="N768" s="28">
        <v>1977.0</v>
      </c>
      <c r="O768" s="62">
        <v>15.0</v>
      </c>
      <c r="P768" s="28">
        <v>2.0</v>
      </c>
      <c r="Q768" s="94">
        <v>2.0</v>
      </c>
      <c r="R768" s="33"/>
      <c r="S768" s="34"/>
      <c r="T768" s="34"/>
      <c r="U768" s="34"/>
      <c r="V768" s="34"/>
      <c r="W768" s="34"/>
      <c r="X768" s="34"/>
      <c r="Y768" s="45"/>
      <c r="Z768" s="45"/>
      <c r="AA768" s="45"/>
      <c r="AB768" s="45"/>
      <c r="AC768" s="45"/>
      <c r="AD768" s="45"/>
      <c r="AE768" s="45"/>
      <c r="AF768" s="45"/>
      <c r="AG768" s="45"/>
      <c r="AH768" s="45"/>
      <c r="AI768" s="45"/>
      <c r="AJ768" s="45"/>
      <c r="AK768" s="45"/>
      <c r="AL768" s="45"/>
    </row>
    <row r="769" ht="15.75" customHeight="1">
      <c r="A769" s="27">
        <f t="shared" si="17"/>
        <v>120</v>
      </c>
      <c r="B769" s="28" t="s">
        <v>2816</v>
      </c>
      <c r="C769" s="29" t="s">
        <v>2817</v>
      </c>
      <c r="D769" s="30" t="s">
        <v>2818</v>
      </c>
      <c r="E769" s="28"/>
      <c r="F769" s="28" t="s">
        <v>29</v>
      </c>
      <c r="G769" s="28" t="s">
        <v>37</v>
      </c>
      <c r="H769" s="28"/>
      <c r="I769" s="28" t="s">
        <v>38</v>
      </c>
      <c r="J769" s="28">
        <v>216.0</v>
      </c>
      <c r="K769" s="28"/>
      <c r="L769" s="28" t="s">
        <v>2819</v>
      </c>
      <c r="M769" s="28" t="s">
        <v>236</v>
      </c>
      <c r="N769" s="28">
        <v>1982.0</v>
      </c>
      <c r="O769" s="28" t="s">
        <v>2820</v>
      </c>
      <c r="P769" s="28">
        <v>1.0</v>
      </c>
      <c r="Q769" s="94">
        <v>1.0</v>
      </c>
      <c r="R769" s="33"/>
      <c r="S769" s="34"/>
      <c r="T769" s="34"/>
      <c r="U769" s="34"/>
      <c r="V769" s="34"/>
      <c r="W769" s="34"/>
      <c r="X769" s="34"/>
      <c r="Y769" s="45"/>
      <c r="Z769" s="45"/>
      <c r="AA769" s="45"/>
      <c r="AB769" s="45"/>
      <c r="AC769" s="45"/>
      <c r="AD769" s="45"/>
      <c r="AE769" s="45"/>
      <c r="AF769" s="45"/>
      <c r="AG769" s="45"/>
      <c r="AH769" s="45"/>
      <c r="AI769" s="45"/>
      <c r="AJ769" s="45"/>
      <c r="AK769" s="45"/>
      <c r="AL769" s="45"/>
    </row>
    <row r="770" ht="15.75" customHeight="1">
      <c r="A770" s="27">
        <f t="shared" si="17"/>
        <v>121</v>
      </c>
      <c r="B770" s="28" t="s">
        <v>31</v>
      </c>
      <c r="C770" s="29" t="s">
        <v>2821</v>
      </c>
      <c r="D770" s="30" t="s">
        <v>2822</v>
      </c>
      <c r="E770" s="28" t="s">
        <v>144</v>
      </c>
      <c r="F770" s="28" t="s">
        <v>29</v>
      </c>
      <c r="G770" s="28" t="s">
        <v>30</v>
      </c>
      <c r="H770" s="28"/>
      <c r="I770" s="28" t="s">
        <v>30</v>
      </c>
      <c r="J770" s="28">
        <v>159.0</v>
      </c>
      <c r="K770" s="28"/>
      <c r="L770" s="28" t="s">
        <v>2823</v>
      </c>
      <c r="M770" s="28" t="s">
        <v>1271</v>
      </c>
      <c r="N770" s="28">
        <v>2000.0</v>
      </c>
      <c r="O770" s="28" t="s">
        <v>2820</v>
      </c>
      <c r="P770" s="28">
        <v>1.0</v>
      </c>
      <c r="Q770" s="94">
        <v>1.0</v>
      </c>
      <c r="R770" s="33"/>
      <c r="S770" s="34"/>
      <c r="T770" s="34"/>
      <c r="U770" s="34"/>
      <c r="V770" s="34"/>
      <c r="W770" s="34"/>
      <c r="X770" s="34"/>
      <c r="Y770" s="3"/>
      <c r="Z770" s="3"/>
      <c r="AA770" s="3"/>
      <c r="AB770" s="3"/>
      <c r="AC770" s="3"/>
      <c r="AD770" s="3"/>
      <c r="AE770" s="3"/>
      <c r="AF770" s="3"/>
      <c r="AG770" s="3"/>
      <c r="AH770" s="3"/>
      <c r="AI770" s="3"/>
      <c r="AJ770" s="3"/>
      <c r="AK770" s="3"/>
      <c r="AL770" s="3"/>
    </row>
    <row r="771" ht="15.75" customHeight="1">
      <c r="A771" s="27">
        <f t="shared" si="17"/>
        <v>122</v>
      </c>
      <c r="B771" s="28" t="s">
        <v>2824</v>
      </c>
      <c r="C771" s="29" t="s">
        <v>2825</v>
      </c>
      <c r="D771" s="30" t="s">
        <v>2826</v>
      </c>
      <c r="E771" s="28" t="s">
        <v>144</v>
      </c>
      <c r="F771" s="28" t="s">
        <v>29</v>
      </c>
      <c r="G771" s="28" t="s">
        <v>30</v>
      </c>
      <c r="H771" s="28"/>
      <c r="I771" s="28" t="s">
        <v>30</v>
      </c>
      <c r="J771" s="28">
        <f>213+8</f>
        <v>221</v>
      </c>
      <c r="K771" s="28"/>
      <c r="L771" s="28" t="s">
        <v>2823</v>
      </c>
      <c r="M771" s="28" t="s">
        <v>1271</v>
      </c>
      <c r="N771" s="28">
        <v>2003.0</v>
      </c>
      <c r="O771" s="28" t="s">
        <v>2820</v>
      </c>
      <c r="P771" s="28">
        <v>1.0</v>
      </c>
      <c r="Q771" s="94">
        <v>1.0</v>
      </c>
      <c r="R771" s="33"/>
      <c r="S771" s="40"/>
      <c r="T771" s="40"/>
      <c r="U771" s="40"/>
      <c r="V771" s="40"/>
      <c r="W771" s="40"/>
      <c r="X771" s="40"/>
      <c r="Y771" s="45"/>
      <c r="Z771" s="45"/>
      <c r="AA771" s="45"/>
      <c r="AB771" s="45"/>
      <c r="AC771" s="45"/>
      <c r="AD771" s="45"/>
      <c r="AE771" s="45"/>
      <c r="AF771" s="45"/>
      <c r="AG771" s="45"/>
      <c r="AH771" s="45"/>
      <c r="AI771" s="45"/>
      <c r="AJ771" s="45"/>
      <c r="AK771" s="45"/>
      <c r="AL771" s="45"/>
    </row>
    <row r="772" ht="15.75" customHeight="1">
      <c r="A772" s="27">
        <f t="shared" si="17"/>
        <v>123</v>
      </c>
      <c r="B772" s="28" t="s">
        <v>2827</v>
      </c>
      <c r="C772" s="47" t="s">
        <v>2828</v>
      </c>
      <c r="D772" s="30" t="s">
        <v>2829</v>
      </c>
      <c r="E772" s="28" t="s">
        <v>144</v>
      </c>
      <c r="F772" s="28" t="s">
        <v>29</v>
      </c>
      <c r="G772" s="28" t="s">
        <v>37</v>
      </c>
      <c r="H772" s="28" t="s">
        <v>31</v>
      </c>
      <c r="I772" s="28" t="s">
        <v>38</v>
      </c>
      <c r="J772" s="28">
        <v>352.0</v>
      </c>
      <c r="K772" s="28" t="s">
        <v>31</v>
      </c>
      <c r="L772" s="28" t="s">
        <v>2830</v>
      </c>
      <c r="M772" s="28" t="s">
        <v>493</v>
      </c>
      <c r="N772" s="28">
        <v>1999.0</v>
      </c>
      <c r="O772" s="28" t="s">
        <v>2820</v>
      </c>
      <c r="P772" s="28">
        <v>1.0</v>
      </c>
      <c r="Q772" s="32">
        <v>1.0</v>
      </c>
      <c r="R772" s="33"/>
      <c r="S772" s="40"/>
      <c r="T772" s="40"/>
      <c r="U772" s="40"/>
      <c r="V772" s="40"/>
      <c r="W772" s="40"/>
      <c r="X772" s="40"/>
      <c r="Y772" s="45"/>
      <c r="Z772" s="45"/>
      <c r="AA772" s="45"/>
      <c r="AB772" s="45"/>
      <c r="AC772" s="45"/>
      <c r="AD772" s="45"/>
      <c r="AE772" s="45"/>
      <c r="AF772" s="45"/>
      <c r="AG772" s="45"/>
      <c r="AH772" s="45"/>
      <c r="AI772" s="45"/>
      <c r="AJ772" s="45"/>
      <c r="AK772" s="45"/>
      <c r="AL772" s="45"/>
    </row>
    <row r="773" ht="15.75" customHeight="1">
      <c r="A773" s="27">
        <f t="shared" si="17"/>
        <v>124</v>
      </c>
      <c r="B773" s="28" t="s">
        <v>2618</v>
      </c>
      <c r="C773" s="43" t="s">
        <v>2831</v>
      </c>
      <c r="D773" s="30" t="s">
        <v>2832</v>
      </c>
      <c r="E773" s="28" t="s">
        <v>302</v>
      </c>
      <c r="F773" s="28" t="s">
        <v>29</v>
      </c>
      <c r="G773" s="28" t="s">
        <v>37</v>
      </c>
      <c r="H773" s="28"/>
      <c r="I773" s="28" t="s">
        <v>38</v>
      </c>
      <c r="J773" s="28">
        <v>192.0</v>
      </c>
      <c r="K773" s="28"/>
      <c r="L773" s="28" t="s">
        <v>2621</v>
      </c>
      <c r="M773" s="28" t="s">
        <v>2622</v>
      </c>
      <c r="N773" s="28">
        <v>2015.0</v>
      </c>
      <c r="O773" s="28" t="s">
        <v>2820</v>
      </c>
      <c r="P773" s="28">
        <v>1.0</v>
      </c>
      <c r="Q773" s="32">
        <v>1.0</v>
      </c>
      <c r="R773" s="33"/>
      <c r="S773" s="34"/>
      <c r="T773" s="34"/>
      <c r="U773" s="34"/>
      <c r="V773" s="34"/>
      <c r="W773" s="34"/>
      <c r="X773" s="34"/>
      <c r="Y773" s="45"/>
      <c r="Z773" s="45"/>
      <c r="AA773" s="45"/>
      <c r="AB773" s="45"/>
      <c r="AC773" s="45"/>
      <c r="AD773" s="45"/>
      <c r="AE773" s="45"/>
      <c r="AF773" s="45"/>
      <c r="AG773" s="45"/>
      <c r="AH773" s="45"/>
      <c r="AI773" s="45"/>
      <c r="AJ773" s="45"/>
      <c r="AK773" s="45"/>
      <c r="AL773" s="45"/>
    </row>
    <row r="774" ht="15.75" customHeight="1">
      <c r="A774" s="27">
        <f t="shared" si="17"/>
        <v>125</v>
      </c>
      <c r="B774" s="28" t="s">
        <v>2833</v>
      </c>
      <c r="C774" s="29" t="s">
        <v>2834</v>
      </c>
      <c r="D774" s="30" t="s">
        <v>2835</v>
      </c>
      <c r="E774" s="28" t="s">
        <v>302</v>
      </c>
      <c r="F774" s="28" t="s">
        <v>29</v>
      </c>
      <c r="G774" s="28" t="s">
        <v>37</v>
      </c>
      <c r="H774" s="28"/>
      <c r="I774" s="28" t="s">
        <v>38</v>
      </c>
      <c r="J774" s="28">
        <v>361.0</v>
      </c>
      <c r="K774" s="28"/>
      <c r="L774" s="28" t="s">
        <v>2836</v>
      </c>
      <c r="M774" s="28" t="s">
        <v>2423</v>
      </c>
      <c r="N774" s="28">
        <v>1995.0</v>
      </c>
      <c r="O774" s="28" t="s">
        <v>2820</v>
      </c>
      <c r="P774" s="28">
        <v>1.0</v>
      </c>
      <c r="Q774" s="94">
        <v>1.0</v>
      </c>
      <c r="R774" s="33"/>
      <c r="S774" s="40"/>
      <c r="T774" s="40"/>
      <c r="U774" s="40"/>
      <c r="V774" s="40"/>
      <c r="W774" s="40"/>
      <c r="X774" s="40"/>
      <c r="Y774" s="45"/>
      <c r="Z774" s="45"/>
      <c r="AA774" s="45"/>
      <c r="AB774" s="45"/>
      <c r="AC774" s="45"/>
      <c r="AD774" s="45"/>
      <c r="AE774" s="45"/>
      <c r="AF774" s="45"/>
      <c r="AG774" s="45"/>
      <c r="AH774" s="45"/>
      <c r="AI774" s="45"/>
      <c r="AJ774" s="45"/>
      <c r="AK774" s="45"/>
      <c r="AL774" s="45"/>
    </row>
    <row r="775" ht="15.75" customHeight="1">
      <c r="A775" s="27">
        <f t="shared" si="17"/>
        <v>126</v>
      </c>
      <c r="B775" s="28" t="s">
        <v>2837</v>
      </c>
      <c r="C775" s="29" t="s">
        <v>2838</v>
      </c>
      <c r="D775" s="30" t="s">
        <v>2839</v>
      </c>
      <c r="E775" s="28" t="s">
        <v>144</v>
      </c>
      <c r="F775" s="28" t="s">
        <v>29</v>
      </c>
      <c r="G775" s="28" t="s">
        <v>30</v>
      </c>
      <c r="H775" s="28"/>
      <c r="I775" s="28" t="s">
        <v>30</v>
      </c>
      <c r="J775" s="28">
        <f>226+8</f>
        <v>234</v>
      </c>
      <c r="K775" s="28"/>
      <c r="L775" s="28" t="s">
        <v>2823</v>
      </c>
      <c r="M775" s="28" t="s">
        <v>2840</v>
      </c>
      <c r="N775" s="28">
        <v>2002.0</v>
      </c>
      <c r="O775" s="60" t="s">
        <v>2820</v>
      </c>
      <c r="P775" s="28">
        <v>1.0</v>
      </c>
      <c r="Q775" s="94">
        <v>1.0</v>
      </c>
      <c r="R775" s="33"/>
      <c r="S775" s="34"/>
      <c r="T775" s="34"/>
      <c r="U775" s="34"/>
      <c r="V775" s="34"/>
      <c r="W775" s="34"/>
      <c r="X775" s="34"/>
      <c r="Y775" s="3"/>
      <c r="Z775" s="3"/>
      <c r="AA775" s="3"/>
      <c r="AB775" s="3"/>
      <c r="AC775" s="3"/>
      <c r="AD775" s="3"/>
      <c r="AE775" s="3"/>
      <c r="AF775" s="3"/>
      <c r="AG775" s="3"/>
      <c r="AH775" s="3"/>
      <c r="AI775" s="3"/>
      <c r="AJ775" s="3"/>
      <c r="AK775" s="3"/>
      <c r="AL775" s="3"/>
    </row>
    <row r="776" ht="15.75" customHeight="1">
      <c r="A776" s="27">
        <f t="shared" si="17"/>
        <v>127</v>
      </c>
      <c r="B776" s="28" t="s">
        <v>2841</v>
      </c>
      <c r="C776" s="29" t="s">
        <v>2842</v>
      </c>
      <c r="D776" s="30" t="s">
        <v>2843</v>
      </c>
      <c r="E776" s="28"/>
      <c r="F776" s="28" t="s">
        <v>29</v>
      </c>
      <c r="G776" s="28" t="s">
        <v>37</v>
      </c>
      <c r="H776" s="28"/>
      <c r="I776" s="28" t="s">
        <v>38</v>
      </c>
      <c r="J776" s="28">
        <v>369.0</v>
      </c>
      <c r="K776" s="28"/>
      <c r="L776" s="28" t="s">
        <v>2844</v>
      </c>
      <c r="M776" s="28" t="s">
        <v>352</v>
      </c>
      <c r="N776" s="28">
        <v>2003.0</v>
      </c>
      <c r="O776" s="60" t="s">
        <v>2820</v>
      </c>
      <c r="P776" s="28">
        <v>1.0</v>
      </c>
      <c r="Q776" s="94">
        <v>1.0</v>
      </c>
      <c r="R776" s="33"/>
      <c r="S776" s="34"/>
      <c r="T776" s="34"/>
      <c r="U776" s="34"/>
      <c r="V776" s="34"/>
      <c r="W776" s="34"/>
      <c r="X776" s="34"/>
      <c r="Y776" s="3"/>
      <c r="Z776" s="3"/>
      <c r="AA776" s="3"/>
      <c r="AB776" s="3"/>
      <c r="AC776" s="3"/>
      <c r="AD776" s="3"/>
      <c r="AE776" s="3"/>
      <c r="AF776" s="3"/>
      <c r="AG776" s="3"/>
      <c r="AH776" s="3"/>
      <c r="AI776" s="3"/>
      <c r="AJ776" s="3"/>
      <c r="AK776" s="3"/>
      <c r="AL776" s="3"/>
    </row>
    <row r="777" ht="15.75" customHeight="1">
      <c r="A777" s="27">
        <f t="shared" si="17"/>
        <v>128</v>
      </c>
      <c r="B777" s="28" t="s">
        <v>2845</v>
      </c>
      <c r="C777" s="29" t="s">
        <v>2846</v>
      </c>
      <c r="D777" s="30" t="s">
        <v>2847</v>
      </c>
      <c r="E777" s="28" t="s">
        <v>144</v>
      </c>
      <c r="F777" s="28" t="s">
        <v>29</v>
      </c>
      <c r="G777" s="28" t="s">
        <v>30</v>
      </c>
      <c r="H777" s="28"/>
      <c r="I777" s="28" t="s">
        <v>30</v>
      </c>
      <c r="J777" s="28">
        <f>360+8</f>
        <v>368</v>
      </c>
      <c r="K777" s="28"/>
      <c r="L777" s="28" t="s">
        <v>2848</v>
      </c>
      <c r="M777" s="28" t="s">
        <v>72</v>
      </c>
      <c r="N777" s="28">
        <v>1964.0</v>
      </c>
      <c r="O777" s="60" t="s">
        <v>2820</v>
      </c>
      <c r="P777" s="28">
        <v>1.0</v>
      </c>
      <c r="Q777" s="94">
        <v>1.0</v>
      </c>
      <c r="R777" s="33"/>
      <c r="S777" s="34"/>
      <c r="T777" s="34"/>
      <c r="U777" s="34"/>
      <c r="V777" s="34"/>
      <c r="W777" s="34"/>
      <c r="X777" s="34"/>
      <c r="Y777" s="45"/>
      <c r="Z777" s="45"/>
      <c r="AA777" s="45"/>
      <c r="AB777" s="45"/>
      <c r="AC777" s="45"/>
      <c r="AD777" s="45"/>
      <c r="AE777" s="45"/>
      <c r="AF777" s="45"/>
      <c r="AG777" s="45"/>
      <c r="AH777" s="45"/>
      <c r="AI777" s="45"/>
      <c r="AJ777" s="45"/>
      <c r="AK777" s="45"/>
      <c r="AL777" s="45"/>
    </row>
    <row r="778" ht="15.75" customHeight="1">
      <c r="A778" s="27">
        <f t="shared" si="17"/>
        <v>129</v>
      </c>
      <c r="B778" s="28" t="s">
        <v>2849</v>
      </c>
      <c r="C778" s="102" t="s">
        <v>2850</v>
      </c>
      <c r="D778" s="120" t="s">
        <v>2851</v>
      </c>
      <c r="E778" s="60" t="s">
        <v>302</v>
      </c>
      <c r="F778" s="28" t="s">
        <v>29</v>
      </c>
      <c r="G778" s="28" t="s">
        <v>37</v>
      </c>
      <c r="H778" s="28"/>
      <c r="I778" s="28" t="s">
        <v>38</v>
      </c>
      <c r="J778" s="28">
        <v>581.0</v>
      </c>
      <c r="K778" s="28"/>
      <c r="L778" s="28" t="s">
        <v>2852</v>
      </c>
      <c r="M778" s="28" t="s">
        <v>178</v>
      </c>
      <c r="N778" s="28">
        <v>1995.0</v>
      </c>
      <c r="O778" s="60" t="s">
        <v>2820</v>
      </c>
      <c r="P778" s="28">
        <v>1.0</v>
      </c>
      <c r="Q778" s="94">
        <v>1.0</v>
      </c>
      <c r="R778" s="33"/>
      <c r="S778" s="34"/>
      <c r="T778" s="34"/>
      <c r="U778" s="34"/>
      <c r="V778" s="34"/>
      <c r="W778" s="34"/>
      <c r="X778" s="34"/>
      <c r="Y778" s="45"/>
      <c r="Z778" s="45"/>
      <c r="AA778" s="45"/>
      <c r="AB778" s="45"/>
      <c r="AC778" s="45"/>
      <c r="AD778" s="45"/>
      <c r="AE778" s="45"/>
      <c r="AF778" s="45"/>
      <c r="AG778" s="45"/>
      <c r="AH778" s="45"/>
      <c r="AI778" s="45"/>
      <c r="AJ778" s="45"/>
      <c r="AK778" s="45"/>
      <c r="AL778" s="45"/>
    </row>
    <row r="779" ht="15.75" customHeight="1">
      <c r="A779" s="27">
        <f t="shared" si="17"/>
        <v>130</v>
      </c>
      <c r="B779" s="28" t="s">
        <v>2853</v>
      </c>
      <c r="C779" s="43" t="s">
        <v>1173</v>
      </c>
      <c r="D779" s="30" t="s">
        <v>2854</v>
      </c>
      <c r="E779" s="28" t="s">
        <v>144</v>
      </c>
      <c r="F779" s="28" t="s">
        <v>29</v>
      </c>
      <c r="G779" s="28" t="s">
        <v>2855</v>
      </c>
      <c r="H779" s="28" t="s">
        <v>31</v>
      </c>
      <c r="I779" s="28" t="s">
        <v>38</v>
      </c>
      <c r="J779" s="28">
        <v>588.0</v>
      </c>
      <c r="K779" s="28"/>
      <c r="L779" s="28" t="s">
        <v>1175</v>
      </c>
      <c r="M779" s="28" t="s">
        <v>178</v>
      </c>
      <c r="N779" s="28">
        <v>1998.0</v>
      </c>
      <c r="O779" s="60" t="s">
        <v>2820</v>
      </c>
      <c r="P779" s="28">
        <v>1.0</v>
      </c>
      <c r="Q779" s="94">
        <v>1.0</v>
      </c>
      <c r="R779" s="33"/>
      <c r="S779" s="34"/>
      <c r="T779" s="34"/>
      <c r="U779" s="34"/>
      <c r="V779" s="34"/>
      <c r="W779" s="34"/>
      <c r="X779" s="34"/>
      <c r="Y779" s="45"/>
      <c r="Z779" s="45"/>
      <c r="AA779" s="45"/>
      <c r="AB779" s="45"/>
      <c r="AC779" s="45"/>
      <c r="AD779" s="45"/>
      <c r="AE779" s="45"/>
      <c r="AF779" s="45"/>
      <c r="AG779" s="45"/>
      <c r="AH779" s="45"/>
      <c r="AI779" s="45"/>
      <c r="AJ779" s="45"/>
      <c r="AK779" s="45"/>
      <c r="AL779" s="45"/>
    </row>
    <row r="780" ht="15.75" customHeight="1">
      <c r="A780" s="27">
        <f t="shared" si="17"/>
        <v>131</v>
      </c>
      <c r="B780" s="28" t="s">
        <v>2856</v>
      </c>
      <c r="C780" s="29" t="s">
        <v>2857</v>
      </c>
      <c r="D780" s="30" t="s">
        <v>2858</v>
      </c>
      <c r="E780" s="28" t="s">
        <v>31</v>
      </c>
      <c r="F780" s="28" t="s">
        <v>29</v>
      </c>
      <c r="G780" s="28" t="s">
        <v>37</v>
      </c>
      <c r="H780" s="28"/>
      <c r="I780" s="28" t="s">
        <v>38</v>
      </c>
      <c r="J780" s="28">
        <v>134.0</v>
      </c>
      <c r="K780" s="28"/>
      <c r="L780" s="28" t="s">
        <v>2859</v>
      </c>
      <c r="M780" s="28" t="s">
        <v>178</v>
      </c>
      <c r="N780" s="28">
        <v>1990.0</v>
      </c>
      <c r="O780" s="60" t="s">
        <v>2820</v>
      </c>
      <c r="P780" s="28">
        <v>1.0</v>
      </c>
      <c r="Q780" s="94">
        <v>1.0</v>
      </c>
      <c r="R780" s="33"/>
      <c r="S780" s="34"/>
      <c r="T780" s="34"/>
      <c r="U780" s="34"/>
      <c r="V780" s="34"/>
      <c r="W780" s="34"/>
      <c r="X780" s="34"/>
      <c r="Y780" s="45"/>
      <c r="Z780" s="45"/>
      <c r="AA780" s="45"/>
      <c r="AB780" s="45"/>
      <c r="AC780" s="45"/>
      <c r="AD780" s="45"/>
      <c r="AE780" s="45"/>
      <c r="AF780" s="45"/>
      <c r="AG780" s="45"/>
      <c r="AH780" s="45"/>
      <c r="AI780" s="45"/>
      <c r="AJ780" s="45"/>
      <c r="AK780" s="45"/>
      <c r="AL780" s="45"/>
    </row>
    <row r="781" ht="15.75" customHeight="1">
      <c r="A781" s="27">
        <f t="shared" si="17"/>
        <v>132</v>
      </c>
      <c r="B781" s="28" t="s">
        <v>2860</v>
      </c>
      <c r="C781" s="43" t="s">
        <v>2861</v>
      </c>
      <c r="D781" s="30" t="s">
        <v>2862</v>
      </c>
      <c r="E781" s="28" t="s">
        <v>2863</v>
      </c>
      <c r="F781" s="28" t="s">
        <v>29</v>
      </c>
      <c r="G781" s="28" t="s">
        <v>37</v>
      </c>
      <c r="H781" s="28"/>
      <c r="I781" s="28" t="s">
        <v>38</v>
      </c>
      <c r="J781" s="28">
        <f>197</f>
        <v>197</v>
      </c>
      <c r="K781" s="28"/>
      <c r="L781" s="28" t="s">
        <v>2864</v>
      </c>
      <c r="M781" s="28" t="s">
        <v>365</v>
      </c>
      <c r="N781" s="28">
        <v>1989.0</v>
      </c>
      <c r="O781" s="28" t="s">
        <v>2820</v>
      </c>
      <c r="P781" s="28">
        <v>1.0</v>
      </c>
      <c r="Q781" s="94">
        <v>1.0</v>
      </c>
      <c r="R781" s="33"/>
      <c r="S781" s="34"/>
      <c r="T781" s="34"/>
      <c r="U781" s="34"/>
      <c r="V781" s="34"/>
      <c r="W781" s="34"/>
      <c r="X781" s="34"/>
      <c r="Y781" s="45"/>
      <c r="Z781" s="45"/>
      <c r="AA781" s="45"/>
      <c r="AB781" s="45"/>
      <c r="AC781" s="45"/>
      <c r="AD781" s="45"/>
      <c r="AE781" s="45"/>
      <c r="AF781" s="45"/>
      <c r="AG781" s="45"/>
      <c r="AH781" s="45"/>
      <c r="AI781" s="45"/>
      <c r="AJ781" s="45"/>
      <c r="AK781" s="45"/>
      <c r="AL781" s="45"/>
    </row>
    <row r="782" ht="15.75" customHeight="1">
      <c r="A782" s="27">
        <f t="shared" si="17"/>
        <v>133</v>
      </c>
      <c r="B782" s="28" t="s">
        <v>2865</v>
      </c>
      <c r="C782" s="43" t="s">
        <v>2866</v>
      </c>
      <c r="D782" s="30" t="s">
        <v>2867</v>
      </c>
      <c r="E782" s="28" t="s">
        <v>144</v>
      </c>
      <c r="F782" s="28" t="s">
        <v>29</v>
      </c>
      <c r="G782" s="28" t="s">
        <v>37</v>
      </c>
      <c r="H782" s="28" t="s">
        <v>31</v>
      </c>
      <c r="I782" s="28" t="s">
        <v>38</v>
      </c>
      <c r="J782" s="28">
        <v>326.0</v>
      </c>
      <c r="K782" s="28"/>
      <c r="L782" s="28" t="s">
        <v>2868</v>
      </c>
      <c r="M782" s="28" t="s">
        <v>2869</v>
      </c>
      <c r="N782" s="28">
        <v>1995.0</v>
      </c>
      <c r="O782" s="60" t="s">
        <v>2820</v>
      </c>
      <c r="P782" s="28">
        <v>1.0</v>
      </c>
      <c r="Q782" s="94">
        <v>1.0</v>
      </c>
      <c r="R782" s="33"/>
      <c r="S782" s="34"/>
      <c r="T782" s="34"/>
      <c r="U782" s="34"/>
      <c r="V782" s="34"/>
      <c r="W782" s="34"/>
      <c r="X782" s="34"/>
      <c r="Y782" s="3"/>
      <c r="Z782" s="3"/>
      <c r="AA782" s="3"/>
      <c r="AB782" s="3"/>
      <c r="AC782" s="3"/>
      <c r="AD782" s="3"/>
      <c r="AE782" s="3"/>
      <c r="AF782" s="3"/>
      <c r="AG782" s="3"/>
      <c r="AH782" s="3"/>
      <c r="AI782" s="3"/>
      <c r="AJ782" s="3"/>
      <c r="AK782" s="3"/>
      <c r="AL782" s="3"/>
    </row>
    <row r="783" ht="15.75" customHeight="1">
      <c r="A783" s="27">
        <f t="shared" si="17"/>
        <v>134</v>
      </c>
      <c r="B783" s="28" t="s">
        <v>2870</v>
      </c>
      <c r="C783" s="43" t="s">
        <v>2871</v>
      </c>
      <c r="D783" s="30" t="s">
        <v>2872</v>
      </c>
      <c r="E783" s="28" t="s">
        <v>302</v>
      </c>
      <c r="F783" s="28" t="s">
        <v>29</v>
      </c>
      <c r="G783" s="28" t="s">
        <v>37</v>
      </c>
      <c r="H783" s="28"/>
      <c r="I783" s="28" t="s">
        <v>38</v>
      </c>
      <c r="J783" s="28">
        <v>337.0</v>
      </c>
      <c r="K783" s="28"/>
      <c r="L783" s="28" t="s">
        <v>2873</v>
      </c>
      <c r="M783" s="28" t="s">
        <v>230</v>
      </c>
      <c r="N783" s="28">
        <v>2010.0</v>
      </c>
      <c r="O783" s="60" t="s">
        <v>2820</v>
      </c>
      <c r="P783" s="28">
        <v>1.0</v>
      </c>
      <c r="Q783" s="94">
        <v>1.0</v>
      </c>
      <c r="R783" s="33"/>
      <c r="S783" s="34"/>
      <c r="T783" s="34"/>
      <c r="U783" s="34"/>
      <c r="V783" s="34"/>
      <c r="W783" s="34"/>
      <c r="X783" s="34"/>
      <c r="Y783" s="45"/>
      <c r="Z783" s="45"/>
      <c r="AA783" s="45"/>
      <c r="AB783" s="45"/>
      <c r="AC783" s="45"/>
      <c r="AD783" s="45"/>
      <c r="AE783" s="45"/>
      <c r="AF783" s="45"/>
      <c r="AG783" s="45"/>
      <c r="AH783" s="45"/>
      <c r="AI783" s="45"/>
      <c r="AJ783" s="45"/>
      <c r="AK783" s="45"/>
      <c r="AL783" s="45"/>
    </row>
    <row r="784" ht="15.75" customHeight="1">
      <c r="A784" s="27">
        <f t="shared" si="17"/>
        <v>135</v>
      </c>
      <c r="B784" s="83"/>
      <c r="C784" s="121" t="s">
        <v>2874</v>
      </c>
      <c r="D784" s="119" t="s">
        <v>2875</v>
      </c>
      <c r="E784" s="83"/>
      <c r="F784" s="121" t="s">
        <v>29</v>
      </c>
      <c r="G784" s="121" t="s">
        <v>37</v>
      </c>
      <c r="H784" s="83"/>
      <c r="I784" s="121" t="s">
        <v>38</v>
      </c>
      <c r="J784" s="121">
        <v>95.0</v>
      </c>
      <c r="K784" s="83"/>
      <c r="L784" s="121" t="s">
        <v>2876</v>
      </c>
      <c r="M784" s="121" t="s">
        <v>2877</v>
      </c>
      <c r="N784" s="121">
        <v>1967.0</v>
      </c>
      <c r="O784" s="60" t="s">
        <v>2820</v>
      </c>
      <c r="P784" s="121">
        <v>1.0</v>
      </c>
      <c r="Q784" s="121">
        <v>1.0</v>
      </c>
      <c r="R784" s="84"/>
      <c r="S784" s="34"/>
      <c r="T784" s="34"/>
      <c r="U784" s="34"/>
      <c r="V784" s="34"/>
      <c r="W784" s="34"/>
      <c r="X784" s="34"/>
      <c r="Y784" s="3"/>
      <c r="Z784" s="3"/>
      <c r="AA784" s="3"/>
      <c r="AB784" s="3"/>
      <c r="AC784" s="3"/>
      <c r="AD784" s="3"/>
      <c r="AE784" s="3"/>
      <c r="AF784" s="3"/>
      <c r="AG784" s="3"/>
      <c r="AH784" s="3"/>
      <c r="AI784" s="3"/>
      <c r="AJ784" s="3"/>
      <c r="AK784" s="3"/>
      <c r="AL784" s="3"/>
    </row>
    <row r="785" ht="15.75" customHeight="1">
      <c r="A785" s="27">
        <f t="shared" si="17"/>
        <v>136</v>
      </c>
      <c r="B785" s="121" t="s">
        <v>2878</v>
      </c>
      <c r="C785" s="121" t="s">
        <v>2879</v>
      </c>
      <c r="D785" s="119" t="s">
        <v>2880</v>
      </c>
      <c r="E785" s="121" t="s">
        <v>144</v>
      </c>
      <c r="F785" s="121" t="s">
        <v>29</v>
      </c>
      <c r="G785" s="121" t="s">
        <v>166</v>
      </c>
      <c r="H785" s="83"/>
      <c r="I785" s="121" t="s">
        <v>38</v>
      </c>
      <c r="J785" s="121">
        <v>432.0</v>
      </c>
      <c r="K785" s="83"/>
      <c r="L785" s="121" t="s">
        <v>2597</v>
      </c>
      <c r="M785" s="121" t="s">
        <v>49</v>
      </c>
      <c r="N785" s="121">
        <v>2010.0</v>
      </c>
      <c r="O785" s="60" t="s">
        <v>2820</v>
      </c>
      <c r="P785" s="121">
        <v>2.0</v>
      </c>
      <c r="Q785" s="121">
        <v>2.0</v>
      </c>
      <c r="R785" s="84"/>
      <c r="S785" s="34"/>
      <c r="T785" s="34"/>
      <c r="U785" s="34"/>
      <c r="V785" s="34"/>
      <c r="W785" s="34"/>
      <c r="X785" s="34"/>
      <c r="Y785" s="45"/>
      <c r="Z785" s="45"/>
      <c r="AA785" s="45"/>
      <c r="AB785" s="45"/>
      <c r="AC785" s="45"/>
      <c r="AD785" s="45"/>
      <c r="AE785" s="45"/>
      <c r="AF785" s="45"/>
      <c r="AG785" s="45"/>
      <c r="AH785" s="45"/>
      <c r="AI785" s="45"/>
      <c r="AJ785" s="45"/>
      <c r="AK785" s="45"/>
      <c r="AL785" s="45"/>
    </row>
    <row r="786" ht="15.75" customHeight="1">
      <c r="A786" s="27">
        <f t="shared" si="17"/>
        <v>137</v>
      </c>
      <c r="B786" s="28" t="s">
        <v>2881</v>
      </c>
      <c r="C786" s="29" t="s">
        <v>2882</v>
      </c>
      <c r="D786" s="30" t="s">
        <v>2883</v>
      </c>
      <c r="E786" s="60" t="s">
        <v>2884</v>
      </c>
      <c r="F786" s="28" t="s">
        <v>29</v>
      </c>
      <c r="G786" s="28" t="s">
        <v>37</v>
      </c>
      <c r="H786" s="28"/>
      <c r="I786" s="28" t="s">
        <v>38</v>
      </c>
      <c r="J786" s="28">
        <v>146.0</v>
      </c>
      <c r="K786" s="28"/>
      <c r="L786" s="28" t="s">
        <v>2885</v>
      </c>
      <c r="M786" s="28" t="s">
        <v>2886</v>
      </c>
      <c r="N786" s="28">
        <v>1988.0</v>
      </c>
      <c r="O786" s="60" t="s">
        <v>2820</v>
      </c>
      <c r="P786" s="28">
        <v>1.0</v>
      </c>
      <c r="Q786" s="32">
        <v>1.0</v>
      </c>
      <c r="R786" s="33"/>
      <c r="S786" s="34"/>
      <c r="T786" s="34"/>
      <c r="U786" s="34"/>
      <c r="V786" s="34"/>
      <c r="W786" s="34"/>
      <c r="X786" s="34"/>
      <c r="Y786" s="3"/>
      <c r="Z786" s="3"/>
      <c r="AA786" s="3"/>
      <c r="AB786" s="3"/>
      <c r="AC786" s="3"/>
      <c r="AD786" s="3"/>
      <c r="AE786" s="3"/>
      <c r="AF786" s="3"/>
      <c r="AG786" s="3"/>
      <c r="AH786" s="3"/>
      <c r="AI786" s="3"/>
      <c r="AJ786" s="3"/>
      <c r="AK786" s="3"/>
      <c r="AL786" s="3"/>
    </row>
    <row r="787" ht="15.75" customHeight="1">
      <c r="A787" s="27">
        <f t="shared" si="17"/>
        <v>138</v>
      </c>
      <c r="B787" s="28" t="s">
        <v>2887</v>
      </c>
      <c r="C787" s="48" t="s">
        <v>2888</v>
      </c>
      <c r="D787" s="30" t="s">
        <v>2889</v>
      </c>
      <c r="E787" s="28" t="s">
        <v>144</v>
      </c>
      <c r="F787" s="28" t="s">
        <v>29</v>
      </c>
      <c r="G787" s="28" t="s">
        <v>37</v>
      </c>
      <c r="H787" s="28"/>
      <c r="I787" s="28" t="s">
        <v>38</v>
      </c>
      <c r="J787" s="28">
        <v>421.0</v>
      </c>
      <c r="K787" s="28"/>
      <c r="L787" s="28" t="s">
        <v>935</v>
      </c>
      <c r="M787" s="28" t="s">
        <v>230</v>
      </c>
      <c r="N787" s="28">
        <v>1998.0</v>
      </c>
      <c r="O787" s="60" t="s">
        <v>2820</v>
      </c>
      <c r="P787" s="28">
        <v>1.0</v>
      </c>
      <c r="Q787" s="32">
        <v>1.0</v>
      </c>
      <c r="R787" s="33"/>
      <c r="S787" s="34"/>
      <c r="T787" s="34"/>
      <c r="U787" s="34"/>
      <c r="V787" s="34"/>
      <c r="W787" s="34"/>
      <c r="X787" s="34"/>
      <c r="Y787" s="45"/>
      <c r="Z787" s="45"/>
      <c r="AA787" s="45"/>
      <c r="AB787" s="45"/>
      <c r="AC787" s="45"/>
      <c r="AD787" s="45"/>
      <c r="AE787" s="45"/>
      <c r="AF787" s="45"/>
      <c r="AG787" s="45"/>
      <c r="AH787" s="45"/>
      <c r="AI787" s="45"/>
      <c r="AJ787" s="45"/>
      <c r="AK787" s="45"/>
      <c r="AL787" s="45"/>
    </row>
    <row r="788" ht="15.75" customHeight="1">
      <c r="A788" s="27">
        <f t="shared" si="17"/>
        <v>139</v>
      </c>
      <c r="B788" s="28" t="s">
        <v>2890</v>
      </c>
      <c r="C788" s="43" t="s">
        <v>2891</v>
      </c>
      <c r="D788" s="30" t="s">
        <v>2892</v>
      </c>
      <c r="E788" s="28" t="s">
        <v>302</v>
      </c>
      <c r="F788" s="28" t="s">
        <v>29</v>
      </c>
      <c r="G788" s="28" t="s">
        <v>37</v>
      </c>
      <c r="H788" s="28"/>
      <c r="I788" s="28" t="s">
        <v>38</v>
      </c>
      <c r="J788" s="28">
        <v>154.0</v>
      </c>
      <c r="K788" s="28"/>
      <c r="L788" s="28" t="s">
        <v>2557</v>
      </c>
      <c r="M788" s="28" t="s">
        <v>2893</v>
      </c>
      <c r="N788" s="28">
        <v>1983.0</v>
      </c>
      <c r="O788" s="60" t="s">
        <v>2820</v>
      </c>
      <c r="P788" s="28">
        <v>2.0</v>
      </c>
      <c r="Q788" s="94">
        <v>2.0</v>
      </c>
      <c r="R788" s="33"/>
      <c r="S788" s="34"/>
      <c r="T788" s="34"/>
      <c r="U788" s="34"/>
      <c r="V788" s="34"/>
      <c r="W788" s="34"/>
      <c r="X788" s="34"/>
      <c r="Y788" s="45"/>
      <c r="Z788" s="45"/>
      <c r="AA788" s="45"/>
      <c r="AB788" s="45"/>
      <c r="AC788" s="45"/>
      <c r="AD788" s="45"/>
      <c r="AE788" s="45"/>
      <c r="AF788" s="45"/>
      <c r="AG788" s="45"/>
      <c r="AH788" s="45"/>
      <c r="AI788" s="45"/>
      <c r="AJ788" s="45"/>
      <c r="AK788" s="45"/>
      <c r="AL788" s="45"/>
    </row>
    <row r="789" ht="15.75" customHeight="1">
      <c r="A789" s="27">
        <f t="shared" si="17"/>
        <v>140</v>
      </c>
      <c r="B789" s="28" t="s">
        <v>2894</v>
      </c>
      <c r="C789" s="29" t="s">
        <v>2895</v>
      </c>
      <c r="D789" s="30" t="s">
        <v>2896</v>
      </c>
      <c r="E789" s="28" t="s">
        <v>144</v>
      </c>
      <c r="F789" s="28" t="s">
        <v>29</v>
      </c>
      <c r="G789" s="28"/>
      <c r="H789" s="28" t="s">
        <v>31</v>
      </c>
      <c r="I789" s="28" t="s">
        <v>38</v>
      </c>
      <c r="J789" s="122">
        <v>559.0</v>
      </c>
      <c r="K789" s="123"/>
      <c r="L789" s="28" t="s">
        <v>2897</v>
      </c>
      <c r="M789" s="28" t="s">
        <v>2898</v>
      </c>
      <c r="N789" s="28">
        <v>2005.0</v>
      </c>
      <c r="O789" s="60" t="s">
        <v>2820</v>
      </c>
      <c r="P789" s="28">
        <v>1.0</v>
      </c>
      <c r="Q789" s="32">
        <v>1.0</v>
      </c>
      <c r="R789" s="33"/>
      <c r="S789" s="34"/>
      <c r="T789" s="34"/>
      <c r="U789" s="34"/>
      <c r="V789" s="34"/>
      <c r="W789" s="34"/>
      <c r="X789" s="34"/>
      <c r="Y789" s="45"/>
      <c r="Z789" s="45"/>
      <c r="AA789" s="45"/>
      <c r="AB789" s="45"/>
      <c r="AC789" s="45"/>
      <c r="AD789" s="45"/>
      <c r="AE789" s="45"/>
      <c r="AF789" s="45"/>
      <c r="AG789" s="45"/>
      <c r="AH789" s="45"/>
      <c r="AI789" s="45"/>
      <c r="AJ789" s="45"/>
      <c r="AK789" s="45"/>
      <c r="AL789" s="45"/>
    </row>
    <row r="790" ht="15.75" customHeight="1">
      <c r="A790" s="27">
        <f t="shared" si="17"/>
        <v>141</v>
      </c>
      <c r="B790" s="28" t="s">
        <v>2899</v>
      </c>
      <c r="C790" s="43" t="s">
        <v>2900</v>
      </c>
      <c r="D790" s="30" t="s">
        <v>2901</v>
      </c>
      <c r="E790" s="28" t="s">
        <v>302</v>
      </c>
      <c r="F790" s="28" t="s">
        <v>29</v>
      </c>
      <c r="G790" s="28" t="s">
        <v>37</v>
      </c>
      <c r="H790" s="28"/>
      <c r="I790" s="28" t="s">
        <v>38</v>
      </c>
      <c r="J790" s="28">
        <v>389.0</v>
      </c>
      <c r="K790" s="28"/>
      <c r="L790" s="28" t="s">
        <v>2902</v>
      </c>
      <c r="M790" s="28" t="s">
        <v>2903</v>
      </c>
      <c r="N790" s="28">
        <v>1988.0</v>
      </c>
      <c r="O790" s="60" t="s">
        <v>2820</v>
      </c>
      <c r="P790" s="28">
        <v>1.0</v>
      </c>
      <c r="Q790" s="94">
        <v>1.0</v>
      </c>
      <c r="R790" s="33"/>
      <c r="S790" s="34"/>
      <c r="T790" s="34"/>
      <c r="U790" s="34"/>
      <c r="V790" s="34"/>
      <c r="W790" s="34"/>
      <c r="X790" s="34"/>
      <c r="Y790" s="45"/>
      <c r="Z790" s="45"/>
      <c r="AA790" s="45"/>
      <c r="AB790" s="45"/>
      <c r="AC790" s="45"/>
      <c r="AD790" s="45"/>
      <c r="AE790" s="45"/>
      <c r="AF790" s="45"/>
      <c r="AG790" s="45"/>
      <c r="AH790" s="45"/>
      <c r="AI790" s="45"/>
      <c r="AJ790" s="45"/>
      <c r="AK790" s="45"/>
      <c r="AL790" s="45"/>
    </row>
    <row r="791" ht="15.75" customHeight="1">
      <c r="A791" s="27">
        <f t="shared" si="17"/>
        <v>142</v>
      </c>
      <c r="B791" s="28" t="s">
        <v>2904</v>
      </c>
      <c r="C791" s="43" t="s">
        <v>2905</v>
      </c>
      <c r="D791" s="30" t="s">
        <v>2906</v>
      </c>
      <c r="E791" s="28" t="s">
        <v>28</v>
      </c>
      <c r="F791" s="28" t="s">
        <v>29</v>
      </c>
      <c r="G791" s="28" t="s">
        <v>37</v>
      </c>
      <c r="H791" s="28"/>
      <c r="I791" s="28" t="s">
        <v>38</v>
      </c>
      <c r="J791" s="28">
        <v>1239.0</v>
      </c>
      <c r="K791" s="28"/>
      <c r="L791" s="28" t="s">
        <v>2907</v>
      </c>
      <c r="M791" s="28" t="s">
        <v>1176</v>
      </c>
      <c r="N791" s="28">
        <v>2007.0</v>
      </c>
      <c r="O791" s="62" t="s">
        <v>1381</v>
      </c>
      <c r="P791" s="28">
        <v>1.0</v>
      </c>
      <c r="Q791" s="32">
        <v>1.0</v>
      </c>
      <c r="R791" s="33"/>
      <c r="S791" s="34"/>
      <c r="T791" s="34"/>
      <c r="U791" s="34"/>
      <c r="V791" s="34"/>
      <c r="W791" s="34"/>
      <c r="X791" s="34"/>
      <c r="Y791" s="45"/>
      <c r="Z791" s="45"/>
      <c r="AA791" s="45"/>
      <c r="AB791" s="45"/>
      <c r="AC791" s="45"/>
      <c r="AD791" s="45"/>
      <c r="AE791" s="45"/>
      <c r="AF791" s="45"/>
      <c r="AG791" s="45"/>
      <c r="AH791" s="45"/>
      <c r="AI791" s="45"/>
      <c r="AJ791" s="45"/>
      <c r="AK791" s="45"/>
      <c r="AL791" s="45"/>
    </row>
    <row r="792" ht="15.75" customHeight="1">
      <c r="A792" s="27">
        <f t="shared" si="17"/>
        <v>143</v>
      </c>
      <c r="B792" s="28" t="s">
        <v>2908</v>
      </c>
      <c r="C792" s="43" t="s">
        <v>2909</v>
      </c>
      <c r="D792" s="30" t="s">
        <v>2910</v>
      </c>
      <c r="E792" s="28" t="s">
        <v>31</v>
      </c>
      <c r="F792" s="28" t="s">
        <v>29</v>
      </c>
      <c r="G792" s="28" t="s">
        <v>37</v>
      </c>
      <c r="H792" s="28"/>
      <c r="I792" s="28" t="s">
        <v>38</v>
      </c>
      <c r="J792" s="28">
        <v>575.0</v>
      </c>
      <c r="K792" s="28"/>
      <c r="L792" s="28" t="s">
        <v>2911</v>
      </c>
      <c r="M792" s="28" t="s">
        <v>2912</v>
      </c>
      <c r="N792" s="28">
        <v>2001.0</v>
      </c>
      <c r="O792" s="60" t="s">
        <v>2820</v>
      </c>
      <c r="P792" s="28">
        <v>1.0</v>
      </c>
      <c r="Q792" s="94">
        <v>1.0</v>
      </c>
      <c r="R792" s="33"/>
      <c r="S792" s="34"/>
      <c r="T792" s="34"/>
      <c r="U792" s="34"/>
      <c r="V792" s="34"/>
      <c r="W792" s="34"/>
      <c r="X792" s="34"/>
      <c r="Y792" s="45"/>
      <c r="Z792" s="45"/>
      <c r="AA792" s="45"/>
      <c r="AB792" s="45"/>
      <c r="AC792" s="45"/>
      <c r="AD792" s="45"/>
      <c r="AE792" s="45"/>
      <c r="AF792" s="45"/>
      <c r="AG792" s="45"/>
      <c r="AH792" s="45"/>
      <c r="AI792" s="45"/>
      <c r="AJ792" s="45"/>
      <c r="AK792" s="45"/>
      <c r="AL792" s="45"/>
    </row>
    <row r="793" ht="15.75" customHeight="1">
      <c r="A793" s="27">
        <f t="shared" si="17"/>
        <v>144</v>
      </c>
      <c r="B793" s="28" t="s">
        <v>2913</v>
      </c>
      <c r="C793" s="102" t="s">
        <v>2914</v>
      </c>
      <c r="D793" s="30" t="s">
        <v>2915</v>
      </c>
      <c r="E793" s="60" t="s">
        <v>2916</v>
      </c>
      <c r="F793" s="28" t="s">
        <v>29</v>
      </c>
      <c r="G793" s="28" t="s">
        <v>37</v>
      </c>
      <c r="H793" s="28"/>
      <c r="I793" s="28" t="s">
        <v>38</v>
      </c>
      <c r="J793" s="28">
        <v>219.0</v>
      </c>
      <c r="K793" s="28"/>
      <c r="L793" s="28" t="s">
        <v>2917</v>
      </c>
      <c r="M793" s="28" t="s">
        <v>816</v>
      </c>
      <c r="N793" s="28">
        <v>1992.0</v>
      </c>
      <c r="O793" s="60" t="s">
        <v>2820</v>
      </c>
      <c r="P793" s="28">
        <v>1.0</v>
      </c>
      <c r="Q793" s="94">
        <v>1.0</v>
      </c>
      <c r="R793" s="33"/>
      <c r="S793" s="34"/>
      <c r="T793" s="34"/>
      <c r="U793" s="34"/>
      <c r="V793" s="34"/>
      <c r="W793" s="34"/>
      <c r="X793" s="34"/>
      <c r="Y793" s="45"/>
      <c r="Z793" s="45"/>
      <c r="AA793" s="45"/>
      <c r="AB793" s="45"/>
      <c r="AC793" s="45"/>
      <c r="AD793" s="45"/>
      <c r="AE793" s="45"/>
      <c r="AF793" s="45"/>
      <c r="AG793" s="45"/>
      <c r="AH793" s="45"/>
      <c r="AI793" s="45"/>
      <c r="AJ793" s="45"/>
      <c r="AK793" s="45"/>
      <c r="AL793" s="45"/>
    </row>
    <row r="794" ht="15.75" customHeight="1">
      <c r="A794" s="27">
        <f t="shared" si="17"/>
        <v>145</v>
      </c>
      <c r="B794" s="124" t="s">
        <v>2918</v>
      </c>
      <c r="C794" s="124" t="s">
        <v>2919</v>
      </c>
      <c r="D794" s="125" t="s">
        <v>2920</v>
      </c>
      <c r="E794" s="121" t="s">
        <v>144</v>
      </c>
      <c r="F794" s="121" t="s">
        <v>29</v>
      </c>
      <c r="G794" s="121" t="s">
        <v>37</v>
      </c>
      <c r="H794" s="83"/>
      <c r="I794" s="121" t="s">
        <v>38</v>
      </c>
      <c r="J794" s="124">
        <v>186.0</v>
      </c>
      <c r="K794" s="83"/>
      <c r="L794" s="121" t="s">
        <v>619</v>
      </c>
      <c r="M794" s="121" t="s">
        <v>54</v>
      </c>
      <c r="N794" s="121">
        <v>1980.0</v>
      </c>
      <c r="O794" s="124">
        <v>5.0</v>
      </c>
      <c r="P794" s="124">
        <v>2.0</v>
      </c>
      <c r="Q794" s="124">
        <v>2.0</v>
      </c>
      <c r="R794" s="84"/>
      <c r="S794" s="34"/>
      <c r="T794" s="34"/>
      <c r="U794" s="34"/>
      <c r="V794" s="34"/>
      <c r="W794" s="34"/>
      <c r="X794" s="34"/>
      <c r="Y794" s="45"/>
      <c r="Z794" s="45"/>
      <c r="AA794" s="45"/>
      <c r="AB794" s="45"/>
      <c r="AC794" s="45"/>
      <c r="AD794" s="45"/>
      <c r="AE794" s="45"/>
      <c r="AF794" s="45"/>
      <c r="AG794" s="45"/>
      <c r="AH794" s="45"/>
      <c r="AI794" s="45"/>
      <c r="AJ794" s="45"/>
      <c r="AK794" s="45"/>
      <c r="AL794" s="45"/>
    </row>
    <row r="795" ht="15.75" customHeight="1">
      <c r="A795" s="27">
        <f t="shared" si="17"/>
        <v>146</v>
      </c>
      <c r="B795" s="28" t="s">
        <v>2921</v>
      </c>
      <c r="C795" s="43" t="s">
        <v>2922</v>
      </c>
      <c r="D795" s="30" t="s">
        <v>2923</v>
      </c>
      <c r="E795" s="28" t="s">
        <v>302</v>
      </c>
      <c r="F795" s="28" t="s">
        <v>29</v>
      </c>
      <c r="G795" s="28" t="s">
        <v>37</v>
      </c>
      <c r="H795" s="28"/>
      <c r="I795" s="28" t="s">
        <v>38</v>
      </c>
      <c r="J795" s="28">
        <v>484.0</v>
      </c>
      <c r="K795" s="28"/>
      <c r="L795" s="28" t="s">
        <v>2924</v>
      </c>
      <c r="M795" s="28" t="s">
        <v>230</v>
      </c>
      <c r="N795" s="28">
        <v>1993.0</v>
      </c>
      <c r="O795" s="28" t="s">
        <v>2820</v>
      </c>
      <c r="P795" s="28">
        <v>1.0</v>
      </c>
      <c r="Q795" s="94">
        <v>1.0</v>
      </c>
      <c r="R795" s="33"/>
      <c r="S795" s="34"/>
      <c r="T795" s="34"/>
      <c r="U795" s="34"/>
      <c r="V795" s="34"/>
      <c r="W795" s="34"/>
      <c r="X795" s="34"/>
      <c r="Y795" s="3"/>
      <c r="Z795" s="3"/>
      <c r="AA795" s="3"/>
      <c r="AB795" s="3"/>
      <c r="AC795" s="3"/>
      <c r="AD795" s="3"/>
      <c r="AE795" s="3"/>
      <c r="AF795" s="3"/>
      <c r="AG795" s="3"/>
      <c r="AH795" s="3"/>
      <c r="AI795" s="3"/>
      <c r="AJ795" s="3"/>
      <c r="AK795" s="3"/>
      <c r="AL795" s="3"/>
    </row>
    <row r="796" ht="15.75" customHeight="1">
      <c r="A796" s="27">
        <f t="shared" si="17"/>
        <v>147</v>
      </c>
      <c r="B796" s="28" t="s">
        <v>2925</v>
      </c>
      <c r="C796" s="29" t="s">
        <v>2926</v>
      </c>
      <c r="D796" s="30" t="s">
        <v>2927</v>
      </c>
      <c r="E796" s="28" t="s">
        <v>31</v>
      </c>
      <c r="F796" s="28" t="s">
        <v>29</v>
      </c>
      <c r="G796" s="28" t="s">
        <v>657</v>
      </c>
      <c r="H796" s="28"/>
      <c r="I796" s="28" t="s">
        <v>38</v>
      </c>
      <c r="J796" s="28">
        <v>307.0</v>
      </c>
      <c r="K796" s="28"/>
      <c r="L796" s="28" t="s">
        <v>2928</v>
      </c>
      <c r="M796" s="28" t="s">
        <v>2929</v>
      </c>
      <c r="N796" s="28">
        <v>1992.0</v>
      </c>
      <c r="O796" s="60" t="s">
        <v>2820</v>
      </c>
      <c r="P796" s="28">
        <v>1.0</v>
      </c>
      <c r="Q796" s="94">
        <v>1.0</v>
      </c>
      <c r="R796" s="33"/>
      <c r="S796" s="34"/>
      <c r="T796" s="34"/>
      <c r="U796" s="34"/>
      <c r="V796" s="34"/>
      <c r="W796" s="34"/>
      <c r="X796" s="34"/>
      <c r="Y796" s="45"/>
      <c r="Z796" s="45"/>
      <c r="AA796" s="45"/>
      <c r="AB796" s="45"/>
      <c r="AC796" s="45"/>
      <c r="AD796" s="45"/>
      <c r="AE796" s="45"/>
      <c r="AF796" s="45"/>
      <c r="AG796" s="45"/>
      <c r="AH796" s="45"/>
      <c r="AI796" s="45"/>
      <c r="AJ796" s="45"/>
      <c r="AK796" s="45"/>
      <c r="AL796" s="45"/>
    </row>
    <row r="797" ht="15.75" customHeight="1">
      <c r="A797" s="27">
        <f t="shared" si="17"/>
        <v>148</v>
      </c>
      <c r="B797" s="28" t="s">
        <v>2925</v>
      </c>
      <c r="C797" s="29" t="s">
        <v>2930</v>
      </c>
      <c r="D797" s="30" t="s">
        <v>2931</v>
      </c>
      <c r="E797" s="28" t="s">
        <v>2916</v>
      </c>
      <c r="F797" s="28" t="s">
        <v>29</v>
      </c>
      <c r="G797" s="28" t="s">
        <v>657</v>
      </c>
      <c r="H797" s="28"/>
      <c r="I797" s="28" t="s">
        <v>38</v>
      </c>
      <c r="J797" s="28">
        <v>453.0</v>
      </c>
      <c r="K797" s="28"/>
      <c r="L797" s="28" t="s">
        <v>2928</v>
      </c>
      <c r="M797" s="28" t="s">
        <v>2929</v>
      </c>
      <c r="N797" s="28">
        <v>1992.0</v>
      </c>
      <c r="O797" s="60" t="s">
        <v>2820</v>
      </c>
      <c r="P797" s="28">
        <v>2.0</v>
      </c>
      <c r="Q797" s="94">
        <v>2.0</v>
      </c>
      <c r="R797" s="33"/>
      <c r="S797" s="34"/>
      <c r="T797" s="34"/>
      <c r="U797" s="34"/>
      <c r="V797" s="34"/>
      <c r="W797" s="34"/>
      <c r="X797" s="34"/>
      <c r="Y797" s="45"/>
      <c r="Z797" s="45"/>
      <c r="AA797" s="45"/>
      <c r="AB797" s="45"/>
      <c r="AC797" s="45"/>
      <c r="AD797" s="45"/>
      <c r="AE797" s="45"/>
      <c r="AF797" s="45"/>
      <c r="AG797" s="45"/>
      <c r="AH797" s="45"/>
      <c r="AI797" s="45"/>
      <c r="AJ797" s="45"/>
      <c r="AK797" s="45"/>
      <c r="AL797" s="45"/>
    </row>
    <row r="798" ht="15.75" customHeight="1">
      <c r="A798" s="27">
        <f t="shared" si="17"/>
        <v>149</v>
      </c>
      <c r="B798" s="28" t="s">
        <v>2932</v>
      </c>
      <c r="C798" s="43" t="s">
        <v>2933</v>
      </c>
      <c r="D798" s="30" t="s">
        <v>2934</v>
      </c>
      <c r="E798" s="28" t="s">
        <v>302</v>
      </c>
      <c r="F798" s="28" t="s">
        <v>29</v>
      </c>
      <c r="G798" s="28" t="s">
        <v>30</v>
      </c>
      <c r="H798" s="28"/>
      <c r="I798" s="28" t="s">
        <v>30</v>
      </c>
      <c r="J798" s="28">
        <v>212.0</v>
      </c>
      <c r="K798" s="28"/>
      <c r="L798" s="28" t="s">
        <v>2935</v>
      </c>
      <c r="M798" s="28" t="s">
        <v>2936</v>
      </c>
      <c r="N798" s="28">
        <v>2009.0</v>
      </c>
      <c r="O798" s="60" t="s">
        <v>2820</v>
      </c>
      <c r="P798" s="31">
        <v>2.0</v>
      </c>
      <c r="Q798" s="94">
        <v>2.0</v>
      </c>
      <c r="R798" s="33"/>
      <c r="S798" s="34"/>
      <c r="T798" s="34"/>
      <c r="U798" s="34"/>
      <c r="V798" s="34"/>
      <c r="W798" s="34"/>
      <c r="X798" s="34"/>
      <c r="Y798" s="45"/>
      <c r="Z798" s="45"/>
      <c r="AA798" s="45"/>
      <c r="AB798" s="45"/>
      <c r="AC798" s="45"/>
      <c r="AD798" s="45"/>
      <c r="AE798" s="45"/>
      <c r="AF798" s="45"/>
      <c r="AG798" s="45"/>
      <c r="AH798" s="45"/>
      <c r="AI798" s="45"/>
      <c r="AJ798" s="45"/>
      <c r="AK798" s="45"/>
      <c r="AL798" s="45"/>
    </row>
    <row r="799" ht="15.75" customHeight="1">
      <c r="A799" s="27">
        <f t="shared" si="17"/>
        <v>150</v>
      </c>
      <c r="B799" s="28" t="s">
        <v>2598</v>
      </c>
      <c r="C799" s="43" t="s">
        <v>2599</v>
      </c>
      <c r="D799" s="30" t="s">
        <v>2600</v>
      </c>
      <c r="E799" s="28" t="s">
        <v>31</v>
      </c>
      <c r="F799" s="28" t="s">
        <v>29</v>
      </c>
      <c r="G799" s="28" t="s">
        <v>37</v>
      </c>
      <c r="H799" s="28"/>
      <c r="I799" s="28" t="s">
        <v>38</v>
      </c>
      <c r="J799" s="28">
        <v>487.0</v>
      </c>
      <c r="K799" s="28"/>
      <c r="L799" s="28" t="s">
        <v>2937</v>
      </c>
      <c r="M799" s="28" t="s">
        <v>230</v>
      </c>
      <c r="N799" s="28">
        <v>2010.0</v>
      </c>
      <c r="O799" s="60" t="s">
        <v>2820</v>
      </c>
      <c r="P799" s="28">
        <v>1.0</v>
      </c>
      <c r="Q799" s="94">
        <v>1.0</v>
      </c>
      <c r="R799" s="33"/>
      <c r="S799" s="38"/>
      <c r="T799" s="38"/>
      <c r="U799" s="38"/>
      <c r="V799" s="38"/>
      <c r="W799" s="38"/>
      <c r="X799" s="38"/>
      <c r="Y799" s="45"/>
      <c r="Z799" s="45"/>
      <c r="AA799" s="45"/>
      <c r="AB799" s="45"/>
      <c r="AC799" s="45"/>
      <c r="AD799" s="45"/>
      <c r="AE799" s="45"/>
      <c r="AF799" s="45"/>
      <c r="AG799" s="45"/>
      <c r="AH799" s="45"/>
      <c r="AI799" s="45"/>
      <c r="AJ799" s="45"/>
      <c r="AK799" s="45"/>
      <c r="AL799" s="45"/>
    </row>
    <row r="800" ht="15.75" customHeight="1">
      <c r="A800" s="27">
        <f t="shared" si="17"/>
        <v>151</v>
      </c>
      <c r="B800" s="28" t="s">
        <v>31</v>
      </c>
      <c r="C800" s="102" t="s">
        <v>2938</v>
      </c>
      <c r="D800" s="120" t="s">
        <v>2939</v>
      </c>
      <c r="E800" s="60" t="s">
        <v>302</v>
      </c>
      <c r="F800" s="28" t="s">
        <v>29</v>
      </c>
      <c r="G800" s="28" t="s">
        <v>37</v>
      </c>
      <c r="H800" s="28"/>
      <c r="I800" s="28" t="s">
        <v>38</v>
      </c>
      <c r="J800" s="28">
        <v>1274.0</v>
      </c>
      <c r="K800" s="28"/>
      <c r="L800" s="31" t="s">
        <v>2940</v>
      </c>
      <c r="M800" s="28" t="s">
        <v>1235</v>
      </c>
      <c r="N800" s="28">
        <v>1989.0</v>
      </c>
      <c r="O800" s="62">
        <v>9.0</v>
      </c>
      <c r="P800" s="28">
        <v>1.0</v>
      </c>
      <c r="Q800" s="94">
        <v>1.0</v>
      </c>
      <c r="R800" s="33"/>
      <c r="S800" s="34"/>
      <c r="T800" s="34"/>
      <c r="U800" s="34"/>
      <c r="V800" s="34"/>
      <c r="W800" s="34"/>
      <c r="X800" s="34"/>
      <c r="Y800" s="45"/>
      <c r="Z800" s="45"/>
      <c r="AA800" s="45"/>
      <c r="AB800" s="45"/>
      <c r="AC800" s="45"/>
      <c r="AD800" s="45"/>
      <c r="AE800" s="45"/>
      <c r="AF800" s="45"/>
      <c r="AG800" s="45"/>
      <c r="AH800" s="45"/>
      <c r="AI800" s="45"/>
      <c r="AJ800" s="45"/>
      <c r="AK800" s="45"/>
      <c r="AL800" s="45"/>
    </row>
    <row r="801" ht="15.75" customHeight="1">
      <c r="A801" s="27">
        <f t="shared" si="17"/>
        <v>152</v>
      </c>
      <c r="B801" s="121" t="s">
        <v>2941</v>
      </c>
      <c r="C801" s="124" t="s">
        <v>2942</v>
      </c>
      <c r="D801" s="119" t="s">
        <v>2943</v>
      </c>
      <c r="E801" s="83"/>
      <c r="F801" s="121" t="s">
        <v>29</v>
      </c>
      <c r="G801" s="121" t="s">
        <v>37</v>
      </c>
      <c r="H801" s="83"/>
      <c r="I801" s="121" t="s">
        <v>38</v>
      </c>
      <c r="J801" s="121">
        <v>1027.0</v>
      </c>
      <c r="K801" s="83"/>
      <c r="L801" s="121" t="s">
        <v>2944</v>
      </c>
      <c r="M801" s="121" t="s">
        <v>524</v>
      </c>
      <c r="N801" s="121">
        <v>1976.0</v>
      </c>
      <c r="O801" s="124">
        <v>9.0</v>
      </c>
      <c r="P801" s="121">
        <v>1.0</v>
      </c>
      <c r="Q801" s="121">
        <v>1.0</v>
      </c>
      <c r="R801" s="84"/>
      <c r="S801" s="34"/>
      <c r="T801" s="34"/>
      <c r="U801" s="34"/>
      <c r="V801" s="34"/>
      <c r="W801" s="34"/>
      <c r="X801" s="34"/>
      <c r="Y801" s="45"/>
      <c r="Z801" s="45"/>
      <c r="AA801" s="45"/>
      <c r="AB801" s="45"/>
      <c r="AC801" s="45"/>
      <c r="AD801" s="45"/>
      <c r="AE801" s="45"/>
      <c r="AF801" s="45"/>
      <c r="AG801" s="45"/>
      <c r="AH801" s="45"/>
      <c r="AI801" s="45"/>
      <c r="AJ801" s="45"/>
      <c r="AK801" s="45"/>
      <c r="AL801" s="45"/>
    </row>
    <row r="802" ht="15.75" customHeight="1">
      <c r="A802" s="27">
        <f t="shared" si="17"/>
        <v>153</v>
      </c>
      <c r="B802" s="28" t="s">
        <v>1282</v>
      </c>
      <c r="C802" s="43" t="s">
        <v>2945</v>
      </c>
      <c r="D802" s="30" t="s">
        <v>1284</v>
      </c>
      <c r="E802" s="28" t="s">
        <v>144</v>
      </c>
      <c r="F802" s="28" t="s">
        <v>29</v>
      </c>
      <c r="G802" s="28" t="s">
        <v>30</v>
      </c>
      <c r="H802" s="28"/>
      <c r="I802" s="28" t="s">
        <v>30</v>
      </c>
      <c r="J802" s="28">
        <f>338+18</f>
        <v>356</v>
      </c>
      <c r="K802" s="28"/>
      <c r="L802" s="28" t="s">
        <v>2946</v>
      </c>
      <c r="M802" s="28" t="s">
        <v>49</v>
      </c>
      <c r="N802" s="28">
        <v>1987.0</v>
      </c>
      <c r="O802" s="28" t="s">
        <v>2820</v>
      </c>
      <c r="P802" s="28">
        <v>1.0</v>
      </c>
      <c r="Q802" s="94">
        <v>1.0</v>
      </c>
      <c r="R802" s="33"/>
      <c r="S802" s="34"/>
      <c r="T802" s="34"/>
      <c r="U802" s="34"/>
      <c r="V802" s="34"/>
      <c r="W802" s="34"/>
      <c r="X802" s="34"/>
      <c r="Y802" s="45"/>
      <c r="Z802" s="45"/>
      <c r="AA802" s="45"/>
      <c r="AB802" s="45"/>
      <c r="AC802" s="45"/>
      <c r="AD802" s="45"/>
      <c r="AE802" s="45"/>
      <c r="AF802" s="45"/>
      <c r="AG802" s="45"/>
      <c r="AH802" s="45"/>
      <c r="AI802" s="45"/>
      <c r="AJ802" s="45"/>
      <c r="AK802" s="45"/>
      <c r="AL802" s="45"/>
    </row>
    <row r="803" ht="15.75" customHeight="1">
      <c r="A803" s="27">
        <f t="shared" si="17"/>
        <v>154</v>
      </c>
      <c r="B803" s="28" t="s">
        <v>31</v>
      </c>
      <c r="C803" s="43" t="s">
        <v>2947</v>
      </c>
      <c r="D803" s="30" t="s">
        <v>2948</v>
      </c>
      <c r="E803" s="28" t="s">
        <v>31</v>
      </c>
      <c r="F803" s="28" t="s">
        <v>29</v>
      </c>
      <c r="G803" s="28"/>
      <c r="H803" s="28"/>
      <c r="I803" s="28" t="s">
        <v>131</v>
      </c>
      <c r="J803" s="28">
        <v>190.0</v>
      </c>
      <c r="K803" s="28"/>
      <c r="L803" s="28" t="s">
        <v>2949</v>
      </c>
      <c r="M803" s="28" t="s">
        <v>2950</v>
      </c>
      <c r="N803" s="28">
        <v>1976.0</v>
      </c>
      <c r="O803" s="60" t="s">
        <v>2820</v>
      </c>
      <c r="P803" s="28">
        <v>1.0</v>
      </c>
      <c r="Q803" s="94">
        <v>1.0</v>
      </c>
      <c r="R803" s="33"/>
      <c r="S803" s="34"/>
      <c r="T803" s="34"/>
      <c r="U803" s="34"/>
      <c r="V803" s="34"/>
      <c r="W803" s="34"/>
      <c r="X803" s="34"/>
      <c r="Y803" s="45"/>
      <c r="Z803" s="45"/>
      <c r="AA803" s="45"/>
      <c r="AB803" s="45"/>
      <c r="AC803" s="45"/>
      <c r="AD803" s="45"/>
      <c r="AE803" s="45"/>
      <c r="AF803" s="45"/>
      <c r="AG803" s="45"/>
      <c r="AH803" s="45"/>
      <c r="AI803" s="45"/>
      <c r="AJ803" s="45"/>
      <c r="AK803" s="45"/>
      <c r="AL803" s="45"/>
    </row>
    <row r="804" ht="15.75" customHeight="1">
      <c r="A804" s="27">
        <f t="shared" si="17"/>
        <v>155</v>
      </c>
      <c r="B804" s="28"/>
      <c r="C804" s="43" t="s">
        <v>2951</v>
      </c>
      <c r="D804" s="30" t="s">
        <v>2952</v>
      </c>
      <c r="E804" s="28" t="s">
        <v>2571</v>
      </c>
      <c r="F804" s="28" t="s">
        <v>29</v>
      </c>
      <c r="G804" s="28" t="s">
        <v>37</v>
      </c>
      <c r="H804" s="28"/>
      <c r="I804" s="28" t="s">
        <v>38</v>
      </c>
      <c r="J804" s="28">
        <f>203+4</f>
        <v>207</v>
      </c>
      <c r="K804" s="28"/>
      <c r="L804" s="28" t="s">
        <v>99</v>
      </c>
      <c r="M804" s="28" t="s">
        <v>2953</v>
      </c>
      <c r="N804" s="28">
        <v>1988.0</v>
      </c>
      <c r="O804" s="28" t="s">
        <v>2820</v>
      </c>
      <c r="P804" s="28">
        <v>1.0</v>
      </c>
      <c r="Q804" s="94">
        <v>1.0</v>
      </c>
      <c r="R804" s="33"/>
      <c r="S804" s="34"/>
      <c r="T804" s="34"/>
      <c r="U804" s="34"/>
      <c r="V804" s="34"/>
      <c r="W804" s="34"/>
      <c r="X804" s="34"/>
      <c r="Y804" s="45"/>
      <c r="Z804" s="45"/>
      <c r="AA804" s="45"/>
      <c r="AB804" s="45"/>
      <c r="AC804" s="45"/>
      <c r="AD804" s="45"/>
      <c r="AE804" s="45"/>
      <c r="AF804" s="45"/>
      <c r="AG804" s="45"/>
      <c r="AH804" s="45"/>
      <c r="AI804" s="45"/>
      <c r="AJ804" s="45"/>
      <c r="AK804" s="45"/>
      <c r="AL804" s="45"/>
    </row>
    <row r="805" ht="15.75" customHeight="1">
      <c r="A805" s="27">
        <f t="shared" si="17"/>
        <v>156</v>
      </c>
      <c r="B805" s="28" t="s">
        <v>2954</v>
      </c>
      <c r="C805" s="29" t="s">
        <v>2955</v>
      </c>
      <c r="D805" s="30" t="s">
        <v>2956</v>
      </c>
      <c r="E805" s="28" t="s">
        <v>144</v>
      </c>
      <c r="F805" s="28" t="s">
        <v>29</v>
      </c>
      <c r="G805" s="28" t="s">
        <v>159</v>
      </c>
      <c r="H805" s="28"/>
      <c r="I805" s="28" t="s">
        <v>30</v>
      </c>
      <c r="J805" s="28">
        <v>146.0</v>
      </c>
      <c r="K805" s="28"/>
      <c r="L805" s="28" t="s">
        <v>2957</v>
      </c>
      <c r="M805" s="28" t="s">
        <v>2958</v>
      </c>
      <c r="N805" s="28">
        <v>2017.0</v>
      </c>
      <c r="O805" s="28" t="s">
        <v>2820</v>
      </c>
      <c r="P805" s="28">
        <v>1.0</v>
      </c>
      <c r="Q805" s="94">
        <v>1.0</v>
      </c>
      <c r="R805" s="33"/>
      <c r="S805" s="34"/>
      <c r="T805" s="34"/>
      <c r="U805" s="34"/>
      <c r="V805" s="34"/>
      <c r="W805" s="34"/>
      <c r="X805" s="34"/>
      <c r="Y805" s="45"/>
      <c r="Z805" s="45"/>
      <c r="AA805" s="45"/>
      <c r="AB805" s="45"/>
      <c r="AC805" s="45"/>
      <c r="AD805" s="45"/>
      <c r="AE805" s="45"/>
      <c r="AF805" s="45"/>
      <c r="AG805" s="45"/>
      <c r="AH805" s="45"/>
      <c r="AI805" s="45"/>
      <c r="AJ805" s="45"/>
      <c r="AK805" s="45"/>
      <c r="AL805" s="45"/>
    </row>
    <row r="806" ht="15.75" customHeight="1">
      <c r="A806" s="27">
        <f t="shared" si="17"/>
        <v>157</v>
      </c>
      <c r="B806" s="121" t="s">
        <v>2959</v>
      </c>
      <c r="C806" s="121" t="s">
        <v>2960</v>
      </c>
      <c r="D806" s="119" t="s">
        <v>2961</v>
      </c>
      <c r="E806" s="121" t="s">
        <v>144</v>
      </c>
      <c r="F806" s="121" t="s">
        <v>29</v>
      </c>
      <c r="G806" s="121" t="s">
        <v>166</v>
      </c>
      <c r="H806" s="83"/>
      <c r="I806" s="121" t="s">
        <v>38</v>
      </c>
      <c r="J806" s="121">
        <v>238.0</v>
      </c>
      <c r="K806" s="83"/>
      <c r="L806" s="121" t="s">
        <v>2962</v>
      </c>
      <c r="M806" s="121" t="s">
        <v>2963</v>
      </c>
      <c r="N806" s="121">
        <v>1991.0</v>
      </c>
      <c r="O806" s="60" t="s">
        <v>2820</v>
      </c>
      <c r="P806" s="121">
        <v>1.0</v>
      </c>
      <c r="Q806" s="121">
        <v>1.0</v>
      </c>
      <c r="R806" s="84"/>
      <c r="S806" s="34"/>
      <c r="T806" s="34"/>
      <c r="U806" s="34"/>
      <c r="V806" s="34"/>
      <c r="W806" s="34"/>
      <c r="X806" s="34"/>
      <c r="Y806" s="45"/>
      <c r="Z806" s="45"/>
      <c r="AA806" s="45"/>
      <c r="AB806" s="45"/>
      <c r="AC806" s="45"/>
      <c r="AD806" s="45"/>
      <c r="AE806" s="45"/>
      <c r="AF806" s="45"/>
      <c r="AG806" s="45"/>
      <c r="AH806" s="45"/>
      <c r="AI806" s="45"/>
      <c r="AJ806" s="45"/>
      <c r="AK806" s="45"/>
      <c r="AL806" s="45"/>
    </row>
    <row r="807" ht="15.75" customHeight="1">
      <c r="A807" s="27">
        <f t="shared" si="17"/>
        <v>158</v>
      </c>
      <c r="B807" s="28" t="s">
        <v>2964</v>
      </c>
      <c r="C807" s="29" t="s">
        <v>2965</v>
      </c>
      <c r="D807" s="30" t="s">
        <v>2966</v>
      </c>
      <c r="E807" s="28" t="s">
        <v>144</v>
      </c>
      <c r="F807" s="28" t="s">
        <v>29</v>
      </c>
      <c r="G807" s="28" t="s">
        <v>37</v>
      </c>
      <c r="H807" s="28"/>
      <c r="I807" s="28" t="s">
        <v>38</v>
      </c>
      <c r="J807" s="28">
        <v>368.0</v>
      </c>
      <c r="K807" s="28"/>
      <c r="L807" s="28" t="s">
        <v>2967</v>
      </c>
      <c r="M807" s="28" t="s">
        <v>2968</v>
      </c>
      <c r="N807" s="28">
        <v>2008.0</v>
      </c>
      <c r="O807" s="60" t="s">
        <v>2820</v>
      </c>
      <c r="P807" s="28">
        <v>1.0</v>
      </c>
      <c r="Q807" s="94">
        <v>1.0</v>
      </c>
      <c r="R807" s="33"/>
      <c r="S807" s="40"/>
      <c r="T807" s="40"/>
      <c r="U807" s="40"/>
      <c r="V807" s="40"/>
      <c r="W807" s="40"/>
      <c r="X807" s="40"/>
      <c r="Y807" s="45"/>
      <c r="Z807" s="45"/>
      <c r="AA807" s="45"/>
      <c r="AB807" s="45"/>
      <c r="AC807" s="45"/>
      <c r="AD807" s="45"/>
      <c r="AE807" s="45"/>
      <c r="AF807" s="45"/>
      <c r="AG807" s="45"/>
      <c r="AH807" s="45"/>
      <c r="AI807" s="45"/>
      <c r="AJ807" s="45"/>
      <c r="AK807" s="45"/>
      <c r="AL807" s="45"/>
    </row>
    <row r="808" ht="15.75" customHeight="1">
      <c r="A808" s="27">
        <f t="shared" si="17"/>
        <v>159</v>
      </c>
      <c r="B808" s="28" t="s">
        <v>2969</v>
      </c>
      <c r="C808" s="102" t="s">
        <v>2970</v>
      </c>
      <c r="D808" s="30" t="s">
        <v>2971</v>
      </c>
      <c r="E808" s="28"/>
      <c r="F808" s="28" t="s">
        <v>29</v>
      </c>
      <c r="G808" s="28" t="s">
        <v>37</v>
      </c>
      <c r="H808" s="28"/>
      <c r="I808" s="28" t="s">
        <v>38</v>
      </c>
      <c r="J808" s="28">
        <v>102.0</v>
      </c>
      <c r="K808" s="28"/>
      <c r="L808" s="28" t="s">
        <v>1291</v>
      </c>
      <c r="M808" s="28" t="s">
        <v>230</v>
      </c>
      <c r="N808" s="28">
        <v>1985.0</v>
      </c>
      <c r="O808" s="60" t="s">
        <v>2820</v>
      </c>
      <c r="P808" s="28">
        <v>1.0</v>
      </c>
      <c r="Q808" s="32">
        <v>1.0</v>
      </c>
      <c r="R808" s="33"/>
      <c r="S808" s="34"/>
      <c r="T808" s="34"/>
      <c r="U808" s="34"/>
      <c r="V808" s="34"/>
      <c r="W808" s="34"/>
      <c r="X808" s="34"/>
      <c r="Y808" s="45"/>
      <c r="Z808" s="45"/>
      <c r="AA808" s="45"/>
      <c r="AB808" s="45"/>
      <c r="AC808" s="45"/>
      <c r="AD808" s="45"/>
      <c r="AE808" s="45"/>
      <c r="AF808" s="45"/>
      <c r="AG808" s="45"/>
      <c r="AH808" s="45"/>
      <c r="AI808" s="45"/>
      <c r="AJ808" s="45"/>
      <c r="AK808" s="45"/>
      <c r="AL808" s="45"/>
    </row>
    <row r="809" ht="15.75" customHeight="1">
      <c r="A809" s="27">
        <f t="shared" si="17"/>
        <v>160</v>
      </c>
      <c r="B809" s="28" t="s">
        <v>2972</v>
      </c>
      <c r="C809" s="43" t="s">
        <v>2973</v>
      </c>
      <c r="D809" s="30" t="s">
        <v>2974</v>
      </c>
      <c r="E809" s="28" t="s">
        <v>302</v>
      </c>
      <c r="F809" s="28" t="s">
        <v>29</v>
      </c>
      <c r="G809" s="28" t="s">
        <v>30</v>
      </c>
      <c r="H809" s="28"/>
      <c r="I809" s="28" t="s">
        <v>30</v>
      </c>
      <c r="J809" s="28">
        <v>205.0</v>
      </c>
      <c r="K809" s="28"/>
      <c r="L809" s="28" t="s">
        <v>2975</v>
      </c>
      <c r="M809" s="28" t="s">
        <v>151</v>
      </c>
      <c r="N809" s="28">
        <v>2004.0</v>
      </c>
      <c r="O809" s="60" t="s">
        <v>2820</v>
      </c>
      <c r="P809" s="28">
        <v>2.0</v>
      </c>
      <c r="Q809" s="32">
        <v>2.0</v>
      </c>
      <c r="R809" s="33"/>
      <c r="S809" s="34"/>
      <c r="T809" s="34"/>
      <c r="U809" s="34"/>
      <c r="V809" s="34"/>
      <c r="W809" s="34"/>
      <c r="X809" s="34"/>
      <c r="Y809" s="45"/>
      <c r="Z809" s="45"/>
      <c r="AA809" s="45"/>
      <c r="AB809" s="45"/>
      <c r="AC809" s="45"/>
      <c r="AD809" s="45"/>
      <c r="AE809" s="45"/>
      <c r="AF809" s="45"/>
      <c r="AG809" s="45"/>
      <c r="AH809" s="45"/>
      <c r="AI809" s="45"/>
      <c r="AJ809" s="45"/>
      <c r="AK809" s="45"/>
      <c r="AL809" s="45"/>
    </row>
    <row r="810" ht="15.75" customHeight="1">
      <c r="A810" s="27">
        <f t="shared" si="17"/>
        <v>161</v>
      </c>
      <c r="B810" s="28" t="s">
        <v>2976</v>
      </c>
      <c r="C810" s="43" t="s">
        <v>2977</v>
      </c>
      <c r="D810" s="30" t="s">
        <v>2978</v>
      </c>
      <c r="E810" s="28" t="s">
        <v>144</v>
      </c>
      <c r="F810" s="28" t="s">
        <v>29</v>
      </c>
      <c r="G810" s="28" t="s">
        <v>37</v>
      </c>
      <c r="H810" s="28" t="s">
        <v>31</v>
      </c>
      <c r="I810" s="28" t="s">
        <v>38</v>
      </c>
      <c r="J810" s="28">
        <v>411.0</v>
      </c>
      <c r="K810" s="28"/>
      <c r="L810" s="28" t="s">
        <v>2979</v>
      </c>
      <c r="M810" s="28" t="s">
        <v>2980</v>
      </c>
      <c r="N810" s="28">
        <v>1995.0</v>
      </c>
      <c r="O810" s="60" t="s">
        <v>2820</v>
      </c>
      <c r="P810" s="28">
        <v>1.0</v>
      </c>
      <c r="Q810" s="32">
        <v>1.0</v>
      </c>
      <c r="R810" s="33"/>
      <c r="S810" s="34"/>
      <c r="T810" s="34"/>
      <c r="U810" s="34"/>
      <c r="V810" s="34"/>
      <c r="W810" s="34"/>
      <c r="X810" s="34"/>
      <c r="Y810" s="45"/>
      <c r="Z810" s="45"/>
      <c r="AA810" s="45"/>
      <c r="AB810" s="45"/>
      <c r="AC810" s="45"/>
      <c r="AD810" s="45"/>
      <c r="AE810" s="45"/>
      <c r="AF810" s="45"/>
      <c r="AG810" s="45"/>
      <c r="AH810" s="45"/>
      <c r="AI810" s="45"/>
      <c r="AJ810" s="45"/>
      <c r="AK810" s="45"/>
      <c r="AL810" s="45"/>
    </row>
    <row r="811" ht="15.75" customHeight="1">
      <c r="A811" s="27">
        <f t="shared" si="17"/>
        <v>162</v>
      </c>
      <c r="B811" s="28" t="s">
        <v>2981</v>
      </c>
      <c r="C811" s="29" t="s">
        <v>2982</v>
      </c>
      <c r="D811" s="30" t="s">
        <v>2983</v>
      </c>
      <c r="E811" s="28" t="s">
        <v>302</v>
      </c>
      <c r="F811" s="28" t="s">
        <v>29</v>
      </c>
      <c r="G811" s="28" t="s">
        <v>37</v>
      </c>
      <c r="H811" s="28"/>
      <c r="I811" s="28" t="s">
        <v>38</v>
      </c>
      <c r="J811" s="28">
        <v>362.0</v>
      </c>
      <c r="K811" s="28"/>
      <c r="L811" s="28" t="s">
        <v>2984</v>
      </c>
      <c r="M811" s="28" t="s">
        <v>2985</v>
      </c>
      <c r="N811" s="28">
        <v>2012.0</v>
      </c>
      <c r="O811" s="60" t="s">
        <v>2820</v>
      </c>
      <c r="P811" s="28">
        <v>1.0</v>
      </c>
      <c r="Q811" s="32">
        <v>1.0</v>
      </c>
      <c r="R811" s="33"/>
      <c r="S811" s="34"/>
      <c r="T811" s="34"/>
      <c r="U811" s="34"/>
      <c r="V811" s="34"/>
      <c r="W811" s="34"/>
      <c r="X811" s="34"/>
      <c r="Y811" s="45"/>
      <c r="Z811" s="45"/>
      <c r="AA811" s="45"/>
      <c r="AB811" s="45"/>
      <c r="AC811" s="45"/>
      <c r="AD811" s="45"/>
      <c r="AE811" s="45"/>
      <c r="AF811" s="45"/>
      <c r="AG811" s="45"/>
      <c r="AH811" s="45"/>
      <c r="AI811" s="45"/>
      <c r="AJ811" s="45"/>
      <c r="AK811" s="45"/>
      <c r="AL811" s="45"/>
    </row>
    <row r="812" ht="15.75" customHeight="1">
      <c r="A812" s="27">
        <f t="shared" si="17"/>
        <v>163</v>
      </c>
      <c r="B812" s="60" t="s">
        <v>2986</v>
      </c>
      <c r="C812" s="102" t="s">
        <v>2987</v>
      </c>
      <c r="D812" s="120" t="s">
        <v>2988</v>
      </c>
      <c r="E812" s="28" t="s">
        <v>28</v>
      </c>
      <c r="F812" s="28" t="s">
        <v>29</v>
      </c>
      <c r="G812" s="28" t="s">
        <v>37</v>
      </c>
      <c r="H812" s="28"/>
      <c r="I812" s="28" t="s">
        <v>38</v>
      </c>
      <c r="J812" s="28">
        <v>369.0</v>
      </c>
      <c r="K812" s="28"/>
      <c r="L812" s="31" t="s">
        <v>2989</v>
      </c>
      <c r="M812" s="28" t="s">
        <v>931</v>
      </c>
      <c r="N812" s="28">
        <v>1976.0</v>
      </c>
      <c r="O812" s="60" t="s">
        <v>2820</v>
      </c>
      <c r="P812" s="28">
        <v>1.0</v>
      </c>
      <c r="Q812" s="94">
        <v>1.0</v>
      </c>
      <c r="R812" s="33"/>
      <c r="S812" s="34"/>
      <c r="T812" s="34"/>
      <c r="U812" s="34"/>
      <c r="V812" s="34"/>
      <c r="W812" s="34"/>
      <c r="X812" s="34"/>
      <c r="Y812" s="45"/>
      <c r="Z812" s="45"/>
      <c r="AA812" s="45"/>
      <c r="AB812" s="45"/>
      <c r="AC812" s="45"/>
      <c r="AD812" s="45"/>
      <c r="AE812" s="45"/>
      <c r="AF812" s="45"/>
      <c r="AG812" s="45"/>
      <c r="AH812" s="45"/>
      <c r="AI812" s="45"/>
      <c r="AJ812" s="45"/>
      <c r="AK812" s="45"/>
      <c r="AL812" s="45"/>
    </row>
    <row r="813" ht="15.75" customHeight="1">
      <c r="A813" s="27">
        <f t="shared" si="17"/>
        <v>164</v>
      </c>
      <c r="B813" s="28" t="s">
        <v>2990</v>
      </c>
      <c r="C813" s="43" t="s">
        <v>2991</v>
      </c>
      <c r="D813" s="30" t="s">
        <v>2992</v>
      </c>
      <c r="E813" s="28" t="s">
        <v>302</v>
      </c>
      <c r="F813" s="28" t="s">
        <v>29</v>
      </c>
      <c r="G813" s="28" t="s">
        <v>30</v>
      </c>
      <c r="H813" s="28"/>
      <c r="I813" s="28" t="s">
        <v>30</v>
      </c>
      <c r="J813" s="28">
        <v>368.0</v>
      </c>
      <c r="K813" s="28"/>
      <c r="L813" s="28" t="s">
        <v>1275</v>
      </c>
      <c r="M813" s="28" t="s">
        <v>151</v>
      </c>
      <c r="N813" s="28">
        <v>2001.0</v>
      </c>
      <c r="O813" s="60" t="s">
        <v>2820</v>
      </c>
      <c r="P813" s="28">
        <v>1.0</v>
      </c>
      <c r="Q813" s="94">
        <v>1.0</v>
      </c>
      <c r="R813" s="33"/>
      <c r="S813" s="40"/>
      <c r="T813" s="40"/>
      <c r="U813" s="40"/>
      <c r="V813" s="40"/>
      <c r="W813" s="40"/>
      <c r="X813" s="40"/>
      <c r="Y813" s="45"/>
      <c r="Z813" s="45"/>
      <c r="AA813" s="45"/>
      <c r="AB813" s="45"/>
      <c r="AC813" s="45"/>
      <c r="AD813" s="45"/>
      <c r="AE813" s="45"/>
      <c r="AF813" s="45"/>
      <c r="AG813" s="45"/>
      <c r="AH813" s="45"/>
      <c r="AI813" s="45"/>
      <c r="AJ813" s="45"/>
      <c r="AK813" s="45"/>
      <c r="AL813" s="45"/>
    </row>
    <row r="814" ht="15.75" customHeight="1">
      <c r="A814" s="27">
        <f t="shared" si="17"/>
        <v>165</v>
      </c>
      <c r="B814" s="28" t="s">
        <v>31</v>
      </c>
      <c r="C814" s="43" t="s">
        <v>2993</v>
      </c>
      <c r="D814" s="30" t="s">
        <v>2994</v>
      </c>
      <c r="E814" s="28" t="s">
        <v>144</v>
      </c>
      <c r="F814" s="28" t="s">
        <v>29</v>
      </c>
      <c r="G814" s="28" t="s">
        <v>30</v>
      </c>
      <c r="H814" s="28"/>
      <c r="I814" s="28" t="s">
        <v>30</v>
      </c>
      <c r="J814" s="28">
        <v>128.0</v>
      </c>
      <c r="K814" s="28"/>
      <c r="L814" s="28" t="s">
        <v>2995</v>
      </c>
      <c r="M814" s="28" t="s">
        <v>151</v>
      </c>
      <c r="N814" s="28">
        <v>1978.0</v>
      </c>
      <c r="O814" s="60" t="s">
        <v>2820</v>
      </c>
      <c r="P814" s="28">
        <v>1.0</v>
      </c>
      <c r="Q814" s="94">
        <v>1.0</v>
      </c>
      <c r="R814" s="33"/>
      <c r="S814" s="34"/>
      <c r="T814" s="34"/>
      <c r="U814" s="34"/>
      <c r="V814" s="34"/>
      <c r="W814" s="34"/>
      <c r="X814" s="34"/>
      <c r="Y814" s="45"/>
      <c r="Z814" s="45"/>
      <c r="AA814" s="45"/>
      <c r="AB814" s="45"/>
      <c r="AC814" s="45"/>
      <c r="AD814" s="45"/>
      <c r="AE814" s="45"/>
      <c r="AF814" s="45"/>
      <c r="AG814" s="45"/>
      <c r="AH814" s="45"/>
      <c r="AI814" s="45"/>
      <c r="AJ814" s="45"/>
      <c r="AK814" s="45"/>
      <c r="AL814" s="45"/>
    </row>
    <row r="815" ht="15.75" customHeight="1">
      <c r="A815" s="27">
        <f t="shared" si="17"/>
        <v>166</v>
      </c>
      <c r="B815" s="28" t="s">
        <v>2996</v>
      </c>
      <c r="C815" s="43" t="s">
        <v>2997</v>
      </c>
      <c r="D815" s="30" t="s">
        <v>2998</v>
      </c>
      <c r="E815" s="28" t="s">
        <v>144</v>
      </c>
      <c r="F815" s="28" t="s">
        <v>29</v>
      </c>
      <c r="G815" s="28" t="s">
        <v>30</v>
      </c>
      <c r="H815" s="28"/>
      <c r="I815" s="28" t="s">
        <v>30</v>
      </c>
      <c r="J815" s="28">
        <f>273+32</f>
        <v>305</v>
      </c>
      <c r="K815" s="28"/>
      <c r="L815" s="28" t="s">
        <v>71</v>
      </c>
      <c r="M815" s="28" t="s">
        <v>2999</v>
      </c>
      <c r="N815" s="28">
        <v>2006.0</v>
      </c>
      <c r="O815" s="60" t="s">
        <v>2820</v>
      </c>
      <c r="P815" s="28">
        <v>2.0</v>
      </c>
      <c r="Q815" s="94">
        <v>2.0</v>
      </c>
      <c r="R815" s="33"/>
      <c r="S815" s="34"/>
      <c r="T815" s="34"/>
      <c r="U815" s="34"/>
      <c r="V815" s="34"/>
      <c r="W815" s="34"/>
      <c r="X815" s="34"/>
      <c r="Y815" s="45"/>
      <c r="Z815" s="45"/>
      <c r="AA815" s="45"/>
      <c r="AB815" s="45"/>
      <c r="AC815" s="45"/>
      <c r="AD815" s="45"/>
      <c r="AE815" s="45"/>
      <c r="AF815" s="45"/>
      <c r="AG815" s="45"/>
      <c r="AH815" s="45"/>
      <c r="AI815" s="45"/>
      <c r="AJ815" s="45"/>
      <c r="AK815" s="45"/>
      <c r="AL815" s="45"/>
    </row>
    <row r="816" ht="15.75" customHeight="1">
      <c r="A816" s="27">
        <f t="shared" si="17"/>
        <v>167</v>
      </c>
      <c r="B816" s="121" t="s">
        <v>3000</v>
      </c>
      <c r="C816" s="124" t="s">
        <v>3001</v>
      </c>
      <c r="D816" s="119" t="s">
        <v>3002</v>
      </c>
      <c r="E816" s="83"/>
      <c r="F816" s="121" t="s">
        <v>29</v>
      </c>
      <c r="G816" s="121" t="s">
        <v>38</v>
      </c>
      <c r="H816" s="83"/>
      <c r="I816" s="121" t="s">
        <v>3003</v>
      </c>
      <c r="J816" s="121">
        <v>268.0</v>
      </c>
      <c r="K816" s="83"/>
      <c r="L816" s="121" t="s">
        <v>3004</v>
      </c>
      <c r="M816" s="121" t="s">
        <v>3005</v>
      </c>
      <c r="N816" s="121">
        <v>1970.0</v>
      </c>
      <c r="O816" s="60" t="s">
        <v>2820</v>
      </c>
      <c r="P816" s="121">
        <v>1.0</v>
      </c>
      <c r="Q816" s="121">
        <v>1.0</v>
      </c>
      <c r="R816" s="84"/>
      <c r="S816" s="40"/>
      <c r="T816" s="40"/>
      <c r="U816" s="40"/>
      <c r="V816" s="40"/>
      <c r="W816" s="40"/>
      <c r="X816" s="40"/>
      <c r="Y816" s="45"/>
      <c r="Z816" s="45"/>
      <c r="AA816" s="45"/>
      <c r="AB816" s="45"/>
      <c r="AC816" s="45"/>
      <c r="AD816" s="45"/>
      <c r="AE816" s="45"/>
      <c r="AF816" s="45"/>
      <c r="AG816" s="45"/>
      <c r="AH816" s="45"/>
      <c r="AI816" s="45"/>
      <c r="AJ816" s="45"/>
      <c r="AK816" s="45"/>
      <c r="AL816" s="45"/>
    </row>
    <row r="817" ht="15.75" customHeight="1">
      <c r="A817" s="27">
        <f t="shared" si="17"/>
        <v>168</v>
      </c>
      <c r="B817" s="28" t="s">
        <v>3006</v>
      </c>
      <c r="C817" s="43" t="s">
        <v>3007</v>
      </c>
      <c r="D817" s="30" t="s">
        <v>3008</v>
      </c>
      <c r="E817" s="28" t="s">
        <v>144</v>
      </c>
      <c r="F817" s="28" t="s">
        <v>29</v>
      </c>
      <c r="G817" s="28" t="s">
        <v>30</v>
      </c>
      <c r="H817" s="28"/>
      <c r="I817" s="28" t="s">
        <v>30</v>
      </c>
      <c r="J817" s="28">
        <v>261.0</v>
      </c>
      <c r="K817" s="28"/>
      <c r="L817" s="28" t="s">
        <v>3009</v>
      </c>
      <c r="M817" s="28" t="s">
        <v>3010</v>
      </c>
      <c r="N817" s="28">
        <v>2007.0</v>
      </c>
      <c r="O817" s="60" t="s">
        <v>2820</v>
      </c>
      <c r="P817" s="28">
        <v>1.0</v>
      </c>
      <c r="Q817" s="94">
        <v>1.0</v>
      </c>
      <c r="R817" s="33"/>
      <c r="S817" s="34"/>
      <c r="T817" s="34"/>
      <c r="U817" s="34"/>
      <c r="V817" s="34"/>
      <c r="W817" s="34"/>
      <c r="X817" s="34"/>
      <c r="Y817" s="45"/>
      <c r="Z817" s="45"/>
      <c r="AA817" s="45"/>
      <c r="AB817" s="45"/>
      <c r="AC817" s="45"/>
      <c r="AD817" s="45"/>
      <c r="AE817" s="45"/>
      <c r="AF817" s="45"/>
      <c r="AG817" s="45"/>
      <c r="AH817" s="45"/>
      <c r="AI817" s="45"/>
      <c r="AJ817" s="45"/>
      <c r="AK817" s="45"/>
      <c r="AL817" s="45"/>
    </row>
    <row r="818" ht="15.75" customHeight="1">
      <c r="A818" s="27">
        <f t="shared" si="17"/>
        <v>169</v>
      </c>
      <c r="B818" s="28" t="s">
        <v>3011</v>
      </c>
      <c r="C818" s="48" t="s">
        <v>3012</v>
      </c>
      <c r="D818" s="30" t="s">
        <v>3013</v>
      </c>
      <c r="E818" s="28"/>
      <c r="F818" s="28" t="s">
        <v>29</v>
      </c>
      <c r="G818" s="28" t="s">
        <v>31</v>
      </c>
      <c r="H818" s="28"/>
      <c r="I818" s="28" t="s">
        <v>38</v>
      </c>
      <c r="J818" s="28">
        <v>211.0</v>
      </c>
      <c r="K818" s="28"/>
      <c r="L818" s="28" t="s">
        <v>3014</v>
      </c>
      <c r="M818" s="28" t="s">
        <v>3015</v>
      </c>
      <c r="N818" s="28">
        <v>2007.0</v>
      </c>
      <c r="O818" s="60" t="s">
        <v>2820</v>
      </c>
      <c r="P818" s="28">
        <v>1.0</v>
      </c>
      <c r="Q818" s="32">
        <v>1.0</v>
      </c>
      <c r="R818" s="33"/>
      <c r="S818" s="34"/>
      <c r="T818" s="34"/>
      <c r="U818" s="34"/>
      <c r="V818" s="34"/>
      <c r="W818" s="34"/>
      <c r="X818" s="34"/>
      <c r="Y818" s="45"/>
      <c r="Z818" s="45"/>
      <c r="AA818" s="45"/>
      <c r="AB818" s="45"/>
      <c r="AC818" s="45"/>
      <c r="AD818" s="45"/>
      <c r="AE818" s="45"/>
      <c r="AF818" s="45"/>
      <c r="AG818" s="45"/>
      <c r="AH818" s="45"/>
      <c r="AI818" s="45"/>
      <c r="AJ818" s="45"/>
      <c r="AK818" s="45"/>
      <c r="AL818" s="45"/>
    </row>
    <row r="819" ht="15.75" customHeight="1">
      <c r="A819" s="27">
        <f t="shared" si="17"/>
        <v>170</v>
      </c>
      <c r="B819" s="28" t="s">
        <v>31</v>
      </c>
      <c r="C819" s="102" t="s">
        <v>3016</v>
      </c>
      <c r="D819" s="30" t="s">
        <v>3017</v>
      </c>
      <c r="E819" s="28" t="s">
        <v>28</v>
      </c>
      <c r="F819" s="28" t="s">
        <v>29</v>
      </c>
      <c r="G819" s="28" t="s">
        <v>37</v>
      </c>
      <c r="H819" s="28"/>
      <c r="I819" s="28" t="s">
        <v>38</v>
      </c>
      <c r="J819" s="28">
        <v>387.0</v>
      </c>
      <c r="K819" s="28"/>
      <c r="L819" s="28" t="s">
        <v>3018</v>
      </c>
      <c r="M819" s="28" t="s">
        <v>3019</v>
      </c>
      <c r="N819" s="28">
        <v>1966.0</v>
      </c>
      <c r="O819" s="60" t="s">
        <v>2820</v>
      </c>
      <c r="P819" s="28">
        <v>1.0</v>
      </c>
      <c r="Q819" s="94">
        <v>1.0</v>
      </c>
      <c r="R819" s="33"/>
      <c r="S819" s="34"/>
      <c r="T819" s="34"/>
      <c r="U819" s="34"/>
      <c r="V819" s="34"/>
      <c r="W819" s="34"/>
      <c r="X819" s="34"/>
      <c r="Y819" s="45"/>
      <c r="Z819" s="45"/>
      <c r="AA819" s="45"/>
      <c r="AB819" s="45"/>
      <c r="AC819" s="45"/>
      <c r="AD819" s="45"/>
      <c r="AE819" s="45"/>
      <c r="AF819" s="45"/>
      <c r="AG819" s="45"/>
      <c r="AH819" s="45"/>
      <c r="AI819" s="45"/>
      <c r="AJ819" s="45"/>
      <c r="AK819" s="45"/>
      <c r="AL819" s="45"/>
    </row>
    <row r="820" ht="15.75" customHeight="1">
      <c r="A820" s="27">
        <f t="shared" si="17"/>
        <v>171</v>
      </c>
      <c r="B820" s="28" t="s">
        <v>3020</v>
      </c>
      <c r="C820" s="29" t="s">
        <v>3021</v>
      </c>
      <c r="D820" s="30" t="s">
        <v>3022</v>
      </c>
      <c r="E820" s="28" t="s">
        <v>144</v>
      </c>
      <c r="F820" s="28" t="s">
        <v>29</v>
      </c>
      <c r="G820" s="28" t="s">
        <v>30</v>
      </c>
      <c r="H820" s="28"/>
      <c r="I820" s="28" t="s">
        <v>30</v>
      </c>
      <c r="J820" s="28">
        <v>208.0</v>
      </c>
      <c r="K820" s="28"/>
      <c r="L820" s="28" t="s">
        <v>3023</v>
      </c>
      <c r="M820" s="28" t="s">
        <v>161</v>
      </c>
      <c r="N820" s="28">
        <v>2007.0</v>
      </c>
      <c r="O820" s="60" t="s">
        <v>2820</v>
      </c>
      <c r="P820" s="28">
        <v>1.0</v>
      </c>
      <c r="Q820" s="32">
        <v>1.0</v>
      </c>
      <c r="R820" s="33"/>
      <c r="S820" s="34"/>
      <c r="T820" s="34"/>
      <c r="U820" s="34"/>
      <c r="V820" s="34"/>
      <c r="W820" s="34"/>
      <c r="X820" s="34"/>
      <c r="Y820" s="45"/>
      <c r="Z820" s="45"/>
      <c r="AA820" s="45"/>
      <c r="AB820" s="45"/>
      <c r="AC820" s="45"/>
      <c r="AD820" s="45"/>
      <c r="AE820" s="45"/>
      <c r="AF820" s="45"/>
      <c r="AG820" s="45"/>
      <c r="AH820" s="45"/>
      <c r="AI820" s="45"/>
      <c r="AJ820" s="45"/>
      <c r="AK820" s="45"/>
      <c r="AL820" s="45"/>
    </row>
    <row r="821" ht="15.75" customHeight="1">
      <c r="A821" s="27">
        <f t="shared" si="17"/>
        <v>172</v>
      </c>
      <c r="B821" s="83"/>
      <c r="C821" s="121" t="s">
        <v>3024</v>
      </c>
      <c r="D821" s="119" t="s">
        <v>3025</v>
      </c>
      <c r="E821" s="121" t="s">
        <v>144</v>
      </c>
      <c r="F821" s="121" t="s">
        <v>29</v>
      </c>
      <c r="G821" s="121" t="s">
        <v>159</v>
      </c>
      <c r="H821" s="83"/>
      <c r="I821" s="121" t="s">
        <v>30</v>
      </c>
      <c r="J821" s="121">
        <v>80.0</v>
      </c>
      <c r="K821" s="83"/>
      <c r="L821" s="121" t="s">
        <v>3026</v>
      </c>
      <c r="M821" s="121" t="s">
        <v>3027</v>
      </c>
      <c r="N821" s="121">
        <v>2002.0</v>
      </c>
      <c r="O821" s="60" t="s">
        <v>2820</v>
      </c>
      <c r="P821" s="121">
        <v>1.0</v>
      </c>
      <c r="Q821" s="121">
        <v>1.0</v>
      </c>
      <c r="R821" s="84"/>
      <c r="S821" s="34"/>
      <c r="T821" s="34"/>
      <c r="U821" s="34"/>
      <c r="V821" s="34"/>
      <c r="W821" s="34"/>
      <c r="X821" s="34"/>
      <c r="Y821" s="3"/>
      <c r="Z821" s="3"/>
      <c r="AA821" s="3"/>
      <c r="AB821" s="3"/>
      <c r="AC821" s="3"/>
      <c r="AD821" s="3"/>
      <c r="AE821" s="3"/>
      <c r="AF821" s="3"/>
      <c r="AG821" s="3"/>
      <c r="AH821" s="3"/>
      <c r="AI821" s="3"/>
      <c r="AJ821" s="3"/>
      <c r="AK821" s="3"/>
      <c r="AL821" s="3"/>
    </row>
    <row r="822" ht="15.75" customHeight="1">
      <c r="A822" s="27">
        <f t="shared" si="17"/>
        <v>173</v>
      </c>
      <c r="B822" s="28" t="s">
        <v>3028</v>
      </c>
      <c r="C822" s="102" t="s">
        <v>3029</v>
      </c>
      <c r="D822" s="120" t="s">
        <v>3030</v>
      </c>
      <c r="E822" s="28" t="s">
        <v>28</v>
      </c>
      <c r="F822" s="28" t="s">
        <v>29</v>
      </c>
      <c r="G822" s="28" t="s">
        <v>37</v>
      </c>
      <c r="H822" s="28"/>
      <c r="I822" s="28" t="s">
        <v>38</v>
      </c>
      <c r="J822" s="28">
        <v>284.0</v>
      </c>
      <c r="K822" s="28"/>
      <c r="L822" s="28" t="s">
        <v>1170</v>
      </c>
      <c r="M822" s="28" t="s">
        <v>72</v>
      </c>
      <c r="N822" s="28">
        <v>1981.0</v>
      </c>
      <c r="O822" s="60" t="s">
        <v>2820</v>
      </c>
      <c r="P822" s="28">
        <v>1.0</v>
      </c>
      <c r="Q822" s="32">
        <v>1.0</v>
      </c>
      <c r="R822" s="33"/>
      <c r="S822" s="40"/>
      <c r="T822" s="40"/>
      <c r="U822" s="40"/>
      <c r="V822" s="40"/>
      <c r="W822" s="40"/>
      <c r="X822" s="40"/>
      <c r="Y822" s="45"/>
      <c r="Z822" s="45"/>
      <c r="AA822" s="45"/>
      <c r="AB822" s="45"/>
      <c r="AC822" s="45"/>
      <c r="AD822" s="45"/>
      <c r="AE822" s="45"/>
      <c r="AF822" s="45"/>
      <c r="AG822" s="45"/>
      <c r="AH822" s="45"/>
      <c r="AI822" s="45"/>
      <c r="AJ822" s="45"/>
      <c r="AK822" s="45"/>
      <c r="AL822" s="45"/>
    </row>
    <row r="823" ht="15.75" customHeight="1">
      <c r="A823" s="27">
        <f t="shared" si="17"/>
        <v>174</v>
      </c>
      <c r="B823" s="28" t="s">
        <v>3031</v>
      </c>
      <c r="C823" s="29" t="s">
        <v>3032</v>
      </c>
      <c r="D823" s="39" t="s">
        <v>3033</v>
      </c>
      <c r="E823" s="28"/>
      <c r="F823" s="28" t="s">
        <v>29</v>
      </c>
      <c r="G823" s="28" t="s">
        <v>30</v>
      </c>
      <c r="H823" s="28"/>
      <c r="I823" s="28" t="s">
        <v>30</v>
      </c>
      <c r="J823" s="28">
        <v>169.0</v>
      </c>
      <c r="K823" s="28"/>
      <c r="L823" s="28" t="s">
        <v>3034</v>
      </c>
      <c r="M823" s="28" t="s">
        <v>161</v>
      </c>
      <c r="N823" s="28">
        <v>2001.0</v>
      </c>
      <c r="O823" s="60" t="s">
        <v>2820</v>
      </c>
      <c r="P823" s="28">
        <v>1.0</v>
      </c>
      <c r="Q823" s="32">
        <v>1.0</v>
      </c>
      <c r="R823" s="33"/>
      <c r="S823" s="34"/>
      <c r="T823" s="34"/>
      <c r="U823" s="34"/>
      <c r="V823" s="34"/>
      <c r="W823" s="34"/>
      <c r="X823" s="34"/>
      <c r="Y823" s="45"/>
      <c r="Z823" s="45"/>
      <c r="AA823" s="45"/>
      <c r="AB823" s="45"/>
      <c r="AC823" s="45"/>
      <c r="AD823" s="45"/>
      <c r="AE823" s="45"/>
      <c r="AF823" s="45"/>
      <c r="AG823" s="45"/>
      <c r="AH823" s="45"/>
      <c r="AI823" s="45"/>
      <c r="AJ823" s="45"/>
      <c r="AK823" s="45"/>
      <c r="AL823" s="45"/>
    </row>
    <row r="824" ht="15.75" customHeight="1">
      <c r="A824" s="27">
        <f t="shared" si="17"/>
        <v>175</v>
      </c>
      <c r="B824" s="28" t="s">
        <v>3035</v>
      </c>
      <c r="C824" s="43" t="s">
        <v>3036</v>
      </c>
      <c r="D824" s="30" t="s">
        <v>3037</v>
      </c>
      <c r="E824" s="28" t="s">
        <v>302</v>
      </c>
      <c r="F824" s="28" t="s">
        <v>29</v>
      </c>
      <c r="G824" s="28" t="s">
        <v>30</v>
      </c>
      <c r="H824" s="28"/>
      <c r="I824" s="28" t="s">
        <v>30</v>
      </c>
      <c r="J824" s="28">
        <v>260.0</v>
      </c>
      <c r="K824" s="28"/>
      <c r="L824" s="28" t="s">
        <v>3034</v>
      </c>
      <c r="M824" s="28" t="s">
        <v>161</v>
      </c>
      <c r="N824" s="28">
        <v>2000.0</v>
      </c>
      <c r="O824" s="60" t="s">
        <v>2820</v>
      </c>
      <c r="P824" s="28">
        <v>1.0</v>
      </c>
      <c r="Q824" s="94">
        <v>1.0</v>
      </c>
      <c r="R824" s="33"/>
      <c r="S824" s="40"/>
      <c r="T824" s="40"/>
      <c r="U824" s="40"/>
      <c r="V824" s="40"/>
      <c r="W824" s="40"/>
      <c r="X824" s="40"/>
      <c r="Y824" s="3"/>
      <c r="Z824" s="3"/>
      <c r="AA824" s="3"/>
      <c r="AB824" s="3"/>
      <c r="AC824" s="3"/>
      <c r="AD824" s="3"/>
      <c r="AE824" s="3"/>
      <c r="AF824" s="3"/>
      <c r="AG824" s="3"/>
      <c r="AH824" s="3"/>
      <c r="AI824" s="3"/>
      <c r="AJ824" s="3"/>
      <c r="AK824" s="3"/>
      <c r="AL824" s="3"/>
    </row>
    <row r="825" ht="15.75" customHeight="1">
      <c r="A825" s="27">
        <f t="shared" si="17"/>
        <v>176</v>
      </c>
      <c r="B825" s="28" t="s">
        <v>3038</v>
      </c>
      <c r="C825" s="29" t="s">
        <v>3039</v>
      </c>
      <c r="D825" s="30" t="s">
        <v>3040</v>
      </c>
      <c r="E825" s="28"/>
      <c r="F825" s="28" t="s">
        <v>29</v>
      </c>
      <c r="G825" s="28" t="s">
        <v>30</v>
      </c>
      <c r="H825" s="28"/>
      <c r="I825" s="28" t="s">
        <v>30</v>
      </c>
      <c r="J825" s="28">
        <v>176.0</v>
      </c>
      <c r="K825" s="28"/>
      <c r="L825" s="28" t="s">
        <v>3034</v>
      </c>
      <c r="M825" s="28" t="s">
        <v>161</v>
      </c>
      <c r="N825" s="28">
        <v>2001.0</v>
      </c>
      <c r="O825" s="60" t="s">
        <v>2820</v>
      </c>
      <c r="P825" s="28">
        <v>1.0</v>
      </c>
      <c r="Q825" s="94">
        <v>1.0</v>
      </c>
      <c r="R825" s="33"/>
      <c r="S825" s="34"/>
      <c r="T825" s="34"/>
      <c r="U825" s="34"/>
      <c r="V825" s="34"/>
      <c r="W825" s="34"/>
      <c r="X825" s="34"/>
      <c r="Y825" s="45"/>
      <c r="Z825" s="45"/>
      <c r="AA825" s="45"/>
      <c r="AB825" s="45"/>
      <c r="AC825" s="45"/>
      <c r="AD825" s="45"/>
      <c r="AE825" s="45"/>
      <c r="AF825" s="45"/>
      <c r="AG825" s="45"/>
      <c r="AH825" s="45"/>
      <c r="AI825" s="45"/>
      <c r="AJ825" s="45"/>
      <c r="AK825" s="45"/>
      <c r="AL825" s="45"/>
    </row>
    <row r="826" ht="15.75" customHeight="1">
      <c r="A826" s="27">
        <f t="shared" si="17"/>
        <v>177</v>
      </c>
      <c r="B826" s="28" t="s">
        <v>3041</v>
      </c>
      <c r="C826" s="43" t="s">
        <v>3042</v>
      </c>
      <c r="D826" s="30" t="s">
        <v>3043</v>
      </c>
      <c r="E826" s="28"/>
      <c r="F826" s="28" t="s">
        <v>29</v>
      </c>
      <c r="G826" s="28" t="s">
        <v>30</v>
      </c>
      <c r="H826" s="28"/>
      <c r="I826" s="28" t="s">
        <v>30</v>
      </c>
      <c r="J826" s="28">
        <v>379.0</v>
      </c>
      <c r="K826" s="28"/>
      <c r="L826" s="28" t="s">
        <v>311</v>
      </c>
      <c r="M826" s="28" t="s">
        <v>1271</v>
      </c>
      <c r="N826" s="28">
        <v>2004.0</v>
      </c>
      <c r="O826" s="60" t="s">
        <v>2820</v>
      </c>
      <c r="P826" s="28">
        <v>1.0</v>
      </c>
      <c r="Q826" s="94">
        <v>1.0</v>
      </c>
      <c r="R826" s="33"/>
      <c r="S826" s="34"/>
      <c r="T826" s="34"/>
      <c r="U826" s="34"/>
      <c r="V826" s="34"/>
      <c r="W826" s="34"/>
      <c r="X826" s="34"/>
      <c r="Y826" s="45"/>
      <c r="Z826" s="45"/>
      <c r="AA826" s="45"/>
      <c r="AB826" s="45"/>
      <c r="AC826" s="45"/>
      <c r="AD826" s="45"/>
      <c r="AE826" s="45"/>
      <c r="AF826" s="45"/>
      <c r="AG826" s="45"/>
      <c r="AH826" s="45"/>
      <c r="AI826" s="45"/>
      <c r="AJ826" s="45"/>
      <c r="AK826" s="45"/>
      <c r="AL826" s="45"/>
    </row>
    <row r="827" ht="15.75" customHeight="1">
      <c r="A827" s="27">
        <f t="shared" si="17"/>
        <v>178</v>
      </c>
      <c r="B827" s="28" t="s">
        <v>3044</v>
      </c>
      <c r="C827" s="29" t="s">
        <v>3045</v>
      </c>
      <c r="D827" s="30" t="s">
        <v>3046</v>
      </c>
      <c r="E827" s="28" t="s">
        <v>31</v>
      </c>
      <c r="F827" s="28" t="s">
        <v>29</v>
      </c>
      <c r="G827" s="28" t="s">
        <v>37</v>
      </c>
      <c r="H827" s="28"/>
      <c r="I827" s="28" t="s">
        <v>38</v>
      </c>
      <c r="J827" s="28">
        <v>135.0</v>
      </c>
      <c r="K827" s="28"/>
      <c r="L827" s="28" t="s">
        <v>729</v>
      </c>
      <c r="M827" s="28" t="s">
        <v>230</v>
      </c>
      <c r="N827" s="28">
        <v>1981.0</v>
      </c>
      <c r="O827" s="60" t="s">
        <v>2820</v>
      </c>
      <c r="P827" s="28">
        <v>1.0</v>
      </c>
      <c r="Q827" s="32">
        <v>1.0</v>
      </c>
      <c r="R827" s="33"/>
      <c r="S827" s="34"/>
      <c r="T827" s="34"/>
      <c r="U827" s="34"/>
      <c r="V827" s="34"/>
      <c r="W827" s="34"/>
      <c r="X827" s="34"/>
      <c r="Y827" s="45"/>
      <c r="Z827" s="45"/>
      <c r="AA827" s="45"/>
      <c r="AB827" s="45"/>
      <c r="AC827" s="45"/>
      <c r="AD827" s="45"/>
      <c r="AE827" s="45"/>
      <c r="AF827" s="45"/>
      <c r="AG827" s="45"/>
      <c r="AH827" s="45"/>
      <c r="AI827" s="45"/>
      <c r="AJ827" s="45"/>
      <c r="AK827" s="45"/>
      <c r="AL827" s="45"/>
    </row>
    <row r="828" ht="15.75" customHeight="1">
      <c r="A828" s="27">
        <f t="shared" si="17"/>
        <v>179</v>
      </c>
      <c r="B828" s="28" t="s">
        <v>3047</v>
      </c>
      <c r="C828" s="43" t="s">
        <v>3048</v>
      </c>
      <c r="D828" s="30" t="s">
        <v>2896</v>
      </c>
      <c r="E828" s="28" t="s">
        <v>144</v>
      </c>
      <c r="F828" s="28" t="s">
        <v>29</v>
      </c>
      <c r="G828" s="28" t="s">
        <v>38</v>
      </c>
      <c r="H828" s="28"/>
      <c r="I828" s="28" t="s">
        <v>166</v>
      </c>
      <c r="J828" s="28">
        <v>120.0</v>
      </c>
      <c r="K828" s="28"/>
      <c r="L828" s="28" t="s">
        <v>3049</v>
      </c>
      <c r="M828" s="28" t="s">
        <v>230</v>
      </c>
      <c r="N828" s="28">
        <v>1972.0</v>
      </c>
      <c r="O828" s="60" t="s">
        <v>2820</v>
      </c>
      <c r="P828" s="28">
        <v>1.0</v>
      </c>
      <c r="Q828" s="32">
        <v>1.0</v>
      </c>
      <c r="R828" s="33"/>
      <c r="S828" s="34"/>
      <c r="T828" s="34"/>
      <c r="U828" s="34"/>
      <c r="V828" s="34"/>
      <c r="W828" s="34"/>
      <c r="X828" s="34"/>
      <c r="Y828" s="45"/>
      <c r="Z828" s="45"/>
      <c r="AA828" s="45"/>
      <c r="AB828" s="45"/>
      <c r="AC828" s="45"/>
      <c r="AD828" s="45"/>
      <c r="AE828" s="45"/>
      <c r="AF828" s="45"/>
      <c r="AG828" s="45"/>
      <c r="AH828" s="45"/>
      <c r="AI828" s="45"/>
      <c r="AJ828" s="45"/>
      <c r="AK828" s="45"/>
      <c r="AL828" s="45"/>
    </row>
    <row r="829" ht="15.75" customHeight="1">
      <c r="A829" s="27">
        <f t="shared" si="17"/>
        <v>180</v>
      </c>
      <c r="B829" s="28" t="s">
        <v>3050</v>
      </c>
      <c r="C829" s="43" t="s">
        <v>3051</v>
      </c>
      <c r="D829" s="30" t="s">
        <v>3052</v>
      </c>
      <c r="E829" s="28" t="s">
        <v>144</v>
      </c>
      <c r="F829" s="28" t="s">
        <v>29</v>
      </c>
      <c r="G829" s="28" t="s">
        <v>30</v>
      </c>
      <c r="H829" s="28"/>
      <c r="I829" s="28" t="s">
        <v>30</v>
      </c>
      <c r="J829" s="28">
        <v>119.0</v>
      </c>
      <c r="K829" s="28"/>
      <c r="L829" s="28" t="s">
        <v>502</v>
      </c>
      <c r="M829" s="28" t="s">
        <v>151</v>
      </c>
      <c r="N829" s="28">
        <v>2003.0</v>
      </c>
      <c r="O829" s="60" t="s">
        <v>2820</v>
      </c>
      <c r="P829" s="28">
        <v>2.0</v>
      </c>
      <c r="Q829" s="94">
        <v>1.0</v>
      </c>
      <c r="R829" s="33"/>
      <c r="S829" s="40"/>
      <c r="T829" s="40"/>
      <c r="U829" s="40"/>
      <c r="V829" s="40"/>
      <c r="W829" s="40"/>
      <c r="X829" s="40"/>
      <c r="Y829" s="45"/>
      <c r="Z829" s="45"/>
      <c r="AA829" s="45"/>
      <c r="AB829" s="45"/>
      <c r="AC829" s="45"/>
      <c r="AD829" s="45"/>
      <c r="AE829" s="45"/>
      <c r="AF829" s="45"/>
      <c r="AG829" s="45"/>
      <c r="AH829" s="45"/>
      <c r="AI829" s="45"/>
      <c r="AJ829" s="45"/>
      <c r="AK829" s="45"/>
      <c r="AL829" s="45"/>
    </row>
    <row r="830" ht="15.75" customHeight="1">
      <c r="A830" s="27">
        <f t="shared" si="17"/>
        <v>181</v>
      </c>
      <c r="B830" s="28" t="s">
        <v>3050</v>
      </c>
      <c r="C830" s="43" t="s">
        <v>3051</v>
      </c>
      <c r="D830" s="30" t="s">
        <v>3052</v>
      </c>
      <c r="E830" s="28" t="s">
        <v>144</v>
      </c>
      <c r="F830" s="28" t="s">
        <v>29</v>
      </c>
      <c r="G830" s="28" t="s">
        <v>30</v>
      </c>
      <c r="H830" s="28"/>
      <c r="I830" s="28" t="s">
        <v>30</v>
      </c>
      <c r="J830" s="28">
        <v>119.0</v>
      </c>
      <c r="K830" s="28"/>
      <c r="L830" s="28" t="s">
        <v>502</v>
      </c>
      <c r="M830" s="28" t="s">
        <v>151</v>
      </c>
      <c r="N830" s="28">
        <v>1991.0</v>
      </c>
      <c r="O830" s="60" t="s">
        <v>2820</v>
      </c>
      <c r="P830" s="28">
        <v>2.0</v>
      </c>
      <c r="Q830" s="94">
        <v>2.0</v>
      </c>
      <c r="R830" s="33"/>
      <c r="S830" s="34"/>
      <c r="T830" s="34"/>
      <c r="U830" s="34"/>
      <c r="V830" s="34"/>
      <c r="W830" s="34"/>
      <c r="X830" s="34"/>
      <c r="Y830" s="45"/>
      <c r="Z830" s="45"/>
      <c r="AA830" s="45"/>
      <c r="AB830" s="45"/>
      <c r="AC830" s="45"/>
      <c r="AD830" s="45"/>
      <c r="AE830" s="45"/>
      <c r="AF830" s="45"/>
      <c r="AG830" s="45"/>
      <c r="AH830" s="45"/>
      <c r="AI830" s="45"/>
      <c r="AJ830" s="45"/>
      <c r="AK830" s="45"/>
      <c r="AL830" s="45"/>
    </row>
    <row r="831" ht="15.75" customHeight="1">
      <c r="A831" s="27">
        <f t="shared" si="17"/>
        <v>182</v>
      </c>
      <c r="B831" s="28" t="s">
        <v>31</v>
      </c>
      <c r="C831" s="43" t="s">
        <v>3053</v>
      </c>
      <c r="D831" s="30" t="s">
        <v>3054</v>
      </c>
      <c r="E831" s="28"/>
      <c r="F831" s="28" t="s">
        <v>29</v>
      </c>
      <c r="G831" s="28" t="s">
        <v>30</v>
      </c>
      <c r="H831" s="28"/>
      <c r="I831" s="28" t="s">
        <v>30</v>
      </c>
      <c r="J831" s="28">
        <v>19.0</v>
      </c>
      <c r="K831" s="28"/>
      <c r="L831" s="28" t="s">
        <v>3055</v>
      </c>
      <c r="M831" s="28" t="s">
        <v>3056</v>
      </c>
      <c r="N831" s="28" t="s">
        <v>31</v>
      </c>
      <c r="O831" s="60" t="s">
        <v>2820</v>
      </c>
      <c r="P831" s="28">
        <v>2.0</v>
      </c>
      <c r="Q831" s="94">
        <v>2.0</v>
      </c>
      <c r="R831" s="33"/>
      <c r="S831" s="34"/>
      <c r="T831" s="34"/>
      <c r="U831" s="34"/>
      <c r="V831" s="34"/>
      <c r="W831" s="34"/>
      <c r="X831" s="34"/>
      <c r="Y831" s="45"/>
      <c r="Z831" s="45"/>
      <c r="AA831" s="45"/>
      <c r="AB831" s="45"/>
      <c r="AC831" s="45"/>
      <c r="AD831" s="45"/>
      <c r="AE831" s="45"/>
      <c r="AF831" s="45"/>
      <c r="AG831" s="45"/>
      <c r="AH831" s="45"/>
      <c r="AI831" s="45"/>
      <c r="AJ831" s="45"/>
      <c r="AK831" s="45"/>
      <c r="AL831" s="45"/>
    </row>
    <row r="832" ht="15.75" customHeight="1">
      <c r="A832" s="27">
        <f t="shared" si="17"/>
        <v>183</v>
      </c>
      <c r="B832" s="28" t="s">
        <v>3057</v>
      </c>
      <c r="C832" s="43" t="s">
        <v>3058</v>
      </c>
      <c r="D832" s="30" t="s">
        <v>3059</v>
      </c>
      <c r="E832" s="28" t="s">
        <v>144</v>
      </c>
      <c r="F832" s="28" t="s">
        <v>29</v>
      </c>
      <c r="G832" s="28" t="s">
        <v>30</v>
      </c>
      <c r="H832" s="28"/>
      <c r="I832" s="28" t="s">
        <v>30</v>
      </c>
      <c r="J832" s="28">
        <f>252</f>
        <v>252</v>
      </c>
      <c r="K832" s="28"/>
      <c r="L832" s="28" t="s">
        <v>3034</v>
      </c>
      <c r="M832" s="28" t="s">
        <v>161</v>
      </c>
      <c r="N832" s="28">
        <v>2002.0</v>
      </c>
      <c r="O832" s="28" t="s">
        <v>2820</v>
      </c>
      <c r="P832" s="28">
        <v>2.0</v>
      </c>
      <c r="Q832" s="94">
        <v>2.0</v>
      </c>
      <c r="R832" s="33"/>
      <c r="S832" s="34"/>
      <c r="T832" s="34"/>
      <c r="U832" s="34"/>
      <c r="V832" s="34"/>
      <c r="W832" s="34"/>
      <c r="X832" s="34"/>
      <c r="Y832" s="45"/>
      <c r="Z832" s="45"/>
      <c r="AA832" s="45"/>
      <c r="AB832" s="45"/>
      <c r="AC832" s="45"/>
      <c r="AD832" s="45"/>
      <c r="AE832" s="45"/>
      <c r="AF832" s="45"/>
      <c r="AG832" s="45"/>
      <c r="AH832" s="45"/>
      <c r="AI832" s="45"/>
      <c r="AJ832" s="45"/>
      <c r="AK832" s="45"/>
      <c r="AL832" s="45"/>
    </row>
    <row r="833" ht="15.75" customHeight="1">
      <c r="A833" s="27">
        <f t="shared" si="17"/>
        <v>184</v>
      </c>
      <c r="B833" s="28"/>
      <c r="C833" s="43" t="s">
        <v>3060</v>
      </c>
      <c r="D833" s="30" t="s">
        <v>3061</v>
      </c>
      <c r="E833" s="28" t="s">
        <v>144</v>
      </c>
      <c r="F833" s="28" t="s">
        <v>29</v>
      </c>
      <c r="G833" s="28" t="s">
        <v>30</v>
      </c>
      <c r="H833" s="28"/>
      <c r="I833" s="28" t="s">
        <v>30</v>
      </c>
      <c r="J833" s="28">
        <f>212</f>
        <v>212</v>
      </c>
      <c r="K833" s="28"/>
      <c r="L833" s="28" t="s">
        <v>3062</v>
      </c>
      <c r="M833" s="28" t="s">
        <v>382</v>
      </c>
      <c r="N833" s="28">
        <v>1976.0</v>
      </c>
      <c r="O833" s="28" t="s">
        <v>2820</v>
      </c>
      <c r="P833" s="28">
        <v>1.0</v>
      </c>
      <c r="Q833" s="94">
        <v>1.0</v>
      </c>
      <c r="R833" s="33"/>
      <c r="S833" s="40"/>
      <c r="T833" s="40"/>
      <c r="U833" s="40"/>
      <c r="V833" s="40"/>
      <c r="W833" s="40"/>
      <c r="X833" s="40"/>
      <c r="Y833" s="3"/>
      <c r="Z833" s="3"/>
      <c r="AA833" s="3"/>
      <c r="AB833" s="3"/>
      <c r="AC833" s="3"/>
      <c r="AD833" s="3"/>
      <c r="AE833" s="3"/>
      <c r="AF833" s="3"/>
      <c r="AG833" s="3"/>
      <c r="AH833" s="3"/>
      <c r="AI833" s="3"/>
      <c r="AJ833" s="3"/>
      <c r="AK833" s="3"/>
      <c r="AL833" s="3"/>
    </row>
    <row r="834" ht="15.75" customHeight="1">
      <c r="A834" s="27">
        <f t="shared" si="17"/>
        <v>185</v>
      </c>
      <c r="B834" s="28" t="s">
        <v>3063</v>
      </c>
      <c r="C834" s="43" t="s">
        <v>3064</v>
      </c>
      <c r="D834" s="30" t="s">
        <v>3065</v>
      </c>
      <c r="E834" s="28" t="s">
        <v>144</v>
      </c>
      <c r="F834" s="28" t="s">
        <v>29</v>
      </c>
      <c r="G834" s="28" t="s">
        <v>30</v>
      </c>
      <c r="H834" s="28"/>
      <c r="I834" s="28" t="s">
        <v>30</v>
      </c>
      <c r="J834" s="28">
        <f>165+14</f>
        <v>179</v>
      </c>
      <c r="K834" s="28"/>
      <c r="L834" s="28" t="s">
        <v>3066</v>
      </c>
      <c r="M834" s="28" t="s">
        <v>161</v>
      </c>
      <c r="N834" s="28">
        <v>2006.0</v>
      </c>
      <c r="O834" s="28" t="s">
        <v>2820</v>
      </c>
      <c r="P834" s="28">
        <v>1.0</v>
      </c>
      <c r="Q834" s="94">
        <v>1.0</v>
      </c>
      <c r="R834" s="33"/>
      <c r="S834" s="34"/>
      <c r="T834" s="34"/>
      <c r="U834" s="34"/>
      <c r="V834" s="34"/>
      <c r="W834" s="34"/>
      <c r="X834" s="34"/>
      <c r="Y834" s="45"/>
      <c r="Z834" s="45"/>
      <c r="AA834" s="45"/>
      <c r="AB834" s="45"/>
      <c r="AC834" s="45"/>
      <c r="AD834" s="45"/>
      <c r="AE834" s="45"/>
      <c r="AF834" s="45"/>
      <c r="AG834" s="45"/>
      <c r="AH834" s="45"/>
      <c r="AI834" s="45"/>
      <c r="AJ834" s="45"/>
      <c r="AK834" s="45"/>
      <c r="AL834" s="45"/>
    </row>
    <row r="835" ht="15.75" customHeight="1">
      <c r="A835" s="27">
        <f t="shared" si="17"/>
        <v>186</v>
      </c>
      <c r="B835" s="28" t="s">
        <v>3067</v>
      </c>
      <c r="C835" s="43" t="s">
        <v>3068</v>
      </c>
      <c r="D835" s="30" t="s">
        <v>3069</v>
      </c>
      <c r="E835" s="28" t="s">
        <v>144</v>
      </c>
      <c r="F835" s="28" t="s">
        <v>29</v>
      </c>
      <c r="G835" s="28" t="s">
        <v>30</v>
      </c>
      <c r="H835" s="28"/>
      <c r="I835" s="28" t="s">
        <v>30</v>
      </c>
      <c r="J835" s="28">
        <f>248</f>
        <v>248</v>
      </c>
      <c r="K835" s="28"/>
      <c r="L835" s="28" t="s">
        <v>3066</v>
      </c>
      <c r="M835" s="28" t="s">
        <v>161</v>
      </c>
      <c r="N835" s="28">
        <v>2004.0</v>
      </c>
      <c r="O835" s="28" t="s">
        <v>2820</v>
      </c>
      <c r="P835" s="28">
        <v>1.0</v>
      </c>
      <c r="Q835" s="94">
        <v>1.0</v>
      </c>
      <c r="R835" s="33"/>
      <c r="S835" s="34"/>
      <c r="T835" s="34"/>
      <c r="U835" s="34"/>
      <c r="V835" s="34"/>
      <c r="W835" s="34"/>
      <c r="X835" s="34"/>
      <c r="Y835" s="45"/>
      <c r="Z835" s="45"/>
      <c r="AA835" s="45"/>
      <c r="AB835" s="45"/>
      <c r="AC835" s="45"/>
      <c r="AD835" s="45"/>
      <c r="AE835" s="45"/>
      <c r="AF835" s="45"/>
      <c r="AG835" s="45"/>
      <c r="AH835" s="45"/>
      <c r="AI835" s="45"/>
      <c r="AJ835" s="45"/>
      <c r="AK835" s="45"/>
      <c r="AL835" s="45"/>
    </row>
    <row r="836" ht="15.75" customHeight="1">
      <c r="A836" s="27">
        <f t="shared" si="17"/>
        <v>187</v>
      </c>
      <c r="B836" s="28" t="s">
        <v>3070</v>
      </c>
      <c r="C836" s="43" t="s">
        <v>3071</v>
      </c>
      <c r="D836" s="30" t="s">
        <v>3072</v>
      </c>
      <c r="E836" s="28"/>
      <c r="F836" s="28" t="s">
        <v>29</v>
      </c>
      <c r="G836" s="28" t="s">
        <v>30</v>
      </c>
      <c r="H836" s="28"/>
      <c r="I836" s="28" t="s">
        <v>30</v>
      </c>
      <c r="J836" s="28">
        <v>103.0</v>
      </c>
      <c r="K836" s="28"/>
      <c r="L836" s="28" t="s">
        <v>3073</v>
      </c>
      <c r="M836" s="28" t="s">
        <v>161</v>
      </c>
      <c r="N836" s="28">
        <v>2008.0</v>
      </c>
      <c r="O836" s="60" t="s">
        <v>2820</v>
      </c>
      <c r="P836" s="28">
        <v>1.0</v>
      </c>
      <c r="Q836" s="32">
        <v>1.0</v>
      </c>
      <c r="R836" s="33"/>
      <c r="S836" s="34"/>
      <c r="T836" s="34"/>
      <c r="U836" s="34"/>
      <c r="V836" s="34"/>
      <c r="W836" s="34"/>
      <c r="X836" s="34"/>
      <c r="Y836" s="45"/>
      <c r="Z836" s="45"/>
      <c r="AA836" s="45"/>
      <c r="AB836" s="45"/>
      <c r="AC836" s="45"/>
      <c r="AD836" s="45"/>
      <c r="AE836" s="45"/>
      <c r="AF836" s="45"/>
      <c r="AG836" s="45"/>
      <c r="AH836" s="45"/>
      <c r="AI836" s="45"/>
      <c r="AJ836" s="45"/>
      <c r="AK836" s="45"/>
      <c r="AL836" s="45"/>
    </row>
    <row r="837" ht="15.75" customHeight="1">
      <c r="A837" s="27">
        <f t="shared" si="17"/>
        <v>188</v>
      </c>
      <c r="B837" s="28" t="s">
        <v>3074</v>
      </c>
      <c r="C837" s="68" t="s">
        <v>3075</v>
      </c>
      <c r="D837" s="30" t="s">
        <v>2183</v>
      </c>
      <c r="E837" s="28" t="s">
        <v>28</v>
      </c>
      <c r="F837" s="28" t="s">
        <v>29</v>
      </c>
      <c r="G837" s="28" t="s">
        <v>98</v>
      </c>
      <c r="H837" s="28"/>
      <c r="I837" s="28" t="s">
        <v>2184</v>
      </c>
      <c r="J837" s="28">
        <v>1574.0</v>
      </c>
      <c r="K837" s="28"/>
      <c r="L837" s="31" t="s">
        <v>3076</v>
      </c>
      <c r="M837" s="28" t="s">
        <v>100</v>
      </c>
      <c r="N837" s="28">
        <v>1997.0</v>
      </c>
      <c r="O837" s="62">
        <v>8.0</v>
      </c>
      <c r="P837" s="31">
        <v>2.0</v>
      </c>
      <c r="Q837" s="37">
        <v>2.0</v>
      </c>
      <c r="R837" s="33"/>
      <c r="S837" s="40"/>
      <c r="T837" s="40"/>
      <c r="U837" s="40"/>
      <c r="V837" s="40"/>
      <c r="W837" s="40"/>
      <c r="X837" s="40"/>
      <c r="Y837" s="45"/>
      <c r="Z837" s="45"/>
      <c r="AA837" s="45"/>
      <c r="AB837" s="45"/>
      <c r="AC837" s="45"/>
      <c r="AD837" s="45"/>
      <c r="AE837" s="45"/>
      <c r="AF837" s="45"/>
      <c r="AG837" s="45"/>
      <c r="AH837" s="45"/>
      <c r="AI837" s="45"/>
      <c r="AJ837" s="45"/>
      <c r="AK837" s="45"/>
      <c r="AL837" s="45"/>
    </row>
    <row r="838" ht="15.75" customHeight="1">
      <c r="A838" s="27"/>
      <c r="B838" s="31" t="s">
        <v>3077</v>
      </c>
      <c r="C838" s="68" t="s">
        <v>3075</v>
      </c>
      <c r="D838" s="30" t="s">
        <v>2183</v>
      </c>
      <c r="E838" s="28" t="s">
        <v>28</v>
      </c>
      <c r="F838" s="28" t="s">
        <v>29</v>
      </c>
      <c r="G838" s="28" t="s">
        <v>98</v>
      </c>
      <c r="H838" s="28"/>
      <c r="I838" s="28" t="s">
        <v>2184</v>
      </c>
      <c r="J838" s="28">
        <v>1574.0</v>
      </c>
      <c r="K838" s="28"/>
      <c r="L838" s="31" t="s">
        <v>3076</v>
      </c>
      <c r="M838" s="28" t="s">
        <v>100</v>
      </c>
      <c r="N838" s="28">
        <v>1997.0</v>
      </c>
      <c r="O838" s="62">
        <v>8.0</v>
      </c>
      <c r="P838" s="31">
        <v>1.0</v>
      </c>
      <c r="Q838" s="37">
        <v>1.0</v>
      </c>
      <c r="R838" s="33"/>
      <c r="S838" s="34"/>
      <c r="T838" s="34"/>
      <c r="U838" s="34"/>
      <c r="V838" s="34"/>
      <c r="W838" s="34"/>
      <c r="X838" s="34"/>
      <c r="Y838" s="45"/>
      <c r="Z838" s="45"/>
      <c r="AA838" s="45"/>
      <c r="AB838" s="45"/>
      <c r="AC838" s="45"/>
      <c r="AD838" s="45"/>
      <c r="AE838" s="45"/>
      <c r="AF838" s="45"/>
      <c r="AG838" s="45"/>
      <c r="AH838" s="45"/>
      <c r="AI838" s="45"/>
      <c r="AJ838" s="45"/>
      <c r="AK838" s="45"/>
      <c r="AL838" s="45"/>
    </row>
    <row r="839" ht="15.75" customHeight="1">
      <c r="A839" s="27">
        <f>A837+1</f>
        <v>189</v>
      </c>
      <c r="B839" s="28" t="s">
        <v>3078</v>
      </c>
      <c r="C839" s="29" t="s">
        <v>3079</v>
      </c>
      <c r="D839" s="30" t="s">
        <v>3080</v>
      </c>
      <c r="E839" s="28"/>
      <c r="F839" s="28" t="s">
        <v>29</v>
      </c>
      <c r="G839" s="28" t="s">
        <v>30</v>
      </c>
      <c r="H839" s="28"/>
      <c r="I839" s="28" t="s">
        <v>30</v>
      </c>
      <c r="J839" s="28">
        <v>212.0</v>
      </c>
      <c r="K839" s="28"/>
      <c r="L839" s="28" t="s">
        <v>3081</v>
      </c>
      <c r="M839" s="28" t="s">
        <v>161</v>
      </c>
      <c r="N839" s="28">
        <v>2007.0</v>
      </c>
      <c r="O839" s="60" t="s">
        <v>2820</v>
      </c>
      <c r="P839" s="28">
        <v>1.0</v>
      </c>
      <c r="Q839" s="94">
        <v>1.0</v>
      </c>
      <c r="R839" s="33"/>
      <c r="S839" s="40"/>
      <c r="T839" s="40"/>
      <c r="U839" s="40"/>
      <c r="V839" s="40"/>
      <c r="W839" s="40"/>
      <c r="X839" s="40"/>
      <c r="Y839" s="3"/>
      <c r="Z839" s="3"/>
      <c r="AA839" s="3"/>
      <c r="AB839" s="3"/>
      <c r="AC839" s="3"/>
      <c r="AD839" s="3"/>
      <c r="AE839" s="3"/>
      <c r="AF839" s="3"/>
      <c r="AG839" s="3"/>
      <c r="AH839" s="3"/>
      <c r="AI839" s="3"/>
      <c r="AJ839" s="3"/>
      <c r="AK839" s="3"/>
      <c r="AL839" s="3"/>
    </row>
    <row r="840" ht="15.75" customHeight="1">
      <c r="A840" s="27">
        <f t="shared" ref="A840:A861" si="18">A839+1</f>
        <v>190</v>
      </c>
      <c r="B840" s="28" t="s">
        <v>31</v>
      </c>
      <c r="C840" s="43" t="s">
        <v>3082</v>
      </c>
      <c r="D840" s="30" t="s">
        <v>3083</v>
      </c>
      <c r="E840" s="28" t="s">
        <v>144</v>
      </c>
      <c r="F840" s="28" t="s">
        <v>29</v>
      </c>
      <c r="G840" s="28" t="s">
        <v>38</v>
      </c>
      <c r="H840" s="28"/>
      <c r="I840" s="28" t="s">
        <v>38</v>
      </c>
      <c r="J840" s="28">
        <v>160.0</v>
      </c>
      <c r="K840" s="28"/>
      <c r="L840" s="28" t="s">
        <v>3084</v>
      </c>
      <c r="M840" s="28" t="s">
        <v>3085</v>
      </c>
      <c r="N840" s="28">
        <v>1971.0</v>
      </c>
      <c r="O840" s="60" t="s">
        <v>2820</v>
      </c>
      <c r="P840" s="28">
        <v>1.0</v>
      </c>
      <c r="Q840" s="32">
        <v>1.0</v>
      </c>
      <c r="R840" s="33"/>
      <c r="S840" s="40"/>
      <c r="T840" s="40"/>
      <c r="U840" s="40"/>
      <c r="V840" s="40"/>
      <c r="W840" s="40"/>
      <c r="X840" s="40"/>
      <c r="Y840" s="3"/>
      <c r="Z840" s="3"/>
      <c r="AA840" s="3"/>
      <c r="AB840" s="3"/>
      <c r="AC840" s="3"/>
      <c r="AD840" s="3"/>
      <c r="AE840" s="3"/>
      <c r="AF840" s="3"/>
      <c r="AG840" s="3"/>
      <c r="AH840" s="3"/>
      <c r="AI840" s="3"/>
      <c r="AJ840" s="3"/>
      <c r="AK840" s="3"/>
      <c r="AL840" s="3"/>
    </row>
    <row r="841" ht="15.75" customHeight="1">
      <c r="A841" s="27">
        <f t="shared" si="18"/>
        <v>191</v>
      </c>
      <c r="B841" s="28" t="s">
        <v>3086</v>
      </c>
      <c r="C841" s="43" t="s">
        <v>3087</v>
      </c>
      <c r="D841" s="30" t="s">
        <v>3088</v>
      </c>
      <c r="E841" s="28"/>
      <c r="F841" s="28" t="s">
        <v>29</v>
      </c>
      <c r="G841" s="28" t="s">
        <v>37</v>
      </c>
      <c r="H841" s="28"/>
      <c r="I841" s="28" t="s">
        <v>38</v>
      </c>
      <c r="J841" s="28">
        <v>191.0</v>
      </c>
      <c r="K841" s="28"/>
      <c r="L841" s="28" t="s">
        <v>3089</v>
      </c>
      <c r="M841" s="28" t="s">
        <v>236</v>
      </c>
      <c r="N841" s="28">
        <v>1977.0</v>
      </c>
      <c r="O841" s="60" t="s">
        <v>2820</v>
      </c>
      <c r="P841" s="28">
        <v>1.0</v>
      </c>
      <c r="Q841" s="94">
        <v>1.0</v>
      </c>
      <c r="R841" s="33"/>
      <c r="S841" s="34"/>
      <c r="T841" s="34"/>
      <c r="U841" s="34"/>
      <c r="V841" s="34"/>
      <c r="W841" s="34"/>
      <c r="X841" s="34"/>
      <c r="Y841" s="45"/>
      <c r="Z841" s="45"/>
      <c r="AA841" s="45"/>
      <c r="AB841" s="45"/>
      <c r="AC841" s="45"/>
      <c r="AD841" s="45"/>
      <c r="AE841" s="45"/>
      <c r="AF841" s="45"/>
      <c r="AG841" s="45"/>
      <c r="AH841" s="45"/>
      <c r="AI841" s="45"/>
      <c r="AJ841" s="45"/>
      <c r="AK841" s="45"/>
      <c r="AL841" s="45"/>
    </row>
    <row r="842" ht="15.75" customHeight="1">
      <c r="A842" s="27">
        <f t="shared" si="18"/>
        <v>192</v>
      </c>
      <c r="B842" s="28" t="s">
        <v>3090</v>
      </c>
      <c r="C842" s="43" t="s">
        <v>3091</v>
      </c>
      <c r="D842" s="30" t="s">
        <v>3092</v>
      </c>
      <c r="E842" s="28" t="s">
        <v>144</v>
      </c>
      <c r="F842" s="28" t="s">
        <v>29</v>
      </c>
      <c r="G842" s="28" t="s">
        <v>30</v>
      </c>
      <c r="H842" s="28"/>
      <c r="I842" s="28" t="s">
        <v>30</v>
      </c>
      <c r="J842" s="28">
        <v>192.0</v>
      </c>
      <c r="K842" s="28"/>
      <c r="L842" s="28" t="s">
        <v>3081</v>
      </c>
      <c r="M842" s="28" t="s">
        <v>161</v>
      </c>
      <c r="N842" s="28">
        <v>2006.0</v>
      </c>
      <c r="O842" s="60" t="s">
        <v>2820</v>
      </c>
      <c r="P842" s="28">
        <v>1.0</v>
      </c>
      <c r="Q842" s="32">
        <v>1.0</v>
      </c>
      <c r="R842" s="33"/>
      <c r="S842" s="34"/>
      <c r="T842" s="34"/>
      <c r="U842" s="34"/>
      <c r="V842" s="34"/>
      <c r="W842" s="34"/>
      <c r="X842" s="34"/>
      <c r="Y842" s="45"/>
      <c r="Z842" s="45"/>
      <c r="AA842" s="45"/>
      <c r="AB842" s="45"/>
      <c r="AC842" s="45"/>
      <c r="AD842" s="45"/>
      <c r="AE842" s="45"/>
      <c r="AF842" s="45"/>
      <c r="AG842" s="45"/>
      <c r="AH842" s="45"/>
      <c r="AI842" s="45"/>
      <c r="AJ842" s="45"/>
      <c r="AK842" s="45"/>
      <c r="AL842" s="45"/>
    </row>
    <row r="843" ht="15.75" customHeight="1">
      <c r="A843" s="27">
        <f t="shared" si="18"/>
        <v>193</v>
      </c>
      <c r="B843" s="28" t="s">
        <v>3093</v>
      </c>
      <c r="C843" s="29" t="s">
        <v>3094</v>
      </c>
      <c r="D843" s="30" t="s">
        <v>3095</v>
      </c>
      <c r="E843" s="28" t="s">
        <v>144</v>
      </c>
      <c r="F843" s="28" t="s">
        <v>29</v>
      </c>
      <c r="G843" s="28" t="s">
        <v>30</v>
      </c>
      <c r="H843" s="28" t="s">
        <v>31</v>
      </c>
      <c r="I843" s="28" t="s">
        <v>30</v>
      </c>
      <c r="J843" s="28">
        <v>486.0</v>
      </c>
      <c r="K843" s="28"/>
      <c r="L843" s="28" t="s">
        <v>3096</v>
      </c>
      <c r="M843" s="28" t="s">
        <v>151</v>
      </c>
      <c r="N843" s="28">
        <v>2011.0</v>
      </c>
      <c r="O843" s="60" t="s">
        <v>2820</v>
      </c>
      <c r="P843" s="31">
        <v>2.0</v>
      </c>
      <c r="Q843" s="114">
        <v>2.0</v>
      </c>
      <c r="R843" s="33"/>
      <c r="S843" s="34"/>
      <c r="T843" s="34"/>
      <c r="U843" s="34"/>
      <c r="V843" s="34"/>
      <c r="W843" s="34"/>
      <c r="X843" s="34"/>
      <c r="Y843" s="45"/>
      <c r="Z843" s="45"/>
      <c r="AA843" s="45"/>
      <c r="AB843" s="45"/>
      <c r="AC843" s="45"/>
      <c r="AD843" s="45"/>
      <c r="AE843" s="45"/>
      <c r="AF843" s="45"/>
      <c r="AG843" s="45"/>
      <c r="AH843" s="45"/>
      <c r="AI843" s="45"/>
      <c r="AJ843" s="45"/>
      <c r="AK843" s="45"/>
      <c r="AL843" s="45"/>
    </row>
    <row r="844" ht="15.75" customHeight="1">
      <c r="A844" s="27">
        <f t="shared" si="18"/>
        <v>194</v>
      </c>
      <c r="B844" s="28" t="s">
        <v>3097</v>
      </c>
      <c r="C844" s="29" t="s">
        <v>3098</v>
      </c>
      <c r="D844" s="30" t="s">
        <v>3099</v>
      </c>
      <c r="E844" s="28" t="s">
        <v>144</v>
      </c>
      <c r="F844" s="28" t="s">
        <v>29</v>
      </c>
      <c r="G844" s="28" t="s">
        <v>30</v>
      </c>
      <c r="H844" s="28" t="s">
        <v>31</v>
      </c>
      <c r="I844" s="28" t="s">
        <v>30</v>
      </c>
      <c r="J844" s="28">
        <v>581.0</v>
      </c>
      <c r="K844" s="28"/>
      <c r="L844" s="32" t="s">
        <v>3100</v>
      </c>
      <c r="M844" s="28" t="s">
        <v>151</v>
      </c>
      <c r="N844" s="28">
        <v>2010.0</v>
      </c>
      <c r="O844" s="60" t="s">
        <v>2820</v>
      </c>
      <c r="P844" s="28">
        <v>1.0</v>
      </c>
      <c r="Q844" s="94">
        <v>1.0</v>
      </c>
      <c r="R844" s="33"/>
      <c r="S844" s="34"/>
      <c r="T844" s="34"/>
      <c r="U844" s="34"/>
      <c r="V844" s="34"/>
      <c r="W844" s="34"/>
      <c r="X844" s="34"/>
      <c r="Y844" s="45"/>
      <c r="Z844" s="45"/>
      <c r="AA844" s="45"/>
      <c r="AB844" s="45"/>
      <c r="AC844" s="45"/>
      <c r="AD844" s="45"/>
      <c r="AE844" s="45"/>
      <c r="AF844" s="45"/>
      <c r="AG844" s="45"/>
      <c r="AH844" s="45"/>
      <c r="AI844" s="45"/>
      <c r="AJ844" s="45"/>
      <c r="AK844" s="45"/>
      <c r="AL844" s="45"/>
    </row>
    <row r="845" ht="15.75" customHeight="1">
      <c r="A845" s="27">
        <f t="shared" si="18"/>
        <v>195</v>
      </c>
      <c r="B845" s="28" t="s">
        <v>3101</v>
      </c>
      <c r="C845" s="43" t="s">
        <v>3102</v>
      </c>
      <c r="D845" s="30" t="s">
        <v>3103</v>
      </c>
      <c r="E845" s="28" t="s">
        <v>302</v>
      </c>
      <c r="F845" s="28" t="s">
        <v>29</v>
      </c>
      <c r="G845" s="28" t="s">
        <v>30</v>
      </c>
      <c r="H845" s="28"/>
      <c r="I845" s="28" t="s">
        <v>30</v>
      </c>
      <c r="J845" s="28">
        <v>527.0</v>
      </c>
      <c r="K845" s="28"/>
      <c r="L845" s="28" t="s">
        <v>3104</v>
      </c>
      <c r="M845" s="28" t="s">
        <v>151</v>
      </c>
      <c r="N845" s="28">
        <v>1998.0</v>
      </c>
      <c r="O845" s="60" t="s">
        <v>2820</v>
      </c>
      <c r="P845" s="28">
        <v>1.0</v>
      </c>
      <c r="Q845" s="94">
        <v>1.0</v>
      </c>
      <c r="R845" s="33"/>
      <c r="S845" s="34"/>
      <c r="T845" s="34"/>
      <c r="U845" s="34"/>
      <c r="V845" s="34"/>
      <c r="W845" s="34"/>
      <c r="X845" s="34"/>
      <c r="Y845" s="45"/>
      <c r="Z845" s="45"/>
      <c r="AA845" s="45"/>
      <c r="AB845" s="45"/>
      <c r="AC845" s="45"/>
      <c r="AD845" s="45"/>
      <c r="AE845" s="45"/>
      <c r="AF845" s="45"/>
      <c r="AG845" s="45"/>
      <c r="AH845" s="45"/>
      <c r="AI845" s="45"/>
      <c r="AJ845" s="45"/>
      <c r="AK845" s="45"/>
      <c r="AL845" s="45"/>
    </row>
    <row r="846" ht="15.75" customHeight="1">
      <c r="A846" s="27">
        <f t="shared" si="18"/>
        <v>196</v>
      </c>
      <c r="B846" s="28" t="s">
        <v>3105</v>
      </c>
      <c r="C846" s="43" t="s">
        <v>3106</v>
      </c>
      <c r="D846" s="30" t="s">
        <v>3107</v>
      </c>
      <c r="E846" s="28" t="s">
        <v>144</v>
      </c>
      <c r="F846" s="28" t="s">
        <v>29</v>
      </c>
      <c r="G846" s="28" t="s">
        <v>30</v>
      </c>
      <c r="H846" s="28"/>
      <c r="I846" s="28" t="s">
        <v>30</v>
      </c>
      <c r="J846" s="28">
        <f t="shared" ref="J846:J847" si="19">351</f>
        <v>351</v>
      </c>
      <c r="K846" s="28"/>
      <c r="L846" s="28" t="s">
        <v>3108</v>
      </c>
      <c r="M846" s="28" t="s">
        <v>3109</v>
      </c>
      <c r="N846" s="28">
        <v>2003.0</v>
      </c>
      <c r="O846" s="28" t="s">
        <v>2820</v>
      </c>
      <c r="P846" s="28">
        <v>4.0</v>
      </c>
      <c r="Q846" s="32"/>
      <c r="R846" s="33"/>
      <c r="S846" s="34"/>
      <c r="T846" s="34"/>
      <c r="U846" s="34"/>
      <c r="V846" s="34"/>
      <c r="W846" s="34"/>
      <c r="X846" s="34"/>
      <c r="Y846" s="45"/>
      <c r="Z846" s="45"/>
      <c r="AA846" s="45"/>
      <c r="AB846" s="45"/>
      <c r="AC846" s="45"/>
      <c r="AD846" s="45"/>
      <c r="AE846" s="45"/>
      <c r="AF846" s="45"/>
      <c r="AG846" s="45"/>
      <c r="AH846" s="45"/>
      <c r="AI846" s="45"/>
      <c r="AJ846" s="45"/>
      <c r="AK846" s="45"/>
      <c r="AL846" s="45"/>
    </row>
    <row r="847" ht="15.75" customHeight="1">
      <c r="A847" s="27">
        <f t="shared" si="18"/>
        <v>197</v>
      </c>
      <c r="B847" s="28" t="s">
        <v>3110</v>
      </c>
      <c r="C847" s="29" t="s">
        <v>3106</v>
      </c>
      <c r="D847" s="30" t="s">
        <v>3107</v>
      </c>
      <c r="E847" s="28" t="s">
        <v>144</v>
      </c>
      <c r="F847" s="28" t="s">
        <v>29</v>
      </c>
      <c r="G847" s="28" t="s">
        <v>30</v>
      </c>
      <c r="H847" s="28"/>
      <c r="I847" s="28" t="s">
        <v>30</v>
      </c>
      <c r="J847" s="28">
        <f t="shared" si="19"/>
        <v>351</v>
      </c>
      <c r="K847" s="28"/>
      <c r="L847" s="28" t="s">
        <v>3108</v>
      </c>
      <c r="M847" s="28" t="s">
        <v>3109</v>
      </c>
      <c r="N847" s="28">
        <v>2018.0</v>
      </c>
      <c r="O847" s="28" t="s">
        <v>2820</v>
      </c>
      <c r="P847" s="28">
        <v>1.0</v>
      </c>
      <c r="Q847" s="94">
        <v>1.0</v>
      </c>
      <c r="R847" s="33"/>
      <c r="S847" s="40"/>
      <c r="T847" s="40"/>
      <c r="U847" s="40"/>
      <c r="V847" s="40"/>
      <c r="W847" s="40"/>
      <c r="X847" s="40"/>
      <c r="Y847" s="45"/>
      <c r="Z847" s="45"/>
      <c r="AA847" s="45"/>
      <c r="AB847" s="45"/>
      <c r="AC847" s="45"/>
      <c r="AD847" s="45"/>
      <c r="AE847" s="45"/>
      <c r="AF847" s="45"/>
      <c r="AG847" s="45"/>
      <c r="AH847" s="45"/>
      <c r="AI847" s="45"/>
      <c r="AJ847" s="45"/>
      <c r="AK847" s="45"/>
      <c r="AL847" s="45"/>
    </row>
    <row r="848" ht="15.75" customHeight="1">
      <c r="A848" s="27">
        <f t="shared" si="18"/>
        <v>198</v>
      </c>
      <c r="B848" s="28" t="s">
        <v>3111</v>
      </c>
      <c r="C848" s="43" t="s">
        <v>3112</v>
      </c>
      <c r="D848" s="30" t="s">
        <v>3113</v>
      </c>
      <c r="E848" s="28" t="s">
        <v>28</v>
      </c>
      <c r="F848" s="28" t="s">
        <v>29</v>
      </c>
      <c r="G848" s="28" t="s">
        <v>30</v>
      </c>
      <c r="H848" s="28"/>
      <c r="I848" s="28" t="s">
        <v>30</v>
      </c>
      <c r="J848" s="28">
        <v>106.0</v>
      </c>
      <c r="K848" s="28"/>
      <c r="L848" s="28" t="s">
        <v>3114</v>
      </c>
      <c r="M848" s="28" t="s">
        <v>151</v>
      </c>
      <c r="N848" s="28">
        <v>2002.0</v>
      </c>
      <c r="O848" s="62" t="s">
        <v>1381</v>
      </c>
      <c r="P848" s="28">
        <v>2.0</v>
      </c>
      <c r="Q848" s="32">
        <v>2.0</v>
      </c>
      <c r="R848" s="33"/>
      <c r="S848" s="34"/>
      <c r="T848" s="34"/>
      <c r="U848" s="34"/>
      <c r="V848" s="34"/>
      <c r="W848" s="34"/>
      <c r="X848" s="34"/>
      <c r="Y848" s="45"/>
      <c r="Z848" s="45"/>
      <c r="AA848" s="45"/>
      <c r="AB848" s="45"/>
      <c r="AC848" s="45"/>
      <c r="AD848" s="45"/>
      <c r="AE848" s="45"/>
      <c r="AF848" s="45"/>
      <c r="AG848" s="45"/>
      <c r="AH848" s="45"/>
      <c r="AI848" s="45"/>
      <c r="AJ848" s="45"/>
      <c r="AK848" s="45"/>
      <c r="AL848" s="45"/>
    </row>
    <row r="849" ht="15.75" customHeight="1">
      <c r="A849" s="27">
        <f t="shared" si="18"/>
        <v>199</v>
      </c>
      <c r="B849" s="28" t="s">
        <v>3115</v>
      </c>
      <c r="C849" s="43" t="s">
        <v>3116</v>
      </c>
      <c r="D849" s="30" t="s">
        <v>3117</v>
      </c>
      <c r="E849" s="28" t="s">
        <v>3118</v>
      </c>
      <c r="F849" s="28" t="s">
        <v>29</v>
      </c>
      <c r="G849" s="28" t="s">
        <v>30</v>
      </c>
      <c r="H849" s="28"/>
      <c r="I849" s="28" t="s">
        <v>30</v>
      </c>
      <c r="J849" s="28">
        <f>167+12</f>
        <v>179</v>
      </c>
      <c r="K849" s="28"/>
      <c r="L849" s="28" t="s">
        <v>3119</v>
      </c>
      <c r="M849" s="28" t="s">
        <v>151</v>
      </c>
      <c r="N849" s="28">
        <v>2016.0</v>
      </c>
      <c r="O849" s="62" t="s">
        <v>1381</v>
      </c>
      <c r="P849" s="28">
        <v>1.0</v>
      </c>
      <c r="Q849" s="94">
        <v>1.0</v>
      </c>
      <c r="R849" s="33"/>
      <c r="S849" s="34"/>
      <c r="T849" s="34"/>
      <c r="U849" s="34"/>
      <c r="V849" s="34"/>
      <c r="W849" s="34"/>
      <c r="X849" s="34"/>
      <c r="Y849" s="45"/>
      <c r="Z849" s="45"/>
      <c r="AA849" s="45"/>
      <c r="AB849" s="45"/>
      <c r="AC849" s="45"/>
      <c r="AD849" s="45"/>
      <c r="AE849" s="45"/>
      <c r="AF849" s="45"/>
      <c r="AG849" s="45"/>
      <c r="AH849" s="45"/>
      <c r="AI849" s="45"/>
      <c r="AJ849" s="45"/>
      <c r="AK849" s="45"/>
      <c r="AL849" s="45"/>
    </row>
    <row r="850" ht="15.75" customHeight="1">
      <c r="A850" s="27">
        <f t="shared" si="18"/>
        <v>200</v>
      </c>
      <c r="B850" s="121" t="s">
        <v>3120</v>
      </c>
      <c r="C850" s="121" t="s">
        <v>3121</v>
      </c>
      <c r="D850" s="119" t="s">
        <v>3122</v>
      </c>
      <c r="E850" s="121" t="s">
        <v>144</v>
      </c>
      <c r="F850" s="121" t="s">
        <v>29</v>
      </c>
      <c r="G850" s="121" t="s">
        <v>3123</v>
      </c>
      <c r="H850" s="83"/>
      <c r="I850" s="121" t="s">
        <v>38</v>
      </c>
      <c r="J850" s="121">
        <v>169.0</v>
      </c>
      <c r="K850" s="83"/>
      <c r="L850" s="121" t="s">
        <v>3124</v>
      </c>
      <c r="M850" s="121" t="s">
        <v>816</v>
      </c>
      <c r="N850" s="121">
        <v>1981.0</v>
      </c>
      <c r="O850" s="121" t="s">
        <v>2820</v>
      </c>
      <c r="P850" s="121">
        <v>1.0</v>
      </c>
      <c r="Q850" s="121">
        <v>1.0</v>
      </c>
      <c r="R850" s="84"/>
      <c r="S850" s="34"/>
      <c r="T850" s="34"/>
      <c r="U850" s="34"/>
      <c r="V850" s="34"/>
      <c r="W850" s="34"/>
      <c r="X850" s="34"/>
      <c r="Y850" s="45"/>
      <c r="Z850" s="45"/>
      <c r="AA850" s="45"/>
      <c r="AB850" s="45"/>
      <c r="AC850" s="45"/>
      <c r="AD850" s="45"/>
      <c r="AE850" s="45"/>
      <c r="AF850" s="45"/>
      <c r="AG850" s="45"/>
      <c r="AH850" s="45"/>
      <c r="AI850" s="45"/>
      <c r="AJ850" s="45"/>
      <c r="AK850" s="45"/>
      <c r="AL850" s="45"/>
    </row>
    <row r="851" ht="15.75" customHeight="1">
      <c r="A851" s="27">
        <f t="shared" si="18"/>
        <v>201</v>
      </c>
      <c r="B851" s="28" t="s">
        <v>3125</v>
      </c>
      <c r="C851" s="29" t="s">
        <v>3126</v>
      </c>
      <c r="D851" s="30" t="s">
        <v>3127</v>
      </c>
      <c r="E851" s="28" t="s">
        <v>28</v>
      </c>
      <c r="F851" s="28" t="s">
        <v>29</v>
      </c>
      <c r="G851" s="28" t="s">
        <v>30</v>
      </c>
      <c r="H851" s="28" t="s">
        <v>31</v>
      </c>
      <c r="I851" s="28" t="s">
        <v>30</v>
      </c>
      <c r="J851" s="28">
        <v>77.0</v>
      </c>
      <c r="K851" s="28"/>
      <c r="L851" s="28" t="s">
        <v>3128</v>
      </c>
      <c r="M851" s="28" t="s">
        <v>151</v>
      </c>
      <c r="N851" s="28">
        <v>2013.0</v>
      </c>
      <c r="O851" s="62" t="s">
        <v>1381</v>
      </c>
      <c r="P851" s="28">
        <v>2.0</v>
      </c>
      <c r="Q851" s="32">
        <v>2.0</v>
      </c>
      <c r="R851" s="33"/>
      <c r="S851" s="34"/>
      <c r="T851" s="34"/>
      <c r="U851" s="34"/>
      <c r="V851" s="34"/>
      <c r="W851" s="34"/>
      <c r="X851" s="34"/>
      <c r="Y851" s="45"/>
      <c r="Z851" s="45"/>
      <c r="AA851" s="45"/>
      <c r="AB851" s="45"/>
      <c r="AC851" s="45"/>
      <c r="AD851" s="45"/>
      <c r="AE851" s="45"/>
      <c r="AF851" s="45"/>
      <c r="AG851" s="45"/>
      <c r="AH851" s="45"/>
      <c r="AI851" s="45"/>
      <c r="AJ851" s="45"/>
      <c r="AK851" s="45"/>
      <c r="AL851" s="45"/>
    </row>
    <row r="852" ht="15.75" customHeight="1">
      <c r="A852" s="27">
        <f t="shared" si="18"/>
        <v>202</v>
      </c>
      <c r="B852" s="28" t="s">
        <v>31</v>
      </c>
      <c r="C852" s="48" t="s">
        <v>3129</v>
      </c>
      <c r="D852" s="120" t="s">
        <v>3130</v>
      </c>
      <c r="E852" s="28" t="s">
        <v>28</v>
      </c>
      <c r="F852" s="28" t="s">
        <v>29</v>
      </c>
      <c r="G852" s="28" t="s">
        <v>38</v>
      </c>
      <c r="H852" s="28" t="s">
        <v>31</v>
      </c>
      <c r="I852" s="28" t="s">
        <v>38</v>
      </c>
      <c r="J852" s="28">
        <v>31.0</v>
      </c>
      <c r="K852" s="28"/>
      <c r="L852" s="28" t="s">
        <v>1496</v>
      </c>
      <c r="M852" s="28" t="s">
        <v>1497</v>
      </c>
      <c r="N852" s="28">
        <v>1962.0</v>
      </c>
      <c r="O852" s="60" t="s">
        <v>2820</v>
      </c>
      <c r="P852" s="28">
        <v>1.0</v>
      </c>
      <c r="Q852" s="32">
        <v>1.0</v>
      </c>
      <c r="R852" s="33"/>
      <c r="S852" s="34"/>
      <c r="T852" s="34"/>
      <c r="U852" s="34"/>
      <c r="V852" s="34"/>
      <c r="W852" s="34"/>
      <c r="X852" s="34"/>
      <c r="Y852" s="45"/>
      <c r="Z852" s="45"/>
      <c r="AA852" s="45"/>
      <c r="AB852" s="45"/>
      <c r="AC852" s="45"/>
      <c r="AD852" s="45"/>
      <c r="AE852" s="45"/>
      <c r="AF852" s="45"/>
      <c r="AG852" s="45"/>
      <c r="AH852" s="45"/>
      <c r="AI852" s="45"/>
      <c r="AJ852" s="45"/>
      <c r="AK852" s="45"/>
      <c r="AL852" s="45"/>
    </row>
    <row r="853" ht="15.75" customHeight="1">
      <c r="A853" s="27">
        <f t="shared" si="18"/>
        <v>203</v>
      </c>
      <c r="B853" s="28" t="s">
        <v>3131</v>
      </c>
      <c r="C853" s="43" t="s">
        <v>3132</v>
      </c>
      <c r="D853" s="30" t="s">
        <v>3133</v>
      </c>
      <c r="E853" s="28" t="s">
        <v>3118</v>
      </c>
      <c r="F853" s="28" t="s">
        <v>29</v>
      </c>
      <c r="G853" s="28" t="s">
        <v>30</v>
      </c>
      <c r="H853" s="28"/>
      <c r="I853" s="28" t="s">
        <v>30</v>
      </c>
      <c r="J853" s="28">
        <f>78+8</f>
        <v>86</v>
      </c>
      <c r="K853" s="28"/>
      <c r="L853" s="28" t="s">
        <v>3134</v>
      </c>
      <c r="M853" s="28" t="s">
        <v>161</v>
      </c>
      <c r="N853" s="28">
        <v>2012.0</v>
      </c>
      <c r="O853" s="60" t="s">
        <v>2820</v>
      </c>
      <c r="P853" s="28">
        <v>1.0</v>
      </c>
      <c r="Q853" s="94">
        <v>1.0</v>
      </c>
      <c r="R853" s="33"/>
      <c r="S853" s="34"/>
      <c r="T853" s="34"/>
      <c r="U853" s="34"/>
      <c r="V853" s="34"/>
      <c r="W853" s="34"/>
      <c r="X853" s="34"/>
      <c r="Y853" s="45"/>
      <c r="Z853" s="45"/>
      <c r="AA853" s="45"/>
      <c r="AB853" s="45"/>
      <c r="AC853" s="45"/>
      <c r="AD853" s="45"/>
      <c r="AE853" s="45"/>
      <c r="AF853" s="45"/>
      <c r="AG853" s="45"/>
      <c r="AH853" s="45"/>
      <c r="AI853" s="45"/>
      <c r="AJ853" s="45"/>
      <c r="AK853" s="45"/>
      <c r="AL853" s="45"/>
    </row>
    <row r="854" ht="15.75" customHeight="1">
      <c r="A854" s="27">
        <f t="shared" si="18"/>
        <v>204</v>
      </c>
      <c r="B854" s="28" t="s">
        <v>3135</v>
      </c>
      <c r="C854" s="29" t="s">
        <v>3136</v>
      </c>
      <c r="D854" s="30" t="s">
        <v>3137</v>
      </c>
      <c r="E854" s="28" t="s">
        <v>28</v>
      </c>
      <c r="F854" s="28" t="s">
        <v>29</v>
      </c>
      <c r="G854" s="28" t="s">
        <v>30</v>
      </c>
      <c r="H854" s="28" t="s">
        <v>31</v>
      </c>
      <c r="I854" s="28" t="s">
        <v>30</v>
      </c>
      <c r="J854" s="28">
        <v>70.0</v>
      </c>
      <c r="K854" s="28"/>
      <c r="L854" s="28" t="s">
        <v>3138</v>
      </c>
      <c r="M854" s="28" t="s">
        <v>151</v>
      </c>
      <c r="N854" s="28">
        <v>2007.0</v>
      </c>
      <c r="O854" s="62" t="s">
        <v>1381</v>
      </c>
      <c r="P854" s="28">
        <v>1.0</v>
      </c>
      <c r="Q854" s="32">
        <v>1.0</v>
      </c>
      <c r="R854" s="33"/>
      <c r="S854" s="40"/>
      <c r="T854" s="40"/>
      <c r="U854" s="40"/>
      <c r="V854" s="40"/>
      <c r="W854" s="40"/>
      <c r="X854" s="40"/>
      <c r="Y854" s="45"/>
      <c r="Z854" s="45"/>
      <c r="AA854" s="45"/>
      <c r="AB854" s="45"/>
      <c r="AC854" s="45"/>
      <c r="AD854" s="45"/>
      <c r="AE854" s="45"/>
      <c r="AF854" s="45"/>
      <c r="AG854" s="45"/>
      <c r="AH854" s="45"/>
      <c r="AI854" s="45"/>
      <c r="AJ854" s="45"/>
      <c r="AK854" s="45"/>
      <c r="AL854" s="45"/>
    </row>
    <row r="855" ht="15.75" customHeight="1">
      <c r="A855" s="27">
        <f t="shared" si="18"/>
        <v>205</v>
      </c>
      <c r="B855" s="28" t="s">
        <v>3139</v>
      </c>
      <c r="C855" s="29" t="s">
        <v>3140</v>
      </c>
      <c r="D855" s="39" t="s">
        <v>3141</v>
      </c>
      <c r="E855" s="28" t="s">
        <v>223</v>
      </c>
      <c r="F855" s="28" t="s">
        <v>29</v>
      </c>
      <c r="G855" s="28" t="s">
        <v>37</v>
      </c>
      <c r="H855" s="28"/>
      <c r="I855" s="28" t="s">
        <v>38</v>
      </c>
      <c r="J855" s="28">
        <v>290.0</v>
      </c>
      <c r="K855" s="28"/>
      <c r="L855" s="28" t="s">
        <v>3142</v>
      </c>
      <c r="M855" s="28" t="s">
        <v>54</v>
      </c>
      <c r="N855" s="28">
        <v>1993.0</v>
      </c>
      <c r="O855" s="62">
        <v>5.0</v>
      </c>
      <c r="P855" s="28">
        <v>1.0</v>
      </c>
      <c r="Q855" s="94">
        <v>1.0</v>
      </c>
      <c r="R855" s="33"/>
      <c r="S855" s="34"/>
      <c r="T855" s="34"/>
      <c r="U855" s="34"/>
      <c r="V855" s="34"/>
      <c r="W855" s="34"/>
      <c r="X855" s="34"/>
      <c r="Y855" s="45"/>
      <c r="Z855" s="45"/>
      <c r="AA855" s="45"/>
      <c r="AB855" s="45"/>
      <c r="AC855" s="45"/>
      <c r="AD855" s="45"/>
      <c r="AE855" s="45"/>
      <c r="AF855" s="45"/>
      <c r="AG855" s="45"/>
      <c r="AH855" s="45"/>
      <c r="AI855" s="45"/>
      <c r="AJ855" s="45"/>
      <c r="AK855" s="45"/>
      <c r="AL855" s="45"/>
    </row>
    <row r="856" ht="15.75" customHeight="1">
      <c r="A856" s="27">
        <f t="shared" si="18"/>
        <v>206</v>
      </c>
      <c r="B856" s="28" t="s">
        <v>3143</v>
      </c>
      <c r="C856" s="43" t="s">
        <v>3144</v>
      </c>
      <c r="D856" s="30" t="s">
        <v>3145</v>
      </c>
      <c r="E856" s="28" t="s">
        <v>28</v>
      </c>
      <c r="F856" s="28" t="s">
        <v>29</v>
      </c>
      <c r="G856" s="28" t="s">
        <v>30</v>
      </c>
      <c r="H856" s="28"/>
      <c r="I856" s="28" t="s">
        <v>30</v>
      </c>
      <c r="J856" s="28">
        <v>76.0</v>
      </c>
      <c r="K856" s="28"/>
      <c r="L856" s="28" t="s">
        <v>3128</v>
      </c>
      <c r="M856" s="28" t="s">
        <v>151</v>
      </c>
      <c r="N856" s="28">
        <v>2012.0</v>
      </c>
      <c r="O856" s="62" t="s">
        <v>1381</v>
      </c>
      <c r="P856" s="28">
        <v>1.0</v>
      </c>
      <c r="Q856" s="32">
        <v>1.0</v>
      </c>
      <c r="R856" s="33"/>
      <c r="S856" s="34"/>
      <c r="T856" s="34"/>
      <c r="U856" s="34"/>
      <c r="V856" s="34"/>
      <c r="W856" s="34"/>
      <c r="X856" s="34"/>
      <c r="Y856" s="45"/>
      <c r="Z856" s="45"/>
      <c r="AA856" s="45"/>
      <c r="AB856" s="45"/>
      <c r="AC856" s="45"/>
      <c r="AD856" s="45"/>
      <c r="AE856" s="45"/>
      <c r="AF856" s="45"/>
      <c r="AG856" s="45"/>
      <c r="AH856" s="45"/>
      <c r="AI856" s="45"/>
      <c r="AJ856" s="45"/>
      <c r="AK856" s="45"/>
      <c r="AL856" s="45"/>
    </row>
    <row r="857" ht="15.75" customHeight="1">
      <c r="A857" s="27">
        <f t="shared" si="18"/>
        <v>207</v>
      </c>
      <c r="B857" s="121" t="s">
        <v>31</v>
      </c>
      <c r="C857" s="124" t="s">
        <v>3146</v>
      </c>
      <c r="D857" s="119" t="s">
        <v>3147</v>
      </c>
      <c r="E857" s="121" t="s">
        <v>3148</v>
      </c>
      <c r="F857" s="121" t="s">
        <v>29</v>
      </c>
      <c r="G857" s="121" t="s">
        <v>37</v>
      </c>
      <c r="H857" s="83"/>
      <c r="I857" s="121" t="s">
        <v>38</v>
      </c>
      <c r="J857" s="121">
        <v>95.0</v>
      </c>
      <c r="K857" s="83"/>
      <c r="L857" s="124" t="s">
        <v>3149</v>
      </c>
      <c r="M857" s="121" t="s">
        <v>54</v>
      </c>
      <c r="N857" s="121">
        <v>1978.0</v>
      </c>
      <c r="O857" s="124">
        <v>5.0</v>
      </c>
      <c r="P857" s="124">
        <v>7.0</v>
      </c>
      <c r="Q857" s="124">
        <v>7.0</v>
      </c>
      <c r="R857" s="84"/>
      <c r="S857" s="34"/>
      <c r="T857" s="34"/>
      <c r="U857" s="34"/>
      <c r="V857" s="34"/>
      <c r="W857" s="34"/>
      <c r="X857" s="34"/>
      <c r="Y857" s="45"/>
      <c r="Z857" s="45"/>
      <c r="AA857" s="45"/>
      <c r="AB857" s="45"/>
      <c r="AC857" s="45"/>
      <c r="AD857" s="45"/>
      <c r="AE857" s="45"/>
      <c r="AF857" s="45"/>
      <c r="AG857" s="45"/>
      <c r="AH857" s="45"/>
      <c r="AI857" s="45"/>
      <c r="AJ857" s="45"/>
      <c r="AK857" s="45"/>
      <c r="AL857" s="45"/>
    </row>
    <row r="858" ht="15.75" customHeight="1">
      <c r="A858" s="27">
        <f t="shared" si="18"/>
        <v>208</v>
      </c>
      <c r="B858" s="28" t="s">
        <v>31</v>
      </c>
      <c r="C858" s="102" t="s">
        <v>3150</v>
      </c>
      <c r="D858" s="30" t="s">
        <v>3151</v>
      </c>
      <c r="E858" s="28"/>
      <c r="F858" s="28" t="s">
        <v>29</v>
      </c>
      <c r="G858" s="28" t="s">
        <v>31</v>
      </c>
      <c r="H858" s="28"/>
      <c r="I858" s="28" t="s">
        <v>31</v>
      </c>
      <c r="J858" s="28">
        <v>106.0</v>
      </c>
      <c r="K858" s="28"/>
      <c r="L858" s="28" t="s">
        <v>3152</v>
      </c>
      <c r="M858" s="28" t="s">
        <v>31</v>
      </c>
      <c r="N858" s="28">
        <v>1972.0</v>
      </c>
      <c r="O858" s="60" t="s">
        <v>2820</v>
      </c>
      <c r="P858" s="28">
        <v>1.0</v>
      </c>
      <c r="Q858" s="94">
        <v>1.0</v>
      </c>
      <c r="R858" s="33"/>
      <c r="S858" s="34"/>
      <c r="T858" s="34"/>
      <c r="U858" s="34"/>
      <c r="V858" s="34"/>
      <c r="W858" s="34"/>
      <c r="X858" s="34"/>
      <c r="Y858" s="45"/>
      <c r="Z858" s="45"/>
      <c r="AA858" s="45"/>
      <c r="AB858" s="45"/>
      <c r="AC858" s="45"/>
      <c r="AD858" s="45"/>
      <c r="AE858" s="45"/>
      <c r="AF858" s="45"/>
      <c r="AG858" s="45"/>
      <c r="AH858" s="45"/>
      <c r="AI858" s="45"/>
      <c r="AJ858" s="45"/>
      <c r="AK858" s="45"/>
      <c r="AL858" s="45"/>
    </row>
    <row r="859" ht="15.75" customHeight="1">
      <c r="A859" s="27">
        <f t="shared" si="18"/>
        <v>209</v>
      </c>
      <c r="B859" s="28" t="s">
        <v>3153</v>
      </c>
      <c r="C859" s="29" t="s">
        <v>3154</v>
      </c>
      <c r="D859" s="126" t="s">
        <v>3155</v>
      </c>
      <c r="E859" s="28" t="s">
        <v>223</v>
      </c>
      <c r="F859" s="28" t="s">
        <v>29</v>
      </c>
      <c r="G859" s="28" t="s">
        <v>37</v>
      </c>
      <c r="H859" s="28"/>
      <c r="I859" s="28" t="s">
        <v>38</v>
      </c>
      <c r="J859" s="28">
        <v>208.0</v>
      </c>
      <c r="K859" s="28"/>
      <c r="L859" s="31" t="s">
        <v>1332</v>
      </c>
      <c r="M859" s="28" t="s">
        <v>54</v>
      </c>
      <c r="N859" s="28">
        <v>1982.0</v>
      </c>
      <c r="O859" s="62">
        <v>5.0</v>
      </c>
      <c r="P859" s="31">
        <v>7.0</v>
      </c>
      <c r="Q859" s="37">
        <v>7.0</v>
      </c>
      <c r="R859" s="84"/>
      <c r="S859" s="34"/>
      <c r="T859" s="34"/>
      <c r="U859" s="34"/>
      <c r="V859" s="34"/>
      <c r="W859" s="34"/>
      <c r="X859" s="34"/>
      <c r="Y859" s="45"/>
      <c r="Z859" s="45"/>
      <c r="AA859" s="45"/>
      <c r="AB859" s="45"/>
      <c r="AC859" s="45"/>
      <c r="AD859" s="45"/>
      <c r="AE859" s="45"/>
      <c r="AF859" s="45"/>
      <c r="AG859" s="45"/>
      <c r="AH859" s="45"/>
      <c r="AI859" s="45"/>
      <c r="AJ859" s="45"/>
      <c r="AK859" s="45"/>
      <c r="AL859" s="45"/>
    </row>
    <row r="860" ht="15.75" customHeight="1">
      <c r="A860" s="27">
        <f t="shared" si="18"/>
        <v>210</v>
      </c>
      <c r="B860" s="28" t="s">
        <v>3156</v>
      </c>
      <c r="C860" s="43" t="s">
        <v>3157</v>
      </c>
      <c r="D860" s="120" t="s">
        <v>3158</v>
      </c>
      <c r="E860" s="28" t="s">
        <v>28</v>
      </c>
      <c r="F860" s="28" t="s">
        <v>29</v>
      </c>
      <c r="G860" s="28" t="s">
        <v>38</v>
      </c>
      <c r="H860" s="28"/>
      <c r="I860" s="28" t="s">
        <v>38</v>
      </c>
      <c r="J860" s="28">
        <v>89.0</v>
      </c>
      <c r="K860" s="28"/>
      <c r="L860" s="28" t="s">
        <v>3159</v>
      </c>
      <c r="M860" s="28" t="s">
        <v>2963</v>
      </c>
      <c r="N860" s="28">
        <v>1986.0</v>
      </c>
      <c r="O860" s="62" t="s">
        <v>1381</v>
      </c>
      <c r="P860" s="28">
        <v>1.0</v>
      </c>
      <c r="Q860" s="32">
        <v>1.0</v>
      </c>
      <c r="R860" s="33"/>
      <c r="S860" s="34"/>
      <c r="T860" s="34"/>
      <c r="U860" s="34"/>
      <c r="V860" s="34"/>
      <c r="W860" s="34"/>
      <c r="X860" s="34"/>
      <c r="Y860" s="45"/>
      <c r="Z860" s="45"/>
      <c r="AA860" s="45"/>
      <c r="AB860" s="45"/>
      <c r="AC860" s="45"/>
      <c r="AD860" s="45"/>
      <c r="AE860" s="45"/>
      <c r="AF860" s="45"/>
      <c r="AG860" s="45"/>
      <c r="AH860" s="45"/>
      <c r="AI860" s="45"/>
      <c r="AJ860" s="45"/>
      <c r="AK860" s="45"/>
      <c r="AL860" s="45"/>
    </row>
    <row r="861" ht="15.75" customHeight="1">
      <c r="A861" s="27">
        <f t="shared" si="18"/>
        <v>211</v>
      </c>
      <c r="B861" s="86" t="s">
        <v>31</v>
      </c>
      <c r="C861" s="124" t="s">
        <v>3160</v>
      </c>
      <c r="D861" s="119" t="s">
        <v>3161</v>
      </c>
      <c r="E861" s="121" t="s">
        <v>3148</v>
      </c>
      <c r="F861" s="121" t="s">
        <v>29</v>
      </c>
      <c r="G861" s="121" t="s">
        <v>37</v>
      </c>
      <c r="H861" s="83"/>
      <c r="I861" s="121" t="s">
        <v>38</v>
      </c>
      <c r="J861" s="121">
        <v>274.0</v>
      </c>
      <c r="K861" s="83"/>
      <c r="L861" s="127" t="s">
        <v>3162</v>
      </c>
      <c r="M861" s="121" t="s">
        <v>54</v>
      </c>
      <c r="N861" s="121">
        <v>1979.0</v>
      </c>
      <c r="O861" s="124">
        <v>5.0</v>
      </c>
      <c r="P861" s="124">
        <v>5.0</v>
      </c>
      <c r="Q861" s="124">
        <v>5.0</v>
      </c>
      <c r="R861" s="84"/>
      <c r="S861" s="34"/>
      <c r="T861" s="34"/>
      <c r="U861" s="34"/>
      <c r="V861" s="34"/>
      <c r="W861" s="34"/>
      <c r="X861" s="34"/>
      <c r="Y861" s="45"/>
      <c r="Z861" s="45"/>
      <c r="AA861" s="45"/>
      <c r="AB861" s="45"/>
      <c r="AC861" s="45"/>
      <c r="AD861" s="45"/>
      <c r="AE861" s="45"/>
      <c r="AF861" s="45"/>
      <c r="AG861" s="45"/>
      <c r="AH861" s="45"/>
      <c r="AI861" s="45"/>
      <c r="AJ861" s="45"/>
      <c r="AK861" s="45"/>
      <c r="AL861" s="45"/>
    </row>
    <row r="862" ht="15.75" customHeight="1">
      <c r="A862" s="27"/>
      <c r="B862" s="86" t="s">
        <v>3163</v>
      </c>
      <c r="C862" s="124" t="s">
        <v>3164</v>
      </c>
      <c r="D862" s="128" t="s">
        <v>3165</v>
      </c>
      <c r="E862" s="121" t="s">
        <v>3148</v>
      </c>
      <c r="F862" s="121" t="s">
        <v>29</v>
      </c>
      <c r="G862" s="121" t="s">
        <v>37</v>
      </c>
      <c r="H862" s="83"/>
      <c r="I862" s="121" t="s">
        <v>38</v>
      </c>
      <c r="J862" s="124">
        <v>221.0</v>
      </c>
      <c r="K862" s="83"/>
      <c r="L862" s="127" t="s">
        <v>1332</v>
      </c>
      <c r="M862" s="124" t="s">
        <v>54</v>
      </c>
      <c r="N862" s="124">
        <v>1989.0</v>
      </c>
      <c r="O862" s="124">
        <v>5.0</v>
      </c>
      <c r="P862" s="124">
        <v>1.0</v>
      </c>
      <c r="Q862" s="124">
        <v>1.0</v>
      </c>
      <c r="R862" s="84"/>
      <c r="S862" s="34"/>
      <c r="T862" s="34"/>
      <c r="U862" s="34"/>
      <c r="V862" s="34"/>
      <c r="W862" s="34"/>
      <c r="X862" s="34"/>
      <c r="Y862" s="45"/>
      <c r="Z862" s="45"/>
      <c r="AA862" s="45"/>
      <c r="AB862" s="45"/>
      <c r="AC862" s="45"/>
      <c r="AD862" s="45"/>
      <c r="AE862" s="45"/>
      <c r="AF862" s="45"/>
      <c r="AG862" s="45"/>
      <c r="AH862" s="45"/>
      <c r="AI862" s="45"/>
      <c r="AJ862" s="45"/>
      <c r="AK862" s="45"/>
      <c r="AL862" s="45"/>
    </row>
    <row r="863" ht="15.75" customHeight="1">
      <c r="A863" s="27">
        <f>A861+1</f>
        <v>212</v>
      </c>
      <c r="B863" s="28" t="s">
        <v>31</v>
      </c>
      <c r="C863" s="48" t="s">
        <v>3166</v>
      </c>
      <c r="D863" s="120" t="s">
        <v>3167</v>
      </c>
      <c r="E863" s="28" t="s">
        <v>28</v>
      </c>
      <c r="F863" s="28" t="s">
        <v>29</v>
      </c>
      <c r="G863" s="28" t="s">
        <v>38</v>
      </c>
      <c r="H863" s="28"/>
      <c r="I863" s="28" t="s">
        <v>38</v>
      </c>
      <c r="J863" s="28">
        <v>147.0</v>
      </c>
      <c r="K863" s="28"/>
      <c r="L863" s="28" t="s">
        <v>3168</v>
      </c>
      <c r="M863" s="28" t="s">
        <v>1497</v>
      </c>
      <c r="N863" s="28">
        <v>1958.0</v>
      </c>
      <c r="O863" s="60" t="s">
        <v>2820</v>
      </c>
      <c r="P863" s="28">
        <v>1.0</v>
      </c>
      <c r="Q863" s="32">
        <v>1.0</v>
      </c>
      <c r="R863" s="33"/>
      <c r="S863" s="34"/>
      <c r="T863" s="34"/>
      <c r="U863" s="34"/>
      <c r="V863" s="34"/>
      <c r="W863" s="34"/>
      <c r="X863" s="34"/>
      <c r="Y863" s="45"/>
      <c r="Z863" s="45"/>
      <c r="AA863" s="45"/>
      <c r="AB863" s="45"/>
      <c r="AC863" s="45"/>
      <c r="AD863" s="45"/>
      <c r="AE863" s="45"/>
      <c r="AF863" s="45"/>
      <c r="AG863" s="45"/>
      <c r="AH863" s="45"/>
      <c r="AI863" s="45"/>
      <c r="AJ863" s="45"/>
      <c r="AK863" s="45"/>
      <c r="AL863" s="45"/>
    </row>
    <row r="864" ht="15.75" customHeight="1">
      <c r="A864" s="27">
        <f t="shared" ref="A864:A1120" si="20">A863+1</f>
        <v>213</v>
      </c>
      <c r="B864" s="28" t="s">
        <v>31</v>
      </c>
      <c r="C864" s="48" t="s">
        <v>3169</v>
      </c>
      <c r="D864" s="30" t="s">
        <v>3170</v>
      </c>
      <c r="E864" s="28" t="s">
        <v>28</v>
      </c>
      <c r="F864" s="28" t="s">
        <v>29</v>
      </c>
      <c r="G864" s="28" t="s">
        <v>38</v>
      </c>
      <c r="H864" s="28"/>
      <c r="I864" s="28" t="s">
        <v>38</v>
      </c>
      <c r="J864" s="28">
        <v>47.0</v>
      </c>
      <c r="K864" s="28"/>
      <c r="L864" s="28" t="s">
        <v>3168</v>
      </c>
      <c r="M864" s="28" t="s">
        <v>1497</v>
      </c>
      <c r="N864" s="28">
        <v>1957.0</v>
      </c>
      <c r="O864" s="60" t="s">
        <v>2820</v>
      </c>
      <c r="P864" s="28">
        <v>1.0</v>
      </c>
      <c r="Q864" s="32">
        <v>1.0</v>
      </c>
      <c r="R864" s="33"/>
      <c r="S864" s="34"/>
      <c r="T864" s="34"/>
      <c r="U864" s="34"/>
      <c r="V864" s="34"/>
      <c r="W864" s="34"/>
      <c r="X864" s="34"/>
      <c r="Y864" s="45"/>
      <c r="Z864" s="45"/>
      <c r="AA864" s="45"/>
      <c r="AB864" s="45"/>
      <c r="AC864" s="45"/>
      <c r="AD864" s="45"/>
      <c r="AE864" s="45"/>
      <c r="AF864" s="45"/>
      <c r="AG864" s="45"/>
      <c r="AH864" s="45"/>
      <c r="AI864" s="45"/>
      <c r="AJ864" s="45"/>
      <c r="AK864" s="45"/>
      <c r="AL864" s="45"/>
    </row>
    <row r="865" ht="15.75" customHeight="1">
      <c r="A865" s="27">
        <f t="shared" si="20"/>
        <v>214</v>
      </c>
      <c r="B865" s="28" t="s">
        <v>3171</v>
      </c>
      <c r="C865" s="29" t="s">
        <v>3172</v>
      </c>
      <c r="D865" s="30" t="s">
        <v>3173</v>
      </c>
      <c r="E865" s="28" t="s">
        <v>28</v>
      </c>
      <c r="F865" s="28" t="s">
        <v>29</v>
      </c>
      <c r="G865" s="28" t="s">
        <v>30</v>
      </c>
      <c r="H865" s="28"/>
      <c r="I865" s="28" t="s">
        <v>30</v>
      </c>
      <c r="J865" s="28">
        <v>363.0</v>
      </c>
      <c r="K865" s="28"/>
      <c r="L865" s="28" t="s">
        <v>3174</v>
      </c>
      <c r="M865" s="28" t="s">
        <v>3175</v>
      </c>
      <c r="N865" s="28">
        <v>2016.0</v>
      </c>
      <c r="O865" s="62" t="s">
        <v>1381</v>
      </c>
      <c r="P865" s="28">
        <v>1.0</v>
      </c>
      <c r="Q865" s="32">
        <v>1.0</v>
      </c>
      <c r="R865" s="33"/>
      <c r="S865" s="40"/>
      <c r="T865" s="40"/>
      <c r="U865" s="40"/>
      <c r="V865" s="40"/>
      <c r="W865" s="40"/>
      <c r="X865" s="40"/>
      <c r="Y865" s="45"/>
      <c r="Z865" s="45"/>
      <c r="AA865" s="45"/>
      <c r="AB865" s="45"/>
      <c r="AC865" s="45"/>
      <c r="AD865" s="45"/>
      <c r="AE865" s="45"/>
      <c r="AF865" s="45"/>
      <c r="AG865" s="45"/>
      <c r="AH865" s="45"/>
      <c r="AI865" s="45"/>
      <c r="AJ865" s="45"/>
      <c r="AK865" s="45"/>
      <c r="AL865" s="45"/>
    </row>
    <row r="866" ht="15.75" customHeight="1">
      <c r="A866" s="27">
        <f t="shared" si="20"/>
        <v>215</v>
      </c>
      <c r="B866" s="28" t="s">
        <v>3176</v>
      </c>
      <c r="C866" s="102" t="s">
        <v>3177</v>
      </c>
      <c r="D866" s="30" t="s">
        <v>3178</v>
      </c>
      <c r="E866" s="28" t="s">
        <v>28</v>
      </c>
      <c r="F866" s="28" t="s">
        <v>29</v>
      </c>
      <c r="G866" s="28" t="s">
        <v>37</v>
      </c>
      <c r="H866" s="28"/>
      <c r="I866" s="28" t="s">
        <v>38</v>
      </c>
      <c r="J866" s="28">
        <v>176.0</v>
      </c>
      <c r="K866" s="28"/>
      <c r="L866" s="28" t="s">
        <v>3179</v>
      </c>
      <c r="M866" s="28" t="s">
        <v>2893</v>
      </c>
      <c r="N866" s="28">
        <v>1988.0</v>
      </c>
      <c r="O866" s="62" t="s">
        <v>1381</v>
      </c>
      <c r="P866" s="28">
        <v>1.0</v>
      </c>
      <c r="Q866" s="32">
        <v>1.0</v>
      </c>
      <c r="R866" s="33"/>
      <c r="S866" s="34"/>
      <c r="T866" s="34"/>
      <c r="U866" s="34"/>
      <c r="V866" s="34"/>
      <c r="W866" s="34"/>
      <c r="X866" s="34"/>
      <c r="Y866" s="45"/>
      <c r="Z866" s="45"/>
      <c r="AA866" s="45"/>
      <c r="AB866" s="45"/>
      <c r="AC866" s="45"/>
      <c r="AD866" s="45"/>
      <c r="AE866" s="45"/>
      <c r="AF866" s="45"/>
      <c r="AG866" s="45"/>
      <c r="AH866" s="45"/>
      <c r="AI866" s="45"/>
      <c r="AJ866" s="45"/>
      <c r="AK866" s="45"/>
      <c r="AL866" s="45"/>
    </row>
    <row r="867" ht="15.75" customHeight="1">
      <c r="A867" s="27">
        <f t="shared" si="20"/>
        <v>216</v>
      </c>
      <c r="B867" s="28" t="s">
        <v>3180</v>
      </c>
      <c r="C867" s="43" t="s">
        <v>3181</v>
      </c>
      <c r="D867" s="30" t="s">
        <v>3182</v>
      </c>
      <c r="E867" s="28" t="s">
        <v>144</v>
      </c>
      <c r="F867" s="28" t="s">
        <v>29</v>
      </c>
      <c r="G867" s="28" t="s">
        <v>30</v>
      </c>
      <c r="H867" s="28"/>
      <c r="I867" s="28" t="s">
        <v>30</v>
      </c>
      <c r="J867" s="28">
        <v>135.0</v>
      </c>
      <c r="K867" s="28"/>
      <c r="L867" s="28" t="s">
        <v>145</v>
      </c>
      <c r="M867" s="28" t="s">
        <v>151</v>
      </c>
      <c r="N867" s="28">
        <v>2016.0</v>
      </c>
      <c r="O867" s="60" t="s">
        <v>2820</v>
      </c>
      <c r="P867" s="28">
        <v>1.0</v>
      </c>
      <c r="Q867" s="94">
        <v>1.0</v>
      </c>
      <c r="R867" s="33"/>
      <c r="S867" s="34"/>
      <c r="T867" s="34"/>
      <c r="U867" s="34"/>
      <c r="V867" s="34"/>
      <c r="W867" s="34"/>
      <c r="X867" s="34"/>
      <c r="Y867" s="45"/>
      <c r="Z867" s="45"/>
      <c r="AA867" s="45"/>
      <c r="AB867" s="45"/>
      <c r="AC867" s="45"/>
      <c r="AD867" s="45"/>
      <c r="AE867" s="45"/>
      <c r="AF867" s="45"/>
      <c r="AG867" s="45"/>
      <c r="AH867" s="45"/>
      <c r="AI867" s="45"/>
      <c r="AJ867" s="45"/>
      <c r="AK867" s="45"/>
      <c r="AL867" s="45"/>
    </row>
    <row r="868" ht="15.75" customHeight="1">
      <c r="A868" s="27">
        <f t="shared" si="20"/>
        <v>217</v>
      </c>
      <c r="B868" s="28" t="s">
        <v>3183</v>
      </c>
      <c r="C868" s="102" t="s">
        <v>3184</v>
      </c>
      <c r="D868" s="30" t="s">
        <v>3185</v>
      </c>
      <c r="E868" s="28" t="s">
        <v>28</v>
      </c>
      <c r="F868" s="28" t="s">
        <v>29</v>
      </c>
      <c r="G868" s="28" t="s">
        <v>30</v>
      </c>
      <c r="H868" s="28"/>
      <c r="I868" s="28" t="s">
        <v>30</v>
      </c>
      <c r="J868" s="28">
        <v>121.0</v>
      </c>
      <c r="K868" s="28"/>
      <c r="L868" s="28" t="s">
        <v>3186</v>
      </c>
      <c r="M868" s="28" t="s">
        <v>151</v>
      </c>
      <c r="N868" s="28">
        <v>2007.0</v>
      </c>
      <c r="O868" s="62" t="s">
        <v>1381</v>
      </c>
      <c r="P868" s="28">
        <v>1.0</v>
      </c>
      <c r="Q868" s="32">
        <v>1.0</v>
      </c>
      <c r="R868" s="33"/>
      <c r="S868" s="34"/>
      <c r="T868" s="34"/>
      <c r="U868" s="34"/>
      <c r="V868" s="34"/>
      <c r="W868" s="34"/>
      <c r="X868" s="34"/>
      <c r="Y868" s="45"/>
      <c r="Z868" s="45"/>
      <c r="AA868" s="45"/>
      <c r="AB868" s="45"/>
      <c r="AC868" s="45"/>
      <c r="AD868" s="45"/>
      <c r="AE868" s="45"/>
      <c r="AF868" s="45"/>
      <c r="AG868" s="45"/>
      <c r="AH868" s="45"/>
      <c r="AI868" s="45"/>
      <c r="AJ868" s="45"/>
      <c r="AK868" s="45"/>
      <c r="AL868" s="45"/>
    </row>
    <row r="869" ht="15.75" customHeight="1">
      <c r="A869" s="27">
        <f t="shared" si="20"/>
        <v>218</v>
      </c>
      <c r="B869" s="28" t="s">
        <v>3187</v>
      </c>
      <c r="C869" s="43" t="s">
        <v>3184</v>
      </c>
      <c r="D869" s="30" t="s">
        <v>3185</v>
      </c>
      <c r="E869" s="28" t="s">
        <v>28</v>
      </c>
      <c r="F869" s="28" t="s">
        <v>29</v>
      </c>
      <c r="G869" s="28" t="s">
        <v>30</v>
      </c>
      <c r="H869" s="28"/>
      <c r="I869" s="28" t="s">
        <v>30</v>
      </c>
      <c r="J869" s="28">
        <v>121.0</v>
      </c>
      <c r="K869" s="28"/>
      <c r="L869" s="28" t="s">
        <v>3188</v>
      </c>
      <c r="M869" s="28" t="s">
        <v>151</v>
      </c>
      <c r="N869" s="31" t="s">
        <v>0</v>
      </c>
      <c r="O869" s="31" t="s">
        <v>1381</v>
      </c>
      <c r="P869" s="28">
        <v>1.0</v>
      </c>
      <c r="Q869" s="32">
        <v>1.0</v>
      </c>
      <c r="R869" s="33"/>
      <c r="S869" s="34"/>
      <c r="T869" s="34"/>
      <c r="U869" s="34"/>
      <c r="V869" s="34"/>
      <c r="W869" s="34"/>
      <c r="X869" s="34"/>
      <c r="Y869" s="45"/>
      <c r="Z869" s="45"/>
      <c r="AA869" s="45"/>
      <c r="AB869" s="45"/>
      <c r="AC869" s="45"/>
      <c r="AD869" s="45"/>
      <c r="AE869" s="45"/>
      <c r="AF869" s="45"/>
      <c r="AG869" s="45"/>
      <c r="AH869" s="45"/>
      <c r="AI869" s="45"/>
      <c r="AJ869" s="45"/>
      <c r="AK869" s="45"/>
      <c r="AL869" s="45"/>
    </row>
    <row r="870" ht="15.75" customHeight="1">
      <c r="A870" s="27">
        <f t="shared" si="20"/>
        <v>219</v>
      </c>
      <c r="B870" s="28" t="s">
        <v>3189</v>
      </c>
      <c r="C870" s="129" t="s">
        <v>3190</v>
      </c>
      <c r="D870" s="120" t="s">
        <v>3191</v>
      </c>
      <c r="E870" s="60" t="s">
        <v>302</v>
      </c>
      <c r="F870" s="28" t="s">
        <v>29</v>
      </c>
      <c r="G870" s="28" t="s">
        <v>30</v>
      </c>
      <c r="H870" s="28" t="s">
        <v>31</v>
      </c>
      <c r="I870" s="28" t="s">
        <v>30</v>
      </c>
      <c r="J870" s="28">
        <f>561+12</f>
        <v>573</v>
      </c>
      <c r="K870" s="28" t="s">
        <v>31</v>
      </c>
      <c r="L870" s="28" t="s">
        <v>3192</v>
      </c>
      <c r="M870" s="28" t="s">
        <v>169</v>
      </c>
      <c r="N870" s="28">
        <v>2011.0</v>
      </c>
      <c r="O870" s="60" t="s">
        <v>2820</v>
      </c>
      <c r="P870" s="28">
        <v>1.0</v>
      </c>
      <c r="Q870" s="94">
        <v>1.0</v>
      </c>
      <c r="R870" s="33"/>
      <c r="S870" s="34"/>
      <c r="T870" s="34"/>
      <c r="U870" s="34"/>
      <c r="V870" s="34"/>
      <c r="W870" s="34"/>
      <c r="X870" s="34"/>
      <c r="Y870" s="45"/>
      <c r="Z870" s="45"/>
      <c r="AA870" s="45"/>
      <c r="AB870" s="45"/>
      <c r="AC870" s="45"/>
      <c r="AD870" s="45"/>
      <c r="AE870" s="45"/>
      <c r="AF870" s="45"/>
      <c r="AG870" s="45"/>
      <c r="AH870" s="45"/>
      <c r="AI870" s="45"/>
      <c r="AJ870" s="45"/>
      <c r="AK870" s="45"/>
      <c r="AL870" s="45"/>
    </row>
    <row r="871" ht="15.75" customHeight="1">
      <c r="A871" s="27">
        <f t="shared" si="20"/>
        <v>220</v>
      </c>
      <c r="B871" s="28" t="s">
        <v>31</v>
      </c>
      <c r="C871" s="102" t="s">
        <v>3193</v>
      </c>
      <c r="D871" s="30" t="s">
        <v>3194</v>
      </c>
      <c r="E871" s="28" t="s">
        <v>28</v>
      </c>
      <c r="F871" s="28" t="s">
        <v>29</v>
      </c>
      <c r="G871" s="28" t="s">
        <v>30</v>
      </c>
      <c r="H871" s="28"/>
      <c r="I871" s="28" t="s">
        <v>30</v>
      </c>
      <c r="J871" s="28">
        <v>162.0</v>
      </c>
      <c r="K871" s="28"/>
      <c r="L871" s="28" t="s">
        <v>3195</v>
      </c>
      <c r="M871" s="28" t="s">
        <v>151</v>
      </c>
      <c r="N871" s="28">
        <v>1972.0</v>
      </c>
      <c r="O871" s="62" t="s">
        <v>1381</v>
      </c>
      <c r="P871" s="28">
        <v>1.0</v>
      </c>
      <c r="Q871" s="32">
        <v>1.0</v>
      </c>
      <c r="R871" s="33"/>
      <c r="S871" s="34"/>
      <c r="T871" s="34"/>
      <c r="U871" s="34"/>
      <c r="V871" s="34"/>
      <c r="W871" s="34"/>
      <c r="X871" s="34"/>
      <c r="Y871" s="45"/>
      <c r="Z871" s="45"/>
      <c r="AA871" s="45"/>
      <c r="AB871" s="45"/>
      <c r="AC871" s="45"/>
      <c r="AD871" s="45"/>
      <c r="AE871" s="45"/>
      <c r="AF871" s="45"/>
      <c r="AG871" s="45"/>
      <c r="AH871" s="45"/>
      <c r="AI871" s="45"/>
      <c r="AJ871" s="45"/>
      <c r="AK871" s="45"/>
      <c r="AL871" s="45"/>
    </row>
    <row r="872" ht="15.75" customHeight="1">
      <c r="A872" s="27">
        <f t="shared" si="20"/>
        <v>221</v>
      </c>
      <c r="B872" s="28" t="s">
        <v>3196</v>
      </c>
      <c r="C872" s="43" t="s">
        <v>3197</v>
      </c>
      <c r="D872" s="30" t="s">
        <v>3198</v>
      </c>
      <c r="E872" s="28" t="s">
        <v>28</v>
      </c>
      <c r="F872" s="28" t="s">
        <v>29</v>
      </c>
      <c r="G872" s="28" t="s">
        <v>30</v>
      </c>
      <c r="H872" s="28"/>
      <c r="I872" s="28" t="s">
        <v>30</v>
      </c>
      <c r="J872" s="28">
        <v>184.0</v>
      </c>
      <c r="K872" s="28"/>
      <c r="L872" s="28" t="s">
        <v>3199</v>
      </c>
      <c r="M872" s="28" t="s">
        <v>151</v>
      </c>
      <c r="N872" s="28">
        <v>2012.0</v>
      </c>
      <c r="O872" s="28" t="s">
        <v>2820</v>
      </c>
      <c r="P872" s="28">
        <v>1.0</v>
      </c>
      <c r="Q872" s="32">
        <v>1.0</v>
      </c>
      <c r="R872" s="33"/>
      <c r="S872" s="34"/>
      <c r="T872" s="34"/>
      <c r="U872" s="34"/>
      <c r="V872" s="34"/>
      <c r="W872" s="34"/>
      <c r="X872" s="34"/>
      <c r="Y872" s="3"/>
      <c r="Z872" s="3"/>
      <c r="AA872" s="3"/>
      <c r="AB872" s="3"/>
      <c r="AC872" s="3"/>
      <c r="AD872" s="3"/>
      <c r="AE872" s="3"/>
      <c r="AF872" s="3"/>
      <c r="AG872" s="3"/>
      <c r="AH872" s="3"/>
      <c r="AI872" s="3"/>
      <c r="AJ872" s="3"/>
      <c r="AK872" s="3"/>
      <c r="AL872" s="3"/>
    </row>
    <row r="873" ht="15.75" customHeight="1">
      <c r="A873" s="27">
        <f t="shared" si="20"/>
        <v>222</v>
      </c>
      <c r="B873" s="28" t="s">
        <v>3200</v>
      </c>
      <c r="C873" s="102" t="s">
        <v>3201</v>
      </c>
      <c r="D873" s="30" t="s">
        <v>3202</v>
      </c>
      <c r="E873" s="28" t="s">
        <v>28</v>
      </c>
      <c r="F873" s="28" t="s">
        <v>29</v>
      </c>
      <c r="G873" s="28" t="s">
        <v>37</v>
      </c>
      <c r="H873" s="28" t="s">
        <v>31</v>
      </c>
      <c r="I873" s="28" t="s">
        <v>38</v>
      </c>
      <c r="J873" s="28">
        <v>501.0</v>
      </c>
      <c r="K873" s="28"/>
      <c r="L873" s="28" t="s">
        <v>3203</v>
      </c>
      <c r="M873" s="28" t="s">
        <v>230</v>
      </c>
      <c r="N873" s="28">
        <v>1972.0</v>
      </c>
      <c r="O873" s="62" t="s">
        <v>1381</v>
      </c>
      <c r="P873" s="28">
        <v>1.0</v>
      </c>
      <c r="Q873" s="32">
        <v>1.0</v>
      </c>
      <c r="R873" s="33"/>
      <c r="S873" s="40"/>
      <c r="T873" s="40"/>
      <c r="U873" s="40"/>
      <c r="V873" s="40"/>
      <c r="W873" s="40"/>
      <c r="X873" s="40"/>
      <c r="Y873" s="3"/>
      <c r="Z873" s="3"/>
      <c r="AA873" s="3"/>
      <c r="AB873" s="3"/>
      <c r="AC873" s="3"/>
      <c r="AD873" s="3"/>
      <c r="AE873" s="3"/>
      <c r="AF873" s="3"/>
      <c r="AG873" s="3"/>
      <c r="AH873" s="3"/>
      <c r="AI873" s="3"/>
      <c r="AJ873" s="3"/>
      <c r="AK873" s="3"/>
      <c r="AL873" s="3"/>
    </row>
    <row r="874" ht="15.75" customHeight="1">
      <c r="A874" s="27">
        <f t="shared" si="20"/>
        <v>223</v>
      </c>
      <c r="B874" s="28" t="s">
        <v>3204</v>
      </c>
      <c r="C874" s="43" t="s">
        <v>3205</v>
      </c>
      <c r="D874" s="30" t="s">
        <v>3206</v>
      </c>
      <c r="E874" s="28" t="s">
        <v>28</v>
      </c>
      <c r="F874" s="28" t="s">
        <v>29</v>
      </c>
      <c r="G874" s="28" t="s">
        <v>30</v>
      </c>
      <c r="H874" s="28" t="s">
        <v>31</v>
      </c>
      <c r="I874" s="28" t="s">
        <v>30</v>
      </c>
      <c r="J874" s="28">
        <f>292</f>
        <v>292</v>
      </c>
      <c r="K874" s="28"/>
      <c r="L874" s="28" t="s">
        <v>3207</v>
      </c>
      <c r="M874" s="28" t="s">
        <v>544</v>
      </c>
      <c r="N874" s="28">
        <v>2000.0</v>
      </c>
      <c r="O874" s="62" t="s">
        <v>1381</v>
      </c>
      <c r="P874" s="28">
        <v>1.0</v>
      </c>
      <c r="Q874" s="32">
        <v>1.0</v>
      </c>
      <c r="R874" s="33"/>
      <c r="S874" s="34"/>
      <c r="T874" s="34"/>
      <c r="U874" s="34"/>
      <c r="V874" s="34"/>
      <c r="W874" s="34"/>
      <c r="X874" s="34"/>
      <c r="Y874" s="45"/>
      <c r="Z874" s="45"/>
      <c r="AA874" s="45"/>
      <c r="AB874" s="45"/>
      <c r="AC874" s="45"/>
      <c r="AD874" s="45"/>
      <c r="AE874" s="45"/>
      <c r="AF874" s="45"/>
      <c r="AG874" s="45"/>
      <c r="AH874" s="45"/>
      <c r="AI874" s="45"/>
      <c r="AJ874" s="45"/>
      <c r="AK874" s="45"/>
      <c r="AL874" s="45"/>
    </row>
    <row r="875" ht="15.75" customHeight="1">
      <c r="A875" s="27">
        <f t="shared" si="20"/>
        <v>224</v>
      </c>
      <c r="B875" s="28" t="s">
        <v>31</v>
      </c>
      <c r="C875" s="43" t="s">
        <v>3208</v>
      </c>
      <c r="D875" s="120" t="s">
        <v>3209</v>
      </c>
      <c r="E875" s="28" t="s">
        <v>28</v>
      </c>
      <c r="F875" s="28" t="s">
        <v>29</v>
      </c>
      <c r="G875" s="28" t="s">
        <v>37</v>
      </c>
      <c r="H875" s="28"/>
      <c r="I875" s="28" t="s">
        <v>38</v>
      </c>
      <c r="J875" s="28">
        <v>278.0</v>
      </c>
      <c r="K875" s="28"/>
      <c r="L875" s="28" t="s">
        <v>3210</v>
      </c>
      <c r="M875" s="28" t="s">
        <v>3211</v>
      </c>
      <c r="N875" s="28">
        <v>1951.0</v>
      </c>
      <c r="O875" s="62" t="s">
        <v>1381</v>
      </c>
      <c r="P875" s="28">
        <v>1.0</v>
      </c>
      <c r="Q875" s="32">
        <v>1.0</v>
      </c>
      <c r="R875" s="33"/>
      <c r="S875" s="34"/>
      <c r="T875" s="34"/>
      <c r="U875" s="34"/>
      <c r="V875" s="34"/>
      <c r="W875" s="34"/>
      <c r="X875" s="34"/>
      <c r="Y875" s="45"/>
      <c r="Z875" s="45"/>
      <c r="AA875" s="45"/>
      <c r="AB875" s="45"/>
      <c r="AC875" s="45"/>
      <c r="AD875" s="45"/>
      <c r="AE875" s="45"/>
      <c r="AF875" s="45"/>
      <c r="AG875" s="45"/>
      <c r="AH875" s="45"/>
      <c r="AI875" s="45"/>
      <c r="AJ875" s="45"/>
      <c r="AK875" s="45"/>
      <c r="AL875" s="45"/>
    </row>
    <row r="876" ht="15.75" customHeight="1">
      <c r="A876" s="27">
        <f t="shared" si="20"/>
        <v>225</v>
      </c>
      <c r="B876" s="28" t="s">
        <v>3212</v>
      </c>
      <c r="C876" s="43" t="s">
        <v>3213</v>
      </c>
      <c r="D876" s="30" t="s">
        <v>3214</v>
      </c>
      <c r="E876" s="28" t="s">
        <v>28</v>
      </c>
      <c r="F876" s="28" t="s">
        <v>29</v>
      </c>
      <c r="G876" s="28" t="s">
        <v>30</v>
      </c>
      <c r="H876" s="28"/>
      <c r="I876" s="28" t="s">
        <v>30</v>
      </c>
      <c r="J876" s="28">
        <v>210.0</v>
      </c>
      <c r="K876" s="28"/>
      <c r="L876" s="28" t="s">
        <v>3215</v>
      </c>
      <c r="M876" s="28" t="s">
        <v>151</v>
      </c>
      <c r="N876" s="28">
        <v>2003.0</v>
      </c>
      <c r="O876" s="62" t="s">
        <v>1381</v>
      </c>
      <c r="P876" s="28">
        <v>1.0</v>
      </c>
      <c r="Q876" s="32">
        <v>1.0</v>
      </c>
      <c r="R876" s="33"/>
      <c r="S876" s="34"/>
      <c r="T876" s="34"/>
      <c r="U876" s="34"/>
      <c r="V876" s="34"/>
      <c r="W876" s="34"/>
      <c r="X876" s="34"/>
      <c r="Y876" s="45"/>
      <c r="Z876" s="45"/>
      <c r="AA876" s="45"/>
      <c r="AB876" s="45"/>
      <c r="AC876" s="45"/>
      <c r="AD876" s="45"/>
      <c r="AE876" s="45"/>
      <c r="AF876" s="45"/>
      <c r="AG876" s="45"/>
      <c r="AH876" s="45"/>
      <c r="AI876" s="45"/>
      <c r="AJ876" s="45"/>
      <c r="AK876" s="45"/>
      <c r="AL876" s="45"/>
    </row>
    <row r="877" ht="15.0" customHeight="1">
      <c r="A877" s="27">
        <f t="shared" si="20"/>
        <v>226</v>
      </c>
      <c r="B877" s="28" t="s">
        <v>3216</v>
      </c>
      <c r="C877" s="43" t="s">
        <v>3213</v>
      </c>
      <c r="D877" s="30" t="s">
        <v>3217</v>
      </c>
      <c r="E877" s="28" t="s">
        <v>28</v>
      </c>
      <c r="F877" s="28" t="s">
        <v>29</v>
      </c>
      <c r="G877" s="28" t="s">
        <v>30</v>
      </c>
      <c r="H877" s="28"/>
      <c r="I877" s="28" t="s">
        <v>30</v>
      </c>
      <c r="J877" s="28">
        <v>210.0</v>
      </c>
      <c r="K877" s="28"/>
      <c r="L877" s="28" t="s">
        <v>3218</v>
      </c>
      <c r="M877" s="28" t="s">
        <v>151</v>
      </c>
      <c r="N877" s="28">
        <v>2001.0</v>
      </c>
      <c r="O877" s="62" t="s">
        <v>1381</v>
      </c>
      <c r="P877" s="28">
        <v>1.0</v>
      </c>
      <c r="Q877" s="32">
        <v>1.0</v>
      </c>
      <c r="R877" s="33"/>
      <c r="S877" s="38"/>
      <c r="T877" s="38"/>
      <c r="U877" s="38"/>
      <c r="V877" s="38"/>
      <c r="W877" s="38"/>
      <c r="X877" s="38"/>
      <c r="Y877" s="45"/>
      <c r="Z877" s="45"/>
      <c r="AA877" s="45"/>
      <c r="AB877" s="45"/>
      <c r="AC877" s="45"/>
      <c r="AD877" s="45"/>
      <c r="AE877" s="45"/>
      <c r="AF877" s="45"/>
      <c r="AG877" s="45"/>
      <c r="AH877" s="45"/>
      <c r="AI877" s="45"/>
      <c r="AJ877" s="45"/>
      <c r="AK877" s="45"/>
      <c r="AL877" s="45"/>
    </row>
    <row r="878" ht="15.75" customHeight="1">
      <c r="A878" s="27">
        <f t="shared" si="20"/>
        <v>227</v>
      </c>
      <c r="B878" s="28" t="s">
        <v>3216</v>
      </c>
      <c r="C878" s="43" t="s">
        <v>3213</v>
      </c>
      <c r="D878" s="30" t="s">
        <v>3217</v>
      </c>
      <c r="E878" s="28" t="s">
        <v>28</v>
      </c>
      <c r="F878" s="28" t="s">
        <v>29</v>
      </c>
      <c r="G878" s="28" t="s">
        <v>30</v>
      </c>
      <c r="H878" s="28"/>
      <c r="I878" s="28" t="s">
        <v>30</v>
      </c>
      <c r="J878" s="28">
        <v>210.0</v>
      </c>
      <c r="K878" s="28"/>
      <c r="L878" s="28" t="s">
        <v>3215</v>
      </c>
      <c r="M878" s="28" t="s">
        <v>151</v>
      </c>
      <c r="N878" s="28">
        <v>1997.0</v>
      </c>
      <c r="O878" s="62" t="s">
        <v>1381</v>
      </c>
      <c r="P878" s="28">
        <v>1.0</v>
      </c>
      <c r="Q878" s="32">
        <v>1.0</v>
      </c>
      <c r="R878" s="33"/>
      <c r="S878" s="34"/>
      <c r="T878" s="34"/>
      <c r="U878" s="34"/>
      <c r="V878" s="34"/>
      <c r="W878" s="34"/>
      <c r="X878" s="34"/>
      <c r="Y878" s="45"/>
      <c r="Z878" s="45"/>
      <c r="AA878" s="45"/>
      <c r="AB878" s="45"/>
      <c r="AC878" s="45"/>
      <c r="AD878" s="45"/>
      <c r="AE878" s="45"/>
      <c r="AF878" s="45"/>
      <c r="AG878" s="45"/>
      <c r="AH878" s="45"/>
      <c r="AI878" s="45"/>
      <c r="AJ878" s="45"/>
      <c r="AK878" s="45"/>
      <c r="AL878" s="45"/>
    </row>
    <row r="879" ht="15.75" customHeight="1">
      <c r="A879" s="27">
        <f t="shared" si="20"/>
        <v>228</v>
      </c>
      <c r="B879" s="28" t="s">
        <v>3187</v>
      </c>
      <c r="C879" s="43" t="s">
        <v>3213</v>
      </c>
      <c r="D879" s="30" t="s">
        <v>3217</v>
      </c>
      <c r="E879" s="28" t="s">
        <v>28</v>
      </c>
      <c r="F879" s="28" t="s">
        <v>29</v>
      </c>
      <c r="G879" s="28" t="s">
        <v>30</v>
      </c>
      <c r="H879" s="28"/>
      <c r="I879" s="28" t="s">
        <v>30</v>
      </c>
      <c r="J879" s="28">
        <v>210.0</v>
      </c>
      <c r="K879" s="28"/>
      <c r="L879" s="28" t="s">
        <v>3215</v>
      </c>
      <c r="M879" s="28" t="s">
        <v>151</v>
      </c>
      <c r="N879" s="28">
        <v>2012.0</v>
      </c>
      <c r="O879" s="62" t="s">
        <v>1381</v>
      </c>
      <c r="P879" s="28">
        <v>1.0</v>
      </c>
      <c r="Q879" s="32">
        <v>1.0</v>
      </c>
      <c r="R879" s="33"/>
      <c r="S879" s="40"/>
      <c r="T879" s="40"/>
      <c r="U879" s="40"/>
      <c r="V879" s="40"/>
      <c r="W879" s="40"/>
      <c r="X879" s="40"/>
      <c r="Y879" s="45"/>
      <c r="Z879" s="45"/>
      <c r="AA879" s="45"/>
      <c r="AB879" s="45"/>
      <c r="AC879" s="45"/>
      <c r="AD879" s="45"/>
      <c r="AE879" s="45"/>
      <c r="AF879" s="45"/>
      <c r="AG879" s="45"/>
      <c r="AH879" s="45"/>
      <c r="AI879" s="45"/>
      <c r="AJ879" s="45"/>
      <c r="AK879" s="45"/>
      <c r="AL879" s="45"/>
    </row>
    <row r="880" ht="15.75" customHeight="1">
      <c r="A880" s="27">
        <f t="shared" si="20"/>
        <v>229</v>
      </c>
      <c r="B880" s="28" t="s">
        <v>3219</v>
      </c>
      <c r="C880" s="43" t="s">
        <v>3220</v>
      </c>
      <c r="D880" s="30" t="s">
        <v>3221</v>
      </c>
      <c r="E880" s="28" t="s">
        <v>28</v>
      </c>
      <c r="F880" s="28" t="s">
        <v>29</v>
      </c>
      <c r="G880" s="28" t="s">
        <v>30</v>
      </c>
      <c r="H880" s="28" t="s">
        <v>31</v>
      </c>
      <c r="I880" s="28" t="s">
        <v>30</v>
      </c>
      <c r="J880" s="28">
        <f>369+7</f>
        <v>376</v>
      </c>
      <c r="K880" s="28"/>
      <c r="L880" s="28" t="s">
        <v>3222</v>
      </c>
      <c r="M880" s="28" t="s">
        <v>1040</v>
      </c>
      <c r="N880" s="28">
        <v>2011.0</v>
      </c>
      <c r="O880" s="62" t="s">
        <v>1381</v>
      </c>
      <c r="P880" s="28">
        <v>1.0</v>
      </c>
      <c r="Q880" s="94">
        <v>1.0</v>
      </c>
      <c r="R880" s="33"/>
      <c r="S880" s="34"/>
      <c r="T880" s="34"/>
      <c r="U880" s="34"/>
      <c r="V880" s="34"/>
      <c r="W880" s="34"/>
      <c r="X880" s="34"/>
      <c r="Y880" s="3"/>
      <c r="Z880" s="3"/>
      <c r="AA880" s="3"/>
      <c r="AB880" s="3"/>
      <c r="AC880" s="3"/>
      <c r="AD880" s="3"/>
      <c r="AE880" s="3"/>
      <c r="AF880" s="3"/>
      <c r="AG880" s="3"/>
      <c r="AH880" s="3"/>
      <c r="AI880" s="3"/>
      <c r="AJ880" s="3"/>
      <c r="AK880" s="3"/>
      <c r="AL880" s="3"/>
    </row>
    <row r="881" ht="15.75" customHeight="1">
      <c r="A881" s="27">
        <f t="shared" si="20"/>
        <v>230</v>
      </c>
      <c r="B881" s="28" t="s">
        <v>31</v>
      </c>
      <c r="C881" s="29" t="s">
        <v>3223</v>
      </c>
      <c r="D881" s="30" t="s">
        <v>3224</v>
      </c>
      <c r="E881" s="28"/>
      <c r="F881" s="28" t="s">
        <v>29</v>
      </c>
      <c r="G881" s="28" t="s">
        <v>98</v>
      </c>
      <c r="H881" s="28"/>
      <c r="I881" s="28" t="s">
        <v>38</v>
      </c>
      <c r="J881" s="28">
        <v>727.0</v>
      </c>
      <c r="K881" s="28"/>
      <c r="L881" s="28" t="s">
        <v>3225</v>
      </c>
      <c r="M881" s="28" t="s">
        <v>3226</v>
      </c>
      <c r="N881" s="28">
        <v>1977.0</v>
      </c>
      <c r="O881" s="60" t="s">
        <v>2820</v>
      </c>
      <c r="P881" s="28">
        <v>1.0</v>
      </c>
      <c r="Q881" s="94">
        <v>1.0</v>
      </c>
      <c r="R881" s="33"/>
      <c r="S881" s="34"/>
      <c r="T881" s="34"/>
      <c r="U881" s="34"/>
      <c r="V881" s="34"/>
      <c r="W881" s="34"/>
      <c r="X881" s="34"/>
      <c r="Y881" s="45"/>
      <c r="Z881" s="45"/>
      <c r="AA881" s="45"/>
      <c r="AB881" s="45"/>
      <c r="AC881" s="45"/>
      <c r="AD881" s="45"/>
      <c r="AE881" s="45"/>
      <c r="AF881" s="45"/>
      <c r="AG881" s="45"/>
      <c r="AH881" s="45"/>
      <c r="AI881" s="45"/>
      <c r="AJ881" s="45"/>
      <c r="AK881" s="45"/>
      <c r="AL881" s="45"/>
    </row>
    <row r="882" ht="15.75" customHeight="1">
      <c r="A882" s="27">
        <f t="shared" si="20"/>
        <v>231</v>
      </c>
      <c r="B882" s="28" t="s">
        <v>1404</v>
      </c>
      <c r="C882" s="102" t="s">
        <v>3227</v>
      </c>
      <c r="D882" s="30" t="s">
        <v>1406</v>
      </c>
      <c r="E882" s="28" t="s">
        <v>28</v>
      </c>
      <c r="F882" s="28" t="s">
        <v>29</v>
      </c>
      <c r="G882" s="28" t="s">
        <v>37</v>
      </c>
      <c r="H882" s="28"/>
      <c r="I882" s="28" t="s">
        <v>38</v>
      </c>
      <c r="J882" s="28">
        <v>213.0</v>
      </c>
      <c r="K882" s="28"/>
      <c r="L882" s="60" t="s">
        <v>3228</v>
      </c>
      <c r="M882" s="28" t="s">
        <v>1333</v>
      </c>
      <c r="N882" s="28">
        <v>1986.0</v>
      </c>
      <c r="O882" s="60" t="s">
        <v>2820</v>
      </c>
      <c r="P882" s="28">
        <v>1.0</v>
      </c>
      <c r="Q882" s="94">
        <v>1.0</v>
      </c>
      <c r="R882" s="33"/>
      <c r="S882" s="34"/>
      <c r="T882" s="34"/>
      <c r="U882" s="34"/>
      <c r="V882" s="34"/>
      <c r="W882" s="34"/>
      <c r="X882" s="34"/>
      <c r="Y882" s="45"/>
      <c r="Z882" s="45"/>
      <c r="AA882" s="45"/>
      <c r="AB882" s="45"/>
      <c r="AC882" s="45"/>
      <c r="AD882" s="45"/>
      <c r="AE882" s="45"/>
      <c r="AF882" s="45"/>
      <c r="AG882" s="45"/>
      <c r="AH882" s="45"/>
      <c r="AI882" s="45"/>
      <c r="AJ882" s="45"/>
      <c r="AK882" s="45"/>
      <c r="AL882" s="45"/>
    </row>
    <row r="883" ht="15.75" customHeight="1">
      <c r="A883" s="27">
        <f t="shared" si="20"/>
        <v>232</v>
      </c>
      <c r="B883" s="28" t="s">
        <v>3229</v>
      </c>
      <c r="C883" s="102" t="s">
        <v>3230</v>
      </c>
      <c r="D883" s="30" t="s">
        <v>3231</v>
      </c>
      <c r="E883" s="28" t="s">
        <v>2377</v>
      </c>
      <c r="F883" s="28" t="s">
        <v>29</v>
      </c>
      <c r="G883" s="28" t="s">
        <v>37</v>
      </c>
      <c r="H883" s="28"/>
      <c r="I883" s="28" t="s">
        <v>38</v>
      </c>
      <c r="J883" s="28">
        <v>730.0</v>
      </c>
      <c r="K883" s="28"/>
      <c r="L883" s="28" t="s">
        <v>3232</v>
      </c>
      <c r="M883" s="28" t="s">
        <v>3233</v>
      </c>
      <c r="N883" s="28">
        <v>1924.0</v>
      </c>
      <c r="O883" s="60" t="s">
        <v>2820</v>
      </c>
      <c r="P883" s="28">
        <v>1.0</v>
      </c>
      <c r="Q883" s="94">
        <v>1.0</v>
      </c>
      <c r="R883" s="33"/>
      <c r="S883" s="40"/>
      <c r="T883" s="40"/>
      <c r="U883" s="40"/>
      <c r="V883" s="40"/>
      <c r="W883" s="40"/>
      <c r="X883" s="40"/>
      <c r="Y883" s="45"/>
      <c r="Z883" s="45"/>
      <c r="AA883" s="45"/>
      <c r="AB883" s="45"/>
      <c r="AC883" s="45"/>
      <c r="AD883" s="45"/>
      <c r="AE883" s="45"/>
      <c r="AF883" s="45"/>
      <c r="AG883" s="45"/>
      <c r="AH883" s="45"/>
      <c r="AI883" s="45"/>
      <c r="AJ883" s="45"/>
      <c r="AK883" s="45"/>
      <c r="AL883" s="45"/>
    </row>
    <row r="884" ht="15.75" customHeight="1">
      <c r="A884" s="27">
        <f t="shared" si="20"/>
        <v>233</v>
      </c>
      <c r="B884" s="121" t="s">
        <v>3234</v>
      </c>
      <c r="C884" s="121" t="s">
        <v>1431</v>
      </c>
      <c r="D884" s="119" t="s">
        <v>3235</v>
      </c>
      <c r="E884" s="83"/>
      <c r="F884" s="121" t="s">
        <v>29</v>
      </c>
      <c r="G884" s="121" t="s">
        <v>37</v>
      </c>
      <c r="H884" s="83"/>
      <c r="I884" s="121" t="s">
        <v>38</v>
      </c>
      <c r="J884" s="121">
        <v>210.0</v>
      </c>
      <c r="K884" s="83"/>
      <c r="L884" s="121" t="s">
        <v>1365</v>
      </c>
      <c r="M884" s="121" t="s">
        <v>250</v>
      </c>
      <c r="N884" s="121">
        <v>1978.0</v>
      </c>
      <c r="O884" s="62" t="s">
        <v>1381</v>
      </c>
      <c r="P884" s="121">
        <v>1.0</v>
      </c>
      <c r="Q884" s="121">
        <v>1.0</v>
      </c>
      <c r="R884" s="84"/>
      <c r="S884" s="34"/>
      <c r="T884" s="34"/>
      <c r="U884" s="34"/>
      <c r="V884" s="34"/>
      <c r="W884" s="34"/>
      <c r="X884" s="34"/>
      <c r="Y884" s="3"/>
      <c r="Z884" s="3"/>
      <c r="AA884" s="3"/>
      <c r="AB884" s="3"/>
      <c r="AC884" s="3"/>
      <c r="AD884" s="3"/>
      <c r="AE884" s="3"/>
      <c r="AF884" s="3"/>
      <c r="AG884" s="3"/>
      <c r="AH884" s="3"/>
      <c r="AI884" s="3"/>
      <c r="AJ884" s="3"/>
      <c r="AK884" s="3"/>
      <c r="AL884" s="3"/>
    </row>
    <row r="885" ht="15.75" customHeight="1">
      <c r="A885" s="27">
        <f t="shared" si="20"/>
        <v>234</v>
      </c>
      <c r="B885" s="28" t="s">
        <v>3236</v>
      </c>
      <c r="C885" s="47" t="s">
        <v>3237</v>
      </c>
      <c r="D885" s="30" t="s">
        <v>3238</v>
      </c>
      <c r="E885" s="28" t="s">
        <v>28</v>
      </c>
      <c r="F885" s="28" t="s">
        <v>29</v>
      </c>
      <c r="G885" s="28" t="s">
        <v>30</v>
      </c>
      <c r="H885" s="28" t="s">
        <v>31</v>
      </c>
      <c r="I885" s="28" t="s">
        <v>30</v>
      </c>
      <c r="J885" s="28">
        <v>384.0</v>
      </c>
      <c r="K885" s="28" t="s">
        <v>31</v>
      </c>
      <c r="L885" s="28" t="s">
        <v>3239</v>
      </c>
      <c r="M885" s="28" t="s">
        <v>3240</v>
      </c>
      <c r="N885" s="28">
        <v>1994.0</v>
      </c>
      <c r="O885" s="62" t="s">
        <v>1381</v>
      </c>
      <c r="P885" s="28">
        <v>1.0</v>
      </c>
      <c r="Q885" s="32">
        <v>1.0</v>
      </c>
      <c r="R885" s="33"/>
      <c r="S885" s="34"/>
      <c r="T885" s="34"/>
      <c r="U885" s="34"/>
      <c r="V885" s="34"/>
      <c r="W885" s="34"/>
      <c r="X885" s="34"/>
      <c r="Y885" s="45"/>
      <c r="Z885" s="45"/>
      <c r="AA885" s="45"/>
      <c r="AB885" s="45"/>
      <c r="AC885" s="45"/>
      <c r="AD885" s="45"/>
      <c r="AE885" s="45"/>
      <c r="AF885" s="45"/>
      <c r="AG885" s="45"/>
      <c r="AH885" s="45"/>
      <c r="AI885" s="45"/>
      <c r="AJ885" s="45"/>
      <c r="AK885" s="45"/>
      <c r="AL885" s="45"/>
    </row>
    <row r="886" ht="15.75" customHeight="1">
      <c r="A886" s="27">
        <f t="shared" si="20"/>
        <v>235</v>
      </c>
      <c r="B886" s="28" t="s">
        <v>3241</v>
      </c>
      <c r="C886" s="29" t="s">
        <v>3242</v>
      </c>
      <c r="D886" s="30" t="s">
        <v>3243</v>
      </c>
      <c r="E886" s="28" t="s">
        <v>28</v>
      </c>
      <c r="F886" s="28" t="s">
        <v>29</v>
      </c>
      <c r="G886" s="28" t="s">
        <v>131</v>
      </c>
      <c r="H886" s="28"/>
      <c r="I886" s="28" t="s">
        <v>131</v>
      </c>
      <c r="J886" s="28">
        <v>301.0</v>
      </c>
      <c r="K886" s="28"/>
      <c r="L886" s="31" t="s">
        <v>3244</v>
      </c>
      <c r="M886" s="28" t="s">
        <v>3245</v>
      </c>
      <c r="N886" s="28">
        <v>1951.0</v>
      </c>
      <c r="O886" s="60" t="s">
        <v>2820</v>
      </c>
      <c r="P886" s="28">
        <v>1.0</v>
      </c>
      <c r="Q886" s="32">
        <v>1.0</v>
      </c>
      <c r="R886" s="33"/>
      <c r="S886" s="34"/>
      <c r="T886" s="34"/>
      <c r="U886" s="34"/>
      <c r="V886" s="34"/>
      <c r="W886" s="34"/>
      <c r="X886" s="34"/>
      <c r="Y886" s="45"/>
      <c r="Z886" s="45"/>
      <c r="AA886" s="45"/>
      <c r="AB886" s="45"/>
      <c r="AC886" s="45"/>
      <c r="AD886" s="45"/>
      <c r="AE886" s="45"/>
      <c r="AF886" s="45"/>
      <c r="AG886" s="45"/>
      <c r="AH886" s="45"/>
      <c r="AI886" s="45"/>
      <c r="AJ886" s="45"/>
      <c r="AK886" s="45"/>
      <c r="AL886" s="45"/>
    </row>
    <row r="887" ht="15.75" customHeight="1">
      <c r="A887" s="27">
        <f t="shared" si="20"/>
        <v>236</v>
      </c>
      <c r="B887" s="28" t="s">
        <v>31</v>
      </c>
      <c r="C887" s="102" t="s">
        <v>3246</v>
      </c>
      <c r="D887" s="30" t="s">
        <v>3247</v>
      </c>
      <c r="E887" s="28" t="s">
        <v>28</v>
      </c>
      <c r="F887" s="28" t="s">
        <v>29</v>
      </c>
      <c r="G887" s="28" t="s">
        <v>30</v>
      </c>
      <c r="H887" s="28"/>
      <c r="I887" s="28" t="s">
        <v>30</v>
      </c>
      <c r="J887" s="28"/>
      <c r="K887" s="28"/>
      <c r="L887" s="28" t="s">
        <v>3248</v>
      </c>
      <c r="M887" s="28" t="s">
        <v>1271</v>
      </c>
      <c r="N887" s="28"/>
      <c r="O887" s="62" t="s">
        <v>1381</v>
      </c>
      <c r="P887" s="28">
        <v>1.0</v>
      </c>
      <c r="Q887" s="32">
        <v>1.0</v>
      </c>
      <c r="R887" s="33"/>
      <c r="S887" s="34"/>
      <c r="T887" s="34"/>
      <c r="U887" s="34"/>
      <c r="V887" s="34"/>
      <c r="W887" s="34"/>
      <c r="X887" s="34"/>
      <c r="Y887" s="45"/>
      <c r="Z887" s="45"/>
      <c r="AA887" s="45"/>
      <c r="AB887" s="45"/>
      <c r="AC887" s="45"/>
      <c r="AD887" s="45"/>
      <c r="AE887" s="45"/>
      <c r="AF887" s="45"/>
      <c r="AG887" s="45"/>
      <c r="AH887" s="45"/>
      <c r="AI887" s="45"/>
      <c r="AJ887" s="45"/>
      <c r="AK887" s="45"/>
      <c r="AL887" s="45"/>
    </row>
    <row r="888" ht="15.75" customHeight="1">
      <c r="A888" s="27">
        <f t="shared" si="20"/>
        <v>237</v>
      </c>
      <c r="B888" s="28" t="s">
        <v>3249</v>
      </c>
      <c r="C888" s="43" t="s">
        <v>3250</v>
      </c>
      <c r="D888" s="30" t="s">
        <v>3251</v>
      </c>
      <c r="E888" s="28" t="s">
        <v>28</v>
      </c>
      <c r="F888" s="28" t="s">
        <v>29</v>
      </c>
      <c r="G888" s="28" t="s">
        <v>37</v>
      </c>
      <c r="H888" s="28" t="s">
        <v>31</v>
      </c>
      <c r="I888" s="28" t="s">
        <v>38</v>
      </c>
      <c r="J888" s="28">
        <v>285.0</v>
      </c>
      <c r="K888" s="28"/>
      <c r="L888" s="31" t="s">
        <v>3252</v>
      </c>
      <c r="M888" s="28" t="s">
        <v>250</v>
      </c>
      <c r="N888" s="28">
        <v>1969.0</v>
      </c>
      <c r="O888" s="31" t="s">
        <v>494</v>
      </c>
      <c r="P888" s="28">
        <v>1.0</v>
      </c>
      <c r="Q888" s="94">
        <v>1.0</v>
      </c>
      <c r="R888" s="33"/>
      <c r="S888" s="34"/>
      <c r="T888" s="34"/>
      <c r="U888" s="34"/>
      <c r="V888" s="34"/>
      <c r="W888" s="34"/>
      <c r="X888" s="34"/>
      <c r="Y888" s="45"/>
      <c r="Z888" s="45"/>
      <c r="AA888" s="45"/>
      <c r="AB888" s="45"/>
      <c r="AC888" s="45"/>
      <c r="AD888" s="45"/>
      <c r="AE888" s="45"/>
      <c r="AF888" s="45"/>
      <c r="AG888" s="45"/>
      <c r="AH888" s="45"/>
      <c r="AI888" s="45"/>
      <c r="AJ888" s="45"/>
      <c r="AK888" s="45"/>
      <c r="AL888" s="45"/>
    </row>
    <row r="889" ht="15.75" customHeight="1">
      <c r="A889" s="27">
        <f t="shared" si="20"/>
        <v>238</v>
      </c>
      <c r="B889" s="28" t="s">
        <v>3253</v>
      </c>
      <c r="C889" s="102" t="s">
        <v>3254</v>
      </c>
      <c r="D889" s="30" t="s">
        <v>3255</v>
      </c>
      <c r="E889" s="28" t="s">
        <v>28</v>
      </c>
      <c r="F889" s="28" t="s">
        <v>29</v>
      </c>
      <c r="G889" s="28" t="s">
        <v>30</v>
      </c>
      <c r="H889" s="28" t="s">
        <v>31</v>
      </c>
      <c r="I889" s="28" t="s">
        <v>30</v>
      </c>
      <c r="J889" s="28">
        <v>118.0</v>
      </c>
      <c r="K889" s="28"/>
      <c r="L889" s="28" t="s">
        <v>3256</v>
      </c>
      <c r="M889" s="28" t="s">
        <v>151</v>
      </c>
      <c r="N889" s="28">
        <v>2009.0</v>
      </c>
      <c r="O889" s="62" t="s">
        <v>1381</v>
      </c>
      <c r="P889" s="28">
        <v>1.0</v>
      </c>
      <c r="Q889" s="32">
        <v>1.0</v>
      </c>
      <c r="R889" s="33"/>
      <c r="S889" s="38"/>
      <c r="T889" s="38"/>
      <c r="U889" s="38"/>
      <c r="V889" s="38"/>
      <c r="W889" s="38"/>
      <c r="X889" s="38"/>
      <c r="Y889" s="45"/>
      <c r="Z889" s="45"/>
      <c r="AA889" s="45"/>
      <c r="AB889" s="45"/>
      <c r="AC889" s="45"/>
      <c r="AD889" s="45"/>
      <c r="AE889" s="45"/>
      <c r="AF889" s="45"/>
      <c r="AG889" s="45"/>
      <c r="AH889" s="45"/>
      <c r="AI889" s="45"/>
      <c r="AJ889" s="45"/>
      <c r="AK889" s="45"/>
      <c r="AL889" s="45"/>
    </row>
    <row r="890" ht="15.75" customHeight="1">
      <c r="A890" s="27">
        <f t="shared" si="20"/>
        <v>239</v>
      </c>
      <c r="B890" s="28" t="s">
        <v>31</v>
      </c>
      <c r="C890" s="43" t="s">
        <v>3257</v>
      </c>
      <c r="D890" s="30" t="s">
        <v>3258</v>
      </c>
      <c r="E890" s="28" t="s">
        <v>28</v>
      </c>
      <c r="F890" s="28" t="s">
        <v>29</v>
      </c>
      <c r="G890" s="28" t="s">
        <v>30</v>
      </c>
      <c r="H890" s="28"/>
      <c r="I890" s="28" t="s">
        <v>30</v>
      </c>
      <c r="J890" s="28">
        <v>140.0</v>
      </c>
      <c r="K890" s="28"/>
      <c r="L890" s="28" t="s">
        <v>3259</v>
      </c>
      <c r="M890" s="28" t="s">
        <v>151</v>
      </c>
      <c r="N890" s="28">
        <v>1977.0</v>
      </c>
      <c r="O890" s="60" t="s">
        <v>2820</v>
      </c>
      <c r="P890" s="28">
        <v>1.0</v>
      </c>
      <c r="Q890" s="94">
        <v>1.0</v>
      </c>
      <c r="R890" s="33"/>
      <c r="S890" s="34"/>
      <c r="T890" s="34"/>
      <c r="U890" s="34"/>
      <c r="V890" s="34"/>
      <c r="W890" s="34"/>
      <c r="X890" s="34"/>
      <c r="Y890" s="3"/>
      <c r="Z890" s="3"/>
      <c r="AA890" s="3"/>
      <c r="AB890" s="3"/>
      <c r="AC890" s="3"/>
      <c r="AD890" s="3"/>
      <c r="AE890" s="3"/>
      <c r="AF890" s="3"/>
      <c r="AG890" s="3"/>
      <c r="AH890" s="3"/>
      <c r="AI890" s="3"/>
      <c r="AJ890" s="3"/>
      <c r="AK890" s="3"/>
      <c r="AL890" s="3"/>
    </row>
    <row r="891" ht="15.75" customHeight="1">
      <c r="A891" s="27">
        <f t="shared" si="20"/>
        <v>240</v>
      </c>
      <c r="B891" s="28" t="s">
        <v>3260</v>
      </c>
      <c r="C891" s="43" t="s">
        <v>3261</v>
      </c>
      <c r="D891" s="30" t="s">
        <v>3262</v>
      </c>
      <c r="E891" s="28" t="s">
        <v>28</v>
      </c>
      <c r="F891" s="28" t="s">
        <v>29</v>
      </c>
      <c r="G891" s="28" t="s">
        <v>30</v>
      </c>
      <c r="H891" s="28" t="s">
        <v>31</v>
      </c>
      <c r="I891" s="28" t="s">
        <v>30</v>
      </c>
      <c r="J891" s="28">
        <v>90.0</v>
      </c>
      <c r="K891" s="28"/>
      <c r="L891" s="28" t="s">
        <v>3263</v>
      </c>
      <c r="M891" s="28" t="s">
        <v>151</v>
      </c>
      <c r="N891" s="28">
        <v>2003.0</v>
      </c>
      <c r="O891" s="62" t="s">
        <v>1381</v>
      </c>
      <c r="P891" s="28">
        <v>1.0</v>
      </c>
      <c r="Q891" s="32">
        <v>1.0</v>
      </c>
      <c r="R891" s="33"/>
      <c r="S891" s="34"/>
      <c r="T891" s="34"/>
      <c r="U891" s="34"/>
      <c r="V891" s="34"/>
      <c r="W891" s="34"/>
      <c r="X891" s="34"/>
      <c r="Y891" s="45"/>
      <c r="Z891" s="45"/>
      <c r="AA891" s="45"/>
      <c r="AB891" s="45"/>
      <c r="AC891" s="45"/>
      <c r="AD891" s="45"/>
      <c r="AE891" s="45"/>
      <c r="AF891" s="45"/>
      <c r="AG891" s="45"/>
      <c r="AH891" s="45"/>
      <c r="AI891" s="45"/>
      <c r="AJ891" s="45"/>
      <c r="AK891" s="45"/>
      <c r="AL891" s="45"/>
    </row>
    <row r="892" ht="15.75" customHeight="1">
      <c r="A892" s="27">
        <f t="shared" si="20"/>
        <v>241</v>
      </c>
      <c r="B892" s="28" t="s">
        <v>3264</v>
      </c>
      <c r="C892" s="29" t="s">
        <v>3265</v>
      </c>
      <c r="D892" s="30" t="s">
        <v>3266</v>
      </c>
      <c r="E892" s="28" t="s">
        <v>28</v>
      </c>
      <c r="F892" s="28" t="s">
        <v>29</v>
      </c>
      <c r="G892" s="28" t="s">
        <v>37</v>
      </c>
      <c r="H892" s="28"/>
      <c r="I892" s="28"/>
      <c r="J892" s="28">
        <v>204.0</v>
      </c>
      <c r="K892" s="28"/>
      <c r="L892" s="28" t="s">
        <v>3267</v>
      </c>
      <c r="M892" s="28" t="s">
        <v>3268</v>
      </c>
      <c r="N892" s="28">
        <v>2004.0</v>
      </c>
      <c r="O892" s="62" t="s">
        <v>1381</v>
      </c>
      <c r="P892" s="28">
        <v>1.0</v>
      </c>
      <c r="Q892" s="32">
        <v>1.0</v>
      </c>
      <c r="R892" s="33"/>
      <c r="S892" s="34"/>
      <c r="T892" s="34"/>
      <c r="U892" s="34"/>
      <c r="V892" s="34"/>
      <c r="W892" s="34"/>
      <c r="X892" s="34"/>
      <c r="Y892" s="45"/>
      <c r="Z892" s="45"/>
      <c r="AA892" s="45"/>
      <c r="AB892" s="45"/>
      <c r="AC892" s="45"/>
      <c r="AD892" s="45"/>
      <c r="AE892" s="45"/>
      <c r="AF892" s="45"/>
      <c r="AG892" s="45"/>
      <c r="AH892" s="45"/>
      <c r="AI892" s="45"/>
      <c r="AJ892" s="45"/>
      <c r="AK892" s="45"/>
      <c r="AL892" s="45"/>
    </row>
    <row r="893" ht="15.75" customHeight="1">
      <c r="A893" s="27">
        <f t="shared" si="20"/>
        <v>242</v>
      </c>
      <c r="B893" s="28"/>
      <c r="C893" s="43" t="s">
        <v>3269</v>
      </c>
      <c r="D893" s="30" t="s">
        <v>3270</v>
      </c>
      <c r="E893" s="28" t="s">
        <v>28</v>
      </c>
      <c r="F893" s="28" t="s">
        <v>29</v>
      </c>
      <c r="G893" s="28" t="s">
        <v>38</v>
      </c>
      <c r="H893" s="28"/>
      <c r="I893" s="28" t="s">
        <v>38</v>
      </c>
      <c r="J893" s="28">
        <v>286.0</v>
      </c>
      <c r="K893" s="32"/>
      <c r="L893" s="28" t="s">
        <v>3271</v>
      </c>
      <c r="M893" s="28" t="s">
        <v>65</v>
      </c>
      <c r="N893" s="28">
        <v>1972.0</v>
      </c>
      <c r="O893" s="62" t="s">
        <v>1381</v>
      </c>
      <c r="P893" s="28">
        <v>1.0</v>
      </c>
      <c r="Q893" s="32">
        <v>1.0</v>
      </c>
      <c r="R893" s="33"/>
      <c r="S893" s="40"/>
      <c r="T893" s="40"/>
      <c r="U893" s="40"/>
      <c r="V893" s="40"/>
      <c r="W893" s="40"/>
      <c r="X893" s="40"/>
      <c r="Y893" s="45"/>
      <c r="Z893" s="45"/>
      <c r="AA893" s="45"/>
      <c r="AB893" s="45"/>
      <c r="AC893" s="45"/>
      <c r="AD893" s="45"/>
      <c r="AE893" s="45"/>
      <c r="AF893" s="45"/>
      <c r="AG893" s="45"/>
      <c r="AH893" s="45"/>
      <c r="AI893" s="45"/>
      <c r="AJ893" s="45"/>
      <c r="AK893" s="45"/>
      <c r="AL893" s="45"/>
    </row>
    <row r="894" ht="15.75" customHeight="1">
      <c r="A894" s="27">
        <f t="shared" si="20"/>
        <v>243</v>
      </c>
      <c r="B894" s="28" t="s">
        <v>3272</v>
      </c>
      <c r="C894" s="43" t="s">
        <v>3273</v>
      </c>
      <c r="D894" s="30" t="s">
        <v>3274</v>
      </c>
      <c r="E894" s="28" t="s">
        <v>28</v>
      </c>
      <c r="F894" s="28" t="s">
        <v>29</v>
      </c>
      <c r="G894" s="28" t="s">
        <v>30</v>
      </c>
      <c r="H894" s="28"/>
      <c r="I894" s="28" t="s">
        <v>30</v>
      </c>
      <c r="J894" s="28">
        <v>440.0</v>
      </c>
      <c r="K894" s="28"/>
      <c r="L894" s="28" t="s">
        <v>3263</v>
      </c>
      <c r="M894" s="28" t="s">
        <v>151</v>
      </c>
      <c r="N894" s="28">
        <v>2003.0</v>
      </c>
      <c r="O894" s="62" t="s">
        <v>1381</v>
      </c>
      <c r="P894" s="28">
        <v>1.0</v>
      </c>
      <c r="Q894" s="32">
        <v>1.0</v>
      </c>
      <c r="R894" s="33"/>
      <c r="S894" s="34"/>
      <c r="T894" s="34"/>
      <c r="U894" s="34"/>
      <c r="V894" s="34"/>
      <c r="W894" s="34"/>
      <c r="X894" s="34"/>
      <c r="Y894" s="45"/>
      <c r="Z894" s="45"/>
      <c r="AA894" s="45"/>
      <c r="AB894" s="45"/>
      <c r="AC894" s="45"/>
      <c r="AD894" s="45"/>
      <c r="AE894" s="45"/>
      <c r="AF894" s="45"/>
      <c r="AG894" s="45"/>
      <c r="AH894" s="45"/>
      <c r="AI894" s="45"/>
      <c r="AJ894" s="45"/>
      <c r="AK894" s="45"/>
      <c r="AL894" s="45"/>
    </row>
    <row r="895" ht="15.75" customHeight="1">
      <c r="A895" s="27">
        <f t="shared" si="20"/>
        <v>244</v>
      </c>
      <c r="B895" s="121" t="s">
        <v>3275</v>
      </c>
      <c r="C895" s="124" t="s">
        <v>3273</v>
      </c>
      <c r="D895" s="119" t="s">
        <v>3276</v>
      </c>
      <c r="E895" s="121" t="s">
        <v>144</v>
      </c>
      <c r="F895" s="121" t="s">
        <v>29</v>
      </c>
      <c r="G895" s="121" t="s">
        <v>30</v>
      </c>
      <c r="H895" s="83"/>
      <c r="I895" s="121" t="s">
        <v>30</v>
      </c>
      <c r="J895" s="121">
        <v>440.0</v>
      </c>
      <c r="K895" s="83"/>
      <c r="L895" s="121" t="s">
        <v>3263</v>
      </c>
      <c r="M895" s="121" t="s">
        <v>151</v>
      </c>
      <c r="N895" s="121">
        <v>2011.0</v>
      </c>
      <c r="O895" s="62" t="s">
        <v>1381</v>
      </c>
      <c r="P895" s="121">
        <v>1.0</v>
      </c>
      <c r="Q895" s="121">
        <v>1.0</v>
      </c>
      <c r="R895" s="84"/>
      <c r="S895" s="34"/>
      <c r="T895" s="34"/>
      <c r="U895" s="34"/>
      <c r="V895" s="34"/>
      <c r="W895" s="34"/>
      <c r="X895" s="34"/>
      <c r="Y895" s="45"/>
      <c r="Z895" s="45"/>
      <c r="AA895" s="45"/>
      <c r="AB895" s="45"/>
      <c r="AC895" s="45"/>
      <c r="AD895" s="45"/>
      <c r="AE895" s="45"/>
      <c r="AF895" s="45"/>
      <c r="AG895" s="45"/>
      <c r="AH895" s="45"/>
      <c r="AI895" s="45"/>
      <c r="AJ895" s="45"/>
      <c r="AK895" s="45"/>
      <c r="AL895" s="45"/>
    </row>
    <row r="896" ht="15.75" customHeight="1">
      <c r="A896" s="27">
        <f t="shared" si="20"/>
        <v>245</v>
      </c>
      <c r="B896" s="28" t="s">
        <v>3272</v>
      </c>
      <c r="C896" s="29" t="s">
        <v>3273</v>
      </c>
      <c r="D896" s="30" t="s">
        <v>3274</v>
      </c>
      <c r="E896" s="28" t="s">
        <v>28</v>
      </c>
      <c r="F896" s="28" t="s">
        <v>29</v>
      </c>
      <c r="G896" s="28" t="s">
        <v>30</v>
      </c>
      <c r="H896" s="28"/>
      <c r="I896" s="28" t="s">
        <v>30</v>
      </c>
      <c r="J896" s="28">
        <v>440.0</v>
      </c>
      <c r="K896" s="28"/>
      <c r="L896" s="28" t="s">
        <v>3263</v>
      </c>
      <c r="M896" s="28" t="s">
        <v>151</v>
      </c>
      <c r="N896" s="28">
        <v>1998.0</v>
      </c>
      <c r="O896" s="62" t="s">
        <v>1381</v>
      </c>
      <c r="P896" s="28">
        <v>1.0</v>
      </c>
      <c r="Q896" s="32">
        <v>1.0</v>
      </c>
      <c r="R896" s="33"/>
      <c r="S896" s="34"/>
      <c r="T896" s="34"/>
      <c r="U896" s="34"/>
      <c r="V896" s="34"/>
      <c r="W896" s="34"/>
      <c r="X896" s="34"/>
      <c r="Y896" s="45"/>
      <c r="Z896" s="45"/>
      <c r="AA896" s="45"/>
      <c r="AB896" s="45"/>
      <c r="AC896" s="45"/>
      <c r="AD896" s="45"/>
      <c r="AE896" s="45"/>
      <c r="AF896" s="45"/>
      <c r="AG896" s="45"/>
      <c r="AH896" s="45"/>
      <c r="AI896" s="45"/>
      <c r="AJ896" s="45"/>
      <c r="AK896" s="45"/>
      <c r="AL896" s="45"/>
    </row>
    <row r="897" ht="15.75" customHeight="1">
      <c r="A897" s="27">
        <f t="shared" si="20"/>
        <v>246</v>
      </c>
      <c r="B897" s="28" t="s">
        <v>31</v>
      </c>
      <c r="C897" s="102" t="s">
        <v>3277</v>
      </c>
      <c r="D897" s="30" t="s">
        <v>3278</v>
      </c>
      <c r="E897" s="28" t="s">
        <v>28</v>
      </c>
      <c r="F897" s="28" t="s">
        <v>29</v>
      </c>
      <c r="G897" s="28" t="s">
        <v>30</v>
      </c>
      <c r="H897" s="28"/>
      <c r="I897" s="28" t="s">
        <v>30</v>
      </c>
      <c r="J897" s="28">
        <v>128.0</v>
      </c>
      <c r="K897" s="28"/>
      <c r="L897" s="28" t="s">
        <v>3279</v>
      </c>
      <c r="M897" s="28" t="s">
        <v>151</v>
      </c>
      <c r="N897" s="28">
        <v>1977.0</v>
      </c>
      <c r="O897" s="62" t="s">
        <v>1381</v>
      </c>
      <c r="P897" s="28">
        <v>1.0</v>
      </c>
      <c r="Q897" s="32">
        <v>1.0</v>
      </c>
      <c r="R897" s="33"/>
      <c r="S897" s="34"/>
      <c r="T897" s="34"/>
      <c r="U897" s="34"/>
      <c r="V897" s="34"/>
      <c r="W897" s="34"/>
      <c r="X897" s="34"/>
      <c r="Y897" s="45"/>
      <c r="Z897" s="45"/>
      <c r="AA897" s="45"/>
      <c r="AB897" s="45"/>
      <c r="AC897" s="45"/>
      <c r="AD897" s="45"/>
      <c r="AE897" s="45"/>
      <c r="AF897" s="45"/>
      <c r="AG897" s="45"/>
      <c r="AH897" s="45"/>
      <c r="AI897" s="45"/>
      <c r="AJ897" s="45"/>
      <c r="AK897" s="45"/>
      <c r="AL897" s="45"/>
    </row>
    <row r="898" ht="15.75" customHeight="1">
      <c r="A898" s="27">
        <f t="shared" si="20"/>
        <v>247</v>
      </c>
      <c r="B898" s="121" t="s">
        <v>3280</v>
      </c>
      <c r="C898" s="124" t="s">
        <v>3281</v>
      </c>
      <c r="D898" s="119" t="s">
        <v>3282</v>
      </c>
      <c r="E898" s="121" t="s">
        <v>144</v>
      </c>
      <c r="F898" s="121" t="s">
        <v>29</v>
      </c>
      <c r="G898" s="121" t="s">
        <v>30</v>
      </c>
      <c r="H898" s="83"/>
      <c r="I898" s="121" t="s">
        <v>30</v>
      </c>
      <c r="J898" s="121">
        <v>242.0</v>
      </c>
      <c r="K898" s="83"/>
      <c r="L898" s="121" t="s">
        <v>492</v>
      </c>
      <c r="M898" s="121" t="s">
        <v>1166</v>
      </c>
      <c r="N898" s="121">
        <v>1996.0</v>
      </c>
      <c r="O898" s="62" t="s">
        <v>1381</v>
      </c>
      <c r="P898" s="121">
        <v>1.0</v>
      </c>
      <c r="Q898" s="121">
        <v>1.0</v>
      </c>
      <c r="R898" s="84"/>
      <c r="S898" s="34"/>
      <c r="T898" s="34"/>
      <c r="U898" s="34"/>
      <c r="V898" s="34"/>
      <c r="W898" s="34"/>
      <c r="X898" s="34"/>
      <c r="Y898" s="45"/>
      <c r="Z898" s="45"/>
      <c r="AA898" s="45"/>
      <c r="AB898" s="45"/>
      <c r="AC898" s="45"/>
      <c r="AD898" s="45"/>
      <c r="AE898" s="45"/>
      <c r="AF898" s="45"/>
      <c r="AG898" s="45"/>
      <c r="AH898" s="45"/>
      <c r="AI898" s="45"/>
      <c r="AJ898" s="45"/>
      <c r="AK898" s="45"/>
      <c r="AL898" s="45"/>
    </row>
    <row r="899" ht="15.75" customHeight="1">
      <c r="A899" s="27">
        <f t="shared" si="20"/>
        <v>248</v>
      </c>
      <c r="B899" s="28" t="s">
        <v>3283</v>
      </c>
      <c r="C899" s="48" t="s">
        <v>3284</v>
      </c>
      <c r="D899" s="30" t="s">
        <v>3285</v>
      </c>
      <c r="E899" s="28" t="s">
        <v>92</v>
      </c>
      <c r="F899" s="28" t="s">
        <v>29</v>
      </c>
      <c r="G899" s="28" t="s">
        <v>37</v>
      </c>
      <c r="H899" s="28"/>
      <c r="I899" s="28" t="s">
        <v>38</v>
      </c>
      <c r="J899" s="28">
        <v>207.0</v>
      </c>
      <c r="K899" s="28"/>
      <c r="L899" s="28" t="s">
        <v>3286</v>
      </c>
      <c r="M899" s="28" t="s">
        <v>2886</v>
      </c>
      <c r="N899" s="28">
        <v>1979.0</v>
      </c>
      <c r="O899" s="60" t="s">
        <v>2820</v>
      </c>
      <c r="P899" s="28">
        <v>1.0</v>
      </c>
      <c r="Q899" s="32">
        <v>1.0</v>
      </c>
      <c r="R899" s="33"/>
      <c r="S899" s="34"/>
      <c r="T899" s="34"/>
      <c r="U899" s="34"/>
      <c r="V899" s="34"/>
      <c r="W899" s="34"/>
      <c r="X899" s="34"/>
      <c r="Y899" s="45"/>
      <c r="Z899" s="45"/>
      <c r="AA899" s="45"/>
      <c r="AB899" s="45"/>
      <c r="AC899" s="45"/>
      <c r="AD899" s="45"/>
      <c r="AE899" s="45"/>
      <c r="AF899" s="45"/>
      <c r="AG899" s="45"/>
      <c r="AH899" s="45"/>
      <c r="AI899" s="45"/>
      <c r="AJ899" s="45"/>
      <c r="AK899" s="45"/>
      <c r="AL899" s="45"/>
    </row>
    <row r="900" ht="15.75" customHeight="1">
      <c r="A900" s="27">
        <f t="shared" si="20"/>
        <v>249</v>
      </c>
      <c r="B900" s="28" t="s">
        <v>3287</v>
      </c>
      <c r="C900" s="29" t="s">
        <v>3288</v>
      </c>
      <c r="D900" s="30" t="s">
        <v>3289</v>
      </c>
      <c r="E900" s="28" t="s">
        <v>28</v>
      </c>
      <c r="F900" s="28" t="s">
        <v>29</v>
      </c>
      <c r="G900" s="28" t="s">
        <v>30</v>
      </c>
      <c r="H900" s="28"/>
      <c r="I900" s="28" t="s">
        <v>30</v>
      </c>
      <c r="J900" s="28">
        <v>308.0</v>
      </c>
      <c r="K900" s="28"/>
      <c r="L900" s="28" t="s">
        <v>1554</v>
      </c>
      <c r="M900" s="28" t="s">
        <v>151</v>
      </c>
      <c r="N900" s="28">
        <v>2012.0</v>
      </c>
      <c r="O900" s="62" t="s">
        <v>1381</v>
      </c>
      <c r="P900" s="28">
        <v>1.0</v>
      </c>
      <c r="Q900" s="32">
        <v>1.0</v>
      </c>
      <c r="R900" s="33"/>
      <c r="S900" s="34"/>
      <c r="T900" s="34"/>
      <c r="U900" s="34"/>
      <c r="V900" s="34"/>
      <c r="W900" s="34"/>
      <c r="X900" s="34"/>
      <c r="Y900" s="45"/>
      <c r="Z900" s="45"/>
      <c r="AA900" s="45"/>
      <c r="AB900" s="45"/>
      <c r="AC900" s="45"/>
      <c r="AD900" s="45"/>
      <c r="AE900" s="45"/>
      <c r="AF900" s="45"/>
      <c r="AG900" s="45"/>
      <c r="AH900" s="45"/>
      <c r="AI900" s="45"/>
      <c r="AJ900" s="45"/>
      <c r="AK900" s="45"/>
      <c r="AL900" s="45"/>
    </row>
    <row r="901" ht="15.75" customHeight="1">
      <c r="A901" s="27">
        <f t="shared" si="20"/>
        <v>250</v>
      </c>
      <c r="B901" s="28" t="s">
        <v>3290</v>
      </c>
      <c r="C901" s="29" t="s">
        <v>3288</v>
      </c>
      <c r="D901" s="30" t="s">
        <v>3289</v>
      </c>
      <c r="E901" s="28" t="s">
        <v>28</v>
      </c>
      <c r="F901" s="28" t="s">
        <v>29</v>
      </c>
      <c r="G901" s="28" t="s">
        <v>30</v>
      </c>
      <c r="H901" s="28" t="s">
        <v>31</v>
      </c>
      <c r="I901" s="28" t="s">
        <v>30</v>
      </c>
      <c r="J901" s="28">
        <v>308.0</v>
      </c>
      <c r="K901" s="28"/>
      <c r="L901" s="28" t="s">
        <v>3291</v>
      </c>
      <c r="M901" s="28" t="s">
        <v>151</v>
      </c>
      <c r="N901" s="28">
        <v>2006.0</v>
      </c>
      <c r="O901" s="62" t="s">
        <v>1381</v>
      </c>
      <c r="P901" s="28">
        <v>1.0</v>
      </c>
      <c r="Q901" s="32">
        <v>1.0</v>
      </c>
      <c r="R901" s="33"/>
      <c r="S901" s="34"/>
      <c r="T901" s="34"/>
      <c r="U901" s="34"/>
      <c r="V901" s="34"/>
      <c r="W901" s="34"/>
      <c r="X901" s="34"/>
      <c r="Y901" s="45"/>
      <c r="Z901" s="45"/>
      <c r="AA901" s="45"/>
      <c r="AB901" s="45"/>
      <c r="AC901" s="45"/>
      <c r="AD901" s="45"/>
      <c r="AE901" s="45"/>
      <c r="AF901" s="45"/>
      <c r="AG901" s="45"/>
      <c r="AH901" s="45"/>
      <c r="AI901" s="45"/>
      <c r="AJ901" s="45"/>
      <c r="AK901" s="45"/>
      <c r="AL901" s="45"/>
    </row>
    <row r="902" ht="15.75" customHeight="1">
      <c r="A902" s="27">
        <f t="shared" si="20"/>
        <v>251</v>
      </c>
      <c r="B902" s="83" t="s">
        <v>31</v>
      </c>
      <c r="C902" s="86" t="s">
        <v>3292</v>
      </c>
      <c r="D902" s="128" t="s">
        <v>3293</v>
      </c>
      <c r="E902" s="121" t="s">
        <v>28</v>
      </c>
      <c r="F902" s="83" t="s">
        <v>29</v>
      </c>
      <c r="G902" s="83" t="s">
        <v>166</v>
      </c>
      <c r="H902" s="83"/>
      <c r="I902" s="83" t="s">
        <v>38</v>
      </c>
      <c r="J902" s="83">
        <v>74.0</v>
      </c>
      <c r="K902" s="83"/>
      <c r="L902" s="83" t="s">
        <v>3168</v>
      </c>
      <c r="M902" s="83" t="s">
        <v>356</v>
      </c>
      <c r="N902" s="83">
        <v>1945.0</v>
      </c>
      <c r="O902" s="28" t="s">
        <v>2820</v>
      </c>
      <c r="P902" s="83">
        <v>1.0</v>
      </c>
      <c r="Q902" s="83">
        <v>1.0</v>
      </c>
      <c r="R902" s="84"/>
      <c r="S902" s="34"/>
      <c r="T902" s="34"/>
      <c r="U902" s="34"/>
      <c r="V902" s="34"/>
      <c r="W902" s="34"/>
      <c r="X902" s="34"/>
      <c r="Y902" s="45"/>
      <c r="Z902" s="45"/>
      <c r="AA902" s="45"/>
      <c r="AB902" s="45"/>
      <c r="AC902" s="45"/>
      <c r="AD902" s="45"/>
      <c r="AE902" s="45"/>
      <c r="AF902" s="45"/>
      <c r="AG902" s="45"/>
      <c r="AH902" s="45"/>
      <c r="AI902" s="45"/>
      <c r="AJ902" s="45"/>
      <c r="AK902" s="45"/>
      <c r="AL902" s="45"/>
    </row>
    <row r="903" ht="15.75" customHeight="1">
      <c r="A903" s="27">
        <f t="shared" si="20"/>
        <v>252</v>
      </c>
      <c r="B903" s="28" t="s">
        <v>3294</v>
      </c>
      <c r="C903" s="29" t="s">
        <v>3295</v>
      </c>
      <c r="D903" s="30" t="s">
        <v>3296</v>
      </c>
      <c r="E903" s="28" t="s">
        <v>28</v>
      </c>
      <c r="F903" s="28" t="s">
        <v>29</v>
      </c>
      <c r="G903" s="28" t="s">
        <v>30</v>
      </c>
      <c r="H903" s="28"/>
      <c r="I903" s="28" t="s">
        <v>30</v>
      </c>
      <c r="J903" s="28">
        <v>360.0</v>
      </c>
      <c r="K903" s="28"/>
      <c r="L903" s="28" t="s">
        <v>3297</v>
      </c>
      <c r="M903" s="28" t="s">
        <v>161</v>
      </c>
      <c r="N903" s="28">
        <v>2014.0</v>
      </c>
      <c r="O903" s="28" t="s">
        <v>2820</v>
      </c>
      <c r="P903" s="28">
        <v>1.0</v>
      </c>
      <c r="Q903" s="32">
        <v>1.0</v>
      </c>
      <c r="R903" s="33"/>
      <c r="S903" s="34"/>
      <c r="T903" s="34"/>
      <c r="U903" s="34"/>
      <c r="V903" s="34"/>
      <c r="W903" s="34"/>
      <c r="X903" s="34"/>
      <c r="Y903" s="45"/>
      <c r="Z903" s="45"/>
      <c r="AA903" s="45"/>
      <c r="AB903" s="45"/>
      <c r="AC903" s="45"/>
      <c r="AD903" s="45"/>
      <c r="AE903" s="45"/>
      <c r="AF903" s="45"/>
      <c r="AG903" s="45"/>
      <c r="AH903" s="45"/>
      <c r="AI903" s="45"/>
      <c r="AJ903" s="45"/>
      <c r="AK903" s="45"/>
      <c r="AL903" s="45"/>
    </row>
    <row r="904" ht="15.75" customHeight="1">
      <c r="A904" s="27">
        <f t="shared" si="20"/>
        <v>253</v>
      </c>
      <c r="B904" s="28" t="s">
        <v>3298</v>
      </c>
      <c r="C904" s="43" t="s">
        <v>3299</v>
      </c>
      <c r="D904" s="30" t="s">
        <v>3300</v>
      </c>
      <c r="E904" s="28" t="s">
        <v>302</v>
      </c>
      <c r="F904" s="28" t="s">
        <v>29</v>
      </c>
      <c r="G904" s="28" t="s">
        <v>30</v>
      </c>
      <c r="H904" s="28"/>
      <c r="I904" s="28" t="s">
        <v>30</v>
      </c>
      <c r="J904" s="28">
        <v>312.0</v>
      </c>
      <c r="K904" s="28"/>
      <c r="L904" s="28" t="s">
        <v>3301</v>
      </c>
      <c r="M904" s="28" t="s">
        <v>3302</v>
      </c>
      <c r="N904" s="28">
        <v>2006.0</v>
      </c>
      <c r="O904" s="62" t="s">
        <v>1381</v>
      </c>
      <c r="P904" s="31">
        <v>2.0</v>
      </c>
      <c r="Q904" s="94">
        <v>2.0</v>
      </c>
      <c r="R904" s="33"/>
      <c r="S904" s="34"/>
      <c r="T904" s="34"/>
      <c r="U904" s="34"/>
      <c r="V904" s="34"/>
      <c r="W904" s="34"/>
      <c r="X904" s="34"/>
      <c r="Y904" s="45"/>
      <c r="Z904" s="45"/>
      <c r="AA904" s="45"/>
      <c r="AB904" s="45"/>
      <c r="AC904" s="45"/>
      <c r="AD904" s="45"/>
      <c r="AE904" s="45"/>
      <c r="AF904" s="45"/>
      <c r="AG904" s="45"/>
      <c r="AH904" s="45"/>
      <c r="AI904" s="45"/>
      <c r="AJ904" s="45"/>
      <c r="AK904" s="45"/>
      <c r="AL904" s="45"/>
    </row>
    <row r="905" ht="15.75" customHeight="1">
      <c r="A905" s="27">
        <f t="shared" si="20"/>
        <v>254</v>
      </c>
      <c r="B905" s="28" t="s">
        <v>31</v>
      </c>
      <c r="C905" s="102" t="s">
        <v>3303</v>
      </c>
      <c r="D905" s="120" t="s">
        <v>3304</v>
      </c>
      <c r="E905" s="28" t="s">
        <v>28</v>
      </c>
      <c r="F905" s="28" t="s">
        <v>29</v>
      </c>
      <c r="G905" s="28" t="s">
        <v>38</v>
      </c>
      <c r="H905" s="28" t="s">
        <v>31</v>
      </c>
      <c r="I905" s="28" t="s">
        <v>38</v>
      </c>
      <c r="J905" s="28">
        <v>251.0</v>
      </c>
      <c r="K905" s="28"/>
      <c r="L905" s="28" t="s">
        <v>3305</v>
      </c>
      <c r="M905" s="28" t="s">
        <v>1497</v>
      </c>
      <c r="N905" s="28">
        <v>1960.0</v>
      </c>
      <c r="O905" s="60" t="s">
        <v>2820</v>
      </c>
      <c r="P905" s="28">
        <v>1.0</v>
      </c>
      <c r="Q905" s="94">
        <v>1.0</v>
      </c>
      <c r="R905" s="33"/>
      <c r="S905" s="34"/>
      <c r="T905" s="34"/>
      <c r="U905" s="34"/>
      <c r="V905" s="34"/>
      <c r="W905" s="34"/>
      <c r="X905" s="34"/>
      <c r="Y905" s="45"/>
      <c r="Z905" s="45"/>
      <c r="AA905" s="45"/>
      <c r="AB905" s="45"/>
      <c r="AC905" s="45"/>
      <c r="AD905" s="45"/>
      <c r="AE905" s="45"/>
      <c r="AF905" s="45"/>
      <c r="AG905" s="45"/>
      <c r="AH905" s="45"/>
      <c r="AI905" s="45"/>
      <c r="AJ905" s="45"/>
      <c r="AK905" s="45"/>
      <c r="AL905" s="45"/>
    </row>
    <row r="906" ht="15.75" customHeight="1">
      <c r="A906" s="27">
        <f t="shared" si="20"/>
        <v>255</v>
      </c>
      <c r="B906" s="28" t="s">
        <v>31</v>
      </c>
      <c r="C906" s="29" t="s">
        <v>3306</v>
      </c>
      <c r="D906" s="120" t="s">
        <v>3307</v>
      </c>
      <c r="E906" s="28" t="s">
        <v>28</v>
      </c>
      <c r="F906" s="28" t="s">
        <v>29</v>
      </c>
      <c r="G906" s="28" t="s">
        <v>30</v>
      </c>
      <c r="H906" s="28" t="s">
        <v>31</v>
      </c>
      <c r="I906" s="28" t="s">
        <v>30</v>
      </c>
      <c r="J906" s="28">
        <v>350.0</v>
      </c>
      <c r="K906" s="28"/>
      <c r="L906" s="28" t="s">
        <v>3308</v>
      </c>
      <c r="M906" s="28" t="s">
        <v>151</v>
      </c>
      <c r="N906" s="28">
        <v>1975.0</v>
      </c>
      <c r="O906" s="62" t="s">
        <v>1381</v>
      </c>
      <c r="P906" s="28">
        <v>1.0</v>
      </c>
      <c r="Q906" s="32">
        <v>1.0</v>
      </c>
      <c r="R906" s="33"/>
      <c r="S906" s="34"/>
      <c r="T906" s="34"/>
      <c r="U906" s="34"/>
      <c r="V906" s="34"/>
      <c r="W906" s="34"/>
      <c r="X906" s="34"/>
      <c r="Y906" s="45"/>
      <c r="Z906" s="45"/>
      <c r="AA906" s="45"/>
      <c r="AB906" s="45"/>
      <c r="AC906" s="45"/>
      <c r="AD906" s="45"/>
      <c r="AE906" s="45"/>
      <c r="AF906" s="45"/>
      <c r="AG906" s="45"/>
      <c r="AH906" s="45"/>
      <c r="AI906" s="45"/>
      <c r="AJ906" s="45"/>
      <c r="AK906" s="45"/>
      <c r="AL906" s="45"/>
    </row>
    <row r="907" ht="15.75" customHeight="1">
      <c r="A907" s="27">
        <f t="shared" si="20"/>
        <v>256</v>
      </c>
      <c r="B907" s="28" t="s">
        <v>3309</v>
      </c>
      <c r="C907" s="102" t="s">
        <v>3310</v>
      </c>
      <c r="D907" s="120" t="s">
        <v>3311</v>
      </c>
      <c r="E907" s="28" t="s">
        <v>28</v>
      </c>
      <c r="F907" s="28" t="s">
        <v>29</v>
      </c>
      <c r="G907" s="28" t="s">
        <v>37</v>
      </c>
      <c r="H907" s="28"/>
      <c r="I907" s="28" t="s">
        <v>38</v>
      </c>
      <c r="J907" s="28">
        <v>115.0</v>
      </c>
      <c r="K907" s="28"/>
      <c r="L907" s="28" t="s">
        <v>3312</v>
      </c>
      <c r="M907" s="28" t="s">
        <v>178</v>
      </c>
      <c r="N907" s="28">
        <v>2004.0</v>
      </c>
      <c r="O907" s="60" t="s">
        <v>2820</v>
      </c>
      <c r="P907" s="28">
        <v>1.0</v>
      </c>
      <c r="Q907" s="32">
        <v>1.0</v>
      </c>
      <c r="R907" s="33"/>
      <c r="S907" s="34"/>
      <c r="T907" s="34"/>
      <c r="U907" s="34"/>
      <c r="V907" s="34"/>
      <c r="W907" s="34"/>
      <c r="X907" s="34"/>
      <c r="Y907" s="45"/>
      <c r="Z907" s="45"/>
      <c r="AA907" s="45"/>
      <c r="AB907" s="45"/>
      <c r="AC907" s="45"/>
      <c r="AD907" s="45"/>
      <c r="AE907" s="45"/>
      <c r="AF907" s="45"/>
      <c r="AG907" s="45"/>
      <c r="AH907" s="45"/>
      <c r="AI907" s="45"/>
      <c r="AJ907" s="45"/>
      <c r="AK907" s="45"/>
      <c r="AL907" s="45"/>
    </row>
    <row r="908" ht="15.75" customHeight="1">
      <c r="A908" s="27">
        <f t="shared" si="20"/>
        <v>257</v>
      </c>
      <c r="B908" s="28" t="s">
        <v>3313</v>
      </c>
      <c r="C908" s="43" t="s">
        <v>3314</v>
      </c>
      <c r="D908" s="30" t="s">
        <v>3315</v>
      </c>
      <c r="E908" s="28" t="s">
        <v>302</v>
      </c>
      <c r="F908" s="28" t="s">
        <v>29</v>
      </c>
      <c r="G908" s="28" t="s">
        <v>37</v>
      </c>
      <c r="H908" s="28"/>
      <c r="I908" s="28" t="s">
        <v>38</v>
      </c>
      <c r="J908" s="28">
        <v>270.0</v>
      </c>
      <c r="K908" s="33"/>
      <c r="L908" s="28" t="s">
        <v>3316</v>
      </c>
      <c r="M908" s="28" t="s">
        <v>1176</v>
      </c>
      <c r="N908" s="28">
        <v>2007.0</v>
      </c>
      <c r="O908" s="62" t="s">
        <v>1381</v>
      </c>
      <c r="P908" s="28">
        <v>1.0</v>
      </c>
      <c r="Q908" s="94">
        <v>1.0</v>
      </c>
      <c r="R908" s="33"/>
      <c r="S908" s="34"/>
      <c r="T908" s="34"/>
      <c r="U908" s="34"/>
      <c r="V908" s="34"/>
      <c r="W908" s="34"/>
      <c r="X908" s="34"/>
      <c r="Y908" s="45"/>
      <c r="Z908" s="45"/>
      <c r="AA908" s="45"/>
      <c r="AB908" s="45"/>
      <c r="AC908" s="45"/>
      <c r="AD908" s="45"/>
      <c r="AE908" s="45"/>
      <c r="AF908" s="45"/>
      <c r="AG908" s="45"/>
      <c r="AH908" s="45"/>
      <c r="AI908" s="45"/>
      <c r="AJ908" s="45"/>
      <c r="AK908" s="45"/>
      <c r="AL908" s="45"/>
    </row>
    <row r="909" ht="15.75" customHeight="1">
      <c r="A909" s="27">
        <f t="shared" si="20"/>
        <v>258</v>
      </c>
      <c r="B909" s="28" t="s">
        <v>3317</v>
      </c>
      <c r="C909" s="29" t="s">
        <v>3318</v>
      </c>
      <c r="D909" s="30" t="s">
        <v>3319</v>
      </c>
      <c r="E909" s="28"/>
      <c r="F909" s="28" t="s">
        <v>29</v>
      </c>
      <c r="G909" s="28" t="s">
        <v>37</v>
      </c>
      <c r="H909" s="28"/>
      <c r="I909" s="28" t="s">
        <v>38</v>
      </c>
      <c r="J909" s="28">
        <v>263.0</v>
      </c>
      <c r="K909" s="28"/>
      <c r="L909" s="28" t="s">
        <v>3320</v>
      </c>
      <c r="M909" s="28" t="s">
        <v>352</v>
      </c>
      <c r="N909" s="28">
        <v>2001.0</v>
      </c>
      <c r="O909" s="60" t="s">
        <v>2820</v>
      </c>
      <c r="P909" s="28">
        <v>1.0</v>
      </c>
      <c r="Q909" s="32">
        <v>1.0</v>
      </c>
      <c r="R909" s="33"/>
      <c r="S909" s="40"/>
      <c r="T909" s="40"/>
      <c r="U909" s="40"/>
      <c r="V909" s="40"/>
      <c r="W909" s="40"/>
      <c r="X909" s="40"/>
      <c r="Y909" s="45"/>
      <c r="Z909" s="45"/>
      <c r="AA909" s="45"/>
      <c r="AB909" s="45"/>
      <c r="AC909" s="45"/>
      <c r="AD909" s="45"/>
      <c r="AE909" s="45"/>
      <c r="AF909" s="45"/>
      <c r="AG909" s="45"/>
      <c r="AH909" s="45"/>
      <c r="AI909" s="45"/>
      <c r="AJ909" s="45"/>
      <c r="AK909" s="45"/>
      <c r="AL909" s="45"/>
    </row>
    <row r="910" ht="15.75" customHeight="1">
      <c r="A910" s="27">
        <f t="shared" si="20"/>
        <v>259</v>
      </c>
      <c r="B910" s="28" t="s">
        <v>31</v>
      </c>
      <c r="C910" s="29" t="s">
        <v>3321</v>
      </c>
      <c r="D910" s="30" t="s">
        <v>3322</v>
      </c>
      <c r="E910" s="28" t="s">
        <v>28</v>
      </c>
      <c r="F910" s="28" t="s">
        <v>29</v>
      </c>
      <c r="G910" s="28" t="s">
        <v>30</v>
      </c>
      <c r="H910" s="28" t="s">
        <v>31</v>
      </c>
      <c r="I910" s="28" t="s">
        <v>30</v>
      </c>
      <c r="J910" s="28">
        <v>127.0</v>
      </c>
      <c r="K910" s="28"/>
      <c r="L910" s="28" t="s">
        <v>3323</v>
      </c>
      <c r="M910" s="28" t="s">
        <v>151</v>
      </c>
      <c r="N910" s="28">
        <v>1976.0</v>
      </c>
      <c r="O910" s="62" t="s">
        <v>1381</v>
      </c>
      <c r="P910" s="28">
        <v>1.0</v>
      </c>
      <c r="Q910" s="32">
        <v>1.0</v>
      </c>
      <c r="R910" s="33"/>
      <c r="S910" s="34"/>
      <c r="T910" s="34"/>
      <c r="U910" s="34"/>
      <c r="V910" s="34"/>
      <c r="W910" s="34"/>
      <c r="X910" s="34"/>
      <c r="Y910" s="45"/>
      <c r="Z910" s="45"/>
      <c r="AA910" s="45"/>
      <c r="AB910" s="45"/>
      <c r="AC910" s="45"/>
      <c r="AD910" s="45"/>
      <c r="AE910" s="45"/>
      <c r="AF910" s="45"/>
      <c r="AG910" s="45"/>
      <c r="AH910" s="45"/>
      <c r="AI910" s="45"/>
      <c r="AJ910" s="45"/>
      <c r="AK910" s="45"/>
      <c r="AL910" s="45"/>
    </row>
    <row r="911" ht="15.75" customHeight="1">
      <c r="A911" s="27">
        <f t="shared" si="20"/>
        <v>260</v>
      </c>
      <c r="B911" s="28" t="s">
        <v>3324</v>
      </c>
      <c r="C911" s="29" t="s">
        <v>3325</v>
      </c>
      <c r="D911" s="30" t="s">
        <v>3326</v>
      </c>
      <c r="E911" s="28" t="s">
        <v>28</v>
      </c>
      <c r="F911" s="28" t="s">
        <v>29</v>
      </c>
      <c r="G911" s="28" t="s">
        <v>30</v>
      </c>
      <c r="H911" s="28" t="s">
        <v>31</v>
      </c>
      <c r="I911" s="28" t="s">
        <v>30</v>
      </c>
      <c r="J911" s="28">
        <v>100.0</v>
      </c>
      <c r="K911" s="28"/>
      <c r="L911" s="28" t="s">
        <v>3327</v>
      </c>
      <c r="M911" s="28" t="s">
        <v>151</v>
      </c>
      <c r="N911" s="28">
        <v>2003.0</v>
      </c>
      <c r="O911" s="62" t="s">
        <v>1381</v>
      </c>
      <c r="P911" s="28">
        <v>1.0</v>
      </c>
      <c r="Q911" s="32">
        <v>1.0</v>
      </c>
      <c r="R911" s="33"/>
      <c r="S911" s="34"/>
      <c r="T911" s="34"/>
      <c r="U911" s="34"/>
      <c r="V911" s="34"/>
      <c r="W911" s="34"/>
      <c r="X911" s="34"/>
      <c r="Y911" s="45"/>
      <c r="Z911" s="45"/>
      <c r="AA911" s="45"/>
      <c r="AB911" s="45"/>
      <c r="AC911" s="45"/>
      <c r="AD911" s="45"/>
      <c r="AE911" s="45"/>
      <c r="AF911" s="45"/>
      <c r="AG911" s="45"/>
      <c r="AH911" s="45"/>
      <c r="AI911" s="45"/>
      <c r="AJ911" s="45"/>
      <c r="AK911" s="45"/>
      <c r="AL911" s="45"/>
    </row>
    <row r="912" ht="15.75" customHeight="1">
      <c r="A912" s="27">
        <f t="shared" si="20"/>
        <v>261</v>
      </c>
      <c r="B912" s="28" t="s">
        <v>3328</v>
      </c>
      <c r="C912" s="48" t="s">
        <v>3325</v>
      </c>
      <c r="D912" s="30" t="s">
        <v>3326</v>
      </c>
      <c r="E912" s="28" t="s">
        <v>28</v>
      </c>
      <c r="F912" s="28" t="s">
        <v>29</v>
      </c>
      <c r="G912" s="28" t="s">
        <v>30</v>
      </c>
      <c r="H912" s="28" t="s">
        <v>31</v>
      </c>
      <c r="I912" s="28" t="s">
        <v>30</v>
      </c>
      <c r="J912" s="28">
        <v>100.0</v>
      </c>
      <c r="K912" s="28"/>
      <c r="L912" s="28" t="s">
        <v>3327</v>
      </c>
      <c r="M912" s="28" t="s">
        <v>151</v>
      </c>
      <c r="N912" s="28">
        <v>2007.0</v>
      </c>
      <c r="O912" s="62" t="s">
        <v>1381</v>
      </c>
      <c r="P912" s="28">
        <v>2.0</v>
      </c>
      <c r="Q912" s="32">
        <v>2.0</v>
      </c>
      <c r="R912" s="33"/>
      <c r="S912" s="34"/>
      <c r="T912" s="34"/>
      <c r="U912" s="34"/>
      <c r="V912" s="34"/>
      <c r="W912" s="34"/>
      <c r="X912" s="34"/>
      <c r="Y912" s="3"/>
      <c r="Z912" s="3"/>
      <c r="AA912" s="3"/>
      <c r="AB912" s="3"/>
      <c r="AC912" s="3"/>
      <c r="AD912" s="3"/>
      <c r="AE912" s="3"/>
      <c r="AF912" s="3"/>
      <c r="AG912" s="3"/>
      <c r="AH912" s="3"/>
      <c r="AI912" s="3"/>
      <c r="AJ912" s="3"/>
      <c r="AK912" s="3"/>
      <c r="AL912" s="3"/>
    </row>
    <row r="913" ht="15.75" customHeight="1">
      <c r="A913" s="27">
        <f t="shared" si="20"/>
        <v>262</v>
      </c>
      <c r="B913" s="28" t="s">
        <v>3324</v>
      </c>
      <c r="C913" s="29" t="s">
        <v>3325</v>
      </c>
      <c r="D913" s="30" t="s">
        <v>3326</v>
      </c>
      <c r="E913" s="28" t="s">
        <v>28</v>
      </c>
      <c r="F913" s="28" t="s">
        <v>29</v>
      </c>
      <c r="G913" s="28" t="s">
        <v>30</v>
      </c>
      <c r="H913" s="28"/>
      <c r="I913" s="28" t="s">
        <v>30</v>
      </c>
      <c r="J913" s="28">
        <v>100.0</v>
      </c>
      <c r="K913" s="28"/>
      <c r="L913" s="28" t="s">
        <v>3327</v>
      </c>
      <c r="M913" s="28" t="s">
        <v>151</v>
      </c>
      <c r="N913" s="28">
        <v>1997.0</v>
      </c>
      <c r="O913" s="62" t="s">
        <v>1381</v>
      </c>
      <c r="P913" s="28">
        <v>1.0</v>
      </c>
      <c r="Q913" s="32">
        <v>1.0</v>
      </c>
      <c r="R913" s="33"/>
      <c r="S913" s="34"/>
      <c r="T913" s="34"/>
      <c r="U913" s="34"/>
      <c r="V913" s="34"/>
      <c r="W913" s="34"/>
      <c r="X913" s="34"/>
      <c r="Y913" s="45"/>
      <c r="Z913" s="45"/>
      <c r="AA913" s="45"/>
      <c r="AB913" s="45"/>
      <c r="AC913" s="45"/>
      <c r="AD913" s="45"/>
      <c r="AE913" s="45"/>
      <c r="AF913" s="45"/>
      <c r="AG913" s="45"/>
      <c r="AH913" s="45"/>
      <c r="AI913" s="45"/>
      <c r="AJ913" s="45"/>
      <c r="AK913" s="45"/>
      <c r="AL913" s="45"/>
    </row>
    <row r="914" ht="15.75" customHeight="1">
      <c r="A914" s="27">
        <f t="shared" si="20"/>
        <v>263</v>
      </c>
      <c r="B914" s="28" t="s">
        <v>3329</v>
      </c>
      <c r="C914" s="29" t="s">
        <v>3330</v>
      </c>
      <c r="D914" s="30" t="s">
        <v>3331</v>
      </c>
      <c r="E914" s="28" t="s">
        <v>28</v>
      </c>
      <c r="F914" s="28" t="s">
        <v>29</v>
      </c>
      <c r="G914" s="28" t="s">
        <v>30</v>
      </c>
      <c r="H914" s="28"/>
      <c r="I914" s="28" t="s">
        <v>30</v>
      </c>
      <c r="J914" s="28">
        <v>184.0</v>
      </c>
      <c r="K914" s="28"/>
      <c r="L914" s="28" t="s">
        <v>3195</v>
      </c>
      <c r="M914" s="28" t="s">
        <v>151</v>
      </c>
      <c r="N914" s="28">
        <v>1997.0</v>
      </c>
      <c r="O914" s="62" t="s">
        <v>1381</v>
      </c>
      <c r="P914" s="31">
        <v>4.0</v>
      </c>
      <c r="Q914" s="37">
        <v>4.0</v>
      </c>
      <c r="R914" s="33"/>
      <c r="S914" s="40"/>
      <c r="T914" s="40"/>
      <c r="U914" s="40"/>
      <c r="V914" s="40"/>
      <c r="W914" s="40"/>
      <c r="X914" s="40"/>
      <c r="Y914" s="45"/>
      <c r="Z914" s="45"/>
      <c r="AA914" s="45"/>
      <c r="AB914" s="45"/>
      <c r="AC914" s="45"/>
      <c r="AD914" s="45"/>
      <c r="AE914" s="45"/>
      <c r="AF914" s="45"/>
      <c r="AG914" s="45"/>
      <c r="AH914" s="45"/>
      <c r="AI914" s="45"/>
      <c r="AJ914" s="45"/>
      <c r="AK914" s="45"/>
      <c r="AL914" s="45"/>
    </row>
    <row r="915" ht="15.75" customHeight="1">
      <c r="A915" s="27">
        <f t="shared" si="20"/>
        <v>264</v>
      </c>
      <c r="B915" s="33"/>
      <c r="C915" s="130" t="s">
        <v>3332</v>
      </c>
      <c r="D915" s="131" t="s">
        <v>3333</v>
      </c>
      <c r="E915" s="33"/>
      <c r="F915" s="132" t="s">
        <v>29</v>
      </c>
      <c r="G915" s="132" t="s">
        <v>30</v>
      </c>
      <c r="H915" s="33"/>
      <c r="I915" s="132" t="s">
        <v>30</v>
      </c>
      <c r="J915" s="132">
        <v>106.0</v>
      </c>
      <c r="K915" s="33"/>
      <c r="L915" s="132" t="s">
        <v>3334</v>
      </c>
      <c r="M915" s="132" t="s">
        <v>3335</v>
      </c>
      <c r="N915" s="132">
        <v>2005.0</v>
      </c>
      <c r="O915" s="132" t="s">
        <v>2820</v>
      </c>
      <c r="P915" s="132">
        <v>1.0</v>
      </c>
      <c r="Q915" s="132">
        <v>1.0</v>
      </c>
      <c r="R915" s="84"/>
      <c r="S915" s="34"/>
      <c r="T915" s="34"/>
      <c r="U915" s="34"/>
      <c r="V915" s="34"/>
      <c r="W915" s="34"/>
      <c r="X915" s="34"/>
      <c r="Y915" s="45"/>
      <c r="Z915" s="45"/>
      <c r="AA915" s="45"/>
      <c r="AB915" s="45"/>
      <c r="AC915" s="45"/>
      <c r="AD915" s="45"/>
      <c r="AE915" s="45"/>
      <c r="AF915" s="45"/>
      <c r="AG915" s="45"/>
      <c r="AH915" s="45"/>
      <c r="AI915" s="45"/>
      <c r="AJ915" s="45"/>
      <c r="AK915" s="45"/>
      <c r="AL915" s="45"/>
    </row>
    <row r="916" ht="15.75" customHeight="1">
      <c r="A916" s="27">
        <f t="shared" si="20"/>
        <v>265</v>
      </c>
      <c r="B916" s="28" t="s">
        <v>3336</v>
      </c>
      <c r="C916" s="43" t="s">
        <v>3337</v>
      </c>
      <c r="D916" s="30" t="s">
        <v>3338</v>
      </c>
      <c r="E916" s="28" t="s">
        <v>3339</v>
      </c>
      <c r="F916" s="28" t="s">
        <v>29</v>
      </c>
      <c r="G916" s="28" t="s">
        <v>30</v>
      </c>
      <c r="H916" s="28"/>
      <c r="I916" s="28" t="s">
        <v>30</v>
      </c>
      <c r="J916" s="28">
        <v>242.0</v>
      </c>
      <c r="K916" s="28"/>
      <c r="L916" s="28" t="s">
        <v>3340</v>
      </c>
      <c r="M916" s="28" t="s">
        <v>3341</v>
      </c>
      <c r="N916" s="28">
        <v>2006.0</v>
      </c>
      <c r="O916" s="60" t="s">
        <v>2820</v>
      </c>
      <c r="P916" s="28">
        <v>1.0</v>
      </c>
      <c r="Q916" s="94">
        <v>1.0</v>
      </c>
      <c r="R916" s="33"/>
      <c r="S916" s="40"/>
      <c r="T916" s="40"/>
      <c r="U916" s="40"/>
      <c r="V916" s="40"/>
      <c r="W916" s="40"/>
      <c r="X916" s="40"/>
      <c r="Y916" s="45"/>
      <c r="Z916" s="45"/>
      <c r="AA916" s="45"/>
      <c r="AB916" s="45"/>
      <c r="AC916" s="45"/>
      <c r="AD916" s="45"/>
      <c r="AE916" s="45"/>
      <c r="AF916" s="45"/>
      <c r="AG916" s="45"/>
      <c r="AH916" s="45"/>
      <c r="AI916" s="45"/>
      <c r="AJ916" s="45"/>
      <c r="AK916" s="45"/>
      <c r="AL916" s="45"/>
    </row>
    <row r="917" ht="15.75" customHeight="1">
      <c r="A917" s="27">
        <f t="shared" si="20"/>
        <v>266</v>
      </c>
      <c r="B917" s="28" t="s">
        <v>3342</v>
      </c>
      <c r="C917" s="43" t="s">
        <v>3343</v>
      </c>
      <c r="D917" s="30" t="s">
        <v>3344</v>
      </c>
      <c r="E917" s="28" t="s">
        <v>302</v>
      </c>
      <c r="F917" s="28" t="s">
        <v>29</v>
      </c>
      <c r="G917" s="28" t="s">
        <v>30</v>
      </c>
      <c r="H917" s="28"/>
      <c r="I917" s="28" t="s">
        <v>30</v>
      </c>
      <c r="J917" s="28">
        <v>140.0</v>
      </c>
      <c r="K917" s="28"/>
      <c r="L917" s="28" t="s">
        <v>3345</v>
      </c>
      <c r="M917" s="28" t="s">
        <v>161</v>
      </c>
      <c r="N917" s="28">
        <v>1990.0</v>
      </c>
      <c r="O917" s="62" t="s">
        <v>1381</v>
      </c>
      <c r="P917" s="28">
        <v>1.0</v>
      </c>
      <c r="Q917" s="94">
        <v>1.0</v>
      </c>
      <c r="R917" s="33"/>
      <c r="S917" s="34"/>
      <c r="T917" s="34"/>
      <c r="U917" s="34"/>
      <c r="V917" s="34"/>
      <c r="W917" s="34"/>
      <c r="X917" s="34"/>
      <c r="Y917" s="45"/>
      <c r="Z917" s="45"/>
      <c r="AA917" s="45"/>
      <c r="AB917" s="45"/>
      <c r="AC917" s="45"/>
      <c r="AD917" s="45"/>
      <c r="AE917" s="45"/>
      <c r="AF917" s="45"/>
      <c r="AG917" s="45"/>
      <c r="AH917" s="45"/>
      <c r="AI917" s="45"/>
      <c r="AJ917" s="45"/>
      <c r="AK917" s="45"/>
      <c r="AL917" s="45"/>
    </row>
    <row r="918" ht="15.75" customHeight="1">
      <c r="A918" s="27">
        <f t="shared" si="20"/>
        <v>267</v>
      </c>
      <c r="B918" s="28" t="s">
        <v>3346</v>
      </c>
      <c r="C918" s="43" t="s">
        <v>3343</v>
      </c>
      <c r="D918" s="30" t="s">
        <v>3347</v>
      </c>
      <c r="E918" s="28" t="s">
        <v>302</v>
      </c>
      <c r="F918" s="28" t="s">
        <v>29</v>
      </c>
      <c r="G918" s="28" t="s">
        <v>30</v>
      </c>
      <c r="H918" s="28"/>
      <c r="I918" s="28" t="s">
        <v>30</v>
      </c>
      <c r="J918" s="28">
        <v>132.0</v>
      </c>
      <c r="K918" s="28"/>
      <c r="L918" s="28" t="s">
        <v>3345</v>
      </c>
      <c r="M918" s="28" t="s">
        <v>161</v>
      </c>
      <c r="N918" s="28">
        <v>1990.0</v>
      </c>
      <c r="O918" s="60" t="s">
        <v>2820</v>
      </c>
      <c r="P918" s="28">
        <v>1.0</v>
      </c>
      <c r="Q918" s="94">
        <v>1.0</v>
      </c>
      <c r="R918" s="33"/>
      <c r="S918" s="34"/>
      <c r="T918" s="34"/>
      <c r="U918" s="34"/>
      <c r="V918" s="34"/>
      <c r="W918" s="34"/>
      <c r="X918" s="34"/>
      <c r="Y918" s="45"/>
      <c r="Z918" s="45"/>
      <c r="AA918" s="45"/>
      <c r="AB918" s="45"/>
      <c r="AC918" s="45"/>
      <c r="AD918" s="45"/>
      <c r="AE918" s="45"/>
      <c r="AF918" s="45"/>
      <c r="AG918" s="45"/>
      <c r="AH918" s="45"/>
      <c r="AI918" s="45"/>
      <c r="AJ918" s="45"/>
      <c r="AK918" s="45"/>
      <c r="AL918" s="45"/>
    </row>
    <row r="919" ht="15.75" customHeight="1">
      <c r="A919" s="27">
        <f t="shared" si="20"/>
        <v>268</v>
      </c>
      <c r="B919" s="28" t="s">
        <v>31</v>
      </c>
      <c r="C919" s="43" t="s">
        <v>3348</v>
      </c>
      <c r="D919" s="30" t="s">
        <v>3349</v>
      </c>
      <c r="E919" s="28"/>
      <c r="F919" s="28" t="s">
        <v>29</v>
      </c>
      <c r="G919" s="28" t="s">
        <v>30</v>
      </c>
      <c r="H919" s="28"/>
      <c r="I919" s="28" t="s">
        <v>30</v>
      </c>
      <c r="J919" s="28">
        <v>527.0</v>
      </c>
      <c r="K919" s="28"/>
      <c r="L919" s="28" t="s">
        <v>3350</v>
      </c>
      <c r="M919" s="28" t="s">
        <v>2258</v>
      </c>
      <c r="N919" s="28">
        <v>2002.0</v>
      </c>
      <c r="O919" s="62" t="s">
        <v>1381</v>
      </c>
      <c r="P919" s="28">
        <v>1.0</v>
      </c>
      <c r="Q919" s="94">
        <v>1.0</v>
      </c>
      <c r="R919" s="33"/>
      <c r="S919" s="34"/>
      <c r="T919" s="34"/>
      <c r="U919" s="34"/>
      <c r="V919" s="34"/>
      <c r="W919" s="34"/>
      <c r="X919" s="34"/>
      <c r="Y919" s="45"/>
      <c r="Z919" s="45"/>
      <c r="AA919" s="45"/>
      <c r="AB919" s="45"/>
      <c r="AC919" s="45"/>
      <c r="AD919" s="45"/>
      <c r="AE919" s="45"/>
      <c r="AF919" s="45"/>
      <c r="AG919" s="45"/>
      <c r="AH919" s="45"/>
      <c r="AI919" s="45"/>
      <c r="AJ919" s="45"/>
      <c r="AK919" s="45"/>
      <c r="AL919" s="45"/>
    </row>
    <row r="920" ht="15.75" customHeight="1">
      <c r="A920" s="27">
        <f t="shared" si="20"/>
        <v>269</v>
      </c>
      <c r="B920" s="133" t="s">
        <v>3351</v>
      </c>
      <c r="C920" s="104" t="s">
        <v>3352</v>
      </c>
      <c r="D920" s="134" t="s">
        <v>3353</v>
      </c>
      <c r="E920" s="111" t="s">
        <v>28</v>
      </c>
      <c r="F920" s="111" t="s">
        <v>29</v>
      </c>
      <c r="G920" s="111" t="s">
        <v>37</v>
      </c>
      <c r="H920" s="111"/>
      <c r="I920" s="111" t="s">
        <v>38</v>
      </c>
      <c r="J920" s="111">
        <f>272+32</f>
        <v>304</v>
      </c>
      <c r="K920" s="111"/>
      <c r="L920" s="111" t="s">
        <v>3354</v>
      </c>
      <c r="M920" s="111" t="s">
        <v>2567</v>
      </c>
      <c r="N920" s="111">
        <v>2002.0</v>
      </c>
      <c r="O920" s="62" t="s">
        <v>1381</v>
      </c>
      <c r="P920" s="111">
        <v>1.0</v>
      </c>
      <c r="Q920" s="32">
        <v>1.0</v>
      </c>
      <c r="R920" s="33"/>
      <c r="S920" s="34"/>
      <c r="T920" s="34"/>
      <c r="U920" s="34"/>
      <c r="V920" s="34"/>
      <c r="W920" s="34"/>
      <c r="X920" s="34"/>
      <c r="Y920" s="45"/>
      <c r="Z920" s="45"/>
      <c r="AA920" s="45"/>
      <c r="AB920" s="45"/>
      <c r="AC920" s="45"/>
      <c r="AD920" s="45"/>
      <c r="AE920" s="45"/>
      <c r="AF920" s="45"/>
      <c r="AG920" s="45"/>
      <c r="AH920" s="45"/>
      <c r="AI920" s="45"/>
      <c r="AJ920" s="45"/>
      <c r="AK920" s="45"/>
      <c r="AL920" s="45"/>
    </row>
    <row r="921" ht="15.75" customHeight="1">
      <c r="A921" s="27">
        <f t="shared" si="20"/>
        <v>270</v>
      </c>
      <c r="B921" s="121" t="s">
        <v>3355</v>
      </c>
      <c r="C921" s="121" t="s">
        <v>3356</v>
      </c>
      <c r="D921" s="119" t="s">
        <v>3357</v>
      </c>
      <c r="E921" s="83"/>
      <c r="F921" s="121" t="s">
        <v>29</v>
      </c>
      <c r="G921" s="121" t="s">
        <v>30</v>
      </c>
      <c r="H921" s="83"/>
      <c r="I921" s="121" t="s">
        <v>30</v>
      </c>
      <c r="J921" s="121">
        <v>157.0</v>
      </c>
      <c r="K921" s="83"/>
      <c r="L921" s="121" t="s">
        <v>3358</v>
      </c>
      <c r="M921" s="121" t="s">
        <v>3359</v>
      </c>
      <c r="N921" s="121">
        <v>1927.0</v>
      </c>
      <c r="O921" s="121" t="s">
        <v>2820</v>
      </c>
      <c r="P921" s="121">
        <v>1.0</v>
      </c>
      <c r="Q921" s="121">
        <v>1.0</v>
      </c>
      <c r="R921" s="84"/>
      <c r="S921" s="34"/>
      <c r="T921" s="34"/>
      <c r="U921" s="34"/>
      <c r="V921" s="34"/>
      <c r="W921" s="34"/>
      <c r="X921" s="34"/>
      <c r="Y921" s="45"/>
      <c r="Z921" s="45"/>
      <c r="AA921" s="45"/>
      <c r="AB921" s="45"/>
      <c r="AC921" s="45"/>
      <c r="AD921" s="45"/>
      <c r="AE921" s="45"/>
      <c r="AF921" s="45"/>
      <c r="AG921" s="45"/>
      <c r="AH921" s="45"/>
      <c r="AI921" s="45"/>
      <c r="AJ921" s="45"/>
      <c r="AK921" s="45"/>
      <c r="AL921" s="45"/>
    </row>
    <row r="922" ht="15.75" customHeight="1">
      <c r="A922" s="27">
        <f t="shared" si="20"/>
        <v>271</v>
      </c>
      <c r="B922" s="28" t="s">
        <v>3360</v>
      </c>
      <c r="C922" s="29" t="s">
        <v>3361</v>
      </c>
      <c r="D922" s="30" t="s">
        <v>3362</v>
      </c>
      <c r="E922" s="28" t="s">
        <v>144</v>
      </c>
      <c r="F922" s="28" t="s">
        <v>29</v>
      </c>
      <c r="G922" s="28" t="s">
        <v>38</v>
      </c>
      <c r="H922" s="28" t="s">
        <v>31</v>
      </c>
      <c r="I922" s="28" t="s">
        <v>38</v>
      </c>
      <c r="J922" s="122">
        <v>211.0</v>
      </c>
      <c r="K922" s="123"/>
      <c r="L922" s="31" t="s">
        <v>3363</v>
      </c>
      <c r="M922" s="28" t="s">
        <v>3364</v>
      </c>
      <c r="N922" s="28">
        <v>2000.0</v>
      </c>
      <c r="O922" s="60" t="s">
        <v>2820</v>
      </c>
      <c r="P922" s="28">
        <v>1.0</v>
      </c>
      <c r="Q922" s="32">
        <v>1.0</v>
      </c>
      <c r="R922" s="33"/>
      <c r="S922" s="34"/>
      <c r="T922" s="34"/>
      <c r="U922" s="34"/>
      <c r="V922" s="34"/>
      <c r="W922" s="34"/>
      <c r="X922" s="34"/>
      <c r="Y922" s="45"/>
      <c r="Z922" s="45"/>
      <c r="AA922" s="45"/>
      <c r="AB922" s="45"/>
      <c r="AC922" s="45"/>
      <c r="AD922" s="45"/>
      <c r="AE922" s="45"/>
      <c r="AF922" s="45"/>
      <c r="AG922" s="45"/>
      <c r="AH922" s="45"/>
      <c r="AI922" s="45"/>
      <c r="AJ922" s="45"/>
      <c r="AK922" s="45"/>
      <c r="AL922" s="45"/>
    </row>
    <row r="923" ht="15.75" customHeight="1">
      <c r="A923" s="27">
        <f t="shared" si="20"/>
        <v>272</v>
      </c>
      <c r="B923" s="28" t="s">
        <v>3365</v>
      </c>
      <c r="C923" s="48" t="s">
        <v>3366</v>
      </c>
      <c r="D923" s="30" t="s">
        <v>3367</v>
      </c>
      <c r="E923" s="28" t="s">
        <v>28</v>
      </c>
      <c r="F923" s="28" t="s">
        <v>29</v>
      </c>
      <c r="G923" s="28" t="s">
        <v>37</v>
      </c>
      <c r="H923" s="28"/>
      <c r="I923" s="28" t="s">
        <v>38</v>
      </c>
      <c r="J923" s="28">
        <v>255.0</v>
      </c>
      <c r="K923" s="28"/>
      <c r="L923" s="28" t="s">
        <v>3368</v>
      </c>
      <c r="M923" s="60" t="s">
        <v>3369</v>
      </c>
      <c r="N923" s="60">
        <v>1983.0</v>
      </c>
      <c r="O923" s="60" t="s">
        <v>2820</v>
      </c>
      <c r="P923" s="28">
        <v>1.0</v>
      </c>
      <c r="Q923" s="94">
        <v>1.0</v>
      </c>
      <c r="R923" s="33"/>
      <c r="S923" s="34"/>
      <c r="T923" s="34"/>
      <c r="U923" s="34"/>
      <c r="V923" s="34"/>
      <c r="W923" s="34"/>
      <c r="X923" s="34"/>
      <c r="Y923" s="45"/>
      <c r="Z923" s="45"/>
      <c r="AA923" s="45"/>
      <c r="AB923" s="45"/>
      <c r="AC923" s="45"/>
      <c r="AD923" s="45"/>
      <c r="AE923" s="45"/>
      <c r="AF923" s="45"/>
      <c r="AG923" s="45"/>
      <c r="AH923" s="45"/>
      <c r="AI923" s="45"/>
      <c r="AJ923" s="45"/>
      <c r="AK923" s="45"/>
      <c r="AL923" s="45"/>
    </row>
    <row r="924" ht="15.75" customHeight="1">
      <c r="A924" s="27">
        <f t="shared" si="20"/>
        <v>273</v>
      </c>
      <c r="B924" s="28" t="s">
        <v>31</v>
      </c>
      <c r="C924" s="102" t="s">
        <v>3370</v>
      </c>
      <c r="D924" s="30" t="s">
        <v>3371</v>
      </c>
      <c r="E924" s="28" t="s">
        <v>28</v>
      </c>
      <c r="F924" s="28" t="s">
        <v>29</v>
      </c>
      <c r="G924" s="28" t="s">
        <v>30</v>
      </c>
      <c r="H924" s="28" t="s">
        <v>31</v>
      </c>
      <c r="I924" s="28" t="s">
        <v>30</v>
      </c>
      <c r="J924" s="28">
        <v>200.0</v>
      </c>
      <c r="K924" s="28"/>
      <c r="L924" s="28" t="s">
        <v>3372</v>
      </c>
      <c r="M924" s="60" t="s">
        <v>3373</v>
      </c>
      <c r="N924" s="28">
        <v>2004.0</v>
      </c>
      <c r="O924" s="62" t="s">
        <v>1381</v>
      </c>
      <c r="P924" s="28">
        <v>1.0</v>
      </c>
      <c r="Q924" s="32">
        <v>1.0</v>
      </c>
      <c r="R924" s="33"/>
      <c r="S924" s="34"/>
      <c r="T924" s="34"/>
      <c r="U924" s="34"/>
      <c r="V924" s="34"/>
      <c r="W924" s="34"/>
      <c r="X924" s="34"/>
      <c r="Y924" s="45"/>
      <c r="Z924" s="45"/>
      <c r="AA924" s="45"/>
      <c r="AB924" s="45"/>
      <c r="AC924" s="45"/>
      <c r="AD924" s="45"/>
      <c r="AE924" s="45"/>
      <c r="AF924" s="45"/>
      <c r="AG924" s="45"/>
      <c r="AH924" s="45"/>
      <c r="AI924" s="45"/>
      <c r="AJ924" s="45"/>
      <c r="AK924" s="45"/>
      <c r="AL924" s="45"/>
    </row>
    <row r="925" ht="15.75" customHeight="1">
      <c r="A925" s="27">
        <f t="shared" si="20"/>
        <v>274</v>
      </c>
      <c r="B925" s="28" t="s">
        <v>3374</v>
      </c>
      <c r="C925" s="102" t="s">
        <v>3375</v>
      </c>
      <c r="D925" s="30" t="s">
        <v>3376</v>
      </c>
      <c r="E925" s="28" t="s">
        <v>28</v>
      </c>
      <c r="F925" s="28" t="s">
        <v>29</v>
      </c>
      <c r="G925" s="28" t="s">
        <v>30</v>
      </c>
      <c r="H925" s="28" t="s">
        <v>31</v>
      </c>
      <c r="I925" s="28" t="s">
        <v>30</v>
      </c>
      <c r="J925" s="28">
        <v>144.0</v>
      </c>
      <c r="K925" s="28"/>
      <c r="L925" s="28" t="s">
        <v>3377</v>
      </c>
      <c r="M925" s="28" t="s">
        <v>151</v>
      </c>
      <c r="N925" s="28">
        <v>1989.0</v>
      </c>
      <c r="O925" s="62" t="s">
        <v>1381</v>
      </c>
      <c r="P925" s="28">
        <v>1.0</v>
      </c>
      <c r="Q925" s="32">
        <v>1.0</v>
      </c>
      <c r="R925" s="33"/>
      <c r="S925" s="40"/>
      <c r="T925" s="40"/>
      <c r="U925" s="40"/>
      <c r="V925" s="40"/>
      <c r="W925" s="40"/>
      <c r="X925" s="40"/>
      <c r="Y925" s="45"/>
      <c r="Z925" s="45"/>
      <c r="AA925" s="45"/>
      <c r="AB925" s="45"/>
      <c r="AC925" s="45"/>
      <c r="AD925" s="45"/>
      <c r="AE925" s="45"/>
      <c r="AF925" s="45"/>
      <c r="AG925" s="45"/>
      <c r="AH925" s="45"/>
      <c r="AI925" s="45"/>
      <c r="AJ925" s="45"/>
      <c r="AK925" s="45"/>
      <c r="AL925" s="45"/>
    </row>
    <row r="926" ht="15.75" customHeight="1">
      <c r="A926" s="27">
        <f t="shared" si="20"/>
        <v>275</v>
      </c>
      <c r="B926" s="28" t="s">
        <v>3374</v>
      </c>
      <c r="C926" s="43" t="s">
        <v>3375</v>
      </c>
      <c r="D926" s="30" t="s">
        <v>3376</v>
      </c>
      <c r="E926" s="28" t="s">
        <v>31</v>
      </c>
      <c r="F926" s="28" t="s">
        <v>29</v>
      </c>
      <c r="G926" s="28" t="s">
        <v>30</v>
      </c>
      <c r="H926" s="28"/>
      <c r="I926" s="28" t="s">
        <v>30</v>
      </c>
      <c r="J926" s="28">
        <v>157.0</v>
      </c>
      <c r="K926" s="28"/>
      <c r="L926" s="28" t="s">
        <v>3377</v>
      </c>
      <c r="M926" s="28" t="s">
        <v>151</v>
      </c>
      <c r="N926" s="28">
        <v>1997.0</v>
      </c>
      <c r="O926" s="62" t="s">
        <v>1381</v>
      </c>
      <c r="P926" s="28">
        <v>1.0</v>
      </c>
      <c r="Q926" s="94">
        <v>1.0</v>
      </c>
      <c r="R926" s="33"/>
      <c r="S926" s="34"/>
      <c r="T926" s="34"/>
      <c r="U926" s="34"/>
      <c r="V926" s="34"/>
      <c r="W926" s="34"/>
      <c r="X926" s="34"/>
      <c r="Y926" s="45"/>
      <c r="Z926" s="45"/>
      <c r="AA926" s="45"/>
      <c r="AB926" s="45"/>
      <c r="AC926" s="45"/>
      <c r="AD926" s="45"/>
      <c r="AE926" s="45"/>
      <c r="AF926" s="45"/>
      <c r="AG926" s="45"/>
      <c r="AH926" s="45"/>
      <c r="AI926" s="45"/>
      <c r="AJ926" s="45"/>
      <c r="AK926" s="45"/>
      <c r="AL926" s="45"/>
    </row>
    <row r="927" ht="15.75" customHeight="1">
      <c r="A927" s="27">
        <f t="shared" si="20"/>
        <v>276</v>
      </c>
      <c r="B927" s="28" t="s">
        <v>3378</v>
      </c>
      <c r="C927" s="48" t="s">
        <v>3379</v>
      </c>
      <c r="D927" s="120" t="s">
        <v>3380</v>
      </c>
      <c r="E927" s="60" t="s">
        <v>28</v>
      </c>
      <c r="F927" s="28" t="s">
        <v>29</v>
      </c>
      <c r="G927" s="28" t="s">
        <v>37</v>
      </c>
      <c r="H927" s="28"/>
      <c r="I927" s="28" t="s">
        <v>38</v>
      </c>
      <c r="J927" s="28">
        <v>250.0</v>
      </c>
      <c r="K927" s="28"/>
      <c r="L927" s="28" t="s">
        <v>3381</v>
      </c>
      <c r="M927" s="28" t="s">
        <v>3268</v>
      </c>
      <c r="N927" s="28">
        <v>2006.0</v>
      </c>
      <c r="O927" s="60" t="s">
        <v>2820</v>
      </c>
      <c r="P927" s="28">
        <v>1.0</v>
      </c>
      <c r="Q927" s="94">
        <v>1.0</v>
      </c>
      <c r="R927" s="33"/>
      <c r="S927" s="34"/>
      <c r="T927" s="34"/>
      <c r="U927" s="34"/>
      <c r="V927" s="34"/>
      <c r="W927" s="34"/>
      <c r="X927" s="34"/>
      <c r="Y927" s="45"/>
      <c r="Z927" s="45"/>
      <c r="AA927" s="45"/>
      <c r="AB927" s="45"/>
      <c r="AC927" s="45"/>
      <c r="AD927" s="45"/>
      <c r="AE927" s="45"/>
      <c r="AF927" s="45"/>
      <c r="AG927" s="45"/>
      <c r="AH927" s="45"/>
      <c r="AI927" s="45"/>
      <c r="AJ927" s="45"/>
      <c r="AK927" s="45"/>
      <c r="AL927" s="45"/>
    </row>
    <row r="928" ht="15.75" customHeight="1">
      <c r="A928" s="27">
        <f t="shared" si="20"/>
        <v>277</v>
      </c>
      <c r="B928" s="28" t="s">
        <v>3382</v>
      </c>
      <c r="C928" s="43" t="s">
        <v>3383</v>
      </c>
      <c r="D928" s="120" t="s">
        <v>3384</v>
      </c>
      <c r="E928" s="28" t="s">
        <v>28</v>
      </c>
      <c r="F928" s="28" t="s">
        <v>29</v>
      </c>
      <c r="G928" s="28" t="s">
        <v>30</v>
      </c>
      <c r="H928" s="28"/>
      <c r="I928" s="28" t="s">
        <v>30</v>
      </c>
      <c r="J928" s="28">
        <v>233.0</v>
      </c>
      <c r="K928" s="28"/>
      <c r="L928" s="28" t="s">
        <v>3385</v>
      </c>
      <c r="M928" s="60" t="s">
        <v>151</v>
      </c>
      <c r="N928" s="60">
        <v>2001.0</v>
      </c>
      <c r="O928" s="62" t="s">
        <v>1381</v>
      </c>
      <c r="P928" s="60">
        <v>1.0</v>
      </c>
      <c r="Q928" s="94">
        <v>1.0</v>
      </c>
      <c r="R928" s="33"/>
      <c r="S928" s="34"/>
      <c r="T928" s="34"/>
      <c r="U928" s="34"/>
      <c r="V928" s="34"/>
      <c r="W928" s="34"/>
      <c r="X928" s="34"/>
      <c r="Y928" s="45"/>
      <c r="Z928" s="45"/>
      <c r="AA928" s="45"/>
      <c r="AB928" s="45"/>
      <c r="AC928" s="45"/>
      <c r="AD928" s="45"/>
      <c r="AE928" s="45"/>
      <c r="AF928" s="45"/>
      <c r="AG928" s="45"/>
      <c r="AH928" s="45"/>
      <c r="AI928" s="45"/>
      <c r="AJ928" s="45"/>
      <c r="AK928" s="45"/>
      <c r="AL928" s="45"/>
    </row>
    <row r="929" ht="15.75" customHeight="1">
      <c r="A929" s="27">
        <f t="shared" si="20"/>
        <v>278</v>
      </c>
      <c r="B929" s="121" t="s">
        <v>3386</v>
      </c>
      <c r="C929" s="121" t="s">
        <v>3383</v>
      </c>
      <c r="D929" s="119" t="s">
        <v>3387</v>
      </c>
      <c r="E929" s="83"/>
      <c r="F929" s="121" t="s">
        <v>29</v>
      </c>
      <c r="G929" s="121" t="s">
        <v>30</v>
      </c>
      <c r="H929" s="83"/>
      <c r="I929" s="121" t="s">
        <v>30</v>
      </c>
      <c r="J929" s="121">
        <v>233.0</v>
      </c>
      <c r="K929" s="83"/>
      <c r="L929" s="121" t="s">
        <v>3385</v>
      </c>
      <c r="M929" s="121" t="s">
        <v>151</v>
      </c>
      <c r="N929" s="121">
        <v>2009.0</v>
      </c>
      <c r="O929" s="62" t="s">
        <v>1381</v>
      </c>
      <c r="P929" s="121">
        <v>1.0</v>
      </c>
      <c r="Q929" s="121">
        <v>1.0</v>
      </c>
      <c r="R929" s="84"/>
      <c r="S929" s="34"/>
      <c r="T929" s="34"/>
      <c r="U929" s="34"/>
      <c r="V929" s="34"/>
      <c r="W929" s="34"/>
      <c r="X929" s="34"/>
      <c r="Y929" s="45"/>
      <c r="Z929" s="45"/>
      <c r="AA929" s="45"/>
      <c r="AB929" s="45"/>
      <c r="AC929" s="45"/>
      <c r="AD929" s="45"/>
      <c r="AE929" s="45"/>
      <c r="AF929" s="45"/>
      <c r="AG929" s="45"/>
      <c r="AH929" s="45"/>
      <c r="AI929" s="45"/>
      <c r="AJ929" s="45"/>
      <c r="AK929" s="45"/>
      <c r="AL929" s="45"/>
    </row>
    <row r="930" ht="15.75" customHeight="1">
      <c r="A930" s="27">
        <f t="shared" si="20"/>
        <v>279</v>
      </c>
      <c r="B930" s="28" t="s">
        <v>3388</v>
      </c>
      <c r="C930" s="43" t="s">
        <v>3389</v>
      </c>
      <c r="D930" s="30" t="s">
        <v>3390</v>
      </c>
      <c r="E930" s="28" t="s">
        <v>31</v>
      </c>
      <c r="F930" s="28" t="s">
        <v>29</v>
      </c>
      <c r="G930" s="28" t="s">
        <v>37</v>
      </c>
      <c r="H930" s="28"/>
      <c r="I930" s="28" t="s">
        <v>38</v>
      </c>
      <c r="J930" s="28">
        <v>238.0</v>
      </c>
      <c r="K930" s="28"/>
      <c r="L930" s="28" t="s">
        <v>3391</v>
      </c>
      <c r="M930" s="28" t="s">
        <v>352</v>
      </c>
      <c r="N930" s="28">
        <v>2002.0</v>
      </c>
      <c r="O930" s="60" t="s">
        <v>2820</v>
      </c>
      <c r="P930" s="28">
        <v>1.0</v>
      </c>
      <c r="Q930" s="94">
        <v>1.0</v>
      </c>
      <c r="R930" s="33"/>
      <c r="S930" s="34"/>
      <c r="T930" s="34"/>
      <c r="U930" s="34"/>
      <c r="V930" s="34"/>
      <c r="W930" s="34"/>
      <c r="X930" s="34"/>
      <c r="Y930" s="45"/>
      <c r="Z930" s="45"/>
      <c r="AA930" s="45"/>
      <c r="AB930" s="45"/>
      <c r="AC930" s="45"/>
      <c r="AD930" s="45"/>
      <c r="AE930" s="45"/>
      <c r="AF930" s="45"/>
      <c r="AG930" s="45"/>
      <c r="AH930" s="45"/>
      <c r="AI930" s="45"/>
      <c r="AJ930" s="45"/>
      <c r="AK930" s="45"/>
      <c r="AL930" s="45"/>
    </row>
    <row r="931" ht="15.75" customHeight="1">
      <c r="A931" s="27">
        <f t="shared" si="20"/>
        <v>280</v>
      </c>
      <c r="B931" s="28" t="s">
        <v>3392</v>
      </c>
      <c r="C931" s="43" t="s">
        <v>3393</v>
      </c>
      <c r="D931" s="30" t="s">
        <v>3394</v>
      </c>
      <c r="E931" s="28" t="s">
        <v>28</v>
      </c>
      <c r="F931" s="28" t="s">
        <v>29</v>
      </c>
      <c r="G931" s="28" t="s">
        <v>30</v>
      </c>
      <c r="H931" s="28"/>
      <c r="I931" s="28" t="s">
        <v>30</v>
      </c>
      <c r="J931" s="28">
        <v>124.0</v>
      </c>
      <c r="K931" s="28"/>
      <c r="L931" s="28" t="s">
        <v>492</v>
      </c>
      <c r="M931" s="28" t="s">
        <v>544</v>
      </c>
      <c r="N931" s="28">
        <v>1997.0</v>
      </c>
      <c r="O931" s="62" t="s">
        <v>1381</v>
      </c>
      <c r="P931" s="28">
        <v>1.0</v>
      </c>
      <c r="Q931" s="32">
        <v>1.0</v>
      </c>
      <c r="R931" s="33"/>
      <c r="S931" s="34"/>
      <c r="T931" s="34"/>
      <c r="U931" s="34"/>
      <c r="V931" s="34"/>
      <c r="W931" s="34"/>
      <c r="X931" s="34"/>
      <c r="Y931" s="45"/>
      <c r="Z931" s="45"/>
      <c r="AA931" s="45"/>
      <c r="AB931" s="45"/>
      <c r="AC931" s="45"/>
      <c r="AD931" s="45"/>
      <c r="AE931" s="45"/>
      <c r="AF931" s="45"/>
      <c r="AG931" s="45"/>
      <c r="AH931" s="45"/>
      <c r="AI931" s="45"/>
      <c r="AJ931" s="45"/>
      <c r="AK931" s="45"/>
      <c r="AL931" s="45"/>
    </row>
    <row r="932" ht="15.75" customHeight="1">
      <c r="A932" s="27">
        <f t="shared" si="20"/>
        <v>281</v>
      </c>
      <c r="B932" s="28" t="s">
        <v>3395</v>
      </c>
      <c r="C932" s="102" t="s">
        <v>3396</v>
      </c>
      <c r="D932" s="120" t="s">
        <v>3397</v>
      </c>
      <c r="E932" s="28"/>
      <c r="F932" s="28" t="s">
        <v>29</v>
      </c>
      <c r="G932" s="28" t="s">
        <v>38</v>
      </c>
      <c r="H932" s="28"/>
      <c r="I932" s="28" t="s">
        <v>38</v>
      </c>
      <c r="J932" s="28">
        <v>384.0</v>
      </c>
      <c r="K932" s="28"/>
      <c r="L932" s="60" t="s">
        <v>3398</v>
      </c>
      <c r="M932" s="28" t="s">
        <v>3399</v>
      </c>
      <c r="N932" s="28">
        <v>1989.0</v>
      </c>
      <c r="O932" s="60" t="s">
        <v>2820</v>
      </c>
      <c r="P932" s="28">
        <v>1.0</v>
      </c>
      <c r="Q932" s="94">
        <v>1.0</v>
      </c>
      <c r="R932" s="33"/>
      <c r="S932" s="34"/>
      <c r="T932" s="34"/>
      <c r="U932" s="34"/>
      <c r="V932" s="34"/>
      <c r="W932" s="34"/>
      <c r="X932" s="34"/>
      <c r="Y932" s="3"/>
      <c r="Z932" s="3"/>
      <c r="AA932" s="3"/>
      <c r="AB932" s="3"/>
      <c r="AC932" s="3"/>
      <c r="AD932" s="3"/>
      <c r="AE932" s="3"/>
      <c r="AF932" s="3"/>
      <c r="AG932" s="3"/>
      <c r="AH932" s="3"/>
      <c r="AI932" s="3"/>
      <c r="AJ932" s="3"/>
      <c r="AK932" s="3"/>
      <c r="AL932" s="3"/>
    </row>
    <row r="933" ht="15.75" customHeight="1">
      <c r="A933" s="27">
        <f t="shared" si="20"/>
        <v>282</v>
      </c>
      <c r="B933" s="28" t="s">
        <v>3400</v>
      </c>
      <c r="C933" s="43" t="s">
        <v>3401</v>
      </c>
      <c r="D933" s="30" t="s">
        <v>3402</v>
      </c>
      <c r="E933" s="28" t="s">
        <v>144</v>
      </c>
      <c r="F933" s="28" t="s">
        <v>29</v>
      </c>
      <c r="G933" s="28" t="s">
        <v>30</v>
      </c>
      <c r="H933" s="28"/>
      <c r="I933" s="28" t="s">
        <v>30</v>
      </c>
      <c r="J933" s="28">
        <v>233.0</v>
      </c>
      <c r="K933" s="28"/>
      <c r="L933" s="28" t="s">
        <v>3403</v>
      </c>
      <c r="M933" s="28" t="s">
        <v>151</v>
      </c>
      <c r="N933" s="28">
        <v>2015.0</v>
      </c>
      <c r="O933" s="28" t="s">
        <v>2820</v>
      </c>
      <c r="P933" s="28">
        <v>1.0</v>
      </c>
      <c r="Q933" s="94">
        <v>1.0</v>
      </c>
      <c r="R933" s="33"/>
      <c r="S933" s="40"/>
      <c r="T933" s="40"/>
      <c r="U933" s="40"/>
      <c r="V933" s="40"/>
      <c r="W933" s="40"/>
      <c r="X933" s="40"/>
      <c r="Y933" s="45"/>
      <c r="Z933" s="45"/>
      <c r="AA933" s="45"/>
      <c r="AB933" s="45"/>
      <c r="AC933" s="45"/>
      <c r="AD933" s="45"/>
      <c r="AE933" s="45"/>
      <c r="AF933" s="45"/>
      <c r="AG933" s="45"/>
      <c r="AH933" s="45"/>
      <c r="AI933" s="45"/>
      <c r="AJ933" s="45"/>
      <c r="AK933" s="45"/>
      <c r="AL933" s="45"/>
    </row>
    <row r="934" ht="15.75" customHeight="1">
      <c r="A934" s="27">
        <f t="shared" si="20"/>
        <v>283</v>
      </c>
      <c r="B934" s="28" t="s">
        <v>3404</v>
      </c>
      <c r="C934" s="29" t="s">
        <v>3405</v>
      </c>
      <c r="D934" s="30" t="s">
        <v>3406</v>
      </c>
      <c r="E934" s="28" t="s">
        <v>28</v>
      </c>
      <c r="F934" s="28" t="s">
        <v>29</v>
      </c>
      <c r="G934" s="28" t="s">
        <v>30</v>
      </c>
      <c r="H934" s="28" t="s">
        <v>31</v>
      </c>
      <c r="I934" s="28" t="s">
        <v>30</v>
      </c>
      <c r="J934" s="28">
        <v>423.0</v>
      </c>
      <c r="K934" s="28"/>
      <c r="L934" s="28" t="s">
        <v>3407</v>
      </c>
      <c r="M934" s="28" t="s">
        <v>151</v>
      </c>
      <c r="N934" s="28">
        <v>2007.0</v>
      </c>
      <c r="O934" s="124" t="s">
        <v>1381</v>
      </c>
      <c r="P934" s="28">
        <v>1.0</v>
      </c>
      <c r="Q934" s="32">
        <v>1.0</v>
      </c>
      <c r="R934" s="33"/>
      <c r="S934" s="40"/>
      <c r="T934" s="40"/>
      <c r="U934" s="40"/>
      <c r="V934" s="40"/>
      <c r="W934" s="40"/>
      <c r="X934" s="40"/>
      <c r="Y934" s="45"/>
      <c r="Z934" s="45"/>
      <c r="AA934" s="45"/>
      <c r="AB934" s="45"/>
      <c r="AC934" s="45"/>
      <c r="AD934" s="45"/>
      <c r="AE934" s="45"/>
      <c r="AF934" s="45"/>
      <c r="AG934" s="45"/>
      <c r="AH934" s="45"/>
      <c r="AI934" s="45"/>
      <c r="AJ934" s="45"/>
      <c r="AK934" s="45"/>
      <c r="AL934" s="45"/>
    </row>
    <row r="935" ht="15.75" customHeight="1">
      <c r="A935" s="27">
        <f t="shared" si="20"/>
        <v>284</v>
      </c>
      <c r="B935" s="28" t="s">
        <v>3408</v>
      </c>
      <c r="C935" s="29" t="s">
        <v>3405</v>
      </c>
      <c r="D935" s="30" t="s">
        <v>3409</v>
      </c>
      <c r="E935" s="28" t="s">
        <v>28</v>
      </c>
      <c r="F935" s="28" t="s">
        <v>29</v>
      </c>
      <c r="G935" s="28" t="s">
        <v>30</v>
      </c>
      <c r="H935" s="28"/>
      <c r="I935" s="28" t="s">
        <v>30</v>
      </c>
      <c r="J935" s="28">
        <v>413.0</v>
      </c>
      <c r="K935" s="28"/>
      <c r="L935" s="28" t="s">
        <v>3407</v>
      </c>
      <c r="M935" s="28" t="s">
        <v>151</v>
      </c>
      <c r="N935" s="28">
        <v>2015.0</v>
      </c>
      <c r="O935" s="62" t="s">
        <v>1381</v>
      </c>
      <c r="P935" s="28">
        <v>1.0</v>
      </c>
      <c r="Q935" s="32">
        <v>1.0</v>
      </c>
      <c r="R935" s="33"/>
      <c r="S935" s="34"/>
      <c r="T935" s="34"/>
      <c r="U935" s="34"/>
      <c r="V935" s="34"/>
      <c r="W935" s="34"/>
      <c r="X935" s="34"/>
      <c r="Y935" s="45"/>
      <c r="Z935" s="45"/>
      <c r="AA935" s="45"/>
      <c r="AB935" s="45"/>
      <c r="AC935" s="45"/>
      <c r="AD935" s="45"/>
      <c r="AE935" s="45"/>
      <c r="AF935" s="45"/>
      <c r="AG935" s="45"/>
      <c r="AH935" s="45"/>
      <c r="AI935" s="45"/>
      <c r="AJ935" s="45"/>
      <c r="AK935" s="45"/>
      <c r="AL935" s="45"/>
    </row>
    <row r="936" ht="15.75" customHeight="1">
      <c r="A936" s="27">
        <f t="shared" si="20"/>
        <v>285</v>
      </c>
      <c r="B936" s="28" t="s">
        <v>3410</v>
      </c>
      <c r="C936" s="102" t="s">
        <v>3411</v>
      </c>
      <c r="D936" s="120" t="s">
        <v>3412</v>
      </c>
      <c r="E936" s="28" t="s">
        <v>28</v>
      </c>
      <c r="F936" s="28" t="s">
        <v>29</v>
      </c>
      <c r="G936" s="28" t="s">
        <v>30</v>
      </c>
      <c r="H936" s="28"/>
      <c r="I936" s="28" t="s">
        <v>30</v>
      </c>
      <c r="J936" s="60">
        <v>286.0</v>
      </c>
      <c r="K936" s="28"/>
      <c r="L936" s="28" t="s">
        <v>3413</v>
      </c>
      <c r="M936" s="60" t="s">
        <v>2463</v>
      </c>
      <c r="N936" s="60">
        <v>2005.0</v>
      </c>
      <c r="O936" s="60" t="s">
        <v>2820</v>
      </c>
      <c r="P936" s="28">
        <v>1.0</v>
      </c>
      <c r="Q936" s="94">
        <v>1.0</v>
      </c>
      <c r="R936" s="33"/>
      <c r="S936" s="40"/>
      <c r="T936" s="40"/>
      <c r="U936" s="40"/>
      <c r="V936" s="40"/>
      <c r="W936" s="40"/>
      <c r="X936" s="40"/>
      <c r="Y936" s="45"/>
      <c r="Z936" s="45"/>
      <c r="AA936" s="45"/>
      <c r="AB936" s="45"/>
      <c r="AC936" s="45"/>
      <c r="AD936" s="45"/>
      <c r="AE936" s="45"/>
      <c r="AF936" s="45"/>
      <c r="AG936" s="45"/>
      <c r="AH936" s="45"/>
      <c r="AI936" s="45"/>
      <c r="AJ936" s="45"/>
      <c r="AK936" s="45"/>
      <c r="AL936" s="45"/>
    </row>
    <row r="937" ht="15.75" customHeight="1">
      <c r="A937" s="27">
        <f t="shared" si="20"/>
        <v>286</v>
      </c>
      <c r="B937" s="28" t="s">
        <v>3414</v>
      </c>
      <c r="C937" s="43" t="s">
        <v>3415</v>
      </c>
      <c r="D937" s="39" t="s">
        <v>3416</v>
      </c>
      <c r="E937" s="28" t="s">
        <v>28</v>
      </c>
      <c r="F937" s="28" t="s">
        <v>29</v>
      </c>
      <c r="G937" s="28" t="s">
        <v>37</v>
      </c>
      <c r="H937" s="28"/>
      <c r="I937" s="28" t="s">
        <v>38</v>
      </c>
      <c r="J937" s="28">
        <f>233+15</f>
        <v>248</v>
      </c>
      <c r="K937" s="28"/>
      <c r="L937" s="28" t="s">
        <v>2005</v>
      </c>
      <c r="M937" s="28" t="s">
        <v>1176</v>
      </c>
      <c r="N937" s="28">
        <v>2012.0</v>
      </c>
      <c r="O937" s="62" t="s">
        <v>1381</v>
      </c>
      <c r="P937" s="28">
        <v>1.0</v>
      </c>
      <c r="Q937" s="94">
        <v>1.0</v>
      </c>
      <c r="R937" s="33"/>
      <c r="S937" s="34"/>
      <c r="T937" s="34"/>
      <c r="U937" s="34"/>
      <c r="V937" s="34"/>
      <c r="W937" s="34"/>
      <c r="X937" s="34"/>
      <c r="Y937" s="45"/>
      <c r="Z937" s="45"/>
      <c r="AA937" s="45"/>
      <c r="AB937" s="45"/>
      <c r="AC937" s="45"/>
      <c r="AD937" s="45"/>
      <c r="AE937" s="45"/>
      <c r="AF937" s="45"/>
      <c r="AG937" s="45"/>
      <c r="AH937" s="45"/>
      <c r="AI937" s="45"/>
      <c r="AJ937" s="45"/>
      <c r="AK937" s="45"/>
      <c r="AL937" s="45"/>
    </row>
    <row r="938" ht="15.75" customHeight="1">
      <c r="A938" s="27">
        <f t="shared" si="20"/>
        <v>287</v>
      </c>
      <c r="B938" s="121" t="s">
        <v>3417</v>
      </c>
      <c r="C938" s="124" t="s">
        <v>3418</v>
      </c>
      <c r="D938" s="135" t="s">
        <v>3419</v>
      </c>
      <c r="E938" s="121" t="s">
        <v>3148</v>
      </c>
      <c r="F938" s="121" t="s">
        <v>29</v>
      </c>
      <c r="G938" s="121" t="s">
        <v>37</v>
      </c>
      <c r="H938" s="83"/>
      <c r="I938" s="121" t="s">
        <v>38</v>
      </c>
      <c r="J938" s="121">
        <v>154.0</v>
      </c>
      <c r="K938" s="83"/>
      <c r="L938" s="121" t="s">
        <v>2159</v>
      </c>
      <c r="M938" s="121" t="s">
        <v>54</v>
      </c>
      <c r="N938" s="121">
        <v>1981.0</v>
      </c>
      <c r="O938" s="62">
        <v>5.0</v>
      </c>
      <c r="P938" s="124">
        <v>6.0</v>
      </c>
      <c r="Q938" s="124">
        <v>6.0</v>
      </c>
      <c r="R938" s="84"/>
      <c r="S938" s="34"/>
      <c r="T938" s="34"/>
      <c r="U938" s="34"/>
      <c r="V938" s="34"/>
      <c r="W938" s="34"/>
      <c r="X938" s="34"/>
      <c r="Y938" s="45"/>
      <c r="Z938" s="45"/>
      <c r="AA938" s="45"/>
      <c r="AB938" s="45"/>
      <c r="AC938" s="45"/>
      <c r="AD938" s="45"/>
      <c r="AE938" s="45"/>
      <c r="AF938" s="45"/>
      <c r="AG938" s="45"/>
      <c r="AH938" s="45"/>
      <c r="AI938" s="45"/>
      <c r="AJ938" s="45"/>
      <c r="AK938" s="45"/>
      <c r="AL938" s="45"/>
    </row>
    <row r="939" ht="15.75" customHeight="1">
      <c r="A939" s="27">
        <f t="shared" si="20"/>
        <v>288</v>
      </c>
      <c r="B939" s="28" t="s">
        <v>31</v>
      </c>
      <c r="C939" s="48" t="s">
        <v>3420</v>
      </c>
      <c r="D939" s="30" t="s">
        <v>3421</v>
      </c>
      <c r="E939" s="28" t="s">
        <v>28</v>
      </c>
      <c r="F939" s="28" t="s">
        <v>29</v>
      </c>
      <c r="G939" s="28" t="s">
        <v>38</v>
      </c>
      <c r="H939" s="28"/>
      <c r="I939" s="28" t="s">
        <v>38</v>
      </c>
      <c r="J939" s="28"/>
      <c r="K939" s="28"/>
      <c r="L939" s="28" t="s">
        <v>3422</v>
      </c>
      <c r="M939" s="28"/>
      <c r="N939" s="60">
        <v>1962.0</v>
      </c>
      <c r="O939" s="60" t="s">
        <v>2820</v>
      </c>
      <c r="P939" s="28">
        <v>1.0</v>
      </c>
      <c r="Q939" s="32">
        <v>1.0</v>
      </c>
      <c r="R939" s="33"/>
      <c r="S939" s="38"/>
      <c r="T939" s="38"/>
      <c r="U939" s="38"/>
      <c r="V939" s="38"/>
      <c r="W939" s="38"/>
      <c r="X939" s="38"/>
      <c r="Y939" s="45"/>
      <c r="Z939" s="45"/>
      <c r="AA939" s="45"/>
      <c r="AB939" s="45"/>
      <c r="AC939" s="45"/>
      <c r="AD939" s="45"/>
      <c r="AE939" s="45"/>
      <c r="AF939" s="45"/>
      <c r="AG939" s="45"/>
      <c r="AH939" s="45"/>
      <c r="AI939" s="45"/>
      <c r="AJ939" s="45"/>
      <c r="AK939" s="45"/>
      <c r="AL939" s="45"/>
    </row>
    <row r="940" ht="15.75" customHeight="1">
      <c r="A940" s="27">
        <f t="shared" si="20"/>
        <v>289</v>
      </c>
      <c r="B940" s="28"/>
      <c r="C940" s="43" t="s">
        <v>3423</v>
      </c>
      <c r="D940" s="30" t="s">
        <v>3424</v>
      </c>
      <c r="E940" s="28" t="s">
        <v>28</v>
      </c>
      <c r="F940" s="28" t="s">
        <v>29</v>
      </c>
      <c r="G940" s="28" t="s">
        <v>30</v>
      </c>
      <c r="H940" s="28"/>
      <c r="I940" s="28" t="s">
        <v>30</v>
      </c>
      <c r="J940" s="28">
        <v>176.0</v>
      </c>
      <c r="K940" s="28"/>
      <c r="L940" s="28" t="s">
        <v>3425</v>
      </c>
      <c r="M940" s="28" t="s">
        <v>3426</v>
      </c>
      <c r="N940" s="28">
        <v>1967.0</v>
      </c>
      <c r="O940" s="60" t="s">
        <v>2820</v>
      </c>
      <c r="P940" s="28">
        <v>1.0</v>
      </c>
      <c r="Q940" s="32">
        <v>1.0</v>
      </c>
      <c r="R940" s="33"/>
      <c r="S940" s="40"/>
      <c r="T940" s="40"/>
      <c r="U940" s="40"/>
      <c r="V940" s="40"/>
      <c r="W940" s="40"/>
      <c r="X940" s="40"/>
      <c r="Y940" s="45"/>
      <c r="Z940" s="45"/>
      <c r="AA940" s="45"/>
      <c r="AB940" s="45"/>
      <c r="AC940" s="45"/>
      <c r="AD940" s="45"/>
      <c r="AE940" s="45"/>
      <c r="AF940" s="45"/>
      <c r="AG940" s="45"/>
      <c r="AH940" s="45"/>
      <c r="AI940" s="45"/>
      <c r="AJ940" s="45"/>
      <c r="AK940" s="45"/>
      <c r="AL940" s="45"/>
    </row>
    <row r="941" ht="15.75" customHeight="1">
      <c r="A941" s="27">
        <f t="shared" si="20"/>
        <v>290</v>
      </c>
      <c r="B941" s="28"/>
      <c r="C941" s="43" t="s">
        <v>3427</v>
      </c>
      <c r="D941" s="120" t="s">
        <v>3428</v>
      </c>
      <c r="E941" s="28" t="s">
        <v>28</v>
      </c>
      <c r="F941" s="28" t="s">
        <v>29</v>
      </c>
      <c r="G941" s="28" t="s">
        <v>30</v>
      </c>
      <c r="H941" s="28"/>
      <c r="I941" s="28" t="s">
        <v>30</v>
      </c>
      <c r="J941" s="28">
        <v>207.0</v>
      </c>
      <c r="K941" s="28"/>
      <c r="L941" s="44" t="s">
        <v>31</v>
      </c>
      <c r="M941" s="44" t="s">
        <v>31</v>
      </c>
      <c r="N941" s="28">
        <v>1947.0</v>
      </c>
      <c r="O941" s="60" t="s">
        <v>2820</v>
      </c>
      <c r="P941" s="28">
        <v>1.0</v>
      </c>
      <c r="Q941" s="32">
        <v>1.0</v>
      </c>
      <c r="R941" s="33"/>
      <c r="S941" s="34"/>
      <c r="T941" s="34"/>
      <c r="U941" s="34"/>
      <c r="V941" s="34"/>
      <c r="W941" s="34"/>
      <c r="X941" s="34"/>
      <c r="Y941" s="3"/>
      <c r="Z941" s="3"/>
      <c r="AA941" s="3"/>
      <c r="AB941" s="3"/>
      <c r="AC941" s="3"/>
      <c r="AD941" s="3"/>
      <c r="AE941" s="3"/>
      <c r="AF941" s="3"/>
      <c r="AG941" s="3"/>
      <c r="AH941" s="3"/>
      <c r="AI941" s="3"/>
      <c r="AJ941" s="3"/>
      <c r="AK941" s="3"/>
      <c r="AL941" s="3"/>
    </row>
    <row r="942" ht="15.75" customHeight="1">
      <c r="A942" s="27">
        <f t="shared" si="20"/>
        <v>291</v>
      </c>
      <c r="B942" s="28" t="s">
        <v>3429</v>
      </c>
      <c r="C942" s="43" t="s">
        <v>3430</v>
      </c>
      <c r="D942" s="120" t="s">
        <v>3431</v>
      </c>
      <c r="E942" s="28" t="s">
        <v>28</v>
      </c>
      <c r="F942" s="28" t="s">
        <v>29</v>
      </c>
      <c r="G942" s="28" t="s">
        <v>37</v>
      </c>
      <c r="H942" s="28"/>
      <c r="I942" s="28" t="s">
        <v>38</v>
      </c>
      <c r="J942" s="28"/>
      <c r="K942" s="28"/>
      <c r="L942" s="28" t="s">
        <v>3432</v>
      </c>
      <c r="M942" s="60" t="s">
        <v>3433</v>
      </c>
      <c r="N942" s="60">
        <v>1975.0</v>
      </c>
      <c r="O942" s="60" t="s">
        <v>2820</v>
      </c>
      <c r="P942" s="28">
        <v>1.0</v>
      </c>
      <c r="Q942" s="32">
        <v>1.0</v>
      </c>
      <c r="R942" s="33"/>
      <c r="S942" s="34"/>
      <c r="T942" s="34"/>
      <c r="U942" s="34"/>
      <c r="V942" s="34"/>
      <c r="W942" s="34"/>
      <c r="X942" s="34"/>
      <c r="Y942" s="45"/>
      <c r="Z942" s="45"/>
      <c r="AA942" s="45"/>
      <c r="AB942" s="45"/>
      <c r="AC942" s="45"/>
      <c r="AD942" s="45"/>
      <c r="AE942" s="45"/>
      <c r="AF942" s="45"/>
      <c r="AG942" s="45"/>
      <c r="AH942" s="45"/>
      <c r="AI942" s="45"/>
      <c r="AJ942" s="45"/>
      <c r="AK942" s="45"/>
      <c r="AL942" s="45"/>
    </row>
    <row r="943" ht="15.75" customHeight="1">
      <c r="A943" s="27">
        <f t="shared" si="20"/>
        <v>292</v>
      </c>
      <c r="B943" s="28"/>
      <c r="C943" s="29" t="s">
        <v>3434</v>
      </c>
      <c r="D943" s="30" t="s">
        <v>3435</v>
      </c>
      <c r="E943" s="28" t="s">
        <v>28</v>
      </c>
      <c r="F943" s="28" t="s">
        <v>29</v>
      </c>
      <c r="G943" s="28" t="s">
        <v>30</v>
      </c>
      <c r="H943" s="28"/>
      <c r="I943" s="28" t="s">
        <v>30</v>
      </c>
      <c r="J943" s="28">
        <v>303.0</v>
      </c>
      <c r="K943" s="28"/>
      <c r="L943" s="28" t="s">
        <v>3436</v>
      </c>
      <c r="M943" s="28" t="s">
        <v>151</v>
      </c>
      <c r="N943" s="28">
        <v>1984.0</v>
      </c>
      <c r="O943" s="62" t="s">
        <v>1381</v>
      </c>
      <c r="P943" s="28">
        <v>2.0</v>
      </c>
      <c r="Q943" s="32">
        <v>2.0</v>
      </c>
      <c r="R943" s="33"/>
      <c r="S943" s="34"/>
      <c r="T943" s="34"/>
      <c r="U943" s="34"/>
      <c r="V943" s="34"/>
      <c r="W943" s="34"/>
      <c r="X943" s="34"/>
      <c r="Y943" s="45"/>
      <c r="Z943" s="45"/>
      <c r="AA943" s="45"/>
      <c r="AB943" s="45"/>
      <c r="AC943" s="45"/>
      <c r="AD943" s="45"/>
      <c r="AE943" s="45"/>
      <c r="AF943" s="45"/>
      <c r="AG943" s="45"/>
      <c r="AH943" s="45"/>
      <c r="AI943" s="45"/>
      <c r="AJ943" s="45"/>
      <c r="AK943" s="45"/>
      <c r="AL943" s="45"/>
    </row>
    <row r="944" ht="15.75" customHeight="1">
      <c r="A944" s="27">
        <f t="shared" si="20"/>
        <v>293</v>
      </c>
      <c r="B944" s="28" t="s">
        <v>3437</v>
      </c>
      <c r="C944" s="29" t="s">
        <v>3434</v>
      </c>
      <c r="D944" s="30" t="s">
        <v>3438</v>
      </c>
      <c r="E944" s="28" t="s">
        <v>28</v>
      </c>
      <c r="F944" s="28" t="s">
        <v>29</v>
      </c>
      <c r="G944" s="28" t="s">
        <v>30</v>
      </c>
      <c r="H944" s="28" t="s">
        <v>31</v>
      </c>
      <c r="I944" s="28" t="s">
        <v>30</v>
      </c>
      <c r="J944" s="28">
        <v>528.0</v>
      </c>
      <c r="K944" s="28"/>
      <c r="L944" s="28" t="s">
        <v>3439</v>
      </c>
      <c r="M944" s="28" t="s">
        <v>151</v>
      </c>
      <c r="N944" s="28">
        <v>2001.0</v>
      </c>
      <c r="O944" s="62" t="s">
        <v>1381</v>
      </c>
      <c r="P944" s="28">
        <v>2.0</v>
      </c>
      <c r="Q944" s="32">
        <v>2.0</v>
      </c>
      <c r="R944" s="33"/>
      <c r="S944" s="34"/>
      <c r="T944" s="34"/>
      <c r="U944" s="34"/>
      <c r="V944" s="34"/>
      <c r="W944" s="34"/>
      <c r="X944" s="34"/>
      <c r="Y944" s="3"/>
      <c r="Z944" s="3"/>
      <c r="AA944" s="3"/>
      <c r="AB944" s="3"/>
      <c r="AC944" s="3"/>
      <c r="AD944" s="3"/>
      <c r="AE944" s="3"/>
      <c r="AF944" s="3"/>
      <c r="AG944" s="3"/>
      <c r="AH944" s="3"/>
      <c r="AI944" s="3"/>
      <c r="AJ944" s="3"/>
      <c r="AK944" s="3"/>
      <c r="AL944" s="3"/>
    </row>
    <row r="945" ht="15.75" customHeight="1">
      <c r="A945" s="27">
        <f t="shared" si="20"/>
        <v>294</v>
      </c>
      <c r="B945" s="28" t="s">
        <v>3437</v>
      </c>
      <c r="C945" s="43" t="s">
        <v>3440</v>
      </c>
      <c r="D945" s="30" t="s">
        <v>3438</v>
      </c>
      <c r="E945" s="28" t="s">
        <v>28</v>
      </c>
      <c r="F945" s="28" t="s">
        <v>29</v>
      </c>
      <c r="G945" s="28" t="s">
        <v>30</v>
      </c>
      <c r="H945" s="28" t="s">
        <v>31</v>
      </c>
      <c r="I945" s="28" t="s">
        <v>30</v>
      </c>
      <c r="J945" s="28">
        <v>528.0</v>
      </c>
      <c r="K945" s="28"/>
      <c r="L945" s="28" t="s">
        <v>3439</v>
      </c>
      <c r="M945" s="28" t="s">
        <v>151</v>
      </c>
      <c r="N945" s="28">
        <v>2003.0</v>
      </c>
      <c r="O945" s="60" t="s">
        <v>2820</v>
      </c>
      <c r="P945" s="28">
        <v>1.0</v>
      </c>
      <c r="Q945" s="32">
        <v>1.0</v>
      </c>
      <c r="R945" s="33"/>
      <c r="S945" s="34"/>
      <c r="T945" s="34"/>
      <c r="U945" s="34"/>
      <c r="V945" s="34"/>
      <c r="W945" s="34"/>
      <c r="X945" s="34"/>
      <c r="Y945" s="45"/>
      <c r="Z945" s="45"/>
      <c r="AA945" s="45"/>
      <c r="AB945" s="45"/>
      <c r="AC945" s="45"/>
      <c r="AD945" s="45"/>
      <c r="AE945" s="45"/>
      <c r="AF945" s="45"/>
      <c r="AG945" s="45"/>
      <c r="AH945" s="45"/>
      <c r="AI945" s="45"/>
      <c r="AJ945" s="45"/>
      <c r="AK945" s="45"/>
      <c r="AL945" s="45"/>
    </row>
    <row r="946" ht="15.75" customHeight="1">
      <c r="A946" s="27">
        <f t="shared" si="20"/>
        <v>295</v>
      </c>
      <c r="B946" s="28" t="s">
        <v>3441</v>
      </c>
      <c r="C946" s="29" t="s">
        <v>3434</v>
      </c>
      <c r="D946" s="120" t="s">
        <v>3442</v>
      </c>
      <c r="E946" s="28" t="s">
        <v>28</v>
      </c>
      <c r="F946" s="28" t="s">
        <v>29</v>
      </c>
      <c r="G946" s="28" t="s">
        <v>30</v>
      </c>
      <c r="H946" s="28" t="s">
        <v>31</v>
      </c>
      <c r="I946" s="28" t="s">
        <v>30</v>
      </c>
      <c r="J946" s="28">
        <v>645.0</v>
      </c>
      <c r="K946" s="28"/>
      <c r="L946" s="28" t="s">
        <v>3439</v>
      </c>
      <c r="M946" s="28" t="s">
        <v>151</v>
      </c>
      <c r="N946" s="28">
        <v>2005.0</v>
      </c>
      <c r="O946" s="62" t="s">
        <v>1381</v>
      </c>
      <c r="P946" s="28">
        <v>1.0</v>
      </c>
      <c r="Q946" s="32">
        <v>1.0</v>
      </c>
      <c r="R946" s="33"/>
      <c r="S946" s="34"/>
      <c r="T946" s="34"/>
      <c r="U946" s="34"/>
      <c r="V946" s="34"/>
      <c r="W946" s="34"/>
      <c r="X946" s="34"/>
      <c r="Y946" s="74"/>
      <c r="Z946" s="74"/>
      <c r="AA946" s="74"/>
      <c r="AB946" s="74"/>
      <c r="AC946" s="74"/>
      <c r="AD946" s="74"/>
      <c r="AE946" s="74"/>
      <c r="AF946" s="74"/>
      <c r="AG946" s="74"/>
      <c r="AH946" s="74"/>
      <c r="AI946" s="74"/>
      <c r="AJ946" s="74"/>
      <c r="AK946" s="74"/>
      <c r="AL946" s="74"/>
    </row>
    <row r="947" ht="15.75" customHeight="1">
      <c r="A947" s="27">
        <f t="shared" si="20"/>
        <v>296</v>
      </c>
      <c r="B947" s="28" t="s">
        <v>3443</v>
      </c>
      <c r="C947" s="29" t="s">
        <v>3434</v>
      </c>
      <c r="D947" s="120" t="s">
        <v>3442</v>
      </c>
      <c r="E947" s="28" t="s">
        <v>28</v>
      </c>
      <c r="F947" s="28" t="s">
        <v>29</v>
      </c>
      <c r="G947" s="28" t="s">
        <v>30</v>
      </c>
      <c r="H947" s="28" t="s">
        <v>31</v>
      </c>
      <c r="I947" s="28" t="s">
        <v>30</v>
      </c>
      <c r="J947" s="28">
        <v>645.0</v>
      </c>
      <c r="K947" s="28"/>
      <c r="L947" s="28" t="s">
        <v>3439</v>
      </c>
      <c r="M947" s="28" t="s">
        <v>151</v>
      </c>
      <c r="N947" s="28">
        <v>1998.0</v>
      </c>
      <c r="O947" s="62" t="s">
        <v>1381</v>
      </c>
      <c r="P947" s="28">
        <v>1.0</v>
      </c>
      <c r="Q947" s="32">
        <v>1.0</v>
      </c>
      <c r="R947" s="33"/>
      <c r="S947" s="34"/>
      <c r="T947" s="34"/>
      <c r="U947" s="34"/>
      <c r="V947" s="34"/>
      <c r="W947" s="34"/>
      <c r="X947" s="34"/>
      <c r="Y947" s="3"/>
      <c r="Z947" s="3"/>
      <c r="AA947" s="3"/>
      <c r="AB947" s="3"/>
      <c r="AC947" s="3"/>
      <c r="AD947" s="3"/>
      <c r="AE947" s="3"/>
      <c r="AF947" s="3"/>
      <c r="AG947" s="3"/>
      <c r="AH947" s="3"/>
      <c r="AI947" s="3"/>
      <c r="AJ947" s="3"/>
      <c r="AK947" s="3"/>
      <c r="AL947" s="3"/>
    </row>
    <row r="948" ht="15.75" customHeight="1">
      <c r="A948" s="27">
        <f t="shared" si="20"/>
        <v>297</v>
      </c>
      <c r="B948" s="28" t="s">
        <v>3443</v>
      </c>
      <c r="C948" s="48" t="s">
        <v>3434</v>
      </c>
      <c r="D948" s="120" t="s">
        <v>3442</v>
      </c>
      <c r="E948" s="28" t="s">
        <v>28</v>
      </c>
      <c r="F948" s="28" t="s">
        <v>29</v>
      </c>
      <c r="G948" s="28" t="s">
        <v>30</v>
      </c>
      <c r="H948" s="28" t="s">
        <v>31</v>
      </c>
      <c r="I948" s="28" t="s">
        <v>30</v>
      </c>
      <c r="J948" s="28">
        <v>645.0</v>
      </c>
      <c r="K948" s="28"/>
      <c r="L948" s="28" t="s">
        <v>3439</v>
      </c>
      <c r="M948" s="28" t="s">
        <v>151</v>
      </c>
      <c r="N948" s="28">
        <v>2003.0</v>
      </c>
      <c r="O948" s="62" t="s">
        <v>1381</v>
      </c>
      <c r="P948" s="28">
        <v>1.0</v>
      </c>
      <c r="Q948" s="32">
        <v>1.0</v>
      </c>
      <c r="R948" s="33"/>
      <c r="S948" s="40"/>
      <c r="T948" s="40"/>
      <c r="U948" s="40"/>
      <c r="V948" s="40"/>
      <c r="W948" s="40"/>
      <c r="X948" s="40"/>
      <c r="Y948" s="3"/>
      <c r="Z948" s="3"/>
      <c r="AA948" s="3"/>
      <c r="AB948" s="3"/>
      <c r="AC948" s="3"/>
      <c r="AD948" s="3"/>
      <c r="AE948" s="3"/>
      <c r="AF948" s="3"/>
      <c r="AG948" s="3"/>
      <c r="AH948" s="3"/>
      <c r="AI948" s="3"/>
      <c r="AJ948" s="3"/>
      <c r="AK948" s="3"/>
      <c r="AL948" s="3"/>
    </row>
    <row r="949" ht="15.75" customHeight="1">
      <c r="A949" s="27">
        <f t="shared" si="20"/>
        <v>298</v>
      </c>
      <c r="B949" s="28" t="s">
        <v>3444</v>
      </c>
      <c r="C949" s="29" t="s">
        <v>3434</v>
      </c>
      <c r="D949" s="120" t="s">
        <v>3442</v>
      </c>
      <c r="E949" s="28" t="s">
        <v>28</v>
      </c>
      <c r="F949" s="28" t="s">
        <v>29</v>
      </c>
      <c r="G949" s="28" t="s">
        <v>30</v>
      </c>
      <c r="H949" s="28"/>
      <c r="I949" s="28" t="s">
        <v>30</v>
      </c>
      <c r="J949" s="28">
        <v>645.0</v>
      </c>
      <c r="K949" s="28"/>
      <c r="L949" s="28" t="s">
        <v>3445</v>
      </c>
      <c r="M949" s="28" t="s">
        <v>151</v>
      </c>
      <c r="N949" s="28">
        <v>2012.0</v>
      </c>
      <c r="O949" s="62" t="s">
        <v>1381</v>
      </c>
      <c r="P949" s="28">
        <v>1.0</v>
      </c>
      <c r="Q949" s="32">
        <v>1.0</v>
      </c>
      <c r="R949" s="33"/>
      <c r="S949" s="34"/>
      <c r="T949" s="34"/>
      <c r="U949" s="34"/>
      <c r="V949" s="34"/>
      <c r="W949" s="34"/>
      <c r="X949" s="34"/>
      <c r="Y949" s="3"/>
      <c r="Z949" s="3"/>
      <c r="AA949" s="3"/>
      <c r="AB949" s="3"/>
      <c r="AC949" s="3"/>
      <c r="AD949" s="3"/>
      <c r="AE949" s="3"/>
      <c r="AF949" s="3"/>
      <c r="AG949" s="3"/>
      <c r="AH949" s="3"/>
      <c r="AI949" s="3"/>
      <c r="AJ949" s="3"/>
      <c r="AK949" s="3"/>
      <c r="AL949" s="3"/>
    </row>
    <row r="950" ht="15.75" customHeight="1">
      <c r="A950" s="27">
        <f t="shared" si="20"/>
        <v>299</v>
      </c>
      <c r="B950" s="28" t="s">
        <v>3446</v>
      </c>
      <c r="C950" s="43" t="s">
        <v>3447</v>
      </c>
      <c r="D950" s="30" t="s">
        <v>3448</v>
      </c>
      <c r="E950" s="28" t="s">
        <v>31</v>
      </c>
      <c r="F950" s="28" t="s">
        <v>29</v>
      </c>
      <c r="G950" s="28" t="s">
        <v>37</v>
      </c>
      <c r="H950" s="28"/>
      <c r="I950" s="28" t="s">
        <v>38</v>
      </c>
      <c r="J950" s="28">
        <v>254.0</v>
      </c>
      <c r="K950" s="28"/>
      <c r="L950" s="28" t="s">
        <v>3449</v>
      </c>
      <c r="M950" s="28" t="s">
        <v>2893</v>
      </c>
      <c r="N950" s="28">
        <v>1983.0</v>
      </c>
      <c r="O950" s="60" t="s">
        <v>2820</v>
      </c>
      <c r="P950" s="28">
        <v>1.0</v>
      </c>
      <c r="Q950" s="94">
        <v>1.0</v>
      </c>
      <c r="R950" s="33"/>
      <c r="S950" s="34"/>
      <c r="T950" s="34"/>
      <c r="U950" s="34"/>
      <c r="V950" s="34"/>
      <c r="W950" s="34"/>
      <c r="X950" s="34"/>
      <c r="Y950" s="45"/>
      <c r="Z950" s="45"/>
      <c r="AA950" s="45"/>
      <c r="AB950" s="45"/>
      <c r="AC950" s="45"/>
      <c r="AD950" s="45"/>
      <c r="AE950" s="45"/>
      <c r="AF950" s="45"/>
      <c r="AG950" s="45"/>
      <c r="AH950" s="45"/>
      <c r="AI950" s="45"/>
      <c r="AJ950" s="45"/>
      <c r="AK950" s="45"/>
      <c r="AL950" s="45"/>
    </row>
    <row r="951" ht="15.75" customHeight="1">
      <c r="A951" s="27">
        <f t="shared" si="20"/>
        <v>300</v>
      </c>
      <c r="B951" s="28" t="s">
        <v>3450</v>
      </c>
      <c r="C951" s="43" t="s">
        <v>3451</v>
      </c>
      <c r="D951" s="30" t="s">
        <v>3452</v>
      </c>
      <c r="E951" s="28" t="s">
        <v>31</v>
      </c>
      <c r="F951" s="28" t="s">
        <v>29</v>
      </c>
      <c r="G951" s="28" t="s">
        <v>30</v>
      </c>
      <c r="H951" s="28"/>
      <c r="I951" s="28" t="s">
        <v>30</v>
      </c>
      <c r="J951" s="28">
        <v>171.0</v>
      </c>
      <c r="K951" s="28"/>
      <c r="L951" s="28" t="s">
        <v>3453</v>
      </c>
      <c r="M951" s="28" t="s">
        <v>151</v>
      </c>
      <c r="N951" s="28">
        <v>1987.0</v>
      </c>
      <c r="O951" s="60" t="s">
        <v>2820</v>
      </c>
      <c r="P951" s="28">
        <v>1.0</v>
      </c>
      <c r="Q951" s="32">
        <v>1.0</v>
      </c>
      <c r="R951" s="33"/>
      <c r="S951" s="34"/>
      <c r="T951" s="34"/>
      <c r="U951" s="34"/>
      <c r="V951" s="34"/>
      <c r="W951" s="34"/>
      <c r="X951" s="34"/>
      <c r="Y951" s="45"/>
      <c r="Z951" s="45"/>
      <c r="AA951" s="45"/>
      <c r="AB951" s="45"/>
      <c r="AC951" s="45"/>
      <c r="AD951" s="45"/>
      <c r="AE951" s="45"/>
      <c r="AF951" s="45"/>
      <c r="AG951" s="45"/>
      <c r="AH951" s="45"/>
      <c r="AI951" s="45"/>
      <c r="AJ951" s="45"/>
      <c r="AK951" s="45"/>
      <c r="AL951" s="45"/>
    </row>
    <row r="952" ht="15.75" customHeight="1">
      <c r="A952" s="27">
        <f t="shared" si="20"/>
        <v>301</v>
      </c>
      <c r="B952" s="28" t="s">
        <v>3454</v>
      </c>
      <c r="C952" s="43" t="s">
        <v>3455</v>
      </c>
      <c r="D952" s="30" t="s">
        <v>3456</v>
      </c>
      <c r="E952" s="28" t="s">
        <v>144</v>
      </c>
      <c r="F952" s="28" t="s">
        <v>29</v>
      </c>
      <c r="G952" s="28" t="s">
        <v>30</v>
      </c>
      <c r="H952" s="28"/>
      <c r="I952" s="28" t="s">
        <v>30</v>
      </c>
      <c r="J952" s="28">
        <v>197.0</v>
      </c>
      <c r="K952" s="28"/>
      <c r="L952" s="28" t="s">
        <v>1629</v>
      </c>
      <c r="M952" s="28" t="s">
        <v>1040</v>
      </c>
      <c r="N952" s="28">
        <v>2012.0</v>
      </c>
      <c r="O952" s="31" t="s">
        <v>89</v>
      </c>
      <c r="P952" s="28">
        <v>1.0</v>
      </c>
      <c r="Q952" s="94">
        <v>1.0</v>
      </c>
      <c r="R952" s="33"/>
      <c r="S952" s="34"/>
      <c r="T952" s="34"/>
      <c r="U952" s="34"/>
      <c r="V952" s="34"/>
      <c r="W952" s="34"/>
      <c r="X952" s="34"/>
      <c r="Y952" s="45"/>
      <c r="Z952" s="45"/>
      <c r="AA952" s="45"/>
      <c r="AB952" s="45"/>
      <c r="AC952" s="45"/>
      <c r="AD952" s="45"/>
      <c r="AE952" s="45"/>
      <c r="AF952" s="45"/>
      <c r="AG952" s="45"/>
      <c r="AH952" s="45"/>
      <c r="AI952" s="45"/>
      <c r="AJ952" s="45"/>
      <c r="AK952" s="45"/>
      <c r="AL952" s="45"/>
    </row>
    <row r="953" ht="15.75" customHeight="1">
      <c r="A953" s="27">
        <f t="shared" si="20"/>
        <v>302</v>
      </c>
      <c r="B953" s="28" t="s">
        <v>3457</v>
      </c>
      <c r="C953" s="43" t="s">
        <v>3458</v>
      </c>
      <c r="D953" s="30" t="s">
        <v>3459</v>
      </c>
      <c r="E953" s="28" t="s">
        <v>144</v>
      </c>
      <c r="F953" s="28" t="s">
        <v>29</v>
      </c>
      <c r="G953" s="28"/>
      <c r="H953" s="28" t="s">
        <v>31</v>
      </c>
      <c r="I953" s="28" t="s">
        <v>38</v>
      </c>
      <c r="J953" s="28">
        <v>240.0</v>
      </c>
      <c r="K953" s="28"/>
      <c r="L953" s="28" t="s">
        <v>3460</v>
      </c>
      <c r="M953" s="28" t="s">
        <v>3461</v>
      </c>
      <c r="N953" s="28">
        <v>2012.0</v>
      </c>
      <c r="O953" s="60" t="s">
        <v>2820</v>
      </c>
      <c r="P953" s="28">
        <v>1.0</v>
      </c>
      <c r="Q953" s="32">
        <v>1.0</v>
      </c>
      <c r="R953" s="33"/>
      <c r="S953" s="34"/>
      <c r="T953" s="34"/>
      <c r="U953" s="34"/>
      <c r="V953" s="34"/>
      <c r="W953" s="34"/>
      <c r="X953" s="34"/>
      <c r="Y953" s="45"/>
      <c r="Z953" s="45"/>
      <c r="AA953" s="45"/>
      <c r="AB953" s="45"/>
      <c r="AC953" s="45"/>
      <c r="AD953" s="45"/>
      <c r="AE953" s="45"/>
      <c r="AF953" s="45"/>
      <c r="AG953" s="45"/>
      <c r="AH953" s="45"/>
      <c r="AI953" s="45"/>
      <c r="AJ953" s="45"/>
      <c r="AK953" s="45"/>
      <c r="AL953" s="45"/>
    </row>
    <row r="954" ht="15.75" customHeight="1">
      <c r="A954" s="27">
        <f t="shared" si="20"/>
        <v>303</v>
      </c>
      <c r="B954" s="28" t="s">
        <v>31</v>
      </c>
      <c r="C954" s="43" t="s">
        <v>3462</v>
      </c>
      <c r="D954" s="30" t="s">
        <v>3463</v>
      </c>
      <c r="E954" s="28"/>
      <c r="F954" s="28" t="s">
        <v>29</v>
      </c>
      <c r="G954" s="28" t="s">
        <v>131</v>
      </c>
      <c r="H954" s="28" t="s">
        <v>31</v>
      </c>
      <c r="I954" s="28" t="s">
        <v>38</v>
      </c>
      <c r="J954" s="28">
        <v>160.0</v>
      </c>
      <c r="K954" s="28"/>
      <c r="L954" s="28" t="s">
        <v>3464</v>
      </c>
      <c r="M954" s="28" t="s">
        <v>3465</v>
      </c>
      <c r="N954" s="28">
        <v>1968.0</v>
      </c>
      <c r="O954" s="60" t="s">
        <v>2820</v>
      </c>
      <c r="P954" s="28">
        <v>1.0</v>
      </c>
      <c r="Q954" s="32">
        <v>1.0</v>
      </c>
      <c r="R954" s="33"/>
      <c r="S954" s="34"/>
      <c r="T954" s="34"/>
      <c r="U954" s="34"/>
      <c r="V954" s="34"/>
      <c r="W954" s="34"/>
      <c r="X954" s="34"/>
      <c r="Y954" s="45"/>
      <c r="Z954" s="45"/>
      <c r="AA954" s="45"/>
      <c r="AB954" s="45"/>
      <c r="AC954" s="45"/>
      <c r="AD954" s="45"/>
      <c r="AE954" s="45"/>
      <c r="AF954" s="45"/>
      <c r="AG954" s="45"/>
      <c r="AH954" s="45"/>
      <c r="AI954" s="45"/>
      <c r="AJ954" s="45"/>
      <c r="AK954" s="45"/>
      <c r="AL954" s="45"/>
    </row>
    <row r="955" ht="15.75" customHeight="1">
      <c r="A955" s="27">
        <f t="shared" si="20"/>
        <v>304</v>
      </c>
      <c r="B955" s="28" t="s">
        <v>3466</v>
      </c>
      <c r="C955" s="102" t="s">
        <v>3467</v>
      </c>
      <c r="D955" s="30" t="s">
        <v>3468</v>
      </c>
      <c r="E955" s="28" t="s">
        <v>28</v>
      </c>
      <c r="F955" s="28" t="s">
        <v>29</v>
      </c>
      <c r="G955" s="28" t="s">
        <v>30</v>
      </c>
      <c r="H955" s="28" t="s">
        <v>31</v>
      </c>
      <c r="I955" s="28" t="s">
        <v>30</v>
      </c>
      <c r="J955" s="28">
        <v>218.0</v>
      </c>
      <c r="K955" s="28"/>
      <c r="L955" s="28" t="s">
        <v>3469</v>
      </c>
      <c r="M955" s="28" t="s">
        <v>151</v>
      </c>
      <c r="N955" s="28">
        <v>2003.0</v>
      </c>
      <c r="O955" s="62" t="s">
        <v>1381</v>
      </c>
      <c r="P955" s="28">
        <v>1.0</v>
      </c>
      <c r="Q955" s="94">
        <v>1.0</v>
      </c>
      <c r="R955" s="33"/>
      <c r="S955" s="34"/>
      <c r="T955" s="34"/>
      <c r="U955" s="34"/>
      <c r="V955" s="34"/>
      <c r="W955" s="34"/>
      <c r="X955" s="34"/>
      <c r="Y955" s="45"/>
      <c r="Z955" s="45"/>
      <c r="AA955" s="45"/>
      <c r="AB955" s="45"/>
      <c r="AC955" s="45"/>
      <c r="AD955" s="45"/>
      <c r="AE955" s="45"/>
      <c r="AF955" s="45"/>
      <c r="AG955" s="45"/>
      <c r="AH955" s="45"/>
      <c r="AI955" s="45"/>
      <c r="AJ955" s="45"/>
      <c r="AK955" s="45"/>
      <c r="AL955" s="45"/>
    </row>
    <row r="956" ht="15.75" customHeight="1">
      <c r="A956" s="27">
        <f t="shared" si="20"/>
        <v>305</v>
      </c>
      <c r="B956" s="28" t="s">
        <v>3470</v>
      </c>
      <c r="C956" s="102" t="s">
        <v>3471</v>
      </c>
      <c r="D956" s="30" t="s">
        <v>3472</v>
      </c>
      <c r="E956" s="28" t="s">
        <v>28</v>
      </c>
      <c r="F956" s="28" t="s">
        <v>29</v>
      </c>
      <c r="G956" s="28" t="s">
        <v>37</v>
      </c>
      <c r="H956" s="28" t="s">
        <v>31</v>
      </c>
      <c r="I956" s="28" t="s">
        <v>38</v>
      </c>
      <c r="J956" s="28">
        <v>178.0</v>
      </c>
      <c r="K956" s="28"/>
      <c r="L956" s="28" t="s">
        <v>1788</v>
      </c>
      <c r="M956" s="28" t="s">
        <v>250</v>
      </c>
      <c r="N956" s="28">
        <v>1976.0</v>
      </c>
      <c r="O956" s="62" t="s">
        <v>1381</v>
      </c>
      <c r="P956" s="28">
        <v>1.0</v>
      </c>
      <c r="Q956" s="32">
        <v>1.0</v>
      </c>
      <c r="R956" s="33"/>
      <c r="S956" s="34"/>
      <c r="T956" s="34"/>
      <c r="U956" s="34"/>
      <c r="V956" s="34"/>
      <c r="W956" s="34"/>
      <c r="X956" s="34"/>
      <c r="Y956" s="45"/>
      <c r="Z956" s="45"/>
      <c r="AA956" s="45"/>
      <c r="AB956" s="45"/>
      <c r="AC956" s="45"/>
      <c r="AD956" s="45"/>
      <c r="AE956" s="45"/>
      <c r="AF956" s="45"/>
      <c r="AG956" s="45"/>
      <c r="AH956" s="45"/>
      <c r="AI956" s="45"/>
      <c r="AJ956" s="45"/>
      <c r="AK956" s="45"/>
      <c r="AL956" s="45"/>
    </row>
    <row r="957" ht="15.75" customHeight="1">
      <c r="A957" s="27">
        <f t="shared" si="20"/>
        <v>306</v>
      </c>
      <c r="B957" s="28" t="s">
        <v>3473</v>
      </c>
      <c r="C957" s="29" t="s">
        <v>3474</v>
      </c>
      <c r="D957" s="30" t="s">
        <v>3475</v>
      </c>
      <c r="E957" s="28" t="s">
        <v>144</v>
      </c>
      <c r="F957" s="28" t="s">
        <v>29</v>
      </c>
      <c r="G957" s="28" t="s">
        <v>30</v>
      </c>
      <c r="H957" s="28"/>
      <c r="I957" s="28" t="s">
        <v>30</v>
      </c>
      <c r="J957" s="28">
        <f>167+12</f>
        <v>179</v>
      </c>
      <c r="K957" s="28"/>
      <c r="L957" s="28" t="s">
        <v>3476</v>
      </c>
      <c r="M957" s="28" t="s">
        <v>151</v>
      </c>
      <c r="N957" s="28">
        <v>2016.0</v>
      </c>
      <c r="O957" s="62" t="s">
        <v>1381</v>
      </c>
      <c r="P957" s="28">
        <v>1.0</v>
      </c>
      <c r="Q957" s="32">
        <v>1.0</v>
      </c>
      <c r="R957" s="33"/>
      <c r="S957" s="34"/>
      <c r="T957" s="34"/>
      <c r="U957" s="34"/>
      <c r="V957" s="34"/>
      <c r="W957" s="34"/>
      <c r="X957" s="34"/>
      <c r="Y957" s="45"/>
      <c r="Z957" s="45"/>
      <c r="AA957" s="45"/>
      <c r="AB957" s="45"/>
      <c r="AC957" s="45"/>
      <c r="AD957" s="45"/>
      <c r="AE957" s="45"/>
      <c r="AF957" s="45"/>
      <c r="AG957" s="45"/>
      <c r="AH957" s="45"/>
      <c r="AI957" s="45"/>
      <c r="AJ957" s="45"/>
      <c r="AK957" s="45"/>
      <c r="AL957" s="45"/>
    </row>
    <row r="958" ht="15.75" customHeight="1">
      <c r="A958" s="27">
        <f t="shared" si="20"/>
        <v>307</v>
      </c>
      <c r="B958" s="28" t="s">
        <v>3477</v>
      </c>
      <c r="C958" s="43" t="s">
        <v>3478</v>
      </c>
      <c r="D958" s="30" t="s">
        <v>3479</v>
      </c>
      <c r="E958" s="28" t="s">
        <v>28</v>
      </c>
      <c r="F958" s="28" t="s">
        <v>29</v>
      </c>
      <c r="G958" s="28" t="s">
        <v>37</v>
      </c>
      <c r="H958" s="28"/>
      <c r="I958" s="28" t="s">
        <v>38</v>
      </c>
      <c r="J958" s="28">
        <f>17+394</f>
        <v>411</v>
      </c>
      <c r="K958" s="28"/>
      <c r="L958" s="28" t="s">
        <v>1745</v>
      </c>
      <c r="M958" s="28" t="s">
        <v>3480</v>
      </c>
      <c r="N958" s="28">
        <v>2010.0</v>
      </c>
      <c r="O958" s="28" t="s">
        <v>2820</v>
      </c>
      <c r="P958" s="28">
        <v>1.0</v>
      </c>
      <c r="Q958" s="32">
        <v>1.0</v>
      </c>
      <c r="R958" s="33"/>
      <c r="S958" s="40"/>
      <c r="T958" s="40"/>
      <c r="U958" s="40"/>
      <c r="V958" s="40"/>
      <c r="W958" s="40"/>
      <c r="X958" s="40"/>
      <c r="Y958" s="45"/>
      <c r="Z958" s="45"/>
      <c r="AA958" s="45"/>
      <c r="AB958" s="45"/>
      <c r="AC958" s="45"/>
      <c r="AD958" s="45"/>
      <c r="AE958" s="45"/>
      <c r="AF958" s="45"/>
      <c r="AG958" s="45"/>
      <c r="AH958" s="45"/>
      <c r="AI958" s="45"/>
      <c r="AJ958" s="45"/>
      <c r="AK958" s="45"/>
      <c r="AL958" s="45"/>
    </row>
    <row r="959" ht="15.75" customHeight="1">
      <c r="A959" s="27">
        <f t="shared" si="20"/>
        <v>308</v>
      </c>
      <c r="B959" s="28" t="s">
        <v>3481</v>
      </c>
      <c r="C959" s="43" t="s">
        <v>3482</v>
      </c>
      <c r="D959" s="30" t="s">
        <v>3483</v>
      </c>
      <c r="E959" s="28"/>
      <c r="F959" s="28" t="s">
        <v>29</v>
      </c>
      <c r="G959" s="28" t="s">
        <v>37</v>
      </c>
      <c r="H959" s="28"/>
      <c r="I959" s="28" t="s">
        <v>38</v>
      </c>
      <c r="J959" s="28">
        <v>190.0</v>
      </c>
      <c r="K959" s="28"/>
      <c r="L959" s="28" t="s">
        <v>3484</v>
      </c>
      <c r="M959" s="28" t="s">
        <v>3485</v>
      </c>
      <c r="N959" s="28">
        <v>1958.0</v>
      </c>
      <c r="O959" s="60" t="s">
        <v>2820</v>
      </c>
      <c r="P959" s="28">
        <v>1.0</v>
      </c>
      <c r="Q959" s="32">
        <v>1.0</v>
      </c>
      <c r="R959" s="33"/>
      <c r="S959" s="34"/>
      <c r="T959" s="34"/>
      <c r="U959" s="34"/>
      <c r="V959" s="34"/>
      <c r="W959" s="34"/>
      <c r="X959" s="34"/>
      <c r="Y959" s="45"/>
      <c r="Z959" s="45"/>
      <c r="AA959" s="45"/>
      <c r="AB959" s="45"/>
      <c r="AC959" s="45"/>
      <c r="AD959" s="45"/>
      <c r="AE959" s="45"/>
      <c r="AF959" s="45"/>
      <c r="AG959" s="45"/>
      <c r="AH959" s="45"/>
      <c r="AI959" s="45"/>
      <c r="AJ959" s="45"/>
      <c r="AK959" s="45"/>
      <c r="AL959" s="45"/>
    </row>
    <row r="960" ht="15.75" customHeight="1">
      <c r="A960" s="27">
        <f t="shared" si="20"/>
        <v>309</v>
      </c>
      <c r="B960" s="83" t="s">
        <v>3486</v>
      </c>
      <c r="C960" s="86" t="s">
        <v>3487</v>
      </c>
      <c r="D960" s="118" t="s">
        <v>3488</v>
      </c>
      <c r="E960" s="118"/>
      <c r="F960" s="83" t="s">
        <v>29</v>
      </c>
      <c r="G960" s="83" t="s">
        <v>166</v>
      </c>
      <c r="H960" s="118"/>
      <c r="I960" s="83" t="s">
        <v>166</v>
      </c>
      <c r="J960" s="83">
        <v>297.0</v>
      </c>
      <c r="K960" s="118"/>
      <c r="L960" s="83" t="s">
        <v>3489</v>
      </c>
      <c r="M960" s="118" t="s">
        <v>3490</v>
      </c>
      <c r="N960" s="83">
        <v>2011.0</v>
      </c>
      <c r="O960" s="121" t="s">
        <v>2820</v>
      </c>
      <c r="P960" s="118">
        <v>1.0</v>
      </c>
      <c r="Q960" s="121">
        <v>1.0</v>
      </c>
      <c r="R960" s="84"/>
      <c r="S960" s="34"/>
      <c r="T960" s="34"/>
      <c r="U960" s="34"/>
      <c r="V960" s="34"/>
      <c r="W960" s="34"/>
      <c r="X960" s="34"/>
      <c r="Y960" s="45"/>
      <c r="Z960" s="45"/>
      <c r="AA960" s="45"/>
      <c r="AB960" s="45"/>
      <c r="AC960" s="45"/>
      <c r="AD960" s="45"/>
      <c r="AE960" s="45"/>
      <c r="AF960" s="45"/>
      <c r="AG960" s="45"/>
      <c r="AH960" s="45"/>
      <c r="AI960" s="45"/>
      <c r="AJ960" s="45"/>
      <c r="AK960" s="45"/>
      <c r="AL960" s="45"/>
    </row>
    <row r="961" ht="15.75" customHeight="1">
      <c r="A961" s="27">
        <f t="shared" si="20"/>
        <v>310</v>
      </c>
      <c r="B961" s="28" t="s">
        <v>3491</v>
      </c>
      <c r="C961" s="43" t="s">
        <v>3492</v>
      </c>
      <c r="D961" s="30" t="s">
        <v>3493</v>
      </c>
      <c r="E961" s="28" t="s">
        <v>144</v>
      </c>
      <c r="F961" s="28" t="s">
        <v>29</v>
      </c>
      <c r="G961" s="28" t="s">
        <v>30</v>
      </c>
      <c r="H961" s="28"/>
      <c r="I961" s="28" t="s">
        <v>30</v>
      </c>
      <c r="J961" s="28">
        <f>286+14</f>
        <v>300</v>
      </c>
      <c r="K961" s="28"/>
      <c r="L961" s="28" t="s">
        <v>3494</v>
      </c>
      <c r="M961" s="28" t="s">
        <v>49</v>
      </c>
      <c r="N961" s="28">
        <v>1996.0</v>
      </c>
      <c r="O961" s="28" t="s">
        <v>2820</v>
      </c>
      <c r="P961" s="28">
        <v>1.0</v>
      </c>
      <c r="Q961" s="94">
        <v>1.0</v>
      </c>
      <c r="R961" s="33"/>
      <c r="S961" s="40"/>
      <c r="T961" s="40"/>
      <c r="U961" s="40"/>
      <c r="V961" s="40"/>
      <c r="W961" s="40"/>
      <c r="X961" s="40"/>
      <c r="Y961" s="45"/>
      <c r="Z961" s="45"/>
      <c r="AA961" s="45"/>
      <c r="AB961" s="45"/>
      <c r="AC961" s="45"/>
      <c r="AD961" s="45"/>
      <c r="AE961" s="45"/>
      <c r="AF961" s="45"/>
      <c r="AG961" s="45"/>
      <c r="AH961" s="45"/>
      <c r="AI961" s="45"/>
      <c r="AJ961" s="45"/>
      <c r="AK961" s="45"/>
      <c r="AL961" s="45"/>
    </row>
    <row r="962" ht="15.75" customHeight="1">
      <c r="A962" s="27">
        <f t="shared" si="20"/>
        <v>311</v>
      </c>
      <c r="B962" s="28" t="s">
        <v>31</v>
      </c>
      <c r="C962" s="29" t="s">
        <v>3495</v>
      </c>
      <c r="D962" s="120" t="s">
        <v>3496</v>
      </c>
      <c r="E962" s="28" t="s">
        <v>28</v>
      </c>
      <c r="F962" s="28" t="s">
        <v>29</v>
      </c>
      <c r="G962" s="28" t="s">
        <v>30</v>
      </c>
      <c r="H962" s="28"/>
      <c r="I962" s="28" t="s">
        <v>30</v>
      </c>
      <c r="J962" s="28">
        <v>371.0</v>
      </c>
      <c r="K962" s="28"/>
      <c r="L962" s="28" t="s">
        <v>3497</v>
      </c>
      <c r="M962" s="28" t="s">
        <v>2258</v>
      </c>
      <c r="N962" s="28">
        <v>1988.0</v>
      </c>
      <c r="O962" s="62" t="s">
        <v>1381</v>
      </c>
      <c r="P962" s="28">
        <v>1.0</v>
      </c>
      <c r="Q962" s="94">
        <v>1.0</v>
      </c>
      <c r="R962" s="33"/>
      <c r="S962" s="34"/>
      <c r="T962" s="34"/>
      <c r="U962" s="34"/>
      <c r="V962" s="34"/>
      <c r="W962" s="34"/>
      <c r="X962" s="34"/>
      <c r="Y962" s="3"/>
      <c r="Z962" s="3"/>
      <c r="AA962" s="3"/>
      <c r="AB962" s="3"/>
      <c r="AC962" s="3"/>
      <c r="AD962" s="3"/>
      <c r="AE962" s="3"/>
      <c r="AF962" s="3"/>
      <c r="AG962" s="3"/>
      <c r="AH962" s="3"/>
      <c r="AI962" s="3"/>
      <c r="AJ962" s="3"/>
      <c r="AK962" s="3"/>
      <c r="AL962" s="3"/>
    </row>
    <row r="963" ht="15.75" customHeight="1">
      <c r="A963" s="27">
        <f t="shared" si="20"/>
        <v>312</v>
      </c>
      <c r="B963" s="28" t="s">
        <v>31</v>
      </c>
      <c r="C963" s="29" t="s">
        <v>3498</v>
      </c>
      <c r="D963" s="39" t="s">
        <v>3499</v>
      </c>
      <c r="E963" s="28" t="s">
        <v>302</v>
      </c>
      <c r="F963" s="28" t="s">
        <v>29</v>
      </c>
      <c r="G963" s="28" t="s">
        <v>30</v>
      </c>
      <c r="H963" s="28"/>
      <c r="I963" s="28" t="s">
        <v>30</v>
      </c>
      <c r="J963" s="28">
        <v>386.0</v>
      </c>
      <c r="K963" s="28"/>
      <c r="L963" s="28" t="s">
        <v>3500</v>
      </c>
      <c r="M963" s="28" t="s">
        <v>3501</v>
      </c>
      <c r="N963" s="28">
        <v>2000.0</v>
      </c>
      <c r="O963" s="62" t="s">
        <v>1381</v>
      </c>
      <c r="P963" s="28">
        <v>2.0</v>
      </c>
      <c r="Q963" s="94">
        <v>2.0</v>
      </c>
      <c r="R963" s="33"/>
      <c r="S963" s="34"/>
      <c r="T963" s="34"/>
      <c r="U963" s="34"/>
      <c r="V963" s="34"/>
      <c r="W963" s="34"/>
      <c r="X963" s="34"/>
      <c r="Y963" s="45"/>
      <c r="Z963" s="45"/>
      <c r="AA963" s="45"/>
      <c r="AB963" s="45"/>
      <c r="AC963" s="45"/>
      <c r="AD963" s="45"/>
      <c r="AE963" s="45"/>
      <c r="AF963" s="45"/>
      <c r="AG963" s="45"/>
      <c r="AH963" s="45"/>
      <c r="AI963" s="45"/>
      <c r="AJ963" s="45"/>
      <c r="AK963" s="45"/>
      <c r="AL963" s="45"/>
    </row>
    <row r="964" ht="15.75" customHeight="1">
      <c r="A964" s="27">
        <f t="shared" si="20"/>
        <v>313</v>
      </c>
      <c r="B964" s="28" t="s">
        <v>3502</v>
      </c>
      <c r="C964" s="43" t="s">
        <v>3503</v>
      </c>
      <c r="D964" s="30" t="s">
        <v>3504</v>
      </c>
      <c r="E964" s="28"/>
      <c r="F964" s="28" t="s">
        <v>29</v>
      </c>
      <c r="G964" s="28" t="s">
        <v>30</v>
      </c>
      <c r="H964" s="28"/>
      <c r="I964" s="28" t="s">
        <v>30</v>
      </c>
      <c r="J964" s="28">
        <v>154.0</v>
      </c>
      <c r="K964" s="28"/>
      <c r="L964" s="28" t="s">
        <v>3505</v>
      </c>
      <c r="M964" s="28" t="s">
        <v>913</v>
      </c>
      <c r="N964" s="28">
        <v>2005.0</v>
      </c>
      <c r="O964" s="28" t="s">
        <v>2820</v>
      </c>
      <c r="P964" s="28">
        <v>1.0</v>
      </c>
      <c r="Q964" s="32">
        <v>1.0</v>
      </c>
      <c r="R964" s="33"/>
      <c r="S964" s="34"/>
      <c r="T964" s="34"/>
      <c r="U964" s="34"/>
      <c r="V964" s="34"/>
      <c r="W964" s="34"/>
      <c r="X964" s="34"/>
      <c r="Y964" s="45"/>
      <c r="Z964" s="45"/>
      <c r="AA964" s="45"/>
      <c r="AB964" s="45"/>
      <c r="AC964" s="45"/>
      <c r="AD964" s="45"/>
      <c r="AE964" s="45"/>
      <c r="AF964" s="45"/>
      <c r="AG964" s="45"/>
      <c r="AH964" s="45"/>
      <c r="AI964" s="45"/>
      <c r="AJ964" s="45"/>
      <c r="AK964" s="45"/>
      <c r="AL964" s="45"/>
    </row>
    <row r="965" ht="15.75" customHeight="1">
      <c r="A965" s="27">
        <f t="shared" si="20"/>
        <v>314</v>
      </c>
      <c r="B965" s="121" t="s">
        <v>3506</v>
      </c>
      <c r="C965" s="121" t="s">
        <v>3507</v>
      </c>
      <c r="D965" s="119" t="s">
        <v>3508</v>
      </c>
      <c r="E965" s="83"/>
      <c r="F965" s="83"/>
      <c r="G965" s="121" t="s">
        <v>38</v>
      </c>
      <c r="H965" s="83"/>
      <c r="I965" s="121" t="s">
        <v>38</v>
      </c>
      <c r="J965" s="121">
        <v>293.0</v>
      </c>
      <c r="K965" s="83"/>
      <c r="L965" s="121" t="s">
        <v>1323</v>
      </c>
      <c r="M965" s="121" t="s">
        <v>178</v>
      </c>
      <c r="N965" s="121">
        <v>1974.0</v>
      </c>
      <c r="O965" s="31" t="s">
        <v>3509</v>
      </c>
      <c r="P965" s="121">
        <v>1.0</v>
      </c>
      <c r="Q965" s="121">
        <v>1.0</v>
      </c>
      <c r="R965" s="84"/>
      <c r="S965" s="40"/>
      <c r="T965" s="40"/>
      <c r="U965" s="40"/>
      <c r="V965" s="40"/>
      <c r="W965" s="40"/>
      <c r="X965" s="40"/>
      <c r="Y965" s="3"/>
      <c r="Z965" s="3"/>
      <c r="AA965" s="3"/>
      <c r="AB965" s="3"/>
      <c r="AC965" s="3"/>
      <c r="AD965" s="3"/>
      <c r="AE965" s="3"/>
      <c r="AF965" s="3"/>
      <c r="AG965" s="3"/>
      <c r="AH965" s="3"/>
      <c r="AI965" s="3"/>
      <c r="AJ965" s="3"/>
      <c r="AK965" s="3"/>
      <c r="AL965" s="3"/>
    </row>
    <row r="966" ht="15.75" customHeight="1">
      <c r="A966" s="27">
        <f t="shared" si="20"/>
        <v>315</v>
      </c>
      <c r="B966" s="28" t="s">
        <v>3510</v>
      </c>
      <c r="C966" s="43" t="s">
        <v>3511</v>
      </c>
      <c r="D966" s="30" t="s">
        <v>3512</v>
      </c>
      <c r="E966" s="28" t="s">
        <v>144</v>
      </c>
      <c r="F966" s="28" t="s">
        <v>29</v>
      </c>
      <c r="G966" s="28" t="s">
        <v>30</v>
      </c>
      <c r="H966" s="28" t="s">
        <v>1164</v>
      </c>
      <c r="I966" s="28" t="s">
        <v>3513</v>
      </c>
      <c r="J966" s="28">
        <v>148.0</v>
      </c>
      <c r="K966" s="28"/>
      <c r="L966" s="28" t="s">
        <v>3514</v>
      </c>
      <c r="M966" s="28" t="s">
        <v>3515</v>
      </c>
      <c r="N966" s="28">
        <v>2010.0</v>
      </c>
      <c r="O966" s="28" t="s">
        <v>2820</v>
      </c>
      <c r="P966" s="60">
        <v>5.0</v>
      </c>
      <c r="Q966" s="94">
        <v>5.0</v>
      </c>
      <c r="R966" s="33"/>
      <c r="S966" s="34"/>
      <c r="T966" s="34"/>
      <c r="U966" s="34"/>
      <c r="V966" s="34"/>
      <c r="W966" s="34"/>
      <c r="X966" s="34"/>
      <c r="Y966" s="45"/>
      <c r="Z966" s="45"/>
      <c r="AA966" s="45"/>
      <c r="AB966" s="45"/>
      <c r="AC966" s="45"/>
      <c r="AD966" s="45"/>
      <c r="AE966" s="45"/>
      <c r="AF966" s="45"/>
      <c r="AG966" s="45"/>
      <c r="AH966" s="45"/>
      <c r="AI966" s="45"/>
      <c r="AJ966" s="45"/>
      <c r="AK966" s="45"/>
      <c r="AL966" s="45"/>
    </row>
    <row r="967" ht="15.75" customHeight="1">
      <c r="A967" s="27">
        <f t="shared" si="20"/>
        <v>316</v>
      </c>
      <c r="B967" s="28"/>
      <c r="C967" s="43" t="s">
        <v>3516</v>
      </c>
      <c r="D967" s="30" t="s">
        <v>3517</v>
      </c>
      <c r="E967" s="28" t="s">
        <v>144</v>
      </c>
      <c r="F967" s="28" t="s">
        <v>29</v>
      </c>
      <c r="G967" s="28" t="s">
        <v>38</v>
      </c>
      <c r="H967" s="28"/>
      <c r="I967" s="28" t="s">
        <v>166</v>
      </c>
      <c r="J967" s="28">
        <v>428.0</v>
      </c>
      <c r="K967" s="28"/>
      <c r="L967" s="28" t="s">
        <v>3518</v>
      </c>
      <c r="M967" s="28" t="s">
        <v>1176</v>
      </c>
      <c r="N967" s="28">
        <v>2002.0</v>
      </c>
      <c r="O967" s="28" t="s">
        <v>2820</v>
      </c>
      <c r="P967" s="28">
        <v>1.0</v>
      </c>
      <c r="Q967" s="32">
        <v>1.0</v>
      </c>
      <c r="R967" s="136">
        <v>1.0</v>
      </c>
      <c r="S967" s="34"/>
      <c r="T967" s="34"/>
      <c r="U967" s="34"/>
      <c r="V967" s="34"/>
      <c r="W967" s="34"/>
      <c r="X967" s="34"/>
      <c r="Y967" s="45"/>
      <c r="Z967" s="45"/>
      <c r="AA967" s="45"/>
      <c r="AB967" s="45"/>
      <c r="AC967" s="45"/>
      <c r="AD967" s="45"/>
      <c r="AE967" s="45"/>
      <c r="AF967" s="45"/>
      <c r="AG967" s="45"/>
      <c r="AH967" s="45"/>
      <c r="AI967" s="45"/>
      <c r="AJ967" s="45"/>
      <c r="AK967" s="45"/>
      <c r="AL967" s="45"/>
    </row>
    <row r="968" ht="15.75" customHeight="1">
      <c r="A968" s="27">
        <f t="shared" si="20"/>
        <v>317</v>
      </c>
      <c r="B968" s="28" t="s">
        <v>3519</v>
      </c>
      <c r="C968" s="43" t="s">
        <v>3520</v>
      </c>
      <c r="D968" s="30" t="s">
        <v>3521</v>
      </c>
      <c r="E968" s="28"/>
      <c r="F968" s="28" t="s">
        <v>29</v>
      </c>
      <c r="G968" s="28" t="s">
        <v>30</v>
      </c>
      <c r="H968" s="28"/>
      <c r="I968" s="28" t="s">
        <v>30</v>
      </c>
      <c r="J968" s="28">
        <v>163.0</v>
      </c>
      <c r="K968" s="28"/>
      <c r="L968" s="28" t="s">
        <v>3522</v>
      </c>
      <c r="M968" s="28" t="s">
        <v>2479</v>
      </c>
      <c r="N968" s="28">
        <v>2011.0</v>
      </c>
      <c r="O968" s="62" t="s">
        <v>1381</v>
      </c>
      <c r="P968" s="28">
        <v>1.0</v>
      </c>
      <c r="Q968" s="32">
        <v>1.0</v>
      </c>
      <c r="R968" s="33"/>
      <c r="S968" s="40"/>
      <c r="T968" s="40"/>
      <c r="U968" s="40"/>
      <c r="V968" s="40"/>
      <c r="W968" s="40"/>
      <c r="X968" s="40"/>
      <c r="Y968" s="45"/>
      <c r="Z968" s="45"/>
      <c r="AA968" s="45"/>
      <c r="AB968" s="45"/>
      <c r="AC968" s="45"/>
      <c r="AD968" s="45"/>
      <c r="AE968" s="45"/>
      <c r="AF968" s="45"/>
      <c r="AG968" s="45"/>
      <c r="AH968" s="45"/>
      <c r="AI968" s="45"/>
      <c r="AJ968" s="45"/>
      <c r="AK968" s="45"/>
      <c r="AL968" s="45"/>
    </row>
    <row r="969" ht="15.75" customHeight="1">
      <c r="A969" s="27">
        <f t="shared" si="20"/>
        <v>318</v>
      </c>
      <c r="B969" s="28" t="s">
        <v>31</v>
      </c>
      <c r="C969" s="43" t="s">
        <v>3523</v>
      </c>
      <c r="D969" s="30" t="s">
        <v>3524</v>
      </c>
      <c r="E969" s="28" t="s">
        <v>28</v>
      </c>
      <c r="F969" s="28" t="s">
        <v>29</v>
      </c>
      <c r="G969" s="28" t="s">
        <v>37</v>
      </c>
      <c r="H969" s="28" t="s">
        <v>31</v>
      </c>
      <c r="I969" s="28" t="s">
        <v>30</v>
      </c>
      <c r="J969" s="28">
        <v>101.0</v>
      </c>
      <c r="K969" s="28"/>
      <c r="L969" s="28" t="s">
        <v>3525</v>
      </c>
      <c r="M969" s="28" t="s">
        <v>3526</v>
      </c>
      <c r="N969" s="28" t="s">
        <v>31</v>
      </c>
      <c r="O969" s="60" t="s">
        <v>2820</v>
      </c>
      <c r="P969" s="28">
        <v>1.0</v>
      </c>
      <c r="Q969" s="32">
        <v>1.0</v>
      </c>
      <c r="R969" s="33"/>
      <c r="S969" s="40"/>
      <c r="T969" s="40"/>
      <c r="U969" s="40"/>
      <c r="V969" s="40"/>
      <c r="W969" s="40"/>
      <c r="X969" s="40"/>
      <c r="Y969" s="45"/>
      <c r="Z969" s="45"/>
      <c r="AA969" s="45"/>
      <c r="AB969" s="45"/>
      <c r="AC969" s="45"/>
      <c r="AD969" s="45"/>
      <c r="AE969" s="45"/>
      <c r="AF969" s="45"/>
      <c r="AG969" s="45"/>
      <c r="AH969" s="45"/>
      <c r="AI969" s="45"/>
      <c r="AJ969" s="45"/>
      <c r="AK969" s="45"/>
      <c r="AL969" s="45"/>
    </row>
    <row r="970" ht="15.75" customHeight="1">
      <c r="A970" s="27">
        <f t="shared" si="20"/>
        <v>319</v>
      </c>
      <c r="B970" s="28" t="s">
        <v>3527</v>
      </c>
      <c r="C970" s="29" t="s">
        <v>3528</v>
      </c>
      <c r="D970" s="120" t="s">
        <v>3529</v>
      </c>
      <c r="E970" s="60" t="s">
        <v>302</v>
      </c>
      <c r="F970" s="28" t="s">
        <v>29</v>
      </c>
      <c r="G970" s="28" t="s">
        <v>37</v>
      </c>
      <c r="H970" s="28"/>
      <c r="I970" s="28" t="s">
        <v>38</v>
      </c>
      <c r="J970" s="28">
        <v>152.0</v>
      </c>
      <c r="K970" s="28"/>
      <c r="L970" s="28" t="s">
        <v>3530</v>
      </c>
      <c r="M970" s="28" t="s">
        <v>1191</v>
      </c>
      <c r="N970" s="28">
        <v>1997.0</v>
      </c>
      <c r="O970" s="60" t="s">
        <v>2820</v>
      </c>
      <c r="P970" s="28">
        <v>1.0</v>
      </c>
      <c r="Q970" s="32">
        <v>1.0</v>
      </c>
      <c r="R970" s="33"/>
      <c r="S970" s="40"/>
      <c r="T970" s="40"/>
      <c r="U970" s="40"/>
      <c r="V970" s="40"/>
      <c r="W970" s="40"/>
      <c r="X970" s="40"/>
      <c r="Y970" s="45"/>
      <c r="Z970" s="45"/>
      <c r="AA970" s="45"/>
      <c r="AB970" s="45"/>
      <c r="AC970" s="45"/>
      <c r="AD970" s="45"/>
      <c r="AE970" s="45"/>
      <c r="AF970" s="45"/>
      <c r="AG970" s="45"/>
      <c r="AH970" s="45"/>
      <c r="AI970" s="45"/>
      <c r="AJ970" s="45"/>
      <c r="AK970" s="45"/>
      <c r="AL970" s="45"/>
    </row>
    <row r="971" ht="15.75" customHeight="1">
      <c r="A971" s="27">
        <f t="shared" si="20"/>
        <v>320</v>
      </c>
      <c r="B971" s="28" t="s">
        <v>3531</v>
      </c>
      <c r="C971" s="48" t="s">
        <v>3532</v>
      </c>
      <c r="D971" s="30" t="s">
        <v>3533</v>
      </c>
      <c r="E971" s="60" t="s">
        <v>3534</v>
      </c>
      <c r="F971" s="28" t="s">
        <v>29</v>
      </c>
      <c r="G971" s="28" t="s">
        <v>37</v>
      </c>
      <c r="H971" s="28"/>
      <c r="I971" s="28" t="s">
        <v>38</v>
      </c>
      <c r="J971" s="28">
        <v>395.0</v>
      </c>
      <c r="K971" s="28"/>
      <c r="L971" s="28" t="s">
        <v>3535</v>
      </c>
      <c r="M971" s="28" t="s">
        <v>3268</v>
      </c>
      <c r="N971" s="28">
        <v>2009.0</v>
      </c>
      <c r="O971" s="60" t="s">
        <v>2820</v>
      </c>
      <c r="P971" s="28">
        <v>1.0</v>
      </c>
      <c r="Q971" s="94">
        <v>1.0</v>
      </c>
      <c r="R971" s="33"/>
      <c r="S971" s="34"/>
      <c r="T971" s="34"/>
      <c r="U971" s="34"/>
      <c r="V971" s="34"/>
      <c r="W971" s="34"/>
      <c r="X971" s="34"/>
      <c r="Y971" s="45"/>
      <c r="Z971" s="45"/>
      <c r="AA971" s="45"/>
      <c r="AB971" s="45"/>
      <c r="AC971" s="45"/>
      <c r="AD971" s="45"/>
      <c r="AE971" s="45"/>
      <c r="AF971" s="45"/>
      <c r="AG971" s="45"/>
      <c r="AH971" s="45"/>
      <c r="AI971" s="45"/>
      <c r="AJ971" s="45"/>
      <c r="AK971" s="45"/>
      <c r="AL971" s="45"/>
    </row>
    <row r="972" ht="15.75" customHeight="1">
      <c r="A972" s="27">
        <f t="shared" si="20"/>
        <v>321</v>
      </c>
      <c r="B972" s="28" t="s">
        <v>3536</v>
      </c>
      <c r="C972" s="48" t="s">
        <v>3537</v>
      </c>
      <c r="D972" s="30" t="s">
        <v>3538</v>
      </c>
      <c r="E972" s="28"/>
      <c r="F972" s="28" t="s">
        <v>29</v>
      </c>
      <c r="G972" s="28" t="s">
        <v>37</v>
      </c>
      <c r="H972" s="28"/>
      <c r="I972" s="28" t="s">
        <v>38</v>
      </c>
      <c r="J972" s="28">
        <v>194.0</v>
      </c>
      <c r="K972" s="28"/>
      <c r="L972" s="28" t="s">
        <v>3539</v>
      </c>
      <c r="M972" s="28" t="s">
        <v>3268</v>
      </c>
      <c r="N972" s="28">
        <v>2005.0</v>
      </c>
      <c r="O972" s="60" t="s">
        <v>2820</v>
      </c>
      <c r="P972" s="28">
        <v>1.0</v>
      </c>
      <c r="Q972" s="32">
        <v>1.0</v>
      </c>
      <c r="R972" s="33"/>
      <c r="S972" s="34"/>
      <c r="T972" s="34"/>
      <c r="U972" s="34"/>
      <c r="V972" s="34"/>
      <c r="W972" s="34"/>
      <c r="X972" s="34"/>
      <c r="Y972" s="45"/>
      <c r="Z972" s="45"/>
      <c r="AA972" s="45"/>
      <c r="AB972" s="45"/>
      <c r="AC972" s="45"/>
      <c r="AD972" s="45"/>
      <c r="AE972" s="45"/>
      <c r="AF972" s="45"/>
      <c r="AG972" s="45"/>
      <c r="AH972" s="45"/>
      <c r="AI972" s="45"/>
      <c r="AJ972" s="45"/>
      <c r="AK972" s="45"/>
      <c r="AL972" s="45"/>
    </row>
    <row r="973" ht="15.75" customHeight="1">
      <c r="A973" s="27">
        <f t="shared" si="20"/>
        <v>322</v>
      </c>
      <c r="B973" s="28" t="s">
        <v>31</v>
      </c>
      <c r="C973" s="102" t="s">
        <v>3540</v>
      </c>
      <c r="D973" s="30" t="s">
        <v>3541</v>
      </c>
      <c r="E973" s="28" t="s">
        <v>28</v>
      </c>
      <c r="F973" s="28" t="s">
        <v>29</v>
      </c>
      <c r="G973" s="28" t="s">
        <v>37</v>
      </c>
      <c r="H973" s="28" t="s">
        <v>31</v>
      </c>
      <c r="I973" s="28" t="s">
        <v>38</v>
      </c>
      <c r="J973" s="28">
        <v>523.0</v>
      </c>
      <c r="K973" s="28"/>
      <c r="L973" s="28" t="s">
        <v>3542</v>
      </c>
      <c r="M973" s="28" t="s">
        <v>230</v>
      </c>
      <c r="N973" s="60" t="s">
        <v>31</v>
      </c>
      <c r="O973" s="62" t="s">
        <v>1381</v>
      </c>
      <c r="P973" s="28">
        <v>1.0</v>
      </c>
      <c r="Q973" s="94">
        <v>1.0</v>
      </c>
      <c r="R973" s="33"/>
      <c r="S973" s="40"/>
      <c r="T973" s="40"/>
      <c r="U973" s="40"/>
      <c r="V973" s="40"/>
      <c r="W973" s="40"/>
      <c r="X973" s="40"/>
      <c r="Y973" s="45"/>
      <c r="Z973" s="45"/>
      <c r="AA973" s="45"/>
      <c r="AB973" s="45"/>
      <c r="AC973" s="45"/>
      <c r="AD973" s="45"/>
      <c r="AE973" s="45"/>
      <c r="AF973" s="45"/>
      <c r="AG973" s="45"/>
      <c r="AH973" s="45"/>
      <c r="AI973" s="45"/>
      <c r="AJ973" s="45"/>
      <c r="AK973" s="45"/>
      <c r="AL973" s="45"/>
    </row>
    <row r="974" ht="15.75" customHeight="1">
      <c r="A974" s="27">
        <f t="shared" si="20"/>
        <v>323</v>
      </c>
      <c r="B974" s="83"/>
      <c r="C974" s="121" t="s">
        <v>1857</v>
      </c>
      <c r="D974" s="119" t="s">
        <v>3543</v>
      </c>
      <c r="E974" s="121" t="s">
        <v>28</v>
      </c>
      <c r="F974" s="121" t="s">
        <v>29</v>
      </c>
      <c r="G974" s="121" t="s">
        <v>38</v>
      </c>
      <c r="H974" s="83"/>
      <c r="I974" s="121" t="s">
        <v>38</v>
      </c>
      <c r="J974" s="121">
        <v>744.0</v>
      </c>
      <c r="K974" s="83"/>
      <c r="L974" s="121" t="s">
        <v>1859</v>
      </c>
      <c r="M974" s="121" t="s">
        <v>65</v>
      </c>
      <c r="N974" s="121">
        <v>1964.0</v>
      </c>
      <c r="O974" s="62" t="s">
        <v>1381</v>
      </c>
      <c r="P974" s="121">
        <v>1.0</v>
      </c>
      <c r="Q974" s="121">
        <v>1.0</v>
      </c>
      <c r="R974" s="84"/>
      <c r="S974" s="34"/>
      <c r="T974" s="34"/>
      <c r="U974" s="34"/>
      <c r="V974" s="34"/>
      <c r="W974" s="34"/>
      <c r="X974" s="34"/>
      <c r="Y974" s="45"/>
      <c r="Z974" s="45"/>
      <c r="AA974" s="45"/>
      <c r="AB974" s="45"/>
      <c r="AC974" s="45"/>
      <c r="AD974" s="45"/>
      <c r="AE974" s="45"/>
      <c r="AF974" s="45"/>
      <c r="AG974" s="45"/>
      <c r="AH974" s="45"/>
      <c r="AI974" s="45"/>
      <c r="AJ974" s="45"/>
      <c r="AK974" s="45"/>
      <c r="AL974" s="45"/>
    </row>
    <row r="975" ht="15.75" customHeight="1">
      <c r="A975" s="27">
        <f t="shared" si="20"/>
        <v>324</v>
      </c>
      <c r="B975" s="28" t="s">
        <v>31</v>
      </c>
      <c r="C975" s="29" t="s">
        <v>3544</v>
      </c>
      <c r="D975" s="30" t="s">
        <v>3545</v>
      </c>
      <c r="E975" s="28" t="s">
        <v>28</v>
      </c>
      <c r="F975" s="28" t="s">
        <v>29</v>
      </c>
      <c r="G975" s="28" t="s">
        <v>30</v>
      </c>
      <c r="H975" s="28"/>
      <c r="I975" s="28" t="s">
        <v>30</v>
      </c>
      <c r="J975" s="28">
        <v>233.0</v>
      </c>
      <c r="K975" s="28"/>
      <c r="L975" s="28" t="s">
        <v>3546</v>
      </c>
      <c r="M975" s="28" t="s">
        <v>151</v>
      </c>
      <c r="N975" s="28">
        <v>1969.0</v>
      </c>
      <c r="O975" s="62" t="s">
        <v>1381</v>
      </c>
      <c r="P975" s="28">
        <v>4.0</v>
      </c>
      <c r="Q975" s="32">
        <v>4.0</v>
      </c>
      <c r="R975" s="33"/>
      <c r="S975" s="40"/>
      <c r="T975" s="40"/>
      <c r="U975" s="40"/>
      <c r="V975" s="40"/>
      <c r="W975" s="40"/>
      <c r="X975" s="40"/>
      <c r="Y975" s="45"/>
      <c r="Z975" s="45"/>
      <c r="AA975" s="45"/>
      <c r="AB975" s="45"/>
      <c r="AC975" s="45"/>
      <c r="AD975" s="45"/>
      <c r="AE975" s="45"/>
      <c r="AF975" s="45"/>
      <c r="AG975" s="45"/>
      <c r="AH975" s="45"/>
      <c r="AI975" s="45"/>
      <c r="AJ975" s="45"/>
      <c r="AK975" s="45"/>
      <c r="AL975" s="45"/>
    </row>
    <row r="976" ht="15.75" customHeight="1">
      <c r="A976" s="27">
        <f t="shared" si="20"/>
        <v>325</v>
      </c>
      <c r="B976" s="28" t="s">
        <v>3547</v>
      </c>
      <c r="C976" s="102" t="s">
        <v>3548</v>
      </c>
      <c r="D976" s="120" t="s">
        <v>3549</v>
      </c>
      <c r="E976" s="60" t="s">
        <v>3118</v>
      </c>
      <c r="F976" s="28" t="s">
        <v>29</v>
      </c>
      <c r="G976" s="28" t="s">
        <v>37</v>
      </c>
      <c r="H976" s="28"/>
      <c r="I976" s="28" t="s">
        <v>38</v>
      </c>
      <c r="J976" s="28">
        <v>492.0</v>
      </c>
      <c r="K976" s="28"/>
      <c r="L976" s="28" t="s">
        <v>3550</v>
      </c>
      <c r="M976" s="28" t="s">
        <v>230</v>
      </c>
      <c r="N976" s="60">
        <v>2004.0</v>
      </c>
      <c r="O976" s="60" t="s">
        <v>2820</v>
      </c>
      <c r="P976" s="28">
        <v>1.0</v>
      </c>
      <c r="Q976" s="32">
        <v>1.0</v>
      </c>
      <c r="R976" s="33"/>
      <c r="S976" s="34"/>
      <c r="T976" s="34"/>
      <c r="U976" s="34"/>
      <c r="V976" s="34"/>
      <c r="W976" s="34"/>
      <c r="X976" s="34"/>
      <c r="Y976" s="45"/>
      <c r="Z976" s="45"/>
      <c r="AA976" s="45"/>
      <c r="AB976" s="45"/>
      <c r="AC976" s="45"/>
      <c r="AD976" s="45"/>
      <c r="AE976" s="45"/>
      <c r="AF976" s="45"/>
      <c r="AG976" s="45"/>
      <c r="AH976" s="45"/>
      <c r="AI976" s="45"/>
      <c r="AJ976" s="45"/>
      <c r="AK976" s="45"/>
      <c r="AL976" s="45"/>
    </row>
    <row r="977" ht="15.75" customHeight="1">
      <c r="A977" s="27">
        <f t="shared" si="20"/>
        <v>326</v>
      </c>
      <c r="B977" s="28" t="s">
        <v>31</v>
      </c>
      <c r="C977" s="29" t="s">
        <v>3551</v>
      </c>
      <c r="D977" s="30" t="s">
        <v>3552</v>
      </c>
      <c r="E977" s="28" t="s">
        <v>28</v>
      </c>
      <c r="F977" s="28" t="s">
        <v>29</v>
      </c>
      <c r="G977" s="28" t="s">
        <v>37</v>
      </c>
      <c r="H977" s="28"/>
      <c r="I977" s="28" t="s">
        <v>38</v>
      </c>
      <c r="J977" s="28">
        <f>365+12</f>
        <v>377</v>
      </c>
      <c r="K977" s="28"/>
      <c r="L977" s="28" t="s">
        <v>3553</v>
      </c>
      <c r="M977" s="28" t="s">
        <v>365</v>
      </c>
      <c r="N977" s="28">
        <v>1956.0</v>
      </c>
      <c r="O977" s="28" t="s">
        <v>2820</v>
      </c>
      <c r="P977" s="28">
        <v>1.0</v>
      </c>
      <c r="Q977" s="32">
        <v>1.0</v>
      </c>
      <c r="R977" s="33"/>
      <c r="S977" s="34"/>
      <c r="T977" s="34"/>
      <c r="U977" s="34"/>
      <c r="V977" s="34"/>
      <c r="W977" s="34"/>
      <c r="X977" s="34"/>
      <c r="Y977" s="45"/>
      <c r="Z977" s="45"/>
      <c r="AA977" s="45"/>
      <c r="AB977" s="45"/>
      <c r="AC977" s="45"/>
      <c r="AD977" s="45"/>
      <c r="AE977" s="45"/>
      <c r="AF977" s="45"/>
      <c r="AG977" s="45"/>
      <c r="AH977" s="45"/>
      <c r="AI977" s="45"/>
      <c r="AJ977" s="45"/>
      <c r="AK977" s="45"/>
      <c r="AL977" s="45"/>
    </row>
    <row r="978" ht="15.75" customHeight="1">
      <c r="A978" s="27">
        <f t="shared" si="20"/>
        <v>327</v>
      </c>
      <c r="B978" s="28" t="s">
        <v>3554</v>
      </c>
      <c r="C978" s="102" t="s">
        <v>3555</v>
      </c>
      <c r="D978" s="30" t="s">
        <v>3556</v>
      </c>
      <c r="E978" s="28" t="s">
        <v>28</v>
      </c>
      <c r="F978" s="28" t="s">
        <v>29</v>
      </c>
      <c r="G978" s="28" t="s">
        <v>31</v>
      </c>
      <c r="H978" s="28"/>
      <c r="I978" s="28" t="s">
        <v>38</v>
      </c>
      <c r="J978" s="28">
        <v>150.0</v>
      </c>
      <c r="K978" s="28"/>
      <c r="L978" s="28" t="s">
        <v>3557</v>
      </c>
      <c r="M978" s="28" t="s">
        <v>3558</v>
      </c>
      <c r="N978" s="28">
        <v>1992.0</v>
      </c>
      <c r="O978" s="60" t="s">
        <v>2820</v>
      </c>
      <c r="P978" s="28">
        <v>1.0</v>
      </c>
      <c r="Q978" s="32">
        <v>1.0</v>
      </c>
      <c r="R978" s="33"/>
      <c r="S978" s="34"/>
      <c r="T978" s="34"/>
      <c r="U978" s="34"/>
      <c r="V978" s="34"/>
      <c r="W978" s="34"/>
      <c r="X978" s="34"/>
      <c r="Y978" s="45"/>
      <c r="Z978" s="45"/>
      <c r="AA978" s="45"/>
      <c r="AB978" s="45"/>
      <c r="AC978" s="45"/>
      <c r="AD978" s="45"/>
      <c r="AE978" s="45"/>
      <c r="AF978" s="45"/>
      <c r="AG978" s="45"/>
      <c r="AH978" s="45"/>
      <c r="AI978" s="45"/>
      <c r="AJ978" s="45"/>
      <c r="AK978" s="45"/>
      <c r="AL978" s="45"/>
    </row>
    <row r="979" ht="15.75" customHeight="1">
      <c r="A979" s="27">
        <f t="shared" si="20"/>
        <v>328</v>
      </c>
      <c r="B979" s="32" t="s">
        <v>3559</v>
      </c>
      <c r="C979" s="73" t="s">
        <v>1905</v>
      </c>
      <c r="D979" s="119" t="s">
        <v>3560</v>
      </c>
      <c r="E979" s="121" t="s">
        <v>3148</v>
      </c>
      <c r="F979" s="121" t="s">
        <v>29</v>
      </c>
      <c r="G979" s="121" t="s">
        <v>37</v>
      </c>
      <c r="H979" s="83"/>
      <c r="I979" s="121" t="s">
        <v>38</v>
      </c>
      <c r="J979" s="32">
        <f>110+1</f>
        <v>111</v>
      </c>
      <c r="K979" s="33"/>
      <c r="L979" s="73" t="s">
        <v>3162</v>
      </c>
      <c r="M979" s="121" t="s">
        <v>54</v>
      </c>
      <c r="N979" s="32">
        <v>1978.0</v>
      </c>
      <c r="O979" s="37">
        <v>5.0</v>
      </c>
      <c r="P979" s="37">
        <v>3.0</v>
      </c>
      <c r="Q979" s="37">
        <v>3.0</v>
      </c>
      <c r="R979" s="84"/>
      <c r="S979" s="34"/>
      <c r="T979" s="34"/>
      <c r="U979" s="34"/>
      <c r="V979" s="34"/>
      <c r="W979" s="34"/>
      <c r="X979" s="34"/>
      <c r="Y979" s="3"/>
      <c r="Z979" s="3"/>
      <c r="AA979" s="3"/>
      <c r="AB979" s="3"/>
      <c r="AC979" s="3"/>
      <c r="AD979" s="3"/>
      <c r="AE979" s="3"/>
      <c r="AF979" s="3"/>
      <c r="AG979" s="3"/>
      <c r="AH979" s="3"/>
      <c r="AI979" s="3"/>
      <c r="AJ979" s="3"/>
      <c r="AK979" s="3"/>
      <c r="AL979" s="3"/>
    </row>
    <row r="980" ht="15.75" customHeight="1">
      <c r="A980" s="27">
        <f t="shared" si="20"/>
        <v>329</v>
      </c>
      <c r="B980" s="28" t="s">
        <v>3561</v>
      </c>
      <c r="C980" s="43" t="s">
        <v>3562</v>
      </c>
      <c r="D980" s="30" t="s">
        <v>3563</v>
      </c>
      <c r="E980" s="28"/>
      <c r="F980" s="28" t="s">
        <v>29</v>
      </c>
      <c r="G980" s="28" t="s">
        <v>30</v>
      </c>
      <c r="H980" s="28"/>
      <c r="I980" s="28" t="s">
        <v>30</v>
      </c>
      <c r="J980" s="28">
        <v>132.0</v>
      </c>
      <c r="K980" s="28"/>
      <c r="L980" s="28" t="s">
        <v>3564</v>
      </c>
      <c r="M980" s="28" t="s">
        <v>2936</v>
      </c>
      <c r="N980" s="28">
        <v>2009.0</v>
      </c>
      <c r="O980" s="62" t="s">
        <v>1381</v>
      </c>
      <c r="P980" s="28">
        <v>1.0</v>
      </c>
      <c r="Q980" s="32">
        <v>1.0</v>
      </c>
      <c r="R980" s="33"/>
      <c r="S980" s="34"/>
      <c r="T980" s="34"/>
      <c r="U980" s="34"/>
      <c r="V980" s="34"/>
      <c r="W980" s="34"/>
      <c r="X980" s="34"/>
      <c r="Y980" s="45"/>
      <c r="Z980" s="45"/>
      <c r="AA980" s="45"/>
      <c r="AB980" s="45"/>
      <c r="AC980" s="45"/>
      <c r="AD980" s="45"/>
      <c r="AE980" s="45"/>
      <c r="AF980" s="45"/>
      <c r="AG980" s="45"/>
      <c r="AH980" s="45"/>
      <c r="AI980" s="45"/>
      <c r="AJ980" s="45"/>
      <c r="AK980" s="45"/>
      <c r="AL980" s="45"/>
    </row>
    <row r="981" ht="15.75" customHeight="1">
      <c r="A981" s="27">
        <f t="shared" si="20"/>
        <v>330</v>
      </c>
      <c r="B981" s="28" t="s">
        <v>3565</v>
      </c>
      <c r="C981" s="29" t="s">
        <v>3566</v>
      </c>
      <c r="D981" s="30" t="s">
        <v>3567</v>
      </c>
      <c r="E981" s="28"/>
      <c r="F981" s="28" t="s">
        <v>29</v>
      </c>
      <c r="G981" s="28" t="s">
        <v>30</v>
      </c>
      <c r="H981" s="28"/>
      <c r="I981" s="28" t="s">
        <v>30</v>
      </c>
      <c r="J981" s="28">
        <v>156.0</v>
      </c>
      <c r="K981" s="28"/>
      <c r="L981" s="28" t="s">
        <v>3522</v>
      </c>
      <c r="M981" s="28" t="s">
        <v>2479</v>
      </c>
      <c r="N981" s="28">
        <v>2011.0</v>
      </c>
      <c r="O981" s="60" t="s">
        <v>2820</v>
      </c>
      <c r="P981" s="28">
        <v>1.0</v>
      </c>
      <c r="Q981" s="32">
        <v>1.0</v>
      </c>
      <c r="R981" s="33"/>
      <c r="S981" s="34"/>
      <c r="T981" s="34"/>
      <c r="U981" s="34"/>
      <c r="V981" s="34"/>
      <c r="W981" s="34"/>
      <c r="X981" s="34"/>
      <c r="Y981" s="45"/>
      <c r="Z981" s="45"/>
      <c r="AA981" s="45"/>
      <c r="AB981" s="45"/>
      <c r="AC981" s="45"/>
      <c r="AD981" s="45"/>
      <c r="AE981" s="45"/>
      <c r="AF981" s="45"/>
      <c r="AG981" s="45"/>
      <c r="AH981" s="45"/>
      <c r="AI981" s="45"/>
      <c r="AJ981" s="45"/>
      <c r="AK981" s="45"/>
      <c r="AL981" s="45"/>
    </row>
    <row r="982" ht="15.75" customHeight="1">
      <c r="A982" s="27">
        <f t="shared" si="20"/>
        <v>331</v>
      </c>
      <c r="B982" s="28" t="s">
        <v>3568</v>
      </c>
      <c r="C982" s="43" t="s">
        <v>3569</v>
      </c>
      <c r="D982" s="30" t="s">
        <v>3570</v>
      </c>
      <c r="E982" s="28" t="s">
        <v>28</v>
      </c>
      <c r="F982" s="28" t="s">
        <v>29</v>
      </c>
      <c r="G982" s="28" t="s">
        <v>30</v>
      </c>
      <c r="H982" s="28" t="s">
        <v>31</v>
      </c>
      <c r="I982" s="28" t="s">
        <v>30</v>
      </c>
      <c r="J982" s="28">
        <v>184.0</v>
      </c>
      <c r="K982" s="28"/>
      <c r="L982" s="28" t="s">
        <v>3571</v>
      </c>
      <c r="M982" s="28" t="s">
        <v>544</v>
      </c>
      <c r="N982" s="28">
        <v>2000.0</v>
      </c>
      <c r="O982" s="62" t="s">
        <v>1381</v>
      </c>
      <c r="P982" s="28">
        <v>2.0</v>
      </c>
      <c r="Q982" s="32">
        <v>2.0</v>
      </c>
      <c r="R982" s="33"/>
      <c r="S982" s="34"/>
      <c r="T982" s="34"/>
      <c r="U982" s="34"/>
      <c r="V982" s="34"/>
      <c r="W982" s="34"/>
      <c r="X982" s="34"/>
      <c r="Y982" s="45"/>
      <c r="Z982" s="45"/>
      <c r="AA982" s="45"/>
      <c r="AB982" s="45"/>
      <c r="AC982" s="45"/>
      <c r="AD982" s="45"/>
      <c r="AE982" s="45"/>
      <c r="AF982" s="45"/>
      <c r="AG982" s="45"/>
      <c r="AH982" s="45"/>
      <c r="AI982" s="45"/>
      <c r="AJ982" s="45"/>
      <c r="AK982" s="45"/>
      <c r="AL982" s="45"/>
    </row>
    <row r="983" ht="15.75" customHeight="1">
      <c r="A983" s="27">
        <f t="shared" si="20"/>
        <v>332</v>
      </c>
      <c r="B983" s="28" t="s">
        <v>31</v>
      </c>
      <c r="C983" s="48" t="s">
        <v>3572</v>
      </c>
      <c r="D983" s="137" t="s">
        <v>3573</v>
      </c>
      <c r="E983" s="28" t="s">
        <v>28</v>
      </c>
      <c r="F983" s="28" t="s">
        <v>29</v>
      </c>
      <c r="G983" s="28" t="s">
        <v>37</v>
      </c>
      <c r="H983" s="28"/>
      <c r="I983" s="28" t="s">
        <v>38</v>
      </c>
      <c r="J983" s="28">
        <v>152.0</v>
      </c>
      <c r="K983" s="28"/>
      <c r="L983" s="28" t="s">
        <v>3574</v>
      </c>
      <c r="M983" s="28" t="s">
        <v>816</v>
      </c>
      <c r="N983" s="28">
        <v>1969.0</v>
      </c>
      <c r="O983" s="62">
        <v>6.0</v>
      </c>
      <c r="P983" s="28">
        <v>1.0</v>
      </c>
      <c r="Q983" s="32">
        <v>1.0</v>
      </c>
      <c r="R983" s="33"/>
      <c r="S983" s="34"/>
      <c r="T983" s="34"/>
      <c r="U983" s="34"/>
      <c r="V983" s="34"/>
      <c r="W983" s="34"/>
      <c r="X983" s="34"/>
      <c r="Y983" s="45"/>
      <c r="Z983" s="45"/>
      <c r="AA983" s="45"/>
      <c r="AB983" s="45"/>
      <c r="AC983" s="45"/>
      <c r="AD983" s="45"/>
      <c r="AE983" s="45"/>
      <c r="AF983" s="45"/>
      <c r="AG983" s="45"/>
      <c r="AH983" s="45"/>
      <c r="AI983" s="45"/>
      <c r="AJ983" s="45"/>
      <c r="AK983" s="45"/>
      <c r="AL983" s="45"/>
    </row>
    <row r="984" ht="15.75" customHeight="1">
      <c r="A984" s="27">
        <f t="shared" si="20"/>
        <v>333</v>
      </c>
      <c r="B984" s="121" t="s">
        <v>3575</v>
      </c>
      <c r="C984" s="121" t="s">
        <v>3576</v>
      </c>
      <c r="D984" s="119" t="s">
        <v>3577</v>
      </c>
      <c r="E984" s="121" t="s">
        <v>3578</v>
      </c>
      <c r="F984" s="121" t="s">
        <v>29</v>
      </c>
      <c r="G984" s="121" t="s">
        <v>37</v>
      </c>
      <c r="H984" s="83"/>
      <c r="I984" s="121" t="s">
        <v>38</v>
      </c>
      <c r="J984" s="121">
        <v>146.0</v>
      </c>
      <c r="K984" s="83"/>
      <c r="L984" s="121" t="s">
        <v>3579</v>
      </c>
      <c r="M984" s="124" t="s">
        <v>816</v>
      </c>
      <c r="N984" s="121">
        <v>2002.0</v>
      </c>
      <c r="O984" s="124" t="s">
        <v>1381</v>
      </c>
      <c r="P984" s="121">
        <v>1.0</v>
      </c>
      <c r="Q984" s="121">
        <v>1.0</v>
      </c>
      <c r="R984" s="84"/>
      <c r="S984" s="34"/>
      <c r="T984" s="34"/>
      <c r="U984" s="34"/>
      <c r="V984" s="34"/>
      <c r="W984" s="34"/>
      <c r="X984" s="34"/>
      <c r="Y984" s="45"/>
      <c r="Z984" s="45"/>
      <c r="AA984" s="45"/>
      <c r="AB984" s="45"/>
      <c r="AC984" s="45"/>
      <c r="AD984" s="45"/>
      <c r="AE984" s="45"/>
      <c r="AF984" s="45"/>
      <c r="AG984" s="45"/>
      <c r="AH984" s="45"/>
      <c r="AI984" s="45"/>
      <c r="AJ984" s="45"/>
      <c r="AK984" s="45"/>
      <c r="AL984" s="45"/>
    </row>
    <row r="985" ht="15.75" customHeight="1">
      <c r="A985" s="27">
        <f t="shared" si="20"/>
        <v>334</v>
      </c>
      <c r="B985" s="28"/>
      <c r="C985" s="43" t="s">
        <v>3580</v>
      </c>
      <c r="D985" s="30" t="s">
        <v>3581</v>
      </c>
      <c r="E985" s="28" t="s">
        <v>144</v>
      </c>
      <c r="F985" s="28" t="s">
        <v>29</v>
      </c>
      <c r="G985" s="28" t="s">
        <v>30</v>
      </c>
      <c r="H985" s="28"/>
      <c r="I985" s="28" t="s">
        <v>30</v>
      </c>
      <c r="J985" s="28">
        <f>77</f>
        <v>77</v>
      </c>
      <c r="K985" s="28"/>
      <c r="L985" s="28" t="s">
        <v>1935</v>
      </c>
      <c r="M985" s="28" t="s">
        <v>151</v>
      </c>
      <c r="N985" s="28">
        <v>1975.0</v>
      </c>
      <c r="O985" s="28" t="s">
        <v>2820</v>
      </c>
      <c r="P985" s="28">
        <v>1.0</v>
      </c>
      <c r="Q985" s="32">
        <v>1.0</v>
      </c>
      <c r="R985" s="33"/>
      <c r="S985" s="34"/>
      <c r="T985" s="34"/>
      <c r="U985" s="34"/>
      <c r="V985" s="34"/>
      <c r="W985" s="34"/>
      <c r="X985" s="34"/>
      <c r="Y985" s="45"/>
      <c r="Z985" s="45"/>
      <c r="AA985" s="45"/>
      <c r="AB985" s="45"/>
      <c r="AC985" s="45"/>
      <c r="AD985" s="45"/>
      <c r="AE985" s="45"/>
      <c r="AF985" s="45"/>
      <c r="AG985" s="45"/>
      <c r="AH985" s="45"/>
      <c r="AI985" s="45"/>
      <c r="AJ985" s="45"/>
      <c r="AK985" s="45"/>
      <c r="AL985" s="45"/>
    </row>
    <row r="986" ht="15.75" customHeight="1">
      <c r="A986" s="27">
        <f t="shared" si="20"/>
        <v>335</v>
      </c>
      <c r="B986" s="28" t="s">
        <v>3582</v>
      </c>
      <c r="C986" s="43" t="s">
        <v>3583</v>
      </c>
      <c r="D986" s="30" t="s">
        <v>3584</v>
      </c>
      <c r="E986" s="28" t="s">
        <v>3118</v>
      </c>
      <c r="F986" s="28" t="s">
        <v>29</v>
      </c>
      <c r="G986" s="28" t="s">
        <v>30</v>
      </c>
      <c r="H986" s="28"/>
      <c r="I986" s="28" t="s">
        <v>30</v>
      </c>
      <c r="J986" s="31">
        <v>221.0</v>
      </c>
      <c r="K986" s="28"/>
      <c r="L986" s="28" t="s">
        <v>3585</v>
      </c>
      <c r="M986" s="28" t="s">
        <v>151</v>
      </c>
      <c r="N986" s="28">
        <v>2015.0</v>
      </c>
      <c r="O986" s="62" t="s">
        <v>1381</v>
      </c>
      <c r="P986" s="28">
        <v>1.0</v>
      </c>
      <c r="Q986" s="32">
        <v>1.0</v>
      </c>
      <c r="R986" s="33"/>
      <c r="S986" s="34"/>
      <c r="T986" s="34"/>
      <c r="U986" s="34"/>
      <c r="V986" s="34"/>
      <c r="W986" s="34"/>
      <c r="X986" s="34"/>
      <c r="Y986" s="45"/>
      <c r="Z986" s="45"/>
      <c r="AA986" s="45"/>
      <c r="AB986" s="45"/>
      <c r="AC986" s="45"/>
      <c r="AD986" s="45"/>
      <c r="AE986" s="45"/>
      <c r="AF986" s="45"/>
      <c r="AG986" s="45"/>
      <c r="AH986" s="45"/>
      <c r="AI986" s="45"/>
      <c r="AJ986" s="45"/>
      <c r="AK986" s="45"/>
      <c r="AL986" s="45"/>
    </row>
    <row r="987" ht="15.75" customHeight="1">
      <c r="A987" s="27">
        <f t="shared" si="20"/>
        <v>336</v>
      </c>
      <c r="B987" s="28" t="s">
        <v>31</v>
      </c>
      <c r="C987" s="29" t="s">
        <v>3586</v>
      </c>
      <c r="D987" s="30" t="s">
        <v>3587</v>
      </c>
      <c r="E987" s="28" t="s">
        <v>28</v>
      </c>
      <c r="F987" s="28" t="s">
        <v>29</v>
      </c>
      <c r="G987" s="28" t="s">
        <v>37</v>
      </c>
      <c r="H987" s="28"/>
      <c r="I987" s="28" t="s">
        <v>38</v>
      </c>
      <c r="J987" s="28">
        <v>507.0</v>
      </c>
      <c r="K987" s="28"/>
      <c r="L987" s="28" t="s">
        <v>3588</v>
      </c>
      <c r="M987" s="28" t="s">
        <v>230</v>
      </c>
      <c r="N987" s="28">
        <v>1967.0</v>
      </c>
      <c r="O987" s="60" t="s">
        <v>2820</v>
      </c>
      <c r="P987" s="28">
        <v>1.0</v>
      </c>
      <c r="Q987" s="32">
        <v>1.0</v>
      </c>
      <c r="R987" s="33"/>
      <c r="S987" s="34"/>
      <c r="T987" s="34"/>
      <c r="U987" s="34"/>
      <c r="V987" s="34"/>
      <c r="W987" s="34"/>
      <c r="X987" s="34"/>
      <c r="Y987" s="45"/>
      <c r="Z987" s="45"/>
      <c r="AA987" s="45"/>
      <c r="AB987" s="45"/>
      <c r="AC987" s="45"/>
      <c r="AD987" s="45"/>
      <c r="AE987" s="45"/>
      <c r="AF987" s="45"/>
      <c r="AG987" s="45"/>
      <c r="AH987" s="45"/>
      <c r="AI987" s="45"/>
      <c r="AJ987" s="45"/>
      <c r="AK987" s="45"/>
      <c r="AL987" s="45"/>
    </row>
    <row r="988" ht="15.75" customHeight="1">
      <c r="A988" s="27">
        <f t="shared" si="20"/>
        <v>337</v>
      </c>
      <c r="B988" s="28" t="s">
        <v>3589</v>
      </c>
      <c r="C988" s="102" t="s">
        <v>3590</v>
      </c>
      <c r="D988" s="120" t="s">
        <v>3591</v>
      </c>
      <c r="E988" s="28" t="s">
        <v>28</v>
      </c>
      <c r="F988" s="28" t="s">
        <v>29</v>
      </c>
      <c r="G988" s="28" t="s">
        <v>30</v>
      </c>
      <c r="H988" s="28"/>
      <c r="I988" s="28" t="s">
        <v>30</v>
      </c>
      <c r="J988" s="28">
        <v>410.0</v>
      </c>
      <c r="K988" s="28"/>
      <c r="L988" s="28" t="s">
        <v>3592</v>
      </c>
      <c r="M988" s="28" t="s">
        <v>151</v>
      </c>
      <c r="N988" s="28">
        <v>2015.0</v>
      </c>
      <c r="O988" s="60" t="s">
        <v>2820</v>
      </c>
      <c r="P988" s="28">
        <v>2.0</v>
      </c>
      <c r="Q988" s="32">
        <v>2.0</v>
      </c>
      <c r="R988" s="33"/>
      <c r="S988" s="38"/>
      <c r="T988" s="38"/>
      <c r="U988" s="38"/>
      <c r="V988" s="38"/>
      <c r="W988" s="38"/>
      <c r="X988" s="38"/>
      <c r="Y988" s="45"/>
      <c r="Z988" s="45"/>
      <c r="AA988" s="45"/>
      <c r="AB988" s="45"/>
      <c r="AC988" s="45"/>
      <c r="AD988" s="45"/>
      <c r="AE988" s="45"/>
      <c r="AF988" s="45"/>
      <c r="AG988" s="45"/>
      <c r="AH988" s="45"/>
      <c r="AI988" s="45"/>
      <c r="AJ988" s="45"/>
      <c r="AK988" s="45"/>
      <c r="AL988" s="45"/>
    </row>
    <row r="989" ht="15.75" customHeight="1">
      <c r="A989" s="27">
        <f t="shared" si="20"/>
        <v>338</v>
      </c>
      <c r="B989" s="121" t="s">
        <v>3593</v>
      </c>
      <c r="C989" s="121" t="s">
        <v>3594</v>
      </c>
      <c r="D989" s="119" t="s">
        <v>3595</v>
      </c>
      <c r="E989" s="121" t="s">
        <v>28</v>
      </c>
      <c r="F989" s="121" t="s">
        <v>29</v>
      </c>
      <c r="G989" s="121" t="s">
        <v>30</v>
      </c>
      <c r="H989" s="83"/>
      <c r="I989" s="121" t="s">
        <v>30</v>
      </c>
      <c r="J989" s="121">
        <v>201.0</v>
      </c>
      <c r="K989" s="83"/>
      <c r="L989" s="121" t="s">
        <v>3596</v>
      </c>
      <c r="M989" s="121" t="s">
        <v>151</v>
      </c>
      <c r="N989" s="121">
        <v>1997.0</v>
      </c>
      <c r="O989" s="62" t="s">
        <v>1381</v>
      </c>
      <c r="P989" s="124">
        <v>2.0</v>
      </c>
      <c r="Q989" s="124">
        <v>2.0</v>
      </c>
      <c r="R989" s="84"/>
      <c r="S989" s="40"/>
      <c r="T989" s="40"/>
      <c r="U989" s="40"/>
      <c r="V989" s="40"/>
      <c r="W989" s="40"/>
      <c r="X989" s="40"/>
      <c r="Y989" s="45"/>
      <c r="Z989" s="45"/>
      <c r="AA989" s="45"/>
      <c r="AB989" s="45"/>
      <c r="AC989" s="45"/>
      <c r="AD989" s="45"/>
      <c r="AE989" s="45"/>
      <c r="AF989" s="45"/>
      <c r="AG989" s="45"/>
      <c r="AH989" s="45"/>
      <c r="AI989" s="45"/>
      <c r="AJ989" s="45"/>
      <c r="AK989" s="45"/>
      <c r="AL989" s="45"/>
    </row>
    <row r="990" ht="15.75" customHeight="1">
      <c r="A990" s="27">
        <f t="shared" si="20"/>
        <v>339</v>
      </c>
      <c r="B990" s="28" t="s">
        <v>3597</v>
      </c>
      <c r="C990" s="48" t="s">
        <v>3598</v>
      </c>
      <c r="D990" s="30" t="s">
        <v>3599</v>
      </c>
      <c r="E990" s="28"/>
      <c r="F990" s="28" t="s">
        <v>29</v>
      </c>
      <c r="G990" s="28" t="s">
        <v>37</v>
      </c>
      <c r="H990" s="28"/>
      <c r="I990" s="28" t="s">
        <v>38</v>
      </c>
      <c r="J990" s="28">
        <v>205.0</v>
      </c>
      <c r="K990" s="28"/>
      <c r="L990" s="28" t="s">
        <v>3600</v>
      </c>
      <c r="M990" s="28" t="s">
        <v>352</v>
      </c>
      <c r="N990" s="28">
        <v>2010.0</v>
      </c>
      <c r="O990" s="60" t="s">
        <v>2820</v>
      </c>
      <c r="P990" s="28">
        <v>1.0</v>
      </c>
      <c r="Q990" s="94">
        <v>1.0</v>
      </c>
      <c r="R990" s="33"/>
      <c r="S990" s="34"/>
      <c r="T990" s="34"/>
      <c r="U990" s="34"/>
      <c r="V990" s="34"/>
      <c r="W990" s="34"/>
      <c r="X990" s="34"/>
      <c r="Y990" s="45"/>
      <c r="Z990" s="45"/>
      <c r="AA990" s="45"/>
      <c r="AB990" s="45"/>
      <c r="AC990" s="45"/>
      <c r="AD990" s="45"/>
      <c r="AE990" s="45"/>
      <c r="AF990" s="45"/>
      <c r="AG990" s="45"/>
      <c r="AH990" s="45"/>
      <c r="AI990" s="45"/>
      <c r="AJ990" s="45"/>
      <c r="AK990" s="45"/>
      <c r="AL990" s="45"/>
    </row>
    <row r="991" ht="15.75" customHeight="1">
      <c r="A991" s="27">
        <f t="shared" si="20"/>
        <v>340</v>
      </c>
      <c r="B991" s="28" t="s">
        <v>3601</v>
      </c>
      <c r="C991" s="43" t="s">
        <v>3602</v>
      </c>
      <c r="D991" s="30" t="s">
        <v>3603</v>
      </c>
      <c r="E991" s="28" t="s">
        <v>28</v>
      </c>
      <c r="F991" s="28" t="s">
        <v>29</v>
      </c>
      <c r="G991" s="28" t="s">
        <v>37</v>
      </c>
      <c r="H991" s="28"/>
      <c r="I991" s="28" t="s">
        <v>38</v>
      </c>
      <c r="J991" s="28">
        <v>320.0</v>
      </c>
      <c r="K991" s="28"/>
      <c r="L991" s="28" t="s">
        <v>3604</v>
      </c>
      <c r="M991" s="28" t="s">
        <v>2567</v>
      </c>
      <c r="N991" s="28">
        <v>1974.0</v>
      </c>
      <c r="O991" s="28" t="s">
        <v>2820</v>
      </c>
      <c r="P991" s="28">
        <v>1.0</v>
      </c>
      <c r="Q991" s="94">
        <v>1.0</v>
      </c>
      <c r="R991" s="33"/>
      <c r="S991" s="34"/>
      <c r="T991" s="34"/>
      <c r="U991" s="34"/>
      <c r="V991" s="34"/>
      <c r="W991" s="34"/>
      <c r="X991" s="34"/>
      <c r="Y991" s="3"/>
      <c r="Z991" s="3"/>
      <c r="AA991" s="3"/>
      <c r="AB991" s="3"/>
      <c r="AC991" s="3"/>
      <c r="AD991" s="3"/>
      <c r="AE991" s="3"/>
      <c r="AF991" s="3"/>
      <c r="AG991" s="3"/>
      <c r="AH991" s="3"/>
      <c r="AI991" s="3"/>
      <c r="AJ991" s="3"/>
      <c r="AK991" s="3"/>
      <c r="AL991" s="3"/>
    </row>
    <row r="992" ht="15.75" customHeight="1">
      <c r="A992" s="27">
        <f t="shared" si="20"/>
        <v>341</v>
      </c>
      <c r="B992" s="28" t="s">
        <v>3605</v>
      </c>
      <c r="C992" s="102" t="s">
        <v>3606</v>
      </c>
      <c r="D992" s="30" t="s">
        <v>3607</v>
      </c>
      <c r="E992" s="28" t="s">
        <v>28</v>
      </c>
      <c r="F992" s="28" t="s">
        <v>29</v>
      </c>
      <c r="G992" s="28" t="s">
        <v>30</v>
      </c>
      <c r="H992" s="28" t="s">
        <v>31</v>
      </c>
      <c r="I992" s="28" t="s">
        <v>30</v>
      </c>
      <c r="J992" s="28">
        <v>201.0</v>
      </c>
      <c r="K992" s="28"/>
      <c r="L992" s="28" t="s">
        <v>3596</v>
      </c>
      <c r="M992" s="28" t="s">
        <v>151</v>
      </c>
      <c r="N992" s="28">
        <v>1986.0</v>
      </c>
      <c r="O992" s="62" t="s">
        <v>1381</v>
      </c>
      <c r="P992" s="28">
        <v>1.0</v>
      </c>
      <c r="Q992" s="32">
        <v>1.0</v>
      </c>
      <c r="R992" s="33"/>
      <c r="S992" s="34"/>
      <c r="T992" s="34"/>
      <c r="U992" s="34"/>
      <c r="V992" s="34"/>
      <c r="W992" s="34"/>
      <c r="X992" s="34"/>
      <c r="Y992" s="45"/>
      <c r="Z992" s="45"/>
      <c r="AA992" s="45"/>
      <c r="AB992" s="45"/>
      <c r="AC992" s="45"/>
      <c r="AD992" s="45"/>
      <c r="AE992" s="45"/>
      <c r="AF992" s="45"/>
      <c r="AG992" s="45"/>
      <c r="AH992" s="45"/>
      <c r="AI992" s="45"/>
      <c r="AJ992" s="45"/>
      <c r="AK992" s="45"/>
      <c r="AL992" s="45"/>
    </row>
    <row r="993" ht="15.75" customHeight="1">
      <c r="A993" s="27">
        <f t="shared" si="20"/>
        <v>342</v>
      </c>
      <c r="B993" s="28" t="s">
        <v>3593</v>
      </c>
      <c r="C993" s="43" t="s">
        <v>3608</v>
      </c>
      <c r="D993" s="30" t="s">
        <v>3609</v>
      </c>
      <c r="E993" s="28" t="s">
        <v>28</v>
      </c>
      <c r="F993" s="28" t="s">
        <v>29</v>
      </c>
      <c r="G993" s="28" t="s">
        <v>30</v>
      </c>
      <c r="H993" s="28" t="s">
        <v>31</v>
      </c>
      <c r="I993" s="28" t="s">
        <v>30</v>
      </c>
      <c r="J993" s="28">
        <v>201.0</v>
      </c>
      <c r="K993" s="28"/>
      <c r="L993" s="60" t="s">
        <v>3596</v>
      </c>
      <c r="M993" s="28" t="s">
        <v>151</v>
      </c>
      <c r="N993" s="28">
        <v>2003.0</v>
      </c>
      <c r="O993" s="60" t="s">
        <v>2820</v>
      </c>
      <c r="P993" s="28">
        <v>2.0</v>
      </c>
      <c r="Q993" s="32">
        <v>2.0</v>
      </c>
      <c r="R993" s="33"/>
      <c r="S993" s="34"/>
      <c r="T993" s="34"/>
      <c r="U993" s="34"/>
      <c r="V993" s="34"/>
      <c r="W993" s="34"/>
      <c r="X993" s="34"/>
      <c r="Y993" s="45"/>
      <c r="Z993" s="45"/>
      <c r="AA993" s="45"/>
      <c r="AB993" s="45"/>
      <c r="AC993" s="45"/>
      <c r="AD993" s="45"/>
      <c r="AE993" s="45"/>
      <c r="AF993" s="45"/>
      <c r="AG993" s="45"/>
      <c r="AH993" s="45"/>
      <c r="AI993" s="45"/>
      <c r="AJ993" s="45"/>
      <c r="AK993" s="45"/>
      <c r="AL993" s="45"/>
    </row>
    <row r="994" ht="15.75" customHeight="1">
      <c r="A994" s="27">
        <f t="shared" si="20"/>
        <v>343</v>
      </c>
      <c r="B994" s="28" t="s">
        <v>3610</v>
      </c>
      <c r="C994" s="29" t="s">
        <v>3611</v>
      </c>
      <c r="D994" s="30" t="s">
        <v>3612</v>
      </c>
      <c r="E994" s="28" t="s">
        <v>28</v>
      </c>
      <c r="F994" s="28" t="s">
        <v>29</v>
      </c>
      <c r="G994" s="28" t="s">
        <v>37</v>
      </c>
      <c r="H994" s="28"/>
      <c r="I994" s="28" t="s">
        <v>38</v>
      </c>
      <c r="J994" s="28">
        <v>251.0</v>
      </c>
      <c r="K994" s="28"/>
      <c r="L994" s="28" t="s">
        <v>3613</v>
      </c>
      <c r="M994" s="28" t="s">
        <v>1772</v>
      </c>
      <c r="N994" s="28">
        <v>1983.0</v>
      </c>
      <c r="O994" s="60" t="s">
        <v>2820</v>
      </c>
      <c r="P994" s="28">
        <v>1.0</v>
      </c>
      <c r="Q994" s="32">
        <v>1.0</v>
      </c>
      <c r="R994" s="33"/>
      <c r="S994" s="34"/>
      <c r="T994" s="34"/>
      <c r="U994" s="34"/>
      <c r="V994" s="34"/>
      <c r="W994" s="34"/>
      <c r="X994" s="34"/>
      <c r="Y994" s="45"/>
      <c r="Z994" s="45"/>
      <c r="AA994" s="45"/>
      <c r="AB994" s="45"/>
      <c r="AC994" s="45"/>
      <c r="AD994" s="45"/>
      <c r="AE994" s="45"/>
      <c r="AF994" s="45"/>
      <c r="AG994" s="45"/>
      <c r="AH994" s="45"/>
      <c r="AI994" s="45"/>
      <c r="AJ994" s="45"/>
      <c r="AK994" s="45"/>
      <c r="AL994" s="45"/>
    </row>
    <row r="995" ht="15.75" customHeight="1">
      <c r="A995" s="27">
        <f t="shared" si="20"/>
        <v>344</v>
      </c>
      <c r="B995" s="60" t="s">
        <v>3614</v>
      </c>
      <c r="C995" s="43" t="s">
        <v>3615</v>
      </c>
      <c r="D995" s="30" t="s">
        <v>3616</v>
      </c>
      <c r="E995" s="28" t="s">
        <v>28</v>
      </c>
      <c r="F995" s="28" t="s">
        <v>29</v>
      </c>
      <c r="G995" s="28" t="s">
        <v>30</v>
      </c>
      <c r="H995" s="28"/>
      <c r="I995" s="28" t="s">
        <v>30</v>
      </c>
      <c r="J995" s="28">
        <v>385.0</v>
      </c>
      <c r="K995" s="28"/>
      <c r="L995" s="28" t="s">
        <v>3617</v>
      </c>
      <c r="M995" s="28" t="s">
        <v>151</v>
      </c>
      <c r="N995" s="60">
        <v>2015.0</v>
      </c>
      <c r="O995" s="62" t="s">
        <v>1381</v>
      </c>
      <c r="P995" s="31">
        <v>2.0</v>
      </c>
      <c r="Q995" s="37">
        <v>2.0</v>
      </c>
      <c r="R995" s="33"/>
      <c r="S995" s="34"/>
      <c r="T995" s="34"/>
      <c r="U995" s="34"/>
      <c r="V995" s="34"/>
      <c r="W995" s="34"/>
      <c r="X995" s="34"/>
      <c r="Y995" s="45"/>
      <c r="Z995" s="45"/>
      <c r="AA995" s="45"/>
      <c r="AB995" s="45"/>
      <c r="AC995" s="45"/>
      <c r="AD995" s="45"/>
      <c r="AE995" s="45"/>
      <c r="AF995" s="45"/>
      <c r="AG995" s="45"/>
      <c r="AH995" s="45"/>
      <c r="AI995" s="45"/>
      <c r="AJ995" s="45"/>
      <c r="AK995" s="45"/>
      <c r="AL995" s="45"/>
    </row>
    <row r="996" ht="15.75" customHeight="1">
      <c r="A996" s="27">
        <f t="shared" si="20"/>
        <v>345</v>
      </c>
      <c r="B996" s="28" t="s">
        <v>3618</v>
      </c>
      <c r="C996" s="43" t="s">
        <v>3619</v>
      </c>
      <c r="D996" s="30" t="s">
        <v>3620</v>
      </c>
      <c r="E996" s="28" t="s">
        <v>144</v>
      </c>
      <c r="F996" s="28" t="s">
        <v>29</v>
      </c>
      <c r="G996" s="28" t="s">
        <v>30</v>
      </c>
      <c r="H996" s="28" t="s">
        <v>31</v>
      </c>
      <c r="I996" s="28" t="s">
        <v>30</v>
      </c>
      <c r="J996" s="28">
        <v>385.0</v>
      </c>
      <c r="K996" s="28"/>
      <c r="L996" s="28" t="s">
        <v>3263</v>
      </c>
      <c r="M996" s="28" t="s">
        <v>151</v>
      </c>
      <c r="N996" s="28">
        <v>1997.0</v>
      </c>
      <c r="O996" s="62" t="s">
        <v>1381</v>
      </c>
      <c r="P996" s="28">
        <v>2.0</v>
      </c>
      <c r="Q996" s="32">
        <v>2.0</v>
      </c>
      <c r="R996" s="33"/>
      <c r="S996" s="34"/>
      <c r="T996" s="34"/>
      <c r="U996" s="34"/>
      <c r="V996" s="34"/>
      <c r="W996" s="34"/>
      <c r="X996" s="34"/>
      <c r="Y996" s="45"/>
      <c r="Z996" s="45"/>
      <c r="AA996" s="45"/>
      <c r="AB996" s="45"/>
      <c r="AC996" s="45"/>
      <c r="AD996" s="45"/>
      <c r="AE996" s="45"/>
      <c r="AF996" s="45"/>
      <c r="AG996" s="45"/>
      <c r="AH996" s="45"/>
      <c r="AI996" s="45"/>
      <c r="AJ996" s="45"/>
      <c r="AK996" s="45"/>
      <c r="AL996" s="45"/>
    </row>
    <row r="997" ht="15.75" customHeight="1">
      <c r="A997" s="27">
        <f t="shared" si="20"/>
        <v>346</v>
      </c>
      <c r="B997" s="28" t="s">
        <v>3621</v>
      </c>
      <c r="C997" s="47" t="s">
        <v>3622</v>
      </c>
      <c r="D997" s="30" t="s">
        <v>3623</v>
      </c>
      <c r="E997" s="28" t="s">
        <v>144</v>
      </c>
      <c r="F997" s="28" t="s">
        <v>29</v>
      </c>
      <c r="G997" s="28" t="s">
        <v>30</v>
      </c>
      <c r="H997" s="28" t="s">
        <v>31</v>
      </c>
      <c r="I997" s="28" t="s">
        <v>30</v>
      </c>
      <c r="J997" s="28">
        <f>190+10</f>
        <v>200</v>
      </c>
      <c r="K997" s="28" t="s">
        <v>31</v>
      </c>
      <c r="L997" s="28" t="s">
        <v>145</v>
      </c>
      <c r="M997" s="28" t="s">
        <v>151</v>
      </c>
      <c r="N997" s="60">
        <v>2014.0</v>
      </c>
      <c r="O997" s="60" t="s">
        <v>2820</v>
      </c>
      <c r="P997" s="28">
        <v>1.0</v>
      </c>
      <c r="Q997" s="32">
        <v>1.0</v>
      </c>
      <c r="R997" s="33"/>
      <c r="S997" s="34"/>
      <c r="T997" s="34"/>
      <c r="U997" s="34"/>
      <c r="V997" s="34"/>
      <c r="W997" s="34"/>
      <c r="X997" s="34"/>
      <c r="Y997" s="45"/>
      <c r="Z997" s="45"/>
      <c r="AA997" s="45"/>
      <c r="AB997" s="45"/>
      <c r="AC997" s="45"/>
      <c r="AD997" s="45"/>
      <c r="AE997" s="45"/>
      <c r="AF997" s="45"/>
      <c r="AG997" s="45"/>
      <c r="AH997" s="45"/>
      <c r="AI997" s="45"/>
      <c r="AJ997" s="45"/>
      <c r="AK997" s="45"/>
      <c r="AL997" s="45"/>
    </row>
    <row r="998" ht="15.75" customHeight="1">
      <c r="A998" s="27">
        <f t="shared" si="20"/>
        <v>347</v>
      </c>
      <c r="B998" s="28" t="s">
        <v>3624</v>
      </c>
      <c r="C998" s="29" t="s">
        <v>3625</v>
      </c>
      <c r="D998" s="39" t="s">
        <v>3626</v>
      </c>
      <c r="E998" s="28" t="s">
        <v>28</v>
      </c>
      <c r="F998" s="28" t="s">
        <v>29</v>
      </c>
      <c r="G998" s="28" t="s">
        <v>37</v>
      </c>
      <c r="H998" s="28" t="s">
        <v>31</v>
      </c>
      <c r="I998" s="28" t="s">
        <v>38</v>
      </c>
      <c r="J998" s="28">
        <v>395.0</v>
      </c>
      <c r="K998" s="28"/>
      <c r="L998" s="31" t="s">
        <v>2020</v>
      </c>
      <c r="M998" s="28" t="s">
        <v>230</v>
      </c>
      <c r="N998" s="28">
        <v>1996.0</v>
      </c>
      <c r="O998" s="62">
        <v>6.0</v>
      </c>
      <c r="P998" s="28">
        <v>1.0</v>
      </c>
      <c r="Q998" s="32">
        <v>1.0</v>
      </c>
      <c r="R998" s="33"/>
      <c r="S998" s="34"/>
      <c r="T998" s="34"/>
      <c r="U998" s="34"/>
      <c r="V998" s="34"/>
      <c r="W998" s="34"/>
      <c r="X998" s="34"/>
      <c r="Y998" s="45"/>
      <c r="Z998" s="45"/>
      <c r="AA998" s="45"/>
      <c r="AB998" s="45"/>
      <c r="AC998" s="45"/>
      <c r="AD998" s="45"/>
      <c r="AE998" s="45"/>
      <c r="AF998" s="45"/>
      <c r="AG998" s="45"/>
      <c r="AH998" s="45"/>
      <c r="AI998" s="45"/>
      <c r="AJ998" s="45"/>
      <c r="AK998" s="45"/>
      <c r="AL998" s="45"/>
    </row>
    <row r="999" ht="15.75" customHeight="1">
      <c r="A999" s="27">
        <f t="shared" si="20"/>
        <v>348</v>
      </c>
      <c r="B999" s="28" t="s">
        <v>3627</v>
      </c>
      <c r="C999" s="29" t="s">
        <v>3628</v>
      </c>
      <c r="D999" s="120" t="s">
        <v>3629</v>
      </c>
      <c r="E999" s="28" t="s">
        <v>28</v>
      </c>
      <c r="F999" s="28" t="s">
        <v>29</v>
      </c>
      <c r="G999" s="28" t="s">
        <v>37</v>
      </c>
      <c r="H999" s="28" t="s">
        <v>31</v>
      </c>
      <c r="I999" s="28" t="s">
        <v>38</v>
      </c>
      <c r="J999" s="28">
        <v>659.0</v>
      </c>
      <c r="K999" s="28"/>
      <c r="L999" s="28" t="s">
        <v>2089</v>
      </c>
      <c r="M999" s="28" t="s">
        <v>3630</v>
      </c>
      <c r="N999" s="28">
        <v>1974.0</v>
      </c>
      <c r="O999" s="62" t="s">
        <v>1381</v>
      </c>
      <c r="P999" s="28">
        <v>1.0</v>
      </c>
      <c r="Q999" s="94">
        <v>1.0</v>
      </c>
      <c r="R999" s="33"/>
      <c r="S999" s="34"/>
      <c r="T999" s="34"/>
      <c r="U999" s="34"/>
      <c r="V999" s="34"/>
      <c r="W999" s="34"/>
      <c r="X999" s="34"/>
      <c r="Y999" s="45"/>
      <c r="Z999" s="45"/>
      <c r="AA999" s="45"/>
      <c r="AB999" s="45"/>
      <c r="AC999" s="45"/>
      <c r="AD999" s="45"/>
      <c r="AE999" s="45"/>
      <c r="AF999" s="45"/>
      <c r="AG999" s="45"/>
      <c r="AH999" s="45"/>
      <c r="AI999" s="45"/>
      <c r="AJ999" s="45"/>
      <c r="AK999" s="45"/>
      <c r="AL999" s="45"/>
    </row>
    <row r="1000" ht="15.75" customHeight="1">
      <c r="A1000" s="27">
        <f t="shared" si="20"/>
        <v>349</v>
      </c>
      <c r="B1000" s="28" t="s">
        <v>3631</v>
      </c>
      <c r="C1000" s="43" t="s">
        <v>3632</v>
      </c>
      <c r="D1000" s="30" t="s">
        <v>3633</v>
      </c>
      <c r="E1000" s="28" t="s">
        <v>28</v>
      </c>
      <c r="F1000" s="28" t="s">
        <v>29</v>
      </c>
      <c r="G1000" s="28" t="s">
        <v>30</v>
      </c>
      <c r="H1000" s="28" t="s">
        <v>31</v>
      </c>
      <c r="I1000" s="28" t="s">
        <v>30</v>
      </c>
      <c r="J1000" s="28">
        <v>214.0</v>
      </c>
      <c r="K1000" s="28"/>
      <c r="L1000" s="28" t="s">
        <v>3634</v>
      </c>
      <c r="M1000" s="28" t="s">
        <v>151</v>
      </c>
      <c r="N1000" s="28">
        <v>2002.0</v>
      </c>
      <c r="O1000" s="62" t="s">
        <v>1381</v>
      </c>
      <c r="P1000" s="28">
        <v>1.0</v>
      </c>
      <c r="Q1000" s="32">
        <v>1.0</v>
      </c>
      <c r="R1000" s="33"/>
      <c r="S1000" s="34"/>
      <c r="T1000" s="34"/>
      <c r="U1000" s="34"/>
      <c r="V1000" s="34"/>
      <c r="W1000" s="34"/>
      <c r="X1000" s="34"/>
      <c r="Y1000" s="45"/>
      <c r="Z1000" s="45"/>
      <c r="AA1000" s="45"/>
      <c r="AB1000" s="45"/>
      <c r="AC1000" s="45"/>
      <c r="AD1000" s="45"/>
      <c r="AE1000" s="45"/>
      <c r="AF1000" s="45"/>
      <c r="AG1000" s="45"/>
      <c r="AH1000" s="45"/>
      <c r="AI1000" s="45"/>
      <c r="AJ1000" s="45"/>
      <c r="AK1000" s="45"/>
      <c r="AL1000" s="45"/>
    </row>
    <row r="1001">
      <c r="A1001" s="27">
        <f t="shared" si="20"/>
        <v>350</v>
      </c>
      <c r="B1001" s="28" t="s">
        <v>3635</v>
      </c>
      <c r="C1001" s="43" t="s">
        <v>3636</v>
      </c>
      <c r="D1001" s="30" t="s">
        <v>3637</v>
      </c>
      <c r="E1001" s="28" t="s">
        <v>28</v>
      </c>
      <c r="F1001" s="28" t="s">
        <v>29</v>
      </c>
      <c r="G1001" s="28" t="s">
        <v>30</v>
      </c>
      <c r="H1001" s="28"/>
      <c r="I1001" s="28" t="s">
        <v>30</v>
      </c>
      <c r="J1001" s="28">
        <v>484.0</v>
      </c>
      <c r="K1001" s="28"/>
      <c r="L1001" s="28" t="s">
        <v>3638</v>
      </c>
      <c r="M1001" s="28" t="s">
        <v>151</v>
      </c>
      <c r="N1001" s="28">
        <v>2006.0</v>
      </c>
      <c r="O1001" s="62" t="s">
        <v>1381</v>
      </c>
      <c r="P1001" s="28">
        <v>2.0</v>
      </c>
      <c r="Q1001" s="32">
        <v>2.0</v>
      </c>
      <c r="R1001" s="33"/>
      <c r="S1001" s="34"/>
      <c r="T1001" s="34"/>
      <c r="U1001" s="34"/>
      <c r="V1001" s="34"/>
      <c r="W1001" s="34"/>
      <c r="X1001" s="34"/>
      <c r="Y1001" s="45"/>
      <c r="Z1001" s="45"/>
      <c r="AA1001" s="45"/>
      <c r="AB1001" s="45"/>
      <c r="AC1001" s="45"/>
      <c r="AD1001" s="45"/>
      <c r="AE1001" s="45"/>
      <c r="AF1001" s="45"/>
      <c r="AG1001" s="45"/>
      <c r="AH1001" s="45"/>
      <c r="AI1001" s="45"/>
      <c r="AJ1001" s="45"/>
      <c r="AK1001" s="45"/>
      <c r="AL1001" s="45"/>
    </row>
    <row r="1002" ht="15.75" customHeight="1">
      <c r="A1002" s="27">
        <f t="shared" si="20"/>
        <v>351</v>
      </c>
      <c r="B1002" s="28" t="s">
        <v>3639</v>
      </c>
      <c r="C1002" s="43" t="s">
        <v>3640</v>
      </c>
      <c r="D1002" s="30" t="s">
        <v>3641</v>
      </c>
      <c r="E1002" s="28" t="s">
        <v>28</v>
      </c>
      <c r="F1002" s="28" t="s">
        <v>29</v>
      </c>
      <c r="G1002" s="28" t="s">
        <v>30</v>
      </c>
      <c r="H1002" s="28"/>
      <c r="I1002" s="28" t="s">
        <v>30</v>
      </c>
      <c r="J1002" s="28">
        <v>210.0</v>
      </c>
      <c r="K1002" s="28"/>
      <c r="L1002" s="28" t="s">
        <v>1629</v>
      </c>
      <c r="M1002" s="28" t="s">
        <v>3642</v>
      </c>
      <c r="N1002" s="28">
        <v>2011.0</v>
      </c>
      <c r="O1002" s="62" t="s">
        <v>3643</v>
      </c>
      <c r="P1002" s="28">
        <v>1.0</v>
      </c>
      <c r="Q1002" s="32">
        <v>1.0</v>
      </c>
      <c r="R1002" s="33"/>
      <c r="S1002" s="34"/>
      <c r="T1002" s="34"/>
      <c r="U1002" s="34"/>
      <c r="V1002" s="34"/>
      <c r="W1002" s="34"/>
      <c r="X1002" s="34"/>
      <c r="Y1002" s="45"/>
      <c r="Z1002" s="45"/>
      <c r="AA1002" s="45"/>
      <c r="AB1002" s="45"/>
      <c r="AC1002" s="45"/>
      <c r="AD1002" s="45"/>
      <c r="AE1002" s="45"/>
      <c r="AF1002" s="45"/>
      <c r="AG1002" s="45"/>
      <c r="AH1002" s="45"/>
      <c r="AI1002" s="45"/>
      <c r="AJ1002" s="45"/>
      <c r="AK1002" s="45"/>
      <c r="AL1002" s="45"/>
    </row>
    <row r="1003" ht="15.75" customHeight="1">
      <c r="A1003" s="27">
        <f t="shared" si="20"/>
        <v>352</v>
      </c>
      <c r="B1003" s="28" t="s">
        <v>31</v>
      </c>
      <c r="C1003" s="47" t="s">
        <v>3644</v>
      </c>
      <c r="D1003" s="120" t="s">
        <v>3645</v>
      </c>
      <c r="E1003" s="28" t="s">
        <v>144</v>
      </c>
      <c r="F1003" s="28" t="s">
        <v>29</v>
      </c>
      <c r="G1003" s="28" t="s">
        <v>30</v>
      </c>
      <c r="H1003" s="28" t="s">
        <v>31</v>
      </c>
      <c r="I1003" s="28" t="s">
        <v>30</v>
      </c>
      <c r="J1003" s="28">
        <v>532.0</v>
      </c>
      <c r="K1003" s="28" t="s">
        <v>31</v>
      </c>
      <c r="L1003" s="28" t="s">
        <v>3646</v>
      </c>
      <c r="M1003" s="60" t="s">
        <v>31</v>
      </c>
      <c r="N1003" s="28">
        <v>2010.0</v>
      </c>
      <c r="O1003" s="60" t="s">
        <v>2820</v>
      </c>
      <c r="P1003" s="28">
        <v>1.0</v>
      </c>
      <c r="Q1003" s="32">
        <v>1.0</v>
      </c>
      <c r="R1003" s="33"/>
      <c r="S1003" s="34"/>
      <c r="T1003" s="34"/>
      <c r="U1003" s="34"/>
      <c r="V1003" s="34"/>
      <c r="W1003" s="34"/>
      <c r="X1003" s="34"/>
      <c r="Y1003" s="45"/>
      <c r="Z1003" s="45"/>
      <c r="AA1003" s="45"/>
      <c r="AB1003" s="45"/>
      <c r="AC1003" s="45"/>
      <c r="AD1003" s="45"/>
      <c r="AE1003" s="45"/>
      <c r="AF1003" s="45"/>
      <c r="AG1003" s="45"/>
      <c r="AH1003" s="45"/>
      <c r="AI1003" s="45"/>
      <c r="AJ1003" s="45"/>
      <c r="AK1003" s="45"/>
      <c r="AL1003" s="45"/>
    </row>
    <row r="1004" ht="15.75" customHeight="1">
      <c r="A1004" s="27">
        <f t="shared" si="20"/>
        <v>353</v>
      </c>
      <c r="B1004" s="28" t="s">
        <v>31</v>
      </c>
      <c r="C1004" s="29" t="s">
        <v>3647</v>
      </c>
      <c r="D1004" s="30" t="s">
        <v>3648</v>
      </c>
      <c r="E1004" s="28" t="s">
        <v>144</v>
      </c>
      <c r="F1004" s="28" t="s">
        <v>29</v>
      </c>
      <c r="G1004" s="28" t="s">
        <v>30</v>
      </c>
      <c r="H1004" s="28" t="s">
        <v>31</v>
      </c>
      <c r="I1004" s="28" t="s">
        <v>30</v>
      </c>
      <c r="J1004" s="28">
        <f>587</f>
        <v>587</v>
      </c>
      <c r="K1004" s="28"/>
      <c r="L1004" s="28" t="s">
        <v>3649</v>
      </c>
      <c r="M1004" s="28" t="s">
        <v>31</v>
      </c>
      <c r="N1004" s="28">
        <v>2008.0</v>
      </c>
      <c r="O1004" s="60" t="s">
        <v>2820</v>
      </c>
      <c r="P1004" s="28">
        <v>1.0</v>
      </c>
      <c r="Q1004" s="32">
        <v>1.0</v>
      </c>
      <c r="R1004" s="33"/>
      <c r="S1004" s="34"/>
      <c r="T1004" s="34"/>
      <c r="U1004" s="34"/>
      <c r="V1004" s="34"/>
      <c r="W1004" s="34"/>
      <c r="X1004" s="34"/>
      <c r="Y1004" s="45"/>
      <c r="Z1004" s="45"/>
      <c r="AA1004" s="45"/>
      <c r="AB1004" s="45"/>
      <c r="AC1004" s="45"/>
      <c r="AD1004" s="45"/>
      <c r="AE1004" s="45"/>
      <c r="AF1004" s="45"/>
      <c r="AG1004" s="45"/>
      <c r="AH1004" s="45"/>
      <c r="AI1004" s="45"/>
      <c r="AJ1004" s="45"/>
      <c r="AK1004" s="45"/>
      <c r="AL1004" s="45"/>
    </row>
    <row r="1005" ht="15.75" customHeight="1">
      <c r="A1005" s="27">
        <f t="shared" si="20"/>
        <v>354</v>
      </c>
      <c r="B1005" s="28" t="s">
        <v>31</v>
      </c>
      <c r="C1005" s="29" t="s">
        <v>3650</v>
      </c>
      <c r="D1005" s="30" t="s">
        <v>3651</v>
      </c>
      <c r="E1005" s="28" t="s">
        <v>144</v>
      </c>
      <c r="F1005" s="28" t="s">
        <v>29</v>
      </c>
      <c r="G1005" s="28" t="s">
        <v>30</v>
      </c>
      <c r="H1005" s="28" t="s">
        <v>31</v>
      </c>
      <c r="I1005" s="28" t="s">
        <v>30</v>
      </c>
      <c r="J1005" s="28">
        <f>574</f>
        <v>574</v>
      </c>
      <c r="K1005" s="28"/>
      <c r="L1005" s="28" t="s">
        <v>3649</v>
      </c>
      <c r="M1005" s="28" t="s">
        <v>31</v>
      </c>
      <c r="N1005" s="28">
        <v>1993.0</v>
      </c>
      <c r="O1005" s="60" t="s">
        <v>2820</v>
      </c>
      <c r="P1005" s="28">
        <v>1.0</v>
      </c>
      <c r="Q1005" s="32">
        <v>1.0</v>
      </c>
      <c r="R1005" s="33"/>
      <c r="S1005" s="34"/>
      <c r="T1005" s="34"/>
      <c r="U1005" s="34"/>
      <c r="V1005" s="34"/>
      <c r="W1005" s="34"/>
      <c r="X1005" s="34"/>
      <c r="Y1005" s="3"/>
      <c r="Z1005" s="3"/>
      <c r="AA1005" s="3"/>
      <c r="AB1005" s="3"/>
      <c r="AC1005" s="3"/>
      <c r="AD1005" s="3"/>
      <c r="AE1005" s="3"/>
      <c r="AF1005" s="3"/>
      <c r="AG1005" s="3"/>
      <c r="AH1005" s="3"/>
      <c r="AI1005" s="3"/>
      <c r="AJ1005" s="3"/>
      <c r="AK1005" s="3"/>
      <c r="AL1005" s="3"/>
    </row>
    <row r="1006" ht="15.75" customHeight="1">
      <c r="A1006" s="27">
        <f t="shared" si="20"/>
        <v>355</v>
      </c>
      <c r="B1006" s="28" t="s">
        <v>31</v>
      </c>
      <c r="C1006" s="43" t="s">
        <v>3652</v>
      </c>
      <c r="D1006" s="30" t="s">
        <v>3653</v>
      </c>
      <c r="E1006" s="28"/>
      <c r="F1006" s="28" t="s">
        <v>29</v>
      </c>
      <c r="G1006" s="28" t="s">
        <v>30</v>
      </c>
      <c r="H1006" s="28"/>
      <c r="I1006" s="28" t="s">
        <v>30</v>
      </c>
      <c r="J1006" s="28">
        <v>79.0</v>
      </c>
      <c r="K1006" s="28"/>
      <c r="L1006" s="28" t="s">
        <v>3654</v>
      </c>
      <c r="M1006" s="28" t="s">
        <v>151</v>
      </c>
      <c r="N1006" s="28" t="s">
        <v>31</v>
      </c>
      <c r="O1006" s="28" t="s">
        <v>2820</v>
      </c>
      <c r="P1006" s="28">
        <v>1.0</v>
      </c>
      <c r="Q1006" s="32">
        <v>1.0</v>
      </c>
      <c r="R1006" s="33"/>
      <c r="S1006" s="34"/>
      <c r="T1006" s="34"/>
      <c r="U1006" s="34"/>
      <c r="V1006" s="34"/>
      <c r="W1006" s="34"/>
      <c r="X1006" s="34"/>
      <c r="Y1006" s="45"/>
      <c r="Z1006" s="45"/>
      <c r="AA1006" s="45"/>
      <c r="AB1006" s="45"/>
      <c r="AC1006" s="45"/>
      <c r="AD1006" s="45"/>
      <c r="AE1006" s="45"/>
      <c r="AF1006" s="45"/>
      <c r="AG1006" s="45"/>
      <c r="AH1006" s="45"/>
      <c r="AI1006" s="45"/>
      <c r="AJ1006" s="45"/>
      <c r="AK1006" s="45"/>
      <c r="AL1006" s="45"/>
    </row>
    <row r="1007" ht="15.75" customHeight="1">
      <c r="A1007" s="27">
        <f t="shared" si="20"/>
        <v>356</v>
      </c>
      <c r="B1007" s="28" t="s">
        <v>3655</v>
      </c>
      <c r="C1007" s="43" t="s">
        <v>3656</v>
      </c>
      <c r="D1007" s="30" t="s">
        <v>3657</v>
      </c>
      <c r="E1007" s="28" t="s">
        <v>31</v>
      </c>
      <c r="F1007" s="28" t="s">
        <v>29</v>
      </c>
      <c r="G1007" s="28" t="s">
        <v>37</v>
      </c>
      <c r="H1007" s="28"/>
      <c r="I1007" s="28" t="s">
        <v>38</v>
      </c>
      <c r="J1007" s="28">
        <v>461.0</v>
      </c>
      <c r="K1007" s="28"/>
      <c r="L1007" s="28" t="s">
        <v>3658</v>
      </c>
      <c r="M1007" s="28" t="s">
        <v>352</v>
      </c>
      <c r="N1007" s="28">
        <v>2001.0</v>
      </c>
      <c r="O1007" s="28" t="s">
        <v>2820</v>
      </c>
      <c r="P1007" s="28">
        <v>1.0</v>
      </c>
      <c r="Q1007" s="94">
        <v>1.0</v>
      </c>
      <c r="R1007" s="33"/>
      <c r="S1007" s="34"/>
      <c r="T1007" s="34"/>
      <c r="U1007" s="34"/>
      <c r="V1007" s="34"/>
      <c r="W1007" s="34"/>
      <c r="X1007" s="34"/>
      <c r="Y1007" s="45"/>
      <c r="Z1007" s="45"/>
      <c r="AA1007" s="45"/>
      <c r="AB1007" s="45"/>
      <c r="AC1007" s="45"/>
      <c r="AD1007" s="45"/>
      <c r="AE1007" s="45"/>
      <c r="AF1007" s="45"/>
      <c r="AG1007" s="45"/>
      <c r="AH1007" s="45"/>
      <c r="AI1007" s="45"/>
      <c r="AJ1007" s="45"/>
      <c r="AK1007" s="45"/>
      <c r="AL1007" s="45"/>
    </row>
    <row r="1008" ht="15.75" customHeight="1">
      <c r="A1008" s="27">
        <f t="shared" si="20"/>
        <v>357</v>
      </c>
      <c r="B1008" s="121" t="s">
        <v>3659</v>
      </c>
      <c r="C1008" s="121" t="s">
        <v>3660</v>
      </c>
      <c r="D1008" s="119" t="s">
        <v>3661</v>
      </c>
      <c r="E1008" s="83"/>
      <c r="F1008" s="121" t="s">
        <v>29</v>
      </c>
      <c r="G1008" s="121" t="s">
        <v>37</v>
      </c>
      <c r="H1008" s="83"/>
      <c r="I1008" s="121" t="s">
        <v>38</v>
      </c>
      <c r="J1008" s="121">
        <v>384.0</v>
      </c>
      <c r="K1008" s="83"/>
      <c r="L1008" s="121" t="s">
        <v>3662</v>
      </c>
      <c r="M1008" s="121" t="s">
        <v>816</v>
      </c>
      <c r="N1008" s="121">
        <v>1982.0</v>
      </c>
      <c r="O1008" s="62" t="s">
        <v>3643</v>
      </c>
      <c r="P1008" s="121">
        <v>1.0</v>
      </c>
      <c r="Q1008" s="121">
        <v>1.0</v>
      </c>
      <c r="R1008" s="84"/>
      <c r="S1008" s="40"/>
      <c r="T1008" s="40"/>
      <c r="U1008" s="40"/>
      <c r="V1008" s="40"/>
      <c r="W1008" s="40"/>
      <c r="X1008" s="40"/>
      <c r="Y1008" s="45"/>
      <c r="Z1008" s="45"/>
      <c r="AA1008" s="45"/>
      <c r="AB1008" s="45"/>
      <c r="AC1008" s="45"/>
      <c r="AD1008" s="45"/>
      <c r="AE1008" s="45"/>
      <c r="AF1008" s="45"/>
      <c r="AG1008" s="45"/>
      <c r="AH1008" s="45"/>
      <c r="AI1008" s="45"/>
      <c r="AJ1008" s="45"/>
      <c r="AK1008" s="45"/>
      <c r="AL1008" s="45"/>
    </row>
    <row r="1009" ht="47.25" customHeight="1">
      <c r="A1009" s="27">
        <f t="shared" si="20"/>
        <v>358</v>
      </c>
      <c r="B1009" s="28" t="s">
        <v>3663</v>
      </c>
      <c r="C1009" s="29" t="s">
        <v>3664</v>
      </c>
      <c r="D1009" s="30" t="s">
        <v>3665</v>
      </c>
      <c r="E1009" s="28"/>
      <c r="F1009" s="28" t="s">
        <v>29</v>
      </c>
      <c r="G1009" s="28" t="s">
        <v>37</v>
      </c>
      <c r="H1009" s="28"/>
      <c r="I1009" s="28" t="s">
        <v>38</v>
      </c>
      <c r="J1009" s="28">
        <v>214.0</v>
      </c>
      <c r="K1009" s="28"/>
      <c r="L1009" s="28" t="s">
        <v>1877</v>
      </c>
      <c r="M1009" s="28" t="s">
        <v>3268</v>
      </c>
      <c r="N1009" s="28">
        <v>2005.0</v>
      </c>
      <c r="O1009" s="60" t="s">
        <v>2820</v>
      </c>
      <c r="P1009" s="28">
        <v>1.0</v>
      </c>
      <c r="Q1009" s="94">
        <v>1.0</v>
      </c>
      <c r="R1009" s="33"/>
      <c r="S1009" s="40"/>
      <c r="T1009" s="40"/>
      <c r="U1009" s="40"/>
      <c r="V1009" s="40"/>
      <c r="W1009" s="40"/>
      <c r="X1009" s="40"/>
      <c r="Y1009" s="45"/>
      <c r="Z1009" s="45"/>
      <c r="AA1009" s="45"/>
      <c r="AB1009" s="45"/>
      <c r="AC1009" s="45"/>
      <c r="AD1009" s="45"/>
      <c r="AE1009" s="45"/>
      <c r="AF1009" s="45"/>
      <c r="AG1009" s="45"/>
      <c r="AH1009" s="45"/>
      <c r="AI1009" s="45"/>
      <c r="AJ1009" s="45"/>
      <c r="AK1009" s="45"/>
      <c r="AL1009" s="45"/>
    </row>
    <row r="1010" ht="15.0" customHeight="1">
      <c r="A1010" s="27">
        <f t="shared" si="20"/>
        <v>359</v>
      </c>
      <c r="B1010" s="28" t="s">
        <v>3666</v>
      </c>
      <c r="C1010" s="43" t="s">
        <v>3667</v>
      </c>
      <c r="D1010" s="30" t="s">
        <v>3668</v>
      </c>
      <c r="E1010" s="28" t="s">
        <v>302</v>
      </c>
      <c r="F1010" s="28" t="s">
        <v>29</v>
      </c>
      <c r="G1010" s="28" t="s">
        <v>37</v>
      </c>
      <c r="H1010" s="28"/>
      <c r="I1010" s="28" t="s">
        <v>38</v>
      </c>
      <c r="J1010" s="28">
        <v>67.0</v>
      </c>
      <c r="K1010" s="28"/>
      <c r="L1010" s="28" t="s">
        <v>3669</v>
      </c>
      <c r="M1010" s="28" t="s">
        <v>3670</v>
      </c>
      <c r="N1010" s="28">
        <v>2012.0</v>
      </c>
      <c r="O1010" s="28" t="s">
        <v>2820</v>
      </c>
      <c r="P1010" s="28">
        <v>1.0</v>
      </c>
      <c r="Q1010" s="94">
        <v>1.0</v>
      </c>
      <c r="R1010" s="33"/>
      <c r="S1010" s="40"/>
      <c r="T1010" s="40"/>
      <c r="U1010" s="40"/>
      <c r="V1010" s="40"/>
      <c r="W1010" s="40"/>
      <c r="X1010" s="40"/>
      <c r="Y1010" s="3"/>
      <c r="Z1010" s="3"/>
      <c r="AA1010" s="3"/>
      <c r="AB1010" s="3"/>
      <c r="AC1010" s="3"/>
      <c r="AD1010" s="3"/>
      <c r="AE1010" s="3"/>
      <c r="AF1010" s="3"/>
      <c r="AG1010" s="3"/>
      <c r="AH1010" s="3"/>
      <c r="AI1010" s="3"/>
      <c r="AJ1010" s="3"/>
      <c r="AK1010" s="3"/>
      <c r="AL1010" s="3"/>
    </row>
    <row r="1011" ht="15.75" customHeight="1">
      <c r="A1011" s="27">
        <f t="shared" si="20"/>
        <v>360</v>
      </c>
      <c r="B1011" s="28" t="s">
        <v>3671</v>
      </c>
      <c r="C1011" s="29" t="s">
        <v>3672</v>
      </c>
      <c r="D1011" s="39" t="s">
        <v>3673</v>
      </c>
      <c r="E1011" s="28"/>
      <c r="F1011" s="28" t="s">
        <v>29</v>
      </c>
      <c r="G1011" s="28" t="s">
        <v>30</v>
      </c>
      <c r="H1011" s="28"/>
      <c r="I1011" s="28" t="s">
        <v>30</v>
      </c>
      <c r="J1011" s="28">
        <v>277.0</v>
      </c>
      <c r="K1011" s="28"/>
      <c r="L1011" s="28" t="s">
        <v>3674</v>
      </c>
      <c r="M1011" s="28" t="s">
        <v>3675</v>
      </c>
      <c r="N1011" s="28">
        <v>2010.0</v>
      </c>
      <c r="O1011" s="62" t="s">
        <v>1381</v>
      </c>
      <c r="P1011" s="28">
        <v>1.0</v>
      </c>
      <c r="Q1011" s="32">
        <v>1.0</v>
      </c>
      <c r="R1011" s="33"/>
      <c r="S1011" s="34"/>
      <c r="T1011" s="34"/>
      <c r="U1011" s="34"/>
      <c r="V1011" s="34"/>
      <c r="W1011" s="34"/>
      <c r="X1011" s="34"/>
      <c r="Y1011" s="45"/>
      <c r="Z1011" s="45"/>
      <c r="AA1011" s="45"/>
      <c r="AB1011" s="45"/>
      <c r="AC1011" s="45"/>
      <c r="AD1011" s="45"/>
      <c r="AE1011" s="45"/>
      <c r="AF1011" s="45"/>
      <c r="AG1011" s="45"/>
      <c r="AH1011" s="45"/>
      <c r="AI1011" s="45"/>
      <c r="AJ1011" s="45"/>
      <c r="AK1011" s="45"/>
      <c r="AL1011" s="45"/>
    </row>
    <row r="1012" ht="15.75" customHeight="1">
      <c r="A1012" s="27">
        <f t="shared" si="20"/>
        <v>361</v>
      </c>
      <c r="B1012" s="28" t="s">
        <v>3676</v>
      </c>
      <c r="C1012" s="102" t="s">
        <v>3677</v>
      </c>
      <c r="D1012" s="120" t="s">
        <v>3678</v>
      </c>
      <c r="E1012" s="28" t="s">
        <v>28</v>
      </c>
      <c r="F1012" s="28" t="s">
        <v>29</v>
      </c>
      <c r="G1012" s="28" t="s">
        <v>30</v>
      </c>
      <c r="H1012" s="28" t="s">
        <v>31</v>
      </c>
      <c r="I1012" s="28" t="s">
        <v>30</v>
      </c>
      <c r="J1012" s="28">
        <v>173.0</v>
      </c>
      <c r="K1012" s="28"/>
      <c r="L1012" s="28" t="s">
        <v>3679</v>
      </c>
      <c r="M1012" s="28" t="s">
        <v>3680</v>
      </c>
      <c r="N1012" s="28">
        <v>2009.0</v>
      </c>
      <c r="O1012" s="60" t="s">
        <v>2820</v>
      </c>
      <c r="P1012" s="28">
        <v>1.0</v>
      </c>
      <c r="Q1012" s="32">
        <v>1.0</v>
      </c>
      <c r="R1012" s="33"/>
      <c r="S1012" s="34"/>
      <c r="T1012" s="34"/>
      <c r="U1012" s="34"/>
      <c r="V1012" s="34"/>
      <c r="W1012" s="34"/>
      <c r="X1012" s="34"/>
      <c r="Y1012" s="45"/>
      <c r="Z1012" s="45"/>
      <c r="AA1012" s="45"/>
      <c r="AB1012" s="45"/>
      <c r="AC1012" s="45"/>
      <c r="AD1012" s="45"/>
      <c r="AE1012" s="45"/>
      <c r="AF1012" s="45"/>
      <c r="AG1012" s="45"/>
      <c r="AH1012" s="45"/>
      <c r="AI1012" s="45"/>
      <c r="AJ1012" s="45"/>
      <c r="AK1012" s="45"/>
      <c r="AL1012" s="45"/>
    </row>
    <row r="1013" ht="15.75" customHeight="1">
      <c r="A1013" s="27">
        <f t="shared" si="20"/>
        <v>362</v>
      </c>
      <c r="B1013" s="83"/>
      <c r="C1013" s="121" t="s">
        <v>3681</v>
      </c>
      <c r="D1013" s="119" t="s">
        <v>3682</v>
      </c>
      <c r="E1013" s="121" t="s">
        <v>28</v>
      </c>
      <c r="F1013" s="121" t="s">
        <v>29</v>
      </c>
      <c r="G1013" s="121" t="s">
        <v>30</v>
      </c>
      <c r="H1013" s="83"/>
      <c r="I1013" s="121" t="s">
        <v>30</v>
      </c>
      <c r="J1013" s="121">
        <v>289.0</v>
      </c>
      <c r="K1013" s="83"/>
      <c r="L1013" s="121" t="s">
        <v>3683</v>
      </c>
      <c r="M1013" s="121" t="s">
        <v>3684</v>
      </c>
      <c r="N1013" s="121">
        <v>1968.0</v>
      </c>
      <c r="O1013" s="31" t="s">
        <v>1381</v>
      </c>
      <c r="P1013" s="121">
        <v>1.0</v>
      </c>
      <c r="Q1013" s="121">
        <v>1.0</v>
      </c>
      <c r="R1013" s="84"/>
      <c r="S1013" s="40"/>
      <c r="T1013" s="40"/>
      <c r="U1013" s="40"/>
      <c r="V1013" s="40"/>
      <c r="W1013" s="40"/>
      <c r="X1013" s="40"/>
      <c r="Y1013" s="45"/>
      <c r="Z1013" s="45"/>
      <c r="AA1013" s="45"/>
      <c r="AB1013" s="45"/>
      <c r="AC1013" s="45"/>
      <c r="AD1013" s="45"/>
      <c r="AE1013" s="45"/>
      <c r="AF1013" s="45"/>
      <c r="AG1013" s="45"/>
      <c r="AH1013" s="45"/>
      <c r="AI1013" s="45"/>
      <c r="AJ1013" s="45"/>
      <c r="AK1013" s="45"/>
      <c r="AL1013" s="45"/>
    </row>
    <row r="1014" ht="15.75" customHeight="1">
      <c r="A1014" s="27">
        <f t="shared" si="20"/>
        <v>363</v>
      </c>
      <c r="B1014" s="28" t="s">
        <v>3685</v>
      </c>
      <c r="C1014" s="102" t="s">
        <v>3681</v>
      </c>
      <c r="D1014" s="30" t="s">
        <v>3686</v>
      </c>
      <c r="E1014" s="28" t="s">
        <v>28</v>
      </c>
      <c r="F1014" s="28" t="s">
        <v>29</v>
      </c>
      <c r="G1014" s="28" t="s">
        <v>30</v>
      </c>
      <c r="H1014" s="28" t="s">
        <v>31</v>
      </c>
      <c r="I1014" s="28" t="s">
        <v>30</v>
      </c>
      <c r="J1014" s="28">
        <v>574.0</v>
      </c>
      <c r="K1014" s="28"/>
      <c r="L1014" s="28" t="s">
        <v>3683</v>
      </c>
      <c r="M1014" s="28" t="s">
        <v>151</v>
      </c>
      <c r="N1014" s="28">
        <v>2003.0</v>
      </c>
      <c r="O1014" s="31" t="s">
        <v>1381</v>
      </c>
      <c r="P1014" s="28">
        <v>2.0</v>
      </c>
      <c r="Q1014" s="32">
        <v>2.0</v>
      </c>
      <c r="R1014" s="33"/>
      <c r="S1014" s="40"/>
      <c r="T1014" s="40"/>
      <c r="U1014" s="40"/>
      <c r="V1014" s="40"/>
      <c r="W1014" s="40"/>
      <c r="X1014" s="40"/>
      <c r="Y1014" s="45"/>
      <c r="Z1014" s="45"/>
      <c r="AA1014" s="45"/>
      <c r="AB1014" s="45"/>
      <c r="AC1014" s="45"/>
      <c r="AD1014" s="45"/>
      <c r="AE1014" s="45"/>
      <c r="AF1014" s="45"/>
      <c r="AG1014" s="45"/>
      <c r="AH1014" s="45"/>
      <c r="AI1014" s="45"/>
      <c r="AJ1014" s="45"/>
      <c r="AK1014" s="45"/>
      <c r="AL1014" s="45"/>
    </row>
    <row r="1015" ht="15.75" customHeight="1">
      <c r="A1015" s="27">
        <f t="shared" si="20"/>
        <v>364</v>
      </c>
      <c r="B1015" s="28"/>
      <c r="C1015" s="29" t="s">
        <v>3687</v>
      </c>
      <c r="D1015" s="39" t="s">
        <v>3688</v>
      </c>
      <c r="E1015" s="28" t="s">
        <v>144</v>
      </c>
      <c r="F1015" s="28" t="s">
        <v>29</v>
      </c>
      <c r="G1015" s="28" t="s">
        <v>30</v>
      </c>
      <c r="H1015" s="28"/>
      <c r="I1015" s="28" t="s">
        <v>30</v>
      </c>
      <c r="J1015" s="28">
        <v>391.0</v>
      </c>
      <c r="K1015" s="28"/>
      <c r="L1015" s="28" t="s">
        <v>3683</v>
      </c>
      <c r="M1015" s="28" t="s">
        <v>151</v>
      </c>
      <c r="N1015" s="28">
        <v>1974.0</v>
      </c>
      <c r="O1015" s="31" t="s">
        <v>1381</v>
      </c>
      <c r="P1015" s="28">
        <v>1.0</v>
      </c>
      <c r="Q1015" s="32">
        <v>1.0</v>
      </c>
      <c r="R1015" s="33"/>
      <c r="S1015" s="34"/>
      <c r="T1015" s="34"/>
      <c r="U1015" s="34"/>
      <c r="V1015" s="34"/>
      <c r="W1015" s="34"/>
      <c r="X1015" s="34"/>
      <c r="Y1015" s="45"/>
      <c r="Z1015" s="45"/>
      <c r="AA1015" s="45"/>
      <c r="AB1015" s="45"/>
      <c r="AC1015" s="45"/>
      <c r="AD1015" s="45"/>
      <c r="AE1015" s="45"/>
      <c r="AF1015" s="45"/>
      <c r="AG1015" s="45"/>
      <c r="AH1015" s="45"/>
      <c r="AI1015" s="45"/>
      <c r="AJ1015" s="45"/>
      <c r="AK1015" s="45"/>
      <c r="AL1015" s="45"/>
    </row>
    <row r="1016" ht="15.75" customHeight="1">
      <c r="A1016" s="27">
        <f t="shared" si="20"/>
        <v>365</v>
      </c>
      <c r="B1016" s="28"/>
      <c r="C1016" s="29" t="s">
        <v>3687</v>
      </c>
      <c r="D1016" s="120" t="s">
        <v>3689</v>
      </c>
      <c r="E1016" s="28" t="s">
        <v>28</v>
      </c>
      <c r="F1016" s="28" t="s">
        <v>29</v>
      </c>
      <c r="G1016" s="28" t="s">
        <v>30</v>
      </c>
      <c r="H1016" s="28"/>
      <c r="I1016" s="28" t="s">
        <v>30</v>
      </c>
      <c r="J1016" s="28">
        <v>486.0</v>
      </c>
      <c r="K1016" s="28"/>
      <c r="L1016" s="28" t="s">
        <v>3683</v>
      </c>
      <c r="M1016" s="28" t="s">
        <v>151</v>
      </c>
      <c r="N1016" s="28">
        <v>1969.0</v>
      </c>
      <c r="O1016" s="31" t="s">
        <v>1381</v>
      </c>
      <c r="P1016" s="28">
        <v>1.0</v>
      </c>
      <c r="Q1016" s="32">
        <v>1.0</v>
      </c>
      <c r="R1016" s="33"/>
      <c r="S1016" s="34"/>
      <c r="T1016" s="34"/>
      <c r="U1016" s="34"/>
      <c r="V1016" s="34"/>
      <c r="W1016" s="34"/>
      <c r="X1016" s="34"/>
      <c r="Y1016" s="45"/>
      <c r="Z1016" s="45"/>
      <c r="AA1016" s="45"/>
      <c r="AB1016" s="45"/>
      <c r="AC1016" s="45"/>
      <c r="AD1016" s="45"/>
      <c r="AE1016" s="45"/>
      <c r="AF1016" s="45"/>
      <c r="AG1016" s="45"/>
      <c r="AH1016" s="45"/>
      <c r="AI1016" s="45"/>
      <c r="AJ1016" s="45"/>
      <c r="AK1016" s="45"/>
      <c r="AL1016" s="45"/>
    </row>
    <row r="1017" ht="15.75" hidden="1" customHeight="1">
      <c r="A1017" s="115">
        <f t="shared" si="20"/>
        <v>366</v>
      </c>
      <c r="B1017" s="49" t="s">
        <v>31</v>
      </c>
      <c r="C1017" s="50" t="s">
        <v>3690</v>
      </c>
      <c r="D1017" s="55" t="s">
        <v>3691</v>
      </c>
      <c r="E1017" s="49" t="s">
        <v>28</v>
      </c>
      <c r="F1017" s="49" t="s">
        <v>29</v>
      </c>
      <c r="G1017" s="49" t="s">
        <v>37</v>
      </c>
      <c r="H1017" s="49"/>
      <c r="I1017" s="49" t="s">
        <v>38</v>
      </c>
      <c r="J1017" s="49">
        <v>391.0</v>
      </c>
      <c r="K1017" s="49"/>
      <c r="L1017" s="49" t="s">
        <v>3692</v>
      </c>
      <c r="M1017" s="49" t="s">
        <v>1235</v>
      </c>
      <c r="N1017" s="49">
        <v>1986.0</v>
      </c>
      <c r="O1017" s="49"/>
      <c r="P1017" s="49">
        <v>1.0</v>
      </c>
      <c r="Q1017" s="53"/>
      <c r="R1017" s="54"/>
      <c r="S1017" s="40"/>
      <c r="T1017" s="40"/>
      <c r="U1017" s="40"/>
      <c r="V1017" s="40"/>
      <c r="W1017" s="40"/>
      <c r="X1017" s="40"/>
      <c r="Y1017" s="45"/>
      <c r="Z1017" s="45"/>
      <c r="AA1017" s="45"/>
      <c r="AB1017" s="45"/>
      <c r="AC1017" s="45"/>
      <c r="AD1017" s="45"/>
      <c r="AE1017" s="45"/>
      <c r="AF1017" s="45"/>
      <c r="AG1017" s="45"/>
      <c r="AH1017" s="45"/>
      <c r="AI1017" s="45"/>
      <c r="AJ1017" s="45"/>
      <c r="AK1017" s="45"/>
      <c r="AL1017" s="45"/>
    </row>
    <row r="1018" ht="15.75" customHeight="1">
      <c r="A1018" s="27">
        <f t="shared" si="20"/>
        <v>367</v>
      </c>
      <c r="B1018" s="28"/>
      <c r="C1018" s="29" t="s">
        <v>3687</v>
      </c>
      <c r="D1018" s="30" t="s">
        <v>3693</v>
      </c>
      <c r="E1018" s="28" t="s">
        <v>144</v>
      </c>
      <c r="F1018" s="28" t="s">
        <v>29</v>
      </c>
      <c r="G1018" s="28" t="s">
        <v>30</v>
      </c>
      <c r="H1018" s="28" t="s">
        <v>31</v>
      </c>
      <c r="I1018" s="28" t="s">
        <v>30</v>
      </c>
      <c r="J1018" s="28">
        <v>310.0</v>
      </c>
      <c r="K1018" s="28"/>
      <c r="L1018" s="28" t="s">
        <v>3683</v>
      </c>
      <c r="M1018" s="60" t="s">
        <v>151</v>
      </c>
      <c r="N1018" s="28">
        <v>2011.0</v>
      </c>
      <c r="O1018" s="31" t="s">
        <v>1381</v>
      </c>
      <c r="P1018" s="28">
        <v>1.0</v>
      </c>
      <c r="Q1018" s="94">
        <v>1.0</v>
      </c>
      <c r="R1018" s="33"/>
      <c r="S1018" s="34"/>
      <c r="T1018" s="34"/>
      <c r="U1018" s="34"/>
      <c r="V1018" s="34"/>
      <c r="W1018" s="34"/>
      <c r="X1018" s="34"/>
      <c r="Y1018" s="45"/>
      <c r="Z1018" s="45"/>
      <c r="AA1018" s="45"/>
      <c r="AB1018" s="45"/>
      <c r="AC1018" s="45"/>
      <c r="AD1018" s="45"/>
      <c r="AE1018" s="45"/>
      <c r="AF1018" s="45"/>
      <c r="AG1018" s="45"/>
      <c r="AH1018" s="45"/>
      <c r="AI1018" s="45"/>
      <c r="AJ1018" s="45"/>
      <c r="AK1018" s="45"/>
      <c r="AL1018" s="45"/>
    </row>
    <row r="1019" ht="15.75" customHeight="1">
      <c r="A1019" s="27">
        <f t="shared" si="20"/>
        <v>368</v>
      </c>
      <c r="B1019" s="28" t="s">
        <v>31</v>
      </c>
      <c r="C1019" s="102" t="s">
        <v>3694</v>
      </c>
      <c r="D1019" s="30" t="s">
        <v>3695</v>
      </c>
      <c r="E1019" s="28" t="s">
        <v>28</v>
      </c>
      <c r="F1019" s="28" t="s">
        <v>29</v>
      </c>
      <c r="G1019" s="28" t="s">
        <v>30</v>
      </c>
      <c r="H1019" s="28" t="s">
        <v>31</v>
      </c>
      <c r="I1019" s="28" t="s">
        <v>30</v>
      </c>
      <c r="J1019" s="28">
        <v>364.0</v>
      </c>
      <c r="K1019" s="28"/>
      <c r="L1019" s="28" t="s">
        <v>3696</v>
      </c>
      <c r="M1019" s="28" t="s">
        <v>3697</v>
      </c>
      <c r="N1019" s="28">
        <v>2001.0</v>
      </c>
      <c r="O1019" s="31" t="s">
        <v>1381</v>
      </c>
      <c r="P1019" s="28">
        <v>1.0</v>
      </c>
      <c r="Q1019" s="32">
        <v>1.0</v>
      </c>
      <c r="R1019" s="33"/>
      <c r="S1019" s="34"/>
      <c r="T1019" s="34"/>
      <c r="U1019" s="34"/>
      <c r="V1019" s="34"/>
      <c r="W1019" s="34"/>
      <c r="X1019" s="34"/>
      <c r="Y1019" s="45"/>
      <c r="Z1019" s="45"/>
      <c r="AA1019" s="45"/>
      <c r="AB1019" s="45"/>
      <c r="AC1019" s="45"/>
      <c r="AD1019" s="45"/>
      <c r="AE1019" s="45"/>
      <c r="AF1019" s="45"/>
      <c r="AG1019" s="45"/>
      <c r="AH1019" s="45"/>
      <c r="AI1019" s="45"/>
      <c r="AJ1019" s="45"/>
      <c r="AK1019" s="45"/>
      <c r="AL1019" s="45"/>
    </row>
    <row r="1020" ht="15.75" customHeight="1">
      <c r="A1020" s="27">
        <f t="shared" si="20"/>
        <v>369</v>
      </c>
      <c r="B1020" s="28" t="s">
        <v>3698</v>
      </c>
      <c r="C1020" s="47" t="s">
        <v>3699</v>
      </c>
      <c r="D1020" s="30" t="s">
        <v>3700</v>
      </c>
      <c r="E1020" s="28" t="s">
        <v>144</v>
      </c>
      <c r="F1020" s="28" t="s">
        <v>29</v>
      </c>
      <c r="G1020" s="28" t="s">
        <v>30</v>
      </c>
      <c r="H1020" s="28" t="s">
        <v>31</v>
      </c>
      <c r="I1020" s="28" t="s">
        <v>30</v>
      </c>
      <c r="J1020" s="28">
        <f>526+10</f>
        <v>536</v>
      </c>
      <c r="K1020" s="28" t="s">
        <v>31</v>
      </c>
      <c r="L1020" s="28" t="s">
        <v>3701</v>
      </c>
      <c r="M1020" s="28" t="s">
        <v>151</v>
      </c>
      <c r="N1020" s="28">
        <v>2015.0</v>
      </c>
      <c r="O1020" s="60" t="s">
        <v>2820</v>
      </c>
      <c r="P1020" s="28">
        <v>1.0</v>
      </c>
      <c r="Q1020" s="32">
        <v>1.0</v>
      </c>
      <c r="R1020" s="33"/>
      <c r="S1020" s="34"/>
      <c r="T1020" s="34"/>
      <c r="U1020" s="34"/>
      <c r="V1020" s="34"/>
      <c r="W1020" s="34"/>
      <c r="X1020" s="34"/>
      <c r="Y1020" s="45"/>
      <c r="Z1020" s="45"/>
      <c r="AA1020" s="45"/>
      <c r="AB1020" s="45"/>
      <c r="AC1020" s="45"/>
      <c r="AD1020" s="45"/>
      <c r="AE1020" s="45"/>
      <c r="AF1020" s="45"/>
      <c r="AG1020" s="45"/>
      <c r="AH1020" s="45"/>
      <c r="AI1020" s="45"/>
      <c r="AJ1020" s="45"/>
      <c r="AK1020" s="45"/>
      <c r="AL1020" s="45"/>
    </row>
    <row r="1021" ht="15.75" customHeight="1">
      <c r="A1021" s="27">
        <f t="shared" si="20"/>
        <v>370</v>
      </c>
      <c r="B1021" s="28" t="s">
        <v>3702</v>
      </c>
      <c r="C1021" s="29" t="s">
        <v>3703</v>
      </c>
      <c r="D1021" s="39" t="s">
        <v>0</v>
      </c>
      <c r="E1021" s="28" t="s">
        <v>144</v>
      </c>
      <c r="F1021" s="28" t="s">
        <v>29</v>
      </c>
      <c r="G1021" s="28" t="s">
        <v>30</v>
      </c>
      <c r="H1021" s="28"/>
      <c r="I1021" s="28" t="s">
        <v>30</v>
      </c>
      <c r="J1021" s="28">
        <v>127.0</v>
      </c>
      <c r="K1021" s="28"/>
      <c r="L1021" s="28" t="s">
        <v>3704</v>
      </c>
      <c r="M1021" s="28" t="s">
        <v>151</v>
      </c>
      <c r="N1021" s="28">
        <v>2014.0</v>
      </c>
      <c r="O1021" s="60" t="s">
        <v>2820</v>
      </c>
      <c r="P1021" s="28">
        <v>1.0</v>
      </c>
      <c r="Q1021" s="32">
        <v>1.0</v>
      </c>
      <c r="R1021" s="33"/>
      <c r="S1021" s="34"/>
      <c r="T1021" s="34"/>
      <c r="U1021" s="34"/>
      <c r="V1021" s="34"/>
      <c r="W1021" s="34"/>
      <c r="X1021" s="34"/>
      <c r="Y1021" s="45"/>
      <c r="Z1021" s="45"/>
      <c r="AA1021" s="45"/>
      <c r="AB1021" s="45"/>
      <c r="AC1021" s="45"/>
      <c r="AD1021" s="45"/>
      <c r="AE1021" s="45"/>
      <c r="AF1021" s="45"/>
      <c r="AG1021" s="45"/>
      <c r="AH1021" s="45"/>
      <c r="AI1021" s="45"/>
      <c r="AJ1021" s="45"/>
      <c r="AK1021" s="45"/>
      <c r="AL1021" s="45"/>
    </row>
    <row r="1022" ht="15.75" customHeight="1">
      <c r="A1022" s="27">
        <f t="shared" si="20"/>
        <v>371</v>
      </c>
      <c r="B1022" s="28" t="s">
        <v>3705</v>
      </c>
      <c r="C1022" s="43" t="s">
        <v>3706</v>
      </c>
      <c r="D1022" s="30" t="s">
        <v>3707</v>
      </c>
      <c r="E1022" s="28" t="s">
        <v>28</v>
      </c>
      <c r="F1022" s="28" t="s">
        <v>29</v>
      </c>
      <c r="G1022" s="28" t="s">
        <v>30</v>
      </c>
      <c r="H1022" s="28" t="s">
        <v>31</v>
      </c>
      <c r="I1022" s="28" t="s">
        <v>30</v>
      </c>
      <c r="J1022" s="28">
        <v>240.0</v>
      </c>
      <c r="K1022" s="28"/>
      <c r="L1022" s="28" t="s">
        <v>3571</v>
      </c>
      <c r="M1022" s="28" t="s">
        <v>1166</v>
      </c>
      <c r="N1022" s="28">
        <v>1996.0</v>
      </c>
      <c r="O1022" s="62" t="s">
        <v>3643</v>
      </c>
      <c r="P1022" s="28">
        <v>1.0</v>
      </c>
      <c r="Q1022" s="94">
        <v>1.0</v>
      </c>
      <c r="R1022" s="33"/>
      <c r="S1022" s="34"/>
      <c r="T1022" s="34"/>
      <c r="U1022" s="34"/>
      <c r="V1022" s="34"/>
      <c r="W1022" s="34"/>
      <c r="X1022" s="34"/>
      <c r="Y1022" s="45"/>
      <c r="Z1022" s="45"/>
      <c r="AA1022" s="45"/>
      <c r="AB1022" s="45"/>
      <c r="AC1022" s="45"/>
      <c r="AD1022" s="45"/>
      <c r="AE1022" s="45"/>
      <c r="AF1022" s="45"/>
      <c r="AG1022" s="45"/>
      <c r="AH1022" s="45"/>
      <c r="AI1022" s="45"/>
      <c r="AJ1022" s="45"/>
      <c r="AK1022" s="45"/>
      <c r="AL1022" s="45"/>
    </row>
    <row r="1023" ht="15.75" customHeight="1">
      <c r="A1023" s="27">
        <f t="shared" si="20"/>
        <v>372</v>
      </c>
      <c r="B1023" s="28" t="s">
        <v>3708</v>
      </c>
      <c r="C1023" s="102" t="s">
        <v>3709</v>
      </c>
      <c r="D1023" s="30" t="s">
        <v>3710</v>
      </c>
      <c r="E1023" s="28"/>
      <c r="F1023" s="28" t="s">
        <v>29</v>
      </c>
      <c r="G1023" s="28" t="s">
        <v>37</v>
      </c>
      <c r="H1023" s="28"/>
      <c r="I1023" s="28" t="s">
        <v>38</v>
      </c>
      <c r="J1023" s="28">
        <v>182.0</v>
      </c>
      <c r="K1023" s="28"/>
      <c r="L1023" s="28" t="s">
        <v>3711</v>
      </c>
      <c r="M1023" s="28" t="s">
        <v>3712</v>
      </c>
      <c r="N1023" s="28">
        <v>2003.0</v>
      </c>
      <c r="O1023" s="60" t="s">
        <v>2820</v>
      </c>
      <c r="P1023" s="28">
        <v>1.0</v>
      </c>
      <c r="Q1023" s="32">
        <v>1.0</v>
      </c>
      <c r="R1023" s="33"/>
      <c r="S1023" s="34"/>
      <c r="T1023" s="34"/>
      <c r="U1023" s="34"/>
      <c r="V1023" s="34"/>
      <c r="W1023" s="34"/>
      <c r="X1023" s="34"/>
      <c r="Y1023" s="45"/>
      <c r="Z1023" s="45"/>
      <c r="AA1023" s="45"/>
      <c r="AB1023" s="45"/>
      <c r="AC1023" s="45"/>
      <c r="AD1023" s="45"/>
      <c r="AE1023" s="45"/>
      <c r="AF1023" s="45"/>
      <c r="AG1023" s="45"/>
      <c r="AH1023" s="45"/>
      <c r="AI1023" s="45"/>
      <c r="AJ1023" s="45"/>
      <c r="AK1023" s="45"/>
      <c r="AL1023" s="45"/>
    </row>
    <row r="1024" ht="15.75" customHeight="1">
      <c r="A1024" s="27">
        <f t="shared" si="20"/>
        <v>373</v>
      </c>
      <c r="B1024" s="28" t="s">
        <v>3713</v>
      </c>
      <c r="C1024" s="29" t="s">
        <v>3714</v>
      </c>
      <c r="D1024" s="30" t="s">
        <v>3715</v>
      </c>
      <c r="E1024" s="28" t="s">
        <v>28</v>
      </c>
      <c r="F1024" s="28" t="s">
        <v>29</v>
      </c>
      <c r="G1024" s="28" t="s">
        <v>37</v>
      </c>
      <c r="H1024" s="28"/>
      <c r="I1024" s="28" t="s">
        <v>38</v>
      </c>
      <c r="J1024" s="28">
        <v>180.0</v>
      </c>
      <c r="K1024" s="28"/>
      <c r="L1024" s="28" t="s">
        <v>3716</v>
      </c>
      <c r="M1024" s="28" t="s">
        <v>816</v>
      </c>
      <c r="N1024" s="28">
        <v>1988.0</v>
      </c>
      <c r="O1024" s="60" t="s">
        <v>2820</v>
      </c>
      <c r="P1024" s="28">
        <v>1.0</v>
      </c>
      <c r="Q1024" s="32">
        <v>1.0</v>
      </c>
      <c r="R1024" s="33"/>
      <c r="S1024" s="34"/>
      <c r="T1024" s="34"/>
      <c r="U1024" s="34"/>
      <c r="V1024" s="34"/>
      <c r="W1024" s="34"/>
      <c r="X1024" s="34"/>
      <c r="Y1024" s="45"/>
      <c r="Z1024" s="45"/>
      <c r="AA1024" s="45"/>
      <c r="AB1024" s="45"/>
      <c r="AC1024" s="45"/>
      <c r="AD1024" s="45"/>
      <c r="AE1024" s="45"/>
      <c r="AF1024" s="45"/>
      <c r="AG1024" s="45"/>
      <c r="AH1024" s="45"/>
      <c r="AI1024" s="45"/>
      <c r="AJ1024" s="45"/>
      <c r="AK1024" s="45"/>
      <c r="AL1024" s="45"/>
    </row>
    <row r="1025" ht="15.75" customHeight="1">
      <c r="A1025" s="27">
        <f t="shared" si="20"/>
        <v>374</v>
      </c>
      <c r="B1025" s="28" t="s">
        <v>3717</v>
      </c>
      <c r="C1025" s="43" t="s">
        <v>3718</v>
      </c>
      <c r="D1025" s="30" t="s">
        <v>3719</v>
      </c>
      <c r="E1025" s="28"/>
      <c r="F1025" s="28" t="s">
        <v>29</v>
      </c>
      <c r="G1025" s="28" t="s">
        <v>37</v>
      </c>
      <c r="H1025" s="28"/>
      <c r="I1025" s="28" t="s">
        <v>38</v>
      </c>
      <c r="J1025" s="28">
        <v>285.0</v>
      </c>
      <c r="K1025" s="28"/>
      <c r="L1025" s="28" t="s">
        <v>3720</v>
      </c>
      <c r="M1025" s="28" t="s">
        <v>3268</v>
      </c>
      <c r="N1025" s="28">
        <v>2006.0</v>
      </c>
      <c r="O1025" s="60" t="s">
        <v>2820</v>
      </c>
      <c r="P1025" s="28">
        <v>1.0</v>
      </c>
      <c r="Q1025" s="94">
        <v>1.0</v>
      </c>
      <c r="R1025" s="33"/>
      <c r="S1025" s="34"/>
      <c r="T1025" s="34"/>
      <c r="U1025" s="34"/>
      <c r="V1025" s="34"/>
      <c r="W1025" s="34"/>
      <c r="X1025" s="34"/>
      <c r="Y1025" s="45"/>
      <c r="Z1025" s="45"/>
      <c r="AA1025" s="45"/>
      <c r="AB1025" s="45"/>
      <c r="AC1025" s="45"/>
      <c r="AD1025" s="45"/>
      <c r="AE1025" s="45"/>
      <c r="AF1025" s="45"/>
      <c r="AG1025" s="45"/>
      <c r="AH1025" s="45"/>
      <c r="AI1025" s="45"/>
      <c r="AJ1025" s="45"/>
      <c r="AK1025" s="45"/>
      <c r="AL1025" s="45"/>
    </row>
    <row r="1026" ht="15.75" customHeight="1">
      <c r="A1026" s="27">
        <f t="shared" si="20"/>
        <v>375</v>
      </c>
      <c r="B1026" s="28" t="s">
        <v>3721</v>
      </c>
      <c r="C1026" s="43" t="s">
        <v>3722</v>
      </c>
      <c r="D1026" s="30" t="s">
        <v>3723</v>
      </c>
      <c r="E1026" s="28" t="s">
        <v>28</v>
      </c>
      <c r="F1026" s="28" t="s">
        <v>29</v>
      </c>
      <c r="G1026" s="28" t="s">
        <v>30</v>
      </c>
      <c r="H1026" s="28" t="s">
        <v>31</v>
      </c>
      <c r="I1026" s="28" t="s">
        <v>30</v>
      </c>
      <c r="J1026" s="28">
        <f>222+6</f>
        <v>228</v>
      </c>
      <c r="K1026" s="28"/>
      <c r="L1026" s="28" t="s">
        <v>1629</v>
      </c>
      <c r="M1026" s="28" t="s">
        <v>3642</v>
      </c>
      <c r="N1026" s="28">
        <v>2013.0</v>
      </c>
      <c r="O1026" s="60" t="s">
        <v>2820</v>
      </c>
      <c r="P1026" s="28">
        <v>1.0</v>
      </c>
      <c r="Q1026" s="94">
        <v>1.0</v>
      </c>
      <c r="R1026" s="33"/>
      <c r="S1026" s="40"/>
      <c r="T1026" s="40"/>
      <c r="U1026" s="40"/>
      <c r="V1026" s="40"/>
      <c r="W1026" s="40"/>
      <c r="X1026" s="40"/>
      <c r="Y1026" s="45"/>
      <c r="Z1026" s="45"/>
      <c r="AA1026" s="45"/>
      <c r="AB1026" s="45"/>
      <c r="AC1026" s="45"/>
      <c r="AD1026" s="45"/>
      <c r="AE1026" s="45"/>
      <c r="AF1026" s="45"/>
      <c r="AG1026" s="45"/>
      <c r="AH1026" s="45"/>
      <c r="AI1026" s="45"/>
      <c r="AJ1026" s="45"/>
      <c r="AK1026" s="45"/>
      <c r="AL1026" s="45"/>
    </row>
    <row r="1027" ht="15.75" customHeight="1">
      <c r="A1027" s="27">
        <f t="shared" si="20"/>
        <v>376</v>
      </c>
      <c r="B1027" s="28" t="s">
        <v>3724</v>
      </c>
      <c r="C1027" s="29" t="s">
        <v>3725</v>
      </c>
      <c r="D1027" s="120" t="s">
        <v>3726</v>
      </c>
      <c r="E1027" s="28"/>
      <c r="F1027" s="28" t="s">
        <v>29</v>
      </c>
      <c r="G1027" s="28" t="s">
        <v>37</v>
      </c>
      <c r="H1027" s="28"/>
      <c r="I1027" s="28" t="s">
        <v>38</v>
      </c>
      <c r="J1027" s="28">
        <v>197.0</v>
      </c>
      <c r="K1027" s="28"/>
      <c r="L1027" s="28" t="s">
        <v>3727</v>
      </c>
      <c r="M1027" s="28" t="s">
        <v>352</v>
      </c>
      <c r="N1027" s="28">
        <v>2006.0</v>
      </c>
      <c r="O1027" s="60" t="s">
        <v>2820</v>
      </c>
      <c r="P1027" s="28">
        <v>1.0</v>
      </c>
      <c r="Q1027" s="32">
        <v>1.0</v>
      </c>
      <c r="R1027" s="33"/>
      <c r="S1027" s="34"/>
      <c r="T1027" s="34"/>
      <c r="U1027" s="34"/>
      <c r="V1027" s="34"/>
      <c r="W1027" s="34"/>
      <c r="X1027" s="34"/>
      <c r="Y1027" s="45"/>
      <c r="Z1027" s="45"/>
      <c r="AA1027" s="45"/>
      <c r="AB1027" s="45"/>
      <c r="AC1027" s="45"/>
      <c r="AD1027" s="45"/>
      <c r="AE1027" s="45"/>
      <c r="AF1027" s="45"/>
      <c r="AG1027" s="45"/>
      <c r="AH1027" s="45"/>
      <c r="AI1027" s="45"/>
      <c r="AJ1027" s="45"/>
      <c r="AK1027" s="45"/>
      <c r="AL1027" s="45"/>
    </row>
    <row r="1028" ht="15.75" customHeight="1">
      <c r="A1028" s="27">
        <f t="shared" si="20"/>
        <v>377</v>
      </c>
      <c r="B1028" s="33" t="s">
        <v>3728</v>
      </c>
      <c r="C1028" s="121" t="s">
        <v>3729</v>
      </c>
      <c r="D1028" s="119" t="s">
        <v>3730</v>
      </c>
      <c r="E1028" s="121" t="s">
        <v>144</v>
      </c>
      <c r="F1028" s="121" t="s">
        <v>29</v>
      </c>
      <c r="G1028" s="121" t="s">
        <v>166</v>
      </c>
      <c r="H1028" s="83"/>
      <c r="I1028" s="121" t="s">
        <v>38</v>
      </c>
      <c r="J1028" s="121">
        <v>522.0</v>
      </c>
      <c r="K1028" s="83"/>
      <c r="L1028" s="121" t="s">
        <v>3731</v>
      </c>
      <c r="M1028" s="121" t="s">
        <v>49</v>
      </c>
      <c r="N1028" s="121">
        <v>2013.0</v>
      </c>
      <c r="O1028" s="60" t="s">
        <v>2820</v>
      </c>
      <c r="P1028" s="121">
        <v>1.0</v>
      </c>
      <c r="Q1028" s="121">
        <v>1.0</v>
      </c>
      <c r="R1028" s="84"/>
      <c r="S1028" s="40"/>
      <c r="T1028" s="40"/>
      <c r="U1028" s="40"/>
      <c r="V1028" s="40"/>
      <c r="W1028" s="40"/>
      <c r="X1028" s="40"/>
      <c r="Y1028" s="45"/>
      <c r="Z1028" s="45"/>
      <c r="AA1028" s="45"/>
      <c r="AB1028" s="45"/>
      <c r="AC1028" s="45"/>
      <c r="AD1028" s="45"/>
      <c r="AE1028" s="45"/>
      <c r="AF1028" s="45"/>
      <c r="AG1028" s="45"/>
      <c r="AH1028" s="45"/>
      <c r="AI1028" s="45"/>
      <c r="AJ1028" s="45"/>
      <c r="AK1028" s="45"/>
      <c r="AL1028" s="45"/>
    </row>
    <row r="1029" ht="15.75" customHeight="1">
      <c r="A1029" s="27">
        <f t="shared" si="20"/>
        <v>378</v>
      </c>
      <c r="B1029" s="28" t="s">
        <v>3732</v>
      </c>
      <c r="C1029" s="29" t="s">
        <v>3733</v>
      </c>
      <c r="D1029" s="30" t="s">
        <v>3734</v>
      </c>
      <c r="E1029" s="28" t="s">
        <v>28</v>
      </c>
      <c r="F1029" s="28" t="s">
        <v>29</v>
      </c>
      <c r="G1029" s="28" t="s">
        <v>131</v>
      </c>
      <c r="H1029" s="28"/>
      <c r="I1029" s="28" t="s">
        <v>131</v>
      </c>
      <c r="J1029" s="28">
        <v>336.0</v>
      </c>
      <c r="K1029" s="28"/>
      <c r="L1029" s="28" t="s">
        <v>31</v>
      </c>
      <c r="M1029" s="28" t="s">
        <v>3735</v>
      </c>
      <c r="N1029" s="28">
        <v>1988.0</v>
      </c>
      <c r="O1029" s="60" t="s">
        <v>2820</v>
      </c>
      <c r="P1029" s="28">
        <v>1.0</v>
      </c>
      <c r="Q1029" s="32">
        <v>1.0</v>
      </c>
      <c r="R1029" s="33"/>
      <c r="S1029" s="40"/>
      <c r="T1029" s="40"/>
      <c r="U1029" s="40"/>
      <c r="V1029" s="40"/>
      <c r="W1029" s="40"/>
      <c r="X1029" s="40"/>
      <c r="Y1029" s="3"/>
      <c r="Z1029" s="3"/>
      <c r="AA1029" s="3"/>
      <c r="AB1029" s="3"/>
      <c r="AC1029" s="3"/>
      <c r="AD1029" s="3"/>
      <c r="AE1029" s="3"/>
      <c r="AF1029" s="3"/>
      <c r="AG1029" s="3"/>
      <c r="AH1029" s="3"/>
      <c r="AI1029" s="3"/>
      <c r="AJ1029" s="3"/>
      <c r="AK1029" s="3"/>
      <c r="AL1029" s="3"/>
    </row>
    <row r="1030" ht="15.75" customHeight="1">
      <c r="A1030" s="27">
        <f t="shared" si="20"/>
        <v>379</v>
      </c>
      <c r="B1030" s="28" t="s">
        <v>3736</v>
      </c>
      <c r="C1030" s="43" t="s">
        <v>3737</v>
      </c>
      <c r="D1030" s="30" t="s">
        <v>3738</v>
      </c>
      <c r="E1030" s="28"/>
      <c r="F1030" s="28" t="s">
        <v>29</v>
      </c>
      <c r="G1030" s="28" t="s">
        <v>37</v>
      </c>
      <c r="H1030" s="28"/>
      <c r="I1030" s="28" t="s">
        <v>38</v>
      </c>
      <c r="J1030" s="28">
        <v>169.0</v>
      </c>
      <c r="K1030" s="28"/>
      <c r="L1030" s="28" t="s">
        <v>3739</v>
      </c>
      <c r="M1030" s="28" t="s">
        <v>230</v>
      </c>
      <c r="N1030" s="28">
        <v>2010.0</v>
      </c>
      <c r="O1030" s="60" t="s">
        <v>2820</v>
      </c>
      <c r="P1030" s="28">
        <v>1.0</v>
      </c>
      <c r="Q1030" s="32">
        <v>1.0</v>
      </c>
      <c r="R1030" s="33"/>
      <c r="S1030" s="40"/>
      <c r="T1030" s="40"/>
      <c r="U1030" s="40"/>
      <c r="V1030" s="40"/>
      <c r="W1030" s="40"/>
      <c r="X1030" s="40"/>
      <c r="Y1030" s="45"/>
      <c r="Z1030" s="45"/>
      <c r="AA1030" s="45"/>
      <c r="AB1030" s="45"/>
      <c r="AC1030" s="45"/>
      <c r="AD1030" s="45"/>
      <c r="AE1030" s="45"/>
      <c r="AF1030" s="45"/>
      <c r="AG1030" s="45"/>
      <c r="AH1030" s="45"/>
      <c r="AI1030" s="45"/>
      <c r="AJ1030" s="45"/>
      <c r="AK1030" s="45"/>
      <c r="AL1030" s="45"/>
    </row>
    <row r="1031" ht="15.75" customHeight="1">
      <c r="A1031" s="27">
        <f t="shared" si="20"/>
        <v>380</v>
      </c>
      <c r="B1031" s="28" t="s">
        <v>31</v>
      </c>
      <c r="C1031" s="43" t="s">
        <v>3740</v>
      </c>
      <c r="D1031" s="30" t="s">
        <v>3741</v>
      </c>
      <c r="E1031" s="28" t="s">
        <v>3118</v>
      </c>
      <c r="F1031" s="28" t="s">
        <v>29</v>
      </c>
      <c r="G1031" s="28" t="s">
        <v>30</v>
      </c>
      <c r="H1031" s="28"/>
      <c r="I1031" s="28" t="s">
        <v>30</v>
      </c>
      <c r="J1031" s="28">
        <f>272+6</f>
        <v>278</v>
      </c>
      <c r="K1031" s="28"/>
      <c r="L1031" s="28" t="s">
        <v>3742</v>
      </c>
      <c r="M1031" s="28" t="s">
        <v>2258</v>
      </c>
      <c r="N1031" s="28">
        <v>1992.0</v>
      </c>
      <c r="O1031" s="28" t="s">
        <v>2820</v>
      </c>
      <c r="P1031" s="28">
        <v>1.0</v>
      </c>
      <c r="Q1031" s="94">
        <v>1.0</v>
      </c>
      <c r="R1031" s="33"/>
      <c r="S1031" s="34"/>
      <c r="T1031" s="34"/>
      <c r="U1031" s="34"/>
      <c r="V1031" s="34"/>
      <c r="W1031" s="34"/>
      <c r="X1031" s="34"/>
      <c r="Y1031" s="45"/>
      <c r="Z1031" s="45"/>
      <c r="AA1031" s="45"/>
      <c r="AB1031" s="45"/>
      <c r="AC1031" s="45"/>
      <c r="AD1031" s="45"/>
      <c r="AE1031" s="45"/>
      <c r="AF1031" s="45"/>
      <c r="AG1031" s="45"/>
      <c r="AH1031" s="45"/>
      <c r="AI1031" s="45"/>
      <c r="AJ1031" s="45"/>
      <c r="AK1031" s="45"/>
      <c r="AL1031" s="45"/>
    </row>
    <row r="1032" ht="15.75" customHeight="1">
      <c r="A1032" s="27">
        <f t="shared" si="20"/>
        <v>381</v>
      </c>
      <c r="B1032" s="28" t="s">
        <v>3743</v>
      </c>
      <c r="C1032" s="43" t="s">
        <v>3744</v>
      </c>
      <c r="D1032" s="30" t="s">
        <v>3745</v>
      </c>
      <c r="E1032" s="28" t="s">
        <v>144</v>
      </c>
      <c r="F1032" s="28" t="s">
        <v>29</v>
      </c>
      <c r="G1032" s="28" t="s">
        <v>3746</v>
      </c>
      <c r="H1032" s="28"/>
      <c r="I1032" s="28" t="s">
        <v>159</v>
      </c>
      <c r="J1032" s="28">
        <v>951.0</v>
      </c>
      <c r="K1032" s="28"/>
      <c r="L1032" s="28" t="s">
        <v>3747</v>
      </c>
      <c r="M1032" s="28" t="s">
        <v>151</v>
      </c>
      <c r="N1032" s="28">
        <v>2017.0</v>
      </c>
      <c r="O1032" s="60" t="s">
        <v>2820</v>
      </c>
      <c r="P1032" s="28">
        <v>1.0</v>
      </c>
      <c r="Q1032" s="32">
        <v>1.0</v>
      </c>
      <c r="R1032" s="33"/>
      <c r="S1032" s="40"/>
      <c r="T1032" s="40"/>
      <c r="U1032" s="40"/>
      <c r="V1032" s="40"/>
      <c r="W1032" s="40"/>
      <c r="X1032" s="40"/>
      <c r="Y1032" s="45"/>
      <c r="Z1032" s="45"/>
      <c r="AA1032" s="45"/>
      <c r="AB1032" s="45"/>
      <c r="AC1032" s="45"/>
      <c r="AD1032" s="45"/>
      <c r="AE1032" s="45"/>
      <c r="AF1032" s="45"/>
      <c r="AG1032" s="45"/>
      <c r="AH1032" s="45"/>
      <c r="AI1032" s="45"/>
      <c r="AJ1032" s="45"/>
      <c r="AK1032" s="45"/>
      <c r="AL1032" s="45"/>
    </row>
    <row r="1033" ht="15.75" customHeight="1">
      <c r="A1033" s="27">
        <f t="shared" si="20"/>
        <v>382</v>
      </c>
      <c r="B1033" s="28" t="s">
        <v>3748</v>
      </c>
      <c r="C1033" s="29" t="s">
        <v>3749</v>
      </c>
      <c r="D1033" s="30" t="s">
        <v>3750</v>
      </c>
      <c r="E1033" s="28"/>
      <c r="F1033" s="28" t="s">
        <v>29</v>
      </c>
      <c r="G1033" s="28" t="s">
        <v>30</v>
      </c>
      <c r="H1033" s="28"/>
      <c r="I1033" s="28" t="s">
        <v>30</v>
      </c>
      <c r="J1033" s="28">
        <v>306.0</v>
      </c>
      <c r="K1033" s="28"/>
      <c r="L1033" s="28" t="s">
        <v>3751</v>
      </c>
      <c r="M1033" s="28" t="s">
        <v>151</v>
      </c>
      <c r="N1033" s="28">
        <v>2008.0</v>
      </c>
      <c r="O1033" s="60" t="s">
        <v>2820</v>
      </c>
      <c r="P1033" s="28">
        <v>1.0</v>
      </c>
      <c r="Q1033" s="32">
        <v>1.0</v>
      </c>
      <c r="R1033" s="33"/>
      <c r="S1033" s="40"/>
      <c r="T1033" s="40"/>
      <c r="U1033" s="40"/>
      <c r="V1033" s="40"/>
      <c r="W1033" s="40"/>
      <c r="X1033" s="40"/>
      <c r="Y1033" s="45"/>
      <c r="Z1033" s="45"/>
      <c r="AA1033" s="45"/>
      <c r="AB1033" s="45"/>
      <c r="AC1033" s="45"/>
      <c r="AD1033" s="45"/>
      <c r="AE1033" s="45"/>
      <c r="AF1033" s="45"/>
      <c r="AG1033" s="45"/>
      <c r="AH1033" s="45"/>
      <c r="AI1033" s="45"/>
      <c r="AJ1033" s="45"/>
      <c r="AK1033" s="45"/>
      <c r="AL1033" s="45"/>
    </row>
    <row r="1034" ht="15.75" customHeight="1">
      <c r="A1034" s="27">
        <f t="shared" si="20"/>
        <v>383</v>
      </c>
      <c r="B1034" s="28" t="s">
        <v>3752</v>
      </c>
      <c r="C1034" s="29" t="s">
        <v>3753</v>
      </c>
      <c r="D1034" s="30" t="s">
        <v>3754</v>
      </c>
      <c r="E1034" s="28"/>
      <c r="F1034" s="28" t="s">
        <v>29</v>
      </c>
      <c r="G1034" s="28" t="s">
        <v>30</v>
      </c>
      <c r="H1034" s="28"/>
      <c r="I1034" s="28" t="s">
        <v>30</v>
      </c>
      <c r="J1034" s="28">
        <v>279.0</v>
      </c>
      <c r="K1034" s="28"/>
      <c r="L1034" s="28" t="s">
        <v>3751</v>
      </c>
      <c r="M1034" s="28" t="s">
        <v>151</v>
      </c>
      <c r="N1034" s="28">
        <v>2009.0</v>
      </c>
      <c r="O1034" s="60" t="s">
        <v>2820</v>
      </c>
      <c r="P1034" s="28">
        <v>2.0</v>
      </c>
      <c r="Q1034" s="32">
        <v>2.0</v>
      </c>
      <c r="R1034" s="33"/>
      <c r="S1034" s="34"/>
      <c r="T1034" s="34"/>
      <c r="U1034" s="34"/>
      <c r="V1034" s="34"/>
      <c r="W1034" s="34"/>
      <c r="X1034" s="34"/>
      <c r="Y1034" s="45"/>
      <c r="Z1034" s="45"/>
      <c r="AA1034" s="45"/>
      <c r="AB1034" s="45"/>
      <c r="AC1034" s="45"/>
      <c r="AD1034" s="45"/>
      <c r="AE1034" s="45"/>
      <c r="AF1034" s="45"/>
      <c r="AG1034" s="45"/>
      <c r="AH1034" s="45"/>
      <c r="AI1034" s="45"/>
      <c r="AJ1034" s="45"/>
      <c r="AK1034" s="45"/>
      <c r="AL1034" s="45"/>
    </row>
    <row r="1035" ht="15.75" customHeight="1">
      <c r="A1035" s="27">
        <f t="shared" si="20"/>
        <v>384</v>
      </c>
      <c r="B1035" s="28" t="s">
        <v>3755</v>
      </c>
      <c r="C1035" s="48" t="s">
        <v>3756</v>
      </c>
      <c r="D1035" s="39" t="s">
        <v>3757</v>
      </c>
      <c r="E1035" s="28"/>
      <c r="F1035" s="28" t="s">
        <v>29</v>
      </c>
      <c r="G1035" s="28" t="s">
        <v>37</v>
      </c>
      <c r="H1035" s="28"/>
      <c r="I1035" s="28" t="s">
        <v>38</v>
      </c>
      <c r="J1035" s="28">
        <v>240.0</v>
      </c>
      <c r="K1035" s="28"/>
      <c r="L1035" s="28" t="s">
        <v>3758</v>
      </c>
      <c r="M1035" s="28" t="s">
        <v>1176</v>
      </c>
      <c r="N1035" s="28">
        <v>2002.0</v>
      </c>
      <c r="O1035" s="60" t="s">
        <v>2820</v>
      </c>
      <c r="P1035" s="28">
        <v>1.0</v>
      </c>
      <c r="Q1035" s="32">
        <v>1.0</v>
      </c>
      <c r="R1035" s="33"/>
      <c r="S1035" s="34"/>
      <c r="T1035" s="34"/>
      <c r="U1035" s="34"/>
      <c r="V1035" s="34"/>
      <c r="W1035" s="34"/>
      <c r="X1035" s="34"/>
      <c r="Y1035" s="3"/>
      <c r="Z1035" s="3"/>
      <c r="AA1035" s="3"/>
      <c r="AB1035" s="3"/>
      <c r="AC1035" s="3"/>
      <c r="AD1035" s="3"/>
      <c r="AE1035" s="3"/>
      <c r="AF1035" s="3"/>
      <c r="AG1035" s="3"/>
      <c r="AH1035" s="3"/>
      <c r="AI1035" s="3"/>
      <c r="AJ1035" s="3"/>
      <c r="AK1035" s="3"/>
      <c r="AL1035" s="3"/>
    </row>
    <row r="1036" ht="15.75" customHeight="1">
      <c r="A1036" s="27">
        <f t="shared" si="20"/>
        <v>385</v>
      </c>
      <c r="B1036" s="28" t="s">
        <v>3759</v>
      </c>
      <c r="C1036" s="43" t="s">
        <v>3760</v>
      </c>
      <c r="D1036" s="30" t="s">
        <v>3761</v>
      </c>
      <c r="E1036" s="28"/>
      <c r="F1036" s="28" t="s">
        <v>29</v>
      </c>
      <c r="G1036" s="28" t="s">
        <v>37</v>
      </c>
      <c r="H1036" s="28" t="s">
        <v>31</v>
      </c>
      <c r="I1036" s="28" t="s">
        <v>38</v>
      </c>
      <c r="J1036" s="28">
        <v>518.0</v>
      </c>
      <c r="K1036" s="28"/>
      <c r="L1036" s="28" t="s">
        <v>3762</v>
      </c>
      <c r="M1036" s="28"/>
      <c r="N1036" s="28">
        <v>2011.0</v>
      </c>
      <c r="O1036" s="60" t="s">
        <v>2820</v>
      </c>
      <c r="P1036" s="28">
        <v>1.0</v>
      </c>
      <c r="Q1036" s="94">
        <v>1.0</v>
      </c>
      <c r="R1036" s="33"/>
      <c r="S1036" s="40"/>
      <c r="T1036" s="40"/>
      <c r="U1036" s="40"/>
      <c r="V1036" s="40"/>
      <c r="W1036" s="40"/>
      <c r="X1036" s="40"/>
      <c r="Y1036" s="3"/>
      <c r="Z1036" s="3"/>
      <c r="AA1036" s="3"/>
      <c r="AB1036" s="3"/>
      <c r="AC1036" s="3"/>
      <c r="AD1036" s="3"/>
      <c r="AE1036" s="3"/>
      <c r="AF1036" s="3"/>
      <c r="AG1036" s="3"/>
      <c r="AH1036" s="3"/>
      <c r="AI1036" s="3"/>
      <c r="AJ1036" s="3"/>
      <c r="AK1036" s="3"/>
      <c r="AL1036" s="3"/>
    </row>
    <row r="1037" ht="15.75" customHeight="1">
      <c r="A1037" s="27">
        <f t="shared" si="20"/>
        <v>386</v>
      </c>
      <c r="B1037" s="28" t="s">
        <v>3763</v>
      </c>
      <c r="C1037" s="29" t="s">
        <v>3764</v>
      </c>
      <c r="D1037" s="30" t="s">
        <v>3765</v>
      </c>
      <c r="E1037" s="28"/>
      <c r="F1037" s="28" t="s">
        <v>29</v>
      </c>
      <c r="G1037" s="28" t="s">
        <v>37</v>
      </c>
      <c r="H1037" s="28"/>
      <c r="I1037" s="28" t="s">
        <v>38</v>
      </c>
      <c r="J1037" s="28">
        <v>298.0</v>
      </c>
      <c r="K1037" s="28"/>
      <c r="L1037" s="28" t="s">
        <v>3766</v>
      </c>
      <c r="M1037" s="28" t="s">
        <v>3268</v>
      </c>
      <c r="N1037" s="28">
        <v>2005.0</v>
      </c>
      <c r="O1037" s="60" t="s">
        <v>2820</v>
      </c>
      <c r="P1037" s="28">
        <v>1.0</v>
      </c>
      <c r="Q1037" s="32">
        <v>1.0</v>
      </c>
      <c r="R1037" s="33"/>
      <c r="S1037" s="40"/>
      <c r="T1037" s="40"/>
      <c r="U1037" s="40"/>
      <c r="V1037" s="40"/>
      <c r="W1037" s="40"/>
      <c r="X1037" s="40"/>
      <c r="Y1037" s="3"/>
      <c r="Z1037" s="3"/>
      <c r="AA1037" s="3"/>
      <c r="AB1037" s="3"/>
      <c r="AC1037" s="3"/>
      <c r="AD1037" s="3"/>
      <c r="AE1037" s="3"/>
      <c r="AF1037" s="3"/>
      <c r="AG1037" s="3"/>
      <c r="AH1037" s="3"/>
      <c r="AI1037" s="3"/>
      <c r="AJ1037" s="3"/>
      <c r="AK1037" s="3"/>
      <c r="AL1037" s="3"/>
    </row>
    <row r="1038" ht="15.75" customHeight="1">
      <c r="A1038" s="27">
        <f t="shared" si="20"/>
        <v>387</v>
      </c>
      <c r="B1038" s="83" t="s">
        <v>3767</v>
      </c>
      <c r="C1038" s="121" t="s">
        <v>3768</v>
      </c>
      <c r="D1038" s="119" t="s">
        <v>3769</v>
      </c>
      <c r="E1038" s="121" t="s">
        <v>302</v>
      </c>
      <c r="F1038" s="83" t="s">
        <v>29</v>
      </c>
      <c r="G1038" s="83"/>
      <c r="H1038" s="83"/>
      <c r="I1038" s="83" t="s">
        <v>38</v>
      </c>
      <c r="J1038" s="83">
        <v>840.0</v>
      </c>
      <c r="K1038" s="83"/>
      <c r="L1038" s="83" t="s">
        <v>3770</v>
      </c>
      <c r="M1038" s="83" t="s">
        <v>3771</v>
      </c>
      <c r="N1038" s="121">
        <v>2011.0</v>
      </c>
      <c r="O1038" s="60" t="s">
        <v>2820</v>
      </c>
      <c r="P1038" s="83">
        <v>1.0</v>
      </c>
      <c r="Q1038" s="83">
        <v>1.0</v>
      </c>
      <c r="R1038" s="84"/>
      <c r="S1038" s="40"/>
      <c r="T1038" s="40"/>
      <c r="U1038" s="40"/>
      <c r="V1038" s="40"/>
      <c r="W1038" s="40"/>
      <c r="X1038" s="40"/>
      <c r="Y1038" s="3"/>
      <c r="Z1038" s="3"/>
      <c r="AA1038" s="3"/>
      <c r="AB1038" s="3"/>
      <c r="AC1038" s="3"/>
      <c r="AD1038" s="3"/>
      <c r="AE1038" s="3"/>
      <c r="AF1038" s="3"/>
      <c r="AG1038" s="3"/>
      <c r="AH1038" s="3"/>
      <c r="AI1038" s="3"/>
      <c r="AJ1038" s="3"/>
      <c r="AK1038" s="3"/>
      <c r="AL1038" s="3"/>
    </row>
    <row r="1039" ht="15.75" customHeight="1">
      <c r="A1039" s="27">
        <f t="shared" si="20"/>
        <v>388</v>
      </c>
      <c r="B1039" s="28" t="s">
        <v>31</v>
      </c>
      <c r="C1039" s="43" t="s">
        <v>3772</v>
      </c>
      <c r="D1039" s="30" t="s">
        <v>3773</v>
      </c>
      <c r="E1039" s="28"/>
      <c r="F1039" s="28" t="s">
        <v>29</v>
      </c>
      <c r="G1039" s="28" t="s">
        <v>30</v>
      </c>
      <c r="H1039" s="28"/>
      <c r="I1039" s="28" t="s">
        <v>30</v>
      </c>
      <c r="J1039" s="28">
        <v>77.0</v>
      </c>
      <c r="K1039" s="28"/>
      <c r="L1039" s="28" t="s">
        <v>3026</v>
      </c>
      <c r="M1039" s="28" t="s">
        <v>3027</v>
      </c>
      <c r="N1039" s="28">
        <v>2002.0</v>
      </c>
      <c r="O1039" s="60" t="s">
        <v>2820</v>
      </c>
      <c r="P1039" s="28">
        <v>1.0</v>
      </c>
      <c r="Q1039" s="32">
        <v>1.0</v>
      </c>
      <c r="R1039" s="33"/>
      <c r="S1039" s="38"/>
      <c r="T1039" s="38"/>
      <c r="U1039" s="38"/>
      <c r="V1039" s="38"/>
      <c r="W1039" s="38"/>
      <c r="X1039" s="38"/>
      <c r="Y1039" s="3"/>
      <c r="Z1039" s="3"/>
      <c r="AA1039" s="3"/>
      <c r="AB1039" s="3"/>
      <c r="AC1039" s="3"/>
      <c r="AD1039" s="3"/>
      <c r="AE1039" s="3"/>
      <c r="AF1039" s="3"/>
      <c r="AG1039" s="3"/>
      <c r="AH1039" s="3"/>
      <c r="AI1039" s="3"/>
      <c r="AJ1039" s="3"/>
      <c r="AK1039" s="3"/>
      <c r="AL1039" s="3"/>
    </row>
    <row r="1040" ht="15.75" customHeight="1">
      <c r="A1040" s="27">
        <f t="shared" si="20"/>
        <v>389</v>
      </c>
      <c r="B1040" s="28" t="s">
        <v>3774</v>
      </c>
      <c r="C1040" s="48" t="s">
        <v>3775</v>
      </c>
      <c r="D1040" s="30" t="s">
        <v>3776</v>
      </c>
      <c r="E1040" s="28"/>
      <c r="F1040" s="28" t="s">
        <v>29</v>
      </c>
      <c r="G1040" s="28" t="s">
        <v>37</v>
      </c>
      <c r="H1040" s="28"/>
      <c r="I1040" s="28" t="s">
        <v>38</v>
      </c>
      <c r="J1040" s="28">
        <v>327.0</v>
      </c>
      <c r="K1040" s="28"/>
      <c r="L1040" s="28" t="s">
        <v>3777</v>
      </c>
      <c r="M1040" s="28" t="s">
        <v>352</v>
      </c>
      <c r="N1040" s="28">
        <v>2004.0</v>
      </c>
      <c r="O1040" s="60" t="s">
        <v>2820</v>
      </c>
      <c r="P1040" s="28">
        <v>1.0</v>
      </c>
      <c r="Q1040" s="94">
        <v>1.0</v>
      </c>
      <c r="R1040" s="33"/>
      <c r="S1040" s="40"/>
      <c r="T1040" s="40"/>
      <c r="U1040" s="40"/>
      <c r="V1040" s="40"/>
      <c r="W1040" s="40"/>
      <c r="X1040" s="40"/>
      <c r="Y1040" s="3"/>
      <c r="Z1040" s="3"/>
      <c r="AA1040" s="3"/>
      <c r="AB1040" s="3"/>
      <c r="AC1040" s="3"/>
      <c r="AD1040" s="3"/>
      <c r="AE1040" s="3"/>
      <c r="AF1040" s="3"/>
      <c r="AG1040" s="3"/>
      <c r="AH1040" s="3"/>
      <c r="AI1040" s="3"/>
      <c r="AJ1040" s="3"/>
      <c r="AK1040" s="3"/>
      <c r="AL1040" s="3"/>
    </row>
    <row r="1041" ht="15.75" customHeight="1">
      <c r="A1041" s="27">
        <f t="shared" si="20"/>
        <v>390</v>
      </c>
      <c r="B1041" s="28" t="s">
        <v>3778</v>
      </c>
      <c r="C1041" s="102" t="s">
        <v>3779</v>
      </c>
      <c r="D1041" s="30" t="s">
        <v>3780</v>
      </c>
      <c r="E1041" s="28"/>
      <c r="F1041" s="28" t="s">
        <v>29</v>
      </c>
      <c r="G1041" s="28" t="s">
        <v>37</v>
      </c>
      <c r="H1041" s="28"/>
      <c r="I1041" s="28" t="s">
        <v>38</v>
      </c>
      <c r="J1041" s="28">
        <v>446.0</v>
      </c>
      <c r="K1041" s="28"/>
      <c r="L1041" s="28" t="s">
        <v>3781</v>
      </c>
      <c r="M1041" s="28" t="s">
        <v>3268</v>
      </c>
      <c r="N1041" s="28">
        <v>2004.0</v>
      </c>
      <c r="O1041" s="60" t="s">
        <v>2820</v>
      </c>
      <c r="P1041" s="28">
        <v>1.0</v>
      </c>
      <c r="Q1041" s="94">
        <v>1.0</v>
      </c>
      <c r="R1041" s="33"/>
      <c r="S1041" s="38"/>
      <c r="T1041" s="38"/>
      <c r="U1041" s="38"/>
      <c r="V1041" s="38"/>
      <c r="W1041" s="38"/>
      <c r="X1041" s="38"/>
      <c r="Y1041" s="45"/>
      <c r="Z1041" s="45"/>
      <c r="AA1041" s="45"/>
      <c r="AB1041" s="45"/>
      <c r="AC1041" s="45"/>
      <c r="AD1041" s="45"/>
      <c r="AE1041" s="45"/>
      <c r="AF1041" s="45"/>
      <c r="AG1041" s="45"/>
      <c r="AH1041" s="45"/>
      <c r="AI1041" s="45"/>
      <c r="AJ1041" s="45"/>
      <c r="AK1041" s="45"/>
      <c r="AL1041" s="45"/>
    </row>
    <row r="1042" ht="15.75" customHeight="1">
      <c r="A1042" s="27">
        <f t="shared" si="20"/>
        <v>391</v>
      </c>
      <c r="B1042" s="28" t="s">
        <v>31</v>
      </c>
      <c r="C1042" s="43" t="s">
        <v>3782</v>
      </c>
      <c r="D1042" s="30" t="s">
        <v>3783</v>
      </c>
      <c r="E1042" s="28"/>
      <c r="F1042" s="28" t="s">
        <v>29</v>
      </c>
      <c r="G1042" s="28" t="s">
        <v>30</v>
      </c>
      <c r="H1042" s="28"/>
      <c r="I1042" s="28" t="s">
        <v>30</v>
      </c>
      <c r="J1042" s="28">
        <v>180.0</v>
      </c>
      <c r="K1042" s="28"/>
      <c r="L1042" s="28" t="s">
        <v>3784</v>
      </c>
      <c r="M1042" s="28" t="s">
        <v>151</v>
      </c>
      <c r="N1042" s="28">
        <v>1985.0</v>
      </c>
      <c r="O1042" s="60" t="s">
        <v>2820</v>
      </c>
      <c r="P1042" s="28">
        <v>1.0</v>
      </c>
      <c r="Q1042" s="32">
        <v>1.0</v>
      </c>
      <c r="R1042" s="33"/>
      <c r="S1042" s="40"/>
      <c r="T1042" s="40"/>
      <c r="U1042" s="40"/>
      <c r="V1042" s="40"/>
      <c r="W1042" s="40"/>
      <c r="X1042" s="40"/>
      <c r="Y1042" s="45"/>
      <c r="Z1042" s="45"/>
      <c r="AA1042" s="45"/>
      <c r="AB1042" s="45"/>
      <c r="AC1042" s="45"/>
      <c r="AD1042" s="45"/>
      <c r="AE1042" s="45"/>
      <c r="AF1042" s="45"/>
      <c r="AG1042" s="45"/>
      <c r="AH1042" s="45"/>
      <c r="AI1042" s="45"/>
      <c r="AJ1042" s="45"/>
      <c r="AK1042" s="45"/>
      <c r="AL1042" s="45"/>
    </row>
    <row r="1043" ht="15.75" customHeight="1">
      <c r="A1043" s="27">
        <f t="shared" si="20"/>
        <v>392</v>
      </c>
      <c r="B1043" s="121" t="s">
        <v>3785</v>
      </c>
      <c r="C1043" s="124" t="s">
        <v>3786</v>
      </c>
      <c r="D1043" s="119" t="s">
        <v>3787</v>
      </c>
      <c r="E1043" s="83"/>
      <c r="F1043" s="121" t="s">
        <v>29</v>
      </c>
      <c r="G1043" s="121" t="s">
        <v>37</v>
      </c>
      <c r="H1043" s="83"/>
      <c r="I1043" s="121" t="s">
        <v>38</v>
      </c>
      <c r="J1043" s="121">
        <v>410.0</v>
      </c>
      <c r="K1043" s="83"/>
      <c r="L1043" s="121" t="s">
        <v>2180</v>
      </c>
      <c r="M1043" s="121" t="s">
        <v>3788</v>
      </c>
      <c r="N1043" s="121">
        <v>1970.0</v>
      </c>
      <c r="O1043" s="60" t="s">
        <v>2820</v>
      </c>
      <c r="P1043" s="121">
        <v>1.0</v>
      </c>
      <c r="Q1043" s="121">
        <v>1.0</v>
      </c>
      <c r="R1043" s="84"/>
      <c r="S1043" s="40"/>
      <c r="T1043" s="40"/>
      <c r="U1043" s="40"/>
      <c r="V1043" s="40"/>
      <c r="W1043" s="40"/>
      <c r="X1043" s="40"/>
      <c r="Y1043" s="138"/>
      <c r="Z1043" s="138"/>
      <c r="AA1043" s="138"/>
      <c r="AB1043" s="138"/>
      <c r="AC1043" s="138"/>
      <c r="AD1043" s="138"/>
      <c r="AE1043" s="138"/>
      <c r="AF1043" s="138"/>
      <c r="AG1043" s="138"/>
      <c r="AH1043" s="138"/>
      <c r="AI1043" s="138"/>
      <c r="AJ1043" s="138"/>
      <c r="AK1043" s="138"/>
      <c r="AL1043" s="138"/>
    </row>
    <row r="1044" ht="15.75" customHeight="1">
      <c r="A1044" s="27">
        <f t="shared" si="20"/>
        <v>393</v>
      </c>
      <c r="B1044" s="28" t="s">
        <v>3789</v>
      </c>
      <c r="C1044" s="102" t="s">
        <v>3790</v>
      </c>
      <c r="D1044" s="30" t="s">
        <v>3791</v>
      </c>
      <c r="E1044" s="28"/>
      <c r="F1044" s="28" t="s">
        <v>29</v>
      </c>
      <c r="G1044" s="28" t="s">
        <v>37</v>
      </c>
      <c r="H1044" s="28"/>
      <c r="I1044" s="28" t="s">
        <v>38</v>
      </c>
      <c r="J1044" s="28">
        <v>514.0</v>
      </c>
      <c r="K1044" s="28"/>
      <c r="L1044" s="28" t="s">
        <v>3792</v>
      </c>
      <c r="M1044" s="28" t="s">
        <v>2903</v>
      </c>
      <c r="N1044" s="28">
        <v>2009.0</v>
      </c>
      <c r="O1044" s="60" t="s">
        <v>2820</v>
      </c>
      <c r="P1044" s="28">
        <v>1.0</v>
      </c>
      <c r="Q1044" s="94">
        <v>1.0</v>
      </c>
      <c r="R1044" s="33"/>
      <c r="S1044" s="139"/>
      <c r="T1044" s="139"/>
      <c r="U1044" s="139"/>
      <c r="V1044" s="139"/>
      <c r="W1044" s="139"/>
      <c r="X1044" s="139"/>
      <c r="Y1044" s="140"/>
      <c r="Z1044" s="140"/>
      <c r="AA1044" s="140"/>
      <c r="AB1044" s="140"/>
      <c r="AC1044" s="140"/>
      <c r="AD1044" s="140"/>
      <c r="AE1044" s="140"/>
      <c r="AF1044" s="140"/>
      <c r="AG1044" s="140"/>
      <c r="AH1044" s="140"/>
      <c r="AI1044" s="140"/>
      <c r="AJ1044" s="140"/>
      <c r="AK1044" s="140"/>
      <c r="AL1044" s="140"/>
    </row>
    <row r="1045" ht="15.75" customHeight="1">
      <c r="A1045" s="27">
        <f t="shared" si="20"/>
        <v>394</v>
      </c>
      <c r="B1045" s="28" t="s">
        <v>3793</v>
      </c>
      <c r="C1045" s="43" t="s">
        <v>3794</v>
      </c>
      <c r="D1045" s="30" t="s">
        <v>3795</v>
      </c>
      <c r="E1045" s="28" t="s">
        <v>31</v>
      </c>
      <c r="F1045" s="28" t="s">
        <v>29</v>
      </c>
      <c r="G1045" s="28" t="s">
        <v>30</v>
      </c>
      <c r="H1045" s="28"/>
      <c r="I1045" s="28" t="s">
        <v>30</v>
      </c>
      <c r="J1045" s="28">
        <v>270.0</v>
      </c>
      <c r="K1045" s="28"/>
      <c r="L1045" s="28" t="s">
        <v>3796</v>
      </c>
      <c r="M1045" s="28" t="s">
        <v>151</v>
      </c>
      <c r="N1045" s="28">
        <v>2010.0</v>
      </c>
      <c r="O1045" s="60" t="s">
        <v>2820</v>
      </c>
      <c r="P1045" s="28">
        <v>1.0</v>
      </c>
      <c r="Q1045" s="94">
        <v>1.0</v>
      </c>
      <c r="R1045" s="33"/>
      <c r="S1045" s="38"/>
      <c r="T1045" s="38"/>
      <c r="U1045" s="38"/>
      <c r="V1045" s="38"/>
      <c r="W1045" s="38"/>
      <c r="X1045" s="38"/>
      <c r="Y1045" s="141"/>
      <c r="Z1045" s="141"/>
      <c r="AA1045" s="141"/>
      <c r="AB1045" s="141"/>
      <c r="AC1045" s="141"/>
      <c r="AD1045" s="141"/>
      <c r="AE1045" s="141"/>
      <c r="AF1045" s="141"/>
      <c r="AG1045" s="141"/>
      <c r="AH1045" s="141"/>
      <c r="AI1045" s="141"/>
      <c r="AJ1045" s="141"/>
      <c r="AK1045" s="141"/>
      <c r="AL1045" s="141"/>
    </row>
    <row r="1046" ht="15.75" customHeight="1">
      <c r="A1046" s="27">
        <f t="shared" si="20"/>
        <v>395</v>
      </c>
      <c r="B1046" s="28" t="s">
        <v>3797</v>
      </c>
      <c r="C1046" s="102" t="s">
        <v>3798</v>
      </c>
      <c r="D1046" s="120" t="s">
        <v>3799</v>
      </c>
      <c r="E1046" s="28"/>
      <c r="F1046" s="28" t="s">
        <v>29</v>
      </c>
      <c r="G1046" s="28" t="s">
        <v>37</v>
      </c>
      <c r="H1046" s="28"/>
      <c r="I1046" s="28" t="s">
        <v>38</v>
      </c>
      <c r="J1046" s="28">
        <v>180.0</v>
      </c>
      <c r="K1046" s="28"/>
      <c r="L1046" s="28" t="s">
        <v>3800</v>
      </c>
      <c r="M1046" s="28" t="s">
        <v>72</v>
      </c>
      <c r="N1046" s="28">
        <v>1993.0</v>
      </c>
      <c r="O1046" s="60" t="s">
        <v>2820</v>
      </c>
      <c r="P1046" s="28">
        <v>1.0</v>
      </c>
      <c r="Q1046" s="94">
        <v>1.0</v>
      </c>
      <c r="R1046" s="33"/>
      <c r="S1046" s="34"/>
      <c r="T1046" s="34"/>
      <c r="U1046" s="34"/>
      <c r="V1046" s="34"/>
      <c r="W1046" s="34"/>
      <c r="X1046" s="34"/>
      <c r="Y1046" s="3"/>
      <c r="Z1046" s="3"/>
      <c r="AA1046" s="3"/>
      <c r="AB1046" s="3"/>
      <c r="AC1046" s="3"/>
      <c r="AD1046" s="3"/>
      <c r="AE1046" s="3"/>
      <c r="AF1046" s="3"/>
      <c r="AG1046" s="3"/>
      <c r="AH1046" s="3"/>
      <c r="AI1046" s="3"/>
      <c r="AJ1046" s="3"/>
      <c r="AK1046" s="3"/>
      <c r="AL1046" s="3"/>
    </row>
    <row r="1047" ht="15.75" customHeight="1">
      <c r="A1047" s="27">
        <f t="shared" si="20"/>
        <v>396</v>
      </c>
      <c r="B1047" s="28" t="s">
        <v>3801</v>
      </c>
      <c r="C1047" s="43" t="s">
        <v>3802</v>
      </c>
      <c r="D1047" s="30" t="s">
        <v>3803</v>
      </c>
      <c r="E1047" s="28" t="s">
        <v>302</v>
      </c>
      <c r="F1047" s="28" t="s">
        <v>29</v>
      </c>
      <c r="G1047" s="28" t="s">
        <v>38</v>
      </c>
      <c r="H1047" s="28"/>
      <c r="I1047" s="28" t="s">
        <v>38</v>
      </c>
      <c r="J1047" s="28">
        <v>250.0</v>
      </c>
      <c r="K1047" s="28"/>
      <c r="L1047" s="28" t="s">
        <v>3804</v>
      </c>
      <c r="M1047" s="28" t="s">
        <v>72</v>
      </c>
      <c r="N1047" s="28">
        <v>2015.0</v>
      </c>
      <c r="O1047" s="60" t="s">
        <v>2820</v>
      </c>
      <c r="P1047" s="28">
        <v>1.0</v>
      </c>
      <c r="Q1047" s="94">
        <v>1.0</v>
      </c>
      <c r="R1047" s="33"/>
      <c r="S1047" s="34"/>
      <c r="T1047" s="34"/>
      <c r="U1047" s="34"/>
      <c r="V1047" s="34"/>
      <c r="W1047" s="34"/>
      <c r="X1047" s="34"/>
      <c r="Y1047" s="3"/>
      <c r="Z1047" s="3"/>
      <c r="AA1047" s="3"/>
      <c r="AB1047" s="3"/>
      <c r="AC1047" s="3"/>
      <c r="AD1047" s="3"/>
      <c r="AE1047" s="3"/>
      <c r="AF1047" s="3"/>
      <c r="AG1047" s="3"/>
      <c r="AH1047" s="3"/>
      <c r="AI1047" s="3"/>
      <c r="AJ1047" s="3"/>
      <c r="AK1047" s="3"/>
      <c r="AL1047" s="3"/>
    </row>
    <row r="1048" ht="15.75" customHeight="1">
      <c r="A1048" s="27">
        <f t="shared" si="20"/>
        <v>397</v>
      </c>
      <c r="B1048" s="60" t="s">
        <v>3805</v>
      </c>
      <c r="C1048" s="102" t="s">
        <v>3806</v>
      </c>
      <c r="D1048" s="30" t="s">
        <v>3807</v>
      </c>
      <c r="E1048" s="28"/>
      <c r="F1048" s="28" t="s">
        <v>29</v>
      </c>
      <c r="G1048" s="28" t="s">
        <v>37</v>
      </c>
      <c r="H1048" s="28"/>
      <c r="I1048" s="28" t="s">
        <v>38</v>
      </c>
      <c r="J1048" s="28">
        <v>267.0</v>
      </c>
      <c r="K1048" s="28"/>
      <c r="L1048" s="28" t="s">
        <v>3808</v>
      </c>
      <c r="M1048" s="28" t="s">
        <v>352</v>
      </c>
      <c r="N1048" s="28">
        <v>2010.0</v>
      </c>
      <c r="O1048" s="60" t="s">
        <v>2820</v>
      </c>
      <c r="P1048" s="28">
        <v>1.0</v>
      </c>
      <c r="Q1048" s="94">
        <v>1.0</v>
      </c>
      <c r="R1048" s="33"/>
      <c r="S1048" s="40"/>
      <c r="T1048" s="40"/>
      <c r="U1048" s="40"/>
      <c r="V1048" s="40"/>
      <c r="W1048" s="40"/>
      <c r="X1048" s="40"/>
      <c r="Y1048" s="3"/>
      <c r="Z1048" s="3"/>
      <c r="AA1048" s="3"/>
      <c r="AB1048" s="3"/>
      <c r="AC1048" s="3"/>
      <c r="AD1048" s="3"/>
      <c r="AE1048" s="3"/>
      <c r="AF1048" s="3"/>
      <c r="AG1048" s="3"/>
      <c r="AH1048" s="3"/>
      <c r="AI1048" s="3"/>
      <c r="AJ1048" s="3"/>
      <c r="AK1048" s="3"/>
      <c r="AL1048" s="3"/>
    </row>
    <row r="1049" ht="15.75" customHeight="1">
      <c r="A1049" s="27">
        <f t="shared" si="20"/>
        <v>398</v>
      </c>
      <c r="B1049" s="28" t="s">
        <v>3809</v>
      </c>
      <c r="C1049" s="48" t="s">
        <v>3810</v>
      </c>
      <c r="D1049" s="30" t="s">
        <v>3811</v>
      </c>
      <c r="E1049" s="28"/>
      <c r="F1049" s="28" t="s">
        <v>29</v>
      </c>
      <c r="G1049" s="28" t="s">
        <v>37</v>
      </c>
      <c r="H1049" s="28"/>
      <c r="I1049" s="28" t="s">
        <v>38</v>
      </c>
      <c r="J1049" s="28">
        <v>434.0</v>
      </c>
      <c r="K1049" s="28"/>
      <c r="L1049" s="28" t="s">
        <v>1599</v>
      </c>
      <c r="M1049" s="28" t="s">
        <v>3268</v>
      </c>
      <c r="N1049" s="28">
        <v>2002.0</v>
      </c>
      <c r="O1049" s="60" t="s">
        <v>2820</v>
      </c>
      <c r="P1049" s="28">
        <v>1.0</v>
      </c>
      <c r="Q1049" s="94">
        <v>1.0</v>
      </c>
      <c r="R1049" s="33"/>
      <c r="S1049" s="40"/>
      <c r="T1049" s="40"/>
      <c r="U1049" s="40"/>
      <c r="V1049" s="40"/>
      <c r="W1049" s="40"/>
      <c r="X1049" s="40"/>
      <c r="Y1049" s="45"/>
      <c r="Z1049" s="45"/>
      <c r="AA1049" s="45"/>
      <c r="AB1049" s="45"/>
      <c r="AC1049" s="45"/>
      <c r="AD1049" s="45"/>
      <c r="AE1049" s="45"/>
      <c r="AF1049" s="45"/>
      <c r="AG1049" s="45"/>
      <c r="AH1049" s="45"/>
      <c r="AI1049" s="45"/>
      <c r="AJ1049" s="45"/>
      <c r="AK1049" s="45"/>
      <c r="AL1049" s="45"/>
    </row>
    <row r="1050" ht="15.75" customHeight="1">
      <c r="A1050" s="27">
        <f t="shared" si="20"/>
        <v>399</v>
      </c>
      <c r="B1050" s="28" t="s">
        <v>3812</v>
      </c>
      <c r="C1050" s="29" t="s">
        <v>3813</v>
      </c>
      <c r="D1050" s="120" t="s">
        <v>3814</v>
      </c>
      <c r="E1050" s="28"/>
      <c r="F1050" s="28" t="s">
        <v>29</v>
      </c>
      <c r="G1050" s="28" t="s">
        <v>131</v>
      </c>
      <c r="H1050" s="28"/>
      <c r="I1050" s="28" t="s">
        <v>38</v>
      </c>
      <c r="J1050" s="28">
        <v>165.0</v>
      </c>
      <c r="K1050" s="28"/>
      <c r="L1050" s="60" t="s">
        <v>3815</v>
      </c>
      <c r="M1050" s="28" t="s">
        <v>3816</v>
      </c>
      <c r="N1050" s="28">
        <v>1993.0</v>
      </c>
      <c r="O1050" s="60" t="s">
        <v>2820</v>
      </c>
      <c r="P1050" s="28">
        <v>1.0</v>
      </c>
      <c r="Q1050" s="94">
        <v>1.0</v>
      </c>
      <c r="R1050" s="33"/>
      <c r="S1050" s="34"/>
      <c r="T1050" s="34"/>
      <c r="U1050" s="34"/>
      <c r="V1050" s="34"/>
      <c r="W1050" s="34"/>
      <c r="X1050" s="34"/>
      <c r="Y1050" s="45"/>
      <c r="Z1050" s="45"/>
      <c r="AA1050" s="45"/>
      <c r="AB1050" s="45"/>
      <c r="AC1050" s="45"/>
      <c r="AD1050" s="45"/>
      <c r="AE1050" s="45"/>
      <c r="AF1050" s="45"/>
      <c r="AG1050" s="45"/>
      <c r="AH1050" s="45"/>
      <c r="AI1050" s="45"/>
      <c r="AJ1050" s="45"/>
      <c r="AK1050" s="45"/>
      <c r="AL1050" s="45"/>
    </row>
    <row r="1051" ht="15.75" customHeight="1">
      <c r="A1051" s="27">
        <f t="shared" si="20"/>
        <v>400</v>
      </c>
      <c r="B1051" s="28" t="s">
        <v>3817</v>
      </c>
      <c r="C1051" s="43" t="s">
        <v>3818</v>
      </c>
      <c r="D1051" s="30" t="s">
        <v>3819</v>
      </c>
      <c r="E1051" s="28"/>
      <c r="F1051" s="28" t="s">
        <v>29</v>
      </c>
      <c r="G1051" s="28" t="s">
        <v>37</v>
      </c>
      <c r="H1051" s="28"/>
      <c r="I1051" s="28" t="s">
        <v>38</v>
      </c>
      <c r="J1051" s="28">
        <v>233.0</v>
      </c>
      <c r="K1051" s="28"/>
      <c r="L1051" s="28" t="s">
        <v>3820</v>
      </c>
      <c r="M1051" s="28" t="s">
        <v>3821</v>
      </c>
      <c r="N1051" s="28">
        <v>1994.0</v>
      </c>
      <c r="O1051" s="60" t="s">
        <v>2820</v>
      </c>
      <c r="P1051" s="28">
        <v>1.0</v>
      </c>
      <c r="Q1051" s="32"/>
      <c r="R1051" s="33"/>
      <c r="S1051" s="34"/>
      <c r="T1051" s="34"/>
      <c r="U1051" s="34"/>
      <c r="V1051" s="34"/>
      <c r="W1051" s="34"/>
      <c r="X1051" s="34"/>
      <c r="Y1051" s="45"/>
      <c r="Z1051" s="45"/>
      <c r="AA1051" s="45"/>
      <c r="AB1051" s="45"/>
      <c r="AC1051" s="45"/>
      <c r="AD1051" s="45"/>
      <c r="AE1051" s="45"/>
      <c r="AF1051" s="45"/>
      <c r="AG1051" s="45"/>
      <c r="AH1051" s="45"/>
      <c r="AI1051" s="45"/>
      <c r="AJ1051" s="45"/>
      <c r="AK1051" s="45"/>
      <c r="AL1051" s="45"/>
    </row>
    <row r="1052" ht="15.75" customHeight="1">
      <c r="A1052" s="27">
        <f t="shared" si="20"/>
        <v>401</v>
      </c>
      <c r="B1052" s="60" t="s">
        <v>3822</v>
      </c>
      <c r="C1052" s="48" t="s">
        <v>3823</v>
      </c>
      <c r="D1052" s="30" t="s">
        <v>3824</v>
      </c>
      <c r="E1052" s="28"/>
      <c r="F1052" s="28" t="s">
        <v>29</v>
      </c>
      <c r="G1052" s="28" t="s">
        <v>37</v>
      </c>
      <c r="H1052" s="28"/>
      <c r="I1052" s="28" t="s">
        <v>38</v>
      </c>
      <c r="J1052" s="28">
        <v>860.0</v>
      </c>
      <c r="K1052" s="28"/>
      <c r="L1052" s="31" t="s">
        <v>3825</v>
      </c>
      <c r="M1052" s="28" t="s">
        <v>230</v>
      </c>
      <c r="N1052" s="28">
        <v>1996.0</v>
      </c>
      <c r="O1052" s="62" t="s">
        <v>1381</v>
      </c>
      <c r="P1052" s="28">
        <v>1.0</v>
      </c>
      <c r="Q1052" s="94">
        <v>1.0</v>
      </c>
      <c r="R1052" s="33"/>
      <c r="S1052" s="40"/>
      <c r="T1052" s="40"/>
      <c r="U1052" s="40"/>
      <c r="V1052" s="40"/>
      <c r="W1052" s="40"/>
      <c r="X1052" s="40"/>
      <c r="Y1052" s="45"/>
      <c r="Z1052" s="45"/>
      <c r="AA1052" s="45"/>
      <c r="AB1052" s="45"/>
      <c r="AC1052" s="45"/>
      <c r="AD1052" s="45"/>
      <c r="AE1052" s="45"/>
      <c r="AF1052" s="45"/>
      <c r="AG1052" s="45"/>
      <c r="AH1052" s="45"/>
      <c r="AI1052" s="45"/>
      <c r="AJ1052" s="45"/>
      <c r="AK1052" s="45"/>
      <c r="AL1052" s="45"/>
    </row>
    <row r="1053" ht="15.75" customHeight="1">
      <c r="A1053" s="27">
        <f t="shared" si="20"/>
        <v>402</v>
      </c>
      <c r="B1053" s="28" t="s">
        <v>3826</v>
      </c>
      <c r="C1053" s="29" t="s">
        <v>3827</v>
      </c>
      <c r="D1053" s="30" t="s">
        <v>3828</v>
      </c>
      <c r="E1053" s="28" t="s">
        <v>28</v>
      </c>
      <c r="F1053" s="28" t="s">
        <v>29</v>
      </c>
      <c r="G1053" s="28" t="s">
        <v>37</v>
      </c>
      <c r="H1053" s="28" t="s">
        <v>31</v>
      </c>
      <c r="I1053" s="28" t="s">
        <v>38</v>
      </c>
      <c r="J1053" s="31">
        <v>207.0</v>
      </c>
      <c r="K1053" s="28"/>
      <c r="L1053" s="28" t="s">
        <v>3820</v>
      </c>
      <c r="M1053" s="28" t="s">
        <v>3821</v>
      </c>
      <c r="N1053" s="28">
        <v>1996.0</v>
      </c>
      <c r="O1053" s="62" t="s">
        <v>1381</v>
      </c>
      <c r="P1053" s="28">
        <v>1.0</v>
      </c>
      <c r="Q1053" s="32">
        <v>1.0</v>
      </c>
      <c r="R1053" s="33"/>
      <c r="S1053" s="40"/>
      <c r="T1053" s="40"/>
      <c r="U1053" s="40"/>
      <c r="V1053" s="40"/>
      <c r="W1053" s="40"/>
      <c r="X1053" s="40"/>
      <c r="Y1053" s="45"/>
      <c r="Z1053" s="45"/>
      <c r="AA1053" s="45"/>
      <c r="AB1053" s="45"/>
      <c r="AC1053" s="45"/>
      <c r="AD1053" s="45"/>
      <c r="AE1053" s="45"/>
      <c r="AF1053" s="45"/>
      <c r="AG1053" s="45"/>
      <c r="AH1053" s="45"/>
      <c r="AI1053" s="45"/>
      <c r="AJ1053" s="45"/>
      <c r="AK1053" s="45"/>
      <c r="AL1053" s="45"/>
    </row>
    <row r="1054" ht="15.75" customHeight="1">
      <c r="A1054" s="27">
        <f t="shared" si="20"/>
        <v>403</v>
      </c>
      <c r="B1054" s="28" t="s">
        <v>3829</v>
      </c>
      <c r="C1054" s="43" t="s">
        <v>3830</v>
      </c>
      <c r="D1054" s="30" t="s">
        <v>3831</v>
      </c>
      <c r="E1054" s="28" t="s">
        <v>31</v>
      </c>
      <c r="F1054" s="28" t="s">
        <v>29</v>
      </c>
      <c r="G1054" s="28" t="s">
        <v>37</v>
      </c>
      <c r="H1054" s="28"/>
      <c r="I1054" s="28" t="s">
        <v>38</v>
      </c>
      <c r="J1054" s="28">
        <v>143.0</v>
      </c>
      <c r="K1054" s="28"/>
      <c r="L1054" s="28" t="s">
        <v>1385</v>
      </c>
      <c r="M1054" s="28" t="s">
        <v>2893</v>
      </c>
      <c r="N1054" s="28">
        <v>1980.0</v>
      </c>
      <c r="O1054" s="62" t="s">
        <v>1381</v>
      </c>
      <c r="P1054" s="28">
        <v>1.0</v>
      </c>
      <c r="Q1054" s="32">
        <v>1.0</v>
      </c>
      <c r="R1054" s="33"/>
      <c r="S1054" s="34"/>
      <c r="T1054" s="34"/>
      <c r="U1054" s="34"/>
      <c r="V1054" s="34"/>
      <c r="W1054" s="34"/>
      <c r="X1054" s="34"/>
      <c r="Y1054" s="45"/>
      <c r="Z1054" s="45"/>
      <c r="AA1054" s="45"/>
      <c r="AB1054" s="45"/>
      <c r="AC1054" s="45"/>
      <c r="AD1054" s="45"/>
      <c r="AE1054" s="45"/>
      <c r="AF1054" s="45"/>
      <c r="AG1054" s="45"/>
      <c r="AH1054" s="45"/>
      <c r="AI1054" s="45"/>
      <c r="AJ1054" s="45"/>
      <c r="AK1054" s="45"/>
      <c r="AL1054" s="45"/>
    </row>
    <row r="1055" ht="15.75" customHeight="1">
      <c r="A1055" s="27">
        <f t="shared" si="20"/>
        <v>404</v>
      </c>
      <c r="B1055" s="28" t="s">
        <v>3832</v>
      </c>
      <c r="C1055" s="43" t="s">
        <v>3833</v>
      </c>
      <c r="D1055" s="30" t="s">
        <v>3834</v>
      </c>
      <c r="E1055" s="28" t="s">
        <v>2863</v>
      </c>
      <c r="F1055" s="28" t="s">
        <v>29</v>
      </c>
      <c r="G1055" s="28" t="s">
        <v>37</v>
      </c>
      <c r="H1055" s="28"/>
      <c r="I1055" s="28" t="s">
        <v>38</v>
      </c>
      <c r="J1055" s="28">
        <f>202+24</f>
        <v>226</v>
      </c>
      <c r="K1055" s="28"/>
      <c r="L1055" s="28" t="s">
        <v>3835</v>
      </c>
      <c r="M1055" s="28" t="s">
        <v>2886</v>
      </c>
      <c r="N1055" s="28">
        <v>1998.0</v>
      </c>
      <c r="O1055" s="62" t="s">
        <v>1381</v>
      </c>
      <c r="P1055" s="28">
        <v>1.0</v>
      </c>
      <c r="Q1055" s="94">
        <v>1.0</v>
      </c>
      <c r="R1055" s="33"/>
      <c r="S1055" s="40"/>
      <c r="T1055" s="40"/>
      <c r="U1055" s="40"/>
      <c r="V1055" s="40"/>
      <c r="W1055" s="40"/>
      <c r="X1055" s="40"/>
      <c r="Y1055" s="45"/>
      <c r="Z1055" s="45"/>
      <c r="AA1055" s="45"/>
      <c r="AB1055" s="45"/>
      <c r="AC1055" s="45"/>
      <c r="AD1055" s="45"/>
      <c r="AE1055" s="45"/>
      <c r="AF1055" s="45"/>
      <c r="AG1055" s="45"/>
      <c r="AH1055" s="45"/>
      <c r="AI1055" s="45"/>
      <c r="AJ1055" s="45"/>
      <c r="AK1055" s="45"/>
      <c r="AL1055" s="45"/>
    </row>
    <row r="1056" ht="15.75" customHeight="1">
      <c r="A1056" s="27">
        <f t="shared" si="20"/>
        <v>405</v>
      </c>
      <c r="B1056" s="28" t="s">
        <v>3836</v>
      </c>
      <c r="C1056" s="29" t="s">
        <v>3837</v>
      </c>
      <c r="D1056" s="30" t="s">
        <v>3838</v>
      </c>
      <c r="E1056" s="28" t="s">
        <v>3839</v>
      </c>
      <c r="F1056" s="28" t="s">
        <v>29</v>
      </c>
      <c r="G1056" s="28" t="s">
        <v>37</v>
      </c>
      <c r="H1056" s="28"/>
      <c r="I1056" s="28" t="s">
        <v>38</v>
      </c>
      <c r="J1056" s="28">
        <f>301+14</f>
        <v>315</v>
      </c>
      <c r="K1056" s="28"/>
      <c r="L1056" s="28" t="s">
        <v>3840</v>
      </c>
      <c r="M1056" s="28" t="s">
        <v>3841</v>
      </c>
      <c r="N1056" s="28">
        <v>2012.0</v>
      </c>
      <c r="O1056" s="60" t="s">
        <v>2820</v>
      </c>
      <c r="P1056" s="28">
        <v>1.0</v>
      </c>
      <c r="Q1056" s="32">
        <v>1.0</v>
      </c>
      <c r="R1056" s="33"/>
      <c r="S1056" s="34"/>
      <c r="T1056" s="34"/>
      <c r="U1056" s="34"/>
      <c r="V1056" s="34"/>
      <c r="W1056" s="34"/>
      <c r="X1056" s="34"/>
      <c r="Y1056" s="45"/>
      <c r="Z1056" s="45"/>
      <c r="AA1056" s="45"/>
      <c r="AB1056" s="45"/>
      <c r="AC1056" s="45"/>
      <c r="AD1056" s="45"/>
      <c r="AE1056" s="45"/>
      <c r="AF1056" s="45"/>
      <c r="AG1056" s="45"/>
      <c r="AH1056" s="45"/>
      <c r="AI1056" s="45"/>
      <c r="AJ1056" s="45"/>
      <c r="AK1056" s="45"/>
      <c r="AL1056" s="45"/>
    </row>
    <row r="1057" ht="15.75" customHeight="1">
      <c r="A1057" s="27">
        <f t="shared" si="20"/>
        <v>406</v>
      </c>
      <c r="B1057" s="28" t="s">
        <v>3842</v>
      </c>
      <c r="C1057" s="102" t="s">
        <v>3843</v>
      </c>
      <c r="D1057" s="30" t="s">
        <v>3844</v>
      </c>
      <c r="E1057" s="28"/>
      <c r="F1057" s="28" t="s">
        <v>29</v>
      </c>
      <c r="G1057" s="28" t="s">
        <v>37</v>
      </c>
      <c r="H1057" s="28"/>
      <c r="I1057" s="28" t="s">
        <v>38</v>
      </c>
      <c r="J1057" s="28">
        <v>244.0</v>
      </c>
      <c r="K1057" s="28"/>
      <c r="L1057" s="28" t="s">
        <v>3845</v>
      </c>
      <c r="M1057" s="28" t="s">
        <v>3268</v>
      </c>
      <c r="N1057" s="28">
        <v>2002.0</v>
      </c>
      <c r="O1057" s="60" t="s">
        <v>2820</v>
      </c>
      <c r="P1057" s="28">
        <v>1.0</v>
      </c>
      <c r="Q1057" s="94">
        <v>1.0</v>
      </c>
      <c r="R1057" s="33"/>
      <c r="S1057" s="40"/>
      <c r="T1057" s="40"/>
      <c r="U1057" s="40"/>
      <c r="V1057" s="40"/>
      <c r="W1057" s="40"/>
      <c r="X1057" s="40"/>
      <c r="Y1057" s="45"/>
      <c r="Z1057" s="45"/>
      <c r="AA1057" s="45"/>
      <c r="AB1057" s="45"/>
      <c r="AC1057" s="45"/>
      <c r="AD1057" s="45"/>
      <c r="AE1057" s="45"/>
      <c r="AF1057" s="45"/>
      <c r="AG1057" s="45"/>
      <c r="AH1057" s="45"/>
      <c r="AI1057" s="45"/>
      <c r="AJ1057" s="45"/>
      <c r="AK1057" s="45"/>
      <c r="AL1057" s="45"/>
    </row>
    <row r="1058" ht="15.75" customHeight="1">
      <c r="A1058" s="27">
        <f t="shared" si="20"/>
        <v>407</v>
      </c>
      <c r="B1058" s="28" t="s">
        <v>3846</v>
      </c>
      <c r="C1058" s="102" t="s">
        <v>3847</v>
      </c>
      <c r="D1058" s="30" t="s">
        <v>3848</v>
      </c>
      <c r="E1058" s="28"/>
      <c r="F1058" s="28" t="s">
        <v>29</v>
      </c>
      <c r="G1058" s="28" t="s">
        <v>3849</v>
      </c>
      <c r="H1058" s="28"/>
      <c r="I1058" s="28" t="s">
        <v>38</v>
      </c>
      <c r="J1058" s="28">
        <v>270.0</v>
      </c>
      <c r="K1058" s="28"/>
      <c r="L1058" s="28" t="s">
        <v>3850</v>
      </c>
      <c r="M1058" s="28" t="s">
        <v>3851</v>
      </c>
      <c r="N1058" s="28">
        <v>2004.0</v>
      </c>
      <c r="O1058" s="60" t="s">
        <v>2820</v>
      </c>
      <c r="P1058" s="28">
        <v>1.0</v>
      </c>
      <c r="Q1058" s="94">
        <v>1.0</v>
      </c>
      <c r="R1058" s="33"/>
      <c r="S1058" s="40"/>
      <c r="T1058" s="40"/>
      <c r="U1058" s="40"/>
      <c r="V1058" s="40"/>
      <c r="W1058" s="40"/>
      <c r="X1058" s="40"/>
      <c r="Y1058" s="3"/>
      <c r="Z1058" s="3"/>
      <c r="AA1058" s="3"/>
      <c r="AB1058" s="3"/>
      <c r="AC1058" s="3"/>
      <c r="AD1058" s="3"/>
      <c r="AE1058" s="3"/>
      <c r="AF1058" s="3"/>
      <c r="AG1058" s="3"/>
      <c r="AH1058" s="3"/>
      <c r="AI1058" s="3"/>
      <c r="AJ1058" s="3"/>
      <c r="AK1058" s="3"/>
      <c r="AL1058" s="3"/>
    </row>
    <row r="1059" ht="15.75" customHeight="1">
      <c r="A1059" s="27">
        <f t="shared" si="20"/>
        <v>408</v>
      </c>
      <c r="B1059" s="28" t="s">
        <v>3852</v>
      </c>
      <c r="C1059" s="43" t="s">
        <v>3853</v>
      </c>
      <c r="D1059" s="30" t="s">
        <v>3854</v>
      </c>
      <c r="E1059" s="28" t="s">
        <v>144</v>
      </c>
      <c r="F1059" s="28" t="s">
        <v>29</v>
      </c>
      <c r="G1059" s="28" t="s">
        <v>3855</v>
      </c>
      <c r="H1059" s="28" t="s">
        <v>31</v>
      </c>
      <c r="I1059" s="28" t="s">
        <v>38</v>
      </c>
      <c r="J1059" s="28"/>
      <c r="K1059" s="28"/>
      <c r="L1059" s="142" t="s">
        <v>3856</v>
      </c>
      <c r="M1059" s="28" t="s">
        <v>3857</v>
      </c>
      <c r="N1059" s="28">
        <v>2005.0</v>
      </c>
      <c r="O1059" s="60" t="s">
        <v>2820</v>
      </c>
      <c r="P1059" s="28">
        <v>1.0</v>
      </c>
      <c r="Q1059" s="94">
        <v>1.0</v>
      </c>
      <c r="R1059" s="33"/>
      <c r="S1059" s="40"/>
      <c r="T1059" s="40"/>
      <c r="U1059" s="40"/>
      <c r="V1059" s="40"/>
      <c r="W1059" s="40"/>
      <c r="X1059" s="40"/>
      <c r="Y1059" s="45"/>
      <c r="Z1059" s="45"/>
      <c r="AA1059" s="45"/>
      <c r="AB1059" s="45"/>
      <c r="AC1059" s="45"/>
      <c r="AD1059" s="45"/>
      <c r="AE1059" s="45"/>
      <c r="AF1059" s="45"/>
      <c r="AG1059" s="45"/>
      <c r="AH1059" s="45"/>
      <c r="AI1059" s="45"/>
      <c r="AJ1059" s="45"/>
      <c r="AK1059" s="45"/>
      <c r="AL1059" s="45"/>
    </row>
    <row r="1060" ht="15.75" customHeight="1">
      <c r="A1060" s="27">
        <f t="shared" si="20"/>
        <v>409</v>
      </c>
      <c r="B1060" s="28" t="s">
        <v>3858</v>
      </c>
      <c r="C1060" s="43" t="s">
        <v>3859</v>
      </c>
      <c r="D1060" s="30" t="s">
        <v>3860</v>
      </c>
      <c r="E1060" s="28" t="s">
        <v>302</v>
      </c>
      <c r="F1060" s="28" t="s">
        <v>29</v>
      </c>
      <c r="G1060" s="28" t="s">
        <v>131</v>
      </c>
      <c r="H1060" s="28"/>
      <c r="I1060" s="28" t="s">
        <v>38</v>
      </c>
      <c r="J1060" s="28">
        <v>455.0</v>
      </c>
      <c r="K1060" s="28"/>
      <c r="L1060" s="28" t="s">
        <v>3861</v>
      </c>
      <c r="M1060" s="28" t="s">
        <v>3465</v>
      </c>
      <c r="N1060" s="28">
        <v>2012.0</v>
      </c>
      <c r="O1060" s="62" t="s">
        <v>1381</v>
      </c>
      <c r="P1060" s="28">
        <v>1.0</v>
      </c>
      <c r="Q1060" s="94">
        <v>1.0</v>
      </c>
      <c r="R1060" s="33"/>
      <c r="S1060" s="40"/>
      <c r="T1060" s="40"/>
      <c r="U1060" s="40"/>
      <c r="V1060" s="40"/>
      <c r="W1060" s="40"/>
      <c r="X1060" s="40"/>
      <c r="Y1060" s="3"/>
      <c r="Z1060" s="3"/>
      <c r="AA1060" s="3"/>
      <c r="AB1060" s="3"/>
      <c r="AC1060" s="3"/>
      <c r="AD1060" s="3"/>
      <c r="AE1060" s="3"/>
      <c r="AF1060" s="3"/>
      <c r="AG1060" s="3"/>
      <c r="AH1060" s="3"/>
      <c r="AI1060" s="3"/>
      <c r="AJ1060" s="3"/>
      <c r="AK1060" s="3"/>
      <c r="AL1060" s="3"/>
    </row>
    <row r="1061" ht="15.75" hidden="1" customHeight="1">
      <c r="A1061" s="115">
        <f t="shared" si="20"/>
        <v>410</v>
      </c>
      <c r="B1061" s="49" t="s">
        <v>3862</v>
      </c>
      <c r="C1061" s="50" t="s">
        <v>3863</v>
      </c>
      <c r="D1061" s="55" t="s">
        <v>3864</v>
      </c>
      <c r="E1061" s="49" t="s">
        <v>302</v>
      </c>
      <c r="F1061" s="49" t="s">
        <v>29</v>
      </c>
      <c r="G1061" s="49" t="s">
        <v>30</v>
      </c>
      <c r="H1061" s="49"/>
      <c r="I1061" s="49" t="s">
        <v>30</v>
      </c>
      <c r="J1061" s="49">
        <v>188.0</v>
      </c>
      <c r="K1061" s="49"/>
      <c r="L1061" s="49" t="s">
        <v>3865</v>
      </c>
      <c r="M1061" s="49" t="s">
        <v>151</v>
      </c>
      <c r="N1061" s="49">
        <v>2016.0</v>
      </c>
      <c r="O1061" s="49"/>
      <c r="P1061" s="49">
        <v>1.0</v>
      </c>
      <c r="Q1061" s="56"/>
      <c r="R1061" s="54"/>
      <c r="S1061" s="34"/>
      <c r="T1061" s="34"/>
      <c r="U1061" s="34"/>
      <c r="V1061" s="34"/>
      <c r="W1061" s="34"/>
      <c r="X1061" s="34"/>
      <c r="Y1061" s="45"/>
      <c r="Z1061" s="45"/>
      <c r="AA1061" s="45"/>
      <c r="AB1061" s="45"/>
      <c r="AC1061" s="45"/>
      <c r="AD1061" s="45"/>
      <c r="AE1061" s="45"/>
      <c r="AF1061" s="45"/>
      <c r="AG1061" s="45"/>
      <c r="AH1061" s="45"/>
      <c r="AI1061" s="45"/>
      <c r="AJ1061" s="45"/>
      <c r="AK1061" s="45"/>
      <c r="AL1061" s="45"/>
    </row>
    <row r="1062" ht="15.75" customHeight="1">
      <c r="A1062" s="27">
        <f t="shared" si="20"/>
        <v>411</v>
      </c>
      <c r="B1062" s="28" t="s">
        <v>3866</v>
      </c>
      <c r="C1062" s="43" t="s">
        <v>3867</v>
      </c>
      <c r="D1062" s="30" t="s">
        <v>3868</v>
      </c>
      <c r="E1062" s="60" t="s">
        <v>302</v>
      </c>
      <c r="F1062" s="28" t="s">
        <v>29</v>
      </c>
      <c r="G1062" s="28" t="s">
        <v>37</v>
      </c>
      <c r="H1062" s="28"/>
      <c r="I1062" s="28" t="s">
        <v>38</v>
      </c>
      <c r="J1062" s="28">
        <v>272.0</v>
      </c>
      <c r="K1062" s="28"/>
      <c r="L1062" s="28" t="s">
        <v>3869</v>
      </c>
      <c r="M1062" s="28" t="s">
        <v>1176</v>
      </c>
      <c r="N1062" s="28">
        <v>2001.0</v>
      </c>
      <c r="O1062" s="62" t="s">
        <v>1381</v>
      </c>
      <c r="P1062" s="28">
        <v>1.0</v>
      </c>
      <c r="Q1062" s="32">
        <v>1.0</v>
      </c>
      <c r="R1062" s="33"/>
      <c r="S1062" s="40"/>
      <c r="T1062" s="40"/>
      <c r="U1062" s="40"/>
      <c r="V1062" s="40"/>
      <c r="W1062" s="40"/>
      <c r="X1062" s="40"/>
      <c r="Y1062" s="45"/>
      <c r="Z1062" s="45"/>
      <c r="AA1062" s="45"/>
      <c r="AB1062" s="45"/>
      <c r="AC1062" s="45"/>
      <c r="AD1062" s="45"/>
      <c r="AE1062" s="45"/>
      <c r="AF1062" s="45"/>
      <c r="AG1062" s="45"/>
      <c r="AH1062" s="45"/>
      <c r="AI1062" s="45"/>
      <c r="AJ1062" s="45"/>
      <c r="AK1062" s="45"/>
      <c r="AL1062" s="45"/>
    </row>
    <row r="1063" ht="15.75" customHeight="1">
      <c r="A1063" s="27">
        <f t="shared" si="20"/>
        <v>412</v>
      </c>
      <c r="B1063" s="28" t="s">
        <v>3870</v>
      </c>
      <c r="C1063" s="48" t="s">
        <v>3871</v>
      </c>
      <c r="D1063" s="30" t="s">
        <v>3872</v>
      </c>
      <c r="E1063" s="28"/>
      <c r="F1063" s="28" t="s">
        <v>29</v>
      </c>
      <c r="G1063" s="28" t="s">
        <v>37</v>
      </c>
      <c r="H1063" s="28"/>
      <c r="I1063" s="28" t="s">
        <v>38</v>
      </c>
      <c r="J1063" s="28">
        <v>217.0</v>
      </c>
      <c r="K1063" s="28"/>
      <c r="L1063" s="28" t="s">
        <v>3873</v>
      </c>
      <c r="M1063" s="28" t="s">
        <v>83</v>
      </c>
      <c r="N1063" s="28">
        <v>2005.0</v>
      </c>
      <c r="O1063" s="60" t="s">
        <v>2820</v>
      </c>
      <c r="P1063" s="28">
        <v>1.0</v>
      </c>
      <c r="Q1063" s="32">
        <v>1.0</v>
      </c>
      <c r="R1063" s="33"/>
      <c r="S1063" s="34"/>
      <c r="T1063" s="34"/>
      <c r="U1063" s="34"/>
      <c r="V1063" s="34"/>
      <c r="W1063" s="34"/>
      <c r="X1063" s="34"/>
      <c r="Y1063" s="3"/>
      <c r="Z1063" s="3"/>
      <c r="AA1063" s="3"/>
      <c r="AB1063" s="3"/>
      <c r="AC1063" s="3"/>
      <c r="AD1063" s="3"/>
      <c r="AE1063" s="3"/>
      <c r="AF1063" s="3"/>
      <c r="AG1063" s="3"/>
      <c r="AH1063" s="3"/>
      <c r="AI1063" s="3"/>
      <c r="AJ1063" s="3"/>
      <c r="AK1063" s="3"/>
      <c r="AL1063" s="3"/>
    </row>
    <row r="1064" ht="15.75" customHeight="1">
      <c r="A1064" s="27">
        <f t="shared" si="20"/>
        <v>413</v>
      </c>
      <c r="B1064" s="28" t="s">
        <v>3874</v>
      </c>
      <c r="C1064" s="29" t="s">
        <v>3875</v>
      </c>
      <c r="D1064" s="30" t="s">
        <v>3876</v>
      </c>
      <c r="E1064" s="28" t="s">
        <v>144</v>
      </c>
      <c r="F1064" s="28" t="s">
        <v>29</v>
      </c>
      <c r="G1064" s="28" t="s">
        <v>30</v>
      </c>
      <c r="H1064" s="28"/>
      <c r="I1064" s="28" t="s">
        <v>30</v>
      </c>
      <c r="J1064" s="28">
        <f>507+18</f>
        <v>525</v>
      </c>
      <c r="K1064" s="28"/>
      <c r="L1064" s="28" t="s">
        <v>169</v>
      </c>
      <c r="M1064" s="28" t="s">
        <v>3877</v>
      </c>
      <c r="N1064" s="28">
        <v>2005.0</v>
      </c>
      <c r="O1064" s="60" t="s">
        <v>2820</v>
      </c>
      <c r="P1064" s="28">
        <v>1.0</v>
      </c>
      <c r="Q1064" s="32">
        <v>1.0</v>
      </c>
      <c r="R1064" s="33"/>
      <c r="S1064" s="40"/>
      <c r="T1064" s="40"/>
      <c r="U1064" s="40"/>
      <c r="V1064" s="40"/>
      <c r="W1064" s="40"/>
      <c r="X1064" s="40"/>
      <c r="Y1064" s="3"/>
      <c r="Z1064" s="3"/>
      <c r="AA1064" s="3"/>
      <c r="AB1064" s="3"/>
      <c r="AC1064" s="3"/>
      <c r="AD1064" s="3"/>
      <c r="AE1064" s="3"/>
      <c r="AF1064" s="3"/>
      <c r="AG1064" s="3"/>
      <c r="AH1064" s="3"/>
      <c r="AI1064" s="3"/>
      <c r="AJ1064" s="3"/>
      <c r="AK1064" s="3"/>
      <c r="AL1064" s="3"/>
    </row>
    <row r="1065" ht="15.75" customHeight="1">
      <c r="A1065" s="27">
        <f t="shared" si="20"/>
        <v>414</v>
      </c>
      <c r="B1065" s="121" t="s">
        <v>3878</v>
      </c>
      <c r="C1065" s="121" t="s">
        <v>3879</v>
      </c>
      <c r="D1065" s="135" t="s">
        <v>3880</v>
      </c>
      <c r="E1065" s="121" t="s">
        <v>144</v>
      </c>
      <c r="F1065" s="121" t="s">
        <v>29</v>
      </c>
      <c r="G1065" s="121" t="s">
        <v>37</v>
      </c>
      <c r="H1065" s="83"/>
      <c r="I1065" s="121" t="s">
        <v>38</v>
      </c>
      <c r="J1065" s="121">
        <v>186.0</v>
      </c>
      <c r="K1065" s="83"/>
      <c r="L1065" s="121" t="s">
        <v>619</v>
      </c>
      <c r="M1065" s="121" t="s">
        <v>54</v>
      </c>
      <c r="N1065" s="121">
        <v>1980.0</v>
      </c>
      <c r="O1065" s="60" t="s">
        <v>2820</v>
      </c>
      <c r="P1065" s="121">
        <v>1.0</v>
      </c>
      <c r="Q1065" s="121">
        <v>1.0</v>
      </c>
      <c r="R1065" s="84"/>
      <c r="S1065" s="40"/>
      <c r="T1065" s="40"/>
      <c r="U1065" s="40"/>
      <c r="V1065" s="40"/>
      <c r="W1065" s="40"/>
      <c r="X1065" s="40"/>
      <c r="Y1065" s="3"/>
      <c r="Z1065" s="3"/>
      <c r="AA1065" s="3"/>
      <c r="AB1065" s="3"/>
      <c r="AC1065" s="3"/>
      <c r="AD1065" s="3"/>
      <c r="AE1065" s="3"/>
      <c r="AF1065" s="3"/>
      <c r="AG1065" s="3"/>
      <c r="AH1065" s="3"/>
      <c r="AI1065" s="3"/>
      <c r="AJ1065" s="3"/>
      <c r="AK1065" s="3"/>
      <c r="AL1065" s="3"/>
    </row>
    <row r="1066" ht="15.75" customHeight="1">
      <c r="A1066" s="27">
        <f t="shared" si="20"/>
        <v>415</v>
      </c>
      <c r="B1066" s="28" t="s">
        <v>3881</v>
      </c>
      <c r="C1066" s="43" t="s">
        <v>3882</v>
      </c>
      <c r="D1066" s="30" t="s">
        <v>3883</v>
      </c>
      <c r="E1066" s="28" t="s">
        <v>2863</v>
      </c>
      <c r="F1066" s="28" t="s">
        <v>29</v>
      </c>
      <c r="G1066" s="28" t="s">
        <v>30</v>
      </c>
      <c r="H1066" s="28"/>
      <c r="I1066" s="28" t="s">
        <v>30</v>
      </c>
      <c r="J1066" s="28">
        <v>224.0</v>
      </c>
      <c r="K1066" s="28"/>
      <c r="L1066" s="28" t="s">
        <v>2935</v>
      </c>
      <c r="M1066" s="28" t="s">
        <v>2936</v>
      </c>
      <c r="N1066" s="28">
        <v>2009.0</v>
      </c>
      <c r="O1066" s="60" t="s">
        <v>2820</v>
      </c>
      <c r="P1066" s="28">
        <v>1.0</v>
      </c>
      <c r="Q1066" s="94">
        <v>1.0</v>
      </c>
      <c r="R1066" s="33"/>
      <c r="S1066" s="40"/>
      <c r="T1066" s="40"/>
      <c r="U1066" s="40"/>
      <c r="V1066" s="40"/>
      <c r="W1066" s="40"/>
      <c r="X1066" s="40"/>
      <c r="Y1066" s="45"/>
      <c r="Z1066" s="45"/>
      <c r="AA1066" s="45"/>
      <c r="AB1066" s="45"/>
      <c r="AC1066" s="45"/>
      <c r="AD1066" s="45"/>
      <c r="AE1066" s="45"/>
      <c r="AF1066" s="45"/>
      <c r="AG1066" s="45"/>
      <c r="AH1066" s="45"/>
      <c r="AI1066" s="45"/>
      <c r="AJ1066" s="45"/>
      <c r="AK1066" s="45"/>
      <c r="AL1066" s="45"/>
    </row>
    <row r="1067" ht="15.75" customHeight="1">
      <c r="A1067" s="27">
        <f t="shared" si="20"/>
        <v>416</v>
      </c>
      <c r="B1067" s="121" t="s">
        <v>3884</v>
      </c>
      <c r="C1067" s="121" t="s">
        <v>3885</v>
      </c>
      <c r="D1067" s="119" t="s">
        <v>3886</v>
      </c>
      <c r="E1067" s="83"/>
      <c r="F1067" s="83"/>
      <c r="G1067" s="121" t="s">
        <v>3887</v>
      </c>
      <c r="H1067" s="83"/>
      <c r="I1067" s="121" t="s">
        <v>166</v>
      </c>
      <c r="J1067" s="121">
        <v>351.0</v>
      </c>
      <c r="K1067" s="83"/>
      <c r="L1067" s="121" t="s">
        <v>3888</v>
      </c>
      <c r="M1067" s="121" t="s">
        <v>3889</v>
      </c>
      <c r="N1067" s="121">
        <v>2005.0</v>
      </c>
      <c r="O1067" s="60" t="s">
        <v>2820</v>
      </c>
      <c r="P1067" s="121">
        <v>1.0</v>
      </c>
      <c r="Q1067" s="83"/>
      <c r="R1067" s="84"/>
      <c r="S1067" s="40"/>
      <c r="T1067" s="40"/>
      <c r="U1067" s="40"/>
      <c r="V1067" s="40"/>
      <c r="W1067" s="40"/>
      <c r="X1067" s="40"/>
      <c r="Y1067" s="45"/>
      <c r="Z1067" s="45"/>
      <c r="AA1067" s="45"/>
      <c r="AB1067" s="45"/>
      <c r="AC1067" s="45"/>
      <c r="AD1067" s="45"/>
      <c r="AE1067" s="45"/>
      <c r="AF1067" s="45"/>
      <c r="AG1067" s="45"/>
      <c r="AH1067" s="45"/>
      <c r="AI1067" s="45"/>
      <c r="AJ1067" s="45"/>
      <c r="AK1067" s="45"/>
      <c r="AL1067" s="45"/>
    </row>
    <row r="1068" ht="15.75" customHeight="1">
      <c r="A1068" s="27">
        <f t="shared" si="20"/>
        <v>417</v>
      </c>
      <c r="B1068" s="60" t="s">
        <v>3890</v>
      </c>
      <c r="C1068" s="29" t="s">
        <v>3891</v>
      </c>
      <c r="D1068" s="30" t="s">
        <v>3892</v>
      </c>
      <c r="E1068" s="28"/>
      <c r="F1068" s="28" t="s">
        <v>29</v>
      </c>
      <c r="G1068" s="28" t="s">
        <v>37</v>
      </c>
      <c r="H1068" s="28"/>
      <c r="I1068" s="28" t="s">
        <v>38</v>
      </c>
      <c r="J1068" s="28">
        <v>232.0</v>
      </c>
      <c r="K1068" s="28"/>
      <c r="L1068" s="28" t="s">
        <v>3893</v>
      </c>
      <c r="M1068" s="28" t="s">
        <v>352</v>
      </c>
      <c r="N1068" s="28">
        <v>2006.0</v>
      </c>
      <c r="O1068" s="60" t="s">
        <v>2820</v>
      </c>
      <c r="P1068" s="28">
        <v>1.0</v>
      </c>
      <c r="Q1068" s="94">
        <v>1.0</v>
      </c>
      <c r="R1068" s="33"/>
      <c r="S1068" s="34"/>
      <c r="T1068" s="34"/>
      <c r="U1068" s="34"/>
      <c r="V1068" s="34"/>
      <c r="W1068" s="34"/>
      <c r="X1068" s="34"/>
      <c r="Y1068" s="3"/>
      <c r="Z1068" s="3"/>
      <c r="AA1068" s="3"/>
      <c r="AB1068" s="3"/>
      <c r="AC1068" s="3"/>
      <c r="AD1068" s="3"/>
      <c r="AE1068" s="3"/>
      <c r="AF1068" s="3"/>
      <c r="AG1068" s="3"/>
      <c r="AH1068" s="3"/>
      <c r="AI1068" s="3"/>
      <c r="AJ1068" s="3"/>
      <c r="AK1068" s="3"/>
      <c r="AL1068" s="3"/>
    </row>
    <row r="1069" ht="15.75" customHeight="1">
      <c r="A1069" s="27">
        <f t="shared" si="20"/>
        <v>418</v>
      </c>
      <c r="B1069" s="28" t="s">
        <v>3894</v>
      </c>
      <c r="C1069" s="102" t="s">
        <v>3895</v>
      </c>
      <c r="D1069" s="120" t="s">
        <v>3896</v>
      </c>
      <c r="E1069" s="28"/>
      <c r="F1069" s="28" t="s">
        <v>29</v>
      </c>
      <c r="G1069" s="28" t="s">
        <v>38</v>
      </c>
      <c r="H1069" s="28"/>
      <c r="I1069" s="28" t="s">
        <v>38</v>
      </c>
      <c r="J1069" s="28">
        <v>143.0</v>
      </c>
      <c r="K1069" s="28"/>
      <c r="L1069" s="28" t="s">
        <v>3897</v>
      </c>
      <c r="M1069" s="60" t="s">
        <v>2963</v>
      </c>
      <c r="N1069" s="28">
        <v>1985.0</v>
      </c>
      <c r="O1069" s="60" t="s">
        <v>2820</v>
      </c>
      <c r="P1069" s="28">
        <v>1.0</v>
      </c>
      <c r="Q1069" s="94">
        <v>1.0</v>
      </c>
      <c r="R1069" s="33"/>
      <c r="S1069" s="34"/>
      <c r="T1069" s="34"/>
      <c r="U1069" s="34"/>
      <c r="V1069" s="34"/>
      <c r="W1069" s="34"/>
      <c r="X1069" s="34"/>
      <c r="Y1069" s="45"/>
      <c r="Z1069" s="45"/>
      <c r="AA1069" s="45"/>
      <c r="AB1069" s="45"/>
      <c r="AC1069" s="45"/>
      <c r="AD1069" s="45"/>
      <c r="AE1069" s="45"/>
      <c r="AF1069" s="45"/>
      <c r="AG1069" s="45"/>
      <c r="AH1069" s="45"/>
      <c r="AI1069" s="45"/>
      <c r="AJ1069" s="45"/>
      <c r="AK1069" s="45"/>
      <c r="AL1069" s="45"/>
    </row>
    <row r="1070" ht="15.75" customHeight="1">
      <c r="A1070" s="27">
        <f t="shared" si="20"/>
        <v>419</v>
      </c>
      <c r="B1070" s="28" t="s">
        <v>3898</v>
      </c>
      <c r="C1070" s="48" t="s">
        <v>3899</v>
      </c>
      <c r="D1070" s="120" t="s">
        <v>3900</v>
      </c>
      <c r="E1070" s="28"/>
      <c r="F1070" s="28" t="s">
        <v>29</v>
      </c>
      <c r="G1070" s="28" t="s">
        <v>37</v>
      </c>
      <c r="H1070" s="28"/>
      <c r="I1070" s="28" t="s">
        <v>38</v>
      </c>
      <c r="J1070" s="28">
        <v>338.0</v>
      </c>
      <c r="K1070" s="28"/>
      <c r="L1070" s="28" t="s">
        <v>3901</v>
      </c>
      <c r="M1070" s="28" t="s">
        <v>3902</v>
      </c>
      <c r="N1070" s="28">
        <v>1981.0</v>
      </c>
      <c r="O1070" s="60" t="s">
        <v>2820</v>
      </c>
      <c r="P1070" s="28">
        <v>1.0</v>
      </c>
      <c r="Q1070" s="32"/>
      <c r="R1070" s="33"/>
      <c r="S1070" s="34"/>
      <c r="T1070" s="34"/>
      <c r="U1070" s="34"/>
      <c r="V1070" s="34"/>
      <c r="W1070" s="34"/>
      <c r="X1070" s="34"/>
      <c r="Y1070" s="45"/>
      <c r="Z1070" s="45"/>
      <c r="AA1070" s="45"/>
      <c r="AB1070" s="45"/>
      <c r="AC1070" s="45"/>
      <c r="AD1070" s="45"/>
      <c r="AE1070" s="45"/>
      <c r="AF1070" s="45"/>
      <c r="AG1070" s="45"/>
      <c r="AH1070" s="45"/>
      <c r="AI1070" s="45"/>
      <c r="AJ1070" s="45"/>
      <c r="AK1070" s="45"/>
      <c r="AL1070" s="45"/>
    </row>
    <row r="1071" ht="15.75" customHeight="1">
      <c r="A1071" s="27">
        <f t="shared" si="20"/>
        <v>420</v>
      </c>
      <c r="B1071" s="28" t="s">
        <v>3903</v>
      </c>
      <c r="C1071" s="102" t="s">
        <v>3904</v>
      </c>
      <c r="D1071" s="30" t="s">
        <v>3905</v>
      </c>
      <c r="E1071" s="60" t="s">
        <v>302</v>
      </c>
      <c r="F1071" s="28" t="s">
        <v>29</v>
      </c>
      <c r="G1071" s="28" t="s">
        <v>37</v>
      </c>
      <c r="H1071" s="28"/>
      <c r="I1071" s="28" t="s">
        <v>38</v>
      </c>
      <c r="J1071" s="28">
        <v>436.0</v>
      </c>
      <c r="K1071" s="28"/>
      <c r="L1071" s="28" t="s">
        <v>3906</v>
      </c>
      <c r="M1071" s="28" t="s">
        <v>3268</v>
      </c>
      <c r="N1071" s="28">
        <v>1987.0</v>
      </c>
      <c r="O1071" s="62" t="s">
        <v>1381</v>
      </c>
      <c r="P1071" s="28">
        <v>1.0</v>
      </c>
      <c r="Q1071" s="94">
        <v>1.0</v>
      </c>
      <c r="R1071" s="33"/>
      <c r="S1071" s="34"/>
      <c r="T1071" s="34"/>
      <c r="U1071" s="34"/>
      <c r="V1071" s="34"/>
      <c r="W1071" s="34"/>
      <c r="X1071" s="34"/>
      <c r="Y1071" s="45"/>
      <c r="Z1071" s="45"/>
      <c r="AA1071" s="45"/>
      <c r="AB1071" s="45"/>
      <c r="AC1071" s="45"/>
      <c r="AD1071" s="45"/>
      <c r="AE1071" s="45"/>
      <c r="AF1071" s="45"/>
      <c r="AG1071" s="45"/>
      <c r="AH1071" s="45"/>
      <c r="AI1071" s="45"/>
      <c r="AJ1071" s="45"/>
      <c r="AK1071" s="45"/>
      <c r="AL1071" s="45"/>
    </row>
    <row r="1072" ht="15.75" customHeight="1">
      <c r="A1072" s="27">
        <f t="shared" si="20"/>
        <v>421</v>
      </c>
      <c r="B1072" s="28" t="s">
        <v>3907</v>
      </c>
      <c r="C1072" s="43" t="s">
        <v>3908</v>
      </c>
      <c r="D1072" s="30" t="s">
        <v>3909</v>
      </c>
      <c r="E1072" s="28" t="s">
        <v>144</v>
      </c>
      <c r="F1072" s="28" t="s">
        <v>29</v>
      </c>
      <c r="G1072" s="28" t="s">
        <v>30</v>
      </c>
      <c r="H1072" s="28"/>
      <c r="I1072" s="28" t="s">
        <v>30</v>
      </c>
      <c r="J1072" s="28">
        <f>359+8</f>
        <v>367</v>
      </c>
      <c r="K1072" s="28"/>
      <c r="L1072" s="28" t="s">
        <v>3910</v>
      </c>
      <c r="M1072" s="28" t="s">
        <v>49</v>
      </c>
      <c r="N1072" s="28">
        <v>2010.0</v>
      </c>
      <c r="O1072" s="60" t="s">
        <v>2820</v>
      </c>
      <c r="P1072" s="28">
        <v>1.0</v>
      </c>
      <c r="Q1072" s="94">
        <v>1.0</v>
      </c>
      <c r="R1072" s="33"/>
      <c r="S1072" s="40"/>
      <c r="T1072" s="40"/>
      <c r="U1072" s="40"/>
      <c r="V1072" s="40"/>
      <c r="W1072" s="40"/>
      <c r="X1072" s="40"/>
      <c r="Y1072" s="45"/>
      <c r="Z1072" s="45"/>
      <c r="AA1072" s="45"/>
      <c r="AB1072" s="45"/>
      <c r="AC1072" s="45"/>
      <c r="AD1072" s="45"/>
      <c r="AE1072" s="45"/>
      <c r="AF1072" s="45"/>
      <c r="AG1072" s="45"/>
      <c r="AH1072" s="45"/>
      <c r="AI1072" s="45"/>
      <c r="AJ1072" s="45"/>
      <c r="AK1072" s="45"/>
      <c r="AL1072" s="45"/>
    </row>
    <row r="1073" ht="15.75" customHeight="1">
      <c r="A1073" s="27">
        <f t="shared" si="20"/>
        <v>422</v>
      </c>
      <c r="B1073" s="28" t="s">
        <v>3911</v>
      </c>
      <c r="C1073" s="102" t="s">
        <v>3912</v>
      </c>
      <c r="D1073" s="30" t="s">
        <v>3913</v>
      </c>
      <c r="E1073" s="28"/>
      <c r="F1073" s="28" t="s">
        <v>29</v>
      </c>
      <c r="G1073" s="28" t="s">
        <v>37</v>
      </c>
      <c r="H1073" s="28"/>
      <c r="I1073" s="28" t="s">
        <v>38</v>
      </c>
      <c r="J1073" s="28">
        <v>293.0</v>
      </c>
      <c r="K1073" s="28"/>
      <c r="L1073" s="28" t="s">
        <v>3914</v>
      </c>
      <c r="M1073" s="28" t="s">
        <v>230</v>
      </c>
      <c r="N1073" s="28">
        <v>1995.0</v>
      </c>
      <c r="O1073" s="62" t="s">
        <v>1381</v>
      </c>
      <c r="P1073" s="28">
        <v>1.0</v>
      </c>
      <c r="Q1073" s="94">
        <v>1.0</v>
      </c>
      <c r="R1073" s="33"/>
      <c r="S1073" s="34"/>
      <c r="T1073" s="34"/>
      <c r="U1073" s="34"/>
      <c r="V1073" s="34"/>
      <c r="W1073" s="34"/>
      <c r="X1073" s="34"/>
      <c r="Y1073" s="45"/>
      <c r="Z1073" s="45"/>
      <c r="AA1073" s="45"/>
      <c r="AB1073" s="45"/>
      <c r="AC1073" s="45"/>
      <c r="AD1073" s="45"/>
      <c r="AE1073" s="45"/>
      <c r="AF1073" s="45"/>
      <c r="AG1073" s="45"/>
      <c r="AH1073" s="45"/>
      <c r="AI1073" s="45"/>
      <c r="AJ1073" s="45"/>
      <c r="AK1073" s="45"/>
      <c r="AL1073" s="45"/>
    </row>
    <row r="1074" ht="15.75" customHeight="1">
      <c r="A1074" s="27">
        <f t="shared" si="20"/>
        <v>423</v>
      </c>
      <c r="B1074" s="60" t="s">
        <v>3915</v>
      </c>
      <c r="C1074" s="102" t="s">
        <v>3912</v>
      </c>
      <c r="D1074" s="30" t="s">
        <v>3913</v>
      </c>
      <c r="E1074" s="28"/>
      <c r="F1074" s="28" t="s">
        <v>29</v>
      </c>
      <c r="G1074" s="28" t="s">
        <v>37</v>
      </c>
      <c r="H1074" s="28"/>
      <c r="I1074" s="28" t="s">
        <v>38</v>
      </c>
      <c r="J1074" s="60">
        <v>246.0</v>
      </c>
      <c r="K1074" s="28"/>
      <c r="L1074" s="28" t="s">
        <v>3914</v>
      </c>
      <c r="M1074" s="28" t="s">
        <v>230</v>
      </c>
      <c r="N1074" s="60">
        <v>1985.0</v>
      </c>
      <c r="O1074" s="60" t="s">
        <v>2820</v>
      </c>
      <c r="P1074" s="28">
        <v>1.0</v>
      </c>
      <c r="Q1074" s="94">
        <v>1.0</v>
      </c>
      <c r="R1074" s="33"/>
      <c r="S1074" s="34"/>
      <c r="T1074" s="34"/>
      <c r="U1074" s="34"/>
      <c r="V1074" s="34"/>
      <c r="W1074" s="34"/>
      <c r="X1074" s="34"/>
      <c r="Y1074" s="45"/>
      <c r="Z1074" s="45"/>
      <c r="AA1074" s="45"/>
      <c r="AB1074" s="45"/>
      <c r="AC1074" s="45"/>
      <c r="AD1074" s="45"/>
      <c r="AE1074" s="45"/>
      <c r="AF1074" s="45"/>
      <c r="AG1074" s="45"/>
      <c r="AH1074" s="45"/>
      <c r="AI1074" s="45"/>
      <c r="AJ1074" s="45"/>
      <c r="AK1074" s="45"/>
      <c r="AL1074" s="45"/>
    </row>
    <row r="1075" ht="15.75" customHeight="1">
      <c r="A1075" s="27">
        <f t="shared" si="20"/>
        <v>424</v>
      </c>
      <c r="B1075" s="28" t="s">
        <v>3916</v>
      </c>
      <c r="C1075" s="29" t="s">
        <v>3917</v>
      </c>
      <c r="D1075" s="30" t="s">
        <v>3918</v>
      </c>
      <c r="E1075" s="28" t="s">
        <v>31</v>
      </c>
      <c r="F1075" s="28" t="s">
        <v>29</v>
      </c>
      <c r="G1075" s="28" t="s">
        <v>131</v>
      </c>
      <c r="H1075" s="28"/>
      <c r="I1075" s="28" t="s">
        <v>38</v>
      </c>
      <c r="J1075" s="28">
        <v>456.0</v>
      </c>
      <c r="K1075" s="28"/>
      <c r="L1075" s="28" t="s">
        <v>3919</v>
      </c>
      <c r="M1075" s="28" t="s">
        <v>178</v>
      </c>
      <c r="N1075" s="28">
        <v>1992.0</v>
      </c>
      <c r="O1075" s="62" t="s">
        <v>1381</v>
      </c>
      <c r="P1075" s="28">
        <v>1.0</v>
      </c>
      <c r="Q1075" s="94">
        <v>1.0</v>
      </c>
      <c r="R1075" s="33"/>
      <c r="S1075" s="34"/>
      <c r="T1075" s="34"/>
      <c r="U1075" s="34"/>
      <c r="V1075" s="34"/>
      <c r="W1075" s="34"/>
      <c r="X1075" s="34"/>
      <c r="Y1075" s="3"/>
      <c r="Z1075" s="3"/>
      <c r="AA1075" s="3"/>
      <c r="AB1075" s="3"/>
      <c r="AC1075" s="3"/>
      <c r="AD1075" s="3"/>
      <c r="AE1075" s="3"/>
      <c r="AF1075" s="3"/>
      <c r="AG1075" s="3"/>
      <c r="AH1075" s="3"/>
      <c r="AI1075" s="3"/>
      <c r="AJ1075" s="3"/>
      <c r="AK1075" s="3"/>
      <c r="AL1075" s="3"/>
    </row>
    <row r="1076" ht="15.75" customHeight="1">
      <c r="A1076" s="27">
        <f t="shared" si="20"/>
        <v>425</v>
      </c>
      <c r="B1076" s="28" t="s">
        <v>3920</v>
      </c>
      <c r="C1076" s="43" t="s">
        <v>3921</v>
      </c>
      <c r="D1076" s="30" t="s">
        <v>3922</v>
      </c>
      <c r="E1076" s="28" t="s">
        <v>28</v>
      </c>
      <c r="F1076" s="28" t="s">
        <v>29</v>
      </c>
      <c r="G1076" s="28" t="s">
        <v>30</v>
      </c>
      <c r="H1076" s="28" t="s">
        <v>31</v>
      </c>
      <c r="I1076" s="28" t="s">
        <v>30</v>
      </c>
      <c r="J1076" s="28">
        <v>310.0</v>
      </c>
      <c r="K1076" s="28"/>
      <c r="L1076" s="28" t="s">
        <v>3683</v>
      </c>
      <c r="M1076" s="28" t="s">
        <v>151</v>
      </c>
      <c r="N1076" s="28">
        <v>1997.0</v>
      </c>
      <c r="O1076" s="60" t="s">
        <v>2820</v>
      </c>
      <c r="P1076" s="28">
        <v>3.0</v>
      </c>
      <c r="Q1076" s="32">
        <v>3.0</v>
      </c>
      <c r="R1076" s="33"/>
      <c r="S1076" s="34"/>
      <c r="T1076" s="34"/>
      <c r="U1076" s="34"/>
      <c r="V1076" s="34"/>
      <c r="W1076" s="34"/>
      <c r="X1076" s="34"/>
      <c r="Y1076" s="3"/>
      <c r="Z1076" s="3"/>
      <c r="AA1076" s="3"/>
      <c r="AB1076" s="3"/>
      <c r="AC1076" s="3"/>
      <c r="AD1076" s="3"/>
      <c r="AE1076" s="3"/>
      <c r="AF1076" s="3"/>
      <c r="AG1076" s="3"/>
      <c r="AH1076" s="3"/>
      <c r="AI1076" s="3"/>
      <c r="AJ1076" s="3"/>
      <c r="AK1076" s="3"/>
      <c r="AL1076" s="3"/>
    </row>
    <row r="1077" ht="15.75" customHeight="1">
      <c r="A1077" s="27">
        <f t="shared" si="20"/>
        <v>426</v>
      </c>
      <c r="B1077" s="28" t="s">
        <v>3923</v>
      </c>
      <c r="C1077" s="102" t="s">
        <v>3924</v>
      </c>
      <c r="D1077" s="30" t="s">
        <v>3925</v>
      </c>
      <c r="E1077" s="60" t="s">
        <v>302</v>
      </c>
      <c r="F1077" s="28" t="s">
        <v>29</v>
      </c>
      <c r="G1077" s="28" t="s">
        <v>37</v>
      </c>
      <c r="H1077" s="28"/>
      <c r="I1077" s="28" t="s">
        <v>38</v>
      </c>
      <c r="J1077" s="28">
        <v>662.0</v>
      </c>
      <c r="K1077" s="28"/>
      <c r="L1077" s="28" t="s">
        <v>3926</v>
      </c>
      <c r="M1077" s="28" t="s">
        <v>230</v>
      </c>
      <c r="N1077" s="28">
        <v>2003.0</v>
      </c>
      <c r="O1077" s="62" t="s">
        <v>1381</v>
      </c>
      <c r="P1077" s="28">
        <v>1.0</v>
      </c>
      <c r="Q1077" s="94">
        <v>1.0</v>
      </c>
      <c r="R1077" s="33"/>
      <c r="S1077" s="34"/>
      <c r="T1077" s="34"/>
      <c r="U1077" s="34"/>
      <c r="V1077" s="34"/>
      <c r="W1077" s="34"/>
      <c r="X1077" s="34"/>
      <c r="Y1077" s="45"/>
      <c r="Z1077" s="45"/>
      <c r="AA1077" s="45"/>
      <c r="AB1077" s="45"/>
      <c r="AC1077" s="45"/>
      <c r="AD1077" s="45"/>
      <c r="AE1077" s="45"/>
      <c r="AF1077" s="45"/>
      <c r="AG1077" s="45"/>
      <c r="AH1077" s="45"/>
      <c r="AI1077" s="45"/>
      <c r="AJ1077" s="45"/>
      <c r="AK1077" s="45"/>
      <c r="AL1077" s="45"/>
    </row>
    <row r="1078" ht="15.75" customHeight="1">
      <c r="A1078" s="27">
        <f t="shared" si="20"/>
        <v>427</v>
      </c>
      <c r="B1078" s="28" t="s">
        <v>31</v>
      </c>
      <c r="C1078" s="43" t="s">
        <v>3927</v>
      </c>
      <c r="D1078" s="30" t="s">
        <v>3928</v>
      </c>
      <c r="E1078" s="28" t="s">
        <v>31</v>
      </c>
      <c r="F1078" s="28" t="s">
        <v>29</v>
      </c>
      <c r="G1078" s="28" t="s">
        <v>37</v>
      </c>
      <c r="H1078" s="28"/>
      <c r="I1078" s="28" t="s">
        <v>38</v>
      </c>
      <c r="J1078" s="28">
        <v>76.0</v>
      </c>
      <c r="K1078" s="28"/>
      <c r="L1078" s="28" t="s">
        <v>3929</v>
      </c>
      <c r="M1078" s="28" t="s">
        <v>1203</v>
      </c>
      <c r="N1078" s="28">
        <v>1961.0</v>
      </c>
      <c r="O1078" s="60" t="s">
        <v>2820</v>
      </c>
      <c r="P1078" s="28">
        <v>5.0</v>
      </c>
      <c r="Q1078" s="94">
        <v>3.0</v>
      </c>
      <c r="R1078" s="33"/>
      <c r="S1078" s="34"/>
      <c r="T1078" s="34"/>
      <c r="U1078" s="34"/>
      <c r="V1078" s="34"/>
      <c r="W1078" s="34"/>
      <c r="X1078" s="34"/>
      <c r="Y1078" s="3"/>
      <c r="Z1078" s="3"/>
      <c r="AA1078" s="3"/>
      <c r="AB1078" s="3"/>
      <c r="AC1078" s="3"/>
      <c r="AD1078" s="3"/>
      <c r="AE1078" s="3"/>
      <c r="AF1078" s="3"/>
      <c r="AG1078" s="3"/>
      <c r="AH1078" s="3"/>
      <c r="AI1078" s="3"/>
      <c r="AJ1078" s="3"/>
      <c r="AK1078" s="3"/>
      <c r="AL1078" s="3"/>
    </row>
    <row r="1079" ht="15.75" customHeight="1">
      <c r="A1079" s="27">
        <f t="shared" si="20"/>
        <v>428</v>
      </c>
      <c r="B1079" s="28" t="s">
        <v>3930</v>
      </c>
      <c r="C1079" s="29" t="s">
        <v>3931</v>
      </c>
      <c r="D1079" s="30" t="s">
        <v>3932</v>
      </c>
      <c r="E1079" s="28" t="s">
        <v>144</v>
      </c>
      <c r="F1079" s="28" t="s">
        <v>29</v>
      </c>
      <c r="G1079" s="28" t="s">
        <v>30</v>
      </c>
      <c r="H1079" s="28"/>
      <c r="I1079" s="28" t="s">
        <v>30</v>
      </c>
      <c r="J1079" s="28" t="s">
        <v>3933</v>
      </c>
      <c r="K1079" s="28"/>
      <c r="L1079" s="28" t="s">
        <v>2897</v>
      </c>
      <c r="M1079" s="28" t="s">
        <v>2898</v>
      </c>
      <c r="N1079" s="28">
        <v>2006.0</v>
      </c>
      <c r="O1079" s="62" t="s">
        <v>1381</v>
      </c>
      <c r="P1079" s="28">
        <v>1.0</v>
      </c>
      <c r="Q1079" s="94">
        <v>1.0</v>
      </c>
      <c r="R1079" s="33"/>
      <c r="S1079" s="34"/>
      <c r="T1079" s="34"/>
      <c r="U1079" s="34"/>
      <c r="V1079" s="34"/>
      <c r="W1079" s="34"/>
      <c r="X1079" s="34"/>
      <c r="Y1079" s="45"/>
      <c r="Z1079" s="45"/>
      <c r="AA1079" s="45"/>
      <c r="AB1079" s="45"/>
      <c r="AC1079" s="45"/>
      <c r="AD1079" s="45"/>
      <c r="AE1079" s="45"/>
      <c r="AF1079" s="45"/>
      <c r="AG1079" s="45"/>
      <c r="AH1079" s="45"/>
      <c r="AI1079" s="45"/>
      <c r="AJ1079" s="45"/>
      <c r="AK1079" s="45"/>
      <c r="AL1079" s="45"/>
    </row>
    <row r="1080" ht="15.75" customHeight="1">
      <c r="A1080" s="27">
        <f t="shared" si="20"/>
        <v>429</v>
      </c>
      <c r="B1080" s="28" t="s">
        <v>3934</v>
      </c>
      <c r="C1080" s="29" t="s">
        <v>3935</v>
      </c>
      <c r="D1080" s="30" t="s">
        <v>3936</v>
      </c>
      <c r="E1080" s="28"/>
      <c r="F1080" s="28" t="s">
        <v>29</v>
      </c>
      <c r="G1080" s="28" t="s">
        <v>30</v>
      </c>
      <c r="H1080" s="28"/>
      <c r="I1080" s="28" t="s">
        <v>30</v>
      </c>
      <c r="J1080" s="28">
        <v>320.0</v>
      </c>
      <c r="K1080" s="28"/>
      <c r="L1080" s="28" t="s">
        <v>3937</v>
      </c>
      <c r="M1080" s="28" t="s">
        <v>3938</v>
      </c>
      <c r="N1080" s="28">
        <v>1999.0</v>
      </c>
      <c r="O1080" s="60" t="s">
        <v>2820</v>
      </c>
      <c r="P1080" s="28">
        <v>1.0</v>
      </c>
      <c r="Q1080" s="32">
        <v>1.0</v>
      </c>
      <c r="R1080" s="33"/>
      <c r="S1080" s="34"/>
      <c r="T1080" s="34"/>
      <c r="U1080" s="34"/>
      <c r="V1080" s="34"/>
      <c r="W1080" s="34"/>
      <c r="X1080" s="34"/>
      <c r="Y1080" s="45"/>
      <c r="Z1080" s="45"/>
      <c r="AA1080" s="45"/>
      <c r="AB1080" s="45"/>
      <c r="AC1080" s="45"/>
      <c r="AD1080" s="45"/>
      <c r="AE1080" s="45"/>
      <c r="AF1080" s="45"/>
      <c r="AG1080" s="45"/>
      <c r="AH1080" s="45"/>
      <c r="AI1080" s="45"/>
      <c r="AJ1080" s="45"/>
      <c r="AK1080" s="45"/>
      <c r="AL1080" s="45"/>
    </row>
    <row r="1081" ht="15.75" customHeight="1">
      <c r="A1081" s="27">
        <f t="shared" si="20"/>
        <v>430</v>
      </c>
      <c r="B1081" s="28"/>
      <c r="C1081" s="43" t="s">
        <v>3939</v>
      </c>
      <c r="D1081" s="30" t="s">
        <v>3940</v>
      </c>
      <c r="E1081" s="28" t="s">
        <v>144</v>
      </c>
      <c r="F1081" s="28" t="s">
        <v>29</v>
      </c>
      <c r="G1081" s="28" t="s">
        <v>37</v>
      </c>
      <c r="H1081" s="28"/>
      <c r="I1081" s="28" t="s">
        <v>38</v>
      </c>
      <c r="J1081" s="28">
        <f>622+6</f>
        <v>628</v>
      </c>
      <c r="K1081" s="28"/>
      <c r="L1081" s="28" t="s">
        <v>3941</v>
      </c>
      <c r="M1081" s="28" t="s">
        <v>2258</v>
      </c>
      <c r="N1081" s="28">
        <v>2008.0</v>
      </c>
      <c r="O1081" s="62" t="s">
        <v>1381</v>
      </c>
      <c r="P1081" s="28">
        <v>1.0</v>
      </c>
      <c r="Q1081" s="32">
        <v>1.0</v>
      </c>
      <c r="R1081" s="33"/>
      <c r="S1081" s="34"/>
      <c r="T1081" s="34"/>
      <c r="U1081" s="34"/>
      <c r="V1081" s="34"/>
      <c r="W1081" s="34"/>
      <c r="X1081" s="34"/>
      <c r="Y1081" s="3"/>
      <c r="Z1081" s="3"/>
      <c r="AA1081" s="3"/>
      <c r="AB1081" s="3"/>
      <c r="AC1081" s="3"/>
      <c r="AD1081" s="3"/>
      <c r="AE1081" s="3"/>
      <c r="AF1081" s="3"/>
      <c r="AG1081" s="3"/>
      <c r="AH1081" s="3"/>
      <c r="AI1081" s="3"/>
      <c r="AJ1081" s="3"/>
      <c r="AK1081" s="3"/>
      <c r="AL1081" s="3"/>
    </row>
    <row r="1082" ht="15.75" customHeight="1">
      <c r="A1082" s="27">
        <f t="shared" si="20"/>
        <v>431</v>
      </c>
      <c r="B1082" s="28" t="s">
        <v>3942</v>
      </c>
      <c r="C1082" s="43" t="s">
        <v>3943</v>
      </c>
      <c r="D1082" s="30" t="s">
        <v>3944</v>
      </c>
      <c r="E1082" s="28" t="s">
        <v>302</v>
      </c>
      <c r="F1082" s="28" t="s">
        <v>29</v>
      </c>
      <c r="G1082" s="28" t="s">
        <v>30</v>
      </c>
      <c r="H1082" s="28"/>
      <c r="I1082" s="28" t="s">
        <v>30</v>
      </c>
      <c r="J1082" s="28">
        <v>564.0</v>
      </c>
      <c r="K1082" s="28"/>
      <c r="L1082" s="28" t="s">
        <v>3945</v>
      </c>
      <c r="M1082" s="28" t="s">
        <v>3946</v>
      </c>
      <c r="N1082" s="28">
        <v>2008.0</v>
      </c>
      <c r="O1082" s="60" t="s">
        <v>2820</v>
      </c>
      <c r="P1082" s="28">
        <v>2.0</v>
      </c>
      <c r="Q1082" s="94">
        <v>2.0</v>
      </c>
      <c r="R1082" s="33"/>
      <c r="S1082" s="34"/>
      <c r="T1082" s="34"/>
      <c r="U1082" s="34"/>
      <c r="V1082" s="34"/>
      <c r="W1082" s="34"/>
      <c r="X1082" s="34"/>
      <c r="Y1082" s="3"/>
      <c r="Z1082" s="3"/>
      <c r="AA1082" s="3"/>
      <c r="AB1082" s="3"/>
      <c r="AC1082" s="3"/>
      <c r="AD1082" s="3"/>
      <c r="AE1082" s="3"/>
      <c r="AF1082" s="3"/>
      <c r="AG1082" s="3"/>
      <c r="AH1082" s="3"/>
      <c r="AI1082" s="3"/>
      <c r="AJ1082" s="3"/>
      <c r="AK1082" s="3"/>
      <c r="AL1082" s="3"/>
    </row>
    <row r="1083" ht="15.75" customHeight="1">
      <c r="A1083" s="27">
        <f t="shared" si="20"/>
        <v>432</v>
      </c>
      <c r="B1083" s="28" t="s">
        <v>31</v>
      </c>
      <c r="C1083" s="43" t="s">
        <v>3947</v>
      </c>
      <c r="D1083" s="30" t="s">
        <v>3948</v>
      </c>
      <c r="E1083" s="28"/>
      <c r="F1083" s="28" t="s">
        <v>29</v>
      </c>
      <c r="G1083" s="28" t="s">
        <v>30</v>
      </c>
      <c r="H1083" s="28"/>
      <c r="I1083" s="28" t="s">
        <v>30</v>
      </c>
      <c r="J1083" s="28">
        <v>52.0</v>
      </c>
      <c r="K1083" s="28"/>
      <c r="L1083" s="28" t="s">
        <v>3949</v>
      </c>
      <c r="M1083" s="28" t="s">
        <v>151</v>
      </c>
      <c r="N1083" s="28">
        <v>1970.0</v>
      </c>
      <c r="O1083" s="62" t="s">
        <v>1381</v>
      </c>
      <c r="P1083" s="28">
        <v>1.0</v>
      </c>
      <c r="Q1083" s="32">
        <v>1.0</v>
      </c>
      <c r="R1083" s="33"/>
      <c r="S1083" s="34"/>
      <c r="T1083" s="34"/>
      <c r="U1083" s="34"/>
      <c r="V1083" s="34"/>
      <c r="W1083" s="34"/>
      <c r="X1083" s="34"/>
      <c r="Y1083" s="45"/>
      <c r="Z1083" s="45"/>
      <c r="AA1083" s="45"/>
      <c r="AB1083" s="45"/>
      <c r="AC1083" s="45"/>
      <c r="AD1083" s="45"/>
      <c r="AE1083" s="45"/>
      <c r="AF1083" s="45"/>
      <c r="AG1083" s="45"/>
      <c r="AH1083" s="45"/>
      <c r="AI1083" s="45"/>
      <c r="AJ1083" s="45"/>
      <c r="AK1083" s="45"/>
      <c r="AL1083" s="45"/>
    </row>
    <row r="1084" ht="15.75" customHeight="1">
      <c r="A1084" s="27">
        <f t="shared" si="20"/>
        <v>433</v>
      </c>
      <c r="B1084" s="28" t="s">
        <v>3950</v>
      </c>
      <c r="C1084" s="43" t="s">
        <v>3951</v>
      </c>
      <c r="D1084" s="30" t="s">
        <v>3952</v>
      </c>
      <c r="E1084" s="28" t="s">
        <v>31</v>
      </c>
      <c r="F1084" s="28" t="s">
        <v>0</v>
      </c>
      <c r="G1084" s="28" t="s">
        <v>30</v>
      </c>
      <c r="H1084" s="28"/>
      <c r="I1084" s="28" t="s">
        <v>30</v>
      </c>
      <c r="J1084" s="28">
        <v>278.0</v>
      </c>
      <c r="K1084" s="28"/>
      <c r="L1084" s="28" t="s">
        <v>3953</v>
      </c>
      <c r="M1084" s="28" t="s">
        <v>1271</v>
      </c>
      <c r="N1084" s="28">
        <v>2003.0</v>
      </c>
      <c r="O1084" s="62" t="s">
        <v>1381</v>
      </c>
      <c r="P1084" s="28">
        <v>1.0</v>
      </c>
      <c r="Q1084" s="94">
        <v>1.0</v>
      </c>
      <c r="R1084" s="33"/>
      <c r="S1084" s="34"/>
      <c r="T1084" s="34"/>
      <c r="U1084" s="34"/>
      <c r="V1084" s="34"/>
      <c r="W1084" s="34"/>
      <c r="X1084" s="34"/>
      <c r="Y1084" s="45"/>
      <c r="Z1084" s="45"/>
      <c r="AA1084" s="45"/>
      <c r="AB1084" s="45"/>
      <c r="AC1084" s="45"/>
      <c r="AD1084" s="45"/>
      <c r="AE1084" s="45"/>
      <c r="AF1084" s="45"/>
      <c r="AG1084" s="45"/>
      <c r="AH1084" s="45"/>
      <c r="AI1084" s="45"/>
      <c r="AJ1084" s="45"/>
      <c r="AK1084" s="45"/>
      <c r="AL1084" s="45"/>
    </row>
    <row r="1085" ht="15.75" hidden="1" customHeight="1">
      <c r="A1085" s="27">
        <f t="shared" si="20"/>
        <v>434</v>
      </c>
      <c r="B1085" s="49" t="s">
        <v>3954</v>
      </c>
      <c r="C1085" s="50" t="s">
        <v>3955</v>
      </c>
      <c r="D1085" s="55" t="s">
        <v>3956</v>
      </c>
      <c r="E1085" s="49" t="s">
        <v>28</v>
      </c>
      <c r="F1085" s="49" t="s">
        <v>29</v>
      </c>
      <c r="G1085" s="49" t="s">
        <v>31</v>
      </c>
      <c r="H1085" s="49"/>
      <c r="I1085" s="49" t="s">
        <v>38</v>
      </c>
      <c r="J1085" s="49">
        <v>1326.0</v>
      </c>
      <c r="K1085" s="49"/>
      <c r="L1085" s="49" t="s">
        <v>2279</v>
      </c>
      <c r="M1085" s="49" t="s">
        <v>219</v>
      </c>
      <c r="N1085" s="49">
        <v>1988.0</v>
      </c>
      <c r="O1085" s="49"/>
      <c r="P1085" s="49">
        <v>1.0</v>
      </c>
      <c r="Q1085" s="56"/>
      <c r="R1085" s="54"/>
      <c r="S1085" s="34"/>
      <c r="T1085" s="34"/>
      <c r="U1085" s="34"/>
      <c r="V1085" s="34"/>
      <c r="W1085" s="34"/>
      <c r="X1085" s="34"/>
      <c r="Y1085" s="45"/>
      <c r="Z1085" s="45"/>
      <c r="AA1085" s="45"/>
      <c r="AB1085" s="45"/>
      <c r="AC1085" s="45"/>
      <c r="AD1085" s="45"/>
      <c r="AE1085" s="45"/>
      <c r="AF1085" s="45"/>
      <c r="AG1085" s="45"/>
      <c r="AH1085" s="45"/>
      <c r="AI1085" s="45"/>
      <c r="AJ1085" s="45"/>
      <c r="AK1085" s="45"/>
      <c r="AL1085" s="45"/>
    </row>
    <row r="1086" ht="15.75" customHeight="1">
      <c r="A1086" s="27">
        <f t="shared" si="20"/>
        <v>435</v>
      </c>
      <c r="B1086" s="28" t="s">
        <v>3957</v>
      </c>
      <c r="C1086" s="43" t="s">
        <v>3958</v>
      </c>
      <c r="D1086" s="30" t="s">
        <v>3959</v>
      </c>
      <c r="E1086" s="28" t="s">
        <v>144</v>
      </c>
      <c r="F1086" s="28" t="s">
        <v>29</v>
      </c>
      <c r="G1086" s="28" t="s">
        <v>30</v>
      </c>
      <c r="H1086" s="28"/>
      <c r="I1086" s="28" t="s">
        <v>30</v>
      </c>
      <c r="J1086" s="28">
        <v>637.0</v>
      </c>
      <c r="K1086" s="28"/>
      <c r="L1086" s="28" t="s">
        <v>3662</v>
      </c>
      <c r="M1086" s="28" t="s">
        <v>3960</v>
      </c>
      <c r="N1086" s="28">
        <v>2009.0</v>
      </c>
      <c r="O1086" s="62" t="s">
        <v>1381</v>
      </c>
      <c r="P1086" s="28">
        <v>2.0</v>
      </c>
      <c r="Q1086" s="94">
        <v>2.0</v>
      </c>
      <c r="R1086" s="33"/>
      <c r="S1086" s="34"/>
      <c r="T1086" s="34"/>
      <c r="U1086" s="34"/>
      <c r="V1086" s="34"/>
      <c r="W1086" s="34"/>
      <c r="X1086" s="34"/>
      <c r="Y1086" s="45"/>
      <c r="Z1086" s="45"/>
      <c r="AA1086" s="45"/>
      <c r="AB1086" s="45"/>
      <c r="AC1086" s="45"/>
      <c r="AD1086" s="45"/>
      <c r="AE1086" s="45"/>
      <c r="AF1086" s="45"/>
      <c r="AG1086" s="45"/>
      <c r="AH1086" s="45"/>
      <c r="AI1086" s="45"/>
      <c r="AJ1086" s="45"/>
      <c r="AK1086" s="45"/>
      <c r="AL1086" s="45"/>
    </row>
    <row r="1087" ht="15.75" customHeight="1">
      <c r="A1087" s="27">
        <f t="shared" si="20"/>
        <v>436</v>
      </c>
      <c r="B1087" s="28" t="s">
        <v>6</v>
      </c>
      <c r="C1087" s="29" t="s">
        <v>3961</v>
      </c>
      <c r="D1087" s="30" t="s">
        <v>3962</v>
      </c>
      <c r="E1087" s="28"/>
      <c r="F1087" s="28" t="s">
        <v>29</v>
      </c>
      <c r="G1087" s="28" t="s">
        <v>30</v>
      </c>
      <c r="H1087" s="28"/>
      <c r="I1087" s="28" t="s">
        <v>30</v>
      </c>
      <c r="J1087" s="28">
        <v>170.0</v>
      </c>
      <c r="K1087" s="28"/>
      <c r="L1087" s="28" t="s">
        <v>31</v>
      </c>
      <c r="M1087" s="28" t="s">
        <v>31</v>
      </c>
      <c r="N1087" s="28" t="s">
        <v>31</v>
      </c>
      <c r="O1087" s="60" t="s">
        <v>2820</v>
      </c>
      <c r="P1087" s="28">
        <v>2.0</v>
      </c>
      <c r="Q1087" s="32">
        <v>2.0</v>
      </c>
      <c r="R1087" s="33"/>
      <c r="S1087" s="38"/>
      <c r="T1087" s="38"/>
      <c r="U1087" s="38"/>
      <c r="V1087" s="38"/>
      <c r="W1087" s="38"/>
      <c r="X1087" s="38"/>
      <c r="Y1087" s="45"/>
      <c r="Z1087" s="45"/>
      <c r="AA1087" s="45"/>
      <c r="AB1087" s="45"/>
      <c r="AC1087" s="45"/>
      <c r="AD1087" s="45"/>
      <c r="AE1087" s="45"/>
      <c r="AF1087" s="45"/>
      <c r="AG1087" s="45"/>
      <c r="AH1087" s="45"/>
      <c r="AI1087" s="45"/>
      <c r="AJ1087" s="45"/>
      <c r="AK1087" s="45"/>
      <c r="AL1087" s="45"/>
    </row>
    <row r="1088" ht="15.75" customHeight="1">
      <c r="A1088" s="27">
        <f t="shared" si="20"/>
        <v>437</v>
      </c>
      <c r="B1088" s="60" t="s">
        <v>3963</v>
      </c>
      <c r="C1088" s="102" t="s">
        <v>3964</v>
      </c>
      <c r="D1088" s="120" t="s">
        <v>3965</v>
      </c>
      <c r="E1088" s="60" t="s">
        <v>144</v>
      </c>
      <c r="F1088" s="60" t="s">
        <v>29</v>
      </c>
      <c r="G1088" s="60" t="s">
        <v>30</v>
      </c>
      <c r="H1088" s="60"/>
      <c r="I1088" s="60" t="s">
        <v>30</v>
      </c>
      <c r="J1088" s="60">
        <v>415.0</v>
      </c>
      <c r="K1088" s="60"/>
      <c r="L1088" s="60" t="s">
        <v>3966</v>
      </c>
      <c r="M1088" s="60" t="s">
        <v>3967</v>
      </c>
      <c r="N1088" s="60">
        <v>1975.0</v>
      </c>
      <c r="O1088" s="60" t="s">
        <v>2820</v>
      </c>
      <c r="P1088" s="60">
        <v>1.0</v>
      </c>
      <c r="Q1088" s="94">
        <v>1.0</v>
      </c>
      <c r="R1088" s="33"/>
      <c r="S1088" s="34"/>
      <c r="T1088" s="34"/>
      <c r="U1088" s="34"/>
      <c r="V1088" s="34"/>
      <c r="W1088" s="34"/>
      <c r="X1088" s="34"/>
      <c r="Y1088" s="3"/>
      <c r="Z1088" s="3"/>
      <c r="AA1088" s="3"/>
      <c r="AB1088" s="3"/>
      <c r="AC1088" s="3"/>
      <c r="AD1088" s="3"/>
      <c r="AE1088" s="3"/>
      <c r="AF1088" s="3"/>
      <c r="AG1088" s="3"/>
      <c r="AH1088" s="3"/>
      <c r="AI1088" s="3"/>
      <c r="AJ1088" s="3"/>
      <c r="AK1088" s="3"/>
      <c r="AL1088" s="3"/>
    </row>
    <row r="1089" ht="15.75" customHeight="1">
      <c r="A1089" s="27">
        <f t="shared" si="20"/>
        <v>438</v>
      </c>
      <c r="B1089" s="28"/>
      <c r="C1089" s="29" t="s">
        <v>3968</v>
      </c>
      <c r="D1089" s="30" t="s">
        <v>3969</v>
      </c>
      <c r="E1089" s="28" t="s">
        <v>3970</v>
      </c>
      <c r="F1089" s="28" t="s">
        <v>29</v>
      </c>
      <c r="G1089" s="28" t="s">
        <v>37</v>
      </c>
      <c r="H1089" s="28"/>
      <c r="I1089" s="28" t="s">
        <v>38</v>
      </c>
      <c r="J1089" s="28">
        <v>230.0</v>
      </c>
      <c r="K1089" s="28"/>
      <c r="L1089" s="31" t="s">
        <v>3971</v>
      </c>
      <c r="M1089" s="31" t="s">
        <v>3972</v>
      </c>
      <c r="N1089" s="28">
        <v>1990.0</v>
      </c>
      <c r="O1089" s="60" t="s">
        <v>2820</v>
      </c>
      <c r="P1089" s="28">
        <v>1.0</v>
      </c>
      <c r="Q1089" s="94">
        <v>1.0</v>
      </c>
      <c r="R1089" s="33"/>
      <c r="S1089" s="34"/>
      <c r="T1089" s="34"/>
      <c r="U1089" s="34"/>
      <c r="V1089" s="34"/>
      <c r="W1089" s="34"/>
      <c r="X1089" s="34"/>
      <c r="Y1089" s="3"/>
      <c r="Z1089" s="3"/>
      <c r="AA1089" s="3"/>
      <c r="AB1089" s="3"/>
      <c r="AC1089" s="3"/>
      <c r="AD1089" s="3"/>
      <c r="AE1089" s="3"/>
      <c r="AF1089" s="3"/>
      <c r="AG1089" s="3"/>
      <c r="AH1089" s="3"/>
      <c r="AI1089" s="3"/>
      <c r="AJ1089" s="3"/>
      <c r="AK1089" s="3"/>
      <c r="AL1089" s="3"/>
    </row>
    <row r="1090" ht="15.75" customHeight="1">
      <c r="A1090" s="27">
        <f t="shared" si="20"/>
        <v>439</v>
      </c>
      <c r="B1090" s="28" t="s">
        <v>3973</v>
      </c>
      <c r="C1090" s="43" t="s">
        <v>3974</v>
      </c>
      <c r="D1090" s="30" t="s">
        <v>3975</v>
      </c>
      <c r="E1090" s="28" t="s">
        <v>144</v>
      </c>
      <c r="F1090" s="28" t="s">
        <v>29</v>
      </c>
      <c r="G1090" s="28" t="s">
        <v>30</v>
      </c>
      <c r="H1090" s="28"/>
      <c r="I1090" s="28" t="s">
        <v>30</v>
      </c>
      <c r="J1090" s="28">
        <v>228.0</v>
      </c>
      <c r="K1090" s="28"/>
      <c r="L1090" s="28" t="s">
        <v>3976</v>
      </c>
      <c r="M1090" s="28" t="s">
        <v>544</v>
      </c>
      <c r="N1090" s="28">
        <v>2009.0</v>
      </c>
      <c r="O1090" s="60" t="s">
        <v>2820</v>
      </c>
      <c r="P1090" s="28">
        <v>1.0</v>
      </c>
      <c r="Q1090" s="32">
        <v>1.0</v>
      </c>
      <c r="R1090" s="33"/>
      <c r="S1090" s="34"/>
      <c r="T1090" s="34"/>
      <c r="U1090" s="34"/>
      <c r="V1090" s="34"/>
      <c r="W1090" s="34"/>
      <c r="X1090" s="34"/>
      <c r="Y1090" s="3"/>
      <c r="Z1090" s="3"/>
      <c r="AA1090" s="3"/>
      <c r="AB1090" s="3"/>
      <c r="AC1090" s="3"/>
      <c r="AD1090" s="3"/>
      <c r="AE1090" s="3"/>
      <c r="AF1090" s="3"/>
      <c r="AG1090" s="3"/>
      <c r="AH1090" s="3"/>
      <c r="AI1090" s="3"/>
      <c r="AJ1090" s="3"/>
      <c r="AK1090" s="3"/>
      <c r="AL1090" s="3"/>
    </row>
    <row r="1091" ht="15.75" customHeight="1">
      <c r="A1091" s="27">
        <f t="shared" si="20"/>
        <v>440</v>
      </c>
      <c r="B1091" s="90" t="s">
        <v>3977</v>
      </c>
      <c r="C1091" s="143" t="s">
        <v>3978</v>
      </c>
      <c r="D1091" s="144" t="s">
        <v>3979</v>
      </c>
      <c r="E1091" s="90" t="s">
        <v>28</v>
      </c>
      <c r="F1091" s="90" t="s">
        <v>29</v>
      </c>
      <c r="G1091" s="90" t="s">
        <v>30</v>
      </c>
      <c r="H1091" s="90"/>
      <c r="I1091" s="90" t="s">
        <v>30</v>
      </c>
      <c r="J1091" s="90">
        <v>870.0</v>
      </c>
      <c r="K1091" s="90"/>
      <c r="L1091" s="145" t="s">
        <v>3980</v>
      </c>
      <c r="M1091" s="90" t="s">
        <v>161</v>
      </c>
      <c r="N1091" s="90">
        <v>2002.0</v>
      </c>
      <c r="O1091" s="146" t="s">
        <v>1381</v>
      </c>
      <c r="P1091" s="90">
        <v>2.0</v>
      </c>
      <c r="Q1091" s="147">
        <v>2.0</v>
      </c>
      <c r="R1091" s="148"/>
      <c r="S1091" s="149"/>
      <c r="T1091" s="149"/>
      <c r="U1091" s="149"/>
      <c r="V1091" s="149"/>
      <c r="W1091" s="149"/>
      <c r="X1091" s="149"/>
      <c r="Y1091" s="150"/>
      <c r="Z1091" s="150"/>
      <c r="AA1091" s="150"/>
      <c r="AB1091" s="150"/>
      <c r="AC1091" s="150"/>
      <c r="AD1091" s="150"/>
      <c r="AE1091" s="150"/>
      <c r="AF1091" s="150"/>
      <c r="AG1091" s="150"/>
      <c r="AH1091" s="150"/>
      <c r="AI1091" s="150"/>
      <c r="AJ1091" s="150"/>
      <c r="AK1091" s="150"/>
      <c r="AL1091" s="150"/>
    </row>
    <row r="1092" ht="15.75" customHeight="1">
      <c r="A1092" s="27">
        <f t="shared" si="20"/>
        <v>441</v>
      </c>
      <c r="B1092" s="121" t="s">
        <v>3981</v>
      </c>
      <c r="C1092" s="151" t="s">
        <v>2204</v>
      </c>
      <c r="D1092" s="119" t="s">
        <v>3982</v>
      </c>
      <c r="E1092" s="83"/>
      <c r="F1092" s="121" t="s">
        <v>29</v>
      </c>
      <c r="G1092" s="121" t="s">
        <v>30</v>
      </c>
      <c r="H1092" s="83"/>
      <c r="I1092" s="121" t="s">
        <v>30</v>
      </c>
      <c r="J1092" s="121">
        <v>463.0</v>
      </c>
      <c r="K1092" s="83"/>
      <c r="L1092" s="151" t="s">
        <v>3983</v>
      </c>
      <c r="M1092" s="121" t="s">
        <v>151</v>
      </c>
      <c r="N1092" s="121">
        <v>2012.0</v>
      </c>
      <c r="O1092" s="152" t="s">
        <v>2820</v>
      </c>
      <c r="P1092" s="124">
        <v>2.0</v>
      </c>
      <c r="Q1092" s="124">
        <v>2.0</v>
      </c>
      <c r="R1092" s="84"/>
      <c r="S1092" s="34"/>
      <c r="T1092" s="34"/>
      <c r="U1092" s="34"/>
      <c r="V1092" s="34"/>
      <c r="W1092" s="34"/>
      <c r="X1092" s="34"/>
      <c r="Y1092" s="3"/>
      <c r="Z1092" s="3"/>
      <c r="AA1092" s="3"/>
      <c r="AB1092" s="3"/>
      <c r="AC1092" s="3"/>
      <c r="AD1092" s="3"/>
      <c r="AE1092" s="3"/>
      <c r="AF1092" s="3"/>
      <c r="AG1092" s="3"/>
      <c r="AH1092" s="3"/>
      <c r="AI1092" s="3"/>
      <c r="AJ1092" s="3"/>
      <c r="AK1092" s="3"/>
      <c r="AL1092" s="3"/>
    </row>
    <row r="1093" ht="15.75" customHeight="1">
      <c r="A1093" s="27">
        <f t="shared" si="20"/>
        <v>442</v>
      </c>
      <c r="B1093" s="28" t="s">
        <v>3984</v>
      </c>
      <c r="C1093" s="153" t="s">
        <v>3985</v>
      </c>
      <c r="D1093" s="30" t="s">
        <v>3986</v>
      </c>
      <c r="E1093" s="28" t="s">
        <v>144</v>
      </c>
      <c r="F1093" s="28" t="s">
        <v>29</v>
      </c>
      <c r="G1093" s="28" t="s">
        <v>30</v>
      </c>
      <c r="H1093" s="28"/>
      <c r="I1093" s="28" t="s">
        <v>30</v>
      </c>
      <c r="J1093" s="28">
        <v>464.0</v>
      </c>
      <c r="K1093" s="28"/>
      <c r="L1093" s="90" t="s">
        <v>2206</v>
      </c>
      <c r="M1093" s="28" t="s">
        <v>151</v>
      </c>
      <c r="N1093" s="28">
        <v>2016.0</v>
      </c>
      <c r="O1093" s="146" t="s">
        <v>1381</v>
      </c>
      <c r="P1093" s="28">
        <v>1.0</v>
      </c>
      <c r="Q1093" s="94">
        <v>1.0</v>
      </c>
      <c r="R1093" s="33"/>
      <c r="S1093" s="34"/>
      <c r="T1093" s="34"/>
      <c r="U1093" s="34"/>
      <c r="V1093" s="34"/>
      <c r="W1093" s="34"/>
      <c r="X1093" s="34"/>
      <c r="Y1093" s="3"/>
      <c r="Z1093" s="3"/>
      <c r="AA1093" s="3"/>
      <c r="AB1093" s="3"/>
      <c r="AC1093" s="3"/>
      <c r="AD1093" s="3"/>
      <c r="AE1093" s="3"/>
      <c r="AF1093" s="3"/>
      <c r="AG1093" s="3"/>
      <c r="AH1093" s="3"/>
      <c r="AI1093" s="3"/>
      <c r="AJ1093" s="3"/>
      <c r="AK1093" s="3"/>
      <c r="AL1093" s="3"/>
    </row>
    <row r="1094" ht="15.75" customHeight="1">
      <c r="A1094" s="27">
        <f t="shared" si="20"/>
        <v>443</v>
      </c>
      <c r="B1094" s="28" t="s">
        <v>3987</v>
      </c>
      <c r="C1094" s="153" t="s">
        <v>3988</v>
      </c>
      <c r="D1094" s="30" t="s">
        <v>3989</v>
      </c>
      <c r="E1094" s="28" t="s">
        <v>144</v>
      </c>
      <c r="F1094" s="28" t="s">
        <v>29</v>
      </c>
      <c r="G1094" s="28" t="s">
        <v>30</v>
      </c>
      <c r="H1094" s="28"/>
      <c r="I1094" s="28" t="s">
        <v>159</v>
      </c>
      <c r="J1094" s="28">
        <v>147.0</v>
      </c>
      <c r="K1094" s="28"/>
      <c r="L1094" s="90" t="s">
        <v>3990</v>
      </c>
      <c r="M1094" s="28" t="s">
        <v>3991</v>
      </c>
      <c r="N1094" s="28">
        <v>2012.0</v>
      </c>
      <c r="O1094" s="152" t="s">
        <v>2820</v>
      </c>
      <c r="P1094" s="28">
        <v>1.0</v>
      </c>
      <c r="Q1094" s="94">
        <v>1.0</v>
      </c>
      <c r="R1094" s="33"/>
      <c r="S1094" s="34"/>
      <c r="T1094" s="34"/>
      <c r="U1094" s="34"/>
      <c r="V1094" s="34"/>
      <c r="W1094" s="34"/>
      <c r="X1094" s="34"/>
      <c r="Y1094" s="3"/>
      <c r="Z1094" s="3"/>
      <c r="AA1094" s="3"/>
      <c r="AB1094" s="3"/>
      <c r="AC1094" s="3"/>
      <c r="AD1094" s="3"/>
      <c r="AE1094" s="3"/>
      <c r="AF1094" s="3"/>
      <c r="AG1094" s="3"/>
      <c r="AH1094" s="3"/>
      <c r="AI1094" s="3"/>
      <c r="AJ1094" s="3"/>
      <c r="AK1094" s="3"/>
      <c r="AL1094" s="3"/>
    </row>
    <row r="1095" ht="15.75" customHeight="1">
      <c r="A1095" s="27">
        <f t="shared" si="20"/>
        <v>444</v>
      </c>
      <c r="B1095" s="28" t="s">
        <v>3992</v>
      </c>
      <c r="C1095" s="153" t="s">
        <v>3993</v>
      </c>
      <c r="D1095" s="30" t="s">
        <v>3994</v>
      </c>
      <c r="E1095" s="28" t="s">
        <v>28</v>
      </c>
      <c r="F1095" s="28" t="s">
        <v>29</v>
      </c>
      <c r="G1095" s="28" t="s">
        <v>37</v>
      </c>
      <c r="H1095" s="28"/>
      <c r="I1095" s="28" t="s">
        <v>38</v>
      </c>
      <c r="J1095" s="28">
        <v>299.0</v>
      </c>
      <c r="K1095" s="28"/>
      <c r="L1095" s="90" t="s">
        <v>3995</v>
      </c>
      <c r="M1095" s="28" t="s">
        <v>1235</v>
      </c>
      <c r="N1095" s="28">
        <v>1990.0</v>
      </c>
      <c r="O1095" s="146" t="s">
        <v>1381</v>
      </c>
      <c r="P1095" s="28">
        <v>1.0</v>
      </c>
      <c r="Q1095" s="32">
        <v>1.0</v>
      </c>
      <c r="R1095" s="33"/>
      <c r="S1095" s="34"/>
      <c r="T1095" s="34"/>
      <c r="U1095" s="34"/>
      <c r="V1095" s="34"/>
      <c r="W1095" s="34"/>
      <c r="X1095" s="34"/>
      <c r="Y1095" s="45"/>
      <c r="Z1095" s="45"/>
      <c r="AA1095" s="45"/>
      <c r="AB1095" s="45"/>
      <c r="AC1095" s="45"/>
      <c r="AD1095" s="45"/>
      <c r="AE1095" s="45"/>
      <c r="AF1095" s="45"/>
      <c r="AG1095" s="45"/>
      <c r="AH1095" s="45"/>
      <c r="AI1095" s="45"/>
      <c r="AJ1095" s="45"/>
      <c r="AK1095" s="45"/>
      <c r="AL1095" s="45"/>
    </row>
    <row r="1096" ht="15.75" customHeight="1">
      <c r="A1096" s="27">
        <f t="shared" si="20"/>
        <v>445</v>
      </c>
      <c r="B1096" s="28" t="s">
        <v>3996</v>
      </c>
      <c r="C1096" s="102" t="s">
        <v>3997</v>
      </c>
      <c r="D1096" s="30" t="s">
        <v>3998</v>
      </c>
      <c r="E1096" s="28" t="s">
        <v>28</v>
      </c>
      <c r="F1096" s="28" t="s">
        <v>29</v>
      </c>
      <c r="G1096" s="28" t="s">
        <v>30</v>
      </c>
      <c r="H1096" s="28"/>
      <c r="I1096" s="28" t="s">
        <v>30</v>
      </c>
      <c r="J1096" s="28">
        <v>114.0</v>
      </c>
      <c r="K1096" s="28"/>
      <c r="L1096" s="28" t="s">
        <v>3323</v>
      </c>
      <c r="M1096" s="28" t="s">
        <v>151</v>
      </c>
      <c r="N1096" s="28">
        <v>2003.0</v>
      </c>
      <c r="O1096" s="62" t="s">
        <v>1381</v>
      </c>
      <c r="P1096" s="31">
        <v>2.0</v>
      </c>
      <c r="Q1096" s="37">
        <v>2.0</v>
      </c>
      <c r="R1096" s="33"/>
      <c r="S1096" s="34"/>
      <c r="T1096" s="34"/>
      <c r="U1096" s="34"/>
      <c r="V1096" s="34"/>
      <c r="W1096" s="34"/>
      <c r="X1096" s="34"/>
      <c r="Y1096" s="3"/>
      <c r="Z1096" s="3"/>
      <c r="AA1096" s="3"/>
      <c r="AB1096" s="3"/>
      <c r="AC1096" s="3"/>
      <c r="AD1096" s="3"/>
      <c r="AE1096" s="3"/>
      <c r="AF1096" s="3"/>
      <c r="AG1096" s="3"/>
      <c r="AH1096" s="3"/>
      <c r="AI1096" s="3"/>
      <c r="AJ1096" s="3"/>
      <c r="AK1096" s="3"/>
      <c r="AL1096" s="3"/>
    </row>
    <row r="1097" ht="15.75" customHeight="1">
      <c r="A1097" s="27">
        <f t="shared" si="20"/>
        <v>446</v>
      </c>
      <c r="B1097" s="28" t="s">
        <v>3999</v>
      </c>
      <c r="C1097" s="43" t="s">
        <v>4000</v>
      </c>
      <c r="D1097" s="30" t="s">
        <v>4001</v>
      </c>
      <c r="E1097" s="28" t="s">
        <v>31</v>
      </c>
      <c r="F1097" s="28" t="s">
        <v>29</v>
      </c>
      <c r="G1097" s="28" t="s">
        <v>30</v>
      </c>
      <c r="H1097" s="28"/>
      <c r="I1097" s="28" t="s">
        <v>30</v>
      </c>
      <c r="J1097" s="28">
        <v>144.0</v>
      </c>
      <c r="K1097" s="28"/>
      <c r="L1097" s="28" t="s">
        <v>4002</v>
      </c>
      <c r="M1097" s="28" t="s">
        <v>151</v>
      </c>
      <c r="N1097" s="28">
        <v>2005.0</v>
      </c>
      <c r="O1097" s="62" t="s">
        <v>1381</v>
      </c>
      <c r="P1097" s="28">
        <v>1.0</v>
      </c>
      <c r="Q1097" s="32">
        <v>1.0</v>
      </c>
      <c r="R1097" s="33"/>
      <c r="S1097" s="34"/>
      <c r="T1097" s="34"/>
      <c r="U1097" s="34"/>
      <c r="V1097" s="34"/>
      <c r="W1097" s="34"/>
      <c r="X1097" s="34"/>
      <c r="Y1097" s="3"/>
      <c r="Z1097" s="3"/>
      <c r="AA1097" s="3"/>
      <c r="AB1097" s="3"/>
      <c r="AC1097" s="3"/>
      <c r="AD1097" s="3"/>
      <c r="AE1097" s="3"/>
      <c r="AF1097" s="3"/>
      <c r="AG1097" s="3"/>
      <c r="AH1097" s="3"/>
      <c r="AI1097" s="3"/>
      <c r="AJ1097" s="3"/>
      <c r="AK1097" s="3"/>
      <c r="AL1097" s="3"/>
    </row>
    <row r="1098" ht="15.75" customHeight="1">
      <c r="A1098" s="27">
        <f t="shared" si="20"/>
        <v>447</v>
      </c>
      <c r="B1098" s="28" t="s">
        <v>4003</v>
      </c>
      <c r="C1098" s="43" t="s">
        <v>4004</v>
      </c>
      <c r="D1098" s="30" t="s">
        <v>4001</v>
      </c>
      <c r="E1098" s="28" t="s">
        <v>31</v>
      </c>
      <c r="F1098" s="28" t="s">
        <v>29</v>
      </c>
      <c r="G1098" s="28" t="s">
        <v>30</v>
      </c>
      <c r="H1098" s="28"/>
      <c r="I1098" s="28" t="s">
        <v>30</v>
      </c>
      <c r="J1098" s="28">
        <f>123</f>
        <v>123</v>
      </c>
      <c r="K1098" s="28"/>
      <c r="L1098" s="28" t="s">
        <v>4002</v>
      </c>
      <c r="M1098" s="28" t="s">
        <v>151</v>
      </c>
      <c r="N1098" s="28">
        <v>1986.0</v>
      </c>
      <c r="O1098" s="60" t="s">
        <v>2820</v>
      </c>
      <c r="P1098" s="28">
        <v>1.0</v>
      </c>
      <c r="Q1098" s="32">
        <v>1.0</v>
      </c>
      <c r="R1098" s="33"/>
      <c r="S1098" s="34"/>
      <c r="T1098" s="34"/>
      <c r="U1098" s="34"/>
      <c r="V1098" s="34"/>
      <c r="W1098" s="34"/>
      <c r="X1098" s="34"/>
      <c r="Y1098" s="45"/>
      <c r="Z1098" s="45"/>
      <c r="AA1098" s="45"/>
      <c r="AB1098" s="45"/>
      <c r="AC1098" s="45"/>
      <c r="AD1098" s="45"/>
      <c r="AE1098" s="45"/>
      <c r="AF1098" s="45"/>
      <c r="AG1098" s="45"/>
      <c r="AH1098" s="45"/>
      <c r="AI1098" s="45"/>
      <c r="AJ1098" s="45"/>
      <c r="AK1098" s="45"/>
      <c r="AL1098" s="45"/>
    </row>
    <row r="1099" ht="15.75" customHeight="1">
      <c r="A1099" s="27">
        <f t="shared" si="20"/>
        <v>448</v>
      </c>
      <c r="B1099" s="28" t="s">
        <v>4005</v>
      </c>
      <c r="C1099" s="29" t="s">
        <v>4006</v>
      </c>
      <c r="D1099" s="30" t="s">
        <v>4007</v>
      </c>
      <c r="E1099" s="28" t="s">
        <v>144</v>
      </c>
      <c r="F1099" s="28" t="s">
        <v>29</v>
      </c>
      <c r="G1099" s="28" t="s">
        <v>30</v>
      </c>
      <c r="H1099" s="28"/>
      <c r="I1099" s="28" t="s">
        <v>30</v>
      </c>
      <c r="J1099" s="28">
        <v>117.0</v>
      </c>
      <c r="K1099" s="28"/>
      <c r="L1099" s="28" t="s">
        <v>4008</v>
      </c>
      <c r="M1099" s="28" t="s">
        <v>4009</v>
      </c>
      <c r="N1099" s="28">
        <v>2010.0</v>
      </c>
      <c r="O1099" s="60" t="s">
        <v>4010</v>
      </c>
      <c r="P1099" s="28">
        <v>1.0</v>
      </c>
      <c r="Q1099" s="32">
        <v>1.0</v>
      </c>
      <c r="R1099" s="33"/>
      <c r="S1099" s="34"/>
      <c r="T1099" s="34"/>
      <c r="U1099" s="34"/>
      <c r="V1099" s="34"/>
      <c r="W1099" s="34"/>
      <c r="X1099" s="34"/>
      <c r="Y1099" s="45"/>
      <c r="Z1099" s="45"/>
      <c r="AA1099" s="45"/>
      <c r="AB1099" s="45"/>
      <c r="AC1099" s="45"/>
      <c r="AD1099" s="45"/>
      <c r="AE1099" s="45"/>
      <c r="AF1099" s="45"/>
      <c r="AG1099" s="45"/>
      <c r="AH1099" s="45"/>
      <c r="AI1099" s="45"/>
      <c r="AJ1099" s="45"/>
      <c r="AK1099" s="45"/>
      <c r="AL1099" s="45"/>
    </row>
    <row r="1100" ht="15.75" customHeight="1">
      <c r="A1100" s="27">
        <f t="shared" si="20"/>
        <v>449</v>
      </c>
      <c r="B1100" s="28" t="s">
        <v>4011</v>
      </c>
      <c r="C1100" s="29" t="s">
        <v>4012</v>
      </c>
      <c r="D1100" s="30" t="s">
        <v>4013</v>
      </c>
      <c r="E1100" s="28" t="s">
        <v>144</v>
      </c>
      <c r="F1100" s="28" t="s">
        <v>29</v>
      </c>
      <c r="G1100" s="28" t="s">
        <v>30</v>
      </c>
      <c r="H1100" s="28"/>
      <c r="I1100" s="28" t="s">
        <v>30</v>
      </c>
      <c r="J1100" s="28">
        <v>91.0</v>
      </c>
      <c r="K1100" s="28"/>
      <c r="L1100" s="28" t="s">
        <v>4008</v>
      </c>
      <c r="M1100" s="28" t="s">
        <v>4009</v>
      </c>
      <c r="N1100" s="28">
        <v>2014.0</v>
      </c>
      <c r="O1100" s="60" t="s">
        <v>4010</v>
      </c>
      <c r="P1100" s="28">
        <v>1.0</v>
      </c>
      <c r="Q1100" s="32">
        <v>1.0</v>
      </c>
      <c r="R1100" s="33"/>
      <c r="S1100" s="40"/>
      <c r="T1100" s="40"/>
      <c r="U1100" s="40"/>
      <c r="V1100" s="40"/>
      <c r="W1100" s="40"/>
      <c r="X1100" s="40"/>
      <c r="Y1100" s="3"/>
      <c r="Z1100" s="3"/>
      <c r="AA1100" s="3"/>
      <c r="AB1100" s="3"/>
      <c r="AC1100" s="3"/>
      <c r="AD1100" s="3"/>
      <c r="AE1100" s="3"/>
      <c r="AF1100" s="3"/>
      <c r="AG1100" s="3"/>
      <c r="AH1100" s="3"/>
      <c r="AI1100" s="3"/>
      <c r="AJ1100" s="3"/>
      <c r="AK1100" s="3"/>
      <c r="AL1100" s="3"/>
    </row>
    <row r="1101" ht="15.75" customHeight="1">
      <c r="A1101" s="27">
        <f t="shared" si="20"/>
        <v>450</v>
      </c>
      <c r="B1101" s="28" t="s">
        <v>4014</v>
      </c>
      <c r="C1101" s="29" t="s">
        <v>4015</v>
      </c>
      <c r="D1101" s="30" t="s">
        <v>4016</v>
      </c>
      <c r="E1101" s="28" t="s">
        <v>144</v>
      </c>
      <c r="F1101" s="28" t="s">
        <v>29</v>
      </c>
      <c r="G1101" s="28" t="s">
        <v>30</v>
      </c>
      <c r="H1101" s="28" t="s">
        <v>31</v>
      </c>
      <c r="I1101" s="28" t="s">
        <v>30</v>
      </c>
      <c r="J1101" s="28">
        <f>141+8</f>
        <v>149</v>
      </c>
      <c r="K1101" s="28"/>
      <c r="L1101" s="28" t="s">
        <v>4017</v>
      </c>
      <c r="M1101" s="28" t="s">
        <v>151</v>
      </c>
      <c r="N1101" s="28">
        <v>2014.0</v>
      </c>
      <c r="O1101" s="60" t="s">
        <v>4010</v>
      </c>
      <c r="P1101" s="28">
        <v>1.0</v>
      </c>
      <c r="Q1101" s="32">
        <v>1.0</v>
      </c>
      <c r="R1101" s="33"/>
      <c r="S1101" s="34"/>
      <c r="T1101" s="34"/>
      <c r="U1101" s="34"/>
      <c r="V1101" s="34"/>
      <c r="W1101" s="34"/>
      <c r="X1101" s="34"/>
      <c r="Y1101" s="3"/>
      <c r="Z1101" s="3"/>
      <c r="AA1101" s="3"/>
      <c r="AB1101" s="3"/>
      <c r="AC1101" s="3"/>
      <c r="AD1101" s="3"/>
      <c r="AE1101" s="3"/>
      <c r="AF1101" s="3"/>
      <c r="AG1101" s="3"/>
      <c r="AH1101" s="3"/>
      <c r="AI1101" s="3"/>
      <c r="AJ1101" s="3"/>
      <c r="AK1101" s="3"/>
      <c r="AL1101" s="3"/>
    </row>
    <row r="1102" ht="15.75" customHeight="1">
      <c r="A1102" s="27">
        <f t="shared" si="20"/>
        <v>451</v>
      </c>
      <c r="B1102" s="28" t="s">
        <v>4018</v>
      </c>
      <c r="C1102" s="29" t="s">
        <v>4019</v>
      </c>
      <c r="D1102" s="30" t="s">
        <v>4020</v>
      </c>
      <c r="E1102" s="28" t="s">
        <v>144</v>
      </c>
      <c r="F1102" s="28" t="s">
        <v>29</v>
      </c>
      <c r="G1102" s="28" t="s">
        <v>30</v>
      </c>
      <c r="H1102" s="28"/>
      <c r="I1102" s="28" t="s">
        <v>30</v>
      </c>
      <c r="J1102" s="28">
        <f>123+8</f>
        <v>131</v>
      </c>
      <c r="K1102" s="28"/>
      <c r="L1102" s="28" t="s">
        <v>4021</v>
      </c>
      <c r="M1102" s="28" t="s">
        <v>3109</v>
      </c>
      <c r="N1102" s="28">
        <v>2015.0</v>
      </c>
      <c r="O1102" s="28" t="s">
        <v>4010</v>
      </c>
      <c r="P1102" s="28">
        <v>1.0</v>
      </c>
      <c r="Q1102" s="32">
        <v>1.0</v>
      </c>
      <c r="R1102" s="33"/>
      <c r="S1102" s="34"/>
      <c r="T1102" s="34"/>
      <c r="U1102" s="34"/>
      <c r="V1102" s="34"/>
      <c r="W1102" s="34"/>
      <c r="X1102" s="34"/>
      <c r="Y1102" s="45"/>
      <c r="Z1102" s="45"/>
      <c r="AA1102" s="45"/>
      <c r="AB1102" s="45"/>
      <c r="AC1102" s="45"/>
      <c r="AD1102" s="45"/>
      <c r="AE1102" s="45"/>
      <c r="AF1102" s="45"/>
      <c r="AG1102" s="45"/>
      <c r="AH1102" s="45"/>
      <c r="AI1102" s="45"/>
      <c r="AJ1102" s="45"/>
      <c r="AK1102" s="45"/>
      <c r="AL1102" s="45"/>
    </row>
    <row r="1103" ht="15.75" customHeight="1">
      <c r="A1103" s="27">
        <f t="shared" si="20"/>
        <v>452</v>
      </c>
      <c r="B1103" s="28" t="s">
        <v>4022</v>
      </c>
      <c r="C1103" s="29" t="s">
        <v>4023</v>
      </c>
      <c r="D1103" s="30" t="s">
        <v>4024</v>
      </c>
      <c r="E1103" s="28" t="s">
        <v>144</v>
      </c>
      <c r="F1103" s="28" t="s">
        <v>29</v>
      </c>
      <c r="G1103" s="28" t="s">
        <v>30</v>
      </c>
      <c r="H1103" s="28" t="s">
        <v>31</v>
      </c>
      <c r="I1103" s="28" t="s">
        <v>30</v>
      </c>
      <c r="J1103" s="28">
        <f>144+8</f>
        <v>152</v>
      </c>
      <c r="K1103" s="28"/>
      <c r="L1103" s="28" t="s">
        <v>4025</v>
      </c>
      <c r="M1103" s="28" t="s">
        <v>151</v>
      </c>
      <c r="N1103" s="28">
        <v>2014.0</v>
      </c>
      <c r="O1103" s="60" t="s">
        <v>4010</v>
      </c>
      <c r="P1103" s="28">
        <v>2.0</v>
      </c>
      <c r="Q1103" s="94">
        <v>2.0</v>
      </c>
      <c r="R1103" s="33"/>
      <c r="S1103" s="34"/>
      <c r="T1103" s="34"/>
      <c r="U1103" s="34"/>
      <c r="V1103" s="34"/>
      <c r="W1103" s="34"/>
      <c r="X1103" s="34"/>
      <c r="Y1103" s="3"/>
      <c r="Z1103" s="3"/>
      <c r="AA1103" s="3"/>
      <c r="AB1103" s="3"/>
      <c r="AC1103" s="3"/>
      <c r="AD1103" s="3"/>
      <c r="AE1103" s="3"/>
      <c r="AF1103" s="3"/>
      <c r="AG1103" s="3"/>
      <c r="AH1103" s="3"/>
      <c r="AI1103" s="3"/>
      <c r="AJ1103" s="3"/>
      <c r="AK1103" s="3"/>
      <c r="AL1103" s="3"/>
    </row>
    <row r="1104" ht="15.75" customHeight="1">
      <c r="A1104" s="27">
        <f t="shared" si="20"/>
        <v>453</v>
      </c>
      <c r="B1104" s="28" t="s">
        <v>4026</v>
      </c>
      <c r="C1104" s="29" t="s">
        <v>4027</v>
      </c>
      <c r="D1104" s="30" t="s">
        <v>4028</v>
      </c>
      <c r="E1104" s="28" t="s">
        <v>144</v>
      </c>
      <c r="F1104" s="28" t="s">
        <v>29</v>
      </c>
      <c r="G1104" s="28" t="s">
        <v>30</v>
      </c>
      <c r="H1104" s="28" t="s">
        <v>31</v>
      </c>
      <c r="I1104" s="28" t="s">
        <v>30</v>
      </c>
      <c r="J1104" s="28"/>
      <c r="K1104" s="28"/>
      <c r="L1104" s="28" t="s">
        <v>4025</v>
      </c>
      <c r="M1104" s="28" t="s">
        <v>151</v>
      </c>
      <c r="N1104" s="28">
        <v>2012.0</v>
      </c>
      <c r="O1104" s="60" t="s">
        <v>4010</v>
      </c>
      <c r="P1104" s="28">
        <v>1.0</v>
      </c>
      <c r="Q1104" s="32">
        <v>1.0</v>
      </c>
      <c r="R1104" s="33"/>
      <c r="S1104" s="34"/>
      <c r="T1104" s="34"/>
      <c r="U1104" s="34"/>
      <c r="V1104" s="34"/>
      <c r="W1104" s="34"/>
      <c r="X1104" s="34"/>
      <c r="Y1104" s="45"/>
      <c r="Z1104" s="45"/>
      <c r="AA1104" s="45"/>
      <c r="AB1104" s="45"/>
      <c r="AC1104" s="45"/>
      <c r="AD1104" s="45"/>
      <c r="AE1104" s="45"/>
      <c r="AF1104" s="45"/>
      <c r="AG1104" s="45"/>
      <c r="AH1104" s="45"/>
      <c r="AI1104" s="45"/>
      <c r="AJ1104" s="45"/>
      <c r="AK1104" s="45"/>
      <c r="AL1104" s="45"/>
    </row>
    <row r="1105" ht="15.75" customHeight="1">
      <c r="A1105" s="27">
        <f t="shared" si="20"/>
        <v>454</v>
      </c>
      <c r="B1105" s="121" t="s">
        <v>4029</v>
      </c>
      <c r="C1105" s="121" t="s">
        <v>4030</v>
      </c>
      <c r="D1105" s="119" t="s">
        <v>4031</v>
      </c>
      <c r="E1105" s="83"/>
      <c r="F1105" s="121" t="s">
        <v>29</v>
      </c>
      <c r="G1105" s="121" t="s">
        <v>37</v>
      </c>
      <c r="H1105" s="83"/>
      <c r="I1105" s="121" t="s">
        <v>38</v>
      </c>
      <c r="J1105" s="121">
        <v>215.0</v>
      </c>
      <c r="K1105" s="83"/>
      <c r="L1105" s="121" t="s">
        <v>4032</v>
      </c>
      <c r="M1105" s="121" t="s">
        <v>4033</v>
      </c>
      <c r="N1105" s="121">
        <v>1982.0</v>
      </c>
      <c r="O1105" s="60" t="s">
        <v>4010</v>
      </c>
      <c r="P1105" s="121">
        <v>1.0</v>
      </c>
      <c r="Q1105" s="121">
        <v>1.0</v>
      </c>
      <c r="R1105" s="84"/>
      <c r="S1105" s="34"/>
      <c r="T1105" s="34"/>
      <c r="U1105" s="34"/>
      <c r="V1105" s="34"/>
      <c r="W1105" s="34"/>
      <c r="X1105" s="34"/>
      <c r="Y1105" s="45"/>
      <c r="Z1105" s="45"/>
      <c r="AA1105" s="45"/>
      <c r="AB1105" s="45"/>
      <c r="AC1105" s="45"/>
      <c r="AD1105" s="45"/>
      <c r="AE1105" s="45"/>
      <c r="AF1105" s="45"/>
      <c r="AG1105" s="45"/>
      <c r="AH1105" s="45"/>
      <c r="AI1105" s="45"/>
      <c r="AJ1105" s="45"/>
      <c r="AK1105" s="45"/>
      <c r="AL1105" s="45"/>
    </row>
    <row r="1106" ht="15.75" customHeight="1">
      <c r="A1106" s="27">
        <f t="shared" si="20"/>
        <v>455</v>
      </c>
      <c r="B1106" s="28" t="s">
        <v>4034</v>
      </c>
      <c r="C1106" s="29" t="s">
        <v>4035</v>
      </c>
      <c r="D1106" s="30" t="s">
        <v>4036</v>
      </c>
      <c r="E1106" s="28" t="s">
        <v>144</v>
      </c>
      <c r="F1106" s="28" t="s">
        <v>29</v>
      </c>
      <c r="G1106" s="28" t="s">
        <v>30</v>
      </c>
      <c r="H1106" s="28" t="s">
        <v>31</v>
      </c>
      <c r="I1106" s="28" t="s">
        <v>30</v>
      </c>
      <c r="J1106" s="28">
        <v>130.0</v>
      </c>
      <c r="K1106" s="28"/>
      <c r="L1106" s="28" t="s">
        <v>4037</v>
      </c>
      <c r="M1106" s="28" t="s">
        <v>544</v>
      </c>
      <c r="N1106" s="28">
        <v>1997.0</v>
      </c>
      <c r="O1106" s="60" t="s">
        <v>4010</v>
      </c>
      <c r="P1106" s="28">
        <v>1.0</v>
      </c>
      <c r="Q1106" s="32">
        <v>1.0</v>
      </c>
      <c r="R1106" s="33"/>
      <c r="S1106" s="40"/>
      <c r="T1106" s="40"/>
      <c r="U1106" s="40"/>
      <c r="V1106" s="40"/>
      <c r="W1106" s="40"/>
      <c r="X1106" s="40"/>
      <c r="Y1106" s="3"/>
      <c r="Z1106" s="3"/>
      <c r="AA1106" s="3"/>
      <c r="AB1106" s="3"/>
      <c r="AC1106" s="3"/>
      <c r="AD1106" s="3"/>
      <c r="AE1106" s="3"/>
      <c r="AF1106" s="3"/>
      <c r="AG1106" s="3"/>
      <c r="AH1106" s="3"/>
      <c r="AI1106" s="3"/>
      <c r="AJ1106" s="3"/>
      <c r="AK1106" s="3"/>
      <c r="AL1106" s="3"/>
    </row>
    <row r="1107" ht="15.75" customHeight="1">
      <c r="A1107" s="27">
        <f t="shared" si="20"/>
        <v>456</v>
      </c>
      <c r="B1107" s="28" t="s">
        <v>4038</v>
      </c>
      <c r="C1107" s="102" t="s">
        <v>4039</v>
      </c>
      <c r="D1107" s="120" t="s">
        <v>4040</v>
      </c>
      <c r="E1107" s="60" t="s">
        <v>144</v>
      </c>
      <c r="F1107" s="28" t="s">
        <v>29</v>
      </c>
      <c r="G1107" s="28" t="s">
        <v>37</v>
      </c>
      <c r="H1107" s="28"/>
      <c r="I1107" s="28" t="s">
        <v>38</v>
      </c>
      <c r="J1107" s="28">
        <v>186.0</v>
      </c>
      <c r="K1107" s="28"/>
      <c r="L1107" s="28" t="s">
        <v>4041</v>
      </c>
      <c r="M1107" s="28" t="s">
        <v>230</v>
      </c>
      <c r="N1107" s="28">
        <v>2006.0</v>
      </c>
      <c r="O1107" s="28" t="s">
        <v>4010</v>
      </c>
      <c r="P1107" s="28">
        <v>1.0</v>
      </c>
      <c r="Q1107" s="32">
        <v>1.0</v>
      </c>
      <c r="R1107" s="33"/>
      <c r="S1107" s="34"/>
      <c r="T1107" s="34"/>
      <c r="U1107" s="34"/>
      <c r="V1107" s="34"/>
      <c r="W1107" s="34"/>
      <c r="X1107" s="34"/>
      <c r="Y1107" s="45"/>
      <c r="Z1107" s="45"/>
      <c r="AA1107" s="45"/>
      <c r="AB1107" s="45"/>
      <c r="AC1107" s="45"/>
      <c r="AD1107" s="45"/>
      <c r="AE1107" s="45"/>
      <c r="AF1107" s="45"/>
      <c r="AG1107" s="45"/>
      <c r="AH1107" s="45"/>
      <c r="AI1107" s="45"/>
      <c r="AJ1107" s="45"/>
      <c r="AK1107" s="45"/>
      <c r="AL1107" s="45"/>
    </row>
    <row r="1108" ht="15.75" customHeight="1">
      <c r="A1108" s="27">
        <f t="shared" si="20"/>
        <v>457</v>
      </c>
      <c r="B1108" s="121" t="s">
        <v>4042</v>
      </c>
      <c r="C1108" s="124" t="s">
        <v>4043</v>
      </c>
      <c r="D1108" s="119" t="s">
        <v>4044</v>
      </c>
      <c r="E1108" s="121" t="s">
        <v>144</v>
      </c>
      <c r="F1108" s="121" t="s">
        <v>29</v>
      </c>
      <c r="G1108" s="121" t="s">
        <v>166</v>
      </c>
      <c r="H1108" s="83"/>
      <c r="I1108" s="121" t="s">
        <v>30</v>
      </c>
      <c r="J1108" s="121">
        <v>517.0</v>
      </c>
      <c r="K1108" s="83"/>
      <c r="L1108" s="121" t="s">
        <v>4045</v>
      </c>
      <c r="M1108" s="132" t="s">
        <v>4046</v>
      </c>
      <c r="N1108" s="121">
        <v>2006.0</v>
      </c>
      <c r="O1108" s="28" t="s">
        <v>4010</v>
      </c>
      <c r="P1108" s="121">
        <v>1.0</v>
      </c>
      <c r="Q1108" s="121">
        <v>1.0</v>
      </c>
      <c r="R1108" s="84"/>
      <c r="S1108" s="40"/>
      <c r="T1108" s="40"/>
      <c r="U1108" s="40"/>
      <c r="V1108" s="40"/>
      <c r="W1108" s="40"/>
      <c r="X1108" s="40"/>
      <c r="Y1108" s="45"/>
      <c r="Z1108" s="45"/>
      <c r="AA1108" s="45"/>
      <c r="AB1108" s="45"/>
      <c r="AC1108" s="45"/>
      <c r="AD1108" s="45"/>
      <c r="AE1108" s="45"/>
      <c r="AF1108" s="45"/>
      <c r="AG1108" s="45"/>
      <c r="AH1108" s="45"/>
      <c r="AI1108" s="45"/>
      <c r="AJ1108" s="45"/>
      <c r="AK1108" s="45"/>
      <c r="AL1108" s="45"/>
    </row>
    <row r="1109" ht="15.75" customHeight="1">
      <c r="A1109" s="27">
        <f t="shared" si="20"/>
        <v>458</v>
      </c>
      <c r="B1109" s="28" t="s">
        <v>4047</v>
      </c>
      <c r="C1109" s="43" t="s">
        <v>4048</v>
      </c>
      <c r="D1109" s="30" t="s">
        <v>4049</v>
      </c>
      <c r="E1109" s="28" t="s">
        <v>144</v>
      </c>
      <c r="F1109" s="28" t="s">
        <v>29</v>
      </c>
      <c r="G1109" s="28" t="s">
        <v>30</v>
      </c>
      <c r="H1109" s="28"/>
      <c r="I1109" s="28" t="s">
        <v>30</v>
      </c>
      <c r="J1109" s="28">
        <f>375</f>
        <v>375</v>
      </c>
      <c r="K1109" s="28"/>
      <c r="L1109" s="28" t="s">
        <v>4050</v>
      </c>
      <c r="M1109" s="28" t="s">
        <v>3109</v>
      </c>
      <c r="N1109" s="28">
        <v>2014.0</v>
      </c>
      <c r="O1109" s="28" t="s">
        <v>4010</v>
      </c>
      <c r="P1109" s="28">
        <v>1.0</v>
      </c>
      <c r="Q1109" s="32">
        <v>1.0</v>
      </c>
      <c r="R1109" s="33"/>
      <c r="S1109" s="34"/>
      <c r="T1109" s="34"/>
      <c r="U1109" s="34"/>
      <c r="V1109" s="34"/>
      <c r="W1109" s="34"/>
      <c r="X1109" s="34"/>
      <c r="Y1109" s="3"/>
      <c r="Z1109" s="3"/>
      <c r="AA1109" s="3"/>
      <c r="AB1109" s="3"/>
      <c r="AC1109" s="3"/>
      <c r="AD1109" s="3"/>
      <c r="AE1109" s="3"/>
      <c r="AF1109" s="3"/>
      <c r="AG1109" s="3"/>
      <c r="AH1109" s="3"/>
      <c r="AI1109" s="3"/>
      <c r="AJ1109" s="3"/>
      <c r="AK1109" s="3"/>
      <c r="AL1109" s="3"/>
    </row>
    <row r="1110" ht="15.75" customHeight="1">
      <c r="A1110" s="27">
        <f t="shared" si="20"/>
        <v>459</v>
      </c>
      <c r="B1110" s="28" t="s">
        <v>4051</v>
      </c>
      <c r="C1110" s="29" t="s">
        <v>4052</v>
      </c>
      <c r="D1110" s="30" t="s">
        <v>4053</v>
      </c>
      <c r="E1110" s="28" t="s">
        <v>144</v>
      </c>
      <c r="F1110" s="28" t="s">
        <v>29</v>
      </c>
      <c r="G1110" s="28" t="s">
        <v>30</v>
      </c>
      <c r="H1110" s="28"/>
      <c r="I1110" s="28" t="s">
        <v>30</v>
      </c>
      <c r="J1110" s="28">
        <f>284+8</f>
        <v>292</v>
      </c>
      <c r="K1110" s="28"/>
      <c r="L1110" s="28" t="s">
        <v>4054</v>
      </c>
      <c r="M1110" s="28" t="s">
        <v>4055</v>
      </c>
      <c r="N1110" s="28">
        <v>2014.0</v>
      </c>
      <c r="O1110" s="28" t="s">
        <v>4010</v>
      </c>
      <c r="P1110" s="31">
        <v>3.0</v>
      </c>
      <c r="Q1110" s="114">
        <v>3.0</v>
      </c>
      <c r="R1110" s="33"/>
      <c r="S1110" s="34"/>
      <c r="T1110" s="34"/>
      <c r="U1110" s="34"/>
      <c r="V1110" s="34"/>
      <c r="W1110" s="34"/>
      <c r="X1110" s="34"/>
      <c r="Y1110" s="45"/>
      <c r="Z1110" s="45"/>
      <c r="AA1110" s="45"/>
      <c r="AB1110" s="45"/>
      <c r="AC1110" s="45"/>
      <c r="AD1110" s="45"/>
      <c r="AE1110" s="45"/>
      <c r="AF1110" s="45"/>
      <c r="AG1110" s="45"/>
      <c r="AH1110" s="45"/>
      <c r="AI1110" s="45"/>
      <c r="AJ1110" s="45"/>
      <c r="AK1110" s="45"/>
      <c r="AL1110" s="45"/>
    </row>
    <row r="1111" ht="15.75" customHeight="1">
      <c r="A1111" s="27">
        <f t="shared" si="20"/>
        <v>460</v>
      </c>
      <c r="B1111" s="28" t="s">
        <v>31</v>
      </c>
      <c r="C1111" s="102" t="s">
        <v>4056</v>
      </c>
      <c r="D1111" s="120" t="s">
        <v>4057</v>
      </c>
      <c r="E1111" s="28"/>
      <c r="F1111" s="28" t="s">
        <v>29</v>
      </c>
      <c r="G1111" s="28" t="s">
        <v>37</v>
      </c>
      <c r="H1111" s="28"/>
      <c r="I1111" s="28" t="s">
        <v>38</v>
      </c>
      <c r="J1111" s="28">
        <v>112.0</v>
      </c>
      <c r="K1111" s="28"/>
      <c r="L1111" s="28" t="s">
        <v>4058</v>
      </c>
      <c r="M1111" s="28" t="s">
        <v>230</v>
      </c>
      <c r="N1111" s="28">
        <v>1958.0</v>
      </c>
      <c r="O1111" s="60" t="s">
        <v>4010</v>
      </c>
      <c r="P1111" s="28">
        <v>1.0</v>
      </c>
      <c r="Q1111" s="32">
        <v>1.0</v>
      </c>
      <c r="R1111" s="33"/>
      <c r="S1111" s="40"/>
      <c r="T1111" s="40"/>
      <c r="U1111" s="40"/>
      <c r="V1111" s="40"/>
      <c r="W1111" s="40"/>
      <c r="X1111" s="40"/>
      <c r="Y1111" s="3"/>
      <c r="Z1111" s="3"/>
      <c r="AA1111" s="3"/>
      <c r="AB1111" s="3"/>
      <c r="AC1111" s="3"/>
      <c r="AD1111" s="3"/>
      <c r="AE1111" s="3"/>
      <c r="AF1111" s="3"/>
      <c r="AG1111" s="3"/>
      <c r="AH1111" s="3"/>
      <c r="AI1111" s="3"/>
      <c r="AJ1111" s="3"/>
      <c r="AK1111" s="3"/>
      <c r="AL1111" s="3"/>
    </row>
    <row r="1112" ht="15.75" customHeight="1">
      <c r="A1112" s="27">
        <f t="shared" si="20"/>
        <v>461</v>
      </c>
      <c r="B1112" s="28" t="s">
        <v>4059</v>
      </c>
      <c r="C1112" s="43" t="s">
        <v>4060</v>
      </c>
      <c r="D1112" s="30" t="s">
        <v>4061</v>
      </c>
      <c r="E1112" s="28"/>
      <c r="F1112" s="28" t="s">
        <v>740</v>
      </c>
      <c r="G1112" s="28" t="s">
        <v>3849</v>
      </c>
      <c r="H1112" s="28"/>
      <c r="I1112" s="28" t="s">
        <v>38</v>
      </c>
      <c r="J1112" s="28">
        <v>208.0</v>
      </c>
      <c r="K1112" s="28"/>
      <c r="L1112" s="28" t="s">
        <v>4062</v>
      </c>
      <c r="M1112" s="28" t="s">
        <v>4063</v>
      </c>
      <c r="N1112" s="60">
        <v>1978.0</v>
      </c>
      <c r="O1112" s="60" t="s">
        <v>4010</v>
      </c>
      <c r="P1112" s="28">
        <v>1.0</v>
      </c>
      <c r="Q1112" s="94">
        <v>1.0</v>
      </c>
      <c r="R1112" s="33"/>
      <c r="S1112" s="34"/>
      <c r="T1112" s="34"/>
      <c r="U1112" s="34"/>
      <c r="V1112" s="34"/>
      <c r="W1112" s="34"/>
      <c r="X1112" s="34"/>
      <c r="Y1112" s="45"/>
      <c r="Z1112" s="45"/>
      <c r="AA1112" s="45"/>
      <c r="AB1112" s="45"/>
      <c r="AC1112" s="45"/>
      <c r="AD1112" s="45"/>
      <c r="AE1112" s="45"/>
      <c r="AF1112" s="45"/>
      <c r="AG1112" s="45"/>
      <c r="AH1112" s="45"/>
      <c r="AI1112" s="45"/>
      <c r="AJ1112" s="45"/>
      <c r="AK1112" s="45"/>
      <c r="AL1112" s="45"/>
    </row>
    <row r="1113" ht="15.75" customHeight="1">
      <c r="A1113" s="27">
        <f t="shared" si="20"/>
        <v>462</v>
      </c>
      <c r="B1113" s="28" t="s">
        <v>4064</v>
      </c>
      <c r="C1113" s="29" t="s">
        <v>4065</v>
      </c>
      <c r="D1113" s="120" t="s">
        <v>4066</v>
      </c>
      <c r="E1113" s="60" t="s">
        <v>4067</v>
      </c>
      <c r="F1113" s="28" t="s">
        <v>29</v>
      </c>
      <c r="G1113" s="28" t="s">
        <v>37</v>
      </c>
      <c r="H1113" s="28"/>
      <c r="I1113" s="28" t="s">
        <v>38</v>
      </c>
      <c r="J1113" s="28">
        <v>144.0</v>
      </c>
      <c r="K1113" s="28"/>
      <c r="L1113" s="60" t="s">
        <v>4068</v>
      </c>
      <c r="M1113" s="28" t="s">
        <v>230</v>
      </c>
      <c r="N1113" s="28">
        <v>1986.0</v>
      </c>
      <c r="O1113" s="60" t="s">
        <v>4010</v>
      </c>
      <c r="P1113" s="28">
        <v>1.0</v>
      </c>
      <c r="Q1113" s="37">
        <v>1.0</v>
      </c>
      <c r="R1113" s="33"/>
      <c r="S1113" s="154"/>
      <c r="T1113" s="154"/>
      <c r="U1113" s="154"/>
      <c r="V1113" s="154"/>
      <c r="W1113" s="154"/>
      <c r="X1113" s="154"/>
      <c r="Y1113" s="155"/>
      <c r="Z1113" s="155"/>
      <c r="AA1113" s="155"/>
      <c r="AB1113" s="155"/>
      <c r="AC1113" s="155"/>
      <c r="AD1113" s="155"/>
      <c r="AE1113" s="155"/>
      <c r="AF1113" s="155"/>
      <c r="AG1113" s="155"/>
      <c r="AH1113" s="155"/>
      <c r="AI1113" s="155"/>
      <c r="AJ1113" s="155"/>
      <c r="AK1113" s="155"/>
      <c r="AL1113" s="155"/>
    </row>
    <row r="1114" ht="15.75" customHeight="1">
      <c r="A1114" s="27">
        <f t="shared" si="20"/>
        <v>463</v>
      </c>
      <c r="B1114" s="28" t="s">
        <v>4069</v>
      </c>
      <c r="C1114" s="102" t="s">
        <v>4070</v>
      </c>
      <c r="D1114" s="30" t="s">
        <v>4071</v>
      </c>
      <c r="E1114" s="28"/>
      <c r="F1114" s="28" t="s">
        <v>29</v>
      </c>
      <c r="G1114" s="28" t="s">
        <v>37</v>
      </c>
      <c r="H1114" s="28"/>
      <c r="I1114" s="28" t="s">
        <v>38</v>
      </c>
      <c r="J1114" s="28">
        <v>268.0</v>
      </c>
      <c r="K1114" s="28"/>
      <c r="L1114" s="28" t="s">
        <v>2437</v>
      </c>
      <c r="M1114" s="28" t="s">
        <v>230</v>
      </c>
      <c r="N1114" s="28">
        <v>2003.0</v>
      </c>
      <c r="O1114" s="60" t="s">
        <v>4010</v>
      </c>
      <c r="P1114" s="28">
        <v>1.0</v>
      </c>
      <c r="Q1114" s="94">
        <v>1.0</v>
      </c>
      <c r="R1114" s="33"/>
      <c r="S1114" s="34"/>
      <c r="T1114" s="34"/>
      <c r="U1114" s="34"/>
      <c r="V1114" s="34"/>
      <c r="W1114" s="34"/>
      <c r="X1114" s="34"/>
      <c r="Y1114" s="45"/>
      <c r="Z1114" s="45"/>
      <c r="AA1114" s="45"/>
      <c r="AB1114" s="45"/>
      <c r="AC1114" s="45"/>
      <c r="AD1114" s="45"/>
      <c r="AE1114" s="45"/>
      <c r="AF1114" s="45"/>
      <c r="AG1114" s="45"/>
      <c r="AH1114" s="45"/>
      <c r="AI1114" s="45"/>
      <c r="AJ1114" s="45"/>
      <c r="AK1114" s="45"/>
      <c r="AL1114" s="45"/>
    </row>
    <row r="1115" ht="15.75" customHeight="1">
      <c r="A1115" s="27">
        <f t="shared" si="20"/>
        <v>464</v>
      </c>
      <c r="B1115" s="28" t="s">
        <v>4072</v>
      </c>
      <c r="C1115" s="29" t="s">
        <v>4073</v>
      </c>
      <c r="D1115" s="30" t="s">
        <v>4074</v>
      </c>
      <c r="E1115" s="28"/>
      <c r="F1115" s="28" t="s">
        <v>29</v>
      </c>
      <c r="G1115" s="28" t="s">
        <v>58</v>
      </c>
      <c r="H1115" s="28"/>
      <c r="I1115" s="28" t="s">
        <v>38</v>
      </c>
      <c r="J1115" s="28">
        <v>278.0</v>
      </c>
      <c r="K1115" s="28"/>
      <c r="L1115" s="28" t="s">
        <v>4075</v>
      </c>
      <c r="M1115" s="28" t="s">
        <v>4076</v>
      </c>
      <c r="N1115" s="28">
        <v>2003.0</v>
      </c>
      <c r="O1115" s="60" t="s">
        <v>4010</v>
      </c>
      <c r="P1115" s="28">
        <v>1.0</v>
      </c>
      <c r="Q1115" s="94">
        <v>1.0</v>
      </c>
      <c r="R1115" s="33"/>
      <c r="S1115" s="40"/>
      <c r="T1115" s="40"/>
      <c r="U1115" s="40"/>
      <c r="V1115" s="40"/>
      <c r="W1115" s="40"/>
      <c r="X1115" s="40"/>
      <c r="Y1115" s="45"/>
      <c r="Z1115" s="45"/>
      <c r="AA1115" s="45"/>
      <c r="AB1115" s="45"/>
      <c r="AC1115" s="45"/>
      <c r="AD1115" s="45"/>
      <c r="AE1115" s="45"/>
      <c r="AF1115" s="45"/>
      <c r="AG1115" s="45"/>
      <c r="AH1115" s="45"/>
      <c r="AI1115" s="45"/>
      <c r="AJ1115" s="45"/>
      <c r="AK1115" s="45"/>
      <c r="AL1115" s="45"/>
    </row>
    <row r="1116" ht="15.75" customHeight="1">
      <c r="A1116" s="27">
        <f t="shared" si="20"/>
        <v>465</v>
      </c>
      <c r="B1116" s="28" t="s">
        <v>4077</v>
      </c>
      <c r="C1116" s="43" t="s">
        <v>4078</v>
      </c>
      <c r="D1116" s="30" t="s">
        <v>4079</v>
      </c>
      <c r="E1116" s="28" t="s">
        <v>144</v>
      </c>
      <c r="F1116" s="28" t="s">
        <v>29</v>
      </c>
      <c r="G1116" s="28" t="s">
        <v>30</v>
      </c>
      <c r="H1116" s="28"/>
      <c r="I1116" s="28" t="s">
        <v>30</v>
      </c>
      <c r="J1116" s="28">
        <f>248</f>
        <v>248</v>
      </c>
      <c r="K1116" s="28"/>
      <c r="L1116" s="28" t="s">
        <v>4080</v>
      </c>
      <c r="M1116" s="28" t="s">
        <v>3109</v>
      </c>
      <c r="N1116" s="28">
        <v>2015.0</v>
      </c>
      <c r="O1116" s="28" t="s">
        <v>4010</v>
      </c>
      <c r="P1116" s="28">
        <v>1.0</v>
      </c>
      <c r="Q1116" s="32">
        <v>1.0</v>
      </c>
      <c r="R1116" s="33"/>
      <c r="S1116" s="40"/>
      <c r="T1116" s="40"/>
      <c r="U1116" s="40"/>
      <c r="V1116" s="40"/>
      <c r="W1116" s="40"/>
      <c r="X1116" s="40"/>
      <c r="Y1116" s="3"/>
      <c r="Z1116" s="3"/>
      <c r="AA1116" s="3"/>
      <c r="AB1116" s="3"/>
      <c r="AC1116" s="3"/>
      <c r="AD1116" s="3"/>
      <c r="AE1116" s="3"/>
      <c r="AF1116" s="3"/>
      <c r="AG1116" s="3"/>
      <c r="AH1116" s="3"/>
      <c r="AI1116" s="3"/>
      <c r="AJ1116" s="3"/>
      <c r="AK1116" s="3"/>
      <c r="AL1116" s="3"/>
    </row>
    <row r="1117" ht="15.75" customHeight="1">
      <c r="A1117" s="27">
        <f t="shared" si="20"/>
        <v>466</v>
      </c>
      <c r="B1117" s="28" t="s">
        <v>4081</v>
      </c>
      <c r="C1117" s="43" t="s">
        <v>4082</v>
      </c>
      <c r="D1117" s="30" t="s">
        <v>4083</v>
      </c>
      <c r="E1117" s="28" t="s">
        <v>31</v>
      </c>
      <c r="F1117" s="28" t="s">
        <v>29</v>
      </c>
      <c r="G1117" s="28" t="s">
        <v>30</v>
      </c>
      <c r="H1117" s="28"/>
      <c r="I1117" s="28" t="s">
        <v>30</v>
      </c>
      <c r="J1117" s="28">
        <v>131.0</v>
      </c>
      <c r="K1117" s="28"/>
      <c r="L1117" s="28" t="s">
        <v>4084</v>
      </c>
      <c r="M1117" s="28" t="s">
        <v>161</v>
      </c>
      <c r="N1117" s="28">
        <v>2012.0</v>
      </c>
      <c r="O1117" s="62">
        <v>12.0</v>
      </c>
      <c r="P1117" s="28">
        <v>1.0</v>
      </c>
      <c r="Q1117" s="32">
        <v>1.0</v>
      </c>
      <c r="R1117" s="33"/>
      <c r="S1117" s="34"/>
      <c r="T1117" s="34"/>
      <c r="U1117" s="34"/>
      <c r="V1117" s="34"/>
      <c r="W1117" s="34"/>
      <c r="X1117" s="34"/>
      <c r="Y1117" s="45"/>
      <c r="Z1117" s="45"/>
      <c r="AA1117" s="45"/>
      <c r="AB1117" s="45"/>
      <c r="AC1117" s="45"/>
      <c r="AD1117" s="45"/>
      <c r="AE1117" s="45"/>
      <c r="AF1117" s="45"/>
      <c r="AG1117" s="45"/>
      <c r="AH1117" s="45"/>
      <c r="AI1117" s="45"/>
      <c r="AJ1117" s="45"/>
      <c r="AK1117" s="45"/>
      <c r="AL1117" s="45"/>
    </row>
    <row r="1118" ht="15.75" customHeight="1">
      <c r="A1118" s="27">
        <f t="shared" si="20"/>
        <v>467</v>
      </c>
      <c r="B1118" s="28" t="s">
        <v>4085</v>
      </c>
      <c r="C1118" s="29" t="s">
        <v>4086</v>
      </c>
      <c r="D1118" s="30" t="s">
        <v>4087</v>
      </c>
      <c r="E1118" s="28"/>
      <c r="F1118" s="28" t="s">
        <v>29</v>
      </c>
      <c r="G1118" s="28" t="s">
        <v>30</v>
      </c>
      <c r="H1118" s="28"/>
      <c r="I1118" s="28" t="s">
        <v>30</v>
      </c>
      <c r="J1118" s="28">
        <v>164.0</v>
      </c>
      <c r="K1118" s="28"/>
      <c r="L1118" s="28" t="s">
        <v>4088</v>
      </c>
      <c r="M1118" s="28" t="s">
        <v>151</v>
      </c>
      <c r="N1118" s="28">
        <v>2009.0</v>
      </c>
      <c r="O1118" s="60" t="s">
        <v>4010</v>
      </c>
      <c r="P1118" s="28">
        <v>1.0</v>
      </c>
      <c r="Q1118" s="94">
        <v>1.0</v>
      </c>
      <c r="R1118" s="33"/>
      <c r="S1118" s="34"/>
      <c r="T1118" s="34"/>
      <c r="U1118" s="34"/>
      <c r="V1118" s="34"/>
      <c r="W1118" s="34"/>
      <c r="X1118" s="34"/>
      <c r="Y1118" s="45"/>
      <c r="Z1118" s="45"/>
      <c r="AA1118" s="45"/>
      <c r="AB1118" s="45"/>
      <c r="AC1118" s="45"/>
      <c r="AD1118" s="45"/>
      <c r="AE1118" s="45"/>
      <c r="AF1118" s="45"/>
      <c r="AG1118" s="45"/>
      <c r="AH1118" s="45"/>
      <c r="AI1118" s="45"/>
      <c r="AJ1118" s="45"/>
      <c r="AK1118" s="45"/>
      <c r="AL1118" s="45"/>
    </row>
    <row r="1119" ht="15.75" customHeight="1">
      <c r="A1119" s="27">
        <f t="shared" si="20"/>
        <v>468</v>
      </c>
      <c r="B1119" s="28" t="s">
        <v>4089</v>
      </c>
      <c r="C1119" s="29" t="s">
        <v>4090</v>
      </c>
      <c r="D1119" s="30" t="s">
        <v>4091</v>
      </c>
      <c r="E1119" s="28" t="s">
        <v>31</v>
      </c>
      <c r="F1119" s="28" t="s">
        <v>29</v>
      </c>
      <c r="G1119" s="28" t="s">
        <v>37</v>
      </c>
      <c r="H1119" s="28"/>
      <c r="I1119" s="28" t="s">
        <v>38</v>
      </c>
      <c r="J1119" s="28">
        <v>161.0</v>
      </c>
      <c r="K1119" s="28"/>
      <c r="L1119" s="28" t="s">
        <v>4092</v>
      </c>
      <c r="M1119" s="28" t="s">
        <v>230</v>
      </c>
      <c r="N1119" s="28">
        <v>2010.0</v>
      </c>
      <c r="O1119" s="60" t="s">
        <v>4010</v>
      </c>
      <c r="P1119" s="28">
        <v>2.0</v>
      </c>
      <c r="Q1119" s="94">
        <v>2.0</v>
      </c>
      <c r="R1119" s="33"/>
      <c r="S1119" s="34"/>
      <c r="T1119" s="34"/>
      <c r="U1119" s="34"/>
      <c r="V1119" s="34"/>
      <c r="W1119" s="34"/>
      <c r="X1119" s="34"/>
      <c r="Y1119" s="45"/>
      <c r="Z1119" s="45"/>
      <c r="AA1119" s="45"/>
      <c r="AB1119" s="45"/>
      <c r="AC1119" s="45"/>
      <c r="AD1119" s="45"/>
      <c r="AE1119" s="45"/>
      <c r="AF1119" s="45"/>
      <c r="AG1119" s="45"/>
      <c r="AH1119" s="45"/>
      <c r="AI1119" s="45"/>
      <c r="AJ1119" s="45"/>
      <c r="AK1119" s="45"/>
      <c r="AL1119" s="45"/>
    </row>
    <row r="1120" ht="15.75" customHeight="1">
      <c r="A1120" s="27">
        <f t="shared" si="20"/>
        <v>469</v>
      </c>
      <c r="B1120" s="28" t="s">
        <v>4093</v>
      </c>
      <c r="C1120" s="43" t="s">
        <v>4094</v>
      </c>
      <c r="D1120" s="30" t="s">
        <v>4095</v>
      </c>
      <c r="E1120" s="28" t="s">
        <v>31</v>
      </c>
      <c r="F1120" s="28" t="s">
        <v>29</v>
      </c>
      <c r="G1120" s="28" t="s">
        <v>30</v>
      </c>
      <c r="H1120" s="28"/>
      <c r="I1120" s="28" t="s">
        <v>30</v>
      </c>
      <c r="J1120" s="28">
        <v>88.0</v>
      </c>
      <c r="K1120" s="28"/>
      <c r="L1120" s="28" t="s">
        <v>4096</v>
      </c>
      <c r="M1120" s="28" t="s">
        <v>161</v>
      </c>
      <c r="N1120" s="28">
        <v>2010.0</v>
      </c>
      <c r="O1120" s="60" t="s">
        <v>4010</v>
      </c>
      <c r="P1120" s="28">
        <v>1.0</v>
      </c>
      <c r="Q1120" s="32">
        <v>1.0</v>
      </c>
      <c r="R1120" s="33"/>
      <c r="S1120" s="34"/>
      <c r="T1120" s="34"/>
      <c r="U1120" s="34"/>
      <c r="V1120" s="34"/>
      <c r="W1120" s="34"/>
      <c r="X1120" s="34"/>
      <c r="Y1120" s="45"/>
      <c r="Z1120" s="45"/>
      <c r="AA1120" s="45"/>
      <c r="AB1120" s="45"/>
      <c r="AC1120" s="45"/>
      <c r="AD1120" s="45"/>
      <c r="AE1120" s="45"/>
      <c r="AF1120" s="45"/>
      <c r="AG1120" s="45"/>
      <c r="AH1120" s="45"/>
      <c r="AI1120" s="45"/>
      <c r="AJ1120" s="45"/>
      <c r="AK1120" s="45"/>
      <c r="AL1120" s="45"/>
    </row>
    <row r="1121" ht="15.75" hidden="1" customHeight="1">
      <c r="A1121" s="27"/>
      <c r="B1121" s="31" t="s">
        <v>4097</v>
      </c>
      <c r="C1121" s="29" t="s">
        <v>4098</v>
      </c>
      <c r="D1121" s="30" t="s">
        <v>2351</v>
      </c>
      <c r="E1121" s="28"/>
      <c r="F1121" s="28" t="s">
        <v>29</v>
      </c>
      <c r="G1121" s="28" t="s">
        <v>98</v>
      </c>
      <c r="H1121" s="28"/>
      <c r="I1121" s="28" t="s">
        <v>1195</v>
      </c>
      <c r="J1121" s="31">
        <v>941.0</v>
      </c>
      <c r="K1121" s="28"/>
      <c r="L1121" s="31" t="s">
        <v>4099</v>
      </c>
      <c r="M1121" s="28" t="s">
        <v>1231</v>
      </c>
      <c r="N1121" s="31">
        <v>1979.0</v>
      </c>
      <c r="O1121" s="31"/>
      <c r="P1121" s="31">
        <v>1.0</v>
      </c>
      <c r="Q1121" s="37">
        <v>1.0</v>
      </c>
      <c r="R1121" s="33"/>
      <c r="S1121" s="34"/>
      <c r="T1121" s="34"/>
      <c r="U1121" s="34"/>
      <c r="V1121" s="34"/>
      <c r="W1121" s="34"/>
      <c r="X1121" s="34"/>
      <c r="Y1121" s="45"/>
      <c r="Z1121" s="45"/>
      <c r="AA1121" s="45"/>
      <c r="AB1121" s="45"/>
      <c r="AC1121" s="45"/>
      <c r="AD1121" s="45"/>
      <c r="AE1121" s="45"/>
      <c r="AF1121" s="45"/>
      <c r="AG1121" s="45"/>
      <c r="AH1121" s="45"/>
      <c r="AI1121" s="45"/>
      <c r="AJ1121" s="45"/>
      <c r="AK1121" s="45"/>
      <c r="AL1121" s="45"/>
    </row>
    <row r="1122" ht="15.75" customHeight="1">
      <c r="A1122" s="27">
        <f t="shared" ref="A1122:A2800" si="21">A1121+1</f>
        <v>1</v>
      </c>
      <c r="B1122" s="28" t="s">
        <v>4100</v>
      </c>
      <c r="C1122" s="43" t="s">
        <v>4101</v>
      </c>
      <c r="D1122" s="30" t="s">
        <v>4102</v>
      </c>
      <c r="E1122" s="28" t="s">
        <v>144</v>
      </c>
      <c r="F1122" s="28" t="s">
        <v>29</v>
      </c>
      <c r="G1122" s="28" t="s">
        <v>30</v>
      </c>
      <c r="H1122" s="28"/>
      <c r="I1122" s="28" t="s">
        <v>30</v>
      </c>
      <c r="J1122" s="28">
        <f>116+2</f>
        <v>118</v>
      </c>
      <c r="K1122" s="28"/>
      <c r="L1122" s="28" t="s">
        <v>4103</v>
      </c>
      <c r="M1122" s="28" t="s">
        <v>3109</v>
      </c>
      <c r="N1122" s="28">
        <v>2008.0</v>
      </c>
      <c r="O1122" s="60" t="s">
        <v>4010</v>
      </c>
      <c r="P1122" s="28">
        <v>1.0</v>
      </c>
      <c r="Q1122" s="94">
        <v>1.0</v>
      </c>
      <c r="R1122" s="33"/>
      <c r="S1122" s="34"/>
      <c r="T1122" s="34"/>
      <c r="U1122" s="34"/>
      <c r="V1122" s="34"/>
      <c r="W1122" s="34"/>
      <c r="X1122" s="34"/>
      <c r="Y1122" s="45"/>
      <c r="Z1122" s="45"/>
      <c r="AA1122" s="45"/>
      <c r="AB1122" s="45"/>
      <c r="AC1122" s="45"/>
      <c r="AD1122" s="45"/>
      <c r="AE1122" s="45"/>
      <c r="AF1122" s="45"/>
      <c r="AG1122" s="45"/>
      <c r="AH1122" s="45"/>
      <c r="AI1122" s="45"/>
      <c r="AJ1122" s="45"/>
      <c r="AK1122" s="45"/>
      <c r="AL1122" s="45"/>
    </row>
    <row r="1123" ht="15.75" customHeight="1">
      <c r="A1123" s="27">
        <f t="shared" si="21"/>
        <v>2</v>
      </c>
      <c r="B1123" s="28" t="s">
        <v>4104</v>
      </c>
      <c r="C1123" s="29" t="s">
        <v>4105</v>
      </c>
      <c r="D1123" s="39" t="s">
        <v>4106</v>
      </c>
      <c r="E1123" s="28" t="s">
        <v>31</v>
      </c>
      <c r="F1123" s="28" t="s">
        <v>29</v>
      </c>
      <c r="G1123" s="28" t="s">
        <v>30</v>
      </c>
      <c r="H1123" s="28"/>
      <c r="I1123" s="28" t="s">
        <v>30</v>
      </c>
      <c r="J1123" s="28">
        <v>446.0</v>
      </c>
      <c r="K1123" s="28"/>
      <c r="L1123" s="28" t="s">
        <v>2228</v>
      </c>
      <c r="M1123" s="28" t="s">
        <v>4107</v>
      </c>
      <c r="N1123" s="28">
        <v>2004.0</v>
      </c>
      <c r="O1123" s="62">
        <v>12.0</v>
      </c>
      <c r="P1123" s="28">
        <v>1.0</v>
      </c>
      <c r="Q1123" s="32">
        <v>1.0</v>
      </c>
      <c r="R1123" s="33"/>
      <c r="S1123" s="40"/>
      <c r="T1123" s="40"/>
      <c r="U1123" s="40"/>
      <c r="V1123" s="40"/>
      <c r="W1123" s="40"/>
      <c r="X1123" s="40"/>
      <c r="Y1123" s="45"/>
      <c r="Z1123" s="45"/>
      <c r="AA1123" s="45"/>
      <c r="AB1123" s="45"/>
      <c r="AC1123" s="45"/>
      <c r="AD1123" s="45"/>
      <c r="AE1123" s="45"/>
      <c r="AF1123" s="45"/>
      <c r="AG1123" s="45"/>
      <c r="AH1123" s="45"/>
      <c r="AI1123" s="45"/>
      <c r="AJ1123" s="45"/>
      <c r="AK1123" s="45"/>
      <c r="AL1123" s="45"/>
    </row>
    <row r="1124" ht="15.75" customHeight="1">
      <c r="A1124" s="27">
        <f t="shared" si="21"/>
        <v>3</v>
      </c>
      <c r="B1124" s="28" t="s">
        <v>4108</v>
      </c>
      <c r="C1124" s="43" t="s">
        <v>4109</v>
      </c>
      <c r="D1124" s="30" t="s">
        <v>4110</v>
      </c>
      <c r="E1124" s="28" t="s">
        <v>144</v>
      </c>
      <c r="F1124" s="28" t="s">
        <v>29</v>
      </c>
      <c r="G1124" s="28" t="s">
        <v>30</v>
      </c>
      <c r="H1124" s="28"/>
      <c r="I1124" s="28" t="s">
        <v>30</v>
      </c>
      <c r="J1124" s="28">
        <v>529.0</v>
      </c>
      <c r="K1124" s="28"/>
      <c r="L1124" s="28" t="s">
        <v>4111</v>
      </c>
      <c r="M1124" s="28" t="s">
        <v>4107</v>
      </c>
      <c r="N1124" s="28">
        <v>2002.0</v>
      </c>
      <c r="O1124" s="62">
        <v>12.0</v>
      </c>
      <c r="P1124" s="28">
        <v>1.0</v>
      </c>
      <c r="Q1124" s="32">
        <v>1.0</v>
      </c>
      <c r="R1124" s="33"/>
      <c r="S1124" s="34"/>
      <c r="T1124" s="34"/>
      <c r="U1124" s="34"/>
      <c r="V1124" s="34"/>
      <c r="W1124" s="34"/>
      <c r="X1124" s="34"/>
      <c r="Y1124" s="45"/>
      <c r="Z1124" s="45"/>
      <c r="AA1124" s="45"/>
      <c r="AB1124" s="45"/>
      <c r="AC1124" s="45"/>
      <c r="AD1124" s="45"/>
      <c r="AE1124" s="45"/>
      <c r="AF1124" s="45"/>
      <c r="AG1124" s="45"/>
      <c r="AH1124" s="45"/>
      <c r="AI1124" s="45"/>
      <c r="AJ1124" s="45"/>
      <c r="AK1124" s="45"/>
      <c r="AL1124" s="45"/>
    </row>
    <row r="1125" ht="15.75" customHeight="1">
      <c r="A1125" s="27">
        <f t="shared" si="21"/>
        <v>4</v>
      </c>
      <c r="B1125" s="28" t="s">
        <v>4112</v>
      </c>
      <c r="C1125" s="43" t="s">
        <v>4113</v>
      </c>
      <c r="D1125" s="30" t="s">
        <v>4114</v>
      </c>
      <c r="E1125" s="28" t="s">
        <v>144</v>
      </c>
      <c r="F1125" s="28" t="s">
        <v>29</v>
      </c>
      <c r="G1125" s="28" t="s">
        <v>30</v>
      </c>
      <c r="H1125" s="28" t="s">
        <v>31</v>
      </c>
      <c r="I1125" s="28" t="s">
        <v>30</v>
      </c>
      <c r="J1125" s="28">
        <f>426</f>
        <v>426</v>
      </c>
      <c r="K1125" s="28"/>
      <c r="L1125" s="28" t="s">
        <v>4111</v>
      </c>
      <c r="M1125" s="28" t="s">
        <v>4107</v>
      </c>
      <c r="N1125" s="28">
        <v>2006.0</v>
      </c>
      <c r="O1125" s="62">
        <v>12.0</v>
      </c>
      <c r="P1125" s="28">
        <v>1.0</v>
      </c>
      <c r="Q1125" s="37">
        <v>1.0</v>
      </c>
      <c r="R1125" s="33"/>
      <c r="S1125" s="34"/>
      <c r="T1125" s="34"/>
      <c r="U1125" s="34"/>
      <c r="V1125" s="34"/>
      <c r="W1125" s="34"/>
      <c r="X1125" s="34"/>
      <c r="Y1125" s="45"/>
      <c r="Z1125" s="45"/>
      <c r="AA1125" s="45"/>
      <c r="AB1125" s="45"/>
      <c r="AC1125" s="45"/>
      <c r="AD1125" s="45"/>
      <c r="AE1125" s="45"/>
      <c r="AF1125" s="45"/>
      <c r="AG1125" s="45"/>
      <c r="AH1125" s="45"/>
      <c r="AI1125" s="45"/>
      <c r="AJ1125" s="45"/>
      <c r="AK1125" s="45"/>
      <c r="AL1125" s="45"/>
    </row>
    <row r="1126" ht="15.75" customHeight="1">
      <c r="A1126" s="27">
        <f t="shared" si="21"/>
        <v>5</v>
      </c>
      <c r="B1126" s="28" t="s">
        <v>4115</v>
      </c>
      <c r="C1126" s="29" t="s">
        <v>4116</v>
      </c>
      <c r="D1126" s="30" t="s">
        <v>4117</v>
      </c>
      <c r="E1126" s="28" t="s">
        <v>31</v>
      </c>
      <c r="F1126" s="28" t="s">
        <v>29</v>
      </c>
      <c r="G1126" s="28" t="s">
        <v>30</v>
      </c>
      <c r="H1126" s="28"/>
      <c r="I1126" s="28" t="s">
        <v>30</v>
      </c>
      <c r="J1126" s="28">
        <v>242.0</v>
      </c>
      <c r="K1126" s="28"/>
      <c r="L1126" s="28" t="s">
        <v>4111</v>
      </c>
      <c r="M1126" s="28" t="s">
        <v>2229</v>
      </c>
      <c r="N1126" s="28">
        <v>2003.0</v>
      </c>
      <c r="O1126" s="62">
        <v>12.0</v>
      </c>
      <c r="P1126" s="28">
        <v>1.0</v>
      </c>
      <c r="Q1126" s="32">
        <v>1.0</v>
      </c>
      <c r="R1126" s="33"/>
      <c r="S1126" s="34"/>
      <c r="T1126" s="34"/>
      <c r="U1126" s="34"/>
      <c r="V1126" s="34"/>
      <c r="W1126" s="34"/>
      <c r="X1126" s="34"/>
      <c r="Y1126" s="45"/>
      <c r="Z1126" s="45"/>
      <c r="AA1126" s="45"/>
      <c r="AB1126" s="45"/>
      <c r="AC1126" s="45"/>
      <c r="AD1126" s="45"/>
      <c r="AE1126" s="45"/>
      <c r="AF1126" s="45"/>
      <c r="AG1126" s="45"/>
      <c r="AH1126" s="45"/>
      <c r="AI1126" s="45"/>
      <c r="AJ1126" s="45"/>
      <c r="AK1126" s="45"/>
      <c r="AL1126" s="45"/>
    </row>
    <row r="1127" ht="15.75" customHeight="1">
      <c r="A1127" s="27">
        <f t="shared" si="21"/>
        <v>6</v>
      </c>
      <c r="B1127" s="28" t="s">
        <v>31</v>
      </c>
      <c r="C1127" s="43" t="s">
        <v>4118</v>
      </c>
      <c r="D1127" s="30" t="s">
        <v>4119</v>
      </c>
      <c r="E1127" s="28" t="s">
        <v>31</v>
      </c>
      <c r="F1127" s="28" t="s">
        <v>29</v>
      </c>
      <c r="G1127" s="28" t="s">
        <v>30</v>
      </c>
      <c r="H1127" s="28"/>
      <c r="I1127" s="28" t="s">
        <v>30</v>
      </c>
      <c r="J1127" s="28">
        <v>75.0</v>
      </c>
      <c r="K1127" s="28"/>
      <c r="L1127" s="28" t="s">
        <v>4120</v>
      </c>
      <c r="M1127" s="28" t="s">
        <v>4121</v>
      </c>
      <c r="N1127" s="28">
        <v>2002.0</v>
      </c>
      <c r="O1127" s="62">
        <v>12.0</v>
      </c>
      <c r="P1127" s="28">
        <v>1.0</v>
      </c>
      <c r="Q1127" s="32">
        <v>1.0</v>
      </c>
      <c r="R1127" s="33"/>
      <c r="S1127" s="34"/>
      <c r="T1127" s="34"/>
      <c r="U1127" s="34"/>
      <c r="V1127" s="34"/>
      <c r="W1127" s="34"/>
      <c r="X1127" s="34"/>
      <c r="Y1127" s="45"/>
      <c r="Z1127" s="45"/>
      <c r="AA1127" s="45"/>
      <c r="AB1127" s="45"/>
      <c r="AC1127" s="45"/>
      <c r="AD1127" s="45"/>
      <c r="AE1127" s="45"/>
      <c r="AF1127" s="45"/>
      <c r="AG1127" s="45"/>
      <c r="AH1127" s="45"/>
      <c r="AI1127" s="45"/>
      <c r="AJ1127" s="45"/>
      <c r="AK1127" s="45"/>
      <c r="AL1127" s="45"/>
    </row>
    <row r="1128" ht="15.75" customHeight="1">
      <c r="A1128" s="27">
        <f t="shared" si="21"/>
        <v>7</v>
      </c>
      <c r="B1128" s="28" t="s">
        <v>4122</v>
      </c>
      <c r="C1128" s="43" t="s">
        <v>4123</v>
      </c>
      <c r="D1128" s="30" t="s">
        <v>4124</v>
      </c>
      <c r="E1128" s="28" t="s">
        <v>31</v>
      </c>
      <c r="F1128" s="28" t="s">
        <v>29</v>
      </c>
      <c r="G1128" s="28" t="s">
        <v>30</v>
      </c>
      <c r="H1128" s="28"/>
      <c r="I1128" s="28" t="s">
        <v>30</v>
      </c>
      <c r="J1128" s="28">
        <v>231.0</v>
      </c>
      <c r="K1128" s="28"/>
      <c r="L1128" s="28" t="s">
        <v>4125</v>
      </c>
      <c r="M1128" s="28" t="s">
        <v>4126</v>
      </c>
      <c r="N1128" s="28">
        <v>2007.0</v>
      </c>
      <c r="O1128" s="60" t="s">
        <v>4010</v>
      </c>
      <c r="P1128" s="28">
        <v>1.0</v>
      </c>
      <c r="Q1128" s="94">
        <v>1.0</v>
      </c>
      <c r="R1128" s="33"/>
      <c r="S1128" s="40"/>
      <c r="T1128" s="40"/>
      <c r="U1128" s="40"/>
      <c r="V1128" s="40"/>
      <c r="W1128" s="40"/>
      <c r="X1128" s="40"/>
      <c r="Y1128" s="3"/>
      <c r="Z1128" s="3"/>
      <c r="AA1128" s="3"/>
      <c r="AB1128" s="3"/>
      <c r="AC1128" s="3"/>
      <c r="AD1128" s="3"/>
      <c r="AE1128" s="3"/>
      <c r="AF1128" s="3"/>
      <c r="AG1128" s="3"/>
      <c r="AH1128" s="3"/>
      <c r="AI1128" s="3"/>
      <c r="AJ1128" s="3"/>
      <c r="AK1128" s="3"/>
      <c r="AL1128" s="3"/>
    </row>
    <row r="1129" ht="15.75" customHeight="1">
      <c r="A1129" s="27">
        <f t="shared" si="21"/>
        <v>8</v>
      </c>
      <c r="B1129" s="28" t="s">
        <v>31</v>
      </c>
      <c r="C1129" s="29" t="s">
        <v>4127</v>
      </c>
      <c r="D1129" s="30" t="s">
        <v>4128</v>
      </c>
      <c r="E1129" s="28" t="s">
        <v>31</v>
      </c>
      <c r="F1129" s="28" t="s">
        <v>29</v>
      </c>
      <c r="G1129" s="28" t="s">
        <v>30</v>
      </c>
      <c r="H1129" s="28"/>
      <c r="I1129" s="28" t="s">
        <v>30</v>
      </c>
      <c r="J1129" s="28">
        <v>116.0</v>
      </c>
      <c r="K1129" s="28"/>
      <c r="L1129" s="28" t="s">
        <v>4129</v>
      </c>
      <c r="M1129" s="28" t="s">
        <v>151</v>
      </c>
      <c r="N1129" s="28">
        <v>1983.0</v>
      </c>
      <c r="O1129" s="60" t="s">
        <v>4010</v>
      </c>
      <c r="P1129" s="28">
        <v>1.0</v>
      </c>
      <c r="Q1129" s="32">
        <v>1.0</v>
      </c>
      <c r="R1129" s="33"/>
      <c r="S1129" s="34"/>
      <c r="T1129" s="34"/>
      <c r="U1129" s="34"/>
      <c r="V1129" s="34"/>
      <c r="W1129" s="34"/>
      <c r="X1129" s="34"/>
      <c r="Y1129" s="3"/>
      <c r="Z1129" s="3"/>
      <c r="AA1129" s="3"/>
      <c r="AB1129" s="3"/>
      <c r="AC1129" s="3"/>
      <c r="AD1129" s="3"/>
      <c r="AE1129" s="3"/>
      <c r="AF1129" s="3"/>
      <c r="AG1129" s="3"/>
      <c r="AH1129" s="3"/>
      <c r="AI1129" s="3"/>
      <c r="AJ1129" s="3"/>
      <c r="AK1129" s="3"/>
      <c r="AL1129" s="3"/>
    </row>
    <row r="1130" ht="15.75" customHeight="1">
      <c r="A1130" s="27">
        <f t="shared" si="21"/>
        <v>9</v>
      </c>
      <c r="B1130" s="28" t="s">
        <v>4130</v>
      </c>
      <c r="C1130" s="43" t="s">
        <v>4131</v>
      </c>
      <c r="D1130" s="30" t="s">
        <v>4132</v>
      </c>
      <c r="E1130" s="28" t="s">
        <v>31</v>
      </c>
      <c r="F1130" s="28" t="s">
        <v>29</v>
      </c>
      <c r="G1130" s="28" t="s">
        <v>30</v>
      </c>
      <c r="H1130" s="28"/>
      <c r="I1130" s="28" t="s">
        <v>30</v>
      </c>
      <c r="J1130" s="28">
        <v>181.0</v>
      </c>
      <c r="K1130" s="28"/>
      <c r="L1130" s="28" t="s">
        <v>4133</v>
      </c>
      <c r="M1130" s="28" t="s">
        <v>4134</v>
      </c>
      <c r="N1130" s="28">
        <v>2003.0</v>
      </c>
      <c r="O1130" s="60" t="s">
        <v>4010</v>
      </c>
      <c r="P1130" s="28">
        <v>1.0</v>
      </c>
      <c r="Q1130" s="37">
        <v>1.0</v>
      </c>
      <c r="R1130" s="33"/>
      <c r="S1130" s="34"/>
      <c r="T1130" s="34"/>
      <c r="U1130" s="34"/>
      <c r="V1130" s="34"/>
      <c r="W1130" s="34"/>
      <c r="X1130" s="34"/>
      <c r="Y1130" s="45"/>
      <c r="Z1130" s="45"/>
      <c r="AA1130" s="45"/>
      <c r="AB1130" s="45"/>
      <c r="AC1130" s="45"/>
      <c r="AD1130" s="45"/>
      <c r="AE1130" s="45"/>
      <c r="AF1130" s="45"/>
      <c r="AG1130" s="45"/>
      <c r="AH1130" s="45"/>
      <c r="AI1130" s="45"/>
      <c r="AJ1130" s="45"/>
      <c r="AK1130" s="45"/>
      <c r="AL1130" s="45"/>
    </row>
    <row r="1131" ht="15.75" customHeight="1">
      <c r="A1131" s="27">
        <f t="shared" si="21"/>
        <v>10</v>
      </c>
      <c r="B1131" s="28" t="s">
        <v>4135</v>
      </c>
      <c r="C1131" s="43" t="s">
        <v>4136</v>
      </c>
      <c r="D1131" s="30" t="s">
        <v>4137</v>
      </c>
      <c r="E1131" s="28" t="s">
        <v>31</v>
      </c>
      <c r="F1131" s="28" t="s">
        <v>29</v>
      </c>
      <c r="G1131" s="28" t="s">
        <v>30</v>
      </c>
      <c r="H1131" s="28"/>
      <c r="I1131" s="28" t="s">
        <v>30</v>
      </c>
      <c r="J1131" s="28">
        <v>84.0</v>
      </c>
      <c r="K1131" s="28"/>
      <c r="L1131" s="28" t="s">
        <v>4138</v>
      </c>
      <c r="M1131" s="28" t="s">
        <v>151</v>
      </c>
      <c r="N1131" s="28">
        <v>1990.0</v>
      </c>
      <c r="O1131" s="60" t="s">
        <v>4010</v>
      </c>
      <c r="P1131" s="28">
        <v>1.0</v>
      </c>
      <c r="Q1131" s="32">
        <v>1.0</v>
      </c>
      <c r="R1131" s="33"/>
      <c r="S1131" s="40"/>
      <c r="T1131" s="40"/>
      <c r="U1131" s="40"/>
      <c r="V1131" s="40"/>
      <c r="W1131" s="40"/>
      <c r="X1131" s="40"/>
      <c r="Y1131" s="45"/>
      <c r="Z1131" s="45"/>
      <c r="AA1131" s="45"/>
      <c r="AB1131" s="45"/>
      <c r="AC1131" s="45"/>
      <c r="AD1131" s="45"/>
      <c r="AE1131" s="45"/>
      <c r="AF1131" s="45"/>
      <c r="AG1131" s="45"/>
      <c r="AH1131" s="45"/>
      <c r="AI1131" s="45"/>
      <c r="AJ1131" s="45"/>
      <c r="AK1131" s="45"/>
      <c r="AL1131" s="45"/>
    </row>
    <row r="1132" ht="15.75" customHeight="1">
      <c r="A1132" s="27">
        <f t="shared" si="21"/>
        <v>11</v>
      </c>
      <c r="B1132" s="28" t="s">
        <v>4139</v>
      </c>
      <c r="C1132" s="48" t="s">
        <v>4140</v>
      </c>
      <c r="D1132" s="30" t="s">
        <v>4141</v>
      </c>
      <c r="E1132" s="28"/>
      <c r="F1132" s="28" t="s">
        <v>29</v>
      </c>
      <c r="G1132" s="28" t="s">
        <v>37</v>
      </c>
      <c r="H1132" s="28"/>
      <c r="I1132" s="28" t="s">
        <v>38</v>
      </c>
      <c r="J1132" s="28">
        <v>471.0</v>
      </c>
      <c r="K1132" s="28"/>
      <c r="L1132" s="28" t="s">
        <v>4142</v>
      </c>
      <c r="M1132" s="28" t="s">
        <v>230</v>
      </c>
      <c r="N1132" s="28">
        <v>2008.0</v>
      </c>
      <c r="O1132" s="60" t="s">
        <v>4010</v>
      </c>
      <c r="P1132" s="28">
        <v>1.0</v>
      </c>
      <c r="Q1132" s="94">
        <v>1.0</v>
      </c>
      <c r="R1132" s="33"/>
      <c r="S1132" s="40"/>
      <c r="T1132" s="40"/>
      <c r="U1132" s="40"/>
      <c r="V1132" s="40"/>
      <c r="W1132" s="40"/>
      <c r="X1132" s="40"/>
      <c r="Y1132" s="45"/>
      <c r="Z1132" s="45"/>
      <c r="AA1132" s="45"/>
      <c r="AB1132" s="45"/>
      <c r="AC1132" s="45"/>
      <c r="AD1132" s="45"/>
      <c r="AE1132" s="45"/>
      <c r="AF1132" s="45"/>
      <c r="AG1132" s="45"/>
      <c r="AH1132" s="45"/>
      <c r="AI1132" s="45"/>
      <c r="AJ1132" s="45"/>
      <c r="AK1132" s="45"/>
      <c r="AL1132" s="45"/>
    </row>
    <row r="1133" ht="15.75" customHeight="1">
      <c r="A1133" s="27">
        <f t="shared" si="21"/>
        <v>12</v>
      </c>
      <c r="B1133" s="28" t="s">
        <v>31</v>
      </c>
      <c r="C1133" s="29" t="s">
        <v>4143</v>
      </c>
      <c r="D1133" s="30" t="s">
        <v>4144</v>
      </c>
      <c r="E1133" s="28" t="s">
        <v>144</v>
      </c>
      <c r="F1133" s="28" t="s">
        <v>29</v>
      </c>
      <c r="G1133" s="28" t="s">
        <v>37</v>
      </c>
      <c r="H1133" s="28"/>
      <c r="I1133" s="28" t="s">
        <v>38</v>
      </c>
      <c r="J1133" s="28">
        <f>370</f>
        <v>370</v>
      </c>
      <c r="K1133" s="28"/>
      <c r="L1133" s="28" t="s">
        <v>4145</v>
      </c>
      <c r="M1133" s="28" t="s">
        <v>2471</v>
      </c>
      <c r="N1133" s="28">
        <v>1966.0</v>
      </c>
      <c r="O1133" s="28" t="s">
        <v>4010</v>
      </c>
      <c r="P1133" s="28">
        <v>1.0</v>
      </c>
      <c r="Q1133" s="32">
        <v>1.0</v>
      </c>
      <c r="R1133" s="33"/>
      <c r="S1133" s="38"/>
      <c r="T1133" s="38"/>
      <c r="U1133" s="38"/>
      <c r="V1133" s="38"/>
      <c r="W1133" s="38"/>
      <c r="X1133" s="38"/>
      <c r="Y1133" s="45"/>
      <c r="Z1133" s="45"/>
      <c r="AA1133" s="45"/>
      <c r="AB1133" s="45"/>
      <c r="AC1133" s="45"/>
      <c r="AD1133" s="45"/>
      <c r="AE1133" s="45"/>
      <c r="AF1133" s="45"/>
      <c r="AG1133" s="45"/>
      <c r="AH1133" s="45"/>
      <c r="AI1133" s="45"/>
      <c r="AJ1133" s="45"/>
      <c r="AK1133" s="45"/>
      <c r="AL1133" s="45"/>
    </row>
    <row r="1134" ht="15.75" customHeight="1">
      <c r="A1134" s="27">
        <f t="shared" si="21"/>
        <v>13</v>
      </c>
      <c r="B1134" s="28" t="s">
        <v>4146</v>
      </c>
      <c r="C1134" s="29" t="s">
        <v>4147</v>
      </c>
      <c r="D1134" s="30" t="s">
        <v>4148</v>
      </c>
      <c r="E1134" s="28" t="s">
        <v>144</v>
      </c>
      <c r="F1134" s="28" t="s">
        <v>29</v>
      </c>
      <c r="G1134" s="28" t="s">
        <v>30</v>
      </c>
      <c r="H1134" s="28"/>
      <c r="I1134" s="28" t="s">
        <v>30</v>
      </c>
      <c r="J1134" s="31">
        <v>303.0</v>
      </c>
      <c r="K1134" s="28"/>
      <c r="L1134" s="28" t="s">
        <v>4149</v>
      </c>
      <c r="M1134" s="28" t="s">
        <v>4150</v>
      </c>
      <c r="N1134" s="28">
        <v>2006.0</v>
      </c>
      <c r="O1134" s="31">
        <v>12.0</v>
      </c>
      <c r="P1134" s="28">
        <v>1.0</v>
      </c>
      <c r="Q1134" s="32">
        <v>1.0</v>
      </c>
      <c r="R1134" s="33"/>
      <c r="S1134" s="40"/>
      <c r="T1134" s="40"/>
      <c r="U1134" s="40"/>
      <c r="V1134" s="40"/>
      <c r="W1134" s="40"/>
      <c r="X1134" s="40"/>
      <c r="Y1134" s="45"/>
      <c r="Z1134" s="45"/>
      <c r="AA1134" s="45"/>
      <c r="AB1134" s="45"/>
      <c r="AC1134" s="45"/>
      <c r="AD1134" s="45"/>
      <c r="AE1134" s="45"/>
      <c r="AF1134" s="45"/>
      <c r="AG1134" s="45"/>
      <c r="AH1134" s="45"/>
      <c r="AI1134" s="45"/>
      <c r="AJ1134" s="45"/>
      <c r="AK1134" s="45"/>
      <c r="AL1134" s="45"/>
    </row>
    <row r="1135" ht="15.75" customHeight="1">
      <c r="A1135" s="27">
        <f t="shared" si="21"/>
        <v>14</v>
      </c>
      <c r="B1135" s="28" t="s">
        <v>4151</v>
      </c>
      <c r="C1135" s="43" t="s">
        <v>4152</v>
      </c>
      <c r="D1135" s="30" t="s">
        <v>4153</v>
      </c>
      <c r="E1135" s="28" t="s">
        <v>144</v>
      </c>
      <c r="F1135" s="28" t="s">
        <v>29</v>
      </c>
      <c r="G1135" s="28" t="s">
        <v>30</v>
      </c>
      <c r="H1135" s="28"/>
      <c r="I1135" s="28" t="s">
        <v>30</v>
      </c>
      <c r="J1135" s="28">
        <f>404</f>
        <v>404</v>
      </c>
      <c r="K1135" s="28"/>
      <c r="L1135" s="28" t="s">
        <v>4154</v>
      </c>
      <c r="M1135" s="28" t="s">
        <v>161</v>
      </c>
      <c r="N1135" s="28">
        <v>1983.0</v>
      </c>
      <c r="O1135" s="31">
        <v>12.0</v>
      </c>
      <c r="P1135" s="28">
        <v>1.0</v>
      </c>
      <c r="Q1135" s="32">
        <v>1.0</v>
      </c>
      <c r="R1135" s="33"/>
      <c r="S1135" s="40"/>
      <c r="T1135" s="40"/>
      <c r="U1135" s="40"/>
      <c r="V1135" s="40"/>
      <c r="W1135" s="40"/>
      <c r="X1135" s="40"/>
      <c r="Y1135" s="45"/>
      <c r="Z1135" s="45"/>
      <c r="AA1135" s="45"/>
      <c r="AB1135" s="45"/>
      <c r="AC1135" s="45"/>
      <c r="AD1135" s="45"/>
      <c r="AE1135" s="45"/>
      <c r="AF1135" s="45"/>
      <c r="AG1135" s="45"/>
      <c r="AH1135" s="45"/>
      <c r="AI1135" s="45"/>
      <c r="AJ1135" s="45"/>
      <c r="AK1135" s="45"/>
      <c r="AL1135" s="45"/>
    </row>
    <row r="1136" ht="15.75" customHeight="1">
      <c r="A1136" s="27">
        <f t="shared" si="21"/>
        <v>15</v>
      </c>
      <c r="B1136" s="28" t="s">
        <v>4155</v>
      </c>
      <c r="C1136" s="102" t="s">
        <v>4156</v>
      </c>
      <c r="D1136" s="30" t="s">
        <v>4157</v>
      </c>
      <c r="E1136" s="28"/>
      <c r="F1136" s="28" t="s">
        <v>29</v>
      </c>
      <c r="G1136" s="28" t="s">
        <v>30</v>
      </c>
      <c r="H1136" s="28"/>
      <c r="I1136" s="28" t="s">
        <v>30</v>
      </c>
      <c r="J1136" s="28">
        <v>214.0</v>
      </c>
      <c r="K1136" s="28"/>
      <c r="L1136" s="28" t="s">
        <v>4158</v>
      </c>
      <c r="M1136" s="28" t="s">
        <v>161</v>
      </c>
      <c r="N1136" s="28">
        <v>2009.0</v>
      </c>
      <c r="O1136" s="60" t="s">
        <v>4010</v>
      </c>
      <c r="P1136" s="28">
        <v>1.0</v>
      </c>
      <c r="Q1136" s="94">
        <v>1.0</v>
      </c>
      <c r="R1136" s="33"/>
      <c r="S1136" s="40"/>
      <c r="T1136" s="40"/>
      <c r="U1136" s="40"/>
      <c r="V1136" s="40"/>
      <c r="W1136" s="40"/>
      <c r="X1136" s="40"/>
      <c r="Y1136" s="45"/>
      <c r="Z1136" s="45"/>
      <c r="AA1136" s="45"/>
      <c r="AB1136" s="45"/>
      <c r="AC1136" s="45"/>
      <c r="AD1136" s="45"/>
      <c r="AE1136" s="45"/>
      <c r="AF1136" s="45"/>
      <c r="AG1136" s="45"/>
      <c r="AH1136" s="45"/>
      <c r="AI1136" s="45"/>
      <c r="AJ1136" s="45"/>
      <c r="AK1136" s="45"/>
      <c r="AL1136" s="45"/>
    </row>
    <row r="1137" ht="15.75" customHeight="1">
      <c r="A1137" s="27">
        <f t="shared" si="21"/>
        <v>16</v>
      </c>
      <c r="B1137" s="28" t="s">
        <v>4159</v>
      </c>
      <c r="C1137" s="43" t="s">
        <v>4160</v>
      </c>
      <c r="D1137" s="30" t="s">
        <v>4161</v>
      </c>
      <c r="E1137" s="28" t="s">
        <v>144</v>
      </c>
      <c r="F1137" s="28" t="s">
        <v>29</v>
      </c>
      <c r="G1137" s="28" t="s">
        <v>30</v>
      </c>
      <c r="H1137" s="28"/>
      <c r="I1137" s="28" t="s">
        <v>30</v>
      </c>
      <c r="J1137" s="31">
        <v>300.0</v>
      </c>
      <c r="K1137" s="28"/>
      <c r="L1137" s="28" t="s">
        <v>4111</v>
      </c>
      <c r="M1137" s="28" t="s">
        <v>4107</v>
      </c>
      <c r="N1137" s="28">
        <v>2006.0</v>
      </c>
      <c r="O1137" s="62">
        <v>12.0</v>
      </c>
      <c r="P1137" s="28">
        <v>1.0</v>
      </c>
      <c r="Q1137" s="37">
        <v>1.0</v>
      </c>
      <c r="R1137" s="33"/>
      <c r="S1137" s="34"/>
      <c r="T1137" s="34"/>
      <c r="U1137" s="34"/>
      <c r="V1137" s="34"/>
      <c r="W1137" s="34"/>
      <c r="X1137" s="34"/>
      <c r="Y1137" s="45"/>
      <c r="Z1137" s="45"/>
      <c r="AA1137" s="45"/>
      <c r="AB1137" s="45"/>
      <c r="AC1137" s="45"/>
      <c r="AD1137" s="45"/>
      <c r="AE1137" s="45"/>
      <c r="AF1137" s="45"/>
      <c r="AG1137" s="45"/>
      <c r="AH1137" s="45"/>
      <c r="AI1137" s="45"/>
      <c r="AJ1137" s="45"/>
      <c r="AK1137" s="45"/>
      <c r="AL1137" s="45"/>
    </row>
    <row r="1138" ht="15.75" customHeight="1">
      <c r="A1138" s="27">
        <f t="shared" si="21"/>
        <v>17</v>
      </c>
      <c r="B1138" s="28" t="s">
        <v>4162</v>
      </c>
      <c r="C1138" s="43" t="s">
        <v>4163</v>
      </c>
      <c r="D1138" s="30" t="s">
        <v>4164</v>
      </c>
      <c r="E1138" s="28" t="s">
        <v>31</v>
      </c>
      <c r="F1138" s="28" t="s">
        <v>29</v>
      </c>
      <c r="G1138" s="28" t="s">
        <v>30</v>
      </c>
      <c r="H1138" s="28"/>
      <c r="I1138" s="28" t="s">
        <v>30</v>
      </c>
      <c r="J1138" s="28">
        <v>213.0</v>
      </c>
      <c r="K1138" s="28"/>
      <c r="L1138" s="28" t="s">
        <v>4165</v>
      </c>
      <c r="M1138" s="28" t="s">
        <v>4166</v>
      </c>
      <c r="N1138" s="28">
        <v>2009.0</v>
      </c>
      <c r="O1138" s="60" t="s">
        <v>4010</v>
      </c>
      <c r="P1138" s="28">
        <v>1.0</v>
      </c>
      <c r="Q1138" s="32">
        <v>1.0</v>
      </c>
      <c r="R1138" s="33"/>
      <c r="S1138" s="40"/>
      <c r="T1138" s="40"/>
      <c r="U1138" s="40"/>
      <c r="V1138" s="40"/>
      <c r="W1138" s="40"/>
      <c r="X1138" s="40"/>
      <c r="Y1138" s="45"/>
      <c r="Z1138" s="45"/>
      <c r="AA1138" s="45"/>
      <c r="AB1138" s="45"/>
      <c r="AC1138" s="45"/>
      <c r="AD1138" s="45"/>
      <c r="AE1138" s="45"/>
      <c r="AF1138" s="45"/>
      <c r="AG1138" s="45"/>
      <c r="AH1138" s="45"/>
      <c r="AI1138" s="45"/>
      <c r="AJ1138" s="45"/>
      <c r="AK1138" s="45"/>
      <c r="AL1138" s="45"/>
    </row>
    <row r="1139" ht="15.75" customHeight="1">
      <c r="A1139" s="27">
        <f t="shared" si="21"/>
        <v>18</v>
      </c>
      <c r="B1139" s="121" t="s">
        <v>4167</v>
      </c>
      <c r="C1139" s="124" t="s">
        <v>4168</v>
      </c>
      <c r="D1139" s="119" t="s">
        <v>4169</v>
      </c>
      <c r="E1139" s="83"/>
      <c r="F1139" s="121" t="s">
        <v>29</v>
      </c>
      <c r="G1139" s="121" t="s">
        <v>30</v>
      </c>
      <c r="H1139" s="83"/>
      <c r="I1139" s="121" t="s">
        <v>30</v>
      </c>
      <c r="J1139" s="121">
        <v>595.0</v>
      </c>
      <c r="K1139" s="83"/>
      <c r="L1139" s="121" t="s">
        <v>4170</v>
      </c>
      <c r="M1139" s="121" t="s">
        <v>169</v>
      </c>
      <c r="N1139" s="121">
        <v>2013.0</v>
      </c>
      <c r="O1139" s="31">
        <v>12.0</v>
      </c>
      <c r="P1139" s="121">
        <v>1.0</v>
      </c>
      <c r="Q1139" s="121">
        <v>1.0</v>
      </c>
      <c r="R1139" s="84"/>
      <c r="S1139" s="34"/>
      <c r="T1139" s="34"/>
      <c r="U1139" s="34"/>
      <c r="V1139" s="34"/>
      <c r="W1139" s="34"/>
      <c r="X1139" s="34"/>
      <c r="Y1139" s="45"/>
      <c r="Z1139" s="45"/>
      <c r="AA1139" s="45"/>
      <c r="AB1139" s="45"/>
      <c r="AC1139" s="45"/>
      <c r="AD1139" s="45"/>
      <c r="AE1139" s="45"/>
      <c r="AF1139" s="45"/>
      <c r="AG1139" s="45"/>
      <c r="AH1139" s="45"/>
      <c r="AI1139" s="45"/>
      <c r="AJ1139" s="45"/>
      <c r="AK1139" s="45"/>
      <c r="AL1139" s="45"/>
    </row>
    <row r="1140" ht="15.75" customHeight="1">
      <c r="A1140" s="27">
        <f t="shared" si="21"/>
        <v>19</v>
      </c>
      <c r="B1140" s="28" t="s">
        <v>4171</v>
      </c>
      <c r="C1140" s="29" t="s">
        <v>4172</v>
      </c>
      <c r="D1140" s="30" t="s">
        <v>4173</v>
      </c>
      <c r="E1140" s="28"/>
      <c r="F1140" s="28" t="s">
        <v>29</v>
      </c>
      <c r="G1140" s="28" t="s">
        <v>37</v>
      </c>
      <c r="H1140" s="28" t="s">
        <v>31</v>
      </c>
      <c r="I1140" s="28" t="s">
        <v>38</v>
      </c>
      <c r="J1140" s="28">
        <v>319.0</v>
      </c>
      <c r="K1140" s="28"/>
      <c r="L1140" s="28" t="s">
        <v>4174</v>
      </c>
      <c r="M1140" s="28" t="s">
        <v>230</v>
      </c>
      <c r="N1140" s="28">
        <v>2012.0</v>
      </c>
      <c r="O1140" s="28" t="s">
        <v>4010</v>
      </c>
      <c r="P1140" s="28">
        <v>2.0</v>
      </c>
      <c r="Q1140" s="94">
        <v>2.0</v>
      </c>
      <c r="R1140" s="33"/>
      <c r="S1140" s="40"/>
      <c r="T1140" s="40"/>
      <c r="U1140" s="40"/>
      <c r="V1140" s="40"/>
      <c r="W1140" s="40"/>
      <c r="X1140" s="40"/>
      <c r="Y1140" s="3"/>
      <c r="Z1140" s="3"/>
      <c r="AA1140" s="3"/>
      <c r="AB1140" s="3"/>
      <c r="AC1140" s="3"/>
      <c r="AD1140" s="3"/>
      <c r="AE1140" s="3"/>
      <c r="AF1140" s="3"/>
      <c r="AG1140" s="3"/>
      <c r="AH1140" s="3"/>
      <c r="AI1140" s="3"/>
      <c r="AJ1140" s="3"/>
      <c r="AK1140" s="3"/>
      <c r="AL1140" s="3"/>
    </row>
    <row r="1141" ht="15.75" customHeight="1">
      <c r="A1141" s="27">
        <f t="shared" si="21"/>
        <v>20</v>
      </c>
      <c r="B1141" s="28" t="s">
        <v>4175</v>
      </c>
      <c r="C1141" s="43" t="s">
        <v>4176</v>
      </c>
      <c r="D1141" s="30" t="s">
        <v>4177</v>
      </c>
      <c r="E1141" s="28" t="s">
        <v>302</v>
      </c>
      <c r="F1141" s="28" t="s">
        <v>29</v>
      </c>
      <c r="G1141" s="28" t="s">
        <v>30</v>
      </c>
      <c r="H1141" s="28"/>
      <c r="I1141" s="28" t="s">
        <v>30</v>
      </c>
      <c r="J1141" s="28">
        <v>60.0</v>
      </c>
      <c r="K1141" s="28"/>
      <c r="L1141" s="28" t="s">
        <v>4178</v>
      </c>
      <c r="M1141" s="28" t="s">
        <v>4179</v>
      </c>
      <c r="N1141" s="28">
        <v>2014.0</v>
      </c>
      <c r="O1141" s="28" t="s">
        <v>4010</v>
      </c>
      <c r="P1141" s="28">
        <v>1.0</v>
      </c>
      <c r="Q1141" s="32">
        <v>1.0</v>
      </c>
      <c r="R1141" s="33"/>
      <c r="S1141" s="40"/>
      <c r="T1141" s="40"/>
      <c r="U1141" s="40"/>
      <c r="V1141" s="40"/>
      <c r="W1141" s="40"/>
      <c r="X1141" s="40"/>
      <c r="Y1141" s="3"/>
      <c r="Z1141" s="3"/>
      <c r="AA1141" s="3"/>
      <c r="AB1141" s="3"/>
      <c r="AC1141" s="3"/>
      <c r="AD1141" s="3"/>
      <c r="AE1141" s="3"/>
      <c r="AF1141" s="3"/>
      <c r="AG1141" s="3"/>
      <c r="AH1141" s="3"/>
      <c r="AI1141" s="3"/>
      <c r="AJ1141" s="3"/>
      <c r="AK1141" s="3"/>
      <c r="AL1141" s="3"/>
    </row>
    <row r="1142" ht="15.75" customHeight="1">
      <c r="A1142" s="27">
        <f t="shared" si="21"/>
        <v>21</v>
      </c>
      <c r="B1142" s="28" t="s">
        <v>4180</v>
      </c>
      <c r="C1142" s="43" t="s">
        <v>4181</v>
      </c>
      <c r="D1142" s="30" t="s">
        <v>4182</v>
      </c>
      <c r="E1142" s="28" t="s">
        <v>144</v>
      </c>
      <c r="F1142" s="28" t="s">
        <v>29</v>
      </c>
      <c r="G1142" s="28" t="s">
        <v>37</v>
      </c>
      <c r="H1142" s="28" t="s">
        <v>31</v>
      </c>
      <c r="I1142" s="28" t="s">
        <v>38</v>
      </c>
      <c r="J1142" s="28">
        <f>242+10</f>
        <v>252</v>
      </c>
      <c r="K1142" s="28"/>
      <c r="L1142" s="28" t="s">
        <v>4183</v>
      </c>
      <c r="M1142" s="28" t="s">
        <v>3364</v>
      </c>
      <c r="N1142" s="28">
        <v>2008.0</v>
      </c>
      <c r="O1142" s="60" t="s">
        <v>4010</v>
      </c>
      <c r="P1142" s="28">
        <v>1.0</v>
      </c>
      <c r="Q1142" s="32">
        <v>1.0</v>
      </c>
      <c r="R1142" s="33"/>
      <c r="S1142" s="34"/>
      <c r="T1142" s="34"/>
      <c r="U1142" s="34"/>
      <c r="V1142" s="34"/>
      <c r="W1142" s="34"/>
      <c r="X1142" s="34"/>
      <c r="Y1142" s="45"/>
      <c r="Z1142" s="45"/>
      <c r="AA1142" s="45"/>
      <c r="AB1142" s="45"/>
      <c r="AC1142" s="45"/>
      <c r="AD1142" s="45"/>
      <c r="AE1142" s="45"/>
      <c r="AF1142" s="45"/>
      <c r="AG1142" s="45"/>
      <c r="AH1142" s="45"/>
      <c r="AI1142" s="45"/>
      <c r="AJ1142" s="45"/>
      <c r="AK1142" s="45"/>
      <c r="AL1142" s="45"/>
    </row>
    <row r="1143" ht="15.75" customHeight="1">
      <c r="A1143" s="27">
        <f t="shared" si="21"/>
        <v>22</v>
      </c>
      <c r="B1143" s="28" t="s">
        <v>31</v>
      </c>
      <c r="C1143" s="29" t="s">
        <v>4184</v>
      </c>
      <c r="D1143" s="30" t="s">
        <v>4185</v>
      </c>
      <c r="E1143" s="28" t="s">
        <v>31</v>
      </c>
      <c r="F1143" s="28" t="s">
        <v>29</v>
      </c>
      <c r="G1143" s="28" t="s">
        <v>3849</v>
      </c>
      <c r="H1143" s="28"/>
      <c r="I1143" s="28" t="s">
        <v>30</v>
      </c>
      <c r="J1143" s="28">
        <v>325.0</v>
      </c>
      <c r="K1143" s="28"/>
      <c r="L1143" s="28" t="s">
        <v>31</v>
      </c>
      <c r="M1143" s="28" t="s">
        <v>4186</v>
      </c>
      <c r="N1143" s="28" t="s">
        <v>31</v>
      </c>
      <c r="O1143" s="60" t="s">
        <v>4010</v>
      </c>
      <c r="P1143" s="28">
        <v>1.0</v>
      </c>
      <c r="Q1143" s="32">
        <v>1.0</v>
      </c>
      <c r="R1143" s="33"/>
      <c r="S1143" s="40"/>
      <c r="T1143" s="40"/>
      <c r="U1143" s="40"/>
      <c r="V1143" s="40"/>
      <c r="W1143" s="40"/>
      <c r="X1143" s="40"/>
      <c r="Y1143" s="45"/>
      <c r="Z1143" s="45"/>
      <c r="AA1143" s="45"/>
      <c r="AB1143" s="45"/>
      <c r="AC1143" s="45"/>
      <c r="AD1143" s="45"/>
      <c r="AE1143" s="45"/>
      <c r="AF1143" s="45"/>
      <c r="AG1143" s="45"/>
      <c r="AH1143" s="45"/>
      <c r="AI1143" s="45"/>
      <c r="AJ1143" s="45"/>
      <c r="AK1143" s="45"/>
      <c r="AL1143" s="45"/>
    </row>
    <row r="1144" ht="15.75" customHeight="1">
      <c r="A1144" s="27">
        <f t="shared" si="21"/>
        <v>23</v>
      </c>
      <c r="B1144" s="28" t="s">
        <v>4187</v>
      </c>
      <c r="C1144" s="29" t="s">
        <v>4188</v>
      </c>
      <c r="D1144" s="30" t="s">
        <v>4189</v>
      </c>
      <c r="E1144" s="28"/>
      <c r="F1144" s="28" t="s">
        <v>29</v>
      </c>
      <c r="G1144" s="28" t="s">
        <v>37</v>
      </c>
      <c r="H1144" s="28"/>
      <c r="I1144" s="28" t="s">
        <v>38</v>
      </c>
      <c r="J1144" s="28" t="s">
        <v>31</v>
      </c>
      <c r="K1144" s="28"/>
      <c r="L1144" s="28" t="s">
        <v>31</v>
      </c>
      <c r="M1144" s="28" t="s">
        <v>236</v>
      </c>
      <c r="N1144" s="28">
        <v>1995.0</v>
      </c>
      <c r="O1144" s="60" t="s">
        <v>4010</v>
      </c>
      <c r="P1144" s="28">
        <v>1.0</v>
      </c>
      <c r="Q1144" s="94">
        <v>1.0</v>
      </c>
      <c r="R1144" s="33"/>
      <c r="S1144" s="40"/>
      <c r="T1144" s="40"/>
      <c r="U1144" s="40"/>
      <c r="V1144" s="40"/>
      <c r="W1144" s="40"/>
      <c r="X1144" s="40"/>
      <c r="Y1144" s="3"/>
      <c r="Z1144" s="3"/>
      <c r="AA1144" s="3"/>
      <c r="AB1144" s="3"/>
      <c r="AC1144" s="3"/>
      <c r="AD1144" s="3"/>
      <c r="AE1144" s="3"/>
      <c r="AF1144" s="3"/>
      <c r="AG1144" s="3"/>
      <c r="AH1144" s="3"/>
      <c r="AI1144" s="3"/>
      <c r="AJ1144" s="3"/>
      <c r="AK1144" s="3"/>
      <c r="AL1144" s="3"/>
    </row>
    <row r="1145" ht="15.75" customHeight="1">
      <c r="A1145" s="27">
        <f t="shared" si="21"/>
        <v>24</v>
      </c>
      <c r="B1145" s="28" t="s">
        <v>4190</v>
      </c>
      <c r="C1145" s="102" t="s">
        <v>4191</v>
      </c>
      <c r="D1145" s="30" t="s">
        <v>4192</v>
      </c>
      <c r="E1145" s="28"/>
      <c r="F1145" s="28" t="s">
        <v>29</v>
      </c>
      <c r="G1145" s="28" t="s">
        <v>37</v>
      </c>
      <c r="H1145" s="28"/>
      <c r="I1145" s="28" t="s">
        <v>38</v>
      </c>
      <c r="J1145" s="28">
        <v>288.0</v>
      </c>
      <c r="K1145" s="28"/>
      <c r="L1145" s="28" t="s">
        <v>4193</v>
      </c>
      <c r="M1145" s="28" t="s">
        <v>4194</v>
      </c>
      <c r="N1145" s="28">
        <v>2000.0</v>
      </c>
      <c r="O1145" s="60" t="s">
        <v>4010</v>
      </c>
      <c r="P1145" s="28">
        <v>1.0</v>
      </c>
      <c r="Q1145" s="94">
        <v>1.0</v>
      </c>
      <c r="R1145" s="33"/>
      <c r="S1145" s="40"/>
      <c r="T1145" s="40"/>
      <c r="U1145" s="40"/>
      <c r="V1145" s="40"/>
      <c r="W1145" s="40"/>
      <c r="X1145" s="40"/>
      <c r="Y1145" s="3"/>
      <c r="Z1145" s="3"/>
      <c r="AA1145" s="3"/>
      <c r="AB1145" s="3"/>
      <c r="AC1145" s="3"/>
      <c r="AD1145" s="3"/>
      <c r="AE1145" s="3"/>
      <c r="AF1145" s="3"/>
      <c r="AG1145" s="3"/>
      <c r="AH1145" s="3"/>
      <c r="AI1145" s="3"/>
      <c r="AJ1145" s="3"/>
      <c r="AK1145" s="3"/>
      <c r="AL1145" s="3"/>
    </row>
    <row r="1146" ht="15.75" customHeight="1">
      <c r="A1146" s="27">
        <f t="shared" si="21"/>
        <v>25</v>
      </c>
      <c r="B1146" s="28" t="s">
        <v>4195</v>
      </c>
      <c r="C1146" s="29" t="s">
        <v>4196</v>
      </c>
      <c r="D1146" s="30" t="s">
        <v>4197</v>
      </c>
      <c r="E1146" s="28" t="s">
        <v>31</v>
      </c>
      <c r="F1146" s="28" t="s">
        <v>29</v>
      </c>
      <c r="G1146" s="28" t="s">
        <v>30</v>
      </c>
      <c r="H1146" s="28"/>
      <c r="I1146" s="28" t="s">
        <v>30</v>
      </c>
      <c r="J1146" s="28">
        <v>248.0</v>
      </c>
      <c r="K1146" s="28"/>
      <c r="L1146" s="28" t="s">
        <v>4198</v>
      </c>
      <c r="M1146" s="28" t="s">
        <v>151</v>
      </c>
      <c r="N1146" s="28">
        <v>2001.0</v>
      </c>
      <c r="O1146" s="28" t="s">
        <v>4010</v>
      </c>
      <c r="P1146" s="28">
        <v>2.0</v>
      </c>
      <c r="Q1146" s="94">
        <v>2.0</v>
      </c>
      <c r="R1146" s="33"/>
      <c r="S1146" s="40"/>
      <c r="T1146" s="40"/>
      <c r="U1146" s="40"/>
      <c r="V1146" s="40"/>
      <c r="W1146" s="40"/>
      <c r="X1146" s="40"/>
      <c r="Y1146" s="45"/>
      <c r="Z1146" s="45"/>
      <c r="AA1146" s="45"/>
      <c r="AB1146" s="45"/>
      <c r="AC1146" s="45"/>
      <c r="AD1146" s="45"/>
      <c r="AE1146" s="45"/>
      <c r="AF1146" s="45"/>
      <c r="AG1146" s="45"/>
      <c r="AH1146" s="45"/>
      <c r="AI1146" s="45"/>
      <c r="AJ1146" s="45"/>
      <c r="AK1146" s="45"/>
      <c r="AL1146" s="45"/>
    </row>
    <row r="1147" ht="15.75" customHeight="1">
      <c r="A1147" s="27">
        <f t="shared" si="21"/>
        <v>26</v>
      </c>
      <c r="B1147" s="28" t="s">
        <v>4199</v>
      </c>
      <c r="C1147" s="43" t="s">
        <v>4200</v>
      </c>
      <c r="D1147" s="30" t="s">
        <v>4201</v>
      </c>
      <c r="E1147" s="28" t="s">
        <v>144</v>
      </c>
      <c r="F1147" s="28" t="s">
        <v>29</v>
      </c>
      <c r="G1147" s="28" t="s">
        <v>159</v>
      </c>
      <c r="H1147" s="28"/>
      <c r="I1147" s="28" t="s">
        <v>159</v>
      </c>
      <c r="J1147" s="28">
        <v>106.0</v>
      </c>
      <c r="K1147" s="28"/>
      <c r="L1147" s="28" t="s">
        <v>4202</v>
      </c>
      <c r="M1147" s="28" t="s">
        <v>151</v>
      </c>
      <c r="N1147" s="28">
        <v>2002.0</v>
      </c>
      <c r="O1147" s="60" t="s">
        <v>4010</v>
      </c>
      <c r="P1147" s="28">
        <v>1.0</v>
      </c>
      <c r="Q1147" s="32">
        <v>1.0</v>
      </c>
      <c r="R1147" s="33"/>
      <c r="S1147" s="34"/>
      <c r="T1147" s="34"/>
      <c r="U1147" s="34"/>
      <c r="V1147" s="34"/>
      <c r="W1147" s="34"/>
      <c r="X1147" s="34"/>
      <c r="Y1147" s="45"/>
      <c r="Z1147" s="45"/>
      <c r="AA1147" s="45"/>
      <c r="AB1147" s="45"/>
      <c r="AC1147" s="45"/>
      <c r="AD1147" s="45"/>
      <c r="AE1147" s="45"/>
      <c r="AF1147" s="45"/>
      <c r="AG1147" s="45"/>
      <c r="AH1147" s="45"/>
      <c r="AI1147" s="45"/>
      <c r="AJ1147" s="45"/>
      <c r="AK1147" s="45"/>
      <c r="AL1147" s="45"/>
    </row>
    <row r="1148" ht="15.75" customHeight="1">
      <c r="A1148" s="27">
        <f t="shared" si="21"/>
        <v>27</v>
      </c>
      <c r="B1148" s="121" t="s">
        <v>4203</v>
      </c>
      <c r="C1148" s="156" t="s">
        <v>4204</v>
      </c>
      <c r="D1148" s="119" t="s">
        <v>4205</v>
      </c>
      <c r="E1148" s="83"/>
      <c r="F1148" s="121" t="s">
        <v>29</v>
      </c>
      <c r="G1148" s="121" t="s">
        <v>37</v>
      </c>
      <c r="H1148" s="83"/>
      <c r="I1148" s="121" t="s">
        <v>38</v>
      </c>
      <c r="J1148" s="121">
        <v>262.0</v>
      </c>
      <c r="K1148" s="83"/>
      <c r="L1148" s="121" t="s">
        <v>4206</v>
      </c>
      <c r="M1148" s="121" t="s">
        <v>4207</v>
      </c>
      <c r="N1148" s="121">
        <v>2003.0</v>
      </c>
      <c r="O1148" s="60" t="s">
        <v>4010</v>
      </c>
      <c r="P1148" s="121">
        <v>7.0</v>
      </c>
      <c r="Q1148" s="121">
        <v>7.0</v>
      </c>
      <c r="R1148" s="84"/>
      <c r="S1148" s="40"/>
      <c r="T1148" s="40"/>
      <c r="U1148" s="40"/>
      <c r="V1148" s="40"/>
      <c r="W1148" s="40"/>
      <c r="X1148" s="40"/>
      <c r="Y1148" s="45"/>
      <c r="Z1148" s="45"/>
      <c r="AA1148" s="45"/>
      <c r="AB1148" s="45"/>
      <c r="AC1148" s="45"/>
      <c r="AD1148" s="45"/>
      <c r="AE1148" s="45"/>
      <c r="AF1148" s="45"/>
      <c r="AG1148" s="45"/>
      <c r="AH1148" s="45"/>
      <c r="AI1148" s="45"/>
      <c r="AJ1148" s="45"/>
      <c r="AK1148" s="45"/>
      <c r="AL1148" s="45"/>
    </row>
    <row r="1149" ht="15.75" customHeight="1">
      <c r="A1149" s="27">
        <f t="shared" si="21"/>
        <v>28</v>
      </c>
      <c r="B1149" s="28" t="s">
        <v>4208</v>
      </c>
      <c r="C1149" s="43" t="s">
        <v>4209</v>
      </c>
      <c r="D1149" s="30" t="s">
        <v>4210</v>
      </c>
      <c r="E1149" s="28" t="s">
        <v>31</v>
      </c>
      <c r="F1149" s="28" t="s">
        <v>29</v>
      </c>
      <c r="G1149" s="28" t="s">
        <v>30</v>
      </c>
      <c r="H1149" s="28"/>
      <c r="I1149" s="28" t="s">
        <v>30</v>
      </c>
      <c r="J1149" s="28">
        <v>128.0</v>
      </c>
      <c r="K1149" s="28"/>
      <c r="L1149" s="28" t="s">
        <v>4211</v>
      </c>
      <c r="M1149" s="28" t="s">
        <v>4212</v>
      </c>
      <c r="N1149" s="28">
        <v>2003.0</v>
      </c>
      <c r="O1149" s="60" t="s">
        <v>4010</v>
      </c>
      <c r="P1149" s="28">
        <v>1.0</v>
      </c>
      <c r="Q1149" s="94">
        <v>1.0</v>
      </c>
      <c r="R1149" s="33"/>
      <c r="S1149" s="34"/>
      <c r="T1149" s="34"/>
      <c r="U1149" s="34"/>
      <c r="V1149" s="34"/>
      <c r="W1149" s="34"/>
      <c r="X1149" s="34"/>
      <c r="Y1149" s="3"/>
      <c r="Z1149" s="3"/>
      <c r="AA1149" s="3"/>
      <c r="AB1149" s="3"/>
      <c r="AC1149" s="3"/>
      <c r="AD1149" s="3"/>
      <c r="AE1149" s="3"/>
      <c r="AF1149" s="3"/>
      <c r="AG1149" s="3"/>
      <c r="AH1149" s="3"/>
      <c r="AI1149" s="3"/>
      <c r="AJ1149" s="3"/>
      <c r="AK1149" s="3"/>
      <c r="AL1149" s="3"/>
    </row>
    <row r="1150" ht="15.75" customHeight="1">
      <c r="A1150" s="27">
        <f t="shared" si="21"/>
        <v>29</v>
      </c>
      <c r="B1150" s="28" t="s">
        <v>31</v>
      </c>
      <c r="C1150" s="102" t="s">
        <v>4213</v>
      </c>
      <c r="D1150" s="30" t="s">
        <v>4214</v>
      </c>
      <c r="E1150" s="60" t="s">
        <v>144</v>
      </c>
      <c r="F1150" s="28" t="s">
        <v>29</v>
      </c>
      <c r="G1150" s="28" t="s">
        <v>31</v>
      </c>
      <c r="H1150" s="28"/>
      <c r="I1150" s="28" t="s">
        <v>38</v>
      </c>
      <c r="J1150" s="28">
        <v>328.0</v>
      </c>
      <c r="K1150" s="28"/>
      <c r="L1150" s="28" t="s">
        <v>4215</v>
      </c>
      <c r="M1150" s="60" t="s">
        <v>4216</v>
      </c>
      <c r="N1150" s="28" t="s">
        <v>31</v>
      </c>
      <c r="O1150" s="60" t="s">
        <v>4010</v>
      </c>
      <c r="P1150" s="28">
        <v>1.0</v>
      </c>
      <c r="Q1150" s="32">
        <v>1.0</v>
      </c>
      <c r="R1150" s="33"/>
      <c r="S1150" s="34"/>
      <c r="T1150" s="34"/>
      <c r="U1150" s="34"/>
      <c r="V1150" s="34"/>
      <c r="W1150" s="34"/>
      <c r="X1150" s="34"/>
      <c r="Y1150" s="45"/>
      <c r="Z1150" s="45"/>
      <c r="AA1150" s="45"/>
      <c r="AB1150" s="45"/>
      <c r="AC1150" s="45"/>
      <c r="AD1150" s="45"/>
      <c r="AE1150" s="45"/>
      <c r="AF1150" s="45"/>
      <c r="AG1150" s="45"/>
      <c r="AH1150" s="45"/>
      <c r="AI1150" s="45"/>
      <c r="AJ1150" s="45"/>
      <c r="AK1150" s="45"/>
      <c r="AL1150" s="45"/>
    </row>
    <row r="1151" ht="15.75" customHeight="1">
      <c r="A1151" s="27">
        <f t="shared" si="21"/>
        <v>30</v>
      </c>
      <c r="B1151" s="28" t="s">
        <v>4208</v>
      </c>
      <c r="C1151" s="43" t="s">
        <v>4217</v>
      </c>
      <c r="D1151" s="30" t="s">
        <v>4218</v>
      </c>
      <c r="E1151" s="28" t="s">
        <v>144</v>
      </c>
      <c r="F1151" s="28" t="s">
        <v>29</v>
      </c>
      <c r="G1151" s="28" t="s">
        <v>30</v>
      </c>
      <c r="H1151" s="28"/>
      <c r="I1151" s="28" t="s">
        <v>30</v>
      </c>
      <c r="J1151" s="28">
        <f>128+10</f>
        <v>138</v>
      </c>
      <c r="K1151" s="28"/>
      <c r="L1151" s="28" t="s">
        <v>4219</v>
      </c>
      <c r="M1151" s="28" t="s">
        <v>4212</v>
      </c>
      <c r="N1151" s="28">
        <v>2003.0</v>
      </c>
      <c r="O1151" s="60" t="s">
        <v>4010</v>
      </c>
      <c r="P1151" s="31">
        <v>4.0</v>
      </c>
      <c r="Q1151" s="114">
        <v>4.0</v>
      </c>
      <c r="R1151" s="33"/>
      <c r="S1151" s="40"/>
      <c r="T1151" s="40"/>
      <c r="U1151" s="40"/>
      <c r="V1151" s="40"/>
      <c r="W1151" s="40"/>
      <c r="X1151" s="40"/>
      <c r="Y1151" s="45"/>
      <c r="Z1151" s="45"/>
      <c r="AA1151" s="45"/>
      <c r="AB1151" s="45"/>
      <c r="AC1151" s="45"/>
      <c r="AD1151" s="45"/>
      <c r="AE1151" s="45"/>
      <c r="AF1151" s="45"/>
      <c r="AG1151" s="45"/>
      <c r="AH1151" s="45"/>
      <c r="AI1151" s="45"/>
      <c r="AJ1151" s="45"/>
      <c r="AK1151" s="45"/>
      <c r="AL1151" s="45"/>
    </row>
    <row r="1152" ht="15.75" customHeight="1">
      <c r="A1152" s="27">
        <f t="shared" si="21"/>
        <v>31</v>
      </c>
      <c r="B1152" s="28" t="s">
        <v>31</v>
      </c>
      <c r="C1152" s="43" t="s">
        <v>4220</v>
      </c>
      <c r="D1152" s="30" t="s">
        <v>4221</v>
      </c>
      <c r="E1152" s="28"/>
      <c r="F1152" s="28" t="s">
        <v>29</v>
      </c>
      <c r="G1152" s="28" t="s">
        <v>38</v>
      </c>
      <c r="H1152" s="28" t="s">
        <v>31</v>
      </c>
      <c r="I1152" s="28" t="s">
        <v>38</v>
      </c>
      <c r="J1152" s="28">
        <v>258.0</v>
      </c>
      <c r="K1152" s="28"/>
      <c r="L1152" s="28" t="s">
        <v>4222</v>
      </c>
      <c r="M1152" s="28" t="s">
        <v>54</v>
      </c>
      <c r="N1152" s="28">
        <v>1969.0</v>
      </c>
      <c r="O1152" s="60" t="s">
        <v>4010</v>
      </c>
      <c r="P1152" s="28">
        <v>1.0</v>
      </c>
      <c r="Q1152" s="94">
        <v>2.0</v>
      </c>
      <c r="R1152" s="33"/>
      <c r="S1152" s="40"/>
      <c r="T1152" s="40"/>
      <c r="U1152" s="40"/>
      <c r="V1152" s="40"/>
      <c r="W1152" s="40"/>
      <c r="X1152" s="40"/>
      <c r="Y1152" s="45"/>
      <c r="Z1152" s="45"/>
      <c r="AA1152" s="45"/>
      <c r="AB1152" s="45"/>
      <c r="AC1152" s="45"/>
      <c r="AD1152" s="45"/>
      <c r="AE1152" s="45"/>
      <c r="AF1152" s="45"/>
      <c r="AG1152" s="45"/>
      <c r="AH1152" s="45"/>
      <c r="AI1152" s="45"/>
      <c r="AJ1152" s="45"/>
      <c r="AK1152" s="45"/>
      <c r="AL1152" s="45"/>
    </row>
    <row r="1153" ht="15.75" customHeight="1">
      <c r="A1153" s="27">
        <f t="shared" si="21"/>
        <v>32</v>
      </c>
      <c r="B1153" s="28" t="s">
        <v>4223</v>
      </c>
      <c r="C1153" s="48" t="s">
        <v>4224</v>
      </c>
      <c r="D1153" s="120" t="s">
        <v>4225</v>
      </c>
      <c r="E1153" s="60" t="s">
        <v>302</v>
      </c>
      <c r="F1153" s="28" t="s">
        <v>29</v>
      </c>
      <c r="G1153" s="28" t="s">
        <v>37</v>
      </c>
      <c r="H1153" s="28"/>
      <c r="I1153" s="28" t="s">
        <v>38</v>
      </c>
      <c r="J1153" s="28">
        <v>269.0</v>
      </c>
      <c r="K1153" s="28"/>
      <c r="L1153" s="28" t="s">
        <v>4226</v>
      </c>
      <c r="M1153" s="28" t="s">
        <v>3268</v>
      </c>
      <c r="N1153" s="28">
        <v>2002.0</v>
      </c>
      <c r="O1153" s="60" t="s">
        <v>4010</v>
      </c>
      <c r="P1153" s="28">
        <v>1.0</v>
      </c>
      <c r="Q1153" s="94">
        <v>1.0</v>
      </c>
      <c r="R1153" s="33"/>
      <c r="S1153" s="40"/>
      <c r="T1153" s="40"/>
      <c r="U1153" s="40"/>
      <c r="V1153" s="40"/>
      <c r="W1153" s="40"/>
      <c r="X1153" s="40"/>
      <c r="Y1153" s="45"/>
      <c r="Z1153" s="45"/>
      <c r="AA1153" s="45"/>
      <c r="AB1153" s="45"/>
      <c r="AC1153" s="45"/>
      <c r="AD1153" s="45"/>
      <c r="AE1153" s="45"/>
      <c r="AF1153" s="45"/>
      <c r="AG1153" s="45"/>
      <c r="AH1153" s="45"/>
      <c r="AI1153" s="45"/>
      <c r="AJ1153" s="45"/>
      <c r="AK1153" s="45"/>
      <c r="AL1153" s="45"/>
    </row>
    <row r="1154" ht="15.75" customHeight="1">
      <c r="A1154" s="27">
        <f t="shared" si="21"/>
        <v>33</v>
      </c>
      <c r="B1154" s="28" t="s">
        <v>4203</v>
      </c>
      <c r="C1154" s="102" t="s">
        <v>4227</v>
      </c>
      <c r="D1154" s="30" t="s">
        <v>4228</v>
      </c>
      <c r="E1154" s="28"/>
      <c r="F1154" s="28" t="s">
        <v>740</v>
      </c>
      <c r="G1154" s="28" t="s">
        <v>2179</v>
      </c>
      <c r="H1154" s="28"/>
      <c r="I1154" s="28" t="s">
        <v>38</v>
      </c>
      <c r="J1154" s="28">
        <v>262.0</v>
      </c>
      <c r="K1154" s="28"/>
      <c r="L1154" s="28" t="s">
        <v>4229</v>
      </c>
      <c r="M1154" s="28" t="s">
        <v>54</v>
      </c>
      <c r="N1154" s="28">
        <v>2005.0</v>
      </c>
      <c r="O1154" s="60" t="s">
        <v>4010</v>
      </c>
      <c r="P1154" s="60">
        <v>4.0</v>
      </c>
      <c r="Q1154" s="60">
        <v>4.0</v>
      </c>
      <c r="R1154" s="33"/>
      <c r="S1154" s="40"/>
      <c r="T1154" s="40"/>
      <c r="U1154" s="40"/>
      <c r="V1154" s="40"/>
      <c r="W1154" s="40"/>
      <c r="X1154" s="40"/>
      <c r="Y1154" s="45"/>
      <c r="Z1154" s="45"/>
      <c r="AA1154" s="45"/>
      <c r="AB1154" s="45"/>
      <c r="AC1154" s="45"/>
      <c r="AD1154" s="45"/>
      <c r="AE1154" s="45"/>
      <c r="AF1154" s="45"/>
      <c r="AG1154" s="45"/>
      <c r="AH1154" s="45"/>
      <c r="AI1154" s="45"/>
      <c r="AJ1154" s="45"/>
      <c r="AK1154" s="45"/>
      <c r="AL1154" s="45"/>
    </row>
    <row r="1155" ht="15.75" customHeight="1">
      <c r="A1155" s="27">
        <f t="shared" si="21"/>
        <v>34</v>
      </c>
      <c r="B1155" s="121" t="s">
        <v>4230</v>
      </c>
      <c r="C1155" s="124" t="s">
        <v>4231</v>
      </c>
      <c r="D1155" s="119" t="s">
        <v>4232</v>
      </c>
      <c r="E1155" s="83"/>
      <c r="F1155" s="121" t="s">
        <v>29</v>
      </c>
      <c r="G1155" s="121" t="s">
        <v>37</v>
      </c>
      <c r="H1155" s="83"/>
      <c r="I1155" s="121" t="s">
        <v>38</v>
      </c>
      <c r="J1155" s="121">
        <v>183.0</v>
      </c>
      <c r="K1155" s="83"/>
      <c r="L1155" s="121" t="s">
        <v>4233</v>
      </c>
      <c r="M1155" s="121" t="s">
        <v>352</v>
      </c>
      <c r="N1155" s="121">
        <v>2008.0</v>
      </c>
      <c r="O1155" s="28" t="s">
        <v>4010</v>
      </c>
      <c r="P1155" s="121">
        <v>1.0</v>
      </c>
      <c r="Q1155" s="121">
        <v>1.0</v>
      </c>
      <c r="R1155" s="84"/>
      <c r="S1155" s="40"/>
      <c r="T1155" s="40"/>
      <c r="U1155" s="40"/>
      <c r="V1155" s="40"/>
      <c r="W1155" s="40"/>
      <c r="X1155" s="40"/>
      <c r="Y1155" s="45"/>
      <c r="Z1155" s="45"/>
      <c r="AA1155" s="45"/>
      <c r="AB1155" s="45"/>
      <c r="AC1155" s="45"/>
      <c r="AD1155" s="45"/>
      <c r="AE1155" s="45"/>
      <c r="AF1155" s="45"/>
      <c r="AG1155" s="45"/>
      <c r="AH1155" s="45"/>
      <c r="AI1155" s="45"/>
      <c r="AJ1155" s="45"/>
      <c r="AK1155" s="45"/>
      <c r="AL1155" s="45"/>
    </row>
    <row r="1156" ht="15.75" customHeight="1">
      <c r="A1156" s="27">
        <f t="shared" si="21"/>
        <v>35</v>
      </c>
      <c r="B1156" s="28" t="s">
        <v>4234</v>
      </c>
      <c r="C1156" s="43" t="s">
        <v>4235</v>
      </c>
      <c r="D1156" s="30" t="s">
        <v>4236</v>
      </c>
      <c r="E1156" s="28"/>
      <c r="F1156" s="28" t="s">
        <v>29</v>
      </c>
      <c r="G1156" s="28" t="s">
        <v>37</v>
      </c>
      <c r="H1156" s="28" t="s">
        <v>31</v>
      </c>
      <c r="I1156" s="28" t="s">
        <v>38</v>
      </c>
      <c r="J1156" s="28">
        <v>1119.0</v>
      </c>
      <c r="K1156" s="28"/>
      <c r="L1156" s="28" t="s">
        <v>4237</v>
      </c>
      <c r="M1156" s="28" t="s">
        <v>4238</v>
      </c>
      <c r="N1156" s="28">
        <v>2007.0</v>
      </c>
      <c r="O1156" s="28" t="s">
        <v>4010</v>
      </c>
      <c r="P1156" s="28">
        <v>2.0</v>
      </c>
      <c r="Q1156" s="94">
        <v>2.0</v>
      </c>
      <c r="R1156" s="33"/>
      <c r="S1156" s="34"/>
      <c r="T1156" s="34"/>
      <c r="U1156" s="34"/>
      <c r="V1156" s="34"/>
      <c r="W1156" s="34"/>
      <c r="X1156" s="34"/>
      <c r="Y1156" s="45"/>
      <c r="Z1156" s="45"/>
      <c r="AA1156" s="45"/>
      <c r="AB1156" s="45"/>
      <c r="AC1156" s="45"/>
      <c r="AD1156" s="45"/>
      <c r="AE1156" s="45"/>
      <c r="AF1156" s="45"/>
      <c r="AG1156" s="45"/>
      <c r="AH1156" s="45"/>
      <c r="AI1156" s="45"/>
      <c r="AJ1156" s="45"/>
      <c r="AK1156" s="45"/>
      <c r="AL1156" s="45"/>
    </row>
    <row r="1157" ht="15.75" customHeight="1">
      <c r="A1157" s="27">
        <f t="shared" si="21"/>
        <v>36</v>
      </c>
      <c r="B1157" s="28" t="s">
        <v>31</v>
      </c>
      <c r="C1157" s="102" t="s">
        <v>4239</v>
      </c>
      <c r="D1157" s="30" t="s">
        <v>4240</v>
      </c>
      <c r="E1157" s="28" t="s">
        <v>28</v>
      </c>
      <c r="F1157" s="28" t="s">
        <v>29</v>
      </c>
      <c r="G1157" s="28" t="s">
        <v>30</v>
      </c>
      <c r="H1157" s="28" t="s">
        <v>31</v>
      </c>
      <c r="I1157" s="28" t="s">
        <v>30</v>
      </c>
      <c r="J1157" s="28">
        <v>51.0</v>
      </c>
      <c r="K1157" s="28"/>
      <c r="L1157" s="28" t="s">
        <v>4241</v>
      </c>
      <c r="M1157" s="28" t="s">
        <v>151</v>
      </c>
      <c r="N1157" s="28">
        <v>1976.0</v>
      </c>
      <c r="O1157" s="31" t="s">
        <v>1381</v>
      </c>
      <c r="P1157" s="28">
        <v>1.0</v>
      </c>
      <c r="Q1157" s="32">
        <v>1.0</v>
      </c>
      <c r="R1157" s="33"/>
      <c r="S1157" s="38"/>
      <c r="T1157" s="38"/>
      <c r="U1157" s="38"/>
      <c r="V1157" s="38"/>
      <c r="W1157" s="38"/>
      <c r="X1157" s="38"/>
      <c r="Y1157" s="45"/>
      <c r="Z1157" s="45"/>
      <c r="AA1157" s="45"/>
      <c r="AB1157" s="45"/>
      <c r="AC1157" s="45"/>
      <c r="AD1157" s="45"/>
      <c r="AE1157" s="45"/>
      <c r="AF1157" s="45"/>
      <c r="AG1157" s="45"/>
      <c r="AH1157" s="45"/>
      <c r="AI1157" s="45"/>
      <c r="AJ1157" s="45"/>
      <c r="AK1157" s="45"/>
      <c r="AL1157" s="45"/>
    </row>
    <row r="1158" ht="15.75" customHeight="1">
      <c r="A1158" s="27">
        <f t="shared" si="21"/>
        <v>37</v>
      </c>
      <c r="B1158" s="28" t="s">
        <v>4242</v>
      </c>
      <c r="C1158" s="102" t="s">
        <v>4243</v>
      </c>
      <c r="D1158" s="30" t="s">
        <v>4244</v>
      </c>
      <c r="E1158" s="28" t="s">
        <v>28</v>
      </c>
      <c r="F1158" s="28" t="s">
        <v>29</v>
      </c>
      <c r="G1158" s="28" t="s">
        <v>30</v>
      </c>
      <c r="H1158" s="28"/>
      <c r="I1158" s="28" t="s">
        <v>30</v>
      </c>
      <c r="J1158" s="60">
        <v>276.0</v>
      </c>
      <c r="K1158" s="28"/>
      <c r="L1158" s="28" t="s">
        <v>4245</v>
      </c>
      <c r="M1158" s="60" t="s">
        <v>4212</v>
      </c>
      <c r="N1158" s="28"/>
      <c r="O1158" s="31" t="s">
        <v>1381</v>
      </c>
      <c r="P1158" s="28">
        <v>1.0</v>
      </c>
      <c r="Q1158" s="94">
        <v>1.0</v>
      </c>
      <c r="R1158" s="33"/>
      <c r="S1158" s="34"/>
      <c r="T1158" s="34"/>
      <c r="U1158" s="34"/>
      <c r="V1158" s="34"/>
      <c r="W1158" s="34"/>
      <c r="X1158" s="34"/>
      <c r="Y1158" s="45"/>
      <c r="Z1158" s="45"/>
      <c r="AA1158" s="45"/>
      <c r="AB1158" s="45"/>
      <c r="AC1158" s="45"/>
      <c r="AD1158" s="45"/>
      <c r="AE1158" s="45"/>
      <c r="AF1158" s="45"/>
      <c r="AG1158" s="45"/>
      <c r="AH1158" s="45"/>
      <c r="AI1158" s="45"/>
      <c r="AJ1158" s="45"/>
      <c r="AK1158" s="45"/>
      <c r="AL1158" s="45"/>
    </row>
    <row r="1159" ht="15.75" customHeight="1">
      <c r="A1159" s="27">
        <f t="shared" si="21"/>
        <v>38</v>
      </c>
      <c r="B1159" s="28" t="s">
        <v>4246</v>
      </c>
      <c r="C1159" s="43" t="s">
        <v>4247</v>
      </c>
      <c r="D1159" s="30" t="s">
        <v>4248</v>
      </c>
      <c r="E1159" s="28" t="s">
        <v>31</v>
      </c>
      <c r="F1159" s="28" t="s">
        <v>29</v>
      </c>
      <c r="G1159" s="28" t="s">
        <v>30</v>
      </c>
      <c r="H1159" s="28"/>
      <c r="I1159" s="28" t="s">
        <v>30</v>
      </c>
      <c r="J1159" s="28">
        <v>349.0</v>
      </c>
      <c r="K1159" s="28"/>
      <c r="L1159" s="28" t="s">
        <v>4249</v>
      </c>
      <c r="M1159" s="28" t="s">
        <v>1271</v>
      </c>
      <c r="N1159" s="28">
        <v>2001.0</v>
      </c>
      <c r="O1159" s="60" t="s">
        <v>4010</v>
      </c>
      <c r="P1159" s="28">
        <v>1.0</v>
      </c>
      <c r="Q1159" s="94">
        <v>1.0</v>
      </c>
      <c r="R1159" s="33"/>
      <c r="S1159" s="40"/>
      <c r="T1159" s="40"/>
      <c r="U1159" s="40"/>
      <c r="V1159" s="40"/>
      <c r="W1159" s="40"/>
      <c r="X1159" s="40"/>
      <c r="Y1159" s="45"/>
      <c r="Z1159" s="45"/>
      <c r="AA1159" s="45"/>
      <c r="AB1159" s="45"/>
      <c r="AC1159" s="45"/>
      <c r="AD1159" s="45"/>
      <c r="AE1159" s="45"/>
      <c r="AF1159" s="45"/>
      <c r="AG1159" s="45"/>
      <c r="AH1159" s="45"/>
      <c r="AI1159" s="45"/>
      <c r="AJ1159" s="45"/>
      <c r="AK1159" s="45"/>
      <c r="AL1159" s="45"/>
    </row>
    <row r="1160" ht="15.75" customHeight="1">
      <c r="A1160" s="27">
        <f t="shared" si="21"/>
        <v>39</v>
      </c>
      <c r="B1160" s="28" t="s">
        <v>4250</v>
      </c>
      <c r="C1160" s="43" t="s">
        <v>4251</v>
      </c>
      <c r="D1160" s="30" t="s">
        <v>4252</v>
      </c>
      <c r="E1160" s="28" t="s">
        <v>144</v>
      </c>
      <c r="F1160" s="28" t="s">
        <v>29</v>
      </c>
      <c r="G1160" s="28" t="s">
        <v>30</v>
      </c>
      <c r="H1160" s="28"/>
      <c r="I1160" s="28" t="s">
        <v>30</v>
      </c>
      <c r="J1160" s="28">
        <v>258.0</v>
      </c>
      <c r="K1160" s="28"/>
      <c r="L1160" s="28" t="s">
        <v>4253</v>
      </c>
      <c r="M1160" s="28" t="s">
        <v>151</v>
      </c>
      <c r="N1160" s="28">
        <v>2017.0</v>
      </c>
      <c r="O1160" s="31" t="s">
        <v>1381</v>
      </c>
      <c r="P1160" s="31">
        <v>2.0</v>
      </c>
      <c r="Q1160" s="37">
        <v>2.0</v>
      </c>
      <c r="R1160" s="33"/>
      <c r="S1160" s="40"/>
      <c r="T1160" s="40"/>
      <c r="U1160" s="40"/>
      <c r="V1160" s="40"/>
      <c r="W1160" s="40"/>
      <c r="X1160" s="40"/>
      <c r="Y1160" s="45"/>
      <c r="Z1160" s="45"/>
      <c r="AA1160" s="45"/>
      <c r="AB1160" s="45"/>
      <c r="AC1160" s="45"/>
      <c r="AD1160" s="45"/>
      <c r="AE1160" s="45"/>
      <c r="AF1160" s="45"/>
      <c r="AG1160" s="45"/>
      <c r="AH1160" s="45"/>
      <c r="AI1160" s="45"/>
      <c r="AJ1160" s="45"/>
      <c r="AK1160" s="45"/>
      <c r="AL1160" s="45"/>
    </row>
    <row r="1161" ht="15.75" customHeight="1">
      <c r="A1161" s="27">
        <f t="shared" si="21"/>
        <v>40</v>
      </c>
      <c r="B1161" s="28" t="s">
        <v>31</v>
      </c>
      <c r="C1161" s="102" t="s">
        <v>4254</v>
      </c>
      <c r="D1161" s="30" t="s">
        <v>4255</v>
      </c>
      <c r="E1161" s="28" t="s">
        <v>28</v>
      </c>
      <c r="F1161" s="28" t="s">
        <v>29</v>
      </c>
      <c r="G1161" s="28" t="s">
        <v>30</v>
      </c>
      <c r="H1161" s="28" t="s">
        <v>31</v>
      </c>
      <c r="I1161" s="28" t="s">
        <v>30</v>
      </c>
      <c r="J1161" s="28">
        <v>80.0</v>
      </c>
      <c r="K1161" s="28"/>
      <c r="L1161" s="28" t="s">
        <v>4256</v>
      </c>
      <c r="M1161" s="28" t="s">
        <v>151</v>
      </c>
      <c r="N1161" s="28">
        <v>1974.0</v>
      </c>
      <c r="O1161" s="31" t="s">
        <v>1381</v>
      </c>
      <c r="P1161" s="28">
        <v>1.0</v>
      </c>
      <c r="Q1161" s="32">
        <v>1.0</v>
      </c>
      <c r="R1161" s="33"/>
      <c r="S1161" s="40"/>
      <c r="T1161" s="40"/>
      <c r="U1161" s="40"/>
      <c r="V1161" s="40"/>
      <c r="W1161" s="40"/>
      <c r="X1161" s="40"/>
      <c r="Y1161" s="45"/>
      <c r="Z1161" s="45"/>
      <c r="AA1161" s="45"/>
      <c r="AB1161" s="45"/>
      <c r="AC1161" s="45"/>
      <c r="AD1161" s="45"/>
      <c r="AE1161" s="45"/>
      <c r="AF1161" s="45"/>
      <c r="AG1161" s="45"/>
      <c r="AH1161" s="45"/>
      <c r="AI1161" s="45"/>
      <c r="AJ1161" s="45"/>
      <c r="AK1161" s="45"/>
      <c r="AL1161" s="45"/>
    </row>
    <row r="1162" ht="15.75" customHeight="1">
      <c r="A1162" s="27">
        <f t="shared" si="21"/>
        <v>41</v>
      </c>
      <c r="B1162" s="83"/>
      <c r="C1162" s="121" t="s">
        <v>4257</v>
      </c>
      <c r="D1162" s="128" t="s">
        <v>4258</v>
      </c>
      <c r="E1162" s="121" t="s">
        <v>28</v>
      </c>
      <c r="F1162" s="121" t="s">
        <v>29</v>
      </c>
      <c r="G1162" s="121" t="s">
        <v>30</v>
      </c>
      <c r="H1162" s="83"/>
      <c r="I1162" s="121" t="s">
        <v>30</v>
      </c>
      <c r="J1162" s="121">
        <v>243.0</v>
      </c>
      <c r="K1162" s="83"/>
      <c r="L1162" s="121" t="s">
        <v>3263</v>
      </c>
      <c r="M1162" s="121" t="s">
        <v>151</v>
      </c>
      <c r="N1162" s="121">
        <v>1983.0</v>
      </c>
      <c r="O1162" s="31" t="s">
        <v>1381</v>
      </c>
      <c r="P1162" s="121">
        <v>1.0</v>
      </c>
      <c r="Q1162" s="121">
        <v>1.0</v>
      </c>
      <c r="R1162" s="84"/>
      <c r="S1162" s="40"/>
      <c r="T1162" s="40"/>
      <c r="U1162" s="40"/>
      <c r="V1162" s="40"/>
      <c r="W1162" s="40"/>
      <c r="X1162" s="40"/>
      <c r="Y1162" s="3"/>
      <c r="Z1162" s="3"/>
      <c r="AA1162" s="3"/>
      <c r="AB1162" s="3"/>
      <c r="AC1162" s="3"/>
      <c r="AD1162" s="3"/>
      <c r="AE1162" s="3"/>
      <c r="AF1162" s="3"/>
      <c r="AG1162" s="3"/>
      <c r="AH1162" s="3"/>
      <c r="AI1162" s="3"/>
      <c r="AJ1162" s="3"/>
      <c r="AK1162" s="3"/>
      <c r="AL1162" s="3"/>
    </row>
    <row r="1163" ht="15.75" customHeight="1">
      <c r="A1163" s="27">
        <f t="shared" si="21"/>
        <v>42</v>
      </c>
      <c r="B1163" s="28">
        <v>9.781453890295E12</v>
      </c>
      <c r="C1163" s="29" t="s">
        <v>4259</v>
      </c>
      <c r="D1163" s="30" t="s">
        <v>4260</v>
      </c>
      <c r="E1163" s="28" t="s">
        <v>144</v>
      </c>
      <c r="F1163" s="28" t="s">
        <v>29</v>
      </c>
      <c r="G1163" s="28" t="s">
        <v>159</v>
      </c>
      <c r="H1163" s="28"/>
      <c r="I1163" s="28" t="s">
        <v>159</v>
      </c>
      <c r="J1163" s="28">
        <v>242.0</v>
      </c>
      <c r="K1163" s="28"/>
      <c r="L1163" s="31" t="s">
        <v>4261</v>
      </c>
      <c r="M1163" s="28"/>
      <c r="N1163" s="28">
        <v>2010.0</v>
      </c>
      <c r="O1163" s="60" t="s">
        <v>4010</v>
      </c>
      <c r="P1163" s="28">
        <v>1.0</v>
      </c>
      <c r="Q1163" s="32">
        <v>1.0</v>
      </c>
      <c r="R1163" s="33"/>
      <c r="S1163" s="34"/>
      <c r="T1163" s="34"/>
      <c r="U1163" s="34"/>
      <c r="V1163" s="34"/>
      <c r="W1163" s="34"/>
      <c r="X1163" s="34"/>
      <c r="Y1163" s="45"/>
      <c r="Z1163" s="45"/>
      <c r="AA1163" s="45"/>
      <c r="AB1163" s="45"/>
      <c r="AC1163" s="45"/>
      <c r="AD1163" s="45"/>
      <c r="AE1163" s="45"/>
      <c r="AF1163" s="45"/>
      <c r="AG1163" s="45"/>
      <c r="AH1163" s="45"/>
      <c r="AI1163" s="45"/>
      <c r="AJ1163" s="45"/>
      <c r="AK1163" s="45"/>
      <c r="AL1163" s="45"/>
    </row>
    <row r="1164" ht="15.75" customHeight="1">
      <c r="A1164" s="27">
        <f t="shared" si="21"/>
        <v>43</v>
      </c>
      <c r="B1164" s="28" t="s">
        <v>31</v>
      </c>
      <c r="C1164" s="29" t="s">
        <v>4262</v>
      </c>
      <c r="D1164" s="30" t="s">
        <v>4263</v>
      </c>
      <c r="E1164" s="28"/>
      <c r="F1164" s="28" t="s">
        <v>29</v>
      </c>
      <c r="G1164" s="28" t="s">
        <v>131</v>
      </c>
      <c r="H1164" s="28"/>
      <c r="I1164" s="28" t="s">
        <v>38</v>
      </c>
      <c r="J1164" s="28">
        <v>334.0</v>
      </c>
      <c r="K1164" s="28"/>
      <c r="L1164" s="28" t="s">
        <v>4264</v>
      </c>
      <c r="M1164" s="28" t="s">
        <v>3465</v>
      </c>
      <c r="N1164" s="28">
        <v>1971.0</v>
      </c>
      <c r="O1164" s="60" t="s">
        <v>4010</v>
      </c>
      <c r="P1164" s="28">
        <v>1.0</v>
      </c>
      <c r="Q1164" s="94">
        <v>1.0</v>
      </c>
      <c r="R1164" s="33"/>
      <c r="S1164" s="40"/>
      <c r="T1164" s="40"/>
      <c r="U1164" s="40"/>
      <c r="V1164" s="40"/>
      <c r="W1164" s="40"/>
      <c r="X1164" s="40"/>
      <c r="Y1164" s="3"/>
      <c r="Z1164" s="3"/>
      <c r="AA1164" s="3"/>
      <c r="AB1164" s="3"/>
      <c r="AC1164" s="3"/>
      <c r="AD1164" s="3"/>
      <c r="AE1164" s="3"/>
      <c r="AF1164" s="3"/>
      <c r="AG1164" s="3"/>
      <c r="AH1164" s="3"/>
      <c r="AI1164" s="3"/>
      <c r="AJ1164" s="3"/>
      <c r="AK1164" s="3"/>
      <c r="AL1164" s="3"/>
    </row>
    <row r="1165" ht="15.75" customHeight="1">
      <c r="A1165" s="27">
        <f t="shared" si="21"/>
        <v>44</v>
      </c>
      <c r="B1165" s="83"/>
      <c r="C1165" s="121" t="s">
        <v>4265</v>
      </c>
      <c r="D1165" s="119" t="s">
        <v>4266</v>
      </c>
      <c r="E1165" s="83"/>
      <c r="F1165" s="121" t="s">
        <v>29</v>
      </c>
      <c r="G1165" s="121" t="s">
        <v>30</v>
      </c>
      <c r="H1165" s="83"/>
      <c r="I1165" s="121" t="s">
        <v>30</v>
      </c>
      <c r="J1165" s="121">
        <v>175.0</v>
      </c>
      <c r="K1165" s="83"/>
      <c r="L1165" s="121" t="s">
        <v>4267</v>
      </c>
      <c r="M1165" s="121" t="s">
        <v>3684</v>
      </c>
      <c r="N1165" s="121">
        <v>1965.0</v>
      </c>
      <c r="O1165" s="31" t="s">
        <v>1381</v>
      </c>
      <c r="P1165" s="121">
        <v>1.0</v>
      </c>
      <c r="Q1165" s="121">
        <v>1.0</v>
      </c>
      <c r="R1165" s="84"/>
      <c r="S1165" s="40"/>
      <c r="T1165" s="40"/>
      <c r="U1165" s="40"/>
      <c r="V1165" s="40"/>
      <c r="W1165" s="40"/>
      <c r="X1165" s="40"/>
      <c r="Y1165" s="45"/>
      <c r="Z1165" s="45"/>
      <c r="AA1165" s="45"/>
      <c r="AB1165" s="45"/>
      <c r="AC1165" s="45"/>
      <c r="AD1165" s="45"/>
      <c r="AE1165" s="45"/>
      <c r="AF1165" s="45"/>
      <c r="AG1165" s="45"/>
      <c r="AH1165" s="45"/>
      <c r="AI1165" s="45"/>
      <c r="AJ1165" s="45"/>
      <c r="AK1165" s="45"/>
      <c r="AL1165" s="45"/>
    </row>
    <row r="1166" ht="15.75" customHeight="1">
      <c r="A1166" s="27">
        <f t="shared" si="21"/>
        <v>45</v>
      </c>
      <c r="B1166" s="28"/>
      <c r="C1166" s="43" t="s">
        <v>4268</v>
      </c>
      <c r="D1166" s="30" t="s">
        <v>4269</v>
      </c>
      <c r="E1166" s="28" t="s">
        <v>144</v>
      </c>
      <c r="F1166" s="28" t="s">
        <v>29</v>
      </c>
      <c r="G1166" s="28" t="s">
        <v>131</v>
      </c>
      <c r="H1166" s="28"/>
      <c r="I1166" s="28" t="s">
        <v>131</v>
      </c>
      <c r="J1166" s="28">
        <v>72.0</v>
      </c>
      <c r="K1166" s="28"/>
      <c r="L1166" s="28" t="s">
        <v>4270</v>
      </c>
      <c r="M1166" s="60" t="s">
        <v>31</v>
      </c>
      <c r="N1166" s="28">
        <v>1968.0</v>
      </c>
      <c r="O1166" s="60" t="s">
        <v>4010</v>
      </c>
      <c r="P1166" s="28">
        <v>1.0</v>
      </c>
      <c r="Q1166" s="37">
        <v>1.0</v>
      </c>
      <c r="R1166" s="33"/>
      <c r="S1166" s="34"/>
      <c r="T1166" s="34"/>
      <c r="U1166" s="34"/>
      <c r="V1166" s="34"/>
      <c r="W1166" s="34"/>
      <c r="X1166" s="34"/>
      <c r="Y1166" s="3"/>
      <c r="Z1166" s="3"/>
      <c r="AA1166" s="3"/>
      <c r="AB1166" s="3"/>
      <c r="AC1166" s="3"/>
      <c r="AD1166" s="3"/>
      <c r="AE1166" s="3"/>
      <c r="AF1166" s="3"/>
      <c r="AG1166" s="3"/>
      <c r="AH1166" s="3"/>
      <c r="AI1166" s="3"/>
      <c r="AJ1166" s="3"/>
      <c r="AK1166" s="3"/>
      <c r="AL1166" s="3"/>
    </row>
    <row r="1167" ht="15.75" customHeight="1">
      <c r="A1167" s="27">
        <f t="shared" si="21"/>
        <v>46</v>
      </c>
      <c r="B1167" s="28" t="s">
        <v>4271</v>
      </c>
      <c r="C1167" s="102" t="s">
        <v>4272</v>
      </c>
      <c r="D1167" s="30" t="s">
        <v>4273</v>
      </c>
      <c r="E1167" s="28" t="s">
        <v>28</v>
      </c>
      <c r="F1167" s="28" t="s">
        <v>29</v>
      </c>
      <c r="G1167" s="28" t="s">
        <v>31</v>
      </c>
      <c r="H1167" s="28"/>
      <c r="I1167" s="28"/>
      <c r="J1167" s="28">
        <v>1347.0</v>
      </c>
      <c r="K1167" s="28"/>
      <c r="L1167" s="31" t="s">
        <v>4274</v>
      </c>
      <c r="M1167" s="28" t="s">
        <v>4275</v>
      </c>
      <c r="N1167" s="28">
        <v>1995.0</v>
      </c>
      <c r="O1167" s="62">
        <v>9.0</v>
      </c>
      <c r="P1167" s="28">
        <v>2.0</v>
      </c>
      <c r="Q1167" s="94">
        <v>2.0</v>
      </c>
      <c r="R1167" s="33"/>
      <c r="S1167" s="40"/>
      <c r="T1167" s="40"/>
      <c r="U1167" s="40"/>
      <c r="V1167" s="40"/>
      <c r="W1167" s="40"/>
      <c r="X1167" s="40"/>
      <c r="Y1167" s="3"/>
      <c r="Z1167" s="3"/>
      <c r="AA1167" s="3"/>
      <c r="AB1167" s="3"/>
      <c r="AC1167" s="3"/>
      <c r="AD1167" s="3"/>
      <c r="AE1167" s="3"/>
      <c r="AF1167" s="3"/>
      <c r="AG1167" s="3"/>
      <c r="AH1167" s="3"/>
      <c r="AI1167" s="3"/>
      <c r="AJ1167" s="3"/>
      <c r="AK1167" s="3"/>
      <c r="AL1167" s="3"/>
    </row>
    <row r="1168" ht="15.75" customHeight="1">
      <c r="A1168" s="27">
        <f t="shared" si="21"/>
        <v>47</v>
      </c>
      <c r="B1168" s="28"/>
      <c r="C1168" s="43" t="s">
        <v>4276</v>
      </c>
      <c r="D1168" s="30" t="s">
        <v>4277</v>
      </c>
      <c r="E1168" s="28" t="s">
        <v>28</v>
      </c>
      <c r="F1168" s="28" t="s">
        <v>29</v>
      </c>
      <c r="G1168" s="28" t="s">
        <v>30</v>
      </c>
      <c r="H1168" s="28"/>
      <c r="I1168" s="28" t="s">
        <v>30</v>
      </c>
      <c r="J1168" s="28">
        <v>152.0</v>
      </c>
      <c r="K1168" s="28"/>
      <c r="L1168" s="28" t="s">
        <v>4278</v>
      </c>
      <c r="M1168" s="28" t="s">
        <v>3426</v>
      </c>
      <c r="N1168" s="28">
        <v>1966.0</v>
      </c>
      <c r="O1168" s="31" t="s">
        <v>1381</v>
      </c>
      <c r="P1168" s="28">
        <v>1.0</v>
      </c>
      <c r="Q1168" s="32">
        <v>1.0</v>
      </c>
      <c r="R1168" s="33"/>
      <c r="S1168" s="34"/>
      <c r="T1168" s="34"/>
      <c r="U1168" s="34"/>
      <c r="V1168" s="34"/>
      <c r="W1168" s="34"/>
      <c r="X1168" s="34"/>
      <c r="Y1168" s="45"/>
      <c r="Z1168" s="45"/>
      <c r="AA1168" s="45"/>
      <c r="AB1168" s="45"/>
      <c r="AC1168" s="45"/>
      <c r="AD1168" s="45"/>
      <c r="AE1168" s="45"/>
      <c r="AF1168" s="45"/>
      <c r="AG1168" s="45"/>
      <c r="AH1168" s="45"/>
      <c r="AI1168" s="45"/>
      <c r="AJ1168" s="45"/>
      <c r="AK1168" s="45"/>
      <c r="AL1168" s="45"/>
    </row>
    <row r="1169" ht="15.75" customHeight="1">
      <c r="A1169" s="27">
        <f t="shared" si="21"/>
        <v>48</v>
      </c>
      <c r="B1169" s="28" t="s">
        <v>3135</v>
      </c>
      <c r="C1169" s="102" t="s">
        <v>4279</v>
      </c>
      <c r="D1169" s="30" t="s">
        <v>3137</v>
      </c>
      <c r="E1169" s="28" t="s">
        <v>28</v>
      </c>
      <c r="F1169" s="28" t="s">
        <v>29</v>
      </c>
      <c r="G1169" s="28" t="s">
        <v>30</v>
      </c>
      <c r="H1169" s="28" t="s">
        <v>31</v>
      </c>
      <c r="I1169" s="28" t="s">
        <v>30</v>
      </c>
      <c r="J1169" s="28">
        <v>70.0</v>
      </c>
      <c r="K1169" s="28"/>
      <c r="L1169" s="28" t="s">
        <v>3138</v>
      </c>
      <c r="M1169" s="28" t="s">
        <v>151</v>
      </c>
      <c r="N1169" s="28">
        <v>2003.0</v>
      </c>
      <c r="O1169" s="60" t="s">
        <v>4010</v>
      </c>
      <c r="P1169" s="28">
        <v>1.0</v>
      </c>
      <c r="Q1169" s="32">
        <v>1.0</v>
      </c>
      <c r="R1169" s="33"/>
      <c r="S1169" s="34"/>
      <c r="T1169" s="34"/>
      <c r="U1169" s="34"/>
      <c r="V1169" s="34"/>
      <c r="W1169" s="34"/>
      <c r="X1169" s="34"/>
      <c r="Y1169" s="45"/>
      <c r="Z1169" s="45"/>
      <c r="AA1169" s="45"/>
      <c r="AB1169" s="45"/>
      <c r="AC1169" s="45"/>
      <c r="AD1169" s="45"/>
      <c r="AE1169" s="45"/>
      <c r="AF1169" s="45"/>
      <c r="AG1169" s="45"/>
      <c r="AH1169" s="45"/>
      <c r="AI1169" s="45"/>
      <c r="AJ1169" s="45"/>
      <c r="AK1169" s="45"/>
      <c r="AL1169" s="45"/>
    </row>
    <row r="1170" ht="15.75" customHeight="1">
      <c r="A1170" s="27">
        <f t="shared" si="21"/>
        <v>49</v>
      </c>
      <c r="B1170" s="83" t="s">
        <v>4280</v>
      </c>
      <c r="C1170" s="86" t="s">
        <v>4281</v>
      </c>
      <c r="D1170" s="118" t="s">
        <v>4282</v>
      </c>
      <c r="E1170" s="118"/>
      <c r="F1170" s="83" t="s">
        <v>29</v>
      </c>
      <c r="G1170" s="83" t="s">
        <v>30</v>
      </c>
      <c r="H1170" s="118"/>
      <c r="I1170" s="83" t="s">
        <v>30</v>
      </c>
      <c r="J1170" s="83">
        <v>67.0</v>
      </c>
      <c r="K1170" s="118"/>
      <c r="L1170" s="83" t="s">
        <v>4283</v>
      </c>
      <c r="M1170" s="118" t="s">
        <v>4284</v>
      </c>
      <c r="N1170" s="118">
        <v>2016.0</v>
      </c>
      <c r="O1170" s="121" t="s">
        <v>4010</v>
      </c>
      <c r="P1170" s="118">
        <v>1.0</v>
      </c>
      <c r="Q1170" s="83">
        <v>1.0</v>
      </c>
      <c r="R1170" s="84"/>
      <c r="S1170" s="34"/>
      <c r="T1170" s="34"/>
      <c r="U1170" s="34"/>
      <c r="V1170" s="34"/>
      <c r="W1170" s="34"/>
      <c r="X1170" s="34"/>
      <c r="Y1170" s="45"/>
      <c r="Z1170" s="45"/>
      <c r="AA1170" s="45"/>
      <c r="AB1170" s="45"/>
      <c r="AC1170" s="45"/>
      <c r="AD1170" s="45"/>
      <c r="AE1170" s="45"/>
      <c r="AF1170" s="45"/>
      <c r="AG1170" s="45"/>
      <c r="AH1170" s="45"/>
      <c r="AI1170" s="45"/>
      <c r="AJ1170" s="45"/>
      <c r="AK1170" s="45"/>
      <c r="AL1170" s="45"/>
    </row>
    <row r="1171" ht="15.75" customHeight="1">
      <c r="A1171" s="27">
        <f t="shared" si="21"/>
        <v>50</v>
      </c>
      <c r="B1171" s="28" t="s">
        <v>31</v>
      </c>
      <c r="C1171" s="102" t="s">
        <v>4285</v>
      </c>
      <c r="D1171" s="30" t="s">
        <v>4286</v>
      </c>
      <c r="E1171" s="28" t="s">
        <v>28</v>
      </c>
      <c r="F1171" s="28" t="s">
        <v>29</v>
      </c>
      <c r="G1171" s="28" t="s">
        <v>30</v>
      </c>
      <c r="H1171" s="28"/>
      <c r="I1171" s="28" t="s">
        <v>30</v>
      </c>
      <c r="J1171" s="28">
        <v>123.0</v>
      </c>
      <c r="K1171" s="28"/>
      <c r="L1171" s="28" t="s">
        <v>4287</v>
      </c>
      <c r="M1171" s="28" t="s">
        <v>151</v>
      </c>
      <c r="N1171" s="28">
        <v>1966.0</v>
      </c>
      <c r="O1171" s="31" t="s">
        <v>1381</v>
      </c>
      <c r="P1171" s="28">
        <v>1.0</v>
      </c>
      <c r="Q1171" s="32">
        <v>1.0</v>
      </c>
      <c r="R1171" s="33"/>
      <c r="S1171" s="40"/>
      <c r="T1171" s="40"/>
      <c r="U1171" s="40"/>
      <c r="V1171" s="40"/>
      <c r="W1171" s="40"/>
      <c r="X1171" s="40"/>
      <c r="Y1171" s="3"/>
      <c r="Z1171" s="3"/>
      <c r="AA1171" s="3"/>
      <c r="AB1171" s="3"/>
      <c r="AC1171" s="3"/>
      <c r="AD1171" s="3"/>
      <c r="AE1171" s="3"/>
      <c r="AF1171" s="3"/>
      <c r="AG1171" s="3"/>
      <c r="AH1171" s="3"/>
      <c r="AI1171" s="3"/>
      <c r="AJ1171" s="3"/>
      <c r="AK1171" s="3"/>
      <c r="AL1171" s="3"/>
    </row>
    <row r="1172" ht="15.75" customHeight="1">
      <c r="A1172" s="27">
        <f t="shared" si="21"/>
        <v>51</v>
      </c>
      <c r="B1172" s="28" t="s">
        <v>4288</v>
      </c>
      <c r="C1172" s="43" t="s">
        <v>4289</v>
      </c>
      <c r="D1172" s="120" t="s">
        <v>4290</v>
      </c>
      <c r="E1172" s="28" t="s">
        <v>28</v>
      </c>
      <c r="F1172" s="28" t="s">
        <v>29</v>
      </c>
      <c r="G1172" s="28" t="s">
        <v>30</v>
      </c>
      <c r="H1172" s="28" t="s">
        <v>1164</v>
      </c>
      <c r="I1172" s="28" t="s">
        <v>30</v>
      </c>
      <c r="J1172" s="28">
        <v>244.0</v>
      </c>
      <c r="K1172" s="28"/>
      <c r="L1172" s="28" t="s">
        <v>4291</v>
      </c>
      <c r="M1172" s="28" t="s">
        <v>1166</v>
      </c>
      <c r="N1172" s="60">
        <v>2002.0</v>
      </c>
      <c r="O1172" s="31">
        <v>10.0</v>
      </c>
      <c r="P1172" s="28">
        <v>1.0</v>
      </c>
      <c r="Q1172" s="32">
        <v>1.0</v>
      </c>
      <c r="R1172" s="33"/>
      <c r="S1172" s="34"/>
      <c r="T1172" s="34"/>
      <c r="U1172" s="34"/>
      <c r="V1172" s="34"/>
      <c r="W1172" s="34"/>
      <c r="X1172" s="34"/>
      <c r="Y1172" s="45"/>
      <c r="Z1172" s="45"/>
      <c r="AA1172" s="45"/>
      <c r="AB1172" s="45"/>
      <c r="AC1172" s="45"/>
      <c r="AD1172" s="45"/>
      <c r="AE1172" s="45"/>
      <c r="AF1172" s="45"/>
      <c r="AG1172" s="45"/>
      <c r="AH1172" s="45"/>
      <c r="AI1172" s="45"/>
      <c r="AJ1172" s="45"/>
      <c r="AK1172" s="45"/>
      <c r="AL1172" s="45"/>
    </row>
    <row r="1173" ht="15.75" customHeight="1">
      <c r="A1173" s="27">
        <f t="shared" si="21"/>
        <v>52</v>
      </c>
      <c r="B1173" s="28" t="s">
        <v>4292</v>
      </c>
      <c r="C1173" s="43" t="s">
        <v>4289</v>
      </c>
      <c r="D1173" s="120" t="s">
        <v>4293</v>
      </c>
      <c r="E1173" s="28" t="s">
        <v>28</v>
      </c>
      <c r="F1173" s="28" t="s">
        <v>29</v>
      </c>
      <c r="G1173" s="28" t="s">
        <v>30</v>
      </c>
      <c r="H1173" s="28" t="s">
        <v>1164</v>
      </c>
      <c r="I1173" s="28" t="s">
        <v>30</v>
      </c>
      <c r="J1173" s="28">
        <v>496.0</v>
      </c>
      <c r="K1173" s="28"/>
      <c r="L1173" s="28" t="s">
        <v>4291</v>
      </c>
      <c r="M1173" s="28" t="s">
        <v>1166</v>
      </c>
      <c r="N1173" s="28">
        <v>2001.0</v>
      </c>
      <c r="O1173" s="28" t="s">
        <v>4010</v>
      </c>
      <c r="P1173" s="28">
        <v>2.0</v>
      </c>
      <c r="Q1173" s="32">
        <v>2.0</v>
      </c>
      <c r="R1173" s="33"/>
      <c r="S1173" s="34"/>
      <c r="T1173" s="34"/>
      <c r="U1173" s="34"/>
      <c r="V1173" s="34"/>
      <c r="W1173" s="34"/>
      <c r="X1173" s="34"/>
      <c r="Y1173" s="45"/>
      <c r="Z1173" s="45"/>
      <c r="AA1173" s="45"/>
      <c r="AB1173" s="45"/>
      <c r="AC1173" s="45"/>
      <c r="AD1173" s="45"/>
      <c r="AE1173" s="45"/>
      <c r="AF1173" s="45"/>
      <c r="AG1173" s="45"/>
      <c r="AH1173" s="45"/>
      <c r="AI1173" s="45"/>
      <c r="AJ1173" s="45"/>
      <c r="AK1173" s="45"/>
      <c r="AL1173" s="45"/>
    </row>
    <row r="1174" ht="15.75" customHeight="1">
      <c r="A1174" s="27">
        <f t="shared" si="21"/>
        <v>53</v>
      </c>
      <c r="B1174" s="60" t="s">
        <v>4294</v>
      </c>
      <c r="C1174" s="29" t="s">
        <v>4289</v>
      </c>
      <c r="D1174" s="39" t="s">
        <v>4295</v>
      </c>
      <c r="E1174" s="28" t="s">
        <v>28</v>
      </c>
      <c r="F1174" s="28" t="s">
        <v>29</v>
      </c>
      <c r="G1174" s="28" t="s">
        <v>30</v>
      </c>
      <c r="H1174" s="28" t="s">
        <v>1164</v>
      </c>
      <c r="I1174" s="28" t="s">
        <v>30</v>
      </c>
      <c r="J1174" s="28">
        <v>551.0</v>
      </c>
      <c r="K1174" s="28"/>
      <c r="L1174" s="28" t="s">
        <v>4291</v>
      </c>
      <c r="M1174" s="28" t="s">
        <v>1166</v>
      </c>
      <c r="N1174" s="28">
        <v>2002.0</v>
      </c>
      <c r="O1174" s="31" t="s">
        <v>4296</v>
      </c>
      <c r="P1174" s="28">
        <v>1.0</v>
      </c>
      <c r="Q1174" s="32">
        <v>1.0</v>
      </c>
      <c r="R1174" s="33"/>
      <c r="S1174" s="40"/>
      <c r="T1174" s="40"/>
      <c r="U1174" s="40"/>
      <c r="V1174" s="40"/>
      <c r="W1174" s="40"/>
      <c r="X1174" s="40"/>
      <c r="Y1174" s="45"/>
      <c r="Z1174" s="45"/>
      <c r="AA1174" s="45"/>
      <c r="AB1174" s="45"/>
      <c r="AC1174" s="45"/>
      <c r="AD1174" s="45"/>
      <c r="AE1174" s="45"/>
      <c r="AF1174" s="45"/>
      <c r="AG1174" s="45"/>
      <c r="AH1174" s="45"/>
      <c r="AI1174" s="45"/>
      <c r="AJ1174" s="45"/>
      <c r="AK1174" s="45"/>
      <c r="AL1174" s="45"/>
    </row>
    <row r="1175" ht="15.75" customHeight="1">
      <c r="A1175" s="27">
        <f t="shared" si="21"/>
        <v>54</v>
      </c>
      <c r="B1175" s="28" t="s">
        <v>4297</v>
      </c>
      <c r="C1175" s="29" t="s">
        <v>4298</v>
      </c>
      <c r="D1175" s="30" t="s">
        <v>4299</v>
      </c>
      <c r="E1175" s="28" t="s">
        <v>31</v>
      </c>
      <c r="F1175" s="28" t="s">
        <v>29</v>
      </c>
      <c r="G1175" s="28" t="s">
        <v>37</v>
      </c>
      <c r="H1175" s="28"/>
      <c r="I1175" s="28" t="s">
        <v>38</v>
      </c>
      <c r="J1175" s="28">
        <v>120.0</v>
      </c>
      <c r="K1175" s="28"/>
      <c r="L1175" s="28" t="s">
        <v>4300</v>
      </c>
      <c r="M1175" s="28" t="s">
        <v>54</v>
      </c>
      <c r="N1175" s="28">
        <v>2002.0</v>
      </c>
      <c r="O1175" s="60" t="s">
        <v>4010</v>
      </c>
      <c r="P1175" s="28">
        <v>1.0</v>
      </c>
      <c r="Q1175" s="32">
        <v>1.0</v>
      </c>
      <c r="R1175" s="33"/>
      <c r="S1175" s="34"/>
      <c r="T1175" s="34"/>
      <c r="U1175" s="34"/>
      <c r="V1175" s="34"/>
      <c r="W1175" s="34"/>
      <c r="X1175" s="34"/>
      <c r="Y1175" s="45"/>
      <c r="Z1175" s="45"/>
      <c r="AA1175" s="45"/>
      <c r="AB1175" s="45"/>
      <c r="AC1175" s="45"/>
      <c r="AD1175" s="45"/>
      <c r="AE1175" s="45"/>
      <c r="AF1175" s="45"/>
      <c r="AG1175" s="45"/>
      <c r="AH1175" s="45"/>
      <c r="AI1175" s="45"/>
      <c r="AJ1175" s="45"/>
      <c r="AK1175" s="45"/>
      <c r="AL1175" s="45"/>
    </row>
    <row r="1176" ht="15.75" customHeight="1">
      <c r="A1176" s="27">
        <f t="shared" si="21"/>
        <v>55</v>
      </c>
      <c r="B1176" s="28" t="s">
        <v>4301</v>
      </c>
      <c r="C1176" s="29" t="s">
        <v>4302</v>
      </c>
      <c r="D1176" s="30" t="s">
        <v>4303</v>
      </c>
      <c r="E1176" s="28"/>
      <c r="F1176" s="28" t="s">
        <v>29</v>
      </c>
      <c r="G1176" s="28" t="s">
        <v>37</v>
      </c>
      <c r="H1176" s="28"/>
      <c r="I1176" s="28" t="s">
        <v>38</v>
      </c>
      <c r="J1176" s="28">
        <v>350.0</v>
      </c>
      <c r="K1176" s="28"/>
      <c r="L1176" s="28" t="s">
        <v>4304</v>
      </c>
      <c r="M1176" s="28" t="s">
        <v>230</v>
      </c>
      <c r="N1176" s="28">
        <v>2003.0</v>
      </c>
      <c r="O1176" s="60" t="s">
        <v>4010</v>
      </c>
      <c r="P1176" s="28">
        <v>1.0</v>
      </c>
      <c r="Q1176" s="94">
        <v>1.0</v>
      </c>
      <c r="R1176" s="33"/>
      <c r="S1176" s="34"/>
      <c r="T1176" s="34"/>
      <c r="U1176" s="34"/>
      <c r="V1176" s="34"/>
      <c r="W1176" s="34"/>
      <c r="X1176" s="34"/>
      <c r="Y1176" s="45"/>
      <c r="Z1176" s="45"/>
      <c r="AA1176" s="45"/>
      <c r="AB1176" s="45"/>
      <c r="AC1176" s="45"/>
      <c r="AD1176" s="45"/>
      <c r="AE1176" s="45"/>
      <c r="AF1176" s="45"/>
      <c r="AG1176" s="45"/>
      <c r="AH1176" s="45"/>
      <c r="AI1176" s="45"/>
      <c r="AJ1176" s="45"/>
      <c r="AK1176" s="45"/>
      <c r="AL1176" s="45"/>
    </row>
    <row r="1177" ht="15.75" customHeight="1">
      <c r="A1177" s="27">
        <f t="shared" si="21"/>
        <v>56</v>
      </c>
      <c r="B1177" s="83"/>
      <c r="C1177" s="121" t="s">
        <v>4305</v>
      </c>
      <c r="D1177" s="135" t="s">
        <v>4306</v>
      </c>
      <c r="E1177" s="121" t="s">
        <v>144</v>
      </c>
      <c r="F1177" s="121" t="s">
        <v>29</v>
      </c>
      <c r="G1177" s="121" t="s">
        <v>3887</v>
      </c>
      <c r="H1177" s="83"/>
      <c r="I1177" s="121" t="s">
        <v>38</v>
      </c>
      <c r="J1177" s="121">
        <v>384.0</v>
      </c>
      <c r="K1177" s="83"/>
      <c r="L1177" s="121" t="s">
        <v>4307</v>
      </c>
      <c r="M1177" s="83"/>
      <c r="N1177" s="121">
        <v>1923.0</v>
      </c>
      <c r="O1177" s="60" t="s">
        <v>4010</v>
      </c>
      <c r="P1177" s="121">
        <v>1.0</v>
      </c>
      <c r="Q1177" s="121">
        <v>1.0</v>
      </c>
      <c r="R1177" s="84"/>
      <c r="S1177" s="34"/>
      <c r="T1177" s="34"/>
      <c r="U1177" s="34"/>
      <c r="V1177" s="34"/>
      <c r="W1177" s="34"/>
      <c r="X1177" s="34"/>
      <c r="Y1177" s="3"/>
      <c r="Z1177" s="3"/>
      <c r="AA1177" s="3"/>
      <c r="AB1177" s="3"/>
      <c r="AC1177" s="3"/>
      <c r="AD1177" s="3"/>
      <c r="AE1177" s="3"/>
      <c r="AF1177" s="3"/>
      <c r="AG1177" s="3"/>
      <c r="AH1177" s="3"/>
      <c r="AI1177" s="3"/>
      <c r="AJ1177" s="3"/>
      <c r="AK1177" s="3"/>
      <c r="AL1177" s="3"/>
    </row>
    <row r="1178" ht="15.75" customHeight="1">
      <c r="A1178" s="27">
        <f t="shared" si="21"/>
        <v>57</v>
      </c>
      <c r="B1178" s="28" t="s">
        <v>4308</v>
      </c>
      <c r="C1178" s="48" t="s">
        <v>4309</v>
      </c>
      <c r="D1178" s="30" t="s">
        <v>4310</v>
      </c>
      <c r="E1178" s="28"/>
      <c r="F1178" s="28" t="s">
        <v>29</v>
      </c>
      <c r="G1178" s="28" t="s">
        <v>37</v>
      </c>
      <c r="H1178" s="28"/>
      <c r="I1178" s="28" t="s">
        <v>38</v>
      </c>
      <c r="J1178" s="28">
        <v>228.0</v>
      </c>
      <c r="K1178" s="28"/>
      <c r="L1178" s="28" t="s">
        <v>4311</v>
      </c>
      <c r="M1178" s="28" t="s">
        <v>31</v>
      </c>
      <c r="N1178" s="28">
        <v>1989.0</v>
      </c>
      <c r="O1178" s="60" t="s">
        <v>4010</v>
      </c>
      <c r="P1178" s="28">
        <v>1.0</v>
      </c>
      <c r="Q1178" s="32">
        <v>1.0</v>
      </c>
      <c r="R1178" s="33"/>
      <c r="S1178" s="40"/>
      <c r="T1178" s="40"/>
      <c r="U1178" s="40"/>
      <c r="V1178" s="40"/>
      <c r="W1178" s="40"/>
      <c r="X1178" s="40"/>
      <c r="Y1178" s="3"/>
      <c r="Z1178" s="3"/>
      <c r="AA1178" s="3"/>
      <c r="AB1178" s="3"/>
      <c r="AC1178" s="3"/>
      <c r="AD1178" s="3"/>
      <c r="AE1178" s="3"/>
      <c r="AF1178" s="3"/>
      <c r="AG1178" s="3"/>
      <c r="AH1178" s="3"/>
      <c r="AI1178" s="3"/>
      <c r="AJ1178" s="3"/>
      <c r="AK1178" s="3"/>
      <c r="AL1178" s="3"/>
    </row>
    <row r="1179" ht="15.75" customHeight="1">
      <c r="A1179" s="27">
        <f t="shared" si="21"/>
        <v>58</v>
      </c>
      <c r="B1179" s="28" t="s">
        <v>31</v>
      </c>
      <c r="C1179" s="48" t="s">
        <v>4312</v>
      </c>
      <c r="D1179" s="120" t="s">
        <v>4313</v>
      </c>
      <c r="E1179" s="28"/>
      <c r="F1179" s="28" t="s">
        <v>29</v>
      </c>
      <c r="G1179" s="28" t="s">
        <v>37</v>
      </c>
      <c r="H1179" s="28"/>
      <c r="I1179" s="28" t="s">
        <v>38</v>
      </c>
      <c r="J1179" s="28">
        <v>278.0</v>
      </c>
      <c r="K1179" s="28"/>
      <c r="L1179" s="28" t="s">
        <v>4314</v>
      </c>
      <c r="M1179" s="60" t="s">
        <v>4315</v>
      </c>
      <c r="N1179" s="60">
        <v>1997.0</v>
      </c>
      <c r="O1179" s="60" t="s">
        <v>4010</v>
      </c>
      <c r="P1179" s="28">
        <v>2.0</v>
      </c>
      <c r="Q1179" s="32">
        <v>2.0</v>
      </c>
      <c r="R1179" s="33"/>
      <c r="S1179" s="34"/>
      <c r="T1179" s="34"/>
      <c r="U1179" s="34"/>
      <c r="V1179" s="34"/>
      <c r="W1179" s="34"/>
      <c r="X1179" s="34"/>
      <c r="Y1179" s="45"/>
      <c r="Z1179" s="45"/>
      <c r="AA1179" s="45"/>
      <c r="AB1179" s="45"/>
      <c r="AC1179" s="45"/>
      <c r="AD1179" s="45"/>
      <c r="AE1179" s="45"/>
      <c r="AF1179" s="45"/>
      <c r="AG1179" s="45"/>
      <c r="AH1179" s="45"/>
      <c r="AI1179" s="45"/>
      <c r="AJ1179" s="45"/>
      <c r="AK1179" s="45"/>
      <c r="AL1179" s="45"/>
    </row>
    <row r="1180" ht="15.75" customHeight="1">
      <c r="A1180" s="27">
        <f t="shared" si="21"/>
        <v>59</v>
      </c>
      <c r="B1180" s="28" t="s">
        <v>4316</v>
      </c>
      <c r="C1180" s="102" t="s">
        <v>4317</v>
      </c>
      <c r="D1180" s="30" t="s">
        <v>4318</v>
      </c>
      <c r="E1180" s="28"/>
      <c r="F1180" s="28" t="s">
        <v>29</v>
      </c>
      <c r="G1180" s="28" t="s">
        <v>37</v>
      </c>
      <c r="H1180" s="28"/>
      <c r="I1180" s="28" t="s">
        <v>38</v>
      </c>
      <c r="J1180" s="28">
        <v>292.0</v>
      </c>
      <c r="K1180" s="28"/>
      <c r="L1180" s="28" t="s">
        <v>4314</v>
      </c>
      <c r="M1180" s="28" t="s">
        <v>4319</v>
      </c>
      <c r="N1180" s="28">
        <v>2002.0</v>
      </c>
      <c r="O1180" s="60" t="s">
        <v>4010</v>
      </c>
      <c r="P1180" s="28">
        <v>1.0</v>
      </c>
      <c r="Q1180" s="94">
        <v>1.0</v>
      </c>
      <c r="R1180" s="33"/>
      <c r="S1180" s="34"/>
      <c r="T1180" s="34"/>
      <c r="U1180" s="34"/>
      <c r="V1180" s="34"/>
      <c r="W1180" s="34"/>
      <c r="X1180" s="34"/>
      <c r="Y1180" s="45"/>
      <c r="Z1180" s="45"/>
      <c r="AA1180" s="45"/>
      <c r="AB1180" s="45"/>
      <c r="AC1180" s="45"/>
      <c r="AD1180" s="45"/>
      <c r="AE1180" s="45"/>
      <c r="AF1180" s="45"/>
      <c r="AG1180" s="45"/>
      <c r="AH1180" s="45"/>
      <c r="AI1180" s="45"/>
      <c r="AJ1180" s="45"/>
      <c r="AK1180" s="45"/>
      <c r="AL1180" s="45"/>
    </row>
    <row r="1181" ht="15.75" customHeight="1">
      <c r="A1181" s="27">
        <f t="shared" si="21"/>
        <v>60</v>
      </c>
      <c r="B1181" s="28"/>
      <c r="C1181" s="29" t="s">
        <v>4320</v>
      </c>
      <c r="D1181" s="30" t="s">
        <v>4321</v>
      </c>
      <c r="E1181" s="28" t="s">
        <v>144</v>
      </c>
      <c r="F1181" s="28" t="s">
        <v>29</v>
      </c>
      <c r="G1181" s="28" t="s">
        <v>30</v>
      </c>
      <c r="H1181" s="28"/>
      <c r="I1181" s="28" t="s">
        <v>30</v>
      </c>
      <c r="J1181" s="28">
        <f>164</f>
        <v>164</v>
      </c>
      <c r="K1181" s="28"/>
      <c r="L1181" s="28" t="s">
        <v>4322</v>
      </c>
      <c r="M1181" s="28" t="s">
        <v>4323</v>
      </c>
      <c r="N1181" s="28">
        <v>2002.0</v>
      </c>
      <c r="O1181" s="121" t="s">
        <v>4010</v>
      </c>
      <c r="P1181" s="28">
        <v>1.0</v>
      </c>
      <c r="Q1181" s="32">
        <v>1.0</v>
      </c>
      <c r="R1181" s="33"/>
      <c r="S1181" s="34"/>
      <c r="T1181" s="34"/>
      <c r="U1181" s="34"/>
      <c r="V1181" s="34"/>
      <c r="W1181" s="34"/>
      <c r="X1181" s="34"/>
      <c r="Y1181" s="45"/>
      <c r="Z1181" s="45"/>
      <c r="AA1181" s="45"/>
      <c r="AB1181" s="45"/>
      <c r="AC1181" s="45"/>
      <c r="AD1181" s="45"/>
      <c r="AE1181" s="45"/>
      <c r="AF1181" s="45"/>
      <c r="AG1181" s="45"/>
      <c r="AH1181" s="45"/>
      <c r="AI1181" s="45"/>
      <c r="AJ1181" s="45"/>
      <c r="AK1181" s="45"/>
      <c r="AL1181" s="45"/>
    </row>
    <row r="1182" ht="15.75" customHeight="1">
      <c r="A1182" s="27">
        <f t="shared" si="21"/>
        <v>61</v>
      </c>
      <c r="B1182" s="28" t="s">
        <v>4324</v>
      </c>
      <c r="C1182" s="29" t="s">
        <v>4325</v>
      </c>
      <c r="D1182" s="30" t="s">
        <v>4326</v>
      </c>
      <c r="E1182" s="28" t="s">
        <v>31</v>
      </c>
      <c r="F1182" s="28" t="s">
        <v>29</v>
      </c>
      <c r="G1182" s="28" t="s">
        <v>37</v>
      </c>
      <c r="H1182" s="28"/>
      <c r="I1182" s="28" t="s">
        <v>38</v>
      </c>
      <c r="J1182" s="28">
        <v>554.0</v>
      </c>
      <c r="K1182" s="28"/>
      <c r="L1182" s="28" t="s">
        <v>415</v>
      </c>
      <c r="M1182" s="28" t="s">
        <v>2428</v>
      </c>
      <c r="N1182" s="28">
        <v>1983.0</v>
      </c>
      <c r="O1182" s="121" t="s">
        <v>4010</v>
      </c>
      <c r="P1182" s="28">
        <v>1.0</v>
      </c>
      <c r="Q1182" s="37">
        <v>1.0</v>
      </c>
      <c r="R1182" s="33"/>
      <c r="S1182" s="40"/>
      <c r="T1182" s="40"/>
      <c r="U1182" s="40"/>
      <c r="V1182" s="40"/>
      <c r="W1182" s="40"/>
      <c r="X1182" s="40"/>
      <c r="Y1182" s="45"/>
      <c r="Z1182" s="45"/>
      <c r="AA1182" s="45"/>
      <c r="AB1182" s="45"/>
      <c r="AC1182" s="45"/>
      <c r="AD1182" s="45"/>
      <c r="AE1182" s="45"/>
      <c r="AF1182" s="45"/>
      <c r="AG1182" s="45"/>
      <c r="AH1182" s="45"/>
      <c r="AI1182" s="45"/>
      <c r="AJ1182" s="45"/>
      <c r="AK1182" s="45"/>
      <c r="AL1182" s="45"/>
    </row>
    <row r="1183" ht="15.75" customHeight="1">
      <c r="A1183" s="27">
        <f t="shared" si="21"/>
        <v>62</v>
      </c>
      <c r="B1183" s="28" t="s">
        <v>31</v>
      </c>
      <c r="C1183" s="43" t="s">
        <v>4327</v>
      </c>
      <c r="D1183" s="30" t="s">
        <v>4328</v>
      </c>
      <c r="E1183" s="28" t="s">
        <v>31</v>
      </c>
      <c r="F1183" s="28" t="s">
        <v>29</v>
      </c>
      <c r="G1183" s="28" t="s">
        <v>30</v>
      </c>
      <c r="H1183" s="28"/>
      <c r="I1183" s="28" t="s">
        <v>30</v>
      </c>
      <c r="J1183" s="28">
        <v>182.0</v>
      </c>
      <c r="K1183" s="28"/>
      <c r="L1183" s="28" t="s">
        <v>4329</v>
      </c>
      <c r="M1183" s="28" t="s">
        <v>3697</v>
      </c>
      <c r="N1183" s="28">
        <v>2001.0</v>
      </c>
      <c r="O1183" s="121" t="s">
        <v>4010</v>
      </c>
      <c r="P1183" s="28">
        <v>1.0</v>
      </c>
      <c r="Q1183" s="94">
        <v>1.0</v>
      </c>
      <c r="R1183" s="33"/>
      <c r="S1183" s="34"/>
      <c r="T1183" s="34"/>
      <c r="U1183" s="34"/>
      <c r="V1183" s="34"/>
      <c r="W1183" s="34"/>
      <c r="X1183" s="34"/>
      <c r="Y1183" s="45"/>
      <c r="Z1183" s="45"/>
      <c r="AA1183" s="45"/>
      <c r="AB1183" s="45"/>
      <c r="AC1183" s="45"/>
      <c r="AD1183" s="45"/>
      <c r="AE1183" s="45"/>
      <c r="AF1183" s="45"/>
      <c r="AG1183" s="45"/>
      <c r="AH1183" s="45"/>
      <c r="AI1183" s="45"/>
      <c r="AJ1183" s="45"/>
      <c r="AK1183" s="45"/>
      <c r="AL1183" s="45"/>
    </row>
    <row r="1184" ht="15.75" customHeight="1">
      <c r="A1184" s="27">
        <f t="shared" si="21"/>
        <v>63</v>
      </c>
      <c r="B1184" s="60" t="s">
        <v>4330</v>
      </c>
      <c r="C1184" s="48" t="s">
        <v>4331</v>
      </c>
      <c r="D1184" s="30" t="s">
        <v>4332</v>
      </c>
      <c r="E1184" s="28" t="s">
        <v>302</v>
      </c>
      <c r="F1184" s="28" t="s">
        <v>29</v>
      </c>
      <c r="G1184" s="28" t="s">
        <v>37</v>
      </c>
      <c r="H1184" s="28"/>
      <c r="I1184" s="28" t="s">
        <v>38</v>
      </c>
      <c r="J1184" s="28">
        <v>280.0</v>
      </c>
      <c r="K1184" s="28"/>
      <c r="L1184" s="28" t="s">
        <v>4333</v>
      </c>
      <c r="M1184" s="28" t="s">
        <v>178</v>
      </c>
      <c r="N1184" s="28">
        <v>2007.0</v>
      </c>
      <c r="O1184" s="121" t="s">
        <v>4010</v>
      </c>
      <c r="P1184" s="28">
        <v>1.0</v>
      </c>
      <c r="Q1184" s="32">
        <v>1.0</v>
      </c>
      <c r="R1184" s="33"/>
      <c r="S1184" s="34"/>
      <c r="T1184" s="34"/>
      <c r="U1184" s="34"/>
      <c r="V1184" s="34"/>
      <c r="W1184" s="34"/>
      <c r="X1184" s="34"/>
      <c r="Y1184" s="3"/>
      <c r="Z1184" s="3"/>
      <c r="AA1184" s="3"/>
      <c r="AB1184" s="3"/>
      <c r="AC1184" s="3"/>
      <c r="AD1184" s="3"/>
      <c r="AE1184" s="3"/>
      <c r="AF1184" s="3"/>
      <c r="AG1184" s="3"/>
      <c r="AH1184" s="3"/>
      <c r="AI1184" s="3"/>
      <c r="AJ1184" s="3"/>
      <c r="AK1184" s="3"/>
      <c r="AL1184" s="3"/>
    </row>
    <row r="1185" ht="15.75" customHeight="1">
      <c r="A1185" s="27">
        <f t="shared" si="21"/>
        <v>64</v>
      </c>
      <c r="B1185" s="28" t="s">
        <v>31</v>
      </c>
      <c r="C1185" s="29" t="s">
        <v>4334</v>
      </c>
      <c r="D1185" s="30" t="s">
        <v>4335</v>
      </c>
      <c r="E1185" s="28" t="s">
        <v>31</v>
      </c>
      <c r="F1185" s="28" t="s">
        <v>29</v>
      </c>
      <c r="G1185" s="28" t="s">
        <v>30</v>
      </c>
      <c r="H1185" s="28"/>
      <c r="I1185" s="28" t="s">
        <v>30</v>
      </c>
      <c r="J1185" s="28">
        <v>276.0</v>
      </c>
      <c r="K1185" s="28"/>
      <c r="L1185" s="28" t="s">
        <v>4336</v>
      </c>
      <c r="M1185" s="28" t="s">
        <v>3697</v>
      </c>
      <c r="N1185" s="28">
        <v>2006.0</v>
      </c>
      <c r="O1185" s="121" t="s">
        <v>4010</v>
      </c>
      <c r="P1185" s="31">
        <v>3.0</v>
      </c>
      <c r="Q1185" s="114">
        <v>3.0</v>
      </c>
      <c r="R1185" s="33"/>
      <c r="S1185" s="40"/>
      <c r="T1185" s="40"/>
      <c r="U1185" s="40"/>
      <c r="V1185" s="40"/>
      <c r="W1185" s="40"/>
      <c r="X1185" s="40"/>
      <c r="Y1185" s="45"/>
      <c r="Z1185" s="45"/>
      <c r="AA1185" s="45"/>
      <c r="AB1185" s="45"/>
      <c r="AC1185" s="45"/>
      <c r="AD1185" s="45"/>
      <c r="AE1185" s="45"/>
      <c r="AF1185" s="45"/>
      <c r="AG1185" s="45"/>
      <c r="AH1185" s="45"/>
      <c r="AI1185" s="45"/>
      <c r="AJ1185" s="45"/>
      <c r="AK1185" s="45"/>
      <c r="AL1185" s="45"/>
    </row>
    <row r="1186" ht="15.75" customHeight="1">
      <c r="A1186" s="27">
        <f t="shared" si="21"/>
        <v>65</v>
      </c>
      <c r="B1186" s="83"/>
      <c r="C1186" s="124" t="s">
        <v>4337</v>
      </c>
      <c r="D1186" s="119" t="s">
        <v>4338</v>
      </c>
      <c r="E1186" s="121" t="s">
        <v>144</v>
      </c>
      <c r="F1186" s="121" t="s">
        <v>29</v>
      </c>
      <c r="G1186" s="121" t="s">
        <v>30</v>
      </c>
      <c r="H1186" s="83"/>
      <c r="I1186" s="121" t="s">
        <v>159</v>
      </c>
      <c r="J1186" s="121">
        <v>212.0</v>
      </c>
      <c r="K1186" s="83"/>
      <c r="L1186" s="121" t="s">
        <v>48</v>
      </c>
      <c r="M1186" s="121" t="s">
        <v>169</v>
      </c>
      <c r="N1186" s="121">
        <v>2009.0</v>
      </c>
      <c r="O1186" s="121" t="s">
        <v>4010</v>
      </c>
      <c r="P1186" s="121">
        <v>1.0</v>
      </c>
      <c r="Q1186" s="121">
        <v>1.0</v>
      </c>
      <c r="R1186" s="84"/>
      <c r="S1186" s="40"/>
      <c r="T1186" s="40"/>
      <c r="U1186" s="40"/>
      <c r="V1186" s="40"/>
      <c r="W1186" s="40"/>
      <c r="X1186" s="40"/>
      <c r="Y1186" s="45"/>
      <c r="Z1186" s="45"/>
      <c r="AA1186" s="45"/>
      <c r="AB1186" s="45"/>
      <c r="AC1186" s="45"/>
      <c r="AD1186" s="45"/>
      <c r="AE1186" s="45"/>
      <c r="AF1186" s="45"/>
      <c r="AG1186" s="45"/>
      <c r="AH1186" s="45"/>
      <c r="AI1186" s="45"/>
      <c r="AJ1186" s="45"/>
      <c r="AK1186" s="45"/>
      <c r="AL1186" s="45"/>
    </row>
    <row r="1187" ht="15.75" customHeight="1">
      <c r="A1187" s="27">
        <f t="shared" si="21"/>
        <v>66</v>
      </c>
      <c r="B1187" s="28" t="s">
        <v>4339</v>
      </c>
      <c r="C1187" s="43" t="s">
        <v>4340</v>
      </c>
      <c r="D1187" s="30" t="s">
        <v>4341</v>
      </c>
      <c r="E1187" s="28" t="s">
        <v>302</v>
      </c>
      <c r="F1187" s="28" t="s">
        <v>29</v>
      </c>
      <c r="G1187" s="28" t="s">
        <v>37</v>
      </c>
      <c r="H1187" s="28"/>
      <c r="I1187" s="28" t="s">
        <v>38</v>
      </c>
      <c r="J1187" s="28">
        <v>293.0</v>
      </c>
      <c r="K1187" s="28"/>
      <c r="L1187" s="28" t="s">
        <v>4342</v>
      </c>
      <c r="M1187" s="28" t="s">
        <v>493</v>
      </c>
      <c r="N1187" s="28">
        <v>2009.0</v>
      </c>
      <c r="O1187" s="121" t="s">
        <v>4010</v>
      </c>
      <c r="P1187" s="28">
        <v>1.0</v>
      </c>
      <c r="Q1187" s="37">
        <v>1.0</v>
      </c>
      <c r="R1187" s="33"/>
      <c r="S1187" s="40"/>
      <c r="T1187" s="40"/>
      <c r="U1187" s="40"/>
      <c r="V1187" s="40"/>
      <c r="W1187" s="40"/>
      <c r="X1187" s="40"/>
      <c r="Y1187" s="45"/>
      <c r="Z1187" s="45"/>
      <c r="AA1187" s="45"/>
      <c r="AB1187" s="45"/>
      <c r="AC1187" s="45"/>
      <c r="AD1187" s="45"/>
      <c r="AE1187" s="45"/>
      <c r="AF1187" s="45"/>
      <c r="AG1187" s="45"/>
      <c r="AH1187" s="45"/>
      <c r="AI1187" s="45"/>
      <c r="AJ1187" s="45"/>
      <c r="AK1187" s="45"/>
      <c r="AL1187" s="45"/>
    </row>
    <row r="1188" ht="15.75" customHeight="1">
      <c r="A1188" s="27">
        <f t="shared" si="21"/>
        <v>67</v>
      </c>
      <c r="B1188" s="28"/>
      <c r="C1188" s="43" t="s">
        <v>4343</v>
      </c>
      <c r="D1188" s="30" t="s">
        <v>4344</v>
      </c>
      <c r="E1188" s="28" t="s">
        <v>144</v>
      </c>
      <c r="F1188" s="28" t="s">
        <v>29</v>
      </c>
      <c r="G1188" s="28" t="s">
        <v>30</v>
      </c>
      <c r="H1188" s="28"/>
      <c r="I1188" s="28" t="s">
        <v>30</v>
      </c>
      <c r="J1188" s="28">
        <f>166</f>
        <v>166</v>
      </c>
      <c r="K1188" s="28"/>
      <c r="L1188" s="28" t="s">
        <v>4345</v>
      </c>
      <c r="M1188" s="28" t="s">
        <v>3109</v>
      </c>
      <c r="N1188" s="28">
        <v>1977.0</v>
      </c>
      <c r="O1188" s="121" t="s">
        <v>4010</v>
      </c>
      <c r="P1188" s="28">
        <v>1.0</v>
      </c>
      <c r="Q1188" s="94">
        <v>1.0</v>
      </c>
      <c r="R1188" s="33"/>
      <c r="S1188" s="34"/>
      <c r="T1188" s="34"/>
      <c r="U1188" s="34"/>
      <c r="V1188" s="34"/>
      <c r="W1188" s="34"/>
      <c r="X1188" s="34"/>
      <c r="Y1188" s="45"/>
      <c r="Z1188" s="45"/>
      <c r="AA1188" s="45"/>
      <c r="AB1188" s="45"/>
      <c r="AC1188" s="45"/>
      <c r="AD1188" s="45"/>
      <c r="AE1188" s="45"/>
      <c r="AF1188" s="45"/>
      <c r="AG1188" s="45"/>
      <c r="AH1188" s="45"/>
      <c r="AI1188" s="45"/>
      <c r="AJ1188" s="45"/>
      <c r="AK1188" s="45"/>
      <c r="AL1188" s="45"/>
    </row>
    <row r="1189" ht="15.75" customHeight="1">
      <c r="A1189" s="27">
        <f t="shared" si="21"/>
        <v>68</v>
      </c>
      <c r="B1189" s="121" t="s">
        <v>4346</v>
      </c>
      <c r="C1189" s="124" t="s">
        <v>4347</v>
      </c>
      <c r="D1189" s="119" t="s">
        <v>4348</v>
      </c>
      <c r="E1189" s="28" t="s">
        <v>144</v>
      </c>
      <c r="F1189" s="121" t="s">
        <v>29</v>
      </c>
      <c r="G1189" s="121" t="s">
        <v>166</v>
      </c>
      <c r="H1189" s="83"/>
      <c r="I1189" s="121" t="s">
        <v>166</v>
      </c>
      <c r="J1189" s="121">
        <v>237.0</v>
      </c>
      <c r="K1189" s="83"/>
      <c r="L1189" s="121" t="s">
        <v>577</v>
      </c>
      <c r="M1189" s="121" t="s">
        <v>4349</v>
      </c>
      <c r="N1189" s="121">
        <v>1999.0</v>
      </c>
      <c r="O1189" s="121" t="s">
        <v>4010</v>
      </c>
      <c r="P1189" s="121">
        <v>1.0</v>
      </c>
      <c r="Q1189" s="121">
        <v>1.0</v>
      </c>
      <c r="R1189" s="84"/>
      <c r="S1189" s="40"/>
      <c r="T1189" s="40"/>
      <c r="U1189" s="40"/>
      <c r="V1189" s="40"/>
      <c r="W1189" s="40"/>
      <c r="X1189" s="40"/>
      <c r="Y1189" s="3"/>
      <c r="Z1189" s="3"/>
      <c r="AA1189" s="3"/>
      <c r="AB1189" s="3"/>
      <c r="AC1189" s="3"/>
      <c r="AD1189" s="3"/>
      <c r="AE1189" s="3"/>
      <c r="AF1189" s="3"/>
      <c r="AG1189" s="3"/>
      <c r="AH1189" s="3"/>
      <c r="AI1189" s="3"/>
      <c r="AJ1189" s="3"/>
      <c r="AK1189" s="3"/>
      <c r="AL1189" s="3"/>
    </row>
    <row r="1190" ht="15.75" customHeight="1">
      <c r="A1190" s="27">
        <f t="shared" si="21"/>
        <v>69</v>
      </c>
      <c r="B1190" s="28" t="s">
        <v>4350</v>
      </c>
      <c r="C1190" s="48" t="s">
        <v>4351</v>
      </c>
      <c r="D1190" s="30" t="s">
        <v>4352</v>
      </c>
      <c r="E1190" s="28" t="s">
        <v>144</v>
      </c>
      <c r="F1190" s="28" t="s">
        <v>29</v>
      </c>
      <c r="G1190" s="28" t="s">
        <v>37</v>
      </c>
      <c r="H1190" s="28"/>
      <c r="I1190" s="28" t="s">
        <v>38</v>
      </c>
      <c r="J1190" s="28">
        <v>224.0</v>
      </c>
      <c r="K1190" s="28"/>
      <c r="L1190" s="28" t="s">
        <v>4353</v>
      </c>
      <c r="M1190" s="28" t="s">
        <v>4354</v>
      </c>
      <c r="N1190" s="28">
        <v>1981.0</v>
      </c>
      <c r="O1190" s="121" t="s">
        <v>4010</v>
      </c>
      <c r="P1190" s="28">
        <v>1.0</v>
      </c>
      <c r="Q1190" s="32">
        <v>1.0</v>
      </c>
      <c r="R1190" s="33"/>
      <c r="S1190" s="34"/>
      <c r="T1190" s="34"/>
      <c r="U1190" s="34"/>
      <c r="V1190" s="34"/>
      <c r="W1190" s="34"/>
      <c r="X1190" s="34"/>
      <c r="Y1190" s="45"/>
      <c r="Z1190" s="45"/>
      <c r="AA1190" s="45"/>
      <c r="AB1190" s="45"/>
      <c r="AC1190" s="45"/>
      <c r="AD1190" s="45"/>
      <c r="AE1190" s="45"/>
      <c r="AF1190" s="45"/>
      <c r="AG1190" s="45"/>
      <c r="AH1190" s="45"/>
      <c r="AI1190" s="45"/>
      <c r="AJ1190" s="45"/>
      <c r="AK1190" s="45"/>
      <c r="AL1190" s="45"/>
    </row>
    <row r="1191" ht="15.75" customHeight="1">
      <c r="A1191" s="27">
        <f t="shared" si="21"/>
        <v>70</v>
      </c>
      <c r="B1191" s="28" t="s">
        <v>4355</v>
      </c>
      <c r="C1191" s="43" t="s">
        <v>4356</v>
      </c>
      <c r="D1191" s="30" t="s">
        <v>4357</v>
      </c>
      <c r="E1191" s="28" t="s">
        <v>144</v>
      </c>
      <c r="F1191" s="28" t="s">
        <v>29</v>
      </c>
      <c r="G1191" s="28" t="s">
        <v>30</v>
      </c>
      <c r="H1191" s="28" t="s">
        <v>31</v>
      </c>
      <c r="I1191" s="28" t="s">
        <v>30</v>
      </c>
      <c r="J1191" s="28">
        <f>680+13</f>
        <v>693</v>
      </c>
      <c r="K1191" s="28"/>
      <c r="L1191" s="28" t="s">
        <v>168</v>
      </c>
      <c r="M1191" s="28" t="s">
        <v>169</v>
      </c>
      <c r="N1191" s="28">
        <v>2013.0</v>
      </c>
      <c r="O1191" s="121" t="s">
        <v>4010</v>
      </c>
      <c r="P1191" s="28">
        <v>1.0</v>
      </c>
      <c r="Q1191" s="32">
        <v>1.0</v>
      </c>
      <c r="R1191" s="33"/>
      <c r="S1191" s="40"/>
      <c r="T1191" s="40"/>
      <c r="U1191" s="40"/>
      <c r="V1191" s="40"/>
      <c r="W1191" s="40"/>
      <c r="X1191" s="40"/>
      <c r="Y1191" s="71"/>
      <c r="Z1191" s="71"/>
      <c r="AA1191" s="71"/>
      <c r="AB1191" s="71"/>
      <c r="AC1191" s="71"/>
      <c r="AD1191" s="71"/>
      <c r="AE1191" s="71"/>
      <c r="AF1191" s="71"/>
      <c r="AG1191" s="71"/>
      <c r="AH1191" s="71"/>
      <c r="AI1191" s="71"/>
      <c r="AJ1191" s="71"/>
      <c r="AK1191" s="71"/>
      <c r="AL1191" s="71"/>
    </row>
    <row r="1192" ht="15.75" customHeight="1">
      <c r="A1192" s="27">
        <f t="shared" si="21"/>
        <v>71</v>
      </c>
      <c r="B1192" s="83" t="s">
        <v>4358</v>
      </c>
      <c r="C1192" s="124" t="s">
        <v>4359</v>
      </c>
      <c r="D1192" s="118" t="s">
        <v>4360</v>
      </c>
      <c r="E1192" s="83"/>
      <c r="F1192" s="83" t="s">
        <v>29</v>
      </c>
      <c r="G1192" s="83"/>
      <c r="H1192" s="83"/>
      <c r="I1192" s="83" t="s">
        <v>38</v>
      </c>
      <c r="J1192" s="83">
        <v>234.0</v>
      </c>
      <c r="K1192" s="83"/>
      <c r="L1192" s="83" t="s">
        <v>4361</v>
      </c>
      <c r="M1192" s="83" t="s">
        <v>49</v>
      </c>
      <c r="N1192" s="83">
        <v>2012.0</v>
      </c>
      <c r="O1192" s="121" t="s">
        <v>4010</v>
      </c>
      <c r="P1192" s="83">
        <v>1.0</v>
      </c>
      <c r="Q1192" s="83">
        <v>1.0</v>
      </c>
      <c r="R1192" s="84"/>
      <c r="S1192" s="40"/>
      <c r="T1192" s="40"/>
      <c r="U1192" s="40"/>
      <c r="V1192" s="40"/>
      <c r="W1192" s="40"/>
      <c r="X1192" s="40"/>
      <c r="Y1192" s="45"/>
      <c r="Z1192" s="45"/>
      <c r="AA1192" s="45"/>
      <c r="AB1192" s="45"/>
      <c r="AC1192" s="45"/>
      <c r="AD1192" s="45"/>
      <c r="AE1192" s="45"/>
      <c r="AF1192" s="45"/>
      <c r="AG1192" s="45"/>
      <c r="AH1192" s="45"/>
      <c r="AI1192" s="45"/>
      <c r="AJ1192" s="45"/>
      <c r="AK1192" s="45"/>
      <c r="AL1192" s="45"/>
    </row>
    <row r="1193" ht="15.75" customHeight="1">
      <c r="A1193" s="27">
        <f t="shared" si="21"/>
        <v>72</v>
      </c>
      <c r="B1193" s="121" t="s">
        <v>4362</v>
      </c>
      <c r="C1193" s="124" t="s">
        <v>4363</v>
      </c>
      <c r="D1193" s="119" t="s">
        <v>4364</v>
      </c>
      <c r="E1193" s="121" t="s">
        <v>144</v>
      </c>
      <c r="F1193" s="121" t="s">
        <v>29</v>
      </c>
      <c r="G1193" s="121" t="s">
        <v>166</v>
      </c>
      <c r="H1193" s="83"/>
      <c r="I1193" s="121" t="s">
        <v>38</v>
      </c>
      <c r="J1193" s="121">
        <v>301.0</v>
      </c>
      <c r="K1193" s="83"/>
      <c r="L1193" s="124" t="s">
        <v>4365</v>
      </c>
      <c r="M1193" s="121" t="s">
        <v>49</v>
      </c>
      <c r="N1193" s="121">
        <v>2013.0</v>
      </c>
      <c r="O1193" s="121" t="s">
        <v>4010</v>
      </c>
      <c r="P1193" s="121">
        <v>1.0</v>
      </c>
      <c r="Q1193" s="121">
        <v>1.0</v>
      </c>
      <c r="R1193" s="84"/>
      <c r="S1193" s="34"/>
      <c r="T1193" s="34"/>
      <c r="U1193" s="34"/>
      <c r="V1193" s="34"/>
      <c r="W1193" s="34"/>
      <c r="X1193" s="34"/>
      <c r="Y1193" s="3"/>
      <c r="Z1193" s="3"/>
      <c r="AA1193" s="3"/>
      <c r="AB1193" s="3"/>
      <c r="AC1193" s="3"/>
      <c r="AD1193" s="3"/>
      <c r="AE1193" s="3"/>
      <c r="AF1193" s="3"/>
      <c r="AG1193" s="3"/>
      <c r="AH1193" s="3"/>
      <c r="AI1193" s="3"/>
      <c r="AJ1193" s="3"/>
      <c r="AK1193" s="3"/>
      <c r="AL1193" s="3"/>
    </row>
    <row r="1194" ht="15.75" customHeight="1">
      <c r="A1194" s="27">
        <f t="shared" si="21"/>
        <v>73</v>
      </c>
      <c r="B1194" s="121" t="s">
        <v>4366</v>
      </c>
      <c r="C1194" s="121" t="s">
        <v>4367</v>
      </c>
      <c r="D1194" s="128" t="s">
        <v>4368</v>
      </c>
      <c r="E1194" s="83"/>
      <c r="F1194" s="121" t="s">
        <v>29</v>
      </c>
      <c r="G1194" s="121" t="s">
        <v>30</v>
      </c>
      <c r="H1194" s="83"/>
      <c r="I1194" s="121" t="s">
        <v>30</v>
      </c>
      <c r="J1194" s="121">
        <v>259.0</v>
      </c>
      <c r="K1194" s="83"/>
      <c r="L1194" s="121" t="s">
        <v>4369</v>
      </c>
      <c r="M1194" s="121" t="s">
        <v>2258</v>
      </c>
      <c r="N1194" s="121">
        <v>2015.0</v>
      </c>
      <c r="O1194" s="121" t="s">
        <v>4010</v>
      </c>
      <c r="P1194" s="121">
        <v>1.0</v>
      </c>
      <c r="Q1194" s="121">
        <v>1.0</v>
      </c>
      <c r="R1194" s="84"/>
      <c r="S1194" s="40"/>
      <c r="T1194" s="40"/>
      <c r="U1194" s="40"/>
      <c r="V1194" s="40"/>
      <c r="W1194" s="40"/>
      <c r="X1194" s="40"/>
      <c r="Y1194" s="45"/>
      <c r="Z1194" s="45"/>
      <c r="AA1194" s="45"/>
      <c r="AB1194" s="45"/>
      <c r="AC1194" s="45"/>
      <c r="AD1194" s="45"/>
      <c r="AE1194" s="45"/>
      <c r="AF1194" s="45"/>
      <c r="AG1194" s="45"/>
      <c r="AH1194" s="45"/>
      <c r="AI1194" s="45"/>
      <c r="AJ1194" s="45"/>
      <c r="AK1194" s="45"/>
      <c r="AL1194" s="45"/>
    </row>
    <row r="1195" ht="15.75" customHeight="1">
      <c r="A1195" s="27">
        <f t="shared" si="21"/>
        <v>74</v>
      </c>
      <c r="B1195" s="28"/>
      <c r="C1195" s="43" t="s">
        <v>4370</v>
      </c>
      <c r="D1195" s="30" t="s">
        <v>4371</v>
      </c>
      <c r="E1195" s="28" t="s">
        <v>31</v>
      </c>
      <c r="F1195" s="28" t="s">
        <v>29</v>
      </c>
      <c r="G1195" s="28" t="s">
        <v>30</v>
      </c>
      <c r="H1195" s="28"/>
      <c r="I1195" s="28" t="s">
        <v>30</v>
      </c>
      <c r="J1195" s="28">
        <v>188.0</v>
      </c>
      <c r="K1195" s="28"/>
      <c r="L1195" s="28" t="s">
        <v>4372</v>
      </c>
      <c r="M1195" s="28" t="s">
        <v>3697</v>
      </c>
      <c r="N1195" s="28">
        <v>2004.0</v>
      </c>
      <c r="O1195" s="121" t="s">
        <v>4010</v>
      </c>
      <c r="P1195" s="28">
        <v>1.0</v>
      </c>
      <c r="Q1195" s="32">
        <v>1.0</v>
      </c>
      <c r="R1195" s="33"/>
      <c r="S1195" s="40"/>
      <c r="T1195" s="40"/>
      <c r="U1195" s="40"/>
      <c r="V1195" s="40"/>
      <c r="W1195" s="40"/>
      <c r="X1195" s="40"/>
      <c r="Y1195" s="45"/>
      <c r="Z1195" s="45"/>
      <c r="AA1195" s="45"/>
      <c r="AB1195" s="45"/>
      <c r="AC1195" s="45"/>
      <c r="AD1195" s="45"/>
      <c r="AE1195" s="45"/>
      <c r="AF1195" s="45"/>
      <c r="AG1195" s="45"/>
      <c r="AH1195" s="45"/>
      <c r="AI1195" s="45"/>
      <c r="AJ1195" s="45"/>
      <c r="AK1195" s="45"/>
      <c r="AL1195" s="45"/>
    </row>
    <row r="1196" ht="15.75" customHeight="1">
      <c r="A1196" s="27">
        <f t="shared" si="21"/>
        <v>75</v>
      </c>
      <c r="B1196" s="121" t="s">
        <v>4373</v>
      </c>
      <c r="C1196" s="121" t="s">
        <v>4374</v>
      </c>
      <c r="D1196" s="119" t="s">
        <v>4375</v>
      </c>
      <c r="E1196" s="83"/>
      <c r="F1196" s="121" t="s">
        <v>29</v>
      </c>
      <c r="G1196" s="121" t="s">
        <v>30</v>
      </c>
      <c r="H1196" s="83"/>
      <c r="I1196" s="121" t="s">
        <v>30</v>
      </c>
      <c r="J1196" s="121">
        <v>390.0</v>
      </c>
      <c r="K1196" s="83"/>
      <c r="L1196" s="121" t="s">
        <v>4376</v>
      </c>
      <c r="M1196" s="121" t="s">
        <v>151</v>
      </c>
      <c r="N1196" s="121">
        <v>2002.0</v>
      </c>
      <c r="O1196" s="121" t="s">
        <v>4010</v>
      </c>
      <c r="P1196" s="121">
        <v>1.0</v>
      </c>
      <c r="Q1196" s="121">
        <v>1.0</v>
      </c>
      <c r="R1196" s="84"/>
      <c r="S1196" s="40"/>
      <c r="T1196" s="40"/>
      <c r="U1196" s="40"/>
      <c r="V1196" s="40"/>
      <c r="W1196" s="40"/>
      <c r="X1196" s="40"/>
      <c r="Y1196" s="45"/>
      <c r="Z1196" s="45"/>
      <c r="AA1196" s="45"/>
      <c r="AB1196" s="45"/>
      <c r="AC1196" s="45"/>
      <c r="AD1196" s="45"/>
      <c r="AE1196" s="45"/>
      <c r="AF1196" s="45"/>
      <c r="AG1196" s="45"/>
      <c r="AH1196" s="45"/>
      <c r="AI1196" s="45"/>
      <c r="AJ1196" s="45"/>
      <c r="AK1196" s="45"/>
      <c r="AL1196" s="45"/>
    </row>
    <row r="1197" ht="32.25" customHeight="1">
      <c r="A1197" s="27">
        <f t="shared" si="21"/>
        <v>76</v>
      </c>
      <c r="B1197" s="28" t="s">
        <v>4377</v>
      </c>
      <c r="C1197" s="43" t="s">
        <v>4378</v>
      </c>
      <c r="D1197" s="30" t="s">
        <v>4379</v>
      </c>
      <c r="E1197" s="28" t="s">
        <v>302</v>
      </c>
      <c r="F1197" s="28" t="s">
        <v>29</v>
      </c>
      <c r="G1197" s="28" t="s">
        <v>30</v>
      </c>
      <c r="H1197" s="28"/>
      <c r="I1197" s="28" t="s">
        <v>30</v>
      </c>
      <c r="J1197" s="28">
        <v>250.0</v>
      </c>
      <c r="K1197" s="28"/>
      <c r="L1197" s="28" t="s">
        <v>4380</v>
      </c>
      <c r="M1197" s="28" t="s">
        <v>151</v>
      </c>
      <c r="N1197" s="28">
        <v>2009.0</v>
      </c>
      <c r="O1197" s="60" t="s">
        <v>4010</v>
      </c>
      <c r="P1197" s="28">
        <v>1.0</v>
      </c>
      <c r="Q1197" s="32">
        <v>1.0</v>
      </c>
      <c r="R1197" s="33"/>
      <c r="S1197" s="34"/>
      <c r="T1197" s="34"/>
      <c r="U1197" s="34"/>
      <c r="V1197" s="34"/>
      <c r="W1197" s="34"/>
      <c r="X1197" s="34"/>
      <c r="Y1197" s="45"/>
      <c r="Z1197" s="45"/>
      <c r="AA1197" s="45"/>
      <c r="AB1197" s="45"/>
      <c r="AC1197" s="45"/>
      <c r="AD1197" s="45"/>
      <c r="AE1197" s="45"/>
      <c r="AF1197" s="45"/>
      <c r="AG1197" s="45"/>
      <c r="AH1197" s="45"/>
      <c r="AI1197" s="45"/>
      <c r="AJ1197" s="45"/>
      <c r="AK1197" s="45"/>
      <c r="AL1197" s="45"/>
    </row>
    <row r="1198" ht="15.75" customHeight="1">
      <c r="A1198" s="27">
        <f t="shared" si="21"/>
        <v>77</v>
      </c>
      <c r="B1198" s="28" t="s">
        <v>4381</v>
      </c>
      <c r="C1198" s="29" t="s">
        <v>4382</v>
      </c>
      <c r="D1198" s="30" t="s">
        <v>4383</v>
      </c>
      <c r="E1198" s="28" t="s">
        <v>3118</v>
      </c>
      <c r="F1198" s="28" t="s">
        <v>29</v>
      </c>
      <c r="G1198" s="28" t="s">
        <v>30</v>
      </c>
      <c r="H1198" s="28"/>
      <c r="I1198" s="28" t="s">
        <v>30</v>
      </c>
      <c r="J1198" s="28">
        <f>176</f>
        <v>176</v>
      </c>
      <c r="K1198" s="28"/>
      <c r="L1198" s="28" t="s">
        <v>31</v>
      </c>
      <c r="M1198" s="28" t="s">
        <v>161</v>
      </c>
      <c r="N1198" s="28">
        <v>2003.0</v>
      </c>
      <c r="O1198" s="60" t="s">
        <v>4010</v>
      </c>
      <c r="P1198" s="28">
        <v>1.0</v>
      </c>
      <c r="Q1198" s="32">
        <v>1.0</v>
      </c>
      <c r="R1198" s="33"/>
      <c r="S1198" s="34"/>
      <c r="T1198" s="34"/>
      <c r="U1198" s="34"/>
      <c r="V1198" s="34"/>
      <c r="W1198" s="34"/>
      <c r="X1198" s="34"/>
      <c r="Y1198" s="3"/>
      <c r="Z1198" s="3"/>
      <c r="AA1198" s="3"/>
      <c r="AB1198" s="3"/>
      <c r="AC1198" s="3"/>
      <c r="AD1198" s="3"/>
      <c r="AE1198" s="3"/>
      <c r="AF1198" s="3"/>
      <c r="AG1198" s="3"/>
      <c r="AH1198" s="3"/>
      <c r="AI1198" s="3"/>
      <c r="AJ1198" s="3"/>
      <c r="AK1198" s="3"/>
      <c r="AL1198" s="3"/>
    </row>
    <row r="1199" ht="15.75" customHeight="1">
      <c r="A1199" s="27">
        <f t="shared" si="21"/>
        <v>78</v>
      </c>
      <c r="B1199" s="28" t="s">
        <v>4384</v>
      </c>
      <c r="C1199" s="48" t="s">
        <v>4385</v>
      </c>
      <c r="D1199" s="120" t="s">
        <v>4386</v>
      </c>
      <c r="E1199" s="60" t="s">
        <v>4387</v>
      </c>
      <c r="F1199" s="28" t="s">
        <v>29</v>
      </c>
      <c r="G1199" s="28" t="s">
        <v>37</v>
      </c>
      <c r="H1199" s="28"/>
      <c r="I1199" s="28" t="s">
        <v>38</v>
      </c>
      <c r="J1199" s="28">
        <v>176.0</v>
      </c>
      <c r="K1199" s="28"/>
      <c r="L1199" s="28" t="s">
        <v>4388</v>
      </c>
      <c r="M1199" s="28" t="s">
        <v>4194</v>
      </c>
      <c r="N1199" s="28">
        <v>2004.0</v>
      </c>
      <c r="O1199" s="60" t="s">
        <v>4010</v>
      </c>
      <c r="P1199" s="28">
        <v>2.0</v>
      </c>
      <c r="Q1199" s="32">
        <v>2.0</v>
      </c>
      <c r="R1199" s="33"/>
      <c r="S1199" s="34"/>
      <c r="T1199" s="34"/>
      <c r="U1199" s="34"/>
      <c r="V1199" s="34"/>
      <c r="W1199" s="34"/>
      <c r="X1199" s="34"/>
      <c r="Y1199" s="45"/>
      <c r="Z1199" s="45"/>
      <c r="AA1199" s="45"/>
      <c r="AB1199" s="45"/>
      <c r="AC1199" s="45"/>
      <c r="AD1199" s="45"/>
      <c r="AE1199" s="45"/>
      <c r="AF1199" s="45"/>
      <c r="AG1199" s="45"/>
      <c r="AH1199" s="45"/>
      <c r="AI1199" s="45"/>
      <c r="AJ1199" s="45"/>
      <c r="AK1199" s="45"/>
      <c r="AL1199" s="45"/>
    </row>
    <row r="1200" ht="15.75" customHeight="1">
      <c r="A1200" s="27">
        <f t="shared" si="21"/>
        <v>79</v>
      </c>
      <c r="B1200" s="121" t="s">
        <v>4389</v>
      </c>
      <c r="C1200" s="121" t="s">
        <v>4390</v>
      </c>
      <c r="D1200" s="119" t="s">
        <v>4391</v>
      </c>
      <c r="E1200" s="121" t="s">
        <v>144</v>
      </c>
      <c r="F1200" s="121" t="s">
        <v>29</v>
      </c>
      <c r="G1200" s="121" t="s">
        <v>37</v>
      </c>
      <c r="H1200" s="83"/>
      <c r="I1200" s="121" t="s">
        <v>38</v>
      </c>
      <c r="J1200" s="121">
        <v>839.0</v>
      </c>
      <c r="K1200" s="83"/>
      <c r="L1200" s="121" t="s">
        <v>4392</v>
      </c>
      <c r="M1200" s="131" t="s">
        <v>4393</v>
      </c>
      <c r="N1200" s="121">
        <v>1991.0</v>
      </c>
      <c r="O1200" s="60" t="s">
        <v>4010</v>
      </c>
      <c r="P1200" s="121">
        <v>1.0</v>
      </c>
      <c r="Q1200" s="121">
        <v>1.0</v>
      </c>
      <c r="R1200" s="84"/>
      <c r="S1200" s="34"/>
      <c r="T1200" s="34"/>
      <c r="U1200" s="34"/>
      <c r="V1200" s="34"/>
      <c r="W1200" s="34"/>
      <c r="X1200" s="34"/>
      <c r="Y1200" s="3"/>
      <c r="Z1200" s="3"/>
      <c r="AA1200" s="3"/>
      <c r="AB1200" s="3"/>
      <c r="AC1200" s="3"/>
      <c r="AD1200" s="3"/>
      <c r="AE1200" s="3"/>
      <c r="AF1200" s="3"/>
      <c r="AG1200" s="3"/>
      <c r="AH1200" s="3"/>
      <c r="AI1200" s="3"/>
      <c r="AJ1200" s="3"/>
      <c r="AK1200" s="3"/>
      <c r="AL1200" s="3"/>
    </row>
    <row r="1201" ht="15.75" customHeight="1">
      <c r="A1201" s="27">
        <f t="shared" si="21"/>
        <v>80</v>
      </c>
      <c r="B1201" s="121" t="s">
        <v>4394</v>
      </c>
      <c r="C1201" s="121" t="s">
        <v>4395</v>
      </c>
      <c r="D1201" s="119" t="s">
        <v>4396</v>
      </c>
      <c r="E1201" s="121" t="s">
        <v>144</v>
      </c>
      <c r="F1201" s="121" t="s">
        <v>29</v>
      </c>
      <c r="G1201" s="121" t="s">
        <v>30</v>
      </c>
      <c r="H1201" s="83"/>
      <c r="I1201" s="121" t="s">
        <v>30</v>
      </c>
      <c r="J1201" s="121">
        <v>232.0</v>
      </c>
      <c r="K1201" s="83"/>
      <c r="L1201" s="121" t="s">
        <v>4397</v>
      </c>
      <c r="M1201" s="121" t="s">
        <v>4397</v>
      </c>
      <c r="N1201" s="121">
        <v>2005.0</v>
      </c>
      <c r="O1201" s="60" t="s">
        <v>4010</v>
      </c>
      <c r="P1201" s="121">
        <v>1.0</v>
      </c>
      <c r="Q1201" s="121">
        <v>1.0</v>
      </c>
      <c r="R1201" s="84"/>
      <c r="S1201" s="34"/>
      <c r="T1201" s="34"/>
      <c r="U1201" s="34"/>
      <c r="V1201" s="34"/>
      <c r="W1201" s="34"/>
      <c r="X1201" s="34"/>
      <c r="Y1201" s="45"/>
      <c r="Z1201" s="45"/>
      <c r="AA1201" s="45"/>
      <c r="AB1201" s="45"/>
      <c r="AC1201" s="45"/>
      <c r="AD1201" s="45"/>
      <c r="AE1201" s="45"/>
      <c r="AF1201" s="45"/>
      <c r="AG1201" s="45"/>
      <c r="AH1201" s="45"/>
      <c r="AI1201" s="45"/>
      <c r="AJ1201" s="45"/>
      <c r="AK1201" s="45"/>
      <c r="AL1201" s="45"/>
    </row>
    <row r="1202" ht="15.75" customHeight="1">
      <c r="A1202" s="27">
        <f t="shared" si="21"/>
        <v>81</v>
      </c>
      <c r="B1202" s="28" t="s">
        <v>4398</v>
      </c>
      <c r="C1202" s="43" t="s">
        <v>4399</v>
      </c>
      <c r="D1202" s="30" t="s">
        <v>4400</v>
      </c>
      <c r="E1202" s="28" t="s">
        <v>31</v>
      </c>
      <c r="F1202" s="28" t="s">
        <v>29</v>
      </c>
      <c r="G1202" s="28" t="s">
        <v>37</v>
      </c>
      <c r="H1202" s="28"/>
      <c r="I1202" s="28" t="s">
        <v>38</v>
      </c>
      <c r="J1202" s="28">
        <v>184.0</v>
      </c>
      <c r="K1202" s="28"/>
      <c r="L1202" s="28" t="s">
        <v>4401</v>
      </c>
      <c r="M1202" s="28" t="s">
        <v>4402</v>
      </c>
      <c r="N1202" s="28">
        <v>1985.0</v>
      </c>
      <c r="O1202" s="60" t="s">
        <v>4010</v>
      </c>
      <c r="P1202" s="28">
        <v>1.0</v>
      </c>
      <c r="Q1202" s="37">
        <v>1.0</v>
      </c>
      <c r="R1202" s="33"/>
      <c r="S1202" s="34"/>
      <c r="T1202" s="34"/>
      <c r="U1202" s="34"/>
      <c r="V1202" s="34"/>
      <c r="W1202" s="34"/>
      <c r="X1202" s="34"/>
      <c r="Y1202" s="45"/>
      <c r="Z1202" s="45"/>
      <c r="AA1202" s="45"/>
      <c r="AB1202" s="45"/>
      <c r="AC1202" s="45"/>
      <c r="AD1202" s="45"/>
      <c r="AE1202" s="45"/>
      <c r="AF1202" s="45"/>
      <c r="AG1202" s="45"/>
      <c r="AH1202" s="45"/>
      <c r="AI1202" s="45"/>
      <c r="AJ1202" s="45"/>
      <c r="AK1202" s="45"/>
      <c r="AL1202" s="45"/>
    </row>
    <row r="1203" ht="15.75" customHeight="1">
      <c r="A1203" s="27">
        <f t="shared" si="21"/>
        <v>82</v>
      </c>
      <c r="B1203" s="28" t="s">
        <v>4403</v>
      </c>
      <c r="C1203" s="102" t="s">
        <v>4404</v>
      </c>
      <c r="D1203" s="30" t="s">
        <v>4405</v>
      </c>
      <c r="E1203" s="28"/>
      <c r="F1203" s="28" t="s">
        <v>29</v>
      </c>
      <c r="G1203" s="28" t="s">
        <v>37</v>
      </c>
      <c r="H1203" s="28"/>
      <c r="I1203" s="28" t="s">
        <v>38</v>
      </c>
      <c r="J1203" s="28">
        <v>808.0</v>
      </c>
      <c r="K1203" s="28"/>
      <c r="L1203" s="28" t="s">
        <v>4406</v>
      </c>
      <c r="M1203" s="28" t="s">
        <v>250</v>
      </c>
      <c r="N1203" s="28">
        <v>1996.0</v>
      </c>
      <c r="O1203" s="60" t="s">
        <v>4010</v>
      </c>
      <c r="P1203" s="28">
        <v>1.0</v>
      </c>
      <c r="Q1203" s="32">
        <v>1.0</v>
      </c>
      <c r="R1203" s="33"/>
      <c r="S1203" s="34"/>
      <c r="T1203" s="34"/>
      <c r="U1203" s="34"/>
      <c r="V1203" s="34"/>
      <c r="W1203" s="34"/>
      <c r="X1203" s="34"/>
      <c r="Y1203" s="45"/>
      <c r="Z1203" s="45"/>
      <c r="AA1203" s="45"/>
      <c r="AB1203" s="45"/>
      <c r="AC1203" s="45"/>
      <c r="AD1203" s="45"/>
      <c r="AE1203" s="45"/>
      <c r="AF1203" s="45"/>
      <c r="AG1203" s="45"/>
      <c r="AH1203" s="45"/>
      <c r="AI1203" s="45"/>
      <c r="AJ1203" s="45"/>
      <c r="AK1203" s="45"/>
      <c r="AL1203" s="45"/>
    </row>
    <row r="1204" ht="15.75" customHeight="1">
      <c r="A1204" s="27">
        <f t="shared" si="21"/>
        <v>83</v>
      </c>
      <c r="B1204" s="28" t="s">
        <v>4407</v>
      </c>
      <c r="C1204" s="48" t="s">
        <v>4408</v>
      </c>
      <c r="D1204" s="30" t="s">
        <v>4409</v>
      </c>
      <c r="E1204" s="28"/>
      <c r="F1204" s="28" t="s">
        <v>29</v>
      </c>
      <c r="G1204" s="28" t="s">
        <v>37</v>
      </c>
      <c r="H1204" s="28"/>
      <c r="I1204" s="28" t="s">
        <v>38</v>
      </c>
      <c r="J1204" s="28">
        <v>355.0</v>
      </c>
      <c r="K1204" s="28"/>
      <c r="L1204" s="28" t="s">
        <v>4410</v>
      </c>
      <c r="M1204" s="28" t="s">
        <v>3268</v>
      </c>
      <c r="N1204" s="28">
        <v>1983.0</v>
      </c>
      <c r="O1204" s="60" t="s">
        <v>4010</v>
      </c>
      <c r="P1204" s="28">
        <v>1.0</v>
      </c>
      <c r="Q1204" s="32">
        <v>1.0</v>
      </c>
      <c r="R1204" s="33"/>
      <c r="S1204" s="34"/>
      <c r="T1204" s="34"/>
      <c r="U1204" s="34"/>
      <c r="V1204" s="34"/>
      <c r="W1204" s="34"/>
      <c r="X1204" s="34"/>
      <c r="Y1204" s="45"/>
      <c r="Z1204" s="45"/>
      <c r="AA1204" s="45"/>
      <c r="AB1204" s="45"/>
      <c r="AC1204" s="45"/>
      <c r="AD1204" s="45"/>
      <c r="AE1204" s="45"/>
      <c r="AF1204" s="45"/>
      <c r="AG1204" s="45"/>
      <c r="AH1204" s="45"/>
      <c r="AI1204" s="45"/>
      <c r="AJ1204" s="45"/>
      <c r="AK1204" s="45"/>
      <c r="AL1204" s="45"/>
    </row>
    <row r="1205" ht="15.75" hidden="1" customHeight="1">
      <c r="A1205" s="157">
        <f t="shared" si="21"/>
        <v>84</v>
      </c>
      <c r="B1205" s="158" t="s">
        <v>4411</v>
      </c>
      <c r="C1205" s="159" t="s">
        <v>4412</v>
      </c>
      <c r="D1205" s="160" t="s">
        <v>4413</v>
      </c>
      <c r="E1205" s="158" t="s">
        <v>144</v>
      </c>
      <c r="F1205" s="158" t="s">
        <v>29</v>
      </c>
      <c r="G1205" s="158" t="s">
        <v>37</v>
      </c>
      <c r="H1205" s="158"/>
      <c r="I1205" s="158" t="s">
        <v>38</v>
      </c>
      <c r="J1205" s="158">
        <v>176.0</v>
      </c>
      <c r="K1205" s="158"/>
      <c r="L1205" s="161" t="s">
        <v>4414</v>
      </c>
      <c r="M1205" s="158" t="s">
        <v>4415</v>
      </c>
      <c r="N1205" s="158">
        <v>2003.0</v>
      </c>
      <c r="O1205" s="158"/>
      <c r="P1205" s="158">
        <v>1.0</v>
      </c>
      <c r="Q1205" s="162"/>
      <c r="R1205" s="163"/>
      <c r="S1205" s="34"/>
      <c r="T1205" s="34"/>
      <c r="U1205" s="34"/>
      <c r="V1205" s="34"/>
      <c r="W1205" s="34"/>
      <c r="X1205" s="34"/>
      <c r="Y1205" s="45"/>
      <c r="Z1205" s="45"/>
      <c r="AA1205" s="45"/>
      <c r="AB1205" s="45"/>
      <c r="AC1205" s="45"/>
      <c r="AD1205" s="45"/>
      <c r="AE1205" s="45"/>
      <c r="AF1205" s="45"/>
      <c r="AG1205" s="45"/>
      <c r="AH1205" s="45"/>
      <c r="AI1205" s="45"/>
      <c r="AJ1205" s="45"/>
      <c r="AK1205" s="45"/>
      <c r="AL1205" s="45"/>
    </row>
    <row r="1206" ht="15.75" customHeight="1">
      <c r="A1206" s="27">
        <f t="shared" si="21"/>
        <v>85</v>
      </c>
      <c r="B1206" s="28" t="s">
        <v>4416</v>
      </c>
      <c r="C1206" s="43" t="s">
        <v>4417</v>
      </c>
      <c r="D1206" s="30" t="s">
        <v>4418</v>
      </c>
      <c r="E1206" s="28"/>
      <c r="F1206" s="28" t="s">
        <v>29</v>
      </c>
      <c r="G1206" s="28" t="s">
        <v>30</v>
      </c>
      <c r="H1206" s="28"/>
      <c r="I1206" s="28" t="s">
        <v>30</v>
      </c>
      <c r="J1206" s="28">
        <v>197.0</v>
      </c>
      <c r="K1206" s="28"/>
      <c r="L1206" s="28" t="s">
        <v>4419</v>
      </c>
      <c r="M1206" s="28" t="s">
        <v>151</v>
      </c>
      <c r="N1206" s="28">
        <v>2005.0</v>
      </c>
      <c r="O1206" s="60" t="s">
        <v>4010</v>
      </c>
      <c r="P1206" s="28">
        <v>2.0</v>
      </c>
      <c r="Q1206" s="32">
        <v>2.0</v>
      </c>
      <c r="R1206" s="33"/>
      <c r="S1206" s="34"/>
      <c r="T1206" s="34"/>
      <c r="U1206" s="34"/>
      <c r="V1206" s="34"/>
      <c r="W1206" s="34"/>
      <c r="X1206" s="34"/>
      <c r="Y1206" s="45"/>
      <c r="Z1206" s="45"/>
      <c r="AA1206" s="45"/>
      <c r="AB1206" s="45"/>
      <c r="AC1206" s="45"/>
      <c r="AD1206" s="45"/>
      <c r="AE1206" s="45"/>
      <c r="AF1206" s="45"/>
      <c r="AG1206" s="45"/>
      <c r="AH1206" s="45"/>
      <c r="AI1206" s="45"/>
      <c r="AJ1206" s="45"/>
      <c r="AK1206" s="45"/>
      <c r="AL1206" s="45"/>
    </row>
    <row r="1207" ht="15.75" customHeight="1">
      <c r="A1207" s="27">
        <f t="shared" si="21"/>
        <v>86</v>
      </c>
      <c r="B1207" s="28" t="s">
        <v>4420</v>
      </c>
      <c r="C1207" s="43" t="s">
        <v>4421</v>
      </c>
      <c r="D1207" s="30" t="s">
        <v>4422</v>
      </c>
      <c r="E1207" s="28" t="s">
        <v>31</v>
      </c>
      <c r="F1207" s="28" t="s">
        <v>29</v>
      </c>
      <c r="G1207" s="28" t="s">
        <v>37</v>
      </c>
      <c r="H1207" s="28"/>
      <c r="I1207" s="28" t="s">
        <v>38</v>
      </c>
      <c r="J1207" s="28">
        <v>132.0</v>
      </c>
      <c r="K1207" s="28"/>
      <c r="L1207" s="28" t="s">
        <v>4423</v>
      </c>
      <c r="M1207" s="28" t="s">
        <v>816</v>
      </c>
      <c r="N1207" s="28">
        <v>1982.0</v>
      </c>
      <c r="O1207" s="60" t="s">
        <v>4010</v>
      </c>
      <c r="P1207" s="28">
        <v>1.0</v>
      </c>
      <c r="Q1207" s="94">
        <v>1.0</v>
      </c>
      <c r="R1207" s="33"/>
      <c r="S1207" s="34"/>
      <c r="T1207" s="34"/>
      <c r="U1207" s="34"/>
      <c r="V1207" s="34"/>
      <c r="W1207" s="34"/>
      <c r="X1207" s="34"/>
      <c r="Y1207" s="3"/>
      <c r="Z1207" s="3"/>
      <c r="AA1207" s="3"/>
      <c r="AB1207" s="3"/>
      <c r="AC1207" s="3"/>
      <c r="AD1207" s="3"/>
      <c r="AE1207" s="3"/>
      <c r="AF1207" s="3"/>
      <c r="AG1207" s="3"/>
      <c r="AH1207" s="3"/>
      <c r="AI1207" s="3"/>
      <c r="AJ1207" s="3"/>
      <c r="AK1207" s="3"/>
      <c r="AL1207" s="3"/>
    </row>
    <row r="1208" ht="15.75" hidden="1" customHeight="1">
      <c r="A1208" s="164">
        <f t="shared" si="21"/>
        <v>87</v>
      </c>
      <c r="B1208" s="63" t="s">
        <v>4424</v>
      </c>
      <c r="C1208" s="64" t="s">
        <v>4425</v>
      </c>
      <c r="D1208" s="165" t="s">
        <v>4426</v>
      </c>
      <c r="E1208" s="63" t="s">
        <v>2601</v>
      </c>
      <c r="F1208" s="63" t="s">
        <v>29</v>
      </c>
      <c r="G1208" s="63" t="s">
        <v>37</v>
      </c>
      <c r="H1208" s="63"/>
      <c r="I1208" s="63" t="s">
        <v>38</v>
      </c>
      <c r="J1208" s="63">
        <v>640.0</v>
      </c>
      <c r="K1208" s="63"/>
      <c r="L1208" s="63" t="s">
        <v>4427</v>
      </c>
      <c r="M1208" s="63" t="s">
        <v>4428</v>
      </c>
      <c r="N1208" s="63">
        <v>1985.0</v>
      </c>
      <c r="O1208" s="63"/>
      <c r="P1208" s="63">
        <v>1.0</v>
      </c>
      <c r="Q1208" s="66"/>
      <c r="R1208" s="67"/>
      <c r="S1208" s="38"/>
      <c r="T1208" s="38"/>
      <c r="U1208" s="38"/>
      <c r="V1208" s="38"/>
      <c r="W1208" s="38"/>
      <c r="X1208" s="38"/>
      <c r="Y1208" s="45"/>
      <c r="Z1208" s="45"/>
      <c r="AA1208" s="45"/>
      <c r="AB1208" s="45"/>
      <c r="AC1208" s="45"/>
      <c r="AD1208" s="45"/>
      <c r="AE1208" s="45"/>
      <c r="AF1208" s="45"/>
      <c r="AG1208" s="45"/>
      <c r="AH1208" s="45"/>
      <c r="AI1208" s="45"/>
      <c r="AJ1208" s="45"/>
      <c r="AK1208" s="45"/>
      <c r="AL1208" s="45"/>
    </row>
    <row r="1209" ht="15.75" customHeight="1">
      <c r="A1209" s="27">
        <f t="shared" si="21"/>
        <v>88</v>
      </c>
      <c r="B1209" s="28" t="s">
        <v>4429</v>
      </c>
      <c r="C1209" s="102" t="s">
        <v>4430</v>
      </c>
      <c r="D1209" s="30" t="s">
        <v>4431</v>
      </c>
      <c r="E1209" s="28"/>
      <c r="F1209" s="28" t="s">
        <v>29</v>
      </c>
      <c r="G1209" s="28" t="s">
        <v>37</v>
      </c>
      <c r="H1209" s="28"/>
      <c r="I1209" s="28" t="s">
        <v>38</v>
      </c>
      <c r="J1209" s="28">
        <v>570.0</v>
      </c>
      <c r="K1209" s="28"/>
      <c r="L1209" s="28" t="s">
        <v>4432</v>
      </c>
      <c r="M1209" s="28" t="s">
        <v>230</v>
      </c>
      <c r="N1209" s="28">
        <v>2009.0</v>
      </c>
      <c r="O1209" s="60" t="s">
        <v>4010</v>
      </c>
      <c r="P1209" s="28">
        <v>1.0</v>
      </c>
      <c r="Q1209" s="32">
        <v>1.0</v>
      </c>
      <c r="R1209" s="33"/>
      <c r="S1209" s="34"/>
      <c r="T1209" s="34"/>
      <c r="U1209" s="34"/>
      <c r="V1209" s="34"/>
      <c r="W1209" s="34"/>
      <c r="X1209" s="34"/>
      <c r="Y1209" s="45"/>
      <c r="Z1209" s="45"/>
      <c r="AA1209" s="45"/>
      <c r="AB1209" s="45"/>
      <c r="AC1209" s="45"/>
      <c r="AD1209" s="45"/>
      <c r="AE1209" s="45"/>
      <c r="AF1209" s="45"/>
      <c r="AG1209" s="45"/>
      <c r="AH1209" s="45"/>
      <c r="AI1209" s="45"/>
      <c r="AJ1209" s="45"/>
      <c r="AK1209" s="45"/>
      <c r="AL1209" s="45"/>
    </row>
    <row r="1210" ht="15.75" customHeight="1">
      <c r="A1210" s="27">
        <f t="shared" si="21"/>
        <v>89</v>
      </c>
      <c r="B1210" s="28" t="s">
        <v>4433</v>
      </c>
      <c r="C1210" s="43" t="s">
        <v>4434</v>
      </c>
      <c r="D1210" s="30" t="s">
        <v>4435</v>
      </c>
      <c r="E1210" s="28" t="s">
        <v>144</v>
      </c>
      <c r="F1210" s="28" t="s">
        <v>29</v>
      </c>
      <c r="G1210" s="28" t="s">
        <v>30</v>
      </c>
      <c r="H1210" s="28"/>
      <c r="I1210" s="28" t="s">
        <v>30</v>
      </c>
      <c r="J1210" s="28">
        <v>236.0</v>
      </c>
      <c r="K1210" s="28"/>
      <c r="L1210" s="28" t="s">
        <v>4436</v>
      </c>
      <c r="M1210" s="28" t="s">
        <v>151</v>
      </c>
      <c r="N1210" s="28">
        <v>2000.0</v>
      </c>
      <c r="O1210" s="60" t="s">
        <v>4010</v>
      </c>
      <c r="P1210" s="28">
        <v>2.0</v>
      </c>
      <c r="Q1210" s="94">
        <v>1.0</v>
      </c>
      <c r="R1210" s="33"/>
      <c r="S1210" s="40"/>
      <c r="T1210" s="40"/>
      <c r="U1210" s="40"/>
      <c r="V1210" s="40"/>
      <c r="W1210" s="40"/>
      <c r="X1210" s="40"/>
      <c r="Y1210" s="45"/>
      <c r="Z1210" s="45"/>
      <c r="AA1210" s="45"/>
      <c r="AB1210" s="45"/>
      <c r="AC1210" s="45"/>
      <c r="AD1210" s="45"/>
      <c r="AE1210" s="45"/>
      <c r="AF1210" s="45"/>
      <c r="AG1210" s="45"/>
      <c r="AH1210" s="45"/>
      <c r="AI1210" s="45"/>
      <c r="AJ1210" s="45"/>
      <c r="AK1210" s="45"/>
      <c r="AL1210" s="45"/>
    </row>
    <row r="1211" ht="15.75" customHeight="1">
      <c r="A1211" s="27">
        <f t="shared" si="21"/>
        <v>90</v>
      </c>
      <c r="B1211" s="121" t="s">
        <v>4437</v>
      </c>
      <c r="C1211" s="121" t="s">
        <v>4434</v>
      </c>
      <c r="D1211" s="119" t="s">
        <v>4435</v>
      </c>
      <c r="E1211" s="121" t="s">
        <v>144</v>
      </c>
      <c r="F1211" s="121" t="s">
        <v>29</v>
      </c>
      <c r="G1211" s="121" t="s">
        <v>30</v>
      </c>
      <c r="H1211" s="83"/>
      <c r="I1211" s="121" t="s">
        <v>30</v>
      </c>
      <c r="J1211" s="121">
        <v>226.0</v>
      </c>
      <c r="K1211" s="83"/>
      <c r="L1211" s="28" t="s">
        <v>4436</v>
      </c>
      <c r="M1211" s="28" t="s">
        <v>151</v>
      </c>
      <c r="N1211" s="121">
        <v>2011.0</v>
      </c>
      <c r="O1211" s="60" t="s">
        <v>4010</v>
      </c>
      <c r="P1211" s="121">
        <v>1.0</v>
      </c>
      <c r="Q1211" s="121">
        <v>1.0</v>
      </c>
      <c r="R1211" s="84"/>
      <c r="S1211" s="34"/>
      <c r="T1211" s="34"/>
      <c r="U1211" s="34"/>
      <c r="V1211" s="34"/>
      <c r="W1211" s="34"/>
      <c r="X1211" s="34"/>
      <c r="Y1211" s="45"/>
      <c r="Z1211" s="45"/>
      <c r="AA1211" s="45"/>
      <c r="AB1211" s="45"/>
      <c r="AC1211" s="45"/>
      <c r="AD1211" s="45"/>
      <c r="AE1211" s="45"/>
      <c r="AF1211" s="45"/>
      <c r="AG1211" s="45"/>
      <c r="AH1211" s="45"/>
      <c r="AI1211" s="45"/>
      <c r="AJ1211" s="45"/>
      <c r="AK1211" s="45"/>
      <c r="AL1211" s="45"/>
    </row>
    <row r="1212" ht="15.75" customHeight="1">
      <c r="A1212" s="27">
        <f t="shared" si="21"/>
        <v>91</v>
      </c>
      <c r="B1212" s="28" t="s">
        <v>4438</v>
      </c>
      <c r="C1212" s="102" t="s">
        <v>4439</v>
      </c>
      <c r="D1212" s="30" t="s">
        <v>4440</v>
      </c>
      <c r="E1212" s="28"/>
      <c r="F1212" s="28" t="s">
        <v>29</v>
      </c>
      <c r="G1212" s="28" t="s">
        <v>37</v>
      </c>
      <c r="H1212" s="28"/>
      <c r="I1212" s="28" t="s">
        <v>38</v>
      </c>
      <c r="J1212" s="28">
        <v>129.0</v>
      </c>
      <c r="K1212" s="28"/>
      <c r="L1212" s="28" t="s">
        <v>4441</v>
      </c>
      <c r="M1212" s="28" t="s">
        <v>2886</v>
      </c>
      <c r="N1212" s="28">
        <v>1984.0</v>
      </c>
      <c r="O1212" s="60" t="s">
        <v>4010</v>
      </c>
      <c r="P1212" s="28">
        <v>1.0</v>
      </c>
      <c r="Q1212" s="37">
        <v>1.0</v>
      </c>
      <c r="R1212" s="33"/>
      <c r="S1212" s="34"/>
      <c r="T1212" s="34"/>
      <c r="U1212" s="34"/>
      <c r="V1212" s="34"/>
      <c r="W1212" s="34"/>
      <c r="X1212" s="34"/>
      <c r="Y1212" s="45"/>
      <c r="Z1212" s="45"/>
      <c r="AA1212" s="45"/>
      <c r="AB1212" s="45"/>
      <c r="AC1212" s="45"/>
      <c r="AD1212" s="45"/>
      <c r="AE1212" s="45"/>
      <c r="AF1212" s="45"/>
      <c r="AG1212" s="45"/>
      <c r="AH1212" s="45"/>
      <c r="AI1212" s="45"/>
      <c r="AJ1212" s="45"/>
      <c r="AK1212" s="45"/>
      <c r="AL1212" s="45"/>
    </row>
    <row r="1213" ht="15.75" customHeight="1">
      <c r="A1213" s="27">
        <f t="shared" si="21"/>
        <v>92</v>
      </c>
      <c r="B1213" s="83" t="s">
        <v>4442</v>
      </c>
      <c r="C1213" s="121" t="s">
        <v>4443</v>
      </c>
      <c r="D1213" s="118" t="s">
        <v>4444</v>
      </c>
      <c r="E1213" s="83"/>
      <c r="F1213" s="83" t="s">
        <v>29</v>
      </c>
      <c r="G1213" s="83"/>
      <c r="H1213" s="83"/>
      <c r="I1213" s="83" t="s">
        <v>38</v>
      </c>
      <c r="J1213" s="83">
        <v>395.0</v>
      </c>
      <c r="K1213" s="83"/>
      <c r="L1213" s="83" t="s">
        <v>4445</v>
      </c>
      <c r="M1213" s="83" t="s">
        <v>49</v>
      </c>
      <c r="N1213" s="83">
        <v>2011.0</v>
      </c>
      <c r="O1213" s="60" t="s">
        <v>4010</v>
      </c>
      <c r="P1213" s="83">
        <v>1.0</v>
      </c>
      <c r="Q1213" s="83">
        <v>1.0</v>
      </c>
      <c r="R1213" s="84"/>
      <c r="S1213" s="38"/>
      <c r="T1213" s="38"/>
      <c r="U1213" s="38"/>
      <c r="V1213" s="38"/>
      <c r="W1213" s="38"/>
      <c r="X1213" s="38"/>
      <c r="Y1213" s="45"/>
      <c r="Z1213" s="45"/>
      <c r="AA1213" s="45"/>
      <c r="AB1213" s="45"/>
      <c r="AC1213" s="45"/>
      <c r="AD1213" s="45"/>
      <c r="AE1213" s="45"/>
      <c r="AF1213" s="45"/>
      <c r="AG1213" s="45"/>
      <c r="AH1213" s="45"/>
      <c r="AI1213" s="45"/>
      <c r="AJ1213" s="45"/>
      <c r="AK1213" s="45"/>
      <c r="AL1213" s="45"/>
    </row>
    <row r="1214" ht="15.75" customHeight="1">
      <c r="A1214" s="27">
        <f t="shared" si="21"/>
        <v>93</v>
      </c>
      <c r="B1214" s="28"/>
      <c r="C1214" s="43" t="s">
        <v>4446</v>
      </c>
      <c r="D1214" s="30" t="s">
        <v>4447</v>
      </c>
      <c r="E1214" s="28" t="s">
        <v>302</v>
      </c>
      <c r="F1214" s="28" t="s">
        <v>29</v>
      </c>
      <c r="G1214" s="28" t="s">
        <v>30</v>
      </c>
      <c r="H1214" s="28"/>
      <c r="I1214" s="28" t="s">
        <v>30</v>
      </c>
      <c r="J1214" s="28">
        <v>339.0</v>
      </c>
      <c r="K1214" s="28"/>
      <c r="L1214" s="28" t="s">
        <v>4448</v>
      </c>
      <c r="M1214" s="28" t="s">
        <v>2258</v>
      </c>
      <c r="N1214" s="28">
        <v>2004.0</v>
      </c>
      <c r="O1214" s="60" t="s">
        <v>4010</v>
      </c>
      <c r="P1214" s="28">
        <v>1.0</v>
      </c>
      <c r="Q1214" s="94">
        <v>1.0</v>
      </c>
      <c r="R1214" s="33"/>
      <c r="S1214" s="38"/>
      <c r="T1214" s="38"/>
      <c r="U1214" s="38"/>
      <c r="V1214" s="38"/>
      <c r="W1214" s="38"/>
      <c r="X1214" s="38"/>
      <c r="Y1214" s="45"/>
      <c r="Z1214" s="45"/>
      <c r="AA1214" s="45"/>
      <c r="AB1214" s="45"/>
      <c r="AC1214" s="45"/>
      <c r="AD1214" s="45"/>
      <c r="AE1214" s="45"/>
      <c r="AF1214" s="45"/>
      <c r="AG1214" s="45"/>
      <c r="AH1214" s="45"/>
      <c r="AI1214" s="45"/>
      <c r="AJ1214" s="45"/>
      <c r="AK1214" s="45"/>
      <c r="AL1214" s="45"/>
    </row>
    <row r="1215" ht="15.75" customHeight="1">
      <c r="A1215" s="27">
        <f t="shared" si="21"/>
        <v>94</v>
      </c>
      <c r="B1215" s="121" t="s">
        <v>4449</v>
      </c>
      <c r="C1215" s="121" t="s">
        <v>4450</v>
      </c>
      <c r="D1215" s="119" t="s">
        <v>4451</v>
      </c>
      <c r="E1215" s="83"/>
      <c r="F1215" s="121" t="s">
        <v>29</v>
      </c>
      <c r="G1215" s="121" t="s">
        <v>37</v>
      </c>
      <c r="H1215" s="83"/>
      <c r="I1215" s="121" t="s">
        <v>38</v>
      </c>
      <c r="J1215" s="121">
        <v>153.0</v>
      </c>
      <c r="K1215" s="83"/>
      <c r="L1215" s="121" t="s">
        <v>4452</v>
      </c>
      <c r="M1215" s="121" t="s">
        <v>365</v>
      </c>
      <c r="N1215" s="121">
        <v>1987.0</v>
      </c>
      <c r="O1215" s="60" t="s">
        <v>4010</v>
      </c>
      <c r="P1215" s="121">
        <v>1.0</v>
      </c>
      <c r="Q1215" s="121">
        <v>1.0</v>
      </c>
      <c r="R1215" s="84"/>
      <c r="S1215" s="34"/>
      <c r="T1215" s="34"/>
      <c r="U1215" s="34"/>
      <c r="V1215" s="34"/>
      <c r="W1215" s="34"/>
      <c r="X1215" s="34"/>
      <c r="Y1215" s="45"/>
      <c r="Z1215" s="45"/>
      <c r="AA1215" s="45"/>
      <c r="AB1215" s="45"/>
      <c r="AC1215" s="45"/>
      <c r="AD1215" s="45"/>
      <c r="AE1215" s="45"/>
      <c r="AF1215" s="45"/>
      <c r="AG1215" s="45"/>
      <c r="AH1215" s="45"/>
      <c r="AI1215" s="45"/>
      <c r="AJ1215" s="45"/>
      <c r="AK1215" s="45"/>
      <c r="AL1215" s="45"/>
    </row>
    <row r="1216" ht="15.75" customHeight="1">
      <c r="A1216" s="27">
        <f t="shared" si="21"/>
        <v>95</v>
      </c>
      <c r="B1216" s="28" t="s">
        <v>4453</v>
      </c>
      <c r="C1216" s="29" t="s">
        <v>4454</v>
      </c>
      <c r="D1216" s="30" t="s">
        <v>4455</v>
      </c>
      <c r="E1216" s="28" t="s">
        <v>144</v>
      </c>
      <c r="F1216" s="28" t="s">
        <v>29</v>
      </c>
      <c r="G1216" s="28" t="s">
        <v>38</v>
      </c>
      <c r="H1216" s="28"/>
      <c r="I1216" s="28" t="s">
        <v>38</v>
      </c>
      <c r="J1216" s="28">
        <v>237.0</v>
      </c>
      <c r="K1216" s="28"/>
      <c r="L1216" s="28" t="s">
        <v>4456</v>
      </c>
      <c r="M1216" s="28" t="s">
        <v>4457</v>
      </c>
      <c r="N1216" s="28">
        <v>2009.0</v>
      </c>
      <c r="O1216" s="60" t="s">
        <v>4010</v>
      </c>
      <c r="P1216" s="28">
        <v>1.0</v>
      </c>
      <c r="Q1216" s="32">
        <v>1.0</v>
      </c>
      <c r="R1216" s="33"/>
      <c r="S1216" s="34"/>
      <c r="T1216" s="34"/>
      <c r="U1216" s="34"/>
      <c r="V1216" s="34"/>
      <c r="W1216" s="34"/>
      <c r="X1216" s="34"/>
      <c r="Y1216" s="45"/>
      <c r="Z1216" s="45"/>
      <c r="AA1216" s="45"/>
      <c r="AB1216" s="45"/>
      <c r="AC1216" s="45"/>
      <c r="AD1216" s="45"/>
      <c r="AE1216" s="45"/>
      <c r="AF1216" s="45"/>
      <c r="AG1216" s="45"/>
      <c r="AH1216" s="45"/>
      <c r="AI1216" s="45"/>
      <c r="AJ1216" s="45"/>
      <c r="AK1216" s="45"/>
      <c r="AL1216" s="45"/>
    </row>
    <row r="1217" ht="15.75" customHeight="1">
      <c r="A1217" s="27">
        <f t="shared" si="21"/>
        <v>96</v>
      </c>
      <c r="B1217" s="28" t="s">
        <v>4458</v>
      </c>
      <c r="C1217" s="48" t="s">
        <v>4459</v>
      </c>
      <c r="D1217" s="30" t="s">
        <v>4460</v>
      </c>
      <c r="E1217" s="28"/>
      <c r="F1217" s="28" t="s">
        <v>29</v>
      </c>
      <c r="G1217" s="28" t="s">
        <v>37</v>
      </c>
      <c r="H1217" s="28"/>
      <c r="I1217" s="28" t="s">
        <v>38</v>
      </c>
      <c r="J1217" s="28">
        <v>235.0</v>
      </c>
      <c r="K1217" s="28"/>
      <c r="L1217" s="28" t="s">
        <v>4461</v>
      </c>
      <c r="M1217" s="28" t="s">
        <v>230</v>
      </c>
      <c r="N1217" s="28">
        <v>2010.0</v>
      </c>
      <c r="O1217" s="60" t="s">
        <v>4010</v>
      </c>
      <c r="P1217" s="28">
        <v>1.0</v>
      </c>
      <c r="Q1217" s="94">
        <v>1.0</v>
      </c>
      <c r="R1217" s="33"/>
      <c r="S1217" s="34"/>
      <c r="T1217" s="34"/>
      <c r="U1217" s="34"/>
      <c r="V1217" s="34"/>
      <c r="W1217" s="34"/>
      <c r="X1217" s="34"/>
      <c r="Y1217" s="45"/>
      <c r="Z1217" s="45"/>
      <c r="AA1217" s="45"/>
      <c r="AB1217" s="45"/>
      <c r="AC1217" s="45"/>
      <c r="AD1217" s="45"/>
      <c r="AE1217" s="45"/>
      <c r="AF1217" s="45"/>
      <c r="AG1217" s="45"/>
      <c r="AH1217" s="45"/>
      <c r="AI1217" s="45"/>
      <c r="AJ1217" s="45"/>
      <c r="AK1217" s="45"/>
      <c r="AL1217" s="45"/>
    </row>
    <row r="1218" ht="15.75" customHeight="1">
      <c r="A1218" s="27">
        <f t="shared" si="21"/>
        <v>97</v>
      </c>
      <c r="B1218" s="121" t="s">
        <v>4462</v>
      </c>
      <c r="C1218" s="124" t="s">
        <v>4463</v>
      </c>
      <c r="D1218" s="128" t="s">
        <v>4464</v>
      </c>
      <c r="E1218" s="86" t="s">
        <v>0</v>
      </c>
      <c r="F1218" s="121" t="s">
        <v>29</v>
      </c>
      <c r="G1218" s="121" t="s">
        <v>38</v>
      </c>
      <c r="H1218" s="83"/>
      <c r="I1218" s="121" t="s">
        <v>38</v>
      </c>
      <c r="J1218" s="121">
        <v>798.0</v>
      </c>
      <c r="K1218" s="83"/>
      <c r="L1218" s="121" t="s">
        <v>4465</v>
      </c>
      <c r="M1218" s="121" t="s">
        <v>72</v>
      </c>
      <c r="N1218" s="121">
        <v>2014.0</v>
      </c>
      <c r="O1218" s="62">
        <v>9.0</v>
      </c>
      <c r="P1218" s="121">
        <v>1.0</v>
      </c>
      <c r="Q1218" s="121">
        <v>1.0</v>
      </c>
      <c r="R1218" s="84"/>
      <c r="S1218" s="34"/>
      <c r="T1218" s="34"/>
      <c r="U1218" s="34"/>
      <c r="V1218" s="34"/>
      <c r="W1218" s="34"/>
      <c r="X1218" s="34"/>
      <c r="Y1218" s="45"/>
      <c r="Z1218" s="45"/>
      <c r="AA1218" s="45"/>
      <c r="AB1218" s="45"/>
      <c r="AC1218" s="45"/>
      <c r="AD1218" s="45"/>
      <c r="AE1218" s="45"/>
      <c r="AF1218" s="45"/>
      <c r="AG1218" s="45"/>
      <c r="AH1218" s="45"/>
      <c r="AI1218" s="45"/>
      <c r="AJ1218" s="45"/>
      <c r="AK1218" s="45"/>
      <c r="AL1218" s="45"/>
    </row>
    <row r="1219" ht="15.75" customHeight="1">
      <c r="A1219" s="27">
        <f t="shared" si="21"/>
        <v>98</v>
      </c>
      <c r="B1219" s="121" t="s">
        <v>4466</v>
      </c>
      <c r="C1219" s="124" t="s">
        <v>4463</v>
      </c>
      <c r="D1219" s="128" t="s">
        <v>4467</v>
      </c>
      <c r="E1219" s="86" t="s">
        <v>0</v>
      </c>
      <c r="F1219" s="121" t="s">
        <v>29</v>
      </c>
      <c r="G1219" s="121" t="s">
        <v>38</v>
      </c>
      <c r="H1219" s="83"/>
      <c r="I1219" s="121" t="s">
        <v>38</v>
      </c>
      <c r="J1219" s="121">
        <v>619.0</v>
      </c>
      <c r="K1219" s="83"/>
      <c r="L1219" s="121" t="s">
        <v>4465</v>
      </c>
      <c r="M1219" s="121" t="s">
        <v>72</v>
      </c>
      <c r="N1219" s="121">
        <v>2013.0</v>
      </c>
      <c r="O1219" s="62">
        <v>9.0</v>
      </c>
      <c r="P1219" s="121">
        <v>1.0</v>
      </c>
      <c r="Q1219" s="121">
        <v>1.0</v>
      </c>
      <c r="R1219" s="84"/>
      <c r="S1219" s="34"/>
      <c r="T1219" s="34"/>
      <c r="U1219" s="34"/>
      <c r="V1219" s="34"/>
      <c r="W1219" s="34"/>
      <c r="X1219" s="34"/>
      <c r="Y1219" s="45"/>
      <c r="Z1219" s="45"/>
      <c r="AA1219" s="45"/>
      <c r="AB1219" s="45"/>
      <c r="AC1219" s="45"/>
      <c r="AD1219" s="45"/>
      <c r="AE1219" s="45"/>
      <c r="AF1219" s="45"/>
      <c r="AG1219" s="45"/>
      <c r="AH1219" s="45"/>
      <c r="AI1219" s="45"/>
      <c r="AJ1219" s="45"/>
      <c r="AK1219" s="45"/>
      <c r="AL1219" s="45"/>
    </row>
    <row r="1220" ht="15.75" customHeight="1">
      <c r="A1220" s="27">
        <f t="shared" si="21"/>
        <v>99</v>
      </c>
      <c r="B1220" s="121" t="s">
        <v>4468</v>
      </c>
      <c r="C1220" s="124" t="s">
        <v>4463</v>
      </c>
      <c r="D1220" s="128" t="s">
        <v>4469</v>
      </c>
      <c r="E1220" s="86" t="s">
        <v>0</v>
      </c>
      <c r="F1220" s="121" t="s">
        <v>29</v>
      </c>
      <c r="G1220" s="121" t="s">
        <v>38</v>
      </c>
      <c r="H1220" s="83"/>
      <c r="I1220" s="121" t="s">
        <v>38</v>
      </c>
      <c r="J1220" s="121">
        <v>568.0</v>
      </c>
      <c r="K1220" s="83"/>
      <c r="L1220" s="121" t="s">
        <v>4465</v>
      </c>
      <c r="M1220" s="121" t="s">
        <v>72</v>
      </c>
      <c r="N1220" s="121">
        <v>2013.0</v>
      </c>
      <c r="O1220" s="62">
        <v>9.0</v>
      </c>
      <c r="P1220" s="121">
        <v>1.0</v>
      </c>
      <c r="Q1220" s="121">
        <v>1.0</v>
      </c>
      <c r="R1220" s="84"/>
      <c r="S1220" s="34"/>
      <c r="T1220" s="34"/>
      <c r="U1220" s="34"/>
      <c r="V1220" s="34"/>
      <c r="W1220" s="34"/>
      <c r="X1220" s="34"/>
      <c r="Y1220" s="45"/>
      <c r="Z1220" s="45"/>
      <c r="AA1220" s="45"/>
      <c r="AB1220" s="45"/>
      <c r="AC1220" s="45"/>
      <c r="AD1220" s="45"/>
      <c r="AE1220" s="45"/>
      <c r="AF1220" s="45"/>
      <c r="AG1220" s="45"/>
      <c r="AH1220" s="45"/>
      <c r="AI1220" s="45"/>
      <c r="AJ1220" s="45"/>
      <c r="AK1220" s="45"/>
      <c r="AL1220" s="45"/>
    </row>
    <row r="1221" ht="15.75" customHeight="1">
      <c r="A1221" s="27">
        <f t="shared" si="21"/>
        <v>100</v>
      </c>
      <c r="B1221" s="83" t="s">
        <v>4470</v>
      </c>
      <c r="C1221" s="86" t="s">
        <v>4471</v>
      </c>
      <c r="D1221" s="83" t="s">
        <v>4375</v>
      </c>
      <c r="E1221" s="118"/>
      <c r="F1221" s="83" t="s">
        <v>29</v>
      </c>
      <c r="G1221" s="83" t="s">
        <v>30</v>
      </c>
      <c r="H1221" s="118"/>
      <c r="I1221" s="83" t="s">
        <v>30</v>
      </c>
      <c r="J1221" s="83">
        <v>390.0</v>
      </c>
      <c r="K1221" s="118"/>
      <c r="L1221" s="83" t="s">
        <v>4472</v>
      </c>
      <c r="M1221" s="118" t="s">
        <v>4284</v>
      </c>
      <c r="N1221" s="118">
        <v>2017.0</v>
      </c>
      <c r="O1221" s="60" t="s">
        <v>4010</v>
      </c>
      <c r="P1221" s="119">
        <v>2.0</v>
      </c>
      <c r="Q1221" s="121">
        <v>2.0</v>
      </c>
      <c r="R1221" s="84"/>
      <c r="S1221" s="34"/>
      <c r="T1221" s="34"/>
      <c r="U1221" s="34"/>
      <c r="V1221" s="34"/>
      <c r="W1221" s="34"/>
      <c r="X1221" s="34"/>
      <c r="Y1221" s="3"/>
      <c r="Z1221" s="3"/>
      <c r="AA1221" s="3"/>
      <c r="AB1221" s="3"/>
      <c r="AC1221" s="3"/>
      <c r="AD1221" s="3"/>
      <c r="AE1221" s="3"/>
      <c r="AF1221" s="3"/>
      <c r="AG1221" s="3"/>
      <c r="AH1221" s="3"/>
      <c r="AI1221" s="3"/>
      <c r="AJ1221" s="3"/>
      <c r="AK1221" s="3"/>
      <c r="AL1221" s="3"/>
    </row>
    <row r="1222" ht="15.75" customHeight="1">
      <c r="A1222" s="27">
        <f t="shared" si="21"/>
        <v>101</v>
      </c>
      <c r="B1222" s="28" t="s">
        <v>4473</v>
      </c>
      <c r="C1222" s="43" t="s">
        <v>4474</v>
      </c>
      <c r="D1222" s="30" t="s">
        <v>4475</v>
      </c>
      <c r="E1222" s="28" t="s">
        <v>31</v>
      </c>
      <c r="F1222" s="28" t="s">
        <v>29</v>
      </c>
      <c r="G1222" s="28" t="s">
        <v>30</v>
      </c>
      <c r="H1222" s="28"/>
      <c r="I1222" s="28" t="s">
        <v>30</v>
      </c>
      <c r="J1222" s="28">
        <v>411.0</v>
      </c>
      <c r="K1222" s="28"/>
      <c r="L1222" s="28" t="s">
        <v>3906</v>
      </c>
      <c r="M1222" s="28" t="s">
        <v>151</v>
      </c>
      <c r="N1222" s="28">
        <v>1994.0</v>
      </c>
      <c r="O1222" s="60" t="s">
        <v>4010</v>
      </c>
      <c r="P1222" s="28">
        <v>1.0</v>
      </c>
      <c r="Q1222" s="32">
        <v>1.0</v>
      </c>
      <c r="R1222" s="33"/>
      <c r="S1222" s="34"/>
      <c r="T1222" s="34"/>
      <c r="U1222" s="34"/>
      <c r="V1222" s="34"/>
      <c r="W1222" s="34"/>
      <c r="X1222" s="34"/>
      <c r="Y1222" s="45"/>
      <c r="Z1222" s="45"/>
      <c r="AA1222" s="45"/>
      <c r="AB1222" s="45"/>
      <c r="AC1222" s="45"/>
      <c r="AD1222" s="45"/>
      <c r="AE1222" s="45"/>
      <c r="AF1222" s="45"/>
      <c r="AG1222" s="45"/>
      <c r="AH1222" s="45"/>
      <c r="AI1222" s="45"/>
      <c r="AJ1222" s="45"/>
      <c r="AK1222" s="45"/>
      <c r="AL1222" s="45"/>
    </row>
    <row r="1223" ht="15.75" customHeight="1">
      <c r="A1223" s="27">
        <f t="shared" si="21"/>
        <v>102</v>
      </c>
      <c r="B1223" s="28" t="s">
        <v>4476</v>
      </c>
      <c r="C1223" s="43" t="s">
        <v>4477</v>
      </c>
      <c r="D1223" s="30" t="s">
        <v>4478</v>
      </c>
      <c r="E1223" s="28" t="s">
        <v>31</v>
      </c>
      <c r="F1223" s="28" t="s">
        <v>29</v>
      </c>
      <c r="G1223" s="28" t="s">
        <v>30</v>
      </c>
      <c r="H1223" s="28"/>
      <c r="I1223" s="28" t="s">
        <v>30</v>
      </c>
      <c r="J1223" s="28">
        <v>260.0</v>
      </c>
      <c r="K1223" s="28"/>
      <c r="L1223" s="28" t="s">
        <v>3906</v>
      </c>
      <c r="M1223" s="28" t="s">
        <v>151</v>
      </c>
      <c r="N1223" s="28">
        <v>1997.0</v>
      </c>
      <c r="O1223" s="60" t="s">
        <v>4010</v>
      </c>
      <c r="P1223" s="28">
        <v>1.0</v>
      </c>
      <c r="Q1223" s="94">
        <v>1.0</v>
      </c>
      <c r="R1223" s="33"/>
      <c r="S1223" s="34"/>
      <c r="T1223" s="34"/>
      <c r="U1223" s="34"/>
      <c r="V1223" s="34"/>
      <c r="W1223" s="34"/>
      <c r="X1223" s="34"/>
      <c r="Y1223" s="45"/>
      <c r="Z1223" s="45"/>
      <c r="AA1223" s="45"/>
      <c r="AB1223" s="45"/>
      <c r="AC1223" s="45"/>
      <c r="AD1223" s="45"/>
      <c r="AE1223" s="45"/>
      <c r="AF1223" s="45"/>
      <c r="AG1223" s="45"/>
      <c r="AH1223" s="45"/>
      <c r="AI1223" s="45"/>
      <c r="AJ1223" s="45"/>
      <c r="AK1223" s="45"/>
      <c r="AL1223" s="45"/>
    </row>
    <row r="1224" ht="15.75" customHeight="1">
      <c r="A1224" s="27">
        <f t="shared" si="21"/>
        <v>103</v>
      </c>
      <c r="B1224" s="28" t="s">
        <v>4479</v>
      </c>
      <c r="C1224" s="48" t="s">
        <v>4480</v>
      </c>
      <c r="D1224" s="120" t="s">
        <v>4481</v>
      </c>
      <c r="E1224" s="28"/>
      <c r="F1224" s="28" t="s">
        <v>29</v>
      </c>
      <c r="G1224" s="60" t="s">
        <v>131</v>
      </c>
      <c r="H1224" s="28"/>
      <c r="I1224" s="28" t="s">
        <v>38</v>
      </c>
      <c r="J1224" s="28">
        <v>250.0</v>
      </c>
      <c r="K1224" s="28"/>
      <c r="L1224" s="28" t="s">
        <v>4482</v>
      </c>
      <c r="M1224" s="28" t="s">
        <v>352</v>
      </c>
      <c r="N1224" s="28">
        <v>2005.0</v>
      </c>
      <c r="O1224" s="28" t="s">
        <v>4010</v>
      </c>
      <c r="P1224" s="28">
        <v>1.0</v>
      </c>
      <c r="Q1224" s="32">
        <v>1.0</v>
      </c>
      <c r="R1224" s="33"/>
      <c r="S1224" s="34"/>
      <c r="T1224" s="34"/>
      <c r="U1224" s="34"/>
      <c r="V1224" s="34"/>
      <c r="W1224" s="34"/>
      <c r="X1224" s="34"/>
      <c r="Y1224" s="45"/>
      <c r="Z1224" s="45"/>
      <c r="AA1224" s="45"/>
      <c r="AB1224" s="45"/>
      <c r="AC1224" s="45"/>
      <c r="AD1224" s="45"/>
      <c r="AE1224" s="45"/>
      <c r="AF1224" s="45"/>
      <c r="AG1224" s="45"/>
      <c r="AH1224" s="45"/>
      <c r="AI1224" s="45"/>
      <c r="AJ1224" s="45"/>
      <c r="AK1224" s="45"/>
      <c r="AL1224" s="45"/>
    </row>
    <row r="1225" ht="15.75" customHeight="1">
      <c r="A1225" s="27">
        <f t="shared" si="21"/>
        <v>104</v>
      </c>
      <c r="B1225" s="28" t="s">
        <v>4483</v>
      </c>
      <c r="C1225" s="29" t="s">
        <v>4484</v>
      </c>
      <c r="D1225" s="30" t="s">
        <v>4485</v>
      </c>
      <c r="E1225" s="28" t="s">
        <v>31</v>
      </c>
      <c r="F1225" s="28" t="s">
        <v>29</v>
      </c>
      <c r="G1225" s="28" t="s">
        <v>30</v>
      </c>
      <c r="H1225" s="28"/>
      <c r="I1225" s="28" t="s">
        <v>30</v>
      </c>
      <c r="J1225" s="28">
        <v>176.0</v>
      </c>
      <c r="K1225" s="28"/>
      <c r="L1225" s="31" t="s">
        <v>4486</v>
      </c>
      <c r="M1225" s="28" t="s">
        <v>151</v>
      </c>
      <c r="N1225" s="28">
        <v>1990.0</v>
      </c>
      <c r="O1225" s="28" t="s">
        <v>4010</v>
      </c>
      <c r="P1225" s="28">
        <v>1.0</v>
      </c>
      <c r="Q1225" s="32">
        <v>1.0</v>
      </c>
      <c r="R1225" s="33"/>
      <c r="S1225" s="34"/>
      <c r="T1225" s="34"/>
      <c r="U1225" s="34"/>
      <c r="V1225" s="34"/>
      <c r="W1225" s="34"/>
      <c r="X1225" s="34"/>
      <c r="Y1225" s="45"/>
      <c r="Z1225" s="45"/>
      <c r="AA1225" s="45"/>
      <c r="AB1225" s="45"/>
      <c r="AC1225" s="45"/>
      <c r="AD1225" s="45"/>
      <c r="AE1225" s="45"/>
      <c r="AF1225" s="45"/>
      <c r="AG1225" s="45"/>
      <c r="AH1225" s="45"/>
      <c r="AI1225" s="45"/>
      <c r="AJ1225" s="45"/>
      <c r="AK1225" s="45"/>
      <c r="AL1225" s="45"/>
    </row>
    <row r="1226" ht="15.75" customHeight="1">
      <c r="A1226" s="27">
        <f t="shared" si="21"/>
        <v>105</v>
      </c>
      <c r="B1226" s="28" t="s">
        <v>4487</v>
      </c>
      <c r="C1226" s="43" t="s">
        <v>4488</v>
      </c>
      <c r="D1226" s="30" t="s">
        <v>4489</v>
      </c>
      <c r="E1226" s="28" t="s">
        <v>144</v>
      </c>
      <c r="F1226" s="28" t="s">
        <v>29</v>
      </c>
      <c r="G1226" s="28" t="s">
        <v>30</v>
      </c>
      <c r="H1226" s="28"/>
      <c r="I1226" s="28" t="s">
        <v>30</v>
      </c>
      <c r="J1226" s="28">
        <f>493+28</f>
        <v>521</v>
      </c>
      <c r="K1226" s="28"/>
      <c r="L1226" s="28" t="s">
        <v>4490</v>
      </c>
      <c r="M1226" s="28" t="s">
        <v>151</v>
      </c>
      <c r="N1226" s="28">
        <v>1995.0</v>
      </c>
      <c r="O1226" s="28" t="s">
        <v>4010</v>
      </c>
      <c r="P1226" s="28">
        <v>1.0</v>
      </c>
      <c r="Q1226" s="32">
        <v>1.0</v>
      </c>
      <c r="R1226" s="33"/>
      <c r="S1226" s="34"/>
      <c r="T1226" s="34"/>
      <c r="U1226" s="34"/>
      <c r="V1226" s="34"/>
      <c r="W1226" s="34"/>
      <c r="X1226" s="34"/>
      <c r="Y1226" s="45"/>
      <c r="Z1226" s="45"/>
      <c r="AA1226" s="45"/>
      <c r="AB1226" s="45"/>
      <c r="AC1226" s="45"/>
      <c r="AD1226" s="45"/>
      <c r="AE1226" s="45"/>
      <c r="AF1226" s="45"/>
      <c r="AG1226" s="45"/>
      <c r="AH1226" s="45"/>
      <c r="AI1226" s="45"/>
      <c r="AJ1226" s="45"/>
      <c r="AK1226" s="45"/>
      <c r="AL1226" s="45"/>
    </row>
    <row r="1227" ht="15.75" customHeight="1">
      <c r="A1227" s="27">
        <f t="shared" si="21"/>
        <v>106</v>
      </c>
      <c r="B1227" s="28" t="s">
        <v>4491</v>
      </c>
      <c r="C1227" s="29" t="s">
        <v>4492</v>
      </c>
      <c r="D1227" s="30" t="s">
        <v>4493</v>
      </c>
      <c r="E1227" s="28" t="s">
        <v>144</v>
      </c>
      <c r="F1227" s="28" t="s">
        <v>29</v>
      </c>
      <c r="G1227" s="28" t="s">
        <v>30</v>
      </c>
      <c r="H1227" s="28"/>
      <c r="I1227" s="28" t="s">
        <v>30</v>
      </c>
      <c r="J1227" s="28">
        <v>434.0</v>
      </c>
      <c r="K1227" s="28"/>
      <c r="L1227" s="28" t="s">
        <v>4054</v>
      </c>
      <c r="M1227" s="28" t="s">
        <v>151</v>
      </c>
      <c r="N1227" s="28">
        <v>2016.0</v>
      </c>
      <c r="O1227" s="28" t="s">
        <v>4010</v>
      </c>
      <c r="P1227" s="28">
        <v>1.0</v>
      </c>
      <c r="Q1227" s="94">
        <v>1.0</v>
      </c>
      <c r="R1227" s="33"/>
      <c r="S1227" s="38"/>
      <c r="T1227" s="38"/>
      <c r="U1227" s="38"/>
      <c r="V1227" s="38"/>
      <c r="W1227" s="38"/>
      <c r="X1227" s="38"/>
      <c r="Y1227" s="45"/>
      <c r="Z1227" s="45"/>
      <c r="AA1227" s="45"/>
      <c r="AB1227" s="45"/>
      <c r="AC1227" s="45"/>
      <c r="AD1227" s="45"/>
      <c r="AE1227" s="45"/>
      <c r="AF1227" s="45"/>
      <c r="AG1227" s="45"/>
      <c r="AH1227" s="45"/>
      <c r="AI1227" s="45"/>
      <c r="AJ1227" s="45"/>
      <c r="AK1227" s="45"/>
      <c r="AL1227" s="45"/>
    </row>
    <row r="1228" ht="15.75" customHeight="1">
      <c r="A1228" s="27">
        <f t="shared" si="21"/>
        <v>107</v>
      </c>
      <c r="B1228" s="28" t="s">
        <v>31</v>
      </c>
      <c r="C1228" s="43" t="s">
        <v>4494</v>
      </c>
      <c r="D1228" s="30" t="s">
        <v>4495</v>
      </c>
      <c r="E1228" s="28" t="s">
        <v>31</v>
      </c>
      <c r="F1228" s="28" t="s">
        <v>29</v>
      </c>
      <c r="G1228" s="28" t="s">
        <v>31</v>
      </c>
      <c r="H1228" s="28"/>
      <c r="I1228" s="28" t="s">
        <v>38</v>
      </c>
      <c r="J1228" s="28">
        <v>88.0</v>
      </c>
      <c r="K1228" s="28"/>
      <c r="L1228" s="28" t="s">
        <v>4496</v>
      </c>
      <c r="M1228" s="28" t="s">
        <v>4497</v>
      </c>
      <c r="N1228" s="28">
        <v>1974.0</v>
      </c>
      <c r="O1228" s="60" t="s">
        <v>4010</v>
      </c>
      <c r="P1228" s="28">
        <v>1.0</v>
      </c>
      <c r="Q1228" s="94">
        <v>1.0</v>
      </c>
      <c r="R1228" s="33"/>
      <c r="S1228" s="34"/>
      <c r="T1228" s="34"/>
      <c r="U1228" s="34"/>
      <c r="V1228" s="34"/>
      <c r="W1228" s="34"/>
      <c r="X1228" s="34"/>
      <c r="Y1228" s="45"/>
      <c r="Z1228" s="45"/>
      <c r="AA1228" s="45"/>
      <c r="AB1228" s="45"/>
      <c r="AC1228" s="45"/>
      <c r="AD1228" s="45"/>
      <c r="AE1228" s="45"/>
      <c r="AF1228" s="45"/>
      <c r="AG1228" s="45"/>
      <c r="AH1228" s="45"/>
      <c r="AI1228" s="45"/>
      <c r="AJ1228" s="45"/>
      <c r="AK1228" s="45"/>
      <c r="AL1228" s="45"/>
    </row>
    <row r="1229" ht="15.75" customHeight="1">
      <c r="A1229" s="27">
        <f t="shared" si="21"/>
        <v>108</v>
      </c>
      <c r="B1229" s="28" t="s">
        <v>4498</v>
      </c>
      <c r="C1229" s="29" t="s">
        <v>4499</v>
      </c>
      <c r="D1229" s="30" t="s">
        <v>4500</v>
      </c>
      <c r="E1229" s="28" t="s">
        <v>302</v>
      </c>
      <c r="F1229" s="28" t="s">
        <v>29</v>
      </c>
      <c r="G1229" s="28" t="s">
        <v>37</v>
      </c>
      <c r="H1229" s="28"/>
      <c r="I1229" s="28" t="s">
        <v>38</v>
      </c>
      <c r="J1229" s="28">
        <v>2155.0</v>
      </c>
      <c r="K1229" s="28" t="s">
        <v>4501</v>
      </c>
      <c r="L1229" s="28" t="s">
        <v>4502</v>
      </c>
      <c r="M1229" s="28" t="s">
        <v>2423</v>
      </c>
      <c r="N1229" s="28">
        <v>2006.0</v>
      </c>
      <c r="O1229" s="60" t="s">
        <v>4010</v>
      </c>
      <c r="P1229" s="28">
        <v>2.0</v>
      </c>
      <c r="Q1229" s="94">
        <v>1.0</v>
      </c>
      <c r="R1229" s="33"/>
      <c r="S1229" s="34"/>
      <c r="T1229" s="34"/>
      <c r="U1229" s="34"/>
      <c r="V1229" s="34"/>
      <c r="W1229" s="34"/>
      <c r="X1229" s="34"/>
      <c r="Y1229" s="45"/>
      <c r="Z1229" s="45"/>
      <c r="AA1229" s="45"/>
      <c r="AB1229" s="45"/>
      <c r="AC1229" s="45"/>
      <c r="AD1229" s="45"/>
      <c r="AE1229" s="45"/>
      <c r="AF1229" s="45"/>
      <c r="AG1229" s="45"/>
      <c r="AH1229" s="45"/>
      <c r="AI1229" s="45"/>
      <c r="AJ1229" s="45"/>
      <c r="AK1229" s="45"/>
      <c r="AL1229" s="45"/>
    </row>
    <row r="1230" ht="15.75" customHeight="1">
      <c r="A1230" s="27">
        <f t="shared" si="21"/>
        <v>109</v>
      </c>
      <c r="B1230" s="28" t="s">
        <v>4503</v>
      </c>
      <c r="C1230" s="29" t="s">
        <v>4504</v>
      </c>
      <c r="D1230" s="30" t="s">
        <v>4505</v>
      </c>
      <c r="E1230" s="28"/>
      <c r="F1230" s="28" t="s">
        <v>29</v>
      </c>
      <c r="G1230" s="28" t="s">
        <v>37</v>
      </c>
      <c r="H1230" s="28"/>
      <c r="I1230" s="28" t="s">
        <v>38</v>
      </c>
      <c r="J1230" s="28">
        <v>280.0</v>
      </c>
      <c r="K1230" s="28"/>
      <c r="L1230" s="28" t="s">
        <v>4506</v>
      </c>
      <c r="M1230" s="28" t="s">
        <v>219</v>
      </c>
      <c r="N1230" s="28">
        <v>2003.0</v>
      </c>
      <c r="O1230" s="60" t="s">
        <v>4010</v>
      </c>
      <c r="P1230" s="60">
        <v>1.0</v>
      </c>
      <c r="Q1230" s="94">
        <v>1.0</v>
      </c>
      <c r="R1230" s="33"/>
      <c r="S1230" s="34"/>
      <c r="T1230" s="34"/>
      <c r="U1230" s="34"/>
      <c r="V1230" s="34"/>
      <c r="W1230" s="34"/>
      <c r="X1230" s="34"/>
      <c r="Y1230" s="3"/>
      <c r="Z1230" s="3"/>
      <c r="AA1230" s="3"/>
      <c r="AB1230" s="3"/>
      <c r="AC1230" s="3"/>
      <c r="AD1230" s="3"/>
      <c r="AE1230" s="3"/>
      <c r="AF1230" s="3"/>
      <c r="AG1230" s="3"/>
      <c r="AH1230" s="3"/>
      <c r="AI1230" s="3"/>
      <c r="AJ1230" s="3"/>
      <c r="AK1230" s="3"/>
      <c r="AL1230" s="3"/>
    </row>
    <row r="1231" ht="15.75" customHeight="1">
      <c r="A1231" s="27">
        <f t="shared" si="21"/>
        <v>110</v>
      </c>
      <c r="B1231" s="121" t="s">
        <v>4507</v>
      </c>
      <c r="C1231" s="124" t="s">
        <v>4508</v>
      </c>
      <c r="D1231" s="119" t="s">
        <v>4509</v>
      </c>
      <c r="E1231" s="121" t="s">
        <v>144</v>
      </c>
      <c r="F1231" s="121" t="s">
        <v>47</v>
      </c>
      <c r="G1231" s="121" t="s">
        <v>166</v>
      </c>
      <c r="H1231" s="83"/>
      <c r="I1231" s="121" t="s">
        <v>38</v>
      </c>
      <c r="J1231" s="121">
        <v>2416.0</v>
      </c>
      <c r="K1231" s="83"/>
      <c r="L1231" s="121" t="s">
        <v>2355</v>
      </c>
      <c r="M1231" s="121" t="s">
        <v>4510</v>
      </c>
      <c r="N1231" s="121">
        <v>2007.0</v>
      </c>
      <c r="O1231" s="60" t="s">
        <v>4010</v>
      </c>
      <c r="P1231" s="121">
        <v>1.0</v>
      </c>
      <c r="Q1231" s="121">
        <v>1.0</v>
      </c>
      <c r="R1231" s="84"/>
      <c r="S1231" s="34"/>
      <c r="T1231" s="34"/>
      <c r="U1231" s="34"/>
      <c r="V1231" s="34"/>
      <c r="W1231" s="34"/>
      <c r="X1231" s="34"/>
      <c r="Y1231" s="45"/>
      <c r="Z1231" s="45"/>
      <c r="AA1231" s="45"/>
      <c r="AB1231" s="45"/>
      <c r="AC1231" s="45"/>
      <c r="AD1231" s="45"/>
      <c r="AE1231" s="45"/>
      <c r="AF1231" s="45"/>
      <c r="AG1231" s="45"/>
      <c r="AH1231" s="45"/>
      <c r="AI1231" s="45"/>
      <c r="AJ1231" s="45"/>
      <c r="AK1231" s="45"/>
      <c r="AL1231" s="45"/>
    </row>
    <row r="1232" ht="15.75" customHeight="1">
      <c r="A1232" s="27">
        <f t="shared" si="21"/>
        <v>111</v>
      </c>
      <c r="B1232" s="28"/>
      <c r="C1232" s="102" t="s">
        <v>4511</v>
      </c>
      <c r="D1232" s="30" t="s">
        <v>4512</v>
      </c>
      <c r="E1232" s="28" t="s">
        <v>144</v>
      </c>
      <c r="F1232" s="28" t="s">
        <v>29</v>
      </c>
      <c r="G1232" s="28" t="s">
        <v>37</v>
      </c>
      <c r="H1232" s="28"/>
      <c r="I1232" s="28" t="s">
        <v>166</v>
      </c>
      <c r="J1232" s="28">
        <v>397.0</v>
      </c>
      <c r="K1232" s="28"/>
      <c r="L1232" s="28" t="s">
        <v>4513</v>
      </c>
      <c r="M1232" s="28" t="s">
        <v>4514</v>
      </c>
      <c r="N1232" s="28">
        <v>1967.0</v>
      </c>
      <c r="O1232" s="60" t="s">
        <v>4010</v>
      </c>
      <c r="P1232" s="28">
        <v>1.0</v>
      </c>
      <c r="Q1232" s="32">
        <v>1.0</v>
      </c>
      <c r="R1232" s="33"/>
      <c r="S1232" s="40"/>
      <c r="T1232" s="40"/>
      <c r="U1232" s="40"/>
      <c r="V1232" s="40"/>
      <c r="W1232" s="40"/>
      <c r="X1232" s="40"/>
      <c r="Y1232" s="45"/>
      <c r="Z1232" s="45"/>
      <c r="AA1232" s="45"/>
      <c r="AB1232" s="45"/>
      <c r="AC1232" s="45"/>
      <c r="AD1232" s="45"/>
      <c r="AE1232" s="45"/>
      <c r="AF1232" s="45"/>
      <c r="AG1232" s="45"/>
      <c r="AH1232" s="45"/>
      <c r="AI1232" s="45"/>
      <c r="AJ1232" s="45"/>
      <c r="AK1232" s="45"/>
      <c r="AL1232" s="45"/>
    </row>
    <row r="1233" ht="15.75" customHeight="1">
      <c r="A1233" s="27">
        <f t="shared" si="21"/>
        <v>112</v>
      </c>
      <c r="B1233" s="28" t="s">
        <v>4515</v>
      </c>
      <c r="C1233" s="29" t="s">
        <v>4516</v>
      </c>
      <c r="D1233" s="30" t="s">
        <v>4517</v>
      </c>
      <c r="E1233" s="28" t="s">
        <v>144</v>
      </c>
      <c r="F1233" s="28" t="s">
        <v>29</v>
      </c>
      <c r="G1233" s="28" t="s">
        <v>30</v>
      </c>
      <c r="H1233" s="28"/>
      <c r="I1233" s="28" t="s">
        <v>30</v>
      </c>
      <c r="J1233" s="28">
        <f>288+8</f>
        <v>296</v>
      </c>
      <c r="K1233" s="28"/>
      <c r="L1233" s="28" t="s">
        <v>4518</v>
      </c>
      <c r="M1233" s="28" t="s">
        <v>4519</v>
      </c>
      <c r="N1233" s="28">
        <v>1995.0</v>
      </c>
      <c r="O1233" s="28" t="s">
        <v>4010</v>
      </c>
      <c r="P1233" s="28">
        <v>1.0</v>
      </c>
      <c r="Q1233" s="94">
        <v>1.0</v>
      </c>
      <c r="R1233" s="33"/>
      <c r="S1233" s="34"/>
      <c r="T1233" s="34"/>
      <c r="U1233" s="34"/>
      <c r="V1233" s="34"/>
      <c r="W1233" s="34"/>
      <c r="X1233" s="34"/>
      <c r="Y1233" s="3"/>
      <c r="Z1233" s="3"/>
      <c r="AA1233" s="3"/>
      <c r="AB1233" s="3"/>
      <c r="AC1233" s="3"/>
      <c r="AD1233" s="3"/>
      <c r="AE1233" s="3"/>
      <c r="AF1233" s="3"/>
      <c r="AG1233" s="3"/>
      <c r="AH1233" s="3"/>
      <c r="AI1233" s="3"/>
      <c r="AJ1233" s="3"/>
      <c r="AK1233" s="3"/>
      <c r="AL1233" s="3"/>
    </row>
    <row r="1234" ht="15.75" customHeight="1">
      <c r="A1234" s="27">
        <f t="shared" si="21"/>
        <v>113</v>
      </c>
      <c r="B1234" s="28" t="s">
        <v>4520</v>
      </c>
      <c r="C1234" s="43" t="s">
        <v>4521</v>
      </c>
      <c r="D1234" s="30" t="s">
        <v>4522</v>
      </c>
      <c r="E1234" s="28" t="s">
        <v>144</v>
      </c>
      <c r="F1234" s="28" t="s">
        <v>29</v>
      </c>
      <c r="G1234" s="28" t="s">
        <v>37</v>
      </c>
      <c r="H1234" s="28" t="s">
        <v>31</v>
      </c>
      <c r="I1234" s="28" t="s">
        <v>38</v>
      </c>
      <c r="J1234" s="28"/>
      <c r="K1234" s="28"/>
      <c r="L1234" s="28" t="s">
        <v>4523</v>
      </c>
      <c r="M1234" s="28" t="s">
        <v>230</v>
      </c>
      <c r="N1234" s="28">
        <v>2009.0</v>
      </c>
      <c r="O1234" s="28" t="s">
        <v>4010</v>
      </c>
      <c r="P1234" s="28">
        <v>1.0</v>
      </c>
      <c r="Q1234" s="37">
        <v>1.0</v>
      </c>
      <c r="R1234" s="33"/>
      <c r="S1234" s="34"/>
      <c r="T1234" s="34"/>
      <c r="U1234" s="34"/>
      <c r="V1234" s="34"/>
      <c r="W1234" s="34"/>
      <c r="X1234" s="34"/>
      <c r="Y1234" s="3"/>
      <c r="Z1234" s="3"/>
      <c r="AA1234" s="3"/>
      <c r="AB1234" s="3"/>
      <c r="AC1234" s="3"/>
      <c r="AD1234" s="3"/>
      <c r="AE1234" s="3"/>
      <c r="AF1234" s="3"/>
      <c r="AG1234" s="3"/>
      <c r="AH1234" s="3"/>
      <c r="AI1234" s="3"/>
      <c r="AJ1234" s="3"/>
      <c r="AK1234" s="3"/>
      <c r="AL1234" s="3"/>
    </row>
    <row r="1235" ht="15.75" customHeight="1">
      <c r="A1235" s="27">
        <f t="shared" si="21"/>
        <v>114</v>
      </c>
      <c r="B1235" s="28" t="s">
        <v>4524</v>
      </c>
      <c r="C1235" s="29" t="s">
        <v>4525</v>
      </c>
      <c r="D1235" s="30" t="s">
        <v>4526</v>
      </c>
      <c r="E1235" s="28" t="s">
        <v>31</v>
      </c>
      <c r="F1235" s="28" t="s">
        <v>29</v>
      </c>
      <c r="G1235" s="28" t="s">
        <v>37</v>
      </c>
      <c r="H1235" s="28"/>
      <c r="I1235" s="28" t="s">
        <v>38</v>
      </c>
      <c r="J1235" s="28">
        <v>200.0</v>
      </c>
      <c r="K1235" s="28"/>
      <c r="L1235" s="28" t="s">
        <v>4527</v>
      </c>
      <c r="M1235" s="28" t="s">
        <v>1176</v>
      </c>
      <c r="N1235" s="28">
        <v>2001.0</v>
      </c>
      <c r="O1235" s="28" t="s">
        <v>4010</v>
      </c>
      <c r="P1235" s="28">
        <v>1.0</v>
      </c>
      <c r="Q1235" s="94">
        <v>1.0</v>
      </c>
      <c r="R1235" s="33"/>
      <c r="S1235" s="34"/>
      <c r="T1235" s="34"/>
      <c r="U1235" s="34"/>
      <c r="V1235" s="34"/>
      <c r="W1235" s="34"/>
      <c r="X1235" s="34"/>
      <c r="Y1235" s="45"/>
      <c r="Z1235" s="45"/>
      <c r="AA1235" s="45"/>
      <c r="AB1235" s="45"/>
      <c r="AC1235" s="45"/>
      <c r="AD1235" s="45"/>
      <c r="AE1235" s="45"/>
      <c r="AF1235" s="45"/>
      <c r="AG1235" s="45"/>
      <c r="AH1235" s="45"/>
      <c r="AI1235" s="45"/>
      <c r="AJ1235" s="45"/>
      <c r="AK1235" s="45"/>
      <c r="AL1235" s="45"/>
    </row>
    <row r="1236" ht="15.75" customHeight="1">
      <c r="A1236" s="27">
        <f t="shared" si="21"/>
        <v>115</v>
      </c>
      <c r="B1236" s="28" t="s">
        <v>31</v>
      </c>
      <c r="C1236" s="29" t="s">
        <v>4528</v>
      </c>
      <c r="D1236" s="30" t="s">
        <v>4529</v>
      </c>
      <c r="E1236" s="28" t="s">
        <v>31</v>
      </c>
      <c r="F1236" s="28" t="s">
        <v>29</v>
      </c>
      <c r="G1236" s="28" t="s">
        <v>37</v>
      </c>
      <c r="H1236" s="28"/>
      <c r="I1236" s="28" t="s">
        <v>38</v>
      </c>
      <c r="J1236" s="28">
        <v>244.0</v>
      </c>
      <c r="K1236" s="28"/>
      <c r="L1236" s="28" t="s">
        <v>4530</v>
      </c>
      <c r="M1236" s="28" t="s">
        <v>524</v>
      </c>
      <c r="N1236" s="28">
        <v>1975.0</v>
      </c>
      <c r="O1236" s="28" t="s">
        <v>4010</v>
      </c>
      <c r="P1236" s="28">
        <v>1.0</v>
      </c>
      <c r="Q1236" s="37">
        <v>1.0</v>
      </c>
      <c r="R1236" s="33"/>
      <c r="S1236" s="34"/>
      <c r="T1236" s="34"/>
      <c r="U1236" s="34"/>
      <c r="V1236" s="34"/>
      <c r="W1236" s="34"/>
      <c r="X1236" s="34"/>
      <c r="Y1236" s="45"/>
      <c r="Z1236" s="45"/>
      <c r="AA1236" s="45"/>
      <c r="AB1236" s="45"/>
      <c r="AC1236" s="45"/>
      <c r="AD1236" s="45"/>
      <c r="AE1236" s="45"/>
      <c r="AF1236" s="45"/>
      <c r="AG1236" s="45"/>
      <c r="AH1236" s="45"/>
      <c r="AI1236" s="45"/>
      <c r="AJ1236" s="45"/>
      <c r="AK1236" s="45"/>
      <c r="AL1236" s="45"/>
    </row>
    <row r="1237" ht="15.75" customHeight="1">
      <c r="A1237" s="27">
        <f t="shared" si="21"/>
        <v>116</v>
      </c>
      <c r="B1237" s="28" t="s">
        <v>4531</v>
      </c>
      <c r="C1237" s="29" t="s">
        <v>4532</v>
      </c>
      <c r="D1237" s="30" t="s">
        <v>4533</v>
      </c>
      <c r="E1237" s="28" t="s">
        <v>31</v>
      </c>
      <c r="F1237" s="28" t="s">
        <v>29</v>
      </c>
      <c r="G1237" s="28" t="s">
        <v>37</v>
      </c>
      <c r="H1237" s="28"/>
      <c r="I1237" s="28" t="s">
        <v>38</v>
      </c>
      <c r="J1237" s="28">
        <v>211.0</v>
      </c>
      <c r="K1237" s="28"/>
      <c r="L1237" s="28" t="s">
        <v>4534</v>
      </c>
      <c r="M1237" s="28" t="s">
        <v>4535</v>
      </c>
      <c r="N1237" s="28">
        <v>2004.0</v>
      </c>
      <c r="O1237" s="28" t="s">
        <v>4010</v>
      </c>
      <c r="P1237" s="28">
        <v>2.0</v>
      </c>
      <c r="Q1237" s="94">
        <v>2.0</v>
      </c>
      <c r="R1237" s="33"/>
      <c r="S1237" s="40"/>
      <c r="T1237" s="40"/>
      <c r="U1237" s="40"/>
      <c r="V1237" s="40"/>
      <c r="W1237" s="40"/>
      <c r="X1237" s="40"/>
      <c r="Y1237" s="45"/>
      <c r="Z1237" s="45"/>
      <c r="AA1237" s="45"/>
      <c r="AB1237" s="45"/>
      <c r="AC1237" s="45"/>
      <c r="AD1237" s="45"/>
      <c r="AE1237" s="45"/>
      <c r="AF1237" s="45"/>
      <c r="AG1237" s="45"/>
      <c r="AH1237" s="45"/>
      <c r="AI1237" s="45"/>
      <c r="AJ1237" s="45"/>
      <c r="AK1237" s="45"/>
      <c r="AL1237" s="45"/>
    </row>
    <row r="1238" ht="15.75" customHeight="1">
      <c r="A1238" s="27">
        <f t="shared" si="21"/>
        <v>117</v>
      </c>
      <c r="B1238" s="28" t="s">
        <v>4536</v>
      </c>
      <c r="C1238" s="29" t="s">
        <v>4537</v>
      </c>
      <c r="D1238" s="30" t="s">
        <v>4538</v>
      </c>
      <c r="E1238" s="28" t="s">
        <v>31</v>
      </c>
      <c r="F1238" s="28" t="s">
        <v>29</v>
      </c>
      <c r="G1238" s="28" t="s">
        <v>37</v>
      </c>
      <c r="H1238" s="28"/>
      <c r="I1238" s="28" t="s">
        <v>38</v>
      </c>
      <c r="J1238" s="28">
        <v>228.0</v>
      </c>
      <c r="K1238" s="28"/>
      <c r="L1238" s="28" t="s">
        <v>4539</v>
      </c>
      <c r="M1238" s="28" t="s">
        <v>816</v>
      </c>
      <c r="N1238" s="28">
        <v>1982.0</v>
      </c>
      <c r="O1238" s="28" t="s">
        <v>4010</v>
      </c>
      <c r="P1238" s="28">
        <v>1.0</v>
      </c>
      <c r="Q1238" s="32">
        <v>1.0</v>
      </c>
      <c r="R1238" s="33"/>
      <c r="S1238" s="166"/>
      <c r="T1238" s="166"/>
      <c r="U1238" s="166"/>
      <c r="V1238" s="166"/>
      <c r="W1238" s="166"/>
      <c r="X1238" s="166"/>
      <c r="Y1238" s="3"/>
      <c r="Z1238" s="3"/>
      <c r="AA1238" s="3"/>
      <c r="AB1238" s="3"/>
      <c r="AC1238" s="3"/>
      <c r="AD1238" s="3"/>
      <c r="AE1238" s="3"/>
      <c r="AF1238" s="3"/>
      <c r="AG1238" s="3"/>
      <c r="AH1238" s="3"/>
      <c r="AI1238" s="3"/>
      <c r="AJ1238" s="3"/>
      <c r="AK1238" s="3"/>
      <c r="AL1238" s="3"/>
    </row>
    <row r="1239" ht="15.75" customHeight="1">
      <c r="A1239" s="27">
        <f t="shared" si="21"/>
        <v>118</v>
      </c>
      <c r="B1239" s="28" t="s">
        <v>4540</v>
      </c>
      <c r="C1239" s="29" t="s">
        <v>4541</v>
      </c>
      <c r="D1239" s="30" t="s">
        <v>4542</v>
      </c>
      <c r="E1239" s="28" t="s">
        <v>144</v>
      </c>
      <c r="F1239" s="28" t="s">
        <v>47</v>
      </c>
      <c r="G1239" s="28" t="s">
        <v>166</v>
      </c>
      <c r="H1239" s="28"/>
      <c r="I1239" s="28" t="s">
        <v>38</v>
      </c>
      <c r="J1239" s="28">
        <v>159.0</v>
      </c>
      <c r="K1239" s="28"/>
      <c r="L1239" s="28" t="s">
        <v>4543</v>
      </c>
      <c r="M1239" s="28" t="s">
        <v>382</v>
      </c>
      <c r="N1239" s="28">
        <v>2008.0</v>
      </c>
      <c r="O1239" s="31">
        <v>16.0</v>
      </c>
      <c r="P1239" s="28">
        <v>1.0</v>
      </c>
      <c r="Q1239" s="94">
        <v>1.0</v>
      </c>
      <c r="R1239" s="33"/>
      <c r="S1239" s="38"/>
      <c r="T1239" s="38"/>
      <c r="U1239" s="38"/>
      <c r="V1239" s="38"/>
      <c r="W1239" s="38"/>
      <c r="X1239" s="38"/>
      <c r="Y1239" s="45"/>
      <c r="Z1239" s="45"/>
      <c r="AA1239" s="45"/>
      <c r="AB1239" s="45"/>
      <c r="AC1239" s="45"/>
      <c r="AD1239" s="45"/>
      <c r="AE1239" s="45"/>
      <c r="AF1239" s="45"/>
      <c r="AG1239" s="45"/>
      <c r="AH1239" s="45"/>
      <c r="AI1239" s="45"/>
      <c r="AJ1239" s="45"/>
      <c r="AK1239" s="45"/>
      <c r="AL1239" s="45"/>
    </row>
    <row r="1240" ht="15.75" customHeight="1">
      <c r="A1240" s="27">
        <f t="shared" si="21"/>
        <v>119</v>
      </c>
      <c r="B1240" s="28" t="s">
        <v>4544</v>
      </c>
      <c r="C1240" s="102" t="s">
        <v>4545</v>
      </c>
      <c r="D1240" s="30" t="s">
        <v>4546</v>
      </c>
      <c r="E1240" s="28"/>
      <c r="F1240" s="28" t="s">
        <v>29</v>
      </c>
      <c r="G1240" s="28" t="s">
        <v>37</v>
      </c>
      <c r="H1240" s="28"/>
      <c r="I1240" s="28" t="s">
        <v>38</v>
      </c>
      <c r="J1240" s="28">
        <v>150.0</v>
      </c>
      <c r="K1240" s="28"/>
      <c r="L1240" s="28" t="s">
        <v>1170</v>
      </c>
      <c r="M1240" s="28" t="s">
        <v>72</v>
      </c>
      <c r="N1240" s="28">
        <v>1981.0</v>
      </c>
      <c r="O1240" s="60" t="s">
        <v>4010</v>
      </c>
      <c r="P1240" s="28">
        <v>1.0</v>
      </c>
      <c r="Q1240" s="94">
        <v>1.0</v>
      </c>
      <c r="R1240" s="33"/>
      <c r="S1240" s="38"/>
      <c r="T1240" s="38"/>
      <c r="U1240" s="38"/>
      <c r="V1240" s="38"/>
      <c r="W1240" s="38"/>
      <c r="X1240" s="38"/>
      <c r="Y1240" s="45"/>
      <c r="Z1240" s="45"/>
      <c r="AA1240" s="45"/>
      <c r="AB1240" s="45"/>
      <c r="AC1240" s="45"/>
      <c r="AD1240" s="45"/>
      <c r="AE1240" s="45"/>
      <c r="AF1240" s="45"/>
      <c r="AG1240" s="45"/>
      <c r="AH1240" s="45"/>
      <c r="AI1240" s="45"/>
      <c r="AJ1240" s="45"/>
      <c r="AK1240" s="45"/>
      <c r="AL1240" s="45"/>
    </row>
    <row r="1241" ht="15.75" customHeight="1">
      <c r="A1241" s="27">
        <f t="shared" si="21"/>
        <v>120</v>
      </c>
      <c r="B1241" s="28" t="s">
        <v>31</v>
      </c>
      <c r="C1241" s="43" t="s">
        <v>4547</v>
      </c>
      <c r="D1241" s="30" t="s">
        <v>4548</v>
      </c>
      <c r="E1241" s="28"/>
      <c r="F1241" s="28" t="s">
        <v>29</v>
      </c>
      <c r="G1241" s="28" t="s">
        <v>37</v>
      </c>
      <c r="H1241" s="28"/>
      <c r="I1241" s="28" t="s">
        <v>38</v>
      </c>
      <c r="J1241" s="28">
        <v>30.0</v>
      </c>
      <c r="K1241" s="28"/>
      <c r="L1241" s="28" t="s">
        <v>4549</v>
      </c>
      <c r="M1241" s="28" t="s">
        <v>4550</v>
      </c>
      <c r="N1241" s="28">
        <v>1966.0</v>
      </c>
      <c r="O1241" s="60" t="s">
        <v>4010</v>
      </c>
      <c r="P1241" s="28">
        <v>1.0</v>
      </c>
      <c r="Q1241" s="32">
        <v>1.0</v>
      </c>
      <c r="R1241" s="33"/>
      <c r="S1241" s="38"/>
      <c r="T1241" s="38"/>
      <c r="U1241" s="38"/>
      <c r="V1241" s="38"/>
      <c r="W1241" s="38"/>
      <c r="X1241" s="38"/>
      <c r="Y1241" s="45"/>
      <c r="Z1241" s="45"/>
      <c r="AA1241" s="45"/>
      <c r="AB1241" s="45"/>
      <c r="AC1241" s="45"/>
      <c r="AD1241" s="45"/>
      <c r="AE1241" s="45"/>
      <c r="AF1241" s="45"/>
      <c r="AG1241" s="45"/>
      <c r="AH1241" s="45"/>
      <c r="AI1241" s="45"/>
      <c r="AJ1241" s="45"/>
      <c r="AK1241" s="45"/>
      <c r="AL1241" s="45"/>
    </row>
    <row r="1242" ht="15.75" customHeight="1">
      <c r="A1242" s="27">
        <f t="shared" si="21"/>
        <v>121</v>
      </c>
      <c r="B1242" s="28" t="s">
        <v>4551</v>
      </c>
      <c r="C1242" s="29" t="s">
        <v>4552</v>
      </c>
      <c r="D1242" s="30" t="s">
        <v>4553</v>
      </c>
      <c r="E1242" s="28" t="s">
        <v>31</v>
      </c>
      <c r="F1242" s="28" t="s">
        <v>29</v>
      </c>
      <c r="G1242" s="28" t="s">
        <v>37</v>
      </c>
      <c r="H1242" s="28"/>
      <c r="I1242" s="28" t="s">
        <v>4554</v>
      </c>
      <c r="J1242" s="28">
        <v>488.0</v>
      </c>
      <c r="K1242" s="28"/>
      <c r="L1242" s="28" t="s">
        <v>4555</v>
      </c>
      <c r="M1242" s="28" t="s">
        <v>524</v>
      </c>
      <c r="N1242" s="28">
        <v>2007.0</v>
      </c>
      <c r="O1242" s="62">
        <v>16.0</v>
      </c>
      <c r="P1242" s="28">
        <v>1.0</v>
      </c>
      <c r="Q1242" s="94">
        <v>1.0</v>
      </c>
      <c r="R1242" s="33"/>
      <c r="S1242" s="34"/>
      <c r="T1242" s="34"/>
      <c r="U1242" s="34"/>
      <c r="V1242" s="34"/>
      <c r="W1242" s="34"/>
      <c r="X1242" s="34"/>
      <c r="Y1242" s="45"/>
      <c r="Z1242" s="45"/>
      <c r="AA1242" s="45"/>
      <c r="AB1242" s="45"/>
      <c r="AC1242" s="45"/>
      <c r="AD1242" s="45"/>
      <c r="AE1242" s="45"/>
      <c r="AF1242" s="45"/>
      <c r="AG1242" s="45"/>
      <c r="AH1242" s="45"/>
      <c r="AI1242" s="45"/>
      <c r="AJ1242" s="45"/>
      <c r="AK1242" s="45"/>
      <c r="AL1242" s="45"/>
    </row>
    <row r="1243" ht="15.75" customHeight="1">
      <c r="A1243" s="27">
        <f t="shared" si="21"/>
        <v>122</v>
      </c>
      <c r="B1243" s="28" t="s">
        <v>4556</v>
      </c>
      <c r="C1243" s="43" t="s">
        <v>4557</v>
      </c>
      <c r="D1243" s="30" t="s">
        <v>4558</v>
      </c>
      <c r="E1243" s="28" t="s">
        <v>144</v>
      </c>
      <c r="F1243" s="28" t="s">
        <v>29</v>
      </c>
      <c r="G1243" s="28" t="s">
        <v>3746</v>
      </c>
      <c r="H1243" s="28"/>
      <c r="I1243" s="28" t="s">
        <v>3746</v>
      </c>
      <c r="J1243" s="28">
        <v>341.0</v>
      </c>
      <c r="K1243" s="28"/>
      <c r="L1243" s="28" t="s">
        <v>4559</v>
      </c>
      <c r="M1243" s="28" t="s">
        <v>4560</v>
      </c>
      <c r="N1243" s="28">
        <v>1987.0</v>
      </c>
      <c r="O1243" s="60" t="s">
        <v>4010</v>
      </c>
      <c r="P1243" s="28">
        <v>1.0</v>
      </c>
      <c r="Q1243" s="32">
        <v>1.0</v>
      </c>
      <c r="R1243" s="33"/>
      <c r="S1243" s="34"/>
      <c r="T1243" s="34"/>
      <c r="U1243" s="34"/>
      <c r="V1243" s="34"/>
      <c r="W1243" s="34"/>
      <c r="X1243" s="34"/>
      <c r="Y1243" s="45"/>
      <c r="Z1243" s="45"/>
      <c r="AA1243" s="45"/>
      <c r="AB1243" s="45"/>
      <c r="AC1243" s="45"/>
      <c r="AD1243" s="45"/>
      <c r="AE1243" s="45"/>
      <c r="AF1243" s="45"/>
      <c r="AG1243" s="45"/>
      <c r="AH1243" s="45"/>
      <c r="AI1243" s="45"/>
      <c r="AJ1243" s="45"/>
      <c r="AK1243" s="45"/>
      <c r="AL1243" s="45"/>
    </row>
    <row r="1244" ht="15.75" customHeight="1">
      <c r="A1244" s="27">
        <f t="shared" si="21"/>
        <v>123</v>
      </c>
      <c r="B1244" s="28" t="s">
        <v>4561</v>
      </c>
      <c r="C1244" s="43" t="s">
        <v>4557</v>
      </c>
      <c r="D1244" s="30" t="s">
        <v>4562</v>
      </c>
      <c r="E1244" s="28" t="s">
        <v>144</v>
      </c>
      <c r="F1244" s="28" t="s">
        <v>29</v>
      </c>
      <c r="G1244" s="28" t="s">
        <v>3746</v>
      </c>
      <c r="H1244" s="28"/>
      <c r="I1244" s="28" t="s">
        <v>3746</v>
      </c>
      <c r="J1244" s="28">
        <v>341.0</v>
      </c>
      <c r="K1244" s="28"/>
      <c r="L1244" s="28" t="s">
        <v>4559</v>
      </c>
      <c r="M1244" s="28" t="s">
        <v>4560</v>
      </c>
      <c r="N1244" s="28">
        <v>1988.0</v>
      </c>
      <c r="O1244" s="60" t="s">
        <v>4010</v>
      </c>
      <c r="P1244" s="28">
        <v>1.0</v>
      </c>
      <c r="Q1244" s="32">
        <v>1.0</v>
      </c>
      <c r="R1244" s="33"/>
      <c r="S1244" s="34"/>
      <c r="T1244" s="34"/>
      <c r="U1244" s="34"/>
      <c r="V1244" s="34"/>
      <c r="W1244" s="34"/>
      <c r="X1244" s="34"/>
      <c r="Y1244" s="3"/>
      <c r="Z1244" s="3"/>
      <c r="AA1244" s="3"/>
      <c r="AB1244" s="3"/>
      <c r="AC1244" s="3"/>
      <c r="AD1244" s="3"/>
      <c r="AE1244" s="3"/>
      <c r="AF1244" s="3"/>
      <c r="AG1244" s="3"/>
      <c r="AH1244" s="3"/>
      <c r="AI1244" s="3"/>
      <c r="AJ1244" s="3"/>
      <c r="AK1244" s="3"/>
      <c r="AL1244" s="3"/>
    </row>
    <row r="1245" ht="15.75" customHeight="1">
      <c r="A1245" s="27">
        <f t="shared" si="21"/>
        <v>124</v>
      </c>
      <c r="B1245" s="28" t="s">
        <v>4563</v>
      </c>
      <c r="C1245" s="29" t="s">
        <v>4564</v>
      </c>
      <c r="D1245" s="30" t="s">
        <v>4565</v>
      </c>
      <c r="E1245" s="28" t="s">
        <v>31</v>
      </c>
      <c r="F1245" s="28" t="s">
        <v>29</v>
      </c>
      <c r="G1245" s="28" t="s">
        <v>30</v>
      </c>
      <c r="H1245" s="28"/>
      <c r="I1245" s="28" t="s">
        <v>30</v>
      </c>
      <c r="J1245" s="28">
        <v>104.0</v>
      </c>
      <c r="K1245" s="28"/>
      <c r="L1245" s="28" t="s">
        <v>4566</v>
      </c>
      <c r="M1245" s="28" t="s">
        <v>4567</v>
      </c>
      <c r="N1245" s="28">
        <v>2010.0</v>
      </c>
      <c r="O1245" s="60" t="s">
        <v>4010</v>
      </c>
      <c r="P1245" s="28">
        <v>1.0</v>
      </c>
      <c r="Q1245" s="32">
        <v>1.0</v>
      </c>
      <c r="R1245" s="33"/>
      <c r="S1245" s="38"/>
      <c r="T1245" s="38"/>
      <c r="U1245" s="38"/>
      <c r="V1245" s="38"/>
      <c r="W1245" s="38"/>
      <c r="X1245" s="38"/>
      <c r="Y1245" s="3"/>
      <c r="Z1245" s="3"/>
      <c r="AA1245" s="3"/>
      <c r="AB1245" s="3"/>
      <c r="AC1245" s="3"/>
      <c r="AD1245" s="3"/>
      <c r="AE1245" s="3"/>
      <c r="AF1245" s="3"/>
      <c r="AG1245" s="3"/>
      <c r="AH1245" s="3"/>
      <c r="AI1245" s="3"/>
      <c r="AJ1245" s="3"/>
      <c r="AK1245" s="3"/>
      <c r="AL1245" s="3"/>
    </row>
    <row r="1246" ht="15.75" customHeight="1">
      <c r="A1246" s="27">
        <f t="shared" si="21"/>
        <v>125</v>
      </c>
      <c r="B1246" s="83" t="s">
        <v>4568</v>
      </c>
      <c r="C1246" s="83" t="s">
        <v>4569</v>
      </c>
      <c r="D1246" s="118" t="s">
        <v>4570</v>
      </c>
      <c r="E1246" s="83" t="s">
        <v>144</v>
      </c>
      <c r="F1246" s="83" t="s">
        <v>29</v>
      </c>
      <c r="G1246" s="83" t="s">
        <v>30</v>
      </c>
      <c r="H1246" s="83"/>
      <c r="I1246" s="83" t="s">
        <v>30</v>
      </c>
      <c r="J1246" s="83">
        <v>166.0</v>
      </c>
      <c r="K1246" s="83"/>
      <c r="L1246" s="83" t="s">
        <v>4571</v>
      </c>
      <c r="M1246" s="83" t="s">
        <v>4572</v>
      </c>
      <c r="N1246" s="83">
        <v>1995.0</v>
      </c>
      <c r="O1246" s="60" t="s">
        <v>4010</v>
      </c>
      <c r="P1246" s="121">
        <v>2.0</v>
      </c>
      <c r="Q1246" s="121">
        <v>2.0</v>
      </c>
      <c r="R1246" s="84"/>
      <c r="S1246" s="38"/>
      <c r="T1246" s="38"/>
      <c r="U1246" s="38"/>
      <c r="V1246" s="38"/>
      <c r="W1246" s="38"/>
      <c r="X1246" s="38"/>
      <c r="Y1246" s="45"/>
      <c r="Z1246" s="45"/>
      <c r="AA1246" s="45"/>
      <c r="AB1246" s="45"/>
      <c r="AC1246" s="45"/>
      <c r="AD1246" s="45"/>
      <c r="AE1246" s="45"/>
      <c r="AF1246" s="45"/>
      <c r="AG1246" s="45"/>
      <c r="AH1246" s="45"/>
      <c r="AI1246" s="45"/>
      <c r="AJ1246" s="45"/>
      <c r="AK1246" s="45"/>
      <c r="AL1246" s="45"/>
    </row>
    <row r="1247" ht="15.75" customHeight="1">
      <c r="A1247" s="27">
        <f t="shared" si="21"/>
        <v>126</v>
      </c>
      <c r="B1247" s="83" t="s">
        <v>4573</v>
      </c>
      <c r="C1247" s="83" t="s">
        <v>4569</v>
      </c>
      <c r="D1247" s="118" t="s">
        <v>4570</v>
      </c>
      <c r="E1247" s="83" t="s">
        <v>144</v>
      </c>
      <c r="F1247" s="83" t="s">
        <v>29</v>
      </c>
      <c r="G1247" s="83" t="s">
        <v>30</v>
      </c>
      <c r="H1247" s="83"/>
      <c r="I1247" s="83" t="s">
        <v>30</v>
      </c>
      <c r="J1247" s="83">
        <v>196.0</v>
      </c>
      <c r="K1247" s="83"/>
      <c r="L1247" s="83" t="s">
        <v>4571</v>
      </c>
      <c r="M1247" s="83" t="s">
        <v>4572</v>
      </c>
      <c r="N1247" s="83">
        <v>2014.0</v>
      </c>
      <c r="O1247" s="60" t="s">
        <v>4010</v>
      </c>
      <c r="P1247" s="83">
        <v>1.0</v>
      </c>
      <c r="Q1247" s="83">
        <v>1.0</v>
      </c>
      <c r="R1247" s="84"/>
      <c r="S1247" s="38"/>
      <c r="T1247" s="38"/>
      <c r="U1247" s="38"/>
      <c r="V1247" s="38"/>
      <c r="W1247" s="38"/>
      <c r="X1247" s="38"/>
      <c r="Y1247" s="45"/>
      <c r="Z1247" s="45"/>
      <c r="AA1247" s="45"/>
      <c r="AB1247" s="45"/>
      <c r="AC1247" s="45"/>
      <c r="AD1247" s="45"/>
      <c r="AE1247" s="45"/>
      <c r="AF1247" s="45"/>
      <c r="AG1247" s="45"/>
      <c r="AH1247" s="45"/>
      <c r="AI1247" s="45"/>
      <c r="AJ1247" s="45"/>
      <c r="AK1247" s="45"/>
      <c r="AL1247" s="45"/>
    </row>
    <row r="1248" ht="15.75" customHeight="1">
      <c r="A1248" s="27">
        <f t="shared" si="21"/>
        <v>127</v>
      </c>
      <c r="B1248" s="28" t="s">
        <v>4574</v>
      </c>
      <c r="C1248" s="47" t="s">
        <v>4575</v>
      </c>
      <c r="D1248" s="30" t="s">
        <v>4576</v>
      </c>
      <c r="E1248" s="28" t="s">
        <v>144</v>
      </c>
      <c r="F1248" s="28" t="s">
        <v>29</v>
      </c>
      <c r="G1248" s="28" t="s">
        <v>30</v>
      </c>
      <c r="H1248" s="28" t="s">
        <v>31</v>
      </c>
      <c r="I1248" s="28" t="s">
        <v>30</v>
      </c>
      <c r="J1248" s="28">
        <f>318+14</f>
        <v>332</v>
      </c>
      <c r="K1248" s="28" t="s">
        <v>31</v>
      </c>
      <c r="L1248" s="28" t="s">
        <v>4577</v>
      </c>
      <c r="M1248" s="28" t="s">
        <v>3240</v>
      </c>
      <c r="N1248" s="28">
        <v>2013.0</v>
      </c>
      <c r="O1248" s="60" t="s">
        <v>4010</v>
      </c>
      <c r="P1248" s="28">
        <v>1.0</v>
      </c>
      <c r="Q1248" s="32">
        <v>1.0</v>
      </c>
      <c r="R1248" s="33"/>
      <c r="S1248" s="40"/>
      <c r="T1248" s="40"/>
      <c r="U1248" s="40"/>
      <c r="V1248" s="40"/>
      <c r="W1248" s="40"/>
      <c r="X1248" s="40"/>
      <c r="Y1248" s="45"/>
      <c r="Z1248" s="45"/>
      <c r="AA1248" s="45"/>
      <c r="AB1248" s="45"/>
      <c r="AC1248" s="45"/>
      <c r="AD1248" s="45"/>
      <c r="AE1248" s="45"/>
      <c r="AF1248" s="45"/>
      <c r="AG1248" s="45"/>
      <c r="AH1248" s="45"/>
      <c r="AI1248" s="45"/>
      <c r="AJ1248" s="45"/>
      <c r="AK1248" s="45"/>
      <c r="AL1248" s="45"/>
    </row>
    <row r="1249" ht="15.75" customHeight="1">
      <c r="A1249" s="27">
        <f t="shared" si="21"/>
        <v>128</v>
      </c>
      <c r="B1249" s="121" t="s">
        <v>4578</v>
      </c>
      <c r="C1249" s="121" t="s">
        <v>4579</v>
      </c>
      <c r="D1249" s="119" t="s">
        <v>4580</v>
      </c>
      <c r="E1249" s="121" t="s">
        <v>144</v>
      </c>
      <c r="F1249" s="121" t="s">
        <v>29</v>
      </c>
      <c r="G1249" s="121" t="s">
        <v>30</v>
      </c>
      <c r="H1249" s="83"/>
      <c r="I1249" s="121" t="s">
        <v>30</v>
      </c>
      <c r="J1249" s="121">
        <v>338.0</v>
      </c>
      <c r="K1249" s="83"/>
      <c r="L1249" s="121" t="s">
        <v>4581</v>
      </c>
      <c r="M1249" s="121" t="s">
        <v>4397</v>
      </c>
      <c r="N1249" s="121">
        <v>2015.0</v>
      </c>
      <c r="O1249" s="60" t="s">
        <v>4010</v>
      </c>
      <c r="P1249" s="121">
        <v>2.0</v>
      </c>
      <c r="Q1249" s="121">
        <v>2.0</v>
      </c>
      <c r="R1249" s="84"/>
      <c r="S1249" s="34"/>
      <c r="T1249" s="34"/>
      <c r="U1249" s="34"/>
      <c r="V1249" s="34"/>
      <c r="W1249" s="34"/>
      <c r="X1249" s="34"/>
      <c r="Y1249" s="45"/>
      <c r="Z1249" s="45"/>
      <c r="AA1249" s="45"/>
      <c r="AB1249" s="45"/>
      <c r="AC1249" s="45"/>
      <c r="AD1249" s="45"/>
      <c r="AE1249" s="45"/>
      <c r="AF1249" s="45"/>
      <c r="AG1249" s="45"/>
      <c r="AH1249" s="45"/>
      <c r="AI1249" s="45"/>
      <c r="AJ1249" s="45"/>
      <c r="AK1249" s="45"/>
      <c r="AL1249" s="45"/>
    </row>
    <row r="1250" ht="15.75" customHeight="1">
      <c r="A1250" s="27">
        <f t="shared" si="21"/>
        <v>129</v>
      </c>
      <c r="B1250" s="28" t="s">
        <v>4582</v>
      </c>
      <c r="C1250" s="43" t="s">
        <v>4583</v>
      </c>
      <c r="D1250" s="30" t="s">
        <v>4584</v>
      </c>
      <c r="E1250" s="28" t="s">
        <v>144</v>
      </c>
      <c r="F1250" s="28" t="s">
        <v>29</v>
      </c>
      <c r="G1250" s="28" t="s">
        <v>30</v>
      </c>
      <c r="H1250" s="28"/>
      <c r="I1250" s="28" t="s">
        <v>30</v>
      </c>
      <c r="J1250" s="28">
        <v>365.0</v>
      </c>
      <c r="K1250" s="28"/>
      <c r="L1250" s="28" t="s">
        <v>4585</v>
      </c>
      <c r="M1250" s="28" t="s">
        <v>2463</v>
      </c>
      <c r="N1250" s="28">
        <v>2004.0</v>
      </c>
      <c r="O1250" s="60" t="s">
        <v>4010</v>
      </c>
      <c r="P1250" s="28">
        <v>1.0</v>
      </c>
      <c r="Q1250" s="32">
        <v>1.0</v>
      </c>
      <c r="R1250" s="33"/>
      <c r="S1250" s="40"/>
      <c r="T1250" s="40"/>
      <c r="U1250" s="40"/>
      <c r="V1250" s="40"/>
      <c r="W1250" s="40"/>
      <c r="X1250" s="40"/>
      <c r="Y1250" s="3"/>
      <c r="Z1250" s="3"/>
      <c r="AA1250" s="3"/>
      <c r="AB1250" s="3"/>
      <c r="AC1250" s="3"/>
      <c r="AD1250" s="3"/>
      <c r="AE1250" s="3"/>
      <c r="AF1250" s="3"/>
      <c r="AG1250" s="3"/>
      <c r="AH1250" s="3"/>
      <c r="AI1250" s="3"/>
      <c r="AJ1250" s="3"/>
      <c r="AK1250" s="3"/>
      <c r="AL1250" s="3"/>
    </row>
    <row r="1251" ht="15.75" customHeight="1">
      <c r="A1251" s="27">
        <f t="shared" si="21"/>
        <v>130</v>
      </c>
      <c r="B1251" s="28" t="s">
        <v>4586</v>
      </c>
      <c r="C1251" s="43" t="s">
        <v>4587</v>
      </c>
      <c r="D1251" s="30" t="s">
        <v>4588</v>
      </c>
      <c r="E1251" s="28" t="s">
        <v>31</v>
      </c>
      <c r="F1251" s="28" t="s">
        <v>29</v>
      </c>
      <c r="G1251" s="28" t="s">
        <v>37</v>
      </c>
      <c r="H1251" s="28"/>
      <c r="I1251" s="28" t="s">
        <v>38</v>
      </c>
      <c r="J1251" s="28">
        <v>104.0</v>
      </c>
      <c r="K1251" s="28"/>
      <c r="L1251" s="28" t="s">
        <v>4589</v>
      </c>
      <c r="M1251" s="28" t="s">
        <v>219</v>
      </c>
      <c r="N1251" s="28">
        <v>1985.0</v>
      </c>
      <c r="O1251" s="60" t="s">
        <v>4010</v>
      </c>
      <c r="P1251" s="31">
        <v>2.0</v>
      </c>
      <c r="Q1251" s="37">
        <v>2.0</v>
      </c>
      <c r="R1251" s="33"/>
      <c r="S1251" s="38"/>
      <c r="T1251" s="38"/>
      <c r="U1251" s="38"/>
      <c r="V1251" s="38"/>
      <c r="W1251" s="38"/>
      <c r="X1251" s="38"/>
      <c r="Y1251" s="3"/>
      <c r="Z1251" s="3"/>
      <c r="AA1251" s="3"/>
      <c r="AB1251" s="3"/>
      <c r="AC1251" s="3"/>
      <c r="AD1251" s="3"/>
      <c r="AE1251" s="3"/>
      <c r="AF1251" s="3"/>
      <c r="AG1251" s="3"/>
      <c r="AH1251" s="3"/>
      <c r="AI1251" s="3"/>
      <c r="AJ1251" s="3"/>
      <c r="AK1251" s="3"/>
      <c r="AL1251" s="3"/>
    </row>
    <row r="1252" ht="15.75" customHeight="1">
      <c r="A1252" s="27">
        <f t="shared" si="21"/>
        <v>131</v>
      </c>
      <c r="B1252" s="83" t="s">
        <v>4590</v>
      </c>
      <c r="C1252" s="121" t="s">
        <v>4591</v>
      </c>
      <c r="D1252" s="119" t="s">
        <v>4592</v>
      </c>
      <c r="E1252" s="121" t="s">
        <v>144</v>
      </c>
      <c r="F1252" s="121" t="s">
        <v>29</v>
      </c>
      <c r="G1252" s="121" t="s">
        <v>166</v>
      </c>
      <c r="H1252" s="83"/>
      <c r="I1252" s="121" t="s">
        <v>38</v>
      </c>
      <c r="J1252" s="121">
        <v>556.0</v>
      </c>
      <c r="K1252" s="83"/>
      <c r="L1252" s="121" t="s">
        <v>4593</v>
      </c>
      <c r="M1252" s="121" t="s">
        <v>4594</v>
      </c>
      <c r="N1252" s="121">
        <v>1979.0</v>
      </c>
      <c r="O1252" s="60" t="s">
        <v>4010</v>
      </c>
      <c r="P1252" s="121">
        <v>1.0</v>
      </c>
      <c r="Q1252" s="121">
        <v>1.0</v>
      </c>
      <c r="R1252" s="84"/>
      <c r="S1252" s="38"/>
      <c r="T1252" s="38"/>
      <c r="U1252" s="38"/>
      <c r="V1252" s="38"/>
      <c r="W1252" s="38"/>
      <c r="X1252" s="38"/>
      <c r="Y1252" s="45"/>
      <c r="Z1252" s="45"/>
      <c r="AA1252" s="45"/>
      <c r="AB1252" s="45"/>
      <c r="AC1252" s="45"/>
      <c r="AD1252" s="45"/>
      <c r="AE1252" s="45"/>
      <c r="AF1252" s="45"/>
      <c r="AG1252" s="45"/>
      <c r="AH1252" s="45"/>
      <c r="AI1252" s="45"/>
      <c r="AJ1252" s="45"/>
      <c r="AK1252" s="45"/>
      <c r="AL1252" s="45"/>
    </row>
    <row r="1253" ht="15.75" customHeight="1">
      <c r="A1253" s="27">
        <f t="shared" si="21"/>
        <v>132</v>
      </c>
      <c r="B1253" s="121" t="s">
        <v>4595</v>
      </c>
      <c r="C1253" s="121" t="s">
        <v>4596</v>
      </c>
      <c r="D1253" s="119" t="s">
        <v>4597</v>
      </c>
      <c r="E1253" s="121" t="s">
        <v>144</v>
      </c>
      <c r="F1253" s="121" t="s">
        <v>29</v>
      </c>
      <c r="G1253" s="121" t="s">
        <v>166</v>
      </c>
      <c r="H1253" s="83"/>
      <c r="I1253" s="121" t="s">
        <v>38</v>
      </c>
      <c r="J1253" s="121">
        <v>556.0</v>
      </c>
      <c r="K1253" s="83"/>
      <c r="L1253" s="121" t="s">
        <v>4593</v>
      </c>
      <c r="M1253" s="121" t="s">
        <v>4594</v>
      </c>
      <c r="N1253" s="121">
        <v>1979.0</v>
      </c>
      <c r="O1253" s="60" t="s">
        <v>4010</v>
      </c>
      <c r="P1253" s="121">
        <v>2.0</v>
      </c>
      <c r="Q1253" s="121">
        <v>2.0</v>
      </c>
      <c r="R1253" s="84"/>
      <c r="S1253" s="38"/>
      <c r="T1253" s="38"/>
      <c r="U1253" s="38"/>
      <c r="V1253" s="38"/>
      <c r="W1253" s="38"/>
      <c r="X1253" s="38"/>
      <c r="Y1253" s="45"/>
      <c r="Z1253" s="45"/>
      <c r="AA1253" s="45"/>
      <c r="AB1253" s="45"/>
      <c r="AC1253" s="45"/>
      <c r="AD1253" s="45"/>
      <c r="AE1253" s="45"/>
      <c r="AF1253" s="45"/>
      <c r="AG1253" s="45"/>
      <c r="AH1253" s="45"/>
      <c r="AI1253" s="45"/>
      <c r="AJ1253" s="45"/>
      <c r="AK1253" s="45"/>
      <c r="AL1253" s="45"/>
    </row>
    <row r="1254" ht="15.75" customHeight="1">
      <c r="A1254" s="27">
        <f t="shared" si="21"/>
        <v>133</v>
      </c>
      <c r="B1254" s="28" t="s">
        <v>4598</v>
      </c>
      <c r="C1254" s="29" t="s">
        <v>4599</v>
      </c>
      <c r="D1254" s="30" t="s">
        <v>4600</v>
      </c>
      <c r="E1254" s="28" t="s">
        <v>31</v>
      </c>
      <c r="F1254" s="28" t="s">
        <v>29</v>
      </c>
      <c r="G1254" s="28" t="s">
        <v>37</v>
      </c>
      <c r="H1254" s="28"/>
      <c r="I1254" s="28" t="s">
        <v>38</v>
      </c>
      <c r="J1254" s="28">
        <v>180.0</v>
      </c>
      <c r="K1254" s="28"/>
      <c r="L1254" s="28" t="s">
        <v>1482</v>
      </c>
      <c r="M1254" s="28" t="s">
        <v>3268</v>
      </c>
      <c r="N1254" s="28">
        <v>1994.0</v>
      </c>
      <c r="O1254" s="60" t="s">
        <v>4010</v>
      </c>
      <c r="P1254" s="28">
        <v>1.0</v>
      </c>
      <c r="Q1254" s="94">
        <v>1.0</v>
      </c>
      <c r="R1254" s="33"/>
      <c r="S1254" s="34"/>
      <c r="T1254" s="34"/>
      <c r="U1254" s="34"/>
      <c r="V1254" s="34"/>
      <c r="W1254" s="34"/>
      <c r="X1254" s="34"/>
      <c r="Y1254" s="45"/>
      <c r="Z1254" s="45"/>
      <c r="AA1254" s="45"/>
      <c r="AB1254" s="45"/>
      <c r="AC1254" s="45"/>
      <c r="AD1254" s="45"/>
      <c r="AE1254" s="45"/>
      <c r="AF1254" s="45"/>
      <c r="AG1254" s="45"/>
      <c r="AH1254" s="45"/>
      <c r="AI1254" s="45"/>
      <c r="AJ1254" s="45"/>
      <c r="AK1254" s="45"/>
      <c r="AL1254" s="45"/>
    </row>
    <row r="1255" ht="15.75" customHeight="1">
      <c r="A1255" s="27">
        <f t="shared" si="21"/>
        <v>134</v>
      </c>
      <c r="B1255" s="28" t="s">
        <v>4601</v>
      </c>
      <c r="C1255" s="29" t="s">
        <v>4602</v>
      </c>
      <c r="D1255" s="30" t="s">
        <v>4603</v>
      </c>
      <c r="E1255" s="28" t="s">
        <v>144</v>
      </c>
      <c r="F1255" s="28" t="s">
        <v>29</v>
      </c>
      <c r="G1255" s="28" t="s">
        <v>37</v>
      </c>
      <c r="H1255" s="28"/>
      <c r="I1255" s="28" t="s">
        <v>38</v>
      </c>
      <c r="J1255" s="28">
        <v>203.0</v>
      </c>
      <c r="K1255" s="28"/>
      <c r="L1255" s="31" t="s">
        <v>4604</v>
      </c>
      <c r="M1255" s="28" t="s">
        <v>236</v>
      </c>
      <c r="N1255" s="28">
        <v>1982.0</v>
      </c>
      <c r="O1255" s="60" t="s">
        <v>4010</v>
      </c>
      <c r="P1255" s="28">
        <v>1.0</v>
      </c>
      <c r="Q1255" s="32">
        <v>1.0</v>
      </c>
      <c r="R1255" s="33"/>
      <c r="S1255" s="40"/>
      <c r="T1255" s="40"/>
      <c r="U1255" s="40"/>
      <c r="V1255" s="40"/>
      <c r="W1255" s="40"/>
      <c r="X1255" s="40"/>
      <c r="Y1255" s="45"/>
      <c r="Z1255" s="45"/>
      <c r="AA1255" s="45"/>
      <c r="AB1255" s="45"/>
      <c r="AC1255" s="45"/>
      <c r="AD1255" s="45"/>
      <c r="AE1255" s="45"/>
      <c r="AF1255" s="45"/>
      <c r="AG1255" s="45"/>
      <c r="AH1255" s="45"/>
      <c r="AI1255" s="45"/>
      <c r="AJ1255" s="45"/>
      <c r="AK1255" s="45"/>
      <c r="AL1255" s="45"/>
    </row>
    <row r="1256" ht="15.75" customHeight="1">
      <c r="A1256" s="27">
        <f t="shared" si="21"/>
        <v>135</v>
      </c>
      <c r="B1256" s="28" t="s">
        <v>4605</v>
      </c>
      <c r="C1256" s="43" t="s">
        <v>4606</v>
      </c>
      <c r="D1256" s="30" t="s">
        <v>4607</v>
      </c>
      <c r="E1256" s="28" t="s">
        <v>31</v>
      </c>
      <c r="F1256" s="28" t="s">
        <v>29</v>
      </c>
      <c r="G1256" s="28" t="s">
        <v>30</v>
      </c>
      <c r="H1256" s="28"/>
      <c r="I1256" s="28" t="s">
        <v>30</v>
      </c>
      <c r="J1256" s="28">
        <v>257.0</v>
      </c>
      <c r="K1256" s="28"/>
      <c r="L1256" s="28" t="s">
        <v>4608</v>
      </c>
      <c r="M1256" s="28" t="s">
        <v>2463</v>
      </c>
      <c r="N1256" s="28">
        <v>2005.0</v>
      </c>
      <c r="O1256" s="28" t="s">
        <v>4010</v>
      </c>
      <c r="P1256" s="28">
        <v>1.0</v>
      </c>
      <c r="Q1256" s="94">
        <v>1.0</v>
      </c>
      <c r="R1256" s="33"/>
      <c r="S1256" s="40"/>
      <c r="T1256" s="40"/>
      <c r="U1256" s="40"/>
      <c r="V1256" s="40"/>
      <c r="W1256" s="40"/>
      <c r="X1256" s="40"/>
      <c r="Y1256" s="45"/>
      <c r="Z1256" s="45"/>
      <c r="AA1256" s="45"/>
      <c r="AB1256" s="45"/>
      <c r="AC1256" s="45"/>
      <c r="AD1256" s="45"/>
      <c r="AE1256" s="45"/>
      <c r="AF1256" s="45"/>
      <c r="AG1256" s="45"/>
      <c r="AH1256" s="45"/>
      <c r="AI1256" s="45"/>
      <c r="AJ1256" s="45"/>
      <c r="AK1256" s="45"/>
      <c r="AL1256" s="45"/>
    </row>
    <row r="1257" ht="15.75" customHeight="1">
      <c r="A1257" s="27">
        <f t="shared" si="21"/>
        <v>136</v>
      </c>
      <c r="B1257" s="28" t="s">
        <v>4609</v>
      </c>
      <c r="C1257" s="29" t="s">
        <v>4610</v>
      </c>
      <c r="D1257" s="30" t="s">
        <v>4611</v>
      </c>
      <c r="E1257" s="28" t="s">
        <v>4612</v>
      </c>
      <c r="F1257" s="28" t="s">
        <v>29</v>
      </c>
      <c r="G1257" s="28" t="s">
        <v>37</v>
      </c>
      <c r="H1257" s="28"/>
      <c r="I1257" s="28" t="s">
        <v>38</v>
      </c>
      <c r="J1257" s="28">
        <v>209.0</v>
      </c>
      <c r="K1257" s="28"/>
      <c r="L1257" s="28" t="s">
        <v>4174</v>
      </c>
      <c r="M1257" s="28" t="s">
        <v>4613</v>
      </c>
      <c r="N1257" s="28">
        <v>1999.0</v>
      </c>
      <c r="O1257" s="28" t="s">
        <v>4010</v>
      </c>
      <c r="P1257" s="28">
        <v>2.0</v>
      </c>
      <c r="Q1257" s="94">
        <v>2.0</v>
      </c>
      <c r="R1257" s="33"/>
      <c r="S1257" s="34"/>
      <c r="T1257" s="34"/>
      <c r="U1257" s="34"/>
      <c r="V1257" s="34"/>
      <c r="W1257" s="34"/>
      <c r="X1257" s="34"/>
      <c r="Y1257" s="45"/>
      <c r="Z1257" s="45"/>
      <c r="AA1257" s="45"/>
      <c r="AB1257" s="45"/>
      <c r="AC1257" s="45"/>
      <c r="AD1257" s="45"/>
      <c r="AE1257" s="45"/>
      <c r="AF1257" s="45"/>
      <c r="AG1257" s="45"/>
      <c r="AH1257" s="45"/>
      <c r="AI1257" s="45"/>
      <c r="AJ1257" s="45"/>
      <c r="AK1257" s="45"/>
      <c r="AL1257" s="45"/>
    </row>
    <row r="1258" ht="15.75" customHeight="1">
      <c r="A1258" s="27">
        <f t="shared" si="21"/>
        <v>137</v>
      </c>
      <c r="B1258" s="28" t="s">
        <v>4614</v>
      </c>
      <c r="C1258" s="29" t="s">
        <v>4615</v>
      </c>
      <c r="D1258" s="30" t="s">
        <v>4616</v>
      </c>
      <c r="E1258" s="28" t="s">
        <v>2571</v>
      </c>
      <c r="F1258" s="28" t="s">
        <v>29</v>
      </c>
      <c r="G1258" s="28" t="s">
        <v>131</v>
      </c>
      <c r="H1258" s="28"/>
      <c r="I1258" s="28" t="s">
        <v>131</v>
      </c>
      <c r="J1258" s="28">
        <v>204.0</v>
      </c>
      <c r="K1258" s="28"/>
      <c r="L1258" s="28" t="s">
        <v>31</v>
      </c>
      <c r="M1258" s="28" t="s">
        <v>4617</v>
      </c>
      <c r="N1258" s="28">
        <v>1988.0</v>
      </c>
      <c r="O1258" s="60" t="s">
        <v>4010</v>
      </c>
      <c r="P1258" s="28">
        <v>1.0</v>
      </c>
      <c r="Q1258" s="94">
        <v>1.0</v>
      </c>
      <c r="R1258" s="33"/>
      <c r="S1258" s="40"/>
      <c r="T1258" s="40"/>
      <c r="U1258" s="40"/>
      <c r="V1258" s="40"/>
      <c r="W1258" s="40"/>
      <c r="X1258" s="40"/>
      <c r="Y1258" s="45"/>
      <c r="Z1258" s="45"/>
      <c r="AA1258" s="45"/>
      <c r="AB1258" s="45"/>
      <c r="AC1258" s="45"/>
      <c r="AD1258" s="45"/>
      <c r="AE1258" s="45"/>
      <c r="AF1258" s="45"/>
      <c r="AG1258" s="45"/>
      <c r="AH1258" s="45"/>
      <c r="AI1258" s="45"/>
      <c r="AJ1258" s="45"/>
      <c r="AK1258" s="45"/>
      <c r="AL1258" s="45"/>
    </row>
    <row r="1259" ht="15.75" customHeight="1">
      <c r="A1259" s="27">
        <f t="shared" si="21"/>
        <v>138</v>
      </c>
      <c r="B1259" s="28"/>
      <c r="C1259" s="29" t="s">
        <v>4618</v>
      </c>
      <c r="D1259" s="30" t="s">
        <v>4619</v>
      </c>
      <c r="E1259" s="28" t="s">
        <v>31</v>
      </c>
      <c r="F1259" s="28" t="s">
        <v>29</v>
      </c>
      <c r="G1259" s="28" t="s">
        <v>37</v>
      </c>
      <c r="H1259" s="28"/>
      <c r="I1259" s="28" t="s">
        <v>38</v>
      </c>
      <c r="J1259" s="28">
        <v>136.0</v>
      </c>
      <c r="K1259" s="28"/>
      <c r="L1259" s="28" t="s">
        <v>4620</v>
      </c>
      <c r="M1259" s="28" t="s">
        <v>54</v>
      </c>
      <c r="N1259" s="28">
        <v>1970.0</v>
      </c>
      <c r="O1259" s="60" t="s">
        <v>4010</v>
      </c>
      <c r="P1259" s="28">
        <v>1.0</v>
      </c>
      <c r="Q1259" s="37">
        <v>1.0</v>
      </c>
      <c r="R1259" s="33"/>
      <c r="S1259" s="40"/>
      <c r="T1259" s="40"/>
      <c r="U1259" s="40"/>
      <c r="V1259" s="40"/>
      <c r="W1259" s="40"/>
      <c r="X1259" s="40"/>
      <c r="Y1259" s="45"/>
      <c r="Z1259" s="45"/>
      <c r="AA1259" s="45"/>
      <c r="AB1259" s="45"/>
      <c r="AC1259" s="45"/>
      <c r="AD1259" s="45"/>
      <c r="AE1259" s="45"/>
      <c r="AF1259" s="45"/>
      <c r="AG1259" s="45"/>
      <c r="AH1259" s="45"/>
      <c r="AI1259" s="45"/>
      <c r="AJ1259" s="45"/>
      <c r="AK1259" s="45"/>
      <c r="AL1259" s="45"/>
    </row>
    <row r="1260" ht="15.75" customHeight="1">
      <c r="A1260" s="27">
        <f t="shared" si="21"/>
        <v>139</v>
      </c>
      <c r="B1260" s="28" t="s">
        <v>4605</v>
      </c>
      <c r="C1260" s="43" t="s">
        <v>4621</v>
      </c>
      <c r="D1260" s="30" t="s">
        <v>4622</v>
      </c>
      <c r="E1260" s="28" t="s">
        <v>144</v>
      </c>
      <c r="F1260" s="28" t="s">
        <v>29</v>
      </c>
      <c r="G1260" s="28" t="s">
        <v>30</v>
      </c>
      <c r="H1260" s="28"/>
      <c r="I1260" s="28" t="s">
        <v>30</v>
      </c>
      <c r="J1260" s="28">
        <f>257</f>
        <v>257</v>
      </c>
      <c r="K1260" s="28"/>
      <c r="L1260" s="28" t="s">
        <v>4608</v>
      </c>
      <c r="M1260" s="28" t="s">
        <v>2463</v>
      </c>
      <c r="N1260" s="28">
        <v>2004.0</v>
      </c>
      <c r="O1260" s="60" t="s">
        <v>4010</v>
      </c>
      <c r="P1260" s="28">
        <v>1.0</v>
      </c>
      <c r="Q1260" s="94">
        <v>1.0</v>
      </c>
      <c r="R1260" s="33"/>
      <c r="S1260" s="40"/>
      <c r="T1260" s="40"/>
      <c r="U1260" s="40"/>
      <c r="V1260" s="40"/>
      <c r="W1260" s="40"/>
      <c r="X1260" s="40"/>
      <c r="Y1260" s="3"/>
      <c r="Z1260" s="3"/>
      <c r="AA1260" s="3"/>
      <c r="AB1260" s="3"/>
      <c r="AC1260" s="3"/>
      <c r="AD1260" s="3"/>
      <c r="AE1260" s="3"/>
      <c r="AF1260" s="3"/>
      <c r="AG1260" s="3"/>
      <c r="AH1260" s="3"/>
      <c r="AI1260" s="3"/>
      <c r="AJ1260" s="3"/>
      <c r="AK1260" s="3"/>
      <c r="AL1260" s="3"/>
    </row>
    <row r="1261" ht="15.75" customHeight="1">
      <c r="A1261" s="27">
        <f t="shared" si="21"/>
        <v>140</v>
      </c>
      <c r="B1261" s="28" t="s">
        <v>4623</v>
      </c>
      <c r="C1261" s="29" t="s">
        <v>4624</v>
      </c>
      <c r="D1261" s="30" t="s">
        <v>4625</v>
      </c>
      <c r="E1261" s="28" t="s">
        <v>144</v>
      </c>
      <c r="F1261" s="28" t="s">
        <v>29</v>
      </c>
      <c r="G1261" s="28" t="s">
        <v>37</v>
      </c>
      <c r="H1261" s="28"/>
      <c r="I1261" s="28" t="s">
        <v>38</v>
      </c>
      <c r="J1261" s="28">
        <v>572.0</v>
      </c>
      <c r="K1261" s="28"/>
      <c r="L1261" s="28" t="s">
        <v>2165</v>
      </c>
      <c r="M1261" s="28" t="s">
        <v>1478</v>
      </c>
      <c r="N1261" s="28">
        <v>2003.0</v>
      </c>
      <c r="O1261" s="60" t="s">
        <v>4010</v>
      </c>
      <c r="P1261" s="28">
        <v>1.0</v>
      </c>
      <c r="Q1261" s="94">
        <v>1.0</v>
      </c>
      <c r="R1261" s="33"/>
      <c r="S1261" s="40"/>
      <c r="T1261" s="40"/>
      <c r="U1261" s="40"/>
      <c r="V1261" s="40"/>
      <c r="W1261" s="40"/>
      <c r="X1261" s="40"/>
      <c r="Y1261" s="45"/>
      <c r="Z1261" s="45"/>
      <c r="AA1261" s="45"/>
      <c r="AB1261" s="45"/>
      <c r="AC1261" s="45"/>
      <c r="AD1261" s="45"/>
      <c r="AE1261" s="45"/>
      <c r="AF1261" s="45"/>
      <c r="AG1261" s="45"/>
      <c r="AH1261" s="45"/>
      <c r="AI1261" s="45"/>
      <c r="AJ1261" s="45"/>
      <c r="AK1261" s="45"/>
      <c r="AL1261" s="45"/>
    </row>
    <row r="1262" ht="15.75" customHeight="1">
      <c r="A1262" s="27">
        <f t="shared" si="21"/>
        <v>141</v>
      </c>
      <c r="B1262" s="28" t="s">
        <v>31</v>
      </c>
      <c r="C1262" s="43" t="s">
        <v>4626</v>
      </c>
      <c r="D1262" s="30" t="s">
        <v>4627</v>
      </c>
      <c r="E1262" s="28" t="s">
        <v>144</v>
      </c>
      <c r="F1262" s="28" t="s">
        <v>29</v>
      </c>
      <c r="G1262" s="28" t="s">
        <v>37</v>
      </c>
      <c r="H1262" s="28"/>
      <c r="I1262" s="28" t="s">
        <v>38</v>
      </c>
      <c r="J1262" s="28">
        <v>536.0</v>
      </c>
      <c r="K1262" s="28"/>
      <c r="L1262" s="28" t="s">
        <v>4628</v>
      </c>
      <c r="M1262" s="28" t="s">
        <v>54</v>
      </c>
      <c r="N1262" s="28">
        <v>1972.0</v>
      </c>
      <c r="O1262" s="60" t="s">
        <v>4010</v>
      </c>
      <c r="P1262" s="28">
        <v>1.0</v>
      </c>
      <c r="Q1262" s="94">
        <v>1.0</v>
      </c>
      <c r="R1262" s="33"/>
      <c r="S1262" s="40"/>
      <c r="T1262" s="40"/>
      <c r="U1262" s="40"/>
      <c r="V1262" s="40"/>
      <c r="W1262" s="40"/>
      <c r="X1262" s="40"/>
      <c r="Y1262" s="45"/>
      <c r="Z1262" s="45"/>
      <c r="AA1262" s="45"/>
      <c r="AB1262" s="45"/>
      <c r="AC1262" s="45"/>
      <c r="AD1262" s="45"/>
      <c r="AE1262" s="45"/>
      <c r="AF1262" s="45"/>
      <c r="AG1262" s="45"/>
      <c r="AH1262" s="45"/>
      <c r="AI1262" s="45"/>
      <c r="AJ1262" s="45"/>
      <c r="AK1262" s="45"/>
      <c r="AL1262" s="45"/>
    </row>
    <row r="1263" ht="15.75" customHeight="1">
      <c r="A1263" s="27">
        <f t="shared" si="21"/>
        <v>142</v>
      </c>
      <c r="B1263" s="28" t="s">
        <v>31</v>
      </c>
      <c r="C1263" s="43" t="s">
        <v>4629</v>
      </c>
      <c r="D1263" s="30" t="s">
        <v>4627</v>
      </c>
      <c r="E1263" s="28"/>
      <c r="F1263" s="28" t="s">
        <v>29</v>
      </c>
      <c r="G1263" s="28" t="s">
        <v>37</v>
      </c>
      <c r="H1263" s="28"/>
      <c r="I1263" s="28" t="s">
        <v>38</v>
      </c>
      <c r="J1263" s="28">
        <v>536.0</v>
      </c>
      <c r="K1263" s="28"/>
      <c r="L1263" s="28" t="s">
        <v>31</v>
      </c>
      <c r="M1263" s="28" t="s">
        <v>54</v>
      </c>
      <c r="N1263" s="28">
        <v>1972.0</v>
      </c>
      <c r="O1263" s="60" t="s">
        <v>4010</v>
      </c>
      <c r="P1263" s="28">
        <v>4.0</v>
      </c>
      <c r="Q1263" s="32">
        <v>4.0</v>
      </c>
      <c r="R1263" s="33"/>
      <c r="S1263" s="34"/>
      <c r="T1263" s="34"/>
      <c r="U1263" s="34"/>
      <c r="V1263" s="34"/>
      <c r="W1263" s="34"/>
      <c r="X1263" s="34"/>
      <c r="Y1263" s="3"/>
      <c r="Z1263" s="3"/>
      <c r="AA1263" s="3"/>
      <c r="AB1263" s="3"/>
      <c r="AC1263" s="3"/>
      <c r="AD1263" s="3"/>
      <c r="AE1263" s="3"/>
      <c r="AF1263" s="3"/>
      <c r="AG1263" s="3"/>
      <c r="AH1263" s="3"/>
      <c r="AI1263" s="3"/>
      <c r="AJ1263" s="3"/>
      <c r="AK1263" s="3"/>
      <c r="AL1263" s="3"/>
    </row>
    <row r="1264" ht="15.75" customHeight="1">
      <c r="A1264" s="27">
        <f t="shared" si="21"/>
        <v>143</v>
      </c>
      <c r="B1264" s="28" t="s">
        <v>4630</v>
      </c>
      <c r="C1264" s="29" t="s">
        <v>4631</v>
      </c>
      <c r="D1264" s="30" t="s">
        <v>4632</v>
      </c>
      <c r="E1264" s="28" t="s">
        <v>28</v>
      </c>
      <c r="F1264" s="28" t="s">
        <v>29</v>
      </c>
      <c r="G1264" s="28" t="s">
        <v>37</v>
      </c>
      <c r="H1264" s="28"/>
      <c r="I1264" s="28" t="s">
        <v>38</v>
      </c>
      <c r="J1264" s="28">
        <v>287.0</v>
      </c>
      <c r="K1264" s="28"/>
      <c r="L1264" s="60" t="s">
        <v>4633</v>
      </c>
      <c r="M1264" s="28" t="s">
        <v>4634</v>
      </c>
      <c r="N1264" s="28">
        <v>1999.0</v>
      </c>
      <c r="O1264" s="60" t="s">
        <v>4010</v>
      </c>
      <c r="P1264" s="28">
        <v>1.0</v>
      </c>
      <c r="Q1264" s="94">
        <v>1.0</v>
      </c>
      <c r="R1264" s="33"/>
      <c r="S1264" s="34"/>
      <c r="T1264" s="34"/>
      <c r="U1264" s="34"/>
      <c r="V1264" s="34"/>
      <c r="W1264" s="34"/>
      <c r="X1264" s="34"/>
      <c r="Y1264" s="45"/>
      <c r="Z1264" s="45"/>
      <c r="AA1264" s="45"/>
      <c r="AB1264" s="45"/>
      <c r="AC1264" s="45"/>
      <c r="AD1264" s="45"/>
      <c r="AE1264" s="45"/>
      <c r="AF1264" s="45"/>
      <c r="AG1264" s="45"/>
      <c r="AH1264" s="45"/>
      <c r="AI1264" s="45"/>
      <c r="AJ1264" s="45"/>
      <c r="AK1264" s="45"/>
      <c r="AL1264" s="45"/>
    </row>
    <row r="1265" ht="15.75" customHeight="1">
      <c r="A1265" s="27">
        <f t="shared" si="21"/>
        <v>144</v>
      </c>
      <c r="B1265" s="28" t="s">
        <v>31</v>
      </c>
      <c r="C1265" s="29" t="s">
        <v>4635</v>
      </c>
      <c r="D1265" s="30" t="s">
        <v>4636</v>
      </c>
      <c r="E1265" s="28" t="s">
        <v>31</v>
      </c>
      <c r="F1265" s="28" t="s">
        <v>29</v>
      </c>
      <c r="G1265" s="28" t="s">
        <v>37</v>
      </c>
      <c r="H1265" s="28"/>
      <c r="I1265" s="28" t="s">
        <v>38</v>
      </c>
      <c r="J1265" s="28">
        <v>282.0</v>
      </c>
      <c r="K1265" s="28"/>
      <c r="L1265" s="28" t="s">
        <v>4637</v>
      </c>
      <c r="M1265" s="28" t="s">
        <v>4638</v>
      </c>
      <c r="N1265" s="28">
        <v>1973.0</v>
      </c>
      <c r="O1265" s="60" t="s">
        <v>4010</v>
      </c>
      <c r="P1265" s="28">
        <v>1.0</v>
      </c>
      <c r="Q1265" s="94">
        <v>1.0</v>
      </c>
      <c r="R1265" s="33"/>
      <c r="S1265" s="40"/>
      <c r="T1265" s="40"/>
      <c r="U1265" s="40"/>
      <c r="V1265" s="40"/>
      <c r="W1265" s="40"/>
      <c r="X1265" s="40"/>
      <c r="Y1265" s="45"/>
      <c r="Z1265" s="45"/>
      <c r="AA1265" s="45"/>
      <c r="AB1265" s="45"/>
      <c r="AC1265" s="45"/>
      <c r="AD1265" s="45"/>
      <c r="AE1265" s="45"/>
      <c r="AF1265" s="45"/>
      <c r="AG1265" s="45"/>
      <c r="AH1265" s="45"/>
      <c r="AI1265" s="45"/>
      <c r="AJ1265" s="45"/>
      <c r="AK1265" s="45"/>
      <c r="AL1265" s="45"/>
    </row>
    <row r="1266" ht="15.75" customHeight="1">
      <c r="A1266" s="27">
        <f t="shared" si="21"/>
        <v>145</v>
      </c>
      <c r="B1266" s="121" t="s">
        <v>31</v>
      </c>
      <c r="C1266" s="121" t="s">
        <v>4639</v>
      </c>
      <c r="D1266" s="119" t="s">
        <v>4640</v>
      </c>
      <c r="E1266" s="121" t="s">
        <v>144</v>
      </c>
      <c r="F1266" s="121" t="s">
        <v>29</v>
      </c>
      <c r="G1266" s="121" t="s">
        <v>30</v>
      </c>
      <c r="H1266" s="83"/>
      <c r="I1266" s="121" t="s">
        <v>30</v>
      </c>
      <c r="J1266" s="121">
        <v>132.0</v>
      </c>
      <c r="K1266" s="83"/>
      <c r="L1266" s="121" t="s">
        <v>4641</v>
      </c>
      <c r="M1266" s="121" t="s">
        <v>151</v>
      </c>
      <c r="N1266" s="121">
        <v>1980.0</v>
      </c>
      <c r="O1266" s="60" t="s">
        <v>4010</v>
      </c>
      <c r="P1266" s="121">
        <v>1.0</v>
      </c>
      <c r="Q1266" s="121">
        <v>1.0</v>
      </c>
      <c r="R1266" s="84"/>
      <c r="S1266" s="38"/>
      <c r="T1266" s="38"/>
      <c r="U1266" s="38"/>
      <c r="V1266" s="38"/>
      <c r="W1266" s="38"/>
      <c r="X1266" s="38"/>
      <c r="Y1266" s="45"/>
      <c r="Z1266" s="45"/>
      <c r="AA1266" s="45"/>
      <c r="AB1266" s="45"/>
      <c r="AC1266" s="45"/>
      <c r="AD1266" s="45"/>
      <c r="AE1266" s="45"/>
      <c r="AF1266" s="45"/>
      <c r="AG1266" s="45"/>
      <c r="AH1266" s="45"/>
      <c r="AI1266" s="45"/>
      <c r="AJ1266" s="45"/>
      <c r="AK1266" s="45"/>
      <c r="AL1266" s="45"/>
    </row>
    <row r="1267" ht="15.75" customHeight="1">
      <c r="A1267" s="27">
        <f t="shared" si="21"/>
        <v>146</v>
      </c>
      <c r="B1267" s="28" t="s">
        <v>4642</v>
      </c>
      <c r="C1267" s="43" t="s">
        <v>4643</v>
      </c>
      <c r="D1267" s="30" t="s">
        <v>4644</v>
      </c>
      <c r="E1267" s="28" t="s">
        <v>144</v>
      </c>
      <c r="F1267" s="28" t="s">
        <v>29</v>
      </c>
      <c r="G1267" s="28" t="s">
        <v>30</v>
      </c>
      <c r="H1267" s="28"/>
      <c r="I1267" s="28" t="s">
        <v>30</v>
      </c>
      <c r="J1267" s="28">
        <v>411.0</v>
      </c>
      <c r="K1267" s="28"/>
      <c r="L1267" s="28" t="s">
        <v>4111</v>
      </c>
      <c r="M1267" s="28" t="s">
        <v>4645</v>
      </c>
      <c r="N1267" s="28">
        <v>2015.0</v>
      </c>
      <c r="O1267" s="60" t="s">
        <v>4010</v>
      </c>
      <c r="P1267" s="28">
        <v>1.0</v>
      </c>
      <c r="Q1267" s="32">
        <v>1.0</v>
      </c>
      <c r="R1267" s="33"/>
      <c r="S1267" s="40"/>
      <c r="T1267" s="40"/>
      <c r="U1267" s="40"/>
      <c r="V1267" s="40"/>
      <c r="W1267" s="40"/>
      <c r="X1267" s="40"/>
      <c r="Y1267" s="3"/>
      <c r="Z1267" s="3"/>
      <c r="AA1267" s="3"/>
      <c r="AB1267" s="3"/>
      <c r="AC1267" s="3"/>
      <c r="AD1267" s="3"/>
      <c r="AE1267" s="3"/>
      <c r="AF1267" s="3"/>
      <c r="AG1267" s="3"/>
      <c r="AH1267" s="3"/>
      <c r="AI1267" s="3"/>
      <c r="AJ1267" s="3"/>
      <c r="AK1267" s="3"/>
      <c r="AL1267" s="3"/>
    </row>
    <row r="1268" ht="15.75" customHeight="1">
      <c r="A1268" s="27">
        <f t="shared" si="21"/>
        <v>147</v>
      </c>
      <c r="B1268" s="28" t="s">
        <v>4646</v>
      </c>
      <c r="C1268" s="43" t="s">
        <v>4643</v>
      </c>
      <c r="D1268" s="30" t="s">
        <v>4647</v>
      </c>
      <c r="E1268" s="28" t="s">
        <v>31</v>
      </c>
      <c r="F1268" s="28" t="s">
        <v>29</v>
      </c>
      <c r="G1268" s="28" t="s">
        <v>30</v>
      </c>
      <c r="H1268" s="28"/>
      <c r="I1268" s="28" t="s">
        <v>30</v>
      </c>
      <c r="J1268" s="28">
        <v>481.0</v>
      </c>
      <c r="K1268" s="28"/>
      <c r="L1268" s="28" t="s">
        <v>4111</v>
      </c>
      <c r="M1268" s="28" t="s">
        <v>4645</v>
      </c>
      <c r="N1268" s="28">
        <v>2012.0</v>
      </c>
      <c r="O1268" s="60" t="s">
        <v>4010</v>
      </c>
      <c r="P1268" s="28">
        <v>1.0</v>
      </c>
      <c r="Q1268" s="32">
        <v>1.0</v>
      </c>
      <c r="R1268" s="33"/>
      <c r="S1268" s="40"/>
      <c r="T1268" s="40"/>
      <c r="U1268" s="40"/>
      <c r="V1268" s="40"/>
      <c r="W1268" s="40"/>
      <c r="X1268" s="40"/>
      <c r="Y1268" s="45"/>
      <c r="Z1268" s="45"/>
      <c r="AA1268" s="45"/>
      <c r="AB1268" s="45"/>
      <c r="AC1268" s="45"/>
      <c r="AD1268" s="45"/>
      <c r="AE1268" s="45"/>
      <c r="AF1268" s="45"/>
      <c r="AG1268" s="45"/>
      <c r="AH1268" s="45"/>
      <c r="AI1268" s="45"/>
      <c r="AJ1268" s="45"/>
      <c r="AK1268" s="45"/>
      <c r="AL1268" s="45"/>
    </row>
    <row r="1269" ht="15.75" customHeight="1">
      <c r="A1269" s="27">
        <f t="shared" si="21"/>
        <v>148</v>
      </c>
      <c r="B1269" s="28" t="s">
        <v>4648</v>
      </c>
      <c r="C1269" s="43" t="s">
        <v>4649</v>
      </c>
      <c r="D1269" s="30" t="s">
        <v>4650</v>
      </c>
      <c r="E1269" s="28" t="s">
        <v>31</v>
      </c>
      <c r="F1269" s="28" t="s">
        <v>29</v>
      </c>
      <c r="G1269" s="28" t="s">
        <v>30</v>
      </c>
      <c r="H1269" s="28"/>
      <c r="I1269" s="28" t="s">
        <v>30</v>
      </c>
      <c r="J1269" s="28">
        <v>241.0</v>
      </c>
      <c r="K1269" s="28"/>
      <c r="L1269" s="28" t="s">
        <v>4651</v>
      </c>
      <c r="M1269" s="28" t="s">
        <v>151</v>
      </c>
      <c r="N1269" s="28">
        <v>1994.0</v>
      </c>
      <c r="O1269" s="60" t="s">
        <v>4010</v>
      </c>
      <c r="P1269" s="28">
        <v>3.0</v>
      </c>
      <c r="Q1269" s="94">
        <v>5.0</v>
      </c>
      <c r="R1269" s="33"/>
      <c r="S1269" s="34"/>
      <c r="T1269" s="34"/>
      <c r="U1269" s="34"/>
      <c r="V1269" s="34"/>
      <c r="W1269" s="34"/>
      <c r="X1269" s="34"/>
      <c r="Y1269" s="45"/>
      <c r="Z1269" s="45"/>
      <c r="AA1269" s="45"/>
      <c r="AB1269" s="45"/>
      <c r="AC1269" s="45"/>
      <c r="AD1269" s="45"/>
      <c r="AE1269" s="45"/>
      <c r="AF1269" s="45"/>
      <c r="AG1269" s="45"/>
      <c r="AH1269" s="45"/>
      <c r="AI1269" s="45"/>
      <c r="AJ1269" s="45"/>
      <c r="AK1269" s="45"/>
      <c r="AL1269" s="45"/>
    </row>
    <row r="1270" ht="15.75" customHeight="1">
      <c r="A1270" s="27">
        <f t="shared" si="21"/>
        <v>149</v>
      </c>
      <c r="B1270" s="28" t="s">
        <v>4652</v>
      </c>
      <c r="C1270" s="43" t="s">
        <v>4653</v>
      </c>
      <c r="D1270" s="30" t="s">
        <v>4654</v>
      </c>
      <c r="E1270" s="28" t="s">
        <v>31</v>
      </c>
      <c r="F1270" s="28" t="s">
        <v>29</v>
      </c>
      <c r="G1270" s="28" t="s">
        <v>30</v>
      </c>
      <c r="H1270" s="28"/>
      <c r="I1270" s="28" t="s">
        <v>30</v>
      </c>
      <c r="J1270" s="28">
        <v>232.0</v>
      </c>
      <c r="K1270" s="28"/>
      <c r="L1270" s="28" t="s">
        <v>4655</v>
      </c>
      <c r="M1270" s="28" t="s">
        <v>151</v>
      </c>
      <c r="N1270" s="28">
        <v>2001.0</v>
      </c>
      <c r="O1270" s="60" t="s">
        <v>4010</v>
      </c>
      <c r="P1270" s="28">
        <v>1.0</v>
      </c>
      <c r="Q1270" s="32">
        <v>1.0</v>
      </c>
      <c r="R1270" s="33"/>
      <c r="S1270" s="38"/>
      <c r="T1270" s="38"/>
      <c r="U1270" s="38"/>
      <c r="V1270" s="38"/>
      <c r="W1270" s="38"/>
      <c r="X1270" s="38"/>
      <c r="Y1270" s="45"/>
      <c r="Z1270" s="45"/>
      <c r="AA1270" s="45"/>
      <c r="AB1270" s="45"/>
      <c r="AC1270" s="45"/>
      <c r="AD1270" s="45"/>
      <c r="AE1270" s="45"/>
      <c r="AF1270" s="45"/>
      <c r="AG1270" s="45"/>
      <c r="AH1270" s="45"/>
      <c r="AI1270" s="45"/>
      <c r="AJ1270" s="45"/>
      <c r="AK1270" s="45"/>
      <c r="AL1270" s="45"/>
    </row>
    <row r="1271" ht="15.75" customHeight="1">
      <c r="A1271" s="27">
        <f t="shared" si="21"/>
        <v>150</v>
      </c>
      <c r="B1271" s="28" t="s">
        <v>4656</v>
      </c>
      <c r="C1271" s="43" t="s">
        <v>4657</v>
      </c>
      <c r="D1271" s="30" t="s">
        <v>4658</v>
      </c>
      <c r="E1271" s="28" t="s">
        <v>144</v>
      </c>
      <c r="F1271" s="28" t="s">
        <v>29</v>
      </c>
      <c r="G1271" s="28" t="s">
        <v>30</v>
      </c>
      <c r="H1271" s="28" t="s">
        <v>31</v>
      </c>
      <c r="I1271" s="28" t="s">
        <v>30</v>
      </c>
      <c r="J1271" s="28">
        <v>168.0</v>
      </c>
      <c r="K1271" s="28"/>
      <c r="L1271" s="28" t="s">
        <v>4659</v>
      </c>
      <c r="M1271" s="28" t="s">
        <v>4660</v>
      </c>
      <c r="N1271" s="28">
        <v>2014.0</v>
      </c>
      <c r="O1271" s="60" t="s">
        <v>4010</v>
      </c>
      <c r="P1271" s="28">
        <v>1.0</v>
      </c>
      <c r="Q1271" s="32">
        <v>1.0</v>
      </c>
      <c r="R1271" s="33"/>
      <c r="S1271" s="40"/>
      <c r="T1271" s="40"/>
      <c r="U1271" s="40"/>
      <c r="V1271" s="40"/>
      <c r="W1271" s="40"/>
      <c r="X1271" s="40"/>
      <c r="Y1271" s="45"/>
      <c r="Z1271" s="45"/>
      <c r="AA1271" s="45"/>
      <c r="AB1271" s="45"/>
      <c r="AC1271" s="45"/>
      <c r="AD1271" s="45"/>
      <c r="AE1271" s="45"/>
      <c r="AF1271" s="45"/>
      <c r="AG1271" s="45"/>
      <c r="AH1271" s="45"/>
      <c r="AI1271" s="45"/>
      <c r="AJ1271" s="45"/>
      <c r="AK1271" s="45"/>
      <c r="AL1271" s="45"/>
    </row>
    <row r="1272" ht="15.75" customHeight="1">
      <c r="A1272" s="27">
        <f t="shared" si="21"/>
        <v>151</v>
      </c>
      <c r="B1272" s="28" t="s">
        <v>31</v>
      </c>
      <c r="C1272" s="102" t="s">
        <v>4661</v>
      </c>
      <c r="D1272" s="120" t="s">
        <v>4662</v>
      </c>
      <c r="E1272" s="28" t="s">
        <v>2863</v>
      </c>
      <c r="F1272" s="28" t="s">
        <v>29</v>
      </c>
      <c r="G1272" s="28" t="s">
        <v>37</v>
      </c>
      <c r="H1272" s="28"/>
      <c r="I1272" s="28" t="s">
        <v>38</v>
      </c>
      <c r="J1272" s="28">
        <v>191.0</v>
      </c>
      <c r="K1272" s="28"/>
      <c r="L1272" s="28" t="s">
        <v>2387</v>
      </c>
      <c r="M1272" s="28" t="s">
        <v>219</v>
      </c>
      <c r="N1272" s="28">
        <v>1952.0</v>
      </c>
      <c r="O1272" s="60" t="s">
        <v>4010</v>
      </c>
      <c r="P1272" s="60">
        <v>2.0</v>
      </c>
      <c r="Q1272" s="94">
        <v>2.0</v>
      </c>
      <c r="R1272" s="33"/>
      <c r="S1272" s="40"/>
      <c r="T1272" s="40"/>
      <c r="U1272" s="40"/>
      <c r="V1272" s="40"/>
      <c r="W1272" s="40"/>
      <c r="X1272" s="40"/>
      <c r="Y1272" s="45"/>
      <c r="Z1272" s="45"/>
      <c r="AA1272" s="45"/>
      <c r="AB1272" s="45"/>
      <c r="AC1272" s="45"/>
      <c r="AD1272" s="45"/>
      <c r="AE1272" s="45"/>
      <c r="AF1272" s="45"/>
      <c r="AG1272" s="45"/>
      <c r="AH1272" s="45"/>
      <c r="AI1272" s="45"/>
      <c r="AJ1272" s="45"/>
      <c r="AK1272" s="45"/>
      <c r="AL1272" s="45"/>
    </row>
    <row r="1273" ht="15.75" customHeight="1">
      <c r="A1273" s="27">
        <f t="shared" si="21"/>
        <v>152</v>
      </c>
      <c r="B1273" s="28"/>
      <c r="C1273" s="29" t="s">
        <v>4663</v>
      </c>
      <c r="D1273" s="28" t="s">
        <v>4664</v>
      </c>
      <c r="E1273" s="28" t="s">
        <v>144</v>
      </c>
      <c r="F1273" s="28" t="s">
        <v>29</v>
      </c>
      <c r="G1273" s="28" t="s">
        <v>81</v>
      </c>
      <c r="H1273" s="28"/>
      <c r="I1273" s="28" t="s">
        <v>38</v>
      </c>
      <c r="J1273" s="28">
        <f>13+6</f>
        <v>19</v>
      </c>
      <c r="K1273" s="28"/>
      <c r="L1273" s="28"/>
      <c r="M1273" s="28" t="s">
        <v>4665</v>
      </c>
      <c r="N1273" s="28">
        <v>1974.0</v>
      </c>
      <c r="O1273" s="60" t="s">
        <v>4010</v>
      </c>
      <c r="P1273" s="28">
        <v>1.0</v>
      </c>
      <c r="Q1273" s="94">
        <v>1.0</v>
      </c>
      <c r="R1273" s="33"/>
      <c r="S1273" s="34"/>
      <c r="T1273" s="34"/>
      <c r="U1273" s="34"/>
      <c r="V1273" s="34"/>
      <c r="W1273" s="34"/>
      <c r="X1273" s="34"/>
      <c r="Y1273" s="3"/>
      <c r="Z1273" s="3"/>
      <c r="AA1273" s="3"/>
      <c r="AB1273" s="3"/>
      <c r="AC1273" s="3"/>
      <c r="AD1273" s="3"/>
      <c r="AE1273" s="3"/>
      <c r="AF1273" s="3"/>
      <c r="AG1273" s="3"/>
      <c r="AH1273" s="3"/>
      <c r="AI1273" s="3"/>
      <c r="AJ1273" s="3"/>
      <c r="AK1273" s="3"/>
      <c r="AL1273" s="3"/>
    </row>
    <row r="1274" ht="15.75" customHeight="1">
      <c r="A1274" s="27">
        <f t="shared" si="21"/>
        <v>153</v>
      </c>
      <c r="B1274" s="31" t="s">
        <v>4666</v>
      </c>
      <c r="C1274" s="29" t="s">
        <v>4667</v>
      </c>
      <c r="D1274" s="39" t="s">
        <v>4668</v>
      </c>
      <c r="E1274" s="28"/>
      <c r="F1274" s="31" t="s">
        <v>29</v>
      </c>
      <c r="G1274" s="31" t="s">
        <v>30</v>
      </c>
      <c r="H1274" s="28"/>
      <c r="I1274" s="31" t="s">
        <v>38</v>
      </c>
      <c r="J1274" s="31">
        <v>484.0</v>
      </c>
      <c r="K1274" s="28"/>
      <c r="L1274" s="31" t="s">
        <v>4669</v>
      </c>
      <c r="M1274" s="31" t="s">
        <v>219</v>
      </c>
      <c r="N1274" s="31">
        <v>1979.0</v>
      </c>
      <c r="O1274" s="62">
        <v>3.0</v>
      </c>
      <c r="P1274" s="31">
        <v>1.0</v>
      </c>
      <c r="Q1274" s="37">
        <v>1.0</v>
      </c>
      <c r="R1274" s="33"/>
      <c r="S1274" s="40"/>
      <c r="T1274" s="40"/>
      <c r="U1274" s="40"/>
      <c r="V1274" s="40"/>
      <c r="W1274" s="40"/>
      <c r="X1274" s="40"/>
      <c r="Y1274" s="45"/>
      <c r="Z1274" s="45"/>
      <c r="AA1274" s="45"/>
      <c r="AB1274" s="45"/>
      <c r="AC1274" s="45"/>
      <c r="AD1274" s="45"/>
      <c r="AE1274" s="45"/>
      <c r="AF1274" s="45"/>
      <c r="AG1274" s="45"/>
      <c r="AH1274" s="45"/>
      <c r="AI1274" s="45"/>
      <c r="AJ1274" s="45"/>
      <c r="AK1274" s="45"/>
      <c r="AL1274" s="45"/>
    </row>
    <row r="1275" ht="15.75" customHeight="1">
      <c r="A1275" s="27">
        <f t="shared" si="21"/>
        <v>154</v>
      </c>
      <c r="B1275" s="28" t="s">
        <v>4670</v>
      </c>
      <c r="C1275" s="43" t="s">
        <v>4671</v>
      </c>
      <c r="D1275" s="30" t="s">
        <v>4672</v>
      </c>
      <c r="E1275" s="28" t="s">
        <v>31</v>
      </c>
      <c r="F1275" s="28" t="s">
        <v>29</v>
      </c>
      <c r="G1275" s="28" t="s">
        <v>30</v>
      </c>
      <c r="H1275" s="28"/>
      <c r="I1275" s="28" t="s">
        <v>30</v>
      </c>
      <c r="J1275" s="28">
        <v>48.0</v>
      </c>
      <c r="K1275" s="28"/>
      <c r="L1275" s="28" t="s">
        <v>4673</v>
      </c>
      <c r="M1275" s="28" t="s">
        <v>161</v>
      </c>
      <c r="N1275" s="28">
        <v>2007.0</v>
      </c>
      <c r="O1275" s="60" t="s">
        <v>4010</v>
      </c>
      <c r="P1275" s="28">
        <v>1.0</v>
      </c>
      <c r="Q1275" s="32">
        <v>1.0</v>
      </c>
      <c r="R1275" s="33"/>
      <c r="S1275" s="40"/>
      <c r="T1275" s="40"/>
      <c r="U1275" s="40"/>
      <c r="V1275" s="40"/>
      <c r="W1275" s="40"/>
      <c r="X1275" s="40"/>
      <c r="Y1275" s="45"/>
      <c r="Z1275" s="45"/>
      <c r="AA1275" s="45"/>
      <c r="AB1275" s="45"/>
      <c r="AC1275" s="45"/>
      <c r="AD1275" s="45"/>
      <c r="AE1275" s="45"/>
      <c r="AF1275" s="45"/>
      <c r="AG1275" s="45"/>
      <c r="AH1275" s="45"/>
      <c r="AI1275" s="45"/>
      <c r="AJ1275" s="45"/>
      <c r="AK1275" s="45"/>
      <c r="AL1275" s="45"/>
    </row>
    <row r="1276" ht="15.75" customHeight="1">
      <c r="A1276" s="27">
        <f t="shared" si="21"/>
        <v>155</v>
      </c>
      <c r="B1276" s="28" t="s">
        <v>4674</v>
      </c>
      <c r="C1276" s="43" t="s">
        <v>4671</v>
      </c>
      <c r="D1276" s="30" t="s">
        <v>4675</v>
      </c>
      <c r="E1276" s="28" t="s">
        <v>144</v>
      </c>
      <c r="F1276" s="28" t="s">
        <v>29</v>
      </c>
      <c r="G1276" s="28" t="s">
        <v>30</v>
      </c>
      <c r="H1276" s="28"/>
      <c r="I1276" s="28" t="s">
        <v>30</v>
      </c>
      <c r="J1276" s="28">
        <f>156</f>
        <v>156</v>
      </c>
      <c r="K1276" s="28"/>
      <c r="L1276" s="28" t="s">
        <v>4673</v>
      </c>
      <c r="M1276" s="28" t="s">
        <v>3991</v>
      </c>
      <c r="N1276" s="28">
        <v>1993.0</v>
      </c>
      <c r="O1276" s="60" t="s">
        <v>4010</v>
      </c>
      <c r="P1276" s="28">
        <v>1.0</v>
      </c>
      <c r="Q1276" s="32">
        <v>1.0</v>
      </c>
      <c r="R1276" s="33"/>
      <c r="S1276" s="34"/>
      <c r="T1276" s="34"/>
      <c r="U1276" s="34"/>
      <c r="V1276" s="34"/>
      <c r="W1276" s="34"/>
      <c r="X1276" s="34"/>
      <c r="Y1276" s="3"/>
      <c r="Z1276" s="3"/>
      <c r="AA1276" s="3"/>
      <c r="AB1276" s="3"/>
      <c r="AC1276" s="3"/>
      <c r="AD1276" s="3"/>
      <c r="AE1276" s="3"/>
      <c r="AF1276" s="3"/>
      <c r="AG1276" s="3"/>
      <c r="AH1276" s="3"/>
      <c r="AI1276" s="3"/>
      <c r="AJ1276" s="3"/>
      <c r="AK1276" s="3"/>
      <c r="AL1276" s="3"/>
    </row>
    <row r="1277" ht="15.75" customHeight="1">
      <c r="A1277" s="27">
        <f t="shared" si="21"/>
        <v>156</v>
      </c>
      <c r="B1277" s="28" t="s">
        <v>4676</v>
      </c>
      <c r="C1277" s="43" t="s">
        <v>4677</v>
      </c>
      <c r="D1277" s="30" t="s">
        <v>4678</v>
      </c>
      <c r="E1277" s="28"/>
      <c r="F1277" s="28" t="s">
        <v>29</v>
      </c>
      <c r="G1277" s="28" t="s">
        <v>30</v>
      </c>
      <c r="H1277" s="28"/>
      <c r="I1277" s="28" t="s">
        <v>30</v>
      </c>
      <c r="J1277" s="28">
        <v>386.0</v>
      </c>
      <c r="K1277" s="28"/>
      <c r="L1277" s="28" t="s">
        <v>4679</v>
      </c>
      <c r="M1277" s="28" t="s">
        <v>3341</v>
      </c>
      <c r="N1277" s="28">
        <v>2007.0</v>
      </c>
      <c r="O1277" s="60" t="s">
        <v>4010</v>
      </c>
      <c r="P1277" s="28">
        <v>3.0</v>
      </c>
      <c r="Q1277" s="94">
        <v>3.0</v>
      </c>
      <c r="R1277" s="33"/>
      <c r="S1277" s="34"/>
      <c r="T1277" s="34"/>
      <c r="U1277" s="34"/>
      <c r="V1277" s="34"/>
      <c r="W1277" s="34"/>
      <c r="X1277" s="34"/>
      <c r="Y1277" s="45"/>
      <c r="Z1277" s="45"/>
      <c r="AA1277" s="45"/>
      <c r="AB1277" s="45"/>
      <c r="AC1277" s="45"/>
      <c r="AD1277" s="45"/>
      <c r="AE1277" s="45"/>
      <c r="AF1277" s="45"/>
      <c r="AG1277" s="45"/>
      <c r="AH1277" s="45"/>
      <c r="AI1277" s="45"/>
      <c r="AJ1277" s="45"/>
      <c r="AK1277" s="45"/>
      <c r="AL1277" s="45"/>
    </row>
    <row r="1278" ht="15.75" customHeight="1">
      <c r="A1278" s="27">
        <f t="shared" si="21"/>
        <v>157</v>
      </c>
      <c r="B1278" s="28" t="s">
        <v>4680</v>
      </c>
      <c r="C1278" s="43" t="s">
        <v>4681</v>
      </c>
      <c r="D1278" s="30" t="s">
        <v>4682</v>
      </c>
      <c r="E1278" s="28" t="s">
        <v>31</v>
      </c>
      <c r="F1278" s="28" t="s">
        <v>29</v>
      </c>
      <c r="G1278" s="28" t="s">
        <v>37</v>
      </c>
      <c r="H1278" s="28"/>
      <c r="I1278" s="28" t="s">
        <v>38</v>
      </c>
      <c r="J1278" s="28">
        <v>172.0</v>
      </c>
      <c r="K1278" s="28"/>
      <c r="L1278" s="28" t="s">
        <v>4683</v>
      </c>
      <c r="M1278" s="28" t="s">
        <v>4684</v>
      </c>
      <c r="N1278" s="28">
        <v>1984.0</v>
      </c>
      <c r="O1278" s="103" t="s">
        <v>4010</v>
      </c>
      <c r="P1278" s="28">
        <v>1.0</v>
      </c>
      <c r="Q1278" s="32">
        <v>1.0</v>
      </c>
      <c r="R1278" s="33"/>
      <c r="S1278" s="40"/>
      <c r="T1278" s="40"/>
      <c r="U1278" s="40"/>
      <c r="V1278" s="40"/>
      <c r="W1278" s="40"/>
      <c r="X1278" s="40"/>
      <c r="Y1278" s="45"/>
      <c r="Z1278" s="45"/>
      <c r="AA1278" s="45"/>
      <c r="AB1278" s="45"/>
      <c r="AC1278" s="45"/>
      <c r="AD1278" s="45"/>
      <c r="AE1278" s="45"/>
      <c r="AF1278" s="45"/>
      <c r="AG1278" s="45"/>
      <c r="AH1278" s="45"/>
      <c r="AI1278" s="45"/>
      <c r="AJ1278" s="45"/>
      <c r="AK1278" s="45"/>
      <c r="AL1278" s="45"/>
    </row>
    <row r="1279" ht="15.75" customHeight="1">
      <c r="A1279" s="27">
        <f t="shared" si="21"/>
        <v>158</v>
      </c>
      <c r="B1279" s="28"/>
      <c r="C1279" s="43" t="s">
        <v>4685</v>
      </c>
      <c r="D1279" s="30" t="s">
        <v>4686</v>
      </c>
      <c r="E1279" s="28" t="s">
        <v>31</v>
      </c>
      <c r="F1279" s="28" t="s">
        <v>29</v>
      </c>
      <c r="G1279" s="28" t="s">
        <v>30</v>
      </c>
      <c r="H1279" s="28"/>
      <c r="I1279" s="28" t="s">
        <v>30</v>
      </c>
      <c r="J1279" s="28">
        <v>568.0</v>
      </c>
      <c r="K1279" s="28"/>
      <c r="L1279" s="28" t="s">
        <v>4687</v>
      </c>
      <c r="M1279" s="28" t="s">
        <v>31</v>
      </c>
      <c r="N1279" s="28">
        <v>1999.0</v>
      </c>
      <c r="O1279" s="103" t="s">
        <v>4010</v>
      </c>
      <c r="P1279" s="28">
        <v>1.0</v>
      </c>
      <c r="Q1279" s="32">
        <v>1.0</v>
      </c>
      <c r="R1279" s="33"/>
      <c r="S1279" s="40"/>
      <c r="T1279" s="40"/>
      <c r="U1279" s="40"/>
      <c r="V1279" s="40"/>
      <c r="W1279" s="40"/>
      <c r="X1279" s="40"/>
      <c r="Y1279" s="3"/>
      <c r="Z1279" s="3"/>
      <c r="AA1279" s="3"/>
      <c r="AB1279" s="3"/>
      <c r="AC1279" s="3"/>
      <c r="AD1279" s="3"/>
      <c r="AE1279" s="3"/>
      <c r="AF1279" s="3"/>
      <c r="AG1279" s="3"/>
      <c r="AH1279" s="3"/>
      <c r="AI1279" s="3"/>
      <c r="AJ1279" s="3"/>
      <c r="AK1279" s="3"/>
      <c r="AL1279" s="3"/>
    </row>
    <row r="1280" ht="15.75" customHeight="1">
      <c r="A1280" s="27">
        <f t="shared" si="21"/>
        <v>159</v>
      </c>
      <c r="B1280" s="108" t="s">
        <v>4688</v>
      </c>
      <c r="C1280" s="104" t="s">
        <v>4689</v>
      </c>
      <c r="D1280" s="134" t="s">
        <v>4690</v>
      </c>
      <c r="E1280" s="111" t="s">
        <v>144</v>
      </c>
      <c r="F1280" s="111" t="s">
        <v>29</v>
      </c>
      <c r="G1280" s="111" t="s">
        <v>37</v>
      </c>
      <c r="H1280" s="111"/>
      <c r="I1280" s="111" t="s">
        <v>38</v>
      </c>
      <c r="J1280" s="111">
        <f>188</f>
        <v>188</v>
      </c>
      <c r="K1280" s="111"/>
      <c r="L1280" s="103" t="s">
        <v>4691</v>
      </c>
      <c r="M1280" s="111" t="s">
        <v>4692</v>
      </c>
      <c r="N1280" s="111">
        <v>1980.0</v>
      </c>
      <c r="O1280" s="103" t="s">
        <v>4010</v>
      </c>
      <c r="P1280" s="111">
        <v>1.0</v>
      </c>
      <c r="Q1280" s="32">
        <v>1.0</v>
      </c>
      <c r="R1280" s="33"/>
      <c r="S1280" s="40"/>
      <c r="T1280" s="40"/>
      <c r="U1280" s="40"/>
      <c r="V1280" s="40"/>
      <c r="W1280" s="40"/>
      <c r="X1280" s="40"/>
      <c r="Y1280" s="45"/>
      <c r="Z1280" s="45"/>
      <c r="AA1280" s="45"/>
      <c r="AB1280" s="45"/>
      <c r="AC1280" s="45"/>
      <c r="AD1280" s="45"/>
      <c r="AE1280" s="45"/>
      <c r="AF1280" s="45"/>
      <c r="AG1280" s="45"/>
      <c r="AH1280" s="45"/>
      <c r="AI1280" s="45"/>
      <c r="AJ1280" s="45"/>
      <c r="AK1280" s="45"/>
      <c r="AL1280" s="45"/>
    </row>
    <row r="1281" ht="15.75" customHeight="1">
      <c r="A1281" s="27">
        <f t="shared" si="21"/>
        <v>160</v>
      </c>
      <c r="B1281" s="108" t="s">
        <v>4693</v>
      </c>
      <c r="C1281" s="167" t="s">
        <v>4694</v>
      </c>
      <c r="D1281" s="134" t="s">
        <v>4695</v>
      </c>
      <c r="E1281" s="111" t="s">
        <v>144</v>
      </c>
      <c r="F1281" s="111" t="s">
        <v>29</v>
      </c>
      <c r="G1281" s="111" t="s">
        <v>30</v>
      </c>
      <c r="H1281" s="111"/>
      <c r="I1281" s="111" t="s">
        <v>30</v>
      </c>
      <c r="J1281" s="111">
        <f>72</f>
        <v>72</v>
      </c>
      <c r="K1281" s="111"/>
      <c r="L1281" s="111" t="s">
        <v>4696</v>
      </c>
      <c r="M1281" s="111" t="s">
        <v>4697</v>
      </c>
      <c r="N1281" s="111">
        <v>2011.0</v>
      </c>
      <c r="O1281" s="103" t="s">
        <v>4010</v>
      </c>
      <c r="P1281" s="111">
        <v>1.0</v>
      </c>
      <c r="Q1281" s="32">
        <v>1.0</v>
      </c>
      <c r="R1281" s="33"/>
      <c r="S1281" s="34"/>
      <c r="T1281" s="34"/>
      <c r="U1281" s="34"/>
      <c r="V1281" s="34"/>
      <c r="W1281" s="34"/>
      <c r="X1281" s="34"/>
      <c r="Y1281" s="45"/>
      <c r="Z1281" s="45"/>
      <c r="AA1281" s="45"/>
      <c r="AB1281" s="45"/>
      <c r="AC1281" s="45"/>
      <c r="AD1281" s="45"/>
      <c r="AE1281" s="45"/>
      <c r="AF1281" s="45"/>
      <c r="AG1281" s="45"/>
      <c r="AH1281" s="45"/>
      <c r="AI1281" s="45"/>
      <c r="AJ1281" s="45"/>
      <c r="AK1281" s="45"/>
      <c r="AL1281" s="45"/>
    </row>
    <row r="1282" ht="15.75" customHeight="1">
      <c r="A1282" s="27">
        <f t="shared" si="21"/>
        <v>161</v>
      </c>
      <c r="B1282" s="133" t="s">
        <v>4698</v>
      </c>
      <c r="C1282" s="168" t="s">
        <v>4699</v>
      </c>
      <c r="D1282" s="134" t="s">
        <v>4700</v>
      </c>
      <c r="E1282" s="111" t="s">
        <v>144</v>
      </c>
      <c r="F1282" s="111" t="s">
        <v>29</v>
      </c>
      <c r="G1282" s="111" t="s">
        <v>38</v>
      </c>
      <c r="H1282" s="111"/>
      <c r="I1282" s="111" t="s">
        <v>38</v>
      </c>
      <c r="J1282" s="111">
        <f>160</f>
        <v>160</v>
      </c>
      <c r="K1282" s="111"/>
      <c r="L1282" s="111" t="s">
        <v>4701</v>
      </c>
      <c r="M1282" s="111" t="s">
        <v>2589</v>
      </c>
      <c r="N1282" s="111">
        <v>1971.0</v>
      </c>
      <c r="O1282" s="60" t="s">
        <v>4010</v>
      </c>
      <c r="P1282" s="111">
        <v>1.0</v>
      </c>
      <c r="Q1282" s="32">
        <v>1.0</v>
      </c>
      <c r="R1282" s="33"/>
      <c r="S1282" s="40"/>
      <c r="T1282" s="40"/>
      <c r="U1282" s="40"/>
      <c r="V1282" s="40"/>
      <c r="W1282" s="40"/>
      <c r="X1282" s="40"/>
      <c r="Y1282" s="45"/>
      <c r="Z1282" s="45"/>
      <c r="AA1282" s="45"/>
      <c r="AB1282" s="45"/>
      <c r="AC1282" s="45"/>
      <c r="AD1282" s="45"/>
      <c r="AE1282" s="45"/>
      <c r="AF1282" s="45"/>
      <c r="AG1282" s="45"/>
      <c r="AH1282" s="45"/>
      <c r="AI1282" s="45"/>
      <c r="AJ1282" s="45"/>
      <c r="AK1282" s="45"/>
      <c r="AL1282" s="45"/>
    </row>
    <row r="1283" ht="15.75" customHeight="1">
      <c r="A1283" s="27">
        <f t="shared" si="21"/>
        <v>162</v>
      </c>
      <c r="B1283" s="28" t="s">
        <v>4702</v>
      </c>
      <c r="C1283" s="43" t="s">
        <v>4703</v>
      </c>
      <c r="D1283" s="30" t="s">
        <v>4704</v>
      </c>
      <c r="E1283" s="28" t="s">
        <v>31</v>
      </c>
      <c r="F1283" s="28" t="s">
        <v>29</v>
      </c>
      <c r="G1283" s="28" t="s">
        <v>30</v>
      </c>
      <c r="H1283" s="28"/>
      <c r="I1283" s="28" t="s">
        <v>30</v>
      </c>
      <c r="J1283" s="28">
        <v>140.0</v>
      </c>
      <c r="K1283" s="28"/>
      <c r="L1283" s="28" t="s">
        <v>4705</v>
      </c>
      <c r="M1283" s="28" t="s">
        <v>151</v>
      </c>
      <c r="N1283" s="28">
        <v>2006.0</v>
      </c>
      <c r="O1283" s="60" t="s">
        <v>4010</v>
      </c>
      <c r="P1283" s="28">
        <v>2.0</v>
      </c>
      <c r="Q1283" s="94">
        <v>1.0</v>
      </c>
      <c r="R1283" s="33"/>
      <c r="S1283" s="40"/>
      <c r="T1283" s="40"/>
      <c r="U1283" s="40"/>
      <c r="V1283" s="40"/>
      <c r="W1283" s="40"/>
      <c r="X1283" s="40"/>
      <c r="Y1283" s="45"/>
      <c r="Z1283" s="45"/>
      <c r="AA1283" s="45"/>
      <c r="AB1283" s="45"/>
      <c r="AC1283" s="45"/>
      <c r="AD1283" s="45"/>
      <c r="AE1283" s="45"/>
      <c r="AF1283" s="45"/>
      <c r="AG1283" s="45"/>
      <c r="AH1283" s="45"/>
      <c r="AI1283" s="45"/>
      <c r="AJ1283" s="45"/>
      <c r="AK1283" s="45"/>
      <c r="AL1283" s="45"/>
    </row>
    <row r="1284" ht="15.75" customHeight="1">
      <c r="A1284" s="27">
        <f t="shared" si="21"/>
        <v>163</v>
      </c>
      <c r="B1284" s="28" t="s">
        <v>4706</v>
      </c>
      <c r="C1284" s="102" t="s">
        <v>4707</v>
      </c>
      <c r="D1284" s="30" t="s">
        <v>4708</v>
      </c>
      <c r="E1284" s="28"/>
      <c r="F1284" s="28" t="s">
        <v>29</v>
      </c>
      <c r="G1284" s="28" t="s">
        <v>37</v>
      </c>
      <c r="H1284" s="28"/>
      <c r="I1284" s="28" t="s">
        <v>38</v>
      </c>
      <c r="J1284" s="28">
        <v>78.0</v>
      </c>
      <c r="K1284" s="28"/>
      <c r="L1284" s="28" t="s">
        <v>4709</v>
      </c>
      <c r="M1284" s="28" t="s">
        <v>178</v>
      </c>
      <c r="N1284" s="28">
        <v>1984.0</v>
      </c>
      <c r="O1284" s="60" t="s">
        <v>4010</v>
      </c>
      <c r="P1284" s="28">
        <v>1.0</v>
      </c>
      <c r="Q1284" s="32">
        <v>1.0</v>
      </c>
      <c r="R1284" s="33"/>
      <c r="S1284" s="40"/>
      <c r="T1284" s="40"/>
      <c r="U1284" s="40"/>
      <c r="V1284" s="40"/>
      <c r="W1284" s="40"/>
      <c r="X1284" s="40"/>
      <c r="Y1284" s="45"/>
      <c r="Z1284" s="45"/>
      <c r="AA1284" s="45"/>
      <c r="AB1284" s="45"/>
      <c r="AC1284" s="45"/>
      <c r="AD1284" s="45"/>
      <c r="AE1284" s="45"/>
      <c r="AF1284" s="45"/>
      <c r="AG1284" s="45"/>
      <c r="AH1284" s="45"/>
      <c r="AI1284" s="45"/>
      <c r="AJ1284" s="45"/>
      <c r="AK1284" s="45"/>
      <c r="AL1284" s="45"/>
    </row>
    <row r="1285" ht="15.75" customHeight="1">
      <c r="A1285" s="27">
        <f t="shared" si="21"/>
        <v>164</v>
      </c>
      <c r="B1285" s="28" t="s">
        <v>4710</v>
      </c>
      <c r="C1285" s="29" t="s">
        <v>4711</v>
      </c>
      <c r="D1285" s="30" t="s">
        <v>4712</v>
      </c>
      <c r="E1285" s="28"/>
      <c r="F1285" s="28" t="s">
        <v>29</v>
      </c>
      <c r="G1285" s="28" t="s">
        <v>37</v>
      </c>
      <c r="H1285" s="28" t="s">
        <v>31</v>
      </c>
      <c r="I1285" s="28" t="s">
        <v>38</v>
      </c>
      <c r="J1285" s="28">
        <v>95.0</v>
      </c>
      <c r="K1285" s="28"/>
      <c r="L1285" s="28" t="s">
        <v>4713</v>
      </c>
      <c r="M1285" s="28" t="s">
        <v>4714</v>
      </c>
      <c r="N1285" s="28">
        <v>2002.0</v>
      </c>
      <c r="O1285" s="60" t="s">
        <v>4010</v>
      </c>
      <c r="P1285" s="28">
        <v>1.0</v>
      </c>
      <c r="Q1285" s="32">
        <v>1.0</v>
      </c>
      <c r="R1285" s="33"/>
      <c r="S1285" s="34"/>
      <c r="T1285" s="34"/>
      <c r="U1285" s="34"/>
      <c r="V1285" s="34"/>
      <c r="W1285" s="34"/>
      <c r="X1285" s="34"/>
      <c r="Y1285" s="45"/>
      <c r="Z1285" s="45"/>
      <c r="AA1285" s="45"/>
      <c r="AB1285" s="45"/>
      <c r="AC1285" s="45"/>
      <c r="AD1285" s="45"/>
      <c r="AE1285" s="45"/>
      <c r="AF1285" s="45"/>
      <c r="AG1285" s="45"/>
      <c r="AH1285" s="45"/>
      <c r="AI1285" s="45"/>
      <c r="AJ1285" s="45"/>
      <c r="AK1285" s="45"/>
      <c r="AL1285" s="45"/>
    </row>
    <row r="1286" ht="15.75" customHeight="1">
      <c r="A1286" s="27">
        <f t="shared" si="21"/>
        <v>165</v>
      </c>
      <c r="B1286" s="28" t="s">
        <v>31</v>
      </c>
      <c r="C1286" s="29" t="s">
        <v>4715</v>
      </c>
      <c r="D1286" s="30" t="s">
        <v>4716</v>
      </c>
      <c r="E1286" s="28"/>
      <c r="F1286" s="28" t="s">
        <v>29</v>
      </c>
      <c r="G1286" s="28" t="s">
        <v>30</v>
      </c>
      <c r="H1286" s="28"/>
      <c r="I1286" s="28" t="s">
        <v>30</v>
      </c>
      <c r="J1286" s="28" t="s">
        <v>4717</v>
      </c>
      <c r="K1286" s="28"/>
      <c r="L1286" s="28" t="s">
        <v>4718</v>
      </c>
      <c r="M1286" s="28" t="s">
        <v>4719</v>
      </c>
      <c r="N1286" s="28" t="s">
        <v>31</v>
      </c>
      <c r="O1286" s="103" t="s">
        <v>4010</v>
      </c>
      <c r="P1286" s="28">
        <v>1.0</v>
      </c>
      <c r="Q1286" s="32">
        <v>1.0</v>
      </c>
      <c r="R1286" s="33"/>
      <c r="S1286" s="40"/>
      <c r="T1286" s="40"/>
      <c r="U1286" s="40"/>
      <c r="V1286" s="40"/>
      <c r="W1286" s="40"/>
      <c r="X1286" s="40"/>
      <c r="Y1286" s="3"/>
      <c r="Z1286" s="3"/>
      <c r="AA1286" s="3"/>
      <c r="AB1286" s="3"/>
      <c r="AC1286" s="3"/>
      <c r="AD1286" s="3"/>
      <c r="AE1286" s="3"/>
      <c r="AF1286" s="3"/>
      <c r="AG1286" s="3"/>
      <c r="AH1286" s="3"/>
      <c r="AI1286" s="3"/>
      <c r="AJ1286" s="3"/>
      <c r="AK1286" s="3"/>
      <c r="AL1286" s="3"/>
    </row>
    <row r="1287" ht="15.75" customHeight="1">
      <c r="A1287" s="27">
        <f t="shared" si="21"/>
        <v>166</v>
      </c>
      <c r="B1287" s="28" t="s">
        <v>4720</v>
      </c>
      <c r="C1287" s="43" t="s">
        <v>4721</v>
      </c>
      <c r="D1287" s="30" t="s">
        <v>4722</v>
      </c>
      <c r="E1287" s="28" t="s">
        <v>2863</v>
      </c>
      <c r="F1287" s="28" t="s">
        <v>29</v>
      </c>
      <c r="G1287" s="28" t="s">
        <v>37</v>
      </c>
      <c r="H1287" s="28"/>
      <c r="I1287" s="28" t="s">
        <v>38</v>
      </c>
      <c r="J1287" s="28">
        <v>462.0</v>
      </c>
      <c r="K1287" s="28"/>
      <c r="L1287" s="28" t="s">
        <v>4723</v>
      </c>
      <c r="M1287" s="28" t="s">
        <v>1176</v>
      </c>
      <c r="N1287" s="28">
        <v>1999.0</v>
      </c>
      <c r="O1287" s="103" t="s">
        <v>4010</v>
      </c>
      <c r="P1287" s="28">
        <v>1.0</v>
      </c>
      <c r="Q1287" s="37">
        <v>1.0</v>
      </c>
      <c r="R1287" s="33"/>
      <c r="S1287" s="40"/>
      <c r="T1287" s="40"/>
      <c r="U1287" s="40"/>
      <c r="V1287" s="40"/>
      <c r="W1287" s="40"/>
      <c r="X1287" s="40"/>
      <c r="Y1287" s="45"/>
      <c r="Z1287" s="45"/>
      <c r="AA1287" s="45"/>
      <c r="AB1287" s="45"/>
      <c r="AC1287" s="45"/>
      <c r="AD1287" s="45"/>
      <c r="AE1287" s="45"/>
      <c r="AF1287" s="45"/>
      <c r="AG1287" s="45"/>
      <c r="AH1287" s="45"/>
      <c r="AI1287" s="45"/>
      <c r="AJ1287" s="45"/>
      <c r="AK1287" s="45"/>
      <c r="AL1287" s="45"/>
    </row>
    <row r="1288" ht="15.75" customHeight="1">
      <c r="A1288" s="27">
        <f t="shared" si="21"/>
        <v>167</v>
      </c>
      <c r="B1288" s="28" t="s">
        <v>4724</v>
      </c>
      <c r="C1288" s="43" t="s">
        <v>4725</v>
      </c>
      <c r="D1288" s="30" t="s">
        <v>4726</v>
      </c>
      <c r="E1288" s="28" t="s">
        <v>31</v>
      </c>
      <c r="F1288" s="28" t="s">
        <v>29</v>
      </c>
      <c r="G1288" s="28" t="s">
        <v>30</v>
      </c>
      <c r="H1288" s="28"/>
      <c r="I1288" s="28" t="s">
        <v>30</v>
      </c>
      <c r="J1288" s="28">
        <v>64.0</v>
      </c>
      <c r="K1288" s="28"/>
      <c r="L1288" s="28" t="s">
        <v>4727</v>
      </c>
      <c r="M1288" s="28" t="s">
        <v>161</v>
      </c>
      <c r="N1288" s="28">
        <v>2010.0</v>
      </c>
      <c r="O1288" s="103" t="s">
        <v>4010</v>
      </c>
      <c r="P1288" s="28">
        <v>1.0</v>
      </c>
      <c r="Q1288" s="32">
        <v>1.0</v>
      </c>
      <c r="R1288" s="33"/>
      <c r="S1288" s="34"/>
      <c r="T1288" s="34"/>
      <c r="U1288" s="34"/>
      <c r="V1288" s="34"/>
      <c r="W1288" s="34"/>
      <c r="X1288" s="34"/>
      <c r="Y1288" s="45"/>
      <c r="Z1288" s="45"/>
      <c r="AA1288" s="45"/>
      <c r="AB1288" s="45"/>
      <c r="AC1288" s="45"/>
      <c r="AD1288" s="45"/>
      <c r="AE1288" s="45"/>
      <c r="AF1288" s="45"/>
      <c r="AG1288" s="45"/>
      <c r="AH1288" s="45"/>
      <c r="AI1288" s="45"/>
      <c r="AJ1288" s="45"/>
      <c r="AK1288" s="45"/>
      <c r="AL1288" s="45"/>
    </row>
    <row r="1289" ht="15.75" customHeight="1">
      <c r="A1289" s="27">
        <f t="shared" si="21"/>
        <v>168</v>
      </c>
      <c r="B1289" s="60" t="s">
        <v>4728</v>
      </c>
      <c r="C1289" s="102" t="s">
        <v>4729</v>
      </c>
      <c r="D1289" s="30" t="s">
        <v>4730</v>
      </c>
      <c r="E1289" s="28" t="s">
        <v>144</v>
      </c>
      <c r="F1289" s="28" t="s">
        <v>29</v>
      </c>
      <c r="G1289" s="28" t="s">
        <v>37</v>
      </c>
      <c r="H1289" s="28"/>
      <c r="I1289" s="28" t="s">
        <v>38</v>
      </c>
      <c r="J1289" s="28">
        <v>97.0</v>
      </c>
      <c r="K1289" s="28"/>
      <c r="L1289" s="28" t="s">
        <v>4731</v>
      </c>
      <c r="M1289" s="28" t="s">
        <v>230</v>
      </c>
      <c r="N1289" s="28">
        <v>2005.0</v>
      </c>
      <c r="O1289" s="103" t="s">
        <v>4010</v>
      </c>
      <c r="P1289" s="28">
        <v>1.0</v>
      </c>
      <c r="Q1289" s="32">
        <v>1.0</v>
      </c>
      <c r="R1289" s="33"/>
      <c r="S1289" s="40"/>
      <c r="T1289" s="40"/>
      <c r="U1289" s="40"/>
      <c r="V1289" s="40"/>
      <c r="W1289" s="40"/>
      <c r="X1289" s="40"/>
      <c r="Y1289" s="45"/>
      <c r="Z1289" s="45"/>
      <c r="AA1289" s="45"/>
      <c r="AB1289" s="45"/>
      <c r="AC1289" s="45"/>
      <c r="AD1289" s="45"/>
      <c r="AE1289" s="45"/>
      <c r="AF1289" s="45"/>
      <c r="AG1289" s="45"/>
      <c r="AH1289" s="45"/>
      <c r="AI1289" s="45"/>
      <c r="AJ1289" s="45"/>
      <c r="AK1289" s="45"/>
      <c r="AL1289" s="45"/>
    </row>
    <row r="1290" ht="15.75" customHeight="1">
      <c r="A1290" s="27">
        <f t="shared" si="21"/>
        <v>169</v>
      </c>
      <c r="B1290" s="28" t="s">
        <v>4732</v>
      </c>
      <c r="C1290" s="29" t="s">
        <v>4733</v>
      </c>
      <c r="D1290" s="30" t="s">
        <v>4734</v>
      </c>
      <c r="E1290" s="28" t="s">
        <v>31</v>
      </c>
      <c r="F1290" s="28" t="s">
        <v>29</v>
      </c>
      <c r="G1290" s="28" t="s">
        <v>37</v>
      </c>
      <c r="H1290" s="28"/>
      <c r="I1290" s="28" t="s">
        <v>38</v>
      </c>
      <c r="J1290" s="28">
        <v>270.0</v>
      </c>
      <c r="K1290" s="28"/>
      <c r="L1290" s="28" t="s">
        <v>4735</v>
      </c>
      <c r="M1290" s="28" t="s">
        <v>83</v>
      </c>
      <c r="N1290" s="28">
        <v>2004.0</v>
      </c>
      <c r="O1290" s="103" t="s">
        <v>4010</v>
      </c>
      <c r="P1290" s="28">
        <v>2.0</v>
      </c>
      <c r="Q1290" s="94">
        <v>2.0</v>
      </c>
      <c r="R1290" s="33"/>
      <c r="S1290" s="40"/>
      <c r="T1290" s="40"/>
      <c r="U1290" s="40"/>
      <c r="V1290" s="40"/>
      <c r="W1290" s="40"/>
      <c r="X1290" s="40"/>
      <c r="Y1290" s="3"/>
      <c r="Z1290" s="3"/>
      <c r="AA1290" s="3"/>
      <c r="AB1290" s="3"/>
      <c r="AC1290" s="3"/>
      <c r="AD1290" s="3"/>
      <c r="AE1290" s="3"/>
      <c r="AF1290" s="3"/>
      <c r="AG1290" s="3"/>
      <c r="AH1290" s="3"/>
      <c r="AI1290" s="3"/>
      <c r="AJ1290" s="3"/>
      <c r="AK1290" s="3"/>
      <c r="AL1290" s="3"/>
    </row>
    <row r="1291" ht="15.75" customHeight="1">
      <c r="A1291" s="27">
        <f t="shared" si="21"/>
        <v>170</v>
      </c>
      <c r="B1291" s="28" t="s">
        <v>4736</v>
      </c>
      <c r="C1291" s="43" t="s">
        <v>4737</v>
      </c>
      <c r="D1291" s="30" t="s">
        <v>4738</v>
      </c>
      <c r="E1291" s="28" t="s">
        <v>31</v>
      </c>
      <c r="F1291" s="28" t="s">
        <v>29</v>
      </c>
      <c r="G1291" s="28" t="s">
        <v>30</v>
      </c>
      <c r="H1291" s="28"/>
      <c r="I1291" s="28" t="s">
        <v>30</v>
      </c>
      <c r="J1291" s="28">
        <v>234.0</v>
      </c>
      <c r="K1291" s="28"/>
      <c r="L1291" s="28" t="s">
        <v>4739</v>
      </c>
      <c r="M1291" s="28" t="s">
        <v>4740</v>
      </c>
      <c r="N1291" s="28">
        <v>1994.0</v>
      </c>
      <c r="O1291" s="103" t="s">
        <v>4010</v>
      </c>
      <c r="P1291" s="28">
        <v>2.0</v>
      </c>
      <c r="Q1291" s="94">
        <v>2.0</v>
      </c>
      <c r="R1291" s="33"/>
      <c r="S1291" s="40"/>
      <c r="T1291" s="40"/>
      <c r="U1291" s="40"/>
      <c r="V1291" s="40"/>
      <c r="W1291" s="40"/>
      <c r="X1291" s="40"/>
      <c r="Y1291" s="3"/>
      <c r="Z1291" s="3"/>
      <c r="AA1291" s="3"/>
      <c r="AB1291" s="3"/>
      <c r="AC1291" s="3"/>
      <c r="AD1291" s="3"/>
      <c r="AE1291" s="3"/>
      <c r="AF1291" s="3"/>
      <c r="AG1291" s="3"/>
      <c r="AH1291" s="3"/>
      <c r="AI1291" s="3"/>
      <c r="AJ1291" s="3"/>
      <c r="AK1291" s="3"/>
      <c r="AL1291" s="3"/>
    </row>
    <row r="1292" ht="15.75" customHeight="1">
      <c r="A1292" s="27">
        <f t="shared" si="21"/>
        <v>171</v>
      </c>
      <c r="B1292" s="28" t="s">
        <v>4741</v>
      </c>
      <c r="C1292" s="29" t="s">
        <v>4742</v>
      </c>
      <c r="D1292" s="30" t="s">
        <v>4743</v>
      </c>
      <c r="E1292" s="28" t="s">
        <v>31</v>
      </c>
      <c r="F1292" s="28" t="s">
        <v>29</v>
      </c>
      <c r="G1292" s="28" t="s">
        <v>37</v>
      </c>
      <c r="H1292" s="28"/>
      <c r="I1292" s="28" t="s">
        <v>38</v>
      </c>
      <c r="J1292" s="28">
        <v>340.0</v>
      </c>
      <c r="K1292" s="28"/>
      <c r="L1292" s="31" t="s">
        <v>729</v>
      </c>
      <c r="M1292" s="28" t="s">
        <v>4744</v>
      </c>
      <c r="N1292" s="28">
        <v>2003.0</v>
      </c>
      <c r="O1292" s="103" t="s">
        <v>4010</v>
      </c>
      <c r="P1292" s="28">
        <v>1.0</v>
      </c>
      <c r="Q1292" s="94">
        <v>1.0</v>
      </c>
      <c r="R1292" s="33"/>
      <c r="S1292" s="40"/>
      <c r="T1292" s="40"/>
      <c r="U1292" s="40"/>
      <c r="V1292" s="40"/>
      <c r="W1292" s="40"/>
      <c r="X1292" s="40"/>
      <c r="Y1292" s="45"/>
      <c r="Z1292" s="45"/>
      <c r="AA1292" s="45"/>
      <c r="AB1292" s="45"/>
      <c r="AC1292" s="45"/>
      <c r="AD1292" s="45"/>
      <c r="AE1292" s="45"/>
      <c r="AF1292" s="45"/>
      <c r="AG1292" s="45"/>
      <c r="AH1292" s="45"/>
      <c r="AI1292" s="45"/>
      <c r="AJ1292" s="45"/>
      <c r="AK1292" s="45"/>
      <c r="AL1292" s="45"/>
    </row>
    <row r="1293" ht="15.75" customHeight="1">
      <c r="A1293" s="27">
        <f t="shared" si="21"/>
        <v>172</v>
      </c>
      <c r="B1293" s="28" t="s">
        <v>4745</v>
      </c>
      <c r="C1293" s="43" t="s">
        <v>4746</v>
      </c>
      <c r="D1293" s="30" t="s">
        <v>4747</v>
      </c>
      <c r="E1293" s="28" t="s">
        <v>144</v>
      </c>
      <c r="F1293" s="28" t="s">
        <v>29</v>
      </c>
      <c r="G1293" s="28" t="s">
        <v>30</v>
      </c>
      <c r="H1293" s="28"/>
      <c r="I1293" s="28" t="s">
        <v>30</v>
      </c>
      <c r="J1293" s="28">
        <v>150.0</v>
      </c>
      <c r="K1293" s="28"/>
      <c r="L1293" s="28" t="s">
        <v>4748</v>
      </c>
      <c r="M1293" s="28" t="s">
        <v>151</v>
      </c>
      <c r="N1293" s="28">
        <v>2013.0</v>
      </c>
      <c r="O1293" s="103" t="s">
        <v>4010</v>
      </c>
      <c r="P1293" s="31">
        <v>1.0</v>
      </c>
      <c r="Q1293" s="32">
        <v>1.0</v>
      </c>
      <c r="R1293" s="33"/>
      <c r="S1293" s="40"/>
      <c r="T1293" s="40"/>
      <c r="U1293" s="40"/>
      <c r="V1293" s="40"/>
      <c r="W1293" s="40"/>
      <c r="X1293" s="40"/>
      <c r="Y1293" s="45"/>
      <c r="Z1293" s="45"/>
      <c r="AA1293" s="45"/>
      <c r="AB1293" s="45"/>
      <c r="AC1293" s="45"/>
      <c r="AD1293" s="45"/>
      <c r="AE1293" s="45"/>
      <c r="AF1293" s="45"/>
      <c r="AG1293" s="45"/>
      <c r="AH1293" s="45"/>
      <c r="AI1293" s="45"/>
      <c r="AJ1293" s="45"/>
      <c r="AK1293" s="45"/>
      <c r="AL1293" s="45"/>
    </row>
    <row r="1294" ht="15.75" customHeight="1">
      <c r="A1294" s="27">
        <f t="shared" si="21"/>
        <v>173</v>
      </c>
      <c r="B1294" s="108"/>
      <c r="C1294" s="168" t="s">
        <v>4749</v>
      </c>
      <c r="D1294" s="134" t="s">
        <v>4750</v>
      </c>
      <c r="E1294" s="111" t="s">
        <v>144</v>
      </c>
      <c r="F1294" s="111" t="s">
        <v>29</v>
      </c>
      <c r="G1294" s="111" t="s">
        <v>30</v>
      </c>
      <c r="H1294" s="111"/>
      <c r="I1294" s="111" t="s">
        <v>30</v>
      </c>
      <c r="J1294" s="111">
        <f>72+8</f>
        <v>80</v>
      </c>
      <c r="K1294" s="111"/>
      <c r="L1294" s="112" t="s">
        <v>3026</v>
      </c>
      <c r="M1294" s="111" t="s">
        <v>3027</v>
      </c>
      <c r="N1294" s="111">
        <v>2002.0</v>
      </c>
      <c r="O1294" s="103" t="s">
        <v>4010</v>
      </c>
      <c r="P1294" s="111">
        <v>1.0</v>
      </c>
      <c r="Q1294" s="32">
        <v>1.0</v>
      </c>
      <c r="R1294" s="33"/>
      <c r="S1294" s="40"/>
      <c r="T1294" s="40"/>
      <c r="U1294" s="40"/>
      <c r="V1294" s="40"/>
      <c r="W1294" s="40"/>
      <c r="X1294" s="40"/>
      <c r="Y1294" s="45"/>
      <c r="Z1294" s="45"/>
      <c r="AA1294" s="45"/>
      <c r="AB1294" s="45"/>
      <c r="AC1294" s="45"/>
      <c r="AD1294" s="45"/>
      <c r="AE1294" s="45"/>
      <c r="AF1294" s="45"/>
      <c r="AG1294" s="45"/>
      <c r="AH1294" s="45"/>
      <c r="AI1294" s="45"/>
      <c r="AJ1294" s="45"/>
      <c r="AK1294" s="45"/>
      <c r="AL1294" s="45"/>
    </row>
    <row r="1295" ht="15.75" customHeight="1">
      <c r="A1295" s="27">
        <f t="shared" si="21"/>
        <v>174</v>
      </c>
      <c r="B1295" s="28" t="s">
        <v>31</v>
      </c>
      <c r="C1295" s="29" t="s">
        <v>4751</v>
      </c>
      <c r="D1295" s="30" t="s">
        <v>4752</v>
      </c>
      <c r="E1295" s="28" t="s">
        <v>31</v>
      </c>
      <c r="F1295" s="28" t="s">
        <v>29</v>
      </c>
      <c r="G1295" s="28" t="s">
        <v>30</v>
      </c>
      <c r="H1295" s="28"/>
      <c r="I1295" s="28" t="s">
        <v>30</v>
      </c>
      <c r="J1295" s="28">
        <v>268.0</v>
      </c>
      <c r="K1295" s="28"/>
      <c r="L1295" s="28" t="s">
        <v>4753</v>
      </c>
      <c r="M1295" s="28" t="s">
        <v>3426</v>
      </c>
      <c r="N1295" s="28">
        <v>1952.0</v>
      </c>
      <c r="O1295" s="60" t="s">
        <v>4010</v>
      </c>
      <c r="P1295" s="28">
        <v>1.0</v>
      </c>
      <c r="Q1295" s="94">
        <v>1.0</v>
      </c>
      <c r="R1295" s="33"/>
      <c r="S1295" s="40"/>
      <c r="T1295" s="40"/>
      <c r="U1295" s="40"/>
      <c r="V1295" s="40"/>
      <c r="W1295" s="40"/>
      <c r="X1295" s="40"/>
      <c r="Y1295" s="45"/>
      <c r="Z1295" s="45"/>
      <c r="AA1295" s="45"/>
      <c r="AB1295" s="45"/>
      <c r="AC1295" s="45"/>
      <c r="AD1295" s="45"/>
      <c r="AE1295" s="45"/>
      <c r="AF1295" s="45"/>
      <c r="AG1295" s="45"/>
      <c r="AH1295" s="45"/>
      <c r="AI1295" s="45"/>
      <c r="AJ1295" s="45"/>
      <c r="AK1295" s="45"/>
      <c r="AL1295" s="45"/>
    </row>
    <row r="1296" ht="15.75" customHeight="1">
      <c r="A1296" s="27">
        <f t="shared" si="21"/>
        <v>175</v>
      </c>
      <c r="B1296" s="28"/>
      <c r="C1296" s="29" t="s">
        <v>4754</v>
      </c>
      <c r="D1296" s="30" t="s">
        <v>4755</v>
      </c>
      <c r="E1296" s="28" t="s">
        <v>144</v>
      </c>
      <c r="F1296" s="28" t="s">
        <v>29</v>
      </c>
      <c r="G1296" s="28" t="s">
        <v>30</v>
      </c>
      <c r="H1296" s="28"/>
      <c r="I1296" s="28" t="s">
        <v>30</v>
      </c>
      <c r="J1296" s="28">
        <f>84</f>
        <v>84</v>
      </c>
      <c r="K1296" s="28"/>
      <c r="L1296" s="28" t="s">
        <v>4673</v>
      </c>
      <c r="M1296" s="28" t="s">
        <v>161</v>
      </c>
      <c r="N1296" s="28">
        <v>1987.0</v>
      </c>
      <c r="O1296" s="60" t="s">
        <v>4010</v>
      </c>
      <c r="P1296" s="28">
        <v>1.0</v>
      </c>
      <c r="Q1296" s="32">
        <v>1.0</v>
      </c>
      <c r="R1296" s="33"/>
      <c r="S1296" s="40"/>
      <c r="T1296" s="40"/>
      <c r="U1296" s="40"/>
      <c r="V1296" s="40"/>
      <c r="W1296" s="40"/>
      <c r="X1296" s="40"/>
      <c r="Y1296" s="45"/>
      <c r="Z1296" s="45"/>
      <c r="AA1296" s="45"/>
      <c r="AB1296" s="45"/>
      <c r="AC1296" s="45"/>
      <c r="AD1296" s="45"/>
      <c r="AE1296" s="45"/>
      <c r="AF1296" s="45"/>
      <c r="AG1296" s="45"/>
      <c r="AH1296" s="45"/>
      <c r="AI1296" s="45"/>
      <c r="AJ1296" s="45"/>
      <c r="AK1296" s="45"/>
      <c r="AL1296" s="45"/>
    </row>
    <row r="1297" ht="15.75" customHeight="1">
      <c r="A1297" s="27">
        <f t="shared" si="21"/>
        <v>176</v>
      </c>
      <c r="B1297" s="28" t="s">
        <v>4756</v>
      </c>
      <c r="C1297" s="29" t="s">
        <v>4754</v>
      </c>
      <c r="D1297" s="30" t="s">
        <v>4757</v>
      </c>
      <c r="E1297" s="28" t="s">
        <v>144</v>
      </c>
      <c r="F1297" s="28" t="s">
        <v>29</v>
      </c>
      <c r="G1297" s="28" t="s">
        <v>30</v>
      </c>
      <c r="H1297" s="28"/>
      <c r="I1297" s="28" t="s">
        <v>159</v>
      </c>
      <c r="J1297" s="28">
        <v>129.0</v>
      </c>
      <c r="K1297" s="28"/>
      <c r="L1297" s="28" t="s">
        <v>4758</v>
      </c>
      <c r="M1297" s="28" t="s">
        <v>161</v>
      </c>
      <c r="N1297" s="28">
        <v>1996.0</v>
      </c>
      <c r="O1297" s="60" t="s">
        <v>4010</v>
      </c>
      <c r="P1297" s="28">
        <v>1.0</v>
      </c>
      <c r="Q1297" s="94">
        <v>1.0</v>
      </c>
      <c r="R1297" s="33"/>
      <c r="S1297" s="40"/>
      <c r="T1297" s="40"/>
      <c r="U1297" s="40"/>
      <c r="V1297" s="40"/>
      <c r="W1297" s="40"/>
      <c r="X1297" s="40"/>
      <c r="Y1297" s="45"/>
      <c r="Z1297" s="45"/>
      <c r="AA1297" s="45"/>
      <c r="AB1297" s="45"/>
      <c r="AC1297" s="45"/>
      <c r="AD1297" s="45"/>
      <c r="AE1297" s="45"/>
      <c r="AF1297" s="45"/>
      <c r="AG1297" s="45"/>
      <c r="AH1297" s="45"/>
      <c r="AI1297" s="45"/>
      <c r="AJ1297" s="45"/>
      <c r="AK1297" s="45"/>
      <c r="AL1297" s="45"/>
    </row>
    <row r="1298" ht="15.75" customHeight="1">
      <c r="A1298" s="27">
        <f t="shared" si="21"/>
        <v>177</v>
      </c>
      <c r="B1298" s="28" t="s">
        <v>31</v>
      </c>
      <c r="C1298" s="43" t="s">
        <v>4759</v>
      </c>
      <c r="D1298" s="30" t="s">
        <v>4760</v>
      </c>
      <c r="E1298" s="28" t="s">
        <v>31</v>
      </c>
      <c r="F1298" s="28" t="s">
        <v>29</v>
      </c>
      <c r="G1298" s="28" t="s">
        <v>30</v>
      </c>
      <c r="H1298" s="28"/>
      <c r="I1298" s="28" t="s">
        <v>30</v>
      </c>
      <c r="J1298" s="28">
        <v>109.0</v>
      </c>
      <c r="K1298" s="28"/>
      <c r="L1298" s="28" t="s">
        <v>4761</v>
      </c>
      <c r="M1298" s="28" t="s">
        <v>4762</v>
      </c>
      <c r="N1298" s="28">
        <v>1999.0</v>
      </c>
      <c r="O1298" s="60" t="s">
        <v>4010</v>
      </c>
      <c r="P1298" s="28">
        <v>1.0</v>
      </c>
      <c r="Q1298" s="32">
        <v>1.0</v>
      </c>
      <c r="R1298" s="33"/>
      <c r="S1298" s="40"/>
      <c r="T1298" s="40"/>
      <c r="U1298" s="40"/>
      <c r="V1298" s="40"/>
      <c r="W1298" s="40"/>
      <c r="X1298" s="40"/>
      <c r="Y1298" s="3"/>
      <c r="Z1298" s="3"/>
      <c r="AA1298" s="3"/>
      <c r="AB1298" s="3"/>
      <c r="AC1298" s="3"/>
      <c r="AD1298" s="3"/>
      <c r="AE1298" s="3"/>
      <c r="AF1298" s="3"/>
      <c r="AG1298" s="3"/>
      <c r="AH1298" s="3"/>
      <c r="AI1298" s="3"/>
      <c r="AJ1298" s="3"/>
      <c r="AK1298" s="3"/>
      <c r="AL1298" s="3"/>
    </row>
    <row r="1299" ht="15.75" customHeight="1">
      <c r="A1299" s="27">
        <f t="shared" si="21"/>
        <v>178</v>
      </c>
      <c r="B1299" s="28" t="s">
        <v>4763</v>
      </c>
      <c r="C1299" s="29" t="s">
        <v>4764</v>
      </c>
      <c r="D1299" s="30" t="s">
        <v>4765</v>
      </c>
      <c r="E1299" s="28" t="s">
        <v>31</v>
      </c>
      <c r="F1299" s="28" t="s">
        <v>29</v>
      </c>
      <c r="G1299" s="28" t="s">
        <v>30</v>
      </c>
      <c r="H1299" s="28"/>
      <c r="I1299" s="28" t="s">
        <v>30</v>
      </c>
      <c r="J1299" s="28">
        <v>340.0</v>
      </c>
      <c r="K1299" s="28"/>
      <c r="L1299" s="28" t="s">
        <v>4766</v>
      </c>
      <c r="M1299" s="28" t="s">
        <v>4767</v>
      </c>
      <c r="N1299" s="28">
        <v>1998.0</v>
      </c>
      <c r="O1299" s="60" t="s">
        <v>4010</v>
      </c>
      <c r="P1299" s="28">
        <v>1.0</v>
      </c>
      <c r="Q1299" s="32">
        <v>1.0</v>
      </c>
      <c r="R1299" s="33"/>
      <c r="S1299" s="40"/>
      <c r="T1299" s="40"/>
      <c r="U1299" s="40"/>
      <c r="V1299" s="40"/>
      <c r="W1299" s="40"/>
      <c r="X1299" s="40"/>
      <c r="Y1299" s="45"/>
      <c r="Z1299" s="45"/>
      <c r="AA1299" s="45"/>
      <c r="AB1299" s="45"/>
      <c r="AC1299" s="45"/>
      <c r="AD1299" s="45"/>
      <c r="AE1299" s="45"/>
      <c r="AF1299" s="45"/>
      <c r="AG1299" s="45"/>
      <c r="AH1299" s="45"/>
      <c r="AI1299" s="45"/>
      <c r="AJ1299" s="45"/>
      <c r="AK1299" s="45"/>
      <c r="AL1299" s="45"/>
    </row>
    <row r="1300" ht="15.75" customHeight="1">
      <c r="A1300" s="27">
        <f t="shared" si="21"/>
        <v>179</v>
      </c>
      <c r="B1300" s="28" t="s">
        <v>4768</v>
      </c>
      <c r="C1300" s="29" t="s">
        <v>4769</v>
      </c>
      <c r="D1300" s="30" t="s">
        <v>4770</v>
      </c>
      <c r="E1300" s="28" t="s">
        <v>31</v>
      </c>
      <c r="F1300" s="28" t="s">
        <v>29</v>
      </c>
      <c r="G1300" s="28" t="s">
        <v>30</v>
      </c>
      <c r="H1300" s="28"/>
      <c r="I1300" s="28" t="s">
        <v>30</v>
      </c>
      <c r="J1300" s="28">
        <v>293.0</v>
      </c>
      <c r="K1300" s="28"/>
      <c r="L1300" s="28" t="s">
        <v>4766</v>
      </c>
      <c r="M1300" s="28" t="s">
        <v>4767</v>
      </c>
      <c r="N1300" s="28">
        <v>1998.0</v>
      </c>
      <c r="O1300" s="60" t="s">
        <v>4010</v>
      </c>
      <c r="P1300" s="28">
        <v>1.0</v>
      </c>
      <c r="Q1300" s="32">
        <v>1.0</v>
      </c>
      <c r="R1300" s="33"/>
      <c r="S1300" s="34"/>
      <c r="T1300" s="34"/>
      <c r="U1300" s="34"/>
      <c r="V1300" s="34"/>
      <c r="W1300" s="34"/>
      <c r="X1300" s="34"/>
      <c r="Y1300" s="45"/>
      <c r="Z1300" s="45"/>
      <c r="AA1300" s="45"/>
      <c r="AB1300" s="45"/>
      <c r="AC1300" s="45"/>
      <c r="AD1300" s="45"/>
      <c r="AE1300" s="45"/>
      <c r="AF1300" s="45"/>
      <c r="AG1300" s="45"/>
      <c r="AH1300" s="45"/>
      <c r="AI1300" s="45"/>
      <c r="AJ1300" s="45"/>
      <c r="AK1300" s="45"/>
      <c r="AL1300" s="45"/>
    </row>
    <row r="1301" ht="15.75" customHeight="1">
      <c r="A1301" s="27">
        <f t="shared" si="21"/>
        <v>180</v>
      </c>
      <c r="B1301" s="28" t="s">
        <v>31</v>
      </c>
      <c r="C1301" s="43" t="s">
        <v>4771</v>
      </c>
      <c r="D1301" s="30" t="s">
        <v>4772</v>
      </c>
      <c r="E1301" s="28" t="s">
        <v>31</v>
      </c>
      <c r="F1301" s="28" t="s">
        <v>29</v>
      </c>
      <c r="G1301" s="28" t="s">
        <v>30</v>
      </c>
      <c r="H1301" s="28"/>
      <c r="I1301" s="28" t="s">
        <v>30</v>
      </c>
      <c r="J1301" s="28">
        <v>339.0</v>
      </c>
      <c r="K1301" s="28"/>
      <c r="L1301" s="28" t="s">
        <v>4773</v>
      </c>
      <c r="M1301" s="28" t="s">
        <v>4767</v>
      </c>
      <c r="N1301" s="28">
        <v>1971.0</v>
      </c>
      <c r="O1301" s="60" t="s">
        <v>4010</v>
      </c>
      <c r="P1301" s="28">
        <v>1.0</v>
      </c>
      <c r="Q1301" s="32">
        <v>1.0</v>
      </c>
      <c r="R1301" s="33"/>
      <c r="S1301" s="40"/>
      <c r="T1301" s="40"/>
      <c r="U1301" s="40"/>
      <c r="V1301" s="40"/>
      <c r="W1301" s="40"/>
      <c r="X1301" s="40"/>
      <c r="Y1301" s="3"/>
      <c r="Z1301" s="3"/>
      <c r="AA1301" s="3"/>
      <c r="AB1301" s="3"/>
      <c r="AC1301" s="3"/>
      <c r="AD1301" s="3"/>
      <c r="AE1301" s="3"/>
      <c r="AF1301" s="3"/>
      <c r="AG1301" s="3"/>
      <c r="AH1301" s="3"/>
      <c r="AI1301" s="3"/>
      <c r="AJ1301" s="3"/>
      <c r="AK1301" s="3"/>
      <c r="AL1301" s="3"/>
    </row>
    <row r="1302" ht="15.75" customHeight="1">
      <c r="A1302" s="27">
        <f t="shared" si="21"/>
        <v>181</v>
      </c>
      <c r="B1302" s="28" t="s">
        <v>4774</v>
      </c>
      <c r="C1302" s="29" t="s">
        <v>4775</v>
      </c>
      <c r="D1302" s="30" t="s">
        <v>4776</v>
      </c>
      <c r="E1302" s="28" t="s">
        <v>302</v>
      </c>
      <c r="F1302" s="28" t="s">
        <v>29</v>
      </c>
      <c r="G1302" s="28" t="s">
        <v>37</v>
      </c>
      <c r="H1302" s="28"/>
      <c r="I1302" s="28" t="s">
        <v>38</v>
      </c>
      <c r="J1302" s="28">
        <v>157.0</v>
      </c>
      <c r="K1302" s="28"/>
      <c r="L1302" s="28" t="s">
        <v>4777</v>
      </c>
      <c r="M1302" s="28" t="s">
        <v>3670</v>
      </c>
      <c r="N1302" s="28">
        <v>2012.0</v>
      </c>
      <c r="O1302" s="28" t="s">
        <v>4010</v>
      </c>
      <c r="P1302" s="28">
        <v>1.0</v>
      </c>
      <c r="Q1302" s="32">
        <v>1.0</v>
      </c>
      <c r="R1302" s="33"/>
      <c r="S1302" s="40"/>
      <c r="T1302" s="40"/>
      <c r="U1302" s="40"/>
      <c r="V1302" s="40"/>
      <c r="W1302" s="40"/>
      <c r="X1302" s="40"/>
      <c r="Y1302" s="3"/>
      <c r="Z1302" s="3"/>
      <c r="AA1302" s="3"/>
      <c r="AB1302" s="3"/>
      <c r="AC1302" s="3"/>
      <c r="AD1302" s="3"/>
      <c r="AE1302" s="3"/>
      <c r="AF1302" s="3"/>
      <c r="AG1302" s="3"/>
      <c r="AH1302" s="3"/>
      <c r="AI1302" s="3"/>
      <c r="AJ1302" s="3"/>
      <c r="AK1302" s="3"/>
      <c r="AL1302" s="3"/>
    </row>
    <row r="1303" ht="15.75" customHeight="1">
      <c r="A1303" s="27">
        <f t="shared" si="21"/>
        <v>182</v>
      </c>
      <c r="B1303" s="28" t="s">
        <v>4778</v>
      </c>
      <c r="C1303" s="29" t="s">
        <v>4779</v>
      </c>
      <c r="D1303" s="30" t="s">
        <v>4780</v>
      </c>
      <c r="E1303" s="28" t="s">
        <v>4781</v>
      </c>
      <c r="F1303" s="28" t="s">
        <v>29</v>
      </c>
      <c r="G1303" s="28" t="s">
        <v>4782</v>
      </c>
      <c r="H1303" s="28"/>
      <c r="I1303" s="28" t="s">
        <v>38</v>
      </c>
      <c r="J1303" s="28">
        <v>834.0</v>
      </c>
      <c r="K1303" s="28"/>
      <c r="L1303" s="28" t="s">
        <v>4783</v>
      </c>
      <c r="M1303" s="28" t="s">
        <v>4784</v>
      </c>
      <c r="N1303" s="28">
        <v>2011.0</v>
      </c>
      <c r="O1303" s="28" t="s">
        <v>4010</v>
      </c>
      <c r="P1303" s="28">
        <v>1.0</v>
      </c>
      <c r="Q1303" s="32">
        <v>1.0</v>
      </c>
      <c r="R1303" s="33"/>
      <c r="S1303" s="40"/>
      <c r="T1303" s="40"/>
      <c r="U1303" s="40"/>
      <c r="V1303" s="40"/>
      <c r="W1303" s="40"/>
      <c r="X1303" s="40"/>
      <c r="Y1303" s="3"/>
      <c r="Z1303" s="3"/>
      <c r="AA1303" s="3"/>
      <c r="AB1303" s="3"/>
      <c r="AC1303" s="3"/>
      <c r="AD1303" s="3"/>
      <c r="AE1303" s="3"/>
      <c r="AF1303" s="3"/>
      <c r="AG1303" s="3"/>
      <c r="AH1303" s="3"/>
      <c r="AI1303" s="3"/>
      <c r="AJ1303" s="3"/>
      <c r="AK1303" s="3"/>
      <c r="AL1303" s="3"/>
    </row>
    <row r="1304" ht="15.75" customHeight="1">
      <c r="A1304" s="27">
        <f t="shared" si="21"/>
        <v>183</v>
      </c>
      <c r="B1304" s="28" t="s">
        <v>4785</v>
      </c>
      <c r="C1304" s="43" t="s">
        <v>4786</v>
      </c>
      <c r="D1304" s="30" t="s">
        <v>4787</v>
      </c>
      <c r="E1304" s="28" t="s">
        <v>31</v>
      </c>
      <c r="F1304" s="28" t="s">
        <v>29</v>
      </c>
      <c r="G1304" s="28" t="s">
        <v>30</v>
      </c>
      <c r="H1304" s="28"/>
      <c r="I1304" s="28" t="s">
        <v>30</v>
      </c>
      <c r="J1304" s="28">
        <v>182.0</v>
      </c>
      <c r="K1304" s="28"/>
      <c r="L1304" s="28" t="s">
        <v>4788</v>
      </c>
      <c r="M1304" s="28" t="s">
        <v>169</v>
      </c>
      <c r="N1304" s="28">
        <v>2002.0</v>
      </c>
      <c r="O1304" s="28" t="s">
        <v>4010</v>
      </c>
      <c r="P1304" s="28">
        <v>1.0</v>
      </c>
      <c r="Q1304" s="32">
        <v>1.0</v>
      </c>
      <c r="R1304" s="33"/>
      <c r="S1304" s="40"/>
      <c r="T1304" s="40"/>
      <c r="U1304" s="40"/>
      <c r="V1304" s="40"/>
      <c r="W1304" s="40"/>
      <c r="X1304" s="40"/>
      <c r="Y1304" s="45"/>
      <c r="Z1304" s="45"/>
      <c r="AA1304" s="45"/>
      <c r="AB1304" s="45"/>
      <c r="AC1304" s="45"/>
      <c r="AD1304" s="45"/>
      <c r="AE1304" s="45"/>
      <c r="AF1304" s="45"/>
      <c r="AG1304" s="45"/>
      <c r="AH1304" s="45"/>
      <c r="AI1304" s="45"/>
      <c r="AJ1304" s="45"/>
      <c r="AK1304" s="45"/>
      <c r="AL1304" s="45"/>
    </row>
    <row r="1305" ht="15.75" customHeight="1">
      <c r="A1305" s="27">
        <f t="shared" si="21"/>
        <v>184</v>
      </c>
      <c r="B1305" s="28" t="s">
        <v>31</v>
      </c>
      <c r="C1305" s="48" t="s">
        <v>4742</v>
      </c>
      <c r="D1305" s="30" t="s">
        <v>4789</v>
      </c>
      <c r="E1305" s="28" t="s">
        <v>28</v>
      </c>
      <c r="F1305" s="28" t="s">
        <v>29</v>
      </c>
      <c r="G1305" s="28" t="s">
        <v>38</v>
      </c>
      <c r="H1305" s="28"/>
      <c r="I1305" s="28" t="s">
        <v>38</v>
      </c>
      <c r="J1305" s="28">
        <v>259.0</v>
      </c>
      <c r="K1305" s="28"/>
      <c r="L1305" s="28" t="s">
        <v>4790</v>
      </c>
      <c r="M1305" s="60" t="s">
        <v>4791</v>
      </c>
      <c r="N1305" s="28">
        <v>1953.0</v>
      </c>
      <c r="O1305" s="28" t="s">
        <v>4010</v>
      </c>
      <c r="P1305" s="28">
        <v>1.0</v>
      </c>
      <c r="Q1305" s="32">
        <v>1.0</v>
      </c>
      <c r="R1305" s="33"/>
      <c r="S1305" s="40"/>
      <c r="T1305" s="40"/>
      <c r="U1305" s="40"/>
      <c r="V1305" s="40"/>
      <c r="W1305" s="40"/>
      <c r="X1305" s="40"/>
      <c r="Y1305" s="3"/>
      <c r="Z1305" s="3"/>
      <c r="AA1305" s="3"/>
      <c r="AB1305" s="3"/>
      <c r="AC1305" s="3"/>
      <c r="AD1305" s="3"/>
      <c r="AE1305" s="3"/>
      <c r="AF1305" s="3"/>
      <c r="AG1305" s="3"/>
      <c r="AH1305" s="3"/>
      <c r="AI1305" s="3"/>
      <c r="AJ1305" s="3"/>
      <c r="AK1305" s="3"/>
      <c r="AL1305" s="3"/>
    </row>
    <row r="1306" ht="15.75" customHeight="1">
      <c r="A1306" s="27">
        <f t="shared" si="21"/>
        <v>185</v>
      </c>
      <c r="B1306" s="28" t="s">
        <v>4792</v>
      </c>
      <c r="C1306" s="43" t="s">
        <v>4793</v>
      </c>
      <c r="D1306" s="30" t="s">
        <v>4794</v>
      </c>
      <c r="E1306" s="28" t="s">
        <v>144</v>
      </c>
      <c r="F1306" s="28" t="s">
        <v>29</v>
      </c>
      <c r="G1306" s="28" t="s">
        <v>131</v>
      </c>
      <c r="H1306" s="28"/>
      <c r="I1306" s="28" t="s">
        <v>131</v>
      </c>
      <c r="J1306" s="28">
        <f>171</f>
        <v>171</v>
      </c>
      <c r="K1306" s="28"/>
      <c r="L1306" s="28" t="s">
        <v>4795</v>
      </c>
      <c r="M1306" s="28" t="s">
        <v>4796</v>
      </c>
      <c r="N1306" s="28">
        <v>1985.0</v>
      </c>
      <c r="O1306" s="28" t="s">
        <v>4010</v>
      </c>
      <c r="P1306" s="28">
        <v>1.0</v>
      </c>
      <c r="Q1306" s="94">
        <v>1.0</v>
      </c>
      <c r="R1306" s="33"/>
      <c r="S1306" s="40"/>
      <c r="T1306" s="40"/>
      <c r="U1306" s="40"/>
      <c r="V1306" s="40"/>
      <c r="W1306" s="40"/>
      <c r="X1306" s="40"/>
      <c r="Y1306" s="45"/>
      <c r="Z1306" s="45"/>
      <c r="AA1306" s="45"/>
      <c r="AB1306" s="45"/>
      <c r="AC1306" s="45"/>
      <c r="AD1306" s="45"/>
      <c r="AE1306" s="45"/>
      <c r="AF1306" s="45"/>
      <c r="AG1306" s="45"/>
      <c r="AH1306" s="45"/>
      <c r="AI1306" s="45"/>
      <c r="AJ1306" s="45"/>
      <c r="AK1306" s="45"/>
      <c r="AL1306" s="45"/>
    </row>
    <row r="1307" ht="15.75" customHeight="1">
      <c r="A1307" s="27">
        <f t="shared" si="21"/>
        <v>186</v>
      </c>
      <c r="B1307" s="28" t="s">
        <v>31</v>
      </c>
      <c r="C1307" s="43" t="s">
        <v>4797</v>
      </c>
      <c r="D1307" s="30" t="s">
        <v>4798</v>
      </c>
      <c r="E1307" s="28"/>
      <c r="F1307" s="28" t="s">
        <v>29</v>
      </c>
      <c r="G1307" s="28" t="s">
        <v>30</v>
      </c>
      <c r="H1307" s="28"/>
      <c r="I1307" s="28" t="s">
        <v>30</v>
      </c>
      <c r="J1307" s="28">
        <v>11.0</v>
      </c>
      <c r="K1307" s="28"/>
      <c r="L1307" s="28" t="s">
        <v>3055</v>
      </c>
      <c r="M1307" s="28" t="s">
        <v>3056</v>
      </c>
      <c r="N1307" s="28" t="s">
        <v>31</v>
      </c>
      <c r="O1307" s="60" t="s">
        <v>4010</v>
      </c>
      <c r="P1307" s="31">
        <v>2.0</v>
      </c>
      <c r="Q1307" s="37">
        <v>2.0</v>
      </c>
      <c r="R1307" s="33"/>
      <c r="S1307" s="40"/>
      <c r="T1307" s="40"/>
      <c r="U1307" s="40"/>
      <c r="V1307" s="40"/>
      <c r="W1307" s="40"/>
      <c r="X1307" s="40"/>
      <c r="Y1307" s="45"/>
      <c r="Z1307" s="45"/>
      <c r="AA1307" s="45"/>
      <c r="AB1307" s="45"/>
      <c r="AC1307" s="45"/>
      <c r="AD1307" s="45"/>
      <c r="AE1307" s="45"/>
      <c r="AF1307" s="45"/>
      <c r="AG1307" s="45"/>
      <c r="AH1307" s="45"/>
      <c r="AI1307" s="45"/>
      <c r="AJ1307" s="45"/>
      <c r="AK1307" s="45"/>
      <c r="AL1307" s="45"/>
    </row>
    <row r="1308" ht="15.75" customHeight="1">
      <c r="A1308" s="27">
        <f t="shared" si="21"/>
        <v>187</v>
      </c>
      <c r="B1308" s="28" t="s">
        <v>4799</v>
      </c>
      <c r="C1308" s="43" t="s">
        <v>4800</v>
      </c>
      <c r="D1308" s="30" t="s">
        <v>4801</v>
      </c>
      <c r="E1308" s="28" t="s">
        <v>144</v>
      </c>
      <c r="F1308" s="28" t="s">
        <v>29</v>
      </c>
      <c r="G1308" s="28" t="s">
        <v>30</v>
      </c>
      <c r="H1308" s="28"/>
      <c r="I1308" s="28" t="s">
        <v>30</v>
      </c>
      <c r="J1308" s="28">
        <f>312+15</f>
        <v>327</v>
      </c>
      <c r="K1308" s="28"/>
      <c r="L1308" s="28" t="s">
        <v>4165</v>
      </c>
      <c r="M1308" s="28" t="s">
        <v>2405</v>
      </c>
      <c r="N1308" s="28">
        <v>2009.0</v>
      </c>
      <c r="O1308" s="60" t="s">
        <v>4010</v>
      </c>
      <c r="P1308" s="28">
        <v>1.0</v>
      </c>
      <c r="Q1308" s="37">
        <v>1.0</v>
      </c>
      <c r="R1308" s="33"/>
      <c r="S1308" s="40"/>
      <c r="T1308" s="40"/>
      <c r="U1308" s="40"/>
      <c r="V1308" s="40"/>
      <c r="W1308" s="40"/>
      <c r="X1308" s="40"/>
      <c r="Y1308" s="45"/>
      <c r="Z1308" s="45"/>
      <c r="AA1308" s="45"/>
      <c r="AB1308" s="45"/>
      <c r="AC1308" s="45"/>
      <c r="AD1308" s="45"/>
      <c r="AE1308" s="45"/>
      <c r="AF1308" s="45"/>
      <c r="AG1308" s="45"/>
      <c r="AH1308" s="45"/>
      <c r="AI1308" s="45"/>
      <c r="AJ1308" s="45"/>
      <c r="AK1308" s="45"/>
      <c r="AL1308" s="45"/>
    </row>
    <row r="1309" ht="15.75" customHeight="1">
      <c r="A1309" s="27">
        <f t="shared" si="21"/>
        <v>188</v>
      </c>
      <c r="B1309" s="28" t="s">
        <v>4802</v>
      </c>
      <c r="C1309" s="43" t="s">
        <v>4803</v>
      </c>
      <c r="D1309" s="30" t="s">
        <v>4804</v>
      </c>
      <c r="E1309" s="28" t="s">
        <v>144</v>
      </c>
      <c r="F1309" s="28" t="s">
        <v>29</v>
      </c>
      <c r="G1309" s="28" t="s">
        <v>30</v>
      </c>
      <c r="H1309" s="28"/>
      <c r="I1309" s="28" t="s">
        <v>30</v>
      </c>
      <c r="J1309" s="28">
        <v>339.0</v>
      </c>
      <c r="K1309" s="28"/>
      <c r="L1309" s="28" t="s">
        <v>4805</v>
      </c>
      <c r="M1309" s="28" t="s">
        <v>4806</v>
      </c>
      <c r="N1309" s="28">
        <v>2014.0</v>
      </c>
      <c r="O1309" s="60" t="s">
        <v>4010</v>
      </c>
      <c r="P1309" s="28">
        <v>1.0</v>
      </c>
      <c r="Q1309" s="32">
        <v>1.0</v>
      </c>
      <c r="R1309" s="33"/>
      <c r="S1309" s="40"/>
      <c r="T1309" s="40"/>
      <c r="U1309" s="40"/>
      <c r="V1309" s="40"/>
      <c r="W1309" s="40"/>
      <c r="X1309" s="40"/>
      <c r="Y1309" s="45"/>
      <c r="Z1309" s="45"/>
      <c r="AA1309" s="45"/>
      <c r="AB1309" s="45"/>
      <c r="AC1309" s="45"/>
      <c r="AD1309" s="45"/>
      <c r="AE1309" s="45"/>
      <c r="AF1309" s="45"/>
      <c r="AG1309" s="45"/>
      <c r="AH1309" s="45"/>
      <c r="AI1309" s="45"/>
      <c r="AJ1309" s="45"/>
      <c r="AK1309" s="45"/>
      <c r="AL1309" s="45"/>
    </row>
    <row r="1310" ht="15.75" customHeight="1">
      <c r="A1310" s="27">
        <f t="shared" si="21"/>
        <v>189</v>
      </c>
      <c r="B1310" s="28" t="s">
        <v>4807</v>
      </c>
      <c r="C1310" s="29" t="s">
        <v>4808</v>
      </c>
      <c r="D1310" s="30" t="s">
        <v>4809</v>
      </c>
      <c r="E1310" s="28" t="s">
        <v>144</v>
      </c>
      <c r="F1310" s="28" t="s">
        <v>29</v>
      </c>
      <c r="G1310" s="28" t="s">
        <v>30</v>
      </c>
      <c r="H1310" s="28"/>
      <c r="I1310" s="28" t="s">
        <v>30</v>
      </c>
      <c r="J1310" s="28">
        <f>542+12</f>
        <v>554</v>
      </c>
      <c r="K1310" s="28"/>
      <c r="L1310" s="28" t="s">
        <v>4810</v>
      </c>
      <c r="M1310" s="28" t="s">
        <v>169</v>
      </c>
      <c r="N1310" s="28">
        <v>2013.0</v>
      </c>
      <c r="O1310" s="60" t="s">
        <v>4010</v>
      </c>
      <c r="P1310" s="28">
        <v>1.0</v>
      </c>
      <c r="Q1310" s="32">
        <v>1.0</v>
      </c>
      <c r="R1310" s="33"/>
      <c r="S1310" s="40"/>
      <c r="T1310" s="40"/>
      <c r="U1310" s="40"/>
      <c r="V1310" s="40"/>
      <c r="W1310" s="40"/>
      <c r="X1310" s="40"/>
      <c r="Y1310" s="45"/>
      <c r="Z1310" s="45"/>
      <c r="AA1310" s="45"/>
      <c r="AB1310" s="45"/>
      <c r="AC1310" s="45"/>
      <c r="AD1310" s="45"/>
      <c r="AE1310" s="45"/>
      <c r="AF1310" s="45"/>
      <c r="AG1310" s="45"/>
      <c r="AH1310" s="45"/>
      <c r="AI1310" s="45"/>
      <c r="AJ1310" s="45"/>
      <c r="AK1310" s="45"/>
      <c r="AL1310" s="45"/>
    </row>
    <row r="1311" ht="15.75" customHeight="1">
      <c r="A1311" s="27">
        <f t="shared" si="21"/>
        <v>190</v>
      </c>
      <c r="B1311" s="108" t="s">
        <v>4811</v>
      </c>
      <c r="C1311" s="109" t="s">
        <v>4812</v>
      </c>
      <c r="D1311" s="169" t="s">
        <v>4813</v>
      </c>
      <c r="E1311" s="111" t="s">
        <v>144</v>
      </c>
      <c r="F1311" s="111" t="s">
        <v>29</v>
      </c>
      <c r="G1311" s="111" t="s">
        <v>30</v>
      </c>
      <c r="H1311" s="111"/>
      <c r="I1311" s="111" t="s">
        <v>30</v>
      </c>
      <c r="J1311" s="111">
        <f>182</f>
        <v>182</v>
      </c>
      <c r="K1311" s="111"/>
      <c r="L1311" s="112" t="s">
        <v>4814</v>
      </c>
      <c r="M1311" s="111" t="s">
        <v>4815</v>
      </c>
      <c r="N1311" s="111">
        <v>2011.0</v>
      </c>
      <c r="O1311" s="60" t="s">
        <v>4010</v>
      </c>
      <c r="P1311" s="111">
        <v>1.0</v>
      </c>
      <c r="Q1311" s="32">
        <v>1.0</v>
      </c>
      <c r="R1311" s="33"/>
      <c r="S1311" s="38"/>
      <c r="T1311" s="38"/>
      <c r="U1311" s="38"/>
      <c r="V1311" s="38"/>
      <c r="W1311" s="38"/>
      <c r="X1311" s="38"/>
      <c r="Y1311" s="45"/>
      <c r="Z1311" s="45"/>
      <c r="AA1311" s="45"/>
      <c r="AB1311" s="45"/>
      <c r="AC1311" s="45"/>
      <c r="AD1311" s="45"/>
      <c r="AE1311" s="45"/>
      <c r="AF1311" s="45"/>
      <c r="AG1311" s="45"/>
      <c r="AH1311" s="45"/>
      <c r="AI1311" s="45"/>
      <c r="AJ1311" s="45"/>
      <c r="AK1311" s="45"/>
      <c r="AL1311" s="45"/>
    </row>
    <row r="1312" ht="15.75" customHeight="1">
      <c r="A1312" s="27">
        <f t="shared" si="21"/>
        <v>191</v>
      </c>
      <c r="B1312" s="28" t="s">
        <v>4816</v>
      </c>
      <c r="C1312" s="29" t="s">
        <v>4817</v>
      </c>
      <c r="D1312" s="30" t="s">
        <v>4818</v>
      </c>
      <c r="E1312" s="28" t="s">
        <v>31</v>
      </c>
      <c r="F1312" s="28"/>
      <c r="G1312" s="28" t="s">
        <v>30</v>
      </c>
      <c r="H1312" s="28"/>
      <c r="I1312" s="28" t="s">
        <v>30</v>
      </c>
      <c r="J1312" s="28">
        <v>381.0</v>
      </c>
      <c r="K1312" s="28"/>
      <c r="L1312" s="28" t="s">
        <v>4819</v>
      </c>
      <c r="M1312" s="28" t="s">
        <v>1271</v>
      </c>
      <c r="N1312" s="28">
        <v>2003.0</v>
      </c>
      <c r="O1312" s="60" t="s">
        <v>4010</v>
      </c>
      <c r="P1312" s="28">
        <v>1.0</v>
      </c>
      <c r="Q1312" s="94">
        <v>1.0</v>
      </c>
      <c r="R1312" s="33"/>
      <c r="S1312" s="40"/>
      <c r="T1312" s="40"/>
      <c r="U1312" s="40"/>
      <c r="V1312" s="40"/>
      <c r="W1312" s="40"/>
      <c r="X1312" s="40"/>
      <c r="Y1312" s="45"/>
      <c r="Z1312" s="45"/>
      <c r="AA1312" s="45"/>
      <c r="AB1312" s="45"/>
      <c r="AC1312" s="45"/>
      <c r="AD1312" s="45"/>
      <c r="AE1312" s="45"/>
      <c r="AF1312" s="45"/>
      <c r="AG1312" s="45"/>
      <c r="AH1312" s="45"/>
      <c r="AI1312" s="45"/>
      <c r="AJ1312" s="45"/>
      <c r="AK1312" s="45"/>
      <c r="AL1312" s="45"/>
    </row>
    <row r="1313" ht="15.75" customHeight="1">
      <c r="A1313" s="27">
        <f t="shared" si="21"/>
        <v>192</v>
      </c>
      <c r="B1313" s="121" t="s">
        <v>4820</v>
      </c>
      <c r="C1313" s="121" t="s">
        <v>4821</v>
      </c>
      <c r="D1313" s="119" t="s">
        <v>4822</v>
      </c>
      <c r="E1313" s="121" t="s">
        <v>144</v>
      </c>
      <c r="F1313" s="121" t="s">
        <v>4823</v>
      </c>
      <c r="G1313" s="121" t="s">
        <v>4824</v>
      </c>
      <c r="H1313" s="83"/>
      <c r="I1313" s="121" t="s">
        <v>38</v>
      </c>
      <c r="J1313" s="121">
        <v>270.0</v>
      </c>
      <c r="K1313" s="83"/>
      <c r="L1313" s="121" t="s">
        <v>4825</v>
      </c>
      <c r="M1313" s="121" t="s">
        <v>4826</v>
      </c>
      <c r="N1313" s="121">
        <v>2005.0</v>
      </c>
      <c r="O1313" s="60" t="s">
        <v>4010</v>
      </c>
      <c r="P1313" s="121">
        <v>1.0</v>
      </c>
      <c r="Q1313" s="121">
        <v>1.0</v>
      </c>
      <c r="R1313" s="84"/>
      <c r="S1313" s="40"/>
      <c r="T1313" s="40"/>
      <c r="U1313" s="40"/>
      <c r="V1313" s="40"/>
      <c r="W1313" s="40"/>
      <c r="X1313" s="40"/>
      <c r="Y1313" s="45"/>
      <c r="Z1313" s="45"/>
      <c r="AA1313" s="45"/>
      <c r="AB1313" s="45"/>
      <c r="AC1313" s="45"/>
      <c r="AD1313" s="45"/>
      <c r="AE1313" s="45"/>
      <c r="AF1313" s="45"/>
      <c r="AG1313" s="45"/>
      <c r="AH1313" s="45"/>
      <c r="AI1313" s="45"/>
      <c r="AJ1313" s="45"/>
      <c r="AK1313" s="45"/>
      <c r="AL1313" s="45"/>
    </row>
    <row r="1314" ht="15.75" customHeight="1">
      <c r="A1314" s="27">
        <f t="shared" si="21"/>
        <v>193</v>
      </c>
      <c r="B1314" s="28" t="s">
        <v>4827</v>
      </c>
      <c r="C1314" s="43" t="s">
        <v>4828</v>
      </c>
      <c r="D1314" s="30" t="s">
        <v>4829</v>
      </c>
      <c r="E1314" s="28" t="s">
        <v>302</v>
      </c>
      <c r="F1314" s="28" t="s">
        <v>29</v>
      </c>
      <c r="G1314" s="28" t="s">
        <v>30</v>
      </c>
      <c r="H1314" s="28"/>
      <c r="I1314" s="28" t="s">
        <v>30</v>
      </c>
      <c r="J1314" s="28">
        <v>216.0</v>
      </c>
      <c r="K1314" s="28"/>
      <c r="L1314" s="28" t="s">
        <v>4830</v>
      </c>
      <c r="M1314" s="28" t="s">
        <v>4831</v>
      </c>
      <c r="N1314" s="28">
        <v>2015.0</v>
      </c>
      <c r="O1314" s="60" t="s">
        <v>4010</v>
      </c>
      <c r="P1314" s="28">
        <v>1.0</v>
      </c>
      <c r="Q1314" s="32">
        <v>1.0</v>
      </c>
      <c r="R1314" s="33"/>
      <c r="S1314" s="40"/>
      <c r="T1314" s="40"/>
      <c r="U1314" s="40"/>
      <c r="V1314" s="40"/>
      <c r="W1314" s="40"/>
      <c r="X1314" s="40"/>
      <c r="Y1314" s="45"/>
      <c r="Z1314" s="45"/>
      <c r="AA1314" s="45"/>
      <c r="AB1314" s="45"/>
      <c r="AC1314" s="45"/>
      <c r="AD1314" s="45"/>
      <c r="AE1314" s="45"/>
      <c r="AF1314" s="45"/>
      <c r="AG1314" s="45"/>
      <c r="AH1314" s="45"/>
      <c r="AI1314" s="45"/>
      <c r="AJ1314" s="45"/>
      <c r="AK1314" s="45"/>
      <c r="AL1314" s="45"/>
    </row>
    <row r="1315" ht="15.75" customHeight="1">
      <c r="A1315" s="27">
        <f t="shared" si="21"/>
        <v>194</v>
      </c>
      <c r="B1315" s="28" t="s">
        <v>4832</v>
      </c>
      <c r="C1315" s="29" t="s">
        <v>4833</v>
      </c>
      <c r="D1315" s="30" t="s">
        <v>4834</v>
      </c>
      <c r="E1315" s="28" t="s">
        <v>31</v>
      </c>
      <c r="F1315" s="28" t="s">
        <v>29</v>
      </c>
      <c r="G1315" s="28" t="s">
        <v>37</v>
      </c>
      <c r="H1315" s="28"/>
      <c r="I1315" s="28" t="s">
        <v>38</v>
      </c>
      <c r="J1315" s="28">
        <v>246.0</v>
      </c>
      <c r="K1315" s="28"/>
      <c r="L1315" s="28" t="s">
        <v>4835</v>
      </c>
      <c r="M1315" s="28" t="s">
        <v>4836</v>
      </c>
      <c r="N1315" s="28">
        <v>1993.0</v>
      </c>
      <c r="O1315" s="60" t="s">
        <v>4010</v>
      </c>
      <c r="P1315" s="28">
        <v>1.0</v>
      </c>
      <c r="Q1315" s="94">
        <v>1.0</v>
      </c>
      <c r="R1315" s="33"/>
      <c r="S1315" s="40"/>
      <c r="T1315" s="40"/>
      <c r="U1315" s="40"/>
      <c r="V1315" s="40"/>
      <c r="W1315" s="40"/>
      <c r="X1315" s="40"/>
      <c r="Y1315" s="45"/>
      <c r="Z1315" s="45"/>
      <c r="AA1315" s="45"/>
      <c r="AB1315" s="45"/>
      <c r="AC1315" s="45"/>
      <c r="AD1315" s="45"/>
      <c r="AE1315" s="45"/>
      <c r="AF1315" s="45"/>
      <c r="AG1315" s="45"/>
      <c r="AH1315" s="45"/>
      <c r="AI1315" s="45"/>
      <c r="AJ1315" s="45"/>
      <c r="AK1315" s="45"/>
      <c r="AL1315" s="45"/>
    </row>
    <row r="1316" ht="15.75" customHeight="1">
      <c r="A1316" s="27">
        <f t="shared" si="21"/>
        <v>195</v>
      </c>
      <c r="B1316" s="28" t="s">
        <v>4837</v>
      </c>
      <c r="C1316" s="102" t="s">
        <v>4838</v>
      </c>
      <c r="D1316" s="30" t="s">
        <v>4839</v>
      </c>
      <c r="E1316" s="28" t="s">
        <v>2863</v>
      </c>
      <c r="F1316" s="28" t="s">
        <v>29</v>
      </c>
      <c r="G1316" s="28" t="s">
        <v>30</v>
      </c>
      <c r="H1316" s="28"/>
      <c r="I1316" s="28" t="s">
        <v>30</v>
      </c>
      <c r="J1316" s="28">
        <v>200.0</v>
      </c>
      <c r="K1316" s="28"/>
      <c r="L1316" s="28" t="s">
        <v>4840</v>
      </c>
      <c r="M1316" s="28" t="s">
        <v>913</v>
      </c>
      <c r="N1316" s="28">
        <v>2007.0</v>
      </c>
      <c r="O1316" s="60" t="s">
        <v>4010</v>
      </c>
      <c r="P1316" s="28">
        <v>1.0</v>
      </c>
      <c r="Q1316" s="94">
        <v>1.0</v>
      </c>
      <c r="R1316" s="33"/>
      <c r="S1316" s="40"/>
      <c r="T1316" s="40"/>
      <c r="U1316" s="40"/>
      <c r="V1316" s="40"/>
      <c r="W1316" s="40"/>
      <c r="X1316" s="40"/>
      <c r="Y1316" s="45"/>
      <c r="Z1316" s="45"/>
      <c r="AA1316" s="45"/>
      <c r="AB1316" s="45"/>
      <c r="AC1316" s="45"/>
      <c r="AD1316" s="45"/>
      <c r="AE1316" s="45"/>
      <c r="AF1316" s="45"/>
      <c r="AG1316" s="45"/>
      <c r="AH1316" s="45"/>
      <c r="AI1316" s="45"/>
      <c r="AJ1316" s="45"/>
      <c r="AK1316" s="45"/>
      <c r="AL1316" s="45"/>
    </row>
    <row r="1317" ht="15.75" customHeight="1">
      <c r="A1317" s="27">
        <f t="shared" si="21"/>
        <v>196</v>
      </c>
      <c r="B1317" s="28" t="s">
        <v>4841</v>
      </c>
      <c r="C1317" s="102" t="s">
        <v>4842</v>
      </c>
      <c r="D1317" s="30" t="s">
        <v>4843</v>
      </c>
      <c r="E1317" s="28"/>
      <c r="F1317" s="28" t="s">
        <v>29</v>
      </c>
      <c r="G1317" s="28" t="s">
        <v>37</v>
      </c>
      <c r="H1317" s="28"/>
      <c r="I1317" s="28" t="s">
        <v>38</v>
      </c>
      <c r="J1317" s="28">
        <v>184.0</v>
      </c>
      <c r="K1317" s="28"/>
      <c r="L1317" s="28" t="s">
        <v>4844</v>
      </c>
      <c r="M1317" s="28" t="s">
        <v>4845</v>
      </c>
      <c r="N1317" s="28">
        <v>1982.0</v>
      </c>
      <c r="O1317" s="60" t="s">
        <v>4010</v>
      </c>
      <c r="P1317" s="28">
        <v>1.0</v>
      </c>
      <c r="Q1317" s="32">
        <v>1.0</v>
      </c>
      <c r="R1317" s="33"/>
      <c r="S1317" s="40"/>
      <c r="T1317" s="40"/>
      <c r="U1317" s="40"/>
      <c r="V1317" s="40"/>
      <c r="W1317" s="40"/>
      <c r="X1317" s="40"/>
      <c r="Y1317" s="3"/>
      <c r="Z1317" s="3"/>
      <c r="AA1317" s="3"/>
      <c r="AB1317" s="3"/>
      <c r="AC1317" s="3"/>
      <c r="AD1317" s="3"/>
      <c r="AE1317" s="3"/>
      <c r="AF1317" s="3"/>
      <c r="AG1317" s="3"/>
      <c r="AH1317" s="3"/>
      <c r="AI1317" s="3"/>
      <c r="AJ1317" s="3"/>
      <c r="AK1317" s="3"/>
      <c r="AL1317" s="3"/>
    </row>
    <row r="1318" ht="15.75" customHeight="1">
      <c r="A1318" s="27">
        <f t="shared" si="21"/>
        <v>197</v>
      </c>
      <c r="B1318" s="28" t="s">
        <v>4846</v>
      </c>
      <c r="C1318" s="43" t="s">
        <v>4847</v>
      </c>
      <c r="D1318" s="30" t="s">
        <v>4848</v>
      </c>
      <c r="E1318" s="28" t="s">
        <v>31</v>
      </c>
      <c r="F1318" s="28" t="s">
        <v>29</v>
      </c>
      <c r="G1318" s="28" t="s">
        <v>98</v>
      </c>
      <c r="H1318" s="28"/>
      <c r="I1318" s="28" t="s">
        <v>98</v>
      </c>
      <c r="J1318" s="28">
        <v>312.0</v>
      </c>
      <c r="K1318" s="28"/>
      <c r="L1318" s="28" t="s">
        <v>4253</v>
      </c>
      <c r="M1318" s="28" t="s">
        <v>4849</v>
      </c>
      <c r="N1318" s="28">
        <v>2007.0</v>
      </c>
      <c r="O1318" s="28" t="s">
        <v>4010</v>
      </c>
      <c r="P1318" s="28">
        <v>1.0</v>
      </c>
      <c r="Q1318" s="94">
        <v>1.0</v>
      </c>
      <c r="R1318" s="33"/>
      <c r="S1318" s="40"/>
      <c r="T1318" s="40"/>
      <c r="U1318" s="40"/>
      <c r="V1318" s="40"/>
      <c r="W1318" s="40"/>
      <c r="X1318" s="40"/>
      <c r="Y1318" s="3"/>
      <c r="Z1318" s="3"/>
      <c r="AA1318" s="3"/>
      <c r="AB1318" s="3"/>
      <c r="AC1318" s="3"/>
      <c r="AD1318" s="3"/>
      <c r="AE1318" s="3"/>
      <c r="AF1318" s="3"/>
      <c r="AG1318" s="3"/>
      <c r="AH1318" s="3"/>
      <c r="AI1318" s="3"/>
      <c r="AJ1318" s="3"/>
      <c r="AK1318" s="3"/>
      <c r="AL1318" s="3"/>
    </row>
    <row r="1319" ht="15.75" customHeight="1">
      <c r="A1319" s="27">
        <f t="shared" si="21"/>
        <v>198</v>
      </c>
      <c r="B1319" s="28" t="s">
        <v>4850</v>
      </c>
      <c r="C1319" s="102" t="s">
        <v>4851</v>
      </c>
      <c r="D1319" s="120" t="s">
        <v>4852</v>
      </c>
      <c r="E1319" s="28" t="s">
        <v>2863</v>
      </c>
      <c r="F1319" s="28" t="s">
        <v>29</v>
      </c>
      <c r="G1319" s="28" t="s">
        <v>37</v>
      </c>
      <c r="H1319" s="28"/>
      <c r="I1319" s="28" t="s">
        <v>38</v>
      </c>
      <c r="J1319" s="28">
        <v>482.0</v>
      </c>
      <c r="K1319" s="28"/>
      <c r="L1319" s="28" t="s">
        <v>235</v>
      </c>
      <c r="M1319" s="28" t="s">
        <v>1176</v>
      </c>
      <c r="N1319" s="28">
        <v>2006.0</v>
      </c>
      <c r="O1319" s="28" t="s">
        <v>4010</v>
      </c>
      <c r="P1319" s="28">
        <v>1.0</v>
      </c>
      <c r="Q1319" s="32">
        <v>1.0</v>
      </c>
      <c r="R1319" s="33"/>
      <c r="S1319" s="40"/>
      <c r="T1319" s="40"/>
      <c r="U1319" s="40"/>
      <c r="V1319" s="40"/>
      <c r="W1319" s="40"/>
      <c r="X1319" s="40"/>
      <c r="Y1319" s="3"/>
      <c r="Z1319" s="3"/>
      <c r="AA1319" s="3"/>
      <c r="AB1319" s="3"/>
      <c r="AC1319" s="3"/>
      <c r="AD1319" s="3"/>
      <c r="AE1319" s="3"/>
      <c r="AF1319" s="3"/>
      <c r="AG1319" s="3"/>
      <c r="AH1319" s="3"/>
      <c r="AI1319" s="3"/>
      <c r="AJ1319" s="3"/>
      <c r="AK1319" s="3"/>
      <c r="AL1319" s="3"/>
    </row>
    <row r="1320" ht="15.75" customHeight="1">
      <c r="A1320" s="27">
        <f t="shared" si="21"/>
        <v>199</v>
      </c>
      <c r="B1320" s="28" t="s">
        <v>4853</v>
      </c>
      <c r="C1320" s="43" t="s">
        <v>4854</v>
      </c>
      <c r="D1320" s="30" t="s">
        <v>4855</v>
      </c>
      <c r="E1320" s="28" t="s">
        <v>144</v>
      </c>
      <c r="F1320" s="28" t="s">
        <v>29</v>
      </c>
      <c r="G1320" s="28" t="s">
        <v>30</v>
      </c>
      <c r="H1320" s="28"/>
      <c r="I1320" s="28" t="s">
        <v>30</v>
      </c>
      <c r="J1320" s="28">
        <f>148+8</f>
        <v>156</v>
      </c>
      <c r="K1320" s="28"/>
      <c r="L1320" s="28" t="s">
        <v>4856</v>
      </c>
      <c r="M1320" s="28" t="s">
        <v>4397</v>
      </c>
      <c r="N1320" s="28">
        <v>2006.0</v>
      </c>
      <c r="O1320" s="28" t="s">
        <v>4010</v>
      </c>
      <c r="P1320" s="28">
        <v>5.0</v>
      </c>
      <c r="Q1320" s="94">
        <v>4.0</v>
      </c>
      <c r="R1320" s="33"/>
      <c r="S1320" s="40"/>
      <c r="T1320" s="40"/>
      <c r="U1320" s="40"/>
      <c r="V1320" s="40"/>
      <c r="W1320" s="40"/>
      <c r="X1320" s="40"/>
      <c r="Y1320" s="45"/>
      <c r="Z1320" s="45"/>
      <c r="AA1320" s="45"/>
      <c r="AB1320" s="45"/>
      <c r="AC1320" s="45"/>
      <c r="AD1320" s="45"/>
      <c r="AE1320" s="45"/>
      <c r="AF1320" s="45"/>
      <c r="AG1320" s="45"/>
      <c r="AH1320" s="45"/>
      <c r="AI1320" s="45"/>
      <c r="AJ1320" s="45"/>
      <c r="AK1320" s="45"/>
      <c r="AL1320" s="45"/>
    </row>
    <row r="1321" ht="15.75" customHeight="1">
      <c r="A1321" s="27">
        <f t="shared" si="21"/>
        <v>200</v>
      </c>
      <c r="B1321" s="28"/>
      <c r="C1321" s="29" t="s">
        <v>4857</v>
      </c>
      <c r="D1321" s="30" t="s">
        <v>4858</v>
      </c>
      <c r="E1321" s="28" t="s">
        <v>144</v>
      </c>
      <c r="F1321" s="28" t="s">
        <v>29</v>
      </c>
      <c r="G1321" s="28" t="s">
        <v>30</v>
      </c>
      <c r="H1321" s="28"/>
      <c r="I1321" s="28" t="s">
        <v>30</v>
      </c>
      <c r="J1321" s="28">
        <f>32</f>
        <v>32</v>
      </c>
      <c r="K1321" s="28"/>
      <c r="L1321" s="28" t="s">
        <v>4859</v>
      </c>
      <c r="M1321" s="28" t="s">
        <v>4860</v>
      </c>
      <c r="N1321" s="28">
        <v>1982.0</v>
      </c>
      <c r="O1321" s="28" t="s">
        <v>4010</v>
      </c>
      <c r="P1321" s="28">
        <v>1.0</v>
      </c>
      <c r="Q1321" s="32">
        <v>1.0</v>
      </c>
      <c r="R1321" s="33"/>
      <c r="S1321" s="40"/>
      <c r="T1321" s="40"/>
      <c r="U1321" s="40"/>
      <c r="V1321" s="40"/>
      <c r="W1321" s="40"/>
      <c r="X1321" s="40"/>
      <c r="Y1321" s="45"/>
      <c r="Z1321" s="45"/>
      <c r="AA1321" s="45"/>
      <c r="AB1321" s="45"/>
      <c r="AC1321" s="45"/>
      <c r="AD1321" s="45"/>
      <c r="AE1321" s="45"/>
      <c r="AF1321" s="45"/>
      <c r="AG1321" s="45"/>
      <c r="AH1321" s="45"/>
      <c r="AI1321" s="45"/>
      <c r="AJ1321" s="45"/>
      <c r="AK1321" s="45"/>
      <c r="AL1321" s="45"/>
    </row>
    <row r="1322" ht="15.75" customHeight="1">
      <c r="A1322" s="27">
        <f t="shared" si="21"/>
        <v>201</v>
      </c>
      <c r="B1322" s="28" t="s">
        <v>4861</v>
      </c>
      <c r="C1322" s="43" t="s">
        <v>4862</v>
      </c>
      <c r="D1322" s="30" t="s">
        <v>4863</v>
      </c>
      <c r="E1322" s="28"/>
      <c r="F1322" s="28" t="s">
        <v>29</v>
      </c>
      <c r="G1322" s="28" t="s">
        <v>30</v>
      </c>
      <c r="H1322" s="28"/>
      <c r="I1322" s="28" t="s">
        <v>30</v>
      </c>
      <c r="J1322" s="28">
        <v>103.0</v>
      </c>
      <c r="K1322" s="28"/>
      <c r="L1322" s="28" t="s">
        <v>4864</v>
      </c>
      <c r="M1322" s="28" t="s">
        <v>913</v>
      </c>
      <c r="N1322" s="28">
        <v>1990.0</v>
      </c>
      <c r="O1322" s="62">
        <v>12.0</v>
      </c>
      <c r="P1322" s="28">
        <v>3.0</v>
      </c>
      <c r="Q1322" s="32">
        <v>3.0</v>
      </c>
      <c r="R1322" s="33"/>
      <c r="S1322" s="40"/>
      <c r="T1322" s="40"/>
      <c r="U1322" s="40"/>
      <c r="V1322" s="40"/>
      <c r="W1322" s="40"/>
      <c r="X1322" s="40"/>
      <c r="Y1322" s="3"/>
      <c r="Z1322" s="3"/>
      <c r="AA1322" s="3"/>
      <c r="AB1322" s="3"/>
      <c r="AC1322" s="3"/>
      <c r="AD1322" s="3"/>
      <c r="AE1322" s="3"/>
      <c r="AF1322" s="3"/>
      <c r="AG1322" s="3"/>
      <c r="AH1322" s="3"/>
      <c r="AI1322" s="3"/>
      <c r="AJ1322" s="3"/>
      <c r="AK1322" s="3"/>
      <c r="AL1322" s="3"/>
    </row>
    <row r="1323" ht="15.75" customHeight="1">
      <c r="A1323" s="27">
        <f t="shared" si="21"/>
        <v>202</v>
      </c>
      <c r="B1323" s="28" t="s">
        <v>4865</v>
      </c>
      <c r="C1323" s="43" t="s">
        <v>4866</v>
      </c>
      <c r="D1323" s="30" t="s">
        <v>4867</v>
      </c>
      <c r="E1323" s="28" t="s">
        <v>31</v>
      </c>
      <c r="F1323" s="28" t="s">
        <v>29</v>
      </c>
      <c r="G1323" s="28" t="s">
        <v>30</v>
      </c>
      <c r="H1323" s="28"/>
      <c r="I1323" s="28" t="s">
        <v>30</v>
      </c>
      <c r="J1323" s="28">
        <v>333.0</v>
      </c>
      <c r="K1323" s="28"/>
      <c r="L1323" s="28" t="s">
        <v>4868</v>
      </c>
      <c r="M1323" s="28" t="s">
        <v>3010</v>
      </c>
      <c r="N1323" s="28">
        <v>2006.0</v>
      </c>
      <c r="O1323" s="60" t="s">
        <v>4010</v>
      </c>
      <c r="P1323" s="28">
        <v>1.0</v>
      </c>
      <c r="Q1323" s="32">
        <v>1.0</v>
      </c>
      <c r="R1323" s="33"/>
      <c r="S1323" s="40"/>
      <c r="T1323" s="40"/>
      <c r="U1323" s="40"/>
      <c r="V1323" s="40"/>
      <c r="W1323" s="40"/>
      <c r="X1323" s="40"/>
      <c r="Y1323" s="45"/>
      <c r="Z1323" s="45"/>
      <c r="AA1323" s="45"/>
      <c r="AB1323" s="45"/>
      <c r="AC1323" s="45"/>
      <c r="AD1323" s="45"/>
      <c r="AE1323" s="45"/>
      <c r="AF1323" s="45"/>
      <c r="AG1323" s="45"/>
      <c r="AH1323" s="45"/>
      <c r="AI1323" s="45"/>
      <c r="AJ1323" s="45"/>
      <c r="AK1323" s="45"/>
      <c r="AL1323" s="45"/>
    </row>
    <row r="1324" ht="15.75" customHeight="1">
      <c r="A1324" s="27">
        <f t="shared" si="21"/>
        <v>203</v>
      </c>
      <c r="B1324" s="28" t="s">
        <v>4869</v>
      </c>
      <c r="C1324" s="102" t="s">
        <v>4870</v>
      </c>
      <c r="D1324" s="30" t="s">
        <v>4871</v>
      </c>
      <c r="E1324" s="28" t="s">
        <v>144</v>
      </c>
      <c r="F1324" s="28" t="s">
        <v>29</v>
      </c>
      <c r="G1324" s="28" t="s">
        <v>58</v>
      </c>
      <c r="H1324" s="28"/>
      <c r="I1324" s="28" t="s">
        <v>38</v>
      </c>
      <c r="J1324" s="28">
        <v>392.0</v>
      </c>
      <c r="K1324" s="28"/>
      <c r="L1324" s="28" t="s">
        <v>4872</v>
      </c>
      <c r="M1324" s="28" t="s">
        <v>4873</v>
      </c>
      <c r="N1324" s="28">
        <v>2003.0</v>
      </c>
      <c r="O1324" s="60" t="s">
        <v>4010</v>
      </c>
      <c r="P1324" s="28">
        <v>1.0</v>
      </c>
      <c r="Q1324" s="94">
        <v>1.0</v>
      </c>
      <c r="R1324" s="33"/>
      <c r="S1324" s="40"/>
      <c r="T1324" s="40"/>
      <c r="U1324" s="40"/>
      <c r="V1324" s="40"/>
      <c r="W1324" s="40"/>
      <c r="X1324" s="40"/>
      <c r="Y1324" s="45"/>
      <c r="Z1324" s="45"/>
      <c r="AA1324" s="45"/>
      <c r="AB1324" s="45"/>
      <c r="AC1324" s="45"/>
      <c r="AD1324" s="45"/>
      <c r="AE1324" s="45"/>
      <c r="AF1324" s="45"/>
      <c r="AG1324" s="45"/>
      <c r="AH1324" s="45"/>
      <c r="AI1324" s="45"/>
      <c r="AJ1324" s="45"/>
      <c r="AK1324" s="45"/>
      <c r="AL1324" s="45"/>
    </row>
    <row r="1325" ht="15.75" customHeight="1">
      <c r="A1325" s="27">
        <f t="shared" si="21"/>
        <v>204</v>
      </c>
      <c r="B1325" s="28"/>
      <c r="C1325" s="102" t="s">
        <v>4874</v>
      </c>
      <c r="D1325" s="30" t="s">
        <v>4875</v>
      </c>
      <c r="E1325" s="28"/>
      <c r="F1325" s="28" t="s">
        <v>740</v>
      </c>
      <c r="G1325" s="28" t="s">
        <v>30</v>
      </c>
      <c r="H1325" s="28"/>
      <c r="I1325" s="28" t="s">
        <v>30</v>
      </c>
      <c r="J1325" s="28">
        <v>63.0</v>
      </c>
      <c r="K1325" s="28"/>
      <c r="L1325" s="28" t="s">
        <v>4876</v>
      </c>
      <c r="M1325" s="28" t="s">
        <v>4877</v>
      </c>
      <c r="N1325" s="28">
        <v>1979.0</v>
      </c>
      <c r="O1325" s="60" t="s">
        <v>4010</v>
      </c>
      <c r="P1325" s="28">
        <v>1.0</v>
      </c>
      <c r="Q1325" s="28">
        <v>1.0</v>
      </c>
      <c r="R1325" s="33"/>
      <c r="S1325" s="40"/>
      <c r="T1325" s="40"/>
      <c r="U1325" s="40"/>
      <c r="V1325" s="40"/>
      <c r="W1325" s="40"/>
      <c r="X1325" s="40"/>
      <c r="Y1325" s="3"/>
      <c r="Z1325" s="3"/>
      <c r="AA1325" s="3"/>
      <c r="AB1325" s="3"/>
      <c r="AC1325" s="3"/>
      <c r="AD1325" s="3"/>
      <c r="AE1325" s="3"/>
      <c r="AF1325" s="3"/>
      <c r="AG1325" s="3"/>
      <c r="AH1325" s="3"/>
      <c r="AI1325" s="3"/>
      <c r="AJ1325" s="3"/>
      <c r="AK1325" s="3"/>
      <c r="AL1325" s="3"/>
    </row>
    <row r="1326" ht="15.75" customHeight="1">
      <c r="A1326" s="27">
        <f t="shared" si="21"/>
        <v>205</v>
      </c>
      <c r="B1326" s="28"/>
      <c r="C1326" s="43" t="s">
        <v>4878</v>
      </c>
      <c r="D1326" s="30" t="s">
        <v>4879</v>
      </c>
      <c r="E1326" s="28" t="s">
        <v>31</v>
      </c>
      <c r="F1326" s="28" t="s">
        <v>29</v>
      </c>
      <c r="G1326" s="28" t="s">
        <v>30</v>
      </c>
      <c r="H1326" s="28"/>
      <c r="I1326" s="28" t="s">
        <v>30</v>
      </c>
      <c r="J1326" s="28">
        <v>29.0</v>
      </c>
      <c r="K1326" s="28"/>
      <c r="L1326" s="28" t="s">
        <v>3055</v>
      </c>
      <c r="M1326" s="28" t="s">
        <v>3056</v>
      </c>
      <c r="N1326" s="28" t="s">
        <v>31</v>
      </c>
      <c r="O1326" s="60" t="s">
        <v>4010</v>
      </c>
      <c r="P1326" s="28">
        <v>1.0</v>
      </c>
      <c r="Q1326" s="32">
        <v>1.0</v>
      </c>
      <c r="R1326" s="33"/>
      <c r="S1326" s="40"/>
      <c r="T1326" s="40"/>
      <c r="U1326" s="40"/>
      <c r="V1326" s="40"/>
      <c r="W1326" s="40"/>
      <c r="X1326" s="40"/>
      <c r="Y1326" s="45"/>
      <c r="Z1326" s="45"/>
      <c r="AA1326" s="45"/>
      <c r="AB1326" s="45"/>
      <c r="AC1326" s="45"/>
      <c r="AD1326" s="45"/>
      <c r="AE1326" s="45"/>
      <c r="AF1326" s="45"/>
      <c r="AG1326" s="45"/>
      <c r="AH1326" s="45"/>
      <c r="AI1326" s="45"/>
      <c r="AJ1326" s="45"/>
      <c r="AK1326" s="45"/>
      <c r="AL1326" s="45"/>
    </row>
    <row r="1327" ht="15.75" customHeight="1">
      <c r="A1327" s="27">
        <f t="shared" si="21"/>
        <v>206</v>
      </c>
      <c r="B1327" s="28" t="s">
        <v>4880</v>
      </c>
      <c r="C1327" s="43" t="s">
        <v>4881</v>
      </c>
      <c r="D1327" s="30" t="s">
        <v>4882</v>
      </c>
      <c r="E1327" s="28" t="s">
        <v>144</v>
      </c>
      <c r="F1327" s="28" t="s">
        <v>29</v>
      </c>
      <c r="G1327" s="28" t="s">
        <v>30</v>
      </c>
      <c r="H1327" s="28"/>
      <c r="I1327" s="28" t="s">
        <v>30</v>
      </c>
      <c r="J1327" s="28">
        <f>194+22</f>
        <v>216</v>
      </c>
      <c r="K1327" s="28"/>
      <c r="L1327" s="28" t="s">
        <v>4883</v>
      </c>
      <c r="M1327" s="28" t="s">
        <v>4397</v>
      </c>
      <c r="N1327" s="28">
        <v>2007.0</v>
      </c>
      <c r="O1327" s="28" t="s">
        <v>4010</v>
      </c>
      <c r="P1327" s="28">
        <v>1.0</v>
      </c>
      <c r="Q1327" s="32">
        <v>1.0</v>
      </c>
      <c r="R1327" s="33"/>
      <c r="S1327" s="40"/>
      <c r="T1327" s="40"/>
      <c r="U1327" s="40"/>
      <c r="V1327" s="40"/>
      <c r="W1327" s="40"/>
      <c r="X1327" s="40"/>
      <c r="Y1327" s="45"/>
      <c r="Z1327" s="45"/>
      <c r="AA1327" s="45"/>
      <c r="AB1327" s="45"/>
      <c r="AC1327" s="45"/>
      <c r="AD1327" s="45"/>
      <c r="AE1327" s="45"/>
      <c r="AF1327" s="45"/>
      <c r="AG1327" s="45"/>
      <c r="AH1327" s="45"/>
      <c r="AI1327" s="45"/>
      <c r="AJ1327" s="45"/>
      <c r="AK1327" s="45"/>
      <c r="AL1327" s="45"/>
    </row>
    <row r="1328" ht="15.75" customHeight="1">
      <c r="A1328" s="27">
        <f t="shared" si="21"/>
        <v>207</v>
      </c>
      <c r="B1328" s="28" t="s">
        <v>4884</v>
      </c>
      <c r="C1328" s="43" t="s">
        <v>4885</v>
      </c>
      <c r="D1328" s="30" t="s">
        <v>4886</v>
      </c>
      <c r="E1328" s="28" t="s">
        <v>144</v>
      </c>
      <c r="F1328" s="28" t="s">
        <v>29</v>
      </c>
      <c r="G1328" s="28" t="s">
        <v>30</v>
      </c>
      <c r="H1328" s="28"/>
      <c r="I1328" s="28" t="s">
        <v>30</v>
      </c>
      <c r="J1328" s="28">
        <f>162</f>
        <v>162</v>
      </c>
      <c r="K1328" s="28"/>
      <c r="L1328" s="28" t="s">
        <v>4887</v>
      </c>
      <c r="M1328" s="28" t="s">
        <v>161</v>
      </c>
      <c r="N1328" s="28">
        <v>2006.0</v>
      </c>
      <c r="O1328" s="28" t="s">
        <v>4010</v>
      </c>
      <c r="P1328" s="28">
        <v>1.0</v>
      </c>
      <c r="Q1328" s="32">
        <v>1.0</v>
      </c>
      <c r="R1328" s="33"/>
      <c r="S1328" s="40"/>
      <c r="T1328" s="40"/>
      <c r="U1328" s="40"/>
      <c r="V1328" s="40"/>
      <c r="W1328" s="40"/>
      <c r="X1328" s="40"/>
      <c r="Y1328" s="45"/>
      <c r="Z1328" s="45"/>
      <c r="AA1328" s="45"/>
      <c r="AB1328" s="45"/>
      <c r="AC1328" s="45"/>
      <c r="AD1328" s="45"/>
      <c r="AE1328" s="45"/>
      <c r="AF1328" s="45"/>
      <c r="AG1328" s="45"/>
      <c r="AH1328" s="45"/>
      <c r="AI1328" s="45"/>
      <c r="AJ1328" s="45"/>
      <c r="AK1328" s="45"/>
      <c r="AL1328" s="45"/>
    </row>
    <row r="1329" ht="15.75" customHeight="1">
      <c r="A1329" s="27">
        <f t="shared" si="21"/>
        <v>208</v>
      </c>
      <c r="B1329" s="28" t="s">
        <v>4888</v>
      </c>
      <c r="C1329" s="43" t="s">
        <v>4889</v>
      </c>
      <c r="D1329" s="30" t="s">
        <v>4890</v>
      </c>
      <c r="E1329" s="28" t="s">
        <v>144</v>
      </c>
      <c r="F1329" s="28" t="s">
        <v>29</v>
      </c>
      <c r="G1329" s="28" t="s">
        <v>30</v>
      </c>
      <c r="H1329" s="28"/>
      <c r="I1329" s="28" t="s">
        <v>30</v>
      </c>
      <c r="J1329" s="28">
        <f>192+2</f>
        <v>194</v>
      </c>
      <c r="K1329" s="28"/>
      <c r="L1329" s="28" t="s">
        <v>4891</v>
      </c>
      <c r="M1329" s="28" t="s">
        <v>161</v>
      </c>
      <c r="N1329" s="28">
        <v>2006.0</v>
      </c>
      <c r="O1329" s="28" t="s">
        <v>4010</v>
      </c>
      <c r="P1329" s="28">
        <v>1.0</v>
      </c>
      <c r="Q1329" s="32">
        <v>1.0</v>
      </c>
      <c r="R1329" s="33"/>
      <c r="S1329" s="38"/>
      <c r="T1329" s="38"/>
      <c r="U1329" s="38"/>
      <c r="V1329" s="38"/>
      <c r="W1329" s="38"/>
      <c r="X1329" s="38"/>
      <c r="Y1329" s="3"/>
      <c r="Z1329" s="3"/>
      <c r="AA1329" s="3"/>
      <c r="AB1329" s="3"/>
      <c r="AC1329" s="3"/>
      <c r="AD1329" s="3"/>
      <c r="AE1329" s="3"/>
      <c r="AF1329" s="3"/>
      <c r="AG1329" s="3"/>
      <c r="AH1329" s="3"/>
      <c r="AI1329" s="3"/>
      <c r="AJ1329" s="3"/>
      <c r="AK1329" s="3"/>
      <c r="AL1329" s="3"/>
    </row>
    <row r="1330" ht="15.75" customHeight="1">
      <c r="A1330" s="27">
        <f t="shared" si="21"/>
        <v>209</v>
      </c>
      <c r="B1330" s="170" t="s">
        <v>4892</v>
      </c>
      <c r="C1330" s="43" t="s">
        <v>4893</v>
      </c>
      <c r="D1330" s="30" t="s">
        <v>4894</v>
      </c>
      <c r="E1330" s="28" t="s">
        <v>144</v>
      </c>
      <c r="F1330" s="28" t="s">
        <v>29</v>
      </c>
      <c r="G1330" s="28" t="s">
        <v>30</v>
      </c>
      <c r="H1330" s="28"/>
      <c r="I1330" s="28" t="s">
        <v>30</v>
      </c>
      <c r="J1330" s="28">
        <f>367+7</f>
        <v>374</v>
      </c>
      <c r="K1330" s="28"/>
      <c r="L1330" s="28" t="s">
        <v>4895</v>
      </c>
      <c r="M1330" s="28" t="s">
        <v>161</v>
      </c>
      <c r="N1330" s="28"/>
      <c r="O1330" s="28" t="s">
        <v>4010</v>
      </c>
      <c r="P1330" s="28">
        <v>1.0</v>
      </c>
      <c r="Q1330" s="32">
        <v>1.0</v>
      </c>
      <c r="R1330" s="33"/>
      <c r="S1330" s="38"/>
      <c r="T1330" s="38"/>
      <c r="U1330" s="38"/>
      <c r="V1330" s="38"/>
      <c r="W1330" s="38"/>
      <c r="X1330" s="38"/>
      <c r="Y1330" s="3"/>
      <c r="Z1330" s="3"/>
      <c r="AA1330" s="3"/>
      <c r="AB1330" s="3"/>
      <c r="AC1330" s="3"/>
      <c r="AD1330" s="3"/>
      <c r="AE1330" s="3"/>
      <c r="AF1330" s="3"/>
      <c r="AG1330" s="3"/>
      <c r="AH1330" s="3"/>
      <c r="AI1330" s="3"/>
      <c r="AJ1330" s="3"/>
      <c r="AK1330" s="3"/>
      <c r="AL1330" s="3"/>
    </row>
    <row r="1331" ht="15.75" customHeight="1">
      <c r="A1331" s="27">
        <f t="shared" si="21"/>
        <v>210</v>
      </c>
      <c r="B1331" s="83"/>
      <c r="C1331" s="121" t="s">
        <v>4896</v>
      </c>
      <c r="D1331" s="119" t="s">
        <v>4897</v>
      </c>
      <c r="E1331" s="121" t="s">
        <v>144</v>
      </c>
      <c r="F1331" s="121" t="s">
        <v>29</v>
      </c>
      <c r="G1331" s="121" t="s">
        <v>30</v>
      </c>
      <c r="H1331" s="83"/>
      <c r="I1331" s="121" t="s">
        <v>30</v>
      </c>
      <c r="J1331" s="121">
        <v>221.0</v>
      </c>
      <c r="K1331" s="83"/>
      <c r="L1331" s="121" t="s">
        <v>4898</v>
      </c>
      <c r="M1331" s="121" t="s">
        <v>151</v>
      </c>
      <c r="N1331" s="121">
        <v>1966.0</v>
      </c>
      <c r="O1331" s="62" t="s">
        <v>1381</v>
      </c>
      <c r="P1331" s="121">
        <v>1.0</v>
      </c>
      <c r="Q1331" s="121">
        <v>1.0</v>
      </c>
      <c r="R1331" s="84"/>
      <c r="S1331" s="38"/>
      <c r="T1331" s="38"/>
      <c r="U1331" s="38"/>
      <c r="V1331" s="38"/>
      <c r="W1331" s="38"/>
      <c r="X1331" s="38"/>
      <c r="Y1331" s="3"/>
      <c r="Z1331" s="3"/>
      <c r="AA1331" s="3"/>
      <c r="AB1331" s="3"/>
      <c r="AC1331" s="3"/>
      <c r="AD1331" s="3"/>
      <c r="AE1331" s="3"/>
      <c r="AF1331" s="3"/>
      <c r="AG1331" s="3"/>
      <c r="AH1331" s="3"/>
      <c r="AI1331" s="3"/>
      <c r="AJ1331" s="3"/>
      <c r="AK1331" s="3"/>
      <c r="AL1331" s="3"/>
    </row>
    <row r="1332" ht="15.75" customHeight="1">
      <c r="A1332" s="27">
        <f t="shared" si="21"/>
        <v>211</v>
      </c>
      <c r="B1332" s="60" t="s">
        <v>4899</v>
      </c>
      <c r="C1332" s="29" t="s">
        <v>4900</v>
      </c>
      <c r="D1332" s="30" t="s">
        <v>4901</v>
      </c>
      <c r="E1332" s="28"/>
      <c r="F1332" s="28" t="s">
        <v>29</v>
      </c>
      <c r="G1332" s="28" t="s">
        <v>37</v>
      </c>
      <c r="H1332" s="28"/>
      <c r="I1332" s="28" t="s">
        <v>38</v>
      </c>
      <c r="J1332" s="28">
        <v>487.0</v>
      </c>
      <c r="K1332" s="28"/>
      <c r="L1332" s="28" t="s">
        <v>4902</v>
      </c>
      <c r="M1332" s="28" t="s">
        <v>72</v>
      </c>
      <c r="N1332" s="28">
        <v>1998.0</v>
      </c>
      <c r="O1332" s="60" t="s">
        <v>4010</v>
      </c>
      <c r="P1332" s="28">
        <v>1.0</v>
      </c>
      <c r="Q1332" s="94">
        <v>1.0</v>
      </c>
      <c r="R1332" s="33"/>
      <c r="S1332" s="40"/>
      <c r="T1332" s="40"/>
      <c r="U1332" s="40"/>
      <c r="V1332" s="40"/>
      <c r="W1332" s="40"/>
      <c r="X1332" s="40"/>
      <c r="Y1332" s="45"/>
      <c r="Z1332" s="45"/>
      <c r="AA1332" s="45"/>
      <c r="AB1332" s="45"/>
      <c r="AC1332" s="45"/>
      <c r="AD1332" s="45"/>
      <c r="AE1332" s="45"/>
      <c r="AF1332" s="45"/>
      <c r="AG1332" s="45"/>
      <c r="AH1332" s="45"/>
      <c r="AI1332" s="45"/>
      <c r="AJ1332" s="45"/>
      <c r="AK1332" s="45"/>
      <c r="AL1332" s="45"/>
    </row>
    <row r="1333" ht="15.75" customHeight="1">
      <c r="A1333" s="27">
        <f t="shared" si="21"/>
        <v>212</v>
      </c>
      <c r="B1333" s="28" t="s">
        <v>31</v>
      </c>
      <c r="C1333" s="102" t="s">
        <v>4903</v>
      </c>
      <c r="D1333" s="30" t="s">
        <v>4904</v>
      </c>
      <c r="E1333" s="28" t="s">
        <v>28</v>
      </c>
      <c r="F1333" s="28" t="s">
        <v>29</v>
      </c>
      <c r="G1333" s="28" t="s">
        <v>30</v>
      </c>
      <c r="H1333" s="28" t="s">
        <v>31</v>
      </c>
      <c r="I1333" s="28" t="s">
        <v>30</v>
      </c>
      <c r="J1333" s="28">
        <v>102.0</v>
      </c>
      <c r="K1333" s="28"/>
      <c r="L1333" s="28" t="s">
        <v>3327</v>
      </c>
      <c r="M1333" s="28" t="s">
        <v>151</v>
      </c>
      <c r="N1333" s="28">
        <v>1974.0</v>
      </c>
      <c r="O1333" s="62" t="s">
        <v>1381</v>
      </c>
      <c r="P1333" s="28">
        <v>1.0</v>
      </c>
      <c r="Q1333" s="32">
        <v>1.0</v>
      </c>
      <c r="R1333" s="33"/>
      <c r="S1333" s="34"/>
      <c r="T1333" s="34"/>
      <c r="U1333" s="34"/>
      <c r="V1333" s="34"/>
      <c r="W1333" s="34"/>
      <c r="X1333" s="34"/>
      <c r="Y1333" s="45"/>
      <c r="Z1333" s="45"/>
      <c r="AA1333" s="45"/>
      <c r="AB1333" s="45"/>
      <c r="AC1333" s="45"/>
      <c r="AD1333" s="45"/>
      <c r="AE1333" s="45"/>
      <c r="AF1333" s="45"/>
      <c r="AG1333" s="45"/>
      <c r="AH1333" s="45"/>
      <c r="AI1333" s="45"/>
      <c r="AJ1333" s="45"/>
      <c r="AK1333" s="45"/>
      <c r="AL1333" s="45"/>
    </row>
    <row r="1334" ht="15.75" customHeight="1">
      <c r="A1334" s="27">
        <f t="shared" si="21"/>
        <v>213</v>
      </c>
      <c r="B1334" s="28" t="s">
        <v>31</v>
      </c>
      <c r="C1334" s="102" t="s">
        <v>4905</v>
      </c>
      <c r="D1334" s="30" t="s">
        <v>4906</v>
      </c>
      <c r="E1334" s="28" t="s">
        <v>28</v>
      </c>
      <c r="F1334" s="28" t="s">
        <v>29</v>
      </c>
      <c r="G1334" s="28" t="s">
        <v>30</v>
      </c>
      <c r="H1334" s="28" t="s">
        <v>31</v>
      </c>
      <c r="I1334" s="28" t="s">
        <v>30</v>
      </c>
      <c r="J1334" s="28">
        <v>149.0</v>
      </c>
      <c r="K1334" s="28"/>
      <c r="L1334" s="28" t="s">
        <v>4907</v>
      </c>
      <c r="M1334" s="28" t="s">
        <v>151</v>
      </c>
      <c r="N1334" s="28">
        <v>1975.0</v>
      </c>
      <c r="O1334" s="62" t="s">
        <v>1381</v>
      </c>
      <c r="P1334" s="28">
        <v>1.0</v>
      </c>
      <c r="Q1334" s="32">
        <v>1.0</v>
      </c>
      <c r="R1334" s="33"/>
      <c r="S1334" s="34"/>
      <c r="T1334" s="34"/>
      <c r="U1334" s="34"/>
      <c r="V1334" s="34"/>
      <c r="W1334" s="34"/>
      <c r="X1334" s="34"/>
      <c r="Y1334" s="3"/>
      <c r="Z1334" s="3"/>
      <c r="AA1334" s="3"/>
      <c r="AB1334" s="3"/>
      <c r="AC1334" s="3"/>
      <c r="AD1334" s="3"/>
      <c r="AE1334" s="3"/>
      <c r="AF1334" s="3"/>
      <c r="AG1334" s="3"/>
      <c r="AH1334" s="3"/>
      <c r="AI1334" s="3"/>
      <c r="AJ1334" s="3"/>
      <c r="AK1334" s="3"/>
      <c r="AL1334" s="3"/>
    </row>
    <row r="1335" ht="15.75" customHeight="1">
      <c r="A1335" s="27">
        <f t="shared" si="21"/>
        <v>214</v>
      </c>
      <c r="B1335" s="60" t="s">
        <v>4908</v>
      </c>
      <c r="C1335" s="48" t="s">
        <v>4909</v>
      </c>
      <c r="D1335" s="30" t="s">
        <v>4910</v>
      </c>
      <c r="E1335" s="28" t="s">
        <v>28</v>
      </c>
      <c r="F1335" s="28" t="s">
        <v>29</v>
      </c>
      <c r="G1335" s="28" t="s">
        <v>30</v>
      </c>
      <c r="H1335" s="28"/>
      <c r="I1335" s="28" t="s">
        <v>30</v>
      </c>
      <c r="J1335" s="28">
        <v>137.0</v>
      </c>
      <c r="K1335" s="28"/>
      <c r="L1335" s="28" t="s">
        <v>4911</v>
      </c>
      <c r="M1335" s="28" t="s">
        <v>151</v>
      </c>
      <c r="N1335" s="28">
        <v>2015.0</v>
      </c>
      <c r="O1335" s="62" t="s">
        <v>205</v>
      </c>
      <c r="P1335" s="28">
        <v>2.0</v>
      </c>
      <c r="Q1335" s="32">
        <v>2.0</v>
      </c>
      <c r="R1335" s="33"/>
      <c r="S1335" s="34"/>
      <c r="T1335" s="34"/>
      <c r="U1335" s="34"/>
      <c r="V1335" s="34"/>
      <c r="W1335" s="34"/>
      <c r="X1335" s="34"/>
      <c r="Y1335" s="45"/>
      <c r="Z1335" s="45"/>
      <c r="AA1335" s="45"/>
      <c r="AB1335" s="45"/>
      <c r="AC1335" s="45"/>
      <c r="AD1335" s="45"/>
      <c r="AE1335" s="45"/>
      <c r="AF1335" s="45"/>
      <c r="AG1335" s="45"/>
      <c r="AH1335" s="45"/>
      <c r="AI1335" s="45"/>
      <c r="AJ1335" s="45"/>
      <c r="AK1335" s="45"/>
      <c r="AL1335" s="45"/>
    </row>
    <row r="1336" ht="15.75" customHeight="1">
      <c r="A1336" s="27">
        <f t="shared" si="21"/>
        <v>215</v>
      </c>
      <c r="B1336" s="28" t="s">
        <v>3996</v>
      </c>
      <c r="C1336" s="102" t="s">
        <v>4912</v>
      </c>
      <c r="D1336" s="30" t="s">
        <v>3998</v>
      </c>
      <c r="E1336" s="28" t="s">
        <v>28</v>
      </c>
      <c r="F1336" s="28" t="s">
        <v>29</v>
      </c>
      <c r="G1336" s="28" t="s">
        <v>30</v>
      </c>
      <c r="H1336" s="28"/>
      <c r="I1336" s="28" t="s">
        <v>30</v>
      </c>
      <c r="J1336" s="28">
        <v>114.0</v>
      </c>
      <c r="K1336" s="28"/>
      <c r="L1336" s="28" t="s">
        <v>3323</v>
      </c>
      <c r="M1336" s="28" t="s">
        <v>151</v>
      </c>
      <c r="N1336" s="28">
        <v>1994.0</v>
      </c>
      <c r="O1336" s="28" t="s">
        <v>4010</v>
      </c>
      <c r="P1336" s="28">
        <v>1.0</v>
      </c>
      <c r="Q1336" s="32">
        <v>1.0</v>
      </c>
      <c r="R1336" s="33"/>
      <c r="S1336" s="40"/>
      <c r="T1336" s="40"/>
      <c r="U1336" s="40"/>
      <c r="V1336" s="40"/>
      <c r="W1336" s="40"/>
      <c r="X1336" s="40"/>
      <c r="Y1336" s="45"/>
      <c r="Z1336" s="45"/>
      <c r="AA1336" s="45"/>
      <c r="AB1336" s="45"/>
      <c r="AC1336" s="45"/>
      <c r="AD1336" s="45"/>
      <c r="AE1336" s="45"/>
      <c r="AF1336" s="45"/>
      <c r="AG1336" s="45"/>
      <c r="AH1336" s="45"/>
      <c r="AI1336" s="45"/>
      <c r="AJ1336" s="45"/>
      <c r="AK1336" s="45"/>
      <c r="AL1336" s="45"/>
    </row>
    <row r="1337" ht="15.75" customHeight="1">
      <c r="A1337" s="27">
        <f t="shared" si="21"/>
        <v>216</v>
      </c>
      <c r="B1337" s="28" t="s">
        <v>4913</v>
      </c>
      <c r="C1337" s="102" t="s">
        <v>4912</v>
      </c>
      <c r="D1337" s="30" t="s">
        <v>4914</v>
      </c>
      <c r="E1337" s="28" t="s">
        <v>28</v>
      </c>
      <c r="F1337" s="28" t="s">
        <v>29</v>
      </c>
      <c r="G1337" s="28" t="s">
        <v>30</v>
      </c>
      <c r="H1337" s="28" t="s">
        <v>31</v>
      </c>
      <c r="I1337" s="28" t="s">
        <v>30</v>
      </c>
      <c r="J1337" s="28">
        <v>356.0</v>
      </c>
      <c r="K1337" s="28"/>
      <c r="L1337" s="28" t="s">
        <v>3308</v>
      </c>
      <c r="M1337" s="28" t="s">
        <v>151</v>
      </c>
      <c r="N1337" s="28">
        <v>1996.0</v>
      </c>
      <c r="O1337" s="62" t="s">
        <v>1381</v>
      </c>
      <c r="P1337" s="28">
        <v>2.0</v>
      </c>
      <c r="Q1337" s="32">
        <v>2.0</v>
      </c>
      <c r="R1337" s="33"/>
      <c r="S1337" s="34"/>
      <c r="T1337" s="34"/>
      <c r="U1337" s="34"/>
      <c r="V1337" s="34"/>
      <c r="W1337" s="34"/>
      <c r="X1337" s="34"/>
      <c r="Y1337" s="3"/>
      <c r="Z1337" s="3"/>
      <c r="AA1337" s="3"/>
      <c r="AB1337" s="3"/>
      <c r="AC1337" s="3"/>
      <c r="AD1337" s="3"/>
      <c r="AE1337" s="3"/>
      <c r="AF1337" s="3"/>
      <c r="AG1337" s="3"/>
      <c r="AH1337" s="3"/>
      <c r="AI1337" s="3"/>
      <c r="AJ1337" s="3"/>
      <c r="AK1337" s="3"/>
      <c r="AL1337" s="3"/>
    </row>
    <row r="1338" ht="15.75" customHeight="1">
      <c r="A1338" s="27">
        <f t="shared" si="21"/>
        <v>217</v>
      </c>
      <c r="B1338" s="28" t="s">
        <v>4915</v>
      </c>
      <c r="C1338" s="43" t="s">
        <v>4912</v>
      </c>
      <c r="D1338" s="30" t="s">
        <v>4914</v>
      </c>
      <c r="E1338" s="28" t="s">
        <v>28</v>
      </c>
      <c r="F1338" s="28" t="s">
        <v>29</v>
      </c>
      <c r="G1338" s="28" t="s">
        <v>30</v>
      </c>
      <c r="H1338" s="28"/>
      <c r="I1338" s="28" t="s">
        <v>30</v>
      </c>
      <c r="J1338" s="28">
        <v>356.0</v>
      </c>
      <c r="K1338" s="28"/>
      <c r="L1338" s="28" t="s">
        <v>3445</v>
      </c>
      <c r="M1338" s="28" t="s">
        <v>151</v>
      </c>
      <c r="N1338" s="28">
        <v>2011.0</v>
      </c>
      <c r="O1338" s="62" t="s">
        <v>1381</v>
      </c>
      <c r="P1338" s="28">
        <v>1.0</v>
      </c>
      <c r="Q1338" s="32">
        <v>1.0</v>
      </c>
      <c r="R1338" s="33"/>
      <c r="S1338" s="34"/>
      <c r="T1338" s="34"/>
      <c r="U1338" s="34"/>
      <c r="V1338" s="34"/>
      <c r="W1338" s="34"/>
      <c r="X1338" s="34"/>
      <c r="Y1338" s="45"/>
      <c r="Z1338" s="45"/>
      <c r="AA1338" s="45"/>
      <c r="AB1338" s="45"/>
      <c r="AC1338" s="45"/>
      <c r="AD1338" s="45"/>
      <c r="AE1338" s="45"/>
      <c r="AF1338" s="45"/>
      <c r="AG1338" s="45"/>
      <c r="AH1338" s="45"/>
      <c r="AI1338" s="45"/>
      <c r="AJ1338" s="45"/>
      <c r="AK1338" s="45"/>
      <c r="AL1338" s="45"/>
    </row>
    <row r="1339" ht="15.75" customHeight="1">
      <c r="A1339" s="27">
        <f t="shared" si="21"/>
        <v>218</v>
      </c>
      <c r="B1339" s="28"/>
      <c r="C1339" s="102" t="s">
        <v>4916</v>
      </c>
      <c r="D1339" s="120" t="s">
        <v>4917</v>
      </c>
      <c r="E1339" s="28" t="s">
        <v>28</v>
      </c>
      <c r="F1339" s="28" t="s">
        <v>29</v>
      </c>
      <c r="G1339" s="28" t="s">
        <v>30</v>
      </c>
      <c r="H1339" s="28"/>
      <c r="I1339" s="28" t="s">
        <v>30</v>
      </c>
      <c r="J1339" s="28">
        <v>363.0</v>
      </c>
      <c r="K1339" s="28"/>
      <c r="L1339" s="28" t="s">
        <v>3683</v>
      </c>
      <c r="M1339" s="28" t="s">
        <v>151</v>
      </c>
      <c r="N1339" s="28">
        <v>1976.0</v>
      </c>
      <c r="O1339" s="62" t="s">
        <v>1381</v>
      </c>
      <c r="P1339" s="28">
        <v>1.0</v>
      </c>
      <c r="Q1339" s="32">
        <v>1.0</v>
      </c>
      <c r="R1339" s="33"/>
      <c r="S1339" s="34"/>
      <c r="T1339" s="34"/>
      <c r="U1339" s="34"/>
      <c r="V1339" s="34"/>
      <c r="W1339" s="34"/>
      <c r="X1339" s="34"/>
      <c r="Y1339" s="45"/>
      <c r="Z1339" s="45"/>
      <c r="AA1339" s="45"/>
      <c r="AB1339" s="45"/>
      <c r="AC1339" s="45"/>
      <c r="AD1339" s="45"/>
      <c r="AE1339" s="45"/>
      <c r="AF1339" s="45"/>
      <c r="AG1339" s="45"/>
      <c r="AH1339" s="45"/>
      <c r="AI1339" s="45"/>
      <c r="AJ1339" s="45"/>
      <c r="AK1339" s="45"/>
      <c r="AL1339" s="45"/>
    </row>
    <row r="1340" ht="15.75" customHeight="1">
      <c r="A1340" s="27">
        <f t="shared" si="21"/>
        <v>219</v>
      </c>
      <c r="B1340" s="28" t="s">
        <v>3589</v>
      </c>
      <c r="C1340" s="43" t="s">
        <v>4918</v>
      </c>
      <c r="D1340" s="30" t="s">
        <v>4919</v>
      </c>
      <c r="E1340" s="28" t="s">
        <v>302</v>
      </c>
      <c r="F1340" s="28" t="s">
        <v>29</v>
      </c>
      <c r="G1340" s="28" t="s">
        <v>30</v>
      </c>
      <c r="H1340" s="28"/>
      <c r="I1340" s="28" t="s">
        <v>30</v>
      </c>
      <c r="J1340" s="28">
        <v>410.0</v>
      </c>
      <c r="K1340" s="28"/>
      <c r="L1340" s="28" t="s">
        <v>4920</v>
      </c>
      <c r="M1340" s="28" t="s">
        <v>151</v>
      </c>
      <c r="N1340" s="28">
        <v>2015.0</v>
      </c>
      <c r="O1340" s="62" t="s">
        <v>1381</v>
      </c>
      <c r="P1340" s="28">
        <v>2.0</v>
      </c>
      <c r="Q1340" s="94">
        <v>2.0</v>
      </c>
      <c r="R1340" s="33"/>
      <c r="S1340" s="40"/>
      <c r="T1340" s="40"/>
      <c r="U1340" s="40"/>
      <c r="V1340" s="40"/>
      <c r="W1340" s="40"/>
      <c r="X1340" s="40"/>
      <c r="Y1340" s="45"/>
      <c r="Z1340" s="45"/>
      <c r="AA1340" s="45"/>
      <c r="AB1340" s="45"/>
      <c r="AC1340" s="45"/>
      <c r="AD1340" s="45"/>
      <c r="AE1340" s="45"/>
      <c r="AF1340" s="45"/>
      <c r="AG1340" s="45"/>
      <c r="AH1340" s="45"/>
      <c r="AI1340" s="45"/>
      <c r="AJ1340" s="45"/>
      <c r="AK1340" s="45"/>
      <c r="AL1340" s="45"/>
    </row>
    <row r="1341" ht="15.75" customHeight="1">
      <c r="A1341" s="27">
        <f t="shared" si="21"/>
        <v>220</v>
      </c>
      <c r="B1341" s="28" t="s">
        <v>31</v>
      </c>
      <c r="C1341" s="43" t="s">
        <v>4921</v>
      </c>
      <c r="D1341" s="30" t="s">
        <v>4922</v>
      </c>
      <c r="E1341" s="28" t="s">
        <v>31</v>
      </c>
      <c r="F1341" s="28" t="s">
        <v>29</v>
      </c>
      <c r="G1341" s="28" t="s">
        <v>30</v>
      </c>
      <c r="H1341" s="28"/>
      <c r="I1341" s="28" t="s">
        <v>30</v>
      </c>
      <c r="J1341" s="28">
        <v>124.0</v>
      </c>
      <c r="K1341" s="28"/>
      <c r="L1341" s="28" t="s">
        <v>4923</v>
      </c>
      <c r="M1341" s="28" t="s">
        <v>4924</v>
      </c>
      <c r="N1341" s="28" t="s">
        <v>31</v>
      </c>
      <c r="O1341" s="60" t="s">
        <v>4010</v>
      </c>
      <c r="P1341" s="28">
        <v>2.0</v>
      </c>
      <c r="Q1341" s="94">
        <v>1.0</v>
      </c>
      <c r="R1341" s="33"/>
      <c r="S1341" s="38"/>
      <c r="T1341" s="38"/>
      <c r="U1341" s="38"/>
      <c r="V1341" s="38"/>
      <c r="W1341" s="38"/>
      <c r="X1341" s="38"/>
      <c r="Y1341" s="45"/>
      <c r="Z1341" s="45"/>
      <c r="AA1341" s="45"/>
      <c r="AB1341" s="45"/>
      <c r="AC1341" s="45"/>
      <c r="AD1341" s="45"/>
      <c r="AE1341" s="45"/>
      <c r="AF1341" s="45"/>
      <c r="AG1341" s="45"/>
      <c r="AH1341" s="45"/>
      <c r="AI1341" s="45"/>
      <c r="AJ1341" s="45"/>
      <c r="AK1341" s="45"/>
      <c r="AL1341" s="45"/>
    </row>
    <row r="1342" ht="15.75" customHeight="1">
      <c r="A1342" s="27">
        <f t="shared" si="21"/>
        <v>221</v>
      </c>
      <c r="B1342" s="121" t="s">
        <v>4925</v>
      </c>
      <c r="C1342" s="121" t="s">
        <v>4926</v>
      </c>
      <c r="D1342" s="119" t="s">
        <v>4927</v>
      </c>
      <c r="E1342" s="83"/>
      <c r="F1342" s="121" t="s">
        <v>29</v>
      </c>
      <c r="G1342" s="121" t="s">
        <v>37</v>
      </c>
      <c r="H1342" s="83"/>
      <c r="I1342" s="121" t="s">
        <v>38</v>
      </c>
      <c r="J1342" s="121">
        <v>239.0</v>
      </c>
      <c r="K1342" s="83"/>
      <c r="L1342" s="121" t="s">
        <v>4928</v>
      </c>
      <c r="M1342" s="121" t="s">
        <v>2238</v>
      </c>
      <c r="N1342" s="121">
        <v>2002.0</v>
      </c>
      <c r="O1342" s="60" t="s">
        <v>4010</v>
      </c>
      <c r="P1342" s="121">
        <v>1.0</v>
      </c>
      <c r="Q1342" s="121">
        <v>1.0</v>
      </c>
      <c r="R1342" s="84"/>
      <c r="S1342" s="40"/>
      <c r="T1342" s="40"/>
      <c r="U1342" s="40"/>
      <c r="V1342" s="40"/>
      <c r="W1342" s="40"/>
      <c r="X1342" s="40"/>
      <c r="Y1342" s="45"/>
      <c r="Z1342" s="45"/>
      <c r="AA1342" s="45"/>
      <c r="AB1342" s="45"/>
      <c r="AC1342" s="45"/>
      <c r="AD1342" s="45"/>
      <c r="AE1342" s="45"/>
      <c r="AF1342" s="45"/>
      <c r="AG1342" s="45"/>
      <c r="AH1342" s="45"/>
      <c r="AI1342" s="45"/>
      <c r="AJ1342" s="45"/>
      <c r="AK1342" s="45"/>
      <c r="AL1342" s="45"/>
    </row>
    <row r="1343" ht="15.75" customHeight="1">
      <c r="A1343" s="27">
        <f t="shared" si="21"/>
        <v>222</v>
      </c>
      <c r="B1343" s="28" t="s">
        <v>4929</v>
      </c>
      <c r="C1343" s="43" t="s">
        <v>4930</v>
      </c>
      <c r="D1343" s="30" t="s">
        <v>4931</v>
      </c>
      <c r="E1343" s="28" t="s">
        <v>31</v>
      </c>
      <c r="F1343" s="28" t="s">
        <v>29</v>
      </c>
      <c r="G1343" s="28" t="s">
        <v>30</v>
      </c>
      <c r="H1343" s="28"/>
      <c r="I1343" s="28" t="s">
        <v>30</v>
      </c>
      <c r="J1343" s="28">
        <v>296.0</v>
      </c>
      <c r="K1343" s="28"/>
      <c r="L1343" s="28" t="s">
        <v>4932</v>
      </c>
      <c r="M1343" s="28" t="s">
        <v>151</v>
      </c>
      <c r="N1343" s="28">
        <v>2008.0</v>
      </c>
      <c r="O1343" s="60" t="s">
        <v>4010</v>
      </c>
      <c r="P1343" s="28">
        <v>1.0</v>
      </c>
      <c r="Q1343" s="32">
        <v>1.0</v>
      </c>
      <c r="R1343" s="33"/>
      <c r="S1343" s="34"/>
      <c r="T1343" s="34"/>
      <c r="U1343" s="34"/>
      <c r="V1343" s="34"/>
      <c r="W1343" s="34"/>
      <c r="X1343" s="34"/>
      <c r="Y1343" s="45"/>
      <c r="Z1343" s="45"/>
      <c r="AA1343" s="45"/>
      <c r="AB1343" s="45"/>
      <c r="AC1343" s="45"/>
      <c r="AD1343" s="45"/>
      <c r="AE1343" s="45"/>
      <c r="AF1343" s="45"/>
      <c r="AG1343" s="45"/>
      <c r="AH1343" s="45"/>
      <c r="AI1343" s="45"/>
      <c r="AJ1343" s="45"/>
      <c r="AK1343" s="45"/>
      <c r="AL1343" s="45"/>
    </row>
    <row r="1344" ht="15.75" customHeight="1">
      <c r="A1344" s="27">
        <f t="shared" si="21"/>
        <v>223</v>
      </c>
      <c r="B1344" s="28" t="s">
        <v>4933</v>
      </c>
      <c r="C1344" s="29" t="s">
        <v>4934</v>
      </c>
      <c r="D1344" s="30" t="s">
        <v>4935</v>
      </c>
      <c r="E1344" s="28" t="s">
        <v>31</v>
      </c>
      <c r="F1344" s="28" t="s">
        <v>29</v>
      </c>
      <c r="G1344" s="28" t="s">
        <v>30</v>
      </c>
      <c r="H1344" s="28"/>
      <c r="I1344" s="28" t="s">
        <v>30</v>
      </c>
      <c r="J1344" s="28">
        <v>331.0</v>
      </c>
      <c r="K1344" s="28"/>
      <c r="L1344" s="28" t="s">
        <v>4936</v>
      </c>
      <c r="M1344" s="28" t="s">
        <v>1271</v>
      </c>
      <c r="N1344" s="28">
        <v>2003.0</v>
      </c>
      <c r="O1344" s="60" t="s">
        <v>4010</v>
      </c>
      <c r="P1344" s="28">
        <v>1.0</v>
      </c>
      <c r="Q1344" s="32">
        <v>1.0</v>
      </c>
      <c r="R1344" s="33"/>
      <c r="S1344" s="40"/>
      <c r="T1344" s="40"/>
      <c r="U1344" s="40"/>
      <c r="V1344" s="40"/>
      <c r="W1344" s="40"/>
      <c r="X1344" s="40"/>
      <c r="Y1344" s="45"/>
      <c r="Z1344" s="45"/>
      <c r="AA1344" s="45"/>
      <c r="AB1344" s="45"/>
      <c r="AC1344" s="45"/>
      <c r="AD1344" s="45"/>
      <c r="AE1344" s="45"/>
      <c r="AF1344" s="45"/>
      <c r="AG1344" s="45"/>
      <c r="AH1344" s="45"/>
      <c r="AI1344" s="45"/>
      <c r="AJ1344" s="45"/>
      <c r="AK1344" s="45"/>
      <c r="AL1344" s="45"/>
    </row>
    <row r="1345" ht="15.75" customHeight="1">
      <c r="A1345" s="27">
        <f t="shared" si="21"/>
        <v>224</v>
      </c>
      <c r="B1345" s="30" t="s">
        <v>4937</v>
      </c>
      <c r="C1345" s="43" t="s">
        <v>4938</v>
      </c>
      <c r="D1345" s="30" t="s">
        <v>4939</v>
      </c>
      <c r="E1345" s="28" t="s">
        <v>144</v>
      </c>
      <c r="F1345" s="28" t="s">
        <v>29</v>
      </c>
      <c r="G1345" s="28" t="s">
        <v>30</v>
      </c>
      <c r="H1345" s="28"/>
      <c r="I1345" s="28" t="s">
        <v>30</v>
      </c>
      <c r="J1345" s="28">
        <f>232+15</f>
        <v>247</v>
      </c>
      <c r="K1345" s="28"/>
      <c r="L1345" s="28" t="s">
        <v>2141</v>
      </c>
      <c r="M1345" s="28" t="s">
        <v>151</v>
      </c>
      <c r="N1345" s="28">
        <v>1986.0</v>
      </c>
      <c r="O1345" s="60" t="s">
        <v>4010</v>
      </c>
      <c r="P1345" s="28">
        <v>2.0</v>
      </c>
      <c r="Q1345" s="94">
        <v>2.0</v>
      </c>
      <c r="R1345" s="33"/>
      <c r="S1345" s="34"/>
      <c r="T1345" s="34"/>
      <c r="U1345" s="34"/>
      <c r="V1345" s="34"/>
      <c r="W1345" s="34"/>
      <c r="X1345" s="34"/>
      <c r="Y1345" s="45"/>
      <c r="Z1345" s="45"/>
      <c r="AA1345" s="45"/>
      <c r="AB1345" s="45"/>
      <c r="AC1345" s="45"/>
      <c r="AD1345" s="45"/>
      <c r="AE1345" s="45"/>
      <c r="AF1345" s="45"/>
      <c r="AG1345" s="45"/>
      <c r="AH1345" s="45"/>
      <c r="AI1345" s="45"/>
      <c r="AJ1345" s="45"/>
      <c r="AK1345" s="45"/>
      <c r="AL1345" s="45"/>
    </row>
    <row r="1346" ht="15.75" customHeight="1">
      <c r="A1346" s="27">
        <f t="shared" si="21"/>
        <v>225</v>
      </c>
      <c r="B1346" s="28" t="s">
        <v>4940</v>
      </c>
      <c r="C1346" s="43" t="s">
        <v>4941</v>
      </c>
      <c r="D1346" s="30" t="s">
        <v>4942</v>
      </c>
      <c r="E1346" s="28" t="s">
        <v>144</v>
      </c>
      <c r="F1346" s="28" t="s">
        <v>29</v>
      </c>
      <c r="G1346" s="28" t="s">
        <v>37</v>
      </c>
      <c r="H1346" s="28"/>
      <c r="I1346" s="28" t="s">
        <v>38</v>
      </c>
      <c r="J1346" s="28">
        <v>688.0</v>
      </c>
      <c r="K1346" s="28"/>
      <c r="L1346" s="28" t="s">
        <v>4943</v>
      </c>
      <c r="M1346" s="28" t="s">
        <v>524</v>
      </c>
      <c r="N1346" s="28">
        <v>1995.0</v>
      </c>
      <c r="O1346" s="60" t="s">
        <v>4010</v>
      </c>
      <c r="P1346" s="28">
        <v>1.0</v>
      </c>
      <c r="Q1346" s="94">
        <v>1.0</v>
      </c>
      <c r="R1346" s="33"/>
      <c r="S1346" s="40"/>
      <c r="T1346" s="40"/>
      <c r="U1346" s="40"/>
      <c r="V1346" s="40"/>
      <c r="W1346" s="40"/>
      <c r="X1346" s="40"/>
      <c r="Y1346" s="3"/>
      <c r="Z1346" s="3"/>
      <c r="AA1346" s="3"/>
      <c r="AB1346" s="3"/>
      <c r="AC1346" s="3"/>
      <c r="AD1346" s="3"/>
      <c r="AE1346" s="3"/>
      <c r="AF1346" s="3"/>
      <c r="AG1346" s="3"/>
      <c r="AH1346" s="3"/>
      <c r="AI1346" s="3"/>
      <c r="AJ1346" s="3"/>
      <c r="AK1346" s="3"/>
      <c r="AL1346" s="3"/>
    </row>
    <row r="1347" ht="15.75" customHeight="1">
      <c r="A1347" s="27">
        <f t="shared" si="21"/>
        <v>226</v>
      </c>
      <c r="B1347" s="28" t="s">
        <v>31</v>
      </c>
      <c r="C1347" s="43" t="s">
        <v>4944</v>
      </c>
      <c r="D1347" s="30" t="s">
        <v>4945</v>
      </c>
      <c r="E1347" s="28" t="s">
        <v>31</v>
      </c>
      <c r="F1347" s="28" t="s">
        <v>29</v>
      </c>
      <c r="G1347" s="28" t="s">
        <v>131</v>
      </c>
      <c r="H1347" s="28"/>
      <c r="I1347" s="28" t="s">
        <v>131</v>
      </c>
      <c r="J1347" s="28">
        <v>168.0</v>
      </c>
      <c r="K1347" s="28"/>
      <c r="L1347" s="28" t="s">
        <v>4946</v>
      </c>
      <c r="M1347" s="28" t="s">
        <v>31</v>
      </c>
      <c r="N1347" s="28">
        <v>1952.0</v>
      </c>
      <c r="O1347" s="60" t="s">
        <v>4010</v>
      </c>
      <c r="P1347" s="28">
        <v>1.0</v>
      </c>
      <c r="Q1347" s="94">
        <v>1.0</v>
      </c>
      <c r="R1347" s="33"/>
      <c r="S1347" s="40"/>
      <c r="T1347" s="40"/>
      <c r="U1347" s="40"/>
      <c r="V1347" s="40"/>
      <c r="W1347" s="40"/>
      <c r="X1347" s="40"/>
      <c r="Y1347" s="45"/>
      <c r="Z1347" s="45"/>
      <c r="AA1347" s="45"/>
      <c r="AB1347" s="45"/>
      <c r="AC1347" s="45"/>
      <c r="AD1347" s="45"/>
      <c r="AE1347" s="45"/>
      <c r="AF1347" s="45"/>
      <c r="AG1347" s="45"/>
      <c r="AH1347" s="45"/>
      <c r="AI1347" s="45"/>
      <c r="AJ1347" s="45"/>
      <c r="AK1347" s="45"/>
      <c r="AL1347" s="45"/>
    </row>
    <row r="1348" ht="15.75" customHeight="1">
      <c r="A1348" s="27">
        <f t="shared" si="21"/>
        <v>227</v>
      </c>
      <c r="B1348" s="83"/>
      <c r="C1348" s="121" t="s">
        <v>4947</v>
      </c>
      <c r="D1348" s="119" t="s">
        <v>4948</v>
      </c>
      <c r="E1348" s="121" t="s">
        <v>144</v>
      </c>
      <c r="F1348" s="121" t="s">
        <v>29</v>
      </c>
      <c r="G1348" s="121" t="s">
        <v>30</v>
      </c>
      <c r="H1348" s="83"/>
      <c r="I1348" s="121" t="s">
        <v>30</v>
      </c>
      <c r="J1348" s="121">
        <v>353.0</v>
      </c>
      <c r="K1348" s="83"/>
      <c r="L1348" s="121" t="s">
        <v>4949</v>
      </c>
      <c r="M1348" s="121" t="s">
        <v>151</v>
      </c>
      <c r="N1348" s="121">
        <v>1989.0</v>
      </c>
      <c r="O1348" s="62" t="s">
        <v>1381</v>
      </c>
      <c r="P1348" s="121">
        <v>1.0</v>
      </c>
      <c r="Q1348" s="121">
        <v>1.0</v>
      </c>
      <c r="R1348" s="84"/>
      <c r="S1348" s="40"/>
      <c r="T1348" s="40"/>
      <c r="U1348" s="40"/>
      <c r="V1348" s="40"/>
      <c r="W1348" s="40"/>
      <c r="X1348" s="40"/>
      <c r="Y1348" s="45"/>
      <c r="Z1348" s="45"/>
      <c r="AA1348" s="45"/>
      <c r="AB1348" s="45"/>
      <c r="AC1348" s="45"/>
      <c r="AD1348" s="45"/>
      <c r="AE1348" s="45"/>
      <c r="AF1348" s="45"/>
      <c r="AG1348" s="45"/>
      <c r="AH1348" s="45"/>
      <c r="AI1348" s="45"/>
      <c r="AJ1348" s="45"/>
      <c r="AK1348" s="45"/>
      <c r="AL1348" s="45"/>
    </row>
    <row r="1349" ht="15.75" customHeight="1">
      <c r="A1349" s="27">
        <f t="shared" si="21"/>
        <v>228</v>
      </c>
      <c r="B1349" s="28" t="s">
        <v>4950</v>
      </c>
      <c r="C1349" s="43" t="s">
        <v>4951</v>
      </c>
      <c r="D1349" s="30" t="s">
        <v>4952</v>
      </c>
      <c r="E1349" s="28" t="s">
        <v>144</v>
      </c>
      <c r="F1349" s="28" t="s">
        <v>29</v>
      </c>
      <c r="G1349" s="28" t="s">
        <v>30</v>
      </c>
      <c r="H1349" s="28"/>
      <c r="I1349" s="28" t="s">
        <v>30</v>
      </c>
      <c r="J1349" s="31">
        <v>454.0</v>
      </c>
      <c r="K1349" s="28"/>
      <c r="L1349" s="28" t="s">
        <v>4111</v>
      </c>
      <c r="M1349" s="28" t="s">
        <v>4107</v>
      </c>
      <c r="N1349" s="28">
        <v>2010.0</v>
      </c>
      <c r="O1349" s="62">
        <v>12.0</v>
      </c>
      <c r="P1349" s="28">
        <v>1.0</v>
      </c>
      <c r="Q1349" s="32">
        <v>1.0</v>
      </c>
      <c r="R1349" s="33"/>
      <c r="S1349" s="40"/>
      <c r="T1349" s="40"/>
      <c r="U1349" s="40"/>
      <c r="V1349" s="40"/>
      <c r="W1349" s="40"/>
      <c r="X1349" s="40"/>
      <c r="Y1349" s="45"/>
      <c r="Z1349" s="45"/>
      <c r="AA1349" s="45"/>
      <c r="AB1349" s="45"/>
      <c r="AC1349" s="45"/>
      <c r="AD1349" s="45"/>
      <c r="AE1349" s="45"/>
      <c r="AF1349" s="45"/>
      <c r="AG1349" s="45"/>
      <c r="AH1349" s="45"/>
      <c r="AI1349" s="45"/>
      <c r="AJ1349" s="45"/>
      <c r="AK1349" s="45"/>
      <c r="AL1349" s="45"/>
    </row>
    <row r="1350" ht="15.75" customHeight="1">
      <c r="A1350" s="27">
        <f t="shared" si="21"/>
        <v>229</v>
      </c>
      <c r="B1350" s="28" t="s">
        <v>4953</v>
      </c>
      <c r="C1350" s="43" t="s">
        <v>4817</v>
      </c>
      <c r="D1350" s="30" t="s">
        <v>4954</v>
      </c>
      <c r="E1350" s="28" t="s">
        <v>31</v>
      </c>
      <c r="F1350" s="28" t="s">
        <v>29</v>
      </c>
      <c r="G1350" s="28" t="s">
        <v>30</v>
      </c>
      <c r="H1350" s="28"/>
      <c r="I1350" s="28" t="s">
        <v>30</v>
      </c>
      <c r="J1350" s="28">
        <v>338.0</v>
      </c>
      <c r="K1350" s="28"/>
      <c r="L1350" s="28" t="s">
        <v>4936</v>
      </c>
      <c r="M1350" s="28" t="s">
        <v>1271</v>
      </c>
      <c r="N1350" s="28">
        <v>2001.0</v>
      </c>
      <c r="O1350" s="60" t="s">
        <v>4010</v>
      </c>
      <c r="P1350" s="28">
        <v>1.0</v>
      </c>
      <c r="Q1350" s="32">
        <v>1.0</v>
      </c>
      <c r="R1350" s="33"/>
      <c r="S1350" s="40"/>
      <c r="T1350" s="40"/>
      <c r="U1350" s="40"/>
      <c r="V1350" s="40"/>
      <c r="W1350" s="40"/>
      <c r="X1350" s="40"/>
      <c r="Y1350" s="45"/>
      <c r="Z1350" s="45"/>
      <c r="AA1350" s="45"/>
      <c r="AB1350" s="45"/>
      <c r="AC1350" s="45"/>
      <c r="AD1350" s="45"/>
      <c r="AE1350" s="45"/>
      <c r="AF1350" s="45"/>
      <c r="AG1350" s="45"/>
      <c r="AH1350" s="45"/>
      <c r="AI1350" s="45"/>
      <c r="AJ1350" s="45"/>
      <c r="AK1350" s="45"/>
      <c r="AL1350" s="45"/>
    </row>
    <row r="1351" ht="15.75" customHeight="1">
      <c r="A1351" s="27">
        <f t="shared" si="21"/>
        <v>230</v>
      </c>
      <c r="B1351" s="28" t="s">
        <v>4955</v>
      </c>
      <c r="C1351" s="29" t="s">
        <v>4817</v>
      </c>
      <c r="D1351" s="30" t="s">
        <v>4956</v>
      </c>
      <c r="E1351" s="28" t="s">
        <v>31</v>
      </c>
      <c r="F1351" s="28" t="s">
        <v>29</v>
      </c>
      <c r="G1351" s="28" t="s">
        <v>30</v>
      </c>
      <c r="H1351" s="28"/>
      <c r="I1351" s="28" t="s">
        <v>30</v>
      </c>
      <c r="J1351" s="28">
        <v>348.0</v>
      </c>
      <c r="K1351" s="28"/>
      <c r="L1351" s="28" t="s">
        <v>4936</v>
      </c>
      <c r="M1351" s="28" t="s">
        <v>1271</v>
      </c>
      <c r="N1351" s="28">
        <v>2001.0</v>
      </c>
      <c r="O1351" s="60" t="s">
        <v>4010</v>
      </c>
      <c r="P1351" s="28">
        <v>1.0</v>
      </c>
      <c r="Q1351" s="32">
        <v>1.0</v>
      </c>
      <c r="R1351" s="33"/>
      <c r="S1351" s="40"/>
      <c r="T1351" s="40"/>
      <c r="U1351" s="40"/>
      <c r="V1351" s="40"/>
      <c r="W1351" s="40"/>
      <c r="X1351" s="40"/>
      <c r="Y1351" s="3"/>
      <c r="Z1351" s="3"/>
      <c r="AA1351" s="3"/>
      <c r="AB1351" s="3"/>
      <c r="AC1351" s="3"/>
      <c r="AD1351" s="3"/>
      <c r="AE1351" s="3"/>
      <c r="AF1351" s="3"/>
      <c r="AG1351" s="3"/>
      <c r="AH1351" s="3"/>
      <c r="AI1351" s="3"/>
      <c r="AJ1351" s="3"/>
      <c r="AK1351" s="3"/>
      <c r="AL1351" s="3"/>
    </row>
    <row r="1352" ht="15.75" customHeight="1">
      <c r="A1352" s="27">
        <f t="shared" si="21"/>
        <v>231</v>
      </c>
      <c r="B1352" s="28" t="s">
        <v>4957</v>
      </c>
      <c r="C1352" s="29" t="s">
        <v>4958</v>
      </c>
      <c r="D1352" s="30" t="s">
        <v>4959</v>
      </c>
      <c r="E1352" s="28" t="s">
        <v>144</v>
      </c>
      <c r="F1352" s="28" t="s">
        <v>29</v>
      </c>
      <c r="G1352" s="28" t="s">
        <v>38</v>
      </c>
      <c r="H1352" s="28"/>
      <c r="I1352" s="28" t="s">
        <v>38</v>
      </c>
      <c r="J1352" s="28">
        <f>554</f>
        <v>554</v>
      </c>
      <c r="K1352" s="28"/>
      <c r="L1352" s="28" t="s">
        <v>4960</v>
      </c>
      <c r="M1352" s="28" t="s">
        <v>250</v>
      </c>
      <c r="N1352" s="28">
        <v>1976.0</v>
      </c>
      <c r="O1352" s="28" t="s">
        <v>4010</v>
      </c>
      <c r="P1352" s="28">
        <v>1.0</v>
      </c>
      <c r="Q1352" s="94">
        <v>1.0</v>
      </c>
      <c r="R1352" s="33"/>
      <c r="S1352" s="40"/>
      <c r="T1352" s="40"/>
      <c r="U1352" s="40"/>
      <c r="V1352" s="40"/>
      <c r="W1352" s="40"/>
      <c r="X1352" s="40"/>
      <c r="Y1352" s="45"/>
      <c r="Z1352" s="45"/>
      <c r="AA1352" s="45"/>
      <c r="AB1352" s="45"/>
      <c r="AC1352" s="45"/>
      <c r="AD1352" s="45"/>
      <c r="AE1352" s="45"/>
      <c r="AF1352" s="45"/>
      <c r="AG1352" s="45"/>
      <c r="AH1352" s="45"/>
      <c r="AI1352" s="45"/>
      <c r="AJ1352" s="45"/>
      <c r="AK1352" s="45"/>
      <c r="AL1352" s="45"/>
    </row>
    <row r="1353" ht="15.75" customHeight="1">
      <c r="A1353" s="27">
        <f t="shared" si="21"/>
        <v>232</v>
      </c>
      <c r="B1353" s="28" t="s">
        <v>4961</v>
      </c>
      <c r="C1353" s="43" t="s">
        <v>4962</v>
      </c>
      <c r="D1353" s="30" t="s">
        <v>4963</v>
      </c>
      <c r="E1353" s="28"/>
      <c r="F1353" s="28" t="s">
        <v>29</v>
      </c>
      <c r="G1353" s="28" t="s">
        <v>30</v>
      </c>
      <c r="H1353" s="28"/>
      <c r="I1353" s="28" t="s">
        <v>30</v>
      </c>
      <c r="J1353" s="28">
        <v>84.0</v>
      </c>
      <c r="K1353" s="28"/>
      <c r="L1353" s="28" t="s">
        <v>3522</v>
      </c>
      <c r="M1353" s="28" t="s">
        <v>2479</v>
      </c>
      <c r="N1353" s="28">
        <v>2011.0</v>
      </c>
      <c r="O1353" s="60">
        <v>121.0</v>
      </c>
      <c r="P1353" s="28">
        <v>1.0</v>
      </c>
      <c r="Q1353" s="32">
        <v>1.0</v>
      </c>
      <c r="R1353" s="33"/>
      <c r="S1353" s="40"/>
      <c r="T1353" s="40"/>
      <c r="U1353" s="40"/>
      <c r="V1353" s="40"/>
      <c r="W1353" s="40"/>
      <c r="X1353" s="40"/>
      <c r="Y1353" s="45"/>
      <c r="Z1353" s="45"/>
      <c r="AA1353" s="45"/>
      <c r="AB1353" s="45"/>
      <c r="AC1353" s="45"/>
      <c r="AD1353" s="45"/>
      <c r="AE1353" s="45"/>
      <c r="AF1353" s="45"/>
      <c r="AG1353" s="45"/>
      <c r="AH1353" s="45"/>
      <c r="AI1353" s="45"/>
      <c r="AJ1353" s="45"/>
      <c r="AK1353" s="45"/>
      <c r="AL1353" s="45"/>
    </row>
    <row r="1354" ht="15.75" customHeight="1">
      <c r="A1354" s="27">
        <f t="shared" si="21"/>
        <v>233</v>
      </c>
      <c r="B1354" s="28" t="s">
        <v>4964</v>
      </c>
      <c r="C1354" s="29" t="s">
        <v>4965</v>
      </c>
      <c r="D1354" s="30" t="s">
        <v>4966</v>
      </c>
      <c r="E1354" s="28" t="s">
        <v>28</v>
      </c>
      <c r="F1354" s="28" t="s">
        <v>29</v>
      </c>
      <c r="G1354" s="28" t="s">
        <v>38</v>
      </c>
      <c r="H1354" s="28"/>
      <c r="I1354" s="28" t="s">
        <v>38</v>
      </c>
      <c r="J1354" s="28">
        <v>325.0</v>
      </c>
      <c r="K1354" s="28"/>
      <c r="L1354" s="28" t="s">
        <v>4967</v>
      </c>
      <c r="M1354" s="28" t="s">
        <v>1191</v>
      </c>
      <c r="N1354" s="28">
        <v>2000.0</v>
      </c>
      <c r="O1354" s="62" t="s">
        <v>1381</v>
      </c>
      <c r="P1354" s="28">
        <v>1.0</v>
      </c>
      <c r="Q1354" s="32">
        <v>1.0</v>
      </c>
      <c r="R1354" s="33"/>
      <c r="S1354" s="40"/>
      <c r="T1354" s="40"/>
      <c r="U1354" s="40"/>
      <c r="V1354" s="40"/>
      <c r="W1354" s="40"/>
      <c r="X1354" s="40"/>
      <c r="Y1354" s="45"/>
      <c r="Z1354" s="45"/>
      <c r="AA1354" s="45"/>
      <c r="AB1354" s="45"/>
      <c r="AC1354" s="45"/>
      <c r="AD1354" s="45"/>
      <c r="AE1354" s="45"/>
      <c r="AF1354" s="45"/>
      <c r="AG1354" s="45"/>
      <c r="AH1354" s="45"/>
      <c r="AI1354" s="45"/>
      <c r="AJ1354" s="45"/>
      <c r="AK1354" s="45"/>
      <c r="AL1354" s="45"/>
    </row>
    <row r="1355" ht="15.75" customHeight="1">
      <c r="A1355" s="27">
        <f t="shared" si="21"/>
        <v>234</v>
      </c>
      <c r="B1355" s="121" t="s">
        <v>4968</v>
      </c>
      <c r="C1355" s="121" t="s">
        <v>4969</v>
      </c>
      <c r="D1355" s="171" t="s">
        <v>4970</v>
      </c>
      <c r="E1355" s="121" t="s">
        <v>4971</v>
      </c>
      <c r="F1355" s="121" t="s">
        <v>29</v>
      </c>
      <c r="G1355" s="121" t="s">
        <v>37</v>
      </c>
      <c r="H1355" s="83"/>
      <c r="I1355" s="121" t="s">
        <v>38</v>
      </c>
      <c r="J1355" s="121">
        <v>378.0</v>
      </c>
      <c r="K1355" s="83"/>
      <c r="L1355" s="28" t="s">
        <v>4972</v>
      </c>
      <c r="M1355" s="28" t="s">
        <v>4973</v>
      </c>
      <c r="N1355" s="121">
        <v>1992.0</v>
      </c>
      <c r="O1355" s="121">
        <v>18.0</v>
      </c>
      <c r="P1355" s="121">
        <v>1.0</v>
      </c>
      <c r="Q1355" s="121">
        <v>1.0</v>
      </c>
      <c r="R1355" s="84"/>
      <c r="S1355" s="40"/>
      <c r="T1355" s="40"/>
      <c r="U1355" s="40"/>
      <c r="V1355" s="40"/>
      <c r="W1355" s="40"/>
      <c r="X1355" s="40"/>
      <c r="Y1355" s="45"/>
      <c r="Z1355" s="45"/>
      <c r="AA1355" s="45"/>
      <c r="AB1355" s="45"/>
      <c r="AC1355" s="45"/>
      <c r="AD1355" s="45"/>
      <c r="AE1355" s="45"/>
      <c r="AF1355" s="45"/>
      <c r="AG1355" s="45"/>
      <c r="AH1355" s="45"/>
      <c r="AI1355" s="45"/>
      <c r="AJ1355" s="45"/>
      <c r="AK1355" s="45"/>
      <c r="AL1355" s="45"/>
    </row>
    <row r="1356" ht="15.75" customHeight="1">
      <c r="A1356" s="27">
        <f t="shared" si="21"/>
        <v>235</v>
      </c>
      <c r="B1356" s="121" t="s">
        <v>4968</v>
      </c>
      <c r="C1356" s="121" t="s">
        <v>4969</v>
      </c>
      <c r="D1356" s="171" t="s">
        <v>4974</v>
      </c>
      <c r="E1356" s="121" t="s">
        <v>4971</v>
      </c>
      <c r="F1356" s="121" t="s">
        <v>29</v>
      </c>
      <c r="G1356" s="121" t="s">
        <v>37</v>
      </c>
      <c r="H1356" s="83"/>
      <c r="I1356" s="121" t="s">
        <v>38</v>
      </c>
      <c r="J1356" s="121">
        <v>557.0</v>
      </c>
      <c r="K1356" s="83"/>
      <c r="L1356" s="28" t="s">
        <v>4972</v>
      </c>
      <c r="M1356" s="28" t="s">
        <v>4973</v>
      </c>
      <c r="N1356" s="121">
        <v>1991.0</v>
      </c>
      <c r="O1356" s="121">
        <v>18.0</v>
      </c>
      <c r="P1356" s="121">
        <v>1.0</v>
      </c>
      <c r="Q1356" s="121">
        <v>1.0</v>
      </c>
      <c r="R1356" s="84"/>
      <c r="S1356" s="40"/>
      <c r="T1356" s="40"/>
      <c r="U1356" s="40"/>
      <c r="V1356" s="40"/>
      <c r="W1356" s="40"/>
      <c r="X1356" s="40"/>
      <c r="Y1356" s="45"/>
      <c r="Z1356" s="45"/>
      <c r="AA1356" s="45"/>
      <c r="AB1356" s="45"/>
      <c r="AC1356" s="45"/>
      <c r="AD1356" s="45"/>
      <c r="AE1356" s="45"/>
      <c r="AF1356" s="45"/>
      <c r="AG1356" s="45"/>
      <c r="AH1356" s="45"/>
      <c r="AI1356" s="45"/>
      <c r="AJ1356" s="45"/>
      <c r="AK1356" s="45"/>
      <c r="AL1356" s="45"/>
    </row>
    <row r="1357" ht="15.75" customHeight="1">
      <c r="A1357" s="27">
        <f t="shared" si="21"/>
        <v>236</v>
      </c>
      <c r="B1357" s="121" t="s">
        <v>4968</v>
      </c>
      <c r="C1357" s="121" t="s">
        <v>4969</v>
      </c>
      <c r="D1357" s="171" t="s">
        <v>4975</v>
      </c>
      <c r="E1357" s="121" t="s">
        <v>4971</v>
      </c>
      <c r="F1357" s="121" t="s">
        <v>29</v>
      </c>
      <c r="G1357" s="121" t="s">
        <v>37</v>
      </c>
      <c r="H1357" s="83"/>
      <c r="I1357" s="121" t="s">
        <v>38</v>
      </c>
      <c r="J1357" s="121">
        <v>198.0</v>
      </c>
      <c r="K1357" s="83"/>
      <c r="L1357" s="28" t="s">
        <v>4972</v>
      </c>
      <c r="M1357" s="28" t="s">
        <v>4973</v>
      </c>
      <c r="N1357" s="121">
        <v>1987.0</v>
      </c>
      <c r="O1357" s="121">
        <v>18.0</v>
      </c>
      <c r="P1357" s="121">
        <v>1.0</v>
      </c>
      <c r="Q1357" s="121">
        <v>1.0</v>
      </c>
      <c r="R1357" s="84"/>
      <c r="S1357" s="40"/>
      <c r="T1357" s="40"/>
      <c r="U1357" s="40"/>
      <c r="V1357" s="40"/>
      <c r="W1357" s="40"/>
      <c r="X1357" s="40"/>
      <c r="Y1357" s="45"/>
      <c r="Z1357" s="45"/>
      <c r="AA1357" s="45"/>
      <c r="AB1357" s="45"/>
      <c r="AC1357" s="45"/>
      <c r="AD1357" s="45"/>
      <c r="AE1357" s="45"/>
      <c r="AF1357" s="45"/>
      <c r="AG1357" s="45"/>
      <c r="AH1357" s="45"/>
      <c r="AI1357" s="45"/>
      <c r="AJ1357" s="45"/>
      <c r="AK1357" s="45"/>
      <c r="AL1357" s="45"/>
    </row>
    <row r="1358" ht="15.75" customHeight="1">
      <c r="A1358" s="27">
        <f t="shared" si="21"/>
        <v>237</v>
      </c>
      <c r="B1358" s="121" t="s">
        <v>4968</v>
      </c>
      <c r="C1358" s="121" t="s">
        <v>4969</v>
      </c>
      <c r="D1358" s="171" t="s">
        <v>4976</v>
      </c>
      <c r="E1358" s="121" t="s">
        <v>4971</v>
      </c>
      <c r="F1358" s="121" t="s">
        <v>29</v>
      </c>
      <c r="G1358" s="121" t="s">
        <v>37</v>
      </c>
      <c r="H1358" s="83"/>
      <c r="I1358" s="121" t="s">
        <v>38</v>
      </c>
      <c r="J1358" s="121">
        <v>494.0</v>
      </c>
      <c r="K1358" s="83"/>
      <c r="L1358" s="28" t="s">
        <v>4972</v>
      </c>
      <c r="M1358" s="28" t="s">
        <v>4973</v>
      </c>
      <c r="N1358" s="121">
        <v>1986.0</v>
      </c>
      <c r="O1358" s="121">
        <v>18.0</v>
      </c>
      <c r="P1358" s="121">
        <v>1.0</v>
      </c>
      <c r="Q1358" s="121">
        <v>1.0</v>
      </c>
      <c r="R1358" s="84"/>
      <c r="S1358" s="40"/>
      <c r="T1358" s="40"/>
      <c r="U1358" s="40"/>
      <c r="V1358" s="40"/>
      <c r="W1358" s="40"/>
      <c r="X1358" s="40"/>
      <c r="Y1358" s="45"/>
      <c r="Z1358" s="45"/>
      <c r="AA1358" s="45"/>
      <c r="AB1358" s="45"/>
      <c r="AC1358" s="45"/>
      <c r="AD1358" s="45"/>
      <c r="AE1358" s="45"/>
      <c r="AF1358" s="45"/>
      <c r="AG1358" s="45"/>
      <c r="AH1358" s="45"/>
      <c r="AI1358" s="45"/>
      <c r="AJ1358" s="45"/>
      <c r="AK1358" s="45"/>
      <c r="AL1358" s="45"/>
    </row>
    <row r="1359" ht="15.75" customHeight="1">
      <c r="A1359" s="27">
        <f t="shared" si="21"/>
        <v>238</v>
      </c>
      <c r="B1359" s="121" t="s">
        <v>4968</v>
      </c>
      <c r="C1359" s="121" t="s">
        <v>4969</v>
      </c>
      <c r="D1359" s="171" t="s">
        <v>4977</v>
      </c>
      <c r="E1359" s="121" t="s">
        <v>4971</v>
      </c>
      <c r="F1359" s="121" t="s">
        <v>29</v>
      </c>
      <c r="G1359" s="121" t="s">
        <v>37</v>
      </c>
      <c r="H1359" s="83"/>
      <c r="I1359" s="121" t="s">
        <v>38</v>
      </c>
      <c r="J1359" s="121">
        <v>190.0</v>
      </c>
      <c r="K1359" s="83"/>
      <c r="L1359" s="28" t="s">
        <v>4972</v>
      </c>
      <c r="M1359" s="28" t="s">
        <v>4973</v>
      </c>
      <c r="N1359" s="121">
        <v>1986.0</v>
      </c>
      <c r="O1359" s="121">
        <v>18.0</v>
      </c>
      <c r="P1359" s="121">
        <v>1.0</v>
      </c>
      <c r="Q1359" s="121">
        <v>1.0</v>
      </c>
      <c r="R1359" s="84"/>
      <c r="S1359" s="38"/>
      <c r="T1359" s="38"/>
      <c r="U1359" s="38"/>
      <c r="V1359" s="38"/>
      <c r="W1359" s="38"/>
      <c r="X1359" s="38"/>
      <c r="Y1359" s="45"/>
      <c r="Z1359" s="45"/>
      <c r="AA1359" s="45"/>
      <c r="AB1359" s="45"/>
      <c r="AC1359" s="45"/>
      <c r="AD1359" s="45"/>
      <c r="AE1359" s="45"/>
      <c r="AF1359" s="45"/>
      <c r="AG1359" s="45"/>
      <c r="AH1359" s="45"/>
      <c r="AI1359" s="45"/>
      <c r="AJ1359" s="45"/>
      <c r="AK1359" s="45"/>
      <c r="AL1359" s="45"/>
    </row>
    <row r="1360" ht="15.75" customHeight="1">
      <c r="A1360" s="27">
        <f t="shared" si="21"/>
        <v>239</v>
      </c>
      <c r="B1360" s="121" t="s">
        <v>4968</v>
      </c>
      <c r="C1360" s="121" t="s">
        <v>4969</v>
      </c>
      <c r="D1360" s="171" t="s">
        <v>4978</v>
      </c>
      <c r="E1360" s="121" t="s">
        <v>4971</v>
      </c>
      <c r="F1360" s="121" t="s">
        <v>29</v>
      </c>
      <c r="G1360" s="121" t="s">
        <v>37</v>
      </c>
      <c r="H1360" s="83"/>
      <c r="I1360" s="121" t="s">
        <v>38</v>
      </c>
      <c r="J1360" s="121">
        <v>502.0</v>
      </c>
      <c r="K1360" s="83"/>
      <c r="L1360" s="28" t="s">
        <v>4972</v>
      </c>
      <c r="M1360" s="28" t="s">
        <v>4973</v>
      </c>
      <c r="N1360" s="121">
        <v>1985.0</v>
      </c>
      <c r="O1360" s="121">
        <v>18.0</v>
      </c>
      <c r="P1360" s="121">
        <v>1.0</v>
      </c>
      <c r="Q1360" s="121">
        <v>1.0</v>
      </c>
      <c r="R1360" s="84"/>
      <c r="S1360" s="40"/>
      <c r="T1360" s="40"/>
      <c r="U1360" s="40"/>
      <c r="V1360" s="40"/>
      <c r="W1360" s="40"/>
      <c r="X1360" s="40"/>
      <c r="Y1360" s="45"/>
      <c r="Z1360" s="45"/>
      <c r="AA1360" s="45"/>
      <c r="AB1360" s="45"/>
      <c r="AC1360" s="45"/>
      <c r="AD1360" s="45"/>
      <c r="AE1360" s="45"/>
      <c r="AF1360" s="45"/>
      <c r="AG1360" s="45"/>
      <c r="AH1360" s="45"/>
      <c r="AI1360" s="45"/>
      <c r="AJ1360" s="45"/>
      <c r="AK1360" s="45"/>
      <c r="AL1360" s="45"/>
    </row>
    <row r="1361" ht="15.75" customHeight="1">
      <c r="A1361" s="27">
        <f t="shared" si="21"/>
        <v>240</v>
      </c>
      <c r="B1361" s="121" t="s">
        <v>4968</v>
      </c>
      <c r="C1361" s="121" t="s">
        <v>4969</v>
      </c>
      <c r="D1361" s="171" t="s">
        <v>4979</v>
      </c>
      <c r="E1361" s="121" t="s">
        <v>4971</v>
      </c>
      <c r="F1361" s="121" t="s">
        <v>29</v>
      </c>
      <c r="G1361" s="121" t="s">
        <v>37</v>
      </c>
      <c r="H1361" s="83"/>
      <c r="I1361" s="121" t="s">
        <v>38</v>
      </c>
      <c r="J1361" s="121">
        <v>397.0</v>
      </c>
      <c r="K1361" s="83"/>
      <c r="L1361" s="28" t="s">
        <v>4972</v>
      </c>
      <c r="M1361" s="28" t="s">
        <v>4973</v>
      </c>
      <c r="N1361" s="121">
        <v>1985.0</v>
      </c>
      <c r="O1361" s="121">
        <v>18.0</v>
      </c>
      <c r="P1361" s="121">
        <v>1.0</v>
      </c>
      <c r="Q1361" s="121">
        <v>1.0</v>
      </c>
      <c r="R1361" s="84"/>
      <c r="S1361" s="40"/>
      <c r="T1361" s="40"/>
      <c r="U1361" s="40"/>
      <c r="V1361" s="40"/>
      <c r="W1361" s="40"/>
      <c r="X1361" s="40"/>
      <c r="Y1361" s="3"/>
      <c r="Z1361" s="3"/>
      <c r="AA1361" s="3"/>
      <c r="AB1361" s="3"/>
      <c r="AC1361" s="3"/>
      <c r="AD1361" s="3"/>
      <c r="AE1361" s="3"/>
      <c r="AF1361" s="3"/>
      <c r="AG1361" s="3"/>
      <c r="AH1361" s="3"/>
      <c r="AI1361" s="3"/>
      <c r="AJ1361" s="3"/>
      <c r="AK1361" s="3"/>
      <c r="AL1361" s="3"/>
    </row>
    <row r="1362" ht="15.75" customHeight="1">
      <c r="A1362" s="27">
        <f t="shared" si="21"/>
        <v>241</v>
      </c>
      <c r="B1362" s="121" t="s">
        <v>4968</v>
      </c>
      <c r="C1362" s="121" t="s">
        <v>4969</v>
      </c>
      <c r="D1362" s="171" t="s">
        <v>4980</v>
      </c>
      <c r="E1362" s="121" t="s">
        <v>4971</v>
      </c>
      <c r="F1362" s="121" t="s">
        <v>29</v>
      </c>
      <c r="G1362" s="121" t="s">
        <v>37</v>
      </c>
      <c r="H1362" s="83"/>
      <c r="I1362" s="121" t="s">
        <v>38</v>
      </c>
      <c r="J1362" s="121">
        <v>188.0</v>
      </c>
      <c r="K1362" s="83"/>
      <c r="L1362" s="28" t="s">
        <v>4972</v>
      </c>
      <c r="M1362" s="28" t="s">
        <v>4973</v>
      </c>
      <c r="N1362" s="121">
        <v>1985.0</v>
      </c>
      <c r="O1362" s="121">
        <v>18.0</v>
      </c>
      <c r="P1362" s="121">
        <v>1.0</v>
      </c>
      <c r="Q1362" s="121">
        <v>1.0</v>
      </c>
      <c r="R1362" s="84"/>
      <c r="S1362" s="38"/>
      <c r="T1362" s="38"/>
      <c r="U1362" s="38"/>
      <c r="V1362" s="38"/>
      <c r="W1362" s="38"/>
      <c r="X1362" s="38"/>
      <c r="Y1362" s="3"/>
      <c r="Z1362" s="3"/>
      <c r="AA1362" s="3"/>
      <c r="AB1362" s="3"/>
      <c r="AC1362" s="3"/>
      <c r="AD1362" s="3"/>
      <c r="AE1362" s="3"/>
      <c r="AF1362" s="3"/>
      <c r="AG1362" s="3"/>
      <c r="AH1362" s="3"/>
      <c r="AI1362" s="3"/>
      <c r="AJ1362" s="3"/>
      <c r="AK1362" s="3"/>
      <c r="AL1362" s="3"/>
    </row>
    <row r="1363" ht="15.75" customHeight="1">
      <c r="A1363" s="27">
        <f t="shared" si="21"/>
        <v>242</v>
      </c>
      <c r="B1363" s="121" t="s">
        <v>4968</v>
      </c>
      <c r="C1363" s="121" t="s">
        <v>4969</v>
      </c>
      <c r="D1363" s="171" t="s">
        <v>4981</v>
      </c>
      <c r="E1363" s="121" t="s">
        <v>4971</v>
      </c>
      <c r="F1363" s="121" t="s">
        <v>29</v>
      </c>
      <c r="G1363" s="121" t="s">
        <v>37</v>
      </c>
      <c r="H1363" s="83"/>
      <c r="I1363" s="121" t="s">
        <v>38</v>
      </c>
      <c r="J1363" s="121">
        <v>540.0</v>
      </c>
      <c r="K1363" s="83"/>
      <c r="L1363" s="28" t="s">
        <v>4972</v>
      </c>
      <c r="M1363" s="28" t="s">
        <v>4973</v>
      </c>
      <c r="N1363" s="121">
        <v>1984.0</v>
      </c>
      <c r="O1363" s="121">
        <v>18.0</v>
      </c>
      <c r="P1363" s="121">
        <v>1.0</v>
      </c>
      <c r="Q1363" s="121">
        <v>1.0</v>
      </c>
      <c r="R1363" s="84"/>
      <c r="S1363" s="40"/>
      <c r="T1363" s="40"/>
      <c r="U1363" s="40"/>
      <c r="V1363" s="40"/>
      <c r="W1363" s="40"/>
      <c r="X1363" s="40"/>
      <c r="Y1363" s="45"/>
      <c r="Z1363" s="45"/>
      <c r="AA1363" s="45"/>
      <c r="AB1363" s="45"/>
      <c r="AC1363" s="45"/>
      <c r="AD1363" s="45"/>
      <c r="AE1363" s="45"/>
      <c r="AF1363" s="45"/>
      <c r="AG1363" s="45"/>
      <c r="AH1363" s="45"/>
      <c r="AI1363" s="45"/>
      <c r="AJ1363" s="45"/>
      <c r="AK1363" s="45"/>
      <c r="AL1363" s="45"/>
    </row>
    <row r="1364" ht="15.75" customHeight="1">
      <c r="A1364" s="27">
        <f t="shared" si="21"/>
        <v>243</v>
      </c>
      <c r="B1364" s="121" t="s">
        <v>4968</v>
      </c>
      <c r="C1364" s="121" t="s">
        <v>4969</v>
      </c>
      <c r="D1364" s="171" t="s">
        <v>4982</v>
      </c>
      <c r="E1364" s="121" t="s">
        <v>4971</v>
      </c>
      <c r="F1364" s="121" t="s">
        <v>29</v>
      </c>
      <c r="G1364" s="121" t="s">
        <v>37</v>
      </c>
      <c r="H1364" s="83"/>
      <c r="I1364" s="121" t="s">
        <v>38</v>
      </c>
      <c r="J1364" s="121">
        <v>400.0</v>
      </c>
      <c r="K1364" s="83"/>
      <c r="L1364" s="28" t="s">
        <v>4972</v>
      </c>
      <c r="M1364" s="28" t="s">
        <v>4973</v>
      </c>
      <c r="N1364" s="121">
        <v>1984.0</v>
      </c>
      <c r="O1364" s="121">
        <v>18.0</v>
      </c>
      <c r="P1364" s="121">
        <v>1.0</v>
      </c>
      <c r="Q1364" s="121">
        <v>1.0</v>
      </c>
      <c r="R1364" s="84"/>
      <c r="S1364" s="40"/>
      <c r="T1364" s="40"/>
      <c r="U1364" s="40"/>
      <c r="V1364" s="40"/>
      <c r="W1364" s="40"/>
      <c r="X1364" s="40"/>
      <c r="Y1364" s="3"/>
      <c r="Z1364" s="3"/>
      <c r="AA1364" s="3"/>
      <c r="AB1364" s="3"/>
      <c r="AC1364" s="3"/>
      <c r="AD1364" s="3"/>
      <c r="AE1364" s="3"/>
      <c r="AF1364" s="3"/>
      <c r="AG1364" s="3"/>
      <c r="AH1364" s="3"/>
      <c r="AI1364" s="3"/>
      <c r="AJ1364" s="3"/>
      <c r="AK1364" s="3"/>
      <c r="AL1364" s="3"/>
    </row>
    <row r="1365" ht="15.75" customHeight="1">
      <c r="A1365" s="27">
        <f t="shared" si="21"/>
        <v>244</v>
      </c>
      <c r="B1365" s="121" t="s">
        <v>4968</v>
      </c>
      <c r="C1365" s="121" t="s">
        <v>4969</v>
      </c>
      <c r="D1365" s="171" t="s">
        <v>4983</v>
      </c>
      <c r="E1365" s="121" t="s">
        <v>4971</v>
      </c>
      <c r="F1365" s="121" t="s">
        <v>29</v>
      </c>
      <c r="G1365" s="121" t="s">
        <v>37</v>
      </c>
      <c r="H1365" s="83"/>
      <c r="I1365" s="121" t="s">
        <v>38</v>
      </c>
      <c r="J1365" s="121">
        <v>191.0</v>
      </c>
      <c r="K1365" s="83"/>
      <c r="L1365" s="28" t="s">
        <v>4972</v>
      </c>
      <c r="M1365" s="28" t="s">
        <v>4973</v>
      </c>
      <c r="N1365" s="121">
        <v>1984.0</v>
      </c>
      <c r="O1365" s="121">
        <v>18.0</v>
      </c>
      <c r="P1365" s="121">
        <v>1.0</v>
      </c>
      <c r="Q1365" s="121">
        <v>1.0</v>
      </c>
      <c r="R1365" s="84"/>
      <c r="S1365" s="40"/>
      <c r="T1365" s="40"/>
      <c r="U1365" s="40"/>
      <c r="V1365" s="40"/>
      <c r="W1365" s="40"/>
      <c r="X1365" s="40"/>
      <c r="Y1365" s="45"/>
      <c r="Z1365" s="45"/>
      <c r="AA1365" s="45"/>
      <c r="AB1365" s="45"/>
      <c r="AC1365" s="45"/>
      <c r="AD1365" s="45"/>
      <c r="AE1365" s="45"/>
      <c r="AF1365" s="45"/>
      <c r="AG1365" s="45"/>
      <c r="AH1365" s="45"/>
      <c r="AI1365" s="45"/>
      <c r="AJ1365" s="45"/>
      <c r="AK1365" s="45"/>
      <c r="AL1365" s="45"/>
    </row>
    <row r="1366" ht="15.75" customHeight="1">
      <c r="A1366" s="27">
        <f t="shared" si="21"/>
        <v>245</v>
      </c>
      <c r="B1366" s="121" t="s">
        <v>4968</v>
      </c>
      <c r="C1366" s="121" t="s">
        <v>4969</v>
      </c>
      <c r="D1366" s="171" t="s">
        <v>4984</v>
      </c>
      <c r="E1366" s="121" t="s">
        <v>4971</v>
      </c>
      <c r="F1366" s="121" t="s">
        <v>29</v>
      </c>
      <c r="G1366" s="121" t="s">
        <v>37</v>
      </c>
      <c r="H1366" s="83"/>
      <c r="I1366" s="121" t="s">
        <v>38</v>
      </c>
      <c r="J1366" s="121">
        <v>498.0</v>
      </c>
      <c r="K1366" s="83"/>
      <c r="L1366" s="28" t="s">
        <v>4972</v>
      </c>
      <c r="M1366" s="28" t="s">
        <v>4973</v>
      </c>
      <c r="N1366" s="121">
        <v>1983.0</v>
      </c>
      <c r="O1366" s="121">
        <v>18.0</v>
      </c>
      <c r="P1366" s="121">
        <v>1.0</v>
      </c>
      <c r="Q1366" s="121">
        <v>1.0</v>
      </c>
      <c r="R1366" s="84"/>
      <c r="S1366" s="38"/>
      <c r="T1366" s="38"/>
      <c r="U1366" s="38"/>
      <c r="V1366" s="38"/>
      <c r="W1366" s="38"/>
      <c r="X1366" s="38"/>
      <c r="Y1366" s="45"/>
      <c r="Z1366" s="45"/>
      <c r="AA1366" s="45"/>
      <c r="AB1366" s="45"/>
      <c r="AC1366" s="45"/>
      <c r="AD1366" s="45"/>
      <c r="AE1366" s="45"/>
      <c r="AF1366" s="45"/>
      <c r="AG1366" s="45"/>
      <c r="AH1366" s="45"/>
      <c r="AI1366" s="45"/>
      <c r="AJ1366" s="45"/>
      <c r="AK1366" s="45"/>
      <c r="AL1366" s="45"/>
    </row>
    <row r="1367" ht="15.75" customHeight="1">
      <c r="A1367" s="27">
        <f t="shared" si="21"/>
        <v>246</v>
      </c>
      <c r="B1367" s="121" t="s">
        <v>4968</v>
      </c>
      <c r="C1367" s="121" t="s">
        <v>4969</v>
      </c>
      <c r="D1367" s="171" t="s">
        <v>4985</v>
      </c>
      <c r="E1367" s="121" t="s">
        <v>4971</v>
      </c>
      <c r="F1367" s="121" t="s">
        <v>29</v>
      </c>
      <c r="G1367" s="121" t="s">
        <v>37</v>
      </c>
      <c r="H1367" s="83"/>
      <c r="I1367" s="121" t="s">
        <v>38</v>
      </c>
      <c r="J1367" s="121">
        <v>509.0</v>
      </c>
      <c r="K1367" s="83"/>
      <c r="L1367" s="28" t="s">
        <v>4972</v>
      </c>
      <c r="M1367" s="28" t="s">
        <v>4973</v>
      </c>
      <c r="N1367" s="121">
        <v>1982.0</v>
      </c>
      <c r="O1367" s="121">
        <v>18.0</v>
      </c>
      <c r="P1367" s="121">
        <v>1.0</v>
      </c>
      <c r="Q1367" s="121">
        <v>1.0</v>
      </c>
      <c r="R1367" s="84"/>
      <c r="S1367" s="40"/>
      <c r="T1367" s="40"/>
      <c r="U1367" s="40"/>
      <c r="V1367" s="40"/>
      <c r="W1367" s="40"/>
      <c r="X1367" s="40"/>
      <c r="Y1367" s="45"/>
      <c r="Z1367" s="45"/>
      <c r="AA1367" s="45"/>
      <c r="AB1367" s="45"/>
      <c r="AC1367" s="45"/>
      <c r="AD1367" s="45"/>
      <c r="AE1367" s="45"/>
      <c r="AF1367" s="45"/>
      <c r="AG1367" s="45"/>
      <c r="AH1367" s="45"/>
      <c r="AI1367" s="45"/>
      <c r="AJ1367" s="45"/>
      <c r="AK1367" s="45"/>
      <c r="AL1367" s="45"/>
    </row>
    <row r="1368" ht="15.75" customHeight="1">
      <c r="A1368" s="27">
        <f t="shared" si="21"/>
        <v>247</v>
      </c>
      <c r="B1368" s="121" t="s">
        <v>4968</v>
      </c>
      <c r="C1368" s="121" t="s">
        <v>4969</v>
      </c>
      <c r="D1368" s="171" t="s">
        <v>4986</v>
      </c>
      <c r="E1368" s="121" t="s">
        <v>4971</v>
      </c>
      <c r="F1368" s="121" t="s">
        <v>29</v>
      </c>
      <c r="G1368" s="121" t="s">
        <v>37</v>
      </c>
      <c r="H1368" s="83"/>
      <c r="I1368" s="121" t="s">
        <v>38</v>
      </c>
      <c r="J1368" s="121">
        <v>406.0</v>
      </c>
      <c r="K1368" s="83"/>
      <c r="L1368" s="28" t="s">
        <v>4972</v>
      </c>
      <c r="M1368" s="28" t="s">
        <v>4973</v>
      </c>
      <c r="N1368" s="121">
        <v>1982.0</v>
      </c>
      <c r="O1368" s="121">
        <v>18.0</v>
      </c>
      <c r="P1368" s="121">
        <v>1.0</v>
      </c>
      <c r="Q1368" s="121">
        <v>1.0</v>
      </c>
      <c r="R1368" s="84"/>
      <c r="S1368" s="40"/>
      <c r="T1368" s="40"/>
      <c r="U1368" s="40"/>
      <c r="V1368" s="40"/>
      <c r="W1368" s="40"/>
      <c r="X1368" s="40"/>
      <c r="Y1368" s="45"/>
      <c r="Z1368" s="45"/>
      <c r="AA1368" s="45"/>
      <c r="AB1368" s="45"/>
      <c r="AC1368" s="45"/>
      <c r="AD1368" s="45"/>
      <c r="AE1368" s="45"/>
      <c r="AF1368" s="45"/>
      <c r="AG1368" s="45"/>
      <c r="AH1368" s="45"/>
      <c r="AI1368" s="45"/>
      <c r="AJ1368" s="45"/>
      <c r="AK1368" s="45"/>
      <c r="AL1368" s="45"/>
    </row>
    <row r="1369" ht="15.75" customHeight="1">
      <c r="A1369" s="27">
        <f t="shared" si="21"/>
        <v>248</v>
      </c>
      <c r="B1369" s="121" t="s">
        <v>4968</v>
      </c>
      <c r="C1369" s="121" t="s">
        <v>4969</v>
      </c>
      <c r="D1369" s="171" t="s">
        <v>4987</v>
      </c>
      <c r="E1369" s="121" t="s">
        <v>4971</v>
      </c>
      <c r="F1369" s="121" t="s">
        <v>29</v>
      </c>
      <c r="G1369" s="121" t="s">
        <v>37</v>
      </c>
      <c r="H1369" s="83"/>
      <c r="I1369" s="121" t="s">
        <v>38</v>
      </c>
      <c r="J1369" s="121">
        <v>189.0</v>
      </c>
      <c r="K1369" s="83"/>
      <c r="L1369" s="28" t="s">
        <v>4972</v>
      </c>
      <c r="M1369" s="28" t="s">
        <v>4973</v>
      </c>
      <c r="N1369" s="121">
        <v>1982.0</v>
      </c>
      <c r="O1369" s="121">
        <v>18.0</v>
      </c>
      <c r="P1369" s="121">
        <v>1.0</v>
      </c>
      <c r="Q1369" s="121">
        <v>1.0</v>
      </c>
      <c r="R1369" s="84"/>
      <c r="S1369" s="40"/>
      <c r="T1369" s="40"/>
      <c r="U1369" s="40"/>
      <c r="V1369" s="40"/>
      <c r="W1369" s="40"/>
      <c r="X1369" s="40"/>
      <c r="Y1369" s="3"/>
      <c r="Z1369" s="3"/>
      <c r="AA1369" s="3"/>
      <c r="AB1369" s="3"/>
      <c r="AC1369" s="3"/>
      <c r="AD1369" s="3"/>
      <c r="AE1369" s="3"/>
      <c r="AF1369" s="3"/>
      <c r="AG1369" s="3"/>
      <c r="AH1369" s="3"/>
      <c r="AI1369" s="3"/>
      <c r="AJ1369" s="3"/>
      <c r="AK1369" s="3"/>
      <c r="AL1369" s="3"/>
    </row>
    <row r="1370" ht="15.75" customHeight="1">
      <c r="A1370" s="27">
        <f t="shared" si="21"/>
        <v>249</v>
      </c>
      <c r="B1370" s="121" t="s">
        <v>4968</v>
      </c>
      <c r="C1370" s="121" t="s">
        <v>4969</v>
      </c>
      <c r="D1370" s="171" t="s">
        <v>4988</v>
      </c>
      <c r="E1370" s="121" t="s">
        <v>4971</v>
      </c>
      <c r="F1370" s="121" t="s">
        <v>29</v>
      </c>
      <c r="G1370" s="121" t="s">
        <v>37</v>
      </c>
      <c r="H1370" s="83"/>
      <c r="I1370" s="121" t="s">
        <v>38</v>
      </c>
      <c r="J1370" s="121">
        <v>494.0</v>
      </c>
      <c r="K1370" s="83"/>
      <c r="L1370" s="28" t="s">
        <v>4972</v>
      </c>
      <c r="M1370" s="28" t="s">
        <v>4973</v>
      </c>
      <c r="N1370" s="121">
        <v>1981.0</v>
      </c>
      <c r="O1370" s="121">
        <v>18.0</v>
      </c>
      <c r="P1370" s="121">
        <v>1.0</v>
      </c>
      <c r="Q1370" s="121">
        <v>1.0</v>
      </c>
      <c r="R1370" s="84"/>
      <c r="S1370" s="40"/>
      <c r="T1370" s="40"/>
      <c r="U1370" s="40"/>
      <c r="V1370" s="40"/>
      <c r="W1370" s="40"/>
      <c r="X1370" s="40"/>
      <c r="Y1370" s="45"/>
      <c r="Z1370" s="45"/>
      <c r="AA1370" s="45"/>
      <c r="AB1370" s="45"/>
      <c r="AC1370" s="45"/>
      <c r="AD1370" s="45"/>
      <c r="AE1370" s="45"/>
      <c r="AF1370" s="45"/>
      <c r="AG1370" s="45"/>
      <c r="AH1370" s="45"/>
      <c r="AI1370" s="45"/>
      <c r="AJ1370" s="45"/>
      <c r="AK1370" s="45"/>
      <c r="AL1370" s="45"/>
    </row>
    <row r="1371" ht="15.75" customHeight="1">
      <c r="A1371" s="27">
        <f t="shared" si="21"/>
        <v>250</v>
      </c>
      <c r="B1371" s="121" t="s">
        <v>4968</v>
      </c>
      <c r="C1371" s="121" t="s">
        <v>4969</v>
      </c>
      <c r="D1371" s="171" t="s">
        <v>4989</v>
      </c>
      <c r="E1371" s="121" t="s">
        <v>4971</v>
      </c>
      <c r="F1371" s="121" t="s">
        <v>29</v>
      </c>
      <c r="G1371" s="121" t="s">
        <v>37</v>
      </c>
      <c r="H1371" s="83"/>
      <c r="I1371" s="121" t="s">
        <v>38</v>
      </c>
      <c r="J1371" s="121">
        <v>398.0</v>
      </c>
      <c r="K1371" s="83"/>
      <c r="L1371" s="28" t="s">
        <v>4972</v>
      </c>
      <c r="M1371" s="28" t="s">
        <v>4973</v>
      </c>
      <c r="N1371" s="121">
        <v>1981.0</v>
      </c>
      <c r="O1371" s="121">
        <v>18.0</v>
      </c>
      <c r="P1371" s="121">
        <v>1.0</v>
      </c>
      <c r="Q1371" s="121">
        <v>1.0</v>
      </c>
      <c r="R1371" s="84"/>
      <c r="S1371" s="40"/>
      <c r="T1371" s="40"/>
      <c r="U1371" s="40"/>
      <c r="V1371" s="40"/>
      <c r="W1371" s="40"/>
      <c r="X1371" s="40"/>
      <c r="Y1371" s="45"/>
      <c r="Z1371" s="45"/>
      <c r="AA1371" s="45"/>
      <c r="AB1371" s="45"/>
      <c r="AC1371" s="45"/>
      <c r="AD1371" s="45"/>
      <c r="AE1371" s="45"/>
      <c r="AF1371" s="45"/>
      <c r="AG1371" s="45"/>
      <c r="AH1371" s="45"/>
      <c r="AI1371" s="45"/>
      <c r="AJ1371" s="45"/>
      <c r="AK1371" s="45"/>
      <c r="AL1371" s="45"/>
    </row>
    <row r="1372" ht="15.75" customHeight="1">
      <c r="A1372" s="27">
        <f t="shared" si="21"/>
        <v>251</v>
      </c>
      <c r="B1372" s="121" t="s">
        <v>4968</v>
      </c>
      <c r="C1372" s="121" t="s">
        <v>4969</v>
      </c>
      <c r="D1372" s="171" t="s">
        <v>4990</v>
      </c>
      <c r="E1372" s="121" t="s">
        <v>4971</v>
      </c>
      <c r="F1372" s="121" t="s">
        <v>29</v>
      </c>
      <c r="G1372" s="121" t="s">
        <v>37</v>
      </c>
      <c r="H1372" s="83"/>
      <c r="I1372" s="121" t="s">
        <v>38</v>
      </c>
      <c r="J1372" s="121">
        <v>190.0</v>
      </c>
      <c r="K1372" s="83"/>
      <c r="L1372" s="28" t="s">
        <v>4972</v>
      </c>
      <c r="M1372" s="28" t="s">
        <v>4973</v>
      </c>
      <c r="N1372" s="121">
        <v>1981.0</v>
      </c>
      <c r="O1372" s="121">
        <v>18.0</v>
      </c>
      <c r="P1372" s="121">
        <v>1.0</v>
      </c>
      <c r="Q1372" s="121">
        <v>1.0</v>
      </c>
      <c r="R1372" s="84"/>
      <c r="S1372" s="40"/>
      <c r="T1372" s="40"/>
      <c r="U1372" s="40"/>
      <c r="V1372" s="40"/>
      <c r="W1372" s="40"/>
      <c r="X1372" s="40"/>
      <c r="Y1372" s="3"/>
      <c r="Z1372" s="3"/>
      <c r="AA1372" s="3"/>
      <c r="AB1372" s="3"/>
      <c r="AC1372" s="3"/>
      <c r="AD1372" s="3"/>
      <c r="AE1372" s="3"/>
      <c r="AF1372" s="3"/>
      <c r="AG1372" s="3"/>
      <c r="AH1372" s="3"/>
      <c r="AI1372" s="3"/>
      <c r="AJ1372" s="3"/>
      <c r="AK1372" s="3"/>
      <c r="AL1372" s="3"/>
    </row>
    <row r="1373" ht="15.75" customHeight="1">
      <c r="A1373" s="27">
        <f t="shared" si="21"/>
        <v>252</v>
      </c>
      <c r="B1373" s="121" t="s">
        <v>4968</v>
      </c>
      <c r="C1373" s="121" t="s">
        <v>4969</v>
      </c>
      <c r="D1373" s="171" t="s">
        <v>4991</v>
      </c>
      <c r="E1373" s="121" t="s">
        <v>4971</v>
      </c>
      <c r="F1373" s="121" t="s">
        <v>29</v>
      </c>
      <c r="G1373" s="121" t="s">
        <v>37</v>
      </c>
      <c r="H1373" s="83"/>
      <c r="I1373" s="121" t="s">
        <v>38</v>
      </c>
      <c r="J1373" s="121">
        <v>526.0</v>
      </c>
      <c r="K1373" s="83"/>
      <c r="L1373" s="28" t="s">
        <v>4972</v>
      </c>
      <c r="M1373" s="28" t="s">
        <v>4973</v>
      </c>
      <c r="N1373" s="121">
        <v>1980.0</v>
      </c>
      <c r="O1373" s="121">
        <v>18.0</v>
      </c>
      <c r="P1373" s="121">
        <v>1.0</v>
      </c>
      <c r="Q1373" s="121">
        <v>1.0</v>
      </c>
      <c r="R1373" s="84"/>
      <c r="S1373" s="40"/>
      <c r="T1373" s="40"/>
      <c r="U1373" s="40"/>
      <c r="V1373" s="40"/>
      <c r="W1373" s="40"/>
      <c r="X1373" s="40"/>
      <c r="Y1373" s="3"/>
      <c r="Z1373" s="3"/>
      <c r="AA1373" s="3"/>
      <c r="AB1373" s="3"/>
      <c r="AC1373" s="3"/>
      <c r="AD1373" s="3"/>
      <c r="AE1373" s="3"/>
      <c r="AF1373" s="3"/>
      <c r="AG1373" s="3"/>
      <c r="AH1373" s="3"/>
      <c r="AI1373" s="3"/>
      <c r="AJ1373" s="3"/>
      <c r="AK1373" s="3"/>
      <c r="AL1373" s="3"/>
    </row>
    <row r="1374" ht="15.75" customHeight="1">
      <c r="A1374" s="27">
        <f t="shared" si="21"/>
        <v>253</v>
      </c>
      <c r="B1374" s="121" t="s">
        <v>4968</v>
      </c>
      <c r="C1374" s="121" t="s">
        <v>4969</v>
      </c>
      <c r="D1374" s="171" t="s">
        <v>4992</v>
      </c>
      <c r="E1374" s="121" t="s">
        <v>4971</v>
      </c>
      <c r="F1374" s="121" t="s">
        <v>29</v>
      </c>
      <c r="G1374" s="121" t="s">
        <v>37</v>
      </c>
      <c r="H1374" s="83"/>
      <c r="I1374" s="121" t="s">
        <v>38</v>
      </c>
      <c r="J1374" s="121">
        <v>414.0</v>
      </c>
      <c r="K1374" s="83"/>
      <c r="L1374" s="28" t="s">
        <v>4972</v>
      </c>
      <c r="M1374" s="28" t="s">
        <v>4973</v>
      </c>
      <c r="N1374" s="121">
        <v>1980.0</v>
      </c>
      <c r="O1374" s="121">
        <v>18.0</v>
      </c>
      <c r="P1374" s="121">
        <v>1.0</v>
      </c>
      <c r="Q1374" s="121">
        <v>1.0</v>
      </c>
      <c r="R1374" s="84"/>
      <c r="S1374" s="40"/>
      <c r="T1374" s="40"/>
      <c r="U1374" s="40"/>
      <c r="V1374" s="40"/>
      <c r="W1374" s="40"/>
      <c r="X1374" s="40"/>
      <c r="Y1374" s="45"/>
      <c r="Z1374" s="45"/>
      <c r="AA1374" s="45"/>
      <c r="AB1374" s="45"/>
      <c r="AC1374" s="45"/>
      <c r="AD1374" s="45"/>
      <c r="AE1374" s="45"/>
      <c r="AF1374" s="45"/>
      <c r="AG1374" s="45"/>
      <c r="AH1374" s="45"/>
      <c r="AI1374" s="45"/>
      <c r="AJ1374" s="45"/>
      <c r="AK1374" s="45"/>
      <c r="AL1374" s="45"/>
    </row>
    <row r="1375" ht="15.75" customHeight="1">
      <c r="A1375" s="27">
        <f t="shared" si="21"/>
        <v>254</v>
      </c>
      <c r="B1375" s="121" t="s">
        <v>4968</v>
      </c>
      <c r="C1375" s="121" t="s">
        <v>4969</v>
      </c>
      <c r="D1375" s="171" t="s">
        <v>4993</v>
      </c>
      <c r="E1375" s="121" t="s">
        <v>4971</v>
      </c>
      <c r="F1375" s="121" t="s">
        <v>29</v>
      </c>
      <c r="G1375" s="121" t="s">
        <v>37</v>
      </c>
      <c r="H1375" s="83"/>
      <c r="I1375" s="121" t="s">
        <v>38</v>
      </c>
      <c r="J1375" s="121">
        <v>190.0</v>
      </c>
      <c r="K1375" s="83"/>
      <c r="L1375" s="28" t="s">
        <v>4972</v>
      </c>
      <c r="M1375" s="28" t="s">
        <v>4973</v>
      </c>
      <c r="N1375" s="121">
        <v>1980.0</v>
      </c>
      <c r="O1375" s="121">
        <v>18.0</v>
      </c>
      <c r="P1375" s="121">
        <v>1.0</v>
      </c>
      <c r="Q1375" s="121">
        <v>1.0</v>
      </c>
      <c r="R1375" s="84"/>
      <c r="S1375" s="34"/>
      <c r="T1375" s="34"/>
      <c r="U1375" s="34"/>
      <c r="V1375" s="34"/>
      <c r="W1375" s="34"/>
      <c r="X1375" s="34"/>
      <c r="Y1375" s="45"/>
      <c r="Z1375" s="45"/>
      <c r="AA1375" s="45"/>
      <c r="AB1375" s="45"/>
      <c r="AC1375" s="45"/>
      <c r="AD1375" s="45"/>
      <c r="AE1375" s="45"/>
      <c r="AF1375" s="45"/>
      <c r="AG1375" s="45"/>
      <c r="AH1375" s="45"/>
      <c r="AI1375" s="45"/>
      <c r="AJ1375" s="45"/>
      <c r="AK1375" s="45"/>
      <c r="AL1375" s="45"/>
    </row>
    <row r="1376" ht="15.75" customHeight="1">
      <c r="A1376" s="27">
        <f t="shared" si="21"/>
        <v>255</v>
      </c>
      <c r="B1376" s="121" t="s">
        <v>4968</v>
      </c>
      <c r="C1376" s="121" t="s">
        <v>4969</v>
      </c>
      <c r="D1376" s="171" t="s">
        <v>4994</v>
      </c>
      <c r="E1376" s="121" t="s">
        <v>4971</v>
      </c>
      <c r="F1376" s="121" t="s">
        <v>29</v>
      </c>
      <c r="G1376" s="121" t="s">
        <v>37</v>
      </c>
      <c r="H1376" s="83"/>
      <c r="I1376" s="121" t="s">
        <v>38</v>
      </c>
      <c r="J1376" s="121">
        <v>498.0</v>
      </c>
      <c r="K1376" s="83"/>
      <c r="L1376" s="28" t="s">
        <v>4972</v>
      </c>
      <c r="M1376" s="28" t="s">
        <v>4973</v>
      </c>
      <c r="N1376" s="121">
        <v>1979.0</v>
      </c>
      <c r="O1376" s="121">
        <v>18.0</v>
      </c>
      <c r="P1376" s="121">
        <v>1.0</v>
      </c>
      <c r="Q1376" s="121">
        <v>1.0</v>
      </c>
      <c r="R1376" s="84"/>
      <c r="S1376" s="40"/>
      <c r="T1376" s="40"/>
      <c r="U1376" s="40"/>
      <c r="V1376" s="40"/>
      <c r="W1376" s="40"/>
      <c r="X1376" s="40"/>
      <c r="Y1376" s="3"/>
      <c r="Z1376" s="3"/>
      <c r="AA1376" s="3"/>
      <c r="AB1376" s="3"/>
      <c r="AC1376" s="3"/>
      <c r="AD1376" s="3"/>
      <c r="AE1376" s="3"/>
      <c r="AF1376" s="3"/>
      <c r="AG1376" s="3"/>
      <c r="AH1376" s="3"/>
      <c r="AI1376" s="3"/>
      <c r="AJ1376" s="3"/>
      <c r="AK1376" s="3"/>
      <c r="AL1376" s="3"/>
    </row>
    <row r="1377" ht="15.75" customHeight="1">
      <c r="A1377" s="27">
        <f t="shared" si="21"/>
        <v>256</v>
      </c>
      <c r="B1377" s="121" t="s">
        <v>4968</v>
      </c>
      <c r="C1377" s="121" t="s">
        <v>4969</v>
      </c>
      <c r="D1377" s="171" t="s">
        <v>4995</v>
      </c>
      <c r="E1377" s="121" t="s">
        <v>4971</v>
      </c>
      <c r="F1377" s="121" t="s">
        <v>29</v>
      </c>
      <c r="G1377" s="121" t="s">
        <v>37</v>
      </c>
      <c r="H1377" s="83"/>
      <c r="I1377" s="121" t="s">
        <v>38</v>
      </c>
      <c r="J1377" s="121">
        <v>386.0</v>
      </c>
      <c r="K1377" s="83"/>
      <c r="L1377" s="28" t="s">
        <v>4972</v>
      </c>
      <c r="M1377" s="28" t="s">
        <v>4973</v>
      </c>
      <c r="N1377" s="121">
        <v>1977.0</v>
      </c>
      <c r="O1377" s="121">
        <v>18.0</v>
      </c>
      <c r="P1377" s="121">
        <v>1.0</v>
      </c>
      <c r="Q1377" s="121">
        <v>1.0</v>
      </c>
      <c r="R1377" s="84"/>
      <c r="S1377" s="34"/>
      <c r="T1377" s="34"/>
      <c r="U1377" s="34"/>
      <c r="V1377" s="34"/>
      <c r="W1377" s="34"/>
      <c r="X1377" s="34"/>
      <c r="Y1377" s="3"/>
      <c r="Z1377" s="3"/>
      <c r="AA1377" s="3"/>
      <c r="AB1377" s="3"/>
      <c r="AC1377" s="3"/>
      <c r="AD1377" s="3"/>
      <c r="AE1377" s="3"/>
      <c r="AF1377" s="3"/>
      <c r="AG1377" s="3"/>
      <c r="AH1377" s="3"/>
      <c r="AI1377" s="3"/>
      <c r="AJ1377" s="3"/>
      <c r="AK1377" s="3"/>
      <c r="AL1377" s="3"/>
    </row>
    <row r="1378" ht="15.75" customHeight="1">
      <c r="A1378" s="27">
        <f t="shared" si="21"/>
        <v>257</v>
      </c>
      <c r="B1378" s="121" t="s">
        <v>4968</v>
      </c>
      <c r="C1378" s="121" t="s">
        <v>4969</v>
      </c>
      <c r="D1378" s="171" t="s">
        <v>4996</v>
      </c>
      <c r="E1378" s="121" t="s">
        <v>4971</v>
      </c>
      <c r="F1378" s="121" t="s">
        <v>29</v>
      </c>
      <c r="G1378" s="121" t="s">
        <v>37</v>
      </c>
      <c r="H1378" s="83"/>
      <c r="I1378" s="121" t="s">
        <v>38</v>
      </c>
      <c r="J1378" s="121">
        <v>502.0</v>
      </c>
      <c r="K1378" s="83"/>
      <c r="L1378" s="28" t="s">
        <v>4972</v>
      </c>
      <c r="M1378" s="28" t="s">
        <v>4973</v>
      </c>
      <c r="N1378" s="121">
        <v>1975.0</v>
      </c>
      <c r="O1378" s="121">
        <v>18.0</v>
      </c>
      <c r="P1378" s="121">
        <v>1.0</v>
      </c>
      <c r="Q1378" s="121">
        <v>1.0</v>
      </c>
      <c r="R1378" s="84"/>
      <c r="S1378" s="40"/>
      <c r="T1378" s="40"/>
      <c r="U1378" s="40"/>
      <c r="V1378" s="40"/>
      <c r="W1378" s="40"/>
      <c r="X1378" s="40"/>
      <c r="Y1378" s="45"/>
      <c r="Z1378" s="45"/>
      <c r="AA1378" s="45"/>
      <c r="AB1378" s="45"/>
      <c r="AC1378" s="45"/>
      <c r="AD1378" s="45"/>
      <c r="AE1378" s="45"/>
      <c r="AF1378" s="45"/>
      <c r="AG1378" s="45"/>
      <c r="AH1378" s="45"/>
      <c r="AI1378" s="45"/>
      <c r="AJ1378" s="45"/>
      <c r="AK1378" s="45"/>
      <c r="AL1378" s="45"/>
    </row>
    <row r="1379" ht="15.75" customHeight="1">
      <c r="A1379" s="27">
        <f t="shared" si="21"/>
        <v>258</v>
      </c>
      <c r="B1379" s="121" t="s">
        <v>4968</v>
      </c>
      <c r="C1379" s="121" t="s">
        <v>4969</v>
      </c>
      <c r="D1379" s="171" t="s">
        <v>4997</v>
      </c>
      <c r="E1379" s="121" t="s">
        <v>4971</v>
      </c>
      <c r="F1379" s="121" t="s">
        <v>29</v>
      </c>
      <c r="G1379" s="121" t="s">
        <v>37</v>
      </c>
      <c r="H1379" s="83"/>
      <c r="I1379" s="121" t="s">
        <v>38</v>
      </c>
      <c r="J1379" s="121">
        <v>406.0</v>
      </c>
      <c r="K1379" s="83"/>
      <c r="L1379" s="28" t="s">
        <v>4972</v>
      </c>
      <c r="M1379" s="28" t="s">
        <v>4973</v>
      </c>
      <c r="N1379" s="121">
        <v>1975.0</v>
      </c>
      <c r="O1379" s="121">
        <v>18.0</v>
      </c>
      <c r="P1379" s="121">
        <v>1.0</v>
      </c>
      <c r="Q1379" s="121">
        <v>1.0</v>
      </c>
      <c r="R1379" s="84"/>
      <c r="S1379" s="40"/>
      <c r="T1379" s="40"/>
      <c r="U1379" s="40"/>
      <c r="V1379" s="40"/>
      <c r="W1379" s="40"/>
      <c r="X1379" s="40"/>
      <c r="Y1379" s="45"/>
      <c r="Z1379" s="45"/>
      <c r="AA1379" s="45"/>
      <c r="AB1379" s="45"/>
      <c r="AC1379" s="45"/>
      <c r="AD1379" s="45"/>
      <c r="AE1379" s="45"/>
      <c r="AF1379" s="45"/>
      <c r="AG1379" s="45"/>
      <c r="AH1379" s="45"/>
      <c r="AI1379" s="45"/>
      <c r="AJ1379" s="45"/>
      <c r="AK1379" s="45"/>
      <c r="AL1379" s="45"/>
    </row>
    <row r="1380" ht="15.75" customHeight="1">
      <c r="A1380" s="27">
        <f t="shared" si="21"/>
        <v>259</v>
      </c>
      <c r="B1380" s="121" t="s">
        <v>4998</v>
      </c>
      <c r="C1380" s="121" t="s">
        <v>4999</v>
      </c>
      <c r="D1380" s="119" t="s">
        <v>5000</v>
      </c>
      <c r="E1380" s="121" t="s">
        <v>5001</v>
      </c>
      <c r="F1380" s="121" t="s">
        <v>4823</v>
      </c>
      <c r="G1380" s="121" t="s">
        <v>37</v>
      </c>
      <c r="H1380" s="83"/>
      <c r="I1380" s="121" t="s">
        <v>38</v>
      </c>
      <c r="J1380" s="121">
        <v>156.0</v>
      </c>
      <c r="K1380" s="83"/>
      <c r="L1380" s="121" t="s">
        <v>5002</v>
      </c>
      <c r="M1380" s="121" t="s">
        <v>4207</v>
      </c>
      <c r="N1380" s="121">
        <v>2004.0</v>
      </c>
      <c r="O1380" s="121">
        <v>18.0</v>
      </c>
      <c r="P1380" s="121">
        <v>1.0</v>
      </c>
      <c r="Q1380" s="121">
        <v>1.0</v>
      </c>
      <c r="R1380" s="84"/>
      <c r="S1380" s="40"/>
      <c r="T1380" s="40"/>
      <c r="U1380" s="40"/>
      <c r="V1380" s="40"/>
      <c r="W1380" s="40"/>
      <c r="X1380" s="40"/>
      <c r="Y1380" s="45"/>
      <c r="Z1380" s="45"/>
      <c r="AA1380" s="45"/>
      <c r="AB1380" s="45"/>
      <c r="AC1380" s="45"/>
      <c r="AD1380" s="45"/>
      <c r="AE1380" s="45"/>
      <c r="AF1380" s="45"/>
      <c r="AG1380" s="45"/>
      <c r="AH1380" s="45"/>
      <c r="AI1380" s="45"/>
      <c r="AJ1380" s="45"/>
      <c r="AK1380" s="45"/>
      <c r="AL1380" s="45"/>
    </row>
    <row r="1381" ht="15.75" customHeight="1">
      <c r="A1381" s="27">
        <f t="shared" si="21"/>
        <v>260</v>
      </c>
      <c r="B1381" s="121" t="s">
        <v>4998</v>
      </c>
      <c r="C1381" s="121" t="s">
        <v>4999</v>
      </c>
      <c r="D1381" s="119" t="s">
        <v>5003</v>
      </c>
      <c r="E1381" s="121" t="s">
        <v>5001</v>
      </c>
      <c r="F1381" s="121" t="s">
        <v>4823</v>
      </c>
      <c r="G1381" s="121" t="s">
        <v>37</v>
      </c>
      <c r="H1381" s="83"/>
      <c r="I1381" s="121" t="s">
        <v>38</v>
      </c>
      <c r="J1381" s="121">
        <v>356.0</v>
      </c>
      <c r="K1381" s="83"/>
      <c r="L1381" s="121" t="s">
        <v>5002</v>
      </c>
      <c r="M1381" s="121" t="s">
        <v>4207</v>
      </c>
      <c r="N1381" s="121">
        <v>2003.0</v>
      </c>
      <c r="O1381" s="121">
        <v>18.0</v>
      </c>
      <c r="P1381" s="121">
        <v>1.0</v>
      </c>
      <c r="Q1381" s="121">
        <v>1.0</v>
      </c>
      <c r="R1381" s="84"/>
      <c r="S1381" s="40"/>
      <c r="T1381" s="40"/>
      <c r="U1381" s="40"/>
      <c r="V1381" s="40"/>
      <c r="W1381" s="40"/>
      <c r="X1381" s="40"/>
      <c r="Y1381" s="3"/>
      <c r="Z1381" s="3"/>
      <c r="AA1381" s="3"/>
      <c r="AB1381" s="3"/>
      <c r="AC1381" s="3"/>
      <c r="AD1381" s="3"/>
      <c r="AE1381" s="3"/>
      <c r="AF1381" s="3"/>
      <c r="AG1381" s="3"/>
      <c r="AH1381" s="3"/>
      <c r="AI1381" s="3"/>
      <c r="AJ1381" s="3"/>
      <c r="AK1381" s="3"/>
      <c r="AL1381" s="3"/>
    </row>
    <row r="1382" ht="15.75" customHeight="1">
      <c r="A1382" s="27">
        <f t="shared" si="21"/>
        <v>261</v>
      </c>
      <c r="B1382" s="121" t="s">
        <v>4998</v>
      </c>
      <c r="C1382" s="121" t="s">
        <v>4999</v>
      </c>
      <c r="D1382" s="119" t="s">
        <v>5004</v>
      </c>
      <c r="E1382" s="121" t="s">
        <v>5001</v>
      </c>
      <c r="F1382" s="121" t="s">
        <v>4823</v>
      </c>
      <c r="G1382" s="121" t="s">
        <v>37</v>
      </c>
      <c r="H1382" s="83"/>
      <c r="I1382" s="121" t="s">
        <v>38</v>
      </c>
      <c r="J1382" s="121">
        <v>164.0</v>
      </c>
      <c r="K1382" s="83"/>
      <c r="L1382" s="121" t="s">
        <v>5002</v>
      </c>
      <c r="M1382" s="121" t="s">
        <v>4207</v>
      </c>
      <c r="N1382" s="121">
        <v>2003.0</v>
      </c>
      <c r="O1382" s="121">
        <v>18.0</v>
      </c>
      <c r="P1382" s="121">
        <v>1.0</v>
      </c>
      <c r="Q1382" s="121">
        <v>1.0</v>
      </c>
      <c r="R1382" s="84"/>
      <c r="S1382" s="34"/>
      <c r="T1382" s="34"/>
      <c r="U1382" s="34"/>
      <c r="V1382" s="34"/>
      <c r="W1382" s="34"/>
      <c r="X1382" s="34"/>
      <c r="Y1382" s="3"/>
      <c r="Z1382" s="3"/>
      <c r="AA1382" s="3"/>
      <c r="AB1382" s="3"/>
      <c r="AC1382" s="3"/>
      <c r="AD1382" s="3"/>
      <c r="AE1382" s="3"/>
      <c r="AF1382" s="3"/>
      <c r="AG1382" s="3"/>
      <c r="AH1382" s="3"/>
      <c r="AI1382" s="3"/>
      <c r="AJ1382" s="3"/>
      <c r="AK1382" s="3"/>
      <c r="AL1382" s="3"/>
    </row>
    <row r="1383" ht="15.75" customHeight="1">
      <c r="A1383" s="27">
        <f t="shared" si="21"/>
        <v>262</v>
      </c>
      <c r="B1383" s="121" t="s">
        <v>4998</v>
      </c>
      <c r="C1383" s="121" t="s">
        <v>4999</v>
      </c>
      <c r="D1383" s="119" t="s">
        <v>5005</v>
      </c>
      <c r="E1383" s="121" t="s">
        <v>5001</v>
      </c>
      <c r="F1383" s="121" t="s">
        <v>4823</v>
      </c>
      <c r="G1383" s="121" t="s">
        <v>37</v>
      </c>
      <c r="H1383" s="83"/>
      <c r="I1383" s="121" t="s">
        <v>38</v>
      </c>
      <c r="J1383" s="121">
        <v>364.0</v>
      </c>
      <c r="K1383" s="83"/>
      <c r="L1383" s="121" t="s">
        <v>5002</v>
      </c>
      <c r="M1383" s="121" t="s">
        <v>4207</v>
      </c>
      <c r="N1383" s="121">
        <v>2002.0</v>
      </c>
      <c r="O1383" s="121">
        <v>18.0</v>
      </c>
      <c r="P1383" s="121">
        <v>1.0</v>
      </c>
      <c r="Q1383" s="121">
        <v>1.0</v>
      </c>
      <c r="R1383" s="84"/>
      <c r="S1383" s="40"/>
      <c r="T1383" s="40"/>
      <c r="U1383" s="40"/>
      <c r="V1383" s="40"/>
      <c r="W1383" s="40"/>
      <c r="X1383" s="40"/>
      <c r="Y1383" s="3"/>
      <c r="Z1383" s="3"/>
      <c r="AA1383" s="3"/>
      <c r="AB1383" s="3"/>
      <c r="AC1383" s="3"/>
      <c r="AD1383" s="3"/>
      <c r="AE1383" s="3"/>
      <c r="AF1383" s="3"/>
      <c r="AG1383" s="3"/>
      <c r="AH1383" s="3"/>
      <c r="AI1383" s="3"/>
      <c r="AJ1383" s="3"/>
      <c r="AK1383" s="3"/>
      <c r="AL1383" s="3"/>
    </row>
    <row r="1384" ht="15.75" customHeight="1">
      <c r="A1384" s="27">
        <f t="shared" si="21"/>
        <v>263</v>
      </c>
      <c r="B1384" s="121" t="s">
        <v>4998</v>
      </c>
      <c r="C1384" s="121" t="s">
        <v>4999</v>
      </c>
      <c r="D1384" s="119" t="s">
        <v>5006</v>
      </c>
      <c r="E1384" s="121" t="s">
        <v>5001</v>
      </c>
      <c r="F1384" s="121" t="s">
        <v>4823</v>
      </c>
      <c r="G1384" s="121" t="s">
        <v>37</v>
      </c>
      <c r="H1384" s="83"/>
      <c r="I1384" s="121" t="s">
        <v>38</v>
      </c>
      <c r="J1384" s="121">
        <v>156.0</v>
      </c>
      <c r="K1384" s="83"/>
      <c r="L1384" s="121" t="s">
        <v>5002</v>
      </c>
      <c r="M1384" s="121" t="s">
        <v>4207</v>
      </c>
      <c r="N1384" s="121">
        <v>2002.0</v>
      </c>
      <c r="O1384" s="121">
        <v>18.0</v>
      </c>
      <c r="P1384" s="121">
        <v>1.0</v>
      </c>
      <c r="Q1384" s="121">
        <v>1.0</v>
      </c>
      <c r="R1384" s="84"/>
      <c r="S1384" s="40"/>
      <c r="T1384" s="40"/>
      <c r="U1384" s="40"/>
      <c r="V1384" s="40"/>
      <c r="W1384" s="40"/>
      <c r="X1384" s="40"/>
      <c r="Y1384" s="3"/>
      <c r="Z1384" s="3"/>
      <c r="AA1384" s="3"/>
      <c r="AB1384" s="3"/>
      <c r="AC1384" s="3"/>
      <c r="AD1384" s="3"/>
      <c r="AE1384" s="3"/>
      <c r="AF1384" s="3"/>
      <c r="AG1384" s="3"/>
      <c r="AH1384" s="3"/>
      <c r="AI1384" s="3"/>
      <c r="AJ1384" s="3"/>
      <c r="AK1384" s="3"/>
      <c r="AL1384" s="3"/>
    </row>
    <row r="1385" ht="15.75" customHeight="1">
      <c r="A1385" s="27">
        <f t="shared" si="21"/>
        <v>264</v>
      </c>
      <c r="B1385" s="121" t="s">
        <v>4998</v>
      </c>
      <c r="C1385" s="121" t="s">
        <v>4999</v>
      </c>
      <c r="D1385" s="119" t="s">
        <v>5007</v>
      </c>
      <c r="E1385" s="121" t="s">
        <v>5001</v>
      </c>
      <c r="F1385" s="121" t="s">
        <v>4823</v>
      </c>
      <c r="G1385" s="121" t="s">
        <v>37</v>
      </c>
      <c r="H1385" s="83"/>
      <c r="I1385" s="121" t="s">
        <v>38</v>
      </c>
      <c r="J1385" s="121">
        <v>156.0</v>
      </c>
      <c r="K1385" s="83"/>
      <c r="L1385" s="121" t="s">
        <v>5002</v>
      </c>
      <c r="M1385" s="121" t="s">
        <v>4207</v>
      </c>
      <c r="N1385" s="121">
        <v>2000.0</v>
      </c>
      <c r="O1385" s="121">
        <v>18.0</v>
      </c>
      <c r="P1385" s="121">
        <v>1.0</v>
      </c>
      <c r="Q1385" s="121">
        <v>1.0</v>
      </c>
      <c r="R1385" s="84"/>
      <c r="S1385" s="40"/>
      <c r="T1385" s="40"/>
      <c r="U1385" s="40"/>
      <c r="V1385" s="40"/>
      <c r="W1385" s="40"/>
      <c r="X1385" s="40"/>
      <c r="Y1385" s="45"/>
      <c r="Z1385" s="45"/>
      <c r="AA1385" s="45"/>
      <c r="AB1385" s="45"/>
      <c r="AC1385" s="45"/>
      <c r="AD1385" s="45"/>
      <c r="AE1385" s="45"/>
      <c r="AF1385" s="45"/>
      <c r="AG1385" s="45"/>
      <c r="AH1385" s="45"/>
      <c r="AI1385" s="45"/>
      <c r="AJ1385" s="45"/>
      <c r="AK1385" s="45"/>
      <c r="AL1385" s="45"/>
    </row>
    <row r="1386" ht="15.75" customHeight="1">
      <c r="A1386" s="27">
        <f t="shared" si="21"/>
        <v>265</v>
      </c>
      <c r="B1386" s="121" t="s">
        <v>4998</v>
      </c>
      <c r="C1386" s="121" t="s">
        <v>5008</v>
      </c>
      <c r="D1386" s="119" t="s">
        <v>5009</v>
      </c>
      <c r="E1386" s="121" t="s">
        <v>5001</v>
      </c>
      <c r="F1386" s="121" t="s">
        <v>4823</v>
      </c>
      <c r="G1386" s="121" t="s">
        <v>37</v>
      </c>
      <c r="H1386" s="83"/>
      <c r="I1386" s="121" t="s">
        <v>38</v>
      </c>
      <c r="J1386" s="121">
        <v>178.0</v>
      </c>
      <c r="K1386" s="83"/>
      <c r="L1386" s="121" t="s">
        <v>5010</v>
      </c>
      <c r="M1386" s="121" t="s">
        <v>4207</v>
      </c>
      <c r="N1386" s="121">
        <v>2012.0</v>
      </c>
      <c r="O1386" s="121">
        <v>18.0</v>
      </c>
      <c r="P1386" s="121">
        <v>1.0</v>
      </c>
      <c r="Q1386" s="121">
        <v>1.0</v>
      </c>
      <c r="R1386" s="84"/>
      <c r="S1386" s="40"/>
      <c r="T1386" s="40"/>
      <c r="U1386" s="40"/>
      <c r="V1386" s="40"/>
      <c r="W1386" s="40"/>
      <c r="X1386" s="40"/>
      <c r="Y1386" s="45"/>
      <c r="Z1386" s="45"/>
      <c r="AA1386" s="45"/>
      <c r="AB1386" s="45"/>
      <c r="AC1386" s="45"/>
      <c r="AD1386" s="45"/>
      <c r="AE1386" s="45"/>
      <c r="AF1386" s="45"/>
      <c r="AG1386" s="45"/>
      <c r="AH1386" s="45"/>
      <c r="AI1386" s="45"/>
      <c r="AJ1386" s="45"/>
      <c r="AK1386" s="45"/>
      <c r="AL1386" s="45"/>
    </row>
    <row r="1387" ht="15.75" customHeight="1">
      <c r="A1387" s="27">
        <f t="shared" si="21"/>
        <v>266</v>
      </c>
      <c r="B1387" s="121" t="s">
        <v>5011</v>
      </c>
      <c r="C1387" s="121" t="s">
        <v>5008</v>
      </c>
      <c r="D1387" s="119" t="s">
        <v>5012</v>
      </c>
      <c r="E1387" s="121" t="s">
        <v>5013</v>
      </c>
      <c r="F1387" s="121" t="s">
        <v>4823</v>
      </c>
      <c r="G1387" s="121" t="s">
        <v>37</v>
      </c>
      <c r="H1387" s="83"/>
      <c r="I1387" s="121" t="s">
        <v>38</v>
      </c>
      <c r="J1387" s="121">
        <v>252.0</v>
      </c>
      <c r="K1387" s="83"/>
      <c r="L1387" s="121" t="s">
        <v>5014</v>
      </c>
      <c r="M1387" s="121" t="s">
        <v>4207</v>
      </c>
      <c r="N1387" s="121">
        <v>2011.0</v>
      </c>
      <c r="O1387" s="121">
        <v>18.0</v>
      </c>
      <c r="P1387" s="121">
        <v>2.0</v>
      </c>
      <c r="Q1387" s="121">
        <v>2.0</v>
      </c>
      <c r="R1387" s="84"/>
      <c r="S1387" s="40"/>
      <c r="T1387" s="40"/>
      <c r="U1387" s="40"/>
      <c r="V1387" s="40"/>
      <c r="W1387" s="40"/>
      <c r="X1387" s="40"/>
      <c r="Y1387" s="45"/>
      <c r="Z1387" s="45"/>
      <c r="AA1387" s="45"/>
      <c r="AB1387" s="45"/>
      <c r="AC1387" s="45"/>
      <c r="AD1387" s="45"/>
      <c r="AE1387" s="45"/>
      <c r="AF1387" s="45"/>
      <c r="AG1387" s="45"/>
      <c r="AH1387" s="45"/>
      <c r="AI1387" s="45"/>
      <c r="AJ1387" s="45"/>
      <c r="AK1387" s="45"/>
      <c r="AL1387" s="45"/>
    </row>
    <row r="1388" ht="15.75" customHeight="1">
      <c r="A1388" s="27">
        <f t="shared" si="21"/>
        <v>267</v>
      </c>
      <c r="B1388" s="121" t="s">
        <v>0</v>
      </c>
      <c r="C1388" s="121" t="s">
        <v>5008</v>
      </c>
      <c r="D1388" s="119" t="s">
        <v>5015</v>
      </c>
      <c r="E1388" s="121" t="s">
        <v>5013</v>
      </c>
      <c r="F1388" s="121" t="s">
        <v>4823</v>
      </c>
      <c r="G1388" s="121" t="s">
        <v>37</v>
      </c>
      <c r="H1388" s="83"/>
      <c r="I1388" s="121" t="s">
        <v>38</v>
      </c>
      <c r="J1388" s="121">
        <v>136.0</v>
      </c>
      <c r="K1388" s="83"/>
      <c r="L1388" s="121" t="s">
        <v>5014</v>
      </c>
      <c r="M1388" s="121" t="s">
        <v>4207</v>
      </c>
      <c r="N1388" s="121">
        <v>2011.0</v>
      </c>
      <c r="O1388" s="121">
        <v>18.0</v>
      </c>
      <c r="P1388" s="121">
        <v>1.0</v>
      </c>
      <c r="Q1388" s="121">
        <v>1.0</v>
      </c>
      <c r="R1388" s="84"/>
      <c r="S1388" s="40"/>
      <c r="T1388" s="40"/>
      <c r="U1388" s="40"/>
      <c r="V1388" s="40"/>
      <c r="W1388" s="40"/>
      <c r="X1388" s="40"/>
      <c r="Y1388" s="3"/>
      <c r="Z1388" s="3"/>
      <c r="AA1388" s="3"/>
      <c r="AB1388" s="3"/>
      <c r="AC1388" s="3"/>
      <c r="AD1388" s="3"/>
      <c r="AE1388" s="3"/>
      <c r="AF1388" s="3"/>
      <c r="AG1388" s="3"/>
      <c r="AH1388" s="3"/>
      <c r="AI1388" s="3"/>
      <c r="AJ1388" s="3"/>
      <c r="AK1388" s="3"/>
      <c r="AL1388" s="3"/>
    </row>
    <row r="1389" ht="15.75" customHeight="1">
      <c r="A1389" s="27">
        <f t="shared" si="21"/>
        <v>268</v>
      </c>
      <c r="B1389" s="121" t="s">
        <v>5011</v>
      </c>
      <c r="C1389" s="121" t="s">
        <v>5008</v>
      </c>
      <c r="D1389" s="119" t="s">
        <v>5016</v>
      </c>
      <c r="E1389" s="121" t="s">
        <v>5013</v>
      </c>
      <c r="F1389" s="121" t="s">
        <v>4823</v>
      </c>
      <c r="G1389" s="121" t="s">
        <v>37</v>
      </c>
      <c r="H1389" s="83"/>
      <c r="I1389" s="121" t="s">
        <v>38</v>
      </c>
      <c r="J1389" s="121">
        <v>100.0</v>
      </c>
      <c r="K1389" s="83"/>
      <c r="L1389" s="121" t="s">
        <v>5014</v>
      </c>
      <c r="M1389" s="121" t="s">
        <v>4207</v>
      </c>
      <c r="N1389" s="121">
        <v>2011.0</v>
      </c>
      <c r="O1389" s="121">
        <v>18.0</v>
      </c>
      <c r="P1389" s="121">
        <v>2.0</v>
      </c>
      <c r="Q1389" s="121">
        <v>2.0</v>
      </c>
      <c r="R1389" s="84"/>
      <c r="S1389" s="40"/>
      <c r="T1389" s="40"/>
      <c r="U1389" s="40"/>
      <c r="V1389" s="40"/>
      <c r="W1389" s="40"/>
      <c r="X1389" s="40"/>
      <c r="Y1389" s="3"/>
      <c r="Z1389" s="3"/>
      <c r="AA1389" s="3"/>
      <c r="AB1389" s="3"/>
      <c r="AC1389" s="3"/>
      <c r="AD1389" s="3"/>
      <c r="AE1389" s="3"/>
      <c r="AF1389" s="3"/>
      <c r="AG1389" s="3"/>
      <c r="AH1389" s="3"/>
      <c r="AI1389" s="3"/>
      <c r="AJ1389" s="3"/>
      <c r="AK1389" s="3"/>
      <c r="AL1389" s="3"/>
    </row>
    <row r="1390" ht="15.75" customHeight="1">
      <c r="A1390" s="27">
        <f t="shared" si="21"/>
        <v>269</v>
      </c>
      <c r="B1390" s="121" t="s">
        <v>5011</v>
      </c>
      <c r="C1390" s="121" t="s">
        <v>5008</v>
      </c>
      <c r="D1390" s="119" t="s">
        <v>5017</v>
      </c>
      <c r="E1390" s="121" t="s">
        <v>5013</v>
      </c>
      <c r="F1390" s="121" t="s">
        <v>4823</v>
      </c>
      <c r="G1390" s="121" t="s">
        <v>37</v>
      </c>
      <c r="H1390" s="83"/>
      <c r="I1390" s="121" t="s">
        <v>38</v>
      </c>
      <c r="J1390" s="121">
        <v>240.0</v>
      </c>
      <c r="K1390" s="83"/>
      <c r="L1390" s="121" t="s">
        <v>5014</v>
      </c>
      <c r="M1390" s="121" t="s">
        <v>4207</v>
      </c>
      <c r="N1390" s="121">
        <v>2009.0</v>
      </c>
      <c r="O1390" s="121">
        <v>18.0</v>
      </c>
      <c r="P1390" s="121">
        <v>1.0</v>
      </c>
      <c r="Q1390" s="121">
        <v>1.0</v>
      </c>
      <c r="R1390" s="84"/>
      <c r="S1390" s="38"/>
      <c r="T1390" s="38"/>
      <c r="U1390" s="38"/>
      <c r="V1390" s="38"/>
      <c r="W1390" s="38"/>
      <c r="X1390" s="38"/>
      <c r="Y1390" s="3"/>
      <c r="Z1390" s="3"/>
      <c r="AA1390" s="3"/>
      <c r="AB1390" s="3"/>
      <c r="AC1390" s="3"/>
      <c r="AD1390" s="3"/>
      <c r="AE1390" s="3"/>
      <c r="AF1390" s="3"/>
      <c r="AG1390" s="3"/>
      <c r="AH1390" s="3"/>
      <c r="AI1390" s="3"/>
      <c r="AJ1390" s="3"/>
      <c r="AK1390" s="3"/>
      <c r="AL1390" s="3"/>
    </row>
    <row r="1391" ht="15.75" customHeight="1">
      <c r="A1391" s="27">
        <f t="shared" si="21"/>
        <v>270</v>
      </c>
      <c r="B1391" s="121" t="s">
        <v>5011</v>
      </c>
      <c r="C1391" s="121" t="s">
        <v>5008</v>
      </c>
      <c r="D1391" s="119" t="s">
        <v>5018</v>
      </c>
      <c r="E1391" s="121" t="s">
        <v>5013</v>
      </c>
      <c r="F1391" s="121" t="s">
        <v>4823</v>
      </c>
      <c r="G1391" s="121" t="s">
        <v>37</v>
      </c>
      <c r="H1391" s="83"/>
      <c r="I1391" s="121" t="s">
        <v>38</v>
      </c>
      <c r="J1391" s="121">
        <v>120.0</v>
      </c>
      <c r="K1391" s="83"/>
      <c r="L1391" s="121" t="s">
        <v>5014</v>
      </c>
      <c r="M1391" s="121" t="s">
        <v>4207</v>
      </c>
      <c r="N1391" s="121">
        <v>2009.0</v>
      </c>
      <c r="O1391" s="121">
        <v>18.0</v>
      </c>
      <c r="P1391" s="121">
        <v>2.0</v>
      </c>
      <c r="Q1391" s="121">
        <v>2.0</v>
      </c>
      <c r="R1391" s="84"/>
      <c r="S1391" s="40"/>
      <c r="T1391" s="40"/>
      <c r="U1391" s="40"/>
      <c r="V1391" s="40"/>
      <c r="W1391" s="40"/>
      <c r="X1391" s="40"/>
      <c r="Y1391" s="3"/>
      <c r="Z1391" s="3"/>
      <c r="AA1391" s="3"/>
      <c r="AB1391" s="3"/>
      <c r="AC1391" s="3"/>
      <c r="AD1391" s="3"/>
      <c r="AE1391" s="3"/>
      <c r="AF1391" s="3"/>
      <c r="AG1391" s="3"/>
      <c r="AH1391" s="3"/>
      <c r="AI1391" s="3"/>
      <c r="AJ1391" s="3"/>
      <c r="AK1391" s="3"/>
      <c r="AL1391" s="3"/>
    </row>
    <row r="1392" ht="15.75" customHeight="1">
      <c r="A1392" s="27">
        <f t="shared" si="21"/>
        <v>271</v>
      </c>
      <c r="B1392" s="121" t="s">
        <v>5011</v>
      </c>
      <c r="C1392" s="121" t="s">
        <v>5008</v>
      </c>
      <c r="D1392" s="119" t="s">
        <v>5019</v>
      </c>
      <c r="E1392" s="121" t="s">
        <v>5013</v>
      </c>
      <c r="F1392" s="121" t="s">
        <v>4823</v>
      </c>
      <c r="G1392" s="121" t="s">
        <v>37</v>
      </c>
      <c r="H1392" s="83"/>
      <c r="I1392" s="121" t="s">
        <v>38</v>
      </c>
      <c r="J1392" s="121">
        <v>216.0</v>
      </c>
      <c r="K1392" s="83"/>
      <c r="L1392" s="121" t="s">
        <v>5014</v>
      </c>
      <c r="M1392" s="121" t="s">
        <v>4207</v>
      </c>
      <c r="N1392" s="121">
        <v>2008.0</v>
      </c>
      <c r="O1392" s="121">
        <v>18.0</v>
      </c>
      <c r="P1392" s="121">
        <v>1.0</v>
      </c>
      <c r="Q1392" s="121">
        <v>1.0</v>
      </c>
      <c r="R1392" s="84"/>
      <c r="S1392" s="40"/>
      <c r="T1392" s="40"/>
      <c r="U1392" s="40"/>
      <c r="V1392" s="40"/>
      <c r="W1392" s="40"/>
      <c r="X1392" s="40"/>
      <c r="Y1392" s="45"/>
      <c r="Z1392" s="45"/>
      <c r="AA1392" s="45"/>
      <c r="AB1392" s="45"/>
      <c r="AC1392" s="45"/>
      <c r="AD1392" s="45"/>
      <c r="AE1392" s="45"/>
      <c r="AF1392" s="45"/>
      <c r="AG1392" s="45"/>
      <c r="AH1392" s="45"/>
      <c r="AI1392" s="45"/>
      <c r="AJ1392" s="45"/>
      <c r="AK1392" s="45"/>
      <c r="AL1392" s="45"/>
    </row>
    <row r="1393" ht="15.75" customHeight="1">
      <c r="A1393" s="27">
        <f t="shared" si="21"/>
        <v>272</v>
      </c>
      <c r="B1393" s="121" t="s">
        <v>5011</v>
      </c>
      <c r="C1393" s="121" t="s">
        <v>5008</v>
      </c>
      <c r="D1393" s="172" t="s">
        <v>5020</v>
      </c>
      <c r="E1393" s="121" t="s">
        <v>5013</v>
      </c>
      <c r="F1393" s="121" t="s">
        <v>4823</v>
      </c>
      <c r="G1393" s="121" t="s">
        <v>37</v>
      </c>
      <c r="H1393" s="83"/>
      <c r="I1393" s="121" t="s">
        <v>38</v>
      </c>
      <c r="J1393" s="121">
        <v>112.0</v>
      </c>
      <c r="K1393" s="83"/>
      <c r="L1393" s="121" t="s">
        <v>5014</v>
      </c>
      <c r="M1393" s="121" t="s">
        <v>4207</v>
      </c>
      <c r="N1393" s="121">
        <v>2008.0</v>
      </c>
      <c r="O1393" s="121">
        <v>18.0</v>
      </c>
      <c r="P1393" s="121">
        <v>1.0</v>
      </c>
      <c r="Q1393" s="121">
        <v>1.0</v>
      </c>
      <c r="R1393" s="84"/>
      <c r="S1393" s="40"/>
      <c r="T1393" s="40"/>
      <c r="U1393" s="40"/>
      <c r="V1393" s="40"/>
      <c r="W1393" s="40"/>
      <c r="X1393" s="40"/>
      <c r="Y1393" s="45"/>
      <c r="Z1393" s="45"/>
      <c r="AA1393" s="45"/>
      <c r="AB1393" s="45"/>
      <c r="AC1393" s="45"/>
      <c r="AD1393" s="45"/>
      <c r="AE1393" s="45"/>
      <c r="AF1393" s="45"/>
      <c r="AG1393" s="45"/>
      <c r="AH1393" s="45"/>
      <c r="AI1393" s="45"/>
      <c r="AJ1393" s="45"/>
      <c r="AK1393" s="45"/>
      <c r="AL1393" s="45"/>
    </row>
    <row r="1394" ht="15.75" customHeight="1">
      <c r="A1394" s="27">
        <f t="shared" si="21"/>
        <v>273</v>
      </c>
      <c r="B1394" s="121" t="s">
        <v>5011</v>
      </c>
      <c r="C1394" s="121" t="s">
        <v>5008</v>
      </c>
      <c r="D1394" s="119" t="s">
        <v>5021</v>
      </c>
      <c r="E1394" s="121" t="s">
        <v>5013</v>
      </c>
      <c r="F1394" s="121" t="s">
        <v>4823</v>
      </c>
      <c r="G1394" s="121" t="s">
        <v>37</v>
      </c>
      <c r="H1394" s="83"/>
      <c r="I1394" s="121" t="s">
        <v>38</v>
      </c>
      <c r="J1394" s="121">
        <v>208.0</v>
      </c>
      <c r="K1394" s="83"/>
      <c r="L1394" s="121" t="s">
        <v>5014</v>
      </c>
      <c r="M1394" s="121" t="s">
        <v>4207</v>
      </c>
      <c r="N1394" s="121">
        <v>2007.0</v>
      </c>
      <c r="O1394" s="121">
        <v>18.0</v>
      </c>
      <c r="P1394" s="121">
        <v>1.0</v>
      </c>
      <c r="Q1394" s="121">
        <v>1.0</v>
      </c>
      <c r="R1394" s="84"/>
      <c r="S1394" s="40"/>
      <c r="T1394" s="40"/>
      <c r="U1394" s="40"/>
      <c r="V1394" s="40"/>
      <c r="W1394" s="40"/>
      <c r="X1394" s="40"/>
      <c r="Y1394" s="45"/>
      <c r="Z1394" s="45"/>
      <c r="AA1394" s="45"/>
      <c r="AB1394" s="45"/>
      <c r="AC1394" s="45"/>
      <c r="AD1394" s="45"/>
      <c r="AE1394" s="45"/>
      <c r="AF1394" s="45"/>
      <c r="AG1394" s="45"/>
      <c r="AH1394" s="45"/>
      <c r="AI1394" s="45"/>
      <c r="AJ1394" s="45"/>
      <c r="AK1394" s="45"/>
      <c r="AL1394" s="45"/>
    </row>
    <row r="1395" ht="15.75" customHeight="1">
      <c r="A1395" s="27">
        <f t="shared" si="21"/>
        <v>274</v>
      </c>
      <c r="B1395" s="121" t="s">
        <v>5011</v>
      </c>
      <c r="C1395" s="121" t="s">
        <v>5008</v>
      </c>
      <c r="D1395" s="119" t="s">
        <v>5022</v>
      </c>
      <c r="E1395" s="121" t="s">
        <v>5013</v>
      </c>
      <c r="F1395" s="121" t="s">
        <v>4823</v>
      </c>
      <c r="G1395" s="121" t="s">
        <v>37</v>
      </c>
      <c r="H1395" s="83"/>
      <c r="I1395" s="121" t="s">
        <v>38</v>
      </c>
      <c r="J1395" s="121">
        <v>104.0</v>
      </c>
      <c r="K1395" s="83"/>
      <c r="L1395" s="121" t="s">
        <v>5014</v>
      </c>
      <c r="M1395" s="121" t="s">
        <v>4207</v>
      </c>
      <c r="N1395" s="121">
        <v>2007.0</v>
      </c>
      <c r="O1395" s="121">
        <v>18.0</v>
      </c>
      <c r="P1395" s="121">
        <v>1.0</v>
      </c>
      <c r="Q1395" s="121">
        <v>1.0</v>
      </c>
      <c r="R1395" s="84"/>
      <c r="S1395" s="40"/>
      <c r="T1395" s="40"/>
      <c r="U1395" s="40"/>
      <c r="V1395" s="40"/>
      <c r="W1395" s="40"/>
      <c r="X1395" s="40"/>
      <c r="Y1395" s="3"/>
      <c r="Z1395" s="3"/>
      <c r="AA1395" s="3"/>
      <c r="AB1395" s="3"/>
      <c r="AC1395" s="3"/>
      <c r="AD1395" s="3"/>
      <c r="AE1395" s="3"/>
      <c r="AF1395" s="3"/>
      <c r="AG1395" s="3"/>
      <c r="AH1395" s="3"/>
      <c r="AI1395" s="3"/>
      <c r="AJ1395" s="3"/>
      <c r="AK1395" s="3"/>
      <c r="AL1395" s="3"/>
    </row>
    <row r="1396" ht="15.75" customHeight="1">
      <c r="A1396" s="27">
        <f t="shared" si="21"/>
        <v>275</v>
      </c>
      <c r="B1396" s="121" t="s">
        <v>5011</v>
      </c>
      <c r="C1396" s="121" t="s">
        <v>5008</v>
      </c>
      <c r="D1396" s="119" t="s">
        <v>5023</v>
      </c>
      <c r="E1396" s="121" t="s">
        <v>5013</v>
      </c>
      <c r="F1396" s="121" t="s">
        <v>4823</v>
      </c>
      <c r="G1396" s="121" t="s">
        <v>37</v>
      </c>
      <c r="H1396" s="83"/>
      <c r="I1396" s="121" t="s">
        <v>38</v>
      </c>
      <c r="J1396" s="121">
        <v>216.0</v>
      </c>
      <c r="K1396" s="83"/>
      <c r="L1396" s="121" t="s">
        <v>5014</v>
      </c>
      <c r="M1396" s="121" t="s">
        <v>4207</v>
      </c>
      <c r="N1396" s="121">
        <v>2006.0</v>
      </c>
      <c r="O1396" s="121">
        <v>18.0</v>
      </c>
      <c r="P1396" s="121">
        <v>3.0</v>
      </c>
      <c r="Q1396" s="121">
        <v>3.0</v>
      </c>
      <c r="R1396" s="84"/>
      <c r="S1396" s="40"/>
      <c r="T1396" s="40"/>
      <c r="U1396" s="40"/>
      <c r="V1396" s="40"/>
      <c r="W1396" s="40"/>
      <c r="X1396" s="40"/>
      <c r="Y1396" s="45"/>
      <c r="Z1396" s="45"/>
      <c r="AA1396" s="45"/>
      <c r="AB1396" s="45"/>
      <c r="AC1396" s="45"/>
      <c r="AD1396" s="45"/>
      <c r="AE1396" s="45"/>
      <c r="AF1396" s="45"/>
      <c r="AG1396" s="45"/>
      <c r="AH1396" s="45"/>
      <c r="AI1396" s="45"/>
      <c r="AJ1396" s="45"/>
      <c r="AK1396" s="45"/>
      <c r="AL1396" s="45"/>
    </row>
    <row r="1397" ht="15.75" customHeight="1">
      <c r="A1397" s="27">
        <f t="shared" si="21"/>
        <v>276</v>
      </c>
      <c r="B1397" s="121" t="s">
        <v>5011</v>
      </c>
      <c r="C1397" s="121" t="s">
        <v>5008</v>
      </c>
      <c r="D1397" s="119" t="s">
        <v>5024</v>
      </c>
      <c r="E1397" s="121" t="s">
        <v>5013</v>
      </c>
      <c r="F1397" s="121" t="s">
        <v>4823</v>
      </c>
      <c r="G1397" s="121" t="s">
        <v>37</v>
      </c>
      <c r="H1397" s="83"/>
      <c r="I1397" s="121" t="s">
        <v>38</v>
      </c>
      <c r="J1397" s="121">
        <v>112.0</v>
      </c>
      <c r="K1397" s="83"/>
      <c r="L1397" s="121" t="s">
        <v>5014</v>
      </c>
      <c r="M1397" s="121" t="s">
        <v>4207</v>
      </c>
      <c r="N1397" s="121">
        <v>2006.0</v>
      </c>
      <c r="O1397" s="121">
        <v>18.0</v>
      </c>
      <c r="P1397" s="121">
        <v>1.0</v>
      </c>
      <c r="Q1397" s="121">
        <v>1.0</v>
      </c>
      <c r="R1397" s="84"/>
      <c r="S1397" s="40"/>
      <c r="T1397" s="40"/>
      <c r="U1397" s="40"/>
      <c r="V1397" s="40"/>
      <c r="W1397" s="40"/>
      <c r="X1397" s="40"/>
      <c r="Y1397" s="45"/>
      <c r="Z1397" s="45"/>
      <c r="AA1397" s="45"/>
      <c r="AB1397" s="45"/>
      <c r="AC1397" s="45"/>
      <c r="AD1397" s="45"/>
      <c r="AE1397" s="45"/>
      <c r="AF1397" s="45"/>
      <c r="AG1397" s="45"/>
      <c r="AH1397" s="45"/>
      <c r="AI1397" s="45"/>
      <c r="AJ1397" s="45"/>
      <c r="AK1397" s="45"/>
      <c r="AL1397" s="45"/>
    </row>
    <row r="1398" ht="15.75" customHeight="1">
      <c r="A1398" s="27">
        <f t="shared" si="21"/>
        <v>277</v>
      </c>
      <c r="B1398" s="121" t="s">
        <v>5011</v>
      </c>
      <c r="C1398" s="121" t="s">
        <v>5008</v>
      </c>
      <c r="D1398" s="119" t="s">
        <v>5025</v>
      </c>
      <c r="E1398" s="121" t="s">
        <v>5013</v>
      </c>
      <c r="F1398" s="121" t="s">
        <v>4823</v>
      </c>
      <c r="G1398" s="121" t="s">
        <v>37</v>
      </c>
      <c r="H1398" s="83"/>
      <c r="I1398" s="121" t="s">
        <v>38</v>
      </c>
      <c r="J1398" s="121">
        <v>272.0</v>
      </c>
      <c r="K1398" s="83"/>
      <c r="L1398" s="121" t="s">
        <v>5014</v>
      </c>
      <c r="M1398" s="121" t="s">
        <v>4207</v>
      </c>
      <c r="N1398" s="121">
        <v>2005.0</v>
      </c>
      <c r="O1398" s="121">
        <v>18.0</v>
      </c>
      <c r="P1398" s="121">
        <v>1.0</v>
      </c>
      <c r="Q1398" s="121">
        <v>1.0</v>
      </c>
      <c r="R1398" s="84"/>
      <c r="S1398" s="40"/>
      <c r="T1398" s="40"/>
      <c r="U1398" s="40"/>
      <c r="V1398" s="40"/>
      <c r="W1398" s="40"/>
      <c r="X1398" s="40"/>
      <c r="Y1398" s="45"/>
      <c r="Z1398" s="45"/>
      <c r="AA1398" s="45"/>
      <c r="AB1398" s="45"/>
      <c r="AC1398" s="45"/>
      <c r="AD1398" s="45"/>
      <c r="AE1398" s="45"/>
      <c r="AF1398" s="45"/>
      <c r="AG1398" s="45"/>
      <c r="AH1398" s="45"/>
      <c r="AI1398" s="45"/>
      <c r="AJ1398" s="45"/>
      <c r="AK1398" s="45"/>
      <c r="AL1398" s="45"/>
    </row>
    <row r="1399" ht="15.75" customHeight="1">
      <c r="A1399" s="27">
        <f t="shared" si="21"/>
        <v>278</v>
      </c>
      <c r="B1399" s="124" t="s">
        <v>5026</v>
      </c>
      <c r="C1399" s="124" t="s">
        <v>5008</v>
      </c>
      <c r="D1399" s="173" t="s">
        <v>5027</v>
      </c>
      <c r="E1399" s="121" t="s">
        <v>5013</v>
      </c>
      <c r="F1399" s="121" t="s">
        <v>4823</v>
      </c>
      <c r="G1399" s="121" t="s">
        <v>37</v>
      </c>
      <c r="H1399" s="83"/>
      <c r="I1399" s="121" t="s">
        <v>38</v>
      </c>
      <c r="J1399" s="124">
        <v>366.0</v>
      </c>
      <c r="K1399" s="83"/>
      <c r="L1399" s="121" t="s">
        <v>5014</v>
      </c>
      <c r="M1399" s="174" t="s">
        <v>4207</v>
      </c>
      <c r="N1399" s="124">
        <v>2019.0</v>
      </c>
      <c r="O1399" s="124">
        <v>18.0</v>
      </c>
      <c r="P1399" s="124">
        <v>2.0</v>
      </c>
      <c r="Q1399" s="124">
        <v>2.0</v>
      </c>
      <c r="R1399" s="84"/>
      <c r="S1399" s="40"/>
      <c r="T1399" s="40"/>
      <c r="U1399" s="40"/>
      <c r="V1399" s="40"/>
      <c r="W1399" s="40"/>
      <c r="X1399" s="40"/>
      <c r="Y1399" s="45"/>
      <c r="Z1399" s="45"/>
      <c r="AA1399" s="45"/>
      <c r="AB1399" s="45"/>
      <c r="AC1399" s="45"/>
      <c r="AD1399" s="45"/>
      <c r="AE1399" s="45"/>
      <c r="AF1399" s="45"/>
      <c r="AG1399" s="45"/>
      <c r="AH1399" s="45"/>
      <c r="AI1399" s="45"/>
      <c r="AJ1399" s="45"/>
      <c r="AK1399" s="45"/>
      <c r="AL1399" s="45"/>
    </row>
    <row r="1400" ht="15.75" customHeight="1">
      <c r="A1400" s="27">
        <f t="shared" si="21"/>
        <v>279</v>
      </c>
      <c r="B1400" s="124" t="s">
        <v>5026</v>
      </c>
      <c r="C1400" s="124" t="s">
        <v>5008</v>
      </c>
      <c r="D1400" s="173" t="s">
        <v>5028</v>
      </c>
      <c r="E1400" s="121" t="s">
        <v>5013</v>
      </c>
      <c r="F1400" s="121" t="s">
        <v>4823</v>
      </c>
      <c r="G1400" s="121" t="s">
        <v>37</v>
      </c>
      <c r="H1400" s="83"/>
      <c r="I1400" s="121" t="s">
        <v>38</v>
      </c>
      <c r="J1400" s="124">
        <v>119.0</v>
      </c>
      <c r="K1400" s="83"/>
      <c r="L1400" s="121" t="s">
        <v>5014</v>
      </c>
      <c r="M1400" s="174" t="s">
        <v>4207</v>
      </c>
      <c r="N1400" s="124">
        <v>2019.0</v>
      </c>
      <c r="O1400" s="124">
        <v>18.0</v>
      </c>
      <c r="P1400" s="121">
        <v>1.0</v>
      </c>
      <c r="Q1400" s="121">
        <v>1.0</v>
      </c>
      <c r="R1400" s="84"/>
      <c r="S1400" s="34"/>
      <c r="T1400" s="34"/>
      <c r="U1400" s="34"/>
      <c r="V1400" s="34"/>
      <c r="W1400" s="40"/>
      <c r="X1400" s="40"/>
      <c r="Y1400" s="45"/>
      <c r="Z1400" s="45"/>
      <c r="AA1400" s="45"/>
      <c r="AB1400" s="45"/>
      <c r="AC1400" s="45"/>
      <c r="AD1400" s="45"/>
      <c r="AE1400" s="45"/>
      <c r="AF1400" s="45"/>
      <c r="AG1400" s="45"/>
      <c r="AH1400" s="45"/>
      <c r="AI1400" s="45"/>
      <c r="AJ1400" s="45"/>
      <c r="AK1400" s="45"/>
      <c r="AL1400" s="45"/>
    </row>
    <row r="1401" ht="15.75" customHeight="1">
      <c r="A1401" s="27">
        <f t="shared" si="21"/>
        <v>280</v>
      </c>
      <c r="B1401" s="124" t="s">
        <v>5026</v>
      </c>
      <c r="C1401" s="124" t="s">
        <v>5008</v>
      </c>
      <c r="D1401" s="173" t="s">
        <v>5029</v>
      </c>
      <c r="E1401" s="121" t="s">
        <v>5013</v>
      </c>
      <c r="F1401" s="121" t="s">
        <v>4823</v>
      </c>
      <c r="G1401" s="121" t="s">
        <v>37</v>
      </c>
      <c r="H1401" s="83"/>
      <c r="I1401" s="121" t="s">
        <v>38</v>
      </c>
      <c r="J1401" s="124">
        <v>377.0</v>
      </c>
      <c r="K1401" s="83"/>
      <c r="L1401" s="121" t="s">
        <v>5014</v>
      </c>
      <c r="M1401" s="174" t="s">
        <v>4207</v>
      </c>
      <c r="N1401" s="124">
        <v>2020.0</v>
      </c>
      <c r="O1401" s="124">
        <v>18.0</v>
      </c>
      <c r="P1401" s="124">
        <v>1.0</v>
      </c>
      <c r="Q1401" s="124">
        <v>1.0</v>
      </c>
      <c r="R1401" s="84"/>
      <c r="S1401" s="40"/>
      <c r="T1401" s="40"/>
      <c r="U1401" s="40"/>
      <c r="V1401" s="40"/>
      <c r="W1401" s="40"/>
      <c r="X1401" s="40"/>
      <c r="Y1401" s="45"/>
      <c r="Z1401" s="45"/>
      <c r="AA1401" s="45"/>
      <c r="AB1401" s="45"/>
      <c r="AC1401" s="45"/>
      <c r="AD1401" s="45"/>
      <c r="AE1401" s="45"/>
      <c r="AF1401" s="45"/>
      <c r="AG1401" s="45"/>
      <c r="AH1401" s="45"/>
      <c r="AI1401" s="45"/>
      <c r="AJ1401" s="45"/>
      <c r="AK1401" s="45"/>
      <c r="AL1401" s="45"/>
    </row>
    <row r="1402" ht="15.75" customHeight="1">
      <c r="A1402" s="27">
        <f t="shared" si="21"/>
        <v>281</v>
      </c>
      <c r="B1402" s="175" t="s">
        <v>5030</v>
      </c>
      <c r="C1402" s="124" t="s">
        <v>5008</v>
      </c>
      <c r="D1402" s="173" t="s">
        <v>5031</v>
      </c>
      <c r="E1402" s="121" t="s">
        <v>5013</v>
      </c>
      <c r="F1402" s="121" t="s">
        <v>4823</v>
      </c>
      <c r="G1402" s="121" t="s">
        <v>37</v>
      </c>
      <c r="H1402" s="83"/>
      <c r="I1402" s="121" t="s">
        <v>38</v>
      </c>
      <c r="J1402" s="124">
        <v>145.0</v>
      </c>
      <c r="K1402" s="83"/>
      <c r="L1402" s="121" t="s">
        <v>5014</v>
      </c>
      <c r="M1402" s="174" t="s">
        <v>4207</v>
      </c>
      <c r="N1402" s="124">
        <v>2020.0</v>
      </c>
      <c r="O1402" s="124">
        <v>18.0</v>
      </c>
      <c r="P1402" s="124">
        <v>1.0</v>
      </c>
      <c r="Q1402" s="124">
        <v>1.0</v>
      </c>
      <c r="R1402" s="84"/>
      <c r="S1402" s="40"/>
      <c r="T1402" s="40"/>
      <c r="U1402" s="40"/>
      <c r="V1402" s="40"/>
      <c r="W1402" s="40"/>
      <c r="X1402" s="40"/>
      <c r="Y1402" s="45"/>
      <c r="Z1402" s="45"/>
      <c r="AA1402" s="45"/>
      <c r="AB1402" s="45"/>
      <c r="AC1402" s="45"/>
      <c r="AD1402" s="45"/>
      <c r="AE1402" s="45"/>
      <c r="AF1402" s="45"/>
      <c r="AG1402" s="45"/>
      <c r="AH1402" s="45"/>
      <c r="AI1402" s="45"/>
      <c r="AJ1402" s="45"/>
      <c r="AK1402" s="45"/>
      <c r="AL1402" s="45"/>
    </row>
    <row r="1403" ht="15.75" customHeight="1">
      <c r="A1403" s="27">
        <f t="shared" si="21"/>
        <v>282</v>
      </c>
      <c r="B1403" s="121" t="s">
        <v>4998</v>
      </c>
      <c r="C1403" s="121" t="s">
        <v>5032</v>
      </c>
      <c r="D1403" s="119" t="s">
        <v>5033</v>
      </c>
      <c r="E1403" s="121" t="s">
        <v>5001</v>
      </c>
      <c r="F1403" s="121" t="s">
        <v>4823</v>
      </c>
      <c r="G1403" s="121" t="s">
        <v>37</v>
      </c>
      <c r="H1403" s="83"/>
      <c r="I1403" s="121" t="s">
        <v>38</v>
      </c>
      <c r="J1403" s="121">
        <v>62.0</v>
      </c>
      <c r="K1403" s="83"/>
      <c r="L1403" s="121" t="s">
        <v>1214</v>
      </c>
      <c r="M1403" s="121" t="s">
        <v>4207</v>
      </c>
      <c r="N1403" s="121">
        <v>2012.0</v>
      </c>
      <c r="O1403" s="121">
        <v>18.0</v>
      </c>
      <c r="P1403" s="121">
        <v>1.0</v>
      </c>
      <c r="Q1403" s="121">
        <v>1.0</v>
      </c>
      <c r="R1403" s="84"/>
      <c r="S1403" s="40"/>
      <c r="T1403" s="40"/>
      <c r="U1403" s="40"/>
      <c r="V1403" s="40"/>
      <c r="W1403" s="40"/>
      <c r="X1403" s="40"/>
      <c r="Y1403" s="45"/>
      <c r="Z1403" s="45"/>
      <c r="AA1403" s="45"/>
      <c r="AB1403" s="45"/>
      <c r="AC1403" s="45"/>
      <c r="AD1403" s="45"/>
      <c r="AE1403" s="45"/>
      <c r="AF1403" s="45"/>
      <c r="AG1403" s="45"/>
      <c r="AH1403" s="45"/>
      <c r="AI1403" s="45"/>
      <c r="AJ1403" s="45"/>
      <c r="AK1403" s="45"/>
      <c r="AL1403" s="45"/>
    </row>
    <row r="1404" ht="15.75" customHeight="1">
      <c r="A1404" s="27">
        <f t="shared" si="21"/>
        <v>283</v>
      </c>
      <c r="B1404" s="121" t="s">
        <v>4998</v>
      </c>
      <c r="C1404" s="121" t="s">
        <v>5032</v>
      </c>
      <c r="D1404" s="119" t="s">
        <v>5034</v>
      </c>
      <c r="E1404" s="121" t="s">
        <v>5001</v>
      </c>
      <c r="F1404" s="121" t="s">
        <v>4823</v>
      </c>
      <c r="G1404" s="121" t="s">
        <v>37</v>
      </c>
      <c r="H1404" s="83"/>
      <c r="I1404" s="121" t="s">
        <v>38</v>
      </c>
      <c r="J1404" s="121">
        <v>206.0</v>
      </c>
      <c r="K1404" s="83"/>
      <c r="L1404" s="121" t="s">
        <v>1214</v>
      </c>
      <c r="M1404" s="121" t="s">
        <v>4207</v>
      </c>
      <c r="N1404" s="121">
        <v>2011.0</v>
      </c>
      <c r="O1404" s="121">
        <v>18.0</v>
      </c>
      <c r="P1404" s="121">
        <v>1.0</v>
      </c>
      <c r="Q1404" s="121">
        <v>1.0</v>
      </c>
      <c r="R1404" s="84"/>
      <c r="S1404" s="40"/>
      <c r="T1404" s="40"/>
      <c r="U1404" s="40"/>
      <c r="V1404" s="40"/>
      <c r="W1404" s="40"/>
      <c r="X1404" s="40"/>
      <c r="Y1404" s="45"/>
      <c r="Z1404" s="45"/>
      <c r="AA1404" s="45"/>
      <c r="AB1404" s="45"/>
      <c r="AC1404" s="45"/>
      <c r="AD1404" s="45"/>
      <c r="AE1404" s="45"/>
      <c r="AF1404" s="45"/>
      <c r="AG1404" s="45"/>
      <c r="AH1404" s="45"/>
      <c r="AI1404" s="45"/>
      <c r="AJ1404" s="45"/>
      <c r="AK1404" s="45"/>
      <c r="AL1404" s="45"/>
    </row>
    <row r="1405" ht="15.75" customHeight="1">
      <c r="A1405" s="27">
        <f t="shared" si="21"/>
        <v>284</v>
      </c>
      <c r="B1405" s="121" t="s">
        <v>4998</v>
      </c>
      <c r="C1405" s="121" t="s">
        <v>5032</v>
      </c>
      <c r="D1405" s="119" t="s">
        <v>5035</v>
      </c>
      <c r="E1405" s="121" t="s">
        <v>5001</v>
      </c>
      <c r="F1405" s="121" t="s">
        <v>4823</v>
      </c>
      <c r="G1405" s="121" t="s">
        <v>37</v>
      </c>
      <c r="H1405" s="83"/>
      <c r="I1405" s="121" t="s">
        <v>38</v>
      </c>
      <c r="J1405" s="121">
        <v>58.0</v>
      </c>
      <c r="K1405" s="83"/>
      <c r="L1405" s="121" t="s">
        <v>1214</v>
      </c>
      <c r="M1405" s="121" t="s">
        <v>4207</v>
      </c>
      <c r="N1405" s="121">
        <v>2011.0</v>
      </c>
      <c r="O1405" s="121">
        <v>18.0</v>
      </c>
      <c r="P1405" s="121">
        <v>2.0</v>
      </c>
      <c r="Q1405" s="121">
        <v>2.0</v>
      </c>
      <c r="R1405" s="84"/>
      <c r="S1405" s="40"/>
      <c r="T1405" s="40"/>
      <c r="U1405" s="40"/>
      <c r="V1405" s="40"/>
      <c r="W1405" s="40"/>
      <c r="X1405" s="40"/>
      <c r="Y1405" s="45"/>
      <c r="Z1405" s="45"/>
      <c r="AA1405" s="45"/>
      <c r="AB1405" s="45"/>
      <c r="AC1405" s="45"/>
      <c r="AD1405" s="45"/>
      <c r="AE1405" s="45"/>
      <c r="AF1405" s="45"/>
      <c r="AG1405" s="45"/>
      <c r="AH1405" s="45"/>
      <c r="AI1405" s="45"/>
      <c r="AJ1405" s="45"/>
      <c r="AK1405" s="45"/>
      <c r="AL1405" s="45"/>
    </row>
    <row r="1406" ht="15.75" customHeight="1">
      <c r="A1406" s="27">
        <f t="shared" si="21"/>
        <v>285</v>
      </c>
      <c r="B1406" s="121" t="s">
        <v>4998</v>
      </c>
      <c r="C1406" s="121" t="s">
        <v>5032</v>
      </c>
      <c r="D1406" s="119" t="s">
        <v>5036</v>
      </c>
      <c r="E1406" s="121" t="s">
        <v>5001</v>
      </c>
      <c r="F1406" s="121" t="s">
        <v>4823</v>
      </c>
      <c r="G1406" s="121" t="s">
        <v>37</v>
      </c>
      <c r="H1406" s="83"/>
      <c r="I1406" s="121" t="s">
        <v>38</v>
      </c>
      <c r="J1406" s="121">
        <v>168.0</v>
      </c>
      <c r="K1406" s="83"/>
      <c r="L1406" s="121" t="s">
        <v>1214</v>
      </c>
      <c r="M1406" s="121" t="s">
        <v>4207</v>
      </c>
      <c r="N1406" s="121">
        <v>2010.0</v>
      </c>
      <c r="O1406" s="121">
        <v>18.0</v>
      </c>
      <c r="P1406" s="121">
        <v>2.0</v>
      </c>
      <c r="Q1406" s="121">
        <v>2.0</v>
      </c>
      <c r="R1406" s="84"/>
      <c r="S1406" s="40"/>
      <c r="T1406" s="40"/>
      <c r="U1406" s="40"/>
      <c r="V1406" s="40"/>
      <c r="W1406" s="40"/>
      <c r="X1406" s="40"/>
      <c r="Y1406" s="45"/>
      <c r="Z1406" s="45"/>
      <c r="AA1406" s="45"/>
      <c r="AB1406" s="45"/>
      <c r="AC1406" s="45"/>
      <c r="AD1406" s="45"/>
      <c r="AE1406" s="45"/>
      <c r="AF1406" s="45"/>
      <c r="AG1406" s="45"/>
      <c r="AH1406" s="45"/>
      <c r="AI1406" s="45"/>
      <c r="AJ1406" s="45"/>
      <c r="AK1406" s="45"/>
      <c r="AL1406" s="45"/>
    </row>
    <row r="1407" ht="15.75" customHeight="1">
      <c r="A1407" s="27">
        <f t="shared" si="21"/>
        <v>286</v>
      </c>
      <c r="B1407" s="121" t="s">
        <v>4998</v>
      </c>
      <c r="C1407" s="121" t="s">
        <v>5032</v>
      </c>
      <c r="D1407" s="119" t="s">
        <v>5037</v>
      </c>
      <c r="E1407" s="121" t="s">
        <v>5001</v>
      </c>
      <c r="F1407" s="121" t="s">
        <v>4823</v>
      </c>
      <c r="G1407" s="121" t="s">
        <v>37</v>
      </c>
      <c r="H1407" s="83"/>
      <c r="I1407" s="121" t="s">
        <v>38</v>
      </c>
      <c r="J1407" s="121">
        <v>54.0</v>
      </c>
      <c r="K1407" s="83"/>
      <c r="L1407" s="121" t="s">
        <v>1214</v>
      </c>
      <c r="M1407" s="121" t="s">
        <v>4207</v>
      </c>
      <c r="N1407" s="121">
        <v>2010.0</v>
      </c>
      <c r="O1407" s="121">
        <v>18.0</v>
      </c>
      <c r="P1407" s="121">
        <v>2.0</v>
      </c>
      <c r="Q1407" s="121">
        <v>2.0</v>
      </c>
      <c r="R1407" s="84"/>
      <c r="S1407" s="40"/>
      <c r="T1407" s="40"/>
      <c r="U1407" s="40"/>
      <c r="V1407" s="40"/>
      <c r="W1407" s="40"/>
      <c r="X1407" s="40"/>
      <c r="Y1407" s="45"/>
      <c r="Z1407" s="45"/>
      <c r="AA1407" s="45"/>
      <c r="AB1407" s="45"/>
      <c r="AC1407" s="45"/>
      <c r="AD1407" s="45"/>
      <c r="AE1407" s="45"/>
      <c r="AF1407" s="45"/>
      <c r="AG1407" s="45"/>
      <c r="AH1407" s="45"/>
      <c r="AI1407" s="45"/>
      <c r="AJ1407" s="45"/>
      <c r="AK1407" s="45"/>
      <c r="AL1407" s="45"/>
    </row>
    <row r="1408" ht="15.75" customHeight="1">
      <c r="A1408" s="27">
        <f t="shared" si="21"/>
        <v>287</v>
      </c>
      <c r="B1408" s="121" t="s">
        <v>4998</v>
      </c>
      <c r="C1408" s="121" t="s">
        <v>5032</v>
      </c>
      <c r="D1408" s="119" t="s">
        <v>5038</v>
      </c>
      <c r="E1408" s="121" t="s">
        <v>5001</v>
      </c>
      <c r="F1408" s="121" t="s">
        <v>4823</v>
      </c>
      <c r="G1408" s="121" t="s">
        <v>37</v>
      </c>
      <c r="H1408" s="83"/>
      <c r="I1408" s="121" t="s">
        <v>38</v>
      </c>
      <c r="J1408" s="121">
        <v>192.0</v>
      </c>
      <c r="K1408" s="83"/>
      <c r="L1408" s="121" t="s">
        <v>1214</v>
      </c>
      <c r="M1408" s="121" t="s">
        <v>4207</v>
      </c>
      <c r="N1408" s="121">
        <v>2009.0</v>
      </c>
      <c r="O1408" s="121">
        <v>18.0</v>
      </c>
      <c r="P1408" s="121">
        <v>2.0</v>
      </c>
      <c r="Q1408" s="121">
        <v>2.0</v>
      </c>
      <c r="R1408" s="84"/>
      <c r="S1408" s="40"/>
      <c r="T1408" s="40"/>
      <c r="U1408" s="40"/>
      <c r="V1408" s="40"/>
      <c r="W1408" s="40"/>
      <c r="X1408" s="40"/>
      <c r="Y1408" s="3"/>
      <c r="Z1408" s="3"/>
      <c r="AA1408" s="3"/>
      <c r="AB1408" s="3"/>
      <c r="AC1408" s="3"/>
      <c r="AD1408" s="3"/>
      <c r="AE1408" s="3"/>
      <c r="AF1408" s="3"/>
      <c r="AG1408" s="3"/>
      <c r="AH1408" s="3"/>
      <c r="AI1408" s="3"/>
      <c r="AJ1408" s="3"/>
      <c r="AK1408" s="3"/>
      <c r="AL1408" s="3"/>
    </row>
    <row r="1409" ht="15.75" customHeight="1">
      <c r="A1409" s="27">
        <f t="shared" si="21"/>
        <v>288</v>
      </c>
      <c r="B1409" s="121" t="s">
        <v>4998</v>
      </c>
      <c r="C1409" s="121" t="s">
        <v>5032</v>
      </c>
      <c r="D1409" s="119" t="s">
        <v>5039</v>
      </c>
      <c r="E1409" s="121" t="s">
        <v>5001</v>
      </c>
      <c r="F1409" s="121" t="s">
        <v>4823</v>
      </c>
      <c r="G1409" s="121" t="s">
        <v>37</v>
      </c>
      <c r="H1409" s="83"/>
      <c r="I1409" s="121" t="s">
        <v>38</v>
      </c>
      <c r="J1409" s="121">
        <v>72.0</v>
      </c>
      <c r="K1409" s="83"/>
      <c r="L1409" s="121" t="s">
        <v>1214</v>
      </c>
      <c r="M1409" s="121" t="s">
        <v>4207</v>
      </c>
      <c r="N1409" s="121">
        <v>2009.0</v>
      </c>
      <c r="O1409" s="121">
        <v>18.0</v>
      </c>
      <c r="P1409" s="121">
        <v>2.0</v>
      </c>
      <c r="Q1409" s="121">
        <v>2.0</v>
      </c>
      <c r="R1409" s="84"/>
      <c r="S1409" s="40"/>
      <c r="T1409" s="40"/>
      <c r="U1409" s="40"/>
      <c r="V1409" s="40"/>
      <c r="W1409" s="40"/>
      <c r="X1409" s="40"/>
      <c r="Y1409" s="45"/>
      <c r="Z1409" s="45"/>
      <c r="AA1409" s="45"/>
      <c r="AB1409" s="45"/>
      <c r="AC1409" s="45"/>
      <c r="AD1409" s="45"/>
      <c r="AE1409" s="45"/>
      <c r="AF1409" s="45"/>
      <c r="AG1409" s="45"/>
      <c r="AH1409" s="45"/>
      <c r="AI1409" s="45"/>
      <c r="AJ1409" s="45"/>
      <c r="AK1409" s="45"/>
      <c r="AL1409" s="45"/>
    </row>
    <row r="1410" ht="15.75" customHeight="1">
      <c r="A1410" s="27">
        <f t="shared" si="21"/>
        <v>289</v>
      </c>
      <c r="B1410" s="121" t="s">
        <v>4998</v>
      </c>
      <c r="C1410" s="121" t="s">
        <v>5032</v>
      </c>
      <c r="D1410" s="119" t="s">
        <v>5040</v>
      </c>
      <c r="E1410" s="121" t="s">
        <v>5001</v>
      </c>
      <c r="F1410" s="121" t="s">
        <v>4823</v>
      </c>
      <c r="G1410" s="121" t="s">
        <v>37</v>
      </c>
      <c r="H1410" s="83"/>
      <c r="I1410" s="121" t="s">
        <v>38</v>
      </c>
      <c r="J1410" s="121">
        <v>168.0</v>
      </c>
      <c r="K1410" s="83"/>
      <c r="L1410" s="121" t="s">
        <v>1214</v>
      </c>
      <c r="M1410" s="121" t="s">
        <v>4207</v>
      </c>
      <c r="N1410" s="121">
        <v>2008.0</v>
      </c>
      <c r="O1410" s="121">
        <v>18.0</v>
      </c>
      <c r="P1410" s="121">
        <v>2.0</v>
      </c>
      <c r="Q1410" s="121">
        <v>2.0</v>
      </c>
      <c r="R1410" s="84"/>
      <c r="S1410" s="40"/>
      <c r="T1410" s="40"/>
      <c r="U1410" s="40"/>
      <c r="V1410" s="40"/>
      <c r="W1410" s="40"/>
      <c r="X1410" s="40"/>
      <c r="Y1410" s="45"/>
      <c r="Z1410" s="45"/>
      <c r="AA1410" s="45"/>
      <c r="AB1410" s="45"/>
      <c r="AC1410" s="45"/>
      <c r="AD1410" s="45"/>
      <c r="AE1410" s="45"/>
      <c r="AF1410" s="45"/>
      <c r="AG1410" s="45"/>
      <c r="AH1410" s="45"/>
      <c r="AI1410" s="45"/>
      <c r="AJ1410" s="45"/>
      <c r="AK1410" s="45"/>
      <c r="AL1410" s="45"/>
    </row>
    <row r="1411" ht="15.75" customHeight="1">
      <c r="A1411" s="27">
        <f t="shared" si="21"/>
        <v>290</v>
      </c>
      <c r="B1411" s="121" t="s">
        <v>4998</v>
      </c>
      <c r="C1411" s="121" t="s">
        <v>5032</v>
      </c>
      <c r="D1411" s="119" t="s">
        <v>5041</v>
      </c>
      <c r="E1411" s="121" t="s">
        <v>5001</v>
      </c>
      <c r="F1411" s="121" t="s">
        <v>4823</v>
      </c>
      <c r="G1411" s="121" t="s">
        <v>37</v>
      </c>
      <c r="H1411" s="83"/>
      <c r="I1411" s="121" t="s">
        <v>38</v>
      </c>
      <c r="J1411" s="121">
        <v>56.0</v>
      </c>
      <c r="K1411" s="83"/>
      <c r="L1411" s="121" t="s">
        <v>1214</v>
      </c>
      <c r="M1411" s="121" t="s">
        <v>4207</v>
      </c>
      <c r="N1411" s="121">
        <v>2008.0</v>
      </c>
      <c r="O1411" s="121">
        <v>18.0</v>
      </c>
      <c r="P1411" s="121">
        <v>1.0</v>
      </c>
      <c r="Q1411" s="121">
        <v>1.0</v>
      </c>
      <c r="R1411" s="84"/>
      <c r="S1411" s="40"/>
      <c r="T1411" s="40"/>
      <c r="U1411" s="40"/>
      <c r="V1411" s="40"/>
      <c r="W1411" s="40"/>
      <c r="X1411" s="40"/>
      <c r="Y1411" s="45"/>
      <c r="Z1411" s="45"/>
      <c r="AA1411" s="45"/>
      <c r="AB1411" s="45"/>
      <c r="AC1411" s="45"/>
      <c r="AD1411" s="45"/>
      <c r="AE1411" s="45"/>
      <c r="AF1411" s="45"/>
      <c r="AG1411" s="45"/>
      <c r="AH1411" s="45"/>
      <c r="AI1411" s="45"/>
      <c r="AJ1411" s="45"/>
      <c r="AK1411" s="45"/>
      <c r="AL1411" s="45"/>
    </row>
    <row r="1412" ht="15.75" customHeight="1">
      <c r="A1412" s="27">
        <f t="shared" si="21"/>
        <v>291</v>
      </c>
      <c r="B1412" s="121" t="s">
        <v>4998</v>
      </c>
      <c r="C1412" s="121" t="s">
        <v>5032</v>
      </c>
      <c r="D1412" s="119" t="s">
        <v>5042</v>
      </c>
      <c r="E1412" s="121" t="s">
        <v>5001</v>
      </c>
      <c r="F1412" s="121" t="s">
        <v>4823</v>
      </c>
      <c r="G1412" s="121" t="s">
        <v>37</v>
      </c>
      <c r="H1412" s="83"/>
      <c r="I1412" s="121" t="s">
        <v>38</v>
      </c>
      <c r="J1412" s="121">
        <v>160.0</v>
      </c>
      <c r="K1412" s="83"/>
      <c r="L1412" s="121" t="s">
        <v>1214</v>
      </c>
      <c r="M1412" s="121" t="s">
        <v>4207</v>
      </c>
      <c r="N1412" s="121">
        <v>2007.0</v>
      </c>
      <c r="O1412" s="121">
        <v>18.0</v>
      </c>
      <c r="P1412" s="121">
        <v>1.0</v>
      </c>
      <c r="Q1412" s="121">
        <v>1.0</v>
      </c>
      <c r="R1412" s="84"/>
      <c r="S1412" s="40"/>
      <c r="T1412" s="40"/>
      <c r="U1412" s="40"/>
      <c r="V1412" s="40"/>
      <c r="W1412" s="40"/>
      <c r="X1412" s="40"/>
      <c r="Y1412" s="45"/>
      <c r="Z1412" s="45"/>
      <c r="AA1412" s="45"/>
      <c r="AB1412" s="45"/>
      <c r="AC1412" s="45"/>
      <c r="AD1412" s="45"/>
      <c r="AE1412" s="45"/>
      <c r="AF1412" s="45"/>
      <c r="AG1412" s="45"/>
      <c r="AH1412" s="45"/>
      <c r="AI1412" s="45"/>
      <c r="AJ1412" s="45"/>
      <c r="AK1412" s="45"/>
      <c r="AL1412" s="45"/>
    </row>
    <row r="1413" ht="15.75" customHeight="1">
      <c r="A1413" s="27">
        <f t="shared" si="21"/>
        <v>292</v>
      </c>
      <c r="B1413" s="121" t="s">
        <v>4998</v>
      </c>
      <c r="C1413" s="121" t="s">
        <v>5032</v>
      </c>
      <c r="D1413" s="119" t="s">
        <v>5043</v>
      </c>
      <c r="E1413" s="121" t="s">
        <v>5001</v>
      </c>
      <c r="F1413" s="121" t="s">
        <v>4823</v>
      </c>
      <c r="G1413" s="121" t="s">
        <v>37</v>
      </c>
      <c r="H1413" s="83"/>
      <c r="I1413" s="121" t="s">
        <v>38</v>
      </c>
      <c r="J1413" s="121">
        <v>56.0</v>
      </c>
      <c r="K1413" s="83"/>
      <c r="L1413" s="121" t="s">
        <v>1214</v>
      </c>
      <c r="M1413" s="121" t="s">
        <v>4207</v>
      </c>
      <c r="N1413" s="121">
        <v>2007.0</v>
      </c>
      <c r="O1413" s="121">
        <v>18.0</v>
      </c>
      <c r="P1413" s="121">
        <v>1.0</v>
      </c>
      <c r="Q1413" s="121">
        <v>1.0</v>
      </c>
      <c r="R1413" s="84"/>
      <c r="S1413" s="34"/>
      <c r="T1413" s="34"/>
      <c r="U1413" s="34"/>
      <c r="V1413" s="34"/>
      <c r="W1413" s="34"/>
      <c r="X1413" s="34"/>
      <c r="Y1413" s="45"/>
      <c r="Z1413" s="45"/>
      <c r="AA1413" s="45"/>
      <c r="AB1413" s="45"/>
      <c r="AC1413" s="45"/>
      <c r="AD1413" s="45"/>
      <c r="AE1413" s="45"/>
      <c r="AF1413" s="45"/>
      <c r="AG1413" s="45"/>
      <c r="AH1413" s="45"/>
      <c r="AI1413" s="45"/>
      <c r="AJ1413" s="45"/>
      <c r="AK1413" s="45"/>
      <c r="AL1413" s="45"/>
    </row>
    <row r="1414" ht="15.75" customHeight="1">
      <c r="A1414" s="27">
        <f t="shared" si="21"/>
        <v>293</v>
      </c>
      <c r="B1414" s="121" t="s">
        <v>4998</v>
      </c>
      <c r="C1414" s="121" t="s">
        <v>5032</v>
      </c>
      <c r="D1414" s="119" t="s">
        <v>5044</v>
      </c>
      <c r="E1414" s="121" t="s">
        <v>5001</v>
      </c>
      <c r="F1414" s="121" t="s">
        <v>4823</v>
      </c>
      <c r="G1414" s="121" t="s">
        <v>37</v>
      </c>
      <c r="H1414" s="83"/>
      <c r="I1414" s="121" t="s">
        <v>38</v>
      </c>
      <c r="J1414" s="121">
        <v>56.0</v>
      </c>
      <c r="K1414" s="83"/>
      <c r="L1414" s="121" t="s">
        <v>1214</v>
      </c>
      <c r="M1414" s="121" t="s">
        <v>4207</v>
      </c>
      <c r="N1414" s="121">
        <v>2006.0</v>
      </c>
      <c r="O1414" s="121">
        <v>18.0</v>
      </c>
      <c r="P1414" s="121">
        <v>1.0</v>
      </c>
      <c r="Q1414" s="121">
        <v>1.0</v>
      </c>
      <c r="R1414" s="84"/>
      <c r="S1414" s="40"/>
      <c r="T1414" s="40"/>
      <c r="U1414" s="40"/>
      <c r="V1414" s="40"/>
      <c r="W1414" s="40"/>
      <c r="X1414" s="40"/>
      <c r="Y1414" s="3"/>
      <c r="Z1414" s="3"/>
      <c r="AA1414" s="3"/>
      <c r="AB1414" s="3"/>
      <c r="AC1414" s="3"/>
      <c r="AD1414" s="3"/>
      <c r="AE1414" s="3"/>
      <c r="AF1414" s="3"/>
      <c r="AG1414" s="3"/>
      <c r="AH1414" s="3"/>
      <c r="AI1414" s="3"/>
      <c r="AJ1414" s="3"/>
      <c r="AK1414" s="3"/>
      <c r="AL1414" s="3"/>
    </row>
    <row r="1415" ht="15.75" customHeight="1">
      <c r="A1415" s="27">
        <f t="shared" si="21"/>
        <v>294</v>
      </c>
      <c r="B1415" s="121" t="s">
        <v>5011</v>
      </c>
      <c r="C1415" s="121" t="s">
        <v>5045</v>
      </c>
      <c r="D1415" s="119" t="s">
        <v>5046</v>
      </c>
      <c r="E1415" s="121" t="s">
        <v>5001</v>
      </c>
      <c r="F1415" s="121" t="s">
        <v>4823</v>
      </c>
      <c r="G1415" s="121" t="s">
        <v>37</v>
      </c>
      <c r="H1415" s="83"/>
      <c r="I1415" s="121" t="s">
        <v>38</v>
      </c>
      <c r="J1415" s="121">
        <v>248.0</v>
      </c>
      <c r="K1415" s="83"/>
      <c r="L1415" s="121" t="s">
        <v>5047</v>
      </c>
      <c r="M1415" s="121" t="s">
        <v>4207</v>
      </c>
      <c r="N1415" s="121">
        <v>2002.0</v>
      </c>
      <c r="O1415" s="121">
        <v>18.0</v>
      </c>
      <c r="P1415" s="121">
        <v>1.0</v>
      </c>
      <c r="Q1415" s="121">
        <v>1.0</v>
      </c>
      <c r="R1415" s="84"/>
      <c r="S1415" s="40"/>
      <c r="T1415" s="40"/>
      <c r="U1415" s="40"/>
      <c r="V1415" s="40"/>
      <c r="W1415" s="40"/>
      <c r="X1415" s="40"/>
      <c r="Y1415" s="45"/>
      <c r="Z1415" s="45"/>
      <c r="AA1415" s="45"/>
      <c r="AB1415" s="45"/>
      <c r="AC1415" s="45"/>
      <c r="AD1415" s="45"/>
      <c r="AE1415" s="45"/>
      <c r="AF1415" s="45"/>
      <c r="AG1415" s="45"/>
      <c r="AH1415" s="45"/>
      <c r="AI1415" s="45"/>
      <c r="AJ1415" s="45"/>
      <c r="AK1415" s="45"/>
      <c r="AL1415" s="45"/>
    </row>
    <row r="1416" ht="15.75" customHeight="1">
      <c r="A1416" s="27">
        <f t="shared" si="21"/>
        <v>295</v>
      </c>
      <c r="B1416" s="121" t="s">
        <v>5011</v>
      </c>
      <c r="C1416" s="121" t="s">
        <v>5045</v>
      </c>
      <c r="D1416" s="119" t="s">
        <v>5048</v>
      </c>
      <c r="E1416" s="121" t="s">
        <v>5013</v>
      </c>
      <c r="F1416" s="121" t="s">
        <v>4823</v>
      </c>
      <c r="G1416" s="121" t="s">
        <v>37</v>
      </c>
      <c r="H1416" s="83"/>
      <c r="I1416" s="121" t="s">
        <v>38</v>
      </c>
      <c r="J1416" s="121">
        <v>112.0</v>
      </c>
      <c r="K1416" s="83"/>
      <c r="L1416" s="121" t="s">
        <v>5047</v>
      </c>
      <c r="M1416" s="121" t="s">
        <v>4207</v>
      </c>
      <c r="N1416" s="121">
        <v>2005.0</v>
      </c>
      <c r="O1416" s="121">
        <v>18.0</v>
      </c>
      <c r="P1416" s="121">
        <v>1.0</v>
      </c>
      <c r="Q1416" s="121">
        <v>1.0</v>
      </c>
      <c r="R1416" s="84"/>
      <c r="S1416" s="40"/>
      <c r="T1416" s="40"/>
      <c r="U1416" s="40"/>
      <c r="V1416" s="40"/>
      <c r="W1416" s="40"/>
      <c r="X1416" s="40"/>
      <c r="Y1416" s="45"/>
      <c r="Z1416" s="45"/>
      <c r="AA1416" s="45"/>
      <c r="AB1416" s="45"/>
      <c r="AC1416" s="45"/>
      <c r="AD1416" s="45"/>
      <c r="AE1416" s="45"/>
      <c r="AF1416" s="45"/>
      <c r="AG1416" s="45"/>
      <c r="AH1416" s="45"/>
      <c r="AI1416" s="45"/>
      <c r="AJ1416" s="45"/>
      <c r="AK1416" s="45"/>
      <c r="AL1416" s="45"/>
    </row>
    <row r="1417" ht="15.75" customHeight="1">
      <c r="A1417" s="27">
        <f t="shared" si="21"/>
        <v>296</v>
      </c>
      <c r="B1417" s="121" t="s">
        <v>5011</v>
      </c>
      <c r="C1417" s="121" t="s">
        <v>5045</v>
      </c>
      <c r="D1417" s="119" t="s">
        <v>5049</v>
      </c>
      <c r="E1417" s="121" t="s">
        <v>5013</v>
      </c>
      <c r="F1417" s="121" t="s">
        <v>4823</v>
      </c>
      <c r="G1417" s="121" t="s">
        <v>37</v>
      </c>
      <c r="H1417" s="83"/>
      <c r="I1417" s="121" t="s">
        <v>38</v>
      </c>
      <c r="J1417" s="121">
        <v>536.0</v>
      </c>
      <c r="K1417" s="83"/>
      <c r="L1417" s="121" t="s">
        <v>5047</v>
      </c>
      <c r="M1417" s="121" t="s">
        <v>4207</v>
      </c>
      <c r="N1417" s="121">
        <v>2004.0</v>
      </c>
      <c r="O1417" s="121">
        <v>18.0</v>
      </c>
      <c r="P1417" s="121">
        <v>1.0</v>
      </c>
      <c r="Q1417" s="121">
        <v>1.0</v>
      </c>
      <c r="R1417" s="84"/>
      <c r="S1417" s="34"/>
      <c r="T1417" s="34"/>
      <c r="U1417" s="34"/>
      <c r="V1417" s="34"/>
      <c r="W1417" s="34"/>
      <c r="X1417" s="34"/>
      <c r="Y1417" s="45"/>
      <c r="Z1417" s="45"/>
      <c r="AA1417" s="45"/>
      <c r="AB1417" s="45"/>
      <c r="AC1417" s="45"/>
      <c r="AD1417" s="45"/>
      <c r="AE1417" s="45"/>
      <c r="AF1417" s="45"/>
      <c r="AG1417" s="45"/>
      <c r="AH1417" s="45"/>
      <c r="AI1417" s="45"/>
      <c r="AJ1417" s="45"/>
      <c r="AK1417" s="45"/>
      <c r="AL1417" s="45"/>
    </row>
    <row r="1418" ht="15.75" customHeight="1">
      <c r="A1418" s="27">
        <f t="shared" si="21"/>
        <v>297</v>
      </c>
      <c r="B1418" s="121" t="s">
        <v>5011</v>
      </c>
      <c r="C1418" s="121" t="s">
        <v>5045</v>
      </c>
      <c r="D1418" s="119" t="s">
        <v>5050</v>
      </c>
      <c r="E1418" s="121" t="s">
        <v>5013</v>
      </c>
      <c r="F1418" s="121" t="s">
        <v>4823</v>
      </c>
      <c r="G1418" s="121" t="s">
        <v>37</v>
      </c>
      <c r="H1418" s="83"/>
      <c r="I1418" s="121" t="s">
        <v>38</v>
      </c>
      <c r="J1418" s="121">
        <v>248.0</v>
      </c>
      <c r="K1418" s="83"/>
      <c r="L1418" s="121" t="s">
        <v>5047</v>
      </c>
      <c r="M1418" s="121" t="s">
        <v>4207</v>
      </c>
      <c r="N1418" s="121">
        <v>2004.0</v>
      </c>
      <c r="O1418" s="121">
        <v>18.0</v>
      </c>
      <c r="P1418" s="121">
        <v>1.0</v>
      </c>
      <c r="Q1418" s="121">
        <v>1.0</v>
      </c>
      <c r="R1418" s="84"/>
      <c r="S1418" s="40"/>
      <c r="T1418" s="40"/>
      <c r="U1418" s="40"/>
      <c r="V1418" s="40"/>
      <c r="W1418" s="40"/>
      <c r="X1418" s="40"/>
      <c r="Y1418" s="45"/>
      <c r="Z1418" s="45"/>
      <c r="AA1418" s="45"/>
      <c r="AB1418" s="45"/>
      <c r="AC1418" s="45"/>
      <c r="AD1418" s="45"/>
      <c r="AE1418" s="45"/>
      <c r="AF1418" s="45"/>
      <c r="AG1418" s="45"/>
      <c r="AH1418" s="45"/>
      <c r="AI1418" s="45"/>
      <c r="AJ1418" s="45"/>
      <c r="AK1418" s="45"/>
      <c r="AL1418" s="45"/>
    </row>
    <row r="1419" ht="15.75" customHeight="1">
      <c r="A1419" s="27">
        <f t="shared" si="21"/>
        <v>298</v>
      </c>
      <c r="B1419" s="121" t="s">
        <v>5011</v>
      </c>
      <c r="C1419" s="121" t="s">
        <v>5045</v>
      </c>
      <c r="D1419" s="119" t="s">
        <v>5051</v>
      </c>
      <c r="E1419" s="121" t="s">
        <v>5013</v>
      </c>
      <c r="F1419" s="121" t="s">
        <v>4823</v>
      </c>
      <c r="G1419" s="121" t="s">
        <v>37</v>
      </c>
      <c r="H1419" s="83"/>
      <c r="I1419" s="121" t="s">
        <v>38</v>
      </c>
      <c r="J1419" s="121">
        <v>448.0</v>
      </c>
      <c r="K1419" s="83"/>
      <c r="L1419" s="121" t="s">
        <v>5047</v>
      </c>
      <c r="M1419" s="121" t="s">
        <v>4207</v>
      </c>
      <c r="N1419" s="121">
        <v>2003.0</v>
      </c>
      <c r="O1419" s="121">
        <v>18.0</v>
      </c>
      <c r="P1419" s="121">
        <v>1.0</v>
      </c>
      <c r="Q1419" s="121">
        <v>1.0</v>
      </c>
      <c r="R1419" s="84"/>
      <c r="S1419" s="34"/>
      <c r="T1419" s="34"/>
      <c r="U1419" s="34"/>
      <c r="V1419" s="34"/>
      <c r="W1419" s="34"/>
      <c r="X1419" s="34"/>
      <c r="Y1419" s="45"/>
      <c r="Z1419" s="45"/>
      <c r="AA1419" s="45"/>
      <c r="AB1419" s="45"/>
      <c r="AC1419" s="45"/>
      <c r="AD1419" s="45"/>
      <c r="AE1419" s="45"/>
      <c r="AF1419" s="45"/>
      <c r="AG1419" s="45"/>
      <c r="AH1419" s="45"/>
      <c r="AI1419" s="45"/>
      <c r="AJ1419" s="45"/>
      <c r="AK1419" s="45"/>
      <c r="AL1419" s="45"/>
    </row>
    <row r="1420" ht="15.75" customHeight="1">
      <c r="A1420" s="27">
        <f t="shared" si="21"/>
        <v>299</v>
      </c>
      <c r="B1420" s="121" t="s">
        <v>5011</v>
      </c>
      <c r="C1420" s="121" t="s">
        <v>5045</v>
      </c>
      <c r="D1420" s="119" t="s">
        <v>5051</v>
      </c>
      <c r="E1420" s="121" t="s">
        <v>5013</v>
      </c>
      <c r="F1420" s="121" t="s">
        <v>4823</v>
      </c>
      <c r="G1420" s="121" t="s">
        <v>37</v>
      </c>
      <c r="H1420" s="83"/>
      <c r="I1420" s="121" t="s">
        <v>38</v>
      </c>
      <c r="J1420" s="121">
        <v>448.0</v>
      </c>
      <c r="K1420" s="83"/>
      <c r="L1420" s="121" t="s">
        <v>5047</v>
      </c>
      <c r="M1420" s="121" t="s">
        <v>4207</v>
      </c>
      <c r="N1420" s="121">
        <v>2003.0</v>
      </c>
      <c r="O1420" s="121">
        <v>18.0</v>
      </c>
      <c r="P1420" s="121">
        <v>2.0</v>
      </c>
      <c r="Q1420" s="121">
        <v>2.0</v>
      </c>
      <c r="R1420" s="84"/>
      <c r="S1420" s="34"/>
      <c r="T1420" s="34"/>
      <c r="U1420" s="34"/>
      <c r="V1420" s="34"/>
      <c r="W1420" s="34"/>
      <c r="X1420" s="34"/>
      <c r="Y1420" s="3"/>
      <c r="Z1420" s="3"/>
      <c r="AA1420" s="3"/>
      <c r="AB1420" s="3"/>
      <c r="AC1420" s="3"/>
      <c r="AD1420" s="3"/>
      <c r="AE1420" s="3"/>
      <c r="AF1420" s="3"/>
      <c r="AG1420" s="3"/>
      <c r="AH1420" s="3"/>
      <c r="AI1420" s="3"/>
      <c r="AJ1420" s="3"/>
      <c r="AK1420" s="3"/>
      <c r="AL1420" s="3"/>
    </row>
    <row r="1421" ht="15.75" customHeight="1">
      <c r="A1421" s="27">
        <f t="shared" si="21"/>
        <v>300</v>
      </c>
      <c r="B1421" s="121" t="s">
        <v>5011</v>
      </c>
      <c r="C1421" s="121" t="s">
        <v>5045</v>
      </c>
      <c r="D1421" s="119" t="s">
        <v>5052</v>
      </c>
      <c r="E1421" s="121" t="s">
        <v>5013</v>
      </c>
      <c r="F1421" s="121" t="s">
        <v>4823</v>
      </c>
      <c r="G1421" s="121" t="s">
        <v>37</v>
      </c>
      <c r="H1421" s="83"/>
      <c r="I1421" s="121" t="s">
        <v>38</v>
      </c>
      <c r="J1421" s="121">
        <v>248.0</v>
      </c>
      <c r="K1421" s="83"/>
      <c r="L1421" s="121" t="s">
        <v>5047</v>
      </c>
      <c r="M1421" s="121" t="s">
        <v>4207</v>
      </c>
      <c r="N1421" s="121">
        <v>2003.0</v>
      </c>
      <c r="O1421" s="121">
        <v>18.0</v>
      </c>
      <c r="P1421" s="121">
        <v>1.0</v>
      </c>
      <c r="Q1421" s="121">
        <v>1.0</v>
      </c>
      <c r="R1421" s="84"/>
      <c r="S1421" s="40"/>
      <c r="T1421" s="40"/>
      <c r="U1421" s="40"/>
      <c r="V1421" s="40"/>
      <c r="W1421" s="40"/>
      <c r="X1421" s="40"/>
      <c r="Y1421" s="45"/>
      <c r="Z1421" s="45"/>
      <c r="AA1421" s="45"/>
      <c r="AB1421" s="45"/>
      <c r="AC1421" s="45"/>
      <c r="AD1421" s="45"/>
      <c r="AE1421" s="45"/>
      <c r="AF1421" s="45"/>
      <c r="AG1421" s="45"/>
      <c r="AH1421" s="45"/>
      <c r="AI1421" s="45"/>
      <c r="AJ1421" s="45"/>
      <c r="AK1421" s="45"/>
      <c r="AL1421" s="45"/>
    </row>
    <row r="1422" ht="15.75" customHeight="1">
      <c r="A1422" s="27">
        <f t="shared" si="21"/>
        <v>301</v>
      </c>
      <c r="B1422" s="121" t="s">
        <v>5053</v>
      </c>
      <c r="C1422" s="121" t="s">
        <v>5054</v>
      </c>
      <c r="D1422" s="119" t="s">
        <v>5055</v>
      </c>
      <c r="E1422" s="121" t="s">
        <v>5001</v>
      </c>
      <c r="F1422" s="121" t="s">
        <v>4823</v>
      </c>
      <c r="G1422" s="121" t="s">
        <v>37</v>
      </c>
      <c r="H1422" s="83"/>
      <c r="I1422" s="121" t="s">
        <v>38</v>
      </c>
      <c r="J1422" s="121">
        <v>768.0</v>
      </c>
      <c r="K1422" s="83"/>
      <c r="L1422" s="121" t="s">
        <v>2279</v>
      </c>
      <c r="M1422" s="121" t="s">
        <v>5056</v>
      </c>
      <c r="N1422" s="121">
        <v>1986.0</v>
      </c>
      <c r="O1422" s="121">
        <v>18.0</v>
      </c>
      <c r="P1422" s="121">
        <v>1.0</v>
      </c>
      <c r="Q1422" s="121">
        <v>1.0</v>
      </c>
      <c r="R1422" s="84"/>
      <c r="S1422" s="40"/>
      <c r="T1422" s="40"/>
      <c r="U1422" s="40"/>
      <c r="V1422" s="40"/>
      <c r="W1422" s="40"/>
      <c r="X1422" s="40"/>
      <c r="Y1422" s="45"/>
      <c r="Z1422" s="45"/>
      <c r="AA1422" s="45"/>
      <c r="AB1422" s="45"/>
      <c r="AC1422" s="45"/>
      <c r="AD1422" s="45"/>
      <c r="AE1422" s="45"/>
      <c r="AF1422" s="45"/>
      <c r="AG1422" s="45"/>
      <c r="AH1422" s="45"/>
      <c r="AI1422" s="45"/>
      <c r="AJ1422" s="45"/>
      <c r="AK1422" s="45"/>
      <c r="AL1422" s="45"/>
    </row>
    <row r="1423" ht="15.75" customHeight="1">
      <c r="A1423" s="27">
        <f t="shared" si="21"/>
        <v>302</v>
      </c>
      <c r="B1423" s="121" t="s">
        <v>5053</v>
      </c>
      <c r="C1423" s="121" t="s">
        <v>5054</v>
      </c>
      <c r="D1423" s="119" t="s">
        <v>5057</v>
      </c>
      <c r="E1423" s="121" t="s">
        <v>5001</v>
      </c>
      <c r="F1423" s="121" t="s">
        <v>4823</v>
      </c>
      <c r="G1423" s="121" t="s">
        <v>37</v>
      </c>
      <c r="H1423" s="83"/>
      <c r="I1423" s="121" t="s">
        <v>38</v>
      </c>
      <c r="J1423" s="121">
        <v>192.0</v>
      </c>
      <c r="K1423" s="83"/>
      <c r="L1423" s="121" t="s">
        <v>2279</v>
      </c>
      <c r="M1423" s="121" t="s">
        <v>5056</v>
      </c>
      <c r="N1423" s="121">
        <v>1986.0</v>
      </c>
      <c r="O1423" s="121">
        <v>18.0</v>
      </c>
      <c r="P1423" s="121">
        <v>1.0</v>
      </c>
      <c r="Q1423" s="121">
        <v>1.0</v>
      </c>
      <c r="R1423" s="84"/>
      <c r="S1423" s="40"/>
      <c r="T1423" s="40"/>
      <c r="U1423" s="40"/>
      <c r="V1423" s="40"/>
      <c r="W1423" s="40"/>
      <c r="X1423" s="40"/>
      <c r="Y1423" s="3"/>
      <c r="Z1423" s="3"/>
      <c r="AA1423" s="3"/>
      <c r="AB1423" s="3"/>
      <c r="AC1423" s="3"/>
      <c r="AD1423" s="3"/>
      <c r="AE1423" s="3"/>
      <c r="AF1423" s="3"/>
      <c r="AG1423" s="3"/>
      <c r="AH1423" s="3"/>
      <c r="AI1423" s="3"/>
      <c r="AJ1423" s="3"/>
      <c r="AK1423" s="3"/>
      <c r="AL1423" s="3"/>
    </row>
    <row r="1424" ht="15.75" customHeight="1">
      <c r="A1424" s="27">
        <f t="shared" si="21"/>
        <v>303</v>
      </c>
      <c r="B1424" s="121" t="s">
        <v>5053</v>
      </c>
      <c r="C1424" s="121" t="s">
        <v>5058</v>
      </c>
      <c r="D1424" s="119" t="s">
        <v>5059</v>
      </c>
      <c r="E1424" s="83"/>
      <c r="F1424" s="121" t="s">
        <v>29</v>
      </c>
      <c r="G1424" s="121" t="s">
        <v>37</v>
      </c>
      <c r="H1424" s="83"/>
      <c r="I1424" s="121" t="s">
        <v>38</v>
      </c>
      <c r="J1424" s="121">
        <v>455.0</v>
      </c>
      <c r="K1424" s="83"/>
      <c r="L1424" s="121" t="s">
        <v>5060</v>
      </c>
      <c r="M1424" s="121" t="s">
        <v>352</v>
      </c>
      <c r="N1424" s="121">
        <v>1987.0</v>
      </c>
      <c r="O1424" s="121">
        <v>18.0</v>
      </c>
      <c r="P1424" s="121">
        <v>1.0</v>
      </c>
      <c r="Q1424" s="121">
        <v>1.0</v>
      </c>
      <c r="R1424" s="84"/>
      <c r="S1424" s="40"/>
      <c r="T1424" s="40"/>
      <c r="U1424" s="40"/>
      <c r="V1424" s="40"/>
      <c r="W1424" s="40"/>
      <c r="X1424" s="40"/>
      <c r="Y1424" s="45"/>
      <c r="Z1424" s="45"/>
      <c r="AA1424" s="45"/>
      <c r="AB1424" s="45"/>
      <c r="AC1424" s="45"/>
      <c r="AD1424" s="45"/>
      <c r="AE1424" s="45"/>
      <c r="AF1424" s="45"/>
      <c r="AG1424" s="45"/>
      <c r="AH1424" s="45"/>
      <c r="AI1424" s="45"/>
      <c r="AJ1424" s="45"/>
      <c r="AK1424" s="45"/>
      <c r="AL1424" s="45"/>
    </row>
    <row r="1425" ht="15.75" customHeight="1">
      <c r="A1425" s="27">
        <f t="shared" si="21"/>
        <v>304</v>
      </c>
      <c r="B1425" s="121" t="s">
        <v>5011</v>
      </c>
      <c r="C1425" s="121" t="s">
        <v>5061</v>
      </c>
      <c r="D1425" s="119" t="s">
        <v>5062</v>
      </c>
      <c r="E1425" s="121" t="s">
        <v>5001</v>
      </c>
      <c r="F1425" s="121" t="s">
        <v>4823</v>
      </c>
      <c r="G1425" s="121" t="s">
        <v>37</v>
      </c>
      <c r="H1425" s="83"/>
      <c r="I1425" s="121" t="s">
        <v>38</v>
      </c>
      <c r="J1425" s="121">
        <v>448.0</v>
      </c>
      <c r="K1425" s="83"/>
      <c r="L1425" s="121" t="s">
        <v>5063</v>
      </c>
      <c r="M1425" s="121" t="s">
        <v>4207</v>
      </c>
      <c r="N1425" s="121">
        <v>1984.0</v>
      </c>
      <c r="O1425" s="121">
        <v>18.0</v>
      </c>
      <c r="P1425" s="121">
        <v>1.0</v>
      </c>
      <c r="Q1425" s="121">
        <v>1.0</v>
      </c>
      <c r="R1425" s="84"/>
      <c r="S1425" s="40"/>
      <c r="T1425" s="40"/>
      <c r="U1425" s="40"/>
      <c r="V1425" s="40"/>
      <c r="W1425" s="40"/>
      <c r="X1425" s="40"/>
      <c r="Y1425" s="45"/>
      <c r="Z1425" s="45"/>
      <c r="AA1425" s="45"/>
      <c r="AB1425" s="45"/>
      <c r="AC1425" s="45"/>
      <c r="AD1425" s="45"/>
      <c r="AE1425" s="45"/>
      <c r="AF1425" s="45"/>
      <c r="AG1425" s="45"/>
      <c r="AH1425" s="45"/>
      <c r="AI1425" s="45"/>
      <c r="AJ1425" s="45"/>
      <c r="AK1425" s="45"/>
      <c r="AL1425" s="45"/>
    </row>
    <row r="1426" ht="15.75" customHeight="1">
      <c r="A1426" s="27">
        <f t="shared" si="21"/>
        <v>305</v>
      </c>
      <c r="B1426" s="121" t="s">
        <v>5011</v>
      </c>
      <c r="C1426" s="121" t="s">
        <v>5061</v>
      </c>
      <c r="D1426" s="119" t="s">
        <v>5064</v>
      </c>
      <c r="E1426" s="121" t="s">
        <v>5001</v>
      </c>
      <c r="F1426" s="121" t="s">
        <v>4823</v>
      </c>
      <c r="G1426" s="121" t="s">
        <v>37</v>
      </c>
      <c r="H1426" s="83"/>
      <c r="I1426" s="121" t="s">
        <v>38</v>
      </c>
      <c r="J1426" s="121">
        <v>447.0</v>
      </c>
      <c r="K1426" s="83"/>
      <c r="L1426" s="121" t="s">
        <v>5063</v>
      </c>
      <c r="M1426" s="121" t="s">
        <v>4207</v>
      </c>
      <c r="N1426" s="121">
        <v>1983.0</v>
      </c>
      <c r="O1426" s="121">
        <v>18.0</v>
      </c>
      <c r="P1426" s="121">
        <v>1.0</v>
      </c>
      <c r="Q1426" s="121">
        <v>1.0</v>
      </c>
      <c r="R1426" s="84"/>
      <c r="S1426" s="34"/>
      <c r="T1426" s="34"/>
      <c r="U1426" s="34"/>
      <c r="V1426" s="34"/>
      <c r="W1426" s="34"/>
      <c r="X1426" s="34"/>
      <c r="Y1426" s="45"/>
      <c r="Z1426" s="45"/>
      <c r="AA1426" s="45"/>
      <c r="AB1426" s="45"/>
      <c r="AC1426" s="45"/>
      <c r="AD1426" s="45"/>
      <c r="AE1426" s="45"/>
      <c r="AF1426" s="45"/>
      <c r="AG1426" s="45"/>
      <c r="AH1426" s="45"/>
      <c r="AI1426" s="45"/>
      <c r="AJ1426" s="45"/>
      <c r="AK1426" s="45"/>
      <c r="AL1426" s="45"/>
    </row>
    <row r="1427" ht="15.75" customHeight="1">
      <c r="A1427" s="27">
        <f t="shared" si="21"/>
        <v>306</v>
      </c>
      <c r="B1427" s="121" t="s">
        <v>5011</v>
      </c>
      <c r="C1427" s="121" t="s">
        <v>5061</v>
      </c>
      <c r="D1427" s="119" t="s">
        <v>5065</v>
      </c>
      <c r="E1427" s="121" t="s">
        <v>5001</v>
      </c>
      <c r="F1427" s="121" t="s">
        <v>4823</v>
      </c>
      <c r="G1427" s="121" t="s">
        <v>37</v>
      </c>
      <c r="H1427" s="83"/>
      <c r="I1427" s="121" t="s">
        <v>38</v>
      </c>
      <c r="J1427" s="121">
        <v>248.0</v>
      </c>
      <c r="K1427" s="83"/>
      <c r="L1427" s="121" t="s">
        <v>5063</v>
      </c>
      <c r="M1427" s="121" t="s">
        <v>4207</v>
      </c>
      <c r="N1427" s="121">
        <v>1983.0</v>
      </c>
      <c r="O1427" s="121">
        <v>18.0</v>
      </c>
      <c r="P1427" s="121">
        <v>1.0</v>
      </c>
      <c r="Q1427" s="121">
        <v>1.0</v>
      </c>
      <c r="R1427" s="84"/>
      <c r="S1427" s="40"/>
      <c r="T1427" s="40"/>
      <c r="U1427" s="40"/>
      <c r="V1427" s="40"/>
      <c r="W1427" s="40"/>
      <c r="X1427" s="40"/>
      <c r="Y1427" s="45"/>
      <c r="Z1427" s="45"/>
      <c r="AA1427" s="45"/>
      <c r="AB1427" s="45"/>
      <c r="AC1427" s="45"/>
      <c r="AD1427" s="45"/>
      <c r="AE1427" s="45"/>
      <c r="AF1427" s="45"/>
      <c r="AG1427" s="45"/>
      <c r="AH1427" s="45"/>
      <c r="AI1427" s="45"/>
      <c r="AJ1427" s="45"/>
      <c r="AK1427" s="45"/>
      <c r="AL1427" s="45"/>
    </row>
    <row r="1428" ht="15.75" customHeight="1">
      <c r="A1428" s="27">
        <f t="shared" si="21"/>
        <v>307</v>
      </c>
      <c r="B1428" s="121" t="s">
        <v>5011</v>
      </c>
      <c r="C1428" s="121" t="s">
        <v>5061</v>
      </c>
      <c r="D1428" s="119" t="s">
        <v>5066</v>
      </c>
      <c r="E1428" s="121" t="s">
        <v>5001</v>
      </c>
      <c r="F1428" s="121" t="s">
        <v>4823</v>
      </c>
      <c r="G1428" s="121" t="s">
        <v>37</v>
      </c>
      <c r="H1428" s="83"/>
      <c r="I1428" s="121" t="s">
        <v>38</v>
      </c>
      <c r="J1428" s="121">
        <v>448.0</v>
      </c>
      <c r="K1428" s="83"/>
      <c r="L1428" s="121" t="s">
        <v>5063</v>
      </c>
      <c r="M1428" s="121" t="s">
        <v>4207</v>
      </c>
      <c r="N1428" s="121">
        <v>1982.0</v>
      </c>
      <c r="O1428" s="121">
        <v>18.0</v>
      </c>
      <c r="P1428" s="121">
        <v>1.0</v>
      </c>
      <c r="Q1428" s="121">
        <v>1.0</v>
      </c>
      <c r="R1428" s="84"/>
      <c r="S1428" s="40"/>
      <c r="T1428" s="40"/>
      <c r="U1428" s="40"/>
      <c r="V1428" s="40"/>
      <c r="W1428" s="40"/>
      <c r="X1428" s="40"/>
      <c r="Y1428" s="45"/>
      <c r="Z1428" s="45"/>
      <c r="AA1428" s="45"/>
      <c r="AB1428" s="45"/>
      <c r="AC1428" s="45"/>
      <c r="AD1428" s="45"/>
      <c r="AE1428" s="45"/>
      <c r="AF1428" s="45"/>
      <c r="AG1428" s="45"/>
      <c r="AH1428" s="45"/>
      <c r="AI1428" s="45"/>
      <c r="AJ1428" s="45"/>
      <c r="AK1428" s="45"/>
      <c r="AL1428" s="45"/>
    </row>
    <row r="1429" ht="15.75" customHeight="1">
      <c r="A1429" s="27">
        <f t="shared" si="21"/>
        <v>308</v>
      </c>
      <c r="B1429" s="121" t="s">
        <v>5011</v>
      </c>
      <c r="C1429" s="121" t="s">
        <v>5061</v>
      </c>
      <c r="D1429" s="119" t="s">
        <v>5067</v>
      </c>
      <c r="E1429" s="121" t="s">
        <v>5001</v>
      </c>
      <c r="F1429" s="121" t="s">
        <v>4823</v>
      </c>
      <c r="G1429" s="121" t="s">
        <v>37</v>
      </c>
      <c r="H1429" s="83"/>
      <c r="I1429" s="121" t="s">
        <v>38</v>
      </c>
      <c r="J1429" s="121">
        <v>248.0</v>
      </c>
      <c r="K1429" s="83"/>
      <c r="L1429" s="121" t="s">
        <v>5063</v>
      </c>
      <c r="M1429" s="121" t="s">
        <v>4207</v>
      </c>
      <c r="N1429" s="121">
        <v>1982.0</v>
      </c>
      <c r="O1429" s="121">
        <v>18.0</v>
      </c>
      <c r="P1429" s="121">
        <v>1.0</v>
      </c>
      <c r="Q1429" s="121">
        <v>1.0</v>
      </c>
      <c r="R1429" s="84"/>
      <c r="S1429" s="38"/>
      <c r="T1429" s="38"/>
      <c r="U1429" s="38"/>
      <c r="V1429" s="38"/>
      <c r="W1429" s="38"/>
      <c r="X1429" s="38"/>
      <c r="Y1429" s="3"/>
      <c r="Z1429" s="3"/>
      <c r="AA1429" s="3"/>
      <c r="AB1429" s="3"/>
      <c r="AC1429" s="3"/>
      <c r="AD1429" s="3"/>
      <c r="AE1429" s="3"/>
      <c r="AF1429" s="3"/>
      <c r="AG1429" s="3"/>
      <c r="AH1429" s="3"/>
      <c r="AI1429" s="3"/>
      <c r="AJ1429" s="3"/>
      <c r="AK1429" s="3"/>
      <c r="AL1429" s="3"/>
    </row>
    <row r="1430" ht="15.75" customHeight="1">
      <c r="A1430" s="27">
        <f t="shared" si="21"/>
        <v>309</v>
      </c>
      <c r="B1430" s="121" t="s">
        <v>5011</v>
      </c>
      <c r="C1430" s="121" t="s">
        <v>5061</v>
      </c>
      <c r="D1430" s="176" t="s">
        <v>5024</v>
      </c>
      <c r="E1430" s="121" t="s">
        <v>5013</v>
      </c>
      <c r="F1430" s="121" t="s">
        <v>4823</v>
      </c>
      <c r="G1430" s="121" t="s">
        <v>37</v>
      </c>
      <c r="H1430" s="33"/>
      <c r="I1430" s="121" t="s">
        <v>38</v>
      </c>
      <c r="J1430" s="121">
        <v>104.0</v>
      </c>
      <c r="K1430" s="33"/>
      <c r="L1430" s="121" t="s">
        <v>5063</v>
      </c>
      <c r="M1430" s="121" t="s">
        <v>4207</v>
      </c>
      <c r="N1430" s="121">
        <v>2006.0</v>
      </c>
      <c r="O1430" s="121">
        <v>18.0</v>
      </c>
      <c r="P1430" s="121">
        <v>1.0</v>
      </c>
      <c r="Q1430" s="121">
        <v>1.0</v>
      </c>
      <c r="R1430" s="84"/>
      <c r="S1430" s="40"/>
      <c r="T1430" s="40"/>
      <c r="U1430" s="40"/>
      <c r="V1430" s="40"/>
      <c r="W1430" s="40"/>
      <c r="X1430" s="40"/>
      <c r="Y1430" s="45"/>
      <c r="Z1430" s="45"/>
      <c r="AA1430" s="45"/>
      <c r="AB1430" s="45"/>
      <c r="AC1430" s="45"/>
      <c r="AD1430" s="45"/>
      <c r="AE1430" s="45"/>
      <c r="AF1430" s="45"/>
      <c r="AG1430" s="45"/>
      <c r="AH1430" s="45"/>
      <c r="AI1430" s="45"/>
      <c r="AJ1430" s="45"/>
      <c r="AK1430" s="45"/>
      <c r="AL1430" s="45"/>
    </row>
    <row r="1431" ht="15.75" customHeight="1">
      <c r="A1431" s="27">
        <f t="shared" si="21"/>
        <v>310</v>
      </c>
      <c r="B1431" s="121" t="s">
        <v>5011</v>
      </c>
      <c r="C1431" s="121" t="s">
        <v>5061</v>
      </c>
      <c r="D1431" s="119" t="s">
        <v>5068</v>
      </c>
      <c r="E1431" s="121" t="s">
        <v>5013</v>
      </c>
      <c r="F1431" s="121" t="s">
        <v>4823</v>
      </c>
      <c r="G1431" s="121" t="s">
        <v>37</v>
      </c>
      <c r="H1431" s="83"/>
      <c r="I1431" s="121" t="s">
        <v>38</v>
      </c>
      <c r="J1431" s="121">
        <v>448.0</v>
      </c>
      <c r="K1431" s="83"/>
      <c r="L1431" s="121" t="s">
        <v>5063</v>
      </c>
      <c r="M1431" s="121" t="s">
        <v>4207</v>
      </c>
      <c r="N1431" s="121">
        <v>2001.0</v>
      </c>
      <c r="O1431" s="121">
        <v>18.0</v>
      </c>
      <c r="P1431" s="121">
        <v>1.0</v>
      </c>
      <c r="Q1431" s="121">
        <v>1.0</v>
      </c>
      <c r="R1431" s="84"/>
      <c r="S1431" s="40"/>
      <c r="T1431" s="40"/>
      <c r="U1431" s="40"/>
      <c r="V1431" s="40"/>
      <c r="W1431" s="40"/>
      <c r="X1431" s="40"/>
      <c r="Y1431" s="45"/>
      <c r="Z1431" s="45"/>
      <c r="AA1431" s="45"/>
      <c r="AB1431" s="45"/>
      <c r="AC1431" s="45"/>
      <c r="AD1431" s="45"/>
      <c r="AE1431" s="45"/>
      <c r="AF1431" s="45"/>
      <c r="AG1431" s="45"/>
      <c r="AH1431" s="45"/>
      <c r="AI1431" s="45"/>
      <c r="AJ1431" s="45"/>
      <c r="AK1431" s="45"/>
      <c r="AL1431" s="45"/>
    </row>
    <row r="1432" ht="15.75" customHeight="1">
      <c r="A1432" s="27">
        <f t="shared" si="21"/>
        <v>311</v>
      </c>
      <c r="B1432" s="121" t="s">
        <v>5011</v>
      </c>
      <c r="C1432" s="121" t="s">
        <v>5061</v>
      </c>
      <c r="D1432" s="119" t="s">
        <v>5069</v>
      </c>
      <c r="E1432" s="121" t="s">
        <v>5013</v>
      </c>
      <c r="F1432" s="121" t="s">
        <v>4823</v>
      </c>
      <c r="G1432" s="121" t="s">
        <v>37</v>
      </c>
      <c r="H1432" s="83"/>
      <c r="I1432" s="121" t="s">
        <v>38</v>
      </c>
      <c r="J1432" s="121">
        <v>248.0</v>
      </c>
      <c r="K1432" s="83"/>
      <c r="L1432" s="121" t="s">
        <v>5063</v>
      </c>
      <c r="M1432" s="121" t="s">
        <v>4207</v>
      </c>
      <c r="N1432" s="121">
        <v>1999.0</v>
      </c>
      <c r="O1432" s="121">
        <v>18.0</v>
      </c>
      <c r="P1432" s="121">
        <v>1.0</v>
      </c>
      <c r="Q1432" s="121">
        <v>1.0</v>
      </c>
      <c r="R1432" s="84"/>
      <c r="S1432" s="40"/>
      <c r="T1432" s="40"/>
      <c r="U1432" s="40"/>
      <c r="V1432" s="40"/>
      <c r="W1432" s="40"/>
      <c r="X1432" s="40"/>
      <c r="Y1432" s="45"/>
      <c r="Z1432" s="45"/>
      <c r="AA1432" s="45"/>
      <c r="AB1432" s="45"/>
      <c r="AC1432" s="45"/>
      <c r="AD1432" s="45"/>
      <c r="AE1432" s="45"/>
      <c r="AF1432" s="45"/>
      <c r="AG1432" s="45"/>
      <c r="AH1432" s="45"/>
      <c r="AI1432" s="45"/>
      <c r="AJ1432" s="45"/>
      <c r="AK1432" s="45"/>
      <c r="AL1432" s="45"/>
    </row>
    <row r="1433" ht="15.75" customHeight="1">
      <c r="A1433" s="27">
        <f t="shared" si="21"/>
        <v>312</v>
      </c>
      <c r="B1433" s="121" t="s">
        <v>5011</v>
      </c>
      <c r="C1433" s="121" t="s">
        <v>5061</v>
      </c>
      <c r="D1433" s="119" t="s">
        <v>5070</v>
      </c>
      <c r="E1433" s="121" t="s">
        <v>5013</v>
      </c>
      <c r="F1433" s="121" t="s">
        <v>4823</v>
      </c>
      <c r="G1433" s="121" t="s">
        <v>37</v>
      </c>
      <c r="H1433" s="83"/>
      <c r="I1433" s="121" t="s">
        <v>38</v>
      </c>
      <c r="J1433" s="121">
        <v>248.0</v>
      </c>
      <c r="K1433" s="83"/>
      <c r="L1433" s="121" t="s">
        <v>5063</v>
      </c>
      <c r="M1433" s="121" t="s">
        <v>4207</v>
      </c>
      <c r="N1433" s="121">
        <v>1998.0</v>
      </c>
      <c r="O1433" s="121">
        <v>18.0</v>
      </c>
      <c r="P1433" s="121">
        <v>1.0</v>
      </c>
      <c r="Q1433" s="121">
        <v>1.0</v>
      </c>
      <c r="R1433" s="84"/>
      <c r="S1433" s="40"/>
      <c r="T1433" s="40"/>
      <c r="U1433" s="40"/>
      <c r="V1433" s="40"/>
      <c r="W1433" s="40"/>
      <c r="X1433" s="40"/>
      <c r="Y1433" s="45"/>
      <c r="Z1433" s="45"/>
      <c r="AA1433" s="45"/>
      <c r="AB1433" s="45"/>
      <c r="AC1433" s="45"/>
      <c r="AD1433" s="45"/>
      <c r="AE1433" s="45"/>
      <c r="AF1433" s="45"/>
      <c r="AG1433" s="45"/>
      <c r="AH1433" s="45"/>
      <c r="AI1433" s="45"/>
      <c r="AJ1433" s="45"/>
      <c r="AK1433" s="45"/>
      <c r="AL1433" s="45"/>
    </row>
    <row r="1434" ht="15.75" customHeight="1">
      <c r="A1434" s="27">
        <f t="shared" si="21"/>
        <v>313</v>
      </c>
      <c r="B1434" s="121" t="s">
        <v>5011</v>
      </c>
      <c r="C1434" s="121" t="s">
        <v>5061</v>
      </c>
      <c r="D1434" s="119" t="s">
        <v>5071</v>
      </c>
      <c r="E1434" s="121" t="s">
        <v>5013</v>
      </c>
      <c r="F1434" s="121" t="s">
        <v>4823</v>
      </c>
      <c r="G1434" s="121" t="s">
        <v>37</v>
      </c>
      <c r="H1434" s="83"/>
      <c r="I1434" s="121" t="s">
        <v>38</v>
      </c>
      <c r="J1434" s="121">
        <v>248.0</v>
      </c>
      <c r="K1434" s="83"/>
      <c r="L1434" s="121" t="s">
        <v>5063</v>
      </c>
      <c r="M1434" s="121" t="s">
        <v>4207</v>
      </c>
      <c r="N1434" s="121">
        <v>1997.0</v>
      </c>
      <c r="O1434" s="121">
        <v>18.0</v>
      </c>
      <c r="P1434" s="121">
        <v>1.0</v>
      </c>
      <c r="Q1434" s="121">
        <v>1.0</v>
      </c>
      <c r="R1434" s="84"/>
      <c r="S1434" s="40"/>
      <c r="T1434" s="40"/>
      <c r="U1434" s="40"/>
      <c r="V1434" s="40"/>
      <c r="W1434" s="40"/>
      <c r="X1434" s="40"/>
      <c r="Y1434" s="45"/>
      <c r="Z1434" s="45"/>
      <c r="AA1434" s="45"/>
      <c r="AB1434" s="45"/>
      <c r="AC1434" s="45"/>
      <c r="AD1434" s="45"/>
      <c r="AE1434" s="45"/>
      <c r="AF1434" s="45"/>
      <c r="AG1434" s="45"/>
      <c r="AH1434" s="45"/>
      <c r="AI1434" s="45"/>
      <c r="AJ1434" s="45"/>
      <c r="AK1434" s="45"/>
      <c r="AL1434" s="45"/>
    </row>
    <row r="1435" ht="15.75" customHeight="1">
      <c r="A1435" s="27">
        <f t="shared" si="21"/>
        <v>314</v>
      </c>
      <c r="B1435" s="121" t="s">
        <v>5011</v>
      </c>
      <c r="C1435" s="121" t="s">
        <v>5061</v>
      </c>
      <c r="D1435" s="119" t="s">
        <v>5072</v>
      </c>
      <c r="E1435" s="121" t="s">
        <v>5013</v>
      </c>
      <c r="F1435" s="121" t="s">
        <v>4823</v>
      </c>
      <c r="G1435" s="121" t="s">
        <v>37</v>
      </c>
      <c r="H1435" s="83"/>
      <c r="I1435" s="121" t="s">
        <v>38</v>
      </c>
      <c r="J1435" s="121">
        <v>448.0</v>
      </c>
      <c r="K1435" s="83"/>
      <c r="L1435" s="121" t="s">
        <v>5063</v>
      </c>
      <c r="M1435" s="121" t="s">
        <v>4207</v>
      </c>
      <c r="N1435" s="121">
        <v>1994.0</v>
      </c>
      <c r="O1435" s="121">
        <v>18.0</v>
      </c>
      <c r="P1435" s="121">
        <v>1.0</v>
      </c>
      <c r="Q1435" s="121">
        <v>1.0</v>
      </c>
      <c r="R1435" s="84"/>
      <c r="S1435" s="40"/>
      <c r="T1435" s="40"/>
      <c r="U1435" s="40"/>
      <c r="V1435" s="40"/>
      <c r="W1435" s="40"/>
      <c r="X1435" s="40"/>
      <c r="Y1435" s="45"/>
      <c r="Z1435" s="45"/>
      <c r="AA1435" s="45"/>
      <c r="AB1435" s="45"/>
      <c r="AC1435" s="45"/>
      <c r="AD1435" s="45"/>
      <c r="AE1435" s="45"/>
      <c r="AF1435" s="45"/>
      <c r="AG1435" s="45"/>
      <c r="AH1435" s="45"/>
      <c r="AI1435" s="45"/>
      <c r="AJ1435" s="45"/>
      <c r="AK1435" s="45"/>
      <c r="AL1435" s="45"/>
    </row>
    <row r="1436" ht="15.75" customHeight="1">
      <c r="A1436" s="27">
        <f t="shared" si="21"/>
        <v>315</v>
      </c>
      <c r="B1436" s="121" t="s">
        <v>5011</v>
      </c>
      <c r="C1436" s="121" t="s">
        <v>5061</v>
      </c>
      <c r="D1436" s="119" t="s">
        <v>5073</v>
      </c>
      <c r="E1436" s="121" t="s">
        <v>5013</v>
      </c>
      <c r="F1436" s="121" t="s">
        <v>4823</v>
      </c>
      <c r="G1436" s="121" t="s">
        <v>37</v>
      </c>
      <c r="H1436" s="83"/>
      <c r="I1436" s="121" t="s">
        <v>38</v>
      </c>
      <c r="J1436" s="121">
        <v>248.0</v>
      </c>
      <c r="K1436" s="83"/>
      <c r="L1436" s="121" t="s">
        <v>5063</v>
      </c>
      <c r="M1436" s="121" t="s">
        <v>4207</v>
      </c>
      <c r="N1436" s="121">
        <v>1991.0</v>
      </c>
      <c r="O1436" s="121">
        <v>18.0</v>
      </c>
      <c r="P1436" s="121">
        <v>2.0</v>
      </c>
      <c r="Q1436" s="121">
        <v>2.0</v>
      </c>
      <c r="R1436" s="84"/>
      <c r="S1436" s="40"/>
      <c r="T1436" s="40"/>
      <c r="U1436" s="40"/>
      <c r="V1436" s="40"/>
      <c r="W1436" s="40"/>
      <c r="X1436" s="40"/>
      <c r="Y1436" s="3"/>
      <c r="Z1436" s="3"/>
      <c r="AA1436" s="3"/>
      <c r="AB1436" s="3"/>
      <c r="AC1436" s="3"/>
      <c r="AD1436" s="3"/>
      <c r="AE1436" s="3"/>
      <c r="AF1436" s="3"/>
      <c r="AG1436" s="3"/>
      <c r="AH1436" s="3"/>
      <c r="AI1436" s="3"/>
      <c r="AJ1436" s="3"/>
      <c r="AK1436" s="3"/>
      <c r="AL1436" s="3"/>
    </row>
    <row r="1437" ht="15.75" customHeight="1">
      <c r="A1437" s="27">
        <f t="shared" si="21"/>
        <v>316</v>
      </c>
      <c r="B1437" s="121" t="s">
        <v>5011</v>
      </c>
      <c r="C1437" s="121" t="s">
        <v>5061</v>
      </c>
      <c r="D1437" s="119" t="s">
        <v>5074</v>
      </c>
      <c r="E1437" s="121" t="s">
        <v>5013</v>
      </c>
      <c r="F1437" s="121" t="s">
        <v>4823</v>
      </c>
      <c r="G1437" s="121" t="s">
        <v>37</v>
      </c>
      <c r="H1437" s="83"/>
      <c r="I1437" s="121" t="s">
        <v>38</v>
      </c>
      <c r="J1437" s="121">
        <v>448.0</v>
      </c>
      <c r="K1437" s="83"/>
      <c r="L1437" s="121" t="s">
        <v>5063</v>
      </c>
      <c r="M1437" s="121" t="s">
        <v>4207</v>
      </c>
      <c r="N1437" s="121">
        <v>1990.0</v>
      </c>
      <c r="O1437" s="121">
        <v>18.0</v>
      </c>
      <c r="P1437" s="121">
        <v>1.0</v>
      </c>
      <c r="Q1437" s="121">
        <v>1.0</v>
      </c>
      <c r="R1437" s="84"/>
      <c r="S1437" s="38"/>
      <c r="T1437" s="38"/>
      <c r="U1437" s="38"/>
      <c r="V1437" s="38"/>
      <c r="W1437" s="38"/>
      <c r="X1437" s="38"/>
      <c r="Y1437" s="45"/>
      <c r="Z1437" s="45"/>
      <c r="AA1437" s="45"/>
      <c r="AB1437" s="45"/>
      <c r="AC1437" s="45"/>
      <c r="AD1437" s="45"/>
      <c r="AE1437" s="45"/>
      <c r="AF1437" s="45"/>
      <c r="AG1437" s="45"/>
      <c r="AH1437" s="45"/>
      <c r="AI1437" s="45"/>
      <c r="AJ1437" s="45"/>
      <c r="AK1437" s="45"/>
      <c r="AL1437" s="45"/>
    </row>
    <row r="1438" ht="15.75" hidden="1" customHeight="1">
      <c r="A1438" s="115">
        <f t="shared" si="21"/>
        <v>317</v>
      </c>
      <c r="B1438" s="49" t="s">
        <v>31</v>
      </c>
      <c r="C1438" s="50" t="s">
        <v>5075</v>
      </c>
      <c r="D1438" s="55" t="s">
        <v>5076</v>
      </c>
      <c r="E1438" s="49"/>
      <c r="F1438" s="49"/>
      <c r="G1438" s="49" t="s">
        <v>37</v>
      </c>
      <c r="H1438" s="49"/>
      <c r="I1438" s="49" t="s">
        <v>38</v>
      </c>
      <c r="J1438" s="49">
        <v>260.0</v>
      </c>
      <c r="K1438" s="49"/>
      <c r="L1438" s="52" t="s">
        <v>5077</v>
      </c>
      <c r="M1438" s="49" t="s">
        <v>4613</v>
      </c>
      <c r="N1438" s="49">
        <v>1964.0</v>
      </c>
      <c r="O1438" s="49"/>
      <c r="P1438" s="49">
        <v>1.0</v>
      </c>
      <c r="Q1438" s="53"/>
      <c r="R1438" s="54"/>
      <c r="S1438" s="40"/>
      <c r="T1438" s="40"/>
      <c r="U1438" s="40"/>
      <c r="V1438" s="40"/>
      <c r="W1438" s="40"/>
      <c r="X1438" s="40"/>
      <c r="Y1438" s="45"/>
      <c r="Z1438" s="45"/>
      <c r="AA1438" s="45"/>
      <c r="AB1438" s="45"/>
      <c r="AC1438" s="45"/>
      <c r="AD1438" s="45"/>
      <c r="AE1438" s="45"/>
      <c r="AF1438" s="45"/>
      <c r="AG1438" s="45"/>
      <c r="AH1438" s="45"/>
      <c r="AI1438" s="45"/>
      <c r="AJ1438" s="45"/>
      <c r="AK1438" s="45"/>
      <c r="AL1438" s="45"/>
    </row>
    <row r="1439" ht="15.75" customHeight="1">
      <c r="A1439" s="27">
        <f t="shared" si="21"/>
        <v>318</v>
      </c>
      <c r="B1439" s="121" t="s">
        <v>5011</v>
      </c>
      <c r="C1439" s="121" t="s">
        <v>5061</v>
      </c>
      <c r="D1439" s="119" t="s">
        <v>5078</v>
      </c>
      <c r="E1439" s="121" t="s">
        <v>5013</v>
      </c>
      <c r="F1439" s="121" t="s">
        <v>4823</v>
      </c>
      <c r="G1439" s="121" t="s">
        <v>37</v>
      </c>
      <c r="H1439" s="83"/>
      <c r="I1439" s="121" t="s">
        <v>38</v>
      </c>
      <c r="J1439" s="121">
        <v>248.0</v>
      </c>
      <c r="K1439" s="83"/>
      <c r="L1439" s="121" t="s">
        <v>5063</v>
      </c>
      <c r="M1439" s="121" t="s">
        <v>4207</v>
      </c>
      <c r="N1439" s="121">
        <v>1990.0</v>
      </c>
      <c r="O1439" s="121">
        <v>18.0</v>
      </c>
      <c r="P1439" s="121">
        <v>1.0</v>
      </c>
      <c r="Q1439" s="121">
        <v>1.0</v>
      </c>
      <c r="R1439" s="84"/>
      <c r="S1439" s="40"/>
      <c r="T1439" s="40"/>
      <c r="U1439" s="40"/>
      <c r="V1439" s="40"/>
      <c r="W1439" s="40"/>
      <c r="X1439" s="40"/>
      <c r="Y1439" s="45"/>
      <c r="Z1439" s="45"/>
      <c r="AA1439" s="45"/>
      <c r="AB1439" s="45"/>
      <c r="AC1439" s="45"/>
      <c r="AD1439" s="45"/>
      <c r="AE1439" s="45"/>
      <c r="AF1439" s="45"/>
      <c r="AG1439" s="45"/>
      <c r="AH1439" s="45"/>
      <c r="AI1439" s="45"/>
      <c r="AJ1439" s="45"/>
      <c r="AK1439" s="45"/>
      <c r="AL1439" s="45"/>
    </row>
    <row r="1440" ht="15.75" customHeight="1">
      <c r="A1440" s="27">
        <f t="shared" si="21"/>
        <v>319</v>
      </c>
      <c r="B1440" s="121" t="s">
        <v>5011</v>
      </c>
      <c r="C1440" s="121" t="s">
        <v>5061</v>
      </c>
      <c r="D1440" s="176" t="s">
        <v>5079</v>
      </c>
      <c r="E1440" s="121" t="s">
        <v>5013</v>
      </c>
      <c r="F1440" s="121" t="s">
        <v>4823</v>
      </c>
      <c r="G1440" s="121" t="s">
        <v>37</v>
      </c>
      <c r="H1440" s="33"/>
      <c r="I1440" s="121" t="s">
        <v>38</v>
      </c>
      <c r="J1440" s="121">
        <v>448.0</v>
      </c>
      <c r="K1440" s="33"/>
      <c r="L1440" s="121" t="s">
        <v>5063</v>
      </c>
      <c r="M1440" s="121" t="s">
        <v>4207</v>
      </c>
      <c r="N1440" s="121">
        <v>1988.0</v>
      </c>
      <c r="O1440" s="121">
        <v>18.0</v>
      </c>
      <c r="P1440" s="121">
        <v>1.0</v>
      </c>
      <c r="Q1440" s="121">
        <v>1.0</v>
      </c>
      <c r="R1440" s="84"/>
      <c r="S1440" s="40"/>
      <c r="T1440" s="40"/>
      <c r="U1440" s="40"/>
      <c r="V1440" s="40"/>
      <c r="W1440" s="40"/>
      <c r="X1440" s="40"/>
      <c r="Y1440" s="45"/>
      <c r="Z1440" s="45"/>
      <c r="AA1440" s="45"/>
      <c r="AB1440" s="45"/>
      <c r="AC1440" s="45"/>
      <c r="AD1440" s="45"/>
      <c r="AE1440" s="45"/>
      <c r="AF1440" s="45"/>
      <c r="AG1440" s="45"/>
      <c r="AH1440" s="45"/>
      <c r="AI1440" s="45"/>
      <c r="AJ1440" s="45"/>
      <c r="AK1440" s="45"/>
      <c r="AL1440" s="45"/>
    </row>
    <row r="1441" ht="15.75" customHeight="1">
      <c r="A1441" s="27">
        <f t="shared" si="21"/>
        <v>320</v>
      </c>
      <c r="B1441" s="121" t="s">
        <v>5011</v>
      </c>
      <c r="C1441" s="121" t="s">
        <v>5061</v>
      </c>
      <c r="D1441" s="119" t="s">
        <v>5080</v>
      </c>
      <c r="E1441" s="121" t="s">
        <v>5013</v>
      </c>
      <c r="F1441" s="121" t="s">
        <v>4823</v>
      </c>
      <c r="G1441" s="121" t="s">
        <v>37</v>
      </c>
      <c r="H1441" s="83"/>
      <c r="I1441" s="121" t="s">
        <v>38</v>
      </c>
      <c r="J1441" s="121">
        <v>448.0</v>
      </c>
      <c r="K1441" s="83"/>
      <c r="L1441" s="121" t="s">
        <v>5063</v>
      </c>
      <c r="M1441" s="121" t="s">
        <v>4207</v>
      </c>
      <c r="N1441" s="121">
        <v>1987.0</v>
      </c>
      <c r="O1441" s="121">
        <v>18.0</v>
      </c>
      <c r="P1441" s="121">
        <v>1.0</v>
      </c>
      <c r="Q1441" s="121">
        <v>1.0</v>
      </c>
      <c r="R1441" s="84"/>
      <c r="S1441" s="40"/>
      <c r="T1441" s="40"/>
      <c r="U1441" s="40"/>
      <c r="V1441" s="40"/>
      <c r="W1441" s="40"/>
      <c r="X1441" s="40"/>
      <c r="Y1441" s="45"/>
      <c r="Z1441" s="45"/>
      <c r="AA1441" s="45"/>
      <c r="AB1441" s="45"/>
      <c r="AC1441" s="45"/>
      <c r="AD1441" s="45"/>
      <c r="AE1441" s="45"/>
      <c r="AF1441" s="45"/>
      <c r="AG1441" s="45"/>
      <c r="AH1441" s="45"/>
      <c r="AI1441" s="45"/>
      <c r="AJ1441" s="45"/>
      <c r="AK1441" s="45"/>
      <c r="AL1441" s="45"/>
    </row>
    <row r="1442" ht="15.75" customHeight="1">
      <c r="A1442" s="27">
        <f t="shared" si="21"/>
        <v>321</v>
      </c>
      <c r="B1442" s="121" t="s">
        <v>5011</v>
      </c>
      <c r="C1442" s="121" t="s">
        <v>5061</v>
      </c>
      <c r="D1442" s="119" t="s">
        <v>5081</v>
      </c>
      <c r="E1442" s="121" t="s">
        <v>5013</v>
      </c>
      <c r="F1442" s="121" t="s">
        <v>4823</v>
      </c>
      <c r="G1442" s="121" t="s">
        <v>37</v>
      </c>
      <c r="H1442" s="83"/>
      <c r="I1442" s="121" t="s">
        <v>38</v>
      </c>
      <c r="J1442" s="121">
        <v>448.0</v>
      </c>
      <c r="K1442" s="83"/>
      <c r="L1442" s="121" t="s">
        <v>5063</v>
      </c>
      <c r="M1442" s="121" t="s">
        <v>4207</v>
      </c>
      <c r="N1442" s="121">
        <v>1986.0</v>
      </c>
      <c r="O1442" s="121">
        <v>18.0</v>
      </c>
      <c r="P1442" s="121">
        <v>3.0</v>
      </c>
      <c r="Q1442" s="121">
        <v>3.0</v>
      </c>
      <c r="R1442" s="84"/>
      <c r="S1442" s="38"/>
      <c r="T1442" s="38"/>
      <c r="U1442" s="38"/>
      <c r="V1442" s="38"/>
      <c r="W1442" s="38"/>
      <c r="X1442" s="38"/>
      <c r="Y1442" s="45"/>
      <c r="Z1442" s="45"/>
      <c r="AA1442" s="45"/>
      <c r="AB1442" s="45"/>
      <c r="AC1442" s="45"/>
      <c r="AD1442" s="45"/>
      <c r="AE1442" s="45"/>
      <c r="AF1442" s="45"/>
      <c r="AG1442" s="45"/>
      <c r="AH1442" s="45"/>
      <c r="AI1442" s="45"/>
      <c r="AJ1442" s="45"/>
      <c r="AK1442" s="45"/>
      <c r="AL1442" s="45"/>
    </row>
    <row r="1443" ht="15.75" customHeight="1">
      <c r="A1443" s="27">
        <f t="shared" si="21"/>
        <v>322</v>
      </c>
      <c r="B1443" s="121" t="s">
        <v>5011</v>
      </c>
      <c r="C1443" s="121" t="s">
        <v>5061</v>
      </c>
      <c r="D1443" s="119" t="s">
        <v>5082</v>
      </c>
      <c r="E1443" s="121" t="s">
        <v>5013</v>
      </c>
      <c r="F1443" s="121" t="s">
        <v>4823</v>
      </c>
      <c r="G1443" s="121" t="s">
        <v>37</v>
      </c>
      <c r="H1443" s="83"/>
      <c r="I1443" s="121" t="s">
        <v>38</v>
      </c>
      <c r="J1443" s="121">
        <v>248.0</v>
      </c>
      <c r="K1443" s="83"/>
      <c r="L1443" s="121" t="s">
        <v>5063</v>
      </c>
      <c r="M1443" s="121" t="s">
        <v>4207</v>
      </c>
      <c r="N1443" s="121">
        <v>1986.0</v>
      </c>
      <c r="O1443" s="121">
        <v>18.0</v>
      </c>
      <c r="P1443" s="121">
        <v>1.0</v>
      </c>
      <c r="Q1443" s="121">
        <v>1.0</v>
      </c>
      <c r="R1443" s="84"/>
      <c r="S1443" s="40"/>
      <c r="T1443" s="40"/>
      <c r="U1443" s="40"/>
      <c r="V1443" s="40"/>
      <c r="W1443" s="40"/>
      <c r="X1443" s="40"/>
      <c r="Y1443" s="45"/>
      <c r="Z1443" s="45"/>
      <c r="AA1443" s="45"/>
      <c r="AB1443" s="45"/>
      <c r="AC1443" s="45"/>
      <c r="AD1443" s="45"/>
      <c r="AE1443" s="45"/>
      <c r="AF1443" s="45"/>
      <c r="AG1443" s="45"/>
      <c r="AH1443" s="45"/>
      <c r="AI1443" s="45"/>
      <c r="AJ1443" s="45"/>
      <c r="AK1443" s="45"/>
      <c r="AL1443" s="45"/>
    </row>
    <row r="1444" ht="15.75" customHeight="1">
      <c r="A1444" s="27">
        <f t="shared" si="21"/>
        <v>323</v>
      </c>
      <c r="B1444" s="121" t="s">
        <v>5011</v>
      </c>
      <c r="C1444" s="121" t="s">
        <v>5061</v>
      </c>
      <c r="D1444" s="119" t="s">
        <v>5083</v>
      </c>
      <c r="E1444" s="121" t="s">
        <v>5013</v>
      </c>
      <c r="F1444" s="121" t="s">
        <v>4823</v>
      </c>
      <c r="G1444" s="121" t="s">
        <v>37</v>
      </c>
      <c r="H1444" s="83"/>
      <c r="I1444" s="121" t="s">
        <v>38</v>
      </c>
      <c r="J1444" s="121">
        <v>448.0</v>
      </c>
      <c r="K1444" s="83"/>
      <c r="L1444" s="121" t="s">
        <v>5063</v>
      </c>
      <c r="M1444" s="121" t="s">
        <v>4207</v>
      </c>
      <c r="N1444" s="121">
        <v>1985.0</v>
      </c>
      <c r="O1444" s="121">
        <v>18.0</v>
      </c>
      <c r="P1444" s="121">
        <v>1.0</v>
      </c>
      <c r="Q1444" s="121">
        <v>1.0</v>
      </c>
      <c r="R1444" s="84"/>
      <c r="S1444" s="40"/>
      <c r="T1444" s="40"/>
      <c r="U1444" s="40"/>
      <c r="V1444" s="40"/>
      <c r="W1444" s="40"/>
      <c r="X1444" s="40"/>
      <c r="Y1444" s="45"/>
      <c r="Z1444" s="45"/>
      <c r="AA1444" s="45"/>
      <c r="AB1444" s="45"/>
      <c r="AC1444" s="45"/>
      <c r="AD1444" s="45"/>
      <c r="AE1444" s="45"/>
      <c r="AF1444" s="45"/>
      <c r="AG1444" s="45"/>
      <c r="AH1444" s="45"/>
      <c r="AI1444" s="45"/>
      <c r="AJ1444" s="45"/>
      <c r="AK1444" s="45"/>
      <c r="AL1444" s="45"/>
    </row>
    <row r="1445" ht="15.75" customHeight="1">
      <c r="A1445" s="27">
        <f t="shared" si="21"/>
        <v>324</v>
      </c>
      <c r="B1445" s="121" t="s">
        <v>5011</v>
      </c>
      <c r="C1445" s="121" t="s">
        <v>5061</v>
      </c>
      <c r="D1445" s="176" t="s">
        <v>5084</v>
      </c>
      <c r="E1445" s="121" t="s">
        <v>5013</v>
      </c>
      <c r="F1445" s="121" t="s">
        <v>4823</v>
      </c>
      <c r="G1445" s="121" t="s">
        <v>37</v>
      </c>
      <c r="H1445" s="33"/>
      <c r="I1445" s="121" t="s">
        <v>38</v>
      </c>
      <c r="J1445" s="121">
        <v>448.0</v>
      </c>
      <c r="K1445" s="33"/>
      <c r="L1445" s="121" t="s">
        <v>5063</v>
      </c>
      <c r="M1445" s="121" t="s">
        <v>4207</v>
      </c>
      <c r="N1445" s="121">
        <v>1985.0</v>
      </c>
      <c r="O1445" s="121">
        <v>18.0</v>
      </c>
      <c r="P1445" s="121">
        <v>1.0</v>
      </c>
      <c r="Q1445" s="121">
        <v>1.0</v>
      </c>
      <c r="R1445" s="84"/>
      <c r="S1445" s="40"/>
      <c r="T1445" s="40"/>
      <c r="U1445" s="40"/>
      <c r="V1445" s="40"/>
      <c r="W1445" s="40"/>
      <c r="X1445" s="40"/>
      <c r="Y1445" s="45"/>
      <c r="Z1445" s="45"/>
      <c r="AA1445" s="45"/>
      <c r="AB1445" s="45"/>
      <c r="AC1445" s="45"/>
      <c r="AD1445" s="45"/>
      <c r="AE1445" s="45"/>
      <c r="AF1445" s="45"/>
      <c r="AG1445" s="45"/>
      <c r="AH1445" s="45"/>
      <c r="AI1445" s="45"/>
      <c r="AJ1445" s="45"/>
      <c r="AK1445" s="45"/>
      <c r="AL1445" s="45"/>
    </row>
    <row r="1446" ht="15.75" customHeight="1">
      <c r="A1446" s="27">
        <f t="shared" si="21"/>
        <v>325</v>
      </c>
      <c r="B1446" s="121" t="s">
        <v>31</v>
      </c>
      <c r="C1446" s="121" t="s">
        <v>5085</v>
      </c>
      <c r="D1446" s="119" t="s">
        <v>5086</v>
      </c>
      <c r="E1446" s="121" t="s">
        <v>5001</v>
      </c>
      <c r="F1446" s="121" t="s">
        <v>29</v>
      </c>
      <c r="G1446" s="121" t="s">
        <v>37</v>
      </c>
      <c r="H1446" s="83"/>
      <c r="I1446" s="121" t="s">
        <v>38</v>
      </c>
      <c r="J1446" s="121">
        <v>534.0</v>
      </c>
      <c r="K1446" s="83"/>
      <c r="L1446" s="121" t="s">
        <v>5087</v>
      </c>
      <c r="M1446" s="119" t="s">
        <v>352</v>
      </c>
      <c r="N1446" s="121">
        <v>1966.0</v>
      </c>
      <c r="O1446" s="121">
        <v>18.0</v>
      </c>
      <c r="P1446" s="121">
        <v>1.0</v>
      </c>
      <c r="Q1446" s="121">
        <v>1.0</v>
      </c>
      <c r="R1446" s="84"/>
      <c r="S1446" s="40"/>
      <c r="T1446" s="40"/>
      <c r="U1446" s="40"/>
      <c r="V1446" s="40"/>
      <c r="W1446" s="40"/>
      <c r="X1446" s="40"/>
      <c r="Y1446" s="45"/>
      <c r="Z1446" s="45"/>
      <c r="AA1446" s="45"/>
      <c r="AB1446" s="45"/>
      <c r="AC1446" s="45"/>
      <c r="AD1446" s="45"/>
      <c r="AE1446" s="45"/>
      <c r="AF1446" s="45"/>
      <c r="AG1446" s="45"/>
      <c r="AH1446" s="45"/>
      <c r="AI1446" s="45"/>
      <c r="AJ1446" s="45"/>
      <c r="AK1446" s="45"/>
      <c r="AL1446" s="45"/>
    </row>
    <row r="1447" ht="15.75" customHeight="1">
      <c r="A1447" s="27">
        <f t="shared" si="21"/>
        <v>326</v>
      </c>
      <c r="B1447" s="121" t="s">
        <v>31</v>
      </c>
      <c r="C1447" s="121" t="s">
        <v>5085</v>
      </c>
      <c r="D1447" s="119" t="s">
        <v>5088</v>
      </c>
      <c r="E1447" s="121" t="s">
        <v>5001</v>
      </c>
      <c r="F1447" s="121" t="s">
        <v>29</v>
      </c>
      <c r="G1447" s="121" t="s">
        <v>37</v>
      </c>
      <c r="H1447" s="83"/>
      <c r="I1447" s="121" t="s">
        <v>38</v>
      </c>
      <c r="J1447" s="121">
        <v>400.0</v>
      </c>
      <c r="K1447" s="83"/>
      <c r="L1447" s="121" t="s">
        <v>5087</v>
      </c>
      <c r="M1447" s="119" t="s">
        <v>352</v>
      </c>
      <c r="N1447" s="121">
        <v>1966.0</v>
      </c>
      <c r="O1447" s="121">
        <v>18.0</v>
      </c>
      <c r="P1447" s="121">
        <v>1.0</v>
      </c>
      <c r="Q1447" s="121">
        <v>1.0</v>
      </c>
      <c r="R1447" s="84"/>
      <c r="S1447" s="40"/>
      <c r="T1447" s="40"/>
      <c r="U1447" s="40"/>
      <c r="V1447" s="40"/>
      <c r="W1447" s="40"/>
      <c r="X1447" s="40"/>
      <c r="Y1447" s="45"/>
      <c r="Z1447" s="45"/>
      <c r="AA1447" s="45"/>
      <c r="AB1447" s="45"/>
      <c r="AC1447" s="45"/>
      <c r="AD1447" s="45"/>
      <c r="AE1447" s="45"/>
      <c r="AF1447" s="45"/>
      <c r="AG1447" s="45"/>
      <c r="AH1447" s="45"/>
      <c r="AI1447" s="45"/>
      <c r="AJ1447" s="45"/>
      <c r="AK1447" s="45"/>
      <c r="AL1447" s="45"/>
    </row>
    <row r="1448" ht="15.75" customHeight="1">
      <c r="A1448" s="27">
        <f t="shared" si="21"/>
        <v>327</v>
      </c>
      <c r="B1448" s="121" t="s">
        <v>31</v>
      </c>
      <c r="C1448" s="121" t="s">
        <v>5085</v>
      </c>
      <c r="D1448" s="119" t="s">
        <v>5089</v>
      </c>
      <c r="E1448" s="121" t="s">
        <v>5001</v>
      </c>
      <c r="F1448" s="121" t="s">
        <v>29</v>
      </c>
      <c r="G1448" s="121" t="s">
        <v>37</v>
      </c>
      <c r="H1448" s="83"/>
      <c r="I1448" s="121" t="s">
        <v>38</v>
      </c>
      <c r="J1448" s="121">
        <v>272.0</v>
      </c>
      <c r="K1448" s="83"/>
      <c r="L1448" s="121" t="s">
        <v>5087</v>
      </c>
      <c r="M1448" s="119" t="s">
        <v>352</v>
      </c>
      <c r="N1448" s="121">
        <v>1966.0</v>
      </c>
      <c r="O1448" s="121">
        <v>18.0</v>
      </c>
      <c r="P1448" s="121">
        <v>1.0</v>
      </c>
      <c r="Q1448" s="121">
        <v>1.0</v>
      </c>
      <c r="R1448" s="84"/>
      <c r="S1448" s="40"/>
      <c r="T1448" s="40"/>
      <c r="U1448" s="40"/>
      <c r="V1448" s="40"/>
      <c r="W1448" s="40"/>
      <c r="X1448" s="40"/>
      <c r="Y1448" s="3"/>
      <c r="Z1448" s="3"/>
      <c r="AA1448" s="3"/>
      <c r="AB1448" s="3"/>
      <c r="AC1448" s="3"/>
      <c r="AD1448" s="3"/>
      <c r="AE1448" s="3"/>
      <c r="AF1448" s="3"/>
      <c r="AG1448" s="3"/>
      <c r="AH1448" s="3"/>
      <c r="AI1448" s="3"/>
      <c r="AJ1448" s="3"/>
      <c r="AK1448" s="3"/>
      <c r="AL1448" s="3"/>
    </row>
    <row r="1449" ht="15.75" customHeight="1">
      <c r="A1449" s="27">
        <f t="shared" si="21"/>
        <v>328</v>
      </c>
      <c r="B1449" s="121" t="s">
        <v>31</v>
      </c>
      <c r="C1449" s="121" t="s">
        <v>5085</v>
      </c>
      <c r="D1449" s="119" t="s">
        <v>5090</v>
      </c>
      <c r="E1449" s="121" t="s">
        <v>5001</v>
      </c>
      <c r="F1449" s="121" t="s">
        <v>29</v>
      </c>
      <c r="G1449" s="121" t="s">
        <v>37</v>
      </c>
      <c r="H1449" s="83"/>
      <c r="I1449" s="121" t="s">
        <v>38</v>
      </c>
      <c r="J1449" s="121">
        <v>136.0</v>
      </c>
      <c r="K1449" s="83"/>
      <c r="L1449" s="121" t="s">
        <v>5087</v>
      </c>
      <c r="M1449" s="119" t="s">
        <v>352</v>
      </c>
      <c r="N1449" s="121">
        <v>1966.0</v>
      </c>
      <c r="O1449" s="121">
        <v>18.0</v>
      </c>
      <c r="P1449" s="121">
        <v>1.0</v>
      </c>
      <c r="Q1449" s="121">
        <v>1.0</v>
      </c>
      <c r="R1449" s="84"/>
      <c r="S1449" s="40"/>
      <c r="T1449" s="40"/>
      <c r="U1449" s="40"/>
      <c r="V1449" s="40"/>
      <c r="W1449" s="40"/>
      <c r="X1449" s="40"/>
      <c r="Y1449" s="45"/>
      <c r="Z1449" s="45"/>
      <c r="AA1449" s="45"/>
      <c r="AB1449" s="45"/>
      <c r="AC1449" s="45"/>
      <c r="AD1449" s="45"/>
      <c r="AE1449" s="45"/>
      <c r="AF1449" s="45"/>
      <c r="AG1449" s="45"/>
      <c r="AH1449" s="45"/>
      <c r="AI1449" s="45"/>
      <c r="AJ1449" s="45"/>
      <c r="AK1449" s="45"/>
      <c r="AL1449" s="45"/>
    </row>
    <row r="1450" ht="15.75" customHeight="1">
      <c r="A1450" s="27">
        <f t="shared" si="21"/>
        <v>329</v>
      </c>
      <c r="B1450" s="121" t="s">
        <v>31</v>
      </c>
      <c r="C1450" s="121" t="s">
        <v>5085</v>
      </c>
      <c r="D1450" s="119" t="s">
        <v>5091</v>
      </c>
      <c r="E1450" s="121" t="s">
        <v>5001</v>
      </c>
      <c r="F1450" s="121" t="s">
        <v>29</v>
      </c>
      <c r="G1450" s="121" t="s">
        <v>37</v>
      </c>
      <c r="H1450" s="83"/>
      <c r="I1450" s="121" t="s">
        <v>38</v>
      </c>
      <c r="J1450" s="121">
        <v>478.0</v>
      </c>
      <c r="K1450" s="83"/>
      <c r="L1450" s="121" t="s">
        <v>5087</v>
      </c>
      <c r="M1450" s="119" t="s">
        <v>352</v>
      </c>
      <c r="N1450" s="121">
        <v>1965.0</v>
      </c>
      <c r="O1450" s="121">
        <v>18.0</v>
      </c>
      <c r="P1450" s="121">
        <v>1.0</v>
      </c>
      <c r="Q1450" s="121">
        <v>1.0</v>
      </c>
      <c r="R1450" s="84"/>
      <c r="S1450" s="38"/>
      <c r="T1450" s="38"/>
      <c r="U1450" s="38"/>
      <c r="V1450" s="38"/>
      <c r="W1450" s="38"/>
      <c r="X1450" s="38"/>
      <c r="Y1450" s="45"/>
      <c r="Z1450" s="45"/>
      <c r="AA1450" s="45"/>
      <c r="AB1450" s="45"/>
      <c r="AC1450" s="45"/>
      <c r="AD1450" s="45"/>
      <c r="AE1450" s="45"/>
      <c r="AF1450" s="45"/>
      <c r="AG1450" s="45"/>
      <c r="AH1450" s="45"/>
      <c r="AI1450" s="45"/>
      <c r="AJ1450" s="45"/>
      <c r="AK1450" s="45"/>
      <c r="AL1450" s="45"/>
    </row>
    <row r="1451" ht="15.75" customHeight="1">
      <c r="A1451" s="27">
        <f t="shared" si="21"/>
        <v>330</v>
      </c>
      <c r="B1451" s="121" t="s">
        <v>31</v>
      </c>
      <c r="C1451" s="121" t="s">
        <v>5085</v>
      </c>
      <c r="D1451" s="119" t="s">
        <v>5092</v>
      </c>
      <c r="E1451" s="121" t="s">
        <v>5001</v>
      </c>
      <c r="F1451" s="121" t="s">
        <v>29</v>
      </c>
      <c r="G1451" s="121" t="s">
        <v>37</v>
      </c>
      <c r="H1451" s="83"/>
      <c r="I1451" s="121" t="s">
        <v>38</v>
      </c>
      <c r="J1451" s="121">
        <v>340.0</v>
      </c>
      <c r="K1451" s="83"/>
      <c r="L1451" s="121" t="s">
        <v>5087</v>
      </c>
      <c r="M1451" s="119" t="s">
        <v>352</v>
      </c>
      <c r="N1451" s="121">
        <v>1965.0</v>
      </c>
      <c r="O1451" s="121">
        <v>18.0</v>
      </c>
      <c r="P1451" s="121">
        <v>1.0</v>
      </c>
      <c r="Q1451" s="121">
        <v>1.0</v>
      </c>
      <c r="R1451" s="84"/>
      <c r="S1451" s="38"/>
      <c r="T1451" s="38"/>
      <c r="U1451" s="38"/>
      <c r="V1451" s="38"/>
      <c r="W1451" s="38"/>
      <c r="X1451" s="38"/>
      <c r="Y1451" s="45"/>
      <c r="Z1451" s="45"/>
      <c r="AA1451" s="45"/>
      <c r="AB1451" s="45"/>
      <c r="AC1451" s="45"/>
      <c r="AD1451" s="45"/>
      <c r="AE1451" s="45"/>
      <c r="AF1451" s="45"/>
      <c r="AG1451" s="45"/>
      <c r="AH1451" s="45"/>
      <c r="AI1451" s="45"/>
      <c r="AJ1451" s="45"/>
      <c r="AK1451" s="45"/>
      <c r="AL1451" s="45"/>
    </row>
    <row r="1452" ht="15.75" customHeight="1">
      <c r="A1452" s="27">
        <f t="shared" si="21"/>
        <v>331</v>
      </c>
      <c r="B1452" s="121" t="s">
        <v>31</v>
      </c>
      <c r="C1452" s="121" t="s">
        <v>5085</v>
      </c>
      <c r="D1452" s="119" t="s">
        <v>5093</v>
      </c>
      <c r="E1452" s="121" t="s">
        <v>5001</v>
      </c>
      <c r="F1452" s="121" t="s">
        <v>29</v>
      </c>
      <c r="G1452" s="121" t="s">
        <v>37</v>
      </c>
      <c r="H1452" s="83"/>
      <c r="I1452" s="121" t="s">
        <v>38</v>
      </c>
      <c r="J1452" s="121">
        <v>248.0</v>
      </c>
      <c r="K1452" s="83"/>
      <c r="L1452" s="121" t="s">
        <v>5087</v>
      </c>
      <c r="M1452" s="119" t="s">
        <v>352</v>
      </c>
      <c r="N1452" s="121">
        <v>1967.0</v>
      </c>
      <c r="O1452" s="121">
        <v>18.0</v>
      </c>
      <c r="P1452" s="121">
        <v>1.0</v>
      </c>
      <c r="Q1452" s="121">
        <v>1.0</v>
      </c>
      <c r="R1452" s="84"/>
      <c r="S1452" s="38"/>
      <c r="T1452" s="38"/>
      <c r="U1452" s="38"/>
      <c r="V1452" s="38"/>
      <c r="W1452" s="38"/>
      <c r="X1452" s="38"/>
      <c r="Y1452" s="45"/>
      <c r="Z1452" s="45"/>
      <c r="AA1452" s="45"/>
      <c r="AB1452" s="45"/>
      <c r="AC1452" s="45"/>
      <c r="AD1452" s="45"/>
      <c r="AE1452" s="45"/>
      <c r="AF1452" s="45"/>
      <c r="AG1452" s="45"/>
      <c r="AH1452" s="45"/>
      <c r="AI1452" s="45"/>
      <c r="AJ1452" s="45"/>
      <c r="AK1452" s="45"/>
      <c r="AL1452" s="45"/>
    </row>
    <row r="1453" ht="15.75" customHeight="1">
      <c r="A1453" s="27">
        <f t="shared" si="21"/>
        <v>332</v>
      </c>
      <c r="B1453" s="121" t="s">
        <v>31</v>
      </c>
      <c r="C1453" s="121" t="s">
        <v>5085</v>
      </c>
      <c r="D1453" s="119" t="s">
        <v>5094</v>
      </c>
      <c r="E1453" s="121" t="s">
        <v>5001</v>
      </c>
      <c r="F1453" s="121" t="s">
        <v>29</v>
      </c>
      <c r="G1453" s="121" t="s">
        <v>37</v>
      </c>
      <c r="H1453" s="83"/>
      <c r="I1453" s="121" t="s">
        <v>38</v>
      </c>
      <c r="J1453" s="121">
        <v>212.0</v>
      </c>
      <c r="K1453" s="83"/>
      <c r="L1453" s="121" t="s">
        <v>5087</v>
      </c>
      <c r="M1453" s="119" t="s">
        <v>352</v>
      </c>
      <c r="N1453" s="121">
        <v>1965.0</v>
      </c>
      <c r="O1453" s="121">
        <v>18.0</v>
      </c>
      <c r="P1453" s="121">
        <v>1.0</v>
      </c>
      <c r="Q1453" s="121">
        <v>1.0</v>
      </c>
      <c r="R1453" s="84"/>
      <c r="S1453" s="38"/>
      <c r="T1453" s="38"/>
      <c r="U1453" s="38"/>
      <c r="V1453" s="38"/>
      <c r="W1453" s="38"/>
      <c r="X1453" s="38"/>
      <c r="Y1453" s="45"/>
      <c r="Z1453" s="45"/>
      <c r="AA1453" s="45"/>
      <c r="AB1453" s="45"/>
      <c r="AC1453" s="45"/>
      <c r="AD1453" s="45"/>
      <c r="AE1453" s="45"/>
      <c r="AF1453" s="45"/>
      <c r="AG1453" s="45"/>
      <c r="AH1453" s="45"/>
      <c r="AI1453" s="45"/>
      <c r="AJ1453" s="45"/>
      <c r="AK1453" s="45"/>
      <c r="AL1453" s="45"/>
    </row>
    <row r="1454" ht="15.75" customHeight="1">
      <c r="A1454" s="27">
        <f t="shared" si="21"/>
        <v>333</v>
      </c>
      <c r="B1454" s="121" t="s">
        <v>31</v>
      </c>
      <c r="C1454" s="121" t="s">
        <v>5085</v>
      </c>
      <c r="D1454" s="119" t="s">
        <v>5095</v>
      </c>
      <c r="E1454" s="121" t="s">
        <v>5001</v>
      </c>
      <c r="F1454" s="121" t="s">
        <v>29</v>
      </c>
      <c r="G1454" s="121" t="s">
        <v>37</v>
      </c>
      <c r="H1454" s="83"/>
      <c r="I1454" s="121" t="s">
        <v>38</v>
      </c>
      <c r="J1454" s="121">
        <v>128.0</v>
      </c>
      <c r="K1454" s="83"/>
      <c r="L1454" s="121" t="s">
        <v>5087</v>
      </c>
      <c r="M1454" s="119" t="s">
        <v>352</v>
      </c>
      <c r="N1454" s="121">
        <v>1967.0</v>
      </c>
      <c r="O1454" s="121">
        <v>18.0</v>
      </c>
      <c r="P1454" s="121">
        <v>1.0</v>
      </c>
      <c r="Q1454" s="121">
        <v>1.0</v>
      </c>
      <c r="R1454" s="84"/>
      <c r="S1454" s="40"/>
      <c r="T1454" s="40"/>
      <c r="U1454" s="40"/>
      <c r="V1454" s="40"/>
      <c r="W1454" s="40"/>
      <c r="X1454" s="40"/>
      <c r="Y1454" s="3"/>
      <c r="Z1454" s="3"/>
      <c r="AA1454" s="3"/>
      <c r="AB1454" s="3"/>
      <c r="AC1454" s="3"/>
      <c r="AD1454" s="3"/>
      <c r="AE1454" s="3"/>
      <c r="AF1454" s="3"/>
      <c r="AG1454" s="3"/>
      <c r="AH1454" s="3"/>
      <c r="AI1454" s="3"/>
      <c r="AJ1454" s="3"/>
      <c r="AK1454" s="3"/>
      <c r="AL1454" s="3"/>
    </row>
    <row r="1455" ht="15.75" customHeight="1">
      <c r="A1455" s="27">
        <f t="shared" si="21"/>
        <v>334</v>
      </c>
      <c r="B1455" s="121" t="s">
        <v>31</v>
      </c>
      <c r="C1455" s="121" t="s">
        <v>5085</v>
      </c>
      <c r="D1455" s="119" t="s">
        <v>5096</v>
      </c>
      <c r="E1455" s="121" t="s">
        <v>5001</v>
      </c>
      <c r="F1455" s="121" t="s">
        <v>29</v>
      </c>
      <c r="G1455" s="121" t="s">
        <v>37</v>
      </c>
      <c r="H1455" s="83"/>
      <c r="I1455" s="121" t="s">
        <v>38</v>
      </c>
      <c r="J1455" s="121">
        <v>108.0</v>
      </c>
      <c r="K1455" s="83"/>
      <c r="L1455" s="121" t="s">
        <v>5087</v>
      </c>
      <c r="M1455" s="119" t="s">
        <v>352</v>
      </c>
      <c r="N1455" s="121">
        <v>1965.0</v>
      </c>
      <c r="O1455" s="121">
        <v>18.0</v>
      </c>
      <c r="P1455" s="121">
        <v>1.0</v>
      </c>
      <c r="Q1455" s="121">
        <v>1.0</v>
      </c>
      <c r="R1455" s="84"/>
      <c r="S1455" s="40"/>
      <c r="T1455" s="40"/>
      <c r="U1455" s="40"/>
      <c r="V1455" s="40"/>
      <c r="W1455" s="40"/>
      <c r="X1455" s="40"/>
      <c r="Y1455" s="45"/>
      <c r="Z1455" s="45"/>
      <c r="AA1455" s="45"/>
      <c r="AB1455" s="45"/>
      <c r="AC1455" s="45"/>
      <c r="AD1455" s="45"/>
      <c r="AE1455" s="45"/>
      <c r="AF1455" s="45"/>
      <c r="AG1455" s="45"/>
      <c r="AH1455" s="45"/>
      <c r="AI1455" s="45"/>
      <c r="AJ1455" s="45"/>
      <c r="AK1455" s="45"/>
      <c r="AL1455" s="45"/>
    </row>
    <row r="1456" ht="15.75" customHeight="1">
      <c r="A1456" s="27">
        <f t="shared" si="21"/>
        <v>335</v>
      </c>
      <c r="B1456" s="121" t="s">
        <v>5011</v>
      </c>
      <c r="C1456" s="121" t="s">
        <v>5097</v>
      </c>
      <c r="D1456" s="119" t="s">
        <v>5098</v>
      </c>
      <c r="E1456" s="121" t="s">
        <v>5001</v>
      </c>
      <c r="F1456" s="121" t="s">
        <v>4823</v>
      </c>
      <c r="G1456" s="121" t="s">
        <v>37</v>
      </c>
      <c r="H1456" s="83"/>
      <c r="I1456" s="121" t="s">
        <v>38</v>
      </c>
      <c r="J1456" s="121">
        <v>356.0</v>
      </c>
      <c r="K1456" s="83"/>
      <c r="L1456" s="121" t="s">
        <v>5099</v>
      </c>
      <c r="M1456" s="121" t="s">
        <v>4207</v>
      </c>
      <c r="N1456" s="121">
        <v>1997.0</v>
      </c>
      <c r="O1456" s="121">
        <v>18.0</v>
      </c>
      <c r="P1456" s="121">
        <v>1.0</v>
      </c>
      <c r="Q1456" s="121">
        <v>1.0</v>
      </c>
      <c r="R1456" s="84"/>
      <c r="S1456" s="40"/>
      <c r="T1456" s="40"/>
      <c r="U1456" s="40"/>
      <c r="V1456" s="40"/>
      <c r="W1456" s="40"/>
      <c r="X1456" s="40"/>
      <c r="Y1456" s="45"/>
      <c r="Z1456" s="45"/>
      <c r="AA1456" s="45"/>
      <c r="AB1456" s="45"/>
      <c r="AC1456" s="45"/>
      <c r="AD1456" s="45"/>
      <c r="AE1456" s="45"/>
      <c r="AF1456" s="45"/>
      <c r="AG1456" s="45"/>
      <c r="AH1456" s="45"/>
      <c r="AI1456" s="45"/>
      <c r="AJ1456" s="45"/>
      <c r="AK1456" s="45"/>
      <c r="AL1456" s="45"/>
    </row>
    <row r="1457" ht="15.75" customHeight="1">
      <c r="A1457" s="27">
        <f t="shared" si="21"/>
        <v>336</v>
      </c>
      <c r="B1457" s="121" t="s">
        <v>5011</v>
      </c>
      <c r="C1457" s="121" t="s">
        <v>5097</v>
      </c>
      <c r="D1457" s="119" t="s">
        <v>5100</v>
      </c>
      <c r="E1457" s="121" t="s">
        <v>5001</v>
      </c>
      <c r="F1457" s="121" t="s">
        <v>4823</v>
      </c>
      <c r="G1457" s="121" t="s">
        <v>37</v>
      </c>
      <c r="H1457" s="83"/>
      <c r="I1457" s="121" t="s">
        <v>38</v>
      </c>
      <c r="J1457" s="121">
        <v>156.0</v>
      </c>
      <c r="K1457" s="83"/>
      <c r="L1457" s="121" t="s">
        <v>5099</v>
      </c>
      <c r="M1457" s="121" t="s">
        <v>4207</v>
      </c>
      <c r="N1457" s="121">
        <v>1996.0</v>
      </c>
      <c r="O1457" s="121">
        <v>18.0</v>
      </c>
      <c r="P1457" s="121">
        <v>1.0</v>
      </c>
      <c r="Q1457" s="121">
        <v>1.0</v>
      </c>
      <c r="R1457" s="84"/>
      <c r="S1457" s="40"/>
      <c r="T1457" s="40"/>
      <c r="U1457" s="40"/>
      <c r="V1457" s="40"/>
      <c r="W1457" s="40"/>
      <c r="X1457" s="40"/>
      <c r="Y1457" s="45"/>
      <c r="Z1457" s="45"/>
      <c r="AA1457" s="45"/>
      <c r="AB1457" s="45"/>
      <c r="AC1457" s="45"/>
      <c r="AD1457" s="45"/>
      <c r="AE1457" s="45"/>
      <c r="AF1457" s="45"/>
      <c r="AG1457" s="45"/>
      <c r="AH1457" s="45"/>
      <c r="AI1457" s="45"/>
      <c r="AJ1457" s="45"/>
      <c r="AK1457" s="45"/>
      <c r="AL1457" s="45"/>
    </row>
    <row r="1458" ht="15.75" customHeight="1">
      <c r="A1458" s="27">
        <f t="shared" si="21"/>
        <v>337</v>
      </c>
      <c r="B1458" s="121" t="s">
        <v>5011</v>
      </c>
      <c r="C1458" s="121" t="s">
        <v>5097</v>
      </c>
      <c r="D1458" s="119" t="s">
        <v>5101</v>
      </c>
      <c r="E1458" s="121" t="s">
        <v>5001</v>
      </c>
      <c r="F1458" s="121" t="s">
        <v>4823</v>
      </c>
      <c r="G1458" s="121" t="s">
        <v>37</v>
      </c>
      <c r="H1458" s="83"/>
      <c r="I1458" s="121" t="s">
        <v>38</v>
      </c>
      <c r="J1458" s="121">
        <v>56.0</v>
      </c>
      <c r="K1458" s="83"/>
      <c r="L1458" s="121" t="s">
        <v>5099</v>
      </c>
      <c r="M1458" s="121" t="s">
        <v>4207</v>
      </c>
      <c r="N1458" s="121">
        <v>1991.0</v>
      </c>
      <c r="O1458" s="121">
        <v>18.0</v>
      </c>
      <c r="P1458" s="121">
        <v>1.0</v>
      </c>
      <c r="Q1458" s="121">
        <v>1.0</v>
      </c>
      <c r="R1458" s="84"/>
      <c r="S1458" s="38"/>
      <c r="T1458" s="38"/>
      <c r="U1458" s="38"/>
      <c r="V1458" s="38"/>
      <c r="W1458" s="38"/>
      <c r="X1458" s="38"/>
      <c r="Y1458" s="45"/>
      <c r="Z1458" s="45"/>
      <c r="AA1458" s="45"/>
      <c r="AB1458" s="45"/>
      <c r="AC1458" s="45"/>
      <c r="AD1458" s="45"/>
      <c r="AE1458" s="45"/>
      <c r="AF1458" s="45"/>
      <c r="AG1458" s="45"/>
      <c r="AH1458" s="45"/>
      <c r="AI1458" s="45"/>
      <c r="AJ1458" s="45"/>
      <c r="AK1458" s="45"/>
      <c r="AL1458" s="45"/>
    </row>
    <row r="1459" ht="15.75" customHeight="1">
      <c r="A1459" s="27">
        <f t="shared" si="21"/>
        <v>338</v>
      </c>
      <c r="B1459" s="121" t="s">
        <v>5011</v>
      </c>
      <c r="C1459" s="121" t="s">
        <v>5097</v>
      </c>
      <c r="D1459" s="119" t="s">
        <v>5102</v>
      </c>
      <c r="E1459" s="121" t="s">
        <v>5001</v>
      </c>
      <c r="F1459" s="121" t="s">
        <v>4823</v>
      </c>
      <c r="G1459" s="121" t="s">
        <v>37</v>
      </c>
      <c r="H1459" s="83"/>
      <c r="I1459" s="121" t="s">
        <v>38</v>
      </c>
      <c r="J1459" s="121">
        <v>355.0</v>
      </c>
      <c r="K1459" s="83"/>
      <c r="L1459" s="121" t="s">
        <v>5099</v>
      </c>
      <c r="M1459" s="121" t="s">
        <v>4207</v>
      </c>
      <c r="N1459" s="121">
        <v>1991.0</v>
      </c>
      <c r="O1459" s="121">
        <v>18.0</v>
      </c>
      <c r="P1459" s="121">
        <v>1.0</v>
      </c>
      <c r="Q1459" s="121">
        <v>1.0</v>
      </c>
      <c r="R1459" s="84"/>
      <c r="S1459" s="40"/>
      <c r="T1459" s="40"/>
      <c r="U1459" s="40"/>
      <c r="V1459" s="40"/>
      <c r="W1459" s="40"/>
      <c r="X1459" s="40"/>
      <c r="Y1459" s="45"/>
      <c r="Z1459" s="45"/>
      <c r="AA1459" s="45"/>
      <c r="AB1459" s="45"/>
      <c r="AC1459" s="45"/>
      <c r="AD1459" s="45"/>
      <c r="AE1459" s="45"/>
      <c r="AF1459" s="45"/>
      <c r="AG1459" s="45"/>
      <c r="AH1459" s="45"/>
      <c r="AI1459" s="45"/>
      <c r="AJ1459" s="45"/>
      <c r="AK1459" s="45"/>
      <c r="AL1459" s="45"/>
    </row>
    <row r="1460" ht="15.75" customHeight="1">
      <c r="A1460" s="27">
        <f t="shared" si="21"/>
        <v>339</v>
      </c>
      <c r="B1460" s="121" t="s">
        <v>5011</v>
      </c>
      <c r="C1460" s="121" t="s">
        <v>5097</v>
      </c>
      <c r="D1460" s="119" t="s">
        <v>5103</v>
      </c>
      <c r="E1460" s="121" t="s">
        <v>5001</v>
      </c>
      <c r="F1460" s="121" t="s">
        <v>4823</v>
      </c>
      <c r="G1460" s="121" t="s">
        <v>37</v>
      </c>
      <c r="H1460" s="83"/>
      <c r="I1460" s="121" t="s">
        <v>38</v>
      </c>
      <c r="J1460" s="121">
        <v>155.0</v>
      </c>
      <c r="K1460" s="83"/>
      <c r="L1460" s="121" t="s">
        <v>5099</v>
      </c>
      <c r="M1460" s="121" t="s">
        <v>4207</v>
      </c>
      <c r="N1460" s="121">
        <v>1991.0</v>
      </c>
      <c r="O1460" s="121">
        <v>18.0</v>
      </c>
      <c r="P1460" s="121">
        <v>1.0</v>
      </c>
      <c r="Q1460" s="121">
        <v>1.0</v>
      </c>
      <c r="R1460" s="84"/>
      <c r="S1460" s="40"/>
      <c r="T1460" s="40"/>
      <c r="U1460" s="40"/>
      <c r="V1460" s="40"/>
      <c r="W1460" s="40"/>
      <c r="X1460" s="40"/>
      <c r="Y1460" s="45"/>
      <c r="Z1460" s="45"/>
      <c r="AA1460" s="45"/>
      <c r="AB1460" s="45"/>
      <c r="AC1460" s="45"/>
      <c r="AD1460" s="45"/>
      <c r="AE1460" s="45"/>
      <c r="AF1460" s="45"/>
      <c r="AG1460" s="45"/>
      <c r="AH1460" s="45"/>
      <c r="AI1460" s="45"/>
      <c r="AJ1460" s="45"/>
      <c r="AK1460" s="45"/>
      <c r="AL1460" s="45"/>
    </row>
    <row r="1461" ht="15.75" customHeight="1">
      <c r="A1461" s="27">
        <f t="shared" si="21"/>
        <v>340</v>
      </c>
      <c r="B1461" s="121" t="s">
        <v>5011</v>
      </c>
      <c r="C1461" s="121" t="s">
        <v>5097</v>
      </c>
      <c r="D1461" s="119" t="s">
        <v>5104</v>
      </c>
      <c r="E1461" s="121" t="s">
        <v>5001</v>
      </c>
      <c r="F1461" s="121" t="s">
        <v>4823</v>
      </c>
      <c r="G1461" s="121" t="s">
        <v>37</v>
      </c>
      <c r="H1461" s="83"/>
      <c r="I1461" s="121" t="s">
        <v>38</v>
      </c>
      <c r="J1461" s="121">
        <v>345.0</v>
      </c>
      <c r="K1461" s="83"/>
      <c r="L1461" s="121" t="s">
        <v>5099</v>
      </c>
      <c r="M1461" s="121" t="s">
        <v>4207</v>
      </c>
      <c r="N1461" s="121">
        <v>1989.0</v>
      </c>
      <c r="O1461" s="121">
        <v>18.0</v>
      </c>
      <c r="P1461" s="121">
        <v>1.0</v>
      </c>
      <c r="Q1461" s="121">
        <v>1.0</v>
      </c>
      <c r="R1461" s="84"/>
      <c r="S1461" s="34"/>
      <c r="T1461" s="34"/>
      <c r="U1461" s="34"/>
      <c r="V1461" s="34"/>
      <c r="W1461" s="34"/>
      <c r="X1461" s="34"/>
      <c r="Y1461" s="45"/>
      <c r="Z1461" s="45"/>
      <c r="AA1461" s="45"/>
      <c r="AB1461" s="45"/>
      <c r="AC1461" s="45"/>
      <c r="AD1461" s="45"/>
      <c r="AE1461" s="45"/>
      <c r="AF1461" s="45"/>
      <c r="AG1461" s="45"/>
      <c r="AH1461" s="45"/>
      <c r="AI1461" s="45"/>
      <c r="AJ1461" s="45"/>
      <c r="AK1461" s="45"/>
      <c r="AL1461" s="45"/>
    </row>
    <row r="1462" ht="15.75" customHeight="1">
      <c r="A1462" s="27">
        <f t="shared" si="21"/>
        <v>341</v>
      </c>
      <c r="B1462" s="121" t="s">
        <v>5011</v>
      </c>
      <c r="C1462" s="121" t="s">
        <v>5097</v>
      </c>
      <c r="D1462" s="119" t="s">
        <v>5105</v>
      </c>
      <c r="E1462" s="121" t="s">
        <v>5001</v>
      </c>
      <c r="F1462" s="121" t="s">
        <v>4823</v>
      </c>
      <c r="G1462" s="121" t="s">
        <v>37</v>
      </c>
      <c r="H1462" s="83"/>
      <c r="I1462" s="121" t="s">
        <v>38</v>
      </c>
      <c r="J1462" s="121">
        <v>148.0</v>
      </c>
      <c r="K1462" s="83"/>
      <c r="L1462" s="121" t="s">
        <v>5099</v>
      </c>
      <c r="M1462" s="121" t="s">
        <v>4207</v>
      </c>
      <c r="N1462" s="121">
        <v>1989.0</v>
      </c>
      <c r="O1462" s="121">
        <v>18.0</v>
      </c>
      <c r="P1462" s="121">
        <v>1.0</v>
      </c>
      <c r="Q1462" s="121">
        <v>1.0</v>
      </c>
      <c r="R1462" s="84"/>
      <c r="S1462" s="40"/>
      <c r="T1462" s="40"/>
      <c r="U1462" s="40"/>
      <c r="V1462" s="40"/>
      <c r="W1462" s="40"/>
      <c r="X1462" s="40"/>
      <c r="Y1462" s="45"/>
      <c r="Z1462" s="45"/>
      <c r="AA1462" s="45"/>
      <c r="AB1462" s="45"/>
      <c r="AC1462" s="45"/>
      <c r="AD1462" s="45"/>
      <c r="AE1462" s="45"/>
      <c r="AF1462" s="45"/>
      <c r="AG1462" s="45"/>
      <c r="AH1462" s="45"/>
      <c r="AI1462" s="45"/>
      <c r="AJ1462" s="45"/>
      <c r="AK1462" s="45"/>
      <c r="AL1462" s="45"/>
    </row>
    <row r="1463" ht="15.75" customHeight="1">
      <c r="A1463" s="27">
        <f t="shared" si="21"/>
        <v>342</v>
      </c>
      <c r="B1463" s="121" t="s">
        <v>5011</v>
      </c>
      <c r="C1463" s="121" t="s">
        <v>5097</v>
      </c>
      <c r="D1463" s="119" t="s">
        <v>5106</v>
      </c>
      <c r="E1463" s="121" t="s">
        <v>5001</v>
      </c>
      <c r="F1463" s="121" t="s">
        <v>4823</v>
      </c>
      <c r="G1463" s="121" t="s">
        <v>37</v>
      </c>
      <c r="H1463" s="83"/>
      <c r="I1463" s="121" t="s">
        <v>38</v>
      </c>
      <c r="J1463" s="121">
        <v>348.0</v>
      </c>
      <c r="K1463" s="83"/>
      <c r="L1463" s="121" t="s">
        <v>5099</v>
      </c>
      <c r="M1463" s="121" t="s">
        <v>4207</v>
      </c>
      <c r="N1463" s="121">
        <v>1988.0</v>
      </c>
      <c r="O1463" s="121">
        <v>18.0</v>
      </c>
      <c r="P1463" s="121">
        <v>1.0</v>
      </c>
      <c r="Q1463" s="121">
        <v>1.0</v>
      </c>
      <c r="R1463" s="84"/>
      <c r="S1463" s="40"/>
      <c r="T1463" s="40"/>
      <c r="U1463" s="40"/>
      <c r="V1463" s="40"/>
      <c r="W1463" s="40"/>
      <c r="X1463" s="40"/>
      <c r="Y1463" s="45"/>
      <c r="Z1463" s="45"/>
      <c r="AA1463" s="45"/>
      <c r="AB1463" s="45"/>
      <c r="AC1463" s="45"/>
      <c r="AD1463" s="45"/>
      <c r="AE1463" s="45"/>
      <c r="AF1463" s="45"/>
      <c r="AG1463" s="45"/>
      <c r="AH1463" s="45"/>
      <c r="AI1463" s="45"/>
      <c r="AJ1463" s="45"/>
      <c r="AK1463" s="45"/>
      <c r="AL1463" s="45"/>
    </row>
    <row r="1464" ht="15.75" customHeight="1">
      <c r="A1464" s="27">
        <f t="shared" si="21"/>
        <v>343</v>
      </c>
      <c r="B1464" s="121" t="s">
        <v>5011</v>
      </c>
      <c r="C1464" s="121" t="s">
        <v>5097</v>
      </c>
      <c r="D1464" s="119" t="s">
        <v>5107</v>
      </c>
      <c r="E1464" s="121" t="s">
        <v>5001</v>
      </c>
      <c r="F1464" s="121" t="s">
        <v>4823</v>
      </c>
      <c r="G1464" s="121" t="s">
        <v>37</v>
      </c>
      <c r="H1464" s="83"/>
      <c r="I1464" s="121" t="s">
        <v>38</v>
      </c>
      <c r="J1464" s="121">
        <v>148.0</v>
      </c>
      <c r="K1464" s="83"/>
      <c r="L1464" s="121" t="s">
        <v>5099</v>
      </c>
      <c r="M1464" s="121" t="s">
        <v>4207</v>
      </c>
      <c r="N1464" s="121">
        <v>1988.0</v>
      </c>
      <c r="O1464" s="121">
        <v>18.0</v>
      </c>
      <c r="P1464" s="121">
        <v>1.0</v>
      </c>
      <c r="Q1464" s="121">
        <v>1.0</v>
      </c>
      <c r="R1464" s="84"/>
      <c r="S1464" s="40"/>
      <c r="T1464" s="40"/>
      <c r="U1464" s="40"/>
      <c r="V1464" s="40"/>
      <c r="W1464" s="40"/>
      <c r="X1464" s="40"/>
      <c r="Y1464" s="45"/>
      <c r="Z1464" s="45"/>
      <c r="AA1464" s="45"/>
      <c r="AB1464" s="45"/>
      <c r="AC1464" s="45"/>
      <c r="AD1464" s="45"/>
      <c r="AE1464" s="45"/>
      <c r="AF1464" s="45"/>
      <c r="AG1464" s="45"/>
      <c r="AH1464" s="45"/>
      <c r="AI1464" s="45"/>
      <c r="AJ1464" s="45"/>
      <c r="AK1464" s="45"/>
      <c r="AL1464" s="45"/>
    </row>
    <row r="1465" ht="15.75" customHeight="1">
      <c r="A1465" s="27">
        <f t="shared" si="21"/>
        <v>344</v>
      </c>
      <c r="B1465" s="121" t="s">
        <v>5011</v>
      </c>
      <c r="C1465" s="121" t="s">
        <v>5097</v>
      </c>
      <c r="D1465" s="119" t="s">
        <v>5108</v>
      </c>
      <c r="E1465" s="121" t="s">
        <v>5001</v>
      </c>
      <c r="F1465" s="121" t="s">
        <v>4823</v>
      </c>
      <c r="G1465" s="121" t="s">
        <v>37</v>
      </c>
      <c r="H1465" s="83"/>
      <c r="I1465" s="121" t="s">
        <v>38</v>
      </c>
      <c r="J1465" s="121">
        <v>148.0</v>
      </c>
      <c r="K1465" s="83"/>
      <c r="L1465" s="121" t="s">
        <v>5099</v>
      </c>
      <c r="M1465" s="121" t="s">
        <v>4207</v>
      </c>
      <c r="N1465" s="121">
        <v>1987.0</v>
      </c>
      <c r="O1465" s="121">
        <v>18.0</v>
      </c>
      <c r="P1465" s="121">
        <v>1.0</v>
      </c>
      <c r="Q1465" s="121">
        <v>1.0</v>
      </c>
      <c r="R1465" s="84"/>
      <c r="S1465" s="40"/>
      <c r="T1465" s="40"/>
      <c r="U1465" s="40"/>
      <c r="V1465" s="40"/>
      <c r="W1465" s="40"/>
      <c r="X1465" s="40"/>
      <c r="Y1465" s="45"/>
      <c r="Z1465" s="45"/>
      <c r="AA1465" s="45"/>
      <c r="AB1465" s="45"/>
      <c r="AC1465" s="45"/>
      <c r="AD1465" s="45"/>
      <c r="AE1465" s="45"/>
      <c r="AF1465" s="45"/>
      <c r="AG1465" s="45"/>
      <c r="AH1465" s="45"/>
      <c r="AI1465" s="45"/>
      <c r="AJ1465" s="45"/>
      <c r="AK1465" s="45"/>
      <c r="AL1465" s="45"/>
    </row>
    <row r="1466" ht="15.75" customHeight="1">
      <c r="A1466" s="27">
        <f t="shared" si="21"/>
        <v>345</v>
      </c>
      <c r="B1466" s="121" t="s">
        <v>5011</v>
      </c>
      <c r="C1466" s="121" t="s">
        <v>5097</v>
      </c>
      <c r="D1466" s="119" t="s">
        <v>5109</v>
      </c>
      <c r="E1466" s="121" t="s">
        <v>5001</v>
      </c>
      <c r="F1466" s="121" t="s">
        <v>4823</v>
      </c>
      <c r="G1466" s="121" t="s">
        <v>37</v>
      </c>
      <c r="H1466" s="83"/>
      <c r="I1466" s="121" t="s">
        <v>38</v>
      </c>
      <c r="J1466" s="121">
        <v>348.0</v>
      </c>
      <c r="K1466" s="83"/>
      <c r="L1466" s="121" t="s">
        <v>5099</v>
      </c>
      <c r="M1466" s="121" t="s">
        <v>4207</v>
      </c>
      <c r="N1466" s="121">
        <v>1986.0</v>
      </c>
      <c r="O1466" s="121">
        <v>18.0</v>
      </c>
      <c r="P1466" s="121">
        <v>1.0</v>
      </c>
      <c r="Q1466" s="121">
        <v>1.0</v>
      </c>
      <c r="R1466" s="84"/>
      <c r="S1466" s="40"/>
      <c r="T1466" s="40"/>
      <c r="U1466" s="40"/>
      <c r="V1466" s="40"/>
      <c r="W1466" s="40"/>
      <c r="X1466" s="40"/>
      <c r="Y1466" s="45"/>
      <c r="Z1466" s="45"/>
      <c r="AA1466" s="45"/>
      <c r="AB1466" s="45"/>
      <c r="AC1466" s="45"/>
      <c r="AD1466" s="45"/>
      <c r="AE1466" s="45"/>
      <c r="AF1466" s="45"/>
      <c r="AG1466" s="45"/>
      <c r="AH1466" s="45"/>
      <c r="AI1466" s="45"/>
      <c r="AJ1466" s="45"/>
      <c r="AK1466" s="45"/>
      <c r="AL1466" s="45"/>
    </row>
    <row r="1467" ht="15.75" customHeight="1">
      <c r="A1467" s="27">
        <f t="shared" si="21"/>
        <v>346</v>
      </c>
      <c r="B1467" s="121" t="s">
        <v>5011</v>
      </c>
      <c r="C1467" s="121" t="s">
        <v>5097</v>
      </c>
      <c r="D1467" s="119" t="s">
        <v>5110</v>
      </c>
      <c r="E1467" s="121" t="s">
        <v>5001</v>
      </c>
      <c r="F1467" s="121" t="s">
        <v>4823</v>
      </c>
      <c r="G1467" s="121" t="s">
        <v>37</v>
      </c>
      <c r="H1467" s="83"/>
      <c r="I1467" s="121" t="s">
        <v>38</v>
      </c>
      <c r="J1467" s="121">
        <v>148.0</v>
      </c>
      <c r="K1467" s="83"/>
      <c r="L1467" s="121" t="s">
        <v>5099</v>
      </c>
      <c r="M1467" s="121" t="s">
        <v>4207</v>
      </c>
      <c r="N1467" s="121">
        <v>1986.0</v>
      </c>
      <c r="O1467" s="121">
        <v>18.0</v>
      </c>
      <c r="P1467" s="121">
        <v>1.0</v>
      </c>
      <c r="Q1467" s="121">
        <v>1.0</v>
      </c>
      <c r="R1467" s="84"/>
      <c r="S1467" s="40"/>
      <c r="T1467" s="40"/>
      <c r="U1467" s="40"/>
      <c r="V1467" s="40"/>
      <c r="W1467" s="40"/>
      <c r="X1467" s="40"/>
      <c r="Y1467" s="45"/>
      <c r="Z1467" s="45"/>
      <c r="AA1467" s="45"/>
      <c r="AB1467" s="45"/>
      <c r="AC1467" s="45"/>
      <c r="AD1467" s="45"/>
      <c r="AE1467" s="45"/>
      <c r="AF1467" s="45"/>
      <c r="AG1467" s="45"/>
      <c r="AH1467" s="45"/>
      <c r="AI1467" s="45"/>
      <c r="AJ1467" s="45"/>
      <c r="AK1467" s="45"/>
      <c r="AL1467" s="45"/>
    </row>
    <row r="1468" ht="15.75" customHeight="1">
      <c r="A1468" s="27">
        <f t="shared" si="21"/>
        <v>347</v>
      </c>
      <c r="B1468" s="121" t="s">
        <v>5011</v>
      </c>
      <c r="C1468" s="121" t="s">
        <v>5097</v>
      </c>
      <c r="D1468" s="119" t="s">
        <v>5111</v>
      </c>
      <c r="E1468" s="121" t="s">
        <v>5001</v>
      </c>
      <c r="F1468" s="121" t="s">
        <v>4823</v>
      </c>
      <c r="G1468" s="121" t="s">
        <v>37</v>
      </c>
      <c r="H1468" s="83"/>
      <c r="I1468" s="121" t="s">
        <v>38</v>
      </c>
      <c r="J1468" s="121">
        <v>347.0</v>
      </c>
      <c r="K1468" s="83"/>
      <c r="L1468" s="121" t="s">
        <v>5099</v>
      </c>
      <c r="M1468" s="121" t="s">
        <v>4207</v>
      </c>
      <c r="N1468" s="121">
        <v>1985.0</v>
      </c>
      <c r="O1468" s="121">
        <v>18.0</v>
      </c>
      <c r="P1468" s="121">
        <v>1.0</v>
      </c>
      <c r="Q1468" s="121">
        <v>1.0</v>
      </c>
      <c r="R1468" s="84"/>
      <c r="S1468" s="40"/>
      <c r="T1468" s="40"/>
      <c r="U1468" s="40"/>
      <c r="V1468" s="40"/>
      <c r="W1468" s="40"/>
      <c r="X1468" s="40"/>
      <c r="Y1468" s="45"/>
      <c r="Z1468" s="45"/>
      <c r="AA1468" s="45"/>
      <c r="AB1468" s="45"/>
      <c r="AC1468" s="45"/>
      <c r="AD1468" s="45"/>
      <c r="AE1468" s="45"/>
      <c r="AF1468" s="45"/>
      <c r="AG1468" s="45"/>
      <c r="AH1468" s="45"/>
      <c r="AI1468" s="45"/>
      <c r="AJ1468" s="45"/>
      <c r="AK1468" s="45"/>
      <c r="AL1468" s="45"/>
    </row>
    <row r="1469" ht="15.75" customHeight="1">
      <c r="A1469" s="27">
        <f t="shared" si="21"/>
        <v>348</v>
      </c>
      <c r="B1469" s="121" t="s">
        <v>5011</v>
      </c>
      <c r="C1469" s="121" t="s">
        <v>5097</v>
      </c>
      <c r="D1469" s="119" t="s">
        <v>5112</v>
      </c>
      <c r="E1469" s="121" t="s">
        <v>5001</v>
      </c>
      <c r="F1469" s="121" t="s">
        <v>4823</v>
      </c>
      <c r="G1469" s="121" t="s">
        <v>37</v>
      </c>
      <c r="H1469" s="83"/>
      <c r="I1469" s="121" t="s">
        <v>38</v>
      </c>
      <c r="J1469" s="121">
        <v>348.0</v>
      </c>
      <c r="K1469" s="83"/>
      <c r="L1469" s="121" t="s">
        <v>5099</v>
      </c>
      <c r="M1469" s="121" t="s">
        <v>4207</v>
      </c>
      <c r="N1469" s="121">
        <v>1984.0</v>
      </c>
      <c r="O1469" s="121">
        <v>18.0</v>
      </c>
      <c r="P1469" s="121">
        <v>1.0</v>
      </c>
      <c r="Q1469" s="121">
        <v>1.0</v>
      </c>
      <c r="R1469" s="84"/>
      <c r="S1469" s="38"/>
      <c r="T1469" s="38"/>
      <c r="U1469" s="38"/>
      <c r="V1469" s="38"/>
      <c r="W1469" s="38"/>
      <c r="X1469" s="38"/>
      <c r="Y1469" s="45"/>
      <c r="Z1469" s="45"/>
      <c r="AA1469" s="45"/>
      <c r="AB1469" s="45"/>
      <c r="AC1469" s="45"/>
      <c r="AD1469" s="45"/>
      <c r="AE1469" s="45"/>
      <c r="AF1469" s="45"/>
      <c r="AG1469" s="45"/>
      <c r="AH1469" s="45"/>
      <c r="AI1469" s="45"/>
      <c r="AJ1469" s="45"/>
      <c r="AK1469" s="45"/>
      <c r="AL1469" s="45"/>
    </row>
    <row r="1470" ht="15.75" customHeight="1">
      <c r="A1470" s="27">
        <f t="shared" si="21"/>
        <v>349</v>
      </c>
      <c r="B1470" s="121" t="s">
        <v>5011</v>
      </c>
      <c r="C1470" s="121" t="s">
        <v>5097</v>
      </c>
      <c r="D1470" s="119" t="s">
        <v>5113</v>
      </c>
      <c r="E1470" s="121" t="s">
        <v>5001</v>
      </c>
      <c r="F1470" s="121" t="s">
        <v>4823</v>
      </c>
      <c r="G1470" s="121" t="s">
        <v>37</v>
      </c>
      <c r="H1470" s="83"/>
      <c r="I1470" s="121" t="s">
        <v>38</v>
      </c>
      <c r="J1470" s="121">
        <v>148.0</v>
      </c>
      <c r="K1470" s="83"/>
      <c r="L1470" s="121" t="s">
        <v>5099</v>
      </c>
      <c r="M1470" s="121" t="s">
        <v>4207</v>
      </c>
      <c r="N1470" s="121">
        <v>1984.0</v>
      </c>
      <c r="O1470" s="121">
        <v>18.0</v>
      </c>
      <c r="P1470" s="121">
        <v>1.0</v>
      </c>
      <c r="Q1470" s="121">
        <v>1.0</v>
      </c>
      <c r="R1470" s="84"/>
      <c r="S1470" s="38"/>
      <c r="T1470" s="38"/>
      <c r="U1470" s="38"/>
      <c r="V1470" s="38"/>
      <c r="W1470" s="38"/>
      <c r="X1470" s="38"/>
      <c r="Y1470" s="45"/>
      <c r="Z1470" s="45"/>
      <c r="AA1470" s="45"/>
      <c r="AB1470" s="45"/>
      <c r="AC1470" s="45"/>
      <c r="AD1470" s="45"/>
      <c r="AE1470" s="45"/>
      <c r="AF1470" s="45"/>
      <c r="AG1470" s="45"/>
      <c r="AH1470" s="45"/>
      <c r="AI1470" s="45"/>
      <c r="AJ1470" s="45"/>
      <c r="AK1470" s="45"/>
      <c r="AL1470" s="45"/>
    </row>
    <row r="1471" ht="15.75" customHeight="1">
      <c r="A1471" s="27">
        <f t="shared" si="21"/>
        <v>350</v>
      </c>
      <c r="B1471" s="121" t="s">
        <v>5011</v>
      </c>
      <c r="C1471" s="121" t="s">
        <v>5097</v>
      </c>
      <c r="D1471" s="119" t="s">
        <v>5114</v>
      </c>
      <c r="E1471" s="121" t="s">
        <v>5001</v>
      </c>
      <c r="F1471" s="121" t="s">
        <v>4823</v>
      </c>
      <c r="G1471" s="121" t="s">
        <v>37</v>
      </c>
      <c r="H1471" s="83"/>
      <c r="I1471" s="121" t="s">
        <v>38</v>
      </c>
      <c r="J1471" s="121">
        <v>348.0</v>
      </c>
      <c r="K1471" s="83"/>
      <c r="L1471" s="121" t="s">
        <v>5099</v>
      </c>
      <c r="M1471" s="121" t="s">
        <v>4207</v>
      </c>
      <c r="N1471" s="121">
        <v>1983.0</v>
      </c>
      <c r="O1471" s="121">
        <v>18.0</v>
      </c>
      <c r="P1471" s="121">
        <v>1.0</v>
      </c>
      <c r="Q1471" s="121">
        <v>1.0</v>
      </c>
      <c r="R1471" s="84"/>
      <c r="S1471" s="38"/>
      <c r="T1471" s="38"/>
      <c r="U1471" s="38"/>
      <c r="V1471" s="38"/>
      <c r="W1471" s="38"/>
      <c r="X1471" s="38"/>
      <c r="Y1471" s="45"/>
      <c r="Z1471" s="45"/>
      <c r="AA1471" s="45"/>
      <c r="AB1471" s="45"/>
      <c r="AC1471" s="45"/>
      <c r="AD1471" s="45"/>
      <c r="AE1471" s="45"/>
      <c r="AF1471" s="45"/>
      <c r="AG1471" s="45"/>
      <c r="AH1471" s="45"/>
      <c r="AI1471" s="45"/>
      <c r="AJ1471" s="45"/>
      <c r="AK1471" s="45"/>
      <c r="AL1471" s="45"/>
    </row>
    <row r="1472" ht="15.75" customHeight="1">
      <c r="A1472" s="27">
        <f t="shared" si="21"/>
        <v>351</v>
      </c>
      <c r="B1472" s="121" t="s">
        <v>5011</v>
      </c>
      <c r="C1472" s="121" t="s">
        <v>5097</v>
      </c>
      <c r="D1472" s="119" t="s">
        <v>5115</v>
      </c>
      <c r="E1472" s="121" t="s">
        <v>5001</v>
      </c>
      <c r="F1472" s="121" t="s">
        <v>4823</v>
      </c>
      <c r="G1472" s="121" t="s">
        <v>37</v>
      </c>
      <c r="H1472" s="83"/>
      <c r="I1472" s="121" t="s">
        <v>38</v>
      </c>
      <c r="J1472" s="121">
        <v>148.0</v>
      </c>
      <c r="K1472" s="83"/>
      <c r="L1472" s="121" t="s">
        <v>5099</v>
      </c>
      <c r="M1472" s="121" t="s">
        <v>4207</v>
      </c>
      <c r="N1472" s="121">
        <v>1983.0</v>
      </c>
      <c r="O1472" s="121">
        <v>18.0</v>
      </c>
      <c r="P1472" s="121">
        <v>2.0</v>
      </c>
      <c r="Q1472" s="121">
        <v>2.0</v>
      </c>
      <c r="R1472" s="84"/>
      <c r="S1472" s="38"/>
      <c r="T1472" s="38"/>
      <c r="U1472" s="38"/>
      <c r="V1472" s="38"/>
      <c r="W1472" s="38"/>
      <c r="X1472" s="38"/>
      <c r="Y1472" s="45"/>
      <c r="Z1472" s="45"/>
      <c r="AA1472" s="45"/>
      <c r="AB1472" s="45"/>
      <c r="AC1472" s="45"/>
      <c r="AD1472" s="45"/>
      <c r="AE1472" s="45"/>
      <c r="AF1472" s="45"/>
      <c r="AG1472" s="45"/>
      <c r="AH1472" s="45"/>
      <c r="AI1472" s="45"/>
      <c r="AJ1472" s="45"/>
      <c r="AK1472" s="45"/>
      <c r="AL1472" s="45"/>
    </row>
    <row r="1473" ht="15.75" customHeight="1">
      <c r="A1473" s="27">
        <f t="shared" si="21"/>
        <v>352</v>
      </c>
      <c r="B1473" s="121" t="s">
        <v>5011</v>
      </c>
      <c r="C1473" s="121" t="s">
        <v>5097</v>
      </c>
      <c r="D1473" s="119" t="s">
        <v>5116</v>
      </c>
      <c r="E1473" s="121" t="s">
        <v>5001</v>
      </c>
      <c r="F1473" s="121" t="s">
        <v>4823</v>
      </c>
      <c r="G1473" s="121" t="s">
        <v>37</v>
      </c>
      <c r="H1473" s="83"/>
      <c r="I1473" s="121" t="s">
        <v>38</v>
      </c>
      <c r="J1473" s="121">
        <v>348.0</v>
      </c>
      <c r="K1473" s="83"/>
      <c r="L1473" s="121" t="s">
        <v>5099</v>
      </c>
      <c r="M1473" s="121" t="s">
        <v>4207</v>
      </c>
      <c r="N1473" s="121">
        <v>1982.0</v>
      </c>
      <c r="O1473" s="121">
        <v>18.0</v>
      </c>
      <c r="P1473" s="121">
        <v>1.0</v>
      </c>
      <c r="Q1473" s="121">
        <v>1.0</v>
      </c>
      <c r="R1473" s="84"/>
      <c r="S1473" s="40"/>
      <c r="T1473" s="40"/>
      <c r="U1473" s="40"/>
      <c r="V1473" s="40"/>
      <c r="W1473" s="40"/>
      <c r="X1473" s="40"/>
      <c r="Y1473" s="45"/>
      <c r="Z1473" s="45"/>
      <c r="AA1473" s="45"/>
      <c r="AB1473" s="45"/>
      <c r="AC1473" s="45"/>
      <c r="AD1473" s="45"/>
      <c r="AE1473" s="45"/>
      <c r="AF1473" s="45"/>
      <c r="AG1473" s="45"/>
      <c r="AH1473" s="45"/>
      <c r="AI1473" s="45"/>
      <c r="AJ1473" s="45"/>
      <c r="AK1473" s="45"/>
      <c r="AL1473" s="45"/>
    </row>
    <row r="1474" ht="15.75" customHeight="1">
      <c r="A1474" s="27">
        <f t="shared" si="21"/>
        <v>353</v>
      </c>
      <c r="B1474" s="121" t="s">
        <v>5011</v>
      </c>
      <c r="C1474" s="121" t="s">
        <v>5097</v>
      </c>
      <c r="D1474" s="119" t="s">
        <v>5117</v>
      </c>
      <c r="E1474" s="121" t="s">
        <v>5001</v>
      </c>
      <c r="F1474" s="121" t="s">
        <v>4823</v>
      </c>
      <c r="G1474" s="121" t="s">
        <v>37</v>
      </c>
      <c r="H1474" s="83"/>
      <c r="I1474" s="121" t="s">
        <v>38</v>
      </c>
      <c r="J1474" s="121">
        <v>145.0</v>
      </c>
      <c r="K1474" s="83"/>
      <c r="L1474" s="121" t="s">
        <v>5099</v>
      </c>
      <c r="M1474" s="121" t="s">
        <v>4207</v>
      </c>
      <c r="N1474" s="121">
        <v>1982.0</v>
      </c>
      <c r="O1474" s="121">
        <v>18.0</v>
      </c>
      <c r="P1474" s="121">
        <v>1.0</v>
      </c>
      <c r="Q1474" s="121">
        <v>1.0</v>
      </c>
      <c r="R1474" s="84"/>
      <c r="S1474" s="40"/>
      <c r="T1474" s="40"/>
      <c r="U1474" s="40"/>
      <c r="V1474" s="40"/>
      <c r="W1474" s="40"/>
      <c r="X1474" s="40"/>
      <c r="Y1474" s="45"/>
      <c r="Z1474" s="45"/>
      <c r="AA1474" s="45"/>
      <c r="AB1474" s="45"/>
      <c r="AC1474" s="45"/>
      <c r="AD1474" s="45"/>
      <c r="AE1474" s="45"/>
      <c r="AF1474" s="45"/>
      <c r="AG1474" s="45"/>
      <c r="AH1474" s="45"/>
      <c r="AI1474" s="45"/>
      <c r="AJ1474" s="45"/>
      <c r="AK1474" s="45"/>
      <c r="AL1474" s="45"/>
    </row>
    <row r="1475" ht="15.75" customHeight="1">
      <c r="A1475" s="27">
        <f t="shared" si="21"/>
        <v>354</v>
      </c>
      <c r="B1475" s="121" t="s">
        <v>4998</v>
      </c>
      <c r="C1475" s="121" t="s">
        <v>5097</v>
      </c>
      <c r="D1475" s="119" t="s">
        <v>5118</v>
      </c>
      <c r="E1475" s="121" t="s">
        <v>5001</v>
      </c>
      <c r="F1475" s="121" t="s">
        <v>4823</v>
      </c>
      <c r="G1475" s="121" t="s">
        <v>37</v>
      </c>
      <c r="H1475" s="83"/>
      <c r="I1475" s="121" t="s">
        <v>38</v>
      </c>
      <c r="J1475" s="121">
        <v>356.0</v>
      </c>
      <c r="K1475" s="83"/>
      <c r="L1475" s="121" t="s">
        <v>5099</v>
      </c>
      <c r="M1475" s="121" t="s">
        <v>4207</v>
      </c>
      <c r="N1475" s="121">
        <v>2000.0</v>
      </c>
      <c r="O1475" s="121">
        <v>18.0</v>
      </c>
      <c r="P1475" s="121">
        <v>1.0</v>
      </c>
      <c r="Q1475" s="121">
        <v>1.0</v>
      </c>
      <c r="R1475" s="84"/>
      <c r="S1475" s="40"/>
      <c r="T1475" s="40"/>
      <c r="U1475" s="40"/>
      <c r="V1475" s="40"/>
      <c r="W1475" s="40"/>
      <c r="X1475" s="40"/>
      <c r="Y1475" s="45"/>
      <c r="Z1475" s="45"/>
      <c r="AA1475" s="45"/>
      <c r="AB1475" s="45"/>
      <c r="AC1475" s="45"/>
      <c r="AD1475" s="45"/>
      <c r="AE1475" s="45"/>
      <c r="AF1475" s="45"/>
      <c r="AG1475" s="45"/>
      <c r="AH1475" s="45"/>
      <c r="AI1475" s="45"/>
      <c r="AJ1475" s="45"/>
      <c r="AK1475" s="45"/>
      <c r="AL1475" s="45"/>
    </row>
    <row r="1476" ht="15.75" customHeight="1">
      <c r="A1476" s="27">
        <f t="shared" si="21"/>
        <v>355</v>
      </c>
      <c r="B1476" s="121" t="s">
        <v>4998</v>
      </c>
      <c r="C1476" s="121" t="s">
        <v>5097</v>
      </c>
      <c r="D1476" s="119" t="s">
        <v>5119</v>
      </c>
      <c r="E1476" s="121" t="s">
        <v>5001</v>
      </c>
      <c r="F1476" s="121" t="s">
        <v>4823</v>
      </c>
      <c r="G1476" s="121" t="s">
        <v>37</v>
      </c>
      <c r="H1476" s="83"/>
      <c r="I1476" s="121" t="s">
        <v>38</v>
      </c>
      <c r="J1476" s="121">
        <v>356.0</v>
      </c>
      <c r="K1476" s="83"/>
      <c r="L1476" s="121" t="s">
        <v>5099</v>
      </c>
      <c r="M1476" s="121" t="s">
        <v>4207</v>
      </c>
      <c r="N1476" s="121">
        <v>1999.0</v>
      </c>
      <c r="O1476" s="121">
        <v>18.0</v>
      </c>
      <c r="P1476" s="121">
        <v>1.0</v>
      </c>
      <c r="Q1476" s="121">
        <v>1.0</v>
      </c>
      <c r="R1476" s="84"/>
      <c r="S1476" s="40"/>
      <c r="T1476" s="40"/>
      <c r="U1476" s="40"/>
      <c r="V1476" s="40"/>
      <c r="W1476" s="40"/>
      <c r="X1476" s="40"/>
      <c r="Y1476" s="3"/>
      <c r="Z1476" s="3"/>
      <c r="AA1476" s="3"/>
      <c r="AB1476" s="3"/>
      <c r="AC1476" s="3"/>
      <c r="AD1476" s="3"/>
      <c r="AE1476" s="3"/>
      <c r="AF1476" s="3"/>
      <c r="AG1476" s="3"/>
      <c r="AH1476" s="3"/>
      <c r="AI1476" s="3"/>
      <c r="AJ1476" s="3"/>
      <c r="AK1476" s="3"/>
      <c r="AL1476" s="3"/>
    </row>
    <row r="1477" ht="15.75" customHeight="1">
      <c r="A1477" s="27">
        <f t="shared" si="21"/>
        <v>356</v>
      </c>
      <c r="B1477" s="177" t="s">
        <v>4998</v>
      </c>
      <c r="C1477" s="177" t="s">
        <v>5097</v>
      </c>
      <c r="D1477" s="178" t="s">
        <v>5120</v>
      </c>
      <c r="E1477" s="177" t="s">
        <v>5001</v>
      </c>
      <c r="F1477" s="177" t="s">
        <v>4823</v>
      </c>
      <c r="G1477" s="177" t="s">
        <v>37</v>
      </c>
      <c r="H1477" s="179"/>
      <c r="I1477" s="177" t="s">
        <v>38</v>
      </c>
      <c r="J1477" s="177">
        <v>156.0</v>
      </c>
      <c r="K1477" s="179"/>
      <c r="L1477" s="177" t="s">
        <v>5099</v>
      </c>
      <c r="M1477" s="177" t="s">
        <v>4207</v>
      </c>
      <c r="N1477" s="177">
        <v>1999.0</v>
      </c>
      <c r="O1477" s="177">
        <v>18.0</v>
      </c>
      <c r="P1477" s="177">
        <v>1.0</v>
      </c>
      <c r="Q1477" s="177">
        <v>1.0</v>
      </c>
      <c r="R1477" s="180"/>
      <c r="S1477" s="40"/>
      <c r="T1477" s="40"/>
      <c r="U1477" s="40"/>
      <c r="V1477" s="40"/>
      <c r="W1477" s="40"/>
      <c r="X1477" s="40"/>
      <c r="Y1477" s="45"/>
      <c r="Z1477" s="45"/>
      <c r="AA1477" s="45"/>
      <c r="AB1477" s="45"/>
      <c r="AC1477" s="45"/>
      <c r="AD1477" s="45"/>
      <c r="AE1477" s="45"/>
      <c r="AF1477" s="45"/>
      <c r="AG1477" s="45"/>
      <c r="AH1477" s="45"/>
      <c r="AI1477" s="45"/>
      <c r="AJ1477" s="45"/>
      <c r="AK1477" s="45"/>
      <c r="AL1477" s="45"/>
    </row>
    <row r="1478" ht="15.75" customHeight="1">
      <c r="A1478" s="27">
        <f t="shared" si="21"/>
        <v>357</v>
      </c>
      <c r="B1478" s="121" t="s">
        <v>5053</v>
      </c>
      <c r="C1478" s="121" t="s">
        <v>5121</v>
      </c>
      <c r="D1478" s="119" t="s">
        <v>5122</v>
      </c>
      <c r="E1478" s="121" t="s">
        <v>5001</v>
      </c>
      <c r="F1478" s="121" t="s">
        <v>4823</v>
      </c>
      <c r="G1478" s="121" t="s">
        <v>37</v>
      </c>
      <c r="H1478" s="83"/>
      <c r="I1478" s="121" t="s">
        <v>38</v>
      </c>
      <c r="J1478" s="121">
        <v>800.0</v>
      </c>
      <c r="K1478" s="83"/>
      <c r="L1478" s="121" t="s">
        <v>5123</v>
      </c>
      <c r="M1478" s="121" t="s">
        <v>5056</v>
      </c>
      <c r="N1478" s="121">
        <v>2000.0</v>
      </c>
      <c r="O1478" s="121">
        <v>18.0</v>
      </c>
      <c r="P1478" s="121">
        <v>1.0</v>
      </c>
      <c r="Q1478" s="121">
        <v>1.0</v>
      </c>
      <c r="R1478" s="84"/>
      <c r="S1478" s="38"/>
      <c r="T1478" s="38"/>
      <c r="U1478" s="38"/>
      <c r="V1478" s="38"/>
      <c r="W1478" s="38"/>
      <c r="X1478" s="38"/>
      <c r="Y1478" s="45"/>
      <c r="Z1478" s="45"/>
      <c r="AA1478" s="45"/>
      <c r="AB1478" s="45"/>
      <c r="AC1478" s="45"/>
      <c r="AD1478" s="45"/>
      <c r="AE1478" s="45"/>
      <c r="AF1478" s="45"/>
      <c r="AG1478" s="45"/>
      <c r="AH1478" s="45"/>
      <c r="AI1478" s="45"/>
      <c r="AJ1478" s="45"/>
      <c r="AK1478" s="45"/>
      <c r="AL1478" s="45"/>
    </row>
    <row r="1479" ht="15.75" customHeight="1">
      <c r="A1479" s="27">
        <f t="shared" si="21"/>
        <v>358</v>
      </c>
      <c r="B1479" s="121" t="s">
        <v>5053</v>
      </c>
      <c r="C1479" s="121" t="s">
        <v>5121</v>
      </c>
      <c r="D1479" s="119" t="s">
        <v>5124</v>
      </c>
      <c r="E1479" s="121" t="s">
        <v>5001</v>
      </c>
      <c r="F1479" s="121" t="s">
        <v>4823</v>
      </c>
      <c r="G1479" s="121" t="s">
        <v>37</v>
      </c>
      <c r="H1479" s="83"/>
      <c r="I1479" s="121" t="s">
        <v>38</v>
      </c>
      <c r="J1479" s="121">
        <v>600.0</v>
      </c>
      <c r="K1479" s="83"/>
      <c r="L1479" s="121" t="s">
        <v>5123</v>
      </c>
      <c r="M1479" s="121" t="s">
        <v>5056</v>
      </c>
      <c r="N1479" s="121">
        <v>2000.0</v>
      </c>
      <c r="O1479" s="121">
        <v>18.0</v>
      </c>
      <c r="P1479" s="121">
        <v>1.0</v>
      </c>
      <c r="Q1479" s="121">
        <v>1.0</v>
      </c>
      <c r="R1479" s="84"/>
      <c r="S1479" s="38"/>
      <c r="T1479" s="38"/>
      <c r="U1479" s="38"/>
      <c r="V1479" s="38"/>
      <c r="W1479" s="38"/>
      <c r="X1479" s="38"/>
      <c r="Y1479" s="3"/>
      <c r="Z1479" s="3"/>
      <c r="AA1479" s="3"/>
      <c r="AB1479" s="3"/>
      <c r="AC1479" s="3"/>
      <c r="AD1479" s="3"/>
      <c r="AE1479" s="3"/>
      <c r="AF1479" s="3"/>
      <c r="AG1479" s="3"/>
      <c r="AH1479" s="3"/>
      <c r="AI1479" s="3"/>
      <c r="AJ1479" s="3"/>
      <c r="AK1479" s="3"/>
      <c r="AL1479" s="3"/>
    </row>
    <row r="1480" ht="15.75" customHeight="1">
      <c r="A1480" s="27">
        <f t="shared" si="21"/>
        <v>359</v>
      </c>
      <c r="B1480" s="121" t="s">
        <v>5053</v>
      </c>
      <c r="C1480" s="121" t="s">
        <v>5121</v>
      </c>
      <c r="D1480" s="119" t="s">
        <v>5125</v>
      </c>
      <c r="E1480" s="121" t="s">
        <v>5001</v>
      </c>
      <c r="F1480" s="121" t="s">
        <v>4823</v>
      </c>
      <c r="G1480" s="121" t="s">
        <v>37</v>
      </c>
      <c r="H1480" s="83"/>
      <c r="I1480" s="121" t="s">
        <v>38</v>
      </c>
      <c r="J1480" s="121">
        <v>400.0</v>
      </c>
      <c r="K1480" s="83"/>
      <c r="L1480" s="121" t="s">
        <v>5123</v>
      </c>
      <c r="M1480" s="121" t="s">
        <v>5056</v>
      </c>
      <c r="N1480" s="121">
        <v>2000.0</v>
      </c>
      <c r="O1480" s="121">
        <v>18.0</v>
      </c>
      <c r="P1480" s="121">
        <v>1.0</v>
      </c>
      <c r="Q1480" s="121">
        <v>1.0</v>
      </c>
      <c r="R1480" s="84"/>
      <c r="S1480" s="34"/>
      <c r="T1480" s="34"/>
      <c r="U1480" s="34"/>
      <c r="V1480" s="34"/>
      <c r="W1480" s="34"/>
      <c r="X1480" s="34"/>
      <c r="Y1480" s="45"/>
      <c r="Z1480" s="45"/>
      <c r="AA1480" s="45"/>
      <c r="AB1480" s="45"/>
      <c r="AC1480" s="45"/>
      <c r="AD1480" s="45"/>
      <c r="AE1480" s="45"/>
      <c r="AF1480" s="45"/>
      <c r="AG1480" s="45"/>
      <c r="AH1480" s="45"/>
      <c r="AI1480" s="45"/>
      <c r="AJ1480" s="45"/>
      <c r="AK1480" s="45"/>
      <c r="AL1480" s="45"/>
    </row>
    <row r="1481" ht="15.75" customHeight="1">
      <c r="A1481" s="27">
        <f t="shared" si="21"/>
        <v>360</v>
      </c>
      <c r="B1481" s="121" t="s">
        <v>5053</v>
      </c>
      <c r="C1481" s="121" t="s">
        <v>5121</v>
      </c>
      <c r="D1481" s="119" t="s">
        <v>5126</v>
      </c>
      <c r="E1481" s="121" t="s">
        <v>5001</v>
      </c>
      <c r="F1481" s="121" t="s">
        <v>4823</v>
      </c>
      <c r="G1481" s="121" t="s">
        <v>37</v>
      </c>
      <c r="H1481" s="83"/>
      <c r="I1481" s="121" t="s">
        <v>38</v>
      </c>
      <c r="J1481" s="121">
        <v>199.0</v>
      </c>
      <c r="K1481" s="83"/>
      <c r="L1481" s="121" t="s">
        <v>5123</v>
      </c>
      <c r="M1481" s="121" t="s">
        <v>5056</v>
      </c>
      <c r="N1481" s="121">
        <v>2000.0</v>
      </c>
      <c r="O1481" s="121">
        <v>18.0</v>
      </c>
      <c r="P1481" s="121">
        <v>1.0</v>
      </c>
      <c r="Q1481" s="121">
        <v>1.0</v>
      </c>
      <c r="R1481" s="84"/>
      <c r="S1481" s="40"/>
      <c r="T1481" s="40"/>
      <c r="U1481" s="40"/>
      <c r="V1481" s="40"/>
      <c r="W1481" s="40"/>
      <c r="X1481" s="40"/>
      <c r="Y1481" s="3"/>
      <c r="Z1481" s="3"/>
      <c r="AA1481" s="3"/>
      <c r="AB1481" s="3"/>
      <c r="AC1481" s="3"/>
      <c r="AD1481" s="3"/>
      <c r="AE1481" s="3"/>
      <c r="AF1481" s="3"/>
      <c r="AG1481" s="3"/>
      <c r="AH1481" s="3"/>
      <c r="AI1481" s="3"/>
      <c r="AJ1481" s="3"/>
      <c r="AK1481" s="3"/>
      <c r="AL1481" s="3"/>
    </row>
    <row r="1482" ht="15.75" customHeight="1">
      <c r="A1482" s="27">
        <f t="shared" si="21"/>
        <v>361</v>
      </c>
      <c r="B1482" s="121" t="s">
        <v>5053</v>
      </c>
      <c r="C1482" s="121" t="s">
        <v>5127</v>
      </c>
      <c r="D1482" s="119" t="s">
        <v>5128</v>
      </c>
      <c r="E1482" s="121" t="s">
        <v>5001</v>
      </c>
      <c r="F1482" s="121" t="s">
        <v>4823</v>
      </c>
      <c r="G1482" s="121" t="s">
        <v>37</v>
      </c>
      <c r="H1482" s="83"/>
      <c r="I1482" s="121" t="s">
        <v>38</v>
      </c>
      <c r="J1482" s="121">
        <v>768.0</v>
      </c>
      <c r="K1482" s="83"/>
      <c r="L1482" s="121" t="s">
        <v>1429</v>
      </c>
      <c r="M1482" s="121" t="s">
        <v>5056</v>
      </c>
      <c r="N1482" s="121">
        <v>1994.0</v>
      </c>
      <c r="O1482" s="121">
        <v>18.0</v>
      </c>
      <c r="P1482" s="121">
        <v>1.0</v>
      </c>
      <c r="Q1482" s="121">
        <v>1.0</v>
      </c>
      <c r="R1482" s="84"/>
      <c r="S1482" s="40"/>
      <c r="T1482" s="40"/>
      <c r="U1482" s="40"/>
      <c r="V1482" s="40"/>
      <c r="W1482" s="40"/>
      <c r="X1482" s="40"/>
      <c r="Y1482" s="45"/>
      <c r="Z1482" s="45"/>
      <c r="AA1482" s="45"/>
      <c r="AB1482" s="45"/>
      <c r="AC1482" s="45"/>
      <c r="AD1482" s="45"/>
      <c r="AE1482" s="45"/>
      <c r="AF1482" s="45"/>
      <c r="AG1482" s="45"/>
      <c r="AH1482" s="45"/>
      <c r="AI1482" s="45"/>
      <c r="AJ1482" s="45"/>
      <c r="AK1482" s="45"/>
      <c r="AL1482" s="45"/>
    </row>
    <row r="1483" ht="15.75" customHeight="1">
      <c r="A1483" s="27">
        <f t="shared" si="21"/>
        <v>362</v>
      </c>
      <c r="B1483" s="121" t="s">
        <v>5053</v>
      </c>
      <c r="C1483" s="121" t="s">
        <v>5127</v>
      </c>
      <c r="D1483" s="119" t="s">
        <v>5129</v>
      </c>
      <c r="E1483" s="121" t="s">
        <v>5001</v>
      </c>
      <c r="F1483" s="121" t="s">
        <v>4823</v>
      </c>
      <c r="G1483" s="121" t="s">
        <v>37</v>
      </c>
      <c r="H1483" s="83"/>
      <c r="I1483" s="121" t="s">
        <v>38</v>
      </c>
      <c r="J1483" s="121">
        <v>576.0</v>
      </c>
      <c r="K1483" s="83"/>
      <c r="L1483" s="121" t="s">
        <v>1429</v>
      </c>
      <c r="M1483" s="121" t="s">
        <v>5056</v>
      </c>
      <c r="N1483" s="121">
        <v>1994.0</v>
      </c>
      <c r="O1483" s="121">
        <v>18.0</v>
      </c>
      <c r="P1483" s="121">
        <v>1.0</v>
      </c>
      <c r="Q1483" s="121">
        <v>1.0</v>
      </c>
      <c r="R1483" s="84"/>
      <c r="S1483" s="40"/>
      <c r="T1483" s="40"/>
      <c r="U1483" s="40"/>
      <c r="V1483" s="40"/>
      <c r="W1483" s="40"/>
      <c r="X1483" s="40"/>
      <c r="Y1483" s="45"/>
      <c r="Z1483" s="45"/>
      <c r="AA1483" s="45"/>
      <c r="AB1483" s="45"/>
      <c r="AC1483" s="45"/>
      <c r="AD1483" s="45"/>
      <c r="AE1483" s="45"/>
      <c r="AF1483" s="45"/>
      <c r="AG1483" s="45"/>
      <c r="AH1483" s="45"/>
      <c r="AI1483" s="45"/>
      <c r="AJ1483" s="45"/>
      <c r="AK1483" s="45"/>
      <c r="AL1483" s="45"/>
    </row>
    <row r="1484" ht="15.75" customHeight="1">
      <c r="A1484" s="27">
        <f t="shared" si="21"/>
        <v>363</v>
      </c>
      <c r="B1484" s="121" t="s">
        <v>5053</v>
      </c>
      <c r="C1484" s="121" t="s">
        <v>5127</v>
      </c>
      <c r="D1484" s="119" t="s">
        <v>5130</v>
      </c>
      <c r="E1484" s="121" t="s">
        <v>5001</v>
      </c>
      <c r="F1484" s="121" t="s">
        <v>4823</v>
      </c>
      <c r="G1484" s="121" t="s">
        <v>37</v>
      </c>
      <c r="H1484" s="83"/>
      <c r="I1484" s="121" t="s">
        <v>38</v>
      </c>
      <c r="J1484" s="121">
        <v>768.0</v>
      </c>
      <c r="K1484" s="83"/>
      <c r="L1484" s="121" t="s">
        <v>1429</v>
      </c>
      <c r="M1484" s="121" t="s">
        <v>5056</v>
      </c>
      <c r="N1484" s="121">
        <v>1993.0</v>
      </c>
      <c r="O1484" s="121">
        <v>18.0</v>
      </c>
      <c r="P1484" s="121">
        <v>1.0</v>
      </c>
      <c r="Q1484" s="121">
        <v>1.0</v>
      </c>
      <c r="R1484" s="84"/>
      <c r="S1484" s="40"/>
      <c r="T1484" s="40"/>
      <c r="U1484" s="40"/>
      <c r="V1484" s="40"/>
      <c r="W1484" s="40"/>
      <c r="X1484" s="40"/>
      <c r="Y1484" s="3"/>
      <c r="Z1484" s="3"/>
      <c r="AA1484" s="3"/>
      <c r="AB1484" s="3"/>
      <c r="AC1484" s="3"/>
      <c r="AD1484" s="3"/>
      <c r="AE1484" s="3"/>
      <c r="AF1484" s="3"/>
      <c r="AG1484" s="3"/>
      <c r="AH1484" s="3"/>
      <c r="AI1484" s="3"/>
      <c r="AJ1484" s="3"/>
      <c r="AK1484" s="3"/>
      <c r="AL1484" s="3"/>
    </row>
    <row r="1485" ht="15.75" customHeight="1">
      <c r="A1485" s="27">
        <f t="shared" si="21"/>
        <v>364</v>
      </c>
      <c r="B1485" s="121" t="s">
        <v>5053</v>
      </c>
      <c r="C1485" s="121" t="s">
        <v>5131</v>
      </c>
      <c r="D1485" s="119" t="s">
        <v>5132</v>
      </c>
      <c r="E1485" s="121" t="s">
        <v>5001</v>
      </c>
      <c r="F1485" s="121" t="s">
        <v>4823</v>
      </c>
      <c r="G1485" s="121" t="s">
        <v>37</v>
      </c>
      <c r="H1485" s="83"/>
      <c r="I1485" s="121" t="s">
        <v>38</v>
      </c>
      <c r="J1485" s="121">
        <v>799.0</v>
      </c>
      <c r="K1485" s="83"/>
      <c r="L1485" s="121" t="s">
        <v>5133</v>
      </c>
      <c r="M1485" s="121" t="s">
        <v>5056</v>
      </c>
      <c r="N1485" s="121">
        <v>1999.0</v>
      </c>
      <c r="O1485" s="121">
        <v>18.0</v>
      </c>
      <c r="P1485" s="121">
        <v>1.0</v>
      </c>
      <c r="Q1485" s="121">
        <v>1.0</v>
      </c>
      <c r="R1485" s="84"/>
      <c r="S1485" s="40"/>
      <c r="T1485" s="40"/>
      <c r="U1485" s="40"/>
      <c r="V1485" s="40"/>
      <c r="W1485" s="40"/>
      <c r="X1485" s="40"/>
      <c r="Y1485" s="45"/>
      <c r="Z1485" s="45"/>
      <c r="AA1485" s="45"/>
      <c r="AB1485" s="45"/>
      <c r="AC1485" s="45"/>
      <c r="AD1485" s="45"/>
      <c r="AE1485" s="45"/>
      <c r="AF1485" s="45"/>
      <c r="AG1485" s="45"/>
      <c r="AH1485" s="45"/>
      <c r="AI1485" s="45"/>
      <c r="AJ1485" s="45"/>
      <c r="AK1485" s="45"/>
      <c r="AL1485" s="45"/>
    </row>
    <row r="1486" ht="15.75" customHeight="1">
      <c r="A1486" s="27">
        <f t="shared" si="21"/>
        <v>365</v>
      </c>
      <c r="B1486" s="121" t="s">
        <v>5053</v>
      </c>
      <c r="C1486" s="121" t="s">
        <v>5131</v>
      </c>
      <c r="D1486" s="119" t="s">
        <v>5134</v>
      </c>
      <c r="E1486" s="121" t="s">
        <v>5001</v>
      </c>
      <c r="F1486" s="121" t="s">
        <v>4823</v>
      </c>
      <c r="G1486" s="121" t="s">
        <v>37</v>
      </c>
      <c r="H1486" s="83"/>
      <c r="I1486" s="121" t="s">
        <v>38</v>
      </c>
      <c r="J1486" s="121">
        <v>400.0</v>
      </c>
      <c r="K1486" s="83"/>
      <c r="L1486" s="121" t="s">
        <v>5133</v>
      </c>
      <c r="M1486" s="121" t="s">
        <v>5056</v>
      </c>
      <c r="N1486" s="121">
        <v>1999.0</v>
      </c>
      <c r="O1486" s="121">
        <v>18.0</v>
      </c>
      <c r="P1486" s="121">
        <v>1.0</v>
      </c>
      <c r="Q1486" s="121">
        <v>1.0</v>
      </c>
      <c r="R1486" s="84"/>
      <c r="S1486" s="40"/>
      <c r="T1486" s="40"/>
      <c r="U1486" s="40"/>
      <c r="V1486" s="40"/>
      <c r="W1486" s="40"/>
      <c r="X1486" s="40"/>
      <c r="Y1486" s="45"/>
      <c r="Z1486" s="45"/>
      <c r="AA1486" s="45"/>
      <c r="AB1486" s="45"/>
      <c r="AC1486" s="45"/>
      <c r="AD1486" s="45"/>
      <c r="AE1486" s="45"/>
      <c r="AF1486" s="45"/>
      <c r="AG1486" s="45"/>
      <c r="AH1486" s="45"/>
      <c r="AI1486" s="45"/>
      <c r="AJ1486" s="45"/>
      <c r="AK1486" s="45"/>
      <c r="AL1486" s="45"/>
    </row>
    <row r="1487" ht="15.75" customHeight="1">
      <c r="A1487" s="27">
        <f t="shared" si="21"/>
        <v>366</v>
      </c>
      <c r="B1487" s="121" t="s">
        <v>5053</v>
      </c>
      <c r="C1487" s="121" t="s">
        <v>5131</v>
      </c>
      <c r="D1487" s="119" t="s">
        <v>5135</v>
      </c>
      <c r="E1487" s="121" t="s">
        <v>5001</v>
      </c>
      <c r="F1487" s="121" t="s">
        <v>4823</v>
      </c>
      <c r="G1487" s="121" t="s">
        <v>37</v>
      </c>
      <c r="H1487" s="83"/>
      <c r="I1487" s="121" t="s">
        <v>38</v>
      </c>
      <c r="J1487" s="121">
        <v>200.0</v>
      </c>
      <c r="K1487" s="83"/>
      <c r="L1487" s="121" t="s">
        <v>5133</v>
      </c>
      <c r="M1487" s="121" t="s">
        <v>5056</v>
      </c>
      <c r="N1487" s="121">
        <v>2000.0</v>
      </c>
      <c r="O1487" s="121">
        <v>18.0</v>
      </c>
      <c r="P1487" s="121">
        <v>1.0</v>
      </c>
      <c r="Q1487" s="121">
        <v>1.0</v>
      </c>
      <c r="R1487" s="84"/>
      <c r="S1487" s="34"/>
      <c r="T1487" s="34"/>
      <c r="U1487" s="34"/>
      <c r="V1487" s="34"/>
      <c r="W1487" s="34"/>
      <c r="X1487" s="34"/>
      <c r="Y1487" s="45"/>
      <c r="Z1487" s="45"/>
      <c r="AA1487" s="45"/>
      <c r="AB1487" s="45"/>
      <c r="AC1487" s="45"/>
      <c r="AD1487" s="45"/>
      <c r="AE1487" s="45"/>
      <c r="AF1487" s="45"/>
      <c r="AG1487" s="45"/>
      <c r="AH1487" s="45"/>
      <c r="AI1487" s="45"/>
      <c r="AJ1487" s="45"/>
      <c r="AK1487" s="45"/>
      <c r="AL1487" s="45"/>
    </row>
    <row r="1488" ht="15.75" customHeight="1">
      <c r="A1488" s="27">
        <f t="shared" si="21"/>
        <v>367</v>
      </c>
      <c r="B1488" s="121" t="s">
        <v>5053</v>
      </c>
      <c r="C1488" s="121" t="s">
        <v>5131</v>
      </c>
      <c r="D1488" s="119" t="s">
        <v>5136</v>
      </c>
      <c r="E1488" s="121" t="s">
        <v>5001</v>
      </c>
      <c r="F1488" s="121" t="s">
        <v>4823</v>
      </c>
      <c r="G1488" s="121" t="s">
        <v>37</v>
      </c>
      <c r="H1488" s="83"/>
      <c r="I1488" s="121" t="s">
        <v>38</v>
      </c>
      <c r="J1488" s="121">
        <v>800.0</v>
      </c>
      <c r="K1488" s="83"/>
      <c r="L1488" s="121" t="s">
        <v>5133</v>
      </c>
      <c r="M1488" s="121" t="s">
        <v>5056</v>
      </c>
      <c r="N1488" s="121">
        <v>1998.0</v>
      </c>
      <c r="O1488" s="121">
        <v>18.0</v>
      </c>
      <c r="P1488" s="121">
        <v>1.0</v>
      </c>
      <c r="Q1488" s="121">
        <v>1.0</v>
      </c>
      <c r="R1488" s="84"/>
      <c r="S1488" s="40"/>
      <c r="T1488" s="40"/>
      <c r="U1488" s="40"/>
      <c r="V1488" s="40"/>
      <c r="W1488" s="40"/>
      <c r="X1488" s="40"/>
      <c r="Y1488" s="45"/>
      <c r="Z1488" s="45"/>
      <c r="AA1488" s="45"/>
      <c r="AB1488" s="45"/>
      <c r="AC1488" s="45"/>
      <c r="AD1488" s="45"/>
      <c r="AE1488" s="45"/>
      <c r="AF1488" s="45"/>
      <c r="AG1488" s="45"/>
      <c r="AH1488" s="45"/>
      <c r="AI1488" s="45"/>
      <c r="AJ1488" s="45"/>
      <c r="AK1488" s="45"/>
      <c r="AL1488" s="45"/>
    </row>
    <row r="1489" ht="15.75" customHeight="1">
      <c r="A1489" s="27">
        <f t="shared" si="21"/>
        <v>368</v>
      </c>
      <c r="B1489" s="121" t="s">
        <v>5053</v>
      </c>
      <c r="C1489" s="121" t="s">
        <v>5131</v>
      </c>
      <c r="D1489" s="119" t="s">
        <v>5137</v>
      </c>
      <c r="E1489" s="121" t="s">
        <v>5001</v>
      </c>
      <c r="F1489" s="121" t="s">
        <v>4823</v>
      </c>
      <c r="G1489" s="121" t="s">
        <v>37</v>
      </c>
      <c r="H1489" s="83"/>
      <c r="I1489" s="121" t="s">
        <v>38</v>
      </c>
      <c r="J1489" s="121">
        <v>600.0</v>
      </c>
      <c r="K1489" s="83"/>
      <c r="L1489" s="121" t="s">
        <v>5133</v>
      </c>
      <c r="M1489" s="121" t="s">
        <v>5056</v>
      </c>
      <c r="N1489" s="121">
        <v>1998.0</v>
      </c>
      <c r="O1489" s="121">
        <v>18.0</v>
      </c>
      <c r="P1489" s="121">
        <v>1.0</v>
      </c>
      <c r="Q1489" s="121">
        <v>1.0</v>
      </c>
      <c r="R1489" s="84"/>
      <c r="S1489" s="40"/>
      <c r="T1489" s="40"/>
      <c r="U1489" s="40"/>
      <c r="V1489" s="40"/>
      <c r="W1489" s="40"/>
      <c r="X1489" s="40"/>
      <c r="Y1489" s="3"/>
      <c r="Z1489" s="3"/>
      <c r="AA1489" s="3"/>
      <c r="AB1489" s="3"/>
      <c r="AC1489" s="3"/>
      <c r="AD1489" s="3"/>
      <c r="AE1489" s="3"/>
      <c r="AF1489" s="3"/>
      <c r="AG1489" s="3"/>
      <c r="AH1489" s="3"/>
      <c r="AI1489" s="3"/>
      <c r="AJ1489" s="3"/>
      <c r="AK1489" s="3"/>
      <c r="AL1489" s="3"/>
    </row>
    <row r="1490" ht="15.75" customHeight="1">
      <c r="A1490" s="27">
        <f t="shared" si="21"/>
        <v>369</v>
      </c>
      <c r="B1490" s="121" t="s">
        <v>5053</v>
      </c>
      <c r="C1490" s="121" t="s">
        <v>5131</v>
      </c>
      <c r="D1490" s="119" t="s">
        <v>5138</v>
      </c>
      <c r="E1490" s="121" t="s">
        <v>5001</v>
      </c>
      <c r="F1490" s="121" t="s">
        <v>4823</v>
      </c>
      <c r="G1490" s="121" t="s">
        <v>37</v>
      </c>
      <c r="H1490" s="83"/>
      <c r="I1490" s="121" t="s">
        <v>38</v>
      </c>
      <c r="J1490" s="121">
        <v>400.0</v>
      </c>
      <c r="K1490" s="83"/>
      <c r="L1490" s="121" t="s">
        <v>5133</v>
      </c>
      <c r="M1490" s="121" t="s">
        <v>5056</v>
      </c>
      <c r="N1490" s="121">
        <v>1998.0</v>
      </c>
      <c r="O1490" s="121">
        <v>18.0</v>
      </c>
      <c r="P1490" s="121">
        <v>1.0</v>
      </c>
      <c r="Q1490" s="121">
        <v>1.0</v>
      </c>
      <c r="R1490" s="84"/>
      <c r="S1490" s="40"/>
      <c r="T1490" s="40"/>
      <c r="U1490" s="40"/>
      <c r="V1490" s="40"/>
      <c r="W1490" s="40"/>
      <c r="X1490" s="40"/>
      <c r="Y1490" s="45"/>
      <c r="Z1490" s="45"/>
      <c r="AA1490" s="45"/>
      <c r="AB1490" s="45"/>
      <c r="AC1490" s="45"/>
      <c r="AD1490" s="45"/>
      <c r="AE1490" s="45"/>
      <c r="AF1490" s="45"/>
      <c r="AG1490" s="45"/>
      <c r="AH1490" s="45"/>
      <c r="AI1490" s="45"/>
      <c r="AJ1490" s="45"/>
      <c r="AK1490" s="45"/>
      <c r="AL1490" s="45"/>
    </row>
    <row r="1491" ht="15.75" customHeight="1">
      <c r="A1491" s="27">
        <f t="shared" si="21"/>
        <v>370</v>
      </c>
      <c r="B1491" s="121" t="s">
        <v>5053</v>
      </c>
      <c r="C1491" s="121" t="s">
        <v>5131</v>
      </c>
      <c r="D1491" s="119" t="s">
        <v>5139</v>
      </c>
      <c r="E1491" s="121" t="s">
        <v>5001</v>
      </c>
      <c r="F1491" s="121" t="s">
        <v>4823</v>
      </c>
      <c r="G1491" s="121" t="s">
        <v>37</v>
      </c>
      <c r="H1491" s="83"/>
      <c r="I1491" s="121" t="s">
        <v>38</v>
      </c>
      <c r="J1491" s="121">
        <v>200.0</v>
      </c>
      <c r="K1491" s="83"/>
      <c r="L1491" s="121" t="s">
        <v>5133</v>
      </c>
      <c r="M1491" s="121" t="s">
        <v>5056</v>
      </c>
      <c r="N1491" s="121">
        <v>1998.0</v>
      </c>
      <c r="O1491" s="121">
        <v>18.0</v>
      </c>
      <c r="P1491" s="121">
        <v>1.0</v>
      </c>
      <c r="Q1491" s="121">
        <v>1.0</v>
      </c>
      <c r="R1491" s="84"/>
      <c r="S1491" s="40"/>
      <c r="T1491" s="40"/>
      <c r="U1491" s="40"/>
      <c r="V1491" s="40"/>
      <c r="W1491" s="40"/>
      <c r="X1491" s="40"/>
      <c r="Y1491" s="45"/>
      <c r="Z1491" s="45"/>
      <c r="AA1491" s="45"/>
      <c r="AB1491" s="45"/>
      <c r="AC1491" s="45"/>
      <c r="AD1491" s="45"/>
      <c r="AE1491" s="45"/>
      <c r="AF1491" s="45"/>
      <c r="AG1491" s="45"/>
      <c r="AH1491" s="45"/>
      <c r="AI1491" s="45"/>
      <c r="AJ1491" s="45"/>
      <c r="AK1491" s="45"/>
      <c r="AL1491" s="45"/>
    </row>
    <row r="1492" ht="15.75" customHeight="1">
      <c r="A1492" s="27">
        <f t="shared" si="21"/>
        <v>371</v>
      </c>
      <c r="B1492" s="121" t="s">
        <v>5053</v>
      </c>
      <c r="C1492" s="121" t="s">
        <v>5131</v>
      </c>
      <c r="D1492" s="119" t="s">
        <v>5140</v>
      </c>
      <c r="E1492" s="121" t="s">
        <v>5001</v>
      </c>
      <c r="F1492" s="121" t="s">
        <v>4823</v>
      </c>
      <c r="G1492" s="121" t="s">
        <v>37</v>
      </c>
      <c r="H1492" s="83"/>
      <c r="I1492" s="121" t="s">
        <v>38</v>
      </c>
      <c r="J1492" s="121">
        <v>800.0</v>
      </c>
      <c r="K1492" s="83"/>
      <c r="L1492" s="121" t="s">
        <v>5133</v>
      </c>
      <c r="M1492" s="121" t="s">
        <v>5056</v>
      </c>
      <c r="N1492" s="121">
        <v>1997.0</v>
      </c>
      <c r="O1492" s="121">
        <v>18.0</v>
      </c>
      <c r="P1492" s="121">
        <v>1.0</v>
      </c>
      <c r="Q1492" s="121">
        <v>1.0</v>
      </c>
      <c r="R1492" s="84"/>
      <c r="S1492" s="40"/>
      <c r="T1492" s="40"/>
      <c r="U1492" s="40"/>
      <c r="V1492" s="40"/>
      <c r="W1492" s="40"/>
      <c r="X1492" s="40"/>
      <c r="Y1492" s="45"/>
      <c r="Z1492" s="45"/>
      <c r="AA1492" s="45"/>
      <c r="AB1492" s="45"/>
      <c r="AC1492" s="45"/>
      <c r="AD1492" s="45"/>
      <c r="AE1492" s="45"/>
      <c r="AF1492" s="45"/>
      <c r="AG1492" s="45"/>
      <c r="AH1492" s="45"/>
      <c r="AI1492" s="45"/>
      <c r="AJ1492" s="45"/>
      <c r="AK1492" s="45"/>
      <c r="AL1492" s="45"/>
    </row>
    <row r="1493" ht="15.75" customHeight="1">
      <c r="A1493" s="27">
        <f t="shared" si="21"/>
        <v>372</v>
      </c>
      <c r="B1493" s="121" t="s">
        <v>5053</v>
      </c>
      <c r="C1493" s="121" t="s">
        <v>5131</v>
      </c>
      <c r="D1493" s="119" t="s">
        <v>5141</v>
      </c>
      <c r="E1493" s="121" t="s">
        <v>5001</v>
      </c>
      <c r="F1493" s="121" t="s">
        <v>4823</v>
      </c>
      <c r="G1493" s="121" t="s">
        <v>37</v>
      </c>
      <c r="H1493" s="83"/>
      <c r="I1493" s="121" t="s">
        <v>38</v>
      </c>
      <c r="J1493" s="121">
        <v>600.0</v>
      </c>
      <c r="K1493" s="83"/>
      <c r="L1493" s="121" t="s">
        <v>5133</v>
      </c>
      <c r="M1493" s="121" t="s">
        <v>5056</v>
      </c>
      <c r="N1493" s="121">
        <v>1997.0</v>
      </c>
      <c r="O1493" s="121">
        <v>18.0</v>
      </c>
      <c r="P1493" s="121">
        <v>1.0</v>
      </c>
      <c r="Q1493" s="121">
        <v>1.0</v>
      </c>
      <c r="R1493" s="84"/>
      <c r="S1493" s="40"/>
      <c r="T1493" s="40"/>
      <c r="U1493" s="40"/>
      <c r="V1493" s="40"/>
      <c r="W1493" s="40"/>
      <c r="X1493" s="40"/>
      <c r="Y1493" s="45"/>
      <c r="Z1493" s="45"/>
      <c r="AA1493" s="45"/>
      <c r="AB1493" s="45"/>
      <c r="AC1493" s="45"/>
      <c r="AD1493" s="45"/>
      <c r="AE1493" s="45"/>
      <c r="AF1493" s="45"/>
      <c r="AG1493" s="45"/>
      <c r="AH1493" s="45"/>
      <c r="AI1493" s="45"/>
      <c r="AJ1493" s="45"/>
      <c r="AK1493" s="45"/>
      <c r="AL1493" s="45"/>
    </row>
    <row r="1494" ht="15.75" customHeight="1">
      <c r="A1494" s="27">
        <f t="shared" si="21"/>
        <v>373</v>
      </c>
      <c r="B1494" s="121" t="s">
        <v>5053</v>
      </c>
      <c r="C1494" s="121" t="s">
        <v>5131</v>
      </c>
      <c r="D1494" s="119" t="s">
        <v>5142</v>
      </c>
      <c r="E1494" s="121" t="s">
        <v>5001</v>
      </c>
      <c r="F1494" s="121" t="s">
        <v>4823</v>
      </c>
      <c r="G1494" s="121" t="s">
        <v>37</v>
      </c>
      <c r="H1494" s="83"/>
      <c r="I1494" s="121" t="s">
        <v>38</v>
      </c>
      <c r="J1494" s="121">
        <v>400.0</v>
      </c>
      <c r="K1494" s="83"/>
      <c r="L1494" s="121" t="s">
        <v>5133</v>
      </c>
      <c r="M1494" s="121" t="s">
        <v>5056</v>
      </c>
      <c r="N1494" s="121">
        <v>1997.0</v>
      </c>
      <c r="O1494" s="121">
        <v>18.0</v>
      </c>
      <c r="P1494" s="121">
        <v>1.0</v>
      </c>
      <c r="Q1494" s="121">
        <v>1.0</v>
      </c>
      <c r="R1494" s="84"/>
      <c r="S1494" s="40"/>
      <c r="T1494" s="40"/>
      <c r="U1494" s="40"/>
      <c r="V1494" s="40"/>
      <c r="W1494" s="40"/>
      <c r="X1494" s="40"/>
      <c r="Y1494" s="3"/>
      <c r="Z1494" s="3"/>
      <c r="AA1494" s="3"/>
      <c r="AB1494" s="3"/>
      <c r="AC1494" s="3"/>
      <c r="AD1494" s="3"/>
      <c r="AE1494" s="3"/>
      <c r="AF1494" s="3"/>
      <c r="AG1494" s="3"/>
      <c r="AH1494" s="3"/>
      <c r="AI1494" s="3"/>
      <c r="AJ1494" s="3"/>
      <c r="AK1494" s="3"/>
      <c r="AL1494" s="3"/>
    </row>
    <row r="1495" ht="15.75" customHeight="1">
      <c r="A1495" s="27">
        <f t="shared" si="21"/>
        <v>374</v>
      </c>
      <c r="B1495" s="121" t="s">
        <v>5053</v>
      </c>
      <c r="C1495" s="121" t="s">
        <v>5131</v>
      </c>
      <c r="D1495" s="119" t="s">
        <v>5143</v>
      </c>
      <c r="E1495" s="121" t="s">
        <v>5001</v>
      </c>
      <c r="F1495" s="121" t="s">
        <v>4823</v>
      </c>
      <c r="G1495" s="121" t="s">
        <v>37</v>
      </c>
      <c r="H1495" s="83"/>
      <c r="I1495" s="121" t="s">
        <v>38</v>
      </c>
      <c r="J1495" s="121">
        <v>800.0</v>
      </c>
      <c r="K1495" s="83"/>
      <c r="L1495" s="121" t="s">
        <v>5133</v>
      </c>
      <c r="M1495" s="121" t="s">
        <v>5056</v>
      </c>
      <c r="N1495" s="121">
        <v>1996.0</v>
      </c>
      <c r="O1495" s="121">
        <v>18.0</v>
      </c>
      <c r="P1495" s="121">
        <v>1.0</v>
      </c>
      <c r="Q1495" s="121">
        <v>1.0</v>
      </c>
      <c r="R1495" s="84"/>
      <c r="S1495" s="40"/>
      <c r="T1495" s="40"/>
      <c r="U1495" s="40"/>
      <c r="V1495" s="40"/>
      <c r="W1495" s="40"/>
      <c r="X1495" s="40"/>
      <c r="Y1495" s="45"/>
      <c r="Z1495" s="45"/>
      <c r="AA1495" s="45"/>
      <c r="AB1495" s="45"/>
      <c r="AC1495" s="45"/>
      <c r="AD1495" s="45"/>
      <c r="AE1495" s="45"/>
      <c r="AF1495" s="45"/>
      <c r="AG1495" s="45"/>
      <c r="AH1495" s="45"/>
      <c r="AI1495" s="45"/>
      <c r="AJ1495" s="45"/>
      <c r="AK1495" s="45"/>
      <c r="AL1495" s="45"/>
    </row>
    <row r="1496" ht="15.75" customHeight="1">
      <c r="A1496" s="27">
        <f t="shared" si="21"/>
        <v>375</v>
      </c>
      <c r="B1496" s="121" t="s">
        <v>5053</v>
      </c>
      <c r="C1496" s="121" t="s">
        <v>5131</v>
      </c>
      <c r="D1496" s="119" t="s">
        <v>5144</v>
      </c>
      <c r="E1496" s="121" t="s">
        <v>5001</v>
      </c>
      <c r="F1496" s="121" t="s">
        <v>4823</v>
      </c>
      <c r="G1496" s="121" t="s">
        <v>37</v>
      </c>
      <c r="H1496" s="83"/>
      <c r="I1496" s="121" t="s">
        <v>38</v>
      </c>
      <c r="J1496" s="121">
        <v>593.0</v>
      </c>
      <c r="K1496" s="83"/>
      <c r="L1496" s="121" t="s">
        <v>5133</v>
      </c>
      <c r="M1496" s="121" t="s">
        <v>5056</v>
      </c>
      <c r="N1496" s="121">
        <v>1996.0</v>
      </c>
      <c r="O1496" s="121">
        <v>18.0</v>
      </c>
      <c r="P1496" s="121">
        <v>1.0</v>
      </c>
      <c r="Q1496" s="121">
        <v>1.0</v>
      </c>
      <c r="R1496" s="84"/>
      <c r="S1496" s="40"/>
      <c r="T1496" s="40"/>
      <c r="U1496" s="40"/>
      <c r="V1496" s="40"/>
      <c r="W1496" s="40"/>
      <c r="X1496" s="40"/>
      <c r="Y1496" s="45"/>
      <c r="Z1496" s="45"/>
      <c r="AA1496" s="45"/>
      <c r="AB1496" s="45"/>
      <c r="AC1496" s="45"/>
      <c r="AD1496" s="45"/>
      <c r="AE1496" s="45"/>
      <c r="AF1496" s="45"/>
      <c r="AG1496" s="45"/>
      <c r="AH1496" s="45"/>
      <c r="AI1496" s="45"/>
      <c r="AJ1496" s="45"/>
      <c r="AK1496" s="45"/>
      <c r="AL1496" s="45"/>
    </row>
    <row r="1497" ht="15.75" customHeight="1">
      <c r="A1497" s="27">
        <f t="shared" si="21"/>
        <v>376</v>
      </c>
      <c r="B1497" s="121" t="s">
        <v>5053</v>
      </c>
      <c r="C1497" s="121" t="s">
        <v>5131</v>
      </c>
      <c r="D1497" s="119" t="s">
        <v>5145</v>
      </c>
      <c r="E1497" s="121" t="s">
        <v>5001</v>
      </c>
      <c r="F1497" s="121" t="s">
        <v>4823</v>
      </c>
      <c r="G1497" s="121" t="s">
        <v>37</v>
      </c>
      <c r="H1497" s="83"/>
      <c r="I1497" s="121" t="s">
        <v>38</v>
      </c>
      <c r="J1497" s="121">
        <v>400.0</v>
      </c>
      <c r="K1497" s="83"/>
      <c r="L1497" s="121" t="s">
        <v>5133</v>
      </c>
      <c r="M1497" s="121" t="s">
        <v>5056</v>
      </c>
      <c r="N1497" s="121">
        <v>1996.0</v>
      </c>
      <c r="O1497" s="121">
        <v>18.0</v>
      </c>
      <c r="P1497" s="121">
        <v>1.0</v>
      </c>
      <c r="Q1497" s="121">
        <v>1.0</v>
      </c>
      <c r="R1497" s="84"/>
      <c r="S1497" s="40"/>
      <c r="T1497" s="40"/>
      <c r="U1497" s="40"/>
      <c r="V1497" s="40"/>
      <c r="W1497" s="40"/>
      <c r="X1497" s="40"/>
      <c r="Y1497" s="45"/>
      <c r="Z1497" s="45"/>
      <c r="AA1497" s="45"/>
      <c r="AB1497" s="45"/>
      <c r="AC1497" s="45"/>
      <c r="AD1497" s="45"/>
      <c r="AE1497" s="45"/>
      <c r="AF1497" s="45"/>
      <c r="AG1497" s="45"/>
      <c r="AH1497" s="45"/>
      <c r="AI1497" s="45"/>
      <c r="AJ1497" s="45"/>
      <c r="AK1497" s="45"/>
      <c r="AL1497" s="45"/>
    </row>
    <row r="1498" ht="15.75" customHeight="1">
      <c r="A1498" s="27">
        <f t="shared" si="21"/>
        <v>377</v>
      </c>
      <c r="B1498" s="121" t="s">
        <v>5053</v>
      </c>
      <c r="C1498" s="121" t="s">
        <v>5131</v>
      </c>
      <c r="D1498" s="119" t="s">
        <v>5146</v>
      </c>
      <c r="E1498" s="121" t="s">
        <v>5001</v>
      </c>
      <c r="F1498" s="121" t="s">
        <v>4823</v>
      </c>
      <c r="G1498" s="121" t="s">
        <v>37</v>
      </c>
      <c r="H1498" s="83"/>
      <c r="I1498" s="121" t="s">
        <v>38</v>
      </c>
      <c r="J1498" s="121">
        <v>200.0</v>
      </c>
      <c r="K1498" s="83"/>
      <c r="L1498" s="121" t="s">
        <v>5133</v>
      </c>
      <c r="M1498" s="121" t="s">
        <v>5056</v>
      </c>
      <c r="N1498" s="121">
        <v>1996.0</v>
      </c>
      <c r="O1498" s="121">
        <v>18.0</v>
      </c>
      <c r="P1498" s="121">
        <v>1.0</v>
      </c>
      <c r="Q1498" s="121">
        <v>1.0</v>
      </c>
      <c r="R1498" s="84"/>
      <c r="S1498" s="40"/>
      <c r="T1498" s="40"/>
      <c r="U1498" s="40"/>
      <c r="V1498" s="40"/>
      <c r="W1498" s="40"/>
      <c r="X1498" s="40"/>
      <c r="Y1498" s="3"/>
      <c r="Z1498" s="3"/>
      <c r="AA1498" s="3"/>
      <c r="AB1498" s="3"/>
      <c r="AC1498" s="3"/>
      <c r="AD1498" s="3"/>
      <c r="AE1498" s="3"/>
      <c r="AF1498" s="3"/>
      <c r="AG1498" s="3"/>
      <c r="AH1498" s="3"/>
      <c r="AI1498" s="3"/>
      <c r="AJ1498" s="3"/>
      <c r="AK1498" s="3"/>
      <c r="AL1498" s="3"/>
    </row>
    <row r="1499" ht="15.75" customHeight="1">
      <c r="A1499" s="27">
        <f t="shared" si="21"/>
        <v>378</v>
      </c>
      <c r="B1499" s="121" t="s">
        <v>5053</v>
      </c>
      <c r="C1499" s="121" t="s">
        <v>5131</v>
      </c>
      <c r="D1499" s="119" t="s">
        <v>5146</v>
      </c>
      <c r="E1499" s="121" t="s">
        <v>5001</v>
      </c>
      <c r="F1499" s="121" t="s">
        <v>4823</v>
      </c>
      <c r="G1499" s="121" t="s">
        <v>37</v>
      </c>
      <c r="H1499" s="83"/>
      <c r="I1499" s="121" t="s">
        <v>38</v>
      </c>
      <c r="J1499" s="121">
        <v>200.0</v>
      </c>
      <c r="K1499" s="83"/>
      <c r="L1499" s="121" t="s">
        <v>5133</v>
      </c>
      <c r="M1499" s="121" t="s">
        <v>5056</v>
      </c>
      <c r="N1499" s="121">
        <v>1996.0</v>
      </c>
      <c r="O1499" s="121">
        <v>18.0</v>
      </c>
      <c r="P1499" s="121">
        <v>1.0</v>
      </c>
      <c r="Q1499" s="121">
        <v>1.0</v>
      </c>
      <c r="R1499" s="84"/>
      <c r="S1499" s="40"/>
      <c r="T1499" s="40"/>
      <c r="U1499" s="40"/>
      <c r="V1499" s="40"/>
      <c r="W1499" s="40"/>
      <c r="X1499" s="40"/>
      <c r="Y1499" s="45"/>
      <c r="Z1499" s="45"/>
      <c r="AA1499" s="45"/>
      <c r="AB1499" s="45"/>
      <c r="AC1499" s="45"/>
      <c r="AD1499" s="45"/>
      <c r="AE1499" s="45"/>
      <c r="AF1499" s="45"/>
      <c r="AG1499" s="45"/>
      <c r="AH1499" s="45"/>
      <c r="AI1499" s="45"/>
      <c r="AJ1499" s="45"/>
      <c r="AK1499" s="45"/>
      <c r="AL1499" s="45"/>
    </row>
    <row r="1500" ht="15.75" customHeight="1">
      <c r="A1500" s="27">
        <f t="shared" si="21"/>
        <v>379</v>
      </c>
      <c r="B1500" s="121" t="s">
        <v>5053</v>
      </c>
      <c r="C1500" s="121" t="s">
        <v>5131</v>
      </c>
      <c r="D1500" s="119" t="s">
        <v>5147</v>
      </c>
      <c r="E1500" s="121" t="s">
        <v>5001</v>
      </c>
      <c r="F1500" s="121" t="s">
        <v>4823</v>
      </c>
      <c r="G1500" s="121" t="s">
        <v>37</v>
      </c>
      <c r="H1500" s="83"/>
      <c r="I1500" s="121" t="s">
        <v>38</v>
      </c>
      <c r="J1500" s="121">
        <v>784.0</v>
      </c>
      <c r="K1500" s="83"/>
      <c r="L1500" s="121" t="s">
        <v>5133</v>
      </c>
      <c r="M1500" s="121" t="s">
        <v>5056</v>
      </c>
      <c r="N1500" s="121">
        <v>1995.0</v>
      </c>
      <c r="O1500" s="121">
        <v>18.0</v>
      </c>
      <c r="P1500" s="121">
        <v>1.0</v>
      </c>
      <c r="Q1500" s="121">
        <v>1.0</v>
      </c>
      <c r="R1500" s="84"/>
      <c r="S1500" s="40"/>
      <c r="T1500" s="40"/>
      <c r="U1500" s="40"/>
      <c r="V1500" s="40"/>
      <c r="W1500" s="40"/>
      <c r="X1500" s="40"/>
      <c r="Y1500" s="45"/>
      <c r="Z1500" s="45"/>
      <c r="AA1500" s="45"/>
      <c r="AB1500" s="45"/>
      <c r="AC1500" s="45"/>
      <c r="AD1500" s="45"/>
      <c r="AE1500" s="45"/>
      <c r="AF1500" s="45"/>
      <c r="AG1500" s="45"/>
      <c r="AH1500" s="45"/>
      <c r="AI1500" s="45"/>
      <c r="AJ1500" s="45"/>
      <c r="AK1500" s="45"/>
      <c r="AL1500" s="45"/>
    </row>
    <row r="1501" ht="15.75" customHeight="1">
      <c r="A1501" s="27">
        <f t="shared" si="21"/>
        <v>380</v>
      </c>
      <c r="B1501" s="121" t="s">
        <v>5053</v>
      </c>
      <c r="C1501" s="121" t="s">
        <v>5131</v>
      </c>
      <c r="D1501" s="119" t="s">
        <v>5148</v>
      </c>
      <c r="E1501" s="121" t="s">
        <v>5001</v>
      </c>
      <c r="F1501" s="121" t="s">
        <v>4823</v>
      </c>
      <c r="G1501" s="121" t="s">
        <v>37</v>
      </c>
      <c r="H1501" s="83"/>
      <c r="I1501" s="121" t="s">
        <v>38</v>
      </c>
      <c r="J1501" s="121">
        <v>583.0</v>
      </c>
      <c r="K1501" s="83"/>
      <c r="L1501" s="121" t="s">
        <v>5133</v>
      </c>
      <c r="M1501" s="121" t="s">
        <v>5056</v>
      </c>
      <c r="N1501" s="121">
        <v>1995.0</v>
      </c>
      <c r="O1501" s="121">
        <v>18.0</v>
      </c>
      <c r="P1501" s="121">
        <v>1.0</v>
      </c>
      <c r="Q1501" s="121">
        <v>1.0</v>
      </c>
      <c r="R1501" s="84"/>
      <c r="S1501" s="40"/>
      <c r="T1501" s="40"/>
      <c r="U1501" s="40"/>
      <c r="V1501" s="40"/>
      <c r="W1501" s="40"/>
      <c r="X1501" s="40"/>
      <c r="Y1501" s="45"/>
      <c r="Z1501" s="45"/>
      <c r="AA1501" s="45"/>
      <c r="AB1501" s="45"/>
      <c r="AC1501" s="45"/>
      <c r="AD1501" s="45"/>
      <c r="AE1501" s="45"/>
      <c r="AF1501" s="45"/>
      <c r="AG1501" s="45"/>
      <c r="AH1501" s="45"/>
      <c r="AI1501" s="45"/>
      <c r="AJ1501" s="45"/>
      <c r="AK1501" s="45"/>
      <c r="AL1501" s="45"/>
    </row>
    <row r="1502" ht="15.75" customHeight="1">
      <c r="A1502" s="27">
        <f t="shared" si="21"/>
        <v>381</v>
      </c>
      <c r="B1502" s="121" t="s">
        <v>5053</v>
      </c>
      <c r="C1502" s="121" t="s">
        <v>5131</v>
      </c>
      <c r="D1502" s="119" t="s">
        <v>5149</v>
      </c>
      <c r="E1502" s="121" t="s">
        <v>5001</v>
      </c>
      <c r="F1502" s="121" t="s">
        <v>4823</v>
      </c>
      <c r="G1502" s="121" t="s">
        <v>37</v>
      </c>
      <c r="H1502" s="83"/>
      <c r="I1502" s="121" t="s">
        <v>38</v>
      </c>
      <c r="J1502" s="121">
        <v>184.0</v>
      </c>
      <c r="K1502" s="83"/>
      <c r="L1502" s="121" t="s">
        <v>5133</v>
      </c>
      <c r="M1502" s="121" t="s">
        <v>5056</v>
      </c>
      <c r="N1502" s="121">
        <v>1995.0</v>
      </c>
      <c r="O1502" s="121">
        <v>18.0</v>
      </c>
      <c r="P1502" s="121">
        <v>1.0</v>
      </c>
      <c r="Q1502" s="121">
        <v>1.0</v>
      </c>
      <c r="R1502" s="84"/>
      <c r="S1502" s="40"/>
      <c r="T1502" s="40"/>
      <c r="U1502" s="40"/>
      <c r="V1502" s="40"/>
      <c r="W1502" s="40"/>
      <c r="X1502" s="40"/>
      <c r="Y1502" s="45"/>
      <c r="Z1502" s="45"/>
      <c r="AA1502" s="45"/>
      <c r="AB1502" s="45"/>
      <c r="AC1502" s="45"/>
      <c r="AD1502" s="45"/>
      <c r="AE1502" s="45"/>
      <c r="AF1502" s="45"/>
      <c r="AG1502" s="45"/>
      <c r="AH1502" s="45"/>
      <c r="AI1502" s="45"/>
      <c r="AJ1502" s="45"/>
      <c r="AK1502" s="45"/>
      <c r="AL1502" s="45"/>
    </row>
    <row r="1503" ht="15.75" customHeight="1">
      <c r="A1503" s="27">
        <f t="shared" si="21"/>
        <v>382</v>
      </c>
      <c r="B1503" s="121" t="s">
        <v>5150</v>
      </c>
      <c r="C1503" s="121" t="s">
        <v>5151</v>
      </c>
      <c r="D1503" s="119" t="s">
        <v>5152</v>
      </c>
      <c r="E1503" s="121" t="s">
        <v>5013</v>
      </c>
      <c r="F1503" s="121" t="s">
        <v>4823</v>
      </c>
      <c r="G1503" s="121" t="s">
        <v>37</v>
      </c>
      <c r="H1503" s="83"/>
      <c r="I1503" s="121" t="s">
        <v>38</v>
      </c>
      <c r="J1503" s="121">
        <v>224.0</v>
      </c>
      <c r="K1503" s="83"/>
      <c r="L1503" s="121" t="s">
        <v>5014</v>
      </c>
      <c r="M1503" s="121" t="s">
        <v>4207</v>
      </c>
      <c r="N1503" s="121">
        <v>2012.0</v>
      </c>
      <c r="O1503" s="121">
        <v>18.0</v>
      </c>
      <c r="P1503" s="121">
        <v>1.0</v>
      </c>
      <c r="Q1503" s="121">
        <v>1.0</v>
      </c>
      <c r="R1503" s="84"/>
      <c r="S1503" s="40"/>
      <c r="T1503" s="40"/>
      <c r="U1503" s="40"/>
      <c r="V1503" s="40"/>
      <c r="W1503" s="40"/>
      <c r="X1503" s="40"/>
      <c r="Y1503" s="45"/>
      <c r="Z1503" s="45"/>
      <c r="AA1503" s="45"/>
      <c r="AB1503" s="45"/>
      <c r="AC1503" s="45"/>
      <c r="AD1503" s="45"/>
      <c r="AE1503" s="45"/>
      <c r="AF1503" s="45"/>
      <c r="AG1503" s="45"/>
      <c r="AH1503" s="45"/>
      <c r="AI1503" s="45"/>
      <c r="AJ1503" s="45"/>
      <c r="AK1503" s="45"/>
      <c r="AL1503" s="45"/>
    </row>
    <row r="1504" ht="15.75" customHeight="1">
      <c r="A1504" s="27">
        <f t="shared" si="21"/>
        <v>383</v>
      </c>
      <c r="B1504" s="83"/>
      <c r="C1504" s="121" t="s">
        <v>5151</v>
      </c>
      <c r="D1504" s="119" t="s">
        <v>5153</v>
      </c>
      <c r="E1504" s="121" t="s">
        <v>5013</v>
      </c>
      <c r="F1504" s="121" t="s">
        <v>4823</v>
      </c>
      <c r="G1504" s="121" t="s">
        <v>37</v>
      </c>
      <c r="H1504" s="83"/>
      <c r="I1504" s="121" t="s">
        <v>38</v>
      </c>
      <c r="J1504" s="121">
        <v>108.0</v>
      </c>
      <c r="K1504" s="83"/>
      <c r="L1504" s="121" t="s">
        <v>5014</v>
      </c>
      <c r="M1504" s="121" t="s">
        <v>4207</v>
      </c>
      <c r="N1504" s="121">
        <v>2012.0</v>
      </c>
      <c r="O1504" s="121">
        <v>18.0</v>
      </c>
      <c r="P1504" s="121">
        <v>1.0</v>
      </c>
      <c r="Q1504" s="121">
        <v>1.0</v>
      </c>
      <c r="R1504" s="84"/>
      <c r="S1504" s="40"/>
      <c r="T1504" s="40"/>
      <c r="U1504" s="40"/>
      <c r="V1504" s="40"/>
      <c r="W1504" s="40"/>
      <c r="X1504" s="40"/>
      <c r="Y1504" s="3"/>
      <c r="Z1504" s="3"/>
      <c r="AA1504" s="3"/>
      <c r="AB1504" s="3"/>
      <c r="AC1504" s="3"/>
      <c r="AD1504" s="3"/>
      <c r="AE1504" s="3"/>
      <c r="AF1504" s="3"/>
      <c r="AG1504" s="3"/>
      <c r="AH1504" s="3"/>
      <c r="AI1504" s="3"/>
      <c r="AJ1504" s="3"/>
      <c r="AK1504" s="3"/>
      <c r="AL1504" s="3"/>
    </row>
    <row r="1505" ht="15.75" customHeight="1">
      <c r="A1505" s="27">
        <f t="shared" si="21"/>
        <v>384</v>
      </c>
      <c r="B1505" s="121" t="s">
        <v>5154</v>
      </c>
      <c r="C1505" s="121" t="s">
        <v>5155</v>
      </c>
      <c r="D1505" s="176" t="s">
        <v>5156</v>
      </c>
      <c r="E1505" s="121" t="s">
        <v>5157</v>
      </c>
      <c r="F1505" s="121" t="s">
        <v>29</v>
      </c>
      <c r="G1505" s="121" t="s">
        <v>37</v>
      </c>
      <c r="H1505" s="83"/>
      <c r="I1505" s="121" t="s">
        <v>38</v>
      </c>
      <c r="J1505" s="121">
        <v>74.0</v>
      </c>
      <c r="K1505" s="83"/>
      <c r="L1505" s="121" t="s">
        <v>5158</v>
      </c>
      <c r="M1505" s="121" t="s">
        <v>5159</v>
      </c>
      <c r="N1505" s="121">
        <v>1997.0</v>
      </c>
      <c r="O1505" s="121">
        <v>18.0</v>
      </c>
      <c r="P1505" s="121">
        <v>2.0</v>
      </c>
      <c r="Q1505" s="121">
        <v>2.0</v>
      </c>
      <c r="R1505" s="84"/>
      <c r="S1505" s="40"/>
      <c r="T1505" s="40"/>
      <c r="U1505" s="40"/>
      <c r="V1505" s="40"/>
      <c r="W1505" s="40"/>
      <c r="X1505" s="40"/>
      <c r="Y1505" s="45"/>
      <c r="Z1505" s="45"/>
      <c r="AA1505" s="45"/>
      <c r="AB1505" s="45"/>
      <c r="AC1505" s="45"/>
      <c r="AD1505" s="45"/>
      <c r="AE1505" s="45"/>
      <c r="AF1505" s="45"/>
      <c r="AG1505" s="45"/>
      <c r="AH1505" s="45"/>
      <c r="AI1505" s="45"/>
      <c r="AJ1505" s="45"/>
      <c r="AK1505" s="45"/>
      <c r="AL1505" s="45"/>
    </row>
    <row r="1506" ht="15.75" customHeight="1">
      <c r="A1506" s="27">
        <f t="shared" si="21"/>
        <v>385</v>
      </c>
      <c r="B1506" s="121" t="s">
        <v>5154</v>
      </c>
      <c r="C1506" s="121" t="s">
        <v>5155</v>
      </c>
      <c r="D1506" s="176" t="s">
        <v>5160</v>
      </c>
      <c r="E1506" s="121" t="s">
        <v>5157</v>
      </c>
      <c r="F1506" s="121" t="s">
        <v>29</v>
      </c>
      <c r="G1506" s="121" t="s">
        <v>37</v>
      </c>
      <c r="H1506" s="83"/>
      <c r="I1506" s="121" t="s">
        <v>38</v>
      </c>
      <c r="J1506" s="121">
        <v>93.0</v>
      </c>
      <c r="K1506" s="83"/>
      <c r="L1506" s="121" t="s">
        <v>5158</v>
      </c>
      <c r="M1506" s="121" t="s">
        <v>5159</v>
      </c>
      <c r="N1506" s="121">
        <v>1997.0</v>
      </c>
      <c r="O1506" s="121">
        <v>18.0</v>
      </c>
      <c r="P1506" s="121">
        <v>2.0</v>
      </c>
      <c r="Q1506" s="121">
        <v>2.0</v>
      </c>
      <c r="R1506" s="84"/>
      <c r="S1506" s="40"/>
      <c r="T1506" s="40"/>
      <c r="U1506" s="40"/>
      <c r="V1506" s="40"/>
      <c r="W1506" s="40"/>
      <c r="X1506" s="40"/>
      <c r="Y1506" s="3"/>
      <c r="Z1506" s="3"/>
      <c r="AA1506" s="3"/>
      <c r="AB1506" s="3"/>
      <c r="AC1506" s="3"/>
      <c r="AD1506" s="3"/>
      <c r="AE1506" s="3"/>
      <c r="AF1506" s="3"/>
      <c r="AG1506" s="3"/>
      <c r="AH1506" s="3"/>
      <c r="AI1506" s="3"/>
      <c r="AJ1506" s="3"/>
      <c r="AK1506" s="3"/>
      <c r="AL1506" s="3"/>
    </row>
    <row r="1507" ht="15.75" customHeight="1">
      <c r="A1507" s="27">
        <f t="shared" si="21"/>
        <v>386</v>
      </c>
      <c r="B1507" s="121" t="s">
        <v>5154</v>
      </c>
      <c r="C1507" s="121" t="s">
        <v>5155</v>
      </c>
      <c r="D1507" s="176" t="s">
        <v>5161</v>
      </c>
      <c r="E1507" s="121" t="s">
        <v>5157</v>
      </c>
      <c r="F1507" s="121" t="s">
        <v>29</v>
      </c>
      <c r="G1507" s="121" t="s">
        <v>37</v>
      </c>
      <c r="H1507" s="83"/>
      <c r="I1507" s="121" t="s">
        <v>38</v>
      </c>
      <c r="J1507" s="121">
        <v>113.0</v>
      </c>
      <c r="K1507" s="83"/>
      <c r="L1507" s="121" t="s">
        <v>5158</v>
      </c>
      <c r="M1507" s="121" t="s">
        <v>5159</v>
      </c>
      <c r="N1507" s="121">
        <v>1996.0</v>
      </c>
      <c r="O1507" s="121">
        <v>18.0</v>
      </c>
      <c r="P1507" s="121">
        <v>1.0</v>
      </c>
      <c r="Q1507" s="121">
        <v>1.0</v>
      </c>
      <c r="R1507" s="84"/>
      <c r="S1507" s="40"/>
      <c r="T1507" s="40"/>
      <c r="U1507" s="40"/>
      <c r="V1507" s="40"/>
      <c r="W1507" s="40"/>
      <c r="X1507" s="40"/>
      <c r="Y1507" s="45"/>
      <c r="Z1507" s="45"/>
      <c r="AA1507" s="45"/>
      <c r="AB1507" s="45"/>
      <c r="AC1507" s="45"/>
      <c r="AD1507" s="45"/>
      <c r="AE1507" s="45"/>
      <c r="AF1507" s="45"/>
      <c r="AG1507" s="45"/>
      <c r="AH1507" s="45"/>
      <c r="AI1507" s="45"/>
      <c r="AJ1507" s="45"/>
      <c r="AK1507" s="45"/>
      <c r="AL1507" s="45"/>
    </row>
    <row r="1508" ht="15.75" customHeight="1">
      <c r="A1508" s="27">
        <f t="shared" si="21"/>
        <v>387</v>
      </c>
      <c r="B1508" s="121" t="s">
        <v>5154</v>
      </c>
      <c r="C1508" s="121" t="s">
        <v>5155</v>
      </c>
      <c r="D1508" s="176" t="s">
        <v>5162</v>
      </c>
      <c r="E1508" s="121" t="s">
        <v>5157</v>
      </c>
      <c r="F1508" s="121" t="s">
        <v>29</v>
      </c>
      <c r="G1508" s="121" t="s">
        <v>37</v>
      </c>
      <c r="H1508" s="83"/>
      <c r="I1508" s="121" t="s">
        <v>38</v>
      </c>
      <c r="J1508" s="121">
        <v>100.0</v>
      </c>
      <c r="K1508" s="83"/>
      <c r="L1508" s="121" t="s">
        <v>5158</v>
      </c>
      <c r="M1508" s="121" t="s">
        <v>5159</v>
      </c>
      <c r="N1508" s="121">
        <v>1995.0</v>
      </c>
      <c r="O1508" s="121">
        <v>18.0</v>
      </c>
      <c r="P1508" s="121">
        <v>1.0</v>
      </c>
      <c r="Q1508" s="121">
        <v>1.0</v>
      </c>
      <c r="R1508" s="84"/>
      <c r="S1508" s="40"/>
      <c r="T1508" s="40"/>
      <c r="U1508" s="40"/>
      <c r="V1508" s="40"/>
      <c r="W1508" s="40"/>
      <c r="X1508" s="40"/>
      <c r="Y1508" s="3"/>
      <c r="Z1508" s="3"/>
      <c r="AA1508" s="3"/>
      <c r="AB1508" s="3"/>
      <c r="AC1508" s="3"/>
      <c r="AD1508" s="3"/>
      <c r="AE1508" s="3"/>
      <c r="AF1508" s="3"/>
      <c r="AG1508" s="3"/>
      <c r="AH1508" s="3"/>
      <c r="AI1508" s="3"/>
      <c r="AJ1508" s="3"/>
      <c r="AK1508" s="3"/>
      <c r="AL1508" s="3"/>
    </row>
    <row r="1509" ht="15.75" customHeight="1">
      <c r="A1509" s="27">
        <f t="shared" si="21"/>
        <v>388</v>
      </c>
      <c r="B1509" s="121" t="s">
        <v>5154</v>
      </c>
      <c r="C1509" s="121" t="s">
        <v>5155</v>
      </c>
      <c r="D1509" s="176" t="s">
        <v>5163</v>
      </c>
      <c r="E1509" s="121" t="s">
        <v>5157</v>
      </c>
      <c r="F1509" s="121" t="s">
        <v>29</v>
      </c>
      <c r="G1509" s="121" t="s">
        <v>37</v>
      </c>
      <c r="H1509" s="83"/>
      <c r="I1509" s="121" t="s">
        <v>38</v>
      </c>
      <c r="J1509" s="121">
        <v>86.0</v>
      </c>
      <c r="K1509" s="83"/>
      <c r="L1509" s="121" t="s">
        <v>5158</v>
      </c>
      <c r="M1509" s="121" t="s">
        <v>5159</v>
      </c>
      <c r="N1509" s="121">
        <v>1995.0</v>
      </c>
      <c r="O1509" s="121">
        <v>18.0</v>
      </c>
      <c r="P1509" s="121">
        <v>1.0</v>
      </c>
      <c r="Q1509" s="121">
        <v>1.0</v>
      </c>
      <c r="R1509" s="84"/>
      <c r="S1509" s="40"/>
      <c r="T1509" s="40"/>
      <c r="U1509" s="40"/>
      <c r="V1509" s="40"/>
      <c r="W1509" s="40"/>
      <c r="X1509" s="40"/>
      <c r="Y1509" s="45"/>
      <c r="Z1509" s="45"/>
      <c r="AA1509" s="45"/>
      <c r="AB1509" s="45"/>
      <c r="AC1509" s="45"/>
      <c r="AD1509" s="45"/>
      <c r="AE1509" s="45"/>
      <c r="AF1509" s="45"/>
      <c r="AG1509" s="45"/>
      <c r="AH1509" s="45"/>
      <c r="AI1509" s="45"/>
      <c r="AJ1509" s="45"/>
      <c r="AK1509" s="45"/>
      <c r="AL1509" s="45"/>
    </row>
    <row r="1510" ht="15.75" customHeight="1">
      <c r="A1510" s="27">
        <f t="shared" si="21"/>
        <v>389</v>
      </c>
      <c r="B1510" s="121" t="s">
        <v>5154</v>
      </c>
      <c r="C1510" s="121" t="s">
        <v>5155</v>
      </c>
      <c r="D1510" s="176" t="s">
        <v>5164</v>
      </c>
      <c r="E1510" s="121" t="s">
        <v>5157</v>
      </c>
      <c r="F1510" s="121" t="s">
        <v>29</v>
      </c>
      <c r="G1510" s="121" t="s">
        <v>37</v>
      </c>
      <c r="H1510" s="83"/>
      <c r="I1510" s="121" t="s">
        <v>38</v>
      </c>
      <c r="J1510" s="121">
        <v>109.0</v>
      </c>
      <c r="K1510" s="83"/>
      <c r="L1510" s="121" t="s">
        <v>5158</v>
      </c>
      <c r="M1510" s="121" t="s">
        <v>5159</v>
      </c>
      <c r="N1510" s="121">
        <v>1995.0</v>
      </c>
      <c r="O1510" s="121">
        <v>18.0</v>
      </c>
      <c r="P1510" s="121">
        <v>2.0</v>
      </c>
      <c r="Q1510" s="121">
        <v>2.0</v>
      </c>
      <c r="R1510" s="84"/>
      <c r="S1510" s="40"/>
      <c r="T1510" s="40"/>
      <c r="U1510" s="40"/>
      <c r="V1510" s="40"/>
      <c r="W1510" s="40"/>
      <c r="X1510" s="40"/>
      <c r="Y1510" s="45"/>
      <c r="Z1510" s="45"/>
      <c r="AA1510" s="45"/>
      <c r="AB1510" s="45"/>
      <c r="AC1510" s="45"/>
      <c r="AD1510" s="45"/>
      <c r="AE1510" s="45"/>
      <c r="AF1510" s="45"/>
      <c r="AG1510" s="45"/>
      <c r="AH1510" s="45"/>
      <c r="AI1510" s="45"/>
      <c r="AJ1510" s="45"/>
      <c r="AK1510" s="45"/>
      <c r="AL1510" s="45"/>
    </row>
    <row r="1511" ht="15.75" customHeight="1">
      <c r="A1511" s="27">
        <f t="shared" si="21"/>
        <v>390</v>
      </c>
      <c r="B1511" s="121" t="s">
        <v>5154</v>
      </c>
      <c r="C1511" s="121" t="s">
        <v>5155</v>
      </c>
      <c r="D1511" s="176" t="s">
        <v>5165</v>
      </c>
      <c r="E1511" s="121" t="s">
        <v>5157</v>
      </c>
      <c r="F1511" s="121" t="s">
        <v>29</v>
      </c>
      <c r="G1511" s="121" t="s">
        <v>37</v>
      </c>
      <c r="H1511" s="83"/>
      <c r="I1511" s="121" t="s">
        <v>38</v>
      </c>
      <c r="J1511" s="121">
        <v>287.0</v>
      </c>
      <c r="K1511" s="83"/>
      <c r="L1511" s="121" t="s">
        <v>5158</v>
      </c>
      <c r="M1511" s="121" t="s">
        <v>5159</v>
      </c>
      <c r="N1511" s="121">
        <v>1993.0</v>
      </c>
      <c r="O1511" s="121">
        <v>18.0</v>
      </c>
      <c r="P1511" s="121">
        <v>1.0</v>
      </c>
      <c r="Q1511" s="121">
        <v>1.0</v>
      </c>
      <c r="R1511" s="84"/>
      <c r="S1511" s="40"/>
      <c r="T1511" s="40"/>
      <c r="U1511" s="40"/>
      <c r="V1511" s="40"/>
      <c r="W1511" s="40"/>
      <c r="X1511" s="40"/>
      <c r="Y1511" s="45"/>
      <c r="Z1511" s="45"/>
      <c r="AA1511" s="45"/>
      <c r="AB1511" s="45"/>
      <c r="AC1511" s="45"/>
      <c r="AD1511" s="45"/>
      <c r="AE1511" s="45"/>
      <c r="AF1511" s="45"/>
      <c r="AG1511" s="45"/>
      <c r="AH1511" s="45"/>
      <c r="AI1511" s="45"/>
      <c r="AJ1511" s="45"/>
      <c r="AK1511" s="45"/>
      <c r="AL1511" s="45"/>
    </row>
    <row r="1512" ht="15.75" customHeight="1">
      <c r="A1512" s="27">
        <f t="shared" si="21"/>
        <v>391</v>
      </c>
      <c r="B1512" s="121" t="s">
        <v>5154</v>
      </c>
      <c r="C1512" s="121" t="s">
        <v>5155</v>
      </c>
      <c r="D1512" s="176" t="s">
        <v>5166</v>
      </c>
      <c r="E1512" s="121" t="s">
        <v>5157</v>
      </c>
      <c r="F1512" s="121" t="s">
        <v>29</v>
      </c>
      <c r="G1512" s="121" t="s">
        <v>37</v>
      </c>
      <c r="H1512" s="83"/>
      <c r="I1512" s="121" t="s">
        <v>38</v>
      </c>
      <c r="J1512" s="121">
        <v>106.0</v>
      </c>
      <c r="K1512" s="83"/>
      <c r="L1512" s="121" t="s">
        <v>5158</v>
      </c>
      <c r="M1512" s="121" t="s">
        <v>5159</v>
      </c>
      <c r="N1512" s="121">
        <v>2000.0</v>
      </c>
      <c r="O1512" s="121">
        <v>18.0</v>
      </c>
      <c r="P1512" s="121">
        <v>2.0</v>
      </c>
      <c r="Q1512" s="121">
        <v>2.0</v>
      </c>
      <c r="R1512" s="84"/>
      <c r="S1512" s="40"/>
      <c r="T1512" s="40"/>
      <c r="U1512" s="40"/>
      <c r="V1512" s="40"/>
      <c r="W1512" s="40"/>
      <c r="X1512" s="40"/>
      <c r="Y1512" s="45"/>
      <c r="Z1512" s="45"/>
      <c r="AA1512" s="45"/>
      <c r="AB1512" s="45"/>
      <c r="AC1512" s="45"/>
      <c r="AD1512" s="45"/>
      <c r="AE1512" s="45"/>
      <c r="AF1512" s="45"/>
      <c r="AG1512" s="45"/>
      <c r="AH1512" s="45"/>
      <c r="AI1512" s="45"/>
      <c r="AJ1512" s="45"/>
      <c r="AK1512" s="45"/>
      <c r="AL1512" s="45"/>
    </row>
    <row r="1513" ht="15.75" customHeight="1">
      <c r="A1513" s="27">
        <f t="shared" si="21"/>
        <v>392</v>
      </c>
      <c r="B1513" s="121" t="s">
        <v>5154</v>
      </c>
      <c r="C1513" s="121" t="s">
        <v>5155</v>
      </c>
      <c r="D1513" s="176" t="s">
        <v>5167</v>
      </c>
      <c r="E1513" s="121" t="s">
        <v>5157</v>
      </c>
      <c r="F1513" s="121" t="s">
        <v>29</v>
      </c>
      <c r="G1513" s="121" t="s">
        <v>37</v>
      </c>
      <c r="H1513" s="83"/>
      <c r="I1513" s="121" t="s">
        <v>38</v>
      </c>
      <c r="J1513" s="121">
        <v>97.0</v>
      </c>
      <c r="K1513" s="83"/>
      <c r="L1513" s="121" t="s">
        <v>5158</v>
      </c>
      <c r="M1513" s="121" t="s">
        <v>5159</v>
      </c>
      <c r="N1513" s="121">
        <v>1999.0</v>
      </c>
      <c r="O1513" s="121">
        <v>18.0</v>
      </c>
      <c r="P1513" s="121">
        <v>2.0</v>
      </c>
      <c r="Q1513" s="121">
        <v>2.0</v>
      </c>
      <c r="R1513" s="84"/>
      <c r="S1513" s="40"/>
      <c r="T1513" s="40"/>
      <c r="U1513" s="40"/>
      <c r="V1513" s="40"/>
      <c r="W1513" s="40"/>
      <c r="X1513" s="40"/>
      <c r="Y1513" s="45"/>
      <c r="Z1513" s="45"/>
      <c r="AA1513" s="45"/>
      <c r="AB1513" s="45"/>
      <c r="AC1513" s="45"/>
      <c r="AD1513" s="45"/>
      <c r="AE1513" s="45"/>
      <c r="AF1513" s="45"/>
      <c r="AG1513" s="45"/>
      <c r="AH1513" s="45"/>
      <c r="AI1513" s="45"/>
      <c r="AJ1513" s="45"/>
      <c r="AK1513" s="45"/>
      <c r="AL1513" s="45"/>
    </row>
    <row r="1514" ht="15.75" customHeight="1">
      <c r="A1514" s="27">
        <f t="shared" si="21"/>
        <v>393</v>
      </c>
      <c r="B1514" s="121" t="s">
        <v>5154</v>
      </c>
      <c r="C1514" s="121" t="s">
        <v>5155</v>
      </c>
      <c r="D1514" s="176" t="s">
        <v>5168</v>
      </c>
      <c r="E1514" s="121" t="s">
        <v>5157</v>
      </c>
      <c r="F1514" s="121" t="s">
        <v>29</v>
      </c>
      <c r="G1514" s="121" t="s">
        <v>37</v>
      </c>
      <c r="H1514" s="83"/>
      <c r="I1514" s="121" t="s">
        <v>38</v>
      </c>
      <c r="J1514" s="121">
        <v>96.0</v>
      </c>
      <c r="K1514" s="83"/>
      <c r="L1514" s="121" t="s">
        <v>5158</v>
      </c>
      <c r="M1514" s="121" t="s">
        <v>5159</v>
      </c>
      <c r="N1514" s="121">
        <v>1998.0</v>
      </c>
      <c r="O1514" s="121">
        <v>18.0</v>
      </c>
      <c r="P1514" s="121">
        <v>2.0</v>
      </c>
      <c r="Q1514" s="121">
        <v>2.0</v>
      </c>
      <c r="R1514" s="84"/>
      <c r="S1514" s="40"/>
      <c r="T1514" s="40"/>
      <c r="U1514" s="40"/>
      <c r="V1514" s="40"/>
      <c r="W1514" s="40"/>
      <c r="X1514" s="40"/>
      <c r="Y1514" s="45"/>
      <c r="Z1514" s="45"/>
      <c r="AA1514" s="45"/>
      <c r="AB1514" s="45"/>
      <c r="AC1514" s="45"/>
      <c r="AD1514" s="45"/>
      <c r="AE1514" s="45"/>
      <c r="AF1514" s="45"/>
      <c r="AG1514" s="45"/>
      <c r="AH1514" s="45"/>
      <c r="AI1514" s="45"/>
      <c r="AJ1514" s="45"/>
      <c r="AK1514" s="45"/>
      <c r="AL1514" s="45"/>
    </row>
    <row r="1515" ht="15.75" customHeight="1">
      <c r="A1515" s="27">
        <f t="shared" si="21"/>
        <v>394</v>
      </c>
      <c r="B1515" s="121" t="s">
        <v>5154</v>
      </c>
      <c r="C1515" s="121" t="s">
        <v>5155</v>
      </c>
      <c r="D1515" s="176" t="s">
        <v>5169</v>
      </c>
      <c r="E1515" s="121" t="s">
        <v>5157</v>
      </c>
      <c r="F1515" s="121" t="s">
        <v>29</v>
      </c>
      <c r="G1515" s="121" t="s">
        <v>37</v>
      </c>
      <c r="H1515" s="83"/>
      <c r="I1515" s="121" t="s">
        <v>38</v>
      </c>
      <c r="J1515" s="121">
        <v>92.0</v>
      </c>
      <c r="K1515" s="83"/>
      <c r="L1515" s="121" t="s">
        <v>5158</v>
      </c>
      <c r="M1515" s="121" t="s">
        <v>5159</v>
      </c>
      <c r="N1515" s="121">
        <v>1998.0</v>
      </c>
      <c r="O1515" s="121">
        <v>18.0</v>
      </c>
      <c r="P1515" s="121">
        <v>2.0</v>
      </c>
      <c r="Q1515" s="121">
        <v>2.0</v>
      </c>
      <c r="R1515" s="84"/>
      <c r="S1515" s="40"/>
      <c r="T1515" s="40"/>
      <c r="U1515" s="40"/>
      <c r="V1515" s="40"/>
      <c r="W1515" s="40"/>
      <c r="X1515" s="40"/>
      <c r="Y1515" s="3"/>
      <c r="Z1515" s="3"/>
      <c r="AA1515" s="3"/>
      <c r="AB1515" s="3"/>
      <c r="AC1515" s="3"/>
      <c r="AD1515" s="3"/>
      <c r="AE1515" s="3"/>
      <c r="AF1515" s="3"/>
      <c r="AG1515" s="3"/>
      <c r="AH1515" s="3"/>
      <c r="AI1515" s="3"/>
      <c r="AJ1515" s="3"/>
      <c r="AK1515" s="3"/>
      <c r="AL1515" s="3"/>
    </row>
    <row r="1516" ht="15.75" customHeight="1">
      <c r="A1516" s="27">
        <f t="shared" si="21"/>
        <v>395</v>
      </c>
      <c r="B1516" s="28" t="s">
        <v>5170</v>
      </c>
      <c r="C1516" s="43" t="s">
        <v>5171</v>
      </c>
      <c r="D1516" s="30" t="s">
        <v>5172</v>
      </c>
      <c r="E1516" s="28"/>
      <c r="F1516" s="28" t="s">
        <v>29</v>
      </c>
      <c r="G1516" s="28" t="s">
        <v>30</v>
      </c>
      <c r="H1516" s="28" t="s">
        <v>31</v>
      </c>
      <c r="I1516" s="28" t="s">
        <v>30</v>
      </c>
      <c r="J1516" s="28">
        <v>426.0</v>
      </c>
      <c r="K1516" s="28"/>
      <c r="L1516" s="28" t="s">
        <v>5173</v>
      </c>
      <c r="M1516" s="28" t="s">
        <v>5174</v>
      </c>
      <c r="N1516" s="28">
        <v>2004.0</v>
      </c>
      <c r="O1516" s="60">
        <v>16.0</v>
      </c>
      <c r="P1516" s="28">
        <v>1.0</v>
      </c>
      <c r="Q1516" s="94">
        <v>1.0</v>
      </c>
      <c r="R1516" s="33"/>
      <c r="S1516" s="40"/>
      <c r="T1516" s="40"/>
      <c r="U1516" s="40"/>
      <c r="V1516" s="40"/>
      <c r="W1516" s="40"/>
      <c r="X1516" s="40"/>
      <c r="Y1516" s="45"/>
      <c r="Z1516" s="45"/>
      <c r="AA1516" s="45"/>
      <c r="AB1516" s="45"/>
      <c r="AC1516" s="45"/>
      <c r="AD1516" s="45"/>
      <c r="AE1516" s="45"/>
      <c r="AF1516" s="45"/>
      <c r="AG1516" s="45"/>
      <c r="AH1516" s="45"/>
      <c r="AI1516" s="45"/>
      <c r="AJ1516" s="45"/>
      <c r="AK1516" s="45"/>
      <c r="AL1516" s="45"/>
    </row>
    <row r="1517" ht="15.75" customHeight="1">
      <c r="A1517" s="27">
        <f t="shared" si="21"/>
        <v>396</v>
      </c>
      <c r="B1517" s="170" t="s">
        <v>5175</v>
      </c>
      <c r="C1517" s="43" t="s">
        <v>5176</v>
      </c>
      <c r="D1517" s="30" t="s">
        <v>5177</v>
      </c>
      <c r="E1517" s="28" t="s">
        <v>31</v>
      </c>
      <c r="F1517" s="28" t="s">
        <v>29</v>
      </c>
      <c r="G1517" s="28" t="s">
        <v>30</v>
      </c>
      <c r="H1517" s="28"/>
      <c r="I1517" s="28" t="s">
        <v>30</v>
      </c>
      <c r="J1517" s="28">
        <v>334.0</v>
      </c>
      <c r="K1517" s="28"/>
      <c r="L1517" s="28" t="s">
        <v>2767</v>
      </c>
      <c r="M1517" s="28" t="s">
        <v>151</v>
      </c>
      <c r="N1517" s="28">
        <v>2010.0</v>
      </c>
      <c r="O1517" s="60">
        <v>16.0</v>
      </c>
      <c r="P1517" s="28">
        <v>1.0</v>
      </c>
      <c r="Q1517" s="32">
        <v>1.0</v>
      </c>
      <c r="R1517" s="33"/>
      <c r="S1517" s="40"/>
      <c r="T1517" s="40"/>
      <c r="U1517" s="40"/>
      <c r="V1517" s="40"/>
      <c r="W1517" s="40"/>
      <c r="X1517" s="40"/>
      <c r="Y1517" s="45"/>
      <c r="Z1517" s="45"/>
      <c r="AA1517" s="45"/>
      <c r="AB1517" s="45"/>
      <c r="AC1517" s="45"/>
      <c r="AD1517" s="45"/>
      <c r="AE1517" s="45"/>
      <c r="AF1517" s="45"/>
      <c r="AG1517" s="45"/>
      <c r="AH1517" s="45"/>
      <c r="AI1517" s="45"/>
      <c r="AJ1517" s="45"/>
      <c r="AK1517" s="45"/>
      <c r="AL1517" s="45"/>
    </row>
    <row r="1518" ht="15.75" customHeight="1">
      <c r="A1518" s="27">
        <f t="shared" si="21"/>
        <v>397</v>
      </c>
      <c r="B1518" s="28" t="s">
        <v>5178</v>
      </c>
      <c r="C1518" s="43" t="s">
        <v>5179</v>
      </c>
      <c r="D1518" s="30" t="s">
        <v>5180</v>
      </c>
      <c r="E1518" s="28" t="s">
        <v>31</v>
      </c>
      <c r="F1518" s="28" t="s">
        <v>29</v>
      </c>
      <c r="G1518" s="28" t="s">
        <v>30</v>
      </c>
      <c r="H1518" s="28"/>
      <c r="I1518" s="28" t="s">
        <v>30</v>
      </c>
      <c r="J1518" s="28">
        <v>312.0</v>
      </c>
      <c r="K1518" s="28"/>
      <c r="L1518" s="28" t="s">
        <v>5181</v>
      </c>
      <c r="M1518" s="28" t="s">
        <v>151</v>
      </c>
      <c r="N1518" s="28">
        <v>2004.0</v>
      </c>
      <c r="O1518" s="60">
        <v>16.0</v>
      </c>
      <c r="P1518" s="28">
        <v>1.0</v>
      </c>
      <c r="Q1518" s="94">
        <v>1.0</v>
      </c>
      <c r="R1518" s="33"/>
      <c r="S1518" s="40"/>
      <c r="T1518" s="40"/>
      <c r="U1518" s="40"/>
      <c r="V1518" s="40"/>
      <c r="W1518" s="40"/>
      <c r="X1518" s="40"/>
      <c r="Y1518" s="45"/>
      <c r="Z1518" s="45"/>
      <c r="AA1518" s="45"/>
      <c r="AB1518" s="45"/>
      <c r="AC1518" s="45"/>
      <c r="AD1518" s="45"/>
      <c r="AE1518" s="45"/>
      <c r="AF1518" s="45"/>
      <c r="AG1518" s="45"/>
      <c r="AH1518" s="45"/>
      <c r="AI1518" s="45"/>
      <c r="AJ1518" s="45"/>
      <c r="AK1518" s="45"/>
      <c r="AL1518" s="45"/>
    </row>
    <row r="1519" ht="15.75" customHeight="1">
      <c r="A1519" s="27">
        <f t="shared" si="21"/>
        <v>398</v>
      </c>
      <c r="B1519" s="28" t="s">
        <v>5182</v>
      </c>
      <c r="C1519" s="43" t="s">
        <v>5183</v>
      </c>
      <c r="D1519" s="30" t="s">
        <v>5184</v>
      </c>
      <c r="E1519" s="28"/>
      <c r="F1519" s="28" t="s">
        <v>29</v>
      </c>
      <c r="G1519" s="28" t="s">
        <v>37</v>
      </c>
      <c r="H1519" s="28"/>
      <c r="I1519" s="28" t="s">
        <v>38</v>
      </c>
      <c r="J1519" s="28">
        <v>231.0</v>
      </c>
      <c r="K1519" s="28"/>
      <c r="L1519" s="28" t="s">
        <v>5185</v>
      </c>
      <c r="M1519" s="28" t="s">
        <v>178</v>
      </c>
      <c r="N1519" s="28">
        <v>1998.0</v>
      </c>
      <c r="O1519" s="60">
        <v>16.0</v>
      </c>
      <c r="P1519" s="28">
        <v>1.0</v>
      </c>
      <c r="Q1519" s="32">
        <v>1.0</v>
      </c>
      <c r="R1519" s="33"/>
      <c r="S1519" s="40"/>
      <c r="T1519" s="40"/>
      <c r="U1519" s="40"/>
      <c r="V1519" s="40"/>
      <c r="W1519" s="40"/>
      <c r="X1519" s="40"/>
      <c r="Y1519" s="45"/>
      <c r="Z1519" s="45"/>
      <c r="AA1519" s="45"/>
      <c r="AB1519" s="45"/>
      <c r="AC1519" s="45"/>
      <c r="AD1519" s="45"/>
      <c r="AE1519" s="45"/>
      <c r="AF1519" s="45"/>
      <c r="AG1519" s="45"/>
      <c r="AH1519" s="45"/>
      <c r="AI1519" s="45"/>
      <c r="AJ1519" s="45"/>
      <c r="AK1519" s="45"/>
      <c r="AL1519" s="45"/>
    </row>
    <row r="1520" ht="15.75" customHeight="1">
      <c r="A1520" s="27">
        <f t="shared" si="21"/>
        <v>399</v>
      </c>
      <c r="B1520" s="28" t="s">
        <v>5186</v>
      </c>
      <c r="C1520" s="43" t="s">
        <v>5187</v>
      </c>
      <c r="D1520" s="30" t="s">
        <v>5188</v>
      </c>
      <c r="E1520" s="28"/>
      <c r="F1520" s="28" t="s">
        <v>29</v>
      </c>
      <c r="G1520" s="28" t="s">
        <v>31</v>
      </c>
      <c r="H1520" s="28"/>
      <c r="I1520" s="28" t="s">
        <v>38</v>
      </c>
      <c r="J1520" s="28">
        <v>189.0</v>
      </c>
      <c r="K1520" s="28"/>
      <c r="L1520" s="28" t="s">
        <v>5189</v>
      </c>
      <c r="M1520" s="28" t="s">
        <v>5190</v>
      </c>
      <c r="N1520" s="28">
        <v>2003.0</v>
      </c>
      <c r="O1520" s="60">
        <v>16.0</v>
      </c>
      <c r="P1520" s="28">
        <v>1.0</v>
      </c>
      <c r="Q1520" s="32">
        <v>1.0</v>
      </c>
      <c r="R1520" s="33"/>
      <c r="S1520" s="40"/>
      <c r="T1520" s="40"/>
      <c r="U1520" s="40"/>
      <c r="V1520" s="40"/>
      <c r="W1520" s="40"/>
      <c r="X1520" s="40"/>
      <c r="Y1520" s="45"/>
      <c r="Z1520" s="45"/>
      <c r="AA1520" s="45"/>
      <c r="AB1520" s="45"/>
      <c r="AC1520" s="45"/>
      <c r="AD1520" s="45"/>
      <c r="AE1520" s="45"/>
      <c r="AF1520" s="45"/>
      <c r="AG1520" s="45"/>
      <c r="AH1520" s="45"/>
      <c r="AI1520" s="45"/>
      <c r="AJ1520" s="45"/>
      <c r="AK1520" s="45"/>
      <c r="AL1520" s="45"/>
    </row>
    <row r="1521" ht="15.75" customHeight="1">
      <c r="A1521" s="27">
        <f t="shared" si="21"/>
        <v>400</v>
      </c>
      <c r="B1521" s="28" t="s">
        <v>5191</v>
      </c>
      <c r="C1521" s="43" t="s">
        <v>5192</v>
      </c>
      <c r="D1521" s="30" t="s">
        <v>5193</v>
      </c>
      <c r="E1521" s="28"/>
      <c r="F1521" s="28" t="s">
        <v>29</v>
      </c>
      <c r="G1521" s="28" t="s">
        <v>30</v>
      </c>
      <c r="H1521" s="28"/>
      <c r="I1521" s="28" t="s">
        <v>30</v>
      </c>
      <c r="J1521" s="28">
        <v>365.0</v>
      </c>
      <c r="K1521" s="28"/>
      <c r="L1521" s="31" t="s">
        <v>5194</v>
      </c>
      <c r="M1521" s="28" t="s">
        <v>151</v>
      </c>
      <c r="N1521" s="28">
        <v>2009.0</v>
      </c>
      <c r="O1521" s="60">
        <v>16.0</v>
      </c>
      <c r="P1521" s="28">
        <v>1.0</v>
      </c>
      <c r="Q1521" s="94">
        <v>1.0</v>
      </c>
      <c r="R1521" s="33"/>
      <c r="S1521" s="40"/>
      <c r="T1521" s="40"/>
      <c r="U1521" s="40"/>
      <c r="V1521" s="40"/>
      <c r="W1521" s="40"/>
      <c r="X1521" s="40"/>
      <c r="Y1521" s="45"/>
      <c r="Z1521" s="45"/>
      <c r="AA1521" s="45"/>
      <c r="AB1521" s="45"/>
      <c r="AC1521" s="45"/>
      <c r="AD1521" s="45"/>
      <c r="AE1521" s="45"/>
      <c r="AF1521" s="45"/>
      <c r="AG1521" s="45"/>
      <c r="AH1521" s="45"/>
      <c r="AI1521" s="45"/>
      <c r="AJ1521" s="45"/>
      <c r="AK1521" s="45"/>
      <c r="AL1521" s="45"/>
    </row>
    <row r="1522" ht="15.75" customHeight="1">
      <c r="A1522" s="27">
        <f t="shared" si="21"/>
        <v>401</v>
      </c>
      <c r="B1522" s="28" t="s">
        <v>31</v>
      </c>
      <c r="C1522" s="43" t="s">
        <v>5195</v>
      </c>
      <c r="D1522" s="30" t="s">
        <v>5196</v>
      </c>
      <c r="E1522" s="28" t="s">
        <v>31</v>
      </c>
      <c r="F1522" s="28" t="s">
        <v>29</v>
      </c>
      <c r="G1522" s="28" t="s">
        <v>30</v>
      </c>
      <c r="H1522" s="28"/>
      <c r="I1522" s="28" t="s">
        <v>30</v>
      </c>
      <c r="J1522" s="28">
        <v>82.0</v>
      </c>
      <c r="K1522" s="28"/>
      <c r="L1522" s="28" t="s">
        <v>5197</v>
      </c>
      <c r="M1522" s="28" t="s">
        <v>5198</v>
      </c>
      <c r="N1522" s="28">
        <v>1996.0</v>
      </c>
      <c r="O1522" s="60">
        <v>16.0</v>
      </c>
      <c r="P1522" s="28">
        <v>1.0</v>
      </c>
      <c r="Q1522" s="94">
        <v>1.0</v>
      </c>
      <c r="R1522" s="33"/>
      <c r="S1522" s="40"/>
      <c r="T1522" s="40"/>
      <c r="U1522" s="40"/>
      <c r="V1522" s="40"/>
      <c r="W1522" s="40"/>
      <c r="X1522" s="40"/>
      <c r="Y1522" s="45"/>
      <c r="Z1522" s="45"/>
      <c r="AA1522" s="45"/>
      <c r="AB1522" s="45"/>
      <c r="AC1522" s="45"/>
      <c r="AD1522" s="45"/>
      <c r="AE1522" s="45"/>
      <c r="AF1522" s="45"/>
      <c r="AG1522" s="45"/>
      <c r="AH1522" s="45"/>
      <c r="AI1522" s="45"/>
      <c r="AJ1522" s="45"/>
      <c r="AK1522" s="45"/>
      <c r="AL1522" s="45"/>
    </row>
    <row r="1523" ht="15.75" customHeight="1">
      <c r="A1523" s="27">
        <f t="shared" si="21"/>
        <v>402</v>
      </c>
      <c r="B1523" s="83"/>
      <c r="C1523" s="121" t="s">
        <v>5199</v>
      </c>
      <c r="D1523" s="119" t="s">
        <v>5200</v>
      </c>
      <c r="E1523" s="83"/>
      <c r="F1523" s="121" t="s">
        <v>29</v>
      </c>
      <c r="G1523" s="121" t="s">
        <v>5201</v>
      </c>
      <c r="H1523" s="83"/>
      <c r="I1523" s="121" t="s">
        <v>38</v>
      </c>
      <c r="J1523" s="121">
        <v>163.0</v>
      </c>
      <c r="K1523" s="83"/>
      <c r="L1523" s="121" t="s">
        <v>5202</v>
      </c>
      <c r="M1523" s="121" t="s">
        <v>5203</v>
      </c>
      <c r="N1523" s="121">
        <v>1976.0</v>
      </c>
      <c r="O1523" s="60">
        <v>16.0</v>
      </c>
      <c r="P1523" s="121">
        <v>1.0</v>
      </c>
      <c r="Q1523" s="121">
        <v>1.0</v>
      </c>
      <c r="R1523" s="84"/>
      <c r="S1523" s="40"/>
      <c r="T1523" s="40"/>
      <c r="U1523" s="40"/>
      <c r="V1523" s="40"/>
      <c r="W1523" s="40"/>
      <c r="X1523" s="40"/>
      <c r="Y1523" s="45"/>
      <c r="Z1523" s="45"/>
      <c r="AA1523" s="45"/>
      <c r="AB1523" s="45"/>
      <c r="AC1523" s="45"/>
      <c r="AD1523" s="45"/>
      <c r="AE1523" s="45"/>
      <c r="AF1523" s="45"/>
      <c r="AG1523" s="45"/>
      <c r="AH1523" s="45"/>
      <c r="AI1523" s="45"/>
      <c r="AJ1523" s="45"/>
      <c r="AK1523" s="45"/>
      <c r="AL1523" s="45"/>
    </row>
    <row r="1524" ht="15.75" customHeight="1">
      <c r="A1524" s="27">
        <f t="shared" si="21"/>
        <v>403</v>
      </c>
      <c r="B1524" s="28" t="s">
        <v>5204</v>
      </c>
      <c r="C1524" s="43" t="s">
        <v>5205</v>
      </c>
      <c r="D1524" s="30" t="s">
        <v>5206</v>
      </c>
      <c r="E1524" s="28"/>
      <c r="F1524" s="28" t="s">
        <v>29</v>
      </c>
      <c r="G1524" s="28" t="s">
        <v>31</v>
      </c>
      <c r="H1524" s="28"/>
      <c r="I1524" s="28" t="s">
        <v>38</v>
      </c>
      <c r="J1524" s="28">
        <v>16.0</v>
      </c>
      <c r="K1524" s="28"/>
      <c r="L1524" s="28" t="s">
        <v>5207</v>
      </c>
      <c r="M1524" s="28" t="s">
        <v>5208</v>
      </c>
      <c r="N1524" s="28">
        <v>1839.0</v>
      </c>
      <c r="O1524" s="60">
        <v>16.0</v>
      </c>
      <c r="P1524" s="28">
        <v>1.0</v>
      </c>
      <c r="Q1524" s="94">
        <v>1.0</v>
      </c>
      <c r="R1524" s="33"/>
      <c r="S1524" s="40"/>
      <c r="T1524" s="40"/>
      <c r="U1524" s="40"/>
      <c r="V1524" s="40"/>
      <c r="W1524" s="40"/>
      <c r="X1524" s="40"/>
      <c r="Y1524" s="45"/>
      <c r="Z1524" s="45"/>
      <c r="AA1524" s="45"/>
      <c r="AB1524" s="45"/>
      <c r="AC1524" s="45"/>
      <c r="AD1524" s="45"/>
      <c r="AE1524" s="45"/>
      <c r="AF1524" s="45"/>
      <c r="AG1524" s="45"/>
      <c r="AH1524" s="45"/>
      <c r="AI1524" s="45"/>
      <c r="AJ1524" s="45"/>
      <c r="AK1524" s="45"/>
      <c r="AL1524" s="45"/>
    </row>
    <row r="1525" ht="15.75" customHeight="1">
      <c r="A1525" s="27">
        <f t="shared" si="21"/>
        <v>404</v>
      </c>
      <c r="B1525" s="28" t="s">
        <v>5209</v>
      </c>
      <c r="C1525" s="43" t="s">
        <v>5210</v>
      </c>
      <c r="D1525" s="30" t="s">
        <v>5211</v>
      </c>
      <c r="E1525" s="28"/>
      <c r="F1525" s="28" t="s">
        <v>29</v>
      </c>
      <c r="G1525" s="28" t="s">
        <v>38</v>
      </c>
      <c r="H1525" s="28"/>
      <c r="I1525" s="28" t="s">
        <v>38</v>
      </c>
      <c r="J1525" s="28">
        <v>367.0</v>
      </c>
      <c r="K1525" s="28"/>
      <c r="L1525" s="28" t="s">
        <v>5212</v>
      </c>
      <c r="M1525" s="28" t="s">
        <v>1191</v>
      </c>
      <c r="N1525" s="28">
        <v>1998.0</v>
      </c>
      <c r="O1525" s="60">
        <v>16.0</v>
      </c>
      <c r="P1525" s="28">
        <v>1.0</v>
      </c>
      <c r="Q1525" s="94">
        <v>1.0</v>
      </c>
      <c r="R1525" s="33"/>
      <c r="S1525" s="40"/>
      <c r="T1525" s="40"/>
      <c r="U1525" s="40"/>
      <c r="V1525" s="40"/>
      <c r="W1525" s="40"/>
      <c r="X1525" s="40"/>
      <c r="Y1525" s="45"/>
      <c r="Z1525" s="45"/>
      <c r="AA1525" s="45"/>
      <c r="AB1525" s="45"/>
      <c r="AC1525" s="45"/>
      <c r="AD1525" s="45"/>
      <c r="AE1525" s="45"/>
      <c r="AF1525" s="45"/>
      <c r="AG1525" s="45"/>
      <c r="AH1525" s="45"/>
      <c r="AI1525" s="45"/>
      <c r="AJ1525" s="45"/>
      <c r="AK1525" s="45"/>
      <c r="AL1525" s="45"/>
    </row>
    <row r="1526" ht="15.75" customHeight="1">
      <c r="A1526" s="27">
        <f t="shared" si="21"/>
        <v>405</v>
      </c>
      <c r="B1526" s="28" t="s">
        <v>5213</v>
      </c>
      <c r="C1526" s="43" t="s">
        <v>5214</v>
      </c>
      <c r="D1526" s="30" t="s">
        <v>5215</v>
      </c>
      <c r="E1526" s="28" t="s">
        <v>302</v>
      </c>
      <c r="F1526" s="28" t="s">
        <v>29</v>
      </c>
      <c r="G1526" s="28" t="s">
        <v>37</v>
      </c>
      <c r="H1526" s="28"/>
      <c r="I1526" s="28" t="s">
        <v>38</v>
      </c>
      <c r="J1526" s="28">
        <v>318.0</v>
      </c>
      <c r="K1526" s="28"/>
      <c r="L1526" s="28" t="s">
        <v>5216</v>
      </c>
      <c r="M1526" s="28" t="s">
        <v>1176</v>
      </c>
      <c r="N1526" s="28">
        <v>2003.0</v>
      </c>
      <c r="O1526" s="28">
        <v>16.0</v>
      </c>
      <c r="P1526" s="28">
        <v>1.0</v>
      </c>
      <c r="Q1526" s="94">
        <v>1.0</v>
      </c>
      <c r="R1526" s="33"/>
      <c r="S1526" s="40"/>
      <c r="T1526" s="40"/>
      <c r="U1526" s="40"/>
      <c r="V1526" s="40"/>
      <c r="W1526" s="40"/>
      <c r="X1526" s="40"/>
      <c r="Y1526" s="45"/>
      <c r="Z1526" s="45"/>
      <c r="AA1526" s="45"/>
      <c r="AB1526" s="45"/>
      <c r="AC1526" s="45"/>
      <c r="AD1526" s="45"/>
      <c r="AE1526" s="45"/>
      <c r="AF1526" s="45"/>
      <c r="AG1526" s="45"/>
      <c r="AH1526" s="45"/>
      <c r="AI1526" s="45"/>
      <c r="AJ1526" s="45"/>
      <c r="AK1526" s="45"/>
      <c r="AL1526" s="45"/>
    </row>
    <row r="1527" ht="15.75" customHeight="1">
      <c r="A1527" s="27">
        <f t="shared" si="21"/>
        <v>406</v>
      </c>
      <c r="B1527" s="121" t="s">
        <v>5217</v>
      </c>
      <c r="C1527" s="121" t="s">
        <v>5218</v>
      </c>
      <c r="D1527" s="119" t="s">
        <v>5219</v>
      </c>
      <c r="E1527" s="83"/>
      <c r="F1527" s="121" t="s">
        <v>29</v>
      </c>
      <c r="G1527" s="121" t="s">
        <v>37</v>
      </c>
      <c r="H1527" s="83"/>
      <c r="I1527" s="121" t="s">
        <v>166</v>
      </c>
      <c r="J1527" s="121">
        <v>335.0</v>
      </c>
      <c r="K1527" s="83"/>
      <c r="L1527" s="121" t="s">
        <v>5220</v>
      </c>
      <c r="M1527" s="83"/>
      <c r="N1527" s="121">
        <v>2011.0</v>
      </c>
      <c r="O1527" s="28">
        <v>16.0</v>
      </c>
      <c r="P1527" s="121">
        <v>1.0</v>
      </c>
      <c r="Q1527" s="121">
        <v>1.0</v>
      </c>
      <c r="R1527" s="84"/>
      <c r="S1527" s="40"/>
      <c r="T1527" s="40"/>
      <c r="U1527" s="40"/>
      <c r="V1527" s="40"/>
      <c r="W1527" s="40"/>
      <c r="X1527" s="40"/>
      <c r="Y1527" s="45"/>
      <c r="Z1527" s="45"/>
      <c r="AA1527" s="45"/>
      <c r="AB1527" s="45"/>
      <c r="AC1527" s="45"/>
      <c r="AD1527" s="45"/>
      <c r="AE1527" s="45"/>
      <c r="AF1527" s="45"/>
      <c r="AG1527" s="45"/>
      <c r="AH1527" s="45"/>
      <c r="AI1527" s="45"/>
      <c r="AJ1527" s="45"/>
      <c r="AK1527" s="45"/>
      <c r="AL1527" s="45"/>
    </row>
    <row r="1528" ht="15.75" customHeight="1">
      <c r="A1528" s="27">
        <f t="shared" si="21"/>
        <v>407</v>
      </c>
      <c r="B1528" s="28" t="s">
        <v>5221</v>
      </c>
      <c r="C1528" s="43" t="s">
        <v>5222</v>
      </c>
      <c r="D1528" s="30" t="s">
        <v>5223</v>
      </c>
      <c r="E1528" s="28" t="s">
        <v>31</v>
      </c>
      <c r="F1528" s="28" t="s">
        <v>29</v>
      </c>
      <c r="G1528" s="28" t="s">
        <v>30</v>
      </c>
      <c r="H1528" s="28"/>
      <c r="I1528" s="28" t="s">
        <v>38</v>
      </c>
      <c r="J1528" s="28">
        <v>221.0</v>
      </c>
      <c r="K1528" s="28"/>
      <c r="L1528" s="28" t="s">
        <v>5224</v>
      </c>
      <c r="M1528" s="28" t="s">
        <v>5225</v>
      </c>
      <c r="N1528" s="28">
        <v>2004.0</v>
      </c>
      <c r="O1528" s="60">
        <v>16.0</v>
      </c>
      <c r="P1528" s="28">
        <v>1.0</v>
      </c>
      <c r="Q1528" s="94">
        <v>1.0</v>
      </c>
      <c r="R1528" s="33"/>
      <c r="S1528" s="40"/>
      <c r="T1528" s="40"/>
      <c r="U1528" s="40"/>
      <c r="V1528" s="40"/>
      <c r="W1528" s="40"/>
      <c r="X1528" s="40"/>
      <c r="Y1528" s="45"/>
      <c r="Z1528" s="45"/>
      <c r="AA1528" s="45"/>
      <c r="AB1528" s="45"/>
      <c r="AC1528" s="45"/>
      <c r="AD1528" s="45"/>
      <c r="AE1528" s="45"/>
      <c r="AF1528" s="45"/>
      <c r="AG1528" s="45"/>
      <c r="AH1528" s="45"/>
      <c r="AI1528" s="45"/>
      <c r="AJ1528" s="45"/>
      <c r="AK1528" s="45"/>
      <c r="AL1528" s="45"/>
    </row>
    <row r="1529" ht="15.75" customHeight="1">
      <c r="A1529" s="27">
        <f t="shared" si="21"/>
        <v>408</v>
      </c>
      <c r="B1529" s="132" t="s">
        <v>5226</v>
      </c>
      <c r="C1529" s="132" t="s">
        <v>5227</v>
      </c>
      <c r="D1529" s="131" t="s">
        <v>5228</v>
      </c>
      <c r="E1529" s="33"/>
      <c r="F1529" s="132" t="s">
        <v>29</v>
      </c>
      <c r="G1529" s="132" t="s">
        <v>30</v>
      </c>
      <c r="H1529" s="33"/>
      <c r="I1529" s="132" t="s">
        <v>30</v>
      </c>
      <c r="J1529" s="132">
        <v>218.0</v>
      </c>
      <c r="K1529" s="33"/>
      <c r="L1529" s="132" t="s">
        <v>5229</v>
      </c>
      <c r="M1529" s="132" t="s">
        <v>151</v>
      </c>
      <c r="N1529" s="132">
        <v>2006.0</v>
      </c>
      <c r="O1529" s="132">
        <v>16.0</v>
      </c>
      <c r="P1529" s="132">
        <v>1.0</v>
      </c>
      <c r="Q1529" s="132">
        <v>1.0</v>
      </c>
      <c r="R1529" s="84"/>
      <c r="S1529" s="40"/>
      <c r="T1529" s="40"/>
      <c r="U1529" s="40"/>
      <c r="V1529" s="40"/>
      <c r="W1529" s="40"/>
      <c r="X1529" s="40"/>
      <c r="Y1529" s="45"/>
      <c r="Z1529" s="45"/>
      <c r="AA1529" s="45"/>
      <c r="AB1529" s="45"/>
      <c r="AC1529" s="45"/>
      <c r="AD1529" s="45"/>
      <c r="AE1529" s="45"/>
      <c r="AF1529" s="45"/>
      <c r="AG1529" s="45"/>
      <c r="AH1529" s="45"/>
      <c r="AI1529" s="45"/>
      <c r="AJ1529" s="45"/>
      <c r="AK1529" s="45"/>
      <c r="AL1529" s="45"/>
    </row>
    <row r="1530" ht="15.75" customHeight="1">
      <c r="A1530" s="27">
        <f t="shared" si="21"/>
        <v>409</v>
      </c>
      <c r="B1530" s="28" t="s">
        <v>5230</v>
      </c>
      <c r="C1530" s="43" t="s">
        <v>5231</v>
      </c>
      <c r="D1530" s="30" t="s">
        <v>5232</v>
      </c>
      <c r="E1530" s="28" t="s">
        <v>31</v>
      </c>
      <c r="F1530" s="28" t="s">
        <v>29</v>
      </c>
      <c r="G1530" s="28" t="s">
        <v>30</v>
      </c>
      <c r="H1530" s="28"/>
      <c r="I1530" s="28" t="s">
        <v>30</v>
      </c>
      <c r="J1530" s="28">
        <v>232.0</v>
      </c>
      <c r="K1530" s="28"/>
      <c r="L1530" s="28" t="s">
        <v>5233</v>
      </c>
      <c r="M1530" s="28" t="s">
        <v>5234</v>
      </c>
      <c r="N1530" s="28">
        <v>2001.0</v>
      </c>
      <c r="O1530" s="60">
        <v>16.0</v>
      </c>
      <c r="P1530" s="28">
        <v>1.0</v>
      </c>
      <c r="Q1530" s="32">
        <v>1.0</v>
      </c>
      <c r="R1530" s="33"/>
      <c r="S1530" s="34"/>
      <c r="T1530" s="34"/>
      <c r="U1530" s="34"/>
      <c r="V1530" s="34"/>
      <c r="W1530" s="34"/>
      <c r="X1530" s="34"/>
      <c r="Y1530" s="45"/>
      <c r="Z1530" s="45"/>
      <c r="AA1530" s="45"/>
      <c r="AB1530" s="45"/>
      <c r="AC1530" s="45"/>
      <c r="AD1530" s="45"/>
      <c r="AE1530" s="45"/>
      <c r="AF1530" s="45"/>
      <c r="AG1530" s="45"/>
      <c r="AH1530" s="45"/>
      <c r="AI1530" s="45"/>
      <c r="AJ1530" s="45"/>
      <c r="AK1530" s="45"/>
      <c r="AL1530" s="45"/>
    </row>
    <row r="1531" ht="15.75" customHeight="1">
      <c r="A1531" s="27">
        <f t="shared" si="21"/>
        <v>410</v>
      </c>
      <c r="B1531" s="28" t="s">
        <v>5235</v>
      </c>
      <c r="C1531" s="43" t="s">
        <v>5236</v>
      </c>
      <c r="D1531" s="30" t="s">
        <v>5237</v>
      </c>
      <c r="E1531" s="28" t="s">
        <v>144</v>
      </c>
      <c r="F1531" s="28" t="s">
        <v>29</v>
      </c>
      <c r="G1531" s="28" t="s">
        <v>30</v>
      </c>
      <c r="H1531" s="28"/>
      <c r="I1531" s="28" t="s">
        <v>30</v>
      </c>
      <c r="J1531" s="28">
        <v>313.0</v>
      </c>
      <c r="K1531" s="28"/>
      <c r="L1531" s="28" t="s">
        <v>5238</v>
      </c>
      <c r="M1531" s="28" t="s">
        <v>5239</v>
      </c>
      <c r="N1531" s="28">
        <v>2016.0</v>
      </c>
      <c r="O1531" s="28">
        <v>16.0</v>
      </c>
      <c r="P1531" s="28">
        <v>1.0</v>
      </c>
      <c r="Q1531" s="94">
        <v>1.0</v>
      </c>
      <c r="R1531" s="33"/>
      <c r="S1531" s="34"/>
      <c r="T1531" s="34"/>
      <c r="U1531" s="34"/>
      <c r="V1531" s="34"/>
      <c r="W1531" s="34"/>
      <c r="X1531" s="34"/>
      <c r="Y1531" s="3"/>
      <c r="Z1531" s="3"/>
      <c r="AA1531" s="3"/>
      <c r="AB1531" s="3"/>
      <c r="AC1531" s="3"/>
      <c r="AD1531" s="3"/>
      <c r="AE1531" s="3"/>
      <c r="AF1531" s="3"/>
      <c r="AG1531" s="3"/>
      <c r="AH1531" s="3"/>
      <c r="AI1531" s="3"/>
      <c r="AJ1531" s="3"/>
      <c r="AK1531" s="3"/>
      <c r="AL1531" s="3"/>
    </row>
    <row r="1532" ht="15.75" customHeight="1">
      <c r="A1532" s="27">
        <f t="shared" si="21"/>
        <v>411</v>
      </c>
      <c r="B1532" s="28"/>
      <c r="C1532" s="43" t="s">
        <v>5240</v>
      </c>
      <c r="D1532" s="30" t="s">
        <v>5241</v>
      </c>
      <c r="E1532" s="28" t="s">
        <v>31</v>
      </c>
      <c r="F1532" s="28" t="s">
        <v>29</v>
      </c>
      <c r="G1532" s="28" t="s">
        <v>131</v>
      </c>
      <c r="H1532" s="28"/>
      <c r="I1532" s="28" t="s">
        <v>131</v>
      </c>
      <c r="J1532" s="28">
        <v>198.0</v>
      </c>
      <c r="K1532" s="28"/>
      <c r="L1532" s="28" t="s">
        <v>5242</v>
      </c>
      <c r="M1532" s="28" t="s">
        <v>5243</v>
      </c>
      <c r="N1532" s="28">
        <v>1969.0</v>
      </c>
      <c r="O1532" s="28">
        <v>16.0</v>
      </c>
      <c r="P1532" s="28">
        <v>1.0</v>
      </c>
      <c r="Q1532" s="94">
        <v>1.0</v>
      </c>
      <c r="R1532" s="33"/>
      <c r="S1532" s="34"/>
      <c r="T1532" s="34"/>
      <c r="U1532" s="34"/>
      <c r="V1532" s="34"/>
      <c r="W1532" s="34"/>
      <c r="X1532" s="34"/>
      <c r="Y1532" s="45"/>
      <c r="Z1532" s="45"/>
      <c r="AA1532" s="45"/>
      <c r="AB1532" s="45"/>
      <c r="AC1532" s="45"/>
      <c r="AD1532" s="45"/>
      <c r="AE1532" s="45"/>
      <c r="AF1532" s="45"/>
      <c r="AG1532" s="45"/>
      <c r="AH1532" s="45"/>
      <c r="AI1532" s="45"/>
      <c r="AJ1532" s="45"/>
      <c r="AK1532" s="45"/>
      <c r="AL1532" s="45"/>
    </row>
    <row r="1533" ht="15.75" customHeight="1">
      <c r="A1533" s="27">
        <f t="shared" si="21"/>
        <v>412</v>
      </c>
      <c r="B1533" s="28" t="s">
        <v>5244</v>
      </c>
      <c r="C1533" s="43" t="s">
        <v>5245</v>
      </c>
      <c r="D1533" s="30" t="s">
        <v>5246</v>
      </c>
      <c r="E1533" s="28" t="s">
        <v>31</v>
      </c>
      <c r="F1533" s="28" t="s">
        <v>29</v>
      </c>
      <c r="G1533" s="28" t="s">
        <v>30</v>
      </c>
      <c r="H1533" s="28"/>
      <c r="I1533" s="28" t="s">
        <v>30</v>
      </c>
      <c r="J1533" s="28">
        <v>211.0</v>
      </c>
      <c r="K1533" s="28"/>
      <c r="L1533" s="28" t="s">
        <v>5247</v>
      </c>
      <c r="M1533" s="28" t="s">
        <v>5248</v>
      </c>
      <c r="N1533" s="28" t="s">
        <v>31</v>
      </c>
      <c r="O1533" s="28">
        <v>16.0</v>
      </c>
      <c r="P1533" s="28">
        <v>1.0</v>
      </c>
      <c r="Q1533" s="94">
        <v>1.0</v>
      </c>
      <c r="R1533" s="33"/>
      <c r="S1533" s="34"/>
      <c r="T1533" s="34"/>
      <c r="U1533" s="34"/>
      <c r="V1533" s="34"/>
      <c r="W1533" s="34"/>
      <c r="X1533" s="34"/>
      <c r="Y1533" s="45"/>
      <c r="Z1533" s="45"/>
      <c r="AA1533" s="45"/>
      <c r="AB1533" s="45"/>
      <c r="AC1533" s="45"/>
      <c r="AD1533" s="45"/>
      <c r="AE1533" s="45"/>
      <c r="AF1533" s="45"/>
      <c r="AG1533" s="45"/>
      <c r="AH1533" s="45"/>
      <c r="AI1533" s="45"/>
      <c r="AJ1533" s="45"/>
      <c r="AK1533" s="45"/>
      <c r="AL1533" s="45"/>
    </row>
    <row r="1534" ht="15.75" customHeight="1">
      <c r="A1534" s="27">
        <f t="shared" si="21"/>
        <v>413</v>
      </c>
      <c r="B1534" s="28" t="s">
        <v>31</v>
      </c>
      <c r="C1534" s="43" t="s">
        <v>5249</v>
      </c>
      <c r="D1534" s="30" t="s">
        <v>5250</v>
      </c>
      <c r="E1534" s="28" t="s">
        <v>31</v>
      </c>
      <c r="F1534" s="28" t="s">
        <v>29</v>
      </c>
      <c r="G1534" s="28" t="s">
        <v>30</v>
      </c>
      <c r="H1534" s="28"/>
      <c r="I1534" s="28" t="s">
        <v>30</v>
      </c>
      <c r="J1534" s="28">
        <v>191.0</v>
      </c>
      <c r="K1534" s="28"/>
      <c r="L1534" s="28" t="s">
        <v>5251</v>
      </c>
      <c r="M1534" s="28" t="s">
        <v>5252</v>
      </c>
      <c r="N1534" s="28" t="s">
        <v>31</v>
      </c>
      <c r="O1534" s="28">
        <v>16.0</v>
      </c>
      <c r="P1534" s="28">
        <v>1.0</v>
      </c>
      <c r="Q1534" s="32">
        <v>1.0</v>
      </c>
      <c r="R1534" s="33"/>
      <c r="S1534" s="40"/>
      <c r="T1534" s="40"/>
      <c r="U1534" s="40"/>
      <c r="V1534" s="40"/>
      <c r="W1534" s="40"/>
      <c r="X1534" s="40"/>
      <c r="Y1534" s="3"/>
      <c r="Z1534" s="3"/>
      <c r="AA1534" s="3"/>
      <c r="AB1534" s="3"/>
      <c r="AC1534" s="3"/>
      <c r="AD1534" s="3"/>
      <c r="AE1534" s="3"/>
      <c r="AF1534" s="3"/>
      <c r="AG1534" s="3"/>
      <c r="AH1534" s="3"/>
      <c r="AI1534" s="3"/>
      <c r="AJ1534" s="3"/>
      <c r="AK1534" s="3"/>
      <c r="AL1534" s="3"/>
    </row>
    <row r="1535" ht="15.75" customHeight="1">
      <c r="A1535" s="27">
        <f t="shared" si="21"/>
        <v>414</v>
      </c>
      <c r="B1535" s="121" t="s">
        <v>5253</v>
      </c>
      <c r="C1535" s="124" t="s">
        <v>5254</v>
      </c>
      <c r="D1535" s="119" t="s">
        <v>5255</v>
      </c>
      <c r="E1535" s="83"/>
      <c r="F1535" s="121" t="s">
        <v>29</v>
      </c>
      <c r="G1535" s="121" t="s">
        <v>30</v>
      </c>
      <c r="H1535" s="83"/>
      <c r="I1535" s="121" t="s">
        <v>30</v>
      </c>
      <c r="J1535" s="121">
        <v>328.0</v>
      </c>
      <c r="K1535" s="83"/>
      <c r="L1535" s="124" t="s">
        <v>5256</v>
      </c>
      <c r="M1535" s="121" t="s">
        <v>5257</v>
      </c>
      <c r="N1535" s="121">
        <v>2013.0</v>
      </c>
      <c r="O1535" s="121">
        <v>16.0</v>
      </c>
      <c r="P1535" s="121">
        <v>1.0</v>
      </c>
      <c r="Q1535" s="121">
        <v>1.0</v>
      </c>
      <c r="R1535" s="84"/>
      <c r="S1535" s="40"/>
      <c r="T1535" s="40"/>
      <c r="U1535" s="40"/>
      <c r="V1535" s="40"/>
      <c r="W1535" s="40"/>
      <c r="X1535" s="40"/>
      <c r="Y1535" s="45"/>
      <c r="Z1535" s="45"/>
      <c r="AA1535" s="45"/>
      <c r="AB1535" s="45"/>
      <c r="AC1535" s="45"/>
      <c r="AD1535" s="45"/>
      <c r="AE1535" s="45"/>
      <c r="AF1535" s="45"/>
      <c r="AG1535" s="45"/>
      <c r="AH1535" s="45"/>
      <c r="AI1535" s="45"/>
      <c r="AJ1535" s="45"/>
      <c r="AK1535" s="45"/>
      <c r="AL1535" s="45"/>
    </row>
    <row r="1536" ht="15.75" customHeight="1">
      <c r="A1536" s="27">
        <f t="shared" si="21"/>
        <v>415</v>
      </c>
      <c r="B1536" s="28"/>
      <c r="C1536" s="43" t="s">
        <v>5258</v>
      </c>
      <c r="D1536" s="30" t="s">
        <v>5259</v>
      </c>
      <c r="E1536" s="28" t="s">
        <v>144</v>
      </c>
      <c r="F1536" s="28" t="s">
        <v>29</v>
      </c>
      <c r="G1536" s="28" t="s">
        <v>30</v>
      </c>
      <c r="H1536" s="28"/>
      <c r="I1536" s="28" t="s">
        <v>30</v>
      </c>
      <c r="J1536" s="28">
        <v>126.0</v>
      </c>
      <c r="K1536" s="28"/>
      <c r="L1536" s="28" t="s">
        <v>5260</v>
      </c>
      <c r="M1536" s="28" t="s">
        <v>5261</v>
      </c>
      <c r="N1536" s="28">
        <v>1988.0</v>
      </c>
      <c r="O1536" s="28">
        <v>16.0</v>
      </c>
      <c r="P1536" s="28">
        <v>1.0</v>
      </c>
      <c r="Q1536" s="32">
        <v>1.0</v>
      </c>
      <c r="R1536" s="33"/>
      <c r="S1536" s="40"/>
      <c r="T1536" s="40"/>
      <c r="U1536" s="40"/>
      <c r="V1536" s="40"/>
      <c r="W1536" s="40"/>
      <c r="X1536" s="40"/>
      <c r="Y1536" s="45"/>
      <c r="Z1536" s="45"/>
      <c r="AA1536" s="45"/>
      <c r="AB1536" s="45"/>
      <c r="AC1536" s="45"/>
      <c r="AD1536" s="45"/>
      <c r="AE1536" s="45"/>
      <c r="AF1536" s="45"/>
      <c r="AG1536" s="45"/>
      <c r="AH1536" s="45"/>
      <c r="AI1536" s="45"/>
      <c r="AJ1536" s="45"/>
      <c r="AK1536" s="45"/>
      <c r="AL1536" s="45"/>
    </row>
    <row r="1537" ht="15.75" customHeight="1">
      <c r="A1537" s="27">
        <f t="shared" si="21"/>
        <v>416</v>
      </c>
      <c r="B1537" s="28" t="s">
        <v>5262</v>
      </c>
      <c r="C1537" s="102" t="s">
        <v>5263</v>
      </c>
      <c r="D1537" s="30" t="s">
        <v>5264</v>
      </c>
      <c r="E1537" s="28" t="s">
        <v>28</v>
      </c>
      <c r="F1537" s="28" t="s">
        <v>29</v>
      </c>
      <c r="G1537" s="28" t="s">
        <v>98</v>
      </c>
      <c r="H1537" s="28"/>
      <c r="I1537" s="28" t="s">
        <v>98</v>
      </c>
      <c r="J1537" s="28">
        <v>182.0</v>
      </c>
      <c r="K1537" s="28"/>
      <c r="L1537" s="28" t="s">
        <v>5265</v>
      </c>
      <c r="M1537" s="28" t="s">
        <v>3712</v>
      </c>
      <c r="N1537" s="28">
        <v>1992.0</v>
      </c>
      <c r="O1537" s="60">
        <v>16.0</v>
      </c>
      <c r="P1537" s="28">
        <v>1.0</v>
      </c>
      <c r="Q1537" s="94">
        <v>1.0</v>
      </c>
      <c r="R1537" s="33"/>
      <c r="S1537" s="40"/>
      <c r="T1537" s="40"/>
      <c r="U1537" s="40"/>
      <c r="V1537" s="40"/>
      <c r="W1537" s="40"/>
      <c r="X1537" s="40"/>
      <c r="Y1537" s="45"/>
      <c r="Z1537" s="45"/>
      <c r="AA1537" s="45"/>
      <c r="AB1537" s="45"/>
      <c r="AC1537" s="45"/>
      <c r="AD1537" s="45"/>
      <c r="AE1537" s="45"/>
      <c r="AF1537" s="45"/>
      <c r="AG1537" s="45"/>
      <c r="AH1537" s="45"/>
      <c r="AI1537" s="45"/>
      <c r="AJ1537" s="45"/>
      <c r="AK1537" s="45"/>
      <c r="AL1537" s="45"/>
    </row>
    <row r="1538" ht="15.75" customHeight="1">
      <c r="A1538" s="27">
        <f t="shared" si="21"/>
        <v>417</v>
      </c>
      <c r="B1538" s="28" t="s">
        <v>5266</v>
      </c>
      <c r="C1538" s="43" t="s">
        <v>5267</v>
      </c>
      <c r="D1538" s="30" t="s">
        <v>5268</v>
      </c>
      <c r="E1538" s="28" t="s">
        <v>31</v>
      </c>
      <c r="F1538" s="28" t="s">
        <v>29</v>
      </c>
      <c r="G1538" s="28" t="s">
        <v>30</v>
      </c>
      <c r="H1538" s="28"/>
      <c r="I1538" s="28" t="s">
        <v>30</v>
      </c>
      <c r="J1538" s="28">
        <v>311.0</v>
      </c>
      <c r="K1538" s="28"/>
      <c r="L1538" s="28" t="s">
        <v>5269</v>
      </c>
      <c r="M1538" s="28" t="s">
        <v>5270</v>
      </c>
      <c r="N1538" s="28" t="s">
        <v>31</v>
      </c>
      <c r="O1538" s="60">
        <v>16.0</v>
      </c>
      <c r="P1538" s="28">
        <v>1.0</v>
      </c>
      <c r="Q1538" s="94">
        <v>1.0</v>
      </c>
      <c r="R1538" s="33"/>
      <c r="S1538" s="40"/>
      <c r="T1538" s="40"/>
      <c r="U1538" s="40"/>
      <c r="V1538" s="40"/>
      <c r="W1538" s="40"/>
      <c r="X1538" s="40"/>
      <c r="Y1538" s="3"/>
      <c r="Z1538" s="3"/>
      <c r="AA1538" s="3"/>
      <c r="AB1538" s="3"/>
      <c r="AC1538" s="3"/>
      <c r="AD1538" s="3"/>
      <c r="AE1538" s="3"/>
      <c r="AF1538" s="3"/>
      <c r="AG1538" s="3"/>
      <c r="AH1538" s="3"/>
      <c r="AI1538" s="3"/>
      <c r="AJ1538" s="3"/>
      <c r="AK1538" s="3"/>
      <c r="AL1538" s="3"/>
    </row>
    <row r="1539" ht="15.75" customHeight="1">
      <c r="A1539" s="27">
        <f t="shared" si="21"/>
        <v>418</v>
      </c>
      <c r="B1539" s="28"/>
      <c r="C1539" s="43" t="s">
        <v>5271</v>
      </c>
      <c r="D1539" s="30" t="s">
        <v>5272</v>
      </c>
      <c r="E1539" s="28" t="s">
        <v>144</v>
      </c>
      <c r="F1539" s="28" t="s">
        <v>29</v>
      </c>
      <c r="G1539" s="28" t="s">
        <v>30</v>
      </c>
      <c r="H1539" s="28"/>
      <c r="I1539" s="28" t="s">
        <v>30</v>
      </c>
      <c r="J1539" s="28">
        <v>219.0</v>
      </c>
      <c r="K1539" s="28"/>
      <c r="L1539" s="28" t="s">
        <v>5273</v>
      </c>
      <c r="M1539" s="28" t="s">
        <v>5274</v>
      </c>
      <c r="N1539" s="28">
        <v>2006.0</v>
      </c>
      <c r="O1539" s="28">
        <v>16.0</v>
      </c>
      <c r="P1539" s="28">
        <v>1.0</v>
      </c>
      <c r="Q1539" s="32">
        <v>1.0</v>
      </c>
      <c r="R1539" s="33"/>
      <c r="S1539" s="40"/>
      <c r="T1539" s="40"/>
      <c r="U1539" s="40"/>
      <c r="V1539" s="40"/>
      <c r="W1539" s="40"/>
      <c r="X1539" s="40"/>
      <c r="Y1539" s="45"/>
      <c r="Z1539" s="45"/>
      <c r="AA1539" s="45"/>
      <c r="AB1539" s="45"/>
      <c r="AC1539" s="45"/>
      <c r="AD1539" s="45"/>
      <c r="AE1539" s="45"/>
      <c r="AF1539" s="45"/>
      <c r="AG1539" s="45"/>
      <c r="AH1539" s="45"/>
      <c r="AI1539" s="45"/>
      <c r="AJ1539" s="45"/>
      <c r="AK1539" s="45"/>
      <c r="AL1539" s="45"/>
    </row>
    <row r="1540" ht="15.75" customHeight="1">
      <c r="A1540" s="27">
        <f t="shared" si="21"/>
        <v>419</v>
      </c>
      <c r="B1540" s="28" t="s">
        <v>5275</v>
      </c>
      <c r="C1540" s="43" t="s">
        <v>5276</v>
      </c>
      <c r="D1540" s="30" t="s">
        <v>5277</v>
      </c>
      <c r="E1540" s="28" t="s">
        <v>31</v>
      </c>
      <c r="F1540" s="28" t="s">
        <v>29</v>
      </c>
      <c r="G1540" s="28" t="s">
        <v>30</v>
      </c>
      <c r="H1540" s="28"/>
      <c r="I1540" s="28" t="s">
        <v>30</v>
      </c>
      <c r="J1540" s="28">
        <v>88.0</v>
      </c>
      <c r="K1540" s="28"/>
      <c r="L1540" s="28" t="s">
        <v>5278</v>
      </c>
      <c r="M1540" s="28" t="s">
        <v>161</v>
      </c>
      <c r="N1540" s="28">
        <v>2012.0</v>
      </c>
      <c r="O1540" s="28">
        <v>16.0</v>
      </c>
      <c r="P1540" s="28">
        <v>1.0</v>
      </c>
      <c r="Q1540" s="94">
        <v>1.0</v>
      </c>
      <c r="R1540" s="33"/>
      <c r="S1540" s="40"/>
      <c r="T1540" s="40"/>
      <c r="U1540" s="40"/>
      <c r="V1540" s="40"/>
      <c r="W1540" s="40"/>
      <c r="X1540" s="40"/>
      <c r="Y1540" s="45"/>
      <c r="Z1540" s="45"/>
      <c r="AA1540" s="45"/>
      <c r="AB1540" s="45"/>
      <c r="AC1540" s="45"/>
      <c r="AD1540" s="45"/>
      <c r="AE1540" s="45"/>
      <c r="AF1540" s="45"/>
      <c r="AG1540" s="45"/>
      <c r="AH1540" s="45"/>
      <c r="AI1540" s="45"/>
      <c r="AJ1540" s="45"/>
      <c r="AK1540" s="45"/>
      <c r="AL1540" s="45"/>
    </row>
    <row r="1541" ht="15.75" customHeight="1">
      <c r="A1541" s="27">
        <f t="shared" si="21"/>
        <v>420</v>
      </c>
      <c r="B1541" s="83"/>
      <c r="C1541" s="121" t="s">
        <v>5279</v>
      </c>
      <c r="D1541" s="119" t="s">
        <v>5280</v>
      </c>
      <c r="E1541" s="83"/>
      <c r="F1541" s="121" t="s">
        <v>29</v>
      </c>
      <c r="G1541" s="121" t="s">
        <v>38</v>
      </c>
      <c r="H1541" s="83"/>
      <c r="I1541" s="121" t="s">
        <v>38</v>
      </c>
      <c r="J1541" s="121">
        <v>444.0</v>
      </c>
      <c r="K1541" s="83"/>
      <c r="L1541" s="121" t="s">
        <v>5281</v>
      </c>
      <c r="M1541" s="121" t="s">
        <v>31</v>
      </c>
      <c r="N1541" s="121">
        <v>1947.0</v>
      </c>
      <c r="O1541" s="28">
        <v>16.0</v>
      </c>
      <c r="P1541" s="121">
        <v>1.0</v>
      </c>
      <c r="Q1541" s="121">
        <v>1.0</v>
      </c>
      <c r="R1541" s="84"/>
      <c r="S1541" s="40"/>
      <c r="T1541" s="40"/>
      <c r="U1541" s="40"/>
      <c r="V1541" s="40"/>
      <c r="W1541" s="40"/>
      <c r="X1541" s="40"/>
      <c r="Y1541" s="45"/>
      <c r="Z1541" s="45"/>
      <c r="AA1541" s="45"/>
      <c r="AB1541" s="45"/>
      <c r="AC1541" s="45"/>
      <c r="AD1541" s="45"/>
      <c r="AE1541" s="45"/>
      <c r="AF1541" s="45"/>
      <c r="AG1541" s="45"/>
      <c r="AH1541" s="45"/>
      <c r="AI1541" s="45"/>
      <c r="AJ1541" s="45"/>
      <c r="AK1541" s="45"/>
      <c r="AL1541" s="45"/>
    </row>
    <row r="1542" ht="15.75" customHeight="1">
      <c r="A1542" s="27">
        <f t="shared" si="21"/>
        <v>421</v>
      </c>
      <c r="B1542" s="28" t="s">
        <v>5282</v>
      </c>
      <c r="C1542" s="43" t="s">
        <v>5283</v>
      </c>
      <c r="D1542" s="30" t="s">
        <v>5284</v>
      </c>
      <c r="E1542" s="28" t="s">
        <v>31</v>
      </c>
      <c r="F1542" s="28" t="s">
        <v>29</v>
      </c>
      <c r="G1542" s="28" t="s">
        <v>30</v>
      </c>
      <c r="H1542" s="28"/>
      <c r="I1542" s="28" t="s">
        <v>30</v>
      </c>
      <c r="J1542" s="28">
        <v>111.0</v>
      </c>
      <c r="K1542" s="28"/>
      <c r="L1542" s="28" t="s">
        <v>5285</v>
      </c>
      <c r="M1542" s="28" t="s">
        <v>161</v>
      </c>
      <c r="N1542" s="28">
        <v>2012.0</v>
      </c>
      <c r="O1542" s="60">
        <v>16.0</v>
      </c>
      <c r="P1542" s="28">
        <v>1.0</v>
      </c>
      <c r="Q1542" s="94">
        <v>1.0</v>
      </c>
      <c r="R1542" s="33"/>
      <c r="S1542" s="34"/>
      <c r="T1542" s="34"/>
      <c r="U1542" s="34"/>
      <c r="V1542" s="34"/>
      <c r="W1542" s="34"/>
      <c r="X1542" s="34"/>
      <c r="Y1542" s="45"/>
      <c r="Z1542" s="45"/>
      <c r="AA1542" s="45"/>
      <c r="AB1542" s="45"/>
      <c r="AC1542" s="45"/>
      <c r="AD1542" s="45"/>
      <c r="AE1542" s="45"/>
      <c r="AF1542" s="45"/>
      <c r="AG1542" s="45"/>
      <c r="AH1542" s="45"/>
      <c r="AI1542" s="45"/>
      <c r="AJ1542" s="45"/>
      <c r="AK1542" s="45"/>
      <c r="AL1542" s="45"/>
    </row>
    <row r="1543" ht="15.75" customHeight="1">
      <c r="A1543" s="27">
        <f t="shared" si="21"/>
        <v>422</v>
      </c>
      <c r="B1543" s="28" t="s">
        <v>5286</v>
      </c>
      <c r="C1543" s="43" t="s">
        <v>5287</v>
      </c>
      <c r="D1543" s="30" t="s">
        <v>5288</v>
      </c>
      <c r="E1543" s="28" t="s">
        <v>31</v>
      </c>
      <c r="F1543" s="28" t="s">
        <v>29</v>
      </c>
      <c r="G1543" s="28" t="s">
        <v>30</v>
      </c>
      <c r="H1543" s="28"/>
      <c r="I1543" s="28" t="s">
        <v>30</v>
      </c>
      <c r="J1543" s="28">
        <v>100.0</v>
      </c>
      <c r="K1543" s="28"/>
      <c r="L1543" s="28" t="s">
        <v>5289</v>
      </c>
      <c r="M1543" s="28" t="s">
        <v>161</v>
      </c>
      <c r="N1543" s="28">
        <v>2008.0</v>
      </c>
      <c r="O1543" s="60">
        <v>16.0</v>
      </c>
      <c r="P1543" s="28">
        <v>1.0</v>
      </c>
      <c r="Q1543" s="94">
        <v>1.0</v>
      </c>
      <c r="R1543" s="33"/>
      <c r="S1543" s="40"/>
      <c r="T1543" s="40"/>
      <c r="U1543" s="40"/>
      <c r="V1543" s="40"/>
      <c r="W1543" s="40"/>
      <c r="X1543" s="40"/>
      <c r="Y1543" s="45"/>
      <c r="Z1543" s="45"/>
      <c r="AA1543" s="45"/>
      <c r="AB1543" s="45"/>
      <c r="AC1543" s="45"/>
      <c r="AD1543" s="45"/>
      <c r="AE1543" s="45"/>
      <c r="AF1543" s="45"/>
      <c r="AG1543" s="45"/>
      <c r="AH1543" s="45"/>
      <c r="AI1543" s="45"/>
      <c r="AJ1543" s="45"/>
      <c r="AK1543" s="45"/>
      <c r="AL1543" s="45"/>
    </row>
    <row r="1544" ht="15.75" customHeight="1">
      <c r="A1544" s="27">
        <f t="shared" si="21"/>
        <v>423</v>
      </c>
      <c r="B1544" s="28" t="s">
        <v>31</v>
      </c>
      <c r="C1544" s="43" t="s">
        <v>5290</v>
      </c>
      <c r="D1544" s="30" t="s">
        <v>5291</v>
      </c>
      <c r="E1544" s="28" t="s">
        <v>31</v>
      </c>
      <c r="F1544" s="28" t="s">
        <v>29</v>
      </c>
      <c r="G1544" s="28" t="s">
        <v>37</v>
      </c>
      <c r="H1544" s="28"/>
      <c r="I1544" s="28" t="s">
        <v>38</v>
      </c>
      <c r="J1544" s="28">
        <v>247.0</v>
      </c>
      <c r="K1544" s="28"/>
      <c r="L1544" s="28" t="s">
        <v>5292</v>
      </c>
      <c r="M1544" s="28" t="s">
        <v>5293</v>
      </c>
      <c r="N1544" s="28" t="s">
        <v>31</v>
      </c>
      <c r="O1544" s="60">
        <v>16.0</v>
      </c>
      <c r="P1544" s="28">
        <v>1.0</v>
      </c>
      <c r="Q1544" s="94">
        <v>1.0</v>
      </c>
      <c r="R1544" s="33"/>
      <c r="S1544" s="40"/>
      <c r="T1544" s="40"/>
      <c r="U1544" s="40"/>
      <c r="V1544" s="40"/>
      <c r="W1544" s="40"/>
      <c r="X1544" s="40"/>
      <c r="Y1544" s="45"/>
      <c r="Z1544" s="45"/>
      <c r="AA1544" s="45"/>
      <c r="AB1544" s="45"/>
      <c r="AC1544" s="45"/>
      <c r="AD1544" s="45"/>
      <c r="AE1544" s="45"/>
      <c r="AF1544" s="45"/>
      <c r="AG1544" s="45"/>
      <c r="AH1544" s="45"/>
      <c r="AI1544" s="45"/>
      <c r="AJ1544" s="45"/>
      <c r="AK1544" s="45"/>
      <c r="AL1544" s="45"/>
    </row>
    <row r="1545" ht="15.75" customHeight="1">
      <c r="A1545" s="27">
        <f t="shared" si="21"/>
        <v>424</v>
      </c>
      <c r="B1545" s="121" t="s">
        <v>5294</v>
      </c>
      <c r="C1545" s="121" t="s">
        <v>5295</v>
      </c>
      <c r="D1545" s="119" t="s">
        <v>5296</v>
      </c>
      <c r="E1545" s="83"/>
      <c r="F1545" s="121" t="s">
        <v>29</v>
      </c>
      <c r="G1545" s="121" t="s">
        <v>5297</v>
      </c>
      <c r="H1545" s="83"/>
      <c r="I1545" s="121" t="s">
        <v>38</v>
      </c>
      <c r="J1545" s="121">
        <v>123.0</v>
      </c>
      <c r="K1545" s="83"/>
      <c r="L1545" s="121" t="s">
        <v>5298</v>
      </c>
      <c r="M1545" s="121" t="s">
        <v>5299</v>
      </c>
      <c r="N1545" s="121">
        <v>1992.0</v>
      </c>
      <c r="O1545" s="60">
        <v>16.0</v>
      </c>
      <c r="P1545" s="121">
        <v>1.0</v>
      </c>
      <c r="Q1545" s="121">
        <v>1.0</v>
      </c>
      <c r="R1545" s="84"/>
      <c r="S1545" s="40"/>
      <c r="T1545" s="40"/>
      <c r="U1545" s="40"/>
      <c r="V1545" s="40"/>
      <c r="W1545" s="40"/>
      <c r="X1545" s="40"/>
      <c r="Y1545" s="45"/>
      <c r="Z1545" s="45"/>
      <c r="AA1545" s="45"/>
      <c r="AB1545" s="45"/>
      <c r="AC1545" s="45"/>
      <c r="AD1545" s="45"/>
      <c r="AE1545" s="45"/>
      <c r="AF1545" s="45"/>
      <c r="AG1545" s="45"/>
      <c r="AH1545" s="45"/>
      <c r="AI1545" s="45"/>
      <c r="AJ1545" s="45"/>
      <c r="AK1545" s="45"/>
      <c r="AL1545" s="45"/>
    </row>
    <row r="1546" ht="15.75" customHeight="1">
      <c r="A1546" s="27">
        <f t="shared" si="21"/>
        <v>425</v>
      </c>
      <c r="B1546" s="28"/>
      <c r="C1546" s="43" t="s">
        <v>5300</v>
      </c>
      <c r="D1546" s="30" t="s">
        <v>5301</v>
      </c>
      <c r="E1546" s="28" t="s">
        <v>31</v>
      </c>
      <c r="F1546" s="28" t="s">
        <v>29</v>
      </c>
      <c r="G1546" s="28" t="s">
        <v>30</v>
      </c>
      <c r="H1546" s="28"/>
      <c r="I1546" s="28" t="s">
        <v>30</v>
      </c>
      <c r="J1546" s="28">
        <v>183.0</v>
      </c>
      <c r="K1546" s="28"/>
      <c r="L1546" s="28" t="s">
        <v>5302</v>
      </c>
      <c r="M1546" s="28" t="s">
        <v>151</v>
      </c>
      <c r="N1546" s="28">
        <v>1980.0</v>
      </c>
      <c r="O1546" s="60">
        <v>16.0</v>
      </c>
      <c r="P1546" s="28">
        <v>1.0</v>
      </c>
      <c r="Q1546" s="94">
        <v>1.0</v>
      </c>
      <c r="R1546" s="33"/>
      <c r="S1546" s="40"/>
      <c r="T1546" s="40"/>
      <c r="U1546" s="40"/>
      <c r="V1546" s="40"/>
      <c r="W1546" s="40"/>
      <c r="X1546" s="40"/>
      <c r="Y1546" s="45"/>
      <c r="Z1546" s="45"/>
      <c r="AA1546" s="45"/>
      <c r="AB1546" s="45"/>
      <c r="AC1546" s="45"/>
      <c r="AD1546" s="45"/>
      <c r="AE1546" s="45"/>
      <c r="AF1546" s="45"/>
      <c r="AG1546" s="45"/>
      <c r="AH1546" s="45"/>
      <c r="AI1546" s="45"/>
      <c r="AJ1546" s="45"/>
      <c r="AK1546" s="45"/>
      <c r="AL1546" s="45"/>
    </row>
    <row r="1547" ht="15.75" customHeight="1">
      <c r="A1547" s="27">
        <f t="shared" si="21"/>
        <v>426</v>
      </c>
      <c r="B1547" s="28" t="s">
        <v>5303</v>
      </c>
      <c r="C1547" s="43" t="s">
        <v>5304</v>
      </c>
      <c r="D1547" s="30" t="s">
        <v>5305</v>
      </c>
      <c r="E1547" s="28" t="s">
        <v>31</v>
      </c>
      <c r="F1547" s="28" t="s">
        <v>29</v>
      </c>
      <c r="G1547" s="28" t="s">
        <v>131</v>
      </c>
      <c r="H1547" s="28"/>
      <c r="I1547" s="28" t="s">
        <v>131</v>
      </c>
      <c r="J1547" s="28"/>
      <c r="K1547" s="28"/>
      <c r="L1547" s="28" t="s">
        <v>5306</v>
      </c>
      <c r="M1547" s="28"/>
      <c r="N1547" s="28">
        <v>1977.0</v>
      </c>
      <c r="O1547" s="60">
        <v>16.0</v>
      </c>
      <c r="P1547" s="28">
        <v>1.0</v>
      </c>
      <c r="Q1547" s="94">
        <v>1.0</v>
      </c>
      <c r="R1547" s="33"/>
      <c r="S1547" s="40"/>
      <c r="T1547" s="40"/>
      <c r="U1547" s="40"/>
      <c r="V1547" s="40"/>
      <c r="W1547" s="40"/>
      <c r="X1547" s="40"/>
      <c r="Y1547" s="45"/>
      <c r="Z1547" s="45"/>
      <c r="AA1547" s="45"/>
      <c r="AB1547" s="45"/>
      <c r="AC1547" s="45"/>
      <c r="AD1547" s="45"/>
      <c r="AE1547" s="45"/>
      <c r="AF1547" s="45"/>
      <c r="AG1547" s="45"/>
      <c r="AH1547" s="45"/>
      <c r="AI1547" s="45"/>
      <c r="AJ1547" s="45"/>
      <c r="AK1547" s="45"/>
      <c r="AL1547" s="45"/>
    </row>
    <row r="1548" ht="15.75" customHeight="1">
      <c r="A1548" s="27">
        <f t="shared" si="21"/>
        <v>427</v>
      </c>
      <c r="B1548" s="28" t="s">
        <v>5307</v>
      </c>
      <c r="C1548" s="43" t="s">
        <v>5308</v>
      </c>
      <c r="D1548" s="30" t="s">
        <v>5309</v>
      </c>
      <c r="E1548" s="28" t="s">
        <v>31</v>
      </c>
      <c r="F1548" s="28" t="s">
        <v>29</v>
      </c>
      <c r="G1548" s="28" t="s">
        <v>30</v>
      </c>
      <c r="H1548" s="28"/>
      <c r="I1548" s="28" t="s">
        <v>30</v>
      </c>
      <c r="J1548" s="28">
        <v>70.0</v>
      </c>
      <c r="K1548" s="28"/>
      <c r="L1548" s="28" t="s">
        <v>5310</v>
      </c>
      <c r="M1548" s="28" t="s">
        <v>161</v>
      </c>
      <c r="N1548" s="28">
        <v>2013.0</v>
      </c>
      <c r="O1548" s="60">
        <v>16.0</v>
      </c>
      <c r="P1548" s="28">
        <v>1.0</v>
      </c>
      <c r="Q1548" s="94">
        <v>1.0</v>
      </c>
      <c r="R1548" s="33"/>
      <c r="S1548" s="40"/>
      <c r="T1548" s="40"/>
      <c r="U1548" s="40"/>
      <c r="V1548" s="40"/>
      <c r="W1548" s="40"/>
      <c r="X1548" s="40"/>
      <c r="Y1548" s="45"/>
      <c r="Z1548" s="45"/>
      <c r="AA1548" s="45"/>
      <c r="AB1548" s="45"/>
      <c r="AC1548" s="45"/>
      <c r="AD1548" s="45"/>
      <c r="AE1548" s="45"/>
      <c r="AF1548" s="45"/>
      <c r="AG1548" s="45"/>
      <c r="AH1548" s="45"/>
      <c r="AI1548" s="45"/>
      <c r="AJ1548" s="45"/>
      <c r="AK1548" s="45"/>
      <c r="AL1548" s="45"/>
    </row>
    <row r="1549" ht="15.75" customHeight="1">
      <c r="A1549" s="27">
        <f t="shared" si="21"/>
        <v>428</v>
      </c>
      <c r="B1549" s="28"/>
      <c r="C1549" s="43" t="s">
        <v>5311</v>
      </c>
      <c r="D1549" s="30" t="s">
        <v>5312</v>
      </c>
      <c r="E1549" s="28" t="s">
        <v>31</v>
      </c>
      <c r="F1549" s="28" t="s">
        <v>29</v>
      </c>
      <c r="G1549" s="28" t="s">
        <v>30</v>
      </c>
      <c r="H1549" s="28"/>
      <c r="I1549" s="28" t="s">
        <v>30</v>
      </c>
      <c r="J1549" s="28">
        <v>56.0</v>
      </c>
      <c r="K1549" s="28"/>
      <c r="L1549" s="28" t="s">
        <v>31</v>
      </c>
      <c r="M1549" s="28" t="s">
        <v>31</v>
      </c>
      <c r="N1549" s="28"/>
      <c r="O1549" s="60">
        <v>16.0</v>
      </c>
      <c r="P1549" s="28">
        <v>1.0</v>
      </c>
      <c r="Q1549" s="94">
        <v>1.0</v>
      </c>
      <c r="R1549" s="33"/>
      <c r="S1549" s="40"/>
      <c r="T1549" s="40"/>
      <c r="U1549" s="40"/>
      <c r="V1549" s="40"/>
      <c r="W1549" s="40"/>
      <c r="X1549" s="40"/>
      <c r="Y1549" s="45"/>
      <c r="Z1549" s="45"/>
      <c r="AA1549" s="45"/>
      <c r="AB1549" s="45"/>
      <c r="AC1549" s="45"/>
      <c r="AD1549" s="45"/>
      <c r="AE1549" s="45"/>
      <c r="AF1549" s="45"/>
      <c r="AG1549" s="45"/>
      <c r="AH1549" s="45"/>
      <c r="AI1549" s="45"/>
      <c r="AJ1549" s="45"/>
      <c r="AK1549" s="45"/>
      <c r="AL1549" s="45"/>
    </row>
    <row r="1550" ht="15.75" customHeight="1">
      <c r="A1550" s="27">
        <f t="shared" si="21"/>
        <v>429</v>
      </c>
      <c r="B1550" s="28" t="s">
        <v>31</v>
      </c>
      <c r="C1550" s="43" t="s">
        <v>5313</v>
      </c>
      <c r="D1550" s="30" t="s">
        <v>5314</v>
      </c>
      <c r="E1550" s="28" t="s">
        <v>31</v>
      </c>
      <c r="F1550" s="28" t="s">
        <v>29</v>
      </c>
      <c r="G1550" s="28" t="s">
        <v>30</v>
      </c>
      <c r="H1550" s="28"/>
      <c r="I1550" s="28" t="s">
        <v>30</v>
      </c>
      <c r="J1550" s="28">
        <v>104.0</v>
      </c>
      <c r="K1550" s="28"/>
      <c r="L1550" s="28" t="s">
        <v>5315</v>
      </c>
      <c r="M1550" s="28" t="s">
        <v>31</v>
      </c>
      <c r="N1550" s="28">
        <v>2006.0</v>
      </c>
      <c r="O1550" s="60">
        <v>16.0</v>
      </c>
      <c r="P1550" s="28">
        <v>1.0</v>
      </c>
      <c r="Q1550" s="32">
        <v>1.0</v>
      </c>
      <c r="R1550" s="33"/>
      <c r="S1550" s="40"/>
      <c r="T1550" s="40"/>
      <c r="U1550" s="40"/>
      <c r="V1550" s="40"/>
      <c r="W1550" s="40"/>
      <c r="X1550" s="40"/>
      <c r="Y1550" s="45"/>
      <c r="Z1550" s="45"/>
      <c r="AA1550" s="45"/>
      <c r="AB1550" s="45"/>
      <c r="AC1550" s="45"/>
      <c r="AD1550" s="45"/>
      <c r="AE1550" s="45"/>
      <c r="AF1550" s="45"/>
      <c r="AG1550" s="45"/>
      <c r="AH1550" s="45"/>
      <c r="AI1550" s="45"/>
      <c r="AJ1550" s="45"/>
      <c r="AK1550" s="45"/>
      <c r="AL1550" s="45"/>
    </row>
    <row r="1551" ht="15.75" customHeight="1">
      <c r="A1551" s="27">
        <f t="shared" si="21"/>
        <v>430</v>
      </c>
      <c r="B1551" s="132" t="s">
        <v>5316</v>
      </c>
      <c r="C1551" s="132" t="s">
        <v>5317</v>
      </c>
      <c r="D1551" s="131" t="s">
        <v>5318</v>
      </c>
      <c r="E1551" s="33"/>
      <c r="F1551" s="132" t="s">
        <v>29</v>
      </c>
      <c r="G1551" s="132" t="s">
        <v>37</v>
      </c>
      <c r="H1551" s="33"/>
      <c r="I1551" s="132" t="s">
        <v>38</v>
      </c>
      <c r="J1551" s="132">
        <v>110.0</v>
      </c>
      <c r="K1551" s="33"/>
      <c r="L1551" s="132" t="s">
        <v>5319</v>
      </c>
      <c r="M1551" s="132" t="s">
        <v>5320</v>
      </c>
      <c r="N1551" s="132">
        <v>1987.0</v>
      </c>
      <c r="O1551" s="60">
        <v>16.0</v>
      </c>
      <c r="P1551" s="132">
        <v>1.0</v>
      </c>
      <c r="Q1551" s="132">
        <v>1.0</v>
      </c>
      <c r="R1551" s="84"/>
      <c r="S1551" s="40"/>
      <c r="T1551" s="40"/>
      <c r="U1551" s="40"/>
      <c r="V1551" s="40"/>
      <c r="W1551" s="40"/>
      <c r="X1551" s="40"/>
      <c r="Y1551" s="45"/>
      <c r="Z1551" s="45"/>
      <c r="AA1551" s="45"/>
      <c r="AB1551" s="45"/>
      <c r="AC1551" s="45"/>
      <c r="AD1551" s="45"/>
      <c r="AE1551" s="45"/>
      <c r="AF1551" s="45"/>
      <c r="AG1551" s="45"/>
      <c r="AH1551" s="45"/>
      <c r="AI1551" s="45"/>
      <c r="AJ1551" s="45"/>
      <c r="AK1551" s="45"/>
      <c r="AL1551" s="45"/>
    </row>
    <row r="1552" ht="15.75" customHeight="1">
      <c r="A1552" s="27">
        <f t="shared" si="21"/>
        <v>431</v>
      </c>
      <c r="B1552" s="28" t="s">
        <v>5321</v>
      </c>
      <c r="C1552" s="102" t="s">
        <v>5322</v>
      </c>
      <c r="D1552" s="30" t="s">
        <v>5323</v>
      </c>
      <c r="E1552" s="28"/>
      <c r="F1552" s="28"/>
      <c r="G1552" s="28" t="s">
        <v>30</v>
      </c>
      <c r="H1552" s="28"/>
      <c r="I1552" s="28" t="s">
        <v>30</v>
      </c>
      <c r="J1552" s="28">
        <v>399.0</v>
      </c>
      <c r="K1552" s="28"/>
      <c r="L1552" s="28" t="s">
        <v>5324</v>
      </c>
      <c r="M1552" s="28" t="s">
        <v>5325</v>
      </c>
      <c r="N1552" s="28">
        <v>2012.0</v>
      </c>
      <c r="O1552" s="60">
        <v>16.0</v>
      </c>
      <c r="P1552" s="28">
        <v>2.0</v>
      </c>
      <c r="Q1552" s="114">
        <v>2.0</v>
      </c>
      <c r="R1552" s="33"/>
      <c r="S1552" s="40"/>
      <c r="T1552" s="40"/>
      <c r="U1552" s="40"/>
      <c r="V1552" s="40"/>
      <c r="W1552" s="40"/>
      <c r="X1552" s="40"/>
      <c r="Y1552" s="45"/>
      <c r="Z1552" s="45"/>
      <c r="AA1552" s="45"/>
      <c r="AB1552" s="45"/>
      <c r="AC1552" s="45"/>
      <c r="AD1552" s="45"/>
      <c r="AE1552" s="45"/>
      <c r="AF1552" s="45"/>
      <c r="AG1552" s="45"/>
      <c r="AH1552" s="45"/>
      <c r="AI1552" s="45"/>
      <c r="AJ1552" s="45"/>
      <c r="AK1552" s="45"/>
      <c r="AL1552" s="45"/>
    </row>
    <row r="1553" ht="15.75" customHeight="1">
      <c r="A1553" s="27">
        <f t="shared" si="21"/>
        <v>432</v>
      </c>
      <c r="B1553" s="28"/>
      <c r="C1553" s="43" t="s">
        <v>5326</v>
      </c>
      <c r="D1553" s="30" t="s">
        <v>5327</v>
      </c>
      <c r="E1553" s="28"/>
      <c r="F1553" s="28" t="s">
        <v>29</v>
      </c>
      <c r="G1553" s="28" t="s">
        <v>131</v>
      </c>
      <c r="H1553" s="28"/>
      <c r="I1553" s="28" t="s">
        <v>131</v>
      </c>
      <c r="J1553" s="28">
        <v>213.0</v>
      </c>
      <c r="K1553" s="28"/>
      <c r="L1553" s="28" t="s">
        <v>5328</v>
      </c>
      <c r="M1553" s="28" t="s">
        <v>4617</v>
      </c>
      <c r="N1553" s="28">
        <v>1930.0</v>
      </c>
      <c r="O1553" s="60">
        <v>16.0</v>
      </c>
      <c r="P1553" s="28">
        <v>1.0</v>
      </c>
      <c r="Q1553" s="94">
        <v>1.0</v>
      </c>
      <c r="R1553" s="33"/>
      <c r="S1553" s="40"/>
      <c r="T1553" s="40"/>
      <c r="U1553" s="40"/>
      <c r="V1553" s="40"/>
      <c r="W1553" s="40"/>
      <c r="X1553" s="40"/>
      <c r="Y1553" s="45"/>
      <c r="Z1553" s="45"/>
      <c r="AA1553" s="45"/>
      <c r="AB1553" s="45"/>
      <c r="AC1553" s="45"/>
      <c r="AD1553" s="45"/>
      <c r="AE1553" s="45"/>
      <c r="AF1553" s="45"/>
      <c r="AG1553" s="45"/>
      <c r="AH1553" s="45"/>
      <c r="AI1553" s="45"/>
      <c r="AJ1553" s="45"/>
      <c r="AK1553" s="45"/>
      <c r="AL1553" s="45"/>
    </row>
    <row r="1554" ht="15.75" customHeight="1">
      <c r="A1554" s="27">
        <f t="shared" si="21"/>
        <v>433</v>
      </c>
      <c r="B1554" s="28" t="s">
        <v>31</v>
      </c>
      <c r="C1554" s="43" t="s">
        <v>5329</v>
      </c>
      <c r="D1554" s="30" t="s">
        <v>5330</v>
      </c>
      <c r="E1554" s="28" t="s">
        <v>31</v>
      </c>
      <c r="F1554" s="28" t="s">
        <v>29</v>
      </c>
      <c r="G1554" s="28" t="s">
        <v>31</v>
      </c>
      <c r="H1554" s="28"/>
      <c r="I1554" s="28" t="s">
        <v>38</v>
      </c>
      <c r="J1554" s="28">
        <v>415.0</v>
      </c>
      <c r="K1554" s="28"/>
      <c r="L1554" s="28" t="s">
        <v>5331</v>
      </c>
      <c r="M1554" s="28" t="s">
        <v>3244</v>
      </c>
      <c r="N1554" s="28">
        <v>1932.0</v>
      </c>
      <c r="O1554" s="60">
        <v>16.0</v>
      </c>
      <c r="P1554" s="28">
        <v>2.0</v>
      </c>
      <c r="Q1554" s="32"/>
      <c r="R1554" s="33"/>
      <c r="S1554" s="40"/>
      <c r="T1554" s="40"/>
      <c r="U1554" s="40"/>
      <c r="V1554" s="40"/>
      <c r="W1554" s="40"/>
      <c r="X1554" s="40"/>
      <c r="Y1554" s="45"/>
      <c r="Z1554" s="45"/>
      <c r="AA1554" s="45"/>
      <c r="AB1554" s="45"/>
      <c r="AC1554" s="45"/>
      <c r="AD1554" s="45"/>
      <c r="AE1554" s="45"/>
      <c r="AF1554" s="45"/>
      <c r="AG1554" s="45"/>
      <c r="AH1554" s="45"/>
      <c r="AI1554" s="45"/>
      <c r="AJ1554" s="45"/>
      <c r="AK1554" s="45"/>
      <c r="AL1554" s="45"/>
    </row>
    <row r="1555" ht="15.75" customHeight="1">
      <c r="A1555" s="27">
        <f t="shared" si="21"/>
        <v>434</v>
      </c>
      <c r="B1555" s="28" t="s">
        <v>5332</v>
      </c>
      <c r="C1555" s="43" t="s">
        <v>5333</v>
      </c>
      <c r="D1555" s="30" t="s">
        <v>5334</v>
      </c>
      <c r="E1555" s="28" t="s">
        <v>31</v>
      </c>
      <c r="F1555" s="28" t="s">
        <v>29</v>
      </c>
      <c r="G1555" s="28" t="s">
        <v>30</v>
      </c>
      <c r="H1555" s="28"/>
      <c r="I1555" s="28" t="s">
        <v>30</v>
      </c>
      <c r="J1555" s="28">
        <v>78.0</v>
      </c>
      <c r="K1555" s="28"/>
      <c r="L1555" s="28" t="s">
        <v>3453</v>
      </c>
      <c r="M1555" s="28" t="s">
        <v>151</v>
      </c>
      <c r="N1555" s="28">
        <v>1989.0</v>
      </c>
      <c r="O1555" s="60">
        <v>16.0</v>
      </c>
      <c r="P1555" s="28">
        <v>1.0</v>
      </c>
      <c r="Q1555" s="94">
        <v>1.0</v>
      </c>
      <c r="R1555" s="33"/>
      <c r="S1555" s="34"/>
      <c r="T1555" s="34"/>
      <c r="U1555" s="34"/>
      <c r="V1555" s="34"/>
      <c r="W1555" s="34"/>
      <c r="X1555" s="34"/>
      <c r="Y1555" s="45"/>
      <c r="Z1555" s="45"/>
      <c r="AA1555" s="45"/>
      <c r="AB1555" s="45"/>
      <c r="AC1555" s="45"/>
      <c r="AD1555" s="45"/>
      <c r="AE1555" s="45"/>
      <c r="AF1555" s="45"/>
      <c r="AG1555" s="45"/>
      <c r="AH1555" s="45"/>
      <c r="AI1555" s="45"/>
      <c r="AJ1555" s="45"/>
      <c r="AK1555" s="45"/>
      <c r="AL1555" s="45"/>
    </row>
    <row r="1556" ht="15.75" customHeight="1">
      <c r="A1556" s="27">
        <f t="shared" si="21"/>
        <v>435</v>
      </c>
      <c r="B1556" s="28" t="s">
        <v>31</v>
      </c>
      <c r="C1556" s="43" t="s">
        <v>5333</v>
      </c>
      <c r="D1556" s="30" t="s">
        <v>5335</v>
      </c>
      <c r="E1556" s="28" t="s">
        <v>31</v>
      </c>
      <c r="F1556" s="28" t="s">
        <v>29</v>
      </c>
      <c r="G1556" s="28" t="s">
        <v>30</v>
      </c>
      <c r="H1556" s="28"/>
      <c r="I1556" s="28" t="s">
        <v>30</v>
      </c>
      <c r="J1556" s="28">
        <v>124.0</v>
      </c>
      <c r="K1556" s="28"/>
      <c r="L1556" s="28" t="s">
        <v>5336</v>
      </c>
      <c r="M1556" s="28" t="s">
        <v>151</v>
      </c>
      <c r="N1556" s="28">
        <v>1988.0</v>
      </c>
      <c r="O1556" s="60">
        <v>16.0</v>
      </c>
      <c r="P1556" s="28">
        <v>1.0</v>
      </c>
      <c r="Q1556" s="94">
        <v>1.0</v>
      </c>
      <c r="R1556" s="33"/>
      <c r="S1556" s="40"/>
      <c r="T1556" s="40"/>
      <c r="U1556" s="40"/>
      <c r="V1556" s="40"/>
      <c r="W1556" s="40"/>
      <c r="X1556" s="40"/>
      <c r="Y1556" s="45"/>
      <c r="Z1556" s="45"/>
      <c r="AA1556" s="45"/>
      <c r="AB1556" s="45"/>
      <c r="AC1556" s="45"/>
      <c r="AD1556" s="45"/>
      <c r="AE1556" s="45"/>
      <c r="AF1556" s="45"/>
      <c r="AG1556" s="45"/>
      <c r="AH1556" s="45"/>
      <c r="AI1556" s="45"/>
      <c r="AJ1556" s="45"/>
      <c r="AK1556" s="45"/>
      <c r="AL1556" s="45"/>
    </row>
    <row r="1557" ht="15.75" customHeight="1">
      <c r="A1557" s="27">
        <f t="shared" si="21"/>
        <v>436</v>
      </c>
      <c r="B1557" s="28" t="s">
        <v>5337</v>
      </c>
      <c r="C1557" s="43" t="s">
        <v>5338</v>
      </c>
      <c r="D1557" s="30" t="s">
        <v>5339</v>
      </c>
      <c r="E1557" s="28" t="s">
        <v>144</v>
      </c>
      <c r="F1557" s="28" t="s">
        <v>29</v>
      </c>
      <c r="G1557" s="28" t="s">
        <v>30</v>
      </c>
      <c r="H1557" s="28"/>
      <c r="I1557" s="28" t="s">
        <v>30</v>
      </c>
      <c r="J1557" s="28">
        <f>357</f>
        <v>357</v>
      </c>
      <c r="K1557" s="28"/>
      <c r="L1557" s="28" t="s">
        <v>5340</v>
      </c>
      <c r="M1557" s="28" t="s">
        <v>5341</v>
      </c>
      <c r="N1557" s="28">
        <v>2014.0</v>
      </c>
      <c r="O1557" s="60">
        <v>16.0</v>
      </c>
      <c r="P1557" s="28">
        <v>1.0</v>
      </c>
      <c r="Q1557" s="94">
        <v>1.0</v>
      </c>
      <c r="R1557" s="33"/>
      <c r="S1557" s="34"/>
      <c r="T1557" s="34"/>
      <c r="U1557" s="34"/>
      <c r="V1557" s="34"/>
      <c r="W1557" s="34"/>
      <c r="X1557" s="34"/>
      <c r="Y1557" s="45"/>
      <c r="Z1557" s="45"/>
      <c r="AA1557" s="45"/>
      <c r="AB1557" s="45"/>
      <c r="AC1557" s="45"/>
      <c r="AD1557" s="45"/>
      <c r="AE1557" s="45"/>
      <c r="AF1557" s="45"/>
      <c r="AG1557" s="45"/>
      <c r="AH1557" s="45"/>
      <c r="AI1557" s="45"/>
      <c r="AJ1557" s="45"/>
      <c r="AK1557" s="45"/>
      <c r="AL1557" s="45"/>
    </row>
    <row r="1558" ht="15.75" customHeight="1">
      <c r="A1558" s="27">
        <f t="shared" si="21"/>
        <v>437</v>
      </c>
      <c r="B1558" s="28"/>
      <c r="C1558" s="43" t="s">
        <v>5342</v>
      </c>
      <c r="D1558" s="30" t="s">
        <v>5343</v>
      </c>
      <c r="E1558" s="28" t="s">
        <v>144</v>
      </c>
      <c r="F1558" s="28" t="s">
        <v>29</v>
      </c>
      <c r="G1558" s="28" t="s">
        <v>38</v>
      </c>
      <c r="H1558" s="28"/>
      <c r="I1558" s="28" t="s">
        <v>38</v>
      </c>
      <c r="J1558" s="28">
        <v>156.0</v>
      </c>
      <c r="K1558" s="28"/>
      <c r="L1558" s="28" t="s">
        <v>5344</v>
      </c>
      <c r="M1558" s="28" t="s">
        <v>5345</v>
      </c>
      <c r="N1558" s="28">
        <v>1971.0</v>
      </c>
      <c r="O1558" s="60">
        <v>16.0</v>
      </c>
      <c r="P1558" s="28">
        <v>1.0</v>
      </c>
      <c r="Q1558" s="32">
        <v>1.0</v>
      </c>
      <c r="R1558" s="33"/>
      <c r="S1558" s="40"/>
      <c r="T1558" s="40"/>
      <c r="U1558" s="40"/>
      <c r="V1558" s="40"/>
      <c r="W1558" s="40"/>
      <c r="X1558" s="40"/>
      <c r="Y1558" s="45"/>
      <c r="Z1558" s="45"/>
      <c r="AA1558" s="45"/>
      <c r="AB1558" s="45"/>
      <c r="AC1558" s="45"/>
      <c r="AD1558" s="45"/>
      <c r="AE1558" s="45"/>
      <c r="AF1558" s="45"/>
      <c r="AG1558" s="45"/>
      <c r="AH1558" s="45"/>
      <c r="AI1558" s="45"/>
      <c r="AJ1558" s="45"/>
      <c r="AK1558" s="45"/>
      <c r="AL1558" s="45"/>
    </row>
    <row r="1559" ht="15.75" customHeight="1">
      <c r="A1559" s="27">
        <f t="shared" si="21"/>
        <v>438</v>
      </c>
      <c r="B1559" s="28"/>
      <c r="C1559" s="43" t="s">
        <v>5346</v>
      </c>
      <c r="D1559" s="30" t="s">
        <v>5347</v>
      </c>
      <c r="E1559" s="28" t="s">
        <v>144</v>
      </c>
      <c r="F1559" s="28" t="s">
        <v>29</v>
      </c>
      <c r="G1559" s="28" t="s">
        <v>30</v>
      </c>
      <c r="H1559" s="28"/>
      <c r="I1559" s="28" t="s">
        <v>30</v>
      </c>
      <c r="J1559" s="28">
        <v>558.0</v>
      </c>
      <c r="K1559" s="28"/>
      <c r="L1559" s="28" t="s">
        <v>5348</v>
      </c>
      <c r="M1559" s="28" t="s">
        <v>5349</v>
      </c>
      <c r="N1559" s="28">
        <v>1995.0</v>
      </c>
      <c r="O1559" s="60">
        <v>16.0</v>
      </c>
      <c r="P1559" s="28">
        <v>1.0</v>
      </c>
      <c r="Q1559" s="32">
        <v>1.0</v>
      </c>
      <c r="R1559" s="33"/>
      <c r="S1559" s="40"/>
      <c r="T1559" s="40"/>
      <c r="U1559" s="40"/>
      <c r="V1559" s="40"/>
      <c r="W1559" s="40"/>
      <c r="X1559" s="40"/>
      <c r="Y1559" s="45"/>
      <c r="Z1559" s="45"/>
      <c r="AA1559" s="45"/>
      <c r="AB1559" s="45"/>
      <c r="AC1559" s="45"/>
      <c r="AD1559" s="45"/>
      <c r="AE1559" s="45"/>
      <c r="AF1559" s="45"/>
      <c r="AG1559" s="45"/>
      <c r="AH1559" s="45"/>
      <c r="AI1559" s="45"/>
      <c r="AJ1559" s="45"/>
      <c r="AK1559" s="45"/>
      <c r="AL1559" s="45"/>
    </row>
    <row r="1560" ht="15.75" customHeight="1">
      <c r="A1560" s="27">
        <f t="shared" si="21"/>
        <v>439</v>
      </c>
      <c r="B1560" s="28" t="s">
        <v>5350</v>
      </c>
      <c r="C1560" s="43" t="s">
        <v>5351</v>
      </c>
      <c r="D1560" s="30" t="s">
        <v>5352</v>
      </c>
      <c r="E1560" s="28" t="s">
        <v>144</v>
      </c>
      <c r="F1560" s="28" t="s">
        <v>29</v>
      </c>
      <c r="G1560" s="28" t="s">
        <v>30</v>
      </c>
      <c r="H1560" s="28" t="s">
        <v>31</v>
      </c>
      <c r="I1560" s="28" t="s">
        <v>30</v>
      </c>
      <c r="J1560" s="28">
        <v>255.0</v>
      </c>
      <c r="K1560" s="28"/>
      <c r="L1560" s="28" t="s">
        <v>5353</v>
      </c>
      <c r="M1560" s="28" t="s">
        <v>161</v>
      </c>
      <c r="N1560" s="28">
        <v>2010.0</v>
      </c>
      <c r="O1560" s="60">
        <v>16.0</v>
      </c>
      <c r="P1560" s="28">
        <v>1.0</v>
      </c>
      <c r="Q1560" s="94">
        <v>1.0</v>
      </c>
      <c r="R1560" s="33"/>
      <c r="S1560" s="40"/>
      <c r="T1560" s="40"/>
      <c r="U1560" s="40"/>
      <c r="V1560" s="40"/>
      <c r="W1560" s="40"/>
      <c r="X1560" s="40"/>
      <c r="Y1560" s="45"/>
      <c r="Z1560" s="45"/>
      <c r="AA1560" s="45"/>
      <c r="AB1560" s="45"/>
      <c r="AC1560" s="45"/>
      <c r="AD1560" s="45"/>
      <c r="AE1560" s="45"/>
      <c r="AF1560" s="45"/>
      <c r="AG1560" s="45"/>
      <c r="AH1560" s="45"/>
      <c r="AI1560" s="45"/>
      <c r="AJ1560" s="45"/>
      <c r="AK1560" s="45"/>
      <c r="AL1560" s="45"/>
    </row>
    <row r="1561" ht="15.75" customHeight="1">
      <c r="A1561" s="27">
        <f t="shared" si="21"/>
        <v>440</v>
      </c>
      <c r="B1561" s="28" t="s">
        <v>5354</v>
      </c>
      <c r="C1561" s="43" t="s">
        <v>5355</v>
      </c>
      <c r="D1561" s="30" t="s">
        <v>5356</v>
      </c>
      <c r="E1561" s="28" t="s">
        <v>302</v>
      </c>
      <c r="F1561" s="28" t="s">
        <v>29</v>
      </c>
      <c r="G1561" s="28" t="s">
        <v>37</v>
      </c>
      <c r="H1561" s="28"/>
      <c r="I1561" s="28" t="s">
        <v>38</v>
      </c>
      <c r="J1561" s="28">
        <v>346.0</v>
      </c>
      <c r="K1561" s="28"/>
      <c r="L1561" s="28" t="s">
        <v>5357</v>
      </c>
      <c r="M1561" s="28" t="s">
        <v>5358</v>
      </c>
      <c r="N1561" s="28">
        <v>2008.0</v>
      </c>
      <c r="O1561" s="28">
        <v>16.0</v>
      </c>
      <c r="P1561" s="28">
        <v>1.0</v>
      </c>
      <c r="Q1561" s="94">
        <v>1.0</v>
      </c>
      <c r="R1561" s="33"/>
      <c r="S1561" s="40"/>
      <c r="T1561" s="40"/>
      <c r="U1561" s="40"/>
      <c r="V1561" s="40"/>
      <c r="W1561" s="40"/>
      <c r="X1561" s="40"/>
      <c r="Y1561" s="45"/>
      <c r="Z1561" s="45"/>
      <c r="AA1561" s="45"/>
      <c r="AB1561" s="45"/>
      <c r="AC1561" s="45"/>
      <c r="AD1561" s="45"/>
      <c r="AE1561" s="45"/>
      <c r="AF1561" s="45"/>
      <c r="AG1561" s="45"/>
      <c r="AH1561" s="45"/>
      <c r="AI1561" s="45"/>
      <c r="AJ1561" s="45"/>
      <c r="AK1561" s="45"/>
      <c r="AL1561" s="45"/>
    </row>
    <row r="1562" ht="15.75" customHeight="1">
      <c r="A1562" s="27">
        <f t="shared" si="21"/>
        <v>441</v>
      </c>
      <c r="B1562" s="83"/>
      <c r="C1562" s="121" t="s">
        <v>5359</v>
      </c>
      <c r="D1562" s="118" t="s">
        <v>5360</v>
      </c>
      <c r="E1562" s="83"/>
      <c r="F1562" s="121" t="s">
        <v>29</v>
      </c>
      <c r="G1562" s="121" t="s">
        <v>127</v>
      </c>
      <c r="H1562" s="83"/>
      <c r="I1562" s="121" t="s">
        <v>38</v>
      </c>
      <c r="J1562" s="121">
        <v>69.0</v>
      </c>
      <c r="K1562" s="83"/>
      <c r="L1562" s="121" t="s">
        <v>5361</v>
      </c>
      <c r="M1562" s="121" t="s">
        <v>5362</v>
      </c>
      <c r="N1562" s="121">
        <v>1972.0</v>
      </c>
      <c r="O1562" s="121">
        <v>16.0</v>
      </c>
      <c r="P1562" s="121">
        <v>1.0</v>
      </c>
      <c r="Q1562" s="121">
        <v>1.0</v>
      </c>
      <c r="R1562" s="84"/>
      <c r="S1562" s="40"/>
      <c r="T1562" s="40"/>
      <c r="U1562" s="40"/>
      <c r="V1562" s="40"/>
      <c r="W1562" s="40"/>
      <c r="X1562" s="40"/>
      <c r="Y1562" s="45"/>
      <c r="Z1562" s="45"/>
      <c r="AA1562" s="45"/>
      <c r="AB1562" s="45"/>
      <c r="AC1562" s="45"/>
      <c r="AD1562" s="45"/>
      <c r="AE1562" s="45"/>
      <c r="AF1562" s="45"/>
      <c r="AG1562" s="45"/>
      <c r="AH1562" s="45"/>
      <c r="AI1562" s="45"/>
      <c r="AJ1562" s="45"/>
      <c r="AK1562" s="45"/>
      <c r="AL1562" s="45"/>
    </row>
    <row r="1563" ht="15.75" customHeight="1">
      <c r="A1563" s="27">
        <f t="shared" si="21"/>
        <v>442</v>
      </c>
      <c r="B1563" s="28" t="s">
        <v>5363</v>
      </c>
      <c r="C1563" s="43" t="s">
        <v>5364</v>
      </c>
      <c r="D1563" s="30" t="s">
        <v>5365</v>
      </c>
      <c r="E1563" s="28"/>
      <c r="F1563" s="28" t="s">
        <v>29</v>
      </c>
      <c r="G1563" s="28" t="s">
        <v>38</v>
      </c>
      <c r="H1563" s="28"/>
      <c r="I1563" s="28" t="s">
        <v>38</v>
      </c>
      <c r="J1563" s="28">
        <v>289.0</v>
      </c>
      <c r="K1563" s="28"/>
      <c r="L1563" s="28" t="s">
        <v>5366</v>
      </c>
      <c r="M1563" s="28" t="s">
        <v>5367</v>
      </c>
      <c r="N1563" s="28">
        <v>1970.0</v>
      </c>
      <c r="O1563" s="60">
        <v>16.0</v>
      </c>
      <c r="P1563" s="28">
        <v>1.0</v>
      </c>
      <c r="Q1563" s="94">
        <v>1.0</v>
      </c>
      <c r="R1563" s="33"/>
      <c r="S1563" s="40"/>
      <c r="T1563" s="40"/>
      <c r="U1563" s="40"/>
      <c r="V1563" s="40"/>
      <c r="W1563" s="40"/>
      <c r="X1563" s="40"/>
      <c r="Y1563" s="45"/>
      <c r="Z1563" s="45"/>
      <c r="AA1563" s="45"/>
      <c r="AB1563" s="45"/>
      <c r="AC1563" s="45"/>
      <c r="AD1563" s="45"/>
      <c r="AE1563" s="45"/>
      <c r="AF1563" s="45"/>
      <c r="AG1563" s="45"/>
      <c r="AH1563" s="45"/>
      <c r="AI1563" s="45"/>
      <c r="AJ1563" s="45"/>
      <c r="AK1563" s="45"/>
      <c r="AL1563" s="45"/>
    </row>
    <row r="1564" ht="15.75" customHeight="1">
      <c r="A1564" s="27">
        <f t="shared" si="21"/>
        <v>443</v>
      </c>
      <c r="B1564" s="28" t="s">
        <v>5368</v>
      </c>
      <c r="C1564" s="43" t="s">
        <v>5369</v>
      </c>
      <c r="D1564" s="30" t="s">
        <v>5370</v>
      </c>
      <c r="E1564" s="28" t="s">
        <v>31</v>
      </c>
      <c r="F1564" s="28" t="s">
        <v>29</v>
      </c>
      <c r="G1564" s="28" t="s">
        <v>5371</v>
      </c>
      <c r="H1564" s="28"/>
      <c r="I1564" s="28" t="s">
        <v>38</v>
      </c>
      <c r="J1564" s="28">
        <v>205.0</v>
      </c>
      <c r="K1564" s="28"/>
      <c r="L1564" s="28" t="s">
        <v>5372</v>
      </c>
      <c r="M1564" s="28" t="s">
        <v>5373</v>
      </c>
      <c r="N1564" s="28">
        <v>1983.0</v>
      </c>
      <c r="O1564" s="60">
        <v>16.0</v>
      </c>
      <c r="P1564" s="28">
        <v>1.0</v>
      </c>
      <c r="Q1564" s="94">
        <v>1.0</v>
      </c>
      <c r="R1564" s="33"/>
      <c r="S1564" s="40"/>
      <c r="T1564" s="40"/>
      <c r="U1564" s="40"/>
      <c r="V1564" s="40"/>
      <c r="W1564" s="40"/>
      <c r="X1564" s="40"/>
      <c r="Y1564" s="45"/>
      <c r="Z1564" s="45"/>
      <c r="AA1564" s="45"/>
      <c r="AB1564" s="45"/>
      <c r="AC1564" s="45"/>
      <c r="AD1564" s="45"/>
      <c r="AE1564" s="45"/>
      <c r="AF1564" s="45"/>
      <c r="AG1564" s="45"/>
      <c r="AH1564" s="45"/>
      <c r="AI1564" s="45"/>
      <c r="AJ1564" s="45"/>
      <c r="AK1564" s="45"/>
      <c r="AL1564" s="45"/>
    </row>
    <row r="1565" ht="15.75" customHeight="1">
      <c r="A1565" s="27">
        <f t="shared" si="21"/>
        <v>444</v>
      </c>
      <c r="B1565" s="28" t="s">
        <v>5374</v>
      </c>
      <c r="C1565" s="43" t="s">
        <v>5375</v>
      </c>
      <c r="D1565" s="30" t="s">
        <v>5376</v>
      </c>
      <c r="E1565" s="28"/>
      <c r="F1565" s="28" t="s">
        <v>29</v>
      </c>
      <c r="G1565" s="28" t="s">
        <v>31</v>
      </c>
      <c r="H1565" s="28"/>
      <c r="I1565" s="28" t="s">
        <v>38</v>
      </c>
      <c r="J1565" s="28">
        <v>456.0</v>
      </c>
      <c r="K1565" s="28"/>
      <c r="L1565" s="28" t="s">
        <v>5377</v>
      </c>
      <c r="M1565" s="28" t="s">
        <v>178</v>
      </c>
      <c r="N1565" s="28">
        <v>1992.0</v>
      </c>
      <c r="O1565" s="28">
        <v>16.0</v>
      </c>
      <c r="P1565" s="28">
        <v>1.0</v>
      </c>
      <c r="Q1565" s="94">
        <v>1.0</v>
      </c>
      <c r="R1565" s="33"/>
      <c r="S1565" s="40"/>
      <c r="T1565" s="40"/>
      <c r="U1565" s="40"/>
      <c r="V1565" s="40"/>
      <c r="W1565" s="40"/>
      <c r="X1565" s="40"/>
      <c r="Y1565" s="45"/>
      <c r="Z1565" s="45"/>
      <c r="AA1565" s="45"/>
      <c r="AB1565" s="45"/>
      <c r="AC1565" s="45"/>
      <c r="AD1565" s="45"/>
      <c r="AE1565" s="45"/>
      <c r="AF1565" s="45"/>
      <c r="AG1565" s="45"/>
      <c r="AH1565" s="45"/>
      <c r="AI1565" s="45"/>
      <c r="AJ1565" s="45"/>
      <c r="AK1565" s="45"/>
      <c r="AL1565" s="45"/>
    </row>
    <row r="1566" ht="15.75" customHeight="1">
      <c r="A1566" s="27">
        <f t="shared" si="21"/>
        <v>445</v>
      </c>
      <c r="B1566" s="132" t="s">
        <v>5378</v>
      </c>
      <c r="C1566" s="132" t="s">
        <v>5379</v>
      </c>
      <c r="D1566" s="131" t="s">
        <v>5380</v>
      </c>
      <c r="E1566" s="33"/>
      <c r="F1566" s="132" t="s">
        <v>29</v>
      </c>
      <c r="G1566" s="132" t="s">
        <v>37</v>
      </c>
      <c r="H1566" s="33"/>
      <c r="I1566" s="132" t="s">
        <v>38</v>
      </c>
      <c r="J1566" s="132">
        <v>132.0</v>
      </c>
      <c r="K1566" s="33"/>
      <c r="L1566" s="132" t="s">
        <v>5381</v>
      </c>
      <c r="M1566" s="132" t="s">
        <v>5382</v>
      </c>
      <c r="N1566" s="132">
        <v>1984.0</v>
      </c>
      <c r="O1566" s="132">
        <v>16.0</v>
      </c>
      <c r="P1566" s="132">
        <v>1.0</v>
      </c>
      <c r="Q1566" s="132">
        <v>1.0</v>
      </c>
      <c r="R1566" s="84"/>
      <c r="S1566" s="40"/>
      <c r="T1566" s="40"/>
      <c r="U1566" s="40"/>
      <c r="V1566" s="40"/>
      <c r="W1566" s="40"/>
      <c r="X1566" s="40"/>
      <c r="Y1566" s="45"/>
      <c r="Z1566" s="45"/>
      <c r="AA1566" s="45"/>
      <c r="AB1566" s="45"/>
      <c r="AC1566" s="45"/>
      <c r="AD1566" s="45"/>
      <c r="AE1566" s="45"/>
      <c r="AF1566" s="45"/>
      <c r="AG1566" s="45"/>
      <c r="AH1566" s="45"/>
      <c r="AI1566" s="45"/>
      <c r="AJ1566" s="45"/>
      <c r="AK1566" s="45"/>
      <c r="AL1566" s="45"/>
    </row>
    <row r="1567" ht="15.75" customHeight="1">
      <c r="A1567" s="27">
        <f t="shared" si="21"/>
        <v>446</v>
      </c>
      <c r="B1567" s="28" t="s">
        <v>31</v>
      </c>
      <c r="C1567" s="43" t="s">
        <v>5383</v>
      </c>
      <c r="D1567" s="30" t="s">
        <v>5384</v>
      </c>
      <c r="E1567" s="28" t="s">
        <v>31</v>
      </c>
      <c r="F1567" s="28" t="s">
        <v>29</v>
      </c>
      <c r="G1567" s="28" t="s">
        <v>37</v>
      </c>
      <c r="H1567" s="28"/>
      <c r="I1567" s="28" t="s">
        <v>38</v>
      </c>
      <c r="J1567" s="28">
        <v>62.0</v>
      </c>
      <c r="K1567" s="28"/>
      <c r="L1567" s="28" t="s">
        <v>5385</v>
      </c>
      <c r="M1567" s="28" t="s">
        <v>5386</v>
      </c>
      <c r="N1567" s="28">
        <v>1986.0</v>
      </c>
      <c r="O1567" s="132">
        <v>16.0</v>
      </c>
      <c r="P1567" s="28">
        <v>1.0</v>
      </c>
      <c r="Q1567" s="94">
        <v>1.0</v>
      </c>
      <c r="R1567" s="33"/>
      <c r="S1567" s="40"/>
      <c r="T1567" s="40"/>
      <c r="U1567" s="40"/>
      <c r="V1567" s="40"/>
      <c r="W1567" s="40"/>
      <c r="X1567" s="40"/>
      <c r="Y1567" s="45"/>
      <c r="Z1567" s="45"/>
      <c r="AA1567" s="45"/>
      <c r="AB1567" s="45"/>
      <c r="AC1567" s="45"/>
      <c r="AD1567" s="45"/>
      <c r="AE1567" s="45"/>
      <c r="AF1567" s="45"/>
      <c r="AG1567" s="45"/>
      <c r="AH1567" s="45"/>
      <c r="AI1567" s="45"/>
      <c r="AJ1567" s="45"/>
      <c r="AK1567" s="45"/>
      <c r="AL1567" s="45"/>
    </row>
    <row r="1568" ht="15.75" customHeight="1">
      <c r="A1568" s="27">
        <f t="shared" si="21"/>
        <v>447</v>
      </c>
      <c r="B1568" s="121" t="s">
        <v>5387</v>
      </c>
      <c r="C1568" s="121" t="s">
        <v>5388</v>
      </c>
      <c r="D1568" s="119" t="s">
        <v>5389</v>
      </c>
      <c r="E1568" s="83"/>
      <c r="F1568" s="121" t="s">
        <v>29</v>
      </c>
      <c r="G1568" s="121" t="s">
        <v>37</v>
      </c>
      <c r="H1568" s="83"/>
      <c r="I1568" s="121" t="s">
        <v>38</v>
      </c>
      <c r="J1568" s="121">
        <v>192.0</v>
      </c>
      <c r="K1568" s="83"/>
      <c r="L1568" s="121" t="s">
        <v>5390</v>
      </c>
      <c r="M1568" s="121" t="s">
        <v>5391</v>
      </c>
      <c r="N1568" s="121">
        <v>1961.0</v>
      </c>
      <c r="O1568" s="132">
        <v>16.0</v>
      </c>
      <c r="P1568" s="121">
        <v>1.0</v>
      </c>
      <c r="Q1568" s="121">
        <v>1.0</v>
      </c>
      <c r="R1568" s="84"/>
      <c r="S1568" s="40"/>
      <c r="T1568" s="40"/>
      <c r="U1568" s="40"/>
      <c r="V1568" s="40"/>
      <c r="W1568" s="40"/>
      <c r="X1568" s="40"/>
      <c r="Y1568" s="45"/>
      <c r="Z1568" s="45"/>
      <c r="AA1568" s="45"/>
      <c r="AB1568" s="45"/>
      <c r="AC1568" s="45"/>
      <c r="AD1568" s="45"/>
      <c r="AE1568" s="45"/>
      <c r="AF1568" s="45"/>
      <c r="AG1568" s="45"/>
      <c r="AH1568" s="45"/>
      <c r="AI1568" s="45"/>
      <c r="AJ1568" s="45"/>
      <c r="AK1568" s="45"/>
      <c r="AL1568" s="45"/>
    </row>
    <row r="1569" ht="15.75" customHeight="1">
      <c r="A1569" s="27">
        <f t="shared" si="21"/>
        <v>448</v>
      </c>
      <c r="B1569" s="132" t="s">
        <v>5387</v>
      </c>
      <c r="C1569" s="132" t="s">
        <v>5388</v>
      </c>
      <c r="D1569" s="131" t="s">
        <v>5389</v>
      </c>
      <c r="E1569" s="33"/>
      <c r="F1569" s="132" t="s">
        <v>29</v>
      </c>
      <c r="G1569" s="132" t="s">
        <v>37</v>
      </c>
      <c r="H1569" s="33"/>
      <c r="I1569" s="132" t="s">
        <v>38</v>
      </c>
      <c r="J1569" s="132">
        <v>192.0</v>
      </c>
      <c r="K1569" s="33"/>
      <c r="L1569" s="132" t="s">
        <v>5390</v>
      </c>
      <c r="M1569" s="132" t="s">
        <v>5392</v>
      </c>
      <c r="N1569" s="132">
        <v>1961.0</v>
      </c>
      <c r="O1569" s="132">
        <v>16.0</v>
      </c>
      <c r="P1569" s="132">
        <v>1.0</v>
      </c>
      <c r="Q1569" s="132">
        <v>1.0</v>
      </c>
      <c r="R1569" s="84"/>
      <c r="S1569" s="40"/>
      <c r="T1569" s="40"/>
      <c r="U1569" s="40"/>
      <c r="V1569" s="40"/>
      <c r="W1569" s="40"/>
      <c r="X1569" s="40"/>
      <c r="Y1569" s="45"/>
      <c r="Z1569" s="45"/>
      <c r="AA1569" s="45"/>
      <c r="AB1569" s="45"/>
      <c r="AC1569" s="45"/>
      <c r="AD1569" s="45"/>
      <c r="AE1569" s="45"/>
      <c r="AF1569" s="45"/>
      <c r="AG1569" s="45"/>
      <c r="AH1569" s="45"/>
      <c r="AI1569" s="45"/>
      <c r="AJ1569" s="45"/>
      <c r="AK1569" s="45"/>
      <c r="AL1569" s="45"/>
    </row>
    <row r="1570" ht="15.75" customHeight="1">
      <c r="A1570" s="27">
        <f t="shared" si="21"/>
        <v>449</v>
      </c>
      <c r="B1570" s="28" t="s">
        <v>31</v>
      </c>
      <c r="C1570" s="43" t="s">
        <v>5393</v>
      </c>
      <c r="D1570" s="30" t="s">
        <v>5394</v>
      </c>
      <c r="E1570" s="28" t="s">
        <v>31</v>
      </c>
      <c r="F1570" s="28" t="s">
        <v>29</v>
      </c>
      <c r="G1570" s="28" t="s">
        <v>5395</v>
      </c>
      <c r="H1570" s="28"/>
      <c r="I1570" s="28" t="s">
        <v>38</v>
      </c>
      <c r="J1570" s="28">
        <v>64.0</v>
      </c>
      <c r="K1570" s="28"/>
      <c r="L1570" s="28" t="s">
        <v>5396</v>
      </c>
      <c r="M1570" s="28" t="s">
        <v>5397</v>
      </c>
      <c r="N1570" s="28" t="s">
        <v>31</v>
      </c>
      <c r="O1570" s="60">
        <v>16.0</v>
      </c>
      <c r="P1570" s="28">
        <v>1.0</v>
      </c>
      <c r="Q1570" s="94">
        <v>1.0</v>
      </c>
      <c r="R1570" s="33"/>
      <c r="S1570" s="40"/>
      <c r="T1570" s="40"/>
      <c r="U1570" s="40"/>
      <c r="V1570" s="40"/>
      <c r="W1570" s="40"/>
      <c r="X1570" s="40"/>
      <c r="Y1570" s="45"/>
      <c r="Z1570" s="45"/>
      <c r="AA1570" s="45"/>
      <c r="AB1570" s="45"/>
      <c r="AC1570" s="45"/>
      <c r="AD1570" s="45"/>
      <c r="AE1570" s="45"/>
      <c r="AF1570" s="45"/>
      <c r="AG1570" s="45"/>
      <c r="AH1570" s="45"/>
      <c r="AI1570" s="45"/>
      <c r="AJ1570" s="45"/>
      <c r="AK1570" s="45"/>
      <c r="AL1570" s="45"/>
    </row>
    <row r="1571" ht="15.75" customHeight="1">
      <c r="A1571" s="27">
        <f t="shared" si="21"/>
        <v>450</v>
      </c>
      <c r="B1571" s="28" t="s">
        <v>5398</v>
      </c>
      <c r="C1571" s="43" t="s">
        <v>5399</v>
      </c>
      <c r="D1571" s="30" t="s">
        <v>5400</v>
      </c>
      <c r="E1571" s="28"/>
      <c r="F1571" s="28" t="s">
        <v>29</v>
      </c>
      <c r="G1571" s="28" t="s">
        <v>58</v>
      </c>
      <c r="H1571" s="28"/>
      <c r="I1571" s="28" t="s">
        <v>38</v>
      </c>
      <c r="J1571" s="28">
        <v>80.0</v>
      </c>
      <c r="K1571" s="28"/>
      <c r="L1571" s="28" t="s">
        <v>5401</v>
      </c>
      <c r="M1571" s="28" t="s">
        <v>4873</v>
      </c>
      <c r="N1571" s="28">
        <v>2002.0</v>
      </c>
      <c r="O1571" s="60">
        <v>16.0</v>
      </c>
      <c r="P1571" s="28">
        <v>1.0</v>
      </c>
      <c r="Q1571" s="94">
        <v>1.0</v>
      </c>
      <c r="R1571" s="33"/>
      <c r="S1571" s="40"/>
      <c r="T1571" s="40"/>
      <c r="U1571" s="40"/>
      <c r="V1571" s="40"/>
      <c r="W1571" s="40"/>
      <c r="X1571" s="40"/>
      <c r="Y1571" s="45"/>
      <c r="Z1571" s="45"/>
      <c r="AA1571" s="45"/>
      <c r="AB1571" s="45"/>
      <c r="AC1571" s="45"/>
      <c r="AD1571" s="45"/>
      <c r="AE1571" s="45"/>
      <c r="AF1571" s="45"/>
      <c r="AG1571" s="45"/>
      <c r="AH1571" s="45"/>
      <c r="AI1571" s="45"/>
      <c r="AJ1571" s="45"/>
      <c r="AK1571" s="45"/>
      <c r="AL1571" s="45"/>
    </row>
    <row r="1572" ht="15.75" customHeight="1">
      <c r="A1572" s="27">
        <f t="shared" si="21"/>
        <v>451</v>
      </c>
      <c r="B1572" s="28" t="s">
        <v>31</v>
      </c>
      <c r="C1572" s="43" t="s">
        <v>5402</v>
      </c>
      <c r="D1572" s="30" t="s">
        <v>5403</v>
      </c>
      <c r="E1572" s="28"/>
      <c r="F1572" s="28" t="s">
        <v>29</v>
      </c>
      <c r="G1572" s="28" t="s">
        <v>131</v>
      </c>
      <c r="H1572" s="28" t="s">
        <v>31</v>
      </c>
      <c r="I1572" s="28" t="s">
        <v>131</v>
      </c>
      <c r="J1572" s="28">
        <v>197.0</v>
      </c>
      <c r="K1572" s="28"/>
      <c r="L1572" s="28" t="s">
        <v>5404</v>
      </c>
      <c r="M1572" s="28" t="s">
        <v>5405</v>
      </c>
      <c r="N1572" s="28">
        <v>1964.0</v>
      </c>
      <c r="O1572" s="60">
        <v>16.0</v>
      </c>
      <c r="P1572" s="28">
        <v>1.0</v>
      </c>
      <c r="Q1572" s="37">
        <v>1.0</v>
      </c>
      <c r="R1572" s="33"/>
      <c r="S1572" s="40"/>
      <c r="T1572" s="40"/>
      <c r="U1572" s="40"/>
      <c r="V1572" s="40"/>
      <c r="W1572" s="40"/>
      <c r="X1572" s="40"/>
      <c r="Y1572" s="45"/>
      <c r="Z1572" s="45"/>
      <c r="AA1572" s="45"/>
      <c r="AB1572" s="45"/>
      <c r="AC1572" s="45"/>
      <c r="AD1572" s="45"/>
      <c r="AE1572" s="45"/>
      <c r="AF1572" s="45"/>
      <c r="AG1572" s="45"/>
      <c r="AH1572" s="45"/>
      <c r="AI1572" s="45"/>
      <c r="AJ1572" s="45"/>
      <c r="AK1572" s="45"/>
      <c r="AL1572" s="45"/>
    </row>
    <row r="1573" ht="15.75" customHeight="1">
      <c r="A1573" s="27">
        <f t="shared" si="21"/>
        <v>452</v>
      </c>
      <c r="B1573" s="28"/>
      <c r="C1573" s="43" t="s">
        <v>5406</v>
      </c>
      <c r="D1573" s="30" t="s">
        <v>5407</v>
      </c>
      <c r="E1573" s="28" t="s">
        <v>31</v>
      </c>
      <c r="F1573" s="28" t="s">
        <v>29</v>
      </c>
      <c r="G1573" s="28" t="s">
        <v>30</v>
      </c>
      <c r="H1573" s="28"/>
      <c r="I1573" s="28" t="s">
        <v>30</v>
      </c>
      <c r="J1573" s="28">
        <v>252.0</v>
      </c>
      <c r="K1573" s="28"/>
      <c r="L1573" s="28"/>
      <c r="M1573" s="28" t="s">
        <v>151</v>
      </c>
      <c r="N1573" s="28">
        <v>1976.0</v>
      </c>
      <c r="O1573" s="60">
        <v>16.0</v>
      </c>
      <c r="P1573" s="28">
        <v>1.0</v>
      </c>
      <c r="Q1573" s="94">
        <v>1.0</v>
      </c>
      <c r="R1573" s="33"/>
      <c r="S1573" s="34"/>
      <c r="T1573" s="34"/>
      <c r="U1573" s="34"/>
      <c r="V1573" s="34"/>
      <c r="W1573" s="34"/>
      <c r="X1573" s="34"/>
      <c r="Y1573" s="45"/>
      <c r="Z1573" s="45"/>
      <c r="AA1573" s="45"/>
      <c r="AB1573" s="45"/>
      <c r="AC1573" s="45"/>
      <c r="AD1573" s="45"/>
      <c r="AE1573" s="45"/>
      <c r="AF1573" s="45"/>
      <c r="AG1573" s="45"/>
      <c r="AH1573" s="45"/>
      <c r="AI1573" s="45"/>
      <c r="AJ1573" s="45"/>
      <c r="AK1573" s="45"/>
      <c r="AL1573" s="45"/>
    </row>
    <row r="1574" ht="15.75" customHeight="1">
      <c r="A1574" s="27">
        <f t="shared" si="21"/>
        <v>453</v>
      </c>
      <c r="B1574" s="132" t="s">
        <v>5408</v>
      </c>
      <c r="C1574" s="132" t="s">
        <v>5409</v>
      </c>
      <c r="D1574" s="131" t="s">
        <v>5410</v>
      </c>
      <c r="E1574" s="33"/>
      <c r="F1574" s="132" t="s">
        <v>29</v>
      </c>
      <c r="G1574" s="132" t="s">
        <v>30</v>
      </c>
      <c r="H1574" s="33"/>
      <c r="I1574" s="132" t="s">
        <v>38</v>
      </c>
      <c r="J1574" s="132">
        <v>360.0</v>
      </c>
      <c r="K1574" s="33"/>
      <c r="L1574" s="132" t="s">
        <v>5411</v>
      </c>
      <c r="M1574" s="132" t="s">
        <v>5412</v>
      </c>
      <c r="N1574" s="132">
        <v>2008.0</v>
      </c>
      <c r="O1574" s="132">
        <v>16.0</v>
      </c>
      <c r="P1574" s="132">
        <v>2.0</v>
      </c>
      <c r="Q1574" s="132">
        <v>2.0</v>
      </c>
      <c r="R1574" s="84"/>
      <c r="S1574" s="40"/>
      <c r="T1574" s="40"/>
      <c r="U1574" s="40"/>
      <c r="V1574" s="40"/>
      <c r="W1574" s="40"/>
      <c r="X1574" s="40"/>
      <c r="Y1574" s="45"/>
      <c r="Z1574" s="45"/>
      <c r="AA1574" s="45"/>
      <c r="AB1574" s="45"/>
      <c r="AC1574" s="45"/>
      <c r="AD1574" s="45"/>
      <c r="AE1574" s="45"/>
      <c r="AF1574" s="45"/>
      <c r="AG1574" s="45"/>
      <c r="AH1574" s="45"/>
      <c r="AI1574" s="45"/>
      <c r="AJ1574" s="45"/>
      <c r="AK1574" s="45"/>
      <c r="AL1574" s="45"/>
    </row>
    <row r="1575" ht="15.75" customHeight="1">
      <c r="A1575" s="27">
        <f t="shared" si="21"/>
        <v>454</v>
      </c>
      <c r="B1575" s="121" t="s">
        <v>5413</v>
      </c>
      <c r="C1575" s="121" t="s">
        <v>5414</v>
      </c>
      <c r="D1575" s="119" t="s">
        <v>5415</v>
      </c>
      <c r="E1575" s="83"/>
      <c r="F1575" s="83"/>
      <c r="G1575" s="121" t="s">
        <v>30</v>
      </c>
      <c r="H1575" s="83"/>
      <c r="I1575" s="121" t="s">
        <v>30</v>
      </c>
      <c r="J1575" s="121">
        <v>68.0</v>
      </c>
      <c r="K1575" s="83"/>
      <c r="L1575" s="121" t="s">
        <v>5416</v>
      </c>
      <c r="M1575" s="121" t="s">
        <v>5417</v>
      </c>
      <c r="N1575" s="121">
        <v>2004.0</v>
      </c>
      <c r="O1575" s="121">
        <v>16.0</v>
      </c>
      <c r="P1575" s="121">
        <v>1.0</v>
      </c>
      <c r="Q1575" s="121">
        <v>1.0</v>
      </c>
      <c r="R1575" s="84"/>
      <c r="S1575" s="40"/>
      <c r="T1575" s="40"/>
      <c r="U1575" s="40"/>
      <c r="V1575" s="40"/>
      <c r="W1575" s="40"/>
      <c r="X1575" s="40"/>
      <c r="Y1575" s="45"/>
      <c r="Z1575" s="45"/>
      <c r="AA1575" s="45"/>
      <c r="AB1575" s="45"/>
      <c r="AC1575" s="45"/>
      <c r="AD1575" s="45"/>
      <c r="AE1575" s="45"/>
      <c r="AF1575" s="45"/>
      <c r="AG1575" s="45"/>
      <c r="AH1575" s="45"/>
      <c r="AI1575" s="45"/>
      <c r="AJ1575" s="45"/>
      <c r="AK1575" s="45"/>
      <c r="AL1575" s="45"/>
    </row>
    <row r="1576" ht="15.75" customHeight="1">
      <c r="A1576" s="27">
        <f t="shared" si="21"/>
        <v>455</v>
      </c>
      <c r="B1576" s="132" t="s">
        <v>5413</v>
      </c>
      <c r="C1576" s="132" t="s">
        <v>5414</v>
      </c>
      <c r="D1576" s="131" t="s">
        <v>5418</v>
      </c>
      <c r="E1576" s="33"/>
      <c r="F1576" s="132" t="s">
        <v>29</v>
      </c>
      <c r="G1576" s="132" t="s">
        <v>30</v>
      </c>
      <c r="H1576" s="33"/>
      <c r="I1576" s="132" t="s">
        <v>38</v>
      </c>
      <c r="J1576" s="132">
        <v>68.0</v>
      </c>
      <c r="K1576" s="33"/>
      <c r="L1576" s="132" t="s">
        <v>5419</v>
      </c>
      <c r="M1576" s="132" t="s">
        <v>5420</v>
      </c>
      <c r="N1576" s="132">
        <v>2004.0</v>
      </c>
      <c r="O1576" s="132">
        <v>16.0</v>
      </c>
      <c r="P1576" s="132">
        <v>1.0</v>
      </c>
      <c r="Q1576" s="132">
        <v>1.0</v>
      </c>
      <c r="R1576" s="84"/>
      <c r="S1576" s="40"/>
      <c r="T1576" s="40"/>
      <c r="U1576" s="40"/>
      <c r="V1576" s="40"/>
      <c r="W1576" s="40"/>
      <c r="X1576" s="40"/>
      <c r="Y1576" s="45"/>
      <c r="Z1576" s="45"/>
      <c r="AA1576" s="45"/>
      <c r="AB1576" s="45"/>
      <c r="AC1576" s="45"/>
      <c r="AD1576" s="45"/>
      <c r="AE1576" s="45"/>
      <c r="AF1576" s="45"/>
      <c r="AG1576" s="45"/>
      <c r="AH1576" s="45"/>
      <c r="AI1576" s="45"/>
      <c r="AJ1576" s="45"/>
      <c r="AK1576" s="45"/>
      <c r="AL1576" s="45"/>
    </row>
    <row r="1577" ht="15.75" customHeight="1">
      <c r="A1577" s="27">
        <f t="shared" si="21"/>
        <v>456</v>
      </c>
      <c r="B1577" s="132" t="s">
        <v>5413</v>
      </c>
      <c r="C1577" s="132" t="s">
        <v>5421</v>
      </c>
      <c r="D1577" s="131" t="s">
        <v>5422</v>
      </c>
      <c r="E1577" s="33"/>
      <c r="F1577" s="132" t="s">
        <v>29</v>
      </c>
      <c r="G1577" s="132" t="s">
        <v>30</v>
      </c>
      <c r="H1577" s="33"/>
      <c r="I1577" s="132" t="s">
        <v>38</v>
      </c>
      <c r="J1577" s="132">
        <v>150.0</v>
      </c>
      <c r="K1577" s="33"/>
      <c r="L1577" s="132" t="s">
        <v>5423</v>
      </c>
      <c r="M1577" s="132" t="s">
        <v>5420</v>
      </c>
      <c r="N1577" s="132">
        <v>1980.0</v>
      </c>
      <c r="O1577" s="132">
        <v>16.0</v>
      </c>
      <c r="P1577" s="132">
        <v>1.0</v>
      </c>
      <c r="Q1577" s="132">
        <v>1.0</v>
      </c>
      <c r="R1577" s="84"/>
      <c r="S1577" s="40"/>
      <c r="T1577" s="40"/>
      <c r="U1577" s="40"/>
      <c r="V1577" s="40"/>
      <c r="W1577" s="40"/>
      <c r="X1577" s="40"/>
      <c r="Y1577" s="45"/>
      <c r="Z1577" s="45"/>
      <c r="AA1577" s="45"/>
      <c r="AB1577" s="45"/>
      <c r="AC1577" s="45"/>
      <c r="AD1577" s="45"/>
      <c r="AE1577" s="45"/>
      <c r="AF1577" s="45"/>
      <c r="AG1577" s="45"/>
      <c r="AH1577" s="45"/>
      <c r="AI1577" s="45"/>
      <c r="AJ1577" s="45"/>
      <c r="AK1577" s="45"/>
      <c r="AL1577" s="45"/>
    </row>
    <row r="1578" ht="15.75" customHeight="1">
      <c r="A1578" s="27">
        <f t="shared" si="21"/>
        <v>457</v>
      </c>
      <c r="B1578" s="132" t="s">
        <v>5413</v>
      </c>
      <c r="C1578" s="132" t="s">
        <v>5424</v>
      </c>
      <c r="D1578" s="131" t="s">
        <v>5425</v>
      </c>
      <c r="E1578" s="33"/>
      <c r="F1578" s="132" t="s">
        <v>29</v>
      </c>
      <c r="G1578" s="132" t="s">
        <v>30</v>
      </c>
      <c r="H1578" s="33"/>
      <c r="I1578" s="132" t="s">
        <v>38</v>
      </c>
      <c r="J1578" s="132">
        <v>73.0</v>
      </c>
      <c r="K1578" s="33"/>
      <c r="L1578" s="132" t="s">
        <v>5426</v>
      </c>
      <c r="M1578" s="132" t="s">
        <v>5420</v>
      </c>
      <c r="N1578" s="132">
        <v>1983.0</v>
      </c>
      <c r="O1578" s="132">
        <v>16.0</v>
      </c>
      <c r="P1578" s="132">
        <v>1.0</v>
      </c>
      <c r="Q1578" s="132">
        <v>1.0</v>
      </c>
      <c r="R1578" s="84"/>
      <c r="S1578" s="40"/>
      <c r="T1578" s="40"/>
      <c r="U1578" s="40"/>
      <c r="V1578" s="40"/>
      <c r="W1578" s="40"/>
      <c r="X1578" s="40"/>
      <c r="Y1578" s="45"/>
      <c r="Z1578" s="45"/>
      <c r="AA1578" s="45"/>
      <c r="AB1578" s="45"/>
      <c r="AC1578" s="45"/>
      <c r="AD1578" s="45"/>
      <c r="AE1578" s="45"/>
      <c r="AF1578" s="45"/>
      <c r="AG1578" s="45"/>
      <c r="AH1578" s="45"/>
      <c r="AI1578" s="45"/>
      <c r="AJ1578" s="45"/>
      <c r="AK1578" s="45"/>
      <c r="AL1578" s="45"/>
    </row>
    <row r="1579" ht="15.75" customHeight="1">
      <c r="A1579" s="27">
        <f t="shared" si="21"/>
        <v>458</v>
      </c>
      <c r="B1579" s="132" t="s">
        <v>5413</v>
      </c>
      <c r="C1579" s="132" t="s">
        <v>5424</v>
      </c>
      <c r="D1579" s="131" t="s">
        <v>5427</v>
      </c>
      <c r="E1579" s="33"/>
      <c r="F1579" s="132" t="s">
        <v>29</v>
      </c>
      <c r="G1579" s="132" t="s">
        <v>30</v>
      </c>
      <c r="H1579" s="33"/>
      <c r="I1579" s="132" t="s">
        <v>38</v>
      </c>
      <c r="J1579" s="132">
        <v>69.0</v>
      </c>
      <c r="K1579" s="33"/>
      <c r="L1579" s="132" t="s">
        <v>5426</v>
      </c>
      <c r="M1579" s="132" t="s">
        <v>5420</v>
      </c>
      <c r="N1579" s="132">
        <v>1983.0</v>
      </c>
      <c r="O1579" s="132">
        <v>16.0</v>
      </c>
      <c r="P1579" s="132">
        <v>1.0</v>
      </c>
      <c r="Q1579" s="132">
        <v>1.0</v>
      </c>
      <c r="R1579" s="84"/>
      <c r="S1579" s="40"/>
      <c r="T1579" s="40"/>
      <c r="U1579" s="40"/>
      <c r="V1579" s="40"/>
      <c r="W1579" s="40"/>
      <c r="X1579" s="40"/>
      <c r="Y1579" s="45"/>
      <c r="Z1579" s="45"/>
      <c r="AA1579" s="45"/>
      <c r="AB1579" s="45"/>
      <c r="AC1579" s="45"/>
      <c r="AD1579" s="45"/>
      <c r="AE1579" s="45"/>
      <c r="AF1579" s="45"/>
      <c r="AG1579" s="45"/>
      <c r="AH1579" s="45"/>
      <c r="AI1579" s="45"/>
      <c r="AJ1579" s="45"/>
      <c r="AK1579" s="45"/>
      <c r="AL1579" s="45"/>
    </row>
    <row r="1580" ht="15.75" customHeight="1">
      <c r="A1580" s="27">
        <f t="shared" si="21"/>
        <v>459</v>
      </c>
      <c r="B1580" s="33"/>
      <c r="C1580" s="132" t="s">
        <v>5428</v>
      </c>
      <c r="D1580" s="131" t="s">
        <v>5429</v>
      </c>
      <c r="E1580" s="33"/>
      <c r="F1580" s="132" t="s">
        <v>29</v>
      </c>
      <c r="G1580" s="132" t="s">
        <v>30</v>
      </c>
      <c r="H1580" s="33"/>
      <c r="I1580" s="132" t="s">
        <v>5430</v>
      </c>
      <c r="J1580" s="132">
        <v>227.0</v>
      </c>
      <c r="K1580" s="33"/>
      <c r="L1580" s="132" t="s">
        <v>5431</v>
      </c>
      <c r="M1580" s="132" t="s">
        <v>5432</v>
      </c>
      <c r="N1580" s="132">
        <v>1977.0</v>
      </c>
      <c r="O1580" s="132">
        <v>16.0</v>
      </c>
      <c r="P1580" s="132">
        <v>1.0</v>
      </c>
      <c r="Q1580" s="132">
        <v>1.0</v>
      </c>
      <c r="R1580" s="84"/>
      <c r="S1580" s="40"/>
      <c r="T1580" s="40"/>
      <c r="U1580" s="40"/>
      <c r="V1580" s="40"/>
      <c r="W1580" s="40"/>
      <c r="X1580" s="40"/>
      <c r="Y1580" s="3"/>
      <c r="Z1580" s="3"/>
      <c r="AA1580" s="3"/>
      <c r="AB1580" s="3"/>
      <c r="AC1580" s="3"/>
      <c r="AD1580" s="3"/>
      <c r="AE1580" s="3"/>
      <c r="AF1580" s="3"/>
      <c r="AG1580" s="3"/>
      <c r="AH1580" s="3"/>
      <c r="AI1580" s="3"/>
      <c r="AJ1580" s="3"/>
      <c r="AK1580" s="3"/>
      <c r="AL1580" s="3"/>
    </row>
    <row r="1581" ht="15.75" customHeight="1">
      <c r="A1581" s="27">
        <f t="shared" si="21"/>
        <v>460</v>
      </c>
      <c r="B1581" s="33"/>
      <c r="C1581" s="132" t="s">
        <v>5433</v>
      </c>
      <c r="D1581" s="131" t="s">
        <v>5434</v>
      </c>
      <c r="E1581" s="33"/>
      <c r="F1581" s="132" t="s">
        <v>29</v>
      </c>
      <c r="G1581" s="132" t="s">
        <v>30</v>
      </c>
      <c r="H1581" s="33"/>
      <c r="I1581" s="132" t="s">
        <v>38</v>
      </c>
      <c r="J1581" s="132">
        <v>49.0</v>
      </c>
      <c r="K1581" s="33"/>
      <c r="L1581" s="132" t="s">
        <v>5435</v>
      </c>
      <c r="M1581" s="132" t="s">
        <v>5420</v>
      </c>
      <c r="N1581" s="132">
        <v>1976.0</v>
      </c>
      <c r="O1581" s="132">
        <v>16.0</v>
      </c>
      <c r="P1581" s="132">
        <v>1.0</v>
      </c>
      <c r="Q1581" s="132">
        <v>1.0</v>
      </c>
      <c r="R1581" s="84"/>
      <c r="S1581" s="40"/>
      <c r="T1581" s="40"/>
      <c r="U1581" s="40"/>
      <c r="V1581" s="40"/>
      <c r="W1581" s="40"/>
      <c r="X1581" s="40"/>
      <c r="Y1581" s="45"/>
      <c r="Z1581" s="45"/>
      <c r="AA1581" s="45"/>
      <c r="AB1581" s="45"/>
      <c r="AC1581" s="45"/>
      <c r="AD1581" s="45"/>
      <c r="AE1581" s="45"/>
      <c r="AF1581" s="45"/>
      <c r="AG1581" s="45"/>
      <c r="AH1581" s="45"/>
      <c r="AI1581" s="45"/>
      <c r="AJ1581" s="45"/>
      <c r="AK1581" s="45"/>
      <c r="AL1581" s="45"/>
    </row>
    <row r="1582" ht="15.75" customHeight="1">
      <c r="A1582" s="27">
        <f t="shared" si="21"/>
        <v>461</v>
      </c>
      <c r="B1582" s="132" t="s">
        <v>5413</v>
      </c>
      <c r="C1582" s="132" t="s">
        <v>5433</v>
      </c>
      <c r="D1582" s="131" t="s">
        <v>5436</v>
      </c>
      <c r="E1582" s="33"/>
      <c r="F1582" s="132" t="s">
        <v>29</v>
      </c>
      <c r="G1582" s="132" t="s">
        <v>30</v>
      </c>
      <c r="H1582" s="33"/>
      <c r="I1582" s="132" t="s">
        <v>38</v>
      </c>
      <c r="J1582" s="132">
        <v>75.0</v>
      </c>
      <c r="K1582" s="33"/>
      <c r="L1582" s="132" t="s">
        <v>5437</v>
      </c>
      <c r="M1582" s="132" t="s">
        <v>5420</v>
      </c>
      <c r="N1582" s="132">
        <v>1982.0</v>
      </c>
      <c r="O1582" s="132">
        <v>16.0</v>
      </c>
      <c r="P1582" s="132">
        <v>1.0</v>
      </c>
      <c r="Q1582" s="132">
        <v>1.0</v>
      </c>
      <c r="R1582" s="84"/>
      <c r="S1582" s="40"/>
      <c r="T1582" s="40"/>
      <c r="U1582" s="40"/>
      <c r="V1582" s="40"/>
      <c r="W1582" s="40"/>
      <c r="X1582" s="40"/>
      <c r="Y1582" s="45"/>
      <c r="Z1582" s="45"/>
      <c r="AA1582" s="45"/>
      <c r="AB1582" s="45"/>
      <c r="AC1582" s="45"/>
      <c r="AD1582" s="45"/>
      <c r="AE1582" s="45"/>
      <c r="AF1582" s="45"/>
      <c r="AG1582" s="45"/>
      <c r="AH1582" s="45"/>
      <c r="AI1582" s="45"/>
      <c r="AJ1582" s="45"/>
      <c r="AK1582" s="45"/>
      <c r="AL1582" s="45"/>
    </row>
    <row r="1583" ht="15.75" customHeight="1">
      <c r="A1583" s="27">
        <f t="shared" si="21"/>
        <v>462</v>
      </c>
      <c r="B1583" s="132" t="s">
        <v>5413</v>
      </c>
      <c r="C1583" s="132" t="s">
        <v>5438</v>
      </c>
      <c r="D1583" s="131" t="s">
        <v>5439</v>
      </c>
      <c r="E1583" s="33"/>
      <c r="F1583" s="132" t="s">
        <v>29</v>
      </c>
      <c r="G1583" s="132" t="s">
        <v>30</v>
      </c>
      <c r="H1583" s="33"/>
      <c r="I1583" s="132" t="s">
        <v>38</v>
      </c>
      <c r="J1583" s="132">
        <v>94.0</v>
      </c>
      <c r="K1583" s="33"/>
      <c r="L1583" s="132" t="s">
        <v>5440</v>
      </c>
      <c r="M1583" s="132" t="s">
        <v>5420</v>
      </c>
      <c r="N1583" s="132">
        <v>1992.0</v>
      </c>
      <c r="O1583" s="132">
        <v>16.0</v>
      </c>
      <c r="P1583" s="132">
        <v>1.0</v>
      </c>
      <c r="Q1583" s="132">
        <v>1.0</v>
      </c>
      <c r="R1583" s="84"/>
      <c r="S1583" s="40"/>
      <c r="T1583" s="40"/>
      <c r="U1583" s="40"/>
      <c r="V1583" s="40"/>
      <c r="W1583" s="40"/>
      <c r="X1583" s="40"/>
      <c r="Y1583" s="45"/>
      <c r="Z1583" s="45"/>
      <c r="AA1583" s="45"/>
      <c r="AB1583" s="45"/>
      <c r="AC1583" s="45"/>
      <c r="AD1583" s="45"/>
      <c r="AE1583" s="45"/>
      <c r="AF1583" s="45"/>
      <c r="AG1583" s="45"/>
      <c r="AH1583" s="45"/>
      <c r="AI1583" s="45"/>
      <c r="AJ1583" s="45"/>
      <c r="AK1583" s="45"/>
      <c r="AL1583" s="45"/>
    </row>
    <row r="1584" ht="15.75" customHeight="1">
      <c r="A1584" s="27">
        <f t="shared" si="21"/>
        <v>463</v>
      </c>
      <c r="B1584" s="132" t="s">
        <v>5413</v>
      </c>
      <c r="C1584" s="132" t="s">
        <v>5441</v>
      </c>
      <c r="D1584" s="131" t="s">
        <v>5442</v>
      </c>
      <c r="E1584" s="33"/>
      <c r="F1584" s="132" t="s">
        <v>29</v>
      </c>
      <c r="G1584" s="132" t="s">
        <v>30</v>
      </c>
      <c r="H1584" s="33"/>
      <c r="I1584" s="132" t="s">
        <v>38</v>
      </c>
      <c r="J1584" s="132">
        <v>151.0</v>
      </c>
      <c r="K1584" s="33"/>
      <c r="L1584" s="132" t="s">
        <v>5443</v>
      </c>
      <c r="M1584" s="132" t="s">
        <v>5420</v>
      </c>
      <c r="N1584" s="132">
        <v>2000.0</v>
      </c>
      <c r="O1584" s="132">
        <v>16.0</v>
      </c>
      <c r="P1584" s="132">
        <v>1.0</v>
      </c>
      <c r="Q1584" s="132">
        <v>1.0</v>
      </c>
      <c r="R1584" s="84"/>
      <c r="S1584" s="40"/>
      <c r="T1584" s="40"/>
      <c r="U1584" s="40"/>
      <c r="V1584" s="40"/>
      <c r="W1584" s="40"/>
      <c r="X1584" s="40"/>
      <c r="Y1584" s="45"/>
      <c r="Z1584" s="45"/>
      <c r="AA1584" s="45"/>
      <c r="AB1584" s="45"/>
      <c r="AC1584" s="45"/>
      <c r="AD1584" s="45"/>
      <c r="AE1584" s="45"/>
      <c r="AF1584" s="45"/>
      <c r="AG1584" s="45"/>
      <c r="AH1584" s="45"/>
      <c r="AI1584" s="45"/>
      <c r="AJ1584" s="45"/>
      <c r="AK1584" s="45"/>
      <c r="AL1584" s="45"/>
    </row>
    <row r="1585" ht="15.75" customHeight="1">
      <c r="A1585" s="27">
        <f t="shared" si="21"/>
        <v>464</v>
      </c>
      <c r="B1585" s="132" t="s">
        <v>5413</v>
      </c>
      <c r="C1585" s="132" t="s">
        <v>5441</v>
      </c>
      <c r="D1585" s="131" t="s">
        <v>5444</v>
      </c>
      <c r="E1585" s="33"/>
      <c r="F1585" s="132" t="s">
        <v>29</v>
      </c>
      <c r="G1585" s="132" t="s">
        <v>30</v>
      </c>
      <c r="H1585" s="33"/>
      <c r="I1585" s="132" t="s">
        <v>38</v>
      </c>
      <c r="J1585" s="132">
        <v>133.0</v>
      </c>
      <c r="K1585" s="33"/>
      <c r="L1585" s="132" t="s">
        <v>5443</v>
      </c>
      <c r="M1585" s="132" t="s">
        <v>5420</v>
      </c>
      <c r="N1585" s="132">
        <v>1996.0</v>
      </c>
      <c r="O1585" s="132">
        <v>16.0</v>
      </c>
      <c r="P1585" s="132">
        <v>1.0</v>
      </c>
      <c r="Q1585" s="132">
        <v>1.0</v>
      </c>
      <c r="R1585" s="84"/>
      <c r="S1585" s="40"/>
      <c r="T1585" s="40"/>
      <c r="U1585" s="40"/>
      <c r="V1585" s="40"/>
      <c r="W1585" s="40"/>
      <c r="X1585" s="40"/>
      <c r="Y1585" s="45"/>
      <c r="Z1585" s="45"/>
      <c r="AA1585" s="45"/>
      <c r="AB1585" s="45"/>
      <c r="AC1585" s="45"/>
      <c r="AD1585" s="45"/>
      <c r="AE1585" s="45"/>
      <c r="AF1585" s="45"/>
      <c r="AG1585" s="45"/>
      <c r="AH1585" s="45"/>
      <c r="AI1585" s="45"/>
      <c r="AJ1585" s="45"/>
      <c r="AK1585" s="45"/>
      <c r="AL1585" s="45"/>
    </row>
    <row r="1586" ht="15.75" customHeight="1">
      <c r="A1586" s="27">
        <f t="shared" si="21"/>
        <v>465</v>
      </c>
      <c r="B1586" s="132" t="s">
        <v>5413</v>
      </c>
      <c r="C1586" s="132" t="s">
        <v>5445</v>
      </c>
      <c r="D1586" s="131" t="s">
        <v>5446</v>
      </c>
      <c r="E1586" s="33"/>
      <c r="F1586" s="132" t="s">
        <v>29</v>
      </c>
      <c r="G1586" s="132" t="s">
        <v>30</v>
      </c>
      <c r="H1586" s="33"/>
      <c r="I1586" s="132" t="s">
        <v>38</v>
      </c>
      <c r="J1586" s="132">
        <v>56.0</v>
      </c>
      <c r="K1586" s="33"/>
      <c r="L1586" s="132" t="s">
        <v>5447</v>
      </c>
      <c r="M1586" s="132" t="s">
        <v>5420</v>
      </c>
      <c r="N1586" s="132">
        <v>1980.0</v>
      </c>
      <c r="O1586" s="132">
        <v>16.0</v>
      </c>
      <c r="P1586" s="132">
        <v>1.0</v>
      </c>
      <c r="Q1586" s="132">
        <v>1.0</v>
      </c>
      <c r="R1586" s="84"/>
      <c r="S1586" s="40"/>
      <c r="T1586" s="40"/>
      <c r="U1586" s="40"/>
      <c r="V1586" s="40"/>
      <c r="W1586" s="40"/>
      <c r="X1586" s="40"/>
      <c r="Y1586" s="45"/>
      <c r="Z1586" s="45"/>
      <c r="AA1586" s="45"/>
      <c r="AB1586" s="45"/>
      <c r="AC1586" s="45"/>
      <c r="AD1586" s="45"/>
      <c r="AE1586" s="45"/>
      <c r="AF1586" s="45"/>
      <c r="AG1586" s="45"/>
      <c r="AH1586" s="45"/>
      <c r="AI1586" s="45"/>
      <c r="AJ1586" s="45"/>
      <c r="AK1586" s="45"/>
      <c r="AL1586" s="45"/>
    </row>
    <row r="1587" ht="15.75" customHeight="1">
      <c r="A1587" s="27">
        <f t="shared" si="21"/>
        <v>466</v>
      </c>
      <c r="B1587" s="33"/>
      <c r="C1587" s="132" t="s">
        <v>5448</v>
      </c>
      <c r="D1587" s="131" t="s">
        <v>5449</v>
      </c>
      <c r="E1587" s="33"/>
      <c r="F1587" s="132" t="s">
        <v>29</v>
      </c>
      <c r="G1587" s="132" t="s">
        <v>30</v>
      </c>
      <c r="H1587" s="33"/>
      <c r="I1587" s="132" t="s">
        <v>30</v>
      </c>
      <c r="J1587" s="132">
        <v>91.0</v>
      </c>
      <c r="K1587" s="33"/>
      <c r="L1587" s="132" t="s">
        <v>5450</v>
      </c>
      <c r="M1587" s="132" t="s">
        <v>5451</v>
      </c>
      <c r="N1587" s="132">
        <v>1987.0</v>
      </c>
      <c r="O1587" s="132">
        <v>16.0</v>
      </c>
      <c r="P1587" s="132">
        <v>1.0</v>
      </c>
      <c r="Q1587" s="132">
        <v>1.0</v>
      </c>
      <c r="R1587" s="84"/>
      <c r="S1587" s="40"/>
      <c r="T1587" s="40"/>
      <c r="U1587" s="40"/>
      <c r="V1587" s="40"/>
      <c r="W1587" s="40"/>
      <c r="X1587" s="40"/>
      <c r="Y1587" s="45"/>
      <c r="Z1587" s="45"/>
      <c r="AA1587" s="45"/>
      <c r="AB1587" s="45"/>
      <c r="AC1587" s="45"/>
      <c r="AD1587" s="45"/>
      <c r="AE1587" s="45"/>
      <c r="AF1587" s="45"/>
      <c r="AG1587" s="45"/>
      <c r="AH1587" s="45"/>
      <c r="AI1587" s="45"/>
      <c r="AJ1587" s="45"/>
      <c r="AK1587" s="45"/>
      <c r="AL1587" s="45"/>
    </row>
    <row r="1588" ht="15.75" customHeight="1">
      <c r="A1588" s="27">
        <f t="shared" si="21"/>
        <v>467</v>
      </c>
      <c r="B1588" s="132" t="s">
        <v>5413</v>
      </c>
      <c r="C1588" s="132" t="s">
        <v>5452</v>
      </c>
      <c r="D1588" s="131" t="s">
        <v>5453</v>
      </c>
      <c r="E1588" s="33"/>
      <c r="F1588" s="132" t="s">
        <v>29</v>
      </c>
      <c r="G1588" s="132" t="s">
        <v>30</v>
      </c>
      <c r="H1588" s="33"/>
      <c r="I1588" s="132" t="s">
        <v>38</v>
      </c>
      <c r="J1588" s="132">
        <v>74.0</v>
      </c>
      <c r="K1588" s="33"/>
      <c r="L1588" s="132" t="s">
        <v>5454</v>
      </c>
      <c r="M1588" s="132" t="s">
        <v>5420</v>
      </c>
      <c r="N1588" s="132">
        <v>1984.0</v>
      </c>
      <c r="O1588" s="132">
        <v>16.0</v>
      </c>
      <c r="P1588" s="132">
        <v>1.0</v>
      </c>
      <c r="Q1588" s="132">
        <v>1.0</v>
      </c>
      <c r="R1588" s="84"/>
      <c r="S1588" s="40"/>
      <c r="T1588" s="40"/>
      <c r="U1588" s="40"/>
      <c r="V1588" s="40"/>
      <c r="W1588" s="40"/>
      <c r="X1588" s="40"/>
      <c r="Y1588" s="45"/>
      <c r="Z1588" s="45"/>
      <c r="AA1588" s="45"/>
      <c r="AB1588" s="45"/>
      <c r="AC1588" s="45"/>
      <c r="AD1588" s="45"/>
      <c r="AE1588" s="45"/>
      <c r="AF1588" s="45"/>
      <c r="AG1588" s="45"/>
      <c r="AH1588" s="45"/>
      <c r="AI1588" s="45"/>
      <c r="AJ1588" s="45"/>
      <c r="AK1588" s="45"/>
      <c r="AL1588" s="45"/>
    </row>
    <row r="1589" ht="15.75" customHeight="1">
      <c r="A1589" s="27">
        <f t="shared" si="21"/>
        <v>468</v>
      </c>
      <c r="B1589" s="33"/>
      <c r="C1589" s="132" t="s">
        <v>5455</v>
      </c>
      <c r="D1589" s="131" t="s">
        <v>5456</v>
      </c>
      <c r="E1589" s="33"/>
      <c r="F1589" s="132" t="s">
        <v>29</v>
      </c>
      <c r="G1589" s="132" t="s">
        <v>30</v>
      </c>
      <c r="H1589" s="33"/>
      <c r="I1589" s="132" t="s">
        <v>38</v>
      </c>
      <c r="J1589" s="132">
        <v>57.0</v>
      </c>
      <c r="K1589" s="33"/>
      <c r="L1589" s="132" t="s">
        <v>5454</v>
      </c>
      <c r="M1589" s="132" t="s">
        <v>5420</v>
      </c>
      <c r="N1589" s="132">
        <v>1978.0</v>
      </c>
      <c r="O1589" s="132">
        <v>16.0</v>
      </c>
      <c r="P1589" s="132">
        <v>1.0</v>
      </c>
      <c r="Q1589" s="132">
        <v>1.0</v>
      </c>
      <c r="R1589" s="84"/>
      <c r="S1589" s="40"/>
      <c r="T1589" s="40"/>
      <c r="U1589" s="40"/>
      <c r="V1589" s="40"/>
      <c r="W1589" s="40"/>
      <c r="X1589" s="40"/>
      <c r="Y1589" s="45"/>
      <c r="Z1589" s="45"/>
      <c r="AA1589" s="45"/>
      <c r="AB1589" s="45"/>
      <c r="AC1589" s="45"/>
      <c r="AD1589" s="45"/>
      <c r="AE1589" s="45"/>
      <c r="AF1589" s="45"/>
      <c r="AG1589" s="45"/>
      <c r="AH1589" s="45"/>
      <c r="AI1589" s="45"/>
      <c r="AJ1589" s="45"/>
      <c r="AK1589" s="45"/>
      <c r="AL1589" s="45"/>
    </row>
    <row r="1590" ht="15.75" customHeight="1">
      <c r="A1590" s="27">
        <f t="shared" si="21"/>
        <v>469</v>
      </c>
      <c r="B1590" s="33"/>
      <c r="C1590" s="132" t="s">
        <v>5455</v>
      </c>
      <c r="D1590" s="131" t="s">
        <v>5457</v>
      </c>
      <c r="E1590" s="33"/>
      <c r="F1590" s="132" t="s">
        <v>29</v>
      </c>
      <c r="G1590" s="132" t="s">
        <v>30</v>
      </c>
      <c r="H1590" s="33"/>
      <c r="I1590" s="132" t="s">
        <v>38</v>
      </c>
      <c r="J1590" s="132">
        <v>50.0</v>
      </c>
      <c r="K1590" s="33"/>
      <c r="L1590" s="132" t="s">
        <v>5454</v>
      </c>
      <c r="M1590" s="132" t="s">
        <v>5420</v>
      </c>
      <c r="N1590" s="132">
        <v>1975.0</v>
      </c>
      <c r="O1590" s="132">
        <v>16.0</v>
      </c>
      <c r="P1590" s="132">
        <v>1.0</v>
      </c>
      <c r="Q1590" s="132">
        <v>1.0</v>
      </c>
      <c r="R1590" s="84"/>
      <c r="S1590" s="34"/>
      <c r="T1590" s="34"/>
      <c r="U1590" s="34"/>
      <c r="V1590" s="34"/>
      <c r="W1590" s="34"/>
      <c r="X1590" s="34"/>
      <c r="Y1590" s="45"/>
      <c r="Z1590" s="45"/>
      <c r="AA1590" s="45"/>
      <c r="AB1590" s="45"/>
      <c r="AC1590" s="45"/>
      <c r="AD1590" s="45"/>
      <c r="AE1590" s="45"/>
      <c r="AF1590" s="45"/>
      <c r="AG1590" s="45"/>
      <c r="AH1590" s="45"/>
      <c r="AI1590" s="45"/>
      <c r="AJ1590" s="45"/>
      <c r="AK1590" s="45"/>
      <c r="AL1590" s="45"/>
    </row>
    <row r="1591" ht="15.75" customHeight="1">
      <c r="A1591" s="27">
        <f t="shared" si="21"/>
        <v>470</v>
      </c>
      <c r="B1591" s="121" t="s">
        <v>5413</v>
      </c>
      <c r="C1591" s="121" t="s">
        <v>5458</v>
      </c>
      <c r="D1591" s="119" t="s">
        <v>5459</v>
      </c>
      <c r="E1591" s="83"/>
      <c r="F1591" s="83"/>
      <c r="G1591" s="121" t="s">
        <v>38</v>
      </c>
      <c r="H1591" s="83"/>
      <c r="I1591" s="121" t="s">
        <v>38</v>
      </c>
      <c r="J1591" s="121">
        <v>64.0</v>
      </c>
      <c r="K1591" s="83"/>
      <c r="L1591" s="121" t="s">
        <v>5460</v>
      </c>
      <c r="M1591" s="121" t="s">
        <v>5420</v>
      </c>
      <c r="N1591" s="121">
        <v>1998.0</v>
      </c>
      <c r="O1591" s="121">
        <v>16.0</v>
      </c>
      <c r="P1591" s="121">
        <v>1.0</v>
      </c>
      <c r="Q1591" s="121">
        <v>1.0</v>
      </c>
      <c r="R1591" s="84"/>
      <c r="S1591" s="34"/>
      <c r="T1591" s="34"/>
      <c r="U1591" s="34"/>
      <c r="V1591" s="34"/>
      <c r="W1591" s="34"/>
      <c r="X1591" s="34"/>
      <c r="Y1591" s="45"/>
      <c r="Z1591" s="45"/>
      <c r="AA1591" s="45"/>
      <c r="AB1591" s="45"/>
      <c r="AC1591" s="45"/>
      <c r="AD1591" s="45"/>
      <c r="AE1591" s="45"/>
      <c r="AF1591" s="45"/>
      <c r="AG1591" s="45"/>
      <c r="AH1591" s="45"/>
      <c r="AI1591" s="45"/>
      <c r="AJ1591" s="45"/>
      <c r="AK1591" s="45"/>
      <c r="AL1591" s="45"/>
    </row>
    <row r="1592" ht="15.75" customHeight="1">
      <c r="A1592" s="27">
        <f t="shared" si="21"/>
        <v>471</v>
      </c>
      <c r="B1592" s="33"/>
      <c r="C1592" s="132" t="s">
        <v>5461</v>
      </c>
      <c r="D1592" s="131" t="s">
        <v>5462</v>
      </c>
      <c r="E1592" s="33"/>
      <c r="F1592" s="132" t="s">
        <v>29</v>
      </c>
      <c r="G1592" s="132" t="s">
        <v>30</v>
      </c>
      <c r="H1592" s="33"/>
      <c r="I1592" s="132" t="s">
        <v>38</v>
      </c>
      <c r="J1592" s="132">
        <v>58.0</v>
      </c>
      <c r="K1592" s="33"/>
      <c r="L1592" s="132" t="s">
        <v>5463</v>
      </c>
      <c r="M1592" s="132" t="s">
        <v>5420</v>
      </c>
      <c r="N1592" s="132">
        <v>1977.0</v>
      </c>
      <c r="O1592" s="132">
        <v>16.0</v>
      </c>
      <c r="P1592" s="132">
        <v>1.0</v>
      </c>
      <c r="Q1592" s="132">
        <v>1.0</v>
      </c>
      <c r="R1592" s="84"/>
      <c r="S1592" s="34"/>
      <c r="T1592" s="34"/>
      <c r="U1592" s="34"/>
      <c r="V1592" s="34"/>
      <c r="W1592" s="34"/>
      <c r="X1592" s="34"/>
      <c r="Y1592" s="45"/>
      <c r="Z1592" s="45"/>
      <c r="AA1592" s="45"/>
      <c r="AB1592" s="45"/>
      <c r="AC1592" s="45"/>
      <c r="AD1592" s="45"/>
      <c r="AE1592" s="45"/>
      <c r="AF1592" s="45"/>
      <c r="AG1592" s="45"/>
      <c r="AH1592" s="45"/>
      <c r="AI1592" s="45"/>
      <c r="AJ1592" s="45"/>
      <c r="AK1592" s="45"/>
      <c r="AL1592" s="45"/>
    </row>
    <row r="1593" ht="15.75" customHeight="1">
      <c r="A1593" s="27">
        <f t="shared" si="21"/>
        <v>472</v>
      </c>
      <c r="B1593" s="132" t="s">
        <v>5413</v>
      </c>
      <c r="C1593" s="132" t="s">
        <v>5464</v>
      </c>
      <c r="D1593" s="131" t="s">
        <v>5465</v>
      </c>
      <c r="E1593" s="33"/>
      <c r="F1593" s="132" t="s">
        <v>29</v>
      </c>
      <c r="G1593" s="132" t="s">
        <v>30</v>
      </c>
      <c r="H1593" s="33"/>
      <c r="I1593" s="132" t="s">
        <v>38</v>
      </c>
      <c r="J1593" s="132">
        <v>108.0</v>
      </c>
      <c r="K1593" s="33"/>
      <c r="L1593" s="132" t="s">
        <v>5466</v>
      </c>
      <c r="M1593" s="132" t="s">
        <v>5420</v>
      </c>
      <c r="N1593" s="132">
        <v>1989.0</v>
      </c>
      <c r="O1593" s="132">
        <v>16.0</v>
      </c>
      <c r="P1593" s="132">
        <v>1.0</v>
      </c>
      <c r="Q1593" s="132">
        <v>1.0</v>
      </c>
      <c r="R1593" s="84"/>
      <c r="S1593" s="40"/>
      <c r="T1593" s="40"/>
      <c r="U1593" s="40"/>
      <c r="V1593" s="40"/>
      <c r="W1593" s="40"/>
      <c r="X1593" s="40"/>
      <c r="Y1593" s="45"/>
      <c r="Z1593" s="45"/>
      <c r="AA1593" s="45"/>
      <c r="AB1593" s="45"/>
      <c r="AC1593" s="45"/>
      <c r="AD1593" s="45"/>
      <c r="AE1593" s="45"/>
      <c r="AF1593" s="45"/>
      <c r="AG1593" s="45"/>
      <c r="AH1593" s="45"/>
      <c r="AI1593" s="45"/>
      <c r="AJ1593" s="45"/>
      <c r="AK1593" s="45"/>
      <c r="AL1593" s="45"/>
    </row>
    <row r="1594" ht="15.75" customHeight="1">
      <c r="A1594" s="27">
        <f t="shared" si="21"/>
        <v>473</v>
      </c>
      <c r="B1594" s="132" t="s">
        <v>5413</v>
      </c>
      <c r="C1594" s="132" t="s">
        <v>5467</v>
      </c>
      <c r="D1594" s="131" t="s">
        <v>5468</v>
      </c>
      <c r="E1594" s="33"/>
      <c r="F1594" s="132" t="s">
        <v>29</v>
      </c>
      <c r="G1594" s="132" t="s">
        <v>30</v>
      </c>
      <c r="H1594" s="33"/>
      <c r="I1594" s="132" t="s">
        <v>38</v>
      </c>
      <c r="J1594" s="132">
        <v>168.0</v>
      </c>
      <c r="K1594" s="33"/>
      <c r="L1594" s="132" t="s">
        <v>5469</v>
      </c>
      <c r="M1594" s="132" t="s">
        <v>5420</v>
      </c>
      <c r="N1594" s="132">
        <v>1987.0</v>
      </c>
      <c r="O1594" s="132">
        <v>16.0</v>
      </c>
      <c r="P1594" s="132">
        <v>1.0</v>
      </c>
      <c r="Q1594" s="132">
        <v>1.0</v>
      </c>
      <c r="R1594" s="84"/>
      <c r="S1594" s="40"/>
      <c r="T1594" s="40"/>
      <c r="U1594" s="40"/>
      <c r="V1594" s="40"/>
      <c r="W1594" s="40"/>
      <c r="X1594" s="40"/>
      <c r="Y1594" s="45"/>
      <c r="Z1594" s="45"/>
      <c r="AA1594" s="45"/>
      <c r="AB1594" s="45"/>
      <c r="AC1594" s="45"/>
      <c r="AD1594" s="45"/>
      <c r="AE1594" s="45"/>
      <c r="AF1594" s="45"/>
      <c r="AG1594" s="45"/>
      <c r="AH1594" s="45"/>
      <c r="AI1594" s="45"/>
      <c r="AJ1594" s="45"/>
      <c r="AK1594" s="45"/>
      <c r="AL1594" s="45"/>
    </row>
    <row r="1595" ht="15.75" customHeight="1">
      <c r="A1595" s="27">
        <f t="shared" si="21"/>
        <v>474</v>
      </c>
      <c r="B1595" s="132" t="s">
        <v>5470</v>
      </c>
      <c r="C1595" s="132" t="s">
        <v>5471</v>
      </c>
      <c r="D1595" s="131" t="s">
        <v>5472</v>
      </c>
      <c r="E1595" s="33"/>
      <c r="F1595" s="132" t="s">
        <v>29</v>
      </c>
      <c r="G1595" s="132" t="s">
        <v>30</v>
      </c>
      <c r="H1595" s="33"/>
      <c r="I1595" s="132" t="s">
        <v>30</v>
      </c>
      <c r="J1595" s="132">
        <v>213.0</v>
      </c>
      <c r="K1595" s="33"/>
      <c r="L1595" s="132" t="s">
        <v>5473</v>
      </c>
      <c r="M1595" s="132" t="s">
        <v>5412</v>
      </c>
      <c r="N1595" s="132">
        <v>2001.0</v>
      </c>
      <c r="O1595" s="132">
        <v>16.0</v>
      </c>
      <c r="P1595" s="132">
        <v>1.0</v>
      </c>
      <c r="Q1595" s="132">
        <v>1.0</v>
      </c>
      <c r="R1595" s="84"/>
      <c r="S1595" s="40"/>
      <c r="T1595" s="40"/>
      <c r="U1595" s="40"/>
      <c r="V1595" s="40"/>
      <c r="W1595" s="40"/>
      <c r="X1595" s="40"/>
      <c r="Y1595" s="45"/>
      <c r="Z1595" s="45"/>
      <c r="AA1595" s="45"/>
      <c r="AB1595" s="45"/>
      <c r="AC1595" s="45"/>
      <c r="AD1595" s="45"/>
      <c r="AE1595" s="45"/>
      <c r="AF1595" s="45"/>
      <c r="AG1595" s="45"/>
      <c r="AH1595" s="45"/>
      <c r="AI1595" s="45"/>
      <c r="AJ1595" s="45"/>
      <c r="AK1595" s="45"/>
      <c r="AL1595" s="45"/>
    </row>
    <row r="1596" ht="15.75" customHeight="1">
      <c r="A1596" s="27">
        <f t="shared" si="21"/>
        <v>475</v>
      </c>
      <c r="B1596" s="132" t="s">
        <v>5413</v>
      </c>
      <c r="C1596" s="132" t="s">
        <v>5474</v>
      </c>
      <c r="D1596" s="131" t="s">
        <v>5475</v>
      </c>
      <c r="E1596" s="33"/>
      <c r="F1596" s="132" t="s">
        <v>29</v>
      </c>
      <c r="G1596" s="132" t="s">
        <v>30</v>
      </c>
      <c r="H1596" s="33"/>
      <c r="I1596" s="132" t="s">
        <v>38</v>
      </c>
      <c r="J1596" s="132">
        <v>63.0</v>
      </c>
      <c r="K1596" s="33"/>
      <c r="L1596" s="132" t="s">
        <v>5476</v>
      </c>
      <c r="M1596" s="132" t="s">
        <v>5420</v>
      </c>
      <c r="N1596" s="132">
        <v>2001.0</v>
      </c>
      <c r="O1596" s="132">
        <v>16.0</v>
      </c>
      <c r="P1596" s="132">
        <v>1.0</v>
      </c>
      <c r="Q1596" s="132">
        <v>1.0</v>
      </c>
      <c r="R1596" s="84"/>
      <c r="S1596" s="40"/>
      <c r="T1596" s="40"/>
      <c r="U1596" s="40"/>
      <c r="V1596" s="40"/>
      <c r="W1596" s="40"/>
      <c r="X1596" s="40"/>
      <c r="Y1596" s="45"/>
      <c r="Z1596" s="45"/>
      <c r="AA1596" s="45"/>
      <c r="AB1596" s="45"/>
      <c r="AC1596" s="45"/>
      <c r="AD1596" s="45"/>
      <c r="AE1596" s="45"/>
      <c r="AF1596" s="45"/>
      <c r="AG1596" s="45"/>
      <c r="AH1596" s="45"/>
      <c r="AI1596" s="45"/>
      <c r="AJ1596" s="45"/>
      <c r="AK1596" s="45"/>
      <c r="AL1596" s="45"/>
    </row>
    <row r="1597" ht="15.75" customHeight="1">
      <c r="A1597" s="27">
        <f t="shared" si="21"/>
        <v>476</v>
      </c>
      <c r="B1597" s="132" t="s">
        <v>5413</v>
      </c>
      <c r="C1597" s="132" t="s">
        <v>5477</v>
      </c>
      <c r="D1597" s="131" t="s">
        <v>5478</v>
      </c>
      <c r="E1597" s="33"/>
      <c r="F1597" s="132" t="s">
        <v>29</v>
      </c>
      <c r="G1597" s="132" t="s">
        <v>30</v>
      </c>
      <c r="H1597" s="33"/>
      <c r="I1597" s="132" t="s">
        <v>38</v>
      </c>
      <c r="J1597" s="132">
        <v>94.0</v>
      </c>
      <c r="K1597" s="33"/>
      <c r="L1597" s="132" t="s">
        <v>5419</v>
      </c>
      <c r="M1597" s="132" t="s">
        <v>5420</v>
      </c>
      <c r="N1597" s="132">
        <v>1988.0</v>
      </c>
      <c r="O1597" s="132">
        <v>16.0</v>
      </c>
      <c r="P1597" s="132">
        <v>1.0</v>
      </c>
      <c r="Q1597" s="132">
        <v>1.0</v>
      </c>
      <c r="R1597" s="84"/>
      <c r="S1597" s="40"/>
      <c r="T1597" s="40"/>
      <c r="U1597" s="40"/>
      <c r="V1597" s="40"/>
      <c r="W1597" s="40"/>
      <c r="X1597" s="40"/>
      <c r="Y1597" s="45"/>
      <c r="Z1597" s="45"/>
      <c r="AA1597" s="45"/>
      <c r="AB1597" s="45"/>
      <c r="AC1597" s="45"/>
      <c r="AD1597" s="45"/>
      <c r="AE1597" s="45"/>
      <c r="AF1597" s="45"/>
      <c r="AG1597" s="45"/>
      <c r="AH1597" s="45"/>
      <c r="AI1597" s="45"/>
      <c r="AJ1597" s="45"/>
      <c r="AK1597" s="45"/>
      <c r="AL1597" s="45"/>
    </row>
    <row r="1598" ht="15.75" customHeight="1">
      <c r="A1598" s="27">
        <f t="shared" si="21"/>
        <v>477</v>
      </c>
      <c r="B1598" s="132" t="s">
        <v>5413</v>
      </c>
      <c r="C1598" s="132" t="s">
        <v>5477</v>
      </c>
      <c r="D1598" s="131" t="s">
        <v>5479</v>
      </c>
      <c r="E1598" s="33"/>
      <c r="F1598" s="132" t="s">
        <v>29</v>
      </c>
      <c r="G1598" s="132" t="s">
        <v>30</v>
      </c>
      <c r="H1598" s="33"/>
      <c r="I1598" s="132" t="s">
        <v>38</v>
      </c>
      <c r="J1598" s="132">
        <v>64.0</v>
      </c>
      <c r="K1598" s="33"/>
      <c r="L1598" s="132" t="s">
        <v>5419</v>
      </c>
      <c r="M1598" s="132" t="s">
        <v>5420</v>
      </c>
      <c r="N1598" s="132">
        <v>1984.0</v>
      </c>
      <c r="O1598" s="132">
        <v>16.0</v>
      </c>
      <c r="P1598" s="132">
        <v>1.0</v>
      </c>
      <c r="Q1598" s="132">
        <v>1.0</v>
      </c>
      <c r="R1598" s="84"/>
      <c r="S1598" s="40"/>
      <c r="T1598" s="40"/>
      <c r="U1598" s="40"/>
      <c r="V1598" s="40"/>
      <c r="W1598" s="40"/>
      <c r="X1598" s="40"/>
      <c r="Y1598" s="45"/>
      <c r="Z1598" s="45"/>
      <c r="AA1598" s="45"/>
      <c r="AB1598" s="45"/>
      <c r="AC1598" s="45"/>
      <c r="AD1598" s="45"/>
      <c r="AE1598" s="45"/>
      <c r="AF1598" s="45"/>
      <c r="AG1598" s="45"/>
      <c r="AH1598" s="45"/>
      <c r="AI1598" s="45"/>
      <c r="AJ1598" s="45"/>
      <c r="AK1598" s="45"/>
      <c r="AL1598" s="45"/>
    </row>
    <row r="1599" ht="15.75" customHeight="1">
      <c r="A1599" s="27">
        <f t="shared" si="21"/>
        <v>478</v>
      </c>
      <c r="B1599" s="132" t="s">
        <v>5413</v>
      </c>
      <c r="C1599" s="132" t="s">
        <v>5480</v>
      </c>
      <c r="D1599" s="131" t="s">
        <v>5481</v>
      </c>
      <c r="E1599" s="33"/>
      <c r="F1599" s="132" t="s">
        <v>29</v>
      </c>
      <c r="G1599" s="132" t="s">
        <v>30</v>
      </c>
      <c r="H1599" s="33"/>
      <c r="I1599" s="132" t="s">
        <v>38</v>
      </c>
      <c r="J1599" s="132">
        <v>94.0</v>
      </c>
      <c r="K1599" s="33"/>
      <c r="L1599" s="132" t="s">
        <v>5482</v>
      </c>
      <c r="M1599" s="132" t="s">
        <v>5420</v>
      </c>
      <c r="N1599" s="132">
        <v>1986.0</v>
      </c>
      <c r="O1599" s="132">
        <v>16.0</v>
      </c>
      <c r="P1599" s="132">
        <v>2.0</v>
      </c>
      <c r="Q1599" s="132">
        <v>2.0</v>
      </c>
      <c r="R1599" s="84"/>
      <c r="S1599" s="40"/>
      <c r="T1599" s="40"/>
      <c r="U1599" s="40"/>
      <c r="V1599" s="40"/>
      <c r="W1599" s="40"/>
      <c r="X1599" s="40"/>
      <c r="Y1599" s="45"/>
      <c r="Z1599" s="45"/>
      <c r="AA1599" s="45"/>
      <c r="AB1599" s="45"/>
      <c r="AC1599" s="45"/>
      <c r="AD1599" s="45"/>
      <c r="AE1599" s="45"/>
      <c r="AF1599" s="45"/>
      <c r="AG1599" s="45"/>
      <c r="AH1599" s="45"/>
      <c r="AI1599" s="45"/>
      <c r="AJ1599" s="45"/>
      <c r="AK1599" s="45"/>
      <c r="AL1599" s="45"/>
    </row>
    <row r="1600" ht="15.75" customHeight="1">
      <c r="A1600" s="27">
        <f t="shared" si="21"/>
        <v>479</v>
      </c>
      <c r="B1600" s="33"/>
      <c r="C1600" s="132" t="s">
        <v>5483</v>
      </c>
      <c r="D1600" s="131" t="s">
        <v>5484</v>
      </c>
      <c r="E1600" s="33"/>
      <c r="F1600" s="132" t="s">
        <v>29</v>
      </c>
      <c r="G1600" s="132" t="s">
        <v>30</v>
      </c>
      <c r="H1600" s="33"/>
      <c r="I1600" s="132" t="s">
        <v>38</v>
      </c>
      <c r="J1600" s="132">
        <v>59.0</v>
      </c>
      <c r="K1600" s="33"/>
      <c r="L1600" s="132" t="s">
        <v>5485</v>
      </c>
      <c r="M1600" s="132" t="s">
        <v>5420</v>
      </c>
      <c r="N1600" s="132">
        <v>1977.0</v>
      </c>
      <c r="O1600" s="132">
        <v>16.0</v>
      </c>
      <c r="P1600" s="132">
        <v>2.0</v>
      </c>
      <c r="Q1600" s="132">
        <v>2.0</v>
      </c>
      <c r="R1600" s="84"/>
      <c r="S1600" s="34"/>
      <c r="T1600" s="34"/>
      <c r="U1600" s="34"/>
      <c r="V1600" s="34"/>
      <c r="W1600" s="34"/>
      <c r="X1600" s="34"/>
      <c r="Y1600" s="45"/>
      <c r="Z1600" s="45"/>
      <c r="AA1600" s="45"/>
      <c r="AB1600" s="45"/>
      <c r="AC1600" s="45"/>
      <c r="AD1600" s="45"/>
      <c r="AE1600" s="45"/>
      <c r="AF1600" s="45"/>
      <c r="AG1600" s="45"/>
      <c r="AH1600" s="45"/>
      <c r="AI1600" s="45"/>
      <c r="AJ1600" s="45"/>
      <c r="AK1600" s="45"/>
      <c r="AL1600" s="45"/>
    </row>
    <row r="1601" ht="15.75" customHeight="1">
      <c r="A1601" s="27">
        <f t="shared" si="21"/>
        <v>480</v>
      </c>
      <c r="B1601" s="132" t="s">
        <v>5413</v>
      </c>
      <c r="C1601" s="132" t="s">
        <v>5486</v>
      </c>
      <c r="D1601" s="131" t="s">
        <v>5487</v>
      </c>
      <c r="E1601" s="33"/>
      <c r="F1601" s="132" t="s">
        <v>29</v>
      </c>
      <c r="G1601" s="132" t="s">
        <v>30</v>
      </c>
      <c r="H1601" s="33"/>
      <c r="I1601" s="132" t="s">
        <v>38</v>
      </c>
      <c r="J1601" s="132">
        <v>117.0</v>
      </c>
      <c r="K1601" s="33"/>
      <c r="L1601" s="132" t="s">
        <v>5488</v>
      </c>
      <c r="M1601" s="132" t="s">
        <v>5420</v>
      </c>
      <c r="N1601" s="132">
        <v>1981.0</v>
      </c>
      <c r="O1601" s="132">
        <v>16.0</v>
      </c>
      <c r="P1601" s="132">
        <v>1.0</v>
      </c>
      <c r="Q1601" s="132">
        <v>1.0</v>
      </c>
      <c r="R1601" s="84"/>
      <c r="S1601" s="34"/>
      <c r="T1601" s="34"/>
      <c r="U1601" s="34"/>
      <c r="V1601" s="34"/>
      <c r="W1601" s="34"/>
      <c r="X1601" s="34"/>
      <c r="Y1601" s="45"/>
      <c r="Z1601" s="45"/>
      <c r="AA1601" s="45"/>
      <c r="AB1601" s="45"/>
      <c r="AC1601" s="45"/>
      <c r="AD1601" s="45"/>
      <c r="AE1601" s="45"/>
      <c r="AF1601" s="45"/>
      <c r="AG1601" s="45"/>
      <c r="AH1601" s="45"/>
      <c r="AI1601" s="45"/>
      <c r="AJ1601" s="45"/>
      <c r="AK1601" s="45"/>
      <c r="AL1601" s="45"/>
    </row>
    <row r="1602" ht="15.75" customHeight="1">
      <c r="A1602" s="27">
        <f t="shared" si="21"/>
        <v>481</v>
      </c>
      <c r="B1602" s="132" t="s">
        <v>5413</v>
      </c>
      <c r="C1602" s="132" t="s">
        <v>5489</v>
      </c>
      <c r="D1602" s="131" t="s">
        <v>5490</v>
      </c>
      <c r="E1602" s="33"/>
      <c r="F1602" s="132" t="s">
        <v>29</v>
      </c>
      <c r="G1602" s="132" t="s">
        <v>30</v>
      </c>
      <c r="H1602" s="33"/>
      <c r="I1602" s="132" t="s">
        <v>38</v>
      </c>
      <c r="J1602" s="132">
        <v>151.0</v>
      </c>
      <c r="K1602" s="33"/>
      <c r="L1602" s="132" t="s">
        <v>5491</v>
      </c>
      <c r="M1602" s="132" t="s">
        <v>5420</v>
      </c>
      <c r="N1602" s="132">
        <v>1999.0</v>
      </c>
      <c r="O1602" s="132">
        <v>16.0</v>
      </c>
      <c r="P1602" s="132">
        <v>1.0</v>
      </c>
      <c r="Q1602" s="132">
        <v>1.0</v>
      </c>
      <c r="R1602" s="84"/>
      <c r="S1602" s="40"/>
      <c r="T1602" s="40"/>
      <c r="U1602" s="40"/>
      <c r="V1602" s="40"/>
      <c r="W1602" s="40"/>
      <c r="X1602" s="40"/>
      <c r="Y1602" s="45"/>
      <c r="Z1602" s="45"/>
      <c r="AA1602" s="45"/>
      <c r="AB1602" s="45"/>
      <c r="AC1602" s="45"/>
      <c r="AD1602" s="45"/>
      <c r="AE1602" s="45"/>
      <c r="AF1602" s="45"/>
      <c r="AG1602" s="45"/>
      <c r="AH1602" s="45"/>
      <c r="AI1602" s="45"/>
      <c r="AJ1602" s="45"/>
      <c r="AK1602" s="45"/>
      <c r="AL1602" s="45"/>
    </row>
    <row r="1603" ht="15.75" customHeight="1">
      <c r="A1603" s="27">
        <f t="shared" si="21"/>
        <v>482</v>
      </c>
      <c r="B1603" s="132" t="s">
        <v>5413</v>
      </c>
      <c r="C1603" s="132" t="s">
        <v>5492</v>
      </c>
      <c r="D1603" s="131" t="s">
        <v>5493</v>
      </c>
      <c r="E1603" s="33"/>
      <c r="F1603" s="132" t="s">
        <v>29</v>
      </c>
      <c r="G1603" s="132" t="s">
        <v>30</v>
      </c>
      <c r="H1603" s="33"/>
      <c r="I1603" s="132" t="s">
        <v>38</v>
      </c>
      <c r="J1603" s="132">
        <v>123.0</v>
      </c>
      <c r="K1603" s="33"/>
      <c r="L1603" s="132" t="s">
        <v>5494</v>
      </c>
      <c r="M1603" s="132" t="s">
        <v>5420</v>
      </c>
      <c r="N1603" s="132">
        <v>2001.0</v>
      </c>
      <c r="O1603" s="132">
        <v>16.0</v>
      </c>
      <c r="P1603" s="132">
        <v>1.0</v>
      </c>
      <c r="Q1603" s="132">
        <v>1.0</v>
      </c>
      <c r="R1603" s="84"/>
      <c r="S1603" s="40"/>
      <c r="T1603" s="40"/>
      <c r="U1603" s="40"/>
      <c r="V1603" s="40"/>
      <c r="W1603" s="40"/>
      <c r="X1603" s="40"/>
      <c r="Y1603" s="45"/>
      <c r="Z1603" s="45"/>
      <c r="AA1603" s="45"/>
      <c r="AB1603" s="45"/>
      <c r="AC1603" s="45"/>
      <c r="AD1603" s="45"/>
      <c r="AE1603" s="45"/>
      <c r="AF1603" s="45"/>
      <c r="AG1603" s="45"/>
      <c r="AH1603" s="45"/>
      <c r="AI1603" s="45"/>
      <c r="AJ1603" s="45"/>
      <c r="AK1603" s="45"/>
      <c r="AL1603" s="45"/>
    </row>
    <row r="1604" ht="15.75" customHeight="1">
      <c r="A1604" s="27">
        <f t="shared" si="21"/>
        <v>483</v>
      </c>
      <c r="B1604" s="132" t="s">
        <v>5413</v>
      </c>
      <c r="C1604" s="132" t="s">
        <v>5492</v>
      </c>
      <c r="D1604" s="131" t="s">
        <v>5490</v>
      </c>
      <c r="E1604" s="33"/>
      <c r="F1604" s="132" t="s">
        <v>29</v>
      </c>
      <c r="G1604" s="132" t="s">
        <v>30</v>
      </c>
      <c r="H1604" s="33"/>
      <c r="I1604" s="132" t="s">
        <v>38</v>
      </c>
      <c r="J1604" s="132">
        <v>123.0</v>
      </c>
      <c r="K1604" s="33"/>
      <c r="L1604" s="132" t="s">
        <v>5494</v>
      </c>
      <c r="M1604" s="132" t="s">
        <v>5420</v>
      </c>
      <c r="N1604" s="132">
        <v>1999.0</v>
      </c>
      <c r="O1604" s="132">
        <v>16.0</v>
      </c>
      <c r="P1604" s="132">
        <v>1.0</v>
      </c>
      <c r="Q1604" s="132">
        <v>1.0</v>
      </c>
      <c r="R1604" s="84"/>
      <c r="S1604" s="40"/>
      <c r="T1604" s="40"/>
      <c r="U1604" s="40"/>
      <c r="V1604" s="40"/>
      <c r="W1604" s="40"/>
      <c r="X1604" s="40"/>
      <c r="Y1604" s="45"/>
      <c r="Z1604" s="45"/>
      <c r="AA1604" s="45"/>
      <c r="AB1604" s="45"/>
      <c r="AC1604" s="45"/>
      <c r="AD1604" s="45"/>
      <c r="AE1604" s="45"/>
      <c r="AF1604" s="45"/>
      <c r="AG1604" s="45"/>
      <c r="AH1604" s="45"/>
      <c r="AI1604" s="45"/>
      <c r="AJ1604" s="45"/>
      <c r="AK1604" s="45"/>
      <c r="AL1604" s="45"/>
    </row>
    <row r="1605" ht="15.75" customHeight="1">
      <c r="A1605" s="27">
        <f t="shared" si="21"/>
        <v>484</v>
      </c>
      <c r="B1605" s="132" t="s">
        <v>5413</v>
      </c>
      <c r="C1605" s="132" t="s">
        <v>5495</v>
      </c>
      <c r="D1605" s="131" t="s">
        <v>5496</v>
      </c>
      <c r="E1605" s="33"/>
      <c r="F1605" s="132" t="s">
        <v>29</v>
      </c>
      <c r="G1605" s="132" t="s">
        <v>30</v>
      </c>
      <c r="H1605" s="33"/>
      <c r="I1605" s="132" t="s">
        <v>38</v>
      </c>
      <c r="J1605" s="132">
        <v>96.0</v>
      </c>
      <c r="K1605" s="33"/>
      <c r="L1605" s="132" t="s">
        <v>5419</v>
      </c>
      <c r="M1605" s="132" t="s">
        <v>5420</v>
      </c>
      <c r="N1605" s="132">
        <v>1990.0</v>
      </c>
      <c r="O1605" s="132">
        <v>16.0</v>
      </c>
      <c r="P1605" s="132">
        <v>1.0</v>
      </c>
      <c r="Q1605" s="132">
        <v>1.0</v>
      </c>
      <c r="R1605" s="84"/>
      <c r="S1605" s="40"/>
      <c r="T1605" s="40"/>
      <c r="U1605" s="40"/>
      <c r="V1605" s="40"/>
      <c r="W1605" s="40"/>
      <c r="X1605" s="40"/>
      <c r="Y1605" s="3"/>
      <c r="Z1605" s="3"/>
      <c r="AA1605" s="3"/>
      <c r="AB1605" s="3"/>
      <c r="AC1605" s="3"/>
      <c r="AD1605" s="3"/>
      <c r="AE1605" s="3"/>
      <c r="AF1605" s="3"/>
      <c r="AG1605" s="3"/>
      <c r="AH1605" s="3"/>
      <c r="AI1605" s="3"/>
      <c r="AJ1605" s="3"/>
      <c r="AK1605" s="3"/>
      <c r="AL1605" s="3"/>
    </row>
    <row r="1606" ht="15.75" customHeight="1">
      <c r="A1606" s="27">
        <f t="shared" si="21"/>
        <v>485</v>
      </c>
      <c r="B1606" s="132" t="s">
        <v>5413</v>
      </c>
      <c r="C1606" s="132" t="s">
        <v>5497</v>
      </c>
      <c r="D1606" s="131" t="s">
        <v>5498</v>
      </c>
      <c r="E1606" s="33"/>
      <c r="F1606" s="132" t="s">
        <v>29</v>
      </c>
      <c r="G1606" s="132" t="s">
        <v>30</v>
      </c>
      <c r="H1606" s="33"/>
      <c r="I1606" s="132" t="s">
        <v>38</v>
      </c>
      <c r="J1606" s="132">
        <v>83.0</v>
      </c>
      <c r="K1606" s="33"/>
      <c r="L1606" s="132" t="s">
        <v>5499</v>
      </c>
      <c r="M1606" s="132" t="s">
        <v>5420</v>
      </c>
      <c r="N1606" s="132">
        <v>1979.0</v>
      </c>
      <c r="O1606" s="132">
        <v>16.0</v>
      </c>
      <c r="P1606" s="132">
        <v>1.0</v>
      </c>
      <c r="Q1606" s="132">
        <v>1.0</v>
      </c>
      <c r="R1606" s="84"/>
      <c r="S1606" s="40"/>
      <c r="T1606" s="40"/>
      <c r="U1606" s="40"/>
      <c r="V1606" s="40"/>
      <c r="W1606" s="40"/>
      <c r="X1606" s="40"/>
      <c r="Y1606" s="45"/>
      <c r="Z1606" s="45"/>
      <c r="AA1606" s="45"/>
      <c r="AB1606" s="45"/>
      <c r="AC1606" s="45"/>
      <c r="AD1606" s="45"/>
      <c r="AE1606" s="45"/>
      <c r="AF1606" s="45"/>
      <c r="AG1606" s="45"/>
      <c r="AH1606" s="45"/>
      <c r="AI1606" s="45"/>
      <c r="AJ1606" s="45"/>
      <c r="AK1606" s="45"/>
      <c r="AL1606" s="45"/>
    </row>
    <row r="1607" ht="15.75" customHeight="1">
      <c r="A1607" s="27">
        <f t="shared" si="21"/>
        <v>486</v>
      </c>
      <c r="B1607" s="33"/>
      <c r="C1607" s="132" t="s">
        <v>5497</v>
      </c>
      <c r="D1607" s="131" t="s">
        <v>5500</v>
      </c>
      <c r="E1607" s="33"/>
      <c r="F1607" s="132" t="s">
        <v>29</v>
      </c>
      <c r="G1607" s="132" t="s">
        <v>30</v>
      </c>
      <c r="H1607" s="33"/>
      <c r="I1607" s="132" t="s">
        <v>38</v>
      </c>
      <c r="J1607" s="132">
        <v>63.0</v>
      </c>
      <c r="K1607" s="33"/>
      <c r="L1607" s="132" t="s">
        <v>5499</v>
      </c>
      <c r="M1607" s="132" t="s">
        <v>5420</v>
      </c>
      <c r="N1607" s="132">
        <v>1977.0</v>
      </c>
      <c r="O1607" s="132">
        <v>16.0</v>
      </c>
      <c r="P1607" s="132">
        <v>1.0</v>
      </c>
      <c r="Q1607" s="132">
        <v>1.0</v>
      </c>
      <c r="R1607" s="84"/>
      <c r="S1607" s="38"/>
      <c r="T1607" s="38"/>
      <c r="U1607" s="38"/>
      <c r="V1607" s="38"/>
      <c r="W1607" s="38"/>
      <c r="X1607" s="38"/>
      <c r="Y1607" s="45"/>
      <c r="Z1607" s="45"/>
      <c r="AA1607" s="45"/>
      <c r="AB1607" s="45"/>
      <c r="AC1607" s="45"/>
      <c r="AD1607" s="45"/>
      <c r="AE1607" s="45"/>
      <c r="AF1607" s="45"/>
      <c r="AG1607" s="45"/>
      <c r="AH1607" s="45"/>
      <c r="AI1607" s="45"/>
      <c r="AJ1607" s="45"/>
      <c r="AK1607" s="45"/>
      <c r="AL1607" s="45"/>
    </row>
    <row r="1608" ht="15.75" customHeight="1">
      <c r="A1608" s="27">
        <f t="shared" si="21"/>
        <v>487</v>
      </c>
      <c r="B1608" s="132" t="s">
        <v>5413</v>
      </c>
      <c r="C1608" s="132" t="s">
        <v>5501</v>
      </c>
      <c r="D1608" s="131" t="s">
        <v>5502</v>
      </c>
      <c r="E1608" s="33"/>
      <c r="F1608" s="132" t="s">
        <v>29</v>
      </c>
      <c r="G1608" s="132" t="s">
        <v>30</v>
      </c>
      <c r="H1608" s="33"/>
      <c r="I1608" s="132" t="s">
        <v>38</v>
      </c>
      <c r="J1608" s="132">
        <v>80.0</v>
      </c>
      <c r="K1608" s="33"/>
      <c r="L1608" s="132" t="s">
        <v>5503</v>
      </c>
      <c r="M1608" s="132" t="s">
        <v>5420</v>
      </c>
      <c r="N1608" s="132">
        <v>1983.0</v>
      </c>
      <c r="O1608" s="132">
        <v>16.0</v>
      </c>
      <c r="P1608" s="132">
        <v>1.0</v>
      </c>
      <c r="Q1608" s="132">
        <v>1.0</v>
      </c>
      <c r="R1608" s="84"/>
      <c r="S1608" s="40"/>
      <c r="T1608" s="40"/>
      <c r="U1608" s="40"/>
      <c r="V1608" s="40"/>
      <c r="W1608" s="40"/>
      <c r="X1608" s="40"/>
      <c r="Y1608" s="45"/>
      <c r="Z1608" s="45"/>
      <c r="AA1608" s="45"/>
      <c r="AB1608" s="45"/>
      <c r="AC1608" s="45"/>
      <c r="AD1608" s="45"/>
      <c r="AE1608" s="45"/>
      <c r="AF1608" s="45"/>
      <c r="AG1608" s="45"/>
      <c r="AH1608" s="45"/>
      <c r="AI1608" s="45"/>
      <c r="AJ1608" s="45"/>
      <c r="AK1608" s="45"/>
      <c r="AL1608" s="45"/>
    </row>
    <row r="1609" ht="15.75" customHeight="1">
      <c r="A1609" s="27">
        <f t="shared" si="21"/>
        <v>488</v>
      </c>
      <c r="B1609" s="132" t="s">
        <v>5413</v>
      </c>
      <c r="C1609" s="181" t="s">
        <v>5501</v>
      </c>
      <c r="D1609" s="131" t="s">
        <v>5504</v>
      </c>
      <c r="E1609" s="33"/>
      <c r="F1609" s="132" t="s">
        <v>29</v>
      </c>
      <c r="G1609" s="132" t="s">
        <v>30</v>
      </c>
      <c r="H1609" s="33"/>
      <c r="I1609" s="132" t="s">
        <v>38</v>
      </c>
      <c r="J1609" s="132">
        <v>114.0</v>
      </c>
      <c r="K1609" s="33"/>
      <c r="L1609" s="132" t="s">
        <v>5505</v>
      </c>
      <c r="M1609" s="132" t="s">
        <v>5420</v>
      </c>
      <c r="N1609" s="132">
        <v>1987.0</v>
      </c>
      <c r="O1609" s="132">
        <v>16.0</v>
      </c>
      <c r="P1609" s="132">
        <v>1.0</v>
      </c>
      <c r="Q1609" s="132">
        <v>1.0</v>
      </c>
      <c r="R1609" s="84"/>
      <c r="S1609" s="40"/>
      <c r="T1609" s="40"/>
      <c r="U1609" s="40"/>
      <c r="V1609" s="40"/>
      <c r="W1609" s="40"/>
      <c r="X1609" s="40"/>
      <c r="Y1609" s="45"/>
      <c r="Z1609" s="45"/>
      <c r="AA1609" s="45"/>
      <c r="AB1609" s="45"/>
      <c r="AC1609" s="45"/>
      <c r="AD1609" s="45"/>
      <c r="AE1609" s="45"/>
      <c r="AF1609" s="45"/>
      <c r="AG1609" s="45"/>
      <c r="AH1609" s="45"/>
      <c r="AI1609" s="45"/>
      <c r="AJ1609" s="45"/>
      <c r="AK1609" s="45"/>
      <c r="AL1609" s="45"/>
    </row>
    <row r="1610" ht="15.75" customHeight="1">
      <c r="A1610" s="27">
        <f t="shared" si="21"/>
        <v>489</v>
      </c>
      <c r="B1610" s="132" t="s">
        <v>5413</v>
      </c>
      <c r="C1610" s="132" t="s">
        <v>5501</v>
      </c>
      <c r="D1610" s="131" t="s">
        <v>5506</v>
      </c>
      <c r="E1610" s="33"/>
      <c r="F1610" s="132" t="s">
        <v>29</v>
      </c>
      <c r="G1610" s="132" t="s">
        <v>30</v>
      </c>
      <c r="H1610" s="33"/>
      <c r="I1610" s="132" t="s">
        <v>38</v>
      </c>
      <c r="J1610" s="132">
        <v>71.0</v>
      </c>
      <c r="K1610" s="33"/>
      <c r="L1610" s="132" t="s">
        <v>5505</v>
      </c>
      <c r="M1610" s="132" t="s">
        <v>5420</v>
      </c>
      <c r="N1610" s="132">
        <v>1986.0</v>
      </c>
      <c r="O1610" s="132">
        <v>16.0</v>
      </c>
      <c r="P1610" s="132">
        <v>2.0</v>
      </c>
      <c r="Q1610" s="132">
        <v>2.0</v>
      </c>
      <c r="R1610" s="84"/>
      <c r="S1610" s="40"/>
      <c r="T1610" s="40"/>
      <c r="U1610" s="40"/>
      <c r="V1610" s="40"/>
      <c r="W1610" s="40"/>
      <c r="X1610" s="40"/>
      <c r="Y1610" s="45"/>
      <c r="Z1610" s="45"/>
      <c r="AA1610" s="45"/>
      <c r="AB1610" s="45"/>
      <c r="AC1610" s="45"/>
      <c r="AD1610" s="45"/>
      <c r="AE1610" s="45"/>
      <c r="AF1610" s="45"/>
      <c r="AG1610" s="45"/>
      <c r="AH1610" s="45"/>
      <c r="AI1610" s="45"/>
      <c r="AJ1610" s="45"/>
      <c r="AK1610" s="45"/>
      <c r="AL1610" s="45"/>
    </row>
    <row r="1611" ht="15.75" customHeight="1">
      <c r="A1611" s="27">
        <f t="shared" si="21"/>
        <v>490</v>
      </c>
      <c r="B1611" s="132" t="s">
        <v>5413</v>
      </c>
      <c r="C1611" s="132" t="s">
        <v>5507</v>
      </c>
      <c r="D1611" s="131" t="s">
        <v>5508</v>
      </c>
      <c r="E1611" s="33"/>
      <c r="F1611" s="132" t="s">
        <v>29</v>
      </c>
      <c r="G1611" s="132" t="s">
        <v>30</v>
      </c>
      <c r="H1611" s="33"/>
      <c r="I1611" s="132" t="s">
        <v>38</v>
      </c>
      <c r="J1611" s="132">
        <v>412.0</v>
      </c>
      <c r="K1611" s="33"/>
      <c r="L1611" s="132" t="s">
        <v>5509</v>
      </c>
      <c r="M1611" s="132" t="s">
        <v>5420</v>
      </c>
      <c r="N1611" s="132">
        <v>1985.0</v>
      </c>
      <c r="O1611" s="132">
        <v>16.0</v>
      </c>
      <c r="P1611" s="132">
        <v>1.0</v>
      </c>
      <c r="Q1611" s="132">
        <v>1.0</v>
      </c>
      <c r="R1611" s="84"/>
      <c r="S1611" s="40"/>
      <c r="T1611" s="40"/>
      <c r="U1611" s="40"/>
      <c r="V1611" s="40"/>
      <c r="W1611" s="40"/>
      <c r="X1611" s="40"/>
      <c r="Y1611" s="45"/>
      <c r="Z1611" s="45"/>
      <c r="AA1611" s="45"/>
      <c r="AB1611" s="45"/>
      <c r="AC1611" s="45"/>
      <c r="AD1611" s="45"/>
      <c r="AE1611" s="45"/>
      <c r="AF1611" s="45"/>
      <c r="AG1611" s="45"/>
      <c r="AH1611" s="45"/>
      <c r="AI1611" s="45"/>
      <c r="AJ1611" s="45"/>
      <c r="AK1611" s="45"/>
      <c r="AL1611" s="45"/>
    </row>
    <row r="1612" ht="15.75" customHeight="1">
      <c r="A1612" s="27">
        <f t="shared" si="21"/>
        <v>491</v>
      </c>
      <c r="B1612" s="132" t="s">
        <v>5413</v>
      </c>
      <c r="C1612" s="132" t="s">
        <v>5507</v>
      </c>
      <c r="D1612" s="131" t="s">
        <v>5510</v>
      </c>
      <c r="E1612" s="33"/>
      <c r="F1612" s="132" t="s">
        <v>29</v>
      </c>
      <c r="G1612" s="132" t="s">
        <v>30</v>
      </c>
      <c r="H1612" s="33"/>
      <c r="I1612" s="132" t="s">
        <v>38</v>
      </c>
      <c r="J1612" s="132">
        <v>232.0</v>
      </c>
      <c r="K1612" s="33"/>
      <c r="L1612" s="132" t="s">
        <v>5509</v>
      </c>
      <c r="M1612" s="132" t="s">
        <v>5420</v>
      </c>
      <c r="N1612" s="132">
        <v>1985.0</v>
      </c>
      <c r="O1612" s="132">
        <v>16.0</v>
      </c>
      <c r="P1612" s="132">
        <v>1.0</v>
      </c>
      <c r="Q1612" s="132">
        <v>1.0</v>
      </c>
      <c r="R1612" s="84"/>
      <c r="S1612" s="40"/>
      <c r="T1612" s="40"/>
      <c r="U1612" s="40"/>
      <c r="V1612" s="40"/>
      <c r="W1612" s="40"/>
      <c r="X1612" s="40"/>
      <c r="Y1612" s="45"/>
      <c r="Z1612" s="45"/>
      <c r="AA1612" s="45"/>
      <c r="AB1612" s="45"/>
      <c r="AC1612" s="45"/>
      <c r="AD1612" s="45"/>
      <c r="AE1612" s="45"/>
      <c r="AF1612" s="45"/>
      <c r="AG1612" s="45"/>
      <c r="AH1612" s="45"/>
      <c r="AI1612" s="45"/>
      <c r="AJ1612" s="45"/>
      <c r="AK1612" s="45"/>
      <c r="AL1612" s="45"/>
    </row>
    <row r="1613" ht="15.75" customHeight="1">
      <c r="A1613" s="27">
        <f t="shared" si="21"/>
        <v>492</v>
      </c>
      <c r="B1613" s="132" t="s">
        <v>5413</v>
      </c>
      <c r="C1613" s="132" t="s">
        <v>5511</v>
      </c>
      <c r="D1613" s="131" t="s">
        <v>5512</v>
      </c>
      <c r="E1613" s="33"/>
      <c r="F1613" s="132" t="s">
        <v>29</v>
      </c>
      <c r="G1613" s="132" t="s">
        <v>30</v>
      </c>
      <c r="H1613" s="33"/>
      <c r="I1613" s="132" t="s">
        <v>38</v>
      </c>
      <c r="J1613" s="132">
        <v>90.0</v>
      </c>
      <c r="K1613" s="33"/>
      <c r="L1613" s="132" t="s">
        <v>5513</v>
      </c>
      <c r="M1613" s="132" t="s">
        <v>5420</v>
      </c>
      <c r="N1613" s="132">
        <v>1981.0</v>
      </c>
      <c r="O1613" s="132">
        <v>16.0</v>
      </c>
      <c r="P1613" s="132">
        <v>1.0</v>
      </c>
      <c r="Q1613" s="132">
        <v>1.0</v>
      </c>
      <c r="R1613" s="84"/>
      <c r="S1613" s="40"/>
      <c r="T1613" s="40"/>
      <c r="U1613" s="40"/>
      <c r="V1613" s="40"/>
      <c r="W1613" s="40"/>
      <c r="X1613" s="40"/>
      <c r="Y1613" s="3"/>
      <c r="Z1613" s="3"/>
      <c r="AA1613" s="3"/>
      <c r="AB1613" s="3"/>
      <c r="AC1613" s="3"/>
      <c r="AD1613" s="3"/>
      <c r="AE1613" s="3"/>
      <c r="AF1613" s="3"/>
      <c r="AG1613" s="3"/>
      <c r="AH1613" s="3"/>
      <c r="AI1613" s="3"/>
      <c r="AJ1613" s="3"/>
      <c r="AK1613" s="3"/>
      <c r="AL1613" s="3"/>
    </row>
    <row r="1614" ht="15.75" customHeight="1">
      <c r="A1614" s="27">
        <f t="shared" si="21"/>
        <v>493</v>
      </c>
      <c r="B1614" s="132" t="s">
        <v>5413</v>
      </c>
      <c r="C1614" s="132" t="s">
        <v>5514</v>
      </c>
      <c r="D1614" s="131" t="s">
        <v>5515</v>
      </c>
      <c r="E1614" s="33"/>
      <c r="F1614" s="132" t="s">
        <v>29</v>
      </c>
      <c r="G1614" s="132" t="s">
        <v>30</v>
      </c>
      <c r="H1614" s="33"/>
      <c r="I1614" s="132" t="s">
        <v>38</v>
      </c>
      <c r="J1614" s="132">
        <v>116.0</v>
      </c>
      <c r="K1614" s="33"/>
      <c r="L1614" s="132" t="s">
        <v>5516</v>
      </c>
      <c r="M1614" s="132" t="s">
        <v>5420</v>
      </c>
      <c r="N1614" s="132">
        <v>1994.0</v>
      </c>
      <c r="O1614" s="132">
        <v>16.0</v>
      </c>
      <c r="P1614" s="132">
        <v>1.0</v>
      </c>
      <c r="Q1614" s="132">
        <v>1.0</v>
      </c>
      <c r="R1614" s="84"/>
      <c r="S1614" s="40"/>
      <c r="T1614" s="40"/>
      <c r="U1614" s="40"/>
      <c r="V1614" s="40"/>
      <c r="W1614" s="40"/>
      <c r="X1614" s="40"/>
      <c r="Y1614" s="3"/>
      <c r="Z1614" s="3"/>
      <c r="AA1614" s="3"/>
      <c r="AB1614" s="3"/>
      <c r="AC1614" s="3"/>
      <c r="AD1614" s="3"/>
      <c r="AE1614" s="3"/>
      <c r="AF1614" s="3"/>
      <c r="AG1614" s="3"/>
      <c r="AH1614" s="3"/>
      <c r="AI1614" s="3"/>
      <c r="AJ1614" s="3"/>
      <c r="AK1614" s="3"/>
      <c r="AL1614" s="3"/>
    </row>
    <row r="1615" ht="15.75" customHeight="1">
      <c r="A1615" s="27">
        <f t="shared" si="21"/>
        <v>494</v>
      </c>
      <c r="B1615" s="132" t="s">
        <v>5413</v>
      </c>
      <c r="C1615" s="132" t="s">
        <v>5517</v>
      </c>
      <c r="D1615" s="131" t="s">
        <v>5518</v>
      </c>
      <c r="E1615" s="33"/>
      <c r="F1615" s="132" t="s">
        <v>29</v>
      </c>
      <c r="G1615" s="132" t="s">
        <v>30</v>
      </c>
      <c r="H1615" s="33"/>
      <c r="I1615" s="132" t="s">
        <v>38</v>
      </c>
      <c r="J1615" s="132">
        <v>126.0</v>
      </c>
      <c r="K1615" s="33"/>
      <c r="L1615" s="132" t="s">
        <v>5516</v>
      </c>
      <c r="M1615" s="132" t="s">
        <v>5420</v>
      </c>
      <c r="N1615" s="132">
        <v>1995.0</v>
      </c>
      <c r="O1615" s="132">
        <v>16.0</v>
      </c>
      <c r="P1615" s="132">
        <v>1.0</v>
      </c>
      <c r="Q1615" s="132">
        <v>1.0</v>
      </c>
      <c r="R1615" s="84"/>
      <c r="S1615" s="40"/>
      <c r="T1615" s="40"/>
      <c r="U1615" s="40"/>
      <c r="V1615" s="40"/>
      <c r="W1615" s="40"/>
      <c r="X1615" s="40"/>
      <c r="Y1615" s="45"/>
      <c r="Z1615" s="45"/>
      <c r="AA1615" s="45"/>
      <c r="AB1615" s="45"/>
      <c r="AC1615" s="45"/>
      <c r="AD1615" s="45"/>
      <c r="AE1615" s="45"/>
      <c r="AF1615" s="45"/>
      <c r="AG1615" s="45"/>
      <c r="AH1615" s="45"/>
      <c r="AI1615" s="45"/>
      <c r="AJ1615" s="45"/>
      <c r="AK1615" s="45"/>
      <c r="AL1615" s="45"/>
    </row>
    <row r="1616" ht="15.75" customHeight="1">
      <c r="A1616" s="27">
        <f t="shared" si="21"/>
        <v>495</v>
      </c>
      <c r="B1616" s="132" t="s">
        <v>5413</v>
      </c>
      <c r="C1616" s="132" t="s">
        <v>5519</v>
      </c>
      <c r="D1616" s="131" t="s">
        <v>5520</v>
      </c>
      <c r="E1616" s="33"/>
      <c r="F1616" s="132" t="s">
        <v>29</v>
      </c>
      <c r="G1616" s="132" t="s">
        <v>30</v>
      </c>
      <c r="H1616" s="33"/>
      <c r="I1616" s="132" t="s">
        <v>38</v>
      </c>
      <c r="J1616" s="132">
        <v>63.0</v>
      </c>
      <c r="K1616" s="33"/>
      <c r="L1616" s="132" t="s">
        <v>5521</v>
      </c>
      <c r="M1616" s="132" t="s">
        <v>5420</v>
      </c>
      <c r="N1616" s="132">
        <v>1998.0</v>
      </c>
      <c r="O1616" s="132">
        <v>16.0</v>
      </c>
      <c r="P1616" s="132">
        <v>1.0</v>
      </c>
      <c r="Q1616" s="132">
        <v>1.0</v>
      </c>
      <c r="R1616" s="84"/>
      <c r="S1616" s="40"/>
      <c r="T1616" s="40"/>
      <c r="U1616" s="40"/>
      <c r="V1616" s="40"/>
      <c r="W1616" s="40"/>
      <c r="X1616" s="40"/>
      <c r="Y1616" s="3"/>
      <c r="Z1616" s="3"/>
      <c r="AA1616" s="3"/>
      <c r="AB1616" s="3"/>
      <c r="AC1616" s="3"/>
      <c r="AD1616" s="3"/>
      <c r="AE1616" s="3"/>
      <c r="AF1616" s="3"/>
      <c r="AG1616" s="3"/>
      <c r="AH1616" s="3"/>
      <c r="AI1616" s="3"/>
      <c r="AJ1616" s="3"/>
      <c r="AK1616" s="3"/>
      <c r="AL1616" s="3"/>
    </row>
    <row r="1617" ht="15.75" customHeight="1">
      <c r="A1617" s="27">
        <f t="shared" si="21"/>
        <v>496</v>
      </c>
      <c r="B1617" s="132" t="s">
        <v>5413</v>
      </c>
      <c r="C1617" s="132" t="s">
        <v>5522</v>
      </c>
      <c r="D1617" s="131" t="s">
        <v>5523</v>
      </c>
      <c r="E1617" s="33"/>
      <c r="F1617" s="132" t="s">
        <v>29</v>
      </c>
      <c r="G1617" s="132" t="s">
        <v>30</v>
      </c>
      <c r="H1617" s="33"/>
      <c r="I1617" s="132" t="s">
        <v>38</v>
      </c>
      <c r="J1617" s="132">
        <v>93.0</v>
      </c>
      <c r="K1617" s="33"/>
      <c r="L1617" s="132" t="s">
        <v>5524</v>
      </c>
      <c r="M1617" s="132" t="s">
        <v>5420</v>
      </c>
      <c r="N1617" s="132">
        <v>2002.0</v>
      </c>
      <c r="O1617" s="132">
        <v>16.0</v>
      </c>
      <c r="P1617" s="132">
        <v>1.0</v>
      </c>
      <c r="Q1617" s="132">
        <v>1.0</v>
      </c>
      <c r="R1617" s="84"/>
      <c r="S1617" s="40"/>
      <c r="T1617" s="40"/>
      <c r="U1617" s="40"/>
      <c r="V1617" s="40"/>
      <c r="W1617" s="40"/>
      <c r="X1617" s="40"/>
      <c r="Y1617" s="45"/>
      <c r="Z1617" s="45"/>
      <c r="AA1617" s="45"/>
      <c r="AB1617" s="45"/>
      <c r="AC1617" s="45"/>
      <c r="AD1617" s="45"/>
      <c r="AE1617" s="45"/>
      <c r="AF1617" s="45"/>
      <c r="AG1617" s="45"/>
      <c r="AH1617" s="45"/>
      <c r="AI1617" s="45"/>
      <c r="AJ1617" s="45"/>
      <c r="AK1617" s="45"/>
      <c r="AL1617" s="45"/>
    </row>
    <row r="1618" ht="15.75" customHeight="1">
      <c r="A1618" s="27">
        <f t="shared" si="21"/>
        <v>497</v>
      </c>
      <c r="B1618" s="28" t="s">
        <v>5525</v>
      </c>
      <c r="C1618" s="43" t="s">
        <v>5526</v>
      </c>
      <c r="D1618" s="30" t="s">
        <v>5527</v>
      </c>
      <c r="E1618" s="28" t="s">
        <v>31</v>
      </c>
      <c r="F1618" s="28" t="s">
        <v>29</v>
      </c>
      <c r="G1618" s="28" t="s">
        <v>37</v>
      </c>
      <c r="H1618" s="28"/>
      <c r="I1618" s="28" t="s">
        <v>38</v>
      </c>
      <c r="J1618" s="28">
        <v>269.0</v>
      </c>
      <c r="K1618" s="28"/>
      <c r="L1618" s="28" t="s">
        <v>5528</v>
      </c>
      <c r="M1618" s="28" t="s">
        <v>3268</v>
      </c>
      <c r="N1618" s="28">
        <v>2004.0</v>
      </c>
      <c r="O1618" s="60">
        <v>16.0</v>
      </c>
      <c r="P1618" s="28">
        <v>1.0</v>
      </c>
      <c r="Q1618" s="94">
        <v>1.0</v>
      </c>
      <c r="R1618" s="33"/>
      <c r="S1618" s="40"/>
      <c r="T1618" s="40"/>
      <c r="U1618" s="40"/>
      <c r="V1618" s="40"/>
      <c r="W1618" s="40"/>
      <c r="X1618" s="40"/>
      <c r="Y1618" s="3"/>
      <c r="Z1618" s="3"/>
      <c r="AA1618" s="3"/>
      <c r="AB1618" s="3"/>
      <c r="AC1618" s="3"/>
      <c r="AD1618" s="3"/>
      <c r="AE1618" s="3"/>
      <c r="AF1618" s="3"/>
      <c r="AG1618" s="3"/>
      <c r="AH1618" s="3"/>
      <c r="AI1618" s="3"/>
      <c r="AJ1618" s="3"/>
      <c r="AK1618" s="3"/>
      <c r="AL1618" s="3"/>
    </row>
    <row r="1619" ht="15.75" customHeight="1">
      <c r="A1619" s="27">
        <f t="shared" si="21"/>
        <v>498</v>
      </c>
      <c r="B1619" s="28" t="s">
        <v>5529</v>
      </c>
      <c r="C1619" s="43" t="s">
        <v>5530</v>
      </c>
      <c r="D1619" s="30" t="s">
        <v>3918</v>
      </c>
      <c r="E1619" s="28" t="s">
        <v>31</v>
      </c>
      <c r="F1619" s="28" t="s">
        <v>29</v>
      </c>
      <c r="G1619" s="28" t="s">
        <v>37</v>
      </c>
      <c r="H1619" s="28"/>
      <c r="I1619" s="28" t="s">
        <v>38</v>
      </c>
      <c r="J1619" s="28">
        <v>481.0</v>
      </c>
      <c r="K1619" s="28"/>
      <c r="L1619" s="28" t="s">
        <v>3919</v>
      </c>
      <c r="M1619" s="28" t="s">
        <v>178</v>
      </c>
      <c r="N1619" s="28">
        <v>2012.0</v>
      </c>
      <c r="O1619" s="60">
        <v>16.0</v>
      </c>
      <c r="P1619" s="28">
        <v>1.0</v>
      </c>
      <c r="Q1619" s="94">
        <v>1.0</v>
      </c>
      <c r="R1619" s="182">
        <f>Q1613+1</f>
        <v>2</v>
      </c>
      <c r="S1619" s="40"/>
      <c r="T1619" s="40"/>
      <c r="U1619" s="40"/>
      <c r="V1619" s="40"/>
      <c r="W1619" s="40"/>
      <c r="X1619" s="40"/>
      <c r="Y1619" s="3"/>
      <c r="Z1619" s="3"/>
      <c r="AA1619" s="3"/>
      <c r="AB1619" s="3"/>
      <c r="AC1619" s="3"/>
      <c r="AD1619" s="3"/>
      <c r="AE1619" s="3"/>
      <c r="AF1619" s="3"/>
      <c r="AG1619" s="3"/>
      <c r="AH1619" s="3"/>
      <c r="AI1619" s="3"/>
      <c r="AJ1619" s="3"/>
      <c r="AK1619" s="3"/>
      <c r="AL1619" s="3"/>
    </row>
    <row r="1620" ht="15.75" customHeight="1">
      <c r="A1620" s="27">
        <f t="shared" si="21"/>
        <v>499</v>
      </c>
      <c r="B1620" s="28" t="s">
        <v>5531</v>
      </c>
      <c r="C1620" s="43" t="s">
        <v>5532</v>
      </c>
      <c r="D1620" s="30" t="s">
        <v>5533</v>
      </c>
      <c r="E1620" s="28" t="s">
        <v>31</v>
      </c>
      <c r="F1620" s="28" t="s">
        <v>29</v>
      </c>
      <c r="G1620" s="28" t="s">
        <v>37</v>
      </c>
      <c r="H1620" s="28"/>
      <c r="I1620" s="28" t="s">
        <v>38</v>
      </c>
      <c r="J1620" s="28">
        <v>258.0</v>
      </c>
      <c r="K1620" s="28"/>
      <c r="L1620" s="28" t="s">
        <v>5534</v>
      </c>
      <c r="M1620" s="28" t="s">
        <v>5535</v>
      </c>
      <c r="N1620" s="28">
        <v>2004.0</v>
      </c>
      <c r="O1620" s="60">
        <v>16.0</v>
      </c>
      <c r="P1620" s="28">
        <v>1.0</v>
      </c>
      <c r="Q1620" s="94">
        <v>1.0</v>
      </c>
      <c r="R1620" s="33"/>
      <c r="S1620" s="34"/>
      <c r="T1620" s="34"/>
      <c r="U1620" s="34"/>
      <c r="V1620" s="34"/>
      <c r="W1620" s="34"/>
      <c r="X1620" s="34"/>
      <c r="Y1620" s="3"/>
      <c r="Z1620" s="3"/>
      <c r="AA1620" s="3"/>
      <c r="AB1620" s="3"/>
      <c r="AC1620" s="3"/>
      <c r="AD1620" s="3"/>
      <c r="AE1620" s="3"/>
      <c r="AF1620" s="3"/>
      <c r="AG1620" s="3"/>
      <c r="AH1620" s="3"/>
      <c r="AI1620" s="3"/>
      <c r="AJ1620" s="3"/>
      <c r="AK1620" s="3"/>
      <c r="AL1620" s="3"/>
    </row>
    <row r="1621" ht="15.75" customHeight="1">
      <c r="A1621" s="27">
        <f t="shared" si="21"/>
        <v>500</v>
      </c>
      <c r="B1621" s="121" t="s">
        <v>5536</v>
      </c>
      <c r="C1621" s="121" t="s">
        <v>5537</v>
      </c>
      <c r="D1621" s="119" t="s">
        <v>5538</v>
      </c>
      <c r="E1621" s="121" t="s">
        <v>31</v>
      </c>
      <c r="F1621" s="121" t="s">
        <v>29</v>
      </c>
      <c r="G1621" s="121" t="s">
        <v>30</v>
      </c>
      <c r="H1621" s="83"/>
      <c r="I1621" s="174" t="s">
        <v>5539</v>
      </c>
      <c r="J1621" s="183">
        <v>190.0</v>
      </c>
      <c r="K1621" s="83"/>
      <c r="L1621" s="184" t="s">
        <v>5540</v>
      </c>
      <c r="M1621" s="121" t="s">
        <v>151</v>
      </c>
      <c r="N1621" s="121">
        <v>2015.0</v>
      </c>
      <c r="O1621" s="121">
        <v>16.0</v>
      </c>
      <c r="P1621" s="121">
        <v>1.0</v>
      </c>
      <c r="Q1621" s="121">
        <v>1.0</v>
      </c>
      <c r="R1621" s="84"/>
      <c r="S1621" s="34"/>
      <c r="T1621" s="34"/>
      <c r="U1621" s="34"/>
      <c r="V1621" s="34"/>
      <c r="W1621" s="34"/>
      <c r="X1621" s="34"/>
      <c r="Y1621" s="3"/>
      <c r="Z1621" s="3"/>
      <c r="AA1621" s="3"/>
      <c r="AB1621" s="3"/>
      <c r="AC1621" s="3"/>
      <c r="AD1621" s="3"/>
      <c r="AE1621" s="3"/>
      <c r="AF1621" s="3"/>
      <c r="AG1621" s="3"/>
      <c r="AH1621" s="3"/>
      <c r="AI1621" s="3"/>
      <c r="AJ1621" s="3"/>
      <c r="AK1621" s="3"/>
      <c r="AL1621" s="3"/>
    </row>
    <row r="1622" ht="15.75" customHeight="1">
      <c r="A1622" s="27">
        <f t="shared" si="21"/>
        <v>501</v>
      </c>
      <c r="B1622" s="28" t="s">
        <v>5541</v>
      </c>
      <c r="C1622" s="43" t="s">
        <v>5542</v>
      </c>
      <c r="D1622" s="30" t="s">
        <v>5543</v>
      </c>
      <c r="E1622" s="28" t="s">
        <v>31</v>
      </c>
      <c r="F1622" s="28" t="s">
        <v>29</v>
      </c>
      <c r="G1622" s="28" t="s">
        <v>37</v>
      </c>
      <c r="H1622" s="28"/>
      <c r="I1622" s="28" t="s">
        <v>4554</v>
      </c>
      <c r="J1622" s="28">
        <v>321.0</v>
      </c>
      <c r="K1622" s="28"/>
      <c r="L1622" s="28" t="s">
        <v>5544</v>
      </c>
      <c r="M1622" s="28" t="s">
        <v>524</v>
      </c>
      <c r="N1622" s="28">
        <v>2003.0</v>
      </c>
      <c r="O1622" s="60">
        <v>16.0</v>
      </c>
      <c r="P1622" s="28">
        <v>1.0</v>
      </c>
      <c r="Q1622" s="94">
        <v>1.0</v>
      </c>
      <c r="R1622" s="33"/>
      <c r="S1622" s="40"/>
      <c r="T1622" s="40"/>
      <c r="U1622" s="40"/>
      <c r="V1622" s="40"/>
      <c r="W1622" s="40"/>
      <c r="X1622" s="40"/>
      <c r="Y1622" s="45"/>
      <c r="Z1622" s="45"/>
      <c r="AA1622" s="45"/>
      <c r="AB1622" s="45"/>
      <c r="AC1622" s="45"/>
      <c r="AD1622" s="45"/>
      <c r="AE1622" s="45"/>
      <c r="AF1622" s="45"/>
      <c r="AG1622" s="45"/>
      <c r="AH1622" s="45"/>
      <c r="AI1622" s="45"/>
      <c r="AJ1622" s="45"/>
      <c r="AK1622" s="45"/>
      <c r="AL1622" s="45"/>
    </row>
    <row r="1623" ht="15.75" customHeight="1">
      <c r="A1623" s="27">
        <f t="shared" si="21"/>
        <v>502</v>
      </c>
      <c r="B1623" s="121" t="s">
        <v>5545</v>
      </c>
      <c r="C1623" s="121" t="s">
        <v>5546</v>
      </c>
      <c r="D1623" s="119" t="s">
        <v>5547</v>
      </c>
      <c r="E1623" s="121" t="s">
        <v>31</v>
      </c>
      <c r="F1623" s="121" t="s">
        <v>29</v>
      </c>
      <c r="G1623" s="121" t="s">
        <v>37</v>
      </c>
      <c r="H1623" s="83"/>
      <c r="I1623" s="121" t="s">
        <v>3003</v>
      </c>
      <c r="J1623" s="121">
        <v>419.0</v>
      </c>
      <c r="K1623" s="83"/>
      <c r="L1623" s="121" t="s">
        <v>766</v>
      </c>
      <c r="M1623" s="121" t="s">
        <v>382</v>
      </c>
      <c r="N1623" s="121">
        <v>2009.0</v>
      </c>
      <c r="O1623" s="121">
        <v>16.0</v>
      </c>
      <c r="P1623" s="121">
        <v>1.0</v>
      </c>
      <c r="Q1623" s="121">
        <v>1.0</v>
      </c>
      <c r="R1623" s="84"/>
      <c r="S1623" s="40"/>
      <c r="T1623" s="40"/>
      <c r="U1623" s="40"/>
      <c r="V1623" s="40"/>
      <c r="W1623" s="40"/>
      <c r="X1623" s="40"/>
      <c r="Y1623" s="3"/>
      <c r="Z1623" s="3"/>
      <c r="AA1623" s="3"/>
      <c r="AB1623" s="3"/>
      <c r="AC1623" s="3"/>
      <c r="AD1623" s="3"/>
      <c r="AE1623" s="3"/>
      <c r="AF1623" s="3"/>
      <c r="AG1623" s="3"/>
      <c r="AH1623" s="3"/>
      <c r="AI1623" s="3"/>
      <c r="AJ1623" s="3"/>
      <c r="AK1623" s="3"/>
      <c r="AL1623" s="3"/>
    </row>
    <row r="1624" ht="15.75" customHeight="1">
      <c r="A1624" s="27">
        <f t="shared" si="21"/>
        <v>503</v>
      </c>
      <c r="B1624" s="121" t="s">
        <v>5548</v>
      </c>
      <c r="C1624" s="121" t="s">
        <v>5549</v>
      </c>
      <c r="D1624" s="119" t="s">
        <v>5550</v>
      </c>
      <c r="E1624" s="121" t="s">
        <v>31</v>
      </c>
      <c r="F1624" s="121" t="s">
        <v>29</v>
      </c>
      <c r="G1624" s="121" t="s">
        <v>37</v>
      </c>
      <c r="H1624" s="83"/>
      <c r="I1624" s="121" t="s">
        <v>5551</v>
      </c>
      <c r="J1624" s="121">
        <v>204.0</v>
      </c>
      <c r="K1624" s="83"/>
      <c r="L1624" s="121" t="s">
        <v>5552</v>
      </c>
      <c r="M1624" s="121" t="s">
        <v>3268</v>
      </c>
      <c r="N1624" s="121">
        <v>1993.0</v>
      </c>
      <c r="O1624" s="121">
        <v>16.0</v>
      </c>
      <c r="P1624" s="121">
        <v>1.0</v>
      </c>
      <c r="Q1624" s="121">
        <v>1.0</v>
      </c>
      <c r="R1624" s="84"/>
      <c r="S1624" s="40"/>
      <c r="T1624" s="40"/>
      <c r="U1624" s="40"/>
      <c r="V1624" s="40"/>
      <c r="W1624" s="40"/>
      <c r="X1624" s="40"/>
      <c r="Y1624" s="3"/>
      <c r="Z1624" s="3"/>
      <c r="AA1624" s="3"/>
      <c r="AB1624" s="3"/>
      <c r="AC1624" s="3"/>
      <c r="AD1624" s="3"/>
      <c r="AE1624" s="3"/>
      <c r="AF1624" s="3"/>
      <c r="AG1624" s="3"/>
      <c r="AH1624" s="3"/>
      <c r="AI1624" s="3"/>
      <c r="AJ1624" s="3"/>
      <c r="AK1624" s="3"/>
      <c r="AL1624" s="3"/>
    </row>
    <row r="1625" ht="15.75" customHeight="1">
      <c r="A1625" s="27">
        <f t="shared" si="21"/>
        <v>504</v>
      </c>
      <c r="B1625" s="28" t="s">
        <v>5553</v>
      </c>
      <c r="C1625" s="43" t="s">
        <v>5554</v>
      </c>
      <c r="D1625" s="30" t="s">
        <v>5555</v>
      </c>
      <c r="E1625" s="28" t="s">
        <v>2863</v>
      </c>
      <c r="F1625" s="28" t="s">
        <v>29</v>
      </c>
      <c r="G1625" s="28" t="s">
        <v>30</v>
      </c>
      <c r="H1625" s="28"/>
      <c r="I1625" s="28" t="s">
        <v>30</v>
      </c>
      <c r="J1625" s="28">
        <v>484.0</v>
      </c>
      <c r="K1625" s="28"/>
      <c r="L1625" s="28" t="s">
        <v>5556</v>
      </c>
      <c r="M1625" s="28" t="s">
        <v>169</v>
      </c>
      <c r="N1625" s="28">
        <v>2013.0</v>
      </c>
      <c r="O1625" s="28">
        <v>16.0</v>
      </c>
      <c r="P1625" s="28">
        <v>1.0</v>
      </c>
      <c r="Q1625" s="94">
        <v>1.0</v>
      </c>
      <c r="R1625" s="33"/>
      <c r="S1625" s="40"/>
      <c r="T1625" s="40"/>
      <c r="U1625" s="40"/>
      <c r="V1625" s="40"/>
      <c r="W1625" s="40"/>
      <c r="X1625" s="40"/>
      <c r="Y1625" s="3"/>
      <c r="Z1625" s="3"/>
      <c r="AA1625" s="3"/>
      <c r="AB1625" s="3"/>
      <c r="AC1625" s="3"/>
      <c r="AD1625" s="3"/>
      <c r="AE1625" s="3"/>
      <c r="AF1625" s="3"/>
      <c r="AG1625" s="3"/>
      <c r="AH1625" s="3"/>
      <c r="AI1625" s="3"/>
      <c r="AJ1625" s="3"/>
      <c r="AK1625" s="3"/>
      <c r="AL1625" s="3"/>
    </row>
    <row r="1626" ht="15.75" customHeight="1">
      <c r="A1626" s="27">
        <f t="shared" si="21"/>
        <v>505</v>
      </c>
      <c r="B1626" s="121" t="s">
        <v>5557</v>
      </c>
      <c r="C1626" s="121" t="s">
        <v>5558</v>
      </c>
      <c r="D1626" s="119" t="s">
        <v>5559</v>
      </c>
      <c r="E1626" s="83"/>
      <c r="F1626" s="121" t="s">
        <v>29</v>
      </c>
      <c r="G1626" s="121" t="s">
        <v>37</v>
      </c>
      <c r="H1626" s="83"/>
      <c r="I1626" s="121" t="s">
        <v>38</v>
      </c>
      <c r="J1626" s="121">
        <v>276.0</v>
      </c>
      <c r="K1626" s="83"/>
      <c r="L1626" s="121" t="s">
        <v>5560</v>
      </c>
      <c r="M1626" s="121" t="s">
        <v>352</v>
      </c>
      <c r="N1626" s="121">
        <v>2003.0</v>
      </c>
      <c r="O1626" s="121">
        <v>16.0</v>
      </c>
      <c r="P1626" s="121">
        <v>1.0</v>
      </c>
      <c r="Q1626" s="121">
        <v>1.0</v>
      </c>
      <c r="R1626" s="84"/>
      <c r="S1626" s="34"/>
      <c r="T1626" s="34"/>
      <c r="U1626" s="34"/>
      <c r="V1626" s="34"/>
      <c r="W1626" s="34"/>
      <c r="X1626" s="34"/>
      <c r="Y1626" s="45"/>
      <c r="Z1626" s="45"/>
      <c r="AA1626" s="45"/>
      <c r="AB1626" s="45"/>
      <c r="AC1626" s="45"/>
      <c r="AD1626" s="45"/>
      <c r="AE1626" s="45"/>
      <c r="AF1626" s="45"/>
      <c r="AG1626" s="45"/>
      <c r="AH1626" s="45"/>
      <c r="AI1626" s="45"/>
      <c r="AJ1626" s="45"/>
      <c r="AK1626" s="45"/>
      <c r="AL1626" s="45"/>
    </row>
    <row r="1627" ht="15.75" customHeight="1">
      <c r="A1627" s="27">
        <f t="shared" si="21"/>
        <v>506</v>
      </c>
      <c r="B1627" s="28" t="s">
        <v>31</v>
      </c>
      <c r="C1627" s="43" t="s">
        <v>5561</v>
      </c>
      <c r="D1627" s="30" t="s">
        <v>5562</v>
      </c>
      <c r="E1627" s="28" t="s">
        <v>31</v>
      </c>
      <c r="F1627" s="28" t="s">
        <v>29</v>
      </c>
      <c r="G1627" s="28" t="s">
        <v>5563</v>
      </c>
      <c r="H1627" s="28"/>
      <c r="I1627" s="28" t="s">
        <v>4554</v>
      </c>
      <c r="J1627" s="28">
        <v>226.0</v>
      </c>
      <c r="K1627" s="28"/>
      <c r="L1627" s="28" t="s">
        <v>1446</v>
      </c>
      <c r="M1627" s="28" t="s">
        <v>5564</v>
      </c>
      <c r="N1627" s="28">
        <v>1965.0</v>
      </c>
      <c r="O1627" s="60">
        <v>16.0</v>
      </c>
      <c r="P1627" s="28">
        <v>1.0</v>
      </c>
      <c r="Q1627" s="94">
        <v>1.0</v>
      </c>
      <c r="R1627" s="33"/>
      <c r="S1627" s="40"/>
      <c r="T1627" s="40"/>
      <c r="U1627" s="40"/>
      <c r="V1627" s="40"/>
      <c r="W1627" s="40"/>
      <c r="X1627" s="40"/>
      <c r="Y1627" s="45"/>
      <c r="Z1627" s="45"/>
      <c r="AA1627" s="45"/>
      <c r="AB1627" s="45"/>
      <c r="AC1627" s="45"/>
      <c r="AD1627" s="45"/>
      <c r="AE1627" s="45"/>
      <c r="AF1627" s="45"/>
      <c r="AG1627" s="45"/>
      <c r="AH1627" s="45"/>
      <c r="AI1627" s="45"/>
      <c r="AJ1627" s="45"/>
      <c r="AK1627" s="45"/>
      <c r="AL1627" s="45"/>
    </row>
    <row r="1628" ht="15.75" customHeight="1">
      <c r="A1628" s="27">
        <f t="shared" si="21"/>
        <v>507</v>
      </c>
      <c r="B1628" s="121" t="s">
        <v>5565</v>
      </c>
      <c r="C1628" s="121" t="s">
        <v>5566</v>
      </c>
      <c r="D1628" s="119" t="s">
        <v>5567</v>
      </c>
      <c r="E1628" s="121" t="s">
        <v>31</v>
      </c>
      <c r="F1628" s="121" t="s">
        <v>29</v>
      </c>
      <c r="G1628" s="121" t="s">
        <v>37</v>
      </c>
      <c r="H1628" s="83"/>
      <c r="I1628" s="121" t="s">
        <v>38</v>
      </c>
      <c r="J1628" s="121">
        <v>524.0</v>
      </c>
      <c r="K1628" s="83"/>
      <c r="L1628" s="121" t="s">
        <v>5568</v>
      </c>
      <c r="M1628" s="121" t="s">
        <v>5569</v>
      </c>
      <c r="N1628" s="121">
        <v>2011.0</v>
      </c>
      <c r="O1628" s="121">
        <v>16.0</v>
      </c>
      <c r="P1628" s="121">
        <v>1.0</v>
      </c>
      <c r="Q1628" s="121">
        <v>1.0</v>
      </c>
      <c r="R1628" s="84"/>
      <c r="S1628" s="40"/>
      <c r="T1628" s="40"/>
      <c r="U1628" s="40"/>
      <c r="V1628" s="40"/>
      <c r="W1628" s="40"/>
      <c r="X1628" s="40"/>
      <c r="Y1628" s="45"/>
      <c r="Z1628" s="45"/>
      <c r="AA1628" s="45"/>
      <c r="AB1628" s="45"/>
      <c r="AC1628" s="45"/>
      <c r="AD1628" s="45"/>
      <c r="AE1628" s="45"/>
      <c r="AF1628" s="45"/>
      <c r="AG1628" s="45"/>
      <c r="AH1628" s="45"/>
      <c r="AI1628" s="45"/>
      <c r="AJ1628" s="45"/>
      <c r="AK1628" s="45"/>
      <c r="AL1628" s="45"/>
    </row>
    <row r="1629" ht="15.75" customHeight="1">
      <c r="A1629" s="27">
        <f t="shared" si="21"/>
        <v>508</v>
      </c>
      <c r="B1629" s="83" t="s">
        <v>5570</v>
      </c>
      <c r="C1629" s="121" t="s">
        <v>5571</v>
      </c>
      <c r="D1629" s="118" t="s">
        <v>5572</v>
      </c>
      <c r="E1629" s="83" t="s">
        <v>2601</v>
      </c>
      <c r="F1629" s="83" t="s">
        <v>29</v>
      </c>
      <c r="G1629" s="83" t="s">
        <v>2743</v>
      </c>
      <c r="H1629" s="83"/>
      <c r="I1629" s="83" t="s">
        <v>38</v>
      </c>
      <c r="J1629" s="83">
        <v>369.0</v>
      </c>
      <c r="K1629" s="83"/>
      <c r="L1629" s="83" t="s">
        <v>5573</v>
      </c>
      <c r="M1629" s="83" t="s">
        <v>3268</v>
      </c>
      <c r="N1629" s="83">
        <v>2010.0</v>
      </c>
      <c r="O1629" s="121">
        <v>16.0</v>
      </c>
      <c r="P1629" s="83">
        <v>1.0</v>
      </c>
      <c r="Q1629" s="83">
        <v>1.0</v>
      </c>
      <c r="R1629" s="84"/>
      <c r="S1629" s="40"/>
      <c r="T1629" s="40"/>
      <c r="U1629" s="40"/>
      <c r="V1629" s="40"/>
      <c r="W1629" s="40"/>
      <c r="X1629" s="40"/>
      <c r="Y1629" s="3"/>
      <c r="Z1629" s="3"/>
      <c r="AA1629" s="3"/>
      <c r="AB1629" s="3"/>
      <c r="AC1629" s="3"/>
      <c r="AD1629" s="3"/>
      <c r="AE1629" s="3"/>
      <c r="AF1629" s="3"/>
      <c r="AG1629" s="3"/>
      <c r="AH1629" s="3"/>
      <c r="AI1629" s="3"/>
      <c r="AJ1629" s="3"/>
      <c r="AK1629" s="3"/>
      <c r="AL1629" s="3"/>
    </row>
    <row r="1630" ht="15.75" customHeight="1">
      <c r="A1630" s="27">
        <f t="shared" si="21"/>
        <v>509</v>
      </c>
      <c r="B1630" s="28" t="s">
        <v>5574</v>
      </c>
      <c r="C1630" s="43" t="s">
        <v>5575</v>
      </c>
      <c r="D1630" s="30" t="s">
        <v>5576</v>
      </c>
      <c r="E1630" s="28" t="s">
        <v>31</v>
      </c>
      <c r="F1630" s="28" t="s">
        <v>29</v>
      </c>
      <c r="G1630" s="28" t="s">
        <v>30</v>
      </c>
      <c r="H1630" s="28"/>
      <c r="I1630" s="28" t="s">
        <v>30</v>
      </c>
      <c r="J1630" s="28">
        <v>227.0</v>
      </c>
      <c r="K1630" s="28"/>
      <c r="L1630" s="28" t="s">
        <v>5577</v>
      </c>
      <c r="M1630" s="28" t="s">
        <v>151</v>
      </c>
      <c r="N1630" s="28">
        <v>2010.0</v>
      </c>
      <c r="O1630" s="60">
        <v>16.0</v>
      </c>
      <c r="P1630" s="28">
        <v>2.0</v>
      </c>
      <c r="Q1630" s="94">
        <v>2.0</v>
      </c>
      <c r="R1630" s="33"/>
      <c r="S1630" s="40"/>
      <c r="T1630" s="40"/>
      <c r="U1630" s="40"/>
      <c r="V1630" s="40"/>
      <c r="W1630" s="40"/>
      <c r="X1630" s="40"/>
      <c r="Y1630" s="45"/>
      <c r="Z1630" s="45"/>
      <c r="AA1630" s="45"/>
      <c r="AB1630" s="45"/>
      <c r="AC1630" s="45"/>
      <c r="AD1630" s="45"/>
      <c r="AE1630" s="45"/>
      <c r="AF1630" s="45"/>
      <c r="AG1630" s="45"/>
      <c r="AH1630" s="45"/>
      <c r="AI1630" s="45"/>
      <c r="AJ1630" s="45"/>
      <c r="AK1630" s="45"/>
      <c r="AL1630" s="45"/>
    </row>
    <row r="1631" ht="15.75" customHeight="1">
      <c r="A1631" s="27">
        <f t="shared" si="21"/>
        <v>510</v>
      </c>
      <c r="B1631" s="121" t="s">
        <v>5578</v>
      </c>
      <c r="C1631" s="121" t="s">
        <v>5579</v>
      </c>
      <c r="D1631" s="119" t="s">
        <v>5580</v>
      </c>
      <c r="E1631" s="121" t="s">
        <v>31</v>
      </c>
      <c r="F1631" s="121" t="s">
        <v>29</v>
      </c>
      <c r="G1631" s="121" t="s">
        <v>37</v>
      </c>
      <c r="H1631" s="83"/>
      <c r="I1631" s="121" t="s">
        <v>5551</v>
      </c>
      <c r="J1631" s="121">
        <v>235.0</v>
      </c>
      <c r="K1631" s="83"/>
      <c r="L1631" s="121" t="s">
        <v>5581</v>
      </c>
      <c r="M1631" s="121" t="s">
        <v>382</v>
      </c>
      <c r="N1631" s="121">
        <v>2011.0</v>
      </c>
      <c r="O1631" s="121">
        <v>16.0</v>
      </c>
      <c r="P1631" s="121">
        <v>1.0</v>
      </c>
      <c r="Q1631" s="121">
        <v>1.0</v>
      </c>
      <c r="R1631" s="84"/>
      <c r="S1631" s="40"/>
      <c r="T1631" s="40"/>
      <c r="U1631" s="40"/>
      <c r="V1631" s="40"/>
      <c r="W1631" s="40"/>
      <c r="X1631" s="40"/>
      <c r="Y1631" s="45"/>
      <c r="Z1631" s="45"/>
      <c r="AA1631" s="45"/>
      <c r="AB1631" s="45"/>
      <c r="AC1631" s="45"/>
      <c r="AD1631" s="45"/>
      <c r="AE1631" s="45"/>
      <c r="AF1631" s="45"/>
      <c r="AG1631" s="45"/>
      <c r="AH1631" s="45"/>
      <c r="AI1631" s="45"/>
      <c r="AJ1631" s="45"/>
      <c r="AK1631" s="45"/>
      <c r="AL1631" s="45"/>
    </row>
    <row r="1632" ht="15.75" customHeight="1">
      <c r="A1632" s="27">
        <f t="shared" si="21"/>
        <v>511</v>
      </c>
      <c r="B1632" s="28"/>
      <c r="C1632" s="43" t="s">
        <v>5582</v>
      </c>
      <c r="D1632" s="30" t="s">
        <v>5583</v>
      </c>
      <c r="E1632" s="28" t="s">
        <v>31</v>
      </c>
      <c r="F1632" s="28" t="s">
        <v>29</v>
      </c>
      <c r="G1632" s="28" t="s">
        <v>37</v>
      </c>
      <c r="H1632" s="28"/>
      <c r="I1632" s="28" t="s">
        <v>4554</v>
      </c>
      <c r="J1632" s="28">
        <v>468.0</v>
      </c>
      <c r="K1632" s="28"/>
      <c r="L1632" s="28" t="s">
        <v>5584</v>
      </c>
      <c r="M1632" s="28" t="s">
        <v>3465</v>
      </c>
      <c r="N1632" s="28">
        <v>2003.0</v>
      </c>
      <c r="O1632" s="60">
        <v>16.0</v>
      </c>
      <c r="P1632" s="28">
        <v>1.0</v>
      </c>
      <c r="Q1632" s="94">
        <v>1.0</v>
      </c>
      <c r="R1632" s="33"/>
      <c r="S1632" s="40"/>
      <c r="T1632" s="40"/>
      <c r="U1632" s="40"/>
      <c r="V1632" s="40"/>
      <c r="W1632" s="40"/>
      <c r="X1632" s="40"/>
      <c r="Y1632" s="45"/>
      <c r="Z1632" s="45"/>
      <c r="AA1632" s="45"/>
      <c r="AB1632" s="45"/>
      <c r="AC1632" s="45"/>
      <c r="AD1632" s="45"/>
      <c r="AE1632" s="45"/>
      <c r="AF1632" s="45"/>
      <c r="AG1632" s="45"/>
      <c r="AH1632" s="45"/>
      <c r="AI1632" s="45"/>
      <c r="AJ1632" s="45"/>
      <c r="AK1632" s="45"/>
      <c r="AL1632" s="45"/>
    </row>
    <row r="1633" ht="15.75" customHeight="1">
      <c r="A1633" s="27">
        <f t="shared" si="21"/>
        <v>512</v>
      </c>
      <c r="B1633" s="28" t="s">
        <v>5585</v>
      </c>
      <c r="C1633" s="43" t="s">
        <v>5586</v>
      </c>
      <c r="D1633" s="30" t="s">
        <v>5587</v>
      </c>
      <c r="E1633" s="28" t="s">
        <v>31</v>
      </c>
      <c r="F1633" s="28" t="s">
        <v>29</v>
      </c>
      <c r="G1633" s="28" t="s">
        <v>37</v>
      </c>
      <c r="H1633" s="28"/>
      <c r="I1633" s="28" t="s">
        <v>5588</v>
      </c>
      <c r="J1633" s="28">
        <v>276.0</v>
      </c>
      <c r="K1633" s="28"/>
      <c r="L1633" s="28" t="s">
        <v>5589</v>
      </c>
      <c r="M1633" s="28" t="s">
        <v>3268</v>
      </c>
      <c r="N1633" s="28">
        <v>1995.0</v>
      </c>
      <c r="O1633" s="60">
        <v>16.0</v>
      </c>
      <c r="P1633" s="28">
        <v>1.0</v>
      </c>
      <c r="Q1633" s="94">
        <v>1.0</v>
      </c>
      <c r="R1633" s="33"/>
      <c r="S1633" s="40"/>
      <c r="T1633" s="40"/>
      <c r="U1633" s="40"/>
      <c r="V1633" s="40"/>
      <c r="W1633" s="40"/>
      <c r="X1633" s="40"/>
      <c r="Y1633" s="45"/>
      <c r="Z1633" s="45"/>
      <c r="AA1633" s="45"/>
      <c r="AB1633" s="45"/>
      <c r="AC1633" s="45"/>
      <c r="AD1633" s="45"/>
      <c r="AE1633" s="45"/>
      <c r="AF1633" s="45"/>
      <c r="AG1633" s="45"/>
      <c r="AH1633" s="45"/>
      <c r="AI1633" s="45"/>
      <c r="AJ1633" s="45"/>
      <c r="AK1633" s="45"/>
      <c r="AL1633" s="45"/>
    </row>
    <row r="1634" ht="15.75" customHeight="1">
      <c r="A1634" s="27">
        <f t="shared" si="21"/>
        <v>513</v>
      </c>
      <c r="B1634" s="28" t="s">
        <v>31</v>
      </c>
      <c r="C1634" s="43" t="s">
        <v>5590</v>
      </c>
      <c r="D1634" s="30" t="s">
        <v>5591</v>
      </c>
      <c r="E1634" s="28"/>
      <c r="F1634" s="28" t="s">
        <v>29</v>
      </c>
      <c r="G1634" s="28" t="s">
        <v>37</v>
      </c>
      <c r="H1634" s="28" t="s">
        <v>31</v>
      </c>
      <c r="I1634" s="28" t="s">
        <v>38</v>
      </c>
      <c r="J1634" s="28">
        <v>286.0</v>
      </c>
      <c r="K1634" s="28"/>
      <c r="L1634" s="28" t="s">
        <v>5592</v>
      </c>
      <c r="M1634" s="28" t="s">
        <v>5593</v>
      </c>
      <c r="N1634" s="28">
        <v>1977.0</v>
      </c>
      <c r="O1634" s="60">
        <v>16.0</v>
      </c>
      <c r="P1634" s="28">
        <v>1.0</v>
      </c>
      <c r="Q1634" s="94">
        <v>1.0</v>
      </c>
      <c r="R1634" s="33"/>
      <c r="S1634" s="40"/>
      <c r="T1634" s="40"/>
      <c r="U1634" s="40"/>
      <c r="V1634" s="40"/>
      <c r="W1634" s="40"/>
      <c r="X1634" s="40"/>
      <c r="Y1634" s="45"/>
      <c r="Z1634" s="45"/>
      <c r="AA1634" s="45"/>
      <c r="AB1634" s="45"/>
      <c r="AC1634" s="45"/>
      <c r="AD1634" s="45"/>
      <c r="AE1634" s="45"/>
      <c r="AF1634" s="45"/>
      <c r="AG1634" s="45"/>
      <c r="AH1634" s="45"/>
      <c r="AI1634" s="45"/>
      <c r="AJ1634" s="45"/>
      <c r="AK1634" s="45"/>
      <c r="AL1634" s="45"/>
    </row>
    <row r="1635" ht="15.75" customHeight="1">
      <c r="A1635" s="27">
        <f t="shared" si="21"/>
        <v>514</v>
      </c>
      <c r="B1635" s="121" t="s">
        <v>5594</v>
      </c>
      <c r="C1635" s="121" t="s">
        <v>5595</v>
      </c>
      <c r="D1635" s="119" t="s">
        <v>3002</v>
      </c>
      <c r="E1635" s="83"/>
      <c r="F1635" s="121" t="s">
        <v>29</v>
      </c>
      <c r="G1635" s="121" t="s">
        <v>38</v>
      </c>
      <c r="H1635" s="83"/>
      <c r="I1635" s="121" t="s">
        <v>3003</v>
      </c>
      <c r="J1635" s="121">
        <v>268.0</v>
      </c>
      <c r="K1635" s="83"/>
      <c r="L1635" s="121" t="s">
        <v>3004</v>
      </c>
      <c r="M1635" s="121" t="s">
        <v>3005</v>
      </c>
      <c r="N1635" s="121">
        <v>1965.0</v>
      </c>
      <c r="O1635" s="121">
        <v>16.0</v>
      </c>
      <c r="P1635" s="121">
        <v>1.0</v>
      </c>
      <c r="Q1635" s="121">
        <v>1.0</v>
      </c>
      <c r="R1635" s="84"/>
      <c r="S1635" s="40"/>
      <c r="T1635" s="40"/>
      <c r="U1635" s="40"/>
      <c r="V1635" s="40"/>
      <c r="W1635" s="40"/>
      <c r="X1635" s="40"/>
      <c r="Y1635" s="45"/>
      <c r="Z1635" s="45"/>
      <c r="AA1635" s="45"/>
      <c r="AB1635" s="45"/>
      <c r="AC1635" s="45"/>
      <c r="AD1635" s="45"/>
      <c r="AE1635" s="45"/>
      <c r="AF1635" s="45"/>
      <c r="AG1635" s="45"/>
      <c r="AH1635" s="45"/>
      <c r="AI1635" s="45"/>
      <c r="AJ1635" s="45"/>
      <c r="AK1635" s="45"/>
      <c r="AL1635" s="45"/>
    </row>
    <row r="1636" ht="15.75" customHeight="1">
      <c r="A1636" s="27">
        <f t="shared" si="21"/>
        <v>515</v>
      </c>
      <c r="B1636" s="28" t="s">
        <v>5596</v>
      </c>
      <c r="C1636" s="43" t="s">
        <v>5597</v>
      </c>
      <c r="D1636" s="30" t="s">
        <v>5598</v>
      </c>
      <c r="E1636" s="28" t="s">
        <v>3839</v>
      </c>
      <c r="F1636" s="28" t="s">
        <v>29</v>
      </c>
      <c r="G1636" s="28" t="s">
        <v>37</v>
      </c>
      <c r="H1636" s="28"/>
      <c r="I1636" s="28" t="s">
        <v>38</v>
      </c>
      <c r="J1636" s="28">
        <v>2013.0</v>
      </c>
      <c r="K1636" s="28"/>
      <c r="L1636" s="28" t="s">
        <v>5599</v>
      </c>
      <c r="M1636" s="28" t="s">
        <v>3712</v>
      </c>
      <c r="N1636" s="28">
        <v>1994.0</v>
      </c>
      <c r="O1636" s="28">
        <v>16.0</v>
      </c>
      <c r="P1636" s="28">
        <v>1.0</v>
      </c>
      <c r="Q1636" s="94">
        <v>1.0</v>
      </c>
      <c r="R1636" s="33"/>
      <c r="S1636" s="40"/>
      <c r="T1636" s="40"/>
      <c r="U1636" s="40"/>
      <c r="V1636" s="40"/>
      <c r="W1636" s="40"/>
      <c r="X1636" s="40"/>
      <c r="Y1636" s="45"/>
      <c r="Z1636" s="45"/>
      <c r="AA1636" s="45"/>
      <c r="AB1636" s="45"/>
      <c r="AC1636" s="45"/>
      <c r="AD1636" s="45"/>
      <c r="AE1636" s="45"/>
      <c r="AF1636" s="45"/>
      <c r="AG1636" s="45"/>
      <c r="AH1636" s="45"/>
      <c r="AI1636" s="45"/>
      <c r="AJ1636" s="45"/>
      <c r="AK1636" s="45"/>
      <c r="AL1636" s="45"/>
    </row>
    <row r="1637" ht="15.75" customHeight="1">
      <c r="A1637" s="27">
        <f t="shared" si="21"/>
        <v>516</v>
      </c>
      <c r="B1637" s="121" t="s">
        <v>5600</v>
      </c>
      <c r="C1637" s="121" t="s">
        <v>5601</v>
      </c>
      <c r="D1637" s="119" t="s">
        <v>5602</v>
      </c>
      <c r="E1637" s="83"/>
      <c r="F1637" s="121" t="s">
        <v>29</v>
      </c>
      <c r="G1637" s="121" t="s">
        <v>5603</v>
      </c>
      <c r="H1637" s="83"/>
      <c r="I1637" s="121" t="s">
        <v>3003</v>
      </c>
      <c r="J1637" s="121">
        <v>185.0</v>
      </c>
      <c r="K1637" s="83"/>
      <c r="L1637" s="121" t="s">
        <v>5604</v>
      </c>
      <c r="M1637" s="121" t="s">
        <v>5605</v>
      </c>
      <c r="N1637" s="121">
        <v>1990.0</v>
      </c>
      <c r="O1637" s="121">
        <v>16.0</v>
      </c>
      <c r="P1637" s="121">
        <v>1.0</v>
      </c>
      <c r="Q1637" s="121">
        <v>1.0</v>
      </c>
      <c r="R1637" s="84"/>
      <c r="S1637" s="40"/>
      <c r="T1637" s="40"/>
      <c r="U1637" s="40"/>
      <c r="V1637" s="40"/>
      <c r="W1637" s="40"/>
      <c r="X1637" s="40"/>
      <c r="Y1637" s="45"/>
      <c r="Z1637" s="45"/>
      <c r="AA1637" s="45"/>
      <c r="AB1637" s="45"/>
      <c r="AC1637" s="45"/>
      <c r="AD1637" s="45"/>
      <c r="AE1637" s="45"/>
      <c r="AF1637" s="45"/>
      <c r="AG1637" s="45"/>
      <c r="AH1637" s="45"/>
      <c r="AI1637" s="45"/>
      <c r="AJ1637" s="45"/>
      <c r="AK1637" s="45"/>
      <c r="AL1637" s="45"/>
    </row>
    <row r="1638" ht="15.75" customHeight="1">
      <c r="A1638" s="27">
        <f t="shared" si="21"/>
        <v>517</v>
      </c>
      <c r="B1638" s="33"/>
      <c r="C1638" s="132" t="s">
        <v>5606</v>
      </c>
      <c r="D1638" s="131" t="s">
        <v>5607</v>
      </c>
      <c r="E1638" s="33"/>
      <c r="F1638" s="132" t="s">
        <v>29</v>
      </c>
      <c r="G1638" s="132" t="s">
        <v>30</v>
      </c>
      <c r="H1638" s="33"/>
      <c r="I1638" s="132" t="s">
        <v>5608</v>
      </c>
      <c r="J1638" s="132">
        <v>171.0</v>
      </c>
      <c r="K1638" s="33"/>
      <c r="L1638" s="132" t="s">
        <v>3222</v>
      </c>
      <c r="M1638" s="132" t="s">
        <v>5609</v>
      </c>
      <c r="N1638" s="132">
        <v>1987.0</v>
      </c>
      <c r="O1638" s="132">
        <v>16.0</v>
      </c>
      <c r="P1638" s="132">
        <v>1.0</v>
      </c>
      <c r="Q1638" s="132">
        <v>1.0</v>
      </c>
      <c r="R1638" s="84"/>
      <c r="S1638" s="40"/>
      <c r="T1638" s="40"/>
      <c r="U1638" s="40"/>
      <c r="V1638" s="40"/>
      <c r="W1638" s="40"/>
      <c r="X1638" s="40"/>
      <c r="Y1638" s="45"/>
      <c r="Z1638" s="45"/>
      <c r="AA1638" s="45"/>
      <c r="AB1638" s="45"/>
      <c r="AC1638" s="45"/>
      <c r="AD1638" s="45"/>
      <c r="AE1638" s="45"/>
      <c r="AF1638" s="45"/>
      <c r="AG1638" s="45"/>
      <c r="AH1638" s="45"/>
      <c r="AI1638" s="45"/>
      <c r="AJ1638" s="45"/>
      <c r="AK1638" s="45"/>
      <c r="AL1638" s="45"/>
    </row>
    <row r="1639" ht="15.75" customHeight="1">
      <c r="A1639" s="27">
        <f t="shared" si="21"/>
        <v>518</v>
      </c>
      <c r="B1639" s="28" t="s">
        <v>5610</v>
      </c>
      <c r="C1639" s="43" t="s">
        <v>5611</v>
      </c>
      <c r="D1639" s="30" t="s">
        <v>5612</v>
      </c>
      <c r="E1639" s="28" t="s">
        <v>31</v>
      </c>
      <c r="F1639" s="28" t="s">
        <v>29</v>
      </c>
      <c r="G1639" s="28" t="s">
        <v>37</v>
      </c>
      <c r="H1639" s="28"/>
      <c r="I1639" s="28" t="s">
        <v>5613</v>
      </c>
      <c r="J1639" s="28">
        <v>859.0</v>
      </c>
      <c r="K1639" s="28"/>
      <c r="L1639" s="28" t="s">
        <v>5614</v>
      </c>
      <c r="M1639" s="28" t="s">
        <v>524</v>
      </c>
      <c r="N1639" s="28">
        <v>1996.0</v>
      </c>
      <c r="O1639" s="60">
        <v>16.0</v>
      </c>
      <c r="P1639" s="28">
        <v>1.0</v>
      </c>
      <c r="Q1639" s="94">
        <v>1.0</v>
      </c>
      <c r="R1639" s="33"/>
      <c r="S1639" s="40"/>
      <c r="T1639" s="40"/>
      <c r="U1639" s="40"/>
      <c r="V1639" s="40"/>
      <c r="W1639" s="40"/>
      <c r="X1639" s="40"/>
      <c r="Y1639" s="45"/>
      <c r="Z1639" s="45"/>
      <c r="AA1639" s="45"/>
      <c r="AB1639" s="45"/>
      <c r="AC1639" s="45"/>
      <c r="AD1639" s="45"/>
      <c r="AE1639" s="45"/>
      <c r="AF1639" s="45"/>
      <c r="AG1639" s="45"/>
      <c r="AH1639" s="45"/>
      <c r="AI1639" s="45"/>
      <c r="AJ1639" s="45"/>
      <c r="AK1639" s="45"/>
      <c r="AL1639" s="45"/>
    </row>
    <row r="1640" ht="15.75" customHeight="1">
      <c r="A1640" s="27">
        <f t="shared" si="21"/>
        <v>519</v>
      </c>
      <c r="B1640" s="28" t="s">
        <v>5615</v>
      </c>
      <c r="C1640" s="43" t="s">
        <v>5616</v>
      </c>
      <c r="D1640" s="30" t="s">
        <v>5617</v>
      </c>
      <c r="E1640" s="28" t="s">
        <v>3839</v>
      </c>
      <c r="F1640" s="28" t="s">
        <v>29</v>
      </c>
      <c r="G1640" s="28" t="s">
        <v>37</v>
      </c>
      <c r="H1640" s="28"/>
      <c r="I1640" s="28" t="s">
        <v>38</v>
      </c>
      <c r="J1640" s="28">
        <f>583+12</f>
        <v>595</v>
      </c>
      <c r="K1640" s="28"/>
      <c r="L1640" s="28" t="s">
        <v>5618</v>
      </c>
      <c r="M1640" s="28" t="s">
        <v>3712</v>
      </c>
      <c r="N1640" s="28">
        <v>2010.0</v>
      </c>
      <c r="O1640" s="28">
        <v>16.0</v>
      </c>
      <c r="P1640" s="28">
        <v>1.0</v>
      </c>
      <c r="Q1640" s="94">
        <v>1.0</v>
      </c>
      <c r="R1640" s="33"/>
      <c r="S1640" s="40"/>
      <c r="T1640" s="40"/>
      <c r="U1640" s="40"/>
      <c r="V1640" s="40"/>
      <c r="W1640" s="40"/>
      <c r="X1640" s="40"/>
      <c r="Y1640" s="45"/>
      <c r="Z1640" s="45"/>
      <c r="AA1640" s="45"/>
      <c r="AB1640" s="45"/>
      <c r="AC1640" s="45"/>
      <c r="AD1640" s="45"/>
      <c r="AE1640" s="45"/>
      <c r="AF1640" s="45"/>
      <c r="AG1640" s="45"/>
      <c r="AH1640" s="45"/>
      <c r="AI1640" s="45"/>
      <c r="AJ1640" s="45"/>
      <c r="AK1640" s="45"/>
      <c r="AL1640" s="45"/>
    </row>
    <row r="1641" ht="15.75" customHeight="1">
      <c r="A1641" s="27">
        <f t="shared" si="21"/>
        <v>520</v>
      </c>
      <c r="B1641" s="28" t="s">
        <v>5619</v>
      </c>
      <c r="C1641" s="43" t="s">
        <v>5620</v>
      </c>
      <c r="D1641" s="30" t="s">
        <v>5621</v>
      </c>
      <c r="E1641" s="28"/>
      <c r="F1641" s="28" t="s">
        <v>29</v>
      </c>
      <c r="G1641" s="28" t="s">
        <v>37</v>
      </c>
      <c r="H1641" s="28" t="s">
        <v>31</v>
      </c>
      <c r="I1641" s="28" t="s">
        <v>38</v>
      </c>
      <c r="J1641" s="28">
        <v>166.0</v>
      </c>
      <c r="K1641" s="28"/>
      <c r="L1641" s="28" t="s">
        <v>5622</v>
      </c>
      <c r="M1641" s="28" t="s">
        <v>2886</v>
      </c>
      <c r="N1641" s="28">
        <v>1992.0</v>
      </c>
      <c r="O1641" s="60">
        <v>16.0</v>
      </c>
      <c r="P1641" s="28">
        <v>1.0</v>
      </c>
      <c r="Q1641" s="94">
        <v>1.0</v>
      </c>
      <c r="R1641" s="33"/>
      <c r="S1641" s="40"/>
      <c r="T1641" s="40"/>
      <c r="U1641" s="40"/>
      <c r="V1641" s="40"/>
      <c r="W1641" s="40"/>
      <c r="X1641" s="40"/>
      <c r="Y1641" s="45"/>
      <c r="Z1641" s="45"/>
      <c r="AA1641" s="45"/>
      <c r="AB1641" s="45"/>
      <c r="AC1641" s="45"/>
      <c r="AD1641" s="45"/>
      <c r="AE1641" s="45"/>
      <c r="AF1641" s="45"/>
      <c r="AG1641" s="45"/>
      <c r="AH1641" s="45"/>
      <c r="AI1641" s="45"/>
      <c r="AJ1641" s="45"/>
      <c r="AK1641" s="45"/>
      <c r="AL1641" s="45"/>
    </row>
    <row r="1642" ht="15.75" customHeight="1">
      <c r="A1642" s="27">
        <f t="shared" si="21"/>
        <v>521</v>
      </c>
      <c r="B1642" s="121" t="s">
        <v>5623</v>
      </c>
      <c r="C1642" s="121" t="s">
        <v>5624</v>
      </c>
      <c r="D1642" s="119" t="s">
        <v>5625</v>
      </c>
      <c r="E1642" s="83"/>
      <c r="F1642" s="83"/>
      <c r="G1642" s="121" t="s">
        <v>37</v>
      </c>
      <c r="H1642" s="83"/>
      <c r="I1642" s="121" t="s">
        <v>5626</v>
      </c>
      <c r="J1642" s="121">
        <v>362.0</v>
      </c>
      <c r="K1642" s="83"/>
      <c r="L1642" s="121" t="s">
        <v>766</v>
      </c>
      <c r="M1642" s="121" t="s">
        <v>382</v>
      </c>
      <c r="N1642" s="121">
        <v>1994.0</v>
      </c>
      <c r="O1642" s="121">
        <v>16.0</v>
      </c>
      <c r="P1642" s="121">
        <v>1.0</v>
      </c>
      <c r="Q1642" s="121">
        <v>1.0</v>
      </c>
      <c r="R1642" s="84"/>
      <c r="S1642" s="40"/>
      <c r="T1642" s="40"/>
      <c r="U1642" s="40"/>
      <c r="V1642" s="40"/>
      <c r="W1642" s="40"/>
      <c r="X1642" s="40"/>
      <c r="Y1642" s="3"/>
      <c r="Z1642" s="3"/>
      <c r="AA1642" s="3"/>
      <c r="AB1642" s="3"/>
      <c r="AC1642" s="3"/>
      <c r="AD1642" s="3"/>
      <c r="AE1642" s="3"/>
      <c r="AF1642" s="3"/>
      <c r="AG1642" s="3"/>
      <c r="AH1642" s="3"/>
      <c r="AI1642" s="3"/>
      <c r="AJ1642" s="3"/>
      <c r="AK1642" s="3"/>
      <c r="AL1642" s="3"/>
    </row>
    <row r="1643" ht="15.75" customHeight="1">
      <c r="A1643" s="27">
        <f t="shared" si="21"/>
        <v>522</v>
      </c>
      <c r="B1643" s="28" t="s">
        <v>5627</v>
      </c>
      <c r="C1643" s="102" t="s">
        <v>5628</v>
      </c>
      <c r="D1643" s="30" t="s">
        <v>5629</v>
      </c>
      <c r="E1643" s="28" t="s">
        <v>28</v>
      </c>
      <c r="F1643" s="28" t="s">
        <v>29</v>
      </c>
      <c r="G1643" s="28" t="s">
        <v>37</v>
      </c>
      <c r="H1643" s="28"/>
      <c r="I1643" s="28" t="s">
        <v>38</v>
      </c>
      <c r="J1643" s="28">
        <v>333.0</v>
      </c>
      <c r="K1643" s="28"/>
      <c r="L1643" s="28" t="s">
        <v>1291</v>
      </c>
      <c r="M1643" s="28" t="s">
        <v>524</v>
      </c>
      <c r="N1643" s="28">
        <v>1983.0</v>
      </c>
      <c r="O1643" s="60">
        <v>16.0</v>
      </c>
      <c r="P1643" s="28">
        <v>1.0</v>
      </c>
      <c r="Q1643" s="94">
        <v>1.0</v>
      </c>
      <c r="R1643" s="33"/>
      <c r="S1643" s="40"/>
      <c r="T1643" s="40"/>
      <c r="U1643" s="40"/>
      <c r="V1643" s="40"/>
      <c r="W1643" s="40"/>
      <c r="X1643" s="40"/>
      <c r="Y1643" s="45"/>
      <c r="Z1643" s="45"/>
      <c r="AA1643" s="45"/>
      <c r="AB1643" s="45"/>
      <c r="AC1643" s="45"/>
      <c r="AD1643" s="45"/>
      <c r="AE1643" s="45"/>
      <c r="AF1643" s="45"/>
      <c r="AG1643" s="45"/>
      <c r="AH1643" s="45"/>
      <c r="AI1643" s="45"/>
      <c r="AJ1643" s="45"/>
      <c r="AK1643" s="45"/>
      <c r="AL1643" s="45"/>
    </row>
    <row r="1644" ht="15.75" customHeight="1">
      <c r="A1644" s="27">
        <f t="shared" si="21"/>
        <v>523</v>
      </c>
      <c r="B1644" s="28" t="s">
        <v>5630</v>
      </c>
      <c r="C1644" s="43" t="s">
        <v>5631</v>
      </c>
      <c r="D1644" s="30" t="s">
        <v>5632</v>
      </c>
      <c r="E1644" s="28" t="s">
        <v>3839</v>
      </c>
      <c r="F1644" s="28" t="s">
        <v>29</v>
      </c>
      <c r="G1644" s="28" t="s">
        <v>37</v>
      </c>
      <c r="H1644" s="28"/>
      <c r="I1644" s="28" t="s">
        <v>38</v>
      </c>
      <c r="J1644" s="28">
        <f>286+22</f>
        <v>308</v>
      </c>
      <c r="K1644" s="28"/>
      <c r="L1644" s="28" t="s">
        <v>5633</v>
      </c>
      <c r="M1644" s="28" t="s">
        <v>3712</v>
      </c>
      <c r="N1644" s="28">
        <v>2007.0</v>
      </c>
      <c r="O1644" s="28">
        <v>16.0</v>
      </c>
      <c r="P1644" s="28">
        <v>1.0</v>
      </c>
      <c r="Q1644" s="94">
        <v>1.0</v>
      </c>
      <c r="R1644" s="33"/>
      <c r="S1644" s="34"/>
      <c r="T1644" s="34"/>
      <c r="U1644" s="34"/>
      <c r="V1644" s="34"/>
      <c r="W1644" s="34"/>
      <c r="X1644" s="34"/>
      <c r="Y1644" s="45"/>
      <c r="Z1644" s="45"/>
      <c r="AA1644" s="45"/>
      <c r="AB1644" s="45"/>
      <c r="AC1644" s="45"/>
      <c r="AD1644" s="45"/>
      <c r="AE1644" s="45"/>
      <c r="AF1644" s="45"/>
      <c r="AG1644" s="45"/>
      <c r="AH1644" s="45"/>
      <c r="AI1644" s="45"/>
      <c r="AJ1644" s="45"/>
      <c r="AK1644" s="45"/>
      <c r="AL1644" s="45"/>
    </row>
    <row r="1645" ht="15.75" customHeight="1">
      <c r="A1645" s="27">
        <f t="shared" si="21"/>
        <v>524</v>
      </c>
      <c r="B1645" s="83" t="s">
        <v>5634</v>
      </c>
      <c r="C1645" s="121" t="s">
        <v>5635</v>
      </c>
      <c r="D1645" s="118" t="s">
        <v>5636</v>
      </c>
      <c r="E1645" s="83"/>
      <c r="F1645" s="83" t="s">
        <v>29</v>
      </c>
      <c r="G1645" s="83"/>
      <c r="H1645" s="83"/>
      <c r="I1645" s="83" t="s">
        <v>38</v>
      </c>
      <c r="J1645" s="83">
        <v>204.0</v>
      </c>
      <c r="K1645" s="83"/>
      <c r="L1645" s="83" t="s">
        <v>5637</v>
      </c>
      <c r="M1645" s="83" t="s">
        <v>5638</v>
      </c>
      <c r="N1645" s="83">
        <v>1979.0</v>
      </c>
      <c r="O1645" s="121">
        <v>16.0</v>
      </c>
      <c r="P1645" s="121">
        <v>2.0</v>
      </c>
      <c r="Q1645" s="121">
        <v>2.0</v>
      </c>
      <c r="R1645" s="84"/>
      <c r="S1645" s="40"/>
      <c r="T1645" s="40"/>
      <c r="U1645" s="40"/>
      <c r="V1645" s="40"/>
      <c r="W1645" s="40"/>
      <c r="X1645" s="40"/>
      <c r="Y1645" s="45"/>
      <c r="Z1645" s="45"/>
      <c r="AA1645" s="45"/>
      <c r="AB1645" s="45"/>
      <c r="AC1645" s="45"/>
      <c r="AD1645" s="45"/>
      <c r="AE1645" s="45"/>
      <c r="AF1645" s="45"/>
      <c r="AG1645" s="45"/>
      <c r="AH1645" s="45"/>
      <c r="AI1645" s="45"/>
      <c r="AJ1645" s="45"/>
      <c r="AK1645" s="45"/>
      <c r="AL1645" s="45"/>
    </row>
    <row r="1646" ht="15.75" customHeight="1">
      <c r="A1646" s="27">
        <f t="shared" si="21"/>
        <v>525</v>
      </c>
      <c r="B1646" s="28" t="s">
        <v>5639</v>
      </c>
      <c r="C1646" s="102" t="s">
        <v>5640</v>
      </c>
      <c r="D1646" s="30" t="s">
        <v>5641</v>
      </c>
      <c r="E1646" s="28"/>
      <c r="F1646" s="28" t="s">
        <v>740</v>
      </c>
      <c r="G1646" s="28" t="s">
        <v>37</v>
      </c>
      <c r="H1646" s="28"/>
      <c r="I1646" s="28" t="s">
        <v>5613</v>
      </c>
      <c r="J1646" s="28">
        <v>178.0</v>
      </c>
      <c r="K1646" s="28" t="s">
        <v>5642</v>
      </c>
      <c r="L1646" s="28" t="s">
        <v>5643</v>
      </c>
      <c r="M1646" s="28" t="s">
        <v>37</v>
      </c>
      <c r="N1646" s="28">
        <v>1991.0</v>
      </c>
      <c r="O1646" s="60">
        <v>16.0</v>
      </c>
      <c r="P1646" s="28">
        <v>1.0</v>
      </c>
      <c r="Q1646" s="94">
        <v>1.0</v>
      </c>
      <c r="R1646" s="33"/>
      <c r="S1646" s="40"/>
      <c r="T1646" s="40"/>
      <c r="U1646" s="40"/>
      <c r="V1646" s="40"/>
      <c r="W1646" s="40"/>
      <c r="X1646" s="40"/>
      <c r="Y1646" s="45"/>
      <c r="Z1646" s="45"/>
      <c r="AA1646" s="45"/>
      <c r="AB1646" s="45"/>
      <c r="AC1646" s="45"/>
      <c r="AD1646" s="45"/>
      <c r="AE1646" s="45"/>
      <c r="AF1646" s="45"/>
      <c r="AG1646" s="45"/>
      <c r="AH1646" s="45"/>
      <c r="AI1646" s="45"/>
      <c r="AJ1646" s="45"/>
      <c r="AK1646" s="45"/>
      <c r="AL1646" s="45"/>
    </row>
    <row r="1647" ht="15.75" customHeight="1">
      <c r="A1647" s="27">
        <f t="shared" si="21"/>
        <v>526</v>
      </c>
      <c r="B1647" s="28" t="s">
        <v>5644</v>
      </c>
      <c r="C1647" s="43" t="s">
        <v>5645</v>
      </c>
      <c r="D1647" s="30" t="s">
        <v>5646</v>
      </c>
      <c r="E1647" s="28" t="s">
        <v>31</v>
      </c>
      <c r="F1647" s="28" t="s">
        <v>29</v>
      </c>
      <c r="G1647" s="28" t="s">
        <v>37</v>
      </c>
      <c r="H1647" s="28"/>
      <c r="I1647" s="28" t="s">
        <v>4554</v>
      </c>
      <c r="J1647" s="28">
        <v>765.0</v>
      </c>
      <c r="K1647" s="28"/>
      <c r="L1647" s="28" t="s">
        <v>5647</v>
      </c>
      <c r="M1647" s="28" t="s">
        <v>3268</v>
      </c>
      <c r="N1647" s="28">
        <v>1990.0</v>
      </c>
      <c r="O1647" s="60">
        <v>16.0</v>
      </c>
      <c r="P1647" s="28">
        <v>1.0</v>
      </c>
      <c r="Q1647" s="32">
        <v>1.0</v>
      </c>
      <c r="R1647" s="33"/>
      <c r="S1647" s="40"/>
      <c r="T1647" s="40"/>
      <c r="U1647" s="40"/>
      <c r="V1647" s="40"/>
      <c r="W1647" s="40"/>
      <c r="X1647" s="40"/>
      <c r="Y1647" s="3"/>
      <c r="Z1647" s="3"/>
      <c r="AA1647" s="3"/>
      <c r="AB1647" s="3"/>
      <c r="AC1647" s="3"/>
      <c r="AD1647" s="3"/>
      <c r="AE1647" s="3"/>
      <c r="AF1647" s="3"/>
      <c r="AG1647" s="3"/>
      <c r="AH1647" s="3"/>
      <c r="AI1647" s="3"/>
      <c r="AJ1647" s="3"/>
      <c r="AK1647" s="3"/>
      <c r="AL1647" s="3"/>
    </row>
    <row r="1648" ht="15.75" customHeight="1">
      <c r="A1648" s="27">
        <f t="shared" si="21"/>
        <v>527</v>
      </c>
      <c r="B1648" s="28" t="s">
        <v>5648</v>
      </c>
      <c r="C1648" s="43" t="s">
        <v>5649</v>
      </c>
      <c r="D1648" s="30" t="s">
        <v>5650</v>
      </c>
      <c r="E1648" s="28" t="s">
        <v>31</v>
      </c>
      <c r="F1648" s="28" t="s">
        <v>29</v>
      </c>
      <c r="G1648" s="28" t="s">
        <v>30</v>
      </c>
      <c r="H1648" s="28"/>
      <c r="I1648" s="28" t="s">
        <v>30</v>
      </c>
      <c r="J1648" s="28">
        <v>458.0</v>
      </c>
      <c r="K1648" s="28"/>
      <c r="L1648" s="28" t="s">
        <v>5651</v>
      </c>
      <c r="M1648" s="60" t="s">
        <v>5652</v>
      </c>
      <c r="N1648" s="28">
        <v>2011.0</v>
      </c>
      <c r="O1648" s="60">
        <v>16.0</v>
      </c>
      <c r="P1648" s="28">
        <v>1.0</v>
      </c>
      <c r="Q1648" s="94">
        <v>1.0</v>
      </c>
      <c r="R1648" s="136"/>
      <c r="S1648" s="40"/>
      <c r="T1648" s="40"/>
      <c r="U1648" s="40"/>
      <c r="V1648" s="40"/>
      <c r="W1648" s="40"/>
      <c r="X1648" s="40"/>
      <c r="Y1648" s="45"/>
      <c r="Z1648" s="45"/>
      <c r="AA1648" s="45"/>
      <c r="AB1648" s="45"/>
      <c r="AC1648" s="45"/>
      <c r="AD1648" s="45"/>
      <c r="AE1648" s="45"/>
      <c r="AF1648" s="45"/>
      <c r="AG1648" s="45"/>
      <c r="AH1648" s="45"/>
      <c r="AI1648" s="45"/>
      <c r="AJ1648" s="45"/>
      <c r="AK1648" s="45"/>
      <c r="AL1648" s="45"/>
    </row>
    <row r="1649" ht="15.75" customHeight="1">
      <c r="A1649" s="27">
        <f t="shared" si="21"/>
        <v>528</v>
      </c>
      <c r="B1649" s="28" t="s">
        <v>5653</v>
      </c>
      <c r="C1649" s="43" t="s">
        <v>5654</v>
      </c>
      <c r="D1649" s="30" t="s">
        <v>5655</v>
      </c>
      <c r="E1649" s="28" t="s">
        <v>31</v>
      </c>
      <c r="F1649" s="28" t="s">
        <v>29</v>
      </c>
      <c r="G1649" s="28" t="s">
        <v>37</v>
      </c>
      <c r="H1649" s="28"/>
      <c r="I1649" s="28" t="s">
        <v>5613</v>
      </c>
      <c r="J1649" s="28">
        <v>85.0</v>
      </c>
      <c r="K1649" s="28"/>
      <c r="L1649" s="28" t="s">
        <v>5656</v>
      </c>
      <c r="M1649" s="28" t="s">
        <v>230</v>
      </c>
      <c r="N1649" s="28">
        <v>2000.0</v>
      </c>
      <c r="O1649" s="60">
        <v>16.0</v>
      </c>
      <c r="P1649" s="28">
        <v>1.0</v>
      </c>
      <c r="Q1649" s="94">
        <v>1.0</v>
      </c>
      <c r="R1649" s="33"/>
      <c r="S1649" s="40"/>
      <c r="T1649" s="40"/>
      <c r="U1649" s="40"/>
      <c r="V1649" s="40"/>
      <c r="W1649" s="40"/>
      <c r="X1649" s="40"/>
      <c r="Y1649" s="45"/>
      <c r="Z1649" s="45"/>
      <c r="AA1649" s="45"/>
      <c r="AB1649" s="45"/>
      <c r="AC1649" s="45"/>
      <c r="AD1649" s="45"/>
      <c r="AE1649" s="45"/>
      <c r="AF1649" s="45"/>
      <c r="AG1649" s="45"/>
      <c r="AH1649" s="45"/>
      <c r="AI1649" s="45"/>
      <c r="AJ1649" s="45"/>
      <c r="AK1649" s="45"/>
      <c r="AL1649" s="45"/>
    </row>
    <row r="1650" ht="15.75" customHeight="1">
      <c r="A1650" s="27">
        <f t="shared" si="21"/>
        <v>529</v>
      </c>
      <c r="B1650" s="28" t="s">
        <v>31</v>
      </c>
      <c r="C1650" s="43" t="s">
        <v>5657</v>
      </c>
      <c r="D1650" s="30" t="s">
        <v>5658</v>
      </c>
      <c r="E1650" s="28" t="s">
        <v>31</v>
      </c>
      <c r="F1650" s="28" t="s">
        <v>29</v>
      </c>
      <c r="G1650" s="28" t="s">
        <v>37</v>
      </c>
      <c r="H1650" s="28"/>
      <c r="I1650" s="28" t="s">
        <v>38</v>
      </c>
      <c r="J1650" s="28">
        <v>101.0</v>
      </c>
      <c r="K1650" s="28"/>
      <c r="L1650" s="28" t="s">
        <v>5659</v>
      </c>
      <c r="M1650" s="28" t="s">
        <v>524</v>
      </c>
      <c r="N1650" s="28">
        <v>1974.0</v>
      </c>
      <c r="O1650" s="60">
        <v>16.0</v>
      </c>
      <c r="P1650" s="28">
        <v>1.0</v>
      </c>
      <c r="Q1650" s="94">
        <v>1.0</v>
      </c>
      <c r="R1650" s="33"/>
      <c r="S1650" s="40"/>
      <c r="T1650" s="40"/>
      <c r="U1650" s="40"/>
      <c r="V1650" s="40"/>
      <c r="W1650" s="40"/>
      <c r="X1650" s="40"/>
      <c r="Y1650" s="45"/>
      <c r="Z1650" s="45"/>
      <c r="AA1650" s="45"/>
      <c r="AB1650" s="45"/>
      <c r="AC1650" s="45"/>
      <c r="AD1650" s="45"/>
      <c r="AE1650" s="45"/>
      <c r="AF1650" s="45"/>
      <c r="AG1650" s="45"/>
      <c r="AH1650" s="45"/>
      <c r="AI1650" s="45"/>
      <c r="AJ1650" s="45"/>
      <c r="AK1650" s="45"/>
      <c r="AL1650" s="45"/>
    </row>
    <row r="1651" ht="15.75" customHeight="1">
      <c r="A1651" s="27">
        <f t="shared" si="21"/>
        <v>530</v>
      </c>
      <c r="B1651" s="28" t="s">
        <v>5594</v>
      </c>
      <c r="C1651" s="43" t="s">
        <v>5660</v>
      </c>
      <c r="D1651" s="30" t="s">
        <v>5661</v>
      </c>
      <c r="E1651" s="28" t="s">
        <v>31</v>
      </c>
      <c r="F1651" s="28" t="s">
        <v>29</v>
      </c>
      <c r="G1651" s="28" t="s">
        <v>38</v>
      </c>
      <c r="H1651" s="28"/>
      <c r="I1651" s="28" t="s">
        <v>5613</v>
      </c>
      <c r="J1651" s="28">
        <v>279.0</v>
      </c>
      <c r="K1651" s="28"/>
      <c r="L1651" s="28" t="s">
        <v>5662</v>
      </c>
      <c r="M1651" s="28" t="s">
        <v>83</v>
      </c>
      <c r="N1651" s="28">
        <v>1965.0</v>
      </c>
      <c r="O1651" s="60">
        <v>16.0</v>
      </c>
      <c r="P1651" s="28">
        <v>3.0</v>
      </c>
      <c r="Q1651" s="32">
        <v>3.0</v>
      </c>
      <c r="R1651" s="136"/>
      <c r="S1651" s="40"/>
      <c r="T1651" s="40"/>
      <c r="U1651" s="40"/>
      <c r="V1651" s="40"/>
      <c r="W1651" s="40"/>
      <c r="X1651" s="40"/>
      <c r="Y1651" s="45"/>
      <c r="Z1651" s="45"/>
      <c r="AA1651" s="45"/>
      <c r="AB1651" s="45"/>
      <c r="AC1651" s="45"/>
      <c r="AD1651" s="45"/>
      <c r="AE1651" s="45"/>
      <c r="AF1651" s="45"/>
      <c r="AG1651" s="45"/>
      <c r="AH1651" s="45"/>
      <c r="AI1651" s="45"/>
      <c r="AJ1651" s="45"/>
      <c r="AK1651" s="45"/>
      <c r="AL1651" s="45"/>
    </row>
    <row r="1652" ht="15.75" customHeight="1">
      <c r="A1652" s="27">
        <f t="shared" si="21"/>
        <v>531</v>
      </c>
      <c r="B1652" s="28" t="s">
        <v>31</v>
      </c>
      <c r="C1652" s="43" t="s">
        <v>5663</v>
      </c>
      <c r="D1652" s="30" t="s">
        <v>5664</v>
      </c>
      <c r="E1652" s="28" t="s">
        <v>31</v>
      </c>
      <c r="F1652" s="28" t="s">
        <v>29</v>
      </c>
      <c r="G1652" s="60" t="s">
        <v>37</v>
      </c>
      <c r="H1652" s="28"/>
      <c r="I1652" s="28" t="s">
        <v>38</v>
      </c>
      <c r="J1652" s="28">
        <v>180.0</v>
      </c>
      <c r="K1652" s="28"/>
      <c r="L1652" s="28" t="s">
        <v>5665</v>
      </c>
      <c r="M1652" s="28" t="s">
        <v>83</v>
      </c>
      <c r="N1652" s="28">
        <v>1956.0</v>
      </c>
      <c r="O1652" s="60">
        <v>16.0</v>
      </c>
      <c r="P1652" s="28">
        <v>1.0</v>
      </c>
      <c r="Q1652" s="94">
        <v>1.0</v>
      </c>
      <c r="R1652" s="33"/>
      <c r="S1652" s="40"/>
      <c r="T1652" s="40"/>
      <c r="U1652" s="40"/>
      <c r="V1652" s="40"/>
      <c r="W1652" s="40"/>
      <c r="X1652" s="40"/>
      <c r="Y1652" s="45"/>
      <c r="Z1652" s="45"/>
      <c r="AA1652" s="45"/>
      <c r="AB1652" s="45"/>
      <c r="AC1652" s="45"/>
      <c r="AD1652" s="45"/>
      <c r="AE1652" s="45"/>
      <c r="AF1652" s="45"/>
      <c r="AG1652" s="45"/>
      <c r="AH1652" s="45"/>
      <c r="AI1652" s="45"/>
      <c r="AJ1652" s="45"/>
      <c r="AK1652" s="45"/>
      <c r="AL1652" s="45"/>
    </row>
    <row r="1653" ht="15.75" customHeight="1">
      <c r="A1653" s="27">
        <f t="shared" si="21"/>
        <v>532</v>
      </c>
      <c r="B1653" s="28" t="s">
        <v>5666</v>
      </c>
      <c r="C1653" s="43" t="s">
        <v>5667</v>
      </c>
      <c r="D1653" s="30" t="s">
        <v>5668</v>
      </c>
      <c r="E1653" s="28"/>
      <c r="F1653" s="28" t="s">
        <v>29</v>
      </c>
      <c r="G1653" s="28" t="s">
        <v>5603</v>
      </c>
      <c r="H1653" s="28"/>
      <c r="I1653" s="60" t="s">
        <v>5669</v>
      </c>
      <c r="J1653" s="28">
        <v>225.0</v>
      </c>
      <c r="K1653" s="28"/>
      <c r="L1653" s="28" t="s">
        <v>5670</v>
      </c>
      <c r="M1653" s="28" t="s">
        <v>31</v>
      </c>
      <c r="N1653" s="28">
        <v>1994.0</v>
      </c>
      <c r="O1653" s="60">
        <v>16.0</v>
      </c>
      <c r="P1653" s="28">
        <v>1.0</v>
      </c>
      <c r="Q1653" s="94">
        <v>1.0</v>
      </c>
      <c r="R1653" s="33"/>
      <c r="S1653" s="40"/>
      <c r="T1653" s="40"/>
      <c r="U1653" s="40"/>
      <c r="V1653" s="40"/>
      <c r="W1653" s="40"/>
      <c r="X1653" s="40"/>
      <c r="Y1653" s="45"/>
      <c r="Z1653" s="45"/>
      <c r="AA1653" s="45"/>
      <c r="AB1653" s="45"/>
      <c r="AC1653" s="45"/>
      <c r="AD1653" s="45"/>
      <c r="AE1653" s="45"/>
      <c r="AF1653" s="45"/>
      <c r="AG1653" s="45"/>
      <c r="AH1653" s="45"/>
      <c r="AI1653" s="45"/>
      <c r="AJ1653" s="45"/>
      <c r="AK1653" s="45"/>
      <c r="AL1653" s="45"/>
    </row>
    <row r="1654" ht="15.75" customHeight="1">
      <c r="A1654" s="27">
        <f t="shared" si="21"/>
        <v>533</v>
      </c>
      <c r="B1654" s="28" t="s">
        <v>31</v>
      </c>
      <c r="C1654" s="43" t="s">
        <v>5671</v>
      </c>
      <c r="D1654" s="30" t="s">
        <v>5672</v>
      </c>
      <c r="E1654" s="28" t="s">
        <v>31</v>
      </c>
      <c r="F1654" s="28" t="s">
        <v>29</v>
      </c>
      <c r="G1654" s="28" t="s">
        <v>131</v>
      </c>
      <c r="H1654" s="28"/>
      <c r="I1654" s="28" t="s">
        <v>131</v>
      </c>
      <c r="J1654" s="28">
        <v>255.0</v>
      </c>
      <c r="K1654" s="28"/>
      <c r="L1654" s="28" t="s">
        <v>5673</v>
      </c>
      <c r="M1654" s="28" t="s">
        <v>5674</v>
      </c>
      <c r="N1654" s="28">
        <v>1974.0</v>
      </c>
      <c r="O1654" s="60">
        <v>16.0</v>
      </c>
      <c r="P1654" s="28">
        <v>2.0</v>
      </c>
      <c r="Q1654" s="94">
        <v>2.0</v>
      </c>
      <c r="R1654" s="33"/>
      <c r="S1654" s="34"/>
      <c r="T1654" s="34"/>
      <c r="U1654" s="34"/>
      <c r="V1654" s="34"/>
      <c r="W1654" s="34"/>
      <c r="X1654" s="34"/>
      <c r="Y1654" s="45"/>
      <c r="Z1654" s="45"/>
      <c r="AA1654" s="45"/>
      <c r="AB1654" s="45"/>
      <c r="AC1654" s="45"/>
      <c r="AD1654" s="45"/>
      <c r="AE1654" s="45"/>
      <c r="AF1654" s="45"/>
      <c r="AG1654" s="45"/>
      <c r="AH1654" s="45"/>
      <c r="AI1654" s="45"/>
      <c r="AJ1654" s="45"/>
      <c r="AK1654" s="45"/>
      <c r="AL1654" s="45"/>
    </row>
    <row r="1655" ht="15.75" customHeight="1">
      <c r="A1655" s="27">
        <f t="shared" si="21"/>
        <v>534</v>
      </c>
      <c r="B1655" s="28" t="s">
        <v>5675</v>
      </c>
      <c r="C1655" s="43" t="s">
        <v>5676</v>
      </c>
      <c r="D1655" s="30" t="s">
        <v>5677</v>
      </c>
      <c r="E1655" s="28" t="s">
        <v>31</v>
      </c>
      <c r="F1655" s="28" t="s">
        <v>29</v>
      </c>
      <c r="G1655" s="28" t="s">
        <v>131</v>
      </c>
      <c r="H1655" s="28"/>
      <c r="I1655" s="28" t="s">
        <v>131</v>
      </c>
      <c r="J1655" s="28">
        <v>351.0</v>
      </c>
      <c r="K1655" s="28"/>
      <c r="L1655" s="28" t="s">
        <v>5673</v>
      </c>
      <c r="M1655" s="28" t="s">
        <v>5674</v>
      </c>
      <c r="N1655" s="28">
        <v>1978.0</v>
      </c>
      <c r="O1655" s="60">
        <v>16.0</v>
      </c>
      <c r="P1655" s="28">
        <v>2.0</v>
      </c>
      <c r="Q1655" s="94">
        <v>2.0</v>
      </c>
      <c r="R1655" s="33"/>
      <c r="S1655" s="116"/>
      <c r="T1655" s="116"/>
      <c r="U1655" s="116"/>
      <c r="V1655" s="116"/>
      <c r="W1655" s="116"/>
      <c r="X1655" s="116"/>
      <c r="Y1655" s="45"/>
      <c r="Z1655" s="45"/>
      <c r="AA1655" s="45"/>
      <c r="AB1655" s="45"/>
      <c r="AC1655" s="45"/>
      <c r="AD1655" s="45"/>
      <c r="AE1655" s="45"/>
      <c r="AF1655" s="45"/>
      <c r="AG1655" s="45"/>
      <c r="AH1655" s="45"/>
      <c r="AI1655" s="45"/>
      <c r="AJ1655" s="45"/>
      <c r="AK1655" s="45"/>
      <c r="AL1655" s="45"/>
    </row>
    <row r="1656" ht="15.75" customHeight="1">
      <c r="A1656" s="27">
        <f t="shared" si="21"/>
        <v>535</v>
      </c>
      <c r="B1656" s="132" t="s">
        <v>5678</v>
      </c>
      <c r="C1656" s="132" t="s">
        <v>5679</v>
      </c>
      <c r="D1656" s="131" t="s">
        <v>5680</v>
      </c>
      <c r="E1656" s="33"/>
      <c r="F1656" s="132" t="s">
        <v>29</v>
      </c>
      <c r="G1656" s="132" t="s">
        <v>37</v>
      </c>
      <c r="H1656" s="33"/>
      <c r="I1656" s="132" t="s">
        <v>38</v>
      </c>
      <c r="J1656" s="132">
        <v>358.0</v>
      </c>
      <c r="K1656" s="33"/>
      <c r="L1656" s="132" t="s">
        <v>5681</v>
      </c>
      <c r="M1656" s="132" t="s">
        <v>5682</v>
      </c>
      <c r="N1656" s="132">
        <v>1982.0</v>
      </c>
      <c r="O1656" s="132">
        <v>16.0</v>
      </c>
      <c r="P1656" s="132">
        <v>1.0</v>
      </c>
      <c r="Q1656" s="132">
        <v>1.0</v>
      </c>
      <c r="R1656" s="84"/>
      <c r="S1656" s="185"/>
      <c r="T1656" s="185"/>
      <c r="U1656" s="185"/>
      <c r="V1656" s="185"/>
      <c r="W1656" s="185"/>
      <c r="X1656" s="185"/>
      <c r="Y1656" s="45"/>
      <c r="Z1656" s="45"/>
      <c r="AA1656" s="45"/>
      <c r="AB1656" s="45"/>
      <c r="AC1656" s="45"/>
      <c r="AD1656" s="45"/>
      <c r="AE1656" s="45"/>
      <c r="AF1656" s="45"/>
      <c r="AG1656" s="45"/>
      <c r="AH1656" s="45"/>
      <c r="AI1656" s="45"/>
      <c r="AJ1656" s="45"/>
      <c r="AK1656" s="45"/>
      <c r="AL1656" s="45"/>
    </row>
    <row r="1657" ht="15.75" customHeight="1">
      <c r="A1657" s="27">
        <f t="shared" si="21"/>
        <v>536</v>
      </c>
      <c r="B1657" s="28" t="s">
        <v>5683</v>
      </c>
      <c r="C1657" s="43" t="s">
        <v>5684</v>
      </c>
      <c r="D1657" s="30" t="s">
        <v>5685</v>
      </c>
      <c r="E1657" s="28" t="s">
        <v>31</v>
      </c>
      <c r="F1657" s="28" t="s">
        <v>29</v>
      </c>
      <c r="G1657" s="28" t="s">
        <v>37</v>
      </c>
      <c r="H1657" s="28"/>
      <c r="I1657" s="28" t="s">
        <v>38</v>
      </c>
      <c r="J1657" s="28">
        <v>260.0</v>
      </c>
      <c r="K1657" s="28"/>
      <c r="L1657" s="28" t="s">
        <v>5686</v>
      </c>
      <c r="M1657" s="28" t="s">
        <v>83</v>
      </c>
      <c r="N1657" s="28">
        <v>1990.0</v>
      </c>
      <c r="O1657" s="60">
        <v>16.0</v>
      </c>
      <c r="P1657" s="28">
        <v>1.0</v>
      </c>
      <c r="Q1657" s="94">
        <v>1.0</v>
      </c>
      <c r="R1657" s="33"/>
      <c r="S1657" s="116"/>
      <c r="T1657" s="116"/>
      <c r="U1657" s="116"/>
      <c r="V1657" s="116"/>
      <c r="W1657" s="116"/>
      <c r="X1657" s="116"/>
      <c r="Y1657" s="3"/>
      <c r="Z1657" s="3"/>
      <c r="AA1657" s="3"/>
      <c r="AB1657" s="3"/>
      <c r="AC1657" s="3"/>
      <c r="AD1657" s="3"/>
      <c r="AE1657" s="3"/>
      <c r="AF1657" s="3"/>
      <c r="AG1657" s="3"/>
      <c r="AH1657" s="3"/>
      <c r="AI1657" s="3"/>
      <c r="AJ1657" s="3"/>
      <c r="AK1657" s="3"/>
      <c r="AL1657" s="3"/>
    </row>
    <row r="1658" ht="15.75" customHeight="1">
      <c r="A1658" s="27">
        <f t="shared" si="21"/>
        <v>537</v>
      </c>
      <c r="B1658" s="28" t="s">
        <v>5687</v>
      </c>
      <c r="C1658" s="43" t="s">
        <v>5688</v>
      </c>
      <c r="D1658" s="30" t="s">
        <v>5689</v>
      </c>
      <c r="E1658" s="28" t="s">
        <v>31</v>
      </c>
      <c r="F1658" s="28" t="s">
        <v>29</v>
      </c>
      <c r="G1658" s="28" t="s">
        <v>37</v>
      </c>
      <c r="H1658" s="28"/>
      <c r="I1658" s="28" t="s">
        <v>38</v>
      </c>
      <c r="J1658" s="28">
        <v>335.0</v>
      </c>
      <c r="K1658" s="28"/>
      <c r="L1658" s="28" t="s">
        <v>5690</v>
      </c>
      <c r="M1658" s="28" t="s">
        <v>5691</v>
      </c>
      <c r="N1658" s="28">
        <v>1971.0</v>
      </c>
      <c r="O1658" s="60">
        <v>16.0</v>
      </c>
      <c r="P1658" s="28">
        <v>1.0</v>
      </c>
      <c r="Q1658" s="94">
        <v>1.0</v>
      </c>
      <c r="R1658" s="33"/>
      <c r="S1658" s="185"/>
      <c r="T1658" s="185"/>
      <c r="U1658" s="185"/>
      <c r="V1658" s="185"/>
      <c r="W1658" s="185"/>
      <c r="X1658" s="185"/>
      <c r="Y1658" s="45"/>
      <c r="Z1658" s="45"/>
      <c r="AA1658" s="45"/>
      <c r="AB1658" s="45"/>
      <c r="AC1658" s="45"/>
      <c r="AD1658" s="45"/>
      <c r="AE1658" s="45"/>
      <c r="AF1658" s="45"/>
      <c r="AG1658" s="45"/>
      <c r="AH1658" s="45"/>
      <c r="AI1658" s="45"/>
      <c r="AJ1658" s="45"/>
      <c r="AK1658" s="45"/>
      <c r="AL1658" s="45"/>
    </row>
    <row r="1659" ht="15.75" customHeight="1">
      <c r="A1659" s="27">
        <f t="shared" si="21"/>
        <v>538</v>
      </c>
      <c r="B1659" s="28" t="s">
        <v>5692</v>
      </c>
      <c r="C1659" s="43" t="s">
        <v>5693</v>
      </c>
      <c r="D1659" s="30" t="s">
        <v>5694</v>
      </c>
      <c r="E1659" s="28">
        <v>0.0</v>
      </c>
      <c r="F1659" s="28" t="s">
        <v>29</v>
      </c>
      <c r="G1659" s="60" t="s">
        <v>38</v>
      </c>
      <c r="H1659" s="28"/>
      <c r="I1659" s="28" t="s">
        <v>38</v>
      </c>
      <c r="J1659" s="28">
        <v>418.0</v>
      </c>
      <c r="K1659" s="28"/>
      <c r="L1659" s="28" t="s">
        <v>5695</v>
      </c>
      <c r="M1659" s="28" t="s">
        <v>5696</v>
      </c>
      <c r="N1659" s="28">
        <v>1975.0</v>
      </c>
      <c r="O1659" s="60">
        <v>16.0</v>
      </c>
      <c r="P1659" s="28">
        <v>1.0</v>
      </c>
      <c r="Q1659" s="94">
        <v>1.0</v>
      </c>
      <c r="R1659" s="33"/>
      <c r="S1659" s="116"/>
      <c r="T1659" s="116"/>
      <c r="U1659" s="116"/>
      <c r="V1659" s="116"/>
      <c r="W1659" s="116"/>
      <c r="X1659" s="116"/>
      <c r="Y1659" s="45"/>
      <c r="Z1659" s="45"/>
      <c r="AA1659" s="45"/>
      <c r="AB1659" s="45"/>
      <c r="AC1659" s="45"/>
      <c r="AD1659" s="45"/>
      <c r="AE1659" s="45"/>
      <c r="AF1659" s="45"/>
      <c r="AG1659" s="45"/>
      <c r="AH1659" s="45"/>
      <c r="AI1659" s="45"/>
      <c r="AJ1659" s="45"/>
      <c r="AK1659" s="45"/>
      <c r="AL1659" s="45"/>
    </row>
    <row r="1660" ht="15.75" customHeight="1">
      <c r="A1660" s="27">
        <f t="shared" si="21"/>
        <v>539</v>
      </c>
      <c r="B1660" s="28" t="s">
        <v>31</v>
      </c>
      <c r="C1660" s="43" t="s">
        <v>5697</v>
      </c>
      <c r="D1660" s="30" t="s">
        <v>5698</v>
      </c>
      <c r="E1660" s="28"/>
      <c r="F1660" s="28" t="s">
        <v>29</v>
      </c>
      <c r="G1660" s="28" t="s">
        <v>37</v>
      </c>
      <c r="H1660" s="28" t="s">
        <v>31</v>
      </c>
      <c r="I1660" s="28" t="s">
        <v>38</v>
      </c>
      <c r="J1660" s="28">
        <v>248.0</v>
      </c>
      <c r="K1660" s="28"/>
      <c r="L1660" s="28" t="s">
        <v>5699</v>
      </c>
      <c r="M1660" s="28" t="s">
        <v>5700</v>
      </c>
      <c r="N1660" s="28">
        <v>1943.0</v>
      </c>
      <c r="O1660" s="28">
        <v>16.0</v>
      </c>
      <c r="P1660" s="28">
        <v>1.0</v>
      </c>
      <c r="Q1660" s="32">
        <v>1.0</v>
      </c>
      <c r="R1660" s="33"/>
      <c r="S1660" s="185"/>
      <c r="T1660" s="185"/>
      <c r="U1660" s="185"/>
      <c r="V1660" s="185"/>
      <c r="W1660" s="185"/>
      <c r="X1660" s="185"/>
      <c r="Y1660" s="45"/>
      <c r="Z1660" s="45"/>
      <c r="AA1660" s="45"/>
      <c r="AB1660" s="45"/>
      <c r="AC1660" s="45"/>
      <c r="AD1660" s="45"/>
      <c r="AE1660" s="45"/>
      <c r="AF1660" s="45"/>
      <c r="AG1660" s="45"/>
      <c r="AH1660" s="45"/>
      <c r="AI1660" s="45"/>
      <c r="AJ1660" s="45"/>
      <c r="AK1660" s="45"/>
      <c r="AL1660" s="45"/>
    </row>
    <row r="1661" ht="15.75" customHeight="1">
      <c r="A1661" s="27">
        <f t="shared" si="21"/>
        <v>540</v>
      </c>
      <c r="B1661" s="28" t="s">
        <v>5701</v>
      </c>
      <c r="C1661" s="43" t="s">
        <v>5702</v>
      </c>
      <c r="D1661" s="30" t="s">
        <v>5703</v>
      </c>
      <c r="E1661" s="28" t="s">
        <v>31</v>
      </c>
      <c r="F1661" s="28" t="s">
        <v>29</v>
      </c>
      <c r="G1661" s="28" t="s">
        <v>131</v>
      </c>
      <c r="H1661" s="28"/>
      <c r="I1661" s="28" t="s">
        <v>38</v>
      </c>
      <c r="J1661" s="28">
        <v>482.0</v>
      </c>
      <c r="K1661" s="28"/>
      <c r="L1661" s="28" t="s">
        <v>737</v>
      </c>
      <c r="M1661" s="28" t="s">
        <v>3465</v>
      </c>
      <c r="N1661" s="28">
        <v>1985.0</v>
      </c>
      <c r="O1661" s="60">
        <v>16.0</v>
      </c>
      <c r="P1661" s="28">
        <v>1.0</v>
      </c>
      <c r="Q1661" s="94">
        <v>1.0</v>
      </c>
      <c r="R1661" s="33"/>
      <c r="S1661" s="116"/>
      <c r="T1661" s="116"/>
      <c r="U1661" s="116"/>
      <c r="V1661" s="116"/>
      <c r="W1661" s="116"/>
      <c r="X1661" s="116"/>
      <c r="Y1661" s="45"/>
      <c r="Z1661" s="45"/>
      <c r="AA1661" s="45"/>
      <c r="AB1661" s="45"/>
      <c r="AC1661" s="45"/>
      <c r="AD1661" s="45"/>
      <c r="AE1661" s="45"/>
      <c r="AF1661" s="45"/>
      <c r="AG1661" s="45"/>
      <c r="AH1661" s="45"/>
      <c r="AI1661" s="45"/>
      <c r="AJ1661" s="45"/>
      <c r="AK1661" s="45"/>
      <c r="AL1661" s="45"/>
    </row>
    <row r="1662" ht="15.75" customHeight="1">
      <c r="A1662" s="27">
        <f t="shared" si="21"/>
        <v>541</v>
      </c>
      <c r="B1662" s="28" t="s">
        <v>31</v>
      </c>
      <c r="C1662" s="43" t="s">
        <v>5704</v>
      </c>
      <c r="D1662" s="30" t="s">
        <v>5705</v>
      </c>
      <c r="E1662" s="28" t="s">
        <v>31</v>
      </c>
      <c r="F1662" s="28" t="s">
        <v>29</v>
      </c>
      <c r="G1662" s="28" t="s">
        <v>38</v>
      </c>
      <c r="H1662" s="28"/>
      <c r="I1662" s="28" t="s">
        <v>38</v>
      </c>
      <c r="J1662" s="28">
        <v>30.0</v>
      </c>
      <c r="K1662" s="28"/>
      <c r="L1662" s="28" t="s">
        <v>31</v>
      </c>
      <c r="M1662" s="28" t="s">
        <v>5706</v>
      </c>
      <c r="N1662" s="28">
        <v>1961.0</v>
      </c>
      <c r="O1662" s="60">
        <v>16.0</v>
      </c>
      <c r="P1662" s="28">
        <v>1.0</v>
      </c>
      <c r="Q1662" s="32">
        <v>1.0</v>
      </c>
      <c r="R1662" s="33"/>
      <c r="S1662" s="185"/>
      <c r="T1662" s="185"/>
      <c r="U1662" s="185"/>
      <c r="V1662" s="185"/>
      <c r="W1662" s="185"/>
      <c r="X1662" s="185"/>
      <c r="Y1662" s="45"/>
      <c r="Z1662" s="45"/>
      <c r="AA1662" s="45"/>
      <c r="AB1662" s="45"/>
      <c r="AC1662" s="45"/>
      <c r="AD1662" s="45"/>
      <c r="AE1662" s="45"/>
      <c r="AF1662" s="45"/>
      <c r="AG1662" s="45"/>
      <c r="AH1662" s="45"/>
      <c r="AI1662" s="45"/>
      <c r="AJ1662" s="45"/>
      <c r="AK1662" s="45"/>
      <c r="AL1662" s="45"/>
    </row>
    <row r="1663" ht="15.75" customHeight="1">
      <c r="A1663" s="27">
        <f t="shared" si="21"/>
        <v>542</v>
      </c>
      <c r="B1663" s="28" t="s">
        <v>31</v>
      </c>
      <c r="C1663" s="43" t="s">
        <v>5707</v>
      </c>
      <c r="D1663" s="30" t="s">
        <v>5708</v>
      </c>
      <c r="E1663" s="28" t="s">
        <v>31</v>
      </c>
      <c r="F1663" s="28" t="s">
        <v>29</v>
      </c>
      <c r="G1663" s="28" t="s">
        <v>38</v>
      </c>
      <c r="H1663" s="28"/>
      <c r="I1663" s="28" t="s">
        <v>38</v>
      </c>
      <c r="J1663" s="28">
        <v>216.0</v>
      </c>
      <c r="K1663" s="28"/>
      <c r="L1663" s="28" t="s">
        <v>5709</v>
      </c>
      <c r="M1663" s="28" t="s">
        <v>54</v>
      </c>
      <c r="N1663" s="28">
        <v>1968.0</v>
      </c>
      <c r="O1663" s="60">
        <v>16.0</v>
      </c>
      <c r="P1663" s="28">
        <v>1.0</v>
      </c>
      <c r="Q1663" s="94">
        <v>1.0</v>
      </c>
      <c r="R1663" s="33"/>
      <c r="S1663" s="116"/>
      <c r="T1663" s="116"/>
      <c r="U1663" s="116"/>
      <c r="V1663" s="116"/>
      <c r="W1663" s="116"/>
      <c r="X1663" s="116"/>
      <c r="Y1663" s="45"/>
      <c r="Z1663" s="45"/>
      <c r="AA1663" s="45"/>
      <c r="AB1663" s="45"/>
      <c r="AC1663" s="45"/>
      <c r="AD1663" s="45"/>
      <c r="AE1663" s="45"/>
      <c r="AF1663" s="45"/>
      <c r="AG1663" s="45"/>
      <c r="AH1663" s="45"/>
      <c r="AI1663" s="45"/>
      <c r="AJ1663" s="45"/>
      <c r="AK1663" s="45"/>
      <c r="AL1663" s="45"/>
    </row>
    <row r="1664" ht="15.75" customHeight="1">
      <c r="A1664" s="27">
        <f t="shared" si="21"/>
        <v>543</v>
      </c>
      <c r="B1664" s="83" t="s">
        <v>5710</v>
      </c>
      <c r="C1664" s="121" t="s">
        <v>5711</v>
      </c>
      <c r="D1664" s="118" t="s">
        <v>5712</v>
      </c>
      <c r="E1664" s="83" t="s">
        <v>144</v>
      </c>
      <c r="F1664" s="83" t="s">
        <v>29</v>
      </c>
      <c r="G1664" s="121" t="s">
        <v>37</v>
      </c>
      <c r="H1664" s="83"/>
      <c r="I1664" s="83" t="s">
        <v>38</v>
      </c>
      <c r="J1664" s="83">
        <v>382.0</v>
      </c>
      <c r="K1664" s="83"/>
      <c r="L1664" s="83" t="s">
        <v>5713</v>
      </c>
      <c r="M1664" s="83" t="s">
        <v>49</v>
      </c>
      <c r="N1664" s="83">
        <v>2010.0</v>
      </c>
      <c r="O1664" s="124" t="s">
        <v>1415</v>
      </c>
      <c r="P1664" s="83">
        <v>1.0</v>
      </c>
      <c r="Q1664" s="83">
        <v>1.0</v>
      </c>
      <c r="R1664" s="84"/>
      <c r="S1664" s="116"/>
      <c r="T1664" s="116"/>
      <c r="U1664" s="116"/>
      <c r="V1664" s="116"/>
      <c r="W1664" s="116"/>
      <c r="X1664" s="116"/>
      <c r="Y1664" s="45"/>
      <c r="Z1664" s="45"/>
      <c r="AA1664" s="45"/>
      <c r="AB1664" s="45"/>
      <c r="AC1664" s="45"/>
      <c r="AD1664" s="45"/>
      <c r="AE1664" s="45"/>
      <c r="AF1664" s="45"/>
      <c r="AG1664" s="45"/>
      <c r="AH1664" s="45"/>
      <c r="AI1664" s="45"/>
      <c r="AJ1664" s="45"/>
      <c r="AK1664" s="45"/>
      <c r="AL1664" s="45"/>
    </row>
    <row r="1665" ht="15.75" customHeight="1">
      <c r="A1665" s="27">
        <f t="shared" si="21"/>
        <v>544</v>
      </c>
      <c r="B1665" s="28" t="s">
        <v>5714</v>
      </c>
      <c r="C1665" s="43" t="s">
        <v>5715</v>
      </c>
      <c r="D1665" s="30" t="s">
        <v>5716</v>
      </c>
      <c r="E1665" s="28" t="s">
        <v>31</v>
      </c>
      <c r="F1665" s="28" t="s">
        <v>29</v>
      </c>
      <c r="G1665" s="28" t="s">
        <v>98</v>
      </c>
      <c r="H1665" s="28"/>
      <c r="I1665" s="28" t="s">
        <v>98</v>
      </c>
      <c r="J1665" s="28">
        <v>336.0</v>
      </c>
      <c r="K1665" s="28"/>
      <c r="L1665" s="28" t="s">
        <v>5717</v>
      </c>
      <c r="M1665" s="28" t="s">
        <v>100</v>
      </c>
      <c r="N1665" s="28">
        <v>1983.0</v>
      </c>
      <c r="O1665" s="60">
        <v>16.0</v>
      </c>
      <c r="P1665" s="28">
        <v>1.0</v>
      </c>
      <c r="Q1665" s="94">
        <v>1.0</v>
      </c>
      <c r="R1665" s="33"/>
      <c r="S1665" s="185"/>
      <c r="T1665" s="185"/>
      <c r="U1665" s="185"/>
      <c r="V1665" s="185"/>
      <c r="W1665" s="185"/>
      <c r="X1665" s="185"/>
      <c r="Y1665" s="3"/>
      <c r="Z1665" s="3"/>
      <c r="AA1665" s="3"/>
      <c r="AB1665" s="3"/>
      <c r="AC1665" s="3"/>
      <c r="AD1665" s="3"/>
      <c r="AE1665" s="3"/>
      <c r="AF1665" s="3"/>
      <c r="AG1665" s="3"/>
      <c r="AH1665" s="3"/>
      <c r="AI1665" s="3"/>
      <c r="AJ1665" s="3"/>
      <c r="AK1665" s="3"/>
      <c r="AL1665" s="3"/>
    </row>
    <row r="1666" ht="15.75" customHeight="1">
      <c r="A1666" s="27">
        <f t="shared" si="21"/>
        <v>545</v>
      </c>
      <c r="B1666" s="28" t="s">
        <v>31</v>
      </c>
      <c r="C1666" s="43" t="s">
        <v>5718</v>
      </c>
      <c r="D1666" s="30" t="s">
        <v>5719</v>
      </c>
      <c r="E1666" s="28" t="s">
        <v>31</v>
      </c>
      <c r="F1666" s="28" t="s">
        <v>29</v>
      </c>
      <c r="G1666" s="28" t="s">
        <v>37</v>
      </c>
      <c r="H1666" s="28"/>
      <c r="I1666" s="28" t="s">
        <v>38</v>
      </c>
      <c r="J1666" s="28">
        <v>258.0</v>
      </c>
      <c r="K1666" s="28"/>
      <c r="L1666" s="28" t="s">
        <v>5720</v>
      </c>
      <c r="M1666" s="28" t="s">
        <v>230</v>
      </c>
      <c r="N1666" s="28">
        <v>1971.0</v>
      </c>
      <c r="O1666" s="60">
        <v>15.0</v>
      </c>
      <c r="P1666" s="28">
        <v>1.0</v>
      </c>
      <c r="Q1666" s="32">
        <v>1.0</v>
      </c>
      <c r="R1666" s="33"/>
      <c r="S1666" s="185"/>
      <c r="T1666" s="185"/>
      <c r="U1666" s="185"/>
      <c r="V1666" s="185"/>
      <c r="W1666" s="185"/>
      <c r="X1666" s="185"/>
      <c r="Y1666" s="45"/>
      <c r="Z1666" s="45"/>
      <c r="AA1666" s="45"/>
      <c r="AB1666" s="45"/>
      <c r="AC1666" s="45"/>
      <c r="AD1666" s="45"/>
      <c r="AE1666" s="45"/>
      <c r="AF1666" s="45"/>
      <c r="AG1666" s="45"/>
      <c r="AH1666" s="45"/>
      <c r="AI1666" s="45"/>
      <c r="AJ1666" s="45"/>
      <c r="AK1666" s="45"/>
      <c r="AL1666" s="45"/>
    </row>
    <row r="1667" ht="15.75" customHeight="1">
      <c r="A1667" s="27">
        <f t="shared" si="21"/>
        <v>546</v>
      </c>
      <c r="B1667" s="121" t="s">
        <v>5721</v>
      </c>
      <c r="C1667" s="121" t="s">
        <v>5722</v>
      </c>
      <c r="D1667" s="119" t="s">
        <v>5723</v>
      </c>
      <c r="E1667" s="83"/>
      <c r="F1667" s="83"/>
      <c r="G1667" s="121" t="s">
        <v>30</v>
      </c>
      <c r="H1667" s="83"/>
      <c r="I1667" s="121" t="s">
        <v>30</v>
      </c>
      <c r="J1667" s="121">
        <v>283.0</v>
      </c>
      <c r="K1667" s="83"/>
      <c r="L1667" s="121" t="s">
        <v>5724</v>
      </c>
      <c r="M1667" s="121" t="s">
        <v>5725</v>
      </c>
      <c r="N1667" s="121">
        <v>1991.0</v>
      </c>
      <c r="O1667" s="121">
        <v>15.0</v>
      </c>
      <c r="P1667" s="121">
        <v>1.0</v>
      </c>
      <c r="Q1667" s="121">
        <v>1.0</v>
      </c>
      <c r="R1667" s="84"/>
      <c r="S1667" s="116"/>
      <c r="T1667" s="116"/>
      <c r="U1667" s="116"/>
      <c r="V1667" s="116"/>
      <c r="W1667" s="116"/>
      <c r="X1667" s="116"/>
      <c r="Y1667" s="45"/>
      <c r="Z1667" s="45"/>
      <c r="AA1667" s="45"/>
      <c r="AB1667" s="45"/>
      <c r="AC1667" s="45"/>
      <c r="AD1667" s="45"/>
      <c r="AE1667" s="45"/>
      <c r="AF1667" s="45"/>
      <c r="AG1667" s="45"/>
      <c r="AH1667" s="45"/>
      <c r="AI1667" s="45"/>
      <c r="AJ1667" s="45"/>
      <c r="AK1667" s="45"/>
      <c r="AL1667" s="45"/>
    </row>
    <row r="1668" ht="15.75" customHeight="1">
      <c r="A1668" s="27">
        <f t="shared" si="21"/>
        <v>547</v>
      </c>
      <c r="B1668" s="28" t="s">
        <v>5726</v>
      </c>
      <c r="C1668" s="43" t="s">
        <v>5727</v>
      </c>
      <c r="D1668" s="30" t="s">
        <v>5728</v>
      </c>
      <c r="E1668" s="28" t="s">
        <v>31</v>
      </c>
      <c r="F1668" s="28" t="s">
        <v>29</v>
      </c>
      <c r="G1668" s="28" t="s">
        <v>37</v>
      </c>
      <c r="H1668" s="28"/>
      <c r="I1668" s="28" t="s">
        <v>38</v>
      </c>
      <c r="J1668" s="28">
        <v>854.0</v>
      </c>
      <c r="K1668" s="28"/>
      <c r="L1668" s="28" t="s">
        <v>5729</v>
      </c>
      <c r="M1668" s="28" t="s">
        <v>5691</v>
      </c>
      <c r="N1668" s="28">
        <v>1973.0</v>
      </c>
      <c r="O1668" s="60">
        <v>15.0</v>
      </c>
      <c r="P1668" s="28">
        <v>1.0</v>
      </c>
      <c r="Q1668" s="94">
        <v>1.0</v>
      </c>
      <c r="R1668" s="33"/>
      <c r="S1668" s="116"/>
      <c r="T1668" s="116"/>
      <c r="U1668" s="116"/>
      <c r="V1668" s="116"/>
      <c r="W1668" s="116"/>
      <c r="X1668" s="116"/>
      <c r="Y1668" s="45"/>
      <c r="Z1668" s="45"/>
      <c r="AA1668" s="45"/>
      <c r="AB1668" s="45"/>
      <c r="AC1668" s="45"/>
      <c r="AD1668" s="45"/>
      <c r="AE1668" s="45"/>
      <c r="AF1668" s="45"/>
      <c r="AG1668" s="45"/>
      <c r="AH1668" s="45"/>
      <c r="AI1668" s="45"/>
      <c r="AJ1668" s="45"/>
      <c r="AK1668" s="45"/>
      <c r="AL1668" s="45"/>
    </row>
    <row r="1669" ht="15.75" hidden="1" customHeight="1">
      <c r="A1669" s="27">
        <f t="shared" si="21"/>
        <v>548</v>
      </c>
      <c r="B1669" s="83"/>
      <c r="C1669" s="83"/>
      <c r="D1669" s="83"/>
      <c r="E1669" s="83"/>
      <c r="F1669" s="83"/>
      <c r="G1669" s="83"/>
      <c r="H1669" s="83"/>
      <c r="I1669" s="83"/>
      <c r="J1669" s="83"/>
      <c r="K1669" s="83"/>
      <c r="L1669" s="83"/>
      <c r="M1669" s="83"/>
      <c r="N1669" s="83"/>
      <c r="O1669" s="83"/>
      <c r="P1669" s="83"/>
      <c r="Q1669" s="83"/>
      <c r="R1669" s="84"/>
      <c r="S1669" s="185"/>
      <c r="T1669" s="185"/>
      <c r="U1669" s="185"/>
      <c r="V1669" s="185"/>
      <c r="W1669" s="185"/>
      <c r="X1669" s="185"/>
      <c r="Y1669" s="45"/>
      <c r="Z1669" s="45"/>
      <c r="AA1669" s="45"/>
      <c r="AB1669" s="45"/>
      <c r="AC1669" s="45"/>
      <c r="AD1669" s="45"/>
      <c r="AE1669" s="45"/>
      <c r="AF1669" s="45"/>
      <c r="AG1669" s="45"/>
      <c r="AH1669" s="45"/>
      <c r="AI1669" s="45"/>
      <c r="AJ1669" s="45"/>
      <c r="AK1669" s="45"/>
      <c r="AL1669" s="45"/>
    </row>
    <row r="1670" ht="15.75" customHeight="1">
      <c r="A1670" s="27">
        <f t="shared" si="21"/>
        <v>549</v>
      </c>
      <c r="B1670" s="28" t="s">
        <v>5730</v>
      </c>
      <c r="C1670" s="43" t="s">
        <v>5731</v>
      </c>
      <c r="D1670" s="30" t="s">
        <v>5732</v>
      </c>
      <c r="E1670" s="28"/>
      <c r="F1670" s="28" t="s">
        <v>29</v>
      </c>
      <c r="G1670" s="28" t="s">
        <v>38</v>
      </c>
      <c r="H1670" s="28" t="s">
        <v>31</v>
      </c>
      <c r="I1670" s="28" t="s">
        <v>38</v>
      </c>
      <c r="J1670" s="28">
        <v>404.0</v>
      </c>
      <c r="K1670" s="28"/>
      <c r="L1670" s="28" t="s">
        <v>5733</v>
      </c>
      <c r="M1670" s="28" t="s">
        <v>83</v>
      </c>
      <c r="N1670" s="28">
        <v>1996.0</v>
      </c>
      <c r="O1670" s="60">
        <v>15.0</v>
      </c>
      <c r="P1670" s="28">
        <v>1.0</v>
      </c>
      <c r="Q1670" s="94">
        <v>1.0</v>
      </c>
      <c r="R1670" s="33"/>
      <c r="S1670" s="116"/>
      <c r="T1670" s="116"/>
      <c r="U1670" s="116"/>
      <c r="V1670" s="116"/>
      <c r="W1670" s="116"/>
      <c r="X1670" s="116"/>
      <c r="Y1670" s="45"/>
      <c r="Z1670" s="45"/>
      <c r="AA1670" s="45"/>
      <c r="AB1670" s="45"/>
      <c r="AC1670" s="45"/>
      <c r="AD1670" s="45"/>
      <c r="AE1670" s="45"/>
      <c r="AF1670" s="45"/>
      <c r="AG1670" s="45"/>
      <c r="AH1670" s="45"/>
      <c r="AI1670" s="45"/>
      <c r="AJ1670" s="45"/>
      <c r="AK1670" s="45"/>
      <c r="AL1670" s="45"/>
    </row>
    <row r="1671" ht="15.75" hidden="1" customHeight="1">
      <c r="A1671" s="27">
        <f t="shared" si="21"/>
        <v>550</v>
      </c>
      <c r="B1671" s="83"/>
      <c r="C1671" s="83"/>
      <c r="D1671" s="83"/>
      <c r="E1671" s="118"/>
      <c r="F1671" s="83"/>
      <c r="G1671" s="83"/>
      <c r="H1671" s="118"/>
      <c r="I1671" s="83"/>
      <c r="J1671" s="83"/>
      <c r="K1671" s="118"/>
      <c r="L1671" s="83"/>
      <c r="M1671" s="118"/>
      <c r="N1671" s="118"/>
      <c r="O1671" s="83"/>
      <c r="P1671" s="118"/>
      <c r="Q1671" s="83"/>
      <c r="R1671" s="84"/>
      <c r="S1671" s="116"/>
      <c r="T1671" s="116"/>
      <c r="U1671" s="116"/>
      <c r="V1671" s="116"/>
      <c r="W1671" s="116"/>
      <c r="X1671" s="116"/>
      <c r="Y1671" s="45"/>
      <c r="Z1671" s="45"/>
      <c r="AA1671" s="45"/>
      <c r="AB1671" s="45"/>
      <c r="AC1671" s="45"/>
      <c r="AD1671" s="45"/>
      <c r="AE1671" s="45"/>
      <c r="AF1671" s="45"/>
      <c r="AG1671" s="45"/>
      <c r="AH1671" s="45"/>
      <c r="AI1671" s="45"/>
      <c r="AJ1671" s="45"/>
      <c r="AK1671" s="45"/>
      <c r="AL1671" s="45"/>
    </row>
    <row r="1672" ht="15.75" customHeight="1">
      <c r="A1672" s="27">
        <f t="shared" si="21"/>
        <v>551</v>
      </c>
      <c r="B1672" s="28" t="s">
        <v>5734</v>
      </c>
      <c r="C1672" s="43" t="s">
        <v>5735</v>
      </c>
      <c r="D1672" s="30" t="s">
        <v>5736</v>
      </c>
      <c r="E1672" s="28" t="s">
        <v>31</v>
      </c>
      <c r="F1672" s="28" t="s">
        <v>29</v>
      </c>
      <c r="G1672" s="28" t="s">
        <v>5737</v>
      </c>
      <c r="H1672" s="28"/>
      <c r="I1672" s="28" t="s">
        <v>38</v>
      </c>
      <c r="J1672" s="28">
        <v>261.0</v>
      </c>
      <c r="K1672" s="28"/>
      <c r="L1672" s="28" t="s">
        <v>5738</v>
      </c>
      <c r="M1672" s="28" t="s">
        <v>5373</v>
      </c>
      <c r="N1672" s="28">
        <v>1985.0</v>
      </c>
      <c r="O1672" s="121">
        <v>15.0</v>
      </c>
      <c r="P1672" s="28">
        <v>1.0</v>
      </c>
      <c r="Q1672" s="94">
        <v>1.0</v>
      </c>
      <c r="R1672" s="33"/>
      <c r="S1672" s="185"/>
      <c r="T1672" s="185"/>
      <c r="U1672" s="185"/>
      <c r="V1672" s="185"/>
      <c r="W1672" s="185"/>
      <c r="X1672" s="185"/>
      <c r="Y1672" s="45"/>
      <c r="Z1672" s="45"/>
      <c r="AA1672" s="45"/>
      <c r="AB1672" s="45"/>
      <c r="AC1672" s="45"/>
      <c r="AD1672" s="45"/>
      <c r="AE1672" s="45"/>
      <c r="AF1672" s="45"/>
      <c r="AG1672" s="45"/>
      <c r="AH1672" s="45"/>
      <c r="AI1672" s="45"/>
      <c r="AJ1672" s="45"/>
      <c r="AK1672" s="45"/>
      <c r="AL1672" s="45"/>
    </row>
    <row r="1673" ht="15.75" customHeight="1">
      <c r="A1673" s="27">
        <f t="shared" si="21"/>
        <v>552</v>
      </c>
      <c r="B1673" s="28" t="s">
        <v>5739</v>
      </c>
      <c r="C1673" s="43" t="s">
        <v>5740</v>
      </c>
      <c r="D1673" s="30" t="s">
        <v>5741</v>
      </c>
      <c r="E1673" s="28" t="s">
        <v>31</v>
      </c>
      <c r="F1673" s="28" t="s">
        <v>29</v>
      </c>
      <c r="G1673" s="28"/>
      <c r="H1673" s="28"/>
      <c r="I1673" s="28" t="s">
        <v>30</v>
      </c>
      <c r="J1673" s="28">
        <v>206.0</v>
      </c>
      <c r="K1673" s="28"/>
      <c r="L1673" s="28" t="s">
        <v>5742</v>
      </c>
      <c r="M1673" s="28" t="s">
        <v>5743</v>
      </c>
      <c r="N1673" s="28">
        <v>1994.0</v>
      </c>
      <c r="O1673" s="121">
        <v>15.0</v>
      </c>
      <c r="P1673" s="28">
        <v>1.0</v>
      </c>
      <c r="Q1673" s="94">
        <v>1.0</v>
      </c>
      <c r="R1673" s="33"/>
      <c r="S1673" s="116"/>
      <c r="T1673" s="116"/>
      <c r="U1673" s="116"/>
      <c r="V1673" s="116"/>
      <c r="W1673" s="116"/>
      <c r="X1673" s="116"/>
      <c r="Y1673" s="45"/>
      <c r="Z1673" s="45"/>
      <c r="AA1673" s="45"/>
      <c r="AB1673" s="45"/>
      <c r="AC1673" s="45"/>
      <c r="AD1673" s="45"/>
      <c r="AE1673" s="45"/>
      <c r="AF1673" s="45"/>
      <c r="AG1673" s="45"/>
      <c r="AH1673" s="45"/>
      <c r="AI1673" s="45"/>
      <c r="AJ1673" s="45"/>
      <c r="AK1673" s="45"/>
      <c r="AL1673" s="45"/>
    </row>
    <row r="1674" ht="15.75" customHeight="1">
      <c r="A1674" s="27">
        <f t="shared" si="21"/>
        <v>553</v>
      </c>
      <c r="B1674" s="28" t="s">
        <v>5744</v>
      </c>
      <c r="C1674" s="43" t="s">
        <v>5745</v>
      </c>
      <c r="D1674" s="30" t="s">
        <v>5746</v>
      </c>
      <c r="E1674" s="28" t="s">
        <v>31</v>
      </c>
      <c r="F1674" s="28" t="s">
        <v>29</v>
      </c>
      <c r="G1674" s="28" t="s">
        <v>5747</v>
      </c>
      <c r="H1674" s="28"/>
      <c r="I1674" s="28" t="s">
        <v>38</v>
      </c>
      <c r="J1674" s="28">
        <v>660.0</v>
      </c>
      <c r="K1674" s="28"/>
      <c r="L1674" s="28" t="s">
        <v>5748</v>
      </c>
      <c r="M1674" s="28" t="s">
        <v>4744</v>
      </c>
      <c r="N1674" s="28">
        <v>2005.0</v>
      </c>
      <c r="O1674" s="121">
        <v>15.0</v>
      </c>
      <c r="P1674" s="28">
        <v>1.0</v>
      </c>
      <c r="Q1674" s="94">
        <v>1.0</v>
      </c>
      <c r="R1674" s="33"/>
      <c r="S1674" s="116"/>
      <c r="T1674" s="116"/>
      <c r="U1674" s="116"/>
      <c r="V1674" s="116"/>
      <c r="W1674" s="116"/>
      <c r="X1674" s="116"/>
      <c r="Y1674" s="45"/>
      <c r="Z1674" s="45"/>
      <c r="AA1674" s="45"/>
      <c r="AB1674" s="45"/>
      <c r="AC1674" s="45"/>
      <c r="AD1674" s="45"/>
      <c r="AE1674" s="45"/>
      <c r="AF1674" s="45"/>
      <c r="AG1674" s="45"/>
      <c r="AH1674" s="45"/>
      <c r="AI1674" s="45"/>
      <c r="AJ1674" s="45"/>
      <c r="AK1674" s="45"/>
      <c r="AL1674" s="45"/>
    </row>
    <row r="1675" ht="15.75" hidden="1" customHeight="1">
      <c r="A1675" s="27">
        <f t="shared" si="21"/>
        <v>554</v>
      </c>
      <c r="B1675" s="83"/>
      <c r="C1675" s="83"/>
      <c r="D1675" s="83"/>
      <c r="E1675" s="118"/>
      <c r="F1675" s="83"/>
      <c r="G1675" s="83"/>
      <c r="H1675" s="118"/>
      <c r="I1675" s="83"/>
      <c r="J1675" s="83"/>
      <c r="K1675" s="118"/>
      <c r="L1675" s="83"/>
      <c r="M1675" s="118"/>
      <c r="N1675" s="118"/>
      <c r="O1675" s="83"/>
      <c r="P1675" s="118"/>
      <c r="Q1675" s="83"/>
      <c r="R1675" s="84"/>
      <c r="S1675" s="185"/>
      <c r="T1675" s="185"/>
      <c r="U1675" s="185"/>
      <c r="V1675" s="185"/>
      <c r="W1675" s="185"/>
      <c r="X1675" s="185"/>
      <c r="Y1675" s="45"/>
      <c r="Z1675" s="45"/>
      <c r="AA1675" s="45"/>
      <c r="AB1675" s="45"/>
      <c r="AC1675" s="45"/>
      <c r="AD1675" s="45"/>
      <c r="AE1675" s="45"/>
      <c r="AF1675" s="45"/>
      <c r="AG1675" s="45"/>
      <c r="AH1675" s="45"/>
      <c r="AI1675" s="45"/>
      <c r="AJ1675" s="45"/>
      <c r="AK1675" s="45"/>
      <c r="AL1675" s="45"/>
    </row>
    <row r="1676" ht="15.75" customHeight="1">
      <c r="A1676" s="27">
        <f t="shared" si="21"/>
        <v>555</v>
      </c>
      <c r="B1676" s="186"/>
      <c r="C1676" s="187" t="s">
        <v>5749</v>
      </c>
      <c r="D1676" s="188" t="s">
        <v>5750</v>
      </c>
      <c r="E1676" s="186" t="s">
        <v>31</v>
      </c>
      <c r="F1676" s="186" t="s">
        <v>29</v>
      </c>
      <c r="G1676" s="186" t="s">
        <v>30</v>
      </c>
      <c r="H1676" s="186"/>
      <c r="I1676" s="186" t="s">
        <v>30</v>
      </c>
      <c r="J1676" s="186">
        <v>56.0</v>
      </c>
      <c r="K1676" s="186"/>
      <c r="L1676" s="186" t="s">
        <v>5751</v>
      </c>
      <c r="M1676" s="186" t="s">
        <v>5752</v>
      </c>
      <c r="N1676" s="186">
        <v>1976.0</v>
      </c>
      <c r="O1676" s="174">
        <v>15.0</v>
      </c>
      <c r="P1676" s="186">
        <v>1.0</v>
      </c>
      <c r="Q1676" s="189">
        <v>1.0</v>
      </c>
      <c r="R1676" s="190"/>
      <c r="S1676" s="116"/>
      <c r="T1676" s="116"/>
      <c r="U1676" s="116"/>
      <c r="V1676" s="116"/>
      <c r="W1676" s="116"/>
      <c r="X1676" s="116"/>
      <c r="Y1676" s="45"/>
      <c r="Z1676" s="45"/>
      <c r="AA1676" s="45"/>
      <c r="AB1676" s="45"/>
      <c r="AC1676" s="45"/>
      <c r="AD1676" s="45"/>
      <c r="AE1676" s="45"/>
      <c r="AF1676" s="45"/>
      <c r="AG1676" s="45"/>
      <c r="AH1676" s="45"/>
      <c r="AI1676" s="45"/>
      <c r="AJ1676" s="45"/>
      <c r="AK1676" s="45"/>
      <c r="AL1676" s="45"/>
    </row>
    <row r="1677" ht="15.75" customHeight="1">
      <c r="A1677" s="27">
        <f t="shared" si="21"/>
        <v>556</v>
      </c>
      <c r="B1677" s="191" t="s">
        <v>5753</v>
      </c>
      <c r="C1677" s="192" t="s">
        <v>5754</v>
      </c>
      <c r="D1677" s="193" t="s">
        <v>5755</v>
      </c>
      <c r="E1677" s="186"/>
      <c r="F1677" s="186" t="s">
        <v>29</v>
      </c>
      <c r="G1677" s="191" t="s">
        <v>37</v>
      </c>
      <c r="H1677" s="186"/>
      <c r="I1677" s="191" t="s">
        <v>38</v>
      </c>
      <c r="J1677" s="191">
        <v>216.0</v>
      </c>
      <c r="K1677" s="186"/>
      <c r="L1677" s="191" t="s">
        <v>5756</v>
      </c>
      <c r="M1677" s="194" t="s">
        <v>5757</v>
      </c>
      <c r="N1677" s="191">
        <v>1995.0</v>
      </c>
      <c r="O1677" s="195">
        <v>15.0</v>
      </c>
      <c r="P1677" s="191">
        <v>1.0</v>
      </c>
      <c r="Q1677" s="196">
        <v>1.0</v>
      </c>
      <c r="R1677" s="190"/>
      <c r="S1677" s="185"/>
      <c r="T1677" s="185"/>
      <c r="U1677" s="185"/>
      <c r="V1677" s="185"/>
      <c r="W1677" s="185"/>
      <c r="X1677" s="185"/>
      <c r="Y1677" s="45"/>
      <c r="Z1677" s="45"/>
      <c r="AA1677" s="45"/>
      <c r="AB1677" s="45"/>
      <c r="AC1677" s="45"/>
      <c r="AD1677" s="45"/>
      <c r="AE1677" s="45"/>
      <c r="AF1677" s="45"/>
      <c r="AG1677" s="45"/>
      <c r="AH1677" s="45"/>
      <c r="AI1677" s="45"/>
      <c r="AJ1677" s="45"/>
      <c r="AK1677" s="45"/>
      <c r="AL1677" s="45"/>
    </row>
    <row r="1678" ht="15.75" customHeight="1">
      <c r="A1678" s="27">
        <f t="shared" si="21"/>
        <v>557</v>
      </c>
      <c r="B1678" s="121" t="s">
        <v>5026</v>
      </c>
      <c r="C1678" s="121" t="s">
        <v>5758</v>
      </c>
      <c r="D1678" s="119" t="s">
        <v>5759</v>
      </c>
      <c r="E1678" s="83"/>
      <c r="F1678" s="83"/>
      <c r="G1678" s="121" t="s">
        <v>37</v>
      </c>
      <c r="H1678" s="83"/>
      <c r="I1678" s="121" t="s">
        <v>38</v>
      </c>
      <c r="J1678" s="121">
        <v>233.0</v>
      </c>
      <c r="K1678" s="83"/>
      <c r="L1678" s="121" t="s">
        <v>5014</v>
      </c>
      <c r="M1678" s="121" t="s">
        <v>4207</v>
      </c>
      <c r="N1678" s="121">
        <v>2013.0</v>
      </c>
      <c r="O1678" s="124">
        <v>17.0</v>
      </c>
      <c r="P1678" s="124">
        <v>3.0</v>
      </c>
      <c r="Q1678" s="124">
        <v>3.0</v>
      </c>
      <c r="R1678" s="84"/>
      <c r="S1678" s="116"/>
      <c r="T1678" s="116"/>
      <c r="U1678" s="116"/>
      <c r="V1678" s="116"/>
      <c r="W1678" s="116"/>
      <c r="X1678" s="116"/>
      <c r="Y1678" s="45"/>
      <c r="Z1678" s="45"/>
      <c r="AA1678" s="45"/>
      <c r="AB1678" s="45"/>
      <c r="AC1678" s="45"/>
      <c r="AD1678" s="45"/>
      <c r="AE1678" s="45"/>
      <c r="AF1678" s="45"/>
      <c r="AG1678" s="45"/>
      <c r="AH1678" s="45"/>
      <c r="AI1678" s="45"/>
      <c r="AJ1678" s="45"/>
      <c r="AK1678" s="45"/>
      <c r="AL1678" s="45"/>
    </row>
    <row r="1679" ht="15.75" customHeight="1">
      <c r="A1679" s="27">
        <f t="shared" si="21"/>
        <v>558</v>
      </c>
      <c r="B1679" s="121" t="s">
        <v>5030</v>
      </c>
      <c r="C1679" s="121" t="s">
        <v>5758</v>
      </c>
      <c r="D1679" s="128" t="s">
        <v>5760</v>
      </c>
      <c r="E1679" s="83"/>
      <c r="F1679" s="83"/>
      <c r="G1679" s="121" t="s">
        <v>37</v>
      </c>
      <c r="H1679" s="83"/>
      <c r="I1679" s="121" t="s">
        <v>38</v>
      </c>
      <c r="J1679" s="124">
        <v>366.0</v>
      </c>
      <c r="K1679" s="83"/>
      <c r="L1679" s="121" t="s">
        <v>5014</v>
      </c>
      <c r="M1679" s="121" t="s">
        <v>4207</v>
      </c>
      <c r="N1679" s="124">
        <v>2019.0</v>
      </c>
      <c r="O1679" s="124">
        <v>17.0</v>
      </c>
      <c r="P1679" s="124">
        <v>2.0</v>
      </c>
      <c r="Q1679" s="124">
        <v>2.0</v>
      </c>
      <c r="R1679" s="84"/>
      <c r="S1679" s="116"/>
      <c r="T1679" s="116"/>
      <c r="U1679" s="116"/>
      <c r="V1679" s="116"/>
      <c r="W1679" s="116"/>
      <c r="X1679" s="116"/>
      <c r="Y1679" s="45"/>
      <c r="Z1679" s="45"/>
      <c r="AA1679" s="45"/>
      <c r="AB1679" s="45"/>
      <c r="AC1679" s="45"/>
      <c r="AD1679" s="45"/>
      <c r="AE1679" s="45"/>
      <c r="AF1679" s="45"/>
      <c r="AG1679" s="45"/>
      <c r="AH1679" s="45"/>
      <c r="AI1679" s="45"/>
      <c r="AJ1679" s="45"/>
      <c r="AK1679" s="45"/>
      <c r="AL1679" s="45"/>
    </row>
    <row r="1680" ht="15.75" customHeight="1">
      <c r="A1680" s="27">
        <f t="shared" si="21"/>
        <v>559</v>
      </c>
      <c r="B1680" s="121" t="s">
        <v>5026</v>
      </c>
      <c r="C1680" s="121" t="s">
        <v>5758</v>
      </c>
      <c r="D1680" s="119" t="s">
        <v>5759</v>
      </c>
      <c r="E1680" s="83"/>
      <c r="F1680" s="83"/>
      <c r="G1680" s="121" t="s">
        <v>37</v>
      </c>
      <c r="H1680" s="83"/>
      <c r="I1680" s="121" t="s">
        <v>38</v>
      </c>
      <c r="J1680" s="121">
        <v>233.0</v>
      </c>
      <c r="K1680" s="83"/>
      <c r="L1680" s="121" t="s">
        <v>5014</v>
      </c>
      <c r="M1680" s="121" t="s">
        <v>4207</v>
      </c>
      <c r="N1680" s="121">
        <v>2019.0</v>
      </c>
      <c r="O1680" s="124">
        <v>17.0</v>
      </c>
      <c r="P1680" s="121">
        <v>1.0</v>
      </c>
      <c r="Q1680" s="121">
        <v>1.0</v>
      </c>
      <c r="R1680" s="84"/>
      <c r="S1680" s="185"/>
      <c r="T1680" s="185"/>
      <c r="U1680" s="185"/>
      <c r="V1680" s="185"/>
      <c r="W1680" s="185"/>
      <c r="X1680" s="185"/>
      <c r="Y1680" s="45"/>
      <c r="Z1680" s="45"/>
      <c r="AA1680" s="45"/>
      <c r="AB1680" s="45"/>
      <c r="AC1680" s="45"/>
      <c r="AD1680" s="45"/>
      <c r="AE1680" s="45"/>
      <c r="AF1680" s="45"/>
      <c r="AG1680" s="45"/>
      <c r="AH1680" s="45"/>
      <c r="AI1680" s="45"/>
      <c r="AJ1680" s="45"/>
      <c r="AK1680" s="45"/>
      <c r="AL1680" s="45"/>
    </row>
    <row r="1681" ht="15.75" customHeight="1">
      <c r="A1681" s="27">
        <f t="shared" si="21"/>
        <v>560</v>
      </c>
      <c r="B1681" s="121" t="s">
        <v>5026</v>
      </c>
      <c r="C1681" s="121" t="s">
        <v>5758</v>
      </c>
      <c r="D1681" s="119" t="s">
        <v>5761</v>
      </c>
      <c r="E1681" s="83"/>
      <c r="F1681" s="83"/>
      <c r="G1681" s="121" t="s">
        <v>37</v>
      </c>
      <c r="H1681" s="83"/>
      <c r="I1681" s="121" t="s">
        <v>5762</v>
      </c>
      <c r="J1681" s="121">
        <v>128.0</v>
      </c>
      <c r="K1681" s="83"/>
      <c r="L1681" s="121" t="s">
        <v>5014</v>
      </c>
      <c r="M1681" s="121" t="s">
        <v>4207</v>
      </c>
      <c r="N1681" s="121">
        <v>2017.0</v>
      </c>
      <c r="O1681" s="124">
        <v>17.0</v>
      </c>
      <c r="P1681" s="124">
        <v>2.0</v>
      </c>
      <c r="Q1681" s="124">
        <v>2.0</v>
      </c>
      <c r="R1681" s="84"/>
      <c r="S1681" s="116"/>
      <c r="T1681" s="116"/>
      <c r="U1681" s="116"/>
      <c r="V1681" s="116"/>
      <c r="W1681" s="116"/>
      <c r="X1681" s="116"/>
      <c r="Y1681" s="45"/>
      <c r="Z1681" s="45"/>
      <c r="AA1681" s="45"/>
      <c r="AB1681" s="45"/>
      <c r="AC1681" s="45"/>
      <c r="AD1681" s="45"/>
      <c r="AE1681" s="45"/>
      <c r="AF1681" s="45"/>
      <c r="AG1681" s="45"/>
      <c r="AH1681" s="45"/>
      <c r="AI1681" s="45"/>
      <c r="AJ1681" s="45"/>
      <c r="AK1681" s="45"/>
      <c r="AL1681" s="45"/>
    </row>
    <row r="1682" ht="15.75" customHeight="1">
      <c r="A1682" s="27">
        <f t="shared" si="21"/>
        <v>561</v>
      </c>
      <c r="B1682" s="121" t="s">
        <v>5030</v>
      </c>
      <c r="C1682" s="121" t="s">
        <v>5758</v>
      </c>
      <c r="D1682" s="128" t="s">
        <v>5763</v>
      </c>
      <c r="E1682" s="83"/>
      <c r="F1682" s="83"/>
      <c r="G1682" s="121" t="s">
        <v>37</v>
      </c>
      <c r="H1682" s="83"/>
      <c r="I1682" s="121" t="s">
        <v>5762</v>
      </c>
      <c r="J1682" s="124">
        <v>329.0</v>
      </c>
      <c r="K1682" s="83"/>
      <c r="L1682" s="121" t="s">
        <v>5014</v>
      </c>
      <c r="M1682" s="121" t="s">
        <v>4207</v>
      </c>
      <c r="N1682" s="124">
        <v>2018.0</v>
      </c>
      <c r="O1682" s="124">
        <v>17.0</v>
      </c>
      <c r="P1682" s="124">
        <v>2.0</v>
      </c>
      <c r="Q1682" s="124">
        <v>2.0</v>
      </c>
      <c r="R1682" s="84"/>
      <c r="S1682" s="116"/>
      <c r="T1682" s="116"/>
      <c r="U1682" s="116"/>
      <c r="V1682" s="116"/>
      <c r="W1682" s="116"/>
      <c r="X1682" s="116"/>
      <c r="Y1682" s="3"/>
      <c r="Z1682" s="3"/>
      <c r="AA1682" s="3"/>
      <c r="AB1682" s="3"/>
      <c r="AC1682" s="3"/>
      <c r="AD1682" s="3"/>
      <c r="AE1682" s="3"/>
      <c r="AF1682" s="3"/>
      <c r="AG1682" s="3"/>
      <c r="AH1682" s="3"/>
      <c r="AI1682" s="3"/>
      <c r="AJ1682" s="3"/>
      <c r="AK1682" s="3"/>
      <c r="AL1682" s="3"/>
    </row>
    <row r="1683" ht="15.75" customHeight="1">
      <c r="A1683" s="27">
        <f t="shared" si="21"/>
        <v>562</v>
      </c>
      <c r="B1683" s="121" t="s">
        <v>5030</v>
      </c>
      <c r="C1683" s="121" t="s">
        <v>5758</v>
      </c>
      <c r="D1683" s="128" t="s">
        <v>5764</v>
      </c>
      <c r="E1683" s="83"/>
      <c r="F1683" s="83"/>
      <c r="G1683" s="121" t="s">
        <v>37</v>
      </c>
      <c r="H1683" s="83"/>
      <c r="I1683" s="121" t="s">
        <v>5762</v>
      </c>
      <c r="J1683" s="124">
        <v>406.0</v>
      </c>
      <c r="K1683" s="83"/>
      <c r="L1683" s="121" t="s">
        <v>5014</v>
      </c>
      <c r="M1683" s="121" t="s">
        <v>4207</v>
      </c>
      <c r="N1683" s="124">
        <v>2018.0</v>
      </c>
      <c r="O1683" s="124">
        <v>17.0</v>
      </c>
      <c r="P1683" s="124">
        <v>2.0</v>
      </c>
      <c r="Q1683" s="124">
        <v>2.0</v>
      </c>
      <c r="R1683" s="84"/>
      <c r="S1683" s="116"/>
      <c r="T1683" s="116"/>
      <c r="U1683" s="116"/>
      <c r="V1683" s="116"/>
      <c r="W1683" s="116"/>
      <c r="X1683" s="116"/>
      <c r="Y1683" s="45"/>
      <c r="Z1683" s="45"/>
      <c r="AA1683" s="45"/>
      <c r="AB1683" s="45"/>
      <c r="AC1683" s="45"/>
      <c r="AD1683" s="45"/>
      <c r="AE1683" s="45"/>
      <c r="AF1683" s="45"/>
      <c r="AG1683" s="45"/>
      <c r="AH1683" s="45"/>
      <c r="AI1683" s="45"/>
      <c r="AJ1683" s="45"/>
      <c r="AK1683" s="45"/>
      <c r="AL1683" s="45"/>
    </row>
    <row r="1684" ht="15.75" customHeight="1">
      <c r="A1684" s="27">
        <f t="shared" si="21"/>
        <v>563</v>
      </c>
      <c r="B1684" s="121" t="s">
        <v>5026</v>
      </c>
      <c r="C1684" s="121" t="s">
        <v>5758</v>
      </c>
      <c r="D1684" s="119" t="s">
        <v>5765</v>
      </c>
      <c r="E1684" s="83"/>
      <c r="F1684" s="83"/>
      <c r="G1684" s="121" t="s">
        <v>37</v>
      </c>
      <c r="H1684" s="83"/>
      <c r="I1684" s="121" t="s">
        <v>5762</v>
      </c>
      <c r="J1684" s="121">
        <v>128.0</v>
      </c>
      <c r="K1684" s="83"/>
      <c r="L1684" s="121" t="s">
        <v>5014</v>
      </c>
      <c r="M1684" s="121" t="s">
        <v>4207</v>
      </c>
      <c r="N1684" s="121">
        <v>2017.0</v>
      </c>
      <c r="O1684" s="124">
        <v>17.0</v>
      </c>
      <c r="P1684" s="121">
        <v>2.0</v>
      </c>
      <c r="Q1684" s="121">
        <v>2.0</v>
      </c>
      <c r="R1684" s="84"/>
      <c r="S1684" s="116"/>
      <c r="T1684" s="116"/>
      <c r="U1684" s="116"/>
      <c r="V1684" s="116"/>
      <c r="W1684" s="116"/>
      <c r="X1684" s="116"/>
      <c r="Y1684" s="45"/>
      <c r="Z1684" s="45"/>
      <c r="AA1684" s="45"/>
      <c r="AB1684" s="45"/>
      <c r="AC1684" s="45"/>
      <c r="AD1684" s="45"/>
      <c r="AE1684" s="45"/>
      <c r="AF1684" s="45"/>
      <c r="AG1684" s="45"/>
      <c r="AH1684" s="45"/>
      <c r="AI1684" s="45"/>
      <c r="AJ1684" s="45"/>
      <c r="AK1684" s="45"/>
      <c r="AL1684" s="45"/>
    </row>
    <row r="1685" ht="15.75" customHeight="1">
      <c r="A1685" s="27">
        <f t="shared" si="21"/>
        <v>564</v>
      </c>
      <c r="B1685" s="121" t="s">
        <v>5026</v>
      </c>
      <c r="C1685" s="121" t="s">
        <v>5758</v>
      </c>
      <c r="D1685" s="119" t="s">
        <v>5766</v>
      </c>
      <c r="E1685" s="83"/>
      <c r="F1685" s="83"/>
      <c r="G1685" s="121" t="s">
        <v>37</v>
      </c>
      <c r="H1685" s="83"/>
      <c r="I1685" s="121" t="s">
        <v>5762</v>
      </c>
      <c r="J1685" s="121">
        <v>128.0</v>
      </c>
      <c r="K1685" s="83"/>
      <c r="L1685" s="121" t="s">
        <v>5014</v>
      </c>
      <c r="M1685" s="121" t="s">
        <v>4207</v>
      </c>
      <c r="N1685" s="121">
        <v>2017.0</v>
      </c>
      <c r="O1685" s="124">
        <v>17.0</v>
      </c>
      <c r="P1685" s="121">
        <v>5.0</v>
      </c>
      <c r="Q1685" s="121">
        <v>5.0</v>
      </c>
      <c r="R1685" s="84"/>
      <c r="S1685" s="116"/>
      <c r="T1685" s="116"/>
      <c r="U1685" s="116"/>
      <c r="V1685" s="116"/>
      <c r="W1685" s="116"/>
      <c r="X1685" s="116"/>
      <c r="Y1685" s="45"/>
      <c r="Z1685" s="45"/>
      <c r="AA1685" s="45"/>
      <c r="AB1685" s="45"/>
      <c r="AC1685" s="45"/>
      <c r="AD1685" s="45"/>
      <c r="AE1685" s="45"/>
      <c r="AF1685" s="45"/>
      <c r="AG1685" s="45"/>
      <c r="AH1685" s="45"/>
      <c r="AI1685" s="45"/>
      <c r="AJ1685" s="45"/>
      <c r="AK1685" s="45"/>
      <c r="AL1685" s="45"/>
    </row>
    <row r="1686" ht="15.75" customHeight="1">
      <c r="A1686" s="27">
        <f t="shared" si="21"/>
        <v>565</v>
      </c>
      <c r="B1686" s="121" t="s">
        <v>5767</v>
      </c>
      <c r="C1686" s="121" t="s">
        <v>5758</v>
      </c>
      <c r="D1686" s="119" t="s">
        <v>5768</v>
      </c>
      <c r="E1686" s="83"/>
      <c r="F1686" s="83"/>
      <c r="G1686" s="121" t="s">
        <v>37</v>
      </c>
      <c r="H1686" s="83"/>
      <c r="I1686" s="121" t="s">
        <v>38</v>
      </c>
      <c r="J1686" s="121">
        <v>104.0</v>
      </c>
      <c r="K1686" s="83"/>
      <c r="L1686" s="121" t="s">
        <v>5014</v>
      </c>
      <c r="M1686" s="121" t="s">
        <v>4207</v>
      </c>
      <c r="N1686" s="121">
        <v>2013.0</v>
      </c>
      <c r="O1686" s="124">
        <v>17.0</v>
      </c>
      <c r="P1686" s="121">
        <v>5.0</v>
      </c>
      <c r="Q1686" s="121">
        <v>5.0</v>
      </c>
      <c r="R1686" s="84"/>
      <c r="S1686" s="116"/>
      <c r="T1686" s="116"/>
      <c r="U1686" s="116"/>
      <c r="V1686" s="116"/>
      <c r="W1686" s="116"/>
      <c r="X1686" s="116"/>
      <c r="Y1686" s="45"/>
      <c r="Z1686" s="45"/>
      <c r="AA1686" s="45"/>
      <c r="AB1686" s="45"/>
      <c r="AC1686" s="45"/>
      <c r="AD1686" s="45"/>
      <c r="AE1686" s="45"/>
      <c r="AF1686" s="45"/>
      <c r="AG1686" s="45"/>
      <c r="AH1686" s="45"/>
      <c r="AI1686" s="45"/>
      <c r="AJ1686" s="45"/>
      <c r="AK1686" s="45"/>
      <c r="AL1686" s="45"/>
    </row>
    <row r="1687" ht="15.75" customHeight="1">
      <c r="A1687" s="27">
        <f t="shared" si="21"/>
        <v>566</v>
      </c>
      <c r="B1687" s="121" t="s">
        <v>5026</v>
      </c>
      <c r="C1687" s="121" t="s">
        <v>5758</v>
      </c>
      <c r="D1687" s="119" t="s">
        <v>5769</v>
      </c>
      <c r="E1687" s="83"/>
      <c r="F1687" s="83"/>
      <c r="G1687" s="121" t="s">
        <v>37</v>
      </c>
      <c r="H1687" s="83"/>
      <c r="I1687" s="121" t="s">
        <v>38</v>
      </c>
      <c r="J1687" s="121">
        <v>383.0</v>
      </c>
      <c r="K1687" s="83"/>
      <c r="L1687" s="121" t="s">
        <v>5014</v>
      </c>
      <c r="M1687" s="121" t="s">
        <v>4207</v>
      </c>
      <c r="N1687" s="121">
        <v>2016.0</v>
      </c>
      <c r="O1687" s="124">
        <v>17.0</v>
      </c>
      <c r="P1687" s="121">
        <v>4.0</v>
      </c>
      <c r="Q1687" s="121">
        <v>4.0</v>
      </c>
      <c r="R1687" s="84"/>
      <c r="S1687" s="116"/>
      <c r="T1687" s="116"/>
      <c r="U1687" s="116"/>
      <c r="V1687" s="116"/>
      <c r="W1687" s="116"/>
      <c r="X1687" s="116"/>
      <c r="Y1687" s="45"/>
      <c r="Z1687" s="45"/>
      <c r="AA1687" s="45"/>
      <c r="AB1687" s="45"/>
      <c r="AC1687" s="45"/>
      <c r="AD1687" s="45"/>
      <c r="AE1687" s="45"/>
      <c r="AF1687" s="45"/>
      <c r="AG1687" s="45"/>
      <c r="AH1687" s="45"/>
      <c r="AI1687" s="45"/>
      <c r="AJ1687" s="45"/>
      <c r="AK1687" s="45"/>
      <c r="AL1687" s="45"/>
    </row>
    <row r="1688" ht="15.75" customHeight="1">
      <c r="A1688" s="27">
        <f t="shared" si="21"/>
        <v>567</v>
      </c>
      <c r="B1688" s="121"/>
      <c r="C1688" s="121" t="s">
        <v>5758</v>
      </c>
      <c r="D1688" s="119" t="s">
        <v>5770</v>
      </c>
      <c r="E1688" s="83"/>
      <c r="F1688" s="83"/>
      <c r="G1688" s="121" t="s">
        <v>37</v>
      </c>
      <c r="H1688" s="83"/>
      <c r="I1688" s="121" t="s">
        <v>38</v>
      </c>
      <c r="J1688" s="121">
        <v>261.0</v>
      </c>
      <c r="K1688" s="83"/>
      <c r="L1688" s="121" t="s">
        <v>5014</v>
      </c>
      <c r="M1688" s="121" t="s">
        <v>4207</v>
      </c>
      <c r="N1688" s="121">
        <v>2016.0</v>
      </c>
      <c r="O1688" s="124">
        <v>17.0</v>
      </c>
      <c r="P1688" s="121">
        <v>5.0</v>
      </c>
      <c r="Q1688" s="121">
        <v>5.0</v>
      </c>
      <c r="R1688" s="84"/>
      <c r="S1688" s="116"/>
      <c r="T1688" s="116"/>
      <c r="U1688" s="116"/>
      <c r="V1688" s="116"/>
      <c r="W1688" s="116"/>
      <c r="X1688" s="116"/>
      <c r="Y1688" s="45"/>
      <c r="Z1688" s="45"/>
      <c r="AA1688" s="45"/>
      <c r="AB1688" s="45"/>
      <c r="AC1688" s="45"/>
      <c r="AD1688" s="45"/>
      <c r="AE1688" s="45"/>
      <c r="AF1688" s="45"/>
      <c r="AG1688" s="45"/>
      <c r="AH1688" s="45"/>
      <c r="AI1688" s="45"/>
      <c r="AJ1688" s="45"/>
      <c r="AK1688" s="45"/>
      <c r="AL1688" s="45"/>
    </row>
    <row r="1689" ht="15.75" customHeight="1">
      <c r="A1689" s="27">
        <f t="shared" si="21"/>
        <v>568</v>
      </c>
      <c r="B1689" s="121" t="s">
        <v>5767</v>
      </c>
      <c r="C1689" s="121" t="s">
        <v>5758</v>
      </c>
      <c r="D1689" s="119" t="s">
        <v>5771</v>
      </c>
      <c r="E1689" s="83"/>
      <c r="F1689" s="83"/>
      <c r="G1689" s="121" t="s">
        <v>37</v>
      </c>
      <c r="H1689" s="83"/>
      <c r="I1689" s="121" t="s">
        <v>38</v>
      </c>
      <c r="J1689" s="121">
        <v>104.0</v>
      </c>
      <c r="K1689" s="83"/>
      <c r="L1689" s="121" t="s">
        <v>5014</v>
      </c>
      <c r="M1689" s="121" t="s">
        <v>4207</v>
      </c>
      <c r="N1689" s="121">
        <v>2013.0</v>
      </c>
      <c r="O1689" s="124">
        <v>17.0</v>
      </c>
      <c r="P1689" s="121">
        <v>4.0</v>
      </c>
      <c r="Q1689" s="121">
        <v>4.0</v>
      </c>
      <c r="R1689" s="84"/>
      <c r="S1689" s="116"/>
      <c r="T1689" s="116"/>
      <c r="U1689" s="116"/>
      <c r="V1689" s="116"/>
      <c r="W1689" s="116"/>
      <c r="X1689" s="116"/>
      <c r="Y1689" s="45"/>
      <c r="Z1689" s="45"/>
      <c r="AA1689" s="45"/>
      <c r="AB1689" s="45"/>
      <c r="AC1689" s="45"/>
      <c r="AD1689" s="45"/>
      <c r="AE1689" s="45"/>
      <c r="AF1689" s="45"/>
      <c r="AG1689" s="45"/>
      <c r="AH1689" s="45"/>
      <c r="AI1689" s="45"/>
      <c r="AJ1689" s="45"/>
      <c r="AK1689" s="45"/>
      <c r="AL1689" s="45"/>
    </row>
    <row r="1690" ht="15.75" customHeight="1">
      <c r="A1690" s="27">
        <f t="shared" si="21"/>
        <v>569</v>
      </c>
      <c r="B1690" s="121" t="s">
        <v>5026</v>
      </c>
      <c r="C1690" s="121" t="s">
        <v>5758</v>
      </c>
      <c r="D1690" s="119" t="s">
        <v>5772</v>
      </c>
      <c r="E1690" s="83"/>
      <c r="F1690" s="83"/>
      <c r="G1690" s="121" t="s">
        <v>37</v>
      </c>
      <c r="H1690" s="83"/>
      <c r="I1690" s="121" t="s">
        <v>5762</v>
      </c>
      <c r="J1690" s="121">
        <v>345.0</v>
      </c>
      <c r="K1690" s="83"/>
      <c r="L1690" s="121" t="s">
        <v>5014</v>
      </c>
      <c r="M1690" s="121" t="s">
        <v>4207</v>
      </c>
      <c r="N1690" s="121">
        <v>2013.0</v>
      </c>
      <c r="O1690" s="124">
        <v>17.0</v>
      </c>
      <c r="P1690" s="121">
        <v>3.0</v>
      </c>
      <c r="Q1690" s="121">
        <v>3.0</v>
      </c>
      <c r="R1690" s="84"/>
      <c r="S1690" s="197"/>
      <c r="T1690" s="197"/>
      <c r="U1690" s="197"/>
      <c r="V1690" s="197"/>
      <c r="W1690" s="197"/>
      <c r="X1690" s="197"/>
      <c r="Y1690" s="3"/>
      <c r="Z1690" s="3"/>
      <c r="AA1690" s="3"/>
      <c r="AB1690" s="3"/>
      <c r="AC1690" s="3"/>
      <c r="AD1690" s="3"/>
      <c r="AE1690" s="3"/>
      <c r="AF1690" s="3"/>
      <c r="AG1690" s="3"/>
      <c r="AH1690" s="3"/>
      <c r="AI1690" s="3"/>
      <c r="AJ1690" s="3"/>
      <c r="AK1690" s="3"/>
      <c r="AL1690" s="3"/>
    </row>
    <row r="1691" ht="15.75" customHeight="1">
      <c r="A1691" s="27">
        <f t="shared" si="21"/>
        <v>570</v>
      </c>
      <c r="B1691" s="121" t="s">
        <v>5026</v>
      </c>
      <c r="C1691" s="121" t="s">
        <v>5758</v>
      </c>
      <c r="D1691" s="119" t="s">
        <v>5772</v>
      </c>
      <c r="E1691" s="83"/>
      <c r="F1691" s="83"/>
      <c r="G1691" s="121" t="s">
        <v>37</v>
      </c>
      <c r="H1691" s="83"/>
      <c r="I1691" s="121" t="s">
        <v>38</v>
      </c>
      <c r="J1691" s="121">
        <v>345.0</v>
      </c>
      <c r="K1691" s="83"/>
      <c r="L1691" s="121" t="s">
        <v>5014</v>
      </c>
      <c r="M1691" s="121" t="s">
        <v>4207</v>
      </c>
      <c r="N1691" s="121">
        <v>2015.0</v>
      </c>
      <c r="O1691" s="124">
        <v>17.0</v>
      </c>
      <c r="P1691" s="121">
        <v>2.0</v>
      </c>
      <c r="Q1691" s="121">
        <v>2.0</v>
      </c>
      <c r="R1691" s="84"/>
      <c r="S1691" s="185"/>
      <c r="T1691" s="185"/>
      <c r="U1691" s="185"/>
      <c r="V1691" s="185"/>
      <c r="W1691" s="185"/>
      <c r="X1691" s="185"/>
      <c r="Y1691" s="3"/>
      <c r="Z1691" s="3"/>
      <c r="AA1691" s="3"/>
      <c r="AB1691" s="3"/>
      <c r="AC1691" s="3"/>
      <c r="AD1691" s="3"/>
      <c r="AE1691" s="3"/>
      <c r="AF1691" s="3"/>
      <c r="AG1691" s="3"/>
      <c r="AH1691" s="3"/>
      <c r="AI1691" s="3"/>
      <c r="AJ1691" s="3"/>
      <c r="AK1691" s="3"/>
      <c r="AL1691" s="3"/>
    </row>
    <row r="1692" ht="15.75" customHeight="1">
      <c r="A1692" s="27">
        <f t="shared" si="21"/>
        <v>571</v>
      </c>
      <c r="B1692" s="121" t="s">
        <v>5026</v>
      </c>
      <c r="C1692" s="121" t="s">
        <v>5758</v>
      </c>
      <c r="D1692" s="119" t="s">
        <v>5773</v>
      </c>
      <c r="E1692" s="83"/>
      <c r="F1692" s="83"/>
      <c r="G1692" s="121" t="s">
        <v>37</v>
      </c>
      <c r="H1692" s="83"/>
      <c r="I1692" s="121" t="s">
        <v>5762</v>
      </c>
      <c r="J1692" s="121">
        <v>207.0</v>
      </c>
      <c r="K1692" s="83"/>
      <c r="L1692" s="121" t="s">
        <v>5014</v>
      </c>
      <c r="M1692" s="121" t="s">
        <v>4207</v>
      </c>
      <c r="N1692" s="121">
        <v>2015.0</v>
      </c>
      <c r="O1692" s="124">
        <v>17.0</v>
      </c>
      <c r="P1692" s="121">
        <v>2.0</v>
      </c>
      <c r="Q1692" s="121">
        <v>2.0</v>
      </c>
      <c r="R1692" s="84"/>
      <c r="S1692" s="185"/>
      <c r="T1692" s="185"/>
      <c r="U1692" s="185"/>
      <c r="V1692" s="185"/>
      <c r="W1692" s="185"/>
      <c r="X1692" s="185"/>
      <c r="Y1692" s="45"/>
      <c r="Z1692" s="45"/>
      <c r="AA1692" s="45"/>
      <c r="AB1692" s="45"/>
      <c r="AC1692" s="45"/>
      <c r="AD1692" s="45"/>
      <c r="AE1692" s="45"/>
      <c r="AF1692" s="45"/>
      <c r="AG1692" s="45"/>
      <c r="AH1692" s="45"/>
      <c r="AI1692" s="45"/>
      <c r="AJ1692" s="45"/>
      <c r="AK1692" s="45"/>
      <c r="AL1692" s="45"/>
    </row>
    <row r="1693" ht="15.75" customHeight="1">
      <c r="A1693" s="27">
        <f t="shared" si="21"/>
        <v>572</v>
      </c>
      <c r="B1693" s="121" t="s">
        <v>5026</v>
      </c>
      <c r="C1693" s="121" t="s">
        <v>5758</v>
      </c>
      <c r="D1693" s="119" t="s">
        <v>5774</v>
      </c>
      <c r="E1693" s="83"/>
      <c r="F1693" s="83"/>
      <c r="G1693" s="121" t="s">
        <v>37</v>
      </c>
      <c r="H1693" s="83"/>
      <c r="I1693" s="121" t="s">
        <v>38</v>
      </c>
      <c r="J1693" s="121">
        <v>113.0</v>
      </c>
      <c r="K1693" s="83"/>
      <c r="L1693" s="121" t="s">
        <v>5014</v>
      </c>
      <c r="M1693" s="121" t="s">
        <v>4207</v>
      </c>
      <c r="N1693" s="121">
        <v>2015.0</v>
      </c>
      <c r="O1693" s="124">
        <v>17.0</v>
      </c>
      <c r="P1693" s="121">
        <v>4.0</v>
      </c>
      <c r="Q1693" s="121">
        <v>3.0</v>
      </c>
      <c r="R1693" s="84"/>
      <c r="S1693" s="185"/>
      <c r="T1693" s="185"/>
      <c r="U1693" s="185"/>
      <c r="V1693" s="185"/>
      <c r="W1693" s="185"/>
      <c r="X1693" s="185"/>
      <c r="Y1693" s="45"/>
      <c r="Z1693" s="45"/>
      <c r="AA1693" s="45"/>
      <c r="AB1693" s="45"/>
      <c r="AC1693" s="45"/>
      <c r="AD1693" s="45"/>
      <c r="AE1693" s="45"/>
      <c r="AF1693" s="45"/>
      <c r="AG1693" s="45"/>
      <c r="AH1693" s="45"/>
      <c r="AI1693" s="45"/>
      <c r="AJ1693" s="45"/>
      <c r="AK1693" s="45"/>
      <c r="AL1693" s="45"/>
    </row>
    <row r="1694" ht="15.75" customHeight="1">
      <c r="A1694" s="27">
        <f t="shared" si="21"/>
        <v>573</v>
      </c>
      <c r="B1694" s="121" t="s">
        <v>5026</v>
      </c>
      <c r="C1694" s="121" t="s">
        <v>5758</v>
      </c>
      <c r="D1694" s="119" t="s">
        <v>5775</v>
      </c>
      <c r="E1694" s="83"/>
      <c r="F1694" s="83"/>
      <c r="G1694" s="121" t="s">
        <v>37</v>
      </c>
      <c r="H1694" s="83"/>
      <c r="I1694" s="121" t="s">
        <v>38</v>
      </c>
      <c r="J1694" s="121">
        <v>233.0</v>
      </c>
      <c r="K1694" s="83"/>
      <c r="L1694" s="121" t="s">
        <v>5014</v>
      </c>
      <c r="M1694" s="121" t="s">
        <v>4207</v>
      </c>
      <c r="N1694" s="121">
        <v>2014.0</v>
      </c>
      <c r="O1694" s="124">
        <v>17.0</v>
      </c>
      <c r="P1694" s="121">
        <v>5.0</v>
      </c>
      <c r="Q1694" s="121">
        <v>5.0</v>
      </c>
      <c r="R1694" s="84"/>
      <c r="S1694" s="40"/>
      <c r="T1694" s="40"/>
      <c r="U1694" s="40"/>
      <c r="V1694" s="40"/>
      <c r="W1694" s="40"/>
      <c r="X1694" s="40"/>
      <c r="Y1694" s="45"/>
      <c r="Z1694" s="45"/>
      <c r="AA1694" s="45"/>
      <c r="AB1694" s="45"/>
      <c r="AC1694" s="45"/>
      <c r="AD1694" s="45"/>
      <c r="AE1694" s="45"/>
      <c r="AF1694" s="45"/>
      <c r="AG1694" s="45"/>
      <c r="AH1694" s="45"/>
      <c r="AI1694" s="45"/>
      <c r="AJ1694" s="45"/>
      <c r="AK1694" s="45"/>
      <c r="AL1694" s="45"/>
    </row>
    <row r="1695" ht="15.75" customHeight="1">
      <c r="A1695" s="27">
        <f t="shared" si="21"/>
        <v>574</v>
      </c>
      <c r="B1695" s="121" t="s">
        <v>5026</v>
      </c>
      <c r="C1695" s="121" t="s">
        <v>5758</v>
      </c>
      <c r="D1695" s="119" t="s">
        <v>5776</v>
      </c>
      <c r="E1695" s="83"/>
      <c r="F1695" s="83"/>
      <c r="G1695" s="121" t="s">
        <v>37</v>
      </c>
      <c r="H1695" s="83"/>
      <c r="I1695" s="121" t="s">
        <v>5762</v>
      </c>
      <c r="J1695" s="121">
        <v>230.0</v>
      </c>
      <c r="K1695" s="83"/>
      <c r="L1695" s="121" t="s">
        <v>5014</v>
      </c>
      <c r="M1695" s="121" t="s">
        <v>4207</v>
      </c>
      <c r="N1695" s="121">
        <v>2014.0</v>
      </c>
      <c r="O1695" s="124">
        <v>17.0</v>
      </c>
      <c r="P1695" s="121">
        <v>3.0</v>
      </c>
      <c r="Q1695" s="121">
        <v>3.0</v>
      </c>
      <c r="R1695" s="84"/>
      <c r="S1695" s="34"/>
      <c r="T1695" s="34"/>
      <c r="U1695" s="34"/>
      <c r="V1695" s="34"/>
      <c r="W1695" s="34"/>
      <c r="X1695" s="34"/>
      <c r="Y1695" s="45"/>
      <c r="Z1695" s="45"/>
      <c r="AA1695" s="45"/>
      <c r="AB1695" s="45"/>
      <c r="AC1695" s="45"/>
      <c r="AD1695" s="45"/>
      <c r="AE1695" s="45"/>
      <c r="AF1695" s="45"/>
      <c r="AG1695" s="45"/>
      <c r="AH1695" s="45"/>
      <c r="AI1695" s="45"/>
      <c r="AJ1695" s="45"/>
      <c r="AK1695" s="45"/>
      <c r="AL1695" s="45"/>
    </row>
    <row r="1696" ht="15.75" customHeight="1">
      <c r="A1696" s="27">
        <f t="shared" si="21"/>
        <v>575</v>
      </c>
      <c r="B1696" s="121" t="s">
        <v>5026</v>
      </c>
      <c r="C1696" s="121" t="s">
        <v>5758</v>
      </c>
      <c r="D1696" s="119" t="s">
        <v>5777</v>
      </c>
      <c r="E1696" s="83"/>
      <c r="F1696" s="83"/>
      <c r="G1696" s="121" t="s">
        <v>37</v>
      </c>
      <c r="H1696" s="83"/>
      <c r="I1696" s="121" t="s">
        <v>38</v>
      </c>
      <c r="J1696" s="121">
        <v>110.0</v>
      </c>
      <c r="K1696" s="83"/>
      <c r="L1696" s="121" t="s">
        <v>5014</v>
      </c>
      <c r="M1696" s="121" t="s">
        <v>4207</v>
      </c>
      <c r="N1696" s="121">
        <v>2014.0</v>
      </c>
      <c r="O1696" s="124">
        <v>17.0</v>
      </c>
      <c r="P1696" s="121">
        <v>4.0</v>
      </c>
      <c r="Q1696" s="121">
        <v>4.0</v>
      </c>
      <c r="R1696" s="84"/>
      <c r="S1696" s="34"/>
      <c r="T1696" s="34"/>
      <c r="U1696" s="34"/>
      <c r="V1696" s="34"/>
      <c r="W1696" s="34"/>
      <c r="X1696" s="34"/>
      <c r="Y1696" s="45"/>
      <c r="Z1696" s="45"/>
      <c r="AA1696" s="45"/>
      <c r="AB1696" s="45"/>
      <c r="AC1696" s="45"/>
      <c r="AD1696" s="45"/>
      <c r="AE1696" s="45"/>
      <c r="AF1696" s="45"/>
      <c r="AG1696" s="45"/>
      <c r="AH1696" s="45"/>
      <c r="AI1696" s="45"/>
      <c r="AJ1696" s="45"/>
      <c r="AK1696" s="45"/>
      <c r="AL1696" s="45"/>
    </row>
    <row r="1697" ht="15.75" customHeight="1">
      <c r="A1697" s="27">
        <f t="shared" si="21"/>
        <v>576</v>
      </c>
      <c r="B1697" s="121" t="s">
        <v>5026</v>
      </c>
      <c r="C1697" s="121" t="s">
        <v>5758</v>
      </c>
      <c r="D1697" s="119" t="s">
        <v>5778</v>
      </c>
      <c r="E1697" s="83"/>
      <c r="F1697" s="83"/>
      <c r="G1697" s="121" t="s">
        <v>37</v>
      </c>
      <c r="H1697" s="83"/>
      <c r="I1697" s="121" t="s">
        <v>38</v>
      </c>
      <c r="J1697" s="121">
        <v>376.0</v>
      </c>
      <c r="K1697" s="83"/>
      <c r="L1697" s="121" t="s">
        <v>5014</v>
      </c>
      <c r="M1697" s="121" t="s">
        <v>4207</v>
      </c>
      <c r="N1697" s="121">
        <v>2013.0</v>
      </c>
      <c r="O1697" s="124">
        <v>17.0</v>
      </c>
      <c r="P1697" s="121">
        <v>2.0</v>
      </c>
      <c r="Q1697" s="121">
        <v>1.0</v>
      </c>
      <c r="R1697" s="84"/>
      <c r="S1697" s="34"/>
      <c r="T1697" s="34"/>
      <c r="U1697" s="34"/>
      <c r="V1697" s="34"/>
      <c r="W1697" s="34"/>
      <c r="X1697" s="34"/>
      <c r="Y1697" s="45"/>
      <c r="Z1697" s="45"/>
      <c r="AA1697" s="45"/>
      <c r="AB1697" s="45"/>
      <c r="AC1697" s="45"/>
      <c r="AD1697" s="45"/>
      <c r="AE1697" s="45"/>
      <c r="AF1697" s="45"/>
      <c r="AG1697" s="45"/>
      <c r="AH1697" s="45"/>
      <c r="AI1697" s="45"/>
      <c r="AJ1697" s="45"/>
      <c r="AK1697" s="45"/>
      <c r="AL1697" s="45"/>
    </row>
    <row r="1698" ht="15.75" customHeight="1">
      <c r="A1698" s="27">
        <f t="shared" si="21"/>
        <v>577</v>
      </c>
      <c r="B1698" s="121" t="s">
        <v>5026</v>
      </c>
      <c r="C1698" s="121" t="s">
        <v>5758</v>
      </c>
      <c r="D1698" s="119" t="s">
        <v>5779</v>
      </c>
      <c r="E1698" s="83"/>
      <c r="F1698" s="83"/>
      <c r="G1698" s="121" t="s">
        <v>37</v>
      </c>
      <c r="H1698" s="83"/>
      <c r="I1698" s="121" t="s">
        <v>5762</v>
      </c>
      <c r="J1698" s="121">
        <v>128.0</v>
      </c>
      <c r="K1698" s="83"/>
      <c r="L1698" s="121" t="s">
        <v>5014</v>
      </c>
      <c r="M1698" s="121" t="s">
        <v>4207</v>
      </c>
      <c r="N1698" s="121">
        <v>2013.0</v>
      </c>
      <c r="O1698" s="124">
        <v>17.0</v>
      </c>
      <c r="P1698" s="121">
        <v>1.0</v>
      </c>
      <c r="Q1698" s="121">
        <v>1.0</v>
      </c>
      <c r="R1698" s="84"/>
      <c r="S1698" s="34"/>
      <c r="T1698" s="34"/>
      <c r="U1698" s="34"/>
      <c r="V1698" s="34"/>
      <c r="W1698" s="34"/>
      <c r="X1698" s="34"/>
      <c r="Y1698" s="45"/>
      <c r="Z1698" s="45"/>
      <c r="AA1698" s="45"/>
      <c r="AB1698" s="45"/>
      <c r="AC1698" s="45"/>
      <c r="AD1698" s="45"/>
      <c r="AE1698" s="45"/>
      <c r="AF1698" s="45"/>
      <c r="AG1698" s="45"/>
      <c r="AH1698" s="45"/>
      <c r="AI1698" s="45"/>
      <c r="AJ1698" s="45"/>
      <c r="AK1698" s="45"/>
      <c r="AL1698" s="45"/>
    </row>
    <row r="1699" ht="15.75" customHeight="1">
      <c r="A1699" s="27">
        <f t="shared" si="21"/>
        <v>578</v>
      </c>
      <c r="B1699" s="174" t="s">
        <v>5026</v>
      </c>
      <c r="C1699" s="174" t="s">
        <v>5758</v>
      </c>
      <c r="D1699" s="184" t="s">
        <v>5780</v>
      </c>
      <c r="E1699" s="198"/>
      <c r="F1699" s="198"/>
      <c r="G1699" s="174" t="s">
        <v>37</v>
      </c>
      <c r="H1699" s="198"/>
      <c r="I1699" s="174" t="s">
        <v>5762</v>
      </c>
      <c r="J1699" s="174">
        <v>128.0</v>
      </c>
      <c r="K1699" s="198"/>
      <c r="L1699" s="174" t="s">
        <v>5014</v>
      </c>
      <c r="M1699" s="174" t="s">
        <v>4207</v>
      </c>
      <c r="N1699" s="174">
        <v>2013.0</v>
      </c>
      <c r="O1699" s="195">
        <v>17.0</v>
      </c>
      <c r="P1699" s="174">
        <v>3.0</v>
      </c>
      <c r="Q1699" s="174">
        <v>3.0</v>
      </c>
      <c r="R1699" s="199"/>
      <c r="S1699" s="34"/>
      <c r="T1699" s="34"/>
      <c r="U1699" s="34"/>
      <c r="V1699" s="34"/>
      <c r="W1699" s="34"/>
      <c r="X1699" s="34"/>
      <c r="Y1699" s="3"/>
      <c r="Z1699" s="3"/>
      <c r="AA1699" s="3"/>
      <c r="AB1699" s="3"/>
      <c r="AC1699" s="3"/>
      <c r="AD1699" s="3"/>
      <c r="AE1699" s="3"/>
      <c r="AF1699" s="3"/>
      <c r="AG1699" s="3"/>
      <c r="AH1699" s="3"/>
      <c r="AI1699" s="3"/>
      <c r="AJ1699" s="3"/>
      <c r="AK1699" s="3"/>
      <c r="AL1699" s="3"/>
    </row>
    <row r="1700" ht="15.75" customHeight="1">
      <c r="A1700" s="27">
        <f t="shared" si="21"/>
        <v>579</v>
      </c>
      <c r="B1700" s="28" t="s">
        <v>31</v>
      </c>
      <c r="C1700" s="43" t="s">
        <v>5781</v>
      </c>
      <c r="D1700" s="30" t="s">
        <v>5782</v>
      </c>
      <c r="E1700" s="28" t="s">
        <v>31</v>
      </c>
      <c r="F1700" s="28" t="s">
        <v>29</v>
      </c>
      <c r="G1700" s="28" t="s">
        <v>38</v>
      </c>
      <c r="H1700" s="28"/>
      <c r="I1700" s="28" t="s">
        <v>38</v>
      </c>
      <c r="J1700" s="28">
        <v>351.0</v>
      </c>
      <c r="K1700" s="28"/>
      <c r="L1700" s="28" t="s">
        <v>2387</v>
      </c>
      <c r="M1700" s="28" t="s">
        <v>1203</v>
      </c>
      <c r="N1700" s="28">
        <v>1947.0</v>
      </c>
      <c r="O1700" s="60">
        <v>15.0</v>
      </c>
      <c r="P1700" s="28">
        <v>1.0</v>
      </c>
      <c r="Q1700" s="94">
        <v>1.0</v>
      </c>
      <c r="R1700" s="33"/>
      <c r="S1700" s="34"/>
      <c r="T1700" s="34"/>
      <c r="U1700" s="34"/>
      <c r="V1700" s="34"/>
      <c r="W1700" s="34"/>
      <c r="X1700" s="34"/>
      <c r="Y1700" s="45"/>
      <c r="Z1700" s="45"/>
      <c r="AA1700" s="45"/>
      <c r="AB1700" s="45"/>
      <c r="AC1700" s="45"/>
      <c r="AD1700" s="45"/>
      <c r="AE1700" s="45"/>
      <c r="AF1700" s="45"/>
      <c r="AG1700" s="45"/>
      <c r="AH1700" s="45"/>
      <c r="AI1700" s="45"/>
      <c r="AJ1700" s="45"/>
      <c r="AK1700" s="45"/>
      <c r="AL1700" s="45"/>
    </row>
    <row r="1701" ht="15.75" customHeight="1">
      <c r="A1701" s="27">
        <f t="shared" si="21"/>
        <v>580</v>
      </c>
      <c r="B1701" s="28" t="s">
        <v>31</v>
      </c>
      <c r="C1701" s="43" t="s">
        <v>5783</v>
      </c>
      <c r="D1701" s="30" t="s">
        <v>5784</v>
      </c>
      <c r="E1701" s="28" t="s">
        <v>31</v>
      </c>
      <c r="F1701" s="28" t="s">
        <v>29</v>
      </c>
      <c r="G1701" s="28" t="s">
        <v>30</v>
      </c>
      <c r="H1701" s="28"/>
      <c r="I1701" s="28" t="s">
        <v>30</v>
      </c>
      <c r="J1701" s="28">
        <v>41.0</v>
      </c>
      <c r="K1701" s="28"/>
      <c r="L1701" s="28" t="s">
        <v>5785</v>
      </c>
      <c r="M1701" s="28" t="s">
        <v>5198</v>
      </c>
      <c r="N1701" s="28">
        <v>1975.0</v>
      </c>
      <c r="O1701" s="28">
        <v>15.0</v>
      </c>
      <c r="P1701" s="28">
        <v>5.0</v>
      </c>
      <c r="Q1701" s="94">
        <v>2.0</v>
      </c>
      <c r="R1701" s="33"/>
      <c r="S1701" s="34"/>
      <c r="T1701" s="34"/>
      <c r="U1701" s="34"/>
      <c r="V1701" s="34"/>
      <c r="W1701" s="34"/>
      <c r="X1701" s="34"/>
      <c r="Y1701" s="45"/>
      <c r="Z1701" s="45"/>
      <c r="AA1701" s="45"/>
      <c r="AB1701" s="45"/>
      <c r="AC1701" s="45"/>
      <c r="AD1701" s="45"/>
      <c r="AE1701" s="45"/>
      <c r="AF1701" s="45"/>
      <c r="AG1701" s="45"/>
      <c r="AH1701" s="45"/>
      <c r="AI1701" s="45"/>
      <c r="AJ1701" s="45"/>
      <c r="AK1701" s="45"/>
      <c r="AL1701" s="45"/>
    </row>
    <row r="1702" ht="15.75" customHeight="1">
      <c r="A1702" s="27">
        <f t="shared" si="21"/>
        <v>581</v>
      </c>
      <c r="B1702" s="33"/>
      <c r="C1702" s="132" t="s">
        <v>5786</v>
      </c>
      <c r="D1702" s="131" t="s">
        <v>5787</v>
      </c>
      <c r="E1702" s="33"/>
      <c r="F1702" s="132" t="s">
        <v>29</v>
      </c>
      <c r="G1702" s="132" t="s">
        <v>37</v>
      </c>
      <c r="H1702" s="33"/>
      <c r="I1702" s="132" t="s">
        <v>38</v>
      </c>
      <c r="J1702" s="132">
        <v>61.0</v>
      </c>
      <c r="K1702" s="33"/>
      <c r="L1702" s="33"/>
      <c r="M1702" s="132" t="s">
        <v>4836</v>
      </c>
      <c r="N1702" s="33"/>
      <c r="O1702" s="132">
        <v>15.0</v>
      </c>
      <c r="P1702" s="132">
        <v>1.0</v>
      </c>
      <c r="Q1702" s="132">
        <v>1.0</v>
      </c>
      <c r="R1702" s="84"/>
      <c r="S1702" s="34"/>
      <c r="T1702" s="34"/>
      <c r="U1702" s="34"/>
      <c r="V1702" s="34"/>
      <c r="W1702" s="34"/>
      <c r="X1702" s="34"/>
      <c r="Y1702" s="45"/>
      <c r="Z1702" s="45"/>
      <c r="AA1702" s="45"/>
      <c r="AB1702" s="45"/>
      <c r="AC1702" s="45"/>
      <c r="AD1702" s="45"/>
      <c r="AE1702" s="45"/>
      <c r="AF1702" s="45"/>
      <c r="AG1702" s="45"/>
      <c r="AH1702" s="45"/>
      <c r="AI1702" s="45"/>
      <c r="AJ1702" s="45"/>
      <c r="AK1702" s="45"/>
      <c r="AL1702" s="45"/>
    </row>
    <row r="1703" ht="15.75" customHeight="1">
      <c r="A1703" s="27">
        <f t="shared" si="21"/>
        <v>582</v>
      </c>
      <c r="B1703" s="121" t="s">
        <v>5788</v>
      </c>
      <c r="C1703" s="121" t="s">
        <v>5789</v>
      </c>
      <c r="D1703" s="119" t="s">
        <v>5790</v>
      </c>
      <c r="E1703" s="83"/>
      <c r="F1703" s="83"/>
      <c r="G1703" s="121" t="s">
        <v>2179</v>
      </c>
      <c r="H1703" s="83"/>
      <c r="I1703" s="121" t="s">
        <v>38</v>
      </c>
      <c r="J1703" s="121">
        <v>620.0</v>
      </c>
      <c r="K1703" s="83"/>
      <c r="L1703" s="121" t="s">
        <v>5791</v>
      </c>
      <c r="M1703" s="121" t="s">
        <v>4207</v>
      </c>
      <c r="N1703" s="121">
        <v>1977.0</v>
      </c>
      <c r="O1703" s="60">
        <v>15.0</v>
      </c>
      <c r="P1703" s="121">
        <v>1.0</v>
      </c>
      <c r="Q1703" s="121">
        <v>1.0</v>
      </c>
      <c r="R1703" s="84"/>
      <c r="S1703" s="34"/>
      <c r="T1703" s="34"/>
      <c r="U1703" s="34"/>
      <c r="V1703" s="34"/>
      <c r="W1703" s="34"/>
      <c r="X1703" s="34"/>
      <c r="Y1703" s="45"/>
      <c r="Z1703" s="45"/>
      <c r="AA1703" s="45"/>
      <c r="AB1703" s="45"/>
      <c r="AC1703" s="45"/>
      <c r="AD1703" s="45"/>
      <c r="AE1703" s="45"/>
      <c r="AF1703" s="45"/>
      <c r="AG1703" s="45"/>
      <c r="AH1703" s="45"/>
      <c r="AI1703" s="45"/>
      <c r="AJ1703" s="45"/>
      <c r="AK1703" s="45"/>
      <c r="AL1703" s="45"/>
    </row>
    <row r="1704" ht="15.75" customHeight="1">
      <c r="A1704" s="27">
        <f t="shared" si="21"/>
        <v>583</v>
      </c>
      <c r="B1704" s="28" t="s">
        <v>31</v>
      </c>
      <c r="C1704" s="43" t="s">
        <v>5792</v>
      </c>
      <c r="D1704" s="30" t="s">
        <v>5793</v>
      </c>
      <c r="E1704" s="28" t="s">
        <v>144</v>
      </c>
      <c r="F1704" s="28" t="s">
        <v>29</v>
      </c>
      <c r="G1704" s="28" t="s">
        <v>30</v>
      </c>
      <c r="H1704" s="28"/>
      <c r="I1704" s="28" t="s">
        <v>30</v>
      </c>
      <c r="J1704" s="28">
        <v>172.0</v>
      </c>
      <c r="K1704" s="28"/>
      <c r="L1704" s="28" t="s">
        <v>5794</v>
      </c>
      <c r="M1704" s="28" t="s">
        <v>5795</v>
      </c>
      <c r="N1704" s="28">
        <v>1989.0</v>
      </c>
      <c r="O1704" s="60">
        <v>15.0</v>
      </c>
      <c r="P1704" s="28">
        <v>1.0</v>
      </c>
      <c r="Q1704" s="94">
        <v>1.0</v>
      </c>
      <c r="R1704" s="33"/>
      <c r="S1704" s="34"/>
      <c r="T1704" s="34"/>
      <c r="U1704" s="34"/>
      <c r="V1704" s="34"/>
      <c r="W1704" s="34"/>
      <c r="X1704" s="34"/>
      <c r="Y1704" s="45"/>
      <c r="Z1704" s="45"/>
      <c r="AA1704" s="45"/>
      <c r="AB1704" s="45"/>
      <c r="AC1704" s="45"/>
      <c r="AD1704" s="45"/>
      <c r="AE1704" s="45"/>
      <c r="AF1704" s="45"/>
      <c r="AG1704" s="45"/>
      <c r="AH1704" s="45"/>
      <c r="AI1704" s="45"/>
      <c r="AJ1704" s="45"/>
      <c r="AK1704" s="45"/>
      <c r="AL1704" s="45"/>
    </row>
    <row r="1705" ht="15.75" customHeight="1">
      <c r="A1705" s="27">
        <f t="shared" si="21"/>
        <v>584</v>
      </c>
      <c r="B1705" s="28" t="s">
        <v>31</v>
      </c>
      <c r="C1705" s="43" t="s">
        <v>5796</v>
      </c>
      <c r="D1705" s="30" t="s">
        <v>5797</v>
      </c>
      <c r="E1705" s="28" t="s">
        <v>31</v>
      </c>
      <c r="F1705" s="28" t="s">
        <v>29</v>
      </c>
      <c r="G1705" s="28" t="s">
        <v>2417</v>
      </c>
      <c r="H1705" s="28"/>
      <c r="I1705" s="28" t="s">
        <v>38</v>
      </c>
      <c r="J1705" s="28">
        <v>731.0</v>
      </c>
      <c r="K1705" s="28"/>
      <c r="L1705" s="28" t="s">
        <v>5798</v>
      </c>
      <c r="M1705" s="28" t="s">
        <v>1333</v>
      </c>
      <c r="N1705" s="28">
        <v>2004.0</v>
      </c>
      <c r="O1705" s="60">
        <v>15.0</v>
      </c>
      <c r="P1705" s="28">
        <v>1.0</v>
      </c>
      <c r="Q1705" s="94">
        <v>1.0</v>
      </c>
      <c r="R1705" s="33"/>
      <c r="S1705" s="34"/>
      <c r="T1705" s="34"/>
      <c r="U1705" s="34"/>
      <c r="V1705" s="34"/>
      <c r="W1705" s="34"/>
      <c r="X1705" s="34"/>
      <c r="Y1705" s="45"/>
      <c r="Z1705" s="45"/>
      <c r="AA1705" s="45"/>
      <c r="AB1705" s="45"/>
      <c r="AC1705" s="45"/>
      <c r="AD1705" s="45"/>
      <c r="AE1705" s="45"/>
      <c r="AF1705" s="45"/>
      <c r="AG1705" s="45"/>
      <c r="AH1705" s="45"/>
      <c r="AI1705" s="45"/>
      <c r="AJ1705" s="45"/>
      <c r="AK1705" s="45"/>
      <c r="AL1705" s="45"/>
    </row>
    <row r="1706" ht="15.75" customHeight="1">
      <c r="A1706" s="27">
        <f t="shared" si="21"/>
        <v>585</v>
      </c>
      <c r="B1706" s="28"/>
      <c r="C1706" s="43" t="s">
        <v>5799</v>
      </c>
      <c r="D1706" s="30" t="s">
        <v>5800</v>
      </c>
      <c r="E1706" s="28" t="s">
        <v>31</v>
      </c>
      <c r="F1706" s="28" t="s">
        <v>29</v>
      </c>
      <c r="G1706" s="28" t="s">
        <v>38</v>
      </c>
      <c r="H1706" s="28"/>
      <c r="I1706" s="28" t="s">
        <v>38</v>
      </c>
      <c r="J1706" s="28">
        <v>216.0</v>
      </c>
      <c r="K1706" s="28"/>
      <c r="L1706" s="28" t="s">
        <v>5801</v>
      </c>
      <c r="M1706" s="28" t="s">
        <v>1203</v>
      </c>
      <c r="N1706" s="28">
        <v>1968.0</v>
      </c>
      <c r="O1706" s="60">
        <v>15.0</v>
      </c>
      <c r="P1706" s="28">
        <v>1.0</v>
      </c>
      <c r="Q1706" s="94">
        <v>1.0</v>
      </c>
      <c r="R1706" s="33"/>
      <c r="S1706" s="34"/>
      <c r="T1706" s="34"/>
      <c r="U1706" s="34"/>
      <c r="V1706" s="34"/>
      <c r="W1706" s="34"/>
      <c r="X1706" s="34"/>
      <c r="Y1706" s="45"/>
      <c r="Z1706" s="45"/>
      <c r="AA1706" s="45"/>
      <c r="AB1706" s="45"/>
      <c r="AC1706" s="45"/>
      <c r="AD1706" s="45"/>
      <c r="AE1706" s="45"/>
      <c r="AF1706" s="45"/>
      <c r="AG1706" s="45"/>
      <c r="AH1706" s="45"/>
      <c r="AI1706" s="45"/>
      <c r="AJ1706" s="45"/>
      <c r="AK1706" s="45"/>
      <c r="AL1706" s="45"/>
    </row>
    <row r="1707" ht="15.75" customHeight="1">
      <c r="A1707" s="27">
        <f t="shared" si="21"/>
        <v>586</v>
      </c>
      <c r="B1707" s="28" t="s">
        <v>31</v>
      </c>
      <c r="C1707" s="43" t="s">
        <v>5802</v>
      </c>
      <c r="D1707" s="30" t="s">
        <v>5803</v>
      </c>
      <c r="E1707" s="28" t="s">
        <v>31</v>
      </c>
      <c r="F1707" s="28" t="s">
        <v>29</v>
      </c>
      <c r="G1707" s="28" t="s">
        <v>37</v>
      </c>
      <c r="H1707" s="28"/>
      <c r="I1707" s="28" t="s">
        <v>38</v>
      </c>
      <c r="J1707" s="28">
        <v>216.0</v>
      </c>
      <c r="K1707" s="28"/>
      <c r="L1707" s="28" t="s">
        <v>5709</v>
      </c>
      <c r="M1707" s="28" t="s">
        <v>54</v>
      </c>
      <c r="N1707" s="28">
        <v>1968.0</v>
      </c>
      <c r="O1707" s="60">
        <v>15.0</v>
      </c>
      <c r="P1707" s="28">
        <v>4.0</v>
      </c>
      <c r="Q1707" s="94">
        <v>4.0</v>
      </c>
      <c r="R1707" s="33"/>
      <c r="S1707" s="34"/>
      <c r="T1707" s="34"/>
      <c r="U1707" s="34"/>
      <c r="V1707" s="34"/>
      <c r="W1707" s="34"/>
      <c r="X1707" s="34"/>
      <c r="Y1707" s="45"/>
      <c r="Z1707" s="45"/>
      <c r="AA1707" s="45"/>
      <c r="AB1707" s="45"/>
      <c r="AC1707" s="45"/>
      <c r="AD1707" s="45"/>
      <c r="AE1707" s="45"/>
      <c r="AF1707" s="45"/>
      <c r="AG1707" s="45"/>
      <c r="AH1707" s="45"/>
      <c r="AI1707" s="45"/>
      <c r="AJ1707" s="45"/>
      <c r="AK1707" s="45"/>
      <c r="AL1707" s="45"/>
    </row>
    <row r="1708" ht="15.75" customHeight="1">
      <c r="A1708" s="27">
        <f t="shared" si="21"/>
        <v>587</v>
      </c>
      <c r="B1708" s="28" t="s">
        <v>31</v>
      </c>
      <c r="C1708" s="43" t="s">
        <v>5804</v>
      </c>
      <c r="D1708" s="30" t="s">
        <v>5805</v>
      </c>
      <c r="E1708" s="28" t="s">
        <v>31</v>
      </c>
      <c r="F1708" s="28" t="s">
        <v>29</v>
      </c>
      <c r="G1708" s="28" t="s">
        <v>38</v>
      </c>
      <c r="H1708" s="28"/>
      <c r="I1708" s="28" t="s">
        <v>38</v>
      </c>
      <c r="J1708" s="28">
        <v>60.0</v>
      </c>
      <c r="K1708" s="28"/>
      <c r="L1708" s="28" t="s">
        <v>5806</v>
      </c>
      <c r="M1708" s="28" t="s">
        <v>1497</v>
      </c>
      <c r="N1708" s="28">
        <v>1960.0</v>
      </c>
      <c r="O1708" s="60">
        <v>15.0</v>
      </c>
      <c r="P1708" s="28">
        <v>2.0</v>
      </c>
      <c r="Q1708" s="94">
        <v>1.0</v>
      </c>
      <c r="R1708" s="33"/>
      <c r="S1708" s="34"/>
      <c r="T1708" s="34"/>
      <c r="U1708" s="34"/>
      <c r="V1708" s="34"/>
      <c r="W1708" s="34"/>
      <c r="X1708" s="34"/>
      <c r="Y1708" s="3"/>
      <c r="Z1708" s="3"/>
      <c r="AA1708" s="3"/>
      <c r="AB1708" s="3"/>
      <c r="AC1708" s="3"/>
      <c r="AD1708" s="3"/>
      <c r="AE1708" s="3"/>
      <c r="AF1708" s="3"/>
      <c r="AG1708" s="3"/>
      <c r="AH1708" s="3"/>
      <c r="AI1708" s="3"/>
      <c r="AJ1708" s="3"/>
      <c r="AK1708" s="3"/>
      <c r="AL1708" s="3"/>
    </row>
    <row r="1709" ht="15.75" customHeight="1">
      <c r="A1709" s="27">
        <f t="shared" si="21"/>
        <v>588</v>
      </c>
      <c r="B1709" s="28"/>
      <c r="C1709" s="43" t="s">
        <v>5807</v>
      </c>
      <c r="D1709" s="30" t="s">
        <v>5808</v>
      </c>
      <c r="E1709" s="28" t="s">
        <v>31</v>
      </c>
      <c r="F1709" s="28" t="s">
        <v>29</v>
      </c>
      <c r="G1709" s="28" t="s">
        <v>38</v>
      </c>
      <c r="H1709" s="28"/>
      <c r="I1709" s="28" t="s">
        <v>38</v>
      </c>
      <c r="J1709" s="28">
        <v>173.0</v>
      </c>
      <c r="K1709" s="28"/>
      <c r="L1709" s="28" t="s">
        <v>5809</v>
      </c>
      <c r="M1709" s="28" t="s">
        <v>54</v>
      </c>
      <c r="N1709" s="28">
        <v>1964.0</v>
      </c>
      <c r="O1709" s="60">
        <v>15.0</v>
      </c>
      <c r="P1709" s="28">
        <v>1.0</v>
      </c>
      <c r="Q1709" s="94">
        <v>1.0</v>
      </c>
      <c r="R1709" s="33"/>
      <c r="S1709" s="34"/>
      <c r="T1709" s="34"/>
      <c r="U1709" s="34"/>
      <c r="V1709" s="34"/>
      <c r="W1709" s="34"/>
      <c r="X1709" s="34"/>
      <c r="Y1709" s="45"/>
      <c r="Z1709" s="45"/>
      <c r="AA1709" s="45"/>
      <c r="AB1709" s="45"/>
      <c r="AC1709" s="45"/>
      <c r="AD1709" s="45"/>
      <c r="AE1709" s="45"/>
      <c r="AF1709" s="45"/>
      <c r="AG1709" s="45"/>
      <c r="AH1709" s="45"/>
      <c r="AI1709" s="45"/>
      <c r="AJ1709" s="45"/>
      <c r="AK1709" s="45"/>
      <c r="AL1709" s="45"/>
    </row>
    <row r="1710" ht="15.75" customHeight="1">
      <c r="A1710" s="27">
        <f t="shared" si="21"/>
        <v>589</v>
      </c>
      <c r="B1710" s="28" t="s">
        <v>5810</v>
      </c>
      <c r="C1710" s="43" t="s">
        <v>5811</v>
      </c>
      <c r="D1710" s="30" t="s">
        <v>5812</v>
      </c>
      <c r="E1710" s="28" t="s">
        <v>31</v>
      </c>
      <c r="F1710" s="28" t="s">
        <v>29</v>
      </c>
      <c r="G1710" s="28" t="s">
        <v>5737</v>
      </c>
      <c r="H1710" s="28"/>
      <c r="I1710" s="28" t="s">
        <v>38</v>
      </c>
      <c r="J1710" s="28">
        <v>141.0</v>
      </c>
      <c r="K1710" s="28"/>
      <c r="L1710" s="28" t="s">
        <v>5813</v>
      </c>
      <c r="M1710" s="28" t="s">
        <v>5373</v>
      </c>
      <c r="N1710" s="28">
        <v>1993.0</v>
      </c>
      <c r="O1710" s="60">
        <v>15.0</v>
      </c>
      <c r="P1710" s="28">
        <v>1.0</v>
      </c>
      <c r="Q1710" s="94">
        <v>1.0</v>
      </c>
      <c r="R1710" s="33"/>
      <c r="S1710" s="34"/>
      <c r="T1710" s="34"/>
      <c r="U1710" s="34"/>
      <c r="V1710" s="34"/>
      <c r="W1710" s="34"/>
      <c r="X1710" s="34"/>
      <c r="Y1710" s="45"/>
      <c r="Z1710" s="45"/>
      <c r="AA1710" s="45"/>
      <c r="AB1710" s="45"/>
      <c r="AC1710" s="45"/>
      <c r="AD1710" s="45"/>
      <c r="AE1710" s="45"/>
      <c r="AF1710" s="45"/>
      <c r="AG1710" s="45"/>
      <c r="AH1710" s="45"/>
      <c r="AI1710" s="45"/>
      <c r="AJ1710" s="45"/>
      <c r="AK1710" s="45"/>
      <c r="AL1710" s="45"/>
    </row>
    <row r="1711" ht="15.75" customHeight="1">
      <c r="A1711" s="27">
        <f t="shared" si="21"/>
        <v>590</v>
      </c>
      <c r="B1711" s="28" t="s">
        <v>31</v>
      </c>
      <c r="C1711" s="43" t="s">
        <v>5814</v>
      </c>
      <c r="D1711" s="30" t="s">
        <v>5815</v>
      </c>
      <c r="E1711" s="28" t="s">
        <v>31</v>
      </c>
      <c r="F1711" s="28" t="s">
        <v>29</v>
      </c>
      <c r="G1711" s="28" t="s">
        <v>37</v>
      </c>
      <c r="H1711" s="28"/>
      <c r="I1711" s="28" t="s">
        <v>38</v>
      </c>
      <c r="J1711" s="28">
        <v>221.0</v>
      </c>
      <c r="K1711" s="28"/>
      <c r="L1711" s="28" t="s">
        <v>5738</v>
      </c>
      <c r="M1711" s="28" t="s">
        <v>54</v>
      </c>
      <c r="N1711" s="28">
        <v>1987.0</v>
      </c>
      <c r="O1711" s="60">
        <v>15.0</v>
      </c>
      <c r="P1711" s="28">
        <v>3.0</v>
      </c>
      <c r="Q1711" s="37">
        <v>3.0</v>
      </c>
      <c r="R1711" s="33"/>
      <c r="S1711" s="116"/>
      <c r="T1711" s="116"/>
      <c r="U1711" s="116"/>
      <c r="V1711" s="116"/>
      <c r="W1711" s="116"/>
      <c r="X1711" s="116"/>
      <c r="Y1711" s="45"/>
      <c r="Z1711" s="45"/>
      <c r="AA1711" s="45"/>
      <c r="AB1711" s="45"/>
      <c r="AC1711" s="45"/>
      <c r="AD1711" s="45"/>
      <c r="AE1711" s="45"/>
      <c r="AF1711" s="45"/>
      <c r="AG1711" s="45"/>
      <c r="AH1711" s="45"/>
      <c r="AI1711" s="45"/>
      <c r="AJ1711" s="45"/>
      <c r="AK1711" s="45"/>
      <c r="AL1711" s="45"/>
    </row>
    <row r="1712" ht="15.75" customHeight="1">
      <c r="A1712" s="27">
        <f t="shared" si="21"/>
        <v>591</v>
      </c>
      <c r="B1712" s="28"/>
      <c r="C1712" s="43" t="s">
        <v>5816</v>
      </c>
      <c r="D1712" s="30" t="s">
        <v>5817</v>
      </c>
      <c r="E1712" s="28" t="s">
        <v>31</v>
      </c>
      <c r="F1712" s="28" t="s">
        <v>29</v>
      </c>
      <c r="G1712" s="28" t="s">
        <v>37</v>
      </c>
      <c r="H1712" s="28"/>
      <c r="I1712" s="28" t="s">
        <v>38</v>
      </c>
      <c r="J1712" s="28">
        <v>304.0</v>
      </c>
      <c r="K1712" s="28"/>
      <c r="L1712" s="28" t="s">
        <v>4534</v>
      </c>
      <c r="M1712" s="28" t="s">
        <v>54</v>
      </c>
      <c r="N1712" s="28">
        <v>1988.0</v>
      </c>
      <c r="O1712" s="60">
        <v>15.0</v>
      </c>
      <c r="P1712" s="28">
        <v>2.0</v>
      </c>
      <c r="Q1712" s="94">
        <v>2.0</v>
      </c>
      <c r="R1712" s="33"/>
      <c r="S1712" s="116"/>
      <c r="T1712" s="116"/>
      <c r="U1712" s="116"/>
      <c r="V1712" s="116"/>
      <c r="W1712" s="116"/>
      <c r="X1712" s="116"/>
      <c r="Y1712" s="45"/>
      <c r="Z1712" s="45"/>
      <c r="AA1712" s="45"/>
      <c r="AB1712" s="45"/>
      <c r="AC1712" s="45"/>
      <c r="AD1712" s="45"/>
      <c r="AE1712" s="45"/>
      <c r="AF1712" s="45"/>
      <c r="AG1712" s="45"/>
      <c r="AH1712" s="45"/>
      <c r="AI1712" s="45"/>
      <c r="AJ1712" s="45"/>
      <c r="AK1712" s="45"/>
      <c r="AL1712" s="45"/>
    </row>
    <row r="1713" ht="15.75" customHeight="1">
      <c r="A1713" s="27">
        <f t="shared" si="21"/>
        <v>592</v>
      </c>
      <c r="B1713" s="28" t="s">
        <v>5818</v>
      </c>
      <c r="C1713" s="43" t="s">
        <v>5819</v>
      </c>
      <c r="D1713" s="30" t="s">
        <v>5820</v>
      </c>
      <c r="E1713" s="28" t="s">
        <v>31</v>
      </c>
      <c r="F1713" s="28" t="s">
        <v>29</v>
      </c>
      <c r="G1713" s="28" t="s">
        <v>37</v>
      </c>
      <c r="H1713" s="28"/>
      <c r="I1713" s="28" t="s">
        <v>38</v>
      </c>
      <c r="J1713" s="28">
        <v>236.0</v>
      </c>
      <c r="K1713" s="28"/>
      <c r="L1713" s="28" t="s">
        <v>5821</v>
      </c>
      <c r="M1713" s="28" t="s">
        <v>54</v>
      </c>
      <c r="N1713" s="28">
        <v>1990.0</v>
      </c>
      <c r="O1713" s="60">
        <v>15.0</v>
      </c>
      <c r="P1713" s="28">
        <v>1.0</v>
      </c>
      <c r="Q1713" s="94">
        <v>1.0</v>
      </c>
      <c r="R1713" s="33"/>
      <c r="S1713" s="34"/>
      <c r="T1713" s="34"/>
      <c r="U1713" s="34"/>
      <c r="V1713" s="34"/>
      <c r="W1713" s="34"/>
      <c r="X1713" s="34"/>
      <c r="Y1713" s="45"/>
      <c r="Z1713" s="45"/>
      <c r="AA1713" s="45"/>
      <c r="AB1713" s="45"/>
      <c r="AC1713" s="45"/>
      <c r="AD1713" s="45"/>
      <c r="AE1713" s="45"/>
      <c r="AF1713" s="45"/>
      <c r="AG1713" s="45"/>
      <c r="AH1713" s="45"/>
      <c r="AI1713" s="45"/>
      <c r="AJ1713" s="45"/>
      <c r="AK1713" s="45"/>
      <c r="AL1713" s="45"/>
    </row>
    <row r="1714" ht="15.75" customHeight="1">
      <c r="A1714" s="27">
        <f t="shared" si="21"/>
        <v>593</v>
      </c>
      <c r="B1714" s="28" t="s">
        <v>31</v>
      </c>
      <c r="C1714" s="43" t="s">
        <v>5822</v>
      </c>
      <c r="D1714" s="30" t="s">
        <v>5823</v>
      </c>
      <c r="E1714" s="28" t="s">
        <v>31</v>
      </c>
      <c r="F1714" s="28" t="s">
        <v>29</v>
      </c>
      <c r="G1714" s="28" t="s">
        <v>37</v>
      </c>
      <c r="H1714" s="28"/>
      <c r="I1714" s="28" t="s">
        <v>38</v>
      </c>
      <c r="J1714" s="28">
        <v>138.0</v>
      </c>
      <c r="K1714" s="28"/>
      <c r="L1714" s="28" t="s">
        <v>31</v>
      </c>
      <c r="M1714" s="28" t="s">
        <v>1203</v>
      </c>
      <c r="N1714" s="28">
        <v>1968.0</v>
      </c>
      <c r="O1714" s="60">
        <v>15.0</v>
      </c>
      <c r="P1714" s="28">
        <v>2.0</v>
      </c>
      <c r="Q1714" s="94">
        <v>2.0</v>
      </c>
      <c r="R1714" s="33"/>
      <c r="S1714" s="34"/>
      <c r="T1714" s="34"/>
      <c r="U1714" s="34"/>
      <c r="V1714" s="34"/>
      <c r="W1714" s="34"/>
      <c r="X1714" s="34"/>
      <c r="Y1714" s="3"/>
      <c r="Z1714" s="3"/>
      <c r="AA1714" s="3"/>
      <c r="AB1714" s="3"/>
      <c r="AC1714" s="3"/>
      <c r="AD1714" s="3"/>
      <c r="AE1714" s="3"/>
      <c r="AF1714" s="3"/>
      <c r="AG1714" s="3"/>
      <c r="AH1714" s="3"/>
      <c r="AI1714" s="3"/>
      <c r="AJ1714" s="3"/>
      <c r="AK1714" s="3"/>
      <c r="AL1714" s="3"/>
    </row>
    <row r="1715" ht="15.75" customHeight="1">
      <c r="A1715" s="27">
        <f t="shared" si="21"/>
        <v>594</v>
      </c>
      <c r="B1715" s="28" t="s">
        <v>31</v>
      </c>
      <c r="C1715" s="43" t="s">
        <v>5824</v>
      </c>
      <c r="D1715" s="30" t="s">
        <v>5825</v>
      </c>
      <c r="E1715" s="28" t="s">
        <v>31</v>
      </c>
      <c r="F1715" s="28" t="s">
        <v>29</v>
      </c>
      <c r="G1715" s="28" t="s">
        <v>38</v>
      </c>
      <c r="H1715" s="28"/>
      <c r="I1715" s="28" t="s">
        <v>38</v>
      </c>
      <c r="J1715" s="28">
        <v>173.0</v>
      </c>
      <c r="K1715" s="28"/>
      <c r="L1715" s="28" t="s">
        <v>5826</v>
      </c>
      <c r="M1715" s="28" t="s">
        <v>54</v>
      </c>
      <c r="N1715" s="28">
        <v>1963.0</v>
      </c>
      <c r="O1715" s="60">
        <v>15.0</v>
      </c>
      <c r="P1715" s="28">
        <v>1.0</v>
      </c>
      <c r="Q1715" s="94">
        <v>1.0</v>
      </c>
      <c r="R1715" s="33"/>
      <c r="S1715" s="34"/>
      <c r="T1715" s="34"/>
      <c r="U1715" s="34"/>
      <c r="V1715" s="34"/>
      <c r="W1715" s="34"/>
      <c r="X1715" s="34"/>
      <c r="Y1715" s="3"/>
      <c r="Z1715" s="3"/>
      <c r="AA1715" s="3"/>
      <c r="AB1715" s="3"/>
      <c r="AC1715" s="3"/>
      <c r="AD1715" s="3"/>
      <c r="AE1715" s="3"/>
      <c r="AF1715" s="3"/>
      <c r="AG1715" s="3"/>
      <c r="AH1715" s="3"/>
      <c r="AI1715" s="3"/>
      <c r="AJ1715" s="3"/>
      <c r="AK1715" s="3"/>
      <c r="AL1715" s="3"/>
    </row>
    <row r="1716" ht="15.75" customHeight="1">
      <c r="A1716" s="27">
        <f t="shared" si="21"/>
        <v>595</v>
      </c>
      <c r="B1716" s="28" t="s">
        <v>5827</v>
      </c>
      <c r="C1716" s="43" t="s">
        <v>5828</v>
      </c>
      <c r="D1716" s="30" t="s">
        <v>5829</v>
      </c>
      <c r="E1716" s="28" t="s">
        <v>31</v>
      </c>
      <c r="F1716" s="28" t="s">
        <v>29</v>
      </c>
      <c r="G1716" s="28" t="s">
        <v>37</v>
      </c>
      <c r="H1716" s="28"/>
      <c r="I1716" s="28" t="s">
        <v>38</v>
      </c>
      <c r="J1716" s="28">
        <v>139.0</v>
      </c>
      <c r="K1716" s="28"/>
      <c r="L1716" s="28" t="s">
        <v>5830</v>
      </c>
      <c r="M1716" s="28" t="s">
        <v>1203</v>
      </c>
      <c r="N1716" s="28">
        <v>2000.0</v>
      </c>
      <c r="O1716" s="121">
        <v>15.0</v>
      </c>
      <c r="P1716" s="28">
        <v>1.0</v>
      </c>
      <c r="Q1716" s="94">
        <v>1.0</v>
      </c>
      <c r="R1716" s="33"/>
      <c r="S1716" s="34"/>
      <c r="T1716" s="34"/>
      <c r="U1716" s="34"/>
      <c r="V1716" s="34"/>
      <c r="W1716" s="34"/>
      <c r="X1716" s="34"/>
      <c r="Y1716" s="3"/>
      <c r="Z1716" s="3"/>
      <c r="AA1716" s="3"/>
      <c r="AB1716" s="3"/>
      <c r="AC1716" s="3"/>
      <c r="AD1716" s="3"/>
      <c r="AE1716" s="3"/>
      <c r="AF1716" s="3"/>
      <c r="AG1716" s="3"/>
      <c r="AH1716" s="3"/>
      <c r="AI1716" s="3"/>
      <c r="AJ1716" s="3"/>
      <c r="AK1716" s="3"/>
      <c r="AL1716" s="3"/>
    </row>
    <row r="1717" ht="15.75" customHeight="1">
      <c r="A1717" s="27">
        <f t="shared" si="21"/>
        <v>596</v>
      </c>
      <c r="B1717" s="83" t="s">
        <v>5831</v>
      </c>
      <c r="C1717" s="121" t="s">
        <v>5832</v>
      </c>
      <c r="D1717" s="118" t="s">
        <v>5833</v>
      </c>
      <c r="E1717" s="83" t="s">
        <v>2601</v>
      </c>
      <c r="F1717" s="83" t="s">
        <v>29</v>
      </c>
      <c r="G1717" s="83"/>
      <c r="H1717" s="83"/>
      <c r="I1717" s="83" t="s">
        <v>38</v>
      </c>
      <c r="J1717" s="83">
        <v>217.0</v>
      </c>
      <c r="K1717" s="83"/>
      <c r="L1717" s="83" t="s">
        <v>5834</v>
      </c>
      <c r="M1717" s="83" t="s">
        <v>2963</v>
      </c>
      <c r="N1717" s="83">
        <v>1993.0</v>
      </c>
      <c r="O1717" s="121">
        <v>15.0</v>
      </c>
      <c r="P1717" s="83">
        <v>1.0</v>
      </c>
      <c r="Q1717" s="83">
        <v>1.0</v>
      </c>
      <c r="R1717" s="84"/>
      <c r="S1717" s="34"/>
      <c r="T1717" s="34"/>
      <c r="U1717" s="34"/>
      <c r="V1717" s="34"/>
      <c r="W1717" s="34"/>
      <c r="X1717" s="34"/>
      <c r="Y1717" s="3"/>
      <c r="Z1717" s="3"/>
      <c r="AA1717" s="3"/>
      <c r="AB1717" s="3"/>
      <c r="AC1717" s="3"/>
      <c r="AD1717" s="3"/>
      <c r="AE1717" s="3"/>
      <c r="AF1717" s="3"/>
      <c r="AG1717" s="3"/>
      <c r="AH1717" s="3"/>
      <c r="AI1717" s="3"/>
      <c r="AJ1717" s="3"/>
      <c r="AK1717" s="3"/>
      <c r="AL1717" s="3"/>
    </row>
    <row r="1718" ht="15.75" customHeight="1">
      <c r="A1718" s="27">
        <f t="shared" si="21"/>
        <v>597</v>
      </c>
      <c r="B1718" s="28" t="s">
        <v>5835</v>
      </c>
      <c r="C1718" s="43" t="s">
        <v>5836</v>
      </c>
      <c r="D1718" s="30" t="s">
        <v>5837</v>
      </c>
      <c r="E1718" s="28" t="s">
        <v>31</v>
      </c>
      <c r="F1718" s="28" t="s">
        <v>29</v>
      </c>
      <c r="G1718" s="28" t="s">
        <v>38</v>
      </c>
      <c r="H1718" s="28"/>
      <c r="I1718" s="28" t="s">
        <v>38</v>
      </c>
      <c r="J1718" s="28">
        <v>335.0</v>
      </c>
      <c r="K1718" s="28"/>
      <c r="L1718" s="28" t="s">
        <v>5838</v>
      </c>
      <c r="M1718" s="28" t="s">
        <v>54</v>
      </c>
      <c r="N1718" s="28">
        <v>2002.0</v>
      </c>
      <c r="O1718" s="60">
        <v>15.0</v>
      </c>
      <c r="P1718" s="28">
        <v>2.0</v>
      </c>
      <c r="Q1718" s="94">
        <v>2.0</v>
      </c>
      <c r="R1718" s="33"/>
      <c r="S1718" s="34"/>
      <c r="T1718" s="34"/>
      <c r="U1718" s="34"/>
      <c r="V1718" s="34"/>
      <c r="W1718" s="34"/>
      <c r="X1718" s="34"/>
      <c r="Y1718" s="3"/>
      <c r="Z1718" s="3"/>
      <c r="AA1718" s="3"/>
      <c r="AB1718" s="3"/>
      <c r="AC1718" s="3"/>
      <c r="AD1718" s="3"/>
      <c r="AE1718" s="3"/>
      <c r="AF1718" s="3"/>
      <c r="AG1718" s="3"/>
      <c r="AH1718" s="3"/>
      <c r="AI1718" s="3"/>
      <c r="AJ1718" s="3"/>
      <c r="AK1718" s="3"/>
      <c r="AL1718" s="3"/>
    </row>
    <row r="1719" ht="15.75" customHeight="1">
      <c r="A1719" s="27">
        <f t="shared" si="21"/>
        <v>598</v>
      </c>
      <c r="B1719" s="28" t="s">
        <v>0</v>
      </c>
      <c r="C1719" s="43" t="s">
        <v>5839</v>
      </c>
      <c r="D1719" s="30" t="s">
        <v>5840</v>
      </c>
      <c r="E1719" s="28" t="s">
        <v>31</v>
      </c>
      <c r="F1719" s="28" t="s">
        <v>29</v>
      </c>
      <c r="G1719" s="28" t="s">
        <v>38</v>
      </c>
      <c r="H1719" s="28"/>
      <c r="I1719" s="28" t="s">
        <v>38</v>
      </c>
      <c r="J1719" s="28">
        <v>255.0</v>
      </c>
      <c r="K1719" s="28"/>
      <c r="L1719" s="28" t="s">
        <v>2387</v>
      </c>
      <c r="M1719" s="28" t="s">
        <v>54</v>
      </c>
      <c r="N1719" s="28">
        <v>1974.0</v>
      </c>
      <c r="O1719" s="60">
        <v>15.0</v>
      </c>
      <c r="P1719" s="28">
        <v>4.0</v>
      </c>
      <c r="Q1719" s="94">
        <v>4.0</v>
      </c>
      <c r="R1719" s="33"/>
      <c r="S1719" s="34"/>
      <c r="T1719" s="34"/>
      <c r="U1719" s="34"/>
      <c r="V1719" s="34"/>
      <c r="W1719" s="34"/>
      <c r="X1719" s="34"/>
      <c r="Y1719" s="3"/>
      <c r="Z1719" s="3"/>
      <c r="AA1719" s="3"/>
      <c r="AB1719" s="3"/>
      <c r="AC1719" s="3"/>
      <c r="AD1719" s="3"/>
      <c r="AE1719" s="3"/>
      <c r="AF1719" s="3"/>
      <c r="AG1719" s="3"/>
      <c r="AH1719" s="3"/>
      <c r="AI1719" s="3"/>
      <c r="AJ1719" s="3"/>
      <c r="AK1719" s="3"/>
      <c r="AL1719" s="3"/>
    </row>
    <row r="1720" ht="15.75" customHeight="1">
      <c r="A1720" s="27">
        <f t="shared" si="21"/>
        <v>599</v>
      </c>
      <c r="B1720" s="28" t="s">
        <v>5841</v>
      </c>
      <c r="C1720" s="43" t="s">
        <v>5839</v>
      </c>
      <c r="D1720" s="200" t="s">
        <v>5842</v>
      </c>
      <c r="E1720" s="28" t="s">
        <v>31</v>
      </c>
      <c r="F1720" s="28" t="s">
        <v>29</v>
      </c>
      <c r="G1720" s="28" t="s">
        <v>131</v>
      </c>
      <c r="H1720" s="28"/>
      <c r="I1720" s="28" t="s">
        <v>38</v>
      </c>
      <c r="J1720" s="28">
        <v>218.0</v>
      </c>
      <c r="K1720" s="28"/>
      <c r="L1720" s="28" t="s">
        <v>5843</v>
      </c>
      <c r="M1720" s="28" t="s">
        <v>3465</v>
      </c>
      <c r="N1720" s="28">
        <v>1974.0</v>
      </c>
      <c r="O1720" s="60">
        <v>15.0</v>
      </c>
      <c r="P1720" s="28">
        <v>1.0</v>
      </c>
      <c r="Q1720" s="33">
        <v>1.0</v>
      </c>
      <c r="R1720" s="33"/>
      <c r="S1720" s="34"/>
      <c r="T1720" s="34"/>
      <c r="U1720" s="34"/>
      <c r="V1720" s="34"/>
      <c r="W1720" s="34"/>
      <c r="X1720" s="34"/>
      <c r="Y1720" s="45"/>
      <c r="Z1720" s="45"/>
      <c r="AA1720" s="45"/>
      <c r="AB1720" s="45"/>
      <c r="AC1720" s="45"/>
      <c r="AD1720" s="45"/>
      <c r="AE1720" s="45"/>
      <c r="AF1720" s="45"/>
      <c r="AG1720" s="45"/>
      <c r="AH1720" s="45"/>
      <c r="AI1720" s="45"/>
      <c r="AJ1720" s="45"/>
      <c r="AK1720" s="45"/>
      <c r="AL1720" s="45"/>
    </row>
    <row r="1721" ht="15.75" customHeight="1">
      <c r="A1721" s="27">
        <f t="shared" si="21"/>
        <v>600</v>
      </c>
      <c r="B1721" s="132" t="s">
        <v>5841</v>
      </c>
      <c r="C1721" s="43" t="s">
        <v>5839</v>
      </c>
      <c r="D1721" s="200" t="s">
        <v>5842</v>
      </c>
      <c r="E1721" s="33"/>
      <c r="F1721" s="28" t="s">
        <v>29</v>
      </c>
      <c r="G1721" s="28" t="s">
        <v>131</v>
      </c>
      <c r="H1721" s="33"/>
      <c r="I1721" s="28" t="s">
        <v>38</v>
      </c>
      <c r="J1721" s="132">
        <v>218.0</v>
      </c>
      <c r="K1721" s="33"/>
      <c r="L1721" s="28" t="s">
        <v>5843</v>
      </c>
      <c r="M1721" s="28" t="s">
        <v>3465</v>
      </c>
      <c r="N1721" s="132">
        <v>2003.0</v>
      </c>
      <c r="O1721" s="60">
        <v>15.0</v>
      </c>
      <c r="P1721" s="132">
        <v>1.0</v>
      </c>
      <c r="Q1721" s="132">
        <v>1.0</v>
      </c>
      <c r="R1721" s="84"/>
      <c r="S1721" s="185"/>
      <c r="T1721" s="185"/>
      <c r="U1721" s="185"/>
      <c r="V1721" s="185"/>
      <c r="W1721" s="185"/>
      <c r="X1721" s="185"/>
      <c r="Y1721" s="45"/>
      <c r="Z1721" s="45"/>
      <c r="AA1721" s="45"/>
      <c r="AB1721" s="45"/>
      <c r="AC1721" s="45"/>
      <c r="AD1721" s="45"/>
      <c r="AE1721" s="45"/>
      <c r="AF1721" s="45"/>
      <c r="AG1721" s="45"/>
      <c r="AH1721" s="45"/>
      <c r="AI1721" s="45"/>
      <c r="AJ1721" s="45"/>
      <c r="AK1721" s="45"/>
      <c r="AL1721" s="45"/>
    </row>
    <row r="1722" ht="15.75" customHeight="1">
      <c r="A1722" s="27">
        <f t="shared" si="21"/>
        <v>601</v>
      </c>
      <c r="B1722" s="28" t="s">
        <v>5844</v>
      </c>
      <c r="C1722" s="43" t="s">
        <v>5845</v>
      </c>
      <c r="D1722" s="30" t="s">
        <v>5846</v>
      </c>
      <c r="E1722" s="28"/>
      <c r="F1722" s="28" t="s">
        <v>29</v>
      </c>
      <c r="G1722" s="28" t="s">
        <v>37</v>
      </c>
      <c r="H1722" s="28" t="s">
        <v>31</v>
      </c>
      <c r="I1722" s="28" t="s">
        <v>38</v>
      </c>
      <c r="J1722" s="28">
        <v>96.0</v>
      </c>
      <c r="K1722" s="28"/>
      <c r="L1722" s="28" t="s">
        <v>5847</v>
      </c>
      <c r="M1722" s="28" t="s">
        <v>2428</v>
      </c>
      <c r="N1722" s="28">
        <v>1981.0</v>
      </c>
      <c r="O1722" s="60">
        <v>15.0</v>
      </c>
      <c r="P1722" s="28">
        <v>1.0</v>
      </c>
      <c r="Q1722" s="94">
        <v>1.0</v>
      </c>
      <c r="R1722" s="33"/>
      <c r="S1722" s="34"/>
      <c r="T1722" s="34"/>
      <c r="U1722" s="34"/>
      <c r="V1722" s="34"/>
      <c r="W1722" s="34"/>
      <c r="X1722" s="34"/>
      <c r="Y1722" s="45"/>
      <c r="Z1722" s="45"/>
      <c r="AA1722" s="45"/>
      <c r="AB1722" s="45"/>
      <c r="AC1722" s="45"/>
      <c r="AD1722" s="45"/>
      <c r="AE1722" s="45"/>
      <c r="AF1722" s="45"/>
      <c r="AG1722" s="45"/>
      <c r="AH1722" s="45"/>
      <c r="AI1722" s="45"/>
      <c r="AJ1722" s="45"/>
      <c r="AK1722" s="45"/>
      <c r="AL1722" s="45"/>
    </row>
    <row r="1723" ht="15.75" customHeight="1">
      <c r="A1723" s="27">
        <f t="shared" si="21"/>
        <v>602</v>
      </c>
      <c r="B1723" s="83"/>
      <c r="C1723" s="121" t="s">
        <v>5848</v>
      </c>
      <c r="D1723" s="119" t="s">
        <v>5849</v>
      </c>
      <c r="E1723" s="83"/>
      <c r="F1723" s="121"/>
      <c r="G1723" s="121" t="s">
        <v>38</v>
      </c>
      <c r="H1723" s="83"/>
      <c r="I1723" s="121" t="s">
        <v>38</v>
      </c>
      <c r="J1723" s="121">
        <v>244.0</v>
      </c>
      <c r="K1723" s="83"/>
      <c r="L1723" s="121" t="s">
        <v>5850</v>
      </c>
      <c r="M1723" s="121" t="s">
        <v>54</v>
      </c>
      <c r="N1723" s="121">
        <v>1952.0</v>
      </c>
      <c r="O1723" s="60">
        <v>15.0</v>
      </c>
      <c r="P1723" s="121">
        <v>1.0</v>
      </c>
      <c r="Q1723" s="121">
        <v>1.0</v>
      </c>
      <c r="R1723" s="84"/>
      <c r="S1723" s="34"/>
      <c r="T1723" s="34"/>
      <c r="U1723" s="34"/>
      <c r="V1723" s="34"/>
      <c r="W1723" s="34"/>
      <c r="X1723" s="34"/>
      <c r="Y1723" s="45"/>
      <c r="Z1723" s="45"/>
      <c r="AA1723" s="45"/>
      <c r="AB1723" s="45"/>
      <c r="AC1723" s="45"/>
      <c r="AD1723" s="45"/>
      <c r="AE1723" s="45"/>
      <c r="AF1723" s="45"/>
      <c r="AG1723" s="45"/>
      <c r="AH1723" s="45"/>
      <c r="AI1723" s="45"/>
      <c r="AJ1723" s="45"/>
      <c r="AK1723" s="45"/>
      <c r="AL1723" s="45"/>
    </row>
    <row r="1724" ht="15.75" customHeight="1">
      <c r="A1724" s="27">
        <f t="shared" si="21"/>
        <v>603</v>
      </c>
      <c r="B1724" s="28" t="s">
        <v>31</v>
      </c>
      <c r="C1724" s="43" t="s">
        <v>5851</v>
      </c>
      <c r="D1724" s="30" t="s">
        <v>5852</v>
      </c>
      <c r="E1724" s="28" t="s">
        <v>31</v>
      </c>
      <c r="F1724" s="28" t="s">
        <v>29</v>
      </c>
      <c r="G1724" s="28" t="s">
        <v>38</v>
      </c>
      <c r="H1724" s="28"/>
      <c r="I1724" s="28" t="s">
        <v>38</v>
      </c>
      <c r="J1724" s="28">
        <v>351.0</v>
      </c>
      <c r="K1724" s="28"/>
      <c r="L1724" s="28" t="s">
        <v>5853</v>
      </c>
      <c r="M1724" s="28" t="s">
        <v>54</v>
      </c>
      <c r="N1724" s="28">
        <v>1961.0</v>
      </c>
      <c r="O1724" s="60">
        <v>15.0</v>
      </c>
      <c r="P1724" s="28">
        <v>1.0</v>
      </c>
      <c r="Q1724" s="94">
        <v>1.0</v>
      </c>
      <c r="R1724" s="33"/>
      <c r="S1724" s="34"/>
      <c r="T1724" s="34"/>
      <c r="U1724" s="34"/>
      <c r="V1724" s="34"/>
      <c r="W1724" s="34"/>
      <c r="X1724" s="34"/>
      <c r="Y1724" s="45"/>
      <c r="Z1724" s="45"/>
      <c r="AA1724" s="45"/>
      <c r="AB1724" s="45"/>
      <c r="AC1724" s="45"/>
      <c r="AD1724" s="45"/>
      <c r="AE1724" s="45"/>
      <c r="AF1724" s="45"/>
      <c r="AG1724" s="45"/>
      <c r="AH1724" s="45"/>
      <c r="AI1724" s="45"/>
      <c r="AJ1724" s="45"/>
      <c r="AK1724" s="45"/>
      <c r="AL1724" s="45"/>
    </row>
    <row r="1725" ht="15.75" customHeight="1">
      <c r="A1725" s="27">
        <f t="shared" si="21"/>
        <v>604</v>
      </c>
      <c r="B1725" s="28" t="s">
        <v>5854</v>
      </c>
      <c r="C1725" s="43" t="s">
        <v>5855</v>
      </c>
      <c r="D1725" s="30" t="s">
        <v>5856</v>
      </c>
      <c r="E1725" s="28" t="s">
        <v>31</v>
      </c>
      <c r="F1725" s="28" t="s">
        <v>29</v>
      </c>
      <c r="G1725" s="28" t="s">
        <v>37</v>
      </c>
      <c r="H1725" s="28"/>
      <c r="I1725" s="28" t="s">
        <v>38</v>
      </c>
      <c r="J1725" s="28">
        <v>98.0</v>
      </c>
      <c r="K1725" s="28"/>
      <c r="L1725" s="28" t="s">
        <v>1210</v>
      </c>
      <c r="M1725" s="28" t="s">
        <v>5857</v>
      </c>
      <c r="N1725" s="28">
        <v>1996.0</v>
      </c>
      <c r="O1725" s="60">
        <v>15.0</v>
      </c>
      <c r="P1725" s="28">
        <v>1.0</v>
      </c>
      <c r="Q1725" s="94">
        <v>1.0</v>
      </c>
      <c r="R1725" s="33"/>
      <c r="S1725" s="34"/>
      <c r="T1725" s="34"/>
      <c r="U1725" s="34"/>
      <c r="V1725" s="34"/>
      <c r="W1725" s="34"/>
      <c r="X1725" s="34"/>
      <c r="Y1725" s="45"/>
      <c r="Z1725" s="45"/>
      <c r="AA1725" s="45"/>
      <c r="AB1725" s="45"/>
      <c r="AC1725" s="45"/>
      <c r="AD1725" s="45"/>
      <c r="AE1725" s="45"/>
      <c r="AF1725" s="45"/>
      <c r="AG1725" s="45"/>
      <c r="AH1725" s="45"/>
      <c r="AI1725" s="45"/>
      <c r="AJ1725" s="45"/>
      <c r="AK1725" s="45"/>
      <c r="AL1725" s="45"/>
    </row>
    <row r="1726" ht="15.75" customHeight="1">
      <c r="A1726" s="27">
        <f t="shared" si="21"/>
        <v>605</v>
      </c>
      <c r="B1726" s="28" t="s">
        <v>31</v>
      </c>
      <c r="C1726" s="43" t="s">
        <v>5858</v>
      </c>
      <c r="D1726" s="30" t="s">
        <v>5859</v>
      </c>
      <c r="E1726" s="28" t="s">
        <v>31</v>
      </c>
      <c r="F1726" s="28" t="s">
        <v>29</v>
      </c>
      <c r="G1726" s="28" t="s">
        <v>37</v>
      </c>
      <c r="H1726" s="28"/>
      <c r="I1726" s="28" t="s">
        <v>38</v>
      </c>
      <c r="J1726" s="28">
        <v>22.0</v>
      </c>
      <c r="K1726" s="28"/>
      <c r="L1726" s="28" t="s">
        <v>5860</v>
      </c>
      <c r="M1726" s="28" t="s">
        <v>1203</v>
      </c>
      <c r="N1726" s="28" t="s">
        <v>31</v>
      </c>
      <c r="O1726" s="60">
        <v>15.0</v>
      </c>
      <c r="P1726" s="60">
        <v>3.0</v>
      </c>
      <c r="Q1726" s="94">
        <v>3.0</v>
      </c>
      <c r="R1726" s="33"/>
      <c r="S1726" s="34"/>
      <c r="T1726" s="34"/>
      <c r="U1726" s="34"/>
      <c r="V1726" s="34"/>
      <c r="W1726" s="34"/>
      <c r="X1726" s="34"/>
      <c r="Y1726" s="45"/>
      <c r="Z1726" s="45"/>
      <c r="AA1726" s="45"/>
      <c r="AB1726" s="45"/>
      <c r="AC1726" s="45"/>
      <c r="AD1726" s="45"/>
      <c r="AE1726" s="45"/>
      <c r="AF1726" s="45"/>
      <c r="AG1726" s="45"/>
      <c r="AH1726" s="45"/>
      <c r="AI1726" s="45"/>
      <c r="AJ1726" s="45"/>
      <c r="AK1726" s="45"/>
      <c r="AL1726" s="45"/>
    </row>
    <row r="1727" ht="15.75" customHeight="1">
      <c r="A1727" s="27">
        <f t="shared" si="21"/>
        <v>606</v>
      </c>
      <c r="B1727" s="28"/>
      <c r="C1727" s="43" t="s">
        <v>5861</v>
      </c>
      <c r="D1727" s="30" t="s">
        <v>5862</v>
      </c>
      <c r="E1727" s="28" t="s">
        <v>31</v>
      </c>
      <c r="F1727" s="28" t="s">
        <v>29</v>
      </c>
      <c r="G1727" s="28" t="s">
        <v>37</v>
      </c>
      <c r="H1727" s="28"/>
      <c r="I1727" s="28" t="s">
        <v>38</v>
      </c>
      <c r="J1727" s="28">
        <v>191.0</v>
      </c>
      <c r="K1727" s="28"/>
      <c r="L1727" s="28" t="s">
        <v>2387</v>
      </c>
      <c r="M1727" s="28" t="s">
        <v>2388</v>
      </c>
      <c r="N1727" s="28">
        <v>1973.0</v>
      </c>
      <c r="O1727" s="60">
        <v>15.0</v>
      </c>
      <c r="P1727" s="28">
        <v>2.0</v>
      </c>
      <c r="Q1727" s="94">
        <v>2.0</v>
      </c>
      <c r="R1727" s="33"/>
      <c r="S1727" s="34"/>
      <c r="T1727" s="34"/>
      <c r="U1727" s="34"/>
      <c r="V1727" s="34"/>
      <c r="W1727" s="34"/>
      <c r="X1727" s="34"/>
      <c r="Y1727" s="45"/>
      <c r="Z1727" s="45"/>
      <c r="AA1727" s="45"/>
      <c r="AB1727" s="45"/>
      <c r="AC1727" s="45"/>
      <c r="AD1727" s="45"/>
      <c r="AE1727" s="45"/>
      <c r="AF1727" s="45"/>
      <c r="AG1727" s="45"/>
      <c r="AH1727" s="45"/>
      <c r="AI1727" s="45"/>
      <c r="AJ1727" s="45"/>
      <c r="AK1727" s="45"/>
      <c r="AL1727" s="45"/>
    </row>
    <row r="1728" ht="15.75" customHeight="1">
      <c r="A1728" s="27">
        <f t="shared" si="21"/>
        <v>607</v>
      </c>
      <c r="B1728" s="28" t="s">
        <v>31</v>
      </c>
      <c r="C1728" s="43" t="s">
        <v>5863</v>
      </c>
      <c r="D1728" s="30" t="s">
        <v>5864</v>
      </c>
      <c r="E1728" s="28" t="s">
        <v>28</v>
      </c>
      <c r="F1728" s="28" t="s">
        <v>29</v>
      </c>
      <c r="G1728" s="28" t="s">
        <v>31</v>
      </c>
      <c r="H1728" s="28"/>
      <c r="I1728" s="28" t="s">
        <v>38</v>
      </c>
      <c r="J1728" s="28">
        <v>190.0</v>
      </c>
      <c r="K1728" s="28"/>
      <c r="L1728" s="28" t="s">
        <v>5865</v>
      </c>
      <c r="M1728" s="28" t="s">
        <v>5866</v>
      </c>
      <c r="N1728" s="28">
        <v>1970.0</v>
      </c>
      <c r="O1728" s="60">
        <v>15.0</v>
      </c>
      <c r="P1728" s="28">
        <v>1.0</v>
      </c>
      <c r="Q1728" s="94">
        <v>1.0</v>
      </c>
      <c r="R1728" s="33"/>
      <c r="S1728" s="116"/>
      <c r="T1728" s="116"/>
      <c r="U1728" s="116"/>
      <c r="V1728" s="116"/>
      <c r="W1728" s="116"/>
      <c r="X1728" s="116"/>
      <c r="Y1728" s="3"/>
      <c r="Z1728" s="3"/>
      <c r="AA1728" s="3"/>
      <c r="AB1728" s="3"/>
      <c r="AC1728" s="3"/>
      <c r="AD1728" s="3"/>
      <c r="AE1728" s="3"/>
      <c r="AF1728" s="3"/>
      <c r="AG1728" s="3"/>
      <c r="AH1728" s="3"/>
      <c r="AI1728" s="3"/>
      <c r="AJ1728" s="3"/>
      <c r="AK1728" s="3"/>
      <c r="AL1728" s="3"/>
    </row>
    <row r="1729" ht="15.75" customHeight="1">
      <c r="A1729" s="27">
        <f t="shared" si="21"/>
        <v>608</v>
      </c>
      <c r="B1729" s="28" t="s">
        <v>5867</v>
      </c>
      <c r="C1729" s="43" t="s">
        <v>5868</v>
      </c>
      <c r="D1729" s="30" t="s">
        <v>5869</v>
      </c>
      <c r="E1729" s="28" t="s">
        <v>31</v>
      </c>
      <c r="F1729" s="28" t="s">
        <v>29</v>
      </c>
      <c r="G1729" s="28" t="s">
        <v>30</v>
      </c>
      <c r="H1729" s="28"/>
      <c r="I1729" s="28" t="s">
        <v>30</v>
      </c>
      <c r="J1729" s="28">
        <v>598.0</v>
      </c>
      <c r="K1729" s="28"/>
      <c r="L1729" s="28" t="s">
        <v>5870</v>
      </c>
      <c r="M1729" s="28" t="s">
        <v>5871</v>
      </c>
      <c r="N1729" s="28">
        <v>1984.0</v>
      </c>
      <c r="O1729" s="60">
        <v>15.0</v>
      </c>
      <c r="P1729" s="28">
        <v>1.0</v>
      </c>
      <c r="Q1729" s="94">
        <v>1.0</v>
      </c>
      <c r="R1729" s="33"/>
      <c r="S1729" s="34"/>
      <c r="T1729" s="34"/>
      <c r="U1729" s="34"/>
      <c r="V1729" s="34"/>
      <c r="W1729" s="34"/>
      <c r="X1729" s="34"/>
      <c r="Y1729" s="45"/>
      <c r="Z1729" s="45"/>
      <c r="AA1729" s="45"/>
      <c r="AB1729" s="45"/>
      <c r="AC1729" s="45"/>
      <c r="AD1729" s="45"/>
      <c r="AE1729" s="45"/>
      <c r="AF1729" s="45"/>
      <c r="AG1729" s="45"/>
      <c r="AH1729" s="45"/>
      <c r="AI1729" s="45"/>
      <c r="AJ1729" s="45"/>
      <c r="AK1729" s="45"/>
      <c r="AL1729" s="45"/>
    </row>
    <row r="1730" ht="15.75" customHeight="1">
      <c r="A1730" s="27">
        <f t="shared" si="21"/>
        <v>609</v>
      </c>
      <c r="B1730" s="28" t="s">
        <v>5872</v>
      </c>
      <c r="C1730" s="43" t="s">
        <v>5873</v>
      </c>
      <c r="D1730" s="30" t="s">
        <v>5874</v>
      </c>
      <c r="E1730" s="28" t="s">
        <v>2863</v>
      </c>
      <c r="F1730" s="28" t="s">
        <v>29</v>
      </c>
      <c r="G1730" s="28" t="s">
        <v>37</v>
      </c>
      <c r="H1730" s="28"/>
      <c r="I1730" s="28" t="s">
        <v>38</v>
      </c>
      <c r="J1730" s="28">
        <f>537+10</f>
        <v>547</v>
      </c>
      <c r="K1730" s="28"/>
      <c r="L1730" s="28" t="s">
        <v>5870</v>
      </c>
      <c r="M1730" s="28" t="s">
        <v>5875</v>
      </c>
      <c r="N1730" s="28">
        <v>1984.0</v>
      </c>
      <c r="O1730" s="60">
        <v>15.0</v>
      </c>
      <c r="P1730" s="28">
        <v>1.0</v>
      </c>
      <c r="Q1730" s="94">
        <v>1.0</v>
      </c>
      <c r="R1730" s="33"/>
      <c r="S1730" s="34"/>
      <c r="T1730" s="34"/>
      <c r="U1730" s="34"/>
      <c r="V1730" s="34"/>
      <c r="W1730" s="34"/>
      <c r="X1730" s="34"/>
      <c r="Y1730" s="45"/>
      <c r="Z1730" s="45"/>
      <c r="AA1730" s="45"/>
      <c r="AB1730" s="45"/>
      <c r="AC1730" s="45"/>
      <c r="AD1730" s="45"/>
      <c r="AE1730" s="45"/>
      <c r="AF1730" s="45"/>
      <c r="AG1730" s="45"/>
      <c r="AH1730" s="45"/>
      <c r="AI1730" s="45"/>
      <c r="AJ1730" s="45"/>
      <c r="AK1730" s="45"/>
      <c r="AL1730" s="45"/>
    </row>
    <row r="1731" ht="15.75" customHeight="1">
      <c r="A1731" s="27">
        <f t="shared" si="21"/>
        <v>610</v>
      </c>
      <c r="B1731" s="28"/>
      <c r="C1731" s="43" t="s">
        <v>5876</v>
      </c>
      <c r="D1731" s="30" t="s">
        <v>5877</v>
      </c>
      <c r="E1731" s="28" t="s">
        <v>31</v>
      </c>
      <c r="F1731" s="28" t="s">
        <v>29</v>
      </c>
      <c r="G1731" s="28" t="s">
        <v>30</v>
      </c>
      <c r="H1731" s="28"/>
      <c r="I1731" s="28" t="s">
        <v>30</v>
      </c>
      <c r="J1731" s="28">
        <v>19.0</v>
      </c>
      <c r="K1731" s="28"/>
      <c r="L1731" s="28" t="s">
        <v>5878</v>
      </c>
      <c r="M1731" s="28" t="s">
        <v>151</v>
      </c>
      <c r="N1731" s="28">
        <v>19691.0</v>
      </c>
      <c r="O1731" s="60">
        <v>15.0</v>
      </c>
      <c r="P1731" s="28">
        <v>1.0</v>
      </c>
      <c r="Q1731" s="94">
        <v>1.0</v>
      </c>
      <c r="R1731" s="33"/>
      <c r="S1731" s="34"/>
      <c r="T1731" s="34"/>
      <c r="U1731" s="34"/>
      <c r="V1731" s="34"/>
      <c r="W1731" s="34"/>
      <c r="X1731" s="34"/>
      <c r="Y1731" s="45"/>
      <c r="Z1731" s="45"/>
      <c r="AA1731" s="45"/>
      <c r="AB1731" s="45"/>
      <c r="AC1731" s="45"/>
      <c r="AD1731" s="45"/>
      <c r="AE1731" s="45"/>
      <c r="AF1731" s="45"/>
      <c r="AG1731" s="45"/>
      <c r="AH1731" s="45"/>
      <c r="AI1731" s="45"/>
      <c r="AJ1731" s="45"/>
      <c r="AK1731" s="45"/>
      <c r="AL1731" s="45"/>
    </row>
    <row r="1732" ht="15.75" customHeight="1">
      <c r="A1732" s="27">
        <f t="shared" si="21"/>
        <v>611</v>
      </c>
      <c r="B1732" s="33"/>
      <c r="C1732" s="132" t="s">
        <v>5879</v>
      </c>
      <c r="D1732" s="131" t="s">
        <v>5880</v>
      </c>
      <c r="E1732" s="33"/>
      <c r="F1732" s="132" t="s">
        <v>29</v>
      </c>
      <c r="G1732" s="132" t="s">
        <v>30</v>
      </c>
      <c r="H1732" s="33"/>
      <c r="I1732" s="132" t="s">
        <v>30</v>
      </c>
      <c r="J1732" s="132">
        <v>180.0</v>
      </c>
      <c r="K1732" s="33"/>
      <c r="L1732" s="33"/>
      <c r="M1732" s="132" t="s">
        <v>5881</v>
      </c>
      <c r="N1732" s="132">
        <v>2016.0</v>
      </c>
      <c r="O1732" s="60">
        <v>15.0</v>
      </c>
      <c r="P1732" s="132">
        <v>1.0</v>
      </c>
      <c r="Q1732" s="132">
        <v>1.0</v>
      </c>
      <c r="R1732" s="84"/>
      <c r="S1732" s="34"/>
      <c r="T1732" s="34"/>
      <c r="U1732" s="34"/>
      <c r="V1732" s="34"/>
      <c r="W1732" s="34"/>
      <c r="X1732" s="34"/>
      <c r="Y1732" s="45"/>
      <c r="Z1732" s="45"/>
      <c r="AA1732" s="45"/>
      <c r="AB1732" s="45"/>
      <c r="AC1732" s="45"/>
      <c r="AD1732" s="45"/>
      <c r="AE1732" s="45"/>
      <c r="AF1732" s="45"/>
      <c r="AG1732" s="45"/>
      <c r="AH1732" s="45"/>
      <c r="AI1732" s="45"/>
      <c r="AJ1732" s="45"/>
      <c r="AK1732" s="45"/>
      <c r="AL1732" s="45"/>
    </row>
    <row r="1733" ht="15.75" customHeight="1">
      <c r="A1733" s="27">
        <f t="shared" si="21"/>
        <v>612</v>
      </c>
      <c r="B1733" s="28" t="s">
        <v>31</v>
      </c>
      <c r="C1733" s="43" t="s">
        <v>5882</v>
      </c>
      <c r="D1733" s="30" t="s">
        <v>5883</v>
      </c>
      <c r="E1733" s="28" t="s">
        <v>31</v>
      </c>
      <c r="F1733" s="28" t="s">
        <v>29</v>
      </c>
      <c r="G1733" s="28" t="s">
        <v>2489</v>
      </c>
      <c r="H1733" s="28"/>
      <c r="I1733" s="28" t="s">
        <v>38</v>
      </c>
      <c r="J1733" s="28">
        <v>336.0</v>
      </c>
      <c r="K1733" s="28"/>
      <c r="L1733" s="28" t="s">
        <v>5884</v>
      </c>
      <c r="M1733" s="28" t="s">
        <v>5885</v>
      </c>
      <c r="N1733" s="28">
        <v>1996.0</v>
      </c>
      <c r="O1733" s="60">
        <v>15.0</v>
      </c>
      <c r="P1733" s="28">
        <v>2.0</v>
      </c>
      <c r="Q1733" s="94">
        <v>2.0</v>
      </c>
      <c r="R1733" s="33"/>
      <c r="S1733" s="116"/>
      <c r="T1733" s="116"/>
      <c r="U1733" s="116"/>
      <c r="V1733" s="116"/>
      <c r="W1733" s="116"/>
      <c r="X1733" s="116"/>
      <c r="Y1733" s="45"/>
      <c r="Z1733" s="45"/>
      <c r="AA1733" s="45"/>
      <c r="AB1733" s="45"/>
      <c r="AC1733" s="45"/>
      <c r="AD1733" s="45"/>
      <c r="AE1733" s="45"/>
      <c r="AF1733" s="45"/>
      <c r="AG1733" s="45"/>
      <c r="AH1733" s="45"/>
      <c r="AI1733" s="45"/>
      <c r="AJ1733" s="45"/>
      <c r="AK1733" s="45"/>
      <c r="AL1733" s="45"/>
    </row>
    <row r="1734" ht="15.75" customHeight="1">
      <c r="A1734" s="27">
        <f t="shared" si="21"/>
        <v>613</v>
      </c>
      <c r="B1734" s="28" t="s">
        <v>5886</v>
      </c>
      <c r="C1734" s="43" t="s">
        <v>5887</v>
      </c>
      <c r="D1734" s="30" t="s">
        <v>5888</v>
      </c>
      <c r="E1734" s="28" t="s">
        <v>31</v>
      </c>
      <c r="F1734" s="28" t="s">
        <v>29</v>
      </c>
      <c r="G1734" s="28" t="s">
        <v>38</v>
      </c>
      <c r="H1734" s="28"/>
      <c r="I1734" s="28" t="s">
        <v>38</v>
      </c>
      <c r="J1734" s="28">
        <v>171.0</v>
      </c>
      <c r="K1734" s="28"/>
      <c r="L1734" s="28" t="s">
        <v>5889</v>
      </c>
      <c r="M1734" s="28" t="s">
        <v>54</v>
      </c>
      <c r="N1734" s="28">
        <v>1972.0</v>
      </c>
      <c r="O1734" s="60">
        <v>15.0</v>
      </c>
      <c r="P1734" s="28">
        <v>1.0</v>
      </c>
      <c r="Q1734" s="94">
        <v>1.0</v>
      </c>
      <c r="R1734" s="33"/>
      <c r="S1734" s="34"/>
      <c r="T1734" s="34"/>
      <c r="U1734" s="34"/>
      <c r="V1734" s="34"/>
      <c r="W1734" s="34"/>
      <c r="X1734" s="34"/>
      <c r="Y1734" s="45"/>
      <c r="Z1734" s="45"/>
      <c r="AA1734" s="45"/>
      <c r="AB1734" s="45"/>
      <c r="AC1734" s="45"/>
      <c r="AD1734" s="45"/>
      <c r="AE1734" s="45"/>
      <c r="AF1734" s="45"/>
      <c r="AG1734" s="45"/>
      <c r="AH1734" s="45"/>
      <c r="AI1734" s="45"/>
      <c r="AJ1734" s="45"/>
      <c r="AK1734" s="45"/>
      <c r="AL1734" s="45"/>
    </row>
    <row r="1735" ht="15.75" customHeight="1">
      <c r="A1735" s="27">
        <f t="shared" si="21"/>
        <v>614</v>
      </c>
      <c r="B1735" s="28"/>
      <c r="C1735" s="43" t="s">
        <v>5890</v>
      </c>
      <c r="D1735" s="30" t="s">
        <v>5891</v>
      </c>
      <c r="E1735" s="28" t="s">
        <v>31</v>
      </c>
      <c r="F1735" s="28" t="s">
        <v>29</v>
      </c>
      <c r="G1735" s="28" t="s">
        <v>131</v>
      </c>
      <c r="H1735" s="28"/>
      <c r="I1735" s="28" t="s">
        <v>38</v>
      </c>
      <c r="J1735" s="28">
        <v>261.0</v>
      </c>
      <c r="K1735" s="28"/>
      <c r="L1735" s="28" t="s">
        <v>5892</v>
      </c>
      <c r="M1735" s="28" t="s">
        <v>54</v>
      </c>
      <c r="N1735" s="28">
        <v>1960.0</v>
      </c>
      <c r="O1735" s="60">
        <v>15.0</v>
      </c>
      <c r="P1735" s="28">
        <v>1.0</v>
      </c>
      <c r="Q1735" s="94">
        <v>1.0</v>
      </c>
      <c r="R1735" s="33"/>
      <c r="S1735" s="34"/>
      <c r="T1735" s="34"/>
      <c r="U1735" s="34"/>
      <c r="V1735" s="34"/>
      <c r="W1735" s="34"/>
      <c r="X1735" s="34"/>
      <c r="Y1735" s="3"/>
      <c r="Z1735" s="3"/>
      <c r="AA1735" s="3"/>
      <c r="AB1735" s="3"/>
      <c r="AC1735" s="3"/>
      <c r="AD1735" s="3"/>
      <c r="AE1735" s="3"/>
      <c r="AF1735" s="3"/>
      <c r="AG1735" s="3"/>
      <c r="AH1735" s="3"/>
      <c r="AI1735" s="3"/>
      <c r="AJ1735" s="3"/>
      <c r="AK1735" s="3"/>
      <c r="AL1735" s="3"/>
    </row>
    <row r="1736" ht="15.75" customHeight="1">
      <c r="A1736" s="27">
        <f t="shared" si="21"/>
        <v>615</v>
      </c>
      <c r="B1736" s="28" t="s">
        <v>31</v>
      </c>
      <c r="C1736" s="43" t="s">
        <v>5893</v>
      </c>
      <c r="D1736" s="30" t="s">
        <v>5894</v>
      </c>
      <c r="E1736" s="28" t="s">
        <v>31</v>
      </c>
      <c r="F1736" s="28" t="s">
        <v>29</v>
      </c>
      <c r="G1736" s="28" t="s">
        <v>38</v>
      </c>
      <c r="H1736" s="28"/>
      <c r="I1736" s="28" t="s">
        <v>38</v>
      </c>
      <c r="J1736" s="28">
        <v>237.0</v>
      </c>
      <c r="K1736" s="28"/>
      <c r="L1736" s="28" t="s">
        <v>5895</v>
      </c>
      <c r="M1736" s="28" t="s">
        <v>72</v>
      </c>
      <c r="N1736" s="28">
        <v>1963.0</v>
      </c>
      <c r="O1736" s="60">
        <v>15.0</v>
      </c>
      <c r="P1736" s="28">
        <v>1.0</v>
      </c>
      <c r="Q1736" s="94">
        <v>1.0</v>
      </c>
      <c r="R1736" s="33"/>
      <c r="S1736" s="34"/>
      <c r="T1736" s="34"/>
      <c r="U1736" s="34"/>
      <c r="V1736" s="34"/>
      <c r="W1736" s="34"/>
      <c r="X1736" s="34"/>
      <c r="Y1736" s="3"/>
      <c r="Z1736" s="3"/>
      <c r="AA1736" s="3"/>
      <c r="AB1736" s="3"/>
      <c r="AC1736" s="3"/>
      <c r="AD1736" s="3"/>
      <c r="AE1736" s="3"/>
      <c r="AF1736" s="3"/>
      <c r="AG1736" s="3"/>
      <c r="AH1736" s="3"/>
      <c r="AI1736" s="3"/>
      <c r="AJ1736" s="3"/>
      <c r="AK1736" s="3"/>
      <c r="AL1736" s="3"/>
    </row>
    <row r="1737" ht="15.75" customHeight="1">
      <c r="A1737" s="27">
        <f t="shared" si="21"/>
        <v>616</v>
      </c>
      <c r="B1737" s="83"/>
      <c r="C1737" s="121" t="s">
        <v>5896</v>
      </c>
      <c r="D1737" s="119" t="s">
        <v>5897</v>
      </c>
      <c r="E1737" s="83"/>
      <c r="F1737" s="83"/>
      <c r="G1737" s="83"/>
      <c r="H1737" s="83"/>
      <c r="I1737" s="121" t="s">
        <v>30</v>
      </c>
      <c r="J1737" s="121">
        <v>52.0</v>
      </c>
      <c r="K1737" s="83"/>
      <c r="L1737" s="121" t="s">
        <v>5898</v>
      </c>
      <c r="M1737" s="121" t="s">
        <v>4212</v>
      </c>
      <c r="N1737" s="121">
        <v>2003.0</v>
      </c>
      <c r="O1737" s="60">
        <v>15.0</v>
      </c>
      <c r="P1737" s="121">
        <v>1.0</v>
      </c>
      <c r="Q1737" s="121">
        <v>1.0</v>
      </c>
      <c r="R1737" s="84"/>
      <c r="S1737" s="34"/>
      <c r="T1737" s="34"/>
      <c r="U1737" s="34"/>
      <c r="V1737" s="34"/>
      <c r="W1737" s="34"/>
      <c r="X1737" s="34"/>
      <c r="Y1737" s="45"/>
      <c r="Z1737" s="45"/>
      <c r="AA1737" s="45"/>
      <c r="AB1737" s="45"/>
      <c r="AC1737" s="45"/>
      <c r="AD1737" s="45"/>
      <c r="AE1737" s="45"/>
      <c r="AF1737" s="45"/>
      <c r="AG1737" s="45"/>
      <c r="AH1737" s="45"/>
      <c r="AI1737" s="45"/>
      <c r="AJ1737" s="45"/>
      <c r="AK1737" s="45"/>
      <c r="AL1737" s="45"/>
    </row>
    <row r="1738" ht="15.75" customHeight="1">
      <c r="A1738" s="27">
        <f t="shared" si="21"/>
        <v>617</v>
      </c>
      <c r="B1738" s="28" t="s">
        <v>5899</v>
      </c>
      <c r="C1738" s="43" t="s">
        <v>5900</v>
      </c>
      <c r="D1738" s="30" t="s">
        <v>5901</v>
      </c>
      <c r="E1738" s="28" t="s">
        <v>31</v>
      </c>
      <c r="F1738" s="28" t="s">
        <v>29</v>
      </c>
      <c r="G1738" s="28" t="s">
        <v>37</v>
      </c>
      <c r="H1738" s="28"/>
      <c r="I1738" s="28" t="s">
        <v>38</v>
      </c>
      <c r="J1738" s="28">
        <v>231.0</v>
      </c>
      <c r="K1738" s="28"/>
      <c r="L1738" s="28" t="s">
        <v>5902</v>
      </c>
      <c r="M1738" s="28" t="s">
        <v>5903</v>
      </c>
      <c r="N1738" s="28">
        <v>1991.0</v>
      </c>
      <c r="O1738" s="60">
        <v>15.0</v>
      </c>
      <c r="P1738" s="28">
        <v>1.0</v>
      </c>
      <c r="Q1738" s="94">
        <v>1.0</v>
      </c>
      <c r="R1738" s="33"/>
      <c r="S1738" s="34"/>
      <c r="T1738" s="34"/>
      <c r="U1738" s="34"/>
      <c r="V1738" s="34"/>
      <c r="W1738" s="34"/>
      <c r="X1738" s="34"/>
      <c r="Y1738" s="3"/>
      <c r="Z1738" s="3"/>
      <c r="AA1738" s="3"/>
      <c r="AB1738" s="3"/>
      <c r="AC1738" s="3"/>
      <c r="AD1738" s="3"/>
      <c r="AE1738" s="3"/>
      <c r="AF1738" s="3"/>
      <c r="AG1738" s="3"/>
      <c r="AH1738" s="3"/>
      <c r="AI1738" s="3"/>
      <c r="AJ1738" s="3"/>
      <c r="AK1738" s="3"/>
      <c r="AL1738" s="3"/>
    </row>
    <row r="1739" ht="15.75" customHeight="1">
      <c r="A1739" s="27">
        <f t="shared" si="21"/>
        <v>618</v>
      </c>
      <c r="B1739" s="83"/>
      <c r="C1739" s="121" t="s">
        <v>5904</v>
      </c>
      <c r="D1739" s="119" t="s">
        <v>5905</v>
      </c>
      <c r="E1739" s="83"/>
      <c r="F1739" s="83"/>
      <c r="G1739" s="121" t="s">
        <v>38</v>
      </c>
      <c r="H1739" s="83"/>
      <c r="I1739" s="121" t="s">
        <v>38</v>
      </c>
      <c r="J1739" s="121">
        <v>196.0</v>
      </c>
      <c r="K1739" s="83"/>
      <c r="L1739" s="121" t="s">
        <v>5906</v>
      </c>
      <c r="M1739" s="121" t="s">
        <v>54</v>
      </c>
      <c r="N1739" s="121">
        <v>1967.0</v>
      </c>
      <c r="O1739" s="60">
        <v>15.0</v>
      </c>
      <c r="P1739" s="121">
        <v>1.0</v>
      </c>
      <c r="Q1739" s="121">
        <v>1.0</v>
      </c>
      <c r="R1739" s="84"/>
      <c r="S1739" s="34"/>
      <c r="T1739" s="34"/>
      <c r="U1739" s="34"/>
      <c r="V1739" s="34"/>
      <c r="W1739" s="34"/>
      <c r="X1739" s="34"/>
      <c r="Y1739" s="3"/>
      <c r="Z1739" s="3"/>
      <c r="AA1739" s="3"/>
      <c r="AB1739" s="3"/>
      <c r="AC1739" s="3"/>
      <c r="AD1739" s="3"/>
      <c r="AE1739" s="3"/>
      <c r="AF1739" s="3"/>
      <c r="AG1739" s="3"/>
      <c r="AH1739" s="3"/>
      <c r="AI1739" s="3"/>
      <c r="AJ1739" s="3"/>
      <c r="AK1739" s="3"/>
      <c r="AL1739" s="3"/>
    </row>
    <row r="1740" ht="15.75" customHeight="1">
      <c r="A1740" s="27">
        <f t="shared" si="21"/>
        <v>619</v>
      </c>
      <c r="B1740" s="28" t="s">
        <v>31</v>
      </c>
      <c r="C1740" s="43" t="s">
        <v>5907</v>
      </c>
      <c r="D1740" s="30" t="s">
        <v>5908</v>
      </c>
      <c r="E1740" s="28" t="s">
        <v>31</v>
      </c>
      <c r="F1740" s="28" t="s">
        <v>29</v>
      </c>
      <c r="G1740" s="28" t="s">
        <v>31</v>
      </c>
      <c r="H1740" s="28"/>
      <c r="I1740" s="28" t="s">
        <v>38</v>
      </c>
      <c r="J1740" s="28">
        <v>250.0</v>
      </c>
      <c r="K1740" s="28"/>
      <c r="L1740" s="28" t="s">
        <v>5909</v>
      </c>
      <c r="M1740" s="28" t="s">
        <v>5910</v>
      </c>
      <c r="N1740" s="28">
        <v>1858.0</v>
      </c>
      <c r="O1740" s="60">
        <v>15.0</v>
      </c>
      <c r="P1740" s="28">
        <v>1.0</v>
      </c>
      <c r="Q1740" s="94">
        <v>1.0</v>
      </c>
      <c r="R1740" s="33"/>
      <c r="S1740" s="34"/>
      <c r="T1740" s="34"/>
      <c r="U1740" s="34"/>
      <c r="V1740" s="34"/>
      <c r="W1740" s="34"/>
      <c r="X1740" s="34"/>
      <c r="Y1740" s="45"/>
      <c r="Z1740" s="45"/>
      <c r="AA1740" s="45"/>
      <c r="AB1740" s="45"/>
      <c r="AC1740" s="45"/>
      <c r="AD1740" s="45"/>
      <c r="AE1740" s="45"/>
      <c r="AF1740" s="45"/>
      <c r="AG1740" s="45"/>
      <c r="AH1740" s="45"/>
      <c r="AI1740" s="45"/>
      <c r="AJ1740" s="45"/>
      <c r="AK1740" s="45"/>
      <c r="AL1740" s="45"/>
    </row>
    <row r="1741" ht="15.75" customHeight="1">
      <c r="A1741" s="27">
        <f t="shared" si="21"/>
        <v>620</v>
      </c>
      <c r="B1741" s="28" t="s">
        <v>31</v>
      </c>
      <c r="C1741" s="43" t="s">
        <v>5911</v>
      </c>
      <c r="D1741" s="30" t="s">
        <v>5912</v>
      </c>
      <c r="E1741" s="28" t="s">
        <v>31</v>
      </c>
      <c r="F1741" s="28" t="s">
        <v>29</v>
      </c>
      <c r="G1741" s="28" t="s">
        <v>37</v>
      </c>
      <c r="H1741" s="28"/>
      <c r="I1741" s="28" t="s">
        <v>38</v>
      </c>
      <c r="J1741" s="28">
        <v>16.0</v>
      </c>
      <c r="K1741" s="28"/>
      <c r="L1741" s="28" t="s">
        <v>5913</v>
      </c>
      <c r="M1741" s="28" t="s">
        <v>1203</v>
      </c>
      <c r="N1741" s="28" t="s">
        <v>31</v>
      </c>
      <c r="O1741" s="121">
        <v>15.0</v>
      </c>
      <c r="P1741" s="28">
        <v>1.0</v>
      </c>
      <c r="Q1741" s="94">
        <v>1.0</v>
      </c>
      <c r="R1741" s="33"/>
      <c r="S1741" s="34"/>
      <c r="T1741" s="34"/>
      <c r="U1741" s="34"/>
      <c r="V1741" s="34"/>
      <c r="W1741" s="34"/>
      <c r="X1741" s="34"/>
      <c r="Y1741" s="3"/>
      <c r="Z1741" s="3"/>
      <c r="AA1741" s="3"/>
      <c r="AB1741" s="3"/>
      <c r="AC1741" s="3"/>
      <c r="AD1741" s="3"/>
      <c r="AE1741" s="3"/>
      <c r="AF1741" s="3"/>
      <c r="AG1741" s="3"/>
      <c r="AH1741" s="3"/>
      <c r="AI1741" s="3"/>
      <c r="AJ1741" s="3"/>
      <c r="AK1741" s="3"/>
      <c r="AL1741" s="3"/>
    </row>
    <row r="1742" ht="15.75" customHeight="1">
      <c r="A1742" s="27">
        <f t="shared" si="21"/>
        <v>621</v>
      </c>
      <c r="B1742" s="28" t="s">
        <v>31</v>
      </c>
      <c r="C1742" s="43" t="s">
        <v>5914</v>
      </c>
      <c r="D1742" s="30" t="s">
        <v>5915</v>
      </c>
      <c r="E1742" s="28" t="s">
        <v>31</v>
      </c>
      <c r="F1742" s="28" t="s">
        <v>29</v>
      </c>
      <c r="G1742" s="28" t="s">
        <v>37</v>
      </c>
      <c r="H1742" s="28"/>
      <c r="I1742" s="28" t="s">
        <v>38</v>
      </c>
      <c r="J1742" s="28">
        <v>246.0</v>
      </c>
      <c r="K1742" s="28"/>
      <c r="L1742" s="28" t="s">
        <v>5916</v>
      </c>
      <c r="M1742" s="28" t="s">
        <v>1203</v>
      </c>
      <c r="N1742" s="28">
        <v>1974.0</v>
      </c>
      <c r="O1742" s="121">
        <v>15.0</v>
      </c>
      <c r="P1742" s="28">
        <v>1.0</v>
      </c>
      <c r="Q1742" s="94">
        <v>1.0</v>
      </c>
      <c r="R1742" s="33"/>
      <c r="S1742" s="34"/>
      <c r="T1742" s="34"/>
      <c r="U1742" s="34"/>
      <c r="V1742" s="34"/>
      <c r="W1742" s="34"/>
      <c r="X1742" s="34"/>
      <c r="Y1742" s="3"/>
      <c r="Z1742" s="3"/>
      <c r="AA1742" s="3"/>
      <c r="AB1742" s="3"/>
      <c r="AC1742" s="3"/>
      <c r="AD1742" s="3"/>
      <c r="AE1742" s="3"/>
      <c r="AF1742" s="3"/>
      <c r="AG1742" s="3"/>
      <c r="AH1742" s="3"/>
      <c r="AI1742" s="3"/>
      <c r="AJ1742" s="3"/>
      <c r="AK1742" s="3"/>
      <c r="AL1742" s="3"/>
    </row>
    <row r="1743" ht="15.75" customHeight="1">
      <c r="A1743" s="27">
        <f t="shared" si="21"/>
        <v>622</v>
      </c>
      <c r="B1743" s="83"/>
      <c r="C1743" s="121" t="s">
        <v>5917</v>
      </c>
      <c r="D1743" s="119" t="s">
        <v>5918</v>
      </c>
      <c r="E1743" s="83"/>
      <c r="F1743" s="121" t="s">
        <v>29</v>
      </c>
      <c r="G1743" s="121" t="s">
        <v>38</v>
      </c>
      <c r="H1743" s="83"/>
      <c r="I1743" s="121" t="s">
        <v>38</v>
      </c>
      <c r="J1743" s="121">
        <v>534.0</v>
      </c>
      <c r="K1743" s="83"/>
      <c r="L1743" s="121" t="s">
        <v>5919</v>
      </c>
      <c r="M1743" s="121" t="s">
        <v>4207</v>
      </c>
      <c r="N1743" s="121">
        <v>1961.0</v>
      </c>
      <c r="O1743" s="121">
        <v>15.0</v>
      </c>
      <c r="P1743" s="121">
        <v>1.0</v>
      </c>
      <c r="Q1743" s="121">
        <v>1.0</v>
      </c>
      <c r="R1743" s="84"/>
      <c r="S1743" s="116"/>
      <c r="T1743" s="116"/>
      <c r="U1743" s="116"/>
      <c r="V1743" s="116"/>
      <c r="W1743" s="116"/>
      <c r="X1743" s="116"/>
      <c r="Y1743" s="3"/>
      <c r="Z1743" s="3"/>
      <c r="AA1743" s="3"/>
      <c r="AB1743" s="3"/>
      <c r="AC1743" s="3"/>
      <c r="AD1743" s="3"/>
      <c r="AE1743" s="3"/>
      <c r="AF1743" s="3"/>
      <c r="AG1743" s="3"/>
      <c r="AH1743" s="3"/>
      <c r="AI1743" s="3"/>
      <c r="AJ1743" s="3"/>
      <c r="AK1743" s="3"/>
      <c r="AL1743" s="3"/>
    </row>
    <row r="1744" ht="15.75" customHeight="1">
      <c r="A1744" s="27">
        <f t="shared" si="21"/>
        <v>623</v>
      </c>
      <c r="B1744" s="28" t="s">
        <v>31</v>
      </c>
      <c r="C1744" s="43" t="s">
        <v>5920</v>
      </c>
      <c r="D1744" s="30" t="s">
        <v>5921</v>
      </c>
      <c r="E1744" s="28" t="s">
        <v>31</v>
      </c>
      <c r="F1744" s="28" t="s">
        <v>29</v>
      </c>
      <c r="G1744" s="28" t="s">
        <v>38</v>
      </c>
      <c r="H1744" s="28"/>
      <c r="I1744" s="28" t="s">
        <v>38</v>
      </c>
      <c r="J1744" s="28">
        <v>31.0</v>
      </c>
      <c r="K1744" s="28"/>
      <c r="L1744" s="28" t="s">
        <v>619</v>
      </c>
      <c r="M1744" s="28" t="s">
        <v>54</v>
      </c>
      <c r="N1744" s="28">
        <v>1969.0</v>
      </c>
      <c r="O1744" s="121">
        <v>15.0</v>
      </c>
      <c r="P1744" s="28">
        <v>1.0</v>
      </c>
      <c r="Q1744" s="32">
        <v>1.0</v>
      </c>
      <c r="R1744" s="33"/>
      <c r="S1744" s="34"/>
      <c r="T1744" s="34"/>
      <c r="U1744" s="34"/>
      <c r="V1744" s="34"/>
      <c r="W1744" s="34"/>
      <c r="X1744" s="34"/>
      <c r="Y1744" s="3"/>
      <c r="Z1744" s="3"/>
      <c r="AA1744" s="3"/>
      <c r="AB1744" s="3"/>
      <c r="AC1744" s="3"/>
      <c r="AD1744" s="3"/>
      <c r="AE1744" s="3"/>
      <c r="AF1744" s="3"/>
      <c r="AG1744" s="3"/>
      <c r="AH1744" s="3"/>
      <c r="AI1744" s="3"/>
      <c r="AJ1744" s="3"/>
      <c r="AK1744" s="3"/>
      <c r="AL1744" s="3"/>
    </row>
    <row r="1745" ht="15.75" customHeight="1">
      <c r="A1745" s="27">
        <f t="shared" si="21"/>
        <v>624</v>
      </c>
      <c r="B1745" s="28" t="s">
        <v>31</v>
      </c>
      <c r="C1745" s="43" t="s">
        <v>5922</v>
      </c>
      <c r="D1745" s="30" t="s">
        <v>5923</v>
      </c>
      <c r="E1745" s="28" t="s">
        <v>31</v>
      </c>
      <c r="F1745" s="28" t="s">
        <v>29</v>
      </c>
      <c r="G1745" s="28" t="s">
        <v>38</v>
      </c>
      <c r="H1745" s="28"/>
      <c r="I1745" s="28" t="s">
        <v>38</v>
      </c>
      <c r="J1745" s="28">
        <v>76.0</v>
      </c>
      <c r="K1745" s="28"/>
      <c r="L1745" s="28" t="s">
        <v>619</v>
      </c>
      <c r="M1745" s="28" t="s">
        <v>54</v>
      </c>
      <c r="N1745" s="28">
        <v>1967.0</v>
      </c>
      <c r="O1745" s="121">
        <v>15.0</v>
      </c>
      <c r="P1745" s="28">
        <v>2.0</v>
      </c>
      <c r="Q1745" s="94">
        <v>2.0</v>
      </c>
      <c r="R1745" s="33"/>
      <c r="S1745" s="34"/>
      <c r="T1745" s="34"/>
      <c r="U1745" s="34"/>
      <c r="V1745" s="34"/>
      <c r="W1745" s="34"/>
      <c r="X1745" s="34"/>
      <c r="Y1745" s="3"/>
      <c r="Z1745" s="3"/>
      <c r="AA1745" s="3"/>
      <c r="AB1745" s="3"/>
      <c r="AC1745" s="3"/>
      <c r="AD1745" s="3"/>
      <c r="AE1745" s="3"/>
      <c r="AF1745" s="3"/>
      <c r="AG1745" s="3"/>
      <c r="AH1745" s="3"/>
      <c r="AI1745" s="3"/>
      <c r="AJ1745" s="3"/>
      <c r="AK1745" s="3"/>
      <c r="AL1745" s="3"/>
    </row>
    <row r="1746" ht="15.75" customHeight="1">
      <c r="A1746" s="27">
        <f t="shared" si="21"/>
        <v>625</v>
      </c>
      <c r="B1746" s="28" t="s">
        <v>31</v>
      </c>
      <c r="C1746" s="43" t="s">
        <v>5922</v>
      </c>
      <c r="D1746" s="30" t="s">
        <v>5924</v>
      </c>
      <c r="E1746" s="28" t="s">
        <v>31</v>
      </c>
      <c r="F1746" s="28" t="s">
        <v>29</v>
      </c>
      <c r="G1746" s="28" t="s">
        <v>31</v>
      </c>
      <c r="H1746" s="28"/>
      <c r="I1746" s="28" t="s">
        <v>38</v>
      </c>
      <c r="J1746" s="28">
        <v>148.0</v>
      </c>
      <c r="K1746" s="28"/>
      <c r="L1746" s="28" t="s">
        <v>5925</v>
      </c>
      <c r="M1746" s="28" t="s">
        <v>54</v>
      </c>
      <c r="N1746" s="28">
        <v>1961.0</v>
      </c>
      <c r="O1746" s="121">
        <v>15.0</v>
      </c>
      <c r="P1746" s="28">
        <v>1.0</v>
      </c>
      <c r="Q1746" s="94">
        <v>1.0</v>
      </c>
      <c r="R1746" s="33"/>
      <c r="S1746" s="34"/>
      <c r="T1746" s="34"/>
      <c r="U1746" s="34"/>
      <c r="V1746" s="34"/>
      <c r="W1746" s="34"/>
      <c r="X1746" s="34"/>
      <c r="Y1746" s="45"/>
      <c r="Z1746" s="45"/>
      <c r="AA1746" s="45"/>
      <c r="AB1746" s="45"/>
      <c r="AC1746" s="45"/>
      <c r="AD1746" s="45"/>
      <c r="AE1746" s="45"/>
      <c r="AF1746" s="45"/>
      <c r="AG1746" s="45"/>
      <c r="AH1746" s="45"/>
      <c r="AI1746" s="45"/>
      <c r="AJ1746" s="45"/>
      <c r="AK1746" s="45"/>
      <c r="AL1746" s="45"/>
    </row>
    <row r="1747" ht="15.75" customHeight="1">
      <c r="A1747" s="27">
        <f t="shared" si="21"/>
        <v>626</v>
      </c>
      <c r="B1747" s="28" t="s">
        <v>31</v>
      </c>
      <c r="C1747" s="43" t="s">
        <v>5926</v>
      </c>
      <c r="D1747" s="30" t="s">
        <v>5927</v>
      </c>
      <c r="E1747" s="28" t="s">
        <v>31</v>
      </c>
      <c r="F1747" s="28" t="s">
        <v>29</v>
      </c>
      <c r="G1747" s="28" t="s">
        <v>37</v>
      </c>
      <c r="H1747" s="28"/>
      <c r="I1747" s="28" t="s">
        <v>38</v>
      </c>
      <c r="J1747" s="28">
        <v>64.0</v>
      </c>
      <c r="K1747" s="28"/>
      <c r="L1747" s="28" t="s">
        <v>5913</v>
      </c>
      <c r="M1747" s="28" t="s">
        <v>1203</v>
      </c>
      <c r="N1747" s="28" t="s">
        <v>31</v>
      </c>
      <c r="O1747" s="121">
        <v>15.0</v>
      </c>
      <c r="P1747" s="28">
        <v>2.0</v>
      </c>
      <c r="Q1747" s="94">
        <v>2.0</v>
      </c>
      <c r="R1747" s="33"/>
      <c r="S1747" s="34"/>
      <c r="T1747" s="34"/>
      <c r="U1747" s="34"/>
      <c r="V1747" s="34"/>
      <c r="W1747" s="34"/>
      <c r="X1747" s="34"/>
      <c r="Y1747" s="3"/>
      <c r="Z1747" s="3"/>
      <c r="AA1747" s="3"/>
      <c r="AB1747" s="3"/>
      <c r="AC1747" s="3"/>
      <c r="AD1747" s="3"/>
      <c r="AE1747" s="3"/>
      <c r="AF1747" s="3"/>
      <c r="AG1747" s="3"/>
      <c r="AH1747" s="3"/>
      <c r="AI1747" s="3"/>
      <c r="AJ1747" s="3"/>
      <c r="AK1747" s="3"/>
      <c r="AL1747" s="3"/>
    </row>
    <row r="1748" ht="15.75" customHeight="1">
      <c r="A1748" s="27">
        <f t="shared" si="21"/>
        <v>627</v>
      </c>
      <c r="B1748" s="83"/>
      <c r="C1748" s="121" t="s">
        <v>5928</v>
      </c>
      <c r="D1748" s="119" t="s">
        <v>5929</v>
      </c>
      <c r="E1748" s="83"/>
      <c r="F1748" s="83"/>
      <c r="G1748" s="121" t="s">
        <v>38</v>
      </c>
      <c r="H1748" s="83"/>
      <c r="I1748" s="121" t="s">
        <v>38</v>
      </c>
      <c r="J1748" s="121">
        <v>192.0</v>
      </c>
      <c r="K1748" s="83"/>
      <c r="L1748" s="121" t="s">
        <v>5930</v>
      </c>
      <c r="M1748" s="121" t="s">
        <v>54</v>
      </c>
      <c r="N1748" s="121">
        <v>1954.0</v>
      </c>
      <c r="O1748" s="121">
        <v>15.0</v>
      </c>
      <c r="P1748" s="121">
        <v>1.0</v>
      </c>
      <c r="Q1748" s="121">
        <v>1.0</v>
      </c>
      <c r="R1748" s="84"/>
      <c r="S1748" s="116"/>
      <c r="T1748" s="116"/>
      <c r="U1748" s="116"/>
      <c r="V1748" s="116"/>
      <c r="W1748" s="116"/>
      <c r="X1748" s="116"/>
      <c r="Y1748" s="45"/>
      <c r="Z1748" s="45"/>
      <c r="AA1748" s="45"/>
      <c r="AB1748" s="45"/>
      <c r="AC1748" s="45"/>
      <c r="AD1748" s="45"/>
      <c r="AE1748" s="45"/>
      <c r="AF1748" s="45"/>
      <c r="AG1748" s="45"/>
      <c r="AH1748" s="45"/>
      <c r="AI1748" s="45"/>
      <c r="AJ1748" s="45"/>
      <c r="AK1748" s="45"/>
      <c r="AL1748" s="45"/>
    </row>
    <row r="1749" ht="15.75" customHeight="1">
      <c r="A1749" s="27">
        <f t="shared" si="21"/>
        <v>628</v>
      </c>
      <c r="B1749" s="28" t="s">
        <v>31</v>
      </c>
      <c r="C1749" s="43" t="s">
        <v>5931</v>
      </c>
      <c r="D1749" s="30" t="s">
        <v>5932</v>
      </c>
      <c r="E1749" s="28" t="s">
        <v>31</v>
      </c>
      <c r="F1749" s="28" t="s">
        <v>29</v>
      </c>
      <c r="G1749" s="28" t="s">
        <v>38</v>
      </c>
      <c r="H1749" s="28"/>
      <c r="I1749" s="28" t="s">
        <v>38</v>
      </c>
      <c r="J1749" s="28">
        <v>26.0</v>
      </c>
      <c r="K1749" s="28"/>
      <c r="L1749" s="28" t="s">
        <v>5933</v>
      </c>
      <c r="M1749" s="28" t="s">
        <v>54</v>
      </c>
      <c r="N1749" s="28">
        <v>1973.0</v>
      </c>
      <c r="O1749" s="121">
        <v>15.0</v>
      </c>
      <c r="P1749" s="28">
        <v>1.0</v>
      </c>
      <c r="Q1749" s="94">
        <v>1.0</v>
      </c>
      <c r="R1749" s="33"/>
      <c r="S1749" s="34"/>
      <c r="T1749" s="34"/>
      <c r="U1749" s="34"/>
      <c r="V1749" s="34"/>
      <c r="W1749" s="34"/>
      <c r="X1749" s="34"/>
      <c r="Y1749" s="3"/>
      <c r="Z1749" s="3"/>
      <c r="AA1749" s="3"/>
      <c r="AB1749" s="3"/>
      <c r="AC1749" s="3"/>
      <c r="AD1749" s="3"/>
      <c r="AE1749" s="3"/>
      <c r="AF1749" s="3"/>
      <c r="AG1749" s="3"/>
      <c r="AH1749" s="3"/>
      <c r="AI1749" s="3"/>
      <c r="AJ1749" s="3"/>
      <c r="AK1749" s="3"/>
      <c r="AL1749" s="3"/>
    </row>
    <row r="1750" ht="15.75" customHeight="1">
      <c r="A1750" s="27">
        <f t="shared" si="21"/>
        <v>629</v>
      </c>
      <c r="B1750" s="83"/>
      <c r="C1750" s="121" t="s">
        <v>5934</v>
      </c>
      <c r="D1750" s="119" t="s">
        <v>5935</v>
      </c>
      <c r="E1750" s="83"/>
      <c r="F1750" s="121" t="s">
        <v>29</v>
      </c>
      <c r="G1750" s="121" t="s">
        <v>38</v>
      </c>
      <c r="H1750" s="83"/>
      <c r="I1750" s="121" t="s">
        <v>38</v>
      </c>
      <c r="J1750" s="121">
        <v>169.0</v>
      </c>
      <c r="K1750" s="83"/>
      <c r="L1750" s="121" t="s">
        <v>5936</v>
      </c>
      <c r="M1750" s="121" t="s">
        <v>365</v>
      </c>
      <c r="N1750" s="121">
        <v>1975.0</v>
      </c>
      <c r="O1750" s="121">
        <v>15.0</v>
      </c>
      <c r="P1750" s="121">
        <v>1.0</v>
      </c>
      <c r="Q1750" s="121">
        <v>1.0</v>
      </c>
      <c r="R1750" s="84"/>
      <c r="S1750" s="34"/>
      <c r="T1750" s="34"/>
      <c r="U1750" s="34"/>
      <c r="V1750" s="34"/>
      <c r="W1750" s="34"/>
      <c r="X1750" s="34"/>
      <c r="Y1750" s="3"/>
      <c r="Z1750" s="3"/>
      <c r="AA1750" s="3"/>
      <c r="AB1750" s="3"/>
      <c r="AC1750" s="3"/>
      <c r="AD1750" s="3"/>
      <c r="AE1750" s="3"/>
      <c r="AF1750" s="3"/>
      <c r="AG1750" s="3"/>
      <c r="AH1750" s="3"/>
      <c r="AI1750" s="3"/>
      <c r="AJ1750" s="3"/>
      <c r="AK1750" s="3"/>
      <c r="AL1750" s="3"/>
    </row>
    <row r="1751" ht="15.75" customHeight="1">
      <c r="A1751" s="27">
        <f t="shared" si="21"/>
        <v>630</v>
      </c>
      <c r="B1751" s="28" t="s">
        <v>31</v>
      </c>
      <c r="C1751" s="43" t="s">
        <v>5937</v>
      </c>
      <c r="D1751" s="30" t="s">
        <v>5938</v>
      </c>
      <c r="E1751" s="28" t="s">
        <v>31</v>
      </c>
      <c r="F1751" s="28" t="s">
        <v>29</v>
      </c>
      <c r="G1751" s="28" t="s">
        <v>37</v>
      </c>
      <c r="H1751" s="28"/>
      <c r="I1751" s="28" t="s">
        <v>30</v>
      </c>
      <c r="J1751" s="28">
        <v>399.0</v>
      </c>
      <c r="K1751" s="28"/>
      <c r="L1751" s="28" t="s">
        <v>5939</v>
      </c>
      <c r="M1751" s="28" t="s">
        <v>524</v>
      </c>
      <c r="N1751" s="28">
        <v>1974.0</v>
      </c>
      <c r="O1751" s="121">
        <v>15.0</v>
      </c>
      <c r="P1751" s="28">
        <v>1.0</v>
      </c>
      <c r="Q1751" s="94">
        <v>1.0</v>
      </c>
      <c r="R1751" s="33"/>
      <c r="S1751" s="34"/>
      <c r="T1751" s="34"/>
      <c r="U1751" s="34"/>
      <c r="V1751" s="34"/>
      <c r="W1751" s="34"/>
      <c r="X1751" s="34"/>
      <c r="Y1751" s="45"/>
      <c r="Z1751" s="45"/>
      <c r="AA1751" s="45"/>
      <c r="AB1751" s="45"/>
      <c r="AC1751" s="45"/>
      <c r="AD1751" s="45"/>
      <c r="AE1751" s="45"/>
      <c r="AF1751" s="45"/>
      <c r="AG1751" s="45"/>
      <c r="AH1751" s="45"/>
      <c r="AI1751" s="45"/>
      <c r="AJ1751" s="45"/>
      <c r="AK1751" s="45"/>
      <c r="AL1751" s="45"/>
    </row>
    <row r="1752" ht="15.75" customHeight="1">
      <c r="A1752" s="27">
        <f t="shared" si="21"/>
        <v>631</v>
      </c>
      <c r="B1752" s="83" t="s">
        <v>5940</v>
      </c>
      <c r="C1752" s="121" t="s">
        <v>5941</v>
      </c>
      <c r="D1752" s="118" t="s">
        <v>5942</v>
      </c>
      <c r="E1752" s="83" t="s">
        <v>2601</v>
      </c>
      <c r="F1752" s="83" t="s">
        <v>29</v>
      </c>
      <c r="G1752" s="121" t="s">
        <v>37</v>
      </c>
      <c r="H1752" s="83"/>
      <c r="I1752" s="83" t="s">
        <v>38</v>
      </c>
      <c r="J1752" s="83">
        <v>274.0</v>
      </c>
      <c r="K1752" s="83"/>
      <c r="L1752" s="83" t="s">
        <v>5943</v>
      </c>
      <c r="M1752" s="83" t="s">
        <v>255</v>
      </c>
      <c r="N1752" s="83">
        <v>1986.0</v>
      </c>
      <c r="O1752" s="121">
        <v>15.0</v>
      </c>
      <c r="P1752" s="83">
        <v>1.0</v>
      </c>
      <c r="Q1752" s="83">
        <v>1.0</v>
      </c>
      <c r="R1752" s="84"/>
      <c r="S1752" s="34"/>
      <c r="T1752" s="34"/>
      <c r="U1752" s="34"/>
      <c r="V1752" s="34"/>
      <c r="W1752" s="34"/>
      <c r="X1752" s="34"/>
      <c r="Y1752" s="45"/>
      <c r="Z1752" s="45"/>
      <c r="AA1752" s="45"/>
      <c r="AB1752" s="45"/>
      <c r="AC1752" s="45"/>
      <c r="AD1752" s="45"/>
      <c r="AE1752" s="45"/>
      <c r="AF1752" s="45"/>
      <c r="AG1752" s="45"/>
      <c r="AH1752" s="45"/>
      <c r="AI1752" s="45"/>
      <c r="AJ1752" s="45"/>
      <c r="AK1752" s="45"/>
      <c r="AL1752" s="45"/>
    </row>
    <row r="1753" ht="15.75" customHeight="1">
      <c r="A1753" s="27">
        <f t="shared" si="21"/>
        <v>632</v>
      </c>
      <c r="B1753" s="28" t="s">
        <v>31</v>
      </c>
      <c r="C1753" s="43" t="s">
        <v>5944</v>
      </c>
      <c r="D1753" s="30" t="s">
        <v>5945</v>
      </c>
      <c r="E1753" s="28" t="s">
        <v>31</v>
      </c>
      <c r="F1753" s="28" t="s">
        <v>29</v>
      </c>
      <c r="G1753" s="28" t="s">
        <v>37</v>
      </c>
      <c r="H1753" s="28"/>
      <c r="I1753" s="28" t="s">
        <v>38</v>
      </c>
      <c r="J1753" s="28">
        <v>16.0</v>
      </c>
      <c r="K1753" s="28"/>
      <c r="L1753" s="28"/>
      <c r="M1753" s="28" t="s">
        <v>54</v>
      </c>
      <c r="N1753" s="28">
        <v>1973.0</v>
      </c>
      <c r="O1753" s="121">
        <v>15.0</v>
      </c>
      <c r="P1753" s="28">
        <v>1.0</v>
      </c>
      <c r="Q1753" s="94">
        <v>1.0</v>
      </c>
      <c r="R1753" s="33"/>
      <c r="S1753" s="34"/>
      <c r="T1753" s="34"/>
      <c r="U1753" s="34"/>
      <c r="V1753" s="34"/>
      <c r="W1753" s="34"/>
      <c r="X1753" s="34"/>
      <c r="Y1753" s="3"/>
      <c r="Z1753" s="3"/>
      <c r="AA1753" s="3"/>
      <c r="AB1753" s="3"/>
      <c r="AC1753" s="3"/>
      <c r="AD1753" s="3"/>
      <c r="AE1753" s="3"/>
      <c r="AF1753" s="3"/>
      <c r="AG1753" s="3"/>
      <c r="AH1753" s="3"/>
      <c r="AI1753" s="3"/>
      <c r="AJ1753" s="3"/>
      <c r="AK1753" s="3"/>
      <c r="AL1753" s="3"/>
    </row>
    <row r="1754" ht="15.75" customHeight="1">
      <c r="A1754" s="27">
        <f t="shared" si="21"/>
        <v>633</v>
      </c>
      <c r="B1754" s="28"/>
      <c r="C1754" s="43" t="s">
        <v>5946</v>
      </c>
      <c r="D1754" s="30" t="s">
        <v>5947</v>
      </c>
      <c r="E1754" s="28"/>
      <c r="F1754" s="28" t="s">
        <v>4823</v>
      </c>
      <c r="G1754" s="28" t="s">
        <v>5948</v>
      </c>
      <c r="H1754" s="28"/>
      <c r="I1754" s="60" t="s">
        <v>5948</v>
      </c>
      <c r="J1754" s="28">
        <v>207.0</v>
      </c>
      <c r="K1754" s="28"/>
      <c r="L1754" s="28" t="s">
        <v>619</v>
      </c>
      <c r="M1754" s="60" t="s">
        <v>54</v>
      </c>
      <c r="N1754" s="28">
        <v>1972.0</v>
      </c>
      <c r="O1754" s="121">
        <v>15.0</v>
      </c>
      <c r="P1754" s="28">
        <v>1.0</v>
      </c>
      <c r="Q1754" s="94">
        <v>1.0</v>
      </c>
      <c r="R1754" s="33"/>
      <c r="S1754" s="34"/>
      <c r="T1754" s="34"/>
      <c r="U1754" s="34"/>
      <c r="V1754" s="34"/>
      <c r="W1754" s="34"/>
      <c r="X1754" s="34"/>
      <c r="Y1754" s="3"/>
      <c r="Z1754" s="3"/>
      <c r="AA1754" s="3"/>
      <c r="AB1754" s="3"/>
      <c r="AC1754" s="3"/>
      <c r="AD1754" s="3"/>
      <c r="AE1754" s="3"/>
      <c r="AF1754" s="3"/>
      <c r="AG1754" s="3"/>
      <c r="AH1754" s="3"/>
      <c r="AI1754" s="3"/>
      <c r="AJ1754" s="3"/>
      <c r="AK1754" s="3"/>
      <c r="AL1754" s="3"/>
    </row>
    <row r="1755" ht="15.75" customHeight="1">
      <c r="A1755" s="27">
        <f t="shared" si="21"/>
        <v>634</v>
      </c>
      <c r="B1755" s="28"/>
      <c r="C1755" s="43" t="s">
        <v>5949</v>
      </c>
      <c r="D1755" s="30" t="s">
        <v>5950</v>
      </c>
      <c r="E1755" s="28" t="s">
        <v>31</v>
      </c>
      <c r="F1755" s="28" t="s">
        <v>29</v>
      </c>
      <c r="G1755" s="28" t="s">
        <v>38</v>
      </c>
      <c r="H1755" s="28"/>
      <c r="I1755" s="28" t="s">
        <v>38</v>
      </c>
      <c r="J1755" s="28">
        <v>39.0</v>
      </c>
      <c r="K1755" s="28"/>
      <c r="L1755" s="28" t="s">
        <v>5951</v>
      </c>
      <c r="M1755" s="28" t="s">
        <v>54</v>
      </c>
      <c r="N1755" s="28">
        <v>1968.0</v>
      </c>
      <c r="O1755" s="121">
        <v>15.0</v>
      </c>
      <c r="P1755" s="28">
        <v>3.0</v>
      </c>
      <c r="Q1755" s="94">
        <v>3.0</v>
      </c>
      <c r="R1755" s="33"/>
      <c r="S1755" s="34"/>
      <c r="T1755" s="34"/>
      <c r="U1755" s="34"/>
      <c r="V1755" s="34"/>
      <c r="W1755" s="34"/>
      <c r="X1755" s="34"/>
      <c r="Y1755" s="3"/>
      <c r="Z1755" s="3"/>
      <c r="AA1755" s="3"/>
      <c r="AB1755" s="3"/>
      <c r="AC1755" s="3"/>
      <c r="AD1755" s="3"/>
      <c r="AE1755" s="3"/>
      <c r="AF1755" s="3"/>
      <c r="AG1755" s="3"/>
      <c r="AH1755" s="3"/>
      <c r="AI1755" s="3"/>
      <c r="AJ1755" s="3"/>
      <c r="AK1755" s="3"/>
      <c r="AL1755" s="3"/>
    </row>
    <row r="1756" ht="15.75" customHeight="1">
      <c r="A1756" s="27">
        <f t="shared" si="21"/>
        <v>635</v>
      </c>
      <c r="B1756" s="28" t="s">
        <v>31</v>
      </c>
      <c r="C1756" s="43" t="s">
        <v>5952</v>
      </c>
      <c r="D1756" s="30" t="s">
        <v>5953</v>
      </c>
      <c r="E1756" s="28" t="s">
        <v>31</v>
      </c>
      <c r="F1756" s="28" t="s">
        <v>29</v>
      </c>
      <c r="G1756" s="28" t="s">
        <v>37</v>
      </c>
      <c r="H1756" s="28"/>
      <c r="I1756" s="28" t="s">
        <v>38</v>
      </c>
      <c r="J1756" s="28">
        <v>76.0</v>
      </c>
      <c r="K1756" s="28"/>
      <c r="L1756" s="28" t="s">
        <v>31</v>
      </c>
      <c r="M1756" s="28" t="s">
        <v>1203</v>
      </c>
      <c r="N1756" s="28">
        <v>1966.0</v>
      </c>
      <c r="O1756" s="121">
        <v>15.0</v>
      </c>
      <c r="P1756" s="28">
        <v>5.0</v>
      </c>
      <c r="Q1756" s="94">
        <v>5.0</v>
      </c>
      <c r="R1756" s="33"/>
      <c r="S1756" s="34"/>
      <c r="T1756" s="34"/>
      <c r="U1756" s="34"/>
      <c r="V1756" s="34"/>
      <c r="W1756" s="34"/>
      <c r="X1756" s="34"/>
      <c r="Y1756" s="45"/>
      <c r="Z1756" s="45"/>
      <c r="AA1756" s="45"/>
      <c r="AB1756" s="45"/>
      <c r="AC1756" s="45"/>
      <c r="AD1756" s="45"/>
      <c r="AE1756" s="45"/>
      <c r="AF1756" s="45"/>
      <c r="AG1756" s="45"/>
      <c r="AH1756" s="45"/>
      <c r="AI1756" s="45"/>
      <c r="AJ1756" s="45"/>
      <c r="AK1756" s="45"/>
      <c r="AL1756" s="45"/>
    </row>
    <row r="1757" ht="15.75" customHeight="1">
      <c r="A1757" s="27">
        <f t="shared" si="21"/>
        <v>636</v>
      </c>
      <c r="B1757" s="28"/>
      <c r="C1757" s="43" t="s">
        <v>5954</v>
      </c>
      <c r="D1757" s="30" t="s">
        <v>5953</v>
      </c>
      <c r="E1757" s="28" t="s">
        <v>31</v>
      </c>
      <c r="F1757" s="28" t="s">
        <v>29</v>
      </c>
      <c r="G1757" s="28" t="s">
        <v>37</v>
      </c>
      <c r="H1757" s="28"/>
      <c r="I1757" s="28" t="s">
        <v>38</v>
      </c>
      <c r="J1757" s="28">
        <v>138.0</v>
      </c>
      <c r="K1757" s="28"/>
      <c r="L1757" s="28" t="s">
        <v>31</v>
      </c>
      <c r="M1757" s="28" t="s">
        <v>1203</v>
      </c>
      <c r="N1757" s="28">
        <v>1865.0</v>
      </c>
      <c r="O1757" s="121">
        <v>15.0</v>
      </c>
      <c r="P1757" s="28">
        <v>1.0</v>
      </c>
      <c r="Q1757" s="94">
        <v>1.0</v>
      </c>
      <c r="R1757" s="33"/>
      <c r="S1757" s="34"/>
      <c r="T1757" s="34"/>
      <c r="U1757" s="34"/>
      <c r="V1757" s="34"/>
      <c r="W1757" s="34"/>
      <c r="X1757" s="34"/>
      <c r="Y1757" s="45"/>
      <c r="Z1757" s="45"/>
      <c r="AA1757" s="45"/>
      <c r="AB1757" s="45"/>
      <c r="AC1757" s="45"/>
      <c r="AD1757" s="45"/>
      <c r="AE1757" s="45"/>
      <c r="AF1757" s="45"/>
      <c r="AG1757" s="45"/>
      <c r="AH1757" s="45"/>
      <c r="AI1757" s="45"/>
      <c r="AJ1757" s="45"/>
      <c r="AK1757" s="45"/>
      <c r="AL1757" s="45"/>
    </row>
    <row r="1758" ht="15.75" customHeight="1">
      <c r="A1758" s="27">
        <f t="shared" si="21"/>
        <v>637</v>
      </c>
      <c r="B1758" s="121" t="s">
        <v>5026</v>
      </c>
      <c r="C1758" s="121" t="s">
        <v>5955</v>
      </c>
      <c r="D1758" s="119" t="s">
        <v>5956</v>
      </c>
      <c r="E1758" s="83"/>
      <c r="F1758" s="83"/>
      <c r="G1758" s="121" t="s">
        <v>37</v>
      </c>
      <c r="H1758" s="83"/>
      <c r="I1758" s="121" t="s">
        <v>38</v>
      </c>
      <c r="J1758" s="121">
        <v>119.0</v>
      </c>
      <c r="K1758" s="83"/>
      <c r="L1758" s="121" t="s">
        <v>5014</v>
      </c>
      <c r="M1758" s="121" t="s">
        <v>4207</v>
      </c>
      <c r="N1758" s="121">
        <v>2019.0</v>
      </c>
      <c r="O1758" s="124">
        <v>17.0</v>
      </c>
      <c r="P1758" s="124">
        <v>2.0</v>
      </c>
      <c r="Q1758" s="124">
        <v>2.0</v>
      </c>
      <c r="R1758" s="84"/>
      <c r="S1758" s="34"/>
      <c r="T1758" s="34"/>
      <c r="U1758" s="34"/>
      <c r="V1758" s="34"/>
      <c r="W1758" s="34"/>
      <c r="X1758" s="34"/>
      <c r="Y1758" s="45"/>
      <c r="Z1758" s="45"/>
      <c r="AA1758" s="45"/>
      <c r="AB1758" s="45"/>
      <c r="AC1758" s="45"/>
      <c r="AD1758" s="45"/>
      <c r="AE1758" s="45"/>
      <c r="AF1758" s="45"/>
      <c r="AG1758" s="45"/>
      <c r="AH1758" s="45"/>
      <c r="AI1758" s="45"/>
      <c r="AJ1758" s="45"/>
      <c r="AK1758" s="45"/>
      <c r="AL1758" s="45"/>
    </row>
    <row r="1759" ht="15.75" customHeight="1">
      <c r="A1759" s="27">
        <f t="shared" si="21"/>
        <v>638</v>
      </c>
      <c r="B1759" s="28" t="s">
        <v>31</v>
      </c>
      <c r="C1759" s="43" t="s">
        <v>5957</v>
      </c>
      <c r="D1759" s="30" t="s">
        <v>5958</v>
      </c>
      <c r="E1759" s="28" t="s">
        <v>31</v>
      </c>
      <c r="F1759" s="28" t="s">
        <v>29</v>
      </c>
      <c r="G1759" s="28" t="s">
        <v>234</v>
      </c>
      <c r="H1759" s="28"/>
      <c r="I1759" s="28" t="s">
        <v>38</v>
      </c>
      <c r="J1759" s="28">
        <v>84.0</v>
      </c>
      <c r="K1759" s="28"/>
      <c r="L1759" s="28" t="s">
        <v>39</v>
      </c>
      <c r="M1759" s="28" t="s">
        <v>5959</v>
      </c>
      <c r="N1759" s="28">
        <v>1970.0</v>
      </c>
      <c r="O1759" s="60">
        <v>15.0</v>
      </c>
      <c r="P1759" s="28">
        <v>1.0</v>
      </c>
      <c r="Q1759" s="94">
        <v>1.0</v>
      </c>
      <c r="R1759" s="33"/>
      <c r="S1759" s="34"/>
      <c r="T1759" s="34"/>
      <c r="U1759" s="34"/>
      <c r="V1759" s="34"/>
      <c r="W1759" s="34"/>
      <c r="X1759" s="34"/>
      <c r="Y1759" s="45"/>
      <c r="Z1759" s="45"/>
      <c r="AA1759" s="45"/>
      <c r="AB1759" s="45"/>
      <c r="AC1759" s="45"/>
      <c r="AD1759" s="45"/>
      <c r="AE1759" s="45"/>
      <c r="AF1759" s="45"/>
      <c r="AG1759" s="45"/>
      <c r="AH1759" s="45"/>
      <c r="AI1759" s="45"/>
      <c r="AJ1759" s="45"/>
      <c r="AK1759" s="45"/>
      <c r="AL1759" s="45"/>
    </row>
    <row r="1760" ht="15.75" customHeight="1">
      <c r="A1760" s="27">
        <f t="shared" si="21"/>
        <v>639</v>
      </c>
      <c r="B1760" s="28" t="s">
        <v>5960</v>
      </c>
      <c r="C1760" s="43" t="s">
        <v>5961</v>
      </c>
      <c r="D1760" s="30" t="s">
        <v>5962</v>
      </c>
      <c r="E1760" s="28" t="s">
        <v>31</v>
      </c>
      <c r="F1760" s="28" t="s">
        <v>29</v>
      </c>
      <c r="G1760" s="28" t="s">
        <v>37</v>
      </c>
      <c r="H1760" s="28"/>
      <c r="I1760" s="28" t="s">
        <v>38</v>
      </c>
      <c r="J1760" s="28">
        <v>223.0</v>
      </c>
      <c r="K1760" s="28"/>
      <c r="L1760" s="28" t="s">
        <v>5963</v>
      </c>
      <c r="M1760" s="28" t="s">
        <v>54</v>
      </c>
      <c r="N1760" s="28">
        <v>1991.0</v>
      </c>
      <c r="O1760" s="60">
        <v>15.0</v>
      </c>
      <c r="P1760" s="28">
        <v>1.0</v>
      </c>
      <c r="Q1760" s="94">
        <v>1.0</v>
      </c>
      <c r="R1760" s="33"/>
      <c r="S1760" s="34"/>
      <c r="T1760" s="34"/>
      <c r="U1760" s="34"/>
      <c r="V1760" s="34"/>
      <c r="W1760" s="34"/>
      <c r="X1760" s="34"/>
      <c r="Y1760" s="3"/>
      <c r="Z1760" s="3"/>
      <c r="AA1760" s="3"/>
      <c r="AB1760" s="3"/>
      <c r="AC1760" s="3"/>
      <c r="AD1760" s="3"/>
      <c r="AE1760" s="3"/>
      <c r="AF1760" s="3"/>
      <c r="AG1760" s="3"/>
      <c r="AH1760" s="3"/>
      <c r="AI1760" s="3"/>
      <c r="AJ1760" s="3"/>
      <c r="AK1760" s="3"/>
      <c r="AL1760" s="3"/>
    </row>
    <row r="1761" ht="15.75" customHeight="1">
      <c r="A1761" s="27">
        <f t="shared" si="21"/>
        <v>640</v>
      </c>
      <c r="B1761" s="28"/>
      <c r="C1761" s="43" t="s">
        <v>5964</v>
      </c>
      <c r="D1761" s="30" t="s">
        <v>5965</v>
      </c>
      <c r="E1761" s="28" t="s">
        <v>31</v>
      </c>
      <c r="F1761" s="28" t="s">
        <v>29</v>
      </c>
      <c r="G1761" s="28" t="s">
        <v>37</v>
      </c>
      <c r="H1761" s="28"/>
      <c r="I1761" s="60" t="s">
        <v>38</v>
      </c>
      <c r="J1761" s="28">
        <v>18.0</v>
      </c>
      <c r="K1761" s="28"/>
      <c r="L1761" s="28" t="s">
        <v>31</v>
      </c>
      <c r="M1761" s="28" t="s">
        <v>5966</v>
      </c>
      <c r="N1761" s="28">
        <v>1987.0</v>
      </c>
      <c r="O1761" s="60">
        <v>15.0</v>
      </c>
      <c r="P1761" s="28">
        <v>1.0</v>
      </c>
      <c r="Q1761" s="94">
        <v>1.0</v>
      </c>
      <c r="R1761" s="33"/>
      <c r="S1761" s="34"/>
      <c r="T1761" s="34"/>
      <c r="U1761" s="34"/>
      <c r="V1761" s="34"/>
      <c r="W1761" s="34"/>
      <c r="X1761" s="34"/>
      <c r="Y1761" s="45"/>
      <c r="Z1761" s="45"/>
      <c r="AA1761" s="45"/>
      <c r="AB1761" s="45"/>
      <c r="AC1761" s="45"/>
      <c r="AD1761" s="45"/>
      <c r="AE1761" s="45"/>
      <c r="AF1761" s="45"/>
      <c r="AG1761" s="45"/>
      <c r="AH1761" s="45"/>
      <c r="AI1761" s="45"/>
      <c r="AJ1761" s="45"/>
      <c r="AK1761" s="45"/>
      <c r="AL1761" s="45"/>
    </row>
    <row r="1762" ht="15.75" customHeight="1">
      <c r="A1762" s="27">
        <f t="shared" si="21"/>
        <v>641</v>
      </c>
      <c r="B1762" s="28" t="s">
        <v>31</v>
      </c>
      <c r="C1762" s="43" t="s">
        <v>5967</v>
      </c>
      <c r="D1762" s="30" t="s">
        <v>5968</v>
      </c>
      <c r="E1762" s="28" t="s">
        <v>31</v>
      </c>
      <c r="F1762" s="28" t="s">
        <v>29</v>
      </c>
      <c r="G1762" s="28" t="s">
        <v>38</v>
      </c>
      <c r="H1762" s="28"/>
      <c r="I1762" s="28" t="s">
        <v>38</v>
      </c>
      <c r="J1762" s="28">
        <v>37.0</v>
      </c>
      <c r="K1762" s="28"/>
      <c r="L1762" s="28" t="s">
        <v>619</v>
      </c>
      <c r="M1762" s="28" t="s">
        <v>54</v>
      </c>
      <c r="N1762" s="28">
        <v>1963.0</v>
      </c>
      <c r="O1762" s="60">
        <v>15.0</v>
      </c>
      <c r="P1762" s="28">
        <v>1.0</v>
      </c>
      <c r="Q1762" s="94">
        <v>1.0</v>
      </c>
      <c r="R1762" s="33"/>
      <c r="S1762" s="34"/>
      <c r="T1762" s="34"/>
      <c r="U1762" s="34"/>
      <c r="V1762" s="34"/>
      <c r="W1762" s="34"/>
      <c r="X1762" s="34"/>
      <c r="Y1762" s="45"/>
      <c r="Z1762" s="45"/>
      <c r="AA1762" s="45"/>
      <c r="AB1762" s="45"/>
      <c r="AC1762" s="45"/>
      <c r="AD1762" s="45"/>
      <c r="AE1762" s="45"/>
      <c r="AF1762" s="45"/>
      <c r="AG1762" s="45"/>
      <c r="AH1762" s="45"/>
      <c r="AI1762" s="45"/>
      <c r="AJ1762" s="45"/>
      <c r="AK1762" s="45"/>
      <c r="AL1762" s="45"/>
    </row>
    <row r="1763" ht="15.75" customHeight="1">
      <c r="A1763" s="27">
        <f t="shared" si="21"/>
        <v>642</v>
      </c>
      <c r="B1763" s="28"/>
      <c r="C1763" s="102" t="s">
        <v>5969</v>
      </c>
      <c r="D1763" s="120" t="s">
        <v>5970</v>
      </c>
      <c r="E1763" s="28"/>
      <c r="F1763" s="28" t="s">
        <v>740</v>
      </c>
      <c r="G1763" s="28"/>
      <c r="H1763" s="28"/>
      <c r="I1763" s="28" t="s">
        <v>38</v>
      </c>
      <c r="J1763" s="28">
        <v>243.0</v>
      </c>
      <c r="K1763" s="28"/>
      <c r="L1763" s="28" t="s">
        <v>4222</v>
      </c>
      <c r="M1763" s="28" t="s">
        <v>54</v>
      </c>
      <c r="N1763" s="28">
        <v>1969.0</v>
      </c>
      <c r="O1763" s="60">
        <v>15.0</v>
      </c>
      <c r="P1763" s="28">
        <v>1.0</v>
      </c>
      <c r="Q1763" s="94">
        <v>1.0</v>
      </c>
      <c r="R1763" s="33"/>
      <c r="S1763" s="34"/>
      <c r="T1763" s="34"/>
      <c r="U1763" s="34"/>
      <c r="V1763" s="34"/>
      <c r="W1763" s="34"/>
      <c r="X1763" s="34"/>
      <c r="Y1763" s="3"/>
      <c r="Z1763" s="3"/>
      <c r="AA1763" s="3"/>
      <c r="AB1763" s="3"/>
      <c r="AC1763" s="3"/>
      <c r="AD1763" s="3"/>
      <c r="AE1763" s="3"/>
      <c r="AF1763" s="3"/>
      <c r="AG1763" s="3"/>
      <c r="AH1763" s="3"/>
      <c r="AI1763" s="3"/>
      <c r="AJ1763" s="3"/>
      <c r="AK1763" s="3"/>
      <c r="AL1763" s="3"/>
    </row>
    <row r="1764" ht="15.75" customHeight="1">
      <c r="A1764" s="27">
        <f t="shared" si="21"/>
        <v>643</v>
      </c>
      <c r="B1764" s="28" t="s">
        <v>5971</v>
      </c>
      <c r="C1764" s="43" t="s">
        <v>5972</v>
      </c>
      <c r="D1764" s="30" t="s">
        <v>5973</v>
      </c>
      <c r="E1764" s="28" t="s">
        <v>31</v>
      </c>
      <c r="F1764" s="28" t="s">
        <v>29</v>
      </c>
      <c r="G1764" s="28" t="s">
        <v>30</v>
      </c>
      <c r="H1764" s="28"/>
      <c r="I1764" s="28" t="s">
        <v>30</v>
      </c>
      <c r="J1764" s="28">
        <v>411.0</v>
      </c>
      <c r="K1764" s="28"/>
      <c r="L1764" s="28" t="s">
        <v>5974</v>
      </c>
      <c r="M1764" s="28" t="s">
        <v>5975</v>
      </c>
      <c r="N1764" s="28">
        <v>1999.0</v>
      </c>
      <c r="O1764" s="60">
        <v>15.0</v>
      </c>
      <c r="P1764" s="28">
        <v>2.0</v>
      </c>
      <c r="Q1764" s="37">
        <v>2.0</v>
      </c>
      <c r="R1764" s="33"/>
      <c r="S1764" s="34"/>
      <c r="T1764" s="34"/>
      <c r="U1764" s="34"/>
      <c r="V1764" s="34"/>
      <c r="W1764" s="34"/>
      <c r="X1764" s="34"/>
      <c r="Y1764" s="45"/>
      <c r="Z1764" s="45"/>
      <c r="AA1764" s="45"/>
      <c r="AB1764" s="45"/>
      <c r="AC1764" s="45"/>
      <c r="AD1764" s="45"/>
      <c r="AE1764" s="45"/>
      <c r="AF1764" s="45"/>
      <c r="AG1764" s="45"/>
      <c r="AH1764" s="45"/>
      <c r="AI1764" s="45"/>
      <c r="AJ1764" s="45"/>
      <c r="AK1764" s="45"/>
      <c r="AL1764" s="45"/>
    </row>
    <row r="1765" ht="15.75" customHeight="1">
      <c r="A1765" s="27">
        <f t="shared" si="21"/>
        <v>644</v>
      </c>
      <c r="B1765" s="28" t="s">
        <v>5976</v>
      </c>
      <c r="C1765" s="43" t="s">
        <v>5977</v>
      </c>
      <c r="D1765" s="30" t="s">
        <v>5978</v>
      </c>
      <c r="E1765" s="28" t="s">
        <v>31</v>
      </c>
      <c r="F1765" s="28" t="s">
        <v>29</v>
      </c>
      <c r="G1765" s="28" t="s">
        <v>37</v>
      </c>
      <c r="H1765" s="28"/>
      <c r="I1765" s="28" t="s">
        <v>38</v>
      </c>
      <c r="J1765" s="28">
        <v>118.0</v>
      </c>
      <c r="K1765" s="28"/>
      <c r="L1765" s="28" t="s">
        <v>5979</v>
      </c>
      <c r="M1765" s="28" t="s">
        <v>54</v>
      </c>
      <c r="N1765" s="28">
        <v>1991.0</v>
      </c>
      <c r="O1765" s="60">
        <v>15.0</v>
      </c>
      <c r="P1765" s="28">
        <v>2.0</v>
      </c>
      <c r="Q1765" s="94">
        <v>2.0</v>
      </c>
      <c r="R1765" s="33"/>
      <c r="S1765" s="34"/>
      <c r="T1765" s="34"/>
      <c r="U1765" s="34"/>
      <c r="V1765" s="34"/>
      <c r="W1765" s="34"/>
      <c r="X1765" s="34"/>
      <c r="Y1765" s="74"/>
      <c r="Z1765" s="74"/>
      <c r="AA1765" s="74"/>
      <c r="AB1765" s="74"/>
      <c r="AC1765" s="74"/>
      <c r="AD1765" s="74"/>
      <c r="AE1765" s="74"/>
      <c r="AF1765" s="74"/>
      <c r="AG1765" s="74"/>
      <c r="AH1765" s="74"/>
      <c r="AI1765" s="74"/>
      <c r="AJ1765" s="74"/>
      <c r="AK1765" s="74"/>
      <c r="AL1765" s="74"/>
    </row>
    <row r="1766" ht="15.75" customHeight="1">
      <c r="A1766" s="27">
        <f t="shared" si="21"/>
        <v>645</v>
      </c>
      <c r="B1766" s="121" t="s">
        <v>5980</v>
      </c>
      <c r="C1766" s="121" t="s">
        <v>5981</v>
      </c>
      <c r="D1766" s="119" t="s">
        <v>5982</v>
      </c>
      <c r="E1766" s="83"/>
      <c r="F1766" s="83"/>
      <c r="G1766" s="121" t="s">
        <v>2179</v>
      </c>
      <c r="H1766" s="83"/>
      <c r="I1766" s="121" t="s">
        <v>38</v>
      </c>
      <c r="J1766" s="121">
        <v>282.0</v>
      </c>
      <c r="K1766" s="83"/>
      <c r="L1766" s="121" t="s">
        <v>5983</v>
      </c>
      <c r="M1766" s="121" t="s">
        <v>5984</v>
      </c>
      <c r="N1766" s="121">
        <v>1979.0</v>
      </c>
      <c r="O1766" s="60">
        <v>15.0</v>
      </c>
      <c r="P1766" s="121">
        <v>1.0</v>
      </c>
      <c r="Q1766" s="121">
        <v>1.0</v>
      </c>
      <c r="R1766" s="84"/>
      <c r="S1766" s="34"/>
      <c r="T1766" s="34"/>
      <c r="U1766" s="34"/>
      <c r="V1766" s="34"/>
      <c r="W1766" s="34"/>
      <c r="X1766" s="34"/>
      <c r="Y1766" s="3"/>
      <c r="Z1766" s="3"/>
      <c r="AA1766" s="3"/>
      <c r="AB1766" s="3"/>
      <c r="AC1766" s="3"/>
      <c r="AD1766" s="3"/>
      <c r="AE1766" s="3"/>
      <c r="AF1766" s="3"/>
      <c r="AG1766" s="3"/>
      <c r="AH1766" s="3"/>
      <c r="AI1766" s="3"/>
      <c r="AJ1766" s="3"/>
      <c r="AK1766" s="3"/>
      <c r="AL1766" s="3"/>
    </row>
    <row r="1767" ht="15.75" customHeight="1">
      <c r="A1767" s="27">
        <f t="shared" si="21"/>
        <v>646</v>
      </c>
      <c r="B1767" s="28" t="s">
        <v>31</v>
      </c>
      <c r="C1767" s="43" t="s">
        <v>5985</v>
      </c>
      <c r="D1767" s="30" t="s">
        <v>5986</v>
      </c>
      <c r="E1767" s="28" t="s">
        <v>31</v>
      </c>
      <c r="F1767" s="28" t="s">
        <v>29</v>
      </c>
      <c r="G1767" s="28" t="s">
        <v>5987</v>
      </c>
      <c r="H1767" s="28"/>
      <c r="I1767" s="28" t="s">
        <v>38</v>
      </c>
      <c r="J1767" s="28">
        <v>200.0</v>
      </c>
      <c r="K1767" s="28"/>
      <c r="L1767" s="28" t="s">
        <v>5988</v>
      </c>
      <c r="M1767" s="28" t="s">
        <v>5989</v>
      </c>
      <c r="N1767" s="28">
        <v>1979.0</v>
      </c>
      <c r="O1767" s="60">
        <v>15.0</v>
      </c>
      <c r="P1767" s="28">
        <v>2.0</v>
      </c>
      <c r="Q1767" s="94">
        <v>2.0</v>
      </c>
      <c r="R1767" s="33"/>
      <c r="S1767" s="34"/>
      <c r="T1767" s="34"/>
      <c r="U1767" s="34"/>
      <c r="V1767" s="34"/>
      <c r="W1767" s="34"/>
      <c r="X1767" s="34"/>
      <c r="Y1767" s="3"/>
      <c r="Z1767" s="3"/>
      <c r="AA1767" s="3"/>
      <c r="AB1767" s="3"/>
      <c r="AC1767" s="3"/>
      <c r="AD1767" s="3"/>
      <c r="AE1767" s="3"/>
      <c r="AF1767" s="3"/>
      <c r="AG1767" s="3"/>
      <c r="AH1767" s="3"/>
      <c r="AI1767" s="3"/>
      <c r="AJ1767" s="3"/>
      <c r="AK1767" s="3"/>
      <c r="AL1767" s="3"/>
    </row>
    <row r="1768" ht="15.75" customHeight="1">
      <c r="A1768" s="27">
        <f t="shared" si="21"/>
        <v>647</v>
      </c>
      <c r="B1768" s="28" t="s">
        <v>5990</v>
      </c>
      <c r="C1768" s="43" t="s">
        <v>5991</v>
      </c>
      <c r="D1768" s="30" t="s">
        <v>5992</v>
      </c>
      <c r="E1768" s="28" t="s">
        <v>31</v>
      </c>
      <c r="F1768" s="28" t="s">
        <v>29</v>
      </c>
      <c r="G1768" s="28" t="s">
        <v>38</v>
      </c>
      <c r="H1768" s="28"/>
      <c r="I1768" s="28" t="s">
        <v>38</v>
      </c>
      <c r="J1768" s="28">
        <v>591.0</v>
      </c>
      <c r="K1768" s="28"/>
      <c r="L1768" s="28" t="s">
        <v>5993</v>
      </c>
      <c r="M1768" s="28" t="s">
        <v>5994</v>
      </c>
      <c r="N1768" s="28">
        <v>1973.0</v>
      </c>
      <c r="O1768" s="60">
        <v>15.0</v>
      </c>
      <c r="P1768" s="28">
        <v>2.0</v>
      </c>
      <c r="Q1768" s="94">
        <v>2.0</v>
      </c>
      <c r="R1768" s="33"/>
      <c r="S1768" s="34"/>
      <c r="T1768" s="34"/>
      <c r="U1768" s="34"/>
      <c r="V1768" s="34"/>
      <c r="W1768" s="34"/>
      <c r="X1768" s="34"/>
      <c r="Y1768" s="45"/>
      <c r="Z1768" s="45"/>
      <c r="AA1768" s="45"/>
      <c r="AB1768" s="45"/>
      <c r="AC1768" s="45"/>
      <c r="AD1768" s="45"/>
      <c r="AE1768" s="45"/>
      <c r="AF1768" s="45"/>
      <c r="AG1768" s="45"/>
      <c r="AH1768" s="45"/>
      <c r="AI1768" s="45"/>
      <c r="AJ1768" s="45"/>
      <c r="AK1768" s="45"/>
      <c r="AL1768" s="45"/>
    </row>
    <row r="1769" ht="15.75" customHeight="1">
      <c r="A1769" s="27">
        <f t="shared" si="21"/>
        <v>648</v>
      </c>
      <c r="B1769" s="121" t="s">
        <v>5995</v>
      </c>
      <c r="C1769" s="121" t="s">
        <v>5996</v>
      </c>
      <c r="D1769" s="119" t="s">
        <v>5997</v>
      </c>
      <c r="E1769" s="121" t="s">
        <v>144</v>
      </c>
      <c r="F1769" s="121" t="s">
        <v>29</v>
      </c>
      <c r="G1769" s="121" t="s">
        <v>30</v>
      </c>
      <c r="H1769" s="83"/>
      <c r="I1769" s="121" t="s">
        <v>30</v>
      </c>
      <c r="J1769" s="121">
        <v>285.0</v>
      </c>
      <c r="K1769" s="83"/>
      <c r="L1769" s="121" t="s">
        <v>4397</v>
      </c>
      <c r="M1769" s="121" t="s">
        <v>4397</v>
      </c>
      <c r="N1769" s="121">
        <v>2004.0</v>
      </c>
      <c r="O1769" s="60">
        <v>15.0</v>
      </c>
      <c r="P1769" s="121">
        <v>2.0</v>
      </c>
      <c r="Q1769" s="121">
        <v>2.0</v>
      </c>
      <c r="R1769" s="84"/>
      <c r="S1769" s="34"/>
      <c r="T1769" s="34"/>
      <c r="U1769" s="34"/>
      <c r="V1769" s="34"/>
      <c r="W1769" s="34"/>
      <c r="X1769" s="34"/>
      <c r="Y1769" s="3"/>
      <c r="Z1769" s="3"/>
      <c r="AA1769" s="3"/>
      <c r="AB1769" s="3"/>
      <c r="AC1769" s="3"/>
      <c r="AD1769" s="3"/>
      <c r="AE1769" s="3"/>
      <c r="AF1769" s="3"/>
      <c r="AG1769" s="3"/>
      <c r="AH1769" s="3"/>
      <c r="AI1769" s="3"/>
      <c r="AJ1769" s="3"/>
      <c r="AK1769" s="3"/>
      <c r="AL1769" s="3"/>
    </row>
    <row r="1770" ht="15.75" customHeight="1">
      <c r="A1770" s="27">
        <f t="shared" si="21"/>
        <v>649</v>
      </c>
      <c r="B1770" s="28" t="s">
        <v>5998</v>
      </c>
      <c r="C1770" s="43" t="s">
        <v>5999</v>
      </c>
      <c r="D1770" s="30" t="s">
        <v>6000</v>
      </c>
      <c r="E1770" s="28" t="s">
        <v>31</v>
      </c>
      <c r="F1770" s="28" t="s">
        <v>29</v>
      </c>
      <c r="G1770" s="28" t="s">
        <v>30</v>
      </c>
      <c r="H1770" s="28"/>
      <c r="I1770" s="28" t="s">
        <v>30</v>
      </c>
      <c r="J1770" s="28">
        <v>230.0</v>
      </c>
      <c r="K1770" s="28"/>
      <c r="L1770" s="28" t="s">
        <v>6001</v>
      </c>
      <c r="M1770" s="28" t="s">
        <v>6002</v>
      </c>
      <c r="N1770" s="28">
        <v>1999.0</v>
      </c>
      <c r="O1770" s="60">
        <v>15.0</v>
      </c>
      <c r="P1770" s="28">
        <v>1.0</v>
      </c>
      <c r="Q1770" s="94">
        <v>1.0</v>
      </c>
      <c r="R1770" s="33"/>
      <c r="S1770" s="34"/>
      <c r="T1770" s="34"/>
      <c r="U1770" s="34"/>
      <c r="V1770" s="34"/>
      <c r="W1770" s="34"/>
      <c r="X1770" s="34"/>
      <c r="Y1770" s="45"/>
      <c r="Z1770" s="45"/>
      <c r="AA1770" s="45"/>
      <c r="AB1770" s="45"/>
      <c r="AC1770" s="45"/>
      <c r="AD1770" s="45"/>
      <c r="AE1770" s="45"/>
      <c r="AF1770" s="45"/>
      <c r="AG1770" s="45"/>
      <c r="AH1770" s="45"/>
      <c r="AI1770" s="45"/>
      <c r="AJ1770" s="45"/>
      <c r="AK1770" s="45"/>
      <c r="AL1770" s="45"/>
    </row>
    <row r="1771" ht="15.75" customHeight="1">
      <c r="A1771" s="27">
        <f t="shared" si="21"/>
        <v>650</v>
      </c>
      <c r="B1771" s="28"/>
      <c r="C1771" s="43" t="s">
        <v>6003</v>
      </c>
      <c r="D1771" s="30" t="s">
        <v>6004</v>
      </c>
      <c r="E1771" s="28" t="s">
        <v>31</v>
      </c>
      <c r="F1771" s="28" t="s">
        <v>29</v>
      </c>
      <c r="G1771" s="28" t="s">
        <v>30</v>
      </c>
      <c r="H1771" s="28"/>
      <c r="I1771" s="28" t="s">
        <v>30</v>
      </c>
      <c r="J1771" s="28">
        <v>114.0</v>
      </c>
      <c r="K1771" s="28"/>
      <c r="L1771" s="28" t="s">
        <v>6005</v>
      </c>
      <c r="M1771" s="28" t="s">
        <v>5198</v>
      </c>
      <c r="N1771" s="28">
        <v>1997.0</v>
      </c>
      <c r="O1771" s="60">
        <v>15.0</v>
      </c>
      <c r="P1771" s="28">
        <v>1.0</v>
      </c>
      <c r="Q1771" s="94">
        <v>1.0</v>
      </c>
      <c r="R1771" s="33"/>
      <c r="S1771" s="34"/>
      <c r="T1771" s="34"/>
      <c r="U1771" s="34"/>
      <c r="V1771" s="34"/>
      <c r="W1771" s="34"/>
      <c r="X1771" s="34"/>
      <c r="Y1771" s="45"/>
      <c r="Z1771" s="45"/>
      <c r="AA1771" s="45"/>
      <c r="AB1771" s="45"/>
      <c r="AC1771" s="45"/>
      <c r="AD1771" s="45"/>
      <c r="AE1771" s="45"/>
      <c r="AF1771" s="45"/>
      <c r="AG1771" s="45"/>
      <c r="AH1771" s="45"/>
      <c r="AI1771" s="45"/>
      <c r="AJ1771" s="45"/>
      <c r="AK1771" s="45"/>
      <c r="AL1771" s="45"/>
    </row>
    <row r="1772" ht="15.75" customHeight="1">
      <c r="A1772" s="27">
        <f t="shared" si="21"/>
        <v>651</v>
      </c>
      <c r="B1772" s="28" t="s">
        <v>31</v>
      </c>
      <c r="C1772" s="43" t="s">
        <v>6006</v>
      </c>
      <c r="D1772" s="30" t="s">
        <v>6007</v>
      </c>
      <c r="E1772" s="28" t="s">
        <v>31</v>
      </c>
      <c r="F1772" s="28" t="s">
        <v>29</v>
      </c>
      <c r="G1772" s="28" t="s">
        <v>30</v>
      </c>
      <c r="H1772" s="28"/>
      <c r="I1772" s="28" t="s">
        <v>30</v>
      </c>
      <c r="J1772" s="28">
        <v>36.0</v>
      </c>
      <c r="K1772" s="28"/>
      <c r="L1772" s="28" t="s">
        <v>6008</v>
      </c>
      <c r="M1772" s="28" t="s">
        <v>6009</v>
      </c>
      <c r="N1772" s="28">
        <v>2001.0</v>
      </c>
      <c r="O1772" s="60">
        <v>15.0</v>
      </c>
      <c r="P1772" s="28">
        <v>1.0</v>
      </c>
      <c r="Q1772" s="94">
        <v>1.0</v>
      </c>
      <c r="R1772" s="33"/>
      <c r="S1772" s="34"/>
      <c r="T1772" s="34"/>
      <c r="U1772" s="34"/>
      <c r="V1772" s="34"/>
      <c r="W1772" s="34"/>
      <c r="X1772" s="34"/>
      <c r="Y1772" s="45"/>
      <c r="Z1772" s="45"/>
      <c r="AA1772" s="45"/>
      <c r="AB1772" s="45"/>
      <c r="AC1772" s="45"/>
      <c r="AD1772" s="45"/>
      <c r="AE1772" s="45"/>
      <c r="AF1772" s="45"/>
      <c r="AG1772" s="45"/>
      <c r="AH1772" s="45"/>
      <c r="AI1772" s="45"/>
      <c r="AJ1772" s="45"/>
      <c r="AK1772" s="45"/>
      <c r="AL1772" s="45"/>
    </row>
    <row r="1773" ht="15.75" customHeight="1">
      <c r="A1773" s="27">
        <f t="shared" si="21"/>
        <v>652</v>
      </c>
      <c r="B1773" s="28" t="s">
        <v>6010</v>
      </c>
      <c r="C1773" s="43" t="s">
        <v>6011</v>
      </c>
      <c r="D1773" s="30" t="s">
        <v>6012</v>
      </c>
      <c r="E1773" s="28"/>
      <c r="F1773" s="28" t="s">
        <v>29</v>
      </c>
      <c r="G1773" s="28" t="s">
        <v>81</v>
      </c>
      <c r="H1773" s="28" t="s">
        <v>31</v>
      </c>
      <c r="I1773" s="28" t="s">
        <v>38</v>
      </c>
      <c r="J1773" s="28">
        <v>360.0</v>
      </c>
      <c r="K1773" s="28"/>
      <c r="L1773" s="28" t="s">
        <v>6013</v>
      </c>
      <c r="M1773" s="28" t="s">
        <v>6014</v>
      </c>
      <c r="N1773" s="28">
        <v>1996.0</v>
      </c>
      <c r="O1773" s="60">
        <v>15.0</v>
      </c>
      <c r="P1773" s="28">
        <v>1.0</v>
      </c>
      <c r="Q1773" s="94">
        <v>1.0</v>
      </c>
      <c r="R1773" s="33"/>
      <c r="S1773" s="34"/>
      <c r="T1773" s="34"/>
      <c r="U1773" s="34"/>
      <c r="V1773" s="34"/>
      <c r="W1773" s="34"/>
      <c r="X1773" s="34"/>
      <c r="Y1773" s="45"/>
      <c r="Z1773" s="45"/>
      <c r="AA1773" s="45"/>
      <c r="AB1773" s="45"/>
      <c r="AC1773" s="45"/>
      <c r="AD1773" s="45"/>
      <c r="AE1773" s="45"/>
      <c r="AF1773" s="45"/>
      <c r="AG1773" s="45"/>
      <c r="AH1773" s="45"/>
      <c r="AI1773" s="45"/>
      <c r="AJ1773" s="45"/>
      <c r="AK1773" s="45"/>
      <c r="AL1773" s="45"/>
    </row>
    <row r="1774" ht="15.75" customHeight="1">
      <c r="A1774" s="27">
        <f t="shared" si="21"/>
        <v>653</v>
      </c>
      <c r="B1774" s="121" t="s">
        <v>6015</v>
      </c>
      <c r="C1774" s="121" t="s">
        <v>6016</v>
      </c>
      <c r="D1774" s="119" t="s">
        <v>6017</v>
      </c>
      <c r="E1774" s="83"/>
      <c r="F1774" s="121" t="s">
        <v>29</v>
      </c>
      <c r="G1774" s="121" t="s">
        <v>30</v>
      </c>
      <c r="H1774" s="83"/>
      <c r="I1774" s="121" t="s">
        <v>30</v>
      </c>
      <c r="J1774" s="121">
        <v>110.0</v>
      </c>
      <c r="K1774" s="83"/>
      <c r="L1774" s="121" t="s">
        <v>6018</v>
      </c>
      <c r="M1774" s="121" t="s">
        <v>6019</v>
      </c>
      <c r="N1774" s="121">
        <v>1999.0</v>
      </c>
      <c r="O1774" s="60">
        <v>15.0</v>
      </c>
      <c r="P1774" s="121">
        <v>1.0</v>
      </c>
      <c r="Q1774" s="121">
        <v>1.0</v>
      </c>
      <c r="R1774" s="84"/>
      <c r="S1774" s="34"/>
      <c r="T1774" s="34"/>
      <c r="U1774" s="34"/>
      <c r="V1774" s="34"/>
      <c r="W1774" s="34"/>
      <c r="X1774" s="34"/>
      <c r="Y1774" s="45"/>
      <c r="Z1774" s="45"/>
      <c r="AA1774" s="45"/>
      <c r="AB1774" s="45"/>
      <c r="AC1774" s="45"/>
      <c r="AD1774" s="45"/>
      <c r="AE1774" s="45"/>
      <c r="AF1774" s="45"/>
      <c r="AG1774" s="45"/>
      <c r="AH1774" s="45"/>
      <c r="AI1774" s="45"/>
      <c r="AJ1774" s="45"/>
      <c r="AK1774" s="45"/>
      <c r="AL1774" s="45"/>
    </row>
    <row r="1775" ht="15.75" customHeight="1">
      <c r="A1775" s="27">
        <f t="shared" si="21"/>
        <v>654</v>
      </c>
      <c r="B1775" s="28" t="s">
        <v>6020</v>
      </c>
      <c r="C1775" s="43" t="s">
        <v>6021</v>
      </c>
      <c r="D1775" s="30" t="s">
        <v>6022</v>
      </c>
      <c r="E1775" s="28"/>
      <c r="F1775" s="28" t="s">
        <v>29</v>
      </c>
      <c r="G1775" s="28" t="s">
        <v>30</v>
      </c>
      <c r="H1775" s="28" t="s">
        <v>31</v>
      </c>
      <c r="I1775" s="28" t="s">
        <v>30</v>
      </c>
      <c r="J1775" s="28">
        <v>176.0</v>
      </c>
      <c r="K1775" s="28"/>
      <c r="L1775" s="28" t="s">
        <v>6023</v>
      </c>
      <c r="M1775" s="28" t="s">
        <v>6024</v>
      </c>
      <c r="N1775" s="28">
        <v>2002.0</v>
      </c>
      <c r="O1775" s="60">
        <v>15.0</v>
      </c>
      <c r="P1775" s="28">
        <v>1.0</v>
      </c>
      <c r="Q1775" s="94">
        <v>1.0</v>
      </c>
      <c r="R1775" s="33"/>
      <c r="S1775" s="34"/>
      <c r="T1775" s="34"/>
      <c r="U1775" s="34"/>
      <c r="V1775" s="34"/>
      <c r="W1775" s="34"/>
      <c r="X1775" s="34"/>
      <c r="Y1775" s="45"/>
      <c r="Z1775" s="45"/>
      <c r="AA1775" s="45"/>
      <c r="AB1775" s="45"/>
      <c r="AC1775" s="45"/>
      <c r="AD1775" s="45"/>
      <c r="AE1775" s="45"/>
      <c r="AF1775" s="45"/>
      <c r="AG1775" s="45"/>
      <c r="AH1775" s="45"/>
      <c r="AI1775" s="45"/>
      <c r="AJ1775" s="45"/>
      <c r="AK1775" s="45"/>
      <c r="AL1775" s="45"/>
    </row>
    <row r="1776" ht="15.75" customHeight="1">
      <c r="A1776" s="27">
        <f t="shared" si="21"/>
        <v>655</v>
      </c>
      <c r="B1776" s="28" t="s">
        <v>6025</v>
      </c>
      <c r="C1776" s="43" t="s">
        <v>6026</v>
      </c>
      <c r="D1776" s="30" t="s">
        <v>6027</v>
      </c>
      <c r="E1776" s="28" t="s">
        <v>31</v>
      </c>
      <c r="F1776" s="28" t="s">
        <v>29</v>
      </c>
      <c r="G1776" s="28" t="s">
        <v>30</v>
      </c>
      <c r="H1776" s="28"/>
      <c r="I1776" s="28" t="s">
        <v>30</v>
      </c>
      <c r="J1776" s="28">
        <v>210.0</v>
      </c>
      <c r="K1776" s="28"/>
      <c r="L1776" s="28" t="s">
        <v>6028</v>
      </c>
      <c r="M1776" s="28" t="s">
        <v>6029</v>
      </c>
      <c r="N1776" s="28">
        <v>2001.0</v>
      </c>
      <c r="O1776" s="60">
        <v>15.0</v>
      </c>
      <c r="P1776" s="28">
        <v>1.0</v>
      </c>
      <c r="Q1776" s="94">
        <v>1.0</v>
      </c>
      <c r="R1776" s="33"/>
      <c r="S1776" s="34"/>
      <c r="T1776" s="34"/>
      <c r="U1776" s="34"/>
      <c r="V1776" s="34"/>
      <c r="W1776" s="34"/>
      <c r="X1776" s="34"/>
      <c r="Y1776" s="45"/>
      <c r="Z1776" s="45"/>
      <c r="AA1776" s="45"/>
      <c r="AB1776" s="45"/>
      <c r="AC1776" s="45"/>
      <c r="AD1776" s="45"/>
      <c r="AE1776" s="45"/>
      <c r="AF1776" s="45"/>
      <c r="AG1776" s="45"/>
      <c r="AH1776" s="45"/>
      <c r="AI1776" s="45"/>
      <c r="AJ1776" s="45"/>
      <c r="AK1776" s="45"/>
      <c r="AL1776" s="45"/>
    </row>
    <row r="1777" ht="15.75" customHeight="1">
      <c r="A1777" s="27">
        <f t="shared" si="21"/>
        <v>656</v>
      </c>
      <c r="B1777" s="121" t="s">
        <v>5413</v>
      </c>
      <c r="C1777" s="121" t="s">
        <v>6030</v>
      </c>
      <c r="D1777" s="119" t="s">
        <v>6031</v>
      </c>
      <c r="E1777" s="83"/>
      <c r="F1777" s="83"/>
      <c r="G1777" s="121" t="s">
        <v>38</v>
      </c>
      <c r="H1777" s="83"/>
      <c r="I1777" s="121" t="s">
        <v>38</v>
      </c>
      <c r="J1777" s="121">
        <v>70.0</v>
      </c>
      <c r="K1777" s="83"/>
      <c r="L1777" s="121" t="s">
        <v>6032</v>
      </c>
      <c r="M1777" s="121" t="s">
        <v>5420</v>
      </c>
      <c r="N1777" s="121">
        <v>1998.0</v>
      </c>
      <c r="O1777" s="60">
        <v>15.0</v>
      </c>
      <c r="P1777" s="121">
        <v>1.0</v>
      </c>
      <c r="Q1777" s="121">
        <v>1.0</v>
      </c>
      <c r="R1777" s="84"/>
      <c r="S1777" s="116"/>
      <c r="T1777" s="116"/>
      <c r="U1777" s="116"/>
      <c r="V1777" s="116"/>
      <c r="W1777" s="116"/>
      <c r="X1777" s="116"/>
      <c r="Y1777" s="45"/>
      <c r="Z1777" s="45"/>
      <c r="AA1777" s="45"/>
      <c r="AB1777" s="45"/>
      <c r="AC1777" s="45"/>
      <c r="AD1777" s="45"/>
      <c r="AE1777" s="45"/>
      <c r="AF1777" s="45"/>
      <c r="AG1777" s="45"/>
      <c r="AH1777" s="45"/>
      <c r="AI1777" s="45"/>
      <c r="AJ1777" s="45"/>
      <c r="AK1777" s="45"/>
      <c r="AL1777" s="45"/>
    </row>
    <row r="1778" ht="15.75" customHeight="1">
      <c r="A1778" s="27">
        <f t="shared" si="21"/>
        <v>657</v>
      </c>
      <c r="B1778" s="28"/>
      <c r="C1778" s="43" t="s">
        <v>6033</v>
      </c>
      <c r="D1778" s="30" t="s">
        <v>6034</v>
      </c>
      <c r="E1778" s="28" t="s">
        <v>31</v>
      </c>
      <c r="F1778" s="28" t="s">
        <v>29</v>
      </c>
      <c r="G1778" s="28" t="s">
        <v>30</v>
      </c>
      <c r="H1778" s="28"/>
      <c r="I1778" s="28" t="s">
        <v>30</v>
      </c>
      <c r="J1778" s="28">
        <v>123.0</v>
      </c>
      <c r="K1778" s="28"/>
      <c r="L1778" s="28" t="s">
        <v>6035</v>
      </c>
      <c r="M1778" s="28" t="s">
        <v>5198</v>
      </c>
      <c r="N1778" s="28">
        <v>1996.0</v>
      </c>
      <c r="O1778" s="60">
        <v>15.0</v>
      </c>
      <c r="P1778" s="28">
        <v>1.0</v>
      </c>
      <c r="Q1778" s="94">
        <v>1.0</v>
      </c>
      <c r="R1778" s="33"/>
      <c r="S1778" s="34"/>
      <c r="T1778" s="34"/>
      <c r="U1778" s="34"/>
      <c r="V1778" s="34"/>
      <c r="W1778" s="34"/>
      <c r="X1778" s="34"/>
      <c r="Y1778" s="45"/>
      <c r="Z1778" s="45"/>
      <c r="AA1778" s="45"/>
      <c r="AB1778" s="45"/>
      <c r="AC1778" s="45"/>
      <c r="AD1778" s="45"/>
      <c r="AE1778" s="45"/>
      <c r="AF1778" s="45"/>
      <c r="AG1778" s="45"/>
      <c r="AH1778" s="45"/>
      <c r="AI1778" s="45"/>
      <c r="AJ1778" s="45"/>
      <c r="AK1778" s="45"/>
      <c r="AL1778" s="45"/>
    </row>
    <row r="1779" ht="15.75" customHeight="1">
      <c r="A1779" s="27">
        <f t="shared" si="21"/>
        <v>658</v>
      </c>
      <c r="B1779" s="28" t="s">
        <v>6036</v>
      </c>
      <c r="C1779" s="43" t="s">
        <v>6037</v>
      </c>
      <c r="D1779" s="30" t="s">
        <v>6038</v>
      </c>
      <c r="E1779" s="28"/>
      <c r="F1779" s="28" t="s">
        <v>29</v>
      </c>
      <c r="G1779" s="28" t="s">
        <v>37</v>
      </c>
      <c r="H1779" s="28"/>
      <c r="I1779" s="28" t="s">
        <v>38</v>
      </c>
      <c r="J1779" s="28">
        <v>242.0</v>
      </c>
      <c r="K1779" s="28"/>
      <c r="L1779" s="28" t="s">
        <v>6039</v>
      </c>
      <c r="M1779" s="28" t="s">
        <v>6040</v>
      </c>
      <c r="N1779" s="28">
        <v>2009.0</v>
      </c>
      <c r="O1779" s="60">
        <v>15.0</v>
      </c>
      <c r="P1779" s="28">
        <v>1.0</v>
      </c>
      <c r="Q1779" s="94">
        <v>1.0</v>
      </c>
      <c r="R1779" s="33"/>
      <c r="S1779" s="34"/>
      <c r="T1779" s="34"/>
      <c r="U1779" s="34"/>
      <c r="V1779" s="34"/>
      <c r="W1779" s="34"/>
      <c r="X1779" s="34"/>
      <c r="Y1779" s="3"/>
      <c r="Z1779" s="3"/>
      <c r="AA1779" s="3"/>
      <c r="AB1779" s="3"/>
      <c r="AC1779" s="3"/>
      <c r="AD1779" s="3"/>
      <c r="AE1779" s="3"/>
      <c r="AF1779" s="3"/>
      <c r="AG1779" s="3"/>
      <c r="AH1779" s="3"/>
      <c r="AI1779" s="3"/>
      <c r="AJ1779" s="3"/>
      <c r="AK1779" s="3"/>
      <c r="AL1779" s="3"/>
    </row>
    <row r="1780" ht="15.75" customHeight="1">
      <c r="A1780" s="27">
        <f t="shared" si="21"/>
        <v>659</v>
      </c>
      <c r="B1780" s="28" t="s">
        <v>6041</v>
      </c>
      <c r="C1780" s="43" t="s">
        <v>6042</v>
      </c>
      <c r="D1780" s="30" t="s">
        <v>6043</v>
      </c>
      <c r="E1780" s="28" t="s">
        <v>31</v>
      </c>
      <c r="F1780" s="28" t="s">
        <v>29</v>
      </c>
      <c r="G1780" s="28" t="s">
        <v>98</v>
      </c>
      <c r="H1780" s="28"/>
      <c r="I1780" s="60" t="s">
        <v>5551</v>
      </c>
      <c r="J1780" s="28">
        <v>104.0</v>
      </c>
      <c r="K1780" s="28"/>
      <c r="L1780" s="28" t="s">
        <v>6044</v>
      </c>
      <c r="M1780" s="28" t="s">
        <v>6045</v>
      </c>
      <c r="N1780" s="28">
        <v>1995.0</v>
      </c>
      <c r="O1780" s="60">
        <v>15.0</v>
      </c>
      <c r="P1780" s="28">
        <v>1.0</v>
      </c>
      <c r="Q1780" s="94">
        <v>1.0</v>
      </c>
      <c r="R1780" s="33"/>
      <c r="S1780" s="34"/>
      <c r="T1780" s="34"/>
      <c r="U1780" s="34"/>
      <c r="V1780" s="34"/>
      <c r="W1780" s="34"/>
      <c r="X1780" s="34"/>
      <c r="Y1780" s="45"/>
      <c r="Z1780" s="45"/>
      <c r="AA1780" s="45"/>
      <c r="AB1780" s="45"/>
      <c r="AC1780" s="45"/>
      <c r="AD1780" s="45"/>
      <c r="AE1780" s="45"/>
      <c r="AF1780" s="45"/>
      <c r="AG1780" s="45"/>
      <c r="AH1780" s="45"/>
      <c r="AI1780" s="45"/>
      <c r="AJ1780" s="45"/>
      <c r="AK1780" s="45"/>
      <c r="AL1780" s="45"/>
    </row>
    <row r="1781" ht="15.75" customHeight="1">
      <c r="A1781" s="27">
        <f t="shared" si="21"/>
        <v>660</v>
      </c>
      <c r="B1781" s="28" t="s">
        <v>31</v>
      </c>
      <c r="C1781" s="43" t="s">
        <v>6046</v>
      </c>
      <c r="D1781" s="30" t="s">
        <v>6047</v>
      </c>
      <c r="E1781" s="28"/>
      <c r="F1781" s="28" t="s">
        <v>29</v>
      </c>
      <c r="G1781" s="28" t="s">
        <v>131</v>
      </c>
      <c r="H1781" s="28" t="s">
        <v>31</v>
      </c>
      <c r="I1781" s="28" t="s">
        <v>38</v>
      </c>
      <c r="J1781" s="28">
        <v>850.0</v>
      </c>
      <c r="K1781" s="28"/>
      <c r="L1781" s="28" t="s">
        <v>6048</v>
      </c>
      <c r="M1781" s="28" t="s">
        <v>6049</v>
      </c>
      <c r="N1781" s="28">
        <v>1970.0</v>
      </c>
      <c r="O1781" s="60">
        <v>15.0</v>
      </c>
      <c r="P1781" s="28">
        <v>1.0</v>
      </c>
      <c r="Q1781" s="94">
        <v>1.0</v>
      </c>
      <c r="R1781" s="33"/>
      <c r="S1781" s="34"/>
      <c r="T1781" s="34"/>
      <c r="U1781" s="34"/>
      <c r="V1781" s="34"/>
      <c r="W1781" s="34"/>
      <c r="X1781" s="34"/>
      <c r="Y1781" s="45"/>
      <c r="Z1781" s="45"/>
      <c r="AA1781" s="45"/>
      <c r="AB1781" s="45"/>
      <c r="AC1781" s="45"/>
      <c r="AD1781" s="45"/>
      <c r="AE1781" s="45"/>
      <c r="AF1781" s="45"/>
      <c r="AG1781" s="45"/>
      <c r="AH1781" s="45"/>
      <c r="AI1781" s="45"/>
      <c r="AJ1781" s="45"/>
      <c r="AK1781" s="45"/>
      <c r="AL1781" s="45"/>
    </row>
    <row r="1782" ht="15.75" customHeight="1">
      <c r="A1782" s="27">
        <f t="shared" si="21"/>
        <v>661</v>
      </c>
      <c r="B1782" s="28" t="s">
        <v>31</v>
      </c>
      <c r="C1782" s="43" t="s">
        <v>6050</v>
      </c>
      <c r="D1782" s="30" t="s">
        <v>6051</v>
      </c>
      <c r="E1782" s="28" t="s">
        <v>31</v>
      </c>
      <c r="F1782" s="28" t="s">
        <v>29</v>
      </c>
      <c r="G1782" s="28" t="s">
        <v>37</v>
      </c>
      <c r="H1782" s="28"/>
      <c r="I1782" s="28" t="s">
        <v>38</v>
      </c>
      <c r="J1782" s="28">
        <v>139.0</v>
      </c>
      <c r="K1782" s="28"/>
      <c r="L1782" s="28" t="s">
        <v>6052</v>
      </c>
      <c r="M1782" s="28" t="s">
        <v>6053</v>
      </c>
      <c r="N1782" s="28">
        <v>1991.0</v>
      </c>
      <c r="O1782" s="60">
        <v>15.0</v>
      </c>
      <c r="P1782" s="28">
        <v>1.0</v>
      </c>
      <c r="Q1782" s="94">
        <v>1.0</v>
      </c>
      <c r="R1782" s="33"/>
      <c r="S1782" s="34"/>
      <c r="T1782" s="34"/>
      <c r="U1782" s="34"/>
      <c r="V1782" s="34"/>
      <c r="W1782" s="34"/>
      <c r="X1782" s="34"/>
      <c r="Y1782" s="45"/>
      <c r="Z1782" s="45"/>
      <c r="AA1782" s="45"/>
      <c r="AB1782" s="45"/>
      <c r="AC1782" s="45"/>
      <c r="AD1782" s="45"/>
      <c r="AE1782" s="45"/>
      <c r="AF1782" s="45"/>
      <c r="AG1782" s="45"/>
      <c r="AH1782" s="45"/>
      <c r="AI1782" s="45"/>
      <c r="AJ1782" s="45"/>
      <c r="AK1782" s="45"/>
      <c r="AL1782" s="45"/>
    </row>
    <row r="1783" ht="15.75" customHeight="1">
      <c r="A1783" s="27">
        <f t="shared" si="21"/>
        <v>662</v>
      </c>
      <c r="B1783" s="121" t="s">
        <v>6054</v>
      </c>
      <c r="C1783" s="121" t="s">
        <v>6055</v>
      </c>
      <c r="D1783" s="119" t="s">
        <v>6056</v>
      </c>
      <c r="E1783" s="83"/>
      <c r="F1783" s="121" t="s">
        <v>29</v>
      </c>
      <c r="G1783" s="121" t="s">
        <v>131</v>
      </c>
      <c r="H1783" s="83"/>
      <c r="I1783" s="121" t="s">
        <v>131</v>
      </c>
      <c r="J1783" s="121">
        <v>60.0</v>
      </c>
      <c r="K1783" s="83"/>
      <c r="L1783" s="121" t="s">
        <v>6057</v>
      </c>
      <c r="M1783" s="121" t="s">
        <v>6058</v>
      </c>
      <c r="N1783" s="121">
        <v>1971.0</v>
      </c>
      <c r="O1783" s="60">
        <v>15.0</v>
      </c>
      <c r="P1783" s="121">
        <v>1.0</v>
      </c>
      <c r="Q1783" s="121">
        <v>1.0</v>
      </c>
      <c r="R1783" s="84"/>
      <c r="S1783" s="34"/>
      <c r="T1783" s="34"/>
      <c r="U1783" s="34"/>
      <c r="V1783" s="34"/>
      <c r="W1783" s="34"/>
      <c r="X1783" s="34"/>
      <c r="Y1783" s="45"/>
      <c r="Z1783" s="45"/>
      <c r="AA1783" s="45"/>
      <c r="AB1783" s="45"/>
      <c r="AC1783" s="45"/>
      <c r="AD1783" s="45"/>
      <c r="AE1783" s="45"/>
      <c r="AF1783" s="45"/>
      <c r="AG1783" s="45"/>
      <c r="AH1783" s="45"/>
      <c r="AI1783" s="45"/>
      <c r="AJ1783" s="45"/>
      <c r="AK1783" s="45"/>
      <c r="AL1783" s="45"/>
    </row>
    <row r="1784" ht="15.75" customHeight="1">
      <c r="A1784" s="27">
        <f t="shared" si="21"/>
        <v>663</v>
      </c>
      <c r="B1784" s="28"/>
      <c r="C1784" s="43" t="s">
        <v>6059</v>
      </c>
      <c r="D1784" s="30" t="s">
        <v>6060</v>
      </c>
      <c r="E1784" s="28" t="s">
        <v>31</v>
      </c>
      <c r="F1784" s="28" t="s">
        <v>29</v>
      </c>
      <c r="G1784" s="28" t="s">
        <v>131</v>
      </c>
      <c r="H1784" s="28"/>
      <c r="I1784" s="28" t="s">
        <v>38</v>
      </c>
      <c r="J1784" s="28">
        <v>174.0</v>
      </c>
      <c r="K1784" s="28"/>
      <c r="L1784" s="28" t="s">
        <v>6061</v>
      </c>
      <c r="M1784" s="28" t="s">
        <v>6062</v>
      </c>
      <c r="N1784" s="28">
        <v>1972.0</v>
      </c>
      <c r="O1784" s="60">
        <v>15.0</v>
      </c>
      <c r="P1784" s="28">
        <v>1.0</v>
      </c>
      <c r="Q1784" s="94">
        <v>1.0</v>
      </c>
      <c r="R1784" s="33"/>
      <c r="S1784" s="185"/>
      <c r="T1784" s="185"/>
      <c r="U1784" s="185"/>
      <c r="V1784" s="185"/>
      <c r="W1784" s="185"/>
      <c r="X1784" s="185"/>
      <c r="Y1784" s="45"/>
      <c r="Z1784" s="45"/>
      <c r="AA1784" s="45"/>
      <c r="AB1784" s="45"/>
      <c r="AC1784" s="45"/>
      <c r="AD1784" s="45"/>
      <c r="AE1784" s="45"/>
      <c r="AF1784" s="45"/>
      <c r="AG1784" s="45"/>
      <c r="AH1784" s="45"/>
      <c r="AI1784" s="45"/>
      <c r="AJ1784" s="45"/>
      <c r="AK1784" s="45"/>
      <c r="AL1784" s="45"/>
    </row>
    <row r="1785" ht="15.75" customHeight="1">
      <c r="A1785" s="27">
        <f t="shared" si="21"/>
        <v>664</v>
      </c>
      <c r="B1785" s="121" t="s">
        <v>6063</v>
      </c>
      <c r="C1785" s="121" t="s">
        <v>6064</v>
      </c>
      <c r="D1785" s="119" t="s">
        <v>6065</v>
      </c>
      <c r="E1785" s="83"/>
      <c r="F1785" s="121" t="s">
        <v>29</v>
      </c>
      <c r="G1785" s="121" t="s">
        <v>131</v>
      </c>
      <c r="H1785" s="83"/>
      <c r="I1785" s="121" t="s">
        <v>131</v>
      </c>
      <c r="J1785" s="121">
        <v>70.0</v>
      </c>
      <c r="K1785" s="83"/>
      <c r="L1785" s="121" t="s">
        <v>6066</v>
      </c>
      <c r="M1785" s="121" t="s">
        <v>6067</v>
      </c>
      <c r="N1785" s="121">
        <v>1973.0</v>
      </c>
      <c r="O1785" s="60">
        <v>15.0</v>
      </c>
      <c r="P1785" s="121">
        <v>1.0</v>
      </c>
      <c r="Q1785" s="121">
        <v>1.0</v>
      </c>
      <c r="R1785" s="84"/>
      <c r="S1785" s="40"/>
      <c r="T1785" s="40"/>
      <c r="U1785" s="40"/>
      <c r="V1785" s="40"/>
      <c r="W1785" s="40"/>
      <c r="X1785" s="40"/>
      <c r="Y1785" s="45"/>
      <c r="Z1785" s="45"/>
      <c r="AA1785" s="45"/>
      <c r="AB1785" s="45"/>
      <c r="AC1785" s="45"/>
      <c r="AD1785" s="45"/>
      <c r="AE1785" s="45"/>
      <c r="AF1785" s="45"/>
      <c r="AG1785" s="45"/>
      <c r="AH1785" s="45"/>
      <c r="AI1785" s="45"/>
      <c r="AJ1785" s="45"/>
      <c r="AK1785" s="45"/>
      <c r="AL1785" s="45"/>
    </row>
    <row r="1786" ht="15.75" customHeight="1">
      <c r="A1786" s="27">
        <f t="shared" si="21"/>
        <v>665</v>
      </c>
      <c r="B1786" s="28" t="s">
        <v>31</v>
      </c>
      <c r="C1786" s="43" t="s">
        <v>6068</v>
      </c>
      <c r="D1786" s="30" t="s">
        <v>6069</v>
      </c>
      <c r="E1786" s="28" t="s">
        <v>31</v>
      </c>
      <c r="F1786" s="28" t="s">
        <v>29</v>
      </c>
      <c r="G1786" s="28"/>
      <c r="H1786" s="28"/>
      <c r="I1786" s="28" t="s">
        <v>38</v>
      </c>
      <c r="J1786" s="28">
        <v>464.0</v>
      </c>
      <c r="K1786" s="28"/>
      <c r="L1786" s="28" t="s">
        <v>6070</v>
      </c>
      <c r="M1786" s="28" t="s">
        <v>31</v>
      </c>
      <c r="N1786" s="28">
        <v>1980.0</v>
      </c>
      <c r="O1786" s="60">
        <v>15.0</v>
      </c>
      <c r="P1786" s="28">
        <v>1.0</v>
      </c>
      <c r="Q1786" s="94">
        <v>1.0</v>
      </c>
      <c r="R1786" s="33"/>
      <c r="S1786" s="185"/>
      <c r="T1786" s="185"/>
      <c r="U1786" s="185"/>
      <c r="V1786" s="185"/>
      <c r="W1786" s="185"/>
      <c r="X1786" s="185"/>
      <c r="Y1786" s="45"/>
      <c r="Z1786" s="45"/>
      <c r="AA1786" s="45"/>
      <c r="AB1786" s="45"/>
      <c r="AC1786" s="45"/>
      <c r="AD1786" s="45"/>
      <c r="AE1786" s="45"/>
      <c r="AF1786" s="45"/>
      <c r="AG1786" s="45"/>
      <c r="AH1786" s="45"/>
      <c r="AI1786" s="45"/>
      <c r="AJ1786" s="45"/>
      <c r="AK1786" s="45"/>
      <c r="AL1786" s="45"/>
    </row>
    <row r="1787" ht="15.75" customHeight="1">
      <c r="A1787" s="27">
        <f t="shared" si="21"/>
        <v>666</v>
      </c>
      <c r="B1787" s="28"/>
      <c r="C1787" s="43" t="s">
        <v>6071</v>
      </c>
      <c r="D1787" s="30" t="s">
        <v>6072</v>
      </c>
      <c r="E1787" s="28" t="s">
        <v>31</v>
      </c>
      <c r="F1787" s="28" t="s">
        <v>29</v>
      </c>
      <c r="G1787" s="28" t="s">
        <v>30</v>
      </c>
      <c r="H1787" s="28"/>
      <c r="I1787" s="28" t="s">
        <v>30</v>
      </c>
      <c r="J1787" s="28">
        <v>238.0</v>
      </c>
      <c r="K1787" s="28"/>
      <c r="L1787" s="28" t="s">
        <v>6073</v>
      </c>
      <c r="M1787" s="28" t="s">
        <v>6074</v>
      </c>
      <c r="N1787" s="28">
        <v>1985.0</v>
      </c>
      <c r="O1787" s="60">
        <v>15.0</v>
      </c>
      <c r="P1787" s="28">
        <v>1.0</v>
      </c>
      <c r="Q1787" s="94">
        <v>1.0</v>
      </c>
      <c r="R1787" s="33"/>
      <c r="S1787" s="34"/>
      <c r="T1787" s="34"/>
      <c r="U1787" s="34"/>
      <c r="V1787" s="34"/>
      <c r="W1787" s="34"/>
      <c r="X1787" s="34"/>
      <c r="Y1787" s="45"/>
      <c r="Z1787" s="45"/>
      <c r="AA1787" s="45"/>
      <c r="AB1787" s="45"/>
      <c r="AC1787" s="45"/>
      <c r="AD1787" s="45"/>
      <c r="AE1787" s="45"/>
      <c r="AF1787" s="45"/>
      <c r="AG1787" s="45"/>
      <c r="AH1787" s="45"/>
      <c r="AI1787" s="45"/>
      <c r="AJ1787" s="45"/>
      <c r="AK1787" s="45"/>
      <c r="AL1787" s="45"/>
    </row>
    <row r="1788" ht="15.75" customHeight="1">
      <c r="A1788" s="27">
        <f t="shared" si="21"/>
        <v>667</v>
      </c>
      <c r="B1788" s="28" t="s">
        <v>6</v>
      </c>
      <c r="C1788" s="43" t="s">
        <v>6075</v>
      </c>
      <c r="D1788" s="30" t="s">
        <v>6076</v>
      </c>
      <c r="E1788" s="28" t="s">
        <v>31</v>
      </c>
      <c r="F1788" s="28" t="s">
        <v>29</v>
      </c>
      <c r="G1788" s="28" t="s">
        <v>30</v>
      </c>
      <c r="H1788" s="28"/>
      <c r="I1788" s="28" t="s">
        <v>30</v>
      </c>
      <c r="J1788" s="28">
        <v>107.0</v>
      </c>
      <c r="K1788" s="28"/>
      <c r="L1788" s="28" t="s">
        <v>6077</v>
      </c>
      <c r="M1788" s="28" t="s">
        <v>6078</v>
      </c>
      <c r="N1788" s="28">
        <v>1990.0</v>
      </c>
      <c r="O1788" s="60">
        <v>15.0</v>
      </c>
      <c r="P1788" s="28">
        <v>1.0</v>
      </c>
      <c r="Q1788" s="94">
        <v>1.0</v>
      </c>
      <c r="R1788" s="33"/>
      <c r="S1788" s="185"/>
      <c r="T1788" s="185"/>
      <c r="U1788" s="185"/>
      <c r="V1788" s="185"/>
      <c r="W1788" s="185"/>
      <c r="X1788" s="185"/>
      <c r="Y1788" s="3"/>
      <c r="Z1788" s="3"/>
      <c r="AA1788" s="3"/>
      <c r="AB1788" s="3"/>
      <c r="AC1788" s="3"/>
      <c r="AD1788" s="3"/>
      <c r="AE1788" s="3"/>
      <c r="AF1788" s="3"/>
      <c r="AG1788" s="3"/>
      <c r="AH1788" s="3"/>
      <c r="AI1788" s="3"/>
      <c r="AJ1788" s="3"/>
      <c r="AK1788" s="3"/>
      <c r="AL1788" s="3"/>
    </row>
    <row r="1789" ht="15.75" customHeight="1">
      <c r="A1789" s="27">
        <f t="shared" si="21"/>
        <v>668</v>
      </c>
      <c r="B1789" s="121" t="s">
        <v>6079</v>
      </c>
      <c r="C1789" s="121" t="s">
        <v>6080</v>
      </c>
      <c r="D1789" s="119" t="s">
        <v>6081</v>
      </c>
      <c r="E1789" s="83"/>
      <c r="F1789" s="121" t="s">
        <v>29</v>
      </c>
      <c r="G1789" s="121" t="s">
        <v>30</v>
      </c>
      <c r="H1789" s="83"/>
      <c r="I1789" s="121" t="s">
        <v>5608</v>
      </c>
      <c r="J1789" s="121">
        <v>405.0</v>
      </c>
      <c r="K1789" s="83"/>
      <c r="L1789" s="121" t="s">
        <v>6082</v>
      </c>
      <c r="M1789" s="121" t="s">
        <v>4762</v>
      </c>
      <c r="N1789" s="121">
        <v>2009.0</v>
      </c>
      <c r="O1789" s="60">
        <v>15.0</v>
      </c>
      <c r="P1789" s="121">
        <v>1.0</v>
      </c>
      <c r="Q1789" s="121">
        <v>1.0</v>
      </c>
      <c r="R1789" s="84"/>
      <c r="S1789" s="185"/>
      <c r="T1789" s="185"/>
      <c r="U1789" s="185"/>
      <c r="V1789" s="185"/>
      <c r="W1789" s="185"/>
      <c r="X1789" s="185"/>
      <c r="Y1789" s="3"/>
      <c r="Z1789" s="3"/>
      <c r="AA1789" s="3"/>
      <c r="AB1789" s="3"/>
      <c r="AC1789" s="3"/>
      <c r="AD1789" s="3"/>
      <c r="AE1789" s="3"/>
      <c r="AF1789" s="3"/>
      <c r="AG1789" s="3"/>
      <c r="AH1789" s="3"/>
      <c r="AI1789" s="3"/>
      <c r="AJ1789" s="3"/>
      <c r="AK1789" s="3"/>
      <c r="AL1789" s="3"/>
    </row>
    <row r="1790" ht="15.75" customHeight="1">
      <c r="A1790" s="27">
        <f t="shared" si="21"/>
        <v>669</v>
      </c>
      <c r="B1790" s="28" t="s">
        <v>31</v>
      </c>
      <c r="C1790" s="43" t="s">
        <v>6083</v>
      </c>
      <c r="D1790" s="30" t="s">
        <v>6084</v>
      </c>
      <c r="E1790" s="28"/>
      <c r="F1790" s="28" t="s">
        <v>29</v>
      </c>
      <c r="G1790" s="28" t="s">
        <v>37</v>
      </c>
      <c r="H1790" s="28" t="s">
        <v>31</v>
      </c>
      <c r="I1790" s="28" t="s">
        <v>38</v>
      </c>
      <c r="J1790" s="28">
        <v>138.0</v>
      </c>
      <c r="K1790" s="28"/>
      <c r="L1790" s="28" t="s">
        <v>6085</v>
      </c>
      <c r="M1790" s="28" t="s">
        <v>356</v>
      </c>
      <c r="N1790" s="28">
        <v>1982.0</v>
      </c>
      <c r="O1790" s="60">
        <v>15.0</v>
      </c>
      <c r="P1790" s="28">
        <v>1.0</v>
      </c>
      <c r="Q1790" s="94">
        <v>1.0</v>
      </c>
      <c r="R1790" s="33"/>
      <c r="S1790" s="34"/>
      <c r="T1790" s="34"/>
      <c r="U1790" s="34"/>
      <c r="V1790" s="34"/>
      <c r="W1790" s="34"/>
      <c r="X1790" s="34"/>
      <c r="Y1790" s="45"/>
      <c r="Z1790" s="45"/>
      <c r="AA1790" s="45"/>
      <c r="AB1790" s="45"/>
      <c r="AC1790" s="45"/>
      <c r="AD1790" s="45"/>
      <c r="AE1790" s="45"/>
      <c r="AF1790" s="45"/>
      <c r="AG1790" s="45"/>
      <c r="AH1790" s="45"/>
      <c r="AI1790" s="45"/>
      <c r="AJ1790" s="45"/>
      <c r="AK1790" s="45"/>
      <c r="AL1790" s="45"/>
    </row>
    <row r="1791" ht="15.75" customHeight="1">
      <c r="A1791" s="27">
        <f t="shared" si="21"/>
        <v>670</v>
      </c>
      <c r="B1791" s="28" t="s">
        <v>6086</v>
      </c>
      <c r="C1791" s="43" t="s">
        <v>6087</v>
      </c>
      <c r="D1791" s="30" t="s">
        <v>6088</v>
      </c>
      <c r="E1791" s="28" t="s">
        <v>31</v>
      </c>
      <c r="F1791" s="28" t="s">
        <v>29</v>
      </c>
      <c r="G1791" s="28" t="s">
        <v>37</v>
      </c>
      <c r="H1791" s="28"/>
      <c r="I1791" s="28" t="s">
        <v>38</v>
      </c>
      <c r="J1791" s="28">
        <v>174.0</v>
      </c>
      <c r="K1791" s="28"/>
      <c r="L1791" s="28" t="s">
        <v>6089</v>
      </c>
      <c r="M1791" s="28" t="s">
        <v>1399</v>
      </c>
      <c r="N1791" s="28">
        <v>1994.0</v>
      </c>
      <c r="O1791" s="60">
        <v>15.0</v>
      </c>
      <c r="P1791" s="28">
        <v>1.0</v>
      </c>
      <c r="Q1791" s="94">
        <v>1.0</v>
      </c>
      <c r="R1791" s="33"/>
      <c r="S1791" s="34"/>
      <c r="T1791" s="34"/>
      <c r="U1791" s="34"/>
      <c r="V1791" s="34"/>
      <c r="W1791" s="34"/>
      <c r="X1791" s="34"/>
      <c r="Y1791" s="45"/>
      <c r="Z1791" s="45"/>
      <c r="AA1791" s="45"/>
      <c r="AB1791" s="45"/>
      <c r="AC1791" s="45"/>
      <c r="AD1791" s="45"/>
      <c r="AE1791" s="45"/>
      <c r="AF1791" s="45"/>
      <c r="AG1791" s="45"/>
      <c r="AH1791" s="45"/>
      <c r="AI1791" s="45"/>
      <c r="AJ1791" s="45"/>
      <c r="AK1791" s="45"/>
      <c r="AL1791" s="45"/>
    </row>
    <row r="1792" ht="15.75" customHeight="1">
      <c r="A1792" s="27">
        <f t="shared" si="21"/>
        <v>671</v>
      </c>
      <c r="B1792" s="28"/>
      <c r="C1792" s="43" t="s">
        <v>6090</v>
      </c>
      <c r="D1792" s="30" t="s">
        <v>6091</v>
      </c>
      <c r="E1792" s="28" t="s">
        <v>31</v>
      </c>
      <c r="F1792" s="28" t="s">
        <v>29</v>
      </c>
      <c r="G1792" s="28" t="s">
        <v>30</v>
      </c>
      <c r="H1792" s="28"/>
      <c r="I1792" s="28" t="s">
        <v>30</v>
      </c>
      <c r="J1792" s="28">
        <v>100.0</v>
      </c>
      <c r="K1792" s="28"/>
      <c r="L1792" s="28" t="s">
        <v>6092</v>
      </c>
      <c r="M1792" s="28" t="s">
        <v>114</v>
      </c>
      <c r="N1792" s="28">
        <v>1978.0</v>
      </c>
      <c r="O1792" s="60">
        <v>15.0</v>
      </c>
      <c r="P1792" s="28">
        <v>2.0</v>
      </c>
      <c r="Q1792" s="94">
        <v>2.0</v>
      </c>
      <c r="R1792" s="33"/>
      <c r="S1792" s="34"/>
      <c r="T1792" s="34"/>
      <c r="U1792" s="34"/>
      <c r="V1792" s="34"/>
      <c r="W1792" s="34"/>
      <c r="X1792" s="34"/>
      <c r="Y1792" s="3"/>
      <c r="Z1792" s="3"/>
      <c r="AA1792" s="3"/>
      <c r="AB1792" s="3"/>
      <c r="AC1792" s="3"/>
      <c r="AD1792" s="3"/>
      <c r="AE1792" s="3"/>
      <c r="AF1792" s="3"/>
      <c r="AG1792" s="3"/>
      <c r="AH1792" s="3"/>
      <c r="AI1792" s="3"/>
      <c r="AJ1792" s="3"/>
      <c r="AK1792" s="3"/>
      <c r="AL1792" s="3"/>
    </row>
    <row r="1793" ht="15.75" customHeight="1">
      <c r="A1793" s="27">
        <f t="shared" si="21"/>
        <v>672</v>
      </c>
      <c r="B1793" s="28"/>
      <c r="C1793" s="43" t="s">
        <v>6093</v>
      </c>
      <c r="D1793" s="30" t="s">
        <v>6094</v>
      </c>
      <c r="E1793" s="28" t="s">
        <v>31</v>
      </c>
      <c r="F1793" s="28" t="s">
        <v>29</v>
      </c>
      <c r="G1793" s="28" t="s">
        <v>30</v>
      </c>
      <c r="H1793" s="28"/>
      <c r="I1793" s="28" t="s">
        <v>30</v>
      </c>
      <c r="J1793" s="28">
        <v>82.0</v>
      </c>
      <c r="K1793" s="28"/>
      <c r="L1793" s="28" t="s">
        <v>6092</v>
      </c>
      <c r="M1793" s="28" t="s">
        <v>114</v>
      </c>
      <c r="N1793" s="28">
        <v>1977.0</v>
      </c>
      <c r="O1793" s="60">
        <v>15.0</v>
      </c>
      <c r="P1793" s="60">
        <v>2.0</v>
      </c>
      <c r="Q1793" s="94">
        <v>2.0</v>
      </c>
      <c r="R1793" s="33"/>
      <c r="S1793" s="34"/>
      <c r="T1793" s="34"/>
      <c r="U1793" s="34"/>
      <c r="V1793" s="34"/>
      <c r="W1793" s="34"/>
      <c r="X1793" s="34"/>
      <c r="Y1793" s="3"/>
      <c r="Z1793" s="3"/>
      <c r="AA1793" s="3"/>
      <c r="AB1793" s="3"/>
      <c r="AC1793" s="3"/>
      <c r="AD1793" s="3"/>
      <c r="AE1793" s="3"/>
      <c r="AF1793" s="3"/>
      <c r="AG1793" s="3"/>
      <c r="AH1793" s="3"/>
      <c r="AI1793" s="3"/>
      <c r="AJ1793" s="3"/>
      <c r="AK1793" s="3"/>
      <c r="AL1793" s="3"/>
    </row>
    <row r="1794" ht="15.75" customHeight="1">
      <c r="A1794" s="27">
        <f t="shared" si="21"/>
        <v>673</v>
      </c>
      <c r="B1794" s="28"/>
      <c r="C1794" s="43" t="s">
        <v>6093</v>
      </c>
      <c r="D1794" s="30" t="s">
        <v>6095</v>
      </c>
      <c r="E1794" s="28" t="s">
        <v>31</v>
      </c>
      <c r="F1794" s="28" t="s">
        <v>29</v>
      </c>
      <c r="G1794" s="28" t="s">
        <v>30</v>
      </c>
      <c r="H1794" s="28"/>
      <c r="I1794" s="28" t="s">
        <v>30</v>
      </c>
      <c r="J1794" s="28">
        <v>100.0</v>
      </c>
      <c r="K1794" s="28"/>
      <c r="L1794" s="28" t="s">
        <v>6092</v>
      </c>
      <c r="M1794" s="28" t="s">
        <v>114</v>
      </c>
      <c r="N1794" s="28">
        <v>1978.0</v>
      </c>
      <c r="O1794" s="60">
        <v>15.0</v>
      </c>
      <c r="P1794" s="28">
        <v>2.0</v>
      </c>
      <c r="Q1794" s="94">
        <v>1.0</v>
      </c>
      <c r="R1794" s="33"/>
      <c r="S1794" s="34"/>
      <c r="T1794" s="34"/>
      <c r="U1794" s="34"/>
      <c r="V1794" s="34"/>
      <c r="W1794" s="34"/>
      <c r="X1794" s="34"/>
      <c r="Y1794" s="3"/>
      <c r="Z1794" s="3"/>
      <c r="AA1794" s="3"/>
      <c r="AB1794" s="3"/>
      <c r="AC1794" s="3"/>
      <c r="AD1794" s="3"/>
      <c r="AE1794" s="3"/>
      <c r="AF1794" s="3"/>
      <c r="AG1794" s="3"/>
      <c r="AH1794" s="3"/>
      <c r="AI1794" s="3"/>
      <c r="AJ1794" s="3"/>
      <c r="AK1794" s="3"/>
      <c r="AL1794" s="3"/>
    </row>
    <row r="1795" ht="15.75" customHeight="1">
      <c r="A1795" s="27">
        <f t="shared" si="21"/>
        <v>674</v>
      </c>
      <c r="B1795" s="28" t="s">
        <v>6096</v>
      </c>
      <c r="C1795" s="43" t="s">
        <v>6097</v>
      </c>
      <c r="D1795" s="30" t="s">
        <v>6098</v>
      </c>
      <c r="E1795" s="28" t="s">
        <v>2863</v>
      </c>
      <c r="F1795" s="28" t="s">
        <v>29</v>
      </c>
      <c r="G1795" s="28" t="s">
        <v>30</v>
      </c>
      <c r="H1795" s="28"/>
      <c r="I1795" s="28" t="s">
        <v>30</v>
      </c>
      <c r="J1795" s="28">
        <v>237.0</v>
      </c>
      <c r="K1795" s="28"/>
      <c r="L1795" s="28" t="s">
        <v>6099</v>
      </c>
      <c r="M1795" s="28" t="s">
        <v>6100</v>
      </c>
      <c r="N1795" s="28">
        <v>2010.0</v>
      </c>
      <c r="O1795" s="28">
        <v>15.0</v>
      </c>
      <c r="P1795" s="28">
        <v>1.0</v>
      </c>
      <c r="Q1795" s="94">
        <v>1.0</v>
      </c>
      <c r="R1795" s="33"/>
      <c r="S1795" s="34"/>
      <c r="T1795" s="34"/>
      <c r="U1795" s="34"/>
      <c r="V1795" s="34"/>
      <c r="W1795" s="34"/>
      <c r="X1795" s="34"/>
      <c r="Y1795" s="45"/>
      <c r="Z1795" s="45"/>
      <c r="AA1795" s="45"/>
      <c r="AB1795" s="45"/>
      <c r="AC1795" s="45"/>
      <c r="AD1795" s="45"/>
      <c r="AE1795" s="45"/>
      <c r="AF1795" s="45"/>
      <c r="AG1795" s="45"/>
      <c r="AH1795" s="45"/>
      <c r="AI1795" s="45"/>
      <c r="AJ1795" s="45"/>
      <c r="AK1795" s="45"/>
      <c r="AL1795" s="45"/>
    </row>
    <row r="1796" ht="15.75" customHeight="1">
      <c r="A1796" s="27">
        <f t="shared" si="21"/>
        <v>675</v>
      </c>
      <c r="B1796" s="28" t="s">
        <v>6101</v>
      </c>
      <c r="C1796" s="43" t="s">
        <v>6097</v>
      </c>
      <c r="D1796" s="30" t="s">
        <v>6102</v>
      </c>
      <c r="E1796" s="28" t="s">
        <v>2863</v>
      </c>
      <c r="F1796" s="28" t="s">
        <v>29</v>
      </c>
      <c r="G1796" s="28" t="s">
        <v>30</v>
      </c>
      <c r="H1796" s="28"/>
      <c r="I1796" s="28" t="s">
        <v>30</v>
      </c>
      <c r="J1796" s="28">
        <v>215.0</v>
      </c>
      <c r="K1796" s="28"/>
      <c r="L1796" s="28" t="s">
        <v>6099</v>
      </c>
      <c r="M1796" s="28" t="s">
        <v>6100</v>
      </c>
      <c r="N1796" s="28">
        <v>2010.0</v>
      </c>
      <c r="O1796" s="28">
        <v>15.0</v>
      </c>
      <c r="P1796" s="28">
        <v>1.0</v>
      </c>
      <c r="Q1796" s="94">
        <v>1.0</v>
      </c>
      <c r="R1796" s="33"/>
      <c r="S1796" s="34"/>
      <c r="T1796" s="34"/>
      <c r="U1796" s="34"/>
      <c r="V1796" s="34"/>
      <c r="W1796" s="34"/>
      <c r="X1796" s="34"/>
      <c r="Y1796" s="45"/>
      <c r="Z1796" s="45"/>
      <c r="AA1796" s="45"/>
      <c r="AB1796" s="45"/>
      <c r="AC1796" s="45"/>
      <c r="AD1796" s="45"/>
      <c r="AE1796" s="45"/>
      <c r="AF1796" s="45"/>
      <c r="AG1796" s="45"/>
      <c r="AH1796" s="45"/>
      <c r="AI1796" s="45"/>
      <c r="AJ1796" s="45"/>
      <c r="AK1796" s="45"/>
      <c r="AL1796" s="45"/>
    </row>
    <row r="1797" ht="15.75" customHeight="1">
      <c r="A1797" s="27">
        <f t="shared" si="21"/>
        <v>676</v>
      </c>
      <c r="B1797" s="28" t="s">
        <v>31</v>
      </c>
      <c r="C1797" s="43" t="s">
        <v>6103</v>
      </c>
      <c r="D1797" s="30" t="s">
        <v>6104</v>
      </c>
      <c r="E1797" s="28" t="s">
        <v>31</v>
      </c>
      <c r="F1797" s="28" t="s">
        <v>29</v>
      </c>
      <c r="G1797" s="28" t="s">
        <v>5563</v>
      </c>
      <c r="H1797" s="28"/>
      <c r="I1797" s="28" t="s">
        <v>38</v>
      </c>
      <c r="J1797" s="28">
        <v>429.0</v>
      </c>
      <c r="K1797" s="28"/>
      <c r="L1797" s="28" t="s">
        <v>6105</v>
      </c>
      <c r="M1797" s="28" t="s">
        <v>6106</v>
      </c>
      <c r="N1797" s="28">
        <v>1958.0</v>
      </c>
      <c r="O1797" s="60">
        <v>15.0</v>
      </c>
      <c r="P1797" s="28">
        <v>1.0</v>
      </c>
      <c r="Q1797" s="94">
        <v>1.0</v>
      </c>
      <c r="R1797" s="33"/>
      <c r="S1797" s="34"/>
      <c r="T1797" s="34"/>
      <c r="U1797" s="34"/>
      <c r="V1797" s="34"/>
      <c r="W1797" s="34"/>
      <c r="X1797" s="34"/>
      <c r="Y1797" s="45"/>
      <c r="Z1797" s="45"/>
      <c r="AA1797" s="45"/>
      <c r="AB1797" s="45"/>
      <c r="AC1797" s="45"/>
      <c r="AD1797" s="45"/>
      <c r="AE1797" s="45"/>
      <c r="AF1797" s="45"/>
      <c r="AG1797" s="45"/>
      <c r="AH1797" s="45"/>
      <c r="AI1797" s="45"/>
      <c r="AJ1797" s="45"/>
      <c r="AK1797" s="45"/>
      <c r="AL1797" s="45"/>
    </row>
    <row r="1798" ht="15.75" customHeight="1">
      <c r="A1798" s="27">
        <f t="shared" si="21"/>
        <v>677</v>
      </c>
      <c r="B1798" s="28" t="s">
        <v>31</v>
      </c>
      <c r="C1798" s="43" t="s">
        <v>6107</v>
      </c>
      <c r="D1798" s="30" t="s">
        <v>6108</v>
      </c>
      <c r="E1798" s="28" t="s">
        <v>31</v>
      </c>
      <c r="F1798" s="28" t="s">
        <v>29</v>
      </c>
      <c r="G1798" s="28" t="s">
        <v>2417</v>
      </c>
      <c r="H1798" s="28"/>
      <c r="I1798" s="28" t="s">
        <v>38</v>
      </c>
      <c r="J1798" s="28">
        <v>272.0</v>
      </c>
      <c r="K1798" s="28"/>
      <c r="L1798" s="28" t="s">
        <v>2387</v>
      </c>
      <c r="M1798" s="28" t="s">
        <v>133</v>
      </c>
      <c r="N1798" s="28">
        <v>1975.0</v>
      </c>
      <c r="O1798" s="60">
        <v>15.0</v>
      </c>
      <c r="P1798" s="28">
        <v>1.0</v>
      </c>
      <c r="Q1798" s="94">
        <v>1.0</v>
      </c>
      <c r="R1798" s="33"/>
      <c r="S1798" s="34"/>
      <c r="T1798" s="34"/>
      <c r="U1798" s="34"/>
      <c r="V1798" s="34"/>
      <c r="W1798" s="34"/>
      <c r="X1798" s="34"/>
      <c r="Y1798" s="45"/>
      <c r="Z1798" s="45"/>
      <c r="AA1798" s="45"/>
      <c r="AB1798" s="45"/>
      <c r="AC1798" s="45"/>
      <c r="AD1798" s="45"/>
      <c r="AE1798" s="45"/>
      <c r="AF1798" s="45"/>
      <c r="AG1798" s="45"/>
      <c r="AH1798" s="45"/>
      <c r="AI1798" s="45"/>
      <c r="AJ1798" s="45"/>
      <c r="AK1798" s="45"/>
      <c r="AL1798" s="45"/>
    </row>
    <row r="1799" ht="15.75" customHeight="1">
      <c r="A1799" s="27">
        <f t="shared" si="21"/>
        <v>678</v>
      </c>
      <c r="B1799" s="28" t="s">
        <v>6109</v>
      </c>
      <c r="C1799" s="43" t="s">
        <v>6110</v>
      </c>
      <c r="D1799" s="30" t="s">
        <v>6111</v>
      </c>
      <c r="E1799" s="28" t="s">
        <v>302</v>
      </c>
      <c r="F1799" s="28" t="s">
        <v>29</v>
      </c>
      <c r="G1799" s="28" t="s">
        <v>3855</v>
      </c>
      <c r="H1799" s="28"/>
      <c r="I1799" s="28" t="s">
        <v>38</v>
      </c>
      <c r="J1799" s="28">
        <v>904.0</v>
      </c>
      <c r="K1799" s="28"/>
      <c r="L1799" s="28" t="s">
        <v>6112</v>
      </c>
      <c r="M1799" s="28" t="s">
        <v>5190</v>
      </c>
      <c r="N1799" s="28">
        <v>2016.0</v>
      </c>
      <c r="O1799" s="60">
        <v>15.0</v>
      </c>
      <c r="P1799" s="28">
        <v>1.0</v>
      </c>
      <c r="Q1799" s="94">
        <v>1.0</v>
      </c>
      <c r="R1799" s="33"/>
      <c r="S1799" s="34"/>
      <c r="T1799" s="34"/>
      <c r="U1799" s="34"/>
      <c r="V1799" s="34"/>
      <c r="W1799" s="34"/>
      <c r="X1799" s="34"/>
      <c r="Y1799" s="3"/>
      <c r="Z1799" s="3"/>
      <c r="AA1799" s="3"/>
      <c r="AB1799" s="3"/>
      <c r="AC1799" s="3"/>
      <c r="AD1799" s="3"/>
      <c r="AE1799" s="3"/>
      <c r="AF1799" s="3"/>
      <c r="AG1799" s="3"/>
      <c r="AH1799" s="3"/>
      <c r="AI1799" s="3"/>
      <c r="AJ1799" s="3"/>
      <c r="AK1799" s="3"/>
      <c r="AL1799" s="3"/>
    </row>
    <row r="1800" ht="15.75" customHeight="1">
      <c r="A1800" s="27">
        <f t="shared" si="21"/>
        <v>679</v>
      </c>
      <c r="B1800" s="28" t="s">
        <v>6113</v>
      </c>
      <c r="C1800" s="43" t="s">
        <v>6114</v>
      </c>
      <c r="D1800" s="30" t="s">
        <v>6115</v>
      </c>
      <c r="E1800" s="28"/>
      <c r="F1800" s="28" t="s">
        <v>29</v>
      </c>
      <c r="G1800" s="28" t="s">
        <v>38</v>
      </c>
      <c r="H1800" s="28" t="s">
        <v>31</v>
      </c>
      <c r="I1800" s="28" t="s">
        <v>38</v>
      </c>
      <c r="J1800" s="28">
        <v>431.0</v>
      </c>
      <c r="K1800" s="28"/>
      <c r="L1800" s="28" t="s">
        <v>6116</v>
      </c>
      <c r="M1800" s="28" t="s">
        <v>83</v>
      </c>
      <c r="N1800" s="28">
        <v>1972.0</v>
      </c>
      <c r="O1800" s="60">
        <v>15.0</v>
      </c>
      <c r="P1800" s="28">
        <v>2.0</v>
      </c>
      <c r="Q1800" s="94">
        <v>2.0</v>
      </c>
      <c r="R1800" s="33"/>
      <c r="S1800" s="34"/>
      <c r="T1800" s="34"/>
      <c r="U1800" s="34"/>
      <c r="V1800" s="34"/>
      <c r="W1800" s="34"/>
      <c r="X1800" s="34"/>
      <c r="Y1800" s="3"/>
      <c r="Z1800" s="3"/>
      <c r="AA1800" s="3"/>
      <c r="AB1800" s="3"/>
      <c r="AC1800" s="3"/>
      <c r="AD1800" s="3"/>
      <c r="AE1800" s="3"/>
      <c r="AF1800" s="3"/>
      <c r="AG1800" s="3"/>
      <c r="AH1800" s="3"/>
      <c r="AI1800" s="3"/>
      <c r="AJ1800" s="3"/>
      <c r="AK1800" s="3"/>
      <c r="AL1800" s="3"/>
    </row>
    <row r="1801" ht="15.75" customHeight="1">
      <c r="A1801" s="27">
        <f t="shared" si="21"/>
        <v>680</v>
      </c>
      <c r="B1801" s="28" t="s">
        <v>6117</v>
      </c>
      <c r="C1801" s="43" t="s">
        <v>6118</v>
      </c>
      <c r="D1801" s="30" t="s">
        <v>6119</v>
      </c>
      <c r="E1801" s="28" t="s">
        <v>31</v>
      </c>
      <c r="F1801" s="28" t="s">
        <v>29</v>
      </c>
      <c r="G1801" s="28" t="s">
        <v>37</v>
      </c>
      <c r="H1801" s="28"/>
      <c r="I1801" s="28" t="s">
        <v>38</v>
      </c>
      <c r="J1801" s="28">
        <v>243.0</v>
      </c>
      <c r="K1801" s="28"/>
      <c r="L1801" s="28" t="s">
        <v>6116</v>
      </c>
      <c r="M1801" s="28" t="s">
        <v>83</v>
      </c>
      <c r="N1801" s="28">
        <v>1974.0</v>
      </c>
      <c r="O1801" s="60">
        <v>15.0</v>
      </c>
      <c r="P1801" s="28">
        <v>1.0</v>
      </c>
      <c r="Q1801" s="94">
        <v>1.0</v>
      </c>
      <c r="R1801" s="33"/>
      <c r="S1801" s="34"/>
      <c r="T1801" s="34"/>
      <c r="U1801" s="34"/>
      <c r="V1801" s="34"/>
      <c r="W1801" s="34"/>
      <c r="X1801" s="34"/>
      <c r="Y1801" s="45"/>
      <c r="Z1801" s="45"/>
      <c r="AA1801" s="45"/>
      <c r="AB1801" s="45"/>
      <c r="AC1801" s="45"/>
      <c r="AD1801" s="45"/>
      <c r="AE1801" s="45"/>
      <c r="AF1801" s="45"/>
      <c r="AG1801" s="45"/>
      <c r="AH1801" s="45"/>
      <c r="AI1801" s="45"/>
      <c r="AJ1801" s="45"/>
      <c r="AK1801" s="45"/>
      <c r="AL1801" s="45"/>
    </row>
    <row r="1802" ht="15.75" customHeight="1">
      <c r="A1802" s="27">
        <f t="shared" si="21"/>
        <v>681</v>
      </c>
      <c r="B1802" s="28" t="s">
        <v>6120</v>
      </c>
      <c r="C1802" s="43" t="s">
        <v>6121</v>
      </c>
      <c r="D1802" s="30" t="s">
        <v>6122</v>
      </c>
      <c r="E1802" s="28" t="s">
        <v>31</v>
      </c>
      <c r="F1802" s="28" t="s">
        <v>29</v>
      </c>
      <c r="G1802" s="28"/>
      <c r="H1802" s="28"/>
      <c r="I1802" s="28" t="s">
        <v>38</v>
      </c>
      <c r="J1802" s="28">
        <v>184.0</v>
      </c>
      <c r="K1802" s="28"/>
      <c r="L1802" s="28" t="s">
        <v>6123</v>
      </c>
      <c r="M1802" s="28" t="s">
        <v>6124</v>
      </c>
      <c r="N1802" s="28">
        <v>1989.0</v>
      </c>
      <c r="O1802" s="60">
        <v>15.0</v>
      </c>
      <c r="P1802" s="28">
        <v>1.0</v>
      </c>
      <c r="Q1802" s="94">
        <v>1.0</v>
      </c>
      <c r="R1802" s="33"/>
      <c r="S1802" s="34"/>
      <c r="T1802" s="34"/>
      <c r="U1802" s="34"/>
      <c r="V1802" s="34"/>
      <c r="W1802" s="34"/>
      <c r="X1802" s="34"/>
      <c r="Y1802" s="3"/>
      <c r="Z1802" s="3"/>
      <c r="AA1802" s="3"/>
      <c r="AB1802" s="3"/>
      <c r="AC1802" s="3"/>
      <c r="AD1802" s="3"/>
      <c r="AE1802" s="3"/>
      <c r="AF1802" s="3"/>
      <c r="AG1802" s="3"/>
      <c r="AH1802" s="3"/>
      <c r="AI1802" s="3"/>
      <c r="AJ1802" s="3"/>
      <c r="AK1802" s="3"/>
      <c r="AL1802" s="3"/>
    </row>
    <row r="1803" ht="15.75" customHeight="1">
      <c r="A1803" s="27">
        <f t="shared" si="21"/>
        <v>682</v>
      </c>
      <c r="B1803" s="28"/>
      <c r="C1803" s="43" t="s">
        <v>6125</v>
      </c>
      <c r="D1803" s="30" t="s">
        <v>6126</v>
      </c>
      <c r="E1803" s="28" t="s">
        <v>31</v>
      </c>
      <c r="F1803" s="28" t="s">
        <v>29</v>
      </c>
      <c r="G1803" s="28" t="s">
        <v>38</v>
      </c>
      <c r="H1803" s="28"/>
      <c r="I1803" s="28" t="s">
        <v>38</v>
      </c>
      <c r="J1803" s="28">
        <v>154.0</v>
      </c>
      <c r="K1803" s="28"/>
      <c r="L1803" s="28" t="s">
        <v>31</v>
      </c>
      <c r="M1803" s="28" t="s">
        <v>6127</v>
      </c>
      <c r="N1803" s="28">
        <v>1989.0</v>
      </c>
      <c r="O1803" s="60">
        <v>15.0</v>
      </c>
      <c r="P1803" s="28">
        <v>1.0</v>
      </c>
      <c r="Q1803" s="94">
        <v>1.0</v>
      </c>
      <c r="R1803" s="33"/>
      <c r="S1803" s="34"/>
      <c r="T1803" s="34"/>
      <c r="U1803" s="34"/>
      <c r="V1803" s="34"/>
      <c r="W1803" s="34"/>
      <c r="X1803" s="34"/>
      <c r="Y1803" s="45"/>
      <c r="Z1803" s="45"/>
      <c r="AA1803" s="45"/>
      <c r="AB1803" s="45"/>
      <c r="AC1803" s="45"/>
      <c r="AD1803" s="45"/>
      <c r="AE1803" s="45"/>
      <c r="AF1803" s="45"/>
      <c r="AG1803" s="45"/>
      <c r="AH1803" s="45"/>
      <c r="AI1803" s="45"/>
      <c r="AJ1803" s="45"/>
      <c r="AK1803" s="45"/>
      <c r="AL1803" s="45"/>
    </row>
    <row r="1804" ht="15.75" customHeight="1">
      <c r="A1804" s="27">
        <f t="shared" si="21"/>
        <v>683</v>
      </c>
      <c r="B1804" s="28"/>
      <c r="C1804" s="43" t="s">
        <v>6125</v>
      </c>
      <c r="D1804" s="30" t="s">
        <v>6128</v>
      </c>
      <c r="E1804" s="28" t="s">
        <v>31</v>
      </c>
      <c r="F1804" s="28" t="s">
        <v>29</v>
      </c>
      <c r="G1804" s="28" t="s">
        <v>38</v>
      </c>
      <c r="H1804" s="28"/>
      <c r="I1804" s="28" t="s">
        <v>38</v>
      </c>
      <c r="J1804" s="28">
        <v>111.0</v>
      </c>
      <c r="K1804" s="28"/>
      <c r="L1804" s="28" t="s">
        <v>31</v>
      </c>
      <c r="M1804" s="28" t="s">
        <v>6127</v>
      </c>
      <c r="N1804" s="28">
        <v>1989.0</v>
      </c>
      <c r="O1804" s="60">
        <v>15.0</v>
      </c>
      <c r="P1804" s="28">
        <v>1.0</v>
      </c>
      <c r="Q1804" s="94">
        <v>1.0</v>
      </c>
      <c r="R1804" s="33"/>
      <c r="S1804" s="34"/>
      <c r="T1804" s="34"/>
      <c r="U1804" s="34"/>
      <c r="V1804" s="34"/>
      <c r="W1804" s="34"/>
      <c r="X1804" s="34"/>
      <c r="Y1804" s="3"/>
      <c r="Z1804" s="3"/>
      <c r="AA1804" s="3"/>
      <c r="AB1804" s="3"/>
      <c r="AC1804" s="3"/>
      <c r="AD1804" s="3"/>
      <c r="AE1804" s="3"/>
      <c r="AF1804" s="3"/>
      <c r="AG1804" s="3"/>
      <c r="AH1804" s="3"/>
      <c r="AI1804" s="3"/>
      <c r="AJ1804" s="3"/>
      <c r="AK1804" s="3"/>
      <c r="AL1804" s="3"/>
    </row>
    <row r="1805" ht="15.75" customHeight="1">
      <c r="A1805" s="27">
        <f t="shared" si="21"/>
        <v>684</v>
      </c>
      <c r="B1805" s="28" t="s">
        <v>31</v>
      </c>
      <c r="C1805" s="43" t="s">
        <v>6129</v>
      </c>
      <c r="D1805" s="30" t="s">
        <v>6130</v>
      </c>
      <c r="E1805" s="28"/>
      <c r="F1805" s="28" t="s">
        <v>29</v>
      </c>
      <c r="G1805" s="28" t="s">
        <v>30</v>
      </c>
      <c r="H1805" s="28" t="s">
        <v>31</v>
      </c>
      <c r="I1805" s="28" t="s">
        <v>30</v>
      </c>
      <c r="J1805" s="28">
        <v>155.0</v>
      </c>
      <c r="K1805" s="28"/>
      <c r="L1805" s="28" t="s">
        <v>6131</v>
      </c>
      <c r="M1805" s="28" t="s">
        <v>2698</v>
      </c>
      <c r="N1805" s="28">
        <v>1984.0</v>
      </c>
      <c r="O1805" s="60">
        <v>15.0</v>
      </c>
      <c r="P1805" s="28">
        <v>1.0</v>
      </c>
      <c r="Q1805" s="94">
        <v>1.0</v>
      </c>
      <c r="R1805" s="33"/>
      <c r="S1805" s="34"/>
      <c r="T1805" s="34"/>
      <c r="U1805" s="34"/>
      <c r="V1805" s="34"/>
      <c r="W1805" s="34"/>
      <c r="X1805" s="34"/>
      <c r="Y1805" s="3"/>
      <c r="Z1805" s="3"/>
      <c r="AA1805" s="3"/>
      <c r="AB1805" s="3"/>
      <c r="AC1805" s="3"/>
      <c r="AD1805" s="3"/>
      <c r="AE1805" s="3"/>
      <c r="AF1805" s="3"/>
      <c r="AG1805" s="3"/>
      <c r="AH1805" s="3"/>
      <c r="AI1805" s="3"/>
      <c r="AJ1805" s="3"/>
      <c r="AK1805" s="3"/>
      <c r="AL1805" s="3"/>
    </row>
    <row r="1806" ht="15.75" customHeight="1">
      <c r="A1806" s="27">
        <f t="shared" si="21"/>
        <v>685</v>
      </c>
      <c r="B1806" s="121" t="s">
        <v>6132</v>
      </c>
      <c r="C1806" s="121" t="s">
        <v>6133</v>
      </c>
      <c r="D1806" s="119" t="s">
        <v>6134</v>
      </c>
      <c r="E1806" s="83"/>
      <c r="F1806" s="83"/>
      <c r="G1806" s="83"/>
      <c r="H1806" s="83"/>
      <c r="I1806" s="121" t="s">
        <v>30</v>
      </c>
      <c r="J1806" s="121">
        <v>94.0</v>
      </c>
      <c r="K1806" s="83"/>
      <c r="L1806" s="121" t="s">
        <v>6135</v>
      </c>
      <c r="M1806" s="121" t="s">
        <v>6058</v>
      </c>
      <c r="N1806" s="121">
        <v>1971.0</v>
      </c>
      <c r="O1806" s="60">
        <v>15.0</v>
      </c>
      <c r="P1806" s="121">
        <v>1.0</v>
      </c>
      <c r="Q1806" s="121">
        <v>1.0</v>
      </c>
      <c r="R1806" s="84"/>
      <c r="S1806" s="34"/>
      <c r="T1806" s="34"/>
      <c r="U1806" s="34"/>
      <c r="V1806" s="34"/>
      <c r="W1806" s="34"/>
      <c r="X1806" s="34"/>
      <c r="Y1806" s="3"/>
      <c r="Z1806" s="3"/>
      <c r="AA1806" s="3"/>
      <c r="AB1806" s="3"/>
      <c r="AC1806" s="3"/>
      <c r="AD1806" s="3"/>
      <c r="AE1806" s="3"/>
      <c r="AF1806" s="3"/>
      <c r="AG1806" s="3"/>
      <c r="AH1806" s="3"/>
      <c r="AI1806" s="3"/>
      <c r="AJ1806" s="3"/>
      <c r="AK1806" s="3"/>
      <c r="AL1806" s="3"/>
    </row>
    <row r="1807" ht="15.75" customHeight="1">
      <c r="A1807" s="27">
        <f t="shared" si="21"/>
        <v>686</v>
      </c>
      <c r="B1807" s="28" t="s">
        <v>31</v>
      </c>
      <c r="C1807" s="43" t="s">
        <v>6136</v>
      </c>
      <c r="D1807" s="30" t="s">
        <v>6137</v>
      </c>
      <c r="E1807" s="28"/>
      <c r="F1807" s="28" t="s">
        <v>29</v>
      </c>
      <c r="G1807" s="28" t="s">
        <v>37</v>
      </c>
      <c r="H1807" s="28" t="s">
        <v>31</v>
      </c>
      <c r="I1807" s="28" t="s">
        <v>38</v>
      </c>
      <c r="J1807" s="28">
        <v>261.0</v>
      </c>
      <c r="K1807" s="28"/>
      <c r="L1807" s="28" t="s">
        <v>6138</v>
      </c>
      <c r="M1807" s="28" t="s">
        <v>6139</v>
      </c>
      <c r="N1807" s="28">
        <v>1964.0</v>
      </c>
      <c r="O1807" s="60">
        <v>15.0</v>
      </c>
      <c r="P1807" s="28">
        <v>1.0</v>
      </c>
      <c r="Q1807" s="94">
        <v>1.0</v>
      </c>
      <c r="R1807" s="33"/>
      <c r="S1807" s="34"/>
      <c r="T1807" s="34"/>
      <c r="U1807" s="34"/>
      <c r="V1807" s="34"/>
      <c r="W1807" s="34"/>
      <c r="X1807" s="34"/>
      <c r="Y1807" s="45"/>
      <c r="Z1807" s="45"/>
      <c r="AA1807" s="45"/>
      <c r="AB1807" s="45"/>
      <c r="AC1807" s="45"/>
      <c r="AD1807" s="45"/>
      <c r="AE1807" s="45"/>
      <c r="AF1807" s="45"/>
      <c r="AG1807" s="45"/>
      <c r="AH1807" s="45"/>
      <c r="AI1807" s="45"/>
      <c r="AJ1807" s="45"/>
      <c r="AK1807" s="45"/>
      <c r="AL1807" s="45"/>
    </row>
    <row r="1808" ht="15.75" customHeight="1">
      <c r="A1808" s="27">
        <f t="shared" si="21"/>
        <v>687</v>
      </c>
      <c r="B1808" s="28" t="s">
        <v>31</v>
      </c>
      <c r="C1808" s="43" t="s">
        <v>6140</v>
      </c>
      <c r="D1808" s="30" t="s">
        <v>6141</v>
      </c>
      <c r="E1808" s="28"/>
      <c r="F1808" s="28" t="s">
        <v>29</v>
      </c>
      <c r="G1808" s="28" t="s">
        <v>37</v>
      </c>
      <c r="H1808" s="28" t="s">
        <v>31</v>
      </c>
      <c r="I1808" s="28" t="s">
        <v>38</v>
      </c>
      <c r="J1808" s="28">
        <v>271.0</v>
      </c>
      <c r="K1808" s="28"/>
      <c r="L1808" s="28" t="s">
        <v>6142</v>
      </c>
      <c r="M1808" s="28" t="s">
        <v>6143</v>
      </c>
      <c r="N1808" s="28">
        <v>1923.0</v>
      </c>
      <c r="O1808" s="60">
        <v>15.0</v>
      </c>
      <c r="P1808" s="28">
        <v>1.0</v>
      </c>
      <c r="Q1808" s="94">
        <v>1.0</v>
      </c>
      <c r="R1808" s="33"/>
      <c r="S1808" s="34"/>
      <c r="T1808" s="34"/>
      <c r="U1808" s="34"/>
      <c r="V1808" s="34"/>
      <c r="W1808" s="34"/>
      <c r="X1808" s="34"/>
      <c r="Y1808" s="3"/>
      <c r="Z1808" s="3"/>
      <c r="AA1808" s="3"/>
      <c r="AB1808" s="3"/>
      <c r="AC1808" s="3"/>
      <c r="AD1808" s="3"/>
      <c r="AE1808" s="3"/>
      <c r="AF1808" s="3"/>
      <c r="AG1808" s="3"/>
      <c r="AH1808" s="3"/>
      <c r="AI1808" s="3"/>
      <c r="AJ1808" s="3"/>
      <c r="AK1808" s="3"/>
      <c r="AL1808" s="3"/>
    </row>
    <row r="1809" ht="15.75" customHeight="1">
      <c r="A1809" s="27">
        <f t="shared" si="21"/>
        <v>688</v>
      </c>
      <c r="B1809" s="28"/>
      <c r="C1809" s="43" t="s">
        <v>6144</v>
      </c>
      <c r="D1809" s="30" t="s">
        <v>6145</v>
      </c>
      <c r="E1809" s="28" t="s">
        <v>31</v>
      </c>
      <c r="F1809" s="28" t="s">
        <v>29</v>
      </c>
      <c r="G1809" s="28" t="s">
        <v>37</v>
      </c>
      <c r="H1809" s="28"/>
      <c r="I1809" s="28" t="s">
        <v>38</v>
      </c>
      <c r="J1809" s="28">
        <v>294.0</v>
      </c>
      <c r="K1809" s="28"/>
      <c r="L1809" s="28" t="s">
        <v>6146</v>
      </c>
      <c r="M1809" s="28" t="s">
        <v>6147</v>
      </c>
      <c r="N1809" s="28">
        <v>1968.0</v>
      </c>
      <c r="O1809" s="60">
        <v>15.0</v>
      </c>
      <c r="P1809" s="28">
        <v>1.0</v>
      </c>
      <c r="Q1809" s="94">
        <v>1.0</v>
      </c>
      <c r="R1809" s="33"/>
      <c r="S1809" s="34"/>
      <c r="T1809" s="34"/>
      <c r="U1809" s="34"/>
      <c r="V1809" s="34"/>
      <c r="W1809" s="34"/>
      <c r="X1809" s="34"/>
      <c r="Y1809" s="3"/>
      <c r="Z1809" s="3"/>
      <c r="AA1809" s="3"/>
      <c r="AB1809" s="3"/>
      <c r="AC1809" s="3"/>
      <c r="AD1809" s="3"/>
      <c r="AE1809" s="3"/>
      <c r="AF1809" s="3"/>
      <c r="AG1809" s="3"/>
      <c r="AH1809" s="3"/>
      <c r="AI1809" s="3"/>
      <c r="AJ1809" s="3"/>
      <c r="AK1809" s="3"/>
      <c r="AL1809" s="3"/>
    </row>
    <row r="1810" ht="15.75" customHeight="1">
      <c r="A1810" s="27">
        <f t="shared" si="21"/>
        <v>689</v>
      </c>
      <c r="B1810" s="28" t="s">
        <v>6148</v>
      </c>
      <c r="C1810" s="43" t="s">
        <v>6149</v>
      </c>
      <c r="D1810" s="30" t="s">
        <v>6150</v>
      </c>
      <c r="E1810" s="28" t="s">
        <v>31</v>
      </c>
      <c r="F1810" s="28" t="s">
        <v>29</v>
      </c>
      <c r="G1810" s="28" t="s">
        <v>6151</v>
      </c>
      <c r="H1810" s="28"/>
      <c r="I1810" s="28" t="s">
        <v>38</v>
      </c>
      <c r="J1810" s="28">
        <v>374.0</v>
      </c>
      <c r="K1810" s="28"/>
      <c r="L1810" s="28" t="s">
        <v>6152</v>
      </c>
      <c r="M1810" s="28" t="s">
        <v>6153</v>
      </c>
      <c r="N1810" s="28">
        <v>1976.0</v>
      </c>
      <c r="O1810" s="60">
        <v>15.0</v>
      </c>
      <c r="P1810" s="28">
        <v>1.0</v>
      </c>
      <c r="Q1810" s="94">
        <v>1.0</v>
      </c>
      <c r="R1810" s="33"/>
      <c r="S1810" s="34"/>
      <c r="T1810" s="34"/>
      <c r="U1810" s="34"/>
      <c r="V1810" s="34"/>
      <c r="W1810" s="34"/>
      <c r="X1810" s="34"/>
      <c r="Y1810" s="3"/>
      <c r="Z1810" s="3"/>
      <c r="AA1810" s="3"/>
      <c r="AB1810" s="3"/>
      <c r="AC1810" s="3"/>
      <c r="AD1810" s="3"/>
      <c r="AE1810" s="3"/>
      <c r="AF1810" s="3"/>
      <c r="AG1810" s="3"/>
      <c r="AH1810" s="3"/>
      <c r="AI1810" s="3"/>
      <c r="AJ1810" s="3"/>
      <c r="AK1810" s="3"/>
      <c r="AL1810" s="3"/>
    </row>
    <row r="1811" ht="15.75" customHeight="1">
      <c r="A1811" s="27">
        <f t="shared" si="21"/>
        <v>690</v>
      </c>
      <c r="B1811" s="28" t="s">
        <v>6154</v>
      </c>
      <c r="C1811" s="43" t="s">
        <v>6155</v>
      </c>
      <c r="D1811" s="30" t="s">
        <v>6156</v>
      </c>
      <c r="E1811" s="28" t="s">
        <v>31</v>
      </c>
      <c r="F1811" s="28" t="s">
        <v>29</v>
      </c>
      <c r="G1811" s="28" t="s">
        <v>37</v>
      </c>
      <c r="H1811" s="28"/>
      <c r="I1811" s="28" t="s">
        <v>38</v>
      </c>
      <c r="J1811" s="28">
        <v>254.0</v>
      </c>
      <c r="K1811" s="28"/>
      <c r="L1811" s="28" t="s">
        <v>6157</v>
      </c>
      <c r="M1811" s="28" t="s">
        <v>524</v>
      </c>
      <c r="N1811" s="28">
        <v>1970.0</v>
      </c>
      <c r="O1811" s="60">
        <v>15.0</v>
      </c>
      <c r="P1811" s="28">
        <v>1.0</v>
      </c>
      <c r="Q1811" s="94">
        <v>1.0</v>
      </c>
      <c r="R1811" s="33"/>
      <c r="S1811" s="116"/>
      <c r="T1811" s="116"/>
      <c r="U1811" s="116"/>
      <c r="V1811" s="116"/>
      <c r="W1811" s="116"/>
      <c r="X1811" s="116"/>
      <c r="Y1811" s="45"/>
      <c r="Z1811" s="45"/>
      <c r="AA1811" s="45"/>
      <c r="AB1811" s="45"/>
      <c r="AC1811" s="45"/>
      <c r="AD1811" s="45"/>
      <c r="AE1811" s="45"/>
      <c r="AF1811" s="45"/>
      <c r="AG1811" s="45"/>
      <c r="AH1811" s="45"/>
      <c r="AI1811" s="45"/>
      <c r="AJ1811" s="45"/>
      <c r="AK1811" s="45"/>
      <c r="AL1811" s="45"/>
    </row>
    <row r="1812" ht="15.75" customHeight="1">
      <c r="A1812" s="27">
        <f t="shared" si="21"/>
        <v>691</v>
      </c>
      <c r="B1812" s="83"/>
      <c r="C1812" s="121" t="s">
        <v>6158</v>
      </c>
      <c r="D1812" s="119" t="s">
        <v>6159</v>
      </c>
      <c r="E1812" s="83"/>
      <c r="F1812" s="121" t="s">
        <v>29</v>
      </c>
      <c r="G1812" s="121" t="s">
        <v>37</v>
      </c>
      <c r="H1812" s="83"/>
      <c r="I1812" s="121" t="s">
        <v>38</v>
      </c>
      <c r="J1812" s="121">
        <v>519.0</v>
      </c>
      <c r="K1812" s="83"/>
      <c r="L1812" s="121" t="s">
        <v>6160</v>
      </c>
      <c r="M1812" s="121" t="s">
        <v>6161</v>
      </c>
      <c r="N1812" s="121">
        <v>1965.0</v>
      </c>
      <c r="O1812" s="60">
        <v>15.0</v>
      </c>
      <c r="P1812" s="121">
        <v>1.0</v>
      </c>
      <c r="Q1812" s="121">
        <v>1.0</v>
      </c>
      <c r="R1812" s="84"/>
      <c r="S1812" s="34"/>
      <c r="T1812" s="34"/>
      <c r="U1812" s="34"/>
      <c r="V1812" s="34"/>
      <c r="W1812" s="34"/>
      <c r="X1812" s="34"/>
      <c r="Y1812" s="45"/>
      <c r="Z1812" s="45"/>
      <c r="AA1812" s="45"/>
      <c r="AB1812" s="45"/>
      <c r="AC1812" s="45"/>
      <c r="AD1812" s="45"/>
      <c r="AE1812" s="45"/>
      <c r="AF1812" s="45"/>
      <c r="AG1812" s="45"/>
      <c r="AH1812" s="45"/>
      <c r="AI1812" s="45"/>
      <c r="AJ1812" s="45"/>
      <c r="AK1812" s="45"/>
      <c r="AL1812" s="45"/>
    </row>
    <row r="1813" ht="15.75" customHeight="1">
      <c r="A1813" s="27">
        <f t="shared" si="21"/>
        <v>692</v>
      </c>
      <c r="B1813" s="121" t="s">
        <v>5413</v>
      </c>
      <c r="C1813" s="121" t="s">
        <v>6162</v>
      </c>
      <c r="D1813" s="119" t="s">
        <v>6163</v>
      </c>
      <c r="E1813" s="83"/>
      <c r="F1813" s="83"/>
      <c r="G1813" s="121" t="s">
        <v>38</v>
      </c>
      <c r="H1813" s="83"/>
      <c r="I1813" s="121" t="s">
        <v>38</v>
      </c>
      <c r="J1813" s="121">
        <v>76.0</v>
      </c>
      <c r="K1813" s="83"/>
      <c r="L1813" s="121" t="s">
        <v>6164</v>
      </c>
      <c r="M1813" s="121" t="s">
        <v>5420</v>
      </c>
      <c r="N1813" s="121">
        <v>1982.0</v>
      </c>
      <c r="O1813" s="60">
        <v>15.0</v>
      </c>
      <c r="P1813" s="121">
        <v>1.0</v>
      </c>
      <c r="Q1813" s="121">
        <v>1.0</v>
      </c>
      <c r="R1813" s="84"/>
      <c r="S1813" s="34"/>
      <c r="T1813" s="34"/>
      <c r="U1813" s="34"/>
      <c r="V1813" s="34"/>
      <c r="W1813" s="34"/>
      <c r="X1813" s="34"/>
      <c r="Y1813" s="45"/>
      <c r="Z1813" s="45"/>
      <c r="AA1813" s="45"/>
      <c r="AB1813" s="45"/>
      <c r="AC1813" s="45"/>
      <c r="AD1813" s="45"/>
      <c r="AE1813" s="45"/>
      <c r="AF1813" s="45"/>
      <c r="AG1813" s="45"/>
      <c r="AH1813" s="45"/>
      <c r="AI1813" s="45"/>
      <c r="AJ1813" s="45"/>
      <c r="AK1813" s="45"/>
      <c r="AL1813" s="45"/>
    </row>
    <row r="1814" ht="15.75" customHeight="1">
      <c r="A1814" s="27">
        <f t="shared" si="21"/>
        <v>693</v>
      </c>
      <c r="B1814" s="28" t="s">
        <v>31</v>
      </c>
      <c r="C1814" s="43" t="s">
        <v>6165</v>
      </c>
      <c r="D1814" s="30" t="s">
        <v>6166</v>
      </c>
      <c r="E1814" s="28" t="s">
        <v>31</v>
      </c>
      <c r="F1814" s="28" t="s">
        <v>29</v>
      </c>
      <c r="G1814" s="28"/>
      <c r="H1814" s="28"/>
      <c r="I1814" s="28"/>
      <c r="J1814" s="28">
        <v>154.0</v>
      </c>
      <c r="K1814" s="28"/>
      <c r="L1814" s="28" t="s">
        <v>6167</v>
      </c>
      <c r="M1814" s="28" t="s">
        <v>6168</v>
      </c>
      <c r="N1814" s="28">
        <v>1946.0</v>
      </c>
      <c r="O1814" s="60">
        <v>15.0</v>
      </c>
      <c r="P1814" s="28">
        <v>1.0</v>
      </c>
      <c r="Q1814" s="94">
        <v>2.0</v>
      </c>
      <c r="R1814" s="33"/>
      <c r="S1814" s="34"/>
      <c r="T1814" s="34"/>
      <c r="U1814" s="34"/>
      <c r="V1814" s="34"/>
      <c r="W1814" s="34"/>
      <c r="X1814" s="34"/>
      <c r="Y1814" s="3"/>
      <c r="Z1814" s="3"/>
      <c r="AA1814" s="3"/>
      <c r="AB1814" s="3"/>
      <c r="AC1814" s="3"/>
      <c r="AD1814" s="3"/>
      <c r="AE1814" s="3"/>
      <c r="AF1814" s="3"/>
      <c r="AG1814" s="3"/>
      <c r="AH1814" s="3"/>
      <c r="AI1814" s="3"/>
      <c r="AJ1814" s="3"/>
      <c r="AK1814" s="3"/>
      <c r="AL1814" s="3"/>
    </row>
    <row r="1815" ht="15.75" customHeight="1">
      <c r="A1815" s="27">
        <f t="shared" si="21"/>
        <v>694</v>
      </c>
      <c r="B1815" s="28" t="s">
        <v>6169</v>
      </c>
      <c r="C1815" s="43" t="s">
        <v>6170</v>
      </c>
      <c r="D1815" s="30" t="s">
        <v>6171</v>
      </c>
      <c r="E1815" s="28" t="s">
        <v>31</v>
      </c>
      <c r="F1815" s="28" t="s">
        <v>29</v>
      </c>
      <c r="G1815" s="28" t="s">
        <v>38</v>
      </c>
      <c r="H1815" s="28"/>
      <c r="I1815" s="28" t="s">
        <v>38</v>
      </c>
      <c r="J1815" s="28">
        <v>232.0</v>
      </c>
      <c r="K1815" s="28"/>
      <c r="L1815" s="28" t="s">
        <v>6172</v>
      </c>
      <c r="M1815" s="28" t="s">
        <v>6173</v>
      </c>
      <c r="N1815" s="28">
        <v>1971.0</v>
      </c>
      <c r="O1815" s="60">
        <v>15.0</v>
      </c>
      <c r="P1815" s="28">
        <v>1.0</v>
      </c>
      <c r="Q1815" s="94">
        <v>1.0</v>
      </c>
      <c r="R1815" s="33"/>
      <c r="S1815" s="34"/>
      <c r="T1815" s="34"/>
      <c r="U1815" s="34"/>
      <c r="V1815" s="34"/>
      <c r="W1815" s="34"/>
      <c r="X1815" s="34"/>
      <c r="Y1815" s="45"/>
      <c r="Z1815" s="45"/>
      <c r="AA1815" s="45"/>
      <c r="AB1815" s="45"/>
      <c r="AC1815" s="45"/>
      <c r="AD1815" s="45"/>
      <c r="AE1815" s="45"/>
      <c r="AF1815" s="45"/>
      <c r="AG1815" s="45"/>
      <c r="AH1815" s="45"/>
      <c r="AI1815" s="45"/>
      <c r="AJ1815" s="45"/>
      <c r="AK1815" s="45"/>
      <c r="AL1815" s="45"/>
    </row>
    <row r="1816" ht="15.75" customHeight="1">
      <c r="A1816" s="27">
        <f t="shared" si="21"/>
        <v>695</v>
      </c>
      <c r="B1816" s="28" t="s">
        <v>31</v>
      </c>
      <c r="C1816" s="43" t="s">
        <v>6174</v>
      </c>
      <c r="D1816" s="30" t="s">
        <v>6175</v>
      </c>
      <c r="E1816" s="28" t="s">
        <v>31</v>
      </c>
      <c r="F1816" s="28" t="s">
        <v>29</v>
      </c>
      <c r="G1816" s="28" t="s">
        <v>30</v>
      </c>
      <c r="H1816" s="28"/>
      <c r="I1816" s="28" t="s">
        <v>30</v>
      </c>
      <c r="J1816" s="28">
        <v>207.0</v>
      </c>
      <c r="K1816" s="28"/>
      <c r="L1816" s="28" t="s">
        <v>6176</v>
      </c>
      <c r="M1816" s="28" t="s">
        <v>2698</v>
      </c>
      <c r="N1816" s="28">
        <v>1983.0</v>
      </c>
      <c r="O1816" s="60">
        <v>15.0</v>
      </c>
      <c r="P1816" s="28">
        <v>1.0</v>
      </c>
      <c r="Q1816" s="32"/>
      <c r="R1816" s="33"/>
      <c r="S1816" s="34"/>
      <c r="T1816" s="34"/>
      <c r="U1816" s="34"/>
      <c r="V1816" s="34"/>
      <c r="W1816" s="34"/>
      <c r="X1816" s="34"/>
      <c r="Y1816" s="3"/>
      <c r="Z1816" s="3"/>
      <c r="AA1816" s="3"/>
      <c r="AB1816" s="3"/>
      <c r="AC1816" s="3"/>
      <c r="AD1816" s="3"/>
      <c r="AE1816" s="3"/>
      <c r="AF1816" s="3"/>
      <c r="AG1816" s="3"/>
      <c r="AH1816" s="3"/>
      <c r="AI1816" s="3"/>
      <c r="AJ1816" s="3"/>
      <c r="AK1816" s="3"/>
      <c r="AL1816" s="3"/>
    </row>
    <row r="1817" ht="15.75" customHeight="1">
      <c r="A1817" s="27">
        <f t="shared" si="21"/>
        <v>696</v>
      </c>
      <c r="B1817" s="28" t="s">
        <v>6177</v>
      </c>
      <c r="C1817" s="43" t="s">
        <v>6178</v>
      </c>
      <c r="D1817" s="30" t="s">
        <v>6179</v>
      </c>
      <c r="E1817" s="28" t="s">
        <v>31</v>
      </c>
      <c r="F1817" s="28" t="s">
        <v>29</v>
      </c>
      <c r="G1817" s="28" t="s">
        <v>81</v>
      </c>
      <c r="H1817" s="28"/>
      <c r="I1817" s="28" t="s">
        <v>38</v>
      </c>
      <c r="J1817" s="28">
        <v>142.0</v>
      </c>
      <c r="K1817" s="28"/>
      <c r="L1817" s="28" t="s">
        <v>6180</v>
      </c>
      <c r="M1817" s="28" t="s">
        <v>83</v>
      </c>
      <c r="N1817" s="28">
        <v>1976.0</v>
      </c>
      <c r="O1817" s="60">
        <v>15.0</v>
      </c>
      <c r="P1817" s="28">
        <v>1.0</v>
      </c>
      <c r="Q1817" s="94">
        <v>1.0</v>
      </c>
      <c r="R1817" s="33"/>
      <c r="S1817" s="34"/>
      <c r="T1817" s="34"/>
      <c r="U1817" s="34"/>
      <c r="V1817" s="34"/>
      <c r="W1817" s="34"/>
      <c r="X1817" s="34"/>
      <c r="Y1817" s="3"/>
      <c r="Z1817" s="3"/>
      <c r="AA1817" s="3"/>
      <c r="AB1817" s="3"/>
      <c r="AC1817" s="3"/>
      <c r="AD1817" s="3"/>
      <c r="AE1817" s="3"/>
      <c r="AF1817" s="3"/>
      <c r="AG1817" s="3"/>
      <c r="AH1817" s="3"/>
      <c r="AI1817" s="3"/>
      <c r="AJ1817" s="3"/>
      <c r="AK1817" s="3"/>
      <c r="AL1817" s="3"/>
    </row>
    <row r="1818" ht="15.75" customHeight="1">
      <c r="A1818" s="27">
        <f t="shared" si="21"/>
        <v>697</v>
      </c>
      <c r="B1818" s="28" t="s">
        <v>6181</v>
      </c>
      <c r="C1818" s="43" t="s">
        <v>6182</v>
      </c>
      <c r="D1818" s="30" t="s">
        <v>6183</v>
      </c>
      <c r="E1818" s="28" t="s">
        <v>31</v>
      </c>
      <c r="F1818" s="28" t="s">
        <v>29</v>
      </c>
      <c r="G1818" s="28" t="s">
        <v>2417</v>
      </c>
      <c r="H1818" s="28"/>
      <c r="I1818" s="28" t="s">
        <v>38</v>
      </c>
      <c r="J1818" s="28">
        <v>117.0</v>
      </c>
      <c r="K1818" s="28"/>
      <c r="L1818" s="28" t="s">
        <v>6184</v>
      </c>
      <c r="M1818" s="28" t="s">
        <v>133</v>
      </c>
      <c r="N1818" s="28">
        <v>1975.0</v>
      </c>
      <c r="O1818" s="60">
        <v>15.0</v>
      </c>
      <c r="P1818" s="28">
        <v>1.0</v>
      </c>
      <c r="Q1818" s="94">
        <v>1.0</v>
      </c>
      <c r="R1818" s="33"/>
      <c r="S1818" s="34"/>
      <c r="T1818" s="34"/>
      <c r="U1818" s="34"/>
      <c r="V1818" s="34"/>
      <c r="W1818" s="34"/>
      <c r="X1818" s="34"/>
      <c r="Y1818" s="45"/>
      <c r="Z1818" s="45"/>
      <c r="AA1818" s="45"/>
      <c r="AB1818" s="45"/>
      <c r="AC1818" s="45"/>
      <c r="AD1818" s="45"/>
      <c r="AE1818" s="45"/>
      <c r="AF1818" s="45"/>
      <c r="AG1818" s="45"/>
      <c r="AH1818" s="45"/>
      <c r="AI1818" s="45"/>
      <c r="AJ1818" s="45"/>
      <c r="AK1818" s="45"/>
      <c r="AL1818" s="45"/>
    </row>
    <row r="1819" ht="15.75" customHeight="1">
      <c r="A1819" s="27">
        <f t="shared" si="21"/>
        <v>698</v>
      </c>
      <c r="B1819" s="28" t="s">
        <v>6185</v>
      </c>
      <c r="C1819" s="43" t="s">
        <v>6186</v>
      </c>
      <c r="D1819" s="30" t="s">
        <v>6187</v>
      </c>
      <c r="E1819" s="28" t="s">
        <v>31</v>
      </c>
      <c r="F1819" s="28" t="s">
        <v>29</v>
      </c>
      <c r="G1819" s="28" t="s">
        <v>37</v>
      </c>
      <c r="H1819" s="28"/>
      <c r="I1819" s="28" t="s">
        <v>38</v>
      </c>
      <c r="J1819" s="28">
        <v>288.0</v>
      </c>
      <c r="K1819" s="28"/>
      <c r="L1819" s="28" t="s">
        <v>6188</v>
      </c>
      <c r="M1819" s="28" t="s">
        <v>83</v>
      </c>
      <c r="N1819" s="28">
        <v>1985.0</v>
      </c>
      <c r="O1819" s="60">
        <v>15.0</v>
      </c>
      <c r="P1819" s="28">
        <v>1.0</v>
      </c>
      <c r="Q1819" s="94">
        <v>1.0</v>
      </c>
      <c r="R1819" s="33"/>
      <c r="S1819" s="34"/>
      <c r="T1819" s="34"/>
      <c r="U1819" s="34"/>
      <c r="V1819" s="34"/>
      <c r="W1819" s="34"/>
      <c r="X1819" s="34"/>
      <c r="Y1819" s="3"/>
      <c r="Z1819" s="3"/>
      <c r="AA1819" s="3"/>
      <c r="AB1819" s="3"/>
      <c r="AC1819" s="3"/>
      <c r="AD1819" s="3"/>
      <c r="AE1819" s="3"/>
      <c r="AF1819" s="3"/>
      <c r="AG1819" s="3"/>
      <c r="AH1819" s="3"/>
      <c r="AI1819" s="3"/>
      <c r="AJ1819" s="3"/>
      <c r="AK1819" s="3"/>
      <c r="AL1819" s="3"/>
    </row>
    <row r="1820" ht="15.75" customHeight="1">
      <c r="A1820" s="27">
        <f t="shared" si="21"/>
        <v>699</v>
      </c>
      <c r="B1820" s="28" t="s">
        <v>6189</v>
      </c>
      <c r="C1820" s="43" t="s">
        <v>6190</v>
      </c>
      <c r="D1820" s="30" t="s">
        <v>6191</v>
      </c>
      <c r="E1820" s="28" t="s">
        <v>31</v>
      </c>
      <c r="F1820" s="28" t="s">
        <v>29</v>
      </c>
      <c r="G1820" s="28" t="s">
        <v>38</v>
      </c>
      <c r="H1820" s="28"/>
      <c r="I1820" s="28" t="s">
        <v>38</v>
      </c>
      <c r="J1820" s="28">
        <v>46.0</v>
      </c>
      <c r="K1820" s="28"/>
      <c r="L1820" s="28" t="s">
        <v>6192</v>
      </c>
      <c r="M1820" s="28" t="s">
        <v>6193</v>
      </c>
      <c r="N1820" s="28">
        <v>1897.0</v>
      </c>
      <c r="O1820" s="60">
        <v>15.0</v>
      </c>
      <c r="P1820" s="28">
        <v>1.0</v>
      </c>
      <c r="Q1820" s="94">
        <v>1.0</v>
      </c>
      <c r="R1820" s="33"/>
      <c r="S1820" s="34"/>
      <c r="T1820" s="34"/>
      <c r="U1820" s="34"/>
      <c r="V1820" s="34"/>
      <c r="W1820" s="34"/>
      <c r="X1820" s="34"/>
      <c r="Y1820" s="45"/>
      <c r="Z1820" s="45"/>
      <c r="AA1820" s="45"/>
      <c r="AB1820" s="45"/>
      <c r="AC1820" s="45"/>
      <c r="AD1820" s="45"/>
      <c r="AE1820" s="45"/>
      <c r="AF1820" s="45"/>
      <c r="AG1820" s="45"/>
      <c r="AH1820" s="45"/>
      <c r="AI1820" s="45"/>
      <c r="AJ1820" s="45"/>
      <c r="AK1820" s="45"/>
      <c r="AL1820" s="45"/>
    </row>
    <row r="1821" ht="15.75" customHeight="1">
      <c r="A1821" s="27">
        <f t="shared" si="21"/>
        <v>700</v>
      </c>
      <c r="B1821" s="121" t="s">
        <v>5413</v>
      </c>
      <c r="C1821" s="121" t="s">
        <v>6194</v>
      </c>
      <c r="D1821" s="119" t="s">
        <v>6195</v>
      </c>
      <c r="E1821" s="83"/>
      <c r="F1821" s="121" t="s">
        <v>29</v>
      </c>
      <c r="G1821" s="121" t="s">
        <v>30</v>
      </c>
      <c r="H1821" s="83"/>
      <c r="I1821" s="121" t="s">
        <v>38</v>
      </c>
      <c r="J1821" s="121">
        <v>78.0</v>
      </c>
      <c r="K1821" s="83"/>
      <c r="L1821" s="121" t="s">
        <v>6196</v>
      </c>
      <c r="M1821" s="121" t="s">
        <v>5420</v>
      </c>
      <c r="N1821" s="121">
        <v>1986.0</v>
      </c>
      <c r="O1821" s="60">
        <v>15.0</v>
      </c>
      <c r="P1821" s="121">
        <v>1.0</v>
      </c>
      <c r="Q1821" s="121">
        <v>1.0</v>
      </c>
      <c r="R1821" s="84"/>
      <c r="S1821" s="34"/>
      <c r="T1821" s="34"/>
      <c r="U1821" s="34"/>
      <c r="V1821" s="34"/>
      <c r="W1821" s="34"/>
      <c r="X1821" s="34"/>
      <c r="Y1821" s="45"/>
      <c r="Z1821" s="45"/>
      <c r="AA1821" s="45"/>
      <c r="AB1821" s="45"/>
      <c r="AC1821" s="45"/>
      <c r="AD1821" s="45"/>
      <c r="AE1821" s="45"/>
      <c r="AF1821" s="45"/>
      <c r="AG1821" s="45"/>
      <c r="AH1821" s="45"/>
      <c r="AI1821" s="45"/>
      <c r="AJ1821" s="45"/>
      <c r="AK1821" s="45"/>
      <c r="AL1821" s="45"/>
    </row>
    <row r="1822" ht="15.75" customHeight="1">
      <c r="A1822" s="27">
        <f t="shared" si="21"/>
        <v>701</v>
      </c>
      <c r="B1822" s="28"/>
      <c r="C1822" s="43" t="s">
        <v>6197</v>
      </c>
      <c r="D1822" s="30" t="s">
        <v>6198</v>
      </c>
      <c r="E1822" s="28" t="s">
        <v>31</v>
      </c>
      <c r="F1822" s="28" t="s">
        <v>29</v>
      </c>
      <c r="G1822" s="28" t="s">
        <v>30</v>
      </c>
      <c r="H1822" s="28"/>
      <c r="I1822" s="28" t="s">
        <v>30</v>
      </c>
      <c r="J1822" s="28">
        <v>153.0</v>
      </c>
      <c r="K1822" s="28"/>
      <c r="L1822" s="28" t="s">
        <v>6199</v>
      </c>
      <c r="M1822" s="28" t="s">
        <v>2698</v>
      </c>
      <c r="N1822" s="28">
        <v>1984.0</v>
      </c>
      <c r="O1822" s="60">
        <v>15.0</v>
      </c>
      <c r="P1822" s="28">
        <v>1.0</v>
      </c>
      <c r="Q1822" s="94">
        <v>1.0</v>
      </c>
      <c r="R1822" s="33"/>
      <c r="S1822" s="185"/>
      <c r="T1822" s="185"/>
      <c r="U1822" s="185"/>
      <c r="V1822" s="185"/>
      <c r="W1822" s="185"/>
      <c r="X1822" s="185"/>
      <c r="Y1822" s="45"/>
      <c r="Z1822" s="45"/>
      <c r="AA1822" s="45"/>
      <c r="AB1822" s="45"/>
      <c r="AC1822" s="45"/>
      <c r="AD1822" s="45"/>
      <c r="AE1822" s="45"/>
      <c r="AF1822" s="45"/>
      <c r="AG1822" s="45"/>
      <c r="AH1822" s="45"/>
      <c r="AI1822" s="45"/>
      <c r="AJ1822" s="45"/>
      <c r="AK1822" s="45"/>
      <c r="AL1822" s="45"/>
    </row>
    <row r="1823" ht="15.75" customHeight="1">
      <c r="A1823" s="27">
        <f t="shared" si="21"/>
        <v>702</v>
      </c>
      <c r="B1823" s="121" t="s">
        <v>5413</v>
      </c>
      <c r="C1823" s="121" t="s">
        <v>6200</v>
      </c>
      <c r="D1823" s="119" t="s">
        <v>6201</v>
      </c>
      <c r="E1823" s="83"/>
      <c r="F1823" s="83"/>
      <c r="G1823" s="121" t="s">
        <v>38</v>
      </c>
      <c r="H1823" s="83"/>
      <c r="I1823" s="121" t="s">
        <v>38</v>
      </c>
      <c r="J1823" s="121">
        <v>169.0</v>
      </c>
      <c r="K1823" s="83"/>
      <c r="L1823" s="121" t="s">
        <v>5521</v>
      </c>
      <c r="M1823" s="121" t="s">
        <v>5420</v>
      </c>
      <c r="N1823" s="121">
        <v>1998.0</v>
      </c>
      <c r="O1823" s="60">
        <v>15.0</v>
      </c>
      <c r="P1823" s="121">
        <v>1.0</v>
      </c>
      <c r="Q1823" s="121">
        <v>1.0</v>
      </c>
      <c r="R1823" s="84"/>
      <c r="S1823" s="34"/>
      <c r="T1823" s="34"/>
      <c r="U1823" s="34"/>
      <c r="V1823" s="34"/>
      <c r="W1823" s="34"/>
      <c r="X1823" s="34"/>
      <c r="Y1823" s="201"/>
      <c r="Z1823" s="201"/>
      <c r="AA1823" s="201"/>
      <c r="AB1823" s="201"/>
      <c r="AC1823" s="201"/>
      <c r="AD1823" s="201"/>
      <c r="AE1823" s="201"/>
      <c r="AF1823" s="201"/>
      <c r="AG1823" s="201"/>
      <c r="AH1823" s="201"/>
      <c r="AI1823" s="201"/>
      <c r="AJ1823" s="201"/>
      <c r="AK1823" s="201"/>
      <c r="AL1823" s="201"/>
    </row>
    <row r="1824" ht="15.75" customHeight="1">
      <c r="A1824" s="27">
        <f t="shared" si="21"/>
        <v>703</v>
      </c>
      <c r="B1824" s="121" t="s">
        <v>5413</v>
      </c>
      <c r="C1824" s="121" t="s">
        <v>6200</v>
      </c>
      <c r="D1824" s="119" t="s">
        <v>6202</v>
      </c>
      <c r="E1824" s="83"/>
      <c r="F1824" s="83"/>
      <c r="G1824" s="121" t="s">
        <v>38</v>
      </c>
      <c r="H1824" s="83"/>
      <c r="I1824" s="121" t="s">
        <v>38</v>
      </c>
      <c r="J1824" s="121">
        <v>169.0</v>
      </c>
      <c r="K1824" s="83"/>
      <c r="L1824" s="121" t="s">
        <v>5521</v>
      </c>
      <c r="M1824" s="121" t="s">
        <v>5420</v>
      </c>
      <c r="N1824" s="121">
        <v>1998.0</v>
      </c>
      <c r="O1824" s="60">
        <v>15.0</v>
      </c>
      <c r="P1824" s="121">
        <v>1.0</v>
      </c>
      <c r="Q1824" s="121">
        <v>1.0</v>
      </c>
      <c r="R1824" s="84"/>
      <c r="S1824" s="34"/>
      <c r="T1824" s="34"/>
      <c r="U1824" s="34"/>
      <c r="V1824" s="34"/>
      <c r="W1824" s="34"/>
      <c r="X1824" s="34"/>
      <c r="Y1824" s="3"/>
      <c r="Z1824" s="3"/>
      <c r="AA1824" s="3"/>
      <c r="AB1824" s="3"/>
      <c r="AC1824" s="3"/>
      <c r="AD1824" s="3"/>
      <c r="AE1824" s="3"/>
      <c r="AF1824" s="3"/>
      <c r="AG1824" s="3"/>
      <c r="AH1824" s="3"/>
      <c r="AI1824" s="3"/>
      <c r="AJ1824" s="3"/>
      <c r="AK1824" s="3"/>
      <c r="AL1824" s="3"/>
    </row>
    <row r="1825" ht="15.75" customHeight="1">
      <c r="A1825" s="27">
        <f t="shared" si="21"/>
        <v>704</v>
      </c>
      <c r="B1825" s="83"/>
      <c r="C1825" s="121" t="s">
        <v>6203</v>
      </c>
      <c r="D1825" s="119" t="s">
        <v>6204</v>
      </c>
      <c r="E1825" s="83"/>
      <c r="F1825" s="83"/>
      <c r="G1825" s="121" t="s">
        <v>166</v>
      </c>
      <c r="H1825" s="83"/>
      <c r="I1825" s="121" t="s">
        <v>38</v>
      </c>
      <c r="J1825" s="121">
        <v>512.0</v>
      </c>
      <c r="K1825" s="83"/>
      <c r="L1825" s="121" t="s">
        <v>5826</v>
      </c>
      <c r="M1825" s="121" t="s">
        <v>6205</v>
      </c>
      <c r="N1825" s="121">
        <v>1968.0</v>
      </c>
      <c r="O1825" s="60">
        <v>15.0</v>
      </c>
      <c r="P1825" s="121">
        <v>2.0</v>
      </c>
      <c r="Q1825" s="121">
        <v>2.0</v>
      </c>
      <c r="R1825" s="84"/>
      <c r="S1825" s="116"/>
      <c r="T1825" s="116"/>
      <c r="U1825" s="116"/>
      <c r="V1825" s="116"/>
      <c r="W1825" s="116"/>
      <c r="X1825" s="116"/>
      <c r="Y1825" s="3"/>
      <c r="Z1825" s="3"/>
      <c r="AA1825" s="3"/>
      <c r="AB1825" s="3"/>
      <c r="AC1825" s="3"/>
      <c r="AD1825" s="3"/>
      <c r="AE1825" s="3"/>
      <c r="AF1825" s="3"/>
      <c r="AG1825" s="3"/>
      <c r="AH1825" s="3"/>
      <c r="AI1825" s="3"/>
      <c r="AJ1825" s="3"/>
      <c r="AK1825" s="3"/>
      <c r="AL1825" s="3"/>
    </row>
    <row r="1826" ht="15.75" customHeight="1">
      <c r="A1826" s="27">
        <f t="shared" si="21"/>
        <v>705</v>
      </c>
      <c r="B1826" s="28"/>
      <c r="C1826" s="43" t="s">
        <v>6206</v>
      </c>
      <c r="D1826" s="30" t="s">
        <v>6207</v>
      </c>
      <c r="E1826" s="28" t="s">
        <v>31</v>
      </c>
      <c r="F1826" s="28" t="s">
        <v>29</v>
      </c>
      <c r="G1826" s="28" t="s">
        <v>30</v>
      </c>
      <c r="H1826" s="28"/>
      <c r="I1826" s="28" t="s">
        <v>30</v>
      </c>
      <c r="J1826" s="28">
        <v>192.0</v>
      </c>
      <c r="K1826" s="28"/>
      <c r="L1826" s="28" t="s">
        <v>5499</v>
      </c>
      <c r="M1826" s="28" t="s">
        <v>6208</v>
      </c>
      <c r="N1826" s="28">
        <v>1974.0</v>
      </c>
      <c r="O1826" s="60">
        <v>15.0</v>
      </c>
      <c r="P1826" s="28">
        <v>2.0</v>
      </c>
      <c r="Q1826" s="94">
        <v>2.0</v>
      </c>
      <c r="R1826" s="33"/>
      <c r="S1826" s="34"/>
      <c r="T1826" s="34"/>
      <c r="U1826" s="34"/>
      <c r="V1826" s="34"/>
      <c r="W1826" s="34"/>
      <c r="X1826" s="34"/>
      <c r="Y1826" s="3"/>
      <c r="Z1826" s="3"/>
      <c r="AA1826" s="3"/>
      <c r="AB1826" s="3"/>
      <c r="AC1826" s="3"/>
      <c r="AD1826" s="3"/>
      <c r="AE1826" s="3"/>
      <c r="AF1826" s="3"/>
      <c r="AG1826" s="3"/>
      <c r="AH1826" s="3"/>
      <c r="AI1826" s="3"/>
      <c r="AJ1826" s="3"/>
      <c r="AK1826" s="3"/>
      <c r="AL1826" s="3"/>
    </row>
    <row r="1827" ht="15.75" customHeight="1">
      <c r="A1827" s="27">
        <f t="shared" si="21"/>
        <v>706</v>
      </c>
      <c r="B1827" s="28"/>
      <c r="C1827" s="43" t="s">
        <v>6209</v>
      </c>
      <c r="D1827" s="30" t="s">
        <v>6210</v>
      </c>
      <c r="E1827" s="28" t="s">
        <v>31</v>
      </c>
      <c r="F1827" s="28" t="s">
        <v>29</v>
      </c>
      <c r="G1827" s="28"/>
      <c r="H1827" s="28"/>
      <c r="I1827" s="28" t="s">
        <v>38</v>
      </c>
      <c r="J1827" s="28">
        <v>138.0</v>
      </c>
      <c r="K1827" s="28"/>
      <c r="L1827" s="28" t="s">
        <v>6211</v>
      </c>
      <c r="M1827" s="28" t="s">
        <v>6212</v>
      </c>
      <c r="N1827" s="28">
        <v>1973.0</v>
      </c>
      <c r="O1827" s="60">
        <v>15.0</v>
      </c>
      <c r="P1827" s="28">
        <v>1.0</v>
      </c>
      <c r="Q1827" s="94">
        <v>1.0</v>
      </c>
      <c r="R1827" s="33"/>
      <c r="S1827" s="34"/>
      <c r="T1827" s="34"/>
      <c r="U1827" s="34"/>
      <c r="V1827" s="34"/>
      <c r="W1827" s="34"/>
      <c r="X1827" s="34"/>
      <c r="Y1827" s="3"/>
      <c r="Z1827" s="3"/>
      <c r="AA1827" s="3"/>
      <c r="AB1827" s="3"/>
      <c r="AC1827" s="3"/>
      <c r="AD1827" s="3"/>
      <c r="AE1827" s="3"/>
      <c r="AF1827" s="3"/>
      <c r="AG1827" s="3"/>
      <c r="AH1827" s="3"/>
      <c r="AI1827" s="3"/>
      <c r="AJ1827" s="3"/>
      <c r="AK1827" s="3"/>
      <c r="AL1827" s="3"/>
    </row>
    <row r="1828" ht="15.75" customHeight="1">
      <c r="A1828" s="27">
        <f t="shared" si="21"/>
        <v>707</v>
      </c>
      <c r="B1828" s="28"/>
      <c r="C1828" s="43" t="s">
        <v>6213</v>
      </c>
      <c r="D1828" s="30" t="s">
        <v>6214</v>
      </c>
      <c r="E1828" s="28" t="s">
        <v>31</v>
      </c>
      <c r="F1828" s="28" t="s">
        <v>29</v>
      </c>
      <c r="G1828" s="28"/>
      <c r="H1828" s="28"/>
      <c r="I1828" s="28" t="s">
        <v>38</v>
      </c>
      <c r="J1828" s="28">
        <v>62.0</v>
      </c>
      <c r="K1828" s="28"/>
      <c r="L1828" s="28" t="s">
        <v>6215</v>
      </c>
      <c r="M1828" s="28" t="s">
        <v>6216</v>
      </c>
      <c r="N1828" s="28">
        <v>1963.0</v>
      </c>
      <c r="O1828" s="60">
        <v>15.0</v>
      </c>
      <c r="P1828" s="28">
        <v>1.0</v>
      </c>
      <c r="Q1828" s="94">
        <v>1.0</v>
      </c>
      <c r="R1828" s="33"/>
      <c r="S1828" s="34"/>
      <c r="T1828" s="34"/>
      <c r="U1828" s="34"/>
      <c r="V1828" s="34"/>
      <c r="W1828" s="34"/>
      <c r="X1828" s="34"/>
      <c r="Y1828" s="45"/>
      <c r="Z1828" s="45"/>
      <c r="AA1828" s="45"/>
      <c r="AB1828" s="45"/>
      <c r="AC1828" s="45"/>
      <c r="AD1828" s="45"/>
      <c r="AE1828" s="45"/>
      <c r="AF1828" s="45"/>
      <c r="AG1828" s="45"/>
      <c r="AH1828" s="45"/>
      <c r="AI1828" s="45"/>
      <c r="AJ1828" s="45"/>
      <c r="AK1828" s="45"/>
      <c r="AL1828" s="45"/>
    </row>
    <row r="1829" ht="15.75" customHeight="1">
      <c r="A1829" s="27">
        <f t="shared" si="21"/>
        <v>708</v>
      </c>
      <c r="B1829" s="28" t="s">
        <v>6217</v>
      </c>
      <c r="C1829" s="43" t="s">
        <v>6218</v>
      </c>
      <c r="D1829" s="30" t="s">
        <v>6219</v>
      </c>
      <c r="E1829" s="28" t="s">
        <v>31</v>
      </c>
      <c r="F1829" s="28" t="s">
        <v>29</v>
      </c>
      <c r="G1829" s="28" t="s">
        <v>37</v>
      </c>
      <c r="H1829" s="28"/>
      <c r="I1829" s="28" t="s">
        <v>38</v>
      </c>
      <c r="J1829" s="28">
        <v>1041.0</v>
      </c>
      <c r="K1829" s="28"/>
      <c r="L1829" s="28" t="s">
        <v>6220</v>
      </c>
      <c r="M1829" s="28" t="s">
        <v>6221</v>
      </c>
      <c r="N1829" s="28">
        <v>1997.0</v>
      </c>
      <c r="O1829" s="60">
        <v>15.0</v>
      </c>
      <c r="P1829" s="28">
        <v>1.0</v>
      </c>
      <c r="Q1829" s="94">
        <v>1.0</v>
      </c>
      <c r="R1829" s="33"/>
      <c r="S1829" s="116"/>
      <c r="T1829" s="116"/>
      <c r="U1829" s="116"/>
      <c r="V1829" s="116"/>
      <c r="W1829" s="116"/>
      <c r="X1829" s="116"/>
      <c r="Y1829" s="3"/>
      <c r="Z1829" s="3"/>
      <c r="AA1829" s="3"/>
      <c r="AB1829" s="3"/>
      <c r="AC1829" s="3"/>
      <c r="AD1829" s="3"/>
      <c r="AE1829" s="3"/>
      <c r="AF1829" s="3"/>
      <c r="AG1829" s="3"/>
      <c r="AH1829" s="3"/>
      <c r="AI1829" s="3"/>
      <c r="AJ1829" s="3"/>
      <c r="AK1829" s="3"/>
      <c r="AL1829" s="3"/>
    </row>
    <row r="1830" ht="15.75" customHeight="1">
      <c r="A1830" s="27">
        <f t="shared" si="21"/>
        <v>709</v>
      </c>
      <c r="B1830" s="28" t="s">
        <v>6217</v>
      </c>
      <c r="C1830" s="43" t="s">
        <v>6218</v>
      </c>
      <c r="D1830" s="30" t="s">
        <v>6222</v>
      </c>
      <c r="E1830" s="28" t="s">
        <v>31</v>
      </c>
      <c r="F1830" s="28" t="s">
        <v>29</v>
      </c>
      <c r="G1830" s="28" t="s">
        <v>37</v>
      </c>
      <c r="H1830" s="28"/>
      <c r="I1830" s="28" t="s">
        <v>38</v>
      </c>
      <c r="J1830" s="28">
        <v>552.0</v>
      </c>
      <c r="K1830" s="28"/>
      <c r="L1830" s="28" t="s">
        <v>6220</v>
      </c>
      <c r="M1830" s="28" t="s">
        <v>6221</v>
      </c>
      <c r="N1830" s="28">
        <v>1997.0</v>
      </c>
      <c r="O1830" s="60">
        <v>15.0</v>
      </c>
      <c r="P1830" s="28">
        <v>1.0</v>
      </c>
      <c r="Q1830" s="94">
        <v>1.0</v>
      </c>
      <c r="R1830" s="33"/>
      <c r="S1830" s="34"/>
      <c r="T1830" s="34"/>
      <c r="U1830" s="34"/>
      <c r="V1830" s="34"/>
      <c r="W1830" s="34"/>
      <c r="X1830" s="34"/>
      <c r="Y1830" s="3"/>
      <c r="Z1830" s="3"/>
      <c r="AA1830" s="3"/>
      <c r="AB1830" s="3"/>
      <c r="AC1830" s="3"/>
      <c r="AD1830" s="3"/>
      <c r="AE1830" s="3"/>
      <c r="AF1830" s="3"/>
      <c r="AG1830" s="3"/>
      <c r="AH1830" s="3"/>
      <c r="AI1830" s="3"/>
      <c r="AJ1830" s="3"/>
      <c r="AK1830" s="3"/>
      <c r="AL1830" s="3"/>
    </row>
    <row r="1831" ht="15.75" customHeight="1">
      <c r="A1831" s="27">
        <f t="shared" si="21"/>
        <v>710</v>
      </c>
      <c r="B1831" s="28"/>
      <c r="C1831" s="43" t="s">
        <v>6223</v>
      </c>
      <c r="D1831" s="30" t="s">
        <v>6224</v>
      </c>
      <c r="E1831" s="28"/>
      <c r="F1831" s="28" t="s">
        <v>29</v>
      </c>
      <c r="G1831" s="28"/>
      <c r="H1831" s="28"/>
      <c r="I1831" s="28" t="s">
        <v>38</v>
      </c>
      <c r="J1831" s="28">
        <v>179.0</v>
      </c>
      <c r="K1831" s="28"/>
      <c r="L1831" s="28" t="s">
        <v>6225</v>
      </c>
      <c r="M1831" s="28"/>
      <c r="N1831" s="28">
        <v>1975.0</v>
      </c>
      <c r="O1831" s="60">
        <v>15.0</v>
      </c>
      <c r="P1831" s="28">
        <v>1.0</v>
      </c>
      <c r="Q1831" s="94">
        <v>1.0</v>
      </c>
      <c r="R1831" s="33"/>
      <c r="S1831" s="34"/>
      <c r="T1831" s="34"/>
      <c r="U1831" s="34"/>
      <c r="V1831" s="34"/>
      <c r="W1831" s="34"/>
      <c r="X1831" s="34"/>
      <c r="Y1831" s="3"/>
      <c r="Z1831" s="3"/>
      <c r="AA1831" s="3"/>
      <c r="AB1831" s="3"/>
      <c r="AC1831" s="3"/>
      <c r="AD1831" s="3"/>
      <c r="AE1831" s="3"/>
      <c r="AF1831" s="3"/>
      <c r="AG1831" s="3"/>
      <c r="AH1831" s="3"/>
      <c r="AI1831" s="3"/>
      <c r="AJ1831" s="3"/>
      <c r="AK1831" s="3"/>
      <c r="AL1831" s="3"/>
    </row>
    <row r="1832" ht="15.75" customHeight="1">
      <c r="A1832" s="27">
        <f t="shared" si="21"/>
        <v>711</v>
      </c>
      <c r="B1832" s="33"/>
      <c r="C1832" s="132" t="s">
        <v>6226</v>
      </c>
      <c r="D1832" s="131" t="s">
        <v>6227</v>
      </c>
      <c r="E1832" s="33"/>
      <c r="F1832" s="132" t="s">
        <v>29</v>
      </c>
      <c r="G1832" s="132" t="s">
        <v>30</v>
      </c>
      <c r="H1832" s="33"/>
      <c r="I1832" s="132" t="s">
        <v>6228</v>
      </c>
      <c r="J1832" s="132">
        <v>333.0</v>
      </c>
      <c r="K1832" s="33"/>
      <c r="L1832" s="132" t="s">
        <v>6229</v>
      </c>
      <c r="M1832" s="132" t="s">
        <v>6230</v>
      </c>
      <c r="N1832" s="132">
        <v>1977.0</v>
      </c>
      <c r="O1832" s="121">
        <v>15.0</v>
      </c>
      <c r="P1832" s="132">
        <v>1.0</v>
      </c>
      <c r="Q1832" s="132">
        <v>1.0</v>
      </c>
      <c r="R1832" s="84"/>
      <c r="S1832" s="34"/>
      <c r="T1832" s="34"/>
      <c r="U1832" s="34"/>
      <c r="V1832" s="34"/>
      <c r="W1832" s="34"/>
      <c r="X1832" s="34"/>
      <c r="Y1832" s="45"/>
      <c r="Z1832" s="45"/>
      <c r="AA1832" s="45"/>
      <c r="AB1832" s="45"/>
      <c r="AC1832" s="45"/>
      <c r="AD1832" s="45"/>
      <c r="AE1832" s="45"/>
      <c r="AF1832" s="45"/>
      <c r="AG1832" s="45"/>
      <c r="AH1832" s="45"/>
      <c r="AI1832" s="45"/>
      <c r="AJ1832" s="45"/>
      <c r="AK1832" s="45"/>
      <c r="AL1832" s="45"/>
    </row>
    <row r="1833" ht="15.75" customHeight="1">
      <c r="A1833" s="27">
        <f t="shared" si="21"/>
        <v>712</v>
      </c>
      <c r="B1833" s="83" t="s">
        <v>6231</v>
      </c>
      <c r="C1833" s="121" t="s">
        <v>6232</v>
      </c>
      <c r="D1833" s="118" t="s">
        <v>6233</v>
      </c>
      <c r="E1833" s="83" t="s">
        <v>2601</v>
      </c>
      <c r="F1833" s="83" t="s">
        <v>29</v>
      </c>
      <c r="G1833" s="83"/>
      <c r="H1833" s="83"/>
      <c r="I1833" s="83" t="s">
        <v>30</v>
      </c>
      <c r="J1833" s="83">
        <v>134.0</v>
      </c>
      <c r="K1833" s="83"/>
      <c r="L1833" s="83" t="s">
        <v>6234</v>
      </c>
      <c r="M1833" s="83" t="s">
        <v>6235</v>
      </c>
      <c r="N1833" s="83">
        <v>1993.0</v>
      </c>
      <c r="O1833" s="121">
        <v>15.0</v>
      </c>
      <c r="P1833" s="121">
        <v>2.0</v>
      </c>
      <c r="Q1833" s="121">
        <v>2.0</v>
      </c>
      <c r="R1833" s="84"/>
      <c r="S1833" s="34"/>
      <c r="T1833" s="34"/>
      <c r="U1833" s="34"/>
      <c r="V1833" s="34"/>
      <c r="W1833" s="34"/>
      <c r="X1833" s="34"/>
      <c r="Y1833" s="45"/>
      <c r="Z1833" s="45"/>
      <c r="AA1833" s="45"/>
      <c r="AB1833" s="45"/>
      <c r="AC1833" s="45"/>
      <c r="AD1833" s="45"/>
      <c r="AE1833" s="45"/>
      <c r="AF1833" s="45"/>
      <c r="AG1833" s="45"/>
      <c r="AH1833" s="45"/>
      <c r="AI1833" s="45"/>
      <c r="AJ1833" s="45"/>
      <c r="AK1833" s="45"/>
      <c r="AL1833" s="45"/>
    </row>
    <row r="1834" ht="15.75" customHeight="1">
      <c r="A1834" s="27">
        <f t="shared" si="21"/>
        <v>713</v>
      </c>
      <c r="B1834" s="121" t="s">
        <v>6236</v>
      </c>
      <c r="C1834" s="121" t="s">
        <v>6237</v>
      </c>
      <c r="D1834" s="119" t="s">
        <v>6238</v>
      </c>
      <c r="E1834" s="121"/>
      <c r="F1834" s="121" t="s">
        <v>29</v>
      </c>
      <c r="G1834" s="121" t="s">
        <v>3887</v>
      </c>
      <c r="H1834" s="83"/>
      <c r="I1834" s="121" t="s">
        <v>38</v>
      </c>
      <c r="J1834" s="121">
        <v>425.0</v>
      </c>
      <c r="K1834" s="83"/>
      <c r="L1834" s="121" t="s">
        <v>1504</v>
      </c>
      <c r="M1834" s="121" t="s">
        <v>6239</v>
      </c>
      <c r="N1834" s="121">
        <v>1988.0</v>
      </c>
      <c r="O1834" s="121">
        <v>15.0</v>
      </c>
      <c r="P1834" s="121">
        <v>1.0</v>
      </c>
      <c r="Q1834" s="121">
        <v>1.0</v>
      </c>
      <c r="R1834" s="84"/>
      <c r="S1834" s="34"/>
      <c r="T1834" s="34"/>
      <c r="U1834" s="34"/>
      <c r="V1834" s="34"/>
      <c r="W1834" s="34"/>
      <c r="X1834" s="34"/>
      <c r="Y1834" s="45"/>
      <c r="Z1834" s="45"/>
      <c r="AA1834" s="45"/>
      <c r="AB1834" s="45"/>
      <c r="AC1834" s="45"/>
      <c r="AD1834" s="45"/>
      <c r="AE1834" s="45"/>
      <c r="AF1834" s="45"/>
      <c r="AG1834" s="45"/>
      <c r="AH1834" s="45"/>
      <c r="AI1834" s="45"/>
      <c r="AJ1834" s="45"/>
      <c r="AK1834" s="45"/>
      <c r="AL1834" s="45"/>
    </row>
    <row r="1835" ht="15.75" customHeight="1">
      <c r="A1835" s="27">
        <f t="shared" si="21"/>
        <v>714</v>
      </c>
      <c r="B1835" s="121" t="s">
        <v>6240</v>
      </c>
      <c r="C1835" s="121" t="s">
        <v>6241</v>
      </c>
      <c r="D1835" s="119" t="s">
        <v>6242</v>
      </c>
      <c r="E1835" s="83"/>
      <c r="F1835" s="121" t="s">
        <v>29</v>
      </c>
      <c r="G1835" s="121" t="s">
        <v>37</v>
      </c>
      <c r="H1835" s="83"/>
      <c r="I1835" s="121" t="s">
        <v>38</v>
      </c>
      <c r="J1835" s="121">
        <v>570.0</v>
      </c>
      <c r="K1835" s="83"/>
      <c r="L1835" s="121" t="s">
        <v>6243</v>
      </c>
      <c r="M1835" s="121" t="s">
        <v>72</v>
      </c>
      <c r="N1835" s="121">
        <v>1980.0</v>
      </c>
      <c r="O1835" s="121">
        <v>15.0</v>
      </c>
      <c r="P1835" s="121">
        <v>1.0</v>
      </c>
      <c r="Q1835" s="121">
        <v>1.0</v>
      </c>
      <c r="R1835" s="84"/>
      <c r="S1835" s="34"/>
      <c r="T1835" s="34"/>
      <c r="U1835" s="34"/>
      <c r="V1835" s="34"/>
      <c r="W1835" s="34"/>
      <c r="X1835" s="34"/>
      <c r="Y1835" s="3"/>
      <c r="Z1835" s="3"/>
      <c r="AA1835" s="3"/>
      <c r="AB1835" s="3"/>
      <c r="AC1835" s="3"/>
      <c r="AD1835" s="3"/>
      <c r="AE1835" s="3"/>
      <c r="AF1835" s="3"/>
      <c r="AG1835" s="3"/>
      <c r="AH1835" s="3"/>
      <c r="AI1835" s="3"/>
      <c r="AJ1835" s="3"/>
      <c r="AK1835" s="3"/>
      <c r="AL1835" s="3"/>
    </row>
    <row r="1836" ht="15.75" customHeight="1">
      <c r="A1836" s="27">
        <f t="shared" si="21"/>
        <v>715</v>
      </c>
      <c r="B1836" s="121" t="s">
        <v>5413</v>
      </c>
      <c r="C1836" s="121" t="s">
        <v>6244</v>
      </c>
      <c r="D1836" s="119" t="s">
        <v>6245</v>
      </c>
      <c r="E1836" s="83"/>
      <c r="F1836" s="121" t="s">
        <v>29</v>
      </c>
      <c r="G1836" s="121" t="s">
        <v>30</v>
      </c>
      <c r="H1836" s="83"/>
      <c r="I1836" s="121" t="s">
        <v>38</v>
      </c>
      <c r="J1836" s="121">
        <v>209.0</v>
      </c>
      <c r="K1836" s="83"/>
      <c r="L1836" s="121" t="s">
        <v>5426</v>
      </c>
      <c r="M1836" s="121" t="s">
        <v>5420</v>
      </c>
      <c r="N1836" s="121">
        <v>2003.0</v>
      </c>
      <c r="O1836" s="121">
        <v>15.0</v>
      </c>
      <c r="P1836" s="121">
        <v>1.0</v>
      </c>
      <c r="Q1836" s="121">
        <v>1.0</v>
      </c>
      <c r="R1836" s="84"/>
      <c r="S1836" s="34"/>
      <c r="T1836" s="34"/>
      <c r="U1836" s="34"/>
      <c r="V1836" s="34"/>
      <c r="W1836" s="34"/>
      <c r="X1836" s="34"/>
      <c r="Y1836" s="3"/>
      <c r="Z1836" s="3"/>
      <c r="AA1836" s="3"/>
      <c r="AB1836" s="3"/>
      <c r="AC1836" s="3"/>
      <c r="AD1836" s="3"/>
      <c r="AE1836" s="3"/>
      <c r="AF1836" s="3"/>
      <c r="AG1836" s="3"/>
      <c r="AH1836" s="3"/>
      <c r="AI1836" s="3"/>
      <c r="AJ1836" s="3"/>
      <c r="AK1836" s="3"/>
      <c r="AL1836" s="3"/>
    </row>
    <row r="1837" ht="15.75" customHeight="1">
      <c r="A1837" s="27">
        <f t="shared" si="21"/>
        <v>716</v>
      </c>
      <c r="B1837" s="121" t="s">
        <v>5413</v>
      </c>
      <c r="C1837" s="121" t="s">
        <v>6246</v>
      </c>
      <c r="D1837" s="119" t="s">
        <v>6247</v>
      </c>
      <c r="E1837" s="83"/>
      <c r="F1837" s="121" t="s">
        <v>29</v>
      </c>
      <c r="G1837" s="121" t="s">
        <v>30</v>
      </c>
      <c r="H1837" s="83"/>
      <c r="I1837" s="121" t="s">
        <v>38</v>
      </c>
      <c r="J1837" s="121">
        <v>59.0</v>
      </c>
      <c r="K1837" s="83"/>
      <c r="L1837" s="121" t="s">
        <v>6248</v>
      </c>
      <c r="M1837" s="121" t="s">
        <v>5420</v>
      </c>
      <c r="N1837" s="121">
        <v>1997.0</v>
      </c>
      <c r="O1837" s="121">
        <v>15.0</v>
      </c>
      <c r="P1837" s="121">
        <v>1.0</v>
      </c>
      <c r="Q1837" s="121">
        <v>1.0</v>
      </c>
      <c r="R1837" s="84"/>
      <c r="S1837" s="34"/>
      <c r="T1837" s="34"/>
      <c r="U1837" s="34"/>
      <c r="V1837" s="34"/>
      <c r="W1837" s="34"/>
      <c r="X1837" s="34"/>
      <c r="Y1837" s="3"/>
      <c r="Z1837" s="3"/>
      <c r="AA1837" s="3"/>
      <c r="AB1837" s="3"/>
      <c r="AC1837" s="3"/>
      <c r="AD1837" s="3"/>
      <c r="AE1837" s="3"/>
      <c r="AF1837" s="3"/>
      <c r="AG1837" s="3"/>
      <c r="AH1837" s="3"/>
      <c r="AI1837" s="3"/>
      <c r="AJ1837" s="3"/>
      <c r="AK1837" s="3"/>
      <c r="AL1837" s="3"/>
    </row>
    <row r="1838" ht="15.75" customHeight="1">
      <c r="A1838" s="27">
        <f t="shared" si="21"/>
        <v>717</v>
      </c>
      <c r="B1838" s="121" t="s">
        <v>6249</v>
      </c>
      <c r="C1838" s="121" t="s">
        <v>6250</v>
      </c>
      <c r="D1838" s="135" t="s">
        <v>6251</v>
      </c>
      <c r="E1838" s="83"/>
      <c r="F1838" s="83"/>
      <c r="G1838" s="121" t="s">
        <v>37</v>
      </c>
      <c r="H1838" s="83"/>
      <c r="I1838" s="121" t="s">
        <v>38</v>
      </c>
      <c r="J1838" s="121">
        <v>199.0</v>
      </c>
      <c r="K1838" s="83"/>
      <c r="L1838" s="121" t="s">
        <v>6252</v>
      </c>
      <c r="M1838" s="121" t="s">
        <v>6253</v>
      </c>
      <c r="N1838" s="121">
        <v>2017.0</v>
      </c>
      <c r="O1838" s="121">
        <v>15.0</v>
      </c>
      <c r="P1838" s="121">
        <v>1.0</v>
      </c>
      <c r="Q1838" s="121">
        <v>1.0</v>
      </c>
      <c r="R1838" s="84"/>
      <c r="S1838" s="34"/>
      <c r="T1838" s="34"/>
      <c r="U1838" s="34"/>
      <c r="V1838" s="34"/>
      <c r="W1838" s="34"/>
      <c r="X1838" s="34"/>
      <c r="Y1838" s="3"/>
      <c r="Z1838" s="3"/>
      <c r="AA1838" s="3"/>
      <c r="AB1838" s="3"/>
      <c r="AC1838" s="3"/>
      <c r="AD1838" s="3"/>
      <c r="AE1838" s="3"/>
      <c r="AF1838" s="3"/>
      <c r="AG1838" s="3"/>
      <c r="AH1838" s="3"/>
      <c r="AI1838" s="3"/>
      <c r="AJ1838" s="3"/>
      <c r="AK1838" s="3"/>
      <c r="AL1838" s="3"/>
    </row>
    <row r="1839" ht="15.75" customHeight="1">
      <c r="A1839" s="27">
        <f t="shared" si="21"/>
        <v>718</v>
      </c>
      <c r="B1839" s="28" t="s">
        <v>31</v>
      </c>
      <c r="C1839" s="43" t="s">
        <v>6254</v>
      </c>
      <c r="D1839" s="30" t="s">
        <v>6255</v>
      </c>
      <c r="E1839" s="28"/>
      <c r="F1839" s="28" t="s">
        <v>29</v>
      </c>
      <c r="G1839" s="28" t="s">
        <v>37</v>
      </c>
      <c r="H1839" s="28" t="s">
        <v>31</v>
      </c>
      <c r="I1839" s="28" t="s">
        <v>38</v>
      </c>
      <c r="J1839" s="28">
        <v>111.0</v>
      </c>
      <c r="K1839" s="28"/>
      <c r="L1839" s="28" t="s">
        <v>4527</v>
      </c>
      <c r="M1839" s="28" t="s">
        <v>6256</v>
      </c>
      <c r="N1839" s="28">
        <v>1969.0</v>
      </c>
      <c r="O1839" s="60">
        <v>15.0</v>
      </c>
      <c r="P1839" s="28">
        <v>1.0</v>
      </c>
      <c r="Q1839" s="94">
        <v>1.0</v>
      </c>
      <c r="R1839" s="33"/>
      <c r="S1839" s="34"/>
      <c r="T1839" s="34"/>
      <c r="U1839" s="34"/>
      <c r="V1839" s="34"/>
      <c r="W1839" s="34"/>
      <c r="X1839" s="34"/>
      <c r="Y1839" s="3"/>
      <c r="Z1839" s="3"/>
      <c r="AA1839" s="3"/>
      <c r="AB1839" s="3"/>
      <c r="AC1839" s="3"/>
      <c r="AD1839" s="3"/>
      <c r="AE1839" s="3"/>
      <c r="AF1839" s="3"/>
      <c r="AG1839" s="3"/>
      <c r="AH1839" s="3"/>
      <c r="AI1839" s="3"/>
      <c r="AJ1839" s="3"/>
      <c r="AK1839" s="3"/>
      <c r="AL1839" s="3"/>
    </row>
    <row r="1840" ht="15.75" customHeight="1">
      <c r="A1840" s="27">
        <f t="shared" si="21"/>
        <v>719</v>
      </c>
      <c r="B1840" s="28" t="s">
        <v>6257</v>
      </c>
      <c r="C1840" s="43" t="s">
        <v>6258</v>
      </c>
      <c r="D1840" s="30" t="s">
        <v>6259</v>
      </c>
      <c r="E1840" s="28" t="s">
        <v>31</v>
      </c>
      <c r="F1840" s="28" t="s">
        <v>29</v>
      </c>
      <c r="G1840" s="28" t="s">
        <v>5737</v>
      </c>
      <c r="H1840" s="28"/>
      <c r="I1840" s="28" t="s">
        <v>38</v>
      </c>
      <c r="J1840" s="28">
        <v>205.0</v>
      </c>
      <c r="K1840" s="28"/>
      <c r="L1840" s="28" t="s">
        <v>2949</v>
      </c>
      <c r="M1840" s="28" t="s">
        <v>5373</v>
      </c>
      <c r="N1840" s="28">
        <v>1985.0</v>
      </c>
      <c r="O1840" s="60">
        <v>15.0</v>
      </c>
      <c r="P1840" s="28">
        <v>1.0</v>
      </c>
      <c r="Q1840" s="94">
        <v>1.0</v>
      </c>
      <c r="R1840" s="33"/>
      <c r="S1840" s="34"/>
      <c r="T1840" s="34"/>
      <c r="U1840" s="34"/>
      <c r="V1840" s="34"/>
      <c r="W1840" s="34"/>
      <c r="X1840" s="34"/>
      <c r="Y1840" s="3"/>
      <c r="Z1840" s="3"/>
      <c r="AA1840" s="3"/>
      <c r="AB1840" s="3"/>
      <c r="AC1840" s="3"/>
      <c r="AD1840" s="3"/>
      <c r="AE1840" s="3"/>
      <c r="AF1840" s="3"/>
      <c r="AG1840" s="3"/>
      <c r="AH1840" s="3"/>
      <c r="AI1840" s="3"/>
      <c r="AJ1840" s="3"/>
      <c r="AK1840" s="3"/>
      <c r="AL1840" s="3"/>
    </row>
    <row r="1841" ht="15.75" customHeight="1">
      <c r="A1841" s="27">
        <f t="shared" si="21"/>
        <v>720</v>
      </c>
      <c r="B1841" s="28" t="s">
        <v>6260</v>
      </c>
      <c r="C1841" s="102" t="s">
        <v>6261</v>
      </c>
      <c r="D1841" s="30" t="s">
        <v>6262</v>
      </c>
      <c r="E1841" s="28" t="s">
        <v>2601</v>
      </c>
      <c r="F1841" s="28" t="s">
        <v>29</v>
      </c>
      <c r="G1841" s="28" t="s">
        <v>37</v>
      </c>
      <c r="H1841" s="28"/>
      <c r="I1841" s="28" t="s">
        <v>38</v>
      </c>
      <c r="J1841" s="28">
        <v>299.0</v>
      </c>
      <c r="K1841" s="28"/>
      <c r="L1841" s="60" t="s">
        <v>6263</v>
      </c>
      <c r="M1841" s="28" t="s">
        <v>2622</v>
      </c>
      <c r="N1841" s="28">
        <v>1966.0</v>
      </c>
      <c r="O1841" s="60">
        <v>15.0</v>
      </c>
      <c r="P1841" s="28">
        <v>1.0</v>
      </c>
      <c r="Q1841" s="94">
        <v>1.0</v>
      </c>
      <c r="R1841" s="33"/>
      <c r="S1841" s="34"/>
      <c r="T1841" s="34"/>
      <c r="U1841" s="34"/>
      <c r="V1841" s="34"/>
      <c r="W1841" s="34"/>
      <c r="X1841" s="34"/>
      <c r="Y1841" s="3"/>
      <c r="Z1841" s="3"/>
      <c r="AA1841" s="3"/>
      <c r="AB1841" s="3"/>
      <c r="AC1841" s="3"/>
      <c r="AD1841" s="3"/>
      <c r="AE1841" s="3"/>
      <c r="AF1841" s="3"/>
      <c r="AG1841" s="3"/>
      <c r="AH1841" s="3"/>
      <c r="AI1841" s="3"/>
      <c r="AJ1841" s="3"/>
      <c r="AK1841" s="3"/>
      <c r="AL1841" s="3"/>
    </row>
    <row r="1842" ht="15.75" customHeight="1">
      <c r="A1842" s="27">
        <f t="shared" si="21"/>
        <v>721</v>
      </c>
      <c r="B1842" s="28" t="s">
        <v>6264</v>
      </c>
      <c r="C1842" s="43" t="s">
        <v>6265</v>
      </c>
      <c r="D1842" s="30" t="s">
        <v>6266</v>
      </c>
      <c r="E1842" s="28"/>
      <c r="F1842" s="28" t="s">
        <v>29</v>
      </c>
      <c r="G1842" s="28" t="s">
        <v>30</v>
      </c>
      <c r="H1842" s="28" t="s">
        <v>31</v>
      </c>
      <c r="I1842" s="28" t="s">
        <v>30</v>
      </c>
      <c r="J1842" s="28">
        <v>228.0</v>
      </c>
      <c r="K1842" s="28"/>
      <c r="L1842" s="28" t="s">
        <v>6267</v>
      </c>
      <c r="M1842" s="28" t="s">
        <v>6268</v>
      </c>
      <c r="N1842" s="28"/>
      <c r="O1842" s="60">
        <v>15.0</v>
      </c>
      <c r="P1842" s="28">
        <v>1.0</v>
      </c>
      <c r="Q1842" s="94">
        <v>1.0</v>
      </c>
      <c r="R1842" s="33"/>
      <c r="S1842" s="185"/>
      <c r="T1842" s="185"/>
      <c r="U1842" s="185"/>
      <c r="V1842" s="185"/>
      <c r="W1842" s="185"/>
      <c r="X1842" s="185"/>
      <c r="Y1842" s="3"/>
      <c r="Z1842" s="3"/>
      <c r="AA1842" s="3"/>
      <c r="AB1842" s="3"/>
      <c r="AC1842" s="3"/>
      <c r="AD1842" s="3"/>
      <c r="AE1842" s="3"/>
      <c r="AF1842" s="3"/>
      <c r="AG1842" s="3"/>
      <c r="AH1842" s="3"/>
      <c r="AI1842" s="3"/>
      <c r="AJ1842" s="3"/>
      <c r="AK1842" s="3"/>
      <c r="AL1842" s="3"/>
    </row>
    <row r="1843" ht="15.75" customHeight="1">
      <c r="A1843" s="27">
        <f t="shared" si="21"/>
        <v>722</v>
      </c>
      <c r="B1843" s="28" t="s">
        <v>31</v>
      </c>
      <c r="C1843" s="43" t="s">
        <v>6269</v>
      </c>
      <c r="D1843" s="30" t="s">
        <v>6270</v>
      </c>
      <c r="E1843" s="28"/>
      <c r="F1843" s="28" t="s">
        <v>29</v>
      </c>
      <c r="G1843" s="28" t="s">
        <v>6271</v>
      </c>
      <c r="H1843" s="28"/>
      <c r="I1843" s="28" t="s">
        <v>38</v>
      </c>
      <c r="J1843" s="28">
        <v>560.0</v>
      </c>
      <c r="K1843" s="28"/>
      <c r="L1843" s="28" t="s">
        <v>5919</v>
      </c>
      <c r="M1843" s="28" t="s">
        <v>3226</v>
      </c>
      <c r="N1843" s="28">
        <v>1963.0</v>
      </c>
      <c r="O1843" s="60">
        <v>15.0</v>
      </c>
      <c r="P1843" s="28">
        <v>1.0</v>
      </c>
      <c r="Q1843" s="94">
        <v>1.0</v>
      </c>
      <c r="R1843" s="33"/>
      <c r="S1843" s="34"/>
      <c r="T1843" s="34"/>
      <c r="U1843" s="34"/>
      <c r="V1843" s="34"/>
      <c r="W1843" s="34"/>
      <c r="X1843" s="34"/>
      <c r="Y1843" s="3"/>
      <c r="Z1843" s="3"/>
      <c r="AA1843" s="3"/>
      <c r="AB1843" s="3"/>
      <c r="AC1843" s="3"/>
      <c r="AD1843" s="3"/>
      <c r="AE1843" s="3"/>
      <c r="AF1843" s="3"/>
      <c r="AG1843" s="3"/>
      <c r="AH1843" s="3"/>
      <c r="AI1843" s="3"/>
      <c r="AJ1843" s="3"/>
      <c r="AK1843" s="3"/>
      <c r="AL1843" s="3"/>
    </row>
    <row r="1844" ht="15.75" customHeight="1">
      <c r="A1844" s="27">
        <f t="shared" si="21"/>
        <v>723</v>
      </c>
      <c r="B1844" s="28" t="s">
        <v>6272</v>
      </c>
      <c r="C1844" s="43" t="s">
        <v>6273</v>
      </c>
      <c r="D1844" s="30" t="s">
        <v>6274</v>
      </c>
      <c r="E1844" s="28" t="s">
        <v>31</v>
      </c>
      <c r="F1844" s="28" t="s">
        <v>29</v>
      </c>
      <c r="G1844" s="28" t="s">
        <v>30</v>
      </c>
      <c r="H1844" s="28"/>
      <c r="I1844" s="28" t="s">
        <v>30</v>
      </c>
      <c r="J1844" s="28">
        <v>162.0</v>
      </c>
      <c r="K1844" s="28"/>
      <c r="L1844" s="28" t="s">
        <v>6275</v>
      </c>
      <c r="M1844" s="28" t="s">
        <v>2698</v>
      </c>
      <c r="N1844" s="28">
        <v>1986.0</v>
      </c>
      <c r="O1844" s="60">
        <v>15.0</v>
      </c>
      <c r="P1844" s="28">
        <v>1.0</v>
      </c>
      <c r="Q1844" s="94">
        <v>1.0</v>
      </c>
      <c r="R1844" s="33"/>
      <c r="S1844" s="34"/>
      <c r="T1844" s="34"/>
      <c r="U1844" s="34"/>
      <c r="V1844" s="34"/>
      <c r="W1844" s="34"/>
      <c r="X1844" s="34"/>
      <c r="Y1844" s="3"/>
      <c r="Z1844" s="3"/>
      <c r="AA1844" s="3"/>
      <c r="AB1844" s="3"/>
      <c r="AC1844" s="3"/>
      <c r="AD1844" s="3"/>
      <c r="AE1844" s="3"/>
      <c r="AF1844" s="3"/>
      <c r="AG1844" s="3"/>
      <c r="AH1844" s="3"/>
      <c r="AI1844" s="3"/>
      <c r="AJ1844" s="3"/>
      <c r="AK1844" s="3"/>
      <c r="AL1844" s="3"/>
    </row>
    <row r="1845" ht="15.75" customHeight="1">
      <c r="A1845" s="27">
        <f t="shared" si="21"/>
        <v>724</v>
      </c>
      <c r="B1845" s="121" t="s">
        <v>5413</v>
      </c>
      <c r="C1845" s="156" t="s">
        <v>6276</v>
      </c>
      <c r="D1845" s="119" t="s">
        <v>6277</v>
      </c>
      <c r="E1845" s="83"/>
      <c r="F1845" s="121" t="s">
        <v>29</v>
      </c>
      <c r="G1845" s="121" t="s">
        <v>30</v>
      </c>
      <c r="H1845" s="83"/>
      <c r="I1845" s="121" t="s">
        <v>38</v>
      </c>
      <c r="J1845" s="121">
        <v>119.0</v>
      </c>
      <c r="K1845" s="83"/>
      <c r="L1845" s="121" t="s">
        <v>6278</v>
      </c>
      <c r="M1845" s="121" t="s">
        <v>5420</v>
      </c>
      <c r="N1845" s="121">
        <v>1991.0</v>
      </c>
      <c r="O1845" s="60">
        <v>15.0</v>
      </c>
      <c r="P1845" s="121">
        <v>1.0</v>
      </c>
      <c r="Q1845" s="121">
        <v>1.0</v>
      </c>
      <c r="R1845" s="84"/>
      <c r="S1845" s="34"/>
      <c r="T1845" s="34"/>
      <c r="U1845" s="34"/>
      <c r="V1845" s="34"/>
      <c r="W1845" s="34"/>
      <c r="X1845" s="34"/>
      <c r="Y1845" s="3"/>
      <c r="Z1845" s="3"/>
      <c r="AA1845" s="3"/>
      <c r="AB1845" s="3"/>
      <c r="AC1845" s="3"/>
      <c r="AD1845" s="3"/>
      <c r="AE1845" s="3"/>
      <c r="AF1845" s="3"/>
      <c r="AG1845" s="3"/>
      <c r="AH1845" s="3"/>
      <c r="AI1845" s="3"/>
      <c r="AJ1845" s="3"/>
      <c r="AK1845" s="3"/>
      <c r="AL1845" s="3"/>
    </row>
    <row r="1846" ht="15.75" customHeight="1">
      <c r="A1846" s="27">
        <f t="shared" si="21"/>
        <v>725</v>
      </c>
      <c r="B1846" s="121" t="s">
        <v>5413</v>
      </c>
      <c r="C1846" s="121" t="s">
        <v>6279</v>
      </c>
      <c r="D1846" s="119" t="s">
        <v>6280</v>
      </c>
      <c r="E1846" s="83"/>
      <c r="F1846" s="121" t="s">
        <v>29</v>
      </c>
      <c r="G1846" s="121" t="s">
        <v>30</v>
      </c>
      <c r="H1846" s="83"/>
      <c r="I1846" s="121" t="s">
        <v>38</v>
      </c>
      <c r="J1846" s="121">
        <v>17.0</v>
      </c>
      <c r="K1846" s="83"/>
      <c r="L1846" s="121" t="s">
        <v>5494</v>
      </c>
      <c r="M1846" s="121" t="s">
        <v>5420</v>
      </c>
      <c r="N1846" s="121">
        <v>1995.0</v>
      </c>
      <c r="O1846" s="60">
        <v>15.0</v>
      </c>
      <c r="P1846" s="121">
        <v>1.0</v>
      </c>
      <c r="Q1846" s="121">
        <v>1.0</v>
      </c>
      <c r="R1846" s="84"/>
      <c r="S1846" s="34"/>
      <c r="T1846" s="34"/>
      <c r="U1846" s="34"/>
      <c r="V1846" s="34"/>
      <c r="W1846" s="34"/>
      <c r="X1846" s="34"/>
      <c r="Y1846" s="3"/>
      <c r="Z1846" s="3"/>
      <c r="AA1846" s="3"/>
      <c r="AB1846" s="3"/>
      <c r="AC1846" s="3"/>
      <c r="AD1846" s="3"/>
      <c r="AE1846" s="3"/>
      <c r="AF1846" s="3"/>
      <c r="AG1846" s="3"/>
      <c r="AH1846" s="3"/>
      <c r="AI1846" s="3"/>
      <c r="AJ1846" s="3"/>
      <c r="AK1846" s="3"/>
      <c r="AL1846" s="3"/>
    </row>
    <row r="1847" ht="15.75" customHeight="1">
      <c r="A1847" s="27">
        <f t="shared" si="21"/>
        <v>726</v>
      </c>
      <c r="B1847" s="28" t="s">
        <v>31</v>
      </c>
      <c r="C1847" s="43" t="s">
        <v>6281</v>
      </c>
      <c r="D1847" s="30" t="s">
        <v>6282</v>
      </c>
      <c r="E1847" s="28" t="s">
        <v>31</v>
      </c>
      <c r="F1847" s="28" t="s">
        <v>29</v>
      </c>
      <c r="G1847" s="28" t="s">
        <v>30</v>
      </c>
      <c r="H1847" s="28"/>
      <c r="I1847" s="28" t="s">
        <v>30</v>
      </c>
      <c r="J1847" s="28">
        <v>50.0</v>
      </c>
      <c r="K1847" s="28"/>
      <c r="L1847" s="28" t="s">
        <v>5785</v>
      </c>
      <c r="M1847" s="28" t="s">
        <v>5198</v>
      </c>
      <c r="N1847" s="28">
        <v>1975.0</v>
      </c>
      <c r="O1847" s="60">
        <v>15.0</v>
      </c>
      <c r="P1847" s="28">
        <v>2.0</v>
      </c>
      <c r="Q1847" s="94">
        <v>2.0</v>
      </c>
      <c r="R1847" s="33"/>
      <c r="S1847" s="34"/>
      <c r="T1847" s="34"/>
      <c r="U1847" s="34"/>
      <c r="V1847" s="34"/>
      <c r="W1847" s="34"/>
      <c r="X1847" s="34"/>
      <c r="Y1847" s="3"/>
      <c r="Z1847" s="3"/>
      <c r="AA1847" s="3"/>
      <c r="AB1847" s="3"/>
      <c r="AC1847" s="3"/>
      <c r="AD1847" s="3"/>
      <c r="AE1847" s="3"/>
      <c r="AF1847" s="3"/>
      <c r="AG1847" s="3"/>
      <c r="AH1847" s="3"/>
      <c r="AI1847" s="3"/>
      <c r="AJ1847" s="3"/>
      <c r="AK1847" s="3"/>
      <c r="AL1847" s="3"/>
    </row>
    <row r="1848" ht="15.75" customHeight="1">
      <c r="A1848" s="27">
        <f t="shared" si="21"/>
        <v>727</v>
      </c>
      <c r="B1848" s="28" t="s">
        <v>4968</v>
      </c>
      <c r="C1848" s="43" t="s">
        <v>6281</v>
      </c>
      <c r="D1848" s="30" t="s">
        <v>6282</v>
      </c>
      <c r="E1848" s="28" t="s">
        <v>31</v>
      </c>
      <c r="F1848" s="28" t="s">
        <v>29</v>
      </c>
      <c r="G1848" s="28" t="s">
        <v>30</v>
      </c>
      <c r="H1848" s="28"/>
      <c r="I1848" s="28" t="s">
        <v>30</v>
      </c>
      <c r="J1848" s="28">
        <v>38.0</v>
      </c>
      <c r="K1848" s="28"/>
      <c r="L1848" s="28" t="s">
        <v>6283</v>
      </c>
      <c r="M1848" s="28" t="s">
        <v>5198</v>
      </c>
      <c r="N1848" s="28" t="s">
        <v>31</v>
      </c>
      <c r="O1848" s="60">
        <v>15.0</v>
      </c>
      <c r="P1848" s="28">
        <v>1.0</v>
      </c>
      <c r="Q1848" s="94">
        <v>1.0</v>
      </c>
      <c r="R1848" s="33"/>
      <c r="S1848" s="116"/>
      <c r="T1848" s="116"/>
      <c r="U1848" s="116"/>
      <c r="V1848" s="116"/>
      <c r="W1848" s="116"/>
      <c r="X1848" s="116"/>
      <c r="Y1848" s="3"/>
      <c r="Z1848" s="3"/>
      <c r="AA1848" s="3"/>
      <c r="AB1848" s="3"/>
      <c r="AC1848" s="3"/>
      <c r="AD1848" s="3"/>
      <c r="AE1848" s="3"/>
      <c r="AF1848" s="3"/>
      <c r="AG1848" s="3"/>
      <c r="AH1848" s="3"/>
      <c r="AI1848" s="3"/>
      <c r="AJ1848" s="3"/>
      <c r="AK1848" s="3"/>
      <c r="AL1848" s="3"/>
    </row>
    <row r="1849" ht="15.75" customHeight="1">
      <c r="A1849" s="27">
        <f t="shared" si="21"/>
        <v>728</v>
      </c>
      <c r="B1849" s="28" t="s">
        <v>31</v>
      </c>
      <c r="C1849" s="43" t="s">
        <v>6284</v>
      </c>
      <c r="D1849" s="30" t="s">
        <v>6285</v>
      </c>
      <c r="E1849" s="28" t="s">
        <v>31</v>
      </c>
      <c r="F1849" s="28" t="s">
        <v>29</v>
      </c>
      <c r="G1849" s="28" t="s">
        <v>30</v>
      </c>
      <c r="H1849" s="28"/>
      <c r="I1849" s="28" t="s">
        <v>30</v>
      </c>
      <c r="J1849" s="28">
        <v>120.0</v>
      </c>
      <c r="K1849" s="28"/>
      <c r="L1849" s="28" t="s">
        <v>6275</v>
      </c>
      <c r="M1849" s="28" t="s">
        <v>114</v>
      </c>
      <c r="N1849" s="28">
        <v>1982.0</v>
      </c>
      <c r="O1849" s="60">
        <v>15.0</v>
      </c>
      <c r="P1849" s="28">
        <v>1.0</v>
      </c>
      <c r="Q1849" s="94">
        <v>1.0</v>
      </c>
      <c r="R1849" s="33"/>
      <c r="S1849" s="34"/>
      <c r="T1849" s="34"/>
      <c r="U1849" s="34"/>
      <c r="V1849" s="34"/>
      <c r="W1849" s="34"/>
      <c r="X1849" s="34"/>
      <c r="Y1849" s="3"/>
      <c r="Z1849" s="3"/>
      <c r="AA1849" s="3"/>
      <c r="AB1849" s="3"/>
      <c r="AC1849" s="3"/>
      <c r="AD1849" s="3"/>
      <c r="AE1849" s="3"/>
      <c r="AF1849" s="3"/>
      <c r="AG1849" s="3"/>
      <c r="AH1849" s="3"/>
      <c r="AI1849" s="3"/>
      <c r="AJ1849" s="3"/>
      <c r="AK1849" s="3"/>
      <c r="AL1849" s="3"/>
    </row>
    <row r="1850" ht="15.75" customHeight="1">
      <c r="A1850" s="27">
        <f t="shared" si="21"/>
        <v>729</v>
      </c>
      <c r="B1850" s="28" t="s">
        <v>31</v>
      </c>
      <c r="C1850" s="43" t="s">
        <v>6286</v>
      </c>
      <c r="D1850" s="30" t="s">
        <v>6287</v>
      </c>
      <c r="E1850" s="28"/>
      <c r="F1850" s="28" t="s">
        <v>29</v>
      </c>
      <c r="G1850" s="28" t="s">
        <v>30</v>
      </c>
      <c r="H1850" s="28" t="s">
        <v>31</v>
      </c>
      <c r="I1850" s="28" t="s">
        <v>38</v>
      </c>
      <c r="J1850" s="28">
        <v>360.0</v>
      </c>
      <c r="K1850" s="28"/>
      <c r="L1850" s="28" t="s">
        <v>6288</v>
      </c>
      <c r="M1850" s="28" t="s">
        <v>6289</v>
      </c>
      <c r="N1850" s="28"/>
      <c r="O1850" s="60">
        <v>15.0</v>
      </c>
      <c r="P1850" s="28">
        <v>1.0</v>
      </c>
      <c r="Q1850" s="94">
        <v>1.0</v>
      </c>
      <c r="R1850" s="33"/>
      <c r="S1850" s="34"/>
      <c r="T1850" s="34"/>
      <c r="U1850" s="34"/>
      <c r="V1850" s="34"/>
      <c r="W1850" s="34"/>
      <c r="X1850" s="34"/>
      <c r="Y1850" s="3"/>
      <c r="Z1850" s="3"/>
      <c r="AA1850" s="3"/>
      <c r="AB1850" s="3"/>
      <c r="AC1850" s="3"/>
      <c r="AD1850" s="3"/>
      <c r="AE1850" s="3"/>
      <c r="AF1850" s="3"/>
      <c r="AG1850" s="3"/>
      <c r="AH1850" s="3"/>
      <c r="AI1850" s="3"/>
      <c r="AJ1850" s="3"/>
      <c r="AK1850" s="3"/>
      <c r="AL1850" s="3"/>
    </row>
    <row r="1851" ht="15.75" customHeight="1">
      <c r="A1851" s="27">
        <f t="shared" si="21"/>
        <v>730</v>
      </c>
      <c r="B1851" s="28" t="s">
        <v>31</v>
      </c>
      <c r="C1851" s="43" t="s">
        <v>6290</v>
      </c>
      <c r="D1851" s="30" t="s">
        <v>6291</v>
      </c>
      <c r="E1851" s="28"/>
      <c r="F1851" s="28" t="s">
        <v>29</v>
      </c>
      <c r="G1851" s="28" t="s">
        <v>37</v>
      </c>
      <c r="H1851" s="28" t="s">
        <v>31</v>
      </c>
      <c r="I1851" s="28" t="s">
        <v>38</v>
      </c>
      <c r="J1851" s="28">
        <v>511.0</v>
      </c>
      <c r="K1851" s="28"/>
      <c r="L1851" s="28" t="s">
        <v>6292</v>
      </c>
      <c r="M1851" s="28" t="s">
        <v>5691</v>
      </c>
      <c r="N1851" s="28">
        <v>1961.0</v>
      </c>
      <c r="O1851" s="60">
        <v>15.0</v>
      </c>
      <c r="P1851" s="28">
        <v>1.0</v>
      </c>
      <c r="Q1851" s="94">
        <v>1.0</v>
      </c>
      <c r="R1851" s="33"/>
      <c r="S1851" s="34"/>
      <c r="T1851" s="34"/>
      <c r="U1851" s="34"/>
      <c r="V1851" s="34"/>
      <c r="W1851" s="34"/>
      <c r="X1851" s="34"/>
      <c r="Y1851" s="45"/>
      <c r="Z1851" s="45"/>
      <c r="AA1851" s="45"/>
      <c r="AB1851" s="45"/>
      <c r="AC1851" s="45"/>
      <c r="AD1851" s="45"/>
      <c r="AE1851" s="45"/>
      <c r="AF1851" s="45"/>
      <c r="AG1851" s="45"/>
      <c r="AH1851" s="45"/>
      <c r="AI1851" s="45"/>
      <c r="AJ1851" s="45"/>
      <c r="AK1851" s="45"/>
      <c r="AL1851" s="45"/>
    </row>
    <row r="1852" ht="15.75" customHeight="1">
      <c r="A1852" s="27">
        <f t="shared" si="21"/>
        <v>731</v>
      </c>
      <c r="B1852" s="28" t="s">
        <v>6293</v>
      </c>
      <c r="C1852" s="43" t="s">
        <v>6294</v>
      </c>
      <c r="D1852" s="30" t="s">
        <v>6295</v>
      </c>
      <c r="E1852" s="28" t="s">
        <v>31</v>
      </c>
      <c r="F1852" s="28" t="s">
        <v>29</v>
      </c>
      <c r="G1852" s="28" t="s">
        <v>98</v>
      </c>
      <c r="H1852" s="28"/>
      <c r="I1852" s="28" t="s">
        <v>98</v>
      </c>
      <c r="J1852" s="28">
        <v>309.0</v>
      </c>
      <c r="K1852" s="28"/>
      <c r="L1852" s="28" t="s">
        <v>6296</v>
      </c>
      <c r="M1852" s="28" t="s">
        <v>6297</v>
      </c>
      <c r="N1852" s="28">
        <v>1976.0</v>
      </c>
      <c r="O1852" s="60">
        <v>15.0</v>
      </c>
      <c r="P1852" s="28">
        <v>1.0</v>
      </c>
      <c r="Q1852" s="94">
        <v>1.0</v>
      </c>
      <c r="R1852" s="33"/>
      <c r="S1852" s="34"/>
      <c r="T1852" s="34"/>
      <c r="U1852" s="34"/>
      <c r="V1852" s="34"/>
      <c r="W1852" s="34"/>
      <c r="X1852" s="34"/>
      <c r="Y1852" s="3"/>
      <c r="Z1852" s="3"/>
      <c r="AA1852" s="3"/>
      <c r="AB1852" s="3"/>
      <c r="AC1852" s="3"/>
      <c r="AD1852" s="3"/>
      <c r="AE1852" s="3"/>
      <c r="AF1852" s="3"/>
      <c r="AG1852" s="3"/>
      <c r="AH1852" s="3"/>
      <c r="AI1852" s="3"/>
      <c r="AJ1852" s="3"/>
      <c r="AK1852" s="3"/>
      <c r="AL1852" s="3"/>
    </row>
    <row r="1853" ht="15.75" customHeight="1">
      <c r="A1853" s="27">
        <f t="shared" si="21"/>
        <v>732</v>
      </c>
      <c r="B1853" s="28"/>
      <c r="C1853" s="43" t="s">
        <v>6298</v>
      </c>
      <c r="D1853" s="30" t="s">
        <v>6299</v>
      </c>
      <c r="E1853" s="28" t="s">
        <v>31</v>
      </c>
      <c r="F1853" s="28" t="s">
        <v>29</v>
      </c>
      <c r="G1853" s="28" t="s">
        <v>98</v>
      </c>
      <c r="H1853" s="28"/>
      <c r="I1853" s="28" t="s">
        <v>98</v>
      </c>
      <c r="J1853" s="28">
        <v>541.0</v>
      </c>
      <c r="K1853" s="28"/>
      <c r="L1853" s="28" t="s">
        <v>6300</v>
      </c>
      <c r="M1853" s="28" t="s">
        <v>6301</v>
      </c>
      <c r="N1853" s="28">
        <v>1969.0</v>
      </c>
      <c r="O1853" s="60">
        <v>15.0</v>
      </c>
      <c r="P1853" s="28">
        <v>1.0</v>
      </c>
      <c r="Q1853" s="94">
        <v>1.0</v>
      </c>
      <c r="R1853" s="33"/>
      <c r="S1853" s="34"/>
      <c r="T1853" s="34"/>
      <c r="U1853" s="34"/>
      <c r="V1853" s="34"/>
      <c r="W1853" s="34"/>
      <c r="X1853" s="34"/>
      <c r="Y1853" s="45"/>
      <c r="Z1853" s="45"/>
      <c r="AA1853" s="45"/>
      <c r="AB1853" s="45"/>
      <c r="AC1853" s="45"/>
      <c r="AD1853" s="45"/>
      <c r="AE1853" s="45"/>
      <c r="AF1853" s="45"/>
      <c r="AG1853" s="45"/>
      <c r="AH1853" s="45"/>
      <c r="AI1853" s="45"/>
      <c r="AJ1853" s="45"/>
      <c r="AK1853" s="45"/>
      <c r="AL1853" s="45"/>
    </row>
    <row r="1854" ht="15.75" customHeight="1">
      <c r="A1854" s="27">
        <f t="shared" si="21"/>
        <v>733</v>
      </c>
      <c r="B1854" s="121" t="s">
        <v>5413</v>
      </c>
      <c r="C1854" s="121" t="s">
        <v>6302</v>
      </c>
      <c r="D1854" s="119" t="s">
        <v>6303</v>
      </c>
      <c r="E1854" s="83"/>
      <c r="F1854" s="121" t="s">
        <v>29</v>
      </c>
      <c r="G1854" s="121" t="s">
        <v>30</v>
      </c>
      <c r="H1854" s="83"/>
      <c r="I1854" s="121" t="s">
        <v>38</v>
      </c>
      <c r="J1854" s="121">
        <v>98.0</v>
      </c>
      <c r="K1854" s="83"/>
      <c r="L1854" s="121" t="s">
        <v>6304</v>
      </c>
      <c r="M1854" s="121" t="s">
        <v>5420</v>
      </c>
      <c r="N1854" s="121">
        <v>1984.0</v>
      </c>
      <c r="O1854" s="60">
        <v>15.0</v>
      </c>
      <c r="P1854" s="121">
        <v>1.0</v>
      </c>
      <c r="Q1854" s="121">
        <v>1.0</v>
      </c>
      <c r="R1854" s="84"/>
      <c r="S1854" s="34"/>
      <c r="T1854" s="34"/>
      <c r="U1854" s="34"/>
      <c r="V1854" s="34"/>
      <c r="W1854" s="34"/>
      <c r="X1854" s="34"/>
      <c r="Y1854" s="3"/>
      <c r="Z1854" s="3"/>
      <c r="AA1854" s="3"/>
      <c r="AB1854" s="3"/>
      <c r="AC1854" s="3"/>
      <c r="AD1854" s="3"/>
      <c r="AE1854" s="3"/>
      <c r="AF1854" s="3"/>
      <c r="AG1854" s="3"/>
      <c r="AH1854" s="3"/>
      <c r="AI1854" s="3"/>
      <c r="AJ1854" s="3"/>
      <c r="AK1854" s="3"/>
      <c r="AL1854" s="3"/>
    </row>
    <row r="1855" ht="15.75" customHeight="1">
      <c r="A1855" s="27">
        <f t="shared" si="21"/>
        <v>734</v>
      </c>
      <c r="B1855" s="28" t="s">
        <v>31</v>
      </c>
      <c r="C1855" s="43" t="s">
        <v>6305</v>
      </c>
      <c r="D1855" s="30" t="s">
        <v>6306</v>
      </c>
      <c r="E1855" s="28" t="s">
        <v>31</v>
      </c>
      <c r="F1855" s="28" t="s">
        <v>29</v>
      </c>
      <c r="G1855" s="28" t="s">
        <v>30</v>
      </c>
      <c r="H1855" s="28"/>
      <c r="I1855" s="28" t="s">
        <v>30</v>
      </c>
      <c r="J1855" s="28">
        <v>103.0</v>
      </c>
      <c r="K1855" s="28"/>
      <c r="L1855" s="28" t="s">
        <v>6307</v>
      </c>
      <c r="M1855" s="28" t="s">
        <v>6308</v>
      </c>
      <c r="N1855" s="28">
        <v>1963.0</v>
      </c>
      <c r="O1855" s="60">
        <v>15.0</v>
      </c>
      <c r="P1855" s="28">
        <v>1.0</v>
      </c>
      <c r="Q1855" s="94">
        <v>2.0</v>
      </c>
      <c r="R1855" s="33"/>
      <c r="S1855" s="34"/>
      <c r="T1855" s="34"/>
      <c r="U1855" s="34"/>
      <c r="V1855" s="34"/>
      <c r="W1855" s="34"/>
      <c r="X1855" s="34"/>
      <c r="Y1855" s="3"/>
      <c r="Z1855" s="3"/>
      <c r="AA1855" s="3"/>
      <c r="AB1855" s="3"/>
      <c r="AC1855" s="3"/>
      <c r="AD1855" s="3"/>
      <c r="AE1855" s="3"/>
      <c r="AF1855" s="3"/>
      <c r="AG1855" s="3"/>
      <c r="AH1855" s="3"/>
      <c r="AI1855" s="3"/>
      <c r="AJ1855" s="3"/>
      <c r="AK1855" s="3"/>
      <c r="AL1855" s="3"/>
    </row>
    <row r="1856" ht="15.75" customHeight="1">
      <c r="A1856" s="27">
        <f t="shared" si="21"/>
        <v>735</v>
      </c>
      <c r="B1856" s="28"/>
      <c r="C1856" s="43" t="s">
        <v>6309</v>
      </c>
      <c r="D1856" s="30" t="s">
        <v>6310</v>
      </c>
      <c r="E1856" s="28" t="s">
        <v>31</v>
      </c>
      <c r="F1856" s="28" t="s">
        <v>29</v>
      </c>
      <c r="G1856" s="28" t="s">
        <v>5563</v>
      </c>
      <c r="H1856" s="28"/>
      <c r="I1856" s="28" t="s">
        <v>38</v>
      </c>
      <c r="J1856" s="28">
        <v>232.0</v>
      </c>
      <c r="K1856" s="28"/>
      <c r="L1856" s="28" t="s">
        <v>6311</v>
      </c>
      <c r="M1856" s="28" t="s">
        <v>6312</v>
      </c>
      <c r="N1856" s="28">
        <v>1997.0</v>
      </c>
      <c r="O1856" s="60">
        <v>15.0</v>
      </c>
      <c r="P1856" s="28">
        <v>1.0</v>
      </c>
      <c r="Q1856" s="32">
        <v>1.0</v>
      </c>
      <c r="R1856" s="33"/>
      <c r="S1856" s="116"/>
      <c r="T1856" s="116"/>
      <c r="U1856" s="116"/>
      <c r="V1856" s="116"/>
      <c r="W1856" s="116"/>
      <c r="X1856" s="116"/>
      <c r="Y1856" s="3"/>
      <c r="Z1856" s="3"/>
      <c r="AA1856" s="3"/>
      <c r="AB1856" s="3"/>
      <c r="AC1856" s="3"/>
      <c r="AD1856" s="3"/>
      <c r="AE1856" s="3"/>
      <c r="AF1856" s="3"/>
      <c r="AG1856" s="3"/>
      <c r="AH1856" s="3"/>
      <c r="AI1856" s="3"/>
      <c r="AJ1856" s="3"/>
      <c r="AK1856" s="3"/>
      <c r="AL1856" s="3"/>
    </row>
    <row r="1857" ht="15.75" customHeight="1">
      <c r="A1857" s="27">
        <f t="shared" si="21"/>
        <v>736</v>
      </c>
      <c r="B1857" s="28" t="s">
        <v>6313</v>
      </c>
      <c r="C1857" s="129" t="s">
        <v>6314</v>
      </c>
      <c r="D1857" s="30" t="s">
        <v>6315</v>
      </c>
      <c r="E1857" s="28" t="s">
        <v>144</v>
      </c>
      <c r="F1857" s="28" t="s">
        <v>29</v>
      </c>
      <c r="G1857" s="28" t="s">
        <v>30</v>
      </c>
      <c r="H1857" s="28" t="s">
        <v>31</v>
      </c>
      <c r="I1857" s="28" t="s">
        <v>98</v>
      </c>
      <c r="J1857" s="28">
        <f>146+6</f>
        <v>152</v>
      </c>
      <c r="K1857" s="28" t="s">
        <v>31</v>
      </c>
      <c r="L1857" s="60" t="s">
        <v>4253</v>
      </c>
      <c r="M1857" s="28" t="s">
        <v>6316</v>
      </c>
      <c r="N1857" s="28">
        <v>2016.0</v>
      </c>
      <c r="O1857" s="60">
        <v>15.0</v>
      </c>
      <c r="P1857" s="28">
        <v>1.0</v>
      </c>
      <c r="Q1857" s="94">
        <v>1.0</v>
      </c>
      <c r="R1857" s="33"/>
      <c r="S1857" s="34"/>
      <c r="T1857" s="34"/>
      <c r="U1857" s="34"/>
      <c r="V1857" s="34"/>
      <c r="W1857" s="34"/>
      <c r="X1857" s="34"/>
      <c r="Y1857" s="3"/>
      <c r="Z1857" s="3"/>
      <c r="AA1857" s="3"/>
      <c r="AB1857" s="3"/>
      <c r="AC1857" s="3"/>
      <c r="AD1857" s="3"/>
      <c r="AE1857" s="3"/>
      <c r="AF1857" s="3"/>
      <c r="AG1857" s="3"/>
      <c r="AH1857" s="3"/>
      <c r="AI1857" s="3"/>
      <c r="AJ1857" s="3"/>
      <c r="AK1857" s="3"/>
      <c r="AL1857" s="3"/>
    </row>
    <row r="1858" ht="15.75" customHeight="1">
      <c r="A1858" s="27">
        <f t="shared" si="21"/>
        <v>737</v>
      </c>
      <c r="B1858" s="28" t="s">
        <v>31</v>
      </c>
      <c r="C1858" s="43" t="s">
        <v>6317</v>
      </c>
      <c r="D1858" s="30" t="s">
        <v>6318</v>
      </c>
      <c r="E1858" s="28" t="s">
        <v>31</v>
      </c>
      <c r="F1858" s="28" t="s">
        <v>29</v>
      </c>
      <c r="G1858" s="28" t="s">
        <v>30</v>
      </c>
      <c r="H1858" s="28"/>
      <c r="I1858" s="28" t="s">
        <v>30</v>
      </c>
      <c r="J1858" s="28">
        <v>363.0</v>
      </c>
      <c r="K1858" s="28"/>
      <c r="L1858" s="28" t="s">
        <v>6319</v>
      </c>
      <c r="M1858" s="28" t="s">
        <v>6320</v>
      </c>
      <c r="N1858" s="28">
        <v>1978.0</v>
      </c>
      <c r="O1858" s="60">
        <v>15.0</v>
      </c>
      <c r="P1858" s="28">
        <v>1.0</v>
      </c>
      <c r="Q1858" s="94">
        <v>1.0</v>
      </c>
      <c r="R1858" s="33"/>
      <c r="S1858" s="34"/>
      <c r="T1858" s="34"/>
      <c r="U1858" s="34"/>
      <c r="V1858" s="34"/>
      <c r="W1858" s="34"/>
      <c r="X1858" s="34"/>
      <c r="Y1858" s="3"/>
      <c r="Z1858" s="3"/>
      <c r="AA1858" s="3"/>
      <c r="AB1858" s="3"/>
      <c r="AC1858" s="3"/>
      <c r="AD1858" s="3"/>
      <c r="AE1858" s="3"/>
      <c r="AF1858" s="3"/>
      <c r="AG1858" s="3"/>
      <c r="AH1858" s="3"/>
      <c r="AI1858" s="3"/>
      <c r="AJ1858" s="3"/>
      <c r="AK1858" s="3"/>
      <c r="AL1858" s="3"/>
    </row>
    <row r="1859" ht="15.75" customHeight="1">
      <c r="A1859" s="27">
        <f t="shared" si="21"/>
        <v>738</v>
      </c>
      <c r="B1859" s="28" t="s">
        <v>31</v>
      </c>
      <c r="C1859" s="43" t="s">
        <v>6321</v>
      </c>
      <c r="D1859" s="30" t="s">
        <v>6322</v>
      </c>
      <c r="E1859" s="28"/>
      <c r="F1859" s="28" t="s">
        <v>29</v>
      </c>
      <c r="G1859" s="28" t="s">
        <v>31</v>
      </c>
      <c r="H1859" s="28" t="s">
        <v>31</v>
      </c>
      <c r="I1859" s="28" t="s">
        <v>38</v>
      </c>
      <c r="J1859" s="28">
        <v>169.0</v>
      </c>
      <c r="K1859" s="28"/>
      <c r="L1859" s="28" t="s">
        <v>6323</v>
      </c>
      <c r="M1859" s="28" t="s">
        <v>31</v>
      </c>
      <c r="N1859" s="28" t="s">
        <v>31</v>
      </c>
      <c r="O1859" s="60">
        <v>15.0</v>
      </c>
      <c r="P1859" s="28">
        <v>1.0</v>
      </c>
      <c r="Q1859" s="94">
        <v>1.0</v>
      </c>
      <c r="R1859" s="33"/>
      <c r="S1859" s="34"/>
      <c r="T1859" s="34"/>
      <c r="U1859" s="34"/>
      <c r="V1859" s="34"/>
      <c r="W1859" s="34"/>
      <c r="X1859" s="34"/>
      <c r="Y1859" s="3"/>
      <c r="Z1859" s="3"/>
      <c r="AA1859" s="3"/>
      <c r="AB1859" s="3"/>
      <c r="AC1859" s="3"/>
      <c r="AD1859" s="3"/>
      <c r="AE1859" s="3"/>
      <c r="AF1859" s="3"/>
      <c r="AG1859" s="3"/>
      <c r="AH1859" s="3"/>
      <c r="AI1859" s="3"/>
      <c r="AJ1859" s="3"/>
      <c r="AK1859" s="3"/>
      <c r="AL1859" s="3"/>
    </row>
    <row r="1860" ht="15.75" customHeight="1">
      <c r="A1860" s="27">
        <f t="shared" si="21"/>
        <v>739</v>
      </c>
      <c r="B1860" s="83" t="s">
        <v>6324</v>
      </c>
      <c r="C1860" s="86" t="s">
        <v>6325</v>
      </c>
      <c r="D1860" s="118" t="s">
        <v>6326</v>
      </c>
      <c r="E1860" s="83" t="s">
        <v>2601</v>
      </c>
      <c r="F1860" s="83" t="s">
        <v>29</v>
      </c>
      <c r="G1860" s="121" t="s">
        <v>37</v>
      </c>
      <c r="H1860" s="83"/>
      <c r="I1860" s="121" t="s">
        <v>3003</v>
      </c>
      <c r="J1860" s="83">
        <v>864.0</v>
      </c>
      <c r="K1860" s="83"/>
      <c r="L1860" s="83" t="s">
        <v>6327</v>
      </c>
      <c r="M1860" s="121" t="s">
        <v>245</v>
      </c>
      <c r="N1860" s="83">
        <v>1980.0</v>
      </c>
      <c r="O1860" s="60">
        <v>15.0</v>
      </c>
      <c r="P1860" s="83">
        <v>1.0</v>
      </c>
      <c r="Q1860" s="83">
        <v>1.0</v>
      </c>
      <c r="R1860" s="84"/>
      <c r="S1860" s="34"/>
      <c r="T1860" s="34"/>
      <c r="U1860" s="34"/>
      <c r="V1860" s="34"/>
      <c r="W1860" s="34"/>
      <c r="X1860" s="34"/>
      <c r="Y1860" s="3"/>
      <c r="Z1860" s="3"/>
      <c r="AA1860" s="3"/>
      <c r="AB1860" s="3"/>
      <c r="AC1860" s="3"/>
      <c r="AD1860" s="3"/>
      <c r="AE1860" s="3"/>
      <c r="AF1860" s="3"/>
      <c r="AG1860" s="3"/>
      <c r="AH1860" s="3"/>
      <c r="AI1860" s="3"/>
      <c r="AJ1860" s="3"/>
      <c r="AK1860" s="3"/>
      <c r="AL1860" s="3"/>
    </row>
    <row r="1861" ht="15.75" customHeight="1">
      <c r="A1861" s="27">
        <f t="shared" si="21"/>
        <v>740</v>
      </c>
      <c r="B1861" s="28" t="s">
        <v>6328</v>
      </c>
      <c r="C1861" s="43" t="s">
        <v>6329</v>
      </c>
      <c r="D1861" s="30" t="s">
        <v>6330</v>
      </c>
      <c r="E1861" s="28" t="s">
        <v>31</v>
      </c>
      <c r="F1861" s="28" t="s">
        <v>29</v>
      </c>
      <c r="G1861" s="28" t="s">
        <v>38</v>
      </c>
      <c r="H1861" s="28"/>
      <c r="I1861" s="28" t="s">
        <v>5613</v>
      </c>
      <c r="J1861" s="28">
        <v>339.0</v>
      </c>
      <c r="K1861" s="28"/>
      <c r="L1861" s="28" t="s">
        <v>5618</v>
      </c>
      <c r="M1861" s="28" t="s">
        <v>3364</v>
      </c>
      <c r="N1861" s="28">
        <v>2005.0</v>
      </c>
      <c r="O1861" s="60">
        <v>15.0</v>
      </c>
      <c r="P1861" s="28">
        <v>1.0</v>
      </c>
      <c r="Q1861" s="94">
        <v>1.0</v>
      </c>
      <c r="R1861" s="33"/>
      <c r="S1861" s="34"/>
      <c r="T1861" s="34"/>
      <c r="U1861" s="34"/>
      <c r="V1861" s="34"/>
      <c r="W1861" s="34"/>
      <c r="X1861" s="34"/>
      <c r="Y1861" s="3"/>
      <c r="Z1861" s="3"/>
      <c r="AA1861" s="3"/>
      <c r="AB1861" s="3"/>
      <c r="AC1861" s="3"/>
      <c r="AD1861" s="3"/>
      <c r="AE1861" s="3"/>
      <c r="AF1861" s="3"/>
      <c r="AG1861" s="3"/>
      <c r="AH1861" s="3"/>
      <c r="AI1861" s="3"/>
      <c r="AJ1861" s="3"/>
      <c r="AK1861" s="3"/>
      <c r="AL1861" s="3"/>
    </row>
    <row r="1862" ht="15.75" customHeight="1">
      <c r="A1862" s="27">
        <f t="shared" si="21"/>
        <v>741</v>
      </c>
      <c r="B1862" s="28" t="s">
        <v>4968</v>
      </c>
      <c r="C1862" s="43" t="s">
        <v>6331</v>
      </c>
      <c r="D1862" s="30" t="s">
        <v>4977</v>
      </c>
      <c r="E1862" s="28" t="s">
        <v>31</v>
      </c>
      <c r="F1862" s="28" t="s">
        <v>29</v>
      </c>
      <c r="G1862" s="28" t="s">
        <v>131</v>
      </c>
      <c r="H1862" s="28"/>
      <c r="I1862" s="28" t="s">
        <v>131</v>
      </c>
      <c r="J1862" s="28">
        <v>397.0</v>
      </c>
      <c r="K1862" s="28"/>
      <c r="L1862" s="28" t="s">
        <v>4972</v>
      </c>
      <c r="M1862" s="28" t="s">
        <v>6332</v>
      </c>
      <c r="N1862" s="28">
        <v>1986.0</v>
      </c>
      <c r="O1862" s="60">
        <v>15.0</v>
      </c>
      <c r="P1862" s="28">
        <v>1.0</v>
      </c>
      <c r="Q1862" s="94">
        <v>1.0</v>
      </c>
      <c r="R1862" s="33"/>
      <c r="S1862" s="34"/>
      <c r="T1862" s="34"/>
      <c r="U1862" s="34"/>
      <c r="V1862" s="34"/>
      <c r="W1862" s="34"/>
      <c r="X1862" s="34"/>
      <c r="Y1862" s="3"/>
      <c r="Z1862" s="3"/>
      <c r="AA1862" s="3"/>
      <c r="AB1862" s="3"/>
      <c r="AC1862" s="3"/>
      <c r="AD1862" s="3"/>
      <c r="AE1862" s="3"/>
      <c r="AF1862" s="3"/>
      <c r="AG1862" s="3"/>
      <c r="AH1862" s="3"/>
      <c r="AI1862" s="3"/>
      <c r="AJ1862" s="3"/>
      <c r="AK1862" s="3"/>
      <c r="AL1862" s="3"/>
    </row>
    <row r="1863" ht="15.75" customHeight="1">
      <c r="A1863" s="27">
        <f t="shared" si="21"/>
        <v>742</v>
      </c>
      <c r="B1863" s="28"/>
      <c r="C1863" s="43" t="s">
        <v>6333</v>
      </c>
      <c r="D1863" s="30" t="s">
        <v>6334</v>
      </c>
      <c r="E1863" s="28" t="s">
        <v>31</v>
      </c>
      <c r="F1863" s="28" t="s">
        <v>29</v>
      </c>
      <c r="G1863" s="28" t="s">
        <v>30</v>
      </c>
      <c r="H1863" s="28"/>
      <c r="I1863" s="28" t="s">
        <v>30</v>
      </c>
      <c r="J1863" s="28">
        <v>109.0</v>
      </c>
      <c r="K1863" s="28"/>
      <c r="L1863" s="28" t="s">
        <v>6092</v>
      </c>
      <c r="M1863" s="28" t="s">
        <v>114</v>
      </c>
      <c r="N1863" s="28">
        <v>1977.0</v>
      </c>
      <c r="O1863" s="28">
        <v>15.0</v>
      </c>
      <c r="P1863" s="28">
        <v>1.0</v>
      </c>
      <c r="Q1863" s="94">
        <v>2.0</v>
      </c>
      <c r="R1863" s="33"/>
      <c r="S1863" s="34"/>
      <c r="T1863" s="34"/>
      <c r="U1863" s="34"/>
      <c r="V1863" s="34"/>
      <c r="W1863" s="34"/>
      <c r="X1863" s="34"/>
      <c r="Y1863" s="3"/>
      <c r="Z1863" s="3"/>
      <c r="AA1863" s="3"/>
      <c r="AB1863" s="3"/>
      <c r="AC1863" s="3"/>
      <c r="AD1863" s="3"/>
      <c r="AE1863" s="3"/>
      <c r="AF1863" s="3"/>
      <c r="AG1863" s="3"/>
      <c r="AH1863" s="3"/>
      <c r="AI1863" s="3"/>
      <c r="AJ1863" s="3"/>
      <c r="AK1863" s="3"/>
      <c r="AL1863" s="3"/>
    </row>
    <row r="1864" ht="15.75" customHeight="1">
      <c r="A1864" s="27">
        <f t="shared" si="21"/>
        <v>743</v>
      </c>
      <c r="B1864" s="28" t="s">
        <v>6335</v>
      </c>
      <c r="C1864" s="43" t="s">
        <v>6336</v>
      </c>
      <c r="D1864" s="30" t="s">
        <v>6337</v>
      </c>
      <c r="E1864" s="28" t="s">
        <v>31</v>
      </c>
      <c r="F1864" s="28" t="s">
        <v>29</v>
      </c>
      <c r="G1864" s="28" t="s">
        <v>38</v>
      </c>
      <c r="H1864" s="28"/>
      <c r="I1864" s="28" t="s">
        <v>38</v>
      </c>
      <c r="J1864" s="28">
        <v>430.0</v>
      </c>
      <c r="K1864" s="28"/>
      <c r="L1864" s="28" t="s">
        <v>6338</v>
      </c>
      <c r="M1864" s="28" t="s">
        <v>6339</v>
      </c>
      <c r="N1864" s="28">
        <v>1978.0</v>
      </c>
      <c r="O1864" s="28">
        <v>15.0</v>
      </c>
      <c r="P1864" s="28">
        <v>1.0</v>
      </c>
      <c r="Q1864" s="94">
        <v>1.0</v>
      </c>
      <c r="R1864" s="33"/>
      <c r="S1864" s="34"/>
      <c r="T1864" s="34"/>
      <c r="U1864" s="34"/>
      <c r="V1864" s="34"/>
      <c r="W1864" s="34"/>
      <c r="X1864" s="34"/>
      <c r="Y1864" s="3"/>
      <c r="Z1864" s="3"/>
      <c r="AA1864" s="3"/>
      <c r="AB1864" s="3"/>
      <c r="AC1864" s="3"/>
      <c r="AD1864" s="3"/>
      <c r="AE1864" s="3"/>
      <c r="AF1864" s="3"/>
      <c r="AG1864" s="3"/>
      <c r="AH1864" s="3"/>
      <c r="AI1864" s="3"/>
      <c r="AJ1864" s="3"/>
      <c r="AK1864" s="3"/>
      <c r="AL1864" s="3"/>
    </row>
    <row r="1865" ht="15.75" customHeight="1">
      <c r="A1865" s="27">
        <f t="shared" si="21"/>
        <v>744</v>
      </c>
      <c r="B1865" s="28" t="s">
        <v>31</v>
      </c>
      <c r="C1865" s="43" t="s">
        <v>6340</v>
      </c>
      <c r="D1865" s="30" t="s">
        <v>6341</v>
      </c>
      <c r="E1865" s="28" t="s">
        <v>31</v>
      </c>
      <c r="F1865" s="28" t="s">
        <v>29</v>
      </c>
      <c r="G1865" s="28" t="s">
        <v>37</v>
      </c>
      <c r="H1865" s="28"/>
      <c r="I1865" s="28" t="s">
        <v>38</v>
      </c>
      <c r="J1865" s="28">
        <v>212.0</v>
      </c>
      <c r="K1865" s="28"/>
      <c r="L1865" s="28" t="s">
        <v>2387</v>
      </c>
      <c r="M1865" s="28" t="s">
        <v>6342</v>
      </c>
      <c r="N1865" s="28">
        <v>1957.0</v>
      </c>
      <c r="O1865" s="28">
        <v>15.0</v>
      </c>
      <c r="P1865" s="28">
        <v>3.0</v>
      </c>
      <c r="Q1865" s="94">
        <v>3.0</v>
      </c>
      <c r="R1865" s="33"/>
      <c r="S1865" s="185"/>
      <c r="T1865" s="185"/>
      <c r="U1865" s="185"/>
      <c r="V1865" s="185"/>
      <c r="W1865" s="185"/>
      <c r="X1865" s="185"/>
      <c r="Y1865" s="3"/>
      <c r="Z1865" s="3"/>
      <c r="AA1865" s="3"/>
      <c r="AB1865" s="3"/>
      <c r="AC1865" s="3"/>
      <c r="AD1865" s="3"/>
      <c r="AE1865" s="3"/>
      <c r="AF1865" s="3"/>
      <c r="AG1865" s="3"/>
      <c r="AH1865" s="3"/>
      <c r="AI1865" s="3"/>
      <c r="AJ1865" s="3"/>
      <c r="AK1865" s="3"/>
      <c r="AL1865" s="3"/>
    </row>
    <row r="1866" ht="15.75" customHeight="1">
      <c r="A1866" s="27">
        <f t="shared" si="21"/>
        <v>745</v>
      </c>
      <c r="B1866" s="28"/>
      <c r="C1866" s="43" t="s">
        <v>6343</v>
      </c>
      <c r="D1866" s="30" t="s">
        <v>6344</v>
      </c>
      <c r="E1866" s="28" t="s">
        <v>31</v>
      </c>
      <c r="F1866" s="28" t="s">
        <v>29</v>
      </c>
      <c r="G1866" s="28" t="s">
        <v>38</v>
      </c>
      <c r="H1866" s="28"/>
      <c r="I1866" s="28" t="s">
        <v>30</v>
      </c>
      <c r="J1866" s="28">
        <v>8.0</v>
      </c>
      <c r="K1866" s="28"/>
      <c r="L1866" s="28" t="s">
        <v>31</v>
      </c>
      <c r="M1866" s="28" t="s">
        <v>6127</v>
      </c>
      <c r="N1866" s="28">
        <v>1989.0</v>
      </c>
      <c r="O1866" s="28">
        <v>15.0</v>
      </c>
      <c r="P1866" s="28">
        <v>1.0</v>
      </c>
      <c r="Q1866" s="32">
        <v>1.0</v>
      </c>
      <c r="R1866" s="33"/>
      <c r="S1866" s="34"/>
      <c r="T1866" s="34"/>
      <c r="U1866" s="34"/>
      <c r="V1866" s="34"/>
      <c r="W1866" s="34"/>
      <c r="X1866" s="34"/>
      <c r="Y1866" s="3"/>
      <c r="Z1866" s="3"/>
      <c r="AA1866" s="3"/>
      <c r="AB1866" s="3"/>
      <c r="AC1866" s="3"/>
      <c r="AD1866" s="3"/>
      <c r="AE1866" s="3"/>
      <c r="AF1866" s="3"/>
      <c r="AG1866" s="3"/>
      <c r="AH1866" s="3"/>
      <c r="AI1866" s="3"/>
      <c r="AJ1866" s="3"/>
      <c r="AK1866" s="3"/>
      <c r="AL1866" s="3"/>
    </row>
    <row r="1867" ht="15.75" customHeight="1">
      <c r="A1867" s="27">
        <f t="shared" si="21"/>
        <v>746</v>
      </c>
      <c r="B1867" s="28"/>
      <c r="C1867" s="43" t="s">
        <v>6345</v>
      </c>
      <c r="D1867" s="30" t="s">
        <v>6346</v>
      </c>
      <c r="E1867" s="28" t="s">
        <v>31</v>
      </c>
      <c r="F1867" s="28" t="s">
        <v>29</v>
      </c>
      <c r="G1867" s="28" t="s">
        <v>30</v>
      </c>
      <c r="H1867" s="28"/>
      <c r="I1867" s="28" t="s">
        <v>30</v>
      </c>
      <c r="J1867" s="28"/>
      <c r="K1867" s="28"/>
      <c r="L1867" s="28" t="s">
        <v>6347</v>
      </c>
      <c r="M1867" s="28" t="s">
        <v>6348</v>
      </c>
      <c r="N1867" s="28">
        <v>2000.0</v>
      </c>
      <c r="O1867" s="28">
        <v>15.0</v>
      </c>
      <c r="P1867" s="28">
        <v>1.0</v>
      </c>
      <c r="Q1867" s="32">
        <v>1.0</v>
      </c>
      <c r="R1867" s="33"/>
      <c r="S1867" s="34"/>
      <c r="T1867" s="34"/>
      <c r="U1867" s="34"/>
      <c r="V1867" s="34"/>
      <c r="W1867" s="34"/>
      <c r="X1867" s="34"/>
      <c r="Y1867" s="3"/>
      <c r="Z1867" s="3"/>
      <c r="AA1867" s="3"/>
      <c r="AB1867" s="3"/>
      <c r="AC1867" s="3"/>
      <c r="AD1867" s="3"/>
      <c r="AE1867" s="3"/>
      <c r="AF1867" s="3"/>
      <c r="AG1867" s="3"/>
      <c r="AH1867" s="3"/>
      <c r="AI1867" s="3"/>
      <c r="AJ1867" s="3"/>
      <c r="AK1867" s="3"/>
      <c r="AL1867" s="3"/>
    </row>
    <row r="1868" ht="15.75" customHeight="1">
      <c r="A1868" s="27">
        <f t="shared" si="21"/>
        <v>747</v>
      </c>
      <c r="B1868" s="33"/>
      <c r="C1868" s="132" t="s">
        <v>6345</v>
      </c>
      <c r="D1868" s="131" t="s">
        <v>6349</v>
      </c>
      <c r="E1868" s="33"/>
      <c r="F1868" s="132" t="s">
        <v>29</v>
      </c>
      <c r="G1868" s="132" t="s">
        <v>38</v>
      </c>
      <c r="H1868" s="33"/>
      <c r="I1868" s="132" t="s">
        <v>30</v>
      </c>
      <c r="J1868" s="132">
        <v>11.0</v>
      </c>
      <c r="K1868" s="33"/>
      <c r="L1868" s="33"/>
      <c r="M1868" s="132" t="s">
        <v>6127</v>
      </c>
      <c r="N1868" s="132">
        <v>1989.0</v>
      </c>
      <c r="O1868" s="28">
        <v>15.0</v>
      </c>
      <c r="P1868" s="132">
        <v>1.0</v>
      </c>
      <c r="Q1868" s="132">
        <v>1.0</v>
      </c>
      <c r="R1868" s="84"/>
      <c r="S1868" s="34"/>
      <c r="T1868" s="34"/>
      <c r="U1868" s="34"/>
      <c r="V1868" s="34"/>
      <c r="W1868" s="34"/>
      <c r="X1868" s="34"/>
      <c r="Y1868" s="3"/>
      <c r="Z1868" s="3"/>
      <c r="AA1868" s="3"/>
      <c r="AB1868" s="3"/>
      <c r="AC1868" s="3"/>
      <c r="AD1868" s="3"/>
      <c r="AE1868" s="3"/>
      <c r="AF1868" s="3"/>
      <c r="AG1868" s="3"/>
      <c r="AH1868" s="3"/>
      <c r="AI1868" s="3"/>
      <c r="AJ1868" s="3"/>
      <c r="AK1868" s="3"/>
      <c r="AL1868" s="3"/>
    </row>
    <row r="1869" ht="15.75" customHeight="1">
      <c r="A1869" s="27">
        <f t="shared" si="21"/>
        <v>748</v>
      </c>
      <c r="B1869" s="28" t="s">
        <v>31</v>
      </c>
      <c r="C1869" s="43" t="s">
        <v>6350</v>
      </c>
      <c r="D1869" s="30" t="s">
        <v>6351</v>
      </c>
      <c r="E1869" s="28" t="s">
        <v>31</v>
      </c>
      <c r="F1869" s="28" t="s">
        <v>29</v>
      </c>
      <c r="G1869" s="28"/>
      <c r="H1869" s="28"/>
      <c r="I1869" s="28" t="s">
        <v>38</v>
      </c>
      <c r="J1869" s="28">
        <v>235.0</v>
      </c>
      <c r="K1869" s="28"/>
      <c r="L1869" s="28" t="s">
        <v>31</v>
      </c>
      <c r="M1869" s="28" t="s">
        <v>31</v>
      </c>
      <c r="N1869" s="28" t="s">
        <v>31</v>
      </c>
      <c r="O1869" s="28">
        <v>15.0</v>
      </c>
      <c r="P1869" s="28">
        <v>1.0</v>
      </c>
      <c r="Q1869" s="94">
        <v>1.0</v>
      </c>
      <c r="R1869" s="33"/>
      <c r="S1869" s="34"/>
      <c r="T1869" s="34"/>
      <c r="U1869" s="34"/>
      <c r="V1869" s="34"/>
      <c r="W1869" s="34"/>
      <c r="X1869" s="34"/>
      <c r="Y1869" s="45"/>
      <c r="Z1869" s="45"/>
      <c r="AA1869" s="45"/>
      <c r="AB1869" s="45"/>
      <c r="AC1869" s="45"/>
      <c r="AD1869" s="45"/>
      <c r="AE1869" s="45"/>
      <c r="AF1869" s="45"/>
      <c r="AG1869" s="45"/>
      <c r="AH1869" s="45"/>
      <c r="AI1869" s="45"/>
      <c r="AJ1869" s="45"/>
      <c r="AK1869" s="45"/>
      <c r="AL1869" s="45"/>
    </row>
    <row r="1870" ht="15.75" customHeight="1">
      <c r="A1870" s="27">
        <f t="shared" si="21"/>
        <v>749</v>
      </c>
      <c r="B1870" s="28" t="s">
        <v>6352</v>
      </c>
      <c r="C1870" s="43" t="s">
        <v>6350</v>
      </c>
      <c r="D1870" s="30" t="s">
        <v>6353</v>
      </c>
      <c r="E1870" s="28" t="s">
        <v>31</v>
      </c>
      <c r="F1870" s="28" t="s">
        <v>29</v>
      </c>
      <c r="G1870" s="28" t="s">
        <v>6354</v>
      </c>
      <c r="H1870" s="28"/>
      <c r="I1870" s="28" t="s">
        <v>38</v>
      </c>
      <c r="J1870" s="28">
        <v>351.0</v>
      </c>
      <c r="K1870" s="28"/>
      <c r="L1870" s="28" t="s">
        <v>6355</v>
      </c>
      <c r="M1870" s="28" t="s">
        <v>6009</v>
      </c>
      <c r="N1870" s="28">
        <v>1980.0</v>
      </c>
      <c r="O1870" s="28">
        <v>15.0</v>
      </c>
      <c r="P1870" s="28">
        <v>1.0</v>
      </c>
      <c r="Q1870" s="94">
        <v>1.0</v>
      </c>
      <c r="R1870" s="33"/>
      <c r="S1870" s="34"/>
      <c r="T1870" s="34"/>
      <c r="U1870" s="34"/>
      <c r="V1870" s="34"/>
      <c r="W1870" s="34"/>
      <c r="X1870" s="34"/>
      <c r="Y1870" s="3"/>
      <c r="Z1870" s="3"/>
      <c r="AA1870" s="3"/>
      <c r="AB1870" s="3"/>
      <c r="AC1870" s="3"/>
      <c r="AD1870" s="3"/>
      <c r="AE1870" s="3"/>
      <c r="AF1870" s="3"/>
      <c r="AG1870" s="3"/>
      <c r="AH1870" s="3"/>
      <c r="AI1870" s="3"/>
      <c r="AJ1870" s="3"/>
      <c r="AK1870" s="3"/>
      <c r="AL1870" s="3"/>
    </row>
    <row r="1871" ht="15.75" customHeight="1">
      <c r="A1871" s="27">
        <f t="shared" si="21"/>
        <v>750</v>
      </c>
      <c r="B1871" s="28" t="s">
        <v>31</v>
      </c>
      <c r="C1871" s="43" t="s">
        <v>6356</v>
      </c>
      <c r="D1871" s="30" t="s">
        <v>6357</v>
      </c>
      <c r="E1871" s="28" t="s">
        <v>31</v>
      </c>
      <c r="F1871" s="28" t="s">
        <v>29</v>
      </c>
      <c r="G1871" s="28" t="s">
        <v>131</v>
      </c>
      <c r="H1871" s="28"/>
      <c r="I1871" s="28" t="s">
        <v>6358</v>
      </c>
      <c r="J1871" s="28">
        <v>227.0</v>
      </c>
      <c r="K1871" s="28"/>
      <c r="L1871" s="28" t="s">
        <v>6359</v>
      </c>
      <c r="M1871" s="28" t="s">
        <v>3465</v>
      </c>
      <c r="N1871" s="28">
        <v>1958.0</v>
      </c>
      <c r="O1871" s="28">
        <v>15.0</v>
      </c>
      <c r="P1871" s="28">
        <v>1.0</v>
      </c>
      <c r="Q1871" s="94">
        <v>1.0</v>
      </c>
      <c r="R1871" s="33"/>
      <c r="S1871" s="34"/>
      <c r="T1871" s="34"/>
      <c r="U1871" s="34"/>
      <c r="V1871" s="34"/>
      <c r="W1871" s="34"/>
      <c r="X1871" s="34"/>
      <c r="Y1871" s="3"/>
      <c r="Z1871" s="3"/>
      <c r="AA1871" s="3"/>
      <c r="AB1871" s="3"/>
      <c r="AC1871" s="3"/>
      <c r="AD1871" s="3"/>
      <c r="AE1871" s="3"/>
      <c r="AF1871" s="3"/>
      <c r="AG1871" s="3"/>
      <c r="AH1871" s="3"/>
      <c r="AI1871" s="3"/>
      <c r="AJ1871" s="3"/>
      <c r="AK1871" s="3"/>
      <c r="AL1871" s="3"/>
    </row>
    <row r="1872" ht="15.75" customHeight="1">
      <c r="A1872" s="27">
        <f t="shared" si="21"/>
        <v>751</v>
      </c>
      <c r="B1872" s="121" t="s">
        <v>5413</v>
      </c>
      <c r="C1872" s="121" t="s">
        <v>6360</v>
      </c>
      <c r="D1872" s="119" t="s">
        <v>6361</v>
      </c>
      <c r="E1872" s="83"/>
      <c r="F1872" s="121" t="s">
        <v>29</v>
      </c>
      <c r="G1872" s="121" t="s">
        <v>30</v>
      </c>
      <c r="H1872" s="83"/>
      <c r="I1872" s="121" t="s">
        <v>38</v>
      </c>
      <c r="J1872" s="121">
        <v>73.0</v>
      </c>
      <c r="K1872" s="83"/>
      <c r="L1872" s="121" t="s">
        <v>6362</v>
      </c>
      <c r="M1872" s="121" t="s">
        <v>5420</v>
      </c>
      <c r="N1872" s="121">
        <v>1996.0</v>
      </c>
      <c r="O1872" s="28">
        <v>15.0</v>
      </c>
      <c r="P1872" s="121">
        <v>1.0</v>
      </c>
      <c r="Q1872" s="121">
        <v>1.0</v>
      </c>
      <c r="R1872" s="84"/>
      <c r="S1872" s="34"/>
      <c r="T1872" s="34"/>
      <c r="U1872" s="34"/>
      <c r="V1872" s="34"/>
      <c r="W1872" s="34"/>
      <c r="X1872" s="34"/>
      <c r="Y1872" s="3"/>
      <c r="Z1872" s="3"/>
      <c r="AA1872" s="3"/>
      <c r="AB1872" s="3"/>
      <c r="AC1872" s="3"/>
      <c r="AD1872" s="3"/>
      <c r="AE1872" s="3"/>
      <c r="AF1872" s="3"/>
      <c r="AG1872" s="3"/>
      <c r="AH1872" s="3"/>
      <c r="AI1872" s="3"/>
      <c r="AJ1872" s="3"/>
      <c r="AK1872" s="3"/>
      <c r="AL1872" s="3"/>
    </row>
    <row r="1873" ht="15.75" customHeight="1">
      <c r="A1873" s="27">
        <f t="shared" si="21"/>
        <v>752</v>
      </c>
      <c r="B1873" s="28" t="s">
        <v>31</v>
      </c>
      <c r="C1873" s="43" t="s">
        <v>6363</v>
      </c>
      <c r="D1873" s="30" t="s">
        <v>6364</v>
      </c>
      <c r="E1873" s="28" t="s">
        <v>31</v>
      </c>
      <c r="F1873" s="28" t="s">
        <v>29</v>
      </c>
      <c r="G1873" s="28" t="s">
        <v>30</v>
      </c>
      <c r="H1873" s="28"/>
      <c r="I1873" s="28" t="s">
        <v>30</v>
      </c>
      <c r="J1873" s="28">
        <v>239.0</v>
      </c>
      <c r="K1873" s="28"/>
      <c r="L1873" s="28" t="s">
        <v>6131</v>
      </c>
      <c r="M1873" s="28" t="s">
        <v>2698</v>
      </c>
      <c r="N1873" s="28">
        <v>1984.0</v>
      </c>
      <c r="O1873" s="28">
        <v>15.0</v>
      </c>
      <c r="P1873" s="28">
        <v>1.0</v>
      </c>
      <c r="Q1873" s="94">
        <v>1.0</v>
      </c>
      <c r="R1873" s="33"/>
      <c r="S1873" s="34"/>
      <c r="T1873" s="34"/>
      <c r="U1873" s="34"/>
      <c r="V1873" s="34"/>
      <c r="W1873" s="34"/>
      <c r="X1873" s="34"/>
      <c r="Y1873" s="3"/>
      <c r="Z1873" s="3"/>
      <c r="AA1873" s="3"/>
      <c r="AB1873" s="3"/>
      <c r="AC1873" s="3"/>
      <c r="AD1873" s="3"/>
      <c r="AE1873" s="3"/>
      <c r="AF1873" s="3"/>
      <c r="AG1873" s="3"/>
      <c r="AH1873" s="3"/>
      <c r="AI1873" s="3"/>
      <c r="AJ1873" s="3"/>
      <c r="AK1873" s="3"/>
      <c r="AL1873" s="3"/>
    </row>
    <row r="1874" ht="15.75" customHeight="1">
      <c r="A1874" s="27">
        <f t="shared" si="21"/>
        <v>753</v>
      </c>
      <c r="B1874" s="28" t="s">
        <v>6365</v>
      </c>
      <c r="C1874" s="43" t="s">
        <v>6366</v>
      </c>
      <c r="D1874" s="30" t="s">
        <v>6367</v>
      </c>
      <c r="E1874" s="28" t="s">
        <v>31</v>
      </c>
      <c r="F1874" s="28" t="s">
        <v>29</v>
      </c>
      <c r="G1874" s="28" t="s">
        <v>2855</v>
      </c>
      <c r="H1874" s="28"/>
      <c r="I1874" s="28" t="s">
        <v>38</v>
      </c>
      <c r="J1874" s="28">
        <v>204.0</v>
      </c>
      <c r="K1874" s="28"/>
      <c r="L1874" s="28" t="s">
        <v>6368</v>
      </c>
      <c r="M1874" s="28" t="s">
        <v>6369</v>
      </c>
      <c r="N1874" s="28">
        <v>1971.0</v>
      </c>
      <c r="O1874" s="28">
        <v>15.0</v>
      </c>
      <c r="P1874" s="28">
        <v>1.0</v>
      </c>
      <c r="Q1874" s="32">
        <v>1.0</v>
      </c>
      <c r="R1874" s="33"/>
      <c r="S1874" s="34"/>
      <c r="T1874" s="34"/>
      <c r="U1874" s="34"/>
      <c r="V1874" s="34"/>
      <c r="W1874" s="34"/>
      <c r="X1874" s="34"/>
      <c r="Y1874" s="3"/>
      <c r="Z1874" s="3"/>
      <c r="AA1874" s="3"/>
      <c r="AB1874" s="3"/>
      <c r="AC1874" s="3"/>
      <c r="AD1874" s="3"/>
      <c r="AE1874" s="3"/>
      <c r="AF1874" s="3"/>
      <c r="AG1874" s="3"/>
      <c r="AH1874" s="3"/>
      <c r="AI1874" s="3"/>
      <c r="AJ1874" s="3"/>
      <c r="AK1874" s="3"/>
      <c r="AL1874" s="3"/>
    </row>
    <row r="1875" ht="15.75" customHeight="1">
      <c r="A1875" s="27">
        <f t="shared" si="21"/>
        <v>754</v>
      </c>
      <c r="B1875" s="28" t="s">
        <v>6370</v>
      </c>
      <c r="C1875" s="43" t="s">
        <v>6371</v>
      </c>
      <c r="D1875" s="30" t="s">
        <v>6372</v>
      </c>
      <c r="E1875" s="28" t="s">
        <v>31</v>
      </c>
      <c r="F1875" s="28" t="s">
        <v>29</v>
      </c>
      <c r="G1875" s="28" t="s">
        <v>38</v>
      </c>
      <c r="H1875" s="28"/>
      <c r="I1875" s="28" t="s">
        <v>38</v>
      </c>
      <c r="J1875" s="28">
        <v>250.0</v>
      </c>
      <c r="K1875" s="28"/>
      <c r="L1875" s="28" t="s">
        <v>6373</v>
      </c>
      <c r="M1875" s="28" t="s">
        <v>83</v>
      </c>
      <c r="N1875" s="28">
        <v>1986.0</v>
      </c>
      <c r="O1875" s="60">
        <v>15.0</v>
      </c>
      <c r="P1875" s="28">
        <v>1.0</v>
      </c>
      <c r="Q1875" s="94">
        <v>1.0</v>
      </c>
      <c r="R1875" s="33"/>
      <c r="S1875" s="34"/>
      <c r="T1875" s="34"/>
      <c r="U1875" s="34"/>
      <c r="V1875" s="34"/>
      <c r="W1875" s="34"/>
      <c r="X1875" s="34"/>
      <c r="Y1875" s="3"/>
      <c r="Z1875" s="3"/>
      <c r="AA1875" s="3"/>
      <c r="AB1875" s="3"/>
      <c r="AC1875" s="3"/>
      <c r="AD1875" s="3"/>
      <c r="AE1875" s="3"/>
      <c r="AF1875" s="3"/>
      <c r="AG1875" s="3"/>
      <c r="AH1875" s="3"/>
      <c r="AI1875" s="3"/>
      <c r="AJ1875" s="3"/>
      <c r="AK1875" s="3"/>
      <c r="AL1875" s="3"/>
    </row>
    <row r="1876" ht="15.75" customHeight="1">
      <c r="A1876" s="27">
        <f t="shared" si="21"/>
        <v>755</v>
      </c>
      <c r="B1876" s="28"/>
      <c r="C1876" s="43" t="s">
        <v>6374</v>
      </c>
      <c r="D1876" s="30" t="s">
        <v>6375</v>
      </c>
      <c r="E1876" s="28" t="s">
        <v>31</v>
      </c>
      <c r="F1876" s="28" t="s">
        <v>29</v>
      </c>
      <c r="G1876" s="28" t="s">
        <v>2417</v>
      </c>
      <c r="H1876" s="28"/>
      <c r="I1876" s="28" t="s">
        <v>38</v>
      </c>
      <c r="J1876" s="28">
        <v>104.0</v>
      </c>
      <c r="K1876" s="28"/>
      <c r="L1876" s="28" t="s">
        <v>6376</v>
      </c>
      <c r="M1876" s="28" t="s">
        <v>6377</v>
      </c>
      <c r="N1876" s="28">
        <v>1970.0</v>
      </c>
      <c r="O1876" s="60">
        <v>15.0</v>
      </c>
      <c r="P1876" s="28">
        <v>1.0</v>
      </c>
      <c r="Q1876" s="94">
        <v>1.0</v>
      </c>
      <c r="R1876" s="33"/>
      <c r="S1876" s="34"/>
      <c r="T1876" s="34"/>
      <c r="U1876" s="34"/>
      <c r="V1876" s="34"/>
      <c r="W1876" s="34"/>
      <c r="X1876" s="34"/>
      <c r="Y1876" s="45"/>
      <c r="Z1876" s="45"/>
      <c r="AA1876" s="45"/>
      <c r="AB1876" s="45"/>
      <c r="AC1876" s="45"/>
      <c r="AD1876" s="45"/>
      <c r="AE1876" s="45"/>
      <c r="AF1876" s="45"/>
      <c r="AG1876" s="45"/>
      <c r="AH1876" s="45"/>
      <c r="AI1876" s="45"/>
      <c r="AJ1876" s="45"/>
      <c r="AK1876" s="45"/>
      <c r="AL1876" s="45"/>
    </row>
    <row r="1877" ht="15.75" customHeight="1">
      <c r="A1877" s="27">
        <f t="shared" si="21"/>
        <v>756</v>
      </c>
      <c r="B1877" s="83"/>
      <c r="C1877" s="121" t="s">
        <v>6378</v>
      </c>
      <c r="D1877" s="118" t="s">
        <v>6379</v>
      </c>
      <c r="E1877" s="83"/>
      <c r="F1877" s="83" t="s">
        <v>29</v>
      </c>
      <c r="G1877" s="83" t="s">
        <v>2743</v>
      </c>
      <c r="H1877" s="83"/>
      <c r="I1877" s="83" t="s">
        <v>38</v>
      </c>
      <c r="J1877" s="83">
        <v>297.0</v>
      </c>
      <c r="K1877" s="83"/>
      <c r="L1877" s="83" t="s">
        <v>6380</v>
      </c>
      <c r="M1877" s="83" t="s">
        <v>6381</v>
      </c>
      <c r="N1877" s="83">
        <v>1968.0</v>
      </c>
      <c r="O1877" s="60">
        <v>15.0</v>
      </c>
      <c r="P1877" s="83">
        <v>1.0</v>
      </c>
      <c r="Q1877" s="121">
        <v>1.0</v>
      </c>
      <c r="R1877" s="84"/>
      <c r="S1877" s="34"/>
      <c r="T1877" s="34"/>
      <c r="U1877" s="34"/>
      <c r="V1877" s="34"/>
      <c r="W1877" s="34"/>
      <c r="X1877" s="34"/>
      <c r="Y1877" s="3"/>
      <c r="Z1877" s="3"/>
      <c r="AA1877" s="3"/>
      <c r="AB1877" s="3"/>
      <c r="AC1877" s="3"/>
      <c r="AD1877" s="3"/>
      <c r="AE1877" s="3"/>
      <c r="AF1877" s="3"/>
      <c r="AG1877" s="3"/>
      <c r="AH1877" s="3"/>
      <c r="AI1877" s="3"/>
      <c r="AJ1877" s="3"/>
      <c r="AK1877" s="3"/>
      <c r="AL1877" s="3"/>
    </row>
    <row r="1878" ht="15.75" customHeight="1">
      <c r="A1878" s="27">
        <f t="shared" si="21"/>
        <v>757</v>
      </c>
      <c r="B1878" s="28" t="s">
        <v>4968</v>
      </c>
      <c r="C1878" s="43" t="s">
        <v>6382</v>
      </c>
      <c r="D1878" s="30" t="s">
        <v>4975</v>
      </c>
      <c r="E1878" s="28" t="s">
        <v>31</v>
      </c>
      <c r="F1878" s="28" t="s">
        <v>29</v>
      </c>
      <c r="G1878" s="28" t="s">
        <v>37</v>
      </c>
      <c r="H1878" s="28"/>
      <c r="I1878" s="28" t="s">
        <v>38</v>
      </c>
      <c r="J1878" s="28">
        <v>554.0</v>
      </c>
      <c r="K1878" s="28"/>
      <c r="L1878" s="28" t="s">
        <v>31</v>
      </c>
      <c r="M1878" s="28" t="s">
        <v>4973</v>
      </c>
      <c r="N1878" s="28">
        <v>1987.0</v>
      </c>
      <c r="O1878" s="60">
        <v>15.0</v>
      </c>
      <c r="P1878" s="28">
        <v>1.0</v>
      </c>
      <c r="Q1878" s="94">
        <v>1.0</v>
      </c>
      <c r="R1878" s="33"/>
      <c r="S1878" s="34"/>
      <c r="T1878" s="34"/>
      <c r="U1878" s="34"/>
      <c r="V1878" s="34"/>
      <c r="W1878" s="34"/>
      <c r="X1878" s="34"/>
      <c r="Y1878" s="3"/>
      <c r="Z1878" s="3"/>
      <c r="AA1878" s="3"/>
      <c r="AB1878" s="3"/>
      <c r="AC1878" s="3"/>
      <c r="AD1878" s="3"/>
      <c r="AE1878" s="3"/>
      <c r="AF1878" s="3"/>
      <c r="AG1878" s="3"/>
      <c r="AH1878" s="3"/>
      <c r="AI1878" s="3"/>
      <c r="AJ1878" s="3"/>
      <c r="AK1878" s="3"/>
      <c r="AL1878" s="3"/>
    </row>
    <row r="1879" ht="15.75" customHeight="1">
      <c r="A1879" s="27">
        <f t="shared" si="21"/>
        <v>758</v>
      </c>
      <c r="B1879" s="28" t="s">
        <v>31</v>
      </c>
      <c r="C1879" s="43" t="s">
        <v>6382</v>
      </c>
      <c r="D1879" s="30" t="s">
        <v>6383</v>
      </c>
      <c r="E1879" s="28" t="s">
        <v>31</v>
      </c>
      <c r="F1879" s="28" t="s">
        <v>29</v>
      </c>
      <c r="G1879" s="28" t="s">
        <v>131</v>
      </c>
      <c r="H1879" s="28"/>
      <c r="I1879" s="28" t="s">
        <v>131</v>
      </c>
      <c r="J1879" s="28">
        <v>190.0</v>
      </c>
      <c r="K1879" s="28"/>
      <c r="L1879" s="28" t="s">
        <v>31</v>
      </c>
      <c r="M1879" s="28" t="s">
        <v>6332</v>
      </c>
      <c r="N1879" s="28">
        <v>1981.0</v>
      </c>
      <c r="O1879" s="60">
        <v>15.0</v>
      </c>
      <c r="P1879" s="28">
        <v>1.0</v>
      </c>
      <c r="Q1879" s="94">
        <v>1.0</v>
      </c>
      <c r="R1879" s="33"/>
      <c r="S1879" s="34"/>
      <c r="T1879" s="34"/>
      <c r="U1879" s="34"/>
      <c r="V1879" s="34"/>
      <c r="W1879" s="34"/>
      <c r="X1879" s="34"/>
      <c r="Y1879" s="3"/>
      <c r="Z1879" s="3"/>
      <c r="AA1879" s="3"/>
      <c r="AB1879" s="3"/>
      <c r="AC1879" s="3"/>
      <c r="AD1879" s="3"/>
      <c r="AE1879" s="3"/>
      <c r="AF1879" s="3"/>
      <c r="AG1879" s="3"/>
      <c r="AH1879" s="3"/>
      <c r="AI1879" s="3"/>
      <c r="AJ1879" s="3"/>
      <c r="AK1879" s="3"/>
      <c r="AL1879" s="3"/>
    </row>
    <row r="1880" ht="15.75" customHeight="1">
      <c r="A1880" s="27">
        <f t="shared" si="21"/>
        <v>759</v>
      </c>
      <c r="B1880" s="28" t="s">
        <v>4968</v>
      </c>
      <c r="C1880" s="43" t="s">
        <v>6384</v>
      </c>
      <c r="D1880" s="30" t="s">
        <v>6385</v>
      </c>
      <c r="E1880" s="28" t="s">
        <v>31</v>
      </c>
      <c r="F1880" s="28" t="s">
        <v>29</v>
      </c>
      <c r="G1880" s="28" t="s">
        <v>131</v>
      </c>
      <c r="H1880" s="28"/>
      <c r="I1880" s="28" t="s">
        <v>131</v>
      </c>
      <c r="J1880" s="28">
        <v>509.0</v>
      </c>
      <c r="K1880" s="28"/>
      <c r="L1880" s="28" t="s">
        <v>31</v>
      </c>
      <c r="M1880" s="28" t="s">
        <v>6332</v>
      </c>
      <c r="N1880" s="28">
        <v>1982.0</v>
      </c>
      <c r="O1880" s="60">
        <v>15.0</v>
      </c>
      <c r="P1880" s="28">
        <v>1.0</v>
      </c>
      <c r="Q1880" s="94">
        <v>1.0</v>
      </c>
      <c r="R1880" s="33"/>
      <c r="S1880" s="34"/>
      <c r="T1880" s="34"/>
      <c r="U1880" s="34"/>
      <c r="V1880" s="34"/>
      <c r="W1880" s="34"/>
      <c r="X1880" s="34"/>
      <c r="Y1880" s="3"/>
      <c r="Z1880" s="3"/>
      <c r="AA1880" s="3"/>
      <c r="AB1880" s="3"/>
      <c r="AC1880" s="3"/>
      <c r="AD1880" s="3"/>
      <c r="AE1880" s="3"/>
      <c r="AF1880" s="3"/>
      <c r="AG1880" s="3"/>
      <c r="AH1880" s="3"/>
      <c r="AI1880" s="3"/>
      <c r="AJ1880" s="3"/>
      <c r="AK1880" s="3"/>
      <c r="AL1880" s="3"/>
    </row>
    <row r="1881" ht="15.75" customHeight="1">
      <c r="A1881" s="27">
        <f t="shared" si="21"/>
        <v>760</v>
      </c>
      <c r="B1881" s="28" t="s">
        <v>31</v>
      </c>
      <c r="C1881" s="43" t="s">
        <v>6384</v>
      </c>
      <c r="D1881" s="30" t="s">
        <v>6386</v>
      </c>
      <c r="E1881" s="28" t="s">
        <v>31</v>
      </c>
      <c r="F1881" s="28" t="s">
        <v>29</v>
      </c>
      <c r="G1881" s="28" t="s">
        <v>131</v>
      </c>
      <c r="H1881" s="28"/>
      <c r="I1881" s="28" t="s">
        <v>131</v>
      </c>
      <c r="J1881" s="28">
        <v>190.0</v>
      </c>
      <c r="K1881" s="28"/>
      <c r="L1881" s="28" t="s">
        <v>31</v>
      </c>
      <c r="M1881" s="28" t="s">
        <v>6332</v>
      </c>
      <c r="N1881" s="28">
        <v>1980.0</v>
      </c>
      <c r="O1881" s="60">
        <v>15.0</v>
      </c>
      <c r="P1881" s="28">
        <v>1.0</v>
      </c>
      <c r="Q1881" s="94">
        <v>1.0</v>
      </c>
      <c r="R1881" s="33"/>
      <c r="S1881" s="34"/>
      <c r="T1881" s="34"/>
      <c r="U1881" s="34"/>
      <c r="V1881" s="34"/>
      <c r="W1881" s="34"/>
      <c r="X1881" s="34"/>
      <c r="Y1881" s="3"/>
      <c r="Z1881" s="3"/>
      <c r="AA1881" s="3"/>
      <c r="AB1881" s="3"/>
      <c r="AC1881" s="3"/>
      <c r="AD1881" s="3"/>
      <c r="AE1881" s="3"/>
      <c r="AF1881" s="3"/>
      <c r="AG1881" s="3"/>
      <c r="AH1881" s="3"/>
      <c r="AI1881" s="3"/>
      <c r="AJ1881" s="3"/>
      <c r="AK1881" s="3"/>
      <c r="AL1881" s="3"/>
    </row>
    <row r="1882" ht="15.75" customHeight="1">
      <c r="A1882" s="27">
        <f t="shared" si="21"/>
        <v>761</v>
      </c>
      <c r="B1882" s="28" t="s">
        <v>6387</v>
      </c>
      <c r="C1882" s="43" t="s">
        <v>6388</v>
      </c>
      <c r="D1882" s="30" t="s">
        <v>6389</v>
      </c>
      <c r="E1882" s="28"/>
      <c r="F1882" s="28" t="s">
        <v>29</v>
      </c>
      <c r="G1882" s="28" t="s">
        <v>37</v>
      </c>
      <c r="H1882" s="28" t="s">
        <v>31</v>
      </c>
      <c r="I1882" s="28" t="s">
        <v>38</v>
      </c>
      <c r="J1882" s="28">
        <v>388.0</v>
      </c>
      <c r="K1882" s="28"/>
      <c r="L1882" s="28" t="s">
        <v>6390</v>
      </c>
      <c r="M1882" s="28" t="s">
        <v>6391</v>
      </c>
      <c r="N1882" s="28">
        <v>1974.0</v>
      </c>
      <c r="O1882" s="60">
        <v>15.0</v>
      </c>
      <c r="P1882" s="28">
        <v>1.0</v>
      </c>
      <c r="Q1882" s="94">
        <v>1.0</v>
      </c>
      <c r="R1882" s="33"/>
      <c r="S1882" s="34"/>
      <c r="T1882" s="34"/>
      <c r="U1882" s="34"/>
      <c r="V1882" s="34"/>
      <c r="W1882" s="34"/>
      <c r="X1882" s="34"/>
      <c r="Y1882" s="3"/>
      <c r="Z1882" s="3"/>
      <c r="AA1882" s="3"/>
      <c r="AB1882" s="3"/>
      <c r="AC1882" s="3"/>
      <c r="AD1882" s="3"/>
      <c r="AE1882" s="3"/>
      <c r="AF1882" s="3"/>
      <c r="AG1882" s="3"/>
      <c r="AH1882" s="3"/>
      <c r="AI1882" s="3"/>
      <c r="AJ1882" s="3"/>
      <c r="AK1882" s="3"/>
      <c r="AL1882" s="3"/>
    </row>
    <row r="1883" ht="15.75" customHeight="1">
      <c r="A1883" s="27">
        <f t="shared" si="21"/>
        <v>762</v>
      </c>
      <c r="B1883" s="28" t="s">
        <v>6392</v>
      </c>
      <c r="C1883" s="43" t="s">
        <v>6393</v>
      </c>
      <c r="D1883" s="30" t="s">
        <v>6394</v>
      </c>
      <c r="E1883" s="28" t="s">
        <v>31</v>
      </c>
      <c r="F1883" s="28" t="s">
        <v>29</v>
      </c>
      <c r="G1883" s="28" t="s">
        <v>30</v>
      </c>
      <c r="H1883" s="28"/>
      <c r="I1883" s="28" t="s">
        <v>30</v>
      </c>
      <c r="J1883" s="28">
        <v>164.0</v>
      </c>
      <c r="K1883" s="28"/>
      <c r="L1883" s="28" t="s">
        <v>6395</v>
      </c>
      <c r="M1883" s="28" t="s">
        <v>6396</v>
      </c>
      <c r="N1883" s="28">
        <v>1986.0</v>
      </c>
      <c r="O1883" s="60">
        <v>15.0</v>
      </c>
      <c r="P1883" s="28">
        <v>1.0</v>
      </c>
      <c r="Q1883" s="94">
        <v>1.0</v>
      </c>
      <c r="R1883" s="33"/>
      <c r="S1883" s="34"/>
      <c r="T1883" s="34"/>
      <c r="U1883" s="34"/>
      <c r="V1883" s="34"/>
      <c r="W1883" s="34"/>
      <c r="X1883" s="34"/>
      <c r="Y1883" s="45"/>
      <c r="Z1883" s="45"/>
      <c r="AA1883" s="45"/>
      <c r="AB1883" s="45"/>
      <c r="AC1883" s="45"/>
      <c r="AD1883" s="45"/>
      <c r="AE1883" s="45"/>
      <c r="AF1883" s="45"/>
      <c r="AG1883" s="45"/>
      <c r="AH1883" s="45"/>
      <c r="AI1883" s="45"/>
      <c r="AJ1883" s="45"/>
      <c r="AK1883" s="45"/>
      <c r="AL1883" s="45"/>
    </row>
    <row r="1884" ht="15.75" customHeight="1">
      <c r="A1884" s="27">
        <f t="shared" si="21"/>
        <v>763</v>
      </c>
      <c r="B1884" s="28"/>
      <c r="C1884" s="43" t="s">
        <v>6397</v>
      </c>
      <c r="D1884" s="30" t="s">
        <v>6398</v>
      </c>
      <c r="E1884" s="28" t="s">
        <v>31</v>
      </c>
      <c r="F1884" s="28" t="s">
        <v>29</v>
      </c>
      <c r="G1884" s="28" t="s">
        <v>37</v>
      </c>
      <c r="H1884" s="28"/>
      <c r="I1884" s="28" t="s">
        <v>38</v>
      </c>
      <c r="J1884" s="28">
        <v>605.0</v>
      </c>
      <c r="K1884" s="28"/>
      <c r="L1884" s="28" t="s">
        <v>6399</v>
      </c>
      <c r="M1884" s="28" t="s">
        <v>6400</v>
      </c>
      <c r="N1884" s="28">
        <v>1966.0</v>
      </c>
      <c r="O1884" s="121">
        <v>15.0</v>
      </c>
      <c r="P1884" s="28">
        <v>1.0</v>
      </c>
      <c r="Q1884" s="94">
        <v>1.0</v>
      </c>
      <c r="R1884" s="33"/>
      <c r="S1884" s="34"/>
      <c r="T1884" s="34"/>
      <c r="U1884" s="34"/>
      <c r="V1884" s="34"/>
      <c r="W1884" s="34"/>
      <c r="X1884" s="34"/>
      <c r="Y1884" s="3"/>
      <c r="Z1884" s="3"/>
      <c r="AA1884" s="3"/>
      <c r="AB1884" s="3"/>
      <c r="AC1884" s="3"/>
      <c r="AD1884" s="3"/>
      <c r="AE1884" s="3"/>
      <c r="AF1884" s="3"/>
      <c r="AG1884" s="3"/>
      <c r="AH1884" s="3"/>
      <c r="AI1884" s="3"/>
      <c r="AJ1884" s="3"/>
      <c r="AK1884" s="3"/>
      <c r="AL1884" s="3"/>
    </row>
    <row r="1885" ht="15.75" customHeight="1">
      <c r="A1885" s="27">
        <f t="shared" si="21"/>
        <v>764</v>
      </c>
      <c r="B1885" s="28" t="s">
        <v>31</v>
      </c>
      <c r="C1885" s="43" t="s">
        <v>6397</v>
      </c>
      <c r="D1885" s="30" t="s">
        <v>6401</v>
      </c>
      <c r="E1885" s="28"/>
      <c r="F1885" s="28" t="s">
        <v>29</v>
      </c>
      <c r="G1885" s="28" t="s">
        <v>38</v>
      </c>
      <c r="H1885" s="28"/>
      <c r="I1885" s="28" t="s">
        <v>98</v>
      </c>
      <c r="J1885" s="28">
        <v>580.0</v>
      </c>
      <c r="K1885" s="28"/>
      <c r="L1885" s="28" t="s">
        <v>6399</v>
      </c>
      <c r="M1885" s="28" t="s">
        <v>6400</v>
      </c>
      <c r="N1885" s="28">
        <v>1966.0</v>
      </c>
      <c r="O1885" s="121">
        <v>15.0</v>
      </c>
      <c r="P1885" s="28">
        <v>1.0</v>
      </c>
      <c r="Q1885" s="94">
        <v>1.0</v>
      </c>
      <c r="R1885" s="33"/>
      <c r="S1885" s="34"/>
      <c r="T1885" s="34"/>
      <c r="U1885" s="34"/>
      <c r="V1885" s="34"/>
      <c r="W1885" s="34"/>
      <c r="X1885" s="34"/>
      <c r="Y1885" s="3"/>
      <c r="Z1885" s="3"/>
      <c r="AA1885" s="3"/>
      <c r="AB1885" s="3"/>
      <c r="AC1885" s="3"/>
      <c r="AD1885" s="3"/>
      <c r="AE1885" s="3"/>
      <c r="AF1885" s="3"/>
      <c r="AG1885" s="3"/>
      <c r="AH1885" s="3"/>
      <c r="AI1885" s="3"/>
      <c r="AJ1885" s="3"/>
      <c r="AK1885" s="3"/>
      <c r="AL1885" s="3"/>
    </row>
    <row r="1886" ht="15.75" customHeight="1">
      <c r="A1886" s="27">
        <f t="shared" si="21"/>
        <v>765</v>
      </c>
      <c r="B1886" s="121" t="s">
        <v>6402</v>
      </c>
      <c r="C1886" s="121" t="s">
        <v>6403</v>
      </c>
      <c r="D1886" s="119" t="s">
        <v>6404</v>
      </c>
      <c r="E1886" s="83"/>
      <c r="F1886" s="121" t="s">
        <v>29</v>
      </c>
      <c r="G1886" s="121" t="s">
        <v>159</v>
      </c>
      <c r="H1886" s="83"/>
      <c r="I1886" s="121" t="s">
        <v>30</v>
      </c>
      <c r="J1886" s="121">
        <v>327.0</v>
      </c>
      <c r="K1886" s="83"/>
      <c r="L1886" s="121" t="s">
        <v>6405</v>
      </c>
      <c r="M1886" s="121" t="s">
        <v>4806</v>
      </c>
      <c r="N1886" s="121">
        <v>2012.0</v>
      </c>
      <c r="O1886" s="121">
        <v>15.0</v>
      </c>
      <c r="P1886" s="121">
        <v>1.0</v>
      </c>
      <c r="Q1886" s="121">
        <v>1.0</v>
      </c>
      <c r="R1886" s="84"/>
      <c r="S1886" s="34"/>
      <c r="T1886" s="34"/>
      <c r="U1886" s="34"/>
      <c r="V1886" s="34"/>
      <c r="W1886" s="34"/>
      <c r="X1886" s="34"/>
      <c r="Y1886" s="3"/>
      <c r="Z1886" s="3"/>
      <c r="AA1886" s="3"/>
      <c r="AB1886" s="3"/>
      <c r="AC1886" s="3"/>
      <c r="AD1886" s="3"/>
      <c r="AE1886" s="3"/>
      <c r="AF1886" s="3"/>
      <c r="AG1886" s="3"/>
      <c r="AH1886" s="3"/>
      <c r="AI1886" s="3"/>
      <c r="AJ1886" s="3"/>
      <c r="AK1886" s="3"/>
      <c r="AL1886" s="3"/>
    </row>
    <row r="1887" ht="15.75" customHeight="1">
      <c r="A1887" s="27">
        <f t="shared" si="21"/>
        <v>766</v>
      </c>
      <c r="B1887" s="28" t="s">
        <v>31</v>
      </c>
      <c r="C1887" s="43" t="s">
        <v>6406</v>
      </c>
      <c r="D1887" s="30" t="s">
        <v>6407</v>
      </c>
      <c r="E1887" s="28"/>
      <c r="F1887" s="28" t="s">
        <v>29</v>
      </c>
      <c r="G1887" s="28" t="s">
        <v>38</v>
      </c>
      <c r="H1887" s="28" t="s">
        <v>31</v>
      </c>
      <c r="I1887" s="28" t="s">
        <v>6408</v>
      </c>
      <c r="J1887" s="28">
        <v>115.0</v>
      </c>
      <c r="K1887" s="28"/>
      <c r="L1887" s="28" t="s">
        <v>31</v>
      </c>
      <c r="M1887" s="28" t="s">
        <v>6409</v>
      </c>
      <c r="N1887" s="28">
        <v>1904.0</v>
      </c>
      <c r="O1887" s="60">
        <v>15.0</v>
      </c>
      <c r="P1887" s="28">
        <v>3.0</v>
      </c>
      <c r="Q1887" s="94">
        <v>3.0</v>
      </c>
      <c r="R1887" s="33"/>
      <c r="S1887" s="116"/>
      <c r="T1887" s="116"/>
      <c r="U1887" s="116"/>
      <c r="V1887" s="116"/>
      <c r="W1887" s="116"/>
      <c r="X1887" s="116"/>
      <c r="Y1887" s="3"/>
      <c r="Z1887" s="3"/>
      <c r="AA1887" s="3"/>
      <c r="AB1887" s="3"/>
      <c r="AC1887" s="3"/>
      <c r="AD1887" s="3"/>
      <c r="AE1887" s="3"/>
      <c r="AF1887" s="3"/>
      <c r="AG1887" s="3"/>
      <c r="AH1887" s="3"/>
      <c r="AI1887" s="3"/>
      <c r="AJ1887" s="3"/>
      <c r="AK1887" s="3"/>
      <c r="AL1887" s="3"/>
    </row>
    <row r="1888" ht="15.75" customHeight="1">
      <c r="A1888" s="27">
        <f t="shared" si="21"/>
        <v>767</v>
      </c>
      <c r="B1888" s="28" t="s">
        <v>31</v>
      </c>
      <c r="C1888" s="43" t="s">
        <v>6410</v>
      </c>
      <c r="D1888" s="30" t="s">
        <v>6411</v>
      </c>
      <c r="E1888" s="28"/>
      <c r="F1888" s="28" t="s">
        <v>29</v>
      </c>
      <c r="G1888" s="28" t="s">
        <v>38</v>
      </c>
      <c r="H1888" s="28" t="s">
        <v>31</v>
      </c>
      <c r="I1888" s="28" t="s">
        <v>38</v>
      </c>
      <c r="J1888" s="28">
        <v>189.0</v>
      </c>
      <c r="K1888" s="28"/>
      <c r="L1888" s="28" t="s">
        <v>6412</v>
      </c>
      <c r="M1888" s="28" t="s">
        <v>5994</v>
      </c>
      <c r="N1888" s="28">
        <v>1965.0</v>
      </c>
      <c r="O1888" s="60">
        <v>15.0</v>
      </c>
      <c r="P1888" s="28">
        <v>1.0</v>
      </c>
      <c r="Q1888" s="32">
        <v>1.0</v>
      </c>
      <c r="R1888" s="33"/>
      <c r="S1888" s="34"/>
      <c r="T1888" s="34"/>
      <c r="U1888" s="34"/>
      <c r="V1888" s="34"/>
      <c r="W1888" s="34"/>
      <c r="X1888" s="34"/>
      <c r="Y1888" s="3"/>
      <c r="Z1888" s="3"/>
      <c r="AA1888" s="3"/>
      <c r="AB1888" s="3"/>
      <c r="AC1888" s="3"/>
      <c r="AD1888" s="3"/>
      <c r="AE1888" s="3"/>
      <c r="AF1888" s="3"/>
      <c r="AG1888" s="3"/>
      <c r="AH1888" s="3"/>
      <c r="AI1888" s="3"/>
      <c r="AJ1888" s="3"/>
      <c r="AK1888" s="3"/>
      <c r="AL1888" s="3"/>
    </row>
    <row r="1889" ht="15.75" customHeight="1">
      <c r="A1889" s="27">
        <f t="shared" si="21"/>
        <v>768</v>
      </c>
      <c r="B1889" s="28"/>
      <c r="C1889" s="43" t="s">
        <v>6413</v>
      </c>
      <c r="D1889" s="30" t="s">
        <v>6414</v>
      </c>
      <c r="E1889" s="28" t="s">
        <v>31</v>
      </c>
      <c r="F1889" s="28" t="s">
        <v>29</v>
      </c>
      <c r="G1889" s="28" t="s">
        <v>31</v>
      </c>
      <c r="H1889" s="28"/>
      <c r="I1889" s="28" t="s">
        <v>31</v>
      </c>
      <c r="J1889" s="28"/>
      <c r="K1889" s="28"/>
      <c r="L1889" s="28" t="s">
        <v>6415</v>
      </c>
      <c r="M1889" s="28"/>
      <c r="N1889" s="28"/>
      <c r="O1889" s="60">
        <v>15.0</v>
      </c>
      <c r="P1889" s="28">
        <v>1.0</v>
      </c>
      <c r="Q1889" s="94">
        <v>1.0</v>
      </c>
      <c r="R1889" s="33"/>
      <c r="S1889" s="34"/>
      <c r="T1889" s="34"/>
      <c r="U1889" s="34"/>
      <c r="V1889" s="34"/>
      <c r="W1889" s="34"/>
      <c r="X1889" s="34"/>
      <c r="Y1889" s="3"/>
      <c r="Z1889" s="3"/>
      <c r="AA1889" s="3"/>
      <c r="AB1889" s="3"/>
      <c r="AC1889" s="3"/>
      <c r="AD1889" s="3"/>
      <c r="AE1889" s="3"/>
      <c r="AF1889" s="3"/>
      <c r="AG1889" s="3"/>
      <c r="AH1889" s="3"/>
      <c r="AI1889" s="3"/>
      <c r="AJ1889" s="3"/>
      <c r="AK1889" s="3"/>
      <c r="AL1889" s="3"/>
    </row>
    <row r="1890" ht="15.75" customHeight="1">
      <c r="A1890" s="27">
        <f t="shared" si="21"/>
        <v>769</v>
      </c>
      <c r="B1890" s="28" t="s">
        <v>6416</v>
      </c>
      <c r="C1890" s="43" t="s">
        <v>6417</v>
      </c>
      <c r="D1890" s="30" t="s">
        <v>6418</v>
      </c>
      <c r="E1890" s="28" t="s">
        <v>31</v>
      </c>
      <c r="F1890" s="28" t="s">
        <v>29</v>
      </c>
      <c r="G1890" s="28" t="s">
        <v>37</v>
      </c>
      <c r="H1890" s="28"/>
      <c r="I1890" s="28" t="s">
        <v>38</v>
      </c>
      <c r="J1890" s="28">
        <v>202.0</v>
      </c>
      <c r="K1890" s="28"/>
      <c r="L1890" s="28" t="s">
        <v>6419</v>
      </c>
      <c r="M1890" s="28" t="s">
        <v>6420</v>
      </c>
      <c r="N1890" s="28">
        <v>2006.0</v>
      </c>
      <c r="O1890" s="60">
        <v>15.0</v>
      </c>
      <c r="P1890" s="28">
        <v>1.0</v>
      </c>
      <c r="Q1890" s="94">
        <v>1.0</v>
      </c>
      <c r="R1890" s="33"/>
      <c r="S1890" s="34"/>
      <c r="T1890" s="34"/>
      <c r="U1890" s="34"/>
      <c r="V1890" s="34"/>
      <c r="W1890" s="34"/>
      <c r="X1890" s="34"/>
      <c r="Y1890" s="45"/>
      <c r="Z1890" s="45"/>
      <c r="AA1890" s="45"/>
      <c r="AB1890" s="45"/>
      <c r="AC1890" s="45"/>
      <c r="AD1890" s="45"/>
      <c r="AE1890" s="45"/>
      <c r="AF1890" s="45"/>
      <c r="AG1890" s="45"/>
      <c r="AH1890" s="45"/>
      <c r="AI1890" s="45"/>
      <c r="AJ1890" s="45"/>
      <c r="AK1890" s="45"/>
      <c r="AL1890" s="45"/>
    </row>
    <row r="1891" ht="15.75" customHeight="1">
      <c r="A1891" s="27">
        <f t="shared" si="21"/>
        <v>770</v>
      </c>
      <c r="B1891" s="33"/>
      <c r="C1891" s="132" t="s">
        <v>6421</v>
      </c>
      <c r="D1891" s="131" t="s">
        <v>6422</v>
      </c>
      <c r="E1891" s="33"/>
      <c r="F1891" s="132" t="s">
        <v>29</v>
      </c>
      <c r="G1891" s="132" t="s">
        <v>37</v>
      </c>
      <c r="H1891" s="33"/>
      <c r="I1891" s="132" t="s">
        <v>38</v>
      </c>
      <c r="J1891" s="132">
        <v>681.0</v>
      </c>
      <c r="K1891" s="33"/>
      <c r="L1891" s="132" t="s">
        <v>6423</v>
      </c>
      <c r="M1891" s="132" t="s">
        <v>6424</v>
      </c>
      <c r="N1891" s="132">
        <v>1969.0</v>
      </c>
      <c r="O1891" s="60">
        <v>15.0</v>
      </c>
      <c r="P1891" s="132">
        <v>1.0</v>
      </c>
      <c r="Q1891" s="132">
        <v>1.0</v>
      </c>
      <c r="R1891" s="84"/>
      <c r="S1891" s="34"/>
      <c r="T1891" s="34"/>
      <c r="U1891" s="34"/>
      <c r="V1891" s="34"/>
      <c r="W1891" s="34"/>
      <c r="X1891" s="34"/>
      <c r="Y1891" s="3"/>
      <c r="Z1891" s="3"/>
      <c r="AA1891" s="3"/>
      <c r="AB1891" s="3"/>
      <c r="AC1891" s="3"/>
      <c r="AD1891" s="3"/>
      <c r="AE1891" s="3"/>
      <c r="AF1891" s="3"/>
      <c r="AG1891" s="3"/>
      <c r="AH1891" s="3"/>
      <c r="AI1891" s="3"/>
      <c r="AJ1891" s="3"/>
      <c r="AK1891" s="3"/>
      <c r="AL1891" s="3"/>
    </row>
    <row r="1892" ht="15.75" customHeight="1">
      <c r="A1892" s="27">
        <f t="shared" si="21"/>
        <v>771</v>
      </c>
      <c r="B1892" s="28" t="s">
        <v>31</v>
      </c>
      <c r="C1892" s="43" t="s">
        <v>6425</v>
      </c>
      <c r="D1892" s="30" t="s">
        <v>6426</v>
      </c>
      <c r="E1892" s="28" t="s">
        <v>31</v>
      </c>
      <c r="F1892" s="28" t="s">
        <v>29</v>
      </c>
      <c r="G1892" s="28"/>
      <c r="H1892" s="28"/>
      <c r="I1892" s="28" t="s">
        <v>98</v>
      </c>
      <c r="J1892" s="28">
        <v>553.0</v>
      </c>
      <c r="K1892" s="28"/>
      <c r="L1892" s="28" t="s">
        <v>6427</v>
      </c>
      <c r="M1892" s="28" t="s">
        <v>6428</v>
      </c>
      <c r="N1892" s="28">
        <v>1958.0</v>
      </c>
      <c r="O1892" s="60">
        <v>15.0</v>
      </c>
      <c r="P1892" s="28">
        <v>1.0</v>
      </c>
      <c r="Q1892" s="94">
        <v>1.0</v>
      </c>
      <c r="R1892" s="33"/>
      <c r="S1892" s="116"/>
      <c r="T1892" s="116"/>
      <c r="U1892" s="116"/>
      <c r="V1892" s="116"/>
      <c r="W1892" s="116"/>
      <c r="X1892" s="116"/>
      <c r="Y1892" s="3"/>
      <c r="Z1892" s="3"/>
      <c r="AA1892" s="3"/>
      <c r="AB1892" s="3"/>
      <c r="AC1892" s="3"/>
      <c r="AD1892" s="3"/>
      <c r="AE1892" s="3"/>
      <c r="AF1892" s="3"/>
      <c r="AG1892" s="3"/>
      <c r="AH1892" s="3"/>
      <c r="AI1892" s="3"/>
      <c r="AJ1892" s="3"/>
      <c r="AK1892" s="3"/>
      <c r="AL1892" s="3"/>
    </row>
    <row r="1893" ht="15.75" customHeight="1">
      <c r="A1893" s="27">
        <f t="shared" si="21"/>
        <v>772</v>
      </c>
      <c r="B1893" s="28" t="s">
        <v>31</v>
      </c>
      <c r="C1893" s="43" t="s">
        <v>6429</v>
      </c>
      <c r="D1893" s="30" t="s">
        <v>6430</v>
      </c>
      <c r="E1893" s="28" t="s">
        <v>31</v>
      </c>
      <c r="F1893" s="28" t="s">
        <v>29</v>
      </c>
      <c r="G1893" s="28" t="s">
        <v>37</v>
      </c>
      <c r="H1893" s="28"/>
      <c r="I1893" s="28" t="s">
        <v>6431</v>
      </c>
      <c r="J1893" s="28">
        <v>128.0</v>
      </c>
      <c r="K1893" s="28"/>
      <c r="L1893" s="28" t="s">
        <v>6432</v>
      </c>
      <c r="M1893" s="28" t="s">
        <v>6433</v>
      </c>
      <c r="N1893" s="28">
        <v>1943.0</v>
      </c>
      <c r="O1893" s="60">
        <v>15.0</v>
      </c>
      <c r="P1893" s="28">
        <v>2.0</v>
      </c>
      <c r="Q1893" s="94">
        <v>2.0</v>
      </c>
      <c r="R1893" s="33"/>
      <c r="S1893" s="34"/>
      <c r="T1893" s="34"/>
      <c r="U1893" s="34"/>
      <c r="V1893" s="34"/>
      <c r="W1893" s="34"/>
      <c r="X1893" s="34"/>
      <c r="Y1893" s="3"/>
      <c r="Z1893" s="3"/>
      <c r="AA1893" s="3"/>
      <c r="AB1893" s="3"/>
      <c r="AC1893" s="3"/>
      <c r="AD1893" s="3"/>
      <c r="AE1893" s="3"/>
      <c r="AF1893" s="3"/>
      <c r="AG1893" s="3"/>
      <c r="AH1893" s="3"/>
      <c r="AI1893" s="3"/>
      <c r="AJ1893" s="3"/>
      <c r="AK1893" s="3"/>
      <c r="AL1893" s="3"/>
    </row>
    <row r="1894" ht="15.75" customHeight="1">
      <c r="A1894" s="27">
        <f t="shared" si="21"/>
        <v>773</v>
      </c>
      <c r="B1894" s="28" t="s">
        <v>6434</v>
      </c>
      <c r="C1894" s="43" t="s">
        <v>6435</v>
      </c>
      <c r="D1894" s="30" t="s">
        <v>6436</v>
      </c>
      <c r="E1894" s="28" t="s">
        <v>165</v>
      </c>
      <c r="F1894" s="28" t="s">
        <v>29</v>
      </c>
      <c r="G1894" s="28" t="s">
        <v>37</v>
      </c>
      <c r="H1894" s="28"/>
      <c r="I1894" s="28" t="s">
        <v>38</v>
      </c>
      <c r="J1894" s="28">
        <v>317.0</v>
      </c>
      <c r="K1894" s="28"/>
      <c r="L1894" s="28" t="s">
        <v>6437</v>
      </c>
      <c r="M1894" s="28" t="s">
        <v>83</v>
      </c>
      <c r="N1894" s="28">
        <v>2019.0</v>
      </c>
      <c r="O1894" s="60">
        <v>15.0</v>
      </c>
      <c r="P1894" s="28">
        <v>1.0</v>
      </c>
      <c r="Q1894" s="94">
        <v>1.0</v>
      </c>
      <c r="R1894" s="33"/>
      <c r="S1894" s="34"/>
      <c r="T1894" s="34"/>
      <c r="U1894" s="34"/>
      <c r="V1894" s="34"/>
      <c r="W1894" s="34"/>
      <c r="X1894" s="34"/>
      <c r="Y1894" s="3"/>
      <c r="Z1894" s="3"/>
      <c r="AA1894" s="3"/>
      <c r="AB1894" s="3"/>
      <c r="AC1894" s="3"/>
      <c r="AD1894" s="3"/>
      <c r="AE1894" s="3"/>
      <c r="AF1894" s="3"/>
      <c r="AG1894" s="3"/>
      <c r="AH1894" s="3"/>
      <c r="AI1894" s="3"/>
      <c r="AJ1894" s="3"/>
      <c r="AK1894" s="3"/>
      <c r="AL1894" s="3"/>
    </row>
    <row r="1895" ht="15.75" customHeight="1">
      <c r="A1895" s="27">
        <f t="shared" si="21"/>
        <v>774</v>
      </c>
      <c r="B1895" s="83" t="s">
        <v>6438</v>
      </c>
      <c r="C1895" s="83" t="s">
        <v>6439</v>
      </c>
      <c r="D1895" s="118" t="s">
        <v>6440</v>
      </c>
      <c r="E1895" s="83" t="s">
        <v>2601</v>
      </c>
      <c r="F1895" s="83" t="s">
        <v>29</v>
      </c>
      <c r="G1895" s="83" t="s">
        <v>37</v>
      </c>
      <c r="H1895" s="83"/>
      <c r="I1895" s="83" t="s">
        <v>38</v>
      </c>
      <c r="J1895" s="83">
        <v>166.0</v>
      </c>
      <c r="K1895" s="83"/>
      <c r="L1895" s="83" t="s">
        <v>2949</v>
      </c>
      <c r="M1895" s="83" t="s">
        <v>2886</v>
      </c>
      <c r="N1895" s="83">
        <v>1982.0</v>
      </c>
      <c r="O1895" s="60">
        <v>15.0</v>
      </c>
      <c r="P1895" s="83">
        <v>1.0</v>
      </c>
      <c r="Q1895" s="83">
        <v>1.0</v>
      </c>
      <c r="R1895" s="84"/>
      <c r="S1895" s="34"/>
      <c r="T1895" s="34"/>
      <c r="U1895" s="34"/>
      <c r="V1895" s="34"/>
      <c r="W1895" s="34"/>
      <c r="X1895" s="34"/>
      <c r="Y1895" s="3"/>
      <c r="Z1895" s="3"/>
      <c r="AA1895" s="3"/>
      <c r="AB1895" s="3"/>
      <c r="AC1895" s="3"/>
      <c r="AD1895" s="3"/>
      <c r="AE1895" s="3"/>
      <c r="AF1895" s="3"/>
      <c r="AG1895" s="3"/>
      <c r="AH1895" s="3"/>
      <c r="AI1895" s="3"/>
      <c r="AJ1895" s="3"/>
      <c r="AK1895" s="3"/>
      <c r="AL1895" s="3"/>
    </row>
    <row r="1896" ht="15.75" customHeight="1">
      <c r="A1896" s="27">
        <f t="shared" si="21"/>
        <v>775</v>
      </c>
      <c r="B1896" s="28" t="s">
        <v>31</v>
      </c>
      <c r="C1896" s="43" t="s">
        <v>6441</v>
      </c>
      <c r="D1896" s="30" t="s">
        <v>6442</v>
      </c>
      <c r="E1896" s="28"/>
      <c r="F1896" s="28" t="s">
        <v>29</v>
      </c>
      <c r="G1896" s="28" t="s">
        <v>2417</v>
      </c>
      <c r="H1896" s="28" t="s">
        <v>31</v>
      </c>
      <c r="I1896" s="28" t="s">
        <v>38</v>
      </c>
      <c r="J1896" s="28">
        <v>126.0</v>
      </c>
      <c r="K1896" s="28"/>
      <c r="L1896" s="28" t="s">
        <v>6443</v>
      </c>
      <c r="M1896" s="28" t="s">
        <v>6444</v>
      </c>
      <c r="N1896" s="28">
        <v>1973.0</v>
      </c>
      <c r="O1896" s="60">
        <v>15.0</v>
      </c>
      <c r="P1896" s="28">
        <v>1.0</v>
      </c>
      <c r="Q1896" s="94">
        <v>1.0</v>
      </c>
      <c r="R1896" s="33"/>
      <c r="S1896" s="34"/>
      <c r="T1896" s="34"/>
      <c r="U1896" s="34"/>
      <c r="V1896" s="34"/>
      <c r="W1896" s="34"/>
      <c r="X1896" s="34"/>
      <c r="Y1896" s="3"/>
      <c r="Z1896" s="3"/>
      <c r="AA1896" s="3"/>
      <c r="AB1896" s="3"/>
      <c r="AC1896" s="3"/>
      <c r="AD1896" s="3"/>
      <c r="AE1896" s="3"/>
      <c r="AF1896" s="3"/>
      <c r="AG1896" s="3"/>
      <c r="AH1896" s="3"/>
      <c r="AI1896" s="3"/>
      <c r="AJ1896" s="3"/>
      <c r="AK1896" s="3"/>
      <c r="AL1896" s="3"/>
    </row>
    <row r="1897" ht="15.75" customHeight="1">
      <c r="A1897" s="27">
        <f t="shared" si="21"/>
        <v>776</v>
      </c>
      <c r="B1897" s="121" t="s">
        <v>6445</v>
      </c>
      <c r="C1897" s="121" t="s">
        <v>6446</v>
      </c>
      <c r="D1897" s="119" t="s">
        <v>6447</v>
      </c>
      <c r="E1897" s="83"/>
      <c r="F1897" s="121" t="s">
        <v>4823</v>
      </c>
      <c r="G1897" s="121" t="s">
        <v>6448</v>
      </c>
      <c r="H1897" s="83"/>
      <c r="I1897" s="121" t="s">
        <v>6448</v>
      </c>
      <c r="J1897" s="121">
        <v>62.0</v>
      </c>
      <c r="K1897" s="83"/>
      <c r="L1897" s="121" t="s">
        <v>6449</v>
      </c>
      <c r="M1897" s="121" t="s">
        <v>255</v>
      </c>
      <c r="N1897" s="121">
        <v>1990.0</v>
      </c>
      <c r="O1897" s="60">
        <v>15.0</v>
      </c>
      <c r="P1897" s="121">
        <v>1.0</v>
      </c>
      <c r="Q1897" s="121">
        <v>1.0</v>
      </c>
      <c r="R1897" s="84"/>
      <c r="S1897" s="34"/>
      <c r="T1897" s="34"/>
      <c r="U1897" s="34"/>
      <c r="V1897" s="34"/>
      <c r="W1897" s="34"/>
      <c r="X1897" s="34"/>
      <c r="Y1897" s="45"/>
      <c r="Z1897" s="45"/>
      <c r="AA1897" s="45"/>
      <c r="AB1897" s="45"/>
      <c r="AC1897" s="45"/>
      <c r="AD1897" s="45"/>
      <c r="AE1897" s="45"/>
      <c r="AF1897" s="45"/>
      <c r="AG1897" s="45"/>
      <c r="AH1897" s="45"/>
      <c r="AI1897" s="45"/>
      <c r="AJ1897" s="45"/>
      <c r="AK1897" s="45"/>
      <c r="AL1897" s="45"/>
    </row>
    <row r="1898" ht="15.75" customHeight="1">
      <c r="A1898" s="27">
        <f t="shared" si="21"/>
        <v>777</v>
      </c>
      <c r="B1898" s="28"/>
      <c r="C1898" s="43" t="s">
        <v>6450</v>
      </c>
      <c r="D1898" s="30" t="s">
        <v>6451</v>
      </c>
      <c r="E1898" s="28" t="s">
        <v>144</v>
      </c>
      <c r="F1898" s="28" t="s">
        <v>29</v>
      </c>
      <c r="G1898" s="28" t="s">
        <v>30</v>
      </c>
      <c r="H1898" s="28"/>
      <c r="I1898" s="28" t="s">
        <v>30</v>
      </c>
      <c r="J1898" s="28">
        <f>313+6</f>
        <v>319</v>
      </c>
      <c r="K1898" s="28"/>
      <c r="L1898" s="28" t="s">
        <v>3906</v>
      </c>
      <c r="M1898" s="28" t="s">
        <v>65</v>
      </c>
      <c r="N1898" s="28">
        <v>1983.0</v>
      </c>
      <c r="O1898" s="60">
        <v>15.0</v>
      </c>
      <c r="P1898" s="28">
        <v>1.0</v>
      </c>
      <c r="Q1898" s="94">
        <v>1.0</v>
      </c>
      <c r="R1898" s="33"/>
      <c r="S1898" s="34"/>
      <c r="T1898" s="34"/>
      <c r="U1898" s="34"/>
      <c r="V1898" s="34"/>
      <c r="W1898" s="34"/>
      <c r="X1898" s="34"/>
      <c r="Y1898" s="45"/>
      <c r="Z1898" s="45"/>
      <c r="AA1898" s="45"/>
      <c r="AB1898" s="45"/>
      <c r="AC1898" s="45"/>
      <c r="AD1898" s="45"/>
      <c r="AE1898" s="45"/>
      <c r="AF1898" s="45"/>
      <c r="AG1898" s="45"/>
      <c r="AH1898" s="45"/>
      <c r="AI1898" s="45"/>
      <c r="AJ1898" s="45"/>
      <c r="AK1898" s="45"/>
      <c r="AL1898" s="45"/>
    </row>
    <row r="1899" ht="15.75" customHeight="1">
      <c r="A1899" s="27">
        <f t="shared" si="21"/>
        <v>778</v>
      </c>
      <c r="B1899" s="83"/>
      <c r="C1899" s="83" t="s">
        <v>6452</v>
      </c>
      <c r="D1899" s="118" t="s">
        <v>6453</v>
      </c>
      <c r="E1899" s="83"/>
      <c r="F1899" s="83" t="s">
        <v>29</v>
      </c>
      <c r="G1899" s="83" t="s">
        <v>6454</v>
      </c>
      <c r="H1899" s="83"/>
      <c r="I1899" s="121" t="s">
        <v>6455</v>
      </c>
      <c r="J1899" s="83"/>
      <c r="K1899" s="83"/>
      <c r="L1899" s="83"/>
      <c r="M1899" s="83" t="s">
        <v>6456</v>
      </c>
      <c r="N1899" s="83"/>
      <c r="O1899" s="60">
        <v>15.0</v>
      </c>
      <c r="P1899" s="83">
        <v>1.0</v>
      </c>
      <c r="Q1899" s="83">
        <v>1.0</v>
      </c>
      <c r="R1899" s="84"/>
      <c r="S1899" s="34"/>
      <c r="T1899" s="34"/>
      <c r="U1899" s="34"/>
      <c r="V1899" s="34"/>
      <c r="W1899" s="34"/>
      <c r="X1899" s="34"/>
      <c r="Y1899" s="3"/>
      <c r="Z1899" s="3"/>
      <c r="AA1899" s="3"/>
      <c r="AB1899" s="3"/>
      <c r="AC1899" s="3"/>
      <c r="AD1899" s="3"/>
      <c r="AE1899" s="3"/>
      <c r="AF1899" s="3"/>
      <c r="AG1899" s="3"/>
      <c r="AH1899" s="3"/>
      <c r="AI1899" s="3"/>
      <c r="AJ1899" s="3"/>
      <c r="AK1899" s="3"/>
      <c r="AL1899" s="3"/>
    </row>
    <row r="1900" ht="15.75" customHeight="1">
      <c r="A1900" s="27">
        <f t="shared" si="21"/>
        <v>779</v>
      </c>
      <c r="B1900" s="28" t="s">
        <v>31</v>
      </c>
      <c r="C1900" s="43" t="s">
        <v>6457</v>
      </c>
      <c r="D1900" s="30" t="s">
        <v>6458</v>
      </c>
      <c r="E1900" s="28" t="s">
        <v>31</v>
      </c>
      <c r="F1900" s="28" t="s">
        <v>29</v>
      </c>
      <c r="G1900" s="28" t="s">
        <v>37</v>
      </c>
      <c r="H1900" s="28"/>
      <c r="I1900" s="28" t="s">
        <v>38</v>
      </c>
      <c r="J1900" s="28">
        <v>123.0</v>
      </c>
      <c r="K1900" s="28"/>
      <c r="L1900" s="28" t="s">
        <v>6459</v>
      </c>
      <c r="M1900" s="28" t="s">
        <v>6460</v>
      </c>
      <c r="N1900" s="28">
        <v>1962.0</v>
      </c>
      <c r="O1900" s="60">
        <v>15.0</v>
      </c>
      <c r="P1900" s="28">
        <v>1.0</v>
      </c>
      <c r="Q1900" s="94">
        <v>1.0</v>
      </c>
      <c r="R1900" s="33"/>
      <c r="S1900" s="34"/>
      <c r="T1900" s="34"/>
      <c r="U1900" s="34"/>
      <c r="V1900" s="34"/>
      <c r="W1900" s="34"/>
      <c r="X1900" s="34"/>
      <c r="Y1900" s="45"/>
      <c r="Z1900" s="45"/>
      <c r="AA1900" s="45"/>
      <c r="AB1900" s="45"/>
      <c r="AC1900" s="45"/>
      <c r="AD1900" s="45"/>
      <c r="AE1900" s="45"/>
      <c r="AF1900" s="45"/>
      <c r="AG1900" s="45"/>
      <c r="AH1900" s="45"/>
      <c r="AI1900" s="45"/>
      <c r="AJ1900" s="45"/>
      <c r="AK1900" s="45"/>
      <c r="AL1900" s="45"/>
    </row>
    <row r="1901" ht="15.75" customHeight="1">
      <c r="A1901" s="27">
        <f t="shared" si="21"/>
        <v>780</v>
      </c>
      <c r="B1901" s="28"/>
      <c r="C1901" s="43" t="s">
        <v>6461</v>
      </c>
      <c r="D1901" s="30" t="s">
        <v>6462</v>
      </c>
      <c r="E1901" s="28" t="s">
        <v>31</v>
      </c>
      <c r="F1901" s="28" t="s">
        <v>29</v>
      </c>
      <c r="G1901" s="28" t="s">
        <v>131</v>
      </c>
      <c r="H1901" s="28"/>
      <c r="I1901" s="28" t="s">
        <v>38</v>
      </c>
      <c r="J1901" s="28">
        <v>537.0</v>
      </c>
      <c r="K1901" s="28"/>
      <c r="L1901" s="28" t="s">
        <v>6399</v>
      </c>
      <c r="M1901" s="28" t="s">
        <v>133</v>
      </c>
      <c r="N1901" s="28">
        <v>1970.0</v>
      </c>
      <c r="O1901" s="60">
        <v>15.0</v>
      </c>
      <c r="P1901" s="28">
        <v>1.0</v>
      </c>
      <c r="Q1901" s="94">
        <v>1.0</v>
      </c>
      <c r="R1901" s="33"/>
      <c r="S1901" s="116"/>
      <c r="T1901" s="116"/>
      <c r="U1901" s="116"/>
      <c r="V1901" s="116"/>
      <c r="W1901" s="116"/>
      <c r="X1901" s="116"/>
      <c r="Y1901" s="45"/>
      <c r="Z1901" s="45"/>
      <c r="AA1901" s="45"/>
      <c r="AB1901" s="45"/>
      <c r="AC1901" s="45"/>
      <c r="AD1901" s="45"/>
      <c r="AE1901" s="45"/>
      <c r="AF1901" s="45"/>
      <c r="AG1901" s="45"/>
      <c r="AH1901" s="45"/>
      <c r="AI1901" s="45"/>
      <c r="AJ1901" s="45"/>
      <c r="AK1901" s="45"/>
      <c r="AL1901" s="45"/>
    </row>
    <row r="1902" ht="15.75" customHeight="1">
      <c r="A1902" s="27">
        <f t="shared" si="21"/>
        <v>781</v>
      </c>
      <c r="B1902" s="28" t="s">
        <v>31</v>
      </c>
      <c r="C1902" s="43" t="s">
        <v>6461</v>
      </c>
      <c r="D1902" s="30" t="s">
        <v>6463</v>
      </c>
      <c r="E1902" s="28" t="s">
        <v>31</v>
      </c>
      <c r="F1902" s="28" t="s">
        <v>29</v>
      </c>
      <c r="G1902" s="28" t="s">
        <v>131</v>
      </c>
      <c r="H1902" s="28"/>
      <c r="I1902" s="28" t="s">
        <v>38</v>
      </c>
      <c r="J1902" s="28">
        <v>979.0</v>
      </c>
      <c r="K1902" s="28"/>
      <c r="L1902" s="28" t="s">
        <v>6399</v>
      </c>
      <c r="M1902" s="28" t="s">
        <v>133</v>
      </c>
      <c r="N1902" s="28">
        <v>1967.0</v>
      </c>
      <c r="O1902" s="60">
        <v>15.0</v>
      </c>
      <c r="P1902" s="28">
        <v>1.0</v>
      </c>
      <c r="Q1902" s="94">
        <v>1.0</v>
      </c>
      <c r="R1902" s="33"/>
      <c r="S1902" s="34"/>
      <c r="T1902" s="34"/>
      <c r="U1902" s="34"/>
      <c r="V1902" s="34"/>
      <c r="W1902" s="34"/>
      <c r="X1902" s="34"/>
      <c r="Y1902" s="45"/>
      <c r="Z1902" s="45"/>
      <c r="AA1902" s="45"/>
      <c r="AB1902" s="45"/>
      <c r="AC1902" s="45"/>
      <c r="AD1902" s="45"/>
      <c r="AE1902" s="45"/>
      <c r="AF1902" s="45"/>
      <c r="AG1902" s="45"/>
      <c r="AH1902" s="45"/>
      <c r="AI1902" s="45"/>
      <c r="AJ1902" s="45"/>
      <c r="AK1902" s="45"/>
      <c r="AL1902" s="45"/>
    </row>
    <row r="1903" ht="15.75" customHeight="1">
      <c r="A1903" s="27">
        <f t="shared" si="21"/>
        <v>782</v>
      </c>
      <c r="B1903" s="28" t="s">
        <v>6464</v>
      </c>
      <c r="C1903" s="43" t="s">
        <v>6465</v>
      </c>
      <c r="D1903" s="30" t="s">
        <v>6466</v>
      </c>
      <c r="E1903" s="28" t="s">
        <v>31</v>
      </c>
      <c r="F1903" s="28" t="s">
        <v>29</v>
      </c>
      <c r="G1903" s="28" t="s">
        <v>37</v>
      </c>
      <c r="H1903" s="28"/>
      <c r="I1903" s="28" t="s">
        <v>38</v>
      </c>
      <c r="J1903" s="28">
        <v>499.0</v>
      </c>
      <c r="K1903" s="28"/>
      <c r="L1903" s="28" t="s">
        <v>6467</v>
      </c>
      <c r="M1903" s="28" t="s">
        <v>6468</v>
      </c>
      <c r="N1903" s="28">
        <v>2007.0</v>
      </c>
      <c r="O1903" s="60">
        <v>15.0</v>
      </c>
      <c r="P1903" s="28">
        <v>1.0</v>
      </c>
      <c r="Q1903" s="94">
        <v>1.0</v>
      </c>
      <c r="R1903" s="33"/>
      <c r="S1903" s="34"/>
      <c r="T1903" s="34"/>
      <c r="U1903" s="34"/>
      <c r="V1903" s="34"/>
      <c r="W1903" s="34"/>
      <c r="X1903" s="34"/>
      <c r="Y1903" s="45"/>
      <c r="Z1903" s="45"/>
      <c r="AA1903" s="45"/>
      <c r="AB1903" s="45"/>
      <c r="AC1903" s="45"/>
      <c r="AD1903" s="45"/>
      <c r="AE1903" s="45"/>
      <c r="AF1903" s="45"/>
      <c r="AG1903" s="45"/>
      <c r="AH1903" s="45"/>
      <c r="AI1903" s="45"/>
      <c r="AJ1903" s="45"/>
      <c r="AK1903" s="45"/>
      <c r="AL1903" s="45"/>
    </row>
    <row r="1904" ht="15.75" customHeight="1">
      <c r="A1904" s="27">
        <f t="shared" si="21"/>
        <v>783</v>
      </c>
      <c r="B1904" s="28" t="s">
        <v>31</v>
      </c>
      <c r="C1904" s="43" t="s">
        <v>6469</v>
      </c>
      <c r="D1904" s="30" t="s">
        <v>6470</v>
      </c>
      <c r="E1904" s="28" t="s">
        <v>31</v>
      </c>
      <c r="F1904" s="28" t="s">
        <v>29</v>
      </c>
      <c r="G1904" s="28" t="s">
        <v>131</v>
      </c>
      <c r="H1904" s="28"/>
      <c r="I1904" s="28" t="s">
        <v>38</v>
      </c>
      <c r="J1904" s="28">
        <v>331.0</v>
      </c>
      <c r="K1904" s="28"/>
      <c r="L1904" s="28" t="s">
        <v>2387</v>
      </c>
      <c r="M1904" s="28" t="s">
        <v>3465</v>
      </c>
      <c r="N1904" s="28">
        <v>1964.0</v>
      </c>
      <c r="O1904" s="60">
        <v>15.0</v>
      </c>
      <c r="P1904" s="28">
        <v>2.0</v>
      </c>
      <c r="Q1904" s="94" t="s">
        <v>6471</v>
      </c>
      <c r="R1904" s="33"/>
      <c r="S1904" s="34"/>
      <c r="T1904" s="34"/>
      <c r="U1904" s="34"/>
      <c r="V1904" s="34"/>
      <c r="W1904" s="34"/>
      <c r="X1904" s="34"/>
      <c r="Y1904" s="45"/>
      <c r="Z1904" s="45"/>
      <c r="AA1904" s="45"/>
      <c r="AB1904" s="45"/>
      <c r="AC1904" s="45"/>
      <c r="AD1904" s="45"/>
      <c r="AE1904" s="45"/>
      <c r="AF1904" s="45"/>
      <c r="AG1904" s="45"/>
      <c r="AH1904" s="45"/>
      <c r="AI1904" s="45"/>
      <c r="AJ1904" s="45"/>
      <c r="AK1904" s="45"/>
      <c r="AL1904" s="45"/>
    </row>
    <row r="1905" ht="15.75" customHeight="1">
      <c r="A1905" s="27">
        <f t="shared" si="21"/>
        <v>784</v>
      </c>
      <c r="B1905" s="28" t="s">
        <v>6472</v>
      </c>
      <c r="C1905" s="43" t="s">
        <v>6473</v>
      </c>
      <c r="D1905" s="30" t="s">
        <v>6474</v>
      </c>
      <c r="E1905" s="28" t="s">
        <v>31</v>
      </c>
      <c r="F1905" s="28" t="s">
        <v>29</v>
      </c>
      <c r="G1905" s="28" t="s">
        <v>98</v>
      </c>
      <c r="H1905" s="28"/>
      <c r="I1905" s="28" t="s">
        <v>38</v>
      </c>
      <c r="J1905" s="28">
        <v>169.0</v>
      </c>
      <c r="K1905" s="28"/>
      <c r="L1905" s="28" t="s">
        <v>6475</v>
      </c>
      <c r="M1905" s="28" t="s">
        <v>6476</v>
      </c>
      <c r="N1905" s="28">
        <v>1976.0</v>
      </c>
      <c r="O1905" s="60">
        <v>15.0</v>
      </c>
      <c r="P1905" s="28">
        <v>1.0</v>
      </c>
      <c r="Q1905" s="94">
        <v>1.0</v>
      </c>
      <c r="R1905" s="33"/>
      <c r="S1905" s="34"/>
      <c r="T1905" s="34"/>
      <c r="U1905" s="34"/>
      <c r="V1905" s="34"/>
      <c r="W1905" s="34"/>
      <c r="X1905" s="34"/>
      <c r="Y1905" s="45"/>
      <c r="Z1905" s="45"/>
      <c r="AA1905" s="45"/>
      <c r="AB1905" s="45"/>
      <c r="AC1905" s="45"/>
      <c r="AD1905" s="45"/>
      <c r="AE1905" s="45"/>
      <c r="AF1905" s="45"/>
      <c r="AG1905" s="45"/>
      <c r="AH1905" s="45"/>
      <c r="AI1905" s="45"/>
      <c r="AJ1905" s="45"/>
      <c r="AK1905" s="45"/>
      <c r="AL1905" s="45"/>
    </row>
    <row r="1906" ht="15.75" customHeight="1">
      <c r="A1906" s="27">
        <f t="shared" si="21"/>
        <v>785</v>
      </c>
      <c r="B1906" s="28"/>
      <c r="C1906" s="43" t="s">
        <v>6477</v>
      </c>
      <c r="D1906" s="30" t="s">
        <v>6478</v>
      </c>
      <c r="E1906" s="28" t="s">
        <v>144</v>
      </c>
      <c r="F1906" s="28" t="s">
        <v>29</v>
      </c>
      <c r="G1906" s="28" t="s">
        <v>30</v>
      </c>
      <c r="H1906" s="28" t="s">
        <v>31</v>
      </c>
      <c r="I1906" s="28" t="s">
        <v>30</v>
      </c>
      <c r="J1906" s="28">
        <f>47</f>
        <v>47</v>
      </c>
      <c r="K1906" s="28"/>
      <c r="L1906" s="28" t="s">
        <v>6479</v>
      </c>
      <c r="M1906" s="28" t="s">
        <v>6480</v>
      </c>
      <c r="N1906" s="28">
        <v>1986.0</v>
      </c>
      <c r="O1906" s="60">
        <v>15.0</v>
      </c>
      <c r="P1906" s="28">
        <v>1.0</v>
      </c>
      <c r="Q1906" s="94">
        <v>1.0</v>
      </c>
      <c r="R1906" s="33"/>
      <c r="S1906" s="185"/>
      <c r="T1906" s="185"/>
      <c r="U1906" s="185"/>
      <c r="V1906" s="185"/>
      <c r="W1906" s="185"/>
      <c r="X1906" s="185"/>
      <c r="Y1906" s="45"/>
      <c r="Z1906" s="45"/>
      <c r="AA1906" s="45"/>
      <c r="AB1906" s="45"/>
      <c r="AC1906" s="45"/>
      <c r="AD1906" s="45"/>
      <c r="AE1906" s="45"/>
      <c r="AF1906" s="45"/>
      <c r="AG1906" s="45"/>
      <c r="AH1906" s="45"/>
      <c r="AI1906" s="45"/>
      <c r="AJ1906" s="45"/>
      <c r="AK1906" s="45"/>
      <c r="AL1906" s="45"/>
    </row>
    <row r="1907" ht="15.75" customHeight="1">
      <c r="A1907" s="27">
        <f t="shared" si="21"/>
        <v>786</v>
      </c>
      <c r="B1907" s="28"/>
      <c r="C1907" s="43" t="s">
        <v>6481</v>
      </c>
      <c r="D1907" s="30" t="s">
        <v>6482</v>
      </c>
      <c r="E1907" s="28"/>
      <c r="F1907" s="28" t="s">
        <v>29</v>
      </c>
      <c r="G1907" s="28" t="s">
        <v>30</v>
      </c>
      <c r="H1907" s="28" t="s">
        <v>31</v>
      </c>
      <c r="I1907" s="28" t="s">
        <v>30</v>
      </c>
      <c r="J1907" s="28">
        <v>34.0</v>
      </c>
      <c r="K1907" s="28"/>
      <c r="L1907" s="28" t="s">
        <v>6483</v>
      </c>
      <c r="M1907" s="28" t="s">
        <v>6484</v>
      </c>
      <c r="N1907" s="28">
        <v>1993.0</v>
      </c>
      <c r="O1907" s="60">
        <v>15.0</v>
      </c>
      <c r="P1907" s="28">
        <v>1.0</v>
      </c>
      <c r="Q1907" s="94">
        <v>1.0</v>
      </c>
      <c r="R1907" s="33"/>
      <c r="S1907" s="34"/>
      <c r="T1907" s="34"/>
      <c r="U1907" s="34"/>
      <c r="V1907" s="34"/>
      <c r="W1907" s="34"/>
      <c r="X1907" s="34"/>
      <c r="Y1907" s="45"/>
      <c r="Z1907" s="45"/>
      <c r="AA1907" s="45"/>
      <c r="AB1907" s="45"/>
      <c r="AC1907" s="45"/>
      <c r="AD1907" s="45"/>
      <c r="AE1907" s="45"/>
      <c r="AF1907" s="45"/>
      <c r="AG1907" s="45"/>
      <c r="AH1907" s="45"/>
      <c r="AI1907" s="45"/>
      <c r="AJ1907" s="45"/>
      <c r="AK1907" s="45"/>
      <c r="AL1907" s="45"/>
    </row>
    <row r="1908" ht="15.75" customHeight="1">
      <c r="A1908" s="27">
        <f t="shared" si="21"/>
        <v>787</v>
      </c>
      <c r="B1908" s="132" t="s">
        <v>6485</v>
      </c>
      <c r="C1908" s="132" t="s">
        <v>6486</v>
      </c>
      <c r="D1908" s="131" t="s">
        <v>6487</v>
      </c>
      <c r="E1908" s="33"/>
      <c r="F1908" s="132" t="s">
        <v>29</v>
      </c>
      <c r="G1908" s="132" t="s">
        <v>30</v>
      </c>
      <c r="H1908" s="33"/>
      <c r="I1908" s="132" t="s">
        <v>30</v>
      </c>
      <c r="J1908" s="132">
        <v>194.0</v>
      </c>
      <c r="K1908" s="33"/>
      <c r="L1908" s="132" t="s">
        <v>6488</v>
      </c>
      <c r="M1908" s="132" t="s">
        <v>6489</v>
      </c>
      <c r="N1908" s="132">
        <v>2015.0</v>
      </c>
      <c r="O1908" s="132">
        <v>15.0</v>
      </c>
      <c r="P1908" s="132">
        <v>1.0</v>
      </c>
      <c r="Q1908" s="132">
        <v>1.0</v>
      </c>
      <c r="R1908" s="84"/>
      <c r="S1908" s="34"/>
      <c r="T1908" s="34"/>
      <c r="U1908" s="34"/>
      <c r="V1908" s="34"/>
      <c r="W1908" s="34"/>
      <c r="X1908" s="34"/>
      <c r="Y1908" s="45"/>
      <c r="Z1908" s="45"/>
      <c r="AA1908" s="45"/>
      <c r="AB1908" s="45"/>
      <c r="AC1908" s="45"/>
      <c r="AD1908" s="45"/>
      <c r="AE1908" s="45"/>
      <c r="AF1908" s="45"/>
      <c r="AG1908" s="45"/>
      <c r="AH1908" s="45"/>
      <c r="AI1908" s="45"/>
      <c r="AJ1908" s="45"/>
      <c r="AK1908" s="45"/>
      <c r="AL1908" s="45"/>
    </row>
    <row r="1909" ht="15.75" customHeight="1">
      <c r="A1909" s="27">
        <f t="shared" si="21"/>
        <v>788</v>
      </c>
      <c r="B1909" s="28" t="s">
        <v>31</v>
      </c>
      <c r="C1909" s="43" t="s">
        <v>6490</v>
      </c>
      <c r="D1909" s="30" t="s">
        <v>6491</v>
      </c>
      <c r="E1909" s="28" t="s">
        <v>31</v>
      </c>
      <c r="F1909" s="28" t="s">
        <v>29</v>
      </c>
      <c r="G1909" s="28" t="s">
        <v>37</v>
      </c>
      <c r="H1909" s="28"/>
      <c r="I1909" s="28" t="s">
        <v>38</v>
      </c>
      <c r="J1909" s="28">
        <v>426.0</v>
      </c>
      <c r="K1909" s="28"/>
      <c r="L1909" s="28" t="s">
        <v>6492</v>
      </c>
      <c r="M1909" s="28" t="s">
        <v>6205</v>
      </c>
      <c r="N1909" s="28">
        <v>1972.0</v>
      </c>
      <c r="O1909" s="60">
        <v>15.0</v>
      </c>
      <c r="P1909" s="28">
        <v>1.0</v>
      </c>
      <c r="Q1909" s="94">
        <v>1.0</v>
      </c>
      <c r="R1909" s="33"/>
      <c r="S1909" s="34"/>
      <c r="T1909" s="34"/>
      <c r="U1909" s="34"/>
      <c r="V1909" s="34"/>
      <c r="W1909" s="34"/>
      <c r="X1909" s="34"/>
      <c r="Y1909" s="3"/>
      <c r="Z1909" s="3"/>
      <c r="AA1909" s="3"/>
      <c r="AB1909" s="3"/>
      <c r="AC1909" s="3"/>
      <c r="AD1909" s="3"/>
      <c r="AE1909" s="3"/>
      <c r="AF1909" s="3"/>
      <c r="AG1909" s="3"/>
      <c r="AH1909" s="3"/>
      <c r="AI1909" s="3"/>
      <c r="AJ1909" s="3"/>
      <c r="AK1909" s="3"/>
      <c r="AL1909" s="3"/>
    </row>
    <row r="1910" ht="15.75" customHeight="1">
      <c r="A1910" s="27">
        <f t="shared" si="21"/>
        <v>789</v>
      </c>
      <c r="B1910" s="60" t="s">
        <v>6493</v>
      </c>
      <c r="C1910" s="102" t="s">
        <v>6494</v>
      </c>
      <c r="D1910" s="120" t="s">
        <v>6495</v>
      </c>
      <c r="E1910" s="60" t="s">
        <v>31</v>
      </c>
      <c r="F1910" s="60" t="s">
        <v>29</v>
      </c>
      <c r="G1910" s="60" t="s">
        <v>30</v>
      </c>
      <c r="H1910" s="60"/>
      <c r="I1910" s="60" t="s">
        <v>30</v>
      </c>
      <c r="J1910" s="60">
        <v>55.0</v>
      </c>
      <c r="K1910" s="60"/>
      <c r="L1910" s="60" t="s">
        <v>3453</v>
      </c>
      <c r="M1910" s="60" t="s">
        <v>151</v>
      </c>
      <c r="N1910" s="60">
        <v>1999.0</v>
      </c>
      <c r="O1910" s="60">
        <v>15.0</v>
      </c>
      <c r="P1910" s="60">
        <v>1.0</v>
      </c>
      <c r="Q1910" s="94">
        <v>1.0</v>
      </c>
      <c r="R1910" s="136"/>
      <c r="S1910" s="34"/>
      <c r="T1910" s="34"/>
      <c r="U1910" s="34"/>
      <c r="V1910" s="34"/>
      <c r="W1910" s="34"/>
      <c r="X1910" s="34"/>
      <c r="Y1910" s="45"/>
      <c r="Z1910" s="45"/>
      <c r="AA1910" s="45"/>
      <c r="AB1910" s="45"/>
      <c r="AC1910" s="45"/>
      <c r="AD1910" s="45"/>
      <c r="AE1910" s="45"/>
      <c r="AF1910" s="45"/>
      <c r="AG1910" s="45"/>
      <c r="AH1910" s="45"/>
      <c r="AI1910" s="45"/>
      <c r="AJ1910" s="45"/>
      <c r="AK1910" s="45"/>
      <c r="AL1910" s="45"/>
    </row>
    <row r="1911" ht="15.75" customHeight="1">
      <c r="A1911" s="27">
        <f t="shared" si="21"/>
        <v>790</v>
      </c>
      <c r="B1911" s="132" t="s">
        <v>6496</v>
      </c>
      <c r="C1911" s="132" t="s">
        <v>6497</v>
      </c>
      <c r="D1911" s="131" t="s">
        <v>6498</v>
      </c>
      <c r="E1911" s="33"/>
      <c r="F1911" s="132" t="s">
        <v>29</v>
      </c>
      <c r="G1911" s="132" t="s">
        <v>30</v>
      </c>
      <c r="H1911" s="33"/>
      <c r="I1911" s="132" t="s">
        <v>30</v>
      </c>
      <c r="J1911" s="132">
        <v>114.0</v>
      </c>
      <c r="K1911" s="33"/>
      <c r="L1911" s="132" t="s">
        <v>6488</v>
      </c>
      <c r="M1911" s="132" t="s">
        <v>6499</v>
      </c>
      <c r="N1911" s="132">
        <v>2014.0</v>
      </c>
      <c r="O1911" s="132">
        <v>15.0</v>
      </c>
      <c r="P1911" s="132">
        <v>1.0</v>
      </c>
      <c r="Q1911" s="132">
        <v>1.0</v>
      </c>
      <c r="R1911" s="84"/>
      <c r="S1911" s="185"/>
      <c r="T1911" s="185"/>
      <c r="U1911" s="185"/>
      <c r="V1911" s="185"/>
      <c r="W1911" s="185"/>
      <c r="X1911" s="185"/>
      <c r="Y1911" s="45"/>
      <c r="Z1911" s="45"/>
      <c r="AA1911" s="45"/>
      <c r="AB1911" s="45"/>
      <c r="AC1911" s="45"/>
      <c r="AD1911" s="45"/>
      <c r="AE1911" s="45"/>
      <c r="AF1911" s="45"/>
      <c r="AG1911" s="45"/>
      <c r="AH1911" s="45"/>
      <c r="AI1911" s="45"/>
      <c r="AJ1911" s="45"/>
      <c r="AK1911" s="45"/>
      <c r="AL1911" s="45"/>
    </row>
    <row r="1912" ht="15.75" customHeight="1">
      <c r="A1912" s="27">
        <f t="shared" si="21"/>
        <v>791</v>
      </c>
      <c r="B1912" s="28"/>
      <c r="C1912" s="43" t="s">
        <v>6500</v>
      </c>
      <c r="D1912" s="30" t="s">
        <v>6501</v>
      </c>
      <c r="E1912" s="28"/>
      <c r="F1912" s="28" t="s">
        <v>29</v>
      </c>
      <c r="G1912" s="28" t="s">
        <v>30</v>
      </c>
      <c r="H1912" s="28"/>
      <c r="I1912" s="28" t="s">
        <v>30</v>
      </c>
      <c r="J1912" s="28">
        <v>146.0</v>
      </c>
      <c r="K1912" s="28"/>
      <c r="L1912" s="28" t="s">
        <v>6502</v>
      </c>
      <c r="M1912" s="28" t="s">
        <v>6502</v>
      </c>
      <c r="N1912" s="28">
        <v>1988.0</v>
      </c>
      <c r="O1912" s="60">
        <v>15.0</v>
      </c>
      <c r="P1912" s="28">
        <v>1.0</v>
      </c>
      <c r="Q1912" s="32">
        <v>1.0</v>
      </c>
      <c r="R1912" s="33"/>
      <c r="S1912" s="34"/>
      <c r="T1912" s="34"/>
      <c r="U1912" s="34"/>
      <c r="V1912" s="34"/>
      <c r="W1912" s="34"/>
      <c r="X1912" s="34"/>
      <c r="Y1912" s="45"/>
      <c r="Z1912" s="45"/>
      <c r="AA1912" s="45"/>
      <c r="AB1912" s="45"/>
      <c r="AC1912" s="45"/>
      <c r="AD1912" s="45"/>
      <c r="AE1912" s="45"/>
      <c r="AF1912" s="45"/>
      <c r="AG1912" s="45"/>
      <c r="AH1912" s="45"/>
      <c r="AI1912" s="45"/>
      <c r="AJ1912" s="45"/>
      <c r="AK1912" s="45"/>
      <c r="AL1912" s="45"/>
    </row>
    <row r="1913" ht="15.75" customHeight="1">
      <c r="A1913" s="27">
        <f t="shared" si="21"/>
        <v>792</v>
      </c>
      <c r="B1913" s="83"/>
      <c r="C1913" s="121" t="s">
        <v>6503</v>
      </c>
      <c r="D1913" s="119" t="s">
        <v>6504</v>
      </c>
      <c r="E1913" s="83"/>
      <c r="F1913" s="121" t="s">
        <v>29</v>
      </c>
      <c r="G1913" s="121" t="s">
        <v>6505</v>
      </c>
      <c r="H1913" s="83"/>
      <c r="I1913" s="121" t="s">
        <v>38</v>
      </c>
      <c r="J1913" s="121">
        <v>41.0</v>
      </c>
      <c r="K1913" s="83"/>
      <c r="L1913" s="121" t="s">
        <v>6506</v>
      </c>
      <c r="M1913" s="121" t="s">
        <v>6507</v>
      </c>
      <c r="N1913" s="121">
        <v>1981.0</v>
      </c>
      <c r="O1913" s="121">
        <v>15.0</v>
      </c>
      <c r="P1913" s="121">
        <v>1.0</v>
      </c>
      <c r="Q1913" s="121">
        <v>1.0</v>
      </c>
      <c r="R1913" s="84"/>
      <c r="S1913" s="34"/>
      <c r="T1913" s="34"/>
      <c r="U1913" s="34"/>
      <c r="V1913" s="34"/>
      <c r="W1913" s="34"/>
      <c r="X1913" s="34"/>
      <c r="Y1913" s="3"/>
      <c r="Z1913" s="3"/>
      <c r="AA1913" s="3"/>
      <c r="AB1913" s="3"/>
      <c r="AC1913" s="3"/>
      <c r="AD1913" s="3"/>
      <c r="AE1913" s="3"/>
      <c r="AF1913" s="3"/>
      <c r="AG1913" s="3"/>
      <c r="AH1913" s="3"/>
      <c r="AI1913" s="3"/>
      <c r="AJ1913" s="3"/>
      <c r="AK1913" s="3"/>
      <c r="AL1913" s="3"/>
    </row>
    <row r="1914" ht="15.75" customHeight="1">
      <c r="A1914" s="27">
        <f t="shared" si="21"/>
        <v>793</v>
      </c>
      <c r="B1914" s="33"/>
      <c r="C1914" s="132" t="s">
        <v>6508</v>
      </c>
      <c r="D1914" s="131" t="s">
        <v>6509</v>
      </c>
      <c r="E1914" s="33"/>
      <c r="F1914" s="132" t="s">
        <v>29</v>
      </c>
      <c r="G1914" s="132" t="s">
        <v>30</v>
      </c>
      <c r="H1914" s="33"/>
      <c r="I1914" s="132" t="s">
        <v>30</v>
      </c>
      <c r="J1914" s="132">
        <v>160.0</v>
      </c>
      <c r="K1914" s="33"/>
      <c r="L1914" s="132" t="s">
        <v>6510</v>
      </c>
      <c r="M1914" s="132" t="s">
        <v>2494</v>
      </c>
      <c r="N1914" s="132">
        <v>1988.0</v>
      </c>
      <c r="O1914" s="132">
        <v>15.0</v>
      </c>
      <c r="P1914" s="132">
        <v>1.0</v>
      </c>
      <c r="Q1914" s="132">
        <v>1.0</v>
      </c>
      <c r="R1914" s="84"/>
      <c r="S1914" s="34"/>
      <c r="T1914" s="34"/>
      <c r="U1914" s="34"/>
      <c r="V1914" s="34"/>
      <c r="W1914" s="34"/>
      <c r="X1914" s="34"/>
      <c r="Y1914" s="45"/>
      <c r="Z1914" s="45"/>
      <c r="AA1914" s="45"/>
      <c r="AB1914" s="45"/>
      <c r="AC1914" s="45"/>
      <c r="AD1914" s="45"/>
      <c r="AE1914" s="45"/>
      <c r="AF1914" s="45"/>
      <c r="AG1914" s="45"/>
      <c r="AH1914" s="45"/>
      <c r="AI1914" s="45"/>
      <c r="AJ1914" s="45"/>
      <c r="AK1914" s="45"/>
      <c r="AL1914" s="45"/>
    </row>
    <row r="1915" ht="15.75" customHeight="1">
      <c r="A1915" s="27">
        <f t="shared" si="21"/>
        <v>794</v>
      </c>
      <c r="B1915" s="28" t="s">
        <v>2464</v>
      </c>
      <c r="C1915" s="43" t="s">
        <v>6511</v>
      </c>
      <c r="D1915" s="30" t="s">
        <v>6512</v>
      </c>
      <c r="E1915" s="28" t="s">
        <v>31</v>
      </c>
      <c r="F1915" s="28" t="s">
        <v>29</v>
      </c>
      <c r="G1915" s="28" t="s">
        <v>30</v>
      </c>
      <c r="H1915" s="28"/>
      <c r="I1915" s="28" t="s">
        <v>30</v>
      </c>
      <c r="J1915" s="28">
        <v>65.0</v>
      </c>
      <c r="K1915" s="28"/>
      <c r="L1915" s="28" t="s">
        <v>6513</v>
      </c>
      <c r="M1915" s="28" t="s">
        <v>151</v>
      </c>
      <c r="N1915" s="28">
        <v>1988.0</v>
      </c>
      <c r="O1915" s="60">
        <v>15.0</v>
      </c>
      <c r="P1915" s="28">
        <v>1.0</v>
      </c>
      <c r="Q1915" s="32">
        <v>1.0</v>
      </c>
      <c r="R1915" s="33"/>
      <c r="S1915" s="34"/>
      <c r="T1915" s="34"/>
      <c r="U1915" s="34"/>
      <c r="V1915" s="34"/>
      <c r="W1915" s="34"/>
      <c r="X1915" s="34"/>
      <c r="Y1915" s="3"/>
      <c r="Z1915" s="3"/>
      <c r="AA1915" s="3"/>
      <c r="AB1915" s="3"/>
      <c r="AC1915" s="3"/>
      <c r="AD1915" s="3"/>
      <c r="AE1915" s="3"/>
      <c r="AF1915" s="3"/>
      <c r="AG1915" s="3"/>
      <c r="AH1915" s="3"/>
      <c r="AI1915" s="3"/>
      <c r="AJ1915" s="3"/>
      <c r="AK1915" s="3"/>
      <c r="AL1915" s="3"/>
    </row>
    <row r="1916" ht="15.75" customHeight="1">
      <c r="A1916" s="27">
        <f t="shared" si="21"/>
        <v>795</v>
      </c>
      <c r="B1916" s="121" t="s">
        <v>6514</v>
      </c>
      <c r="C1916" s="121" t="s">
        <v>6515</v>
      </c>
      <c r="D1916" s="119" t="s">
        <v>6516</v>
      </c>
      <c r="E1916" s="83"/>
      <c r="F1916" s="121" t="s">
        <v>6517</v>
      </c>
      <c r="G1916" s="121" t="s">
        <v>30</v>
      </c>
      <c r="H1916" s="83"/>
      <c r="I1916" s="121" t="s">
        <v>30</v>
      </c>
      <c r="J1916" s="121">
        <v>286.0</v>
      </c>
      <c r="K1916" s="83"/>
      <c r="L1916" s="121" t="s">
        <v>6518</v>
      </c>
      <c r="M1916" s="121" t="s">
        <v>6519</v>
      </c>
      <c r="N1916" s="121">
        <v>2004.0</v>
      </c>
      <c r="O1916" s="121">
        <v>15.0</v>
      </c>
      <c r="P1916" s="121">
        <v>1.0</v>
      </c>
      <c r="Q1916" s="121">
        <v>1.0</v>
      </c>
      <c r="R1916" s="84"/>
      <c r="S1916" s="116"/>
      <c r="T1916" s="116"/>
      <c r="U1916" s="116"/>
      <c r="V1916" s="116"/>
      <c r="W1916" s="116"/>
      <c r="X1916" s="116"/>
      <c r="Y1916" s="3"/>
      <c r="Z1916" s="3"/>
      <c r="AA1916" s="3"/>
      <c r="AB1916" s="3"/>
      <c r="AC1916" s="3"/>
      <c r="AD1916" s="3"/>
      <c r="AE1916" s="3"/>
      <c r="AF1916" s="3"/>
      <c r="AG1916" s="3"/>
      <c r="AH1916" s="3"/>
      <c r="AI1916" s="3"/>
      <c r="AJ1916" s="3"/>
      <c r="AK1916" s="3"/>
      <c r="AL1916" s="3"/>
    </row>
    <row r="1917" ht="15.75" customHeight="1">
      <c r="A1917" s="27">
        <f t="shared" si="21"/>
        <v>796</v>
      </c>
      <c r="B1917" s="83"/>
      <c r="C1917" s="121" t="s">
        <v>6520</v>
      </c>
      <c r="D1917" s="119" t="s">
        <v>6521</v>
      </c>
      <c r="E1917" s="83"/>
      <c r="F1917" s="121" t="s">
        <v>29</v>
      </c>
      <c r="G1917" s="121" t="s">
        <v>159</v>
      </c>
      <c r="H1917" s="83"/>
      <c r="I1917" s="121" t="s">
        <v>159</v>
      </c>
      <c r="J1917" s="121">
        <v>179.0</v>
      </c>
      <c r="K1917" s="83"/>
      <c r="L1917" s="121" t="s">
        <v>6522</v>
      </c>
      <c r="M1917" s="121" t="s">
        <v>4762</v>
      </c>
      <c r="N1917" s="121">
        <v>2000.0</v>
      </c>
      <c r="O1917" s="121">
        <v>15.0</v>
      </c>
      <c r="P1917" s="121">
        <v>1.0</v>
      </c>
      <c r="Q1917" s="121">
        <v>1.0</v>
      </c>
      <c r="R1917" s="84"/>
      <c r="S1917" s="34"/>
      <c r="T1917" s="34"/>
      <c r="U1917" s="34"/>
      <c r="V1917" s="34"/>
      <c r="W1917" s="34"/>
      <c r="X1917" s="34"/>
      <c r="Y1917" s="45"/>
      <c r="Z1917" s="45"/>
      <c r="AA1917" s="45"/>
      <c r="AB1917" s="45"/>
      <c r="AC1917" s="45"/>
      <c r="AD1917" s="45"/>
      <c r="AE1917" s="45"/>
      <c r="AF1917" s="45"/>
      <c r="AG1917" s="45"/>
      <c r="AH1917" s="45"/>
      <c r="AI1917" s="45"/>
      <c r="AJ1917" s="45"/>
      <c r="AK1917" s="45"/>
      <c r="AL1917" s="45"/>
    </row>
    <row r="1918" ht="15.75" customHeight="1">
      <c r="A1918" s="27">
        <f t="shared" si="21"/>
        <v>797</v>
      </c>
      <c r="B1918" s="28" t="s">
        <v>6523</v>
      </c>
      <c r="C1918" s="43" t="s">
        <v>6524</v>
      </c>
      <c r="D1918" s="30" t="s">
        <v>6525</v>
      </c>
      <c r="E1918" s="28"/>
      <c r="F1918" s="28" t="s">
        <v>29</v>
      </c>
      <c r="G1918" s="28" t="s">
        <v>30</v>
      </c>
      <c r="H1918" s="28"/>
      <c r="I1918" s="28" t="s">
        <v>38</v>
      </c>
      <c r="J1918" s="28">
        <v>187.0</v>
      </c>
      <c r="K1918" s="28"/>
      <c r="L1918" s="28" t="s">
        <v>6526</v>
      </c>
      <c r="M1918" s="28" t="s">
        <v>6527</v>
      </c>
      <c r="N1918" s="28">
        <v>2007.0</v>
      </c>
      <c r="O1918" s="60">
        <v>15.0</v>
      </c>
      <c r="P1918" s="31">
        <v>3.0</v>
      </c>
      <c r="Q1918" s="114">
        <v>3.0</v>
      </c>
      <c r="R1918" s="33"/>
      <c r="S1918" s="34"/>
      <c r="T1918" s="34"/>
      <c r="U1918" s="34"/>
      <c r="V1918" s="34"/>
      <c r="W1918" s="34"/>
      <c r="X1918" s="34"/>
      <c r="Y1918" s="45"/>
      <c r="Z1918" s="45"/>
      <c r="AA1918" s="45"/>
      <c r="AB1918" s="45"/>
      <c r="AC1918" s="45"/>
      <c r="AD1918" s="45"/>
      <c r="AE1918" s="45"/>
      <c r="AF1918" s="45"/>
      <c r="AG1918" s="45"/>
      <c r="AH1918" s="45"/>
      <c r="AI1918" s="45"/>
      <c r="AJ1918" s="45"/>
      <c r="AK1918" s="45"/>
      <c r="AL1918" s="45"/>
    </row>
    <row r="1919" ht="15.75" customHeight="1">
      <c r="A1919" s="27">
        <f t="shared" si="21"/>
        <v>798</v>
      </c>
      <c r="B1919" s="121" t="s">
        <v>6528</v>
      </c>
      <c r="C1919" s="121" t="s">
        <v>6529</v>
      </c>
      <c r="D1919" s="119" t="s">
        <v>6530</v>
      </c>
      <c r="E1919" s="83"/>
      <c r="F1919" s="121" t="s">
        <v>29</v>
      </c>
      <c r="G1919" s="121" t="s">
        <v>30</v>
      </c>
      <c r="H1919" s="83"/>
      <c r="I1919" s="121" t="s">
        <v>30</v>
      </c>
      <c r="J1919" s="121">
        <v>197.0</v>
      </c>
      <c r="K1919" s="83"/>
      <c r="L1919" s="121" t="s">
        <v>6531</v>
      </c>
      <c r="M1919" s="121" t="s">
        <v>6532</v>
      </c>
      <c r="N1919" s="121">
        <v>2007.0</v>
      </c>
      <c r="O1919" s="121">
        <v>15.0</v>
      </c>
      <c r="P1919" s="121">
        <v>2.0</v>
      </c>
      <c r="Q1919" s="121">
        <v>2.0</v>
      </c>
      <c r="R1919" s="84"/>
      <c r="S1919" s="34"/>
      <c r="T1919" s="34"/>
      <c r="U1919" s="34"/>
      <c r="V1919" s="34"/>
      <c r="W1919" s="34"/>
      <c r="X1919" s="34"/>
      <c r="Y1919" s="3"/>
      <c r="Z1919" s="3"/>
      <c r="AA1919" s="3"/>
      <c r="AB1919" s="3"/>
      <c r="AC1919" s="3"/>
      <c r="AD1919" s="3"/>
      <c r="AE1919" s="3"/>
      <c r="AF1919" s="3"/>
      <c r="AG1919" s="3"/>
      <c r="AH1919" s="3"/>
      <c r="AI1919" s="3"/>
      <c r="AJ1919" s="3"/>
      <c r="AK1919" s="3"/>
      <c r="AL1919" s="3"/>
    </row>
    <row r="1920" ht="15.75" customHeight="1">
      <c r="A1920" s="27">
        <f t="shared" si="21"/>
        <v>799</v>
      </c>
      <c r="B1920" s="33"/>
      <c r="C1920" s="132" t="s">
        <v>6533</v>
      </c>
      <c r="D1920" s="131" t="s">
        <v>6534</v>
      </c>
      <c r="E1920" s="33"/>
      <c r="F1920" s="132" t="s">
        <v>29</v>
      </c>
      <c r="G1920" s="132" t="s">
        <v>30</v>
      </c>
      <c r="H1920" s="33"/>
      <c r="I1920" s="132" t="s">
        <v>30</v>
      </c>
      <c r="J1920" s="132">
        <v>28.0</v>
      </c>
      <c r="K1920" s="33"/>
      <c r="L1920" s="33"/>
      <c r="M1920" s="132" t="s">
        <v>6535</v>
      </c>
      <c r="N1920" s="132">
        <v>2014.0</v>
      </c>
      <c r="O1920" s="132">
        <v>15.0</v>
      </c>
      <c r="P1920" s="132">
        <v>1.0</v>
      </c>
      <c r="Q1920" s="132">
        <v>1.0</v>
      </c>
      <c r="R1920" s="84"/>
      <c r="S1920" s="34"/>
      <c r="T1920" s="34"/>
      <c r="U1920" s="34"/>
      <c r="V1920" s="34"/>
      <c r="W1920" s="34"/>
      <c r="X1920" s="34"/>
      <c r="Y1920" s="3"/>
      <c r="Z1920" s="3"/>
      <c r="AA1920" s="3"/>
      <c r="AB1920" s="3"/>
      <c r="AC1920" s="3"/>
      <c r="AD1920" s="3"/>
      <c r="AE1920" s="3"/>
      <c r="AF1920" s="3"/>
      <c r="AG1920" s="3"/>
      <c r="AH1920" s="3"/>
      <c r="AI1920" s="3"/>
      <c r="AJ1920" s="3"/>
      <c r="AK1920" s="3"/>
      <c r="AL1920" s="3"/>
    </row>
    <row r="1921" ht="15.75" customHeight="1">
      <c r="A1921" s="27">
        <f t="shared" si="21"/>
        <v>800</v>
      </c>
      <c r="B1921" s="33"/>
      <c r="C1921" s="132" t="s">
        <v>6536</v>
      </c>
      <c r="D1921" s="131" t="s">
        <v>6537</v>
      </c>
      <c r="E1921" s="33"/>
      <c r="F1921" s="132" t="s">
        <v>29</v>
      </c>
      <c r="G1921" s="132" t="s">
        <v>30</v>
      </c>
      <c r="H1921" s="33"/>
      <c r="I1921" s="132" t="s">
        <v>30</v>
      </c>
      <c r="J1921" s="132">
        <v>183.0</v>
      </c>
      <c r="K1921" s="33"/>
      <c r="L1921" s="132" t="s">
        <v>6538</v>
      </c>
      <c r="M1921" s="132" t="s">
        <v>6539</v>
      </c>
      <c r="N1921" s="132">
        <v>2014.0</v>
      </c>
      <c r="O1921" s="132">
        <v>15.0</v>
      </c>
      <c r="P1921" s="132">
        <v>1.0</v>
      </c>
      <c r="Q1921" s="132">
        <v>1.0</v>
      </c>
      <c r="R1921" s="84"/>
      <c r="S1921" s="34"/>
      <c r="T1921" s="34"/>
      <c r="U1921" s="34"/>
      <c r="V1921" s="34"/>
      <c r="W1921" s="34"/>
      <c r="X1921" s="34"/>
      <c r="Y1921" s="3"/>
      <c r="Z1921" s="3"/>
      <c r="AA1921" s="3"/>
      <c r="AB1921" s="3"/>
      <c r="AC1921" s="3"/>
      <c r="AD1921" s="3"/>
      <c r="AE1921" s="3"/>
      <c r="AF1921" s="3"/>
      <c r="AG1921" s="3"/>
      <c r="AH1921" s="3"/>
      <c r="AI1921" s="3"/>
      <c r="AJ1921" s="3"/>
      <c r="AK1921" s="3"/>
      <c r="AL1921" s="3"/>
    </row>
    <row r="1922" ht="15.75" customHeight="1">
      <c r="A1922" s="27">
        <f t="shared" si="21"/>
        <v>801</v>
      </c>
      <c r="B1922" s="83"/>
      <c r="C1922" s="121" t="s">
        <v>6540</v>
      </c>
      <c r="D1922" s="119" t="s">
        <v>6541</v>
      </c>
      <c r="E1922" s="83"/>
      <c r="F1922" s="121" t="s">
        <v>29</v>
      </c>
      <c r="G1922" s="121" t="s">
        <v>30</v>
      </c>
      <c r="H1922" s="83"/>
      <c r="I1922" s="121" t="s">
        <v>30</v>
      </c>
      <c r="J1922" s="121">
        <v>203.0</v>
      </c>
      <c r="K1922" s="83"/>
      <c r="L1922" s="121" t="s">
        <v>6542</v>
      </c>
      <c r="M1922" s="121" t="s">
        <v>6543</v>
      </c>
      <c r="N1922" s="121">
        <v>1977.0</v>
      </c>
      <c r="O1922" s="121">
        <v>15.0</v>
      </c>
      <c r="P1922" s="121">
        <v>2.0</v>
      </c>
      <c r="Q1922" s="121">
        <v>2.0</v>
      </c>
      <c r="R1922" s="84"/>
      <c r="S1922" s="34"/>
      <c r="T1922" s="34"/>
      <c r="U1922" s="34"/>
      <c r="V1922" s="34"/>
      <c r="W1922" s="34"/>
      <c r="X1922" s="34"/>
      <c r="Y1922" s="3"/>
      <c r="Z1922" s="3"/>
      <c r="AA1922" s="3"/>
      <c r="AB1922" s="3"/>
      <c r="AC1922" s="3"/>
      <c r="AD1922" s="3"/>
      <c r="AE1922" s="3"/>
      <c r="AF1922" s="3"/>
      <c r="AG1922" s="3"/>
      <c r="AH1922" s="3"/>
      <c r="AI1922" s="3"/>
      <c r="AJ1922" s="3"/>
      <c r="AK1922" s="3"/>
      <c r="AL1922" s="3"/>
    </row>
    <row r="1923" ht="15.75" customHeight="1">
      <c r="A1923" s="27">
        <f t="shared" si="21"/>
        <v>802</v>
      </c>
      <c r="B1923" s="28" t="s">
        <v>6544</v>
      </c>
      <c r="C1923" s="43" t="s">
        <v>6545</v>
      </c>
      <c r="D1923" s="30" t="s">
        <v>6546</v>
      </c>
      <c r="E1923" s="28" t="s">
        <v>144</v>
      </c>
      <c r="F1923" s="28" t="s">
        <v>29</v>
      </c>
      <c r="G1923" s="28" t="s">
        <v>30</v>
      </c>
      <c r="H1923" s="28"/>
      <c r="I1923" s="28" t="s">
        <v>30</v>
      </c>
      <c r="J1923" s="28">
        <f>164+35</f>
        <v>199</v>
      </c>
      <c r="K1923" s="28"/>
      <c r="L1923" s="28" t="s">
        <v>6547</v>
      </c>
      <c r="M1923" s="28" t="s">
        <v>3240</v>
      </c>
      <c r="N1923" s="28">
        <v>2010.0</v>
      </c>
      <c r="O1923" s="28">
        <v>15.0</v>
      </c>
      <c r="P1923" s="28">
        <v>1.0</v>
      </c>
      <c r="Q1923" s="94">
        <v>1.0</v>
      </c>
      <c r="R1923" s="33"/>
      <c r="S1923" s="34"/>
      <c r="T1923" s="34"/>
      <c r="U1923" s="34"/>
      <c r="V1923" s="34"/>
      <c r="W1923" s="34"/>
      <c r="X1923" s="34"/>
      <c r="Y1923" s="3"/>
      <c r="Z1923" s="3"/>
      <c r="AA1923" s="3"/>
      <c r="AB1923" s="3"/>
      <c r="AC1923" s="3"/>
      <c r="AD1923" s="3"/>
      <c r="AE1923" s="3"/>
      <c r="AF1923" s="3"/>
      <c r="AG1923" s="3"/>
      <c r="AH1923" s="3"/>
      <c r="AI1923" s="3"/>
      <c r="AJ1923" s="3"/>
      <c r="AK1923" s="3"/>
      <c r="AL1923" s="3"/>
    </row>
    <row r="1924" ht="15.75" customHeight="1">
      <c r="A1924" s="27">
        <f t="shared" si="21"/>
        <v>803</v>
      </c>
      <c r="B1924" s="33"/>
      <c r="C1924" s="132" t="s">
        <v>6548</v>
      </c>
      <c r="D1924" s="131" t="s">
        <v>6549</v>
      </c>
      <c r="E1924" s="33"/>
      <c r="F1924" s="132" t="s">
        <v>29</v>
      </c>
      <c r="G1924" s="132" t="s">
        <v>30</v>
      </c>
      <c r="H1924" s="33"/>
      <c r="I1924" s="132" t="s">
        <v>38</v>
      </c>
      <c r="J1924" s="132">
        <v>107.0</v>
      </c>
      <c r="K1924" s="33"/>
      <c r="L1924" s="132" t="s">
        <v>6550</v>
      </c>
      <c r="M1924" s="132" t="s">
        <v>6551</v>
      </c>
      <c r="N1924" s="132">
        <v>1974.0</v>
      </c>
      <c r="O1924" s="132">
        <v>15.0</v>
      </c>
      <c r="P1924" s="132">
        <v>1.0</v>
      </c>
      <c r="Q1924" s="132">
        <v>1.0</v>
      </c>
      <c r="R1924" s="84"/>
      <c r="S1924" s="34"/>
      <c r="T1924" s="34"/>
      <c r="U1924" s="34"/>
      <c r="V1924" s="34"/>
      <c r="W1924" s="34"/>
      <c r="X1924" s="34"/>
      <c r="Y1924" s="3"/>
      <c r="Z1924" s="3"/>
      <c r="AA1924" s="3"/>
      <c r="AB1924" s="3"/>
      <c r="AC1924" s="3"/>
      <c r="AD1924" s="3"/>
      <c r="AE1924" s="3"/>
      <c r="AF1924" s="3"/>
      <c r="AG1924" s="3"/>
      <c r="AH1924" s="3"/>
      <c r="AI1924" s="3"/>
      <c r="AJ1924" s="3"/>
      <c r="AK1924" s="3"/>
      <c r="AL1924" s="3"/>
    </row>
    <row r="1925" ht="15.75" customHeight="1">
      <c r="A1925" s="27">
        <f t="shared" si="21"/>
        <v>804</v>
      </c>
      <c r="B1925" s="28" t="s">
        <v>6552</v>
      </c>
      <c r="C1925" s="43" t="s">
        <v>6553</v>
      </c>
      <c r="D1925" s="30" t="s">
        <v>6554</v>
      </c>
      <c r="E1925" s="28"/>
      <c r="F1925" s="28" t="s">
        <v>29</v>
      </c>
      <c r="G1925" s="28" t="s">
        <v>37</v>
      </c>
      <c r="H1925" s="28"/>
      <c r="I1925" s="28" t="s">
        <v>38</v>
      </c>
      <c r="J1925" s="28">
        <v>266.0</v>
      </c>
      <c r="K1925" s="28"/>
      <c r="L1925" s="28" t="s">
        <v>6555</v>
      </c>
      <c r="M1925" s="28" t="s">
        <v>3268</v>
      </c>
      <c r="N1925" s="28">
        <v>2004.0</v>
      </c>
      <c r="O1925" s="60">
        <v>15.0</v>
      </c>
      <c r="P1925" s="28">
        <v>1.0</v>
      </c>
      <c r="Q1925" s="94">
        <v>1.0</v>
      </c>
      <c r="R1925" s="33"/>
      <c r="S1925" s="34"/>
      <c r="T1925" s="34"/>
      <c r="U1925" s="34"/>
      <c r="V1925" s="34"/>
      <c r="W1925" s="34"/>
      <c r="X1925" s="34"/>
      <c r="Y1925" s="3"/>
      <c r="Z1925" s="3"/>
      <c r="AA1925" s="3"/>
      <c r="AB1925" s="3"/>
      <c r="AC1925" s="3"/>
      <c r="AD1925" s="3"/>
      <c r="AE1925" s="3"/>
      <c r="AF1925" s="3"/>
      <c r="AG1925" s="3"/>
      <c r="AH1925" s="3"/>
      <c r="AI1925" s="3"/>
      <c r="AJ1925" s="3"/>
      <c r="AK1925" s="3"/>
      <c r="AL1925" s="3"/>
    </row>
    <row r="1926" ht="15.75" customHeight="1">
      <c r="A1926" s="27">
        <f t="shared" si="21"/>
        <v>805</v>
      </c>
      <c r="B1926" s="28"/>
      <c r="C1926" s="43" t="s">
        <v>6556</v>
      </c>
      <c r="D1926" s="30" t="s">
        <v>6557</v>
      </c>
      <c r="E1926" s="28"/>
      <c r="F1926" s="28" t="s">
        <v>29</v>
      </c>
      <c r="G1926" s="28" t="s">
        <v>98</v>
      </c>
      <c r="H1926" s="28" t="s">
        <v>31</v>
      </c>
      <c r="I1926" s="28" t="s">
        <v>98</v>
      </c>
      <c r="J1926" s="28">
        <v>342.0</v>
      </c>
      <c r="K1926" s="28"/>
      <c r="L1926" s="28" t="s">
        <v>6558</v>
      </c>
      <c r="M1926" s="28" t="s">
        <v>6559</v>
      </c>
      <c r="N1926" s="28">
        <v>1973.0</v>
      </c>
      <c r="O1926" s="60">
        <v>15.0</v>
      </c>
      <c r="P1926" s="28">
        <v>1.0</v>
      </c>
      <c r="Q1926" s="94">
        <v>1.0</v>
      </c>
      <c r="R1926" s="33"/>
      <c r="S1926" s="34"/>
      <c r="T1926" s="34"/>
      <c r="U1926" s="34"/>
      <c r="V1926" s="34"/>
      <c r="W1926" s="34"/>
      <c r="X1926" s="34"/>
      <c r="Y1926" s="3"/>
      <c r="Z1926" s="3"/>
      <c r="AA1926" s="3"/>
      <c r="AB1926" s="3"/>
      <c r="AC1926" s="3"/>
      <c r="AD1926" s="3"/>
      <c r="AE1926" s="3"/>
      <c r="AF1926" s="3"/>
      <c r="AG1926" s="3"/>
      <c r="AH1926" s="3"/>
      <c r="AI1926" s="3"/>
      <c r="AJ1926" s="3"/>
      <c r="AK1926" s="3"/>
      <c r="AL1926" s="3"/>
    </row>
    <row r="1927" ht="15.75" customHeight="1">
      <c r="A1927" s="27">
        <f t="shared" si="21"/>
        <v>806</v>
      </c>
      <c r="B1927" s="121" t="s">
        <v>6560</v>
      </c>
      <c r="C1927" s="121" t="s">
        <v>6561</v>
      </c>
      <c r="D1927" s="119" t="s">
        <v>6562</v>
      </c>
      <c r="E1927" s="83"/>
      <c r="F1927" s="121" t="s">
        <v>29</v>
      </c>
      <c r="G1927" s="121" t="s">
        <v>30</v>
      </c>
      <c r="H1927" s="83"/>
      <c r="I1927" s="121" t="s">
        <v>30</v>
      </c>
      <c r="J1927" s="121">
        <v>209.0</v>
      </c>
      <c r="K1927" s="83"/>
      <c r="L1927" s="121" t="s">
        <v>6563</v>
      </c>
      <c r="M1927" s="121" t="s">
        <v>6564</v>
      </c>
      <c r="N1927" s="121">
        <v>2013.0</v>
      </c>
      <c r="O1927" s="121">
        <v>15.0</v>
      </c>
      <c r="P1927" s="121">
        <v>1.0</v>
      </c>
      <c r="Q1927" s="121">
        <v>1.0</v>
      </c>
      <c r="R1927" s="84"/>
      <c r="S1927" s="34"/>
      <c r="T1927" s="34"/>
      <c r="U1927" s="34"/>
      <c r="V1927" s="34"/>
      <c r="W1927" s="34"/>
      <c r="X1927" s="34"/>
      <c r="Y1927" s="3"/>
      <c r="Z1927" s="3"/>
      <c r="AA1927" s="3"/>
      <c r="AB1927" s="3"/>
      <c r="AC1927" s="3"/>
      <c r="AD1927" s="3"/>
      <c r="AE1927" s="3"/>
      <c r="AF1927" s="3"/>
      <c r="AG1927" s="3"/>
      <c r="AH1927" s="3"/>
      <c r="AI1927" s="3"/>
      <c r="AJ1927" s="3"/>
      <c r="AK1927" s="3"/>
      <c r="AL1927" s="3"/>
    </row>
    <row r="1928" ht="15.75" customHeight="1">
      <c r="A1928" s="27">
        <f t="shared" si="21"/>
        <v>807</v>
      </c>
      <c r="B1928" s="121" t="s">
        <v>6565</v>
      </c>
      <c r="C1928" s="156" t="s">
        <v>6566</v>
      </c>
      <c r="D1928" s="119" t="s">
        <v>6567</v>
      </c>
      <c r="E1928" s="83"/>
      <c r="F1928" s="83"/>
      <c r="G1928" s="121" t="s">
        <v>5297</v>
      </c>
      <c r="H1928" s="83"/>
      <c r="I1928" s="121" t="s">
        <v>38</v>
      </c>
      <c r="J1928" s="121">
        <v>133.0</v>
      </c>
      <c r="K1928" s="83"/>
      <c r="L1928" s="121" t="s">
        <v>6568</v>
      </c>
      <c r="M1928" s="121" t="s">
        <v>6569</v>
      </c>
      <c r="N1928" s="121">
        <v>1992.0</v>
      </c>
      <c r="O1928" s="121">
        <v>15.0</v>
      </c>
      <c r="P1928" s="121">
        <v>1.0</v>
      </c>
      <c r="Q1928" s="121">
        <v>1.0</v>
      </c>
      <c r="R1928" s="84"/>
      <c r="S1928" s="34"/>
      <c r="T1928" s="34"/>
      <c r="U1928" s="34"/>
      <c r="V1928" s="34"/>
      <c r="W1928" s="34"/>
      <c r="X1928" s="34"/>
      <c r="Y1928" s="3"/>
      <c r="Z1928" s="3"/>
      <c r="AA1928" s="3"/>
      <c r="AB1928" s="3"/>
      <c r="AC1928" s="3"/>
      <c r="AD1928" s="3"/>
      <c r="AE1928" s="3"/>
      <c r="AF1928" s="3"/>
      <c r="AG1928" s="3"/>
      <c r="AH1928" s="3"/>
      <c r="AI1928" s="3"/>
      <c r="AJ1928" s="3"/>
      <c r="AK1928" s="3"/>
      <c r="AL1928" s="3"/>
    </row>
    <row r="1929" ht="15.75" customHeight="1">
      <c r="A1929" s="27">
        <f t="shared" si="21"/>
        <v>808</v>
      </c>
      <c r="B1929" s="121" t="s">
        <v>0</v>
      </c>
      <c r="C1929" s="121" t="s">
        <v>6570</v>
      </c>
      <c r="D1929" s="119" t="s">
        <v>6571</v>
      </c>
      <c r="E1929" s="83"/>
      <c r="F1929" s="83"/>
      <c r="G1929" s="121" t="s">
        <v>37</v>
      </c>
      <c r="H1929" s="83"/>
      <c r="I1929" s="121" t="s">
        <v>38</v>
      </c>
      <c r="J1929" s="121">
        <v>414.0</v>
      </c>
      <c r="K1929" s="83"/>
      <c r="L1929" s="121" t="s">
        <v>6572</v>
      </c>
      <c r="M1929" s="121" t="s">
        <v>6573</v>
      </c>
      <c r="N1929" s="121">
        <v>1962.0</v>
      </c>
      <c r="O1929" s="121">
        <v>15.0</v>
      </c>
      <c r="P1929" s="121">
        <v>1.0</v>
      </c>
      <c r="Q1929" s="121">
        <v>1.0</v>
      </c>
      <c r="R1929" s="84"/>
      <c r="S1929" s="34"/>
      <c r="T1929" s="34"/>
      <c r="U1929" s="34"/>
      <c r="V1929" s="34"/>
      <c r="W1929" s="34"/>
      <c r="X1929" s="34"/>
      <c r="Y1929" s="45"/>
      <c r="Z1929" s="45"/>
      <c r="AA1929" s="45"/>
      <c r="AB1929" s="45"/>
      <c r="AC1929" s="45"/>
      <c r="AD1929" s="45"/>
      <c r="AE1929" s="45"/>
      <c r="AF1929" s="45"/>
      <c r="AG1929" s="45"/>
      <c r="AH1929" s="45"/>
      <c r="AI1929" s="45"/>
      <c r="AJ1929" s="45"/>
      <c r="AK1929" s="45"/>
      <c r="AL1929" s="45"/>
    </row>
    <row r="1930" ht="15.75" customHeight="1">
      <c r="A1930" s="27">
        <f t="shared" si="21"/>
        <v>809</v>
      </c>
      <c r="B1930" s="28" t="s">
        <v>31</v>
      </c>
      <c r="C1930" s="43" t="s">
        <v>6574</v>
      </c>
      <c r="D1930" s="30" t="s">
        <v>6575</v>
      </c>
      <c r="E1930" s="28"/>
      <c r="F1930" s="28" t="s">
        <v>29</v>
      </c>
      <c r="G1930" s="28" t="s">
        <v>37</v>
      </c>
      <c r="H1930" s="28" t="s">
        <v>31</v>
      </c>
      <c r="I1930" s="28" t="s">
        <v>38</v>
      </c>
      <c r="J1930" s="28">
        <v>221.0</v>
      </c>
      <c r="K1930" s="28"/>
      <c r="L1930" s="28" t="s">
        <v>6576</v>
      </c>
      <c r="M1930" s="28" t="s">
        <v>54</v>
      </c>
      <c r="N1930" s="28">
        <v>1987.0</v>
      </c>
      <c r="O1930" s="60">
        <v>15.0</v>
      </c>
      <c r="P1930" s="28">
        <v>1.0</v>
      </c>
      <c r="Q1930" s="94">
        <v>1.0</v>
      </c>
      <c r="R1930" s="33"/>
      <c r="S1930" s="34"/>
      <c r="T1930" s="34"/>
      <c r="U1930" s="34"/>
      <c r="V1930" s="34"/>
      <c r="W1930" s="34"/>
      <c r="X1930" s="34"/>
      <c r="Y1930" s="3"/>
      <c r="Z1930" s="3"/>
      <c r="AA1930" s="3"/>
      <c r="AB1930" s="3"/>
      <c r="AC1930" s="3"/>
      <c r="AD1930" s="3"/>
      <c r="AE1930" s="3"/>
      <c r="AF1930" s="3"/>
      <c r="AG1930" s="3"/>
      <c r="AH1930" s="3"/>
      <c r="AI1930" s="3"/>
      <c r="AJ1930" s="3"/>
      <c r="AK1930" s="3"/>
      <c r="AL1930" s="3"/>
    </row>
    <row r="1931" ht="15.75" customHeight="1">
      <c r="A1931" s="27">
        <f t="shared" si="21"/>
        <v>810</v>
      </c>
      <c r="B1931" s="28"/>
      <c r="C1931" s="43" t="s">
        <v>6577</v>
      </c>
      <c r="D1931" s="30" t="s">
        <v>6578</v>
      </c>
      <c r="E1931" s="28" t="s">
        <v>31</v>
      </c>
      <c r="F1931" s="28" t="s">
        <v>29</v>
      </c>
      <c r="G1931" s="28" t="s">
        <v>30</v>
      </c>
      <c r="H1931" s="28"/>
      <c r="I1931" s="28" t="s">
        <v>30</v>
      </c>
      <c r="J1931" s="28">
        <v>160.0</v>
      </c>
      <c r="K1931" s="28"/>
      <c r="L1931" s="28" t="s">
        <v>6579</v>
      </c>
      <c r="M1931" s="28" t="s">
        <v>6009</v>
      </c>
      <c r="N1931" s="28">
        <v>2006.0</v>
      </c>
      <c r="O1931" s="60">
        <v>15.0</v>
      </c>
      <c r="P1931" s="28">
        <v>2.0</v>
      </c>
      <c r="Q1931" s="94">
        <v>2.0</v>
      </c>
      <c r="R1931" s="33"/>
      <c r="S1931" s="34"/>
      <c r="T1931" s="34"/>
      <c r="U1931" s="34"/>
      <c r="V1931" s="34"/>
      <c r="W1931" s="34"/>
      <c r="X1931" s="34"/>
      <c r="Y1931" s="3"/>
      <c r="Z1931" s="3"/>
      <c r="AA1931" s="3"/>
      <c r="AB1931" s="3"/>
      <c r="AC1931" s="3"/>
      <c r="AD1931" s="3"/>
      <c r="AE1931" s="3"/>
      <c r="AF1931" s="3"/>
      <c r="AG1931" s="3"/>
      <c r="AH1931" s="3"/>
      <c r="AI1931" s="3"/>
      <c r="AJ1931" s="3"/>
      <c r="AK1931" s="3"/>
      <c r="AL1931" s="3"/>
    </row>
    <row r="1932" ht="15.75" customHeight="1">
      <c r="A1932" s="27">
        <f t="shared" si="21"/>
        <v>811</v>
      </c>
      <c r="B1932" s="28"/>
      <c r="C1932" s="43" t="s">
        <v>6580</v>
      </c>
      <c r="D1932" s="30" t="s">
        <v>6581</v>
      </c>
      <c r="E1932" s="28" t="s">
        <v>31</v>
      </c>
      <c r="F1932" s="28" t="s">
        <v>29</v>
      </c>
      <c r="G1932" s="28" t="s">
        <v>37</v>
      </c>
      <c r="H1932" s="28"/>
      <c r="I1932" s="28" t="s">
        <v>38</v>
      </c>
      <c r="J1932" s="28">
        <v>146.0</v>
      </c>
      <c r="K1932" s="28"/>
      <c r="L1932" s="28" t="s">
        <v>5979</v>
      </c>
      <c r="M1932" s="28" t="s">
        <v>54</v>
      </c>
      <c r="N1932" s="28">
        <v>1986.0</v>
      </c>
      <c r="O1932" s="60">
        <v>15.0</v>
      </c>
      <c r="P1932" s="28">
        <v>3.0</v>
      </c>
      <c r="Q1932" s="94">
        <v>3.0</v>
      </c>
      <c r="R1932" s="33"/>
      <c r="S1932" s="34"/>
      <c r="T1932" s="34"/>
      <c r="U1932" s="34"/>
      <c r="V1932" s="34"/>
      <c r="W1932" s="34"/>
      <c r="X1932" s="34"/>
      <c r="Y1932" s="3"/>
      <c r="Z1932" s="3"/>
      <c r="AA1932" s="3"/>
      <c r="AB1932" s="3"/>
      <c r="AC1932" s="3"/>
      <c r="AD1932" s="3"/>
      <c r="AE1932" s="3"/>
      <c r="AF1932" s="3"/>
      <c r="AG1932" s="3"/>
      <c r="AH1932" s="3"/>
      <c r="AI1932" s="3"/>
      <c r="AJ1932" s="3"/>
      <c r="AK1932" s="3"/>
      <c r="AL1932" s="3"/>
    </row>
    <row r="1933" ht="15.75" customHeight="1">
      <c r="A1933" s="27">
        <f t="shared" si="21"/>
        <v>812</v>
      </c>
      <c r="B1933" s="28" t="s">
        <v>6582</v>
      </c>
      <c r="C1933" s="43" t="s">
        <v>6583</v>
      </c>
      <c r="D1933" s="30" t="s">
        <v>6584</v>
      </c>
      <c r="E1933" s="28" t="s">
        <v>31</v>
      </c>
      <c r="F1933" s="28" t="s">
        <v>29</v>
      </c>
      <c r="G1933" s="28" t="s">
        <v>37</v>
      </c>
      <c r="H1933" s="28"/>
      <c r="I1933" s="28" t="s">
        <v>38</v>
      </c>
      <c r="J1933" s="28">
        <v>208.0</v>
      </c>
      <c r="K1933" s="28"/>
      <c r="L1933" s="28" t="s">
        <v>6585</v>
      </c>
      <c r="M1933" s="28" t="s">
        <v>54</v>
      </c>
      <c r="N1933" s="28">
        <v>1994.0</v>
      </c>
      <c r="O1933" s="60">
        <v>15.0</v>
      </c>
      <c r="P1933" s="28">
        <v>1.0</v>
      </c>
      <c r="Q1933" s="94">
        <v>1.0</v>
      </c>
      <c r="R1933" s="33"/>
      <c r="S1933" s="34"/>
      <c r="T1933" s="34"/>
      <c r="U1933" s="34"/>
      <c r="V1933" s="34"/>
      <c r="W1933" s="34"/>
      <c r="X1933" s="34"/>
      <c r="Y1933" s="3"/>
      <c r="Z1933" s="3"/>
      <c r="AA1933" s="3"/>
      <c r="AB1933" s="3"/>
      <c r="AC1933" s="3"/>
      <c r="AD1933" s="3"/>
      <c r="AE1933" s="3"/>
      <c r="AF1933" s="3"/>
      <c r="AG1933" s="3"/>
      <c r="AH1933" s="3"/>
      <c r="AI1933" s="3"/>
      <c r="AJ1933" s="3"/>
      <c r="AK1933" s="3"/>
      <c r="AL1933" s="3"/>
    </row>
    <row r="1934" ht="15.75" customHeight="1">
      <c r="A1934" s="27">
        <f t="shared" si="21"/>
        <v>813</v>
      </c>
      <c r="B1934" s="28" t="s">
        <v>6586</v>
      </c>
      <c r="C1934" s="43" t="s">
        <v>6587</v>
      </c>
      <c r="D1934" s="30" t="s">
        <v>6588</v>
      </c>
      <c r="E1934" s="28" t="s">
        <v>31</v>
      </c>
      <c r="F1934" s="28" t="s">
        <v>29</v>
      </c>
      <c r="G1934" s="28" t="s">
        <v>38</v>
      </c>
      <c r="H1934" s="28"/>
      <c r="I1934" s="28" t="s">
        <v>38</v>
      </c>
      <c r="J1934" s="28">
        <v>251.0</v>
      </c>
      <c r="K1934" s="28"/>
      <c r="L1934" s="28" t="s">
        <v>6589</v>
      </c>
      <c r="M1934" s="28" t="s">
        <v>6590</v>
      </c>
      <c r="N1934" s="28">
        <v>1976.0</v>
      </c>
      <c r="O1934" s="60">
        <v>15.0</v>
      </c>
      <c r="P1934" s="28">
        <v>1.0</v>
      </c>
      <c r="Q1934" s="94">
        <v>2.0</v>
      </c>
      <c r="R1934" s="33"/>
      <c r="S1934" s="34"/>
      <c r="T1934" s="34"/>
      <c r="U1934" s="34"/>
      <c r="V1934" s="34"/>
      <c r="W1934" s="34"/>
      <c r="X1934" s="34"/>
      <c r="Y1934" s="45"/>
      <c r="Z1934" s="45"/>
      <c r="AA1934" s="45"/>
      <c r="AB1934" s="45"/>
      <c r="AC1934" s="45"/>
      <c r="AD1934" s="45"/>
      <c r="AE1934" s="45"/>
      <c r="AF1934" s="45"/>
      <c r="AG1934" s="45"/>
      <c r="AH1934" s="45"/>
      <c r="AI1934" s="45"/>
      <c r="AJ1934" s="45"/>
      <c r="AK1934" s="45"/>
      <c r="AL1934" s="45"/>
    </row>
    <row r="1935" ht="15.75" customHeight="1">
      <c r="A1935" s="27">
        <f t="shared" si="21"/>
        <v>814</v>
      </c>
      <c r="B1935" s="28" t="s">
        <v>6591</v>
      </c>
      <c r="C1935" s="43" t="s">
        <v>6592</v>
      </c>
      <c r="D1935" s="30" t="s">
        <v>6593</v>
      </c>
      <c r="E1935" s="28" t="s">
        <v>302</v>
      </c>
      <c r="F1935" s="28" t="s">
        <v>29</v>
      </c>
      <c r="G1935" s="28" t="s">
        <v>37</v>
      </c>
      <c r="H1935" s="28"/>
      <c r="I1935" s="28" t="s">
        <v>38</v>
      </c>
      <c r="J1935" s="28">
        <v>256.0</v>
      </c>
      <c r="K1935" s="28"/>
      <c r="L1935" s="28" t="s">
        <v>6594</v>
      </c>
      <c r="M1935" s="28" t="s">
        <v>816</v>
      </c>
      <c r="N1935" s="28">
        <v>2001.0</v>
      </c>
      <c r="O1935" s="28">
        <v>15.0</v>
      </c>
      <c r="P1935" s="28">
        <v>1.0</v>
      </c>
      <c r="Q1935" s="94">
        <v>1.0</v>
      </c>
      <c r="R1935" s="33"/>
      <c r="S1935" s="116"/>
      <c r="T1935" s="116"/>
      <c r="U1935" s="116"/>
      <c r="V1935" s="116"/>
      <c r="W1935" s="116"/>
      <c r="X1935" s="116"/>
      <c r="Y1935" s="45"/>
      <c r="Z1935" s="45"/>
      <c r="AA1935" s="45"/>
      <c r="AB1935" s="45"/>
      <c r="AC1935" s="45"/>
      <c r="AD1935" s="45"/>
      <c r="AE1935" s="45"/>
      <c r="AF1935" s="45"/>
      <c r="AG1935" s="45"/>
      <c r="AH1935" s="45"/>
      <c r="AI1935" s="45"/>
      <c r="AJ1935" s="45"/>
      <c r="AK1935" s="45"/>
      <c r="AL1935" s="45"/>
    </row>
    <row r="1936" ht="15.75" customHeight="1">
      <c r="A1936" s="27">
        <f t="shared" si="21"/>
        <v>815</v>
      </c>
      <c r="B1936" s="28" t="s">
        <v>6595</v>
      </c>
      <c r="C1936" s="43" t="s">
        <v>6596</v>
      </c>
      <c r="D1936" s="30" t="s">
        <v>6597</v>
      </c>
      <c r="E1936" s="28" t="s">
        <v>31</v>
      </c>
      <c r="F1936" s="28" t="s">
        <v>29</v>
      </c>
      <c r="G1936" s="28" t="s">
        <v>30</v>
      </c>
      <c r="H1936" s="28"/>
      <c r="I1936" s="28" t="s">
        <v>30</v>
      </c>
      <c r="J1936" s="28">
        <v>68.0</v>
      </c>
      <c r="K1936" s="28"/>
      <c r="L1936" s="28" t="s">
        <v>6598</v>
      </c>
      <c r="M1936" s="28" t="s">
        <v>6599</v>
      </c>
      <c r="N1936" s="28">
        <v>2008.0</v>
      </c>
      <c r="O1936" s="60">
        <v>15.0</v>
      </c>
      <c r="P1936" s="28">
        <v>1.0</v>
      </c>
      <c r="Q1936" s="94">
        <v>1.0</v>
      </c>
      <c r="R1936" s="33"/>
      <c r="S1936" s="34"/>
      <c r="T1936" s="34"/>
      <c r="U1936" s="34"/>
      <c r="V1936" s="34"/>
      <c r="W1936" s="34"/>
      <c r="X1936" s="34"/>
      <c r="Y1936" s="45"/>
      <c r="Z1936" s="45"/>
      <c r="AA1936" s="45"/>
      <c r="AB1936" s="45"/>
      <c r="AC1936" s="45"/>
      <c r="AD1936" s="45"/>
      <c r="AE1936" s="45"/>
      <c r="AF1936" s="45"/>
      <c r="AG1936" s="45"/>
      <c r="AH1936" s="45"/>
      <c r="AI1936" s="45"/>
      <c r="AJ1936" s="45"/>
      <c r="AK1936" s="45"/>
      <c r="AL1936" s="45"/>
    </row>
    <row r="1937" ht="15.75" customHeight="1">
      <c r="A1937" s="27">
        <f t="shared" si="21"/>
        <v>816</v>
      </c>
      <c r="B1937" s="28" t="s">
        <v>6600</v>
      </c>
      <c r="C1937" s="43" t="s">
        <v>6601</v>
      </c>
      <c r="D1937" s="30" t="s">
        <v>6602</v>
      </c>
      <c r="E1937" s="28"/>
      <c r="F1937" s="28" t="s">
        <v>29</v>
      </c>
      <c r="G1937" s="28" t="s">
        <v>37</v>
      </c>
      <c r="H1937" s="28"/>
      <c r="I1937" s="28" t="s">
        <v>38</v>
      </c>
      <c r="J1937" s="28">
        <v>248.0</v>
      </c>
      <c r="K1937" s="28"/>
      <c r="L1937" s="28" t="s">
        <v>6603</v>
      </c>
      <c r="M1937" s="28" t="s">
        <v>3851</v>
      </c>
      <c r="N1937" s="28">
        <v>1974.0</v>
      </c>
      <c r="O1937" s="60">
        <v>15.0</v>
      </c>
      <c r="P1937" s="28">
        <v>1.0</v>
      </c>
      <c r="Q1937" s="32">
        <v>1.0</v>
      </c>
      <c r="R1937" s="33"/>
      <c r="S1937" s="34"/>
      <c r="T1937" s="34"/>
      <c r="U1937" s="34"/>
      <c r="V1937" s="34"/>
      <c r="W1937" s="34"/>
      <c r="X1937" s="34"/>
      <c r="Y1937" s="45"/>
      <c r="Z1937" s="45"/>
      <c r="AA1937" s="45"/>
      <c r="AB1937" s="45"/>
      <c r="AC1937" s="45"/>
      <c r="AD1937" s="45"/>
      <c r="AE1937" s="45"/>
      <c r="AF1937" s="45"/>
      <c r="AG1937" s="45"/>
      <c r="AH1937" s="45"/>
      <c r="AI1937" s="45"/>
      <c r="AJ1937" s="45"/>
      <c r="AK1937" s="45"/>
      <c r="AL1937" s="45"/>
    </row>
    <row r="1938" ht="15.75" customHeight="1">
      <c r="A1938" s="27">
        <f t="shared" si="21"/>
        <v>817</v>
      </c>
      <c r="B1938" s="28" t="s">
        <v>31</v>
      </c>
      <c r="C1938" s="43" t="s">
        <v>6604</v>
      </c>
      <c r="D1938" s="30" t="s">
        <v>6605</v>
      </c>
      <c r="E1938" s="28"/>
      <c r="F1938" s="28" t="s">
        <v>29</v>
      </c>
      <c r="G1938" s="28" t="s">
        <v>30</v>
      </c>
      <c r="H1938" s="28" t="s">
        <v>31</v>
      </c>
      <c r="I1938" s="28" t="s">
        <v>30</v>
      </c>
      <c r="J1938" s="28">
        <v>195.0</v>
      </c>
      <c r="K1938" s="28"/>
      <c r="L1938" s="28" t="s">
        <v>6606</v>
      </c>
      <c r="M1938" s="28" t="s">
        <v>6607</v>
      </c>
      <c r="N1938" s="28"/>
      <c r="O1938" s="60">
        <v>15.0</v>
      </c>
      <c r="P1938" s="28">
        <v>1.0</v>
      </c>
      <c r="Q1938" s="94">
        <v>1.0</v>
      </c>
      <c r="R1938" s="33"/>
      <c r="S1938" s="34"/>
      <c r="T1938" s="34"/>
      <c r="U1938" s="34"/>
      <c r="V1938" s="34"/>
      <c r="W1938" s="34"/>
      <c r="X1938" s="34"/>
      <c r="Y1938" s="3"/>
      <c r="Z1938" s="3"/>
      <c r="AA1938" s="3"/>
      <c r="AB1938" s="3"/>
      <c r="AC1938" s="3"/>
      <c r="AD1938" s="3"/>
      <c r="AE1938" s="3"/>
      <c r="AF1938" s="3"/>
      <c r="AG1938" s="3"/>
      <c r="AH1938" s="3"/>
      <c r="AI1938" s="3"/>
      <c r="AJ1938" s="3"/>
      <c r="AK1938" s="3"/>
      <c r="AL1938" s="3"/>
    </row>
    <row r="1939" ht="15.75" customHeight="1">
      <c r="A1939" s="27">
        <f t="shared" si="21"/>
        <v>818</v>
      </c>
      <c r="B1939" s="28" t="s">
        <v>31</v>
      </c>
      <c r="C1939" s="43" t="s">
        <v>6608</v>
      </c>
      <c r="D1939" s="30" t="s">
        <v>6609</v>
      </c>
      <c r="E1939" s="28"/>
      <c r="F1939" s="28" t="s">
        <v>29</v>
      </c>
      <c r="G1939" s="28" t="s">
        <v>37</v>
      </c>
      <c r="H1939" s="28"/>
      <c r="I1939" s="28" t="s">
        <v>38</v>
      </c>
      <c r="J1939" s="28">
        <v>305.0</v>
      </c>
      <c r="K1939" s="28"/>
      <c r="L1939" s="28" t="s">
        <v>6610</v>
      </c>
      <c r="M1939" s="28" t="s">
        <v>352</v>
      </c>
      <c r="N1939" s="28">
        <v>1998.0</v>
      </c>
      <c r="O1939" s="60">
        <v>15.0</v>
      </c>
      <c r="P1939" s="28">
        <v>1.0</v>
      </c>
      <c r="Q1939" s="94">
        <v>1.0</v>
      </c>
      <c r="R1939" s="33"/>
      <c r="S1939" s="34"/>
      <c r="T1939" s="34"/>
      <c r="U1939" s="34"/>
      <c r="V1939" s="34"/>
      <c r="W1939" s="34"/>
      <c r="X1939" s="34"/>
      <c r="Y1939" s="3"/>
      <c r="Z1939" s="3"/>
      <c r="AA1939" s="3"/>
      <c r="AB1939" s="3"/>
      <c r="AC1939" s="3"/>
      <c r="AD1939" s="3"/>
      <c r="AE1939" s="3"/>
      <c r="AF1939" s="3"/>
      <c r="AG1939" s="3"/>
      <c r="AH1939" s="3"/>
      <c r="AI1939" s="3"/>
      <c r="AJ1939" s="3"/>
      <c r="AK1939" s="3"/>
      <c r="AL1939" s="3"/>
    </row>
    <row r="1940" ht="15.75" customHeight="1">
      <c r="A1940" s="27">
        <f t="shared" si="21"/>
        <v>819</v>
      </c>
      <c r="B1940" s="28" t="s">
        <v>6611</v>
      </c>
      <c r="C1940" s="43" t="s">
        <v>6612</v>
      </c>
      <c r="D1940" s="30" t="s">
        <v>6613</v>
      </c>
      <c r="E1940" s="28"/>
      <c r="F1940" s="28" t="s">
        <v>29</v>
      </c>
      <c r="G1940" s="28" t="s">
        <v>30</v>
      </c>
      <c r="H1940" s="28" t="s">
        <v>31</v>
      </c>
      <c r="I1940" s="28" t="s">
        <v>30</v>
      </c>
      <c r="J1940" s="28">
        <v>262.0</v>
      </c>
      <c r="K1940" s="28"/>
      <c r="L1940" s="28" t="s">
        <v>6614</v>
      </c>
      <c r="M1940" s="28" t="s">
        <v>6615</v>
      </c>
      <c r="N1940" s="28">
        <v>2007.0</v>
      </c>
      <c r="O1940" s="60">
        <v>15.0</v>
      </c>
      <c r="P1940" s="28">
        <v>1.0</v>
      </c>
      <c r="Q1940" s="94">
        <v>1.0</v>
      </c>
      <c r="R1940" s="33"/>
      <c r="S1940" s="116"/>
      <c r="T1940" s="116"/>
      <c r="U1940" s="116"/>
      <c r="V1940" s="116"/>
      <c r="W1940" s="116"/>
      <c r="X1940" s="116"/>
      <c r="Y1940" s="45"/>
      <c r="Z1940" s="45"/>
      <c r="AA1940" s="45"/>
      <c r="AB1940" s="45"/>
      <c r="AC1940" s="45"/>
      <c r="AD1940" s="45"/>
      <c r="AE1940" s="45"/>
      <c r="AF1940" s="45"/>
      <c r="AG1940" s="45"/>
      <c r="AH1940" s="45"/>
      <c r="AI1940" s="45"/>
      <c r="AJ1940" s="45"/>
      <c r="AK1940" s="45"/>
      <c r="AL1940" s="45"/>
    </row>
    <row r="1941" ht="15.75" customHeight="1">
      <c r="A1941" s="27">
        <f t="shared" si="21"/>
        <v>820</v>
      </c>
      <c r="B1941" s="28" t="s">
        <v>6616</v>
      </c>
      <c r="C1941" s="43" t="s">
        <v>6617</v>
      </c>
      <c r="D1941" s="30" t="s">
        <v>6618</v>
      </c>
      <c r="E1941" s="28"/>
      <c r="F1941" s="28" t="s">
        <v>29</v>
      </c>
      <c r="G1941" s="28" t="s">
        <v>30</v>
      </c>
      <c r="H1941" s="28" t="s">
        <v>31</v>
      </c>
      <c r="I1941" s="28" t="s">
        <v>38</v>
      </c>
      <c r="J1941" s="28">
        <v>280.0</v>
      </c>
      <c r="K1941" s="28"/>
      <c r="L1941" s="28" t="s">
        <v>6619</v>
      </c>
      <c r="M1941" s="28" t="s">
        <v>6620</v>
      </c>
      <c r="N1941" s="28">
        <v>2008.0</v>
      </c>
      <c r="O1941" s="60">
        <v>15.0</v>
      </c>
      <c r="P1941" s="28">
        <v>2.0</v>
      </c>
      <c r="Q1941" s="94">
        <v>2.0</v>
      </c>
      <c r="R1941" s="33"/>
      <c r="S1941" s="34"/>
      <c r="T1941" s="34"/>
      <c r="U1941" s="34"/>
      <c r="V1941" s="34"/>
      <c r="W1941" s="34"/>
      <c r="X1941" s="34"/>
      <c r="Y1941" s="3"/>
      <c r="Z1941" s="3"/>
      <c r="AA1941" s="3"/>
      <c r="AB1941" s="3"/>
      <c r="AC1941" s="3"/>
      <c r="AD1941" s="3"/>
      <c r="AE1941" s="3"/>
      <c r="AF1941" s="3"/>
      <c r="AG1941" s="3"/>
      <c r="AH1941" s="3"/>
      <c r="AI1941" s="3"/>
      <c r="AJ1941" s="3"/>
      <c r="AK1941" s="3"/>
      <c r="AL1941" s="3"/>
    </row>
    <row r="1942" ht="15.75" customHeight="1">
      <c r="A1942" s="27">
        <f t="shared" si="21"/>
        <v>821</v>
      </c>
      <c r="B1942" s="28" t="s">
        <v>6621</v>
      </c>
      <c r="C1942" s="43" t="s">
        <v>6622</v>
      </c>
      <c r="D1942" s="30" t="s">
        <v>6623</v>
      </c>
      <c r="E1942" s="28"/>
      <c r="F1942" s="28" t="s">
        <v>29</v>
      </c>
      <c r="G1942" s="28" t="s">
        <v>30</v>
      </c>
      <c r="H1942" s="28"/>
      <c r="I1942" s="28" t="s">
        <v>30</v>
      </c>
      <c r="J1942" s="28">
        <v>434.0</v>
      </c>
      <c r="K1942" s="28"/>
      <c r="L1942" s="28" t="s">
        <v>6624</v>
      </c>
      <c r="M1942" s="28" t="s">
        <v>6625</v>
      </c>
      <c r="N1942" s="28">
        <v>2004.0</v>
      </c>
      <c r="O1942" s="60">
        <v>15.0</v>
      </c>
      <c r="P1942" s="28">
        <v>1.0</v>
      </c>
      <c r="Q1942" s="94">
        <v>1.0</v>
      </c>
      <c r="R1942" s="33"/>
      <c r="S1942" s="34"/>
      <c r="T1942" s="34"/>
      <c r="U1942" s="34"/>
      <c r="V1942" s="34"/>
      <c r="W1942" s="34"/>
      <c r="X1942" s="34"/>
      <c r="Y1942" s="45"/>
      <c r="Z1942" s="45"/>
      <c r="AA1942" s="45"/>
      <c r="AB1942" s="45"/>
      <c r="AC1942" s="45"/>
      <c r="AD1942" s="45"/>
      <c r="AE1942" s="45"/>
      <c r="AF1942" s="45"/>
      <c r="AG1942" s="45"/>
      <c r="AH1942" s="45"/>
      <c r="AI1942" s="45"/>
      <c r="AJ1942" s="45"/>
      <c r="AK1942" s="45"/>
      <c r="AL1942" s="45"/>
    </row>
    <row r="1943" ht="15.75" customHeight="1">
      <c r="A1943" s="27">
        <f t="shared" si="21"/>
        <v>822</v>
      </c>
      <c r="B1943" s="28" t="s">
        <v>5</v>
      </c>
      <c r="C1943" s="43" t="s">
        <v>6626</v>
      </c>
      <c r="D1943" s="30" t="s">
        <v>6627</v>
      </c>
      <c r="E1943" s="28" t="s">
        <v>31</v>
      </c>
      <c r="F1943" s="28" t="s">
        <v>29</v>
      </c>
      <c r="G1943" s="28" t="s">
        <v>81</v>
      </c>
      <c r="H1943" s="28"/>
      <c r="I1943" s="28" t="s">
        <v>38</v>
      </c>
      <c r="J1943" s="28">
        <v>186.0</v>
      </c>
      <c r="K1943" s="28"/>
      <c r="L1943" s="28" t="s">
        <v>6628</v>
      </c>
      <c r="M1943" s="28" t="s">
        <v>6629</v>
      </c>
      <c r="N1943" s="28">
        <v>1969.0</v>
      </c>
      <c r="O1943" s="60">
        <v>15.0</v>
      </c>
      <c r="P1943" s="28">
        <v>1.0</v>
      </c>
      <c r="Q1943" s="94">
        <v>1.0</v>
      </c>
      <c r="R1943" s="33"/>
      <c r="S1943" s="34"/>
      <c r="T1943" s="34"/>
      <c r="U1943" s="34"/>
      <c r="V1943" s="34"/>
      <c r="W1943" s="34"/>
      <c r="X1943" s="34"/>
      <c r="Y1943" s="45"/>
      <c r="Z1943" s="45"/>
      <c r="AA1943" s="45"/>
      <c r="AB1943" s="45"/>
      <c r="AC1943" s="45"/>
      <c r="AD1943" s="45"/>
      <c r="AE1943" s="45"/>
      <c r="AF1943" s="45"/>
      <c r="AG1943" s="45"/>
      <c r="AH1943" s="45"/>
      <c r="AI1943" s="45"/>
      <c r="AJ1943" s="45"/>
      <c r="AK1943" s="45"/>
      <c r="AL1943" s="45"/>
    </row>
    <row r="1944" ht="15.75" customHeight="1">
      <c r="A1944" s="27">
        <f t="shared" si="21"/>
        <v>823</v>
      </c>
      <c r="B1944" s="28" t="s">
        <v>31</v>
      </c>
      <c r="C1944" s="43" t="s">
        <v>6630</v>
      </c>
      <c r="D1944" s="30" t="s">
        <v>6631</v>
      </c>
      <c r="E1944" s="28"/>
      <c r="F1944" s="28" t="s">
        <v>29</v>
      </c>
      <c r="G1944" s="28" t="s">
        <v>30</v>
      </c>
      <c r="H1944" s="28" t="s">
        <v>31</v>
      </c>
      <c r="I1944" s="28" t="s">
        <v>30</v>
      </c>
      <c r="J1944" s="28">
        <v>274.0</v>
      </c>
      <c r="K1944" s="28"/>
      <c r="L1944" s="28" t="s">
        <v>6632</v>
      </c>
      <c r="M1944" s="28" t="s">
        <v>6633</v>
      </c>
      <c r="N1944" s="28">
        <v>1976.0</v>
      </c>
      <c r="O1944" s="60">
        <v>15.0</v>
      </c>
      <c r="P1944" s="28">
        <v>1.0</v>
      </c>
      <c r="Q1944" s="94">
        <v>1.0</v>
      </c>
      <c r="R1944" s="33"/>
      <c r="S1944" s="34"/>
      <c r="T1944" s="34"/>
      <c r="U1944" s="34"/>
      <c r="V1944" s="34"/>
      <c r="W1944" s="34"/>
      <c r="X1944" s="34"/>
      <c r="Y1944" s="45"/>
      <c r="Z1944" s="45"/>
      <c r="AA1944" s="45"/>
      <c r="AB1944" s="45"/>
      <c r="AC1944" s="45"/>
      <c r="AD1944" s="45"/>
      <c r="AE1944" s="45"/>
      <c r="AF1944" s="45"/>
      <c r="AG1944" s="45"/>
      <c r="AH1944" s="45"/>
      <c r="AI1944" s="45"/>
      <c r="AJ1944" s="45"/>
      <c r="AK1944" s="45"/>
      <c r="AL1944" s="45"/>
    </row>
    <row r="1945" ht="15.75" customHeight="1">
      <c r="A1945" s="27">
        <f t="shared" si="21"/>
        <v>824</v>
      </c>
      <c r="B1945" s="28" t="s">
        <v>31</v>
      </c>
      <c r="C1945" s="43" t="s">
        <v>6634</v>
      </c>
      <c r="D1945" s="30" t="s">
        <v>6635</v>
      </c>
      <c r="E1945" s="28"/>
      <c r="F1945" s="28" t="s">
        <v>29</v>
      </c>
      <c r="G1945" s="28" t="s">
        <v>30</v>
      </c>
      <c r="H1945" s="28" t="s">
        <v>31</v>
      </c>
      <c r="I1945" s="28" t="s">
        <v>6636</v>
      </c>
      <c r="J1945" s="28">
        <v>258.0</v>
      </c>
      <c r="K1945" s="28"/>
      <c r="L1945" s="28" t="s">
        <v>6637</v>
      </c>
      <c r="M1945" s="28" t="s">
        <v>6633</v>
      </c>
      <c r="N1945" s="28">
        <v>1977.0</v>
      </c>
      <c r="O1945" s="60">
        <v>15.0</v>
      </c>
      <c r="P1945" s="28">
        <v>1.0</v>
      </c>
      <c r="Q1945" s="94">
        <v>1.0</v>
      </c>
      <c r="R1945" s="33"/>
      <c r="S1945" s="34"/>
      <c r="T1945" s="34"/>
      <c r="U1945" s="34"/>
      <c r="V1945" s="34"/>
      <c r="W1945" s="34"/>
      <c r="X1945" s="34"/>
      <c r="Y1945" s="45"/>
      <c r="Z1945" s="45"/>
      <c r="AA1945" s="45"/>
      <c r="AB1945" s="45"/>
      <c r="AC1945" s="45"/>
      <c r="AD1945" s="45"/>
      <c r="AE1945" s="45"/>
      <c r="AF1945" s="45"/>
      <c r="AG1945" s="45"/>
      <c r="AH1945" s="45"/>
      <c r="AI1945" s="45"/>
      <c r="AJ1945" s="45"/>
      <c r="AK1945" s="45"/>
      <c r="AL1945" s="45"/>
    </row>
    <row r="1946" ht="15.75" customHeight="1">
      <c r="A1946" s="27">
        <f t="shared" si="21"/>
        <v>825</v>
      </c>
      <c r="B1946" s="28" t="s">
        <v>31</v>
      </c>
      <c r="C1946" s="43" t="s">
        <v>6638</v>
      </c>
      <c r="D1946" s="30" t="s">
        <v>6639</v>
      </c>
      <c r="E1946" s="28"/>
      <c r="F1946" s="28" t="s">
        <v>29</v>
      </c>
      <c r="G1946" s="28" t="s">
        <v>30</v>
      </c>
      <c r="H1946" s="28" t="s">
        <v>31</v>
      </c>
      <c r="I1946" s="28" t="s">
        <v>6636</v>
      </c>
      <c r="J1946" s="28">
        <v>339.0</v>
      </c>
      <c r="K1946" s="28"/>
      <c r="L1946" s="28" t="s">
        <v>6640</v>
      </c>
      <c r="M1946" s="28" t="s">
        <v>6633</v>
      </c>
      <c r="N1946" s="28">
        <v>1979.0</v>
      </c>
      <c r="O1946" s="60">
        <v>15.0</v>
      </c>
      <c r="P1946" s="28">
        <v>1.0</v>
      </c>
      <c r="Q1946" s="94">
        <v>1.0</v>
      </c>
      <c r="R1946" s="33"/>
      <c r="S1946" s="34"/>
      <c r="T1946" s="34"/>
      <c r="U1946" s="34"/>
      <c r="V1946" s="34"/>
      <c r="W1946" s="34"/>
      <c r="X1946" s="34"/>
      <c r="Y1946" s="45"/>
      <c r="Z1946" s="45"/>
      <c r="AA1946" s="45"/>
      <c r="AB1946" s="45"/>
      <c r="AC1946" s="45"/>
      <c r="AD1946" s="45"/>
      <c r="AE1946" s="45"/>
      <c r="AF1946" s="45"/>
      <c r="AG1946" s="45"/>
      <c r="AH1946" s="45"/>
      <c r="AI1946" s="45"/>
      <c r="AJ1946" s="45"/>
      <c r="AK1946" s="45"/>
      <c r="AL1946" s="45"/>
    </row>
    <row r="1947" ht="15.75" customHeight="1">
      <c r="A1947" s="27">
        <f t="shared" si="21"/>
        <v>826</v>
      </c>
      <c r="B1947" s="28" t="s">
        <v>31</v>
      </c>
      <c r="C1947" s="43" t="s">
        <v>6641</v>
      </c>
      <c r="D1947" s="30" t="s">
        <v>6642</v>
      </c>
      <c r="E1947" s="28"/>
      <c r="F1947" s="28" t="s">
        <v>29</v>
      </c>
      <c r="G1947" s="28" t="s">
        <v>30</v>
      </c>
      <c r="H1947" s="28" t="s">
        <v>31</v>
      </c>
      <c r="I1947" s="28" t="s">
        <v>30</v>
      </c>
      <c r="J1947" s="28">
        <v>410.0</v>
      </c>
      <c r="K1947" s="28"/>
      <c r="L1947" s="28" t="s">
        <v>6632</v>
      </c>
      <c r="M1947" s="28" t="s">
        <v>6633</v>
      </c>
      <c r="N1947" s="28">
        <v>1976.0</v>
      </c>
      <c r="O1947" s="60">
        <v>15.0</v>
      </c>
      <c r="P1947" s="28">
        <v>1.0</v>
      </c>
      <c r="Q1947" s="94">
        <v>1.0</v>
      </c>
      <c r="R1947" s="33"/>
      <c r="S1947" s="34"/>
      <c r="T1947" s="34"/>
      <c r="U1947" s="34"/>
      <c r="V1947" s="34"/>
      <c r="W1947" s="34"/>
      <c r="X1947" s="34"/>
      <c r="Y1947" s="45"/>
      <c r="Z1947" s="45"/>
      <c r="AA1947" s="45"/>
      <c r="AB1947" s="45"/>
      <c r="AC1947" s="45"/>
      <c r="AD1947" s="45"/>
      <c r="AE1947" s="45"/>
      <c r="AF1947" s="45"/>
      <c r="AG1947" s="45"/>
      <c r="AH1947" s="45"/>
      <c r="AI1947" s="45"/>
      <c r="AJ1947" s="45"/>
      <c r="AK1947" s="45"/>
      <c r="AL1947" s="45"/>
    </row>
    <row r="1948" ht="15.75" customHeight="1">
      <c r="A1948" s="27">
        <f t="shared" si="21"/>
        <v>827</v>
      </c>
      <c r="B1948" s="28" t="s">
        <v>6643</v>
      </c>
      <c r="C1948" s="43" t="s">
        <v>6644</v>
      </c>
      <c r="D1948" s="30" t="s">
        <v>6645</v>
      </c>
      <c r="E1948" s="28"/>
      <c r="F1948" s="28" t="s">
        <v>29</v>
      </c>
      <c r="G1948" s="28" t="s">
        <v>30</v>
      </c>
      <c r="H1948" s="28"/>
      <c r="I1948" s="28" t="s">
        <v>30</v>
      </c>
      <c r="J1948" s="28">
        <v>152.0</v>
      </c>
      <c r="K1948" s="28"/>
      <c r="L1948" s="28" t="s">
        <v>6646</v>
      </c>
      <c r="M1948" s="28" t="s">
        <v>2494</v>
      </c>
      <c r="N1948" s="28">
        <v>2000.0</v>
      </c>
      <c r="O1948" s="60">
        <v>15.0</v>
      </c>
      <c r="P1948" s="28">
        <v>1.0</v>
      </c>
      <c r="Q1948" s="94">
        <v>1.0</v>
      </c>
      <c r="R1948" s="33"/>
      <c r="S1948" s="34"/>
      <c r="T1948" s="34"/>
      <c r="U1948" s="34"/>
      <c r="V1948" s="34"/>
      <c r="W1948" s="34"/>
      <c r="X1948" s="34"/>
      <c r="Y1948" s="45"/>
      <c r="Z1948" s="45"/>
      <c r="AA1948" s="45"/>
      <c r="AB1948" s="45"/>
      <c r="AC1948" s="45"/>
      <c r="AD1948" s="45"/>
      <c r="AE1948" s="45"/>
      <c r="AF1948" s="45"/>
      <c r="AG1948" s="45"/>
      <c r="AH1948" s="45"/>
      <c r="AI1948" s="45"/>
      <c r="AJ1948" s="45"/>
      <c r="AK1948" s="45"/>
      <c r="AL1948" s="45"/>
    </row>
    <row r="1949" ht="15.75" customHeight="1">
      <c r="A1949" s="27">
        <f t="shared" si="21"/>
        <v>828</v>
      </c>
      <c r="B1949" s="121" t="s">
        <v>6647</v>
      </c>
      <c r="C1949" s="121" t="s">
        <v>6648</v>
      </c>
      <c r="D1949" s="119" t="s">
        <v>6649</v>
      </c>
      <c r="E1949" s="83"/>
      <c r="F1949" s="121" t="s">
        <v>29</v>
      </c>
      <c r="G1949" s="121" t="s">
        <v>3887</v>
      </c>
      <c r="H1949" s="83"/>
      <c r="I1949" s="121" t="s">
        <v>166</v>
      </c>
      <c r="J1949" s="121">
        <v>855.0</v>
      </c>
      <c r="K1949" s="83"/>
      <c r="L1949" s="28" t="s">
        <v>6650</v>
      </c>
      <c r="M1949" s="121" t="s">
        <v>6009</v>
      </c>
      <c r="N1949" s="121">
        <v>2000.0</v>
      </c>
      <c r="O1949" s="121">
        <v>15.0</v>
      </c>
      <c r="P1949" s="121">
        <v>1.0</v>
      </c>
      <c r="Q1949" s="121">
        <v>1.0</v>
      </c>
      <c r="R1949" s="84"/>
      <c r="S1949" s="34"/>
      <c r="T1949" s="34"/>
      <c r="U1949" s="34"/>
      <c r="V1949" s="34"/>
      <c r="W1949" s="34"/>
      <c r="X1949" s="34"/>
      <c r="Y1949" s="45"/>
      <c r="Z1949" s="45"/>
      <c r="AA1949" s="45"/>
      <c r="AB1949" s="45"/>
      <c r="AC1949" s="45"/>
      <c r="AD1949" s="45"/>
      <c r="AE1949" s="45"/>
      <c r="AF1949" s="45"/>
      <c r="AG1949" s="45"/>
      <c r="AH1949" s="45"/>
      <c r="AI1949" s="45"/>
      <c r="AJ1949" s="45"/>
      <c r="AK1949" s="45"/>
      <c r="AL1949" s="45"/>
    </row>
    <row r="1950" ht="15.75" customHeight="1">
      <c r="A1950" s="27">
        <f t="shared" si="21"/>
        <v>829</v>
      </c>
      <c r="B1950" s="121" t="s">
        <v>6651</v>
      </c>
      <c r="C1950" s="121" t="s">
        <v>6648</v>
      </c>
      <c r="D1950" s="119" t="s">
        <v>6652</v>
      </c>
      <c r="E1950" s="83"/>
      <c r="F1950" s="121" t="s">
        <v>29</v>
      </c>
      <c r="G1950" s="121" t="s">
        <v>3887</v>
      </c>
      <c r="H1950" s="83"/>
      <c r="I1950" s="121" t="s">
        <v>38</v>
      </c>
      <c r="J1950" s="121">
        <v>1248.0</v>
      </c>
      <c r="K1950" s="83"/>
      <c r="L1950" s="121" t="s">
        <v>6653</v>
      </c>
      <c r="M1950" s="121" t="s">
        <v>6009</v>
      </c>
      <c r="N1950" s="121">
        <v>2009.0</v>
      </c>
      <c r="O1950" s="121">
        <v>15.0</v>
      </c>
      <c r="P1950" s="121">
        <v>1.0</v>
      </c>
      <c r="Q1950" s="121">
        <v>1.0</v>
      </c>
      <c r="R1950" s="84"/>
      <c r="S1950" s="34"/>
      <c r="T1950" s="34"/>
      <c r="U1950" s="34"/>
      <c r="V1950" s="34"/>
      <c r="W1950" s="34"/>
      <c r="X1950" s="34"/>
      <c r="Y1950" s="45"/>
      <c r="Z1950" s="45"/>
      <c r="AA1950" s="45"/>
      <c r="AB1950" s="45"/>
      <c r="AC1950" s="45"/>
      <c r="AD1950" s="45"/>
      <c r="AE1950" s="45"/>
      <c r="AF1950" s="45"/>
      <c r="AG1950" s="45"/>
      <c r="AH1950" s="45"/>
      <c r="AI1950" s="45"/>
      <c r="AJ1950" s="45"/>
      <c r="AK1950" s="45"/>
      <c r="AL1950" s="45"/>
    </row>
    <row r="1951" ht="15.75" customHeight="1">
      <c r="A1951" s="27">
        <f t="shared" si="21"/>
        <v>830</v>
      </c>
      <c r="B1951" s="28" t="s">
        <v>6654</v>
      </c>
      <c r="C1951" s="43" t="s">
        <v>6655</v>
      </c>
      <c r="D1951" s="30" t="s">
        <v>6656</v>
      </c>
      <c r="E1951" s="28" t="s">
        <v>31</v>
      </c>
      <c r="F1951" s="28" t="s">
        <v>29</v>
      </c>
      <c r="G1951" s="28" t="s">
        <v>37</v>
      </c>
      <c r="H1951" s="28"/>
      <c r="I1951" s="28" t="s">
        <v>38</v>
      </c>
      <c r="J1951" s="28">
        <v>735.0</v>
      </c>
      <c r="K1951" s="28"/>
      <c r="L1951" s="28" t="s">
        <v>6650</v>
      </c>
      <c r="M1951" s="28" t="s">
        <v>6009</v>
      </c>
      <c r="N1951" s="28">
        <v>2000.0</v>
      </c>
      <c r="O1951" s="60">
        <v>15.0</v>
      </c>
      <c r="P1951" s="28">
        <v>1.0</v>
      </c>
      <c r="Q1951" s="94">
        <v>1.0</v>
      </c>
      <c r="R1951" s="33"/>
      <c r="S1951" s="34"/>
      <c r="T1951" s="34"/>
      <c r="U1951" s="34"/>
      <c r="V1951" s="34"/>
      <c r="W1951" s="34"/>
      <c r="X1951" s="34"/>
      <c r="Y1951" s="45"/>
      <c r="Z1951" s="45"/>
      <c r="AA1951" s="45"/>
      <c r="AB1951" s="45"/>
      <c r="AC1951" s="45"/>
      <c r="AD1951" s="45"/>
      <c r="AE1951" s="45"/>
      <c r="AF1951" s="45"/>
      <c r="AG1951" s="45"/>
      <c r="AH1951" s="45"/>
      <c r="AI1951" s="45"/>
      <c r="AJ1951" s="45"/>
      <c r="AK1951" s="45"/>
      <c r="AL1951" s="45"/>
    </row>
    <row r="1952" ht="15.75" customHeight="1">
      <c r="A1952" s="27">
        <f t="shared" si="21"/>
        <v>831</v>
      </c>
      <c r="B1952" s="28" t="s">
        <v>6657</v>
      </c>
      <c r="C1952" s="43" t="s">
        <v>6655</v>
      </c>
      <c r="D1952" s="30" t="s">
        <v>6658</v>
      </c>
      <c r="E1952" s="28" t="s">
        <v>31</v>
      </c>
      <c r="F1952" s="28" t="s">
        <v>29</v>
      </c>
      <c r="G1952" s="28" t="s">
        <v>37</v>
      </c>
      <c r="H1952" s="28"/>
      <c r="I1952" s="28" t="s">
        <v>38</v>
      </c>
      <c r="J1952" s="28">
        <v>948.0</v>
      </c>
      <c r="K1952" s="28"/>
      <c r="L1952" s="28" t="s">
        <v>6650</v>
      </c>
      <c r="M1952" s="28" t="s">
        <v>6009</v>
      </c>
      <c r="N1952" s="28">
        <v>1992.0</v>
      </c>
      <c r="O1952" s="60">
        <v>15.0</v>
      </c>
      <c r="P1952" s="28">
        <v>1.0</v>
      </c>
      <c r="Q1952" s="94">
        <v>1.0</v>
      </c>
      <c r="R1952" s="33"/>
      <c r="S1952" s="34"/>
      <c r="T1952" s="34"/>
      <c r="U1952" s="34"/>
      <c r="V1952" s="34"/>
      <c r="W1952" s="34"/>
      <c r="X1952" s="34"/>
      <c r="Y1952" s="45"/>
      <c r="Z1952" s="45"/>
      <c r="AA1952" s="45"/>
      <c r="AB1952" s="45"/>
      <c r="AC1952" s="45"/>
      <c r="AD1952" s="45"/>
      <c r="AE1952" s="45"/>
      <c r="AF1952" s="45"/>
      <c r="AG1952" s="45"/>
      <c r="AH1952" s="45"/>
      <c r="AI1952" s="45"/>
      <c r="AJ1952" s="45"/>
      <c r="AK1952" s="45"/>
      <c r="AL1952" s="45"/>
    </row>
    <row r="1953" ht="15.75" customHeight="1">
      <c r="A1953" s="27">
        <f t="shared" si="21"/>
        <v>832</v>
      </c>
      <c r="B1953" s="28" t="s">
        <v>6659</v>
      </c>
      <c r="C1953" s="43" t="s">
        <v>6660</v>
      </c>
      <c r="D1953" s="30" t="s">
        <v>6661</v>
      </c>
      <c r="E1953" s="28"/>
      <c r="F1953" s="28" t="s">
        <v>29</v>
      </c>
      <c r="G1953" s="28" t="s">
        <v>30</v>
      </c>
      <c r="H1953" s="28" t="s">
        <v>6662</v>
      </c>
      <c r="I1953" s="28" t="s">
        <v>6663</v>
      </c>
      <c r="J1953" s="28">
        <v>275.0</v>
      </c>
      <c r="K1953" s="28"/>
      <c r="L1953" s="28" t="s">
        <v>6664</v>
      </c>
      <c r="M1953" s="28" t="s">
        <v>4212</v>
      </c>
      <c r="N1953" s="28">
        <v>2001.0</v>
      </c>
      <c r="O1953" s="60">
        <v>15.0</v>
      </c>
      <c r="P1953" s="28">
        <v>1.0</v>
      </c>
      <c r="Q1953" s="94">
        <v>1.0</v>
      </c>
      <c r="R1953" s="33"/>
      <c r="S1953" s="34"/>
      <c r="T1953" s="34"/>
      <c r="U1953" s="34"/>
      <c r="V1953" s="34"/>
      <c r="W1953" s="34"/>
      <c r="X1953" s="34"/>
      <c r="Y1953" s="3"/>
      <c r="Z1953" s="3"/>
      <c r="AA1953" s="3"/>
      <c r="AB1953" s="3"/>
      <c r="AC1953" s="3"/>
      <c r="AD1953" s="3"/>
      <c r="AE1953" s="3"/>
      <c r="AF1953" s="3"/>
      <c r="AG1953" s="3"/>
      <c r="AH1953" s="3"/>
      <c r="AI1953" s="3"/>
      <c r="AJ1953" s="3"/>
      <c r="AK1953" s="3"/>
      <c r="AL1953" s="3"/>
    </row>
    <row r="1954" ht="15.75" customHeight="1">
      <c r="A1954" s="27">
        <f t="shared" si="21"/>
        <v>833</v>
      </c>
      <c r="B1954" s="28" t="s">
        <v>6665</v>
      </c>
      <c r="C1954" s="43" t="s">
        <v>6666</v>
      </c>
      <c r="D1954" s="30" t="s">
        <v>6667</v>
      </c>
      <c r="E1954" s="28" t="s">
        <v>144</v>
      </c>
      <c r="F1954" s="28" t="s">
        <v>29</v>
      </c>
      <c r="G1954" s="28" t="s">
        <v>30</v>
      </c>
      <c r="H1954" s="28"/>
      <c r="I1954" s="28" t="s">
        <v>30</v>
      </c>
      <c r="J1954" s="28">
        <v>233.0</v>
      </c>
      <c r="K1954" s="28"/>
      <c r="L1954" s="28" t="s">
        <v>6668</v>
      </c>
      <c r="M1954" s="28" t="s">
        <v>6669</v>
      </c>
      <c r="N1954" s="28">
        <v>2003.0</v>
      </c>
      <c r="O1954" s="28">
        <v>15.0</v>
      </c>
      <c r="P1954" s="28">
        <v>1.0</v>
      </c>
      <c r="Q1954" s="94">
        <v>1.0</v>
      </c>
      <c r="R1954" s="33"/>
      <c r="S1954" s="185"/>
      <c r="T1954" s="185"/>
      <c r="U1954" s="185"/>
      <c r="V1954" s="185"/>
      <c r="W1954" s="185"/>
      <c r="X1954" s="185"/>
      <c r="Y1954" s="45"/>
      <c r="Z1954" s="45"/>
      <c r="AA1954" s="45"/>
      <c r="AB1954" s="45"/>
      <c r="AC1954" s="45"/>
      <c r="AD1954" s="45"/>
      <c r="AE1954" s="45"/>
      <c r="AF1954" s="45"/>
      <c r="AG1954" s="45"/>
      <c r="AH1954" s="45"/>
      <c r="AI1954" s="45"/>
      <c r="AJ1954" s="45"/>
      <c r="AK1954" s="45"/>
      <c r="AL1954" s="45"/>
    </row>
    <row r="1955" ht="15.75" customHeight="1">
      <c r="A1955" s="27">
        <f t="shared" si="21"/>
        <v>834</v>
      </c>
      <c r="B1955" s="28" t="s">
        <v>31</v>
      </c>
      <c r="C1955" s="43" t="s">
        <v>6670</v>
      </c>
      <c r="D1955" s="30" t="s">
        <v>6671</v>
      </c>
      <c r="E1955" s="28" t="s">
        <v>31</v>
      </c>
      <c r="F1955" s="28" t="s">
        <v>29</v>
      </c>
      <c r="G1955" s="28" t="s">
        <v>30</v>
      </c>
      <c r="H1955" s="28"/>
      <c r="I1955" s="28" t="s">
        <v>30</v>
      </c>
      <c r="J1955" s="28">
        <v>194.0</v>
      </c>
      <c r="K1955" s="28"/>
      <c r="L1955" s="28" t="s">
        <v>6672</v>
      </c>
      <c r="M1955" s="28" t="s">
        <v>3341</v>
      </c>
      <c r="N1955" s="28">
        <v>2005.0</v>
      </c>
      <c r="O1955" s="60">
        <v>15.0</v>
      </c>
      <c r="P1955" s="28">
        <v>1.0</v>
      </c>
      <c r="Q1955" s="94">
        <v>1.0</v>
      </c>
      <c r="R1955" s="33"/>
      <c r="S1955" s="34"/>
      <c r="T1955" s="34"/>
      <c r="U1955" s="34"/>
      <c r="V1955" s="34"/>
      <c r="W1955" s="34"/>
      <c r="X1955" s="34"/>
      <c r="Y1955" s="45"/>
      <c r="Z1955" s="45"/>
      <c r="AA1955" s="45"/>
      <c r="AB1955" s="45"/>
      <c r="AC1955" s="45"/>
      <c r="AD1955" s="45"/>
      <c r="AE1955" s="45"/>
      <c r="AF1955" s="45"/>
      <c r="AG1955" s="45"/>
      <c r="AH1955" s="45"/>
      <c r="AI1955" s="45"/>
      <c r="AJ1955" s="45"/>
      <c r="AK1955" s="45"/>
      <c r="AL1955" s="45"/>
    </row>
    <row r="1956" ht="15.75" customHeight="1">
      <c r="A1956" s="27">
        <f t="shared" si="21"/>
        <v>835</v>
      </c>
      <c r="B1956" s="28" t="s">
        <v>6673</v>
      </c>
      <c r="C1956" s="43" t="s">
        <v>6674</v>
      </c>
      <c r="D1956" s="30" t="s">
        <v>6675</v>
      </c>
      <c r="E1956" s="28"/>
      <c r="F1956" s="28" t="s">
        <v>29</v>
      </c>
      <c r="G1956" s="28" t="s">
        <v>37</v>
      </c>
      <c r="H1956" s="28"/>
      <c r="I1956" s="28" t="s">
        <v>38</v>
      </c>
      <c r="J1956" s="28">
        <v>207.0</v>
      </c>
      <c r="K1956" s="28"/>
      <c r="L1956" s="28" t="s">
        <v>6676</v>
      </c>
      <c r="M1956" s="28" t="s">
        <v>1191</v>
      </c>
      <c r="N1956" s="28">
        <v>1997.0</v>
      </c>
      <c r="O1956" s="60">
        <v>15.0</v>
      </c>
      <c r="P1956" s="28">
        <v>1.0</v>
      </c>
      <c r="Q1956" s="32">
        <v>1.0</v>
      </c>
      <c r="R1956" s="33"/>
      <c r="S1956" s="34"/>
      <c r="T1956" s="34"/>
      <c r="U1956" s="34"/>
      <c r="V1956" s="34"/>
      <c r="W1956" s="34"/>
      <c r="X1956" s="34"/>
      <c r="Y1956" s="45"/>
      <c r="Z1956" s="45"/>
      <c r="AA1956" s="45"/>
      <c r="AB1956" s="45"/>
      <c r="AC1956" s="45"/>
      <c r="AD1956" s="45"/>
      <c r="AE1956" s="45"/>
      <c r="AF1956" s="45"/>
      <c r="AG1956" s="45"/>
      <c r="AH1956" s="45"/>
      <c r="AI1956" s="45"/>
      <c r="AJ1956" s="45"/>
      <c r="AK1956" s="45"/>
      <c r="AL1956" s="45"/>
    </row>
    <row r="1957" ht="15.75" customHeight="1">
      <c r="A1957" s="27">
        <f t="shared" si="21"/>
        <v>836</v>
      </c>
      <c r="B1957" s="202" t="s">
        <v>31</v>
      </c>
      <c r="C1957" s="43" t="s">
        <v>6677</v>
      </c>
      <c r="D1957" s="30" t="s">
        <v>6678</v>
      </c>
      <c r="E1957" s="28" t="s">
        <v>31</v>
      </c>
      <c r="F1957" s="28" t="s">
        <v>29</v>
      </c>
      <c r="G1957" s="28" t="s">
        <v>30</v>
      </c>
      <c r="H1957" s="28"/>
      <c r="I1957" s="28" t="s">
        <v>30</v>
      </c>
      <c r="J1957" s="28">
        <v>164.0</v>
      </c>
      <c r="K1957" s="28"/>
      <c r="L1957" s="28" t="s">
        <v>6679</v>
      </c>
      <c r="M1957" s="28" t="s">
        <v>6680</v>
      </c>
      <c r="N1957" s="28">
        <v>1995.0</v>
      </c>
      <c r="O1957" s="60">
        <v>15.0</v>
      </c>
      <c r="P1957" s="28">
        <v>1.0</v>
      </c>
      <c r="Q1957" s="94">
        <v>1.0</v>
      </c>
      <c r="R1957" s="33"/>
      <c r="S1957" s="34"/>
      <c r="T1957" s="34"/>
      <c r="U1957" s="34"/>
      <c r="V1957" s="34"/>
      <c r="W1957" s="34"/>
      <c r="X1957" s="34"/>
      <c r="Y1957" s="45"/>
      <c r="Z1957" s="45"/>
      <c r="AA1957" s="45"/>
      <c r="AB1957" s="45"/>
      <c r="AC1957" s="45"/>
      <c r="AD1957" s="45"/>
      <c r="AE1957" s="45"/>
      <c r="AF1957" s="45"/>
      <c r="AG1957" s="45"/>
      <c r="AH1957" s="45"/>
      <c r="AI1957" s="45"/>
      <c r="AJ1957" s="45"/>
      <c r="AK1957" s="45"/>
      <c r="AL1957" s="45"/>
    </row>
    <row r="1958" ht="15.75" customHeight="1">
      <c r="A1958" s="27">
        <f t="shared" si="21"/>
        <v>837</v>
      </c>
      <c r="B1958" s="28" t="s">
        <v>6681</v>
      </c>
      <c r="C1958" s="43" t="s">
        <v>6682</v>
      </c>
      <c r="D1958" s="30" t="s">
        <v>6683</v>
      </c>
      <c r="E1958" s="28"/>
      <c r="F1958" s="28" t="s">
        <v>29</v>
      </c>
      <c r="G1958" s="28" t="s">
        <v>30</v>
      </c>
      <c r="H1958" s="28" t="s">
        <v>31</v>
      </c>
      <c r="I1958" s="28" t="s">
        <v>38</v>
      </c>
      <c r="J1958" s="28">
        <v>166.0</v>
      </c>
      <c r="K1958" s="28"/>
      <c r="L1958" s="28" t="s">
        <v>6684</v>
      </c>
      <c r="M1958" s="28" t="s">
        <v>6685</v>
      </c>
      <c r="N1958" s="28">
        <v>2007.0</v>
      </c>
      <c r="O1958" s="60">
        <v>15.0</v>
      </c>
      <c r="P1958" s="28">
        <v>1.0</v>
      </c>
      <c r="Q1958" s="94">
        <v>1.0</v>
      </c>
      <c r="R1958" s="33"/>
      <c r="S1958" s="34"/>
      <c r="T1958" s="34"/>
      <c r="U1958" s="34"/>
      <c r="V1958" s="34"/>
      <c r="W1958" s="34"/>
      <c r="X1958" s="34"/>
      <c r="Y1958" s="45"/>
      <c r="Z1958" s="45"/>
      <c r="AA1958" s="45"/>
      <c r="AB1958" s="45"/>
      <c r="AC1958" s="45"/>
      <c r="AD1958" s="45"/>
      <c r="AE1958" s="45"/>
      <c r="AF1958" s="45"/>
      <c r="AG1958" s="45"/>
      <c r="AH1958" s="45"/>
      <c r="AI1958" s="45"/>
      <c r="AJ1958" s="45"/>
      <c r="AK1958" s="45"/>
      <c r="AL1958" s="45"/>
    </row>
    <row r="1959" ht="15.75" customHeight="1">
      <c r="A1959" s="27">
        <f t="shared" si="21"/>
        <v>838</v>
      </c>
      <c r="B1959" s="132" t="s">
        <v>6686</v>
      </c>
      <c r="C1959" s="132" t="s">
        <v>6687</v>
      </c>
      <c r="D1959" s="131" t="s">
        <v>6688</v>
      </c>
      <c r="E1959" s="33"/>
      <c r="F1959" s="132" t="s">
        <v>29</v>
      </c>
      <c r="G1959" s="132" t="s">
        <v>30</v>
      </c>
      <c r="H1959" s="33"/>
      <c r="I1959" s="132" t="s">
        <v>30</v>
      </c>
      <c r="J1959" s="132">
        <v>424.0</v>
      </c>
      <c r="K1959" s="33"/>
      <c r="L1959" s="132" t="s">
        <v>6689</v>
      </c>
      <c r="M1959" s="132" t="s">
        <v>2698</v>
      </c>
      <c r="N1959" s="132">
        <v>2018.0</v>
      </c>
      <c r="O1959" s="132">
        <v>15.0</v>
      </c>
      <c r="P1959" s="132">
        <v>1.0</v>
      </c>
      <c r="Q1959" s="132">
        <v>1.0</v>
      </c>
      <c r="R1959" s="84"/>
      <c r="S1959" s="34"/>
      <c r="T1959" s="34"/>
      <c r="U1959" s="34"/>
      <c r="V1959" s="34"/>
      <c r="W1959" s="34"/>
      <c r="X1959" s="34"/>
      <c r="Y1959" s="45"/>
      <c r="Z1959" s="45"/>
      <c r="AA1959" s="45"/>
      <c r="AB1959" s="45"/>
      <c r="AC1959" s="45"/>
      <c r="AD1959" s="45"/>
      <c r="AE1959" s="45"/>
      <c r="AF1959" s="45"/>
      <c r="AG1959" s="45"/>
      <c r="AH1959" s="45"/>
      <c r="AI1959" s="45"/>
      <c r="AJ1959" s="45"/>
      <c r="AK1959" s="45"/>
      <c r="AL1959" s="45"/>
    </row>
    <row r="1960" ht="15.75" customHeight="1">
      <c r="A1960" s="27">
        <f t="shared" si="21"/>
        <v>839</v>
      </c>
      <c r="B1960" s="28" t="s">
        <v>6690</v>
      </c>
      <c r="C1960" s="43" t="s">
        <v>6691</v>
      </c>
      <c r="D1960" s="30" t="s">
        <v>6692</v>
      </c>
      <c r="E1960" s="28" t="s">
        <v>31</v>
      </c>
      <c r="F1960" s="28" t="s">
        <v>29</v>
      </c>
      <c r="G1960" s="28" t="s">
        <v>30</v>
      </c>
      <c r="H1960" s="28"/>
      <c r="I1960" s="28" t="s">
        <v>30</v>
      </c>
      <c r="J1960" s="28">
        <v>261.0</v>
      </c>
      <c r="K1960" s="28"/>
      <c r="L1960" s="28" t="s">
        <v>6693</v>
      </c>
      <c r="M1960" s="28" t="s">
        <v>6694</v>
      </c>
      <c r="N1960" s="28">
        <v>1994.0</v>
      </c>
      <c r="O1960" s="60">
        <v>15.0</v>
      </c>
      <c r="P1960" s="28">
        <v>1.0</v>
      </c>
      <c r="Q1960" s="94">
        <v>1.0</v>
      </c>
      <c r="R1960" s="33"/>
      <c r="S1960" s="34"/>
      <c r="T1960" s="34"/>
      <c r="U1960" s="34"/>
      <c r="V1960" s="34"/>
      <c r="W1960" s="34"/>
      <c r="X1960" s="34"/>
      <c r="Y1960" s="45"/>
      <c r="Z1960" s="45"/>
      <c r="AA1960" s="45"/>
      <c r="AB1960" s="45"/>
      <c r="AC1960" s="45"/>
      <c r="AD1960" s="45"/>
      <c r="AE1960" s="45"/>
      <c r="AF1960" s="45"/>
      <c r="AG1960" s="45"/>
      <c r="AH1960" s="45"/>
      <c r="AI1960" s="45"/>
      <c r="AJ1960" s="45"/>
      <c r="AK1960" s="45"/>
      <c r="AL1960" s="45"/>
    </row>
    <row r="1961" ht="15.75" customHeight="1">
      <c r="A1961" s="27">
        <f t="shared" si="21"/>
        <v>840</v>
      </c>
      <c r="B1961" s="28" t="s">
        <v>6695</v>
      </c>
      <c r="C1961" s="43" t="s">
        <v>6696</v>
      </c>
      <c r="D1961" s="30" t="s">
        <v>6697</v>
      </c>
      <c r="E1961" s="28"/>
      <c r="F1961" s="28" t="s">
        <v>29</v>
      </c>
      <c r="G1961" s="28" t="s">
        <v>31</v>
      </c>
      <c r="H1961" s="28"/>
      <c r="I1961" s="28" t="s">
        <v>38</v>
      </c>
      <c r="J1961" s="28">
        <v>279.0</v>
      </c>
      <c r="K1961" s="28"/>
      <c r="L1961" s="28" t="s">
        <v>6698</v>
      </c>
      <c r="M1961" s="28" t="s">
        <v>6699</v>
      </c>
      <c r="N1961" s="28">
        <v>1988.0</v>
      </c>
      <c r="O1961" s="60">
        <v>15.0</v>
      </c>
      <c r="P1961" s="28">
        <v>1.0</v>
      </c>
      <c r="Q1961" s="94">
        <v>1.0</v>
      </c>
      <c r="R1961" s="33"/>
      <c r="S1961" s="34"/>
      <c r="T1961" s="34"/>
      <c r="U1961" s="34"/>
      <c r="V1961" s="34"/>
      <c r="W1961" s="34"/>
      <c r="X1961" s="34"/>
      <c r="Y1961" s="45"/>
      <c r="Z1961" s="45"/>
      <c r="AA1961" s="45"/>
      <c r="AB1961" s="45"/>
      <c r="AC1961" s="45"/>
      <c r="AD1961" s="45"/>
      <c r="AE1961" s="45"/>
      <c r="AF1961" s="45"/>
      <c r="AG1961" s="45"/>
      <c r="AH1961" s="45"/>
      <c r="AI1961" s="45"/>
      <c r="AJ1961" s="45"/>
      <c r="AK1961" s="45"/>
      <c r="AL1961" s="45"/>
    </row>
    <row r="1962" ht="15.75" customHeight="1">
      <c r="A1962" s="27">
        <f t="shared" si="21"/>
        <v>841</v>
      </c>
      <c r="B1962" s="28" t="s">
        <v>6700</v>
      </c>
      <c r="C1962" s="43" t="s">
        <v>6701</v>
      </c>
      <c r="D1962" s="30" t="s">
        <v>6702</v>
      </c>
      <c r="E1962" s="28" t="s">
        <v>31</v>
      </c>
      <c r="F1962" s="28" t="s">
        <v>29</v>
      </c>
      <c r="G1962" s="28" t="s">
        <v>30</v>
      </c>
      <c r="H1962" s="28"/>
      <c r="I1962" s="28" t="s">
        <v>30</v>
      </c>
      <c r="J1962" s="28">
        <v>128.0</v>
      </c>
      <c r="K1962" s="28"/>
      <c r="L1962" s="28" t="s">
        <v>6703</v>
      </c>
      <c r="M1962" s="28" t="s">
        <v>2698</v>
      </c>
      <c r="N1962" s="28">
        <v>1996.0</v>
      </c>
      <c r="O1962" s="60">
        <v>15.0</v>
      </c>
      <c r="P1962" s="28">
        <v>1.0</v>
      </c>
      <c r="Q1962" s="94">
        <v>1.0</v>
      </c>
      <c r="R1962" s="33"/>
      <c r="S1962" s="34"/>
      <c r="T1962" s="34"/>
      <c r="U1962" s="34"/>
      <c r="V1962" s="34"/>
      <c r="W1962" s="34"/>
      <c r="X1962" s="34"/>
      <c r="Y1962" s="45"/>
      <c r="Z1962" s="45"/>
      <c r="AA1962" s="45"/>
      <c r="AB1962" s="45"/>
      <c r="AC1962" s="45"/>
      <c r="AD1962" s="45"/>
      <c r="AE1962" s="45"/>
      <c r="AF1962" s="45"/>
      <c r="AG1962" s="45"/>
      <c r="AH1962" s="45"/>
      <c r="AI1962" s="45"/>
      <c r="AJ1962" s="45"/>
      <c r="AK1962" s="45"/>
      <c r="AL1962" s="45"/>
    </row>
    <row r="1963" ht="15.75" customHeight="1">
      <c r="A1963" s="27">
        <f t="shared" si="21"/>
        <v>842</v>
      </c>
      <c r="B1963" s="28" t="s">
        <v>6704</v>
      </c>
      <c r="C1963" s="43" t="s">
        <v>6705</v>
      </c>
      <c r="D1963" s="30" t="s">
        <v>6706</v>
      </c>
      <c r="E1963" s="28" t="s">
        <v>31</v>
      </c>
      <c r="F1963" s="28" t="s">
        <v>29</v>
      </c>
      <c r="G1963" s="28" t="s">
        <v>37</v>
      </c>
      <c r="H1963" s="28"/>
      <c r="I1963" s="28" t="s">
        <v>38</v>
      </c>
      <c r="J1963" s="28"/>
      <c r="K1963" s="28"/>
      <c r="L1963" s="28" t="s">
        <v>6707</v>
      </c>
      <c r="M1963" s="28" t="s">
        <v>6009</v>
      </c>
      <c r="N1963" s="28">
        <v>1991.0</v>
      </c>
      <c r="O1963" s="60">
        <v>15.0</v>
      </c>
      <c r="P1963" s="28">
        <v>1.0</v>
      </c>
      <c r="Q1963" s="94">
        <v>1.0</v>
      </c>
      <c r="R1963" s="33"/>
      <c r="S1963" s="34"/>
      <c r="T1963" s="34"/>
      <c r="U1963" s="34"/>
      <c r="V1963" s="34"/>
      <c r="W1963" s="34"/>
      <c r="X1963" s="34"/>
      <c r="Y1963" s="3"/>
      <c r="Z1963" s="3"/>
      <c r="AA1963" s="3"/>
      <c r="AB1963" s="3"/>
      <c r="AC1963" s="3"/>
      <c r="AD1963" s="3"/>
      <c r="AE1963" s="3"/>
      <c r="AF1963" s="3"/>
      <c r="AG1963" s="3"/>
      <c r="AH1963" s="3"/>
      <c r="AI1963" s="3"/>
      <c r="AJ1963" s="3"/>
      <c r="AK1963" s="3"/>
      <c r="AL1963" s="3"/>
    </row>
    <row r="1964" ht="15.75" customHeight="1">
      <c r="A1964" s="27">
        <f t="shared" si="21"/>
        <v>843</v>
      </c>
      <c r="B1964" s="28" t="s">
        <v>6708</v>
      </c>
      <c r="C1964" s="129" t="s">
        <v>6709</v>
      </c>
      <c r="D1964" s="120" t="s">
        <v>6710</v>
      </c>
      <c r="E1964" s="28" t="s">
        <v>144</v>
      </c>
      <c r="F1964" s="28" t="s">
        <v>29</v>
      </c>
      <c r="G1964" s="28" t="s">
        <v>30</v>
      </c>
      <c r="H1964" s="28" t="s">
        <v>31</v>
      </c>
      <c r="I1964" s="28" t="s">
        <v>30</v>
      </c>
      <c r="J1964" s="28"/>
      <c r="K1964" s="28" t="s">
        <v>31</v>
      </c>
      <c r="L1964" s="28" t="s">
        <v>31</v>
      </c>
      <c r="M1964" s="28" t="s">
        <v>6711</v>
      </c>
      <c r="N1964" s="28">
        <v>2015.0</v>
      </c>
      <c r="O1964" s="60">
        <v>15.0</v>
      </c>
      <c r="P1964" s="28">
        <v>1.0</v>
      </c>
      <c r="Q1964" s="32">
        <v>1.0</v>
      </c>
      <c r="R1964" s="33"/>
      <c r="S1964" s="116"/>
      <c r="T1964" s="116"/>
      <c r="U1964" s="116"/>
      <c r="V1964" s="116"/>
      <c r="W1964" s="116"/>
      <c r="X1964" s="116"/>
      <c r="Y1964" s="3"/>
      <c r="Z1964" s="3"/>
      <c r="AA1964" s="3"/>
      <c r="AB1964" s="3"/>
      <c r="AC1964" s="3"/>
      <c r="AD1964" s="3"/>
      <c r="AE1964" s="3"/>
      <c r="AF1964" s="3"/>
      <c r="AG1964" s="3"/>
      <c r="AH1964" s="3"/>
      <c r="AI1964" s="3"/>
      <c r="AJ1964" s="3"/>
      <c r="AK1964" s="3"/>
      <c r="AL1964" s="3"/>
    </row>
    <row r="1965" ht="15.75" customHeight="1">
      <c r="A1965" s="27">
        <f t="shared" si="21"/>
        <v>844</v>
      </c>
      <c r="B1965" s="28"/>
      <c r="C1965" s="43" t="s">
        <v>6712</v>
      </c>
      <c r="D1965" s="30" t="s">
        <v>6713</v>
      </c>
      <c r="E1965" s="28" t="s">
        <v>144</v>
      </c>
      <c r="F1965" s="28" t="s">
        <v>29</v>
      </c>
      <c r="G1965" s="28" t="s">
        <v>98</v>
      </c>
      <c r="H1965" s="28"/>
      <c r="I1965" s="28"/>
      <c r="J1965" s="28">
        <v>646.0</v>
      </c>
      <c r="K1965" s="28"/>
      <c r="L1965" s="28" t="s">
        <v>6714</v>
      </c>
      <c r="M1965" s="28" t="s">
        <v>6715</v>
      </c>
      <c r="N1965" s="28">
        <v>1977.0</v>
      </c>
      <c r="O1965" s="28">
        <v>15.0</v>
      </c>
      <c r="P1965" s="28">
        <v>1.0</v>
      </c>
      <c r="Q1965" s="94">
        <v>1.0</v>
      </c>
      <c r="R1965" s="33"/>
      <c r="S1965" s="34"/>
      <c r="T1965" s="34"/>
      <c r="U1965" s="34"/>
      <c r="V1965" s="34"/>
      <c r="W1965" s="34"/>
      <c r="X1965" s="34"/>
      <c r="Y1965" s="45"/>
      <c r="Z1965" s="45"/>
      <c r="AA1965" s="45"/>
      <c r="AB1965" s="45"/>
      <c r="AC1965" s="45"/>
      <c r="AD1965" s="45"/>
      <c r="AE1965" s="45"/>
      <c r="AF1965" s="45"/>
      <c r="AG1965" s="45"/>
      <c r="AH1965" s="45"/>
      <c r="AI1965" s="45"/>
      <c r="AJ1965" s="45"/>
      <c r="AK1965" s="45"/>
      <c r="AL1965" s="45"/>
    </row>
    <row r="1966" ht="15.75" customHeight="1">
      <c r="A1966" s="27">
        <f t="shared" si="21"/>
        <v>845</v>
      </c>
      <c r="B1966" s="28" t="s">
        <v>6716</v>
      </c>
      <c r="C1966" s="43" t="s">
        <v>0</v>
      </c>
      <c r="D1966" s="30" t="s">
        <v>6717</v>
      </c>
      <c r="E1966" s="28" t="s">
        <v>302</v>
      </c>
      <c r="F1966" s="28" t="s">
        <v>29</v>
      </c>
      <c r="G1966" s="28" t="s">
        <v>37</v>
      </c>
      <c r="H1966" s="28"/>
      <c r="I1966" s="28" t="s">
        <v>38</v>
      </c>
      <c r="J1966" s="28">
        <v>446.0</v>
      </c>
      <c r="K1966" s="28"/>
      <c r="L1966" s="28" t="s">
        <v>6718</v>
      </c>
      <c r="M1966" s="28" t="s">
        <v>6719</v>
      </c>
      <c r="N1966" s="28">
        <v>1995.0</v>
      </c>
      <c r="O1966" s="60">
        <v>15.0</v>
      </c>
      <c r="P1966" s="28">
        <v>1.0</v>
      </c>
      <c r="Q1966" s="94">
        <v>1.0</v>
      </c>
      <c r="R1966" s="33"/>
      <c r="S1966" s="34"/>
      <c r="T1966" s="34"/>
      <c r="U1966" s="34"/>
      <c r="V1966" s="34"/>
      <c r="W1966" s="34"/>
      <c r="X1966" s="34"/>
      <c r="Y1966" s="45"/>
      <c r="Z1966" s="45"/>
      <c r="AA1966" s="45"/>
      <c r="AB1966" s="45"/>
      <c r="AC1966" s="45"/>
      <c r="AD1966" s="45"/>
      <c r="AE1966" s="45"/>
      <c r="AF1966" s="45"/>
      <c r="AG1966" s="45"/>
      <c r="AH1966" s="45"/>
      <c r="AI1966" s="45"/>
      <c r="AJ1966" s="45"/>
      <c r="AK1966" s="45"/>
      <c r="AL1966" s="45"/>
    </row>
    <row r="1967" ht="15.75" customHeight="1">
      <c r="A1967" s="27">
        <f t="shared" si="21"/>
        <v>846</v>
      </c>
      <c r="B1967" s="28" t="s">
        <v>6720</v>
      </c>
      <c r="C1967" s="43"/>
      <c r="D1967" s="30" t="s">
        <v>6721</v>
      </c>
      <c r="E1967" s="28" t="s">
        <v>31</v>
      </c>
      <c r="F1967" s="28" t="s">
        <v>29</v>
      </c>
      <c r="G1967" s="28"/>
      <c r="H1967" s="28"/>
      <c r="I1967" s="28"/>
      <c r="J1967" s="28"/>
      <c r="K1967" s="28"/>
      <c r="L1967" s="28" t="s">
        <v>6722</v>
      </c>
      <c r="M1967" s="28" t="s">
        <v>6723</v>
      </c>
      <c r="N1967" s="28"/>
      <c r="O1967" s="60">
        <v>15.0</v>
      </c>
      <c r="P1967" s="28">
        <v>1.0</v>
      </c>
      <c r="Q1967" s="94">
        <v>1.0</v>
      </c>
      <c r="R1967" s="33"/>
      <c r="S1967" s="34"/>
      <c r="T1967" s="34"/>
      <c r="U1967" s="34"/>
      <c r="V1967" s="34"/>
      <c r="W1967" s="34"/>
      <c r="X1967" s="34"/>
      <c r="Y1967" s="45"/>
      <c r="Z1967" s="45"/>
      <c r="AA1967" s="45"/>
      <c r="AB1967" s="45"/>
      <c r="AC1967" s="45"/>
      <c r="AD1967" s="45"/>
      <c r="AE1967" s="45"/>
      <c r="AF1967" s="45"/>
      <c r="AG1967" s="45"/>
      <c r="AH1967" s="45"/>
      <c r="AI1967" s="45"/>
      <c r="AJ1967" s="45"/>
      <c r="AK1967" s="45"/>
      <c r="AL1967" s="45"/>
    </row>
    <row r="1968" ht="15.75" customHeight="1">
      <c r="A1968" s="27">
        <f t="shared" si="21"/>
        <v>847</v>
      </c>
      <c r="B1968" s="28" t="s">
        <v>6724</v>
      </c>
      <c r="C1968" s="43" t="s">
        <v>6725</v>
      </c>
      <c r="D1968" s="30" t="s">
        <v>6726</v>
      </c>
      <c r="E1968" s="28" t="s">
        <v>302</v>
      </c>
      <c r="F1968" s="28" t="s">
        <v>29</v>
      </c>
      <c r="G1968" s="28" t="s">
        <v>37</v>
      </c>
      <c r="H1968" s="28"/>
      <c r="I1968" s="28" t="s">
        <v>38</v>
      </c>
      <c r="J1968" s="28">
        <v>397.0</v>
      </c>
      <c r="K1968" s="28"/>
      <c r="L1968" s="28" t="s">
        <v>6727</v>
      </c>
      <c r="M1968" s="28" t="s">
        <v>3268</v>
      </c>
      <c r="N1968" s="28">
        <v>2004.0</v>
      </c>
      <c r="O1968" s="28">
        <v>14.0</v>
      </c>
      <c r="P1968" s="28">
        <v>2.0</v>
      </c>
      <c r="Q1968" s="32">
        <v>2.0</v>
      </c>
      <c r="R1968" s="33"/>
      <c r="S1968" s="34"/>
      <c r="T1968" s="34"/>
      <c r="U1968" s="34"/>
      <c r="V1968" s="34"/>
      <c r="W1968" s="34"/>
      <c r="X1968" s="34"/>
      <c r="Y1968" s="45"/>
      <c r="Z1968" s="45"/>
      <c r="AA1968" s="45"/>
      <c r="AB1968" s="45"/>
      <c r="AC1968" s="45"/>
      <c r="AD1968" s="45"/>
      <c r="AE1968" s="45"/>
      <c r="AF1968" s="45"/>
      <c r="AG1968" s="45"/>
      <c r="AH1968" s="45"/>
      <c r="AI1968" s="45"/>
      <c r="AJ1968" s="45"/>
      <c r="AK1968" s="45"/>
      <c r="AL1968" s="45"/>
    </row>
    <row r="1969" ht="15.75" customHeight="1">
      <c r="A1969" s="27">
        <f t="shared" si="21"/>
        <v>848</v>
      </c>
      <c r="B1969" s="28" t="s">
        <v>6728</v>
      </c>
      <c r="C1969" s="43" t="s">
        <v>6729</v>
      </c>
      <c r="D1969" s="30" t="s">
        <v>6730</v>
      </c>
      <c r="E1969" s="28" t="s">
        <v>302</v>
      </c>
      <c r="F1969" s="28" t="s">
        <v>29</v>
      </c>
      <c r="G1969" s="28" t="s">
        <v>131</v>
      </c>
      <c r="H1969" s="28"/>
      <c r="I1969" s="28" t="s">
        <v>38</v>
      </c>
      <c r="J1969" s="28">
        <v>147.0</v>
      </c>
      <c r="K1969" s="28"/>
      <c r="L1969" s="28" t="s">
        <v>6731</v>
      </c>
      <c r="M1969" s="28" t="s">
        <v>3465</v>
      </c>
      <c r="N1969" s="28">
        <v>2004.0</v>
      </c>
      <c r="O1969" s="60">
        <v>14.0</v>
      </c>
      <c r="P1969" s="28">
        <v>1.0</v>
      </c>
      <c r="Q1969" s="32">
        <v>1.0</v>
      </c>
      <c r="R1969" s="33"/>
      <c r="S1969" s="116"/>
      <c r="T1969" s="116"/>
      <c r="U1969" s="116"/>
      <c r="V1969" s="116"/>
      <c r="W1969" s="116"/>
      <c r="X1969" s="116"/>
      <c r="Y1969" s="45"/>
      <c r="Z1969" s="45"/>
      <c r="AA1969" s="45"/>
      <c r="AB1969" s="45"/>
      <c r="AC1969" s="45"/>
      <c r="AD1969" s="45"/>
      <c r="AE1969" s="45"/>
      <c r="AF1969" s="45"/>
      <c r="AG1969" s="45"/>
      <c r="AH1969" s="45"/>
      <c r="AI1969" s="45"/>
      <c r="AJ1969" s="45"/>
      <c r="AK1969" s="45"/>
      <c r="AL1969" s="45"/>
    </row>
    <row r="1970" ht="15.75" customHeight="1">
      <c r="A1970" s="27">
        <f t="shared" si="21"/>
        <v>849</v>
      </c>
      <c r="B1970" s="28" t="s">
        <v>6732</v>
      </c>
      <c r="C1970" s="43" t="s">
        <v>6733</v>
      </c>
      <c r="D1970" s="30" t="s">
        <v>6734</v>
      </c>
      <c r="E1970" s="28" t="s">
        <v>31</v>
      </c>
      <c r="F1970" s="28" t="s">
        <v>29</v>
      </c>
      <c r="G1970" s="28" t="s">
        <v>30</v>
      </c>
      <c r="H1970" s="28"/>
      <c r="I1970" s="28" t="s">
        <v>30</v>
      </c>
      <c r="J1970" s="28">
        <v>175.0</v>
      </c>
      <c r="K1970" s="28"/>
      <c r="L1970" s="28" t="s">
        <v>6735</v>
      </c>
      <c r="M1970" s="28" t="s">
        <v>4166</v>
      </c>
      <c r="N1970" s="28">
        <v>2009.0</v>
      </c>
      <c r="O1970" s="60">
        <v>14.0</v>
      </c>
      <c r="P1970" s="28">
        <v>1.0</v>
      </c>
      <c r="Q1970" s="94">
        <v>1.0</v>
      </c>
      <c r="R1970" s="33"/>
      <c r="S1970" s="34"/>
      <c r="T1970" s="34"/>
      <c r="U1970" s="34"/>
      <c r="V1970" s="34"/>
      <c r="W1970" s="34"/>
      <c r="X1970" s="34"/>
      <c r="Y1970" s="45"/>
      <c r="Z1970" s="45"/>
      <c r="AA1970" s="45"/>
      <c r="AB1970" s="45"/>
      <c r="AC1970" s="45"/>
      <c r="AD1970" s="45"/>
      <c r="AE1970" s="45"/>
      <c r="AF1970" s="45"/>
      <c r="AG1970" s="45"/>
      <c r="AH1970" s="45"/>
      <c r="AI1970" s="45"/>
      <c r="AJ1970" s="45"/>
      <c r="AK1970" s="45"/>
      <c r="AL1970" s="45"/>
    </row>
    <row r="1971" ht="15.75" customHeight="1">
      <c r="A1971" s="27">
        <f t="shared" si="21"/>
        <v>850</v>
      </c>
      <c r="B1971" s="28" t="s">
        <v>31</v>
      </c>
      <c r="C1971" s="43" t="s">
        <v>6736</v>
      </c>
      <c r="D1971" s="30" t="s">
        <v>6737</v>
      </c>
      <c r="E1971" s="28" t="s">
        <v>31</v>
      </c>
      <c r="F1971" s="28" t="s">
        <v>29</v>
      </c>
      <c r="G1971" s="28" t="s">
        <v>6738</v>
      </c>
      <c r="H1971" s="28"/>
      <c r="I1971" s="28" t="s">
        <v>38</v>
      </c>
      <c r="J1971" s="28">
        <v>108.0</v>
      </c>
      <c r="K1971" s="28"/>
      <c r="L1971" s="28" t="s">
        <v>6739</v>
      </c>
      <c r="M1971" s="28" t="s">
        <v>6740</v>
      </c>
      <c r="N1971" s="28" t="s">
        <v>31</v>
      </c>
      <c r="O1971" s="60">
        <v>14.0</v>
      </c>
      <c r="P1971" s="28">
        <v>1.0</v>
      </c>
      <c r="Q1971" s="32">
        <v>1.0</v>
      </c>
      <c r="R1971" s="33"/>
      <c r="S1971" s="34"/>
      <c r="T1971" s="34"/>
      <c r="U1971" s="34"/>
      <c r="V1971" s="34"/>
      <c r="W1971" s="34"/>
      <c r="X1971" s="34"/>
      <c r="Y1971" s="45"/>
      <c r="Z1971" s="45"/>
      <c r="AA1971" s="45"/>
      <c r="AB1971" s="45"/>
      <c r="AC1971" s="45"/>
      <c r="AD1971" s="45"/>
      <c r="AE1971" s="45"/>
      <c r="AF1971" s="45"/>
      <c r="AG1971" s="45"/>
      <c r="AH1971" s="45"/>
      <c r="AI1971" s="45"/>
      <c r="AJ1971" s="45"/>
      <c r="AK1971" s="45"/>
      <c r="AL1971" s="45"/>
    </row>
    <row r="1972" ht="15.75" customHeight="1">
      <c r="A1972" s="27">
        <f t="shared" si="21"/>
        <v>851</v>
      </c>
      <c r="B1972" s="28"/>
      <c r="C1972" s="43" t="s">
        <v>6741</v>
      </c>
      <c r="D1972" s="30" t="s">
        <v>6742</v>
      </c>
      <c r="E1972" s="28" t="s">
        <v>6743</v>
      </c>
      <c r="F1972" s="28" t="s">
        <v>29</v>
      </c>
      <c r="G1972" s="28" t="s">
        <v>30</v>
      </c>
      <c r="H1972" s="28"/>
      <c r="I1972" s="28" t="s">
        <v>30</v>
      </c>
      <c r="J1972" s="28">
        <f>889+14</f>
        <v>903</v>
      </c>
      <c r="K1972" s="28"/>
      <c r="L1972" s="28" t="s">
        <v>6744</v>
      </c>
      <c r="M1972" s="28" t="s">
        <v>6745</v>
      </c>
      <c r="N1972" s="28">
        <v>1978.0</v>
      </c>
      <c r="O1972" s="28">
        <v>14.0</v>
      </c>
      <c r="P1972" s="28">
        <v>1.0</v>
      </c>
      <c r="Q1972" s="94">
        <v>1.0</v>
      </c>
      <c r="R1972" s="33"/>
      <c r="S1972" s="34"/>
      <c r="T1972" s="34"/>
      <c r="U1972" s="34"/>
      <c r="V1972" s="34"/>
      <c r="W1972" s="34"/>
      <c r="X1972" s="34"/>
      <c r="Y1972" s="45"/>
      <c r="Z1972" s="45"/>
      <c r="AA1972" s="45"/>
      <c r="AB1972" s="45"/>
      <c r="AC1972" s="45"/>
      <c r="AD1972" s="45"/>
      <c r="AE1972" s="45"/>
      <c r="AF1972" s="45"/>
      <c r="AG1972" s="45"/>
      <c r="AH1972" s="45"/>
      <c r="AI1972" s="45"/>
      <c r="AJ1972" s="45"/>
      <c r="AK1972" s="45"/>
      <c r="AL1972" s="45"/>
    </row>
    <row r="1973" ht="15.75" customHeight="1">
      <c r="A1973" s="27">
        <f t="shared" si="21"/>
        <v>852</v>
      </c>
      <c r="B1973" s="28" t="s">
        <v>6746</v>
      </c>
      <c r="C1973" s="43" t="s">
        <v>6747</v>
      </c>
      <c r="D1973" s="30" t="s">
        <v>6748</v>
      </c>
      <c r="E1973" s="28" t="s">
        <v>31</v>
      </c>
      <c r="F1973" s="28" t="s">
        <v>29</v>
      </c>
      <c r="G1973" s="28" t="s">
        <v>37</v>
      </c>
      <c r="H1973" s="28"/>
      <c r="I1973" s="28" t="s">
        <v>38</v>
      </c>
      <c r="J1973" s="28">
        <v>56.0</v>
      </c>
      <c r="K1973" s="28"/>
      <c r="L1973" s="28" t="s">
        <v>3252</v>
      </c>
      <c r="M1973" s="28" t="s">
        <v>6342</v>
      </c>
      <c r="N1973" s="28">
        <v>1979.0</v>
      </c>
      <c r="O1973" s="60">
        <v>14.0</v>
      </c>
      <c r="P1973" s="28">
        <v>1.0</v>
      </c>
      <c r="Q1973" s="32">
        <v>1.0</v>
      </c>
      <c r="R1973" s="33"/>
      <c r="S1973" s="34"/>
      <c r="T1973" s="34"/>
      <c r="U1973" s="34"/>
      <c r="V1973" s="34"/>
      <c r="W1973" s="34"/>
      <c r="X1973" s="34"/>
      <c r="Y1973" s="3"/>
      <c r="Z1973" s="3"/>
      <c r="AA1973" s="3"/>
      <c r="AB1973" s="3"/>
      <c r="AC1973" s="3"/>
      <c r="AD1973" s="3"/>
      <c r="AE1973" s="3"/>
      <c r="AF1973" s="3"/>
      <c r="AG1973" s="3"/>
      <c r="AH1973" s="3"/>
      <c r="AI1973" s="3"/>
      <c r="AJ1973" s="3"/>
      <c r="AK1973" s="3"/>
      <c r="AL1973" s="3"/>
    </row>
    <row r="1974" ht="15.75" customHeight="1">
      <c r="A1974" s="27">
        <f t="shared" si="21"/>
        <v>853</v>
      </c>
      <c r="B1974" s="28" t="s">
        <v>6749</v>
      </c>
      <c r="C1974" s="43" t="s">
        <v>6750</v>
      </c>
      <c r="D1974" s="30" t="s">
        <v>6751</v>
      </c>
      <c r="E1974" s="28"/>
      <c r="F1974" s="28" t="s">
        <v>29</v>
      </c>
      <c r="G1974" s="28" t="s">
        <v>37</v>
      </c>
      <c r="H1974" s="28"/>
      <c r="I1974" s="28" t="s">
        <v>38</v>
      </c>
      <c r="J1974" s="28">
        <v>177.0</v>
      </c>
      <c r="K1974" s="28"/>
      <c r="L1974" s="28" t="s">
        <v>6752</v>
      </c>
      <c r="M1974" s="28" t="s">
        <v>230</v>
      </c>
      <c r="N1974" s="28">
        <v>2011.0</v>
      </c>
      <c r="O1974" s="60">
        <v>14.0</v>
      </c>
      <c r="P1974" s="28">
        <v>1.0</v>
      </c>
      <c r="Q1974" s="32">
        <v>1.0</v>
      </c>
      <c r="R1974" s="33"/>
      <c r="S1974" s="34"/>
      <c r="T1974" s="34"/>
      <c r="U1974" s="34"/>
      <c r="V1974" s="34"/>
      <c r="W1974" s="34"/>
      <c r="X1974" s="34"/>
      <c r="Y1974" s="45"/>
      <c r="Z1974" s="45"/>
      <c r="AA1974" s="45"/>
      <c r="AB1974" s="45"/>
      <c r="AC1974" s="45"/>
      <c r="AD1974" s="45"/>
      <c r="AE1974" s="45"/>
      <c r="AF1974" s="45"/>
      <c r="AG1974" s="45"/>
      <c r="AH1974" s="45"/>
      <c r="AI1974" s="45"/>
      <c r="AJ1974" s="45"/>
      <c r="AK1974" s="45"/>
      <c r="AL1974" s="45"/>
    </row>
    <row r="1975" ht="15.75" customHeight="1">
      <c r="A1975" s="27">
        <f t="shared" si="21"/>
        <v>854</v>
      </c>
      <c r="B1975" s="28" t="s">
        <v>6753</v>
      </c>
      <c r="C1975" s="43" t="s">
        <v>6754</v>
      </c>
      <c r="D1975" s="30" t="s">
        <v>6755</v>
      </c>
      <c r="E1975" s="28"/>
      <c r="F1975" s="28" t="s">
        <v>29</v>
      </c>
      <c r="G1975" s="28" t="s">
        <v>37</v>
      </c>
      <c r="H1975" s="28" t="s">
        <v>31</v>
      </c>
      <c r="I1975" s="28" t="s">
        <v>38</v>
      </c>
      <c r="J1975" s="28">
        <v>278.0</v>
      </c>
      <c r="K1975" s="28"/>
      <c r="L1975" s="28" t="s">
        <v>6756</v>
      </c>
      <c r="M1975" s="28" t="s">
        <v>230</v>
      </c>
      <c r="N1975" s="28">
        <v>2010.0</v>
      </c>
      <c r="O1975" s="60">
        <v>14.0</v>
      </c>
      <c r="P1975" s="28">
        <v>1.0</v>
      </c>
      <c r="Q1975" s="32">
        <v>1.0</v>
      </c>
      <c r="R1975" s="33"/>
      <c r="S1975" s="34"/>
      <c r="T1975" s="34"/>
      <c r="U1975" s="34"/>
      <c r="V1975" s="34"/>
      <c r="W1975" s="34"/>
      <c r="X1975" s="34"/>
      <c r="Y1975" s="45"/>
      <c r="Z1975" s="45"/>
      <c r="AA1975" s="45"/>
      <c r="AB1975" s="45"/>
      <c r="AC1975" s="45"/>
      <c r="AD1975" s="45"/>
      <c r="AE1975" s="45"/>
      <c r="AF1975" s="45"/>
      <c r="AG1975" s="45"/>
      <c r="AH1975" s="45"/>
      <c r="AI1975" s="45"/>
      <c r="AJ1975" s="45"/>
      <c r="AK1975" s="45"/>
      <c r="AL1975" s="45"/>
    </row>
    <row r="1976" ht="15.75" customHeight="1">
      <c r="A1976" s="27">
        <f t="shared" si="21"/>
        <v>855</v>
      </c>
      <c r="B1976" s="28" t="s">
        <v>31</v>
      </c>
      <c r="C1976" s="43" t="s">
        <v>6757</v>
      </c>
      <c r="D1976" s="30" t="s">
        <v>6758</v>
      </c>
      <c r="E1976" s="28" t="s">
        <v>31</v>
      </c>
      <c r="F1976" s="28" t="s">
        <v>29</v>
      </c>
      <c r="G1976" s="28" t="s">
        <v>37</v>
      </c>
      <c r="H1976" s="28"/>
      <c r="I1976" s="28" t="s">
        <v>38</v>
      </c>
      <c r="J1976" s="28">
        <v>184.0</v>
      </c>
      <c r="K1976" s="28"/>
      <c r="L1976" s="28" t="s">
        <v>6759</v>
      </c>
      <c r="M1976" s="28" t="s">
        <v>6760</v>
      </c>
      <c r="N1976" s="28">
        <v>1964.0</v>
      </c>
      <c r="O1976" s="60">
        <v>14.0</v>
      </c>
      <c r="P1976" s="28">
        <v>1.0</v>
      </c>
      <c r="Q1976" s="32">
        <v>1.0</v>
      </c>
      <c r="R1976" s="33"/>
      <c r="S1976" s="34"/>
      <c r="T1976" s="34"/>
      <c r="U1976" s="34"/>
      <c r="V1976" s="34"/>
      <c r="W1976" s="34"/>
      <c r="X1976" s="34"/>
      <c r="Y1976" s="45"/>
      <c r="Z1976" s="45"/>
      <c r="AA1976" s="45"/>
      <c r="AB1976" s="45"/>
      <c r="AC1976" s="45"/>
      <c r="AD1976" s="45"/>
      <c r="AE1976" s="45"/>
      <c r="AF1976" s="45"/>
      <c r="AG1976" s="45"/>
      <c r="AH1976" s="45"/>
      <c r="AI1976" s="45"/>
      <c r="AJ1976" s="45"/>
      <c r="AK1976" s="45"/>
      <c r="AL1976" s="45"/>
    </row>
    <row r="1977" ht="15.75" customHeight="1">
      <c r="A1977" s="27">
        <f t="shared" si="21"/>
        <v>856</v>
      </c>
      <c r="B1977" s="28" t="s">
        <v>6761</v>
      </c>
      <c r="C1977" s="43" t="s">
        <v>6762</v>
      </c>
      <c r="D1977" s="30" t="s">
        <v>6763</v>
      </c>
      <c r="E1977" s="28"/>
      <c r="F1977" s="28" t="s">
        <v>29</v>
      </c>
      <c r="G1977" s="28" t="s">
        <v>37</v>
      </c>
      <c r="H1977" s="28"/>
      <c r="I1977" s="28" t="s">
        <v>38</v>
      </c>
      <c r="J1977" s="28">
        <v>206.0</v>
      </c>
      <c r="K1977" s="28"/>
      <c r="L1977" s="28" t="s">
        <v>737</v>
      </c>
      <c r="M1977" s="28" t="s">
        <v>2886</v>
      </c>
      <c r="N1977" s="28">
        <v>1984.0</v>
      </c>
      <c r="O1977" s="60">
        <v>14.0</v>
      </c>
      <c r="P1977" s="28">
        <v>1.0</v>
      </c>
      <c r="Q1977" s="94">
        <v>1.0</v>
      </c>
      <c r="R1977" s="33"/>
      <c r="S1977" s="40"/>
      <c r="T1977" s="40"/>
      <c r="U1977" s="40"/>
      <c r="V1977" s="40"/>
      <c r="W1977" s="40"/>
      <c r="X1977" s="40"/>
      <c r="Y1977" s="45"/>
      <c r="Z1977" s="45"/>
      <c r="AA1977" s="45"/>
      <c r="AB1977" s="45"/>
      <c r="AC1977" s="45"/>
      <c r="AD1977" s="45"/>
      <c r="AE1977" s="45"/>
      <c r="AF1977" s="45"/>
      <c r="AG1977" s="45"/>
      <c r="AH1977" s="45"/>
      <c r="AI1977" s="45"/>
      <c r="AJ1977" s="45"/>
      <c r="AK1977" s="45"/>
      <c r="AL1977" s="45"/>
    </row>
    <row r="1978" ht="15.75" customHeight="1">
      <c r="A1978" s="27">
        <f t="shared" si="21"/>
        <v>857</v>
      </c>
      <c r="B1978" s="83"/>
      <c r="C1978" s="121" t="s">
        <v>6764</v>
      </c>
      <c r="D1978" s="119" t="s">
        <v>6765</v>
      </c>
      <c r="E1978" s="83"/>
      <c r="F1978" s="121" t="s">
        <v>29</v>
      </c>
      <c r="G1978" s="121" t="s">
        <v>30</v>
      </c>
      <c r="H1978" s="83"/>
      <c r="I1978" s="121" t="s">
        <v>30</v>
      </c>
      <c r="J1978" s="121">
        <v>222.0</v>
      </c>
      <c r="K1978" s="83"/>
      <c r="L1978" s="121" t="s">
        <v>6766</v>
      </c>
      <c r="M1978" s="121" t="s">
        <v>151</v>
      </c>
      <c r="N1978" s="121">
        <v>1981.0</v>
      </c>
      <c r="O1978" s="60">
        <v>14.0</v>
      </c>
      <c r="P1978" s="121">
        <v>1.0</v>
      </c>
      <c r="Q1978" s="121">
        <v>1.0</v>
      </c>
      <c r="R1978" s="84"/>
      <c r="S1978" s="34"/>
      <c r="T1978" s="34"/>
      <c r="U1978" s="34"/>
      <c r="V1978" s="34"/>
      <c r="W1978" s="34"/>
      <c r="X1978" s="34"/>
      <c r="Y1978" s="45"/>
      <c r="Z1978" s="45"/>
      <c r="AA1978" s="45"/>
      <c r="AB1978" s="45"/>
      <c r="AC1978" s="45"/>
      <c r="AD1978" s="45"/>
      <c r="AE1978" s="45"/>
      <c r="AF1978" s="45"/>
      <c r="AG1978" s="45"/>
      <c r="AH1978" s="45"/>
      <c r="AI1978" s="45"/>
      <c r="AJ1978" s="45"/>
      <c r="AK1978" s="45"/>
      <c r="AL1978" s="45"/>
    </row>
    <row r="1979" ht="15.75" customHeight="1">
      <c r="A1979" s="27">
        <f t="shared" si="21"/>
        <v>858</v>
      </c>
      <c r="B1979" s="28" t="s">
        <v>6767</v>
      </c>
      <c r="C1979" s="43" t="s">
        <v>6768</v>
      </c>
      <c r="D1979" s="30" t="s">
        <v>6769</v>
      </c>
      <c r="E1979" s="28" t="s">
        <v>302</v>
      </c>
      <c r="F1979" s="28" t="s">
        <v>29</v>
      </c>
      <c r="G1979" s="28" t="s">
        <v>37</v>
      </c>
      <c r="H1979" s="28"/>
      <c r="I1979" s="28" t="s">
        <v>38</v>
      </c>
      <c r="J1979" s="28">
        <v>180.0</v>
      </c>
      <c r="K1979" s="28"/>
      <c r="L1979" s="28" t="s">
        <v>6770</v>
      </c>
      <c r="M1979" s="28" t="s">
        <v>1191</v>
      </c>
      <c r="N1979" s="28">
        <v>1999.0</v>
      </c>
      <c r="O1979" s="60">
        <v>14.0</v>
      </c>
      <c r="P1979" s="28">
        <v>1.0</v>
      </c>
      <c r="Q1979" s="94">
        <v>1.0</v>
      </c>
      <c r="R1979" s="33"/>
      <c r="S1979" s="34"/>
      <c r="T1979" s="34"/>
      <c r="U1979" s="34"/>
      <c r="V1979" s="34"/>
      <c r="W1979" s="34"/>
      <c r="X1979" s="34"/>
      <c r="Y1979" s="45"/>
      <c r="Z1979" s="45"/>
      <c r="AA1979" s="45"/>
      <c r="AB1979" s="45"/>
      <c r="AC1979" s="45"/>
      <c r="AD1979" s="45"/>
      <c r="AE1979" s="45"/>
      <c r="AF1979" s="45"/>
      <c r="AG1979" s="45"/>
      <c r="AH1979" s="45"/>
      <c r="AI1979" s="45"/>
      <c r="AJ1979" s="45"/>
      <c r="AK1979" s="45"/>
      <c r="AL1979" s="45"/>
    </row>
    <row r="1980" ht="15.75" customHeight="1">
      <c r="A1980" s="27">
        <f t="shared" si="21"/>
        <v>859</v>
      </c>
      <c r="B1980" s="28" t="s">
        <v>31</v>
      </c>
      <c r="C1980" s="43" t="s">
        <v>6771</v>
      </c>
      <c r="D1980" s="30" t="s">
        <v>6772</v>
      </c>
      <c r="E1980" s="28"/>
      <c r="F1980" s="28" t="s">
        <v>29</v>
      </c>
      <c r="G1980" s="28" t="s">
        <v>31</v>
      </c>
      <c r="H1980" s="28"/>
      <c r="I1980" s="28" t="s">
        <v>4554</v>
      </c>
      <c r="J1980" s="28" t="s">
        <v>31</v>
      </c>
      <c r="K1980" s="28"/>
      <c r="L1980" s="28" t="s">
        <v>31</v>
      </c>
      <c r="M1980" s="28" t="s">
        <v>31</v>
      </c>
      <c r="N1980" s="28" t="s">
        <v>31</v>
      </c>
      <c r="O1980" s="60">
        <v>14.0</v>
      </c>
      <c r="P1980" s="28">
        <v>1.0</v>
      </c>
      <c r="Q1980" s="94">
        <v>1.0</v>
      </c>
      <c r="R1980" s="33"/>
      <c r="S1980" s="34"/>
      <c r="T1980" s="34"/>
      <c r="U1980" s="34"/>
      <c r="V1980" s="34"/>
      <c r="W1980" s="34"/>
      <c r="X1980" s="34"/>
      <c r="Y1980" s="45"/>
      <c r="Z1980" s="45"/>
      <c r="AA1980" s="45"/>
      <c r="AB1980" s="45"/>
      <c r="AC1980" s="45"/>
      <c r="AD1980" s="45"/>
      <c r="AE1980" s="45"/>
      <c r="AF1980" s="45"/>
      <c r="AG1980" s="45"/>
      <c r="AH1980" s="45"/>
      <c r="AI1980" s="45"/>
      <c r="AJ1980" s="45"/>
      <c r="AK1980" s="45"/>
      <c r="AL1980" s="45"/>
    </row>
    <row r="1981" ht="15.75" customHeight="1">
      <c r="A1981" s="27">
        <f t="shared" si="21"/>
        <v>860</v>
      </c>
      <c r="B1981" s="28" t="s">
        <v>6773</v>
      </c>
      <c r="C1981" s="43" t="s">
        <v>6774</v>
      </c>
      <c r="D1981" s="30" t="s">
        <v>6775</v>
      </c>
      <c r="E1981" s="28"/>
      <c r="F1981" s="28" t="s">
        <v>29</v>
      </c>
      <c r="G1981" s="28" t="s">
        <v>127</v>
      </c>
      <c r="H1981" s="28"/>
      <c r="I1981" s="28" t="s">
        <v>38</v>
      </c>
      <c r="J1981" s="28">
        <v>96.0</v>
      </c>
      <c r="K1981" s="28"/>
      <c r="L1981" s="28" t="s">
        <v>6776</v>
      </c>
      <c r="M1981" s="28" t="s">
        <v>5535</v>
      </c>
      <c r="N1981" s="28">
        <v>2000.0</v>
      </c>
      <c r="O1981" s="60">
        <v>14.0</v>
      </c>
      <c r="P1981" s="28">
        <v>1.0</v>
      </c>
      <c r="Q1981" s="32">
        <v>1.0</v>
      </c>
      <c r="R1981" s="33"/>
      <c r="S1981" s="34"/>
      <c r="T1981" s="34"/>
      <c r="U1981" s="34"/>
      <c r="V1981" s="34"/>
      <c r="W1981" s="34"/>
      <c r="X1981" s="34"/>
      <c r="Y1981" s="45"/>
      <c r="Z1981" s="45"/>
      <c r="AA1981" s="45"/>
      <c r="AB1981" s="45"/>
      <c r="AC1981" s="45"/>
      <c r="AD1981" s="45"/>
      <c r="AE1981" s="45"/>
      <c r="AF1981" s="45"/>
      <c r="AG1981" s="45"/>
      <c r="AH1981" s="45"/>
      <c r="AI1981" s="45"/>
      <c r="AJ1981" s="45"/>
      <c r="AK1981" s="45"/>
      <c r="AL1981" s="45"/>
    </row>
    <row r="1982" ht="15.75" customHeight="1">
      <c r="A1982" s="27">
        <f t="shared" si="21"/>
        <v>861</v>
      </c>
      <c r="B1982" s="28" t="s">
        <v>6777</v>
      </c>
      <c r="C1982" s="43" t="s">
        <v>6778</v>
      </c>
      <c r="D1982" s="30" t="s">
        <v>6779</v>
      </c>
      <c r="E1982" s="28" t="s">
        <v>302</v>
      </c>
      <c r="F1982" s="28" t="s">
        <v>29</v>
      </c>
      <c r="G1982" s="28" t="s">
        <v>37</v>
      </c>
      <c r="H1982" s="28"/>
      <c r="I1982" s="28" t="s">
        <v>38</v>
      </c>
      <c r="J1982" s="28">
        <v>336.0</v>
      </c>
      <c r="K1982" s="28"/>
      <c r="L1982" s="28" t="s">
        <v>6780</v>
      </c>
      <c r="M1982" s="28" t="s">
        <v>1235</v>
      </c>
      <c r="N1982" s="28">
        <v>1953.0</v>
      </c>
      <c r="O1982" s="60">
        <v>14.0</v>
      </c>
      <c r="P1982" s="28">
        <v>1.0</v>
      </c>
      <c r="Q1982" s="32">
        <v>1.0</v>
      </c>
      <c r="R1982" s="33"/>
      <c r="S1982" s="34"/>
      <c r="T1982" s="34"/>
      <c r="U1982" s="34"/>
      <c r="V1982" s="34"/>
      <c r="W1982" s="34"/>
      <c r="X1982" s="34"/>
      <c r="Y1982" s="45"/>
      <c r="Z1982" s="45"/>
      <c r="AA1982" s="45"/>
      <c r="AB1982" s="45"/>
      <c r="AC1982" s="45"/>
      <c r="AD1982" s="45"/>
      <c r="AE1982" s="45"/>
      <c r="AF1982" s="45"/>
      <c r="AG1982" s="45"/>
      <c r="AH1982" s="45"/>
      <c r="AI1982" s="45"/>
      <c r="AJ1982" s="45"/>
      <c r="AK1982" s="45"/>
      <c r="AL1982" s="45"/>
    </row>
    <row r="1983" ht="15.75" customHeight="1">
      <c r="A1983" s="27">
        <f t="shared" si="21"/>
        <v>862</v>
      </c>
      <c r="B1983" s="28" t="s">
        <v>6781</v>
      </c>
      <c r="C1983" s="43" t="s">
        <v>6782</v>
      </c>
      <c r="D1983" s="30" t="s">
        <v>6783</v>
      </c>
      <c r="E1983" s="28"/>
      <c r="F1983" s="28" t="s">
        <v>29</v>
      </c>
      <c r="G1983" s="28" t="s">
        <v>37</v>
      </c>
      <c r="H1983" s="28"/>
      <c r="I1983" s="28" t="s">
        <v>38</v>
      </c>
      <c r="J1983" s="28">
        <v>296.0</v>
      </c>
      <c r="K1983" s="28"/>
      <c r="L1983" s="28" t="s">
        <v>6784</v>
      </c>
      <c r="M1983" s="28" t="s">
        <v>3268</v>
      </c>
      <c r="N1983" s="28">
        <v>1997.0</v>
      </c>
      <c r="O1983" s="60">
        <v>14.0</v>
      </c>
      <c r="P1983" s="28">
        <v>1.0</v>
      </c>
      <c r="Q1983" s="32">
        <v>1.0</v>
      </c>
      <c r="R1983" s="33"/>
      <c r="S1983" s="34"/>
      <c r="T1983" s="34"/>
      <c r="U1983" s="34"/>
      <c r="V1983" s="34"/>
      <c r="W1983" s="34"/>
      <c r="X1983" s="34"/>
      <c r="Y1983" s="3"/>
      <c r="Z1983" s="3"/>
      <c r="AA1983" s="3"/>
      <c r="AB1983" s="3"/>
      <c r="AC1983" s="3"/>
      <c r="AD1983" s="3"/>
      <c r="AE1983" s="3"/>
      <c r="AF1983" s="3"/>
      <c r="AG1983" s="3"/>
      <c r="AH1983" s="3"/>
      <c r="AI1983" s="3"/>
      <c r="AJ1983" s="3"/>
      <c r="AK1983" s="3"/>
      <c r="AL1983" s="3"/>
    </row>
    <row r="1984" ht="15.75" customHeight="1">
      <c r="A1984" s="27">
        <f t="shared" si="21"/>
        <v>863</v>
      </c>
      <c r="B1984" s="28" t="s">
        <v>6785</v>
      </c>
      <c r="C1984" s="43" t="s">
        <v>6786</v>
      </c>
      <c r="D1984" s="30" t="s">
        <v>6787</v>
      </c>
      <c r="E1984" s="28" t="s">
        <v>302</v>
      </c>
      <c r="F1984" s="28" t="s">
        <v>29</v>
      </c>
      <c r="G1984" s="28" t="s">
        <v>37</v>
      </c>
      <c r="H1984" s="28"/>
      <c r="I1984" s="28" t="s">
        <v>38</v>
      </c>
      <c r="J1984" s="28">
        <v>394.0</v>
      </c>
      <c r="K1984" s="28"/>
      <c r="L1984" s="28" t="s">
        <v>6788</v>
      </c>
      <c r="M1984" s="28" t="s">
        <v>3268</v>
      </c>
      <c r="N1984" s="28">
        <v>2005.0</v>
      </c>
      <c r="O1984" s="60">
        <v>14.0</v>
      </c>
      <c r="P1984" s="28">
        <v>1.0</v>
      </c>
      <c r="Q1984" s="32">
        <v>1.0</v>
      </c>
      <c r="R1984" s="33"/>
      <c r="S1984" s="34"/>
      <c r="T1984" s="34"/>
      <c r="U1984" s="34"/>
      <c r="V1984" s="34"/>
      <c r="W1984" s="34"/>
      <c r="X1984" s="34"/>
      <c r="Y1984" s="45"/>
      <c r="Z1984" s="45"/>
      <c r="AA1984" s="45"/>
      <c r="AB1984" s="45"/>
      <c r="AC1984" s="45"/>
      <c r="AD1984" s="45"/>
      <c r="AE1984" s="45"/>
      <c r="AF1984" s="45"/>
      <c r="AG1984" s="45"/>
      <c r="AH1984" s="45"/>
      <c r="AI1984" s="45"/>
      <c r="AJ1984" s="45"/>
      <c r="AK1984" s="45"/>
      <c r="AL1984" s="45"/>
    </row>
    <row r="1985" ht="15.75" customHeight="1">
      <c r="A1985" s="27">
        <f t="shared" si="21"/>
        <v>864</v>
      </c>
      <c r="B1985" s="28" t="s">
        <v>6789</v>
      </c>
      <c r="C1985" s="43" t="s">
        <v>6790</v>
      </c>
      <c r="D1985" s="30" t="s">
        <v>6791</v>
      </c>
      <c r="E1985" s="28" t="s">
        <v>31</v>
      </c>
      <c r="F1985" s="28" t="s">
        <v>29</v>
      </c>
      <c r="G1985" s="28" t="s">
        <v>30</v>
      </c>
      <c r="H1985" s="28"/>
      <c r="I1985" s="28" t="s">
        <v>30</v>
      </c>
      <c r="J1985" s="28">
        <v>144.0</v>
      </c>
      <c r="K1985" s="28"/>
      <c r="L1985" s="28" t="s">
        <v>6792</v>
      </c>
      <c r="M1985" s="28" t="s">
        <v>6793</v>
      </c>
      <c r="N1985" s="28">
        <v>1996.0</v>
      </c>
      <c r="O1985" s="60">
        <v>14.0</v>
      </c>
      <c r="P1985" s="28">
        <v>1.0</v>
      </c>
      <c r="Q1985" s="32">
        <v>1.0</v>
      </c>
      <c r="R1985" s="33"/>
      <c r="S1985" s="34"/>
      <c r="T1985" s="34"/>
      <c r="U1985" s="34"/>
      <c r="V1985" s="34"/>
      <c r="W1985" s="34"/>
      <c r="X1985" s="34"/>
      <c r="Y1985" s="45"/>
      <c r="Z1985" s="45"/>
      <c r="AA1985" s="45"/>
      <c r="AB1985" s="45"/>
      <c r="AC1985" s="45"/>
      <c r="AD1985" s="45"/>
      <c r="AE1985" s="45"/>
      <c r="AF1985" s="45"/>
      <c r="AG1985" s="45"/>
      <c r="AH1985" s="45"/>
      <c r="AI1985" s="45"/>
      <c r="AJ1985" s="45"/>
      <c r="AK1985" s="45"/>
      <c r="AL1985" s="45"/>
    </row>
    <row r="1986" ht="15.75" customHeight="1">
      <c r="A1986" s="27">
        <f t="shared" si="21"/>
        <v>865</v>
      </c>
      <c r="B1986" s="121" t="s">
        <v>6794</v>
      </c>
      <c r="C1986" s="121" t="s">
        <v>6795</v>
      </c>
      <c r="D1986" s="119" t="s">
        <v>6796</v>
      </c>
      <c r="E1986" s="83"/>
      <c r="F1986" s="121" t="s">
        <v>29</v>
      </c>
      <c r="G1986" s="121" t="s">
        <v>58</v>
      </c>
      <c r="H1986" s="83"/>
      <c r="I1986" s="121" t="s">
        <v>38</v>
      </c>
      <c r="J1986" s="121">
        <v>72.0</v>
      </c>
      <c r="K1986" s="83"/>
      <c r="L1986" s="83"/>
      <c r="M1986" s="121" t="s">
        <v>6797</v>
      </c>
      <c r="N1986" s="83"/>
      <c r="O1986" s="60">
        <v>14.0</v>
      </c>
      <c r="P1986" s="121">
        <v>1.0</v>
      </c>
      <c r="Q1986" s="121">
        <v>1.0</v>
      </c>
      <c r="R1986" s="84"/>
      <c r="S1986" s="34"/>
      <c r="T1986" s="34"/>
      <c r="U1986" s="34"/>
      <c r="V1986" s="34"/>
      <c r="W1986" s="34"/>
      <c r="X1986" s="34"/>
      <c r="Y1986" s="45"/>
      <c r="Z1986" s="45"/>
      <c r="AA1986" s="45"/>
      <c r="AB1986" s="45"/>
      <c r="AC1986" s="45"/>
      <c r="AD1986" s="45"/>
      <c r="AE1986" s="45"/>
      <c r="AF1986" s="45"/>
      <c r="AG1986" s="45"/>
      <c r="AH1986" s="45"/>
      <c r="AI1986" s="45"/>
      <c r="AJ1986" s="45"/>
      <c r="AK1986" s="45"/>
      <c r="AL1986" s="45"/>
    </row>
    <row r="1987" ht="15.75" customHeight="1">
      <c r="A1987" s="27">
        <f t="shared" si="21"/>
        <v>866</v>
      </c>
      <c r="B1987" s="28" t="s">
        <v>6798</v>
      </c>
      <c r="C1987" s="43" t="s">
        <v>6799</v>
      </c>
      <c r="D1987" s="30" t="s">
        <v>6800</v>
      </c>
      <c r="E1987" s="28" t="s">
        <v>302</v>
      </c>
      <c r="F1987" s="28" t="s">
        <v>29</v>
      </c>
      <c r="G1987" s="28" t="s">
        <v>38</v>
      </c>
      <c r="H1987" s="28"/>
      <c r="I1987" s="28" t="s">
        <v>38</v>
      </c>
      <c r="J1987" s="28">
        <v>475.0</v>
      </c>
      <c r="K1987" s="28"/>
      <c r="L1987" s="28" t="s">
        <v>6801</v>
      </c>
      <c r="M1987" s="28" t="s">
        <v>219</v>
      </c>
      <c r="N1987" s="28">
        <v>1997.0</v>
      </c>
      <c r="O1987" s="60">
        <v>14.0</v>
      </c>
      <c r="P1987" s="28">
        <v>1.0</v>
      </c>
      <c r="Q1987" s="94">
        <v>1.0</v>
      </c>
      <c r="R1987" s="33"/>
      <c r="S1987" s="34"/>
      <c r="T1987" s="34"/>
      <c r="U1987" s="34"/>
      <c r="V1987" s="34"/>
      <c r="W1987" s="34"/>
      <c r="X1987" s="34"/>
      <c r="Y1987" s="45"/>
      <c r="Z1987" s="45"/>
      <c r="AA1987" s="45"/>
      <c r="AB1987" s="45"/>
      <c r="AC1987" s="45"/>
      <c r="AD1987" s="45"/>
      <c r="AE1987" s="45"/>
      <c r="AF1987" s="45"/>
      <c r="AG1987" s="45"/>
      <c r="AH1987" s="45"/>
      <c r="AI1987" s="45"/>
      <c r="AJ1987" s="45"/>
      <c r="AK1987" s="45"/>
      <c r="AL1987" s="45"/>
    </row>
    <row r="1988" ht="15.75" customHeight="1">
      <c r="A1988" s="27">
        <f t="shared" si="21"/>
        <v>867</v>
      </c>
      <c r="B1988" s="28" t="s">
        <v>6802</v>
      </c>
      <c r="C1988" s="43" t="s">
        <v>6803</v>
      </c>
      <c r="D1988" s="30" t="s">
        <v>6804</v>
      </c>
      <c r="E1988" s="28"/>
      <c r="F1988" s="28" t="s">
        <v>29</v>
      </c>
      <c r="G1988" s="28" t="s">
        <v>31</v>
      </c>
      <c r="H1988" s="28"/>
      <c r="I1988" s="28" t="s">
        <v>38</v>
      </c>
      <c r="J1988" s="28">
        <v>204.0</v>
      </c>
      <c r="K1988" s="28"/>
      <c r="L1988" s="28" t="s">
        <v>6805</v>
      </c>
      <c r="M1988" s="28" t="s">
        <v>3268</v>
      </c>
      <c r="N1988" s="28">
        <v>2003.0</v>
      </c>
      <c r="O1988" s="60">
        <v>14.0</v>
      </c>
      <c r="P1988" s="28">
        <v>1.0</v>
      </c>
      <c r="Q1988" s="32">
        <v>1.0</v>
      </c>
      <c r="R1988" s="33"/>
      <c r="S1988" s="34"/>
      <c r="T1988" s="34"/>
      <c r="U1988" s="34"/>
      <c r="V1988" s="34"/>
      <c r="W1988" s="34"/>
      <c r="X1988" s="34"/>
      <c r="Y1988" s="45"/>
      <c r="Z1988" s="45"/>
      <c r="AA1988" s="45"/>
      <c r="AB1988" s="45"/>
      <c r="AC1988" s="45"/>
      <c r="AD1988" s="45"/>
      <c r="AE1988" s="45"/>
      <c r="AF1988" s="45"/>
      <c r="AG1988" s="45"/>
      <c r="AH1988" s="45"/>
      <c r="AI1988" s="45"/>
      <c r="AJ1988" s="45"/>
      <c r="AK1988" s="45"/>
      <c r="AL1988" s="45"/>
    </row>
    <row r="1989" ht="15.75" customHeight="1">
      <c r="A1989" s="27">
        <f t="shared" si="21"/>
        <v>868</v>
      </c>
      <c r="B1989" s="83"/>
      <c r="C1989" s="121" t="s">
        <v>6806</v>
      </c>
      <c r="D1989" s="119" t="s">
        <v>6807</v>
      </c>
      <c r="E1989" s="83"/>
      <c r="F1989" s="121" t="s">
        <v>29</v>
      </c>
      <c r="G1989" s="121" t="s">
        <v>30</v>
      </c>
      <c r="H1989" s="83"/>
      <c r="I1989" s="121" t="s">
        <v>30</v>
      </c>
      <c r="J1989" s="121">
        <v>97.0</v>
      </c>
      <c r="K1989" s="83"/>
      <c r="L1989" s="121" t="s">
        <v>6808</v>
      </c>
      <c r="M1989" s="121" t="s">
        <v>151</v>
      </c>
      <c r="N1989" s="121">
        <v>1982.0</v>
      </c>
      <c r="O1989" s="60">
        <v>14.0</v>
      </c>
      <c r="P1989" s="121">
        <v>1.0</v>
      </c>
      <c r="Q1989" s="121">
        <v>1.0</v>
      </c>
      <c r="R1989" s="84"/>
      <c r="S1989" s="34"/>
      <c r="T1989" s="34"/>
      <c r="U1989" s="34"/>
      <c r="V1989" s="34"/>
      <c r="W1989" s="34"/>
      <c r="X1989" s="34"/>
      <c r="Y1989" s="45"/>
      <c r="Z1989" s="45"/>
      <c r="AA1989" s="45"/>
      <c r="AB1989" s="45"/>
      <c r="AC1989" s="45"/>
      <c r="AD1989" s="45"/>
      <c r="AE1989" s="45"/>
      <c r="AF1989" s="45"/>
      <c r="AG1989" s="45"/>
      <c r="AH1989" s="45"/>
      <c r="AI1989" s="45"/>
      <c r="AJ1989" s="45"/>
      <c r="AK1989" s="45"/>
      <c r="AL1989" s="45"/>
    </row>
    <row r="1990" ht="15.75" customHeight="1">
      <c r="A1990" s="27">
        <f t="shared" si="21"/>
        <v>869</v>
      </c>
      <c r="B1990" s="28" t="s">
        <v>6809</v>
      </c>
      <c r="C1990" s="43" t="s">
        <v>6810</v>
      </c>
      <c r="D1990" s="30" t="s">
        <v>6811</v>
      </c>
      <c r="E1990" s="28"/>
      <c r="F1990" s="28" t="s">
        <v>29</v>
      </c>
      <c r="G1990" s="28" t="s">
        <v>37</v>
      </c>
      <c r="H1990" s="28"/>
      <c r="I1990" s="28" t="s">
        <v>38</v>
      </c>
      <c r="J1990" s="28">
        <v>213.0</v>
      </c>
      <c r="K1990" s="28"/>
      <c r="L1990" s="28" t="s">
        <v>6812</v>
      </c>
      <c r="M1990" s="28" t="s">
        <v>6400</v>
      </c>
      <c r="N1990" s="28">
        <v>1987.0</v>
      </c>
      <c r="O1990" s="60">
        <v>14.0</v>
      </c>
      <c r="P1990" s="28">
        <v>1.0</v>
      </c>
      <c r="Q1990" s="94">
        <v>1.0</v>
      </c>
      <c r="R1990" s="33"/>
      <c r="S1990" s="185"/>
      <c r="T1990" s="185"/>
      <c r="U1990" s="185"/>
      <c r="V1990" s="185"/>
      <c r="W1990" s="185"/>
      <c r="X1990" s="185"/>
      <c r="Y1990" s="45"/>
      <c r="Z1990" s="45"/>
      <c r="AA1990" s="45"/>
      <c r="AB1990" s="45"/>
      <c r="AC1990" s="45"/>
      <c r="AD1990" s="45"/>
      <c r="AE1990" s="45"/>
      <c r="AF1990" s="45"/>
      <c r="AG1990" s="45"/>
      <c r="AH1990" s="45"/>
      <c r="AI1990" s="45"/>
      <c r="AJ1990" s="45"/>
      <c r="AK1990" s="45"/>
      <c r="AL1990" s="45"/>
    </row>
    <row r="1991" ht="15.75" customHeight="1">
      <c r="A1991" s="27">
        <f t="shared" si="21"/>
        <v>870</v>
      </c>
      <c r="B1991" s="28" t="s">
        <v>6813</v>
      </c>
      <c r="C1991" s="43" t="s">
        <v>6814</v>
      </c>
      <c r="D1991" s="30" t="s">
        <v>6815</v>
      </c>
      <c r="E1991" s="28"/>
      <c r="F1991" s="28" t="s">
        <v>29</v>
      </c>
      <c r="G1991" s="28" t="s">
        <v>37</v>
      </c>
      <c r="H1991" s="28"/>
      <c r="I1991" s="28" t="s">
        <v>38</v>
      </c>
      <c r="J1991" s="28">
        <v>156.0</v>
      </c>
      <c r="K1991" s="28"/>
      <c r="L1991" s="28" t="s">
        <v>6816</v>
      </c>
      <c r="M1991" s="28" t="s">
        <v>230</v>
      </c>
      <c r="N1991" s="28">
        <v>2008.0</v>
      </c>
      <c r="O1991" s="60">
        <v>14.0</v>
      </c>
      <c r="P1991" s="28">
        <v>1.0</v>
      </c>
      <c r="Q1991" s="32">
        <v>1.0</v>
      </c>
      <c r="R1991" s="33"/>
      <c r="S1991" s="34"/>
      <c r="T1991" s="34"/>
      <c r="U1991" s="34"/>
      <c r="V1991" s="34"/>
      <c r="W1991" s="34"/>
      <c r="X1991" s="34"/>
      <c r="Y1991" s="45"/>
      <c r="Z1991" s="45"/>
      <c r="AA1991" s="45"/>
      <c r="AB1991" s="45"/>
      <c r="AC1991" s="45"/>
      <c r="AD1991" s="45"/>
      <c r="AE1991" s="45"/>
      <c r="AF1991" s="45"/>
      <c r="AG1991" s="45"/>
      <c r="AH1991" s="45"/>
      <c r="AI1991" s="45"/>
      <c r="AJ1991" s="45"/>
      <c r="AK1991" s="45"/>
      <c r="AL1991" s="45"/>
    </row>
    <row r="1992" ht="15.75" customHeight="1">
      <c r="A1992" s="27">
        <f t="shared" si="21"/>
        <v>871</v>
      </c>
      <c r="B1992" s="28" t="s">
        <v>6817</v>
      </c>
      <c r="C1992" s="43" t="s">
        <v>6818</v>
      </c>
      <c r="D1992" s="30" t="s">
        <v>6819</v>
      </c>
      <c r="E1992" s="28" t="s">
        <v>31</v>
      </c>
      <c r="F1992" s="28" t="s">
        <v>29</v>
      </c>
      <c r="G1992" s="28" t="s">
        <v>30</v>
      </c>
      <c r="H1992" s="28"/>
      <c r="I1992" s="28" t="s">
        <v>30</v>
      </c>
      <c r="J1992" s="28">
        <v>360.0</v>
      </c>
      <c r="K1992" s="28"/>
      <c r="L1992" s="28" t="s">
        <v>6820</v>
      </c>
      <c r="M1992" s="28" t="s">
        <v>6821</v>
      </c>
      <c r="N1992" s="28">
        <v>2007.0</v>
      </c>
      <c r="O1992" s="60">
        <v>14.0</v>
      </c>
      <c r="P1992" s="28">
        <v>1.0</v>
      </c>
      <c r="Q1992" s="94">
        <v>1.0</v>
      </c>
      <c r="R1992" s="33"/>
      <c r="S1992" s="185"/>
      <c r="T1992" s="185"/>
      <c r="U1992" s="185"/>
      <c r="V1992" s="185"/>
      <c r="W1992" s="185"/>
      <c r="X1992" s="185"/>
      <c r="Y1992" s="45"/>
      <c r="Z1992" s="45"/>
      <c r="AA1992" s="45"/>
      <c r="AB1992" s="45"/>
      <c r="AC1992" s="45"/>
      <c r="AD1992" s="45"/>
      <c r="AE1992" s="45"/>
      <c r="AF1992" s="45"/>
      <c r="AG1992" s="45"/>
      <c r="AH1992" s="45"/>
      <c r="AI1992" s="45"/>
      <c r="AJ1992" s="45"/>
      <c r="AK1992" s="45"/>
      <c r="AL1992" s="45"/>
    </row>
    <row r="1993" ht="15.75" customHeight="1">
      <c r="A1993" s="27">
        <f t="shared" si="21"/>
        <v>872</v>
      </c>
      <c r="B1993" s="28" t="s">
        <v>6822</v>
      </c>
      <c r="C1993" s="43" t="s">
        <v>6823</v>
      </c>
      <c r="D1993" s="30" t="s">
        <v>6824</v>
      </c>
      <c r="E1993" s="28" t="s">
        <v>302</v>
      </c>
      <c r="F1993" s="28" t="s">
        <v>29</v>
      </c>
      <c r="G1993" s="28" t="s">
        <v>38</v>
      </c>
      <c r="H1993" s="28"/>
      <c r="I1993" s="28" t="s">
        <v>38</v>
      </c>
      <c r="J1993" s="28">
        <v>456.0</v>
      </c>
      <c r="K1993" s="28"/>
      <c r="L1993" s="28" t="s">
        <v>6825</v>
      </c>
      <c r="M1993" s="28" t="s">
        <v>6826</v>
      </c>
      <c r="N1993" s="28">
        <v>2006.0</v>
      </c>
      <c r="O1993" s="60">
        <v>14.0</v>
      </c>
      <c r="P1993" s="28">
        <v>1.0</v>
      </c>
      <c r="Q1993" s="32">
        <v>1.0</v>
      </c>
      <c r="R1993" s="33"/>
      <c r="S1993" s="34"/>
      <c r="T1993" s="34"/>
      <c r="U1993" s="34"/>
      <c r="V1993" s="34"/>
      <c r="W1993" s="34"/>
      <c r="X1993" s="34"/>
      <c r="Y1993" s="45"/>
      <c r="Z1993" s="45"/>
      <c r="AA1993" s="45"/>
      <c r="AB1993" s="45"/>
      <c r="AC1993" s="45"/>
      <c r="AD1993" s="45"/>
      <c r="AE1993" s="45"/>
      <c r="AF1993" s="45"/>
      <c r="AG1993" s="45"/>
      <c r="AH1993" s="45"/>
      <c r="AI1993" s="45"/>
      <c r="AJ1993" s="45"/>
      <c r="AK1993" s="45"/>
      <c r="AL1993" s="45"/>
    </row>
    <row r="1994" ht="15.75" customHeight="1">
      <c r="A1994" s="27">
        <f t="shared" si="21"/>
        <v>873</v>
      </c>
      <c r="B1994" s="28" t="s">
        <v>6827</v>
      </c>
      <c r="C1994" s="43" t="s">
        <v>6828</v>
      </c>
      <c r="D1994" s="30" t="s">
        <v>6829</v>
      </c>
      <c r="E1994" s="28" t="s">
        <v>302</v>
      </c>
      <c r="F1994" s="28" t="s">
        <v>29</v>
      </c>
      <c r="G1994" s="28" t="s">
        <v>58</v>
      </c>
      <c r="H1994" s="28"/>
      <c r="I1994" s="28" t="s">
        <v>38</v>
      </c>
      <c r="J1994" s="28">
        <v>127.0</v>
      </c>
      <c r="K1994" s="28"/>
      <c r="L1994" s="28" t="s">
        <v>31</v>
      </c>
      <c r="M1994" s="28" t="s">
        <v>5208</v>
      </c>
      <c r="N1994" s="28" t="s">
        <v>31</v>
      </c>
      <c r="O1994" s="60">
        <v>14.0</v>
      </c>
      <c r="P1994" s="28">
        <v>1.0</v>
      </c>
      <c r="Q1994" s="32">
        <v>1.0</v>
      </c>
      <c r="R1994" s="33"/>
      <c r="S1994" s="34"/>
      <c r="T1994" s="34"/>
      <c r="U1994" s="34"/>
      <c r="V1994" s="34"/>
      <c r="W1994" s="34"/>
      <c r="X1994" s="34"/>
      <c r="Y1994" s="45"/>
      <c r="Z1994" s="45"/>
      <c r="AA1994" s="45"/>
      <c r="AB1994" s="45"/>
      <c r="AC1994" s="45"/>
      <c r="AD1994" s="45"/>
      <c r="AE1994" s="45"/>
      <c r="AF1994" s="45"/>
      <c r="AG1994" s="45"/>
      <c r="AH1994" s="45"/>
      <c r="AI1994" s="45"/>
      <c r="AJ1994" s="45"/>
      <c r="AK1994" s="45"/>
      <c r="AL1994" s="45"/>
    </row>
    <row r="1995" ht="15.75" customHeight="1">
      <c r="A1995" s="27">
        <f t="shared" si="21"/>
        <v>874</v>
      </c>
      <c r="B1995" s="28" t="s">
        <v>31</v>
      </c>
      <c r="C1995" s="203" t="s">
        <v>6830</v>
      </c>
      <c r="D1995" s="30" t="s">
        <v>6831</v>
      </c>
      <c r="E1995" s="28" t="s">
        <v>31</v>
      </c>
      <c r="F1995" s="28" t="s">
        <v>29</v>
      </c>
      <c r="G1995" s="28" t="s">
        <v>30</v>
      </c>
      <c r="H1995" s="28"/>
      <c r="I1995" s="28" t="s">
        <v>30</v>
      </c>
      <c r="J1995" s="28">
        <v>122.0</v>
      </c>
      <c r="K1995" s="28"/>
      <c r="L1995" s="28" t="s">
        <v>6832</v>
      </c>
      <c r="M1995" s="28" t="s">
        <v>151</v>
      </c>
      <c r="N1995" s="28">
        <v>1981.0</v>
      </c>
      <c r="O1995" s="60">
        <v>14.0</v>
      </c>
      <c r="P1995" s="28">
        <v>2.0</v>
      </c>
      <c r="Q1995" s="94">
        <v>3.0</v>
      </c>
      <c r="R1995" s="33"/>
      <c r="S1995" s="34"/>
      <c r="T1995" s="34"/>
      <c r="U1995" s="34"/>
      <c r="V1995" s="34"/>
      <c r="W1995" s="34"/>
      <c r="X1995" s="34"/>
      <c r="Y1995" s="45"/>
      <c r="Z1995" s="45"/>
      <c r="AA1995" s="45"/>
      <c r="AB1995" s="45"/>
      <c r="AC1995" s="45"/>
      <c r="AD1995" s="45"/>
      <c r="AE1995" s="45"/>
      <c r="AF1995" s="45"/>
      <c r="AG1995" s="45"/>
      <c r="AH1995" s="45"/>
      <c r="AI1995" s="45"/>
      <c r="AJ1995" s="45"/>
      <c r="AK1995" s="45"/>
      <c r="AL1995" s="45"/>
    </row>
    <row r="1996" ht="15.75" customHeight="1">
      <c r="A1996" s="27">
        <f t="shared" si="21"/>
        <v>875</v>
      </c>
      <c r="B1996" s="28" t="s">
        <v>6833</v>
      </c>
      <c r="C1996" s="43" t="s">
        <v>6834</v>
      </c>
      <c r="D1996" s="30" t="s">
        <v>6835</v>
      </c>
      <c r="E1996" s="28" t="s">
        <v>302</v>
      </c>
      <c r="F1996" s="28" t="s">
        <v>29</v>
      </c>
      <c r="G1996" s="28" t="s">
        <v>38</v>
      </c>
      <c r="H1996" s="28"/>
      <c r="I1996" s="28" t="s">
        <v>38</v>
      </c>
      <c r="J1996" s="28">
        <v>325.0</v>
      </c>
      <c r="K1996" s="28"/>
      <c r="L1996" s="28" t="s">
        <v>5713</v>
      </c>
      <c r="M1996" s="28" t="s">
        <v>72</v>
      </c>
      <c r="N1996" s="28">
        <v>2001.0</v>
      </c>
      <c r="O1996" s="60">
        <v>14.0</v>
      </c>
      <c r="P1996" s="28">
        <v>1.0</v>
      </c>
      <c r="Q1996" s="32"/>
      <c r="R1996" s="33"/>
      <c r="S1996" s="34"/>
      <c r="T1996" s="34"/>
      <c r="U1996" s="34"/>
      <c r="V1996" s="34"/>
      <c r="W1996" s="34"/>
      <c r="X1996" s="34"/>
      <c r="Y1996" s="45"/>
      <c r="Z1996" s="45"/>
      <c r="AA1996" s="45"/>
      <c r="AB1996" s="45"/>
      <c r="AC1996" s="45"/>
      <c r="AD1996" s="45"/>
      <c r="AE1996" s="45"/>
      <c r="AF1996" s="45"/>
      <c r="AG1996" s="45"/>
      <c r="AH1996" s="45"/>
      <c r="AI1996" s="45"/>
      <c r="AJ1996" s="45"/>
      <c r="AK1996" s="45"/>
      <c r="AL1996" s="45"/>
    </row>
    <row r="1997" ht="15.75" customHeight="1">
      <c r="A1997" s="27">
        <f t="shared" si="21"/>
        <v>876</v>
      </c>
      <c r="B1997" s="28" t="s">
        <v>6836</v>
      </c>
      <c r="C1997" s="43" t="s">
        <v>6837</v>
      </c>
      <c r="D1997" s="30" t="s">
        <v>6838</v>
      </c>
      <c r="E1997" s="28" t="s">
        <v>302</v>
      </c>
      <c r="F1997" s="28" t="s">
        <v>29</v>
      </c>
      <c r="G1997" s="28" t="s">
        <v>37</v>
      </c>
      <c r="H1997" s="28"/>
      <c r="I1997" s="28" t="s">
        <v>38</v>
      </c>
      <c r="J1997" s="28">
        <v>502.0</v>
      </c>
      <c r="K1997" s="28"/>
      <c r="L1997" s="28" t="s">
        <v>1429</v>
      </c>
      <c r="M1997" s="28" t="s">
        <v>230</v>
      </c>
      <c r="N1997" s="28">
        <v>2010.0</v>
      </c>
      <c r="O1997" s="60">
        <v>14.0</v>
      </c>
      <c r="P1997" s="28">
        <v>1.0</v>
      </c>
      <c r="Q1997" s="94">
        <v>1.0</v>
      </c>
      <c r="R1997" s="33"/>
      <c r="S1997" s="34"/>
      <c r="T1997" s="34"/>
      <c r="U1997" s="34"/>
      <c r="V1997" s="34"/>
      <c r="W1997" s="34"/>
      <c r="X1997" s="34"/>
      <c r="Y1997" s="45"/>
      <c r="Z1997" s="45"/>
      <c r="AA1997" s="45"/>
      <c r="AB1997" s="45"/>
      <c r="AC1997" s="45"/>
      <c r="AD1997" s="45"/>
      <c r="AE1997" s="45"/>
      <c r="AF1997" s="45"/>
      <c r="AG1997" s="45"/>
      <c r="AH1997" s="45"/>
      <c r="AI1997" s="45"/>
      <c r="AJ1997" s="45"/>
      <c r="AK1997" s="45"/>
      <c r="AL1997" s="45"/>
    </row>
    <row r="1998" ht="15.75" customHeight="1">
      <c r="A1998" s="27">
        <f t="shared" si="21"/>
        <v>877</v>
      </c>
      <c r="B1998" s="121" t="s">
        <v>6839</v>
      </c>
      <c r="C1998" s="121" t="s">
        <v>6840</v>
      </c>
      <c r="D1998" s="119" t="s">
        <v>6841</v>
      </c>
      <c r="E1998" s="83"/>
      <c r="F1998" s="121" t="s">
        <v>29</v>
      </c>
      <c r="G1998" s="121" t="s">
        <v>30</v>
      </c>
      <c r="H1998" s="83"/>
      <c r="I1998" s="121" t="s">
        <v>30</v>
      </c>
      <c r="J1998" s="121">
        <v>521.0</v>
      </c>
      <c r="K1998" s="83"/>
      <c r="L1998" s="121" t="s">
        <v>6842</v>
      </c>
      <c r="M1998" s="121" t="s">
        <v>6843</v>
      </c>
      <c r="N1998" s="121">
        <v>2008.0</v>
      </c>
      <c r="O1998" s="60">
        <v>14.0</v>
      </c>
      <c r="P1998" s="121">
        <v>1.0</v>
      </c>
      <c r="Q1998" s="121">
        <v>1.0</v>
      </c>
      <c r="R1998" s="84"/>
      <c r="S1998" s="34"/>
      <c r="T1998" s="34"/>
      <c r="U1998" s="34"/>
      <c r="V1998" s="34"/>
      <c r="W1998" s="34"/>
      <c r="X1998" s="34"/>
      <c r="Y1998" s="45"/>
      <c r="Z1998" s="45"/>
      <c r="AA1998" s="45"/>
      <c r="AB1998" s="45"/>
      <c r="AC1998" s="45"/>
      <c r="AD1998" s="45"/>
      <c r="AE1998" s="45"/>
      <c r="AF1998" s="45"/>
      <c r="AG1998" s="45"/>
      <c r="AH1998" s="45"/>
      <c r="AI1998" s="45"/>
      <c r="AJ1998" s="45"/>
      <c r="AK1998" s="45"/>
      <c r="AL1998" s="45"/>
    </row>
    <row r="1999" ht="15.75" customHeight="1">
      <c r="A1999" s="27">
        <f t="shared" si="21"/>
        <v>878</v>
      </c>
      <c r="B1999" s="28" t="s">
        <v>31</v>
      </c>
      <c r="C1999" s="43" t="s">
        <v>6844</v>
      </c>
      <c r="D1999" s="30" t="s">
        <v>6845</v>
      </c>
      <c r="E1999" s="28" t="s">
        <v>31</v>
      </c>
      <c r="F1999" s="28" t="s">
        <v>29</v>
      </c>
      <c r="G1999" s="28" t="s">
        <v>81</v>
      </c>
      <c r="H1999" s="28"/>
      <c r="I1999" s="28" t="s">
        <v>38</v>
      </c>
      <c r="J1999" s="28">
        <v>254.0</v>
      </c>
      <c r="K1999" s="28"/>
      <c r="L1999" s="28" t="s">
        <v>6846</v>
      </c>
      <c r="M1999" s="28" t="s">
        <v>6847</v>
      </c>
      <c r="N1999" s="28">
        <v>1962.0</v>
      </c>
      <c r="O1999" s="60">
        <v>14.0</v>
      </c>
      <c r="P1999" s="28">
        <v>1.0</v>
      </c>
      <c r="Q1999" s="94">
        <v>1.0</v>
      </c>
      <c r="R1999" s="33"/>
      <c r="S1999" s="34"/>
      <c r="T1999" s="34"/>
      <c r="U1999" s="34"/>
      <c r="V1999" s="34"/>
      <c r="W1999" s="34"/>
      <c r="X1999" s="34"/>
      <c r="Y1999" s="45"/>
      <c r="Z1999" s="45"/>
      <c r="AA1999" s="45"/>
      <c r="AB1999" s="45"/>
      <c r="AC1999" s="45"/>
      <c r="AD1999" s="45"/>
      <c r="AE1999" s="45"/>
      <c r="AF1999" s="45"/>
      <c r="AG1999" s="45"/>
      <c r="AH1999" s="45"/>
      <c r="AI1999" s="45"/>
      <c r="AJ1999" s="45"/>
      <c r="AK1999" s="45"/>
      <c r="AL1999" s="45"/>
    </row>
    <row r="2000" ht="15.75" customHeight="1">
      <c r="A2000" s="27">
        <f t="shared" si="21"/>
        <v>879</v>
      </c>
      <c r="B2000" s="28" t="s">
        <v>31</v>
      </c>
      <c r="C2000" s="43" t="s">
        <v>6844</v>
      </c>
      <c r="D2000" s="30" t="s">
        <v>6845</v>
      </c>
      <c r="E2000" s="28" t="s">
        <v>31</v>
      </c>
      <c r="F2000" s="28" t="s">
        <v>29</v>
      </c>
      <c r="G2000" s="28" t="s">
        <v>81</v>
      </c>
      <c r="H2000" s="28"/>
      <c r="I2000" s="28" t="s">
        <v>38</v>
      </c>
      <c r="J2000" s="28">
        <v>281.0</v>
      </c>
      <c r="K2000" s="28"/>
      <c r="L2000" s="28" t="s">
        <v>6846</v>
      </c>
      <c r="M2000" s="28" t="s">
        <v>6847</v>
      </c>
      <c r="N2000" s="28">
        <v>1975.0</v>
      </c>
      <c r="O2000" s="60">
        <v>14.0</v>
      </c>
      <c r="P2000" s="28">
        <v>1.0</v>
      </c>
      <c r="Q2000" s="94">
        <v>1.0</v>
      </c>
      <c r="R2000" s="33"/>
      <c r="S2000" s="34"/>
      <c r="T2000" s="34"/>
      <c r="U2000" s="34"/>
      <c r="V2000" s="34"/>
      <c r="W2000" s="34"/>
      <c r="X2000" s="34"/>
      <c r="Y2000" s="45"/>
      <c r="Z2000" s="45"/>
      <c r="AA2000" s="45"/>
      <c r="AB2000" s="45"/>
      <c r="AC2000" s="45"/>
      <c r="AD2000" s="45"/>
      <c r="AE2000" s="45"/>
      <c r="AF2000" s="45"/>
      <c r="AG2000" s="45"/>
      <c r="AH2000" s="45"/>
      <c r="AI2000" s="45"/>
      <c r="AJ2000" s="45"/>
      <c r="AK2000" s="45"/>
      <c r="AL2000" s="45"/>
    </row>
    <row r="2001" ht="15.75" customHeight="1">
      <c r="A2001" s="27">
        <f t="shared" si="21"/>
        <v>880</v>
      </c>
      <c r="B2001" s="28" t="s">
        <v>6848</v>
      </c>
      <c r="C2001" s="43" t="s">
        <v>6849</v>
      </c>
      <c r="D2001" s="30" t="s">
        <v>6850</v>
      </c>
      <c r="E2001" s="28" t="s">
        <v>302</v>
      </c>
      <c r="F2001" s="28" t="s">
        <v>29</v>
      </c>
      <c r="G2001" s="28" t="s">
        <v>37</v>
      </c>
      <c r="H2001" s="28"/>
      <c r="I2001" s="28" t="s">
        <v>30</v>
      </c>
      <c r="J2001" s="28">
        <v>276.0</v>
      </c>
      <c r="K2001" s="28"/>
      <c r="L2001" s="28" t="s">
        <v>6851</v>
      </c>
      <c r="M2001" s="28" t="s">
        <v>230</v>
      </c>
      <c r="N2001" s="28">
        <v>1994.0</v>
      </c>
      <c r="O2001" s="60">
        <v>14.0</v>
      </c>
      <c r="P2001" s="28">
        <v>1.0</v>
      </c>
      <c r="Q2001" s="32">
        <v>1.0</v>
      </c>
      <c r="R2001" s="33"/>
      <c r="S2001" s="34"/>
      <c r="T2001" s="34"/>
      <c r="U2001" s="34"/>
      <c r="V2001" s="34"/>
      <c r="W2001" s="34"/>
      <c r="X2001" s="34"/>
      <c r="Y2001" s="45"/>
      <c r="Z2001" s="45"/>
      <c r="AA2001" s="45"/>
      <c r="AB2001" s="45"/>
      <c r="AC2001" s="45"/>
      <c r="AD2001" s="45"/>
      <c r="AE2001" s="45"/>
      <c r="AF2001" s="45"/>
      <c r="AG2001" s="45"/>
      <c r="AH2001" s="45"/>
      <c r="AI2001" s="45"/>
      <c r="AJ2001" s="45"/>
      <c r="AK2001" s="45"/>
      <c r="AL2001" s="45"/>
    </row>
    <row r="2002" ht="15.75" customHeight="1">
      <c r="A2002" s="27">
        <f t="shared" si="21"/>
        <v>881</v>
      </c>
      <c r="B2002" s="28" t="s">
        <v>6852</v>
      </c>
      <c r="C2002" s="43" t="s">
        <v>6853</v>
      </c>
      <c r="D2002" s="30" t="s">
        <v>6854</v>
      </c>
      <c r="E2002" s="28" t="s">
        <v>302</v>
      </c>
      <c r="F2002" s="28" t="s">
        <v>29</v>
      </c>
      <c r="G2002" s="28" t="s">
        <v>37</v>
      </c>
      <c r="H2002" s="28"/>
      <c r="I2002" s="28" t="s">
        <v>38</v>
      </c>
      <c r="J2002" s="28">
        <v>467.0</v>
      </c>
      <c r="K2002" s="28"/>
      <c r="L2002" s="28" t="s">
        <v>6855</v>
      </c>
      <c r="M2002" s="28" t="s">
        <v>6856</v>
      </c>
      <c r="N2002" s="28">
        <v>2004.0</v>
      </c>
      <c r="O2002" s="60">
        <v>14.0</v>
      </c>
      <c r="P2002" s="28">
        <v>1.0</v>
      </c>
      <c r="Q2002" s="94">
        <v>1.0</v>
      </c>
      <c r="R2002" s="33"/>
      <c r="S2002" s="34"/>
      <c r="T2002" s="34"/>
      <c r="U2002" s="34"/>
      <c r="V2002" s="34"/>
      <c r="W2002" s="34"/>
      <c r="X2002" s="34"/>
      <c r="Y2002" s="45"/>
      <c r="Z2002" s="45"/>
      <c r="AA2002" s="45"/>
      <c r="AB2002" s="45"/>
      <c r="AC2002" s="45"/>
      <c r="AD2002" s="45"/>
      <c r="AE2002" s="45"/>
      <c r="AF2002" s="45"/>
      <c r="AG2002" s="45"/>
      <c r="AH2002" s="45"/>
      <c r="AI2002" s="45"/>
      <c r="AJ2002" s="45"/>
      <c r="AK2002" s="45"/>
      <c r="AL2002" s="45"/>
    </row>
    <row r="2003" ht="15.75" customHeight="1">
      <c r="A2003" s="27">
        <f t="shared" si="21"/>
        <v>882</v>
      </c>
      <c r="B2003" s="28" t="s">
        <v>6857</v>
      </c>
      <c r="C2003" s="43" t="s">
        <v>6858</v>
      </c>
      <c r="D2003" s="30" t="s">
        <v>6859</v>
      </c>
      <c r="E2003" s="28" t="s">
        <v>302</v>
      </c>
      <c r="F2003" s="28" t="s">
        <v>29</v>
      </c>
      <c r="G2003" s="28" t="s">
        <v>37</v>
      </c>
      <c r="H2003" s="28" t="s">
        <v>31</v>
      </c>
      <c r="I2003" s="28" t="s">
        <v>38</v>
      </c>
      <c r="J2003" s="28">
        <v>483.0</v>
      </c>
      <c r="K2003" s="28"/>
      <c r="L2003" s="28" t="s">
        <v>6860</v>
      </c>
      <c r="M2003" s="28" t="s">
        <v>230</v>
      </c>
      <c r="N2003" s="28">
        <v>2010.0</v>
      </c>
      <c r="O2003" s="60">
        <v>14.0</v>
      </c>
      <c r="P2003" s="28">
        <v>1.0</v>
      </c>
      <c r="Q2003" s="94">
        <v>1.0</v>
      </c>
      <c r="R2003" s="33"/>
      <c r="S2003" s="34"/>
      <c r="T2003" s="34"/>
      <c r="U2003" s="34"/>
      <c r="V2003" s="34"/>
      <c r="W2003" s="34"/>
      <c r="X2003" s="34"/>
      <c r="Y2003" s="45"/>
      <c r="Z2003" s="45"/>
      <c r="AA2003" s="45"/>
      <c r="AB2003" s="45"/>
      <c r="AC2003" s="45"/>
      <c r="AD2003" s="45"/>
      <c r="AE2003" s="45"/>
      <c r="AF2003" s="45"/>
      <c r="AG2003" s="45"/>
      <c r="AH2003" s="45"/>
      <c r="AI2003" s="45"/>
      <c r="AJ2003" s="45"/>
      <c r="AK2003" s="45"/>
      <c r="AL2003" s="45"/>
    </row>
    <row r="2004" ht="15.75" customHeight="1">
      <c r="A2004" s="27">
        <f t="shared" si="21"/>
        <v>883</v>
      </c>
      <c r="B2004" s="28" t="s">
        <v>6861</v>
      </c>
      <c r="C2004" s="43" t="s">
        <v>6862</v>
      </c>
      <c r="D2004" s="30" t="s">
        <v>6863</v>
      </c>
      <c r="E2004" s="28" t="s">
        <v>302</v>
      </c>
      <c r="F2004" s="28" t="s">
        <v>29</v>
      </c>
      <c r="G2004" s="28" t="s">
        <v>131</v>
      </c>
      <c r="H2004" s="28"/>
      <c r="I2004" s="28" t="s">
        <v>38</v>
      </c>
      <c r="J2004" s="28">
        <v>343.0</v>
      </c>
      <c r="K2004" s="28"/>
      <c r="L2004" s="28" t="s">
        <v>6731</v>
      </c>
      <c r="M2004" s="28" t="s">
        <v>3465</v>
      </c>
      <c r="N2004" s="28">
        <v>2004.0</v>
      </c>
      <c r="O2004" s="60">
        <v>14.0</v>
      </c>
      <c r="P2004" s="28">
        <v>1.0</v>
      </c>
      <c r="Q2004" s="32">
        <v>1.0</v>
      </c>
      <c r="R2004" s="33"/>
      <c r="S2004" s="34"/>
      <c r="T2004" s="34"/>
      <c r="U2004" s="34"/>
      <c r="V2004" s="34"/>
      <c r="W2004" s="34"/>
      <c r="X2004" s="34"/>
      <c r="Y2004" s="45"/>
      <c r="Z2004" s="45"/>
      <c r="AA2004" s="45"/>
      <c r="AB2004" s="45"/>
      <c r="AC2004" s="45"/>
      <c r="AD2004" s="45"/>
      <c r="AE2004" s="45"/>
      <c r="AF2004" s="45"/>
      <c r="AG2004" s="45"/>
      <c r="AH2004" s="45"/>
      <c r="AI2004" s="45"/>
      <c r="AJ2004" s="45"/>
      <c r="AK2004" s="45"/>
      <c r="AL2004" s="45"/>
    </row>
    <row r="2005" ht="15.75" customHeight="1">
      <c r="A2005" s="27">
        <f t="shared" si="21"/>
        <v>884</v>
      </c>
      <c r="B2005" s="28" t="s">
        <v>6864</v>
      </c>
      <c r="C2005" s="43" t="s">
        <v>6865</v>
      </c>
      <c r="D2005" s="30" t="s">
        <v>6866</v>
      </c>
      <c r="E2005" s="28" t="s">
        <v>302</v>
      </c>
      <c r="F2005" s="28" t="s">
        <v>29</v>
      </c>
      <c r="G2005" s="28" t="s">
        <v>37</v>
      </c>
      <c r="H2005" s="28"/>
      <c r="I2005" s="28" t="s">
        <v>38</v>
      </c>
      <c r="J2005" s="28">
        <v>390.0</v>
      </c>
      <c r="K2005" s="28"/>
      <c r="L2005" s="28" t="s">
        <v>6867</v>
      </c>
      <c r="M2005" s="28" t="s">
        <v>230</v>
      </c>
      <c r="N2005" s="28">
        <v>2011.0</v>
      </c>
      <c r="O2005" s="121">
        <v>14.0</v>
      </c>
      <c r="P2005" s="28">
        <v>1.0</v>
      </c>
      <c r="Q2005" s="32">
        <v>1.0</v>
      </c>
      <c r="R2005" s="33"/>
      <c r="S2005" s="34"/>
      <c r="T2005" s="34"/>
      <c r="U2005" s="34"/>
      <c r="V2005" s="34"/>
      <c r="W2005" s="34"/>
      <c r="X2005" s="34"/>
      <c r="Y2005" s="45"/>
      <c r="Z2005" s="45"/>
      <c r="AA2005" s="45"/>
      <c r="AB2005" s="45"/>
      <c r="AC2005" s="45"/>
      <c r="AD2005" s="45"/>
      <c r="AE2005" s="45"/>
      <c r="AF2005" s="45"/>
      <c r="AG2005" s="45"/>
      <c r="AH2005" s="45"/>
      <c r="AI2005" s="45"/>
      <c r="AJ2005" s="45"/>
      <c r="AK2005" s="45"/>
      <c r="AL2005" s="45"/>
    </row>
    <row r="2006" ht="15.75" customHeight="1">
      <c r="A2006" s="27">
        <f t="shared" si="21"/>
        <v>885</v>
      </c>
      <c r="B2006" s="28" t="s">
        <v>6868</v>
      </c>
      <c r="C2006" s="43" t="s">
        <v>6869</v>
      </c>
      <c r="D2006" s="30" t="s">
        <v>6870</v>
      </c>
      <c r="E2006" s="28" t="s">
        <v>302</v>
      </c>
      <c r="F2006" s="28" t="s">
        <v>29</v>
      </c>
      <c r="G2006" s="28" t="s">
        <v>37</v>
      </c>
      <c r="H2006" s="28" t="s">
        <v>31</v>
      </c>
      <c r="I2006" s="28" t="s">
        <v>38</v>
      </c>
      <c r="J2006" s="28">
        <v>318.0</v>
      </c>
      <c r="K2006" s="28"/>
      <c r="L2006" s="28" t="s">
        <v>6871</v>
      </c>
      <c r="M2006" s="28" t="s">
        <v>230</v>
      </c>
      <c r="N2006" s="28">
        <v>2010.0</v>
      </c>
      <c r="O2006" s="121">
        <v>14.0</v>
      </c>
      <c r="P2006" s="28">
        <v>1.0</v>
      </c>
      <c r="Q2006" s="94">
        <v>1.0</v>
      </c>
      <c r="R2006" s="33"/>
      <c r="S2006" s="34"/>
      <c r="T2006" s="34"/>
      <c r="U2006" s="34"/>
      <c r="V2006" s="34"/>
      <c r="W2006" s="34"/>
      <c r="X2006" s="34"/>
      <c r="Y2006" s="45"/>
      <c r="Z2006" s="45"/>
      <c r="AA2006" s="45"/>
      <c r="AB2006" s="45"/>
      <c r="AC2006" s="45"/>
      <c r="AD2006" s="45"/>
      <c r="AE2006" s="45"/>
      <c r="AF2006" s="45"/>
      <c r="AG2006" s="45"/>
      <c r="AH2006" s="45"/>
      <c r="AI2006" s="45"/>
      <c r="AJ2006" s="45"/>
      <c r="AK2006" s="45"/>
      <c r="AL2006" s="45"/>
    </row>
    <row r="2007" ht="15.75" customHeight="1">
      <c r="A2007" s="27">
        <f t="shared" si="21"/>
        <v>886</v>
      </c>
      <c r="B2007" s="28" t="s">
        <v>6872</v>
      </c>
      <c r="C2007" s="43" t="s">
        <v>6873</v>
      </c>
      <c r="D2007" s="30" t="s">
        <v>6874</v>
      </c>
      <c r="E2007" s="28" t="s">
        <v>302</v>
      </c>
      <c r="F2007" s="28" t="s">
        <v>29</v>
      </c>
      <c r="G2007" s="28" t="s">
        <v>37</v>
      </c>
      <c r="H2007" s="28"/>
      <c r="I2007" s="28" t="s">
        <v>38</v>
      </c>
      <c r="J2007" s="28">
        <v>338.0</v>
      </c>
      <c r="K2007" s="28"/>
      <c r="L2007" s="28" t="s">
        <v>6875</v>
      </c>
      <c r="M2007" s="28" t="s">
        <v>230</v>
      </c>
      <c r="N2007" s="28">
        <v>2000.0</v>
      </c>
      <c r="O2007" s="121">
        <v>14.0</v>
      </c>
      <c r="P2007" s="28">
        <v>1.0</v>
      </c>
      <c r="Q2007" s="32">
        <v>1.0</v>
      </c>
      <c r="R2007" s="33"/>
      <c r="S2007" s="34"/>
      <c r="T2007" s="34"/>
      <c r="U2007" s="34"/>
      <c r="V2007" s="34"/>
      <c r="W2007" s="34"/>
      <c r="X2007" s="34"/>
      <c r="Y2007" s="3"/>
      <c r="Z2007" s="3"/>
      <c r="AA2007" s="3"/>
      <c r="AB2007" s="3"/>
      <c r="AC2007" s="3"/>
      <c r="AD2007" s="3"/>
      <c r="AE2007" s="3"/>
      <c r="AF2007" s="3"/>
      <c r="AG2007" s="3"/>
      <c r="AH2007" s="3"/>
      <c r="AI2007" s="3"/>
      <c r="AJ2007" s="3"/>
      <c r="AK2007" s="3"/>
      <c r="AL2007" s="3"/>
    </row>
    <row r="2008" ht="15.75" customHeight="1">
      <c r="A2008" s="27">
        <f t="shared" si="21"/>
        <v>887</v>
      </c>
      <c r="B2008" s="28" t="s">
        <v>6876</v>
      </c>
      <c r="C2008" s="43" t="s">
        <v>6877</v>
      </c>
      <c r="D2008" s="30" t="s">
        <v>6878</v>
      </c>
      <c r="E2008" s="28" t="s">
        <v>302</v>
      </c>
      <c r="F2008" s="28" t="s">
        <v>29</v>
      </c>
      <c r="G2008" s="28" t="s">
        <v>37</v>
      </c>
      <c r="H2008" s="28"/>
      <c r="I2008" s="28" t="s">
        <v>38</v>
      </c>
      <c r="J2008" s="28">
        <v>171.0</v>
      </c>
      <c r="K2008" s="28"/>
      <c r="L2008" s="28" t="s">
        <v>6879</v>
      </c>
      <c r="M2008" s="28" t="s">
        <v>230</v>
      </c>
      <c r="N2008" s="28">
        <v>2002.0</v>
      </c>
      <c r="O2008" s="121">
        <v>14.0</v>
      </c>
      <c r="P2008" s="28">
        <v>1.0</v>
      </c>
      <c r="Q2008" s="32">
        <v>1.0</v>
      </c>
      <c r="R2008" s="33"/>
      <c r="S2008" s="34"/>
      <c r="T2008" s="34"/>
      <c r="U2008" s="34"/>
      <c r="V2008" s="34"/>
      <c r="W2008" s="34"/>
      <c r="X2008" s="34"/>
      <c r="Y2008" s="3"/>
      <c r="Z2008" s="3"/>
      <c r="AA2008" s="3"/>
      <c r="AB2008" s="3"/>
      <c r="AC2008" s="3"/>
      <c r="AD2008" s="3"/>
      <c r="AE2008" s="3"/>
      <c r="AF2008" s="3"/>
      <c r="AG2008" s="3"/>
      <c r="AH2008" s="3"/>
      <c r="AI2008" s="3"/>
      <c r="AJ2008" s="3"/>
      <c r="AK2008" s="3"/>
      <c r="AL2008" s="3"/>
    </row>
    <row r="2009" ht="15.75" customHeight="1">
      <c r="A2009" s="27">
        <f t="shared" si="21"/>
        <v>888</v>
      </c>
      <c r="B2009" s="28" t="s">
        <v>31</v>
      </c>
      <c r="C2009" s="43" t="s">
        <v>6880</v>
      </c>
      <c r="D2009" s="30" t="s">
        <v>6881</v>
      </c>
      <c r="E2009" s="28" t="s">
        <v>302</v>
      </c>
      <c r="F2009" s="28" t="s">
        <v>29</v>
      </c>
      <c r="G2009" s="28" t="s">
        <v>37</v>
      </c>
      <c r="H2009" s="28"/>
      <c r="I2009" s="28" t="s">
        <v>38</v>
      </c>
      <c r="J2009" s="28">
        <f>435+15+9</f>
        <v>459</v>
      </c>
      <c r="K2009" s="28"/>
      <c r="L2009" s="28" t="s">
        <v>6882</v>
      </c>
      <c r="M2009" s="28" t="s">
        <v>6883</v>
      </c>
      <c r="N2009" s="28">
        <v>1957.0</v>
      </c>
      <c r="O2009" s="121">
        <v>14.0</v>
      </c>
      <c r="P2009" s="28">
        <v>1.0</v>
      </c>
      <c r="Q2009" s="32">
        <v>1.0</v>
      </c>
      <c r="R2009" s="33"/>
      <c r="S2009" s="34"/>
      <c r="T2009" s="34"/>
      <c r="U2009" s="34"/>
      <c r="V2009" s="34"/>
      <c r="W2009" s="34"/>
      <c r="X2009" s="34"/>
      <c r="Y2009" s="45"/>
      <c r="Z2009" s="45"/>
      <c r="AA2009" s="45"/>
      <c r="AB2009" s="45"/>
      <c r="AC2009" s="45"/>
      <c r="AD2009" s="45"/>
      <c r="AE2009" s="45"/>
      <c r="AF2009" s="45"/>
      <c r="AG2009" s="45"/>
      <c r="AH2009" s="45"/>
      <c r="AI2009" s="45"/>
      <c r="AJ2009" s="45"/>
      <c r="AK2009" s="45"/>
      <c r="AL2009" s="45"/>
    </row>
    <row r="2010" ht="15.75" customHeight="1">
      <c r="A2010" s="27">
        <f t="shared" si="21"/>
        <v>889</v>
      </c>
      <c r="B2010" s="28" t="s">
        <v>6884</v>
      </c>
      <c r="C2010" s="43" t="s">
        <v>6885</v>
      </c>
      <c r="D2010" s="30" t="s">
        <v>6886</v>
      </c>
      <c r="E2010" s="28" t="s">
        <v>302</v>
      </c>
      <c r="F2010" s="28" t="s">
        <v>29</v>
      </c>
      <c r="G2010" s="28" t="s">
        <v>37</v>
      </c>
      <c r="H2010" s="28"/>
      <c r="I2010" s="28" t="s">
        <v>38</v>
      </c>
      <c r="J2010" s="28">
        <v>160.0</v>
      </c>
      <c r="K2010" s="28"/>
      <c r="L2010" s="28" t="s">
        <v>502</v>
      </c>
      <c r="M2010" s="28" t="s">
        <v>230</v>
      </c>
      <c r="N2010" s="28">
        <v>1964.0</v>
      </c>
      <c r="O2010" s="121">
        <v>14.0</v>
      </c>
      <c r="P2010" s="28">
        <v>1.0</v>
      </c>
      <c r="Q2010" s="32">
        <v>1.0</v>
      </c>
      <c r="R2010" s="33"/>
      <c r="S2010" s="40"/>
      <c r="T2010" s="40"/>
      <c r="U2010" s="40"/>
      <c r="V2010" s="40"/>
      <c r="W2010" s="40"/>
      <c r="X2010" s="40"/>
      <c r="Y2010" s="3"/>
      <c r="Z2010" s="3"/>
      <c r="AA2010" s="3"/>
      <c r="AB2010" s="3"/>
      <c r="AC2010" s="3"/>
      <c r="AD2010" s="3"/>
      <c r="AE2010" s="3"/>
      <c r="AF2010" s="3"/>
      <c r="AG2010" s="3"/>
      <c r="AH2010" s="3"/>
      <c r="AI2010" s="3"/>
      <c r="AJ2010" s="3"/>
      <c r="AK2010" s="3"/>
      <c r="AL2010" s="3"/>
    </row>
    <row r="2011" ht="15.75" customHeight="1">
      <c r="A2011" s="27">
        <f t="shared" si="21"/>
        <v>890</v>
      </c>
      <c r="B2011" s="28" t="s">
        <v>6887</v>
      </c>
      <c r="C2011" s="43" t="s">
        <v>6888</v>
      </c>
      <c r="D2011" s="30" t="s">
        <v>6889</v>
      </c>
      <c r="E2011" s="28" t="s">
        <v>302</v>
      </c>
      <c r="F2011" s="28" t="s">
        <v>29</v>
      </c>
      <c r="G2011" s="28" t="s">
        <v>37</v>
      </c>
      <c r="H2011" s="28"/>
      <c r="I2011" s="28" t="s">
        <v>38</v>
      </c>
      <c r="J2011" s="28">
        <v>238.0</v>
      </c>
      <c r="K2011" s="28"/>
      <c r="L2011" s="28" t="s">
        <v>5220</v>
      </c>
      <c r="M2011" s="28" t="s">
        <v>230</v>
      </c>
      <c r="N2011" s="28">
        <v>2002.0</v>
      </c>
      <c r="O2011" s="121">
        <v>14.0</v>
      </c>
      <c r="P2011" s="28">
        <v>1.0</v>
      </c>
      <c r="Q2011" s="32">
        <v>1.0</v>
      </c>
      <c r="R2011" s="33"/>
      <c r="S2011" s="34"/>
      <c r="T2011" s="34"/>
      <c r="U2011" s="34"/>
      <c r="V2011" s="34"/>
      <c r="W2011" s="34"/>
      <c r="X2011" s="34"/>
      <c r="Y2011" s="3"/>
      <c r="Z2011" s="3"/>
      <c r="AA2011" s="3"/>
      <c r="AB2011" s="3"/>
      <c r="AC2011" s="3"/>
      <c r="AD2011" s="3"/>
      <c r="AE2011" s="3"/>
      <c r="AF2011" s="3"/>
      <c r="AG2011" s="3"/>
      <c r="AH2011" s="3"/>
      <c r="AI2011" s="3"/>
      <c r="AJ2011" s="3"/>
      <c r="AK2011" s="3"/>
      <c r="AL2011" s="3"/>
    </row>
    <row r="2012" ht="15.75" customHeight="1">
      <c r="A2012" s="27">
        <f t="shared" si="21"/>
        <v>891</v>
      </c>
      <c r="B2012" s="28" t="s">
        <v>6890</v>
      </c>
      <c r="C2012" s="43" t="s">
        <v>6891</v>
      </c>
      <c r="D2012" s="30" t="s">
        <v>6892</v>
      </c>
      <c r="E2012" s="28"/>
      <c r="F2012" s="28" t="s">
        <v>29</v>
      </c>
      <c r="G2012" s="28" t="s">
        <v>30</v>
      </c>
      <c r="H2012" s="28"/>
      <c r="I2012" s="28" t="s">
        <v>159</v>
      </c>
      <c r="J2012" s="28">
        <v>160.0</v>
      </c>
      <c r="K2012" s="28"/>
      <c r="L2012" s="28" t="s">
        <v>6893</v>
      </c>
      <c r="M2012" s="28" t="s">
        <v>6894</v>
      </c>
      <c r="N2012" s="28"/>
      <c r="O2012" s="121">
        <v>14.0</v>
      </c>
      <c r="P2012" s="28">
        <v>1.0</v>
      </c>
      <c r="Q2012" s="32">
        <v>1.0</v>
      </c>
      <c r="R2012" s="33"/>
      <c r="S2012" s="40"/>
      <c r="T2012" s="40"/>
      <c r="U2012" s="40"/>
      <c r="V2012" s="40"/>
      <c r="W2012" s="40"/>
      <c r="X2012" s="40"/>
      <c r="Y2012" s="3"/>
      <c r="Z2012" s="3"/>
      <c r="AA2012" s="3"/>
      <c r="AB2012" s="3"/>
      <c r="AC2012" s="3"/>
      <c r="AD2012" s="3"/>
      <c r="AE2012" s="3"/>
      <c r="AF2012" s="3"/>
      <c r="AG2012" s="3"/>
      <c r="AH2012" s="3"/>
      <c r="AI2012" s="3"/>
      <c r="AJ2012" s="3"/>
      <c r="AK2012" s="3"/>
      <c r="AL2012" s="3"/>
    </row>
    <row r="2013" ht="15.75" customHeight="1">
      <c r="A2013" s="27">
        <f t="shared" si="21"/>
        <v>892</v>
      </c>
      <c r="B2013" s="28" t="s">
        <v>6895</v>
      </c>
      <c r="C2013" s="43" t="s">
        <v>6896</v>
      </c>
      <c r="D2013" s="30" t="s">
        <v>6897</v>
      </c>
      <c r="E2013" s="28" t="s">
        <v>28</v>
      </c>
      <c r="F2013" s="28" t="s">
        <v>29</v>
      </c>
      <c r="G2013" s="28" t="s">
        <v>30</v>
      </c>
      <c r="H2013" s="28" t="s">
        <v>31</v>
      </c>
      <c r="I2013" s="28" t="s">
        <v>30</v>
      </c>
      <c r="J2013" s="28">
        <f>491+32</f>
        <v>523</v>
      </c>
      <c r="K2013" s="28"/>
      <c r="L2013" s="28" t="s">
        <v>6898</v>
      </c>
      <c r="M2013" s="28" t="s">
        <v>151</v>
      </c>
      <c r="N2013" s="28">
        <v>2012.0</v>
      </c>
      <c r="O2013" s="121">
        <v>14.0</v>
      </c>
      <c r="P2013" s="28">
        <v>1.0</v>
      </c>
      <c r="Q2013" s="32">
        <v>1.0</v>
      </c>
      <c r="R2013" s="33"/>
      <c r="S2013" s="34"/>
      <c r="T2013" s="34"/>
      <c r="U2013" s="34"/>
      <c r="V2013" s="34"/>
      <c r="W2013" s="34"/>
      <c r="X2013" s="34"/>
      <c r="Y2013" s="3"/>
      <c r="Z2013" s="3"/>
      <c r="AA2013" s="3"/>
      <c r="AB2013" s="3"/>
      <c r="AC2013" s="3"/>
      <c r="AD2013" s="3"/>
      <c r="AE2013" s="3"/>
      <c r="AF2013" s="3"/>
      <c r="AG2013" s="3"/>
      <c r="AH2013" s="3"/>
      <c r="AI2013" s="3"/>
      <c r="AJ2013" s="3"/>
      <c r="AK2013" s="3"/>
      <c r="AL2013" s="3"/>
    </row>
    <row r="2014" ht="15.75" customHeight="1">
      <c r="A2014" s="27">
        <f t="shared" si="21"/>
        <v>893</v>
      </c>
      <c r="B2014" s="121" t="s">
        <v>6899</v>
      </c>
      <c r="C2014" s="121" t="s">
        <v>6900</v>
      </c>
      <c r="D2014" s="119" t="s">
        <v>6901</v>
      </c>
      <c r="E2014" s="83"/>
      <c r="F2014" s="121" t="s">
        <v>29</v>
      </c>
      <c r="G2014" s="121" t="s">
        <v>37</v>
      </c>
      <c r="H2014" s="83"/>
      <c r="I2014" s="121" t="s">
        <v>38</v>
      </c>
      <c r="J2014" s="121">
        <v>304.0</v>
      </c>
      <c r="K2014" s="83"/>
      <c r="L2014" s="121" t="s">
        <v>6902</v>
      </c>
      <c r="M2014" s="121" t="s">
        <v>178</v>
      </c>
      <c r="N2014" s="121">
        <v>1983.0</v>
      </c>
      <c r="O2014" s="121">
        <v>14.0</v>
      </c>
      <c r="P2014" s="121">
        <v>1.0</v>
      </c>
      <c r="Q2014" s="121">
        <v>1.0</v>
      </c>
      <c r="R2014" s="84"/>
      <c r="S2014" s="34"/>
      <c r="T2014" s="34"/>
      <c r="U2014" s="34"/>
      <c r="V2014" s="34"/>
      <c r="W2014" s="34"/>
      <c r="X2014" s="34"/>
      <c r="Y2014" s="3"/>
      <c r="Z2014" s="3"/>
      <c r="AA2014" s="3"/>
      <c r="AB2014" s="3"/>
      <c r="AC2014" s="3"/>
      <c r="AD2014" s="3"/>
      <c r="AE2014" s="3"/>
      <c r="AF2014" s="3"/>
      <c r="AG2014" s="3"/>
      <c r="AH2014" s="3"/>
      <c r="AI2014" s="3"/>
      <c r="AJ2014" s="3"/>
      <c r="AK2014" s="3"/>
      <c r="AL2014" s="3"/>
    </row>
    <row r="2015" ht="15.75" customHeight="1">
      <c r="A2015" s="27">
        <f t="shared" si="21"/>
        <v>894</v>
      </c>
      <c r="B2015" s="28" t="s">
        <v>6903</v>
      </c>
      <c r="C2015" s="43" t="s">
        <v>6904</v>
      </c>
      <c r="D2015" s="30" t="s">
        <v>6905</v>
      </c>
      <c r="E2015" s="28" t="s">
        <v>302</v>
      </c>
      <c r="F2015" s="28" t="s">
        <v>29</v>
      </c>
      <c r="G2015" s="28" t="s">
        <v>37</v>
      </c>
      <c r="H2015" s="28"/>
      <c r="I2015" s="28" t="s">
        <v>38</v>
      </c>
      <c r="J2015" s="28">
        <v>501.0</v>
      </c>
      <c r="K2015" s="28"/>
      <c r="L2015" s="28" t="s">
        <v>6756</v>
      </c>
      <c r="M2015" s="28" t="s">
        <v>230</v>
      </c>
      <c r="N2015" s="28">
        <v>2012.0</v>
      </c>
      <c r="O2015" s="28">
        <v>14.0</v>
      </c>
      <c r="P2015" s="28">
        <v>1.0</v>
      </c>
      <c r="Q2015" s="32">
        <v>1.0</v>
      </c>
      <c r="R2015" s="33"/>
      <c r="S2015" s="34"/>
      <c r="T2015" s="34"/>
      <c r="U2015" s="34"/>
      <c r="V2015" s="34"/>
      <c r="W2015" s="34"/>
      <c r="X2015" s="34"/>
      <c r="Y2015" s="45"/>
      <c r="Z2015" s="45"/>
      <c r="AA2015" s="45"/>
      <c r="AB2015" s="45"/>
      <c r="AC2015" s="45"/>
      <c r="AD2015" s="45"/>
      <c r="AE2015" s="45"/>
      <c r="AF2015" s="45"/>
      <c r="AG2015" s="45"/>
      <c r="AH2015" s="45"/>
      <c r="AI2015" s="45"/>
      <c r="AJ2015" s="45"/>
      <c r="AK2015" s="45"/>
      <c r="AL2015" s="45"/>
    </row>
    <row r="2016" ht="15.75" customHeight="1">
      <c r="A2016" s="27">
        <f t="shared" si="21"/>
        <v>895</v>
      </c>
      <c r="B2016" s="28" t="s">
        <v>6906</v>
      </c>
      <c r="C2016" s="43" t="s">
        <v>6907</v>
      </c>
      <c r="D2016" s="30" t="s">
        <v>6908</v>
      </c>
      <c r="E2016" s="28"/>
      <c r="F2016" s="28" t="s">
        <v>29</v>
      </c>
      <c r="G2016" s="28" t="s">
        <v>30</v>
      </c>
      <c r="H2016" s="28"/>
      <c r="I2016" s="28" t="s">
        <v>30</v>
      </c>
      <c r="J2016" s="28">
        <v>100.0</v>
      </c>
      <c r="K2016" s="28"/>
      <c r="L2016" s="30" t="s">
        <v>6908</v>
      </c>
      <c r="M2016" s="28" t="s">
        <v>6909</v>
      </c>
      <c r="N2016" s="28">
        <v>2010.0</v>
      </c>
      <c r="O2016" s="28">
        <v>14.0</v>
      </c>
      <c r="P2016" s="28">
        <v>1.0</v>
      </c>
      <c r="Q2016" s="94">
        <v>1.0</v>
      </c>
      <c r="R2016" s="33"/>
      <c r="S2016" s="116"/>
      <c r="T2016" s="116"/>
      <c r="U2016" s="116"/>
      <c r="V2016" s="116"/>
      <c r="W2016" s="116"/>
      <c r="X2016" s="116"/>
      <c r="Y2016" s="45"/>
      <c r="Z2016" s="45"/>
      <c r="AA2016" s="45"/>
      <c r="AB2016" s="45"/>
      <c r="AC2016" s="45"/>
      <c r="AD2016" s="45"/>
      <c r="AE2016" s="45"/>
      <c r="AF2016" s="45"/>
      <c r="AG2016" s="45"/>
      <c r="AH2016" s="45"/>
      <c r="AI2016" s="45"/>
      <c r="AJ2016" s="45"/>
      <c r="AK2016" s="45"/>
      <c r="AL2016" s="45"/>
    </row>
    <row r="2017" ht="15.75" customHeight="1">
      <c r="A2017" s="27">
        <f t="shared" si="21"/>
        <v>896</v>
      </c>
      <c r="B2017" s="28" t="s">
        <v>6910</v>
      </c>
      <c r="C2017" s="43" t="s">
        <v>6911</v>
      </c>
      <c r="D2017" s="30" t="s">
        <v>6912</v>
      </c>
      <c r="E2017" s="28" t="s">
        <v>144</v>
      </c>
      <c r="F2017" s="28" t="s">
        <v>29</v>
      </c>
      <c r="G2017" s="28" t="s">
        <v>37</v>
      </c>
      <c r="H2017" s="28"/>
      <c r="I2017" s="28" t="s">
        <v>38</v>
      </c>
      <c r="J2017" s="28">
        <f>239</f>
        <v>239</v>
      </c>
      <c r="K2017" s="28"/>
      <c r="L2017" s="28" t="s">
        <v>6913</v>
      </c>
      <c r="M2017" s="28" t="s">
        <v>6914</v>
      </c>
      <c r="N2017" s="28">
        <v>2007.0</v>
      </c>
      <c r="O2017" s="28">
        <v>14.0</v>
      </c>
      <c r="P2017" s="28">
        <v>1.0</v>
      </c>
      <c r="Q2017" s="94">
        <v>1.0</v>
      </c>
      <c r="R2017" s="33"/>
      <c r="S2017" s="34"/>
      <c r="T2017" s="34"/>
      <c r="U2017" s="34"/>
      <c r="V2017" s="34"/>
      <c r="W2017" s="34"/>
      <c r="X2017" s="34"/>
      <c r="Y2017" s="45"/>
      <c r="Z2017" s="45"/>
      <c r="AA2017" s="45"/>
      <c r="AB2017" s="45"/>
      <c r="AC2017" s="45"/>
      <c r="AD2017" s="45"/>
      <c r="AE2017" s="45"/>
      <c r="AF2017" s="45"/>
      <c r="AG2017" s="45"/>
      <c r="AH2017" s="45"/>
      <c r="AI2017" s="45"/>
      <c r="AJ2017" s="45"/>
      <c r="AK2017" s="45"/>
      <c r="AL2017" s="45"/>
    </row>
    <row r="2018" ht="15.75" customHeight="1">
      <c r="A2018" s="27">
        <f t="shared" si="21"/>
        <v>897</v>
      </c>
      <c r="B2018" s="28" t="s">
        <v>6915</v>
      </c>
      <c r="C2018" s="43" t="s">
        <v>6916</v>
      </c>
      <c r="D2018" s="30" t="s">
        <v>6917</v>
      </c>
      <c r="E2018" s="28" t="s">
        <v>302</v>
      </c>
      <c r="F2018" s="28" t="s">
        <v>29</v>
      </c>
      <c r="G2018" s="28" t="s">
        <v>37</v>
      </c>
      <c r="H2018" s="28"/>
      <c r="I2018" s="28" t="s">
        <v>38</v>
      </c>
      <c r="J2018" s="28">
        <v>188.0</v>
      </c>
      <c r="K2018" s="28"/>
      <c r="L2018" s="28" t="s">
        <v>6851</v>
      </c>
      <c r="M2018" s="28" t="s">
        <v>230</v>
      </c>
      <c r="N2018" s="28">
        <v>2012.0</v>
      </c>
      <c r="O2018" s="60">
        <v>14.0</v>
      </c>
      <c r="P2018" s="28">
        <v>1.0</v>
      </c>
      <c r="Q2018" s="94">
        <v>1.0</v>
      </c>
      <c r="R2018" s="33"/>
      <c r="S2018" s="34"/>
      <c r="T2018" s="34"/>
      <c r="U2018" s="34"/>
      <c r="V2018" s="34"/>
      <c r="W2018" s="34"/>
      <c r="X2018" s="34"/>
      <c r="Y2018" s="3"/>
      <c r="Z2018" s="3"/>
      <c r="AA2018" s="3"/>
      <c r="AB2018" s="3"/>
      <c r="AC2018" s="3"/>
      <c r="AD2018" s="3"/>
      <c r="AE2018" s="3"/>
      <c r="AF2018" s="3"/>
      <c r="AG2018" s="3"/>
      <c r="AH2018" s="3"/>
      <c r="AI2018" s="3"/>
      <c r="AJ2018" s="3"/>
      <c r="AK2018" s="3"/>
      <c r="AL2018" s="3"/>
    </row>
    <row r="2019" ht="15.75" customHeight="1">
      <c r="A2019" s="27">
        <f t="shared" si="21"/>
        <v>898</v>
      </c>
      <c r="B2019" s="28" t="s">
        <v>6918</v>
      </c>
      <c r="C2019" s="43" t="s">
        <v>6919</v>
      </c>
      <c r="D2019" s="30" t="s">
        <v>6920</v>
      </c>
      <c r="E2019" s="28" t="s">
        <v>302</v>
      </c>
      <c r="F2019" s="28" t="s">
        <v>29</v>
      </c>
      <c r="G2019" s="28" t="s">
        <v>37</v>
      </c>
      <c r="H2019" s="28"/>
      <c r="I2019" s="28" t="s">
        <v>38</v>
      </c>
      <c r="J2019" s="28">
        <v>234.0</v>
      </c>
      <c r="K2019" s="28"/>
      <c r="L2019" s="28" t="s">
        <v>6851</v>
      </c>
      <c r="M2019" s="28" t="s">
        <v>230</v>
      </c>
      <c r="N2019" s="28">
        <v>2001.0</v>
      </c>
      <c r="O2019" s="60">
        <v>14.0</v>
      </c>
      <c r="P2019" s="28">
        <v>1.0</v>
      </c>
      <c r="Q2019" s="94">
        <v>1.0</v>
      </c>
      <c r="R2019" s="33"/>
      <c r="S2019" s="34"/>
      <c r="T2019" s="34"/>
      <c r="U2019" s="34"/>
      <c r="V2019" s="34"/>
      <c r="W2019" s="34"/>
      <c r="X2019" s="34"/>
      <c r="Y2019" s="45"/>
      <c r="Z2019" s="45"/>
      <c r="AA2019" s="45"/>
      <c r="AB2019" s="45"/>
      <c r="AC2019" s="45"/>
      <c r="AD2019" s="45"/>
      <c r="AE2019" s="45"/>
      <c r="AF2019" s="45"/>
      <c r="AG2019" s="45"/>
      <c r="AH2019" s="45"/>
      <c r="AI2019" s="45"/>
      <c r="AJ2019" s="45"/>
      <c r="AK2019" s="45"/>
      <c r="AL2019" s="45"/>
    </row>
    <row r="2020" ht="15.75" customHeight="1">
      <c r="A2020" s="27">
        <f t="shared" si="21"/>
        <v>899</v>
      </c>
      <c r="B2020" s="28" t="s">
        <v>6921</v>
      </c>
      <c r="C2020" s="43" t="s">
        <v>6922</v>
      </c>
      <c r="D2020" s="30" t="s">
        <v>6923</v>
      </c>
      <c r="E2020" s="28" t="s">
        <v>144</v>
      </c>
      <c r="F2020" s="28" t="s">
        <v>29</v>
      </c>
      <c r="G2020" s="28" t="s">
        <v>30</v>
      </c>
      <c r="H2020" s="28"/>
      <c r="I2020" s="28" t="s">
        <v>30</v>
      </c>
      <c r="J2020" s="28">
        <v>336.0</v>
      </c>
      <c r="K2020" s="28"/>
      <c r="L2020" s="28" t="s">
        <v>6924</v>
      </c>
      <c r="M2020" s="28" t="s">
        <v>151</v>
      </c>
      <c r="N2020" s="28">
        <v>2015.0</v>
      </c>
      <c r="O2020" s="60">
        <v>14.0</v>
      </c>
      <c r="P2020" s="28">
        <v>1.0</v>
      </c>
      <c r="Q2020" s="32">
        <v>1.0</v>
      </c>
      <c r="R2020" s="33"/>
      <c r="S2020" s="34"/>
      <c r="T2020" s="34"/>
      <c r="U2020" s="34"/>
      <c r="V2020" s="34"/>
      <c r="W2020" s="34"/>
      <c r="X2020" s="34"/>
      <c r="Y2020" s="3"/>
      <c r="Z2020" s="3"/>
      <c r="AA2020" s="3"/>
      <c r="AB2020" s="3"/>
      <c r="AC2020" s="3"/>
      <c r="AD2020" s="3"/>
      <c r="AE2020" s="3"/>
      <c r="AF2020" s="3"/>
      <c r="AG2020" s="3"/>
      <c r="AH2020" s="3"/>
      <c r="AI2020" s="3"/>
      <c r="AJ2020" s="3"/>
      <c r="AK2020" s="3"/>
      <c r="AL2020" s="3"/>
    </row>
    <row r="2021" ht="15.75" customHeight="1">
      <c r="A2021" s="27">
        <f t="shared" si="21"/>
        <v>900</v>
      </c>
      <c r="B2021" s="28" t="s">
        <v>31</v>
      </c>
      <c r="C2021" s="43" t="s">
        <v>6925</v>
      </c>
      <c r="D2021" s="30" t="s">
        <v>6926</v>
      </c>
      <c r="E2021" s="28" t="s">
        <v>144</v>
      </c>
      <c r="F2021" s="28" t="s">
        <v>29</v>
      </c>
      <c r="G2021" s="28" t="s">
        <v>38</v>
      </c>
      <c r="H2021" s="28"/>
      <c r="I2021" s="28" t="s">
        <v>38</v>
      </c>
      <c r="J2021" s="28">
        <f>592+26</f>
        <v>618</v>
      </c>
      <c r="K2021" s="28"/>
      <c r="L2021" s="28" t="s">
        <v>6927</v>
      </c>
      <c r="M2021" s="28" t="s">
        <v>6928</v>
      </c>
      <c r="N2021" s="28">
        <v>1968.0</v>
      </c>
      <c r="O2021" s="60">
        <v>14.0</v>
      </c>
      <c r="P2021" s="28">
        <v>1.0</v>
      </c>
      <c r="Q2021" s="32">
        <v>1.0</v>
      </c>
      <c r="R2021" s="33"/>
      <c r="S2021" s="34"/>
      <c r="T2021" s="34"/>
      <c r="U2021" s="34"/>
      <c r="V2021" s="34"/>
      <c r="W2021" s="34"/>
      <c r="X2021" s="34"/>
      <c r="Y2021" s="3"/>
      <c r="Z2021" s="3"/>
      <c r="AA2021" s="3"/>
      <c r="AB2021" s="3"/>
      <c r="AC2021" s="3"/>
      <c r="AD2021" s="3"/>
      <c r="AE2021" s="3"/>
      <c r="AF2021" s="3"/>
      <c r="AG2021" s="3"/>
      <c r="AH2021" s="3"/>
      <c r="AI2021" s="3"/>
      <c r="AJ2021" s="3"/>
      <c r="AK2021" s="3"/>
      <c r="AL2021" s="3"/>
    </row>
    <row r="2022" ht="15.75" customHeight="1">
      <c r="A2022" s="27">
        <f t="shared" si="21"/>
        <v>901</v>
      </c>
      <c r="B2022" s="28" t="s">
        <v>6929</v>
      </c>
      <c r="C2022" s="43" t="s">
        <v>6930</v>
      </c>
      <c r="D2022" s="30" t="s">
        <v>6931</v>
      </c>
      <c r="E2022" s="28" t="s">
        <v>302</v>
      </c>
      <c r="F2022" s="28" t="s">
        <v>29</v>
      </c>
      <c r="G2022" s="28" t="s">
        <v>38</v>
      </c>
      <c r="H2022" s="28"/>
      <c r="I2022" s="28" t="s">
        <v>38</v>
      </c>
      <c r="J2022" s="28">
        <v>242.0</v>
      </c>
      <c r="K2022" s="28"/>
      <c r="L2022" s="28" t="s">
        <v>6932</v>
      </c>
      <c r="M2022" s="28" t="s">
        <v>230</v>
      </c>
      <c r="N2022" s="28">
        <v>2011.0</v>
      </c>
      <c r="O2022" s="60">
        <v>14.0</v>
      </c>
      <c r="P2022" s="28">
        <v>1.0</v>
      </c>
      <c r="Q2022" s="32">
        <v>1.0</v>
      </c>
      <c r="R2022" s="33"/>
      <c r="S2022" s="34"/>
      <c r="T2022" s="34"/>
      <c r="U2022" s="34"/>
      <c r="V2022" s="34"/>
      <c r="W2022" s="34"/>
      <c r="X2022" s="34"/>
      <c r="Y2022" s="45"/>
      <c r="Z2022" s="45"/>
      <c r="AA2022" s="45"/>
      <c r="AB2022" s="45"/>
      <c r="AC2022" s="45"/>
      <c r="AD2022" s="45"/>
      <c r="AE2022" s="45"/>
      <c r="AF2022" s="45"/>
      <c r="AG2022" s="45"/>
      <c r="AH2022" s="45"/>
      <c r="AI2022" s="45"/>
      <c r="AJ2022" s="45"/>
      <c r="AK2022" s="45"/>
      <c r="AL2022" s="45"/>
    </row>
    <row r="2023" ht="15.75" hidden="1" customHeight="1">
      <c r="A2023" s="27">
        <f t="shared" si="21"/>
        <v>902</v>
      </c>
      <c r="B2023" s="158" t="s">
        <v>2225</v>
      </c>
      <c r="C2023" s="204" t="s">
        <v>6933</v>
      </c>
      <c r="D2023" s="160" t="s">
        <v>6934</v>
      </c>
      <c r="E2023" s="158" t="s">
        <v>144</v>
      </c>
      <c r="F2023" s="158" t="s">
        <v>29</v>
      </c>
      <c r="G2023" s="158" t="s">
        <v>30</v>
      </c>
      <c r="H2023" s="158"/>
      <c r="I2023" s="158" t="s">
        <v>30</v>
      </c>
      <c r="J2023" s="158">
        <f>456+2</f>
        <v>458</v>
      </c>
      <c r="K2023" s="158"/>
      <c r="L2023" s="158" t="s">
        <v>4111</v>
      </c>
      <c r="M2023" s="158" t="s">
        <v>4107</v>
      </c>
      <c r="N2023" s="158">
        <v>2005.0</v>
      </c>
      <c r="O2023" s="158"/>
      <c r="P2023" s="158">
        <v>1.0</v>
      </c>
      <c r="Q2023" s="162">
        <v>1.0</v>
      </c>
      <c r="R2023" s="163"/>
      <c r="S2023" s="34"/>
      <c r="T2023" s="34"/>
      <c r="U2023" s="34"/>
      <c r="V2023" s="34"/>
      <c r="W2023" s="34"/>
      <c r="X2023" s="34"/>
      <c r="Y2023" s="45"/>
      <c r="Z2023" s="45"/>
      <c r="AA2023" s="45"/>
      <c r="AB2023" s="45"/>
      <c r="AC2023" s="45"/>
      <c r="AD2023" s="45"/>
      <c r="AE2023" s="45"/>
      <c r="AF2023" s="45"/>
      <c r="AG2023" s="45"/>
      <c r="AH2023" s="45"/>
      <c r="AI2023" s="45"/>
      <c r="AJ2023" s="45"/>
      <c r="AK2023" s="45"/>
      <c r="AL2023" s="45"/>
    </row>
    <row r="2024" ht="15.75" customHeight="1">
      <c r="A2024" s="27">
        <f t="shared" si="21"/>
        <v>903</v>
      </c>
      <c r="B2024" s="28" t="s">
        <v>6935</v>
      </c>
      <c r="C2024" s="43" t="s">
        <v>6936</v>
      </c>
      <c r="D2024" s="30" t="s">
        <v>6937</v>
      </c>
      <c r="E2024" s="28"/>
      <c r="F2024" s="28" t="s">
        <v>29</v>
      </c>
      <c r="G2024" s="28" t="s">
        <v>31</v>
      </c>
      <c r="H2024" s="28"/>
      <c r="I2024" s="28" t="s">
        <v>31</v>
      </c>
      <c r="J2024" s="28">
        <v>254.0</v>
      </c>
      <c r="K2024" s="28"/>
      <c r="L2024" s="28" t="s">
        <v>6938</v>
      </c>
      <c r="M2024" s="28" t="s">
        <v>6939</v>
      </c>
      <c r="N2024" s="28" t="s">
        <v>31</v>
      </c>
      <c r="O2024" s="60">
        <v>14.0</v>
      </c>
      <c r="P2024" s="28">
        <v>1.0</v>
      </c>
      <c r="Q2024" s="32">
        <v>1.0</v>
      </c>
      <c r="R2024" s="33"/>
      <c r="S2024" s="34"/>
      <c r="T2024" s="34"/>
      <c r="U2024" s="34"/>
      <c r="V2024" s="34"/>
      <c r="W2024" s="34"/>
      <c r="X2024" s="34"/>
      <c r="Y2024" s="3"/>
      <c r="Z2024" s="3"/>
      <c r="AA2024" s="3"/>
      <c r="AB2024" s="3"/>
      <c r="AC2024" s="3"/>
      <c r="AD2024" s="3"/>
      <c r="AE2024" s="3"/>
      <c r="AF2024" s="3"/>
      <c r="AG2024" s="3"/>
      <c r="AH2024" s="3"/>
      <c r="AI2024" s="3"/>
      <c r="AJ2024" s="3"/>
      <c r="AK2024" s="3"/>
      <c r="AL2024" s="3"/>
    </row>
    <row r="2025" ht="15.75" customHeight="1">
      <c r="A2025" s="27">
        <f t="shared" si="21"/>
        <v>904</v>
      </c>
      <c r="B2025" s="28" t="s">
        <v>31</v>
      </c>
      <c r="C2025" s="43" t="s">
        <v>6940</v>
      </c>
      <c r="D2025" s="30" t="s">
        <v>6941</v>
      </c>
      <c r="E2025" s="28" t="s">
        <v>302</v>
      </c>
      <c r="F2025" s="28" t="s">
        <v>29</v>
      </c>
      <c r="G2025" s="28" t="s">
        <v>37</v>
      </c>
      <c r="H2025" s="28"/>
      <c r="I2025" s="28" t="s">
        <v>38</v>
      </c>
      <c r="J2025" s="28">
        <v>112.0</v>
      </c>
      <c r="K2025" s="28"/>
      <c r="L2025" s="28" t="s">
        <v>6942</v>
      </c>
      <c r="M2025" s="28" t="s">
        <v>1082</v>
      </c>
      <c r="N2025" s="28">
        <v>2016.0</v>
      </c>
      <c r="O2025" s="60">
        <v>14.0</v>
      </c>
      <c r="P2025" s="28">
        <v>1.0</v>
      </c>
      <c r="Q2025" s="32">
        <v>1.0</v>
      </c>
      <c r="R2025" s="33"/>
      <c r="S2025" s="34"/>
      <c r="T2025" s="34"/>
      <c r="U2025" s="34"/>
      <c r="V2025" s="34"/>
      <c r="W2025" s="34"/>
      <c r="X2025" s="34"/>
      <c r="Y2025" s="3"/>
      <c r="Z2025" s="3"/>
      <c r="AA2025" s="3"/>
      <c r="AB2025" s="3"/>
      <c r="AC2025" s="3"/>
      <c r="AD2025" s="3"/>
      <c r="AE2025" s="3"/>
      <c r="AF2025" s="3"/>
      <c r="AG2025" s="3"/>
      <c r="AH2025" s="3"/>
      <c r="AI2025" s="3"/>
      <c r="AJ2025" s="3"/>
      <c r="AK2025" s="3"/>
      <c r="AL2025" s="3"/>
    </row>
    <row r="2026" ht="15.75" customHeight="1">
      <c r="A2026" s="27">
        <f t="shared" si="21"/>
        <v>905</v>
      </c>
      <c r="B2026" s="28" t="s">
        <v>6943</v>
      </c>
      <c r="C2026" s="43" t="s">
        <v>6944</v>
      </c>
      <c r="D2026" s="30" t="s">
        <v>6945</v>
      </c>
      <c r="E2026" s="28"/>
      <c r="F2026" s="28" t="s">
        <v>29</v>
      </c>
      <c r="G2026" s="28" t="s">
        <v>37</v>
      </c>
      <c r="H2026" s="28"/>
      <c r="I2026" s="28" t="s">
        <v>38</v>
      </c>
      <c r="J2026" s="28">
        <v>236.0</v>
      </c>
      <c r="K2026" s="28"/>
      <c r="L2026" s="28" t="s">
        <v>6946</v>
      </c>
      <c r="M2026" s="28" t="s">
        <v>230</v>
      </c>
      <c r="N2026" s="28">
        <v>2011.0</v>
      </c>
      <c r="O2026" s="60">
        <v>14.0</v>
      </c>
      <c r="P2026" s="28">
        <v>1.0</v>
      </c>
      <c r="Q2026" s="94">
        <v>1.0</v>
      </c>
      <c r="R2026" s="33"/>
      <c r="S2026" s="34"/>
      <c r="T2026" s="34"/>
      <c r="U2026" s="34"/>
      <c r="V2026" s="34"/>
      <c r="W2026" s="34"/>
      <c r="X2026" s="34"/>
      <c r="Y2026" s="3"/>
      <c r="Z2026" s="3"/>
      <c r="AA2026" s="3"/>
      <c r="AB2026" s="3"/>
      <c r="AC2026" s="3"/>
      <c r="AD2026" s="3"/>
      <c r="AE2026" s="3"/>
      <c r="AF2026" s="3"/>
      <c r="AG2026" s="3"/>
      <c r="AH2026" s="3"/>
      <c r="AI2026" s="3"/>
      <c r="AJ2026" s="3"/>
      <c r="AK2026" s="3"/>
      <c r="AL2026" s="3"/>
    </row>
    <row r="2027" ht="15.75" customHeight="1">
      <c r="A2027" s="27">
        <f t="shared" si="21"/>
        <v>906</v>
      </c>
      <c r="B2027" s="121" t="s">
        <v>6947</v>
      </c>
      <c r="C2027" s="121" t="s">
        <v>6948</v>
      </c>
      <c r="D2027" s="119" t="s">
        <v>6949</v>
      </c>
      <c r="E2027" s="83"/>
      <c r="F2027" s="121" t="s">
        <v>29</v>
      </c>
      <c r="G2027" s="121" t="s">
        <v>37</v>
      </c>
      <c r="H2027" s="83"/>
      <c r="I2027" s="121" t="s">
        <v>30</v>
      </c>
      <c r="J2027" s="121">
        <v>276.0</v>
      </c>
      <c r="K2027" s="83"/>
      <c r="L2027" s="121" t="s">
        <v>6950</v>
      </c>
      <c r="M2027" s="121" t="s">
        <v>6951</v>
      </c>
      <c r="N2027" s="121">
        <v>1992.0</v>
      </c>
      <c r="O2027" s="60">
        <v>14.0</v>
      </c>
      <c r="P2027" s="121">
        <v>1.0</v>
      </c>
      <c r="Q2027" s="121">
        <v>1.0</v>
      </c>
      <c r="R2027" s="84"/>
      <c r="S2027" s="34"/>
      <c r="T2027" s="34"/>
      <c r="U2027" s="34"/>
      <c r="V2027" s="34"/>
      <c r="W2027" s="34"/>
      <c r="X2027" s="34"/>
      <c r="Y2027" s="3"/>
      <c r="Z2027" s="3"/>
      <c r="AA2027" s="3"/>
      <c r="AB2027" s="3"/>
      <c r="AC2027" s="3"/>
      <c r="AD2027" s="3"/>
      <c r="AE2027" s="3"/>
      <c r="AF2027" s="3"/>
      <c r="AG2027" s="3"/>
      <c r="AH2027" s="3"/>
      <c r="AI2027" s="3"/>
      <c r="AJ2027" s="3"/>
      <c r="AK2027" s="3"/>
      <c r="AL2027" s="3"/>
    </row>
    <row r="2028" ht="15.75" customHeight="1">
      <c r="A2028" s="27">
        <f t="shared" si="21"/>
        <v>907</v>
      </c>
      <c r="B2028" s="28" t="s">
        <v>6952</v>
      </c>
      <c r="C2028" s="43" t="s">
        <v>6953</v>
      </c>
      <c r="D2028" s="30" t="s">
        <v>6954</v>
      </c>
      <c r="E2028" s="28" t="s">
        <v>302</v>
      </c>
      <c r="F2028" s="28" t="s">
        <v>29</v>
      </c>
      <c r="G2028" s="28" t="s">
        <v>37</v>
      </c>
      <c r="H2028" s="28"/>
      <c r="I2028" s="28" t="s">
        <v>38</v>
      </c>
      <c r="J2028" s="28">
        <v>523.0</v>
      </c>
      <c r="K2028" s="28"/>
      <c r="L2028" s="28" t="s">
        <v>6955</v>
      </c>
      <c r="M2028" s="28" t="s">
        <v>931</v>
      </c>
      <c r="N2028" s="28">
        <v>1986.0</v>
      </c>
      <c r="O2028" s="60">
        <v>14.0</v>
      </c>
      <c r="P2028" s="28">
        <v>1.0</v>
      </c>
      <c r="Q2028" s="32">
        <v>1.0</v>
      </c>
      <c r="R2028" s="33"/>
      <c r="S2028" s="34"/>
      <c r="T2028" s="34"/>
      <c r="U2028" s="34"/>
      <c r="V2028" s="34"/>
      <c r="W2028" s="34"/>
      <c r="X2028" s="34"/>
      <c r="Y2028" s="205"/>
      <c r="Z2028" s="205"/>
      <c r="AA2028" s="205"/>
      <c r="AB2028" s="205"/>
      <c r="AC2028" s="205"/>
      <c r="AD2028" s="205"/>
      <c r="AE2028" s="205"/>
      <c r="AF2028" s="205"/>
      <c r="AG2028" s="205"/>
      <c r="AH2028" s="205"/>
      <c r="AI2028" s="205"/>
      <c r="AJ2028" s="205"/>
      <c r="AK2028" s="205"/>
      <c r="AL2028" s="205"/>
    </row>
    <row r="2029" ht="15.75" customHeight="1">
      <c r="A2029" s="27">
        <f t="shared" si="21"/>
        <v>908</v>
      </c>
      <c r="B2029" s="28" t="s">
        <v>6956</v>
      </c>
      <c r="C2029" s="43" t="s">
        <v>6957</v>
      </c>
      <c r="D2029" s="30" t="s">
        <v>6958</v>
      </c>
      <c r="E2029" s="28"/>
      <c r="F2029" s="28" t="s">
        <v>29</v>
      </c>
      <c r="G2029" s="28" t="s">
        <v>37</v>
      </c>
      <c r="H2029" s="28"/>
      <c r="I2029" s="28" t="s">
        <v>38</v>
      </c>
      <c r="J2029" s="28">
        <v>1347.0</v>
      </c>
      <c r="K2029" s="28"/>
      <c r="L2029" s="28" t="s">
        <v>6959</v>
      </c>
      <c r="M2029" s="28" t="s">
        <v>230</v>
      </c>
      <c r="N2029" s="28">
        <v>2009.0</v>
      </c>
      <c r="O2029" s="60">
        <v>14.0</v>
      </c>
      <c r="P2029" s="28">
        <v>1.0</v>
      </c>
      <c r="Q2029" s="32">
        <v>1.0</v>
      </c>
      <c r="R2029" s="33"/>
      <c r="S2029" s="34"/>
      <c r="T2029" s="34"/>
      <c r="U2029" s="34"/>
      <c r="V2029" s="34"/>
      <c r="W2029" s="34"/>
      <c r="X2029" s="34"/>
      <c r="Y2029" s="3"/>
      <c r="Z2029" s="3"/>
      <c r="AA2029" s="3"/>
      <c r="AB2029" s="3"/>
      <c r="AC2029" s="3"/>
      <c r="AD2029" s="3"/>
      <c r="AE2029" s="3"/>
      <c r="AF2029" s="3"/>
      <c r="AG2029" s="3"/>
      <c r="AH2029" s="3"/>
      <c r="AI2029" s="3"/>
      <c r="AJ2029" s="3"/>
      <c r="AK2029" s="3"/>
      <c r="AL2029" s="3"/>
    </row>
    <row r="2030" ht="15.75" customHeight="1">
      <c r="A2030" s="27">
        <f t="shared" si="21"/>
        <v>909</v>
      </c>
      <c r="B2030" s="28" t="s">
        <v>6960</v>
      </c>
      <c r="C2030" s="102" t="s">
        <v>6961</v>
      </c>
      <c r="D2030" s="30" t="s">
        <v>6962</v>
      </c>
      <c r="E2030" s="28" t="s">
        <v>144</v>
      </c>
      <c r="F2030" s="28" t="s">
        <v>29</v>
      </c>
      <c r="G2030" s="28" t="s">
        <v>37</v>
      </c>
      <c r="H2030" s="28"/>
      <c r="I2030" s="28" t="s">
        <v>38</v>
      </c>
      <c r="J2030" s="28">
        <v>159.0</v>
      </c>
      <c r="K2030" s="28"/>
      <c r="L2030" s="28" t="s">
        <v>6963</v>
      </c>
      <c r="M2030" s="28" t="s">
        <v>6964</v>
      </c>
      <c r="N2030" s="28">
        <v>2012.0</v>
      </c>
      <c r="O2030" s="60">
        <v>14.0</v>
      </c>
      <c r="P2030" s="28">
        <v>1.0</v>
      </c>
      <c r="Q2030" s="32">
        <v>1.0</v>
      </c>
      <c r="R2030" s="33"/>
      <c r="S2030" s="116"/>
      <c r="T2030" s="116"/>
      <c r="U2030" s="116"/>
      <c r="V2030" s="116"/>
      <c r="W2030" s="116"/>
      <c r="X2030" s="116"/>
      <c r="Y2030" s="3"/>
      <c r="Z2030" s="3"/>
      <c r="AA2030" s="3"/>
      <c r="AB2030" s="3"/>
      <c r="AC2030" s="3"/>
      <c r="AD2030" s="3"/>
      <c r="AE2030" s="3"/>
      <c r="AF2030" s="3"/>
      <c r="AG2030" s="3"/>
      <c r="AH2030" s="3"/>
      <c r="AI2030" s="3"/>
      <c r="AJ2030" s="3"/>
      <c r="AK2030" s="3"/>
      <c r="AL2030" s="3"/>
    </row>
    <row r="2031" ht="15.75" customHeight="1">
      <c r="A2031" s="27">
        <f t="shared" si="21"/>
        <v>910</v>
      </c>
      <c r="B2031" s="132" t="s">
        <v>6965</v>
      </c>
      <c r="C2031" s="132" t="s">
        <v>6966</v>
      </c>
      <c r="D2031" s="131" t="s">
        <v>6967</v>
      </c>
      <c r="E2031" s="33"/>
      <c r="F2031" s="132" t="s">
        <v>29</v>
      </c>
      <c r="G2031" s="132" t="s">
        <v>6968</v>
      </c>
      <c r="H2031" s="33"/>
      <c r="I2031" s="132" t="s">
        <v>38</v>
      </c>
      <c r="J2031" s="132">
        <v>259.0</v>
      </c>
      <c r="K2031" s="33"/>
      <c r="L2031" s="132" t="s">
        <v>6969</v>
      </c>
      <c r="M2031" s="132" t="s">
        <v>6969</v>
      </c>
      <c r="N2031" s="132">
        <v>2017.0</v>
      </c>
      <c r="O2031" s="60">
        <v>14.0</v>
      </c>
      <c r="P2031" s="132">
        <v>1.0</v>
      </c>
      <c r="Q2031" s="132">
        <v>1.0</v>
      </c>
      <c r="R2031" s="84"/>
      <c r="S2031" s="34"/>
      <c r="T2031" s="34"/>
      <c r="U2031" s="34"/>
      <c r="V2031" s="34"/>
      <c r="W2031" s="34"/>
      <c r="X2031" s="34"/>
      <c r="Y2031" s="45"/>
      <c r="Z2031" s="45"/>
      <c r="AA2031" s="45"/>
      <c r="AB2031" s="45"/>
      <c r="AC2031" s="45"/>
      <c r="AD2031" s="45"/>
      <c r="AE2031" s="45"/>
      <c r="AF2031" s="45"/>
      <c r="AG2031" s="45"/>
      <c r="AH2031" s="45"/>
      <c r="AI2031" s="45"/>
      <c r="AJ2031" s="45"/>
      <c r="AK2031" s="45"/>
      <c r="AL2031" s="45"/>
    </row>
    <row r="2032" ht="15.75" customHeight="1">
      <c r="A2032" s="27">
        <f t="shared" si="21"/>
        <v>911</v>
      </c>
      <c r="B2032" s="28" t="s">
        <v>31</v>
      </c>
      <c r="C2032" s="102" t="s">
        <v>6970</v>
      </c>
      <c r="D2032" s="30" t="s">
        <v>6971</v>
      </c>
      <c r="E2032" s="28"/>
      <c r="F2032" s="28"/>
      <c r="G2032" s="28" t="s">
        <v>30</v>
      </c>
      <c r="H2032" s="28"/>
      <c r="I2032" s="28" t="s">
        <v>30</v>
      </c>
      <c r="J2032" s="28">
        <v>136.0</v>
      </c>
      <c r="K2032" s="28"/>
      <c r="L2032" s="28" t="s">
        <v>6972</v>
      </c>
      <c r="M2032" s="28" t="s">
        <v>151</v>
      </c>
      <c r="N2032" s="28">
        <v>1976.0</v>
      </c>
      <c r="O2032" s="60">
        <v>14.0</v>
      </c>
      <c r="P2032" s="28">
        <v>1.0</v>
      </c>
      <c r="Q2032" s="94">
        <v>1.0</v>
      </c>
      <c r="R2032" s="33"/>
      <c r="S2032" s="34"/>
      <c r="T2032" s="34"/>
      <c r="U2032" s="34"/>
      <c r="V2032" s="34"/>
      <c r="W2032" s="34"/>
      <c r="X2032" s="34"/>
      <c r="Y2032" s="45"/>
      <c r="Z2032" s="45"/>
      <c r="AA2032" s="45"/>
      <c r="AB2032" s="45"/>
      <c r="AC2032" s="45"/>
      <c r="AD2032" s="45"/>
      <c r="AE2032" s="45"/>
      <c r="AF2032" s="45"/>
      <c r="AG2032" s="45"/>
      <c r="AH2032" s="45"/>
      <c r="AI2032" s="45"/>
      <c r="AJ2032" s="45"/>
      <c r="AK2032" s="45"/>
      <c r="AL2032" s="45"/>
    </row>
    <row r="2033" ht="15.75" customHeight="1">
      <c r="A2033" s="27">
        <f t="shared" si="21"/>
        <v>912</v>
      </c>
      <c r="B2033" s="28" t="s">
        <v>6973</v>
      </c>
      <c r="C2033" s="43" t="s">
        <v>6974</v>
      </c>
      <c r="D2033" s="30" t="s">
        <v>6975</v>
      </c>
      <c r="E2033" s="28" t="s">
        <v>31</v>
      </c>
      <c r="F2033" s="28" t="s">
        <v>29</v>
      </c>
      <c r="G2033" s="28" t="s">
        <v>37</v>
      </c>
      <c r="H2033" s="28"/>
      <c r="I2033" s="28" t="s">
        <v>38</v>
      </c>
      <c r="J2033" s="28">
        <v>381.0</v>
      </c>
      <c r="K2033" s="28"/>
      <c r="L2033" s="28" t="s">
        <v>6976</v>
      </c>
      <c r="M2033" s="28" t="s">
        <v>1203</v>
      </c>
      <c r="N2033" s="28">
        <v>1997.0</v>
      </c>
      <c r="O2033" s="60">
        <v>14.0</v>
      </c>
      <c r="P2033" s="28">
        <v>1.0</v>
      </c>
      <c r="Q2033" s="94">
        <v>1.0</v>
      </c>
      <c r="R2033" s="33"/>
      <c r="S2033" s="185"/>
      <c r="T2033" s="185"/>
      <c r="U2033" s="185"/>
      <c r="V2033" s="185"/>
      <c r="W2033" s="185"/>
      <c r="X2033" s="185"/>
      <c r="Y2033" s="45"/>
      <c r="Z2033" s="45"/>
      <c r="AA2033" s="45"/>
      <c r="AB2033" s="45"/>
      <c r="AC2033" s="45"/>
      <c r="AD2033" s="45"/>
      <c r="AE2033" s="45"/>
      <c r="AF2033" s="45"/>
      <c r="AG2033" s="45"/>
      <c r="AH2033" s="45"/>
      <c r="AI2033" s="45"/>
      <c r="AJ2033" s="45"/>
      <c r="AK2033" s="45"/>
      <c r="AL2033" s="45"/>
    </row>
    <row r="2034" ht="15.75" customHeight="1">
      <c r="A2034" s="27">
        <f t="shared" si="21"/>
        <v>913</v>
      </c>
      <c r="B2034" s="60" t="s">
        <v>6977</v>
      </c>
      <c r="C2034" s="102" t="s">
        <v>6978</v>
      </c>
      <c r="D2034" s="30" t="s">
        <v>2971</v>
      </c>
      <c r="E2034" s="28"/>
      <c r="F2034" s="28" t="s">
        <v>29</v>
      </c>
      <c r="G2034" s="28" t="s">
        <v>37</v>
      </c>
      <c r="H2034" s="28"/>
      <c r="I2034" s="28" t="s">
        <v>38</v>
      </c>
      <c r="J2034" s="28">
        <v>102.0</v>
      </c>
      <c r="K2034" s="28"/>
      <c r="L2034" s="28" t="s">
        <v>1291</v>
      </c>
      <c r="M2034" s="28" t="s">
        <v>230</v>
      </c>
      <c r="N2034" s="28">
        <v>1985.0</v>
      </c>
      <c r="O2034" s="60">
        <v>14.0</v>
      </c>
      <c r="P2034" s="28">
        <v>1.0</v>
      </c>
      <c r="Q2034" s="32">
        <v>1.0</v>
      </c>
      <c r="R2034" s="33"/>
      <c r="S2034" s="34"/>
      <c r="T2034" s="34"/>
      <c r="U2034" s="34"/>
      <c r="V2034" s="34"/>
      <c r="W2034" s="34"/>
      <c r="X2034" s="34"/>
      <c r="Y2034" s="45"/>
      <c r="Z2034" s="45"/>
      <c r="AA2034" s="45"/>
      <c r="AB2034" s="45"/>
      <c r="AC2034" s="45"/>
      <c r="AD2034" s="45"/>
      <c r="AE2034" s="45"/>
      <c r="AF2034" s="45"/>
      <c r="AG2034" s="45"/>
      <c r="AH2034" s="45"/>
      <c r="AI2034" s="45"/>
      <c r="AJ2034" s="45"/>
      <c r="AK2034" s="45"/>
      <c r="AL2034" s="45"/>
    </row>
    <row r="2035" ht="15.75" customHeight="1">
      <c r="A2035" s="27">
        <f t="shared" si="21"/>
        <v>914</v>
      </c>
      <c r="B2035" s="28" t="s">
        <v>6979</v>
      </c>
      <c r="C2035" s="43" t="s">
        <v>6980</v>
      </c>
      <c r="D2035" s="120" t="s">
        <v>6981</v>
      </c>
      <c r="E2035" s="28" t="s">
        <v>144</v>
      </c>
      <c r="F2035" s="28" t="s">
        <v>29</v>
      </c>
      <c r="G2035" s="28" t="s">
        <v>37</v>
      </c>
      <c r="H2035" s="28"/>
      <c r="I2035" s="28" t="s">
        <v>38</v>
      </c>
      <c r="J2035" s="28">
        <v>271.0</v>
      </c>
      <c r="K2035" s="28"/>
      <c r="L2035" s="28" t="s">
        <v>6982</v>
      </c>
      <c r="M2035" s="28" t="s">
        <v>6983</v>
      </c>
      <c r="N2035" s="28">
        <v>1987.0</v>
      </c>
      <c r="O2035" s="60">
        <v>14.0</v>
      </c>
      <c r="P2035" s="28">
        <v>1.0</v>
      </c>
      <c r="Q2035" s="32">
        <v>1.0</v>
      </c>
      <c r="R2035" s="33"/>
      <c r="S2035" s="34"/>
      <c r="T2035" s="34"/>
      <c r="U2035" s="34"/>
      <c r="V2035" s="34"/>
      <c r="W2035" s="34"/>
      <c r="X2035" s="34"/>
      <c r="Y2035" s="45"/>
      <c r="Z2035" s="45"/>
      <c r="AA2035" s="45"/>
      <c r="AB2035" s="45"/>
      <c r="AC2035" s="45"/>
      <c r="AD2035" s="45"/>
      <c r="AE2035" s="45"/>
      <c r="AF2035" s="45"/>
      <c r="AG2035" s="45"/>
      <c r="AH2035" s="45"/>
      <c r="AI2035" s="45"/>
      <c r="AJ2035" s="45"/>
      <c r="AK2035" s="45"/>
      <c r="AL2035" s="45"/>
    </row>
    <row r="2036" ht="15.75" customHeight="1">
      <c r="A2036" s="27">
        <f t="shared" si="21"/>
        <v>915</v>
      </c>
      <c r="B2036" s="28" t="s">
        <v>6984</v>
      </c>
      <c r="C2036" s="43" t="s">
        <v>6985</v>
      </c>
      <c r="D2036" s="30" t="s">
        <v>6986</v>
      </c>
      <c r="E2036" s="28"/>
      <c r="F2036" s="28" t="s">
        <v>29</v>
      </c>
      <c r="G2036" s="28" t="s">
        <v>30</v>
      </c>
      <c r="H2036" s="28" t="s">
        <v>31</v>
      </c>
      <c r="I2036" s="28" t="s">
        <v>30</v>
      </c>
      <c r="J2036" s="28">
        <v>263.0</v>
      </c>
      <c r="K2036" s="28"/>
      <c r="L2036" s="28" t="s">
        <v>6987</v>
      </c>
      <c r="M2036" s="28" t="s">
        <v>151</v>
      </c>
      <c r="N2036" s="28">
        <v>1978.0</v>
      </c>
      <c r="O2036" s="60">
        <v>14.0</v>
      </c>
      <c r="P2036" s="28">
        <v>1.0</v>
      </c>
      <c r="Q2036" s="94">
        <v>1.0</v>
      </c>
      <c r="R2036" s="33"/>
      <c r="S2036" s="34"/>
      <c r="T2036" s="34"/>
      <c r="U2036" s="34"/>
      <c r="V2036" s="34"/>
      <c r="W2036" s="34"/>
      <c r="X2036" s="34"/>
      <c r="Y2036" s="45"/>
      <c r="Z2036" s="45"/>
      <c r="AA2036" s="45"/>
      <c r="AB2036" s="45"/>
      <c r="AC2036" s="45"/>
      <c r="AD2036" s="45"/>
      <c r="AE2036" s="45"/>
      <c r="AF2036" s="45"/>
      <c r="AG2036" s="45"/>
      <c r="AH2036" s="45"/>
      <c r="AI2036" s="45"/>
      <c r="AJ2036" s="45"/>
      <c r="AK2036" s="45"/>
      <c r="AL2036" s="45"/>
    </row>
    <row r="2037" ht="15.75" customHeight="1">
      <c r="A2037" s="27">
        <f t="shared" si="21"/>
        <v>916</v>
      </c>
      <c r="B2037" s="121" t="s">
        <v>6988</v>
      </c>
      <c r="C2037" s="121" t="s">
        <v>6989</v>
      </c>
      <c r="D2037" s="119" t="s">
        <v>6990</v>
      </c>
      <c r="E2037" s="83"/>
      <c r="F2037" s="121" t="s">
        <v>29</v>
      </c>
      <c r="G2037" s="121" t="s">
        <v>37</v>
      </c>
      <c r="H2037" s="83"/>
      <c r="I2037" s="121" t="s">
        <v>38</v>
      </c>
      <c r="J2037" s="121">
        <v>522.0</v>
      </c>
      <c r="K2037" s="83"/>
      <c r="L2037" s="121" t="s">
        <v>6991</v>
      </c>
      <c r="M2037" s="121" t="s">
        <v>6992</v>
      </c>
      <c r="N2037" s="121">
        <v>2003.0</v>
      </c>
      <c r="O2037" s="60">
        <v>14.0</v>
      </c>
      <c r="P2037" s="121">
        <v>1.0</v>
      </c>
      <c r="Q2037" s="121">
        <v>1.0</v>
      </c>
      <c r="R2037" s="84"/>
      <c r="S2037" s="34"/>
      <c r="T2037" s="34"/>
      <c r="U2037" s="34"/>
      <c r="V2037" s="34"/>
      <c r="W2037" s="34"/>
      <c r="X2037" s="34"/>
      <c r="Y2037" s="3"/>
      <c r="Z2037" s="3"/>
      <c r="AA2037" s="3"/>
      <c r="AB2037" s="3"/>
      <c r="AC2037" s="3"/>
      <c r="AD2037" s="3"/>
      <c r="AE2037" s="3"/>
      <c r="AF2037" s="3"/>
      <c r="AG2037" s="3"/>
      <c r="AH2037" s="3"/>
      <c r="AI2037" s="3"/>
      <c r="AJ2037" s="3"/>
      <c r="AK2037" s="3"/>
      <c r="AL2037" s="3"/>
    </row>
    <row r="2038" ht="15.75" customHeight="1">
      <c r="A2038" s="27">
        <f t="shared" si="21"/>
        <v>917</v>
      </c>
      <c r="B2038" s="121" t="s">
        <v>31</v>
      </c>
      <c r="C2038" s="121" t="s">
        <v>6993</v>
      </c>
      <c r="D2038" s="119" t="s">
        <v>6994</v>
      </c>
      <c r="E2038" s="83"/>
      <c r="F2038" s="121" t="s">
        <v>29</v>
      </c>
      <c r="G2038" s="121" t="s">
        <v>30</v>
      </c>
      <c r="H2038" s="83"/>
      <c r="I2038" s="121" t="s">
        <v>30</v>
      </c>
      <c r="J2038" s="121">
        <v>195.0</v>
      </c>
      <c r="K2038" s="83"/>
      <c r="L2038" s="121" t="s">
        <v>6995</v>
      </c>
      <c r="M2038" s="121" t="s">
        <v>151</v>
      </c>
      <c r="N2038" s="121">
        <v>1975.0</v>
      </c>
      <c r="O2038" s="60">
        <v>14.0</v>
      </c>
      <c r="P2038" s="121">
        <v>1.0</v>
      </c>
      <c r="Q2038" s="121">
        <v>1.0</v>
      </c>
      <c r="R2038" s="84"/>
      <c r="S2038" s="34"/>
      <c r="T2038" s="34"/>
      <c r="U2038" s="34"/>
      <c r="V2038" s="34"/>
      <c r="W2038" s="34"/>
      <c r="X2038" s="34"/>
      <c r="Y2038" s="45"/>
      <c r="Z2038" s="45"/>
      <c r="AA2038" s="45"/>
      <c r="AB2038" s="45"/>
      <c r="AC2038" s="45"/>
      <c r="AD2038" s="45"/>
      <c r="AE2038" s="45"/>
      <c r="AF2038" s="45"/>
      <c r="AG2038" s="45"/>
      <c r="AH2038" s="45"/>
      <c r="AI2038" s="45"/>
      <c r="AJ2038" s="45"/>
      <c r="AK2038" s="45"/>
      <c r="AL2038" s="45"/>
    </row>
    <row r="2039" ht="15.75" customHeight="1">
      <c r="A2039" s="27">
        <f t="shared" si="21"/>
        <v>918</v>
      </c>
      <c r="B2039" s="28" t="s">
        <v>31</v>
      </c>
      <c r="C2039" s="43" t="s">
        <v>6996</v>
      </c>
      <c r="D2039" s="30" t="s">
        <v>6997</v>
      </c>
      <c r="E2039" s="28" t="s">
        <v>31</v>
      </c>
      <c r="F2039" s="28" t="s">
        <v>29</v>
      </c>
      <c r="G2039" s="28" t="s">
        <v>30</v>
      </c>
      <c r="H2039" s="28"/>
      <c r="I2039" s="28" t="s">
        <v>30</v>
      </c>
      <c r="J2039" s="28">
        <v>107.0</v>
      </c>
      <c r="K2039" s="28"/>
      <c r="L2039" s="28" t="s">
        <v>6998</v>
      </c>
      <c r="M2039" s="28" t="s">
        <v>6999</v>
      </c>
      <c r="N2039" s="28" t="s">
        <v>31</v>
      </c>
      <c r="O2039" s="60">
        <v>14.0</v>
      </c>
      <c r="P2039" s="28">
        <v>1.0</v>
      </c>
      <c r="Q2039" s="94">
        <v>1.0</v>
      </c>
      <c r="R2039" s="33"/>
      <c r="S2039" s="34"/>
      <c r="T2039" s="34"/>
      <c r="U2039" s="34"/>
      <c r="V2039" s="34"/>
      <c r="W2039" s="34"/>
      <c r="X2039" s="34"/>
      <c r="Y2039" s="45"/>
      <c r="Z2039" s="45"/>
      <c r="AA2039" s="45"/>
      <c r="AB2039" s="45"/>
      <c r="AC2039" s="45"/>
      <c r="AD2039" s="45"/>
      <c r="AE2039" s="45"/>
      <c r="AF2039" s="45"/>
      <c r="AG2039" s="45"/>
      <c r="AH2039" s="45"/>
      <c r="AI2039" s="45"/>
      <c r="AJ2039" s="45"/>
      <c r="AK2039" s="45"/>
      <c r="AL2039" s="45"/>
    </row>
    <row r="2040" ht="15.75" customHeight="1">
      <c r="A2040" s="27">
        <f t="shared" si="21"/>
        <v>919</v>
      </c>
      <c r="B2040" s="28" t="s">
        <v>7000</v>
      </c>
      <c r="C2040" s="43" t="s">
        <v>7001</v>
      </c>
      <c r="D2040" s="30" t="s">
        <v>7002</v>
      </c>
      <c r="E2040" s="28"/>
      <c r="F2040" s="28" t="s">
        <v>29</v>
      </c>
      <c r="G2040" s="28" t="s">
        <v>30</v>
      </c>
      <c r="H2040" s="28" t="s">
        <v>31</v>
      </c>
      <c r="I2040" s="28" t="s">
        <v>30</v>
      </c>
      <c r="J2040" s="28">
        <v>168.0</v>
      </c>
      <c r="K2040" s="28"/>
      <c r="L2040" s="28" t="s">
        <v>7003</v>
      </c>
      <c r="M2040" s="28" t="s">
        <v>7004</v>
      </c>
      <c r="N2040" s="28">
        <v>2001.0</v>
      </c>
      <c r="O2040" s="60">
        <v>14.0</v>
      </c>
      <c r="P2040" s="28">
        <v>2.0</v>
      </c>
      <c r="Q2040" s="94">
        <v>2.0</v>
      </c>
      <c r="R2040" s="33"/>
      <c r="S2040" s="34"/>
      <c r="T2040" s="34"/>
      <c r="U2040" s="34"/>
      <c r="V2040" s="34"/>
      <c r="W2040" s="34"/>
      <c r="X2040" s="34"/>
      <c r="Y2040" s="45"/>
      <c r="Z2040" s="45"/>
      <c r="AA2040" s="45"/>
      <c r="AB2040" s="45"/>
      <c r="AC2040" s="45"/>
      <c r="AD2040" s="45"/>
      <c r="AE2040" s="45"/>
      <c r="AF2040" s="45"/>
      <c r="AG2040" s="45"/>
      <c r="AH2040" s="45"/>
      <c r="AI2040" s="45"/>
      <c r="AJ2040" s="45"/>
      <c r="AK2040" s="45"/>
      <c r="AL2040" s="45"/>
    </row>
    <row r="2041" ht="15.75" customHeight="1">
      <c r="A2041" s="27">
        <f t="shared" si="21"/>
        <v>920</v>
      </c>
      <c r="B2041" s="28" t="s">
        <v>31</v>
      </c>
      <c r="C2041" s="43" t="s">
        <v>7005</v>
      </c>
      <c r="D2041" s="30" t="s">
        <v>7006</v>
      </c>
      <c r="E2041" s="28"/>
      <c r="F2041" s="28" t="s">
        <v>29</v>
      </c>
      <c r="G2041" s="28" t="s">
        <v>30</v>
      </c>
      <c r="H2041" s="28" t="s">
        <v>31</v>
      </c>
      <c r="I2041" s="28" t="s">
        <v>30</v>
      </c>
      <c r="J2041" s="28">
        <v>158.0</v>
      </c>
      <c r="K2041" s="28"/>
      <c r="L2041" s="28" t="s">
        <v>7007</v>
      </c>
      <c r="M2041" s="28" t="s">
        <v>7008</v>
      </c>
      <c r="N2041" s="28">
        <v>1999.0</v>
      </c>
      <c r="O2041" s="60">
        <v>14.0</v>
      </c>
      <c r="P2041" s="28">
        <v>1.0</v>
      </c>
      <c r="Q2041" s="94">
        <v>2.0</v>
      </c>
      <c r="R2041" s="33"/>
      <c r="S2041" s="34"/>
      <c r="T2041" s="34"/>
      <c r="U2041" s="34"/>
      <c r="V2041" s="34"/>
      <c r="W2041" s="34"/>
      <c r="X2041" s="34"/>
      <c r="Y2041" s="205"/>
      <c r="Z2041" s="205"/>
      <c r="AA2041" s="205"/>
      <c r="AB2041" s="205"/>
      <c r="AC2041" s="205"/>
      <c r="AD2041" s="205"/>
      <c r="AE2041" s="205"/>
      <c r="AF2041" s="205"/>
      <c r="AG2041" s="205"/>
      <c r="AH2041" s="205"/>
      <c r="AI2041" s="205"/>
      <c r="AJ2041" s="205"/>
      <c r="AK2041" s="205"/>
      <c r="AL2041" s="205"/>
    </row>
    <row r="2042" ht="15.75" customHeight="1">
      <c r="A2042" s="27">
        <f t="shared" si="21"/>
        <v>921</v>
      </c>
      <c r="B2042" s="28" t="s">
        <v>7009</v>
      </c>
      <c r="C2042" s="43" t="s">
        <v>7010</v>
      </c>
      <c r="D2042" s="30" t="s">
        <v>7011</v>
      </c>
      <c r="E2042" s="28" t="s">
        <v>31</v>
      </c>
      <c r="F2042" s="28" t="s">
        <v>29</v>
      </c>
      <c r="G2042" s="28" t="s">
        <v>30</v>
      </c>
      <c r="H2042" s="28"/>
      <c r="I2042" s="28" t="s">
        <v>30</v>
      </c>
      <c r="J2042" s="28">
        <v>174.0</v>
      </c>
      <c r="K2042" s="28"/>
      <c r="L2042" s="28" t="s">
        <v>3546</v>
      </c>
      <c r="M2042" s="28" t="s">
        <v>151</v>
      </c>
      <c r="N2042" s="28">
        <v>2002.0</v>
      </c>
      <c r="O2042" s="60">
        <v>14.0</v>
      </c>
      <c r="P2042" s="28">
        <v>1.0</v>
      </c>
      <c r="Q2042" s="94">
        <v>1.0</v>
      </c>
      <c r="R2042" s="33"/>
      <c r="S2042" s="34"/>
      <c r="T2042" s="34"/>
      <c r="U2042" s="34"/>
      <c r="V2042" s="34"/>
      <c r="W2042" s="34"/>
      <c r="X2042" s="34"/>
      <c r="Y2042" s="45"/>
      <c r="Z2042" s="45"/>
      <c r="AA2042" s="45"/>
      <c r="AB2042" s="45"/>
      <c r="AC2042" s="45"/>
      <c r="AD2042" s="45"/>
      <c r="AE2042" s="45"/>
      <c r="AF2042" s="45"/>
      <c r="AG2042" s="45"/>
      <c r="AH2042" s="45"/>
      <c r="AI2042" s="45"/>
      <c r="AJ2042" s="45"/>
      <c r="AK2042" s="45"/>
      <c r="AL2042" s="45"/>
    </row>
    <row r="2043" ht="15.75" customHeight="1">
      <c r="A2043" s="27">
        <f t="shared" si="21"/>
        <v>922</v>
      </c>
      <c r="B2043" s="28" t="s">
        <v>31</v>
      </c>
      <c r="C2043" s="43" t="s">
        <v>7012</v>
      </c>
      <c r="D2043" s="30" t="s">
        <v>7013</v>
      </c>
      <c r="E2043" s="28" t="s">
        <v>31</v>
      </c>
      <c r="F2043" s="28" t="s">
        <v>29</v>
      </c>
      <c r="G2043" s="28" t="s">
        <v>30</v>
      </c>
      <c r="H2043" s="28"/>
      <c r="I2043" s="28" t="s">
        <v>30</v>
      </c>
      <c r="J2043" s="28">
        <v>253.0</v>
      </c>
      <c r="K2043" s="28"/>
      <c r="L2043" s="28" t="s">
        <v>7014</v>
      </c>
      <c r="M2043" s="28" t="s">
        <v>151</v>
      </c>
      <c r="N2043" s="28">
        <v>1981.0</v>
      </c>
      <c r="O2043" s="60">
        <v>14.0</v>
      </c>
      <c r="P2043" s="28">
        <v>1.0</v>
      </c>
      <c r="Q2043" s="94">
        <v>1.0</v>
      </c>
      <c r="R2043" s="33"/>
      <c r="S2043" s="34"/>
      <c r="T2043" s="34"/>
      <c r="U2043" s="34"/>
      <c r="V2043" s="34"/>
      <c r="W2043" s="34"/>
      <c r="X2043" s="34"/>
      <c r="Y2043" s="3"/>
      <c r="Z2043" s="3"/>
      <c r="AA2043" s="3"/>
      <c r="AB2043" s="3"/>
      <c r="AC2043" s="3"/>
      <c r="AD2043" s="3"/>
      <c r="AE2043" s="3"/>
      <c r="AF2043" s="3"/>
      <c r="AG2043" s="3"/>
      <c r="AH2043" s="3"/>
      <c r="AI2043" s="3"/>
      <c r="AJ2043" s="3"/>
      <c r="AK2043" s="3"/>
      <c r="AL2043" s="3"/>
    </row>
    <row r="2044" ht="15.75" customHeight="1">
      <c r="A2044" s="27">
        <f t="shared" si="21"/>
        <v>923</v>
      </c>
      <c r="B2044" s="28" t="s">
        <v>7015</v>
      </c>
      <c r="C2044" s="43" t="s">
        <v>7016</v>
      </c>
      <c r="D2044" s="30" t="s">
        <v>7017</v>
      </c>
      <c r="E2044" s="28" t="s">
        <v>144</v>
      </c>
      <c r="F2044" s="28" t="s">
        <v>29</v>
      </c>
      <c r="G2044" s="28" t="s">
        <v>30</v>
      </c>
      <c r="H2044" s="28"/>
      <c r="I2044" s="28" t="s">
        <v>30</v>
      </c>
      <c r="J2044" s="28">
        <v>342.0</v>
      </c>
      <c r="K2044" s="28"/>
      <c r="L2044" s="28" t="s">
        <v>7018</v>
      </c>
      <c r="M2044" s="28" t="s">
        <v>7019</v>
      </c>
      <c r="N2044" s="28">
        <v>2011.0</v>
      </c>
      <c r="O2044" s="60">
        <v>14.0</v>
      </c>
      <c r="P2044" s="28">
        <v>1.0</v>
      </c>
      <c r="Q2044" s="32">
        <v>1.0</v>
      </c>
      <c r="R2044" s="33"/>
      <c r="S2044" s="34"/>
      <c r="T2044" s="34"/>
      <c r="U2044" s="34"/>
      <c r="V2044" s="34"/>
      <c r="W2044" s="34"/>
      <c r="X2044" s="34"/>
      <c r="Y2044" s="45"/>
      <c r="Z2044" s="45"/>
      <c r="AA2044" s="45"/>
      <c r="AB2044" s="45"/>
      <c r="AC2044" s="45"/>
      <c r="AD2044" s="45"/>
      <c r="AE2044" s="45"/>
      <c r="AF2044" s="45"/>
      <c r="AG2044" s="45"/>
      <c r="AH2044" s="45"/>
      <c r="AI2044" s="45"/>
      <c r="AJ2044" s="45"/>
      <c r="AK2044" s="45"/>
      <c r="AL2044" s="45"/>
    </row>
    <row r="2045" ht="15.75" customHeight="1">
      <c r="A2045" s="27">
        <f t="shared" si="21"/>
        <v>924</v>
      </c>
      <c r="B2045" s="121" t="s">
        <v>7020</v>
      </c>
      <c r="C2045" s="121" t="s">
        <v>7021</v>
      </c>
      <c r="D2045" s="119" t="s">
        <v>7022</v>
      </c>
      <c r="E2045" s="83"/>
      <c r="F2045" s="121" t="s">
        <v>29</v>
      </c>
      <c r="G2045" s="121" t="s">
        <v>30</v>
      </c>
      <c r="H2045" s="83"/>
      <c r="I2045" s="121" t="s">
        <v>30</v>
      </c>
      <c r="J2045" s="121">
        <v>105.0</v>
      </c>
      <c r="K2045" s="83"/>
      <c r="L2045" s="83"/>
      <c r="M2045" s="121" t="s">
        <v>7023</v>
      </c>
      <c r="N2045" s="121">
        <v>2006.0</v>
      </c>
      <c r="O2045" s="60">
        <v>14.0</v>
      </c>
      <c r="P2045" s="121">
        <v>1.0</v>
      </c>
      <c r="Q2045" s="121">
        <v>1.0</v>
      </c>
      <c r="R2045" s="84"/>
      <c r="S2045" s="34"/>
      <c r="T2045" s="34"/>
      <c r="U2045" s="34"/>
      <c r="V2045" s="34"/>
      <c r="W2045" s="34"/>
      <c r="X2045" s="34"/>
      <c r="Y2045" s="45"/>
      <c r="Z2045" s="45"/>
      <c r="AA2045" s="45"/>
      <c r="AB2045" s="45"/>
      <c r="AC2045" s="45"/>
      <c r="AD2045" s="45"/>
      <c r="AE2045" s="45"/>
      <c r="AF2045" s="45"/>
      <c r="AG2045" s="45"/>
      <c r="AH2045" s="45"/>
      <c r="AI2045" s="45"/>
      <c r="AJ2045" s="45"/>
      <c r="AK2045" s="45"/>
      <c r="AL2045" s="45"/>
    </row>
    <row r="2046" ht="15.75" customHeight="1">
      <c r="A2046" s="27">
        <f t="shared" si="21"/>
        <v>925</v>
      </c>
      <c r="B2046" s="28" t="s">
        <v>31</v>
      </c>
      <c r="C2046" s="43" t="s">
        <v>7024</v>
      </c>
      <c r="D2046" s="30" t="s">
        <v>7025</v>
      </c>
      <c r="E2046" s="28" t="s">
        <v>31</v>
      </c>
      <c r="F2046" s="28" t="s">
        <v>29</v>
      </c>
      <c r="G2046" s="28" t="s">
        <v>37</v>
      </c>
      <c r="H2046" s="28"/>
      <c r="I2046" s="28" t="s">
        <v>38</v>
      </c>
      <c r="J2046" s="28">
        <v>144.0</v>
      </c>
      <c r="K2046" s="28"/>
      <c r="L2046" s="28" t="s">
        <v>7026</v>
      </c>
      <c r="M2046" s="28" t="s">
        <v>7027</v>
      </c>
      <c r="N2046" s="28">
        <v>1971.0</v>
      </c>
      <c r="O2046" s="60">
        <v>14.0</v>
      </c>
      <c r="P2046" s="28">
        <v>1.0</v>
      </c>
      <c r="Q2046" s="94">
        <v>1.0</v>
      </c>
      <c r="R2046" s="33"/>
      <c r="S2046" s="34"/>
      <c r="T2046" s="34"/>
      <c r="U2046" s="34"/>
      <c r="V2046" s="34"/>
      <c r="W2046" s="34"/>
      <c r="X2046" s="34"/>
      <c r="Y2046" s="45"/>
      <c r="Z2046" s="45"/>
      <c r="AA2046" s="45"/>
      <c r="AB2046" s="45"/>
      <c r="AC2046" s="45"/>
      <c r="AD2046" s="45"/>
      <c r="AE2046" s="45"/>
      <c r="AF2046" s="45"/>
      <c r="AG2046" s="45"/>
      <c r="AH2046" s="45"/>
      <c r="AI2046" s="45"/>
      <c r="AJ2046" s="45"/>
      <c r="AK2046" s="45"/>
      <c r="AL2046" s="45"/>
    </row>
    <row r="2047" ht="15.75" customHeight="1">
      <c r="A2047" s="27">
        <f t="shared" si="21"/>
        <v>926</v>
      </c>
      <c r="B2047" s="28"/>
      <c r="C2047" s="43" t="s">
        <v>7028</v>
      </c>
      <c r="D2047" s="30" t="s">
        <v>7029</v>
      </c>
      <c r="E2047" s="28" t="s">
        <v>31</v>
      </c>
      <c r="F2047" s="28" t="s">
        <v>29</v>
      </c>
      <c r="G2047" s="28" t="s">
        <v>30</v>
      </c>
      <c r="H2047" s="28"/>
      <c r="I2047" s="28" t="s">
        <v>30</v>
      </c>
      <c r="J2047" s="28">
        <v>61.0</v>
      </c>
      <c r="K2047" s="28"/>
      <c r="L2047" s="28" t="s">
        <v>7030</v>
      </c>
      <c r="M2047" s="28" t="s">
        <v>151</v>
      </c>
      <c r="N2047" s="28">
        <v>1976.0</v>
      </c>
      <c r="O2047" s="132">
        <v>14.0</v>
      </c>
      <c r="P2047" s="28">
        <v>1.0</v>
      </c>
      <c r="Q2047" s="94">
        <v>1.0</v>
      </c>
      <c r="R2047" s="33"/>
      <c r="S2047" s="34"/>
      <c r="T2047" s="34"/>
      <c r="U2047" s="34"/>
      <c r="V2047" s="34"/>
      <c r="W2047" s="34"/>
      <c r="X2047" s="34"/>
      <c r="Y2047" s="45"/>
      <c r="Z2047" s="45"/>
      <c r="AA2047" s="45"/>
      <c r="AB2047" s="45"/>
      <c r="AC2047" s="45"/>
      <c r="AD2047" s="45"/>
      <c r="AE2047" s="45"/>
      <c r="AF2047" s="45"/>
      <c r="AG2047" s="45"/>
      <c r="AH2047" s="45"/>
      <c r="AI2047" s="45"/>
      <c r="AJ2047" s="45"/>
      <c r="AK2047" s="45"/>
      <c r="AL2047" s="45"/>
    </row>
    <row r="2048" ht="15.75" customHeight="1">
      <c r="A2048" s="27">
        <f t="shared" si="21"/>
        <v>927</v>
      </c>
      <c r="B2048" s="28"/>
      <c r="C2048" s="43" t="s">
        <v>7031</v>
      </c>
      <c r="D2048" s="30" t="s">
        <v>7032</v>
      </c>
      <c r="E2048" s="28" t="s">
        <v>31</v>
      </c>
      <c r="F2048" s="28" t="s">
        <v>29</v>
      </c>
      <c r="G2048" s="28" t="s">
        <v>30</v>
      </c>
      <c r="H2048" s="28"/>
      <c r="I2048" s="28" t="s">
        <v>30</v>
      </c>
      <c r="J2048" s="28">
        <v>79.0</v>
      </c>
      <c r="K2048" s="28"/>
      <c r="L2048" s="28" t="s">
        <v>3026</v>
      </c>
      <c r="M2048" s="28" t="s">
        <v>3027</v>
      </c>
      <c r="N2048" s="28">
        <v>2002.0</v>
      </c>
      <c r="O2048" s="132">
        <v>14.0</v>
      </c>
      <c r="P2048" s="28">
        <v>1.0</v>
      </c>
      <c r="Q2048" s="94">
        <v>1.0</v>
      </c>
      <c r="R2048" s="33"/>
      <c r="S2048" s="34"/>
      <c r="T2048" s="34"/>
      <c r="U2048" s="34"/>
      <c r="V2048" s="34"/>
      <c r="W2048" s="34"/>
      <c r="X2048" s="34"/>
      <c r="Y2048" s="45"/>
      <c r="Z2048" s="45"/>
      <c r="AA2048" s="45"/>
      <c r="AB2048" s="45"/>
      <c r="AC2048" s="45"/>
      <c r="AD2048" s="45"/>
      <c r="AE2048" s="45"/>
      <c r="AF2048" s="45"/>
      <c r="AG2048" s="45"/>
      <c r="AH2048" s="45"/>
      <c r="AI2048" s="45"/>
      <c r="AJ2048" s="45"/>
      <c r="AK2048" s="45"/>
      <c r="AL2048" s="45"/>
    </row>
    <row r="2049" ht="15.75" customHeight="1">
      <c r="A2049" s="27">
        <f t="shared" si="21"/>
        <v>928</v>
      </c>
      <c r="B2049" s="28" t="s">
        <v>7033</v>
      </c>
      <c r="C2049" s="43" t="s">
        <v>7034</v>
      </c>
      <c r="D2049" s="30" t="s">
        <v>7035</v>
      </c>
      <c r="E2049" s="28" t="s">
        <v>144</v>
      </c>
      <c r="F2049" s="28" t="s">
        <v>29</v>
      </c>
      <c r="G2049" s="28" t="s">
        <v>37</v>
      </c>
      <c r="H2049" s="28"/>
      <c r="I2049" s="28" t="s">
        <v>38</v>
      </c>
      <c r="J2049" s="28">
        <f>333+10</f>
        <v>343</v>
      </c>
      <c r="K2049" s="28"/>
      <c r="L2049" s="28" t="s">
        <v>3469</v>
      </c>
      <c r="M2049" s="28" t="s">
        <v>7036</v>
      </c>
      <c r="N2049" s="28">
        <v>1993.0</v>
      </c>
      <c r="O2049" s="132">
        <v>14.0</v>
      </c>
      <c r="P2049" s="28">
        <v>1.0</v>
      </c>
      <c r="Q2049" s="32">
        <v>1.0</v>
      </c>
      <c r="R2049" s="33"/>
      <c r="S2049" s="34"/>
      <c r="T2049" s="34"/>
      <c r="U2049" s="34"/>
      <c r="V2049" s="34"/>
      <c r="W2049" s="34"/>
      <c r="X2049" s="34"/>
      <c r="Y2049" s="3"/>
      <c r="Z2049" s="3"/>
      <c r="AA2049" s="3"/>
      <c r="AB2049" s="3"/>
      <c r="AC2049" s="3"/>
      <c r="AD2049" s="3"/>
      <c r="AE2049" s="3"/>
      <c r="AF2049" s="3"/>
      <c r="AG2049" s="3"/>
      <c r="AH2049" s="3"/>
      <c r="AI2049" s="3"/>
      <c r="AJ2049" s="3"/>
      <c r="AK2049" s="3"/>
      <c r="AL2049" s="3"/>
    </row>
    <row r="2050" ht="15.75" customHeight="1">
      <c r="A2050" s="27">
        <f t="shared" si="21"/>
        <v>929</v>
      </c>
      <c r="B2050" s="132" t="s">
        <v>7037</v>
      </c>
      <c r="C2050" s="132" t="s">
        <v>7038</v>
      </c>
      <c r="D2050" s="131" t="s">
        <v>7039</v>
      </c>
      <c r="E2050" s="33"/>
      <c r="F2050" s="132" t="s">
        <v>29</v>
      </c>
      <c r="G2050" s="132" t="s">
        <v>30</v>
      </c>
      <c r="H2050" s="33"/>
      <c r="I2050" s="132" t="s">
        <v>30</v>
      </c>
      <c r="J2050" s="132">
        <v>226.0</v>
      </c>
      <c r="K2050" s="33"/>
      <c r="L2050" s="132" t="s">
        <v>6766</v>
      </c>
      <c r="M2050" s="132" t="s">
        <v>151</v>
      </c>
      <c r="N2050" s="132">
        <v>2002.0</v>
      </c>
      <c r="O2050" s="132">
        <v>14.0</v>
      </c>
      <c r="P2050" s="132">
        <v>1.0</v>
      </c>
      <c r="Q2050" s="132">
        <v>1.0</v>
      </c>
      <c r="R2050" s="84"/>
      <c r="S2050" s="34"/>
      <c r="T2050" s="34"/>
      <c r="U2050" s="34"/>
      <c r="V2050" s="34"/>
      <c r="W2050" s="34"/>
      <c r="X2050" s="34"/>
      <c r="Y2050" s="3"/>
      <c r="Z2050" s="3"/>
      <c r="AA2050" s="3"/>
      <c r="AB2050" s="3"/>
      <c r="AC2050" s="3"/>
      <c r="AD2050" s="3"/>
      <c r="AE2050" s="3"/>
      <c r="AF2050" s="3"/>
      <c r="AG2050" s="3"/>
      <c r="AH2050" s="3"/>
      <c r="AI2050" s="3"/>
      <c r="AJ2050" s="3"/>
      <c r="AK2050" s="3"/>
      <c r="AL2050" s="3"/>
    </row>
    <row r="2051" ht="15.75" customHeight="1">
      <c r="A2051" s="27">
        <f t="shared" si="21"/>
        <v>930</v>
      </c>
      <c r="B2051" s="28" t="s">
        <v>31</v>
      </c>
      <c r="C2051" s="43" t="s">
        <v>7040</v>
      </c>
      <c r="D2051" s="30" t="s">
        <v>7041</v>
      </c>
      <c r="E2051" s="28" t="s">
        <v>302</v>
      </c>
      <c r="F2051" s="28" t="s">
        <v>29</v>
      </c>
      <c r="G2051" s="28" t="s">
        <v>37</v>
      </c>
      <c r="H2051" s="28"/>
      <c r="I2051" s="28" t="s">
        <v>38</v>
      </c>
      <c r="J2051" s="28">
        <v>300.0</v>
      </c>
      <c r="K2051" s="28"/>
      <c r="L2051" s="28" t="s">
        <v>7042</v>
      </c>
      <c r="M2051" s="28" t="s">
        <v>7043</v>
      </c>
      <c r="N2051" s="28">
        <v>1967.0</v>
      </c>
      <c r="O2051" s="60">
        <v>14.0</v>
      </c>
      <c r="P2051" s="28">
        <v>1.0</v>
      </c>
      <c r="Q2051" s="32">
        <v>1.0</v>
      </c>
      <c r="R2051" s="33"/>
      <c r="S2051" s="34"/>
      <c r="T2051" s="34"/>
      <c r="U2051" s="34"/>
      <c r="V2051" s="34"/>
      <c r="W2051" s="34"/>
      <c r="X2051" s="34"/>
      <c r="Y2051" s="45"/>
      <c r="Z2051" s="45"/>
      <c r="AA2051" s="45"/>
      <c r="AB2051" s="45"/>
      <c r="AC2051" s="45"/>
      <c r="AD2051" s="45"/>
      <c r="AE2051" s="45"/>
      <c r="AF2051" s="45"/>
      <c r="AG2051" s="45"/>
      <c r="AH2051" s="45"/>
      <c r="AI2051" s="45"/>
      <c r="AJ2051" s="45"/>
      <c r="AK2051" s="45"/>
      <c r="AL2051" s="45"/>
    </row>
    <row r="2052" ht="15.75" customHeight="1">
      <c r="A2052" s="27">
        <f t="shared" si="21"/>
        <v>931</v>
      </c>
      <c r="B2052" s="28" t="s">
        <v>7044</v>
      </c>
      <c r="C2052" s="43" t="s">
        <v>7045</v>
      </c>
      <c r="D2052" s="30" t="s">
        <v>7046</v>
      </c>
      <c r="E2052" s="28" t="s">
        <v>144</v>
      </c>
      <c r="F2052" s="28" t="s">
        <v>29</v>
      </c>
      <c r="G2052" s="28" t="s">
        <v>37</v>
      </c>
      <c r="H2052" s="28"/>
      <c r="I2052" s="28" t="s">
        <v>38</v>
      </c>
      <c r="J2052" s="28">
        <v>552.0</v>
      </c>
      <c r="K2052" s="28"/>
      <c r="L2052" s="28" t="s">
        <v>7047</v>
      </c>
      <c r="M2052" s="28" t="s">
        <v>7048</v>
      </c>
      <c r="N2052" s="28" t="s">
        <v>31</v>
      </c>
      <c r="O2052" s="60">
        <v>14.0</v>
      </c>
      <c r="P2052" s="28">
        <v>1.0</v>
      </c>
      <c r="Q2052" s="94">
        <v>1.0</v>
      </c>
      <c r="R2052" s="33"/>
      <c r="S2052" s="34"/>
      <c r="T2052" s="34"/>
      <c r="U2052" s="34"/>
      <c r="V2052" s="34"/>
      <c r="W2052" s="34"/>
      <c r="X2052" s="34"/>
      <c r="Y2052" s="45"/>
      <c r="Z2052" s="45"/>
      <c r="AA2052" s="45"/>
      <c r="AB2052" s="45"/>
      <c r="AC2052" s="45"/>
      <c r="AD2052" s="45"/>
      <c r="AE2052" s="45"/>
      <c r="AF2052" s="45"/>
      <c r="AG2052" s="45"/>
      <c r="AH2052" s="45"/>
      <c r="AI2052" s="45"/>
      <c r="AJ2052" s="45"/>
      <c r="AK2052" s="45"/>
      <c r="AL2052" s="45"/>
    </row>
    <row r="2053" ht="15.75" customHeight="1">
      <c r="A2053" s="27">
        <f t="shared" si="21"/>
        <v>932</v>
      </c>
      <c r="B2053" s="28" t="s">
        <v>7049</v>
      </c>
      <c r="C2053" s="43" t="s">
        <v>7050</v>
      </c>
      <c r="D2053" s="30" t="s">
        <v>7051</v>
      </c>
      <c r="E2053" s="28" t="s">
        <v>302</v>
      </c>
      <c r="F2053" s="28" t="s">
        <v>29</v>
      </c>
      <c r="G2053" s="28" t="s">
        <v>37</v>
      </c>
      <c r="H2053" s="28"/>
      <c r="I2053" s="28" t="s">
        <v>38</v>
      </c>
      <c r="J2053" s="28">
        <v>363.0</v>
      </c>
      <c r="K2053" s="28"/>
      <c r="L2053" s="28" t="s">
        <v>7052</v>
      </c>
      <c r="M2053" s="28" t="s">
        <v>3268</v>
      </c>
      <c r="N2053" s="28">
        <v>2003.0</v>
      </c>
      <c r="O2053" s="60">
        <v>14.0</v>
      </c>
      <c r="P2053" s="28">
        <v>1.0</v>
      </c>
      <c r="Q2053" s="32">
        <v>1.0</v>
      </c>
      <c r="R2053" s="33"/>
      <c r="S2053" s="34"/>
      <c r="T2053" s="34"/>
      <c r="U2053" s="34"/>
      <c r="V2053" s="34"/>
      <c r="W2053" s="34"/>
      <c r="X2053" s="34"/>
      <c r="Y2053" s="45"/>
      <c r="Z2053" s="45"/>
      <c r="AA2053" s="45"/>
      <c r="AB2053" s="45"/>
      <c r="AC2053" s="45"/>
      <c r="AD2053" s="45"/>
      <c r="AE2053" s="45"/>
      <c r="AF2053" s="45"/>
      <c r="AG2053" s="45"/>
      <c r="AH2053" s="45"/>
      <c r="AI2053" s="45"/>
      <c r="AJ2053" s="45"/>
      <c r="AK2053" s="45"/>
      <c r="AL2053" s="45"/>
    </row>
    <row r="2054" ht="15.75" customHeight="1">
      <c r="A2054" s="27">
        <f t="shared" si="21"/>
        <v>933</v>
      </c>
      <c r="B2054" s="28" t="s">
        <v>7053</v>
      </c>
      <c r="C2054" s="43" t="s">
        <v>7054</v>
      </c>
      <c r="D2054" s="30" t="s">
        <v>7055</v>
      </c>
      <c r="E2054" s="28" t="s">
        <v>31</v>
      </c>
      <c r="F2054" s="28" t="s">
        <v>29</v>
      </c>
      <c r="G2054" s="28" t="s">
        <v>37</v>
      </c>
      <c r="H2054" s="28"/>
      <c r="I2054" s="28" t="s">
        <v>38</v>
      </c>
      <c r="J2054" s="28">
        <v>331.0</v>
      </c>
      <c r="K2054" s="28"/>
      <c r="L2054" s="28" t="s">
        <v>4835</v>
      </c>
      <c r="M2054" s="28" t="s">
        <v>4428</v>
      </c>
      <c r="N2054" s="28">
        <v>1983.0</v>
      </c>
      <c r="O2054" s="121">
        <v>14.0</v>
      </c>
      <c r="P2054" s="28">
        <v>1.0</v>
      </c>
      <c r="Q2054" s="94">
        <v>1.0</v>
      </c>
      <c r="R2054" s="33"/>
      <c r="S2054" s="40"/>
      <c r="T2054" s="40"/>
      <c r="U2054" s="40"/>
      <c r="V2054" s="40"/>
      <c r="W2054" s="40"/>
      <c r="X2054" s="40"/>
      <c r="Y2054" s="45"/>
      <c r="Z2054" s="45"/>
      <c r="AA2054" s="45"/>
      <c r="AB2054" s="45"/>
      <c r="AC2054" s="45"/>
      <c r="AD2054" s="45"/>
      <c r="AE2054" s="45"/>
      <c r="AF2054" s="45"/>
      <c r="AG2054" s="45"/>
      <c r="AH2054" s="45"/>
      <c r="AI2054" s="45"/>
      <c r="AJ2054" s="45"/>
      <c r="AK2054" s="45"/>
      <c r="AL2054" s="45"/>
    </row>
    <row r="2055" ht="15.75" customHeight="1">
      <c r="A2055" s="27">
        <f t="shared" si="21"/>
        <v>934</v>
      </c>
      <c r="B2055" s="28" t="s">
        <v>7056</v>
      </c>
      <c r="C2055" s="43" t="s">
        <v>7057</v>
      </c>
      <c r="D2055" s="30" t="s">
        <v>7058</v>
      </c>
      <c r="E2055" s="28" t="s">
        <v>144</v>
      </c>
      <c r="F2055" s="28" t="s">
        <v>29</v>
      </c>
      <c r="G2055" s="28" t="s">
        <v>30</v>
      </c>
      <c r="H2055" s="28"/>
      <c r="I2055" s="28" t="s">
        <v>30</v>
      </c>
      <c r="J2055" s="28">
        <v>443.0</v>
      </c>
      <c r="K2055" s="28"/>
      <c r="L2055" s="28" t="s">
        <v>7059</v>
      </c>
      <c r="M2055" s="28" t="s">
        <v>7060</v>
      </c>
      <c r="N2055" s="28">
        <v>1998.0</v>
      </c>
      <c r="O2055" s="121">
        <v>14.0</v>
      </c>
      <c r="P2055" s="28">
        <v>1.0</v>
      </c>
      <c r="Q2055" s="32">
        <v>1.0</v>
      </c>
      <c r="R2055" s="33"/>
      <c r="S2055" s="34"/>
      <c r="T2055" s="34"/>
      <c r="U2055" s="34"/>
      <c r="V2055" s="34"/>
      <c r="W2055" s="34"/>
      <c r="X2055" s="34"/>
      <c r="Y2055" s="3"/>
      <c r="Z2055" s="3"/>
      <c r="AA2055" s="3"/>
      <c r="AB2055" s="3"/>
      <c r="AC2055" s="3"/>
      <c r="AD2055" s="3"/>
      <c r="AE2055" s="3"/>
      <c r="AF2055" s="3"/>
      <c r="AG2055" s="3"/>
      <c r="AH2055" s="3"/>
      <c r="AI2055" s="3"/>
      <c r="AJ2055" s="3"/>
      <c r="AK2055" s="3"/>
      <c r="AL2055" s="3"/>
    </row>
    <row r="2056" ht="15.75" customHeight="1">
      <c r="A2056" s="27">
        <f t="shared" si="21"/>
        <v>935</v>
      </c>
      <c r="B2056" s="28" t="s">
        <v>31</v>
      </c>
      <c r="C2056" s="43" t="s">
        <v>7061</v>
      </c>
      <c r="D2056" s="30" t="s">
        <v>7062</v>
      </c>
      <c r="E2056" s="28"/>
      <c r="F2056" s="28" t="s">
        <v>29</v>
      </c>
      <c r="G2056" s="28" t="s">
        <v>37</v>
      </c>
      <c r="H2056" s="28" t="s">
        <v>31</v>
      </c>
      <c r="I2056" s="28" t="s">
        <v>38</v>
      </c>
      <c r="J2056" s="28">
        <v>118.0</v>
      </c>
      <c r="K2056" s="28"/>
      <c r="L2056" s="28" t="s">
        <v>2387</v>
      </c>
      <c r="M2056" s="28" t="s">
        <v>219</v>
      </c>
      <c r="N2056" s="28">
        <v>1968.0</v>
      </c>
      <c r="O2056" s="121">
        <v>14.0</v>
      </c>
      <c r="P2056" s="28">
        <v>1.0</v>
      </c>
      <c r="Q2056" s="94">
        <v>1.0</v>
      </c>
      <c r="R2056" s="33"/>
      <c r="S2056" s="34"/>
      <c r="T2056" s="34"/>
      <c r="U2056" s="34"/>
      <c r="V2056" s="34"/>
      <c r="W2056" s="34"/>
      <c r="X2056" s="34"/>
      <c r="Y2056" s="45"/>
      <c r="Z2056" s="45"/>
      <c r="AA2056" s="45"/>
      <c r="AB2056" s="45"/>
      <c r="AC2056" s="45"/>
      <c r="AD2056" s="45"/>
      <c r="AE2056" s="45"/>
      <c r="AF2056" s="45"/>
      <c r="AG2056" s="45"/>
      <c r="AH2056" s="45"/>
      <c r="AI2056" s="45"/>
      <c r="AJ2056" s="45"/>
      <c r="AK2056" s="45"/>
      <c r="AL2056" s="45"/>
    </row>
    <row r="2057" ht="15.75" customHeight="1">
      <c r="A2057" s="27">
        <f t="shared" si="21"/>
        <v>936</v>
      </c>
      <c r="B2057" s="28"/>
      <c r="C2057" s="43" t="s">
        <v>7061</v>
      </c>
      <c r="D2057" s="30" t="s">
        <v>7063</v>
      </c>
      <c r="E2057" s="28" t="s">
        <v>31</v>
      </c>
      <c r="F2057" s="28" t="s">
        <v>29</v>
      </c>
      <c r="G2057" s="28" t="s">
        <v>37</v>
      </c>
      <c r="H2057" s="28"/>
      <c r="I2057" s="28" t="s">
        <v>38</v>
      </c>
      <c r="J2057" s="28">
        <v>111.0</v>
      </c>
      <c r="K2057" s="28"/>
      <c r="L2057" s="28" t="s">
        <v>5853</v>
      </c>
      <c r="M2057" s="28" t="s">
        <v>219</v>
      </c>
      <c r="N2057" s="28">
        <v>1968.0</v>
      </c>
      <c r="O2057" s="121">
        <v>14.0</v>
      </c>
      <c r="P2057" s="28">
        <v>1.0</v>
      </c>
      <c r="Q2057" s="94">
        <v>1.0</v>
      </c>
      <c r="R2057" s="33"/>
      <c r="S2057" s="34"/>
      <c r="T2057" s="34"/>
      <c r="U2057" s="34"/>
      <c r="V2057" s="34"/>
      <c r="W2057" s="34"/>
      <c r="X2057" s="34"/>
      <c r="Y2057" s="45"/>
      <c r="Z2057" s="45"/>
      <c r="AA2057" s="45"/>
      <c r="AB2057" s="45"/>
      <c r="AC2057" s="45"/>
      <c r="AD2057" s="45"/>
      <c r="AE2057" s="45"/>
      <c r="AF2057" s="45"/>
      <c r="AG2057" s="45"/>
      <c r="AH2057" s="45"/>
      <c r="AI2057" s="45"/>
      <c r="AJ2057" s="45"/>
      <c r="AK2057" s="45"/>
      <c r="AL2057" s="45"/>
    </row>
    <row r="2058" ht="15.75" customHeight="1">
      <c r="A2058" s="27">
        <f t="shared" si="21"/>
        <v>937</v>
      </c>
      <c r="B2058" s="28"/>
      <c r="C2058" s="43" t="s">
        <v>7064</v>
      </c>
      <c r="D2058" s="30" t="s">
        <v>7065</v>
      </c>
      <c r="E2058" s="28" t="s">
        <v>31</v>
      </c>
      <c r="F2058" s="28" t="s">
        <v>29</v>
      </c>
      <c r="G2058" s="28" t="s">
        <v>30</v>
      </c>
      <c r="H2058" s="28"/>
      <c r="I2058" s="28" t="s">
        <v>30</v>
      </c>
      <c r="J2058" s="28">
        <v>295.0</v>
      </c>
      <c r="K2058" s="28"/>
      <c r="L2058" s="28" t="s">
        <v>31</v>
      </c>
      <c r="M2058" s="28" t="s">
        <v>151</v>
      </c>
      <c r="N2058" s="28">
        <v>1976.0</v>
      </c>
      <c r="O2058" s="121">
        <v>14.0</v>
      </c>
      <c r="P2058" s="28">
        <v>2.0</v>
      </c>
      <c r="Q2058" s="94">
        <v>2.0</v>
      </c>
      <c r="R2058" s="33"/>
      <c r="S2058" s="34"/>
      <c r="T2058" s="34"/>
      <c r="U2058" s="34"/>
      <c r="V2058" s="34"/>
      <c r="W2058" s="34"/>
      <c r="X2058" s="34"/>
      <c r="Y2058" s="3"/>
      <c r="Z2058" s="3"/>
      <c r="AA2058" s="3"/>
      <c r="AB2058" s="3"/>
      <c r="AC2058" s="3"/>
      <c r="AD2058" s="3"/>
      <c r="AE2058" s="3"/>
      <c r="AF2058" s="3"/>
      <c r="AG2058" s="3"/>
      <c r="AH2058" s="3"/>
      <c r="AI2058" s="3"/>
      <c r="AJ2058" s="3"/>
      <c r="AK2058" s="3"/>
      <c r="AL2058" s="3"/>
    </row>
    <row r="2059" ht="15.75" customHeight="1">
      <c r="A2059" s="27">
        <f t="shared" si="21"/>
        <v>938</v>
      </c>
      <c r="B2059" s="28" t="s">
        <v>7066</v>
      </c>
      <c r="C2059" s="43" t="s">
        <v>7067</v>
      </c>
      <c r="D2059" s="30" t="s">
        <v>7068</v>
      </c>
      <c r="E2059" s="28" t="s">
        <v>31</v>
      </c>
      <c r="F2059" s="28" t="s">
        <v>29</v>
      </c>
      <c r="G2059" s="28" t="s">
        <v>30</v>
      </c>
      <c r="H2059" s="28"/>
      <c r="I2059" s="28" t="s">
        <v>30</v>
      </c>
      <c r="J2059" s="28">
        <v>270.0</v>
      </c>
      <c r="K2059" s="28"/>
      <c r="L2059" s="28" t="s">
        <v>7069</v>
      </c>
      <c r="M2059" s="28" t="s">
        <v>151</v>
      </c>
      <c r="N2059" s="28">
        <v>2008.0</v>
      </c>
      <c r="O2059" s="121">
        <v>14.0</v>
      </c>
      <c r="P2059" s="28">
        <v>1.0</v>
      </c>
      <c r="Q2059" s="94">
        <v>1.0</v>
      </c>
      <c r="R2059" s="33"/>
      <c r="S2059" s="34"/>
      <c r="T2059" s="34"/>
      <c r="U2059" s="34"/>
      <c r="V2059" s="34"/>
      <c r="W2059" s="34"/>
      <c r="X2059" s="34"/>
      <c r="Y2059" s="3"/>
      <c r="Z2059" s="3"/>
      <c r="AA2059" s="3"/>
      <c r="AB2059" s="3"/>
      <c r="AC2059" s="3"/>
      <c r="AD2059" s="3"/>
      <c r="AE2059" s="3"/>
      <c r="AF2059" s="3"/>
      <c r="AG2059" s="3"/>
      <c r="AH2059" s="3"/>
      <c r="AI2059" s="3"/>
      <c r="AJ2059" s="3"/>
      <c r="AK2059" s="3"/>
      <c r="AL2059" s="3"/>
    </row>
    <row r="2060" ht="15.75" customHeight="1">
      <c r="A2060" s="27">
        <f t="shared" si="21"/>
        <v>939</v>
      </c>
      <c r="B2060" s="28" t="s">
        <v>7070</v>
      </c>
      <c r="C2060" s="43" t="s">
        <v>7071</v>
      </c>
      <c r="D2060" s="30" t="s">
        <v>7072</v>
      </c>
      <c r="E2060" s="28" t="s">
        <v>31</v>
      </c>
      <c r="F2060" s="28" t="s">
        <v>29</v>
      </c>
      <c r="G2060" s="28" t="s">
        <v>37</v>
      </c>
      <c r="H2060" s="28"/>
      <c r="I2060" s="28" t="s">
        <v>38</v>
      </c>
      <c r="J2060" s="28">
        <v>149.0</v>
      </c>
      <c r="K2060" s="28"/>
      <c r="L2060" s="28" t="s">
        <v>7073</v>
      </c>
      <c r="M2060" s="28" t="s">
        <v>83</v>
      </c>
      <c r="N2060" s="28">
        <v>1986.0</v>
      </c>
      <c r="O2060" s="121">
        <v>14.0</v>
      </c>
      <c r="P2060" s="28">
        <v>1.0</v>
      </c>
      <c r="Q2060" s="94">
        <v>1.0</v>
      </c>
      <c r="R2060" s="33"/>
      <c r="S2060" s="34"/>
      <c r="T2060" s="34"/>
      <c r="U2060" s="34"/>
      <c r="V2060" s="34"/>
      <c r="W2060" s="34"/>
      <c r="X2060" s="34"/>
      <c r="Y2060" s="3"/>
      <c r="Z2060" s="3"/>
      <c r="AA2060" s="3"/>
      <c r="AB2060" s="3"/>
      <c r="AC2060" s="3"/>
      <c r="AD2060" s="3"/>
      <c r="AE2060" s="3"/>
      <c r="AF2060" s="3"/>
      <c r="AG2060" s="3"/>
      <c r="AH2060" s="3"/>
      <c r="AI2060" s="3"/>
      <c r="AJ2060" s="3"/>
      <c r="AK2060" s="3"/>
      <c r="AL2060" s="3"/>
    </row>
    <row r="2061" ht="15.75" customHeight="1">
      <c r="A2061" s="27">
        <f t="shared" si="21"/>
        <v>940</v>
      </c>
      <c r="B2061" s="121">
        <v>9.797632962E9</v>
      </c>
      <c r="C2061" s="121" t="s">
        <v>7074</v>
      </c>
      <c r="D2061" s="119" t="s">
        <v>7075</v>
      </c>
      <c r="E2061" s="83"/>
      <c r="F2061" s="121" t="s">
        <v>29</v>
      </c>
      <c r="G2061" s="121" t="s">
        <v>30</v>
      </c>
      <c r="H2061" s="83"/>
      <c r="I2061" s="121" t="s">
        <v>30</v>
      </c>
      <c r="J2061" s="121">
        <v>294.0</v>
      </c>
      <c r="K2061" s="83"/>
      <c r="L2061" s="121" t="s">
        <v>7076</v>
      </c>
      <c r="M2061" s="121" t="s">
        <v>3240</v>
      </c>
      <c r="N2061" s="121">
        <v>2006.0</v>
      </c>
      <c r="O2061" s="121">
        <v>14.0</v>
      </c>
      <c r="P2061" s="121">
        <v>1.0</v>
      </c>
      <c r="Q2061" s="121">
        <v>1.0</v>
      </c>
      <c r="R2061" s="84"/>
      <c r="S2061" s="34"/>
      <c r="T2061" s="34"/>
      <c r="U2061" s="34"/>
      <c r="V2061" s="34"/>
      <c r="W2061" s="34"/>
      <c r="X2061" s="34"/>
      <c r="Y2061" s="3"/>
      <c r="Z2061" s="3"/>
      <c r="AA2061" s="3"/>
      <c r="AB2061" s="3"/>
      <c r="AC2061" s="3"/>
      <c r="AD2061" s="3"/>
      <c r="AE2061" s="3"/>
      <c r="AF2061" s="3"/>
      <c r="AG2061" s="3"/>
      <c r="AH2061" s="3"/>
      <c r="AI2061" s="3"/>
      <c r="AJ2061" s="3"/>
      <c r="AK2061" s="3"/>
      <c r="AL2061" s="3"/>
    </row>
    <row r="2062" ht="15.75" customHeight="1">
      <c r="A2062" s="27">
        <f t="shared" si="21"/>
        <v>941</v>
      </c>
      <c r="B2062" s="83"/>
      <c r="C2062" s="121" t="s">
        <v>7077</v>
      </c>
      <c r="D2062" s="119" t="s">
        <v>7078</v>
      </c>
      <c r="E2062" s="83"/>
      <c r="F2062" s="121" t="s">
        <v>29</v>
      </c>
      <c r="G2062" s="121" t="s">
        <v>166</v>
      </c>
      <c r="H2062" s="83"/>
      <c r="I2062" s="121" t="s">
        <v>38</v>
      </c>
      <c r="J2062" s="121">
        <v>206.0</v>
      </c>
      <c r="K2062" s="83"/>
      <c r="L2062" s="121" t="s">
        <v>7079</v>
      </c>
      <c r="M2062" s="121" t="s">
        <v>230</v>
      </c>
      <c r="N2062" s="121">
        <v>1981.0</v>
      </c>
      <c r="O2062" s="121">
        <v>14.0</v>
      </c>
      <c r="P2062" s="121">
        <v>1.0</v>
      </c>
      <c r="Q2062" s="121">
        <v>1.0</v>
      </c>
      <c r="R2062" s="84"/>
      <c r="S2062" s="34"/>
      <c r="T2062" s="34"/>
      <c r="U2062" s="34"/>
      <c r="V2062" s="34"/>
      <c r="W2062" s="34"/>
      <c r="X2062" s="34"/>
      <c r="Y2062" s="45"/>
      <c r="Z2062" s="45"/>
      <c r="AA2062" s="45"/>
      <c r="AB2062" s="45"/>
      <c r="AC2062" s="45"/>
      <c r="AD2062" s="45"/>
      <c r="AE2062" s="45"/>
      <c r="AF2062" s="45"/>
      <c r="AG2062" s="45"/>
      <c r="AH2062" s="45"/>
      <c r="AI2062" s="45"/>
      <c r="AJ2062" s="45"/>
      <c r="AK2062" s="45"/>
      <c r="AL2062" s="45"/>
    </row>
    <row r="2063" ht="15.75" customHeight="1">
      <c r="A2063" s="27">
        <f t="shared" si="21"/>
        <v>942</v>
      </c>
      <c r="B2063" s="28" t="s">
        <v>7080</v>
      </c>
      <c r="C2063" s="43" t="s">
        <v>7081</v>
      </c>
      <c r="D2063" s="30" t="s">
        <v>7082</v>
      </c>
      <c r="E2063" s="28" t="s">
        <v>31</v>
      </c>
      <c r="F2063" s="28" t="s">
        <v>29</v>
      </c>
      <c r="G2063" s="28" t="s">
        <v>30</v>
      </c>
      <c r="H2063" s="28"/>
      <c r="I2063" s="28" t="s">
        <v>30</v>
      </c>
      <c r="J2063" s="28">
        <v>370.0</v>
      </c>
      <c r="K2063" s="28"/>
      <c r="L2063" s="28" t="s">
        <v>7083</v>
      </c>
      <c r="M2063" s="28" t="s">
        <v>151</v>
      </c>
      <c r="N2063" s="28">
        <v>2001.0</v>
      </c>
      <c r="O2063" s="60">
        <v>14.0</v>
      </c>
      <c r="P2063" s="28">
        <v>1.0</v>
      </c>
      <c r="Q2063" s="94">
        <v>1.0</v>
      </c>
      <c r="R2063" s="33"/>
      <c r="S2063" s="116"/>
      <c r="T2063" s="116"/>
      <c r="U2063" s="116"/>
      <c r="V2063" s="116"/>
      <c r="W2063" s="116"/>
      <c r="X2063" s="116"/>
      <c r="Y2063" s="45"/>
      <c r="Z2063" s="45"/>
      <c r="AA2063" s="45"/>
      <c r="AB2063" s="45"/>
      <c r="AC2063" s="45"/>
      <c r="AD2063" s="45"/>
      <c r="AE2063" s="45"/>
      <c r="AF2063" s="45"/>
      <c r="AG2063" s="45"/>
      <c r="AH2063" s="45"/>
      <c r="AI2063" s="45"/>
      <c r="AJ2063" s="45"/>
      <c r="AK2063" s="45"/>
      <c r="AL2063" s="45"/>
    </row>
    <row r="2064" ht="15.75" customHeight="1">
      <c r="A2064" s="27">
        <f t="shared" si="21"/>
        <v>943</v>
      </c>
      <c r="B2064" s="83" t="s">
        <v>7084</v>
      </c>
      <c r="C2064" s="83" t="s">
        <v>7085</v>
      </c>
      <c r="D2064" s="83" t="s">
        <v>7086</v>
      </c>
      <c r="E2064" s="118"/>
      <c r="F2064" s="83" t="s">
        <v>29</v>
      </c>
      <c r="G2064" s="83" t="s">
        <v>30</v>
      </c>
      <c r="H2064" s="118"/>
      <c r="I2064" s="83" t="s">
        <v>30</v>
      </c>
      <c r="J2064" s="83">
        <v>294.0</v>
      </c>
      <c r="K2064" s="118"/>
      <c r="L2064" s="83" t="s">
        <v>7087</v>
      </c>
      <c r="M2064" s="118" t="s">
        <v>4284</v>
      </c>
      <c r="N2064" s="118">
        <v>2018.0</v>
      </c>
      <c r="O2064" s="60">
        <v>14.0</v>
      </c>
      <c r="P2064" s="118">
        <v>1.0</v>
      </c>
      <c r="Q2064" s="121">
        <v>1.0</v>
      </c>
      <c r="R2064" s="84"/>
      <c r="S2064" s="34"/>
      <c r="T2064" s="34"/>
      <c r="U2064" s="34"/>
      <c r="V2064" s="34"/>
      <c r="W2064" s="34"/>
      <c r="X2064" s="34"/>
      <c r="Y2064" s="3"/>
      <c r="Z2064" s="3"/>
      <c r="AA2064" s="3"/>
      <c r="AB2064" s="3"/>
      <c r="AC2064" s="3"/>
      <c r="AD2064" s="3"/>
      <c r="AE2064" s="3"/>
      <c r="AF2064" s="3"/>
      <c r="AG2064" s="3"/>
      <c r="AH2064" s="3"/>
      <c r="AI2064" s="3"/>
      <c r="AJ2064" s="3"/>
      <c r="AK2064" s="3"/>
      <c r="AL2064" s="3"/>
    </row>
    <row r="2065" ht="15.75" customHeight="1">
      <c r="A2065" s="27">
        <f t="shared" si="21"/>
        <v>944</v>
      </c>
      <c r="B2065" s="83"/>
      <c r="C2065" s="121" t="s">
        <v>7088</v>
      </c>
      <c r="D2065" s="119" t="s">
        <v>7089</v>
      </c>
      <c r="E2065" s="83"/>
      <c r="F2065" s="121" t="s">
        <v>29</v>
      </c>
      <c r="G2065" s="121" t="s">
        <v>30</v>
      </c>
      <c r="H2065" s="83"/>
      <c r="I2065" s="121" t="s">
        <v>30</v>
      </c>
      <c r="J2065" s="121">
        <v>167.0</v>
      </c>
      <c r="K2065" s="83"/>
      <c r="L2065" s="121" t="s">
        <v>7090</v>
      </c>
      <c r="M2065" s="121" t="s">
        <v>7091</v>
      </c>
      <c r="N2065" s="121">
        <v>2013.0</v>
      </c>
      <c r="O2065" s="60">
        <v>14.0</v>
      </c>
      <c r="P2065" s="121">
        <v>1.0</v>
      </c>
      <c r="Q2065" s="121">
        <v>1.0</v>
      </c>
      <c r="R2065" s="84"/>
      <c r="S2065" s="34"/>
      <c r="T2065" s="34"/>
      <c r="U2065" s="34"/>
      <c r="V2065" s="34"/>
      <c r="W2065" s="34"/>
      <c r="X2065" s="34"/>
      <c r="Y2065" s="45"/>
      <c r="Z2065" s="45"/>
      <c r="AA2065" s="45"/>
      <c r="AB2065" s="45"/>
      <c r="AC2065" s="45"/>
      <c r="AD2065" s="45"/>
      <c r="AE2065" s="45"/>
      <c r="AF2065" s="45"/>
      <c r="AG2065" s="45"/>
      <c r="AH2065" s="45"/>
      <c r="AI2065" s="45"/>
      <c r="AJ2065" s="45"/>
      <c r="AK2065" s="45"/>
      <c r="AL2065" s="45"/>
    </row>
    <row r="2066" ht="15.75" customHeight="1">
      <c r="A2066" s="27">
        <f t="shared" si="21"/>
        <v>945</v>
      </c>
      <c r="B2066" s="28" t="s">
        <v>7092</v>
      </c>
      <c r="C2066" s="43" t="s">
        <v>7093</v>
      </c>
      <c r="D2066" s="30" t="s">
        <v>7094</v>
      </c>
      <c r="E2066" s="28" t="s">
        <v>31</v>
      </c>
      <c r="F2066" s="28" t="s">
        <v>29</v>
      </c>
      <c r="G2066" s="28" t="s">
        <v>37</v>
      </c>
      <c r="H2066" s="28"/>
      <c r="I2066" s="28" t="s">
        <v>38</v>
      </c>
      <c r="J2066" s="28">
        <v>207.0</v>
      </c>
      <c r="K2066" s="28"/>
      <c r="L2066" s="28" t="s">
        <v>7095</v>
      </c>
      <c r="M2066" s="28" t="s">
        <v>524</v>
      </c>
      <c r="N2066" s="28">
        <v>2003.0</v>
      </c>
      <c r="O2066" s="60">
        <v>14.0</v>
      </c>
      <c r="P2066" s="28">
        <v>1.0</v>
      </c>
      <c r="Q2066" s="32">
        <v>1.0</v>
      </c>
      <c r="R2066" s="33"/>
      <c r="S2066" s="34"/>
      <c r="T2066" s="34"/>
      <c r="U2066" s="34"/>
      <c r="V2066" s="34"/>
      <c r="W2066" s="34"/>
      <c r="X2066" s="34"/>
      <c r="Y2066" s="45"/>
      <c r="Z2066" s="45"/>
      <c r="AA2066" s="45"/>
      <c r="AB2066" s="45"/>
      <c r="AC2066" s="45"/>
      <c r="AD2066" s="45"/>
      <c r="AE2066" s="45"/>
      <c r="AF2066" s="45"/>
      <c r="AG2066" s="45"/>
      <c r="AH2066" s="45"/>
      <c r="AI2066" s="45"/>
      <c r="AJ2066" s="45"/>
      <c r="AK2066" s="45"/>
      <c r="AL2066" s="45"/>
    </row>
    <row r="2067" ht="15.75" customHeight="1">
      <c r="A2067" s="27">
        <f t="shared" si="21"/>
        <v>946</v>
      </c>
      <c r="B2067" s="28" t="s">
        <v>7096</v>
      </c>
      <c r="C2067" s="43" t="s">
        <v>7097</v>
      </c>
      <c r="D2067" s="30" t="s">
        <v>7098</v>
      </c>
      <c r="E2067" s="28" t="s">
        <v>31</v>
      </c>
      <c r="F2067" s="28" t="s">
        <v>29</v>
      </c>
      <c r="G2067" s="28" t="s">
        <v>30</v>
      </c>
      <c r="H2067" s="28"/>
      <c r="I2067" s="28" t="s">
        <v>30</v>
      </c>
      <c r="J2067" s="28">
        <v>178.0</v>
      </c>
      <c r="K2067" s="28"/>
      <c r="L2067" s="28" t="s">
        <v>7099</v>
      </c>
      <c r="M2067" s="28" t="s">
        <v>161</v>
      </c>
      <c r="N2067" s="28">
        <v>2011.0</v>
      </c>
      <c r="O2067" s="60">
        <v>14.0</v>
      </c>
      <c r="P2067" s="28">
        <v>1.0</v>
      </c>
      <c r="Q2067" s="32">
        <v>1.0</v>
      </c>
      <c r="R2067" s="33"/>
      <c r="S2067" s="34"/>
      <c r="T2067" s="34"/>
      <c r="U2067" s="34"/>
      <c r="V2067" s="34"/>
      <c r="W2067" s="34"/>
      <c r="X2067" s="34"/>
      <c r="Y2067" s="3"/>
      <c r="Z2067" s="3"/>
      <c r="AA2067" s="3"/>
      <c r="AB2067" s="3"/>
      <c r="AC2067" s="3"/>
      <c r="AD2067" s="3"/>
      <c r="AE2067" s="3"/>
      <c r="AF2067" s="3"/>
      <c r="AG2067" s="3"/>
      <c r="AH2067" s="3"/>
      <c r="AI2067" s="3"/>
      <c r="AJ2067" s="3"/>
      <c r="AK2067" s="3"/>
      <c r="AL2067" s="3"/>
    </row>
    <row r="2068" ht="15.75" customHeight="1">
      <c r="A2068" s="27">
        <f t="shared" si="21"/>
        <v>947</v>
      </c>
      <c r="B2068" s="28" t="s">
        <v>31</v>
      </c>
      <c r="C2068" s="43" t="s">
        <v>7100</v>
      </c>
      <c r="D2068" s="30" t="s">
        <v>7101</v>
      </c>
      <c r="E2068" s="28" t="s">
        <v>31</v>
      </c>
      <c r="F2068" s="28" t="s">
        <v>29</v>
      </c>
      <c r="G2068" s="28" t="s">
        <v>30</v>
      </c>
      <c r="H2068" s="28"/>
      <c r="I2068" s="28" t="s">
        <v>30</v>
      </c>
      <c r="J2068" s="28">
        <v>302.0</v>
      </c>
      <c r="K2068" s="28"/>
      <c r="L2068" s="28" t="s">
        <v>7102</v>
      </c>
      <c r="M2068" s="28" t="s">
        <v>151</v>
      </c>
      <c r="N2068" s="28">
        <v>1985.0</v>
      </c>
      <c r="O2068" s="60">
        <v>14.0</v>
      </c>
      <c r="P2068" s="28">
        <v>1.0</v>
      </c>
      <c r="Q2068" s="94">
        <v>1.0</v>
      </c>
      <c r="R2068" s="33"/>
      <c r="S2068" s="34"/>
      <c r="T2068" s="34"/>
      <c r="U2068" s="34"/>
      <c r="V2068" s="34"/>
      <c r="W2068" s="34"/>
      <c r="X2068" s="34"/>
      <c r="Y2068" s="3"/>
      <c r="Z2068" s="3"/>
      <c r="AA2068" s="3"/>
      <c r="AB2068" s="3"/>
      <c r="AC2068" s="3"/>
      <c r="AD2068" s="3"/>
      <c r="AE2068" s="3"/>
      <c r="AF2068" s="3"/>
      <c r="AG2068" s="3"/>
      <c r="AH2068" s="3"/>
      <c r="AI2068" s="3"/>
      <c r="AJ2068" s="3"/>
      <c r="AK2068" s="3"/>
      <c r="AL2068" s="3"/>
    </row>
    <row r="2069" ht="15.75" customHeight="1">
      <c r="A2069" s="27">
        <f t="shared" si="21"/>
        <v>948</v>
      </c>
      <c r="B2069" s="28" t="s">
        <v>7103</v>
      </c>
      <c r="C2069" s="43" t="s">
        <v>7104</v>
      </c>
      <c r="D2069" s="30" t="s">
        <v>7105</v>
      </c>
      <c r="E2069" s="28" t="s">
        <v>31</v>
      </c>
      <c r="F2069" s="28" t="s">
        <v>29</v>
      </c>
      <c r="G2069" s="28" t="s">
        <v>30</v>
      </c>
      <c r="H2069" s="28"/>
      <c r="I2069" s="28" t="s">
        <v>30</v>
      </c>
      <c r="J2069" s="28">
        <v>191.0</v>
      </c>
      <c r="K2069" s="28"/>
      <c r="L2069" s="28" t="s">
        <v>7106</v>
      </c>
      <c r="M2069" s="28" t="s">
        <v>151</v>
      </c>
      <c r="N2069" s="28">
        <v>2004.0</v>
      </c>
      <c r="O2069" s="60">
        <v>14.0</v>
      </c>
      <c r="P2069" s="28">
        <v>1.0</v>
      </c>
      <c r="Q2069" s="94">
        <v>1.0</v>
      </c>
      <c r="R2069" s="33"/>
      <c r="S2069" s="34"/>
      <c r="T2069" s="34"/>
      <c r="U2069" s="34"/>
      <c r="V2069" s="34"/>
      <c r="W2069" s="34"/>
      <c r="X2069" s="34"/>
      <c r="Y2069" s="3"/>
      <c r="Z2069" s="3"/>
      <c r="AA2069" s="3"/>
      <c r="AB2069" s="3"/>
      <c r="AC2069" s="3"/>
      <c r="AD2069" s="3"/>
      <c r="AE2069" s="3"/>
      <c r="AF2069" s="3"/>
      <c r="AG2069" s="3"/>
      <c r="AH2069" s="3"/>
      <c r="AI2069" s="3"/>
      <c r="AJ2069" s="3"/>
      <c r="AK2069" s="3"/>
      <c r="AL2069" s="3"/>
    </row>
    <row r="2070" ht="15.75" customHeight="1">
      <c r="A2070" s="27">
        <f t="shared" si="21"/>
        <v>949</v>
      </c>
      <c r="B2070" s="28"/>
      <c r="C2070" s="43" t="s">
        <v>7107</v>
      </c>
      <c r="D2070" s="30" t="s">
        <v>7108</v>
      </c>
      <c r="E2070" s="28" t="s">
        <v>144</v>
      </c>
      <c r="F2070" s="28" t="s">
        <v>29</v>
      </c>
      <c r="G2070" s="28" t="s">
        <v>30</v>
      </c>
      <c r="H2070" s="28"/>
      <c r="I2070" s="28" t="s">
        <v>30</v>
      </c>
      <c r="J2070" s="28">
        <f>248+2</f>
        <v>250</v>
      </c>
      <c r="K2070" s="28"/>
      <c r="L2070" s="28" t="s">
        <v>7109</v>
      </c>
      <c r="M2070" s="28" t="s">
        <v>2463</v>
      </c>
      <c r="N2070" s="28"/>
      <c r="O2070" s="60">
        <v>14.0</v>
      </c>
      <c r="P2070" s="28">
        <v>1.0</v>
      </c>
      <c r="Q2070" s="94">
        <v>1.0</v>
      </c>
      <c r="R2070" s="33"/>
      <c r="S2070" s="34"/>
      <c r="T2070" s="34"/>
      <c r="U2070" s="34"/>
      <c r="V2070" s="34"/>
      <c r="W2070" s="34"/>
      <c r="X2070" s="34"/>
      <c r="Y2070" s="45"/>
      <c r="Z2070" s="45"/>
      <c r="AA2070" s="45"/>
      <c r="AB2070" s="45"/>
      <c r="AC2070" s="45"/>
      <c r="AD2070" s="45"/>
      <c r="AE2070" s="45"/>
      <c r="AF2070" s="45"/>
      <c r="AG2070" s="45"/>
      <c r="AH2070" s="45"/>
      <c r="AI2070" s="45"/>
      <c r="AJ2070" s="45"/>
      <c r="AK2070" s="45"/>
      <c r="AL2070" s="45"/>
    </row>
    <row r="2071" ht="15.75" customHeight="1">
      <c r="A2071" s="27">
        <f t="shared" si="21"/>
        <v>950</v>
      </c>
      <c r="B2071" s="28" t="s">
        <v>7110</v>
      </c>
      <c r="C2071" s="43" t="s">
        <v>7111</v>
      </c>
      <c r="D2071" s="30" t="s">
        <v>7112</v>
      </c>
      <c r="E2071" s="28" t="s">
        <v>31</v>
      </c>
      <c r="F2071" s="28" t="s">
        <v>29</v>
      </c>
      <c r="G2071" s="28" t="s">
        <v>30</v>
      </c>
      <c r="H2071" s="28"/>
      <c r="I2071" s="28" t="s">
        <v>30</v>
      </c>
      <c r="J2071" s="28">
        <v>264.0</v>
      </c>
      <c r="K2071" s="28"/>
      <c r="L2071" s="28" t="s">
        <v>7113</v>
      </c>
      <c r="M2071" s="28" t="s">
        <v>169</v>
      </c>
      <c r="N2071" s="28">
        <v>2005.0</v>
      </c>
      <c r="O2071" s="60">
        <v>14.0</v>
      </c>
      <c r="P2071" s="28">
        <v>1.0</v>
      </c>
      <c r="Q2071" s="94">
        <v>1.0</v>
      </c>
      <c r="R2071" s="33"/>
      <c r="S2071" s="34"/>
      <c r="T2071" s="34"/>
      <c r="U2071" s="34"/>
      <c r="V2071" s="34"/>
      <c r="W2071" s="34"/>
      <c r="X2071" s="34"/>
      <c r="Y2071" s="45"/>
      <c r="Z2071" s="45"/>
      <c r="AA2071" s="45"/>
      <c r="AB2071" s="45"/>
      <c r="AC2071" s="45"/>
      <c r="AD2071" s="45"/>
      <c r="AE2071" s="45"/>
      <c r="AF2071" s="45"/>
      <c r="AG2071" s="45"/>
      <c r="AH2071" s="45"/>
      <c r="AI2071" s="45"/>
      <c r="AJ2071" s="45"/>
      <c r="AK2071" s="45"/>
      <c r="AL2071" s="45"/>
    </row>
    <row r="2072" ht="15.75" customHeight="1">
      <c r="A2072" s="27">
        <f t="shared" si="21"/>
        <v>951</v>
      </c>
      <c r="B2072" s="28" t="s">
        <v>7114</v>
      </c>
      <c r="C2072" s="43" t="s">
        <v>7115</v>
      </c>
      <c r="D2072" s="30" t="s">
        <v>7116</v>
      </c>
      <c r="E2072" s="28" t="s">
        <v>31</v>
      </c>
      <c r="F2072" s="28" t="s">
        <v>29</v>
      </c>
      <c r="G2072" s="28" t="s">
        <v>37</v>
      </c>
      <c r="H2072" s="28"/>
      <c r="I2072" s="28" t="s">
        <v>38</v>
      </c>
      <c r="J2072" s="28">
        <v>696.0</v>
      </c>
      <c r="K2072" s="28"/>
      <c r="L2072" s="28" t="s">
        <v>7117</v>
      </c>
      <c r="M2072" s="28" t="s">
        <v>4428</v>
      </c>
      <c r="N2072" s="28">
        <v>2002.0</v>
      </c>
      <c r="O2072" s="60">
        <v>14.0</v>
      </c>
      <c r="P2072" s="28">
        <v>1.0</v>
      </c>
      <c r="Q2072" s="94">
        <v>1.0</v>
      </c>
      <c r="R2072" s="33"/>
      <c r="S2072" s="185"/>
      <c r="T2072" s="185"/>
      <c r="U2072" s="185"/>
      <c r="V2072" s="185"/>
      <c r="W2072" s="185"/>
      <c r="X2072" s="185"/>
      <c r="Y2072" s="45"/>
      <c r="Z2072" s="45"/>
      <c r="AA2072" s="45"/>
      <c r="AB2072" s="45"/>
      <c r="AC2072" s="45"/>
      <c r="AD2072" s="45"/>
      <c r="AE2072" s="45"/>
      <c r="AF2072" s="45"/>
      <c r="AG2072" s="45"/>
      <c r="AH2072" s="45"/>
      <c r="AI2072" s="45"/>
      <c r="AJ2072" s="45"/>
      <c r="AK2072" s="45"/>
      <c r="AL2072" s="45"/>
    </row>
    <row r="2073" ht="15.75" customHeight="1">
      <c r="A2073" s="27">
        <f t="shared" si="21"/>
        <v>952</v>
      </c>
      <c r="B2073" s="28" t="s">
        <v>7118</v>
      </c>
      <c r="C2073" s="43" t="s">
        <v>7119</v>
      </c>
      <c r="D2073" s="30" t="s">
        <v>7120</v>
      </c>
      <c r="E2073" s="28" t="s">
        <v>144</v>
      </c>
      <c r="F2073" s="28" t="s">
        <v>29</v>
      </c>
      <c r="G2073" s="28" t="s">
        <v>159</v>
      </c>
      <c r="H2073" s="28"/>
      <c r="I2073" s="28" t="s">
        <v>30</v>
      </c>
      <c r="J2073" s="28">
        <v>83.0</v>
      </c>
      <c r="K2073" s="28"/>
      <c r="L2073" s="28" t="s">
        <v>7121</v>
      </c>
      <c r="M2073" s="28" t="s">
        <v>7122</v>
      </c>
      <c r="N2073" s="28">
        <v>2002.0</v>
      </c>
      <c r="O2073" s="60">
        <v>14.0</v>
      </c>
      <c r="P2073" s="28">
        <v>1.0</v>
      </c>
      <c r="Q2073" s="94">
        <v>1.0</v>
      </c>
      <c r="R2073" s="33"/>
      <c r="S2073" s="40"/>
      <c r="T2073" s="40"/>
      <c r="U2073" s="40"/>
      <c r="V2073" s="40"/>
      <c r="W2073" s="40"/>
      <c r="X2073" s="40"/>
      <c r="Y2073" s="3"/>
      <c r="Z2073" s="3"/>
      <c r="AA2073" s="3"/>
      <c r="AB2073" s="3"/>
      <c r="AC2073" s="3"/>
      <c r="AD2073" s="3"/>
      <c r="AE2073" s="3"/>
      <c r="AF2073" s="3"/>
      <c r="AG2073" s="3"/>
      <c r="AH2073" s="3"/>
      <c r="AI2073" s="3"/>
      <c r="AJ2073" s="3"/>
      <c r="AK2073" s="3"/>
      <c r="AL2073" s="3"/>
    </row>
    <row r="2074" ht="15.75" customHeight="1">
      <c r="A2074" s="27">
        <f t="shared" si="21"/>
        <v>953</v>
      </c>
      <c r="B2074" s="28" t="s">
        <v>7123</v>
      </c>
      <c r="C2074" s="43" t="s">
        <v>7124</v>
      </c>
      <c r="D2074" s="30" t="s">
        <v>7125</v>
      </c>
      <c r="E2074" s="28" t="s">
        <v>31</v>
      </c>
      <c r="F2074" s="28" t="s">
        <v>29</v>
      </c>
      <c r="G2074" s="28" t="s">
        <v>30</v>
      </c>
      <c r="H2074" s="28"/>
      <c r="I2074" s="28" t="s">
        <v>30</v>
      </c>
      <c r="J2074" s="28">
        <v>373.0</v>
      </c>
      <c r="K2074" s="28"/>
      <c r="L2074" s="28" t="s">
        <v>7126</v>
      </c>
      <c r="M2074" s="28" t="s">
        <v>161</v>
      </c>
      <c r="N2074" s="28">
        <v>2005.0</v>
      </c>
      <c r="O2074" s="60">
        <v>14.0</v>
      </c>
      <c r="P2074" s="28">
        <v>1.0</v>
      </c>
      <c r="Q2074" s="32">
        <v>1.0</v>
      </c>
      <c r="R2074" s="33"/>
      <c r="S2074" s="34"/>
      <c r="T2074" s="34"/>
      <c r="U2074" s="34"/>
      <c r="V2074" s="34"/>
      <c r="W2074" s="34"/>
      <c r="X2074" s="34"/>
      <c r="Y2074" s="3"/>
      <c r="Z2074" s="3"/>
      <c r="AA2074" s="3"/>
      <c r="AB2074" s="3"/>
      <c r="AC2074" s="3"/>
      <c r="AD2074" s="3"/>
      <c r="AE2074" s="3"/>
      <c r="AF2074" s="3"/>
      <c r="AG2074" s="3"/>
      <c r="AH2074" s="3"/>
      <c r="AI2074" s="3"/>
      <c r="AJ2074" s="3"/>
      <c r="AK2074" s="3"/>
      <c r="AL2074" s="3"/>
    </row>
    <row r="2075" ht="15.75" customHeight="1">
      <c r="A2075" s="27">
        <f t="shared" si="21"/>
        <v>954</v>
      </c>
      <c r="B2075" s="28" t="s">
        <v>7127</v>
      </c>
      <c r="C2075" s="43" t="s">
        <v>7128</v>
      </c>
      <c r="D2075" s="30" t="s">
        <v>7129</v>
      </c>
      <c r="E2075" s="28" t="s">
        <v>31</v>
      </c>
      <c r="F2075" s="28" t="s">
        <v>29</v>
      </c>
      <c r="G2075" s="28" t="s">
        <v>30</v>
      </c>
      <c r="H2075" s="28"/>
      <c r="I2075" s="28" t="s">
        <v>30</v>
      </c>
      <c r="J2075" s="28">
        <v>256.0</v>
      </c>
      <c r="K2075" s="28"/>
      <c r="L2075" s="28" t="s">
        <v>7130</v>
      </c>
      <c r="M2075" s="28" t="s">
        <v>151</v>
      </c>
      <c r="N2075" s="28">
        <v>2002.0</v>
      </c>
      <c r="O2075" s="60">
        <v>14.0</v>
      </c>
      <c r="P2075" s="28">
        <v>1.0</v>
      </c>
      <c r="Q2075" s="32">
        <v>1.0</v>
      </c>
      <c r="R2075" s="33"/>
      <c r="S2075" s="34"/>
      <c r="T2075" s="34"/>
      <c r="U2075" s="34"/>
      <c r="V2075" s="34"/>
      <c r="W2075" s="34"/>
      <c r="X2075" s="34"/>
      <c r="Y2075" s="3"/>
      <c r="Z2075" s="3"/>
      <c r="AA2075" s="3"/>
      <c r="AB2075" s="3"/>
      <c r="AC2075" s="3"/>
      <c r="AD2075" s="3"/>
      <c r="AE2075" s="3"/>
      <c r="AF2075" s="3"/>
      <c r="AG2075" s="3"/>
      <c r="AH2075" s="3"/>
      <c r="AI2075" s="3"/>
      <c r="AJ2075" s="3"/>
      <c r="AK2075" s="3"/>
      <c r="AL2075" s="3"/>
    </row>
    <row r="2076" ht="15.75" customHeight="1">
      <c r="A2076" s="27">
        <f t="shared" si="21"/>
        <v>955</v>
      </c>
      <c r="B2076" s="28" t="s">
        <v>7131</v>
      </c>
      <c r="C2076" s="43" t="s">
        <v>7132</v>
      </c>
      <c r="D2076" s="30" t="s">
        <v>7133</v>
      </c>
      <c r="E2076" s="28" t="s">
        <v>31</v>
      </c>
      <c r="F2076" s="28" t="s">
        <v>29</v>
      </c>
      <c r="G2076" s="28" t="s">
        <v>30</v>
      </c>
      <c r="H2076" s="28"/>
      <c r="I2076" s="28" t="s">
        <v>30</v>
      </c>
      <c r="J2076" s="28">
        <v>517.0</v>
      </c>
      <c r="K2076" s="28"/>
      <c r="L2076" s="28" t="s">
        <v>7134</v>
      </c>
      <c r="M2076" s="28" t="s">
        <v>7135</v>
      </c>
      <c r="N2076" s="28">
        <v>1999.0</v>
      </c>
      <c r="O2076" s="60">
        <v>14.0</v>
      </c>
      <c r="P2076" s="28">
        <v>1.0</v>
      </c>
      <c r="Q2076" s="94">
        <v>1.0</v>
      </c>
      <c r="R2076" s="33"/>
      <c r="S2076" s="34"/>
      <c r="T2076" s="34"/>
      <c r="U2076" s="34"/>
      <c r="V2076" s="34"/>
      <c r="W2076" s="34"/>
      <c r="X2076" s="34"/>
      <c r="Y2076" s="3"/>
      <c r="Z2076" s="3"/>
      <c r="AA2076" s="3"/>
      <c r="AB2076" s="3"/>
      <c r="AC2076" s="3"/>
      <c r="AD2076" s="3"/>
      <c r="AE2076" s="3"/>
      <c r="AF2076" s="3"/>
      <c r="AG2076" s="3"/>
      <c r="AH2076" s="3"/>
      <c r="AI2076" s="3"/>
      <c r="AJ2076" s="3"/>
      <c r="AK2076" s="3"/>
      <c r="AL2076" s="3"/>
    </row>
    <row r="2077" ht="15.75" customHeight="1">
      <c r="A2077" s="27">
        <f t="shared" si="21"/>
        <v>956</v>
      </c>
      <c r="B2077" s="28" t="s">
        <v>7136</v>
      </c>
      <c r="C2077" s="43" t="s">
        <v>7137</v>
      </c>
      <c r="D2077" s="30" t="s">
        <v>7138</v>
      </c>
      <c r="E2077" s="28" t="s">
        <v>31</v>
      </c>
      <c r="F2077" s="28" t="s">
        <v>29</v>
      </c>
      <c r="G2077" s="28" t="s">
        <v>30</v>
      </c>
      <c r="H2077" s="28"/>
      <c r="I2077" s="28" t="s">
        <v>30</v>
      </c>
      <c r="J2077" s="28">
        <v>500.0</v>
      </c>
      <c r="K2077" s="28"/>
      <c r="L2077" s="28" t="s">
        <v>7139</v>
      </c>
      <c r="M2077" s="28" t="s">
        <v>151</v>
      </c>
      <c r="N2077" s="28">
        <v>2012.0</v>
      </c>
      <c r="O2077" s="28">
        <v>14.0</v>
      </c>
      <c r="P2077" s="28">
        <v>1.0</v>
      </c>
      <c r="Q2077" s="32">
        <v>1.0</v>
      </c>
      <c r="R2077" s="33"/>
      <c r="S2077" s="34"/>
      <c r="T2077" s="34"/>
      <c r="U2077" s="34"/>
      <c r="V2077" s="34"/>
      <c r="W2077" s="34"/>
      <c r="X2077" s="34"/>
      <c r="Y2077" s="45"/>
      <c r="Z2077" s="45"/>
      <c r="AA2077" s="45"/>
      <c r="AB2077" s="45"/>
      <c r="AC2077" s="45"/>
      <c r="AD2077" s="45"/>
      <c r="AE2077" s="45"/>
      <c r="AF2077" s="45"/>
      <c r="AG2077" s="45"/>
      <c r="AH2077" s="45"/>
      <c r="AI2077" s="45"/>
      <c r="AJ2077" s="45"/>
      <c r="AK2077" s="45"/>
      <c r="AL2077" s="45"/>
    </row>
    <row r="2078" ht="15.75" customHeight="1">
      <c r="A2078" s="27">
        <f t="shared" si="21"/>
        <v>957</v>
      </c>
      <c r="B2078" s="28" t="s">
        <v>7140</v>
      </c>
      <c r="C2078" s="43" t="s">
        <v>7141</v>
      </c>
      <c r="D2078" s="30" t="s">
        <v>7142</v>
      </c>
      <c r="E2078" s="28" t="s">
        <v>31</v>
      </c>
      <c r="F2078" s="28" t="s">
        <v>29</v>
      </c>
      <c r="G2078" s="28" t="s">
        <v>30</v>
      </c>
      <c r="H2078" s="28"/>
      <c r="I2078" s="28" t="s">
        <v>30</v>
      </c>
      <c r="J2078" s="28">
        <v>346.0</v>
      </c>
      <c r="K2078" s="28"/>
      <c r="L2078" s="28" t="s">
        <v>2497</v>
      </c>
      <c r="M2078" s="28" t="s">
        <v>151</v>
      </c>
      <c r="N2078" s="28">
        <v>2002.0</v>
      </c>
      <c r="O2078" s="28">
        <v>14.0</v>
      </c>
      <c r="P2078" s="28">
        <v>1.0</v>
      </c>
      <c r="Q2078" s="94">
        <v>1.0</v>
      </c>
      <c r="R2078" s="33"/>
      <c r="S2078" s="40"/>
      <c r="T2078" s="40"/>
      <c r="U2078" s="40"/>
      <c r="V2078" s="40"/>
      <c r="W2078" s="40"/>
      <c r="X2078" s="40"/>
      <c r="Y2078" s="45"/>
      <c r="Z2078" s="45"/>
      <c r="AA2078" s="45"/>
      <c r="AB2078" s="45"/>
      <c r="AC2078" s="45"/>
      <c r="AD2078" s="45"/>
      <c r="AE2078" s="45"/>
      <c r="AF2078" s="45"/>
      <c r="AG2078" s="45"/>
      <c r="AH2078" s="45"/>
      <c r="AI2078" s="45"/>
      <c r="AJ2078" s="45"/>
      <c r="AK2078" s="45"/>
      <c r="AL2078" s="45"/>
    </row>
    <row r="2079" ht="15.75" customHeight="1">
      <c r="A2079" s="27">
        <f t="shared" si="21"/>
        <v>958</v>
      </c>
      <c r="B2079" s="28" t="s">
        <v>7143</v>
      </c>
      <c r="C2079" s="43" t="s">
        <v>7144</v>
      </c>
      <c r="D2079" s="30" t="s">
        <v>7145</v>
      </c>
      <c r="E2079" s="28"/>
      <c r="F2079" s="28" t="s">
        <v>29</v>
      </c>
      <c r="G2079" s="28" t="s">
        <v>30</v>
      </c>
      <c r="H2079" s="28" t="s">
        <v>31</v>
      </c>
      <c r="I2079" s="28" t="s">
        <v>30</v>
      </c>
      <c r="J2079" s="28">
        <v>407.0</v>
      </c>
      <c r="K2079" s="28"/>
      <c r="L2079" s="28" t="s">
        <v>7146</v>
      </c>
      <c r="M2079" s="28" t="s">
        <v>151</v>
      </c>
      <c r="N2079" s="28">
        <v>1998.0</v>
      </c>
      <c r="O2079" s="28">
        <v>14.0</v>
      </c>
      <c r="P2079" s="28">
        <v>1.0</v>
      </c>
      <c r="Q2079" s="94">
        <v>1.0</v>
      </c>
      <c r="R2079" s="33"/>
      <c r="S2079" s="116"/>
      <c r="T2079" s="116"/>
      <c r="U2079" s="116"/>
      <c r="V2079" s="116"/>
      <c r="W2079" s="116"/>
      <c r="X2079" s="116"/>
      <c r="Y2079" s="45"/>
      <c r="Z2079" s="45"/>
      <c r="AA2079" s="45"/>
      <c r="AB2079" s="45"/>
      <c r="AC2079" s="45"/>
      <c r="AD2079" s="45"/>
      <c r="AE2079" s="45"/>
      <c r="AF2079" s="45"/>
      <c r="AG2079" s="45"/>
      <c r="AH2079" s="45"/>
      <c r="AI2079" s="45"/>
      <c r="AJ2079" s="45"/>
      <c r="AK2079" s="45"/>
      <c r="AL2079" s="45"/>
    </row>
    <row r="2080" ht="15.75" customHeight="1">
      <c r="A2080" s="27">
        <f t="shared" si="21"/>
        <v>959</v>
      </c>
      <c r="B2080" s="28" t="s">
        <v>7147</v>
      </c>
      <c r="C2080" s="102" t="s">
        <v>7148</v>
      </c>
      <c r="D2080" s="30" t="s">
        <v>7149</v>
      </c>
      <c r="E2080" s="28" t="s">
        <v>144</v>
      </c>
      <c r="F2080" s="28" t="s">
        <v>29</v>
      </c>
      <c r="G2080" s="28" t="s">
        <v>37</v>
      </c>
      <c r="H2080" s="28" t="s">
        <v>31</v>
      </c>
      <c r="I2080" s="28" t="s">
        <v>38</v>
      </c>
      <c r="J2080" s="28">
        <f>516+24</f>
        <v>540</v>
      </c>
      <c r="K2080" s="28"/>
      <c r="L2080" s="28" t="s">
        <v>7150</v>
      </c>
      <c r="M2080" s="28" t="s">
        <v>7151</v>
      </c>
      <c r="N2080" s="28">
        <v>1982.0</v>
      </c>
      <c r="O2080" s="28">
        <v>14.0</v>
      </c>
      <c r="P2080" s="28">
        <v>1.0</v>
      </c>
      <c r="Q2080" s="94">
        <v>1.0</v>
      </c>
      <c r="R2080" s="33"/>
      <c r="S2080" s="34"/>
      <c r="T2080" s="34"/>
      <c r="U2080" s="34"/>
      <c r="V2080" s="34"/>
      <c r="W2080" s="34"/>
      <c r="X2080" s="34"/>
      <c r="Y2080" s="45"/>
      <c r="Z2080" s="45"/>
      <c r="AA2080" s="45"/>
      <c r="AB2080" s="45"/>
      <c r="AC2080" s="45"/>
      <c r="AD2080" s="45"/>
      <c r="AE2080" s="45"/>
      <c r="AF2080" s="45"/>
      <c r="AG2080" s="45"/>
      <c r="AH2080" s="45"/>
      <c r="AI2080" s="45"/>
      <c r="AJ2080" s="45"/>
      <c r="AK2080" s="45"/>
      <c r="AL2080" s="45"/>
    </row>
    <row r="2081" ht="15.75" customHeight="1">
      <c r="A2081" s="27">
        <f t="shared" si="21"/>
        <v>960</v>
      </c>
      <c r="B2081" s="28" t="s">
        <v>31</v>
      </c>
      <c r="C2081" s="43" t="s">
        <v>7152</v>
      </c>
      <c r="D2081" s="30" t="s">
        <v>7153</v>
      </c>
      <c r="E2081" s="28"/>
      <c r="F2081" s="28" t="s">
        <v>29</v>
      </c>
      <c r="G2081" s="28" t="s">
        <v>6151</v>
      </c>
      <c r="H2081" s="28" t="s">
        <v>31</v>
      </c>
      <c r="I2081" s="28" t="s">
        <v>38</v>
      </c>
      <c r="J2081" s="28">
        <v>317.0</v>
      </c>
      <c r="K2081" s="28"/>
      <c r="L2081" s="28" t="s">
        <v>7154</v>
      </c>
      <c r="M2081" s="28" t="s">
        <v>7155</v>
      </c>
      <c r="N2081" s="28">
        <v>1987.0</v>
      </c>
      <c r="O2081" s="28">
        <v>14.0</v>
      </c>
      <c r="P2081" s="28">
        <v>1.0</v>
      </c>
      <c r="Q2081" s="94">
        <v>1.0</v>
      </c>
      <c r="R2081" s="33"/>
      <c r="S2081" s="34"/>
      <c r="T2081" s="34"/>
      <c r="U2081" s="34"/>
      <c r="V2081" s="34"/>
      <c r="W2081" s="34"/>
      <c r="X2081" s="34"/>
      <c r="Y2081" s="3"/>
      <c r="Z2081" s="3"/>
      <c r="AA2081" s="3"/>
      <c r="AB2081" s="3"/>
      <c r="AC2081" s="3"/>
      <c r="AD2081" s="3"/>
      <c r="AE2081" s="3"/>
      <c r="AF2081" s="3"/>
      <c r="AG2081" s="3"/>
      <c r="AH2081" s="3"/>
      <c r="AI2081" s="3"/>
      <c r="AJ2081" s="3"/>
      <c r="AK2081" s="3"/>
      <c r="AL2081" s="3"/>
    </row>
    <row r="2082" ht="15.75" customHeight="1">
      <c r="A2082" s="27">
        <f t="shared" si="21"/>
        <v>961</v>
      </c>
      <c r="B2082" s="28"/>
      <c r="C2082" s="43" t="s">
        <v>7156</v>
      </c>
      <c r="D2082" s="30" t="s">
        <v>7157</v>
      </c>
      <c r="E2082" s="28" t="s">
        <v>144</v>
      </c>
      <c r="F2082" s="28" t="s">
        <v>29</v>
      </c>
      <c r="G2082" s="28" t="s">
        <v>30</v>
      </c>
      <c r="H2082" s="28"/>
      <c r="I2082" s="28" t="s">
        <v>30</v>
      </c>
      <c r="J2082" s="28">
        <f>72</f>
        <v>72</v>
      </c>
      <c r="K2082" s="28"/>
      <c r="L2082" s="28" t="s">
        <v>7158</v>
      </c>
      <c r="M2082" s="28" t="s">
        <v>3109</v>
      </c>
      <c r="N2082" s="28">
        <v>1974.0</v>
      </c>
      <c r="O2082" s="28">
        <v>14.0</v>
      </c>
      <c r="P2082" s="28">
        <v>1.0</v>
      </c>
      <c r="Q2082" s="94">
        <v>1.0</v>
      </c>
      <c r="R2082" s="33"/>
      <c r="S2082" s="34"/>
      <c r="T2082" s="34"/>
      <c r="U2082" s="34"/>
      <c r="V2082" s="34"/>
      <c r="W2082" s="34"/>
      <c r="X2082" s="34"/>
      <c r="Y2082" s="3"/>
      <c r="Z2082" s="3"/>
      <c r="AA2082" s="3"/>
      <c r="AB2082" s="3"/>
      <c r="AC2082" s="3"/>
      <c r="AD2082" s="3"/>
      <c r="AE2082" s="3"/>
      <c r="AF2082" s="3"/>
      <c r="AG2082" s="3"/>
      <c r="AH2082" s="3"/>
      <c r="AI2082" s="3"/>
      <c r="AJ2082" s="3"/>
      <c r="AK2082" s="3"/>
      <c r="AL2082" s="3"/>
    </row>
    <row r="2083" ht="15.75" customHeight="1">
      <c r="A2083" s="27">
        <f t="shared" si="21"/>
        <v>962</v>
      </c>
      <c r="B2083" s="28" t="s">
        <v>7159</v>
      </c>
      <c r="C2083" s="43" t="s">
        <v>7160</v>
      </c>
      <c r="D2083" s="30" t="s">
        <v>7161</v>
      </c>
      <c r="E2083" s="28" t="s">
        <v>7162</v>
      </c>
      <c r="F2083" s="28" t="s">
        <v>29</v>
      </c>
      <c r="G2083" s="28" t="s">
        <v>30</v>
      </c>
      <c r="H2083" s="28"/>
      <c r="I2083" s="28" t="s">
        <v>30</v>
      </c>
      <c r="J2083" s="28">
        <v>370.0</v>
      </c>
      <c r="K2083" s="28"/>
      <c r="L2083" s="28" t="s">
        <v>7163</v>
      </c>
      <c r="M2083" s="28" t="s">
        <v>7164</v>
      </c>
      <c r="N2083" s="28">
        <v>2006.0</v>
      </c>
      <c r="O2083" s="28">
        <v>14.0</v>
      </c>
      <c r="P2083" s="28">
        <v>1.0</v>
      </c>
      <c r="Q2083" s="32">
        <v>1.0</v>
      </c>
      <c r="R2083" s="33"/>
      <c r="S2083" s="34"/>
      <c r="T2083" s="34"/>
      <c r="U2083" s="34"/>
      <c r="V2083" s="34"/>
      <c r="W2083" s="34"/>
      <c r="X2083" s="34"/>
      <c r="Y2083" s="3"/>
      <c r="Z2083" s="3"/>
      <c r="AA2083" s="3"/>
      <c r="AB2083" s="3"/>
      <c r="AC2083" s="3"/>
      <c r="AD2083" s="3"/>
      <c r="AE2083" s="3"/>
      <c r="AF2083" s="3"/>
      <c r="AG2083" s="3"/>
      <c r="AH2083" s="3"/>
      <c r="AI2083" s="3"/>
      <c r="AJ2083" s="3"/>
      <c r="AK2083" s="3"/>
      <c r="AL2083" s="3"/>
    </row>
    <row r="2084" ht="15.75" customHeight="1">
      <c r="A2084" s="27">
        <f t="shared" si="21"/>
        <v>963</v>
      </c>
      <c r="B2084" s="28" t="s">
        <v>31</v>
      </c>
      <c r="C2084" s="43" t="s">
        <v>7165</v>
      </c>
      <c r="D2084" s="30" t="s">
        <v>7166</v>
      </c>
      <c r="E2084" s="28" t="s">
        <v>144</v>
      </c>
      <c r="F2084" s="28" t="s">
        <v>29</v>
      </c>
      <c r="G2084" s="28" t="s">
        <v>30</v>
      </c>
      <c r="H2084" s="28"/>
      <c r="I2084" s="28" t="s">
        <v>30</v>
      </c>
      <c r="J2084" s="28">
        <f>414</f>
        <v>414</v>
      </c>
      <c r="K2084" s="28"/>
      <c r="L2084" s="28" t="s">
        <v>7167</v>
      </c>
      <c r="M2084" s="28" t="s">
        <v>7168</v>
      </c>
      <c r="N2084" s="28">
        <v>1976.0</v>
      </c>
      <c r="O2084" s="28">
        <v>14.0</v>
      </c>
      <c r="P2084" s="28">
        <v>1.0</v>
      </c>
      <c r="Q2084" s="32">
        <v>1.0</v>
      </c>
      <c r="R2084" s="33"/>
      <c r="S2084" s="34"/>
      <c r="T2084" s="34"/>
      <c r="U2084" s="34"/>
      <c r="V2084" s="34"/>
      <c r="W2084" s="34"/>
      <c r="X2084" s="34"/>
      <c r="Y2084" s="3"/>
      <c r="Z2084" s="3"/>
      <c r="AA2084" s="3"/>
      <c r="AB2084" s="3"/>
      <c r="AC2084" s="3"/>
      <c r="AD2084" s="3"/>
      <c r="AE2084" s="3"/>
      <c r="AF2084" s="3"/>
      <c r="AG2084" s="3"/>
      <c r="AH2084" s="3"/>
      <c r="AI2084" s="3"/>
      <c r="AJ2084" s="3"/>
      <c r="AK2084" s="3"/>
      <c r="AL2084" s="3"/>
    </row>
    <row r="2085" ht="15.75" customHeight="1">
      <c r="A2085" s="27">
        <f t="shared" si="21"/>
        <v>964</v>
      </c>
      <c r="B2085" s="28" t="s">
        <v>7169</v>
      </c>
      <c r="C2085" s="43" t="s">
        <v>7170</v>
      </c>
      <c r="D2085" s="30" t="s">
        <v>7171</v>
      </c>
      <c r="E2085" s="28"/>
      <c r="F2085" s="28" t="s">
        <v>29</v>
      </c>
      <c r="G2085" s="28" t="s">
        <v>38</v>
      </c>
      <c r="H2085" s="28"/>
      <c r="I2085" s="28" t="s">
        <v>38</v>
      </c>
      <c r="J2085" s="28">
        <v>222.0</v>
      </c>
      <c r="K2085" s="28"/>
      <c r="L2085" s="28" t="s">
        <v>7172</v>
      </c>
      <c r="M2085" s="28" t="s">
        <v>1191</v>
      </c>
      <c r="N2085" s="28">
        <v>1994.0</v>
      </c>
      <c r="O2085" s="28">
        <v>14.0</v>
      </c>
      <c r="P2085" s="28">
        <v>1.0</v>
      </c>
      <c r="Q2085" s="94">
        <v>1.0</v>
      </c>
      <c r="R2085" s="33"/>
      <c r="S2085" s="34"/>
      <c r="T2085" s="34"/>
      <c r="U2085" s="34"/>
      <c r="V2085" s="34"/>
      <c r="W2085" s="34"/>
      <c r="X2085" s="34"/>
      <c r="Y2085" s="3"/>
      <c r="Z2085" s="3"/>
      <c r="AA2085" s="3"/>
      <c r="AB2085" s="3"/>
      <c r="AC2085" s="3"/>
      <c r="AD2085" s="3"/>
      <c r="AE2085" s="3"/>
      <c r="AF2085" s="3"/>
      <c r="AG2085" s="3"/>
      <c r="AH2085" s="3"/>
      <c r="AI2085" s="3"/>
      <c r="AJ2085" s="3"/>
      <c r="AK2085" s="3"/>
      <c r="AL2085" s="3"/>
    </row>
    <row r="2086" ht="15.75" customHeight="1">
      <c r="A2086" s="27">
        <f t="shared" si="21"/>
        <v>965</v>
      </c>
      <c r="B2086" s="28"/>
      <c r="C2086" s="43" t="s">
        <v>7173</v>
      </c>
      <c r="D2086" s="30" t="s">
        <v>7174</v>
      </c>
      <c r="E2086" s="28" t="s">
        <v>144</v>
      </c>
      <c r="F2086" s="28" t="s">
        <v>29</v>
      </c>
      <c r="G2086" s="28" t="s">
        <v>7175</v>
      </c>
      <c r="H2086" s="28"/>
      <c r="I2086" s="28" t="s">
        <v>159</v>
      </c>
      <c r="J2086" s="28">
        <v>260.0</v>
      </c>
      <c r="K2086" s="28"/>
      <c r="L2086" s="28" t="s">
        <v>7176</v>
      </c>
      <c r="M2086" s="28" t="s">
        <v>7177</v>
      </c>
      <c r="N2086" s="28">
        <v>2005.0</v>
      </c>
      <c r="O2086" s="28">
        <v>14.0</v>
      </c>
      <c r="P2086" s="28">
        <v>2.0</v>
      </c>
      <c r="Q2086" s="94">
        <v>2.0</v>
      </c>
      <c r="R2086" s="33"/>
      <c r="S2086" s="116"/>
      <c r="T2086" s="116"/>
      <c r="U2086" s="116"/>
      <c r="V2086" s="116"/>
      <c r="W2086" s="116"/>
      <c r="X2086" s="116"/>
      <c r="Y2086" s="3"/>
      <c r="Z2086" s="3"/>
      <c r="AA2086" s="3"/>
      <c r="AB2086" s="3"/>
      <c r="AC2086" s="3"/>
      <c r="AD2086" s="3"/>
      <c r="AE2086" s="3"/>
      <c r="AF2086" s="3"/>
      <c r="AG2086" s="3"/>
      <c r="AH2086" s="3"/>
      <c r="AI2086" s="3"/>
      <c r="AJ2086" s="3"/>
      <c r="AK2086" s="3"/>
      <c r="AL2086" s="3"/>
    </row>
    <row r="2087" ht="15.75" customHeight="1">
      <c r="A2087" s="27">
        <f t="shared" si="21"/>
        <v>966</v>
      </c>
      <c r="B2087" s="28" t="s">
        <v>31</v>
      </c>
      <c r="C2087" s="43" t="s">
        <v>7178</v>
      </c>
      <c r="D2087" s="30" t="s">
        <v>7179</v>
      </c>
      <c r="E2087" s="28" t="s">
        <v>31</v>
      </c>
      <c r="F2087" s="28" t="s">
        <v>29</v>
      </c>
      <c r="G2087" s="28" t="s">
        <v>30</v>
      </c>
      <c r="H2087" s="28"/>
      <c r="I2087" s="28" t="s">
        <v>30</v>
      </c>
      <c r="J2087" s="31" t="s">
        <v>7180</v>
      </c>
      <c r="K2087" s="28"/>
      <c r="L2087" s="28" t="s">
        <v>6598</v>
      </c>
      <c r="M2087" s="28" t="s">
        <v>6599</v>
      </c>
      <c r="N2087" s="28">
        <v>1995.0</v>
      </c>
      <c r="O2087" s="60">
        <v>14.0</v>
      </c>
      <c r="P2087" s="28">
        <v>1.0</v>
      </c>
      <c r="Q2087" s="32">
        <v>1.0</v>
      </c>
      <c r="R2087" s="33"/>
      <c r="S2087" s="34"/>
      <c r="T2087" s="34"/>
      <c r="U2087" s="34"/>
      <c r="V2087" s="34"/>
      <c r="W2087" s="34"/>
      <c r="X2087" s="34"/>
      <c r="Y2087" s="45"/>
      <c r="Z2087" s="45"/>
      <c r="AA2087" s="45"/>
      <c r="AB2087" s="45"/>
      <c r="AC2087" s="45"/>
      <c r="AD2087" s="45"/>
      <c r="AE2087" s="45"/>
      <c r="AF2087" s="45"/>
      <c r="AG2087" s="45"/>
      <c r="AH2087" s="45"/>
      <c r="AI2087" s="45"/>
      <c r="AJ2087" s="45"/>
      <c r="AK2087" s="45"/>
      <c r="AL2087" s="45"/>
    </row>
    <row r="2088" ht="15.75" customHeight="1">
      <c r="A2088" s="27">
        <f t="shared" si="21"/>
        <v>967</v>
      </c>
      <c r="B2088" s="28" t="s">
        <v>31</v>
      </c>
      <c r="C2088" s="43" t="s">
        <v>7181</v>
      </c>
      <c r="D2088" s="30" t="s">
        <v>7182</v>
      </c>
      <c r="E2088" s="28" t="s">
        <v>31</v>
      </c>
      <c r="F2088" s="28" t="s">
        <v>29</v>
      </c>
      <c r="G2088" s="28" t="s">
        <v>30</v>
      </c>
      <c r="H2088" s="28"/>
      <c r="I2088" s="28" t="s">
        <v>30</v>
      </c>
      <c r="J2088" s="28">
        <v>109.0</v>
      </c>
      <c r="K2088" s="28"/>
      <c r="L2088" s="28" t="s">
        <v>7183</v>
      </c>
      <c r="M2088" s="28" t="s">
        <v>151</v>
      </c>
      <c r="N2088" s="28" t="s">
        <v>31</v>
      </c>
      <c r="O2088" s="60">
        <v>14.0</v>
      </c>
      <c r="P2088" s="28">
        <v>2.0</v>
      </c>
      <c r="Q2088" s="32">
        <v>2.0</v>
      </c>
      <c r="R2088" s="33"/>
      <c r="S2088" s="34"/>
      <c r="T2088" s="34"/>
      <c r="U2088" s="34"/>
      <c r="V2088" s="34"/>
      <c r="W2088" s="34"/>
      <c r="X2088" s="34"/>
      <c r="Y2088" s="45"/>
      <c r="Z2088" s="45"/>
      <c r="AA2088" s="45"/>
      <c r="AB2088" s="45"/>
      <c r="AC2088" s="45"/>
      <c r="AD2088" s="45"/>
      <c r="AE2088" s="45"/>
      <c r="AF2088" s="45"/>
      <c r="AG2088" s="45"/>
      <c r="AH2088" s="45"/>
      <c r="AI2088" s="45"/>
      <c r="AJ2088" s="45"/>
      <c r="AK2088" s="45"/>
      <c r="AL2088" s="45"/>
    </row>
    <row r="2089" ht="15.75" customHeight="1">
      <c r="A2089" s="27">
        <f t="shared" si="21"/>
        <v>968</v>
      </c>
      <c r="B2089" s="28" t="s">
        <v>7184</v>
      </c>
      <c r="C2089" s="43" t="s">
        <v>7185</v>
      </c>
      <c r="D2089" s="30" t="s">
        <v>7186</v>
      </c>
      <c r="E2089" s="28" t="s">
        <v>31</v>
      </c>
      <c r="F2089" s="28" t="s">
        <v>29</v>
      </c>
      <c r="G2089" s="28" t="s">
        <v>30</v>
      </c>
      <c r="H2089" s="28"/>
      <c r="I2089" s="28" t="s">
        <v>30</v>
      </c>
      <c r="J2089" s="28">
        <v>159.0</v>
      </c>
      <c r="K2089" s="28"/>
      <c r="L2089" s="28" t="s">
        <v>7187</v>
      </c>
      <c r="M2089" s="28" t="s">
        <v>151</v>
      </c>
      <c r="N2089" s="28">
        <v>1990.0</v>
      </c>
      <c r="O2089" s="60">
        <v>14.0</v>
      </c>
      <c r="P2089" s="28">
        <v>1.0</v>
      </c>
      <c r="Q2089" s="32">
        <v>1.0</v>
      </c>
      <c r="R2089" s="33"/>
      <c r="S2089" s="116"/>
      <c r="T2089" s="116"/>
      <c r="U2089" s="116"/>
      <c r="V2089" s="116"/>
      <c r="W2089" s="116"/>
      <c r="X2089" s="116"/>
      <c r="Y2089" s="45"/>
      <c r="Z2089" s="45"/>
      <c r="AA2089" s="45"/>
      <c r="AB2089" s="45"/>
      <c r="AC2089" s="45"/>
      <c r="AD2089" s="45"/>
      <c r="AE2089" s="45"/>
      <c r="AF2089" s="45"/>
      <c r="AG2089" s="45"/>
      <c r="AH2089" s="45"/>
      <c r="AI2089" s="45"/>
      <c r="AJ2089" s="45"/>
      <c r="AK2089" s="45"/>
      <c r="AL2089" s="45"/>
    </row>
    <row r="2090" ht="15.75" customHeight="1">
      <c r="A2090" s="27">
        <f t="shared" si="21"/>
        <v>969</v>
      </c>
      <c r="B2090" s="28" t="s">
        <v>7188</v>
      </c>
      <c r="C2090" s="43" t="s">
        <v>7189</v>
      </c>
      <c r="D2090" s="30" t="s">
        <v>7190</v>
      </c>
      <c r="E2090" s="28" t="s">
        <v>31</v>
      </c>
      <c r="F2090" s="28" t="s">
        <v>29</v>
      </c>
      <c r="G2090" s="28" t="s">
        <v>7191</v>
      </c>
      <c r="H2090" s="28"/>
      <c r="I2090" s="28" t="s">
        <v>38</v>
      </c>
      <c r="J2090" s="28">
        <v>199.0</v>
      </c>
      <c r="K2090" s="28"/>
      <c r="L2090" s="28" t="s">
        <v>7192</v>
      </c>
      <c r="M2090" s="28" t="s">
        <v>7193</v>
      </c>
      <c r="N2090" s="28">
        <v>1983.0</v>
      </c>
      <c r="O2090" s="60">
        <v>14.0</v>
      </c>
      <c r="P2090" s="28">
        <v>1.0</v>
      </c>
      <c r="Q2090" s="94">
        <v>1.0</v>
      </c>
      <c r="R2090" s="33"/>
      <c r="S2090" s="40"/>
      <c r="T2090" s="40"/>
      <c r="U2090" s="40"/>
      <c r="V2090" s="40"/>
      <c r="W2090" s="40"/>
      <c r="X2090" s="40"/>
      <c r="Y2090" s="3"/>
      <c r="Z2090" s="3"/>
      <c r="AA2090" s="3"/>
      <c r="AB2090" s="3"/>
      <c r="AC2090" s="3"/>
      <c r="AD2090" s="3"/>
      <c r="AE2090" s="3"/>
      <c r="AF2090" s="3"/>
      <c r="AG2090" s="3"/>
      <c r="AH2090" s="3"/>
      <c r="AI2090" s="3"/>
      <c r="AJ2090" s="3"/>
      <c r="AK2090" s="3"/>
      <c r="AL2090" s="3"/>
    </row>
    <row r="2091" ht="15.75" customHeight="1">
      <c r="A2091" s="27">
        <f t="shared" si="21"/>
        <v>970</v>
      </c>
      <c r="B2091" s="28" t="s">
        <v>7194</v>
      </c>
      <c r="C2091" s="129" t="s">
        <v>7195</v>
      </c>
      <c r="D2091" s="30" t="s">
        <v>7196</v>
      </c>
      <c r="E2091" s="28" t="s">
        <v>144</v>
      </c>
      <c r="F2091" s="28" t="s">
        <v>29</v>
      </c>
      <c r="G2091" s="28" t="s">
        <v>38</v>
      </c>
      <c r="H2091" s="28"/>
      <c r="I2091" s="28" t="s">
        <v>38</v>
      </c>
      <c r="J2091" s="28">
        <v>223.0</v>
      </c>
      <c r="K2091" s="28"/>
      <c r="L2091" s="28" t="s">
        <v>7197</v>
      </c>
      <c r="M2091" s="28" t="s">
        <v>7198</v>
      </c>
      <c r="N2091" s="28">
        <v>2017.0</v>
      </c>
      <c r="O2091" s="60">
        <v>14.0</v>
      </c>
      <c r="P2091" s="28">
        <v>1.0</v>
      </c>
      <c r="Q2091" s="32">
        <v>1.0</v>
      </c>
      <c r="R2091" s="33"/>
      <c r="S2091" s="34"/>
      <c r="T2091" s="34"/>
      <c r="U2091" s="34"/>
      <c r="V2091" s="34"/>
      <c r="W2091" s="34"/>
      <c r="X2091" s="34"/>
      <c r="Y2091" s="45"/>
      <c r="Z2091" s="45"/>
      <c r="AA2091" s="45"/>
      <c r="AB2091" s="45"/>
      <c r="AC2091" s="45"/>
      <c r="AD2091" s="45"/>
      <c r="AE2091" s="45"/>
      <c r="AF2091" s="45"/>
      <c r="AG2091" s="45"/>
      <c r="AH2091" s="45"/>
      <c r="AI2091" s="45"/>
      <c r="AJ2091" s="45"/>
      <c r="AK2091" s="45"/>
      <c r="AL2091" s="45"/>
    </row>
    <row r="2092" ht="15.75" customHeight="1">
      <c r="A2092" s="27">
        <f t="shared" si="21"/>
        <v>971</v>
      </c>
      <c r="B2092" s="28" t="s">
        <v>7199</v>
      </c>
      <c r="C2092" s="43" t="s">
        <v>7200</v>
      </c>
      <c r="D2092" s="30" t="s">
        <v>7201</v>
      </c>
      <c r="E2092" s="28" t="s">
        <v>7202</v>
      </c>
      <c r="F2092" s="28" t="s">
        <v>29</v>
      </c>
      <c r="G2092" s="28" t="s">
        <v>30</v>
      </c>
      <c r="H2092" s="28"/>
      <c r="I2092" s="28" t="s">
        <v>30</v>
      </c>
      <c r="J2092" s="28">
        <v>60.0</v>
      </c>
      <c r="K2092" s="28"/>
      <c r="L2092" s="28" t="s">
        <v>2735</v>
      </c>
      <c r="M2092" s="28" t="s">
        <v>169</v>
      </c>
      <c r="N2092" s="28">
        <v>2010.0</v>
      </c>
      <c r="O2092" s="60">
        <v>14.0</v>
      </c>
      <c r="P2092" s="28">
        <v>1.0</v>
      </c>
      <c r="Q2092" s="32">
        <v>1.0</v>
      </c>
      <c r="R2092" s="33"/>
      <c r="S2092" s="34"/>
      <c r="T2092" s="34"/>
      <c r="U2092" s="34"/>
      <c r="V2092" s="34"/>
      <c r="W2092" s="34"/>
      <c r="X2092" s="34"/>
      <c r="Y2092" s="45"/>
      <c r="Z2092" s="45"/>
      <c r="AA2092" s="45"/>
      <c r="AB2092" s="45"/>
      <c r="AC2092" s="45"/>
      <c r="AD2092" s="45"/>
      <c r="AE2092" s="45"/>
      <c r="AF2092" s="45"/>
      <c r="AG2092" s="45"/>
      <c r="AH2092" s="45"/>
      <c r="AI2092" s="45"/>
      <c r="AJ2092" s="45"/>
      <c r="AK2092" s="45"/>
      <c r="AL2092" s="45"/>
    </row>
    <row r="2093" ht="15.75" customHeight="1">
      <c r="A2093" s="27">
        <f t="shared" si="21"/>
        <v>972</v>
      </c>
      <c r="B2093" s="28" t="s">
        <v>31</v>
      </c>
      <c r="C2093" s="43" t="s">
        <v>7203</v>
      </c>
      <c r="D2093" s="30" t="s">
        <v>7204</v>
      </c>
      <c r="E2093" s="28" t="s">
        <v>31</v>
      </c>
      <c r="F2093" s="28" t="s">
        <v>29</v>
      </c>
      <c r="G2093" s="28" t="s">
        <v>37</v>
      </c>
      <c r="H2093" s="28"/>
      <c r="I2093" s="28" t="s">
        <v>30</v>
      </c>
      <c r="J2093" s="28">
        <v>397.0</v>
      </c>
      <c r="K2093" s="28"/>
      <c r="L2093" s="28" t="s">
        <v>7205</v>
      </c>
      <c r="M2093" s="28" t="s">
        <v>7206</v>
      </c>
      <c r="N2093" s="28">
        <v>1964.0</v>
      </c>
      <c r="O2093" s="60">
        <v>14.0</v>
      </c>
      <c r="P2093" s="28">
        <v>1.0</v>
      </c>
      <c r="Q2093" s="32">
        <v>1.0</v>
      </c>
      <c r="R2093" s="33"/>
      <c r="S2093" s="34"/>
      <c r="T2093" s="34"/>
      <c r="U2093" s="34"/>
      <c r="V2093" s="34"/>
      <c r="W2093" s="34"/>
      <c r="X2093" s="34"/>
      <c r="Y2093" s="45"/>
      <c r="Z2093" s="45"/>
      <c r="AA2093" s="45"/>
      <c r="AB2093" s="45"/>
      <c r="AC2093" s="45"/>
      <c r="AD2093" s="45"/>
      <c r="AE2093" s="45"/>
      <c r="AF2093" s="45"/>
      <c r="AG2093" s="45"/>
      <c r="AH2093" s="45"/>
      <c r="AI2093" s="45"/>
      <c r="AJ2093" s="45"/>
      <c r="AK2093" s="45"/>
      <c r="AL2093" s="45"/>
    </row>
    <row r="2094" ht="15.75" customHeight="1">
      <c r="A2094" s="27">
        <f t="shared" si="21"/>
        <v>973</v>
      </c>
      <c r="B2094" s="28"/>
      <c r="C2094" s="29" t="s">
        <v>7207</v>
      </c>
      <c r="D2094" s="30" t="s">
        <v>7208</v>
      </c>
      <c r="E2094" s="28" t="s">
        <v>144</v>
      </c>
      <c r="F2094" s="28" t="s">
        <v>29</v>
      </c>
      <c r="G2094" s="28" t="s">
        <v>30</v>
      </c>
      <c r="H2094" s="28"/>
      <c r="I2094" s="28" t="s">
        <v>30</v>
      </c>
      <c r="J2094" s="28">
        <f>176</f>
        <v>176</v>
      </c>
      <c r="K2094" s="28"/>
      <c r="L2094" s="28" t="s">
        <v>7209</v>
      </c>
      <c r="M2094" s="28" t="s">
        <v>4762</v>
      </c>
      <c r="N2094" s="28">
        <v>1993.0</v>
      </c>
      <c r="O2094" s="28">
        <v>14.0</v>
      </c>
      <c r="P2094" s="28">
        <v>1.0</v>
      </c>
      <c r="Q2094" s="32">
        <v>1.0</v>
      </c>
      <c r="R2094" s="33"/>
      <c r="S2094" s="116"/>
      <c r="T2094" s="116"/>
      <c r="U2094" s="116"/>
      <c r="V2094" s="116"/>
      <c r="W2094" s="116"/>
      <c r="X2094" s="116"/>
      <c r="Y2094" s="3"/>
      <c r="Z2094" s="3"/>
      <c r="AA2094" s="3"/>
      <c r="AB2094" s="3"/>
      <c r="AC2094" s="3"/>
      <c r="AD2094" s="3"/>
      <c r="AE2094" s="3"/>
      <c r="AF2094" s="3"/>
      <c r="AG2094" s="3"/>
      <c r="AH2094" s="3"/>
      <c r="AI2094" s="3"/>
      <c r="AJ2094" s="3"/>
      <c r="AK2094" s="3"/>
      <c r="AL2094" s="3"/>
    </row>
    <row r="2095" ht="15.75" customHeight="1">
      <c r="A2095" s="27">
        <f t="shared" si="21"/>
        <v>974</v>
      </c>
      <c r="B2095" s="83"/>
      <c r="C2095" s="121" t="s">
        <v>7210</v>
      </c>
      <c r="D2095" s="119" t="s">
        <v>7211</v>
      </c>
      <c r="E2095" s="83"/>
      <c r="F2095" s="121" t="s">
        <v>29</v>
      </c>
      <c r="G2095" s="121" t="s">
        <v>30</v>
      </c>
      <c r="H2095" s="83"/>
      <c r="I2095" s="121" t="s">
        <v>30</v>
      </c>
      <c r="J2095" s="121">
        <v>206.0</v>
      </c>
      <c r="K2095" s="83"/>
      <c r="L2095" s="121" t="s">
        <v>7212</v>
      </c>
      <c r="M2095" s="121" t="s">
        <v>7213</v>
      </c>
      <c r="N2095" s="121">
        <v>2001.0</v>
      </c>
      <c r="O2095" s="121">
        <v>14.0</v>
      </c>
      <c r="P2095" s="121">
        <v>1.0</v>
      </c>
      <c r="Q2095" s="121">
        <v>1.0</v>
      </c>
      <c r="R2095" s="84"/>
      <c r="S2095" s="34"/>
      <c r="T2095" s="34"/>
      <c r="U2095" s="34"/>
      <c r="V2095" s="34"/>
      <c r="W2095" s="34"/>
      <c r="X2095" s="34"/>
      <c r="Y2095" s="45"/>
      <c r="Z2095" s="45"/>
      <c r="AA2095" s="45"/>
      <c r="AB2095" s="45"/>
      <c r="AC2095" s="45"/>
      <c r="AD2095" s="45"/>
      <c r="AE2095" s="45"/>
      <c r="AF2095" s="45"/>
      <c r="AG2095" s="45"/>
      <c r="AH2095" s="45"/>
      <c r="AI2095" s="45"/>
      <c r="AJ2095" s="45"/>
      <c r="AK2095" s="45"/>
      <c r="AL2095" s="45"/>
    </row>
    <row r="2096" ht="15.75" customHeight="1">
      <c r="A2096" s="27">
        <f t="shared" si="21"/>
        <v>975</v>
      </c>
      <c r="B2096" s="28" t="s">
        <v>7214</v>
      </c>
      <c r="C2096" s="43" t="s">
        <v>7215</v>
      </c>
      <c r="D2096" s="30" t="s">
        <v>7216</v>
      </c>
      <c r="E2096" s="28"/>
      <c r="F2096" s="28" t="s">
        <v>29</v>
      </c>
      <c r="G2096" s="28" t="s">
        <v>37</v>
      </c>
      <c r="H2096" s="28"/>
      <c r="I2096" s="28" t="s">
        <v>38</v>
      </c>
      <c r="J2096" s="28">
        <v>226.0</v>
      </c>
      <c r="K2096" s="28"/>
      <c r="L2096" s="28" t="s">
        <v>7217</v>
      </c>
      <c r="M2096" s="28" t="s">
        <v>7218</v>
      </c>
      <c r="N2096" s="28">
        <v>2006.0</v>
      </c>
      <c r="O2096" s="60">
        <v>14.0</v>
      </c>
      <c r="P2096" s="28">
        <v>1.0</v>
      </c>
      <c r="Q2096" s="32">
        <v>1.0</v>
      </c>
      <c r="R2096" s="33"/>
      <c r="S2096" s="34"/>
      <c r="T2096" s="34"/>
      <c r="U2096" s="34"/>
      <c r="V2096" s="34"/>
      <c r="W2096" s="34"/>
      <c r="X2096" s="34"/>
      <c r="Y2096" s="45"/>
      <c r="Z2096" s="45"/>
      <c r="AA2096" s="45"/>
      <c r="AB2096" s="45"/>
      <c r="AC2096" s="45"/>
      <c r="AD2096" s="45"/>
      <c r="AE2096" s="45"/>
      <c r="AF2096" s="45"/>
      <c r="AG2096" s="45"/>
      <c r="AH2096" s="45"/>
      <c r="AI2096" s="45"/>
      <c r="AJ2096" s="45"/>
      <c r="AK2096" s="45"/>
      <c r="AL2096" s="45"/>
    </row>
    <row r="2097" ht="15.75" customHeight="1">
      <c r="A2097" s="27">
        <f t="shared" si="21"/>
        <v>976</v>
      </c>
      <c r="B2097" s="28" t="s">
        <v>7219</v>
      </c>
      <c r="C2097" s="43" t="s">
        <v>7220</v>
      </c>
      <c r="D2097" s="30" t="s">
        <v>7221</v>
      </c>
      <c r="E2097" s="28" t="s">
        <v>144</v>
      </c>
      <c r="F2097" s="28" t="s">
        <v>29</v>
      </c>
      <c r="G2097" s="28" t="s">
        <v>30</v>
      </c>
      <c r="H2097" s="28"/>
      <c r="I2097" s="28" t="s">
        <v>30</v>
      </c>
      <c r="J2097" s="28">
        <v>204.0</v>
      </c>
      <c r="K2097" s="28"/>
      <c r="L2097" s="28" t="s">
        <v>7222</v>
      </c>
      <c r="M2097" s="28" t="s">
        <v>151</v>
      </c>
      <c r="N2097" s="28">
        <v>2015.0</v>
      </c>
      <c r="O2097" s="60">
        <v>14.0</v>
      </c>
      <c r="P2097" s="28">
        <v>1.0</v>
      </c>
      <c r="Q2097" s="32">
        <v>1.0</v>
      </c>
      <c r="R2097" s="33"/>
      <c r="S2097" s="34"/>
      <c r="T2097" s="34"/>
      <c r="U2097" s="34"/>
      <c r="V2097" s="34"/>
      <c r="W2097" s="34"/>
      <c r="X2097" s="34"/>
      <c r="Y2097" s="3"/>
      <c r="Z2097" s="3"/>
      <c r="AA2097" s="3"/>
      <c r="AB2097" s="3"/>
      <c r="AC2097" s="3"/>
      <c r="AD2097" s="3"/>
      <c r="AE2097" s="3"/>
      <c r="AF2097" s="3"/>
      <c r="AG2097" s="3"/>
      <c r="AH2097" s="3"/>
      <c r="AI2097" s="3"/>
      <c r="AJ2097" s="3"/>
      <c r="AK2097" s="3"/>
      <c r="AL2097" s="3"/>
    </row>
    <row r="2098" ht="15.75" customHeight="1">
      <c r="A2098" s="27">
        <f t="shared" si="21"/>
        <v>977</v>
      </c>
      <c r="B2098" s="28" t="s">
        <v>7223</v>
      </c>
      <c r="C2098" s="43" t="s">
        <v>7224</v>
      </c>
      <c r="D2098" s="30" t="s">
        <v>7225</v>
      </c>
      <c r="E2098" s="28"/>
      <c r="F2098" s="28" t="s">
        <v>29</v>
      </c>
      <c r="G2098" s="28" t="s">
        <v>37</v>
      </c>
      <c r="H2098" s="28" t="s">
        <v>31</v>
      </c>
      <c r="I2098" s="28" t="s">
        <v>38</v>
      </c>
      <c r="J2098" s="28">
        <v>224.0</v>
      </c>
      <c r="K2098" s="28"/>
      <c r="L2098" s="28" t="s">
        <v>7226</v>
      </c>
      <c r="M2098" s="28" t="s">
        <v>2388</v>
      </c>
      <c r="N2098" s="28">
        <v>1978.0</v>
      </c>
      <c r="O2098" s="60">
        <v>14.0</v>
      </c>
      <c r="P2098" s="28">
        <v>1.0</v>
      </c>
      <c r="Q2098" s="32">
        <v>1.0</v>
      </c>
      <c r="R2098" s="33"/>
      <c r="S2098" s="34"/>
      <c r="T2098" s="34"/>
      <c r="U2098" s="34"/>
      <c r="V2098" s="34"/>
      <c r="W2098" s="34"/>
      <c r="X2098" s="34"/>
      <c r="Y2098" s="3"/>
      <c r="Z2098" s="3"/>
      <c r="AA2098" s="3"/>
      <c r="AB2098" s="3"/>
      <c r="AC2098" s="3"/>
      <c r="AD2098" s="3"/>
      <c r="AE2098" s="3"/>
      <c r="AF2098" s="3"/>
      <c r="AG2098" s="3"/>
      <c r="AH2098" s="3"/>
      <c r="AI2098" s="3"/>
      <c r="AJ2098" s="3"/>
      <c r="AK2098" s="3"/>
      <c r="AL2098" s="3"/>
    </row>
    <row r="2099" ht="15.75" customHeight="1">
      <c r="A2099" s="27">
        <f t="shared" si="21"/>
        <v>978</v>
      </c>
      <c r="B2099" s="28" t="s">
        <v>31</v>
      </c>
      <c r="C2099" s="43" t="s">
        <v>7227</v>
      </c>
      <c r="D2099" s="30" t="s">
        <v>7228</v>
      </c>
      <c r="E2099" s="28" t="s">
        <v>144</v>
      </c>
      <c r="F2099" s="28" t="s">
        <v>29</v>
      </c>
      <c r="G2099" s="28" t="s">
        <v>30</v>
      </c>
      <c r="H2099" s="28"/>
      <c r="I2099" s="28" t="s">
        <v>30</v>
      </c>
      <c r="J2099" s="28">
        <f>374</f>
        <v>374</v>
      </c>
      <c r="K2099" s="28"/>
      <c r="L2099" s="28" t="s">
        <v>7229</v>
      </c>
      <c r="M2099" s="28" t="s">
        <v>7168</v>
      </c>
      <c r="N2099" s="28">
        <v>1977.0</v>
      </c>
      <c r="O2099" s="28">
        <v>14.0</v>
      </c>
      <c r="P2099" s="28">
        <v>2.0</v>
      </c>
      <c r="Q2099" s="32">
        <v>2.0</v>
      </c>
      <c r="R2099" s="33"/>
      <c r="S2099" s="34"/>
      <c r="T2099" s="34"/>
      <c r="U2099" s="34"/>
      <c r="V2099" s="34"/>
      <c r="W2099" s="34"/>
      <c r="X2099" s="34"/>
      <c r="Y2099" s="3"/>
      <c r="Z2099" s="3"/>
      <c r="AA2099" s="3"/>
      <c r="AB2099" s="3"/>
      <c r="AC2099" s="3"/>
      <c r="AD2099" s="3"/>
      <c r="AE2099" s="3"/>
      <c r="AF2099" s="3"/>
      <c r="AG2099" s="3"/>
      <c r="AH2099" s="3"/>
      <c r="AI2099" s="3"/>
      <c r="AJ2099" s="3"/>
      <c r="AK2099" s="3"/>
      <c r="AL2099" s="3"/>
    </row>
    <row r="2100" ht="15.75" customHeight="1">
      <c r="A2100" s="27">
        <f t="shared" si="21"/>
        <v>979</v>
      </c>
      <c r="B2100" s="28" t="s">
        <v>31</v>
      </c>
      <c r="C2100" s="43" t="s">
        <v>7230</v>
      </c>
      <c r="D2100" s="30" t="s">
        <v>7231</v>
      </c>
      <c r="E2100" s="28" t="s">
        <v>31</v>
      </c>
      <c r="F2100" s="28" t="s">
        <v>29</v>
      </c>
      <c r="G2100" s="28" t="s">
        <v>37</v>
      </c>
      <c r="H2100" s="28"/>
      <c r="I2100" s="28" t="s">
        <v>38</v>
      </c>
      <c r="J2100" s="28">
        <v>188.0</v>
      </c>
      <c r="K2100" s="28"/>
      <c r="L2100" s="28" t="s">
        <v>7232</v>
      </c>
      <c r="M2100" s="28" t="s">
        <v>6342</v>
      </c>
      <c r="N2100" s="28">
        <v>1957.0</v>
      </c>
      <c r="O2100" s="28">
        <v>14.0</v>
      </c>
      <c r="P2100" s="28">
        <v>1.0</v>
      </c>
      <c r="Q2100" s="32">
        <v>1.0</v>
      </c>
      <c r="R2100" s="33"/>
      <c r="S2100" s="34"/>
      <c r="T2100" s="34"/>
      <c r="U2100" s="34"/>
      <c r="V2100" s="34"/>
      <c r="W2100" s="34"/>
      <c r="X2100" s="34"/>
      <c r="Y2100" s="3"/>
      <c r="Z2100" s="3"/>
      <c r="AA2100" s="3"/>
      <c r="AB2100" s="3"/>
      <c r="AC2100" s="3"/>
      <c r="AD2100" s="3"/>
      <c r="AE2100" s="3"/>
      <c r="AF2100" s="3"/>
      <c r="AG2100" s="3"/>
      <c r="AH2100" s="3"/>
      <c r="AI2100" s="3"/>
      <c r="AJ2100" s="3"/>
      <c r="AK2100" s="3"/>
      <c r="AL2100" s="3"/>
    </row>
    <row r="2101" ht="15.75" customHeight="1">
      <c r="A2101" s="27">
        <f t="shared" si="21"/>
        <v>980</v>
      </c>
      <c r="B2101" s="28" t="s">
        <v>7233</v>
      </c>
      <c r="C2101" s="43" t="s">
        <v>7234</v>
      </c>
      <c r="D2101" s="30" t="s">
        <v>7235</v>
      </c>
      <c r="E2101" s="28" t="s">
        <v>144</v>
      </c>
      <c r="F2101" s="28" t="s">
        <v>29</v>
      </c>
      <c r="G2101" s="28" t="s">
        <v>30</v>
      </c>
      <c r="H2101" s="28"/>
      <c r="I2101" s="28" t="s">
        <v>30</v>
      </c>
      <c r="J2101" s="28">
        <v>494.0</v>
      </c>
      <c r="K2101" s="28"/>
      <c r="L2101" s="28" t="s">
        <v>7236</v>
      </c>
      <c r="M2101" s="28" t="s">
        <v>7237</v>
      </c>
      <c r="N2101" s="28">
        <v>2010.0</v>
      </c>
      <c r="O2101" s="28">
        <v>14.0</v>
      </c>
      <c r="P2101" s="28">
        <v>2.0</v>
      </c>
      <c r="Q2101" s="32">
        <v>2.0</v>
      </c>
      <c r="R2101" s="33"/>
      <c r="S2101" s="185"/>
      <c r="T2101" s="185"/>
      <c r="U2101" s="185"/>
      <c r="V2101" s="185"/>
      <c r="W2101" s="185"/>
      <c r="X2101" s="185"/>
      <c r="Y2101" s="45"/>
      <c r="Z2101" s="45"/>
      <c r="AA2101" s="45"/>
      <c r="AB2101" s="45"/>
      <c r="AC2101" s="45"/>
      <c r="AD2101" s="45"/>
      <c r="AE2101" s="45"/>
      <c r="AF2101" s="45"/>
      <c r="AG2101" s="45"/>
      <c r="AH2101" s="45"/>
      <c r="AI2101" s="45"/>
      <c r="AJ2101" s="45"/>
      <c r="AK2101" s="45"/>
      <c r="AL2101" s="45"/>
    </row>
    <row r="2102" ht="15.75" customHeight="1">
      <c r="A2102" s="27">
        <f t="shared" si="21"/>
        <v>981</v>
      </c>
      <c r="B2102" s="28" t="s">
        <v>7238</v>
      </c>
      <c r="C2102" s="43" t="s">
        <v>7239</v>
      </c>
      <c r="D2102" s="30" t="s">
        <v>7240</v>
      </c>
      <c r="E2102" s="28"/>
      <c r="F2102" s="28" t="s">
        <v>29</v>
      </c>
      <c r="G2102" s="28" t="s">
        <v>30</v>
      </c>
      <c r="H2102" s="28"/>
      <c r="I2102" s="28" t="s">
        <v>30</v>
      </c>
      <c r="J2102" s="28">
        <v>273.0</v>
      </c>
      <c r="K2102" s="28"/>
      <c r="L2102" s="28" t="s">
        <v>7241</v>
      </c>
      <c r="M2102" s="28" t="s">
        <v>151</v>
      </c>
      <c r="N2102" s="28">
        <v>2012.0</v>
      </c>
      <c r="O2102" s="28">
        <v>14.0</v>
      </c>
      <c r="P2102" s="28">
        <v>1.0</v>
      </c>
      <c r="Q2102" s="32">
        <v>1.0</v>
      </c>
      <c r="R2102" s="33"/>
      <c r="S2102" s="34"/>
      <c r="T2102" s="34"/>
      <c r="U2102" s="34"/>
      <c r="V2102" s="34"/>
      <c r="W2102" s="34"/>
      <c r="X2102" s="34"/>
      <c r="Y2102" s="3"/>
      <c r="Z2102" s="3"/>
      <c r="AA2102" s="3"/>
      <c r="AB2102" s="3"/>
      <c r="AC2102" s="3"/>
      <c r="AD2102" s="3"/>
      <c r="AE2102" s="3"/>
      <c r="AF2102" s="3"/>
      <c r="AG2102" s="3"/>
      <c r="AH2102" s="3"/>
      <c r="AI2102" s="3"/>
      <c r="AJ2102" s="3"/>
      <c r="AK2102" s="3"/>
      <c r="AL2102" s="3"/>
    </row>
    <row r="2103" ht="15.75" customHeight="1">
      <c r="A2103" s="27">
        <f t="shared" si="21"/>
        <v>982</v>
      </c>
      <c r="B2103" s="28"/>
      <c r="C2103" s="43" t="s">
        <v>7242</v>
      </c>
      <c r="D2103" s="30" t="s">
        <v>7243</v>
      </c>
      <c r="E2103" s="28" t="s">
        <v>144</v>
      </c>
      <c r="F2103" s="28" t="s">
        <v>29</v>
      </c>
      <c r="G2103" s="28" t="s">
        <v>30</v>
      </c>
      <c r="H2103" s="28"/>
      <c r="I2103" s="28" t="s">
        <v>30</v>
      </c>
      <c r="J2103" s="28">
        <f>358</f>
        <v>358</v>
      </c>
      <c r="K2103" s="28"/>
      <c r="L2103" s="28" t="s">
        <v>7244</v>
      </c>
      <c r="M2103" s="28" t="s">
        <v>7168</v>
      </c>
      <c r="N2103" s="28">
        <v>1975.0</v>
      </c>
      <c r="O2103" s="28">
        <v>14.0</v>
      </c>
      <c r="P2103" s="28">
        <v>2.0</v>
      </c>
      <c r="Q2103" s="32">
        <v>2.0</v>
      </c>
      <c r="R2103" s="33"/>
      <c r="S2103" s="34"/>
      <c r="T2103" s="34"/>
      <c r="U2103" s="34"/>
      <c r="V2103" s="34"/>
      <c r="W2103" s="34"/>
      <c r="X2103" s="34"/>
      <c r="Y2103" s="3"/>
      <c r="Z2103" s="3"/>
      <c r="AA2103" s="3"/>
      <c r="AB2103" s="3"/>
      <c r="AC2103" s="3"/>
      <c r="AD2103" s="3"/>
      <c r="AE2103" s="3"/>
      <c r="AF2103" s="3"/>
      <c r="AG2103" s="3"/>
      <c r="AH2103" s="3"/>
      <c r="AI2103" s="3"/>
      <c r="AJ2103" s="3"/>
      <c r="AK2103" s="3"/>
      <c r="AL2103" s="3"/>
    </row>
    <row r="2104" ht="15.75" customHeight="1">
      <c r="A2104" s="27">
        <f t="shared" si="21"/>
        <v>983</v>
      </c>
      <c r="B2104" s="28" t="s">
        <v>31</v>
      </c>
      <c r="C2104" s="43" t="s">
        <v>7245</v>
      </c>
      <c r="D2104" s="30" t="s">
        <v>7246</v>
      </c>
      <c r="E2104" s="28" t="s">
        <v>144</v>
      </c>
      <c r="F2104" s="28" t="s">
        <v>29</v>
      </c>
      <c r="G2104" s="28" t="s">
        <v>30</v>
      </c>
      <c r="H2104" s="28"/>
      <c r="I2104" s="28" t="s">
        <v>30</v>
      </c>
      <c r="J2104" s="28">
        <f>314</f>
        <v>314</v>
      </c>
      <c r="K2104" s="28"/>
      <c r="L2104" s="28" t="s">
        <v>31</v>
      </c>
      <c r="M2104" s="28" t="s">
        <v>7183</v>
      </c>
      <c r="N2104" s="28">
        <v>1981.0</v>
      </c>
      <c r="O2104" s="28">
        <v>14.0</v>
      </c>
      <c r="P2104" s="28">
        <v>1.0</v>
      </c>
      <c r="Q2104" s="94">
        <v>1.0</v>
      </c>
      <c r="R2104" s="33"/>
      <c r="S2104" s="40"/>
      <c r="T2104" s="40"/>
      <c r="U2104" s="40"/>
      <c r="V2104" s="40"/>
      <c r="W2104" s="40"/>
      <c r="X2104" s="40"/>
      <c r="Y2104" s="3"/>
      <c r="Z2104" s="3"/>
      <c r="AA2104" s="3"/>
      <c r="AB2104" s="3"/>
      <c r="AC2104" s="3"/>
      <c r="AD2104" s="3"/>
      <c r="AE2104" s="3"/>
      <c r="AF2104" s="3"/>
      <c r="AG2104" s="3"/>
      <c r="AH2104" s="3"/>
      <c r="AI2104" s="3"/>
      <c r="AJ2104" s="3"/>
      <c r="AK2104" s="3"/>
      <c r="AL2104" s="3"/>
    </row>
    <row r="2105" ht="15.75" customHeight="1">
      <c r="A2105" s="27">
        <f t="shared" si="21"/>
        <v>984</v>
      </c>
      <c r="B2105" s="28"/>
      <c r="C2105" s="43" t="s">
        <v>7247</v>
      </c>
      <c r="D2105" s="30" t="s">
        <v>7248</v>
      </c>
      <c r="E2105" s="28" t="s">
        <v>31</v>
      </c>
      <c r="F2105" s="28" t="s">
        <v>29</v>
      </c>
      <c r="G2105" s="28" t="s">
        <v>30</v>
      </c>
      <c r="H2105" s="28"/>
      <c r="I2105" s="28" t="s">
        <v>30</v>
      </c>
      <c r="J2105" s="28">
        <v>200.0</v>
      </c>
      <c r="K2105" s="28"/>
      <c r="L2105" s="28" t="s">
        <v>7249</v>
      </c>
      <c r="M2105" s="28" t="s">
        <v>7250</v>
      </c>
      <c r="N2105" s="28" t="s">
        <v>31</v>
      </c>
      <c r="O2105" s="60">
        <v>14.0</v>
      </c>
      <c r="P2105" s="28">
        <v>1.0</v>
      </c>
      <c r="Q2105" s="32">
        <v>1.0</v>
      </c>
      <c r="R2105" s="33"/>
      <c r="S2105" s="34"/>
      <c r="T2105" s="34"/>
      <c r="U2105" s="34"/>
      <c r="V2105" s="34"/>
      <c r="W2105" s="34"/>
      <c r="X2105" s="34"/>
      <c r="Y2105" s="3"/>
      <c r="Z2105" s="3"/>
      <c r="AA2105" s="3"/>
      <c r="AB2105" s="3"/>
      <c r="AC2105" s="3"/>
      <c r="AD2105" s="3"/>
      <c r="AE2105" s="3"/>
      <c r="AF2105" s="3"/>
      <c r="AG2105" s="3"/>
      <c r="AH2105" s="3"/>
      <c r="AI2105" s="3"/>
      <c r="AJ2105" s="3"/>
      <c r="AK2105" s="3"/>
      <c r="AL2105" s="3"/>
    </row>
    <row r="2106" ht="15.75" customHeight="1">
      <c r="A2106" s="27">
        <f t="shared" si="21"/>
        <v>985</v>
      </c>
      <c r="B2106" s="28"/>
      <c r="C2106" s="43" t="s">
        <v>7251</v>
      </c>
      <c r="D2106" s="30" t="s">
        <v>7252</v>
      </c>
      <c r="E2106" s="28" t="s">
        <v>144</v>
      </c>
      <c r="F2106" s="28" t="s">
        <v>29</v>
      </c>
      <c r="G2106" s="28" t="s">
        <v>30</v>
      </c>
      <c r="H2106" s="28"/>
      <c r="I2106" s="28" t="s">
        <v>30</v>
      </c>
      <c r="J2106" s="28">
        <v>169.0</v>
      </c>
      <c r="K2106" s="28"/>
      <c r="L2106" s="28" t="s">
        <v>7253</v>
      </c>
      <c r="M2106" s="28" t="s">
        <v>7254</v>
      </c>
      <c r="N2106" s="28">
        <v>1975.0</v>
      </c>
      <c r="O2106" s="28">
        <v>14.0</v>
      </c>
      <c r="P2106" s="28">
        <v>2.0</v>
      </c>
      <c r="Q2106" s="32">
        <v>2.0</v>
      </c>
      <c r="R2106" s="33"/>
      <c r="S2106" s="40"/>
      <c r="T2106" s="40"/>
      <c r="U2106" s="40"/>
      <c r="V2106" s="40"/>
      <c r="W2106" s="40"/>
      <c r="X2106" s="40"/>
      <c r="Y2106" s="3"/>
      <c r="Z2106" s="3"/>
      <c r="AA2106" s="3"/>
      <c r="AB2106" s="3"/>
      <c r="AC2106" s="3"/>
      <c r="AD2106" s="3"/>
      <c r="AE2106" s="3"/>
      <c r="AF2106" s="3"/>
      <c r="AG2106" s="3"/>
      <c r="AH2106" s="3"/>
      <c r="AI2106" s="3"/>
      <c r="AJ2106" s="3"/>
      <c r="AK2106" s="3"/>
      <c r="AL2106" s="3"/>
    </row>
    <row r="2107" ht="15.75" customHeight="1">
      <c r="A2107" s="27">
        <f t="shared" si="21"/>
        <v>986</v>
      </c>
      <c r="B2107" s="28" t="s">
        <v>7255</v>
      </c>
      <c r="C2107" s="43" t="s">
        <v>7256</v>
      </c>
      <c r="D2107" s="30" t="s">
        <v>7257</v>
      </c>
      <c r="E2107" s="28" t="s">
        <v>144</v>
      </c>
      <c r="F2107" s="28" t="s">
        <v>47</v>
      </c>
      <c r="G2107" s="28" t="s">
        <v>159</v>
      </c>
      <c r="H2107" s="28"/>
      <c r="I2107" s="28" t="s">
        <v>159</v>
      </c>
      <c r="J2107" s="28">
        <v>268.0</v>
      </c>
      <c r="K2107" s="28"/>
      <c r="L2107" s="28" t="s">
        <v>7258</v>
      </c>
      <c r="M2107" s="28" t="s">
        <v>7259</v>
      </c>
      <c r="N2107" s="28">
        <v>2001.0</v>
      </c>
      <c r="O2107" s="28">
        <v>14.0</v>
      </c>
      <c r="P2107" s="28">
        <v>1.0</v>
      </c>
      <c r="Q2107" s="32">
        <v>1.0</v>
      </c>
      <c r="R2107" s="33"/>
      <c r="S2107" s="40"/>
      <c r="T2107" s="40"/>
      <c r="U2107" s="40"/>
      <c r="V2107" s="40"/>
      <c r="W2107" s="40"/>
      <c r="X2107" s="40"/>
      <c r="Y2107" s="3"/>
      <c r="Z2107" s="3"/>
      <c r="AA2107" s="3"/>
      <c r="AB2107" s="3"/>
      <c r="AC2107" s="3"/>
      <c r="AD2107" s="3"/>
      <c r="AE2107" s="3"/>
      <c r="AF2107" s="3"/>
      <c r="AG2107" s="3"/>
      <c r="AH2107" s="3"/>
      <c r="AI2107" s="3"/>
      <c r="AJ2107" s="3"/>
      <c r="AK2107" s="3"/>
      <c r="AL2107" s="3"/>
    </row>
    <row r="2108" ht="15.75" customHeight="1">
      <c r="A2108" s="27">
        <f t="shared" si="21"/>
        <v>987</v>
      </c>
      <c r="B2108" s="28" t="s">
        <v>7260</v>
      </c>
      <c r="C2108" s="43" t="s">
        <v>2729</v>
      </c>
      <c r="D2108" s="30" t="s">
        <v>7261</v>
      </c>
      <c r="E2108" s="28" t="s">
        <v>31</v>
      </c>
      <c r="F2108" s="28" t="s">
        <v>29</v>
      </c>
      <c r="G2108" s="28" t="s">
        <v>30</v>
      </c>
      <c r="H2108" s="28"/>
      <c r="I2108" s="28" t="s">
        <v>30</v>
      </c>
      <c r="J2108" s="28">
        <v>111.0</v>
      </c>
      <c r="K2108" s="28"/>
      <c r="L2108" s="28" t="s">
        <v>7262</v>
      </c>
      <c r="M2108" s="28" t="s">
        <v>151</v>
      </c>
      <c r="N2108" s="28">
        <v>2012.0</v>
      </c>
      <c r="O2108" s="60">
        <v>14.0</v>
      </c>
      <c r="P2108" s="28">
        <v>1.0</v>
      </c>
      <c r="Q2108" s="32">
        <v>1.0</v>
      </c>
      <c r="R2108" s="33"/>
      <c r="S2108" s="34"/>
      <c r="T2108" s="34"/>
      <c r="U2108" s="34"/>
      <c r="V2108" s="34"/>
      <c r="W2108" s="34"/>
      <c r="X2108" s="34"/>
      <c r="Y2108" s="3"/>
      <c r="Z2108" s="3"/>
      <c r="AA2108" s="3"/>
      <c r="AB2108" s="3"/>
      <c r="AC2108" s="3"/>
      <c r="AD2108" s="3"/>
      <c r="AE2108" s="3"/>
      <c r="AF2108" s="3"/>
      <c r="AG2108" s="3"/>
      <c r="AH2108" s="3"/>
      <c r="AI2108" s="3"/>
      <c r="AJ2108" s="3"/>
      <c r="AK2108" s="3"/>
      <c r="AL2108" s="3"/>
    </row>
    <row r="2109" ht="15.75" customHeight="1">
      <c r="A2109" s="27">
        <f t="shared" si="21"/>
        <v>988</v>
      </c>
      <c r="B2109" s="28" t="s">
        <v>7263</v>
      </c>
      <c r="C2109" s="43" t="s">
        <v>7264</v>
      </c>
      <c r="D2109" s="30" t="s">
        <v>7265</v>
      </c>
      <c r="E2109" s="28" t="s">
        <v>144</v>
      </c>
      <c r="F2109" s="28" t="s">
        <v>29</v>
      </c>
      <c r="G2109" s="28" t="s">
        <v>30</v>
      </c>
      <c r="H2109" s="28"/>
      <c r="I2109" s="28" t="s">
        <v>30</v>
      </c>
      <c r="J2109" s="28">
        <v>122.0</v>
      </c>
      <c r="K2109" s="28"/>
      <c r="L2109" s="28" t="s">
        <v>7266</v>
      </c>
      <c r="M2109" s="28" t="s">
        <v>151</v>
      </c>
      <c r="N2109" s="28">
        <v>2003.0</v>
      </c>
      <c r="O2109" s="60">
        <v>14.0</v>
      </c>
      <c r="P2109" s="28">
        <v>1.0</v>
      </c>
      <c r="Q2109" s="94">
        <v>1.0</v>
      </c>
      <c r="R2109" s="33"/>
      <c r="S2109" s="40"/>
      <c r="T2109" s="40"/>
      <c r="U2109" s="40"/>
      <c r="V2109" s="40"/>
      <c r="W2109" s="40"/>
      <c r="X2109" s="40"/>
      <c r="Y2109" s="3"/>
      <c r="Z2109" s="3"/>
      <c r="AA2109" s="3"/>
      <c r="AB2109" s="3"/>
      <c r="AC2109" s="3"/>
      <c r="AD2109" s="3"/>
      <c r="AE2109" s="3"/>
      <c r="AF2109" s="3"/>
      <c r="AG2109" s="3"/>
      <c r="AH2109" s="3"/>
      <c r="AI2109" s="3"/>
      <c r="AJ2109" s="3"/>
      <c r="AK2109" s="3"/>
      <c r="AL2109" s="3"/>
    </row>
    <row r="2110" ht="15.75" customHeight="1">
      <c r="A2110" s="27">
        <f t="shared" si="21"/>
        <v>989</v>
      </c>
      <c r="B2110" s="28" t="s">
        <v>31</v>
      </c>
      <c r="C2110" s="129" t="s">
        <v>7267</v>
      </c>
      <c r="D2110" s="120" t="s">
        <v>7268</v>
      </c>
      <c r="E2110" s="28" t="s">
        <v>144</v>
      </c>
      <c r="F2110" s="28" t="s">
        <v>29</v>
      </c>
      <c r="G2110" s="28" t="s">
        <v>30</v>
      </c>
      <c r="H2110" s="28" t="s">
        <v>7269</v>
      </c>
      <c r="I2110" s="28" t="s">
        <v>30</v>
      </c>
      <c r="J2110" s="28">
        <v>344.0</v>
      </c>
      <c r="K2110" s="28" t="s">
        <v>31</v>
      </c>
      <c r="L2110" s="28" t="s">
        <v>31</v>
      </c>
      <c r="M2110" s="28" t="s">
        <v>7270</v>
      </c>
      <c r="N2110" s="28">
        <v>2016.0</v>
      </c>
      <c r="O2110" s="60">
        <v>14.0</v>
      </c>
      <c r="P2110" s="28">
        <v>1.0</v>
      </c>
      <c r="Q2110" s="32">
        <v>1.0</v>
      </c>
      <c r="R2110" s="33"/>
      <c r="S2110" s="185"/>
      <c r="T2110" s="185"/>
      <c r="U2110" s="185"/>
      <c r="V2110" s="185"/>
      <c r="W2110" s="185"/>
      <c r="X2110" s="185"/>
      <c r="Y2110" s="3"/>
      <c r="Z2110" s="3"/>
      <c r="AA2110" s="3"/>
      <c r="AB2110" s="3"/>
      <c r="AC2110" s="3"/>
      <c r="AD2110" s="3"/>
      <c r="AE2110" s="3"/>
      <c r="AF2110" s="3"/>
      <c r="AG2110" s="3"/>
      <c r="AH2110" s="3"/>
      <c r="AI2110" s="3"/>
      <c r="AJ2110" s="3"/>
      <c r="AK2110" s="3"/>
      <c r="AL2110" s="3"/>
    </row>
    <row r="2111" ht="15.75" customHeight="1">
      <c r="A2111" s="27">
        <f t="shared" si="21"/>
        <v>990</v>
      </c>
      <c r="B2111" s="28"/>
      <c r="C2111" s="43" t="s">
        <v>7271</v>
      </c>
      <c r="D2111" s="30" t="s">
        <v>7272</v>
      </c>
      <c r="E2111" s="28" t="s">
        <v>31</v>
      </c>
      <c r="F2111" s="28" t="s">
        <v>29</v>
      </c>
      <c r="G2111" s="28" t="s">
        <v>30</v>
      </c>
      <c r="H2111" s="28"/>
      <c r="I2111" s="28" t="s">
        <v>30</v>
      </c>
      <c r="J2111" s="28">
        <v>303.0</v>
      </c>
      <c r="K2111" s="28"/>
      <c r="L2111" s="28" t="s">
        <v>7273</v>
      </c>
      <c r="M2111" s="28" t="s">
        <v>151</v>
      </c>
      <c r="N2111" s="28" t="s">
        <v>31</v>
      </c>
      <c r="O2111" s="60">
        <v>14.0</v>
      </c>
      <c r="P2111" s="28">
        <v>3.0</v>
      </c>
      <c r="Q2111" s="94">
        <v>3.0</v>
      </c>
      <c r="R2111" s="33"/>
      <c r="S2111" s="34"/>
      <c r="T2111" s="34"/>
      <c r="U2111" s="34"/>
      <c r="V2111" s="34"/>
      <c r="W2111" s="34"/>
      <c r="X2111" s="34"/>
      <c r="Y2111" s="3"/>
      <c r="Z2111" s="3"/>
      <c r="AA2111" s="3"/>
      <c r="AB2111" s="3"/>
      <c r="AC2111" s="3"/>
      <c r="AD2111" s="3"/>
      <c r="AE2111" s="3"/>
      <c r="AF2111" s="3"/>
      <c r="AG2111" s="3"/>
      <c r="AH2111" s="3"/>
      <c r="AI2111" s="3"/>
      <c r="AJ2111" s="3"/>
      <c r="AK2111" s="3"/>
      <c r="AL2111" s="3"/>
    </row>
    <row r="2112" ht="15.75" customHeight="1">
      <c r="A2112" s="27">
        <f t="shared" si="21"/>
        <v>991</v>
      </c>
      <c r="B2112" s="28" t="s">
        <v>31</v>
      </c>
      <c r="C2112" s="43" t="s">
        <v>7271</v>
      </c>
      <c r="D2112" s="30" t="s">
        <v>7274</v>
      </c>
      <c r="E2112" s="28" t="s">
        <v>144</v>
      </c>
      <c r="F2112" s="28" t="s">
        <v>29</v>
      </c>
      <c r="G2112" s="28" t="s">
        <v>30</v>
      </c>
      <c r="H2112" s="28"/>
      <c r="I2112" s="28" t="s">
        <v>30</v>
      </c>
      <c r="J2112" s="28">
        <v>303.0</v>
      </c>
      <c r="K2112" s="28"/>
      <c r="L2112" s="28" t="s">
        <v>7275</v>
      </c>
      <c r="M2112" s="28" t="s">
        <v>151</v>
      </c>
      <c r="N2112" s="28" t="s">
        <v>31</v>
      </c>
      <c r="O2112" s="60">
        <v>14.0</v>
      </c>
      <c r="P2112" s="28">
        <v>1.0</v>
      </c>
      <c r="Q2112" s="32">
        <v>1.0</v>
      </c>
      <c r="R2112" s="33"/>
      <c r="S2112" s="34"/>
      <c r="T2112" s="34"/>
      <c r="U2112" s="34"/>
      <c r="V2112" s="34"/>
      <c r="W2112" s="34"/>
      <c r="X2112" s="34"/>
      <c r="Y2112" s="3"/>
      <c r="Z2112" s="3"/>
      <c r="AA2112" s="3"/>
      <c r="AB2112" s="3"/>
      <c r="AC2112" s="3"/>
      <c r="AD2112" s="3"/>
      <c r="AE2112" s="3"/>
      <c r="AF2112" s="3"/>
      <c r="AG2112" s="3"/>
      <c r="AH2112" s="3"/>
      <c r="AI2112" s="3"/>
      <c r="AJ2112" s="3"/>
      <c r="AK2112" s="3"/>
      <c r="AL2112" s="3"/>
    </row>
    <row r="2113" ht="15.75" customHeight="1">
      <c r="A2113" s="27">
        <f t="shared" si="21"/>
        <v>992</v>
      </c>
      <c r="B2113" s="28" t="s">
        <v>7276</v>
      </c>
      <c r="C2113" s="43" t="s">
        <v>7277</v>
      </c>
      <c r="D2113" s="30" t="s">
        <v>7278</v>
      </c>
      <c r="E2113" s="28"/>
      <c r="F2113" s="28" t="s">
        <v>29</v>
      </c>
      <c r="G2113" s="28" t="s">
        <v>30</v>
      </c>
      <c r="H2113" s="28"/>
      <c r="I2113" s="28" t="s">
        <v>30</v>
      </c>
      <c r="J2113" s="28">
        <v>489.0</v>
      </c>
      <c r="K2113" s="28"/>
      <c r="L2113" s="28" t="s">
        <v>7279</v>
      </c>
      <c r="M2113" s="28" t="s">
        <v>151</v>
      </c>
      <c r="N2113" s="28">
        <v>2014.0</v>
      </c>
      <c r="O2113" s="60">
        <v>14.0</v>
      </c>
      <c r="P2113" s="28">
        <v>1.0</v>
      </c>
      <c r="Q2113" s="32">
        <v>1.0</v>
      </c>
      <c r="R2113" s="33"/>
      <c r="S2113" s="185"/>
      <c r="T2113" s="185"/>
      <c r="U2113" s="185"/>
      <c r="V2113" s="185"/>
      <c r="W2113" s="185"/>
      <c r="X2113" s="185"/>
      <c r="Y2113" s="3"/>
      <c r="Z2113" s="3"/>
      <c r="AA2113" s="3"/>
      <c r="AB2113" s="3"/>
      <c r="AC2113" s="3"/>
      <c r="AD2113" s="3"/>
      <c r="AE2113" s="3"/>
      <c r="AF2113" s="3"/>
      <c r="AG2113" s="3"/>
      <c r="AH2113" s="3"/>
      <c r="AI2113" s="3"/>
      <c r="AJ2113" s="3"/>
      <c r="AK2113" s="3"/>
      <c r="AL2113" s="3"/>
    </row>
    <row r="2114" ht="15.75" customHeight="1">
      <c r="A2114" s="27">
        <f t="shared" si="21"/>
        <v>993</v>
      </c>
      <c r="B2114" s="28" t="s">
        <v>7280</v>
      </c>
      <c r="C2114" s="43" t="s">
        <v>7281</v>
      </c>
      <c r="D2114" s="30" t="s">
        <v>7282</v>
      </c>
      <c r="E2114" s="28"/>
      <c r="F2114" s="28" t="s">
        <v>29</v>
      </c>
      <c r="G2114" s="28" t="s">
        <v>30</v>
      </c>
      <c r="H2114" s="28" t="s">
        <v>31</v>
      </c>
      <c r="I2114" s="28" t="s">
        <v>30</v>
      </c>
      <c r="J2114" s="28">
        <v>231.0</v>
      </c>
      <c r="K2114" s="28"/>
      <c r="L2114" s="28" t="s">
        <v>7279</v>
      </c>
      <c r="M2114" s="28" t="s">
        <v>151</v>
      </c>
      <c r="N2114" s="28">
        <v>2013.0</v>
      </c>
      <c r="O2114" s="60">
        <v>14.0</v>
      </c>
      <c r="P2114" s="28">
        <v>1.0</v>
      </c>
      <c r="Q2114" s="32">
        <v>1.0</v>
      </c>
      <c r="R2114" s="33"/>
      <c r="S2114" s="34"/>
      <c r="T2114" s="34"/>
      <c r="U2114" s="34"/>
      <c r="V2114" s="34"/>
      <c r="W2114" s="34"/>
      <c r="X2114" s="34"/>
      <c r="Y2114" s="3"/>
      <c r="Z2114" s="3"/>
      <c r="AA2114" s="3"/>
      <c r="AB2114" s="3"/>
      <c r="AC2114" s="3"/>
      <c r="AD2114" s="3"/>
      <c r="AE2114" s="3"/>
      <c r="AF2114" s="3"/>
      <c r="AG2114" s="3"/>
      <c r="AH2114" s="3"/>
      <c r="AI2114" s="3"/>
      <c r="AJ2114" s="3"/>
      <c r="AK2114" s="3"/>
      <c r="AL2114" s="3"/>
    </row>
    <row r="2115" ht="15.75" customHeight="1">
      <c r="A2115" s="27">
        <f t="shared" si="21"/>
        <v>994</v>
      </c>
      <c r="B2115" s="28" t="s">
        <v>7283</v>
      </c>
      <c r="C2115" s="43" t="s">
        <v>7284</v>
      </c>
      <c r="D2115" s="30" t="s">
        <v>7285</v>
      </c>
      <c r="E2115" s="28"/>
      <c r="F2115" s="28" t="s">
        <v>29</v>
      </c>
      <c r="G2115" s="28" t="s">
        <v>30</v>
      </c>
      <c r="H2115" s="28"/>
      <c r="I2115" s="28" t="s">
        <v>30</v>
      </c>
      <c r="J2115" s="28">
        <v>185.0</v>
      </c>
      <c r="K2115" s="28"/>
      <c r="L2115" s="28" t="s">
        <v>7286</v>
      </c>
      <c r="M2115" s="28" t="s">
        <v>151</v>
      </c>
      <c r="N2115" s="28">
        <v>2009.0</v>
      </c>
      <c r="O2115" s="60">
        <v>14.0</v>
      </c>
      <c r="P2115" s="28">
        <v>2.0</v>
      </c>
      <c r="Q2115" s="32">
        <v>2.0</v>
      </c>
      <c r="R2115" s="33"/>
      <c r="S2115" s="34"/>
      <c r="T2115" s="34"/>
      <c r="U2115" s="34"/>
      <c r="V2115" s="34"/>
      <c r="W2115" s="34"/>
      <c r="X2115" s="34"/>
      <c r="Y2115" s="3"/>
      <c r="Z2115" s="3"/>
      <c r="AA2115" s="3"/>
      <c r="AB2115" s="3"/>
      <c r="AC2115" s="3"/>
      <c r="AD2115" s="3"/>
      <c r="AE2115" s="3"/>
      <c r="AF2115" s="3"/>
      <c r="AG2115" s="3"/>
      <c r="AH2115" s="3"/>
      <c r="AI2115" s="3"/>
      <c r="AJ2115" s="3"/>
      <c r="AK2115" s="3"/>
      <c r="AL2115" s="3"/>
    </row>
    <row r="2116" ht="15.75" customHeight="1">
      <c r="A2116" s="27">
        <f t="shared" si="21"/>
        <v>995</v>
      </c>
      <c r="B2116" s="28" t="s">
        <v>31</v>
      </c>
      <c r="C2116" s="43" t="s">
        <v>7287</v>
      </c>
      <c r="D2116" s="30" t="s">
        <v>7288</v>
      </c>
      <c r="E2116" s="28" t="s">
        <v>144</v>
      </c>
      <c r="F2116" s="28" t="s">
        <v>29</v>
      </c>
      <c r="G2116" s="28" t="s">
        <v>30</v>
      </c>
      <c r="H2116" s="28"/>
      <c r="I2116" s="28" t="s">
        <v>30</v>
      </c>
      <c r="J2116" s="28">
        <f>70+8</f>
        <v>78</v>
      </c>
      <c r="K2116" s="28"/>
      <c r="L2116" s="28" t="s">
        <v>7167</v>
      </c>
      <c r="M2116" s="28" t="s">
        <v>7289</v>
      </c>
      <c r="N2116" s="28">
        <v>1975.0</v>
      </c>
      <c r="O2116" s="60">
        <v>14.0</v>
      </c>
      <c r="P2116" s="28">
        <v>1.0</v>
      </c>
      <c r="Q2116" s="32">
        <v>1.0</v>
      </c>
      <c r="R2116" s="33"/>
      <c r="S2116" s="116"/>
      <c r="T2116" s="116"/>
      <c r="U2116" s="116"/>
      <c r="V2116" s="116"/>
      <c r="W2116" s="116"/>
      <c r="X2116" s="116"/>
      <c r="Y2116" s="3"/>
      <c r="Z2116" s="3"/>
      <c r="AA2116" s="3"/>
      <c r="AB2116" s="3"/>
      <c r="AC2116" s="3"/>
      <c r="AD2116" s="3"/>
      <c r="AE2116" s="3"/>
      <c r="AF2116" s="3"/>
      <c r="AG2116" s="3"/>
      <c r="AH2116" s="3"/>
      <c r="AI2116" s="3"/>
      <c r="AJ2116" s="3"/>
      <c r="AK2116" s="3"/>
      <c r="AL2116" s="3"/>
    </row>
    <row r="2117" ht="15.75" customHeight="1">
      <c r="A2117" s="27">
        <f t="shared" si="21"/>
        <v>996</v>
      </c>
      <c r="B2117" s="28" t="s">
        <v>7290</v>
      </c>
      <c r="C2117" s="43" t="s">
        <v>7291</v>
      </c>
      <c r="D2117" s="30" t="s">
        <v>7211</v>
      </c>
      <c r="E2117" s="28"/>
      <c r="F2117" s="28" t="s">
        <v>29</v>
      </c>
      <c r="G2117" s="28" t="s">
        <v>30</v>
      </c>
      <c r="H2117" s="28" t="s">
        <v>31</v>
      </c>
      <c r="I2117" s="28" t="s">
        <v>30</v>
      </c>
      <c r="J2117" s="28">
        <v>399.0</v>
      </c>
      <c r="K2117" s="28"/>
      <c r="L2117" s="28" t="s">
        <v>7292</v>
      </c>
      <c r="M2117" s="28" t="s">
        <v>151</v>
      </c>
      <c r="N2117" s="28">
        <v>2013.0</v>
      </c>
      <c r="O2117" s="60">
        <v>14.0</v>
      </c>
      <c r="P2117" s="28">
        <v>1.0</v>
      </c>
      <c r="Q2117" s="94">
        <v>1.0</v>
      </c>
      <c r="R2117" s="33"/>
      <c r="S2117" s="185"/>
      <c r="T2117" s="185"/>
      <c r="U2117" s="185"/>
      <c r="V2117" s="185"/>
      <c r="W2117" s="185"/>
      <c r="X2117" s="185"/>
      <c r="Y2117" s="3"/>
      <c r="Z2117" s="3"/>
      <c r="AA2117" s="3"/>
      <c r="AB2117" s="3"/>
      <c r="AC2117" s="3"/>
      <c r="AD2117" s="3"/>
      <c r="AE2117" s="3"/>
      <c r="AF2117" s="3"/>
      <c r="AG2117" s="3"/>
      <c r="AH2117" s="3"/>
      <c r="AI2117" s="3"/>
      <c r="AJ2117" s="3"/>
      <c r="AK2117" s="3"/>
      <c r="AL2117" s="3"/>
    </row>
    <row r="2118" ht="15.75" customHeight="1">
      <c r="A2118" s="27">
        <f t="shared" si="21"/>
        <v>997</v>
      </c>
      <c r="B2118" s="28" t="s">
        <v>7293</v>
      </c>
      <c r="C2118" s="43" t="s">
        <v>7294</v>
      </c>
      <c r="D2118" s="30" t="s">
        <v>7295</v>
      </c>
      <c r="E2118" s="28" t="s">
        <v>31</v>
      </c>
      <c r="F2118" s="28" t="s">
        <v>29</v>
      </c>
      <c r="G2118" s="28" t="s">
        <v>30</v>
      </c>
      <c r="H2118" s="28"/>
      <c r="I2118" s="28" t="s">
        <v>30</v>
      </c>
      <c r="J2118" s="28">
        <v>399.0</v>
      </c>
      <c r="K2118" s="28"/>
      <c r="L2118" s="28" t="s">
        <v>7296</v>
      </c>
      <c r="M2118" s="28" t="s">
        <v>151</v>
      </c>
      <c r="N2118" s="28">
        <v>2004.0</v>
      </c>
      <c r="O2118" s="60">
        <v>14.0</v>
      </c>
      <c r="P2118" s="28">
        <v>1.0</v>
      </c>
      <c r="Q2118" s="32">
        <v>1.0</v>
      </c>
      <c r="R2118" s="33"/>
      <c r="S2118" s="116"/>
      <c r="T2118" s="116"/>
      <c r="U2118" s="116"/>
      <c r="V2118" s="116"/>
      <c r="W2118" s="116"/>
      <c r="X2118" s="116"/>
      <c r="Y2118" s="3"/>
      <c r="Z2118" s="3"/>
      <c r="AA2118" s="3"/>
      <c r="AB2118" s="3"/>
      <c r="AC2118" s="3"/>
      <c r="AD2118" s="3"/>
      <c r="AE2118" s="3"/>
      <c r="AF2118" s="3"/>
      <c r="AG2118" s="3"/>
      <c r="AH2118" s="3"/>
      <c r="AI2118" s="3"/>
      <c r="AJ2118" s="3"/>
      <c r="AK2118" s="3"/>
      <c r="AL2118" s="3"/>
    </row>
    <row r="2119" ht="15.75" customHeight="1">
      <c r="A2119" s="27">
        <f t="shared" si="21"/>
        <v>998</v>
      </c>
      <c r="B2119" s="28" t="s">
        <v>7297</v>
      </c>
      <c r="C2119" s="43" t="s">
        <v>7298</v>
      </c>
      <c r="D2119" s="30" t="s">
        <v>7299</v>
      </c>
      <c r="E2119" s="28" t="s">
        <v>31</v>
      </c>
      <c r="F2119" s="28" t="s">
        <v>29</v>
      </c>
      <c r="G2119" s="28" t="s">
        <v>30</v>
      </c>
      <c r="H2119" s="28"/>
      <c r="I2119" s="28" t="s">
        <v>30</v>
      </c>
      <c r="J2119" s="28">
        <v>93.0</v>
      </c>
      <c r="K2119" s="28"/>
      <c r="L2119" s="28" t="s">
        <v>7300</v>
      </c>
      <c r="M2119" s="28" t="s">
        <v>151</v>
      </c>
      <c r="N2119" s="28">
        <v>1989.0</v>
      </c>
      <c r="O2119" s="60">
        <v>14.0</v>
      </c>
      <c r="P2119" s="28">
        <v>1.0</v>
      </c>
      <c r="Q2119" s="94">
        <v>1.0</v>
      </c>
      <c r="R2119" s="33"/>
      <c r="S2119" s="34"/>
      <c r="T2119" s="34"/>
      <c r="U2119" s="34"/>
      <c r="V2119" s="34"/>
      <c r="W2119" s="34"/>
      <c r="X2119" s="34"/>
      <c r="Y2119" s="3"/>
      <c r="Z2119" s="3"/>
      <c r="AA2119" s="3"/>
      <c r="AB2119" s="3"/>
      <c r="AC2119" s="3"/>
      <c r="AD2119" s="3"/>
      <c r="AE2119" s="3"/>
      <c r="AF2119" s="3"/>
      <c r="AG2119" s="3"/>
      <c r="AH2119" s="3"/>
      <c r="AI2119" s="3"/>
      <c r="AJ2119" s="3"/>
      <c r="AK2119" s="3"/>
      <c r="AL2119" s="3"/>
    </row>
    <row r="2120" ht="15.75" customHeight="1">
      <c r="A2120" s="27">
        <f t="shared" si="21"/>
        <v>999</v>
      </c>
      <c r="B2120" s="28" t="s">
        <v>31</v>
      </c>
      <c r="C2120" s="43" t="s">
        <v>7301</v>
      </c>
      <c r="D2120" s="30" t="s">
        <v>7302</v>
      </c>
      <c r="E2120" s="28" t="s">
        <v>144</v>
      </c>
      <c r="F2120" s="28" t="s">
        <v>29</v>
      </c>
      <c r="G2120" s="28" t="s">
        <v>30</v>
      </c>
      <c r="H2120" s="28"/>
      <c r="I2120" s="28" t="s">
        <v>30</v>
      </c>
      <c r="J2120" s="28">
        <v>209.0</v>
      </c>
      <c r="K2120" s="28"/>
      <c r="L2120" s="28" t="s">
        <v>7167</v>
      </c>
      <c r="M2120" s="28" t="s">
        <v>7289</v>
      </c>
      <c r="N2120" s="28">
        <v>1976.0</v>
      </c>
      <c r="O2120" s="60">
        <v>14.0</v>
      </c>
      <c r="P2120" s="28">
        <v>3.0</v>
      </c>
      <c r="Q2120" s="94">
        <v>3.0</v>
      </c>
      <c r="R2120" s="33"/>
      <c r="S2120" s="116"/>
      <c r="T2120" s="116"/>
      <c r="U2120" s="116"/>
      <c r="V2120" s="116"/>
      <c r="W2120" s="116"/>
      <c r="X2120" s="116"/>
      <c r="Y2120" s="3"/>
      <c r="Z2120" s="3"/>
      <c r="AA2120" s="3"/>
      <c r="AB2120" s="3"/>
      <c r="AC2120" s="3"/>
      <c r="AD2120" s="3"/>
      <c r="AE2120" s="3"/>
      <c r="AF2120" s="3"/>
      <c r="AG2120" s="3"/>
      <c r="AH2120" s="3"/>
      <c r="AI2120" s="3"/>
      <c r="AJ2120" s="3"/>
      <c r="AK2120" s="3"/>
      <c r="AL2120" s="3"/>
    </row>
    <row r="2121" ht="15.75" customHeight="1">
      <c r="A2121" s="27">
        <f t="shared" si="21"/>
        <v>1000</v>
      </c>
      <c r="B2121" s="28"/>
      <c r="C2121" s="43" t="s">
        <v>7303</v>
      </c>
      <c r="D2121" s="30" t="s">
        <v>7304</v>
      </c>
      <c r="E2121" s="28" t="s">
        <v>144</v>
      </c>
      <c r="F2121" s="28" t="s">
        <v>29</v>
      </c>
      <c r="G2121" s="28" t="s">
        <v>30</v>
      </c>
      <c r="H2121" s="28"/>
      <c r="I2121" s="28" t="s">
        <v>30</v>
      </c>
      <c r="J2121" s="28">
        <f>229</f>
        <v>229</v>
      </c>
      <c r="K2121" s="28"/>
      <c r="L2121" s="28" t="s">
        <v>7305</v>
      </c>
      <c r="M2121" s="28" t="s">
        <v>7306</v>
      </c>
      <c r="N2121" s="28">
        <v>1989.0</v>
      </c>
      <c r="O2121" s="60">
        <v>14.0</v>
      </c>
      <c r="P2121" s="28">
        <v>1.0</v>
      </c>
      <c r="Q2121" s="32">
        <v>1.0</v>
      </c>
      <c r="R2121" s="33"/>
      <c r="S2121" s="34"/>
      <c r="T2121" s="34"/>
      <c r="U2121" s="34"/>
      <c r="V2121" s="34"/>
      <c r="W2121" s="34"/>
      <c r="X2121" s="34"/>
      <c r="Y2121" s="3"/>
      <c r="Z2121" s="3"/>
      <c r="AA2121" s="3"/>
      <c r="AB2121" s="3"/>
      <c r="AC2121" s="3"/>
      <c r="AD2121" s="3"/>
      <c r="AE2121" s="3"/>
      <c r="AF2121" s="3"/>
      <c r="AG2121" s="3"/>
      <c r="AH2121" s="3"/>
      <c r="AI2121" s="3"/>
      <c r="AJ2121" s="3"/>
      <c r="AK2121" s="3"/>
      <c r="AL2121" s="3"/>
    </row>
    <row r="2122" ht="15.75" customHeight="1">
      <c r="A2122" s="27">
        <f t="shared" si="21"/>
        <v>1001</v>
      </c>
      <c r="B2122" s="28" t="s">
        <v>7307</v>
      </c>
      <c r="C2122" s="43" t="s">
        <v>7308</v>
      </c>
      <c r="D2122" s="30" t="s">
        <v>7309</v>
      </c>
      <c r="E2122" s="28" t="s">
        <v>31</v>
      </c>
      <c r="F2122" s="28" t="s">
        <v>29</v>
      </c>
      <c r="G2122" s="28" t="s">
        <v>37</v>
      </c>
      <c r="H2122" s="28"/>
      <c r="I2122" s="28" t="s">
        <v>38</v>
      </c>
      <c r="J2122" s="28">
        <v>143.0</v>
      </c>
      <c r="K2122" s="28"/>
      <c r="L2122" s="28" t="s">
        <v>7310</v>
      </c>
      <c r="M2122" s="28" t="s">
        <v>7311</v>
      </c>
      <c r="N2122" s="28">
        <v>1984.0</v>
      </c>
      <c r="O2122" s="60">
        <v>14.0</v>
      </c>
      <c r="P2122" s="28">
        <v>1.0</v>
      </c>
      <c r="Q2122" s="32">
        <v>1.0</v>
      </c>
      <c r="R2122" s="33"/>
      <c r="S2122" s="34"/>
      <c r="T2122" s="34"/>
      <c r="U2122" s="34"/>
      <c r="V2122" s="34"/>
      <c r="W2122" s="34"/>
      <c r="X2122" s="34"/>
      <c r="Y2122" s="45"/>
      <c r="Z2122" s="45"/>
      <c r="AA2122" s="45"/>
      <c r="AB2122" s="45"/>
      <c r="AC2122" s="45"/>
      <c r="AD2122" s="45"/>
      <c r="AE2122" s="45"/>
      <c r="AF2122" s="45"/>
      <c r="AG2122" s="45"/>
      <c r="AH2122" s="45"/>
      <c r="AI2122" s="45"/>
      <c r="AJ2122" s="45"/>
      <c r="AK2122" s="45"/>
      <c r="AL2122" s="45"/>
    </row>
    <row r="2123" ht="15.75" customHeight="1">
      <c r="A2123" s="27">
        <f t="shared" si="21"/>
        <v>1002</v>
      </c>
      <c r="B2123" s="28" t="s">
        <v>7312</v>
      </c>
      <c r="C2123" s="43" t="s">
        <v>7313</v>
      </c>
      <c r="D2123" s="30" t="s">
        <v>7314</v>
      </c>
      <c r="E2123" s="28" t="s">
        <v>31</v>
      </c>
      <c r="F2123" s="28" t="s">
        <v>29</v>
      </c>
      <c r="G2123" s="28" t="s">
        <v>37</v>
      </c>
      <c r="H2123" s="28"/>
      <c r="I2123" s="28" t="s">
        <v>38</v>
      </c>
      <c r="J2123" s="28">
        <v>167.0</v>
      </c>
      <c r="K2123" s="28"/>
      <c r="L2123" s="28" t="s">
        <v>7315</v>
      </c>
      <c r="M2123" s="28" t="s">
        <v>219</v>
      </c>
      <c r="N2123" s="28">
        <v>1973.0</v>
      </c>
      <c r="O2123" s="60">
        <v>14.0</v>
      </c>
      <c r="P2123" s="28">
        <v>1.0</v>
      </c>
      <c r="Q2123" s="94">
        <v>1.0</v>
      </c>
      <c r="R2123" s="33"/>
      <c r="S2123" s="34"/>
      <c r="T2123" s="34"/>
      <c r="U2123" s="34"/>
      <c r="V2123" s="34"/>
      <c r="W2123" s="34"/>
      <c r="X2123" s="34"/>
      <c r="Y2123" s="3"/>
      <c r="Z2123" s="3"/>
      <c r="AA2123" s="3"/>
      <c r="AB2123" s="3"/>
      <c r="AC2123" s="3"/>
      <c r="AD2123" s="3"/>
      <c r="AE2123" s="3"/>
      <c r="AF2123" s="3"/>
      <c r="AG2123" s="3"/>
      <c r="AH2123" s="3"/>
      <c r="AI2123" s="3"/>
      <c r="AJ2123" s="3"/>
      <c r="AK2123" s="3"/>
      <c r="AL2123" s="3"/>
    </row>
    <row r="2124" ht="15.75" hidden="1" customHeight="1">
      <c r="A2124" s="27">
        <f t="shared" si="21"/>
        <v>1003</v>
      </c>
      <c r="B2124" s="28" t="s">
        <v>7316</v>
      </c>
      <c r="C2124" s="43"/>
      <c r="D2124" s="30"/>
      <c r="E2124" s="28"/>
      <c r="F2124" s="28"/>
      <c r="G2124" s="28"/>
      <c r="H2124" s="28"/>
      <c r="I2124" s="28"/>
      <c r="J2124" s="28"/>
      <c r="K2124" s="28"/>
      <c r="L2124" s="28"/>
      <c r="M2124" s="28"/>
      <c r="N2124" s="28"/>
      <c r="O2124" s="60"/>
      <c r="P2124" s="28"/>
      <c r="Q2124" s="94"/>
      <c r="R2124" s="33"/>
      <c r="S2124" s="34"/>
      <c r="T2124" s="34"/>
      <c r="U2124" s="34"/>
      <c r="V2124" s="34"/>
      <c r="W2124" s="34"/>
      <c r="X2124" s="34"/>
      <c r="Y2124" s="3"/>
      <c r="Z2124" s="3"/>
      <c r="AA2124" s="3"/>
      <c r="AB2124" s="3"/>
      <c r="AC2124" s="3"/>
      <c r="AD2124" s="3"/>
      <c r="AE2124" s="3"/>
      <c r="AF2124" s="3"/>
      <c r="AG2124" s="3"/>
      <c r="AH2124" s="3"/>
      <c r="AI2124" s="3"/>
      <c r="AJ2124" s="3"/>
      <c r="AK2124" s="3"/>
      <c r="AL2124" s="3"/>
    </row>
    <row r="2125" ht="15.75" customHeight="1">
      <c r="A2125" s="27">
        <f t="shared" si="21"/>
        <v>1004</v>
      </c>
      <c r="B2125" s="28" t="s">
        <v>7317</v>
      </c>
      <c r="C2125" s="43" t="s">
        <v>7318</v>
      </c>
      <c r="D2125" s="30" t="s">
        <v>7319</v>
      </c>
      <c r="E2125" s="28" t="s">
        <v>31</v>
      </c>
      <c r="F2125" s="28" t="s">
        <v>29</v>
      </c>
      <c r="G2125" s="28" t="s">
        <v>30</v>
      </c>
      <c r="H2125" s="28"/>
      <c r="I2125" s="28" t="s">
        <v>30</v>
      </c>
      <c r="J2125" s="28">
        <v>79.0</v>
      </c>
      <c r="K2125" s="28"/>
      <c r="L2125" s="28" t="s">
        <v>7320</v>
      </c>
      <c r="M2125" s="28" t="s">
        <v>169</v>
      </c>
      <c r="N2125" s="28">
        <v>2004.0</v>
      </c>
      <c r="O2125" s="60">
        <v>14.0</v>
      </c>
      <c r="P2125" s="28">
        <v>1.0</v>
      </c>
      <c r="Q2125" s="32">
        <v>1.0</v>
      </c>
      <c r="R2125" s="33"/>
      <c r="S2125" s="185"/>
      <c r="T2125" s="185"/>
      <c r="U2125" s="185"/>
      <c r="V2125" s="185"/>
      <c r="W2125" s="185"/>
      <c r="X2125" s="185"/>
      <c r="Y2125" s="3"/>
      <c r="Z2125" s="3"/>
      <c r="AA2125" s="3"/>
      <c r="AB2125" s="3"/>
      <c r="AC2125" s="3"/>
      <c r="AD2125" s="3"/>
      <c r="AE2125" s="3"/>
      <c r="AF2125" s="3"/>
      <c r="AG2125" s="3"/>
      <c r="AH2125" s="3"/>
      <c r="AI2125" s="3"/>
      <c r="AJ2125" s="3"/>
      <c r="AK2125" s="3"/>
      <c r="AL2125" s="3"/>
    </row>
    <row r="2126" ht="15.75" customHeight="1">
      <c r="A2126" s="27">
        <f t="shared" si="21"/>
        <v>1005</v>
      </c>
      <c r="B2126" s="28" t="s">
        <v>7321</v>
      </c>
      <c r="C2126" s="43" t="s">
        <v>7322</v>
      </c>
      <c r="D2126" s="30" t="s">
        <v>7323</v>
      </c>
      <c r="E2126" s="28" t="s">
        <v>31</v>
      </c>
      <c r="F2126" s="28" t="s">
        <v>29</v>
      </c>
      <c r="G2126" s="28" t="s">
        <v>37</v>
      </c>
      <c r="H2126" s="28"/>
      <c r="I2126" s="28" t="s">
        <v>38</v>
      </c>
      <c r="J2126" s="28">
        <v>109.0</v>
      </c>
      <c r="K2126" s="28"/>
      <c r="L2126" s="28" t="s">
        <v>7324</v>
      </c>
      <c r="M2126" s="28" t="s">
        <v>7325</v>
      </c>
      <c r="N2126" s="28">
        <v>1993.0</v>
      </c>
      <c r="O2126" s="60">
        <v>14.0</v>
      </c>
      <c r="P2126" s="28">
        <v>1.0</v>
      </c>
      <c r="Q2126" s="32">
        <v>1.0</v>
      </c>
      <c r="R2126" s="33"/>
      <c r="S2126" s="185"/>
      <c r="T2126" s="185"/>
      <c r="U2126" s="185"/>
      <c r="V2126" s="185"/>
      <c r="W2126" s="185"/>
      <c r="X2126" s="185"/>
      <c r="Y2126" s="45"/>
      <c r="Z2126" s="45"/>
      <c r="AA2126" s="45"/>
      <c r="AB2126" s="45"/>
      <c r="AC2126" s="45"/>
      <c r="AD2126" s="45"/>
      <c r="AE2126" s="45"/>
      <c r="AF2126" s="45"/>
      <c r="AG2126" s="45"/>
      <c r="AH2126" s="45"/>
      <c r="AI2126" s="45"/>
      <c r="AJ2126" s="45"/>
      <c r="AK2126" s="45"/>
      <c r="AL2126" s="45"/>
    </row>
    <row r="2127" ht="15.75" customHeight="1">
      <c r="A2127" s="27">
        <f t="shared" si="21"/>
        <v>1006</v>
      </c>
      <c r="B2127" s="28" t="s">
        <v>7326</v>
      </c>
      <c r="C2127" s="43" t="s">
        <v>7327</v>
      </c>
      <c r="D2127" s="30" t="s">
        <v>7328</v>
      </c>
      <c r="E2127" s="28" t="s">
        <v>31</v>
      </c>
      <c r="F2127" s="28" t="s">
        <v>29</v>
      </c>
      <c r="G2127" s="28" t="s">
        <v>37</v>
      </c>
      <c r="H2127" s="28"/>
      <c r="I2127" s="28" t="s">
        <v>38</v>
      </c>
      <c r="J2127" s="28">
        <v>278.0</v>
      </c>
      <c r="K2127" s="28"/>
      <c r="L2127" s="28" t="s">
        <v>7329</v>
      </c>
      <c r="M2127" s="28" t="s">
        <v>2388</v>
      </c>
      <c r="N2127" s="28">
        <v>1982.0</v>
      </c>
      <c r="O2127" s="60">
        <v>14.0</v>
      </c>
      <c r="P2127" s="28">
        <v>1.0</v>
      </c>
      <c r="Q2127" s="94">
        <v>1.0</v>
      </c>
      <c r="R2127" s="33"/>
      <c r="S2127" s="34"/>
      <c r="T2127" s="34"/>
      <c r="U2127" s="34"/>
      <c r="V2127" s="34"/>
      <c r="W2127" s="34"/>
      <c r="X2127" s="34"/>
      <c r="Y2127" s="45"/>
      <c r="Z2127" s="45"/>
      <c r="AA2127" s="45"/>
      <c r="AB2127" s="45"/>
      <c r="AC2127" s="45"/>
      <c r="AD2127" s="45"/>
      <c r="AE2127" s="45"/>
      <c r="AF2127" s="45"/>
      <c r="AG2127" s="45"/>
      <c r="AH2127" s="45"/>
      <c r="AI2127" s="45"/>
      <c r="AJ2127" s="45"/>
      <c r="AK2127" s="45"/>
      <c r="AL2127" s="45"/>
    </row>
    <row r="2128" ht="15.75" customHeight="1">
      <c r="A2128" s="27">
        <f t="shared" si="21"/>
        <v>1007</v>
      </c>
      <c r="B2128" s="28" t="s">
        <v>7330</v>
      </c>
      <c r="C2128" s="29" t="s">
        <v>7331</v>
      </c>
      <c r="D2128" s="30" t="s">
        <v>7332</v>
      </c>
      <c r="E2128" s="28" t="s">
        <v>31</v>
      </c>
      <c r="F2128" s="28" t="s">
        <v>29</v>
      </c>
      <c r="G2128" s="28" t="s">
        <v>37</v>
      </c>
      <c r="H2128" s="28"/>
      <c r="I2128" s="28" t="s">
        <v>38</v>
      </c>
      <c r="J2128" s="28">
        <v>493.0</v>
      </c>
      <c r="K2128" s="28"/>
      <c r="L2128" s="28" t="s">
        <v>7333</v>
      </c>
      <c r="M2128" s="28" t="s">
        <v>230</v>
      </c>
      <c r="N2128" s="28">
        <v>2008.0</v>
      </c>
      <c r="O2128" s="60">
        <v>14.0</v>
      </c>
      <c r="P2128" s="28">
        <v>1.0</v>
      </c>
      <c r="Q2128" s="94">
        <v>1.0</v>
      </c>
      <c r="R2128" s="33"/>
      <c r="S2128" s="34"/>
      <c r="T2128" s="34"/>
      <c r="U2128" s="34"/>
      <c r="V2128" s="34"/>
      <c r="W2128" s="34"/>
      <c r="X2128" s="34"/>
      <c r="Y2128" s="3"/>
      <c r="Z2128" s="3"/>
      <c r="AA2128" s="3"/>
      <c r="AB2128" s="3"/>
      <c r="AC2128" s="3"/>
      <c r="AD2128" s="3"/>
      <c r="AE2128" s="3"/>
      <c r="AF2128" s="3"/>
      <c r="AG2128" s="3"/>
      <c r="AH2128" s="3"/>
      <c r="AI2128" s="3"/>
      <c r="AJ2128" s="3"/>
      <c r="AK2128" s="3"/>
      <c r="AL2128" s="3"/>
    </row>
    <row r="2129" ht="15.75" customHeight="1">
      <c r="A2129" s="27">
        <f t="shared" si="21"/>
        <v>1008</v>
      </c>
      <c r="B2129" s="28" t="s">
        <v>31</v>
      </c>
      <c r="C2129" s="43" t="s">
        <v>7334</v>
      </c>
      <c r="D2129" s="30" t="s">
        <v>7335</v>
      </c>
      <c r="E2129" s="28" t="s">
        <v>31</v>
      </c>
      <c r="F2129" s="28" t="s">
        <v>29</v>
      </c>
      <c r="G2129" s="28" t="s">
        <v>30</v>
      </c>
      <c r="H2129" s="28"/>
      <c r="I2129" s="28" t="s">
        <v>30</v>
      </c>
      <c r="J2129" s="28"/>
      <c r="K2129" s="28"/>
      <c r="L2129" s="28" t="s">
        <v>7336</v>
      </c>
      <c r="M2129" s="28" t="s">
        <v>151</v>
      </c>
      <c r="N2129" s="28">
        <v>1975.0</v>
      </c>
      <c r="O2129" s="60">
        <v>14.0</v>
      </c>
      <c r="P2129" s="28">
        <v>1.0</v>
      </c>
      <c r="Q2129" s="32">
        <v>1.0</v>
      </c>
      <c r="R2129" s="33"/>
      <c r="S2129" s="34"/>
      <c r="T2129" s="34"/>
      <c r="U2129" s="34"/>
      <c r="V2129" s="34"/>
      <c r="W2129" s="34"/>
      <c r="X2129" s="34"/>
      <c r="Y2129" s="45"/>
      <c r="Z2129" s="45"/>
      <c r="AA2129" s="45"/>
      <c r="AB2129" s="45"/>
      <c r="AC2129" s="45"/>
      <c r="AD2129" s="45"/>
      <c r="AE2129" s="45"/>
      <c r="AF2129" s="45"/>
      <c r="AG2129" s="45"/>
      <c r="AH2129" s="45"/>
      <c r="AI2129" s="45"/>
      <c r="AJ2129" s="45"/>
      <c r="AK2129" s="45"/>
      <c r="AL2129" s="45"/>
    </row>
    <row r="2130" ht="15.75" customHeight="1">
      <c r="A2130" s="27">
        <f t="shared" si="21"/>
        <v>1009</v>
      </c>
      <c r="B2130" s="28" t="s">
        <v>31</v>
      </c>
      <c r="C2130" s="43" t="s">
        <v>7337</v>
      </c>
      <c r="D2130" s="30" t="s">
        <v>7338</v>
      </c>
      <c r="E2130" s="28" t="s">
        <v>144</v>
      </c>
      <c r="F2130" s="28" t="s">
        <v>29</v>
      </c>
      <c r="G2130" s="28" t="s">
        <v>37</v>
      </c>
      <c r="H2130" s="28"/>
      <c r="I2130" s="28" t="s">
        <v>38</v>
      </c>
      <c r="J2130" s="28">
        <f>784+14</f>
        <v>798</v>
      </c>
      <c r="K2130" s="28"/>
      <c r="L2130" s="28" t="s">
        <v>7339</v>
      </c>
      <c r="M2130" s="28" t="s">
        <v>7340</v>
      </c>
      <c r="N2130" s="28">
        <v>1956.0</v>
      </c>
      <c r="O2130" s="60">
        <v>14.0</v>
      </c>
      <c r="P2130" s="28">
        <v>1.0</v>
      </c>
      <c r="Q2130" s="94">
        <v>1.0</v>
      </c>
      <c r="R2130" s="33"/>
      <c r="S2130" s="34"/>
      <c r="T2130" s="34"/>
      <c r="U2130" s="34"/>
      <c r="V2130" s="34"/>
      <c r="W2130" s="34"/>
      <c r="X2130" s="34"/>
      <c r="Y2130" s="45"/>
      <c r="Z2130" s="45"/>
      <c r="AA2130" s="45"/>
      <c r="AB2130" s="45"/>
      <c r="AC2130" s="45"/>
      <c r="AD2130" s="45"/>
      <c r="AE2130" s="45"/>
      <c r="AF2130" s="45"/>
      <c r="AG2130" s="45"/>
      <c r="AH2130" s="45"/>
      <c r="AI2130" s="45"/>
      <c r="AJ2130" s="45"/>
      <c r="AK2130" s="45"/>
      <c r="AL2130" s="45"/>
    </row>
    <row r="2131" ht="15.75" customHeight="1">
      <c r="A2131" s="27">
        <f t="shared" si="21"/>
        <v>1010</v>
      </c>
      <c r="B2131" s="28" t="s">
        <v>7341</v>
      </c>
      <c r="C2131" s="43" t="s">
        <v>7342</v>
      </c>
      <c r="D2131" s="30" t="s">
        <v>7343</v>
      </c>
      <c r="E2131" s="28" t="s">
        <v>31</v>
      </c>
      <c r="F2131" s="28" t="s">
        <v>29</v>
      </c>
      <c r="G2131" s="28" t="s">
        <v>30</v>
      </c>
      <c r="H2131" s="28"/>
      <c r="I2131" s="28" t="s">
        <v>38</v>
      </c>
      <c r="J2131" s="28">
        <v>289.0</v>
      </c>
      <c r="K2131" s="28"/>
      <c r="L2131" s="28" t="s">
        <v>7344</v>
      </c>
      <c r="M2131" s="28" t="s">
        <v>151</v>
      </c>
      <c r="N2131" s="28">
        <v>2005.0</v>
      </c>
      <c r="O2131" s="60">
        <v>14.0</v>
      </c>
      <c r="P2131" s="28">
        <v>1.0</v>
      </c>
      <c r="Q2131" s="32">
        <v>1.0</v>
      </c>
      <c r="R2131" s="33"/>
      <c r="S2131" s="40"/>
      <c r="T2131" s="40"/>
      <c r="U2131" s="40"/>
      <c r="V2131" s="40"/>
      <c r="W2131" s="40"/>
      <c r="X2131" s="40"/>
      <c r="Y2131" s="3"/>
      <c r="Z2131" s="3"/>
      <c r="AA2131" s="3"/>
      <c r="AB2131" s="3"/>
      <c r="AC2131" s="3"/>
      <c r="AD2131" s="3"/>
      <c r="AE2131" s="3"/>
      <c r="AF2131" s="3"/>
      <c r="AG2131" s="3"/>
      <c r="AH2131" s="3"/>
      <c r="AI2131" s="3"/>
      <c r="AJ2131" s="3"/>
      <c r="AK2131" s="3"/>
      <c r="AL2131" s="3"/>
    </row>
    <row r="2132" ht="15.75" customHeight="1">
      <c r="A2132" s="27">
        <f t="shared" si="21"/>
        <v>1011</v>
      </c>
      <c r="B2132" s="28" t="s">
        <v>7345</v>
      </c>
      <c r="C2132" s="43" t="s">
        <v>7346</v>
      </c>
      <c r="D2132" s="30" t="s">
        <v>7347</v>
      </c>
      <c r="E2132" s="28" t="s">
        <v>31</v>
      </c>
      <c r="F2132" s="28" t="s">
        <v>29</v>
      </c>
      <c r="G2132" s="28" t="s">
        <v>30</v>
      </c>
      <c r="H2132" s="28"/>
      <c r="I2132" s="28" t="s">
        <v>30</v>
      </c>
      <c r="J2132" s="28">
        <v>193.0</v>
      </c>
      <c r="K2132" s="28"/>
      <c r="L2132" s="28" t="s">
        <v>7348</v>
      </c>
      <c r="M2132" s="28" t="s">
        <v>151</v>
      </c>
      <c r="N2132" s="28">
        <v>2007.0</v>
      </c>
      <c r="O2132" s="60">
        <v>14.0</v>
      </c>
      <c r="P2132" s="28">
        <v>1.0</v>
      </c>
      <c r="Q2132" s="94">
        <v>1.0</v>
      </c>
      <c r="R2132" s="33"/>
      <c r="S2132" s="34"/>
      <c r="T2132" s="34"/>
      <c r="U2132" s="34"/>
      <c r="V2132" s="34"/>
      <c r="W2132" s="34"/>
      <c r="X2132" s="34"/>
      <c r="Y2132" s="45"/>
      <c r="Z2132" s="45"/>
      <c r="AA2132" s="45"/>
      <c r="AB2132" s="45"/>
      <c r="AC2132" s="45"/>
      <c r="AD2132" s="45"/>
      <c r="AE2132" s="45"/>
      <c r="AF2132" s="45"/>
      <c r="AG2132" s="45"/>
      <c r="AH2132" s="45"/>
      <c r="AI2132" s="45"/>
      <c r="AJ2132" s="45"/>
      <c r="AK2132" s="45"/>
      <c r="AL2132" s="45"/>
    </row>
    <row r="2133" ht="15.75" customHeight="1">
      <c r="A2133" s="27">
        <f t="shared" si="21"/>
        <v>1012</v>
      </c>
      <c r="B2133" s="83" t="s">
        <v>7349</v>
      </c>
      <c r="C2133" s="83" t="s">
        <v>7350</v>
      </c>
      <c r="D2133" s="118" t="s">
        <v>7351</v>
      </c>
      <c r="E2133" s="83" t="s">
        <v>144</v>
      </c>
      <c r="F2133" s="83" t="s">
        <v>47</v>
      </c>
      <c r="G2133" s="83" t="s">
        <v>166</v>
      </c>
      <c r="H2133" s="83"/>
      <c r="I2133" s="83" t="s">
        <v>30</v>
      </c>
      <c r="J2133" s="83">
        <v>186.0</v>
      </c>
      <c r="K2133" s="83"/>
      <c r="L2133" s="83" t="s">
        <v>7352</v>
      </c>
      <c r="M2133" s="121" t="s">
        <v>7353</v>
      </c>
      <c r="N2133" s="83">
        <v>2011.0</v>
      </c>
      <c r="O2133" s="60">
        <v>14.0</v>
      </c>
      <c r="P2133" s="83">
        <v>1.0</v>
      </c>
      <c r="Q2133" s="83">
        <v>1.0</v>
      </c>
      <c r="R2133" s="84"/>
      <c r="S2133" s="34"/>
      <c r="T2133" s="34"/>
      <c r="U2133" s="34"/>
      <c r="V2133" s="34"/>
      <c r="W2133" s="34"/>
      <c r="X2133" s="34"/>
      <c r="Y2133" s="3"/>
      <c r="Z2133" s="3"/>
      <c r="AA2133" s="3"/>
      <c r="AB2133" s="3"/>
      <c r="AC2133" s="3"/>
      <c r="AD2133" s="3"/>
      <c r="AE2133" s="3"/>
      <c r="AF2133" s="3"/>
      <c r="AG2133" s="3"/>
      <c r="AH2133" s="3"/>
      <c r="AI2133" s="3"/>
      <c r="AJ2133" s="3"/>
      <c r="AK2133" s="3"/>
      <c r="AL2133" s="3"/>
    </row>
    <row r="2134" ht="15.75" customHeight="1">
      <c r="A2134" s="27">
        <f t="shared" si="21"/>
        <v>1013</v>
      </c>
      <c r="B2134" s="28" t="s">
        <v>7354</v>
      </c>
      <c r="C2134" s="29" t="s">
        <v>7355</v>
      </c>
      <c r="D2134" s="30" t="s">
        <v>7356</v>
      </c>
      <c r="E2134" s="28" t="s">
        <v>144</v>
      </c>
      <c r="F2134" s="28" t="s">
        <v>29</v>
      </c>
      <c r="G2134" s="28" t="s">
        <v>30</v>
      </c>
      <c r="H2134" s="28"/>
      <c r="I2134" s="28" t="s">
        <v>30</v>
      </c>
      <c r="J2134" s="28">
        <f>196+4</f>
        <v>200</v>
      </c>
      <c r="K2134" s="28"/>
      <c r="L2134" s="28" t="s">
        <v>145</v>
      </c>
      <c r="M2134" s="28" t="s">
        <v>7357</v>
      </c>
      <c r="N2134" s="28">
        <v>2003.0</v>
      </c>
      <c r="O2134" s="60">
        <v>14.0</v>
      </c>
      <c r="P2134" s="28">
        <v>1.0</v>
      </c>
      <c r="Q2134" s="32">
        <v>1.0</v>
      </c>
      <c r="R2134" s="33"/>
      <c r="S2134" s="185"/>
      <c r="T2134" s="185"/>
      <c r="U2134" s="185"/>
      <c r="V2134" s="185"/>
      <c r="W2134" s="185"/>
      <c r="X2134" s="185"/>
      <c r="Y2134" s="45"/>
      <c r="Z2134" s="45"/>
      <c r="AA2134" s="45"/>
      <c r="AB2134" s="45"/>
      <c r="AC2134" s="45"/>
      <c r="AD2134" s="45"/>
      <c r="AE2134" s="45"/>
      <c r="AF2134" s="45"/>
      <c r="AG2134" s="45"/>
      <c r="AH2134" s="45"/>
      <c r="AI2134" s="45"/>
      <c r="AJ2134" s="45"/>
      <c r="AK2134" s="45"/>
      <c r="AL2134" s="45"/>
    </row>
    <row r="2135" ht="15.75" customHeight="1">
      <c r="A2135" s="27">
        <f t="shared" si="21"/>
        <v>1014</v>
      </c>
      <c r="B2135" s="28" t="s">
        <v>31</v>
      </c>
      <c r="C2135" s="43" t="s">
        <v>7358</v>
      </c>
      <c r="D2135" s="30" t="s">
        <v>7359</v>
      </c>
      <c r="E2135" s="28"/>
      <c r="F2135" s="28" t="s">
        <v>29</v>
      </c>
      <c r="G2135" s="28" t="s">
        <v>37</v>
      </c>
      <c r="H2135" s="28" t="s">
        <v>31</v>
      </c>
      <c r="I2135" s="28" t="s">
        <v>38</v>
      </c>
      <c r="J2135" s="28">
        <v>198.0</v>
      </c>
      <c r="K2135" s="28"/>
      <c r="L2135" s="28" t="s">
        <v>7360</v>
      </c>
      <c r="M2135" s="28" t="s">
        <v>7361</v>
      </c>
      <c r="N2135" s="28">
        <v>1957.0</v>
      </c>
      <c r="O2135" s="60">
        <v>14.0</v>
      </c>
      <c r="P2135" s="28">
        <v>1.0</v>
      </c>
      <c r="Q2135" s="94">
        <v>1.0</v>
      </c>
      <c r="R2135" s="33"/>
      <c r="S2135" s="34"/>
      <c r="T2135" s="34"/>
      <c r="U2135" s="34"/>
      <c r="V2135" s="34"/>
      <c r="W2135" s="34"/>
      <c r="X2135" s="34"/>
      <c r="Y2135" s="45"/>
      <c r="Z2135" s="45"/>
      <c r="AA2135" s="45"/>
      <c r="AB2135" s="45"/>
      <c r="AC2135" s="45"/>
      <c r="AD2135" s="45"/>
      <c r="AE2135" s="45"/>
      <c r="AF2135" s="45"/>
      <c r="AG2135" s="45"/>
      <c r="AH2135" s="45"/>
      <c r="AI2135" s="45"/>
      <c r="AJ2135" s="45"/>
      <c r="AK2135" s="45"/>
      <c r="AL2135" s="45"/>
    </row>
    <row r="2136" ht="15.75" customHeight="1">
      <c r="A2136" s="27">
        <f t="shared" si="21"/>
        <v>1015</v>
      </c>
      <c r="B2136" s="28" t="s">
        <v>31</v>
      </c>
      <c r="C2136" s="43" t="s">
        <v>7362</v>
      </c>
      <c r="D2136" s="30" t="s">
        <v>7363</v>
      </c>
      <c r="E2136" s="28"/>
      <c r="F2136" s="28" t="s">
        <v>29</v>
      </c>
      <c r="G2136" s="28" t="s">
        <v>37</v>
      </c>
      <c r="H2136" s="28" t="s">
        <v>31</v>
      </c>
      <c r="I2136" s="28" t="s">
        <v>38</v>
      </c>
      <c r="J2136" s="28">
        <v>163.0</v>
      </c>
      <c r="K2136" s="28"/>
      <c r="L2136" s="28" t="s">
        <v>7360</v>
      </c>
      <c r="M2136" s="28" t="s">
        <v>7361</v>
      </c>
      <c r="N2136" s="28">
        <v>1956.0</v>
      </c>
      <c r="O2136" s="60">
        <v>14.0</v>
      </c>
      <c r="P2136" s="28">
        <v>1.0</v>
      </c>
      <c r="Q2136" s="94">
        <v>1.0</v>
      </c>
      <c r="R2136" s="33"/>
      <c r="S2136" s="116"/>
      <c r="T2136" s="116"/>
      <c r="U2136" s="116"/>
      <c r="V2136" s="116"/>
      <c r="W2136" s="116"/>
      <c r="X2136" s="116"/>
      <c r="Y2136" s="3"/>
      <c r="Z2136" s="3"/>
      <c r="AA2136" s="3"/>
      <c r="AB2136" s="3"/>
      <c r="AC2136" s="3"/>
      <c r="AD2136" s="3"/>
      <c r="AE2136" s="3"/>
      <c r="AF2136" s="3"/>
      <c r="AG2136" s="3"/>
      <c r="AH2136" s="3"/>
      <c r="AI2136" s="3"/>
      <c r="AJ2136" s="3"/>
      <c r="AK2136" s="3"/>
      <c r="AL2136" s="3"/>
    </row>
    <row r="2137" ht="15.75" customHeight="1">
      <c r="A2137" s="27">
        <f t="shared" si="21"/>
        <v>1016</v>
      </c>
      <c r="B2137" s="28" t="s">
        <v>31</v>
      </c>
      <c r="C2137" s="43" t="s">
        <v>7364</v>
      </c>
      <c r="D2137" s="30" t="s">
        <v>7365</v>
      </c>
      <c r="E2137" s="28"/>
      <c r="F2137" s="28" t="s">
        <v>29</v>
      </c>
      <c r="G2137" s="28" t="s">
        <v>37</v>
      </c>
      <c r="H2137" s="28" t="s">
        <v>31</v>
      </c>
      <c r="I2137" s="28" t="s">
        <v>38</v>
      </c>
      <c r="J2137" s="28">
        <v>182.0</v>
      </c>
      <c r="K2137" s="28"/>
      <c r="L2137" s="28" t="s">
        <v>7360</v>
      </c>
      <c r="M2137" s="28" t="s">
        <v>7361</v>
      </c>
      <c r="N2137" s="28">
        <v>1955.0</v>
      </c>
      <c r="O2137" s="60">
        <v>14.0</v>
      </c>
      <c r="P2137" s="28">
        <v>1.0</v>
      </c>
      <c r="Q2137" s="94">
        <v>1.0</v>
      </c>
      <c r="R2137" s="33"/>
      <c r="S2137" s="34"/>
      <c r="T2137" s="34"/>
      <c r="U2137" s="34"/>
      <c r="V2137" s="34"/>
      <c r="W2137" s="34"/>
      <c r="X2137" s="34"/>
      <c r="Y2137" s="3"/>
      <c r="Z2137" s="3"/>
      <c r="AA2137" s="3"/>
      <c r="AB2137" s="3"/>
      <c r="AC2137" s="3"/>
      <c r="AD2137" s="3"/>
      <c r="AE2137" s="3"/>
      <c r="AF2137" s="3"/>
      <c r="AG2137" s="3"/>
      <c r="AH2137" s="3"/>
      <c r="AI2137" s="3"/>
      <c r="AJ2137" s="3"/>
      <c r="AK2137" s="3"/>
      <c r="AL2137" s="3"/>
    </row>
    <row r="2138" ht="15.75" customHeight="1">
      <c r="A2138" s="27">
        <f t="shared" si="21"/>
        <v>1017</v>
      </c>
      <c r="B2138" s="28" t="s">
        <v>31</v>
      </c>
      <c r="C2138" s="43" t="s">
        <v>7366</v>
      </c>
      <c r="D2138" s="30" t="s">
        <v>7367</v>
      </c>
      <c r="E2138" s="28"/>
      <c r="F2138" s="28" t="s">
        <v>29</v>
      </c>
      <c r="G2138" s="28" t="s">
        <v>37</v>
      </c>
      <c r="H2138" s="28" t="s">
        <v>31</v>
      </c>
      <c r="I2138" s="28" t="s">
        <v>38</v>
      </c>
      <c r="J2138" s="28">
        <v>159.0</v>
      </c>
      <c r="K2138" s="28"/>
      <c r="L2138" s="28" t="s">
        <v>7360</v>
      </c>
      <c r="M2138" s="28" t="s">
        <v>7361</v>
      </c>
      <c r="N2138" s="28">
        <v>1954.0</v>
      </c>
      <c r="O2138" s="60">
        <v>14.0</v>
      </c>
      <c r="P2138" s="28">
        <v>1.0</v>
      </c>
      <c r="Q2138" s="94">
        <v>1.0</v>
      </c>
      <c r="R2138" s="33"/>
      <c r="S2138" s="116"/>
      <c r="T2138" s="116"/>
      <c r="U2138" s="116"/>
      <c r="V2138" s="116"/>
      <c r="W2138" s="116"/>
      <c r="X2138" s="116"/>
      <c r="Y2138" s="45"/>
      <c r="Z2138" s="45"/>
      <c r="AA2138" s="45"/>
      <c r="AB2138" s="45"/>
      <c r="AC2138" s="45"/>
      <c r="AD2138" s="45"/>
      <c r="AE2138" s="45"/>
      <c r="AF2138" s="45"/>
      <c r="AG2138" s="45"/>
      <c r="AH2138" s="45"/>
      <c r="AI2138" s="45"/>
      <c r="AJ2138" s="45"/>
      <c r="AK2138" s="45"/>
      <c r="AL2138" s="45"/>
    </row>
    <row r="2139" ht="15.75" customHeight="1">
      <c r="A2139" s="27">
        <f t="shared" si="21"/>
        <v>1018</v>
      </c>
      <c r="B2139" s="28" t="s">
        <v>31</v>
      </c>
      <c r="C2139" s="43" t="s">
        <v>7368</v>
      </c>
      <c r="D2139" s="30" t="s">
        <v>7369</v>
      </c>
      <c r="E2139" s="28"/>
      <c r="F2139" s="28" t="s">
        <v>29</v>
      </c>
      <c r="G2139" s="28" t="s">
        <v>37</v>
      </c>
      <c r="H2139" s="28" t="s">
        <v>31</v>
      </c>
      <c r="I2139" s="28" t="s">
        <v>38</v>
      </c>
      <c r="J2139" s="28">
        <v>172.0</v>
      </c>
      <c r="K2139" s="28"/>
      <c r="L2139" s="28" t="s">
        <v>7360</v>
      </c>
      <c r="M2139" s="28" t="s">
        <v>7361</v>
      </c>
      <c r="N2139" s="28">
        <v>1953.0</v>
      </c>
      <c r="O2139" s="60">
        <v>14.0</v>
      </c>
      <c r="P2139" s="28">
        <v>1.0</v>
      </c>
      <c r="Q2139" s="94">
        <v>1.0</v>
      </c>
      <c r="R2139" s="33"/>
      <c r="S2139" s="34"/>
      <c r="T2139" s="34"/>
      <c r="U2139" s="34"/>
      <c r="V2139" s="34"/>
      <c r="W2139" s="34"/>
      <c r="X2139" s="34"/>
      <c r="Y2139" s="3"/>
      <c r="Z2139" s="3"/>
      <c r="AA2139" s="3"/>
      <c r="AB2139" s="3"/>
      <c r="AC2139" s="3"/>
      <c r="AD2139" s="3"/>
      <c r="AE2139" s="3"/>
      <c r="AF2139" s="3"/>
      <c r="AG2139" s="3"/>
      <c r="AH2139" s="3"/>
      <c r="AI2139" s="3"/>
      <c r="AJ2139" s="3"/>
      <c r="AK2139" s="3"/>
      <c r="AL2139" s="3"/>
    </row>
    <row r="2140" ht="15.75" customHeight="1">
      <c r="A2140" s="27">
        <f t="shared" si="21"/>
        <v>1019</v>
      </c>
      <c r="B2140" s="28" t="s">
        <v>7370</v>
      </c>
      <c r="C2140" s="43" t="s">
        <v>7371</v>
      </c>
      <c r="D2140" s="30" t="s">
        <v>7372</v>
      </c>
      <c r="E2140" s="28" t="s">
        <v>144</v>
      </c>
      <c r="F2140" s="28" t="s">
        <v>29</v>
      </c>
      <c r="G2140" s="28" t="s">
        <v>37</v>
      </c>
      <c r="H2140" s="28"/>
      <c r="I2140" s="28" t="s">
        <v>38</v>
      </c>
      <c r="J2140" s="28">
        <f>364+12</f>
        <v>376</v>
      </c>
      <c r="K2140" s="28"/>
      <c r="L2140" s="28" t="s">
        <v>7373</v>
      </c>
      <c r="M2140" s="28" t="s">
        <v>7374</v>
      </c>
      <c r="N2140" s="28">
        <v>1984.0</v>
      </c>
      <c r="O2140" s="60">
        <v>14.0</v>
      </c>
      <c r="P2140" s="28">
        <v>1.0</v>
      </c>
      <c r="Q2140" s="32">
        <v>1.0</v>
      </c>
      <c r="R2140" s="33"/>
      <c r="S2140" s="34"/>
      <c r="T2140" s="34"/>
      <c r="U2140" s="34"/>
      <c r="V2140" s="34"/>
      <c r="W2140" s="34"/>
      <c r="X2140" s="34"/>
      <c r="Y2140" s="3"/>
      <c r="Z2140" s="3"/>
      <c r="AA2140" s="3"/>
      <c r="AB2140" s="3"/>
      <c r="AC2140" s="3"/>
      <c r="AD2140" s="3"/>
      <c r="AE2140" s="3"/>
      <c r="AF2140" s="3"/>
      <c r="AG2140" s="3"/>
      <c r="AH2140" s="3"/>
      <c r="AI2140" s="3"/>
      <c r="AJ2140" s="3"/>
      <c r="AK2140" s="3"/>
      <c r="AL2140" s="3"/>
    </row>
    <row r="2141" ht="15.75" customHeight="1">
      <c r="A2141" s="27">
        <f t="shared" si="21"/>
        <v>1020</v>
      </c>
      <c r="B2141" s="28" t="s">
        <v>7375</v>
      </c>
      <c r="C2141" s="43" t="s">
        <v>7376</v>
      </c>
      <c r="D2141" s="30" t="s">
        <v>7377</v>
      </c>
      <c r="E2141" s="28" t="s">
        <v>31</v>
      </c>
      <c r="F2141" s="28" t="s">
        <v>29</v>
      </c>
      <c r="G2141" s="28" t="s">
        <v>30</v>
      </c>
      <c r="H2141" s="28"/>
      <c r="I2141" s="28" t="s">
        <v>30</v>
      </c>
      <c r="J2141" s="28">
        <v>118.0</v>
      </c>
      <c r="K2141" s="28"/>
      <c r="L2141" s="28" t="s">
        <v>7378</v>
      </c>
      <c r="M2141" s="28" t="s">
        <v>7379</v>
      </c>
      <c r="N2141" s="28">
        <v>2002.0</v>
      </c>
      <c r="O2141" s="60">
        <v>14.0</v>
      </c>
      <c r="P2141" s="28">
        <v>1.0</v>
      </c>
      <c r="Q2141" s="94">
        <v>1.0</v>
      </c>
      <c r="R2141" s="33"/>
      <c r="S2141" s="116"/>
      <c r="T2141" s="116"/>
      <c r="U2141" s="116"/>
      <c r="V2141" s="116"/>
      <c r="W2141" s="116"/>
      <c r="X2141" s="116"/>
      <c r="Y2141" s="3"/>
      <c r="Z2141" s="3"/>
      <c r="AA2141" s="3"/>
      <c r="AB2141" s="3"/>
      <c r="AC2141" s="3"/>
      <c r="AD2141" s="3"/>
      <c r="AE2141" s="3"/>
      <c r="AF2141" s="3"/>
      <c r="AG2141" s="3"/>
      <c r="AH2141" s="3"/>
      <c r="AI2141" s="3"/>
      <c r="AJ2141" s="3"/>
      <c r="AK2141" s="3"/>
      <c r="AL2141" s="3"/>
    </row>
    <row r="2142" ht="15.75" customHeight="1">
      <c r="A2142" s="27">
        <f t="shared" si="21"/>
        <v>1021</v>
      </c>
      <c r="B2142" s="28" t="s">
        <v>31</v>
      </c>
      <c r="C2142" s="43" t="s">
        <v>7380</v>
      </c>
      <c r="D2142" s="30" t="s">
        <v>7381</v>
      </c>
      <c r="E2142" s="28" t="s">
        <v>31</v>
      </c>
      <c r="F2142" s="28" t="s">
        <v>29</v>
      </c>
      <c r="G2142" s="28" t="s">
        <v>37</v>
      </c>
      <c r="H2142" s="28"/>
      <c r="I2142" s="28" t="s">
        <v>38</v>
      </c>
      <c r="J2142" s="28">
        <v>128.0</v>
      </c>
      <c r="K2142" s="28"/>
      <c r="L2142" s="28" t="s">
        <v>7382</v>
      </c>
      <c r="M2142" s="28" t="s">
        <v>356</v>
      </c>
      <c r="N2142" s="28" t="s">
        <v>31</v>
      </c>
      <c r="O2142" s="60">
        <v>14.0</v>
      </c>
      <c r="P2142" s="28">
        <v>1.0</v>
      </c>
      <c r="Q2142" s="32">
        <v>1.0</v>
      </c>
      <c r="R2142" s="33"/>
      <c r="S2142" s="116"/>
      <c r="T2142" s="116"/>
      <c r="U2142" s="116"/>
      <c r="V2142" s="116"/>
      <c r="W2142" s="116"/>
      <c r="X2142" s="116"/>
      <c r="Y2142" s="3"/>
      <c r="Z2142" s="3"/>
      <c r="AA2142" s="3"/>
      <c r="AB2142" s="3"/>
      <c r="AC2142" s="3"/>
      <c r="AD2142" s="3"/>
      <c r="AE2142" s="3"/>
      <c r="AF2142" s="3"/>
      <c r="AG2142" s="3"/>
      <c r="AH2142" s="3"/>
      <c r="AI2142" s="3"/>
      <c r="AJ2142" s="3"/>
      <c r="AK2142" s="3"/>
      <c r="AL2142" s="3"/>
    </row>
    <row r="2143" ht="15.75" customHeight="1">
      <c r="A2143" s="27">
        <f t="shared" si="21"/>
        <v>1022</v>
      </c>
      <c r="B2143" s="28" t="s">
        <v>7383</v>
      </c>
      <c r="C2143" s="43" t="s">
        <v>7384</v>
      </c>
      <c r="D2143" s="30" t="s">
        <v>7385</v>
      </c>
      <c r="E2143" s="28" t="s">
        <v>31</v>
      </c>
      <c r="F2143" s="28" t="s">
        <v>29</v>
      </c>
      <c r="G2143" s="28" t="s">
        <v>1244</v>
      </c>
      <c r="H2143" s="28"/>
      <c r="I2143" s="28" t="s">
        <v>38</v>
      </c>
      <c r="J2143" s="28">
        <v>462.0</v>
      </c>
      <c r="K2143" s="28"/>
      <c r="L2143" s="28" t="s">
        <v>7386</v>
      </c>
      <c r="M2143" s="28" t="s">
        <v>7387</v>
      </c>
      <c r="N2143" s="28">
        <v>2004.0</v>
      </c>
      <c r="O2143" s="60">
        <v>14.0</v>
      </c>
      <c r="P2143" s="28">
        <v>1.0</v>
      </c>
      <c r="Q2143" s="32">
        <v>1.0</v>
      </c>
      <c r="R2143" s="33"/>
      <c r="S2143" s="116"/>
      <c r="T2143" s="116"/>
      <c r="U2143" s="116"/>
      <c r="V2143" s="116"/>
      <c r="W2143" s="116"/>
      <c r="X2143" s="116"/>
      <c r="Y2143" s="45"/>
      <c r="Z2143" s="45"/>
      <c r="AA2143" s="45"/>
      <c r="AB2143" s="45"/>
      <c r="AC2143" s="45"/>
      <c r="AD2143" s="45"/>
      <c r="AE2143" s="45"/>
      <c r="AF2143" s="45"/>
      <c r="AG2143" s="45"/>
      <c r="AH2143" s="45"/>
      <c r="AI2143" s="45"/>
      <c r="AJ2143" s="45"/>
      <c r="AK2143" s="45"/>
      <c r="AL2143" s="45"/>
    </row>
    <row r="2144" ht="15.75" customHeight="1">
      <c r="A2144" s="27">
        <f t="shared" si="21"/>
        <v>1023</v>
      </c>
      <c r="B2144" s="28" t="s">
        <v>7388</v>
      </c>
      <c r="C2144" s="43" t="s">
        <v>7389</v>
      </c>
      <c r="D2144" s="30" t="s">
        <v>7390</v>
      </c>
      <c r="E2144" s="28" t="s">
        <v>31</v>
      </c>
      <c r="F2144" s="28" t="s">
        <v>29</v>
      </c>
      <c r="G2144" s="28" t="s">
        <v>127</v>
      </c>
      <c r="H2144" s="28"/>
      <c r="I2144" s="28" t="s">
        <v>38</v>
      </c>
      <c r="J2144" s="28">
        <v>371.0</v>
      </c>
      <c r="K2144" s="28"/>
      <c r="L2144" s="28" t="s">
        <v>7391</v>
      </c>
      <c r="M2144" s="28" t="s">
        <v>7392</v>
      </c>
      <c r="N2144" s="28">
        <v>2003.0</v>
      </c>
      <c r="O2144" s="60">
        <v>14.0</v>
      </c>
      <c r="P2144" s="28">
        <v>1.0</v>
      </c>
      <c r="Q2144" s="32">
        <v>1.0</v>
      </c>
      <c r="R2144" s="33"/>
      <c r="S2144" s="116"/>
      <c r="T2144" s="116"/>
      <c r="U2144" s="116"/>
      <c r="V2144" s="116"/>
      <c r="W2144" s="116"/>
      <c r="X2144" s="116"/>
      <c r="Y2144" s="45"/>
      <c r="Z2144" s="45"/>
      <c r="AA2144" s="45"/>
      <c r="AB2144" s="45"/>
      <c r="AC2144" s="45"/>
      <c r="AD2144" s="45"/>
      <c r="AE2144" s="45"/>
      <c r="AF2144" s="45"/>
      <c r="AG2144" s="45"/>
      <c r="AH2144" s="45"/>
      <c r="AI2144" s="45"/>
      <c r="AJ2144" s="45"/>
      <c r="AK2144" s="45"/>
      <c r="AL2144" s="45"/>
    </row>
    <row r="2145" ht="15.75" customHeight="1">
      <c r="A2145" s="27">
        <f t="shared" si="21"/>
        <v>1024</v>
      </c>
      <c r="B2145" s="121" t="s">
        <v>7393</v>
      </c>
      <c r="C2145" s="121" t="s">
        <v>7394</v>
      </c>
      <c r="D2145" s="119" t="s">
        <v>7395</v>
      </c>
      <c r="E2145" s="83"/>
      <c r="F2145" s="121" t="s">
        <v>29</v>
      </c>
      <c r="G2145" s="121" t="s">
        <v>37</v>
      </c>
      <c r="H2145" s="83"/>
      <c r="I2145" s="121" t="s">
        <v>38</v>
      </c>
      <c r="J2145" s="121">
        <v>518.0</v>
      </c>
      <c r="K2145" s="83"/>
      <c r="L2145" s="121" t="s">
        <v>820</v>
      </c>
      <c r="M2145" s="121" t="s">
        <v>250</v>
      </c>
      <c r="N2145" s="121">
        <v>2008.0</v>
      </c>
      <c r="O2145" s="60">
        <v>14.0</v>
      </c>
      <c r="P2145" s="121">
        <v>1.0</v>
      </c>
      <c r="Q2145" s="121">
        <v>1.0</v>
      </c>
      <c r="R2145" s="84"/>
      <c r="S2145" s="34"/>
      <c r="T2145" s="34"/>
      <c r="U2145" s="34"/>
      <c r="V2145" s="34"/>
      <c r="W2145" s="34"/>
      <c r="X2145" s="34"/>
      <c r="Y2145" s="3"/>
      <c r="Z2145" s="3"/>
      <c r="AA2145" s="3"/>
      <c r="AB2145" s="3"/>
      <c r="AC2145" s="3"/>
      <c r="AD2145" s="3"/>
      <c r="AE2145" s="3"/>
      <c r="AF2145" s="3"/>
      <c r="AG2145" s="3"/>
      <c r="AH2145" s="3"/>
      <c r="AI2145" s="3"/>
      <c r="AJ2145" s="3"/>
      <c r="AK2145" s="3"/>
      <c r="AL2145" s="3"/>
    </row>
    <row r="2146" ht="15.75" customHeight="1">
      <c r="A2146" s="27">
        <f t="shared" si="21"/>
        <v>1025</v>
      </c>
      <c r="B2146" s="28"/>
      <c r="C2146" s="43" t="s">
        <v>7396</v>
      </c>
      <c r="D2146" s="30" t="s">
        <v>7397</v>
      </c>
      <c r="E2146" s="28" t="s">
        <v>31</v>
      </c>
      <c r="F2146" s="28" t="s">
        <v>29</v>
      </c>
      <c r="G2146" s="28" t="s">
        <v>37</v>
      </c>
      <c r="H2146" s="28"/>
      <c r="I2146" s="28" t="s">
        <v>38</v>
      </c>
      <c r="J2146" s="28">
        <v>191.0</v>
      </c>
      <c r="K2146" s="28"/>
      <c r="L2146" s="28" t="s">
        <v>7398</v>
      </c>
      <c r="M2146" s="28" t="s">
        <v>7399</v>
      </c>
      <c r="N2146" s="28">
        <v>1968.0</v>
      </c>
      <c r="O2146" s="60">
        <v>14.0</v>
      </c>
      <c r="P2146" s="28">
        <v>1.0</v>
      </c>
      <c r="Q2146" s="94">
        <v>1.0</v>
      </c>
      <c r="R2146" s="33"/>
      <c r="S2146" s="34"/>
      <c r="T2146" s="34"/>
      <c r="U2146" s="34"/>
      <c r="V2146" s="34"/>
      <c r="W2146" s="34"/>
      <c r="X2146" s="34"/>
      <c r="Y2146" s="3"/>
      <c r="Z2146" s="3"/>
      <c r="AA2146" s="3"/>
      <c r="AB2146" s="3"/>
      <c r="AC2146" s="3"/>
      <c r="AD2146" s="3"/>
      <c r="AE2146" s="3"/>
      <c r="AF2146" s="3"/>
      <c r="AG2146" s="3"/>
      <c r="AH2146" s="3"/>
      <c r="AI2146" s="3"/>
      <c r="AJ2146" s="3"/>
      <c r="AK2146" s="3"/>
      <c r="AL2146" s="3"/>
    </row>
    <row r="2147" ht="15.75" customHeight="1">
      <c r="A2147" s="27">
        <f t="shared" si="21"/>
        <v>1026</v>
      </c>
      <c r="B2147" s="28" t="s">
        <v>7400</v>
      </c>
      <c r="C2147" s="43" t="s">
        <v>7401</v>
      </c>
      <c r="D2147" s="30" t="s">
        <v>7402</v>
      </c>
      <c r="E2147" s="28"/>
      <c r="F2147" s="28" t="s">
        <v>29</v>
      </c>
      <c r="G2147" s="28" t="s">
        <v>37</v>
      </c>
      <c r="H2147" s="28" t="s">
        <v>31</v>
      </c>
      <c r="I2147" s="28" t="s">
        <v>38</v>
      </c>
      <c r="J2147" s="28">
        <v>580.0</v>
      </c>
      <c r="K2147" s="28"/>
      <c r="L2147" s="28" t="s">
        <v>7403</v>
      </c>
      <c r="M2147" s="28" t="s">
        <v>2388</v>
      </c>
      <c r="N2147" s="28">
        <v>1983.0</v>
      </c>
      <c r="O2147" s="60">
        <v>14.0</v>
      </c>
      <c r="P2147" s="28">
        <v>1.0</v>
      </c>
      <c r="Q2147" s="94">
        <v>1.0</v>
      </c>
      <c r="R2147" s="33"/>
      <c r="S2147" s="34"/>
      <c r="T2147" s="34"/>
      <c r="U2147" s="34"/>
      <c r="V2147" s="34"/>
      <c r="W2147" s="34"/>
      <c r="X2147" s="34"/>
      <c r="Y2147" s="3"/>
      <c r="Z2147" s="3"/>
      <c r="AA2147" s="3"/>
      <c r="AB2147" s="3"/>
      <c r="AC2147" s="3"/>
      <c r="AD2147" s="3"/>
      <c r="AE2147" s="3"/>
      <c r="AF2147" s="3"/>
      <c r="AG2147" s="3"/>
      <c r="AH2147" s="3"/>
      <c r="AI2147" s="3"/>
      <c r="AJ2147" s="3"/>
      <c r="AK2147" s="3"/>
      <c r="AL2147" s="3"/>
    </row>
    <row r="2148" ht="15.75" customHeight="1">
      <c r="A2148" s="27">
        <f t="shared" si="21"/>
        <v>1027</v>
      </c>
      <c r="B2148" s="28"/>
      <c r="C2148" s="43" t="s">
        <v>7404</v>
      </c>
      <c r="D2148" s="30" t="s">
        <v>7405</v>
      </c>
      <c r="E2148" s="28" t="s">
        <v>31</v>
      </c>
      <c r="F2148" s="28" t="s">
        <v>29</v>
      </c>
      <c r="G2148" s="28" t="s">
        <v>31</v>
      </c>
      <c r="H2148" s="28"/>
      <c r="I2148" s="28" t="s">
        <v>38</v>
      </c>
      <c r="J2148" s="28">
        <v>127.0</v>
      </c>
      <c r="K2148" s="28"/>
      <c r="L2148" s="28" t="s">
        <v>7406</v>
      </c>
      <c r="M2148" s="28" t="s">
        <v>65</v>
      </c>
      <c r="N2148" s="28">
        <v>1957.0</v>
      </c>
      <c r="O2148" s="60">
        <v>14.0</v>
      </c>
      <c r="P2148" s="28">
        <v>1.0</v>
      </c>
      <c r="Q2148" s="94">
        <v>2.0</v>
      </c>
      <c r="R2148" s="33"/>
      <c r="S2148" s="34"/>
      <c r="T2148" s="34"/>
      <c r="U2148" s="34"/>
      <c r="V2148" s="34"/>
      <c r="W2148" s="34"/>
      <c r="X2148" s="34"/>
      <c r="Y2148" s="3"/>
      <c r="Z2148" s="3"/>
      <c r="AA2148" s="3"/>
      <c r="AB2148" s="3"/>
      <c r="AC2148" s="3"/>
      <c r="AD2148" s="3"/>
      <c r="AE2148" s="3"/>
      <c r="AF2148" s="3"/>
      <c r="AG2148" s="3"/>
      <c r="AH2148" s="3"/>
      <c r="AI2148" s="3"/>
      <c r="AJ2148" s="3"/>
      <c r="AK2148" s="3"/>
      <c r="AL2148" s="3"/>
    </row>
    <row r="2149" ht="15.75" customHeight="1">
      <c r="A2149" s="27">
        <f t="shared" si="21"/>
        <v>1028</v>
      </c>
      <c r="B2149" s="28" t="s">
        <v>7407</v>
      </c>
      <c r="C2149" s="43" t="s">
        <v>7408</v>
      </c>
      <c r="D2149" s="30" t="s">
        <v>7409</v>
      </c>
      <c r="E2149" s="28" t="s">
        <v>31</v>
      </c>
      <c r="F2149" s="28" t="s">
        <v>29</v>
      </c>
      <c r="G2149" s="28" t="s">
        <v>37</v>
      </c>
      <c r="H2149" s="28"/>
      <c r="I2149" s="28" t="s">
        <v>38</v>
      </c>
      <c r="J2149" s="28">
        <v>383.0</v>
      </c>
      <c r="K2149" s="28"/>
      <c r="L2149" s="28" t="s">
        <v>7410</v>
      </c>
      <c r="M2149" s="28" t="s">
        <v>7411</v>
      </c>
      <c r="N2149" s="28">
        <v>1980.0</v>
      </c>
      <c r="O2149" s="60">
        <v>14.0</v>
      </c>
      <c r="P2149" s="28">
        <v>1.0</v>
      </c>
      <c r="Q2149" s="32">
        <v>1.0</v>
      </c>
      <c r="R2149" s="33"/>
      <c r="S2149" s="34"/>
      <c r="T2149" s="34"/>
      <c r="U2149" s="34"/>
      <c r="V2149" s="34"/>
      <c r="W2149" s="34"/>
      <c r="X2149" s="34"/>
      <c r="Y2149" s="3"/>
      <c r="Z2149" s="3"/>
      <c r="AA2149" s="3"/>
      <c r="AB2149" s="3"/>
      <c r="AC2149" s="3"/>
      <c r="AD2149" s="3"/>
      <c r="AE2149" s="3"/>
      <c r="AF2149" s="3"/>
      <c r="AG2149" s="3"/>
      <c r="AH2149" s="3"/>
      <c r="AI2149" s="3"/>
      <c r="AJ2149" s="3"/>
      <c r="AK2149" s="3"/>
      <c r="AL2149" s="3"/>
    </row>
    <row r="2150" ht="15.75" customHeight="1">
      <c r="A2150" s="27">
        <f t="shared" si="21"/>
        <v>1029</v>
      </c>
      <c r="B2150" s="28" t="s">
        <v>7412</v>
      </c>
      <c r="C2150" s="43" t="s">
        <v>7413</v>
      </c>
      <c r="D2150" s="30" t="s">
        <v>7414</v>
      </c>
      <c r="E2150" s="28" t="s">
        <v>31</v>
      </c>
      <c r="F2150" s="28" t="s">
        <v>29</v>
      </c>
      <c r="G2150" s="28" t="s">
        <v>30</v>
      </c>
      <c r="H2150" s="28"/>
      <c r="I2150" s="28" t="s">
        <v>30</v>
      </c>
      <c r="J2150" s="28">
        <v>157.0</v>
      </c>
      <c r="K2150" s="28"/>
      <c r="L2150" s="28" t="s">
        <v>4008</v>
      </c>
      <c r="M2150" s="28" t="s">
        <v>4009</v>
      </c>
      <c r="N2150" s="28">
        <v>2007.0</v>
      </c>
      <c r="O2150" s="60">
        <v>14.0</v>
      </c>
      <c r="P2150" s="28">
        <v>1.0</v>
      </c>
      <c r="Q2150" s="32">
        <v>1.0</v>
      </c>
      <c r="R2150" s="33"/>
      <c r="S2150" s="34"/>
      <c r="T2150" s="34"/>
      <c r="U2150" s="34"/>
      <c r="V2150" s="34"/>
      <c r="W2150" s="34"/>
      <c r="X2150" s="34"/>
      <c r="Y2150" s="3"/>
      <c r="Z2150" s="3"/>
      <c r="AA2150" s="3"/>
      <c r="AB2150" s="3"/>
      <c r="AC2150" s="3"/>
      <c r="AD2150" s="3"/>
      <c r="AE2150" s="3"/>
      <c r="AF2150" s="3"/>
      <c r="AG2150" s="3"/>
      <c r="AH2150" s="3"/>
      <c r="AI2150" s="3"/>
      <c r="AJ2150" s="3"/>
      <c r="AK2150" s="3"/>
      <c r="AL2150" s="3"/>
    </row>
    <row r="2151" ht="15.75" customHeight="1">
      <c r="A2151" s="27">
        <f t="shared" si="21"/>
        <v>1030</v>
      </c>
      <c r="B2151" s="28" t="s">
        <v>7415</v>
      </c>
      <c r="C2151" s="43" t="s">
        <v>7416</v>
      </c>
      <c r="D2151" s="30" t="s">
        <v>7417</v>
      </c>
      <c r="E2151" s="28" t="s">
        <v>31</v>
      </c>
      <c r="F2151" s="28" t="s">
        <v>29</v>
      </c>
      <c r="G2151" s="28" t="s">
        <v>37</v>
      </c>
      <c r="H2151" s="28"/>
      <c r="I2151" s="28" t="s">
        <v>38</v>
      </c>
      <c r="J2151" s="28">
        <v>122.0</v>
      </c>
      <c r="K2151" s="28"/>
      <c r="L2151" s="28" t="s">
        <v>7418</v>
      </c>
      <c r="M2151" s="28" t="s">
        <v>219</v>
      </c>
      <c r="N2151" s="28">
        <v>1972.0</v>
      </c>
      <c r="O2151" s="60">
        <v>14.0</v>
      </c>
      <c r="P2151" s="28">
        <v>1.0</v>
      </c>
      <c r="Q2151" s="32"/>
      <c r="R2151" s="33"/>
      <c r="S2151" s="34"/>
      <c r="T2151" s="34"/>
      <c r="U2151" s="34"/>
      <c r="V2151" s="34"/>
      <c r="W2151" s="34"/>
      <c r="X2151" s="34"/>
      <c r="Y2151" s="3"/>
      <c r="Z2151" s="3"/>
      <c r="AA2151" s="3"/>
      <c r="AB2151" s="3"/>
      <c r="AC2151" s="3"/>
      <c r="AD2151" s="3"/>
      <c r="AE2151" s="3"/>
      <c r="AF2151" s="3"/>
      <c r="AG2151" s="3"/>
      <c r="AH2151" s="3"/>
      <c r="AI2151" s="3"/>
      <c r="AJ2151" s="3"/>
      <c r="AK2151" s="3"/>
      <c r="AL2151" s="3"/>
    </row>
    <row r="2152" ht="15.75" customHeight="1">
      <c r="A2152" s="27">
        <f t="shared" si="21"/>
        <v>1031</v>
      </c>
      <c r="B2152" s="28" t="s">
        <v>7419</v>
      </c>
      <c r="C2152" s="43" t="s">
        <v>7420</v>
      </c>
      <c r="D2152" s="30" t="s">
        <v>7421</v>
      </c>
      <c r="E2152" s="28"/>
      <c r="F2152" s="28" t="s">
        <v>29</v>
      </c>
      <c r="G2152" s="28" t="s">
        <v>37</v>
      </c>
      <c r="H2152" s="28" t="s">
        <v>31</v>
      </c>
      <c r="I2152" s="28" t="s">
        <v>38</v>
      </c>
      <c r="J2152" s="28">
        <v>278.0</v>
      </c>
      <c r="K2152" s="28"/>
      <c r="L2152" s="28" t="s">
        <v>7422</v>
      </c>
      <c r="M2152" s="28" t="s">
        <v>2388</v>
      </c>
      <c r="N2152" s="28">
        <v>1996.0</v>
      </c>
      <c r="O2152" s="60">
        <v>14.0</v>
      </c>
      <c r="P2152" s="28">
        <v>1.0</v>
      </c>
      <c r="Q2152" s="94">
        <v>1.0</v>
      </c>
      <c r="R2152" s="33"/>
      <c r="S2152" s="34"/>
      <c r="T2152" s="34"/>
      <c r="U2152" s="34"/>
      <c r="V2152" s="34"/>
      <c r="W2152" s="34"/>
      <c r="X2152" s="34"/>
      <c r="Y2152" s="3"/>
      <c r="Z2152" s="3"/>
      <c r="AA2152" s="3"/>
      <c r="AB2152" s="3"/>
      <c r="AC2152" s="3"/>
      <c r="AD2152" s="3"/>
      <c r="AE2152" s="3"/>
      <c r="AF2152" s="3"/>
      <c r="AG2152" s="3"/>
      <c r="AH2152" s="3"/>
      <c r="AI2152" s="3"/>
      <c r="AJ2152" s="3"/>
      <c r="AK2152" s="3"/>
      <c r="AL2152" s="3"/>
    </row>
    <row r="2153" ht="15.75" customHeight="1">
      <c r="A2153" s="27">
        <f t="shared" si="21"/>
        <v>1032</v>
      </c>
      <c r="B2153" s="28" t="s">
        <v>7423</v>
      </c>
      <c r="C2153" s="43" t="s">
        <v>7424</v>
      </c>
      <c r="D2153" s="30" t="s">
        <v>7425</v>
      </c>
      <c r="E2153" s="28"/>
      <c r="F2153" s="28" t="s">
        <v>29</v>
      </c>
      <c r="G2153" s="28" t="s">
        <v>37</v>
      </c>
      <c r="H2153" s="28" t="s">
        <v>31</v>
      </c>
      <c r="I2153" s="28" t="s">
        <v>38</v>
      </c>
      <c r="J2153" s="28">
        <v>374.0</v>
      </c>
      <c r="K2153" s="28"/>
      <c r="L2153" s="28" t="s">
        <v>5826</v>
      </c>
      <c r="M2153" s="28" t="s">
        <v>2388</v>
      </c>
      <c r="N2153" s="28">
        <v>1974.0</v>
      </c>
      <c r="O2153" s="60">
        <v>14.0</v>
      </c>
      <c r="P2153" s="28">
        <v>4.0</v>
      </c>
      <c r="Q2153" s="32">
        <v>4.0</v>
      </c>
      <c r="R2153" s="33"/>
      <c r="S2153" s="34"/>
      <c r="T2153" s="34"/>
      <c r="U2153" s="34"/>
      <c r="V2153" s="34"/>
      <c r="W2153" s="34"/>
      <c r="X2153" s="34"/>
      <c r="Y2153" s="3"/>
      <c r="Z2153" s="3"/>
      <c r="AA2153" s="3"/>
      <c r="AB2153" s="3"/>
      <c r="AC2153" s="3"/>
      <c r="AD2153" s="3"/>
      <c r="AE2153" s="3"/>
      <c r="AF2153" s="3"/>
      <c r="AG2153" s="3"/>
      <c r="AH2153" s="3"/>
      <c r="AI2153" s="3"/>
      <c r="AJ2153" s="3"/>
      <c r="AK2153" s="3"/>
      <c r="AL2153" s="3"/>
    </row>
    <row r="2154" ht="15.75" customHeight="1">
      <c r="A2154" s="27">
        <f t="shared" si="21"/>
        <v>1033</v>
      </c>
      <c r="B2154" s="28" t="s">
        <v>7426</v>
      </c>
      <c r="C2154" s="43" t="s">
        <v>7427</v>
      </c>
      <c r="D2154" s="30" t="s">
        <v>7428</v>
      </c>
      <c r="E2154" s="28" t="s">
        <v>31</v>
      </c>
      <c r="F2154" s="28" t="s">
        <v>29</v>
      </c>
      <c r="G2154" s="28" t="s">
        <v>30</v>
      </c>
      <c r="H2154" s="28"/>
      <c r="I2154" s="28" t="s">
        <v>30</v>
      </c>
      <c r="J2154" s="28">
        <v>86.0</v>
      </c>
      <c r="K2154" s="28"/>
      <c r="L2154" s="28" t="s">
        <v>7429</v>
      </c>
      <c r="M2154" s="28" t="s">
        <v>2414</v>
      </c>
      <c r="N2154" s="28">
        <v>2012.0</v>
      </c>
      <c r="O2154" s="60">
        <v>14.0</v>
      </c>
      <c r="P2154" s="28">
        <v>1.0</v>
      </c>
      <c r="Q2154" s="32">
        <v>1.0</v>
      </c>
      <c r="R2154" s="33"/>
      <c r="S2154" s="185"/>
      <c r="T2154" s="185"/>
      <c r="U2154" s="185"/>
      <c r="V2154" s="185"/>
      <c r="W2154" s="185"/>
      <c r="X2154" s="185"/>
      <c r="Y2154" s="45"/>
      <c r="Z2154" s="45"/>
      <c r="AA2154" s="45"/>
      <c r="AB2154" s="45"/>
      <c r="AC2154" s="45"/>
      <c r="AD2154" s="45"/>
      <c r="AE2154" s="45"/>
      <c r="AF2154" s="45"/>
      <c r="AG2154" s="45"/>
      <c r="AH2154" s="45"/>
      <c r="AI2154" s="45"/>
      <c r="AJ2154" s="45"/>
      <c r="AK2154" s="45"/>
      <c r="AL2154" s="45"/>
    </row>
    <row r="2155" ht="15.75" customHeight="1">
      <c r="A2155" s="27">
        <f t="shared" si="21"/>
        <v>1034</v>
      </c>
      <c r="B2155" s="28" t="s">
        <v>7430</v>
      </c>
      <c r="C2155" s="43" t="s">
        <v>7431</v>
      </c>
      <c r="D2155" s="30" t="s">
        <v>7432</v>
      </c>
      <c r="E2155" s="28" t="s">
        <v>31</v>
      </c>
      <c r="F2155" s="28" t="s">
        <v>29</v>
      </c>
      <c r="G2155" s="28" t="s">
        <v>30</v>
      </c>
      <c r="H2155" s="28"/>
      <c r="I2155" s="28" t="s">
        <v>30</v>
      </c>
      <c r="J2155" s="28">
        <v>741.0</v>
      </c>
      <c r="K2155" s="28"/>
      <c r="L2155" s="28" t="s">
        <v>7433</v>
      </c>
      <c r="M2155" s="28" t="s">
        <v>151</v>
      </c>
      <c r="N2155" s="28">
        <v>1989.0</v>
      </c>
      <c r="O2155" s="60">
        <v>14.0</v>
      </c>
      <c r="P2155" s="28">
        <v>2.0</v>
      </c>
      <c r="Q2155" s="94">
        <v>2.0</v>
      </c>
      <c r="R2155" s="33"/>
      <c r="S2155" s="34"/>
      <c r="T2155" s="34"/>
      <c r="U2155" s="34"/>
      <c r="V2155" s="34"/>
      <c r="W2155" s="34"/>
      <c r="X2155" s="34"/>
      <c r="Y2155" s="45"/>
      <c r="Z2155" s="45"/>
      <c r="AA2155" s="45"/>
      <c r="AB2155" s="45"/>
      <c r="AC2155" s="45"/>
      <c r="AD2155" s="45"/>
      <c r="AE2155" s="45"/>
      <c r="AF2155" s="45"/>
      <c r="AG2155" s="45"/>
      <c r="AH2155" s="45"/>
      <c r="AI2155" s="45"/>
      <c r="AJ2155" s="45"/>
      <c r="AK2155" s="45"/>
      <c r="AL2155" s="45"/>
    </row>
    <row r="2156" ht="15.75" customHeight="1">
      <c r="A2156" s="27">
        <f t="shared" si="21"/>
        <v>1035</v>
      </c>
      <c r="B2156" s="28" t="s">
        <v>7434</v>
      </c>
      <c r="C2156" s="43" t="s">
        <v>7435</v>
      </c>
      <c r="D2156" s="30" t="s">
        <v>7436</v>
      </c>
      <c r="E2156" s="28" t="s">
        <v>31</v>
      </c>
      <c r="F2156" s="28" t="s">
        <v>29</v>
      </c>
      <c r="G2156" s="28" t="s">
        <v>30</v>
      </c>
      <c r="H2156" s="28"/>
      <c r="I2156" s="28" t="s">
        <v>30</v>
      </c>
      <c r="J2156" s="28">
        <v>207.0</v>
      </c>
      <c r="K2156" s="28"/>
      <c r="L2156" s="28" t="s">
        <v>7437</v>
      </c>
      <c r="M2156" s="28" t="s">
        <v>151</v>
      </c>
      <c r="N2156" s="28">
        <v>1999.0</v>
      </c>
      <c r="O2156" s="60">
        <v>14.0</v>
      </c>
      <c r="P2156" s="28">
        <v>1.0</v>
      </c>
      <c r="Q2156" s="32">
        <v>1.0</v>
      </c>
      <c r="R2156" s="33"/>
      <c r="S2156" s="34"/>
      <c r="T2156" s="34"/>
      <c r="U2156" s="34"/>
      <c r="V2156" s="34"/>
      <c r="W2156" s="34"/>
      <c r="X2156" s="34"/>
      <c r="Y2156" s="3"/>
      <c r="Z2156" s="3"/>
      <c r="AA2156" s="3"/>
      <c r="AB2156" s="3"/>
      <c r="AC2156" s="3"/>
      <c r="AD2156" s="3"/>
      <c r="AE2156" s="3"/>
      <c r="AF2156" s="3"/>
      <c r="AG2156" s="3"/>
      <c r="AH2156" s="3"/>
      <c r="AI2156" s="3"/>
      <c r="AJ2156" s="3"/>
      <c r="AK2156" s="3"/>
      <c r="AL2156" s="3"/>
    </row>
    <row r="2157" ht="15.75" customHeight="1">
      <c r="A2157" s="27">
        <f t="shared" si="21"/>
        <v>1036</v>
      </c>
      <c r="B2157" s="28" t="s">
        <v>7438</v>
      </c>
      <c r="C2157" s="43" t="s">
        <v>7439</v>
      </c>
      <c r="D2157" s="30" t="s">
        <v>7440</v>
      </c>
      <c r="E2157" s="28"/>
      <c r="F2157" s="28" t="s">
        <v>29</v>
      </c>
      <c r="G2157" s="28" t="s">
        <v>30</v>
      </c>
      <c r="H2157" s="28"/>
      <c r="I2157" s="28" t="s">
        <v>30</v>
      </c>
      <c r="J2157" s="28">
        <v>398.0</v>
      </c>
      <c r="K2157" s="28"/>
      <c r="L2157" s="28" t="s">
        <v>7441</v>
      </c>
      <c r="M2157" s="28" t="s">
        <v>7442</v>
      </c>
      <c r="N2157" s="28">
        <v>2001.0</v>
      </c>
      <c r="O2157" s="60">
        <v>14.0</v>
      </c>
      <c r="P2157" s="28">
        <v>1.0</v>
      </c>
      <c r="Q2157" s="32">
        <v>1.0</v>
      </c>
      <c r="R2157" s="33"/>
      <c r="S2157" s="40"/>
      <c r="T2157" s="40"/>
      <c r="U2157" s="40"/>
      <c r="V2157" s="40"/>
      <c r="W2157" s="40"/>
      <c r="X2157" s="40"/>
      <c r="Y2157" s="3"/>
      <c r="Z2157" s="3"/>
      <c r="AA2157" s="3"/>
      <c r="AB2157" s="3"/>
      <c r="AC2157" s="3"/>
      <c r="AD2157" s="3"/>
      <c r="AE2157" s="3"/>
      <c r="AF2157" s="3"/>
      <c r="AG2157" s="3"/>
      <c r="AH2157" s="3"/>
      <c r="AI2157" s="3"/>
      <c r="AJ2157" s="3"/>
      <c r="AK2157" s="3"/>
      <c r="AL2157" s="3"/>
    </row>
    <row r="2158" ht="15.75" customHeight="1">
      <c r="A2158" s="27">
        <f t="shared" si="21"/>
        <v>1037</v>
      </c>
      <c r="B2158" s="28" t="s">
        <v>31</v>
      </c>
      <c r="C2158" s="43" t="s">
        <v>7443</v>
      </c>
      <c r="D2158" s="30" t="s">
        <v>7444</v>
      </c>
      <c r="E2158" s="28" t="s">
        <v>31</v>
      </c>
      <c r="F2158" s="28" t="s">
        <v>29</v>
      </c>
      <c r="G2158" s="28" t="s">
        <v>30</v>
      </c>
      <c r="H2158" s="28"/>
      <c r="I2158" s="28" t="s">
        <v>30</v>
      </c>
      <c r="J2158" s="28">
        <v>366.0</v>
      </c>
      <c r="K2158" s="28"/>
      <c r="L2158" s="28" t="s">
        <v>7445</v>
      </c>
      <c r="M2158" s="28" t="s">
        <v>31</v>
      </c>
      <c r="N2158" s="28">
        <v>1899.0</v>
      </c>
      <c r="O2158" s="60">
        <v>14.0</v>
      </c>
      <c r="P2158" s="28">
        <v>1.0</v>
      </c>
      <c r="Q2158" s="32">
        <v>1.0</v>
      </c>
      <c r="R2158" s="33"/>
      <c r="S2158" s="40"/>
      <c r="T2158" s="40"/>
      <c r="U2158" s="40"/>
      <c r="V2158" s="40"/>
      <c r="W2158" s="40"/>
      <c r="X2158" s="40"/>
      <c r="Y2158" s="3"/>
      <c r="Z2158" s="3"/>
      <c r="AA2158" s="3"/>
      <c r="AB2158" s="3"/>
      <c r="AC2158" s="3"/>
      <c r="AD2158" s="3"/>
      <c r="AE2158" s="3"/>
      <c r="AF2158" s="3"/>
      <c r="AG2158" s="3"/>
      <c r="AH2158" s="3"/>
      <c r="AI2158" s="3"/>
      <c r="AJ2158" s="3"/>
      <c r="AK2158" s="3"/>
      <c r="AL2158" s="3"/>
    </row>
    <row r="2159" ht="15.75" customHeight="1">
      <c r="A2159" s="27">
        <f t="shared" si="21"/>
        <v>1038</v>
      </c>
      <c r="B2159" s="28" t="s">
        <v>7446</v>
      </c>
      <c r="C2159" s="43" t="s">
        <v>7447</v>
      </c>
      <c r="D2159" s="30" t="s">
        <v>7448</v>
      </c>
      <c r="E2159" s="28"/>
      <c r="F2159" s="28" t="s">
        <v>29</v>
      </c>
      <c r="G2159" s="28" t="s">
        <v>37</v>
      </c>
      <c r="H2159" s="28" t="s">
        <v>31</v>
      </c>
      <c r="I2159" s="28" t="s">
        <v>38</v>
      </c>
      <c r="J2159" s="28">
        <v>275.0</v>
      </c>
      <c r="K2159" s="28"/>
      <c r="L2159" s="28" t="s">
        <v>2387</v>
      </c>
      <c r="M2159" s="28" t="s">
        <v>2388</v>
      </c>
      <c r="N2159" s="28">
        <v>1960.0</v>
      </c>
      <c r="O2159" s="60">
        <v>14.0</v>
      </c>
      <c r="P2159" s="28">
        <v>4.0</v>
      </c>
      <c r="Q2159" s="94">
        <v>5.0</v>
      </c>
      <c r="R2159" s="33"/>
      <c r="S2159" s="40"/>
      <c r="T2159" s="40"/>
      <c r="U2159" s="40"/>
      <c r="V2159" s="40"/>
      <c r="W2159" s="40"/>
      <c r="X2159" s="40"/>
      <c r="Y2159" s="45"/>
      <c r="Z2159" s="45"/>
      <c r="AA2159" s="45"/>
      <c r="AB2159" s="45"/>
      <c r="AC2159" s="45"/>
      <c r="AD2159" s="45"/>
      <c r="AE2159" s="45"/>
      <c r="AF2159" s="45"/>
      <c r="AG2159" s="45"/>
      <c r="AH2159" s="45"/>
      <c r="AI2159" s="45"/>
      <c r="AJ2159" s="45"/>
      <c r="AK2159" s="45"/>
      <c r="AL2159" s="45"/>
    </row>
    <row r="2160" ht="15.75" customHeight="1">
      <c r="A2160" s="27">
        <f t="shared" si="21"/>
        <v>1039</v>
      </c>
      <c r="B2160" s="28" t="s">
        <v>31</v>
      </c>
      <c r="C2160" s="43" t="s">
        <v>7449</v>
      </c>
      <c r="D2160" s="30" t="s">
        <v>7450</v>
      </c>
      <c r="E2160" s="28"/>
      <c r="F2160" s="28" t="s">
        <v>29</v>
      </c>
      <c r="G2160" s="28" t="s">
        <v>37</v>
      </c>
      <c r="H2160" s="28" t="s">
        <v>31</v>
      </c>
      <c r="I2160" s="28" t="s">
        <v>38</v>
      </c>
      <c r="J2160" s="28">
        <v>424.0</v>
      </c>
      <c r="K2160" s="28"/>
      <c r="L2160" s="28" t="s">
        <v>7451</v>
      </c>
      <c r="M2160" s="28" t="s">
        <v>7452</v>
      </c>
      <c r="N2160" s="28">
        <v>1985.0</v>
      </c>
      <c r="O2160" s="60">
        <v>14.0</v>
      </c>
      <c r="P2160" s="28">
        <v>1.0</v>
      </c>
      <c r="Q2160" s="32">
        <v>1.0</v>
      </c>
      <c r="R2160" s="33"/>
      <c r="S2160" s="34"/>
      <c r="T2160" s="34"/>
      <c r="U2160" s="34"/>
      <c r="V2160" s="34"/>
      <c r="W2160" s="34"/>
      <c r="X2160" s="34"/>
      <c r="Y2160" s="3"/>
      <c r="Z2160" s="3"/>
      <c r="AA2160" s="3"/>
      <c r="AB2160" s="3"/>
      <c r="AC2160" s="3"/>
      <c r="AD2160" s="3"/>
      <c r="AE2160" s="3"/>
      <c r="AF2160" s="3"/>
      <c r="AG2160" s="3"/>
      <c r="AH2160" s="3"/>
      <c r="AI2160" s="3"/>
      <c r="AJ2160" s="3"/>
      <c r="AK2160" s="3"/>
      <c r="AL2160" s="3"/>
    </row>
    <row r="2161" ht="15.75" customHeight="1">
      <c r="A2161" s="27">
        <f t="shared" si="21"/>
        <v>1040</v>
      </c>
      <c r="B2161" s="28" t="s">
        <v>31</v>
      </c>
      <c r="C2161" s="43" t="s">
        <v>7449</v>
      </c>
      <c r="D2161" s="30" t="s">
        <v>7453</v>
      </c>
      <c r="E2161" s="28"/>
      <c r="F2161" s="28" t="s">
        <v>29</v>
      </c>
      <c r="G2161" s="28" t="s">
        <v>37</v>
      </c>
      <c r="H2161" s="28" t="s">
        <v>31</v>
      </c>
      <c r="I2161" s="28" t="s">
        <v>38</v>
      </c>
      <c r="J2161" s="28">
        <v>424.0</v>
      </c>
      <c r="K2161" s="28"/>
      <c r="L2161" s="28" t="s">
        <v>7451</v>
      </c>
      <c r="M2161" s="28" t="s">
        <v>7452</v>
      </c>
      <c r="N2161" s="28">
        <v>1985.0</v>
      </c>
      <c r="O2161" s="60">
        <v>14.0</v>
      </c>
      <c r="P2161" s="28">
        <v>1.0</v>
      </c>
      <c r="Q2161" s="32">
        <v>1.0</v>
      </c>
      <c r="R2161" s="33"/>
      <c r="S2161" s="34"/>
      <c r="T2161" s="34"/>
      <c r="U2161" s="34"/>
      <c r="V2161" s="34"/>
      <c r="W2161" s="34"/>
      <c r="X2161" s="34"/>
      <c r="Y2161" s="3"/>
      <c r="Z2161" s="3"/>
      <c r="AA2161" s="3"/>
      <c r="AB2161" s="3"/>
      <c r="AC2161" s="3"/>
      <c r="AD2161" s="3"/>
      <c r="AE2161" s="3"/>
      <c r="AF2161" s="3"/>
      <c r="AG2161" s="3"/>
      <c r="AH2161" s="3"/>
      <c r="AI2161" s="3"/>
      <c r="AJ2161" s="3"/>
      <c r="AK2161" s="3"/>
      <c r="AL2161" s="3"/>
    </row>
    <row r="2162" ht="15.75" customHeight="1">
      <c r="A2162" s="27">
        <f t="shared" si="21"/>
        <v>1041</v>
      </c>
      <c r="B2162" s="28"/>
      <c r="C2162" s="43" t="s">
        <v>7454</v>
      </c>
      <c r="D2162" s="30" t="s">
        <v>7455</v>
      </c>
      <c r="E2162" s="28" t="s">
        <v>31</v>
      </c>
      <c r="F2162" s="28" t="s">
        <v>29</v>
      </c>
      <c r="G2162" s="28" t="s">
        <v>131</v>
      </c>
      <c r="H2162" s="28"/>
      <c r="I2162" s="28" t="s">
        <v>131</v>
      </c>
      <c r="J2162" s="28">
        <v>396.0</v>
      </c>
      <c r="K2162" s="28"/>
      <c r="L2162" s="28" t="s">
        <v>31</v>
      </c>
      <c r="M2162" s="28" t="s">
        <v>31</v>
      </c>
      <c r="N2162" s="28">
        <v>1972.0</v>
      </c>
      <c r="O2162" s="60">
        <v>14.0</v>
      </c>
      <c r="P2162" s="28">
        <v>2.0</v>
      </c>
      <c r="Q2162" s="37">
        <v>2.0</v>
      </c>
      <c r="R2162" s="33"/>
      <c r="S2162" s="185"/>
      <c r="T2162" s="185"/>
      <c r="U2162" s="185"/>
      <c r="V2162" s="185"/>
      <c r="W2162" s="185"/>
      <c r="X2162" s="185"/>
      <c r="Y2162" s="3"/>
      <c r="Z2162" s="3"/>
      <c r="AA2162" s="3"/>
      <c r="AB2162" s="3"/>
      <c r="AC2162" s="3"/>
      <c r="AD2162" s="3"/>
      <c r="AE2162" s="3"/>
      <c r="AF2162" s="3"/>
      <c r="AG2162" s="3"/>
      <c r="AH2162" s="3"/>
      <c r="AI2162" s="3"/>
      <c r="AJ2162" s="3"/>
      <c r="AK2162" s="3"/>
      <c r="AL2162" s="3"/>
    </row>
    <row r="2163" ht="15.75" customHeight="1">
      <c r="A2163" s="27">
        <f t="shared" si="21"/>
        <v>1042</v>
      </c>
      <c r="B2163" s="28" t="s">
        <v>31</v>
      </c>
      <c r="C2163" s="29" t="s">
        <v>7456</v>
      </c>
      <c r="D2163" s="30" t="s">
        <v>7457</v>
      </c>
      <c r="E2163" s="28" t="s">
        <v>31</v>
      </c>
      <c r="F2163" s="28" t="s">
        <v>29</v>
      </c>
      <c r="G2163" s="28" t="s">
        <v>30</v>
      </c>
      <c r="H2163" s="28"/>
      <c r="I2163" s="28" t="s">
        <v>30</v>
      </c>
      <c r="J2163" s="28">
        <v>151.0</v>
      </c>
      <c r="K2163" s="28"/>
      <c r="L2163" s="28" t="s">
        <v>7458</v>
      </c>
      <c r="M2163" s="28" t="s">
        <v>4924</v>
      </c>
      <c r="N2163" s="28" t="s">
        <v>31</v>
      </c>
      <c r="O2163" s="60">
        <v>14.0</v>
      </c>
      <c r="P2163" s="28">
        <v>1.0</v>
      </c>
      <c r="Q2163" s="32">
        <v>1.0</v>
      </c>
      <c r="R2163" s="33"/>
      <c r="S2163" s="34"/>
      <c r="T2163" s="34"/>
      <c r="U2163" s="34"/>
      <c r="V2163" s="34"/>
      <c r="W2163" s="34"/>
      <c r="X2163" s="34"/>
      <c r="Y2163" s="45"/>
      <c r="Z2163" s="45"/>
      <c r="AA2163" s="45"/>
      <c r="AB2163" s="45"/>
      <c r="AC2163" s="45"/>
      <c r="AD2163" s="45"/>
      <c r="AE2163" s="45"/>
      <c r="AF2163" s="45"/>
      <c r="AG2163" s="45"/>
      <c r="AH2163" s="45"/>
      <c r="AI2163" s="45"/>
      <c r="AJ2163" s="45"/>
      <c r="AK2163" s="45"/>
      <c r="AL2163" s="45"/>
    </row>
    <row r="2164" ht="15.75" customHeight="1">
      <c r="A2164" s="27">
        <f t="shared" si="21"/>
        <v>1043</v>
      </c>
      <c r="B2164" s="83"/>
      <c r="C2164" s="121" t="s">
        <v>7459</v>
      </c>
      <c r="D2164" s="119" t="s">
        <v>7460</v>
      </c>
      <c r="E2164" s="83"/>
      <c r="F2164" s="121" t="s">
        <v>29</v>
      </c>
      <c r="G2164" s="121" t="s">
        <v>37</v>
      </c>
      <c r="H2164" s="83"/>
      <c r="I2164" s="121" t="s">
        <v>38</v>
      </c>
      <c r="J2164" s="121">
        <v>252.0</v>
      </c>
      <c r="K2164" s="83"/>
      <c r="L2164" s="121" t="s">
        <v>7461</v>
      </c>
      <c r="M2164" s="121" t="s">
        <v>7462</v>
      </c>
      <c r="N2164" s="121">
        <v>1965.0</v>
      </c>
      <c r="O2164" s="60">
        <v>14.0</v>
      </c>
      <c r="P2164" s="121">
        <v>1.0</v>
      </c>
      <c r="Q2164" s="121">
        <v>1.0</v>
      </c>
      <c r="R2164" s="84"/>
      <c r="S2164" s="34"/>
      <c r="T2164" s="34"/>
      <c r="U2164" s="34"/>
      <c r="V2164" s="34"/>
      <c r="W2164" s="34"/>
      <c r="X2164" s="34"/>
      <c r="Y2164" s="3"/>
      <c r="Z2164" s="3"/>
      <c r="AA2164" s="3"/>
      <c r="AB2164" s="3"/>
      <c r="AC2164" s="3"/>
      <c r="AD2164" s="3"/>
      <c r="AE2164" s="3"/>
      <c r="AF2164" s="3"/>
      <c r="AG2164" s="3"/>
      <c r="AH2164" s="3"/>
      <c r="AI2164" s="3"/>
      <c r="AJ2164" s="3"/>
      <c r="AK2164" s="3"/>
      <c r="AL2164" s="3"/>
    </row>
    <row r="2165" ht="15.75" customHeight="1">
      <c r="A2165" s="27">
        <f t="shared" si="21"/>
        <v>1044</v>
      </c>
      <c r="B2165" s="28" t="s">
        <v>31</v>
      </c>
      <c r="C2165" s="43" t="s">
        <v>7463</v>
      </c>
      <c r="D2165" s="30" t="s">
        <v>7464</v>
      </c>
      <c r="E2165" s="28"/>
      <c r="F2165" s="28" t="s">
        <v>29</v>
      </c>
      <c r="G2165" s="28" t="s">
        <v>30</v>
      </c>
      <c r="H2165" s="28" t="s">
        <v>31</v>
      </c>
      <c r="I2165" s="28" t="s">
        <v>30</v>
      </c>
      <c r="J2165" s="28">
        <v>481.0</v>
      </c>
      <c r="K2165" s="28"/>
      <c r="L2165" s="28" t="s">
        <v>7465</v>
      </c>
      <c r="M2165" s="28" t="s">
        <v>7466</v>
      </c>
      <c r="N2165" s="28">
        <v>1984.0</v>
      </c>
      <c r="O2165" s="60">
        <v>14.0</v>
      </c>
      <c r="P2165" s="28">
        <v>1.0</v>
      </c>
      <c r="Q2165" s="32">
        <v>1.0</v>
      </c>
      <c r="R2165" s="33"/>
      <c r="S2165" s="34"/>
      <c r="T2165" s="34"/>
      <c r="U2165" s="34"/>
      <c r="V2165" s="34"/>
      <c r="W2165" s="34"/>
      <c r="X2165" s="34"/>
      <c r="Y2165" s="3"/>
      <c r="Z2165" s="3"/>
      <c r="AA2165" s="3"/>
      <c r="AB2165" s="3"/>
      <c r="AC2165" s="3"/>
      <c r="AD2165" s="3"/>
      <c r="AE2165" s="3"/>
      <c r="AF2165" s="3"/>
      <c r="AG2165" s="3"/>
      <c r="AH2165" s="3"/>
      <c r="AI2165" s="3"/>
      <c r="AJ2165" s="3"/>
      <c r="AK2165" s="3"/>
      <c r="AL2165" s="3"/>
    </row>
    <row r="2166" ht="15.75" customHeight="1">
      <c r="A2166" s="27">
        <f t="shared" si="21"/>
        <v>1045</v>
      </c>
      <c r="B2166" s="28" t="s">
        <v>31</v>
      </c>
      <c r="C2166" s="43" t="s">
        <v>7467</v>
      </c>
      <c r="D2166" s="30" t="s">
        <v>7468</v>
      </c>
      <c r="E2166" s="28"/>
      <c r="F2166" s="28" t="s">
        <v>29</v>
      </c>
      <c r="G2166" s="28" t="s">
        <v>30</v>
      </c>
      <c r="H2166" s="28" t="s">
        <v>31</v>
      </c>
      <c r="I2166" s="28" t="s">
        <v>30</v>
      </c>
      <c r="J2166" s="28">
        <v>107.0</v>
      </c>
      <c r="K2166" s="28"/>
      <c r="L2166" s="28" t="s">
        <v>7469</v>
      </c>
      <c r="M2166" s="28" t="s">
        <v>151</v>
      </c>
      <c r="N2166" s="28">
        <v>1985.0</v>
      </c>
      <c r="O2166" s="60">
        <v>14.0</v>
      </c>
      <c r="P2166" s="28">
        <v>1.0</v>
      </c>
      <c r="Q2166" s="32">
        <v>1.0</v>
      </c>
      <c r="R2166" s="33"/>
      <c r="S2166" s="34"/>
      <c r="T2166" s="34"/>
      <c r="U2166" s="34"/>
      <c r="V2166" s="34"/>
      <c r="W2166" s="34"/>
      <c r="X2166" s="34"/>
      <c r="Y2166" s="3"/>
      <c r="Z2166" s="3"/>
      <c r="AA2166" s="3"/>
      <c r="AB2166" s="3"/>
      <c r="AC2166" s="3"/>
      <c r="AD2166" s="3"/>
      <c r="AE2166" s="3"/>
      <c r="AF2166" s="3"/>
      <c r="AG2166" s="3"/>
      <c r="AH2166" s="3"/>
      <c r="AI2166" s="3"/>
      <c r="AJ2166" s="3"/>
      <c r="AK2166" s="3"/>
      <c r="AL2166" s="3"/>
    </row>
    <row r="2167" ht="15.75" customHeight="1">
      <c r="A2167" s="27">
        <f t="shared" si="21"/>
        <v>1046</v>
      </c>
      <c r="B2167" s="28" t="s">
        <v>7470</v>
      </c>
      <c r="C2167" s="43" t="s">
        <v>7471</v>
      </c>
      <c r="D2167" s="30" t="s">
        <v>7468</v>
      </c>
      <c r="E2167" s="28"/>
      <c r="F2167" s="28" t="s">
        <v>29</v>
      </c>
      <c r="G2167" s="28" t="s">
        <v>30</v>
      </c>
      <c r="H2167" s="28" t="s">
        <v>31</v>
      </c>
      <c r="I2167" s="28" t="s">
        <v>30</v>
      </c>
      <c r="J2167" s="28">
        <v>107.0</v>
      </c>
      <c r="K2167" s="28"/>
      <c r="L2167" s="28" t="s">
        <v>7469</v>
      </c>
      <c r="M2167" s="28" t="s">
        <v>151</v>
      </c>
      <c r="N2167" s="28">
        <v>2006.0</v>
      </c>
      <c r="O2167" s="60">
        <v>14.0</v>
      </c>
      <c r="P2167" s="28">
        <v>1.0</v>
      </c>
      <c r="Q2167" s="94">
        <v>1.0</v>
      </c>
      <c r="R2167" s="33"/>
      <c r="S2167" s="34"/>
      <c r="T2167" s="34"/>
      <c r="U2167" s="34"/>
      <c r="V2167" s="34"/>
      <c r="W2167" s="34"/>
      <c r="X2167" s="34"/>
      <c r="Y2167" s="45"/>
      <c r="Z2167" s="45"/>
      <c r="AA2167" s="45"/>
      <c r="AB2167" s="45"/>
      <c r="AC2167" s="45"/>
      <c r="AD2167" s="45"/>
      <c r="AE2167" s="45"/>
      <c r="AF2167" s="45"/>
      <c r="AG2167" s="45"/>
      <c r="AH2167" s="45"/>
      <c r="AI2167" s="45"/>
      <c r="AJ2167" s="45"/>
      <c r="AK2167" s="45"/>
      <c r="AL2167" s="45"/>
    </row>
    <row r="2168" ht="15.75" customHeight="1">
      <c r="A2168" s="27">
        <f t="shared" si="21"/>
        <v>1047</v>
      </c>
      <c r="B2168" s="28" t="s">
        <v>7472</v>
      </c>
      <c r="C2168" s="43" t="s">
        <v>7473</v>
      </c>
      <c r="D2168" s="30" t="s">
        <v>7474</v>
      </c>
      <c r="E2168" s="28" t="s">
        <v>144</v>
      </c>
      <c r="F2168" s="28" t="s">
        <v>29</v>
      </c>
      <c r="G2168" s="28" t="s">
        <v>30</v>
      </c>
      <c r="H2168" s="28"/>
      <c r="I2168" s="28" t="s">
        <v>30</v>
      </c>
      <c r="J2168" s="28">
        <f>609+16</f>
        <v>625</v>
      </c>
      <c r="K2168" s="28"/>
      <c r="L2168" s="28" t="s">
        <v>7475</v>
      </c>
      <c r="M2168" s="28" t="s">
        <v>151</v>
      </c>
      <c r="N2168" s="28">
        <v>1994.0</v>
      </c>
      <c r="O2168" s="60">
        <v>14.0</v>
      </c>
      <c r="P2168" s="28">
        <v>1.0</v>
      </c>
      <c r="Q2168" s="32">
        <v>1.0</v>
      </c>
      <c r="R2168" s="33"/>
      <c r="S2168" s="34"/>
      <c r="T2168" s="34"/>
      <c r="U2168" s="34"/>
      <c r="V2168" s="34"/>
      <c r="W2168" s="34"/>
      <c r="X2168" s="34"/>
      <c r="Y2168" s="45"/>
      <c r="Z2168" s="45"/>
      <c r="AA2168" s="45"/>
      <c r="AB2168" s="45"/>
      <c r="AC2168" s="45"/>
      <c r="AD2168" s="45"/>
      <c r="AE2168" s="45"/>
      <c r="AF2168" s="45"/>
      <c r="AG2168" s="45"/>
      <c r="AH2168" s="45"/>
      <c r="AI2168" s="45"/>
      <c r="AJ2168" s="45"/>
      <c r="AK2168" s="45"/>
      <c r="AL2168" s="45"/>
    </row>
    <row r="2169" ht="15.75" customHeight="1">
      <c r="A2169" s="27">
        <f t="shared" si="21"/>
        <v>1048</v>
      </c>
      <c r="B2169" s="28" t="s">
        <v>31</v>
      </c>
      <c r="C2169" s="43" t="s">
        <v>7476</v>
      </c>
      <c r="D2169" s="30" t="s">
        <v>7477</v>
      </c>
      <c r="E2169" s="28" t="s">
        <v>31</v>
      </c>
      <c r="F2169" s="28" t="s">
        <v>29</v>
      </c>
      <c r="G2169" s="28" t="s">
        <v>37</v>
      </c>
      <c r="H2169" s="28"/>
      <c r="I2169" s="28" t="s">
        <v>38</v>
      </c>
      <c r="J2169" s="28">
        <v>112.0</v>
      </c>
      <c r="K2169" s="28"/>
      <c r="L2169" s="28" t="s">
        <v>7478</v>
      </c>
      <c r="M2169" s="28" t="s">
        <v>7479</v>
      </c>
      <c r="N2169" s="28">
        <v>1982.0</v>
      </c>
      <c r="O2169" s="60">
        <v>14.0</v>
      </c>
      <c r="P2169" s="28">
        <v>1.0</v>
      </c>
      <c r="Q2169" s="32">
        <v>1.0</v>
      </c>
      <c r="R2169" s="33"/>
      <c r="S2169" s="185"/>
      <c r="T2169" s="185"/>
      <c r="U2169" s="185"/>
      <c r="V2169" s="185"/>
      <c r="W2169" s="185"/>
      <c r="X2169" s="185"/>
      <c r="Y2169" s="3"/>
      <c r="Z2169" s="3"/>
      <c r="AA2169" s="3"/>
      <c r="AB2169" s="3"/>
      <c r="AC2169" s="3"/>
      <c r="AD2169" s="3"/>
      <c r="AE2169" s="3"/>
      <c r="AF2169" s="3"/>
      <c r="AG2169" s="3"/>
      <c r="AH2169" s="3"/>
      <c r="AI2169" s="3"/>
      <c r="AJ2169" s="3"/>
      <c r="AK2169" s="3"/>
      <c r="AL2169" s="3"/>
    </row>
    <row r="2170" ht="15.75" customHeight="1">
      <c r="A2170" s="27">
        <f t="shared" si="21"/>
        <v>1049</v>
      </c>
      <c r="B2170" s="28" t="s">
        <v>7480</v>
      </c>
      <c r="C2170" s="43" t="s">
        <v>7481</v>
      </c>
      <c r="D2170" s="30" t="s">
        <v>7482</v>
      </c>
      <c r="E2170" s="28" t="s">
        <v>31</v>
      </c>
      <c r="F2170" s="28" t="s">
        <v>29</v>
      </c>
      <c r="G2170" s="28" t="s">
        <v>37</v>
      </c>
      <c r="H2170" s="28"/>
      <c r="I2170" s="28" t="s">
        <v>38</v>
      </c>
      <c r="J2170" s="28">
        <v>412.0</v>
      </c>
      <c r="K2170" s="28"/>
      <c r="L2170" s="28" t="s">
        <v>7483</v>
      </c>
      <c r="M2170" s="28" t="s">
        <v>2388</v>
      </c>
      <c r="N2170" s="28">
        <v>1973.0</v>
      </c>
      <c r="O2170" s="60">
        <v>14.0</v>
      </c>
      <c r="P2170" s="28">
        <v>1.0</v>
      </c>
      <c r="Q2170" s="32">
        <v>1.0</v>
      </c>
      <c r="R2170" s="33"/>
      <c r="S2170" s="185"/>
      <c r="T2170" s="185"/>
      <c r="U2170" s="185"/>
      <c r="V2170" s="185"/>
      <c r="W2170" s="185"/>
      <c r="X2170" s="185"/>
      <c r="Y2170" s="3"/>
      <c r="Z2170" s="3"/>
      <c r="AA2170" s="3"/>
      <c r="AB2170" s="3"/>
      <c r="AC2170" s="3"/>
      <c r="AD2170" s="3"/>
      <c r="AE2170" s="3"/>
      <c r="AF2170" s="3"/>
      <c r="AG2170" s="3"/>
      <c r="AH2170" s="3"/>
      <c r="AI2170" s="3"/>
      <c r="AJ2170" s="3"/>
      <c r="AK2170" s="3"/>
      <c r="AL2170" s="3"/>
    </row>
    <row r="2171" ht="15.75" customHeight="1">
      <c r="A2171" s="27">
        <f t="shared" si="21"/>
        <v>1050</v>
      </c>
      <c r="B2171" s="28" t="s">
        <v>31</v>
      </c>
      <c r="C2171" s="43" t="s">
        <v>7484</v>
      </c>
      <c r="D2171" s="30" t="s">
        <v>7485</v>
      </c>
      <c r="E2171" s="28" t="s">
        <v>31</v>
      </c>
      <c r="F2171" s="28" t="s">
        <v>29</v>
      </c>
      <c r="G2171" s="28" t="s">
        <v>38</v>
      </c>
      <c r="H2171" s="28"/>
      <c r="I2171" s="28" t="s">
        <v>38</v>
      </c>
      <c r="J2171" s="28">
        <v>96.0</v>
      </c>
      <c r="K2171" s="28"/>
      <c r="L2171" s="28" t="s">
        <v>7486</v>
      </c>
      <c r="M2171" s="28" t="s">
        <v>7487</v>
      </c>
      <c r="N2171" s="28">
        <v>1946.0</v>
      </c>
      <c r="O2171" s="60">
        <v>14.0</v>
      </c>
      <c r="P2171" s="28">
        <v>1.0</v>
      </c>
      <c r="Q2171" s="94">
        <v>1.0</v>
      </c>
      <c r="R2171" s="33"/>
      <c r="S2171" s="34"/>
      <c r="T2171" s="34"/>
      <c r="U2171" s="34"/>
      <c r="V2171" s="34"/>
      <c r="W2171" s="34"/>
      <c r="X2171" s="34"/>
      <c r="Y2171" s="3"/>
      <c r="Z2171" s="3"/>
      <c r="AA2171" s="3"/>
      <c r="AB2171" s="3"/>
      <c r="AC2171" s="3"/>
      <c r="AD2171" s="3"/>
      <c r="AE2171" s="3"/>
      <c r="AF2171" s="3"/>
      <c r="AG2171" s="3"/>
      <c r="AH2171" s="3"/>
      <c r="AI2171" s="3"/>
      <c r="AJ2171" s="3"/>
      <c r="AK2171" s="3"/>
      <c r="AL2171" s="3"/>
    </row>
    <row r="2172" ht="15.75" customHeight="1">
      <c r="A2172" s="27">
        <f t="shared" si="21"/>
        <v>1051</v>
      </c>
      <c r="B2172" s="28" t="s">
        <v>31</v>
      </c>
      <c r="C2172" s="43" t="s">
        <v>7488</v>
      </c>
      <c r="D2172" s="30" t="s">
        <v>7489</v>
      </c>
      <c r="E2172" s="28"/>
      <c r="F2172" s="28" t="s">
        <v>29</v>
      </c>
      <c r="G2172" s="28" t="s">
        <v>6271</v>
      </c>
      <c r="H2172" s="28" t="s">
        <v>31</v>
      </c>
      <c r="I2172" s="28" t="s">
        <v>38</v>
      </c>
      <c r="J2172" s="28">
        <v>229.0</v>
      </c>
      <c r="K2172" s="28"/>
      <c r="L2172" s="28" t="s">
        <v>7490</v>
      </c>
      <c r="M2172" s="28" t="s">
        <v>7491</v>
      </c>
      <c r="N2172" s="28">
        <v>1981.0</v>
      </c>
      <c r="O2172" s="60">
        <v>14.0</v>
      </c>
      <c r="P2172" s="28">
        <v>2.0</v>
      </c>
      <c r="Q2172" s="37">
        <v>2.0</v>
      </c>
      <c r="R2172" s="33"/>
      <c r="S2172" s="185"/>
      <c r="T2172" s="185"/>
      <c r="U2172" s="185"/>
      <c r="V2172" s="185"/>
      <c r="W2172" s="185"/>
      <c r="X2172" s="185"/>
      <c r="Y2172" s="45"/>
      <c r="Z2172" s="45"/>
      <c r="AA2172" s="45"/>
      <c r="AB2172" s="45"/>
      <c r="AC2172" s="45"/>
      <c r="AD2172" s="45"/>
      <c r="AE2172" s="45"/>
      <c r="AF2172" s="45"/>
      <c r="AG2172" s="45"/>
      <c r="AH2172" s="45"/>
      <c r="AI2172" s="45"/>
      <c r="AJ2172" s="45"/>
      <c r="AK2172" s="45"/>
      <c r="AL2172" s="45"/>
    </row>
    <row r="2173" ht="15.75" customHeight="1">
      <c r="A2173" s="27">
        <f t="shared" si="21"/>
        <v>1052</v>
      </c>
      <c r="B2173" s="28" t="s">
        <v>7492</v>
      </c>
      <c r="C2173" s="43" t="s">
        <v>7493</v>
      </c>
      <c r="D2173" s="30" t="s">
        <v>7494</v>
      </c>
      <c r="E2173" s="28"/>
      <c r="F2173" s="28" t="s">
        <v>29</v>
      </c>
      <c r="G2173" s="28" t="s">
        <v>30</v>
      </c>
      <c r="H2173" s="28"/>
      <c r="I2173" s="28" t="s">
        <v>30</v>
      </c>
      <c r="J2173" s="28">
        <v>372.0</v>
      </c>
      <c r="K2173" s="28"/>
      <c r="L2173" s="28" t="s">
        <v>7495</v>
      </c>
      <c r="M2173" s="28" t="s">
        <v>4166</v>
      </c>
      <c r="N2173" s="28">
        <v>2008.0</v>
      </c>
      <c r="O2173" s="60">
        <v>14.0</v>
      </c>
      <c r="P2173" s="28">
        <v>1.0</v>
      </c>
      <c r="Q2173" s="32">
        <v>1.0</v>
      </c>
      <c r="R2173" s="33"/>
      <c r="S2173" s="116"/>
      <c r="T2173" s="116"/>
      <c r="U2173" s="116"/>
      <c r="V2173" s="116"/>
      <c r="W2173" s="116"/>
      <c r="X2173" s="116"/>
      <c r="Y2173" s="3"/>
      <c r="Z2173" s="3"/>
      <c r="AA2173" s="3"/>
      <c r="AB2173" s="3"/>
      <c r="AC2173" s="3"/>
      <c r="AD2173" s="3"/>
      <c r="AE2173" s="3"/>
      <c r="AF2173" s="3"/>
      <c r="AG2173" s="3"/>
      <c r="AH2173" s="3"/>
      <c r="AI2173" s="3"/>
      <c r="AJ2173" s="3"/>
      <c r="AK2173" s="3"/>
      <c r="AL2173" s="3"/>
    </row>
    <row r="2174" ht="15.75" customHeight="1">
      <c r="A2174" s="27">
        <f t="shared" si="21"/>
        <v>1053</v>
      </c>
      <c r="B2174" s="28" t="s">
        <v>7496</v>
      </c>
      <c r="C2174" s="43" t="s">
        <v>7497</v>
      </c>
      <c r="D2174" s="30" t="s">
        <v>7498</v>
      </c>
      <c r="E2174" s="28" t="s">
        <v>31</v>
      </c>
      <c r="F2174" s="28" t="s">
        <v>29</v>
      </c>
      <c r="G2174" s="28" t="s">
        <v>37</v>
      </c>
      <c r="H2174" s="28"/>
      <c r="I2174" s="28" t="s">
        <v>38</v>
      </c>
      <c r="J2174" s="28">
        <v>262.0</v>
      </c>
      <c r="K2174" s="28"/>
      <c r="L2174" s="28" t="s">
        <v>7499</v>
      </c>
      <c r="M2174" s="28" t="s">
        <v>2388</v>
      </c>
      <c r="N2174" s="28">
        <v>1975.0</v>
      </c>
      <c r="O2174" s="60">
        <v>14.0</v>
      </c>
      <c r="P2174" s="28">
        <v>1.0</v>
      </c>
      <c r="Q2174" s="32">
        <v>1.0</v>
      </c>
      <c r="R2174" s="33"/>
      <c r="S2174" s="34"/>
      <c r="T2174" s="34"/>
      <c r="U2174" s="34"/>
      <c r="V2174" s="34"/>
      <c r="W2174" s="34"/>
      <c r="X2174" s="34"/>
      <c r="Y2174" s="3"/>
      <c r="Z2174" s="3"/>
      <c r="AA2174" s="3"/>
      <c r="AB2174" s="3"/>
      <c r="AC2174" s="3"/>
      <c r="AD2174" s="3"/>
      <c r="AE2174" s="3"/>
      <c r="AF2174" s="3"/>
      <c r="AG2174" s="3"/>
      <c r="AH2174" s="3"/>
      <c r="AI2174" s="3"/>
      <c r="AJ2174" s="3"/>
      <c r="AK2174" s="3"/>
      <c r="AL2174" s="3"/>
    </row>
    <row r="2175" ht="15.75" customHeight="1">
      <c r="A2175" s="27">
        <f t="shared" si="21"/>
        <v>1054</v>
      </c>
      <c r="B2175" s="28"/>
      <c r="C2175" s="43" t="s">
        <v>7500</v>
      </c>
      <c r="D2175" s="30" t="s">
        <v>7501</v>
      </c>
      <c r="E2175" s="28" t="s">
        <v>144</v>
      </c>
      <c r="F2175" s="28" t="s">
        <v>29</v>
      </c>
      <c r="G2175" s="28" t="s">
        <v>30</v>
      </c>
      <c r="H2175" s="28"/>
      <c r="I2175" s="28" t="s">
        <v>30</v>
      </c>
      <c r="J2175" s="28">
        <v>413.0</v>
      </c>
      <c r="K2175" s="28"/>
      <c r="L2175" s="28"/>
      <c r="M2175" s="28" t="s">
        <v>7502</v>
      </c>
      <c r="N2175" s="28">
        <v>2009.0</v>
      </c>
      <c r="O2175" s="60">
        <v>14.0</v>
      </c>
      <c r="P2175" s="28">
        <v>2.0</v>
      </c>
      <c r="Q2175" s="32">
        <v>2.0</v>
      </c>
      <c r="R2175" s="33"/>
      <c r="S2175" s="34"/>
      <c r="T2175" s="34"/>
      <c r="U2175" s="34"/>
      <c r="V2175" s="34"/>
      <c r="W2175" s="34"/>
      <c r="X2175" s="34"/>
      <c r="Y2175" s="45"/>
      <c r="Z2175" s="45"/>
      <c r="AA2175" s="45"/>
      <c r="AB2175" s="45"/>
      <c r="AC2175" s="45"/>
      <c r="AD2175" s="45"/>
      <c r="AE2175" s="45"/>
      <c r="AF2175" s="45"/>
      <c r="AG2175" s="45"/>
      <c r="AH2175" s="45"/>
      <c r="AI2175" s="45"/>
      <c r="AJ2175" s="45"/>
      <c r="AK2175" s="45"/>
      <c r="AL2175" s="45"/>
    </row>
    <row r="2176" ht="15.75" customHeight="1">
      <c r="A2176" s="27">
        <f t="shared" si="21"/>
        <v>1055</v>
      </c>
      <c r="B2176" s="28"/>
      <c r="C2176" s="43" t="s">
        <v>7503</v>
      </c>
      <c r="D2176" s="30" t="s">
        <v>7504</v>
      </c>
      <c r="E2176" s="28" t="s">
        <v>7505</v>
      </c>
      <c r="F2176" s="28" t="s">
        <v>29</v>
      </c>
      <c r="G2176" s="28" t="s">
        <v>30</v>
      </c>
      <c r="H2176" s="28"/>
      <c r="I2176" s="28" t="s">
        <v>30</v>
      </c>
      <c r="J2176" s="28">
        <f>253+19</f>
        <v>272</v>
      </c>
      <c r="K2176" s="28"/>
      <c r="L2176" s="28"/>
      <c r="M2176" s="28" t="s">
        <v>7506</v>
      </c>
      <c r="N2176" s="28">
        <v>1965.0</v>
      </c>
      <c r="O2176" s="28">
        <v>14.0</v>
      </c>
      <c r="P2176" s="28">
        <v>2.0</v>
      </c>
      <c r="Q2176" s="32">
        <v>1.0</v>
      </c>
      <c r="R2176" s="33"/>
      <c r="S2176" s="185"/>
      <c r="T2176" s="185"/>
      <c r="U2176" s="185"/>
      <c r="V2176" s="185"/>
      <c r="W2176" s="185"/>
      <c r="X2176" s="185"/>
      <c r="Y2176" s="45"/>
      <c r="Z2176" s="45"/>
      <c r="AA2176" s="45"/>
      <c r="AB2176" s="45"/>
      <c r="AC2176" s="45"/>
      <c r="AD2176" s="45"/>
      <c r="AE2176" s="45"/>
      <c r="AF2176" s="45"/>
      <c r="AG2176" s="45"/>
      <c r="AH2176" s="45"/>
      <c r="AI2176" s="45"/>
      <c r="AJ2176" s="45"/>
      <c r="AK2176" s="45"/>
      <c r="AL2176" s="45"/>
    </row>
    <row r="2177" ht="15.75" customHeight="1">
      <c r="A2177" s="27">
        <f t="shared" si="21"/>
        <v>1056</v>
      </c>
      <c r="B2177" s="28" t="s">
        <v>7507</v>
      </c>
      <c r="C2177" s="43" t="s">
        <v>7508</v>
      </c>
      <c r="D2177" s="30" t="s">
        <v>7509</v>
      </c>
      <c r="E2177" s="28" t="s">
        <v>7510</v>
      </c>
      <c r="F2177" s="28" t="s">
        <v>29</v>
      </c>
      <c r="G2177" s="28" t="s">
        <v>30</v>
      </c>
      <c r="H2177" s="28"/>
      <c r="I2177" s="28" t="s">
        <v>30</v>
      </c>
      <c r="J2177" s="28">
        <f>752+17</f>
        <v>769</v>
      </c>
      <c r="K2177" s="28"/>
      <c r="L2177" s="28"/>
      <c r="M2177" s="28" t="s">
        <v>7511</v>
      </c>
      <c r="N2177" s="28">
        <v>2017.0</v>
      </c>
      <c r="O2177" s="28">
        <v>14.0</v>
      </c>
      <c r="P2177" s="28">
        <v>1.0</v>
      </c>
      <c r="Q2177" s="32">
        <v>1.0</v>
      </c>
      <c r="R2177" s="33"/>
      <c r="S2177" s="185"/>
      <c r="T2177" s="185"/>
      <c r="U2177" s="185"/>
      <c r="V2177" s="185"/>
      <c r="W2177" s="185"/>
      <c r="X2177" s="185"/>
      <c r="Y2177" s="45"/>
      <c r="Z2177" s="45"/>
      <c r="AA2177" s="45"/>
      <c r="AB2177" s="45"/>
      <c r="AC2177" s="45"/>
      <c r="AD2177" s="45"/>
      <c r="AE2177" s="45"/>
      <c r="AF2177" s="45"/>
      <c r="AG2177" s="45"/>
      <c r="AH2177" s="45"/>
      <c r="AI2177" s="45"/>
      <c r="AJ2177" s="45"/>
      <c r="AK2177" s="45"/>
      <c r="AL2177" s="45"/>
    </row>
    <row r="2178" ht="15.75" customHeight="1">
      <c r="A2178" s="27">
        <f t="shared" si="21"/>
        <v>1057</v>
      </c>
      <c r="B2178" s="28" t="s">
        <v>7512</v>
      </c>
      <c r="C2178" s="43" t="s">
        <v>7513</v>
      </c>
      <c r="D2178" s="30" t="s">
        <v>7514</v>
      </c>
      <c r="E2178" s="28" t="s">
        <v>31</v>
      </c>
      <c r="F2178" s="28" t="s">
        <v>29</v>
      </c>
      <c r="G2178" s="28" t="s">
        <v>30</v>
      </c>
      <c r="H2178" s="28"/>
      <c r="I2178" s="28" t="s">
        <v>30</v>
      </c>
      <c r="J2178" s="28">
        <v>98.0</v>
      </c>
      <c r="K2178" s="28"/>
      <c r="L2178" s="28" t="s">
        <v>7515</v>
      </c>
      <c r="M2178" s="28" t="s">
        <v>2463</v>
      </c>
      <c r="N2178" s="28">
        <v>2005.0</v>
      </c>
      <c r="O2178" s="60">
        <v>14.0</v>
      </c>
      <c r="P2178" s="28">
        <v>1.0</v>
      </c>
      <c r="Q2178" s="32">
        <v>1.0</v>
      </c>
      <c r="R2178" s="33"/>
      <c r="S2178" s="34"/>
      <c r="T2178" s="34"/>
      <c r="U2178" s="34"/>
      <c r="V2178" s="34"/>
      <c r="W2178" s="34"/>
      <c r="X2178" s="34"/>
      <c r="Y2178" s="3"/>
      <c r="Z2178" s="3"/>
      <c r="AA2178" s="3"/>
      <c r="AB2178" s="3"/>
      <c r="AC2178" s="3"/>
      <c r="AD2178" s="3"/>
      <c r="AE2178" s="3"/>
      <c r="AF2178" s="3"/>
      <c r="AG2178" s="3"/>
      <c r="AH2178" s="3"/>
      <c r="AI2178" s="3"/>
      <c r="AJ2178" s="3"/>
      <c r="AK2178" s="3"/>
      <c r="AL2178" s="3"/>
    </row>
    <row r="2179" ht="15.75" customHeight="1">
      <c r="A2179" s="27">
        <f t="shared" si="21"/>
        <v>1058</v>
      </c>
      <c r="B2179" s="83"/>
      <c r="C2179" s="121" t="s">
        <v>7516</v>
      </c>
      <c r="D2179" s="119" t="s">
        <v>7517</v>
      </c>
      <c r="E2179" s="83"/>
      <c r="F2179" s="121" t="s">
        <v>29</v>
      </c>
      <c r="G2179" s="121" t="s">
        <v>30</v>
      </c>
      <c r="H2179" s="83"/>
      <c r="I2179" s="121" t="s">
        <v>30</v>
      </c>
      <c r="J2179" s="121">
        <v>142.0</v>
      </c>
      <c r="K2179" s="83"/>
      <c r="L2179" s="121" t="s">
        <v>7518</v>
      </c>
      <c r="M2179" s="121" t="s">
        <v>3991</v>
      </c>
      <c r="N2179" s="121">
        <v>2006.0</v>
      </c>
      <c r="O2179" s="121">
        <v>14.0</v>
      </c>
      <c r="P2179" s="121">
        <v>1.0</v>
      </c>
      <c r="Q2179" s="121">
        <v>1.0</v>
      </c>
      <c r="R2179" s="84"/>
      <c r="S2179" s="34"/>
      <c r="T2179" s="34"/>
      <c r="U2179" s="34"/>
      <c r="V2179" s="34"/>
      <c r="W2179" s="34"/>
      <c r="X2179" s="34"/>
      <c r="Y2179" s="3"/>
      <c r="Z2179" s="3"/>
      <c r="AA2179" s="3"/>
      <c r="AB2179" s="3"/>
      <c r="AC2179" s="3"/>
      <c r="AD2179" s="3"/>
      <c r="AE2179" s="3"/>
      <c r="AF2179" s="3"/>
      <c r="AG2179" s="3"/>
      <c r="AH2179" s="3"/>
      <c r="AI2179" s="3"/>
      <c r="AJ2179" s="3"/>
      <c r="AK2179" s="3"/>
      <c r="AL2179" s="3"/>
    </row>
    <row r="2180" ht="15.75" customHeight="1">
      <c r="A2180" s="27">
        <f t="shared" si="21"/>
        <v>1059</v>
      </c>
      <c r="B2180" s="83"/>
      <c r="C2180" s="121" t="s">
        <v>7519</v>
      </c>
      <c r="D2180" s="119" t="s">
        <v>7520</v>
      </c>
      <c r="E2180" s="121" t="s">
        <v>7521</v>
      </c>
      <c r="F2180" s="121" t="s">
        <v>29</v>
      </c>
      <c r="G2180" s="121" t="s">
        <v>30</v>
      </c>
      <c r="H2180" s="83"/>
      <c r="I2180" s="121" t="s">
        <v>30</v>
      </c>
      <c r="J2180" s="121">
        <v>92.0</v>
      </c>
      <c r="K2180" s="83"/>
      <c r="L2180" s="121" t="s">
        <v>7522</v>
      </c>
      <c r="M2180" s="121" t="s">
        <v>7523</v>
      </c>
      <c r="N2180" s="121">
        <v>2005.0</v>
      </c>
      <c r="O2180" s="121">
        <v>14.0</v>
      </c>
      <c r="P2180" s="121">
        <v>1.0</v>
      </c>
      <c r="Q2180" s="121">
        <v>1.0</v>
      </c>
      <c r="R2180" s="84"/>
      <c r="S2180" s="34"/>
      <c r="T2180" s="34"/>
      <c r="U2180" s="34"/>
      <c r="V2180" s="34"/>
      <c r="W2180" s="34"/>
      <c r="X2180" s="34"/>
      <c r="Y2180" s="45"/>
      <c r="Z2180" s="45"/>
      <c r="AA2180" s="45"/>
      <c r="AB2180" s="45"/>
      <c r="AC2180" s="45"/>
      <c r="AD2180" s="45"/>
      <c r="AE2180" s="45"/>
      <c r="AF2180" s="45"/>
      <c r="AG2180" s="45"/>
      <c r="AH2180" s="45"/>
      <c r="AI2180" s="45"/>
      <c r="AJ2180" s="45"/>
      <c r="AK2180" s="45"/>
      <c r="AL2180" s="45"/>
    </row>
    <row r="2181" ht="15.75" customHeight="1">
      <c r="A2181" s="27">
        <f t="shared" si="21"/>
        <v>1060</v>
      </c>
      <c r="B2181" s="28" t="s">
        <v>7524</v>
      </c>
      <c r="C2181" s="43" t="s">
        <v>7525</v>
      </c>
      <c r="D2181" s="30" t="s">
        <v>7526</v>
      </c>
      <c r="E2181" s="28" t="s">
        <v>31</v>
      </c>
      <c r="F2181" s="28" t="s">
        <v>29</v>
      </c>
      <c r="G2181" s="28" t="s">
        <v>30</v>
      </c>
      <c r="H2181" s="28"/>
      <c r="I2181" s="28" t="s">
        <v>30</v>
      </c>
      <c r="J2181" s="28">
        <v>171.0</v>
      </c>
      <c r="K2181" s="28"/>
      <c r="L2181" s="28" t="s">
        <v>7527</v>
      </c>
      <c r="M2181" s="28" t="s">
        <v>151</v>
      </c>
      <c r="N2181" s="28">
        <v>2001.0</v>
      </c>
      <c r="O2181" s="60">
        <v>14.0</v>
      </c>
      <c r="P2181" s="28">
        <v>1.0</v>
      </c>
      <c r="Q2181" s="94">
        <v>1.0</v>
      </c>
      <c r="R2181" s="33"/>
      <c r="S2181" s="34"/>
      <c r="T2181" s="34"/>
      <c r="U2181" s="34"/>
      <c r="V2181" s="34"/>
      <c r="W2181" s="34"/>
      <c r="X2181" s="34"/>
      <c r="Y2181" s="45"/>
      <c r="Z2181" s="45"/>
      <c r="AA2181" s="45"/>
      <c r="AB2181" s="45"/>
      <c r="AC2181" s="45"/>
      <c r="AD2181" s="45"/>
      <c r="AE2181" s="45"/>
      <c r="AF2181" s="45"/>
      <c r="AG2181" s="45"/>
      <c r="AH2181" s="45"/>
      <c r="AI2181" s="45"/>
      <c r="AJ2181" s="45"/>
      <c r="AK2181" s="45"/>
      <c r="AL2181" s="45"/>
    </row>
    <row r="2182" ht="15.75" customHeight="1">
      <c r="A2182" s="27">
        <f t="shared" si="21"/>
        <v>1061</v>
      </c>
      <c r="B2182" s="121" t="s">
        <v>7524</v>
      </c>
      <c r="C2182" s="121" t="s">
        <v>7528</v>
      </c>
      <c r="D2182" s="119" t="s">
        <v>7529</v>
      </c>
      <c r="E2182" s="121" t="s">
        <v>31</v>
      </c>
      <c r="F2182" s="121" t="s">
        <v>29</v>
      </c>
      <c r="G2182" s="121" t="s">
        <v>30</v>
      </c>
      <c r="H2182" s="83"/>
      <c r="I2182" s="121" t="s">
        <v>30</v>
      </c>
      <c r="J2182" s="121">
        <v>171.0</v>
      </c>
      <c r="K2182" s="83"/>
      <c r="L2182" s="121" t="s">
        <v>7530</v>
      </c>
      <c r="M2182" s="121" t="s">
        <v>151</v>
      </c>
      <c r="N2182" s="121">
        <v>2006.0</v>
      </c>
      <c r="O2182" s="121">
        <v>14.0</v>
      </c>
      <c r="P2182" s="121">
        <v>1.0</v>
      </c>
      <c r="Q2182" s="121">
        <v>1.0</v>
      </c>
      <c r="R2182" s="84"/>
      <c r="S2182" s="34"/>
      <c r="T2182" s="34"/>
      <c r="U2182" s="34"/>
      <c r="V2182" s="34"/>
      <c r="W2182" s="34"/>
      <c r="X2182" s="34"/>
      <c r="Y2182" s="45"/>
      <c r="Z2182" s="45"/>
      <c r="AA2182" s="45"/>
      <c r="AB2182" s="45"/>
      <c r="AC2182" s="45"/>
      <c r="AD2182" s="45"/>
      <c r="AE2182" s="45"/>
      <c r="AF2182" s="45"/>
      <c r="AG2182" s="45"/>
      <c r="AH2182" s="45"/>
      <c r="AI2182" s="45"/>
      <c r="AJ2182" s="45"/>
      <c r="AK2182" s="45"/>
      <c r="AL2182" s="45"/>
    </row>
    <row r="2183" ht="15.75" customHeight="1">
      <c r="A2183" s="27">
        <f t="shared" si="21"/>
        <v>1062</v>
      </c>
      <c r="B2183" s="28" t="s">
        <v>31</v>
      </c>
      <c r="C2183" s="43" t="s">
        <v>7531</v>
      </c>
      <c r="D2183" s="30" t="s">
        <v>7532</v>
      </c>
      <c r="E2183" s="28" t="s">
        <v>31</v>
      </c>
      <c r="F2183" s="28" t="s">
        <v>29</v>
      </c>
      <c r="G2183" s="28" t="s">
        <v>30</v>
      </c>
      <c r="H2183" s="28"/>
      <c r="I2183" s="28" t="s">
        <v>30</v>
      </c>
      <c r="J2183" s="28">
        <v>28.0</v>
      </c>
      <c r="K2183" s="28"/>
      <c r="L2183" s="28" t="s">
        <v>31</v>
      </c>
      <c r="M2183" s="28" t="s">
        <v>7533</v>
      </c>
      <c r="N2183" s="28" t="s">
        <v>31</v>
      </c>
      <c r="O2183" s="60">
        <v>14.0</v>
      </c>
      <c r="P2183" s="28">
        <v>1.0</v>
      </c>
      <c r="Q2183" s="32">
        <v>1.0</v>
      </c>
      <c r="R2183" s="33"/>
      <c r="S2183" s="34"/>
      <c r="T2183" s="34"/>
      <c r="U2183" s="34"/>
      <c r="V2183" s="34"/>
      <c r="W2183" s="34"/>
      <c r="X2183" s="34"/>
      <c r="Y2183" s="3"/>
      <c r="Z2183" s="3"/>
      <c r="AA2183" s="3"/>
      <c r="AB2183" s="3"/>
      <c r="AC2183" s="3"/>
      <c r="AD2183" s="3"/>
      <c r="AE2183" s="3"/>
      <c r="AF2183" s="3"/>
      <c r="AG2183" s="3"/>
      <c r="AH2183" s="3"/>
      <c r="AI2183" s="3"/>
      <c r="AJ2183" s="3"/>
      <c r="AK2183" s="3"/>
      <c r="AL2183" s="3"/>
    </row>
    <row r="2184" ht="15.75" customHeight="1">
      <c r="A2184" s="27">
        <f t="shared" si="21"/>
        <v>1063</v>
      </c>
      <c r="B2184" s="121" t="s">
        <v>7534</v>
      </c>
      <c r="C2184" s="121" t="s">
        <v>7535</v>
      </c>
      <c r="D2184" s="119" t="s">
        <v>7536</v>
      </c>
      <c r="E2184" s="83"/>
      <c r="F2184" s="121" t="s">
        <v>29</v>
      </c>
      <c r="G2184" s="121" t="s">
        <v>166</v>
      </c>
      <c r="H2184" s="83"/>
      <c r="I2184" s="121" t="s">
        <v>166</v>
      </c>
      <c r="J2184" s="121">
        <v>254.0</v>
      </c>
      <c r="K2184" s="83"/>
      <c r="L2184" s="121" t="s">
        <v>7537</v>
      </c>
      <c r="M2184" s="121" t="s">
        <v>49</v>
      </c>
      <c r="N2184" s="121">
        <v>2010.0</v>
      </c>
      <c r="O2184" s="121">
        <v>14.0</v>
      </c>
      <c r="P2184" s="121">
        <v>1.0</v>
      </c>
      <c r="Q2184" s="121">
        <v>1.0</v>
      </c>
      <c r="R2184" s="84"/>
      <c r="S2184" s="40"/>
      <c r="T2184" s="40"/>
      <c r="U2184" s="40"/>
      <c r="V2184" s="40"/>
      <c r="W2184" s="40"/>
      <c r="X2184" s="40"/>
      <c r="Y2184" s="45"/>
      <c r="Z2184" s="45"/>
      <c r="AA2184" s="45"/>
      <c r="AB2184" s="45"/>
      <c r="AC2184" s="45"/>
      <c r="AD2184" s="45"/>
      <c r="AE2184" s="45"/>
      <c r="AF2184" s="45"/>
      <c r="AG2184" s="45"/>
      <c r="AH2184" s="45"/>
      <c r="AI2184" s="45"/>
      <c r="AJ2184" s="45"/>
      <c r="AK2184" s="45"/>
      <c r="AL2184" s="45"/>
    </row>
    <row r="2185" ht="15.75" customHeight="1">
      <c r="A2185" s="27">
        <f t="shared" si="21"/>
        <v>1064</v>
      </c>
      <c r="B2185" s="28" t="s">
        <v>7538</v>
      </c>
      <c r="C2185" s="43" t="s">
        <v>7539</v>
      </c>
      <c r="D2185" s="30" t="s">
        <v>7540</v>
      </c>
      <c r="E2185" s="28" t="s">
        <v>29</v>
      </c>
      <c r="F2185" s="28" t="s">
        <v>29</v>
      </c>
      <c r="G2185" s="28" t="s">
        <v>6271</v>
      </c>
      <c r="H2185" s="28"/>
      <c r="I2185" s="28" t="s">
        <v>38</v>
      </c>
      <c r="J2185" s="28">
        <v>221.0</v>
      </c>
      <c r="K2185" s="28"/>
      <c r="L2185" s="28" t="s">
        <v>7540</v>
      </c>
      <c r="M2185" s="28" t="s">
        <v>7540</v>
      </c>
      <c r="N2185" s="28">
        <v>1990.0</v>
      </c>
      <c r="O2185" s="60">
        <v>14.0</v>
      </c>
      <c r="P2185" s="28">
        <v>1.0</v>
      </c>
      <c r="Q2185" s="32">
        <v>1.0</v>
      </c>
      <c r="R2185" s="33"/>
      <c r="S2185" s="34"/>
      <c r="T2185" s="34"/>
      <c r="U2185" s="34"/>
      <c r="V2185" s="34"/>
      <c r="W2185" s="34"/>
      <c r="X2185" s="34"/>
      <c r="Y2185" s="3"/>
      <c r="Z2185" s="3"/>
      <c r="AA2185" s="3"/>
      <c r="AB2185" s="3"/>
      <c r="AC2185" s="3"/>
      <c r="AD2185" s="3"/>
      <c r="AE2185" s="3"/>
      <c r="AF2185" s="3"/>
      <c r="AG2185" s="3"/>
      <c r="AH2185" s="3"/>
      <c r="AI2185" s="3"/>
      <c r="AJ2185" s="3"/>
      <c r="AK2185" s="3"/>
      <c r="AL2185" s="3"/>
    </row>
    <row r="2186" ht="15.75" customHeight="1">
      <c r="A2186" s="27">
        <f t="shared" si="21"/>
        <v>1065</v>
      </c>
      <c r="B2186" s="28"/>
      <c r="C2186" s="43" t="s">
        <v>7541</v>
      </c>
      <c r="D2186" s="30" t="s">
        <v>7542</v>
      </c>
      <c r="E2186" s="28" t="s">
        <v>31</v>
      </c>
      <c r="F2186" s="28" t="s">
        <v>29</v>
      </c>
      <c r="G2186" s="28" t="s">
        <v>30</v>
      </c>
      <c r="H2186" s="28"/>
      <c r="I2186" s="28" t="s">
        <v>30</v>
      </c>
      <c r="J2186" s="28">
        <v>248.0</v>
      </c>
      <c r="K2186" s="28"/>
      <c r="L2186" s="28" t="s">
        <v>7543</v>
      </c>
      <c r="M2186" s="28" t="s">
        <v>7544</v>
      </c>
      <c r="N2186" s="28">
        <v>2006.0</v>
      </c>
      <c r="O2186" s="60">
        <v>14.0</v>
      </c>
      <c r="P2186" s="28">
        <v>2.0</v>
      </c>
      <c r="Q2186" s="94">
        <v>2.0</v>
      </c>
      <c r="R2186" s="33"/>
      <c r="S2186" s="40"/>
      <c r="T2186" s="40"/>
      <c r="U2186" s="40"/>
      <c r="V2186" s="40"/>
      <c r="W2186" s="40"/>
      <c r="X2186" s="40"/>
      <c r="Y2186" s="3"/>
      <c r="Z2186" s="3"/>
      <c r="AA2186" s="3"/>
      <c r="AB2186" s="3"/>
      <c r="AC2186" s="3"/>
      <c r="AD2186" s="3"/>
      <c r="AE2186" s="3"/>
      <c r="AF2186" s="3"/>
      <c r="AG2186" s="3"/>
      <c r="AH2186" s="3"/>
      <c r="AI2186" s="3"/>
      <c r="AJ2186" s="3"/>
      <c r="AK2186" s="3"/>
      <c r="AL2186" s="3"/>
    </row>
    <row r="2187" ht="15.75" customHeight="1">
      <c r="A2187" s="27">
        <f t="shared" si="21"/>
        <v>1066</v>
      </c>
      <c r="B2187" s="28" t="s">
        <v>31</v>
      </c>
      <c r="C2187" s="43" t="s">
        <v>7545</v>
      </c>
      <c r="D2187" s="30" t="s">
        <v>7546</v>
      </c>
      <c r="E2187" s="28" t="s">
        <v>31</v>
      </c>
      <c r="F2187" s="28" t="s">
        <v>29</v>
      </c>
      <c r="G2187" s="28" t="s">
        <v>30</v>
      </c>
      <c r="H2187" s="28"/>
      <c r="I2187" s="28" t="s">
        <v>30</v>
      </c>
      <c r="J2187" s="28">
        <v>167.0</v>
      </c>
      <c r="K2187" s="28"/>
      <c r="L2187" s="28" t="s">
        <v>7547</v>
      </c>
      <c r="M2187" s="28" t="s">
        <v>7547</v>
      </c>
      <c r="N2187" s="28">
        <v>1986.0</v>
      </c>
      <c r="O2187" s="60">
        <v>14.0</v>
      </c>
      <c r="P2187" s="28">
        <v>1.0</v>
      </c>
      <c r="Q2187" s="32">
        <v>1.0</v>
      </c>
      <c r="R2187" s="33"/>
      <c r="S2187" s="34"/>
      <c r="T2187" s="34"/>
      <c r="U2187" s="34"/>
      <c r="V2187" s="34"/>
      <c r="W2187" s="34"/>
      <c r="X2187" s="34"/>
      <c r="Y2187" s="3"/>
      <c r="Z2187" s="3"/>
      <c r="AA2187" s="3"/>
      <c r="AB2187" s="3"/>
      <c r="AC2187" s="3"/>
      <c r="AD2187" s="3"/>
      <c r="AE2187" s="3"/>
      <c r="AF2187" s="3"/>
      <c r="AG2187" s="3"/>
      <c r="AH2187" s="3"/>
      <c r="AI2187" s="3"/>
      <c r="AJ2187" s="3"/>
      <c r="AK2187" s="3"/>
      <c r="AL2187" s="3"/>
    </row>
    <row r="2188" ht="15.75" customHeight="1">
      <c r="A2188" s="27">
        <f t="shared" si="21"/>
        <v>1067</v>
      </c>
      <c r="B2188" s="28" t="s">
        <v>7548</v>
      </c>
      <c r="C2188" s="43" t="s">
        <v>7549</v>
      </c>
      <c r="D2188" s="30" t="s">
        <v>7550</v>
      </c>
      <c r="E2188" s="28" t="s">
        <v>144</v>
      </c>
      <c r="F2188" s="28" t="s">
        <v>29</v>
      </c>
      <c r="G2188" s="28" t="s">
        <v>30</v>
      </c>
      <c r="H2188" s="28"/>
      <c r="I2188" s="28" t="s">
        <v>30</v>
      </c>
      <c r="J2188" s="28">
        <v>241.0</v>
      </c>
      <c r="K2188" s="28"/>
      <c r="L2188" s="28" t="s">
        <v>7551</v>
      </c>
      <c r="M2188" s="28" t="s">
        <v>151</v>
      </c>
      <c r="N2188" s="28">
        <v>1990.0</v>
      </c>
      <c r="O2188" s="60">
        <v>14.0</v>
      </c>
      <c r="P2188" s="28">
        <v>1.0</v>
      </c>
      <c r="Q2188" s="32">
        <v>1.0</v>
      </c>
      <c r="R2188" s="33"/>
      <c r="S2188" s="34"/>
      <c r="T2188" s="34"/>
      <c r="U2188" s="34"/>
      <c r="V2188" s="34"/>
      <c r="W2188" s="34"/>
      <c r="X2188" s="34"/>
      <c r="Y2188" s="3"/>
      <c r="Z2188" s="3"/>
      <c r="AA2188" s="3"/>
      <c r="AB2188" s="3"/>
      <c r="AC2188" s="3"/>
      <c r="AD2188" s="3"/>
      <c r="AE2188" s="3"/>
      <c r="AF2188" s="3"/>
      <c r="AG2188" s="3"/>
      <c r="AH2188" s="3"/>
      <c r="AI2188" s="3"/>
      <c r="AJ2188" s="3"/>
      <c r="AK2188" s="3"/>
      <c r="AL2188" s="3"/>
    </row>
    <row r="2189" ht="15.75" customHeight="1">
      <c r="A2189" s="27">
        <f t="shared" si="21"/>
        <v>1068</v>
      </c>
      <c r="B2189" s="28" t="s">
        <v>31</v>
      </c>
      <c r="C2189" s="43" t="s">
        <v>7552</v>
      </c>
      <c r="D2189" s="30" t="s">
        <v>7553</v>
      </c>
      <c r="E2189" s="28" t="s">
        <v>144</v>
      </c>
      <c r="F2189" s="28" t="s">
        <v>29</v>
      </c>
      <c r="G2189" s="28" t="s">
        <v>30</v>
      </c>
      <c r="H2189" s="28"/>
      <c r="I2189" s="28" t="s">
        <v>30</v>
      </c>
      <c r="J2189" s="28">
        <v>96.0</v>
      </c>
      <c r="K2189" s="28"/>
      <c r="L2189" s="28" t="s">
        <v>7554</v>
      </c>
      <c r="M2189" s="28" t="s">
        <v>3426</v>
      </c>
      <c r="N2189" s="28">
        <v>1965.0</v>
      </c>
      <c r="O2189" s="60">
        <v>14.0</v>
      </c>
      <c r="P2189" s="28">
        <v>1.0</v>
      </c>
      <c r="Q2189" s="32">
        <v>1.0</v>
      </c>
      <c r="R2189" s="33"/>
      <c r="S2189" s="40"/>
      <c r="T2189" s="40"/>
      <c r="U2189" s="40"/>
      <c r="V2189" s="40"/>
      <c r="W2189" s="40"/>
      <c r="X2189" s="40"/>
      <c r="Y2189" s="45"/>
      <c r="Z2189" s="45"/>
      <c r="AA2189" s="45"/>
      <c r="AB2189" s="45"/>
      <c r="AC2189" s="45"/>
      <c r="AD2189" s="45"/>
      <c r="AE2189" s="45"/>
      <c r="AF2189" s="45"/>
      <c r="AG2189" s="45"/>
      <c r="AH2189" s="45"/>
      <c r="AI2189" s="45"/>
      <c r="AJ2189" s="45"/>
      <c r="AK2189" s="45"/>
      <c r="AL2189" s="45"/>
    </row>
    <row r="2190" ht="15.75" customHeight="1">
      <c r="A2190" s="27">
        <f t="shared" si="21"/>
        <v>1069</v>
      </c>
      <c r="B2190" s="28" t="s">
        <v>7555</v>
      </c>
      <c r="C2190" s="43" t="s">
        <v>7556</v>
      </c>
      <c r="D2190" s="30" t="s">
        <v>7557</v>
      </c>
      <c r="E2190" s="28" t="s">
        <v>144</v>
      </c>
      <c r="F2190" s="28" t="s">
        <v>29</v>
      </c>
      <c r="G2190" s="28" t="s">
        <v>30</v>
      </c>
      <c r="H2190" s="28"/>
      <c r="I2190" s="28" t="s">
        <v>30</v>
      </c>
      <c r="J2190" s="28">
        <v>278.0</v>
      </c>
      <c r="K2190" s="28"/>
      <c r="L2190" s="28" t="s">
        <v>7558</v>
      </c>
      <c r="M2190" s="28" t="s">
        <v>151</v>
      </c>
      <c r="N2190" s="28">
        <v>2003.0</v>
      </c>
      <c r="O2190" s="60">
        <v>14.0</v>
      </c>
      <c r="P2190" s="28">
        <v>1.0</v>
      </c>
      <c r="Q2190" s="32">
        <v>1.0</v>
      </c>
      <c r="R2190" s="33"/>
      <c r="S2190" s="185"/>
      <c r="T2190" s="185"/>
      <c r="U2190" s="185"/>
      <c r="V2190" s="185"/>
      <c r="W2190" s="185"/>
      <c r="X2190" s="185"/>
      <c r="Y2190" s="45"/>
      <c r="Z2190" s="45"/>
      <c r="AA2190" s="45"/>
      <c r="AB2190" s="45"/>
      <c r="AC2190" s="45"/>
      <c r="AD2190" s="45"/>
      <c r="AE2190" s="45"/>
      <c r="AF2190" s="45"/>
      <c r="AG2190" s="45"/>
      <c r="AH2190" s="45"/>
      <c r="AI2190" s="45"/>
      <c r="AJ2190" s="45"/>
      <c r="AK2190" s="45"/>
      <c r="AL2190" s="45"/>
    </row>
    <row r="2191" ht="15.75" customHeight="1">
      <c r="A2191" s="27">
        <f t="shared" si="21"/>
        <v>1070</v>
      </c>
      <c r="B2191" s="83"/>
      <c r="C2191" s="121" t="s">
        <v>7559</v>
      </c>
      <c r="D2191" s="119" t="s">
        <v>7560</v>
      </c>
      <c r="E2191" s="83"/>
      <c r="F2191" s="121" t="s">
        <v>29</v>
      </c>
      <c r="G2191" s="121" t="s">
        <v>30</v>
      </c>
      <c r="H2191" s="83"/>
      <c r="I2191" s="121" t="s">
        <v>30</v>
      </c>
      <c r="J2191" s="121">
        <v>156.0</v>
      </c>
      <c r="K2191" s="83"/>
      <c r="L2191" s="121" t="s">
        <v>7561</v>
      </c>
      <c r="M2191" s="121" t="s">
        <v>7561</v>
      </c>
      <c r="N2191" s="121">
        <v>1973.0</v>
      </c>
      <c r="O2191" s="121">
        <v>14.0</v>
      </c>
      <c r="P2191" s="121">
        <v>1.0</v>
      </c>
      <c r="Q2191" s="121">
        <v>1.0</v>
      </c>
      <c r="R2191" s="84"/>
      <c r="S2191" s="34"/>
      <c r="T2191" s="34"/>
      <c r="U2191" s="34"/>
      <c r="V2191" s="34"/>
      <c r="W2191" s="34"/>
      <c r="X2191" s="34"/>
      <c r="Y2191" s="3"/>
      <c r="Z2191" s="3"/>
      <c r="AA2191" s="3"/>
      <c r="AB2191" s="3"/>
      <c r="AC2191" s="3"/>
      <c r="AD2191" s="3"/>
      <c r="AE2191" s="3"/>
      <c r="AF2191" s="3"/>
      <c r="AG2191" s="3"/>
      <c r="AH2191" s="3"/>
      <c r="AI2191" s="3"/>
      <c r="AJ2191" s="3"/>
      <c r="AK2191" s="3"/>
      <c r="AL2191" s="3"/>
    </row>
    <row r="2192" ht="15.75" customHeight="1">
      <c r="A2192" s="27">
        <f t="shared" si="21"/>
        <v>1071</v>
      </c>
      <c r="B2192" s="83"/>
      <c r="C2192" s="121" t="s">
        <v>7559</v>
      </c>
      <c r="D2192" s="119" t="s">
        <v>7560</v>
      </c>
      <c r="E2192" s="83"/>
      <c r="F2192" s="121" t="s">
        <v>29</v>
      </c>
      <c r="G2192" s="121" t="s">
        <v>30</v>
      </c>
      <c r="H2192" s="83"/>
      <c r="I2192" s="121" t="s">
        <v>30</v>
      </c>
      <c r="J2192" s="121">
        <v>148.0</v>
      </c>
      <c r="K2192" s="83"/>
      <c r="L2192" s="121" t="s">
        <v>7561</v>
      </c>
      <c r="M2192" s="121" t="s">
        <v>7561</v>
      </c>
      <c r="N2192" s="121">
        <v>1972.0</v>
      </c>
      <c r="O2192" s="121">
        <v>14.0</v>
      </c>
      <c r="P2192" s="121">
        <v>1.0</v>
      </c>
      <c r="Q2192" s="121">
        <v>1.0</v>
      </c>
      <c r="R2192" s="84"/>
      <c r="S2192" s="34"/>
      <c r="T2192" s="34"/>
      <c r="U2192" s="34"/>
      <c r="V2192" s="34"/>
      <c r="W2192" s="34"/>
      <c r="X2192" s="34"/>
      <c r="Y2192" s="45"/>
      <c r="Z2192" s="45"/>
      <c r="AA2192" s="45"/>
      <c r="AB2192" s="45"/>
      <c r="AC2192" s="45"/>
      <c r="AD2192" s="45"/>
      <c r="AE2192" s="45"/>
      <c r="AF2192" s="45"/>
      <c r="AG2192" s="45"/>
      <c r="AH2192" s="45"/>
      <c r="AI2192" s="45"/>
      <c r="AJ2192" s="45"/>
      <c r="AK2192" s="45"/>
      <c r="AL2192" s="45"/>
    </row>
    <row r="2193" ht="15.75" customHeight="1">
      <c r="A2193" s="27">
        <f t="shared" si="21"/>
        <v>1072</v>
      </c>
      <c r="B2193" s="28" t="s">
        <v>31</v>
      </c>
      <c r="C2193" s="43" t="s">
        <v>7562</v>
      </c>
      <c r="D2193" s="30" t="s">
        <v>7563</v>
      </c>
      <c r="E2193" s="28" t="s">
        <v>29</v>
      </c>
      <c r="F2193" s="28" t="s">
        <v>29</v>
      </c>
      <c r="G2193" s="28" t="s">
        <v>30</v>
      </c>
      <c r="H2193" s="28"/>
      <c r="I2193" s="28" t="s">
        <v>30</v>
      </c>
      <c r="J2193" s="28">
        <v>337.0</v>
      </c>
      <c r="K2193" s="28"/>
      <c r="L2193" s="28" t="s">
        <v>7564</v>
      </c>
      <c r="M2193" s="28" t="s">
        <v>151</v>
      </c>
      <c r="N2193" s="28">
        <v>1976.0</v>
      </c>
      <c r="O2193" s="60">
        <v>14.0</v>
      </c>
      <c r="P2193" s="28">
        <v>1.0</v>
      </c>
      <c r="Q2193" s="32">
        <v>1.0</v>
      </c>
      <c r="R2193" s="33"/>
      <c r="S2193" s="34"/>
      <c r="T2193" s="34"/>
      <c r="U2193" s="34"/>
      <c r="V2193" s="34"/>
      <c r="W2193" s="34"/>
      <c r="X2193" s="34"/>
      <c r="Y2193" s="45"/>
      <c r="Z2193" s="45"/>
      <c r="AA2193" s="45"/>
      <c r="AB2193" s="45"/>
      <c r="AC2193" s="45"/>
      <c r="AD2193" s="45"/>
      <c r="AE2193" s="45"/>
      <c r="AF2193" s="45"/>
      <c r="AG2193" s="45"/>
      <c r="AH2193" s="45"/>
      <c r="AI2193" s="45"/>
      <c r="AJ2193" s="45"/>
      <c r="AK2193" s="45"/>
      <c r="AL2193" s="45"/>
    </row>
    <row r="2194" ht="15.75" customHeight="1">
      <c r="A2194" s="27">
        <f t="shared" si="21"/>
        <v>1073</v>
      </c>
      <c r="B2194" s="28" t="s">
        <v>31</v>
      </c>
      <c r="C2194" s="43" t="s">
        <v>7565</v>
      </c>
      <c r="D2194" s="30" t="s">
        <v>7566</v>
      </c>
      <c r="E2194" s="28" t="s">
        <v>31</v>
      </c>
      <c r="F2194" s="28" t="s">
        <v>29</v>
      </c>
      <c r="G2194" s="28" t="s">
        <v>30</v>
      </c>
      <c r="H2194" s="28"/>
      <c r="I2194" s="28" t="s">
        <v>30</v>
      </c>
      <c r="J2194" s="28">
        <v>115.0</v>
      </c>
      <c r="K2194" s="28"/>
      <c r="L2194" s="28" t="s">
        <v>3372</v>
      </c>
      <c r="M2194" s="28" t="s">
        <v>7567</v>
      </c>
      <c r="N2194" s="28">
        <v>2005.0</v>
      </c>
      <c r="O2194" s="60">
        <v>14.0</v>
      </c>
      <c r="P2194" s="28">
        <v>1.0</v>
      </c>
      <c r="Q2194" s="32">
        <v>1.0</v>
      </c>
      <c r="R2194" s="33"/>
      <c r="S2194" s="34"/>
      <c r="T2194" s="34"/>
      <c r="U2194" s="34"/>
      <c r="V2194" s="34"/>
      <c r="W2194" s="34"/>
      <c r="X2194" s="34"/>
      <c r="Y2194" s="3"/>
      <c r="Z2194" s="3"/>
      <c r="AA2194" s="3"/>
      <c r="AB2194" s="3"/>
      <c r="AC2194" s="3"/>
      <c r="AD2194" s="3"/>
      <c r="AE2194" s="3"/>
      <c r="AF2194" s="3"/>
      <c r="AG2194" s="3"/>
      <c r="AH2194" s="3"/>
      <c r="AI2194" s="3"/>
      <c r="AJ2194" s="3"/>
      <c r="AK2194" s="3"/>
      <c r="AL2194" s="3"/>
    </row>
    <row r="2195" ht="15.75" customHeight="1">
      <c r="A2195" s="27">
        <f t="shared" si="21"/>
        <v>1074</v>
      </c>
      <c r="B2195" s="28" t="s">
        <v>31</v>
      </c>
      <c r="C2195" s="43" t="s">
        <v>7568</v>
      </c>
      <c r="D2195" s="30" t="s">
        <v>7569</v>
      </c>
      <c r="E2195" s="28" t="s">
        <v>144</v>
      </c>
      <c r="F2195" s="28" t="s">
        <v>29</v>
      </c>
      <c r="G2195" s="28" t="s">
        <v>30</v>
      </c>
      <c r="H2195" s="28"/>
      <c r="I2195" s="28" t="s">
        <v>30</v>
      </c>
      <c r="J2195" s="28">
        <v>211.0</v>
      </c>
      <c r="K2195" s="28"/>
      <c r="L2195" s="28" t="s">
        <v>31</v>
      </c>
      <c r="M2195" s="28" t="s">
        <v>31</v>
      </c>
      <c r="N2195" s="28" t="s">
        <v>31</v>
      </c>
      <c r="O2195" s="60">
        <v>14.0</v>
      </c>
      <c r="P2195" s="28">
        <v>1.0</v>
      </c>
      <c r="Q2195" s="32">
        <v>1.0</v>
      </c>
      <c r="R2195" s="33"/>
      <c r="S2195" s="34"/>
      <c r="T2195" s="34"/>
      <c r="U2195" s="34"/>
      <c r="V2195" s="34"/>
      <c r="W2195" s="34"/>
      <c r="X2195" s="34"/>
      <c r="Y2195" s="3"/>
      <c r="Z2195" s="3"/>
      <c r="AA2195" s="3"/>
      <c r="AB2195" s="3"/>
      <c r="AC2195" s="3"/>
      <c r="AD2195" s="3"/>
      <c r="AE2195" s="3"/>
      <c r="AF2195" s="3"/>
      <c r="AG2195" s="3"/>
      <c r="AH2195" s="3"/>
      <c r="AI2195" s="3"/>
      <c r="AJ2195" s="3"/>
      <c r="AK2195" s="3"/>
      <c r="AL2195" s="3"/>
    </row>
    <row r="2196" ht="15.75" customHeight="1">
      <c r="A2196" s="27">
        <f t="shared" si="21"/>
        <v>1075</v>
      </c>
      <c r="B2196" s="28" t="s">
        <v>31</v>
      </c>
      <c r="C2196" s="43" t="s">
        <v>7570</v>
      </c>
      <c r="D2196" s="30" t="s">
        <v>7571</v>
      </c>
      <c r="E2196" s="28" t="s">
        <v>144</v>
      </c>
      <c r="F2196" s="28" t="s">
        <v>29</v>
      </c>
      <c r="G2196" s="28" t="s">
        <v>30</v>
      </c>
      <c r="H2196" s="28"/>
      <c r="I2196" s="28" t="s">
        <v>30</v>
      </c>
      <c r="J2196" s="28">
        <v>179.0</v>
      </c>
      <c r="K2196" s="28"/>
      <c r="L2196" s="28" t="s">
        <v>7572</v>
      </c>
      <c r="M2196" s="28" t="s">
        <v>3991</v>
      </c>
      <c r="N2196" s="28">
        <v>1977.0</v>
      </c>
      <c r="O2196" s="60">
        <v>14.0</v>
      </c>
      <c r="P2196" s="28">
        <v>1.0</v>
      </c>
      <c r="Q2196" s="32">
        <v>1.0</v>
      </c>
      <c r="R2196" s="33"/>
      <c r="S2196" s="34"/>
      <c r="T2196" s="34"/>
      <c r="U2196" s="34"/>
      <c r="V2196" s="34"/>
      <c r="W2196" s="34"/>
      <c r="X2196" s="34"/>
      <c r="Y2196" s="45"/>
      <c r="Z2196" s="45"/>
      <c r="AA2196" s="45"/>
      <c r="AB2196" s="45"/>
      <c r="AC2196" s="45"/>
      <c r="AD2196" s="45"/>
      <c r="AE2196" s="45"/>
      <c r="AF2196" s="45"/>
      <c r="AG2196" s="45"/>
      <c r="AH2196" s="45"/>
      <c r="AI2196" s="45"/>
      <c r="AJ2196" s="45"/>
      <c r="AK2196" s="45"/>
      <c r="AL2196" s="45"/>
    </row>
    <row r="2197" ht="15.75" customHeight="1">
      <c r="A2197" s="27">
        <f t="shared" si="21"/>
        <v>1076</v>
      </c>
      <c r="B2197" s="28"/>
      <c r="C2197" s="43" t="s">
        <v>7573</v>
      </c>
      <c r="D2197" s="30" t="s">
        <v>7574</v>
      </c>
      <c r="E2197" s="28" t="s">
        <v>31</v>
      </c>
      <c r="F2197" s="28" t="s">
        <v>29</v>
      </c>
      <c r="G2197" s="28" t="s">
        <v>30</v>
      </c>
      <c r="H2197" s="28"/>
      <c r="I2197" s="28" t="s">
        <v>30</v>
      </c>
      <c r="J2197" s="28">
        <v>109.0</v>
      </c>
      <c r="K2197" s="28"/>
      <c r="L2197" s="28"/>
      <c r="M2197" s="28" t="s">
        <v>151</v>
      </c>
      <c r="N2197" s="28">
        <v>1980.0</v>
      </c>
      <c r="O2197" s="60">
        <v>14.0</v>
      </c>
      <c r="P2197" s="28">
        <v>3.0</v>
      </c>
      <c r="Q2197" s="94">
        <v>3.0</v>
      </c>
      <c r="R2197" s="33"/>
      <c r="S2197" s="34"/>
      <c r="T2197" s="34"/>
      <c r="U2197" s="34"/>
      <c r="V2197" s="34"/>
      <c r="W2197" s="34"/>
      <c r="X2197" s="34"/>
      <c r="Y2197" s="45"/>
      <c r="Z2197" s="45"/>
      <c r="AA2197" s="45"/>
      <c r="AB2197" s="45"/>
      <c r="AC2197" s="45"/>
      <c r="AD2197" s="45"/>
      <c r="AE2197" s="45"/>
      <c r="AF2197" s="45"/>
      <c r="AG2197" s="45"/>
      <c r="AH2197" s="45"/>
      <c r="AI2197" s="45"/>
      <c r="AJ2197" s="45"/>
      <c r="AK2197" s="45"/>
      <c r="AL2197" s="45"/>
    </row>
    <row r="2198" ht="15.75" customHeight="1">
      <c r="A2198" s="27">
        <f t="shared" si="21"/>
        <v>1077</v>
      </c>
      <c r="B2198" s="83"/>
      <c r="C2198" s="121" t="s">
        <v>7575</v>
      </c>
      <c r="D2198" s="119" t="s">
        <v>7576</v>
      </c>
      <c r="E2198" s="83"/>
      <c r="F2198" s="121" t="s">
        <v>29</v>
      </c>
      <c r="G2198" s="121" t="s">
        <v>30</v>
      </c>
      <c r="H2198" s="83"/>
      <c r="I2198" s="121" t="s">
        <v>30</v>
      </c>
      <c r="J2198" s="121">
        <v>138.0</v>
      </c>
      <c r="K2198" s="83"/>
      <c r="L2198" s="121" t="s">
        <v>31</v>
      </c>
      <c r="M2198" s="121" t="s">
        <v>7577</v>
      </c>
      <c r="N2198" s="121">
        <v>1971.0</v>
      </c>
      <c r="O2198" s="121">
        <v>14.0</v>
      </c>
      <c r="P2198" s="121">
        <v>1.0</v>
      </c>
      <c r="Q2198" s="121">
        <v>1.0</v>
      </c>
      <c r="R2198" s="84"/>
      <c r="S2198" s="34"/>
      <c r="T2198" s="34"/>
      <c r="U2198" s="34"/>
      <c r="V2198" s="34"/>
      <c r="W2198" s="34"/>
      <c r="X2198" s="34"/>
      <c r="Y2198" s="3"/>
      <c r="Z2198" s="3"/>
      <c r="AA2198" s="3"/>
      <c r="AB2198" s="3"/>
      <c r="AC2198" s="3"/>
      <c r="AD2198" s="3"/>
      <c r="AE2198" s="3"/>
      <c r="AF2198" s="3"/>
      <c r="AG2198" s="3"/>
      <c r="AH2198" s="3"/>
      <c r="AI2198" s="3"/>
      <c r="AJ2198" s="3"/>
      <c r="AK2198" s="3"/>
      <c r="AL2198" s="3"/>
    </row>
    <row r="2199" ht="15.75" customHeight="1">
      <c r="A2199" s="27">
        <f t="shared" si="21"/>
        <v>1078</v>
      </c>
      <c r="B2199" s="28" t="s">
        <v>31</v>
      </c>
      <c r="C2199" s="43" t="s">
        <v>7578</v>
      </c>
      <c r="D2199" s="30" t="s">
        <v>7579</v>
      </c>
      <c r="E2199" s="28" t="s">
        <v>144</v>
      </c>
      <c r="F2199" s="28" t="s">
        <v>29</v>
      </c>
      <c r="G2199" s="28" t="s">
        <v>30</v>
      </c>
      <c r="H2199" s="28"/>
      <c r="I2199" s="28" t="s">
        <v>30</v>
      </c>
      <c r="J2199" s="28">
        <v>16.0</v>
      </c>
      <c r="K2199" s="28"/>
      <c r="L2199" s="28" t="s">
        <v>7580</v>
      </c>
      <c r="M2199" s="28" t="s">
        <v>151</v>
      </c>
      <c r="N2199" s="28" t="s">
        <v>31</v>
      </c>
      <c r="O2199" s="60">
        <v>14.0</v>
      </c>
      <c r="P2199" s="28">
        <v>2.0</v>
      </c>
      <c r="Q2199" s="94">
        <v>2.0</v>
      </c>
      <c r="R2199" s="33"/>
      <c r="S2199" s="34"/>
      <c r="T2199" s="34"/>
      <c r="U2199" s="34"/>
      <c r="V2199" s="34"/>
      <c r="W2199" s="34"/>
      <c r="X2199" s="34"/>
      <c r="Y2199" s="3"/>
      <c r="Z2199" s="3"/>
      <c r="AA2199" s="3"/>
      <c r="AB2199" s="3"/>
      <c r="AC2199" s="3"/>
      <c r="AD2199" s="3"/>
      <c r="AE2199" s="3"/>
      <c r="AF2199" s="3"/>
      <c r="AG2199" s="3"/>
      <c r="AH2199" s="3"/>
      <c r="AI2199" s="3"/>
      <c r="AJ2199" s="3"/>
      <c r="AK2199" s="3"/>
      <c r="AL2199" s="3"/>
    </row>
    <row r="2200" ht="15.75" customHeight="1">
      <c r="A2200" s="27">
        <f t="shared" si="21"/>
        <v>1079</v>
      </c>
      <c r="B2200" s="28" t="s">
        <v>7581</v>
      </c>
      <c r="C2200" s="43" t="s">
        <v>7582</v>
      </c>
      <c r="D2200" s="30" t="s">
        <v>7583</v>
      </c>
      <c r="E2200" s="28" t="s">
        <v>31</v>
      </c>
      <c r="F2200" s="28" t="s">
        <v>29</v>
      </c>
      <c r="G2200" s="28" t="s">
        <v>30</v>
      </c>
      <c r="H2200" s="28"/>
      <c r="I2200" s="28" t="s">
        <v>30</v>
      </c>
      <c r="J2200" s="28">
        <v>217.0</v>
      </c>
      <c r="K2200" s="28"/>
      <c r="L2200" s="28" t="s">
        <v>7584</v>
      </c>
      <c r="M2200" s="28" t="s">
        <v>151</v>
      </c>
      <c r="N2200" s="28">
        <v>1997.0</v>
      </c>
      <c r="O2200" s="60">
        <v>14.0</v>
      </c>
      <c r="P2200" s="28">
        <v>1.0</v>
      </c>
      <c r="Q2200" s="32">
        <v>1.0</v>
      </c>
      <c r="R2200" s="33"/>
      <c r="S2200" s="34"/>
      <c r="T2200" s="34"/>
      <c r="U2200" s="34"/>
      <c r="V2200" s="34"/>
      <c r="W2200" s="34"/>
      <c r="X2200" s="34"/>
      <c r="Y2200" s="3"/>
      <c r="Z2200" s="3"/>
      <c r="AA2200" s="3"/>
      <c r="AB2200" s="3"/>
      <c r="AC2200" s="3"/>
      <c r="AD2200" s="3"/>
      <c r="AE2200" s="3"/>
      <c r="AF2200" s="3"/>
      <c r="AG2200" s="3"/>
      <c r="AH2200" s="3"/>
      <c r="AI2200" s="3"/>
      <c r="AJ2200" s="3"/>
      <c r="AK2200" s="3"/>
      <c r="AL2200" s="3"/>
    </row>
    <row r="2201" ht="15.75" customHeight="1">
      <c r="A2201" s="27">
        <f t="shared" si="21"/>
        <v>1080</v>
      </c>
      <c r="B2201" s="28" t="s">
        <v>31</v>
      </c>
      <c r="C2201" s="43" t="s">
        <v>7585</v>
      </c>
      <c r="D2201" s="30" t="s">
        <v>7586</v>
      </c>
      <c r="E2201" s="28" t="s">
        <v>31</v>
      </c>
      <c r="F2201" s="28" t="s">
        <v>29</v>
      </c>
      <c r="G2201" s="28" t="s">
        <v>30</v>
      </c>
      <c r="H2201" s="28"/>
      <c r="I2201" s="28" t="s">
        <v>30</v>
      </c>
      <c r="J2201" s="28">
        <v>299.0</v>
      </c>
      <c r="K2201" s="28"/>
      <c r="L2201" s="28" t="s">
        <v>7587</v>
      </c>
      <c r="M2201" s="28" t="s">
        <v>3697</v>
      </c>
      <c r="N2201" s="28">
        <v>2000.0</v>
      </c>
      <c r="O2201" s="60">
        <v>14.0</v>
      </c>
      <c r="P2201" s="28">
        <v>1.0</v>
      </c>
      <c r="Q2201" s="32">
        <v>1.0</v>
      </c>
      <c r="R2201" s="33"/>
      <c r="S2201" s="34"/>
      <c r="T2201" s="34"/>
      <c r="U2201" s="34"/>
      <c r="V2201" s="34"/>
      <c r="W2201" s="34"/>
      <c r="X2201" s="34"/>
      <c r="Y2201" s="3"/>
      <c r="Z2201" s="3"/>
      <c r="AA2201" s="3"/>
      <c r="AB2201" s="3"/>
      <c r="AC2201" s="3"/>
      <c r="AD2201" s="3"/>
      <c r="AE2201" s="3"/>
      <c r="AF2201" s="3"/>
      <c r="AG2201" s="3"/>
      <c r="AH2201" s="3"/>
      <c r="AI2201" s="3"/>
      <c r="AJ2201" s="3"/>
      <c r="AK2201" s="3"/>
      <c r="AL2201" s="3"/>
    </row>
    <row r="2202" ht="15.75" customHeight="1">
      <c r="A2202" s="27">
        <f t="shared" si="21"/>
        <v>1081</v>
      </c>
      <c r="B2202" s="28" t="s">
        <v>7588</v>
      </c>
      <c r="C2202" s="43" t="s">
        <v>7589</v>
      </c>
      <c r="D2202" s="30" t="s">
        <v>7590</v>
      </c>
      <c r="E2202" s="28" t="s">
        <v>31</v>
      </c>
      <c r="F2202" s="28" t="s">
        <v>29</v>
      </c>
      <c r="G2202" s="28" t="s">
        <v>30</v>
      </c>
      <c r="H2202" s="28"/>
      <c r="I2202" s="28" t="s">
        <v>30</v>
      </c>
      <c r="J2202" s="28">
        <v>91.0</v>
      </c>
      <c r="K2202" s="28"/>
      <c r="L2202" s="28" t="s">
        <v>5292</v>
      </c>
      <c r="M2202" s="28" t="s">
        <v>7591</v>
      </c>
      <c r="N2202" s="28">
        <v>2006.0</v>
      </c>
      <c r="O2202" s="60">
        <v>14.0</v>
      </c>
      <c r="P2202" s="28">
        <v>1.0</v>
      </c>
      <c r="Q2202" s="32">
        <v>1.0</v>
      </c>
      <c r="R2202" s="33"/>
      <c r="S2202" s="34"/>
      <c r="T2202" s="34"/>
      <c r="U2202" s="34"/>
      <c r="V2202" s="34"/>
      <c r="W2202" s="34"/>
      <c r="X2202" s="34"/>
      <c r="Y2202" s="3"/>
      <c r="Z2202" s="3"/>
      <c r="AA2202" s="3"/>
      <c r="AB2202" s="3"/>
      <c r="AC2202" s="3"/>
      <c r="AD2202" s="3"/>
      <c r="AE2202" s="3"/>
      <c r="AF2202" s="3"/>
      <c r="AG2202" s="3"/>
      <c r="AH2202" s="3"/>
      <c r="AI2202" s="3"/>
      <c r="AJ2202" s="3"/>
      <c r="AK2202" s="3"/>
      <c r="AL2202" s="3"/>
    </row>
    <row r="2203" ht="15.75" customHeight="1">
      <c r="A2203" s="27">
        <f t="shared" si="21"/>
        <v>1082</v>
      </c>
      <c r="B2203" s="121" t="s">
        <v>7592</v>
      </c>
      <c r="C2203" s="121" t="s">
        <v>7593</v>
      </c>
      <c r="D2203" s="119" t="s">
        <v>7594</v>
      </c>
      <c r="E2203" s="83"/>
      <c r="F2203" s="83"/>
      <c r="G2203" s="121" t="s">
        <v>30</v>
      </c>
      <c r="H2203" s="83"/>
      <c r="I2203" s="121" t="s">
        <v>30</v>
      </c>
      <c r="J2203" s="121">
        <v>51.0</v>
      </c>
      <c r="K2203" s="83"/>
      <c r="L2203" s="121" t="s">
        <v>7595</v>
      </c>
      <c r="M2203" s="121" t="s">
        <v>4166</v>
      </c>
      <c r="N2203" s="121">
        <v>2003.0</v>
      </c>
      <c r="O2203" s="121">
        <v>14.0</v>
      </c>
      <c r="P2203" s="121">
        <v>1.0</v>
      </c>
      <c r="Q2203" s="121">
        <v>1.0</v>
      </c>
      <c r="R2203" s="84"/>
      <c r="S2203" s="34"/>
      <c r="T2203" s="34"/>
      <c r="U2203" s="34"/>
      <c r="V2203" s="34"/>
      <c r="W2203" s="34"/>
      <c r="X2203" s="34"/>
      <c r="Y2203" s="3"/>
      <c r="Z2203" s="3"/>
      <c r="AA2203" s="3"/>
      <c r="AB2203" s="3"/>
      <c r="AC2203" s="3"/>
      <c r="AD2203" s="3"/>
      <c r="AE2203" s="3"/>
      <c r="AF2203" s="3"/>
      <c r="AG2203" s="3"/>
      <c r="AH2203" s="3"/>
      <c r="AI2203" s="3"/>
      <c r="AJ2203" s="3"/>
      <c r="AK2203" s="3"/>
      <c r="AL2203" s="3"/>
    </row>
    <row r="2204" ht="15.75" customHeight="1">
      <c r="A2204" s="27">
        <f t="shared" si="21"/>
        <v>1083</v>
      </c>
      <c r="B2204" s="28" t="s">
        <v>7596</v>
      </c>
      <c r="C2204" s="43" t="s">
        <v>7597</v>
      </c>
      <c r="D2204" s="30" t="s">
        <v>7598</v>
      </c>
      <c r="E2204" s="28" t="s">
        <v>31</v>
      </c>
      <c r="F2204" s="28" t="s">
        <v>29</v>
      </c>
      <c r="G2204" s="28" t="s">
        <v>30</v>
      </c>
      <c r="H2204" s="28"/>
      <c r="I2204" s="28" t="s">
        <v>30</v>
      </c>
      <c r="J2204" s="28">
        <v>71.0</v>
      </c>
      <c r="K2204" s="28"/>
      <c r="L2204" s="28" t="s">
        <v>7599</v>
      </c>
      <c r="M2204" s="28" t="s">
        <v>151</v>
      </c>
      <c r="N2204" s="28">
        <v>1995.0</v>
      </c>
      <c r="O2204" s="60">
        <v>14.0</v>
      </c>
      <c r="P2204" s="28">
        <v>1.0</v>
      </c>
      <c r="Q2204" s="32">
        <v>1.0</v>
      </c>
      <c r="R2204" s="33"/>
      <c r="S2204" s="34"/>
      <c r="T2204" s="34"/>
      <c r="U2204" s="34"/>
      <c r="V2204" s="34"/>
      <c r="W2204" s="34"/>
      <c r="X2204" s="34"/>
      <c r="Y2204" s="45"/>
      <c r="Z2204" s="45"/>
      <c r="AA2204" s="45"/>
      <c r="AB2204" s="45"/>
      <c r="AC2204" s="45"/>
      <c r="AD2204" s="45"/>
      <c r="AE2204" s="45"/>
      <c r="AF2204" s="45"/>
      <c r="AG2204" s="45"/>
      <c r="AH2204" s="45"/>
      <c r="AI2204" s="45"/>
      <c r="AJ2204" s="45"/>
      <c r="AK2204" s="45"/>
      <c r="AL2204" s="45"/>
    </row>
    <row r="2205" ht="15.75" customHeight="1">
      <c r="A2205" s="27">
        <f t="shared" si="21"/>
        <v>1084</v>
      </c>
      <c r="B2205" s="28" t="s">
        <v>7600</v>
      </c>
      <c r="C2205" s="43" t="s">
        <v>7601</v>
      </c>
      <c r="D2205" s="30" t="s">
        <v>7602</v>
      </c>
      <c r="E2205" s="28" t="s">
        <v>31</v>
      </c>
      <c r="F2205" s="28" t="s">
        <v>29</v>
      </c>
      <c r="G2205" s="28" t="s">
        <v>30</v>
      </c>
      <c r="H2205" s="28"/>
      <c r="I2205" s="28" t="s">
        <v>30</v>
      </c>
      <c r="J2205" s="28">
        <v>81.0</v>
      </c>
      <c r="K2205" s="28"/>
      <c r="L2205" s="28" t="s">
        <v>7603</v>
      </c>
      <c r="M2205" s="28" t="s">
        <v>151</v>
      </c>
      <c r="N2205" s="28">
        <v>1989.0</v>
      </c>
      <c r="O2205" s="60">
        <v>14.0</v>
      </c>
      <c r="P2205" s="28">
        <v>1.0</v>
      </c>
      <c r="Q2205" s="32">
        <v>1.0</v>
      </c>
      <c r="R2205" s="33"/>
      <c r="S2205" s="34"/>
      <c r="T2205" s="34"/>
      <c r="U2205" s="34"/>
      <c r="V2205" s="34"/>
      <c r="W2205" s="34"/>
      <c r="X2205" s="34"/>
      <c r="Y2205" s="3"/>
      <c r="Z2205" s="3"/>
      <c r="AA2205" s="3"/>
      <c r="AB2205" s="3"/>
      <c r="AC2205" s="3"/>
      <c r="AD2205" s="3"/>
      <c r="AE2205" s="3"/>
      <c r="AF2205" s="3"/>
      <c r="AG2205" s="3"/>
      <c r="AH2205" s="3"/>
      <c r="AI2205" s="3"/>
      <c r="AJ2205" s="3"/>
      <c r="AK2205" s="3"/>
      <c r="AL2205" s="3"/>
    </row>
    <row r="2206" ht="15.75" customHeight="1">
      <c r="A2206" s="27">
        <f t="shared" si="21"/>
        <v>1085</v>
      </c>
      <c r="B2206" s="28" t="s">
        <v>7604</v>
      </c>
      <c r="C2206" s="43" t="s">
        <v>7605</v>
      </c>
      <c r="D2206" s="30" t="s">
        <v>7606</v>
      </c>
      <c r="E2206" s="28" t="s">
        <v>31</v>
      </c>
      <c r="F2206" s="28" t="s">
        <v>29</v>
      </c>
      <c r="G2206" s="28" t="s">
        <v>30</v>
      </c>
      <c r="H2206" s="28"/>
      <c r="I2206" s="28" t="s">
        <v>30</v>
      </c>
      <c r="J2206" s="28">
        <v>95.0</v>
      </c>
      <c r="K2206" s="28"/>
      <c r="L2206" s="28" t="s">
        <v>7113</v>
      </c>
      <c r="M2206" s="28" t="s">
        <v>169</v>
      </c>
      <c r="N2206" s="28">
        <v>2004.0</v>
      </c>
      <c r="O2206" s="60">
        <v>14.0</v>
      </c>
      <c r="P2206" s="28">
        <v>1.0</v>
      </c>
      <c r="Q2206" s="32">
        <v>1.0</v>
      </c>
      <c r="R2206" s="33"/>
      <c r="S2206" s="34"/>
      <c r="T2206" s="34"/>
      <c r="U2206" s="34"/>
      <c r="V2206" s="34"/>
      <c r="W2206" s="34"/>
      <c r="X2206" s="34"/>
      <c r="Y2206" s="45"/>
      <c r="Z2206" s="45"/>
      <c r="AA2206" s="45"/>
      <c r="AB2206" s="45"/>
      <c r="AC2206" s="45"/>
      <c r="AD2206" s="45"/>
      <c r="AE2206" s="45"/>
      <c r="AF2206" s="45"/>
      <c r="AG2206" s="45"/>
      <c r="AH2206" s="45"/>
      <c r="AI2206" s="45"/>
      <c r="AJ2206" s="45"/>
      <c r="AK2206" s="45"/>
      <c r="AL2206" s="45"/>
    </row>
    <row r="2207" ht="15.75" customHeight="1">
      <c r="A2207" s="27">
        <f t="shared" si="21"/>
        <v>1086</v>
      </c>
      <c r="B2207" s="28" t="s">
        <v>7607</v>
      </c>
      <c r="C2207" s="43" t="s">
        <v>7608</v>
      </c>
      <c r="D2207" s="30" t="s">
        <v>7609</v>
      </c>
      <c r="E2207" s="28" t="s">
        <v>31</v>
      </c>
      <c r="F2207" s="28" t="s">
        <v>29</v>
      </c>
      <c r="G2207" s="28" t="s">
        <v>30</v>
      </c>
      <c r="H2207" s="28"/>
      <c r="I2207" s="28" t="s">
        <v>30</v>
      </c>
      <c r="J2207" s="28">
        <v>295.0</v>
      </c>
      <c r="K2207" s="28"/>
      <c r="L2207" s="28" t="s">
        <v>7610</v>
      </c>
      <c r="M2207" s="28" t="s">
        <v>151</v>
      </c>
      <c r="N2207" s="28">
        <v>2009.0</v>
      </c>
      <c r="O2207" s="60">
        <v>14.0</v>
      </c>
      <c r="P2207" s="28">
        <v>1.0</v>
      </c>
      <c r="Q2207" s="32">
        <v>1.0</v>
      </c>
      <c r="R2207" s="33"/>
      <c r="S2207" s="34"/>
      <c r="T2207" s="34"/>
      <c r="U2207" s="34"/>
      <c r="V2207" s="34"/>
      <c r="W2207" s="34"/>
      <c r="X2207" s="34"/>
      <c r="Y2207" s="3"/>
      <c r="Z2207" s="3"/>
      <c r="AA2207" s="3"/>
      <c r="AB2207" s="3"/>
      <c r="AC2207" s="3"/>
      <c r="AD2207" s="3"/>
      <c r="AE2207" s="3"/>
      <c r="AF2207" s="3"/>
      <c r="AG2207" s="3"/>
      <c r="AH2207" s="3"/>
      <c r="AI2207" s="3"/>
      <c r="AJ2207" s="3"/>
      <c r="AK2207" s="3"/>
      <c r="AL2207" s="3"/>
    </row>
    <row r="2208" ht="15.75" customHeight="1">
      <c r="A2208" s="27">
        <f t="shared" si="21"/>
        <v>1087</v>
      </c>
      <c r="B2208" s="28" t="s">
        <v>7611</v>
      </c>
      <c r="C2208" s="43" t="s">
        <v>7612</v>
      </c>
      <c r="D2208" s="30" t="s">
        <v>7613</v>
      </c>
      <c r="E2208" s="28" t="s">
        <v>31</v>
      </c>
      <c r="F2208" s="28" t="s">
        <v>29</v>
      </c>
      <c r="G2208" s="28" t="s">
        <v>37</v>
      </c>
      <c r="H2208" s="28"/>
      <c r="I2208" s="28" t="s">
        <v>38</v>
      </c>
      <c r="J2208" s="28">
        <v>166.0</v>
      </c>
      <c r="K2208" s="28"/>
      <c r="L2208" s="28" t="s">
        <v>7614</v>
      </c>
      <c r="M2208" s="28" t="s">
        <v>230</v>
      </c>
      <c r="N2208" s="28">
        <v>2011.0</v>
      </c>
      <c r="O2208" s="60">
        <v>14.0</v>
      </c>
      <c r="P2208" s="28">
        <v>1.0</v>
      </c>
      <c r="Q2208" s="94">
        <v>1.0</v>
      </c>
      <c r="R2208" s="33"/>
      <c r="S2208" s="34"/>
      <c r="T2208" s="34"/>
      <c r="U2208" s="34"/>
      <c r="V2208" s="34"/>
      <c r="W2208" s="34"/>
      <c r="X2208" s="34"/>
      <c r="Y2208" s="3"/>
      <c r="Z2208" s="3"/>
      <c r="AA2208" s="3"/>
      <c r="AB2208" s="3"/>
      <c r="AC2208" s="3"/>
      <c r="AD2208" s="3"/>
      <c r="AE2208" s="3"/>
      <c r="AF2208" s="3"/>
      <c r="AG2208" s="3"/>
      <c r="AH2208" s="3"/>
      <c r="AI2208" s="3"/>
      <c r="AJ2208" s="3"/>
      <c r="AK2208" s="3"/>
      <c r="AL2208" s="3"/>
    </row>
    <row r="2209" ht="15.75" customHeight="1">
      <c r="A2209" s="27">
        <f t="shared" si="21"/>
        <v>1088</v>
      </c>
      <c r="B2209" s="28" t="s">
        <v>7615</v>
      </c>
      <c r="C2209" s="43" t="s">
        <v>7616</v>
      </c>
      <c r="D2209" s="30" t="s">
        <v>7617</v>
      </c>
      <c r="E2209" s="28" t="s">
        <v>31</v>
      </c>
      <c r="F2209" s="28" t="s">
        <v>29</v>
      </c>
      <c r="G2209" s="28" t="s">
        <v>30</v>
      </c>
      <c r="H2209" s="28"/>
      <c r="I2209" s="28" t="s">
        <v>30</v>
      </c>
      <c r="J2209" s="28">
        <v>910.0</v>
      </c>
      <c r="K2209" s="28"/>
      <c r="L2209" s="28" t="s">
        <v>7618</v>
      </c>
      <c r="M2209" s="28" t="s">
        <v>151</v>
      </c>
      <c r="N2209" s="28">
        <v>2005.0</v>
      </c>
      <c r="O2209" s="60">
        <v>14.0</v>
      </c>
      <c r="P2209" s="28">
        <v>2.0</v>
      </c>
      <c r="Q2209" s="32">
        <v>2.0</v>
      </c>
      <c r="R2209" s="33"/>
      <c r="S2209" s="34"/>
      <c r="T2209" s="34"/>
      <c r="U2209" s="34"/>
      <c r="V2209" s="34"/>
      <c r="W2209" s="34"/>
      <c r="X2209" s="34"/>
      <c r="Y2209" s="3"/>
      <c r="Z2209" s="3"/>
      <c r="AA2209" s="3"/>
      <c r="AB2209" s="3"/>
      <c r="AC2209" s="3"/>
      <c r="AD2209" s="3"/>
      <c r="AE2209" s="3"/>
      <c r="AF2209" s="3"/>
      <c r="AG2209" s="3"/>
      <c r="AH2209" s="3"/>
      <c r="AI2209" s="3"/>
      <c r="AJ2209" s="3"/>
      <c r="AK2209" s="3"/>
      <c r="AL2209" s="3"/>
    </row>
    <row r="2210" ht="15.75" customHeight="1">
      <c r="A2210" s="27">
        <f t="shared" si="21"/>
        <v>1089</v>
      </c>
      <c r="B2210" s="28" t="s">
        <v>7619</v>
      </c>
      <c r="C2210" s="43" t="s">
        <v>7620</v>
      </c>
      <c r="D2210" s="30" t="s">
        <v>7621</v>
      </c>
      <c r="E2210" s="28" t="s">
        <v>144</v>
      </c>
      <c r="F2210" s="28" t="s">
        <v>29</v>
      </c>
      <c r="G2210" s="28" t="s">
        <v>30</v>
      </c>
      <c r="H2210" s="28"/>
      <c r="I2210" s="28" t="s">
        <v>30</v>
      </c>
      <c r="J2210" s="28">
        <v>120.0</v>
      </c>
      <c r="K2210" s="28"/>
      <c r="L2210" s="28" t="s">
        <v>7622</v>
      </c>
      <c r="M2210" s="28" t="s">
        <v>151</v>
      </c>
      <c r="N2210" s="28">
        <v>2011.0</v>
      </c>
      <c r="O2210" s="60">
        <v>14.0</v>
      </c>
      <c r="P2210" s="28">
        <v>1.0</v>
      </c>
      <c r="Q2210" s="32">
        <v>1.0</v>
      </c>
      <c r="R2210" s="33"/>
      <c r="S2210" s="34"/>
      <c r="T2210" s="34"/>
      <c r="U2210" s="34"/>
      <c r="V2210" s="34"/>
      <c r="W2210" s="34"/>
      <c r="X2210" s="34"/>
      <c r="Y2210" s="3"/>
      <c r="Z2210" s="3"/>
      <c r="AA2210" s="3"/>
      <c r="AB2210" s="3"/>
      <c r="AC2210" s="3"/>
      <c r="AD2210" s="3"/>
      <c r="AE2210" s="3"/>
      <c r="AF2210" s="3"/>
      <c r="AG2210" s="3"/>
      <c r="AH2210" s="3"/>
      <c r="AI2210" s="3"/>
      <c r="AJ2210" s="3"/>
      <c r="AK2210" s="3"/>
      <c r="AL2210" s="3"/>
    </row>
    <row r="2211" ht="15.75" customHeight="1">
      <c r="A2211" s="27">
        <f t="shared" si="21"/>
        <v>1090</v>
      </c>
      <c r="B2211" s="28" t="s">
        <v>7623</v>
      </c>
      <c r="C2211" s="43" t="s">
        <v>7624</v>
      </c>
      <c r="D2211" s="30" t="s">
        <v>7625</v>
      </c>
      <c r="E2211" s="28"/>
      <c r="F2211" s="28" t="s">
        <v>29</v>
      </c>
      <c r="G2211" s="28" t="s">
        <v>37</v>
      </c>
      <c r="H2211" s="28"/>
      <c r="I2211" s="28" t="s">
        <v>38</v>
      </c>
      <c r="J2211" s="28">
        <v>564.0</v>
      </c>
      <c r="K2211" s="28"/>
      <c r="L2211" s="28" t="s">
        <v>7626</v>
      </c>
      <c r="M2211" s="28" t="s">
        <v>230</v>
      </c>
      <c r="N2211" s="28">
        <v>2012.0</v>
      </c>
      <c r="O2211" s="60">
        <v>14.0</v>
      </c>
      <c r="P2211" s="28">
        <v>1.0</v>
      </c>
      <c r="Q2211" s="32">
        <v>1.0</v>
      </c>
      <c r="R2211" s="33"/>
      <c r="S2211" s="34"/>
      <c r="T2211" s="34"/>
      <c r="U2211" s="34"/>
      <c r="V2211" s="34"/>
      <c r="W2211" s="34"/>
      <c r="X2211" s="34"/>
      <c r="Y2211" s="45"/>
      <c r="Z2211" s="45"/>
      <c r="AA2211" s="45"/>
      <c r="AB2211" s="45"/>
      <c r="AC2211" s="45"/>
      <c r="AD2211" s="45"/>
      <c r="AE2211" s="45"/>
      <c r="AF2211" s="45"/>
      <c r="AG2211" s="45"/>
      <c r="AH2211" s="45"/>
      <c r="AI2211" s="45"/>
      <c r="AJ2211" s="45"/>
      <c r="AK2211" s="45"/>
      <c r="AL2211" s="45"/>
    </row>
    <row r="2212" ht="15.75" customHeight="1">
      <c r="A2212" s="27">
        <f t="shared" si="21"/>
        <v>1091</v>
      </c>
      <c r="B2212" s="28" t="s">
        <v>7627</v>
      </c>
      <c r="C2212" s="43" t="s">
        <v>7628</v>
      </c>
      <c r="D2212" s="30" t="s">
        <v>7629</v>
      </c>
      <c r="E2212" s="28" t="s">
        <v>144</v>
      </c>
      <c r="F2212" s="28" t="s">
        <v>29</v>
      </c>
      <c r="G2212" s="28" t="s">
        <v>30</v>
      </c>
      <c r="H2212" s="28"/>
      <c r="I2212" s="28" t="s">
        <v>30</v>
      </c>
      <c r="J2212" s="28">
        <v>527.0</v>
      </c>
      <c r="K2212" s="28"/>
      <c r="L2212" s="28" t="s">
        <v>7630</v>
      </c>
      <c r="M2212" s="28" t="s">
        <v>7631</v>
      </c>
      <c r="N2212" s="28">
        <v>2014.0</v>
      </c>
      <c r="O2212" s="60">
        <v>14.0</v>
      </c>
      <c r="P2212" s="28">
        <v>1.0</v>
      </c>
      <c r="Q2212" s="32">
        <v>1.0</v>
      </c>
      <c r="R2212" s="33"/>
      <c r="S2212" s="34"/>
      <c r="T2212" s="34"/>
      <c r="U2212" s="34"/>
      <c r="V2212" s="34"/>
      <c r="W2212" s="34"/>
      <c r="X2212" s="34"/>
      <c r="Y2212" s="45"/>
      <c r="Z2212" s="45"/>
      <c r="AA2212" s="45"/>
      <c r="AB2212" s="45"/>
      <c r="AC2212" s="45"/>
      <c r="AD2212" s="45"/>
      <c r="AE2212" s="45"/>
      <c r="AF2212" s="45"/>
      <c r="AG2212" s="45"/>
      <c r="AH2212" s="45"/>
      <c r="AI2212" s="45"/>
      <c r="AJ2212" s="45"/>
      <c r="AK2212" s="45"/>
      <c r="AL2212" s="45"/>
    </row>
    <row r="2213" ht="15.75" customHeight="1">
      <c r="A2213" s="27">
        <f t="shared" si="21"/>
        <v>1092</v>
      </c>
      <c r="B2213" s="28" t="s">
        <v>7632</v>
      </c>
      <c r="C2213" s="43" t="s">
        <v>7633</v>
      </c>
      <c r="D2213" s="30" t="s">
        <v>7634</v>
      </c>
      <c r="E2213" s="28"/>
      <c r="F2213" s="28" t="s">
        <v>29</v>
      </c>
      <c r="G2213" s="28" t="s">
        <v>30</v>
      </c>
      <c r="H2213" s="28"/>
      <c r="I2213" s="28" t="s">
        <v>30</v>
      </c>
      <c r="J2213" s="28">
        <v>412.0</v>
      </c>
      <c r="K2213" s="28"/>
      <c r="L2213" s="28" t="s">
        <v>7635</v>
      </c>
      <c r="M2213" s="28" t="s">
        <v>7636</v>
      </c>
      <c r="N2213" s="28">
        <v>2014.0</v>
      </c>
      <c r="O2213" s="60">
        <v>14.0</v>
      </c>
      <c r="P2213" s="28">
        <v>1.0</v>
      </c>
      <c r="Q2213" s="32">
        <v>1.0</v>
      </c>
      <c r="R2213" s="33"/>
      <c r="S2213" s="34"/>
      <c r="T2213" s="34"/>
      <c r="U2213" s="34"/>
      <c r="V2213" s="34"/>
      <c r="W2213" s="34"/>
      <c r="X2213" s="34"/>
      <c r="Y2213" s="45"/>
      <c r="Z2213" s="45"/>
      <c r="AA2213" s="45"/>
      <c r="AB2213" s="45"/>
      <c r="AC2213" s="45"/>
      <c r="AD2213" s="45"/>
      <c r="AE2213" s="45"/>
      <c r="AF2213" s="45"/>
      <c r="AG2213" s="45"/>
      <c r="AH2213" s="45"/>
      <c r="AI2213" s="45"/>
      <c r="AJ2213" s="45"/>
      <c r="AK2213" s="45"/>
      <c r="AL2213" s="45"/>
    </row>
    <row r="2214" ht="15.75" customHeight="1">
      <c r="A2214" s="27">
        <f t="shared" si="21"/>
        <v>1093</v>
      </c>
      <c r="B2214" s="28" t="s">
        <v>7637</v>
      </c>
      <c r="C2214" s="43" t="s">
        <v>7638</v>
      </c>
      <c r="D2214" s="30" t="s">
        <v>7639</v>
      </c>
      <c r="E2214" s="28" t="s">
        <v>31</v>
      </c>
      <c r="F2214" s="28" t="s">
        <v>29</v>
      </c>
      <c r="G2214" s="28" t="s">
        <v>30</v>
      </c>
      <c r="H2214" s="28"/>
      <c r="I2214" s="28" t="s">
        <v>30</v>
      </c>
      <c r="J2214" s="28">
        <v>369.0</v>
      </c>
      <c r="K2214" s="28"/>
      <c r="L2214" s="28" t="s">
        <v>7640</v>
      </c>
      <c r="M2214" s="28" t="s">
        <v>2494</v>
      </c>
      <c r="N2214" s="28">
        <v>2007.0</v>
      </c>
      <c r="O2214" s="60">
        <v>14.0</v>
      </c>
      <c r="P2214" s="28">
        <v>1.0</v>
      </c>
      <c r="Q2214" s="32">
        <v>1.0</v>
      </c>
      <c r="R2214" s="33"/>
      <c r="S2214" s="34"/>
      <c r="T2214" s="34"/>
      <c r="U2214" s="34"/>
      <c r="V2214" s="34"/>
      <c r="W2214" s="34"/>
      <c r="X2214" s="34"/>
      <c r="Y2214" s="3"/>
      <c r="Z2214" s="3"/>
      <c r="AA2214" s="3"/>
      <c r="AB2214" s="3"/>
      <c r="AC2214" s="3"/>
      <c r="AD2214" s="3"/>
      <c r="AE2214" s="3"/>
      <c r="AF2214" s="3"/>
      <c r="AG2214" s="3"/>
      <c r="AH2214" s="3"/>
      <c r="AI2214" s="3"/>
      <c r="AJ2214" s="3"/>
      <c r="AK2214" s="3"/>
      <c r="AL2214" s="3"/>
    </row>
    <row r="2215" ht="15.75" customHeight="1">
      <c r="A2215" s="27">
        <f t="shared" si="21"/>
        <v>1094</v>
      </c>
      <c r="B2215" s="60" t="s">
        <v>31</v>
      </c>
      <c r="C2215" s="102" t="s">
        <v>7641</v>
      </c>
      <c r="D2215" s="120" t="s">
        <v>7642</v>
      </c>
      <c r="E2215" s="60" t="s">
        <v>144</v>
      </c>
      <c r="F2215" s="60" t="s">
        <v>29</v>
      </c>
      <c r="G2215" s="60" t="s">
        <v>30</v>
      </c>
      <c r="H2215" s="60"/>
      <c r="I2215" s="60" t="s">
        <v>30</v>
      </c>
      <c r="J2215" s="60">
        <f>162</f>
        <v>162</v>
      </c>
      <c r="K2215" s="60"/>
      <c r="L2215" s="60" t="s">
        <v>7643</v>
      </c>
      <c r="M2215" s="60" t="s">
        <v>7644</v>
      </c>
      <c r="N2215" s="60">
        <v>2015.0</v>
      </c>
      <c r="O2215" s="60">
        <v>14.0</v>
      </c>
      <c r="P2215" s="60">
        <v>1.0</v>
      </c>
      <c r="Q2215" s="94">
        <v>1.0</v>
      </c>
      <c r="R2215" s="136">
        <v>1.0</v>
      </c>
      <c r="S2215" s="34"/>
      <c r="T2215" s="34"/>
      <c r="U2215" s="34"/>
      <c r="V2215" s="34"/>
      <c r="W2215" s="34"/>
      <c r="X2215" s="34"/>
      <c r="Y2215" s="3"/>
      <c r="Z2215" s="3"/>
      <c r="AA2215" s="3"/>
      <c r="AB2215" s="3"/>
      <c r="AC2215" s="3"/>
      <c r="AD2215" s="3"/>
      <c r="AE2215" s="3"/>
      <c r="AF2215" s="3"/>
      <c r="AG2215" s="3"/>
      <c r="AH2215" s="3"/>
      <c r="AI2215" s="3"/>
      <c r="AJ2215" s="3"/>
      <c r="AK2215" s="3"/>
      <c r="AL2215" s="3"/>
    </row>
    <row r="2216" ht="15.75" customHeight="1">
      <c r="A2216" s="27">
        <f t="shared" si="21"/>
        <v>1095</v>
      </c>
      <c r="B2216" s="28" t="s">
        <v>7645</v>
      </c>
      <c r="C2216" s="43" t="s">
        <v>7646</v>
      </c>
      <c r="D2216" s="30" t="s">
        <v>7647</v>
      </c>
      <c r="E2216" s="28"/>
      <c r="F2216" s="28" t="s">
        <v>29</v>
      </c>
      <c r="G2216" s="28" t="s">
        <v>30</v>
      </c>
      <c r="H2216" s="28" t="s">
        <v>31</v>
      </c>
      <c r="I2216" s="28" t="s">
        <v>30</v>
      </c>
      <c r="J2216" s="28">
        <v>180.0</v>
      </c>
      <c r="K2216" s="28"/>
      <c r="L2216" s="28" t="s">
        <v>7279</v>
      </c>
      <c r="M2216" s="28" t="s">
        <v>5341</v>
      </c>
      <c r="N2216" s="28">
        <v>2013.0</v>
      </c>
      <c r="O2216" s="60">
        <v>14.0</v>
      </c>
      <c r="P2216" s="28">
        <v>2.0</v>
      </c>
      <c r="Q2216" s="32">
        <v>2.0</v>
      </c>
      <c r="R2216" s="33"/>
      <c r="S2216" s="34"/>
      <c r="T2216" s="34"/>
      <c r="U2216" s="34"/>
      <c r="V2216" s="34"/>
      <c r="W2216" s="34"/>
      <c r="X2216" s="34"/>
      <c r="Y2216" s="3"/>
      <c r="Z2216" s="3"/>
      <c r="AA2216" s="3"/>
      <c r="AB2216" s="3"/>
      <c r="AC2216" s="3"/>
      <c r="AD2216" s="3"/>
      <c r="AE2216" s="3"/>
      <c r="AF2216" s="3"/>
      <c r="AG2216" s="3"/>
      <c r="AH2216" s="3"/>
      <c r="AI2216" s="3"/>
      <c r="AJ2216" s="3"/>
      <c r="AK2216" s="3"/>
      <c r="AL2216" s="3"/>
    </row>
    <row r="2217" ht="15.75" customHeight="1">
      <c r="A2217" s="27">
        <f t="shared" si="21"/>
        <v>1096</v>
      </c>
      <c r="B2217" s="28" t="s">
        <v>7648</v>
      </c>
      <c r="C2217" s="28" t="s">
        <v>7649</v>
      </c>
      <c r="D2217" s="30" t="s">
        <v>7650</v>
      </c>
      <c r="E2217" s="28"/>
      <c r="F2217" s="28" t="s">
        <v>29</v>
      </c>
      <c r="G2217" s="28" t="s">
        <v>30</v>
      </c>
      <c r="H2217" s="28"/>
      <c r="I2217" s="28" t="s">
        <v>30</v>
      </c>
      <c r="J2217" s="28">
        <v>315.0</v>
      </c>
      <c r="K2217" s="28"/>
      <c r="L2217" s="28" t="s">
        <v>7651</v>
      </c>
      <c r="M2217" s="28" t="s">
        <v>7636</v>
      </c>
      <c r="N2217" s="28">
        <v>2005.0</v>
      </c>
      <c r="O2217" s="60">
        <v>14.0</v>
      </c>
      <c r="P2217" s="28">
        <v>1.0</v>
      </c>
      <c r="Q2217" s="32">
        <v>1.0</v>
      </c>
      <c r="R2217" s="33"/>
      <c r="S2217" s="34"/>
      <c r="T2217" s="34"/>
      <c r="U2217" s="34"/>
      <c r="V2217" s="34"/>
      <c r="W2217" s="34"/>
      <c r="X2217" s="34"/>
      <c r="Y2217" s="3"/>
      <c r="Z2217" s="3"/>
      <c r="AA2217" s="3"/>
      <c r="AB2217" s="3"/>
      <c r="AC2217" s="3"/>
      <c r="AD2217" s="3"/>
      <c r="AE2217" s="3"/>
      <c r="AF2217" s="3"/>
      <c r="AG2217" s="3"/>
      <c r="AH2217" s="3"/>
      <c r="AI2217" s="3"/>
      <c r="AJ2217" s="3"/>
      <c r="AK2217" s="3"/>
      <c r="AL2217" s="3"/>
    </row>
    <row r="2218" ht="15.75" customHeight="1">
      <c r="A2218" s="27">
        <f t="shared" si="21"/>
        <v>1097</v>
      </c>
      <c r="B2218" s="28" t="s">
        <v>31</v>
      </c>
      <c r="C2218" s="43" t="s">
        <v>7652</v>
      </c>
      <c r="D2218" s="30" t="s">
        <v>7653</v>
      </c>
      <c r="E2218" s="28" t="s">
        <v>31</v>
      </c>
      <c r="F2218" s="28" t="s">
        <v>29</v>
      </c>
      <c r="G2218" s="28" t="s">
        <v>30</v>
      </c>
      <c r="H2218" s="28"/>
      <c r="I2218" s="28" t="s">
        <v>30</v>
      </c>
      <c r="J2218" s="28">
        <v>200.0</v>
      </c>
      <c r="K2218" s="28"/>
      <c r="L2218" s="28" t="s">
        <v>7654</v>
      </c>
      <c r="M2218" s="28" t="s">
        <v>3027</v>
      </c>
      <c r="N2218" s="28">
        <v>2003.0</v>
      </c>
      <c r="O2218" s="60">
        <v>14.0</v>
      </c>
      <c r="P2218" s="28">
        <v>1.0</v>
      </c>
      <c r="Q2218" s="32">
        <v>1.0</v>
      </c>
      <c r="R2218" s="33"/>
      <c r="S2218" s="34"/>
      <c r="T2218" s="34"/>
      <c r="U2218" s="34"/>
      <c r="V2218" s="34"/>
      <c r="W2218" s="34"/>
      <c r="X2218" s="34"/>
      <c r="Y2218" s="3"/>
      <c r="Z2218" s="3"/>
      <c r="AA2218" s="3"/>
      <c r="AB2218" s="3"/>
      <c r="AC2218" s="3"/>
      <c r="AD2218" s="3"/>
      <c r="AE2218" s="3"/>
      <c r="AF2218" s="3"/>
      <c r="AG2218" s="3"/>
      <c r="AH2218" s="3"/>
      <c r="AI2218" s="3"/>
      <c r="AJ2218" s="3"/>
      <c r="AK2218" s="3"/>
      <c r="AL2218" s="3"/>
    </row>
    <row r="2219" ht="15.75" customHeight="1">
      <c r="A2219" s="27">
        <f t="shared" si="21"/>
        <v>1098</v>
      </c>
      <c r="B2219" s="28" t="s">
        <v>31</v>
      </c>
      <c r="C2219" s="43" t="s">
        <v>7655</v>
      </c>
      <c r="D2219" s="30" t="s">
        <v>7656</v>
      </c>
      <c r="E2219" s="28"/>
      <c r="F2219" s="28" t="s">
        <v>29</v>
      </c>
      <c r="G2219" s="28" t="s">
        <v>30</v>
      </c>
      <c r="H2219" s="28"/>
      <c r="I2219" s="28" t="s">
        <v>30</v>
      </c>
      <c r="J2219" s="28">
        <v>146.0</v>
      </c>
      <c r="K2219" s="28"/>
      <c r="L2219" s="28" t="s">
        <v>7657</v>
      </c>
      <c r="M2219" s="28" t="s">
        <v>2258</v>
      </c>
      <c r="N2219" s="28">
        <v>2004.0</v>
      </c>
      <c r="O2219" s="60">
        <v>14.0</v>
      </c>
      <c r="P2219" s="28">
        <v>1.0</v>
      </c>
      <c r="Q2219" s="32">
        <v>1.0</v>
      </c>
      <c r="R2219" s="33"/>
      <c r="S2219" s="40"/>
      <c r="T2219" s="40"/>
      <c r="U2219" s="40"/>
      <c r="V2219" s="40"/>
      <c r="W2219" s="40"/>
      <c r="X2219" s="40"/>
      <c r="Y2219" s="3"/>
      <c r="Z2219" s="3"/>
      <c r="AA2219" s="3"/>
      <c r="AB2219" s="3"/>
      <c r="AC2219" s="3"/>
      <c r="AD2219" s="3"/>
      <c r="AE2219" s="3"/>
      <c r="AF2219" s="3"/>
      <c r="AG2219" s="3"/>
      <c r="AH2219" s="3"/>
      <c r="AI2219" s="3"/>
      <c r="AJ2219" s="3"/>
      <c r="AK2219" s="3"/>
      <c r="AL2219" s="3"/>
    </row>
    <row r="2220" ht="15.75" customHeight="1">
      <c r="A2220" s="27">
        <f t="shared" si="21"/>
        <v>1099</v>
      </c>
      <c r="B2220" s="28" t="s">
        <v>7658</v>
      </c>
      <c r="C2220" s="43" t="s">
        <v>7659</v>
      </c>
      <c r="D2220" s="30" t="s">
        <v>7660</v>
      </c>
      <c r="E2220" s="28"/>
      <c r="F2220" s="28" t="s">
        <v>29</v>
      </c>
      <c r="G2220" s="28" t="s">
        <v>37</v>
      </c>
      <c r="H2220" s="28"/>
      <c r="I2220" s="28" t="s">
        <v>38</v>
      </c>
      <c r="J2220" s="28">
        <v>188.0</v>
      </c>
      <c r="K2220" s="28"/>
      <c r="L2220" s="28" t="s">
        <v>7661</v>
      </c>
      <c r="M2220" s="28" t="s">
        <v>352</v>
      </c>
      <c r="N2220" s="28">
        <v>2008.0</v>
      </c>
      <c r="O2220" s="60">
        <v>14.0</v>
      </c>
      <c r="P2220" s="28">
        <v>1.0</v>
      </c>
      <c r="Q2220" s="94">
        <v>1.0</v>
      </c>
      <c r="R2220" s="33"/>
      <c r="S2220" s="34"/>
      <c r="T2220" s="34"/>
      <c r="U2220" s="34"/>
      <c r="V2220" s="34"/>
      <c r="W2220" s="34"/>
      <c r="X2220" s="34"/>
      <c r="Y2220" s="3"/>
      <c r="Z2220" s="3"/>
      <c r="AA2220" s="3"/>
      <c r="AB2220" s="3"/>
      <c r="AC2220" s="3"/>
      <c r="AD2220" s="3"/>
      <c r="AE2220" s="3"/>
      <c r="AF2220" s="3"/>
      <c r="AG2220" s="3"/>
      <c r="AH2220" s="3"/>
      <c r="AI2220" s="3"/>
      <c r="AJ2220" s="3"/>
      <c r="AK2220" s="3"/>
      <c r="AL2220" s="3"/>
    </row>
    <row r="2221" ht="15.75" customHeight="1">
      <c r="A2221" s="27">
        <f t="shared" si="21"/>
        <v>1100</v>
      </c>
      <c r="B2221" s="28" t="s">
        <v>7662</v>
      </c>
      <c r="C2221" s="43" t="s">
        <v>7663</v>
      </c>
      <c r="D2221" s="30" t="s">
        <v>7664</v>
      </c>
      <c r="E2221" s="28" t="s">
        <v>31</v>
      </c>
      <c r="F2221" s="28" t="s">
        <v>29</v>
      </c>
      <c r="G2221" s="28" t="s">
        <v>30</v>
      </c>
      <c r="H2221" s="28"/>
      <c r="I2221" s="28" t="s">
        <v>30</v>
      </c>
      <c r="J2221" s="28">
        <f>95+14</f>
        <v>109</v>
      </c>
      <c r="K2221" s="28"/>
      <c r="L2221" s="28" t="s">
        <v>7665</v>
      </c>
      <c r="M2221" s="28" t="s">
        <v>151</v>
      </c>
      <c r="N2221" s="28">
        <v>2007.0</v>
      </c>
      <c r="O2221" s="60">
        <v>14.0</v>
      </c>
      <c r="P2221" s="28">
        <v>2.0</v>
      </c>
      <c r="Q2221" s="32">
        <v>2.0</v>
      </c>
      <c r="R2221" s="33"/>
      <c r="S2221" s="34"/>
      <c r="T2221" s="34"/>
      <c r="U2221" s="34"/>
      <c r="V2221" s="34"/>
      <c r="W2221" s="34"/>
      <c r="X2221" s="34"/>
      <c r="Y2221" s="45"/>
      <c r="Z2221" s="45"/>
      <c r="AA2221" s="45"/>
      <c r="AB2221" s="45"/>
      <c r="AC2221" s="45"/>
      <c r="AD2221" s="45"/>
      <c r="AE2221" s="45"/>
      <c r="AF2221" s="45"/>
      <c r="AG2221" s="45"/>
      <c r="AH2221" s="45"/>
      <c r="AI2221" s="45"/>
      <c r="AJ2221" s="45"/>
      <c r="AK2221" s="45"/>
      <c r="AL2221" s="45"/>
    </row>
    <row r="2222" ht="15.75" customHeight="1">
      <c r="A2222" s="27">
        <f t="shared" si="21"/>
        <v>1101</v>
      </c>
      <c r="B2222" s="28" t="s">
        <v>7666</v>
      </c>
      <c r="C2222" s="43" t="s">
        <v>7667</v>
      </c>
      <c r="D2222" s="30" t="s">
        <v>7668</v>
      </c>
      <c r="E2222" s="28"/>
      <c r="F2222" s="28" t="s">
        <v>29</v>
      </c>
      <c r="G2222" s="28" t="s">
        <v>38</v>
      </c>
      <c r="H2222" s="28"/>
      <c r="I2222" s="28" t="s">
        <v>38</v>
      </c>
      <c r="J2222" s="28">
        <v>395.0</v>
      </c>
      <c r="K2222" s="28"/>
      <c r="L2222" s="28" t="s">
        <v>7669</v>
      </c>
      <c r="M2222" s="28" t="s">
        <v>3364</v>
      </c>
      <c r="N2222" s="28">
        <v>1997.0</v>
      </c>
      <c r="O2222" s="60">
        <v>14.0</v>
      </c>
      <c r="P2222" s="28">
        <v>1.0</v>
      </c>
      <c r="Q2222" s="32">
        <v>1.0</v>
      </c>
      <c r="R2222" s="33"/>
      <c r="S2222" s="34"/>
      <c r="T2222" s="34"/>
      <c r="U2222" s="34"/>
      <c r="V2222" s="34"/>
      <c r="W2222" s="34"/>
      <c r="X2222" s="34"/>
      <c r="Y2222" s="3"/>
      <c r="Z2222" s="3"/>
      <c r="AA2222" s="3"/>
      <c r="AB2222" s="3"/>
      <c r="AC2222" s="3"/>
      <c r="AD2222" s="3"/>
      <c r="AE2222" s="3"/>
      <c r="AF2222" s="3"/>
      <c r="AG2222" s="3"/>
      <c r="AH2222" s="3"/>
      <c r="AI2222" s="3"/>
      <c r="AJ2222" s="3"/>
      <c r="AK2222" s="3"/>
      <c r="AL2222" s="3"/>
    </row>
    <row r="2223" ht="15.75" customHeight="1">
      <c r="A2223" s="27">
        <f t="shared" si="21"/>
        <v>1102</v>
      </c>
      <c r="B2223" s="28" t="s">
        <v>7670</v>
      </c>
      <c r="C2223" s="43" t="s">
        <v>7671</v>
      </c>
      <c r="D2223" s="30" t="s">
        <v>7672</v>
      </c>
      <c r="E2223" s="28" t="s">
        <v>31</v>
      </c>
      <c r="F2223" s="28" t="s">
        <v>29</v>
      </c>
      <c r="G2223" s="28" t="s">
        <v>30</v>
      </c>
      <c r="H2223" s="28"/>
      <c r="I2223" s="28" t="s">
        <v>30</v>
      </c>
      <c r="J2223" s="28">
        <v>131.0</v>
      </c>
      <c r="K2223" s="28"/>
      <c r="L2223" s="28" t="s">
        <v>7673</v>
      </c>
      <c r="M2223" s="28" t="s">
        <v>151</v>
      </c>
      <c r="N2223" s="28">
        <v>1997.0</v>
      </c>
      <c r="O2223" s="60">
        <v>14.0</v>
      </c>
      <c r="P2223" s="28">
        <v>1.0</v>
      </c>
      <c r="Q2223" s="32">
        <v>1.0</v>
      </c>
      <c r="R2223" s="33"/>
      <c r="S2223" s="34"/>
      <c r="T2223" s="34"/>
      <c r="U2223" s="34"/>
      <c r="V2223" s="34"/>
      <c r="W2223" s="34"/>
      <c r="X2223" s="34"/>
      <c r="Y2223" s="3"/>
      <c r="Z2223" s="3"/>
      <c r="AA2223" s="3"/>
      <c r="AB2223" s="3"/>
      <c r="AC2223" s="3"/>
      <c r="AD2223" s="3"/>
      <c r="AE2223" s="3"/>
      <c r="AF2223" s="3"/>
      <c r="AG2223" s="3"/>
      <c r="AH2223" s="3"/>
      <c r="AI2223" s="3"/>
      <c r="AJ2223" s="3"/>
      <c r="AK2223" s="3"/>
      <c r="AL2223" s="3"/>
    </row>
    <row r="2224" ht="15.75" customHeight="1">
      <c r="A2224" s="27">
        <f t="shared" si="21"/>
        <v>1103</v>
      </c>
      <c r="B2224" s="121" t="s">
        <v>7674</v>
      </c>
      <c r="C2224" s="121" t="s">
        <v>7675</v>
      </c>
      <c r="D2224" s="119" t="s">
        <v>7676</v>
      </c>
      <c r="E2224" s="83"/>
      <c r="F2224" s="83"/>
      <c r="G2224" s="121" t="s">
        <v>37</v>
      </c>
      <c r="H2224" s="83"/>
      <c r="I2224" s="121" t="s">
        <v>38</v>
      </c>
      <c r="J2224" s="121">
        <v>236.0</v>
      </c>
      <c r="K2224" s="83"/>
      <c r="L2224" s="121" t="s">
        <v>7677</v>
      </c>
      <c r="M2224" s="121" t="s">
        <v>7678</v>
      </c>
      <c r="N2224" s="121">
        <v>2009.0</v>
      </c>
      <c r="O2224" s="121">
        <v>14.0</v>
      </c>
      <c r="P2224" s="121">
        <v>1.0</v>
      </c>
      <c r="Q2224" s="121">
        <v>1.0</v>
      </c>
      <c r="R2224" s="84"/>
      <c r="S2224" s="34"/>
      <c r="T2224" s="34"/>
      <c r="U2224" s="34"/>
      <c r="V2224" s="34"/>
      <c r="W2224" s="34"/>
      <c r="X2224" s="34"/>
      <c r="Y2224" s="3"/>
      <c r="Z2224" s="3"/>
      <c r="AA2224" s="3"/>
      <c r="AB2224" s="3"/>
      <c r="AC2224" s="3"/>
      <c r="AD2224" s="3"/>
      <c r="AE2224" s="3"/>
      <c r="AF2224" s="3"/>
      <c r="AG2224" s="3"/>
      <c r="AH2224" s="3"/>
      <c r="AI2224" s="3"/>
      <c r="AJ2224" s="3"/>
      <c r="AK2224" s="3"/>
      <c r="AL2224" s="3"/>
    </row>
    <row r="2225" ht="15.75" customHeight="1">
      <c r="A2225" s="27">
        <f t="shared" si="21"/>
        <v>1104</v>
      </c>
      <c r="B2225" s="28" t="s">
        <v>7679</v>
      </c>
      <c r="C2225" s="43" t="s">
        <v>7680</v>
      </c>
      <c r="D2225" s="30" t="s">
        <v>7681</v>
      </c>
      <c r="E2225" s="28" t="s">
        <v>31</v>
      </c>
      <c r="F2225" s="28" t="s">
        <v>29</v>
      </c>
      <c r="G2225" s="28" t="s">
        <v>30</v>
      </c>
      <c r="H2225" s="28"/>
      <c r="I2225" s="28" t="s">
        <v>30</v>
      </c>
      <c r="J2225" s="28">
        <v>32.0</v>
      </c>
      <c r="K2225" s="28"/>
      <c r="L2225" s="28" t="s">
        <v>7682</v>
      </c>
      <c r="M2225" s="28" t="s">
        <v>7683</v>
      </c>
      <c r="N2225" s="28">
        <v>2005.0</v>
      </c>
      <c r="O2225" s="60">
        <v>14.0</v>
      </c>
      <c r="P2225" s="28">
        <v>1.0</v>
      </c>
      <c r="Q2225" s="94">
        <v>1.0</v>
      </c>
      <c r="R2225" s="84"/>
      <c r="S2225" s="34"/>
      <c r="T2225" s="34"/>
      <c r="U2225" s="34"/>
      <c r="V2225" s="34"/>
      <c r="W2225" s="34"/>
      <c r="X2225" s="34"/>
      <c r="Y2225" s="3"/>
      <c r="Z2225" s="3"/>
      <c r="AA2225" s="3"/>
      <c r="AB2225" s="3"/>
      <c r="AC2225" s="3"/>
      <c r="AD2225" s="3"/>
      <c r="AE2225" s="3"/>
      <c r="AF2225" s="3"/>
      <c r="AG2225" s="3"/>
      <c r="AH2225" s="3"/>
      <c r="AI2225" s="3"/>
      <c r="AJ2225" s="3"/>
      <c r="AK2225" s="3"/>
      <c r="AL2225" s="3"/>
    </row>
    <row r="2226" ht="15.75" customHeight="1">
      <c r="A2226" s="27">
        <f t="shared" si="21"/>
        <v>1105</v>
      </c>
      <c r="B2226" s="28" t="s">
        <v>7684</v>
      </c>
      <c r="C2226" s="43" t="s">
        <v>7685</v>
      </c>
      <c r="D2226" s="30" t="s">
        <v>7686</v>
      </c>
      <c r="E2226" s="28"/>
      <c r="F2226" s="28" t="s">
        <v>29</v>
      </c>
      <c r="G2226" s="28" t="s">
        <v>38</v>
      </c>
      <c r="H2226" s="28"/>
      <c r="I2226" s="28" t="s">
        <v>38</v>
      </c>
      <c r="J2226" s="28">
        <v>265.0</v>
      </c>
      <c r="K2226" s="28"/>
      <c r="L2226" s="28" t="s">
        <v>7687</v>
      </c>
      <c r="M2226" s="28" t="s">
        <v>507</v>
      </c>
      <c r="N2226" s="28">
        <v>2003.0</v>
      </c>
      <c r="O2226" s="60">
        <v>14.0</v>
      </c>
      <c r="P2226" s="28">
        <v>1.0</v>
      </c>
      <c r="Q2226" s="32">
        <v>1.0</v>
      </c>
      <c r="R2226" s="33"/>
      <c r="S2226" s="34"/>
      <c r="T2226" s="34"/>
      <c r="U2226" s="34"/>
      <c r="V2226" s="34"/>
      <c r="W2226" s="34"/>
      <c r="X2226" s="34"/>
      <c r="Y2226" s="45"/>
      <c r="Z2226" s="45"/>
      <c r="AA2226" s="45"/>
      <c r="AB2226" s="45"/>
      <c r="AC2226" s="45"/>
      <c r="AD2226" s="45"/>
      <c r="AE2226" s="45"/>
      <c r="AF2226" s="45"/>
      <c r="AG2226" s="45"/>
      <c r="AH2226" s="45"/>
      <c r="AI2226" s="45"/>
      <c r="AJ2226" s="45"/>
      <c r="AK2226" s="45"/>
      <c r="AL2226" s="45"/>
    </row>
    <row r="2227" ht="15.75" customHeight="1">
      <c r="A2227" s="27">
        <f t="shared" si="21"/>
        <v>1106</v>
      </c>
      <c r="B2227" s="28" t="s">
        <v>7688</v>
      </c>
      <c r="C2227" s="43" t="s">
        <v>7689</v>
      </c>
      <c r="D2227" s="30" t="s">
        <v>7690</v>
      </c>
      <c r="E2227" s="28" t="s">
        <v>31</v>
      </c>
      <c r="F2227" s="28" t="s">
        <v>29</v>
      </c>
      <c r="G2227" s="28" t="s">
        <v>30</v>
      </c>
      <c r="H2227" s="28"/>
      <c r="I2227" s="28" t="s">
        <v>30</v>
      </c>
      <c r="J2227" s="28">
        <v>102.0</v>
      </c>
      <c r="K2227" s="28"/>
      <c r="L2227" s="28" t="s">
        <v>7691</v>
      </c>
      <c r="M2227" s="28" t="s">
        <v>161</v>
      </c>
      <c r="N2227" s="28">
        <v>2011.0</v>
      </c>
      <c r="O2227" s="60">
        <v>14.0</v>
      </c>
      <c r="P2227" s="28">
        <v>1.0</v>
      </c>
      <c r="Q2227" s="94">
        <v>1.0</v>
      </c>
      <c r="R2227" s="33"/>
      <c r="S2227" s="34"/>
      <c r="T2227" s="34"/>
      <c r="U2227" s="34"/>
      <c r="V2227" s="34"/>
      <c r="W2227" s="34"/>
      <c r="X2227" s="34"/>
      <c r="Y2227" s="45"/>
      <c r="Z2227" s="45"/>
      <c r="AA2227" s="45"/>
      <c r="AB2227" s="45"/>
      <c r="AC2227" s="45"/>
      <c r="AD2227" s="45"/>
      <c r="AE2227" s="45"/>
      <c r="AF2227" s="45"/>
      <c r="AG2227" s="45"/>
      <c r="AH2227" s="45"/>
      <c r="AI2227" s="45"/>
      <c r="AJ2227" s="45"/>
      <c r="AK2227" s="45"/>
      <c r="AL2227" s="45"/>
    </row>
    <row r="2228" ht="15.75" customHeight="1">
      <c r="A2228" s="27">
        <f t="shared" si="21"/>
        <v>1107</v>
      </c>
      <c r="B2228" s="28" t="s">
        <v>7692</v>
      </c>
      <c r="C2228" s="43" t="s">
        <v>7693</v>
      </c>
      <c r="D2228" s="30" t="s">
        <v>7694</v>
      </c>
      <c r="E2228" s="28" t="s">
        <v>31</v>
      </c>
      <c r="F2228" s="28" t="s">
        <v>29</v>
      </c>
      <c r="G2228" s="28" t="s">
        <v>30</v>
      </c>
      <c r="H2228" s="28"/>
      <c r="I2228" s="28" t="s">
        <v>30</v>
      </c>
      <c r="J2228" s="28">
        <v>195.0</v>
      </c>
      <c r="K2228" s="28"/>
      <c r="L2228" s="28" t="s">
        <v>7695</v>
      </c>
      <c r="M2228" s="28" t="s">
        <v>151</v>
      </c>
      <c r="N2228" s="28">
        <v>1990.0</v>
      </c>
      <c r="O2228" s="60">
        <v>14.0</v>
      </c>
      <c r="P2228" s="28">
        <v>1.0</v>
      </c>
      <c r="Q2228" s="32">
        <v>1.0</v>
      </c>
      <c r="R2228" s="33"/>
      <c r="S2228" s="34"/>
      <c r="T2228" s="34"/>
      <c r="U2228" s="34"/>
      <c r="V2228" s="34"/>
      <c r="W2228" s="34"/>
      <c r="X2228" s="34"/>
      <c r="Y2228" s="45"/>
      <c r="Z2228" s="45"/>
      <c r="AA2228" s="45"/>
      <c r="AB2228" s="45"/>
      <c r="AC2228" s="45"/>
      <c r="AD2228" s="45"/>
      <c r="AE2228" s="45"/>
      <c r="AF2228" s="45"/>
      <c r="AG2228" s="45"/>
      <c r="AH2228" s="45"/>
      <c r="AI2228" s="45"/>
      <c r="AJ2228" s="45"/>
      <c r="AK2228" s="45"/>
      <c r="AL2228" s="45"/>
    </row>
    <row r="2229" ht="15.75" customHeight="1">
      <c r="A2229" s="27">
        <f t="shared" si="21"/>
        <v>1108</v>
      </c>
      <c r="B2229" s="28"/>
      <c r="C2229" s="43" t="s">
        <v>7696</v>
      </c>
      <c r="D2229" s="30" t="s">
        <v>7697</v>
      </c>
      <c r="E2229" s="28" t="s">
        <v>31</v>
      </c>
      <c r="F2229" s="28" t="s">
        <v>29</v>
      </c>
      <c r="G2229" s="28" t="s">
        <v>30</v>
      </c>
      <c r="H2229" s="28"/>
      <c r="I2229" s="28" t="s">
        <v>30</v>
      </c>
      <c r="J2229" s="28">
        <v>91.0</v>
      </c>
      <c r="K2229" s="28"/>
      <c r="L2229" s="28" t="s">
        <v>7698</v>
      </c>
      <c r="M2229" s="28" t="s">
        <v>3341</v>
      </c>
      <c r="N2229" s="28">
        <v>2003.0</v>
      </c>
      <c r="O2229" s="60">
        <v>14.0</v>
      </c>
      <c r="P2229" s="28">
        <v>1.0</v>
      </c>
      <c r="Q2229" s="32">
        <v>1.0</v>
      </c>
      <c r="R2229" s="33"/>
      <c r="S2229" s="34"/>
      <c r="T2229" s="34"/>
      <c r="U2229" s="34"/>
      <c r="V2229" s="34"/>
      <c r="W2229" s="34"/>
      <c r="X2229" s="34"/>
      <c r="Y2229" s="45"/>
      <c r="Z2229" s="45"/>
      <c r="AA2229" s="45"/>
      <c r="AB2229" s="45"/>
      <c r="AC2229" s="45"/>
      <c r="AD2229" s="45"/>
      <c r="AE2229" s="45"/>
      <c r="AF2229" s="45"/>
      <c r="AG2229" s="45"/>
      <c r="AH2229" s="45"/>
      <c r="AI2229" s="45"/>
      <c r="AJ2229" s="45"/>
      <c r="AK2229" s="45"/>
      <c r="AL2229" s="45"/>
    </row>
    <row r="2230" ht="15.75" customHeight="1">
      <c r="A2230" s="27">
        <f t="shared" si="21"/>
        <v>1109</v>
      </c>
      <c r="B2230" s="121" t="s">
        <v>7699</v>
      </c>
      <c r="C2230" s="121" t="s">
        <v>7700</v>
      </c>
      <c r="D2230" s="119" t="s">
        <v>7701</v>
      </c>
      <c r="E2230" s="121" t="s">
        <v>31</v>
      </c>
      <c r="F2230" s="121" t="s">
        <v>29</v>
      </c>
      <c r="G2230" s="121" t="s">
        <v>30</v>
      </c>
      <c r="H2230" s="83"/>
      <c r="I2230" s="121" t="s">
        <v>30</v>
      </c>
      <c r="J2230" s="121">
        <v>118.0</v>
      </c>
      <c r="K2230" s="83"/>
      <c r="L2230" s="121" t="s">
        <v>7702</v>
      </c>
      <c r="M2230" s="121" t="s">
        <v>7703</v>
      </c>
      <c r="N2230" s="121">
        <v>2003.0</v>
      </c>
      <c r="O2230" s="121">
        <v>14.0</v>
      </c>
      <c r="P2230" s="121">
        <v>1.0</v>
      </c>
      <c r="Q2230" s="121">
        <v>1.0</v>
      </c>
      <c r="R2230" s="84"/>
      <c r="S2230" s="34"/>
      <c r="T2230" s="34"/>
      <c r="U2230" s="34"/>
      <c r="V2230" s="34"/>
      <c r="W2230" s="34"/>
      <c r="X2230" s="34"/>
      <c r="Y2230" s="3"/>
      <c r="Z2230" s="3"/>
      <c r="AA2230" s="3"/>
      <c r="AB2230" s="3"/>
      <c r="AC2230" s="3"/>
      <c r="AD2230" s="3"/>
      <c r="AE2230" s="3"/>
      <c r="AF2230" s="3"/>
      <c r="AG2230" s="3"/>
      <c r="AH2230" s="3"/>
      <c r="AI2230" s="3"/>
      <c r="AJ2230" s="3"/>
      <c r="AK2230" s="3"/>
      <c r="AL2230" s="3"/>
    </row>
    <row r="2231" ht="15.75" customHeight="1">
      <c r="A2231" s="27">
        <f t="shared" si="21"/>
        <v>1110</v>
      </c>
      <c r="B2231" s="28" t="s">
        <v>7704</v>
      </c>
      <c r="C2231" s="129" t="s">
        <v>7705</v>
      </c>
      <c r="D2231" s="30" t="s">
        <v>7706</v>
      </c>
      <c r="E2231" s="28" t="s">
        <v>144</v>
      </c>
      <c r="F2231" s="28" t="s">
        <v>29</v>
      </c>
      <c r="G2231" s="28" t="s">
        <v>30</v>
      </c>
      <c r="H2231" s="28" t="s">
        <v>31</v>
      </c>
      <c r="I2231" s="28" t="s">
        <v>30</v>
      </c>
      <c r="J2231" s="28">
        <v>392.0</v>
      </c>
      <c r="K2231" s="28" t="s">
        <v>31</v>
      </c>
      <c r="L2231" s="28" t="s">
        <v>31</v>
      </c>
      <c r="M2231" s="28" t="s">
        <v>7707</v>
      </c>
      <c r="N2231" s="28">
        <v>2014.0</v>
      </c>
      <c r="O2231" s="60">
        <v>14.0</v>
      </c>
      <c r="P2231" s="28">
        <v>1.0</v>
      </c>
      <c r="Q2231" s="32">
        <v>1.0</v>
      </c>
      <c r="R2231" s="33"/>
      <c r="S2231" s="34"/>
      <c r="T2231" s="34"/>
      <c r="U2231" s="34"/>
      <c r="V2231" s="34"/>
      <c r="W2231" s="34"/>
      <c r="X2231" s="34"/>
      <c r="Y2231" s="3"/>
      <c r="Z2231" s="3"/>
      <c r="AA2231" s="3"/>
      <c r="AB2231" s="3"/>
      <c r="AC2231" s="3"/>
      <c r="AD2231" s="3"/>
      <c r="AE2231" s="3"/>
      <c r="AF2231" s="3"/>
      <c r="AG2231" s="3"/>
      <c r="AH2231" s="3"/>
      <c r="AI2231" s="3"/>
      <c r="AJ2231" s="3"/>
      <c r="AK2231" s="3"/>
      <c r="AL2231" s="3"/>
    </row>
    <row r="2232" ht="15.75" customHeight="1">
      <c r="A2232" s="27">
        <f t="shared" si="21"/>
        <v>1111</v>
      </c>
      <c r="B2232" s="28"/>
      <c r="C2232" s="43" t="s">
        <v>7708</v>
      </c>
      <c r="D2232" s="30" t="s">
        <v>7709</v>
      </c>
      <c r="E2232" s="28" t="s">
        <v>31</v>
      </c>
      <c r="F2232" s="28" t="s">
        <v>29</v>
      </c>
      <c r="G2232" s="28" t="s">
        <v>30</v>
      </c>
      <c r="H2232" s="28"/>
      <c r="I2232" s="28" t="s">
        <v>30</v>
      </c>
      <c r="J2232" s="28">
        <v>96.0</v>
      </c>
      <c r="K2232" s="28"/>
      <c r="L2232" s="28" t="s">
        <v>7710</v>
      </c>
      <c r="M2232" s="28" t="s">
        <v>7711</v>
      </c>
      <c r="N2232" s="28">
        <v>2001.0</v>
      </c>
      <c r="O2232" s="60">
        <v>14.0</v>
      </c>
      <c r="P2232" s="28">
        <v>1.0</v>
      </c>
      <c r="Q2232" s="32">
        <v>1.0</v>
      </c>
      <c r="R2232" s="33"/>
      <c r="S2232" s="34"/>
      <c r="T2232" s="34"/>
      <c r="U2232" s="34"/>
      <c r="V2232" s="34"/>
      <c r="W2232" s="34"/>
      <c r="X2232" s="34"/>
      <c r="Y2232" s="45"/>
      <c r="Z2232" s="45"/>
      <c r="AA2232" s="45"/>
      <c r="AB2232" s="45"/>
      <c r="AC2232" s="45"/>
      <c r="AD2232" s="45"/>
      <c r="AE2232" s="45"/>
      <c r="AF2232" s="45"/>
      <c r="AG2232" s="45"/>
      <c r="AH2232" s="45"/>
      <c r="AI2232" s="45"/>
      <c r="AJ2232" s="45"/>
      <c r="AK2232" s="45"/>
      <c r="AL2232" s="45"/>
    </row>
    <row r="2233" ht="15.75" customHeight="1">
      <c r="A2233" s="27">
        <f t="shared" si="21"/>
        <v>1112</v>
      </c>
      <c r="B2233" s="28" t="s">
        <v>7712</v>
      </c>
      <c r="C2233" s="43" t="s">
        <v>7713</v>
      </c>
      <c r="D2233" s="30" t="s">
        <v>7714</v>
      </c>
      <c r="E2233" s="28" t="s">
        <v>144</v>
      </c>
      <c r="F2233" s="28" t="s">
        <v>29</v>
      </c>
      <c r="G2233" s="28" t="s">
        <v>30</v>
      </c>
      <c r="H2233" s="28"/>
      <c r="I2233" s="28" t="s">
        <v>30</v>
      </c>
      <c r="J2233" s="28">
        <v>428.0</v>
      </c>
      <c r="K2233" s="28"/>
      <c r="L2233" s="28" t="s">
        <v>7715</v>
      </c>
      <c r="M2233" s="28" t="s">
        <v>151</v>
      </c>
      <c r="N2233" s="28">
        <v>1989.0</v>
      </c>
      <c r="O2233" s="60">
        <v>14.0</v>
      </c>
      <c r="P2233" s="28">
        <v>1.0</v>
      </c>
      <c r="Q2233" s="32">
        <v>1.0</v>
      </c>
      <c r="R2233" s="33"/>
      <c r="S2233" s="34"/>
      <c r="T2233" s="34"/>
      <c r="U2233" s="34"/>
      <c r="V2233" s="34"/>
      <c r="W2233" s="34"/>
      <c r="X2233" s="34"/>
      <c r="Y2233" s="45"/>
      <c r="Z2233" s="45"/>
      <c r="AA2233" s="45"/>
      <c r="AB2233" s="45"/>
      <c r="AC2233" s="45"/>
      <c r="AD2233" s="45"/>
      <c r="AE2233" s="45"/>
      <c r="AF2233" s="45"/>
      <c r="AG2233" s="45"/>
      <c r="AH2233" s="45"/>
      <c r="AI2233" s="45"/>
      <c r="AJ2233" s="45"/>
      <c r="AK2233" s="45"/>
      <c r="AL2233" s="45"/>
    </row>
    <row r="2234" ht="15.75" customHeight="1">
      <c r="A2234" s="27">
        <f t="shared" si="21"/>
        <v>1113</v>
      </c>
      <c r="B2234" s="28" t="s">
        <v>7716</v>
      </c>
      <c r="C2234" s="43" t="s">
        <v>7717</v>
      </c>
      <c r="D2234" s="30" t="s">
        <v>7718</v>
      </c>
      <c r="E2234" s="28" t="s">
        <v>144</v>
      </c>
      <c r="F2234" s="28" t="s">
        <v>29</v>
      </c>
      <c r="G2234" s="28" t="s">
        <v>30</v>
      </c>
      <c r="H2234" s="28" t="s">
        <v>31</v>
      </c>
      <c r="I2234" s="28" t="s">
        <v>30</v>
      </c>
      <c r="J2234" s="28"/>
      <c r="K2234" s="28"/>
      <c r="L2234" s="28" t="s">
        <v>7719</v>
      </c>
      <c r="M2234" s="28" t="s">
        <v>151</v>
      </c>
      <c r="N2234" s="28">
        <v>2011.0</v>
      </c>
      <c r="O2234" s="60">
        <v>14.0</v>
      </c>
      <c r="P2234" s="28">
        <v>1.0</v>
      </c>
      <c r="Q2234" s="32">
        <v>1.0</v>
      </c>
      <c r="R2234" s="33"/>
      <c r="S2234" s="34"/>
      <c r="T2234" s="34"/>
      <c r="U2234" s="34"/>
      <c r="V2234" s="34"/>
      <c r="W2234" s="34"/>
      <c r="X2234" s="34"/>
      <c r="Y2234" s="45"/>
      <c r="Z2234" s="45"/>
      <c r="AA2234" s="45"/>
      <c r="AB2234" s="45"/>
      <c r="AC2234" s="45"/>
      <c r="AD2234" s="45"/>
      <c r="AE2234" s="45"/>
      <c r="AF2234" s="45"/>
      <c r="AG2234" s="45"/>
      <c r="AH2234" s="45"/>
      <c r="AI2234" s="45"/>
      <c r="AJ2234" s="45"/>
      <c r="AK2234" s="45"/>
      <c r="AL2234" s="45"/>
    </row>
    <row r="2235" ht="15.75" customHeight="1">
      <c r="A2235" s="27">
        <f t="shared" si="21"/>
        <v>1114</v>
      </c>
      <c r="B2235" s="28" t="s">
        <v>7720</v>
      </c>
      <c r="C2235" s="43" t="s">
        <v>7721</v>
      </c>
      <c r="D2235" s="30" t="s">
        <v>7722</v>
      </c>
      <c r="E2235" s="28" t="s">
        <v>31</v>
      </c>
      <c r="F2235" s="28" t="s">
        <v>29</v>
      </c>
      <c r="G2235" s="28" t="s">
        <v>30</v>
      </c>
      <c r="H2235" s="28"/>
      <c r="I2235" s="28" t="s">
        <v>30</v>
      </c>
      <c r="J2235" s="28">
        <v>424.0</v>
      </c>
      <c r="K2235" s="28"/>
      <c r="L2235" s="28" t="s">
        <v>7723</v>
      </c>
      <c r="M2235" s="28" t="s">
        <v>151</v>
      </c>
      <c r="N2235" s="28">
        <v>2004.0</v>
      </c>
      <c r="O2235" s="60">
        <v>14.0</v>
      </c>
      <c r="P2235" s="28">
        <v>1.0</v>
      </c>
      <c r="Q2235" s="32">
        <v>1.0</v>
      </c>
      <c r="R2235" s="33"/>
      <c r="S2235" s="34"/>
      <c r="T2235" s="34"/>
      <c r="U2235" s="34"/>
      <c r="V2235" s="34"/>
      <c r="W2235" s="34"/>
      <c r="X2235" s="34"/>
      <c r="Y2235" s="45"/>
      <c r="Z2235" s="45"/>
      <c r="AA2235" s="45"/>
      <c r="AB2235" s="45"/>
      <c r="AC2235" s="45"/>
      <c r="AD2235" s="45"/>
      <c r="AE2235" s="45"/>
      <c r="AF2235" s="45"/>
      <c r="AG2235" s="45"/>
      <c r="AH2235" s="45"/>
      <c r="AI2235" s="45"/>
      <c r="AJ2235" s="45"/>
      <c r="AK2235" s="45"/>
      <c r="AL2235" s="45"/>
    </row>
    <row r="2236" ht="15.75" customHeight="1">
      <c r="A2236" s="27">
        <f t="shared" si="21"/>
        <v>1115</v>
      </c>
      <c r="B2236" s="28"/>
      <c r="C2236" s="43" t="s">
        <v>7724</v>
      </c>
      <c r="D2236" s="30" t="s">
        <v>7725</v>
      </c>
      <c r="E2236" s="28" t="s">
        <v>31</v>
      </c>
      <c r="F2236" s="28" t="s">
        <v>29</v>
      </c>
      <c r="G2236" s="28" t="s">
        <v>30</v>
      </c>
      <c r="H2236" s="28"/>
      <c r="I2236" s="28" t="s">
        <v>30</v>
      </c>
      <c r="J2236" s="28">
        <v>176.0</v>
      </c>
      <c r="K2236" s="28"/>
      <c r="L2236" s="28" t="s">
        <v>7726</v>
      </c>
      <c r="M2236" s="28" t="s">
        <v>151</v>
      </c>
      <c r="N2236" s="28">
        <v>1983.0</v>
      </c>
      <c r="O2236" s="60">
        <v>14.0</v>
      </c>
      <c r="P2236" s="28">
        <v>2.0</v>
      </c>
      <c r="Q2236" s="94">
        <v>2.0</v>
      </c>
      <c r="R2236" s="33"/>
      <c r="S2236" s="40"/>
      <c r="T2236" s="40"/>
      <c r="U2236" s="40"/>
      <c r="V2236" s="40"/>
      <c r="W2236" s="40"/>
      <c r="X2236" s="40"/>
      <c r="Y2236" s="45"/>
      <c r="Z2236" s="45"/>
      <c r="AA2236" s="45"/>
      <c r="AB2236" s="45"/>
      <c r="AC2236" s="45"/>
      <c r="AD2236" s="45"/>
      <c r="AE2236" s="45"/>
      <c r="AF2236" s="45"/>
      <c r="AG2236" s="45"/>
      <c r="AH2236" s="45"/>
      <c r="AI2236" s="45"/>
      <c r="AJ2236" s="45"/>
      <c r="AK2236" s="45"/>
      <c r="AL2236" s="45"/>
    </row>
    <row r="2237" ht="15.75" customHeight="1">
      <c r="A2237" s="27">
        <f t="shared" si="21"/>
        <v>1116</v>
      </c>
      <c r="B2237" s="28" t="s">
        <v>7727</v>
      </c>
      <c r="C2237" s="43" t="s">
        <v>7728</v>
      </c>
      <c r="D2237" s="30" t="s">
        <v>7729</v>
      </c>
      <c r="E2237" s="28" t="s">
        <v>31</v>
      </c>
      <c r="F2237" s="28" t="s">
        <v>29</v>
      </c>
      <c r="G2237" s="28" t="s">
        <v>30</v>
      </c>
      <c r="H2237" s="28"/>
      <c r="I2237" s="28" t="s">
        <v>30</v>
      </c>
      <c r="J2237" s="28">
        <v>92.0</v>
      </c>
      <c r="K2237" s="28"/>
      <c r="L2237" s="28" t="s">
        <v>7730</v>
      </c>
      <c r="M2237" s="28" t="s">
        <v>151</v>
      </c>
      <c r="N2237" s="28">
        <v>1996.0</v>
      </c>
      <c r="O2237" s="60">
        <v>14.0</v>
      </c>
      <c r="P2237" s="28">
        <v>1.0</v>
      </c>
      <c r="Q2237" s="32">
        <v>1.0</v>
      </c>
      <c r="R2237" s="33"/>
      <c r="S2237" s="185"/>
      <c r="T2237" s="185"/>
      <c r="U2237" s="185"/>
      <c r="V2237" s="185"/>
      <c r="W2237" s="185"/>
      <c r="X2237" s="185"/>
      <c r="Y2237" s="45"/>
      <c r="Z2237" s="45"/>
      <c r="AA2237" s="45"/>
      <c r="AB2237" s="45"/>
      <c r="AC2237" s="45"/>
      <c r="AD2237" s="45"/>
      <c r="AE2237" s="45"/>
      <c r="AF2237" s="45"/>
      <c r="AG2237" s="45"/>
      <c r="AH2237" s="45"/>
      <c r="AI2237" s="45"/>
      <c r="AJ2237" s="45"/>
      <c r="AK2237" s="45"/>
      <c r="AL2237" s="45"/>
    </row>
    <row r="2238" ht="15.75" customHeight="1">
      <c r="A2238" s="27">
        <f t="shared" si="21"/>
        <v>1117</v>
      </c>
      <c r="B2238" s="28" t="s">
        <v>7731</v>
      </c>
      <c r="C2238" s="43" t="s">
        <v>7732</v>
      </c>
      <c r="D2238" s="30" t="s">
        <v>7733</v>
      </c>
      <c r="E2238" s="28" t="s">
        <v>144</v>
      </c>
      <c r="F2238" s="28" t="s">
        <v>29</v>
      </c>
      <c r="G2238" s="28" t="s">
        <v>30</v>
      </c>
      <c r="H2238" s="28"/>
      <c r="I2238" s="28" t="s">
        <v>30</v>
      </c>
      <c r="J2238" s="28">
        <v>275.0</v>
      </c>
      <c r="K2238" s="28"/>
      <c r="L2238" s="28" t="s">
        <v>7734</v>
      </c>
      <c r="M2238" s="28" t="s">
        <v>151</v>
      </c>
      <c r="N2238" s="28">
        <v>2018.0</v>
      </c>
      <c r="O2238" s="60">
        <v>14.0</v>
      </c>
      <c r="P2238" s="28">
        <v>1.0</v>
      </c>
      <c r="Q2238" s="32">
        <v>1.0</v>
      </c>
      <c r="R2238" s="33"/>
      <c r="S2238" s="34"/>
      <c r="T2238" s="34"/>
      <c r="U2238" s="34"/>
      <c r="V2238" s="34"/>
      <c r="W2238" s="34"/>
      <c r="X2238" s="34"/>
      <c r="Y2238" s="45"/>
      <c r="Z2238" s="45"/>
      <c r="AA2238" s="45"/>
      <c r="AB2238" s="45"/>
      <c r="AC2238" s="45"/>
      <c r="AD2238" s="45"/>
      <c r="AE2238" s="45"/>
      <c r="AF2238" s="45"/>
      <c r="AG2238" s="45"/>
      <c r="AH2238" s="45"/>
      <c r="AI2238" s="45"/>
      <c r="AJ2238" s="45"/>
      <c r="AK2238" s="45"/>
      <c r="AL2238" s="45"/>
    </row>
    <row r="2239" ht="15.75" customHeight="1">
      <c r="A2239" s="27">
        <f t="shared" si="21"/>
        <v>1118</v>
      </c>
      <c r="B2239" s="28" t="s">
        <v>7735</v>
      </c>
      <c r="C2239" s="43" t="s">
        <v>7736</v>
      </c>
      <c r="D2239" s="30" t="s">
        <v>7737</v>
      </c>
      <c r="E2239" s="28" t="s">
        <v>31</v>
      </c>
      <c r="F2239" s="28" t="s">
        <v>29</v>
      </c>
      <c r="G2239" s="28" t="s">
        <v>30</v>
      </c>
      <c r="H2239" s="28"/>
      <c r="I2239" s="28" t="s">
        <v>30</v>
      </c>
      <c r="J2239" s="28">
        <v>368.0</v>
      </c>
      <c r="K2239" s="28"/>
      <c r="L2239" s="28" t="s">
        <v>7738</v>
      </c>
      <c r="M2239" s="28" t="s">
        <v>151</v>
      </c>
      <c r="N2239" s="28">
        <v>2006.0</v>
      </c>
      <c r="O2239" s="60">
        <v>14.0</v>
      </c>
      <c r="P2239" s="28">
        <v>1.0</v>
      </c>
      <c r="Q2239" s="32">
        <v>1.0</v>
      </c>
      <c r="R2239" s="33"/>
      <c r="S2239" s="34"/>
      <c r="T2239" s="34"/>
      <c r="U2239" s="34"/>
      <c r="V2239" s="34"/>
      <c r="W2239" s="34"/>
      <c r="X2239" s="34"/>
      <c r="Y2239" s="3"/>
      <c r="Z2239" s="3"/>
      <c r="AA2239" s="3"/>
      <c r="AB2239" s="3"/>
      <c r="AC2239" s="3"/>
      <c r="AD2239" s="3"/>
      <c r="AE2239" s="3"/>
      <c r="AF2239" s="3"/>
      <c r="AG2239" s="3"/>
      <c r="AH2239" s="3"/>
      <c r="AI2239" s="3"/>
      <c r="AJ2239" s="3"/>
      <c r="AK2239" s="3"/>
      <c r="AL2239" s="3"/>
    </row>
    <row r="2240" ht="15.75" customHeight="1">
      <c r="A2240" s="27">
        <f t="shared" si="21"/>
        <v>1119</v>
      </c>
      <c r="B2240" s="28" t="s">
        <v>31</v>
      </c>
      <c r="C2240" s="43" t="s">
        <v>7739</v>
      </c>
      <c r="D2240" s="30" t="s">
        <v>7740</v>
      </c>
      <c r="E2240" s="28" t="s">
        <v>144</v>
      </c>
      <c r="F2240" s="28" t="s">
        <v>29</v>
      </c>
      <c r="G2240" s="28" t="s">
        <v>30</v>
      </c>
      <c r="H2240" s="28"/>
      <c r="I2240" s="28" t="s">
        <v>30</v>
      </c>
      <c r="J2240" s="28">
        <f>255+12</f>
        <v>267</v>
      </c>
      <c r="K2240" s="28"/>
      <c r="L2240" s="28" t="s">
        <v>7741</v>
      </c>
      <c r="M2240" s="28" t="s">
        <v>7742</v>
      </c>
      <c r="N2240" s="28">
        <v>1980.0</v>
      </c>
      <c r="O2240" s="28">
        <v>14.0</v>
      </c>
      <c r="P2240" s="28">
        <v>1.0</v>
      </c>
      <c r="Q2240" s="32">
        <v>1.0</v>
      </c>
      <c r="R2240" s="33"/>
      <c r="S2240" s="34"/>
      <c r="T2240" s="34"/>
      <c r="U2240" s="34"/>
      <c r="V2240" s="34"/>
      <c r="W2240" s="34"/>
      <c r="X2240" s="34"/>
      <c r="Y2240" s="45"/>
      <c r="Z2240" s="45"/>
      <c r="AA2240" s="45"/>
      <c r="AB2240" s="45"/>
      <c r="AC2240" s="45"/>
      <c r="AD2240" s="45"/>
      <c r="AE2240" s="45"/>
      <c r="AF2240" s="45"/>
      <c r="AG2240" s="45"/>
      <c r="AH2240" s="45"/>
      <c r="AI2240" s="45"/>
      <c r="AJ2240" s="45"/>
      <c r="AK2240" s="45"/>
      <c r="AL2240" s="45"/>
    </row>
    <row r="2241" ht="15.75" customHeight="1">
      <c r="A2241" s="27">
        <f t="shared" si="21"/>
        <v>1120</v>
      </c>
      <c r="B2241" s="121" t="s">
        <v>7743</v>
      </c>
      <c r="C2241" s="121" t="s">
        <v>7744</v>
      </c>
      <c r="D2241" s="119" t="s">
        <v>7745</v>
      </c>
      <c r="E2241" s="83"/>
      <c r="F2241" s="121" t="s">
        <v>29</v>
      </c>
      <c r="G2241" s="121" t="s">
        <v>30</v>
      </c>
      <c r="H2241" s="83"/>
      <c r="I2241" s="121" t="s">
        <v>30</v>
      </c>
      <c r="J2241" s="121">
        <v>246.0</v>
      </c>
      <c r="K2241" s="83"/>
      <c r="L2241" s="121" t="s">
        <v>6987</v>
      </c>
      <c r="M2241" s="121" t="s">
        <v>151</v>
      </c>
      <c r="N2241" s="121">
        <v>2003.0</v>
      </c>
      <c r="O2241" s="121">
        <v>14.0</v>
      </c>
      <c r="P2241" s="121">
        <v>1.0</v>
      </c>
      <c r="Q2241" s="121">
        <v>1.0</v>
      </c>
      <c r="R2241" s="84"/>
      <c r="S2241" s="34"/>
      <c r="T2241" s="34"/>
      <c r="U2241" s="34"/>
      <c r="V2241" s="34"/>
      <c r="W2241" s="34"/>
      <c r="X2241" s="34"/>
      <c r="Y2241" s="45"/>
      <c r="Z2241" s="45"/>
      <c r="AA2241" s="45"/>
      <c r="AB2241" s="45"/>
      <c r="AC2241" s="45"/>
      <c r="AD2241" s="45"/>
      <c r="AE2241" s="45"/>
      <c r="AF2241" s="45"/>
      <c r="AG2241" s="45"/>
      <c r="AH2241" s="45"/>
      <c r="AI2241" s="45"/>
      <c r="AJ2241" s="45"/>
      <c r="AK2241" s="45"/>
      <c r="AL2241" s="45"/>
    </row>
    <row r="2242" ht="15.75" customHeight="1">
      <c r="A2242" s="27">
        <f t="shared" si="21"/>
        <v>1121</v>
      </c>
      <c r="B2242" s="83" t="s">
        <v>7746</v>
      </c>
      <c r="C2242" s="83" t="s">
        <v>7747</v>
      </c>
      <c r="D2242" s="118" t="s">
        <v>7748</v>
      </c>
      <c r="E2242" s="83"/>
      <c r="F2242" s="83" t="s">
        <v>29</v>
      </c>
      <c r="G2242" s="83" t="s">
        <v>30</v>
      </c>
      <c r="H2242" s="83"/>
      <c r="I2242" s="83" t="s">
        <v>30</v>
      </c>
      <c r="J2242" s="83">
        <v>149.0</v>
      </c>
      <c r="K2242" s="83"/>
      <c r="L2242" s="83" t="s">
        <v>7749</v>
      </c>
      <c r="M2242" s="83" t="s">
        <v>7750</v>
      </c>
      <c r="N2242" s="83">
        <v>1995.0</v>
      </c>
      <c r="O2242" s="121">
        <v>14.0</v>
      </c>
      <c r="P2242" s="83">
        <v>1.0</v>
      </c>
      <c r="Q2242" s="83">
        <v>1.0</v>
      </c>
      <c r="R2242" s="84"/>
      <c r="S2242" s="40"/>
      <c r="T2242" s="40"/>
      <c r="U2242" s="40"/>
      <c r="V2242" s="40"/>
      <c r="W2242" s="40"/>
      <c r="X2242" s="40"/>
      <c r="Y2242" s="45"/>
      <c r="Z2242" s="45"/>
      <c r="AA2242" s="45"/>
      <c r="AB2242" s="45"/>
      <c r="AC2242" s="45"/>
      <c r="AD2242" s="45"/>
      <c r="AE2242" s="45"/>
      <c r="AF2242" s="45"/>
      <c r="AG2242" s="45"/>
      <c r="AH2242" s="45"/>
      <c r="AI2242" s="45"/>
      <c r="AJ2242" s="45"/>
      <c r="AK2242" s="45"/>
      <c r="AL2242" s="45"/>
    </row>
    <row r="2243" ht="15.75" customHeight="1">
      <c r="A2243" s="27">
        <f t="shared" si="21"/>
        <v>1122</v>
      </c>
      <c r="B2243" s="83"/>
      <c r="C2243" s="121" t="s">
        <v>7751</v>
      </c>
      <c r="D2243" s="119" t="s">
        <v>7752</v>
      </c>
      <c r="E2243" s="83"/>
      <c r="F2243" s="121" t="s">
        <v>29</v>
      </c>
      <c r="G2243" s="121" t="s">
        <v>37</v>
      </c>
      <c r="H2243" s="83"/>
      <c r="I2243" s="121" t="s">
        <v>38</v>
      </c>
      <c r="J2243" s="121">
        <v>241.0</v>
      </c>
      <c r="K2243" s="83"/>
      <c r="L2243" s="121" t="s">
        <v>2848</v>
      </c>
      <c r="M2243" s="121" t="s">
        <v>72</v>
      </c>
      <c r="N2243" s="121">
        <v>1961.0</v>
      </c>
      <c r="O2243" s="121">
        <v>14.0</v>
      </c>
      <c r="P2243" s="121">
        <v>1.0</v>
      </c>
      <c r="Q2243" s="121">
        <v>1.0</v>
      </c>
      <c r="R2243" s="84"/>
      <c r="S2243" s="34"/>
      <c r="T2243" s="34"/>
      <c r="U2243" s="34"/>
      <c r="V2243" s="34"/>
      <c r="W2243" s="34"/>
      <c r="X2243" s="34"/>
      <c r="Y2243" s="45"/>
      <c r="Z2243" s="45"/>
      <c r="AA2243" s="45"/>
      <c r="AB2243" s="45"/>
      <c r="AC2243" s="45"/>
      <c r="AD2243" s="45"/>
      <c r="AE2243" s="45"/>
      <c r="AF2243" s="45"/>
      <c r="AG2243" s="45"/>
      <c r="AH2243" s="45"/>
      <c r="AI2243" s="45"/>
      <c r="AJ2243" s="45"/>
      <c r="AK2243" s="45"/>
      <c r="AL2243" s="45"/>
    </row>
    <row r="2244" ht="15.75" customHeight="1">
      <c r="A2244" s="27">
        <f t="shared" si="21"/>
        <v>1123</v>
      </c>
      <c r="B2244" s="28" t="s">
        <v>7753</v>
      </c>
      <c r="C2244" s="43" t="s">
        <v>7754</v>
      </c>
      <c r="D2244" s="30" t="s">
        <v>7755</v>
      </c>
      <c r="E2244" s="28" t="s">
        <v>31</v>
      </c>
      <c r="F2244" s="28" t="s">
        <v>29</v>
      </c>
      <c r="G2244" s="28" t="s">
        <v>30</v>
      </c>
      <c r="H2244" s="28"/>
      <c r="I2244" s="28" t="s">
        <v>30</v>
      </c>
      <c r="J2244" s="28">
        <v>447.0</v>
      </c>
      <c r="K2244" s="28"/>
      <c r="L2244" s="28" t="s">
        <v>7756</v>
      </c>
      <c r="M2244" s="28" t="s">
        <v>151</v>
      </c>
      <c r="N2244" s="28">
        <v>2012.0</v>
      </c>
      <c r="O2244" s="60">
        <v>14.0</v>
      </c>
      <c r="P2244" s="28">
        <v>1.0</v>
      </c>
      <c r="Q2244" s="32">
        <v>1.0</v>
      </c>
      <c r="R2244" s="33"/>
      <c r="S2244" s="185"/>
      <c r="T2244" s="185"/>
      <c r="U2244" s="185"/>
      <c r="V2244" s="185"/>
      <c r="W2244" s="185"/>
      <c r="X2244" s="185"/>
      <c r="Y2244" s="45"/>
      <c r="Z2244" s="45"/>
      <c r="AA2244" s="45"/>
      <c r="AB2244" s="45"/>
      <c r="AC2244" s="45"/>
      <c r="AD2244" s="45"/>
      <c r="AE2244" s="45"/>
      <c r="AF2244" s="45"/>
      <c r="AG2244" s="45"/>
      <c r="AH2244" s="45"/>
      <c r="AI2244" s="45"/>
      <c r="AJ2244" s="45"/>
      <c r="AK2244" s="45"/>
      <c r="AL2244" s="45"/>
    </row>
    <row r="2245" ht="15.75" customHeight="1">
      <c r="A2245" s="27">
        <f t="shared" si="21"/>
        <v>1124</v>
      </c>
      <c r="B2245" s="28" t="s">
        <v>7757</v>
      </c>
      <c r="C2245" s="43" t="s">
        <v>7758</v>
      </c>
      <c r="D2245" s="30" t="s">
        <v>7759</v>
      </c>
      <c r="E2245" s="28" t="s">
        <v>31</v>
      </c>
      <c r="F2245" s="28" t="s">
        <v>29</v>
      </c>
      <c r="G2245" s="28" t="s">
        <v>30</v>
      </c>
      <c r="H2245" s="28"/>
      <c r="I2245" s="28" t="s">
        <v>30</v>
      </c>
      <c r="J2245" s="28">
        <v>137.0</v>
      </c>
      <c r="K2245" s="28"/>
      <c r="L2245" s="28" t="s">
        <v>7760</v>
      </c>
      <c r="M2245" s="28" t="s">
        <v>151</v>
      </c>
      <c r="N2245" s="28">
        <v>2003.0</v>
      </c>
      <c r="O2245" s="60">
        <v>14.0</v>
      </c>
      <c r="P2245" s="28">
        <v>2.0</v>
      </c>
      <c r="Q2245" s="32">
        <v>2.0</v>
      </c>
      <c r="R2245" s="33"/>
      <c r="S2245" s="34"/>
      <c r="T2245" s="34"/>
      <c r="U2245" s="34"/>
      <c r="V2245" s="34"/>
      <c r="W2245" s="34"/>
      <c r="X2245" s="34"/>
      <c r="Y2245" s="45"/>
      <c r="Z2245" s="45"/>
      <c r="AA2245" s="45"/>
      <c r="AB2245" s="45"/>
      <c r="AC2245" s="45"/>
      <c r="AD2245" s="45"/>
      <c r="AE2245" s="45"/>
      <c r="AF2245" s="45"/>
      <c r="AG2245" s="45"/>
      <c r="AH2245" s="45"/>
      <c r="AI2245" s="45"/>
      <c r="AJ2245" s="45"/>
      <c r="AK2245" s="45"/>
      <c r="AL2245" s="45"/>
    </row>
    <row r="2246" ht="15.75" customHeight="1">
      <c r="A2246" s="27">
        <f t="shared" si="21"/>
        <v>1125</v>
      </c>
      <c r="B2246" s="28" t="s">
        <v>7761</v>
      </c>
      <c r="C2246" s="43" t="s">
        <v>7762</v>
      </c>
      <c r="D2246" s="30" t="s">
        <v>7763</v>
      </c>
      <c r="E2246" s="28"/>
      <c r="F2246" s="28" t="s">
        <v>29</v>
      </c>
      <c r="G2246" s="28" t="s">
        <v>37</v>
      </c>
      <c r="H2246" s="28"/>
      <c r="I2246" s="28" t="s">
        <v>38</v>
      </c>
      <c r="J2246" s="28">
        <v>445.0</v>
      </c>
      <c r="K2246" s="28"/>
      <c r="L2246" s="28" t="s">
        <v>7764</v>
      </c>
      <c r="M2246" s="28" t="s">
        <v>2428</v>
      </c>
      <c r="N2246" s="28">
        <v>1979.0</v>
      </c>
      <c r="O2246" s="60">
        <v>14.0</v>
      </c>
      <c r="P2246" s="28">
        <v>1.0</v>
      </c>
      <c r="Q2246" s="94">
        <v>1.0</v>
      </c>
      <c r="R2246" s="33"/>
      <c r="S2246" s="34"/>
      <c r="T2246" s="34"/>
      <c r="U2246" s="34"/>
      <c r="V2246" s="34"/>
      <c r="W2246" s="34"/>
      <c r="X2246" s="34"/>
      <c r="Y2246" s="45"/>
      <c r="Z2246" s="45"/>
      <c r="AA2246" s="45"/>
      <c r="AB2246" s="45"/>
      <c r="AC2246" s="45"/>
      <c r="AD2246" s="45"/>
      <c r="AE2246" s="45"/>
      <c r="AF2246" s="45"/>
      <c r="AG2246" s="45"/>
      <c r="AH2246" s="45"/>
      <c r="AI2246" s="45"/>
      <c r="AJ2246" s="45"/>
      <c r="AK2246" s="45"/>
      <c r="AL2246" s="45"/>
    </row>
    <row r="2247" ht="15.75" customHeight="1">
      <c r="A2247" s="27">
        <f t="shared" si="21"/>
        <v>1126</v>
      </c>
      <c r="B2247" s="28" t="s">
        <v>7765</v>
      </c>
      <c r="C2247" s="43" t="s">
        <v>7766</v>
      </c>
      <c r="D2247" s="30" t="s">
        <v>7767</v>
      </c>
      <c r="E2247" s="28" t="s">
        <v>31</v>
      </c>
      <c r="F2247" s="28" t="s">
        <v>29</v>
      </c>
      <c r="G2247" s="28"/>
      <c r="H2247" s="28"/>
      <c r="I2247" s="28" t="s">
        <v>38</v>
      </c>
      <c r="J2247" s="28">
        <v>381.0</v>
      </c>
      <c r="K2247" s="28"/>
      <c r="L2247" s="28" t="s">
        <v>7768</v>
      </c>
      <c r="M2247" s="28" t="s">
        <v>7769</v>
      </c>
      <c r="N2247" s="28">
        <v>1981.0</v>
      </c>
      <c r="O2247" s="60">
        <v>14.0</v>
      </c>
      <c r="P2247" s="28">
        <v>1.0</v>
      </c>
      <c r="Q2247" s="94">
        <v>1.0</v>
      </c>
      <c r="R2247" s="33"/>
      <c r="S2247" s="34"/>
      <c r="T2247" s="34"/>
      <c r="U2247" s="34"/>
      <c r="V2247" s="34"/>
      <c r="W2247" s="34"/>
      <c r="X2247" s="34"/>
      <c r="Y2247" s="45"/>
      <c r="Z2247" s="45"/>
      <c r="AA2247" s="45"/>
      <c r="AB2247" s="45"/>
      <c r="AC2247" s="45"/>
      <c r="AD2247" s="45"/>
      <c r="AE2247" s="45"/>
      <c r="AF2247" s="45"/>
      <c r="AG2247" s="45"/>
      <c r="AH2247" s="45"/>
      <c r="AI2247" s="45"/>
      <c r="AJ2247" s="45"/>
      <c r="AK2247" s="45"/>
      <c r="AL2247" s="45"/>
    </row>
    <row r="2248" ht="15.75" customHeight="1">
      <c r="A2248" s="27">
        <f t="shared" si="21"/>
        <v>1127</v>
      </c>
      <c r="B2248" s="121" t="s">
        <v>7770</v>
      </c>
      <c r="C2248" s="121" t="s">
        <v>7771</v>
      </c>
      <c r="D2248" s="119" t="s">
        <v>7772</v>
      </c>
      <c r="E2248" s="83"/>
      <c r="F2248" s="121" t="s">
        <v>29</v>
      </c>
      <c r="G2248" s="121" t="s">
        <v>159</v>
      </c>
      <c r="H2248" s="83"/>
      <c r="I2248" s="121" t="s">
        <v>159</v>
      </c>
      <c r="J2248" s="121">
        <v>304.0</v>
      </c>
      <c r="K2248" s="83"/>
      <c r="L2248" s="121" t="s">
        <v>7773</v>
      </c>
      <c r="M2248" s="121" t="s">
        <v>151</v>
      </c>
      <c r="N2248" s="121">
        <v>2003.0</v>
      </c>
      <c r="O2248" s="121">
        <v>14.0</v>
      </c>
      <c r="P2248" s="121">
        <v>1.0</v>
      </c>
      <c r="Q2248" s="121">
        <v>1.0</v>
      </c>
      <c r="R2248" s="84"/>
      <c r="S2248" s="34"/>
      <c r="T2248" s="34"/>
      <c r="U2248" s="34"/>
      <c r="V2248" s="34"/>
      <c r="W2248" s="34"/>
      <c r="X2248" s="34"/>
      <c r="Y2248" s="45"/>
      <c r="Z2248" s="45"/>
      <c r="AA2248" s="45"/>
      <c r="AB2248" s="45"/>
      <c r="AC2248" s="45"/>
      <c r="AD2248" s="45"/>
      <c r="AE2248" s="45"/>
      <c r="AF2248" s="45"/>
      <c r="AG2248" s="45"/>
      <c r="AH2248" s="45"/>
      <c r="AI2248" s="45"/>
      <c r="AJ2248" s="45"/>
      <c r="AK2248" s="45"/>
      <c r="AL2248" s="45"/>
    </row>
    <row r="2249" ht="15.75" customHeight="1">
      <c r="A2249" s="27">
        <f t="shared" si="21"/>
        <v>1128</v>
      </c>
      <c r="B2249" s="121" t="s">
        <v>7774</v>
      </c>
      <c r="C2249" s="121" t="s">
        <v>7775</v>
      </c>
      <c r="D2249" s="119" t="s">
        <v>7776</v>
      </c>
      <c r="E2249" s="121" t="s">
        <v>144</v>
      </c>
      <c r="F2249" s="121" t="s">
        <v>29</v>
      </c>
      <c r="G2249" s="121" t="s">
        <v>7777</v>
      </c>
      <c r="H2249" s="83"/>
      <c r="I2249" s="121" t="s">
        <v>38</v>
      </c>
      <c r="J2249" s="121">
        <v>348.0</v>
      </c>
      <c r="K2249" s="83"/>
      <c r="L2249" s="121" t="s">
        <v>7778</v>
      </c>
      <c r="M2249" s="121" t="s">
        <v>3364</v>
      </c>
      <c r="N2249" s="121">
        <v>2002.0</v>
      </c>
      <c r="O2249" s="121">
        <v>14.0</v>
      </c>
      <c r="P2249" s="121">
        <v>1.0</v>
      </c>
      <c r="Q2249" s="121">
        <v>1.0</v>
      </c>
      <c r="R2249" s="84"/>
      <c r="S2249" s="34"/>
      <c r="T2249" s="34"/>
      <c r="U2249" s="34"/>
      <c r="V2249" s="34"/>
      <c r="W2249" s="34"/>
      <c r="X2249" s="34"/>
      <c r="Y2249" s="45"/>
      <c r="Z2249" s="45"/>
      <c r="AA2249" s="45"/>
      <c r="AB2249" s="45"/>
      <c r="AC2249" s="45"/>
      <c r="AD2249" s="45"/>
      <c r="AE2249" s="45"/>
      <c r="AF2249" s="45"/>
      <c r="AG2249" s="45"/>
      <c r="AH2249" s="45"/>
      <c r="AI2249" s="45"/>
      <c r="AJ2249" s="45"/>
      <c r="AK2249" s="45"/>
      <c r="AL2249" s="45"/>
    </row>
    <row r="2250" ht="15.75" customHeight="1">
      <c r="A2250" s="27">
        <f t="shared" si="21"/>
        <v>1129</v>
      </c>
      <c r="B2250" s="121" t="s">
        <v>7779</v>
      </c>
      <c r="C2250" s="121" t="s">
        <v>7780</v>
      </c>
      <c r="D2250" s="119" t="s">
        <v>7781</v>
      </c>
      <c r="E2250" s="121" t="s">
        <v>144</v>
      </c>
      <c r="F2250" s="121" t="s">
        <v>29</v>
      </c>
      <c r="G2250" s="121" t="s">
        <v>30</v>
      </c>
      <c r="H2250" s="83"/>
      <c r="I2250" s="121" t="s">
        <v>30</v>
      </c>
      <c r="J2250" s="121">
        <v>131.0</v>
      </c>
      <c r="K2250" s="83"/>
      <c r="L2250" s="121" t="s">
        <v>7782</v>
      </c>
      <c r="M2250" s="121" t="s">
        <v>151</v>
      </c>
      <c r="N2250" s="121">
        <v>2014.0</v>
      </c>
      <c r="O2250" s="121">
        <v>14.0</v>
      </c>
      <c r="P2250" s="121">
        <v>1.0</v>
      </c>
      <c r="Q2250" s="121">
        <v>1.0</v>
      </c>
      <c r="R2250" s="84"/>
      <c r="S2250" s="34"/>
      <c r="T2250" s="34"/>
      <c r="U2250" s="34"/>
      <c r="V2250" s="34"/>
      <c r="W2250" s="34"/>
      <c r="X2250" s="34"/>
      <c r="Y2250" s="45"/>
      <c r="Z2250" s="45"/>
      <c r="AA2250" s="45"/>
      <c r="AB2250" s="45"/>
      <c r="AC2250" s="45"/>
      <c r="AD2250" s="45"/>
      <c r="AE2250" s="45"/>
      <c r="AF2250" s="45"/>
      <c r="AG2250" s="45"/>
      <c r="AH2250" s="45"/>
      <c r="AI2250" s="45"/>
      <c r="AJ2250" s="45"/>
      <c r="AK2250" s="45"/>
      <c r="AL2250" s="45"/>
    </row>
    <row r="2251" ht="15.75" customHeight="1">
      <c r="A2251" s="27">
        <f t="shared" si="21"/>
        <v>1130</v>
      </c>
      <c r="B2251" s="28" t="s">
        <v>7783</v>
      </c>
      <c r="C2251" s="43" t="s">
        <v>7784</v>
      </c>
      <c r="D2251" s="30" t="s">
        <v>7785</v>
      </c>
      <c r="E2251" s="28"/>
      <c r="F2251" s="28" t="s">
        <v>29</v>
      </c>
      <c r="G2251" s="28" t="s">
        <v>30</v>
      </c>
      <c r="H2251" s="28" t="s">
        <v>31</v>
      </c>
      <c r="I2251" s="28" t="s">
        <v>30</v>
      </c>
      <c r="J2251" s="28">
        <v>478.0</v>
      </c>
      <c r="K2251" s="28"/>
      <c r="L2251" s="28" t="s">
        <v>7786</v>
      </c>
      <c r="M2251" s="28" t="s">
        <v>169</v>
      </c>
      <c r="N2251" s="28">
        <v>2002.0</v>
      </c>
      <c r="O2251" s="60">
        <v>14.0</v>
      </c>
      <c r="P2251" s="28">
        <v>2.0</v>
      </c>
      <c r="Q2251" s="94">
        <v>2.0</v>
      </c>
      <c r="R2251" s="33"/>
      <c r="S2251" s="40"/>
      <c r="T2251" s="40"/>
      <c r="U2251" s="40"/>
      <c r="V2251" s="40"/>
      <c r="W2251" s="40"/>
      <c r="X2251" s="40"/>
      <c r="Y2251" s="45"/>
      <c r="Z2251" s="45"/>
      <c r="AA2251" s="45"/>
      <c r="AB2251" s="45"/>
      <c r="AC2251" s="45"/>
      <c r="AD2251" s="45"/>
      <c r="AE2251" s="45"/>
      <c r="AF2251" s="45"/>
      <c r="AG2251" s="45"/>
      <c r="AH2251" s="45"/>
      <c r="AI2251" s="45"/>
      <c r="AJ2251" s="45"/>
      <c r="AK2251" s="45"/>
      <c r="AL2251" s="45"/>
    </row>
    <row r="2252" ht="15.75" customHeight="1">
      <c r="A2252" s="27">
        <f t="shared" si="21"/>
        <v>1131</v>
      </c>
      <c r="B2252" s="28" t="s">
        <v>7787</v>
      </c>
      <c r="C2252" s="43" t="s">
        <v>7788</v>
      </c>
      <c r="D2252" s="30" t="s">
        <v>7789</v>
      </c>
      <c r="E2252" s="28"/>
      <c r="F2252" s="28" t="s">
        <v>29</v>
      </c>
      <c r="G2252" s="28" t="s">
        <v>37</v>
      </c>
      <c r="H2252" s="28"/>
      <c r="I2252" s="28" t="s">
        <v>38</v>
      </c>
      <c r="J2252" s="28">
        <v>243.0</v>
      </c>
      <c r="K2252" s="28"/>
      <c r="L2252" s="28" t="s">
        <v>48</v>
      </c>
      <c r="M2252" s="28" t="s">
        <v>230</v>
      </c>
      <c r="N2252" s="28">
        <v>2008.0</v>
      </c>
      <c r="O2252" s="60">
        <v>14.0</v>
      </c>
      <c r="P2252" s="28">
        <v>1.0</v>
      </c>
      <c r="Q2252" s="94">
        <v>1.0</v>
      </c>
      <c r="R2252" s="33"/>
      <c r="S2252" s="34"/>
      <c r="T2252" s="34"/>
      <c r="U2252" s="34"/>
      <c r="V2252" s="34"/>
      <c r="W2252" s="34"/>
      <c r="X2252" s="34"/>
      <c r="Y2252" s="3"/>
      <c r="Z2252" s="3"/>
      <c r="AA2252" s="3"/>
      <c r="AB2252" s="3"/>
      <c r="AC2252" s="3"/>
      <c r="AD2252" s="3"/>
      <c r="AE2252" s="3"/>
      <c r="AF2252" s="3"/>
      <c r="AG2252" s="3"/>
      <c r="AH2252" s="3"/>
      <c r="AI2252" s="3"/>
      <c r="AJ2252" s="3"/>
      <c r="AK2252" s="3"/>
      <c r="AL2252" s="3"/>
    </row>
    <row r="2253" ht="15.75" customHeight="1">
      <c r="A2253" s="27">
        <f t="shared" si="21"/>
        <v>1132</v>
      </c>
      <c r="B2253" s="28" t="s">
        <v>7679</v>
      </c>
      <c r="C2253" s="43" t="s">
        <v>7790</v>
      </c>
      <c r="D2253" s="30" t="s">
        <v>7791</v>
      </c>
      <c r="E2253" s="28" t="s">
        <v>31</v>
      </c>
      <c r="F2253" s="28" t="s">
        <v>29</v>
      </c>
      <c r="G2253" s="28" t="s">
        <v>30</v>
      </c>
      <c r="H2253" s="28"/>
      <c r="I2253" s="28" t="s">
        <v>30</v>
      </c>
      <c r="J2253" s="28">
        <v>245.0</v>
      </c>
      <c r="K2253" s="28"/>
      <c r="L2253" s="28" t="s">
        <v>7682</v>
      </c>
      <c r="M2253" s="28" t="s">
        <v>7683</v>
      </c>
      <c r="N2253" s="28">
        <v>2005.0</v>
      </c>
      <c r="O2253" s="60">
        <v>14.0</v>
      </c>
      <c r="P2253" s="28">
        <v>1.0</v>
      </c>
      <c r="Q2253" s="94">
        <v>1.0</v>
      </c>
      <c r="R2253" s="33"/>
      <c r="S2253" s="34"/>
      <c r="T2253" s="34"/>
      <c r="U2253" s="34"/>
      <c r="V2253" s="34"/>
      <c r="W2253" s="34"/>
      <c r="X2253" s="34"/>
      <c r="Y2253" s="45"/>
      <c r="Z2253" s="45"/>
      <c r="AA2253" s="45"/>
      <c r="AB2253" s="45"/>
      <c r="AC2253" s="45"/>
      <c r="AD2253" s="45"/>
      <c r="AE2253" s="45"/>
      <c r="AF2253" s="45"/>
      <c r="AG2253" s="45"/>
      <c r="AH2253" s="45"/>
      <c r="AI2253" s="45"/>
      <c r="AJ2253" s="45"/>
      <c r="AK2253" s="45"/>
      <c r="AL2253" s="45"/>
    </row>
    <row r="2254" ht="15.75" customHeight="1">
      <c r="A2254" s="27">
        <f t="shared" si="21"/>
        <v>1133</v>
      </c>
      <c r="B2254" s="28" t="s">
        <v>7792</v>
      </c>
      <c r="C2254" s="43" t="s">
        <v>7793</v>
      </c>
      <c r="D2254" s="30" t="s">
        <v>7794</v>
      </c>
      <c r="E2254" s="28" t="s">
        <v>31</v>
      </c>
      <c r="F2254" s="28" t="s">
        <v>29</v>
      </c>
      <c r="G2254" s="28" t="s">
        <v>30</v>
      </c>
      <c r="H2254" s="28"/>
      <c r="I2254" s="28" t="s">
        <v>30</v>
      </c>
      <c r="J2254" s="28">
        <v>135.0</v>
      </c>
      <c r="K2254" s="28"/>
      <c r="L2254" s="28" t="s">
        <v>7795</v>
      </c>
      <c r="M2254" s="28" t="s">
        <v>151</v>
      </c>
      <c r="N2254" s="28">
        <v>2002.0</v>
      </c>
      <c r="O2254" s="60">
        <v>14.0</v>
      </c>
      <c r="P2254" s="28">
        <v>1.0</v>
      </c>
      <c r="Q2254" s="32">
        <v>1.0</v>
      </c>
      <c r="R2254" s="33"/>
      <c r="S2254" s="34"/>
      <c r="T2254" s="34"/>
      <c r="U2254" s="34"/>
      <c r="V2254" s="34"/>
      <c r="W2254" s="34"/>
      <c r="X2254" s="34"/>
      <c r="Y2254" s="45"/>
      <c r="Z2254" s="45"/>
      <c r="AA2254" s="45"/>
      <c r="AB2254" s="45"/>
      <c r="AC2254" s="45"/>
      <c r="AD2254" s="45"/>
      <c r="AE2254" s="45"/>
      <c r="AF2254" s="45"/>
      <c r="AG2254" s="45"/>
      <c r="AH2254" s="45"/>
      <c r="AI2254" s="45"/>
      <c r="AJ2254" s="45"/>
      <c r="AK2254" s="45"/>
      <c r="AL2254" s="45"/>
    </row>
    <row r="2255" ht="15.75" customHeight="1">
      <c r="A2255" s="27">
        <f t="shared" si="21"/>
        <v>1134</v>
      </c>
      <c r="B2255" s="28" t="s">
        <v>7796</v>
      </c>
      <c r="C2255" s="129" t="s">
        <v>7797</v>
      </c>
      <c r="D2255" s="30" t="s">
        <v>7798</v>
      </c>
      <c r="E2255" s="28" t="s">
        <v>302</v>
      </c>
      <c r="F2255" s="28" t="s">
        <v>29</v>
      </c>
      <c r="G2255" s="28" t="s">
        <v>166</v>
      </c>
      <c r="H2255" s="28"/>
      <c r="I2255" s="28" t="s">
        <v>7799</v>
      </c>
      <c r="J2255" s="60">
        <v>716.0</v>
      </c>
      <c r="K2255" s="28"/>
      <c r="L2255" s="28" t="s">
        <v>7800</v>
      </c>
      <c r="M2255" s="28" t="s">
        <v>169</v>
      </c>
      <c r="N2255" s="60">
        <v>2012.0</v>
      </c>
      <c r="O2255" s="28">
        <v>14.0</v>
      </c>
      <c r="P2255" s="60">
        <v>2.0</v>
      </c>
      <c r="Q2255" s="94">
        <v>2.0</v>
      </c>
      <c r="R2255" s="33"/>
      <c r="S2255" s="185"/>
      <c r="T2255" s="185"/>
      <c r="U2255" s="185"/>
      <c r="V2255" s="185"/>
      <c r="W2255" s="185"/>
      <c r="X2255" s="185"/>
      <c r="Y2255" s="45"/>
      <c r="Z2255" s="45"/>
      <c r="AA2255" s="45"/>
      <c r="AB2255" s="45"/>
      <c r="AC2255" s="45"/>
      <c r="AD2255" s="45"/>
      <c r="AE2255" s="45"/>
      <c r="AF2255" s="45"/>
      <c r="AG2255" s="45"/>
      <c r="AH2255" s="45"/>
      <c r="AI2255" s="45"/>
      <c r="AJ2255" s="45"/>
      <c r="AK2255" s="45"/>
      <c r="AL2255" s="45"/>
    </row>
    <row r="2256" ht="15.75" customHeight="1">
      <c r="A2256" s="27">
        <f t="shared" si="21"/>
        <v>1135</v>
      </c>
      <c r="B2256" s="83"/>
      <c r="C2256" s="121" t="s">
        <v>7801</v>
      </c>
      <c r="D2256" s="84" t="s">
        <v>7802</v>
      </c>
      <c r="E2256" s="83"/>
      <c r="F2256" s="121" t="s">
        <v>29</v>
      </c>
      <c r="G2256" s="121" t="s">
        <v>7803</v>
      </c>
      <c r="H2256" s="83"/>
      <c r="I2256" s="121" t="s">
        <v>38</v>
      </c>
      <c r="J2256" s="121">
        <v>294.0</v>
      </c>
      <c r="K2256" s="83"/>
      <c r="L2256" s="121" t="s">
        <v>7804</v>
      </c>
      <c r="M2256" s="83"/>
      <c r="N2256" s="121">
        <v>1964.0</v>
      </c>
      <c r="O2256" s="28">
        <v>14.0</v>
      </c>
      <c r="P2256" s="121">
        <v>1.0</v>
      </c>
      <c r="Q2256" s="121">
        <v>1.0</v>
      </c>
      <c r="R2256" s="84"/>
      <c r="S2256" s="34"/>
      <c r="T2256" s="34"/>
      <c r="U2256" s="34"/>
      <c r="V2256" s="34"/>
      <c r="W2256" s="34"/>
      <c r="X2256" s="34"/>
      <c r="Y2256" s="45"/>
      <c r="Z2256" s="45"/>
      <c r="AA2256" s="45"/>
      <c r="AB2256" s="45"/>
      <c r="AC2256" s="45"/>
      <c r="AD2256" s="45"/>
      <c r="AE2256" s="45"/>
      <c r="AF2256" s="45"/>
      <c r="AG2256" s="45"/>
      <c r="AH2256" s="45"/>
      <c r="AI2256" s="45"/>
      <c r="AJ2256" s="45"/>
      <c r="AK2256" s="45"/>
      <c r="AL2256" s="45"/>
    </row>
    <row r="2257" ht="15.75" customHeight="1">
      <c r="A2257" s="27">
        <f t="shared" si="21"/>
        <v>1136</v>
      </c>
      <c r="B2257" s="28" t="s">
        <v>7805</v>
      </c>
      <c r="C2257" s="43" t="s">
        <v>7806</v>
      </c>
      <c r="D2257" s="30" t="s">
        <v>7807</v>
      </c>
      <c r="E2257" s="28"/>
      <c r="F2257" s="28" t="s">
        <v>29</v>
      </c>
      <c r="G2257" s="28" t="s">
        <v>38</v>
      </c>
      <c r="H2257" s="28"/>
      <c r="I2257" s="28" t="s">
        <v>38</v>
      </c>
      <c r="J2257" s="28">
        <v>370.0</v>
      </c>
      <c r="K2257" s="28"/>
      <c r="L2257" s="28" t="s">
        <v>7808</v>
      </c>
      <c r="M2257" s="28" t="s">
        <v>507</v>
      </c>
      <c r="N2257" s="28">
        <v>2003.0</v>
      </c>
      <c r="O2257" s="28">
        <v>14.0</v>
      </c>
      <c r="P2257" s="28">
        <v>1.0</v>
      </c>
      <c r="Q2257" s="94">
        <v>1.0</v>
      </c>
      <c r="R2257" s="33"/>
      <c r="S2257" s="34"/>
      <c r="T2257" s="34"/>
      <c r="U2257" s="34"/>
      <c r="V2257" s="34"/>
      <c r="W2257" s="34"/>
      <c r="X2257" s="34"/>
      <c r="Y2257" s="45"/>
      <c r="Z2257" s="45"/>
      <c r="AA2257" s="45"/>
      <c r="AB2257" s="45"/>
      <c r="AC2257" s="45"/>
      <c r="AD2257" s="45"/>
      <c r="AE2257" s="45"/>
      <c r="AF2257" s="45"/>
      <c r="AG2257" s="45"/>
      <c r="AH2257" s="45"/>
      <c r="AI2257" s="45"/>
      <c r="AJ2257" s="45"/>
      <c r="AK2257" s="45"/>
      <c r="AL2257" s="45"/>
    </row>
    <row r="2258" ht="15.75" customHeight="1">
      <c r="A2258" s="27">
        <f t="shared" si="21"/>
        <v>1137</v>
      </c>
      <c r="B2258" s="28" t="s">
        <v>7809</v>
      </c>
      <c r="C2258" s="29" t="s">
        <v>7810</v>
      </c>
      <c r="D2258" s="39" t="s">
        <v>7811</v>
      </c>
      <c r="E2258" s="28" t="s">
        <v>3578</v>
      </c>
      <c r="F2258" s="77" t="s">
        <v>29</v>
      </c>
      <c r="G2258" s="28" t="s">
        <v>37</v>
      </c>
      <c r="H2258" s="28"/>
      <c r="I2258" s="77" t="s">
        <v>38</v>
      </c>
      <c r="J2258" s="28">
        <v>508.0</v>
      </c>
      <c r="K2258" s="28"/>
      <c r="L2258" s="28" t="s">
        <v>7812</v>
      </c>
      <c r="M2258" s="28" t="s">
        <v>2869</v>
      </c>
      <c r="N2258" s="28">
        <v>1996.0</v>
      </c>
      <c r="O2258" s="31" t="s">
        <v>205</v>
      </c>
      <c r="P2258" s="28">
        <v>1.0</v>
      </c>
      <c r="Q2258" s="32">
        <v>1.0</v>
      </c>
      <c r="R2258" s="33"/>
      <c r="S2258" s="34"/>
      <c r="T2258" s="34"/>
      <c r="U2258" s="34"/>
      <c r="V2258" s="34"/>
      <c r="W2258" s="34"/>
      <c r="X2258" s="34"/>
      <c r="Y2258" s="45"/>
      <c r="Z2258" s="45"/>
      <c r="AA2258" s="45"/>
      <c r="AB2258" s="45"/>
      <c r="AC2258" s="45"/>
      <c r="AD2258" s="45"/>
      <c r="AE2258" s="45"/>
      <c r="AF2258" s="45"/>
      <c r="AG2258" s="45"/>
      <c r="AH2258" s="45"/>
      <c r="AI2258" s="45"/>
      <c r="AJ2258" s="45"/>
      <c r="AK2258" s="45"/>
      <c r="AL2258" s="45"/>
    </row>
    <row r="2259" ht="15.75" customHeight="1">
      <c r="A2259" s="27">
        <f t="shared" si="21"/>
        <v>1138</v>
      </c>
      <c r="B2259" s="28" t="s">
        <v>7813</v>
      </c>
      <c r="C2259" s="43" t="s">
        <v>7814</v>
      </c>
      <c r="D2259" s="30" t="s">
        <v>7815</v>
      </c>
      <c r="E2259" s="28" t="s">
        <v>144</v>
      </c>
      <c r="F2259" s="28" t="s">
        <v>29</v>
      </c>
      <c r="G2259" s="28" t="s">
        <v>7816</v>
      </c>
      <c r="H2259" s="28"/>
      <c r="I2259" s="28" t="s">
        <v>38</v>
      </c>
      <c r="J2259" s="28">
        <v>103.0</v>
      </c>
      <c r="K2259" s="28"/>
      <c r="L2259" s="28" t="s">
        <v>31</v>
      </c>
      <c r="M2259" s="28" t="s">
        <v>7817</v>
      </c>
      <c r="N2259" s="28">
        <v>1988.0</v>
      </c>
      <c r="O2259" s="28">
        <v>14.0</v>
      </c>
      <c r="P2259" s="28">
        <v>1.0</v>
      </c>
      <c r="Q2259" s="32">
        <v>1.0</v>
      </c>
      <c r="R2259" s="33"/>
      <c r="S2259" s="34"/>
      <c r="T2259" s="34"/>
      <c r="U2259" s="34"/>
      <c r="V2259" s="34"/>
      <c r="W2259" s="34"/>
      <c r="X2259" s="34"/>
      <c r="Y2259" s="45"/>
      <c r="Z2259" s="45"/>
      <c r="AA2259" s="45"/>
      <c r="AB2259" s="45"/>
      <c r="AC2259" s="45"/>
      <c r="AD2259" s="45"/>
      <c r="AE2259" s="45"/>
      <c r="AF2259" s="45"/>
      <c r="AG2259" s="45"/>
      <c r="AH2259" s="45"/>
      <c r="AI2259" s="45"/>
      <c r="AJ2259" s="45"/>
      <c r="AK2259" s="45"/>
      <c r="AL2259" s="45"/>
    </row>
    <row r="2260" ht="15.75" customHeight="1">
      <c r="A2260" s="27">
        <f t="shared" si="21"/>
        <v>1139</v>
      </c>
      <c r="B2260" s="28"/>
      <c r="C2260" s="43" t="s">
        <v>7818</v>
      </c>
      <c r="D2260" s="30" t="s">
        <v>7819</v>
      </c>
      <c r="E2260" s="28" t="s">
        <v>144</v>
      </c>
      <c r="F2260" s="28" t="s">
        <v>29</v>
      </c>
      <c r="G2260" s="28"/>
      <c r="H2260" s="28"/>
      <c r="I2260" s="28" t="s">
        <v>38</v>
      </c>
      <c r="J2260" s="28">
        <f>515</f>
        <v>515</v>
      </c>
      <c r="K2260" s="28"/>
      <c r="L2260" s="28" t="s">
        <v>7820</v>
      </c>
      <c r="M2260" s="28" t="s">
        <v>7821</v>
      </c>
      <c r="N2260" s="28">
        <v>1882.0</v>
      </c>
      <c r="O2260" s="28">
        <v>14.0</v>
      </c>
      <c r="P2260" s="28">
        <v>1.0</v>
      </c>
      <c r="Q2260" s="32">
        <v>1.0</v>
      </c>
      <c r="R2260" s="33"/>
      <c r="S2260" s="34"/>
      <c r="T2260" s="34"/>
      <c r="U2260" s="34"/>
      <c r="V2260" s="34"/>
      <c r="W2260" s="34"/>
      <c r="X2260" s="34"/>
      <c r="Y2260" s="3"/>
      <c r="Z2260" s="3"/>
      <c r="AA2260" s="3"/>
      <c r="AB2260" s="3"/>
      <c r="AC2260" s="3"/>
      <c r="AD2260" s="3"/>
      <c r="AE2260" s="3"/>
      <c r="AF2260" s="3"/>
      <c r="AG2260" s="3"/>
      <c r="AH2260" s="3"/>
      <c r="AI2260" s="3"/>
      <c r="AJ2260" s="3"/>
      <c r="AK2260" s="3"/>
      <c r="AL2260" s="3"/>
    </row>
    <row r="2261" ht="15.75" customHeight="1">
      <c r="A2261" s="27">
        <f t="shared" si="21"/>
        <v>1140</v>
      </c>
      <c r="B2261" s="28" t="s">
        <v>7822</v>
      </c>
      <c r="C2261" s="43" t="s">
        <v>7823</v>
      </c>
      <c r="D2261" s="30" t="s">
        <v>7824</v>
      </c>
      <c r="E2261" s="28" t="s">
        <v>31</v>
      </c>
      <c r="F2261" s="28" t="s">
        <v>29</v>
      </c>
      <c r="G2261" s="28" t="s">
        <v>30</v>
      </c>
      <c r="H2261" s="28"/>
      <c r="I2261" s="28" t="s">
        <v>30</v>
      </c>
      <c r="J2261" s="28">
        <v>197.0</v>
      </c>
      <c r="K2261" s="28"/>
      <c r="L2261" s="28" t="s">
        <v>7825</v>
      </c>
      <c r="M2261" s="28" t="s">
        <v>7826</v>
      </c>
      <c r="N2261" s="28">
        <v>1996.0</v>
      </c>
      <c r="O2261" s="28">
        <v>13.0</v>
      </c>
      <c r="P2261" s="28">
        <v>1.0</v>
      </c>
      <c r="Q2261" s="32">
        <v>1.0</v>
      </c>
      <c r="R2261" s="33"/>
      <c r="S2261" s="34"/>
      <c r="T2261" s="34"/>
      <c r="U2261" s="34"/>
      <c r="V2261" s="34"/>
      <c r="W2261" s="34"/>
      <c r="X2261" s="34"/>
      <c r="Y2261" s="45"/>
      <c r="Z2261" s="45"/>
      <c r="AA2261" s="45"/>
      <c r="AB2261" s="45"/>
      <c r="AC2261" s="45"/>
      <c r="AD2261" s="45"/>
      <c r="AE2261" s="45"/>
      <c r="AF2261" s="45"/>
      <c r="AG2261" s="45"/>
      <c r="AH2261" s="45"/>
      <c r="AI2261" s="45"/>
      <c r="AJ2261" s="45"/>
      <c r="AK2261" s="45"/>
      <c r="AL2261" s="45"/>
    </row>
    <row r="2262" ht="15.75" customHeight="1">
      <c r="A2262" s="27">
        <f t="shared" si="21"/>
        <v>1141</v>
      </c>
      <c r="B2262" s="28" t="s">
        <v>31</v>
      </c>
      <c r="C2262" s="43" t="s">
        <v>7827</v>
      </c>
      <c r="D2262" s="30" t="s">
        <v>7828</v>
      </c>
      <c r="E2262" s="28" t="s">
        <v>144</v>
      </c>
      <c r="F2262" s="28" t="s">
        <v>29</v>
      </c>
      <c r="G2262" s="28" t="s">
        <v>37</v>
      </c>
      <c r="H2262" s="28"/>
      <c r="I2262" s="28" t="s">
        <v>38</v>
      </c>
      <c r="J2262" s="28">
        <f>326</f>
        <v>326</v>
      </c>
      <c r="K2262" s="28"/>
      <c r="L2262" s="28" t="s">
        <v>7829</v>
      </c>
      <c r="M2262" s="28" t="s">
        <v>2194</v>
      </c>
      <c r="N2262" s="28">
        <v>1957.0</v>
      </c>
      <c r="O2262" s="28">
        <v>13.0</v>
      </c>
      <c r="P2262" s="28">
        <v>1.0</v>
      </c>
      <c r="Q2262" s="32">
        <v>1.0</v>
      </c>
      <c r="R2262" s="33"/>
      <c r="S2262" s="34"/>
      <c r="T2262" s="34"/>
      <c r="U2262" s="34"/>
      <c r="V2262" s="34"/>
      <c r="W2262" s="34"/>
      <c r="X2262" s="34"/>
      <c r="Y2262" s="45"/>
      <c r="Z2262" s="45"/>
      <c r="AA2262" s="45"/>
      <c r="AB2262" s="45"/>
      <c r="AC2262" s="45"/>
      <c r="AD2262" s="45"/>
      <c r="AE2262" s="45"/>
      <c r="AF2262" s="45"/>
      <c r="AG2262" s="45"/>
      <c r="AH2262" s="45"/>
      <c r="AI2262" s="45"/>
      <c r="AJ2262" s="45"/>
      <c r="AK2262" s="45"/>
      <c r="AL2262" s="45"/>
    </row>
    <row r="2263" ht="15.75" customHeight="1">
      <c r="A2263" s="27">
        <f t="shared" si="21"/>
        <v>1142</v>
      </c>
      <c r="B2263" s="28"/>
      <c r="C2263" s="43" t="s">
        <v>7830</v>
      </c>
      <c r="D2263" s="30" t="s">
        <v>7831</v>
      </c>
      <c r="E2263" s="28" t="s">
        <v>31</v>
      </c>
      <c r="F2263" s="28" t="s">
        <v>29</v>
      </c>
      <c r="G2263" s="28" t="s">
        <v>30</v>
      </c>
      <c r="H2263" s="28"/>
      <c r="I2263" s="28" t="s">
        <v>30</v>
      </c>
      <c r="J2263" s="28">
        <v>127.0</v>
      </c>
      <c r="K2263" s="28"/>
      <c r="L2263" s="28" t="s">
        <v>7832</v>
      </c>
      <c r="M2263" s="28" t="s">
        <v>151</v>
      </c>
      <c r="N2263" s="28">
        <v>1976.0</v>
      </c>
      <c r="O2263" s="121">
        <v>13.0</v>
      </c>
      <c r="P2263" s="28">
        <v>1.0</v>
      </c>
      <c r="Q2263" s="32">
        <v>1.0</v>
      </c>
      <c r="R2263" s="33"/>
      <c r="S2263" s="34"/>
      <c r="T2263" s="34"/>
      <c r="U2263" s="34"/>
      <c r="V2263" s="34"/>
      <c r="W2263" s="34"/>
      <c r="X2263" s="34"/>
      <c r="Y2263" s="3"/>
      <c r="Z2263" s="3"/>
      <c r="AA2263" s="3"/>
      <c r="AB2263" s="3"/>
      <c r="AC2263" s="3"/>
      <c r="AD2263" s="3"/>
      <c r="AE2263" s="3"/>
      <c r="AF2263" s="3"/>
      <c r="AG2263" s="3"/>
      <c r="AH2263" s="3"/>
      <c r="AI2263" s="3"/>
      <c r="AJ2263" s="3"/>
      <c r="AK2263" s="3"/>
      <c r="AL2263" s="3"/>
    </row>
    <row r="2264" ht="15.75" customHeight="1">
      <c r="A2264" s="27">
        <f t="shared" si="21"/>
        <v>1143</v>
      </c>
      <c r="B2264" s="28" t="s">
        <v>31</v>
      </c>
      <c r="C2264" s="43" t="s">
        <v>7833</v>
      </c>
      <c r="D2264" s="30" t="s">
        <v>7834</v>
      </c>
      <c r="E2264" s="28"/>
      <c r="F2264" s="28" t="s">
        <v>29</v>
      </c>
      <c r="G2264" s="28" t="s">
        <v>30</v>
      </c>
      <c r="H2264" s="28" t="s">
        <v>31</v>
      </c>
      <c r="I2264" s="28" t="s">
        <v>30</v>
      </c>
      <c r="J2264" s="28">
        <v>328.0</v>
      </c>
      <c r="K2264" s="28"/>
      <c r="L2264" s="28" t="s">
        <v>7835</v>
      </c>
      <c r="M2264" s="28" t="s">
        <v>4126</v>
      </c>
      <c r="N2264" s="28">
        <v>1992.0</v>
      </c>
      <c r="O2264" s="121">
        <v>13.0</v>
      </c>
      <c r="P2264" s="28">
        <v>1.0</v>
      </c>
      <c r="Q2264" s="32">
        <v>1.0</v>
      </c>
      <c r="R2264" s="33"/>
      <c r="S2264" s="34"/>
      <c r="T2264" s="34"/>
      <c r="U2264" s="34"/>
      <c r="V2264" s="34"/>
      <c r="W2264" s="34"/>
      <c r="X2264" s="34"/>
      <c r="Y2264" s="45"/>
      <c r="Z2264" s="45"/>
      <c r="AA2264" s="45"/>
      <c r="AB2264" s="45"/>
      <c r="AC2264" s="45"/>
      <c r="AD2264" s="45"/>
      <c r="AE2264" s="45"/>
      <c r="AF2264" s="45"/>
      <c r="AG2264" s="45"/>
      <c r="AH2264" s="45"/>
      <c r="AI2264" s="45"/>
      <c r="AJ2264" s="45"/>
      <c r="AK2264" s="45"/>
      <c r="AL2264" s="45"/>
    </row>
    <row r="2265" ht="15.75" customHeight="1">
      <c r="A2265" s="27">
        <f t="shared" si="21"/>
        <v>1144</v>
      </c>
      <c r="B2265" s="83"/>
      <c r="C2265" s="121" t="s">
        <v>7836</v>
      </c>
      <c r="D2265" s="184" t="s">
        <v>7837</v>
      </c>
      <c r="E2265" s="83"/>
      <c r="F2265" s="121" t="s">
        <v>29</v>
      </c>
      <c r="G2265" s="121" t="s">
        <v>30</v>
      </c>
      <c r="H2265" s="83"/>
      <c r="I2265" s="121" t="s">
        <v>30</v>
      </c>
      <c r="J2265" s="121">
        <v>502.0</v>
      </c>
      <c r="K2265" s="83"/>
      <c r="L2265" s="174" t="s">
        <v>7838</v>
      </c>
      <c r="M2265" s="83"/>
      <c r="N2265" s="121">
        <v>2018.0</v>
      </c>
      <c r="O2265" s="121">
        <v>13.0</v>
      </c>
      <c r="P2265" s="121">
        <v>1.0</v>
      </c>
      <c r="Q2265" s="121">
        <v>1.0</v>
      </c>
      <c r="R2265" s="84"/>
      <c r="S2265" s="40"/>
      <c r="T2265" s="40"/>
      <c r="U2265" s="40"/>
      <c r="V2265" s="40"/>
      <c r="W2265" s="40"/>
      <c r="X2265" s="40"/>
      <c r="Y2265" s="45"/>
      <c r="Z2265" s="45"/>
      <c r="AA2265" s="45"/>
      <c r="AB2265" s="45"/>
      <c r="AC2265" s="45"/>
      <c r="AD2265" s="45"/>
      <c r="AE2265" s="45"/>
      <c r="AF2265" s="45"/>
      <c r="AG2265" s="45"/>
      <c r="AH2265" s="45"/>
      <c r="AI2265" s="45"/>
      <c r="AJ2265" s="45"/>
      <c r="AK2265" s="45"/>
      <c r="AL2265" s="45"/>
    </row>
    <row r="2266" ht="15.75" customHeight="1">
      <c r="A2266" s="27">
        <f t="shared" si="21"/>
        <v>1145</v>
      </c>
      <c r="B2266" s="28" t="s">
        <v>7839</v>
      </c>
      <c r="C2266" s="43" t="s">
        <v>7840</v>
      </c>
      <c r="D2266" s="30" t="s">
        <v>7841</v>
      </c>
      <c r="E2266" s="28" t="s">
        <v>31</v>
      </c>
      <c r="F2266" s="28" t="s">
        <v>29</v>
      </c>
      <c r="G2266" s="28" t="s">
        <v>37</v>
      </c>
      <c r="H2266" s="28"/>
      <c r="I2266" s="28" t="s">
        <v>38</v>
      </c>
      <c r="J2266" s="28">
        <v>156.0</v>
      </c>
      <c r="K2266" s="28"/>
      <c r="L2266" s="28" t="s">
        <v>7842</v>
      </c>
      <c r="M2266" s="28" t="s">
        <v>7843</v>
      </c>
      <c r="N2266" s="28">
        <v>1988.0</v>
      </c>
      <c r="O2266" s="121">
        <v>13.0</v>
      </c>
      <c r="P2266" s="28">
        <v>1.0</v>
      </c>
      <c r="Q2266" s="32">
        <v>1.0</v>
      </c>
      <c r="R2266" s="33"/>
      <c r="S2266" s="116"/>
      <c r="T2266" s="116"/>
      <c r="U2266" s="116"/>
      <c r="V2266" s="116"/>
      <c r="W2266" s="116"/>
      <c r="X2266" s="116"/>
      <c r="Y2266" s="45"/>
      <c r="Z2266" s="45"/>
      <c r="AA2266" s="45"/>
      <c r="AB2266" s="45"/>
      <c r="AC2266" s="45"/>
      <c r="AD2266" s="45"/>
      <c r="AE2266" s="45"/>
      <c r="AF2266" s="45"/>
      <c r="AG2266" s="45"/>
      <c r="AH2266" s="45"/>
      <c r="AI2266" s="45"/>
      <c r="AJ2266" s="45"/>
      <c r="AK2266" s="45"/>
      <c r="AL2266" s="45"/>
    </row>
    <row r="2267" ht="15.75" customHeight="1">
      <c r="A2267" s="27">
        <f t="shared" si="21"/>
        <v>1146</v>
      </c>
      <c r="B2267" s="28" t="s">
        <v>7844</v>
      </c>
      <c r="C2267" s="43" t="s">
        <v>7845</v>
      </c>
      <c r="D2267" s="30" t="s">
        <v>7846</v>
      </c>
      <c r="E2267" s="28" t="s">
        <v>31</v>
      </c>
      <c r="F2267" s="28" t="s">
        <v>29</v>
      </c>
      <c r="G2267" s="28" t="s">
        <v>30</v>
      </c>
      <c r="H2267" s="28"/>
      <c r="I2267" s="28" t="s">
        <v>30</v>
      </c>
      <c r="J2267" s="28">
        <v>140.0</v>
      </c>
      <c r="K2267" s="28"/>
      <c r="L2267" s="28" t="s">
        <v>7847</v>
      </c>
      <c r="M2267" s="28" t="s">
        <v>4166</v>
      </c>
      <c r="N2267" s="28">
        <v>2011.0</v>
      </c>
      <c r="O2267" s="121">
        <v>13.0</v>
      </c>
      <c r="P2267" s="28">
        <v>1.0</v>
      </c>
      <c r="Q2267" s="32">
        <v>1.0</v>
      </c>
      <c r="R2267" s="33"/>
      <c r="S2267" s="34"/>
      <c r="T2267" s="34"/>
      <c r="U2267" s="34"/>
      <c r="V2267" s="34"/>
      <c r="W2267" s="34"/>
      <c r="X2267" s="34"/>
      <c r="Y2267" s="45"/>
      <c r="Z2267" s="45"/>
      <c r="AA2267" s="45"/>
      <c r="AB2267" s="45"/>
      <c r="AC2267" s="45"/>
      <c r="AD2267" s="45"/>
      <c r="AE2267" s="45"/>
      <c r="AF2267" s="45"/>
      <c r="AG2267" s="45"/>
      <c r="AH2267" s="45"/>
      <c r="AI2267" s="45"/>
      <c r="AJ2267" s="45"/>
      <c r="AK2267" s="45"/>
      <c r="AL2267" s="45"/>
    </row>
    <row r="2268" ht="15.75" customHeight="1">
      <c r="A2268" s="27">
        <f t="shared" si="21"/>
        <v>1147</v>
      </c>
      <c r="B2268" s="28" t="s">
        <v>7848</v>
      </c>
      <c r="C2268" s="43" t="s">
        <v>7849</v>
      </c>
      <c r="D2268" s="30" t="s">
        <v>7850</v>
      </c>
      <c r="E2268" s="28" t="s">
        <v>31</v>
      </c>
      <c r="F2268" s="28" t="s">
        <v>29</v>
      </c>
      <c r="G2268" s="28" t="s">
        <v>30</v>
      </c>
      <c r="H2268" s="28"/>
      <c r="I2268" s="28" t="s">
        <v>30</v>
      </c>
      <c r="J2268" s="28">
        <v>229.0</v>
      </c>
      <c r="K2268" s="28"/>
      <c r="L2268" s="28" t="s">
        <v>7851</v>
      </c>
      <c r="M2268" s="28" t="s">
        <v>151</v>
      </c>
      <c r="N2268" s="28">
        <v>1990.0</v>
      </c>
      <c r="O2268" s="121">
        <v>13.0</v>
      </c>
      <c r="P2268" s="28">
        <v>1.0</v>
      </c>
      <c r="Q2268" s="32">
        <v>1.0</v>
      </c>
      <c r="R2268" s="33"/>
      <c r="S2268" s="34"/>
      <c r="T2268" s="34"/>
      <c r="U2268" s="34"/>
      <c r="V2268" s="34"/>
      <c r="W2268" s="34"/>
      <c r="X2268" s="34"/>
      <c r="Y2268" s="45"/>
      <c r="Z2268" s="45"/>
      <c r="AA2268" s="45"/>
      <c r="AB2268" s="45"/>
      <c r="AC2268" s="45"/>
      <c r="AD2268" s="45"/>
      <c r="AE2268" s="45"/>
      <c r="AF2268" s="45"/>
      <c r="AG2268" s="45"/>
      <c r="AH2268" s="45"/>
      <c r="AI2268" s="45"/>
      <c r="AJ2268" s="45"/>
      <c r="AK2268" s="45"/>
      <c r="AL2268" s="45"/>
    </row>
    <row r="2269" ht="15.75" customHeight="1">
      <c r="A2269" s="27">
        <f t="shared" si="21"/>
        <v>1148</v>
      </c>
      <c r="B2269" s="28" t="s">
        <v>7852</v>
      </c>
      <c r="C2269" s="43" t="s">
        <v>7853</v>
      </c>
      <c r="D2269" s="30" t="s">
        <v>7854</v>
      </c>
      <c r="E2269" s="28" t="s">
        <v>144</v>
      </c>
      <c r="F2269" s="28" t="s">
        <v>29</v>
      </c>
      <c r="G2269" s="28" t="s">
        <v>30</v>
      </c>
      <c r="H2269" s="28"/>
      <c r="I2269" s="28" t="s">
        <v>30</v>
      </c>
      <c r="J2269" s="28">
        <v>344.0</v>
      </c>
      <c r="K2269" s="28"/>
      <c r="L2269" s="28" t="s">
        <v>7855</v>
      </c>
      <c r="M2269" s="28" t="s">
        <v>7856</v>
      </c>
      <c r="N2269" s="28">
        <v>2006.0</v>
      </c>
      <c r="O2269" s="121">
        <v>13.0</v>
      </c>
      <c r="P2269" s="28">
        <v>1.0</v>
      </c>
      <c r="Q2269" s="32">
        <v>1.0</v>
      </c>
      <c r="R2269" s="33"/>
      <c r="S2269" s="34"/>
      <c r="T2269" s="34"/>
      <c r="U2269" s="34"/>
      <c r="V2269" s="34"/>
      <c r="W2269" s="34"/>
      <c r="X2269" s="34"/>
      <c r="Y2269" s="45"/>
      <c r="Z2269" s="45"/>
      <c r="AA2269" s="45"/>
      <c r="AB2269" s="45"/>
      <c r="AC2269" s="45"/>
      <c r="AD2269" s="45"/>
      <c r="AE2269" s="45"/>
      <c r="AF2269" s="45"/>
      <c r="AG2269" s="45"/>
      <c r="AH2269" s="45"/>
      <c r="AI2269" s="45"/>
      <c r="AJ2269" s="45"/>
      <c r="AK2269" s="45"/>
      <c r="AL2269" s="45"/>
    </row>
    <row r="2270" ht="15.75" customHeight="1">
      <c r="A2270" s="27">
        <f t="shared" si="21"/>
        <v>1149</v>
      </c>
      <c r="B2270" s="28" t="s">
        <v>31</v>
      </c>
      <c r="C2270" s="43" t="s">
        <v>7857</v>
      </c>
      <c r="D2270" s="30" t="s">
        <v>7858</v>
      </c>
      <c r="E2270" s="28" t="s">
        <v>31</v>
      </c>
      <c r="F2270" s="28" t="s">
        <v>29</v>
      </c>
      <c r="G2270" s="28" t="s">
        <v>30</v>
      </c>
      <c r="H2270" s="28"/>
      <c r="I2270" s="28" t="s">
        <v>30</v>
      </c>
      <c r="J2270" s="28">
        <v>79.0</v>
      </c>
      <c r="K2270" s="28"/>
      <c r="L2270" s="28" t="s">
        <v>3453</v>
      </c>
      <c r="M2270" s="28" t="s">
        <v>151</v>
      </c>
      <c r="N2270" s="28">
        <v>1982.0</v>
      </c>
      <c r="O2270" s="121">
        <v>13.0</v>
      </c>
      <c r="P2270" s="28">
        <v>1.0</v>
      </c>
      <c r="Q2270" s="32">
        <v>1.0</v>
      </c>
      <c r="R2270" s="33"/>
      <c r="S2270" s="34"/>
      <c r="T2270" s="34"/>
      <c r="U2270" s="34"/>
      <c r="V2270" s="34"/>
      <c r="W2270" s="34"/>
      <c r="X2270" s="34"/>
      <c r="Y2270" s="45"/>
      <c r="Z2270" s="45"/>
      <c r="AA2270" s="45"/>
      <c r="AB2270" s="45"/>
      <c r="AC2270" s="45"/>
      <c r="AD2270" s="45"/>
      <c r="AE2270" s="45"/>
      <c r="AF2270" s="45"/>
      <c r="AG2270" s="45"/>
      <c r="AH2270" s="45"/>
      <c r="AI2270" s="45"/>
      <c r="AJ2270" s="45"/>
      <c r="AK2270" s="45"/>
      <c r="AL2270" s="45"/>
    </row>
    <row r="2271" ht="15.75" customHeight="1">
      <c r="A2271" s="27">
        <f t="shared" si="21"/>
        <v>1150</v>
      </c>
      <c r="B2271" s="28" t="s">
        <v>7859</v>
      </c>
      <c r="C2271" s="43" t="s">
        <v>7860</v>
      </c>
      <c r="D2271" s="30" t="s">
        <v>7861</v>
      </c>
      <c r="E2271" s="28" t="s">
        <v>31</v>
      </c>
      <c r="F2271" s="28" t="s">
        <v>29</v>
      </c>
      <c r="G2271" s="28" t="s">
        <v>30</v>
      </c>
      <c r="H2271" s="28"/>
      <c r="I2271" s="28" t="s">
        <v>30</v>
      </c>
      <c r="J2271" s="28">
        <v>128.0</v>
      </c>
      <c r="K2271" s="28"/>
      <c r="L2271" s="28" t="s">
        <v>7862</v>
      </c>
      <c r="M2271" s="28" t="s">
        <v>4877</v>
      </c>
      <c r="N2271" s="28">
        <v>2001.0</v>
      </c>
      <c r="O2271" s="121">
        <v>13.0</v>
      </c>
      <c r="P2271" s="28">
        <v>1.0</v>
      </c>
      <c r="Q2271" s="32">
        <v>1.0</v>
      </c>
      <c r="R2271" s="33"/>
      <c r="S2271" s="40"/>
      <c r="T2271" s="40"/>
      <c r="U2271" s="40"/>
      <c r="V2271" s="40"/>
      <c r="W2271" s="40"/>
      <c r="X2271" s="40"/>
      <c r="Y2271" s="45"/>
      <c r="Z2271" s="45"/>
      <c r="AA2271" s="45"/>
      <c r="AB2271" s="45"/>
      <c r="AC2271" s="45"/>
      <c r="AD2271" s="45"/>
      <c r="AE2271" s="45"/>
      <c r="AF2271" s="45"/>
      <c r="AG2271" s="45"/>
      <c r="AH2271" s="45"/>
      <c r="AI2271" s="45"/>
      <c r="AJ2271" s="45"/>
      <c r="AK2271" s="45"/>
      <c r="AL2271" s="45"/>
    </row>
    <row r="2272" ht="15.75" customHeight="1">
      <c r="A2272" s="27">
        <f t="shared" si="21"/>
        <v>1151</v>
      </c>
      <c r="B2272" s="28" t="s">
        <v>7863</v>
      </c>
      <c r="C2272" s="29" t="s">
        <v>7864</v>
      </c>
      <c r="D2272" s="30" t="s">
        <v>7865</v>
      </c>
      <c r="E2272" s="28" t="s">
        <v>7866</v>
      </c>
      <c r="F2272" s="28" t="s">
        <v>29</v>
      </c>
      <c r="G2272" s="28" t="s">
        <v>30</v>
      </c>
      <c r="H2272" s="28"/>
      <c r="I2272" s="28" t="s">
        <v>30</v>
      </c>
      <c r="J2272" s="28">
        <v>244.0</v>
      </c>
      <c r="K2272" s="28"/>
      <c r="L2272" s="28" t="s">
        <v>7867</v>
      </c>
      <c r="M2272" s="28" t="s">
        <v>5234</v>
      </c>
      <c r="N2272" s="28">
        <v>2001.0</v>
      </c>
      <c r="O2272" s="121">
        <v>13.0</v>
      </c>
      <c r="P2272" s="28">
        <v>1.0</v>
      </c>
      <c r="Q2272" s="94">
        <v>1.0</v>
      </c>
      <c r="R2272" s="33"/>
      <c r="S2272" s="185"/>
      <c r="T2272" s="185"/>
      <c r="U2272" s="185"/>
      <c r="V2272" s="185"/>
      <c r="W2272" s="185"/>
      <c r="X2272" s="185"/>
      <c r="Y2272" s="45"/>
      <c r="Z2272" s="45"/>
      <c r="AA2272" s="45"/>
      <c r="AB2272" s="45"/>
      <c r="AC2272" s="45"/>
      <c r="AD2272" s="45"/>
      <c r="AE2272" s="45"/>
      <c r="AF2272" s="45"/>
      <c r="AG2272" s="45"/>
      <c r="AH2272" s="45"/>
      <c r="AI2272" s="45"/>
      <c r="AJ2272" s="45"/>
      <c r="AK2272" s="45"/>
      <c r="AL2272" s="45"/>
    </row>
    <row r="2273" ht="15.75" customHeight="1">
      <c r="A2273" s="27">
        <f t="shared" si="21"/>
        <v>1152</v>
      </c>
      <c r="B2273" s="28" t="s">
        <v>7868</v>
      </c>
      <c r="C2273" s="43" t="s">
        <v>7869</v>
      </c>
      <c r="D2273" s="30" t="s">
        <v>7870</v>
      </c>
      <c r="E2273" s="28" t="s">
        <v>31</v>
      </c>
      <c r="F2273" s="28" t="s">
        <v>29</v>
      </c>
      <c r="G2273" s="28" t="s">
        <v>30</v>
      </c>
      <c r="H2273" s="28"/>
      <c r="I2273" s="28" t="s">
        <v>30</v>
      </c>
      <c r="J2273" s="28">
        <v>103.0</v>
      </c>
      <c r="K2273" s="28"/>
      <c r="L2273" s="28" t="s">
        <v>3453</v>
      </c>
      <c r="M2273" s="28" t="s">
        <v>151</v>
      </c>
      <c r="N2273" s="28">
        <v>2005.0</v>
      </c>
      <c r="O2273" s="121">
        <v>13.0</v>
      </c>
      <c r="P2273" s="28">
        <v>1.0</v>
      </c>
      <c r="Q2273" s="32">
        <v>1.0</v>
      </c>
      <c r="R2273" s="33"/>
      <c r="S2273" s="34"/>
      <c r="T2273" s="34"/>
      <c r="U2273" s="34"/>
      <c r="V2273" s="34"/>
      <c r="W2273" s="34"/>
      <c r="X2273" s="34"/>
      <c r="Y2273" s="45"/>
      <c r="Z2273" s="45"/>
      <c r="AA2273" s="45"/>
      <c r="AB2273" s="45"/>
      <c r="AC2273" s="45"/>
      <c r="AD2273" s="45"/>
      <c r="AE2273" s="45"/>
      <c r="AF2273" s="45"/>
      <c r="AG2273" s="45"/>
      <c r="AH2273" s="45"/>
      <c r="AI2273" s="45"/>
      <c r="AJ2273" s="45"/>
      <c r="AK2273" s="45"/>
      <c r="AL2273" s="45"/>
    </row>
    <row r="2274" ht="15.75" customHeight="1">
      <c r="A2274" s="27">
        <f t="shared" si="21"/>
        <v>1153</v>
      </c>
      <c r="B2274" s="28" t="s">
        <v>7871</v>
      </c>
      <c r="C2274" s="43" t="s">
        <v>7872</v>
      </c>
      <c r="D2274" s="30" t="s">
        <v>7873</v>
      </c>
      <c r="E2274" s="28" t="s">
        <v>31</v>
      </c>
      <c r="F2274" s="28" t="s">
        <v>29</v>
      </c>
      <c r="G2274" s="28" t="s">
        <v>30</v>
      </c>
      <c r="H2274" s="28"/>
      <c r="I2274" s="28" t="s">
        <v>30</v>
      </c>
      <c r="J2274" s="28">
        <v>97.0</v>
      </c>
      <c r="K2274" s="28"/>
      <c r="L2274" s="28" t="s">
        <v>3453</v>
      </c>
      <c r="M2274" s="28" t="s">
        <v>151</v>
      </c>
      <c r="N2274" s="28">
        <v>2005.0</v>
      </c>
      <c r="O2274" s="121">
        <v>13.0</v>
      </c>
      <c r="P2274" s="28">
        <v>1.0</v>
      </c>
      <c r="Q2274" s="32">
        <v>1.0</v>
      </c>
      <c r="R2274" s="33"/>
      <c r="S2274" s="34"/>
      <c r="T2274" s="34"/>
      <c r="U2274" s="34"/>
      <c r="V2274" s="34"/>
      <c r="W2274" s="34"/>
      <c r="X2274" s="34"/>
      <c r="Y2274" s="45"/>
      <c r="Z2274" s="45"/>
      <c r="AA2274" s="45"/>
      <c r="AB2274" s="45"/>
      <c r="AC2274" s="45"/>
      <c r="AD2274" s="45"/>
      <c r="AE2274" s="45"/>
      <c r="AF2274" s="45"/>
      <c r="AG2274" s="45"/>
      <c r="AH2274" s="45"/>
      <c r="AI2274" s="45"/>
      <c r="AJ2274" s="45"/>
      <c r="AK2274" s="45"/>
      <c r="AL2274" s="45"/>
    </row>
    <row r="2275" ht="15.75" customHeight="1">
      <c r="A2275" s="27">
        <f t="shared" si="21"/>
        <v>1154</v>
      </c>
      <c r="B2275" s="83"/>
      <c r="C2275" s="121" t="s">
        <v>7874</v>
      </c>
      <c r="D2275" s="83" t="s">
        <v>7875</v>
      </c>
      <c r="E2275" s="121" t="s">
        <v>144</v>
      </c>
      <c r="F2275" s="83" t="s">
        <v>29</v>
      </c>
      <c r="G2275" s="83" t="s">
        <v>30</v>
      </c>
      <c r="H2275" s="118"/>
      <c r="I2275" s="83" t="s">
        <v>30</v>
      </c>
      <c r="J2275" s="83">
        <v>420.0</v>
      </c>
      <c r="K2275" s="118"/>
      <c r="L2275" s="83" t="s">
        <v>7876</v>
      </c>
      <c r="M2275" s="118" t="s">
        <v>7877</v>
      </c>
      <c r="N2275" s="118">
        <v>1995.0</v>
      </c>
      <c r="O2275" s="121">
        <v>13.0</v>
      </c>
      <c r="P2275" s="119">
        <v>1.0</v>
      </c>
      <c r="Q2275" s="121">
        <v>1.0</v>
      </c>
      <c r="R2275" s="84"/>
      <c r="S2275" s="34"/>
      <c r="T2275" s="34"/>
      <c r="U2275" s="34"/>
      <c r="V2275" s="34"/>
      <c r="W2275" s="34"/>
      <c r="X2275" s="34"/>
      <c r="Y2275" s="45"/>
      <c r="Z2275" s="45"/>
      <c r="AA2275" s="45"/>
      <c r="AB2275" s="45"/>
      <c r="AC2275" s="45"/>
      <c r="AD2275" s="45"/>
      <c r="AE2275" s="45"/>
      <c r="AF2275" s="45"/>
      <c r="AG2275" s="45"/>
      <c r="AH2275" s="45"/>
      <c r="AI2275" s="45"/>
      <c r="AJ2275" s="45"/>
      <c r="AK2275" s="45"/>
      <c r="AL2275" s="45"/>
    </row>
    <row r="2276" ht="15.75" customHeight="1">
      <c r="A2276" s="27">
        <f t="shared" si="21"/>
        <v>1155</v>
      </c>
      <c r="B2276" s="28" t="s">
        <v>7878</v>
      </c>
      <c r="C2276" s="43" t="s">
        <v>7879</v>
      </c>
      <c r="D2276" s="30" t="s">
        <v>7880</v>
      </c>
      <c r="E2276" s="28" t="s">
        <v>144</v>
      </c>
      <c r="F2276" s="28" t="s">
        <v>29</v>
      </c>
      <c r="G2276" s="28" t="s">
        <v>30</v>
      </c>
      <c r="H2276" s="28"/>
      <c r="I2276" s="28" t="s">
        <v>30</v>
      </c>
      <c r="J2276" s="28">
        <v>269.0</v>
      </c>
      <c r="K2276" s="28"/>
      <c r="L2276" s="28" t="s">
        <v>7881</v>
      </c>
      <c r="M2276" s="28" t="s">
        <v>151</v>
      </c>
      <c r="N2276" s="28">
        <v>2005.0</v>
      </c>
      <c r="O2276" s="60">
        <v>13.0</v>
      </c>
      <c r="P2276" s="28">
        <v>1.0</v>
      </c>
      <c r="Q2276" s="32">
        <v>1.0</v>
      </c>
      <c r="R2276" s="33"/>
      <c r="S2276" s="40"/>
      <c r="T2276" s="40"/>
      <c r="U2276" s="40"/>
      <c r="V2276" s="40"/>
      <c r="W2276" s="40"/>
      <c r="X2276" s="40"/>
      <c r="Y2276" s="45"/>
      <c r="Z2276" s="45"/>
      <c r="AA2276" s="45"/>
      <c r="AB2276" s="45"/>
      <c r="AC2276" s="45"/>
      <c r="AD2276" s="45"/>
      <c r="AE2276" s="45"/>
      <c r="AF2276" s="45"/>
      <c r="AG2276" s="45"/>
      <c r="AH2276" s="45"/>
      <c r="AI2276" s="45"/>
      <c r="AJ2276" s="45"/>
      <c r="AK2276" s="45"/>
      <c r="AL2276" s="45"/>
    </row>
    <row r="2277" ht="15.75" hidden="1" customHeight="1">
      <c r="A2277" s="27">
        <f t="shared" si="21"/>
        <v>1156</v>
      </c>
      <c r="B2277" s="32" t="s">
        <v>5844</v>
      </c>
      <c r="C2277" s="206" t="s">
        <v>7882</v>
      </c>
      <c r="D2277" s="30" t="s">
        <v>7883</v>
      </c>
      <c r="E2277" s="60" t="s">
        <v>144</v>
      </c>
      <c r="F2277" s="28" t="s">
        <v>29</v>
      </c>
      <c r="G2277" s="28" t="s">
        <v>37</v>
      </c>
      <c r="H2277" s="28"/>
      <c r="I2277" s="28" t="s">
        <v>38</v>
      </c>
      <c r="J2277" s="28">
        <v>90.0</v>
      </c>
      <c r="K2277" s="28"/>
      <c r="L2277" s="28" t="s">
        <v>5847</v>
      </c>
      <c r="M2277" s="28" t="s">
        <v>2428</v>
      </c>
      <c r="N2277" s="28">
        <v>1981.0</v>
      </c>
      <c r="O2277" s="60" t="s">
        <v>0</v>
      </c>
      <c r="P2277" s="28">
        <v>1.0</v>
      </c>
      <c r="Q2277" s="94">
        <v>1.0</v>
      </c>
      <c r="R2277" s="33"/>
      <c r="S2277" s="40"/>
      <c r="T2277" s="40"/>
      <c r="U2277" s="40"/>
      <c r="V2277" s="40"/>
      <c r="W2277" s="40"/>
      <c r="X2277" s="40"/>
      <c r="Y2277" s="45"/>
      <c r="Z2277" s="45"/>
      <c r="AA2277" s="45"/>
      <c r="AB2277" s="45"/>
      <c r="AC2277" s="45"/>
      <c r="AD2277" s="45"/>
      <c r="AE2277" s="45"/>
      <c r="AF2277" s="45"/>
      <c r="AG2277" s="45"/>
      <c r="AH2277" s="45"/>
      <c r="AI2277" s="45"/>
      <c r="AJ2277" s="45"/>
      <c r="AK2277" s="45"/>
      <c r="AL2277" s="45"/>
    </row>
    <row r="2278" ht="15.75" customHeight="1">
      <c r="A2278" s="27">
        <f t="shared" si="21"/>
        <v>1157</v>
      </c>
      <c r="B2278" s="28" t="s">
        <v>7884</v>
      </c>
      <c r="C2278" s="43" t="s">
        <v>7885</v>
      </c>
      <c r="D2278" s="30" t="s">
        <v>7886</v>
      </c>
      <c r="E2278" s="28" t="s">
        <v>31</v>
      </c>
      <c r="F2278" s="28" t="s">
        <v>29</v>
      </c>
      <c r="G2278" s="28" t="s">
        <v>30</v>
      </c>
      <c r="H2278" s="28"/>
      <c r="I2278" s="28" t="s">
        <v>30</v>
      </c>
      <c r="J2278" s="28">
        <v>320.0</v>
      </c>
      <c r="K2278" s="28"/>
      <c r="L2278" s="28" t="s">
        <v>7887</v>
      </c>
      <c r="M2278" s="28" t="s">
        <v>169</v>
      </c>
      <c r="N2278" s="28">
        <v>2003.0</v>
      </c>
      <c r="O2278" s="60">
        <v>13.0</v>
      </c>
      <c r="P2278" s="28">
        <v>1.0</v>
      </c>
      <c r="Q2278" s="32">
        <v>1.0</v>
      </c>
      <c r="R2278" s="33"/>
      <c r="S2278" s="34"/>
      <c r="T2278" s="34"/>
      <c r="U2278" s="34"/>
      <c r="V2278" s="34"/>
      <c r="W2278" s="34"/>
      <c r="X2278" s="34"/>
      <c r="Y2278" s="3"/>
      <c r="Z2278" s="3"/>
      <c r="AA2278" s="3"/>
      <c r="AB2278" s="3"/>
      <c r="AC2278" s="3"/>
      <c r="AD2278" s="3"/>
      <c r="AE2278" s="3"/>
      <c r="AF2278" s="3"/>
      <c r="AG2278" s="3"/>
      <c r="AH2278" s="3"/>
      <c r="AI2278" s="3"/>
      <c r="AJ2278" s="3"/>
      <c r="AK2278" s="3"/>
      <c r="AL2278" s="3"/>
    </row>
    <row r="2279" ht="15.75" customHeight="1">
      <c r="A2279" s="27">
        <f t="shared" si="21"/>
        <v>1158</v>
      </c>
      <c r="B2279" s="28"/>
      <c r="C2279" s="43" t="s">
        <v>7888</v>
      </c>
      <c r="D2279" s="30" t="s">
        <v>7889</v>
      </c>
      <c r="E2279" s="28" t="s">
        <v>31</v>
      </c>
      <c r="F2279" s="28" t="s">
        <v>29</v>
      </c>
      <c r="G2279" s="28" t="s">
        <v>30</v>
      </c>
      <c r="H2279" s="28"/>
      <c r="I2279" s="28" t="s">
        <v>30</v>
      </c>
      <c r="J2279" s="28">
        <v>327.0</v>
      </c>
      <c r="K2279" s="28"/>
      <c r="L2279" s="28" t="s">
        <v>7890</v>
      </c>
      <c r="M2279" s="28" t="s">
        <v>7891</v>
      </c>
      <c r="N2279" s="28">
        <v>2001.0</v>
      </c>
      <c r="O2279" s="60">
        <v>13.0</v>
      </c>
      <c r="P2279" s="28">
        <v>1.0</v>
      </c>
      <c r="Q2279" s="32">
        <v>1.0</v>
      </c>
      <c r="R2279" s="33"/>
      <c r="S2279" s="34"/>
      <c r="T2279" s="34"/>
      <c r="U2279" s="34"/>
      <c r="V2279" s="34"/>
      <c r="W2279" s="34"/>
      <c r="X2279" s="34"/>
      <c r="Y2279" s="45"/>
      <c r="Z2279" s="45"/>
      <c r="AA2279" s="45"/>
      <c r="AB2279" s="45"/>
      <c r="AC2279" s="45"/>
      <c r="AD2279" s="45"/>
      <c r="AE2279" s="45"/>
      <c r="AF2279" s="45"/>
      <c r="AG2279" s="45"/>
      <c r="AH2279" s="45"/>
      <c r="AI2279" s="45"/>
      <c r="AJ2279" s="45"/>
      <c r="AK2279" s="45"/>
      <c r="AL2279" s="45"/>
    </row>
    <row r="2280" ht="15.75" customHeight="1">
      <c r="A2280" s="27">
        <f t="shared" si="21"/>
        <v>1159</v>
      </c>
      <c r="B2280" s="28" t="s">
        <v>7892</v>
      </c>
      <c r="C2280" s="43" t="s">
        <v>7893</v>
      </c>
      <c r="D2280" s="30" t="s">
        <v>7894</v>
      </c>
      <c r="E2280" s="28"/>
      <c r="F2280" s="28" t="s">
        <v>29</v>
      </c>
      <c r="G2280" s="28" t="s">
        <v>30</v>
      </c>
      <c r="H2280" s="28"/>
      <c r="I2280" s="28" t="s">
        <v>30</v>
      </c>
      <c r="J2280" s="28">
        <v>268.0</v>
      </c>
      <c r="K2280" s="28"/>
      <c r="L2280" s="28" t="s">
        <v>7895</v>
      </c>
      <c r="M2280" s="28" t="s">
        <v>151</v>
      </c>
      <c r="N2280" s="28">
        <v>2004.0</v>
      </c>
      <c r="O2280" s="60">
        <v>13.0</v>
      </c>
      <c r="P2280" s="28">
        <v>2.0</v>
      </c>
      <c r="Q2280" s="32">
        <v>2.0</v>
      </c>
      <c r="R2280" s="33"/>
      <c r="S2280" s="116"/>
      <c r="T2280" s="116"/>
      <c r="U2280" s="116"/>
      <c r="V2280" s="116"/>
      <c r="W2280" s="116"/>
      <c r="X2280" s="116"/>
      <c r="Y2280" s="45"/>
      <c r="Z2280" s="45"/>
      <c r="AA2280" s="45"/>
      <c r="AB2280" s="45"/>
      <c r="AC2280" s="45"/>
      <c r="AD2280" s="45"/>
      <c r="AE2280" s="45"/>
      <c r="AF2280" s="45"/>
      <c r="AG2280" s="45"/>
      <c r="AH2280" s="45"/>
      <c r="AI2280" s="45"/>
      <c r="AJ2280" s="45"/>
      <c r="AK2280" s="45"/>
      <c r="AL2280" s="45"/>
    </row>
    <row r="2281" ht="15.75" customHeight="1">
      <c r="A2281" s="27">
        <f t="shared" si="21"/>
        <v>1160</v>
      </c>
      <c r="B2281" s="28" t="s">
        <v>7892</v>
      </c>
      <c r="C2281" s="43" t="s">
        <v>7893</v>
      </c>
      <c r="D2281" s="30" t="s">
        <v>7894</v>
      </c>
      <c r="E2281" s="28" t="s">
        <v>31</v>
      </c>
      <c r="F2281" s="28" t="s">
        <v>29</v>
      </c>
      <c r="G2281" s="28" t="s">
        <v>30</v>
      </c>
      <c r="H2281" s="28"/>
      <c r="I2281" s="28" t="s">
        <v>30</v>
      </c>
      <c r="J2281" s="28">
        <v>276.0</v>
      </c>
      <c r="K2281" s="28"/>
      <c r="L2281" s="28" t="s">
        <v>7895</v>
      </c>
      <c r="M2281" s="28" t="s">
        <v>151</v>
      </c>
      <c r="N2281" s="28">
        <v>1988.0</v>
      </c>
      <c r="O2281" s="60">
        <v>13.0</v>
      </c>
      <c r="P2281" s="28">
        <v>1.0</v>
      </c>
      <c r="Q2281" s="94">
        <v>1.0</v>
      </c>
      <c r="R2281" s="33"/>
      <c r="S2281" s="185"/>
      <c r="T2281" s="185"/>
      <c r="U2281" s="185"/>
      <c r="V2281" s="185"/>
      <c r="W2281" s="185"/>
      <c r="X2281" s="185"/>
      <c r="Y2281" s="45"/>
      <c r="Z2281" s="45"/>
      <c r="AA2281" s="45"/>
      <c r="AB2281" s="45"/>
      <c r="AC2281" s="45"/>
      <c r="AD2281" s="45"/>
      <c r="AE2281" s="45"/>
      <c r="AF2281" s="45"/>
      <c r="AG2281" s="45"/>
      <c r="AH2281" s="45"/>
      <c r="AI2281" s="45"/>
      <c r="AJ2281" s="45"/>
      <c r="AK2281" s="45"/>
      <c r="AL2281" s="45"/>
    </row>
    <row r="2282" ht="15.75" customHeight="1">
      <c r="A2282" s="27">
        <f t="shared" si="21"/>
        <v>1161</v>
      </c>
      <c r="B2282" s="28"/>
      <c r="C2282" s="43" t="s">
        <v>7896</v>
      </c>
      <c r="D2282" s="30" t="s">
        <v>7880</v>
      </c>
      <c r="E2282" s="28" t="s">
        <v>31</v>
      </c>
      <c r="F2282" s="28" t="s">
        <v>29</v>
      </c>
      <c r="G2282" s="28" t="s">
        <v>30</v>
      </c>
      <c r="H2282" s="28"/>
      <c r="I2282" s="28" t="s">
        <v>30</v>
      </c>
      <c r="J2282" s="28">
        <v>310.0</v>
      </c>
      <c r="K2282" s="28"/>
      <c r="L2282" s="28" t="s">
        <v>7897</v>
      </c>
      <c r="M2282" s="28" t="s">
        <v>151</v>
      </c>
      <c r="N2282" s="28">
        <v>1979.0</v>
      </c>
      <c r="O2282" s="28">
        <v>13.0</v>
      </c>
      <c r="P2282" s="28">
        <v>2.0</v>
      </c>
      <c r="Q2282" s="32">
        <v>2.0</v>
      </c>
      <c r="R2282" s="33"/>
      <c r="S2282" s="185"/>
      <c r="T2282" s="185"/>
      <c r="U2282" s="185"/>
      <c r="V2282" s="185"/>
      <c r="W2282" s="185"/>
      <c r="X2282" s="185"/>
      <c r="Y2282" s="45"/>
      <c r="Z2282" s="45"/>
      <c r="AA2282" s="45"/>
      <c r="AB2282" s="45"/>
      <c r="AC2282" s="45"/>
      <c r="AD2282" s="45"/>
      <c r="AE2282" s="45"/>
      <c r="AF2282" s="45"/>
      <c r="AG2282" s="45"/>
      <c r="AH2282" s="45"/>
      <c r="AI2282" s="45"/>
      <c r="AJ2282" s="45"/>
      <c r="AK2282" s="45"/>
      <c r="AL2282" s="45"/>
    </row>
    <row r="2283" ht="15.75" customHeight="1">
      <c r="A2283" s="27">
        <f t="shared" si="21"/>
        <v>1162</v>
      </c>
      <c r="B2283" s="28"/>
      <c r="C2283" s="43" t="s">
        <v>7898</v>
      </c>
      <c r="D2283" s="30" t="s">
        <v>7899</v>
      </c>
      <c r="E2283" s="28" t="s">
        <v>144</v>
      </c>
      <c r="F2283" s="28" t="s">
        <v>29</v>
      </c>
      <c r="G2283" s="28" t="s">
        <v>38</v>
      </c>
      <c r="H2283" s="28"/>
      <c r="I2283" s="28" t="s">
        <v>38</v>
      </c>
      <c r="J2283" s="28">
        <f>378</f>
        <v>378</v>
      </c>
      <c r="K2283" s="28"/>
      <c r="L2283" s="28" t="s">
        <v>7900</v>
      </c>
      <c r="M2283" s="28" t="s">
        <v>7901</v>
      </c>
      <c r="N2283" s="28"/>
      <c r="O2283" s="28">
        <v>13.0</v>
      </c>
      <c r="P2283" s="28">
        <v>1.0</v>
      </c>
      <c r="Q2283" s="94">
        <v>1.0</v>
      </c>
      <c r="R2283" s="33"/>
      <c r="S2283" s="185"/>
      <c r="T2283" s="185"/>
      <c r="U2283" s="185"/>
      <c r="V2283" s="185"/>
      <c r="W2283" s="185"/>
      <c r="X2283" s="185"/>
      <c r="Y2283" s="3"/>
      <c r="Z2283" s="3"/>
      <c r="AA2283" s="3"/>
      <c r="AB2283" s="3"/>
      <c r="AC2283" s="3"/>
      <c r="AD2283" s="3"/>
      <c r="AE2283" s="3"/>
      <c r="AF2283" s="3"/>
      <c r="AG2283" s="3"/>
      <c r="AH2283" s="3"/>
      <c r="AI2283" s="3"/>
      <c r="AJ2283" s="3"/>
      <c r="AK2283" s="3"/>
      <c r="AL2283" s="3"/>
    </row>
    <row r="2284" ht="15.75" customHeight="1">
      <c r="A2284" s="27">
        <f t="shared" si="21"/>
        <v>1163</v>
      </c>
      <c r="B2284" s="28" t="s">
        <v>31</v>
      </c>
      <c r="C2284" s="43" t="s">
        <v>7902</v>
      </c>
      <c r="D2284" s="30" t="s">
        <v>7903</v>
      </c>
      <c r="E2284" s="28" t="s">
        <v>31</v>
      </c>
      <c r="F2284" s="28" t="s">
        <v>29</v>
      </c>
      <c r="G2284" s="28" t="s">
        <v>30</v>
      </c>
      <c r="H2284" s="28"/>
      <c r="I2284" s="28" t="s">
        <v>30</v>
      </c>
      <c r="J2284" s="28">
        <v>390.0</v>
      </c>
      <c r="K2284" s="28"/>
      <c r="L2284" s="28" t="s">
        <v>7904</v>
      </c>
      <c r="M2284" s="28" t="s">
        <v>151</v>
      </c>
      <c r="N2284" s="28">
        <v>1986.0</v>
      </c>
      <c r="O2284" s="121">
        <v>13.0</v>
      </c>
      <c r="P2284" s="28">
        <v>2.0</v>
      </c>
      <c r="Q2284" s="32">
        <v>2.0</v>
      </c>
      <c r="R2284" s="33"/>
      <c r="S2284" s="185"/>
      <c r="T2284" s="185"/>
      <c r="U2284" s="185"/>
      <c r="V2284" s="185"/>
      <c r="W2284" s="185"/>
      <c r="X2284" s="185"/>
      <c r="Y2284" s="45"/>
      <c r="Z2284" s="45"/>
      <c r="AA2284" s="45"/>
      <c r="AB2284" s="45"/>
      <c r="AC2284" s="45"/>
      <c r="AD2284" s="45"/>
      <c r="AE2284" s="45"/>
      <c r="AF2284" s="45"/>
      <c r="AG2284" s="45"/>
      <c r="AH2284" s="45"/>
      <c r="AI2284" s="45"/>
      <c r="AJ2284" s="45"/>
      <c r="AK2284" s="45"/>
      <c r="AL2284" s="45"/>
    </row>
    <row r="2285" ht="15.75" customHeight="1">
      <c r="A2285" s="27">
        <f t="shared" si="21"/>
        <v>1164</v>
      </c>
      <c r="B2285" s="28" t="s">
        <v>7905</v>
      </c>
      <c r="C2285" s="43" t="s">
        <v>7906</v>
      </c>
      <c r="D2285" s="30" t="s">
        <v>7907</v>
      </c>
      <c r="E2285" s="28" t="s">
        <v>31</v>
      </c>
      <c r="F2285" s="28" t="s">
        <v>29</v>
      </c>
      <c r="G2285" s="28" t="s">
        <v>30</v>
      </c>
      <c r="H2285" s="28"/>
      <c r="I2285" s="28" t="s">
        <v>30</v>
      </c>
      <c r="J2285" s="28">
        <v>208.0</v>
      </c>
      <c r="K2285" s="28"/>
      <c r="L2285" s="28" t="s">
        <v>7908</v>
      </c>
      <c r="M2285" s="28" t="s">
        <v>151</v>
      </c>
      <c r="N2285" s="28">
        <v>1987.0</v>
      </c>
      <c r="O2285" s="121">
        <v>13.0</v>
      </c>
      <c r="P2285" s="28">
        <v>1.0</v>
      </c>
      <c r="Q2285" s="32">
        <v>1.0</v>
      </c>
      <c r="R2285" s="33"/>
      <c r="S2285" s="185"/>
      <c r="T2285" s="185"/>
      <c r="U2285" s="185"/>
      <c r="V2285" s="185"/>
      <c r="W2285" s="185"/>
      <c r="X2285" s="185"/>
      <c r="Y2285" s="45"/>
      <c r="Z2285" s="45"/>
      <c r="AA2285" s="45"/>
      <c r="AB2285" s="45"/>
      <c r="AC2285" s="45"/>
      <c r="AD2285" s="45"/>
      <c r="AE2285" s="45"/>
      <c r="AF2285" s="45"/>
      <c r="AG2285" s="45"/>
      <c r="AH2285" s="45"/>
      <c r="AI2285" s="45"/>
      <c r="AJ2285" s="45"/>
      <c r="AK2285" s="45"/>
      <c r="AL2285" s="45"/>
    </row>
    <row r="2286" ht="15.75" customHeight="1">
      <c r="A2286" s="27">
        <f t="shared" si="21"/>
        <v>1165</v>
      </c>
      <c r="B2286" s="28" t="s">
        <v>31</v>
      </c>
      <c r="C2286" s="43" t="s">
        <v>7909</v>
      </c>
      <c r="D2286" s="30" t="s">
        <v>7910</v>
      </c>
      <c r="E2286" s="28" t="s">
        <v>144</v>
      </c>
      <c r="F2286" s="28" t="s">
        <v>29</v>
      </c>
      <c r="G2286" s="28" t="s">
        <v>30</v>
      </c>
      <c r="H2286" s="28"/>
      <c r="I2286" s="28" t="s">
        <v>30</v>
      </c>
      <c r="J2286" s="28">
        <v>76.0</v>
      </c>
      <c r="K2286" s="28"/>
      <c r="L2286" s="28" t="s">
        <v>3654</v>
      </c>
      <c r="M2286" s="28" t="s">
        <v>151</v>
      </c>
      <c r="N2286" s="28" t="s">
        <v>31</v>
      </c>
      <c r="O2286" s="121">
        <v>13.0</v>
      </c>
      <c r="P2286" s="28">
        <v>1.0</v>
      </c>
      <c r="Q2286" s="32">
        <v>1.0</v>
      </c>
      <c r="R2286" s="33"/>
      <c r="S2286" s="185"/>
      <c r="T2286" s="185"/>
      <c r="U2286" s="185"/>
      <c r="V2286" s="185"/>
      <c r="W2286" s="185"/>
      <c r="X2286" s="185"/>
      <c r="Y2286" s="45"/>
      <c r="Z2286" s="45"/>
      <c r="AA2286" s="45"/>
      <c r="AB2286" s="45"/>
      <c r="AC2286" s="45"/>
      <c r="AD2286" s="45"/>
      <c r="AE2286" s="45"/>
      <c r="AF2286" s="45"/>
      <c r="AG2286" s="45"/>
      <c r="AH2286" s="45"/>
      <c r="AI2286" s="45"/>
      <c r="AJ2286" s="45"/>
      <c r="AK2286" s="45"/>
      <c r="AL2286" s="45"/>
    </row>
    <row r="2287" ht="15.75" customHeight="1">
      <c r="A2287" s="27">
        <f t="shared" si="21"/>
        <v>1166</v>
      </c>
      <c r="B2287" s="83"/>
      <c r="C2287" s="121" t="s">
        <v>7911</v>
      </c>
      <c r="D2287" s="119" t="s">
        <v>7912</v>
      </c>
      <c r="E2287" s="83"/>
      <c r="F2287" s="121" t="s">
        <v>29</v>
      </c>
      <c r="G2287" s="121" t="s">
        <v>38</v>
      </c>
      <c r="H2287" s="83"/>
      <c r="I2287" s="121" t="s">
        <v>38</v>
      </c>
      <c r="J2287" s="121">
        <v>378.0</v>
      </c>
      <c r="K2287" s="83"/>
      <c r="L2287" s="121" t="s">
        <v>7913</v>
      </c>
      <c r="M2287" s="121" t="s">
        <v>7914</v>
      </c>
      <c r="N2287" s="83"/>
      <c r="O2287" s="121">
        <v>13.0</v>
      </c>
      <c r="P2287" s="121">
        <v>1.0</v>
      </c>
      <c r="Q2287" s="121">
        <v>1.0</v>
      </c>
      <c r="R2287" s="84"/>
      <c r="S2287" s="185"/>
      <c r="T2287" s="185"/>
      <c r="U2287" s="185"/>
      <c r="V2287" s="185"/>
      <c r="W2287" s="185"/>
      <c r="X2287" s="185"/>
      <c r="Y2287" s="45"/>
      <c r="Z2287" s="45"/>
      <c r="AA2287" s="45"/>
      <c r="AB2287" s="45"/>
      <c r="AC2287" s="45"/>
      <c r="AD2287" s="45"/>
      <c r="AE2287" s="45"/>
      <c r="AF2287" s="45"/>
      <c r="AG2287" s="45"/>
      <c r="AH2287" s="45"/>
      <c r="AI2287" s="45"/>
      <c r="AJ2287" s="45"/>
      <c r="AK2287" s="45"/>
      <c r="AL2287" s="45"/>
    </row>
    <row r="2288" ht="15.75" customHeight="1">
      <c r="A2288" s="27">
        <f t="shared" si="21"/>
        <v>1167</v>
      </c>
      <c r="B2288" s="83"/>
      <c r="C2288" s="121" t="s">
        <v>7915</v>
      </c>
      <c r="D2288" s="119" t="s">
        <v>7916</v>
      </c>
      <c r="E2288" s="83"/>
      <c r="F2288" s="83"/>
      <c r="G2288" s="121" t="s">
        <v>30</v>
      </c>
      <c r="H2288" s="83"/>
      <c r="I2288" s="121" t="s">
        <v>30</v>
      </c>
      <c r="J2288" s="121">
        <v>178.0</v>
      </c>
      <c r="K2288" s="83"/>
      <c r="L2288" s="121" t="s">
        <v>7917</v>
      </c>
      <c r="M2288" s="121" t="s">
        <v>7918</v>
      </c>
      <c r="N2288" s="121">
        <v>2012.0</v>
      </c>
      <c r="O2288" s="121">
        <v>13.0</v>
      </c>
      <c r="P2288" s="121">
        <v>1.0</v>
      </c>
      <c r="Q2288" s="121">
        <v>1.0</v>
      </c>
      <c r="R2288" s="84"/>
      <c r="S2288" s="185"/>
      <c r="T2288" s="185"/>
      <c r="U2288" s="185"/>
      <c r="V2288" s="185"/>
      <c r="W2288" s="185"/>
      <c r="X2288" s="185"/>
      <c r="Y2288" s="45"/>
      <c r="Z2288" s="45"/>
      <c r="AA2288" s="45"/>
      <c r="AB2288" s="45"/>
      <c r="AC2288" s="45"/>
      <c r="AD2288" s="45"/>
      <c r="AE2288" s="45"/>
      <c r="AF2288" s="45"/>
      <c r="AG2288" s="45"/>
      <c r="AH2288" s="45"/>
      <c r="AI2288" s="45"/>
      <c r="AJ2288" s="45"/>
      <c r="AK2288" s="45"/>
      <c r="AL2288" s="45"/>
    </row>
    <row r="2289" ht="15.75" customHeight="1">
      <c r="A2289" s="27">
        <f t="shared" si="21"/>
        <v>1168</v>
      </c>
      <c r="B2289" s="83" t="s">
        <v>7919</v>
      </c>
      <c r="C2289" s="83" t="s">
        <v>7920</v>
      </c>
      <c r="D2289" s="83" t="s">
        <v>7921</v>
      </c>
      <c r="E2289" s="118"/>
      <c r="F2289" s="83" t="s">
        <v>29</v>
      </c>
      <c r="G2289" s="83" t="s">
        <v>30</v>
      </c>
      <c r="H2289" s="118"/>
      <c r="I2289" s="83" t="s">
        <v>30</v>
      </c>
      <c r="J2289" s="83">
        <v>155.0</v>
      </c>
      <c r="K2289" s="118"/>
      <c r="L2289" s="83" t="s">
        <v>7922</v>
      </c>
      <c r="M2289" s="83" t="s">
        <v>151</v>
      </c>
      <c r="N2289" s="119">
        <v>2016.0</v>
      </c>
      <c r="O2289" s="121">
        <v>13.0</v>
      </c>
      <c r="P2289" s="118">
        <v>1.0</v>
      </c>
      <c r="Q2289" s="83">
        <v>1.0</v>
      </c>
      <c r="R2289" s="84"/>
      <c r="S2289" s="185"/>
      <c r="T2289" s="185"/>
      <c r="U2289" s="185"/>
      <c r="V2289" s="185"/>
      <c r="W2289" s="185"/>
      <c r="X2289" s="185"/>
      <c r="Y2289" s="45"/>
      <c r="Z2289" s="45"/>
      <c r="AA2289" s="45"/>
      <c r="AB2289" s="45"/>
      <c r="AC2289" s="45"/>
      <c r="AD2289" s="45"/>
      <c r="AE2289" s="45"/>
      <c r="AF2289" s="45"/>
      <c r="AG2289" s="45"/>
      <c r="AH2289" s="45"/>
      <c r="AI2289" s="45"/>
      <c r="AJ2289" s="45"/>
      <c r="AK2289" s="45"/>
      <c r="AL2289" s="45"/>
    </row>
    <row r="2290" ht="15.75" customHeight="1">
      <c r="A2290" s="27">
        <f t="shared" si="21"/>
        <v>1169</v>
      </c>
      <c r="B2290" s="28" t="s">
        <v>7923</v>
      </c>
      <c r="C2290" s="43" t="s">
        <v>148</v>
      </c>
      <c r="D2290" s="30" t="s">
        <v>7924</v>
      </c>
      <c r="E2290" s="28" t="s">
        <v>31</v>
      </c>
      <c r="F2290" s="28" t="s">
        <v>29</v>
      </c>
      <c r="G2290" s="28" t="s">
        <v>30</v>
      </c>
      <c r="H2290" s="28"/>
      <c r="I2290" s="28" t="s">
        <v>30</v>
      </c>
      <c r="J2290" s="28">
        <v>121.0</v>
      </c>
      <c r="K2290" s="28"/>
      <c r="L2290" s="28" t="s">
        <v>150</v>
      </c>
      <c r="M2290" s="28" t="s">
        <v>151</v>
      </c>
      <c r="N2290" s="28">
        <v>2012.0</v>
      </c>
      <c r="O2290" s="28">
        <v>13.0</v>
      </c>
      <c r="P2290" s="28">
        <v>2.0</v>
      </c>
      <c r="Q2290" s="32">
        <v>2.0</v>
      </c>
      <c r="R2290" s="33"/>
      <c r="S2290" s="185"/>
      <c r="T2290" s="185"/>
      <c r="U2290" s="185"/>
      <c r="V2290" s="185"/>
      <c r="W2290" s="185"/>
      <c r="X2290" s="185"/>
      <c r="Y2290" s="45"/>
      <c r="Z2290" s="45"/>
      <c r="AA2290" s="45"/>
      <c r="AB2290" s="45"/>
      <c r="AC2290" s="45"/>
      <c r="AD2290" s="45"/>
      <c r="AE2290" s="45"/>
      <c r="AF2290" s="45"/>
      <c r="AG2290" s="45"/>
      <c r="AH2290" s="45"/>
      <c r="AI2290" s="45"/>
      <c r="AJ2290" s="45"/>
      <c r="AK2290" s="45"/>
      <c r="AL2290" s="45"/>
    </row>
    <row r="2291" ht="15.75" customHeight="1">
      <c r="A2291" s="27">
        <f t="shared" si="21"/>
        <v>1170</v>
      </c>
      <c r="B2291" s="28" t="s">
        <v>7925</v>
      </c>
      <c r="C2291" s="43" t="s">
        <v>7926</v>
      </c>
      <c r="D2291" s="30" t="s">
        <v>7927</v>
      </c>
      <c r="E2291" s="28" t="s">
        <v>31</v>
      </c>
      <c r="F2291" s="28" t="s">
        <v>29</v>
      </c>
      <c r="G2291" s="28" t="s">
        <v>30</v>
      </c>
      <c r="H2291" s="28"/>
      <c r="I2291" s="28" t="s">
        <v>30</v>
      </c>
      <c r="J2291" s="28">
        <v>144.0</v>
      </c>
      <c r="K2291" s="28"/>
      <c r="L2291" s="28" t="s">
        <v>150</v>
      </c>
      <c r="M2291" s="28" t="s">
        <v>151</v>
      </c>
      <c r="N2291" s="28">
        <v>2015.0</v>
      </c>
      <c r="O2291" s="60">
        <v>13.0</v>
      </c>
      <c r="P2291" s="28">
        <v>1.0</v>
      </c>
      <c r="Q2291" s="32">
        <v>1.0</v>
      </c>
      <c r="R2291" s="33"/>
      <c r="S2291" s="185"/>
      <c r="T2291" s="185"/>
      <c r="U2291" s="185"/>
      <c r="V2291" s="185"/>
      <c r="W2291" s="185"/>
      <c r="X2291" s="185"/>
      <c r="Y2291" s="45"/>
      <c r="Z2291" s="45"/>
      <c r="AA2291" s="45"/>
      <c r="AB2291" s="45"/>
      <c r="AC2291" s="45"/>
      <c r="AD2291" s="45"/>
      <c r="AE2291" s="45"/>
      <c r="AF2291" s="45"/>
      <c r="AG2291" s="45"/>
      <c r="AH2291" s="45"/>
      <c r="AI2291" s="45"/>
      <c r="AJ2291" s="45"/>
      <c r="AK2291" s="45"/>
      <c r="AL2291" s="45"/>
    </row>
    <row r="2292" ht="15.75" customHeight="1">
      <c r="A2292" s="27">
        <f t="shared" si="21"/>
        <v>1171</v>
      </c>
      <c r="B2292" s="28" t="s">
        <v>7928</v>
      </c>
      <c r="C2292" s="43" t="s">
        <v>7926</v>
      </c>
      <c r="D2292" s="30" t="s">
        <v>7929</v>
      </c>
      <c r="E2292" s="28" t="s">
        <v>31</v>
      </c>
      <c r="F2292" s="28" t="s">
        <v>29</v>
      </c>
      <c r="G2292" s="28" t="s">
        <v>30</v>
      </c>
      <c r="H2292" s="28"/>
      <c r="I2292" s="28" t="s">
        <v>30</v>
      </c>
      <c r="J2292" s="28">
        <v>134.0</v>
      </c>
      <c r="K2292" s="28"/>
      <c r="L2292" s="28" t="s">
        <v>150</v>
      </c>
      <c r="M2292" s="28" t="s">
        <v>151</v>
      </c>
      <c r="N2292" s="28">
        <v>2015.0</v>
      </c>
      <c r="O2292" s="60">
        <v>13.0</v>
      </c>
      <c r="P2292" s="28">
        <v>1.0</v>
      </c>
      <c r="Q2292" s="94">
        <v>1.0</v>
      </c>
      <c r="R2292" s="33"/>
      <c r="S2292" s="185"/>
      <c r="T2292" s="185"/>
      <c r="U2292" s="185"/>
      <c r="V2292" s="185"/>
      <c r="W2292" s="185"/>
      <c r="X2292" s="185"/>
      <c r="Y2292" s="45"/>
      <c r="Z2292" s="45"/>
      <c r="AA2292" s="45"/>
      <c r="AB2292" s="45"/>
      <c r="AC2292" s="45"/>
      <c r="AD2292" s="45"/>
      <c r="AE2292" s="45"/>
      <c r="AF2292" s="45"/>
      <c r="AG2292" s="45"/>
      <c r="AH2292" s="45"/>
      <c r="AI2292" s="45"/>
      <c r="AJ2292" s="45"/>
      <c r="AK2292" s="45"/>
      <c r="AL2292" s="45"/>
    </row>
    <row r="2293" ht="15.75" customHeight="1">
      <c r="A2293" s="27">
        <f t="shared" si="21"/>
        <v>1172</v>
      </c>
      <c r="B2293" s="121" t="s">
        <v>7923</v>
      </c>
      <c r="C2293" s="121" t="s">
        <v>7930</v>
      </c>
      <c r="D2293" s="119" t="s">
        <v>7924</v>
      </c>
      <c r="E2293" s="121" t="s">
        <v>31</v>
      </c>
      <c r="F2293" s="121" t="s">
        <v>29</v>
      </c>
      <c r="G2293" s="121" t="s">
        <v>30</v>
      </c>
      <c r="H2293" s="83"/>
      <c r="I2293" s="121" t="s">
        <v>30</v>
      </c>
      <c r="J2293" s="121">
        <v>121.0</v>
      </c>
      <c r="K2293" s="83"/>
      <c r="L2293" s="121" t="s">
        <v>150</v>
      </c>
      <c r="M2293" s="121" t="s">
        <v>151</v>
      </c>
      <c r="N2293" s="121">
        <v>2015.0</v>
      </c>
      <c r="O2293" s="121">
        <v>13.0</v>
      </c>
      <c r="P2293" s="121">
        <v>1.0</v>
      </c>
      <c r="Q2293" s="121">
        <v>1.0</v>
      </c>
      <c r="R2293" s="84"/>
      <c r="S2293" s="185"/>
      <c r="T2293" s="185"/>
      <c r="U2293" s="185"/>
      <c r="V2293" s="185"/>
      <c r="W2293" s="185"/>
      <c r="X2293" s="185"/>
      <c r="Y2293" s="45"/>
      <c r="Z2293" s="45"/>
      <c r="AA2293" s="45"/>
      <c r="AB2293" s="45"/>
      <c r="AC2293" s="45"/>
      <c r="AD2293" s="45"/>
      <c r="AE2293" s="45"/>
      <c r="AF2293" s="45"/>
      <c r="AG2293" s="45"/>
      <c r="AH2293" s="45"/>
      <c r="AI2293" s="45"/>
      <c r="AJ2293" s="45"/>
      <c r="AK2293" s="45"/>
      <c r="AL2293" s="45"/>
    </row>
    <row r="2294" ht="15.75" customHeight="1">
      <c r="A2294" s="27">
        <f t="shared" si="21"/>
        <v>1173</v>
      </c>
      <c r="B2294" s="121" t="s">
        <v>7931</v>
      </c>
      <c r="C2294" s="121" t="s">
        <v>7930</v>
      </c>
      <c r="D2294" s="119" t="s">
        <v>7932</v>
      </c>
      <c r="E2294" s="83"/>
      <c r="F2294" s="121" t="s">
        <v>29</v>
      </c>
      <c r="G2294" s="121" t="s">
        <v>30</v>
      </c>
      <c r="H2294" s="83"/>
      <c r="I2294" s="121" t="s">
        <v>159</v>
      </c>
      <c r="J2294" s="121">
        <v>130.0</v>
      </c>
      <c r="K2294" s="83"/>
      <c r="L2294" s="121"/>
      <c r="M2294" s="121" t="s">
        <v>151</v>
      </c>
      <c r="N2294" s="121">
        <v>2015.0</v>
      </c>
      <c r="O2294" s="121">
        <v>13.0</v>
      </c>
      <c r="P2294" s="121">
        <v>1.0</v>
      </c>
      <c r="Q2294" s="121">
        <v>1.0</v>
      </c>
      <c r="R2294" s="84"/>
      <c r="S2294" s="185"/>
      <c r="T2294" s="185"/>
      <c r="U2294" s="185"/>
      <c r="V2294" s="185"/>
      <c r="W2294" s="185"/>
      <c r="X2294" s="185"/>
      <c r="Y2294" s="3"/>
      <c r="Z2294" s="3"/>
      <c r="AA2294" s="3"/>
      <c r="AB2294" s="3"/>
      <c r="AC2294" s="3"/>
      <c r="AD2294" s="3"/>
      <c r="AE2294" s="3"/>
      <c r="AF2294" s="3"/>
      <c r="AG2294" s="3"/>
      <c r="AH2294" s="3"/>
      <c r="AI2294" s="3"/>
      <c r="AJ2294" s="3"/>
      <c r="AK2294" s="3"/>
      <c r="AL2294" s="3"/>
    </row>
    <row r="2295" ht="15.75" customHeight="1">
      <c r="A2295" s="27">
        <f t="shared" si="21"/>
        <v>1174</v>
      </c>
      <c r="B2295" s="121" t="s">
        <v>7933</v>
      </c>
      <c r="C2295" s="121" t="s">
        <v>7930</v>
      </c>
      <c r="D2295" s="119" t="s">
        <v>7934</v>
      </c>
      <c r="E2295" s="83"/>
      <c r="F2295" s="83"/>
      <c r="G2295" s="121" t="s">
        <v>30</v>
      </c>
      <c r="H2295" s="83"/>
      <c r="I2295" s="121" t="s">
        <v>30</v>
      </c>
      <c r="J2295" s="121">
        <v>133.0</v>
      </c>
      <c r="K2295" s="83"/>
      <c r="L2295" s="121" t="s">
        <v>150</v>
      </c>
      <c r="M2295" s="121" t="s">
        <v>151</v>
      </c>
      <c r="N2295" s="121">
        <v>2015.0</v>
      </c>
      <c r="O2295" s="121">
        <v>13.0</v>
      </c>
      <c r="P2295" s="121">
        <v>1.0</v>
      </c>
      <c r="Q2295" s="121">
        <v>1.0</v>
      </c>
      <c r="R2295" s="84"/>
      <c r="S2295" s="185"/>
      <c r="T2295" s="185"/>
      <c r="U2295" s="185"/>
      <c r="V2295" s="185"/>
      <c r="W2295" s="185"/>
      <c r="X2295" s="185"/>
      <c r="Y2295" s="3"/>
      <c r="Z2295" s="3"/>
      <c r="AA2295" s="3"/>
      <c r="AB2295" s="3"/>
      <c r="AC2295" s="3"/>
      <c r="AD2295" s="3"/>
      <c r="AE2295" s="3"/>
      <c r="AF2295" s="3"/>
      <c r="AG2295" s="3"/>
      <c r="AH2295" s="3"/>
      <c r="AI2295" s="3"/>
      <c r="AJ2295" s="3"/>
      <c r="AK2295" s="3"/>
      <c r="AL2295" s="3"/>
    </row>
    <row r="2296" ht="15.75" customHeight="1">
      <c r="A2296" s="27">
        <f t="shared" si="21"/>
        <v>1175</v>
      </c>
      <c r="B2296" s="28" t="s">
        <v>7935</v>
      </c>
      <c r="C2296" s="43" t="s">
        <v>7936</v>
      </c>
      <c r="D2296" s="30" t="s">
        <v>7937</v>
      </c>
      <c r="E2296" s="28" t="s">
        <v>31</v>
      </c>
      <c r="F2296" s="28" t="s">
        <v>29</v>
      </c>
      <c r="G2296" s="28" t="s">
        <v>30</v>
      </c>
      <c r="H2296" s="28"/>
      <c r="I2296" s="28" t="s">
        <v>30</v>
      </c>
      <c r="J2296" s="28">
        <v>137.0</v>
      </c>
      <c r="K2296" s="28"/>
      <c r="L2296" s="28" t="s">
        <v>7938</v>
      </c>
      <c r="M2296" s="28" t="s">
        <v>151</v>
      </c>
      <c r="N2296" s="28">
        <v>1986.0</v>
      </c>
      <c r="O2296" s="60">
        <v>13.0</v>
      </c>
      <c r="P2296" s="28">
        <v>1.0</v>
      </c>
      <c r="Q2296" s="32">
        <v>1.0</v>
      </c>
      <c r="R2296" s="33"/>
      <c r="S2296" s="185"/>
      <c r="T2296" s="185"/>
      <c r="U2296" s="185"/>
      <c r="V2296" s="185"/>
      <c r="W2296" s="185"/>
      <c r="X2296" s="185"/>
      <c r="Y2296" s="45"/>
      <c r="Z2296" s="45"/>
      <c r="AA2296" s="45"/>
      <c r="AB2296" s="45"/>
      <c r="AC2296" s="45"/>
      <c r="AD2296" s="45"/>
      <c r="AE2296" s="45"/>
      <c r="AF2296" s="45"/>
      <c r="AG2296" s="45"/>
      <c r="AH2296" s="45"/>
      <c r="AI2296" s="45"/>
      <c r="AJ2296" s="45"/>
      <c r="AK2296" s="45"/>
      <c r="AL2296" s="45"/>
    </row>
    <row r="2297" ht="15.75" customHeight="1">
      <c r="A2297" s="27">
        <f t="shared" si="21"/>
        <v>1176</v>
      </c>
      <c r="B2297" s="121" t="s">
        <v>7939</v>
      </c>
      <c r="C2297" s="121" t="s">
        <v>7940</v>
      </c>
      <c r="D2297" s="119" t="s">
        <v>7941</v>
      </c>
      <c r="E2297" s="83"/>
      <c r="F2297" s="83"/>
      <c r="G2297" s="121" t="s">
        <v>30</v>
      </c>
      <c r="H2297" s="83"/>
      <c r="I2297" s="121" t="s">
        <v>30</v>
      </c>
      <c r="J2297" s="121">
        <v>119.0</v>
      </c>
      <c r="K2297" s="83"/>
      <c r="L2297" s="121" t="s">
        <v>150</v>
      </c>
      <c r="M2297" s="121" t="s">
        <v>151</v>
      </c>
      <c r="N2297" s="121">
        <v>2015.0</v>
      </c>
      <c r="O2297" s="60">
        <v>13.0</v>
      </c>
      <c r="P2297" s="121">
        <v>1.0</v>
      </c>
      <c r="Q2297" s="121">
        <v>1.0</v>
      </c>
      <c r="R2297" s="84"/>
      <c r="S2297" s="185"/>
      <c r="T2297" s="185"/>
      <c r="U2297" s="185"/>
      <c r="V2297" s="185"/>
      <c r="W2297" s="185"/>
      <c r="X2297" s="185"/>
      <c r="Y2297" s="45"/>
      <c r="Z2297" s="45"/>
      <c r="AA2297" s="45"/>
      <c r="AB2297" s="45"/>
      <c r="AC2297" s="45"/>
      <c r="AD2297" s="45"/>
      <c r="AE2297" s="45"/>
      <c r="AF2297" s="45"/>
      <c r="AG2297" s="45"/>
      <c r="AH2297" s="45"/>
      <c r="AI2297" s="45"/>
      <c r="AJ2297" s="45"/>
      <c r="AK2297" s="45"/>
      <c r="AL2297" s="45"/>
    </row>
    <row r="2298" ht="15.75" customHeight="1">
      <c r="A2298" s="27">
        <f t="shared" si="21"/>
        <v>1177</v>
      </c>
      <c r="B2298" s="28"/>
      <c r="C2298" s="43" t="s">
        <v>7942</v>
      </c>
      <c r="D2298" s="30" t="s">
        <v>7943</v>
      </c>
      <c r="E2298" s="28" t="s">
        <v>31</v>
      </c>
      <c r="F2298" s="28" t="s">
        <v>29</v>
      </c>
      <c r="G2298" s="28" t="s">
        <v>37</v>
      </c>
      <c r="H2298" s="28"/>
      <c r="I2298" s="28" t="s">
        <v>38</v>
      </c>
      <c r="J2298" s="28">
        <v>131.0</v>
      </c>
      <c r="K2298" s="28"/>
      <c r="L2298" s="28" t="s">
        <v>3929</v>
      </c>
      <c r="M2298" s="28" t="s">
        <v>1203</v>
      </c>
      <c r="N2298" s="28">
        <v>1960.0</v>
      </c>
      <c r="O2298" s="60">
        <v>13.0</v>
      </c>
      <c r="P2298" s="28">
        <v>1.0</v>
      </c>
      <c r="Q2298" s="94">
        <v>1.0</v>
      </c>
      <c r="R2298" s="33"/>
      <c r="S2298" s="185"/>
      <c r="T2298" s="185"/>
      <c r="U2298" s="185"/>
      <c r="V2298" s="185"/>
      <c r="W2298" s="185"/>
      <c r="X2298" s="185"/>
      <c r="Y2298" s="3"/>
      <c r="Z2298" s="3"/>
      <c r="AA2298" s="3"/>
      <c r="AB2298" s="3"/>
      <c r="AC2298" s="3"/>
      <c r="AD2298" s="3"/>
      <c r="AE2298" s="3"/>
      <c r="AF2298" s="3"/>
      <c r="AG2298" s="3"/>
      <c r="AH2298" s="3"/>
      <c r="AI2298" s="3"/>
      <c r="AJ2298" s="3"/>
      <c r="AK2298" s="3"/>
      <c r="AL2298" s="3"/>
    </row>
    <row r="2299" ht="15.75" customHeight="1">
      <c r="A2299" s="27">
        <f t="shared" si="21"/>
        <v>1178</v>
      </c>
      <c r="B2299" s="28" t="s">
        <v>7944</v>
      </c>
      <c r="C2299" s="43" t="s">
        <v>7945</v>
      </c>
      <c r="D2299" s="30" t="s">
        <v>7946</v>
      </c>
      <c r="E2299" s="28" t="s">
        <v>31</v>
      </c>
      <c r="F2299" s="28" t="s">
        <v>29</v>
      </c>
      <c r="G2299" s="28" t="s">
        <v>30</v>
      </c>
      <c r="H2299" s="28"/>
      <c r="I2299" s="28" t="s">
        <v>30</v>
      </c>
      <c r="J2299" s="28">
        <v>105.0</v>
      </c>
      <c r="K2299" s="28"/>
      <c r="L2299" s="28" t="s">
        <v>7947</v>
      </c>
      <c r="M2299" s="28" t="s">
        <v>7948</v>
      </c>
      <c r="N2299" s="28">
        <v>2006.0</v>
      </c>
      <c r="O2299" s="60">
        <v>13.0</v>
      </c>
      <c r="P2299" s="28">
        <v>1.0</v>
      </c>
      <c r="Q2299" s="32">
        <v>1.0</v>
      </c>
      <c r="R2299" s="33"/>
      <c r="S2299" s="185"/>
      <c r="T2299" s="185"/>
      <c r="U2299" s="185"/>
      <c r="V2299" s="185"/>
      <c r="W2299" s="185"/>
      <c r="X2299" s="185"/>
      <c r="Y2299" s="3"/>
      <c r="Z2299" s="3"/>
      <c r="AA2299" s="3"/>
      <c r="AB2299" s="3"/>
      <c r="AC2299" s="3"/>
      <c r="AD2299" s="3"/>
      <c r="AE2299" s="3"/>
      <c r="AF2299" s="3"/>
      <c r="AG2299" s="3"/>
      <c r="AH2299" s="3"/>
      <c r="AI2299" s="3"/>
      <c r="AJ2299" s="3"/>
      <c r="AK2299" s="3"/>
      <c r="AL2299" s="3"/>
    </row>
    <row r="2300" ht="15.75" customHeight="1">
      <c r="A2300" s="27">
        <f t="shared" si="21"/>
        <v>1179</v>
      </c>
      <c r="B2300" s="28" t="s">
        <v>7949</v>
      </c>
      <c r="C2300" s="43" t="s">
        <v>7950</v>
      </c>
      <c r="D2300" s="30" t="s">
        <v>7951</v>
      </c>
      <c r="E2300" s="28" t="s">
        <v>31</v>
      </c>
      <c r="F2300" s="28" t="s">
        <v>29</v>
      </c>
      <c r="G2300" s="28" t="s">
        <v>30</v>
      </c>
      <c r="H2300" s="28"/>
      <c r="I2300" s="28" t="s">
        <v>30</v>
      </c>
      <c r="J2300" s="28">
        <v>112.0</v>
      </c>
      <c r="K2300" s="28"/>
      <c r="L2300" s="28" t="s">
        <v>7952</v>
      </c>
      <c r="M2300" s="28" t="s">
        <v>151</v>
      </c>
      <c r="N2300" s="28">
        <v>2006.0</v>
      </c>
      <c r="O2300" s="60">
        <v>13.0</v>
      </c>
      <c r="P2300" s="28">
        <v>1.0</v>
      </c>
      <c r="Q2300" s="32">
        <v>1.0</v>
      </c>
      <c r="R2300" s="33"/>
      <c r="S2300" s="185"/>
      <c r="T2300" s="185"/>
      <c r="U2300" s="185"/>
      <c r="V2300" s="185"/>
      <c r="W2300" s="185"/>
      <c r="X2300" s="185"/>
      <c r="Y2300" s="3"/>
      <c r="Z2300" s="3"/>
      <c r="AA2300" s="3"/>
      <c r="AB2300" s="3"/>
      <c r="AC2300" s="3"/>
      <c r="AD2300" s="3"/>
      <c r="AE2300" s="3"/>
      <c r="AF2300" s="3"/>
      <c r="AG2300" s="3"/>
      <c r="AH2300" s="3"/>
      <c r="AI2300" s="3"/>
      <c r="AJ2300" s="3"/>
      <c r="AK2300" s="3"/>
      <c r="AL2300" s="3"/>
    </row>
    <row r="2301" ht="15.75" customHeight="1">
      <c r="A2301" s="27">
        <f t="shared" si="21"/>
        <v>1180</v>
      </c>
      <c r="B2301" s="28" t="s">
        <v>31</v>
      </c>
      <c r="C2301" s="43" t="s">
        <v>7953</v>
      </c>
      <c r="D2301" s="30" t="s">
        <v>7954</v>
      </c>
      <c r="E2301" s="28" t="s">
        <v>31</v>
      </c>
      <c r="F2301" s="28" t="s">
        <v>29</v>
      </c>
      <c r="G2301" s="28" t="s">
        <v>30</v>
      </c>
      <c r="H2301" s="28"/>
      <c r="I2301" s="28" t="s">
        <v>30</v>
      </c>
      <c r="J2301" s="28">
        <v>152.0</v>
      </c>
      <c r="K2301" s="28"/>
      <c r="L2301" s="28" t="s">
        <v>7955</v>
      </c>
      <c r="M2301" s="28" t="s">
        <v>151</v>
      </c>
      <c r="N2301" s="28">
        <v>1978.0</v>
      </c>
      <c r="O2301" s="60">
        <v>13.0</v>
      </c>
      <c r="P2301" s="28">
        <v>1.0</v>
      </c>
      <c r="Q2301" s="32">
        <v>1.0</v>
      </c>
      <c r="R2301" s="33"/>
      <c r="S2301" s="185"/>
      <c r="T2301" s="185"/>
      <c r="U2301" s="185"/>
      <c r="V2301" s="185"/>
      <c r="W2301" s="185"/>
      <c r="X2301" s="185"/>
      <c r="Y2301" s="45"/>
      <c r="Z2301" s="45"/>
      <c r="AA2301" s="45"/>
      <c r="AB2301" s="45"/>
      <c r="AC2301" s="45"/>
      <c r="AD2301" s="45"/>
      <c r="AE2301" s="45"/>
      <c r="AF2301" s="45"/>
      <c r="AG2301" s="45"/>
      <c r="AH2301" s="45"/>
      <c r="AI2301" s="45"/>
      <c r="AJ2301" s="45"/>
      <c r="AK2301" s="45"/>
      <c r="AL2301" s="45"/>
    </row>
    <row r="2302" ht="15.75" customHeight="1">
      <c r="A2302" s="27">
        <f t="shared" si="21"/>
        <v>1181</v>
      </c>
      <c r="B2302" s="28" t="s">
        <v>7956</v>
      </c>
      <c r="C2302" s="43" t="s">
        <v>7957</v>
      </c>
      <c r="D2302" s="30" t="s">
        <v>7958</v>
      </c>
      <c r="E2302" s="28" t="s">
        <v>31</v>
      </c>
      <c r="F2302" s="28" t="s">
        <v>29</v>
      </c>
      <c r="G2302" s="28" t="s">
        <v>30</v>
      </c>
      <c r="H2302" s="28"/>
      <c r="I2302" s="28" t="s">
        <v>30</v>
      </c>
      <c r="J2302" s="28">
        <v>307.0</v>
      </c>
      <c r="K2302" s="28"/>
      <c r="L2302" s="28" t="s">
        <v>7959</v>
      </c>
      <c r="M2302" s="28" t="s">
        <v>7960</v>
      </c>
      <c r="N2302" s="28">
        <v>2013.0</v>
      </c>
      <c r="O2302" s="60">
        <v>13.0</v>
      </c>
      <c r="P2302" s="28">
        <v>1.0</v>
      </c>
      <c r="Q2302" s="32">
        <v>1.0</v>
      </c>
      <c r="R2302" s="33"/>
      <c r="S2302" s="185"/>
      <c r="T2302" s="185"/>
      <c r="U2302" s="185"/>
      <c r="V2302" s="185"/>
      <c r="W2302" s="185"/>
      <c r="X2302" s="185"/>
      <c r="Y2302" s="45"/>
      <c r="Z2302" s="45"/>
      <c r="AA2302" s="45"/>
      <c r="AB2302" s="45"/>
      <c r="AC2302" s="45"/>
      <c r="AD2302" s="45"/>
      <c r="AE2302" s="45"/>
      <c r="AF2302" s="45"/>
      <c r="AG2302" s="45"/>
      <c r="AH2302" s="45"/>
      <c r="AI2302" s="45"/>
      <c r="AJ2302" s="45"/>
      <c r="AK2302" s="45"/>
      <c r="AL2302" s="45"/>
    </row>
    <row r="2303" ht="15.75" customHeight="1">
      <c r="A2303" s="27">
        <f t="shared" si="21"/>
        <v>1182</v>
      </c>
      <c r="B2303" s="28" t="s">
        <v>7961</v>
      </c>
      <c r="C2303" s="43" t="s">
        <v>7961</v>
      </c>
      <c r="D2303" s="30" t="s">
        <v>7962</v>
      </c>
      <c r="E2303" s="28" t="s">
        <v>31</v>
      </c>
      <c r="F2303" s="28" t="s">
        <v>29</v>
      </c>
      <c r="G2303" s="28" t="s">
        <v>30</v>
      </c>
      <c r="H2303" s="28"/>
      <c r="I2303" s="28" t="s">
        <v>30</v>
      </c>
      <c r="J2303" s="28">
        <v>214.0</v>
      </c>
      <c r="K2303" s="28"/>
      <c r="L2303" s="28" t="s">
        <v>7963</v>
      </c>
      <c r="M2303" s="28" t="s">
        <v>7964</v>
      </c>
      <c r="N2303" s="28">
        <v>2003.0</v>
      </c>
      <c r="O2303" s="60">
        <v>13.0</v>
      </c>
      <c r="P2303" s="28">
        <v>1.0</v>
      </c>
      <c r="Q2303" s="32">
        <v>1.0</v>
      </c>
      <c r="R2303" s="33"/>
      <c r="S2303" s="185"/>
      <c r="T2303" s="185"/>
      <c r="U2303" s="185"/>
      <c r="V2303" s="185"/>
      <c r="W2303" s="185"/>
      <c r="X2303" s="185"/>
      <c r="Y2303" s="45"/>
      <c r="Z2303" s="45"/>
      <c r="AA2303" s="45"/>
      <c r="AB2303" s="45"/>
      <c r="AC2303" s="45"/>
      <c r="AD2303" s="45"/>
      <c r="AE2303" s="45"/>
      <c r="AF2303" s="45"/>
      <c r="AG2303" s="45"/>
      <c r="AH2303" s="45"/>
      <c r="AI2303" s="45"/>
      <c r="AJ2303" s="45"/>
      <c r="AK2303" s="45"/>
      <c r="AL2303" s="45"/>
    </row>
    <row r="2304" ht="15.75" customHeight="1">
      <c r="A2304" s="27">
        <f t="shared" si="21"/>
        <v>1183</v>
      </c>
      <c r="B2304" s="28" t="s">
        <v>7965</v>
      </c>
      <c r="C2304" s="43" t="s">
        <v>7966</v>
      </c>
      <c r="D2304" s="30" t="s">
        <v>7967</v>
      </c>
      <c r="E2304" s="28" t="s">
        <v>31</v>
      </c>
      <c r="F2304" s="28" t="s">
        <v>29</v>
      </c>
      <c r="G2304" s="28" t="s">
        <v>30</v>
      </c>
      <c r="H2304" s="28"/>
      <c r="I2304" s="28" t="s">
        <v>30</v>
      </c>
      <c r="J2304" s="28">
        <v>125.0</v>
      </c>
      <c r="K2304" s="28"/>
      <c r="L2304" s="28" t="s">
        <v>7968</v>
      </c>
      <c r="M2304" s="28" t="s">
        <v>4877</v>
      </c>
      <c r="N2304" s="28">
        <v>2005.0</v>
      </c>
      <c r="O2304" s="60">
        <v>13.0</v>
      </c>
      <c r="P2304" s="28">
        <v>1.0</v>
      </c>
      <c r="Q2304" s="32">
        <v>1.0</v>
      </c>
      <c r="R2304" s="33"/>
      <c r="S2304" s="185"/>
      <c r="T2304" s="185"/>
      <c r="U2304" s="185"/>
      <c r="V2304" s="185"/>
      <c r="W2304" s="185"/>
      <c r="X2304" s="185"/>
      <c r="Y2304" s="45"/>
      <c r="Z2304" s="45"/>
      <c r="AA2304" s="45"/>
      <c r="AB2304" s="45"/>
      <c r="AC2304" s="45"/>
      <c r="AD2304" s="45"/>
      <c r="AE2304" s="45"/>
      <c r="AF2304" s="45"/>
      <c r="AG2304" s="45"/>
      <c r="AH2304" s="45"/>
      <c r="AI2304" s="45"/>
      <c r="AJ2304" s="45"/>
      <c r="AK2304" s="45"/>
      <c r="AL2304" s="45"/>
    </row>
    <row r="2305" ht="15.75" customHeight="1">
      <c r="A2305" s="27">
        <f t="shared" si="21"/>
        <v>1184</v>
      </c>
      <c r="B2305" s="28" t="s">
        <v>31</v>
      </c>
      <c r="C2305" s="43" t="s">
        <v>7969</v>
      </c>
      <c r="D2305" s="30" t="s">
        <v>7970</v>
      </c>
      <c r="E2305" s="28" t="s">
        <v>31</v>
      </c>
      <c r="F2305" s="28" t="s">
        <v>29</v>
      </c>
      <c r="G2305" s="28" t="s">
        <v>30</v>
      </c>
      <c r="H2305" s="28"/>
      <c r="I2305" s="28" t="s">
        <v>30</v>
      </c>
      <c r="J2305" s="28">
        <v>184.0</v>
      </c>
      <c r="K2305" s="28"/>
      <c r="L2305" s="28" t="s">
        <v>7971</v>
      </c>
      <c r="M2305" s="28" t="s">
        <v>151</v>
      </c>
      <c r="N2305" s="28">
        <v>1983.0</v>
      </c>
      <c r="O2305" s="60">
        <v>13.0</v>
      </c>
      <c r="P2305" s="28">
        <v>1.0</v>
      </c>
      <c r="Q2305" s="32">
        <v>1.0</v>
      </c>
      <c r="R2305" s="33"/>
      <c r="S2305" s="185"/>
      <c r="T2305" s="185"/>
      <c r="U2305" s="185"/>
      <c r="V2305" s="185"/>
      <c r="W2305" s="185"/>
      <c r="X2305" s="185"/>
      <c r="Y2305" s="45"/>
      <c r="Z2305" s="45"/>
      <c r="AA2305" s="45"/>
      <c r="AB2305" s="45"/>
      <c r="AC2305" s="45"/>
      <c r="AD2305" s="45"/>
      <c r="AE2305" s="45"/>
      <c r="AF2305" s="45"/>
      <c r="AG2305" s="45"/>
      <c r="AH2305" s="45"/>
      <c r="AI2305" s="45"/>
      <c r="AJ2305" s="45"/>
      <c r="AK2305" s="45"/>
      <c r="AL2305" s="45"/>
    </row>
    <row r="2306" ht="15.75" customHeight="1">
      <c r="A2306" s="27">
        <f t="shared" si="21"/>
        <v>1185</v>
      </c>
      <c r="B2306" s="28" t="s">
        <v>31</v>
      </c>
      <c r="C2306" s="43" t="s">
        <v>7972</v>
      </c>
      <c r="D2306" s="30" t="s">
        <v>7973</v>
      </c>
      <c r="E2306" s="28" t="s">
        <v>31</v>
      </c>
      <c r="F2306" s="28" t="s">
        <v>29</v>
      </c>
      <c r="G2306" s="28" t="s">
        <v>30</v>
      </c>
      <c r="H2306" s="28"/>
      <c r="I2306" s="28" t="s">
        <v>30</v>
      </c>
      <c r="J2306" s="28">
        <v>76.0</v>
      </c>
      <c r="K2306" s="28"/>
      <c r="L2306" s="28" t="s">
        <v>7974</v>
      </c>
      <c r="M2306" s="28" t="s">
        <v>151</v>
      </c>
      <c r="N2306" s="28">
        <v>1975.0</v>
      </c>
      <c r="O2306" s="60">
        <v>13.0</v>
      </c>
      <c r="P2306" s="28">
        <v>1.0</v>
      </c>
      <c r="Q2306" s="32">
        <v>1.0</v>
      </c>
      <c r="R2306" s="33"/>
      <c r="S2306" s="185"/>
      <c r="T2306" s="185"/>
      <c r="U2306" s="185"/>
      <c r="V2306" s="185"/>
      <c r="W2306" s="185"/>
      <c r="X2306" s="185"/>
      <c r="Y2306" s="3"/>
      <c r="Z2306" s="3"/>
      <c r="AA2306" s="3"/>
      <c r="AB2306" s="3"/>
      <c r="AC2306" s="3"/>
      <c r="AD2306" s="3"/>
      <c r="AE2306" s="3"/>
      <c r="AF2306" s="3"/>
      <c r="AG2306" s="3"/>
      <c r="AH2306" s="3"/>
      <c r="AI2306" s="3"/>
      <c r="AJ2306" s="3"/>
      <c r="AK2306" s="3"/>
      <c r="AL2306" s="3"/>
    </row>
    <row r="2307" ht="15.75" customHeight="1">
      <c r="A2307" s="27">
        <f t="shared" si="21"/>
        <v>1186</v>
      </c>
      <c r="B2307" s="28"/>
      <c r="C2307" s="43" t="s">
        <v>7975</v>
      </c>
      <c r="D2307" s="30" t="s">
        <v>7976</v>
      </c>
      <c r="E2307" s="28" t="s">
        <v>144</v>
      </c>
      <c r="F2307" s="28" t="s">
        <v>29</v>
      </c>
      <c r="G2307" s="28" t="s">
        <v>30</v>
      </c>
      <c r="H2307" s="28"/>
      <c r="I2307" s="28" t="s">
        <v>30</v>
      </c>
      <c r="J2307" s="28">
        <v>84.0</v>
      </c>
      <c r="K2307" s="28"/>
      <c r="L2307" s="28" t="s">
        <v>7977</v>
      </c>
      <c r="M2307" s="28" t="s">
        <v>7978</v>
      </c>
      <c r="N2307" s="28">
        <v>1986.0</v>
      </c>
      <c r="O2307" s="60">
        <v>13.0</v>
      </c>
      <c r="P2307" s="28">
        <v>1.0</v>
      </c>
      <c r="Q2307" s="32">
        <v>1.0</v>
      </c>
      <c r="R2307" s="33"/>
      <c r="S2307" s="185"/>
      <c r="T2307" s="185"/>
      <c r="U2307" s="185"/>
      <c r="V2307" s="185"/>
      <c r="W2307" s="185"/>
      <c r="X2307" s="185"/>
      <c r="Y2307" s="45"/>
      <c r="Z2307" s="45"/>
      <c r="AA2307" s="45"/>
      <c r="AB2307" s="45"/>
      <c r="AC2307" s="45"/>
      <c r="AD2307" s="45"/>
      <c r="AE2307" s="45"/>
      <c r="AF2307" s="45"/>
      <c r="AG2307" s="45"/>
      <c r="AH2307" s="45"/>
      <c r="AI2307" s="45"/>
      <c r="AJ2307" s="45"/>
      <c r="AK2307" s="45"/>
      <c r="AL2307" s="45"/>
    </row>
    <row r="2308" ht="15.75" customHeight="1">
      <c r="A2308" s="27">
        <f t="shared" si="21"/>
        <v>1187</v>
      </c>
      <c r="B2308" s="28" t="s">
        <v>31</v>
      </c>
      <c r="C2308" s="43" t="s">
        <v>7979</v>
      </c>
      <c r="D2308" s="30" t="s">
        <v>7980</v>
      </c>
      <c r="E2308" s="28" t="s">
        <v>31</v>
      </c>
      <c r="F2308" s="28" t="s">
        <v>29</v>
      </c>
      <c r="G2308" s="28" t="s">
        <v>30</v>
      </c>
      <c r="H2308" s="28"/>
      <c r="I2308" s="28" t="s">
        <v>30</v>
      </c>
      <c r="J2308" s="28">
        <v>164.0</v>
      </c>
      <c r="K2308" s="28"/>
      <c r="L2308" s="28" t="s">
        <v>7981</v>
      </c>
      <c r="M2308" s="28" t="s">
        <v>7982</v>
      </c>
      <c r="N2308" s="28">
        <v>2004.0</v>
      </c>
      <c r="O2308" s="60">
        <v>13.0</v>
      </c>
      <c r="P2308" s="28">
        <v>1.0</v>
      </c>
      <c r="Q2308" s="32">
        <v>1.0</v>
      </c>
      <c r="R2308" s="33"/>
      <c r="S2308" s="185"/>
      <c r="T2308" s="185"/>
      <c r="U2308" s="185"/>
      <c r="V2308" s="185"/>
      <c r="W2308" s="185"/>
      <c r="X2308" s="185"/>
      <c r="Y2308" s="45"/>
      <c r="Z2308" s="45"/>
      <c r="AA2308" s="45"/>
      <c r="AB2308" s="45"/>
      <c r="AC2308" s="45"/>
      <c r="AD2308" s="45"/>
      <c r="AE2308" s="45"/>
      <c r="AF2308" s="45"/>
      <c r="AG2308" s="45"/>
      <c r="AH2308" s="45"/>
      <c r="AI2308" s="45"/>
      <c r="AJ2308" s="45"/>
      <c r="AK2308" s="45"/>
      <c r="AL2308" s="45"/>
    </row>
    <row r="2309" ht="15.75" customHeight="1">
      <c r="A2309" s="27">
        <f t="shared" si="21"/>
        <v>1188</v>
      </c>
      <c r="B2309" s="28" t="s">
        <v>7983</v>
      </c>
      <c r="C2309" s="43" t="s">
        <v>7984</v>
      </c>
      <c r="D2309" s="30" t="s">
        <v>7985</v>
      </c>
      <c r="E2309" s="28" t="s">
        <v>31</v>
      </c>
      <c r="F2309" s="28" t="s">
        <v>29</v>
      </c>
      <c r="G2309" s="28" t="s">
        <v>30</v>
      </c>
      <c r="H2309" s="28"/>
      <c r="I2309" s="28" t="s">
        <v>30</v>
      </c>
      <c r="J2309" s="28">
        <v>82.0</v>
      </c>
      <c r="K2309" s="28"/>
      <c r="L2309" s="28" t="s">
        <v>7986</v>
      </c>
      <c r="M2309" s="28" t="s">
        <v>151</v>
      </c>
      <c r="N2309" s="28">
        <v>1994.0</v>
      </c>
      <c r="O2309" s="60">
        <v>13.0</v>
      </c>
      <c r="P2309" s="28">
        <v>1.0</v>
      </c>
      <c r="Q2309" s="32">
        <v>1.0</v>
      </c>
      <c r="R2309" s="33"/>
      <c r="S2309" s="185"/>
      <c r="T2309" s="185"/>
      <c r="U2309" s="185"/>
      <c r="V2309" s="185"/>
      <c r="W2309" s="185"/>
      <c r="X2309" s="185"/>
      <c r="Y2309" s="3"/>
      <c r="Z2309" s="3"/>
      <c r="AA2309" s="3"/>
      <c r="AB2309" s="3"/>
      <c r="AC2309" s="3"/>
      <c r="AD2309" s="3"/>
      <c r="AE2309" s="3"/>
      <c r="AF2309" s="3"/>
      <c r="AG2309" s="3"/>
      <c r="AH2309" s="3"/>
      <c r="AI2309" s="3"/>
      <c r="AJ2309" s="3"/>
      <c r="AK2309" s="3"/>
      <c r="AL2309" s="3"/>
    </row>
    <row r="2310" ht="15.75" customHeight="1">
      <c r="A2310" s="27">
        <f t="shared" si="21"/>
        <v>1189</v>
      </c>
      <c r="B2310" s="28" t="s">
        <v>7987</v>
      </c>
      <c r="C2310" s="43" t="s">
        <v>7988</v>
      </c>
      <c r="D2310" s="30" t="s">
        <v>7989</v>
      </c>
      <c r="E2310" s="28" t="s">
        <v>31</v>
      </c>
      <c r="F2310" s="28" t="s">
        <v>29</v>
      </c>
      <c r="G2310" s="28" t="s">
        <v>37</v>
      </c>
      <c r="H2310" s="28"/>
      <c r="I2310" s="28" t="s">
        <v>38</v>
      </c>
      <c r="J2310" s="28">
        <v>476.0</v>
      </c>
      <c r="K2310" s="28"/>
      <c r="L2310" s="28" t="s">
        <v>7990</v>
      </c>
      <c r="M2310" s="28" t="s">
        <v>7991</v>
      </c>
      <c r="N2310" s="28" t="s">
        <v>31</v>
      </c>
      <c r="O2310" s="60">
        <v>13.0</v>
      </c>
      <c r="P2310" s="28">
        <v>1.0</v>
      </c>
      <c r="Q2310" s="32">
        <v>1.0</v>
      </c>
      <c r="R2310" s="33"/>
      <c r="S2310" s="185"/>
      <c r="T2310" s="185"/>
      <c r="U2310" s="185"/>
      <c r="V2310" s="185"/>
      <c r="W2310" s="185"/>
      <c r="X2310" s="185"/>
      <c r="Y2310" s="45"/>
      <c r="Z2310" s="45"/>
      <c r="AA2310" s="45"/>
      <c r="AB2310" s="45"/>
      <c r="AC2310" s="45"/>
      <c r="AD2310" s="45"/>
      <c r="AE2310" s="45"/>
      <c r="AF2310" s="45"/>
      <c r="AG2310" s="45"/>
      <c r="AH2310" s="45"/>
      <c r="AI2310" s="45"/>
      <c r="AJ2310" s="45"/>
      <c r="AK2310" s="45"/>
      <c r="AL2310" s="45"/>
    </row>
    <row r="2311" ht="15.75" customHeight="1">
      <c r="A2311" s="27">
        <f t="shared" si="21"/>
        <v>1190</v>
      </c>
      <c r="B2311" s="28" t="s">
        <v>31</v>
      </c>
      <c r="C2311" s="43" t="s">
        <v>7992</v>
      </c>
      <c r="D2311" s="30" t="s">
        <v>7993</v>
      </c>
      <c r="E2311" s="28" t="s">
        <v>31</v>
      </c>
      <c r="F2311" s="28" t="s">
        <v>29</v>
      </c>
      <c r="G2311" s="28" t="s">
        <v>30</v>
      </c>
      <c r="H2311" s="28"/>
      <c r="I2311" s="28" t="s">
        <v>30</v>
      </c>
      <c r="J2311" s="28">
        <v>304.0</v>
      </c>
      <c r="K2311" s="28"/>
      <c r="L2311" s="28" t="s">
        <v>7994</v>
      </c>
      <c r="M2311" s="28" t="s">
        <v>7995</v>
      </c>
      <c r="N2311" s="28"/>
      <c r="O2311" s="60">
        <v>13.0</v>
      </c>
      <c r="P2311" s="28">
        <v>1.0</v>
      </c>
      <c r="Q2311" s="94">
        <v>1.0</v>
      </c>
      <c r="R2311" s="33"/>
      <c r="S2311" s="185"/>
      <c r="T2311" s="185"/>
      <c r="U2311" s="185"/>
      <c r="V2311" s="185"/>
      <c r="W2311" s="185"/>
      <c r="X2311" s="185"/>
      <c r="Y2311" s="45"/>
      <c r="Z2311" s="45"/>
      <c r="AA2311" s="45"/>
      <c r="AB2311" s="45"/>
      <c r="AC2311" s="45"/>
      <c r="AD2311" s="45"/>
      <c r="AE2311" s="45"/>
      <c r="AF2311" s="45"/>
      <c r="AG2311" s="45"/>
      <c r="AH2311" s="45"/>
      <c r="AI2311" s="45"/>
      <c r="AJ2311" s="45"/>
      <c r="AK2311" s="45"/>
      <c r="AL2311" s="45"/>
    </row>
    <row r="2312" ht="15.75" customHeight="1">
      <c r="A2312" s="27">
        <f t="shared" si="21"/>
        <v>1191</v>
      </c>
      <c r="B2312" s="28" t="s">
        <v>31</v>
      </c>
      <c r="C2312" s="43" t="s">
        <v>7992</v>
      </c>
      <c r="D2312" s="30" t="s">
        <v>7996</v>
      </c>
      <c r="E2312" s="28" t="s">
        <v>31</v>
      </c>
      <c r="F2312" s="28" t="s">
        <v>29</v>
      </c>
      <c r="G2312" s="28" t="s">
        <v>30</v>
      </c>
      <c r="H2312" s="28"/>
      <c r="I2312" s="28" t="s">
        <v>30</v>
      </c>
      <c r="J2312" s="28">
        <v>434.0</v>
      </c>
      <c r="K2312" s="28"/>
      <c r="L2312" s="28" t="s">
        <v>7994</v>
      </c>
      <c r="M2312" s="28" t="s">
        <v>7995</v>
      </c>
      <c r="N2312" s="28"/>
      <c r="O2312" s="60">
        <v>13.0</v>
      </c>
      <c r="P2312" s="28">
        <v>1.0</v>
      </c>
      <c r="Q2312" s="94">
        <v>1.0</v>
      </c>
      <c r="R2312" s="33"/>
      <c r="S2312" s="185"/>
      <c r="T2312" s="185"/>
      <c r="U2312" s="185"/>
      <c r="V2312" s="185"/>
      <c r="W2312" s="185"/>
      <c r="X2312" s="185"/>
      <c r="Y2312" s="45"/>
      <c r="Z2312" s="45"/>
      <c r="AA2312" s="45"/>
      <c r="AB2312" s="45"/>
      <c r="AC2312" s="45"/>
      <c r="AD2312" s="45"/>
      <c r="AE2312" s="45"/>
      <c r="AF2312" s="45"/>
      <c r="AG2312" s="45"/>
      <c r="AH2312" s="45"/>
      <c r="AI2312" s="45"/>
      <c r="AJ2312" s="45"/>
      <c r="AK2312" s="45"/>
      <c r="AL2312" s="45"/>
    </row>
    <row r="2313" ht="15.75" customHeight="1">
      <c r="A2313" s="27">
        <f t="shared" si="21"/>
        <v>1192</v>
      </c>
      <c r="B2313" s="28" t="s">
        <v>31</v>
      </c>
      <c r="C2313" s="43" t="s">
        <v>7992</v>
      </c>
      <c r="D2313" s="30" t="s">
        <v>7997</v>
      </c>
      <c r="E2313" s="28" t="s">
        <v>31</v>
      </c>
      <c r="F2313" s="28" t="s">
        <v>29</v>
      </c>
      <c r="G2313" s="28" t="s">
        <v>30</v>
      </c>
      <c r="H2313" s="28"/>
      <c r="I2313" s="28" t="s">
        <v>30</v>
      </c>
      <c r="J2313" s="28">
        <v>452.0</v>
      </c>
      <c r="K2313" s="28"/>
      <c r="L2313" s="28" t="s">
        <v>7994</v>
      </c>
      <c r="M2313" s="28" t="s">
        <v>7995</v>
      </c>
      <c r="N2313" s="28"/>
      <c r="O2313" s="60">
        <v>13.0</v>
      </c>
      <c r="P2313" s="28">
        <v>1.0</v>
      </c>
      <c r="Q2313" s="94">
        <v>1.0</v>
      </c>
      <c r="R2313" s="33"/>
      <c r="S2313" s="185"/>
      <c r="T2313" s="185"/>
      <c r="U2313" s="185"/>
      <c r="V2313" s="185"/>
      <c r="W2313" s="185"/>
      <c r="X2313" s="185"/>
      <c r="Y2313" s="45"/>
      <c r="Z2313" s="45"/>
      <c r="AA2313" s="45"/>
      <c r="AB2313" s="45"/>
      <c r="AC2313" s="45"/>
      <c r="AD2313" s="45"/>
      <c r="AE2313" s="45"/>
      <c r="AF2313" s="45"/>
      <c r="AG2313" s="45"/>
      <c r="AH2313" s="45"/>
      <c r="AI2313" s="45"/>
      <c r="AJ2313" s="45"/>
      <c r="AK2313" s="45"/>
      <c r="AL2313" s="45"/>
    </row>
    <row r="2314" ht="15.75" customHeight="1">
      <c r="A2314" s="27">
        <f t="shared" si="21"/>
        <v>1193</v>
      </c>
      <c r="B2314" s="28" t="s">
        <v>7998</v>
      </c>
      <c r="C2314" s="43" t="s">
        <v>7999</v>
      </c>
      <c r="D2314" s="30" t="s">
        <v>8000</v>
      </c>
      <c r="E2314" s="28" t="s">
        <v>31</v>
      </c>
      <c r="F2314" s="28" t="s">
        <v>29</v>
      </c>
      <c r="G2314" s="28" t="s">
        <v>30</v>
      </c>
      <c r="H2314" s="28"/>
      <c r="I2314" s="28" t="s">
        <v>30</v>
      </c>
      <c r="J2314" s="28">
        <v>400.0</v>
      </c>
      <c r="K2314" s="28"/>
      <c r="L2314" s="28" t="s">
        <v>8001</v>
      </c>
      <c r="M2314" s="28" t="s">
        <v>151</v>
      </c>
      <c r="N2314" s="28">
        <v>2003.0</v>
      </c>
      <c r="O2314" s="60">
        <v>13.0</v>
      </c>
      <c r="P2314" s="28">
        <v>1.0</v>
      </c>
      <c r="Q2314" s="32">
        <v>1.0</v>
      </c>
      <c r="R2314" s="33"/>
      <c r="S2314" s="185"/>
      <c r="T2314" s="185"/>
      <c r="U2314" s="185"/>
      <c r="V2314" s="185"/>
      <c r="W2314" s="185"/>
      <c r="X2314" s="185"/>
      <c r="Y2314" s="45"/>
      <c r="Z2314" s="45"/>
      <c r="AA2314" s="45"/>
      <c r="AB2314" s="45"/>
      <c r="AC2314" s="45"/>
      <c r="AD2314" s="45"/>
      <c r="AE2314" s="45"/>
      <c r="AF2314" s="45"/>
      <c r="AG2314" s="45"/>
      <c r="AH2314" s="45"/>
      <c r="AI2314" s="45"/>
      <c r="AJ2314" s="45"/>
      <c r="AK2314" s="45"/>
      <c r="AL2314" s="45"/>
    </row>
    <row r="2315" ht="15.75" customHeight="1">
      <c r="A2315" s="27">
        <f t="shared" si="21"/>
        <v>1194</v>
      </c>
      <c r="B2315" s="28" t="s">
        <v>31</v>
      </c>
      <c r="C2315" s="43" t="s">
        <v>8002</v>
      </c>
      <c r="D2315" s="30" t="s">
        <v>8003</v>
      </c>
      <c r="E2315" s="28" t="s">
        <v>31</v>
      </c>
      <c r="F2315" s="28" t="s">
        <v>29</v>
      </c>
      <c r="G2315" s="28" t="s">
        <v>30</v>
      </c>
      <c r="H2315" s="28"/>
      <c r="I2315" s="28" t="s">
        <v>30</v>
      </c>
      <c r="J2315" s="28">
        <v>775.0</v>
      </c>
      <c r="K2315" s="28"/>
      <c r="L2315" s="28" t="s">
        <v>8004</v>
      </c>
      <c r="M2315" s="28" t="s">
        <v>8005</v>
      </c>
      <c r="N2315" s="28">
        <v>1979.0</v>
      </c>
      <c r="O2315" s="60">
        <v>13.0</v>
      </c>
      <c r="P2315" s="28">
        <v>3.0</v>
      </c>
      <c r="Q2315" s="32">
        <v>3.0</v>
      </c>
      <c r="R2315" s="33"/>
      <c r="S2315" s="185"/>
      <c r="T2315" s="185"/>
      <c r="U2315" s="185"/>
      <c r="V2315" s="185"/>
      <c r="W2315" s="185"/>
      <c r="X2315" s="185"/>
      <c r="Y2315" s="45"/>
      <c r="Z2315" s="45"/>
      <c r="AA2315" s="45"/>
      <c r="AB2315" s="45"/>
      <c r="AC2315" s="45"/>
      <c r="AD2315" s="45"/>
      <c r="AE2315" s="45"/>
      <c r="AF2315" s="45"/>
      <c r="AG2315" s="45"/>
      <c r="AH2315" s="45"/>
      <c r="AI2315" s="45"/>
      <c r="AJ2315" s="45"/>
      <c r="AK2315" s="45"/>
      <c r="AL2315" s="45"/>
    </row>
    <row r="2316" ht="15.75" customHeight="1">
      <c r="A2316" s="27">
        <f t="shared" si="21"/>
        <v>1195</v>
      </c>
      <c r="B2316" s="28" t="s">
        <v>31</v>
      </c>
      <c r="C2316" s="43" t="s">
        <v>8006</v>
      </c>
      <c r="D2316" s="30" t="s">
        <v>8007</v>
      </c>
      <c r="E2316" s="28" t="s">
        <v>31</v>
      </c>
      <c r="F2316" s="28" t="s">
        <v>29</v>
      </c>
      <c r="G2316" s="28" t="s">
        <v>37</v>
      </c>
      <c r="H2316" s="28"/>
      <c r="I2316" s="28" t="s">
        <v>38</v>
      </c>
      <c r="J2316" s="28">
        <v>415.0</v>
      </c>
      <c r="K2316" s="28"/>
      <c r="L2316" s="28" t="s">
        <v>8008</v>
      </c>
      <c r="M2316" s="28" t="s">
        <v>196</v>
      </c>
      <c r="N2316" s="28">
        <v>1976.0</v>
      </c>
      <c r="O2316" s="60">
        <v>13.0</v>
      </c>
      <c r="P2316" s="28">
        <v>1.0</v>
      </c>
      <c r="Q2316" s="32">
        <v>1.0</v>
      </c>
      <c r="R2316" s="33"/>
      <c r="S2316" s="185"/>
      <c r="T2316" s="185"/>
      <c r="U2316" s="185"/>
      <c r="V2316" s="185"/>
      <c r="W2316" s="185"/>
      <c r="X2316" s="185"/>
      <c r="Y2316" s="45"/>
      <c r="Z2316" s="45"/>
      <c r="AA2316" s="45"/>
      <c r="AB2316" s="45"/>
      <c r="AC2316" s="45"/>
      <c r="AD2316" s="45"/>
      <c r="AE2316" s="45"/>
      <c r="AF2316" s="45"/>
      <c r="AG2316" s="45"/>
      <c r="AH2316" s="45"/>
      <c r="AI2316" s="45"/>
      <c r="AJ2316" s="45"/>
      <c r="AK2316" s="45"/>
      <c r="AL2316" s="45"/>
    </row>
    <row r="2317" ht="15.75" customHeight="1">
      <c r="A2317" s="27">
        <f t="shared" si="21"/>
        <v>1196</v>
      </c>
      <c r="B2317" s="28"/>
      <c r="C2317" s="43" t="s">
        <v>8009</v>
      </c>
      <c r="D2317" s="30" t="s">
        <v>8010</v>
      </c>
      <c r="E2317" s="28"/>
      <c r="F2317" s="28" t="s">
        <v>29</v>
      </c>
      <c r="G2317" s="28" t="s">
        <v>30</v>
      </c>
      <c r="H2317" s="28"/>
      <c r="I2317" s="28" t="s">
        <v>30</v>
      </c>
      <c r="J2317" s="28">
        <v>760.0</v>
      </c>
      <c r="K2317" s="28"/>
      <c r="L2317" s="28" t="s">
        <v>8011</v>
      </c>
      <c r="M2317" s="28" t="s">
        <v>151</v>
      </c>
      <c r="N2317" s="28">
        <v>1980.0</v>
      </c>
      <c r="O2317" s="60">
        <v>13.0</v>
      </c>
      <c r="P2317" s="28">
        <v>1.0</v>
      </c>
      <c r="Q2317" s="32">
        <v>1.0</v>
      </c>
      <c r="R2317" s="33"/>
      <c r="S2317" s="185"/>
      <c r="T2317" s="185"/>
      <c r="U2317" s="185"/>
      <c r="V2317" s="185"/>
      <c r="W2317" s="185"/>
      <c r="X2317" s="185"/>
      <c r="Y2317" s="45"/>
      <c r="Z2317" s="45"/>
      <c r="AA2317" s="45"/>
      <c r="AB2317" s="45"/>
      <c r="AC2317" s="45"/>
      <c r="AD2317" s="45"/>
      <c r="AE2317" s="45"/>
      <c r="AF2317" s="45"/>
      <c r="AG2317" s="45"/>
      <c r="AH2317" s="45"/>
      <c r="AI2317" s="45"/>
      <c r="AJ2317" s="45"/>
      <c r="AK2317" s="45"/>
      <c r="AL2317" s="45"/>
    </row>
    <row r="2318" ht="15.75" customHeight="1">
      <c r="A2318" s="27">
        <f t="shared" si="21"/>
        <v>1197</v>
      </c>
      <c r="B2318" s="28" t="s">
        <v>8012</v>
      </c>
      <c r="C2318" s="43" t="s">
        <v>8013</v>
      </c>
      <c r="D2318" s="30" t="s">
        <v>8014</v>
      </c>
      <c r="E2318" s="28" t="s">
        <v>31</v>
      </c>
      <c r="F2318" s="28" t="s">
        <v>29</v>
      </c>
      <c r="G2318" s="28" t="s">
        <v>30</v>
      </c>
      <c r="H2318" s="28"/>
      <c r="I2318" s="28" t="s">
        <v>30</v>
      </c>
      <c r="J2318" s="28">
        <v>245.0</v>
      </c>
      <c r="K2318" s="28"/>
      <c r="L2318" s="28" t="s">
        <v>8015</v>
      </c>
      <c r="M2318" s="28" t="s">
        <v>6669</v>
      </c>
      <c r="N2318" s="28">
        <v>2001.0</v>
      </c>
      <c r="O2318" s="60">
        <v>13.0</v>
      </c>
      <c r="P2318" s="28">
        <v>1.0</v>
      </c>
      <c r="Q2318" s="32">
        <v>1.0</v>
      </c>
      <c r="R2318" s="33"/>
      <c r="S2318" s="185"/>
      <c r="T2318" s="185"/>
      <c r="U2318" s="185"/>
      <c r="V2318" s="185"/>
      <c r="W2318" s="185"/>
      <c r="X2318" s="185"/>
      <c r="Y2318" s="45"/>
      <c r="Z2318" s="45"/>
      <c r="AA2318" s="45"/>
      <c r="AB2318" s="45"/>
      <c r="AC2318" s="45"/>
      <c r="AD2318" s="45"/>
      <c r="AE2318" s="45"/>
      <c r="AF2318" s="45"/>
      <c r="AG2318" s="45"/>
      <c r="AH2318" s="45"/>
      <c r="AI2318" s="45"/>
      <c r="AJ2318" s="45"/>
      <c r="AK2318" s="45"/>
      <c r="AL2318" s="45"/>
    </row>
    <row r="2319" ht="15.75" customHeight="1">
      <c r="A2319" s="27">
        <f t="shared" si="21"/>
        <v>1198</v>
      </c>
      <c r="B2319" s="28" t="s">
        <v>31</v>
      </c>
      <c r="C2319" s="43" t="s">
        <v>8016</v>
      </c>
      <c r="D2319" s="30" t="s">
        <v>8017</v>
      </c>
      <c r="E2319" s="28" t="s">
        <v>31</v>
      </c>
      <c r="F2319" s="28" t="s">
        <v>29</v>
      </c>
      <c r="G2319" s="28" t="s">
        <v>30</v>
      </c>
      <c r="H2319" s="28"/>
      <c r="I2319" s="28" t="s">
        <v>30</v>
      </c>
      <c r="J2319" s="28">
        <v>294.0</v>
      </c>
      <c r="K2319" s="28"/>
      <c r="L2319" s="28" t="s">
        <v>8018</v>
      </c>
      <c r="M2319" s="28" t="s">
        <v>8019</v>
      </c>
      <c r="N2319" s="28">
        <v>2004.0</v>
      </c>
      <c r="O2319" s="60">
        <v>13.0</v>
      </c>
      <c r="P2319" s="28">
        <v>1.0</v>
      </c>
      <c r="Q2319" s="32">
        <v>1.0</v>
      </c>
      <c r="R2319" s="33"/>
      <c r="S2319" s="185"/>
      <c r="T2319" s="185"/>
      <c r="U2319" s="185"/>
      <c r="V2319" s="185"/>
      <c r="W2319" s="185"/>
      <c r="X2319" s="185"/>
      <c r="Y2319" s="45"/>
      <c r="Z2319" s="45"/>
      <c r="AA2319" s="45"/>
      <c r="AB2319" s="45"/>
      <c r="AC2319" s="45"/>
      <c r="AD2319" s="45"/>
      <c r="AE2319" s="45"/>
      <c r="AF2319" s="45"/>
      <c r="AG2319" s="45"/>
      <c r="AH2319" s="45"/>
      <c r="AI2319" s="45"/>
      <c r="AJ2319" s="45"/>
      <c r="AK2319" s="45"/>
      <c r="AL2319" s="45"/>
    </row>
    <row r="2320" ht="15.75" customHeight="1">
      <c r="A2320" s="27">
        <f t="shared" si="21"/>
        <v>1199</v>
      </c>
      <c r="B2320" s="28" t="s">
        <v>8020</v>
      </c>
      <c r="C2320" s="43" t="s">
        <v>8021</v>
      </c>
      <c r="D2320" s="30" t="s">
        <v>8022</v>
      </c>
      <c r="E2320" s="28" t="s">
        <v>144</v>
      </c>
      <c r="F2320" s="28" t="s">
        <v>29</v>
      </c>
      <c r="G2320" s="28" t="s">
        <v>30</v>
      </c>
      <c r="H2320" s="28" t="s">
        <v>31</v>
      </c>
      <c r="I2320" s="28" t="s">
        <v>30</v>
      </c>
      <c r="J2320" s="28">
        <v>298.0</v>
      </c>
      <c r="K2320" s="28"/>
      <c r="L2320" s="28" t="s">
        <v>3023</v>
      </c>
      <c r="M2320" s="28" t="s">
        <v>161</v>
      </c>
      <c r="N2320" s="28">
        <v>2014.0</v>
      </c>
      <c r="O2320" s="60">
        <v>13.0</v>
      </c>
      <c r="P2320" s="28">
        <v>1.0</v>
      </c>
      <c r="Q2320" s="32">
        <v>1.0</v>
      </c>
      <c r="R2320" s="33"/>
      <c r="S2320" s="185"/>
      <c r="T2320" s="185"/>
      <c r="U2320" s="185"/>
      <c r="V2320" s="185"/>
      <c r="W2320" s="185"/>
      <c r="X2320" s="185"/>
      <c r="Y2320" s="3"/>
      <c r="Z2320" s="3"/>
      <c r="AA2320" s="3"/>
      <c r="AB2320" s="3"/>
      <c r="AC2320" s="3"/>
      <c r="AD2320" s="3"/>
      <c r="AE2320" s="3"/>
      <c r="AF2320" s="3"/>
      <c r="AG2320" s="3"/>
      <c r="AH2320" s="3"/>
      <c r="AI2320" s="3"/>
      <c r="AJ2320" s="3"/>
      <c r="AK2320" s="3"/>
      <c r="AL2320" s="3"/>
    </row>
    <row r="2321" ht="15.75" customHeight="1">
      <c r="A2321" s="27">
        <f t="shared" si="21"/>
        <v>1200</v>
      </c>
      <c r="B2321" s="28" t="s">
        <v>31</v>
      </c>
      <c r="C2321" s="43" t="s">
        <v>8023</v>
      </c>
      <c r="D2321" s="30" t="s">
        <v>8024</v>
      </c>
      <c r="E2321" s="28" t="s">
        <v>31</v>
      </c>
      <c r="F2321" s="28" t="s">
        <v>29</v>
      </c>
      <c r="G2321" s="28" t="s">
        <v>30</v>
      </c>
      <c r="H2321" s="28"/>
      <c r="I2321" s="28" t="s">
        <v>30</v>
      </c>
      <c r="J2321" s="28">
        <v>234.0</v>
      </c>
      <c r="K2321" s="28"/>
      <c r="L2321" s="28" t="s">
        <v>8025</v>
      </c>
      <c r="M2321" s="28" t="s">
        <v>3341</v>
      </c>
      <c r="N2321" s="28">
        <v>2007.0</v>
      </c>
      <c r="O2321" s="60">
        <v>13.0</v>
      </c>
      <c r="P2321" s="28">
        <v>1.0</v>
      </c>
      <c r="Q2321" s="32">
        <v>1.0</v>
      </c>
      <c r="R2321" s="33"/>
      <c r="S2321" s="185"/>
      <c r="T2321" s="185"/>
      <c r="U2321" s="185"/>
      <c r="V2321" s="185"/>
      <c r="W2321" s="185"/>
      <c r="X2321" s="185"/>
      <c r="Y2321" s="45"/>
      <c r="Z2321" s="45"/>
      <c r="AA2321" s="45"/>
      <c r="AB2321" s="45"/>
      <c r="AC2321" s="45"/>
      <c r="AD2321" s="45"/>
      <c r="AE2321" s="45"/>
      <c r="AF2321" s="45"/>
      <c r="AG2321" s="45"/>
      <c r="AH2321" s="45"/>
      <c r="AI2321" s="45"/>
      <c r="AJ2321" s="45"/>
      <c r="AK2321" s="45"/>
      <c r="AL2321" s="45"/>
    </row>
    <row r="2322" ht="15.75" customHeight="1">
      <c r="A2322" s="27">
        <f t="shared" si="21"/>
        <v>1201</v>
      </c>
      <c r="B2322" s="28" t="s">
        <v>8026</v>
      </c>
      <c r="C2322" s="43" t="s">
        <v>8027</v>
      </c>
      <c r="D2322" s="30" t="s">
        <v>8028</v>
      </c>
      <c r="E2322" s="28" t="s">
        <v>31</v>
      </c>
      <c r="F2322" s="28" t="s">
        <v>29</v>
      </c>
      <c r="G2322" s="28" t="s">
        <v>30</v>
      </c>
      <c r="H2322" s="28"/>
      <c r="I2322" s="28" t="s">
        <v>30</v>
      </c>
      <c r="J2322" s="28">
        <v>306.0</v>
      </c>
      <c r="K2322" s="28"/>
      <c r="L2322" s="28" t="s">
        <v>8029</v>
      </c>
      <c r="M2322" s="28" t="s">
        <v>8030</v>
      </c>
      <c r="N2322" s="28">
        <v>2006.0</v>
      </c>
      <c r="O2322" s="60">
        <v>13.0</v>
      </c>
      <c r="P2322" s="28">
        <v>1.0</v>
      </c>
      <c r="Q2322" s="32">
        <v>1.0</v>
      </c>
      <c r="R2322" s="33"/>
      <c r="S2322" s="185"/>
      <c r="T2322" s="185"/>
      <c r="U2322" s="185"/>
      <c r="V2322" s="185"/>
      <c r="W2322" s="185"/>
      <c r="X2322" s="185"/>
      <c r="Y2322" s="45"/>
      <c r="Z2322" s="45"/>
      <c r="AA2322" s="45"/>
      <c r="AB2322" s="45"/>
      <c r="AC2322" s="45"/>
      <c r="AD2322" s="45"/>
      <c r="AE2322" s="45"/>
      <c r="AF2322" s="45"/>
      <c r="AG2322" s="45"/>
      <c r="AH2322" s="45"/>
      <c r="AI2322" s="45"/>
      <c r="AJ2322" s="45"/>
      <c r="AK2322" s="45"/>
      <c r="AL2322" s="45"/>
    </row>
    <row r="2323" ht="15.75" customHeight="1">
      <c r="A2323" s="27">
        <f t="shared" si="21"/>
        <v>1202</v>
      </c>
      <c r="B2323" s="28" t="s">
        <v>31</v>
      </c>
      <c r="C2323" s="43" t="s">
        <v>8031</v>
      </c>
      <c r="D2323" s="30" t="s">
        <v>8032</v>
      </c>
      <c r="E2323" s="28" t="s">
        <v>31</v>
      </c>
      <c r="F2323" s="28" t="s">
        <v>29</v>
      </c>
      <c r="G2323" s="28" t="s">
        <v>30</v>
      </c>
      <c r="H2323" s="28"/>
      <c r="I2323" s="28" t="s">
        <v>30</v>
      </c>
      <c r="J2323" s="28">
        <v>503.0</v>
      </c>
      <c r="K2323" s="28"/>
      <c r="L2323" s="28" t="s">
        <v>8033</v>
      </c>
      <c r="M2323" s="28" t="s">
        <v>4762</v>
      </c>
      <c r="N2323" s="28">
        <v>2001.0</v>
      </c>
      <c r="O2323" s="60">
        <v>13.0</v>
      </c>
      <c r="P2323" s="28">
        <v>1.0</v>
      </c>
      <c r="Q2323" s="32">
        <v>1.0</v>
      </c>
      <c r="R2323" s="33"/>
      <c r="S2323" s="185"/>
      <c r="T2323" s="185"/>
      <c r="U2323" s="185"/>
      <c r="V2323" s="185"/>
      <c r="W2323" s="185"/>
      <c r="X2323" s="185"/>
      <c r="Y2323" s="3"/>
      <c r="Z2323" s="3"/>
      <c r="AA2323" s="3"/>
      <c r="AB2323" s="3"/>
      <c r="AC2323" s="3"/>
      <c r="AD2323" s="3"/>
      <c r="AE2323" s="3"/>
      <c r="AF2323" s="3"/>
      <c r="AG2323" s="3"/>
      <c r="AH2323" s="3"/>
      <c r="AI2323" s="3"/>
      <c r="AJ2323" s="3"/>
      <c r="AK2323" s="3"/>
      <c r="AL2323" s="3"/>
    </row>
    <row r="2324" ht="15.75" customHeight="1">
      <c r="A2324" s="27">
        <f t="shared" si="21"/>
        <v>1203</v>
      </c>
      <c r="B2324" s="28" t="s">
        <v>8034</v>
      </c>
      <c r="C2324" s="43" t="s">
        <v>8035</v>
      </c>
      <c r="D2324" s="30" t="s">
        <v>8036</v>
      </c>
      <c r="E2324" s="28" t="s">
        <v>144</v>
      </c>
      <c r="F2324" s="28" t="s">
        <v>29</v>
      </c>
      <c r="G2324" s="28" t="s">
        <v>37</v>
      </c>
      <c r="H2324" s="28"/>
      <c r="I2324" s="28" t="s">
        <v>30</v>
      </c>
      <c r="J2324" s="28">
        <v>223.0</v>
      </c>
      <c r="K2324" s="28"/>
      <c r="L2324" s="28" t="s">
        <v>8037</v>
      </c>
      <c r="M2324" s="28" t="s">
        <v>2567</v>
      </c>
      <c r="N2324" s="28">
        <v>1995.0</v>
      </c>
      <c r="O2324" s="60">
        <v>13.0</v>
      </c>
      <c r="P2324" s="28">
        <v>1.0</v>
      </c>
      <c r="Q2324" s="32">
        <v>1.0</v>
      </c>
      <c r="R2324" s="33"/>
      <c r="S2324" s="185"/>
      <c r="T2324" s="185"/>
      <c r="U2324" s="185"/>
      <c r="V2324" s="185"/>
      <c r="W2324" s="185"/>
      <c r="X2324" s="185"/>
      <c r="Y2324" s="3"/>
      <c r="Z2324" s="3"/>
      <c r="AA2324" s="3"/>
      <c r="AB2324" s="3"/>
      <c r="AC2324" s="3"/>
      <c r="AD2324" s="3"/>
      <c r="AE2324" s="3"/>
      <c r="AF2324" s="3"/>
      <c r="AG2324" s="3"/>
      <c r="AH2324" s="3"/>
      <c r="AI2324" s="3"/>
      <c r="AJ2324" s="3"/>
      <c r="AK2324" s="3"/>
      <c r="AL2324" s="3"/>
    </row>
    <row r="2325" ht="15.75" customHeight="1">
      <c r="A2325" s="27">
        <f t="shared" si="21"/>
        <v>1204</v>
      </c>
      <c r="B2325" s="28" t="s">
        <v>8038</v>
      </c>
      <c r="C2325" s="43" t="s">
        <v>8039</v>
      </c>
      <c r="D2325" s="30" t="s">
        <v>8040</v>
      </c>
      <c r="E2325" s="28" t="s">
        <v>31</v>
      </c>
      <c r="F2325" s="28" t="s">
        <v>29</v>
      </c>
      <c r="G2325" s="28" t="s">
        <v>37</v>
      </c>
      <c r="H2325" s="28"/>
      <c r="I2325" s="28" t="s">
        <v>38</v>
      </c>
      <c r="J2325" s="28">
        <v>156.0</v>
      </c>
      <c r="K2325" s="28"/>
      <c r="L2325" s="28" t="s">
        <v>8041</v>
      </c>
      <c r="M2325" s="28" t="s">
        <v>8042</v>
      </c>
      <c r="N2325" s="28"/>
      <c r="O2325" s="60">
        <v>13.0</v>
      </c>
      <c r="P2325" s="28">
        <v>1.0</v>
      </c>
      <c r="Q2325" s="32">
        <v>1.0</v>
      </c>
      <c r="R2325" s="33"/>
      <c r="S2325" s="185"/>
      <c r="T2325" s="185"/>
      <c r="U2325" s="185"/>
      <c r="V2325" s="185"/>
      <c r="W2325" s="185"/>
      <c r="X2325" s="185"/>
      <c r="Y2325" s="3"/>
      <c r="Z2325" s="3"/>
      <c r="AA2325" s="3"/>
      <c r="AB2325" s="3"/>
      <c r="AC2325" s="3"/>
      <c r="AD2325" s="3"/>
      <c r="AE2325" s="3"/>
      <c r="AF2325" s="3"/>
      <c r="AG2325" s="3"/>
      <c r="AH2325" s="3"/>
      <c r="AI2325" s="3"/>
      <c r="AJ2325" s="3"/>
      <c r="AK2325" s="3"/>
      <c r="AL2325" s="3"/>
    </row>
    <row r="2326" ht="15.75" customHeight="1">
      <c r="A2326" s="27">
        <f t="shared" si="21"/>
        <v>1205</v>
      </c>
      <c r="B2326" s="28" t="s">
        <v>31</v>
      </c>
      <c r="C2326" s="43" t="s">
        <v>8043</v>
      </c>
      <c r="D2326" s="30" t="s">
        <v>8044</v>
      </c>
      <c r="E2326" s="28" t="s">
        <v>31</v>
      </c>
      <c r="F2326" s="28" t="s">
        <v>29</v>
      </c>
      <c r="G2326" s="28" t="s">
        <v>30</v>
      </c>
      <c r="H2326" s="28"/>
      <c r="I2326" s="28" t="s">
        <v>30</v>
      </c>
      <c r="J2326" s="28">
        <v>282.0</v>
      </c>
      <c r="K2326" s="28"/>
      <c r="L2326" s="28" t="s">
        <v>8045</v>
      </c>
      <c r="M2326" s="28" t="s">
        <v>4166</v>
      </c>
      <c r="N2326" s="28">
        <v>2002.0</v>
      </c>
      <c r="O2326" s="60">
        <v>13.0</v>
      </c>
      <c r="P2326" s="28">
        <v>1.0</v>
      </c>
      <c r="Q2326" s="32">
        <v>1.0</v>
      </c>
      <c r="R2326" s="33"/>
      <c r="S2326" s="185"/>
      <c r="T2326" s="185"/>
      <c r="U2326" s="185"/>
      <c r="V2326" s="185"/>
      <c r="W2326" s="185"/>
      <c r="X2326" s="185"/>
      <c r="Y2326" s="3"/>
      <c r="Z2326" s="3"/>
      <c r="AA2326" s="3"/>
      <c r="AB2326" s="3"/>
      <c r="AC2326" s="3"/>
      <c r="AD2326" s="3"/>
      <c r="AE2326" s="3"/>
      <c r="AF2326" s="3"/>
      <c r="AG2326" s="3"/>
      <c r="AH2326" s="3"/>
      <c r="AI2326" s="3"/>
      <c r="AJ2326" s="3"/>
      <c r="AK2326" s="3"/>
      <c r="AL2326" s="3"/>
    </row>
    <row r="2327" ht="15.75" customHeight="1">
      <c r="A2327" s="27">
        <f t="shared" si="21"/>
        <v>1206</v>
      </c>
      <c r="B2327" s="28" t="s">
        <v>8046</v>
      </c>
      <c r="C2327" s="43" t="s">
        <v>8047</v>
      </c>
      <c r="D2327" s="30" t="s">
        <v>8048</v>
      </c>
      <c r="E2327" s="28" t="s">
        <v>31</v>
      </c>
      <c r="F2327" s="28" t="s">
        <v>29</v>
      </c>
      <c r="G2327" s="28" t="s">
        <v>30</v>
      </c>
      <c r="H2327" s="28"/>
      <c r="I2327" s="28" t="s">
        <v>30</v>
      </c>
      <c r="J2327" s="28">
        <v>411.0</v>
      </c>
      <c r="K2327" s="28"/>
      <c r="L2327" s="28" t="s">
        <v>8049</v>
      </c>
      <c r="M2327" s="28" t="s">
        <v>2494</v>
      </c>
      <c r="N2327" s="28">
        <v>2004.0</v>
      </c>
      <c r="O2327" s="60">
        <v>13.0</v>
      </c>
      <c r="P2327" s="28">
        <v>1.0</v>
      </c>
      <c r="Q2327" s="32">
        <v>1.0</v>
      </c>
      <c r="R2327" s="33"/>
      <c r="S2327" s="185"/>
      <c r="T2327" s="185"/>
      <c r="U2327" s="185"/>
      <c r="V2327" s="185"/>
      <c r="W2327" s="185"/>
      <c r="X2327" s="185"/>
      <c r="Y2327" s="3"/>
      <c r="Z2327" s="3"/>
      <c r="AA2327" s="3"/>
      <c r="AB2327" s="3"/>
      <c r="AC2327" s="3"/>
      <c r="AD2327" s="3"/>
      <c r="AE2327" s="3"/>
      <c r="AF2327" s="3"/>
      <c r="AG2327" s="3"/>
      <c r="AH2327" s="3"/>
      <c r="AI2327" s="3"/>
      <c r="AJ2327" s="3"/>
      <c r="AK2327" s="3"/>
      <c r="AL2327" s="3"/>
    </row>
    <row r="2328" ht="15.75" customHeight="1">
      <c r="A2328" s="27">
        <f t="shared" si="21"/>
        <v>1207</v>
      </c>
      <c r="B2328" s="28"/>
      <c r="C2328" s="43" t="s">
        <v>8050</v>
      </c>
      <c r="D2328" s="30" t="s">
        <v>8051</v>
      </c>
      <c r="E2328" s="28" t="s">
        <v>144</v>
      </c>
      <c r="F2328" s="28" t="s">
        <v>29</v>
      </c>
      <c r="G2328" s="28" t="s">
        <v>30</v>
      </c>
      <c r="H2328" s="28"/>
      <c r="I2328" s="28" t="s">
        <v>159</v>
      </c>
      <c r="J2328" s="28">
        <v>128.0</v>
      </c>
      <c r="K2328" s="28"/>
      <c r="L2328" s="28" t="s">
        <v>8052</v>
      </c>
      <c r="M2328" s="28" t="s">
        <v>2258</v>
      </c>
      <c r="N2328" s="28">
        <v>2000.0</v>
      </c>
      <c r="O2328" s="60">
        <v>13.0</v>
      </c>
      <c r="P2328" s="28">
        <v>2.0</v>
      </c>
      <c r="Q2328" s="94">
        <v>2.0</v>
      </c>
      <c r="R2328" s="33"/>
      <c r="S2328" s="185"/>
      <c r="T2328" s="185"/>
      <c r="U2328" s="185"/>
      <c r="V2328" s="185"/>
      <c r="W2328" s="185"/>
      <c r="X2328" s="185"/>
      <c r="Y2328" s="45"/>
      <c r="Z2328" s="45"/>
      <c r="AA2328" s="45"/>
      <c r="AB2328" s="45"/>
      <c r="AC2328" s="45"/>
      <c r="AD2328" s="45"/>
      <c r="AE2328" s="45"/>
      <c r="AF2328" s="45"/>
      <c r="AG2328" s="45"/>
      <c r="AH2328" s="45"/>
      <c r="AI2328" s="45"/>
      <c r="AJ2328" s="45"/>
      <c r="AK2328" s="45"/>
      <c r="AL2328" s="45"/>
    </row>
    <row r="2329" ht="15.75" customHeight="1">
      <c r="A2329" s="27">
        <f t="shared" si="21"/>
        <v>1208</v>
      </c>
      <c r="B2329" s="28" t="s">
        <v>8053</v>
      </c>
      <c r="C2329" s="43" t="s">
        <v>8054</v>
      </c>
      <c r="D2329" s="30" t="s">
        <v>8055</v>
      </c>
      <c r="E2329" s="28" t="s">
        <v>31</v>
      </c>
      <c r="F2329" s="28" t="s">
        <v>29</v>
      </c>
      <c r="G2329" s="28" t="s">
        <v>30</v>
      </c>
      <c r="H2329" s="28"/>
      <c r="I2329" s="28" t="s">
        <v>30</v>
      </c>
      <c r="J2329" s="28">
        <v>181.0</v>
      </c>
      <c r="K2329" s="28"/>
      <c r="L2329" s="28" t="s">
        <v>8056</v>
      </c>
      <c r="M2329" s="28" t="s">
        <v>151</v>
      </c>
      <c r="N2329" s="28">
        <v>2008.0</v>
      </c>
      <c r="O2329" s="60">
        <v>13.0</v>
      </c>
      <c r="P2329" s="28">
        <v>1.0</v>
      </c>
      <c r="Q2329" s="32">
        <v>1.0</v>
      </c>
      <c r="R2329" s="33"/>
      <c r="S2329" s="185"/>
      <c r="T2329" s="185"/>
      <c r="U2329" s="185"/>
      <c r="V2329" s="185"/>
      <c r="W2329" s="185"/>
      <c r="X2329" s="185"/>
      <c r="Y2329" s="45"/>
      <c r="Z2329" s="45"/>
      <c r="AA2329" s="45"/>
      <c r="AB2329" s="45"/>
      <c r="AC2329" s="45"/>
      <c r="AD2329" s="45"/>
      <c r="AE2329" s="45"/>
      <c r="AF2329" s="45"/>
      <c r="AG2329" s="45"/>
      <c r="AH2329" s="45"/>
      <c r="AI2329" s="45"/>
      <c r="AJ2329" s="45"/>
      <c r="AK2329" s="45"/>
      <c r="AL2329" s="45"/>
    </row>
    <row r="2330" ht="15.75" customHeight="1">
      <c r="A2330" s="27">
        <f t="shared" si="21"/>
        <v>1209</v>
      </c>
      <c r="B2330" s="28" t="s">
        <v>8057</v>
      </c>
      <c r="C2330" s="43" t="s">
        <v>8058</v>
      </c>
      <c r="D2330" s="30" t="s">
        <v>8059</v>
      </c>
      <c r="E2330" s="28" t="s">
        <v>144</v>
      </c>
      <c r="F2330" s="28" t="s">
        <v>29</v>
      </c>
      <c r="G2330" s="28" t="s">
        <v>30</v>
      </c>
      <c r="H2330" s="28"/>
      <c r="I2330" s="28" t="s">
        <v>30</v>
      </c>
      <c r="J2330" s="28">
        <v>392.0</v>
      </c>
      <c r="K2330" s="28"/>
      <c r="L2330" s="28" t="s">
        <v>8060</v>
      </c>
      <c r="M2330" s="28" t="s">
        <v>169</v>
      </c>
      <c r="N2330" s="28">
        <v>2013.0</v>
      </c>
      <c r="O2330" s="60">
        <v>13.0</v>
      </c>
      <c r="P2330" s="28">
        <v>1.0</v>
      </c>
      <c r="Q2330" s="32">
        <v>1.0</v>
      </c>
      <c r="R2330" s="33"/>
      <c r="S2330" s="185"/>
      <c r="T2330" s="185"/>
      <c r="U2330" s="185"/>
      <c r="V2330" s="185"/>
      <c r="W2330" s="185"/>
      <c r="X2330" s="185"/>
      <c r="Y2330" s="45"/>
      <c r="Z2330" s="45"/>
      <c r="AA2330" s="45"/>
      <c r="AB2330" s="45"/>
      <c r="AC2330" s="45"/>
      <c r="AD2330" s="45"/>
      <c r="AE2330" s="45"/>
      <c r="AF2330" s="45"/>
      <c r="AG2330" s="45"/>
      <c r="AH2330" s="45"/>
      <c r="AI2330" s="45"/>
      <c r="AJ2330" s="45"/>
      <c r="AK2330" s="45"/>
      <c r="AL2330" s="45"/>
    </row>
    <row r="2331" ht="15.75" customHeight="1">
      <c r="A2331" s="27">
        <f t="shared" si="21"/>
        <v>1210</v>
      </c>
      <c r="B2331" s="28" t="s">
        <v>8061</v>
      </c>
      <c r="C2331" s="43" t="s">
        <v>8062</v>
      </c>
      <c r="D2331" s="30" t="s">
        <v>8063</v>
      </c>
      <c r="E2331" s="28" t="s">
        <v>31</v>
      </c>
      <c r="F2331" s="28" t="s">
        <v>29</v>
      </c>
      <c r="G2331" s="28" t="s">
        <v>30</v>
      </c>
      <c r="H2331" s="28"/>
      <c r="I2331" s="28" t="s">
        <v>30</v>
      </c>
      <c r="J2331" s="28">
        <v>169.0</v>
      </c>
      <c r="K2331" s="28"/>
      <c r="L2331" s="28" t="s">
        <v>8064</v>
      </c>
      <c r="M2331" s="28" t="s">
        <v>151</v>
      </c>
      <c r="N2331" s="28">
        <v>1996.0</v>
      </c>
      <c r="O2331" s="60">
        <v>13.0</v>
      </c>
      <c r="P2331" s="28">
        <v>1.0</v>
      </c>
      <c r="Q2331" s="32">
        <v>1.0</v>
      </c>
      <c r="R2331" s="33"/>
      <c r="S2331" s="185"/>
      <c r="T2331" s="185"/>
      <c r="U2331" s="185"/>
      <c r="V2331" s="185"/>
      <c r="W2331" s="185"/>
      <c r="X2331" s="185"/>
      <c r="Y2331" s="45"/>
      <c r="Z2331" s="45"/>
      <c r="AA2331" s="45"/>
      <c r="AB2331" s="45"/>
      <c r="AC2331" s="45"/>
      <c r="AD2331" s="45"/>
      <c r="AE2331" s="45"/>
      <c r="AF2331" s="45"/>
      <c r="AG2331" s="45"/>
      <c r="AH2331" s="45"/>
      <c r="AI2331" s="45"/>
      <c r="AJ2331" s="45"/>
      <c r="AK2331" s="45"/>
      <c r="AL2331" s="45"/>
    </row>
    <row r="2332" ht="15.75" customHeight="1">
      <c r="A2332" s="27">
        <f t="shared" si="21"/>
        <v>1211</v>
      </c>
      <c r="B2332" s="28"/>
      <c r="C2332" s="43" t="s">
        <v>8065</v>
      </c>
      <c r="D2332" s="30" t="s">
        <v>8066</v>
      </c>
      <c r="E2332" s="28" t="s">
        <v>144</v>
      </c>
      <c r="F2332" s="28" t="s">
        <v>29</v>
      </c>
      <c r="G2332" s="28" t="s">
        <v>38</v>
      </c>
      <c r="H2332" s="28"/>
      <c r="I2332" s="28" t="s">
        <v>38</v>
      </c>
      <c r="J2332" s="28">
        <f>158</f>
        <v>158</v>
      </c>
      <c r="K2332" s="28"/>
      <c r="L2332" s="28" t="s">
        <v>8067</v>
      </c>
      <c r="M2332" s="28" t="s">
        <v>8068</v>
      </c>
      <c r="N2332" s="28">
        <v>1964.0</v>
      </c>
      <c r="O2332" s="60">
        <v>13.0</v>
      </c>
      <c r="P2332" s="28">
        <v>1.0</v>
      </c>
      <c r="Q2332" s="32">
        <v>1.0</v>
      </c>
      <c r="R2332" s="33"/>
      <c r="S2332" s="185"/>
      <c r="T2332" s="185"/>
      <c r="U2332" s="185"/>
      <c r="V2332" s="185"/>
      <c r="W2332" s="185"/>
      <c r="X2332" s="185"/>
      <c r="Y2332" s="45"/>
      <c r="Z2332" s="45"/>
      <c r="AA2332" s="45"/>
      <c r="AB2332" s="45"/>
      <c r="AC2332" s="45"/>
      <c r="AD2332" s="45"/>
      <c r="AE2332" s="45"/>
      <c r="AF2332" s="45"/>
      <c r="AG2332" s="45"/>
      <c r="AH2332" s="45"/>
      <c r="AI2332" s="45"/>
      <c r="AJ2332" s="45"/>
      <c r="AK2332" s="45"/>
      <c r="AL2332" s="45"/>
    </row>
    <row r="2333" ht="15.75" customHeight="1">
      <c r="A2333" s="27">
        <f t="shared" si="21"/>
        <v>1212</v>
      </c>
      <c r="B2333" s="121" t="s">
        <v>8069</v>
      </c>
      <c r="C2333" s="121" t="s">
        <v>8070</v>
      </c>
      <c r="D2333" s="119" t="s">
        <v>8071</v>
      </c>
      <c r="E2333" s="83"/>
      <c r="F2333" s="83"/>
      <c r="G2333" s="121" t="s">
        <v>37</v>
      </c>
      <c r="H2333" s="83"/>
      <c r="I2333" s="121" t="s">
        <v>30</v>
      </c>
      <c r="J2333" s="121">
        <v>214.0</v>
      </c>
      <c r="K2333" s="83"/>
      <c r="L2333" s="121" t="s">
        <v>8072</v>
      </c>
      <c r="M2333" s="121" t="s">
        <v>8073</v>
      </c>
      <c r="N2333" s="121">
        <v>2017.0</v>
      </c>
      <c r="O2333" s="60">
        <v>13.0</v>
      </c>
      <c r="P2333" s="121">
        <v>1.0</v>
      </c>
      <c r="Q2333" s="121">
        <v>1.0</v>
      </c>
      <c r="R2333" s="84"/>
      <c r="S2333" s="185"/>
      <c r="T2333" s="185"/>
      <c r="U2333" s="185"/>
      <c r="V2333" s="185"/>
      <c r="W2333" s="185"/>
      <c r="X2333" s="185"/>
      <c r="Y2333" s="45"/>
      <c r="Z2333" s="45"/>
      <c r="AA2333" s="45"/>
      <c r="AB2333" s="45"/>
      <c r="AC2333" s="45"/>
      <c r="AD2333" s="45"/>
      <c r="AE2333" s="45"/>
      <c r="AF2333" s="45"/>
      <c r="AG2333" s="45"/>
      <c r="AH2333" s="45"/>
      <c r="AI2333" s="45"/>
      <c r="AJ2333" s="45"/>
      <c r="AK2333" s="45"/>
      <c r="AL2333" s="45"/>
    </row>
    <row r="2334" ht="15.75" customHeight="1">
      <c r="A2334" s="27">
        <f t="shared" si="21"/>
        <v>1213</v>
      </c>
      <c r="B2334" s="28" t="s">
        <v>31</v>
      </c>
      <c r="C2334" s="43" t="s">
        <v>8074</v>
      </c>
      <c r="D2334" s="30" t="s">
        <v>8075</v>
      </c>
      <c r="E2334" s="28" t="s">
        <v>31</v>
      </c>
      <c r="F2334" s="28" t="s">
        <v>29</v>
      </c>
      <c r="G2334" s="28" t="s">
        <v>30</v>
      </c>
      <c r="H2334" s="28"/>
      <c r="I2334" s="28" t="s">
        <v>30</v>
      </c>
      <c r="J2334" s="28">
        <v>150.0</v>
      </c>
      <c r="K2334" s="28"/>
      <c r="L2334" s="28" t="s">
        <v>8076</v>
      </c>
      <c r="M2334" s="28" t="s">
        <v>4762</v>
      </c>
      <c r="N2334" s="28">
        <v>1961.0</v>
      </c>
      <c r="O2334" s="60">
        <v>13.0</v>
      </c>
      <c r="P2334" s="28">
        <v>1.0</v>
      </c>
      <c r="Q2334" s="32">
        <v>1.0</v>
      </c>
      <c r="R2334" s="33"/>
      <c r="S2334" s="185"/>
      <c r="T2334" s="185"/>
      <c r="U2334" s="185"/>
      <c r="V2334" s="185"/>
      <c r="W2334" s="185"/>
      <c r="X2334" s="185"/>
      <c r="Y2334" s="45"/>
      <c r="Z2334" s="45"/>
      <c r="AA2334" s="45"/>
      <c r="AB2334" s="45"/>
      <c r="AC2334" s="45"/>
      <c r="AD2334" s="45"/>
      <c r="AE2334" s="45"/>
      <c r="AF2334" s="45"/>
      <c r="AG2334" s="45"/>
      <c r="AH2334" s="45"/>
      <c r="AI2334" s="45"/>
      <c r="AJ2334" s="45"/>
      <c r="AK2334" s="45"/>
      <c r="AL2334" s="45"/>
    </row>
    <row r="2335" ht="15.75" customHeight="1">
      <c r="A2335" s="27">
        <f t="shared" si="21"/>
        <v>1214</v>
      </c>
      <c r="B2335" s="28" t="s">
        <v>8077</v>
      </c>
      <c r="C2335" s="43" t="s">
        <v>8078</v>
      </c>
      <c r="D2335" s="30" t="s">
        <v>8079</v>
      </c>
      <c r="E2335" s="28" t="s">
        <v>144</v>
      </c>
      <c r="F2335" s="28" t="s">
        <v>29</v>
      </c>
      <c r="G2335" s="28" t="s">
        <v>30</v>
      </c>
      <c r="H2335" s="28"/>
      <c r="I2335" s="28" t="s">
        <v>30</v>
      </c>
      <c r="J2335" s="28">
        <f>443+8</f>
        <v>451</v>
      </c>
      <c r="K2335" s="28"/>
      <c r="L2335" s="28" t="s">
        <v>8080</v>
      </c>
      <c r="M2335" s="28" t="s">
        <v>8081</v>
      </c>
      <c r="N2335" s="28">
        <v>2014.0</v>
      </c>
      <c r="O2335" s="28">
        <v>13.0</v>
      </c>
      <c r="P2335" s="28">
        <v>1.0</v>
      </c>
      <c r="Q2335" s="32">
        <v>1.0</v>
      </c>
      <c r="R2335" s="33"/>
      <c r="S2335" s="185"/>
      <c r="T2335" s="185"/>
      <c r="U2335" s="185"/>
      <c r="V2335" s="185"/>
      <c r="W2335" s="185"/>
      <c r="X2335" s="185"/>
      <c r="Y2335" s="45"/>
      <c r="Z2335" s="45"/>
      <c r="AA2335" s="45"/>
      <c r="AB2335" s="45"/>
      <c r="AC2335" s="45"/>
      <c r="AD2335" s="45"/>
      <c r="AE2335" s="45"/>
      <c r="AF2335" s="45"/>
      <c r="AG2335" s="45"/>
      <c r="AH2335" s="45"/>
      <c r="AI2335" s="45"/>
      <c r="AJ2335" s="45"/>
      <c r="AK2335" s="45"/>
      <c r="AL2335" s="45"/>
    </row>
    <row r="2336" ht="15.75" customHeight="1">
      <c r="A2336" s="27">
        <f t="shared" si="21"/>
        <v>1215</v>
      </c>
      <c r="B2336" s="28" t="s">
        <v>8082</v>
      </c>
      <c r="C2336" s="43" t="s">
        <v>8083</v>
      </c>
      <c r="D2336" s="30" t="s">
        <v>8084</v>
      </c>
      <c r="E2336" s="28" t="s">
        <v>144</v>
      </c>
      <c r="F2336" s="28" t="s">
        <v>29</v>
      </c>
      <c r="G2336" s="28" t="s">
        <v>30</v>
      </c>
      <c r="H2336" s="28"/>
      <c r="I2336" s="28" t="s">
        <v>30</v>
      </c>
      <c r="J2336" s="28">
        <v>264.0</v>
      </c>
      <c r="K2336" s="28"/>
      <c r="L2336" s="28" t="s">
        <v>8085</v>
      </c>
      <c r="M2336" s="28" t="s">
        <v>161</v>
      </c>
      <c r="N2336" s="28">
        <v>2015.0</v>
      </c>
      <c r="O2336" s="28">
        <v>13.0</v>
      </c>
      <c r="P2336" s="28">
        <v>1.0</v>
      </c>
      <c r="Q2336" s="94">
        <v>1.0</v>
      </c>
      <c r="R2336" s="33"/>
      <c r="S2336" s="185"/>
      <c r="T2336" s="185"/>
      <c r="U2336" s="185"/>
      <c r="V2336" s="185"/>
      <c r="W2336" s="185"/>
      <c r="X2336" s="185"/>
      <c r="Y2336" s="45"/>
      <c r="Z2336" s="45"/>
      <c r="AA2336" s="45"/>
      <c r="AB2336" s="45"/>
      <c r="AC2336" s="45"/>
      <c r="AD2336" s="45"/>
      <c r="AE2336" s="45"/>
      <c r="AF2336" s="45"/>
      <c r="AG2336" s="45"/>
      <c r="AH2336" s="45"/>
      <c r="AI2336" s="45"/>
      <c r="AJ2336" s="45"/>
      <c r="AK2336" s="45"/>
      <c r="AL2336" s="45"/>
    </row>
    <row r="2337" ht="15.75" customHeight="1">
      <c r="A2337" s="27">
        <f t="shared" si="21"/>
        <v>1216</v>
      </c>
      <c r="B2337" s="28" t="s">
        <v>8086</v>
      </c>
      <c r="C2337" s="43" t="s">
        <v>8087</v>
      </c>
      <c r="D2337" s="30" t="s">
        <v>8088</v>
      </c>
      <c r="E2337" s="28" t="s">
        <v>31</v>
      </c>
      <c r="F2337" s="28" t="s">
        <v>29</v>
      </c>
      <c r="G2337" s="28" t="s">
        <v>30</v>
      </c>
      <c r="H2337" s="28"/>
      <c r="I2337" s="28" t="s">
        <v>30</v>
      </c>
      <c r="J2337" s="28">
        <v>122.0</v>
      </c>
      <c r="K2337" s="28"/>
      <c r="L2337" s="28" t="s">
        <v>8089</v>
      </c>
      <c r="M2337" s="28" t="s">
        <v>151</v>
      </c>
      <c r="N2337" s="28">
        <v>1986.0</v>
      </c>
      <c r="O2337" s="28">
        <v>13.0</v>
      </c>
      <c r="P2337" s="28">
        <v>1.0</v>
      </c>
      <c r="Q2337" s="32">
        <v>1.0</v>
      </c>
      <c r="R2337" s="33"/>
      <c r="S2337" s="185"/>
      <c r="T2337" s="185"/>
      <c r="U2337" s="185"/>
      <c r="V2337" s="185"/>
      <c r="W2337" s="185"/>
      <c r="X2337" s="185"/>
      <c r="Y2337" s="45"/>
      <c r="Z2337" s="45"/>
      <c r="AA2337" s="45"/>
      <c r="AB2337" s="45"/>
      <c r="AC2337" s="45"/>
      <c r="AD2337" s="45"/>
      <c r="AE2337" s="45"/>
      <c r="AF2337" s="45"/>
      <c r="AG2337" s="45"/>
      <c r="AH2337" s="45"/>
      <c r="AI2337" s="45"/>
      <c r="AJ2337" s="45"/>
      <c r="AK2337" s="45"/>
      <c r="AL2337" s="45"/>
    </row>
    <row r="2338" ht="15.75" customHeight="1">
      <c r="A2338" s="27">
        <f t="shared" si="21"/>
        <v>1217</v>
      </c>
      <c r="B2338" s="28" t="s">
        <v>31</v>
      </c>
      <c r="C2338" s="43" t="s">
        <v>8090</v>
      </c>
      <c r="D2338" s="30" t="s">
        <v>8091</v>
      </c>
      <c r="E2338" s="28" t="s">
        <v>144</v>
      </c>
      <c r="F2338" s="28" t="s">
        <v>29</v>
      </c>
      <c r="G2338" s="28" t="s">
        <v>37</v>
      </c>
      <c r="H2338" s="28"/>
      <c r="I2338" s="28" t="s">
        <v>38</v>
      </c>
      <c r="J2338" s="28">
        <f>262+6</f>
        <v>268</v>
      </c>
      <c r="K2338" s="28"/>
      <c r="L2338" s="28" t="s">
        <v>31</v>
      </c>
      <c r="M2338" s="28" t="s">
        <v>8092</v>
      </c>
      <c r="N2338" s="28">
        <v>1988.0</v>
      </c>
      <c r="O2338" s="28">
        <v>13.0</v>
      </c>
      <c r="P2338" s="28">
        <v>1.0</v>
      </c>
      <c r="Q2338" s="32">
        <v>1.0</v>
      </c>
      <c r="R2338" s="33"/>
      <c r="S2338" s="185"/>
      <c r="T2338" s="185"/>
      <c r="U2338" s="185"/>
      <c r="V2338" s="185"/>
      <c r="W2338" s="185"/>
      <c r="X2338" s="185"/>
      <c r="Y2338" s="45"/>
      <c r="Z2338" s="45"/>
      <c r="AA2338" s="45"/>
      <c r="AB2338" s="45"/>
      <c r="AC2338" s="45"/>
      <c r="AD2338" s="45"/>
      <c r="AE2338" s="45"/>
      <c r="AF2338" s="45"/>
      <c r="AG2338" s="45"/>
      <c r="AH2338" s="45"/>
      <c r="AI2338" s="45"/>
      <c r="AJ2338" s="45"/>
      <c r="AK2338" s="45"/>
      <c r="AL2338" s="45"/>
    </row>
    <row r="2339" ht="15.75" customHeight="1">
      <c r="A2339" s="27">
        <f t="shared" si="21"/>
        <v>1218</v>
      </c>
      <c r="B2339" s="28" t="s">
        <v>8093</v>
      </c>
      <c r="C2339" s="43" t="s">
        <v>8094</v>
      </c>
      <c r="D2339" s="30" t="s">
        <v>8095</v>
      </c>
      <c r="E2339" s="28" t="s">
        <v>31</v>
      </c>
      <c r="F2339" s="28" t="s">
        <v>29</v>
      </c>
      <c r="G2339" s="28" t="s">
        <v>30</v>
      </c>
      <c r="H2339" s="28"/>
      <c r="I2339" s="28" t="s">
        <v>30</v>
      </c>
      <c r="J2339" s="28">
        <v>150.0</v>
      </c>
      <c r="K2339" s="28"/>
      <c r="L2339" s="28" t="s">
        <v>8096</v>
      </c>
      <c r="M2339" s="28" t="s">
        <v>8097</v>
      </c>
      <c r="N2339" s="28">
        <v>2008.0</v>
      </c>
      <c r="O2339" s="28">
        <v>13.0</v>
      </c>
      <c r="P2339" s="28">
        <v>1.0</v>
      </c>
      <c r="Q2339" s="32">
        <v>1.0</v>
      </c>
      <c r="R2339" s="33"/>
      <c r="S2339" s="185"/>
      <c r="T2339" s="185"/>
      <c r="U2339" s="185"/>
      <c r="V2339" s="185"/>
      <c r="W2339" s="185"/>
      <c r="X2339" s="185"/>
      <c r="Y2339" s="45"/>
      <c r="Z2339" s="45"/>
      <c r="AA2339" s="45"/>
      <c r="AB2339" s="45"/>
      <c r="AC2339" s="45"/>
      <c r="AD2339" s="45"/>
      <c r="AE2339" s="45"/>
      <c r="AF2339" s="45"/>
      <c r="AG2339" s="45"/>
      <c r="AH2339" s="45"/>
      <c r="AI2339" s="45"/>
      <c r="AJ2339" s="45"/>
      <c r="AK2339" s="45"/>
      <c r="AL2339" s="45"/>
    </row>
    <row r="2340" ht="15.75" customHeight="1">
      <c r="A2340" s="27">
        <f t="shared" si="21"/>
        <v>1219</v>
      </c>
      <c r="B2340" s="121" t="s">
        <v>8098</v>
      </c>
      <c r="C2340" s="121" t="s">
        <v>8099</v>
      </c>
      <c r="D2340" s="119" t="s">
        <v>8100</v>
      </c>
      <c r="E2340" s="83"/>
      <c r="F2340" s="83"/>
      <c r="G2340" s="121" t="s">
        <v>30</v>
      </c>
      <c r="H2340" s="83"/>
      <c r="I2340" s="121" t="s">
        <v>30</v>
      </c>
      <c r="J2340" s="121">
        <v>323.0</v>
      </c>
      <c r="K2340" s="83"/>
      <c r="L2340" s="121" t="s">
        <v>8101</v>
      </c>
      <c r="M2340" s="121" t="s">
        <v>151</v>
      </c>
      <c r="N2340" s="121">
        <v>1990.0</v>
      </c>
      <c r="O2340" s="28">
        <v>13.0</v>
      </c>
      <c r="P2340" s="121">
        <v>1.0</v>
      </c>
      <c r="Q2340" s="121">
        <v>1.0</v>
      </c>
      <c r="R2340" s="84"/>
      <c r="S2340" s="185"/>
      <c r="T2340" s="185"/>
      <c r="U2340" s="185"/>
      <c r="V2340" s="185"/>
      <c r="W2340" s="185"/>
      <c r="X2340" s="185"/>
      <c r="Y2340" s="45"/>
      <c r="Z2340" s="45"/>
      <c r="AA2340" s="45"/>
      <c r="AB2340" s="45"/>
      <c r="AC2340" s="45"/>
      <c r="AD2340" s="45"/>
      <c r="AE2340" s="45"/>
      <c r="AF2340" s="45"/>
      <c r="AG2340" s="45"/>
      <c r="AH2340" s="45"/>
      <c r="AI2340" s="45"/>
      <c r="AJ2340" s="45"/>
      <c r="AK2340" s="45"/>
      <c r="AL2340" s="45"/>
    </row>
    <row r="2341" ht="15.75" customHeight="1">
      <c r="A2341" s="27">
        <f t="shared" si="21"/>
        <v>1220</v>
      </c>
      <c r="B2341" s="28" t="s">
        <v>8102</v>
      </c>
      <c r="C2341" s="43" t="s">
        <v>8103</v>
      </c>
      <c r="D2341" s="30" t="s">
        <v>8104</v>
      </c>
      <c r="E2341" s="28" t="s">
        <v>31</v>
      </c>
      <c r="F2341" s="28" t="s">
        <v>29</v>
      </c>
      <c r="G2341" s="28" t="s">
        <v>30</v>
      </c>
      <c r="H2341" s="28"/>
      <c r="I2341" s="28" t="s">
        <v>30</v>
      </c>
      <c r="J2341" s="28">
        <v>363.0</v>
      </c>
      <c r="K2341" s="28"/>
      <c r="L2341" s="28" t="s">
        <v>8105</v>
      </c>
      <c r="M2341" s="28" t="s">
        <v>7060</v>
      </c>
      <c r="N2341" s="28">
        <v>2004.0</v>
      </c>
      <c r="O2341" s="28">
        <v>13.0</v>
      </c>
      <c r="P2341" s="28">
        <v>1.0</v>
      </c>
      <c r="Q2341" s="32">
        <v>1.0</v>
      </c>
      <c r="R2341" s="33"/>
      <c r="S2341" s="185"/>
      <c r="T2341" s="185"/>
      <c r="U2341" s="185"/>
      <c r="V2341" s="185"/>
      <c r="W2341" s="185"/>
      <c r="X2341" s="185"/>
      <c r="Y2341" s="3"/>
      <c r="Z2341" s="3"/>
      <c r="AA2341" s="3"/>
      <c r="AB2341" s="3"/>
      <c r="AC2341" s="3"/>
      <c r="AD2341" s="3"/>
      <c r="AE2341" s="3"/>
      <c r="AF2341" s="3"/>
      <c r="AG2341" s="3"/>
      <c r="AH2341" s="3"/>
      <c r="AI2341" s="3"/>
      <c r="AJ2341" s="3"/>
      <c r="AK2341" s="3"/>
      <c r="AL2341" s="3"/>
    </row>
    <row r="2342" ht="15.75" customHeight="1">
      <c r="A2342" s="27">
        <f t="shared" si="21"/>
        <v>1221</v>
      </c>
      <c r="B2342" s="121" t="s">
        <v>3506</v>
      </c>
      <c r="C2342" s="124" t="s">
        <v>8106</v>
      </c>
      <c r="D2342" s="119" t="s">
        <v>8107</v>
      </c>
      <c r="E2342" s="83"/>
      <c r="F2342" s="83"/>
      <c r="G2342" s="121" t="s">
        <v>37</v>
      </c>
      <c r="H2342" s="83"/>
      <c r="I2342" s="121" t="s">
        <v>30</v>
      </c>
      <c r="J2342" s="121">
        <v>1042.0</v>
      </c>
      <c r="K2342" s="83"/>
      <c r="L2342" s="83"/>
      <c r="M2342" s="121" t="s">
        <v>2258</v>
      </c>
      <c r="N2342" s="121">
        <v>2002.0</v>
      </c>
      <c r="O2342" s="28">
        <v>13.0</v>
      </c>
      <c r="P2342" s="121">
        <v>1.0</v>
      </c>
      <c r="Q2342" s="121">
        <v>1.0</v>
      </c>
      <c r="R2342" s="84"/>
      <c r="S2342" s="185"/>
      <c r="T2342" s="185"/>
      <c r="U2342" s="185"/>
      <c r="V2342" s="185"/>
      <c r="W2342" s="185"/>
      <c r="X2342" s="185"/>
      <c r="Y2342" s="45"/>
      <c r="Z2342" s="45"/>
      <c r="AA2342" s="45"/>
      <c r="AB2342" s="45"/>
      <c r="AC2342" s="45"/>
      <c r="AD2342" s="45"/>
      <c r="AE2342" s="45"/>
      <c r="AF2342" s="45"/>
      <c r="AG2342" s="45"/>
      <c r="AH2342" s="45"/>
      <c r="AI2342" s="45"/>
      <c r="AJ2342" s="45"/>
      <c r="AK2342" s="45"/>
      <c r="AL2342" s="45"/>
    </row>
    <row r="2343" ht="15.75" customHeight="1">
      <c r="A2343" s="27">
        <f t="shared" si="21"/>
        <v>1222</v>
      </c>
      <c r="B2343" s="28" t="s">
        <v>31</v>
      </c>
      <c r="C2343" s="43" t="s">
        <v>8108</v>
      </c>
      <c r="D2343" s="30" t="s">
        <v>8109</v>
      </c>
      <c r="E2343" s="28" t="s">
        <v>31</v>
      </c>
      <c r="F2343" s="28" t="s">
        <v>29</v>
      </c>
      <c r="G2343" s="28" t="s">
        <v>30</v>
      </c>
      <c r="H2343" s="28"/>
      <c r="I2343" s="28" t="s">
        <v>30</v>
      </c>
      <c r="J2343" s="28">
        <v>177.0</v>
      </c>
      <c r="K2343" s="28"/>
      <c r="L2343" s="28" t="s">
        <v>8110</v>
      </c>
      <c r="M2343" s="28" t="s">
        <v>31</v>
      </c>
      <c r="N2343" s="28" t="s">
        <v>31</v>
      </c>
      <c r="O2343" s="28">
        <v>13.0</v>
      </c>
      <c r="P2343" s="28">
        <v>1.0</v>
      </c>
      <c r="Q2343" s="32">
        <v>1.0</v>
      </c>
      <c r="R2343" s="33"/>
      <c r="S2343" s="185"/>
      <c r="T2343" s="185"/>
      <c r="U2343" s="185"/>
      <c r="V2343" s="185"/>
      <c r="W2343" s="185"/>
      <c r="X2343" s="185"/>
      <c r="Y2343" s="45"/>
      <c r="Z2343" s="45"/>
      <c r="AA2343" s="45"/>
      <c r="AB2343" s="45"/>
      <c r="AC2343" s="45"/>
      <c r="AD2343" s="45"/>
      <c r="AE2343" s="45"/>
      <c r="AF2343" s="45"/>
      <c r="AG2343" s="45"/>
      <c r="AH2343" s="45"/>
      <c r="AI2343" s="45"/>
      <c r="AJ2343" s="45"/>
      <c r="AK2343" s="45"/>
      <c r="AL2343" s="45"/>
    </row>
    <row r="2344" ht="15.75" customHeight="1">
      <c r="A2344" s="27">
        <f t="shared" si="21"/>
        <v>1223</v>
      </c>
      <c r="B2344" s="28" t="s">
        <v>31</v>
      </c>
      <c r="C2344" s="43" t="s">
        <v>8111</v>
      </c>
      <c r="D2344" s="30" t="s">
        <v>8112</v>
      </c>
      <c r="E2344" s="28"/>
      <c r="F2344" s="28" t="s">
        <v>29</v>
      </c>
      <c r="G2344" s="28" t="s">
        <v>30</v>
      </c>
      <c r="H2344" s="28" t="s">
        <v>31</v>
      </c>
      <c r="I2344" s="28" t="s">
        <v>30</v>
      </c>
      <c r="J2344" s="28">
        <v>157.0</v>
      </c>
      <c r="K2344" s="28"/>
      <c r="L2344" s="28" t="s">
        <v>8113</v>
      </c>
      <c r="M2344" s="28" t="s">
        <v>8113</v>
      </c>
      <c r="N2344" s="28">
        <v>2000.0</v>
      </c>
      <c r="O2344" s="28">
        <v>13.0</v>
      </c>
      <c r="P2344" s="28">
        <v>1.0</v>
      </c>
      <c r="Q2344" s="32">
        <v>1.0</v>
      </c>
      <c r="R2344" s="33"/>
      <c r="S2344" s="185"/>
      <c r="T2344" s="185"/>
      <c r="U2344" s="185"/>
      <c r="V2344" s="185"/>
      <c r="W2344" s="185"/>
      <c r="X2344" s="185"/>
      <c r="Y2344" s="45"/>
      <c r="Z2344" s="45"/>
      <c r="AA2344" s="45"/>
      <c r="AB2344" s="45"/>
      <c r="AC2344" s="45"/>
      <c r="AD2344" s="45"/>
      <c r="AE2344" s="45"/>
      <c r="AF2344" s="45"/>
      <c r="AG2344" s="45"/>
      <c r="AH2344" s="45"/>
      <c r="AI2344" s="45"/>
      <c r="AJ2344" s="45"/>
      <c r="AK2344" s="45"/>
      <c r="AL2344" s="45"/>
    </row>
    <row r="2345" ht="15.75" customHeight="1">
      <c r="A2345" s="27">
        <f t="shared" si="21"/>
        <v>1224</v>
      </c>
      <c r="B2345" s="28" t="s">
        <v>8114</v>
      </c>
      <c r="C2345" s="43" t="s">
        <v>8115</v>
      </c>
      <c r="D2345" s="30" t="s">
        <v>8116</v>
      </c>
      <c r="E2345" s="28" t="s">
        <v>31</v>
      </c>
      <c r="F2345" s="28" t="s">
        <v>29</v>
      </c>
      <c r="G2345" s="28" t="s">
        <v>30</v>
      </c>
      <c r="H2345" s="28"/>
      <c r="I2345" s="28" t="s">
        <v>30</v>
      </c>
      <c r="J2345" s="28">
        <v>117.0</v>
      </c>
      <c r="K2345" s="28"/>
      <c r="L2345" s="28" t="s">
        <v>8117</v>
      </c>
      <c r="M2345" s="28" t="s">
        <v>151</v>
      </c>
      <c r="N2345" s="28">
        <v>2006.0</v>
      </c>
      <c r="O2345" s="28">
        <v>13.0</v>
      </c>
      <c r="P2345" s="28">
        <v>1.0</v>
      </c>
      <c r="Q2345" s="32">
        <v>1.0</v>
      </c>
      <c r="R2345" s="33"/>
      <c r="S2345" s="185"/>
      <c r="T2345" s="185"/>
      <c r="U2345" s="185"/>
      <c r="V2345" s="185"/>
      <c r="W2345" s="185"/>
      <c r="X2345" s="185"/>
      <c r="Y2345" s="45"/>
      <c r="Z2345" s="45"/>
      <c r="AA2345" s="45"/>
      <c r="AB2345" s="45"/>
      <c r="AC2345" s="45"/>
      <c r="AD2345" s="45"/>
      <c r="AE2345" s="45"/>
      <c r="AF2345" s="45"/>
      <c r="AG2345" s="45"/>
      <c r="AH2345" s="45"/>
      <c r="AI2345" s="45"/>
      <c r="AJ2345" s="45"/>
      <c r="AK2345" s="45"/>
      <c r="AL2345" s="45"/>
    </row>
    <row r="2346" ht="15.75" customHeight="1">
      <c r="A2346" s="27">
        <f t="shared" si="21"/>
        <v>1225</v>
      </c>
      <c r="B2346" s="121" t="s">
        <v>8118</v>
      </c>
      <c r="C2346" s="121" t="s">
        <v>8119</v>
      </c>
      <c r="D2346" s="119" t="s">
        <v>8120</v>
      </c>
      <c r="E2346" s="121" t="s">
        <v>7510</v>
      </c>
      <c r="F2346" s="121" t="s">
        <v>29</v>
      </c>
      <c r="G2346" s="121" t="s">
        <v>30</v>
      </c>
      <c r="H2346" s="83"/>
      <c r="I2346" s="121" t="s">
        <v>30</v>
      </c>
      <c r="J2346" s="121">
        <v>620.0</v>
      </c>
      <c r="K2346" s="83"/>
      <c r="L2346" s="83"/>
      <c r="M2346" s="121" t="s">
        <v>8121</v>
      </c>
      <c r="N2346" s="121">
        <v>2016.0</v>
      </c>
      <c r="O2346" s="28">
        <v>13.0</v>
      </c>
      <c r="P2346" s="121">
        <v>1.0</v>
      </c>
      <c r="Q2346" s="121">
        <v>1.0</v>
      </c>
      <c r="R2346" s="84"/>
      <c r="S2346" s="185"/>
      <c r="T2346" s="185"/>
      <c r="U2346" s="185"/>
      <c r="V2346" s="185"/>
      <c r="W2346" s="185"/>
      <c r="X2346" s="185"/>
      <c r="Y2346" s="45"/>
      <c r="Z2346" s="45"/>
      <c r="AA2346" s="45"/>
      <c r="AB2346" s="45"/>
      <c r="AC2346" s="45"/>
      <c r="AD2346" s="45"/>
      <c r="AE2346" s="45"/>
      <c r="AF2346" s="45"/>
      <c r="AG2346" s="45"/>
      <c r="AH2346" s="45"/>
      <c r="AI2346" s="45"/>
      <c r="AJ2346" s="45"/>
      <c r="AK2346" s="45"/>
      <c r="AL2346" s="45"/>
    </row>
    <row r="2347" ht="15.75" customHeight="1">
      <c r="A2347" s="27">
        <f t="shared" si="21"/>
        <v>1226</v>
      </c>
      <c r="B2347" s="28" t="s">
        <v>8122</v>
      </c>
      <c r="C2347" s="43" t="s">
        <v>8123</v>
      </c>
      <c r="D2347" s="30" t="s">
        <v>8124</v>
      </c>
      <c r="E2347" s="28" t="s">
        <v>31</v>
      </c>
      <c r="F2347" s="28" t="s">
        <v>29</v>
      </c>
      <c r="G2347" s="28" t="s">
        <v>30</v>
      </c>
      <c r="H2347" s="28"/>
      <c r="I2347" s="28" t="s">
        <v>30</v>
      </c>
      <c r="J2347" s="28">
        <v>219.0</v>
      </c>
      <c r="K2347" s="28"/>
      <c r="L2347" s="28" t="s">
        <v>8125</v>
      </c>
      <c r="M2347" s="28" t="s">
        <v>8126</v>
      </c>
      <c r="N2347" s="28">
        <v>2012.0</v>
      </c>
      <c r="O2347" s="28">
        <v>13.0</v>
      </c>
      <c r="P2347" s="28">
        <v>1.0</v>
      </c>
      <c r="Q2347" s="32">
        <v>1.0</v>
      </c>
      <c r="R2347" s="33"/>
      <c r="S2347" s="185"/>
      <c r="T2347" s="185"/>
      <c r="U2347" s="185"/>
      <c r="V2347" s="185"/>
      <c r="W2347" s="185"/>
      <c r="X2347" s="185"/>
      <c r="Y2347" s="45"/>
      <c r="Z2347" s="45"/>
      <c r="AA2347" s="45"/>
      <c r="AB2347" s="45"/>
      <c r="AC2347" s="45"/>
      <c r="AD2347" s="45"/>
      <c r="AE2347" s="45"/>
      <c r="AF2347" s="45"/>
      <c r="AG2347" s="45"/>
      <c r="AH2347" s="45"/>
      <c r="AI2347" s="45"/>
      <c r="AJ2347" s="45"/>
      <c r="AK2347" s="45"/>
      <c r="AL2347" s="45"/>
    </row>
    <row r="2348" ht="15.75" customHeight="1">
      <c r="A2348" s="27">
        <f t="shared" si="21"/>
        <v>1227</v>
      </c>
      <c r="B2348" s="28"/>
      <c r="C2348" s="29" t="s">
        <v>8127</v>
      </c>
      <c r="D2348" s="30" t="s">
        <v>8128</v>
      </c>
      <c r="E2348" s="28" t="s">
        <v>144</v>
      </c>
      <c r="F2348" s="28" t="s">
        <v>29</v>
      </c>
      <c r="G2348" s="28" t="s">
        <v>38</v>
      </c>
      <c r="H2348" s="28"/>
      <c r="I2348" s="28" t="s">
        <v>38</v>
      </c>
      <c r="J2348" s="28">
        <v>320.0</v>
      </c>
      <c r="K2348" s="28"/>
      <c r="L2348" s="60" t="s">
        <v>8129</v>
      </c>
      <c r="M2348" s="28" t="s">
        <v>4692</v>
      </c>
      <c r="N2348" s="28">
        <v>1989.0</v>
      </c>
      <c r="O2348" s="28">
        <v>13.0</v>
      </c>
      <c r="P2348" s="28">
        <v>1.0</v>
      </c>
      <c r="Q2348" s="32">
        <v>1.0</v>
      </c>
      <c r="R2348" s="136">
        <v>1.0</v>
      </c>
      <c r="S2348" s="185"/>
      <c r="T2348" s="185"/>
      <c r="U2348" s="185"/>
      <c r="V2348" s="185"/>
      <c r="W2348" s="185"/>
      <c r="X2348" s="185"/>
      <c r="Y2348" s="45"/>
      <c r="Z2348" s="45"/>
      <c r="AA2348" s="45"/>
      <c r="AB2348" s="45"/>
      <c r="AC2348" s="45"/>
      <c r="AD2348" s="45"/>
      <c r="AE2348" s="45"/>
      <c r="AF2348" s="45"/>
      <c r="AG2348" s="45"/>
      <c r="AH2348" s="45"/>
      <c r="AI2348" s="45"/>
      <c r="AJ2348" s="45"/>
      <c r="AK2348" s="45"/>
      <c r="AL2348" s="45"/>
    </row>
    <row r="2349" ht="15.75" customHeight="1">
      <c r="A2349" s="27">
        <f t="shared" si="21"/>
        <v>1228</v>
      </c>
      <c r="B2349" s="28" t="s">
        <v>8130</v>
      </c>
      <c r="C2349" s="43" t="s">
        <v>8131</v>
      </c>
      <c r="D2349" s="30" t="s">
        <v>8132</v>
      </c>
      <c r="E2349" s="28" t="s">
        <v>144</v>
      </c>
      <c r="F2349" s="28" t="s">
        <v>29</v>
      </c>
      <c r="G2349" s="28" t="s">
        <v>37</v>
      </c>
      <c r="H2349" s="28"/>
      <c r="I2349" s="28" t="s">
        <v>38</v>
      </c>
      <c r="J2349" s="28">
        <f>156</f>
        <v>156</v>
      </c>
      <c r="K2349" s="28"/>
      <c r="L2349" s="28" t="s">
        <v>8133</v>
      </c>
      <c r="M2349" s="28" t="s">
        <v>2471</v>
      </c>
      <c r="N2349" s="28">
        <v>1977.0</v>
      </c>
      <c r="O2349" s="28">
        <v>13.0</v>
      </c>
      <c r="P2349" s="28">
        <v>1.0</v>
      </c>
      <c r="Q2349" s="94">
        <v>1.0</v>
      </c>
      <c r="R2349" s="33"/>
      <c r="S2349" s="185"/>
      <c r="T2349" s="185"/>
      <c r="U2349" s="185"/>
      <c r="V2349" s="185"/>
      <c r="W2349" s="185"/>
      <c r="X2349" s="185"/>
      <c r="Y2349" s="45"/>
      <c r="Z2349" s="45"/>
      <c r="AA2349" s="45"/>
      <c r="AB2349" s="45"/>
      <c r="AC2349" s="45"/>
      <c r="AD2349" s="45"/>
      <c r="AE2349" s="45"/>
      <c r="AF2349" s="45"/>
      <c r="AG2349" s="45"/>
      <c r="AH2349" s="45"/>
      <c r="AI2349" s="45"/>
      <c r="AJ2349" s="45"/>
      <c r="AK2349" s="45"/>
      <c r="AL2349" s="45"/>
    </row>
    <row r="2350" ht="15.75" customHeight="1">
      <c r="A2350" s="27">
        <f t="shared" si="21"/>
        <v>1229</v>
      </c>
      <c r="B2350" s="28" t="s">
        <v>8134</v>
      </c>
      <c r="C2350" s="43" t="s">
        <v>8135</v>
      </c>
      <c r="D2350" s="30" t="s">
        <v>8136</v>
      </c>
      <c r="E2350" s="28" t="s">
        <v>31</v>
      </c>
      <c r="F2350" s="28" t="s">
        <v>29</v>
      </c>
      <c r="G2350" s="28" t="s">
        <v>37</v>
      </c>
      <c r="H2350" s="28"/>
      <c r="I2350" s="28" t="s">
        <v>38</v>
      </c>
      <c r="J2350" s="28">
        <v>251.0</v>
      </c>
      <c r="K2350" s="28"/>
      <c r="L2350" s="28" t="s">
        <v>4174</v>
      </c>
      <c r="M2350" s="28" t="s">
        <v>230</v>
      </c>
      <c r="N2350" s="28">
        <v>2011.0</v>
      </c>
      <c r="O2350" s="28">
        <v>13.0</v>
      </c>
      <c r="P2350" s="28">
        <v>1.0</v>
      </c>
      <c r="Q2350" s="32">
        <v>1.0</v>
      </c>
      <c r="R2350" s="33"/>
      <c r="S2350" s="185"/>
      <c r="T2350" s="185"/>
      <c r="U2350" s="185"/>
      <c r="V2350" s="185"/>
      <c r="W2350" s="185"/>
      <c r="X2350" s="185"/>
      <c r="Y2350" s="45"/>
      <c r="Z2350" s="45"/>
      <c r="AA2350" s="45"/>
      <c r="AB2350" s="45"/>
      <c r="AC2350" s="45"/>
      <c r="AD2350" s="45"/>
      <c r="AE2350" s="45"/>
      <c r="AF2350" s="45"/>
      <c r="AG2350" s="45"/>
      <c r="AH2350" s="45"/>
      <c r="AI2350" s="45"/>
      <c r="AJ2350" s="45"/>
      <c r="AK2350" s="45"/>
      <c r="AL2350" s="45"/>
    </row>
    <row r="2351" ht="15.75" customHeight="1">
      <c r="A2351" s="27">
        <f t="shared" si="21"/>
        <v>1230</v>
      </c>
      <c r="B2351" s="28" t="s">
        <v>8137</v>
      </c>
      <c r="C2351" s="43" t="s">
        <v>8138</v>
      </c>
      <c r="D2351" s="30" t="s">
        <v>8139</v>
      </c>
      <c r="E2351" s="28" t="s">
        <v>144</v>
      </c>
      <c r="F2351" s="28" t="s">
        <v>29</v>
      </c>
      <c r="G2351" s="28" t="s">
        <v>30</v>
      </c>
      <c r="H2351" s="28"/>
      <c r="I2351" s="28" t="s">
        <v>38</v>
      </c>
      <c r="J2351" s="28">
        <v>348.0</v>
      </c>
      <c r="K2351" s="28"/>
      <c r="L2351" s="28" t="s">
        <v>8140</v>
      </c>
      <c r="M2351" s="28" t="s">
        <v>8141</v>
      </c>
      <c r="N2351" s="28">
        <v>2012.0</v>
      </c>
      <c r="O2351" s="28">
        <v>13.0</v>
      </c>
      <c r="P2351" s="28">
        <v>1.0</v>
      </c>
      <c r="Q2351" s="32">
        <v>1.0</v>
      </c>
      <c r="R2351" s="33"/>
      <c r="S2351" s="185"/>
      <c r="T2351" s="185"/>
      <c r="U2351" s="185"/>
      <c r="V2351" s="185"/>
      <c r="W2351" s="185"/>
      <c r="X2351" s="185"/>
      <c r="Y2351" s="45"/>
      <c r="Z2351" s="45"/>
      <c r="AA2351" s="45"/>
      <c r="AB2351" s="45"/>
      <c r="AC2351" s="45"/>
      <c r="AD2351" s="45"/>
      <c r="AE2351" s="45"/>
      <c r="AF2351" s="45"/>
      <c r="AG2351" s="45"/>
      <c r="AH2351" s="45"/>
      <c r="AI2351" s="45"/>
      <c r="AJ2351" s="45"/>
      <c r="AK2351" s="45"/>
      <c r="AL2351" s="45"/>
    </row>
    <row r="2352" ht="15.75" customHeight="1">
      <c r="A2352" s="27">
        <f t="shared" si="21"/>
        <v>1231</v>
      </c>
      <c r="B2352" s="28" t="s">
        <v>31</v>
      </c>
      <c r="C2352" s="28" t="s">
        <v>8142</v>
      </c>
      <c r="D2352" s="30" t="s">
        <v>8143</v>
      </c>
      <c r="E2352" s="28" t="s">
        <v>144</v>
      </c>
      <c r="F2352" s="28" t="s">
        <v>29</v>
      </c>
      <c r="G2352" s="28" t="s">
        <v>30</v>
      </c>
      <c r="H2352" s="28"/>
      <c r="I2352" s="28" t="s">
        <v>30</v>
      </c>
      <c r="J2352" s="28">
        <f>147+9</f>
        <v>156</v>
      </c>
      <c r="K2352" s="28"/>
      <c r="L2352" s="28" t="s">
        <v>8144</v>
      </c>
      <c r="M2352" s="28" t="s">
        <v>8145</v>
      </c>
      <c r="N2352" s="28">
        <v>2001.0</v>
      </c>
      <c r="O2352" s="28">
        <v>13.0</v>
      </c>
      <c r="P2352" s="28">
        <v>1.0</v>
      </c>
      <c r="Q2352" s="32">
        <v>1.0</v>
      </c>
      <c r="R2352" s="33"/>
      <c r="S2352" s="185"/>
      <c r="T2352" s="185"/>
      <c r="U2352" s="185"/>
      <c r="V2352" s="185"/>
      <c r="W2352" s="185"/>
      <c r="X2352" s="185"/>
      <c r="Y2352" s="3"/>
      <c r="Z2352" s="3"/>
      <c r="AA2352" s="3"/>
      <c r="AB2352" s="3"/>
      <c r="AC2352" s="3"/>
      <c r="AD2352" s="3"/>
      <c r="AE2352" s="3"/>
      <c r="AF2352" s="3"/>
      <c r="AG2352" s="3"/>
      <c r="AH2352" s="3"/>
      <c r="AI2352" s="3"/>
      <c r="AJ2352" s="3"/>
      <c r="AK2352" s="3"/>
      <c r="AL2352" s="3"/>
    </row>
    <row r="2353" ht="15.75" customHeight="1">
      <c r="A2353" s="27">
        <f t="shared" si="21"/>
        <v>1232</v>
      </c>
      <c r="B2353" s="28" t="s">
        <v>8146</v>
      </c>
      <c r="C2353" s="43" t="s">
        <v>8147</v>
      </c>
      <c r="D2353" s="30" t="s">
        <v>8148</v>
      </c>
      <c r="E2353" s="28" t="s">
        <v>31</v>
      </c>
      <c r="F2353" s="28" t="s">
        <v>29</v>
      </c>
      <c r="G2353" s="28" t="s">
        <v>30</v>
      </c>
      <c r="H2353" s="28"/>
      <c r="I2353" s="28" t="s">
        <v>30</v>
      </c>
      <c r="J2353" s="28">
        <v>392.0</v>
      </c>
      <c r="K2353" s="28"/>
      <c r="L2353" s="28" t="s">
        <v>8149</v>
      </c>
      <c r="M2353" s="28" t="s">
        <v>151</v>
      </c>
      <c r="N2353" s="28">
        <v>2008.0</v>
      </c>
      <c r="O2353" s="28">
        <v>13.0</v>
      </c>
      <c r="P2353" s="28">
        <v>1.0</v>
      </c>
      <c r="Q2353" s="32">
        <v>1.0</v>
      </c>
      <c r="R2353" s="33"/>
      <c r="S2353" s="185"/>
      <c r="T2353" s="185"/>
      <c r="U2353" s="185"/>
      <c r="V2353" s="185"/>
      <c r="W2353" s="185"/>
      <c r="X2353" s="185"/>
      <c r="Y2353" s="45"/>
      <c r="Z2353" s="45"/>
      <c r="AA2353" s="45"/>
      <c r="AB2353" s="45"/>
      <c r="AC2353" s="45"/>
      <c r="AD2353" s="45"/>
      <c r="AE2353" s="45"/>
      <c r="AF2353" s="45"/>
      <c r="AG2353" s="45"/>
      <c r="AH2353" s="45"/>
      <c r="AI2353" s="45"/>
      <c r="AJ2353" s="45"/>
      <c r="AK2353" s="45"/>
      <c r="AL2353" s="45"/>
    </row>
    <row r="2354" ht="15.75" customHeight="1">
      <c r="A2354" s="27">
        <f t="shared" si="21"/>
        <v>1233</v>
      </c>
      <c r="B2354" s="121" t="s">
        <v>8150</v>
      </c>
      <c r="C2354" s="121" t="s">
        <v>8151</v>
      </c>
      <c r="D2354" s="119" t="s">
        <v>8152</v>
      </c>
      <c r="E2354" s="83"/>
      <c r="F2354" s="121" t="s">
        <v>29</v>
      </c>
      <c r="G2354" s="121" t="s">
        <v>166</v>
      </c>
      <c r="H2354" s="83"/>
      <c r="I2354" s="121" t="s">
        <v>38</v>
      </c>
      <c r="J2354" s="121">
        <v>134.0</v>
      </c>
      <c r="K2354" s="83"/>
      <c r="L2354" s="121" t="s">
        <v>8153</v>
      </c>
      <c r="M2354" s="83"/>
      <c r="N2354" s="121">
        <v>1972.0</v>
      </c>
      <c r="O2354" s="28">
        <v>13.0</v>
      </c>
      <c r="P2354" s="121">
        <v>1.0</v>
      </c>
      <c r="Q2354" s="121">
        <v>1.0</v>
      </c>
      <c r="R2354" s="84"/>
      <c r="S2354" s="185"/>
      <c r="T2354" s="185"/>
      <c r="U2354" s="185"/>
      <c r="V2354" s="185"/>
      <c r="W2354" s="185"/>
      <c r="X2354" s="185"/>
      <c r="Y2354" s="45"/>
      <c r="Z2354" s="45"/>
      <c r="AA2354" s="45"/>
      <c r="AB2354" s="45"/>
      <c r="AC2354" s="45"/>
      <c r="AD2354" s="45"/>
      <c r="AE2354" s="45"/>
      <c r="AF2354" s="45"/>
      <c r="AG2354" s="45"/>
      <c r="AH2354" s="45"/>
      <c r="AI2354" s="45"/>
      <c r="AJ2354" s="45"/>
      <c r="AK2354" s="45"/>
      <c r="AL2354" s="45"/>
    </row>
    <row r="2355" ht="15.75" customHeight="1">
      <c r="A2355" s="27">
        <f t="shared" si="21"/>
        <v>1234</v>
      </c>
      <c r="B2355" s="28" t="s">
        <v>8154</v>
      </c>
      <c r="C2355" s="43" t="s">
        <v>8151</v>
      </c>
      <c r="D2355" s="30" t="s">
        <v>8155</v>
      </c>
      <c r="E2355" s="28" t="s">
        <v>144</v>
      </c>
      <c r="F2355" s="28" t="s">
        <v>29</v>
      </c>
      <c r="G2355" s="28" t="s">
        <v>37</v>
      </c>
      <c r="H2355" s="28"/>
      <c r="I2355" s="28" t="s">
        <v>38</v>
      </c>
      <c r="J2355" s="28">
        <v>137.0</v>
      </c>
      <c r="K2355" s="28"/>
      <c r="L2355" s="28" t="s">
        <v>8156</v>
      </c>
      <c r="M2355" s="28" t="s">
        <v>8157</v>
      </c>
      <c r="N2355" s="28">
        <v>1971.0</v>
      </c>
      <c r="O2355" s="28">
        <v>13.0</v>
      </c>
      <c r="P2355" s="28">
        <v>1.0</v>
      </c>
      <c r="Q2355" s="32">
        <v>1.0</v>
      </c>
      <c r="R2355" s="33"/>
      <c r="S2355" s="185"/>
      <c r="T2355" s="185"/>
      <c r="U2355" s="185"/>
      <c r="V2355" s="185"/>
      <c r="W2355" s="185"/>
      <c r="X2355" s="185"/>
      <c r="Y2355" s="45"/>
      <c r="Z2355" s="45"/>
      <c r="AA2355" s="45"/>
      <c r="AB2355" s="45"/>
      <c r="AC2355" s="45"/>
      <c r="AD2355" s="45"/>
      <c r="AE2355" s="45"/>
      <c r="AF2355" s="45"/>
      <c r="AG2355" s="45"/>
      <c r="AH2355" s="45"/>
      <c r="AI2355" s="45"/>
      <c r="AJ2355" s="45"/>
      <c r="AK2355" s="45"/>
      <c r="AL2355" s="45"/>
    </row>
    <row r="2356" ht="15.75" customHeight="1">
      <c r="A2356" s="27">
        <f t="shared" si="21"/>
        <v>1235</v>
      </c>
      <c r="B2356" s="28" t="s">
        <v>8158</v>
      </c>
      <c r="C2356" s="43" t="s">
        <v>8159</v>
      </c>
      <c r="D2356" s="30" t="s">
        <v>8160</v>
      </c>
      <c r="E2356" s="28" t="s">
        <v>31</v>
      </c>
      <c r="F2356" s="28" t="s">
        <v>29</v>
      </c>
      <c r="G2356" s="28" t="s">
        <v>30</v>
      </c>
      <c r="H2356" s="28"/>
      <c r="I2356" s="28" t="s">
        <v>30</v>
      </c>
      <c r="J2356" s="28">
        <v>144.0</v>
      </c>
      <c r="K2356" s="28"/>
      <c r="L2356" s="28" t="s">
        <v>8161</v>
      </c>
      <c r="M2356" s="28" t="s">
        <v>151</v>
      </c>
      <c r="N2356" s="28">
        <v>1988.0</v>
      </c>
      <c r="O2356" s="28">
        <v>13.0</v>
      </c>
      <c r="P2356" s="28">
        <v>1.0</v>
      </c>
      <c r="Q2356" s="32">
        <v>1.0</v>
      </c>
      <c r="R2356" s="33"/>
      <c r="S2356" s="185"/>
      <c r="T2356" s="185"/>
      <c r="U2356" s="185"/>
      <c r="V2356" s="185"/>
      <c r="W2356" s="185"/>
      <c r="X2356" s="185"/>
      <c r="Y2356" s="45"/>
      <c r="Z2356" s="45"/>
      <c r="AA2356" s="45"/>
      <c r="AB2356" s="45"/>
      <c r="AC2356" s="45"/>
      <c r="AD2356" s="45"/>
      <c r="AE2356" s="45"/>
      <c r="AF2356" s="45"/>
      <c r="AG2356" s="45"/>
      <c r="AH2356" s="45"/>
      <c r="AI2356" s="45"/>
      <c r="AJ2356" s="45"/>
      <c r="AK2356" s="45"/>
      <c r="AL2356" s="45"/>
    </row>
    <row r="2357" ht="15.75" customHeight="1">
      <c r="A2357" s="27">
        <f t="shared" si="21"/>
        <v>1236</v>
      </c>
      <c r="B2357" s="28" t="s">
        <v>31</v>
      </c>
      <c r="C2357" s="43" t="s">
        <v>8162</v>
      </c>
      <c r="D2357" s="30" t="s">
        <v>8163</v>
      </c>
      <c r="E2357" s="28" t="s">
        <v>31</v>
      </c>
      <c r="F2357" s="28" t="s">
        <v>29</v>
      </c>
      <c r="G2357" s="28" t="s">
        <v>30</v>
      </c>
      <c r="H2357" s="28"/>
      <c r="I2357" s="28" t="s">
        <v>30</v>
      </c>
      <c r="J2357" s="28">
        <v>95.0</v>
      </c>
      <c r="K2357" s="28"/>
      <c r="L2357" s="28" t="s">
        <v>8164</v>
      </c>
      <c r="M2357" s="28" t="s">
        <v>151</v>
      </c>
      <c r="N2357" s="28">
        <v>1980.0</v>
      </c>
      <c r="O2357" s="28">
        <v>13.0</v>
      </c>
      <c r="P2357" s="28">
        <v>1.0</v>
      </c>
      <c r="Q2357" s="32">
        <v>1.0</v>
      </c>
      <c r="R2357" s="33"/>
      <c r="S2357" s="185"/>
      <c r="T2357" s="185"/>
      <c r="U2357" s="185"/>
      <c r="V2357" s="185"/>
      <c r="W2357" s="185"/>
      <c r="X2357" s="185"/>
      <c r="Y2357" s="3"/>
      <c r="Z2357" s="3"/>
      <c r="AA2357" s="3"/>
      <c r="AB2357" s="3"/>
      <c r="AC2357" s="3"/>
      <c r="AD2357" s="3"/>
      <c r="AE2357" s="3"/>
      <c r="AF2357" s="3"/>
      <c r="AG2357" s="3"/>
      <c r="AH2357" s="3"/>
      <c r="AI2357" s="3"/>
      <c r="AJ2357" s="3"/>
      <c r="AK2357" s="3"/>
      <c r="AL2357" s="3"/>
    </row>
    <row r="2358" ht="15.75" customHeight="1">
      <c r="A2358" s="27">
        <f t="shared" si="21"/>
        <v>1237</v>
      </c>
      <c r="B2358" s="28" t="s">
        <v>31</v>
      </c>
      <c r="C2358" s="43" t="s">
        <v>8162</v>
      </c>
      <c r="D2358" s="30" t="s">
        <v>8165</v>
      </c>
      <c r="E2358" s="28" t="s">
        <v>31</v>
      </c>
      <c r="F2358" s="28" t="s">
        <v>29</v>
      </c>
      <c r="G2358" s="28" t="s">
        <v>30</v>
      </c>
      <c r="H2358" s="28"/>
      <c r="I2358" s="28" t="s">
        <v>30</v>
      </c>
      <c r="J2358" s="28">
        <v>159.0</v>
      </c>
      <c r="K2358" s="28"/>
      <c r="L2358" s="28" t="s">
        <v>8164</v>
      </c>
      <c r="M2358" s="28" t="s">
        <v>151</v>
      </c>
      <c r="N2358" s="28">
        <v>1979.0</v>
      </c>
      <c r="O2358" s="28">
        <v>13.0</v>
      </c>
      <c r="P2358" s="28">
        <v>1.0</v>
      </c>
      <c r="Q2358" s="32">
        <v>1.0</v>
      </c>
      <c r="R2358" s="33"/>
      <c r="S2358" s="185"/>
      <c r="T2358" s="185"/>
      <c r="U2358" s="185"/>
      <c r="V2358" s="185"/>
      <c r="W2358" s="185"/>
      <c r="X2358" s="185"/>
      <c r="Y2358" s="3"/>
      <c r="Z2358" s="3"/>
      <c r="AA2358" s="3"/>
      <c r="AB2358" s="3"/>
      <c r="AC2358" s="3"/>
      <c r="AD2358" s="3"/>
      <c r="AE2358" s="3"/>
      <c r="AF2358" s="3"/>
      <c r="AG2358" s="3"/>
      <c r="AH2358" s="3"/>
      <c r="AI2358" s="3"/>
      <c r="AJ2358" s="3"/>
      <c r="AK2358" s="3"/>
      <c r="AL2358" s="3"/>
    </row>
    <row r="2359" ht="15.75" customHeight="1">
      <c r="A2359" s="27">
        <f t="shared" si="21"/>
        <v>1238</v>
      </c>
      <c r="B2359" s="28" t="s">
        <v>8166</v>
      </c>
      <c r="C2359" s="43" t="s">
        <v>8167</v>
      </c>
      <c r="D2359" s="30" t="s">
        <v>8168</v>
      </c>
      <c r="E2359" s="28" t="s">
        <v>31</v>
      </c>
      <c r="F2359" s="28" t="s">
        <v>29</v>
      </c>
      <c r="G2359" s="28" t="s">
        <v>30</v>
      </c>
      <c r="H2359" s="28"/>
      <c r="I2359" s="28" t="s">
        <v>30</v>
      </c>
      <c r="J2359" s="28">
        <v>313.0</v>
      </c>
      <c r="K2359" s="28"/>
      <c r="L2359" s="28" t="s">
        <v>8169</v>
      </c>
      <c r="M2359" s="28" t="s">
        <v>4126</v>
      </c>
      <c r="N2359" s="28">
        <v>2006.0</v>
      </c>
      <c r="O2359" s="28">
        <v>13.0</v>
      </c>
      <c r="P2359" s="28">
        <v>1.0</v>
      </c>
      <c r="Q2359" s="32">
        <v>1.0</v>
      </c>
      <c r="R2359" s="33"/>
      <c r="S2359" s="185"/>
      <c r="T2359" s="185"/>
      <c r="U2359" s="185"/>
      <c r="V2359" s="185"/>
      <c r="W2359" s="185"/>
      <c r="X2359" s="185"/>
      <c r="Y2359" s="3"/>
      <c r="Z2359" s="3"/>
      <c r="AA2359" s="3"/>
      <c r="AB2359" s="3"/>
      <c r="AC2359" s="3"/>
      <c r="AD2359" s="3"/>
      <c r="AE2359" s="3"/>
      <c r="AF2359" s="3"/>
      <c r="AG2359" s="3"/>
      <c r="AH2359" s="3"/>
      <c r="AI2359" s="3"/>
      <c r="AJ2359" s="3"/>
      <c r="AK2359" s="3"/>
      <c r="AL2359" s="3"/>
    </row>
    <row r="2360" ht="15.75" customHeight="1">
      <c r="A2360" s="27">
        <f t="shared" si="21"/>
        <v>1239</v>
      </c>
      <c r="B2360" s="28" t="s">
        <v>31</v>
      </c>
      <c r="C2360" s="43" t="s">
        <v>8170</v>
      </c>
      <c r="D2360" s="30" t="s">
        <v>8171</v>
      </c>
      <c r="E2360" s="28" t="s">
        <v>31</v>
      </c>
      <c r="F2360" s="28" t="s">
        <v>29</v>
      </c>
      <c r="G2360" s="28" t="s">
        <v>30</v>
      </c>
      <c r="H2360" s="28"/>
      <c r="I2360" s="28" t="s">
        <v>30</v>
      </c>
      <c r="J2360" s="28">
        <v>215.0</v>
      </c>
      <c r="K2360" s="28"/>
      <c r="L2360" s="28" t="s">
        <v>8172</v>
      </c>
      <c r="M2360" s="28" t="s">
        <v>8173</v>
      </c>
      <c r="N2360" s="28">
        <v>2006.0</v>
      </c>
      <c r="O2360" s="28">
        <v>13.0</v>
      </c>
      <c r="P2360" s="28">
        <v>1.0</v>
      </c>
      <c r="Q2360" s="32">
        <v>1.0</v>
      </c>
      <c r="R2360" s="33"/>
      <c r="S2360" s="185"/>
      <c r="T2360" s="185"/>
      <c r="U2360" s="185"/>
      <c r="V2360" s="185"/>
      <c r="W2360" s="185"/>
      <c r="X2360" s="185"/>
      <c r="Y2360" s="45"/>
      <c r="Z2360" s="45"/>
      <c r="AA2360" s="45"/>
      <c r="AB2360" s="45"/>
      <c r="AC2360" s="45"/>
      <c r="AD2360" s="45"/>
      <c r="AE2360" s="45"/>
      <c r="AF2360" s="45"/>
      <c r="AG2360" s="45"/>
      <c r="AH2360" s="45"/>
      <c r="AI2360" s="45"/>
      <c r="AJ2360" s="45"/>
      <c r="AK2360" s="45"/>
      <c r="AL2360" s="45"/>
    </row>
    <row r="2361" ht="15.75" customHeight="1">
      <c r="A2361" s="27">
        <f t="shared" si="21"/>
        <v>1240</v>
      </c>
      <c r="B2361" s="28" t="s">
        <v>8174</v>
      </c>
      <c r="C2361" s="43" t="s">
        <v>8175</v>
      </c>
      <c r="D2361" s="30" t="s">
        <v>8176</v>
      </c>
      <c r="E2361" s="28" t="s">
        <v>31</v>
      </c>
      <c r="F2361" s="28" t="s">
        <v>29</v>
      </c>
      <c r="G2361" s="28" t="s">
        <v>30</v>
      </c>
      <c r="H2361" s="28"/>
      <c r="I2361" s="28" t="s">
        <v>30</v>
      </c>
      <c r="J2361" s="28">
        <v>115.0</v>
      </c>
      <c r="K2361" s="28"/>
      <c r="L2361" s="28" t="s">
        <v>8177</v>
      </c>
      <c r="M2361" s="28" t="s">
        <v>151</v>
      </c>
      <c r="N2361" s="28">
        <v>1993.0</v>
      </c>
      <c r="O2361" s="28">
        <v>13.0</v>
      </c>
      <c r="P2361" s="28">
        <v>1.0</v>
      </c>
      <c r="Q2361" s="32">
        <v>1.0</v>
      </c>
      <c r="R2361" s="33"/>
      <c r="S2361" s="185"/>
      <c r="T2361" s="185"/>
      <c r="U2361" s="185"/>
      <c r="V2361" s="185"/>
      <c r="W2361" s="185"/>
      <c r="X2361" s="185"/>
      <c r="Y2361" s="45"/>
      <c r="Z2361" s="45"/>
      <c r="AA2361" s="45"/>
      <c r="AB2361" s="45"/>
      <c r="AC2361" s="45"/>
      <c r="AD2361" s="45"/>
      <c r="AE2361" s="45"/>
      <c r="AF2361" s="45"/>
      <c r="AG2361" s="45"/>
      <c r="AH2361" s="45"/>
      <c r="AI2361" s="45"/>
      <c r="AJ2361" s="45"/>
      <c r="AK2361" s="45"/>
      <c r="AL2361" s="45"/>
    </row>
    <row r="2362" ht="15.75" customHeight="1">
      <c r="A2362" s="27">
        <f t="shared" si="21"/>
        <v>1241</v>
      </c>
      <c r="B2362" s="28" t="s">
        <v>31</v>
      </c>
      <c r="C2362" s="43" t="s">
        <v>8178</v>
      </c>
      <c r="D2362" s="30" t="s">
        <v>8179</v>
      </c>
      <c r="E2362" s="28" t="s">
        <v>31</v>
      </c>
      <c r="F2362" s="28" t="s">
        <v>29</v>
      </c>
      <c r="G2362" s="28" t="s">
        <v>30</v>
      </c>
      <c r="H2362" s="28"/>
      <c r="I2362" s="28" t="s">
        <v>30</v>
      </c>
      <c r="J2362" s="28">
        <v>64.0</v>
      </c>
      <c r="K2362" s="28"/>
      <c r="L2362" s="28" t="s">
        <v>8180</v>
      </c>
      <c r="M2362" s="28" t="s">
        <v>151</v>
      </c>
      <c r="N2362" s="28">
        <v>1983.0</v>
      </c>
      <c r="O2362" s="28">
        <v>13.0</v>
      </c>
      <c r="P2362" s="28">
        <v>2.0</v>
      </c>
      <c r="Q2362" s="94">
        <v>2.0</v>
      </c>
      <c r="R2362" s="33"/>
      <c r="S2362" s="185"/>
      <c r="T2362" s="185"/>
      <c r="U2362" s="185"/>
      <c r="V2362" s="185"/>
      <c r="W2362" s="185"/>
      <c r="X2362" s="185"/>
      <c r="Y2362" s="45"/>
      <c r="Z2362" s="45"/>
      <c r="AA2362" s="45"/>
      <c r="AB2362" s="45"/>
      <c r="AC2362" s="45"/>
      <c r="AD2362" s="45"/>
      <c r="AE2362" s="45"/>
      <c r="AF2362" s="45"/>
      <c r="AG2362" s="45"/>
      <c r="AH2362" s="45"/>
      <c r="AI2362" s="45"/>
      <c r="AJ2362" s="45"/>
      <c r="AK2362" s="45"/>
      <c r="AL2362" s="45"/>
    </row>
    <row r="2363" ht="15.75" customHeight="1">
      <c r="A2363" s="27">
        <f t="shared" si="21"/>
        <v>1242</v>
      </c>
      <c r="B2363" s="121" t="s">
        <v>8181</v>
      </c>
      <c r="C2363" s="121" t="s">
        <v>8182</v>
      </c>
      <c r="D2363" s="119" t="s">
        <v>8183</v>
      </c>
      <c r="E2363" s="121" t="s">
        <v>31</v>
      </c>
      <c r="F2363" s="121" t="s">
        <v>31</v>
      </c>
      <c r="G2363" s="121" t="s">
        <v>37</v>
      </c>
      <c r="H2363" s="83"/>
      <c r="I2363" s="121" t="s">
        <v>38</v>
      </c>
      <c r="J2363" s="121">
        <v>292.0</v>
      </c>
      <c r="K2363" s="83"/>
      <c r="L2363" s="121" t="s">
        <v>8184</v>
      </c>
      <c r="M2363" s="121" t="s">
        <v>72</v>
      </c>
      <c r="N2363" s="121">
        <v>1985.0</v>
      </c>
      <c r="O2363" s="28">
        <v>13.0</v>
      </c>
      <c r="P2363" s="121">
        <v>1.0</v>
      </c>
      <c r="Q2363" s="121">
        <v>1.0</v>
      </c>
      <c r="R2363" s="84"/>
      <c r="S2363" s="185"/>
      <c r="T2363" s="185"/>
      <c r="U2363" s="185"/>
      <c r="V2363" s="185"/>
      <c r="W2363" s="185"/>
      <c r="X2363" s="185"/>
      <c r="Y2363" s="45"/>
      <c r="Z2363" s="45"/>
      <c r="AA2363" s="45"/>
      <c r="AB2363" s="45"/>
      <c r="AC2363" s="45"/>
      <c r="AD2363" s="45"/>
      <c r="AE2363" s="45"/>
      <c r="AF2363" s="45"/>
      <c r="AG2363" s="45"/>
      <c r="AH2363" s="45"/>
      <c r="AI2363" s="45"/>
      <c r="AJ2363" s="45"/>
      <c r="AK2363" s="45"/>
      <c r="AL2363" s="45"/>
    </row>
    <row r="2364" ht="15.75" customHeight="1">
      <c r="A2364" s="27">
        <f t="shared" si="21"/>
        <v>1243</v>
      </c>
      <c r="B2364" s="83"/>
      <c r="C2364" s="121" t="s">
        <v>8185</v>
      </c>
      <c r="D2364" s="119" t="s">
        <v>8186</v>
      </c>
      <c r="E2364" s="83"/>
      <c r="F2364" s="121" t="s">
        <v>29</v>
      </c>
      <c r="G2364" s="121" t="s">
        <v>37</v>
      </c>
      <c r="H2364" s="83"/>
      <c r="I2364" s="121" t="s">
        <v>38</v>
      </c>
      <c r="J2364" s="121">
        <v>124.0</v>
      </c>
      <c r="K2364" s="83"/>
      <c r="L2364" s="121" t="s">
        <v>8187</v>
      </c>
      <c r="M2364" s="121" t="s">
        <v>8188</v>
      </c>
      <c r="N2364" s="121">
        <v>1951.0</v>
      </c>
      <c r="O2364" s="28">
        <v>13.0</v>
      </c>
      <c r="P2364" s="121">
        <v>1.0</v>
      </c>
      <c r="Q2364" s="121">
        <v>1.0</v>
      </c>
      <c r="R2364" s="84"/>
      <c r="S2364" s="185"/>
      <c r="T2364" s="185"/>
      <c r="U2364" s="185"/>
      <c r="V2364" s="185"/>
      <c r="W2364" s="185"/>
      <c r="X2364" s="185"/>
      <c r="Y2364" s="45"/>
      <c r="Z2364" s="45"/>
      <c r="AA2364" s="45"/>
      <c r="AB2364" s="45"/>
      <c r="AC2364" s="45"/>
      <c r="AD2364" s="45"/>
      <c r="AE2364" s="45"/>
      <c r="AF2364" s="45"/>
      <c r="AG2364" s="45"/>
      <c r="AH2364" s="45"/>
      <c r="AI2364" s="45"/>
      <c r="AJ2364" s="45"/>
      <c r="AK2364" s="45"/>
      <c r="AL2364" s="45"/>
    </row>
    <row r="2365" ht="15.75" customHeight="1">
      <c r="A2365" s="27">
        <f t="shared" si="21"/>
        <v>1244</v>
      </c>
      <c r="B2365" s="28" t="s">
        <v>8189</v>
      </c>
      <c r="C2365" s="43" t="s">
        <v>8190</v>
      </c>
      <c r="D2365" s="30" t="s">
        <v>8191</v>
      </c>
      <c r="E2365" s="28"/>
      <c r="F2365" s="28" t="s">
        <v>29</v>
      </c>
      <c r="G2365" s="28" t="s">
        <v>38</v>
      </c>
      <c r="H2365" s="28"/>
      <c r="I2365" s="28" t="s">
        <v>30</v>
      </c>
      <c r="J2365" s="28">
        <f>446+14</f>
        <v>460</v>
      </c>
      <c r="K2365" s="28"/>
      <c r="L2365" s="28" t="s">
        <v>8192</v>
      </c>
      <c r="M2365" s="28" t="s">
        <v>8193</v>
      </c>
      <c r="N2365" s="28">
        <v>1990.0</v>
      </c>
      <c r="O2365" s="28">
        <v>13.0</v>
      </c>
      <c r="P2365" s="28">
        <v>1.0</v>
      </c>
      <c r="Q2365" s="32">
        <v>1.0</v>
      </c>
      <c r="R2365" s="33"/>
      <c r="S2365" s="185"/>
      <c r="T2365" s="185"/>
      <c r="U2365" s="185"/>
      <c r="V2365" s="185"/>
      <c r="W2365" s="185"/>
      <c r="X2365" s="185"/>
      <c r="Y2365" s="45"/>
      <c r="Z2365" s="45"/>
      <c r="AA2365" s="45"/>
      <c r="AB2365" s="45"/>
      <c r="AC2365" s="45"/>
      <c r="AD2365" s="45"/>
      <c r="AE2365" s="45"/>
      <c r="AF2365" s="45"/>
      <c r="AG2365" s="45"/>
      <c r="AH2365" s="45"/>
      <c r="AI2365" s="45"/>
      <c r="AJ2365" s="45"/>
      <c r="AK2365" s="45"/>
      <c r="AL2365" s="45"/>
    </row>
    <row r="2366" ht="15.75" customHeight="1">
      <c r="A2366" s="27">
        <f t="shared" si="21"/>
        <v>1245</v>
      </c>
      <c r="B2366" s="28" t="s">
        <v>31</v>
      </c>
      <c r="C2366" s="43" t="s">
        <v>8194</v>
      </c>
      <c r="D2366" s="30" t="s">
        <v>8195</v>
      </c>
      <c r="E2366" s="28" t="s">
        <v>31</v>
      </c>
      <c r="F2366" s="28" t="s">
        <v>29</v>
      </c>
      <c r="G2366" s="28" t="s">
        <v>30</v>
      </c>
      <c r="H2366" s="28"/>
      <c r="I2366" s="28" t="s">
        <v>30</v>
      </c>
      <c r="J2366" s="28">
        <v>312.0</v>
      </c>
      <c r="K2366" s="28"/>
      <c r="L2366" s="28" t="s">
        <v>8196</v>
      </c>
      <c r="M2366" s="28" t="s">
        <v>151</v>
      </c>
      <c r="N2366" s="28">
        <v>1979.0</v>
      </c>
      <c r="O2366" s="28">
        <v>13.0</v>
      </c>
      <c r="P2366" s="28">
        <v>1.0</v>
      </c>
      <c r="Q2366" s="32">
        <v>1.0</v>
      </c>
      <c r="R2366" s="33"/>
      <c r="S2366" s="185"/>
      <c r="T2366" s="185"/>
      <c r="U2366" s="185"/>
      <c r="V2366" s="185"/>
      <c r="W2366" s="185"/>
      <c r="X2366" s="185"/>
      <c r="Y2366" s="45"/>
      <c r="Z2366" s="45"/>
      <c r="AA2366" s="45"/>
      <c r="AB2366" s="45"/>
      <c r="AC2366" s="45"/>
      <c r="AD2366" s="45"/>
      <c r="AE2366" s="45"/>
      <c r="AF2366" s="45"/>
      <c r="AG2366" s="45"/>
      <c r="AH2366" s="45"/>
      <c r="AI2366" s="45"/>
      <c r="AJ2366" s="45"/>
      <c r="AK2366" s="45"/>
      <c r="AL2366" s="45"/>
    </row>
    <row r="2367" ht="15.75" customHeight="1">
      <c r="A2367" s="27">
        <f t="shared" si="21"/>
        <v>1246</v>
      </c>
      <c r="B2367" s="28" t="s">
        <v>8197</v>
      </c>
      <c r="C2367" s="43" t="s">
        <v>8198</v>
      </c>
      <c r="D2367" s="30" t="s">
        <v>8199</v>
      </c>
      <c r="E2367" s="28" t="s">
        <v>31</v>
      </c>
      <c r="F2367" s="28" t="s">
        <v>29</v>
      </c>
      <c r="G2367" s="28" t="s">
        <v>30</v>
      </c>
      <c r="H2367" s="28"/>
      <c r="I2367" s="28" t="s">
        <v>30</v>
      </c>
      <c r="J2367" s="28">
        <v>103.0</v>
      </c>
      <c r="K2367" s="28"/>
      <c r="L2367" s="28" t="s">
        <v>7618</v>
      </c>
      <c r="M2367" s="28" t="s">
        <v>146</v>
      </c>
      <c r="N2367" s="28">
        <v>2008.0</v>
      </c>
      <c r="O2367" s="28">
        <v>13.0</v>
      </c>
      <c r="P2367" s="28">
        <v>1.0</v>
      </c>
      <c r="Q2367" s="32">
        <v>1.0</v>
      </c>
      <c r="R2367" s="33"/>
      <c r="S2367" s="185"/>
      <c r="T2367" s="185"/>
      <c r="U2367" s="185"/>
      <c r="V2367" s="185"/>
      <c r="W2367" s="185"/>
      <c r="X2367" s="185"/>
      <c r="Y2367" s="45"/>
      <c r="Z2367" s="45"/>
      <c r="AA2367" s="45"/>
      <c r="AB2367" s="45"/>
      <c r="AC2367" s="45"/>
      <c r="AD2367" s="45"/>
      <c r="AE2367" s="45"/>
      <c r="AF2367" s="45"/>
      <c r="AG2367" s="45"/>
      <c r="AH2367" s="45"/>
      <c r="AI2367" s="45"/>
      <c r="AJ2367" s="45"/>
      <c r="AK2367" s="45"/>
      <c r="AL2367" s="45"/>
    </row>
    <row r="2368" ht="15.75" customHeight="1">
      <c r="A2368" s="27">
        <f t="shared" si="21"/>
        <v>1247</v>
      </c>
      <c r="B2368" s="28" t="s">
        <v>8200</v>
      </c>
      <c r="C2368" s="43" t="s">
        <v>8201</v>
      </c>
      <c r="D2368" s="30" t="s">
        <v>8202</v>
      </c>
      <c r="E2368" s="28" t="s">
        <v>144</v>
      </c>
      <c r="F2368" s="28" t="s">
        <v>29</v>
      </c>
      <c r="G2368" s="28" t="s">
        <v>8203</v>
      </c>
      <c r="H2368" s="28"/>
      <c r="I2368" s="28" t="s">
        <v>38</v>
      </c>
      <c r="J2368" s="28">
        <f>126+2</f>
        <v>128</v>
      </c>
      <c r="K2368" s="28"/>
      <c r="L2368" s="28" t="s">
        <v>8204</v>
      </c>
      <c r="M2368" s="28" t="s">
        <v>8205</v>
      </c>
      <c r="N2368" s="28">
        <v>1993.0</v>
      </c>
      <c r="O2368" s="28">
        <v>13.0</v>
      </c>
      <c r="P2368" s="28">
        <v>1.0</v>
      </c>
      <c r="Q2368" s="32">
        <v>1.0</v>
      </c>
      <c r="R2368" s="33"/>
      <c r="S2368" s="185"/>
      <c r="T2368" s="185"/>
      <c r="U2368" s="185"/>
      <c r="V2368" s="185"/>
      <c r="W2368" s="185"/>
      <c r="X2368" s="185"/>
      <c r="Y2368" s="45"/>
      <c r="Z2368" s="45"/>
      <c r="AA2368" s="45"/>
      <c r="AB2368" s="45"/>
      <c r="AC2368" s="45"/>
      <c r="AD2368" s="45"/>
      <c r="AE2368" s="45"/>
      <c r="AF2368" s="45"/>
      <c r="AG2368" s="45"/>
      <c r="AH2368" s="45"/>
      <c r="AI2368" s="45"/>
      <c r="AJ2368" s="45"/>
      <c r="AK2368" s="45"/>
      <c r="AL2368" s="45"/>
    </row>
    <row r="2369" ht="15.75" customHeight="1">
      <c r="A2369" s="27">
        <f t="shared" si="21"/>
        <v>1248</v>
      </c>
      <c r="B2369" s="28" t="s">
        <v>8206</v>
      </c>
      <c r="C2369" s="43" t="s">
        <v>8207</v>
      </c>
      <c r="D2369" s="30" t="s">
        <v>8208</v>
      </c>
      <c r="E2369" s="28" t="s">
        <v>31</v>
      </c>
      <c r="F2369" s="28" t="s">
        <v>29</v>
      </c>
      <c r="G2369" s="28" t="s">
        <v>30</v>
      </c>
      <c r="H2369" s="28"/>
      <c r="I2369" s="28" t="s">
        <v>30</v>
      </c>
      <c r="J2369" s="28">
        <v>167.0</v>
      </c>
      <c r="K2369" s="28"/>
      <c r="L2369" s="28" t="s">
        <v>8209</v>
      </c>
      <c r="M2369" s="28" t="s">
        <v>151</v>
      </c>
      <c r="N2369" s="28">
        <v>1999.0</v>
      </c>
      <c r="O2369" s="28">
        <v>13.0</v>
      </c>
      <c r="P2369" s="28">
        <v>1.0</v>
      </c>
      <c r="Q2369" s="32">
        <v>1.0</v>
      </c>
      <c r="R2369" s="33"/>
      <c r="S2369" s="185"/>
      <c r="T2369" s="185"/>
      <c r="U2369" s="185"/>
      <c r="V2369" s="185"/>
      <c r="W2369" s="185"/>
      <c r="X2369" s="185"/>
      <c r="Y2369" s="45"/>
      <c r="Z2369" s="45"/>
      <c r="AA2369" s="45"/>
      <c r="AB2369" s="45"/>
      <c r="AC2369" s="45"/>
      <c r="AD2369" s="45"/>
      <c r="AE2369" s="45"/>
      <c r="AF2369" s="45"/>
      <c r="AG2369" s="45"/>
      <c r="AH2369" s="45"/>
      <c r="AI2369" s="45"/>
      <c r="AJ2369" s="45"/>
      <c r="AK2369" s="45"/>
      <c r="AL2369" s="45"/>
    </row>
    <row r="2370" ht="15.75" customHeight="1">
      <c r="A2370" s="27">
        <f t="shared" si="21"/>
        <v>1249</v>
      </c>
      <c r="B2370" s="28" t="s">
        <v>31</v>
      </c>
      <c r="C2370" s="43" t="s">
        <v>8210</v>
      </c>
      <c r="D2370" s="30" t="s">
        <v>8211</v>
      </c>
      <c r="E2370" s="28" t="s">
        <v>31</v>
      </c>
      <c r="F2370" s="28" t="s">
        <v>29</v>
      </c>
      <c r="G2370" s="28" t="s">
        <v>30</v>
      </c>
      <c r="H2370" s="28"/>
      <c r="I2370" s="28" t="s">
        <v>30</v>
      </c>
      <c r="J2370" s="28">
        <v>95.0</v>
      </c>
      <c r="K2370" s="28"/>
      <c r="L2370" s="28" t="s">
        <v>8212</v>
      </c>
      <c r="M2370" s="28" t="s">
        <v>4924</v>
      </c>
      <c r="N2370" s="28" t="s">
        <v>31</v>
      </c>
      <c r="O2370" s="28">
        <v>13.0</v>
      </c>
      <c r="P2370" s="28">
        <v>1.0</v>
      </c>
      <c r="Q2370" s="94">
        <v>1.0</v>
      </c>
      <c r="R2370" s="33"/>
      <c r="S2370" s="185"/>
      <c r="T2370" s="185"/>
      <c r="U2370" s="185"/>
      <c r="V2370" s="185"/>
      <c r="W2370" s="185"/>
      <c r="X2370" s="185"/>
      <c r="Y2370" s="45"/>
      <c r="Z2370" s="45"/>
      <c r="AA2370" s="45"/>
      <c r="AB2370" s="45"/>
      <c r="AC2370" s="45"/>
      <c r="AD2370" s="45"/>
      <c r="AE2370" s="45"/>
      <c r="AF2370" s="45"/>
      <c r="AG2370" s="45"/>
      <c r="AH2370" s="45"/>
      <c r="AI2370" s="45"/>
      <c r="AJ2370" s="45"/>
      <c r="AK2370" s="45"/>
      <c r="AL2370" s="45"/>
    </row>
    <row r="2371" ht="15.75" customHeight="1">
      <c r="A2371" s="27">
        <f t="shared" si="21"/>
        <v>1250</v>
      </c>
      <c r="B2371" s="28"/>
      <c r="C2371" s="43" t="s">
        <v>8213</v>
      </c>
      <c r="D2371" s="30" t="s">
        <v>8214</v>
      </c>
      <c r="E2371" s="28" t="s">
        <v>144</v>
      </c>
      <c r="F2371" s="28" t="s">
        <v>29</v>
      </c>
      <c r="G2371" s="28" t="s">
        <v>37</v>
      </c>
      <c r="H2371" s="28"/>
      <c r="I2371" s="28" t="s">
        <v>38</v>
      </c>
      <c r="J2371" s="28">
        <v>317.0</v>
      </c>
      <c r="K2371" s="28"/>
      <c r="L2371" s="28" t="s">
        <v>8215</v>
      </c>
      <c r="M2371" s="28" t="s">
        <v>8216</v>
      </c>
      <c r="N2371" s="28">
        <v>1964.0</v>
      </c>
      <c r="O2371" s="28">
        <v>13.0</v>
      </c>
      <c r="P2371" s="28">
        <v>1.0</v>
      </c>
      <c r="Q2371" s="32">
        <v>1.0</v>
      </c>
      <c r="R2371" s="33"/>
      <c r="S2371" s="185"/>
      <c r="T2371" s="185"/>
      <c r="U2371" s="185"/>
      <c r="V2371" s="185"/>
      <c r="W2371" s="185"/>
      <c r="X2371" s="185"/>
      <c r="Y2371" s="45"/>
      <c r="Z2371" s="45"/>
      <c r="AA2371" s="45"/>
      <c r="AB2371" s="45"/>
      <c r="AC2371" s="45"/>
      <c r="AD2371" s="45"/>
      <c r="AE2371" s="45"/>
      <c r="AF2371" s="45"/>
      <c r="AG2371" s="45"/>
      <c r="AH2371" s="45"/>
      <c r="AI2371" s="45"/>
      <c r="AJ2371" s="45"/>
      <c r="AK2371" s="45"/>
      <c r="AL2371" s="45"/>
    </row>
    <row r="2372" ht="15.75" customHeight="1">
      <c r="A2372" s="27">
        <f t="shared" si="21"/>
        <v>1251</v>
      </c>
      <c r="B2372" s="121" t="s">
        <v>8217</v>
      </c>
      <c r="C2372" s="121" t="s">
        <v>8218</v>
      </c>
      <c r="D2372" s="119" t="s">
        <v>8219</v>
      </c>
      <c r="E2372" s="83"/>
      <c r="F2372" s="121" t="s">
        <v>29</v>
      </c>
      <c r="G2372" s="121" t="s">
        <v>30</v>
      </c>
      <c r="H2372" s="83"/>
      <c r="I2372" s="121" t="s">
        <v>30</v>
      </c>
      <c r="J2372" s="121">
        <v>110.0</v>
      </c>
      <c r="K2372" s="83"/>
      <c r="L2372" s="121" t="s">
        <v>8220</v>
      </c>
      <c r="M2372" s="121" t="s">
        <v>151</v>
      </c>
      <c r="N2372" s="121">
        <v>2018.0</v>
      </c>
      <c r="O2372" s="28">
        <v>13.0</v>
      </c>
      <c r="P2372" s="121">
        <v>1.0</v>
      </c>
      <c r="Q2372" s="121">
        <v>1.0</v>
      </c>
      <c r="R2372" s="84"/>
      <c r="S2372" s="185"/>
      <c r="T2372" s="185"/>
      <c r="U2372" s="185"/>
      <c r="V2372" s="185"/>
      <c r="W2372" s="185"/>
      <c r="X2372" s="185"/>
      <c r="Y2372" s="45"/>
      <c r="Z2372" s="45"/>
      <c r="AA2372" s="45"/>
      <c r="AB2372" s="45"/>
      <c r="AC2372" s="45"/>
      <c r="AD2372" s="45"/>
      <c r="AE2372" s="45"/>
      <c r="AF2372" s="45"/>
      <c r="AG2372" s="45"/>
      <c r="AH2372" s="45"/>
      <c r="AI2372" s="45"/>
      <c r="AJ2372" s="45"/>
      <c r="AK2372" s="45"/>
      <c r="AL2372" s="45"/>
    </row>
    <row r="2373" ht="15.75" customHeight="1">
      <c r="A2373" s="27">
        <f t="shared" si="21"/>
        <v>1252</v>
      </c>
      <c r="B2373" s="28" t="s">
        <v>8221</v>
      </c>
      <c r="C2373" s="29" t="s">
        <v>8222</v>
      </c>
      <c r="D2373" s="30" t="s">
        <v>8223</v>
      </c>
      <c r="E2373" s="28" t="s">
        <v>31</v>
      </c>
      <c r="F2373" s="28" t="s">
        <v>29</v>
      </c>
      <c r="G2373" s="28" t="s">
        <v>30</v>
      </c>
      <c r="H2373" s="28"/>
      <c r="I2373" s="28" t="s">
        <v>30</v>
      </c>
      <c r="J2373" s="28">
        <v>104.0</v>
      </c>
      <c r="K2373" s="28"/>
      <c r="L2373" s="28" t="s">
        <v>8224</v>
      </c>
      <c r="M2373" s="28" t="s">
        <v>230</v>
      </c>
      <c r="N2373" s="28">
        <v>2004.0</v>
      </c>
      <c r="O2373" s="28">
        <v>13.0</v>
      </c>
      <c r="P2373" s="28">
        <v>1.0</v>
      </c>
      <c r="Q2373" s="94">
        <v>1.0</v>
      </c>
      <c r="R2373" s="33"/>
      <c r="S2373" s="185"/>
      <c r="T2373" s="185"/>
      <c r="U2373" s="185"/>
      <c r="V2373" s="185"/>
      <c r="W2373" s="185"/>
      <c r="X2373" s="185"/>
      <c r="Y2373" s="45"/>
      <c r="Z2373" s="45"/>
      <c r="AA2373" s="45"/>
      <c r="AB2373" s="45"/>
      <c r="AC2373" s="45"/>
      <c r="AD2373" s="45"/>
      <c r="AE2373" s="45"/>
      <c r="AF2373" s="45"/>
      <c r="AG2373" s="45"/>
      <c r="AH2373" s="45"/>
      <c r="AI2373" s="45"/>
      <c r="AJ2373" s="45"/>
      <c r="AK2373" s="45"/>
      <c r="AL2373" s="45"/>
    </row>
    <row r="2374" ht="15.75" customHeight="1">
      <c r="A2374" s="27">
        <f t="shared" si="21"/>
        <v>1253</v>
      </c>
      <c r="B2374" s="28" t="s">
        <v>8225</v>
      </c>
      <c r="C2374" s="43" t="s">
        <v>8226</v>
      </c>
      <c r="D2374" s="30" t="s">
        <v>8227</v>
      </c>
      <c r="E2374" s="28" t="s">
        <v>31</v>
      </c>
      <c r="F2374" s="28" t="s">
        <v>29</v>
      </c>
      <c r="G2374" s="28" t="s">
        <v>30</v>
      </c>
      <c r="H2374" s="28"/>
      <c r="I2374" s="28" t="s">
        <v>30</v>
      </c>
      <c r="J2374" s="28">
        <v>31.0</v>
      </c>
      <c r="K2374" s="28"/>
      <c r="L2374" s="28" t="s">
        <v>8228</v>
      </c>
      <c r="M2374" s="28" t="s">
        <v>3341</v>
      </c>
      <c r="N2374" s="28">
        <v>2006.0</v>
      </c>
      <c r="O2374" s="28">
        <v>13.0</v>
      </c>
      <c r="P2374" s="28">
        <v>1.0</v>
      </c>
      <c r="Q2374" s="32">
        <v>1.0</v>
      </c>
      <c r="R2374" s="33"/>
      <c r="S2374" s="185"/>
      <c r="T2374" s="185"/>
      <c r="U2374" s="185"/>
      <c r="V2374" s="185"/>
      <c r="W2374" s="185"/>
      <c r="X2374" s="185"/>
      <c r="Y2374" s="3"/>
      <c r="Z2374" s="3"/>
      <c r="AA2374" s="3"/>
      <c r="AB2374" s="3"/>
      <c r="AC2374" s="3"/>
      <c r="AD2374" s="3"/>
      <c r="AE2374" s="3"/>
      <c r="AF2374" s="3"/>
      <c r="AG2374" s="3"/>
      <c r="AH2374" s="3"/>
      <c r="AI2374" s="3"/>
      <c r="AJ2374" s="3"/>
      <c r="AK2374" s="3"/>
      <c r="AL2374" s="3"/>
    </row>
    <row r="2375" ht="15.75" customHeight="1">
      <c r="A2375" s="27">
        <f t="shared" si="21"/>
        <v>1254</v>
      </c>
      <c r="B2375" s="28" t="s">
        <v>8229</v>
      </c>
      <c r="C2375" s="43" t="s">
        <v>8230</v>
      </c>
      <c r="D2375" s="30" t="s">
        <v>8231</v>
      </c>
      <c r="E2375" s="28"/>
      <c r="F2375" s="28" t="s">
        <v>29</v>
      </c>
      <c r="G2375" s="28" t="s">
        <v>37</v>
      </c>
      <c r="H2375" s="28"/>
      <c r="I2375" s="28" t="s">
        <v>38</v>
      </c>
      <c r="J2375" s="28">
        <v>140.0</v>
      </c>
      <c r="K2375" s="28"/>
      <c r="L2375" s="28" t="s">
        <v>8232</v>
      </c>
      <c r="M2375" s="28" t="s">
        <v>230</v>
      </c>
      <c r="N2375" s="28">
        <v>2011.0</v>
      </c>
      <c r="O2375" s="28">
        <v>13.0</v>
      </c>
      <c r="P2375" s="28">
        <v>1.0</v>
      </c>
      <c r="Q2375" s="32">
        <v>1.0</v>
      </c>
      <c r="R2375" s="33"/>
      <c r="S2375" s="185"/>
      <c r="T2375" s="185"/>
      <c r="U2375" s="185"/>
      <c r="V2375" s="185"/>
      <c r="W2375" s="185"/>
      <c r="X2375" s="185"/>
      <c r="Y2375" s="45"/>
      <c r="Z2375" s="45"/>
      <c r="AA2375" s="45"/>
      <c r="AB2375" s="45"/>
      <c r="AC2375" s="45"/>
      <c r="AD2375" s="45"/>
      <c r="AE2375" s="45"/>
      <c r="AF2375" s="45"/>
      <c r="AG2375" s="45"/>
      <c r="AH2375" s="45"/>
      <c r="AI2375" s="45"/>
      <c r="AJ2375" s="45"/>
      <c r="AK2375" s="45"/>
      <c r="AL2375" s="45"/>
    </row>
    <row r="2376" ht="15.75" customHeight="1">
      <c r="A2376" s="27">
        <f t="shared" si="21"/>
        <v>1255</v>
      </c>
      <c r="B2376" s="28" t="s">
        <v>8233</v>
      </c>
      <c r="C2376" s="43" t="s">
        <v>8234</v>
      </c>
      <c r="D2376" s="30" t="s">
        <v>8235</v>
      </c>
      <c r="E2376" s="28" t="s">
        <v>144</v>
      </c>
      <c r="F2376" s="28" t="s">
        <v>29</v>
      </c>
      <c r="G2376" s="28" t="s">
        <v>30</v>
      </c>
      <c r="H2376" s="28"/>
      <c r="I2376" s="28" t="s">
        <v>30</v>
      </c>
      <c r="J2376" s="28">
        <v>75.0</v>
      </c>
      <c r="K2376" s="28"/>
      <c r="L2376" s="28" t="s">
        <v>8236</v>
      </c>
      <c r="M2376" s="28" t="s">
        <v>4767</v>
      </c>
      <c r="N2376" s="28">
        <v>2016.0</v>
      </c>
      <c r="O2376" s="28">
        <v>13.0</v>
      </c>
      <c r="P2376" s="28">
        <v>3.0</v>
      </c>
      <c r="Q2376" s="94">
        <v>3.0</v>
      </c>
      <c r="R2376" s="33"/>
      <c r="S2376" s="185"/>
      <c r="T2376" s="185"/>
      <c r="U2376" s="185"/>
      <c r="V2376" s="185"/>
      <c r="W2376" s="185"/>
      <c r="X2376" s="185"/>
      <c r="Y2376" s="3"/>
      <c r="Z2376" s="3"/>
      <c r="AA2376" s="3"/>
      <c r="AB2376" s="3"/>
      <c r="AC2376" s="3"/>
      <c r="AD2376" s="3"/>
      <c r="AE2376" s="3"/>
      <c r="AF2376" s="3"/>
      <c r="AG2376" s="3"/>
      <c r="AH2376" s="3"/>
      <c r="AI2376" s="3"/>
      <c r="AJ2376" s="3"/>
      <c r="AK2376" s="3"/>
      <c r="AL2376" s="3"/>
    </row>
    <row r="2377" ht="15.75" customHeight="1">
      <c r="A2377" s="27">
        <f t="shared" si="21"/>
        <v>1256</v>
      </c>
      <c r="B2377" s="28" t="s">
        <v>31</v>
      </c>
      <c r="C2377" s="102" t="s">
        <v>8237</v>
      </c>
      <c r="D2377" s="30" t="s">
        <v>8238</v>
      </c>
      <c r="E2377" s="28" t="s">
        <v>144</v>
      </c>
      <c r="F2377" s="28" t="s">
        <v>29</v>
      </c>
      <c r="G2377" s="28" t="s">
        <v>30</v>
      </c>
      <c r="H2377" s="28" t="s">
        <v>31</v>
      </c>
      <c r="I2377" s="28" t="s">
        <v>30</v>
      </c>
      <c r="J2377" s="28">
        <v>132.0</v>
      </c>
      <c r="K2377" s="28"/>
      <c r="L2377" s="28"/>
      <c r="M2377" s="28" t="s">
        <v>8239</v>
      </c>
      <c r="N2377" s="28">
        <v>2015.0</v>
      </c>
      <c r="O2377" s="28">
        <v>13.0</v>
      </c>
      <c r="P2377" s="28">
        <v>1.0</v>
      </c>
      <c r="Q2377" s="32">
        <v>1.0</v>
      </c>
      <c r="R2377" s="33"/>
      <c r="S2377" s="185"/>
      <c r="T2377" s="185"/>
      <c r="U2377" s="185"/>
      <c r="V2377" s="185"/>
      <c r="W2377" s="185"/>
      <c r="X2377" s="185"/>
      <c r="Y2377" s="3"/>
      <c r="Z2377" s="3"/>
      <c r="AA2377" s="3"/>
      <c r="AB2377" s="3"/>
      <c r="AC2377" s="3"/>
      <c r="AD2377" s="3"/>
      <c r="AE2377" s="3"/>
      <c r="AF2377" s="3"/>
      <c r="AG2377" s="3"/>
      <c r="AH2377" s="3"/>
      <c r="AI2377" s="3"/>
      <c r="AJ2377" s="3"/>
      <c r="AK2377" s="3"/>
      <c r="AL2377" s="3"/>
    </row>
    <row r="2378" ht="15.75" customHeight="1">
      <c r="A2378" s="27">
        <f t="shared" si="21"/>
        <v>1257</v>
      </c>
      <c r="B2378" s="28" t="s">
        <v>8240</v>
      </c>
      <c r="C2378" s="43" t="s">
        <v>8241</v>
      </c>
      <c r="D2378" s="30" t="s">
        <v>8242</v>
      </c>
      <c r="E2378" s="28" t="s">
        <v>31</v>
      </c>
      <c r="F2378" s="28" t="s">
        <v>29</v>
      </c>
      <c r="G2378" s="28" t="s">
        <v>30</v>
      </c>
      <c r="H2378" s="28"/>
      <c r="I2378" s="28" t="s">
        <v>30</v>
      </c>
      <c r="J2378" s="28">
        <v>225.0</v>
      </c>
      <c r="K2378" s="28"/>
      <c r="L2378" s="28" t="s">
        <v>8243</v>
      </c>
      <c r="M2378" s="28" t="s">
        <v>151</v>
      </c>
      <c r="N2378" s="28">
        <v>1998.0</v>
      </c>
      <c r="O2378" s="28">
        <v>13.0</v>
      </c>
      <c r="P2378" s="28">
        <v>1.0</v>
      </c>
      <c r="Q2378" s="32">
        <v>1.0</v>
      </c>
      <c r="R2378" s="33"/>
      <c r="S2378" s="185"/>
      <c r="T2378" s="185"/>
      <c r="U2378" s="185"/>
      <c r="V2378" s="185"/>
      <c r="W2378" s="185"/>
      <c r="X2378" s="185"/>
      <c r="Y2378" s="45"/>
      <c r="Z2378" s="3"/>
      <c r="AA2378" s="3"/>
      <c r="AB2378" s="3"/>
      <c r="AC2378" s="3"/>
      <c r="AD2378" s="3"/>
      <c r="AE2378" s="3"/>
      <c r="AF2378" s="3"/>
      <c r="AG2378" s="3"/>
      <c r="AH2378" s="3"/>
      <c r="AI2378" s="3"/>
      <c r="AJ2378" s="3"/>
      <c r="AK2378" s="3"/>
      <c r="AL2378" s="3"/>
    </row>
    <row r="2379" ht="15.75" customHeight="1">
      <c r="A2379" s="27">
        <f t="shared" si="21"/>
        <v>1258</v>
      </c>
      <c r="B2379" s="28" t="s">
        <v>8244</v>
      </c>
      <c r="C2379" s="43" t="s">
        <v>8245</v>
      </c>
      <c r="D2379" s="30" t="s">
        <v>8246</v>
      </c>
      <c r="E2379" s="28" t="s">
        <v>144</v>
      </c>
      <c r="F2379" s="28" t="s">
        <v>29</v>
      </c>
      <c r="G2379" s="28" t="s">
        <v>30</v>
      </c>
      <c r="H2379" s="28"/>
      <c r="I2379" s="28" t="s">
        <v>30</v>
      </c>
      <c r="J2379" s="28">
        <f>137</f>
        <v>137</v>
      </c>
      <c r="K2379" s="28"/>
      <c r="L2379" s="28" t="s">
        <v>8247</v>
      </c>
      <c r="M2379" s="28" t="s">
        <v>151</v>
      </c>
      <c r="N2379" s="28">
        <v>2012.0</v>
      </c>
      <c r="O2379" s="28">
        <v>13.0</v>
      </c>
      <c r="P2379" s="28">
        <v>2.0</v>
      </c>
      <c r="Q2379" s="32">
        <v>2.0</v>
      </c>
      <c r="R2379" s="33"/>
      <c r="S2379" s="185"/>
      <c r="T2379" s="185"/>
      <c r="U2379" s="185"/>
      <c r="V2379" s="185"/>
      <c r="W2379" s="185"/>
      <c r="X2379" s="185"/>
      <c r="Y2379" s="45"/>
      <c r="Z2379" s="45"/>
      <c r="AA2379" s="45"/>
      <c r="AB2379" s="45"/>
      <c r="AC2379" s="45"/>
      <c r="AD2379" s="45"/>
      <c r="AE2379" s="45"/>
      <c r="AF2379" s="45"/>
      <c r="AG2379" s="45"/>
      <c r="AH2379" s="45"/>
      <c r="AI2379" s="45"/>
      <c r="AJ2379" s="45"/>
      <c r="AK2379" s="45"/>
      <c r="AL2379" s="45"/>
    </row>
    <row r="2380" ht="15.75" customHeight="1">
      <c r="A2380" s="27">
        <f t="shared" si="21"/>
        <v>1259</v>
      </c>
      <c r="B2380" s="28" t="s">
        <v>8248</v>
      </c>
      <c r="C2380" s="43" t="s">
        <v>8249</v>
      </c>
      <c r="D2380" s="30" t="s">
        <v>8250</v>
      </c>
      <c r="E2380" s="28"/>
      <c r="F2380" s="28" t="s">
        <v>29</v>
      </c>
      <c r="G2380" s="28" t="s">
        <v>37</v>
      </c>
      <c r="H2380" s="28"/>
      <c r="I2380" s="28" t="s">
        <v>38</v>
      </c>
      <c r="J2380" s="28">
        <v>443.0</v>
      </c>
      <c r="K2380" s="28"/>
      <c r="L2380" s="28" t="s">
        <v>8251</v>
      </c>
      <c r="M2380" s="28" t="s">
        <v>1176</v>
      </c>
      <c r="N2380" s="28">
        <v>2006.0</v>
      </c>
      <c r="O2380" s="60">
        <v>13.0</v>
      </c>
      <c r="P2380" s="28">
        <v>1.0</v>
      </c>
      <c r="Q2380" s="32">
        <v>1.0</v>
      </c>
      <c r="R2380" s="33"/>
      <c r="S2380" s="185"/>
      <c r="T2380" s="185"/>
      <c r="U2380" s="185"/>
      <c r="V2380" s="185"/>
      <c r="W2380" s="185"/>
      <c r="X2380" s="185"/>
      <c r="Y2380" s="45"/>
      <c r="Z2380" s="45"/>
      <c r="AA2380" s="45"/>
      <c r="AB2380" s="45"/>
      <c r="AC2380" s="45"/>
      <c r="AD2380" s="45"/>
      <c r="AE2380" s="45"/>
      <c r="AF2380" s="45"/>
      <c r="AG2380" s="45"/>
      <c r="AH2380" s="45"/>
      <c r="AI2380" s="45"/>
      <c r="AJ2380" s="45"/>
      <c r="AK2380" s="45"/>
      <c r="AL2380" s="45"/>
    </row>
    <row r="2381" ht="15.75" customHeight="1">
      <c r="A2381" s="27">
        <f t="shared" si="21"/>
        <v>1260</v>
      </c>
      <c r="B2381" s="28" t="s">
        <v>8252</v>
      </c>
      <c r="C2381" s="43" t="s">
        <v>8253</v>
      </c>
      <c r="D2381" s="30" t="s">
        <v>8254</v>
      </c>
      <c r="E2381" s="28" t="s">
        <v>144</v>
      </c>
      <c r="F2381" s="28" t="s">
        <v>29</v>
      </c>
      <c r="G2381" s="28" t="s">
        <v>30</v>
      </c>
      <c r="H2381" s="28"/>
      <c r="I2381" s="28" t="s">
        <v>30</v>
      </c>
      <c r="J2381" s="28">
        <v>191.0</v>
      </c>
      <c r="K2381" s="28"/>
      <c r="L2381" s="28" t="s">
        <v>31</v>
      </c>
      <c r="M2381" s="28" t="s">
        <v>100</v>
      </c>
      <c r="N2381" s="28">
        <v>2013.0</v>
      </c>
      <c r="O2381" s="60">
        <v>13.0</v>
      </c>
      <c r="P2381" s="28">
        <v>1.0</v>
      </c>
      <c r="Q2381" s="32">
        <v>1.0</v>
      </c>
      <c r="R2381" s="33"/>
      <c r="S2381" s="185"/>
      <c r="T2381" s="185"/>
      <c r="U2381" s="185"/>
      <c r="V2381" s="185"/>
      <c r="W2381" s="185"/>
      <c r="X2381" s="185"/>
      <c r="Y2381" s="45"/>
      <c r="Z2381" s="45"/>
      <c r="AA2381" s="45"/>
      <c r="AB2381" s="45"/>
      <c r="AC2381" s="45"/>
      <c r="AD2381" s="45"/>
      <c r="AE2381" s="45"/>
      <c r="AF2381" s="45"/>
      <c r="AG2381" s="45"/>
      <c r="AH2381" s="45"/>
      <c r="AI2381" s="45"/>
      <c r="AJ2381" s="45"/>
      <c r="AK2381" s="45"/>
      <c r="AL2381" s="45"/>
    </row>
    <row r="2382" ht="15.75" customHeight="1">
      <c r="A2382" s="27">
        <f t="shared" si="21"/>
        <v>1261</v>
      </c>
      <c r="B2382" s="28" t="s">
        <v>31</v>
      </c>
      <c r="C2382" s="43" t="s">
        <v>8255</v>
      </c>
      <c r="D2382" s="30" t="s">
        <v>8256</v>
      </c>
      <c r="E2382" s="28" t="s">
        <v>31</v>
      </c>
      <c r="F2382" s="28" t="s">
        <v>29</v>
      </c>
      <c r="G2382" s="28" t="s">
        <v>30</v>
      </c>
      <c r="H2382" s="28"/>
      <c r="I2382" s="28" t="s">
        <v>30</v>
      </c>
      <c r="J2382" s="28">
        <v>109.0</v>
      </c>
      <c r="K2382" s="28"/>
      <c r="L2382" s="28" t="s">
        <v>8257</v>
      </c>
      <c r="M2382" s="28" t="s">
        <v>3341</v>
      </c>
      <c r="N2382" s="28">
        <v>2007.0</v>
      </c>
      <c r="O2382" s="60">
        <v>13.0</v>
      </c>
      <c r="P2382" s="28">
        <v>1.0</v>
      </c>
      <c r="Q2382" s="32">
        <v>1.0</v>
      </c>
      <c r="R2382" s="33"/>
      <c r="S2382" s="185"/>
      <c r="T2382" s="185"/>
      <c r="U2382" s="185"/>
      <c r="V2382" s="185"/>
      <c r="W2382" s="185"/>
      <c r="X2382" s="185"/>
      <c r="Y2382" s="3"/>
      <c r="Z2382" s="3"/>
      <c r="AA2382" s="3"/>
      <c r="AB2382" s="3"/>
      <c r="AC2382" s="3"/>
      <c r="AD2382" s="3"/>
      <c r="AE2382" s="3"/>
      <c r="AF2382" s="3"/>
      <c r="AG2382" s="3"/>
      <c r="AH2382" s="3"/>
      <c r="AI2382" s="3"/>
      <c r="AJ2382" s="3"/>
      <c r="AK2382" s="3"/>
      <c r="AL2382" s="3"/>
    </row>
    <row r="2383" ht="15.75" customHeight="1">
      <c r="A2383" s="27">
        <f t="shared" si="21"/>
        <v>1262</v>
      </c>
      <c r="B2383" s="28" t="s">
        <v>8258</v>
      </c>
      <c r="C2383" s="43" t="s">
        <v>8259</v>
      </c>
      <c r="D2383" s="30" t="s">
        <v>8260</v>
      </c>
      <c r="E2383" s="28" t="s">
        <v>31</v>
      </c>
      <c r="F2383" s="28" t="s">
        <v>29</v>
      </c>
      <c r="G2383" s="28" t="s">
        <v>37</v>
      </c>
      <c r="H2383" s="28"/>
      <c r="I2383" s="28" t="s">
        <v>38</v>
      </c>
      <c r="J2383" s="28">
        <v>176.0</v>
      </c>
      <c r="K2383" s="28"/>
      <c r="L2383" s="28" t="s">
        <v>8261</v>
      </c>
      <c r="M2383" s="28" t="s">
        <v>3485</v>
      </c>
      <c r="N2383" s="28">
        <v>2002.0</v>
      </c>
      <c r="O2383" s="60">
        <v>13.0</v>
      </c>
      <c r="P2383" s="28">
        <v>1.0</v>
      </c>
      <c r="Q2383" s="94">
        <v>1.0</v>
      </c>
      <c r="R2383" s="33"/>
      <c r="S2383" s="185"/>
      <c r="T2383" s="185"/>
      <c r="U2383" s="185"/>
      <c r="V2383" s="185"/>
      <c r="W2383" s="185"/>
      <c r="X2383" s="185"/>
      <c r="Y2383" s="45"/>
      <c r="Z2383" s="45"/>
      <c r="AA2383" s="45"/>
      <c r="AB2383" s="45"/>
      <c r="AC2383" s="45"/>
      <c r="AD2383" s="45"/>
      <c r="AE2383" s="45"/>
      <c r="AF2383" s="45"/>
      <c r="AG2383" s="45"/>
      <c r="AH2383" s="45"/>
      <c r="AI2383" s="45"/>
      <c r="AJ2383" s="45"/>
      <c r="AK2383" s="45"/>
      <c r="AL2383" s="45"/>
    </row>
    <row r="2384" ht="15.75" customHeight="1">
      <c r="A2384" s="27">
        <f t="shared" si="21"/>
        <v>1263</v>
      </c>
      <c r="B2384" s="28" t="s">
        <v>31</v>
      </c>
      <c r="C2384" s="43" t="s">
        <v>8262</v>
      </c>
      <c r="D2384" s="30" t="s">
        <v>8263</v>
      </c>
      <c r="E2384" s="28" t="s">
        <v>31</v>
      </c>
      <c r="F2384" s="28" t="s">
        <v>29</v>
      </c>
      <c r="G2384" s="28" t="s">
        <v>30</v>
      </c>
      <c r="H2384" s="28"/>
      <c r="I2384" s="28" t="s">
        <v>30</v>
      </c>
      <c r="J2384" s="28">
        <v>118.0</v>
      </c>
      <c r="K2384" s="28"/>
      <c r="L2384" s="28" t="s">
        <v>8264</v>
      </c>
      <c r="M2384" s="28" t="s">
        <v>3697</v>
      </c>
      <c r="N2384" s="28">
        <v>2006.0</v>
      </c>
      <c r="O2384" s="60">
        <v>13.0</v>
      </c>
      <c r="P2384" s="28">
        <v>1.0</v>
      </c>
      <c r="Q2384" s="32">
        <v>1.0</v>
      </c>
      <c r="R2384" s="33"/>
      <c r="S2384" s="185"/>
      <c r="T2384" s="185"/>
      <c r="U2384" s="185"/>
      <c r="V2384" s="185"/>
      <c r="W2384" s="185"/>
      <c r="X2384" s="185"/>
      <c r="Y2384" s="3"/>
      <c r="Z2384" s="3"/>
      <c r="AA2384" s="3"/>
      <c r="AB2384" s="3"/>
      <c r="AC2384" s="3"/>
      <c r="AD2384" s="3"/>
      <c r="AE2384" s="3"/>
      <c r="AF2384" s="3"/>
      <c r="AG2384" s="3"/>
      <c r="AH2384" s="3"/>
      <c r="AI2384" s="3"/>
      <c r="AJ2384" s="3"/>
      <c r="AK2384" s="3"/>
      <c r="AL2384" s="3"/>
    </row>
    <row r="2385" ht="15.75" customHeight="1">
      <c r="A2385" s="27">
        <f t="shared" si="21"/>
        <v>1264</v>
      </c>
      <c r="B2385" s="28" t="s">
        <v>8265</v>
      </c>
      <c r="C2385" s="43" t="s">
        <v>8266</v>
      </c>
      <c r="D2385" s="30" t="s">
        <v>8267</v>
      </c>
      <c r="E2385" s="28" t="s">
        <v>31</v>
      </c>
      <c r="F2385" s="28" t="s">
        <v>29</v>
      </c>
      <c r="G2385" s="28" t="s">
        <v>6151</v>
      </c>
      <c r="H2385" s="28"/>
      <c r="I2385" s="28" t="s">
        <v>38</v>
      </c>
      <c r="J2385" s="28">
        <v>324.0</v>
      </c>
      <c r="K2385" s="28"/>
      <c r="L2385" s="28" t="s">
        <v>8268</v>
      </c>
      <c r="M2385" s="28" t="s">
        <v>4428</v>
      </c>
      <c r="N2385" s="28">
        <v>1995.0</v>
      </c>
      <c r="O2385" s="60">
        <v>13.0</v>
      </c>
      <c r="P2385" s="28">
        <v>1.0</v>
      </c>
      <c r="Q2385" s="32">
        <v>1.0</v>
      </c>
      <c r="R2385" s="33"/>
      <c r="S2385" s="185"/>
      <c r="T2385" s="185"/>
      <c r="U2385" s="185"/>
      <c r="V2385" s="185"/>
      <c r="W2385" s="185"/>
      <c r="X2385" s="185"/>
      <c r="Y2385" s="3"/>
      <c r="Z2385" s="3"/>
      <c r="AA2385" s="3"/>
      <c r="AB2385" s="3"/>
      <c r="AC2385" s="3"/>
      <c r="AD2385" s="3"/>
      <c r="AE2385" s="3"/>
      <c r="AF2385" s="3"/>
      <c r="AG2385" s="3"/>
      <c r="AH2385" s="3"/>
      <c r="AI2385" s="3"/>
      <c r="AJ2385" s="3"/>
      <c r="AK2385" s="3"/>
      <c r="AL2385" s="3"/>
    </row>
    <row r="2386" ht="15.75" customHeight="1">
      <c r="A2386" s="27">
        <f t="shared" si="21"/>
        <v>1265</v>
      </c>
      <c r="B2386" s="28" t="s">
        <v>8269</v>
      </c>
      <c r="C2386" s="43" t="s">
        <v>8270</v>
      </c>
      <c r="D2386" s="30" t="s">
        <v>8271</v>
      </c>
      <c r="E2386" s="28" t="s">
        <v>31</v>
      </c>
      <c r="F2386" s="28" t="s">
        <v>29</v>
      </c>
      <c r="G2386" s="28" t="s">
        <v>30</v>
      </c>
      <c r="H2386" s="28"/>
      <c r="I2386" s="28" t="s">
        <v>30</v>
      </c>
      <c r="J2386" s="28">
        <v>174.0</v>
      </c>
      <c r="K2386" s="28"/>
      <c r="L2386" s="28" t="s">
        <v>8272</v>
      </c>
      <c r="M2386" s="28" t="s">
        <v>151</v>
      </c>
      <c r="N2386" s="28">
        <v>2006.0</v>
      </c>
      <c r="O2386" s="60">
        <v>13.0</v>
      </c>
      <c r="P2386" s="28">
        <v>1.0</v>
      </c>
      <c r="Q2386" s="32">
        <v>1.0</v>
      </c>
      <c r="R2386" s="33"/>
      <c r="S2386" s="185"/>
      <c r="T2386" s="185"/>
      <c r="U2386" s="185"/>
      <c r="V2386" s="185"/>
      <c r="W2386" s="185"/>
      <c r="X2386" s="185"/>
      <c r="Y2386" s="3"/>
      <c r="Z2386" s="3"/>
      <c r="AA2386" s="3"/>
      <c r="AB2386" s="3"/>
      <c r="AC2386" s="3"/>
      <c r="AD2386" s="3"/>
      <c r="AE2386" s="3"/>
      <c r="AF2386" s="3"/>
      <c r="AG2386" s="3"/>
      <c r="AH2386" s="3"/>
      <c r="AI2386" s="3"/>
      <c r="AJ2386" s="3"/>
      <c r="AK2386" s="3"/>
      <c r="AL2386" s="3"/>
    </row>
    <row r="2387" ht="15.75" customHeight="1">
      <c r="A2387" s="27">
        <f t="shared" si="21"/>
        <v>1266</v>
      </c>
      <c r="B2387" s="28" t="s">
        <v>8273</v>
      </c>
      <c r="C2387" s="43" t="s">
        <v>8274</v>
      </c>
      <c r="D2387" s="30" t="s">
        <v>8275</v>
      </c>
      <c r="E2387" s="28" t="s">
        <v>31</v>
      </c>
      <c r="F2387" s="28" t="s">
        <v>29</v>
      </c>
      <c r="G2387" s="28" t="s">
        <v>30</v>
      </c>
      <c r="H2387" s="28"/>
      <c r="I2387" s="28" t="s">
        <v>30</v>
      </c>
      <c r="J2387" s="28">
        <v>54.0</v>
      </c>
      <c r="K2387" s="28"/>
      <c r="L2387" s="28" t="s">
        <v>8276</v>
      </c>
      <c r="M2387" s="28" t="s">
        <v>169</v>
      </c>
      <c r="N2387" s="28">
        <v>2008.0</v>
      </c>
      <c r="O2387" s="60">
        <v>13.0</v>
      </c>
      <c r="P2387" s="28">
        <v>1.0</v>
      </c>
      <c r="Q2387" s="32">
        <v>1.0</v>
      </c>
      <c r="R2387" s="33"/>
      <c r="S2387" s="185"/>
      <c r="T2387" s="185"/>
      <c r="U2387" s="185"/>
      <c r="V2387" s="185"/>
      <c r="W2387" s="185"/>
      <c r="X2387" s="185"/>
      <c r="Y2387" s="3"/>
      <c r="Z2387" s="3"/>
      <c r="AA2387" s="3"/>
      <c r="AB2387" s="3"/>
      <c r="AC2387" s="3"/>
      <c r="AD2387" s="3"/>
      <c r="AE2387" s="3"/>
      <c r="AF2387" s="3"/>
      <c r="AG2387" s="3"/>
      <c r="AH2387" s="3"/>
      <c r="AI2387" s="3"/>
      <c r="AJ2387" s="3"/>
      <c r="AK2387" s="3"/>
      <c r="AL2387" s="3"/>
    </row>
    <row r="2388" ht="15.75" customHeight="1">
      <c r="A2388" s="27">
        <f t="shared" si="21"/>
        <v>1267</v>
      </c>
      <c r="B2388" s="28" t="s">
        <v>31</v>
      </c>
      <c r="C2388" s="43" t="s">
        <v>8277</v>
      </c>
      <c r="D2388" s="30" t="s">
        <v>8278</v>
      </c>
      <c r="E2388" s="28" t="s">
        <v>31</v>
      </c>
      <c r="F2388" s="28" t="s">
        <v>29</v>
      </c>
      <c r="G2388" s="28" t="s">
        <v>37</v>
      </c>
      <c r="H2388" s="28"/>
      <c r="I2388" s="28" t="s">
        <v>38</v>
      </c>
      <c r="J2388" s="28">
        <v>112.0</v>
      </c>
      <c r="K2388" s="28"/>
      <c r="L2388" s="28" t="s">
        <v>8279</v>
      </c>
      <c r="M2388" s="28" t="s">
        <v>356</v>
      </c>
      <c r="N2388" s="28">
        <v>1969.0</v>
      </c>
      <c r="O2388" s="121">
        <v>13.0</v>
      </c>
      <c r="P2388" s="28">
        <v>1.0</v>
      </c>
      <c r="Q2388" s="32">
        <v>1.0</v>
      </c>
      <c r="R2388" s="33"/>
      <c r="S2388" s="185"/>
      <c r="T2388" s="185"/>
      <c r="U2388" s="185"/>
      <c r="V2388" s="185"/>
      <c r="W2388" s="185"/>
      <c r="X2388" s="185"/>
      <c r="Y2388" s="3"/>
      <c r="Z2388" s="3"/>
      <c r="AA2388" s="3"/>
      <c r="AB2388" s="3"/>
      <c r="AC2388" s="3"/>
      <c r="AD2388" s="3"/>
      <c r="AE2388" s="3"/>
      <c r="AF2388" s="3"/>
      <c r="AG2388" s="3"/>
      <c r="AH2388" s="3"/>
      <c r="AI2388" s="3"/>
      <c r="AJ2388" s="3"/>
      <c r="AK2388" s="3"/>
      <c r="AL2388" s="3"/>
    </row>
    <row r="2389" ht="15.75" customHeight="1">
      <c r="A2389" s="27">
        <f t="shared" si="21"/>
        <v>1268</v>
      </c>
      <c r="B2389" s="28" t="s">
        <v>8280</v>
      </c>
      <c r="C2389" s="43" t="s">
        <v>8281</v>
      </c>
      <c r="D2389" s="30" t="s">
        <v>8282</v>
      </c>
      <c r="E2389" s="28" t="s">
        <v>31</v>
      </c>
      <c r="F2389" s="28" t="s">
        <v>29</v>
      </c>
      <c r="G2389" s="28" t="s">
        <v>37</v>
      </c>
      <c r="H2389" s="28"/>
      <c r="I2389" s="28" t="s">
        <v>38</v>
      </c>
      <c r="J2389" s="28">
        <v>96.0</v>
      </c>
      <c r="K2389" s="28"/>
      <c r="L2389" s="28" t="s">
        <v>8283</v>
      </c>
      <c r="M2389" s="28" t="s">
        <v>8284</v>
      </c>
      <c r="N2389" s="28">
        <v>1973.0</v>
      </c>
      <c r="O2389" s="121">
        <v>13.0</v>
      </c>
      <c r="P2389" s="28">
        <v>1.0</v>
      </c>
      <c r="Q2389" s="32">
        <v>1.0</v>
      </c>
      <c r="R2389" s="33"/>
      <c r="S2389" s="185"/>
      <c r="T2389" s="185"/>
      <c r="U2389" s="185"/>
      <c r="V2389" s="185"/>
      <c r="W2389" s="185"/>
      <c r="X2389" s="185"/>
      <c r="Y2389" s="3"/>
      <c r="Z2389" s="3"/>
      <c r="AA2389" s="3"/>
      <c r="AB2389" s="3"/>
      <c r="AC2389" s="3"/>
      <c r="AD2389" s="3"/>
      <c r="AE2389" s="3"/>
      <c r="AF2389" s="3"/>
      <c r="AG2389" s="3"/>
      <c r="AH2389" s="3"/>
      <c r="AI2389" s="3"/>
      <c r="AJ2389" s="3"/>
      <c r="AK2389" s="3"/>
      <c r="AL2389" s="3"/>
    </row>
    <row r="2390" ht="15.75" customHeight="1">
      <c r="A2390" s="27">
        <f t="shared" si="21"/>
        <v>1269</v>
      </c>
      <c r="B2390" s="121" t="s">
        <v>8285</v>
      </c>
      <c r="C2390" s="121" t="s">
        <v>8286</v>
      </c>
      <c r="D2390" s="119" t="s">
        <v>4640</v>
      </c>
      <c r="E2390" s="121" t="s">
        <v>144</v>
      </c>
      <c r="F2390" s="121" t="s">
        <v>29</v>
      </c>
      <c r="G2390" s="121" t="s">
        <v>30</v>
      </c>
      <c r="H2390" s="83"/>
      <c r="I2390" s="121" t="s">
        <v>30</v>
      </c>
      <c r="J2390" s="121">
        <v>140.0</v>
      </c>
      <c r="K2390" s="83"/>
      <c r="L2390" s="121" t="s">
        <v>4641</v>
      </c>
      <c r="M2390" s="121" t="s">
        <v>151</v>
      </c>
      <c r="N2390" s="121">
        <v>2012.0</v>
      </c>
      <c r="O2390" s="121">
        <v>13.0</v>
      </c>
      <c r="P2390" s="121">
        <v>1.0</v>
      </c>
      <c r="Q2390" s="121">
        <v>1.0</v>
      </c>
      <c r="R2390" s="84"/>
      <c r="S2390" s="185"/>
      <c r="T2390" s="185"/>
      <c r="U2390" s="185"/>
      <c r="V2390" s="185"/>
      <c r="W2390" s="185"/>
      <c r="X2390" s="185"/>
      <c r="Y2390" s="45"/>
      <c r="Z2390" s="45"/>
      <c r="AA2390" s="45"/>
      <c r="AB2390" s="45"/>
      <c r="AC2390" s="45"/>
      <c r="AD2390" s="45"/>
      <c r="AE2390" s="45"/>
      <c r="AF2390" s="45"/>
      <c r="AG2390" s="45"/>
      <c r="AH2390" s="45"/>
      <c r="AI2390" s="45"/>
      <c r="AJ2390" s="45"/>
      <c r="AK2390" s="45"/>
      <c r="AL2390" s="45"/>
    </row>
    <row r="2391" ht="15.75" customHeight="1">
      <c r="A2391" s="27">
        <f t="shared" si="21"/>
        <v>1270</v>
      </c>
      <c r="B2391" s="83"/>
      <c r="C2391" s="121" t="s">
        <v>8287</v>
      </c>
      <c r="D2391" s="119" t="s">
        <v>8288</v>
      </c>
      <c r="E2391" s="83"/>
      <c r="F2391" s="83"/>
      <c r="G2391" s="121" t="s">
        <v>30</v>
      </c>
      <c r="H2391" s="83"/>
      <c r="I2391" s="121" t="s">
        <v>30</v>
      </c>
      <c r="J2391" s="121">
        <v>259.0</v>
      </c>
      <c r="K2391" s="83"/>
      <c r="L2391" s="121" t="s">
        <v>8289</v>
      </c>
      <c r="M2391" s="121" t="s">
        <v>8290</v>
      </c>
      <c r="N2391" s="121">
        <v>2003.0</v>
      </c>
      <c r="O2391" s="121">
        <v>13.0</v>
      </c>
      <c r="P2391" s="121">
        <v>1.0</v>
      </c>
      <c r="Q2391" s="121">
        <v>1.0</v>
      </c>
      <c r="R2391" s="84"/>
      <c r="S2391" s="185"/>
      <c r="T2391" s="185"/>
      <c r="U2391" s="185"/>
      <c r="V2391" s="185"/>
      <c r="W2391" s="185"/>
      <c r="X2391" s="185"/>
      <c r="Y2391" s="45"/>
      <c r="Z2391" s="45"/>
      <c r="AA2391" s="45"/>
      <c r="AB2391" s="45"/>
      <c r="AC2391" s="45"/>
      <c r="AD2391" s="45"/>
      <c r="AE2391" s="45"/>
      <c r="AF2391" s="45"/>
      <c r="AG2391" s="45"/>
      <c r="AH2391" s="45"/>
      <c r="AI2391" s="45"/>
      <c r="AJ2391" s="45"/>
      <c r="AK2391" s="45"/>
      <c r="AL2391" s="45"/>
    </row>
    <row r="2392" ht="15.75" customHeight="1">
      <c r="A2392" s="27">
        <f t="shared" si="21"/>
        <v>1271</v>
      </c>
      <c r="B2392" s="121" t="s">
        <v>8291</v>
      </c>
      <c r="C2392" s="121" t="s">
        <v>8292</v>
      </c>
      <c r="D2392" s="119" t="s">
        <v>8293</v>
      </c>
      <c r="E2392" s="83"/>
      <c r="F2392" s="121" t="s">
        <v>29</v>
      </c>
      <c r="G2392" s="121" t="s">
        <v>30</v>
      </c>
      <c r="H2392" s="83"/>
      <c r="I2392" s="121" t="s">
        <v>30</v>
      </c>
      <c r="J2392" s="121">
        <v>130.0</v>
      </c>
      <c r="K2392" s="83"/>
      <c r="L2392" s="121" t="s">
        <v>8294</v>
      </c>
      <c r="M2392" s="121" t="s">
        <v>151</v>
      </c>
      <c r="N2392" s="121">
        <v>1997.0</v>
      </c>
      <c r="O2392" s="28">
        <v>13.0</v>
      </c>
      <c r="P2392" s="121">
        <v>1.0</v>
      </c>
      <c r="Q2392" s="121">
        <v>1.0</v>
      </c>
      <c r="R2392" s="84"/>
      <c r="S2392" s="185"/>
      <c r="T2392" s="185"/>
      <c r="U2392" s="185"/>
      <c r="V2392" s="185"/>
      <c r="W2392" s="185"/>
      <c r="X2392" s="185"/>
      <c r="Y2392" s="45"/>
      <c r="Z2392" s="45"/>
      <c r="AA2392" s="45"/>
      <c r="AB2392" s="45"/>
      <c r="AC2392" s="45"/>
      <c r="AD2392" s="45"/>
      <c r="AE2392" s="45"/>
      <c r="AF2392" s="45"/>
      <c r="AG2392" s="45"/>
      <c r="AH2392" s="45"/>
      <c r="AI2392" s="45"/>
      <c r="AJ2392" s="45"/>
      <c r="AK2392" s="45"/>
      <c r="AL2392" s="45"/>
    </row>
    <row r="2393" ht="15.75" customHeight="1">
      <c r="A2393" s="27">
        <f t="shared" si="21"/>
        <v>1272</v>
      </c>
      <c r="B2393" s="33"/>
      <c r="C2393" s="132" t="s">
        <v>8295</v>
      </c>
      <c r="D2393" s="131" t="s">
        <v>8296</v>
      </c>
      <c r="E2393" s="33"/>
      <c r="F2393" s="132" t="s">
        <v>29</v>
      </c>
      <c r="G2393" s="132" t="s">
        <v>30</v>
      </c>
      <c r="H2393" s="33"/>
      <c r="I2393" s="132" t="s">
        <v>30</v>
      </c>
      <c r="J2393" s="132">
        <v>154.0</v>
      </c>
      <c r="K2393" s="33"/>
      <c r="L2393" s="132" t="s">
        <v>8297</v>
      </c>
      <c r="M2393" s="132" t="s">
        <v>3335</v>
      </c>
      <c r="N2393" s="132">
        <v>1996.0</v>
      </c>
      <c r="O2393" s="28">
        <v>13.0</v>
      </c>
      <c r="P2393" s="132">
        <v>1.0</v>
      </c>
      <c r="Q2393" s="132">
        <v>1.0</v>
      </c>
      <c r="R2393" s="84"/>
      <c r="S2393" s="185"/>
      <c r="T2393" s="185"/>
      <c r="U2393" s="185"/>
      <c r="V2393" s="185"/>
      <c r="W2393" s="185"/>
      <c r="X2393" s="185"/>
      <c r="Y2393" s="45"/>
      <c r="Z2393" s="45"/>
      <c r="AA2393" s="45"/>
      <c r="AB2393" s="45"/>
      <c r="AC2393" s="45"/>
      <c r="AD2393" s="45"/>
      <c r="AE2393" s="45"/>
      <c r="AF2393" s="45"/>
      <c r="AG2393" s="45"/>
      <c r="AH2393" s="45"/>
      <c r="AI2393" s="45"/>
      <c r="AJ2393" s="45"/>
      <c r="AK2393" s="45"/>
      <c r="AL2393" s="45"/>
    </row>
    <row r="2394" ht="15.75" customHeight="1">
      <c r="A2394" s="27">
        <f t="shared" si="21"/>
        <v>1273</v>
      </c>
      <c r="B2394" s="121" t="s">
        <v>8298</v>
      </c>
      <c r="C2394" s="121" t="s">
        <v>8299</v>
      </c>
      <c r="D2394" s="119" t="s">
        <v>8300</v>
      </c>
      <c r="E2394" s="83"/>
      <c r="F2394" s="121" t="s">
        <v>29</v>
      </c>
      <c r="G2394" s="121" t="s">
        <v>166</v>
      </c>
      <c r="H2394" s="83"/>
      <c r="I2394" s="121" t="s">
        <v>30</v>
      </c>
      <c r="J2394" s="121">
        <v>167.0</v>
      </c>
      <c r="K2394" s="83"/>
      <c r="L2394" s="121" t="s">
        <v>8301</v>
      </c>
      <c r="M2394" s="121" t="s">
        <v>8302</v>
      </c>
      <c r="N2394" s="121">
        <v>2010.0</v>
      </c>
      <c r="O2394" s="28">
        <v>13.0</v>
      </c>
      <c r="P2394" s="121">
        <v>1.0</v>
      </c>
      <c r="Q2394" s="121">
        <v>1.0</v>
      </c>
      <c r="R2394" s="84"/>
      <c r="S2394" s="185"/>
      <c r="T2394" s="185"/>
      <c r="U2394" s="185"/>
      <c r="V2394" s="185"/>
      <c r="W2394" s="185"/>
      <c r="X2394" s="185"/>
      <c r="Y2394" s="45"/>
      <c r="Z2394" s="45"/>
      <c r="AA2394" s="45"/>
      <c r="AB2394" s="45"/>
      <c r="AC2394" s="45"/>
      <c r="AD2394" s="45"/>
      <c r="AE2394" s="45"/>
      <c r="AF2394" s="45"/>
      <c r="AG2394" s="45"/>
      <c r="AH2394" s="45"/>
      <c r="AI2394" s="45"/>
      <c r="AJ2394" s="45"/>
      <c r="AK2394" s="45"/>
      <c r="AL2394" s="45"/>
    </row>
    <row r="2395" ht="15.75" customHeight="1">
      <c r="A2395" s="27">
        <f t="shared" si="21"/>
        <v>1274</v>
      </c>
      <c r="B2395" s="28" t="s">
        <v>8303</v>
      </c>
      <c r="C2395" s="43" t="s">
        <v>8304</v>
      </c>
      <c r="D2395" s="30" t="s">
        <v>8305</v>
      </c>
      <c r="E2395" s="28" t="s">
        <v>144</v>
      </c>
      <c r="F2395" s="28" t="s">
        <v>29</v>
      </c>
      <c r="G2395" s="28" t="s">
        <v>37</v>
      </c>
      <c r="H2395" s="28"/>
      <c r="I2395" s="28" t="s">
        <v>38</v>
      </c>
      <c r="J2395" s="28">
        <v>300.0</v>
      </c>
      <c r="K2395" s="28"/>
      <c r="L2395" s="28" t="s">
        <v>8306</v>
      </c>
      <c r="M2395" s="28" t="s">
        <v>230</v>
      </c>
      <c r="N2395" s="28">
        <v>2013.0</v>
      </c>
      <c r="O2395" s="28">
        <v>13.0</v>
      </c>
      <c r="P2395" s="28">
        <v>1.0</v>
      </c>
      <c r="Q2395" s="32">
        <v>1.0</v>
      </c>
      <c r="R2395" s="33"/>
      <c r="S2395" s="185"/>
      <c r="T2395" s="185"/>
      <c r="U2395" s="185"/>
      <c r="V2395" s="185"/>
      <c r="W2395" s="185"/>
      <c r="X2395" s="185"/>
      <c r="Y2395" s="45"/>
      <c r="Z2395" s="45"/>
      <c r="AA2395" s="45"/>
      <c r="AB2395" s="45"/>
      <c r="AC2395" s="45"/>
      <c r="AD2395" s="45"/>
      <c r="AE2395" s="45"/>
      <c r="AF2395" s="45"/>
      <c r="AG2395" s="45"/>
      <c r="AH2395" s="45"/>
      <c r="AI2395" s="45"/>
      <c r="AJ2395" s="45"/>
      <c r="AK2395" s="45"/>
      <c r="AL2395" s="45"/>
    </row>
    <row r="2396" ht="15.75" customHeight="1">
      <c r="A2396" s="27">
        <f t="shared" si="21"/>
        <v>1275</v>
      </c>
      <c r="B2396" s="28" t="s">
        <v>8307</v>
      </c>
      <c r="C2396" s="43" t="s">
        <v>8308</v>
      </c>
      <c r="D2396" s="30" t="s">
        <v>8309</v>
      </c>
      <c r="E2396" s="28" t="s">
        <v>302</v>
      </c>
      <c r="F2396" s="28" t="s">
        <v>29</v>
      </c>
      <c r="G2396" s="28" t="s">
        <v>30</v>
      </c>
      <c r="H2396" s="28"/>
      <c r="I2396" s="28" t="s">
        <v>30</v>
      </c>
      <c r="J2396" s="28">
        <v>128.0</v>
      </c>
      <c r="K2396" s="28"/>
      <c r="L2396" s="28" t="s">
        <v>5278</v>
      </c>
      <c r="M2396" s="28" t="s">
        <v>8310</v>
      </c>
      <c r="N2396" s="28">
        <v>2018.0</v>
      </c>
      <c r="O2396" s="28">
        <v>13.0</v>
      </c>
      <c r="P2396" s="28">
        <v>1.0</v>
      </c>
      <c r="Q2396" s="94">
        <v>1.0</v>
      </c>
      <c r="R2396" s="33"/>
      <c r="S2396" s="185"/>
      <c r="T2396" s="185"/>
      <c r="U2396" s="185"/>
      <c r="V2396" s="185"/>
      <c r="W2396" s="185"/>
      <c r="X2396" s="185"/>
      <c r="Y2396" s="45"/>
      <c r="Z2396" s="45"/>
      <c r="AA2396" s="45"/>
      <c r="AB2396" s="45"/>
      <c r="AC2396" s="45"/>
      <c r="AD2396" s="45"/>
      <c r="AE2396" s="45"/>
      <c r="AF2396" s="45"/>
      <c r="AG2396" s="45"/>
      <c r="AH2396" s="45"/>
      <c r="AI2396" s="45"/>
      <c r="AJ2396" s="45"/>
      <c r="AK2396" s="45"/>
      <c r="AL2396" s="45"/>
    </row>
    <row r="2397" ht="15.75" customHeight="1">
      <c r="A2397" s="27">
        <f t="shared" si="21"/>
        <v>1276</v>
      </c>
      <c r="B2397" s="28"/>
      <c r="C2397" s="43" t="s">
        <v>8311</v>
      </c>
      <c r="D2397" s="30" t="s">
        <v>8312</v>
      </c>
      <c r="E2397" s="28" t="s">
        <v>31</v>
      </c>
      <c r="F2397" s="28" t="s">
        <v>29</v>
      </c>
      <c r="G2397" s="28" t="s">
        <v>30</v>
      </c>
      <c r="H2397" s="28"/>
      <c r="I2397" s="28" t="s">
        <v>30</v>
      </c>
      <c r="J2397" s="28">
        <v>84.0</v>
      </c>
      <c r="K2397" s="28"/>
      <c r="L2397" s="28" t="s">
        <v>8313</v>
      </c>
      <c r="M2397" s="28" t="s">
        <v>8314</v>
      </c>
      <c r="N2397" s="28">
        <v>2007.0</v>
      </c>
      <c r="O2397" s="60">
        <v>13.0</v>
      </c>
      <c r="P2397" s="28">
        <v>1.0</v>
      </c>
      <c r="Q2397" s="94">
        <v>1.0</v>
      </c>
      <c r="R2397" s="33"/>
      <c r="S2397" s="185"/>
      <c r="T2397" s="185"/>
      <c r="U2397" s="185"/>
      <c r="V2397" s="185"/>
      <c r="W2397" s="185"/>
      <c r="X2397" s="185"/>
      <c r="Y2397" s="45"/>
      <c r="Z2397" s="3"/>
      <c r="AA2397" s="3"/>
      <c r="AB2397" s="3"/>
      <c r="AC2397" s="3"/>
      <c r="AD2397" s="3"/>
      <c r="AE2397" s="3"/>
      <c r="AF2397" s="3"/>
      <c r="AG2397" s="3"/>
      <c r="AH2397" s="3"/>
      <c r="AI2397" s="3"/>
      <c r="AJ2397" s="3"/>
      <c r="AK2397" s="3"/>
      <c r="AL2397" s="3"/>
    </row>
    <row r="2398" ht="15.75" customHeight="1">
      <c r="A2398" s="27">
        <f t="shared" si="21"/>
        <v>1277</v>
      </c>
      <c r="B2398" s="28" t="s">
        <v>31</v>
      </c>
      <c r="C2398" s="43" t="s">
        <v>8315</v>
      </c>
      <c r="D2398" s="30" t="s">
        <v>8316</v>
      </c>
      <c r="E2398" s="28" t="s">
        <v>31</v>
      </c>
      <c r="F2398" s="28" t="s">
        <v>29</v>
      </c>
      <c r="G2398" s="28" t="s">
        <v>30</v>
      </c>
      <c r="H2398" s="28"/>
      <c r="I2398" s="28" t="s">
        <v>30</v>
      </c>
      <c r="J2398" s="28">
        <v>102.0</v>
      </c>
      <c r="K2398" s="28"/>
      <c r="L2398" s="28" t="s">
        <v>8317</v>
      </c>
      <c r="M2398" s="28" t="s">
        <v>8318</v>
      </c>
      <c r="N2398" s="28">
        <v>1998.0</v>
      </c>
      <c r="O2398" s="60">
        <v>13.0</v>
      </c>
      <c r="P2398" s="28">
        <v>1.0</v>
      </c>
      <c r="Q2398" s="32">
        <v>1.0</v>
      </c>
      <c r="R2398" s="33"/>
      <c r="S2398" s="185"/>
      <c r="T2398" s="185"/>
      <c r="U2398" s="185"/>
      <c r="V2398" s="185"/>
      <c r="W2398" s="185"/>
      <c r="X2398" s="185"/>
      <c r="Y2398" s="45"/>
      <c r="Z2398" s="45"/>
      <c r="AA2398" s="45"/>
      <c r="AB2398" s="45"/>
      <c r="AC2398" s="45"/>
      <c r="AD2398" s="45"/>
      <c r="AE2398" s="45"/>
      <c r="AF2398" s="45"/>
      <c r="AG2398" s="45"/>
      <c r="AH2398" s="45"/>
      <c r="AI2398" s="45"/>
      <c r="AJ2398" s="45"/>
      <c r="AK2398" s="45"/>
      <c r="AL2398" s="45"/>
    </row>
    <row r="2399" ht="15.75" customHeight="1">
      <c r="A2399" s="27">
        <f t="shared" si="21"/>
        <v>1278</v>
      </c>
      <c r="B2399" s="28" t="s">
        <v>8319</v>
      </c>
      <c r="C2399" s="43" t="s">
        <v>8320</v>
      </c>
      <c r="D2399" s="30" t="s">
        <v>8321</v>
      </c>
      <c r="E2399" s="28" t="s">
        <v>144</v>
      </c>
      <c r="F2399" s="28" t="s">
        <v>29</v>
      </c>
      <c r="G2399" s="28" t="s">
        <v>30</v>
      </c>
      <c r="H2399" s="28"/>
      <c r="I2399" s="28" t="s">
        <v>30</v>
      </c>
      <c r="J2399" s="28">
        <f>341+16</f>
        <v>357</v>
      </c>
      <c r="K2399" s="28"/>
      <c r="L2399" s="28" t="s">
        <v>8322</v>
      </c>
      <c r="M2399" s="28" t="s">
        <v>213</v>
      </c>
      <c r="N2399" s="28">
        <v>2005.0</v>
      </c>
      <c r="O2399" s="60">
        <v>13.0</v>
      </c>
      <c r="P2399" s="28">
        <v>1.0</v>
      </c>
      <c r="Q2399" s="32">
        <v>1.0</v>
      </c>
      <c r="R2399" s="33"/>
      <c r="S2399" s="185"/>
      <c r="T2399" s="185"/>
      <c r="U2399" s="185"/>
      <c r="V2399" s="185"/>
      <c r="W2399" s="185"/>
      <c r="X2399" s="185"/>
      <c r="Y2399" s="3"/>
      <c r="Z2399" s="3"/>
      <c r="AA2399" s="3"/>
      <c r="AB2399" s="3"/>
      <c r="AC2399" s="3"/>
      <c r="AD2399" s="3"/>
      <c r="AE2399" s="3"/>
      <c r="AF2399" s="3"/>
      <c r="AG2399" s="3"/>
      <c r="AH2399" s="3"/>
      <c r="AI2399" s="3"/>
      <c r="AJ2399" s="3"/>
      <c r="AK2399" s="3"/>
      <c r="AL2399" s="3"/>
    </row>
    <row r="2400" ht="15.75" customHeight="1">
      <c r="A2400" s="27">
        <f t="shared" si="21"/>
        <v>1279</v>
      </c>
      <c r="B2400" s="28" t="s">
        <v>8323</v>
      </c>
      <c r="C2400" s="43" t="s">
        <v>8324</v>
      </c>
      <c r="D2400" s="30" t="s">
        <v>8325</v>
      </c>
      <c r="E2400" s="28" t="s">
        <v>31</v>
      </c>
      <c r="F2400" s="28" t="s">
        <v>29</v>
      </c>
      <c r="G2400" s="28" t="s">
        <v>131</v>
      </c>
      <c r="H2400" s="28"/>
      <c r="I2400" s="28" t="s">
        <v>131</v>
      </c>
      <c r="J2400" s="28" t="s">
        <v>8326</v>
      </c>
      <c r="K2400" s="28"/>
      <c r="L2400" s="28" t="s">
        <v>8327</v>
      </c>
      <c r="M2400" s="28" t="s">
        <v>31</v>
      </c>
      <c r="N2400" s="28">
        <v>1977.0</v>
      </c>
      <c r="O2400" s="60">
        <v>13.0</v>
      </c>
      <c r="P2400" s="28">
        <v>1.0</v>
      </c>
      <c r="Q2400" s="94">
        <v>1.0</v>
      </c>
      <c r="R2400" s="33"/>
      <c r="S2400" s="185"/>
      <c r="T2400" s="185"/>
      <c r="U2400" s="185"/>
      <c r="V2400" s="185"/>
      <c r="W2400" s="185"/>
      <c r="X2400" s="185"/>
      <c r="Y2400" s="45"/>
      <c r="Z2400" s="45"/>
      <c r="AA2400" s="45"/>
      <c r="AB2400" s="45"/>
      <c r="AC2400" s="45"/>
      <c r="AD2400" s="45"/>
      <c r="AE2400" s="45"/>
      <c r="AF2400" s="45"/>
      <c r="AG2400" s="45"/>
      <c r="AH2400" s="45"/>
      <c r="AI2400" s="45"/>
      <c r="AJ2400" s="45"/>
      <c r="AK2400" s="45"/>
      <c r="AL2400" s="45"/>
    </row>
    <row r="2401" ht="15.75" customHeight="1">
      <c r="A2401" s="27">
        <f t="shared" si="21"/>
        <v>1280</v>
      </c>
      <c r="B2401" s="28" t="s">
        <v>8328</v>
      </c>
      <c r="C2401" s="43" t="s">
        <v>8329</v>
      </c>
      <c r="D2401" s="30" t="s">
        <v>8330</v>
      </c>
      <c r="E2401" s="28" t="s">
        <v>31</v>
      </c>
      <c r="F2401" s="28" t="s">
        <v>29</v>
      </c>
      <c r="G2401" s="28" t="s">
        <v>30</v>
      </c>
      <c r="H2401" s="28"/>
      <c r="I2401" s="28" t="s">
        <v>30</v>
      </c>
      <c r="J2401" s="28">
        <v>563.0</v>
      </c>
      <c r="K2401" s="28"/>
      <c r="L2401" s="28" t="s">
        <v>8331</v>
      </c>
      <c r="M2401" s="28" t="s">
        <v>8332</v>
      </c>
      <c r="N2401" s="28">
        <v>2010.0</v>
      </c>
      <c r="O2401" s="60">
        <v>13.0</v>
      </c>
      <c r="P2401" s="28">
        <v>1.0</v>
      </c>
      <c r="Q2401" s="37">
        <v>1.0</v>
      </c>
      <c r="R2401" s="33"/>
      <c r="S2401" s="207"/>
      <c r="T2401" s="207"/>
      <c r="U2401" s="207"/>
      <c r="V2401" s="207"/>
      <c r="W2401" s="207"/>
      <c r="X2401" s="207"/>
      <c r="Y2401" s="208"/>
      <c r="Z2401" s="208"/>
      <c r="AA2401" s="208"/>
      <c r="AB2401" s="208"/>
      <c r="AC2401" s="208"/>
      <c r="AD2401" s="208"/>
      <c r="AE2401" s="208"/>
      <c r="AF2401" s="208"/>
      <c r="AG2401" s="208"/>
      <c r="AH2401" s="208"/>
      <c r="AI2401" s="208"/>
      <c r="AJ2401" s="208"/>
      <c r="AK2401" s="208"/>
      <c r="AL2401" s="208"/>
    </row>
    <row r="2402" ht="15.75" customHeight="1">
      <c r="A2402" s="27">
        <f t="shared" si="21"/>
        <v>1281</v>
      </c>
      <c r="B2402" s="28" t="s">
        <v>8333</v>
      </c>
      <c r="C2402" s="43" t="s">
        <v>8334</v>
      </c>
      <c r="D2402" s="30" t="s">
        <v>8335</v>
      </c>
      <c r="E2402" s="28" t="s">
        <v>302</v>
      </c>
      <c r="F2402" s="28" t="s">
        <v>29</v>
      </c>
      <c r="G2402" s="28" t="s">
        <v>37</v>
      </c>
      <c r="H2402" s="28"/>
      <c r="I2402" s="28" t="s">
        <v>38</v>
      </c>
      <c r="J2402" s="28">
        <v>259.0</v>
      </c>
      <c r="K2402" s="28"/>
      <c r="L2402" s="28" t="s">
        <v>8336</v>
      </c>
      <c r="M2402" s="28" t="s">
        <v>2903</v>
      </c>
      <c r="N2402" s="28">
        <v>2008.0</v>
      </c>
      <c r="O2402" s="60">
        <v>13.0</v>
      </c>
      <c r="P2402" s="28">
        <v>1.0</v>
      </c>
      <c r="Q2402" s="32">
        <v>1.0</v>
      </c>
      <c r="R2402" s="33"/>
      <c r="S2402" s="185"/>
      <c r="T2402" s="185"/>
      <c r="U2402" s="185"/>
      <c r="V2402" s="185"/>
      <c r="W2402" s="185"/>
      <c r="X2402" s="185"/>
      <c r="Y2402" s="3"/>
      <c r="Z2402" s="3"/>
      <c r="AA2402" s="3"/>
      <c r="AB2402" s="3"/>
      <c r="AC2402" s="3"/>
      <c r="AD2402" s="3"/>
      <c r="AE2402" s="3"/>
      <c r="AF2402" s="3"/>
      <c r="AG2402" s="3"/>
      <c r="AH2402" s="3"/>
      <c r="AI2402" s="3"/>
      <c r="AJ2402" s="3"/>
      <c r="AK2402" s="3"/>
      <c r="AL2402" s="3"/>
    </row>
    <row r="2403" ht="15.75" customHeight="1">
      <c r="A2403" s="27">
        <f t="shared" si="21"/>
        <v>1282</v>
      </c>
      <c r="B2403" s="28" t="s">
        <v>8337</v>
      </c>
      <c r="C2403" s="43" t="s">
        <v>8338</v>
      </c>
      <c r="D2403" s="30" t="s">
        <v>8339</v>
      </c>
      <c r="E2403" s="28" t="s">
        <v>31</v>
      </c>
      <c r="F2403" s="28" t="s">
        <v>29</v>
      </c>
      <c r="G2403" s="28" t="s">
        <v>30</v>
      </c>
      <c r="H2403" s="28"/>
      <c r="I2403" s="28" t="s">
        <v>30</v>
      </c>
      <c r="J2403" s="28">
        <v>303.0</v>
      </c>
      <c r="K2403" s="28"/>
      <c r="L2403" s="28" t="s">
        <v>8340</v>
      </c>
      <c r="M2403" s="28" t="s">
        <v>151</v>
      </c>
      <c r="N2403" s="28">
        <v>1988.0</v>
      </c>
      <c r="O2403" s="60">
        <v>13.0</v>
      </c>
      <c r="P2403" s="28">
        <v>1.0</v>
      </c>
      <c r="Q2403" s="32">
        <v>1.0</v>
      </c>
      <c r="R2403" s="33"/>
      <c r="S2403" s="185"/>
      <c r="T2403" s="185"/>
      <c r="U2403" s="185"/>
      <c r="V2403" s="185"/>
      <c r="W2403" s="185"/>
      <c r="X2403" s="185"/>
      <c r="Y2403" s="45"/>
      <c r="Z2403" s="45"/>
      <c r="AA2403" s="45"/>
      <c r="AB2403" s="45"/>
      <c r="AC2403" s="45"/>
      <c r="AD2403" s="45"/>
      <c r="AE2403" s="45"/>
      <c r="AF2403" s="45"/>
      <c r="AG2403" s="45"/>
      <c r="AH2403" s="45"/>
      <c r="AI2403" s="45"/>
      <c r="AJ2403" s="45"/>
      <c r="AK2403" s="45"/>
      <c r="AL2403" s="45"/>
    </row>
    <row r="2404" ht="15.75" customHeight="1">
      <c r="A2404" s="27">
        <f t="shared" si="21"/>
        <v>1283</v>
      </c>
      <c r="B2404" s="121" t="s">
        <v>8341</v>
      </c>
      <c r="C2404" s="121" t="s">
        <v>8342</v>
      </c>
      <c r="D2404" s="119" t="s">
        <v>8343</v>
      </c>
      <c r="E2404" s="83"/>
      <c r="F2404" s="121" t="s">
        <v>29</v>
      </c>
      <c r="G2404" s="121" t="s">
        <v>30</v>
      </c>
      <c r="H2404" s="83"/>
      <c r="I2404" s="121" t="s">
        <v>30</v>
      </c>
      <c r="J2404" s="121">
        <v>404.0</v>
      </c>
      <c r="K2404" s="83"/>
      <c r="L2404" s="121" t="s">
        <v>8344</v>
      </c>
      <c r="M2404" s="121" t="s">
        <v>8345</v>
      </c>
      <c r="N2404" s="121">
        <v>2014.0</v>
      </c>
      <c r="O2404" s="60">
        <v>13.0</v>
      </c>
      <c r="P2404" s="121">
        <v>1.0</v>
      </c>
      <c r="Q2404" s="121">
        <v>1.0</v>
      </c>
      <c r="R2404" s="84"/>
      <c r="S2404" s="185"/>
      <c r="T2404" s="185"/>
      <c r="U2404" s="185"/>
      <c r="V2404" s="185"/>
      <c r="W2404" s="185"/>
      <c r="X2404" s="185"/>
      <c r="Y2404" s="3"/>
      <c r="Z2404" s="3"/>
      <c r="AA2404" s="3"/>
      <c r="AB2404" s="3"/>
      <c r="AC2404" s="3"/>
      <c r="AD2404" s="3"/>
      <c r="AE2404" s="3"/>
      <c r="AF2404" s="3"/>
      <c r="AG2404" s="3"/>
      <c r="AH2404" s="3"/>
      <c r="AI2404" s="3"/>
      <c r="AJ2404" s="3"/>
      <c r="AK2404" s="3"/>
      <c r="AL2404" s="3"/>
    </row>
    <row r="2405" ht="15.75" customHeight="1">
      <c r="A2405" s="27">
        <f t="shared" si="21"/>
        <v>1284</v>
      </c>
      <c r="B2405" s="28" t="s">
        <v>31</v>
      </c>
      <c r="C2405" s="43" t="s">
        <v>8346</v>
      </c>
      <c r="D2405" s="30" t="s">
        <v>8347</v>
      </c>
      <c r="E2405" s="28" t="s">
        <v>31</v>
      </c>
      <c r="F2405" s="28" t="s">
        <v>29</v>
      </c>
      <c r="G2405" s="28" t="s">
        <v>30</v>
      </c>
      <c r="H2405" s="28"/>
      <c r="I2405" s="28" t="s">
        <v>30</v>
      </c>
      <c r="J2405" s="28">
        <v>216.0</v>
      </c>
      <c r="K2405" s="28"/>
      <c r="L2405" s="28" t="s">
        <v>8348</v>
      </c>
      <c r="M2405" s="28" t="s">
        <v>151</v>
      </c>
      <c r="N2405" s="28">
        <v>1980.0</v>
      </c>
      <c r="O2405" s="60">
        <v>13.0</v>
      </c>
      <c r="P2405" s="28">
        <v>1.0</v>
      </c>
      <c r="Q2405" s="32">
        <v>1.0</v>
      </c>
      <c r="R2405" s="33"/>
      <c r="S2405" s="185"/>
      <c r="T2405" s="185"/>
      <c r="U2405" s="185"/>
      <c r="V2405" s="185"/>
      <c r="W2405" s="185"/>
      <c r="X2405" s="185"/>
      <c r="Y2405" s="3"/>
      <c r="Z2405" s="3"/>
      <c r="AA2405" s="3"/>
      <c r="AB2405" s="3"/>
      <c r="AC2405" s="3"/>
      <c r="AD2405" s="3"/>
      <c r="AE2405" s="3"/>
      <c r="AF2405" s="3"/>
      <c r="AG2405" s="3"/>
      <c r="AH2405" s="3"/>
      <c r="AI2405" s="3"/>
      <c r="AJ2405" s="3"/>
      <c r="AK2405" s="3"/>
      <c r="AL2405" s="3"/>
    </row>
    <row r="2406" ht="15.75" customHeight="1">
      <c r="A2406" s="27">
        <f t="shared" si="21"/>
        <v>1285</v>
      </c>
      <c r="B2406" s="28" t="s">
        <v>8349</v>
      </c>
      <c r="C2406" s="43" t="s">
        <v>8350</v>
      </c>
      <c r="D2406" s="30" t="s">
        <v>8351</v>
      </c>
      <c r="E2406" s="28" t="s">
        <v>31</v>
      </c>
      <c r="F2406" s="28" t="s">
        <v>29</v>
      </c>
      <c r="G2406" s="28" t="s">
        <v>37</v>
      </c>
      <c r="H2406" s="28"/>
      <c r="I2406" s="28" t="s">
        <v>38</v>
      </c>
      <c r="J2406" s="28">
        <v>215.0</v>
      </c>
      <c r="K2406" s="28"/>
      <c r="L2406" s="28" t="s">
        <v>8352</v>
      </c>
      <c r="M2406" s="28" t="s">
        <v>83</v>
      </c>
      <c r="N2406" s="28">
        <v>1998.0</v>
      </c>
      <c r="O2406" s="60">
        <v>13.0</v>
      </c>
      <c r="P2406" s="28">
        <v>1.0</v>
      </c>
      <c r="Q2406" s="94">
        <v>1.0</v>
      </c>
      <c r="R2406" s="33"/>
      <c r="S2406" s="185"/>
      <c r="T2406" s="185"/>
      <c r="U2406" s="185"/>
      <c r="V2406" s="185"/>
      <c r="W2406" s="185"/>
      <c r="X2406" s="185"/>
      <c r="Y2406" s="45"/>
      <c r="Z2406" s="45"/>
      <c r="AA2406" s="45"/>
      <c r="AB2406" s="45"/>
      <c r="AC2406" s="45"/>
      <c r="AD2406" s="45"/>
      <c r="AE2406" s="45"/>
      <c r="AF2406" s="45"/>
      <c r="AG2406" s="45"/>
      <c r="AH2406" s="45"/>
      <c r="AI2406" s="45"/>
      <c r="AJ2406" s="45"/>
      <c r="AK2406" s="45"/>
      <c r="AL2406" s="45"/>
    </row>
    <row r="2407" ht="15.75" customHeight="1">
      <c r="A2407" s="27">
        <f t="shared" si="21"/>
        <v>1286</v>
      </c>
      <c r="B2407" s="28" t="s">
        <v>8353</v>
      </c>
      <c r="C2407" s="43" t="s">
        <v>8354</v>
      </c>
      <c r="D2407" s="30" t="s">
        <v>8355</v>
      </c>
      <c r="E2407" s="28" t="s">
        <v>31</v>
      </c>
      <c r="F2407" s="28" t="s">
        <v>29</v>
      </c>
      <c r="G2407" s="28" t="s">
        <v>30</v>
      </c>
      <c r="H2407" s="28"/>
      <c r="I2407" s="28" t="s">
        <v>30</v>
      </c>
      <c r="J2407" s="28">
        <v>378.0</v>
      </c>
      <c r="K2407" s="28"/>
      <c r="L2407" s="28" t="s">
        <v>8356</v>
      </c>
      <c r="M2407" s="28" t="s">
        <v>544</v>
      </c>
      <c r="N2407" s="28">
        <v>2012.0</v>
      </c>
      <c r="O2407" s="60">
        <v>13.0</v>
      </c>
      <c r="P2407" s="28">
        <v>1.0</v>
      </c>
      <c r="Q2407" s="94">
        <v>1.0</v>
      </c>
      <c r="R2407" s="33"/>
      <c r="S2407" s="185"/>
      <c r="T2407" s="185"/>
      <c r="U2407" s="185"/>
      <c r="V2407" s="185"/>
      <c r="W2407" s="185"/>
      <c r="X2407" s="185"/>
      <c r="Y2407" s="45"/>
      <c r="Z2407" s="45"/>
      <c r="AA2407" s="45"/>
      <c r="AB2407" s="45"/>
      <c r="AC2407" s="45"/>
      <c r="AD2407" s="45"/>
      <c r="AE2407" s="45"/>
      <c r="AF2407" s="45"/>
      <c r="AG2407" s="45"/>
      <c r="AH2407" s="45"/>
      <c r="AI2407" s="45"/>
      <c r="AJ2407" s="45"/>
      <c r="AK2407" s="45"/>
      <c r="AL2407" s="45"/>
    </row>
    <row r="2408" ht="15.75" customHeight="1">
      <c r="A2408" s="27">
        <f t="shared" si="21"/>
        <v>1287</v>
      </c>
      <c r="B2408" s="28" t="s">
        <v>8357</v>
      </c>
      <c r="C2408" s="43" t="s">
        <v>8358</v>
      </c>
      <c r="D2408" s="30" t="s">
        <v>8359</v>
      </c>
      <c r="E2408" s="28" t="s">
        <v>31</v>
      </c>
      <c r="F2408" s="28" t="s">
        <v>29</v>
      </c>
      <c r="G2408" s="28" t="s">
        <v>30</v>
      </c>
      <c r="H2408" s="28"/>
      <c r="I2408" s="28" t="s">
        <v>30</v>
      </c>
      <c r="J2408" s="28">
        <v>207.0</v>
      </c>
      <c r="K2408" s="28"/>
      <c r="L2408" s="28" t="s">
        <v>8360</v>
      </c>
      <c r="M2408" s="28" t="s">
        <v>151</v>
      </c>
      <c r="N2408" s="28">
        <v>2006.0</v>
      </c>
      <c r="O2408" s="60">
        <v>13.0</v>
      </c>
      <c r="P2408" s="28">
        <v>1.0</v>
      </c>
      <c r="Q2408" s="32">
        <v>1.0</v>
      </c>
      <c r="R2408" s="33"/>
      <c r="S2408" s="185"/>
      <c r="T2408" s="185"/>
      <c r="U2408" s="185"/>
      <c r="V2408" s="185"/>
      <c r="W2408" s="185"/>
      <c r="X2408" s="185"/>
      <c r="Y2408" s="3"/>
      <c r="Z2408" s="3"/>
      <c r="AA2408" s="3"/>
      <c r="AB2408" s="3"/>
      <c r="AC2408" s="3"/>
      <c r="AD2408" s="3"/>
      <c r="AE2408" s="3"/>
      <c r="AF2408" s="3"/>
      <c r="AG2408" s="3"/>
      <c r="AH2408" s="3"/>
      <c r="AI2408" s="3"/>
      <c r="AJ2408" s="3"/>
      <c r="AK2408" s="3"/>
      <c r="AL2408" s="3"/>
    </row>
    <row r="2409" ht="15.75" customHeight="1">
      <c r="A2409" s="27">
        <f t="shared" si="21"/>
        <v>1288</v>
      </c>
      <c r="B2409" s="28" t="s">
        <v>8361</v>
      </c>
      <c r="C2409" s="43" t="s">
        <v>8362</v>
      </c>
      <c r="D2409" s="30" t="s">
        <v>8363</v>
      </c>
      <c r="E2409" s="28" t="s">
        <v>31</v>
      </c>
      <c r="F2409" s="28" t="s">
        <v>29</v>
      </c>
      <c r="G2409" s="28" t="s">
        <v>30</v>
      </c>
      <c r="H2409" s="28"/>
      <c r="I2409" s="28" t="s">
        <v>30</v>
      </c>
      <c r="J2409" s="28">
        <v>159.0</v>
      </c>
      <c r="K2409" s="28"/>
      <c r="L2409" s="28" t="s">
        <v>8364</v>
      </c>
      <c r="M2409" s="28" t="s">
        <v>151</v>
      </c>
      <c r="N2409" s="28">
        <v>1987.0</v>
      </c>
      <c r="O2409" s="60">
        <v>13.0</v>
      </c>
      <c r="P2409" s="28">
        <v>1.0</v>
      </c>
      <c r="Q2409" s="32">
        <v>1.0</v>
      </c>
      <c r="R2409" s="33"/>
      <c r="S2409" s="185"/>
      <c r="T2409" s="185"/>
      <c r="U2409" s="185"/>
      <c r="V2409" s="185"/>
      <c r="W2409" s="185"/>
      <c r="X2409" s="185"/>
      <c r="Y2409" s="3"/>
      <c r="Z2409" s="3"/>
      <c r="AA2409" s="3"/>
      <c r="AB2409" s="3"/>
      <c r="AC2409" s="3"/>
      <c r="AD2409" s="3"/>
      <c r="AE2409" s="3"/>
      <c r="AF2409" s="3"/>
      <c r="AG2409" s="3"/>
      <c r="AH2409" s="3"/>
      <c r="AI2409" s="3"/>
      <c r="AJ2409" s="3"/>
      <c r="AK2409" s="3"/>
      <c r="AL2409" s="3"/>
    </row>
    <row r="2410" ht="15.75" customHeight="1">
      <c r="A2410" s="27">
        <f t="shared" si="21"/>
        <v>1289</v>
      </c>
      <c r="B2410" s="28" t="s">
        <v>8365</v>
      </c>
      <c r="C2410" s="43" t="s">
        <v>8366</v>
      </c>
      <c r="D2410" s="30" t="s">
        <v>8367</v>
      </c>
      <c r="E2410" s="28" t="s">
        <v>31</v>
      </c>
      <c r="F2410" s="28" t="s">
        <v>29</v>
      </c>
      <c r="G2410" s="28" t="s">
        <v>30</v>
      </c>
      <c r="H2410" s="28"/>
      <c r="I2410" s="28" t="s">
        <v>30</v>
      </c>
      <c r="J2410" s="28">
        <v>212.0</v>
      </c>
      <c r="K2410" s="28"/>
      <c r="L2410" s="28" t="s">
        <v>8368</v>
      </c>
      <c r="M2410" s="28" t="s">
        <v>161</v>
      </c>
      <c r="N2410" s="28">
        <v>2005.0</v>
      </c>
      <c r="O2410" s="60">
        <v>13.0</v>
      </c>
      <c r="P2410" s="28">
        <v>1.0</v>
      </c>
      <c r="Q2410" s="32">
        <v>1.0</v>
      </c>
      <c r="R2410" s="33"/>
      <c r="S2410" s="185"/>
      <c r="T2410" s="185"/>
      <c r="U2410" s="185"/>
      <c r="V2410" s="185"/>
      <c r="W2410" s="185"/>
      <c r="X2410" s="185"/>
      <c r="Y2410" s="45"/>
      <c r="Z2410" s="45"/>
      <c r="AA2410" s="45"/>
      <c r="AB2410" s="45"/>
      <c r="AC2410" s="45"/>
      <c r="AD2410" s="45"/>
      <c r="AE2410" s="45"/>
      <c r="AF2410" s="45"/>
      <c r="AG2410" s="45"/>
      <c r="AH2410" s="45"/>
      <c r="AI2410" s="45"/>
      <c r="AJ2410" s="45"/>
      <c r="AK2410" s="45"/>
      <c r="AL2410" s="45"/>
    </row>
    <row r="2411" ht="15.75" customHeight="1">
      <c r="A2411" s="27">
        <f t="shared" si="21"/>
        <v>1290</v>
      </c>
      <c r="B2411" s="28" t="s">
        <v>31</v>
      </c>
      <c r="C2411" s="43" t="s">
        <v>8369</v>
      </c>
      <c r="D2411" s="30" t="s">
        <v>8370</v>
      </c>
      <c r="E2411" s="28" t="s">
        <v>31</v>
      </c>
      <c r="F2411" s="28" t="s">
        <v>29</v>
      </c>
      <c r="G2411" s="28" t="s">
        <v>30</v>
      </c>
      <c r="H2411" s="28"/>
      <c r="I2411" s="28" t="s">
        <v>30</v>
      </c>
      <c r="J2411" s="28">
        <v>42.0</v>
      </c>
      <c r="K2411" s="28"/>
      <c r="L2411" s="28" t="s">
        <v>8371</v>
      </c>
      <c r="M2411" s="28" t="s">
        <v>8372</v>
      </c>
      <c r="N2411" s="28">
        <v>2002.0</v>
      </c>
      <c r="O2411" s="60">
        <v>13.0</v>
      </c>
      <c r="P2411" s="28">
        <v>1.0</v>
      </c>
      <c r="Q2411" s="32">
        <v>1.0</v>
      </c>
      <c r="R2411" s="33"/>
      <c r="S2411" s="185"/>
      <c r="T2411" s="185"/>
      <c r="U2411" s="185"/>
      <c r="V2411" s="185"/>
      <c r="W2411" s="185"/>
      <c r="X2411" s="185"/>
      <c r="Y2411" s="3"/>
      <c r="Z2411" s="3"/>
      <c r="AA2411" s="3"/>
      <c r="AB2411" s="3"/>
      <c r="AC2411" s="3"/>
      <c r="AD2411" s="3"/>
      <c r="AE2411" s="3"/>
      <c r="AF2411" s="3"/>
      <c r="AG2411" s="3"/>
      <c r="AH2411" s="3"/>
      <c r="AI2411" s="3"/>
      <c r="AJ2411" s="3"/>
      <c r="AK2411" s="3"/>
      <c r="AL2411" s="3"/>
    </row>
    <row r="2412" ht="15.75" customHeight="1">
      <c r="A2412" s="27">
        <f t="shared" si="21"/>
        <v>1291</v>
      </c>
      <c r="B2412" s="28" t="s">
        <v>8373</v>
      </c>
      <c r="C2412" s="43" t="s">
        <v>8374</v>
      </c>
      <c r="D2412" s="30" t="s">
        <v>8375</v>
      </c>
      <c r="E2412" s="28" t="s">
        <v>31</v>
      </c>
      <c r="F2412" s="28" t="s">
        <v>29</v>
      </c>
      <c r="G2412" s="28" t="s">
        <v>30</v>
      </c>
      <c r="H2412" s="28"/>
      <c r="I2412" s="28" t="s">
        <v>30</v>
      </c>
      <c r="J2412" s="28">
        <v>164.0</v>
      </c>
      <c r="K2412" s="28"/>
      <c r="L2412" s="28" t="s">
        <v>4008</v>
      </c>
      <c r="M2412" s="28" t="s">
        <v>4009</v>
      </c>
      <c r="N2412" s="28">
        <v>2007.0</v>
      </c>
      <c r="O2412" s="28">
        <v>13.0</v>
      </c>
      <c r="P2412" s="28">
        <v>1.0</v>
      </c>
      <c r="Q2412" s="94">
        <v>1.0</v>
      </c>
      <c r="R2412" s="33"/>
      <c r="S2412" s="185"/>
      <c r="T2412" s="185"/>
      <c r="U2412" s="185"/>
      <c r="V2412" s="185"/>
      <c r="W2412" s="185"/>
      <c r="X2412" s="185"/>
      <c r="Y2412" s="3"/>
      <c r="Z2412" s="3"/>
      <c r="AA2412" s="3"/>
      <c r="AB2412" s="3"/>
      <c r="AC2412" s="3"/>
      <c r="AD2412" s="3"/>
      <c r="AE2412" s="3"/>
      <c r="AF2412" s="3"/>
      <c r="AG2412" s="3"/>
      <c r="AH2412" s="3"/>
      <c r="AI2412" s="3"/>
      <c r="AJ2412" s="3"/>
      <c r="AK2412" s="3"/>
      <c r="AL2412" s="3"/>
    </row>
    <row r="2413" ht="15.75" customHeight="1">
      <c r="A2413" s="27">
        <f t="shared" si="21"/>
        <v>1292</v>
      </c>
      <c r="B2413" s="28" t="s">
        <v>31</v>
      </c>
      <c r="C2413" s="29" t="s">
        <v>8376</v>
      </c>
      <c r="D2413" s="30" t="s">
        <v>8377</v>
      </c>
      <c r="E2413" s="28" t="s">
        <v>31</v>
      </c>
      <c r="F2413" s="28" t="s">
        <v>29</v>
      </c>
      <c r="G2413" s="28" t="s">
        <v>30</v>
      </c>
      <c r="H2413" s="28"/>
      <c r="I2413" s="28" t="s">
        <v>30</v>
      </c>
      <c r="J2413" s="28">
        <v>339.0</v>
      </c>
      <c r="K2413" s="28"/>
      <c r="L2413" s="28" t="s">
        <v>8378</v>
      </c>
      <c r="M2413" s="28" t="s">
        <v>8379</v>
      </c>
      <c r="N2413" s="28">
        <v>1981.0</v>
      </c>
      <c r="O2413" s="28">
        <v>13.0</v>
      </c>
      <c r="P2413" s="28">
        <v>1.0</v>
      </c>
      <c r="Q2413" s="32">
        <v>1.0</v>
      </c>
      <c r="R2413" s="33"/>
      <c r="S2413" s="185"/>
      <c r="T2413" s="185"/>
      <c r="U2413" s="185"/>
      <c r="V2413" s="185"/>
      <c r="W2413" s="185"/>
      <c r="X2413" s="185"/>
      <c r="Y2413" s="3"/>
      <c r="Z2413" s="3"/>
      <c r="AA2413" s="3"/>
      <c r="AB2413" s="3"/>
      <c r="AC2413" s="3"/>
      <c r="AD2413" s="3"/>
      <c r="AE2413" s="3"/>
      <c r="AF2413" s="3"/>
      <c r="AG2413" s="3"/>
      <c r="AH2413" s="3"/>
      <c r="AI2413" s="3"/>
      <c r="AJ2413" s="3"/>
      <c r="AK2413" s="3"/>
      <c r="AL2413" s="3"/>
    </row>
    <row r="2414" ht="15.75" customHeight="1">
      <c r="A2414" s="27">
        <f t="shared" si="21"/>
        <v>1293</v>
      </c>
      <c r="B2414" s="28"/>
      <c r="C2414" s="43" t="s">
        <v>8380</v>
      </c>
      <c r="D2414" s="30" t="s">
        <v>8381</v>
      </c>
      <c r="E2414" s="28" t="s">
        <v>31</v>
      </c>
      <c r="F2414" s="28" t="s">
        <v>29</v>
      </c>
      <c r="G2414" s="28" t="s">
        <v>30</v>
      </c>
      <c r="H2414" s="28"/>
      <c r="I2414" s="28" t="s">
        <v>30</v>
      </c>
      <c r="J2414" s="28">
        <v>154.0</v>
      </c>
      <c r="K2414" s="28"/>
      <c r="L2414" s="28" t="s">
        <v>8382</v>
      </c>
      <c r="M2414" s="28" t="s">
        <v>151</v>
      </c>
      <c r="N2414" s="28">
        <v>1979.0</v>
      </c>
      <c r="O2414" s="28">
        <v>13.0</v>
      </c>
      <c r="P2414" s="28">
        <v>1.0</v>
      </c>
      <c r="Q2414" s="32">
        <v>1.0</v>
      </c>
      <c r="R2414" s="33"/>
      <c r="S2414" s="185"/>
      <c r="T2414" s="185"/>
      <c r="U2414" s="185"/>
      <c r="V2414" s="185"/>
      <c r="W2414" s="185"/>
      <c r="X2414" s="185"/>
      <c r="Y2414" s="45"/>
      <c r="Z2414" s="45"/>
      <c r="AA2414" s="45"/>
      <c r="AB2414" s="45"/>
      <c r="AC2414" s="45"/>
      <c r="AD2414" s="45"/>
      <c r="AE2414" s="45"/>
      <c r="AF2414" s="45"/>
      <c r="AG2414" s="45"/>
      <c r="AH2414" s="45"/>
      <c r="AI2414" s="45"/>
      <c r="AJ2414" s="45"/>
      <c r="AK2414" s="45"/>
      <c r="AL2414" s="45"/>
    </row>
    <row r="2415" ht="15.75" customHeight="1">
      <c r="A2415" s="27">
        <f t="shared" si="21"/>
        <v>1294</v>
      </c>
      <c r="B2415" s="28" t="s">
        <v>31</v>
      </c>
      <c r="C2415" s="43" t="s">
        <v>8383</v>
      </c>
      <c r="D2415" s="30" t="s">
        <v>8384</v>
      </c>
      <c r="E2415" s="28" t="s">
        <v>31</v>
      </c>
      <c r="F2415" s="28" t="s">
        <v>29</v>
      </c>
      <c r="G2415" s="28" t="s">
        <v>30</v>
      </c>
      <c r="H2415" s="28"/>
      <c r="I2415" s="28" t="s">
        <v>30</v>
      </c>
      <c r="J2415" s="28">
        <v>188.0</v>
      </c>
      <c r="K2415" s="28"/>
      <c r="L2415" s="28" t="s">
        <v>31</v>
      </c>
      <c r="M2415" s="28" t="s">
        <v>151</v>
      </c>
      <c r="N2415" s="28">
        <v>1976.0</v>
      </c>
      <c r="O2415" s="28">
        <v>13.0</v>
      </c>
      <c r="P2415" s="28">
        <v>1.0</v>
      </c>
      <c r="Q2415" s="32">
        <v>1.0</v>
      </c>
      <c r="R2415" s="33"/>
      <c r="S2415" s="185"/>
      <c r="T2415" s="185"/>
      <c r="U2415" s="185"/>
      <c r="V2415" s="185"/>
      <c r="W2415" s="185"/>
      <c r="X2415" s="185"/>
      <c r="Y2415" s="45"/>
      <c r="Z2415" s="45"/>
      <c r="AA2415" s="45"/>
      <c r="AB2415" s="45"/>
      <c r="AC2415" s="45"/>
      <c r="AD2415" s="45"/>
      <c r="AE2415" s="45"/>
      <c r="AF2415" s="45"/>
      <c r="AG2415" s="45"/>
      <c r="AH2415" s="45"/>
      <c r="AI2415" s="45"/>
      <c r="AJ2415" s="45"/>
      <c r="AK2415" s="45"/>
      <c r="AL2415" s="45"/>
    </row>
    <row r="2416" ht="15.75" customHeight="1">
      <c r="A2416" s="27">
        <f t="shared" si="21"/>
        <v>1295</v>
      </c>
      <c r="B2416" s="28"/>
      <c r="C2416" s="43" t="s">
        <v>8385</v>
      </c>
      <c r="D2416" s="30" t="s">
        <v>8386</v>
      </c>
      <c r="E2416" s="28" t="s">
        <v>144</v>
      </c>
      <c r="F2416" s="28" t="s">
        <v>29</v>
      </c>
      <c r="G2416" s="28" t="s">
        <v>30</v>
      </c>
      <c r="H2416" s="28"/>
      <c r="I2416" s="28" t="s">
        <v>30</v>
      </c>
      <c r="J2416" s="28">
        <v>115.0</v>
      </c>
      <c r="K2416" s="28"/>
      <c r="L2416" s="28" t="s">
        <v>8387</v>
      </c>
      <c r="M2416" s="28" t="s">
        <v>8388</v>
      </c>
      <c r="N2416" s="28">
        <v>1992.0</v>
      </c>
      <c r="O2416" s="28">
        <v>13.0</v>
      </c>
      <c r="P2416" s="28">
        <v>1.0</v>
      </c>
      <c r="Q2416" s="32">
        <v>1.0</v>
      </c>
      <c r="R2416" s="33"/>
      <c r="S2416" s="185"/>
      <c r="T2416" s="185"/>
      <c r="U2416" s="185"/>
      <c r="V2416" s="185"/>
      <c r="W2416" s="185"/>
      <c r="X2416" s="185"/>
      <c r="Y2416" s="3"/>
      <c r="Z2416" s="3"/>
      <c r="AA2416" s="3"/>
      <c r="AB2416" s="3"/>
      <c r="AC2416" s="3"/>
      <c r="AD2416" s="3"/>
      <c r="AE2416" s="3"/>
      <c r="AF2416" s="3"/>
      <c r="AG2416" s="3"/>
      <c r="AH2416" s="3"/>
      <c r="AI2416" s="3"/>
      <c r="AJ2416" s="3"/>
      <c r="AK2416" s="3"/>
      <c r="AL2416" s="3"/>
    </row>
    <row r="2417" ht="15.75" customHeight="1">
      <c r="A2417" s="27">
        <f t="shared" si="21"/>
        <v>1296</v>
      </c>
      <c r="B2417" s="28" t="s">
        <v>8389</v>
      </c>
      <c r="C2417" s="43" t="s">
        <v>8390</v>
      </c>
      <c r="D2417" s="30" t="s">
        <v>8391</v>
      </c>
      <c r="E2417" s="28"/>
      <c r="F2417" s="28" t="s">
        <v>29</v>
      </c>
      <c r="G2417" s="28" t="s">
        <v>37</v>
      </c>
      <c r="H2417" s="28"/>
      <c r="I2417" s="28" t="s">
        <v>38</v>
      </c>
      <c r="J2417" s="28">
        <v>195.0</v>
      </c>
      <c r="K2417" s="28"/>
      <c r="L2417" s="28" t="s">
        <v>8392</v>
      </c>
      <c r="M2417" s="28" t="s">
        <v>8393</v>
      </c>
      <c r="N2417" s="28">
        <v>1976.0</v>
      </c>
      <c r="O2417" s="60">
        <v>13.0</v>
      </c>
      <c r="P2417" s="28">
        <v>1.0</v>
      </c>
      <c r="Q2417" s="32">
        <v>1.0</v>
      </c>
      <c r="R2417" s="33"/>
      <c r="S2417" s="185"/>
      <c r="T2417" s="185"/>
      <c r="U2417" s="185"/>
      <c r="V2417" s="185"/>
      <c r="W2417" s="185"/>
      <c r="X2417" s="185"/>
      <c r="Y2417" s="45"/>
      <c r="Z2417" s="45"/>
      <c r="AA2417" s="45"/>
      <c r="AB2417" s="45"/>
      <c r="AC2417" s="45"/>
      <c r="AD2417" s="45"/>
      <c r="AE2417" s="45"/>
      <c r="AF2417" s="45"/>
      <c r="AG2417" s="45"/>
      <c r="AH2417" s="45"/>
      <c r="AI2417" s="45"/>
      <c r="AJ2417" s="45"/>
      <c r="AK2417" s="45"/>
      <c r="AL2417" s="45"/>
    </row>
    <row r="2418" ht="15.75" customHeight="1">
      <c r="A2418" s="27">
        <f t="shared" si="21"/>
        <v>1297</v>
      </c>
      <c r="B2418" s="28" t="s">
        <v>31</v>
      </c>
      <c r="C2418" s="29" t="s">
        <v>8394</v>
      </c>
      <c r="D2418" s="30" t="s">
        <v>8395</v>
      </c>
      <c r="E2418" s="28" t="s">
        <v>31</v>
      </c>
      <c r="F2418" s="28" t="s">
        <v>29</v>
      </c>
      <c r="G2418" s="28" t="s">
        <v>30</v>
      </c>
      <c r="H2418" s="28"/>
      <c r="I2418" s="28" t="s">
        <v>30</v>
      </c>
      <c r="J2418" s="28">
        <v>837.0</v>
      </c>
      <c r="K2418" s="28"/>
      <c r="L2418" s="28" t="s">
        <v>8396</v>
      </c>
      <c r="M2418" s="28" t="s">
        <v>8397</v>
      </c>
      <c r="N2418" s="28">
        <v>2003.0</v>
      </c>
      <c r="O2418" s="60">
        <v>13.0</v>
      </c>
      <c r="P2418" s="28">
        <v>1.0</v>
      </c>
      <c r="Q2418" s="32">
        <v>1.0</v>
      </c>
      <c r="R2418" s="33"/>
      <c r="S2418" s="185"/>
      <c r="T2418" s="185"/>
      <c r="U2418" s="185"/>
      <c r="V2418" s="185"/>
      <c r="W2418" s="185"/>
      <c r="X2418" s="185"/>
      <c r="Y2418" s="45"/>
      <c r="Z2418" s="45"/>
      <c r="AA2418" s="45"/>
      <c r="AB2418" s="45"/>
      <c r="AC2418" s="45"/>
      <c r="AD2418" s="45"/>
      <c r="AE2418" s="45"/>
      <c r="AF2418" s="45"/>
      <c r="AG2418" s="45"/>
      <c r="AH2418" s="45"/>
      <c r="AI2418" s="45"/>
      <c r="AJ2418" s="45"/>
      <c r="AK2418" s="45"/>
      <c r="AL2418" s="45"/>
    </row>
    <row r="2419" ht="15.75" customHeight="1">
      <c r="A2419" s="27">
        <f t="shared" si="21"/>
        <v>1298</v>
      </c>
      <c r="B2419" s="28" t="s">
        <v>8398</v>
      </c>
      <c r="C2419" s="43" t="s">
        <v>8399</v>
      </c>
      <c r="D2419" s="30" t="s">
        <v>8400</v>
      </c>
      <c r="E2419" s="28" t="s">
        <v>31</v>
      </c>
      <c r="F2419" s="28" t="s">
        <v>29</v>
      </c>
      <c r="G2419" s="28" t="s">
        <v>30</v>
      </c>
      <c r="H2419" s="28"/>
      <c r="I2419" s="28" t="s">
        <v>30</v>
      </c>
      <c r="J2419" s="28">
        <v>308.0</v>
      </c>
      <c r="K2419" s="28"/>
      <c r="L2419" s="28" t="s">
        <v>8401</v>
      </c>
      <c r="M2419" s="28" t="s">
        <v>4166</v>
      </c>
      <c r="N2419" s="28">
        <v>2009.0</v>
      </c>
      <c r="O2419" s="60">
        <v>13.0</v>
      </c>
      <c r="P2419" s="28">
        <v>1.0</v>
      </c>
      <c r="Q2419" s="32">
        <v>1.0</v>
      </c>
      <c r="R2419" s="33"/>
      <c r="S2419" s="185"/>
      <c r="T2419" s="185"/>
      <c r="U2419" s="185"/>
      <c r="V2419" s="185"/>
      <c r="W2419" s="185"/>
      <c r="X2419" s="185"/>
      <c r="Y2419" s="45"/>
      <c r="Z2419" s="45"/>
      <c r="AA2419" s="45"/>
      <c r="AB2419" s="45"/>
      <c r="AC2419" s="45"/>
      <c r="AD2419" s="45"/>
      <c r="AE2419" s="45"/>
      <c r="AF2419" s="45"/>
      <c r="AG2419" s="45"/>
      <c r="AH2419" s="45"/>
      <c r="AI2419" s="45"/>
      <c r="AJ2419" s="45"/>
      <c r="AK2419" s="45"/>
      <c r="AL2419" s="45"/>
    </row>
    <row r="2420" ht="15.75" customHeight="1">
      <c r="A2420" s="27">
        <f t="shared" si="21"/>
        <v>1299</v>
      </c>
      <c r="B2420" s="28" t="s">
        <v>8402</v>
      </c>
      <c r="C2420" s="43" t="s">
        <v>8403</v>
      </c>
      <c r="D2420" s="30" t="s">
        <v>8404</v>
      </c>
      <c r="E2420" s="28" t="s">
        <v>31</v>
      </c>
      <c r="F2420" s="28" t="s">
        <v>29</v>
      </c>
      <c r="G2420" s="28" t="s">
        <v>37</v>
      </c>
      <c r="H2420" s="28"/>
      <c r="I2420" s="28" t="s">
        <v>38</v>
      </c>
      <c r="J2420" s="28">
        <v>363.0</v>
      </c>
      <c r="K2420" s="28"/>
      <c r="L2420" s="28" t="s">
        <v>8405</v>
      </c>
      <c r="M2420" s="28" t="s">
        <v>1235</v>
      </c>
      <c r="N2420" s="28">
        <v>1976.0</v>
      </c>
      <c r="O2420" s="60">
        <v>13.0</v>
      </c>
      <c r="P2420" s="28">
        <v>1.0</v>
      </c>
      <c r="Q2420" s="32">
        <v>1.0</v>
      </c>
      <c r="R2420" s="33"/>
      <c r="S2420" s="185"/>
      <c r="T2420" s="185"/>
      <c r="U2420" s="185"/>
      <c r="V2420" s="185"/>
      <c r="W2420" s="185"/>
      <c r="X2420" s="185"/>
      <c r="Y2420" s="3"/>
      <c r="Z2420" s="3"/>
      <c r="AA2420" s="3"/>
      <c r="AB2420" s="3"/>
      <c r="AC2420" s="3"/>
      <c r="AD2420" s="3"/>
      <c r="AE2420" s="3"/>
      <c r="AF2420" s="3"/>
      <c r="AG2420" s="3"/>
      <c r="AH2420" s="3"/>
      <c r="AI2420" s="3"/>
      <c r="AJ2420" s="3"/>
      <c r="AK2420" s="3"/>
      <c r="AL2420" s="3"/>
    </row>
    <row r="2421" ht="15.75" customHeight="1">
      <c r="A2421" s="27">
        <f t="shared" si="21"/>
        <v>1300</v>
      </c>
      <c r="B2421" s="28" t="s">
        <v>31</v>
      </c>
      <c r="C2421" s="29" t="s">
        <v>8406</v>
      </c>
      <c r="D2421" s="30" t="s">
        <v>8407</v>
      </c>
      <c r="E2421" s="28" t="s">
        <v>31</v>
      </c>
      <c r="F2421" s="28" t="s">
        <v>29</v>
      </c>
      <c r="G2421" s="28" t="s">
        <v>30</v>
      </c>
      <c r="H2421" s="28"/>
      <c r="I2421" s="28" t="s">
        <v>30</v>
      </c>
      <c r="J2421" s="28">
        <v>586.0</v>
      </c>
      <c r="K2421" s="28"/>
      <c r="L2421" s="28" t="s">
        <v>8396</v>
      </c>
      <c r="M2421" s="28" t="s">
        <v>8397</v>
      </c>
      <c r="N2421" s="28">
        <v>2002.0</v>
      </c>
      <c r="O2421" s="60">
        <v>13.0</v>
      </c>
      <c r="P2421" s="28">
        <v>1.0</v>
      </c>
      <c r="Q2421" s="94">
        <v>1.0</v>
      </c>
      <c r="R2421" s="33"/>
      <c r="S2421" s="185"/>
      <c r="T2421" s="185"/>
      <c r="U2421" s="185"/>
      <c r="V2421" s="185"/>
      <c r="W2421" s="185"/>
      <c r="X2421" s="185"/>
      <c r="Y2421" s="45"/>
      <c r="Z2421" s="45"/>
      <c r="AA2421" s="45"/>
      <c r="AB2421" s="45"/>
      <c r="AC2421" s="45"/>
      <c r="AD2421" s="45"/>
      <c r="AE2421" s="45"/>
      <c r="AF2421" s="45"/>
      <c r="AG2421" s="45"/>
      <c r="AH2421" s="45"/>
      <c r="AI2421" s="45"/>
      <c r="AJ2421" s="45"/>
      <c r="AK2421" s="45"/>
      <c r="AL2421" s="45"/>
    </row>
    <row r="2422" ht="15.75" customHeight="1">
      <c r="A2422" s="27">
        <f t="shared" si="21"/>
        <v>1301</v>
      </c>
      <c r="B2422" s="28" t="s">
        <v>8408</v>
      </c>
      <c r="C2422" s="43" t="s">
        <v>8409</v>
      </c>
      <c r="D2422" s="30" t="s">
        <v>8410</v>
      </c>
      <c r="E2422" s="28" t="s">
        <v>144</v>
      </c>
      <c r="F2422" s="28" t="s">
        <v>29</v>
      </c>
      <c r="G2422" s="28" t="s">
        <v>30</v>
      </c>
      <c r="H2422" s="28"/>
      <c r="I2422" s="28" t="s">
        <v>30</v>
      </c>
      <c r="J2422" s="28">
        <f>251+7</f>
        <v>258</v>
      </c>
      <c r="K2422" s="28"/>
      <c r="L2422" s="28" t="s">
        <v>6099</v>
      </c>
      <c r="M2422" s="28" t="s">
        <v>8411</v>
      </c>
      <c r="N2422" s="28">
        <v>2004.0</v>
      </c>
      <c r="O2422" s="60">
        <v>13.0</v>
      </c>
      <c r="P2422" s="28">
        <v>1.0</v>
      </c>
      <c r="Q2422" s="94">
        <v>1.0</v>
      </c>
      <c r="R2422" s="33"/>
      <c r="S2422" s="185"/>
      <c r="T2422" s="185"/>
      <c r="U2422" s="185"/>
      <c r="V2422" s="185"/>
      <c r="W2422" s="185"/>
      <c r="X2422" s="185"/>
      <c r="Y2422" s="3"/>
      <c r="Z2422" s="3"/>
      <c r="AA2422" s="3"/>
      <c r="AB2422" s="3"/>
      <c r="AC2422" s="3"/>
      <c r="AD2422" s="3"/>
      <c r="AE2422" s="3"/>
      <c r="AF2422" s="3"/>
      <c r="AG2422" s="3"/>
      <c r="AH2422" s="3"/>
      <c r="AI2422" s="3"/>
      <c r="AJ2422" s="3"/>
      <c r="AK2422" s="3"/>
      <c r="AL2422" s="3"/>
    </row>
    <row r="2423" ht="15.75" customHeight="1">
      <c r="A2423" s="27">
        <f t="shared" si="21"/>
        <v>1302</v>
      </c>
      <c r="B2423" s="28" t="s">
        <v>8412</v>
      </c>
      <c r="C2423" s="102" t="s">
        <v>8413</v>
      </c>
      <c r="D2423" s="30" t="s">
        <v>8414</v>
      </c>
      <c r="E2423" s="28" t="s">
        <v>144</v>
      </c>
      <c r="F2423" s="28" t="s">
        <v>29</v>
      </c>
      <c r="G2423" s="28" t="s">
        <v>30</v>
      </c>
      <c r="H2423" s="28" t="s">
        <v>31</v>
      </c>
      <c r="I2423" s="28" t="s">
        <v>30</v>
      </c>
      <c r="J2423" s="28">
        <v>2015.0</v>
      </c>
      <c r="K2423" s="28"/>
      <c r="L2423" s="28" t="s">
        <v>8415</v>
      </c>
      <c r="M2423" s="28" t="s">
        <v>8416</v>
      </c>
      <c r="N2423" s="28">
        <v>2015.0</v>
      </c>
      <c r="O2423" s="60">
        <v>13.0</v>
      </c>
      <c r="P2423" s="28">
        <v>1.0</v>
      </c>
      <c r="Q2423" s="32">
        <v>1.0</v>
      </c>
      <c r="R2423" s="33"/>
      <c r="S2423" s="185"/>
      <c r="T2423" s="185"/>
      <c r="U2423" s="185"/>
      <c r="V2423" s="185"/>
      <c r="W2423" s="185"/>
      <c r="X2423" s="185"/>
      <c r="Y2423" s="45"/>
      <c r="Z2423" s="45"/>
      <c r="AA2423" s="45"/>
      <c r="AB2423" s="45"/>
      <c r="AC2423" s="45"/>
      <c r="AD2423" s="45"/>
      <c r="AE2423" s="45"/>
      <c r="AF2423" s="45"/>
      <c r="AG2423" s="45"/>
      <c r="AH2423" s="45"/>
      <c r="AI2423" s="45"/>
      <c r="AJ2423" s="45"/>
      <c r="AK2423" s="45"/>
      <c r="AL2423" s="45"/>
    </row>
    <row r="2424" ht="15.75" customHeight="1">
      <c r="A2424" s="27">
        <f t="shared" si="21"/>
        <v>1303</v>
      </c>
      <c r="B2424" s="28"/>
      <c r="C2424" s="43" t="s">
        <v>8417</v>
      </c>
      <c r="D2424" s="30" t="s">
        <v>8418</v>
      </c>
      <c r="E2424" s="28" t="s">
        <v>144</v>
      </c>
      <c r="F2424" s="28" t="s">
        <v>29</v>
      </c>
      <c r="G2424" s="28" t="s">
        <v>30</v>
      </c>
      <c r="H2424" s="28"/>
      <c r="I2424" s="28" t="s">
        <v>30</v>
      </c>
      <c r="J2424" s="28">
        <f>35</f>
        <v>35</v>
      </c>
      <c r="K2424" s="28"/>
      <c r="L2424" s="28" t="s">
        <v>8419</v>
      </c>
      <c r="M2424" s="28"/>
      <c r="N2424" s="28"/>
      <c r="O2424" s="60">
        <v>13.0</v>
      </c>
      <c r="P2424" s="28">
        <v>4.0</v>
      </c>
      <c r="Q2424" s="94">
        <v>4.0</v>
      </c>
      <c r="R2424" s="33"/>
      <c r="S2424" s="185"/>
      <c r="T2424" s="185"/>
      <c r="U2424" s="185"/>
      <c r="V2424" s="185"/>
      <c r="W2424" s="185"/>
      <c r="X2424" s="185"/>
      <c r="Y2424" s="3"/>
      <c r="Z2424" s="3"/>
      <c r="AA2424" s="3"/>
      <c r="AB2424" s="3"/>
      <c r="AC2424" s="3"/>
      <c r="AD2424" s="3"/>
      <c r="AE2424" s="3"/>
      <c r="AF2424" s="3"/>
      <c r="AG2424" s="3"/>
      <c r="AH2424" s="3"/>
      <c r="AI2424" s="3"/>
      <c r="AJ2424" s="3"/>
      <c r="AK2424" s="3"/>
      <c r="AL2424" s="3"/>
    </row>
    <row r="2425" ht="15.75" customHeight="1">
      <c r="A2425" s="27">
        <f t="shared" si="21"/>
        <v>1304</v>
      </c>
      <c r="B2425" s="28" t="s">
        <v>8420</v>
      </c>
      <c r="C2425" s="43" t="s">
        <v>8421</v>
      </c>
      <c r="D2425" s="30" t="s">
        <v>8422</v>
      </c>
      <c r="E2425" s="28" t="s">
        <v>144</v>
      </c>
      <c r="F2425" s="28" t="s">
        <v>29</v>
      </c>
      <c r="G2425" s="28" t="s">
        <v>30</v>
      </c>
      <c r="H2425" s="28"/>
      <c r="I2425" s="28" t="s">
        <v>30</v>
      </c>
      <c r="J2425" s="28">
        <v>277.0</v>
      </c>
      <c r="K2425" s="28"/>
      <c r="L2425" s="28" t="s">
        <v>8423</v>
      </c>
      <c r="M2425" s="28" t="s">
        <v>3341</v>
      </c>
      <c r="N2425" s="28">
        <v>2007.0</v>
      </c>
      <c r="O2425" s="60">
        <v>13.0</v>
      </c>
      <c r="P2425" s="28">
        <v>1.0</v>
      </c>
      <c r="Q2425" s="32">
        <v>1.0</v>
      </c>
      <c r="R2425" s="33"/>
      <c r="S2425" s="185"/>
      <c r="T2425" s="185"/>
      <c r="U2425" s="185"/>
      <c r="V2425" s="185"/>
      <c r="W2425" s="185"/>
      <c r="X2425" s="185"/>
      <c r="Y2425" s="3"/>
      <c r="Z2425" s="3"/>
      <c r="AA2425" s="3"/>
      <c r="AB2425" s="3"/>
      <c r="AC2425" s="3"/>
      <c r="AD2425" s="3"/>
      <c r="AE2425" s="3"/>
      <c r="AF2425" s="3"/>
      <c r="AG2425" s="3"/>
      <c r="AH2425" s="3"/>
      <c r="AI2425" s="3"/>
      <c r="AJ2425" s="3"/>
      <c r="AK2425" s="3"/>
      <c r="AL2425" s="3"/>
    </row>
    <row r="2426" ht="15.75" customHeight="1">
      <c r="A2426" s="27">
        <f t="shared" si="21"/>
        <v>1305</v>
      </c>
      <c r="B2426" s="28" t="s">
        <v>8424</v>
      </c>
      <c r="C2426" s="43" t="s">
        <v>8425</v>
      </c>
      <c r="D2426" s="30" t="s">
        <v>8426</v>
      </c>
      <c r="E2426" s="28" t="s">
        <v>144</v>
      </c>
      <c r="F2426" s="28" t="s">
        <v>29</v>
      </c>
      <c r="G2426" s="28" t="s">
        <v>30</v>
      </c>
      <c r="H2426" s="28"/>
      <c r="I2426" s="28" t="s">
        <v>30</v>
      </c>
      <c r="J2426" s="28">
        <f>211+12</f>
        <v>223</v>
      </c>
      <c r="K2426" s="28"/>
      <c r="L2426" s="28" t="s">
        <v>8427</v>
      </c>
      <c r="M2426" s="28" t="s">
        <v>2405</v>
      </c>
      <c r="N2426" s="28">
        <v>2006.0</v>
      </c>
      <c r="O2426" s="60">
        <v>13.0</v>
      </c>
      <c r="P2426" s="28">
        <v>1.0</v>
      </c>
      <c r="Q2426" s="94">
        <v>1.0</v>
      </c>
      <c r="R2426" s="33"/>
      <c r="S2426" s="185"/>
      <c r="T2426" s="185"/>
      <c r="U2426" s="185"/>
      <c r="V2426" s="185"/>
      <c r="W2426" s="185"/>
      <c r="X2426" s="185"/>
      <c r="Y2426" s="45"/>
      <c r="Z2426" s="45"/>
      <c r="AA2426" s="45"/>
      <c r="AB2426" s="45"/>
      <c r="AC2426" s="45"/>
      <c r="AD2426" s="45"/>
      <c r="AE2426" s="45"/>
      <c r="AF2426" s="45"/>
      <c r="AG2426" s="45"/>
      <c r="AH2426" s="45"/>
      <c r="AI2426" s="45"/>
      <c r="AJ2426" s="45"/>
      <c r="AK2426" s="45"/>
      <c r="AL2426" s="45"/>
    </row>
    <row r="2427" ht="15.75" customHeight="1">
      <c r="A2427" s="27">
        <f t="shared" si="21"/>
        <v>1306</v>
      </c>
      <c r="B2427" s="28" t="s">
        <v>8428</v>
      </c>
      <c r="C2427" s="43" t="s">
        <v>8429</v>
      </c>
      <c r="D2427" s="30" t="s">
        <v>8430</v>
      </c>
      <c r="E2427" s="28" t="s">
        <v>144</v>
      </c>
      <c r="F2427" s="28" t="s">
        <v>29</v>
      </c>
      <c r="G2427" s="28" t="s">
        <v>30</v>
      </c>
      <c r="H2427" s="28"/>
      <c r="I2427" s="28" t="s">
        <v>30</v>
      </c>
      <c r="J2427" s="28">
        <v>608.0</v>
      </c>
      <c r="K2427" s="28"/>
      <c r="L2427" s="28" t="s">
        <v>8431</v>
      </c>
      <c r="M2427" s="28" t="s">
        <v>7060</v>
      </c>
      <c r="N2427" s="28">
        <v>2011.0</v>
      </c>
      <c r="O2427" s="60">
        <v>13.0</v>
      </c>
      <c r="P2427" s="28">
        <v>4.0</v>
      </c>
      <c r="Q2427" s="94">
        <v>4.0</v>
      </c>
      <c r="R2427" s="33"/>
      <c r="S2427" s="185"/>
      <c r="T2427" s="185"/>
      <c r="U2427" s="185"/>
      <c r="V2427" s="185"/>
      <c r="W2427" s="185"/>
      <c r="X2427" s="185"/>
      <c r="Y2427" s="3"/>
      <c r="Z2427" s="3"/>
      <c r="AA2427" s="3"/>
      <c r="AB2427" s="3"/>
      <c r="AC2427" s="3"/>
      <c r="AD2427" s="3"/>
      <c r="AE2427" s="3"/>
      <c r="AF2427" s="3"/>
      <c r="AG2427" s="3"/>
      <c r="AH2427" s="3"/>
      <c r="AI2427" s="3"/>
      <c r="AJ2427" s="3"/>
      <c r="AK2427" s="3"/>
      <c r="AL2427" s="3"/>
    </row>
    <row r="2428" ht="15.75" customHeight="1">
      <c r="A2428" s="27">
        <f t="shared" si="21"/>
        <v>1307</v>
      </c>
      <c r="B2428" s="28" t="s">
        <v>31</v>
      </c>
      <c r="C2428" s="43" t="s">
        <v>8432</v>
      </c>
      <c r="D2428" s="30" t="s">
        <v>8433</v>
      </c>
      <c r="E2428" s="28" t="s">
        <v>144</v>
      </c>
      <c r="F2428" s="28" t="s">
        <v>29</v>
      </c>
      <c r="G2428" s="28" t="s">
        <v>30</v>
      </c>
      <c r="H2428" s="28"/>
      <c r="I2428" s="28" t="s">
        <v>30</v>
      </c>
      <c r="J2428" s="28">
        <v>82.0</v>
      </c>
      <c r="K2428" s="28"/>
      <c r="L2428" s="28" t="s">
        <v>3026</v>
      </c>
      <c r="M2428" s="28" t="s">
        <v>3027</v>
      </c>
      <c r="N2428" s="28">
        <v>2002.0</v>
      </c>
      <c r="O2428" s="60">
        <v>13.0</v>
      </c>
      <c r="P2428" s="28">
        <v>1.0</v>
      </c>
      <c r="Q2428" s="94">
        <v>1.0</v>
      </c>
      <c r="R2428" s="33"/>
      <c r="S2428" s="185"/>
      <c r="T2428" s="185"/>
      <c r="U2428" s="185"/>
      <c r="V2428" s="185"/>
      <c r="W2428" s="185"/>
      <c r="X2428" s="185"/>
      <c r="Y2428" s="3"/>
      <c r="Z2428" s="3"/>
      <c r="AA2428" s="3"/>
      <c r="AB2428" s="3"/>
      <c r="AC2428" s="3"/>
      <c r="AD2428" s="3"/>
      <c r="AE2428" s="3"/>
      <c r="AF2428" s="3"/>
      <c r="AG2428" s="3"/>
      <c r="AH2428" s="3"/>
      <c r="AI2428" s="3"/>
      <c r="AJ2428" s="3"/>
      <c r="AK2428" s="3"/>
      <c r="AL2428" s="3"/>
    </row>
    <row r="2429" ht="15.75" customHeight="1">
      <c r="A2429" s="27">
        <f t="shared" si="21"/>
        <v>1308</v>
      </c>
      <c r="B2429" s="28" t="s">
        <v>8434</v>
      </c>
      <c r="C2429" s="43" t="s">
        <v>8435</v>
      </c>
      <c r="D2429" s="30" t="s">
        <v>8436</v>
      </c>
      <c r="E2429" s="28" t="s">
        <v>144</v>
      </c>
      <c r="F2429" s="28" t="s">
        <v>29</v>
      </c>
      <c r="G2429" s="28" t="s">
        <v>37</v>
      </c>
      <c r="H2429" s="28" t="s">
        <v>31</v>
      </c>
      <c r="I2429" s="28" t="s">
        <v>38</v>
      </c>
      <c r="J2429" s="28">
        <f>251+18</f>
        <v>269</v>
      </c>
      <c r="K2429" s="28"/>
      <c r="L2429" s="28" t="s">
        <v>8437</v>
      </c>
      <c r="M2429" s="28" t="s">
        <v>230</v>
      </c>
      <c r="N2429" s="28">
        <v>2012.0</v>
      </c>
      <c r="O2429" s="60">
        <v>13.0</v>
      </c>
      <c r="P2429" s="28">
        <v>1.0</v>
      </c>
      <c r="Q2429" s="32">
        <v>1.0</v>
      </c>
      <c r="R2429" s="33"/>
      <c r="S2429" s="185"/>
      <c r="T2429" s="185"/>
      <c r="U2429" s="185"/>
      <c r="V2429" s="185"/>
      <c r="W2429" s="185"/>
      <c r="X2429" s="185"/>
      <c r="Y2429" s="3"/>
      <c r="Z2429" s="3"/>
      <c r="AA2429" s="3"/>
      <c r="AB2429" s="3"/>
      <c r="AC2429" s="3"/>
      <c r="AD2429" s="3"/>
      <c r="AE2429" s="3"/>
      <c r="AF2429" s="3"/>
      <c r="AG2429" s="3"/>
      <c r="AH2429" s="3"/>
      <c r="AI2429" s="3"/>
      <c r="AJ2429" s="3"/>
      <c r="AK2429" s="3"/>
      <c r="AL2429" s="3"/>
    </row>
    <row r="2430" ht="15.75" customHeight="1">
      <c r="A2430" s="27">
        <f t="shared" si="21"/>
        <v>1309</v>
      </c>
      <c r="B2430" s="28" t="s">
        <v>31</v>
      </c>
      <c r="C2430" s="43" t="s">
        <v>8438</v>
      </c>
      <c r="D2430" s="30" t="s">
        <v>8439</v>
      </c>
      <c r="E2430" s="28" t="s">
        <v>144</v>
      </c>
      <c r="F2430" s="28" t="s">
        <v>29</v>
      </c>
      <c r="G2430" s="28" t="s">
        <v>30</v>
      </c>
      <c r="H2430" s="28"/>
      <c r="I2430" s="28" t="s">
        <v>30</v>
      </c>
      <c r="J2430" s="28">
        <v>418.0</v>
      </c>
      <c r="K2430" s="28"/>
      <c r="L2430" s="28" t="s">
        <v>8440</v>
      </c>
      <c r="M2430" s="28" t="s">
        <v>2258</v>
      </c>
      <c r="N2430" s="28">
        <v>2003.0</v>
      </c>
      <c r="O2430" s="62">
        <v>12.0</v>
      </c>
      <c r="P2430" s="28">
        <v>1.0</v>
      </c>
      <c r="Q2430" s="94">
        <v>1.0</v>
      </c>
      <c r="R2430" s="33"/>
      <c r="S2430" s="185"/>
      <c r="T2430" s="185"/>
      <c r="U2430" s="185"/>
      <c r="V2430" s="185"/>
      <c r="W2430" s="185"/>
      <c r="X2430" s="185"/>
      <c r="Y2430" s="3"/>
      <c r="Z2430" s="3"/>
      <c r="AA2430" s="3"/>
      <c r="AB2430" s="3"/>
      <c r="AC2430" s="3"/>
      <c r="AD2430" s="3"/>
      <c r="AE2430" s="3"/>
      <c r="AF2430" s="3"/>
      <c r="AG2430" s="3"/>
      <c r="AH2430" s="3"/>
      <c r="AI2430" s="3"/>
      <c r="AJ2430" s="3"/>
      <c r="AK2430" s="3"/>
      <c r="AL2430" s="3"/>
    </row>
    <row r="2431" ht="15.75" customHeight="1">
      <c r="A2431" s="27">
        <f t="shared" si="21"/>
        <v>1310</v>
      </c>
      <c r="B2431" s="28" t="s">
        <v>8441</v>
      </c>
      <c r="C2431" s="43" t="s">
        <v>8442</v>
      </c>
      <c r="D2431" s="30" t="s">
        <v>8443</v>
      </c>
      <c r="E2431" s="28" t="s">
        <v>144</v>
      </c>
      <c r="F2431" s="28" t="s">
        <v>29</v>
      </c>
      <c r="G2431" s="28" t="s">
        <v>37</v>
      </c>
      <c r="H2431" s="28"/>
      <c r="I2431" s="28" t="s">
        <v>38</v>
      </c>
      <c r="J2431" s="28">
        <v>446.0</v>
      </c>
      <c r="K2431" s="28"/>
      <c r="L2431" s="28" t="s">
        <v>8444</v>
      </c>
      <c r="M2431" s="28" t="s">
        <v>230</v>
      </c>
      <c r="N2431" s="28">
        <v>2000.0</v>
      </c>
      <c r="O2431" s="60">
        <v>13.0</v>
      </c>
      <c r="P2431" s="28">
        <v>1.0</v>
      </c>
      <c r="Q2431" s="32">
        <v>1.0</v>
      </c>
      <c r="R2431" s="33"/>
      <c r="S2431" s="185"/>
      <c r="T2431" s="185"/>
      <c r="U2431" s="185"/>
      <c r="V2431" s="185"/>
      <c r="W2431" s="185"/>
      <c r="X2431" s="185"/>
      <c r="Y2431" s="3"/>
      <c r="Z2431" s="3"/>
      <c r="AA2431" s="3"/>
      <c r="AB2431" s="3"/>
      <c r="AC2431" s="3"/>
      <c r="AD2431" s="3"/>
      <c r="AE2431" s="3"/>
      <c r="AF2431" s="3"/>
      <c r="AG2431" s="3"/>
      <c r="AH2431" s="3"/>
      <c r="AI2431" s="3"/>
      <c r="AJ2431" s="3"/>
      <c r="AK2431" s="3"/>
      <c r="AL2431" s="3"/>
    </row>
    <row r="2432" ht="15.75" customHeight="1">
      <c r="A2432" s="27">
        <f t="shared" si="21"/>
        <v>1311</v>
      </c>
      <c r="B2432" s="28" t="s">
        <v>8445</v>
      </c>
      <c r="C2432" s="43" t="s">
        <v>8446</v>
      </c>
      <c r="D2432" s="30" t="s">
        <v>8447</v>
      </c>
      <c r="E2432" s="28" t="s">
        <v>144</v>
      </c>
      <c r="F2432" s="28" t="s">
        <v>29</v>
      </c>
      <c r="G2432" s="28" t="s">
        <v>30</v>
      </c>
      <c r="H2432" s="28"/>
      <c r="I2432" s="28" t="s">
        <v>30</v>
      </c>
      <c r="J2432" s="28">
        <v>96.0</v>
      </c>
      <c r="K2432" s="28"/>
      <c r="L2432" s="28" t="s">
        <v>8448</v>
      </c>
      <c r="M2432" s="28" t="s">
        <v>151</v>
      </c>
      <c r="N2432" s="28">
        <v>2009.0</v>
      </c>
      <c r="O2432" s="60">
        <v>13.0</v>
      </c>
      <c r="P2432" s="28">
        <v>1.0</v>
      </c>
      <c r="Q2432" s="32">
        <v>1.0</v>
      </c>
      <c r="R2432" s="33"/>
      <c r="S2432" s="185"/>
      <c r="T2432" s="185"/>
      <c r="U2432" s="185"/>
      <c r="V2432" s="185"/>
      <c r="W2432" s="185"/>
      <c r="X2432" s="185"/>
      <c r="Y2432" s="3"/>
      <c r="Z2432" s="3"/>
      <c r="AA2432" s="3"/>
      <c r="AB2432" s="3"/>
      <c r="AC2432" s="3"/>
      <c r="AD2432" s="3"/>
      <c r="AE2432" s="3"/>
      <c r="AF2432" s="3"/>
      <c r="AG2432" s="3"/>
      <c r="AH2432" s="3"/>
      <c r="AI2432" s="3"/>
      <c r="AJ2432" s="3"/>
      <c r="AK2432" s="3"/>
      <c r="AL2432" s="3"/>
    </row>
    <row r="2433" ht="15.75" customHeight="1">
      <c r="A2433" s="27">
        <f t="shared" si="21"/>
        <v>1312</v>
      </c>
      <c r="B2433" s="28" t="s">
        <v>8449</v>
      </c>
      <c r="C2433" s="29" t="s">
        <v>8450</v>
      </c>
      <c r="D2433" s="30" t="s">
        <v>8451</v>
      </c>
      <c r="E2433" s="28" t="s">
        <v>144</v>
      </c>
      <c r="F2433" s="28" t="s">
        <v>29</v>
      </c>
      <c r="G2433" s="28" t="s">
        <v>30</v>
      </c>
      <c r="H2433" s="28"/>
      <c r="I2433" s="28" t="s">
        <v>30</v>
      </c>
      <c r="J2433" s="28">
        <v>152.0</v>
      </c>
      <c r="K2433" s="28"/>
      <c r="L2433" s="28" t="s">
        <v>8452</v>
      </c>
      <c r="M2433" s="28" t="s">
        <v>169</v>
      </c>
      <c r="N2433" s="28">
        <v>2005.0</v>
      </c>
      <c r="O2433" s="62">
        <v>12.0</v>
      </c>
      <c r="P2433" s="28">
        <v>1.0</v>
      </c>
      <c r="Q2433" s="94">
        <v>1.0</v>
      </c>
      <c r="R2433" s="33"/>
      <c r="S2433" s="185"/>
      <c r="T2433" s="185"/>
      <c r="U2433" s="185"/>
      <c r="V2433" s="185"/>
      <c r="W2433" s="185"/>
      <c r="X2433" s="185"/>
      <c r="Y2433" s="3"/>
      <c r="Z2433" s="3"/>
      <c r="AA2433" s="3"/>
      <c r="AB2433" s="3"/>
      <c r="AC2433" s="3"/>
      <c r="AD2433" s="3"/>
      <c r="AE2433" s="3"/>
      <c r="AF2433" s="3"/>
      <c r="AG2433" s="3"/>
      <c r="AH2433" s="3"/>
      <c r="AI2433" s="3"/>
      <c r="AJ2433" s="3"/>
      <c r="AK2433" s="3"/>
      <c r="AL2433" s="3"/>
    </row>
    <row r="2434" ht="15.75" customHeight="1">
      <c r="A2434" s="27">
        <f t="shared" si="21"/>
        <v>1313</v>
      </c>
      <c r="B2434" s="28" t="s">
        <v>8453</v>
      </c>
      <c r="C2434" s="43" t="s">
        <v>8454</v>
      </c>
      <c r="D2434" s="30" t="s">
        <v>8455</v>
      </c>
      <c r="E2434" s="28" t="s">
        <v>144</v>
      </c>
      <c r="F2434" s="28" t="s">
        <v>29</v>
      </c>
      <c r="G2434" s="28" t="s">
        <v>30</v>
      </c>
      <c r="H2434" s="28"/>
      <c r="I2434" s="28" t="s">
        <v>30</v>
      </c>
      <c r="J2434" s="28">
        <f>95+14</f>
        <v>109</v>
      </c>
      <c r="K2434" s="28"/>
      <c r="L2434" s="28" t="s">
        <v>4465</v>
      </c>
      <c r="M2434" s="28" t="s">
        <v>151</v>
      </c>
      <c r="N2434" s="28">
        <v>1992.0</v>
      </c>
      <c r="O2434" s="60">
        <v>13.0</v>
      </c>
      <c r="P2434" s="28">
        <v>1.0</v>
      </c>
      <c r="Q2434" s="32">
        <v>1.0</v>
      </c>
      <c r="R2434" s="33"/>
      <c r="S2434" s="185"/>
      <c r="T2434" s="185"/>
      <c r="U2434" s="185"/>
      <c r="V2434" s="185"/>
      <c r="W2434" s="185"/>
      <c r="X2434" s="185"/>
      <c r="Y2434" s="45"/>
      <c r="Z2434" s="45"/>
      <c r="AA2434" s="45"/>
      <c r="AB2434" s="45"/>
      <c r="AC2434" s="45"/>
      <c r="AD2434" s="45"/>
      <c r="AE2434" s="45"/>
      <c r="AF2434" s="45"/>
      <c r="AG2434" s="45"/>
      <c r="AH2434" s="45"/>
      <c r="AI2434" s="45"/>
      <c r="AJ2434" s="45"/>
      <c r="AK2434" s="45"/>
      <c r="AL2434" s="45"/>
    </row>
    <row r="2435" ht="15.75" customHeight="1">
      <c r="A2435" s="27">
        <f t="shared" si="21"/>
        <v>1314</v>
      </c>
      <c r="B2435" s="28" t="s">
        <v>8456</v>
      </c>
      <c r="C2435" s="43" t="s">
        <v>8457</v>
      </c>
      <c r="D2435" s="30" t="s">
        <v>8458</v>
      </c>
      <c r="E2435" s="28" t="s">
        <v>144</v>
      </c>
      <c r="F2435" s="28" t="s">
        <v>29</v>
      </c>
      <c r="G2435" s="28" t="s">
        <v>30</v>
      </c>
      <c r="H2435" s="28"/>
      <c r="I2435" s="28" t="s">
        <v>30</v>
      </c>
      <c r="J2435" s="28">
        <f>812+18</f>
        <v>830</v>
      </c>
      <c r="K2435" s="28"/>
      <c r="L2435" s="28" t="s">
        <v>8459</v>
      </c>
      <c r="M2435" s="28" t="s">
        <v>8460</v>
      </c>
      <c r="N2435" s="28">
        <v>2009.0</v>
      </c>
      <c r="O2435" s="28">
        <v>13.0</v>
      </c>
      <c r="P2435" s="28">
        <v>1.0</v>
      </c>
      <c r="Q2435" s="32">
        <v>1.0</v>
      </c>
      <c r="R2435" s="33"/>
      <c r="S2435" s="185"/>
      <c r="T2435" s="185"/>
      <c r="U2435" s="185"/>
      <c r="V2435" s="185"/>
      <c r="W2435" s="185"/>
      <c r="X2435" s="185"/>
      <c r="Y2435" s="45"/>
      <c r="Z2435" s="45"/>
      <c r="AA2435" s="45"/>
      <c r="AB2435" s="45"/>
      <c r="AC2435" s="45"/>
      <c r="AD2435" s="45"/>
      <c r="AE2435" s="45"/>
      <c r="AF2435" s="45"/>
      <c r="AG2435" s="45"/>
      <c r="AH2435" s="45"/>
      <c r="AI2435" s="45"/>
      <c r="AJ2435" s="45"/>
      <c r="AK2435" s="45"/>
      <c r="AL2435" s="45"/>
    </row>
    <row r="2436" ht="15.75" customHeight="1">
      <c r="A2436" s="27">
        <f t="shared" si="21"/>
        <v>1315</v>
      </c>
      <c r="B2436" s="28"/>
      <c r="C2436" s="43" t="s">
        <v>8461</v>
      </c>
      <c r="D2436" s="30" t="s">
        <v>8462</v>
      </c>
      <c r="E2436" s="28" t="s">
        <v>144</v>
      </c>
      <c r="F2436" s="28" t="s">
        <v>29</v>
      </c>
      <c r="G2436" s="28" t="s">
        <v>30</v>
      </c>
      <c r="H2436" s="28"/>
      <c r="I2436" s="28" t="s">
        <v>30</v>
      </c>
      <c r="J2436" s="28">
        <v>98.0</v>
      </c>
      <c r="K2436" s="28"/>
      <c r="L2436" s="28" t="s">
        <v>8463</v>
      </c>
      <c r="M2436" s="28" t="s">
        <v>8464</v>
      </c>
      <c r="N2436" s="28">
        <v>1984.0</v>
      </c>
      <c r="O2436" s="28">
        <v>13.0</v>
      </c>
      <c r="P2436" s="28">
        <v>1.0</v>
      </c>
      <c r="Q2436" s="32">
        <v>1.0</v>
      </c>
      <c r="R2436" s="33"/>
      <c r="S2436" s="185"/>
      <c r="T2436" s="185"/>
      <c r="U2436" s="185"/>
      <c r="V2436" s="185"/>
      <c r="W2436" s="185"/>
      <c r="X2436" s="185"/>
      <c r="Y2436" s="3"/>
      <c r="Z2436" s="3"/>
      <c r="AA2436" s="3"/>
      <c r="AB2436" s="3"/>
      <c r="AC2436" s="3"/>
      <c r="AD2436" s="3"/>
      <c r="AE2436" s="3"/>
      <c r="AF2436" s="3"/>
      <c r="AG2436" s="3"/>
      <c r="AH2436" s="3"/>
      <c r="AI2436" s="3"/>
      <c r="AJ2436" s="3"/>
      <c r="AK2436" s="3"/>
      <c r="AL2436" s="3"/>
    </row>
    <row r="2437" ht="15.75" customHeight="1">
      <c r="A2437" s="27">
        <f t="shared" si="21"/>
        <v>1316</v>
      </c>
      <c r="B2437" s="28" t="s">
        <v>8465</v>
      </c>
      <c r="C2437" s="43" t="s">
        <v>8466</v>
      </c>
      <c r="D2437" s="30" t="s">
        <v>8467</v>
      </c>
      <c r="E2437" s="28" t="s">
        <v>144</v>
      </c>
      <c r="F2437" s="28" t="s">
        <v>29</v>
      </c>
      <c r="G2437" s="28" t="s">
        <v>30</v>
      </c>
      <c r="H2437" s="28"/>
      <c r="I2437" s="28" t="s">
        <v>30</v>
      </c>
      <c r="J2437" s="28">
        <f>215+6</f>
        <v>221</v>
      </c>
      <c r="K2437" s="28"/>
      <c r="L2437" s="28" t="s">
        <v>8468</v>
      </c>
      <c r="M2437" s="28" t="s">
        <v>8469</v>
      </c>
      <c r="N2437" s="28">
        <v>2008.0</v>
      </c>
      <c r="O2437" s="28">
        <v>13.0</v>
      </c>
      <c r="P2437" s="28">
        <v>1.0</v>
      </c>
      <c r="Q2437" s="32">
        <v>1.0</v>
      </c>
      <c r="R2437" s="33"/>
      <c r="S2437" s="185"/>
      <c r="T2437" s="185"/>
      <c r="U2437" s="185"/>
      <c r="V2437" s="185"/>
      <c r="W2437" s="185"/>
      <c r="X2437" s="185"/>
      <c r="Y2437" s="3"/>
      <c r="Z2437" s="3"/>
      <c r="AA2437" s="3"/>
      <c r="AB2437" s="3"/>
      <c r="AC2437" s="3"/>
      <c r="AD2437" s="3"/>
      <c r="AE2437" s="3"/>
      <c r="AF2437" s="3"/>
      <c r="AG2437" s="3"/>
      <c r="AH2437" s="3"/>
      <c r="AI2437" s="3"/>
      <c r="AJ2437" s="3"/>
      <c r="AK2437" s="3"/>
      <c r="AL2437" s="3"/>
    </row>
    <row r="2438" ht="15.75" customHeight="1">
      <c r="A2438" s="27">
        <f t="shared" si="21"/>
        <v>1317</v>
      </c>
      <c r="B2438" s="28" t="s">
        <v>8470</v>
      </c>
      <c r="C2438" s="43" t="s">
        <v>8471</v>
      </c>
      <c r="D2438" s="30" t="s">
        <v>8472</v>
      </c>
      <c r="E2438" s="28" t="s">
        <v>144</v>
      </c>
      <c r="F2438" s="28" t="s">
        <v>29</v>
      </c>
      <c r="G2438" s="28" t="s">
        <v>30</v>
      </c>
      <c r="H2438" s="28"/>
      <c r="I2438" s="28" t="s">
        <v>30</v>
      </c>
      <c r="J2438" s="28">
        <v>178.0</v>
      </c>
      <c r="K2438" s="28"/>
      <c r="L2438" s="28" t="s">
        <v>8473</v>
      </c>
      <c r="M2438" s="28" t="s">
        <v>4126</v>
      </c>
      <c r="N2438" s="28">
        <v>2006.0</v>
      </c>
      <c r="O2438" s="142">
        <v>13.0</v>
      </c>
      <c r="P2438" s="28">
        <v>1.0</v>
      </c>
      <c r="Q2438" s="32">
        <v>1.0</v>
      </c>
      <c r="R2438" s="33"/>
      <c r="S2438" s="185"/>
      <c r="T2438" s="185"/>
      <c r="U2438" s="185"/>
      <c r="V2438" s="185"/>
      <c r="W2438" s="185"/>
      <c r="X2438" s="185"/>
      <c r="Y2438" s="45"/>
      <c r="Z2438" s="45"/>
      <c r="AA2438" s="45"/>
      <c r="AB2438" s="45"/>
      <c r="AC2438" s="45"/>
      <c r="AD2438" s="45"/>
      <c r="AE2438" s="45"/>
      <c r="AF2438" s="45"/>
      <c r="AG2438" s="45"/>
      <c r="AH2438" s="45"/>
      <c r="AI2438" s="45"/>
      <c r="AJ2438" s="45"/>
      <c r="AK2438" s="45"/>
      <c r="AL2438" s="45"/>
    </row>
    <row r="2439" ht="15.75" customHeight="1">
      <c r="A2439" s="27">
        <f t="shared" si="21"/>
        <v>1318</v>
      </c>
      <c r="B2439" s="28" t="s">
        <v>8474</v>
      </c>
      <c r="C2439" s="43" t="s">
        <v>8475</v>
      </c>
      <c r="D2439" s="30" t="s">
        <v>8476</v>
      </c>
      <c r="E2439" s="28" t="s">
        <v>144</v>
      </c>
      <c r="F2439" s="28" t="s">
        <v>29</v>
      </c>
      <c r="G2439" s="28" t="s">
        <v>30</v>
      </c>
      <c r="H2439" s="28"/>
      <c r="I2439" s="28" t="s">
        <v>30</v>
      </c>
      <c r="J2439" s="28">
        <f>240</f>
        <v>240</v>
      </c>
      <c r="K2439" s="28"/>
      <c r="L2439" s="28" t="s">
        <v>8477</v>
      </c>
      <c r="M2439" s="28" t="s">
        <v>2898</v>
      </c>
      <c r="N2439" s="28">
        <v>2007.0</v>
      </c>
      <c r="O2439" s="142">
        <v>13.0</v>
      </c>
      <c r="P2439" s="28">
        <v>1.0</v>
      </c>
      <c r="Q2439" s="32">
        <v>1.0</v>
      </c>
      <c r="R2439" s="33"/>
      <c r="S2439" s="185"/>
      <c r="T2439" s="185"/>
      <c r="U2439" s="185"/>
      <c r="V2439" s="185"/>
      <c r="W2439" s="185"/>
      <c r="X2439" s="185"/>
      <c r="Y2439" s="45"/>
      <c r="Z2439" s="45"/>
      <c r="AA2439" s="45"/>
      <c r="AB2439" s="45"/>
      <c r="AC2439" s="45"/>
      <c r="AD2439" s="45"/>
      <c r="AE2439" s="45"/>
      <c r="AF2439" s="45"/>
      <c r="AG2439" s="45"/>
      <c r="AH2439" s="45"/>
      <c r="AI2439" s="45"/>
      <c r="AJ2439" s="45"/>
      <c r="AK2439" s="45"/>
      <c r="AL2439" s="45"/>
    </row>
    <row r="2440" ht="15.75" customHeight="1">
      <c r="A2440" s="27">
        <f t="shared" si="21"/>
        <v>1319</v>
      </c>
      <c r="B2440" s="28" t="s">
        <v>8478</v>
      </c>
      <c r="C2440" s="43" t="s">
        <v>8479</v>
      </c>
      <c r="D2440" s="30" t="s">
        <v>8480</v>
      </c>
      <c r="E2440" s="28" t="s">
        <v>31</v>
      </c>
      <c r="F2440" s="28" t="s">
        <v>29</v>
      </c>
      <c r="G2440" s="28" t="s">
        <v>30</v>
      </c>
      <c r="H2440" s="28"/>
      <c r="I2440" s="28" t="s">
        <v>30</v>
      </c>
      <c r="J2440" s="28">
        <v>165.0</v>
      </c>
      <c r="K2440" s="28"/>
      <c r="L2440" s="28" t="s">
        <v>4008</v>
      </c>
      <c r="M2440" s="28" t="s">
        <v>4009</v>
      </c>
      <c r="N2440" s="28">
        <v>1997.0</v>
      </c>
      <c r="O2440" s="142">
        <v>13.0</v>
      </c>
      <c r="P2440" s="28">
        <v>1.0</v>
      </c>
      <c r="Q2440" s="94">
        <v>1.0</v>
      </c>
      <c r="R2440" s="33"/>
      <c r="S2440" s="40"/>
      <c r="T2440" s="40"/>
      <c r="U2440" s="40"/>
      <c r="V2440" s="40"/>
      <c r="W2440" s="40"/>
      <c r="X2440" s="40"/>
      <c r="Y2440" s="45"/>
      <c r="Z2440" s="45"/>
      <c r="AA2440" s="45"/>
      <c r="AB2440" s="45"/>
      <c r="AC2440" s="45"/>
      <c r="AD2440" s="45"/>
      <c r="AE2440" s="45"/>
      <c r="AF2440" s="45"/>
      <c r="AG2440" s="45"/>
      <c r="AH2440" s="45"/>
      <c r="AI2440" s="45"/>
      <c r="AJ2440" s="45"/>
      <c r="AK2440" s="45"/>
      <c r="AL2440" s="45"/>
    </row>
    <row r="2441" ht="15.75" customHeight="1">
      <c r="A2441" s="27">
        <f t="shared" si="21"/>
        <v>1320</v>
      </c>
      <c r="B2441" s="28" t="s">
        <v>8481</v>
      </c>
      <c r="C2441" s="43" t="s">
        <v>8482</v>
      </c>
      <c r="D2441" s="30" t="s">
        <v>8483</v>
      </c>
      <c r="E2441" s="28" t="s">
        <v>144</v>
      </c>
      <c r="F2441" s="28" t="s">
        <v>29</v>
      </c>
      <c r="G2441" s="28" t="s">
        <v>30</v>
      </c>
      <c r="H2441" s="28"/>
      <c r="I2441" s="28" t="s">
        <v>30</v>
      </c>
      <c r="J2441" s="28">
        <f>180+6+6</f>
        <v>192</v>
      </c>
      <c r="K2441" s="28"/>
      <c r="L2441" s="28" t="s">
        <v>4008</v>
      </c>
      <c r="M2441" s="28" t="s">
        <v>4009</v>
      </c>
      <c r="N2441" s="28">
        <v>2006.0</v>
      </c>
      <c r="O2441" s="142">
        <v>13.0</v>
      </c>
      <c r="P2441" s="28">
        <v>1.0</v>
      </c>
      <c r="Q2441" s="32">
        <v>1.0</v>
      </c>
      <c r="R2441" s="33"/>
      <c r="S2441" s="34"/>
      <c r="T2441" s="34"/>
      <c r="U2441" s="34"/>
      <c r="V2441" s="34"/>
      <c r="W2441" s="34"/>
      <c r="X2441" s="34"/>
      <c r="Y2441" s="3"/>
      <c r="Z2441" s="3"/>
      <c r="AA2441" s="3"/>
      <c r="AB2441" s="3"/>
      <c r="AC2441" s="3"/>
      <c r="AD2441" s="3"/>
      <c r="AE2441" s="3"/>
      <c r="AF2441" s="3"/>
      <c r="AG2441" s="3"/>
      <c r="AH2441" s="3"/>
      <c r="AI2441" s="3"/>
      <c r="AJ2441" s="3"/>
      <c r="AK2441" s="3"/>
      <c r="AL2441" s="3"/>
    </row>
    <row r="2442" ht="15.75" customHeight="1">
      <c r="A2442" s="27">
        <f t="shared" si="21"/>
        <v>1321</v>
      </c>
      <c r="B2442" s="28" t="s">
        <v>8484</v>
      </c>
      <c r="C2442" s="43" t="s">
        <v>8485</v>
      </c>
      <c r="D2442" s="30" t="s">
        <v>8486</v>
      </c>
      <c r="E2442" s="28" t="s">
        <v>144</v>
      </c>
      <c r="F2442" s="28" t="s">
        <v>29</v>
      </c>
      <c r="G2442" s="28" t="s">
        <v>159</v>
      </c>
      <c r="H2442" s="28"/>
      <c r="I2442" s="28" t="s">
        <v>30</v>
      </c>
      <c r="J2442" s="28">
        <v>184.0</v>
      </c>
      <c r="K2442" s="28"/>
      <c r="L2442" s="28" t="s">
        <v>8487</v>
      </c>
      <c r="M2442" s="28" t="s">
        <v>161</v>
      </c>
      <c r="N2442" s="28">
        <v>2006.0</v>
      </c>
      <c r="O2442" s="142">
        <v>13.0</v>
      </c>
      <c r="P2442" s="28">
        <v>1.0</v>
      </c>
      <c r="Q2442" s="94">
        <v>1.0</v>
      </c>
      <c r="R2442" s="33"/>
      <c r="S2442" s="40"/>
      <c r="T2442" s="40"/>
      <c r="U2442" s="40"/>
      <c r="V2442" s="40"/>
      <c r="W2442" s="40"/>
      <c r="X2442" s="40"/>
      <c r="Y2442" s="3"/>
      <c r="Z2442" s="3"/>
      <c r="AA2442" s="3"/>
      <c r="AB2442" s="3"/>
      <c r="AC2442" s="3"/>
      <c r="AD2442" s="3"/>
      <c r="AE2442" s="3"/>
      <c r="AF2442" s="3"/>
      <c r="AG2442" s="3"/>
      <c r="AH2442" s="3"/>
      <c r="AI2442" s="3"/>
      <c r="AJ2442" s="3"/>
      <c r="AK2442" s="3"/>
      <c r="AL2442" s="3"/>
    </row>
    <row r="2443" ht="15.75" customHeight="1">
      <c r="A2443" s="27">
        <f t="shared" si="21"/>
        <v>1322</v>
      </c>
      <c r="B2443" s="28" t="s">
        <v>8488</v>
      </c>
      <c r="C2443" s="43" t="s">
        <v>8489</v>
      </c>
      <c r="D2443" s="30" t="s">
        <v>8490</v>
      </c>
      <c r="E2443" s="28" t="s">
        <v>31</v>
      </c>
      <c r="F2443" s="28" t="s">
        <v>29</v>
      </c>
      <c r="G2443" s="28" t="s">
        <v>30</v>
      </c>
      <c r="H2443" s="28"/>
      <c r="I2443" s="28" t="s">
        <v>30</v>
      </c>
      <c r="J2443" s="28">
        <v>88.0</v>
      </c>
      <c r="K2443" s="28"/>
      <c r="L2443" s="28" t="s">
        <v>8491</v>
      </c>
      <c r="M2443" s="28" t="s">
        <v>161</v>
      </c>
      <c r="N2443" s="28">
        <v>2011.0</v>
      </c>
      <c r="O2443" s="142">
        <v>13.0</v>
      </c>
      <c r="P2443" s="28">
        <v>1.0</v>
      </c>
      <c r="Q2443" s="94">
        <v>1.0</v>
      </c>
      <c r="R2443" s="33"/>
      <c r="S2443" s="34"/>
      <c r="T2443" s="34"/>
      <c r="U2443" s="34"/>
      <c r="V2443" s="34"/>
      <c r="W2443" s="34"/>
      <c r="X2443" s="34"/>
      <c r="Y2443" s="45"/>
      <c r="Z2443" s="45"/>
      <c r="AA2443" s="45"/>
      <c r="AB2443" s="45"/>
      <c r="AC2443" s="45"/>
      <c r="AD2443" s="45"/>
      <c r="AE2443" s="45"/>
      <c r="AF2443" s="45"/>
      <c r="AG2443" s="45"/>
      <c r="AH2443" s="45"/>
      <c r="AI2443" s="45"/>
      <c r="AJ2443" s="45"/>
      <c r="AK2443" s="45"/>
      <c r="AL2443" s="45"/>
    </row>
    <row r="2444" ht="15.75" customHeight="1">
      <c r="A2444" s="27">
        <f t="shared" si="21"/>
        <v>1323</v>
      </c>
      <c r="B2444" s="28" t="s">
        <v>31</v>
      </c>
      <c r="C2444" s="43" t="s">
        <v>8492</v>
      </c>
      <c r="D2444" s="30" t="s">
        <v>8493</v>
      </c>
      <c r="E2444" s="28"/>
      <c r="F2444" s="28" t="s">
        <v>29</v>
      </c>
      <c r="G2444" s="28" t="s">
        <v>30</v>
      </c>
      <c r="H2444" s="28"/>
      <c r="I2444" s="28" t="s">
        <v>30</v>
      </c>
      <c r="J2444" s="28">
        <v>88.0</v>
      </c>
      <c r="K2444" s="28"/>
      <c r="L2444" s="28" t="s">
        <v>8494</v>
      </c>
      <c r="M2444" s="28" t="s">
        <v>146</v>
      </c>
      <c r="N2444" s="28">
        <v>2007.0</v>
      </c>
      <c r="O2444" s="142">
        <v>13.0</v>
      </c>
      <c r="P2444" s="28">
        <v>1.0</v>
      </c>
      <c r="Q2444" s="32">
        <v>1.0</v>
      </c>
      <c r="R2444" s="33"/>
      <c r="S2444" s="34"/>
      <c r="T2444" s="34"/>
      <c r="U2444" s="34"/>
      <c r="V2444" s="34"/>
      <c r="W2444" s="34"/>
      <c r="X2444" s="34"/>
      <c r="Y2444" s="45"/>
      <c r="Z2444" s="45"/>
      <c r="AA2444" s="45"/>
      <c r="AB2444" s="45"/>
      <c r="AC2444" s="45"/>
      <c r="AD2444" s="45"/>
      <c r="AE2444" s="45"/>
      <c r="AF2444" s="45"/>
      <c r="AG2444" s="45"/>
      <c r="AH2444" s="45"/>
      <c r="AI2444" s="45"/>
      <c r="AJ2444" s="45"/>
      <c r="AK2444" s="45"/>
      <c r="AL2444" s="45"/>
    </row>
    <row r="2445" ht="15.75" customHeight="1">
      <c r="A2445" s="27">
        <f t="shared" si="21"/>
        <v>1324</v>
      </c>
      <c r="B2445" s="132" t="s">
        <v>8495</v>
      </c>
      <c r="C2445" s="132" t="s">
        <v>8496</v>
      </c>
      <c r="D2445" s="131" t="s">
        <v>8497</v>
      </c>
      <c r="E2445" s="33"/>
      <c r="F2445" s="132" t="s">
        <v>29</v>
      </c>
      <c r="G2445" s="132" t="s">
        <v>30</v>
      </c>
      <c r="H2445" s="33"/>
      <c r="I2445" s="132" t="s">
        <v>30</v>
      </c>
      <c r="J2445" s="132">
        <v>66.0</v>
      </c>
      <c r="K2445" s="33"/>
      <c r="L2445" s="132" t="s">
        <v>8498</v>
      </c>
      <c r="M2445" s="132" t="s">
        <v>8499</v>
      </c>
      <c r="N2445" s="132">
        <v>1996.0</v>
      </c>
      <c r="O2445" s="142">
        <v>13.0</v>
      </c>
      <c r="P2445" s="132">
        <v>1.0</v>
      </c>
      <c r="Q2445" s="132">
        <v>1.0</v>
      </c>
      <c r="R2445" s="84"/>
      <c r="S2445" s="34"/>
      <c r="T2445" s="34"/>
      <c r="U2445" s="34"/>
      <c r="V2445" s="34"/>
      <c r="W2445" s="34"/>
      <c r="X2445" s="34"/>
      <c r="Y2445" s="3"/>
      <c r="Z2445" s="3"/>
      <c r="AA2445" s="3"/>
      <c r="AB2445" s="3"/>
      <c r="AC2445" s="3"/>
      <c r="AD2445" s="3"/>
      <c r="AE2445" s="3"/>
      <c r="AF2445" s="3"/>
      <c r="AG2445" s="3"/>
      <c r="AH2445" s="3"/>
      <c r="AI2445" s="3"/>
      <c r="AJ2445" s="3"/>
      <c r="AK2445" s="3"/>
      <c r="AL2445" s="3"/>
    </row>
    <row r="2446" ht="15.75" customHeight="1">
      <c r="A2446" s="27">
        <f t="shared" si="21"/>
        <v>1325</v>
      </c>
      <c r="B2446" s="28" t="s">
        <v>8500</v>
      </c>
      <c r="C2446" s="43" t="s">
        <v>8501</v>
      </c>
      <c r="D2446" s="30" t="s">
        <v>8502</v>
      </c>
      <c r="E2446" s="28" t="s">
        <v>144</v>
      </c>
      <c r="F2446" s="28" t="s">
        <v>29</v>
      </c>
      <c r="G2446" s="28" t="s">
        <v>30</v>
      </c>
      <c r="H2446" s="28"/>
      <c r="I2446" s="28" t="s">
        <v>30</v>
      </c>
      <c r="J2446" s="28">
        <f>312+6</f>
        <v>318</v>
      </c>
      <c r="K2446" s="28"/>
      <c r="L2446" s="28" t="s">
        <v>8503</v>
      </c>
      <c r="M2446" s="28" t="s">
        <v>8504</v>
      </c>
      <c r="N2446" s="28">
        <v>1987.0</v>
      </c>
      <c r="O2446" s="60">
        <v>13.0</v>
      </c>
      <c r="P2446" s="28">
        <v>1.0</v>
      </c>
      <c r="Q2446" s="32">
        <v>1.0</v>
      </c>
      <c r="R2446" s="33"/>
      <c r="S2446" s="40"/>
      <c r="T2446" s="40"/>
      <c r="U2446" s="40"/>
      <c r="V2446" s="40"/>
      <c r="W2446" s="40"/>
      <c r="X2446" s="40"/>
      <c r="Y2446" s="3"/>
      <c r="Z2446" s="3"/>
      <c r="AA2446" s="3"/>
      <c r="AB2446" s="3"/>
      <c r="AC2446" s="3"/>
      <c r="AD2446" s="3"/>
      <c r="AE2446" s="3"/>
      <c r="AF2446" s="3"/>
      <c r="AG2446" s="3"/>
      <c r="AH2446" s="3"/>
      <c r="AI2446" s="3"/>
      <c r="AJ2446" s="3"/>
      <c r="AK2446" s="3"/>
      <c r="AL2446" s="3"/>
    </row>
    <row r="2447" ht="15.75" customHeight="1">
      <c r="A2447" s="27">
        <f t="shared" si="21"/>
        <v>1326</v>
      </c>
      <c r="B2447" s="28"/>
      <c r="C2447" s="43" t="s">
        <v>8505</v>
      </c>
      <c r="D2447" s="30" t="s">
        <v>8506</v>
      </c>
      <c r="E2447" s="28" t="s">
        <v>31</v>
      </c>
      <c r="F2447" s="28" t="s">
        <v>29</v>
      </c>
      <c r="G2447" s="28" t="s">
        <v>30</v>
      </c>
      <c r="H2447" s="28"/>
      <c r="I2447" s="28" t="s">
        <v>30</v>
      </c>
      <c r="J2447" s="28">
        <f>275+20</f>
        <v>295</v>
      </c>
      <c r="K2447" s="28"/>
      <c r="L2447" s="202" t="s">
        <v>8507</v>
      </c>
      <c r="M2447" s="28" t="s">
        <v>8508</v>
      </c>
      <c r="N2447" s="28">
        <v>1988.0</v>
      </c>
      <c r="O2447" s="60">
        <v>13.0</v>
      </c>
      <c r="P2447" s="28">
        <v>1.0</v>
      </c>
      <c r="Q2447" s="32">
        <v>1.0</v>
      </c>
      <c r="R2447" s="33"/>
      <c r="S2447" s="185"/>
      <c r="T2447" s="185"/>
      <c r="U2447" s="185"/>
      <c r="V2447" s="185"/>
      <c r="W2447" s="185"/>
      <c r="X2447" s="185"/>
      <c r="Y2447" s="45"/>
      <c r="Z2447" s="45"/>
      <c r="AA2447" s="45"/>
      <c r="AB2447" s="45"/>
      <c r="AC2447" s="45"/>
      <c r="AD2447" s="45"/>
      <c r="AE2447" s="45"/>
      <c r="AF2447" s="45"/>
      <c r="AG2447" s="45"/>
      <c r="AH2447" s="45"/>
      <c r="AI2447" s="45"/>
      <c r="AJ2447" s="45"/>
      <c r="AK2447" s="45"/>
      <c r="AL2447" s="45"/>
    </row>
    <row r="2448" ht="15.75" customHeight="1">
      <c r="A2448" s="27">
        <f t="shared" si="21"/>
        <v>1327</v>
      </c>
      <c r="B2448" s="28" t="s">
        <v>8509</v>
      </c>
      <c r="C2448" s="43" t="s">
        <v>8510</v>
      </c>
      <c r="D2448" s="30" t="s">
        <v>8511</v>
      </c>
      <c r="E2448" s="28" t="s">
        <v>31</v>
      </c>
      <c r="F2448" s="28" t="s">
        <v>29</v>
      </c>
      <c r="G2448" s="28" t="s">
        <v>30</v>
      </c>
      <c r="H2448" s="28"/>
      <c r="I2448" s="28" t="s">
        <v>30</v>
      </c>
      <c r="J2448" s="28">
        <v>66.0</v>
      </c>
      <c r="K2448" s="28"/>
      <c r="L2448" s="28" t="s">
        <v>8512</v>
      </c>
      <c r="M2448" s="28" t="s">
        <v>151</v>
      </c>
      <c r="N2448" s="28">
        <v>1988.0</v>
      </c>
      <c r="O2448" s="60">
        <v>13.0</v>
      </c>
      <c r="P2448" s="28">
        <v>1.0</v>
      </c>
      <c r="Q2448" s="32">
        <v>1.0</v>
      </c>
      <c r="R2448" s="33"/>
      <c r="S2448" s="40"/>
      <c r="T2448" s="40"/>
      <c r="U2448" s="40"/>
      <c r="V2448" s="40"/>
      <c r="W2448" s="40"/>
      <c r="X2448" s="40"/>
      <c r="Y2448" s="45"/>
      <c r="Z2448" s="45"/>
      <c r="AA2448" s="45"/>
      <c r="AB2448" s="45"/>
      <c r="AC2448" s="45"/>
      <c r="AD2448" s="45"/>
      <c r="AE2448" s="45"/>
      <c r="AF2448" s="45"/>
      <c r="AG2448" s="45"/>
      <c r="AH2448" s="45"/>
      <c r="AI2448" s="45"/>
      <c r="AJ2448" s="45"/>
      <c r="AK2448" s="45"/>
      <c r="AL2448" s="45"/>
    </row>
    <row r="2449" ht="15.75" customHeight="1">
      <c r="A2449" s="27">
        <f t="shared" si="21"/>
        <v>1328</v>
      </c>
      <c r="B2449" s="28" t="s">
        <v>31</v>
      </c>
      <c r="C2449" s="43" t="s">
        <v>8513</v>
      </c>
      <c r="D2449" s="30" t="s">
        <v>8514</v>
      </c>
      <c r="E2449" s="28"/>
      <c r="F2449" s="28" t="s">
        <v>29</v>
      </c>
      <c r="G2449" s="28" t="s">
        <v>30</v>
      </c>
      <c r="H2449" s="28"/>
      <c r="I2449" s="28" t="s">
        <v>30</v>
      </c>
      <c r="J2449" s="28">
        <v>135.0</v>
      </c>
      <c r="K2449" s="28"/>
      <c r="L2449" s="28" t="s">
        <v>8515</v>
      </c>
      <c r="M2449" s="28" t="s">
        <v>8516</v>
      </c>
      <c r="N2449" s="28">
        <v>2008.0</v>
      </c>
      <c r="O2449" s="60">
        <v>13.0</v>
      </c>
      <c r="P2449" s="28">
        <v>2.0</v>
      </c>
      <c r="Q2449" s="94">
        <v>2.0</v>
      </c>
      <c r="R2449" s="33"/>
      <c r="S2449" s="40"/>
      <c r="T2449" s="40"/>
      <c r="U2449" s="40"/>
      <c r="V2449" s="40"/>
      <c r="W2449" s="40"/>
      <c r="X2449" s="40"/>
      <c r="Y2449" s="3"/>
      <c r="Z2449" s="3"/>
      <c r="AA2449" s="3"/>
      <c r="AB2449" s="3"/>
      <c r="AC2449" s="3"/>
      <c r="AD2449" s="3"/>
      <c r="AE2449" s="3"/>
      <c r="AF2449" s="3"/>
      <c r="AG2449" s="3"/>
      <c r="AH2449" s="3"/>
      <c r="AI2449" s="3"/>
      <c r="AJ2449" s="3"/>
      <c r="AK2449" s="3"/>
      <c r="AL2449" s="3"/>
    </row>
    <row r="2450" ht="15.75" customHeight="1">
      <c r="A2450" s="27">
        <f t="shared" si="21"/>
        <v>1329</v>
      </c>
      <c r="B2450" s="28" t="s">
        <v>31</v>
      </c>
      <c r="C2450" s="43" t="s">
        <v>8517</v>
      </c>
      <c r="D2450" s="30" t="s">
        <v>8518</v>
      </c>
      <c r="E2450" s="28" t="s">
        <v>144</v>
      </c>
      <c r="F2450" s="28" t="s">
        <v>29</v>
      </c>
      <c r="G2450" s="28" t="s">
        <v>30</v>
      </c>
      <c r="H2450" s="28"/>
      <c r="I2450" s="28" t="s">
        <v>30</v>
      </c>
      <c r="J2450" s="28">
        <v>147.0</v>
      </c>
      <c r="K2450" s="28"/>
      <c r="L2450" s="28" t="s">
        <v>8519</v>
      </c>
      <c r="M2450" s="28" t="s">
        <v>151</v>
      </c>
      <c r="N2450" s="28">
        <v>1975.0</v>
      </c>
      <c r="O2450" s="60">
        <v>13.0</v>
      </c>
      <c r="P2450" s="28">
        <v>1.0</v>
      </c>
      <c r="Q2450" s="32">
        <v>1.0</v>
      </c>
      <c r="R2450" s="33"/>
      <c r="S2450" s="34"/>
      <c r="T2450" s="34"/>
      <c r="U2450" s="34"/>
      <c r="V2450" s="34"/>
      <c r="W2450" s="34"/>
      <c r="X2450" s="34"/>
      <c r="Y2450" s="45"/>
      <c r="Z2450" s="45"/>
      <c r="AA2450" s="45"/>
      <c r="AB2450" s="45"/>
      <c r="AC2450" s="45"/>
      <c r="AD2450" s="45"/>
      <c r="AE2450" s="45"/>
      <c r="AF2450" s="45"/>
      <c r="AG2450" s="45"/>
      <c r="AH2450" s="45"/>
      <c r="AI2450" s="45"/>
      <c r="AJ2450" s="45"/>
      <c r="AK2450" s="45"/>
      <c r="AL2450" s="45"/>
    </row>
    <row r="2451" ht="15.75" customHeight="1">
      <c r="A2451" s="27">
        <f t="shared" si="21"/>
        <v>1330</v>
      </c>
      <c r="B2451" s="83"/>
      <c r="C2451" s="121" t="s">
        <v>8520</v>
      </c>
      <c r="D2451" s="119" t="s">
        <v>8521</v>
      </c>
      <c r="E2451" s="121" t="s">
        <v>144</v>
      </c>
      <c r="F2451" s="121" t="s">
        <v>29</v>
      </c>
      <c r="G2451" s="121" t="s">
        <v>30</v>
      </c>
      <c r="H2451" s="83"/>
      <c r="I2451" s="121" t="s">
        <v>30</v>
      </c>
      <c r="J2451" s="121">
        <v>184.0</v>
      </c>
      <c r="K2451" s="83"/>
      <c r="L2451" s="121" t="s">
        <v>8522</v>
      </c>
      <c r="M2451" s="121" t="s">
        <v>8523</v>
      </c>
      <c r="N2451" s="121">
        <v>2011.0</v>
      </c>
      <c r="O2451" s="60">
        <v>13.0</v>
      </c>
      <c r="P2451" s="121">
        <v>1.0</v>
      </c>
      <c r="Q2451" s="121">
        <v>1.0</v>
      </c>
      <c r="R2451" s="84"/>
      <c r="S2451" s="185"/>
      <c r="T2451" s="185"/>
      <c r="U2451" s="185"/>
      <c r="V2451" s="185"/>
      <c r="W2451" s="185"/>
      <c r="X2451" s="185"/>
      <c r="Y2451" s="45"/>
      <c r="Z2451" s="45"/>
      <c r="AA2451" s="45"/>
      <c r="AB2451" s="45"/>
      <c r="AC2451" s="45"/>
      <c r="AD2451" s="45"/>
      <c r="AE2451" s="45"/>
      <c r="AF2451" s="45"/>
      <c r="AG2451" s="45"/>
      <c r="AH2451" s="45"/>
      <c r="AI2451" s="45"/>
      <c r="AJ2451" s="45"/>
      <c r="AK2451" s="45"/>
      <c r="AL2451" s="45"/>
    </row>
    <row r="2452" ht="15.75" customHeight="1">
      <c r="A2452" s="27">
        <f t="shared" si="21"/>
        <v>1331</v>
      </c>
      <c r="B2452" s="28" t="s">
        <v>8524</v>
      </c>
      <c r="C2452" s="29" t="s">
        <v>8525</v>
      </c>
      <c r="D2452" s="30" t="s">
        <v>8526</v>
      </c>
      <c r="E2452" s="28" t="s">
        <v>144</v>
      </c>
      <c r="F2452" s="28" t="s">
        <v>29</v>
      </c>
      <c r="G2452" s="28" t="s">
        <v>30</v>
      </c>
      <c r="H2452" s="28"/>
      <c r="I2452" s="28" t="s">
        <v>30</v>
      </c>
      <c r="J2452" s="28">
        <v>400.0</v>
      </c>
      <c r="K2452" s="28"/>
      <c r="L2452" s="28" t="s">
        <v>8527</v>
      </c>
      <c r="M2452" s="28" t="s">
        <v>8528</v>
      </c>
      <c r="N2452" s="28">
        <v>2012.0</v>
      </c>
      <c r="O2452" s="60">
        <v>13.0</v>
      </c>
      <c r="P2452" s="28">
        <v>1.0</v>
      </c>
      <c r="Q2452" s="32">
        <v>1.0</v>
      </c>
      <c r="R2452" s="33"/>
      <c r="S2452" s="34"/>
      <c r="T2452" s="34"/>
      <c r="U2452" s="34"/>
      <c r="V2452" s="34"/>
      <c r="W2452" s="34"/>
      <c r="X2452" s="34"/>
      <c r="Y2452" s="3"/>
      <c r="Z2452" s="3"/>
      <c r="AA2452" s="3"/>
      <c r="AB2452" s="3"/>
      <c r="AC2452" s="3"/>
      <c r="AD2452" s="3"/>
      <c r="AE2452" s="3"/>
      <c r="AF2452" s="3"/>
      <c r="AG2452" s="3"/>
      <c r="AH2452" s="3"/>
      <c r="AI2452" s="3"/>
      <c r="AJ2452" s="3"/>
      <c r="AK2452" s="3"/>
      <c r="AL2452" s="3"/>
    </row>
    <row r="2453" ht="15.75" customHeight="1">
      <c r="A2453" s="27">
        <f t="shared" si="21"/>
        <v>1332</v>
      </c>
      <c r="B2453" s="28" t="s">
        <v>31</v>
      </c>
      <c r="C2453" s="43" t="s">
        <v>8529</v>
      </c>
      <c r="D2453" s="30" t="s">
        <v>8530</v>
      </c>
      <c r="E2453" s="28" t="s">
        <v>144</v>
      </c>
      <c r="F2453" s="28" t="s">
        <v>29</v>
      </c>
      <c r="G2453" s="28" t="s">
        <v>30</v>
      </c>
      <c r="H2453" s="28"/>
      <c r="I2453" s="28" t="s">
        <v>30</v>
      </c>
      <c r="J2453" s="28">
        <v>95.0</v>
      </c>
      <c r="K2453" s="28"/>
      <c r="L2453" s="28" t="s">
        <v>8531</v>
      </c>
      <c r="M2453" s="28" t="s">
        <v>151</v>
      </c>
      <c r="N2453" s="28">
        <v>1979.0</v>
      </c>
      <c r="O2453" s="60">
        <v>13.0</v>
      </c>
      <c r="P2453" s="28">
        <v>1.0</v>
      </c>
      <c r="Q2453" s="32">
        <v>1.0</v>
      </c>
      <c r="R2453" s="33"/>
      <c r="S2453" s="185"/>
      <c r="T2453" s="185"/>
      <c r="U2453" s="185"/>
      <c r="V2453" s="185"/>
      <c r="W2453" s="185"/>
      <c r="X2453" s="185"/>
      <c r="Y2453" s="3"/>
      <c r="Z2453" s="3"/>
      <c r="AA2453" s="3"/>
      <c r="AB2453" s="3"/>
      <c r="AC2453" s="3"/>
      <c r="AD2453" s="3"/>
      <c r="AE2453" s="3"/>
      <c r="AF2453" s="3"/>
      <c r="AG2453" s="3"/>
      <c r="AH2453" s="3"/>
      <c r="AI2453" s="3"/>
      <c r="AJ2453" s="3"/>
      <c r="AK2453" s="3"/>
      <c r="AL2453" s="3"/>
    </row>
    <row r="2454" ht="15.75" customHeight="1">
      <c r="A2454" s="27">
        <f t="shared" si="21"/>
        <v>1333</v>
      </c>
      <c r="B2454" s="28" t="s">
        <v>8532</v>
      </c>
      <c r="C2454" s="43" t="s">
        <v>8533</v>
      </c>
      <c r="D2454" s="30" t="s">
        <v>8534</v>
      </c>
      <c r="E2454" s="28" t="s">
        <v>31</v>
      </c>
      <c r="F2454" s="28" t="s">
        <v>29</v>
      </c>
      <c r="G2454" s="28" t="s">
        <v>37</v>
      </c>
      <c r="H2454" s="28"/>
      <c r="I2454" s="28" t="s">
        <v>38</v>
      </c>
      <c r="J2454" s="28">
        <v>177.0</v>
      </c>
      <c r="K2454" s="28"/>
      <c r="L2454" s="28" t="s">
        <v>857</v>
      </c>
      <c r="M2454" s="28" t="s">
        <v>230</v>
      </c>
      <c r="N2454" s="28">
        <v>2011.0</v>
      </c>
      <c r="O2454" s="60">
        <v>13.0</v>
      </c>
      <c r="P2454" s="28">
        <v>1.0</v>
      </c>
      <c r="Q2454" s="94">
        <v>1.0</v>
      </c>
      <c r="R2454" s="33"/>
      <c r="S2454" s="34"/>
      <c r="T2454" s="34"/>
      <c r="U2454" s="34"/>
      <c r="V2454" s="34"/>
      <c r="W2454" s="34"/>
      <c r="X2454" s="34"/>
      <c r="Y2454" s="3"/>
      <c r="Z2454" s="3"/>
      <c r="AA2454" s="3"/>
      <c r="AB2454" s="3"/>
      <c r="AC2454" s="3"/>
      <c r="AD2454" s="3"/>
      <c r="AE2454" s="3"/>
      <c r="AF2454" s="3"/>
      <c r="AG2454" s="3"/>
      <c r="AH2454" s="3"/>
      <c r="AI2454" s="3"/>
      <c r="AJ2454" s="3"/>
      <c r="AK2454" s="3"/>
      <c r="AL2454" s="3"/>
    </row>
    <row r="2455" ht="15.75" customHeight="1">
      <c r="A2455" s="27">
        <f t="shared" si="21"/>
        <v>1334</v>
      </c>
      <c r="B2455" s="28" t="s">
        <v>8535</v>
      </c>
      <c r="C2455" s="43" t="s">
        <v>8536</v>
      </c>
      <c r="D2455" s="30" t="s">
        <v>8537</v>
      </c>
      <c r="E2455" s="28" t="s">
        <v>31</v>
      </c>
      <c r="F2455" s="28" t="s">
        <v>29</v>
      </c>
      <c r="G2455" s="28" t="s">
        <v>30</v>
      </c>
      <c r="H2455" s="28"/>
      <c r="I2455" s="28" t="s">
        <v>30</v>
      </c>
      <c r="J2455" s="28">
        <v>95.0</v>
      </c>
      <c r="K2455" s="28"/>
      <c r="L2455" s="28" t="s">
        <v>8538</v>
      </c>
      <c r="M2455" s="28" t="s">
        <v>151</v>
      </c>
      <c r="N2455" s="28">
        <v>2011.0</v>
      </c>
      <c r="O2455" s="60">
        <v>13.0</v>
      </c>
      <c r="P2455" s="28">
        <v>1.0</v>
      </c>
      <c r="Q2455" s="32">
        <v>1.0</v>
      </c>
      <c r="R2455" s="33"/>
      <c r="S2455" s="34"/>
      <c r="T2455" s="34"/>
      <c r="U2455" s="34"/>
      <c r="V2455" s="34"/>
      <c r="W2455" s="34"/>
      <c r="X2455" s="34"/>
      <c r="Y2455" s="3"/>
      <c r="Z2455" s="3"/>
      <c r="AA2455" s="3"/>
      <c r="AB2455" s="3"/>
      <c r="AC2455" s="3"/>
      <c r="AD2455" s="3"/>
      <c r="AE2455" s="3"/>
      <c r="AF2455" s="3"/>
      <c r="AG2455" s="3"/>
      <c r="AH2455" s="3"/>
      <c r="AI2455" s="3"/>
      <c r="AJ2455" s="3"/>
      <c r="AK2455" s="3"/>
      <c r="AL2455" s="3"/>
    </row>
    <row r="2456" ht="15.75" customHeight="1">
      <c r="A2456" s="27">
        <f t="shared" si="21"/>
        <v>1335</v>
      </c>
      <c r="B2456" s="28" t="s">
        <v>31</v>
      </c>
      <c r="C2456" s="43" t="s">
        <v>8539</v>
      </c>
      <c r="D2456" s="30" t="s">
        <v>8540</v>
      </c>
      <c r="E2456" s="28"/>
      <c r="F2456" s="28" t="s">
        <v>29</v>
      </c>
      <c r="G2456" s="28" t="s">
        <v>30</v>
      </c>
      <c r="H2456" s="28"/>
      <c r="I2456" s="28" t="s">
        <v>30</v>
      </c>
      <c r="J2456" s="28">
        <v>61.0</v>
      </c>
      <c r="K2456" s="28"/>
      <c r="L2456" s="28" t="s">
        <v>3055</v>
      </c>
      <c r="M2456" s="28" t="s">
        <v>3056</v>
      </c>
      <c r="N2456" s="28" t="s">
        <v>31</v>
      </c>
      <c r="O2456" s="60">
        <v>13.0</v>
      </c>
      <c r="P2456" s="28">
        <v>1.0</v>
      </c>
      <c r="Q2456" s="32">
        <v>1.0</v>
      </c>
      <c r="R2456" s="33"/>
      <c r="S2456" s="34"/>
      <c r="T2456" s="34"/>
      <c r="U2456" s="34"/>
      <c r="V2456" s="34"/>
      <c r="W2456" s="34"/>
      <c r="X2456" s="34"/>
      <c r="Y2456" s="3"/>
      <c r="Z2456" s="3"/>
      <c r="AA2456" s="3"/>
      <c r="AB2456" s="3"/>
      <c r="AC2456" s="3"/>
      <c r="AD2456" s="3"/>
      <c r="AE2456" s="3"/>
      <c r="AF2456" s="3"/>
      <c r="AG2456" s="3"/>
      <c r="AH2456" s="3"/>
      <c r="AI2456" s="3"/>
      <c r="AJ2456" s="3"/>
      <c r="AK2456" s="3"/>
      <c r="AL2456" s="3"/>
    </row>
    <row r="2457" ht="15.75" customHeight="1">
      <c r="A2457" s="27">
        <f t="shared" si="21"/>
        <v>1336</v>
      </c>
      <c r="B2457" s="28" t="s">
        <v>31</v>
      </c>
      <c r="C2457" s="43" t="s">
        <v>8541</v>
      </c>
      <c r="D2457" s="30" t="s">
        <v>8542</v>
      </c>
      <c r="E2457" s="28" t="s">
        <v>31</v>
      </c>
      <c r="F2457" s="28" t="s">
        <v>29</v>
      </c>
      <c r="G2457" s="28" t="s">
        <v>30</v>
      </c>
      <c r="H2457" s="28"/>
      <c r="I2457" s="28" t="s">
        <v>30</v>
      </c>
      <c r="J2457" s="28">
        <v>156.0</v>
      </c>
      <c r="K2457" s="28"/>
      <c r="L2457" s="28" t="s">
        <v>8543</v>
      </c>
      <c r="M2457" s="28" t="s">
        <v>151</v>
      </c>
      <c r="N2457" s="28">
        <v>1983.0</v>
      </c>
      <c r="O2457" s="60">
        <v>13.0</v>
      </c>
      <c r="P2457" s="28">
        <v>2.0</v>
      </c>
      <c r="Q2457" s="32">
        <v>2.0</v>
      </c>
      <c r="R2457" s="33"/>
      <c r="S2457" s="40"/>
      <c r="T2457" s="40"/>
      <c r="U2457" s="40"/>
      <c r="V2457" s="40"/>
      <c r="W2457" s="40"/>
      <c r="X2457" s="40"/>
      <c r="Y2457" s="3"/>
      <c r="Z2457" s="3"/>
      <c r="AA2457" s="3"/>
      <c r="AB2457" s="3"/>
      <c r="AC2457" s="3"/>
      <c r="AD2457" s="3"/>
      <c r="AE2457" s="3"/>
      <c r="AF2457" s="3"/>
      <c r="AG2457" s="3"/>
      <c r="AH2457" s="3"/>
      <c r="AI2457" s="3"/>
      <c r="AJ2457" s="3"/>
      <c r="AK2457" s="3"/>
      <c r="AL2457" s="3"/>
    </row>
    <row r="2458" ht="15.75" customHeight="1">
      <c r="A2458" s="27">
        <f t="shared" si="21"/>
        <v>1337</v>
      </c>
      <c r="B2458" s="28" t="s">
        <v>8544</v>
      </c>
      <c r="C2458" s="43" t="s">
        <v>8545</v>
      </c>
      <c r="D2458" s="30" t="s">
        <v>8546</v>
      </c>
      <c r="E2458" s="28" t="s">
        <v>144</v>
      </c>
      <c r="F2458" s="28" t="s">
        <v>29</v>
      </c>
      <c r="G2458" s="28" t="s">
        <v>30</v>
      </c>
      <c r="H2458" s="28"/>
      <c r="I2458" s="28" t="s">
        <v>30</v>
      </c>
      <c r="J2458" s="28">
        <f>56</f>
        <v>56</v>
      </c>
      <c r="K2458" s="28"/>
      <c r="L2458" s="28" t="s">
        <v>8547</v>
      </c>
      <c r="M2458" s="28" t="s">
        <v>8548</v>
      </c>
      <c r="N2458" s="28">
        <v>2003.0</v>
      </c>
      <c r="O2458" s="60">
        <v>13.0</v>
      </c>
      <c r="P2458" s="28">
        <v>1.0</v>
      </c>
      <c r="Q2458" s="32">
        <v>1.0</v>
      </c>
      <c r="R2458" s="33"/>
      <c r="S2458" s="34"/>
      <c r="T2458" s="34"/>
      <c r="U2458" s="34"/>
      <c r="V2458" s="34"/>
      <c r="W2458" s="34"/>
      <c r="X2458" s="34"/>
      <c r="Y2458" s="3"/>
      <c r="Z2458" s="3"/>
      <c r="AA2458" s="3"/>
      <c r="AB2458" s="3"/>
      <c r="AC2458" s="3"/>
      <c r="AD2458" s="3"/>
      <c r="AE2458" s="3"/>
      <c r="AF2458" s="3"/>
      <c r="AG2458" s="3"/>
      <c r="AH2458" s="3"/>
      <c r="AI2458" s="3"/>
      <c r="AJ2458" s="3"/>
      <c r="AK2458" s="3"/>
      <c r="AL2458" s="3"/>
    </row>
    <row r="2459" ht="15.75" customHeight="1">
      <c r="A2459" s="27">
        <f t="shared" si="21"/>
        <v>1338</v>
      </c>
      <c r="B2459" s="28" t="s">
        <v>8549</v>
      </c>
      <c r="C2459" s="43" t="s">
        <v>8550</v>
      </c>
      <c r="D2459" s="30" t="s">
        <v>8551</v>
      </c>
      <c r="E2459" s="28" t="s">
        <v>144</v>
      </c>
      <c r="F2459" s="28" t="s">
        <v>29</v>
      </c>
      <c r="G2459" s="28" t="s">
        <v>30</v>
      </c>
      <c r="H2459" s="28"/>
      <c r="I2459" s="28" t="s">
        <v>30</v>
      </c>
      <c r="J2459" s="28">
        <f>304</f>
        <v>304</v>
      </c>
      <c r="K2459" s="28"/>
      <c r="L2459" s="28" t="s">
        <v>8552</v>
      </c>
      <c r="M2459" s="28" t="s">
        <v>4815</v>
      </c>
      <c r="N2459" s="28">
        <v>2010.0</v>
      </c>
      <c r="O2459" s="60">
        <v>13.0</v>
      </c>
      <c r="P2459" s="28">
        <v>1.0</v>
      </c>
      <c r="Q2459" s="32">
        <v>1.0</v>
      </c>
      <c r="R2459" s="33"/>
      <c r="S2459" s="185"/>
      <c r="T2459" s="185"/>
      <c r="U2459" s="185"/>
      <c r="V2459" s="185"/>
      <c r="W2459" s="185"/>
      <c r="X2459" s="185"/>
      <c r="Y2459" s="3"/>
      <c r="Z2459" s="3"/>
      <c r="AA2459" s="3"/>
      <c r="AB2459" s="3"/>
      <c r="AC2459" s="3"/>
      <c r="AD2459" s="3"/>
      <c r="AE2459" s="3"/>
      <c r="AF2459" s="3"/>
      <c r="AG2459" s="3"/>
      <c r="AH2459" s="3"/>
      <c r="AI2459" s="3"/>
      <c r="AJ2459" s="3"/>
      <c r="AK2459" s="3"/>
      <c r="AL2459" s="3"/>
    </row>
    <row r="2460" ht="15.75" customHeight="1">
      <c r="A2460" s="27">
        <f t="shared" si="21"/>
        <v>1339</v>
      </c>
      <c r="B2460" s="28"/>
      <c r="C2460" s="43" t="s">
        <v>8553</v>
      </c>
      <c r="D2460" s="30" t="s">
        <v>8554</v>
      </c>
      <c r="E2460" s="28" t="s">
        <v>144</v>
      </c>
      <c r="F2460" s="28" t="s">
        <v>29</v>
      </c>
      <c r="G2460" s="28" t="s">
        <v>37</v>
      </c>
      <c r="H2460" s="28"/>
      <c r="I2460" s="28" t="s">
        <v>38</v>
      </c>
      <c r="J2460" s="28">
        <f>192</f>
        <v>192</v>
      </c>
      <c r="K2460" s="28"/>
      <c r="L2460" s="28" t="s">
        <v>8555</v>
      </c>
      <c r="M2460" s="28" t="s">
        <v>524</v>
      </c>
      <c r="N2460" s="28">
        <v>1955.0</v>
      </c>
      <c r="O2460" s="60">
        <v>13.0</v>
      </c>
      <c r="P2460" s="28">
        <v>1.0</v>
      </c>
      <c r="Q2460" s="32">
        <v>1.0</v>
      </c>
      <c r="R2460" s="33"/>
      <c r="S2460" s="34"/>
      <c r="T2460" s="34"/>
      <c r="U2460" s="34"/>
      <c r="V2460" s="34"/>
      <c r="W2460" s="34"/>
      <c r="X2460" s="34"/>
      <c r="Y2460" s="3"/>
      <c r="Z2460" s="3"/>
      <c r="AA2460" s="3"/>
      <c r="AB2460" s="3"/>
      <c r="AC2460" s="3"/>
      <c r="AD2460" s="3"/>
      <c r="AE2460" s="3"/>
      <c r="AF2460" s="3"/>
      <c r="AG2460" s="3"/>
      <c r="AH2460" s="3"/>
      <c r="AI2460" s="3"/>
      <c r="AJ2460" s="3"/>
      <c r="AK2460" s="3"/>
      <c r="AL2460" s="3"/>
    </row>
    <row r="2461" ht="15.75" customHeight="1">
      <c r="A2461" s="27">
        <f t="shared" si="21"/>
        <v>1340</v>
      </c>
      <c r="B2461" s="28" t="s">
        <v>8556</v>
      </c>
      <c r="C2461" s="43" t="s">
        <v>8557</v>
      </c>
      <c r="D2461" s="30" t="s">
        <v>8558</v>
      </c>
      <c r="E2461" s="28" t="s">
        <v>144</v>
      </c>
      <c r="F2461" s="28" t="s">
        <v>29</v>
      </c>
      <c r="G2461" s="28" t="s">
        <v>30</v>
      </c>
      <c r="H2461" s="28"/>
      <c r="I2461" s="28" t="s">
        <v>30</v>
      </c>
      <c r="J2461" s="28">
        <v>153.0</v>
      </c>
      <c r="K2461" s="28"/>
      <c r="L2461" s="28" t="s">
        <v>4008</v>
      </c>
      <c r="M2461" s="28" t="s">
        <v>4009</v>
      </c>
      <c r="N2461" s="28">
        <v>2008.0</v>
      </c>
      <c r="O2461" s="60">
        <v>13.0</v>
      </c>
      <c r="P2461" s="28">
        <v>1.0</v>
      </c>
      <c r="Q2461" s="32">
        <v>1.0</v>
      </c>
      <c r="R2461" s="33"/>
      <c r="S2461" s="34"/>
      <c r="T2461" s="34"/>
      <c r="U2461" s="34"/>
      <c r="V2461" s="34"/>
      <c r="W2461" s="34"/>
      <c r="X2461" s="34"/>
      <c r="Y2461" s="3"/>
      <c r="Z2461" s="3"/>
      <c r="AA2461" s="3"/>
      <c r="AB2461" s="3"/>
      <c r="AC2461" s="3"/>
      <c r="AD2461" s="3"/>
      <c r="AE2461" s="3"/>
      <c r="AF2461" s="3"/>
      <c r="AG2461" s="3"/>
      <c r="AH2461" s="3"/>
      <c r="AI2461" s="3"/>
      <c r="AJ2461" s="3"/>
      <c r="AK2461" s="3"/>
      <c r="AL2461" s="3"/>
    </row>
    <row r="2462" ht="15.75" customHeight="1">
      <c r="A2462" s="27">
        <f t="shared" si="21"/>
        <v>1341</v>
      </c>
      <c r="B2462" s="28" t="s">
        <v>31</v>
      </c>
      <c r="C2462" s="43" t="s">
        <v>8559</v>
      </c>
      <c r="D2462" s="30" t="s">
        <v>8560</v>
      </c>
      <c r="E2462" s="28" t="s">
        <v>144</v>
      </c>
      <c r="F2462" s="28" t="s">
        <v>29</v>
      </c>
      <c r="G2462" s="28" t="s">
        <v>30</v>
      </c>
      <c r="H2462" s="28"/>
      <c r="I2462" s="28" t="s">
        <v>30</v>
      </c>
      <c r="J2462" s="28">
        <v>227.0</v>
      </c>
      <c r="K2462" s="28"/>
      <c r="L2462" s="28" t="s">
        <v>8561</v>
      </c>
      <c r="M2462" s="28" t="s">
        <v>8562</v>
      </c>
      <c r="N2462" s="28">
        <v>1980.0</v>
      </c>
      <c r="O2462" s="60">
        <v>13.0</v>
      </c>
      <c r="P2462" s="28">
        <v>1.0</v>
      </c>
      <c r="Q2462" s="94">
        <v>1.0</v>
      </c>
      <c r="R2462" s="33"/>
      <c r="S2462" s="40"/>
      <c r="T2462" s="40"/>
      <c r="U2462" s="40"/>
      <c r="V2462" s="40"/>
      <c r="W2462" s="40"/>
      <c r="X2462" s="40"/>
      <c r="Y2462" s="3"/>
      <c r="Z2462" s="3"/>
      <c r="AA2462" s="3"/>
      <c r="AB2462" s="3"/>
      <c r="AC2462" s="3"/>
      <c r="AD2462" s="3"/>
      <c r="AE2462" s="3"/>
      <c r="AF2462" s="3"/>
      <c r="AG2462" s="3"/>
      <c r="AH2462" s="3"/>
      <c r="AI2462" s="3"/>
      <c r="AJ2462" s="3"/>
      <c r="AK2462" s="3"/>
      <c r="AL2462" s="3"/>
    </row>
    <row r="2463" ht="15.75" customHeight="1">
      <c r="A2463" s="27">
        <f t="shared" si="21"/>
        <v>1342</v>
      </c>
      <c r="B2463" s="28" t="s">
        <v>8563</v>
      </c>
      <c r="C2463" s="43" t="s">
        <v>8564</v>
      </c>
      <c r="D2463" s="30" t="s">
        <v>8565</v>
      </c>
      <c r="E2463" s="28" t="s">
        <v>144</v>
      </c>
      <c r="F2463" s="28" t="s">
        <v>29</v>
      </c>
      <c r="G2463" s="28" t="s">
        <v>30</v>
      </c>
      <c r="H2463" s="28"/>
      <c r="I2463" s="28" t="s">
        <v>30</v>
      </c>
      <c r="J2463" s="28">
        <v>148.0</v>
      </c>
      <c r="K2463" s="28"/>
      <c r="L2463" s="28" t="s">
        <v>8566</v>
      </c>
      <c r="M2463" s="28" t="s">
        <v>8019</v>
      </c>
      <c r="N2463" s="28">
        <v>2004.0</v>
      </c>
      <c r="O2463" s="60">
        <v>13.0</v>
      </c>
      <c r="P2463" s="28">
        <v>1.0</v>
      </c>
      <c r="Q2463" s="32">
        <v>1.0</v>
      </c>
      <c r="R2463" s="33"/>
      <c r="S2463" s="34"/>
      <c r="T2463" s="34"/>
      <c r="U2463" s="34"/>
      <c r="V2463" s="34"/>
      <c r="W2463" s="34"/>
      <c r="X2463" s="34"/>
      <c r="Y2463" s="3"/>
      <c r="Z2463" s="3"/>
      <c r="AA2463" s="3"/>
      <c r="AB2463" s="3"/>
      <c r="AC2463" s="3"/>
      <c r="AD2463" s="3"/>
      <c r="AE2463" s="3"/>
      <c r="AF2463" s="3"/>
      <c r="AG2463" s="3"/>
      <c r="AH2463" s="3"/>
      <c r="AI2463" s="3"/>
      <c r="AJ2463" s="3"/>
      <c r="AK2463" s="3"/>
      <c r="AL2463" s="3"/>
    </row>
    <row r="2464" ht="15.75" customHeight="1">
      <c r="A2464" s="27">
        <f t="shared" si="21"/>
        <v>1343</v>
      </c>
      <c r="B2464" s="28" t="s">
        <v>8567</v>
      </c>
      <c r="C2464" s="43" t="s">
        <v>8568</v>
      </c>
      <c r="D2464" s="30" t="s">
        <v>8569</v>
      </c>
      <c r="E2464" s="28" t="s">
        <v>31</v>
      </c>
      <c r="F2464" s="28" t="s">
        <v>29</v>
      </c>
      <c r="G2464" s="28" t="s">
        <v>37</v>
      </c>
      <c r="H2464" s="28"/>
      <c r="I2464" s="28" t="s">
        <v>38</v>
      </c>
      <c r="J2464" s="28">
        <f>228+12</f>
        <v>240</v>
      </c>
      <c r="K2464" s="28"/>
      <c r="L2464" s="28" t="s">
        <v>8570</v>
      </c>
      <c r="M2464" s="28" t="s">
        <v>156</v>
      </c>
      <c r="N2464" s="28">
        <v>2011.0</v>
      </c>
      <c r="O2464" s="60">
        <v>13.0</v>
      </c>
      <c r="P2464" s="28">
        <v>1.0</v>
      </c>
      <c r="Q2464" s="32">
        <v>1.0</v>
      </c>
      <c r="R2464" s="33"/>
      <c r="S2464" s="40"/>
      <c r="T2464" s="40"/>
      <c r="U2464" s="40"/>
      <c r="V2464" s="40"/>
      <c r="W2464" s="40"/>
      <c r="X2464" s="40"/>
      <c r="Y2464" s="45"/>
      <c r="Z2464" s="45"/>
      <c r="AA2464" s="45"/>
      <c r="AB2464" s="45"/>
      <c r="AC2464" s="45"/>
      <c r="AD2464" s="45"/>
      <c r="AE2464" s="45"/>
      <c r="AF2464" s="45"/>
      <c r="AG2464" s="45"/>
      <c r="AH2464" s="45"/>
      <c r="AI2464" s="45"/>
      <c r="AJ2464" s="45"/>
      <c r="AK2464" s="45"/>
      <c r="AL2464" s="45"/>
    </row>
    <row r="2465" ht="15.75" customHeight="1">
      <c r="A2465" s="27">
        <f t="shared" si="21"/>
        <v>1344</v>
      </c>
      <c r="B2465" s="28" t="s">
        <v>8571</v>
      </c>
      <c r="C2465" s="43" t="s">
        <v>8572</v>
      </c>
      <c r="D2465" s="30" t="s">
        <v>8573</v>
      </c>
      <c r="E2465" s="28"/>
      <c r="F2465" s="28" t="s">
        <v>29</v>
      </c>
      <c r="G2465" s="28" t="s">
        <v>30</v>
      </c>
      <c r="H2465" s="28"/>
      <c r="I2465" s="28" t="s">
        <v>30</v>
      </c>
      <c r="J2465" s="28">
        <v>39.0</v>
      </c>
      <c r="K2465" s="28"/>
      <c r="L2465" s="28" t="s">
        <v>8574</v>
      </c>
      <c r="M2465" s="28" t="s">
        <v>913</v>
      </c>
      <c r="N2465" s="28">
        <v>2011.0</v>
      </c>
      <c r="O2465" s="60">
        <v>13.0</v>
      </c>
      <c r="P2465" s="28">
        <v>1.0</v>
      </c>
      <c r="Q2465" s="94">
        <v>1.0</v>
      </c>
      <c r="R2465" s="33"/>
      <c r="S2465" s="185"/>
      <c r="T2465" s="185"/>
      <c r="U2465" s="185"/>
      <c r="V2465" s="185"/>
      <c r="W2465" s="185"/>
      <c r="X2465" s="185"/>
      <c r="Y2465" s="45"/>
      <c r="Z2465" s="45"/>
      <c r="AA2465" s="45"/>
      <c r="AB2465" s="45"/>
      <c r="AC2465" s="45"/>
      <c r="AD2465" s="45"/>
      <c r="AE2465" s="45"/>
      <c r="AF2465" s="45"/>
      <c r="AG2465" s="45"/>
      <c r="AH2465" s="45"/>
      <c r="AI2465" s="45"/>
      <c r="AJ2465" s="45"/>
      <c r="AK2465" s="45"/>
      <c r="AL2465" s="45"/>
    </row>
    <row r="2466" ht="15.75" customHeight="1">
      <c r="A2466" s="27">
        <f t="shared" si="21"/>
        <v>1345</v>
      </c>
      <c r="B2466" s="28" t="s">
        <v>8575</v>
      </c>
      <c r="C2466" s="43" t="s">
        <v>8576</v>
      </c>
      <c r="D2466" s="30" t="s">
        <v>8577</v>
      </c>
      <c r="E2466" s="28"/>
      <c r="F2466" s="28" t="s">
        <v>29</v>
      </c>
      <c r="G2466" s="28" t="s">
        <v>30</v>
      </c>
      <c r="H2466" s="28"/>
      <c r="I2466" s="28" t="s">
        <v>30</v>
      </c>
      <c r="J2466" s="28">
        <v>152.0</v>
      </c>
      <c r="K2466" s="28"/>
      <c r="L2466" s="28" t="s">
        <v>8578</v>
      </c>
      <c r="M2466" s="28" t="s">
        <v>151</v>
      </c>
      <c r="N2466" s="28">
        <v>1990.0</v>
      </c>
      <c r="O2466" s="28">
        <v>13.0</v>
      </c>
      <c r="P2466" s="28">
        <v>1.0</v>
      </c>
      <c r="Q2466" s="32">
        <v>1.0</v>
      </c>
      <c r="R2466" s="33"/>
      <c r="S2466" s="40"/>
      <c r="T2466" s="40"/>
      <c r="U2466" s="40"/>
      <c r="V2466" s="40"/>
      <c r="W2466" s="40"/>
      <c r="X2466" s="40"/>
      <c r="Y2466" s="45"/>
      <c r="Z2466" s="45"/>
      <c r="AA2466" s="45"/>
      <c r="AB2466" s="45"/>
      <c r="AC2466" s="45"/>
      <c r="AD2466" s="45"/>
      <c r="AE2466" s="45"/>
      <c r="AF2466" s="45"/>
      <c r="AG2466" s="45"/>
      <c r="AH2466" s="45"/>
      <c r="AI2466" s="45"/>
      <c r="AJ2466" s="45"/>
      <c r="AK2466" s="45"/>
      <c r="AL2466" s="45"/>
    </row>
    <row r="2467" ht="15.75" customHeight="1">
      <c r="A2467" s="27">
        <f t="shared" si="21"/>
        <v>1346</v>
      </c>
      <c r="B2467" s="28" t="s">
        <v>8579</v>
      </c>
      <c r="C2467" s="43" t="s">
        <v>8580</v>
      </c>
      <c r="D2467" s="30" t="s">
        <v>8581</v>
      </c>
      <c r="E2467" s="28" t="s">
        <v>144</v>
      </c>
      <c r="F2467" s="28" t="s">
        <v>29</v>
      </c>
      <c r="G2467" s="28" t="s">
        <v>37</v>
      </c>
      <c r="H2467" s="28"/>
      <c r="I2467" s="28" t="s">
        <v>38</v>
      </c>
      <c r="J2467" s="28">
        <v>398.0</v>
      </c>
      <c r="K2467" s="28"/>
      <c r="L2467" s="28" t="s">
        <v>8582</v>
      </c>
      <c r="M2467" s="28" t="s">
        <v>2903</v>
      </c>
      <c r="N2467" s="28">
        <v>1998.0</v>
      </c>
      <c r="O2467" s="28">
        <v>13.0</v>
      </c>
      <c r="P2467" s="28">
        <v>1.0</v>
      </c>
      <c r="Q2467" s="32">
        <v>1.0</v>
      </c>
      <c r="R2467" s="33"/>
      <c r="S2467" s="34"/>
      <c r="T2467" s="34"/>
      <c r="U2467" s="34"/>
      <c r="V2467" s="34"/>
      <c r="W2467" s="34"/>
      <c r="X2467" s="34"/>
      <c r="Y2467" s="45"/>
      <c r="Z2467" s="45"/>
      <c r="AA2467" s="45"/>
      <c r="AB2467" s="45"/>
      <c r="AC2467" s="45"/>
      <c r="AD2467" s="45"/>
      <c r="AE2467" s="45"/>
      <c r="AF2467" s="45"/>
      <c r="AG2467" s="45"/>
      <c r="AH2467" s="45"/>
      <c r="AI2467" s="45"/>
      <c r="AJ2467" s="45"/>
      <c r="AK2467" s="45"/>
      <c r="AL2467" s="45"/>
    </row>
    <row r="2468" ht="15.75" customHeight="1">
      <c r="A2468" s="27">
        <f t="shared" si="21"/>
        <v>1347</v>
      </c>
      <c r="B2468" s="28" t="s">
        <v>31</v>
      </c>
      <c r="C2468" s="43" t="s">
        <v>8583</v>
      </c>
      <c r="D2468" s="30" t="s">
        <v>8584</v>
      </c>
      <c r="E2468" s="28" t="s">
        <v>144</v>
      </c>
      <c r="F2468" s="28" t="s">
        <v>29</v>
      </c>
      <c r="G2468" s="28" t="s">
        <v>30</v>
      </c>
      <c r="H2468" s="28"/>
      <c r="I2468" s="28" t="s">
        <v>30</v>
      </c>
      <c r="J2468" s="28">
        <v>225.0</v>
      </c>
      <c r="K2468" s="28"/>
      <c r="L2468" s="28" t="s">
        <v>8585</v>
      </c>
      <c r="M2468" s="28" t="s">
        <v>3341</v>
      </c>
      <c r="N2468" s="28">
        <v>2005.0</v>
      </c>
      <c r="O2468" s="28">
        <v>13.0</v>
      </c>
      <c r="P2468" s="28">
        <v>1.0</v>
      </c>
      <c r="Q2468" s="32">
        <v>1.0</v>
      </c>
      <c r="R2468" s="33"/>
      <c r="S2468" s="40"/>
      <c r="T2468" s="40"/>
      <c r="U2468" s="40"/>
      <c r="V2468" s="40"/>
      <c r="W2468" s="40"/>
      <c r="X2468" s="40"/>
      <c r="Y2468" s="45"/>
      <c r="Z2468" s="45"/>
      <c r="AA2468" s="45"/>
      <c r="AB2468" s="45"/>
      <c r="AC2468" s="45"/>
      <c r="AD2468" s="45"/>
      <c r="AE2468" s="45"/>
      <c r="AF2468" s="45"/>
      <c r="AG2468" s="45"/>
      <c r="AH2468" s="45"/>
      <c r="AI2468" s="45"/>
      <c r="AJ2468" s="45"/>
      <c r="AK2468" s="45"/>
      <c r="AL2468" s="45"/>
    </row>
    <row r="2469" ht="15.75" customHeight="1">
      <c r="A2469" s="27">
        <f t="shared" si="21"/>
        <v>1348</v>
      </c>
      <c r="B2469" s="28"/>
      <c r="C2469" s="43" t="s">
        <v>8586</v>
      </c>
      <c r="D2469" s="30" t="s">
        <v>8587</v>
      </c>
      <c r="E2469" s="28" t="s">
        <v>144</v>
      </c>
      <c r="F2469" s="28" t="s">
        <v>29</v>
      </c>
      <c r="G2469" s="28" t="s">
        <v>30</v>
      </c>
      <c r="H2469" s="28"/>
      <c r="I2469" s="28" t="s">
        <v>30</v>
      </c>
      <c r="J2469" s="28">
        <v>44.0</v>
      </c>
      <c r="K2469" s="28"/>
      <c r="L2469" s="28" t="s">
        <v>8588</v>
      </c>
      <c r="M2469" s="28" t="s">
        <v>3684</v>
      </c>
      <c r="N2469" s="28">
        <v>1971.0</v>
      </c>
      <c r="O2469" s="28">
        <v>13.0</v>
      </c>
      <c r="P2469" s="28">
        <v>1.0</v>
      </c>
      <c r="Q2469" s="32">
        <v>1.0</v>
      </c>
      <c r="R2469" s="33"/>
      <c r="S2469" s="185"/>
      <c r="T2469" s="185"/>
      <c r="U2469" s="185"/>
      <c r="V2469" s="185"/>
      <c r="W2469" s="185"/>
      <c r="X2469" s="185"/>
      <c r="Y2469" s="3"/>
      <c r="Z2469" s="3"/>
      <c r="AA2469" s="3"/>
      <c r="AB2469" s="3"/>
      <c r="AC2469" s="3"/>
      <c r="AD2469" s="3"/>
      <c r="AE2469" s="3"/>
      <c r="AF2469" s="3"/>
      <c r="AG2469" s="3"/>
      <c r="AH2469" s="3"/>
      <c r="AI2469" s="3"/>
      <c r="AJ2469" s="3"/>
      <c r="AK2469" s="3"/>
      <c r="AL2469" s="3"/>
    </row>
    <row r="2470" ht="15.75" customHeight="1">
      <c r="A2470" s="27">
        <f t="shared" si="21"/>
        <v>1349</v>
      </c>
      <c r="B2470" s="28" t="s">
        <v>31</v>
      </c>
      <c r="C2470" s="43" t="s">
        <v>8589</v>
      </c>
      <c r="D2470" s="30" t="s">
        <v>8590</v>
      </c>
      <c r="E2470" s="28" t="s">
        <v>144</v>
      </c>
      <c r="F2470" s="28" t="s">
        <v>29</v>
      </c>
      <c r="G2470" s="28" t="s">
        <v>30</v>
      </c>
      <c r="H2470" s="28"/>
      <c r="I2470" s="28" t="s">
        <v>30</v>
      </c>
      <c r="J2470" s="28">
        <v>96.0</v>
      </c>
      <c r="K2470" s="28"/>
      <c r="L2470" s="28" t="s">
        <v>8591</v>
      </c>
      <c r="M2470" s="28" t="s">
        <v>3426</v>
      </c>
      <c r="N2470" s="28">
        <v>1969.0</v>
      </c>
      <c r="O2470" s="28">
        <v>13.0</v>
      </c>
      <c r="P2470" s="28">
        <v>1.0</v>
      </c>
      <c r="Q2470" s="32">
        <v>1.0</v>
      </c>
      <c r="R2470" s="33"/>
      <c r="S2470" s="40"/>
      <c r="T2470" s="40"/>
      <c r="U2470" s="40"/>
      <c r="V2470" s="40"/>
      <c r="W2470" s="40"/>
      <c r="X2470" s="40"/>
      <c r="Y2470" s="45"/>
      <c r="Z2470" s="45"/>
      <c r="AA2470" s="45"/>
      <c r="AB2470" s="45"/>
      <c r="AC2470" s="45"/>
      <c r="AD2470" s="45"/>
      <c r="AE2470" s="45"/>
      <c r="AF2470" s="45"/>
      <c r="AG2470" s="45"/>
      <c r="AH2470" s="45"/>
      <c r="AI2470" s="45"/>
      <c r="AJ2470" s="45"/>
      <c r="AK2470" s="45"/>
      <c r="AL2470" s="45"/>
    </row>
    <row r="2471" ht="15.75" customHeight="1">
      <c r="A2471" s="27">
        <f t="shared" si="21"/>
        <v>1350</v>
      </c>
      <c r="B2471" s="28" t="s">
        <v>31</v>
      </c>
      <c r="C2471" s="43" t="s">
        <v>8592</v>
      </c>
      <c r="D2471" s="30" t="s">
        <v>8593</v>
      </c>
      <c r="E2471" s="28"/>
      <c r="F2471" s="28" t="s">
        <v>29</v>
      </c>
      <c r="G2471" s="28" t="s">
        <v>30</v>
      </c>
      <c r="H2471" s="28"/>
      <c r="I2471" s="28" t="s">
        <v>30</v>
      </c>
      <c r="J2471" s="28">
        <v>460.0</v>
      </c>
      <c r="K2471" s="28"/>
      <c r="L2471" s="28" t="s">
        <v>8594</v>
      </c>
      <c r="M2471" s="28" t="s">
        <v>151</v>
      </c>
      <c r="N2471" s="28">
        <v>1977.0</v>
      </c>
      <c r="O2471" s="28">
        <v>13.0</v>
      </c>
      <c r="P2471" s="28">
        <v>2.0</v>
      </c>
      <c r="Q2471" s="94">
        <v>2.0</v>
      </c>
      <c r="R2471" s="33"/>
      <c r="S2471" s="34"/>
      <c r="T2471" s="34"/>
      <c r="U2471" s="34"/>
      <c r="V2471" s="34"/>
      <c r="W2471" s="34"/>
      <c r="X2471" s="34"/>
      <c r="Y2471" s="3"/>
      <c r="Z2471" s="3"/>
      <c r="AA2471" s="3"/>
      <c r="AB2471" s="3"/>
      <c r="AC2471" s="3"/>
      <c r="AD2471" s="3"/>
      <c r="AE2471" s="3"/>
      <c r="AF2471" s="3"/>
      <c r="AG2471" s="3"/>
      <c r="AH2471" s="3"/>
      <c r="AI2471" s="3"/>
      <c r="AJ2471" s="3"/>
      <c r="AK2471" s="3"/>
      <c r="AL2471" s="3"/>
    </row>
    <row r="2472" ht="15.75" customHeight="1">
      <c r="A2472" s="27">
        <f t="shared" si="21"/>
        <v>1351</v>
      </c>
      <c r="B2472" s="28" t="s">
        <v>8595</v>
      </c>
      <c r="C2472" s="29" t="s">
        <v>8450</v>
      </c>
      <c r="D2472" s="30" t="s">
        <v>8596</v>
      </c>
      <c r="E2472" s="28" t="s">
        <v>144</v>
      </c>
      <c r="F2472" s="28" t="s">
        <v>29</v>
      </c>
      <c r="G2472" s="28" t="s">
        <v>30</v>
      </c>
      <c r="H2472" s="28"/>
      <c r="I2472" s="28" t="s">
        <v>30</v>
      </c>
      <c r="J2472" s="28">
        <v>314.0</v>
      </c>
      <c r="K2472" s="28"/>
      <c r="L2472" s="28" t="s">
        <v>8452</v>
      </c>
      <c r="M2472" s="28" t="s">
        <v>169</v>
      </c>
      <c r="N2472" s="28">
        <v>2006.0</v>
      </c>
      <c r="O2472" s="31">
        <v>12.0</v>
      </c>
      <c r="P2472" s="28">
        <v>1.0</v>
      </c>
      <c r="Q2472" s="94">
        <v>1.0</v>
      </c>
      <c r="R2472" s="33"/>
      <c r="S2472" s="40"/>
      <c r="T2472" s="40"/>
      <c r="U2472" s="40"/>
      <c r="V2472" s="40"/>
      <c r="W2472" s="40"/>
      <c r="X2472" s="40"/>
      <c r="Y2472" s="3"/>
      <c r="Z2472" s="3"/>
      <c r="AA2472" s="3"/>
      <c r="AB2472" s="3"/>
      <c r="AC2472" s="3"/>
      <c r="AD2472" s="3"/>
      <c r="AE2472" s="3"/>
      <c r="AF2472" s="3"/>
      <c r="AG2472" s="3"/>
      <c r="AH2472" s="3"/>
      <c r="AI2472" s="3"/>
      <c r="AJ2472" s="3"/>
      <c r="AK2472" s="3"/>
      <c r="AL2472" s="3"/>
    </row>
    <row r="2473" ht="15.75" customHeight="1">
      <c r="A2473" s="27">
        <f t="shared" si="21"/>
        <v>1352</v>
      </c>
      <c r="B2473" s="28" t="s">
        <v>8597</v>
      </c>
      <c r="C2473" s="43" t="s">
        <v>8598</v>
      </c>
      <c r="D2473" s="30" t="s">
        <v>8599</v>
      </c>
      <c r="E2473" s="28" t="s">
        <v>144</v>
      </c>
      <c r="F2473" s="28" t="s">
        <v>29</v>
      </c>
      <c r="G2473" s="28" t="s">
        <v>30</v>
      </c>
      <c r="H2473" s="28"/>
      <c r="I2473" s="28" t="s">
        <v>30</v>
      </c>
      <c r="J2473" s="28">
        <f>249+16</f>
        <v>265</v>
      </c>
      <c r="K2473" s="28"/>
      <c r="L2473" s="28" t="s">
        <v>8600</v>
      </c>
      <c r="M2473" s="28" t="s">
        <v>4613</v>
      </c>
      <c r="N2473" s="28">
        <v>2001.0</v>
      </c>
      <c r="O2473" s="28">
        <v>13.0</v>
      </c>
      <c r="P2473" s="28">
        <v>1.0</v>
      </c>
      <c r="Q2473" s="32">
        <v>1.0</v>
      </c>
      <c r="R2473" s="33"/>
      <c r="S2473" s="34"/>
      <c r="T2473" s="34"/>
      <c r="U2473" s="34"/>
      <c r="V2473" s="34"/>
      <c r="W2473" s="34"/>
      <c r="X2473" s="34"/>
      <c r="Y2473" s="3"/>
      <c r="Z2473" s="3"/>
      <c r="AA2473" s="3"/>
      <c r="AB2473" s="3"/>
      <c r="AC2473" s="3"/>
      <c r="AD2473" s="3"/>
      <c r="AE2473" s="3"/>
      <c r="AF2473" s="3"/>
      <c r="AG2473" s="3"/>
      <c r="AH2473" s="3"/>
      <c r="AI2473" s="3"/>
      <c r="AJ2473" s="3"/>
      <c r="AK2473" s="3"/>
      <c r="AL2473" s="3"/>
    </row>
    <row r="2474" ht="15.75" customHeight="1">
      <c r="A2474" s="27">
        <f t="shared" si="21"/>
        <v>1353</v>
      </c>
      <c r="B2474" s="28" t="s">
        <v>8601</v>
      </c>
      <c r="C2474" s="29" t="s">
        <v>8602</v>
      </c>
      <c r="D2474" s="30" t="s">
        <v>8603</v>
      </c>
      <c r="E2474" s="28" t="s">
        <v>31</v>
      </c>
      <c r="F2474" s="28" t="s">
        <v>29</v>
      </c>
      <c r="G2474" s="28" t="s">
        <v>30</v>
      </c>
      <c r="H2474" s="28"/>
      <c r="I2474" s="28" t="s">
        <v>30</v>
      </c>
      <c r="J2474" s="28">
        <v>394.0</v>
      </c>
      <c r="K2474" s="28"/>
      <c r="L2474" s="28" t="s">
        <v>8164</v>
      </c>
      <c r="M2474" s="28" t="s">
        <v>151</v>
      </c>
      <c r="N2474" s="28">
        <v>1991.0</v>
      </c>
      <c r="O2474" s="28">
        <v>13.0</v>
      </c>
      <c r="P2474" s="28">
        <v>2.0</v>
      </c>
      <c r="Q2474" s="94">
        <v>2.0</v>
      </c>
      <c r="R2474" s="33"/>
      <c r="S2474" s="34"/>
      <c r="T2474" s="34"/>
      <c r="U2474" s="34"/>
      <c r="V2474" s="34"/>
      <c r="W2474" s="34"/>
      <c r="X2474" s="34"/>
      <c r="Y2474" s="3"/>
      <c r="Z2474" s="3"/>
      <c r="AA2474" s="3"/>
      <c r="AB2474" s="3"/>
      <c r="AC2474" s="3"/>
      <c r="AD2474" s="3"/>
      <c r="AE2474" s="3"/>
      <c r="AF2474" s="3"/>
      <c r="AG2474" s="3"/>
      <c r="AH2474" s="3"/>
      <c r="AI2474" s="3"/>
      <c r="AJ2474" s="3"/>
      <c r="AK2474" s="3"/>
      <c r="AL2474" s="3"/>
    </row>
    <row r="2475" ht="15.75" customHeight="1">
      <c r="A2475" s="27">
        <f t="shared" si="21"/>
        <v>1354</v>
      </c>
      <c r="B2475" s="28" t="s">
        <v>8604</v>
      </c>
      <c r="C2475" s="43" t="s">
        <v>8605</v>
      </c>
      <c r="D2475" s="30" t="s">
        <v>8606</v>
      </c>
      <c r="E2475" s="28" t="s">
        <v>31</v>
      </c>
      <c r="F2475" s="28" t="s">
        <v>29</v>
      </c>
      <c r="G2475" s="28" t="s">
        <v>37</v>
      </c>
      <c r="H2475" s="28"/>
      <c r="I2475" s="28" t="s">
        <v>38</v>
      </c>
      <c r="J2475" s="28">
        <v>148.0</v>
      </c>
      <c r="K2475" s="28"/>
      <c r="L2475" s="28" t="s">
        <v>8607</v>
      </c>
      <c r="M2475" s="28" t="s">
        <v>219</v>
      </c>
      <c r="N2475" s="28">
        <v>1975.0</v>
      </c>
      <c r="O2475" s="60">
        <v>13.0</v>
      </c>
      <c r="P2475" s="28">
        <v>1.0</v>
      </c>
      <c r="Q2475" s="94">
        <v>1.0</v>
      </c>
      <c r="R2475" s="33"/>
      <c r="S2475" s="185"/>
      <c r="T2475" s="185"/>
      <c r="U2475" s="185"/>
      <c r="V2475" s="185"/>
      <c r="W2475" s="185"/>
      <c r="X2475" s="185"/>
      <c r="Y2475" s="3"/>
      <c r="Z2475" s="3"/>
      <c r="AA2475" s="3"/>
      <c r="AB2475" s="3"/>
      <c r="AC2475" s="3"/>
      <c r="AD2475" s="3"/>
      <c r="AE2475" s="3"/>
      <c r="AF2475" s="3"/>
      <c r="AG2475" s="3"/>
      <c r="AH2475" s="3"/>
      <c r="AI2475" s="3"/>
      <c r="AJ2475" s="3"/>
      <c r="AK2475" s="3"/>
      <c r="AL2475" s="3"/>
    </row>
    <row r="2476" ht="15.75" customHeight="1">
      <c r="A2476" s="27">
        <f t="shared" si="21"/>
        <v>1355</v>
      </c>
      <c r="B2476" s="28" t="s">
        <v>8608</v>
      </c>
      <c r="C2476" s="29" t="s">
        <v>8609</v>
      </c>
      <c r="D2476" s="30" t="s">
        <v>8610</v>
      </c>
      <c r="E2476" s="28" t="s">
        <v>144</v>
      </c>
      <c r="F2476" s="28" t="s">
        <v>29</v>
      </c>
      <c r="G2476" s="28" t="s">
        <v>30</v>
      </c>
      <c r="H2476" s="28"/>
      <c r="I2476" s="28" t="s">
        <v>30</v>
      </c>
      <c r="J2476" s="28">
        <v>216.0</v>
      </c>
      <c r="K2476" s="28"/>
      <c r="L2476" s="28" t="s">
        <v>3654</v>
      </c>
      <c r="M2476" s="28" t="s">
        <v>151</v>
      </c>
      <c r="N2476" s="28">
        <v>1987.0</v>
      </c>
      <c r="O2476" s="60">
        <v>13.0</v>
      </c>
      <c r="P2476" s="28">
        <v>2.0</v>
      </c>
      <c r="Q2476" s="94">
        <v>2.0</v>
      </c>
      <c r="R2476" s="33"/>
      <c r="S2476" s="40"/>
      <c r="T2476" s="40"/>
      <c r="U2476" s="40"/>
      <c r="V2476" s="40"/>
      <c r="W2476" s="40"/>
      <c r="X2476" s="40"/>
      <c r="Y2476" s="3"/>
      <c r="Z2476" s="3"/>
      <c r="AA2476" s="3"/>
      <c r="AB2476" s="3"/>
      <c r="AC2476" s="3"/>
      <c r="AD2476" s="3"/>
      <c r="AE2476" s="3"/>
      <c r="AF2476" s="3"/>
      <c r="AG2476" s="3"/>
      <c r="AH2476" s="3"/>
      <c r="AI2476" s="3"/>
      <c r="AJ2476" s="3"/>
      <c r="AK2476" s="3"/>
      <c r="AL2476" s="3"/>
    </row>
    <row r="2477" ht="15.75" customHeight="1">
      <c r="A2477" s="27">
        <f t="shared" si="21"/>
        <v>1356</v>
      </c>
      <c r="B2477" s="121" t="s">
        <v>8611</v>
      </c>
      <c r="C2477" s="121" t="s">
        <v>8612</v>
      </c>
      <c r="D2477" s="119" t="s">
        <v>8613</v>
      </c>
      <c r="E2477" s="121" t="s">
        <v>144</v>
      </c>
      <c r="F2477" s="121" t="s">
        <v>29</v>
      </c>
      <c r="G2477" s="121" t="s">
        <v>30</v>
      </c>
      <c r="H2477" s="83"/>
      <c r="I2477" s="121" t="s">
        <v>30</v>
      </c>
      <c r="J2477" s="121">
        <v>207.0</v>
      </c>
      <c r="K2477" s="83"/>
      <c r="L2477" s="121" t="s">
        <v>8614</v>
      </c>
      <c r="M2477" s="121" t="s">
        <v>151</v>
      </c>
      <c r="N2477" s="121">
        <v>2002.0</v>
      </c>
      <c r="O2477" s="121">
        <v>13.0</v>
      </c>
      <c r="P2477" s="121">
        <v>1.0</v>
      </c>
      <c r="Q2477" s="121">
        <v>1.0</v>
      </c>
      <c r="R2477" s="84"/>
      <c r="S2477" s="34"/>
      <c r="T2477" s="34"/>
      <c r="U2477" s="34"/>
      <c r="V2477" s="34"/>
      <c r="W2477" s="34"/>
      <c r="X2477" s="34"/>
      <c r="Y2477" s="3"/>
      <c r="Z2477" s="3"/>
      <c r="AA2477" s="3"/>
      <c r="AB2477" s="3"/>
      <c r="AC2477" s="3"/>
      <c r="AD2477" s="3"/>
      <c r="AE2477" s="3"/>
      <c r="AF2477" s="3"/>
      <c r="AG2477" s="3"/>
      <c r="AH2477" s="3"/>
      <c r="AI2477" s="3"/>
      <c r="AJ2477" s="3"/>
      <c r="AK2477" s="3"/>
      <c r="AL2477" s="3"/>
    </row>
    <row r="2478" ht="15.75" customHeight="1">
      <c r="A2478" s="27">
        <f t="shared" si="21"/>
        <v>1357</v>
      </c>
      <c r="B2478" s="28" t="s">
        <v>8595</v>
      </c>
      <c r="C2478" s="43" t="s">
        <v>8615</v>
      </c>
      <c r="D2478" s="30" t="s">
        <v>8616</v>
      </c>
      <c r="E2478" s="28" t="s">
        <v>144</v>
      </c>
      <c r="F2478" s="28" t="s">
        <v>29</v>
      </c>
      <c r="G2478" s="28" t="s">
        <v>30</v>
      </c>
      <c r="H2478" s="28"/>
      <c r="I2478" s="28" t="s">
        <v>30</v>
      </c>
      <c r="J2478" s="28">
        <f>306+8</f>
        <v>314</v>
      </c>
      <c r="K2478" s="28"/>
      <c r="L2478" s="28" t="s">
        <v>8452</v>
      </c>
      <c r="M2478" s="28" t="s">
        <v>8617</v>
      </c>
      <c r="N2478" s="28">
        <v>1997.0</v>
      </c>
      <c r="O2478" s="28">
        <v>13.0</v>
      </c>
      <c r="P2478" s="28">
        <v>1.0</v>
      </c>
      <c r="Q2478" s="32">
        <v>1.0</v>
      </c>
      <c r="R2478" s="33"/>
      <c r="S2478" s="34"/>
      <c r="T2478" s="34"/>
      <c r="U2478" s="34"/>
      <c r="V2478" s="34"/>
      <c r="W2478" s="34"/>
      <c r="X2478" s="34"/>
      <c r="Y2478" s="3"/>
      <c r="Z2478" s="3"/>
      <c r="AA2478" s="3"/>
      <c r="AB2478" s="3"/>
      <c r="AC2478" s="3"/>
      <c r="AD2478" s="3"/>
      <c r="AE2478" s="3"/>
      <c r="AF2478" s="3"/>
      <c r="AG2478" s="3"/>
      <c r="AH2478" s="3"/>
      <c r="AI2478" s="3"/>
      <c r="AJ2478" s="3"/>
      <c r="AK2478" s="3"/>
      <c r="AL2478" s="3"/>
    </row>
    <row r="2479" ht="15.75" customHeight="1">
      <c r="A2479" s="27">
        <f t="shared" si="21"/>
        <v>1358</v>
      </c>
      <c r="B2479" s="28" t="s">
        <v>8618</v>
      </c>
      <c r="C2479" s="29" t="s">
        <v>8619</v>
      </c>
      <c r="D2479" s="39" t="s">
        <v>8620</v>
      </c>
      <c r="E2479" s="28" t="s">
        <v>144</v>
      </c>
      <c r="F2479" s="28" t="s">
        <v>29</v>
      </c>
      <c r="G2479" s="28" t="s">
        <v>30</v>
      </c>
      <c r="H2479" s="28"/>
      <c r="I2479" s="28" t="s">
        <v>30</v>
      </c>
      <c r="J2479" s="28">
        <f>248</f>
        <v>248</v>
      </c>
      <c r="K2479" s="28"/>
      <c r="L2479" s="28" t="s">
        <v>8452</v>
      </c>
      <c r="M2479" s="28" t="s">
        <v>8617</v>
      </c>
      <c r="N2479" s="28">
        <v>2005.0</v>
      </c>
      <c r="O2479" s="31">
        <v>12.0</v>
      </c>
      <c r="P2479" s="28">
        <v>1.0</v>
      </c>
      <c r="Q2479" s="94">
        <v>1.0</v>
      </c>
      <c r="R2479" s="33"/>
      <c r="S2479" s="34"/>
      <c r="T2479" s="34"/>
      <c r="U2479" s="34"/>
      <c r="V2479" s="34"/>
      <c r="W2479" s="34"/>
      <c r="X2479" s="34"/>
      <c r="Y2479" s="45"/>
      <c r="Z2479" s="45"/>
      <c r="AA2479" s="45"/>
      <c r="AB2479" s="45"/>
      <c r="AC2479" s="45"/>
      <c r="AD2479" s="45"/>
      <c r="AE2479" s="45"/>
      <c r="AF2479" s="45"/>
      <c r="AG2479" s="45"/>
      <c r="AH2479" s="45"/>
      <c r="AI2479" s="45"/>
      <c r="AJ2479" s="45"/>
      <c r="AK2479" s="45"/>
      <c r="AL2479" s="45"/>
    </row>
    <row r="2480" ht="15.75" customHeight="1">
      <c r="A2480" s="27">
        <f t="shared" si="21"/>
        <v>1359</v>
      </c>
      <c r="B2480" s="28" t="s">
        <v>8621</v>
      </c>
      <c r="C2480" s="29" t="s">
        <v>8450</v>
      </c>
      <c r="D2480" s="30" t="s">
        <v>8622</v>
      </c>
      <c r="E2480" s="28" t="s">
        <v>144</v>
      </c>
      <c r="F2480" s="28" t="s">
        <v>29</v>
      </c>
      <c r="G2480" s="28" t="s">
        <v>30</v>
      </c>
      <c r="H2480" s="28"/>
      <c r="I2480" s="28" t="s">
        <v>30</v>
      </c>
      <c r="J2480" s="28">
        <f>267</f>
        <v>267</v>
      </c>
      <c r="K2480" s="28"/>
      <c r="L2480" s="28" t="s">
        <v>8452</v>
      </c>
      <c r="M2480" s="28" t="s">
        <v>8617</v>
      </c>
      <c r="N2480" s="28">
        <v>2006.0</v>
      </c>
      <c r="O2480" s="31">
        <v>12.0</v>
      </c>
      <c r="P2480" s="28">
        <v>1.0</v>
      </c>
      <c r="Q2480" s="94">
        <v>1.0</v>
      </c>
      <c r="R2480" s="33"/>
      <c r="S2480" s="40"/>
      <c r="T2480" s="40"/>
      <c r="U2480" s="40"/>
      <c r="V2480" s="40"/>
      <c r="W2480" s="40"/>
      <c r="X2480" s="40"/>
      <c r="Y2480" s="3"/>
      <c r="Z2480" s="3"/>
      <c r="AA2480" s="3"/>
      <c r="AB2480" s="3"/>
      <c r="AC2480" s="3"/>
      <c r="AD2480" s="3"/>
      <c r="AE2480" s="3"/>
      <c r="AF2480" s="3"/>
      <c r="AG2480" s="3"/>
      <c r="AH2480" s="3"/>
      <c r="AI2480" s="3"/>
      <c r="AJ2480" s="3"/>
      <c r="AK2480" s="3"/>
      <c r="AL2480" s="3"/>
    </row>
    <row r="2481" ht="15.75" customHeight="1">
      <c r="A2481" s="27">
        <f t="shared" si="21"/>
        <v>1360</v>
      </c>
      <c r="B2481" s="28" t="s">
        <v>8623</v>
      </c>
      <c r="C2481" s="43" t="s">
        <v>8624</v>
      </c>
      <c r="D2481" s="30" t="s">
        <v>8625</v>
      </c>
      <c r="E2481" s="28" t="s">
        <v>144</v>
      </c>
      <c r="F2481" s="28" t="s">
        <v>29</v>
      </c>
      <c r="G2481" s="28" t="s">
        <v>37</v>
      </c>
      <c r="H2481" s="28"/>
      <c r="I2481" s="28" t="s">
        <v>38</v>
      </c>
      <c r="J2481" s="28">
        <v>352.0</v>
      </c>
      <c r="K2481" s="28"/>
      <c r="L2481" s="28" t="s">
        <v>8626</v>
      </c>
      <c r="M2481" s="28" t="s">
        <v>5691</v>
      </c>
      <c r="N2481" s="28">
        <v>1975.0</v>
      </c>
      <c r="O2481" s="60">
        <v>13.0</v>
      </c>
      <c r="P2481" s="28">
        <v>1.0</v>
      </c>
      <c r="Q2481" s="32">
        <v>1.0</v>
      </c>
      <c r="R2481" s="33"/>
      <c r="S2481" s="34"/>
      <c r="T2481" s="34"/>
      <c r="U2481" s="34"/>
      <c r="V2481" s="34"/>
      <c r="W2481" s="34"/>
      <c r="X2481" s="34"/>
      <c r="Y2481" s="3"/>
      <c r="Z2481" s="3"/>
      <c r="AA2481" s="3"/>
      <c r="AB2481" s="3"/>
      <c r="AC2481" s="3"/>
      <c r="AD2481" s="3"/>
      <c r="AE2481" s="3"/>
      <c r="AF2481" s="3"/>
      <c r="AG2481" s="3"/>
      <c r="AH2481" s="3"/>
      <c r="AI2481" s="3"/>
      <c r="AJ2481" s="3"/>
      <c r="AK2481" s="3"/>
      <c r="AL2481" s="3"/>
    </row>
    <row r="2482" ht="15.75" customHeight="1">
      <c r="A2482" s="27">
        <f t="shared" si="21"/>
        <v>1361</v>
      </c>
      <c r="B2482" s="28" t="s">
        <v>8627</v>
      </c>
      <c r="C2482" s="43" t="s">
        <v>8628</v>
      </c>
      <c r="D2482" s="30" t="s">
        <v>8629</v>
      </c>
      <c r="E2482" s="28" t="s">
        <v>144</v>
      </c>
      <c r="F2482" s="28" t="s">
        <v>29</v>
      </c>
      <c r="G2482" s="28" t="s">
        <v>30</v>
      </c>
      <c r="H2482" s="28" t="s">
        <v>31</v>
      </c>
      <c r="I2482" s="28" t="s">
        <v>30</v>
      </c>
      <c r="J2482" s="28"/>
      <c r="K2482" s="28"/>
      <c r="L2482" s="28" t="s">
        <v>8630</v>
      </c>
      <c r="M2482" s="28" t="s">
        <v>544</v>
      </c>
      <c r="N2482" s="28">
        <v>2009.0</v>
      </c>
      <c r="O2482" s="60">
        <v>13.0</v>
      </c>
      <c r="P2482" s="28">
        <v>2.0</v>
      </c>
      <c r="Q2482" s="32">
        <v>2.0</v>
      </c>
      <c r="R2482" s="33"/>
      <c r="S2482" s="34"/>
      <c r="T2482" s="34"/>
      <c r="U2482" s="34"/>
      <c r="V2482" s="34"/>
      <c r="W2482" s="34"/>
      <c r="X2482" s="34"/>
      <c r="Y2482" s="45"/>
      <c r="Z2482" s="45"/>
      <c r="AA2482" s="45"/>
      <c r="AB2482" s="45"/>
      <c r="AC2482" s="45"/>
      <c r="AD2482" s="45"/>
      <c r="AE2482" s="45"/>
      <c r="AF2482" s="45"/>
      <c r="AG2482" s="45"/>
      <c r="AH2482" s="45"/>
      <c r="AI2482" s="45"/>
      <c r="AJ2482" s="45"/>
      <c r="AK2482" s="45"/>
      <c r="AL2482" s="45"/>
    </row>
    <row r="2483" ht="15.75" customHeight="1">
      <c r="A2483" s="27">
        <f t="shared" si="21"/>
        <v>1362</v>
      </c>
      <c r="B2483" s="28" t="s">
        <v>8631</v>
      </c>
      <c r="C2483" s="29" t="s">
        <v>8632</v>
      </c>
      <c r="D2483" s="30" t="s">
        <v>8633</v>
      </c>
      <c r="E2483" s="28" t="s">
        <v>302</v>
      </c>
      <c r="F2483" s="28" t="s">
        <v>29</v>
      </c>
      <c r="G2483" s="28" t="s">
        <v>37</v>
      </c>
      <c r="H2483" s="28"/>
      <c r="I2483" s="28" t="s">
        <v>38</v>
      </c>
      <c r="J2483" s="28">
        <v>135.0</v>
      </c>
      <c r="K2483" s="28"/>
      <c r="L2483" s="28" t="s">
        <v>8634</v>
      </c>
      <c r="M2483" s="28" t="s">
        <v>7218</v>
      </c>
      <c r="N2483" s="28">
        <v>2016.0</v>
      </c>
      <c r="O2483" s="60">
        <v>13.0</v>
      </c>
      <c r="P2483" s="28">
        <v>1.0</v>
      </c>
      <c r="Q2483" s="94">
        <v>1.0</v>
      </c>
      <c r="R2483" s="33"/>
      <c r="S2483" s="34"/>
      <c r="T2483" s="34"/>
      <c r="U2483" s="34"/>
      <c r="V2483" s="34"/>
      <c r="W2483" s="34"/>
      <c r="X2483" s="34"/>
      <c r="Y2483" s="3"/>
      <c r="Z2483" s="3"/>
      <c r="AA2483" s="3"/>
      <c r="AB2483" s="3"/>
      <c r="AC2483" s="3"/>
      <c r="AD2483" s="3"/>
      <c r="AE2483" s="3"/>
      <c r="AF2483" s="3"/>
      <c r="AG2483" s="3"/>
      <c r="AH2483" s="3"/>
      <c r="AI2483" s="3"/>
      <c r="AJ2483" s="3"/>
      <c r="AK2483" s="3"/>
      <c r="AL2483" s="3"/>
    </row>
    <row r="2484" ht="15.75" customHeight="1">
      <c r="A2484" s="27">
        <f t="shared" si="21"/>
        <v>1363</v>
      </c>
      <c r="B2484" s="28" t="s">
        <v>8635</v>
      </c>
      <c r="C2484" s="43" t="s">
        <v>8636</v>
      </c>
      <c r="D2484" s="30" t="s">
        <v>8637</v>
      </c>
      <c r="E2484" s="28" t="s">
        <v>144</v>
      </c>
      <c r="F2484" s="28" t="s">
        <v>29</v>
      </c>
      <c r="G2484" s="28" t="s">
        <v>30</v>
      </c>
      <c r="H2484" s="28"/>
      <c r="I2484" s="28" t="s">
        <v>30</v>
      </c>
      <c r="J2484" s="28">
        <f>266</f>
        <v>266</v>
      </c>
      <c r="K2484" s="28"/>
      <c r="L2484" s="28" t="s">
        <v>8638</v>
      </c>
      <c r="M2484" s="28" t="s">
        <v>2567</v>
      </c>
      <c r="N2484" s="28">
        <v>1983.0</v>
      </c>
      <c r="O2484" s="60">
        <v>13.0</v>
      </c>
      <c r="P2484" s="28">
        <v>1.0</v>
      </c>
      <c r="Q2484" s="94">
        <v>1.0</v>
      </c>
      <c r="R2484" s="33"/>
      <c r="S2484" s="40"/>
      <c r="T2484" s="40"/>
      <c r="U2484" s="40"/>
      <c r="V2484" s="40"/>
      <c r="W2484" s="40"/>
      <c r="X2484" s="40"/>
      <c r="Y2484" s="3"/>
      <c r="Z2484" s="3"/>
      <c r="AA2484" s="3"/>
      <c r="AB2484" s="3"/>
      <c r="AC2484" s="3"/>
      <c r="AD2484" s="3"/>
      <c r="AE2484" s="3"/>
      <c r="AF2484" s="3"/>
      <c r="AG2484" s="3"/>
      <c r="AH2484" s="3"/>
      <c r="AI2484" s="3"/>
      <c r="AJ2484" s="3"/>
      <c r="AK2484" s="3"/>
      <c r="AL2484" s="3"/>
    </row>
    <row r="2485" ht="15.75" customHeight="1">
      <c r="A2485" s="27">
        <f t="shared" si="21"/>
        <v>1364</v>
      </c>
      <c r="B2485" s="28"/>
      <c r="C2485" s="29" t="s">
        <v>8639</v>
      </c>
      <c r="D2485" s="30" t="s">
        <v>8640</v>
      </c>
      <c r="E2485" s="28" t="s">
        <v>8641</v>
      </c>
      <c r="F2485" s="28" t="s">
        <v>29</v>
      </c>
      <c r="G2485" s="28" t="s">
        <v>37</v>
      </c>
      <c r="H2485" s="28"/>
      <c r="I2485" s="28" t="s">
        <v>38</v>
      </c>
      <c r="J2485" s="28">
        <f>202</f>
        <v>202</v>
      </c>
      <c r="K2485" s="28"/>
      <c r="L2485" s="28"/>
      <c r="M2485" s="28" t="s">
        <v>2953</v>
      </c>
      <c r="N2485" s="28">
        <v>1986.0</v>
      </c>
      <c r="O2485" s="60">
        <v>13.0</v>
      </c>
      <c r="P2485" s="28">
        <v>1.0</v>
      </c>
      <c r="Q2485" s="32">
        <v>1.0</v>
      </c>
      <c r="R2485" s="33"/>
      <c r="S2485" s="34"/>
      <c r="T2485" s="34"/>
      <c r="U2485" s="34"/>
      <c r="V2485" s="34"/>
      <c r="W2485" s="34"/>
      <c r="X2485" s="34"/>
      <c r="Y2485" s="3"/>
      <c r="Z2485" s="3"/>
      <c r="AA2485" s="3"/>
      <c r="AB2485" s="3"/>
      <c r="AC2485" s="3"/>
      <c r="AD2485" s="3"/>
      <c r="AE2485" s="3"/>
      <c r="AF2485" s="3"/>
      <c r="AG2485" s="3"/>
      <c r="AH2485" s="3"/>
      <c r="AI2485" s="3"/>
      <c r="AJ2485" s="3"/>
      <c r="AK2485" s="3"/>
      <c r="AL2485" s="3"/>
    </row>
    <row r="2486" ht="15.75" customHeight="1">
      <c r="A2486" s="27">
        <f t="shared" si="21"/>
        <v>1365</v>
      </c>
      <c r="B2486" s="28" t="s">
        <v>8642</v>
      </c>
      <c r="C2486" s="43" t="s">
        <v>8643</v>
      </c>
      <c r="D2486" s="30" t="s">
        <v>8644</v>
      </c>
      <c r="E2486" s="28" t="s">
        <v>144</v>
      </c>
      <c r="F2486" s="28" t="s">
        <v>29</v>
      </c>
      <c r="G2486" s="28" t="s">
        <v>30</v>
      </c>
      <c r="H2486" s="28"/>
      <c r="I2486" s="28" t="s">
        <v>30</v>
      </c>
      <c r="J2486" s="28">
        <v>228.0</v>
      </c>
      <c r="K2486" s="28"/>
      <c r="L2486" s="28" t="s">
        <v>8645</v>
      </c>
      <c r="M2486" s="28" t="s">
        <v>8646</v>
      </c>
      <c r="N2486" s="28">
        <v>2004.0</v>
      </c>
      <c r="O2486" s="60">
        <v>13.0</v>
      </c>
      <c r="P2486" s="28">
        <v>1.0</v>
      </c>
      <c r="Q2486" s="32">
        <v>1.0</v>
      </c>
      <c r="R2486" s="33"/>
      <c r="S2486" s="185"/>
      <c r="T2486" s="185"/>
      <c r="U2486" s="185"/>
      <c r="V2486" s="185"/>
      <c r="W2486" s="185"/>
      <c r="X2486" s="185"/>
      <c r="Y2486" s="45"/>
      <c r="Z2486" s="45"/>
      <c r="AA2486" s="45"/>
      <c r="AB2486" s="45"/>
      <c r="AC2486" s="45"/>
      <c r="AD2486" s="45"/>
      <c r="AE2486" s="45"/>
      <c r="AF2486" s="45"/>
      <c r="AG2486" s="45"/>
      <c r="AH2486" s="45"/>
      <c r="AI2486" s="45"/>
      <c r="AJ2486" s="45"/>
      <c r="AK2486" s="45"/>
      <c r="AL2486" s="45"/>
    </row>
    <row r="2487" ht="15.75" customHeight="1">
      <c r="A2487" s="27">
        <f t="shared" si="21"/>
        <v>1366</v>
      </c>
      <c r="B2487" s="28" t="s">
        <v>8647</v>
      </c>
      <c r="C2487" s="29" t="s">
        <v>8648</v>
      </c>
      <c r="D2487" s="30" t="s">
        <v>8649</v>
      </c>
      <c r="E2487" s="28" t="s">
        <v>144</v>
      </c>
      <c r="F2487" s="28" t="s">
        <v>29</v>
      </c>
      <c r="G2487" s="28" t="s">
        <v>30</v>
      </c>
      <c r="H2487" s="28"/>
      <c r="I2487" s="28" t="s">
        <v>30</v>
      </c>
      <c r="J2487" s="28">
        <v>416.0</v>
      </c>
      <c r="K2487" s="28"/>
      <c r="L2487" s="28" t="s">
        <v>8650</v>
      </c>
      <c r="M2487" s="28" t="s">
        <v>8651</v>
      </c>
      <c r="N2487" s="28">
        <v>2008.0</v>
      </c>
      <c r="O2487" s="60">
        <v>13.0</v>
      </c>
      <c r="P2487" s="28">
        <v>1.0</v>
      </c>
      <c r="Q2487" s="32">
        <v>1.0</v>
      </c>
      <c r="R2487" s="33"/>
      <c r="S2487" s="34"/>
      <c r="T2487" s="34"/>
      <c r="U2487" s="34"/>
      <c r="V2487" s="34"/>
      <c r="W2487" s="34"/>
      <c r="X2487" s="34"/>
      <c r="Y2487" s="3"/>
      <c r="Z2487" s="3"/>
      <c r="AA2487" s="3"/>
      <c r="AB2487" s="3"/>
      <c r="AC2487" s="3"/>
      <c r="AD2487" s="3"/>
      <c r="AE2487" s="3"/>
      <c r="AF2487" s="3"/>
      <c r="AG2487" s="3"/>
      <c r="AH2487" s="3"/>
      <c r="AI2487" s="3"/>
      <c r="AJ2487" s="3"/>
      <c r="AK2487" s="3"/>
      <c r="AL2487" s="3"/>
    </row>
    <row r="2488" ht="15.75" customHeight="1">
      <c r="A2488" s="27">
        <f t="shared" si="21"/>
        <v>1367</v>
      </c>
      <c r="B2488" s="28" t="s">
        <v>8652</v>
      </c>
      <c r="C2488" s="43" t="s">
        <v>8653</v>
      </c>
      <c r="D2488" s="30" t="s">
        <v>8654</v>
      </c>
      <c r="E2488" s="28" t="s">
        <v>144</v>
      </c>
      <c r="F2488" s="28" t="s">
        <v>29</v>
      </c>
      <c r="G2488" s="28" t="s">
        <v>30</v>
      </c>
      <c r="H2488" s="28"/>
      <c r="I2488" s="28" t="s">
        <v>30</v>
      </c>
      <c r="J2488" s="28">
        <v>151.0</v>
      </c>
      <c r="K2488" s="28"/>
      <c r="L2488" s="28" t="s">
        <v>8655</v>
      </c>
      <c r="M2488" s="28" t="s">
        <v>4126</v>
      </c>
      <c r="N2488" s="28">
        <v>2006.0</v>
      </c>
      <c r="O2488" s="60">
        <v>13.0</v>
      </c>
      <c r="P2488" s="28">
        <v>1.0</v>
      </c>
      <c r="Q2488" s="94">
        <v>1.0</v>
      </c>
      <c r="R2488" s="33"/>
      <c r="S2488" s="34"/>
      <c r="T2488" s="34"/>
      <c r="U2488" s="34"/>
      <c r="V2488" s="34"/>
      <c r="W2488" s="34"/>
      <c r="X2488" s="34"/>
      <c r="Y2488" s="3"/>
      <c r="Z2488" s="3"/>
      <c r="AA2488" s="3"/>
      <c r="AB2488" s="3"/>
      <c r="AC2488" s="3"/>
      <c r="AD2488" s="3"/>
      <c r="AE2488" s="3"/>
      <c r="AF2488" s="3"/>
      <c r="AG2488" s="3"/>
      <c r="AH2488" s="3"/>
      <c r="AI2488" s="3"/>
      <c r="AJ2488" s="3"/>
      <c r="AK2488" s="3"/>
      <c r="AL2488" s="3"/>
    </row>
    <row r="2489" ht="15.75" customHeight="1">
      <c r="A2489" s="27">
        <f t="shared" si="21"/>
        <v>1368</v>
      </c>
      <c r="B2489" s="28" t="s">
        <v>8656</v>
      </c>
      <c r="C2489" s="43" t="s">
        <v>8657</v>
      </c>
      <c r="D2489" s="30" t="s">
        <v>8658</v>
      </c>
      <c r="E2489" s="28" t="s">
        <v>144</v>
      </c>
      <c r="F2489" s="28" t="s">
        <v>29</v>
      </c>
      <c r="G2489" s="28" t="s">
        <v>30</v>
      </c>
      <c r="H2489" s="28"/>
      <c r="I2489" s="28" t="s">
        <v>30</v>
      </c>
      <c r="J2489" s="28">
        <f>196</f>
        <v>196</v>
      </c>
      <c r="K2489" s="28"/>
      <c r="L2489" s="28" t="s">
        <v>8659</v>
      </c>
      <c r="M2489" s="28" t="s">
        <v>8660</v>
      </c>
      <c r="N2489" s="28">
        <v>2005.0</v>
      </c>
      <c r="O2489" s="60">
        <v>13.0</v>
      </c>
      <c r="P2489" s="28">
        <v>1.0</v>
      </c>
      <c r="Q2489" s="32">
        <v>1.0</v>
      </c>
      <c r="R2489" s="33"/>
      <c r="S2489" s="40"/>
      <c r="T2489" s="40"/>
      <c r="U2489" s="40"/>
      <c r="V2489" s="40"/>
      <c r="W2489" s="40"/>
      <c r="X2489" s="40"/>
      <c r="Y2489" s="3"/>
      <c r="Z2489" s="3"/>
      <c r="AA2489" s="3"/>
      <c r="AB2489" s="3"/>
      <c r="AC2489" s="3"/>
      <c r="AD2489" s="3"/>
      <c r="AE2489" s="3"/>
      <c r="AF2489" s="3"/>
      <c r="AG2489" s="3"/>
      <c r="AH2489" s="3"/>
      <c r="AI2489" s="3"/>
      <c r="AJ2489" s="3"/>
      <c r="AK2489" s="3"/>
      <c r="AL2489" s="3"/>
    </row>
    <row r="2490" ht="15.75" customHeight="1">
      <c r="A2490" s="27">
        <f t="shared" si="21"/>
        <v>1369</v>
      </c>
      <c r="B2490" s="28" t="s">
        <v>8661</v>
      </c>
      <c r="C2490" s="43" t="s">
        <v>8662</v>
      </c>
      <c r="D2490" s="30" t="s">
        <v>8663</v>
      </c>
      <c r="E2490" s="28"/>
      <c r="F2490" s="28" t="s">
        <v>29</v>
      </c>
      <c r="G2490" s="28" t="s">
        <v>30</v>
      </c>
      <c r="H2490" s="28"/>
      <c r="I2490" s="28" t="s">
        <v>30</v>
      </c>
      <c r="J2490" s="28">
        <v>174.0</v>
      </c>
      <c r="K2490" s="28"/>
      <c r="L2490" s="28" t="s">
        <v>8664</v>
      </c>
      <c r="M2490" s="28" t="s">
        <v>151</v>
      </c>
      <c r="N2490" s="28">
        <v>1997.0</v>
      </c>
      <c r="O2490" s="60">
        <v>13.0</v>
      </c>
      <c r="P2490" s="28">
        <v>1.0</v>
      </c>
      <c r="Q2490" s="32">
        <v>1.0</v>
      </c>
      <c r="R2490" s="33"/>
      <c r="S2490" s="185"/>
      <c r="T2490" s="185"/>
      <c r="U2490" s="185"/>
      <c r="V2490" s="185"/>
      <c r="W2490" s="185"/>
      <c r="X2490" s="185"/>
      <c r="Y2490" s="3"/>
      <c r="Z2490" s="3"/>
      <c r="AA2490" s="3"/>
      <c r="AB2490" s="3"/>
      <c r="AC2490" s="3"/>
      <c r="AD2490" s="3"/>
      <c r="AE2490" s="3"/>
      <c r="AF2490" s="3"/>
      <c r="AG2490" s="3"/>
      <c r="AH2490" s="3"/>
      <c r="AI2490" s="3"/>
      <c r="AJ2490" s="3"/>
      <c r="AK2490" s="3"/>
      <c r="AL2490" s="3"/>
    </row>
    <row r="2491" ht="15.75" customHeight="1">
      <c r="A2491" s="27">
        <f t="shared" si="21"/>
        <v>1370</v>
      </c>
      <c r="B2491" s="28" t="s">
        <v>8665</v>
      </c>
      <c r="C2491" s="29" t="s">
        <v>8666</v>
      </c>
      <c r="D2491" s="30" t="s">
        <v>8667</v>
      </c>
      <c r="E2491" s="28" t="s">
        <v>144</v>
      </c>
      <c r="F2491" s="28" t="s">
        <v>29</v>
      </c>
      <c r="G2491" s="28" t="s">
        <v>37</v>
      </c>
      <c r="H2491" s="28"/>
      <c r="I2491" s="28" t="s">
        <v>38</v>
      </c>
      <c r="J2491" s="28">
        <v>318.0</v>
      </c>
      <c r="K2491" s="28"/>
      <c r="L2491" s="202" t="s">
        <v>8668</v>
      </c>
      <c r="M2491" s="28" t="s">
        <v>507</v>
      </c>
      <c r="N2491" s="28">
        <v>2004.0</v>
      </c>
      <c r="O2491" s="60">
        <v>13.0</v>
      </c>
      <c r="P2491" s="28">
        <v>1.0</v>
      </c>
      <c r="Q2491" s="32">
        <v>1.0</v>
      </c>
      <c r="R2491" s="33"/>
      <c r="S2491" s="34"/>
      <c r="T2491" s="34"/>
      <c r="U2491" s="34"/>
      <c r="V2491" s="34"/>
      <c r="W2491" s="34"/>
      <c r="X2491" s="34"/>
      <c r="Y2491" s="45"/>
      <c r="Z2491" s="45"/>
      <c r="AA2491" s="45"/>
      <c r="AB2491" s="45"/>
      <c r="AC2491" s="45"/>
      <c r="AD2491" s="45"/>
      <c r="AE2491" s="45"/>
      <c r="AF2491" s="45"/>
      <c r="AG2491" s="45"/>
      <c r="AH2491" s="45"/>
      <c r="AI2491" s="45"/>
      <c r="AJ2491" s="45"/>
      <c r="AK2491" s="45"/>
      <c r="AL2491" s="45"/>
    </row>
    <row r="2492" ht="15.75" customHeight="1">
      <c r="A2492" s="27">
        <f t="shared" si="21"/>
        <v>1371</v>
      </c>
      <c r="B2492" s="28" t="s">
        <v>8669</v>
      </c>
      <c r="C2492" s="43" t="s">
        <v>8670</v>
      </c>
      <c r="D2492" s="30" t="s">
        <v>8671</v>
      </c>
      <c r="E2492" s="28" t="s">
        <v>31</v>
      </c>
      <c r="F2492" s="28" t="s">
        <v>29</v>
      </c>
      <c r="G2492" s="28" t="s">
        <v>30</v>
      </c>
      <c r="H2492" s="28"/>
      <c r="I2492" s="28" t="s">
        <v>30</v>
      </c>
      <c r="J2492" s="28">
        <v>214.0</v>
      </c>
      <c r="K2492" s="28"/>
      <c r="L2492" s="28" t="s">
        <v>4158</v>
      </c>
      <c r="M2492" s="28" t="s">
        <v>161</v>
      </c>
      <c r="N2492" s="28">
        <v>2014.0</v>
      </c>
      <c r="O2492" s="60">
        <v>13.0</v>
      </c>
      <c r="P2492" s="28">
        <v>1.0</v>
      </c>
      <c r="Q2492" s="94">
        <v>1.0</v>
      </c>
      <c r="R2492" s="33"/>
      <c r="S2492" s="116"/>
      <c r="T2492" s="116"/>
      <c r="U2492" s="116"/>
      <c r="V2492" s="116"/>
      <c r="W2492" s="116"/>
      <c r="X2492" s="116"/>
      <c r="Y2492" s="45"/>
      <c r="Z2492" s="45"/>
      <c r="AA2492" s="45"/>
      <c r="AB2492" s="45"/>
      <c r="AC2492" s="45"/>
      <c r="AD2492" s="45"/>
      <c r="AE2492" s="45"/>
      <c r="AF2492" s="45"/>
      <c r="AG2492" s="45"/>
      <c r="AH2492" s="45"/>
      <c r="AI2492" s="45"/>
      <c r="AJ2492" s="45"/>
      <c r="AK2492" s="45"/>
      <c r="AL2492" s="45"/>
    </row>
    <row r="2493" ht="15.75" customHeight="1">
      <c r="A2493" s="27">
        <f t="shared" si="21"/>
        <v>1372</v>
      </c>
      <c r="B2493" s="28" t="s">
        <v>8672</v>
      </c>
      <c r="C2493" s="43" t="s">
        <v>8673</v>
      </c>
      <c r="D2493" s="30" t="s">
        <v>8674</v>
      </c>
      <c r="E2493" s="28" t="s">
        <v>31</v>
      </c>
      <c r="F2493" s="28" t="s">
        <v>29</v>
      </c>
      <c r="G2493" s="28" t="s">
        <v>30</v>
      </c>
      <c r="H2493" s="28"/>
      <c r="I2493" s="28" t="s">
        <v>30</v>
      </c>
      <c r="J2493" s="28">
        <v>303.0</v>
      </c>
      <c r="K2493" s="28"/>
      <c r="L2493" s="28" t="s">
        <v>8675</v>
      </c>
      <c r="M2493" s="28" t="s">
        <v>8676</v>
      </c>
      <c r="N2493" s="28">
        <v>2007.0</v>
      </c>
      <c r="O2493" s="60">
        <v>13.0</v>
      </c>
      <c r="P2493" s="28">
        <v>1.0</v>
      </c>
      <c r="Q2493" s="94">
        <v>1.0</v>
      </c>
      <c r="R2493" s="33"/>
      <c r="S2493" s="185"/>
      <c r="T2493" s="185"/>
      <c r="U2493" s="185"/>
      <c r="V2493" s="185"/>
      <c r="W2493" s="185"/>
      <c r="X2493" s="185"/>
      <c r="Y2493" s="45"/>
      <c r="Z2493" s="45"/>
      <c r="AA2493" s="45"/>
      <c r="AB2493" s="45"/>
      <c r="AC2493" s="45"/>
      <c r="AD2493" s="45"/>
      <c r="AE2493" s="45"/>
      <c r="AF2493" s="45"/>
      <c r="AG2493" s="45"/>
      <c r="AH2493" s="45"/>
      <c r="AI2493" s="45"/>
      <c r="AJ2493" s="45"/>
      <c r="AK2493" s="45"/>
      <c r="AL2493" s="45"/>
    </row>
    <row r="2494" ht="15.75" customHeight="1">
      <c r="A2494" s="27">
        <f t="shared" si="21"/>
        <v>1373</v>
      </c>
      <c r="B2494" s="28" t="s">
        <v>8677</v>
      </c>
      <c r="C2494" s="43" t="s">
        <v>8678</v>
      </c>
      <c r="D2494" s="30" t="s">
        <v>8679</v>
      </c>
      <c r="E2494" s="28" t="s">
        <v>144</v>
      </c>
      <c r="F2494" s="28" t="s">
        <v>29</v>
      </c>
      <c r="G2494" s="28" t="s">
        <v>30</v>
      </c>
      <c r="H2494" s="28"/>
      <c r="I2494" s="28" t="s">
        <v>30</v>
      </c>
      <c r="J2494" s="28">
        <v>336.0</v>
      </c>
      <c r="K2494" s="28"/>
      <c r="L2494" s="28" t="s">
        <v>8680</v>
      </c>
      <c r="M2494" s="28" t="s">
        <v>8681</v>
      </c>
      <c r="N2494" s="28">
        <v>2011.0</v>
      </c>
      <c r="O2494" s="60">
        <v>13.0</v>
      </c>
      <c r="P2494" s="28">
        <v>1.0</v>
      </c>
      <c r="Q2494" s="32">
        <v>1.0</v>
      </c>
      <c r="R2494" s="33"/>
      <c r="S2494" s="34"/>
      <c r="T2494" s="34"/>
      <c r="U2494" s="34"/>
      <c r="V2494" s="34"/>
      <c r="W2494" s="34"/>
      <c r="X2494" s="34"/>
      <c r="Y2494" s="3"/>
      <c r="Z2494" s="3"/>
      <c r="AA2494" s="3"/>
      <c r="AB2494" s="3"/>
      <c r="AC2494" s="3"/>
      <c r="AD2494" s="3"/>
      <c r="AE2494" s="3"/>
      <c r="AF2494" s="3"/>
      <c r="AG2494" s="3"/>
      <c r="AH2494" s="3"/>
      <c r="AI2494" s="3"/>
      <c r="AJ2494" s="3"/>
      <c r="AK2494" s="3"/>
      <c r="AL2494" s="3"/>
    </row>
    <row r="2495" ht="15.75" customHeight="1">
      <c r="A2495" s="27">
        <f t="shared" si="21"/>
        <v>1374</v>
      </c>
      <c r="B2495" s="28" t="s">
        <v>8682</v>
      </c>
      <c r="C2495" s="43" t="s">
        <v>8683</v>
      </c>
      <c r="D2495" s="30" t="s">
        <v>8684</v>
      </c>
      <c r="E2495" s="28" t="s">
        <v>144</v>
      </c>
      <c r="F2495" s="28" t="s">
        <v>29</v>
      </c>
      <c r="G2495" s="28" t="s">
        <v>30</v>
      </c>
      <c r="H2495" s="28"/>
      <c r="I2495" s="28" t="s">
        <v>30</v>
      </c>
      <c r="J2495" s="28">
        <v>160.0</v>
      </c>
      <c r="K2495" s="28"/>
      <c r="L2495" s="28" t="s">
        <v>4887</v>
      </c>
      <c r="M2495" s="28" t="s">
        <v>161</v>
      </c>
      <c r="N2495" s="28">
        <v>2007.0</v>
      </c>
      <c r="O2495" s="60">
        <v>13.0</v>
      </c>
      <c r="P2495" s="28">
        <v>1.0</v>
      </c>
      <c r="Q2495" s="94">
        <v>1.0</v>
      </c>
      <c r="R2495" s="33"/>
      <c r="S2495" s="34"/>
      <c r="T2495" s="34"/>
      <c r="U2495" s="34"/>
      <c r="V2495" s="34"/>
      <c r="W2495" s="34"/>
      <c r="X2495" s="34"/>
      <c r="Y2495" s="45"/>
      <c r="Z2495" s="45"/>
      <c r="AA2495" s="45"/>
      <c r="AB2495" s="45"/>
      <c r="AC2495" s="45"/>
      <c r="AD2495" s="45"/>
      <c r="AE2495" s="45"/>
      <c r="AF2495" s="45"/>
      <c r="AG2495" s="45"/>
      <c r="AH2495" s="45"/>
      <c r="AI2495" s="45"/>
      <c r="AJ2495" s="45"/>
      <c r="AK2495" s="45"/>
      <c r="AL2495" s="45"/>
    </row>
    <row r="2496" ht="15.75" customHeight="1">
      <c r="A2496" s="27">
        <f t="shared" si="21"/>
        <v>1375</v>
      </c>
      <c r="B2496" s="28" t="s">
        <v>8685</v>
      </c>
      <c r="C2496" s="43" t="s">
        <v>8686</v>
      </c>
      <c r="D2496" s="30" t="s">
        <v>8687</v>
      </c>
      <c r="E2496" s="28" t="s">
        <v>144</v>
      </c>
      <c r="F2496" s="28" t="s">
        <v>29</v>
      </c>
      <c r="G2496" s="28" t="s">
        <v>30</v>
      </c>
      <c r="H2496" s="28"/>
      <c r="I2496" s="28" t="s">
        <v>30</v>
      </c>
      <c r="J2496" s="28">
        <v>250.0</v>
      </c>
      <c r="K2496" s="28"/>
      <c r="L2496" s="28" t="s">
        <v>3081</v>
      </c>
      <c r="M2496" s="28" t="s">
        <v>161</v>
      </c>
      <c r="N2496" s="28">
        <v>2005.0</v>
      </c>
      <c r="O2496" s="60">
        <v>13.0</v>
      </c>
      <c r="P2496" s="28">
        <v>2.0</v>
      </c>
      <c r="Q2496" s="32">
        <v>2.0</v>
      </c>
      <c r="R2496" s="33"/>
      <c r="S2496" s="34"/>
      <c r="T2496" s="34"/>
      <c r="U2496" s="34"/>
      <c r="V2496" s="34"/>
      <c r="W2496" s="34"/>
      <c r="X2496" s="34"/>
      <c r="Y2496" s="3"/>
      <c r="Z2496" s="3"/>
      <c r="AA2496" s="3"/>
      <c r="AB2496" s="3"/>
      <c r="AC2496" s="3"/>
      <c r="AD2496" s="3"/>
      <c r="AE2496" s="3"/>
      <c r="AF2496" s="3"/>
      <c r="AG2496" s="3"/>
      <c r="AH2496" s="3"/>
      <c r="AI2496" s="3"/>
      <c r="AJ2496" s="3"/>
      <c r="AK2496" s="3"/>
      <c r="AL2496" s="3"/>
    </row>
    <row r="2497" ht="15.75" customHeight="1">
      <c r="A2497" s="27">
        <f t="shared" si="21"/>
        <v>1376</v>
      </c>
      <c r="B2497" s="28" t="s">
        <v>8688</v>
      </c>
      <c r="C2497" s="43" t="s">
        <v>8689</v>
      </c>
      <c r="D2497" s="30" t="s">
        <v>8690</v>
      </c>
      <c r="E2497" s="28" t="s">
        <v>144</v>
      </c>
      <c r="F2497" s="28" t="s">
        <v>29</v>
      </c>
      <c r="G2497" s="28" t="s">
        <v>30</v>
      </c>
      <c r="H2497" s="28"/>
      <c r="I2497" s="28" t="s">
        <v>30</v>
      </c>
      <c r="J2497" s="28">
        <v>121.0</v>
      </c>
      <c r="K2497" s="28"/>
      <c r="L2497" s="28" t="s">
        <v>8691</v>
      </c>
      <c r="M2497" s="28" t="s">
        <v>8681</v>
      </c>
      <c r="N2497" s="28">
        <v>2010.0</v>
      </c>
      <c r="O2497" s="60">
        <v>13.0</v>
      </c>
      <c r="P2497" s="28">
        <v>2.0</v>
      </c>
      <c r="Q2497" s="32">
        <v>2.0</v>
      </c>
      <c r="R2497" s="33"/>
      <c r="S2497" s="34"/>
      <c r="T2497" s="34"/>
      <c r="U2497" s="34"/>
      <c r="V2497" s="34"/>
      <c r="W2497" s="34"/>
      <c r="X2497" s="34"/>
      <c r="Y2497" s="3"/>
      <c r="Z2497" s="3"/>
      <c r="AA2497" s="3"/>
      <c r="AB2497" s="3"/>
      <c r="AC2497" s="3"/>
      <c r="AD2497" s="3"/>
      <c r="AE2497" s="3"/>
      <c r="AF2497" s="3"/>
      <c r="AG2497" s="3"/>
      <c r="AH2497" s="3"/>
      <c r="AI2497" s="3"/>
      <c r="AJ2497" s="3"/>
      <c r="AK2497" s="3"/>
      <c r="AL2497" s="3"/>
    </row>
    <row r="2498" ht="15.75" customHeight="1">
      <c r="A2498" s="27">
        <f t="shared" si="21"/>
        <v>1377</v>
      </c>
      <c r="B2498" s="28" t="s">
        <v>8692</v>
      </c>
      <c r="C2498" s="43" t="s">
        <v>8693</v>
      </c>
      <c r="D2498" s="30" t="s">
        <v>8694</v>
      </c>
      <c r="E2498" s="28" t="s">
        <v>144</v>
      </c>
      <c r="F2498" s="28" t="s">
        <v>29</v>
      </c>
      <c r="G2498" s="28" t="s">
        <v>30</v>
      </c>
      <c r="H2498" s="28"/>
      <c r="I2498" s="28" t="s">
        <v>30</v>
      </c>
      <c r="J2498" s="28">
        <v>184.0</v>
      </c>
      <c r="K2498" s="28"/>
      <c r="L2498" s="28" t="s">
        <v>8695</v>
      </c>
      <c r="M2498" s="28" t="s">
        <v>544</v>
      </c>
      <c r="N2498" s="28">
        <v>2011.0</v>
      </c>
      <c r="O2498" s="62">
        <v>12.0</v>
      </c>
      <c r="P2498" s="28">
        <v>1.0</v>
      </c>
      <c r="Q2498" s="94">
        <v>1.0</v>
      </c>
      <c r="R2498" s="33"/>
      <c r="S2498" s="185"/>
      <c r="T2498" s="185"/>
      <c r="U2498" s="185"/>
      <c r="V2498" s="185"/>
      <c r="W2498" s="185"/>
      <c r="X2498" s="185"/>
      <c r="Y2498" s="3"/>
      <c r="Z2498" s="3"/>
      <c r="AA2498" s="3"/>
      <c r="AB2498" s="3"/>
      <c r="AC2498" s="3"/>
      <c r="AD2498" s="3"/>
      <c r="AE2498" s="3"/>
      <c r="AF2498" s="3"/>
      <c r="AG2498" s="3"/>
      <c r="AH2498" s="3"/>
      <c r="AI2498" s="3"/>
      <c r="AJ2498" s="3"/>
      <c r="AK2498" s="3"/>
      <c r="AL2498" s="3"/>
    </row>
    <row r="2499" ht="15.75" customHeight="1">
      <c r="A2499" s="27">
        <f t="shared" si="21"/>
        <v>1378</v>
      </c>
      <c r="B2499" s="28" t="s">
        <v>31</v>
      </c>
      <c r="C2499" s="43" t="s">
        <v>8696</v>
      </c>
      <c r="D2499" s="30" t="s">
        <v>8697</v>
      </c>
      <c r="E2499" s="28"/>
      <c r="F2499" s="28" t="s">
        <v>29</v>
      </c>
      <c r="G2499" s="28" t="s">
        <v>31</v>
      </c>
      <c r="H2499" s="28"/>
      <c r="I2499" s="28" t="s">
        <v>38</v>
      </c>
      <c r="J2499" s="28">
        <v>278.0</v>
      </c>
      <c r="K2499" s="28"/>
      <c r="L2499" s="28" t="s">
        <v>8698</v>
      </c>
      <c r="M2499" s="28" t="s">
        <v>8699</v>
      </c>
      <c r="N2499" s="28">
        <v>1974.0</v>
      </c>
      <c r="O2499" s="28">
        <v>13.0</v>
      </c>
      <c r="P2499" s="28">
        <v>1.0</v>
      </c>
      <c r="Q2499" s="32">
        <v>1.0</v>
      </c>
      <c r="R2499" s="33"/>
      <c r="S2499" s="116"/>
      <c r="T2499" s="116"/>
      <c r="U2499" s="116"/>
      <c r="V2499" s="116"/>
      <c r="W2499" s="116"/>
      <c r="X2499" s="116"/>
      <c r="Y2499" s="3"/>
      <c r="Z2499" s="3"/>
      <c r="AA2499" s="3"/>
      <c r="AB2499" s="3"/>
      <c r="AC2499" s="3"/>
      <c r="AD2499" s="3"/>
      <c r="AE2499" s="3"/>
      <c r="AF2499" s="3"/>
      <c r="AG2499" s="3"/>
      <c r="AH2499" s="3"/>
      <c r="AI2499" s="3"/>
      <c r="AJ2499" s="3"/>
      <c r="AK2499" s="3"/>
      <c r="AL2499" s="3"/>
    </row>
    <row r="2500" ht="15.75" customHeight="1">
      <c r="A2500" s="27">
        <f t="shared" si="21"/>
        <v>1379</v>
      </c>
      <c r="B2500" s="28" t="s">
        <v>31</v>
      </c>
      <c r="C2500" s="43" t="s">
        <v>8700</v>
      </c>
      <c r="D2500" s="30" t="s">
        <v>8701</v>
      </c>
      <c r="E2500" s="28" t="s">
        <v>144</v>
      </c>
      <c r="F2500" s="28" t="s">
        <v>29</v>
      </c>
      <c r="G2500" s="28" t="s">
        <v>30</v>
      </c>
      <c r="H2500" s="28"/>
      <c r="I2500" s="28" t="s">
        <v>30</v>
      </c>
      <c r="J2500" s="28">
        <v>99.0</v>
      </c>
      <c r="K2500" s="28"/>
      <c r="L2500" s="28" t="s">
        <v>8702</v>
      </c>
      <c r="M2500" s="28" t="s">
        <v>151</v>
      </c>
      <c r="N2500" s="28" t="s">
        <v>31</v>
      </c>
      <c r="O2500" s="28">
        <v>13.0</v>
      </c>
      <c r="P2500" s="28">
        <v>1.0</v>
      </c>
      <c r="Q2500" s="32">
        <v>1.0</v>
      </c>
      <c r="R2500" s="33"/>
      <c r="S2500" s="185"/>
      <c r="T2500" s="185"/>
      <c r="U2500" s="185"/>
      <c r="V2500" s="185"/>
      <c r="W2500" s="185"/>
      <c r="X2500" s="185"/>
      <c r="Y2500" s="3"/>
      <c r="Z2500" s="3"/>
      <c r="AA2500" s="3"/>
      <c r="AB2500" s="3"/>
      <c r="AC2500" s="3"/>
      <c r="AD2500" s="3"/>
      <c r="AE2500" s="3"/>
      <c r="AF2500" s="3"/>
      <c r="AG2500" s="3"/>
      <c r="AH2500" s="3"/>
      <c r="AI2500" s="3"/>
      <c r="AJ2500" s="3"/>
      <c r="AK2500" s="3"/>
      <c r="AL2500" s="3"/>
    </row>
    <row r="2501" ht="15.75" customHeight="1">
      <c r="A2501" s="27">
        <f t="shared" si="21"/>
        <v>1380</v>
      </c>
      <c r="B2501" s="28" t="s">
        <v>31</v>
      </c>
      <c r="C2501" s="43" t="s">
        <v>8703</v>
      </c>
      <c r="D2501" s="30" t="s">
        <v>8704</v>
      </c>
      <c r="E2501" s="28" t="s">
        <v>144</v>
      </c>
      <c r="F2501" s="28" t="s">
        <v>29</v>
      </c>
      <c r="G2501" s="28" t="s">
        <v>30</v>
      </c>
      <c r="H2501" s="28"/>
      <c r="I2501" s="28" t="s">
        <v>30</v>
      </c>
      <c r="J2501" s="28">
        <f>361+10</f>
        <v>371</v>
      </c>
      <c r="K2501" s="28"/>
      <c r="L2501" s="28" t="s">
        <v>8705</v>
      </c>
      <c r="M2501" s="28" t="s">
        <v>8706</v>
      </c>
      <c r="N2501" s="28">
        <v>2000.0</v>
      </c>
      <c r="O2501" s="28">
        <v>13.0</v>
      </c>
      <c r="P2501" s="28">
        <v>1.0</v>
      </c>
      <c r="Q2501" s="32">
        <v>1.0</v>
      </c>
      <c r="R2501" s="33"/>
      <c r="S2501" s="185"/>
      <c r="T2501" s="185"/>
      <c r="U2501" s="185"/>
      <c r="V2501" s="185"/>
      <c r="W2501" s="185"/>
      <c r="X2501" s="185"/>
      <c r="Y2501" s="3"/>
      <c r="Z2501" s="3"/>
      <c r="AA2501" s="3"/>
      <c r="AB2501" s="3"/>
      <c r="AC2501" s="3"/>
      <c r="AD2501" s="3"/>
      <c r="AE2501" s="3"/>
      <c r="AF2501" s="3"/>
      <c r="AG2501" s="3"/>
      <c r="AH2501" s="3"/>
      <c r="AI2501" s="3"/>
      <c r="AJ2501" s="3"/>
      <c r="AK2501" s="3"/>
      <c r="AL2501" s="3"/>
    </row>
    <row r="2502" ht="15.75" customHeight="1">
      <c r="A2502" s="27">
        <f t="shared" si="21"/>
        <v>1381</v>
      </c>
      <c r="B2502" s="28" t="s">
        <v>8707</v>
      </c>
      <c r="C2502" s="43" t="s">
        <v>8708</v>
      </c>
      <c r="D2502" s="30" t="s">
        <v>8709</v>
      </c>
      <c r="E2502" s="28" t="s">
        <v>144</v>
      </c>
      <c r="F2502" s="28" t="s">
        <v>29</v>
      </c>
      <c r="G2502" s="28" t="s">
        <v>30</v>
      </c>
      <c r="H2502" s="28"/>
      <c r="I2502" s="28" t="s">
        <v>30</v>
      </c>
      <c r="J2502" s="28">
        <f>346+30</f>
        <v>376</v>
      </c>
      <c r="K2502" s="28"/>
      <c r="L2502" s="28" t="s">
        <v>1033</v>
      </c>
      <c r="M2502" s="28" t="s">
        <v>2405</v>
      </c>
      <c r="N2502" s="28">
        <v>2007.0</v>
      </c>
      <c r="O2502" s="28">
        <v>13.0</v>
      </c>
      <c r="P2502" s="28">
        <v>1.0</v>
      </c>
      <c r="Q2502" s="94">
        <v>1.0</v>
      </c>
      <c r="R2502" s="33"/>
      <c r="S2502" s="185"/>
      <c r="T2502" s="185"/>
      <c r="U2502" s="185"/>
      <c r="V2502" s="185"/>
      <c r="W2502" s="185"/>
      <c r="X2502" s="185"/>
      <c r="Y2502" s="45"/>
      <c r="Z2502" s="45"/>
      <c r="AA2502" s="45"/>
      <c r="AB2502" s="45"/>
      <c r="AC2502" s="45"/>
      <c r="AD2502" s="45"/>
      <c r="AE2502" s="45"/>
      <c r="AF2502" s="45"/>
      <c r="AG2502" s="45"/>
      <c r="AH2502" s="45"/>
      <c r="AI2502" s="45"/>
      <c r="AJ2502" s="45"/>
      <c r="AK2502" s="45"/>
      <c r="AL2502" s="45"/>
    </row>
    <row r="2503" ht="15.75" customHeight="1">
      <c r="A2503" s="27">
        <f t="shared" si="21"/>
        <v>1382</v>
      </c>
      <c r="B2503" s="28" t="s">
        <v>8710</v>
      </c>
      <c r="C2503" s="43" t="s">
        <v>8711</v>
      </c>
      <c r="D2503" s="30" t="s">
        <v>8712</v>
      </c>
      <c r="E2503" s="28" t="s">
        <v>144</v>
      </c>
      <c r="F2503" s="28" t="s">
        <v>29</v>
      </c>
      <c r="G2503" s="28" t="s">
        <v>30</v>
      </c>
      <c r="H2503" s="28"/>
      <c r="I2503" s="28" t="s">
        <v>30</v>
      </c>
      <c r="J2503" s="28">
        <f>1019+18</f>
        <v>1037</v>
      </c>
      <c r="K2503" s="28"/>
      <c r="L2503" s="28" t="s">
        <v>709</v>
      </c>
      <c r="M2503" s="28" t="s">
        <v>8713</v>
      </c>
      <c r="N2503" s="28">
        <v>2003.0</v>
      </c>
      <c r="O2503" s="28">
        <v>13.0</v>
      </c>
      <c r="P2503" s="28">
        <v>1.0</v>
      </c>
      <c r="Q2503" s="94">
        <v>1.0</v>
      </c>
      <c r="R2503" s="33"/>
      <c r="S2503" s="185"/>
      <c r="T2503" s="185"/>
      <c r="U2503" s="185"/>
      <c r="V2503" s="185"/>
      <c r="W2503" s="185"/>
      <c r="X2503" s="185"/>
      <c r="Y2503" s="3"/>
      <c r="Z2503" s="3"/>
      <c r="AA2503" s="3"/>
      <c r="AB2503" s="3"/>
      <c r="AC2503" s="3"/>
      <c r="AD2503" s="3"/>
      <c r="AE2503" s="3"/>
      <c r="AF2503" s="3"/>
      <c r="AG2503" s="3"/>
      <c r="AH2503" s="3"/>
      <c r="AI2503" s="3"/>
      <c r="AJ2503" s="3"/>
      <c r="AK2503" s="3"/>
      <c r="AL2503" s="3"/>
    </row>
    <row r="2504" ht="15.75" customHeight="1">
      <c r="A2504" s="27">
        <f t="shared" si="21"/>
        <v>1383</v>
      </c>
      <c r="B2504" s="28" t="s">
        <v>8714</v>
      </c>
      <c r="C2504" s="43" t="s">
        <v>8715</v>
      </c>
      <c r="D2504" s="30" t="s">
        <v>8716</v>
      </c>
      <c r="E2504" s="28" t="s">
        <v>302</v>
      </c>
      <c r="F2504" s="28" t="s">
        <v>29</v>
      </c>
      <c r="G2504" s="28" t="s">
        <v>30</v>
      </c>
      <c r="H2504" s="28"/>
      <c r="I2504" s="28" t="s">
        <v>30</v>
      </c>
      <c r="J2504" s="28">
        <f>560+16</f>
        <v>576</v>
      </c>
      <c r="K2504" s="28"/>
      <c r="L2504" s="28" t="s">
        <v>8717</v>
      </c>
      <c r="M2504" s="28" t="s">
        <v>213</v>
      </c>
      <c r="N2504" s="28">
        <v>2010.0</v>
      </c>
      <c r="O2504" s="28">
        <v>13.0</v>
      </c>
      <c r="P2504" s="28">
        <v>1.0</v>
      </c>
      <c r="Q2504" s="32">
        <v>1.0</v>
      </c>
      <c r="R2504" s="33"/>
      <c r="S2504" s="185"/>
      <c r="T2504" s="185"/>
      <c r="U2504" s="185"/>
      <c r="V2504" s="185"/>
      <c r="W2504" s="185"/>
      <c r="X2504" s="185"/>
      <c r="Y2504" s="3"/>
      <c r="Z2504" s="3"/>
      <c r="AA2504" s="3"/>
      <c r="AB2504" s="3"/>
      <c r="AC2504" s="3"/>
      <c r="AD2504" s="3"/>
      <c r="AE2504" s="3"/>
      <c r="AF2504" s="3"/>
      <c r="AG2504" s="3"/>
      <c r="AH2504" s="3"/>
      <c r="AI2504" s="3"/>
      <c r="AJ2504" s="3"/>
      <c r="AK2504" s="3"/>
      <c r="AL2504" s="3"/>
    </row>
    <row r="2505" ht="15.75" customHeight="1">
      <c r="A2505" s="27">
        <f t="shared" si="21"/>
        <v>1384</v>
      </c>
      <c r="B2505" s="28" t="s">
        <v>8718</v>
      </c>
      <c r="C2505" s="43" t="s">
        <v>8719</v>
      </c>
      <c r="D2505" s="30" t="s">
        <v>8720</v>
      </c>
      <c r="E2505" s="28"/>
      <c r="F2505" s="28" t="s">
        <v>29</v>
      </c>
      <c r="G2505" s="28" t="s">
        <v>30</v>
      </c>
      <c r="H2505" s="28"/>
      <c r="I2505" s="28" t="s">
        <v>30</v>
      </c>
      <c r="J2505" s="28">
        <v>300.0</v>
      </c>
      <c r="K2505" s="28"/>
      <c r="L2505" s="28" t="s">
        <v>8721</v>
      </c>
      <c r="M2505" s="28" t="s">
        <v>8722</v>
      </c>
      <c r="N2505" s="28">
        <v>2004.0</v>
      </c>
      <c r="O2505" s="28">
        <v>13.0</v>
      </c>
      <c r="P2505" s="28">
        <v>1.0</v>
      </c>
      <c r="Q2505" s="32">
        <v>1.0</v>
      </c>
      <c r="R2505" s="33"/>
      <c r="S2505" s="185"/>
      <c r="T2505" s="185"/>
      <c r="U2505" s="185"/>
      <c r="V2505" s="185"/>
      <c r="W2505" s="185"/>
      <c r="X2505" s="185"/>
      <c r="Y2505" s="3"/>
      <c r="Z2505" s="3"/>
      <c r="AA2505" s="3"/>
      <c r="AB2505" s="3"/>
      <c r="AC2505" s="3"/>
      <c r="AD2505" s="3"/>
      <c r="AE2505" s="3"/>
      <c r="AF2505" s="3"/>
      <c r="AG2505" s="3"/>
      <c r="AH2505" s="3"/>
      <c r="AI2505" s="3"/>
      <c r="AJ2505" s="3"/>
      <c r="AK2505" s="3"/>
      <c r="AL2505" s="3"/>
    </row>
    <row r="2506" ht="15.75" customHeight="1">
      <c r="A2506" s="27">
        <f t="shared" si="21"/>
        <v>1385</v>
      </c>
      <c r="B2506" s="28" t="s">
        <v>31</v>
      </c>
      <c r="C2506" s="43" t="s">
        <v>8723</v>
      </c>
      <c r="D2506" s="30" t="s">
        <v>8724</v>
      </c>
      <c r="E2506" s="28"/>
      <c r="F2506" s="28" t="s">
        <v>29</v>
      </c>
      <c r="G2506" s="28" t="s">
        <v>30</v>
      </c>
      <c r="H2506" s="28"/>
      <c r="I2506" s="28" t="s">
        <v>30</v>
      </c>
      <c r="J2506" s="28">
        <v>366.0</v>
      </c>
      <c r="K2506" s="28"/>
      <c r="L2506" s="28" t="s">
        <v>8725</v>
      </c>
      <c r="M2506" s="28" t="s">
        <v>31</v>
      </c>
      <c r="N2506" s="28">
        <v>1964.0</v>
      </c>
      <c r="O2506" s="28">
        <v>13.0</v>
      </c>
      <c r="P2506" s="28">
        <v>1.0</v>
      </c>
      <c r="Q2506" s="32">
        <v>1.0</v>
      </c>
      <c r="R2506" s="33"/>
      <c r="S2506" s="185"/>
      <c r="T2506" s="185"/>
      <c r="U2506" s="185"/>
      <c r="V2506" s="185"/>
      <c r="W2506" s="185"/>
      <c r="X2506" s="185"/>
      <c r="Y2506" s="3"/>
      <c r="Z2506" s="3"/>
      <c r="AA2506" s="3"/>
      <c r="AB2506" s="3"/>
      <c r="AC2506" s="3"/>
      <c r="AD2506" s="3"/>
      <c r="AE2506" s="3"/>
      <c r="AF2506" s="3"/>
      <c r="AG2506" s="3"/>
      <c r="AH2506" s="3"/>
      <c r="AI2506" s="3"/>
      <c r="AJ2506" s="3"/>
      <c r="AK2506" s="3"/>
      <c r="AL2506" s="3"/>
    </row>
    <row r="2507" ht="15.75" customHeight="1">
      <c r="A2507" s="27">
        <f t="shared" si="21"/>
        <v>1386</v>
      </c>
      <c r="B2507" s="28" t="s">
        <v>8726</v>
      </c>
      <c r="C2507" s="43" t="s">
        <v>8727</v>
      </c>
      <c r="D2507" s="30" t="s">
        <v>8728</v>
      </c>
      <c r="E2507" s="28" t="s">
        <v>31</v>
      </c>
      <c r="F2507" s="28" t="s">
        <v>29</v>
      </c>
      <c r="G2507" s="28" t="s">
        <v>30</v>
      </c>
      <c r="H2507" s="28"/>
      <c r="I2507" s="28" t="s">
        <v>30</v>
      </c>
      <c r="J2507" s="28">
        <v>428.0</v>
      </c>
      <c r="K2507" s="28"/>
      <c r="L2507" s="28" t="s">
        <v>8729</v>
      </c>
      <c r="M2507" s="28" t="s">
        <v>146</v>
      </c>
      <c r="N2507" s="28">
        <v>2008.0</v>
      </c>
      <c r="O2507" s="31">
        <v>12.0</v>
      </c>
      <c r="P2507" s="28">
        <v>1.0</v>
      </c>
      <c r="Q2507" s="94">
        <v>1.0</v>
      </c>
      <c r="R2507" s="33"/>
      <c r="S2507" s="185"/>
      <c r="T2507" s="185"/>
      <c r="U2507" s="185"/>
      <c r="V2507" s="185"/>
      <c r="W2507" s="185"/>
      <c r="X2507" s="185"/>
      <c r="Y2507" s="3"/>
      <c r="Z2507" s="3"/>
      <c r="AA2507" s="3"/>
      <c r="AB2507" s="3"/>
      <c r="AC2507" s="3"/>
      <c r="AD2507" s="3"/>
      <c r="AE2507" s="3"/>
      <c r="AF2507" s="3"/>
      <c r="AG2507" s="3"/>
      <c r="AH2507" s="3"/>
      <c r="AI2507" s="3"/>
      <c r="AJ2507" s="3"/>
      <c r="AK2507" s="3"/>
      <c r="AL2507" s="3"/>
    </row>
    <row r="2508" ht="15.75" customHeight="1">
      <c r="A2508" s="27">
        <f t="shared" si="21"/>
        <v>1387</v>
      </c>
      <c r="B2508" s="28" t="s">
        <v>8730</v>
      </c>
      <c r="C2508" s="29" t="s">
        <v>8731</v>
      </c>
      <c r="D2508" s="30" t="s">
        <v>8732</v>
      </c>
      <c r="E2508" s="28"/>
      <c r="F2508" s="28" t="s">
        <v>29</v>
      </c>
      <c r="G2508" s="28" t="s">
        <v>30</v>
      </c>
      <c r="H2508" s="28"/>
      <c r="I2508" s="28" t="s">
        <v>30</v>
      </c>
      <c r="J2508" s="28">
        <v>80.0</v>
      </c>
      <c r="K2508" s="28"/>
      <c r="L2508" s="28" t="s">
        <v>31</v>
      </c>
      <c r="M2508" s="28" t="s">
        <v>3335</v>
      </c>
      <c r="N2508" s="28">
        <v>2003.0</v>
      </c>
      <c r="O2508" s="60">
        <v>13.0</v>
      </c>
      <c r="P2508" s="28">
        <v>1.0</v>
      </c>
      <c r="Q2508" s="32">
        <v>1.0</v>
      </c>
      <c r="R2508" s="33"/>
      <c r="S2508" s="185"/>
      <c r="T2508" s="185"/>
      <c r="U2508" s="185"/>
      <c r="V2508" s="185"/>
      <c r="W2508" s="185"/>
      <c r="X2508" s="185"/>
      <c r="Y2508" s="45"/>
      <c r="Z2508" s="45"/>
      <c r="AA2508" s="45"/>
      <c r="AB2508" s="45"/>
      <c r="AC2508" s="45"/>
      <c r="AD2508" s="45"/>
      <c r="AE2508" s="45"/>
      <c r="AF2508" s="45"/>
      <c r="AG2508" s="45"/>
      <c r="AH2508" s="45"/>
      <c r="AI2508" s="45"/>
      <c r="AJ2508" s="45"/>
      <c r="AK2508" s="45"/>
      <c r="AL2508" s="45"/>
    </row>
    <row r="2509" ht="15.75" customHeight="1">
      <c r="A2509" s="27">
        <f t="shared" si="21"/>
        <v>1388</v>
      </c>
      <c r="B2509" s="28" t="s">
        <v>8733</v>
      </c>
      <c r="C2509" s="43" t="s">
        <v>8734</v>
      </c>
      <c r="D2509" s="30" t="s">
        <v>8735</v>
      </c>
      <c r="E2509" s="28" t="s">
        <v>144</v>
      </c>
      <c r="F2509" s="28" t="s">
        <v>29</v>
      </c>
      <c r="G2509" s="28" t="s">
        <v>37</v>
      </c>
      <c r="H2509" s="28"/>
      <c r="I2509" s="28" t="s">
        <v>38</v>
      </c>
      <c r="J2509" s="28">
        <v>208.0</v>
      </c>
      <c r="K2509" s="28"/>
      <c r="L2509" s="28" t="s">
        <v>8736</v>
      </c>
      <c r="M2509" s="28" t="s">
        <v>236</v>
      </c>
      <c r="N2509" s="28">
        <v>1983.0</v>
      </c>
      <c r="O2509" s="60">
        <v>13.0</v>
      </c>
      <c r="P2509" s="28">
        <v>1.0</v>
      </c>
      <c r="Q2509" s="32">
        <v>1.0</v>
      </c>
      <c r="R2509" s="33"/>
      <c r="S2509" s="185"/>
      <c r="T2509" s="185"/>
      <c r="U2509" s="185"/>
      <c r="V2509" s="185"/>
      <c r="W2509" s="185"/>
      <c r="X2509" s="185"/>
      <c r="Y2509" s="45"/>
      <c r="Z2509" s="45"/>
      <c r="AA2509" s="45"/>
      <c r="AB2509" s="45"/>
      <c r="AC2509" s="45"/>
      <c r="AD2509" s="45"/>
      <c r="AE2509" s="45"/>
      <c r="AF2509" s="45"/>
      <c r="AG2509" s="45"/>
      <c r="AH2509" s="45"/>
      <c r="AI2509" s="45"/>
      <c r="AJ2509" s="45"/>
      <c r="AK2509" s="45"/>
      <c r="AL2509" s="45"/>
    </row>
    <row r="2510" ht="15.75" customHeight="1">
      <c r="A2510" s="27">
        <f t="shared" si="21"/>
        <v>1389</v>
      </c>
      <c r="B2510" s="28" t="s">
        <v>8737</v>
      </c>
      <c r="C2510" s="43" t="s">
        <v>8738</v>
      </c>
      <c r="D2510" s="30" t="s">
        <v>8739</v>
      </c>
      <c r="E2510" s="28" t="s">
        <v>144</v>
      </c>
      <c r="F2510" s="28" t="s">
        <v>29</v>
      </c>
      <c r="G2510" s="28" t="s">
        <v>127</v>
      </c>
      <c r="H2510" s="28"/>
      <c r="I2510" s="28" t="s">
        <v>8740</v>
      </c>
      <c r="J2510" s="28">
        <v>115.0</v>
      </c>
      <c r="K2510" s="28"/>
      <c r="L2510" s="28"/>
      <c r="M2510" s="28" t="s">
        <v>8741</v>
      </c>
      <c r="N2510" s="28">
        <v>2000.0</v>
      </c>
      <c r="O2510" s="60">
        <v>13.0</v>
      </c>
      <c r="P2510" s="28">
        <v>2.0</v>
      </c>
      <c r="Q2510" s="94">
        <v>2.0</v>
      </c>
      <c r="R2510" s="33"/>
      <c r="S2510" s="185"/>
      <c r="T2510" s="185"/>
      <c r="U2510" s="185"/>
      <c r="V2510" s="185"/>
      <c r="W2510" s="185"/>
      <c r="X2510" s="185"/>
      <c r="Y2510" s="3"/>
      <c r="Z2510" s="3"/>
      <c r="AA2510" s="3"/>
      <c r="AB2510" s="3"/>
      <c r="AC2510" s="3"/>
      <c r="AD2510" s="3"/>
      <c r="AE2510" s="3"/>
      <c r="AF2510" s="3"/>
      <c r="AG2510" s="3"/>
      <c r="AH2510" s="3"/>
      <c r="AI2510" s="3"/>
      <c r="AJ2510" s="3"/>
      <c r="AK2510" s="3"/>
      <c r="AL2510" s="3"/>
    </row>
    <row r="2511" ht="15.75" customHeight="1">
      <c r="A2511" s="27">
        <f t="shared" si="21"/>
        <v>1390</v>
      </c>
      <c r="B2511" s="28" t="s">
        <v>8742</v>
      </c>
      <c r="C2511" s="43" t="s">
        <v>8743</v>
      </c>
      <c r="D2511" s="30" t="s">
        <v>8744</v>
      </c>
      <c r="E2511" s="28" t="s">
        <v>144</v>
      </c>
      <c r="F2511" s="28" t="s">
        <v>29</v>
      </c>
      <c r="G2511" s="28" t="s">
        <v>37</v>
      </c>
      <c r="H2511" s="28"/>
      <c r="I2511" s="60" t="s">
        <v>38</v>
      </c>
      <c r="J2511" s="28">
        <v>704.0</v>
      </c>
      <c r="K2511" s="28"/>
      <c r="L2511" s="28" t="s">
        <v>8745</v>
      </c>
      <c r="M2511" s="28" t="s">
        <v>8746</v>
      </c>
      <c r="N2511" s="28">
        <v>2002.0</v>
      </c>
      <c r="O2511" s="121">
        <v>13.0</v>
      </c>
      <c r="P2511" s="28">
        <v>1.0</v>
      </c>
      <c r="Q2511" s="32">
        <v>1.0</v>
      </c>
      <c r="R2511" s="33"/>
      <c r="S2511" s="185"/>
      <c r="T2511" s="185"/>
      <c r="U2511" s="185"/>
      <c r="V2511" s="185"/>
      <c r="W2511" s="185"/>
      <c r="X2511" s="185"/>
      <c r="Y2511" s="3"/>
      <c r="Z2511" s="3"/>
      <c r="AA2511" s="3"/>
      <c r="AB2511" s="3"/>
      <c r="AC2511" s="3"/>
      <c r="AD2511" s="3"/>
      <c r="AE2511" s="3"/>
      <c r="AF2511" s="3"/>
      <c r="AG2511" s="3"/>
      <c r="AH2511" s="3"/>
      <c r="AI2511" s="3"/>
      <c r="AJ2511" s="3"/>
      <c r="AK2511" s="3"/>
      <c r="AL2511" s="3"/>
    </row>
    <row r="2512" ht="15.75" customHeight="1">
      <c r="A2512" s="27">
        <f t="shared" si="21"/>
        <v>1391</v>
      </c>
      <c r="B2512" s="28"/>
      <c r="C2512" s="43" t="s">
        <v>8747</v>
      </c>
      <c r="D2512" s="30" t="s">
        <v>8748</v>
      </c>
      <c r="E2512" s="28" t="s">
        <v>144</v>
      </c>
      <c r="F2512" s="28" t="s">
        <v>29</v>
      </c>
      <c r="G2512" s="28" t="s">
        <v>30</v>
      </c>
      <c r="H2512" s="28"/>
      <c r="I2512" s="28" t="s">
        <v>30</v>
      </c>
      <c r="J2512" s="28">
        <f>200</f>
        <v>200</v>
      </c>
      <c r="K2512" s="28"/>
      <c r="L2512" s="28" t="s">
        <v>8749</v>
      </c>
      <c r="M2512" s="28" t="s">
        <v>8676</v>
      </c>
      <c r="N2512" s="28">
        <v>2003.0</v>
      </c>
      <c r="O2512" s="121">
        <v>13.0</v>
      </c>
      <c r="P2512" s="28">
        <v>1.0</v>
      </c>
      <c r="Q2512" s="94">
        <v>1.0</v>
      </c>
      <c r="R2512" s="33"/>
      <c r="S2512" s="185"/>
      <c r="T2512" s="185"/>
      <c r="U2512" s="185"/>
      <c r="V2512" s="185"/>
      <c r="W2512" s="185"/>
      <c r="X2512" s="185"/>
      <c r="Y2512" s="3"/>
      <c r="Z2512" s="3"/>
      <c r="AA2512" s="3"/>
      <c r="AB2512" s="3"/>
      <c r="AC2512" s="3"/>
      <c r="AD2512" s="3"/>
      <c r="AE2512" s="3"/>
      <c r="AF2512" s="3"/>
      <c r="AG2512" s="3"/>
      <c r="AH2512" s="3"/>
      <c r="AI2512" s="3"/>
      <c r="AJ2512" s="3"/>
      <c r="AK2512" s="3"/>
      <c r="AL2512" s="3"/>
    </row>
    <row r="2513" ht="15.75" customHeight="1">
      <c r="A2513" s="27">
        <f t="shared" si="21"/>
        <v>1392</v>
      </c>
      <c r="B2513" s="28" t="s">
        <v>8750</v>
      </c>
      <c r="C2513" s="43" t="s">
        <v>8751</v>
      </c>
      <c r="D2513" s="30" t="s">
        <v>8752</v>
      </c>
      <c r="E2513" s="28" t="s">
        <v>144</v>
      </c>
      <c r="F2513" s="28" t="s">
        <v>29</v>
      </c>
      <c r="G2513" s="28" t="s">
        <v>30</v>
      </c>
      <c r="H2513" s="28"/>
      <c r="I2513" s="28" t="s">
        <v>30</v>
      </c>
      <c r="J2513" s="28">
        <v>288.0</v>
      </c>
      <c r="K2513" s="28"/>
      <c r="L2513" s="28" t="s">
        <v>8753</v>
      </c>
      <c r="M2513" s="28" t="s">
        <v>151</v>
      </c>
      <c r="N2513" s="28">
        <v>1990.0</v>
      </c>
      <c r="O2513" s="121">
        <v>13.0</v>
      </c>
      <c r="P2513" s="28">
        <v>2.0</v>
      </c>
      <c r="Q2513" s="32">
        <v>2.0</v>
      </c>
      <c r="R2513" s="33"/>
      <c r="S2513" s="185"/>
      <c r="T2513" s="185"/>
      <c r="U2513" s="185"/>
      <c r="V2513" s="185"/>
      <c r="W2513" s="185"/>
      <c r="X2513" s="185"/>
      <c r="Y2513" s="3"/>
      <c r="Z2513" s="3"/>
      <c r="AA2513" s="3"/>
      <c r="AB2513" s="3"/>
      <c r="AC2513" s="3"/>
      <c r="AD2513" s="3"/>
      <c r="AE2513" s="3"/>
      <c r="AF2513" s="3"/>
      <c r="AG2513" s="3"/>
      <c r="AH2513" s="3"/>
      <c r="AI2513" s="3"/>
      <c r="AJ2513" s="3"/>
      <c r="AK2513" s="3"/>
      <c r="AL2513" s="3"/>
    </row>
    <row r="2514" ht="15.75" customHeight="1">
      <c r="A2514" s="27">
        <f t="shared" si="21"/>
        <v>1393</v>
      </c>
      <c r="B2514" s="28" t="s">
        <v>31</v>
      </c>
      <c r="C2514" s="43" t="s">
        <v>8754</v>
      </c>
      <c r="D2514" s="30" t="s">
        <v>8755</v>
      </c>
      <c r="E2514" s="28" t="s">
        <v>144</v>
      </c>
      <c r="F2514" s="28" t="s">
        <v>29</v>
      </c>
      <c r="G2514" s="28" t="s">
        <v>30</v>
      </c>
      <c r="H2514" s="28"/>
      <c r="I2514" s="28" t="s">
        <v>30</v>
      </c>
      <c r="J2514" s="28">
        <v>404.0</v>
      </c>
      <c r="K2514" s="28"/>
      <c r="L2514" s="28" t="s">
        <v>8756</v>
      </c>
      <c r="M2514" s="28" t="s">
        <v>8757</v>
      </c>
      <c r="N2514" s="28">
        <v>2007.0</v>
      </c>
      <c r="O2514" s="121">
        <v>13.0</v>
      </c>
      <c r="P2514" s="28">
        <v>1.0</v>
      </c>
      <c r="Q2514" s="94">
        <v>1.0</v>
      </c>
      <c r="R2514" s="33"/>
      <c r="S2514" s="185"/>
      <c r="T2514" s="185"/>
      <c r="U2514" s="185"/>
      <c r="V2514" s="185"/>
      <c r="W2514" s="185"/>
      <c r="X2514" s="185"/>
      <c r="Y2514" s="3"/>
      <c r="Z2514" s="3"/>
      <c r="AA2514" s="3"/>
      <c r="AB2514" s="3"/>
      <c r="AC2514" s="3"/>
      <c r="AD2514" s="3"/>
      <c r="AE2514" s="3"/>
      <c r="AF2514" s="3"/>
      <c r="AG2514" s="3"/>
      <c r="AH2514" s="3"/>
      <c r="AI2514" s="3"/>
      <c r="AJ2514" s="3"/>
      <c r="AK2514" s="3"/>
      <c r="AL2514" s="3"/>
    </row>
    <row r="2515" ht="15.75" customHeight="1">
      <c r="A2515" s="27">
        <f t="shared" si="21"/>
        <v>1394</v>
      </c>
      <c r="B2515" s="28" t="s">
        <v>8758</v>
      </c>
      <c r="C2515" s="43" t="s">
        <v>8759</v>
      </c>
      <c r="D2515" s="30" t="s">
        <v>8760</v>
      </c>
      <c r="E2515" s="28" t="s">
        <v>144</v>
      </c>
      <c r="F2515" s="28" t="s">
        <v>29</v>
      </c>
      <c r="G2515" s="28" t="s">
        <v>37</v>
      </c>
      <c r="H2515" s="28"/>
      <c r="I2515" s="28" t="s">
        <v>38</v>
      </c>
      <c r="J2515" s="28">
        <v>229.0</v>
      </c>
      <c r="K2515" s="28"/>
      <c r="L2515" s="28" t="s">
        <v>8761</v>
      </c>
      <c r="M2515" s="28" t="s">
        <v>8762</v>
      </c>
      <c r="N2515" s="28">
        <v>2003.0</v>
      </c>
      <c r="O2515" s="121">
        <v>13.0</v>
      </c>
      <c r="P2515" s="28">
        <v>1.0</v>
      </c>
      <c r="Q2515" s="32">
        <v>1.0</v>
      </c>
      <c r="R2515" s="33"/>
      <c r="S2515" s="116"/>
      <c r="T2515" s="116"/>
      <c r="U2515" s="116"/>
      <c r="V2515" s="116"/>
      <c r="W2515" s="116"/>
      <c r="X2515" s="116"/>
      <c r="Y2515" s="3"/>
      <c r="Z2515" s="3"/>
      <c r="AA2515" s="3"/>
      <c r="AB2515" s="3"/>
      <c r="AC2515" s="3"/>
      <c r="AD2515" s="3"/>
      <c r="AE2515" s="3"/>
      <c r="AF2515" s="3"/>
      <c r="AG2515" s="3"/>
      <c r="AH2515" s="3"/>
      <c r="AI2515" s="3"/>
      <c r="AJ2515" s="3"/>
      <c r="AK2515" s="3"/>
      <c r="AL2515" s="3"/>
    </row>
    <row r="2516" ht="15.75" customHeight="1">
      <c r="A2516" s="27">
        <f t="shared" si="21"/>
        <v>1395</v>
      </c>
      <c r="B2516" s="121" t="s">
        <v>8763</v>
      </c>
      <c r="C2516" s="121" t="s">
        <v>8764</v>
      </c>
      <c r="D2516" s="119" t="s">
        <v>8765</v>
      </c>
      <c r="E2516" s="83"/>
      <c r="F2516" s="121" t="s">
        <v>29</v>
      </c>
      <c r="G2516" s="121" t="s">
        <v>37</v>
      </c>
      <c r="H2516" s="83"/>
      <c r="I2516" s="121" t="s">
        <v>38</v>
      </c>
      <c r="J2516" s="121">
        <v>735.0</v>
      </c>
      <c r="K2516" s="83"/>
      <c r="L2516" s="121" t="s">
        <v>8766</v>
      </c>
      <c r="M2516" s="121" t="s">
        <v>3902</v>
      </c>
      <c r="N2516" s="121">
        <v>2009.0</v>
      </c>
      <c r="O2516" s="121">
        <v>13.0</v>
      </c>
      <c r="P2516" s="121">
        <v>1.0</v>
      </c>
      <c r="Q2516" s="121">
        <v>1.0</v>
      </c>
      <c r="R2516" s="84"/>
      <c r="S2516" s="185"/>
      <c r="T2516" s="185"/>
      <c r="U2516" s="185"/>
      <c r="V2516" s="185"/>
      <c r="W2516" s="185"/>
      <c r="X2516" s="185"/>
      <c r="Y2516" s="3"/>
      <c r="Z2516" s="3"/>
      <c r="AA2516" s="3"/>
      <c r="AB2516" s="3"/>
      <c r="AC2516" s="3"/>
      <c r="AD2516" s="3"/>
      <c r="AE2516" s="3"/>
      <c r="AF2516" s="3"/>
      <c r="AG2516" s="3"/>
      <c r="AH2516" s="3"/>
      <c r="AI2516" s="3"/>
      <c r="AJ2516" s="3"/>
      <c r="AK2516" s="3"/>
      <c r="AL2516" s="3"/>
    </row>
    <row r="2517" ht="15.75" customHeight="1">
      <c r="A2517" s="27">
        <f t="shared" si="21"/>
        <v>1396</v>
      </c>
      <c r="B2517" s="28" t="s">
        <v>8767</v>
      </c>
      <c r="C2517" s="102" t="s">
        <v>8764</v>
      </c>
      <c r="D2517" s="120" t="s">
        <v>8768</v>
      </c>
      <c r="E2517" s="28"/>
      <c r="F2517" s="28" t="s">
        <v>29</v>
      </c>
      <c r="G2517" s="28" t="s">
        <v>37</v>
      </c>
      <c r="H2517" s="28"/>
      <c r="I2517" s="28" t="s">
        <v>38</v>
      </c>
      <c r="J2517" s="28">
        <v>703.0</v>
      </c>
      <c r="K2517" s="28"/>
      <c r="L2517" s="28" t="s">
        <v>8766</v>
      </c>
      <c r="M2517" s="28" t="s">
        <v>3902</v>
      </c>
      <c r="N2517" s="60">
        <v>2001.0</v>
      </c>
      <c r="O2517" s="121">
        <v>13.0</v>
      </c>
      <c r="P2517" s="28">
        <v>1.0</v>
      </c>
      <c r="Q2517" s="94">
        <v>1.0</v>
      </c>
      <c r="R2517" s="33"/>
      <c r="S2517" s="185"/>
      <c r="T2517" s="185"/>
      <c r="U2517" s="185"/>
      <c r="V2517" s="185"/>
      <c r="W2517" s="185"/>
      <c r="X2517" s="185"/>
      <c r="Y2517" s="3"/>
      <c r="Z2517" s="3"/>
      <c r="AA2517" s="3"/>
      <c r="AB2517" s="3"/>
      <c r="AC2517" s="3"/>
      <c r="AD2517" s="3"/>
      <c r="AE2517" s="3"/>
      <c r="AF2517" s="3"/>
      <c r="AG2517" s="3"/>
      <c r="AH2517" s="3"/>
      <c r="AI2517" s="3"/>
      <c r="AJ2517" s="3"/>
      <c r="AK2517" s="3"/>
      <c r="AL2517" s="3"/>
    </row>
    <row r="2518" ht="15.75" customHeight="1">
      <c r="A2518" s="27">
        <f t="shared" si="21"/>
        <v>1397</v>
      </c>
      <c r="B2518" s="28" t="s">
        <v>8769</v>
      </c>
      <c r="C2518" s="102" t="s">
        <v>8764</v>
      </c>
      <c r="D2518" s="120" t="s">
        <v>8770</v>
      </c>
      <c r="E2518" s="28"/>
      <c r="F2518" s="28" t="s">
        <v>29</v>
      </c>
      <c r="G2518" s="28" t="s">
        <v>37</v>
      </c>
      <c r="H2518" s="28"/>
      <c r="I2518" s="28" t="s">
        <v>38</v>
      </c>
      <c r="J2518" s="28">
        <v>484.0</v>
      </c>
      <c r="K2518" s="28"/>
      <c r="L2518" s="28" t="s">
        <v>8766</v>
      </c>
      <c r="M2518" s="28" t="s">
        <v>156</v>
      </c>
      <c r="N2518" s="28">
        <v>1991.0</v>
      </c>
      <c r="O2518" s="121">
        <v>13.0</v>
      </c>
      <c r="P2518" s="28">
        <v>1.0</v>
      </c>
      <c r="Q2518" s="94">
        <v>1.0</v>
      </c>
      <c r="R2518" s="33"/>
      <c r="S2518" s="185"/>
      <c r="T2518" s="185"/>
      <c r="U2518" s="185"/>
      <c r="V2518" s="185"/>
      <c r="W2518" s="185"/>
      <c r="X2518" s="185"/>
      <c r="Y2518" s="45"/>
      <c r="Z2518" s="45"/>
      <c r="AA2518" s="45"/>
      <c r="AB2518" s="45"/>
      <c r="AC2518" s="45"/>
      <c r="AD2518" s="45"/>
      <c r="AE2518" s="45"/>
      <c r="AF2518" s="45"/>
      <c r="AG2518" s="45"/>
      <c r="AH2518" s="45"/>
      <c r="AI2518" s="45"/>
      <c r="AJ2518" s="45"/>
      <c r="AK2518" s="45"/>
      <c r="AL2518" s="45"/>
    </row>
    <row r="2519" ht="15.75" customHeight="1">
      <c r="A2519" s="27">
        <f t="shared" si="21"/>
        <v>1398</v>
      </c>
      <c r="B2519" s="28" t="s">
        <v>8771</v>
      </c>
      <c r="C2519" s="43" t="s">
        <v>8772</v>
      </c>
      <c r="D2519" s="30" t="s">
        <v>8773</v>
      </c>
      <c r="E2519" s="28" t="s">
        <v>144</v>
      </c>
      <c r="F2519" s="28" t="s">
        <v>29</v>
      </c>
      <c r="G2519" s="28" t="s">
        <v>37</v>
      </c>
      <c r="H2519" s="28"/>
      <c r="I2519" s="28" t="s">
        <v>38</v>
      </c>
      <c r="J2519" s="28">
        <v>133.0</v>
      </c>
      <c r="K2519" s="28"/>
      <c r="L2519" s="28" t="s">
        <v>8774</v>
      </c>
      <c r="M2519" s="28" t="s">
        <v>2903</v>
      </c>
      <c r="N2519" s="28">
        <v>2000.0</v>
      </c>
      <c r="O2519" s="60">
        <v>13.0</v>
      </c>
      <c r="P2519" s="28">
        <v>1.0</v>
      </c>
      <c r="Q2519" s="94">
        <v>1.0</v>
      </c>
      <c r="R2519" s="33"/>
      <c r="S2519" s="185"/>
      <c r="T2519" s="185"/>
      <c r="U2519" s="185"/>
      <c r="V2519" s="185"/>
      <c r="W2519" s="185"/>
      <c r="X2519" s="185"/>
      <c r="Y2519" s="45"/>
      <c r="Z2519" s="45"/>
      <c r="AA2519" s="45"/>
      <c r="AB2519" s="45"/>
      <c r="AC2519" s="45"/>
      <c r="AD2519" s="45"/>
      <c r="AE2519" s="45"/>
      <c r="AF2519" s="45"/>
      <c r="AG2519" s="45"/>
      <c r="AH2519" s="45"/>
      <c r="AI2519" s="45"/>
      <c r="AJ2519" s="45"/>
      <c r="AK2519" s="45"/>
      <c r="AL2519" s="45"/>
    </row>
    <row r="2520" ht="15.75" customHeight="1">
      <c r="A2520" s="27">
        <f t="shared" si="21"/>
        <v>1399</v>
      </c>
      <c r="B2520" s="28" t="s">
        <v>8775</v>
      </c>
      <c r="C2520" s="43" t="s">
        <v>8776</v>
      </c>
      <c r="D2520" s="30" t="s">
        <v>8777</v>
      </c>
      <c r="E2520" s="28" t="s">
        <v>31</v>
      </c>
      <c r="F2520" s="28" t="s">
        <v>29</v>
      </c>
      <c r="G2520" s="28" t="s">
        <v>37</v>
      </c>
      <c r="H2520" s="28"/>
      <c r="I2520" s="28" t="s">
        <v>38</v>
      </c>
      <c r="J2520" s="28">
        <v>263.0</v>
      </c>
      <c r="K2520" s="28"/>
      <c r="L2520" s="28" t="s">
        <v>8778</v>
      </c>
      <c r="M2520" s="28" t="s">
        <v>3268</v>
      </c>
      <c r="N2520" s="28">
        <v>1989.0</v>
      </c>
      <c r="O2520" s="60">
        <v>13.0</v>
      </c>
      <c r="P2520" s="28">
        <v>1.0</v>
      </c>
      <c r="Q2520" s="32">
        <v>1.0</v>
      </c>
      <c r="R2520" s="33"/>
      <c r="S2520" s="185"/>
      <c r="T2520" s="185"/>
      <c r="U2520" s="185"/>
      <c r="V2520" s="185"/>
      <c r="W2520" s="185"/>
      <c r="X2520" s="185"/>
      <c r="Y2520" s="3"/>
      <c r="Z2520" s="3"/>
      <c r="AA2520" s="3"/>
      <c r="AB2520" s="3"/>
      <c r="AC2520" s="3"/>
      <c r="AD2520" s="3"/>
      <c r="AE2520" s="3"/>
      <c r="AF2520" s="3"/>
      <c r="AG2520" s="3"/>
      <c r="AH2520" s="3"/>
      <c r="AI2520" s="3"/>
      <c r="AJ2520" s="3"/>
      <c r="AK2520" s="3"/>
      <c r="AL2520" s="3"/>
    </row>
    <row r="2521" ht="15.75" customHeight="1">
      <c r="A2521" s="27">
        <f t="shared" si="21"/>
        <v>1400</v>
      </c>
      <c r="B2521" s="28" t="s">
        <v>8779</v>
      </c>
      <c r="C2521" s="43" t="s">
        <v>8780</v>
      </c>
      <c r="D2521" s="30" t="s">
        <v>8781</v>
      </c>
      <c r="E2521" s="28" t="s">
        <v>144</v>
      </c>
      <c r="F2521" s="28" t="s">
        <v>29</v>
      </c>
      <c r="G2521" s="28" t="s">
        <v>30</v>
      </c>
      <c r="H2521" s="28" t="s">
        <v>31</v>
      </c>
      <c r="I2521" s="28" t="s">
        <v>30</v>
      </c>
      <c r="J2521" s="28">
        <v>123.0</v>
      </c>
      <c r="K2521" s="28"/>
      <c r="L2521" s="209" t="s">
        <v>8782</v>
      </c>
      <c r="M2521" s="28" t="s">
        <v>8783</v>
      </c>
      <c r="N2521" s="28">
        <v>2005.0</v>
      </c>
      <c r="O2521" s="60">
        <v>13.0</v>
      </c>
      <c r="P2521" s="28">
        <v>1.0</v>
      </c>
      <c r="Q2521" s="32">
        <v>1.0</v>
      </c>
      <c r="R2521" s="33"/>
      <c r="S2521" s="185"/>
      <c r="T2521" s="185"/>
      <c r="U2521" s="185"/>
      <c r="V2521" s="185"/>
      <c r="W2521" s="185"/>
      <c r="X2521" s="185"/>
      <c r="Y2521" s="45"/>
      <c r="Z2521" s="45"/>
      <c r="AA2521" s="45"/>
      <c r="AB2521" s="45"/>
      <c r="AC2521" s="45"/>
      <c r="AD2521" s="45"/>
      <c r="AE2521" s="45"/>
      <c r="AF2521" s="45"/>
      <c r="AG2521" s="45"/>
      <c r="AH2521" s="45"/>
      <c r="AI2521" s="45"/>
      <c r="AJ2521" s="45"/>
      <c r="AK2521" s="45"/>
      <c r="AL2521" s="45"/>
    </row>
    <row r="2522" ht="15.75" customHeight="1">
      <c r="A2522" s="27">
        <f t="shared" si="21"/>
        <v>1401</v>
      </c>
      <c r="B2522" s="28"/>
      <c r="C2522" s="43" t="s">
        <v>8784</v>
      </c>
      <c r="D2522" s="30" t="s">
        <v>8785</v>
      </c>
      <c r="E2522" s="28" t="s">
        <v>144</v>
      </c>
      <c r="F2522" s="28" t="s">
        <v>29</v>
      </c>
      <c r="G2522" s="28" t="s">
        <v>30</v>
      </c>
      <c r="H2522" s="28"/>
      <c r="I2522" s="28" t="s">
        <v>30</v>
      </c>
      <c r="J2522" s="28">
        <v>128.0</v>
      </c>
      <c r="K2522" s="28"/>
      <c r="L2522" s="28" t="s">
        <v>8786</v>
      </c>
      <c r="M2522" s="60" t="s">
        <v>8787</v>
      </c>
      <c r="N2522" s="28">
        <v>1984.0</v>
      </c>
      <c r="O2522" s="60">
        <v>13.0</v>
      </c>
      <c r="P2522" s="28">
        <v>1.0</v>
      </c>
      <c r="Q2522" s="32">
        <v>1.0</v>
      </c>
      <c r="R2522" s="33"/>
      <c r="S2522" s="185"/>
      <c r="T2522" s="185"/>
      <c r="U2522" s="185"/>
      <c r="V2522" s="185"/>
      <c r="W2522" s="185"/>
      <c r="X2522" s="185"/>
      <c r="Y2522" s="3"/>
      <c r="Z2522" s="3"/>
      <c r="AA2522" s="3"/>
      <c r="AB2522" s="3"/>
      <c r="AC2522" s="3"/>
      <c r="AD2522" s="3"/>
      <c r="AE2522" s="3"/>
      <c r="AF2522" s="3"/>
      <c r="AG2522" s="3"/>
      <c r="AH2522" s="3"/>
      <c r="AI2522" s="3"/>
      <c r="AJ2522" s="3"/>
      <c r="AK2522" s="3"/>
      <c r="AL2522" s="3"/>
    </row>
    <row r="2523" ht="15.75" customHeight="1">
      <c r="A2523" s="27">
        <f t="shared" si="21"/>
        <v>1402</v>
      </c>
      <c r="B2523" s="28" t="s">
        <v>31</v>
      </c>
      <c r="C2523" s="43" t="s">
        <v>8788</v>
      </c>
      <c r="D2523" s="30" t="s">
        <v>8789</v>
      </c>
      <c r="E2523" s="28" t="s">
        <v>144</v>
      </c>
      <c r="F2523" s="28" t="s">
        <v>29</v>
      </c>
      <c r="G2523" s="28" t="s">
        <v>30</v>
      </c>
      <c r="H2523" s="28"/>
      <c r="I2523" s="28" t="s">
        <v>30</v>
      </c>
      <c r="J2523" s="28">
        <v>76.0</v>
      </c>
      <c r="K2523" s="28"/>
      <c r="L2523" s="28" t="s">
        <v>8790</v>
      </c>
      <c r="M2523" s="28" t="s">
        <v>4166</v>
      </c>
      <c r="N2523" s="28">
        <v>2000.0</v>
      </c>
      <c r="O2523" s="60">
        <v>13.0</v>
      </c>
      <c r="P2523" s="28">
        <v>1.0</v>
      </c>
      <c r="Q2523" s="32">
        <v>1.0</v>
      </c>
      <c r="R2523" s="33"/>
      <c r="S2523" s="185"/>
      <c r="T2523" s="185"/>
      <c r="U2523" s="185"/>
      <c r="V2523" s="185"/>
      <c r="W2523" s="185"/>
      <c r="X2523" s="185"/>
      <c r="Y2523" s="3"/>
      <c r="Z2523" s="3"/>
      <c r="AA2523" s="3"/>
      <c r="AB2523" s="3"/>
      <c r="AC2523" s="3"/>
      <c r="AD2523" s="3"/>
      <c r="AE2523" s="3"/>
      <c r="AF2523" s="3"/>
      <c r="AG2523" s="3"/>
      <c r="AH2523" s="3"/>
      <c r="AI2523" s="3"/>
      <c r="AJ2523" s="3"/>
      <c r="AK2523" s="3"/>
      <c r="AL2523" s="3"/>
    </row>
    <row r="2524" ht="15.75" customHeight="1">
      <c r="A2524" s="27">
        <f t="shared" si="21"/>
        <v>1403</v>
      </c>
      <c r="B2524" s="28" t="s">
        <v>8791</v>
      </c>
      <c r="C2524" s="43" t="s">
        <v>8792</v>
      </c>
      <c r="D2524" s="30" t="s">
        <v>8793</v>
      </c>
      <c r="E2524" s="28" t="s">
        <v>31</v>
      </c>
      <c r="F2524" s="28" t="s">
        <v>29</v>
      </c>
      <c r="G2524" s="28" t="s">
        <v>30</v>
      </c>
      <c r="H2524" s="28"/>
      <c r="I2524" s="28" t="s">
        <v>30</v>
      </c>
      <c r="J2524" s="28">
        <v>112.0</v>
      </c>
      <c r="K2524" s="28"/>
      <c r="L2524" s="28" t="s">
        <v>8794</v>
      </c>
      <c r="M2524" s="28" t="s">
        <v>161</v>
      </c>
      <c r="N2524" s="28">
        <v>2011.0</v>
      </c>
      <c r="O2524" s="60">
        <v>13.0</v>
      </c>
      <c r="P2524" s="28">
        <v>1.0</v>
      </c>
      <c r="Q2524" s="32">
        <v>1.0</v>
      </c>
      <c r="R2524" s="33"/>
      <c r="S2524" s="185"/>
      <c r="T2524" s="185"/>
      <c r="U2524" s="185"/>
      <c r="V2524" s="185"/>
      <c r="W2524" s="185"/>
      <c r="X2524" s="185"/>
      <c r="Y2524" s="45"/>
      <c r="Z2524" s="45"/>
      <c r="AA2524" s="45"/>
      <c r="AB2524" s="45"/>
      <c r="AC2524" s="45"/>
      <c r="AD2524" s="45"/>
      <c r="AE2524" s="45"/>
      <c r="AF2524" s="45"/>
      <c r="AG2524" s="45"/>
      <c r="AH2524" s="45"/>
      <c r="AI2524" s="45"/>
      <c r="AJ2524" s="45"/>
      <c r="AK2524" s="45"/>
      <c r="AL2524" s="45"/>
    </row>
    <row r="2525" ht="15.75" customHeight="1">
      <c r="A2525" s="27">
        <f t="shared" si="21"/>
        <v>1404</v>
      </c>
      <c r="B2525" s="28" t="s">
        <v>8795</v>
      </c>
      <c r="C2525" s="43" t="s">
        <v>8792</v>
      </c>
      <c r="D2525" s="30" t="s">
        <v>8796</v>
      </c>
      <c r="E2525" s="28" t="s">
        <v>31</v>
      </c>
      <c r="F2525" s="28" t="s">
        <v>29</v>
      </c>
      <c r="G2525" s="28" t="s">
        <v>30</v>
      </c>
      <c r="H2525" s="28"/>
      <c r="I2525" s="28" t="s">
        <v>30</v>
      </c>
      <c r="J2525" s="28">
        <v>120.0</v>
      </c>
      <c r="K2525" s="28"/>
      <c r="L2525" s="28" t="s">
        <v>8794</v>
      </c>
      <c r="M2525" s="28" t="s">
        <v>161</v>
      </c>
      <c r="N2525" s="28">
        <v>2011.0</v>
      </c>
      <c r="O2525" s="60">
        <v>13.0</v>
      </c>
      <c r="P2525" s="28">
        <v>1.0</v>
      </c>
      <c r="Q2525" s="94">
        <v>1.0</v>
      </c>
      <c r="R2525" s="33"/>
      <c r="S2525" s="185"/>
      <c r="T2525" s="185"/>
      <c r="U2525" s="185"/>
      <c r="V2525" s="185"/>
      <c r="W2525" s="185"/>
      <c r="X2525" s="185"/>
      <c r="Y2525" s="45"/>
      <c r="Z2525" s="45"/>
      <c r="AA2525" s="45"/>
      <c r="AB2525" s="45"/>
      <c r="AC2525" s="45"/>
      <c r="AD2525" s="45"/>
      <c r="AE2525" s="45"/>
      <c r="AF2525" s="45"/>
      <c r="AG2525" s="45"/>
      <c r="AH2525" s="45"/>
      <c r="AI2525" s="45"/>
      <c r="AJ2525" s="45"/>
      <c r="AK2525" s="45"/>
      <c r="AL2525" s="45"/>
    </row>
    <row r="2526" ht="15.75" customHeight="1">
      <c r="A2526" s="27">
        <f t="shared" si="21"/>
        <v>1405</v>
      </c>
      <c r="B2526" s="28" t="s">
        <v>31</v>
      </c>
      <c r="C2526" s="43" t="s">
        <v>8797</v>
      </c>
      <c r="D2526" s="30" t="s">
        <v>8798</v>
      </c>
      <c r="E2526" s="28" t="s">
        <v>144</v>
      </c>
      <c r="F2526" s="28" t="s">
        <v>29</v>
      </c>
      <c r="G2526" s="28" t="s">
        <v>30</v>
      </c>
      <c r="H2526" s="28"/>
      <c r="I2526" s="28" t="s">
        <v>30</v>
      </c>
      <c r="J2526" s="28">
        <v>77.0</v>
      </c>
      <c r="K2526" s="28"/>
      <c r="L2526" s="28" t="s">
        <v>3026</v>
      </c>
      <c r="M2526" s="28" t="s">
        <v>3027</v>
      </c>
      <c r="N2526" s="28">
        <v>2002.0</v>
      </c>
      <c r="O2526" s="60">
        <v>13.0</v>
      </c>
      <c r="P2526" s="28">
        <v>1.0</v>
      </c>
      <c r="Q2526" s="32">
        <v>1.0</v>
      </c>
      <c r="R2526" s="33"/>
      <c r="S2526" s="185"/>
      <c r="T2526" s="185"/>
      <c r="U2526" s="185"/>
      <c r="V2526" s="185"/>
      <c r="W2526" s="185"/>
      <c r="X2526" s="185"/>
      <c r="Y2526" s="45"/>
      <c r="Z2526" s="45"/>
      <c r="AA2526" s="45"/>
      <c r="AB2526" s="45"/>
      <c r="AC2526" s="45"/>
      <c r="AD2526" s="45"/>
      <c r="AE2526" s="45"/>
      <c r="AF2526" s="45"/>
      <c r="AG2526" s="45"/>
      <c r="AH2526" s="45"/>
      <c r="AI2526" s="45"/>
      <c r="AJ2526" s="45"/>
      <c r="AK2526" s="45"/>
      <c r="AL2526" s="45"/>
    </row>
    <row r="2527" ht="15.75" customHeight="1">
      <c r="A2527" s="27">
        <f t="shared" si="21"/>
        <v>1406</v>
      </c>
      <c r="B2527" s="28" t="s">
        <v>8799</v>
      </c>
      <c r="C2527" s="43" t="s">
        <v>8800</v>
      </c>
      <c r="D2527" s="30" t="s">
        <v>8801</v>
      </c>
      <c r="E2527" s="28" t="s">
        <v>144</v>
      </c>
      <c r="F2527" s="28" t="s">
        <v>29</v>
      </c>
      <c r="G2527" s="28" t="s">
        <v>37</v>
      </c>
      <c r="H2527" s="28"/>
      <c r="I2527" s="28" t="s">
        <v>38</v>
      </c>
      <c r="J2527" s="28">
        <v>718.0</v>
      </c>
      <c r="K2527" s="28"/>
      <c r="L2527" s="28" t="s">
        <v>8802</v>
      </c>
      <c r="M2527" s="28" t="s">
        <v>8803</v>
      </c>
      <c r="N2527" s="28">
        <v>1961.0</v>
      </c>
      <c r="O2527" s="60">
        <v>13.0</v>
      </c>
      <c r="P2527" s="28">
        <v>1.0</v>
      </c>
      <c r="Q2527" s="32">
        <v>1.0</v>
      </c>
      <c r="R2527" s="33"/>
      <c r="S2527" s="185"/>
      <c r="T2527" s="185"/>
      <c r="U2527" s="185"/>
      <c r="V2527" s="185"/>
      <c r="W2527" s="185"/>
      <c r="X2527" s="185"/>
      <c r="Y2527" s="45"/>
      <c r="Z2527" s="45"/>
      <c r="AA2527" s="45"/>
      <c r="AB2527" s="45"/>
      <c r="AC2527" s="45"/>
      <c r="AD2527" s="45"/>
      <c r="AE2527" s="45"/>
      <c r="AF2527" s="45"/>
      <c r="AG2527" s="45"/>
      <c r="AH2527" s="45"/>
      <c r="AI2527" s="45"/>
      <c r="AJ2527" s="45"/>
      <c r="AK2527" s="45"/>
      <c r="AL2527" s="45"/>
    </row>
    <row r="2528" ht="15.75" customHeight="1">
      <c r="A2528" s="27">
        <f t="shared" si="21"/>
        <v>1407</v>
      </c>
      <c r="B2528" s="28" t="s">
        <v>8799</v>
      </c>
      <c r="C2528" s="43" t="s">
        <v>8800</v>
      </c>
      <c r="D2528" s="30" t="s">
        <v>8804</v>
      </c>
      <c r="E2528" s="28" t="s">
        <v>144</v>
      </c>
      <c r="F2528" s="28" t="s">
        <v>29</v>
      </c>
      <c r="G2528" s="28" t="s">
        <v>37</v>
      </c>
      <c r="H2528" s="28"/>
      <c r="I2528" s="28" t="s">
        <v>38</v>
      </c>
      <c r="J2528" s="28">
        <f>2+718</f>
        <v>720</v>
      </c>
      <c r="K2528" s="28"/>
      <c r="L2528" s="28" t="s">
        <v>8802</v>
      </c>
      <c r="M2528" s="28" t="s">
        <v>8803</v>
      </c>
      <c r="N2528" s="28">
        <v>2010.0</v>
      </c>
      <c r="O2528" s="60">
        <v>13.0</v>
      </c>
      <c r="P2528" s="28">
        <v>1.0</v>
      </c>
      <c r="Q2528" s="94">
        <v>1.0</v>
      </c>
      <c r="R2528" s="33"/>
      <c r="S2528" s="185"/>
      <c r="T2528" s="185"/>
      <c r="U2528" s="185"/>
      <c r="V2528" s="185"/>
      <c r="W2528" s="185"/>
      <c r="X2528" s="185"/>
      <c r="Y2528" s="45"/>
      <c r="Z2528" s="45"/>
      <c r="AA2528" s="45"/>
      <c r="AB2528" s="45"/>
      <c r="AC2528" s="45"/>
      <c r="AD2528" s="45"/>
      <c r="AE2528" s="45"/>
      <c r="AF2528" s="45"/>
      <c r="AG2528" s="45"/>
      <c r="AH2528" s="45"/>
      <c r="AI2528" s="45"/>
      <c r="AJ2528" s="45"/>
      <c r="AK2528" s="45"/>
      <c r="AL2528" s="45"/>
    </row>
    <row r="2529" ht="15.75" customHeight="1">
      <c r="A2529" s="27">
        <f t="shared" si="21"/>
        <v>1408</v>
      </c>
      <c r="B2529" s="28" t="s">
        <v>8805</v>
      </c>
      <c r="C2529" s="43" t="s">
        <v>8806</v>
      </c>
      <c r="D2529" s="30" t="s">
        <v>8807</v>
      </c>
      <c r="E2529" s="28" t="s">
        <v>144</v>
      </c>
      <c r="F2529" s="28" t="s">
        <v>29</v>
      </c>
      <c r="G2529" s="28" t="s">
        <v>30</v>
      </c>
      <c r="H2529" s="28"/>
      <c r="I2529" s="28" t="s">
        <v>30</v>
      </c>
      <c r="J2529" s="28">
        <v>283.0</v>
      </c>
      <c r="K2529" s="28"/>
      <c r="L2529" s="28" t="s">
        <v>8808</v>
      </c>
      <c r="M2529" s="28" t="s">
        <v>3175</v>
      </c>
      <c r="N2529" s="28">
        <v>2013.0</v>
      </c>
      <c r="O2529" s="60">
        <v>13.0</v>
      </c>
      <c r="P2529" s="28">
        <v>1.0</v>
      </c>
      <c r="Q2529" s="32">
        <v>1.0</v>
      </c>
      <c r="R2529" s="33"/>
      <c r="S2529" s="185"/>
      <c r="T2529" s="185"/>
      <c r="U2529" s="185"/>
      <c r="V2529" s="185"/>
      <c r="W2529" s="185"/>
      <c r="X2529" s="185"/>
      <c r="Y2529" s="45"/>
      <c r="Z2529" s="45"/>
      <c r="AA2529" s="45"/>
      <c r="AB2529" s="45"/>
      <c r="AC2529" s="45"/>
      <c r="AD2529" s="45"/>
      <c r="AE2529" s="45"/>
      <c r="AF2529" s="45"/>
      <c r="AG2529" s="45"/>
      <c r="AH2529" s="45"/>
      <c r="AI2529" s="45"/>
      <c r="AJ2529" s="45"/>
      <c r="AK2529" s="45"/>
      <c r="AL2529" s="45"/>
    </row>
    <row r="2530" ht="15.75" customHeight="1">
      <c r="A2530" s="27">
        <f t="shared" si="21"/>
        <v>1409</v>
      </c>
      <c r="B2530" s="28" t="s">
        <v>8795</v>
      </c>
      <c r="C2530" s="43" t="s">
        <v>8809</v>
      </c>
      <c r="D2530" s="30" t="s">
        <v>8810</v>
      </c>
      <c r="E2530" s="28" t="s">
        <v>144</v>
      </c>
      <c r="F2530" s="28" t="s">
        <v>29</v>
      </c>
      <c r="G2530" s="28" t="s">
        <v>30</v>
      </c>
      <c r="H2530" s="28"/>
      <c r="I2530" s="28" t="s">
        <v>30</v>
      </c>
      <c r="J2530" s="28">
        <f>120</f>
        <v>120</v>
      </c>
      <c r="K2530" s="28"/>
      <c r="L2530" s="28" t="s">
        <v>8811</v>
      </c>
      <c r="M2530" s="28" t="s">
        <v>161</v>
      </c>
      <c r="N2530" s="28">
        <v>2007.0</v>
      </c>
      <c r="O2530" s="28">
        <v>13.0</v>
      </c>
      <c r="P2530" s="28">
        <v>1.0</v>
      </c>
      <c r="Q2530" s="94">
        <v>1.0</v>
      </c>
      <c r="R2530" s="33"/>
      <c r="S2530" s="185"/>
      <c r="T2530" s="185"/>
      <c r="U2530" s="185"/>
      <c r="V2530" s="185"/>
      <c r="W2530" s="185"/>
      <c r="X2530" s="185"/>
      <c r="Y2530" s="45"/>
      <c r="Z2530" s="45"/>
      <c r="AA2530" s="45"/>
      <c r="AB2530" s="45"/>
      <c r="AC2530" s="45"/>
      <c r="AD2530" s="45"/>
      <c r="AE2530" s="45"/>
      <c r="AF2530" s="45"/>
      <c r="AG2530" s="45"/>
      <c r="AH2530" s="45"/>
      <c r="AI2530" s="45"/>
      <c r="AJ2530" s="45"/>
      <c r="AK2530" s="45"/>
      <c r="AL2530" s="45"/>
    </row>
    <row r="2531" ht="15.75" customHeight="1">
      <c r="A2531" s="27">
        <f t="shared" si="21"/>
        <v>1410</v>
      </c>
      <c r="B2531" s="28" t="s">
        <v>31</v>
      </c>
      <c r="C2531" s="43" t="s">
        <v>8812</v>
      </c>
      <c r="D2531" s="30" t="s">
        <v>8813</v>
      </c>
      <c r="E2531" s="28" t="s">
        <v>28</v>
      </c>
      <c r="F2531" s="28" t="s">
        <v>29</v>
      </c>
      <c r="G2531" s="28" t="s">
        <v>30</v>
      </c>
      <c r="H2531" s="28"/>
      <c r="I2531" s="28" t="s">
        <v>30</v>
      </c>
      <c r="J2531" s="28">
        <v>233.0</v>
      </c>
      <c r="K2531" s="28"/>
      <c r="L2531" s="28" t="s">
        <v>8814</v>
      </c>
      <c r="M2531" s="28" t="s">
        <v>151</v>
      </c>
      <c r="N2531" s="28">
        <v>1969.0</v>
      </c>
      <c r="O2531" s="60">
        <v>13.0</v>
      </c>
      <c r="P2531" s="28">
        <v>1.0</v>
      </c>
      <c r="Q2531" s="32">
        <v>1.0</v>
      </c>
      <c r="R2531" s="33"/>
      <c r="S2531" s="185"/>
      <c r="T2531" s="185"/>
      <c r="U2531" s="185"/>
      <c r="V2531" s="185"/>
      <c r="W2531" s="185"/>
      <c r="X2531" s="185"/>
      <c r="Y2531" s="45"/>
      <c r="Z2531" s="45"/>
      <c r="AA2531" s="45"/>
      <c r="AB2531" s="45"/>
      <c r="AC2531" s="45"/>
      <c r="AD2531" s="45"/>
      <c r="AE2531" s="45"/>
      <c r="AF2531" s="45"/>
      <c r="AG2531" s="45"/>
      <c r="AH2531" s="45"/>
      <c r="AI2531" s="45"/>
      <c r="AJ2531" s="45"/>
      <c r="AK2531" s="45"/>
      <c r="AL2531" s="45"/>
    </row>
    <row r="2532" ht="15.75" customHeight="1">
      <c r="A2532" s="27">
        <f t="shared" si="21"/>
        <v>1411</v>
      </c>
      <c r="B2532" s="28" t="s">
        <v>31</v>
      </c>
      <c r="C2532" s="43" t="s">
        <v>8815</v>
      </c>
      <c r="D2532" s="30" t="s">
        <v>8816</v>
      </c>
      <c r="E2532" s="28" t="s">
        <v>31</v>
      </c>
      <c r="F2532" s="28" t="s">
        <v>29</v>
      </c>
      <c r="G2532" s="28" t="s">
        <v>30</v>
      </c>
      <c r="H2532" s="28"/>
      <c r="I2532" s="28" t="s">
        <v>30</v>
      </c>
      <c r="J2532" s="28">
        <v>86.0</v>
      </c>
      <c r="K2532" s="28"/>
      <c r="L2532" s="28" t="s">
        <v>8817</v>
      </c>
      <c r="M2532" s="28" t="s">
        <v>8818</v>
      </c>
      <c r="N2532" s="28" t="s">
        <v>31</v>
      </c>
      <c r="O2532" s="60">
        <v>13.0</v>
      </c>
      <c r="P2532" s="28">
        <v>1.0</v>
      </c>
      <c r="Q2532" s="32">
        <v>1.0</v>
      </c>
      <c r="R2532" s="33"/>
      <c r="S2532" s="185"/>
      <c r="T2532" s="185"/>
      <c r="U2532" s="185"/>
      <c r="V2532" s="185"/>
      <c r="W2532" s="185"/>
      <c r="X2532" s="185"/>
      <c r="Y2532" s="3"/>
      <c r="Z2532" s="3"/>
      <c r="AA2532" s="3"/>
      <c r="AB2532" s="3"/>
      <c r="AC2532" s="3"/>
      <c r="AD2532" s="3"/>
      <c r="AE2532" s="3"/>
      <c r="AF2532" s="3"/>
      <c r="AG2532" s="3"/>
      <c r="AH2532" s="3"/>
      <c r="AI2532" s="3"/>
      <c r="AJ2532" s="3"/>
      <c r="AK2532" s="3"/>
      <c r="AL2532" s="3"/>
    </row>
    <row r="2533" ht="15.75" customHeight="1">
      <c r="A2533" s="27">
        <f t="shared" si="21"/>
        <v>1412</v>
      </c>
      <c r="B2533" s="28" t="s">
        <v>8819</v>
      </c>
      <c r="C2533" s="43" t="s">
        <v>8820</v>
      </c>
      <c r="D2533" s="30" t="s">
        <v>8821</v>
      </c>
      <c r="E2533" s="28" t="s">
        <v>144</v>
      </c>
      <c r="F2533" s="28" t="s">
        <v>29</v>
      </c>
      <c r="G2533" s="28" t="s">
        <v>8203</v>
      </c>
      <c r="H2533" s="28"/>
      <c r="I2533" s="28" t="s">
        <v>38</v>
      </c>
      <c r="J2533" s="28">
        <v>383.0</v>
      </c>
      <c r="K2533" s="28"/>
      <c r="L2533" s="28" t="s">
        <v>8822</v>
      </c>
      <c r="M2533" s="28" t="s">
        <v>250</v>
      </c>
      <c r="N2533" s="28">
        <v>1986.0</v>
      </c>
      <c r="O2533" s="60">
        <v>13.0</v>
      </c>
      <c r="P2533" s="28">
        <v>1.0</v>
      </c>
      <c r="Q2533" s="32">
        <v>1.0</v>
      </c>
      <c r="R2533" s="33"/>
      <c r="S2533" s="185"/>
      <c r="T2533" s="185"/>
      <c r="U2533" s="185"/>
      <c r="V2533" s="185"/>
      <c r="W2533" s="185"/>
      <c r="X2533" s="185"/>
      <c r="Y2533" s="3"/>
      <c r="Z2533" s="3"/>
      <c r="AA2533" s="3"/>
      <c r="AB2533" s="3"/>
      <c r="AC2533" s="3"/>
      <c r="AD2533" s="3"/>
      <c r="AE2533" s="3"/>
      <c r="AF2533" s="3"/>
      <c r="AG2533" s="3"/>
      <c r="AH2533" s="3"/>
      <c r="AI2533" s="3"/>
      <c r="AJ2533" s="3"/>
      <c r="AK2533" s="3"/>
      <c r="AL2533" s="3"/>
    </row>
    <row r="2534" ht="15.75" customHeight="1">
      <c r="A2534" s="27">
        <f t="shared" si="21"/>
        <v>1413</v>
      </c>
      <c r="B2534" s="28" t="s">
        <v>31</v>
      </c>
      <c r="C2534" s="43" t="s">
        <v>8823</v>
      </c>
      <c r="D2534" s="30" t="s">
        <v>8824</v>
      </c>
      <c r="E2534" s="28"/>
      <c r="F2534" s="28" t="s">
        <v>29</v>
      </c>
      <c r="G2534" s="28" t="s">
        <v>30</v>
      </c>
      <c r="H2534" s="28"/>
      <c r="I2534" s="28" t="s">
        <v>30</v>
      </c>
      <c r="J2534" s="28">
        <v>48.0</v>
      </c>
      <c r="K2534" s="28"/>
      <c r="L2534" s="28" t="s">
        <v>8825</v>
      </c>
      <c r="M2534" s="28" t="s">
        <v>151</v>
      </c>
      <c r="N2534" s="28">
        <v>1981.0</v>
      </c>
      <c r="O2534" s="60">
        <v>13.0</v>
      </c>
      <c r="P2534" s="28">
        <v>1.0</v>
      </c>
      <c r="Q2534" s="32">
        <v>1.0</v>
      </c>
      <c r="R2534" s="33"/>
      <c r="S2534" s="185"/>
      <c r="T2534" s="185"/>
      <c r="U2534" s="185"/>
      <c r="V2534" s="185"/>
      <c r="W2534" s="185"/>
      <c r="X2534" s="185"/>
      <c r="Y2534" s="45"/>
      <c r="Z2534" s="45"/>
      <c r="AA2534" s="45"/>
      <c r="AB2534" s="45"/>
      <c r="AC2534" s="45"/>
      <c r="AD2534" s="45"/>
      <c r="AE2534" s="45"/>
      <c r="AF2534" s="45"/>
      <c r="AG2534" s="45"/>
      <c r="AH2534" s="45"/>
      <c r="AI2534" s="45"/>
      <c r="AJ2534" s="45"/>
      <c r="AK2534" s="45"/>
      <c r="AL2534" s="45"/>
    </row>
    <row r="2535" ht="15.75" customHeight="1">
      <c r="A2535" s="27">
        <f t="shared" si="21"/>
        <v>1414</v>
      </c>
      <c r="B2535" s="28" t="s">
        <v>8826</v>
      </c>
      <c r="C2535" s="43" t="s">
        <v>8827</v>
      </c>
      <c r="D2535" s="30" t="s">
        <v>8828</v>
      </c>
      <c r="E2535" s="28"/>
      <c r="F2535" s="28" t="s">
        <v>29</v>
      </c>
      <c r="G2535" s="28" t="s">
        <v>30</v>
      </c>
      <c r="H2535" s="28"/>
      <c r="I2535" s="28" t="s">
        <v>30</v>
      </c>
      <c r="J2535" s="28">
        <v>249.0</v>
      </c>
      <c r="K2535" s="28"/>
      <c r="L2535" s="28" t="s">
        <v>8829</v>
      </c>
      <c r="M2535" s="28" t="s">
        <v>3010</v>
      </c>
      <c r="N2535" s="28">
        <v>2006.0</v>
      </c>
      <c r="O2535" s="60">
        <v>13.0</v>
      </c>
      <c r="P2535" s="28">
        <v>1.0</v>
      </c>
      <c r="Q2535" s="32">
        <v>1.0</v>
      </c>
      <c r="R2535" s="33"/>
      <c r="S2535" s="185"/>
      <c r="T2535" s="185"/>
      <c r="U2535" s="185"/>
      <c r="V2535" s="185"/>
      <c r="W2535" s="185"/>
      <c r="X2535" s="185"/>
      <c r="Y2535" s="3"/>
      <c r="Z2535" s="3"/>
      <c r="AA2535" s="3"/>
      <c r="AB2535" s="3"/>
      <c r="AC2535" s="3"/>
      <c r="AD2535" s="3"/>
      <c r="AE2535" s="3"/>
      <c r="AF2535" s="3"/>
      <c r="AG2535" s="3"/>
      <c r="AH2535" s="3"/>
      <c r="AI2535" s="3"/>
      <c r="AJ2535" s="3"/>
      <c r="AK2535" s="3"/>
      <c r="AL2535" s="3"/>
    </row>
    <row r="2536" ht="15.75" customHeight="1">
      <c r="A2536" s="27">
        <f t="shared" si="21"/>
        <v>1415</v>
      </c>
      <c r="B2536" s="28" t="s">
        <v>31</v>
      </c>
      <c r="C2536" s="43" t="s">
        <v>8830</v>
      </c>
      <c r="D2536" s="30" t="s">
        <v>8831</v>
      </c>
      <c r="E2536" s="28"/>
      <c r="F2536" s="28" t="s">
        <v>29</v>
      </c>
      <c r="G2536" s="28" t="s">
        <v>30</v>
      </c>
      <c r="H2536" s="28"/>
      <c r="I2536" s="28" t="s">
        <v>30</v>
      </c>
      <c r="J2536" s="28">
        <v>112.0</v>
      </c>
      <c r="K2536" s="28"/>
      <c r="L2536" s="28" t="s">
        <v>8832</v>
      </c>
      <c r="M2536" s="28" t="s">
        <v>151</v>
      </c>
      <c r="N2536" s="28">
        <v>1983.0</v>
      </c>
      <c r="O2536" s="28">
        <v>13.0</v>
      </c>
      <c r="P2536" s="28">
        <v>1.0</v>
      </c>
      <c r="Q2536" s="32">
        <v>1.0</v>
      </c>
      <c r="R2536" s="33"/>
      <c r="S2536" s="185"/>
      <c r="T2536" s="185"/>
      <c r="U2536" s="185"/>
      <c r="V2536" s="185"/>
      <c r="W2536" s="185"/>
      <c r="X2536" s="185"/>
      <c r="Y2536" s="3"/>
      <c r="Z2536" s="3"/>
      <c r="AA2536" s="3"/>
      <c r="AB2536" s="3"/>
      <c r="AC2536" s="3"/>
      <c r="AD2536" s="3"/>
      <c r="AE2536" s="3"/>
      <c r="AF2536" s="3"/>
      <c r="AG2536" s="3"/>
      <c r="AH2536" s="3"/>
      <c r="AI2536" s="3"/>
      <c r="AJ2536" s="3"/>
      <c r="AK2536" s="3"/>
      <c r="AL2536" s="3"/>
    </row>
    <row r="2537" ht="15.75" customHeight="1">
      <c r="A2537" s="27">
        <f t="shared" si="21"/>
        <v>1416</v>
      </c>
      <c r="B2537" s="28"/>
      <c r="C2537" s="43" t="s">
        <v>8833</v>
      </c>
      <c r="D2537" s="30" t="s">
        <v>8834</v>
      </c>
      <c r="E2537" s="28" t="s">
        <v>144</v>
      </c>
      <c r="F2537" s="28" t="s">
        <v>29</v>
      </c>
      <c r="G2537" s="28" t="s">
        <v>30</v>
      </c>
      <c r="H2537" s="28"/>
      <c r="I2537" s="28" t="s">
        <v>30</v>
      </c>
      <c r="J2537" s="28">
        <f>119</f>
        <v>119</v>
      </c>
      <c r="K2537" s="28"/>
      <c r="L2537" s="28" t="s">
        <v>6972</v>
      </c>
      <c r="M2537" s="28" t="s">
        <v>3109</v>
      </c>
      <c r="N2537" s="28">
        <v>1976.0</v>
      </c>
      <c r="O2537" s="28">
        <v>13.0</v>
      </c>
      <c r="P2537" s="28">
        <v>1.0</v>
      </c>
      <c r="Q2537" s="32">
        <v>1.0</v>
      </c>
      <c r="R2537" s="33"/>
      <c r="S2537" s="185"/>
      <c r="T2537" s="185"/>
      <c r="U2537" s="185"/>
      <c r="V2537" s="185"/>
      <c r="W2537" s="185"/>
      <c r="X2537" s="185"/>
      <c r="Y2537" s="3"/>
      <c r="Z2537" s="3"/>
      <c r="AA2537" s="3"/>
      <c r="AB2537" s="3"/>
      <c r="AC2537" s="3"/>
      <c r="AD2537" s="3"/>
      <c r="AE2537" s="3"/>
      <c r="AF2537" s="3"/>
      <c r="AG2537" s="3"/>
      <c r="AH2537" s="3"/>
      <c r="AI2537" s="3"/>
      <c r="AJ2537" s="3"/>
      <c r="AK2537" s="3"/>
      <c r="AL2537" s="3"/>
    </row>
    <row r="2538" ht="15.75" customHeight="1">
      <c r="A2538" s="27">
        <f t="shared" si="21"/>
        <v>1417</v>
      </c>
      <c r="B2538" s="28" t="s">
        <v>8835</v>
      </c>
      <c r="C2538" s="43" t="s">
        <v>8836</v>
      </c>
      <c r="D2538" s="30" t="s">
        <v>8837</v>
      </c>
      <c r="E2538" s="28" t="s">
        <v>144</v>
      </c>
      <c r="F2538" s="28" t="s">
        <v>29</v>
      </c>
      <c r="G2538" s="28" t="s">
        <v>30</v>
      </c>
      <c r="H2538" s="28"/>
      <c r="I2538" s="28" t="s">
        <v>30</v>
      </c>
      <c r="J2538" s="28">
        <v>193.0</v>
      </c>
      <c r="K2538" s="28"/>
      <c r="L2538" s="28" t="s">
        <v>8838</v>
      </c>
      <c r="M2538" s="28" t="s">
        <v>151</v>
      </c>
      <c r="N2538" s="28">
        <v>2008.0</v>
      </c>
      <c r="O2538" s="28">
        <v>13.0</v>
      </c>
      <c r="P2538" s="28">
        <v>1.0</v>
      </c>
      <c r="Q2538" s="32">
        <v>1.0</v>
      </c>
      <c r="R2538" s="33"/>
      <c r="S2538" s="185"/>
      <c r="T2538" s="185"/>
      <c r="U2538" s="185"/>
      <c r="V2538" s="185"/>
      <c r="W2538" s="185"/>
      <c r="X2538" s="185"/>
      <c r="Y2538" s="45"/>
      <c r="Z2538" s="45"/>
      <c r="AA2538" s="45"/>
      <c r="AB2538" s="45"/>
      <c r="AC2538" s="45"/>
      <c r="AD2538" s="45"/>
      <c r="AE2538" s="45"/>
      <c r="AF2538" s="45"/>
      <c r="AG2538" s="45"/>
      <c r="AH2538" s="45"/>
      <c r="AI2538" s="45"/>
      <c r="AJ2538" s="45"/>
      <c r="AK2538" s="45"/>
      <c r="AL2538" s="45"/>
    </row>
    <row r="2539" ht="15.75" customHeight="1">
      <c r="A2539" s="27">
        <f t="shared" si="21"/>
        <v>1418</v>
      </c>
      <c r="B2539" s="121" t="s">
        <v>8839</v>
      </c>
      <c r="C2539" s="83" t="s">
        <v>8840</v>
      </c>
      <c r="D2539" s="121" t="s">
        <v>8841</v>
      </c>
      <c r="E2539" s="121" t="s">
        <v>144</v>
      </c>
      <c r="F2539" s="83" t="s">
        <v>29</v>
      </c>
      <c r="G2539" s="83" t="s">
        <v>30</v>
      </c>
      <c r="H2539" s="83"/>
      <c r="I2539" s="83" t="s">
        <v>30</v>
      </c>
      <c r="J2539" s="83">
        <v>458.0</v>
      </c>
      <c r="K2539" s="83"/>
      <c r="L2539" s="83" t="s">
        <v>8842</v>
      </c>
      <c r="M2539" s="83" t="s">
        <v>8843</v>
      </c>
      <c r="N2539" s="83">
        <v>2018.0</v>
      </c>
      <c r="O2539" s="28">
        <v>13.0</v>
      </c>
      <c r="P2539" s="83">
        <v>1.0</v>
      </c>
      <c r="Q2539" s="83">
        <v>1.0</v>
      </c>
      <c r="R2539" s="83"/>
      <c r="S2539" s="185"/>
      <c r="T2539" s="185"/>
      <c r="U2539" s="185"/>
      <c r="V2539" s="185"/>
      <c r="W2539" s="185"/>
      <c r="X2539" s="185"/>
      <c r="Y2539" s="3"/>
      <c r="Z2539" s="3"/>
      <c r="AA2539" s="3"/>
      <c r="AB2539" s="3"/>
      <c r="AC2539" s="3"/>
      <c r="AD2539" s="3"/>
      <c r="AE2539" s="3"/>
      <c r="AF2539" s="3"/>
      <c r="AG2539" s="3"/>
      <c r="AH2539" s="3"/>
      <c r="AI2539" s="3"/>
      <c r="AJ2539" s="3"/>
      <c r="AK2539" s="3"/>
      <c r="AL2539" s="3"/>
    </row>
    <row r="2540" ht="15.75" customHeight="1">
      <c r="A2540" s="27">
        <f t="shared" si="21"/>
        <v>1419</v>
      </c>
      <c r="B2540" s="28" t="s">
        <v>8844</v>
      </c>
      <c r="C2540" s="43" t="s">
        <v>8845</v>
      </c>
      <c r="D2540" s="30" t="s">
        <v>8846</v>
      </c>
      <c r="E2540" s="28" t="s">
        <v>144</v>
      </c>
      <c r="F2540" s="28" t="s">
        <v>29</v>
      </c>
      <c r="G2540" s="28" t="s">
        <v>30</v>
      </c>
      <c r="H2540" s="28"/>
      <c r="I2540" s="28" t="s">
        <v>30</v>
      </c>
      <c r="J2540" s="28">
        <f>140+12</f>
        <v>152</v>
      </c>
      <c r="K2540" s="28"/>
      <c r="L2540" s="28" t="s">
        <v>8847</v>
      </c>
      <c r="M2540" s="28" t="s">
        <v>3109</v>
      </c>
      <c r="N2540" s="28">
        <v>1990.0</v>
      </c>
      <c r="O2540" s="28">
        <v>13.0</v>
      </c>
      <c r="P2540" s="28">
        <v>1.0</v>
      </c>
      <c r="Q2540" s="32">
        <v>1.0</v>
      </c>
      <c r="R2540" s="33"/>
      <c r="S2540" s="185"/>
      <c r="T2540" s="185"/>
      <c r="U2540" s="185"/>
      <c r="V2540" s="185"/>
      <c r="W2540" s="185"/>
      <c r="X2540" s="185"/>
      <c r="Y2540" s="45"/>
      <c r="Z2540" s="45"/>
      <c r="AA2540" s="45"/>
      <c r="AB2540" s="45"/>
      <c r="AC2540" s="45"/>
      <c r="AD2540" s="45"/>
      <c r="AE2540" s="45"/>
      <c r="AF2540" s="45"/>
      <c r="AG2540" s="45"/>
      <c r="AH2540" s="45"/>
      <c r="AI2540" s="45"/>
      <c r="AJ2540" s="45"/>
      <c r="AK2540" s="45"/>
      <c r="AL2540" s="45"/>
    </row>
    <row r="2541" ht="15.75" customHeight="1">
      <c r="A2541" s="27">
        <f t="shared" si="21"/>
        <v>1420</v>
      </c>
      <c r="B2541" s="28" t="s">
        <v>8848</v>
      </c>
      <c r="C2541" s="43" t="s">
        <v>8849</v>
      </c>
      <c r="D2541" s="30" t="s">
        <v>8850</v>
      </c>
      <c r="E2541" s="28"/>
      <c r="F2541" s="28" t="s">
        <v>29</v>
      </c>
      <c r="G2541" s="28" t="s">
        <v>37</v>
      </c>
      <c r="H2541" s="28"/>
      <c r="I2541" s="28" t="s">
        <v>38</v>
      </c>
      <c r="J2541" s="28">
        <v>304.0</v>
      </c>
      <c r="K2541" s="28"/>
      <c r="L2541" s="28" t="s">
        <v>71</v>
      </c>
      <c r="M2541" s="28" t="s">
        <v>2423</v>
      </c>
      <c r="N2541" s="28">
        <v>2009.0</v>
      </c>
      <c r="O2541" s="60">
        <v>13.0</v>
      </c>
      <c r="P2541" s="28">
        <v>1.0</v>
      </c>
      <c r="Q2541" s="32">
        <v>1.0</v>
      </c>
      <c r="R2541" s="33"/>
      <c r="S2541" s="185"/>
      <c r="T2541" s="185"/>
      <c r="U2541" s="185"/>
      <c r="V2541" s="185"/>
      <c r="W2541" s="185"/>
      <c r="X2541" s="185"/>
      <c r="Y2541" s="3"/>
      <c r="Z2541" s="3"/>
      <c r="AA2541" s="3"/>
      <c r="AB2541" s="3"/>
      <c r="AC2541" s="3"/>
      <c r="AD2541" s="3"/>
      <c r="AE2541" s="3"/>
      <c r="AF2541" s="3"/>
      <c r="AG2541" s="3"/>
      <c r="AH2541" s="3"/>
      <c r="AI2541" s="3"/>
      <c r="AJ2541" s="3"/>
      <c r="AK2541" s="3"/>
      <c r="AL2541" s="3"/>
    </row>
    <row r="2542" ht="15.75" customHeight="1">
      <c r="A2542" s="27">
        <f t="shared" si="21"/>
        <v>1421</v>
      </c>
      <c r="B2542" s="28" t="s">
        <v>8851</v>
      </c>
      <c r="C2542" s="43" t="s">
        <v>8852</v>
      </c>
      <c r="D2542" s="30" t="s">
        <v>8853</v>
      </c>
      <c r="E2542" s="28" t="s">
        <v>144</v>
      </c>
      <c r="F2542" s="28" t="s">
        <v>29</v>
      </c>
      <c r="G2542" s="28" t="s">
        <v>37</v>
      </c>
      <c r="H2542" s="28"/>
      <c r="I2542" s="28" t="s">
        <v>38</v>
      </c>
      <c r="J2542" s="28">
        <v>229.0</v>
      </c>
      <c r="K2542" s="28"/>
      <c r="L2542" s="28" t="s">
        <v>8854</v>
      </c>
      <c r="M2542" s="28" t="s">
        <v>8855</v>
      </c>
      <c r="N2542" s="28">
        <v>1988.0</v>
      </c>
      <c r="O2542" s="60">
        <v>13.0</v>
      </c>
      <c r="P2542" s="28">
        <v>1.0</v>
      </c>
      <c r="Q2542" s="32">
        <v>1.0</v>
      </c>
      <c r="R2542" s="33"/>
      <c r="S2542" s="34"/>
      <c r="T2542" s="34"/>
      <c r="U2542" s="34"/>
      <c r="V2542" s="34"/>
      <c r="W2542" s="34"/>
      <c r="X2542" s="34"/>
      <c r="Y2542" s="3"/>
      <c r="Z2542" s="3"/>
      <c r="AA2542" s="3"/>
      <c r="AB2542" s="3"/>
      <c r="AC2542" s="3"/>
      <c r="AD2542" s="3"/>
      <c r="AE2542" s="3"/>
      <c r="AF2542" s="3"/>
      <c r="AG2542" s="3"/>
      <c r="AH2542" s="3"/>
      <c r="AI2542" s="3"/>
      <c r="AJ2542" s="3"/>
      <c r="AK2542" s="3"/>
      <c r="AL2542" s="3"/>
    </row>
    <row r="2543" ht="15.75" customHeight="1">
      <c r="A2543" s="27">
        <f t="shared" si="21"/>
        <v>1422</v>
      </c>
      <c r="B2543" s="28" t="s">
        <v>8856</v>
      </c>
      <c r="C2543" s="43" t="s">
        <v>8857</v>
      </c>
      <c r="D2543" s="30" t="s">
        <v>8858</v>
      </c>
      <c r="E2543" s="28" t="s">
        <v>144</v>
      </c>
      <c r="F2543" s="28" t="s">
        <v>29</v>
      </c>
      <c r="G2543" s="28" t="s">
        <v>30</v>
      </c>
      <c r="H2543" s="28"/>
      <c r="I2543" s="28" t="s">
        <v>30</v>
      </c>
      <c r="J2543" s="28">
        <f>376+20</f>
        <v>396</v>
      </c>
      <c r="K2543" s="28"/>
      <c r="L2543" s="28" t="s">
        <v>8859</v>
      </c>
      <c r="M2543" s="28" t="s">
        <v>2698</v>
      </c>
      <c r="N2543" s="28">
        <v>2008.0</v>
      </c>
      <c r="O2543" s="60">
        <v>13.0</v>
      </c>
      <c r="P2543" s="28">
        <v>1.0</v>
      </c>
      <c r="Q2543" s="32">
        <v>1.0</v>
      </c>
      <c r="R2543" s="33"/>
      <c r="S2543" s="210" t="s">
        <v>3916</v>
      </c>
      <c r="T2543" s="211" t="s">
        <v>8860</v>
      </c>
      <c r="U2543" s="212" t="s">
        <v>3918</v>
      </c>
      <c r="V2543" s="210" t="s">
        <v>31</v>
      </c>
      <c r="W2543" s="210" t="s">
        <v>29</v>
      </c>
      <c r="X2543" s="210" t="s">
        <v>131</v>
      </c>
      <c r="Y2543" s="45"/>
      <c r="Z2543" s="45"/>
      <c r="AA2543" s="45"/>
      <c r="AB2543" s="45"/>
      <c r="AC2543" s="45"/>
      <c r="AD2543" s="45"/>
      <c r="AE2543" s="45"/>
      <c r="AF2543" s="45"/>
      <c r="AG2543" s="45"/>
      <c r="AH2543" s="45"/>
      <c r="AI2543" s="45"/>
      <c r="AJ2543" s="45"/>
      <c r="AK2543" s="45"/>
      <c r="AL2543" s="45"/>
    </row>
    <row r="2544" ht="15.75" customHeight="1">
      <c r="A2544" s="27">
        <f t="shared" si="21"/>
        <v>1423</v>
      </c>
      <c r="B2544" s="28" t="s">
        <v>8861</v>
      </c>
      <c r="C2544" s="29" t="s">
        <v>8862</v>
      </c>
      <c r="D2544" s="30" t="s">
        <v>8863</v>
      </c>
      <c r="E2544" s="28"/>
      <c r="F2544" s="28" t="s">
        <v>29</v>
      </c>
      <c r="G2544" s="28" t="s">
        <v>30</v>
      </c>
      <c r="H2544" s="28"/>
      <c r="I2544" s="28" t="s">
        <v>38</v>
      </c>
      <c r="J2544" s="28">
        <v>371.0</v>
      </c>
      <c r="K2544" s="28"/>
      <c r="L2544" s="28" t="s">
        <v>8864</v>
      </c>
      <c r="M2544" s="28" t="s">
        <v>8865</v>
      </c>
      <c r="N2544" s="28">
        <v>2005.0</v>
      </c>
      <c r="O2544" s="60">
        <v>13.0</v>
      </c>
      <c r="P2544" s="28">
        <v>1.0</v>
      </c>
      <c r="Q2544" s="94">
        <v>1.0</v>
      </c>
      <c r="R2544" s="33"/>
      <c r="S2544" s="34"/>
      <c r="T2544" s="34"/>
      <c r="U2544" s="34"/>
      <c r="V2544" s="34"/>
      <c r="W2544" s="34"/>
      <c r="X2544" s="34"/>
      <c r="Y2544" s="45"/>
      <c r="Z2544" s="45"/>
      <c r="AA2544" s="45"/>
      <c r="AB2544" s="45"/>
      <c r="AC2544" s="45"/>
      <c r="AD2544" s="45"/>
      <c r="AE2544" s="45"/>
      <c r="AF2544" s="45"/>
      <c r="AG2544" s="45"/>
      <c r="AH2544" s="45"/>
      <c r="AI2544" s="45"/>
      <c r="AJ2544" s="45"/>
      <c r="AK2544" s="45"/>
      <c r="AL2544" s="45"/>
    </row>
    <row r="2545" ht="25.5" customHeight="1">
      <c r="A2545" s="27">
        <f t="shared" si="21"/>
        <v>1424</v>
      </c>
      <c r="B2545" s="28" t="s">
        <v>8866</v>
      </c>
      <c r="C2545" s="43" t="s">
        <v>8867</v>
      </c>
      <c r="D2545" s="30" t="s">
        <v>8868</v>
      </c>
      <c r="E2545" s="28"/>
      <c r="F2545" s="28" t="s">
        <v>29</v>
      </c>
      <c r="G2545" s="28" t="s">
        <v>37</v>
      </c>
      <c r="H2545" s="28"/>
      <c r="I2545" s="28" t="s">
        <v>38</v>
      </c>
      <c r="J2545" s="28">
        <v>252.0</v>
      </c>
      <c r="K2545" s="28"/>
      <c r="L2545" s="28" t="s">
        <v>8869</v>
      </c>
      <c r="M2545" s="28" t="s">
        <v>8870</v>
      </c>
      <c r="N2545" s="28">
        <v>2004.0</v>
      </c>
      <c r="O2545" s="60">
        <v>13.0</v>
      </c>
      <c r="P2545" s="28">
        <v>1.0</v>
      </c>
      <c r="Q2545" s="32">
        <v>1.0</v>
      </c>
      <c r="R2545" s="33"/>
      <c r="S2545" s="116"/>
      <c r="T2545" s="116"/>
      <c r="U2545" s="185"/>
      <c r="V2545" s="185"/>
      <c r="W2545" s="185"/>
      <c r="X2545" s="185"/>
      <c r="Y2545" s="45"/>
      <c r="Z2545" s="45"/>
      <c r="AA2545" s="45"/>
      <c r="AB2545" s="45"/>
      <c r="AC2545" s="45"/>
      <c r="AD2545" s="45"/>
      <c r="AE2545" s="45"/>
      <c r="AF2545" s="45"/>
      <c r="AG2545" s="45"/>
      <c r="AH2545" s="45"/>
      <c r="AI2545" s="45"/>
      <c r="AJ2545" s="45"/>
      <c r="AK2545" s="45"/>
      <c r="AL2545" s="45"/>
    </row>
    <row r="2546" ht="15.75" customHeight="1">
      <c r="A2546" s="27">
        <f t="shared" si="21"/>
        <v>1425</v>
      </c>
      <c r="B2546" s="28" t="s">
        <v>8871</v>
      </c>
      <c r="C2546" s="43" t="s">
        <v>8872</v>
      </c>
      <c r="D2546" s="30" t="s">
        <v>8873</v>
      </c>
      <c r="E2546" s="28" t="s">
        <v>144</v>
      </c>
      <c r="F2546" s="28" t="s">
        <v>29</v>
      </c>
      <c r="G2546" s="28" t="s">
        <v>37</v>
      </c>
      <c r="H2546" s="28"/>
      <c r="I2546" s="28" t="s">
        <v>38</v>
      </c>
      <c r="J2546" s="28">
        <v>265.0</v>
      </c>
      <c r="K2546" s="28"/>
      <c r="L2546" s="28" t="s">
        <v>8874</v>
      </c>
      <c r="M2546" s="28" t="s">
        <v>156</v>
      </c>
      <c r="N2546" s="28">
        <v>1988.0</v>
      </c>
      <c r="O2546" s="60">
        <v>13.0</v>
      </c>
      <c r="P2546" s="28">
        <v>1.0</v>
      </c>
      <c r="Q2546" s="32">
        <v>1.0</v>
      </c>
      <c r="R2546" s="33"/>
      <c r="S2546" s="34"/>
      <c r="T2546" s="34"/>
      <c r="U2546" s="34"/>
      <c r="V2546" s="34"/>
      <c r="W2546" s="34"/>
      <c r="X2546" s="34"/>
      <c r="Y2546" s="45"/>
      <c r="Z2546" s="45"/>
      <c r="AA2546" s="45"/>
      <c r="AB2546" s="45"/>
      <c r="AC2546" s="45"/>
      <c r="AD2546" s="45"/>
      <c r="AE2546" s="45"/>
      <c r="AF2546" s="45"/>
      <c r="AG2546" s="45"/>
      <c r="AH2546" s="45"/>
      <c r="AI2546" s="45"/>
      <c r="AJ2546" s="45"/>
      <c r="AK2546" s="45"/>
      <c r="AL2546" s="45"/>
    </row>
    <row r="2547" ht="15.75" customHeight="1">
      <c r="A2547" s="27">
        <f t="shared" si="21"/>
        <v>1426</v>
      </c>
      <c r="B2547" s="28" t="s">
        <v>8875</v>
      </c>
      <c r="C2547" s="102" t="s">
        <v>8876</v>
      </c>
      <c r="D2547" s="30" t="s">
        <v>8877</v>
      </c>
      <c r="E2547" s="60" t="s">
        <v>144</v>
      </c>
      <c r="F2547" s="28" t="s">
        <v>29</v>
      </c>
      <c r="G2547" s="28" t="s">
        <v>37</v>
      </c>
      <c r="H2547" s="28"/>
      <c r="I2547" s="28" t="s">
        <v>38</v>
      </c>
      <c r="J2547" s="28">
        <v>205.0</v>
      </c>
      <c r="K2547" s="28"/>
      <c r="L2547" s="28" t="s">
        <v>8878</v>
      </c>
      <c r="M2547" s="28" t="s">
        <v>230</v>
      </c>
      <c r="N2547" s="28">
        <v>2007.0</v>
      </c>
      <c r="O2547" s="60">
        <v>13.0</v>
      </c>
      <c r="P2547" s="28">
        <v>1.0</v>
      </c>
      <c r="Q2547" s="32">
        <v>1.0</v>
      </c>
      <c r="R2547" s="33"/>
      <c r="S2547" s="116"/>
      <c r="T2547" s="116"/>
      <c r="U2547" s="185"/>
      <c r="V2547" s="185"/>
      <c r="W2547" s="185"/>
      <c r="X2547" s="185"/>
      <c r="Y2547" s="3"/>
      <c r="Z2547" s="3"/>
      <c r="AA2547" s="3"/>
      <c r="AB2547" s="3"/>
      <c r="AC2547" s="3"/>
      <c r="AD2547" s="3"/>
      <c r="AE2547" s="3"/>
      <c r="AF2547" s="3"/>
      <c r="AG2547" s="3"/>
      <c r="AH2547" s="3"/>
      <c r="AI2547" s="3"/>
      <c r="AJ2547" s="3"/>
      <c r="AK2547" s="3"/>
      <c r="AL2547" s="3"/>
    </row>
    <row r="2548" ht="15.75" customHeight="1">
      <c r="A2548" s="27">
        <f t="shared" si="21"/>
        <v>1427</v>
      </c>
      <c r="B2548" s="28" t="s">
        <v>31</v>
      </c>
      <c r="C2548" s="29" t="s">
        <v>8879</v>
      </c>
      <c r="D2548" s="30" t="s">
        <v>8880</v>
      </c>
      <c r="E2548" s="28"/>
      <c r="F2548" s="28" t="s">
        <v>29</v>
      </c>
      <c r="G2548" s="28" t="s">
        <v>30</v>
      </c>
      <c r="H2548" s="28"/>
      <c r="I2548" s="28" t="s">
        <v>30</v>
      </c>
      <c r="J2548" s="28">
        <v>320.0</v>
      </c>
      <c r="K2548" s="28"/>
      <c r="L2548" s="28" t="s">
        <v>31</v>
      </c>
      <c r="M2548" s="28" t="s">
        <v>4762</v>
      </c>
      <c r="N2548" s="28">
        <v>1971.0</v>
      </c>
      <c r="O2548" s="60">
        <v>13.0</v>
      </c>
      <c r="P2548" s="28">
        <v>2.0</v>
      </c>
      <c r="Q2548" s="32">
        <v>2.0</v>
      </c>
      <c r="R2548" s="33"/>
      <c r="S2548" s="116"/>
      <c r="T2548" s="116"/>
      <c r="U2548" s="185"/>
      <c r="V2548" s="185"/>
      <c r="W2548" s="185"/>
      <c r="X2548" s="185"/>
      <c r="Y2548" s="45"/>
      <c r="Z2548" s="45"/>
      <c r="AA2548" s="45"/>
      <c r="AB2548" s="45"/>
      <c r="AC2548" s="45"/>
      <c r="AD2548" s="45"/>
      <c r="AE2548" s="45"/>
      <c r="AF2548" s="45"/>
      <c r="AG2548" s="45"/>
      <c r="AH2548" s="45"/>
      <c r="AI2548" s="45"/>
      <c r="AJ2548" s="45"/>
      <c r="AK2548" s="45"/>
      <c r="AL2548" s="45"/>
    </row>
    <row r="2549" ht="15.75" customHeight="1">
      <c r="A2549" s="27">
        <f t="shared" si="21"/>
        <v>1428</v>
      </c>
      <c r="B2549" s="28"/>
      <c r="C2549" s="43" t="s">
        <v>8881</v>
      </c>
      <c r="D2549" s="30" t="s">
        <v>8882</v>
      </c>
      <c r="E2549" s="28" t="s">
        <v>144</v>
      </c>
      <c r="F2549" s="28" t="s">
        <v>29</v>
      </c>
      <c r="G2549" s="28" t="s">
        <v>30</v>
      </c>
      <c r="H2549" s="28"/>
      <c r="I2549" s="28" t="s">
        <v>30</v>
      </c>
      <c r="J2549" s="28">
        <f>191</f>
        <v>191</v>
      </c>
      <c r="K2549" s="28"/>
      <c r="L2549" s="28" t="s">
        <v>8883</v>
      </c>
      <c r="M2549" s="28" t="s">
        <v>8884</v>
      </c>
      <c r="N2549" s="28"/>
      <c r="O2549" s="60">
        <v>13.0</v>
      </c>
      <c r="P2549" s="28">
        <v>1.0</v>
      </c>
      <c r="Q2549" s="32">
        <v>1.0</v>
      </c>
      <c r="R2549" s="33"/>
      <c r="S2549" s="34"/>
      <c r="T2549" s="34"/>
      <c r="U2549" s="34"/>
      <c r="V2549" s="34"/>
      <c r="W2549" s="34"/>
      <c r="X2549" s="34"/>
      <c r="Y2549" s="45"/>
      <c r="Z2549" s="45"/>
      <c r="AA2549" s="45"/>
      <c r="AB2549" s="45"/>
      <c r="AC2549" s="45"/>
      <c r="AD2549" s="45"/>
      <c r="AE2549" s="45"/>
      <c r="AF2549" s="45"/>
      <c r="AG2549" s="45"/>
      <c r="AH2549" s="45"/>
      <c r="AI2549" s="45"/>
      <c r="AJ2549" s="45"/>
      <c r="AK2549" s="45"/>
      <c r="AL2549" s="45"/>
    </row>
    <row r="2550" ht="15.75" customHeight="1">
      <c r="A2550" s="27">
        <f t="shared" si="21"/>
        <v>1429</v>
      </c>
      <c r="B2550" s="28" t="s">
        <v>8885</v>
      </c>
      <c r="C2550" s="43" t="s">
        <v>8886</v>
      </c>
      <c r="D2550" s="30" t="s">
        <v>8887</v>
      </c>
      <c r="E2550" s="28" t="s">
        <v>144</v>
      </c>
      <c r="F2550" s="28" t="s">
        <v>29</v>
      </c>
      <c r="G2550" s="28" t="s">
        <v>30</v>
      </c>
      <c r="H2550" s="28"/>
      <c r="I2550" s="28" t="s">
        <v>159</v>
      </c>
      <c r="J2550" s="28">
        <v>480.0</v>
      </c>
      <c r="K2550" s="28"/>
      <c r="L2550" s="28" t="s">
        <v>8888</v>
      </c>
      <c r="M2550" s="28" t="s">
        <v>8889</v>
      </c>
      <c r="N2550" s="28">
        <v>2009.0</v>
      </c>
      <c r="O2550" s="60">
        <v>13.0</v>
      </c>
      <c r="P2550" s="28">
        <v>1.0</v>
      </c>
      <c r="Q2550" s="32">
        <v>1.0</v>
      </c>
      <c r="R2550" s="33"/>
      <c r="S2550" s="116"/>
      <c r="T2550" s="116"/>
      <c r="U2550" s="185"/>
      <c r="V2550" s="185"/>
      <c r="W2550" s="185"/>
      <c r="X2550" s="185"/>
      <c r="Y2550" s="45"/>
      <c r="Z2550" s="45"/>
      <c r="AA2550" s="45"/>
      <c r="AB2550" s="45"/>
      <c r="AC2550" s="45"/>
      <c r="AD2550" s="45"/>
      <c r="AE2550" s="45"/>
      <c r="AF2550" s="45"/>
      <c r="AG2550" s="45"/>
      <c r="AH2550" s="45"/>
      <c r="AI2550" s="45"/>
      <c r="AJ2550" s="45"/>
      <c r="AK2550" s="45"/>
      <c r="AL2550" s="45"/>
    </row>
    <row r="2551" ht="15.75" customHeight="1">
      <c r="A2551" s="27">
        <f t="shared" si="21"/>
        <v>1430</v>
      </c>
      <c r="B2551" s="28"/>
      <c r="C2551" s="43" t="s">
        <v>8890</v>
      </c>
      <c r="D2551" s="30" t="s">
        <v>8891</v>
      </c>
      <c r="E2551" s="28" t="s">
        <v>144</v>
      </c>
      <c r="F2551" s="28" t="s">
        <v>29</v>
      </c>
      <c r="G2551" s="28" t="s">
        <v>30</v>
      </c>
      <c r="H2551" s="28"/>
      <c r="I2551" s="28" t="s">
        <v>159</v>
      </c>
      <c r="J2551" s="28">
        <v>121.0</v>
      </c>
      <c r="K2551" s="28"/>
      <c r="L2551" s="28" t="s">
        <v>8892</v>
      </c>
      <c r="M2551" s="28"/>
      <c r="N2551" s="28"/>
      <c r="O2551" s="60">
        <v>13.0</v>
      </c>
      <c r="P2551" s="28">
        <v>1.0</v>
      </c>
      <c r="Q2551" s="32">
        <v>1.0</v>
      </c>
      <c r="R2551" s="33"/>
      <c r="S2551" s="34"/>
      <c r="T2551" s="34"/>
      <c r="U2551" s="40"/>
      <c r="V2551" s="40"/>
      <c r="W2551" s="40"/>
      <c r="X2551" s="40"/>
      <c r="Y2551" s="45"/>
      <c r="Z2551" s="45"/>
      <c r="AA2551" s="45"/>
      <c r="AB2551" s="45"/>
      <c r="AC2551" s="45"/>
      <c r="AD2551" s="45"/>
      <c r="AE2551" s="45"/>
      <c r="AF2551" s="45"/>
      <c r="AG2551" s="45"/>
      <c r="AH2551" s="45"/>
      <c r="AI2551" s="45"/>
      <c r="AJ2551" s="45"/>
      <c r="AK2551" s="45"/>
      <c r="AL2551" s="45"/>
    </row>
    <row r="2552" ht="15.75" customHeight="1">
      <c r="A2552" s="27">
        <f t="shared" si="21"/>
        <v>1431</v>
      </c>
      <c r="B2552" s="28" t="s">
        <v>8893</v>
      </c>
      <c r="C2552" s="43" t="s">
        <v>8894</v>
      </c>
      <c r="D2552" s="30" t="s">
        <v>8895</v>
      </c>
      <c r="E2552" s="28" t="s">
        <v>144</v>
      </c>
      <c r="F2552" s="28" t="s">
        <v>29</v>
      </c>
      <c r="G2552" s="28" t="s">
        <v>30</v>
      </c>
      <c r="H2552" s="28" t="s">
        <v>31</v>
      </c>
      <c r="I2552" s="28" t="s">
        <v>30</v>
      </c>
      <c r="J2552" s="31">
        <v>390.0</v>
      </c>
      <c r="K2552" s="28"/>
      <c r="L2552" s="28" t="s">
        <v>4111</v>
      </c>
      <c r="M2552" s="28" t="s">
        <v>4107</v>
      </c>
      <c r="N2552" s="28">
        <v>2009.0</v>
      </c>
      <c r="O2552" s="62">
        <v>12.0</v>
      </c>
      <c r="P2552" s="28">
        <v>1.0</v>
      </c>
      <c r="Q2552" s="94">
        <v>1.0</v>
      </c>
      <c r="R2552" s="33"/>
      <c r="S2552" s="116"/>
      <c r="T2552" s="116"/>
      <c r="U2552" s="185"/>
      <c r="V2552" s="185"/>
      <c r="W2552" s="185"/>
      <c r="X2552" s="185"/>
      <c r="Y2552" s="3"/>
      <c r="Z2552" s="3"/>
      <c r="AA2552" s="3"/>
      <c r="AB2552" s="3"/>
      <c r="AC2552" s="3"/>
      <c r="AD2552" s="3"/>
      <c r="AE2552" s="3"/>
      <c r="AF2552" s="3"/>
      <c r="AG2552" s="3"/>
      <c r="AH2552" s="3"/>
      <c r="AI2552" s="3"/>
      <c r="AJ2552" s="3"/>
      <c r="AK2552" s="3"/>
      <c r="AL2552" s="3"/>
    </row>
    <row r="2553" ht="15.75" customHeight="1">
      <c r="A2553" s="27">
        <f t="shared" si="21"/>
        <v>1432</v>
      </c>
      <c r="B2553" s="28" t="s">
        <v>8896</v>
      </c>
      <c r="C2553" s="43" t="s">
        <v>8897</v>
      </c>
      <c r="D2553" s="30" t="s">
        <v>8898</v>
      </c>
      <c r="E2553" s="28" t="s">
        <v>144</v>
      </c>
      <c r="F2553" s="28" t="s">
        <v>29</v>
      </c>
      <c r="G2553" s="28" t="s">
        <v>37</v>
      </c>
      <c r="H2553" s="28"/>
      <c r="I2553" s="28" t="s">
        <v>38</v>
      </c>
      <c r="J2553" s="28">
        <v>146.0</v>
      </c>
      <c r="K2553" s="28"/>
      <c r="L2553" s="28" t="s">
        <v>8899</v>
      </c>
      <c r="M2553" s="28" t="s">
        <v>8900</v>
      </c>
      <c r="N2553" s="28">
        <v>1983.0</v>
      </c>
      <c r="O2553" s="60">
        <v>13.0</v>
      </c>
      <c r="P2553" s="28">
        <v>1.0</v>
      </c>
      <c r="Q2553" s="32">
        <v>1.0</v>
      </c>
      <c r="R2553" s="33"/>
      <c r="S2553" s="185"/>
      <c r="T2553" s="185"/>
      <c r="U2553" s="185"/>
      <c r="V2553" s="185"/>
      <c r="W2553" s="185"/>
      <c r="X2553" s="185"/>
      <c r="Y2553" s="3"/>
      <c r="Z2553" s="3"/>
      <c r="AA2553" s="3"/>
      <c r="AB2553" s="3"/>
      <c r="AC2553" s="3"/>
      <c r="AD2553" s="3"/>
      <c r="AE2553" s="3"/>
      <c r="AF2553" s="3"/>
      <c r="AG2553" s="3"/>
      <c r="AH2553" s="3"/>
      <c r="AI2553" s="3"/>
      <c r="AJ2553" s="3"/>
      <c r="AK2553" s="3"/>
      <c r="AL2553" s="3"/>
    </row>
    <row r="2554" ht="15.75" customHeight="1">
      <c r="A2554" s="27">
        <f t="shared" si="21"/>
        <v>1433</v>
      </c>
      <c r="B2554" s="28" t="s">
        <v>8901</v>
      </c>
      <c r="C2554" s="43" t="s">
        <v>8902</v>
      </c>
      <c r="D2554" s="30" t="s">
        <v>8903</v>
      </c>
      <c r="E2554" s="28" t="s">
        <v>144</v>
      </c>
      <c r="F2554" s="28" t="s">
        <v>29</v>
      </c>
      <c r="G2554" s="28" t="s">
        <v>30</v>
      </c>
      <c r="H2554" s="28"/>
      <c r="I2554" s="28" t="s">
        <v>30</v>
      </c>
      <c r="J2554" s="28">
        <v>334.0</v>
      </c>
      <c r="K2554" s="28"/>
      <c r="L2554" s="28" t="s">
        <v>8904</v>
      </c>
      <c r="M2554" s="28" t="s">
        <v>151</v>
      </c>
      <c r="N2554" s="28">
        <v>2010.0</v>
      </c>
      <c r="O2554" s="62">
        <v>12.0</v>
      </c>
      <c r="P2554" s="28">
        <v>2.0</v>
      </c>
      <c r="Q2554" s="32">
        <v>2.0</v>
      </c>
      <c r="R2554" s="33"/>
      <c r="S2554" s="40"/>
      <c r="T2554" s="40"/>
      <c r="U2554" s="40"/>
      <c r="V2554" s="40"/>
      <c r="W2554" s="40"/>
      <c r="X2554" s="40"/>
      <c r="Y2554" s="3"/>
      <c r="Z2554" s="3"/>
      <c r="AA2554" s="3"/>
      <c r="AB2554" s="3"/>
      <c r="AC2554" s="3"/>
      <c r="AD2554" s="3"/>
      <c r="AE2554" s="3"/>
      <c r="AF2554" s="3"/>
      <c r="AG2554" s="3"/>
      <c r="AH2554" s="3"/>
      <c r="AI2554" s="3"/>
      <c r="AJ2554" s="3"/>
      <c r="AK2554" s="3"/>
      <c r="AL2554" s="3"/>
    </row>
    <row r="2555" ht="15.75" customHeight="1">
      <c r="A2555" s="27">
        <f t="shared" si="21"/>
        <v>1434</v>
      </c>
      <c r="B2555" s="28" t="s">
        <v>8905</v>
      </c>
      <c r="C2555" s="43" t="s">
        <v>8906</v>
      </c>
      <c r="D2555" s="30" t="s">
        <v>8907</v>
      </c>
      <c r="E2555" s="28" t="s">
        <v>144</v>
      </c>
      <c r="F2555" s="28" t="s">
        <v>29</v>
      </c>
      <c r="G2555" s="28" t="s">
        <v>159</v>
      </c>
      <c r="H2555" s="28"/>
      <c r="I2555" s="28" t="s">
        <v>30</v>
      </c>
      <c r="J2555" s="28">
        <v>289.0</v>
      </c>
      <c r="K2555" s="28"/>
      <c r="L2555" s="28" t="s">
        <v>8908</v>
      </c>
      <c r="M2555" s="28" t="s">
        <v>8889</v>
      </c>
      <c r="N2555" s="28">
        <v>2005.0</v>
      </c>
      <c r="O2555" s="60">
        <v>13.0</v>
      </c>
      <c r="P2555" s="28">
        <v>1.0</v>
      </c>
      <c r="Q2555" s="94">
        <v>1.0</v>
      </c>
      <c r="R2555" s="33"/>
      <c r="S2555" s="116"/>
      <c r="T2555" s="116"/>
      <c r="U2555" s="185"/>
      <c r="V2555" s="185"/>
      <c r="W2555" s="185"/>
      <c r="X2555" s="185"/>
      <c r="Y2555" s="3"/>
      <c r="Z2555" s="3"/>
      <c r="AA2555" s="3"/>
      <c r="AB2555" s="3"/>
      <c r="AC2555" s="3"/>
      <c r="AD2555" s="3"/>
      <c r="AE2555" s="3"/>
      <c r="AF2555" s="3"/>
      <c r="AG2555" s="3"/>
      <c r="AH2555" s="3"/>
      <c r="AI2555" s="3"/>
      <c r="AJ2555" s="3"/>
      <c r="AK2555" s="3"/>
      <c r="AL2555" s="3"/>
    </row>
    <row r="2556" ht="15.75" customHeight="1">
      <c r="A2556" s="27">
        <f t="shared" si="21"/>
        <v>1435</v>
      </c>
      <c r="B2556" s="28" t="s">
        <v>8909</v>
      </c>
      <c r="C2556" s="43" t="s">
        <v>8910</v>
      </c>
      <c r="D2556" s="30" t="s">
        <v>8911</v>
      </c>
      <c r="E2556" s="28" t="s">
        <v>144</v>
      </c>
      <c r="F2556" s="28" t="s">
        <v>29</v>
      </c>
      <c r="G2556" s="28" t="s">
        <v>37</v>
      </c>
      <c r="H2556" s="28"/>
      <c r="I2556" s="28" t="s">
        <v>38</v>
      </c>
      <c r="J2556" s="28">
        <v>159.0</v>
      </c>
      <c r="K2556" s="28"/>
      <c r="L2556" s="28" t="s">
        <v>8912</v>
      </c>
      <c r="M2556" s="28" t="s">
        <v>7218</v>
      </c>
      <c r="N2556" s="28">
        <v>1994.0</v>
      </c>
      <c r="O2556" s="60">
        <v>13.0</v>
      </c>
      <c r="P2556" s="28">
        <v>1.0</v>
      </c>
      <c r="Q2556" s="32">
        <v>1.0</v>
      </c>
      <c r="R2556" s="33"/>
      <c r="S2556" s="34"/>
      <c r="T2556" s="34"/>
      <c r="U2556" s="34"/>
      <c r="V2556" s="34"/>
      <c r="W2556" s="34"/>
      <c r="X2556" s="34"/>
      <c r="Y2556" s="3"/>
      <c r="Z2556" s="3"/>
      <c r="AA2556" s="3"/>
      <c r="AB2556" s="3"/>
      <c r="AC2556" s="3"/>
      <c r="AD2556" s="3"/>
      <c r="AE2556" s="3"/>
      <c r="AF2556" s="3"/>
      <c r="AG2556" s="3"/>
      <c r="AH2556" s="3"/>
      <c r="AI2556" s="3"/>
      <c r="AJ2556" s="3"/>
      <c r="AK2556" s="3"/>
      <c r="AL2556" s="3"/>
    </row>
    <row r="2557" ht="15.75" customHeight="1">
      <c r="A2557" s="27">
        <f t="shared" si="21"/>
        <v>1436</v>
      </c>
      <c r="B2557" s="28" t="s">
        <v>8913</v>
      </c>
      <c r="C2557" s="43" t="s">
        <v>8914</v>
      </c>
      <c r="D2557" s="30" t="s">
        <v>8915</v>
      </c>
      <c r="E2557" s="28"/>
      <c r="F2557" s="28" t="s">
        <v>29</v>
      </c>
      <c r="G2557" s="28" t="s">
        <v>30</v>
      </c>
      <c r="H2557" s="28"/>
      <c r="I2557" s="28" t="s">
        <v>30</v>
      </c>
      <c r="J2557" s="28">
        <v>144.0</v>
      </c>
      <c r="K2557" s="28"/>
      <c r="L2557" s="28" t="s">
        <v>8916</v>
      </c>
      <c r="M2557" s="28" t="s">
        <v>8681</v>
      </c>
      <c r="N2557" s="28">
        <v>2009.0</v>
      </c>
      <c r="O2557" s="60">
        <v>13.0</v>
      </c>
      <c r="P2557" s="28">
        <v>1.0</v>
      </c>
      <c r="Q2557" s="94">
        <v>1.0</v>
      </c>
      <c r="R2557" s="33"/>
      <c r="S2557" s="34"/>
      <c r="T2557" s="34"/>
      <c r="U2557" s="40"/>
      <c r="V2557" s="40"/>
      <c r="W2557" s="40"/>
      <c r="X2557" s="40"/>
      <c r="Y2557" s="3"/>
      <c r="Z2557" s="3"/>
      <c r="AA2557" s="3"/>
      <c r="AB2557" s="3"/>
      <c r="AC2557" s="3"/>
      <c r="AD2557" s="3"/>
      <c r="AE2557" s="3"/>
      <c r="AF2557" s="3"/>
      <c r="AG2557" s="3"/>
      <c r="AH2557" s="3"/>
      <c r="AI2557" s="3"/>
      <c r="AJ2557" s="3"/>
      <c r="AK2557" s="3"/>
      <c r="AL2557" s="3"/>
    </row>
    <row r="2558" ht="15.75" customHeight="1">
      <c r="A2558" s="27">
        <f t="shared" si="21"/>
        <v>1437</v>
      </c>
      <c r="B2558" s="28" t="s">
        <v>31</v>
      </c>
      <c r="C2558" s="43" t="s">
        <v>8917</v>
      </c>
      <c r="D2558" s="30" t="s">
        <v>8918</v>
      </c>
      <c r="E2558" s="28" t="s">
        <v>144</v>
      </c>
      <c r="F2558" s="28" t="s">
        <v>29</v>
      </c>
      <c r="G2558" s="28" t="s">
        <v>37</v>
      </c>
      <c r="H2558" s="28"/>
      <c r="I2558" s="28" t="s">
        <v>38</v>
      </c>
      <c r="J2558" s="28">
        <f>288</f>
        <v>288</v>
      </c>
      <c r="K2558" s="28"/>
      <c r="L2558" s="28" t="s">
        <v>8919</v>
      </c>
      <c r="M2558" s="28" t="s">
        <v>8920</v>
      </c>
      <c r="N2558" s="28">
        <v>1977.0</v>
      </c>
      <c r="O2558" s="28">
        <v>13.0</v>
      </c>
      <c r="P2558" s="28">
        <v>1.0</v>
      </c>
      <c r="Q2558" s="32">
        <v>1.0</v>
      </c>
      <c r="R2558" s="33"/>
      <c r="S2558" s="34"/>
      <c r="T2558" s="34"/>
      <c r="U2558" s="40"/>
      <c r="V2558" s="40"/>
      <c r="W2558" s="40"/>
      <c r="X2558" s="40"/>
      <c r="Y2558" s="3"/>
      <c r="Z2558" s="3"/>
      <c r="AA2558" s="3"/>
      <c r="AB2558" s="3"/>
      <c r="AC2558" s="3"/>
      <c r="AD2558" s="3"/>
      <c r="AE2558" s="3"/>
      <c r="AF2558" s="3"/>
      <c r="AG2558" s="3"/>
      <c r="AH2558" s="3"/>
      <c r="AI2558" s="3"/>
      <c r="AJ2558" s="3"/>
      <c r="AK2558" s="3"/>
      <c r="AL2558" s="3"/>
    </row>
    <row r="2559" ht="15.75" customHeight="1">
      <c r="A2559" s="27">
        <f t="shared" si="21"/>
        <v>1438</v>
      </c>
      <c r="B2559" s="28" t="s">
        <v>8921</v>
      </c>
      <c r="C2559" s="43" t="s">
        <v>8922</v>
      </c>
      <c r="D2559" s="30" t="s">
        <v>8923</v>
      </c>
      <c r="E2559" s="28" t="s">
        <v>144</v>
      </c>
      <c r="F2559" s="28" t="s">
        <v>29</v>
      </c>
      <c r="G2559" s="28" t="s">
        <v>30</v>
      </c>
      <c r="H2559" s="28"/>
      <c r="I2559" s="28" t="s">
        <v>30</v>
      </c>
      <c r="J2559" s="28">
        <v>159.0</v>
      </c>
      <c r="K2559" s="28"/>
      <c r="L2559" s="28" t="s">
        <v>8924</v>
      </c>
      <c r="M2559" s="28" t="s">
        <v>161</v>
      </c>
      <c r="N2559" s="28">
        <v>2010.0</v>
      </c>
      <c r="O2559" s="28">
        <v>13.0</v>
      </c>
      <c r="P2559" s="28">
        <v>1.0</v>
      </c>
      <c r="Q2559" s="32">
        <v>1.0</v>
      </c>
      <c r="R2559" s="33"/>
      <c r="S2559" s="116"/>
      <c r="T2559" s="116"/>
      <c r="U2559" s="116"/>
      <c r="V2559" s="116"/>
      <c r="W2559" s="116"/>
      <c r="X2559" s="116"/>
      <c r="Y2559" s="213"/>
      <c r="Z2559" s="213"/>
      <c r="AA2559" s="213"/>
      <c r="AB2559" s="213"/>
      <c r="AC2559" s="213"/>
      <c r="AD2559" s="213"/>
      <c r="AE2559" s="213"/>
      <c r="AF2559" s="213"/>
      <c r="AG2559" s="213"/>
      <c r="AH2559" s="213"/>
      <c r="AI2559" s="213"/>
      <c r="AJ2559" s="213"/>
      <c r="AK2559" s="213"/>
      <c r="AL2559" s="213"/>
    </row>
    <row r="2560" ht="15.75" customHeight="1">
      <c r="A2560" s="27">
        <f t="shared" si="21"/>
        <v>1439</v>
      </c>
      <c r="B2560" s="28" t="s">
        <v>8925</v>
      </c>
      <c r="C2560" s="43" t="s">
        <v>8926</v>
      </c>
      <c r="D2560" s="30" t="s">
        <v>8927</v>
      </c>
      <c r="E2560" s="28"/>
      <c r="F2560" s="28" t="s">
        <v>29</v>
      </c>
      <c r="G2560" s="28" t="s">
        <v>30</v>
      </c>
      <c r="H2560" s="28"/>
      <c r="I2560" s="28" t="s">
        <v>30</v>
      </c>
      <c r="J2560" s="28">
        <v>292.0</v>
      </c>
      <c r="K2560" s="28"/>
      <c r="L2560" s="28" t="s">
        <v>8928</v>
      </c>
      <c r="M2560" s="28" t="s">
        <v>8929</v>
      </c>
      <c r="N2560" s="28">
        <v>2007.0</v>
      </c>
      <c r="O2560" s="28">
        <v>13.0</v>
      </c>
      <c r="P2560" s="28">
        <v>1.0</v>
      </c>
      <c r="Q2560" s="32">
        <v>1.0</v>
      </c>
      <c r="R2560" s="33"/>
      <c r="S2560" s="34"/>
      <c r="T2560" s="34"/>
      <c r="U2560" s="34"/>
      <c r="V2560" s="34"/>
      <c r="W2560" s="34"/>
      <c r="X2560" s="34"/>
      <c r="Y2560" s="3"/>
      <c r="Z2560" s="3"/>
      <c r="AA2560" s="3"/>
      <c r="AB2560" s="3"/>
      <c r="AC2560" s="3"/>
      <c r="AD2560" s="3"/>
      <c r="AE2560" s="3"/>
      <c r="AF2560" s="3"/>
      <c r="AG2560" s="3"/>
      <c r="AH2560" s="3"/>
      <c r="AI2560" s="3"/>
      <c r="AJ2560" s="3"/>
      <c r="AK2560" s="3"/>
      <c r="AL2560" s="3"/>
    </row>
    <row r="2561" ht="15.75" customHeight="1">
      <c r="A2561" s="27">
        <f t="shared" si="21"/>
        <v>1440</v>
      </c>
      <c r="B2561" s="28" t="s">
        <v>8930</v>
      </c>
      <c r="C2561" s="43" t="s">
        <v>8931</v>
      </c>
      <c r="D2561" s="30" t="s">
        <v>8932</v>
      </c>
      <c r="E2561" s="28" t="s">
        <v>144</v>
      </c>
      <c r="F2561" s="28" t="s">
        <v>29</v>
      </c>
      <c r="G2561" s="28" t="s">
        <v>127</v>
      </c>
      <c r="H2561" s="28"/>
      <c r="I2561" s="28" t="s">
        <v>30</v>
      </c>
      <c r="J2561" s="28">
        <v>220.0</v>
      </c>
      <c r="K2561" s="28"/>
      <c r="L2561" s="28" t="s">
        <v>8933</v>
      </c>
      <c r="M2561" s="28" t="s">
        <v>8934</v>
      </c>
      <c r="N2561" s="28">
        <v>1996.0</v>
      </c>
      <c r="O2561" s="28">
        <v>13.0</v>
      </c>
      <c r="P2561" s="28">
        <v>1.0</v>
      </c>
      <c r="Q2561" s="32">
        <v>1.0</v>
      </c>
      <c r="R2561" s="33"/>
      <c r="S2561" s="185"/>
      <c r="T2561" s="185"/>
      <c r="U2561" s="185"/>
      <c r="V2561" s="185"/>
      <c r="W2561" s="185"/>
      <c r="X2561" s="185"/>
      <c r="Y2561" s="45"/>
      <c r="Z2561" s="45"/>
      <c r="AA2561" s="45"/>
      <c r="AB2561" s="45"/>
      <c r="AC2561" s="45"/>
      <c r="AD2561" s="45"/>
      <c r="AE2561" s="45"/>
      <c r="AF2561" s="45"/>
      <c r="AG2561" s="45"/>
      <c r="AH2561" s="45"/>
      <c r="AI2561" s="45"/>
      <c r="AJ2561" s="45"/>
      <c r="AK2561" s="45"/>
      <c r="AL2561" s="45"/>
    </row>
    <row r="2562" ht="15.75" customHeight="1">
      <c r="A2562" s="27">
        <f t="shared" si="21"/>
        <v>1441</v>
      </c>
      <c r="B2562" s="28" t="s">
        <v>8935</v>
      </c>
      <c r="C2562" s="102" t="s">
        <v>8936</v>
      </c>
      <c r="D2562" s="120" t="s">
        <v>8937</v>
      </c>
      <c r="E2562" s="60" t="s">
        <v>144</v>
      </c>
      <c r="F2562" s="28" t="s">
        <v>29</v>
      </c>
      <c r="G2562" s="28" t="s">
        <v>37</v>
      </c>
      <c r="H2562" s="28"/>
      <c r="I2562" s="28" t="s">
        <v>38</v>
      </c>
      <c r="J2562" s="28">
        <v>234.0</v>
      </c>
      <c r="K2562" s="28"/>
      <c r="L2562" s="28" t="s">
        <v>1021</v>
      </c>
      <c r="M2562" s="28" t="s">
        <v>230</v>
      </c>
      <c r="N2562" s="28">
        <v>2005.0</v>
      </c>
      <c r="O2562" s="28">
        <v>13.0</v>
      </c>
      <c r="P2562" s="28">
        <v>1.0</v>
      </c>
      <c r="Q2562" s="32">
        <v>1.0</v>
      </c>
      <c r="R2562" s="33"/>
      <c r="S2562" s="185"/>
      <c r="T2562" s="185"/>
      <c r="U2562" s="185"/>
      <c r="V2562" s="185"/>
      <c r="W2562" s="185"/>
      <c r="X2562" s="185"/>
      <c r="Y2562" s="45"/>
      <c r="Z2562" s="45"/>
      <c r="AA2562" s="45"/>
      <c r="AB2562" s="45"/>
      <c r="AC2562" s="45"/>
      <c r="AD2562" s="45"/>
      <c r="AE2562" s="45"/>
      <c r="AF2562" s="45"/>
      <c r="AG2562" s="45"/>
      <c r="AH2562" s="45"/>
      <c r="AI2562" s="45"/>
      <c r="AJ2562" s="45"/>
      <c r="AK2562" s="45"/>
      <c r="AL2562" s="45"/>
    </row>
    <row r="2563" ht="15.75" customHeight="1">
      <c r="A2563" s="27">
        <f t="shared" si="21"/>
        <v>1442</v>
      </c>
      <c r="B2563" s="28" t="s">
        <v>8938</v>
      </c>
      <c r="C2563" s="43" t="s">
        <v>8939</v>
      </c>
      <c r="D2563" s="30" t="s">
        <v>8940</v>
      </c>
      <c r="E2563" s="28" t="s">
        <v>144</v>
      </c>
      <c r="F2563" s="28" t="s">
        <v>29</v>
      </c>
      <c r="G2563" s="28" t="s">
        <v>37</v>
      </c>
      <c r="H2563" s="28"/>
      <c r="I2563" s="28" t="s">
        <v>38</v>
      </c>
      <c r="J2563" s="28">
        <v>312.0</v>
      </c>
      <c r="K2563" s="28"/>
      <c r="L2563" s="28" t="s">
        <v>8941</v>
      </c>
      <c r="M2563" s="28" t="s">
        <v>493</v>
      </c>
      <c r="N2563" s="28">
        <v>2009.0</v>
      </c>
      <c r="O2563" s="28">
        <v>13.0</v>
      </c>
      <c r="P2563" s="28">
        <v>1.0</v>
      </c>
      <c r="Q2563" s="94">
        <v>1.0</v>
      </c>
      <c r="R2563" s="33"/>
      <c r="S2563" s="34"/>
      <c r="T2563" s="34"/>
      <c r="U2563" s="34"/>
      <c r="V2563" s="34"/>
      <c r="W2563" s="34"/>
      <c r="X2563" s="34"/>
      <c r="Y2563" s="45"/>
      <c r="Z2563" s="45"/>
      <c r="AA2563" s="45"/>
      <c r="AB2563" s="45"/>
      <c r="AC2563" s="45"/>
      <c r="AD2563" s="45"/>
      <c r="AE2563" s="45"/>
      <c r="AF2563" s="45"/>
      <c r="AG2563" s="45"/>
      <c r="AH2563" s="45"/>
      <c r="AI2563" s="45"/>
      <c r="AJ2563" s="45"/>
      <c r="AK2563" s="45"/>
      <c r="AL2563" s="45"/>
    </row>
    <row r="2564" ht="15.75" customHeight="1">
      <c r="A2564" s="27">
        <f t="shared" si="21"/>
        <v>1443</v>
      </c>
      <c r="B2564" s="28" t="s">
        <v>8942</v>
      </c>
      <c r="C2564" s="43" t="s">
        <v>8943</v>
      </c>
      <c r="D2564" s="30" t="s">
        <v>8944</v>
      </c>
      <c r="E2564" s="28" t="s">
        <v>144</v>
      </c>
      <c r="F2564" s="28" t="s">
        <v>29</v>
      </c>
      <c r="G2564" s="28" t="s">
        <v>30</v>
      </c>
      <c r="H2564" s="28"/>
      <c r="I2564" s="28" t="s">
        <v>30</v>
      </c>
      <c r="J2564" s="28">
        <v>220.0</v>
      </c>
      <c r="K2564" s="28"/>
      <c r="L2564" s="28" t="s">
        <v>8945</v>
      </c>
      <c r="M2564" s="28" t="s">
        <v>161</v>
      </c>
      <c r="N2564" s="28">
        <v>2007.0</v>
      </c>
      <c r="O2564" s="28">
        <v>13.0</v>
      </c>
      <c r="P2564" s="28">
        <v>2.0</v>
      </c>
      <c r="Q2564" s="94">
        <v>2.0</v>
      </c>
      <c r="R2564" s="33"/>
      <c r="S2564" s="34"/>
      <c r="T2564" s="34"/>
      <c r="U2564" s="34"/>
      <c r="V2564" s="34"/>
      <c r="W2564" s="34"/>
      <c r="X2564" s="34"/>
      <c r="Y2564" s="45"/>
      <c r="Z2564" s="45"/>
      <c r="AA2564" s="45"/>
      <c r="AB2564" s="45"/>
      <c r="AC2564" s="45"/>
      <c r="AD2564" s="45"/>
      <c r="AE2564" s="45"/>
      <c r="AF2564" s="45"/>
      <c r="AG2564" s="45"/>
      <c r="AH2564" s="45"/>
      <c r="AI2564" s="45"/>
      <c r="AJ2564" s="45"/>
      <c r="AK2564" s="45"/>
      <c r="AL2564" s="45"/>
    </row>
    <row r="2565" ht="15.75" customHeight="1">
      <c r="A2565" s="27">
        <f t="shared" si="21"/>
        <v>1444</v>
      </c>
      <c r="B2565" s="28" t="s">
        <v>8946</v>
      </c>
      <c r="C2565" s="43" t="s">
        <v>8947</v>
      </c>
      <c r="D2565" s="30" t="s">
        <v>8948</v>
      </c>
      <c r="E2565" s="28" t="s">
        <v>28</v>
      </c>
      <c r="F2565" s="28" t="s">
        <v>29</v>
      </c>
      <c r="G2565" s="28" t="s">
        <v>30</v>
      </c>
      <c r="H2565" s="28"/>
      <c r="I2565" s="28" t="s">
        <v>30</v>
      </c>
      <c r="J2565" s="28">
        <v>120.0</v>
      </c>
      <c r="K2565" s="28"/>
      <c r="L2565" s="28" t="s">
        <v>3066</v>
      </c>
      <c r="M2565" s="28" t="s">
        <v>161</v>
      </c>
      <c r="N2565" s="28">
        <v>2011.0</v>
      </c>
      <c r="O2565" s="28">
        <v>13.0</v>
      </c>
      <c r="P2565" s="28">
        <v>1.0</v>
      </c>
      <c r="Q2565" s="32">
        <v>1.0</v>
      </c>
      <c r="R2565" s="33"/>
      <c r="S2565" s="34"/>
      <c r="T2565" s="34"/>
      <c r="U2565" s="34"/>
      <c r="V2565" s="34"/>
      <c r="W2565" s="34"/>
      <c r="X2565" s="34"/>
      <c r="Y2565" s="45"/>
      <c r="Z2565" s="45"/>
      <c r="AA2565" s="45"/>
      <c r="AB2565" s="45"/>
      <c r="AC2565" s="45"/>
      <c r="AD2565" s="45"/>
      <c r="AE2565" s="45"/>
      <c r="AF2565" s="45"/>
      <c r="AG2565" s="45"/>
      <c r="AH2565" s="45"/>
      <c r="AI2565" s="45"/>
      <c r="AJ2565" s="45"/>
      <c r="AK2565" s="45"/>
      <c r="AL2565" s="45"/>
    </row>
    <row r="2566" ht="15.75" customHeight="1">
      <c r="A2566" s="27">
        <f t="shared" si="21"/>
        <v>1445</v>
      </c>
      <c r="B2566" s="28" t="s">
        <v>8949</v>
      </c>
      <c r="C2566" s="43" t="s">
        <v>8950</v>
      </c>
      <c r="D2566" s="30" t="s">
        <v>8951</v>
      </c>
      <c r="E2566" s="28" t="s">
        <v>144</v>
      </c>
      <c r="F2566" s="28" t="s">
        <v>29</v>
      </c>
      <c r="G2566" s="28" t="s">
        <v>30</v>
      </c>
      <c r="H2566" s="28"/>
      <c r="I2566" s="28" t="s">
        <v>30</v>
      </c>
      <c r="J2566" s="28">
        <v>189.0</v>
      </c>
      <c r="K2566" s="28"/>
      <c r="L2566" s="28" t="s">
        <v>808</v>
      </c>
      <c r="M2566" s="28" t="s">
        <v>151</v>
      </c>
      <c r="N2566" s="28">
        <v>2004.0</v>
      </c>
      <c r="O2566" s="60">
        <v>13.0</v>
      </c>
      <c r="P2566" s="28">
        <v>1.0</v>
      </c>
      <c r="Q2566" s="32">
        <v>1.0</v>
      </c>
      <c r="R2566" s="33"/>
      <c r="S2566" s="116"/>
      <c r="T2566" s="116"/>
      <c r="U2566" s="116"/>
      <c r="V2566" s="116"/>
      <c r="W2566" s="116"/>
      <c r="X2566" s="116"/>
      <c r="Y2566" s="45"/>
      <c r="Z2566" s="45"/>
      <c r="AA2566" s="45"/>
      <c r="AB2566" s="45"/>
      <c r="AC2566" s="45"/>
      <c r="AD2566" s="45"/>
      <c r="AE2566" s="45"/>
      <c r="AF2566" s="45"/>
      <c r="AG2566" s="45"/>
      <c r="AH2566" s="45"/>
      <c r="AI2566" s="45"/>
      <c r="AJ2566" s="45"/>
      <c r="AK2566" s="45"/>
      <c r="AL2566" s="45"/>
    </row>
    <row r="2567" ht="15.75" customHeight="1">
      <c r="A2567" s="27">
        <f t="shared" si="21"/>
        <v>1446</v>
      </c>
      <c r="B2567" s="28" t="s">
        <v>8952</v>
      </c>
      <c r="C2567" s="102" t="s">
        <v>8953</v>
      </c>
      <c r="D2567" s="30" t="s">
        <v>8954</v>
      </c>
      <c r="E2567" s="60" t="s">
        <v>144</v>
      </c>
      <c r="F2567" s="28" t="s">
        <v>29</v>
      </c>
      <c r="G2567" s="28" t="s">
        <v>30</v>
      </c>
      <c r="H2567" s="28"/>
      <c r="I2567" s="28" t="s">
        <v>30</v>
      </c>
      <c r="J2567" s="28">
        <v>104.0</v>
      </c>
      <c r="K2567" s="28"/>
      <c r="L2567" s="28" t="s">
        <v>8955</v>
      </c>
      <c r="M2567" s="28" t="s">
        <v>151</v>
      </c>
      <c r="N2567" s="28">
        <v>2001.0</v>
      </c>
      <c r="O2567" s="60">
        <v>13.0</v>
      </c>
      <c r="P2567" s="28">
        <v>1.0</v>
      </c>
      <c r="Q2567" s="32">
        <v>1.0</v>
      </c>
      <c r="R2567" s="33"/>
      <c r="S2567" s="34"/>
      <c r="T2567" s="40"/>
      <c r="U2567" s="40"/>
      <c r="V2567" s="40"/>
      <c r="W2567" s="40"/>
      <c r="X2567" s="40"/>
      <c r="Y2567" s="45"/>
      <c r="Z2567" s="45"/>
      <c r="AA2567" s="45"/>
      <c r="AB2567" s="45"/>
      <c r="AC2567" s="45"/>
      <c r="AD2567" s="45"/>
      <c r="AE2567" s="45"/>
      <c r="AF2567" s="45"/>
      <c r="AG2567" s="45"/>
      <c r="AH2567" s="45"/>
      <c r="AI2567" s="45"/>
      <c r="AJ2567" s="45"/>
      <c r="AK2567" s="45"/>
      <c r="AL2567" s="45"/>
    </row>
    <row r="2568" ht="15.75" customHeight="1">
      <c r="A2568" s="27">
        <f t="shared" si="21"/>
        <v>1447</v>
      </c>
      <c r="B2568" s="28" t="s">
        <v>8956</v>
      </c>
      <c r="C2568" s="43" t="s">
        <v>8957</v>
      </c>
      <c r="D2568" s="30" t="s">
        <v>8958</v>
      </c>
      <c r="E2568" s="28" t="s">
        <v>144</v>
      </c>
      <c r="F2568" s="28" t="s">
        <v>29</v>
      </c>
      <c r="G2568" s="28" t="s">
        <v>127</v>
      </c>
      <c r="H2568" s="28"/>
      <c r="I2568" s="28" t="s">
        <v>30</v>
      </c>
      <c r="J2568" s="28">
        <v>110.0</v>
      </c>
      <c r="K2568" s="28"/>
      <c r="L2568" s="28" t="s">
        <v>31</v>
      </c>
      <c r="M2568" s="28" t="s">
        <v>8959</v>
      </c>
      <c r="N2568" s="28">
        <v>2006.0</v>
      </c>
      <c r="O2568" s="60">
        <v>13.0</v>
      </c>
      <c r="P2568" s="28">
        <v>2.0</v>
      </c>
      <c r="Q2568" s="94">
        <v>2.0</v>
      </c>
      <c r="R2568" s="33"/>
      <c r="S2568" s="34"/>
      <c r="T2568" s="34"/>
      <c r="U2568" s="34"/>
      <c r="V2568" s="34"/>
      <c r="W2568" s="34"/>
      <c r="X2568" s="34"/>
      <c r="Y2568" s="45"/>
      <c r="Z2568" s="45"/>
      <c r="AA2568" s="45"/>
      <c r="AB2568" s="45"/>
      <c r="AC2568" s="45"/>
      <c r="AD2568" s="45"/>
      <c r="AE2568" s="45"/>
      <c r="AF2568" s="45"/>
      <c r="AG2568" s="45"/>
      <c r="AH2568" s="45"/>
      <c r="AI2568" s="45"/>
      <c r="AJ2568" s="45"/>
      <c r="AK2568" s="45"/>
      <c r="AL2568" s="45"/>
    </row>
    <row r="2569" ht="15.75" customHeight="1">
      <c r="A2569" s="27">
        <f t="shared" si="21"/>
        <v>1448</v>
      </c>
      <c r="B2569" s="28" t="s">
        <v>8960</v>
      </c>
      <c r="C2569" s="43" t="s">
        <v>8961</v>
      </c>
      <c r="D2569" s="30" t="s">
        <v>8962</v>
      </c>
      <c r="E2569" s="28" t="s">
        <v>144</v>
      </c>
      <c r="F2569" s="28" t="s">
        <v>29</v>
      </c>
      <c r="G2569" s="28" t="s">
        <v>30</v>
      </c>
      <c r="H2569" s="28"/>
      <c r="I2569" s="28" t="s">
        <v>30</v>
      </c>
      <c r="J2569" s="28">
        <v>111.0</v>
      </c>
      <c r="K2569" s="28"/>
      <c r="L2569" s="28" t="s">
        <v>8963</v>
      </c>
      <c r="M2569" s="28" t="s">
        <v>151</v>
      </c>
      <c r="N2569" s="28">
        <v>2001.0</v>
      </c>
      <c r="O2569" s="60">
        <v>13.0</v>
      </c>
      <c r="P2569" s="28">
        <v>1.0</v>
      </c>
      <c r="Q2569" s="32">
        <v>1.0</v>
      </c>
      <c r="R2569" s="33"/>
      <c r="S2569" s="116"/>
      <c r="T2569" s="116"/>
      <c r="U2569" s="116"/>
      <c r="V2569" s="116"/>
      <c r="W2569" s="116"/>
      <c r="X2569" s="116"/>
      <c r="Y2569" s="45"/>
      <c r="Z2569" s="45"/>
      <c r="AA2569" s="45"/>
      <c r="AB2569" s="45"/>
      <c r="AC2569" s="45"/>
      <c r="AD2569" s="45"/>
      <c r="AE2569" s="45"/>
      <c r="AF2569" s="45"/>
      <c r="AG2569" s="45"/>
      <c r="AH2569" s="45"/>
      <c r="AI2569" s="45"/>
      <c r="AJ2569" s="45"/>
      <c r="AK2569" s="45"/>
      <c r="AL2569" s="45"/>
    </row>
    <row r="2570" ht="15.75" customHeight="1">
      <c r="A2570" s="27">
        <f t="shared" si="21"/>
        <v>1449</v>
      </c>
      <c r="B2570" s="28" t="s">
        <v>8964</v>
      </c>
      <c r="C2570" s="102" t="s">
        <v>8965</v>
      </c>
      <c r="D2570" s="120" t="s">
        <v>8966</v>
      </c>
      <c r="E2570" s="60" t="s">
        <v>144</v>
      </c>
      <c r="F2570" s="28" t="s">
        <v>29</v>
      </c>
      <c r="G2570" s="28" t="s">
        <v>30</v>
      </c>
      <c r="H2570" s="28"/>
      <c r="I2570" s="28" t="s">
        <v>30</v>
      </c>
      <c r="J2570" s="28">
        <v>285.0</v>
      </c>
      <c r="K2570" s="28"/>
      <c r="L2570" s="28" t="s">
        <v>8967</v>
      </c>
      <c r="M2570" s="28" t="s">
        <v>2698</v>
      </c>
      <c r="N2570" s="28">
        <v>2009.0</v>
      </c>
      <c r="O2570" s="60">
        <v>13.0</v>
      </c>
      <c r="P2570" s="28">
        <v>1.0</v>
      </c>
      <c r="Q2570" s="32">
        <v>1.0</v>
      </c>
      <c r="R2570" s="33"/>
      <c r="S2570" s="40"/>
      <c r="T2570" s="40"/>
      <c r="U2570" s="40"/>
      <c r="V2570" s="40"/>
      <c r="W2570" s="40"/>
      <c r="X2570" s="40"/>
      <c r="Y2570" s="45"/>
      <c r="Z2570" s="45"/>
      <c r="AA2570" s="45"/>
      <c r="AB2570" s="45"/>
      <c r="AC2570" s="45"/>
      <c r="AD2570" s="45"/>
      <c r="AE2570" s="45"/>
      <c r="AF2570" s="45"/>
      <c r="AG2570" s="45"/>
      <c r="AH2570" s="45"/>
      <c r="AI2570" s="45"/>
      <c r="AJ2570" s="45"/>
      <c r="AK2570" s="45"/>
      <c r="AL2570" s="45"/>
    </row>
    <row r="2571" ht="15.75" customHeight="1">
      <c r="A2571" s="27">
        <f t="shared" si="21"/>
        <v>1450</v>
      </c>
      <c r="B2571" s="28" t="s">
        <v>8968</v>
      </c>
      <c r="C2571" s="102" t="s">
        <v>8969</v>
      </c>
      <c r="D2571" s="120" t="s">
        <v>8970</v>
      </c>
      <c r="E2571" s="60" t="s">
        <v>144</v>
      </c>
      <c r="F2571" s="28" t="s">
        <v>29</v>
      </c>
      <c r="G2571" s="28" t="s">
        <v>37</v>
      </c>
      <c r="H2571" s="28"/>
      <c r="I2571" s="28" t="s">
        <v>38</v>
      </c>
      <c r="J2571" s="28">
        <v>285.0</v>
      </c>
      <c r="K2571" s="28"/>
      <c r="L2571" s="28" t="s">
        <v>812</v>
      </c>
      <c r="M2571" s="28" t="s">
        <v>230</v>
      </c>
      <c r="N2571" s="28">
        <v>2008.0</v>
      </c>
      <c r="O2571" s="60">
        <v>13.0</v>
      </c>
      <c r="P2571" s="28">
        <v>1.0</v>
      </c>
      <c r="Q2571" s="32">
        <v>1.0</v>
      </c>
      <c r="R2571" s="33"/>
      <c r="S2571" s="34"/>
      <c r="T2571" s="34"/>
      <c r="U2571" s="34"/>
      <c r="V2571" s="34"/>
      <c r="W2571" s="34"/>
      <c r="X2571" s="34"/>
      <c r="Y2571" s="45"/>
      <c r="Z2571" s="45"/>
      <c r="AA2571" s="45"/>
      <c r="AB2571" s="45"/>
      <c r="AC2571" s="45"/>
      <c r="AD2571" s="45"/>
      <c r="AE2571" s="45"/>
      <c r="AF2571" s="45"/>
      <c r="AG2571" s="45"/>
      <c r="AH2571" s="45"/>
      <c r="AI2571" s="45"/>
      <c r="AJ2571" s="45"/>
      <c r="AK2571" s="45"/>
      <c r="AL2571" s="45"/>
    </row>
    <row r="2572" ht="15.75" customHeight="1">
      <c r="A2572" s="27">
        <f t="shared" si="21"/>
        <v>1451</v>
      </c>
      <c r="B2572" s="28" t="s">
        <v>8971</v>
      </c>
      <c r="C2572" s="102" t="s">
        <v>8969</v>
      </c>
      <c r="D2572" s="30" t="s">
        <v>8972</v>
      </c>
      <c r="E2572" s="28"/>
      <c r="F2572" s="28" t="s">
        <v>29</v>
      </c>
      <c r="G2572" s="28" t="s">
        <v>37</v>
      </c>
      <c r="H2572" s="28"/>
      <c r="I2572" s="28" t="s">
        <v>38</v>
      </c>
      <c r="J2572" s="28">
        <v>538.0</v>
      </c>
      <c r="K2572" s="28"/>
      <c r="L2572" s="28" t="s">
        <v>812</v>
      </c>
      <c r="M2572" s="28" t="s">
        <v>230</v>
      </c>
      <c r="N2572" s="28">
        <v>2006.0</v>
      </c>
      <c r="O2572" s="60">
        <v>13.0</v>
      </c>
      <c r="P2572" s="28">
        <v>1.0</v>
      </c>
      <c r="Q2572" s="32">
        <v>1.0</v>
      </c>
      <c r="R2572" s="33"/>
      <c r="S2572" s="34"/>
      <c r="T2572" s="34"/>
      <c r="U2572" s="34"/>
      <c r="V2572" s="34"/>
      <c r="W2572" s="34"/>
      <c r="X2572" s="34"/>
      <c r="Y2572" s="45"/>
      <c r="Z2572" s="45"/>
      <c r="AA2572" s="45"/>
      <c r="AB2572" s="45"/>
      <c r="AC2572" s="45"/>
      <c r="AD2572" s="45"/>
      <c r="AE2572" s="45"/>
      <c r="AF2572" s="45"/>
      <c r="AG2572" s="45"/>
      <c r="AH2572" s="45"/>
      <c r="AI2572" s="45"/>
      <c r="AJ2572" s="45"/>
      <c r="AK2572" s="45"/>
      <c r="AL2572" s="45"/>
    </row>
    <row r="2573" ht="15.75" customHeight="1">
      <c r="A2573" s="27">
        <f t="shared" si="21"/>
        <v>1452</v>
      </c>
      <c r="B2573" s="121" t="s">
        <v>8973</v>
      </c>
      <c r="C2573" s="121" t="s">
        <v>8974</v>
      </c>
      <c r="D2573" s="119" t="s">
        <v>8975</v>
      </c>
      <c r="E2573" s="121" t="s">
        <v>144</v>
      </c>
      <c r="F2573" s="121" t="s">
        <v>29</v>
      </c>
      <c r="G2573" s="121" t="s">
        <v>30</v>
      </c>
      <c r="H2573" s="83"/>
      <c r="I2573" s="121" t="s">
        <v>30</v>
      </c>
      <c r="J2573" s="121">
        <v>581.0</v>
      </c>
      <c r="K2573" s="83"/>
      <c r="L2573" s="121" t="s">
        <v>8976</v>
      </c>
      <c r="M2573" s="121" t="s">
        <v>3642</v>
      </c>
      <c r="N2573" s="121">
        <v>2018.0</v>
      </c>
      <c r="O2573" s="60">
        <v>13.0</v>
      </c>
      <c r="P2573" s="121">
        <v>1.0</v>
      </c>
      <c r="Q2573" s="121">
        <v>1.0</v>
      </c>
      <c r="R2573" s="84"/>
      <c r="S2573" s="40"/>
      <c r="T2573" s="40"/>
      <c r="U2573" s="40"/>
      <c r="V2573" s="40"/>
      <c r="W2573" s="40"/>
      <c r="X2573" s="40"/>
      <c r="Y2573" s="45"/>
      <c r="Z2573" s="45"/>
      <c r="AA2573" s="45"/>
      <c r="AB2573" s="45"/>
      <c r="AC2573" s="45"/>
      <c r="AD2573" s="45"/>
      <c r="AE2573" s="45"/>
      <c r="AF2573" s="45"/>
      <c r="AG2573" s="45"/>
      <c r="AH2573" s="45"/>
      <c r="AI2573" s="45"/>
      <c r="AJ2573" s="45"/>
      <c r="AK2573" s="45"/>
      <c r="AL2573" s="45"/>
    </row>
    <row r="2574" ht="15.75" customHeight="1">
      <c r="A2574" s="27">
        <f t="shared" si="21"/>
        <v>1453</v>
      </c>
      <c r="B2574" s="28" t="s">
        <v>8977</v>
      </c>
      <c r="C2574" s="43" t="s">
        <v>8978</v>
      </c>
      <c r="D2574" s="30" t="s">
        <v>8979</v>
      </c>
      <c r="E2574" s="28" t="s">
        <v>31</v>
      </c>
      <c r="F2574" s="28" t="s">
        <v>29</v>
      </c>
      <c r="G2574" s="28" t="s">
        <v>30</v>
      </c>
      <c r="H2574" s="28"/>
      <c r="I2574" s="28" t="s">
        <v>30</v>
      </c>
      <c r="J2574" s="28">
        <v>478.0</v>
      </c>
      <c r="K2574" s="28"/>
      <c r="L2574" s="28" t="s">
        <v>8980</v>
      </c>
      <c r="M2574" s="28" t="s">
        <v>8981</v>
      </c>
      <c r="N2574" s="28">
        <v>2007.0</v>
      </c>
      <c r="O2574" s="60">
        <v>13.0</v>
      </c>
      <c r="P2574" s="28">
        <v>1.0</v>
      </c>
      <c r="Q2574" s="32">
        <v>1.0</v>
      </c>
      <c r="R2574" s="33"/>
      <c r="S2574" s="40"/>
      <c r="T2574" s="40"/>
      <c r="U2574" s="40"/>
      <c r="V2574" s="40"/>
      <c r="W2574" s="40"/>
      <c r="X2574" s="40"/>
      <c r="Y2574" s="3"/>
      <c r="Z2574" s="3"/>
      <c r="AA2574" s="3"/>
      <c r="AB2574" s="3"/>
      <c r="AC2574" s="3"/>
      <c r="AD2574" s="3"/>
      <c r="AE2574" s="3"/>
      <c r="AF2574" s="3"/>
      <c r="AG2574" s="3"/>
      <c r="AH2574" s="3"/>
      <c r="AI2574" s="3"/>
      <c r="AJ2574" s="3"/>
      <c r="AK2574" s="3"/>
      <c r="AL2574" s="3"/>
    </row>
    <row r="2575" ht="15.75" customHeight="1">
      <c r="A2575" s="27">
        <f t="shared" si="21"/>
        <v>1454</v>
      </c>
      <c r="B2575" s="28" t="s">
        <v>8982</v>
      </c>
      <c r="C2575" s="43" t="s">
        <v>8983</v>
      </c>
      <c r="D2575" s="30" t="s">
        <v>8984</v>
      </c>
      <c r="E2575" s="28" t="s">
        <v>144</v>
      </c>
      <c r="F2575" s="28" t="s">
        <v>29</v>
      </c>
      <c r="G2575" s="28" t="s">
        <v>30</v>
      </c>
      <c r="H2575" s="28"/>
      <c r="I2575" s="28" t="s">
        <v>30</v>
      </c>
      <c r="J2575" s="28">
        <v>106.0</v>
      </c>
      <c r="K2575" s="28"/>
      <c r="L2575" s="28" t="s">
        <v>3654</v>
      </c>
      <c r="M2575" s="28" t="s">
        <v>151</v>
      </c>
      <c r="N2575" s="28">
        <v>2006.0</v>
      </c>
      <c r="O2575" s="60">
        <v>13.0</v>
      </c>
      <c r="P2575" s="28">
        <v>1.0</v>
      </c>
      <c r="Q2575" s="32">
        <v>1.0</v>
      </c>
      <c r="R2575" s="33"/>
      <c r="S2575" s="34"/>
      <c r="T2575" s="34"/>
      <c r="U2575" s="34"/>
      <c r="V2575" s="34"/>
      <c r="W2575" s="34"/>
      <c r="X2575" s="34"/>
      <c r="Y2575" s="3"/>
      <c r="Z2575" s="3"/>
      <c r="AA2575" s="3"/>
      <c r="AB2575" s="3"/>
      <c r="AC2575" s="3"/>
      <c r="AD2575" s="3"/>
      <c r="AE2575" s="3"/>
      <c r="AF2575" s="3"/>
      <c r="AG2575" s="3"/>
      <c r="AH2575" s="3"/>
      <c r="AI2575" s="3"/>
      <c r="AJ2575" s="3"/>
      <c r="AK2575" s="3"/>
      <c r="AL2575" s="3"/>
    </row>
    <row r="2576" ht="15.75" customHeight="1">
      <c r="A2576" s="27">
        <f t="shared" si="21"/>
        <v>1455</v>
      </c>
      <c r="B2576" s="28"/>
      <c r="C2576" s="43" t="s">
        <v>8985</v>
      </c>
      <c r="D2576" s="30" t="s">
        <v>8986</v>
      </c>
      <c r="E2576" s="28" t="s">
        <v>144</v>
      </c>
      <c r="F2576" s="28" t="s">
        <v>29</v>
      </c>
      <c r="G2576" s="28" t="s">
        <v>30</v>
      </c>
      <c r="H2576" s="28"/>
      <c r="I2576" s="28" t="s">
        <v>30</v>
      </c>
      <c r="J2576" s="28">
        <f>270</f>
        <v>270</v>
      </c>
      <c r="K2576" s="28"/>
      <c r="L2576" s="28" t="s">
        <v>8987</v>
      </c>
      <c r="M2576" s="28" t="s">
        <v>3109</v>
      </c>
      <c r="N2576" s="28">
        <v>1975.0</v>
      </c>
      <c r="O2576" s="28">
        <v>13.0</v>
      </c>
      <c r="P2576" s="28">
        <v>2.0</v>
      </c>
      <c r="Q2576" s="32">
        <v>2.0</v>
      </c>
      <c r="R2576" s="33"/>
      <c r="S2576" s="34"/>
      <c r="T2576" s="34"/>
      <c r="U2576" s="34"/>
      <c r="V2576" s="34"/>
      <c r="W2576" s="34"/>
      <c r="X2576" s="34"/>
      <c r="Y2576" s="45"/>
      <c r="Z2576" s="45"/>
      <c r="AA2576" s="45"/>
      <c r="AB2576" s="45"/>
      <c r="AC2576" s="45"/>
      <c r="AD2576" s="45"/>
      <c r="AE2576" s="45"/>
      <c r="AF2576" s="45"/>
      <c r="AG2576" s="45"/>
      <c r="AH2576" s="45"/>
      <c r="AI2576" s="45"/>
      <c r="AJ2576" s="45"/>
      <c r="AK2576" s="45"/>
      <c r="AL2576" s="45"/>
    </row>
    <row r="2577" ht="15.75" customHeight="1">
      <c r="A2577" s="27">
        <f t="shared" si="21"/>
        <v>1456</v>
      </c>
      <c r="B2577" s="28" t="s">
        <v>8988</v>
      </c>
      <c r="C2577" s="203" t="s">
        <v>8989</v>
      </c>
      <c r="D2577" s="30" t="s">
        <v>8990</v>
      </c>
      <c r="E2577" s="28" t="s">
        <v>31</v>
      </c>
      <c r="F2577" s="28" t="s">
        <v>29</v>
      </c>
      <c r="G2577" s="28" t="s">
        <v>37</v>
      </c>
      <c r="H2577" s="28"/>
      <c r="I2577" s="28" t="s">
        <v>38</v>
      </c>
      <c r="J2577" s="28">
        <v>261.0</v>
      </c>
      <c r="K2577" s="28"/>
      <c r="L2577" s="28" t="s">
        <v>3800</v>
      </c>
      <c r="M2577" s="28" t="s">
        <v>2886</v>
      </c>
      <c r="N2577" s="28">
        <v>1990.0</v>
      </c>
      <c r="O2577" s="60">
        <v>13.0</v>
      </c>
      <c r="P2577" s="28">
        <v>1.0</v>
      </c>
      <c r="Q2577" s="94">
        <v>1.0</v>
      </c>
      <c r="R2577" s="33"/>
      <c r="S2577" s="34"/>
      <c r="T2577" s="34"/>
      <c r="U2577" s="34"/>
      <c r="V2577" s="34"/>
      <c r="W2577" s="34"/>
      <c r="X2577" s="34"/>
      <c r="Y2577" s="3"/>
      <c r="Z2577" s="3"/>
      <c r="AA2577" s="3"/>
      <c r="AB2577" s="3"/>
      <c r="AC2577" s="3"/>
      <c r="AD2577" s="3"/>
      <c r="AE2577" s="3"/>
      <c r="AF2577" s="3"/>
      <c r="AG2577" s="3"/>
      <c r="AH2577" s="3"/>
      <c r="AI2577" s="3"/>
      <c r="AJ2577" s="3"/>
      <c r="AK2577" s="3"/>
      <c r="AL2577" s="3"/>
    </row>
    <row r="2578" ht="15.75" customHeight="1">
      <c r="A2578" s="27">
        <f t="shared" si="21"/>
        <v>1457</v>
      </c>
      <c r="B2578" s="28" t="s">
        <v>8991</v>
      </c>
      <c r="C2578" s="43" t="s">
        <v>8992</v>
      </c>
      <c r="D2578" s="30" t="s">
        <v>8993</v>
      </c>
      <c r="E2578" s="28" t="s">
        <v>29</v>
      </c>
      <c r="F2578" s="28" t="s">
        <v>29</v>
      </c>
      <c r="G2578" s="28" t="s">
        <v>30</v>
      </c>
      <c r="H2578" s="28"/>
      <c r="I2578" s="28" t="s">
        <v>30</v>
      </c>
      <c r="J2578" s="28">
        <v>110.0</v>
      </c>
      <c r="K2578" s="28"/>
      <c r="L2578" s="28" t="s">
        <v>8994</v>
      </c>
      <c r="M2578" s="28" t="s">
        <v>8995</v>
      </c>
      <c r="N2578" s="28">
        <v>2007.0</v>
      </c>
      <c r="O2578" s="60">
        <v>13.0</v>
      </c>
      <c r="P2578" s="28">
        <v>1.0</v>
      </c>
      <c r="Q2578" s="94">
        <v>1.0</v>
      </c>
      <c r="R2578" s="33"/>
      <c r="S2578" s="40"/>
      <c r="T2578" s="40"/>
      <c r="U2578" s="40"/>
      <c r="V2578" s="40"/>
      <c r="W2578" s="40"/>
      <c r="X2578" s="40"/>
      <c r="Y2578" s="3"/>
      <c r="Z2578" s="3"/>
      <c r="AA2578" s="3"/>
      <c r="AB2578" s="3"/>
      <c r="AC2578" s="3"/>
      <c r="AD2578" s="3"/>
      <c r="AE2578" s="3"/>
      <c r="AF2578" s="3"/>
      <c r="AG2578" s="3"/>
      <c r="AH2578" s="3"/>
      <c r="AI2578" s="3"/>
      <c r="AJ2578" s="3"/>
      <c r="AK2578" s="3"/>
      <c r="AL2578" s="3"/>
    </row>
    <row r="2579" ht="15.75" customHeight="1">
      <c r="A2579" s="27">
        <f t="shared" si="21"/>
        <v>1458</v>
      </c>
      <c r="B2579" s="28" t="s">
        <v>8996</v>
      </c>
      <c r="C2579" s="43" t="s">
        <v>8997</v>
      </c>
      <c r="D2579" s="30" t="s">
        <v>8998</v>
      </c>
      <c r="E2579" s="28" t="s">
        <v>144</v>
      </c>
      <c r="F2579" s="28" t="s">
        <v>29</v>
      </c>
      <c r="G2579" s="28" t="s">
        <v>30</v>
      </c>
      <c r="H2579" s="28"/>
      <c r="I2579" s="28" t="s">
        <v>30</v>
      </c>
      <c r="J2579" s="28">
        <v>206.0</v>
      </c>
      <c r="K2579" s="28"/>
      <c r="L2579" s="28" t="s">
        <v>8999</v>
      </c>
      <c r="M2579" s="28" t="s">
        <v>9000</v>
      </c>
      <c r="N2579" s="28">
        <v>2009.0</v>
      </c>
      <c r="O2579" s="60">
        <v>13.0</v>
      </c>
      <c r="P2579" s="28">
        <v>1.0</v>
      </c>
      <c r="Q2579" s="94">
        <v>1.0</v>
      </c>
      <c r="R2579" s="33"/>
      <c r="S2579" s="40"/>
      <c r="T2579" s="40"/>
      <c r="U2579" s="40"/>
      <c r="V2579" s="40"/>
      <c r="W2579" s="40"/>
      <c r="X2579" s="40"/>
      <c r="Y2579" s="3"/>
      <c r="Z2579" s="3"/>
      <c r="AA2579" s="3"/>
      <c r="AB2579" s="3"/>
      <c r="AC2579" s="3"/>
      <c r="AD2579" s="3"/>
      <c r="AE2579" s="3"/>
      <c r="AF2579" s="3"/>
      <c r="AG2579" s="3"/>
      <c r="AH2579" s="3"/>
      <c r="AI2579" s="3"/>
      <c r="AJ2579" s="3"/>
      <c r="AK2579" s="3"/>
      <c r="AL2579" s="3"/>
    </row>
    <row r="2580" ht="15.75" customHeight="1">
      <c r="A2580" s="27">
        <f t="shared" si="21"/>
        <v>1459</v>
      </c>
      <c r="B2580" s="28" t="s">
        <v>31</v>
      </c>
      <c r="C2580" s="43" t="s">
        <v>9001</v>
      </c>
      <c r="D2580" s="30" t="s">
        <v>9002</v>
      </c>
      <c r="E2580" s="28" t="s">
        <v>144</v>
      </c>
      <c r="F2580" s="28" t="s">
        <v>29</v>
      </c>
      <c r="G2580" s="28" t="s">
        <v>30</v>
      </c>
      <c r="H2580" s="28"/>
      <c r="I2580" s="28" t="s">
        <v>30</v>
      </c>
      <c r="J2580" s="28">
        <v>385.0</v>
      </c>
      <c r="K2580" s="28"/>
      <c r="L2580" s="28" t="s">
        <v>9003</v>
      </c>
      <c r="M2580" s="28" t="s">
        <v>31</v>
      </c>
      <c r="N2580" s="28">
        <v>1995.0</v>
      </c>
      <c r="O2580" s="60">
        <v>13.0</v>
      </c>
      <c r="P2580" s="28">
        <v>1.0</v>
      </c>
      <c r="Q2580" s="94">
        <v>1.0</v>
      </c>
      <c r="R2580" s="33"/>
      <c r="S2580" s="40"/>
      <c r="T2580" s="40"/>
      <c r="U2580" s="40"/>
      <c r="V2580" s="40"/>
      <c r="W2580" s="40"/>
      <c r="X2580" s="40"/>
      <c r="Y2580" s="45"/>
      <c r="Z2580" s="45"/>
      <c r="AA2580" s="45"/>
      <c r="AB2580" s="45"/>
      <c r="AC2580" s="45"/>
      <c r="AD2580" s="45"/>
      <c r="AE2580" s="45"/>
      <c r="AF2580" s="45"/>
      <c r="AG2580" s="45"/>
      <c r="AH2580" s="45"/>
      <c r="AI2580" s="45"/>
      <c r="AJ2580" s="45"/>
      <c r="AK2580" s="45"/>
      <c r="AL2580" s="45"/>
    </row>
    <row r="2581" ht="15.75" customHeight="1">
      <c r="A2581" s="27">
        <f t="shared" si="21"/>
        <v>1460</v>
      </c>
      <c r="B2581" s="28" t="s">
        <v>9004</v>
      </c>
      <c r="C2581" s="43" t="s">
        <v>9005</v>
      </c>
      <c r="D2581" s="30" t="s">
        <v>9006</v>
      </c>
      <c r="E2581" s="28" t="s">
        <v>144</v>
      </c>
      <c r="F2581" s="28" t="s">
        <v>29</v>
      </c>
      <c r="G2581" s="28" t="s">
        <v>30</v>
      </c>
      <c r="H2581" s="28"/>
      <c r="I2581" s="28" t="s">
        <v>30</v>
      </c>
      <c r="J2581" s="28">
        <v>300.0</v>
      </c>
      <c r="K2581" s="28"/>
      <c r="L2581" s="28" t="s">
        <v>9007</v>
      </c>
      <c r="M2581" s="28" t="s">
        <v>161</v>
      </c>
      <c r="N2581" s="28">
        <v>2008.0</v>
      </c>
      <c r="O2581" s="60">
        <v>13.0</v>
      </c>
      <c r="P2581" s="28">
        <v>2.0</v>
      </c>
      <c r="Q2581" s="32">
        <v>2.0</v>
      </c>
      <c r="R2581" s="33"/>
      <c r="S2581" s="185"/>
      <c r="T2581" s="185"/>
      <c r="U2581" s="185"/>
      <c r="V2581" s="185"/>
      <c r="W2581" s="185"/>
      <c r="X2581" s="185"/>
      <c r="Y2581" s="45"/>
      <c r="Z2581" s="45"/>
      <c r="AA2581" s="45"/>
      <c r="AB2581" s="45"/>
      <c r="AC2581" s="45"/>
      <c r="AD2581" s="45"/>
      <c r="AE2581" s="45"/>
      <c r="AF2581" s="45"/>
      <c r="AG2581" s="45"/>
      <c r="AH2581" s="45"/>
      <c r="AI2581" s="45"/>
      <c r="AJ2581" s="45"/>
      <c r="AK2581" s="45"/>
      <c r="AL2581" s="45"/>
    </row>
    <row r="2582" ht="15.75" customHeight="1">
      <c r="A2582" s="27">
        <f t="shared" si="21"/>
        <v>1461</v>
      </c>
      <c r="B2582" s="28" t="s">
        <v>9008</v>
      </c>
      <c r="C2582" s="43" t="s">
        <v>9009</v>
      </c>
      <c r="D2582" s="30" t="s">
        <v>9010</v>
      </c>
      <c r="E2582" s="28" t="s">
        <v>144</v>
      </c>
      <c r="F2582" s="28" t="s">
        <v>29</v>
      </c>
      <c r="G2582" s="28" t="s">
        <v>37</v>
      </c>
      <c r="H2582" s="28"/>
      <c r="I2582" s="28" t="s">
        <v>38</v>
      </c>
      <c r="J2582" s="28">
        <v>608.0</v>
      </c>
      <c r="K2582" s="28"/>
      <c r="L2582" s="28" t="s">
        <v>9011</v>
      </c>
      <c r="M2582" s="28" t="s">
        <v>3485</v>
      </c>
      <c r="N2582" s="28">
        <v>2000.0</v>
      </c>
      <c r="O2582" s="60">
        <v>13.0</v>
      </c>
      <c r="P2582" s="28">
        <v>1.0</v>
      </c>
      <c r="Q2582" s="94">
        <v>1.0</v>
      </c>
      <c r="R2582" s="33"/>
      <c r="S2582" s="40"/>
      <c r="T2582" s="40"/>
      <c r="U2582" s="40"/>
      <c r="V2582" s="40"/>
      <c r="W2582" s="40"/>
      <c r="X2582" s="40"/>
      <c r="Y2582" s="45"/>
      <c r="Z2582" s="45"/>
      <c r="AA2582" s="45"/>
      <c r="AB2582" s="45"/>
      <c r="AC2582" s="45"/>
      <c r="AD2582" s="45"/>
      <c r="AE2582" s="45"/>
      <c r="AF2582" s="45"/>
      <c r="AG2582" s="45"/>
      <c r="AH2582" s="45"/>
      <c r="AI2582" s="45"/>
      <c r="AJ2582" s="45"/>
      <c r="AK2582" s="45"/>
      <c r="AL2582" s="45"/>
    </row>
    <row r="2583" ht="15.75" customHeight="1">
      <c r="A2583" s="27">
        <f t="shared" si="21"/>
        <v>1462</v>
      </c>
      <c r="B2583" s="28" t="s">
        <v>9012</v>
      </c>
      <c r="C2583" s="43" t="s">
        <v>9013</v>
      </c>
      <c r="D2583" s="30" t="s">
        <v>9014</v>
      </c>
      <c r="E2583" s="28" t="s">
        <v>144</v>
      </c>
      <c r="F2583" s="28" t="s">
        <v>29</v>
      </c>
      <c r="G2583" s="28" t="s">
        <v>30</v>
      </c>
      <c r="H2583" s="28"/>
      <c r="I2583" s="28" t="s">
        <v>30</v>
      </c>
      <c r="J2583" s="28">
        <v>240.0</v>
      </c>
      <c r="K2583" s="28"/>
      <c r="L2583" s="28" t="s">
        <v>9015</v>
      </c>
      <c r="M2583" s="28" t="s">
        <v>161</v>
      </c>
      <c r="N2583" s="28">
        <v>2010.0</v>
      </c>
      <c r="O2583" s="60">
        <v>13.0</v>
      </c>
      <c r="P2583" s="28">
        <v>1.0</v>
      </c>
      <c r="Q2583" s="94">
        <v>1.0</v>
      </c>
      <c r="R2583" s="33"/>
      <c r="S2583" s="40"/>
      <c r="T2583" s="40"/>
      <c r="U2583" s="40"/>
      <c r="V2583" s="40"/>
      <c r="W2583" s="40"/>
      <c r="X2583" s="40"/>
      <c r="Y2583" s="3"/>
      <c r="Z2583" s="3"/>
      <c r="AA2583" s="3"/>
      <c r="AB2583" s="3"/>
      <c r="AC2583" s="3"/>
      <c r="AD2583" s="3"/>
      <c r="AE2583" s="3"/>
      <c r="AF2583" s="3"/>
      <c r="AG2583" s="3"/>
      <c r="AH2583" s="3"/>
      <c r="AI2583" s="3"/>
      <c r="AJ2583" s="3"/>
      <c r="AK2583" s="3"/>
      <c r="AL2583" s="3"/>
    </row>
    <row r="2584" ht="15.75" customHeight="1">
      <c r="A2584" s="27">
        <f t="shared" si="21"/>
        <v>1463</v>
      </c>
      <c r="B2584" s="33"/>
      <c r="C2584" s="132" t="s">
        <v>9016</v>
      </c>
      <c r="D2584" s="131" t="s">
        <v>9017</v>
      </c>
      <c r="E2584" s="33"/>
      <c r="F2584" s="132" t="s">
        <v>29</v>
      </c>
      <c r="G2584" s="132" t="s">
        <v>30</v>
      </c>
      <c r="H2584" s="33"/>
      <c r="I2584" s="132" t="s">
        <v>30</v>
      </c>
      <c r="J2584" s="132">
        <v>22.0</v>
      </c>
      <c r="K2584" s="33"/>
      <c r="L2584" s="214" t="s">
        <v>8297</v>
      </c>
      <c r="M2584" s="132" t="s">
        <v>3335</v>
      </c>
      <c r="N2584" s="132">
        <v>2011.0</v>
      </c>
      <c r="O2584" s="60">
        <v>13.0</v>
      </c>
      <c r="P2584" s="132">
        <v>1.0</v>
      </c>
      <c r="Q2584" s="132">
        <v>1.0</v>
      </c>
      <c r="R2584" s="84"/>
      <c r="S2584" s="34"/>
      <c r="T2584" s="34"/>
      <c r="U2584" s="34"/>
      <c r="V2584" s="34"/>
      <c r="W2584" s="34"/>
      <c r="X2584" s="34"/>
      <c r="Y2584" s="45"/>
      <c r="Z2584" s="45"/>
      <c r="AA2584" s="45"/>
      <c r="AB2584" s="45"/>
      <c r="AC2584" s="45"/>
      <c r="AD2584" s="45"/>
      <c r="AE2584" s="45"/>
      <c r="AF2584" s="45"/>
      <c r="AG2584" s="45"/>
      <c r="AH2584" s="45"/>
      <c r="AI2584" s="45"/>
      <c r="AJ2584" s="45"/>
      <c r="AK2584" s="45"/>
      <c r="AL2584" s="45"/>
    </row>
    <row r="2585" ht="15.75" customHeight="1">
      <c r="A2585" s="27">
        <f t="shared" si="21"/>
        <v>1464</v>
      </c>
      <c r="B2585" s="28" t="s">
        <v>9018</v>
      </c>
      <c r="C2585" s="43" t="s">
        <v>9019</v>
      </c>
      <c r="D2585" s="30" t="s">
        <v>9020</v>
      </c>
      <c r="E2585" s="28" t="s">
        <v>144</v>
      </c>
      <c r="F2585" s="28" t="s">
        <v>29</v>
      </c>
      <c r="G2585" s="28" t="s">
        <v>30</v>
      </c>
      <c r="H2585" s="28"/>
      <c r="I2585" s="28" t="s">
        <v>30</v>
      </c>
      <c r="J2585" s="28">
        <v>175.0</v>
      </c>
      <c r="K2585" s="28"/>
      <c r="L2585" s="28" t="s">
        <v>6547</v>
      </c>
      <c r="M2585" s="28" t="s">
        <v>3240</v>
      </c>
      <c r="N2585" s="28">
        <v>2010.0</v>
      </c>
      <c r="O2585" s="60">
        <v>13.0</v>
      </c>
      <c r="P2585" s="28">
        <v>1.0</v>
      </c>
      <c r="Q2585" s="94">
        <v>1.0</v>
      </c>
      <c r="R2585" s="33"/>
      <c r="S2585" s="34"/>
      <c r="T2585" s="34"/>
      <c r="U2585" s="34"/>
      <c r="V2585" s="34"/>
      <c r="W2585" s="34"/>
      <c r="X2585" s="34"/>
      <c r="Y2585" s="45"/>
      <c r="Z2585" s="45"/>
      <c r="AA2585" s="45"/>
      <c r="AB2585" s="45"/>
      <c r="AC2585" s="45"/>
      <c r="AD2585" s="45"/>
      <c r="AE2585" s="45"/>
      <c r="AF2585" s="45"/>
      <c r="AG2585" s="45"/>
      <c r="AH2585" s="45"/>
      <c r="AI2585" s="45"/>
      <c r="AJ2585" s="45"/>
      <c r="AK2585" s="45"/>
      <c r="AL2585" s="45"/>
    </row>
    <row r="2586" ht="15.75" customHeight="1">
      <c r="A2586" s="27">
        <f t="shared" si="21"/>
        <v>1465</v>
      </c>
      <c r="B2586" s="28" t="s">
        <v>9021</v>
      </c>
      <c r="C2586" s="43" t="s">
        <v>9022</v>
      </c>
      <c r="D2586" s="30" t="s">
        <v>9023</v>
      </c>
      <c r="E2586" s="28" t="s">
        <v>144</v>
      </c>
      <c r="F2586" s="28" t="s">
        <v>29</v>
      </c>
      <c r="G2586" s="28" t="s">
        <v>30</v>
      </c>
      <c r="H2586" s="28"/>
      <c r="I2586" s="28" t="s">
        <v>30</v>
      </c>
      <c r="J2586" s="28">
        <v>119.0</v>
      </c>
      <c r="K2586" s="28"/>
      <c r="L2586" s="28" t="s">
        <v>9024</v>
      </c>
      <c r="M2586" s="28" t="s">
        <v>151</v>
      </c>
      <c r="N2586" s="28">
        <v>1990.0</v>
      </c>
      <c r="O2586" s="60">
        <v>13.0</v>
      </c>
      <c r="P2586" s="28">
        <v>1.0</v>
      </c>
      <c r="Q2586" s="94">
        <v>1.0</v>
      </c>
      <c r="R2586" s="33"/>
      <c r="S2586" s="34"/>
      <c r="T2586" s="34"/>
      <c r="U2586" s="34"/>
      <c r="V2586" s="34"/>
      <c r="W2586" s="34"/>
      <c r="X2586" s="34"/>
      <c r="Y2586" s="3"/>
      <c r="Z2586" s="3"/>
      <c r="AA2586" s="3"/>
      <c r="AB2586" s="3"/>
      <c r="AC2586" s="3"/>
      <c r="AD2586" s="3"/>
      <c r="AE2586" s="3"/>
      <c r="AF2586" s="3"/>
      <c r="AG2586" s="3"/>
      <c r="AH2586" s="3"/>
      <c r="AI2586" s="3"/>
      <c r="AJ2586" s="3"/>
      <c r="AK2586" s="3"/>
      <c r="AL2586" s="3"/>
    </row>
    <row r="2587" ht="15.75" customHeight="1">
      <c r="A2587" s="27">
        <f t="shared" si="21"/>
        <v>1466</v>
      </c>
      <c r="B2587" s="28" t="s">
        <v>9025</v>
      </c>
      <c r="C2587" s="43" t="s">
        <v>9026</v>
      </c>
      <c r="D2587" s="30" t="s">
        <v>9027</v>
      </c>
      <c r="E2587" s="28" t="s">
        <v>144</v>
      </c>
      <c r="F2587" s="28" t="s">
        <v>29</v>
      </c>
      <c r="G2587" s="28" t="s">
        <v>37</v>
      </c>
      <c r="H2587" s="28"/>
      <c r="I2587" s="28" t="s">
        <v>38</v>
      </c>
      <c r="J2587" s="28">
        <v>127.0</v>
      </c>
      <c r="K2587" s="28"/>
      <c r="L2587" s="28" t="s">
        <v>9024</v>
      </c>
      <c r="M2587" s="28" t="s">
        <v>2428</v>
      </c>
      <c r="N2587" s="28">
        <v>1981.0</v>
      </c>
      <c r="O2587" s="60">
        <v>13.0</v>
      </c>
      <c r="P2587" s="28">
        <v>1.0</v>
      </c>
      <c r="Q2587" s="94">
        <v>1.0</v>
      </c>
      <c r="R2587" s="33"/>
      <c r="S2587" s="34"/>
      <c r="T2587" s="34"/>
      <c r="U2587" s="34"/>
      <c r="V2587" s="34"/>
      <c r="W2587" s="34"/>
      <c r="X2587" s="34"/>
      <c r="Y2587" s="45"/>
      <c r="Z2587" s="45"/>
      <c r="AA2587" s="45"/>
      <c r="AB2587" s="45"/>
      <c r="AC2587" s="45"/>
      <c r="AD2587" s="45"/>
      <c r="AE2587" s="45"/>
      <c r="AF2587" s="45"/>
      <c r="AG2587" s="45"/>
      <c r="AH2587" s="45"/>
      <c r="AI2587" s="45"/>
      <c r="AJ2587" s="45"/>
      <c r="AK2587" s="45"/>
      <c r="AL2587" s="45"/>
    </row>
    <row r="2588" ht="15.75" customHeight="1">
      <c r="A2588" s="27">
        <f t="shared" si="21"/>
        <v>1467</v>
      </c>
      <c r="B2588" s="28"/>
      <c r="C2588" s="43" t="s">
        <v>9028</v>
      </c>
      <c r="D2588" s="30" t="s">
        <v>7759</v>
      </c>
      <c r="E2588" s="28" t="s">
        <v>144</v>
      </c>
      <c r="F2588" s="28" t="s">
        <v>29</v>
      </c>
      <c r="G2588" s="28" t="s">
        <v>30</v>
      </c>
      <c r="H2588" s="28"/>
      <c r="I2588" s="28" t="s">
        <v>30</v>
      </c>
      <c r="J2588" s="28">
        <v>137.0</v>
      </c>
      <c r="K2588" s="28"/>
      <c r="L2588" s="28" t="s">
        <v>7760</v>
      </c>
      <c r="M2588" s="28" t="s">
        <v>151</v>
      </c>
      <c r="N2588" s="28">
        <v>1987.0</v>
      </c>
      <c r="O2588" s="60">
        <v>13.0</v>
      </c>
      <c r="P2588" s="28">
        <v>1.0</v>
      </c>
      <c r="Q2588" s="94">
        <v>1.0</v>
      </c>
      <c r="R2588" s="33"/>
      <c r="S2588" s="40"/>
      <c r="T2588" s="40"/>
      <c r="U2588" s="40"/>
      <c r="V2588" s="40"/>
      <c r="W2588" s="40"/>
      <c r="X2588" s="40"/>
      <c r="Y2588" s="45"/>
      <c r="Z2588" s="45"/>
      <c r="AA2588" s="45"/>
      <c r="AB2588" s="45"/>
      <c r="AC2588" s="45"/>
      <c r="AD2588" s="45"/>
      <c r="AE2588" s="45"/>
      <c r="AF2588" s="45"/>
      <c r="AG2588" s="45"/>
      <c r="AH2588" s="45"/>
      <c r="AI2588" s="45"/>
      <c r="AJ2588" s="45"/>
      <c r="AK2588" s="45"/>
      <c r="AL2588" s="45"/>
    </row>
    <row r="2589" ht="15.75" customHeight="1">
      <c r="A2589" s="27">
        <f t="shared" si="21"/>
        <v>1468</v>
      </c>
      <c r="B2589" s="83"/>
      <c r="C2589" s="83" t="s">
        <v>9029</v>
      </c>
      <c r="D2589" s="118" t="s">
        <v>9030</v>
      </c>
      <c r="E2589" s="83" t="s">
        <v>144</v>
      </c>
      <c r="F2589" s="83" t="s">
        <v>29</v>
      </c>
      <c r="G2589" s="83" t="s">
        <v>30</v>
      </c>
      <c r="H2589" s="83"/>
      <c r="I2589" s="83" t="s">
        <v>30</v>
      </c>
      <c r="J2589" s="83">
        <v>206.0</v>
      </c>
      <c r="K2589" s="83"/>
      <c r="L2589" s="83" t="s">
        <v>9031</v>
      </c>
      <c r="M2589" s="83" t="s">
        <v>151</v>
      </c>
      <c r="N2589" s="83">
        <v>1985.0</v>
      </c>
      <c r="O2589" s="60">
        <v>13.0</v>
      </c>
      <c r="P2589" s="83">
        <v>1.0</v>
      </c>
      <c r="Q2589" s="83">
        <v>1.0</v>
      </c>
      <c r="R2589" s="84"/>
      <c r="S2589" s="116"/>
      <c r="T2589" s="116"/>
      <c r="U2589" s="185"/>
      <c r="V2589" s="185"/>
      <c r="W2589" s="185"/>
      <c r="X2589" s="185"/>
      <c r="Y2589" s="45"/>
      <c r="Z2589" s="45"/>
      <c r="AA2589" s="45"/>
      <c r="AB2589" s="45"/>
      <c r="AC2589" s="45"/>
      <c r="AD2589" s="45"/>
      <c r="AE2589" s="45"/>
      <c r="AF2589" s="45"/>
      <c r="AG2589" s="45"/>
      <c r="AH2589" s="45"/>
      <c r="AI2589" s="45"/>
      <c r="AJ2589" s="45"/>
      <c r="AK2589" s="45"/>
      <c r="AL2589" s="45"/>
    </row>
    <row r="2590" ht="15.75" customHeight="1">
      <c r="A2590" s="27">
        <f t="shared" si="21"/>
        <v>1469</v>
      </c>
      <c r="B2590" s="28" t="s">
        <v>9032</v>
      </c>
      <c r="C2590" s="43" t="s">
        <v>9033</v>
      </c>
      <c r="D2590" s="30" t="s">
        <v>9034</v>
      </c>
      <c r="E2590" s="28" t="s">
        <v>144</v>
      </c>
      <c r="F2590" s="28" t="s">
        <v>29</v>
      </c>
      <c r="G2590" s="28" t="s">
        <v>30</v>
      </c>
      <c r="H2590" s="28" t="s">
        <v>31</v>
      </c>
      <c r="I2590" s="28" t="s">
        <v>30</v>
      </c>
      <c r="J2590" s="28">
        <v>212.0</v>
      </c>
      <c r="K2590" s="28"/>
      <c r="L2590" s="28" t="s">
        <v>9035</v>
      </c>
      <c r="M2590" s="28" t="s">
        <v>4660</v>
      </c>
      <c r="N2590" s="28">
        <v>2015.0</v>
      </c>
      <c r="O2590" s="60">
        <v>13.0</v>
      </c>
      <c r="P2590" s="28">
        <v>1.0</v>
      </c>
      <c r="Q2590" s="94">
        <v>1.0</v>
      </c>
      <c r="R2590" s="33"/>
      <c r="S2590" s="40"/>
      <c r="T2590" s="40"/>
      <c r="U2590" s="40"/>
      <c r="V2590" s="40"/>
      <c r="W2590" s="40"/>
      <c r="X2590" s="40"/>
      <c r="Y2590" s="45"/>
      <c r="Z2590" s="45"/>
      <c r="AA2590" s="45"/>
      <c r="AB2590" s="45"/>
      <c r="AC2590" s="45"/>
      <c r="AD2590" s="45"/>
      <c r="AE2590" s="45"/>
      <c r="AF2590" s="45"/>
      <c r="AG2590" s="45"/>
      <c r="AH2590" s="45"/>
      <c r="AI2590" s="45"/>
      <c r="AJ2590" s="45"/>
      <c r="AK2590" s="45"/>
      <c r="AL2590" s="45"/>
    </row>
    <row r="2591" ht="15.75" customHeight="1">
      <c r="A2591" s="27">
        <f t="shared" si="21"/>
        <v>1470</v>
      </c>
      <c r="B2591" s="83"/>
      <c r="C2591" s="121" t="s">
        <v>9036</v>
      </c>
      <c r="D2591" s="119" t="s">
        <v>9037</v>
      </c>
      <c r="E2591" s="121" t="s">
        <v>144</v>
      </c>
      <c r="F2591" s="121" t="s">
        <v>29</v>
      </c>
      <c r="G2591" s="121" t="s">
        <v>30</v>
      </c>
      <c r="H2591" s="83"/>
      <c r="I2591" s="121" t="s">
        <v>30</v>
      </c>
      <c r="J2591" s="121">
        <v>81.0</v>
      </c>
      <c r="K2591" s="83"/>
      <c r="L2591" s="121" t="s">
        <v>9038</v>
      </c>
      <c r="M2591" s="121" t="s">
        <v>9039</v>
      </c>
      <c r="N2591" s="121">
        <v>2004.0</v>
      </c>
      <c r="O2591" s="60">
        <v>13.0</v>
      </c>
      <c r="P2591" s="121">
        <v>1.0</v>
      </c>
      <c r="Q2591" s="121">
        <v>1.0</v>
      </c>
      <c r="R2591" s="84"/>
      <c r="S2591" s="34"/>
      <c r="T2591" s="34"/>
      <c r="U2591" s="34"/>
      <c r="V2591" s="34"/>
      <c r="W2591" s="34"/>
      <c r="X2591" s="34"/>
      <c r="Y2591" s="45"/>
      <c r="Z2591" s="45"/>
      <c r="AA2591" s="45"/>
      <c r="AB2591" s="45"/>
      <c r="AC2591" s="45"/>
      <c r="AD2591" s="45"/>
      <c r="AE2591" s="45"/>
      <c r="AF2591" s="45"/>
      <c r="AG2591" s="45"/>
      <c r="AH2591" s="45"/>
      <c r="AI2591" s="45"/>
      <c r="AJ2591" s="45"/>
      <c r="AK2591" s="45"/>
      <c r="AL2591" s="45"/>
    </row>
    <row r="2592" ht="15.75" customHeight="1">
      <c r="A2592" s="27">
        <f t="shared" si="21"/>
        <v>1471</v>
      </c>
      <c r="B2592" s="28" t="s">
        <v>9040</v>
      </c>
      <c r="C2592" s="43" t="s">
        <v>9041</v>
      </c>
      <c r="D2592" s="30" t="s">
        <v>9042</v>
      </c>
      <c r="E2592" s="28"/>
      <c r="F2592" s="28" t="s">
        <v>29</v>
      </c>
      <c r="G2592" s="28" t="s">
        <v>30</v>
      </c>
      <c r="H2592" s="28"/>
      <c r="I2592" s="28" t="s">
        <v>30</v>
      </c>
      <c r="J2592" s="28">
        <v>182.0</v>
      </c>
      <c r="K2592" s="28"/>
      <c r="L2592" s="28" t="s">
        <v>9043</v>
      </c>
      <c r="M2592" s="28" t="s">
        <v>151</v>
      </c>
      <c r="N2592" s="28">
        <v>1986.0</v>
      </c>
      <c r="O2592" s="60">
        <v>13.0</v>
      </c>
      <c r="P2592" s="28">
        <v>1.0</v>
      </c>
      <c r="Q2592" s="94">
        <v>1.0</v>
      </c>
      <c r="R2592" s="33"/>
      <c r="S2592" s="116"/>
      <c r="T2592" s="116"/>
      <c r="U2592" s="116"/>
      <c r="V2592" s="116"/>
      <c r="W2592" s="116"/>
      <c r="X2592" s="116"/>
      <c r="Y2592" s="3"/>
      <c r="Z2592" s="3"/>
      <c r="AA2592" s="3"/>
      <c r="AB2592" s="3"/>
      <c r="AC2592" s="3"/>
      <c r="AD2592" s="3"/>
      <c r="AE2592" s="3"/>
      <c r="AF2592" s="3"/>
      <c r="AG2592" s="3"/>
      <c r="AH2592" s="3"/>
      <c r="AI2592" s="3"/>
      <c r="AJ2592" s="3"/>
      <c r="AK2592" s="3"/>
      <c r="AL2592" s="3"/>
    </row>
    <row r="2593" ht="15.75" customHeight="1">
      <c r="A2593" s="27">
        <f t="shared" si="21"/>
        <v>1472</v>
      </c>
      <c r="B2593" s="28" t="s">
        <v>9044</v>
      </c>
      <c r="C2593" s="43" t="s">
        <v>9045</v>
      </c>
      <c r="D2593" s="30" t="s">
        <v>9046</v>
      </c>
      <c r="E2593" s="28" t="s">
        <v>144</v>
      </c>
      <c r="F2593" s="28" t="s">
        <v>29</v>
      </c>
      <c r="G2593" s="28" t="s">
        <v>30</v>
      </c>
      <c r="H2593" s="28"/>
      <c r="I2593" s="28" t="s">
        <v>30</v>
      </c>
      <c r="J2593" s="28">
        <v>186.0</v>
      </c>
      <c r="K2593" s="28"/>
      <c r="L2593" s="28" t="s">
        <v>9047</v>
      </c>
      <c r="M2593" s="28" t="s">
        <v>151</v>
      </c>
      <c r="N2593" s="28">
        <v>2012.0</v>
      </c>
      <c r="O2593" s="60">
        <v>13.0</v>
      </c>
      <c r="P2593" s="28">
        <v>1.0</v>
      </c>
      <c r="Q2593" s="32">
        <v>1.0</v>
      </c>
      <c r="R2593" s="33"/>
      <c r="S2593" s="34"/>
      <c r="T2593" s="34"/>
      <c r="U2593" s="34"/>
      <c r="V2593" s="34"/>
      <c r="W2593" s="34"/>
      <c r="X2593" s="34"/>
      <c r="Y2593" s="45"/>
      <c r="Z2593" s="45"/>
      <c r="AA2593" s="45"/>
      <c r="AB2593" s="45"/>
      <c r="AC2593" s="45"/>
      <c r="AD2593" s="45"/>
      <c r="AE2593" s="45"/>
      <c r="AF2593" s="45"/>
      <c r="AG2593" s="45"/>
      <c r="AH2593" s="45"/>
      <c r="AI2593" s="45"/>
      <c r="AJ2593" s="45"/>
      <c r="AK2593" s="45"/>
      <c r="AL2593" s="45"/>
    </row>
    <row r="2594" ht="15.75" customHeight="1">
      <c r="A2594" s="27">
        <f t="shared" si="21"/>
        <v>1473</v>
      </c>
      <c r="B2594" s="28" t="s">
        <v>9048</v>
      </c>
      <c r="C2594" s="43" t="s">
        <v>9049</v>
      </c>
      <c r="D2594" s="30" t="s">
        <v>9050</v>
      </c>
      <c r="E2594" s="28" t="s">
        <v>144</v>
      </c>
      <c r="F2594" s="28" t="s">
        <v>29</v>
      </c>
      <c r="G2594" s="28" t="s">
        <v>30</v>
      </c>
      <c r="H2594" s="28" t="s">
        <v>31</v>
      </c>
      <c r="I2594" s="28" t="s">
        <v>30</v>
      </c>
      <c r="J2594" s="28">
        <v>300.0</v>
      </c>
      <c r="K2594" s="28"/>
      <c r="L2594" s="28" t="s">
        <v>2744</v>
      </c>
      <c r="M2594" s="28" t="s">
        <v>3175</v>
      </c>
      <c r="N2594" s="28">
        <v>2015.0</v>
      </c>
      <c r="O2594" s="60">
        <v>13.0</v>
      </c>
      <c r="P2594" s="28">
        <v>1.0</v>
      </c>
      <c r="Q2594" s="94">
        <v>1.0</v>
      </c>
      <c r="R2594" s="33"/>
      <c r="S2594" s="34"/>
      <c r="T2594" s="34"/>
      <c r="U2594" s="34"/>
      <c r="V2594" s="34"/>
      <c r="W2594" s="34"/>
      <c r="X2594" s="34"/>
      <c r="Y2594" s="45"/>
      <c r="Z2594" s="45"/>
      <c r="AA2594" s="45"/>
      <c r="AB2594" s="45"/>
      <c r="AC2594" s="45"/>
      <c r="AD2594" s="45"/>
      <c r="AE2594" s="45"/>
      <c r="AF2594" s="45"/>
      <c r="AG2594" s="45"/>
      <c r="AH2594" s="45"/>
      <c r="AI2594" s="45"/>
      <c r="AJ2594" s="45"/>
      <c r="AK2594" s="45"/>
      <c r="AL2594" s="45"/>
    </row>
    <row r="2595" ht="15.75" customHeight="1">
      <c r="A2595" s="27">
        <f t="shared" si="21"/>
        <v>1474</v>
      </c>
      <c r="B2595" s="121" t="s">
        <v>9051</v>
      </c>
      <c r="C2595" s="121" t="s">
        <v>9052</v>
      </c>
      <c r="D2595" s="119" t="s">
        <v>9053</v>
      </c>
      <c r="E2595" s="121" t="s">
        <v>144</v>
      </c>
      <c r="F2595" s="121" t="s">
        <v>29</v>
      </c>
      <c r="G2595" s="121" t="s">
        <v>30</v>
      </c>
      <c r="H2595" s="83"/>
      <c r="I2595" s="121" t="s">
        <v>30</v>
      </c>
      <c r="J2595" s="121">
        <v>145.0</v>
      </c>
      <c r="K2595" s="83"/>
      <c r="L2595" s="121" t="s">
        <v>8228</v>
      </c>
      <c r="M2595" s="121" t="s">
        <v>2463</v>
      </c>
      <c r="N2595" s="121">
        <v>2003.0</v>
      </c>
      <c r="O2595" s="60">
        <v>13.0</v>
      </c>
      <c r="P2595" s="121">
        <v>1.0</v>
      </c>
      <c r="Q2595" s="121">
        <v>1.0</v>
      </c>
      <c r="R2595" s="84"/>
      <c r="S2595" s="34"/>
      <c r="T2595" s="34"/>
      <c r="U2595" s="34"/>
      <c r="V2595" s="34"/>
      <c r="W2595" s="34"/>
      <c r="X2595" s="34"/>
      <c r="Y2595" s="45"/>
      <c r="Z2595" s="45"/>
      <c r="AA2595" s="45"/>
      <c r="AB2595" s="45"/>
      <c r="AC2595" s="45"/>
      <c r="AD2595" s="45"/>
      <c r="AE2595" s="45"/>
      <c r="AF2595" s="45"/>
      <c r="AG2595" s="45"/>
      <c r="AH2595" s="45"/>
      <c r="AI2595" s="45"/>
      <c r="AJ2595" s="45"/>
      <c r="AK2595" s="45"/>
      <c r="AL2595" s="45"/>
    </row>
    <row r="2596" ht="15.75" customHeight="1">
      <c r="A2596" s="27">
        <f t="shared" si="21"/>
        <v>1475</v>
      </c>
      <c r="B2596" s="28" t="s">
        <v>9054</v>
      </c>
      <c r="C2596" s="43" t="s">
        <v>9055</v>
      </c>
      <c r="D2596" s="30" t="s">
        <v>9056</v>
      </c>
      <c r="E2596" s="28" t="s">
        <v>144</v>
      </c>
      <c r="F2596" s="28" t="s">
        <v>29</v>
      </c>
      <c r="G2596" s="28" t="s">
        <v>81</v>
      </c>
      <c r="H2596" s="28"/>
      <c r="I2596" s="28" t="s">
        <v>30</v>
      </c>
      <c r="J2596" s="28">
        <v>163.0</v>
      </c>
      <c r="K2596" s="28"/>
      <c r="L2596" s="28" t="s">
        <v>9057</v>
      </c>
      <c r="M2596" s="28" t="s">
        <v>9058</v>
      </c>
      <c r="N2596" s="28">
        <v>2006.0</v>
      </c>
      <c r="O2596" s="60">
        <v>13.0</v>
      </c>
      <c r="P2596" s="28">
        <v>1.0</v>
      </c>
      <c r="Q2596" s="94">
        <v>1.0</v>
      </c>
      <c r="R2596" s="33"/>
      <c r="S2596" s="34"/>
      <c r="T2596" s="34"/>
      <c r="U2596" s="34"/>
      <c r="V2596" s="34"/>
      <c r="W2596" s="34"/>
      <c r="X2596" s="34"/>
      <c r="Y2596" s="45"/>
      <c r="Z2596" s="45"/>
      <c r="AA2596" s="45"/>
      <c r="AB2596" s="45"/>
      <c r="AC2596" s="45"/>
      <c r="AD2596" s="45"/>
      <c r="AE2596" s="45"/>
      <c r="AF2596" s="45"/>
      <c r="AG2596" s="45"/>
      <c r="AH2596" s="45"/>
      <c r="AI2596" s="45"/>
      <c r="AJ2596" s="45"/>
      <c r="AK2596" s="45"/>
      <c r="AL2596" s="45"/>
    </row>
    <row r="2597" ht="15.75" customHeight="1">
      <c r="A2597" s="27">
        <f t="shared" si="21"/>
        <v>1476</v>
      </c>
      <c r="B2597" s="28" t="s">
        <v>31</v>
      </c>
      <c r="C2597" s="43" t="s">
        <v>9059</v>
      </c>
      <c r="D2597" s="30" t="s">
        <v>9060</v>
      </c>
      <c r="E2597" s="28"/>
      <c r="F2597" s="28" t="s">
        <v>29</v>
      </c>
      <c r="G2597" s="28" t="s">
        <v>30</v>
      </c>
      <c r="H2597" s="28"/>
      <c r="I2597" s="28" t="s">
        <v>30</v>
      </c>
      <c r="J2597" s="28">
        <v>159.0</v>
      </c>
      <c r="K2597" s="28"/>
      <c r="L2597" s="28" t="s">
        <v>8702</v>
      </c>
      <c r="M2597" s="28" t="s">
        <v>151</v>
      </c>
      <c r="N2597" s="28">
        <v>1975.0</v>
      </c>
      <c r="O2597" s="60">
        <v>13.0</v>
      </c>
      <c r="P2597" s="28">
        <v>1.0</v>
      </c>
      <c r="Q2597" s="94">
        <v>1.0</v>
      </c>
      <c r="R2597" s="33"/>
      <c r="S2597" s="34"/>
      <c r="T2597" s="34"/>
      <c r="U2597" s="34"/>
      <c r="V2597" s="34"/>
      <c r="W2597" s="34"/>
      <c r="X2597" s="34"/>
      <c r="Y2597" s="45"/>
      <c r="Z2597" s="45"/>
      <c r="AA2597" s="45"/>
      <c r="AB2597" s="45"/>
      <c r="AC2597" s="45"/>
      <c r="AD2597" s="45"/>
      <c r="AE2597" s="45"/>
      <c r="AF2597" s="45"/>
      <c r="AG2597" s="45"/>
      <c r="AH2597" s="45"/>
      <c r="AI2597" s="45"/>
      <c r="AJ2597" s="45"/>
      <c r="AK2597" s="45"/>
      <c r="AL2597" s="45"/>
    </row>
    <row r="2598" ht="15.75" customHeight="1">
      <c r="A2598" s="27">
        <f t="shared" si="21"/>
        <v>1477</v>
      </c>
      <c r="B2598" s="28" t="s">
        <v>9061</v>
      </c>
      <c r="C2598" s="43" t="s">
        <v>9062</v>
      </c>
      <c r="D2598" s="30" t="s">
        <v>9063</v>
      </c>
      <c r="E2598" s="28" t="s">
        <v>144</v>
      </c>
      <c r="F2598" s="28" t="s">
        <v>29</v>
      </c>
      <c r="G2598" s="28" t="s">
        <v>30</v>
      </c>
      <c r="H2598" s="28"/>
      <c r="I2598" s="28" t="s">
        <v>30</v>
      </c>
      <c r="J2598" s="28">
        <v>218.0</v>
      </c>
      <c r="K2598" s="28"/>
      <c r="L2598" s="28" t="s">
        <v>9064</v>
      </c>
      <c r="M2598" s="28" t="s">
        <v>151</v>
      </c>
      <c r="N2598" s="28">
        <v>2002.0</v>
      </c>
      <c r="O2598" s="60">
        <v>13.0</v>
      </c>
      <c r="P2598" s="28">
        <v>1.0</v>
      </c>
      <c r="Q2598" s="94">
        <v>1.0</v>
      </c>
      <c r="R2598" s="33"/>
      <c r="S2598" s="215"/>
      <c r="T2598" s="215"/>
      <c r="U2598" s="215"/>
      <c r="V2598" s="215"/>
      <c r="W2598" s="215"/>
      <c r="X2598" s="215"/>
      <c r="Y2598" s="41"/>
      <c r="Z2598" s="41"/>
      <c r="AA2598" s="41"/>
      <c r="AB2598" s="41"/>
      <c r="AC2598" s="41"/>
      <c r="AD2598" s="41"/>
      <c r="AE2598" s="41"/>
      <c r="AF2598" s="41"/>
      <c r="AG2598" s="41"/>
      <c r="AH2598" s="41"/>
      <c r="AI2598" s="41"/>
      <c r="AJ2598" s="41"/>
      <c r="AK2598" s="41"/>
      <c r="AL2598" s="41"/>
    </row>
    <row r="2599" ht="15.75" customHeight="1">
      <c r="A2599" s="27">
        <f t="shared" si="21"/>
        <v>1478</v>
      </c>
      <c r="B2599" s="28" t="s">
        <v>31</v>
      </c>
      <c r="C2599" s="43" t="s">
        <v>9065</v>
      </c>
      <c r="D2599" s="120" t="s">
        <v>9066</v>
      </c>
      <c r="E2599" s="60" t="s">
        <v>144</v>
      </c>
      <c r="F2599" s="28" t="s">
        <v>29</v>
      </c>
      <c r="G2599" s="28" t="s">
        <v>38</v>
      </c>
      <c r="H2599" s="28"/>
      <c r="I2599" s="28" t="s">
        <v>38</v>
      </c>
      <c r="J2599" s="28">
        <v>237.0</v>
      </c>
      <c r="K2599" s="28"/>
      <c r="L2599" s="28" t="s">
        <v>9067</v>
      </c>
      <c r="M2599" s="216" t="s">
        <v>9068</v>
      </c>
      <c r="N2599" s="28">
        <v>1966.0</v>
      </c>
      <c r="O2599" s="28">
        <v>13.0</v>
      </c>
      <c r="P2599" s="28">
        <v>1.0</v>
      </c>
      <c r="Q2599" s="94">
        <v>1.0</v>
      </c>
      <c r="R2599" s="33"/>
      <c r="S2599" s="215"/>
      <c r="T2599" s="215"/>
      <c r="U2599" s="215"/>
      <c r="V2599" s="215"/>
      <c r="W2599" s="215"/>
      <c r="X2599" s="215"/>
      <c r="Y2599" s="61"/>
      <c r="Z2599" s="61"/>
      <c r="AA2599" s="61"/>
      <c r="AB2599" s="61"/>
      <c r="AC2599" s="61"/>
      <c r="AD2599" s="61"/>
      <c r="AE2599" s="61"/>
      <c r="AF2599" s="61"/>
      <c r="AG2599" s="61"/>
      <c r="AH2599" s="61"/>
      <c r="AI2599" s="61"/>
      <c r="AJ2599" s="61"/>
      <c r="AK2599" s="61"/>
      <c r="AL2599" s="61"/>
    </row>
    <row r="2600" ht="15.75" customHeight="1">
      <c r="A2600" s="27">
        <f t="shared" si="21"/>
        <v>1479</v>
      </c>
      <c r="B2600" s="28" t="s">
        <v>9069</v>
      </c>
      <c r="C2600" s="102" t="s">
        <v>9070</v>
      </c>
      <c r="D2600" s="30" t="s">
        <v>9071</v>
      </c>
      <c r="E2600" s="60" t="s">
        <v>144</v>
      </c>
      <c r="F2600" s="28" t="s">
        <v>29</v>
      </c>
      <c r="G2600" s="28" t="s">
        <v>37</v>
      </c>
      <c r="H2600" s="28"/>
      <c r="I2600" s="28" t="s">
        <v>38</v>
      </c>
      <c r="J2600" s="28">
        <v>261.0</v>
      </c>
      <c r="K2600" s="28"/>
      <c r="L2600" s="28" t="s">
        <v>9072</v>
      </c>
      <c r="M2600" s="28" t="s">
        <v>230</v>
      </c>
      <c r="N2600" s="28">
        <v>2008.0</v>
      </c>
      <c r="O2600" s="28">
        <v>13.0</v>
      </c>
      <c r="P2600" s="28">
        <v>1.0</v>
      </c>
      <c r="Q2600" s="94">
        <v>1.0</v>
      </c>
      <c r="R2600" s="33"/>
      <c r="S2600" s="185"/>
      <c r="T2600" s="185"/>
      <c r="U2600" s="185"/>
      <c r="V2600" s="185"/>
      <c r="W2600" s="185"/>
      <c r="X2600" s="185"/>
      <c r="Y2600" s="3"/>
      <c r="Z2600" s="3"/>
      <c r="AA2600" s="3"/>
      <c r="AB2600" s="3"/>
      <c r="AC2600" s="3"/>
      <c r="AD2600" s="3"/>
      <c r="AE2600" s="3"/>
      <c r="AF2600" s="3"/>
      <c r="AG2600" s="3"/>
      <c r="AH2600" s="3"/>
      <c r="AI2600" s="3"/>
      <c r="AJ2600" s="3"/>
      <c r="AK2600" s="3"/>
      <c r="AL2600" s="3"/>
    </row>
    <row r="2601" ht="15.75" customHeight="1">
      <c r="A2601" s="27">
        <f t="shared" si="21"/>
        <v>1480</v>
      </c>
      <c r="B2601" s="28" t="s">
        <v>31</v>
      </c>
      <c r="C2601" s="43" t="s">
        <v>9073</v>
      </c>
      <c r="D2601" s="30" t="s">
        <v>9074</v>
      </c>
      <c r="E2601" s="28" t="s">
        <v>144</v>
      </c>
      <c r="F2601" s="28" t="s">
        <v>29</v>
      </c>
      <c r="G2601" s="28" t="s">
        <v>30</v>
      </c>
      <c r="H2601" s="28"/>
      <c r="I2601" s="28" t="s">
        <v>30</v>
      </c>
      <c r="J2601" s="28">
        <v>464.0</v>
      </c>
      <c r="K2601" s="28"/>
      <c r="L2601" s="28" t="s">
        <v>9075</v>
      </c>
      <c r="M2601" s="28" t="s">
        <v>3697</v>
      </c>
      <c r="N2601" s="28">
        <v>1999.0</v>
      </c>
      <c r="O2601" s="62">
        <v>12.0</v>
      </c>
      <c r="P2601" s="28">
        <v>1.0</v>
      </c>
      <c r="Q2601" s="32">
        <v>1.0</v>
      </c>
      <c r="R2601" s="33"/>
      <c r="S2601" s="185"/>
      <c r="T2601" s="185"/>
      <c r="U2601" s="185"/>
      <c r="V2601" s="185"/>
      <c r="W2601" s="185"/>
      <c r="X2601" s="185"/>
      <c r="Y2601" s="3"/>
      <c r="Z2601" s="3"/>
      <c r="AA2601" s="3"/>
      <c r="AB2601" s="3"/>
      <c r="AC2601" s="3"/>
      <c r="AD2601" s="3"/>
      <c r="AE2601" s="3"/>
      <c r="AF2601" s="3"/>
      <c r="AG2601" s="3"/>
      <c r="AH2601" s="3"/>
      <c r="AI2601" s="3"/>
      <c r="AJ2601" s="3"/>
      <c r="AK2601" s="3"/>
      <c r="AL2601" s="3"/>
    </row>
    <row r="2602" ht="15.75" customHeight="1">
      <c r="A2602" s="27">
        <f t="shared" si="21"/>
        <v>1481</v>
      </c>
      <c r="B2602" s="28" t="s">
        <v>31</v>
      </c>
      <c r="C2602" s="43" t="s">
        <v>9076</v>
      </c>
      <c r="D2602" s="30" t="s">
        <v>9077</v>
      </c>
      <c r="E2602" s="28"/>
      <c r="F2602" s="28" t="s">
        <v>29</v>
      </c>
      <c r="G2602" s="28" t="s">
        <v>30</v>
      </c>
      <c r="H2602" s="28"/>
      <c r="I2602" s="28" t="s">
        <v>30</v>
      </c>
      <c r="J2602" s="28">
        <v>92.0</v>
      </c>
      <c r="K2602" s="28"/>
      <c r="L2602" s="28" t="s">
        <v>9078</v>
      </c>
      <c r="M2602" s="28" t="s">
        <v>9079</v>
      </c>
      <c r="N2602" s="28">
        <v>2002.0</v>
      </c>
      <c r="O2602" s="60">
        <v>13.0</v>
      </c>
      <c r="P2602" s="28">
        <v>2.0</v>
      </c>
      <c r="Q2602" s="32">
        <v>2.0</v>
      </c>
      <c r="R2602" s="33"/>
      <c r="S2602" s="116"/>
      <c r="T2602" s="116"/>
      <c r="U2602" s="116"/>
      <c r="V2602" s="116"/>
      <c r="W2602" s="116"/>
      <c r="X2602" s="116"/>
      <c r="Y2602" s="45"/>
      <c r="Z2602" s="45"/>
      <c r="AA2602" s="45"/>
      <c r="AB2602" s="45"/>
      <c r="AC2602" s="45"/>
      <c r="AD2602" s="45"/>
      <c r="AE2602" s="45"/>
      <c r="AF2602" s="45"/>
      <c r="AG2602" s="45"/>
      <c r="AH2602" s="45"/>
      <c r="AI2602" s="45"/>
      <c r="AJ2602" s="45"/>
      <c r="AK2602" s="45"/>
      <c r="AL2602" s="45"/>
    </row>
    <row r="2603" ht="15.75" customHeight="1">
      <c r="A2603" s="27">
        <f t="shared" si="21"/>
        <v>1482</v>
      </c>
      <c r="B2603" s="28" t="s">
        <v>9080</v>
      </c>
      <c r="C2603" s="43" t="s">
        <v>9081</v>
      </c>
      <c r="D2603" s="30" t="s">
        <v>9082</v>
      </c>
      <c r="E2603" s="28" t="s">
        <v>144</v>
      </c>
      <c r="F2603" s="28" t="s">
        <v>29</v>
      </c>
      <c r="G2603" s="28" t="s">
        <v>30</v>
      </c>
      <c r="H2603" s="28"/>
      <c r="I2603" s="28" t="s">
        <v>30</v>
      </c>
      <c r="J2603" s="28">
        <v>211.0</v>
      </c>
      <c r="K2603" s="28"/>
      <c r="L2603" s="28" t="s">
        <v>8645</v>
      </c>
      <c r="M2603" s="28" t="s">
        <v>8646</v>
      </c>
      <c r="N2603" s="28">
        <v>2004.0</v>
      </c>
      <c r="O2603" s="60">
        <v>13.0</v>
      </c>
      <c r="P2603" s="28">
        <v>3.0</v>
      </c>
      <c r="Q2603" s="32">
        <v>3.0</v>
      </c>
      <c r="R2603" s="33"/>
      <c r="S2603" s="116"/>
      <c r="T2603" s="116"/>
      <c r="U2603" s="116"/>
      <c r="V2603" s="116"/>
      <c r="W2603" s="116"/>
      <c r="X2603" s="116"/>
      <c r="Y2603" s="45"/>
      <c r="Z2603" s="45"/>
      <c r="AA2603" s="45"/>
      <c r="AB2603" s="45"/>
      <c r="AC2603" s="45"/>
      <c r="AD2603" s="45"/>
      <c r="AE2603" s="45"/>
      <c r="AF2603" s="45"/>
      <c r="AG2603" s="45"/>
      <c r="AH2603" s="45"/>
      <c r="AI2603" s="45"/>
      <c r="AJ2603" s="45"/>
      <c r="AK2603" s="45"/>
      <c r="AL2603" s="45"/>
    </row>
    <row r="2604" ht="15.75" customHeight="1">
      <c r="A2604" s="27">
        <f t="shared" si="21"/>
        <v>1483</v>
      </c>
      <c r="B2604" s="28" t="s">
        <v>9083</v>
      </c>
      <c r="C2604" s="43" t="s">
        <v>9084</v>
      </c>
      <c r="D2604" s="30" t="s">
        <v>9085</v>
      </c>
      <c r="E2604" s="28" t="s">
        <v>144</v>
      </c>
      <c r="F2604" s="28" t="s">
        <v>29</v>
      </c>
      <c r="G2604" s="28" t="s">
        <v>37</v>
      </c>
      <c r="H2604" s="28"/>
      <c r="I2604" s="28" t="s">
        <v>30</v>
      </c>
      <c r="J2604" s="28">
        <v>235.0</v>
      </c>
      <c r="K2604" s="28"/>
      <c r="L2604" s="28" t="s">
        <v>9086</v>
      </c>
      <c r="M2604" s="28" t="s">
        <v>9087</v>
      </c>
      <c r="N2604" s="28">
        <v>1994.0</v>
      </c>
      <c r="O2604" s="60">
        <v>13.0</v>
      </c>
      <c r="P2604" s="28">
        <v>1.0</v>
      </c>
      <c r="Q2604" s="94">
        <v>1.0</v>
      </c>
      <c r="R2604" s="33"/>
      <c r="S2604" s="116"/>
      <c r="T2604" s="116"/>
      <c r="U2604" s="116"/>
      <c r="V2604" s="116"/>
      <c r="W2604" s="116"/>
      <c r="X2604" s="116"/>
      <c r="Y2604" s="45"/>
      <c r="Z2604" s="45"/>
      <c r="AA2604" s="45"/>
      <c r="AB2604" s="45"/>
      <c r="AC2604" s="45"/>
      <c r="AD2604" s="45"/>
      <c r="AE2604" s="45"/>
      <c r="AF2604" s="45"/>
      <c r="AG2604" s="45"/>
      <c r="AH2604" s="45"/>
      <c r="AI2604" s="45"/>
      <c r="AJ2604" s="45"/>
      <c r="AK2604" s="45"/>
      <c r="AL2604" s="45"/>
    </row>
    <row r="2605" ht="15.75" customHeight="1">
      <c r="A2605" s="27">
        <f t="shared" si="21"/>
        <v>1484</v>
      </c>
      <c r="B2605" s="28" t="s">
        <v>9088</v>
      </c>
      <c r="C2605" s="47" t="s">
        <v>9089</v>
      </c>
      <c r="D2605" s="30" t="s">
        <v>9090</v>
      </c>
      <c r="E2605" s="28" t="s">
        <v>3578</v>
      </c>
      <c r="F2605" s="28" t="s">
        <v>29</v>
      </c>
      <c r="G2605" s="28" t="s">
        <v>166</v>
      </c>
      <c r="H2605" s="28"/>
      <c r="I2605" s="28" t="s">
        <v>167</v>
      </c>
      <c r="J2605" s="28">
        <v>545.0</v>
      </c>
      <c r="K2605" s="28"/>
      <c r="L2605" s="28" t="s">
        <v>9091</v>
      </c>
      <c r="M2605" s="28" t="s">
        <v>169</v>
      </c>
      <c r="N2605" s="28">
        <v>2014.0</v>
      </c>
      <c r="O2605" s="60">
        <v>13.0</v>
      </c>
      <c r="P2605" s="28">
        <v>1.0</v>
      </c>
      <c r="Q2605" s="94">
        <v>1.0</v>
      </c>
      <c r="R2605" s="33"/>
      <c r="S2605" s="116"/>
      <c r="T2605" s="116"/>
      <c r="U2605" s="116"/>
      <c r="V2605" s="116"/>
      <c r="W2605" s="116"/>
      <c r="X2605" s="116"/>
      <c r="Y2605" s="45"/>
      <c r="Z2605" s="45"/>
      <c r="AA2605" s="45"/>
      <c r="AB2605" s="45"/>
      <c r="AC2605" s="45"/>
      <c r="AD2605" s="45"/>
      <c r="AE2605" s="45"/>
      <c r="AF2605" s="45"/>
      <c r="AG2605" s="45"/>
      <c r="AH2605" s="45"/>
      <c r="AI2605" s="45"/>
      <c r="AJ2605" s="45"/>
      <c r="AK2605" s="45"/>
      <c r="AL2605" s="45"/>
    </row>
    <row r="2606" ht="15.75" customHeight="1">
      <c r="A2606" s="27">
        <f t="shared" si="21"/>
        <v>1485</v>
      </c>
      <c r="B2606" s="28" t="s">
        <v>9092</v>
      </c>
      <c r="C2606" s="43" t="s">
        <v>9093</v>
      </c>
      <c r="D2606" s="30" t="s">
        <v>9094</v>
      </c>
      <c r="E2606" s="28"/>
      <c r="F2606" s="28" t="s">
        <v>29</v>
      </c>
      <c r="G2606" s="28" t="s">
        <v>30</v>
      </c>
      <c r="H2606" s="28"/>
      <c r="I2606" s="28" t="s">
        <v>30</v>
      </c>
      <c r="J2606" s="28">
        <v>336.0</v>
      </c>
      <c r="K2606" s="28"/>
      <c r="L2606" s="28" t="s">
        <v>9095</v>
      </c>
      <c r="M2606" s="28" t="s">
        <v>161</v>
      </c>
      <c r="N2606" s="28">
        <v>2006.0</v>
      </c>
      <c r="O2606" s="60">
        <v>13.0</v>
      </c>
      <c r="P2606" s="28">
        <v>1.0</v>
      </c>
      <c r="Q2606" s="32">
        <v>1.0</v>
      </c>
      <c r="R2606" s="33"/>
      <c r="S2606" s="116"/>
      <c r="T2606" s="116"/>
      <c r="U2606" s="116"/>
      <c r="V2606" s="116"/>
      <c r="W2606" s="116"/>
      <c r="X2606" s="116"/>
      <c r="Y2606" s="45"/>
      <c r="Z2606" s="45"/>
      <c r="AA2606" s="45"/>
      <c r="AB2606" s="45"/>
      <c r="AC2606" s="45"/>
      <c r="AD2606" s="45"/>
      <c r="AE2606" s="45"/>
      <c r="AF2606" s="45"/>
      <c r="AG2606" s="45"/>
      <c r="AH2606" s="45"/>
      <c r="AI2606" s="45"/>
      <c r="AJ2606" s="45"/>
      <c r="AK2606" s="45"/>
      <c r="AL2606" s="45"/>
    </row>
    <row r="2607" ht="15.75" customHeight="1">
      <c r="A2607" s="27">
        <f t="shared" si="21"/>
        <v>1486</v>
      </c>
      <c r="B2607" s="83" t="s">
        <v>9096</v>
      </c>
      <c r="C2607" s="121" t="s">
        <v>9097</v>
      </c>
      <c r="D2607" s="118" t="s">
        <v>9098</v>
      </c>
      <c r="E2607" s="83" t="s">
        <v>144</v>
      </c>
      <c r="F2607" s="83" t="s">
        <v>29</v>
      </c>
      <c r="G2607" s="83" t="s">
        <v>30</v>
      </c>
      <c r="H2607" s="83"/>
      <c r="I2607" s="83" t="s">
        <v>30</v>
      </c>
      <c r="J2607" s="83">
        <v>416.0</v>
      </c>
      <c r="K2607" s="83"/>
      <c r="L2607" s="83" t="s">
        <v>9099</v>
      </c>
      <c r="M2607" s="83" t="s">
        <v>9100</v>
      </c>
      <c r="N2607" s="83">
        <v>2011.0</v>
      </c>
      <c r="O2607" s="121">
        <v>13.0</v>
      </c>
      <c r="P2607" s="83">
        <v>1.0</v>
      </c>
      <c r="Q2607" s="121">
        <v>3.0</v>
      </c>
      <c r="R2607" s="84"/>
      <c r="S2607" s="116"/>
      <c r="T2607" s="116"/>
      <c r="U2607" s="116"/>
      <c r="V2607" s="116"/>
      <c r="W2607" s="116"/>
      <c r="X2607" s="116"/>
      <c r="Y2607" s="45"/>
      <c r="Z2607" s="45"/>
      <c r="AA2607" s="45"/>
      <c r="AB2607" s="45"/>
      <c r="AC2607" s="45"/>
      <c r="AD2607" s="45"/>
      <c r="AE2607" s="45"/>
      <c r="AF2607" s="45"/>
      <c r="AG2607" s="45"/>
      <c r="AH2607" s="45"/>
      <c r="AI2607" s="45"/>
      <c r="AJ2607" s="45"/>
      <c r="AK2607" s="45"/>
      <c r="AL2607" s="45"/>
    </row>
    <row r="2608" ht="15.75" customHeight="1">
      <c r="A2608" s="27">
        <f t="shared" si="21"/>
        <v>1487</v>
      </c>
      <c r="B2608" s="121" t="s">
        <v>9101</v>
      </c>
      <c r="C2608" s="121" t="s">
        <v>9102</v>
      </c>
      <c r="D2608" s="119" t="s">
        <v>9103</v>
      </c>
      <c r="E2608" s="121" t="s">
        <v>144</v>
      </c>
      <c r="F2608" s="121" t="s">
        <v>29</v>
      </c>
      <c r="G2608" s="121" t="s">
        <v>37</v>
      </c>
      <c r="H2608" s="83"/>
      <c r="I2608" s="121" t="s">
        <v>38</v>
      </c>
      <c r="J2608" s="121">
        <v>256.0</v>
      </c>
      <c r="K2608" s="83"/>
      <c r="L2608" s="121" t="s">
        <v>9104</v>
      </c>
      <c r="M2608" s="121" t="s">
        <v>2567</v>
      </c>
      <c r="N2608" s="121">
        <v>1973.0</v>
      </c>
      <c r="O2608" s="121">
        <v>13.0</v>
      </c>
      <c r="P2608" s="121">
        <v>1.0</v>
      </c>
      <c r="Q2608" s="121">
        <v>1.0</v>
      </c>
      <c r="R2608" s="84"/>
      <c r="S2608" s="185"/>
      <c r="T2608" s="185"/>
      <c r="U2608" s="185"/>
      <c r="V2608" s="185"/>
      <c r="W2608" s="185"/>
      <c r="X2608" s="185"/>
      <c r="Y2608" s="3"/>
      <c r="Z2608" s="3"/>
      <c r="AA2608" s="3"/>
      <c r="AB2608" s="3"/>
      <c r="AC2608" s="3"/>
      <c r="AD2608" s="3"/>
      <c r="AE2608" s="3"/>
      <c r="AF2608" s="3"/>
      <c r="AG2608" s="3"/>
      <c r="AH2608" s="3"/>
      <c r="AI2608" s="3"/>
      <c r="AJ2608" s="3"/>
      <c r="AK2608" s="3"/>
      <c r="AL2608" s="3"/>
    </row>
    <row r="2609" ht="15.75" customHeight="1">
      <c r="A2609" s="27">
        <f t="shared" si="21"/>
        <v>1488</v>
      </c>
      <c r="B2609" s="28" t="s">
        <v>9105</v>
      </c>
      <c r="C2609" s="43" t="s">
        <v>9106</v>
      </c>
      <c r="D2609" s="30" t="s">
        <v>9107</v>
      </c>
      <c r="E2609" s="28" t="s">
        <v>144</v>
      </c>
      <c r="F2609" s="28" t="s">
        <v>29</v>
      </c>
      <c r="G2609" s="28" t="s">
        <v>30</v>
      </c>
      <c r="H2609" s="28"/>
      <c r="I2609" s="28" t="s">
        <v>30</v>
      </c>
      <c r="J2609" s="28">
        <v>21.0</v>
      </c>
      <c r="K2609" s="28"/>
      <c r="L2609" s="28" t="s">
        <v>4883</v>
      </c>
      <c r="M2609" s="28" t="s">
        <v>151</v>
      </c>
      <c r="N2609" s="28">
        <v>2002.0</v>
      </c>
      <c r="O2609" s="28">
        <v>13.0</v>
      </c>
      <c r="P2609" s="28">
        <v>1.0</v>
      </c>
      <c r="Q2609" s="94">
        <v>1.0</v>
      </c>
      <c r="R2609" s="33"/>
      <c r="S2609" s="116"/>
      <c r="T2609" s="116"/>
      <c r="U2609" s="116"/>
      <c r="V2609" s="116"/>
      <c r="W2609" s="116"/>
      <c r="X2609" s="116"/>
      <c r="Y2609" s="3"/>
      <c r="Z2609" s="3"/>
      <c r="AA2609" s="3"/>
      <c r="AB2609" s="3"/>
      <c r="AC2609" s="3"/>
      <c r="AD2609" s="3"/>
      <c r="AE2609" s="3"/>
      <c r="AF2609" s="3"/>
      <c r="AG2609" s="3"/>
      <c r="AH2609" s="3"/>
      <c r="AI2609" s="3"/>
      <c r="AJ2609" s="3"/>
      <c r="AK2609" s="3"/>
      <c r="AL2609" s="3"/>
    </row>
    <row r="2610" ht="15.75" customHeight="1">
      <c r="A2610" s="27">
        <f t="shared" si="21"/>
        <v>1489</v>
      </c>
      <c r="B2610" s="28" t="s">
        <v>31</v>
      </c>
      <c r="C2610" s="43" t="s">
        <v>9108</v>
      </c>
      <c r="D2610" s="30" t="s">
        <v>9109</v>
      </c>
      <c r="E2610" s="28" t="s">
        <v>31</v>
      </c>
      <c r="F2610" s="28" t="s">
        <v>29</v>
      </c>
      <c r="G2610" s="28" t="s">
        <v>30</v>
      </c>
      <c r="H2610" s="28"/>
      <c r="I2610" s="28" t="s">
        <v>30</v>
      </c>
      <c r="J2610" s="28">
        <v>116.0</v>
      </c>
      <c r="K2610" s="28"/>
      <c r="L2610" s="28" t="s">
        <v>9110</v>
      </c>
      <c r="M2610" s="28" t="s">
        <v>4762</v>
      </c>
      <c r="N2610" s="28">
        <v>2003.0</v>
      </c>
      <c r="O2610" s="60">
        <v>13.0</v>
      </c>
      <c r="P2610" s="28">
        <v>1.0</v>
      </c>
      <c r="Q2610" s="94">
        <v>1.0</v>
      </c>
      <c r="R2610" s="33"/>
      <c r="S2610" s="116"/>
      <c r="T2610" s="116"/>
      <c r="U2610" s="116"/>
      <c r="V2610" s="116"/>
      <c r="W2610" s="116"/>
      <c r="X2610" s="116"/>
      <c r="Y2610" s="3"/>
      <c r="Z2610" s="3"/>
      <c r="AA2610" s="3"/>
      <c r="AB2610" s="3"/>
      <c r="AC2610" s="3"/>
      <c r="AD2610" s="3"/>
      <c r="AE2610" s="3"/>
      <c r="AF2610" s="3"/>
      <c r="AG2610" s="3"/>
      <c r="AH2610" s="3"/>
      <c r="AI2610" s="3"/>
      <c r="AJ2610" s="3"/>
      <c r="AK2610" s="3"/>
      <c r="AL2610" s="3"/>
    </row>
    <row r="2611" ht="15.75" customHeight="1">
      <c r="A2611" s="27">
        <f t="shared" si="21"/>
        <v>1490</v>
      </c>
      <c r="B2611" s="28" t="s">
        <v>9111</v>
      </c>
      <c r="C2611" s="43" t="s">
        <v>9112</v>
      </c>
      <c r="D2611" s="30" t="s">
        <v>9113</v>
      </c>
      <c r="E2611" s="28"/>
      <c r="F2611" s="28" t="s">
        <v>29</v>
      </c>
      <c r="G2611" s="28" t="s">
        <v>37</v>
      </c>
      <c r="H2611" s="28"/>
      <c r="I2611" s="28" t="s">
        <v>38</v>
      </c>
      <c r="J2611" s="28">
        <v>283.0</v>
      </c>
      <c r="K2611" s="28"/>
      <c r="L2611" s="28" t="s">
        <v>9114</v>
      </c>
      <c r="M2611" s="28" t="s">
        <v>236</v>
      </c>
      <c r="N2611" s="28">
        <v>2001.0</v>
      </c>
      <c r="O2611" s="28">
        <v>13.0</v>
      </c>
      <c r="P2611" s="28">
        <v>1.0</v>
      </c>
      <c r="Q2611" s="94">
        <v>1.0</v>
      </c>
      <c r="R2611" s="33"/>
      <c r="S2611" s="185"/>
      <c r="T2611" s="185"/>
      <c r="U2611" s="185"/>
      <c r="V2611" s="185"/>
      <c r="W2611" s="185"/>
      <c r="X2611" s="185"/>
      <c r="Y2611" s="3"/>
      <c r="Z2611" s="3"/>
      <c r="AA2611" s="3"/>
      <c r="AB2611" s="3"/>
      <c r="AC2611" s="3"/>
      <c r="AD2611" s="3"/>
      <c r="AE2611" s="3"/>
      <c r="AF2611" s="3"/>
      <c r="AG2611" s="3"/>
      <c r="AH2611" s="3"/>
      <c r="AI2611" s="3"/>
      <c r="AJ2611" s="3"/>
      <c r="AK2611" s="3"/>
      <c r="AL2611" s="3"/>
    </row>
    <row r="2612" ht="15.75" customHeight="1">
      <c r="A2612" s="27">
        <f t="shared" si="21"/>
        <v>1491</v>
      </c>
      <c r="B2612" s="121" t="s">
        <v>9115</v>
      </c>
      <c r="C2612" s="121" t="s">
        <v>9116</v>
      </c>
      <c r="D2612" s="119" t="s">
        <v>9117</v>
      </c>
      <c r="E2612" s="121" t="s">
        <v>144</v>
      </c>
      <c r="F2612" s="121" t="s">
        <v>29</v>
      </c>
      <c r="G2612" s="121" t="s">
        <v>30</v>
      </c>
      <c r="H2612" s="83"/>
      <c r="I2612" s="121" t="s">
        <v>30</v>
      </c>
      <c r="J2612" s="121">
        <v>371.0</v>
      </c>
      <c r="K2612" s="83"/>
      <c r="L2612" s="121" t="s">
        <v>9118</v>
      </c>
      <c r="M2612" s="121" t="s">
        <v>9119</v>
      </c>
      <c r="N2612" s="121">
        <v>2015.0</v>
      </c>
      <c r="O2612" s="121">
        <v>13.0</v>
      </c>
      <c r="P2612" s="121">
        <v>1.0</v>
      </c>
      <c r="Q2612" s="121">
        <v>1.0</v>
      </c>
      <c r="R2612" s="84"/>
      <c r="S2612" s="116"/>
      <c r="T2612" s="116"/>
      <c r="U2612" s="116"/>
      <c r="V2612" s="116"/>
      <c r="W2612" s="116"/>
      <c r="X2612" s="116"/>
      <c r="Y2612" s="45"/>
      <c r="Z2612" s="45"/>
      <c r="AA2612" s="45"/>
      <c r="AB2612" s="45"/>
      <c r="AC2612" s="45"/>
      <c r="AD2612" s="45"/>
      <c r="AE2612" s="45"/>
      <c r="AF2612" s="45"/>
      <c r="AG2612" s="45"/>
      <c r="AH2612" s="45"/>
      <c r="AI2612" s="45"/>
      <c r="AJ2612" s="45"/>
      <c r="AK2612" s="45"/>
      <c r="AL2612" s="45"/>
    </row>
    <row r="2613" ht="15.75" customHeight="1">
      <c r="A2613" s="27">
        <f t="shared" si="21"/>
        <v>1492</v>
      </c>
      <c r="B2613" s="121" t="s">
        <v>9120</v>
      </c>
      <c r="C2613" s="121" t="s">
        <v>9121</v>
      </c>
      <c r="D2613" s="119" t="s">
        <v>9122</v>
      </c>
      <c r="E2613" s="121" t="s">
        <v>144</v>
      </c>
      <c r="F2613" s="121" t="s">
        <v>29</v>
      </c>
      <c r="G2613" s="121" t="s">
        <v>30</v>
      </c>
      <c r="H2613" s="83"/>
      <c r="I2613" s="121" t="s">
        <v>30</v>
      </c>
      <c r="J2613" s="121">
        <v>306.0</v>
      </c>
      <c r="K2613" s="83"/>
      <c r="L2613" s="121" t="s">
        <v>9118</v>
      </c>
      <c r="M2613" s="121" t="s">
        <v>9119</v>
      </c>
      <c r="N2613" s="121">
        <v>2015.0</v>
      </c>
      <c r="O2613" s="121">
        <v>13.0</v>
      </c>
      <c r="P2613" s="121">
        <v>1.0</v>
      </c>
      <c r="Q2613" s="121">
        <v>1.0</v>
      </c>
      <c r="R2613" s="84"/>
      <c r="S2613" s="185"/>
      <c r="T2613" s="185"/>
      <c r="U2613" s="185"/>
      <c r="V2613" s="185"/>
      <c r="W2613" s="185"/>
      <c r="X2613" s="185"/>
      <c r="Y2613" s="45"/>
      <c r="Z2613" s="45"/>
      <c r="AA2613" s="45"/>
      <c r="AB2613" s="45"/>
      <c r="AC2613" s="45"/>
      <c r="AD2613" s="45"/>
      <c r="AE2613" s="45"/>
      <c r="AF2613" s="45"/>
      <c r="AG2613" s="45"/>
      <c r="AH2613" s="45"/>
      <c r="AI2613" s="45"/>
      <c r="AJ2613" s="45"/>
      <c r="AK2613" s="45"/>
      <c r="AL2613" s="45"/>
    </row>
    <row r="2614" ht="15.75" customHeight="1">
      <c r="A2614" s="27">
        <f t="shared" si="21"/>
        <v>1493</v>
      </c>
      <c r="B2614" s="28" t="s">
        <v>31</v>
      </c>
      <c r="C2614" s="43" t="s">
        <v>9123</v>
      </c>
      <c r="D2614" s="30" t="s">
        <v>9124</v>
      </c>
      <c r="E2614" s="28" t="s">
        <v>144</v>
      </c>
      <c r="F2614" s="28" t="s">
        <v>29</v>
      </c>
      <c r="G2614" s="28" t="s">
        <v>30</v>
      </c>
      <c r="H2614" s="28"/>
      <c r="I2614" s="28" t="s">
        <v>30</v>
      </c>
      <c r="J2614" s="28">
        <v>91.0</v>
      </c>
      <c r="K2614" s="28"/>
      <c r="L2614" s="28" t="s">
        <v>9125</v>
      </c>
      <c r="M2614" s="28" t="s">
        <v>31</v>
      </c>
      <c r="N2614" s="28">
        <v>2008.0</v>
      </c>
      <c r="O2614" s="60">
        <v>13.0</v>
      </c>
      <c r="P2614" s="28">
        <v>1.0</v>
      </c>
      <c r="Q2614" s="94">
        <v>1.0</v>
      </c>
      <c r="R2614" s="33"/>
      <c r="S2614" s="116"/>
      <c r="T2614" s="116"/>
      <c r="U2614" s="116"/>
      <c r="V2614" s="116"/>
      <c r="W2614" s="116"/>
      <c r="X2614" s="116"/>
      <c r="Y2614" s="3"/>
      <c r="Z2614" s="3"/>
      <c r="AA2614" s="3"/>
      <c r="AB2614" s="3"/>
      <c r="AC2614" s="3"/>
      <c r="AD2614" s="3"/>
      <c r="AE2614" s="3"/>
      <c r="AF2614" s="3"/>
      <c r="AG2614" s="3"/>
      <c r="AH2614" s="3"/>
      <c r="AI2614" s="3"/>
      <c r="AJ2614" s="3"/>
      <c r="AK2614" s="3"/>
      <c r="AL2614" s="3"/>
    </row>
    <row r="2615" ht="15.75" customHeight="1">
      <c r="A2615" s="27">
        <f t="shared" si="21"/>
        <v>1494</v>
      </c>
      <c r="B2615" s="28" t="s">
        <v>31</v>
      </c>
      <c r="C2615" s="102" t="s">
        <v>9126</v>
      </c>
      <c r="D2615" s="30" t="s">
        <v>9127</v>
      </c>
      <c r="E2615" s="60" t="s">
        <v>144</v>
      </c>
      <c r="F2615" s="28" t="s">
        <v>29</v>
      </c>
      <c r="G2615" s="28" t="s">
        <v>37</v>
      </c>
      <c r="H2615" s="28"/>
      <c r="I2615" s="28" t="s">
        <v>38</v>
      </c>
      <c r="J2615" s="28">
        <v>94.0</v>
      </c>
      <c r="K2615" s="28"/>
      <c r="L2615" s="28" t="s">
        <v>920</v>
      </c>
      <c r="M2615" s="28" t="s">
        <v>7043</v>
      </c>
      <c r="N2615" s="28">
        <v>1958.0</v>
      </c>
      <c r="O2615" s="60">
        <v>13.0</v>
      </c>
      <c r="P2615" s="28">
        <v>1.0</v>
      </c>
      <c r="Q2615" s="94">
        <v>1.0</v>
      </c>
      <c r="R2615" s="33"/>
      <c r="S2615" s="116"/>
      <c r="T2615" s="116"/>
      <c r="U2615" s="116"/>
      <c r="V2615" s="116"/>
      <c r="W2615" s="116"/>
      <c r="X2615" s="116"/>
      <c r="Y2615" s="3"/>
      <c r="Z2615" s="3"/>
      <c r="AA2615" s="3"/>
      <c r="AB2615" s="3"/>
      <c r="AC2615" s="3"/>
      <c r="AD2615" s="3"/>
      <c r="AE2615" s="3"/>
      <c r="AF2615" s="3"/>
      <c r="AG2615" s="3"/>
      <c r="AH2615" s="3"/>
      <c r="AI2615" s="3"/>
      <c r="AJ2615" s="3"/>
      <c r="AK2615" s="3"/>
      <c r="AL2615" s="3"/>
    </row>
    <row r="2616" ht="15.75" customHeight="1">
      <c r="A2616" s="27">
        <f t="shared" si="21"/>
        <v>1495</v>
      </c>
      <c r="B2616" s="28" t="s">
        <v>9128</v>
      </c>
      <c r="C2616" s="43" t="s">
        <v>9129</v>
      </c>
      <c r="D2616" s="30" t="s">
        <v>9130</v>
      </c>
      <c r="E2616" s="28"/>
      <c r="F2616" s="28" t="s">
        <v>29</v>
      </c>
      <c r="G2616" s="28" t="s">
        <v>37</v>
      </c>
      <c r="H2616" s="28"/>
      <c r="I2616" s="28" t="s">
        <v>38</v>
      </c>
      <c r="J2616" s="28">
        <v>143.0</v>
      </c>
      <c r="K2616" s="28"/>
      <c r="L2616" s="28" t="s">
        <v>9131</v>
      </c>
      <c r="M2616" s="28" t="s">
        <v>2886</v>
      </c>
      <c r="N2616" s="28">
        <v>1982.0</v>
      </c>
      <c r="O2616" s="60">
        <v>13.0</v>
      </c>
      <c r="P2616" s="28">
        <v>1.0</v>
      </c>
      <c r="Q2616" s="32">
        <v>1.0</v>
      </c>
      <c r="R2616" s="33"/>
      <c r="S2616" s="116"/>
      <c r="T2616" s="116"/>
      <c r="U2616" s="116"/>
      <c r="V2616" s="116"/>
      <c r="W2616" s="116"/>
      <c r="X2616" s="116"/>
      <c r="Y2616" s="3"/>
      <c r="Z2616" s="3"/>
      <c r="AA2616" s="3"/>
      <c r="AB2616" s="3"/>
      <c r="AC2616" s="3"/>
      <c r="AD2616" s="3"/>
      <c r="AE2616" s="3"/>
      <c r="AF2616" s="3"/>
      <c r="AG2616" s="3"/>
      <c r="AH2616" s="3"/>
      <c r="AI2616" s="3"/>
      <c r="AJ2616" s="3"/>
      <c r="AK2616" s="3"/>
      <c r="AL2616" s="3"/>
    </row>
    <row r="2617" ht="15.75" customHeight="1">
      <c r="A2617" s="27">
        <f t="shared" si="21"/>
        <v>1496</v>
      </c>
      <c r="B2617" s="28" t="s">
        <v>9132</v>
      </c>
      <c r="C2617" s="43" t="s">
        <v>9133</v>
      </c>
      <c r="D2617" s="30" t="s">
        <v>9134</v>
      </c>
      <c r="E2617" s="28" t="s">
        <v>31</v>
      </c>
      <c r="F2617" s="28" t="s">
        <v>29</v>
      </c>
      <c r="G2617" s="28" t="s">
        <v>30</v>
      </c>
      <c r="H2617" s="28"/>
      <c r="I2617" s="28" t="s">
        <v>30</v>
      </c>
      <c r="J2617" s="28">
        <v>130.0</v>
      </c>
      <c r="K2617" s="28"/>
      <c r="L2617" s="28" t="s">
        <v>9135</v>
      </c>
      <c r="M2617" s="28" t="s">
        <v>161</v>
      </c>
      <c r="N2617" s="28">
        <v>2009.0</v>
      </c>
      <c r="O2617" s="60">
        <v>13.0</v>
      </c>
      <c r="P2617" s="28">
        <v>1.0</v>
      </c>
      <c r="Q2617" s="32">
        <v>1.0</v>
      </c>
      <c r="R2617" s="33"/>
      <c r="S2617" s="116"/>
      <c r="T2617" s="116"/>
      <c r="U2617" s="116"/>
      <c r="V2617" s="116"/>
      <c r="W2617" s="116"/>
      <c r="X2617" s="116"/>
      <c r="Y2617" s="3"/>
      <c r="Z2617" s="3"/>
      <c r="AA2617" s="3"/>
      <c r="AB2617" s="3"/>
      <c r="AC2617" s="3"/>
      <c r="AD2617" s="3"/>
      <c r="AE2617" s="3"/>
      <c r="AF2617" s="3"/>
      <c r="AG2617" s="3"/>
      <c r="AH2617" s="3"/>
      <c r="AI2617" s="3"/>
      <c r="AJ2617" s="3"/>
      <c r="AK2617" s="3"/>
      <c r="AL2617" s="3"/>
    </row>
    <row r="2618" ht="15.75" customHeight="1">
      <c r="A2618" s="27">
        <f t="shared" si="21"/>
        <v>1497</v>
      </c>
      <c r="B2618" s="28" t="s">
        <v>9136</v>
      </c>
      <c r="C2618" s="43" t="s">
        <v>9137</v>
      </c>
      <c r="D2618" s="30" t="s">
        <v>9138</v>
      </c>
      <c r="E2618" s="28" t="s">
        <v>144</v>
      </c>
      <c r="F2618" s="28" t="s">
        <v>29</v>
      </c>
      <c r="G2618" s="28" t="s">
        <v>30</v>
      </c>
      <c r="H2618" s="28"/>
      <c r="I2618" s="28" t="s">
        <v>30</v>
      </c>
      <c r="J2618" s="28">
        <v>207.0</v>
      </c>
      <c r="K2618" s="28"/>
      <c r="L2618" s="28" t="s">
        <v>9139</v>
      </c>
      <c r="M2618" s="28" t="s">
        <v>4166</v>
      </c>
      <c r="N2618" s="28">
        <v>1995.0</v>
      </c>
      <c r="O2618" s="60">
        <v>13.0</v>
      </c>
      <c r="P2618" s="28">
        <v>2.0</v>
      </c>
      <c r="Q2618" s="94">
        <v>1.0</v>
      </c>
      <c r="R2618" s="33"/>
      <c r="S2618" s="116"/>
      <c r="T2618" s="116"/>
      <c r="U2618" s="116"/>
      <c r="V2618" s="116"/>
      <c r="W2618" s="116"/>
      <c r="X2618" s="116"/>
      <c r="Y2618" s="3"/>
      <c r="Z2618" s="3"/>
      <c r="AA2618" s="3"/>
      <c r="AB2618" s="3"/>
      <c r="AC2618" s="3"/>
      <c r="AD2618" s="3"/>
      <c r="AE2618" s="3"/>
      <c r="AF2618" s="3"/>
      <c r="AG2618" s="3"/>
      <c r="AH2618" s="3"/>
      <c r="AI2618" s="3"/>
      <c r="AJ2618" s="3"/>
      <c r="AK2618" s="3"/>
      <c r="AL2618" s="3"/>
    </row>
    <row r="2619" ht="15.75" customHeight="1">
      <c r="A2619" s="27">
        <f t="shared" si="21"/>
        <v>1498</v>
      </c>
      <c r="B2619" s="28"/>
      <c r="C2619" s="43" t="s">
        <v>9140</v>
      </c>
      <c r="D2619" s="30" t="s">
        <v>9141</v>
      </c>
      <c r="E2619" s="28"/>
      <c r="F2619" s="28" t="s">
        <v>29</v>
      </c>
      <c r="G2619" s="28" t="s">
        <v>131</v>
      </c>
      <c r="H2619" s="28" t="s">
        <v>31</v>
      </c>
      <c r="I2619" s="28" t="s">
        <v>131</v>
      </c>
      <c r="J2619" s="28">
        <v>184.0</v>
      </c>
      <c r="K2619" s="28"/>
      <c r="L2619" s="28" t="s">
        <v>9142</v>
      </c>
      <c r="M2619" s="28" t="s">
        <v>9143</v>
      </c>
      <c r="N2619" s="28" t="s">
        <v>31</v>
      </c>
      <c r="O2619" s="60">
        <v>13.0</v>
      </c>
      <c r="P2619" s="28">
        <v>1.0</v>
      </c>
      <c r="Q2619" s="32">
        <v>1.0</v>
      </c>
      <c r="R2619" s="33"/>
      <c r="S2619" s="116"/>
      <c r="T2619" s="116"/>
      <c r="U2619" s="116"/>
      <c r="V2619" s="116"/>
      <c r="W2619" s="116"/>
      <c r="X2619" s="116"/>
      <c r="Y2619" s="3"/>
      <c r="Z2619" s="3"/>
      <c r="AA2619" s="3"/>
      <c r="AB2619" s="3"/>
      <c r="AC2619" s="3"/>
      <c r="AD2619" s="3"/>
      <c r="AE2619" s="3"/>
      <c r="AF2619" s="3"/>
      <c r="AG2619" s="3"/>
      <c r="AH2619" s="3"/>
      <c r="AI2619" s="3"/>
      <c r="AJ2619" s="3"/>
      <c r="AK2619" s="3"/>
      <c r="AL2619" s="3"/>
    </row>
    <row r="2620" ht="15.75" customHeight="1">
      <c r="A2620" s="27">
        <f t="shared" si="21"/>
        <v>1499</v>
      </c>
      <c r="B2620" s="28" t="s">
        <v>9144</v>
      </c>
      <c r="C2620" s="102" t="s">
        <v>9145</v>
      </c>
      <c r="D2620" s="30" t="s">
        <v>9146</v>
      </c>
      <c r="E2620" s="28" t="s">
        <v>144</v>
      </c>
      <c r="F2620" s="28" t="s">
        <v>29</v>
      </c>
      <c r="G2620" s="28" t="s">
        <v>30</v>
      </c>
      <c r="H2620" s="28" t="s">
        <v>31</v>
      </c>
      <c r="I2620" s="28" t="s">
        <v>30</v>
      </c>
      <c r="J2620" s="28">
        <v>2007.0</v>
      </c>
      <c r="K2620" s="28"/>
      <c r="L2620" s="28" t="s">
        <v>4253</v>
      </c>
      <c r="M2620" s="28" t="s">
        <v>6316</v>
      </c>
      <c r="N2620" s="28">
        <v>2007.0</v>
      </c>
      <c r="O2620" s="60">
        <v>13.0</v>
      </c>
      <c r="P2620" s="28">
        <v>1.0</v>
      </c>
      <c r="Q2620" s="32">
        <v>1.0</v>
      </c>
      <c r="R2620" s="33"/>
      <c r="S2620" s="116"/>
      <c r="T2620" s="116"/>
      <c r="U2620" s="116"/>
      <c r="V2620" s="116"/>
      <c r="W2620" s="116"/>
      <c r="X2620" s="116"/>
      <c r="Y2620" s="3"/>
      <c r="Z2620" s="3"/>
      <c r="AA2620" s="3"/>
      <c r="AB2620" s="3"/>
      <c r="AC2620" s="3"/>
      <c r="AD2620" s="3"/>
      <c r="AE2620" s="3"/>
      <c r="AF2620" s="3"/>
      <c r="AG2620" s="3"/>
      <c r="AH2620" s="3"/>
      <c r="AI2620" s="3"/>
      <c r="AJ2620" s="3"/>
      <c r="AK2620" s="3"/>
      <c r="AL2620" s="3"/>
    </row>
    <row r="2621" ht="15.75" customHeight="1">
      <c r="A2621" s="27">
        <f t="shared" si="21"/>
        <v>1500</v>
      </c>
      <c r="B2621" s="28" t="s">
        <v>31</v>
      </c>
      <c r="C2621" s="43" t="s">
        <v>9147</v>
      </c>
      <c r="D2621" s="30" t="s">
        <v>9148</v>
      </c>
      <c r="E2621" s="28"/>
      <c r="F2621" s="28" t="s">
        <v>29</v>
      </c>
      <c r="G2621" s="28" t="s">
        <v>131</v>
      </c>
      <c r="H2621" s="28"/>
      <c r="I2621" s="28" t="s">
        <v>38</v>
      </c>
      <c r="J2621" s="28">
        <v>239.0</v>
      </c>
      <c r="K2621" s="28"/>
      <c r="L2621" s="28" t="s">
        <v>9149</v>
      </c>
      <c r="M2621" s="28" t="s">
        <v>4617</v>
      </c>
      <c r="N2621" s="28">
        <v>1956.0</v>
      </c>
      <c r="O2621" s="60">
        <v>13.0</v>
      </c>
      <c r="P2621" s="28">
        <v>3.0</v>
      </c>
      <c r="Q2621" s="94">
        <v>3.0</v>
      </c>
      <c r="R2621" s="33"/>
      <c r="S2621" s="217"/>
      <c r="T2621" s="217"/>
      <c r="U2621" s="217"/>
      <c r="V2621" s="217"/>
      <c r="W2621" s="217"/>
      <c r="X2621" s="217"/>
      <c r="Y2621" s="218"/>
      <c r="Z2621" s="218"/>
      <c r="AA2621" s="218"/>
      <c r="AB2621" s="218"/>
      <c r="AC2621" s="218"/>
      <c r="AD2621" s="218"/>
      <c r="AE2621" s="218"/>
      <c r="AF2621" s="218"/>
      <c r="AG2621" s="218"/>
      <c r="AH2621" s="218"/>
      <c r="AI2621" s="218"/>
      <c r="AJ2621" s="218"/>
      <c r="AK2621" s="218"/>
      <c r="AL2621" s="218"/>
    </row>
    <row r="2622" ht="15.75" customHeight="1">
      <c r="A2622" s="27">
        <f t="shared" si="21"/>
        <v>1501</v>
      </c>
      <c r="B2622" s="28">
        <v>9.797318966E9</v>
      </c>
      <c r="C2622" s="43" t="s">
        <v>9150</v>
      </c>
      <c r="D2622" s="30" t="s">
        <v>9151</v>
      </c>
      <c r="E2622" s="28" t="s">
        <v>144</v>
      </c>
      <c r="F2622" s="28" t="s">
        <v>29</v>
      </c>
      <c r="G2622" s="28" t="s">
        <v>30</v>
      </c>
      <c r="H2622" s="28"/>
      <c r="I2622" s="28" t="s">
        <v>30</v>
      </c>
      <c r="J2622" s="28">
        <v>236.0</v>
      </c>
      <c r="K2622" s="28"/>
      <c r="L2622" s="28" t="s">
        <v>6735</v>
      </c>
      <c r="M2622" s="28" t="s">
        <v>4166</v>
      </c>
      <c r="N2622" s="28">
        <v>2006.0</v>
      </c>
      <c r="O2622" s="60">
        <v>13.0</v>
      </c>
      <c r="P2622" s="28">
        <v>1.0</v>
      </c>
      <c r="Q2622" s="94">
        <v>1.0</v>
      </c>
      <c r="R2622" s="33"/>
      <c r="S2622" s="40"/>
      <c r="T2622" s="40"/>
      <c r="U2622" s="40"/>
      <c r="V2622" s="40"/>
      <c r="W2622" s="40"/>
      <c r="X2622" s="40"/>
      <c r="Y2622" s="3"/>
      <c r="Z2622" s="3"/>
      <c r="AA2622" s="3"/>
      <c r="AB2622" s="3"/>
      <c r="AC2622" s="3"/>
      <c r="AD2622" s="3"/>
      <c r="AE2622" s="3"/>
      <c r="AF2622" s="3"/>
      <c r="AG2622" s="3"/>
      <c r="AH2622" s="3"/>
      <c r="AI2622" s="3"/>
      <c r="AJ2622" s="3"/>
      <c r="AK2622" s="3"/>
      <c r="AL2622" s="3"/>
    </row>
    <row r="2623" ht="15.75" customHeight="1">
      <c r="A2623" s="27">
        <f t="shared" si="21"/>
        <v>1502</v>
      </c>
      <c r="B2623" s="121" t="s">
        <v>9152</v>
      </c>
      <c r="C2623" s="121" t="s">
        <v>9153</v>
      </c>
      <c r="D2623" s="119" t="s">
        <v>9154</v>
      </c>
      <c r="E2623" s="121" t="s">
        <v>144</v>
      </c>
      <c r="F2623" s="121" t="s">
        <v>29</v>
      </c>
      <c r="G2623" s="121" t="s">
        <v>30</v>
      </c>
      <c r="H2623" s="83"/>
      <c r="I2623" s="121" t="s">
        <v>30</v>
      </c>
      <c r="J2623" s="121">
        <v>323.0</v>
      </c>
      <c r="K2623" s="83"/>
      <c r="L2623" s="121" t="s">
        <v>9155</v>
      </c>
      <c r="M2623" s="121" t="s">
        <v>4166</v>
      </c>
      <c r="N2623" s="121">
        <v>2013.0</v>
      </c>
      <c r="O2623" s="121">
        <v>13.0</v>
      </c>
      <c r="P2623" s="121">
        <v>1.0</v>
      </c>
      <c r="Q2623" s="121">
        <v>1.0</v>
      </c>
      <c r="R2623" s="84"/>
      <c r="S2623" s="40"/>
      <c r="T2623" s="40"/>
      <c r="U2623" s="40"/>
      <c r="V2623" s="40"/>
      <c r="W2623" s="40"/>
      <c r="X2623" s="40"/>
      <c r="Y2623" s="3"/>
      <c r="Z2623" s="3"/>
      <c r="AA2623" s="3"/>
      <c r="AB2623" s="3"/>
      <c r="AC2623" s="3"/>
      <c r="AD2623" s="3"/>
      <c r="AE2623" s="3"/>
      <c r="AF2623" s="3"/>
      <c r="AG2623" s="3"/>
      <c r="AH2623" s="3"/>
      <c r="AI2623" s="3"/>
      <c r="AJ2623" s="3"/>
      <c r="AK2623" s="3"/>
      <c r="AL2623" s="3"/>
    </row>
    <row r="2624" ht="15.75" customHeight="1">
      <c r="A2624" s="27">
        <f t="shared" si="21"/>
        <v>1503</v>
      </c>
      <c r="B2624" s="28" t="s">
        <v>9156</v>
      </c>
      <c r="C2624" s="43" t="s">
        <v>9157</v>
      </c>
      <c r="D2624" s="30" t="s">
        <v>9158</v>
      </c>
      <c r="E2624" s="28" t="s">
        <v>144</v>
      </c>
      <c r="F2624" s="28" t="s">
        <v>29</v>
      </c>
      <c r="G2624" s="28" t="s">
        <v>30</v>
      </c>
      <c r="H2624" s="28"/>
      <c r="I2624" s="28" t="s">
        <v>30</v>
      </c>
      <c r="J2624" s="28">
        <v>340.0</v>
      </c>
      <c r="K2624" s="28"/>
      <c r="L2624" s="28" t="s">
        <v>9159</v>
      </c>
      <c r="M2624" s="28" t="s">
        <v>4166</v>
      </c>
      <c r="N2624" s="28">
        <v>2011.0</v>
      </c>
      <c r="O2624" s="60">
        <v>13.0</v>
      </c>
      <c r="P2624" s="28">
        <v>1.0</v>
      </c>
      <c r="Q2624" s="94">
        <v>1.0</v>
      </c>
      <c r="R2624" s="33"/>
      <c r="S2624" s="185"/>
      <c r="T2624" s="185"/>
      <c r="U2624" s="185"/>
      <c r="V2624" s="185"/>
      <c r="W2624" s="185"/>
      <c r="X2624" s="185"/>
      <c r="Y2624" s="3"/>
      <c r="Z2624" s="3"/>
      <c r="AA2624" s="3"/>
      <c r="AB2624" s="3"/>
      <c r="AC2624" s="3"/>
      <c r="AD2624" s="3"/>
      <c r="AE2624" s="3"/>
      <c r="AF2624" s="3"/>
      <c r="AG2624" s="3"/>
      <c r="AH2624" s="3"/>
      <c r="AI2624" s="3"/>
      <c r="AJ2624" s="3"/>
      <c r="AK2624" s="3"/>
      <c r="AL2624" s="3"/>
    </row>
    <row r="2625" ht="15.75" customHeight="1">
      <c r="A2625" s="27">
        <f t="shared" si="21"/>
        <v>1504</v>
      </c>
      <c r="B2625" s="28" t="s">
        <v>31</v>
      </c>
      <c r="C2625" s="43" t="s">
        <v>9160</v>
      </c>
      <c r="D2625" s="30" t="s">
        <v>9161</v>
      </c>
      <c r="E2625" s="28"/>
      <c r="F2625" s="28" t="s">
        <v>29</v>
      </c>
      <c r="G2625" s="28" t="s">
        <v>30</v>
      </c>
      <c r="H2625" s="28"/>
      <c r="I2625" s="28" t="s">
        <v>30</v>
      </c>
      <c r="J2625" s="28">
        <v>31.0</v>
      </c>
      <c r="K2625" s="28"/>
      <c r="L2625" s="28" t="s">
        <v>9162</v>
      </c>
      <c r="M2625" s="28" t="s">
        <v>151</v>
      </c>
      <c r="N2625" s="28" t="s">
        <v>31</v>
      </c>
      <c r="O2625" s="60">
        <v>13.0</v>
      </c>
      <c r="P2625" s="28">
        <v>1.0</v>
      </c>
      <c r="Q2625" s="94">
        <v>1.0</v>
      </c>
      <c r="R2625" s="33"/>
      <c r="S2625" s="116"/>
      <c r="T2625" s="116"/>
      <c r="U2625" s="116"/>
      <c r="V2625" s="116"/>
      <c r="W2625" s="116"/>
      <c r="X2625" s="116"/>
      <c r="Y2625" s="45"/>
      <c r="Z2625" s="45"/>
      <c r="AA2625" s="45"/>
      <c r="AB2625" s="45"/>
      <c r="AC2625" s="45"/>
      <c r="AD2625" s="45"/>
      <c r="AE2625" s="45"/>
      <c r="AF2625" s="45"/>
      <c r="AG2625" s="45"/>
      <c r="AH2625" s="45"/>
      <c r="AI2625" s="45"/>
      <c r="AJ2625" s="45"/>
      <c r="AK2625" s="45"/>
      <c r="AL2625" s="45"/>
    </row>
    <row r="2626" ht="15.75" customHeight="1">
      <c r="A2626" s="27">
        <f t="shared" si="21"/>
        <v>1505</v>
      </c>
      <c r="B2626" s="33"/>
      <c r="C2626" s="132" t="s">
        <v>9163</v>
      </c>
      <c r="D2626" s="131" t="s">
        <v>9164</v>
      </c>
      <c r="E2626" s="33"/>
      <c r="F2626" s="132" t="s">
        <v>29</v>
      </c>
      <c r="G2626" s="132" t="s">
        <v>30</v>
      </c>
      <c r="H2626" s="33"/>
      <c r="I2626" s="132" t="s">
        <v>30</v>
      </c>
      <c r="J2626" s="132">
        <v>91.0</v>
      </c>
      <c r="K2626" s="33"/>
      <c r="L2626" s="132" t="s">
        <v>9165</v>
      </c>
      <c r="M2626" s="132" t="s">
        <v>3335</v>
      </c>
      <c r="N2626" s="132">
        <v>2016.0</v>
      </c>
      <c r="O2626" s="132">
        <v>13.0</v>
      </c>
      <c r="P2626" s="132">
        <v>1.0</v>
      </c>
      <c r="Q2626" s="132">
        <v>1.0</v>
      </c>
      <c r="R2626" s="84"/>
      <c r="S2626" s="38"/>
      <c r="T2626" s="38"/>
      <c r="U2626" s="38"/>
      <c r="V2626" s="38"/>
      <c r="W2626" s="38"/>
      <c r="X2626" s="38"/>
      <c r="Y2626" s="3"/>
      <c r="Z2626" s="3"/>
      <c r="AA2626" s="3"/>
      <c r="AB2626" s="3"/>
      <c r="AC2626" s="3"/>
      <c r="AD2626" s="3"/>
      <c r="AE2626" s="3"/>
      <c r="AF2626" s="3"/>
      <c r="AG2626" s="3"/>
      <c r="AH2626" s="3"/>
      <c r="AI2626" s="3"/>
      <c r="AJ2626" s="3"/>
      <c r="AK2626" s="3"/>
      <c r="AL2626" s="3"/>
    </row>
    <row r="2627" ht="15.75" customHeight="1">
      <c r="A2627" s="27">
        <f t="shared" si="21"/>
        <v>1506</v>
      </c>
      <c r="B2627" s="28" t="s">
        <v>9166</v>
      </c>
      <c r="C2627" s="29" t="s">
        <v>8450</v>
      </c>
      <c r="D2627" s="39" t="s">
        <v>9167</v>
      </c>
      <c r="E2627" s="28" t="s">
        <v>144</v>
      </c>
      <c r="F2627" s="28" t="s">
        <v>29</v>
      </c>
      <c r="G2627" s="28" t="s">
        <v>30</v>
      </c>
      <c r="H2627" s="28"/>
      <c r="I2627" s="28" t="s">
        <v>30</v>
      </c>
      <c r="J2627" s="28">
        <v>348.0</v>
      </c>
      <c r="K2627" s="28"/>
      <c r="L2627" s="28" t="s">
        <v>8452</v>
      </c>
      <c r="M2627" s="28" t="s">
        <v>169</v>
      </c>
      <c r="N2627" s="28">
        <v>2010.0</v>
      </c>
      <c r="O2627" s="62">
        <v>12.0</v>
      </c>
      <c r="P2627" s="28">
        <v>1.0</v>
      </c>
      <c r="Q2627" s="94">
        <v>1.0</v>
      </c>
      <c r="R2627" s="33"/>
      <c r="S2627" s="34"/>
      <c r="T2627" s="34"/>
      <c r="U2627" s="34"/>
      <c r="V2627" s="34"/>
      <c r="W2627" s="34"/>
      <c r="X2627" s="34"/>
      <c r="Y2627" s="45"/>
      <c r="Z2627" s="45"/>
      <c r="AA2627" s="45"/>
      <c r="AB2627" s="45"/>
      <c r="AC2627" s="45"/>
      <c r="AD2627" s="45"/>
      <c r="AE2627" s="45"/>
      <c r="AF2627" s="45"/>
      <c r="AG2627" s="45"/>
      <c r="AH2627" s="45"/>
      <c r="AI2627" s="45"/>
      <c r="AJ2627" s="45"/>
      <c r="AK2627" s="45"/>
      <c r="AL2627" s="45"/>
    </row>
    <row r="2628" ht="15.75" customHeight="1">
      <c r="A2628" s="27">
        <f t="shared" si="21"/>
        <v>1507</v>
      </c>
      <c r="B2628" s="121" t="s">
        <v>9168</v>
      </c>
      <c r="C2628" s="121" t="s">
        <v>9169</v>
      </c>
      <c r="D2628" s="119" t="s">
        <v>9170</v>
      </c>
      <c r="E2628" s="121" t="s">
        <v>144</v>
      </c>
      <c r="F2628" s="121" t="s">
        <v>29</v>
      </c>
      <c r="G2628" s="121" t="s">
        <v>37</v>
      </c>
      <c r="H2628" s="83"/>
      <c r="I2628" s="121" t="s">
        <v>38</v>
      </c>
      <c r="J2628" s="121">
        <v>460.0</v>
      </c>
      <c r="K2628" s="83"/>
      <c r="L2628" s="121" t="s">
        <v>4045</v>
      </c>
      <c r="M2628" s="121" t="s">
        <v>9171</v>
      </c>
      <c r="N2628" s="121">
        <v>1994.0</v>
      </c>
      <c r="O2628" s="121">
        <v>13.0</v>
      </c>
      <c r="P2628" s="121">
        <v>1.0</v>
      </c>
      <c r="Q2628" s="121">
        <v>1.0</v>
      </c>
      <c r="R2628" s="84"/>
      <c r="S2628" s="34"/>
      <c r="T2628" s="34"/>
      <c r="U2628" s="34"/>
      <c r="V2628" s="34"/>
      <c r="W2628" s="34"/>
      <c r="X2628" s="34"/>
      <c r="Y2628" s="45"/>
      <c r="Z2628" s="45"/>
      <c r="AA2628" s="45"/>
      <c r="AB2628" s="45"/>
      <c r="AC2628" s="45"/>
      <c r="AD2628" s="45"/>
      <c r="AE2628" s="45"/>
      <c r="AF2628" s="45"/>
      <c r="AG2628" s="45"/>
      <c r="AH2628" s="45"/>
      <c r="AI2628" s="45"/>
      <c r="AJ2628" s="45"/>
      <c r="AK2628" s="45"/>
      <c r="AL2628" s="45"/>
    </row>
    <row r="2629" ht="15.75" customHeight="1">
      <c r="A2629" s="27">
        <f t="shared" si="21"/>
        <v>1508</v>
      </c>
      <c r="B2629" s="83"/>
      <c r="C2629" s="121" t="s">
        <v>9172</v>
      </c>
      <c r="D2629" s="119" t="s">
        <v>9173</v>
      </c>
      <c r="E2629" s="83"/>
      <c r="F2629" s="121" t="s">
        <v>29</v>
      </c>
      <c r="G2629" s="121" t="s">
        <v>30</v>
      </c>
      <c r="H2629" s="83"/>
      <c r="I2629" s="121" t="s">
        <v>30</v>
      </c>
      <c r="J2629" s="121">
        <v>48.0</v>
      </c>
      <c r="K2629" s="83"/>
      <c r="L2629" s="121" t="s">
        <v>3055</v>
      </c>
      <c r="M2629" s="121" t="s">
        <v>9174</v>
      </c>
      <c r="N2629" s="83"/>
      <c r="O2629" s="121">
        <v>13.0</v>
      </c>
      <c r="P2629" s="121">
        <v>1.0</v>
      </c>
      <c r="Q2629" s="121">
        <v>1.0</v>
      </c>
      <c r="R2629" s="84"/>
      <c r="S2629" s="40"/>
      <c r="T2629" s="40"/>
      <c r="U2629" s="40"/>
      <c r="V2629" s="40"/>
      <c r="W2629" s="40"/>
      <c r="X2629" s="40"/>
      <c r="Y2629" s="3"/>
      <c r="Z2629" s="3"/>
      <c r="AA2629" s="3"/>
      <c r="AB2629" s="3"/>
      <c r="AC2629" s="3"/>
      <c r="AD2629" s="3"/>
      <c r="AE2629" s="3"/>
      <c r="AF2629" s="3"/>
      <c r="AG2629" s="3"/>
      <c r="AH2629" s="3"/>
      <c r="AI2629" s="3"/>
      <c r="AJ2629" s="3"/>
      <c r="AK2629" s="3"/>
      <c r="AL2629" s="3"/>
    </row>
    <row r="2630" ht="15.75" customHeight="1">
      <c r="A2630" s="27">
        <f t="shared" si="21"/>
        <v>1509</v>
      </c>
      <c r="B2630" s="28" t="s">
        <v>31</v>
      </c>
      <c r="C2630" s="43" t="s">
        <v>9175</v>
      </c>
      <c r="D2630" s="30" t="s">
        <v>9176</v>
      </c>
      <c r="E2630" s="28" t="s">
        <v>144</v>
      </c>
      <c r="F2630" s="28" t="s">
        <v>29</v>
      </c>
      <c r="G2630" s="28" t="s">
        <v>30</v>
      </c>
      <c r="H2630" s="28"/>
      <c r="I2630" s="28" t="s">
        <v>30</v>
      </c>
      <c r="J2630" s="28">
        <v>94.0</v>
      </c>
      <c r="K2630" s="28"/>
      <c r="L2630" s="28" t="s">
        <v>3654</v>
      </c>
      <c r="M2630" s="28" t="s">
        <v>9177</v>
      </c>
      <c r="N2630" s="28" t="s">
        <v>31</v>
      </c>
      <c r="O2630" s="60">
        <v>13.0</v>
      </c>
      <c r="P2630" s="28">
        <v>1.0</v>
      </c>
      <c r="Q2630" s="32">
        <v>1.0</v>
      </c>
      <c r="R2630" s="33"/>
      <c r="S2630" s="34"/>
      <c r="T2630" s="34"/>
      <c r="U2630" s="34"/>
      <c r="V2630" s="34"/>
      <c r="W2630" s="34"/>
      <c r="X2630" s="34"/>
      <c r="Y2630" s="3"/>
      <c r="Z2630" s="3"/>
      <c r="AA2630" s="3"/>
      <c r="AB2630" s="3"/>
      <c r="AC2630" s="3"/>
      <c r="AD2630" s="3"/>
      <c r="AE2630" s="3"/>
      <c r="AF2630" s="3"/>
      <c r="AG2630" s="3"/>
      <c r="AH2630" s="3"/>
      <c r="AI2630" s="3"/>
      <c r="AJ2630" s="3"/>
      <c r="AK2630" s="3"/>
      <c r="AL2630" s="3"/>
    </row>
    <row r="2631" ht="15.75" customHeight="1">
      <c r="A2631" s="27">
        <f t="shared" si="21"/>
        <v>1510</v>
      </c>
      <c r="B2631" s="28" t="s">
        <v>31</v>
      </c>
      <c r="C2631" s="102" t="s">
        <v>571</v>
      </c>
      <c r="D2631" s="120" t="s">
        <v>9178</v>
      </c>
      <c r="E2631" s="28" t="s">
        <v>28</v>
      </c>
      <c r="F2631" s="28" t="s">
        <v>29</v>
      </c>
      <c r="G2631" s="28" t="s">
        <v>37</v>
      </c>
      <c r="H2631" s="28"/>
      <c r="I2631" s="28" t="s">
        <v>38</v>
      </c>
      <c r="J2631" s="28">
        <v>238.0</v>
      </c>
      <c r="K2631" s="28"/>
      <c r="L2631" s="60" t="s">
        <v>9179</v>
      </c>
      <c r="M2631" s="28" t="s">
        <v>230</v>
      </c>
      <c r="N2631" s="28">
        <v>1968.0</v>
      </c>
      <c r="O2631" s="60">
        <v>13.0</v>
      </c>
      <c r="P2631" s="28">
        <v>1.0</v>
      </c>
      <c r="Q2631" s="32">
        <v>1.0</v>
      </c>
      <c r="R2631" s="33"/>
      <c r="S2631" s="34"/>
      <c r="T2631" s="34"/>
      <c r="U2631" s="34"/>
      <c r="V2631" s="34"/>
      <c r="W2631" s="34"/>
      <c r="X2631" s="34"/>
      <c r="Y2631" s="45"/>
      <c r="Z2631" s="45"/>
      <c r="AA2631" s="45"/>
      <c r="AB2631" s="45"/>
      <c r="AC2631" s="45"/>
      <c r="AD2631" s="45"/>
      <c r="AE2631" s="45"/>
      <c r="AF2631" s="45"/>
      <c r="AG2631" s="45"/>
      <c r="AH2631" s="45"/>
      <c r="AI2631" s="45"/>
      <c r="AJ2631" s="45"/>
      <c r="AK2631" s="45"/>
      <c r="AL2631" s="45"/>
    </row>
    <row r="2632" ht="15.75" customHeight="1">
      <c r="A2632" s="27">
        <f t="shared" si="21"/>
        <v>1511</v>
      </c>
      <c r="B2632" s="28" t="s">
        <v>9180</v>
      </c>
      <c r="C2632" s="47" t="s">
        <v>9181</v>
      </c>
      <c r="D2632" s="30" t="s">
        <v>9182</v>
      </c>
      <c r="E2632" s="28" t="s">
        <v>144</v>
      </c>
      <c r="F2632" s="28" t="s">
        <v>29</v>
      </c>
      <c r="G2632" s="28" t="s">
        <v>30</v>
      </c>
      <c r="H2632" s="28" t="s">
        <v>31</v>
      </c>
      <c r="I2632" s="28" t="s">
        <v>30</v>
      </c>
      <c r="J2632" s="28">
        <f>10+470</f>
        <v>480</v>
      </c>
      <c r="K2632" s="28" t="s">
        <v>31</v>
      </c>
      <c r="L2632" s="28" t="s">
        <v>145</v>
      </c>
      <c r="M2632" s="28" t="s">
        <v>151</v>
      </c>
      <c r="N2632" s="28">
        <v>2013.0</v>
      </c>
      <c r="O2632" s="60">
        <v>13.0</v>
      </c>
      <c r="P2632" s="28">
        <v>1.0</v>
      </c>
      <c r="Q2632" s="94">
        <v>1.0</v>
      </c>
      <c r="R2632" s="33"/>
      <c r="S2632" s="40"/>
      <c r="T2632" s="40"/>
      <c r="U2632" s="40"/>
      <c r="V2632" s="40"/>
      <c r="W2632" s="40"/>
      <c r="X2632" s="40"/>
      <c r="Y2632" s="3"/>
      <c r="Z2632" s="3"/>
      <c r="AA2632" s="3"/>
      <c r="AB2632" s="3"/>
      <c r="AC2632" s="3"/>
      <c r="AD2632" s="3"/>
      <c r="AE2632" s="3"/>
      <c r="AF2632" s="3"/>
      <c r="AG2632" s="3"/>
      <c r="AH2632" s="3"/>
      <c r="AI2632" s="3"/>
      <c r="AJ2632" s="3"/>
      <c r="AK2632" s="3"/>
      <c r="AL2632" s="3"/>
    </row>
    <row r="2633" ht="15.75" customHeight="1">
      <c r="A2633" s="27">
        <f t="shared" si="21"/>
        <v>1512</v>
      </c>
      <c r="B2633" s="28" t="s">
        <v>9183</v>
      </c>
      <c r="C2633" s="129" t="s">
        <v>9184</v>
      </c>
      <c r="D2633" s="30" t="s">
        <v>9185</v>
      </c>
      <c r="E2633" s="28" t="s">
        <v>144</v>
      </c>
      <c r="F2633" s="28" t="s">
        <v>29</v>
      </c>
      <c r="G2633" s="28" t="s">
        <v>30</v>
      </c>
      <c r="H2633" s="28" t="s">
        <v>31</v>
      </c>
      <c r="I2633" s="28" t="s">
        <v>30</v>
      </c>
      <c r="J2633" s="28">
        <v>412.0</v>
      </c>
      <c r="K2633" s="28" t="s">
        <v>31</v>
      </c>
      <c r="L2633" s="60" t="s">
        <v>9186</v>
      </c>
      <c r="M2633" s="28" t="s">
        <v>9187</v>
      </c>
      <c r="N2633" s="28">
        <v>2015.0</v>
      </c>
      <c r="O2633" s="60">
        <v>13.0</v>
      </c>
      <c r="P2633" s="28">
        <v>1.0</v>
      </c>
      <c r="Q2633" s="94">
        <v>1.0</v>
      </c>
      <c r="R2633" s="33"/>
      <c r="S2633" s="34"/>
      <c r="T2633" s="34"/>
      <c r="U2633" s="34"/>
      <c r="V2633" s="34"/>
      <c r="W2633" s="34"/>
      <c r="X2633" s="34"/>
      <c r="Y2633" s="3"/>
      <c r="Z2633" s="3"/>
      <c r="AA2633" s="3"/>
      <c r="AB2633" s="3"/>
      <c r="AC2633" s="3"/>
      <c r="AD2633" s="3"/>
      <c r="AE2633" s="3"/>
      <c r="AF2633" s="3"/>
      <c r="AG2633" s="3"/>
      <c r="AH2633" s="3"/>
      <c r="AI2633" s="3"/>
      <c r="AJ2633" s="3"/>
      <c r="AK2633" s="3"/>
      <c r="AL2633" s="3"/>
    </row>
    <row r="2634" ht="15.75" customHeight="1">
      <c r="A2634" s="27">
        <f t="shared" si="21"/>
        <v>1513</v>
      </c>
      <c r="B2634" s="28" t="s">
        <v>9188</v>
      </c>
      <c r="C2634" s="29" t="s">
        <v>9189</v>
      </c>
      <c r="D2634" s="30" t="s">
        <v>9190</v>
      </c>
      <c r="E2634" s="28" t="s">
        <v>144</v>
      </c>
      <c r="F2634" s="28" t="s">
        <v>29</v>
      </c>
      <c r="G2634" s="28" t="s">
        <v>37</v>
      </c>
      <c r="H2634" s="28" t="s">
        <v>31</v>
      </c>
      <c r="I2634" s="28" t="s">
        <v>38</v>
      </c>
      <c r="J2634" s="28">
        <f>436+17</f>
        <v>453</v>
      </c>
      <c r="K2634" s="28"/>
      <c r="L2634" s="28" t="s">
        <v>9191</v>
      </c>
      <c r="M2634" s="28" t="s">
        <v>9192</v>
      </c>
      <c r="N2634" s="28">
        <v>2002.0</v>
      </c>
      <c r="O2634" s="60">
        <v>13.0</v>
      </c>
      <c r="P2634" s="28">
        <v>1.0</v>
      </c>
      <c r="Q2634" s="94">
        <v>1.0</v>
      </c>
      <c r="R2634" s="33"/>
      <c r="S2634" s="34"/>
      <c r="T2634" s="34"/>
      <c r="U2634" s="34"/>
      <c r="V2634" s="34"/>
      <c r="W2634" s="34"/>
      <c r="X2634" s="34"/>
      <c r="Y2634" s="3"/>
      <c r="Z2634" s="3"/>
      <c r="AA2634" s="3"/>
      <c r="AB2634" s="3"/>
      <c r="AC2634" s="3"/>
      <c r="AD2634" s="3"/>
      <c r="AE2634" s="3"/>
      <c r="AF2634" s="3"/>
      <c r="AG2634" s="3"/>
      <c r="AH2634" s="3"/>
      <c r="AI2634" s="3"/>
      <c r="AJ2634" s="3"/>
      <c r="AK2634" s="3"/>
      <c r="AL2634" s="3"/>
    </row>
    <row r="2635" ht="15.75" customHeight="1">
      <c r="A2635" s="27">
        <f t="shared" si="21"/>
        <v>1514</v>
      </c>
      <c r="B2635" s="28" t="s">
        <v>9193</v>
      </c>
      <c r="C2635" s="29" t="s">
        <v>9194</v>
      </c>
      <c r="D2635" s="30" t="s">
        <v>9195</v>
      </c>
      <c r="E2635" s="28" t="s">
        <v>144</v>
      </c>
      <c r="F2635" s="28" t="s">
        <v>29</v>
      </c>
      <c r="G2635" s="28" t="s">
        <v>30</v>
      </c>
      <c r="H2635" s="28"/>
      <c r="I2635" s="28" t="s">
        <v>30</v>
      </c>
      <c r="J2635" s="28">
        <f>176+10</f>
        <v>186</v>
      </c>
      <c r="K2635" s="28"/>
      <c r="L2635" s="28" t="s">
        <v>8415</v>
      </c>
      <c r="M2635" s="28" t="s">
        <v>9196</v>
      </c>
      <c r="N2635" s="28">
        <v>2014.0</v>
      </c>
      <c r="O2635" s="28">
        <v>13.0</v>
      </c>
      <c r="P2635" s="28">
        <v>1.0</v>
      </c>
      <c r="Q2635" s="94">
        <v>1.0</v>
      </c>
      <c r="R2635" s="33"/>
      <c r="S2635" s="34"/>
      <c r="T2635" s="34"/>
      <c r="U2635" s="34"/>
      <c r="V2635" s="34"/>
      <c r="W2635" s="34"/>
      <c r="X2635" s="34"/>
      <c r="Y2635" s="3"/>
      <c r="Z2635" s="3"/>
      <c r="AA2635" s="3"/>
      <c r="AB2635" s="3"/>
      <c r="AC2635" s="3"/>
      <c r="AD2635" s="3"/>
      <c r="AE2635" s="3"/>
      <c r="AF2635" s="3"/>
      <c r="AG2635" s="3"/>
      <c r="AH2635" s="3"/>
      <c r="AI2635" s="3"/>
      <c r="AJ2635" s="3"/>
      <c r="AK2635" s="3"/>
      <c r="AL2635" s="3"/>
    </row>
    <row r="2636" ht="15.75" customHeight="1">
      <c r="A2636" s="27">
        <f t="shared" si="21"/>
        <v>1515</v>
      </c>
      <c r="B2636" s="28" t="s">
        <v>9197</v>
      </c>
      <c r="C2636" s="29" t="s">
        <v>9198</v>
      </c>
      <c r="D2636" s="30" t="s">
        <v>9199</v>
      </c>
      <c r="E2636" s="28" t="s">
        <v>144</v>
      </c>
      <c r="F2636" s="28" t="s">
        <v>29</v>
      </c>
      <c r="G2636" s="28" t="s">
        <v>30</v>
      </c>
      <c r="H2636" s="28"/>
      <c r="I2636" s="28" t="s">
        <v>30</v>
      </c>
      <c r="J2636" s="28">
        <f>213+8</f>
        <v>221</v>
      </c>
      <c r="K2636" s="28"/>
      <c r="L2636" s="28" t="s">
        <v>9200</v>
      </c>
      <c r="M2636" s="28" t="s">
        <v>9201</v>
      </c>
      <c r="N2636" s="28">
        <v>2015.0</v>
      </c>
      <c r="O2636" s="28">
        <v>13.0</v>
      </c>
      <c r="P2636" s="28">
        <v>1.0</v>
      </c>
      <c r="Q2636" s="94">
        <v>1.0</v>
      </c>
      <c r="R2636" s="33"/>
      <c r="S2636" s="34"/>
      <c r="T2636" s="34"/>
      <c r="U2636" s="34"/>
      <c r="V2636" s="34"/>
      <c r="W2636" s="34"/>
      <c r="X2636" s="34"/>
      <c r="Y2636" s="45"/>
      <c r="Z2636" s="45"/>
      <c r="AA2636" s="45"/>
      <c r="AB2636" s="45"/>
      <c r="AC2636" s="45"/>
      <c r="AD2636" s="45"/>
      <c r="AE2636" s="45"/>
      <c r="AF2636" s="45"/>
      <c r="AG2636" s="45"/>
      <c r="AH2636" s="45"/>
      <c r="AI2636" s="45"/>
      <c r="AJ2636" s="45"/>
      <c r="AK2636" s="45"/>
      <c r="AL2636" s="45"/>
    </row>
    <row r="2637" ht="15.75" customHeight="1">
      <c r="A2637" s="27">
        <f t="shared" si="21"/>
        <v>1516</v>
      </c>
      <c r="B2637" s="28" t="s">
        <v>31</v>
      </c>
      <c r="C2637" s="29" t="s">
        <v>9202</v>
      </c>
      <c r="D2637" s="30" t="s">
        <v>9203</v>
      </c>
      <c r="E2637" s="28" t="s">
        <v>144</v>
      </c>
      <c r="F2637" s="28" t="s">
        <v>29</v>
      </c>
      <c r="G2637" s="28" t="s">
        <v>37</v>
      </c>
      <c r="H2637" s="28"/>
      <c r="I2637" s="28" t="s">
        <v>38</v>
      </c>
      <c r="J2637" s="28">
        <f>352+33</f>
        <v>385</v>
      </c>
      <c r="K2637" s="28"/>
      <c r="L2637" s="28" t="s">
        <v>9204</v>
      </c>
      <c r="M2637" s="28" t="s">
        <v>9205</v>
      </c>
      <c r="N2637" s="28">
        <v>1963.0</v>
      </c>
      <c r="O2637" s="28">
        <v>13.0</v>
      </c>
      <c r="P2637" s="28">
        <v>1.0</v>
      </c>
      <c r="Q2637" s="94">
        <v>1.0</v>
      </c>
      <c r="R2637" s="33"/>
      <c r="S2637" s="34"/>
      <c r="T2637" s="34"/>
      <c r="U2637" s="34"/>
      <c r="V2637" s="34"/>
      <c r="W2637" s="34"/>
      <c r="X2637" s="34"/>
      <c r="Y2637" s="45"/>
      <c r="Z2637" s="45"/>
      <c r="AA2637" s="45"/>
      <c r="AB2637" s="45"/>
      <c r="AC2637" s="45"/>
      <c r="AD2637" s="45"/>
      <c r="AE2637" s="45"/>
      <c r="AF2637" s="45"/>
      <c r="AG2637" s="45"/>
      <c r="AH2637" s="45"/>
      <c r="AI2637" s="45"/>
      <c r="AJ2637" s="45"/>
      <c r="AK2637" s="45"/>
      <c r="AL2637" s="45"/>
    </row>
    <row r="2638" ht="15.75" customHeight="1">
      <c r="A2638" s="27">
        <f t="shared" si="21"/>
        <v>1517</v>
      </c>
      <c r="B2638" s="28" t="s">
        <v>9206</v>
      </c>
      <c r="C2638" s="29" t="s">
        <v>9207</v>
      </c>
      <c r="D2638" s="30" t="s">
        <v>9208</v>
      </c>
      <c r="E2638" s="28" t="s">
        <v>144</v>
      </c>
      <c r="F2638" s="28" t="s">
        <v>29</v>
      </c>
      <c r="G2638" s="28" t="s">
        <v>9209</v>
      </c>
      <c r="H2638" s="28"/>
      <c r="I2638" s="28" t="s">
        <v>9209</v>
      </c>
      <c r="J2638" s="28">
        <f>156</f>
        <v>156</v>
      </c>
      <c r="K2638" s="28"/>
      <c r="L2638" s="28" t="s">
        <v>9210</v>
      </c>
      <c r="M2638" s="28" t="s">
        <v>9211</v>
      </c>
      <c r="N2638" s="28">
        <v>1978.0</v>
      </c>
      <c r="O2638" s="28">
        <v>13.0</v>
      </c>
      <c r="P2638" s="28">
        <v>1.0</v>
      </c>
      <c r="Q2638" s="94">
        <v>1.0</v>
      </c>
      <c r="R2638" s="33"/>
      <c r="S2638" s="34"/>
      <c r="T2638" s="34"/>
      <c r="U2638" s="34"/>
      <c r="V2638" s="34"/>
      <c r="W2638" s="34"/>
      <c r="X2638" s="34"/>
      <c r="Y2638" s="3"/>
      <c r="Z2638" s="3"/>
      <c r="AA2638" s="3"/>
      <c r="AB2638" s="3"/>
      <c r="AC2638" s="3"/>
      <c r="AD2638" s="3"/>
      <c r="AE2638" s="3"/>
      <c r="AF2638" s="3"/>
      <c r="AG2638" s="3"/>
      <c r="AH2638" s="3"/>
      <c r="AI2638" s="3"/>
      <c r="AJ2638" s="3"/>
      <c r="AK2638" s="3"/>
      <c r="AL2638" s="3"/>
    </row>
    <row r="2639" ht="15.75" customHeight="1">
      <c r="A2639" s="27">
        <f t="shared" si="21"/>
        <v>1518</v>
      </c>
      <c r="B2639" s="28"/>
      <c r="C2639" s="29" t="s">
        <v>9212</v>
      </c>
      <c r="D2639" s="30" t="s">
        <v>9213</v>
      </c>
      <c r="E2639" s="28" t="s">
        <v>144</v>
      </c>
      <c r="F2639" s="28" t="s">
        <v>29</v>
      </c>
      <c r="G2639" s="28" t="s">
        <v>37</v>
      </c>
      <c r="H2639" s="28"/>
      <c r="I2639" s="28" t="s">
        <v>38</v>
      </c>
      <c r="J2639" s="28">
        <f>160</f>
        <v>160</v>
      </c>
      <c r="K2639" s="28"/>
      <c r="L2639" s="28" t="s">
        <v>9214</v>
      </c>
      <c r="M2639" s="28" t="s">
        <v>9215</v>
      </c>
      <c r="N2639" s="28">
        <v>1947.0</v>
      </c>
      <c r="O2639" s="28">
        <v>13.0</v>
      </c>
      <c r="P2639" s="28">
        <v>1.0</v>
      </c>
      <c r="Q2639" s="94">
        <v>1.0</v>
      </c>
      <c r="R2639" s="33"/>
      <c r="S2639" s="185"/>
      <c r="T2639" s="185"/>
      <c r="U2639" s="185"/>
      <c r="V2639" s="185"/>
      <c r="W2639" s="185"/>
      <c r="X2639" s="185"/>
      <c r="Y2639" s="45"/>
      <c r="Z2639" s="45"/>
      <c r="AA2639" s="45"/>
      <c r="AB2639" s="45"/>
      <c r="AC2639" s="45"/>
      <c r="AD2639" s="45"/>
      <c r="AE2639" s="45"/>
      <c r="AF2639" s="45"/>
      <c r="AG2639" s="45"/>
      <c r="AH2639" s="45"/>
      <c r="AI2639" s="45"/>
      <c r="AJ2639" s="45"/>
      <c r="AK2639" s="45"/>
      <c r="AL2639" s="45"/>
    </row>
    <row r="2640" ht="15.75" customHeight="1">
      <c r="A2640" s="27">
        <f t="shared" si="21"/>
        <v>1519</v>
      </c>
      <c r="B2640" s="28" t="s">
        <v>9216</v>
      </c>
      <c r="C2640" s="29" t="s">
        <v>9217</v>
      </c>
      <c r="D2640" s="30" t="s">
        <v>9218</v>
      </c>
      <c r="E2640" s="28" t="s">
        <v>144</v>
      </c>
      <c r="F2640" s="28" t="s">
        <v>29</v>
      </c>
      <c r="G2640" s="28" t="s">
        <v>30</v>
      </c>
      <c r="H2640" s="28"/>
      <c r="I2640" s="28" t="s">
        <v>30</v>
      </c>
      <c r="J2640" s="28">
        <f>353+12</f>
        <v>365</v>
      </c>
      <c r="K2640" s="28"/>
      <c r="L2640" s="28" t="s">
        <v>9219</v>
      </c>
      <c r="M2640" s="28" t="s">
        <v>151</v>
      </c>
      <c r="N2640" s="28">
        <v>2014.0</v>
      </c>
      <c r="O2640" s="28">
        <v>13.0</v>
      </c>
      <c r="P2640" s="28">
        <v>1.0</v>
      </c>
      <c r="Q2640" s="94">
        <v>1.0</v>
      </c>
      <c r="R2640" s="33"/>
      <c r="S2640" s="34"/>
      <c r="T2640" s="34"/>
      <c r="U2640" s="34"/>
      <c r="V2640" s="34"/>
      <c r="W2640" s="34"/>
      <c r="X2640" s="34"/>
      <c r="Y2640" s="3"/>
      <c r="Z2640" s="3"/>
      <c r="AA2640" s="3"/>
      <c r="AB2640" s="3"/>
      <c r="AC2640" s="3"/>
      <c r="AD2640" s="3"/>
      <c r="AE2640" s="3"/>
      <c r="AF2640" s="3"/>
      <c r="AG2640" s="3"/>
      <c r="AH2640" s="3"/>
      <c r="AI2640" s="3"/>
      <c r="AJ2640" s="3"/>
      <c r="AK2640" s="3"/>
      <c r="AL2640" s="3"/>
    </row>
    <row r="2641" ht="15.75" customHeight="1">
      <c r="A2641" s="27">
        <f t="shared" si="21"/>
        <v>1520</v>
      </c>
      <c r="B2641" s="28" t="s">
        <v>9220</v>
      </c>
      <c r="C2641" s="29" t="s">
        <v>9194</v>
      </c>
      <c r="D2641" s="30" t="s">
        <v>9221</v>
      </c>
      <c r="E2641" s="28" t="s">
        <v>144</v>
      </c>
      <c r="F2641" s="28" t="s">
        <v>29</v>
      </c>
      <c r="G2641" s="28" t="s">
        <v>30</v>
      </c>
      <c r="H2641" s="28"/>
      <c r="I2641" s="28" t="s">
        <v>30</v>
      </c>
      <c r="J2641" s="28">
        <v>126.0</v>
      </c>
      <c r="K2641" s="28"/>
      <c r="L2641" s="28" t="s">
        <v>8415</v>
      </c>
      <c r="M2641" s="28" t="s">
        <v>9222</v>
      </c>
      <c r="N2641" s="28">
        <v>2017.0</v>
      </c>
      <c r="O2641" s="28">
        <v>13.0</v>
      </c>
      <c r="P2641" s="28">
        <v>1.0</v>
      </c>
      <c r="Q2641" s="94">
        <v>1.0</v>
      </c>
      <c r="R2641" s="33"/>
      <c r="S2641" s="34"/>
      <c r="T2641" s="34"/>
      <c r="U2641" s="34"/>
      <c r="V2641" s="34"/>
      <c r="W2641" s="34"/>
      <c r="X2641" s="34"/>
      <c r="Y2641" s="45"/>
      <c r="Z2641" s="45"/>
      <c r="AA2641" s="45"/>
      <c r="AB2641" s="45"/>
      <c r="AC2641" s="45"/>
      <c r="AD2641" s="45"/>
      <c r="AE2641" s="45"/>
      <c r="AF2641" s="45"/>
      <c r="AG2641" s="45"/>
      <c r="AH2641" s="45"/>
      <c r="AI2641" s="45"/>
      <c r="AJ2641" s="45"/>
      <c r="AK2641" s="45"/>
      <c r="AL2641" s="45"/>
    </row>
    <row r="2642" ht="15.75" customHeight="1">
      <c r="A2642" s="27">
        <f t="shared" si="21"/>
        <v>1521</v>
      </c>
      <c r="B2642" s="28" t="s">
        <v>9223</v>
      </c>
      <c r="C2642" s="47" t="s">
        <v>9224</v>
      </c>
      <c r="D2642" s="30" t="s">
        <v>9225</v>
      </c>
      <c r="E2642" s="28" t="s">
        <v>28</v>
      </c>
      <c r="F2642" s="28" t="s">
        <v>29</v>
      </c>
      <c r="G2642" s="28" t="s">
        <v>30</v>
      </c>
      <c r="H2642" s="28" t="s">
        <v>31</v>
      </c>
      <c r="I2642" s="28" t="s">
        <v>30</v>
      </c>
      <c r="J2642" s="28">
        <f>289+5</f>
        <v>294</v>
      </c>
      <c r="K2642" s="28" t="s">
        <v>31</v>
      </c>
      <c r="L2642" s="28" t="s">
        <v>912</v>
      </c>
      <c r="M2642" s="28" t="s">
        <v>3240</v>
      </c>
      <c r="N2642" s="28">
        <v>2013.0</v>
      </c>
      <c r="O2642" s="62" t="s">
        <v>205</v>
      </c>
      <c r="P2642" s="28">
        <v>1.0</v>
      </c>
      <c r="Q2642" s="94">
        <v>1.0</v>
      </c>
      <c r="R2642" s="33"/>
      <c r="S2642" s="34"/>
      <c r="T2642" s="34"/>
      <c r="U2642" s="34"/>
      <c r="V2642" s="34"/>
      <c r="W2642" s="34"/>
      <c r="X2642" s="34"/>
      <c r="Y2642" s="45"/>
      <c r="Z2642" s="45"/>
      <c r="AA2642" s="45"/>
      <c r="AB2642" s="45"/>
      <c r="AC2642" s="45"/>
      <c r="AD2642" s="45"/>
      <c r="AE2642" s="45"/>
      <c r="AF2642" s="45"/>
      <c r="AG2642" s="45"/>
      <c r="AH2642" s="45"/>
      <c r="AI2642" s="45"/>
      <c r="AJ2642" s="45"/>
      <c r="AK2642" s="45"/>
      <c r="AL2642" s="45"/>
    </row>
    <row r="2643" ht="15.75" customHeight="1">
      <c r="A2643" s="27">
        <f t="shared" si="21"/>
        <v>1522</v>
      </c>
      <c r="B2643" s="28" t="s">
        <v>9226</v>
      </c>
      <c r="C2643" s="29" t="s">
        <v>9227</v>
      </c>
      <c r="D2643" s="30" t="s">
        <v>9228</v>
      </c>
      <c r="E2643" s="28"/>
      <c r="F2643" s="28" t="s">
        <v>29</v>
      </c>
      <c r="G2643" s="28" t="s">
        <v>37</v>
      </c>
      <c r="H2643" s="28"/>
      <c r="I2643" s="28" t="s">
        <v>38</v>
      </c>
      <c r="J2643" s="28">
        <v>496.0</v>
      </c>
      <c r="K2643" s="28"/>
      <c r="L2643" s="28" t="s">
        <v>9229</v>
      </c>
      <c r="M2643" s="28" t="s">
        <v>356</v>
      </c>
      <c r="N2643" s="28">
        <v>1975.0</v>
      </c>
      <c r="O2643" s="28">
        <v>12.0</v>
      </c>
      <c r="P2643" s="28">
        <v>1.0</v>
      </c>
      <c r="Q2643" s="94">
        <v>1.0</v>
      </c>
      <c r="R2643" s="33"/>
      <c r="S2643" s="185"/>
      <c r="T2643" s="185"/>
      <c r="U2643" s="185"/>
      <c r="V2643" s="185"/>
      <c r="W2643" s="185"/>
      <c r="X2643" s="185"/>
      <c r="Y2643" s="3"/>
      <c r="Z2643" s="3"/>
      <c r="AA2643" s="3"/>
      <c r="AB2643" s="3"/>
      <c r="AC2643" s="3"/>
      <c r="AD2643" s="3"/>
      <c r="AE2643" s="3"/>
      <c r="AF2643" s="3"/>
      <c r="AG2643" s="3"/>
      <c r="AH2643" s="3"/>
      <c r="AI2643" s="3"/>
      <c r="AJ2643" s="3"/>
      <c r="AK2643" s="3"/>
      <c r="AL2643" s="3"/>
    </row>
    <row r="2644" ht="15.75" customHeight="1">
      <c r="A2644" s="27">
        <f t="shared" si="21"/>
        <v>1523</v>
      </c>
      <c r="B2644" s="28" t="s">
        <v>9230</v>
      </c>
      <c r="C2644" s="43" t="s">
        <v>9231</v>
      </c>
      <c r="D2644" s="30" t="s">
        <v>9232</v>
      </c>
      <c r="E2644" s="28"/>
      <c r="F2644" s="28" t="s">
        <v>29</v>
      </c>
      <c r="G2644" s="28" t="s">
        <v>30</v>
      </c>
      <c r="H2644" s="28"/>
      <c r="I2644" s="28" t="s">
        <v>30</v>
      </c>
      <c r="J2644" s="28">
        <v>571.0</v>
      </c>
      <c r="K2644" s="28"/>
      <c r="L2644" s="28" t="s">
        <v>9233</v>
      </c>
      <c r="M2644" s="28" t="s">
        <v>169</v>
      </c>
      <c r="N2644" s="28">
        <v>2009.0</v>
      </c>
      <c r="O2644" s="60">
        <v>12.0</v>
      </c>
      <c r="P2644" s="28">
        <v>1.0</v>
      </c>
      <c r="Q2644" s="94">
        <v>1.0</v>
      </c>
      <c r="R2644" s="33"/>
      <c r="S2644" s="34"/>
      <c r="T2644" s="34"/>
      <c r="U2644" s="34"/>
      <c r="V2644" s="34"/>
      <c r="W2644" s="34"/>
      <c r="X2644" s="34"/>
      <c r="Y2644" s="3"/>
      <c r="Z2644" s="3"/>
      <c r="AA2644" s="3"/>
      <c r="AB2644" s="3"/>
      <c r="AC2644" s="3"/>
      <c r="AD2644" s="3"/>
      <c r="AE2644" s="3"/>
      <c r="AF2644" s="3"/>
      <c r="AG2644" s="3"/>
      <c r="AH2644" s="3"/>
      <c r="AI2644" s="3"/>
      <c r="AJ2644" s="3"/>
      <c r="AK2644" s="3"/>
      <c r="AL2644" s="3"/>
    </row>
    <row r="2645" ht="15.75" customHeight="1">
      <c r="A2645" s="27">
        <f t="shared" si="21"/>
        <v>1524</v>
      </c>
      <c r="B2645" s="28" t="s">
        <v>9234</v>
      </c>
      <c r="C2645" s="129" t="s">
        <v>9235</v>
      </c>
      <c r="D2645" s="30" t="s">
        <v>9236</v>
      </c>
      <c r="E2645" s="28" t="s">
        <v>3578</v>
      </c>
      <c r="F2645" s="28" t="s">
        <v>29</v>
      </c>
      <c r="G2645" s="28" t="s">
        <v>166</v>
      </c>
      <c r="H2645" s="28"/>
      <c r="I2645" s="28" t="s">
        <v>30</v>
      </c>
      <c r="J2645" s="28">
        <v>800.0</v>
      </c>
      <c r="K2645" s="28"/>
      <c r="L2645" s="28" t="s">
        <v>9237</v>
      </c>
      <c r="M2645" s="28" t="s">
        <v>169</v>
      </c>
      <c r="N2645" s="28">
        <v>2017.0</v>
      </c>
      <c r="O2645" s="60">
        <v>12.0</v>
      </c>
      <c r="P2645" s="31">
        <v>2.0</v>
      </c>
      <c r="Q2645" s="114">
        <v>2.0</v>
      </c>
      <c r="R2645" s="33"/>
      <c r="S2645" s="116"/>
      <c r="T2645" s="116"/>
      <c r="U2645" s="116"/>
      <c r="V2645" s="116"/>
      <c r="W2645" s="116"/>
      <c r="X2645" s="116"/>
      <c r="Y2645" s="3"/>
      <c r="Z2645" s="3"/>
      <c r="AA2645" s="3"/>
      <c r="AB2645" s="3"/>
      <c r="AC2645" s="3"/>
      <c r="AD2645" s="3"/>
      <c r="AE2645" s="3"/>
      <c r="AF2645" s="3"/>
      <c r="AG2645" s="3"/>
      <c r="AH2645" s="3"/>
      <c r="AI2645" s="3"/>
      <c r="AJ2645" s="3"/>
      <c r="AK2645" s="3"/>
      <c r="AL2645" s="3"/>
    </row>
    <row r="2646" ht="15.75" customHeight="1">
      <c r="A2646" s="27">
        <f t="shared" si="21"/>
        <v>1525</v>
      </c>
      <c r="B2646" s="28" t="s">
        <v>9238</v>
      </c>
      <c r="C2646" s="129" t="s">
        <v>9239</v>
      </c>
      <c r="D2646" s="30" t="s">
        <v>9240</v>
      </c>
      <c r="E2646" s="28" t="s">
        <v>3578</v>
      </c>
      <c r="F2646" s="28" t="s">
        <v>29</v>
      </c>
      <c r="G2646" s="28" t="s">
        <v>166</v>
      </c>
      <c r="H2646" s="28"/>
      <c r="I2646" s="28" t="s">
        <v>30</v>
      </c>
      <c r="J2646" s="28">
        <v>795.0</v>
      </c>
      <c r="K2646" s="28"/>
      <c r="L2646" s="28" t="s">
        <v>9237</v>
      </c>
      <c r="M2646" s="28" t="s">
        <v>169</v>
      </c>
      <c r="N2646" s="28">
        <v>2015.0</v>
      </c>
      <c r="O2646" s="60">
        <v>12.0</v>
      </c>
      <c r="P2646" s="28">
        <v>1.0</v>
      </c>
      <c r="Q2646" s="94">
        <v>1.0</v>
      </c>
      <c r="R2646" s="33"/>
      <c r="S2646" s="34"/>
      <c r="T2646" s="34"/>
      <c r="U2646" s="34"/>
      <c r="V2646" s="34"/>
      <c r="W2646" s="34"/>
      <c r="X2646" s="34"/>
      <c r="Y2646" s="45"/>
      <c r="Z2646" s="45"/>
      <c r="AA2646" s="45"/>
      <c r="AB2646" s="45"/>
      <c r="AC2646" s="45"/>
      <c r="AD2646" s="45"/>
      <c r="AE2646" s="45"/>
      <c r="AF2646" s="45"/>
      <c r="AG2646" s="45"/>
      <c r="AH2646" s="45"/>
      <c r="AI2646" s="45"/>
      <c r="AJ2646" s="45"/>
      <c r="AK2646" s="45"/>
      <c r="AL2646" s="45"/>
    </row>
    <row r="2647" ht="15.75" customHeight="1">
      <c r="A2647" s="27">
        <f t="shared" si="21"/>
        <v>1526</v>
      </c>
      <c r="B2647" s="219" t="s">
        <v>9241</v>
      </c>
      <c r="C2647" s="47" t="s">
        <v>9242</v>
      </c>
      <c r="D2647" s="30" t="s">
        <v>9243</v>
      </c>
      <c r="E2647" s="28" t="s">
        <v>3578</v>
      </c>
      <c r="F2647" s="28" t="s">
        <v>29</v>
      </c>
      <c r="G2647" s="28" t="s">
        <v>166</v>
      </c>
      <c r="H2647" s="28"/>
      <c r="I2647" s="28" t="s">
        <v>30</v>
      </c>
      <c r="J2647" s="28">
        <v>812.0</v>
      </c>
      <c r="K2647" s="28"/>
      <c r="L2647" s="28" t="s">
        <v>9237</v>
      </c>
      <c r="M2647" s="28" t="s">
        <v>169</v>
      </c>
      <c r="N2647" s="28">
        <v>2017.0</v>
      </c>
      <c r="O2647" s="60">
        <v>12.0</v>
      </c>
      <c r="P2647" s="28">
        <v>1.0</v>
      </c>
      <c r="Q2647" s="94">
        <v>1.0</v>
      </c>
      <c r="R2647" s="33"/>
      <c r="S2647" s="34"/>
      <c r="T2647" s="34"/>
      <c r="U2647" s="34"/>
      <c r="V2647" s="34"/>
      <c r="W2647" s="34"/>
      <c r="X2647" s="34"/>
      <c r="Y2647" s="45"/>
      <c r="Z2647" s="45"/>
      <c r="AA2647" s="45"/>
      <c r="AB2647" s="45"/>
      <c r="AC2647" s="45"/>
      <c r="AD2647" s="45"/>
      <c r="AE2647" s="45"/>
      <c r="AF2647" s="45"/>
      <c r="AG2647" s="45"/>
      <c r="AH2647" s="45"/>
      <c r="AI2647" s="45"/>
      <c r="AJ2647" s="45"/>
      <c r="AK2647" s="45"/>
      <c r="AL2647" s="45"/>
    </row>
    <row r="2648" ht="15.75" customHeight="1">
      <c r="A2648" s="27">
        <f t="shared" si="21"/>
        <v>1527</v>
      </c>
      <c r="B2648" s="121" t="s">
        <v>5</v>
      </c>
      <c r="C2648" s="121" t="s">
        <v>9244</v>
      </c>
      <c r="D2648" s="119" t="s">
        <v>9245</v>
      </c>
      <c r="E2648" s="121" t="s">
        <v>0</v>
      </c>
      <c r="F2648" s="121" t="s">
        <v>29</v>
      </c>
      <c r="G2648" s="121" t="s">
        <v>166</v>
      </c>
      <c r="H2648" s="83"/>
      <c r="I2648" s="121" t="s">
        <v>38</v>
      </c>
      <c r="J2648" s="121">
        <v>269.0</v>
      </c>
      <c r="K2648" s="83"/>
      <c r="L2648" s="121" t="s">
        <v>9246</v>
      </c>
      <c r="M2648" s="121" t="s">
        <v>8073</v>
      </c>
      <c r="N2648" s="121">
        <v>2017.0</v>
      </c>
      <c r="O2648" s="121">
        <v>12.0</v>
      </c>
      <c r="P2648" s="121">
        <v>1.0</v>
      </c>
      <c r="Q2648" s="121">
        <v>1.0</v>
      </c>
      <c r="R2648" s="84"/>
      <c r="S2648" s="40"/>
      <c r="T2648" s="40"/>
      <c r="U2648" s="40"/>
      <c r="V2648" s="40"/>
      <c r="W2648" s="40"/>
      <c r="X2648" s="40"/>
      <c r="Y2648" s="3"/>
      <c r="Z2648" s="3"/>
      <c r="AA2648" s="3"/>
      <c r="AB2648" s="3"/>
      <c r="AC2648" s="3"/>
      <c r="AD2648" s="3"/>
      <c r="AE2648" s="3"/>
      <c r="AF2648" s="3"/>
      <c r="AG2648" s="3"/>
      <c r="AH2648" s="3"/>
      <c r="AI2648" s="3"/>
      <c r="AJ2648" s="3"/>
      <c r="AK2648" s="3"/>
      <c r="AL2648" s="3"/>
    </row>
    <row r="2649" ht="15.75" customHeight="1">
      <c r="A2649" s="27">
        <f t="shared" si="21"/>
        <v>1528</v>
      </c>
      <c r="B2649" s="83" t="s">
        <v>9247</v>
      </c>
      <c r="C2649" s="121" t="s">
        <v>9248</v>
      </c>
      <c r="D2649" s="83" t="s">
        <v>9249</v>
      </c>
      <c r="E2649" s="118"/>
      <c r="F2649" s="83" t="s">
        <v>29</v>
      </c>
      <c r="G2649" s="83" t="s">
        <v>166</v>
      </c>
      <c r="H2649" s="118"/>
      <c r="I2649" s="83" t="s">
        <v>166</v>
      </c>
      <c r="J2649" s="83">
        <v>374.0</v>
      </c>
      <c r="K2649" s="118"/>
      <c r="L2649" s="83" t="s">
        <v>9250</v>
      </c>
      <c r="M2649" s="119" t="s">
        <v>2763</v>
      </c>
      <c r="N2649" s="118">
        <v>2008.0</v>
      </c>
      <c r="O2649" s="121">
        <v>12.0</v>
      </c>
      <c r="P2649" s="118">
        <v>1.0</v>
      </c>
      <c r="Q2649" s="86">
        <v>1.0</v>
      </c>
      <c r="R2649" s="84"/>
      <c r="S2649" s="34"/>
      <c r="T2649" s="34"/>
      <c r="U2649" s="34"/>
      <c r="V2649" s="34"/>
      <c r="W2649" s="34"/>
      <c r="X2649" s="34"/>
      <c r="Y2649" s="3"/>
      <c r="Z2649" s="3"/>
      <c r="AA2649" s="3"/>
      <c r="AB2649" s="3"/>
      <c r="AC2649" s="3"/>
      <c r="AD2649" s="3"/>
      <c r="AE2649" s="3"/>
      <c r="AF2649" s="3"/>
      <c r="AG2649" s="3"/>
      <c r="AH2649" s="3"/>
      <c r="AI2649" s="3"/>
      <c r="AJ2649" s="3"/>
      <c r="AK2649" s="3"/>
      <c r="AL2649" s="3"/>
    </row>
    <row r="2650" ht="15.75" customHeight="1">
      <c r="A2650" s="27">
        <f t="shared" si="21"/>
        <v>1529</v>
      </c>
      <c r="B2650" s="28" t="s">
        <v>31</v>
      </c>
      <c r="C2650" s="29" t="s">
        <v>9251</v>
      </c>
      <c r="D2650" s="30" t="s">
        <v>9252</v>
      </c>
      <c r="E2650" s="28" t="s">
        <v>31</v>
      </c>
      <c r="F2650" s="28" t="s">
        <v>29</v>
      </c>
      <c r="G2650" s="28" t="s">
        <v>30</v>
      </c>
      <c r="H2650" s="28"/>
      <c r="I2650" s="28" t="s">
        <v>30</v>
      </c>
      <c r="J2650" s="28">
        <v>60.0</v>
      </c>
      <c r="K2650" s="28"/>
      <c r="L2650" s="28" t="s">
        <v>7406</v>
      </c>
      <c r="M2650" s="28" t="s">
        <v>3426</v>
      </c>
      <c r="N2650" s="28">
        <v>1969.0</v>
      </c>
      <c r="O2650" s="28">
        <v>12.0</v>
      </c>
      <c r="P2650" s="28">
        <v>2.0</v>
      </c>
      <c r="Q2650" s="94">
        <v>2.0</v>
      </c>
      <c r="R2650" s="33"/>
      <c r="S2650" s="34"/>
      <c r="T2650" s="34"/>
      <c r="U2650" s="34"/>
      <c r="V2650" s="34"/>
      <c r="W2650" s="34"/>
      <c r="X2650" s="34"/>
      <c r="Y2650" s="3"/>
      <c r="Z2650" s="3"/>
      <c r="AA2650" s="3"/>
      <c r="AB2650" s="3"/>
      <c r="AC2650" s="3"/>
      <c r="AD2650" s="3"/>
      <c r="AE2650" s="3"/>
      <c r="AF2650" s="3"/>
      <c r="AG2650" s="3"/>
      <c r="AH2650" s="3"/>
      <c r="AI2650" s="3"/>
      <c r="AJ2650" s="3"/>
      <c r="AK2650" s="3"/>
      <c r="AL2650" s="3"/>
    </row>
    <row r="2651" ht="15.75" customHeight="1">
      <c r="A2651" s="27">
        <f t="shared" si="21"/>
        <v>1530</v>
      </c>
      <c r="B2651" s="28" t="s">
        <v>31</v>
      </c>
      <c r="C2651" s="29" t="s">
        <v>9253</v>
      </c>
      <c r="D2651" s="30" t="s">
        <v>9252</v>
      </c>
      <c r="E2651" s="28" t="s">
        <v>31</v>
      </c>
      <c r="F2651" s="28" t="s">
        <v>29</v>
      </c>
      <c r="G2651" s="28" t="s">
        <v>30</v>
      </c>
      <c r="H2651" s="28"/>
      <c r="I2651" s="28" t="s">
        <v>30</v>
      </c>
      <c r="J2651" s="28">
        <v>75.0</v>
      </c>
      <c r="K2651" s="28"/>
      <c r="L2651" s="28" t="s">
        <v>7406</v>
      </c>
      <c r="M2651" s="28" t="s">
        <v>3426</v>
      </c>
      <c r="N2651" s="28">
        <v>1978.0</v>
      </c>
      <c r="O2651" s="60">
        <v>12.0</v>
      </c>
      <c r="P2651" s="28">
        <v>1.0</v>
      </c>
      <c r="Q2651" s="94">
        <v>1.0</v>
      </c>
      <c r="R2651" s="33"/>
      <c r="S2651" s="34"/>
      <c r="T2651" s="34"/>
      <c r="U2651" s="34"/>
      <c r="V2651" s="34"/>
      <c r="W2651" s="34"/>
      <c r="X2651" s="34"/>
      <c r="Y2651" s="3"/>
      <c r="Z2651" s="3"/>
      <c r="AA2651" s="3"/>
      <c r="AB2651" s="3"/>
      <c r="AC2651" s="3"/>
      <c r="AD2651" s="3"/>
      <c r="AE2651" s="3"/>
      <c r="AF2651" s="3"/>
      <c r="AG2651" s="3"/>
      <c r="AH2651" s="3"/>
      <c r="AI2651" s="3"/>
      <c r="AJ2651" s="3"/>
      <c r="AK2651" s="3"/>
      <c r="AL2651" s="3"/>
    </row>
    <row r="2652" ht="15.75" customHeight="1">
      <c r="A2652" s="27">
        <f t="shared" si="21"/>
        <v>1531</v>
      </c>
      <c r="B2652" s="28" t="s">
        <v>31</v>
      </c>
      <c r="C2652" s="43" t="s">
        <v>9254</v>
      </c>
      <c r="D2652" s="30" t="s">
        <v>9255</v>
      </c>
      <c r="E2652" s="28"/>
      <c r="F2652" s="28" t="s">
        <v>29</v>
      </c>
      <c r="G2652" s="28" t="s">
        <v>30</v>
      </c>
      <c r="H2652" s="28"/>
      <c r="I2652" s="28" t="s">
        <v>30</v>
      </c>
      <c r="J2652" s="28">
        <v>71.0</v>
      </c>
      <c r="K2652" s="28"/>
      <c r="L2652" s="28" t="s">
        <v>9256</v>
      </c>
      <c r="M2652" s="28" t="s">
        <v>4762</v>
      </c>
      <c r="N2652" s="28">
        <v>2005.0</v>
      </c>
      <c r="O2652" s="28">
        <v>12.0</v>
      </c>
      <c r="P2652" s="28">
        <v>1.0</v>
      </c>
      <c r="Q2652" s="94">
        <v>1.0</v>
      </c>
      <c r="R2652" s="33"/>
      <c r="S2652" s="34"/>
      <c r="T2652" s="34"/>
      <c r="U2652" s="34"/>
      <c r="V2652" s="34"/>
      <c r="W2652" s="34"/>
      <c r="X2652" s="34"/>
      <c r="Y2652" s="3"/>
      <c r="Z2652" s="3"/>
      <c r="AA2652" s="3"/>
      <c r="AB2652" s="3"/>
      <c r="AC2652" s="3"/>
      <c r="AD2652" s="3"/>
      <c r="AE2652" s="3"/>
      <c r="AF2652" s="3"/>
      <c r="AG2652" s="3"/>
      <c r="AH2652" s="3"/>
      <c r="AI2652" s="3"/>
      <c r="AJ2652" s="3"/>
      <c r="AK2652" s="3"/>
      <c r="AL2652" s="3"/>
    </row>
    <row r="2653" ht="15.75" customHeight="1">
      <c r="A2653" s="27">
        <f t="shared" si="21"/>
        <v>1532</v>
      </c>
      <c r="B2653" s="28"/>
      <c r="C2653" s="43" t="s">
        <v>9257</v>
      </c>
      <c r="D2653" s="30" t="s">
        <v>9252</v>
      </c>
      <c r="E2653" s="28" t="s">
        <v>144</v>
      </c>
      <c r="F2653" s="28" t="s">
        <v>29</v>
      </c>
      <c r="G2653" s="28" t="s">
        <v>30</v>
      </c>
      <c r="H2653" s="28"/>
      <c r="I2653" s="28" t="s">
        <v>30</v>
      </c>
      <c r="J2653" s="28">
        <f>60</f>
        <v>60</v>
      </c>
      <c r="K2653" s="28"/>
      <c r="L2653" s="28" t="s">
        <v>9258</v>
      </c>
      <c r="M2653" s="28" t="s">
        <v>3109</v>
      </c>
      <c r="N2653" s="28">
        <v>1979.0</v>
      </c>
      <c r="O2653" s="28">
        <v>12.0</v>
      </c>
      <c r="P2653" s="28">
        <v>1.0</v>
      </c>
      <c r="Q2653" s="32">
        <v>1.0</v>
      </c>
      <c r="R2653" s="33"/>
      <c r="S2653" s="34"/>
      <c r="T2653" s="34"/>
      <c r="U2653" s="34"/>
      <c r="V2653" s="34"/>
      <c r="W2653" s="34"/>
      <c r="X2653" s="34"/>
      <c r="Y2653" s="3"/>
      <c r="Z2653" s="3"/>
      <c r="AA2653" s="3"/>
      <c r="AB2653" s="3"/>
      <c r="AC2653" s="3"/>
      <c r="AD2653" s="3"/>
      <c r="AE2653" s="3"/>
      <c r="AF2653" s="3"/>
      <c r="AG2653" s="3"/>
      <c r="AH2653" s="3"/>
      <c r="AI2653" s="3"/>
      <c r="AJ2653" s="3"/>
      <c r="AK2653" s="3"/>
      <c r="AL2653" s="3"/>
    </row>
    <row r="2654" ht="15.75" customHeight="1">
      <c r="A2654" s="27">
        <f t="shared" si="21"/>
        <v>1533</v>
      </c>
      <c r="B2654" s="28" t="s">
        <v>9259</v>
      </c>
      <c r="C2654" s="43" t="s">
        <v>9260</v>
      </c>
      <c r="D2654" s="30" t="s">
        <v>9261</v>
      </c>
      <c r="E2654" s="28" t="s">
        <v>144</v>
      </c>
      <c r="F2654" s="28" t="s">
        <v>29</v>
      </c>
      <c r="G2654" s="28" t="s">
        <v>30</v>
      </c>
      <c r="H2654" s="28"/>
      <c r="I2654" s="28" t="s">
        <v>30</v>
      </c>
      <c r="J2654" s="28">
        <f>311+10</f>
        <v>321</v>
      </c>
      <c r="K2654" s="28"/>
      <c r="L2654" s="28" t="s">
        <v>9262</v>
      </c>
      <c r="M2654" s="28" t="s">
        <v>9263</v>
      </c>
      <c r="N2654" s="28">
        <v>2016.0</v>
      </c>
      <c r="O2654" s="28">
        <v>12.0</v>
      </c>
      <c r="P2654" s="28">
        <v>2.0</v>
      </c>
      <c r="Q2654" s="32">
        <v>2.0</v>
      </c>
      <c r="R2654" s="33"/>
      <c r="S2654" s="185"/>
      <c r="T2654" s="185"/>
      <c r="U2654" s="185"/>
      <c r="V2654" s="185"/>
      <c r="W2654" s="185"/>
      <c r="X2654" s="185"/>
      <c r="Y2654" s="3"/>
      <c r="Z2654" s="3"/>
      <c r="AA2654" s="3"/>
      <c r="AB2654" s="3"/>
      <c r="AC2654" s="3"/>
      <c r="AD2654" s="3"/>
      <c r="AE2654" s="3"/>
      <c r="AF2654" s="3"/>
      <c r="AG2654" s="3"/>
      <c r="AH2654" s="3"/>
      <c r="AI2654" s="3"/>
      <c r="AJ2654" s="3"/>
      <c r="AK2654" s="3"/>
      <c r="AL2654" s="3"/>
    </row>
    <row r="2655" ht="15.75" customHeight="1">
      <c r="A2655" s="27">
        <f t="shared" si="21"/>
        <v>1534</v>
      </c>
      <c r="B2655" s="28" t="s">
        <v>9264</v>
      </c>
      <c r="C2655" s="43" t="s">
        <v>9265</v>
      </c>
      <c r="D2655" s="30" t="s">
        <v>9266</v>
      </c>
      <c r="E2655" s="28"/>
      <c r="F2655" s="28" t="s">
        <v>29</v>
      </c>
      <c r="G2655" s="28" t="s">
        <v>30</v>
      </c>
      <c r="H2655" s="28"/>
      <c r="I2655" s="28" t="s">
        <v>30</v>
      </c>
      <c r="J2655" s="28">
        <v>206.0</v>
      </c>
      <c r="K2655" s="28"/>
      <c r="L2655" s="28" t="s">
        <v>9267</v>
      </c>
      <c r="M2655" s="28" t="s">
        <v>9268</v>
      </c>
      <c r="N2655" s="28">
        <v>2005.0</v>
      </c>
      <c r="O2655" s="28">
        <v>12.0</v>
      </c>
      <c r="P2655" s="28">
        <v>1.0</v>
      </c>
      <c r="Q2655" s="94">
        <v>1.0</v>
      </c>
      <c r="R2655" s="33"/>
      <c r="S2655" s="34"/>
      <c r="T2655" s="34"/>
      <c r="U2655" s="34"/>
      <c r="V2655" s="34"/>
      <c r="W2655" s="34"/>
      <c r="X2655" s="34"/>
      <c r="Y2655" s="3"/>
      <c r="Z2655" s="3"/>
      <c r="AA2655" s="3"/>
      <c r="AB2655" s="3"/>
      <c r="AC2655" s="3"/>
      <c r="AD2655" s="3"/>
      <c r="AE2655" s="3"/>
      <c r="AF2655" s="3"/>
      <c r="AG2655" s="3"/>
      <c r="AH2655" s="3"/>
      <c r="AI2655" s="3"/>
      <c r="AJ2655" s="3"/>
      <c r="AK2655" s="3"/>
      <c r="AL2655" s="3"/>
    </row>
    <row r="2656" ht="15.75" customHeight="1">
      <c r="A2656" s="27">
        <f t="shared" si="21"/>
        <v>1535</v>
      </c>
      <c r="B2656" s="28" t="s">
        <v>9269</v>
      </c>
      <c r="C2656" s="43" t="s">
        <v>9270</v>
      </c>
      <c r="D2656" s="30" t="s">
        <v>9271</v>
      </c>
      <c r="E2656" s="28"/>
      <c r="F2656" s="28" t="s">
        <v>29</v>
      </c>
      <c r="G2656" s="28" t="s">
        <v>30</v>
      </c>
      <c r="H2656" s="28"/>
      <c r="I2656" s="28" t="s">
        <v>30</v>
      </c>
      <c r="J2656" s="28">
        <v>928.0</v>
      </c>
      <c r="K2656" s="28"/>
      <c r="L2656" s="28" t="s">
        <v>9272</v>
      </c>
      <c r="M2656" s="28" t="s">
        <v>9273</v>
      </c>
      <c r="N2656" s="28">
        <v>2009.0</v>
      </c>
      <c r="O2656" s="28">
        <v>12.0</v>
      </c>
      <c r="P2656" s="28">
        <v>1.0</v>
      </c>
      <c r="Q2656" s="94">
        <v>1.0</v>
      </c>
      <c r="R2656" s="33"/>
      <c r="S2656" s="40"/>
      <c r="T2656" s="40"/>
      <c r="U2656" s="40"/>
      <c r="V2656" s="40"/>
      <c r="W2656" s="40"/>
      <c r="X2656" s="40"/>
      <c r="Y2656" s="45"/>
      <c r="Z2656" s="45"/>
      <c r="AA2656" s="45"/>
      <c r="AB2656" s="45"/>
      <c r="AC2656" s="45"/>
      <c r="AD2656" s="45"/>
      <c r="AE2656" s="45"/>
      <c r="AF2656" s="45"/>
      <c r="AG2656" s="45"/>
      <c r="AH2656" s="45"/>
      <c r="AI2656" s="45"/>
      <c r="AJ2656" s="45"/>
      <c r="AK2656" s="45"/>
      <c r="AL2656" s="45"/>
    </row>
    <row r="2657" ht="15.75" customHeight="1">
      <c r="A2657" s="27">
        <f t="shared" si="21"/>
        <v>1536</v>
      </c>
      <c r="B2657" s="28" t="s">
        <v>31</v>
      </c>
      <c r="C2657" s="29" t="s">
        <v>9274</v>
      </c>
      <c r="D2657" s="30" t="s">
        <v>9275</v>
      </c>
      <c r="E2657" s="28" t="s">
        <v>144</v>
      </c>
      <c r="F2657" s="28" t="s">
        <v>29</v>
      </c>
      <c r="G2657" s="28" t="s">
        <v>30</v>
      </c>
      <c r="H2657" s="28"/>
      <c r="I2657" s="28" t="s">
        <v>30</v>
      </c>
      <c r="J2657" s="28">
        <v>87.0</v>
      </c>
      <c r="K2657" s="28"/>
      <c r="L2657" s="28" t="s">
        <v>9276</v>
      </c>
      <c r="M2657" s="28" t="s">
        <v>151</v>
      </c>
      <c r="N2657" s="28">
        <v>1984.0</v>
      </c>
      <c r="O2657" s="28">
        <v>12.0</v>
      </c>
      <c r="P2657" s="28">
        <v>3.0</v>
      </c>
      <c r="Q2657" s="94">
        <v>3.0</v>
      </c>
      <c r="R2657" s="33"/>
      <c r="S2657" s="34"/>
      <c r="T2657" s="34"/>
      <c r="U2657" s="34"/>
      <c r="V2657" s="34"/>
      <c r="W2657" s="34"/>
      <c r="X2657" s="34"/>
      <c r="Y2657" s="3"/>
      <c r="Z2657" s="3"/>
      <c r="AA2657" s="3"/>
      <c r="AB2657" s="3"/>
      <c r="AC2657" s="3"/>
      <c r="AD2657" s="3"/>
      <c r="AE2657" s="3"/>
      <c r="AF2657" s="3"/>
      <c r="AG2657" s="3"/>
      <c r="AH2657" s="3"/>
      <c r="AI2657" s="3"/>
      <c r="AJ2657" s="3"/>
      <c r="AK2657" s="3"/>
      <c r="AL2657" s="3"/>
    </row>
    <row r="2658" ht="15.75" customHeight="1">
      <c r="A2658" s="27">
        <f t="shared" si="21"/>
        <v>1537</v>
      </c>
      <c r="B2658" s="28" t="s">
        <v>31</v>
      </c>
      <c r="C2658" s="43" t="s">
        <v>9277</v>
      </c>
      <c r="D2658" s="30" t="s">
        <v>9278</v>
      </c>
      <c r="E2658" s="28" t="s">
        <v>144</v>
      </c>
      <c r="F2658" s="28" t="s">
        <v>29</v>
      </c>
      <c r="G2658" s="28" t="s">
        <v>30</v>
      </c>
      <c r="H2658" s="28"/>
      <c r="I2658" s="28" t="s">
        <v>30</v>
      </c>
      <c r="J2658" s="28">
        <v>215.0</v>
      </c>
      <c r="K2658" s="28"/>
      <c r="L2658" s="28" t="s">
        <v>9279</v>
      </c>
      <c r="M2658" s="28" t="s">
        <v>9280</v>
      </c>
      <c r="N2658" s="28">
        <v>2005.0</v>
      </c>
      <c r="O2658" s="28">
        <v>12.0</v>
      </c>
      <c r="P2658" s="28">
        <v>1.0</v>
      </c>
      <c r="Q2658" s="94">
        <v>1.0</v>
      </c>
      <c r="R2658" s="33"/>
      <c r="S2658" s="40"/>
      <c r="T2658" s="40"/>
      <c r="U2658" s="40"/>
      <c r="V2658" s="40"/>
      <c r="W2658" s="40"/>
      <c r="X2658" s="40"/>
      <c r="Y2658" s="3"/>
      <c r="Z2658" s="3"/>
      <c r="AA2658" s="3"/>
      <c r="AB2658" s="3"/>
      <c r="AC2658" s="3"/>
      <c r="AD2658" s="3"/>
      <c r="AE2658" s="3"/>
      <c r="AF2658" s="3"/>
      <c r="AG2658" s="3"/>
      <c r="AH2658" s="3"/>
      <c r="AI2658" s="3"/>
      <c r="AJ2658" s="3"/>
      <c r="AK2658" s="3"/>
      <c r="AL2658" s="3"/>
    </row>
    <row r="2659" ht="15.75" customHeight="1">
      <c r="A2659" s="27">
        <f t="shared" si="21"/>
        <v>1538</v>
      </c>
      <c r="B2659" s="28" t="s">
        <v>31</v>
      </c>
      <c r="C2659" s="29" t="s">
        <v>9281</v>
      </c>
      <c r="D2659" s="30" t="s">
        <v>9282</v>
      </c>
      <c r="E2659" s="28"/>
      <c r="F2659" s="28" t="s">
        <v>29</v>
      </c>
      <c r="G2659" s="28" t="s">
        <v>30</v>
      </c>
      <c r="H2659" s="28"/>
      <c r="I2659" s="28" t="s">
        <v>30</v>
      </c>
      <c r="J2659" s="28">
        <v>216.0</v>
      </c>
      <c r="K2659" s="28"/>
      <c r="L2659" s="28" t="s">
        <v>4322</v>
      </c>
      <c r="M2659" s="28" t="s">
        <v>9283</v>
      </c>
      <c r="N2659" s="28">
        <v>2001.0</v>
      </c>
      <c r="O2659" s="28">
        <v>12.0</v>
      </c>
      <c r="P2659" s="28">
        <v>1.0</v>
      </c>
      <c r="Q2659" s="32">
        <v>1.0</v>
      </c>
      <c r="R2659" s="33"/>
      <c r="S2659" s="116"/>
      <c r="T2659" s="116"/>
      <c r="U2659" s="116"/>
      <c r="V2659" s="116"/>
      <c r="W2659" s="116"/>
      <c r="X2659" s="116"/>
      <c r="Y2659" s="3"/>
      <c r="Z2659" s="3"/>
      <c r="AA2659" s="3"/>
      <c r="AB2659" s="3"/>
      <c r="AC2659" s="3"/>
      <c r="AD2659" s="3"/>
      <c r="AE2659" s="3"/>
      <c r="AF2659" s="3"/>
      <c r="AG2659" s="3"/>
      <c r="AH2659" s="3"/>
      <c r="AI2659" s="3"/>
      <c r="AJ2659" s="3"/>
      <c r="AK2659" s="3"/>
      <c r="AL2659" s="3"/>
    </row>
    <row r="2660" ht="15.75" customHeight="1">
      <c r="A2660" s="27">
        <f t="shared" si="21"/>
        <v>1539</v>
      </c>
      <c r="B2660" s="28" t="s">
        <v>31</v>
      </c>
      <c r="C2660" s="43" t="s">
        <v>9284</v>
      </c>
      <c r="D2660" s="30" t="s">
        <v>9285</v>
      </c>
      <c r="E2660" s="28" t="s">
        <v>144</v>
      </c>
      <c r="F2660" s="28" t="s">
        <v>29</v>
      </c>
      <c r="G2660" s="28" t="s">
        <v>30</v>
      </c>
      <c r="H2660" s="28"/>
      <c r="I2660" s="28" t="s">
        <v>30</v>
      </c>
      <c r="J2660" s="28">
        <v>56.0</v>
      </c>
      <c r="K2660" s="28"/>
      <c r="L2660" s="28" t="s">
        <v>9286</v>
      </c>
      <c r="M2660" s="28" t="s">
        <v>3426</v>
      </c>
      <c r="N2660" s="28">
        <v>1967.0</v>
      </c>
      <c r="O2660" s="28">
        <v>12.0</v>
      </c>
      <c r="P2660" s="28">
        <v>1.0</v>
      </c>
      <c r="Q2660" s="94">
        <v>1.0</v>
      </c>
      <c r="R2660" s="33"/>
      <c r="S2660" s="34"/>
      <c r="T2660" s="34"/>
      <c r="U2660" s="34"/>
      <c r="V2660" s="34"/>
      <c r="W2660" s="34"/>
      <c r="X2660" s="34"/>
      <c r="Y2660" s="3"/>
      <c r="Z2660" s="3"/>
      <c r="AA2660" s="3"/>
      <c r="AB2660" s="3"/>
      <c r="AC2660" s="3"/>
      <c r="AD2660" s="3"/>
      <c r="AE2660" s="3"/>
      <c r="AF2660" s="3"/>
      <c r="AG2660" s="3"/>
      <c r="AH2660" s="3"/>
      <c r="AI2660" s="3"/>
      <c r="AJ2660" s="3"/>
      <c r="AK2660" s="3"/>
      <c r="AL2660" s="3"/>
    </row>
    <row r="2661" ht="15.75" customHeight="1">
      <c r="A2661" s="27">
        <f t="shared" si="21"/>
        <v>1540</v>
      </c>
      <c r="B2661" s="28" t="s">
        <v>31</v>
      </c>
      <c r="C2661" s="43" t="s">
        <v>9287</v>
      </c>
      <c r="D2661" s="30" t="s">
        <v>9288</v>
      </c>
      <c r="E2661" s="28" t="s">
        <v>144</v>
      </c>
      <c r="F2661" s="28" t="s">
        <v>29</v>
      </c>
      <c r="G2661" s="28" t="s">
        <v>30</v>
      </c>
      <c r="H2661" s="28"/>
      <c r="I2661" s="28" t="s">
        <v>30</v>
      </c>
      <c r="J2661" s="28">
        <v>100.0</v>
      </c>
      <c r="K2661" s="28"/>
      <c r="L2661" s="28" t="s">
        <v>9289</v>
      </c>
      <c r="M2661" s="28" t="s">
        <v>9290</v>
      </c>
      <c r="N2661" s="28" t="s">
        <v>31</v>
      </c>
      <c r="O2661" s="28">
        <v>12.0</v>
      </c>
      <c r="P2661" s="28">
        <v>1.0</v>
      </c>
      <c r="Q2661" s="94">
        <v>1.0</v>
      </c>
      <c r="R2661" s="33"/>
      <c r="S2661" s="116"/>
      <c r="T2661" s="116"/>
      <c r="U2661" s="116"/>
      <c r="V2661" s="116"/>
      <c r="W2661" s="116"/>
      <c r="X2661" s="116"/>
      <c r="Y2661" s="45"/>
      <c r="Z2661" s="45"/>
      <c r="AA2661" s="45"/>
      <c r="AB2661" s="45"/>
      <c r="AC2661" s="45"/>
      <c r="AD2661" s="45"/>
      <c r="AE2661" s="45"/>
      <c r="AF2661" s="45"/>
      <c r="AG2661" s="45"/>
      <c r="AH2661" s="45"/>
      <c r="AI2661" s="45"/>
      <c r="AJ2661" s="45"/>
      <c r="AK2661" s="45"/>
      <c r="AL2661" s="45"/>
    </row>
    <row r="2662" ht="15.75" customHeight="1">
      <c r="A2662" s="27">
        <f t="shared" si="21"/>
        <v>1541</v>
      </c>
      <c r="B2662" s="28" t="s">
        <v>31</v>
      </c>
      <c r="C2662" s="29" t="s">
        <v>9291</v>
      </c>
      <c r="D2662" s="30" t="s">
        <v>9292</v>
      </c>
      <c r="E2662" s="28"/>
      <c r="F2662" s="28" t="s">
        <v>29</v>
      </c>
      <c r="G2662" s="28" t="s">
        <v>30</v>
      </c>
      <c r="H2662" s="28"/>
      <c r="I2662" s="28" t="s">
        <v>30</v>
      </c>
      <c r="J2662" s="28">
        <v>115.0</v>
      </c>
      <c r="K2662" s="28"/>
      <c r="L2662" s="28" t="s">
        <v>9293</v>
      </c>
      <c r="M2662" s="28" t="s">
        <v>9294</v>
      </c>
      <c r="N2662" s="28">
        <v>2004.0</v>
      </c>
      <c r="O2662" s="28">
        <v>12.0</v>
      </c>
      <c r="P2662" s="28">
        <v>1.0</v>
      </c>
      <c r="Q2662" s="94">
        <v>1.0</v>
      </c>
      <c r="R2662" s="33"/>
      <c r="S2662" s="34"/>
      <c r="T2662" s="34"/>
      <c r="U2662" s="34"/>
      <c r="V2662" s="34"/>
      <c r="W2662" s="34"/>
      <c r="X2662" s="34"/>
      <c r="Y2662" s="45"/>
      <c r="Z2662" s="45"/>
      <c r="AA2662" s="45"/>
      <c r="AB2662" s="45"/>
      <c r="AC2662" s="45"/>
      <c r="AD2662" s="45"/>
      <c r="AE2662" s="45"/>
      <c r="AF2662" s="45"/>
      <c r="AG2662" s="45"/>
      <c r="AH2662" s="45"/>
      <c r="AI2662" s="45"/>
      <c r="AJ2662" s="45"/>
      <c r="AK2662" s="45"/>
      <c r="AL2662" s="45"/>
    </row>
    <row r="2663" ht="15.75" customHeight="1">
      <c r="A2663" s="27">
        <f t="shared" si="21"/>
        <v>1542</v>
      </c>
      <c r="B2663" s="28" t="s">
        <v>31</v>
      </c>
      <c r="C2663" s="43" t="s">
        <v>9295</v>
      </c>
      <c r="D2663" s="30" t="s">
        <v>9296</v>
      </c>
      <c r="E2663" s="28" t="s">
        <v>144</v>
      </c>
      <c r="F2663" s="28" t="s">
        <v>29</v>
      </c>
      <c r="G2663" s="28" t="s">
        <v>37</v>
      </c>
      <c r="H2663" s="28"/>
      <c r="I2663" s="28" t="s">
        <v>38</v>
      </c>
      <c r="J2663" s="28">
        <v>189.0</v>
      </c>
      <c r="K2663" s="28"/>
      <c r="L2663" s="28" t="s">
        <v>9297</v>
      </c>
      <c r="M2663" s="28" t="s">
        <v>2893</v>
      </c>
      <c r="N2663" s="28" t="s">
        <v>31</v>
      </c>
      <c r="O2663" s="28">
        <v>12.0</v>
      </c>
      <c r="P2663" s="28">
        <v>1.0</v>
      </c>
      <c r="Q2663" s="94">
        <v>1.0</v>
      </c>
      <c r="R2663" s="33"/>
      <c r="S2663" s="40"/>
      <c r="T2663" s="40"/>
      <c r="U2663" s="40"/>
      <c r="V2663" s="40"/>
      <c r="W2663" s="40"/>
      <c r="X2663" s="40"/>
      <c r="Y2663" s="3"/>
      <c r="Z2663" s="3"/>
      <c r="AA2663" s="3"/>
      <c r="AB2663" s="3"/>
      <c r="AC2663" s="3"/>
      <c r="AD2663" s="3"/>
      <c r="AE2663" s="3"/>
      <c r="AF2663" s="3"/>
      <c r="AG2663" s="3"/>
      <c r="AH2663" s="3"/>
      <c r="AI2663" s="3"/>
      <c r="AJ2663" s="3"/>
      <c r="AK2663" s="3"/>
      <c r="AL2663" s="3"/>
    </row>
    <row r="2664" ht="15.75" customHeight="1">
      <c r="A2664" s="27">
        <f t="shared" si="21"/>
        <v>1543</v>
      </c>
      <c r="B2664" s="28" t="s">
        <v>9298</v>
      </c>
      <c r="C2664" s="29" t="s">
        <v>9299</v>
      </c>
      <c r="D2664" s="30" t="s">
        <v>9300</v>
      </c>
      <c r="E2664" s="28" t="s">
        <v>144</v>
      </c>
      <c r="F2664" s="28" t="s">
        <v>29</v>
      </c>
      <c r="G2664" s="28" t="s">
        <v>30</v>
      </c>
      <c r="H2664" s="28"/>
      <c r="I2664" s="28" t="s">
        <v>159</v>
      </c>
      <c r="J2664" s="28">
        <v>173.0</v>
      </c>
      <c r="K2664" s="28"/>
      <c r="L2664" s="28" t="s">
        <v>9301</v>
      </c>
      <c r="M2664" s="28" t="s">
        <v>8141</v>
      </c>
      <c r="N2664" s="28">
        <v>2010.0</v>
      </c>
      <c r="O2664" s="28">
        <v>12.0</v>
      </c>
      <c r="P2664" s="28">
        <v>1.0</v>
      </c>
      <c r="Q2664" s="94">
        <v>1.0</v>
      </c>
      <c r="R2664" s="33"/>
      <c r="S2664" s="40"/>
      <c r="T2664" s="40"/>
      <c r="U2664" s="40"/>
      <c r="V2664" s="40"/>
      <c r="W2664" s="40"/>
      <c r="X2664" s="40"/>
      <c r="Y2664" s="3"/>
      <c r="Z2664" s="3"/>
      <c r="AA2664" s="3"/>
      <c r="AB2664" s="3"/>
      <c r="AC2664" s="3"/>
      <c r="AD2664" s="3"/>
      <c r="AE2664" s="3"/>
      <c r="AF2664" s="3"/>
      <c r="AG2664" s="3"/>
      <c r="AH2664" s="3"/>
      <c r="AI2664" s="3"/>
      <c r="AJ2664" s="3"/>
      <c r="AK2664" s="3"/>
      <c r="AL2664" s="3"/>
    </row>
    <row r="2665" ht="15.75" customHeight="1">
      <c r="A2665" s="27">
        <f t="shared" si="21"/>
        <v>1544</v>
      </c>
      <c r="B2665" s="28" t="s">
        <v>9302</v>
      </c>
      <c r="C2665" s="43" t="s">
        <v>9303</v>
      </c>
      <c r="D2665" s="30" t="s">
        <v>9304</v>
      </c>
      <c r="E2665" s="28" t="s">
        <v>144</v>
      </c>
      <c r="F2665" s="28" t="s">
        <v>29</v>
      </c>
      <c r="G2665" s="28" t="s">
        <v>30</v>
      </c>
      <c r="H2665" s="28"/>
      <c r="I2665" s="28" t="s">
        <v>30</v>
      </c>
      <c r="J2665" s="28">
        <v>513.0</v>
      </c>
      <c r="K2665" s="28"/>
      <c r="L2665" s="28" t="s">
        <v>3335</v>
      </c>
      <c r="M2665" s="28" t="s">
        <v>161</v>
      </c>
      <c r="N2665" s="28">
        <v>1996.0</v>
      </c>
      <c r="O2665" s="60">
        <v>12.0</v>
      </c>
      <c r="P2665" s="28">
        <v>1.0</v>
      </c>
      <c r="Q2665" s="94">
        <v>1.0</v>
      </c>
      <c r="R2665" s="33"/>
      <c r="S2665" s="116"/>
      <c r="T2665" s="116"/>
      <c r="U2665" s="116"/>
      <c r="V2665" s="116"/>
      <c r="W2665" s="116"/>
      <c r="X2665" s="116"/>
      <c r="Y2665" s="3"/>
      <c r="Z2665" s="3"/>
      <c r="AA2665" s="3"/>
      <c r="AB2665" s="3"/>
      <c r="AC2665" s="3"/>
      <c r="AD2665" s="3"/>
      <c r="AE2665" s="3"/>
      <c r="AF2665" s="3"/>
      <c r="AG2665" s="3"/>
      <c r="AH2665" s="3"/>
      <c r="AI2665" s="3"/>
      <c r="AJ2665" s="3"/>
      <c r="AK2665" s="3"/>
      <c r="AL2665" s="3"/>
    </row>
    <row r="2666" ht="15.75" customHeight="1">
      <c r="A2666" s="27">
        <f t="shared" si="21"/>
        <v>1545</v>
      </c>
      <c r="B2666" s="28" t="s">
        <v>9305</v>
      </c>
      <c r="C2666" s="29" t="s">
        <v>9306</v>
      </c>
      <c r="D2666" s="30" t="s">
        <v>9307</v>
      </c>
      <c r="E2666" s="28" t="s">
        <v>144</v>
      </c>
      <c r="F2666" s="28" t="s">
        <v>29</v>
      </c>
      <c r="G2666" s="28" t="s">
        <v>159</v>
      </c>
      <c r="H2666" s="28"/>
      <c r="I2666" s="28" t="s">
        <v>30</v>
      </c>
      <c r="J2666" s="28">
        <v>197.0</v>
      </c>
      <c r="K2666" s="28"/>
      <c r="L2666" s="28" t="s">
        <v>9308</v>
      </c>
      <c r="M2666" s="28" t="s">
        <v>7122</v>
      </c>
      <c r="N2666" s="28">
        <v>2006.0</v>
      </c>
      <c r="O2666" s="60">
        <v>12.0</v>
      </c>
      <c r="P2666" s="28">
        <v>1.0</v>
      </c>
      <c r="Q2666" s="94">
        <v>2.0</v>
      </c>
      <c r="R2666" s="33"/>
      <c r="S2666" s="34"/>
      <c r="T2666" s="34"/>
      <c r="U2666" s="34"/>
      <c r="V2666" s="34"/>
      <c r="W2666" s="34"/>
      <c r="X2666" s="34"/>
      <c r="Y2666" s="3"/>
      <c r="Z2666" s="3"/>
      <c r="AA2666" s="3"/>
      <c r="AB2666" s="3"/>
      <c r="AC2666" s="3"/>
      <c r="AD2666" s="3"/>
      <c r="AE2666" s="3"/>
      <c r="AF2666" s="3"/>
      <c r="AG2666" s="3"/>
      <c r="AH2666" s="3"/>
      <c r="AI2666" s="3"/>
      <c r="AJ2666" s="3"/>
      <c r="AK2666" s="3"/>
      <c r="AL2666" s="3"/>
    </row>
    <row r="2667" ht="15.75" customHeight="1">
      <c r="A2667" s="27">
        <f t="shared" si="21"/>
        <v>1546</v>
      </c>
      <c r="B2667" s="28" t="s">
        <v>9309</v>
      </c>
      <c r="C2667" s="43" t="s">
        <v>9310</v>
      </c>
      <c r="D2667" s="30" t="s">
        <v>9311</v>
      </c>
      <c r="E2667" s="28" t="s">
        <v>144</v>
      </c>
      <c r="F2667" s="28" t="s">
        <v>29</v>
      </c>
      <c r="G2667" s="28" t="s">
        <v>159</v>
      </c>
      <c r="H2667" s="28"/>
      <c r="I2667" s="28" t="s">
        <v>30</v>
      </c>
      <c r="J2667" s="28">
        <v>196.0</v>
      </c>
      <c r="K2667" s="28"/>
      <c r="L2667" s="28" t="s">
        <v>9308</v>
      </c>
      <c r="M2667" s="28" t="s">
        <v>7122</v>
      </c>
      <c r="N2667" s="28">
        <v>2006.0</v>
      </c>
      <c r="O2667" s="60">
        <v>12.0</v>
      </c>
      <c r="P2667" s="28">
        <v>1.0</v>
      </c>
      <c r="Q2667" s="94">
        <v>1.0</v>
      </c>
      <c r="R2667" s="33"/>
      <c r="S2667" s="40"/>
      <c r="T2667" s="40"/>
      <c r="U2667" s="40"/>
      <c r="V2667" s="40"/>
      <c r="W2667" s="40"/>
      <c r="X2667" s="40"/>
      <c r="Y2667" s="3"/>
      <c r="Z2667" s="3"/>
      <c r="AA2667" s="3"/>
      <c r="AB2667" s="3"/>
      <c r="AC2667" s="3"/>
      <c r="AD2667" s="3"/>
      <c r="AE2667" s="3"/>
      <c r="AF2667" s="3"/>
      <c r="AG2667" s="3"/>
      <c r="AH2667" s="3"/>
      <c r="AI2667" s="3"/>
      <c r="AJ2667" s="3"/>
      <c r="AK2667" s="3"/>
      <c r="AL2667" s="3"/>
    </row>
    <row r="2668" ht="15.75" customHeight="1">
      <c r="A2668" s="27">
        <f t="shared" si="21"/>
        <v>1547</v>
      </c>
      <c r="B2668" s="28" t="s">
        <v>31</v>
      </c>
      <c r="C2668" s="29" t="s">
        <v>9312</v>
      </c>
      <c r="D2668" s="30" t="s">
        <v>9313</v>
      </c>
      <c r="E2668" s="28" t="s">
        <v>144</v>
      </c>
      <c r="F2668" s="28" t="s">
        <v>29</v>
      </c>
      <c r="G2668" s="28" t="s">
        <v>30</v>
      </c>
      <c r="H2668" s="28"/>
      <c r="I2668" s="28" t="s">
        <v>30</v>
      </c>
      <c r="J2668" s="28">
        <v>462.0</v>
      </c>
      <c r="K2668" s="28"/>
      <c r="L2668" s="28" t="s">
        <v>9314</v>
      </c>
      <c r="M2668" s="28" t="s">
        <v>4762</v>
      </c>
      <c r="N2668" s="28">
        <v>2002.0</v>
      </c>
      <c r="O2668" s="60">
        <v>12.0</v>
      </c>
      <c r="P2668" s="28">
        <v>1.0</v>
      </c>
      <c r="Q2668" s="32">
        <v>1.0</v>
      </c>
      <c r="R2668" s="33"/>
      <c r="S2668" s="34"/>
      <c r="T2668" s="34"/>
      <c r="U2668" s="34"/>
      <c r="V2668" s="34"/>
      <c r="W2668" s="34"/>
      <c r="X2668" s="34"/>
      <c r="Y2668" s="3"/>
      <c r="Z2668" s="3"/>
      <c r="AA2668" s="3"/>
      <c r="AB2668" s="3"/>
      <c r="AC2668" s="3"/>
      <c r="AD2668" s="3"/>
      <c r="AE2668" s="3"/>
      <c r="AF2668" s="3"/>
      <c r="AG2668" s="3"/>
      <c r="AH2668" s="3"/>
      <c r="AI2668" s="3"/>
      <c r="AJ2668" s="3"/>
      <c r="AK2668" s="3"/>
      <c r="AL2668" s="3"/>
    </row>
    <row r="2669" ht="15.75" customHeight="1">
      <c r="A2669" s="27">
        <f t="shared" si="21"/>
        <v>1548</v>
      </c>
      <c r="B2669" s="28" t="s">
        <v>31</v>
      </c>
      <c r="C2669" s="43" t="s">
        <v>9315</v>
      </c>
      <c r="D2669" s="30" t="s">
        <v>9316</v>
      </c>
      <c r="E2669" s="28" t="s">
        <v>144</v>
      </c>
      <c r="F2669" s="28" t="s">
        <v>29</v>
      </c>
      <c r="G2669" s="28" t="s">
        <v>30</v>
      </c>
      <c r="H2669" s="28"/>
      <c r="I2669" s="28" t="s">
        <v>30</v>
      </c>
      <c r="J2669" s="28">
        <v>414.0</v>
      </c>
      <c r="K2669" s="28"/>
      <c r="L2669" s="28" t="s">
        <v>9314</v>
      </c>
      <c r="M2669" s="28" t="s">
        <v>4762</v>
      </c>
      <c r="N2669" s="28">
        <v>2002.0</v>
      </c>
      <c r="O2669" s="60">
        <v>12.0</v>
      </c>
      <c r="P2669" s="28">
        <v>1.0</v>
      </c>
      <c r="Q2669" s="94">
        <v>1.0</v>
      </c>
      <c r="R2669" s="33"/>
      <c r="S2669" s="34"/>
      <c r="T2669" s="34"/>
      <c r="U2669" s="34"/>
      <c r="V2669" s="34"/>
      <c r="W2669" s="34"/>
      <c r="X2669" s="34"/>
      <c r="Y2669" s="3"/>
      <c r="Z2669" s="3"/>
      <c r="AA2669" s="3"/>
      <c r="AB2669" s="3"/>
      <c r="AC2669" s="3"/>
      <c r="AD2669" s="3"/>
      <c r="AE2669" s="3"/>
      <c r="AF2669" s="3"/>
      <c r="AG2669" s="3"/>
      <c r="AH2669" s="3"/>
      <c r="AI2669" s="3"/>
      <c r="AJ2669" s="3"/>
      <c r="AK2669" s="3"/>
      <c r="AL2669" s="3"/>
    </row>
    <row r="2670" ht="15.75" customHeight="1">
      <c r="A2670" s="27">
        <f t="shared" si="21"/>
        <v>1549</v>
      </c>
      <c r="B2670" s="121" t="s">
        <v>9317</v>
      </c>
      <c r="C2670" s="121" t="s">
        <v>9318</v>
      </c>
      <c r="D2670" s="119" t="s">
        <v>9319</v>
      </c>
      <c r="E2670" s="121" t="s">
        <v>144</v>
      </c>
      <c r="F2670" s="121" t="s">
        <v>29</v>
      </c>
      <c r="G2670" s="121" t="s">
        <v>6448</v>
      </c>
      <c r="H2670" s="83"/>
      <c r="I2670" s="121" t="s">
        <v>38</v>
      </c>
      <c r="J2670" s="121">
        <v>544.0</v>
      </c>
      <c r="K2670" s="83"/>
      <c r="L2670" s="121" t="s">
        <v>9320</v>
      </c>
      <c r="M2670" s="121" t="s">
        <v>3268</v>
      </c>
      <c r="N2670" s="121">
        <v>2004.0</v>
      </c>
      <c r="O2670" s="60">
        <v>12.0</v>
      </c>
      <c r="P2670" s="121">
        <v>1.0</v>
      </c>
      <c r="Q2670" s="121">
        <v>1.0</v>
      </c>
      <c r="R2670" s="84"/>
      <c r="S2670" s="116"/>
      <c r="T2670" s="116"/>
      <c r="U2670" s="116"/>
      <c r="V2670" s="116"/>
      <c r="W2670" s="116"/>
      <c r="X2670" s="116"/>
      <c r="Y2670" s="45"/>
      <c r="Z2670" s="45"/>
      <c r="AA2670" s="45"/>
      <c r="AB2670" s="45"/>
      <c r="AC2670" s="45"/>
      <c r="AD2670" s="45"/>
      <c r="AE2670" s="45"/>
      <c r="AF2670" s="45"/>
      <c r="AG2670" s="45"/>
      <c r="AH2670" s="45"/>
      <c r="AI2670" s="45"/>
      <c r="AJ2670" s="45"/>
      <c r="AK2670" s="45"/>
      <c r="AL2670" s="45"/>
    </row>
    <row r="2671" ht="15.75" customHeight="1">
      <c r="A2671" s="27">
        <f t="shared" si="21"/>
        <v>1550</v>
      </c>
      <c r="B2671" s="28" t="s">
        <v>9321</v>
      </c>
      <c r="C2671" s="29" t="s">
        <v>9322</v>
      </c>
      <c r="D2671" s="30" t="s">
        <v>9323</v>
      </c>
      <c r="E2671" s="28" t="s">
        <v>144</v>
      </c>
      <c r="F2671" s="28" t="s">
        <v>29</v>
      </c>
      <c r="G2671" s="28" t="s">
        <v>30</v>
      </c>
      <c r="H2671" s="28"/>
      <c r="I2671" s="28" t="s">
        <v>30</v>
      </c>
      <c r="J2671" s="28">
        <v>218.0</v>
      </c>
      <c r="K2671" s="28"/>
      <c r="L2671" s="28" t="s">
        <v>9324</v>
      </c>
      <c r="M2671" s="28" t="s">
        <v>151</v>
      </c>
      <c r="N2671" s="28">
        <v>2005.0</v>
      </c>
      <c r="O2671" s="60">
        <v>12.0</v>
      </c>
      <c r="P2671" s="28">
        <v>1.0</v>
      </c>
      <c r="Q2671" s="94">
        <v>1.0</v>
      </c>
      <c r="R2671" s="33"/>
      <c r="S2671" s="34"/>
      <c r="T2671" s="34"/>
      <c r="U2671" s="34"/>
      <c r="V2671" s="34"/>
      <c r="W2671" s="34"/>
      <c r="X2671" s="34"/>
      <c r="Y2671" s="3"/>
      <c r="Z2671" s="3"/>
      <c r="AA2671" s="3"/>
      <c r="AB2671" s="3"/>
      <c r="AC2671" s="3"/>
      <c r="AD2671" s="3"/>
      <c r="AE2671" s="3"/>
      <c r="AF2671" s="3"/>
      <c r="AG2671" s="3"/>
      <c r="AH2671" s="3"/>
      <c r="AI2671" s="3"/>
      <c r="AJ2671" s="3"/>
      <c r="AK2671" s="3"/>
      <c r="AL2671" s="3"/>
    </row>
    <row r="2672" ht="15.75" customHeight="1">
      <c r="A2672" s="27">
        <f t="shared" si="21"/>
        <v>1551</v>
      </c>
      <c r="B2672" s="28" t="s">
        <v>9325</v>
      </c>
      <c r="C2672" s="29" t="s">
        <v>9326</v>
      </c>
      <c r="D2672" s="30" t="s">
        <v>9327</v>
      </c>
      <c r="E2672" s="28" t="s">
        <v>144</v>
      </c>
      <c r="F2672" s="28" t="s">
        <v>29</v>
      </c>
      <c r="G2672" s="28" t="s">
        <v>30</v>
      </c>
      <c r="H2672" s="28"/>
      <c r="I2672" s="28" t="s">
        <v>30</v>
      </c>
      <c r="J2672" s="28">
        <v>228.0</v>
      </c>
      <c r="K2672" s="28"/>
      <c r="L2672" s="28" t="s">
        <v>3034</v>
      </c>
      <c r="M2672" s="28" t="s">
        <v>161</v>
      </c>
      <c r="N2672" s="28">
        <v>1999.0</v>
      </c>
      <c r="O2672" s="60">
        <v>12.0</v>
      </c>
      <c r="P2672" s="28">
        <v>3.0</v>
      </c>
      <c r="Q2672" s="94">
        <v>2.0</v>
      </c>
      <c r="R2672" s="33"/>
      <c r="S2672" s="116"/>
      <c r="T2672" s="116"/>
      <c r="U2672" s="116"/>
      <c r="V2672" s="116"/>
      <c r="W2672" s="116"/>
      <c r="X2672" s="116"/>
      <c r="Y2672" s="3"/>
      <c r="Z2672" s="3"/>
      <c r="AA2672" s="3"/>
      <c r="AB2672" s="3"/>
      <c r="AC2672" s="3"/>
      <c r="AD2672" s="3"/>
      <c r="AE2672" s="3"/>
      <c r="AF2672" s="3"/>
      <c r="AG2672" s="3"/>
      <c r="AH2672" s="3"/>
      <c r="AI2672" s="3"/>
      <c r="AJ2672" s="3"/>
      <c r="AK2672" s="3"/>
      <c r="AL2672" s="3"/>
    </row>
    <row r="2673" ht="15.75" customHeight="1">
      <c r="A2673" s="27">
        <f t="shared" si="21"/>
        <v>1552</v>
      </c>
      <c r="B2673" s="28" t="s">
        <v>9328</v>
      </c>
      <c r="C2673" s="29" t="s">
        <v>9329</v>
      </c>
      <c r="D2673" s="30" t="s">
        <v>9330</v>
      </c>
      <c r="E2673" s="28" t="s">
        <v>144</v>
      </c>
      <c r="F2673" s="28" t="s">
        <v>29</v>
      </c>
      <c r="G2673" s="28" t="s">
        <v>30</v>
      </c>
      <c r="H2673" s="28"/>
      <c r="I2673" s="28" t="s">
        <v>30</v>
      </c>
      <c r="J2673" s="28">
        <v>412.0</v>
      </c>
      <c r="K2673" s="28"/>
      <c r="L2673" s="28" t="s">
        <v>249</v>
      </c>
      <c r="M2673" s="28" t="s">
        <v>151</v>
      </c>
      <c r="N2673" s="28">
        <v>2012.0</v>
      </c>
      <c r="O2673" s="60">
        <v>12.0</v>
      </c>
      <c r="P2673" s="28">
        <v>1.0</v>
      </c>
      <c r="Q2673" s="94">
        <v>1.0</v>
      </c>
      <c r="R2673" s="33"/>
      <c r="S2673" s="34"/>
      <c r="T2673" s="34"/>
      <c r="U2673" s="34"/>
      <c r="V2673" s="34"/>
      <c r="W2673" s="34"/>
      <c r="X2673" s="34"/>
      <c r="Y2673" s="3"/>
      <c r="Z2673" s="3"/>
      <c r="AA2673" s="3"/>
      <c r="AB2673" s="3"/>
      <c r="AC2673" s="3"/>
      <c r="AD2673" s="3"/>
      <c r="AE2673" s="3"/>
      <c r="AF2673" s="3"/>
      <c r="AG2673" s="3"/>
      <c r="AH2673" s="3"/>
      <c r="AI2673" s="3"/>
      <c r="AJ2673" s="3"/>
      <c r="AK2673" s="3"/>
      <c r="AL2673" s="3"/>
    </row>
    <row r="2674" ht="15.75" customHeight="1">
      <c r="A2674" s="27">
        <f t="shared" si="21"/>
        <v>1553</v>
      </c>
      <c r="B2674" s="28" t="s">
        <v>9331</v>
      </c>
      <c r="C2674" s="43" t="s">
        <v>9332</v>
      </c>
      <c r="D2674" s="30" t="s">
        <v>9333</v>
      </c>
      <c r="E2674" s="28"/>
      <c r="F2674" s="28" t="s">
        <v>29</v>
      </c>
      <c r="G2674" s="28" t="s">
        <v>30</v>
      </c>
      <c r="H2674" s="28"/>
      <c r="I2674" s="28" t="s">
        <v>30</v>
      </c>
      <c r="J2674" s="28">
        <v>382.0</v>
      </c>
      <c r="K2674" s="28"/>
      <c r="L2674" s="28" t="s">
        <v>9334</v>
      </c>
      <c r="M2674" s="28" t="s">
        <v>151</v>
      </c>
      <c r="N2674" s="28">
        <v>2011.0</v>
      </c>
      <c r="O2674" s="60">
        <v>12.0</v>
      </c>
      <c r="P2674" s="28">
        <v>1.0</v>
      </c>
      <c r="Q2674" s="94">
        <v>1.0</v>
      </c>
      <c r="R2674" s="33"/>
      <c r="S2674" s="185"/>
      <c r="T2674" s="185"/>
      <c r="U2674" s="185"/>
      <c r="V2674" s="185"/>
      <c r="W2674" s="185"/>
      <c r="X2674" s="185"/>
      <c r="Y2674" s="3"/>
      <c r="Z2674" s="3"/>
      <c r="AA2674" s="3"/>
      <c r="AB2674" s="3"/>
      <c r="AC2674" s="3"/>
      <c r="AD2674" s="3"/>
      <c r="AE2674" s="3"/>
      <c r="AF2674" s="3"/>
      <c r="AG2674" s="3"/>
      <c r="AH2674" s="3"/>
      <c r="AI2674" s="3"/>
      <c r="AJ2674" s="3"/>
      <c r="AK2674" s="3"/>
      <c r="AL2674" s="3"/>
    </row>
    <row r="2675" ht="15.75" customHeight="1">
      <c r="A2675" s="27">
        <f t="shared" si="21"/>
        <v>1554</v>
      </c>
      <c r="B2675" s="28" t="s">
        <v>9335</v>
      </c>
      <c r="C2675" s="43" t="s">
        <v>9336</v>
      </c>
      <c r="D2675" s="30" t="s">
        <v>9337</v>
      </c>
      <c r="E2675" s="28" t="s">
        <v>144</v>
      </c>
      <c r="F2675" s="28" t="s">
        <v>29</v>
      </c>
      <c r="G2675" s="28" t="s">
        <v>30</v>
      </c>
      <c r="H2675" s="28"/>
      <c r="I2675" s="28" t="s">
        <v>30</v>
      </c>
      <c r="J2675" s="28">
        <v>496.0</v>
      </c>
      <c r="K2675" s="28"/>
      <c r="L2675" s="28" t="s">
        <v>9334</v>
      </c>
      <c r="M2675" s="28" t="s">
        <v>151</v>
      </c>
      <c r="N2675" s="28">
        <v>2011.0</v>
      </c>
      <c r="O2675" s="60">
        <v>12.0</v>
      </c>
      <c r="P2675" s="28">
        <v>1.0</v>
      </c>
      <c r="Q2675" s="32">
        <v>1.0</v>
      </c>
      <c r="R2675" s="33"/>
      <c r="S2675" s="40"/>
      <c r="T2675" s="40"/>
      <c r="U2675" s="40"/>
      <c r="V2675" s="40"/>
      <c r="W2675" s="40"/>
      <c r="X2675" s="40"/>
      <c r="Y2675" s="3"/>
      <c r="Z2675" s="3"/>
      <c r="AA2675" s="3"/>
      <c r="AB2675" s="3"/>
      <c r="AC2675" s="3"/>
      <c r="AD2675" s="3"/>
      <c r="AE2675" s="3"/>
      <c r="AF2675" s="3"/>
      <c r="AG2675" s="3"/>
      <c r="AH2675" s="3"/>
      <c r="AI2675" s="3"/>
      <c r="AJ2675" s="3"/>
      <c r="AK2675" s="3"/>
      <c r="AL2675" s="3"/>
    </row>
    <row r="2676" ht="15.75" customHeight="1">
      <c r="A2676" s="27">
        <f t="shared" si="21"/>
        <v>1555</v>
      </c>
      <c r="B2676" s="28" t="s">
        <v>9338</v>
      </c>
      <c r="C2676" s="29" t="s">
        <v>9339</v>
      </c>
      <c r="D2676" s="30" t="s">
        <v>9340</v>
      </c>
      <c r="E2676" s="28"/>
      <c r="F2676" s="28" t="s">
        <v>29</v>
      </c>
      <c r="G2676" s="28" t="s">
        <v>30</v>
      </c>
      <c r="H2676" s="28"/>
      <c r="I2676" s="28" t="s">
        <v>30</v>
      </c>
      <c r="J2676" s="28">
        <v>369.0</v>
      </c>
      <c r="K2676" s="28"/>
      <c r="L2676" s="28" t="s">
        <v>9341</v>
      </c>
      <c r="M2676" s="28" t="s">
        <v>151</v>
      </c>
      <c r="N2676" s="28">
        <v>2011.0</v>
      </c>
      <c r="O2676" s="60">
        <v>12.0</v>
      </c>
      <c r="P2676" s="28">
        <v>1.0</v>
      </c>
      <c r="Q2676" s="94">
        <v>1.0</v>
      </c>
      <c r="R2676" s="33"/>
      <c r="S2676" s="34"/>
      <c r="T2676" s="34"/>
      <c r="U2676" s="34"/>
      <c r="V2676" s="34"/>
      <c r="W2676" s="34"/>
      <c r="X2676" s="34"/>
      <c r="Y2676" s="3"/>
      <c r="Z2676" s="3"/>
      <c r="AA2676" s="3"/>
      <c r="AB2676" s="3"/>
      <c r="AC2676" s="3"/>
      <c r="AD2676" s="3"/>
      <c r="AE2676" s="3"/>
      <c r="AF2676" s="3"/>
      <c r="AG2676" s="3"/>
      <c r="AH2676" s="3"/>
      <c r="AI2676" s="3"/>
      <c r="AJ2676" s="3"/>
      <c r="AK2676" s="3"/>
      <c r="AL2676" s="3"/>
    </row>
    <row r="2677" ht="15.75" customHeight="1">
      <c r="A2677" s="27">
        <f t="shared" si="21"/>
        <v>1556</v>
      </c>
      <c r="B2677" s="28" t="s">
        <v>9342</v>
      </c>
      <c r="C2677" s="29" t="s">
        <v>9343</v>
      </c>
      <c r="D2677" s="30" t="s">
        <v>9344</v>
      </c>
      <c r="E2677" s="28"/>
      <c r="F2677" s="28" t="s">
        <v>29</v>
      </c>
      <c r="G2677" s="28" t="s">
        <v>37</v>
      </c>
      <c r="H2677" s="28"/>
      <c r="I2677" s="28" t="s">
        <v>38</v>
      </c>
      <c r="J2677" s="28">
        <v>269.0</v>
      </c>
      <c r="K2677" s="28"/>
      <c r="L2677" s="28" t="s">
        <v>1745</v>
      </c>
      <c r="M2677" s="28" t="s">
        <v>9345</v>
      </c>
      <c r="N2677" s="28">
        <v>1981.0</v>
      </c>
      <c r="O2677" s="60">
        <v>12.0</v>
      </c>
      <c r="P2677" s="28">
        <v>1.0</v>
      </c>
      <c r="Q2677" s="94">
        <v>1.0</v>
      </c>
      <c r="R2677" s="33"/>
      <c r="S2677" s="40"/>
      <c r="T2677" s="40"/>
      <c r="U2677" s="40"/>
      <c r="V2677" s="40"/>
      <c r="W2677" s="40"/>
      <c r="X2677" s="40"/>
      <c r="Y2677" s="3"/>
      <c r="Z2677" s="3"/>
      <c r="AA2677" s="3"/>
      <c r="AB2677" s="3"/>
      <c r="AC2677" s="3"/>
      <c r="AD2677" s="3"/>
      <c r="AE2677" s="3"/>
      <c r="AF2677" s="3"/>
      <c r="AG2677" s="3"/>
      <c r="AH2677" s="3"/>
      <c r="AI2677" s="3"/>
      <c r="AJ2677" s="3"/>
      <c r="AK2677" s="3"/>
      <c r="AL2677" s="3"/>
    </row>
    <row r="2678" ht="15.75" customHeight="1">
      <c r="A2678" s="27">
        <f t="shared" si="21"/>
        <v>1557</v>
      </c>
      <c r="B2678" s="28" t="s">
        <v>9346</v>
      </c>
      <c r="C2678" s="43" t="s">
        <v>9347</v>
      </c>
      <c r="D2678" s="30" t="s">
        <v>9348</v>
      </c>
      <c r="E2678" s="28" t="s">
        <v>144</v>
      </c>
      <c r="F2678" s="28" t="s">
        <v>29</v>
      </c>
      <c r="G2678" s="28" t="s">
        <v>30</v>
      </c>
      <c r="H2678" s="28"/>
      <c r="I2678" s="28" t="s">
        <v>30</v>
      </c>
      <c r="J2678" s="28">
        <f>150+8</f>
        <v>158</v>
      </c>
      <c r="K2678" s="28"/>
      <c r="L2678" s="28" t="s">
        <v>9349</v>
      </c>
      <c r="M2678" s="28" t="s">
        <v>9350</v>
      </c>
      <c r="N2678" s="28">
        <v>2014.0</v>
      </c>
      <c r="O2678" s="60">
        <v>12.0</v>
      </c>
      <c r="P2678" s="28">
        <v>1.0</v>
      </c>
      <c r="Q2678" s="94">
        <v>1.0</v>
      </c>
      <c r="R2678" s="33"/>
      <c r="S2678" s="40"/>
      <c r="T2678" s="40"/>
      <c r="U2678" s="40"/>
      <c r="V2678" s="40"/>
      <c r="W2678" s="40"/>
      <c r="X2678" s="40"/>
      <c r="Y2678" s="3"/>
      <c r="Z2678" s="3"/>
      <c r="AA2678" s="3"/>
      <c r="AB2678" s="3"/>
      <c r="AC2678" s="3"/>
      <c r="AD2678" s="3"/>
      <c r="AE2678" s="3"/>
      <c r="AF2678" s="3"/>
      <c r="AG2678" s="3"/>
      <c r="AH2678" s="3"/>
      <c r="AI2678" s="3"/>
      <c r="AJ2678" s="3"/>
      <c r="AK2678" s="3"/>
      <c r="AL2678" s="3"/>
    </row>
    <row r="2679" ht="25.5" customHeight="1">
      <c r="A2679" s="27">
        <f t="shared" si="21"/>
        <v>1558</v>
      </c>
      <c r="B2679" s="83"/>
      <c r="C2679" s="220" t="s">
        <v>9351</v>
      </c>
      <c r="D2679" s="119" t="s">
        <v>9352</v>
      </c>
      <c r="E2679" s="83"/>
      <c r="F2679" s="83"/>
      <c r="G2679" s="121" t="s">
        <v>37</v>
      </c>
      <c r="H2679" s="83"/>
      <c r="I2679" s="121" t="s">
        <v>38</v>
      </c>
      <c r="J2679" s="121">
        <v>227.0</v>
      </c>
      <c r="K2679" s="83"/>
      <c r="L2679" s="121" t="s">
        <v>9353</v>
      </c>
      <c r="M2679" s="121" t="s">
        <v>9354</v>
      </c>
      <c r="N2679" s="83"/>
      <c r="O2679" s="60">
        <v>12.0</v>
      </c>
      <c r="P2679" s="121">
        <v>1.0</v>
      </c>
      <c r="Q2679" s="121">
        <v>1.0</v>
      </c>
      <c r="R2679" s="84"/>
      <c r="S2679" s="34"/>
      <c r="T2679" s="34"/>
      <c r="U2679" s="34"/>
      <c r="V2679" s="34"/>
      <c r="W2679" s="34"/>
      <c r="X2679" s="34"/>
      <c r="Y2679" s="3"/>
      <c r="Z2679" s="3"/>
      <c r="AA2679" s="3"/>
      <c r="AB2679" s="3"/>
      <c r="AC2679" s="3"/>
      <c r="AD2679" s="3"/>
      <c r="AE2679" s="3"/>
      <c r="AF2679" s="3"/>
      <c r="AG2679" s="3"/>
      <c r="AH2679" s="3"/>
      <c r="AI2679" s="3"/>
      <c r="AJ2679" s="3"/>
      <c r="AK2679" s="3"/>
      <c r="AL2679" s="3"/>
    </row>
    <row r="2680" ht="15.75" customHeight="1">
      <c r="A2680" s="27">
        <f t="shared" si="21"/>
        <v>1559</v>
      </c>
      <c r="B2680" s="28" t="s">
        <v>9355</v>
      </c>
      <c r="C2680" s="29" t="s">
        <v>9356</v>
      </c>
      <c r="D2680" s="30" t="s">
        <v>9357</v>
      </c>
      <c r="E2680" s="28" t="s">
        <v>144</v>
      </c>
      <c r="F2680" s="28" t="s">
        <v>29</v>
      </c>
      <c r="G2680" s="28"/>
      <c r="H2680" s="28" t="s">
        <v>31</v>
      </c>
      <c r="I2680" s="28" t="s">
        <v>38</v>
      </c>
      <c r="J2680" s="28"/>
      <c r="K2680" s="28"/>
      <c r="L2680" s="28" t="s">
        <v>9358</v>
      </c>
      <c r="M2680" s="28" t="s">
        <v>507</v>
      </c>
      <c r="N2680" s="28">
        <v>2014.0</v>
      </c>
      <c r="O2680" s="60">
        <v>12.0</v>
      </c>
      <c r="P2680" s="28">
        <v>1.0</v>
      </c>
      <c r="Q2680" s="94">
        <v>1.0</v>
      </c>
      <c r="R2680" s="33"/>
      <c r="S2680" s="116"/>
      <c r="T2680" s="116"/>
      <c r="U2680" s="116"/>
      <c r="V2680" s="116"/>
      <c r="W2680" s="116"/>
      <c r="X2680" s="116"/>
      <c r="Y2680" s="3"/>
      <c r="Z2680" s="3"/>
      <c r="AA2680" s="3"/>
      <c r="AB2680" s="3"/>
      <c r="AC2680" s="3"/>
      <c r="AD2680" s="3"/>
      <c r="AE2680" s="3"/>
      <c r="AF2680" s="3"/>
      <c r="AG2680" s="3"/>
      <c r="AH2680" s="3"/>
      <c r="AI2680" s="3"/>
      <c r="AJ2680" s="3"/>
      <c r="AK2680" s="3"/>
      <c r="AL2680" s="3"/>
    </row>
    <row r="2681" ht="51.75" customHeight="1">
      <c r="A2681" s="27">
        <f t="shared" si="21"/>
        <v>1560</v>
      </c>
      <c r="B2681" s="28" t="s">
        <v>9359</v>
      </c>
      <c r="C2681" s="29" t="s">
        <v>9360</v>
      </c>
      <c r="D2681" s="30" t="s">
        <v>9361</v>
      </c>
      <c r="E2681" s="28" t="s">
        <v>144</v>
      </c>
      <c r="F2681" s="28" t="s">
        <v>29</v>
      </c>
      <c r="G2681" s="28" t="s">
        <v>30</v>
      </c>
      <c r="H2681" s="28"/>
      <c r="I2681" s="28" t="s">
        <v>30</v>
      </c>
      <c r="J2681" s="28">
        <v>520.0</v>
      </c>
      <c r="K2681" s="28"/>
      <c r="L2681" s="28" t="s">
        <v>9362</v>
      </c>
      <c r="M2681" s="28" t="s">
        <v>1040</v>
      </c>
      <c r="N2681" s="28">
        <v>2006.0</v>
      </c>
      <c r="O2681" s="60">
        <v>12.0</v>
      </c>
      <c r="P2681" s="28">
        <v>1.0</v>
      </c>
      <c r="Q2681" s="94">
        <v>1.0</v>
      </c>
      <c r="R2681" s="33"/>
      <c r="S2681" s="40"/>
      <c r="T2681" s="40"/>
      <c r="U2681" s="40"/>
      <c r="V2681" s="40"/>
      <c r="W2681" s="40"/>
      <c r="X2681" s="40"/>
      <c r="Y2681" s="45"/>
      <c r="Z2681" s="45"/>
      <c r="AA2681" s="45"/>
      <c r="AB2681" s="45"/>
      <c r="AC2681" s="45"/>
      <c r="AD2681" s="45"/>
      <c r="AE2681" s="45"/>
      <c r="AF2681" s="45"/>
      <c r="AG2681" s="45"/>
      <c r="AH2681" s="45"/>
      <c r="AI2681" s="45"/>
      <c r="AJ2681" s="45"/>
      <c r="AK2681" s="45"/>
      <c r="AL2681" s="45"/>
    </row>
    <row r="2682" ht="15.75" customHeight="1">
      <c r="A2682" s="27">
        <f t="shared" si="21"/>
        <v>1561</v>
      </c>
      <c r="B2682" s="33"/>
      <c r="C2682" s="130" t="s">
        <v>9363</v>
      </c>
      <c r="D2682" s="221" t="s">
        <v>9364</v>
      </c>
      <c r="E2682" s="33"/>
      <c r="F2682" s="132" t="s">
        <v>29</v>
      </c>
      <c r="G2682" s="132" t="s">
        <v>37</v>
      </c>
      <c r="H2682" s="33"/>
      <c r="I2682" s="132" t="s">
        <v>38</v>
      </c>
      <c r="J2682" s="132">
        <v>233.0</v>
      </c>
      <c r="K2682" s="33"/>
      <c r="L2682" s="132" t="s">
        <v>9365</v>
      </c>
      <c r="M2682" s="132" t="s">
        <v>352</v>
      </c>
      <c r="N2682" s="132">
        <v>1999.0</v>
      </c>
      <c r="O2682" s="60">
        <v>12.0</v>
      </c>
      <c r="P2682" s="132">
        <v>1.0</v>
      </c>
      <c r="Q2682" s="132">
        <v>1.0</v>
      </c>
      <c r="R2682" s="84"/>
      <c r="S2682" s="40"/>
      <c r="T2682" s="40"/>
      <c r="U2682" s="40"/>
      <c r="V2682" s="40"/>
      <c r="W2682" s="40"/>
      <c r="X2682" s="40"/>
      <c r="Y2682" s="3"/>
      <c r="Z2682" s="3"/>
      <c r="AA2682" s="3"/>
      <c r="AB2682" s="3"/>
      <c r="AC2682" s="3"/>
      <c r="AD2682" s="3"/>
      <c r="AE2682" s="3"/>
      <c r="AF2682" s="3"/>
      <c r="AG2682" s="3"/>
      <c r="AH2682" s="3"/>
      <c r="AI2682" s="3"/>
      <c r="AJ2682" s="3"/>
      <c r="AK2682" s="3"/>
      <c r="AL2682" s="3"/>
    </row>
    <row r="2683" ht="15.75" customHeight="1">
      <c r="A2683" s="27">
        <f t="shared" si="21"/>
        <v>1562</v>
      </c>
      <c r="B2683" s="28" t="s">
        <v>9366</v>
      </c>
      <c r="C2683" s="43" t="s">
        <v>9367</v>
      </c>
      <c r="D2683" s="30" t="s">
        <v>9368</v>
      </c>
      <c r="E2683" s="28" t="s">
        <v>31</v>
      </c>
      <c r="F2683" s="28" t="s">
        <v>29</v>
      </c>
      <c r="G2683" s="28" t="s">
        <v>30</v>
      </c>
      <c r="H2683" s="28"/>
      <c r="I2683" s="28" t="s">
        <v>30</v>
      </c>
      <c r="J2683" s="28">
        <v>414.0</v>
      </c>
      <c r="K2683" s="28"/>
      <c r="L2683" s="28" t="s">
        <v>9369</v>
      </c>
      <c r="M2683" s="28" t="s">
        <v>151</v>
      </c>
      <c r="N2683" s="28">
        <v>2006.0</v>
      </c>
      <c r="O2683" s="60">
        <v>12.0</v>
      </c>
      <c r="P2683" s="28">
        <v>1.0</v>
      </c>
      <c r="Q2683" s="94">
        <v>1.0</v>
      </c>
      <c r="R2683" s="33"/>
      <c r="S2683" s="40"/>
      <c r="T2683" s="40"/>
      <c r="U2683" s="40"/>
      <c r="V2683" s="40"/>
      <c r="W2683" s="40"/>
      <c r="X2683" s="40"/>
      <c r="Y2683" s="3"/>
      <c r="Z2683" s="3"/>
      <c r="AA2683" s="3"/>
      <c r="AB2683" s="3"/>
      <c r="AC2683" s="3"/>
      <c r="AD2683" s="3"/>
      <c r="AE2683" s="3"/>
      <c r="AF2683" s="3"/>
      <c r="AG2683" s="3"/>
      <c r="AH2683" s="3"/>
      <c r="AI2683" s="3"/>
      <c r="AJ2683" s="3"/>
      <c r="AK2683" s="3"/>
      <c r="AL2683" s="3"/>
    </row>
    <row r="2684" ht="15.75" customHeight="1">
      <c r="A2684" s="27">
        <f t="shared" si="21"/>
        <v>1563</v>
      </c>
      <c r="B2684" s="28" t="s">
        <v>9370</v>
      </c>
      <c r="C2684" s="43" t="s">
        <v>9371</v>
      </c>
      <c r="D2684" s="30" t="s">
        <v>9372</v>
      </c>
      <c r="E2684" s="28" t="s">
        <v>31</v>
      </c>
      <c r="F2684" s="28" t="s">
        <v>29</v>
      </c>
      <c r="G2684" s="28" t="s">
        <v>37</v>
      </c>
      <c r="H2684" s="28"/>
      <c r="I2684" s="28" t="s">
        <v>38</v>
      </c>
      <c r="J2684" s="28">
        <v>204.0</v>
      </c>
      <c r="K2684" s="28"/>
      <c r="L2684" s="28" t="s">
        <v>9373</v>
      </c>
      <c r="M2684" s="28" t="s">
        <v>230</v>
      </c>
      <c r="N2684" s="28">
        <v>2006.0</v>
      </c>
      <c r="O2684" s="60">
        <v>12.0</v>
      </c>
      <c r="P2684" s="28">
        <v>1.0</v>
      </c>
      <c r="Q2684" s="94">
        <v>1.0</v>
      </c>
      <c r="R2684" s="33"/>
      <c r="S2684" s="40"/>
      <c r="T2684" s="40"/>
      <c r="U2684" s="40"/>
      <c r="V2684" s="40"/>
      <c r="W2684" s="40"/>
      <c r="X2684" s="40"/>
      <c r="Y2684" s="45"/>
      <c r="Z2684" s="45"/>
      <c r="AA2684" s="45"/>
      <c r="AB2684" s="45"/>
      <c r="AC2684" s="45"/>
      <c r="AD2684" s="45"/>
      <c r="AE2684" s="45"/>
      <c r="AF2684" s="45"/>
      <c r="AG2684" s="45"/>
      <c r="AH2684" s="45"/>
      <c r="AI2684" s="45"/>
      <c r="AJ2684" s="45"/>
      <c r="AK2684" s="45"/>
      <c r="AL2684" s="45"/>
    </row>
    <row r="2685" ht="15.75" customHeight="1">
      <c r="A2685" s="27">
        <f t="shared" si="21"/>
        <v>1564</v>
      </c>
      <c r="B2685" s="28" t="s">
        <v>9374</v>
      </c>
      <c r="C2685" s="43" t="s">
        <v>9375</v>
      </c>
      <c r="D2685" s="30" t="s">
        <v>9376</v>
      </c>
      <c r="E2685" s="28"/>
      <c r="F2685" s="28" t="s">
        <v>29</v>
      </c>
      <c r="G2685" s="28" t="s">
        <v>30</v>
      </c>
      <c r="H2685" s="28"/>
      <c r="I2685" s="28" t="s">
        <v>30</v>
      </c>
      <c r="J2685" s="28">
        <v>157.0</v>
      </c>
      <c r="K2685" s="28"/>
      <c r="L2685" s="28" t="s">
        <v>9377</v>
      </c>
      <c r="M2685" s="28" t="s">
        <v>151</v>
      </c>
      <c r="N2685" s="28">
        <v>2004.0</v>
      </c>
      <c r="O2685" s="60">
        <v>12.0</v>
      </c>
      <c r="P2685" s="28">
        <v>1.0</v>
      </c>
      <c r="Q2685" s="94">
        <v>1.0</v>
      </c>
      <c r="R2685" s="33"/>
      <c r="S2685" s="34"/>
      <c r="T2685" s="34"/>
      <c r="U2685" s="34"/>
      <c r="V2685" s="34"/>
      <c r="W2685" s="34"/>
      <c r="X2685" s="34"/>
      <c r="Y2685" s="45"/>
      <c r="Z2685" s="45"/>
      <c r="AA2685" s="45"/>
      <c r="AB2685" s="45"/>
      <c r="AC2685" s="45"/>
      <c r="AD2685" s="45"/>
      <c r="AE2685" s="45"/>
      <c r="AF2685" s="45"/>
      <c r="AG2685" s="45"/>
      <c r="AH2685" s="45"/>
      <c r="AI2685" s="45"/>
      <c r="AJ2685" s="45"/>
      <c r="AK2685" s="45"/>
      <c r="AL2685" s="45"/>
    </row>
    <row r="2686" ht="15.75" customHeight="1">
      <c r="A2686" s="27">
        <f t="shared" si="21"/>
        <v>1565</v>
      </c>
      <c r="B2686" s="28"/>
      <c r="C2686" s="29" t="s">
        <v>9378</v>
      </c>
      <c r="D2686" s="30" t="s">
        <v>9379</v>
      </c>
      <c r="E2686" s="28" t="s">
        <v>302</v>
      </c>
      <c r="F2686" s="28" t="s">
        <v>29</v>
      </c>
      <c r="G2686" s="28" t="s">
        <v>30</v>
      </c>
      <c r="H2686" s="28"/>
      <c r="I2686" s="28" t="s">
        <v>30</v>
      </c>
      <c r="J2686" s="28">
        <v>533.0</v>
      </c>
      <c r="K2686" s="28"/>
      <c r="L2686" s="28" t="s">
        <v>9380</v>
      </c>
      <c r="M2686" s="28" t="s">
        <v>2258</v>
      </c>
      <c r="N2686" s="28">
        <v>2003.0</v>
      </c>
      <c r="O2686" s="60">
        <v>12.0</v>
      </c>
      <c r="P2686" s="28">
        <v>1.0</v>
      </c>
      <c r="Q2686" s="94">
        <v>1.0</v>
      </c>
      <c r="R2686" s="33"/>
      <c r="S2686" s="34"/>
      <c r="T2686" s="34"/>
      <c r="U2686" s="34"/>
      <c r="V2686" s="34"/>
      <c r="W2686" s="34"/>
      <c r="X2686" s="34"/>
      <c r="Y2686" s="45"/>
      <c r="Z2686" s="45"/>
      <c r="AA2686" s="45"/>
      <c r="AB2686" s="45"/>
      <c r="AC2686" s="45"/>
      <c r="AD2686" s="45"/>
      <c r="AE2686" s="45"/>
      <c r="AF2686" s="45"/>
      <c r="AG2686" s="45"/>
      <c r="AH2686" s="45"/>
      <c r="AI2686" s="45"/>
      <c r="AJ2686" s="45"/>
      <c r="AK2686" s="45"/>
      <c r="AL2686" s="45"/>
    </row>
    <row r="2687" ht="15.75" customHeight="1">
      <c r="A2687" s="27">
        <f t="shared" si="21"/>
        <v>1566</v>
      </c>
      <c r="B2687" s="28" t="s">
        <v>9381</v>
      </c>
      <c r="C2687" s="29" t="s">
        <v>9382</v>
      </c>
      <c r="D2687" s="30" t="s">
        <v>9383</v>
      </c>
      <c r="E2687" s="28" t="s">
        <v>144</v>
      </c>
      <c r="F2687" s="28" t="s">
        <v>29</v>
      </c>
      <c r="G2687" s="28" t="s">
        <v>37</v>
      </c>
      <c r="H2687" s="28"/>
      <c r="I2687" s="28" t="s">
        <v>38</v>
      </c>
      <c r="J2687" s="28">
        <f>109+6</f>
        <v>115</v>
      </c>
      <c r="K2687" s="28"/>
      <c r="L2687" s="28" t="s">
        <v>9384</v>
      </c>
      <c r="M2687" s="28" t="s">
        <v>9385</v>
      </c>
      <c r="N2687" s="28">
        <v>1983.0</v>
      </c>
      <c r="O2687" s="60">
        <v>12.0</v>
      </c>
      <c r="P2687" s="28">
        <v>1.0</v>
      </c>
      <c r="Q2687" s="94">
        <v>1.0</v>
      </c>
      <c r="R2687" s="33"/>
      <c r="S2687" s="34"/>
      <c r="T2687" s="34"/>
      <c r="U2687" s="34"/>
      <c r="V2687" s="34"/>
      <c r="W2687" s="34"/>
      <c r="X2687" s="34"/>
      <c r="Y2687" s="3"/>
      <c r="Z2687" s="3"/>
      <c r="AA2687" s="3"/>
      <c r="AB2687" s="3"/>
      <c r="AC2687" s="3"/>
      <c r="AD2687" s="3"/>
      <c r="AE2687" s="3"/>
      <c r="AF2687" s="3"/>
      <c r="AG2687" s="3"/>
      <c r="AH2687" s="3"/>
      <c r="AI2687" s="3"/>
      <c r="AJ2687" s="3"/>
      <c r="AK2687" s="3"/>
      <c r="AL2687" s="3"/>
    </row>
    <row r="2688" ht="15.75" customHeight="1">
      <c r="A2688" s="27">
        <f t="shared" si="21"/>
        <v>1567</v>
      </c>
      <c r="B2688" s="28" t="s">
        <v>9386</v>
      </c>
      <c r="C2688" s="43" t="s">
        <v>9387</v>
      </c>
      <c r="D2688" s="30" t="s">
        <v>9388</v>
      </c>
      <c r="E2688" s="28" t="s">
        <v>144</v>
      </c>
      <c r="F2688" s="28" t="s">
        <v>29</v>
      </c>
      <c r="G2688" s="28" t="s">
        <v>30</v>
      </c>
      <c r="H2688" s="28"/>
      <c r="I2688" s="28" t="s">
        <v>30</v>
      </c>
      <c r="J2688" s="28">
        <v>268.0</v>
      </c>
      <c r="K2688" s="28"/>
      <c r="L2688" s="28" t="s">
        <v>9389</v>
      </c>
      <c r="M2688" s="28" t="s">
        <v>9390</v>
      </c>
      <c r="N2688" s="28">
        <v>2002.0</v>
      </c>
      <c r="O2688" s="60">
        <v>12.0</v>
      </c>
      <c r="P2688" s="28">
        <v>1.0</v>
      </c>
      <c r="Q2688" s="94">
        <v>1.0</v>
      </c>
      <c r="R2688" s="33"/>
      <c r="S2688" s="116"/>
      <c r="T2688" s="116"/>
      <c r="U2688" s="116"/>
      <c r="V2688" s="116"/>
      <c r="W2688" s="116"/>
      <c r="X2688" s="116"/>
      <c r="Y2688" s="45"/>
      <c r="Z2688" s="45"/>
      <c r="AA2688" s="45"/>
      <c r="AB2688" s="45"/>
      <c r="AC2688" s="45"/>
      <c r="AD2688" s="45"/>
      <c r="AE2688" s="45"/>
      <c r="AF2688" s="45"/>
      <c r="AG2688" s="45"/>
      <c r="AH2688" s="45"/>
      <c r="AI2688" s="45"/>
      <c r="AJ2688" s="45"/>
      <c r="AK2688" s="45"/>
      <c r="AL2688" s="45"/>
    </row>
    <row r="2689" ht="15.75" customHeight="1">
      <c r="A2689" s="27">
        <f t="shared" si="21"/>
        <v>1568</v>
      </c>
      <c r="B2689" s="28" t="s">
        <v>31</v>
      </c>
      <c r="C2689" s="29" t="s">
        <v>9391</v>
      </c>
      <c r="D2689" s="30" t="s">
        <v>9392</v>
      </c>
      <c r="E2689" s="28" t="s">
        <v>144</v>
      </c>
      <c r="F2689" s="28" t="s">
        <v>29</v>
      </c>
      <c r="G2689" s="28" t="s">
        <v>30</v>
      </c>
      <c r="H2689" s="28"/>
      <c r="I2689" s="28" t="s">
        <v>30</v>
      </c>
      <c r="J2689" s="28">
        <v>199.0</v>
      </c>
      <c r="K2689" s="28"/>
      <c r="L2689" s="28" t="s">
        <v>9393</v>
      </c>
      <c r="M2689" s="28" t="s">
        <v>151</v>
      </c>
      <c r="N2689" s="28">
        <v>1981.0</v>
      </c>
      <c r="O2689" s="60">
        <v>12.0</v>
      </c>
      <c r="P2689" s="28">
        <v>1.0</v>
      </c>
      <c r="Q2689" s="94">
        <v>1.0</v>
      </c>
      <c r="R2689" s="33"/>
      <c r="S2689" s="34"/>
      <c r="T2689" s="34"/>
      <c r="U2689" s="34"/>
      <c r="V2689" s="34"/>
      <c r="W2689" s="34"/>
      <c r="X2689" s="34"/>
      <c r="Y2689" s="3"/>
      <c r="Z2689" s="3"/>
      <c r="AA2689" s="3"/>
      <c r="AB2689" s="3"/>
      <c r="AC2689" s="3"/>
      <c r="AD2689" s="3"/>
      <c r="AE2689" s="3"/>
      <c r="AF2689" s="3"/>
      <c r="AG2689" s="3"/>
      <c r="AH2689" s="3"/>
      <c r="AI2689" s="3"/>
      <c r="AJ2689" s="3"/>
      <c r="AK2689" s="3"/>
      <c r="AL2689" s="3"/>
    </row>
    <row r="2690" ht="51.75" customHeight="1">
      <c r="A2690" s="27">
        <f t="shared" si="21"/>
        <v>1569</v>
      </c>
      <c r="B2690" s="28"/>
      <c r="C2690" s="29" t="s">
        <v>9394</v>
      </c>
      <c r="D2690" s="30" t="s">
        <v>9395</v>
      </c>
      <c r="E2690" s="28" t="s">
        <v>144</v>
      </c>
      <c r="F2690" s="28" t="s">
        <v>29</v>
      </c>
      <c r="G2690" s="28" t="s">
        <v>30</v>
      </c>
      <c r="H2690" s="28" t="s">
        <v>31</v>
      </c>
      <c r="I2690" s="28" t="s">
        <v>30</v>
      </c>
      <c r="J2690" s="28"/>
      <c r="K2690" s="28"/>
      <c r="L2690" s="28" t="s">
        <v>31</v>
      </c>
      <c r="M2690" s="28" t="s">
        <v>31</v>
      </c>
      <c r="N2690" s="28" t="s">
        <v>31</v>
      </c>
      <c r="O2690" s="60">
        <v>12.0</v>
      </c>
      <c r="P2690" s="28">
        <v>1.0</v>
      </c>
      <c r="Q2690" s="94">
        <v>1.0</v>
      </c>
      <c r="R2690" s="33"/>
      <c r="S2690" s="34"/>
      <c r="T2690" s="34"/>
      <c r="U2690" s="34"/>
      <c r="V2690" s="34"/>
      <c r="W2690" s="34"/>
      <c r="X2690" s="34"/>
      <c r="Y2690" s="45"/>
      <c r="Z2690" s="45"/>
      <c r="AA2690" s="45"/>
      <c r="AB2690" s="45"/>
      <c r="AC2690" s="45"/>
      <c r="AD2690" s="45"/>
      <c r="AE2690" s="45"/>
      <c r="AF2690" s="45"/>
      <c r="AG2690" s="45"/>
      <c r="AH2690" s="45"/>
      <c r="AI2690" s="45"/>
      <c r="AJ2690" s="45"/>
      <c r="AK2690" s="45"/>
      <c r="AL2690" s="45"/>
    </row>
    <row r="2691" ht="53.25" customHeight="1">
      <c r="A2691" s="27">
        <f t="shared" si="21"/>
        <v>1570</v>
      </c>
      <c r="B2691" s="28" t="s">
        <v>9396</v>
      </c>
      <c r="C2691" s="29" t="s">
        <v>9397</v>
      </c>
      <c r="D2691" s="30" t="s">
        <v>9398</v>
      </c>
      <c r="E2691" s="28" t="s">
        <v>144</v>
      </c>
      <c r="F2691" s="28" t="s">
        <v>29</v>
      </c>
      <c r="G2691" s="28" t="s">
        <v>30</v>
      </c>
      <c r="H2691" s="28"/>
      <c r="I2691" s="28" t="s">
        <v>30</v>
      </c>
      <c r="J2691" s="28">
        <v>468.0</v>
      </c>
      <c r="K2691" s="28"/>
      <c r="L2691" s="28" t="s">
        <v>9399</v>
      </c>
      <c r="M2691" s="28" t="s">
        <v>4762</v>
      </c>
      <c r="N2691" s="28">
        <v>2004.0</v>
      </c>
      <c r="O2691" s="60">
        <v>12.0</v>
      </c>
      <c r="P2691" s="28">
        <v>1.0</v>
      </c>
      <c r="Q2691" s="94">
        <v>1.0</v>
      </c>
      <c r="R2691" s="33"/>
      <c r="S2691" s="185"/>
      <c r="T2691" s="185"/>
      <c r="U2691" s="185"/>
      <c r="V2691" s="185"/>
      <c r="W2691" s="185"/>
      <c r="X2691" s="185"/>
      <c r="Y2691" s="45"/>
      <c r="Z2691" s="45"/>
      <c r="AA2691" s="45"/>
      <c r="AB2691" s="45"/>
      <c r="AC2691" s="45"/>
      <c r="AD2691" s="45"/>
      <c r="AE2691" s="45"/>
      <c r="AF2691" s="45"/>
      <c r="AG2691" s="45"/>
      <c r="AH2691" s="45"/>
      <c r="AI2691" s="45"/>
      <c r="AJ2691" s="45"/>
      <c r="AK2691" s="45"/>
      <c r="AL2691" s="45"/>
    </row>
    <row r="2692" ht="15.75" customHeight="1">
      <c r="A2692" s="27">
        <f t="shared" si="21"/>
        <v>1571</v>
      </c>
      <c r="B2692" s="121" t="s">
        <v>9400</v>
      </c>
      <c r="C2692" s="156" t="s">
        <v>9401</v>
      </c>
      <c r="D2692" s="119" t="s">
        <v>9402</v>
      </c>
      <c r="E2692" s="121" t="s">
        <v>3578</v>
      </c>
      <c r="F2692" s="121" t="s">
        <v>29</v>
      </c>
      <c r="G2692" s="121" t="s">
        <v>30</v>
      </c>
      <c r="H2692" s="83"/>
      <c r="I2692" s="121" t="s">
        <v>30</v>
      </c>
      <c r="J2692" s="121">
        <v>219.0</v>
      </c>
      <c r="K2692" s="83"/>
      <c r="L2692" s="121" t="s">
        <v>9403</v>
      </c>
      <c r="M2692" s="121" t="s">
        <v>9404</v>
      </c>
      <c r="N2692" s="121">
        <v>2002.0</v>
      </c>
      <c r="O2692" s="60">
        <v>12.0</v>
      </c>
      <c r="P2692" s="121">
        <v>1.0</v>
      </c>
      <c r="Q2692" s="121">
        <v>1.0</v>
      </c>
      <c r="R2692" s="84"/>
      <c r="S2692" s="34"/>
      <c r="T2692" s="34"/>
      <c r="U2692" s="34"/>
      <c r="V2692" s="34"/>
      <c r="W2692" s="34"/>
      <c r="X2692" s="34"/>
      <c r="Y2692" s="45"/>
      <c r="Z2692" s="45"/>
      <c r="AA2692" s="45"/>
      <c r="AB2692" s="45"/>
      <c r="AC2692" s="45"/>
      <c r="AD2692" s="45"/>
      <c r="AE2692" s="45"/>
      <c r="AF2692" s="45"/>
      <c r="AG2692" s="45"/>
      <c r="AH2692" s="45"/>
      <c r="AI2692" s="45"/>
      <c r="AJ2692" s="45"/>
      <c r="AK2692" s="45"/>
      <c r="AL2692" s="45"/>
    </row>
    <row r="2693" ht="15.75" customHeight="1">
      <c r="A2693" s="27">
        <f t="shared" si="21"/>
        <v>1572</v>
      </c>
      <c r="B2693" s="28" t="s">
        <v>9405</v>
      </c>
      <c r="C2693" s="43" t="s">
        <v>9406</v>
      </c>
      <c r="D2693" s="30" t="s">
        <v>9407</v>
      </c>
      <c r="E2693" s="28" t="s">
        <v>144</v>
      </c>
      <c r="F2693" s="28" t="s">
        <v>29</v>
      </c>
      <c r="G2693" s="28" t="s">
        <v>30</v>
      </c>
      <c r="H2693" s="28"/>
      <c r="I2693" s="28" t="s">
        <v>30</v>
      </c>
      <c r="J2693" s="28">
        <v>197.0</v>
      </c>
      <c r="K2693" s="28"/>
      <c r="L2693" s="28" t="s">
        <v>9408</v>
      </c>
      <c r="M2693" s="28" t="s">
        <v>151</v>
      </c>
      <c r="N2693" s="28">
        <v>2011.0</v>
      </c>
      <c r="O2693" s="60">
        <v>12.0</v>
      </c>
      <c r="P2693" s="28">
        <v>1.0</v>
      </c>
      <c r="Q2693" s="94">
        <v>1.0</v>
      </c>
      <c r="R2693" s="33"/>
      <c r="S2693" s="34"/>
      <c r="T2693" s="34"/>
      <c r="U2693" s="34"/>
      <c r="V2693" s="34"/>
      <c r="W2693" s="34"/>
      <c r="X2693" s="34"/>
      <c r="Y2693" s="45"/>
      <c r="Z2693" s="45"/>
      <c r="AA2693" s="45"/>
      <c r="AB2693" s="45"/>
      <c r="AC2693" s="45"/>
      <c r="AD2693" s="45"/>
      <c r="AE2693" s="45"/>
      <c r="AF2693" s="45"/>
      <c r="AG2693" s="45"/>
      <c r="AH2693" s="45"/>
      <c r="AI2693" s="45"/>
      <c r="AJ2693" s="45"/>
      <c r="AK2693" s="45"/>
      <c r="AL2693" s="45"/>
    </row>
    <row r="2694" ht="15.75" customHeight="1">
      <c r="A2694" s="27">
        <f t="shared" si="21"/>
        <v>1573</v>
      </c>
      <c r="B2694" s="28" t="s">
        <v>9409</v>
      </c>
      <c r="C2694" s="29" t="s">
        <v>9410</v>
      </c>
      <c r="D2694" s="39" t="s">
        <v>9411</v>
      </c>
      <c r="E2694" s="28"/>
      <c r="F2694" s="28" t="s">
        <v>29</v>
      </c>
      <c r="G2694" s="28" t="s">
        <v>37</v>
      </c>
      <c r="H2694" s="28"/>
      <c r="I2694" s="28" t="s">
        <v>38</v>
      </c>
      <c r="J2694" s="28">
        <v>400.0</v>
      </c>
      <c r="K2694" s="28"/>
      <c r="L2694" s="28" t="s">
        <v>9229</v>
      </c>
      <c r="M2694" s="28" t="s">
        <v>356</v>
      </c>
      <c r="N2694" s="28">
        <v>1970.0</v>
      </c>
      <c r="O2694" s="60">
        <v>12.0</v>
      </c>
      <c r="P2694" s="28">
        <v>1.0</v>
      </c>
      <c r="Q2694" s="94">
        <v>1.0</v>
      </c>
      <c r="R2694" s="33"/>
      <c r="S2694" s="34"/>
      <c r="T2694" s="34"/>
      <c r="U2694" s="34"/>
      <c r="V2694" s="34"/>
      <c r="W2694" s="34"/>
      <c r="X2694" s="34"/>
      <c r="Y2694" s="45"/>
      <c r="Z2694" s="45"/>
      <c r="AA2694" s="45"/>
      <c r="AB2694" s="45"/>
      <c r="AC2694" s="45"/>
      <c r="AD2694" s="45"/>
      <c r="AE2694" s="45"/>
      <c r="AF2694" s="45"/>
      <c r="AG2694" s="45"/>
      <c r="AH2694" s="45"/>
      <c r="AI2694" s="45"/>
      <c r="AJ2694" s="45"/>
      <c r="AK2694" s="45"/>
      <c r="AL2694" s="45"/>
    </row>
    <row r="2695" ht="15.75" customHeight="1">
      <c r="A2695" s="27">
        <f t="shared" si="21"/>
        <v>1574</v>
      </c>
      <c r="B2695" s="28" t="s">
        <v>9412</v>
      </c>
      <c r="C2695" s="29" t="s">
        <v>9413</v>
      </c>
      <c r="D2695" s="30" t="s">
        <v>9414</v>
      </c>
      <c r="E2695" s="28"/>
      <c r="F2695" s="28" t="s">
        <v>29</v>
      </c>
      <c r="G2695" s="28" t="s">
        <v>37</v>
      </c>
      <c r="H2695" s="28"/>
      <c r="I2695" s="28" t="s">
        <v>38</v>
      </c>
      <c r="J2695" s="28">
        <v>361.0</v>
      </c>
      <c r="K2695" s="28"/>
      <c r="L2695" s="28" t="s">
        <v>9229</v>
      </c>
      <c r="M2695" s="28" t="s">
        <v>356</v>
      </c>
      <c r="N2695" s="28">
        <v>1971.0</v>
      </c>
      <c r="O2695" s="60">
        <v>12.0</v>
      </c>
      <c r="P2695" s="28">
        <v>1.0</v>
      </c>
      <c r="Q2695" s="94">
        <v>1.0</v>
      </c>
      <c r="R2695" s="33"/>
      <c r="S2695" s="34"/>
      <c r="T2695" s="34"/>
      <c r="U2695" s="34"/>
      <c r="V2695" s="34"/>
      <c r="W2695" s="34"/>
      <c r="X2695" s="34"/>
      <c r="Y2695" s="45"/>
      <c r="Z2695" s="45"/>
      <c r="AA2695" s="45"/>
      <c r="AB2695" s="45"/>
      <c r="AC2695" s="45"/>
      <c r="AD2695" s="45"/>
      <c r="AE2695" s="45"/>
      <c r="AF2695" s="45"/>
      <c r="AG2695" s="45"/>
      <c r="AH2695" s="45"/>
      <c r="AI2695" s="45"/>
      <c r="AJ2695" s="45"/>
      <c r="AK2695" s="45"/>
      <c r="AL2695" s="45"/>
    </row>
    <row r="2696" ht="15.75" customHeight="1">
      <c r="A2696" s="27">
        <f t="shared" si="21"/>
        <v>1575</v>
      </c>
      <c r="B2696" s="28" t="s">
        <v>9415</v>
      </c>
      <c r="C2696" s="43" t="s">
        <v>9416</v>
      </c>
      <c r="D2696" s="30" t="s">
        <v>9417</v>
      </c>
      <c r="E2696" s="28" t="s">
        <v>31</v>
      </c>
      <c r="F2696" s="28" t="s">
        <v>29</v>
      </c>
      <c r="G2696" s="28" t="s">
        <v>37</v>
      </c>
      <c r="H2696" s="28"/>
      <c r="I2696" s="28" t="s">
        <v>38</v>
      </c>
      <c r="J2696" s="28">
        <v>180.0</v>
      </c>
      <c r="K2696" s="28"/>
      <c r="L2696" s="28" t="s">
        <v>2557</v>
      </c>
      <c r="M2696" s="28" t="s">
        <v>230</v>
      </c>
      <c r="N2696" s="28">
        <v>2000.0</v>
      </c>
      <c r="O2696" s="60">
        <v>12.0</v>
      </c>
      <c r="P2696" s="28">
        <v>1.0</v>
      </c>
      <c r="Q2696" s="94">
        <v>1.0</v>
      </c>
      <c r="R2696" s="33"/>
      <c r="S2696" s="116"/>
      <c r="T2696" s="116"/>
      <c r="U2696" s="116"/>
      <c r="V2696" s="116"/>
      <c r="W2696" s="116"/>
      <c r="X2696" s="116"/>
      <c r="Y2696" s="45"/>
      <c r="Z2696" s="45"/>
      <c r="AA2696" s="45"/>
      <c r="AB2696" s="45"/>
      <c r="AC2696" s="45"/>
      <c r="AD2696" s="45"/>
      <c r="AE2696" s="45"/>
      <c r="AF2696" s="45"/>
      <c r="AG2696" s="45"/>
      <c r="AH2696" s="45"/>
      <c r="AI2696" s="45"/>
      <c r="AJ2696" s="45"/>
      <c r="AK2696" s="45"/>
      <c r="AL2696" s="45"/>
    </row>
    <row r="2697" ht="15.75" customHeight="1">
      <c r="A2697" s="27">
        <f t="shared" si="21"/>
        <v>1576</v>
      </c>
      <c r="B2697" s="28" t="s">
        <v>9418</v>
      </c>
      <c r="C2697" s="43" t="s">
        <v>9419</v>
      </c>
      <c r="D2697" s="30" t="s">
        <v>9420</v>
      </c>
      <c r="E2697" s="28" t="s">
        <v>144</v>
      </c>
      <c r="F2697" s="28" t="s">
        <v>29</v>
      </c>
      <c r="G2697" s="28" t="s">
        <v>30</v>
      </c>
      <c r="H2697" s="28" t="s">
        <v>31</v>
      </c>
      <c r="I2697" s="28" t="s">
        <v>30</v>
      </c>
      <c r="J2697" s="28">
        <v>237.0</v>
      </c>
      <c r="K2697" s="28"/>
      <c r="L2697" s="28" t="s">
        <v>9421</v>
      </c>
      <c r="M2697" s="28" t="s">
        <v>151</v>
      </c>
      <c r="N2697" s="28">
        <v>2011.0</v>
      </c>
      <c r="O2697" s="60">
        <v>12.0</v>
      </c>
      <c r="P2697" s="28">
        <v>1.0</v>
      </c>
      <c r="Q2697" s="94">
        <v>1.0</v>
      </c>
      <c r="R2697" s="33"/>
      <c r="S2697" s="34"/>
      <c r="T2697" s="34"/>
      <c r="U2697" s="34"/>
      <c r="V2697" s="34"/>
      <c r="W2697" s="34"/>
      <c r="X2697" s="34"/>
      <c r="Y2697" s="45"/>
      <c r="Z2697" s="45"/>
      <c r="AA2697" s="45"/>
      <c r="AB2697" s="45"/>
      <c r="AC2697" s="45"/>
      <c r="AD2697" s="45"/>
      <c r="AE2697" s="45"/>
      <c r="AF2697" s="45"/>
      <c r="AG2697" s="45"/>
      <c r="AH2697" s="45"/>
      <c r="AI2697" s="45"/>
      <c r="AJ2697" s="45"/>
      <c r="AK2697" s="45"/>
      <c r="AL2697" s="45"/>
    </row>
    <row r="2698" ht="15.75" customHeight="1">
      <c r="A2698" s="27">
        <f t="shared" si="21"/>
        <v>1577</v>
      </c>
      <c r="B2698" s="28" t="s">
        <v>9422</v>
      </c>
      <c r="C2698" s="102" t="s">
        <v>9423</v>
      </c>
      <c r="D2698" s="30" t="s">
        <v>9424</v>
      </c>
      <c r="E2698" s="28"/>
      <c r="F2698" s="28" t="s">
        <v>29</v>
      </c>
      <c r="G2698" s="28" t="s">
        <v>37</v>
      </c>
      <c r="H2698" s="28"/>
      <c r="I2698" s="28" t="s">
        <v>38</v>
      </c>
      <c r="J2698" s="28">
        <v>93.0</v>
      </c>
      <c r="K2698" s="28"/>
      <c r="L2698" s="28" t="s">
        <v>9425</v>
      </c>
      <c r="M2698" s="28" t="s">
        <v>524</v>
      </c>
      <c r="N2698" s="28">
        <v>2010.0</v>
      </c>
      <c r="O2698" s="60">
        <v>12.0</v>
      </c>
      <c r="P2698" s="28">
        <v>1.0</v>
      </c>
      <c r="Q2698" s="32">
        <v>1.0</v>
      </c>
      <c r="R2698" s="33"/>
      <c r="S2698" s="34"/>
      <c r="T2698" s="34"/>
      <c r="U2698" s="34"/>
      <c r="V2698" s="34"/>
      <c r="W2698" s="34"/>
      <c r="X2698" s="34"/>
      <c r="Y2698" s="45"/>
      <c r="Z2698" s="45"/>
      <c r="AA2698" s="45"/>
      <c r="AB2698" s="45"/>
      <c r="AC2698" s="45"/>
      <c r="AD2698" s="45"/>
      <c r="AE2698" s="45"/>
      <c r="AF2698" s="45"/>
      <c r="AG2698" s="45"/>
      <c r="AH2698" s="45"/>
      <c r="AI2698" s="45"/>
      <c r="AJ2698" s="45"/>
      <c r="AK2698" s="45"/>
      <c r="AL2698" s="45"/>
    </row>
    <row r="2699" ht="15.75" customHeight="1">
      <c r="A2699" s="27">
        <f t="shared" si="21"/>
        <v>1578</v>
      </c>
      <c r="B2699" s="83"/>
      <c r="C2699" s="121" t="s">
        <v>9426</v>
      </c>
      <c r="D2699" s="119" t="s">
        <v>9427</v>
      </c>
      <c r="E2699" s="83"/>
      <c r="F2699" s="121" t="s">
        <v>29</v>
      </c>
      <c r="G2699" s="121" t="s">
        <v>30</v>
      </c>
      <c r="H2699" s="83"/>
      <c r="I2699" s="121" t="s">
        <v>30</v>
      </c>
      <c r="J2699" s="121">
        <v>215.0</v>
      </c>
      <c r="K2699" s="83"/>
      <c r="L2699" s="121" t="s">
        <v>9428</v>
      </c>
      <c r="M2699" s="121" t="s">
        <v>2258</v>
      </c>
      <c r="N2699" s="121">
        <v>1985.0</v>
      </c>
      <c r="O2699" s="60">
        <v>12.0</v>
      </c>
      <c r="P2699" s="121">
        <v>1.0</v>
      </c>
      <c r="Q2699" s="121">
        <v>1.0</v>
      </c>
      <c r="R2699" s="84"/>
      <c r="S2699" s="116"/>
      <c r="T2699" s="116"/>
      <c r="U2699" s="116"/>
      <c r="V2699" s="116"/>
      <c r="W2699" s="116"/>
      <c r="X2699" s="116"/>
      <c r="Y2699" s="45"/>
      <c r="Z2699" s="45"/>
      <c r="AA2699" s="45"/>
      <c r="AB2699" s="45"/>
      <c r="AC2699" s="45"/>
      <c r="AD2699" s="45"/>
      <c r="AE2699" s="45"/>
      <c r="AF2699" s="45"/>
      <c r="AG2699" s="45"/>
      <c r="AH2699" s="45"/>
      <c r="AI2699" s="45"/>
      <c r="AJ2699" s="45"/>
      <c r="AK2699" s="45"/>
      <c r="AL2699" s="45"/>
    </row>
    <row r="2700" ht="15.75" customHeight="1">
      <c r="A2700" s="27">
        <f t="shared" si="21"/>
        <v>1579</v>
      </c>
      <c r="B2700" s="28" t="s">
        <v>9429</v>
      </c>
      <c r="C2700" s="29" t="s">
        <v>9430</v>
      </c>
      <c r="D2700" s="30" t="s">
        <v>9431</v>
      </c>
      <c r="E2700" s="28" t="s">
        <v>144</v>
      </c>
      <c r="F2700" s="28" t="s">
        <v>29</v>
      </c>
      <c r="G2700" s="28" t="s">
        <v>37</v>
      </c>
      <c r="H2700" s="28"/>
      <c r="I2700" s="28" t="s">
        <v>38</v>
      </c>
      <c r="J2700" s="28">
        <f>163</f>
        <v>163</v>
      </c>
      <c r="K2700" s="28"/>
      <c r="L2700" s="28" t="s">
        <v>9432</v>
      </c>
      <c r="M2700" s="28" t="s">
        <v>230</v>
      </c>
      <c r="N2700" s="28">
        <v>1972.0</v>
      </c>
      <c r="O2700" s="60">
        <v>12.0</v>
      </c>
      <c r="P2700" s="28">
        <v>1.0</v>
      </c>
      <c r="Q2700" s="94">
        <v>1.0</v>
      </c>
      <c r="R2700" s="33"/>
      <c r="S2700" s="34"/>
      <c r="T2700" s="34"/>
      <c r="U2700" s="34"/>
      <c r="V2700" s="34"/>
      <c r="W2700" s="34"/>
      <c r="X2700" s="34"/>
      <c r="Y2700" s="3"/>
      <c r="Z2700" s="3"/>
      <c r="AA2700" s="3"/>
      <c r="AB2700" s="3"/>
      <c r="AC2700" s="3"/>
      <c r="AD2700" s="3"/>
      <c r="AE2700" s="3"/>
      <c r="AF2700" s="3"/>
      <c r="AG2700" s="3"/>
      <c r="AH2700" s="3"/>
      <c r="AI2700" s="3"/>
      <c r="AJ2700" s="3"/>
      <c r="AK2700" s="3"/>
      <c r="AL2700" s="3"/>
    </row>
    <row r="2701" ht="15.75" customHeight="1">
      <c r="A2701" s="27">
        <f t="shared" si="21"/>
        <v>1580</v>
      </c>
      <c r="B2701" s="28" t="s">
        <v>31</v>
      </c>
      <c r="C2701" s="43" t="s">
        <v>9433</v>
      </c>
      <c r="D2701" s="30" t="s">
        <v>9434</v>
      </c>
      <c r="E2701" s="28" t="s">
        <v>144</v>
      </c>
      <c r="F2701" s="28" t="s">
        <v>29</v>
      </c>
      <c r="G2701" s="28" t="s">
        <v>30</v>
      </c>
      <c r="H2701" s="28"/>
      <c r="I2701" s="28" t="s">
        <v>30</v>
      </c>
      <c r="J2701" s="28">
        <v>306.0</v>
      </c>
      <c r="K2701" s="28"/>
      <c r="L2701" s="28" t="s">
        <v>9435</v>
      </c>
      <c r="M2701" s="28" t="s">
        <v>3426</v>
      </c>
      <c r="N2701" s="28">
        <v>1954.0</v>
      </c>
      <c r="O2701" s="60">
        <v>12.0</v>
      </c>
      <c r="P2701" s="28">
        <v>1.0</v>
      </c>
      <c r="Q2701" s="94">
        <v>1.0</v>
      </c>
      <c r="R2701" s="33"/>
      <c r="S2701" s="34"/>
      <c r="T2701" s="34"/>
      <c r="U2701" s="34"/>
      <c r="V2701" s="34"/>
      <c r="W2701" s="34"/>
      <c r="X2701" s="34"/>
      <c r="Y2701" s="45"/>
      <c r="Z2701" s="45"/>
      <c r="AA2701" s="45"/>
      <c r="AB2701" s="45"/>
      <c r="AC2701" s="45"/>
      <c r="AD2701" s="45"/>
      <c r="AE2701" s="45"/>
      <c r="AF2701" s="45"/>
      <c r="AG2701" s="45"/>
      <c r="AH2701" s="45"/>
      <c r="AI2701" s="45"/>
      <c r="AJ2701" s="45"/>
      <c r="AK2701" s="45"/>
      <c r="AL2701" s="45"/>
    </row>
    <row r="2702" ht="15.75" customHeight="1">
      <c r="A2702" s="27">
        <f t="shared" si="21"/>
        <v>1581</v>
      </c>
      <c r="B2702" s="28" t="s">
        <v>9436</v>
      </c>
      <c r="C2702" s="43" t="s">
        <v>9433</v>
      </c>
      <c r="D2702" s="30" t="s">
        <v>9437</v>
      </c>
      <c r="E2702" s="28" t="s">
        <v>144</v>
      </c>
      <c r="F2702" s="28" t="s">
        <v>29</v>
      </c>
      <c r="G2702" s="28" t="s">
        <v>30</v>
      </c>
      <c r="H2702" s="28"/>
      <c r="I2702" s="28" t="s">
        <v>30</v>
      </c>
      <c r="J2702" s="28">
        <v>263.0</v>
      </c>
      <c r="K2702" s="28"/>
      <c r="L2702" s="28" t="s">
        <v>7971</v>
      </c>
      <c r="M2702" s="28" t="s">
        <v>151</v>
      </c>
      <c r="N2702" s="28">
        <v>2000.0</v>
      </c>
      <c r="O2702" s="60">
        <v>12.0</v>
      </c>
      <c r="P2702" s="28">
        <v>1.0</v>
      </c>
      <c r="Q2702" s="94">
        <v>1.0</v>
      </c>
      <c r="R2702" s="33"/>
      <c r="S2702" s="34"/>
      <c r="T2702" s="34"/>
      <c r="U2702" s="34"/>
      <c r="V2702" s="34"/>
      <c r="W2702" s="34"/>
      <c r="X2702" s="34"/>
      <c r="Y2702" s="3"/>
      <c r="Z2702" s="3"/>
      <c r="AA2702" s="3"/>
      <c r="AB2702" s="3"/>
      <c r="AC2702" s="3"/>
      <c r="AD2702" s="3"/>
      <c r="AE2702" s="3"/>
      <c r="AF2702" s="3"/>
      <c r="AG2702" s="3"/>
      <c r="AH2702" s="3"/>
      <c r="AI2702" s="3"/>
      <c r="AJ2702" s="3"/>
      <c r="AK2702" s="3"/>
      <c r="AL2702" s="3"/>
    </row>
    <row r="2703" ht="15.75" customHeight="1">
      <c r="A2703" s="27">
        <f t="shared" si="21"/>
        <v>1582</v>
      </c>
      <c r="B2703" s="28" t="s">
        <v>9438</v>
      </c>
      <c r="C2703" s="29" t="s">
        <v>9439</v>
      </c>
      <c r="D2703" s="30" t="s">
        <v>9440</v>
      </c>
      <c r="E2703" s="28"/>
      <c r="F2703" s="28" t="s">
        <v>29</v>
      </c>
      <c r="G2703" s="28" t="s">
        <v>31</v>
      </c>
      <c r="H2703" s="28"/>
      <c r="I2703" s="60" t="s">
        <v>38</v>
      </c>
      <c r="J2703" s="28">
        <v>329.0</v>
      </c>
      <c r="K2703" s="28"/>
      <c r="L2703" s="28" t="s">
        <v>8041</v>
      </c>
      <c r="M2703" s="28" t="s">
        <v>9441</v>
      </c>
      <c r="N2703" s="28">
        <v>2006.0</v>
      </c>
      <c r="O2703" s="60">
        <v>12.0</v>
      </c>
      <c r="P2703" s="28">
        <v>1.0</v>
      </c>
      <c r="Q2703" s="94">
        <v>1.0</v>
      </c>
      <c r="R2703" s="33"/>
      <c r="S2703" s="34"/>
      <c r="T2703" s="34"/>
      <c r="U2703" s="34"/>
      <c r="V2703" s="34"/>
      <c r="W2703" s="34"/>
      <c r="X2703" s="34"/>
      <c r="Y2703" s="45"/>
      <c r="Z2703" s="45"/>
      <c r="AA2703" s="45"/>
      <c r="AB2703" s="45"/>
      <c r="AC2703" s="45"/>
      <c r="AD2703" s="45"/>
      <c r="AE2703" s="45"/>
      <c r="AF2703" s="45"/>
      <c r="AG2703" s="45"/>
      <c r="AH2703" s="45"/>
      <c r="AI2703" s="45"/>
      <c r="AJ2703" s="45"/>
      <c r="AK2703" s="45"/>
      <c r="AL2703" s="45"/>
    </row>
    <row r="2704" ht="15.75" customHeight="1">
      <c r="A2704" s="27">
        <f t="shared" si="21"/>
        <v>1583</v>
      </c>
      <c r="B2704" s="28" t="s">
        <v>31</v>
      </c>
      <c r="C2704" s="43" t="s">
        <v>9442</v>
      </c>
      <c r="D2704" s="30" t="s">
        <v>9443</v>
      </c>
      <c r="E2704" s="28"/>
      <c r="F2704" s="28" t="s">
        <v>29</v>
      </c>
      <c r="G2704" s="28" t="s">
        <v>30</v>
      </c>
      <c r="H2704" s="28"/>
      <c r="I2704" s="28" t="s">
        <v>30</v>
      </c>
      <c r="J2704" s="28">
        <f>99+14</f>
        <v>113</v>
      </c>
      <c r="K2704" s="28"/>
      <c r="L2704" s="28" t="s">
        <v>9444</v>
      </c>
      <c r="M2704" s="28" t="s">
        <v>3697</v>
      </c>
      <c r="N2704" s="28">
        <v>2001.0</v>
      </c>
      <c r="O2704" s="60">
        <v>12.0</v>
      </c>
      <c r="P2704" s="28">
        <v>1.0</v>
      </c>
      <c r="Q2704" s="94">
        <v>1.0</v>
      </c>
      <c r="R2704" s="33"/>
      <c r="S2704" s="34"/>
      <c r="T2704" s="34"/>
      <c r="U2704" s="34"/>
      <c r="V2704" s="34"/>
      <c r="W2704" s="34"/>
      <c r="X2704" s="34"/>
      <c r="Y2704" s="45"/>
      <c r="Z2704" s="45"/>
      <c r="AA2704" s="45"/>
      <c r="AB2704" s="45"/>
      <c r="AC2704" s="45"/>
      <c r="AD2704" s="45"/>
      <c r="AE2704" s="45"/>
      <c r="AF2704" s="45"/>
      <c r="AG2704" s="45"/>
      <c r="AH2704" s="45"/>
      <c r="AI2704" s="45"/>
      <c r="AJ2704" s="45"/>
      <c r="AK2704" s="45"/>
      <c r="AL2704" s="45"/>
    </row>
    <row r="2705" ht="15.75" customHeight="1">
      <c r="A2705" s="27">
        <f t="shared" si="21"/>
        <v>1584</v>
      </c>
      <c r="B2705" s="28" t="s">
        <v>31</v>
      </c>
      <c r="C2705" s="43" t="s">
        <v>9445</v>
      </c>
      <c r="D2705" s="30" t="s">
        <v>9446</v>
      </c>
      <c r="E2705" s="28" t="s">
        <v>144</v>
      </c>
      <c r="F2705" s="28" t="s">
        <v>29</v>
      </c>
      <c r="G2705" s="28" t="s">
        <v>30</v>
      </c>
      <c r="H2705" s="28"/>
      <c r="I2705" s="28" t="s">
        <v>30</v>
      </c>
      <c r="J2705" s="28">
        <v>695.0</v>
      </c>
      <c r="K2705" s="28"/>
      <c r="L2705" s="28" t="s">
        <v>9447</v>
      </c>
      <c r="M2705" s="28" t="s">
        <v>2258</v>
      </c>
      <c r="N2705" s="28">
        <v>2003.0</v>
      </c>
      <c r="O2705" s="60">
        <v>12.0</v>
      </c>
      <c r="P2705" s="28">
        <v>1.0</v>
      </c>
      <c r="Q2705" s="94">
        <v>1.0</v>
      </c>
      <c r="R2705" s="33"/>
      <c r="S2705" s="116"/>
      <c r="T2705" s="116"/>
      <c r="U2705" s="116"/>
      <c r="V2705" s="116"/>
      <c r="W2705" s="116"/>
      <c r="X2705" s="116"/>
      <c r="Y2705" s="45"/>
      <c r="Z2705" s="45"/>
      <c r="AA2705" s="45"/>
      <c r="AB2705" s="45"/>
      <c r="AC2705" s="45"/>
      <c r="AD2705" s="45"/>
      <c r="AE2705" s="45"/>
      <c r="AF2705" s="45"/>
      <c r="AG2705" s="45"/>
      <c r="AH2705" s="45"/>
      <c r="AI2705" s="45"/>
      <c r="AJ2705" s="45"/>
      <c r="AK2705" s="45"/>
      <c r="AL2705" s="45"/>
    </row>
    <row r="2706" ht="15.75" customHeight="1">
      <c r="A2706" s="27">
        <f t="shared" si="21"/>
        <v>1585</v>
      </c>
      <c r="B2706" s="28" t="s">
        <v>9448</v>
      </c>
      <c r="C2706" s="29" t="s">
        <v>9449</v>
      </c>
      <c r="D2706" s="30" t="s">
        <v>9450</v>
      </c>
      <c r="E2706" s="28" t="s">
        <v>144</v>
      </c>
      <c r="F2706" s="28" t="s">
        <v>29</v>
      </c>
      <c r="G2706" s="28" t="s">
        <v>30</v>
      </c>
      <c r="H2706" s="28"/>
      <c r="I2706" s="28" t="s">
        <v>30</v>
      </c>
      <c r="J2706" s="28">
        <f>46+10</f>
        <v>56</v>
      </c>
      <c r="K2706" s="28"/>
      <c r="L2706" s="28" t="s">
        <v>31</v>
      </c>
      <c r="M2706" s="28" t="s">
        <v>9451</v>
      </c>
      <c r="N2706" s="28">
        <v>1992.0</v>
      </c>
      <c r="O2706" s="60">
        <v>12.0</v>
      </c>
      <c r="P2706" s="28">
        <v>1.0</v>
      </c>
      <c r="Q2706" s="94">
        <v>1.0</v>
      </c>
      <c r="R2706" s="33"/>
      <c r="S2706" s="34"/>
      <c r="T2706" s="34"/>
      <c r="U2706" s="34"/>
      <c r="V2706" s="34"/>
      <c r="W2706" s="34"/>
      <c r="X2706" s="34"/>
      <c r="Y2706" s="45"/>
      <c r="Z2706" s="45"/>
      <c r="AA2706" s="45"/>
      <c r="AB2706" s="45"/>
      <c r="AC2706" s="45"/>
      <c r="AD2706" s="45"/>
      <c r="AE2706" s="45"/>
      <c r="AF2706" s="45"/>
      <c r="AG2706" s="45"/>
      <c r="AH2706" s="45"/>
      <c r="AI2706" s="45"/>
      <c r="AJ2706" s="45"/>
      <c r="AK2706" s="45"/>
      <c r="AL2706" s="45"/>
    </row>
    <row r="2707" ht="15.75" customHeight="1">
      <c r="A2707" s="27">
        <f t="shared" si="21"/>
        <v>1586</v>
      </c>
      <c r="B2707" s="28" t="s">
        <v>9452</v>
      </c>
      <c r="C2707" s="43" t="s">
        <v>9453</v>
      </c>
      <c r="D2707" s="30" t="s">
        <v>9454</v>
      </c>
      <c r="E2707" s="28" t="s">
        <v>144</v>
      </c>
      <c r="F2707" s="28" t="s">
        <v>29</v>
      </c>
      <c r="G2707" s="28" t="s">
        <v>30</v>
      </c>
      <c r="H2707" s="28"/>
      <c r="I2707" s="28" t="s">
        <v>30</v>
      </c>
      <c r="J2707" s="28">
        <v>213.0</v>
      </c>
      <c r="K2707" s="28"/>
      <c r="L2707" s="28" t="s">
        <v>9455</v>
      </c>
      <c r="M2707" s="28" t="s">
        <v>9456</v>
      </c>
      <c r="N2707" s="28">
        <v>2001.0</v>
      </c>
      <c r="O2707" s="60">
        <v>12.0</v>
      </c>
      <c r="P2707" s="28">
        <v>1.0</v>
      </c>
      <c r="Q2707" s="94">
        <v>1.0</v>
      </c>
      <c r="R2707" s="33"/>
      <c r="S2707" s="116"/>
      <c r="T2707" s="116"/>
      <c r="U2707" s="116"/>
      <c r="V2707" s="116"/>
      <c r="W2707" s="116"/>
      <c r="X2707" s="116"/>
      <c r="Y2707" s="45"/>
      <c r="Z2707" s="45"/>
      <c r="AA2707" s="45"/>
      <c r="AB2707" s="45"/>
      <c r="AC2707" s="45"/>
      <c r="AD2707" s="45"/>
      <c r="AE2707" s="45"/>
      <c r="AF2707" s="45"/>
      <c r="AG2707" s="45"/>
      <c r="AH2707" s="45"/>
      <c r="AI2707" s="45"/>
      <c r="AJ2707" s="45"/>
      <c r="AK2707" s="45"/>
      <c r="AL2707" s="45"/>
    </row>
    <row r="2708" ht="15.75" customHeight="1">
      <c r="A2708" s="27">
        <f t="shared" si="21"/>
        <v>1587</v>
      </c>
      <c r="B2708" s="28" t="s">
        <v>9457</v>
      </c>
      <c r="C2708" s="43" t="s">
        <v>9458</v>
      </c>
      <c r="D2708" s="30" t="s">
        <v>9459</v>
      </c>
      <c r="E2708" s="28" t="s">
        <v>144</v>
      </c>
      <c r="F2708" s="28" t="s">
        <v>29</v>
      </c>
      <c r="G2708" s="28" t="s">
        <v>30</v>
      </c>
      <c r="H2708" s="28"/>
      <c r="I2708" s="28" t="s">
        <v>30</v>
      </c>
      <c r="J2708" s="28">
        <v>282.0</v>
      </c>
      <c r="K2708" s="28"/>
      <c r="L2708" s="28" t="s">
        <v>9460</v>
      </c>
      <c r="M2708" s="28" t="s">
        <v>151</v>
      </c>
      <c r="N2708" s="28">
        <v>2001.0</v>
      </c>
      <c r="O2708" s="60">
        <v>12.0</v>
      </c>
      <c r="P2708" s="28">
        <v>3.0</v>
      </c>
      <c r="Q2708" s="94">
        <v>1.0</v>
      </c>
      <c r="R2708" s="33"/>
      <c r="S2708" s="34"/>
      <c r="T2708" s="34"/>
      <c r="U2708" s="34"/>
      <c r="V2708" s="34"/>
      <c r="W2708" s="34"/>
      <c r="X2708" s="34"/>
      <c r="Y2708" s="45"/>
      <c r="Z2708" s="45"/>
      <c r="AA2708" s="45"/>
      <c r="AB2708" s="45"/>
      <c r="AC2708" s="45"/>
      <c r="AD2708" s="45"/>
      <c r="AE2708" s="45"/>
      <c r="AF2708" s="45"/>
      <c r="AG2708" s="45"/>
      <c r="AH2708" s="45"/>
      <c r="AI2708" s="45"/>
      <c r="AJ2708" s="45"/>
      <c r="AK2708" s="45"/>
      <c r="AL2708" s="45"/>
    </row>
    <row r="2709" ht="15.75" customHeight="1">
      <c r="A2709" s="27">
        <f t="shared" si="21"/>
        <v>1588</v>
      </c>
      <c r="B2709" s="28" t="s">
        <v>9461</v>
      </c>
      <c r="C2709" s="43" t="s">
        <v>9462</v>
      </c>
      <c r="D2709" s="30" t="s">
        <v>9463</v>
      </c>
      <c r="E2709" s="28"/>
      <c r="F2709" s="28" t="s">
        <v>29</v>
      </c>
      <c r="G2709" s="28" t="s">
        <v>30</v>
      </c>
      <c r="H2709" s="28"/>
      <c r="I2709" s="28" t="s">
        <v>30</v>
      </c>
      <c r="J2709" s="28">
        <v>405.0</v>
      </c>
      <c r="K2709" s="28"/>
      <c r="L2709" s="28" t="s">
        <v>9464</v>
      </c>
      <c r="M2709" s="28" t="s">
        <v>151</v>
      </c>
      <c r="N2709" s="28">
        <v>1990.0</v>
      </c>
      <c r="O2709" s="60">
        <v>12.0</v>
      </c>
      <c r="P2709" s="28">
        <v>1.0</v>
      </c>
      <c r="Q2709" s="94">
        <v>1.0</v>
      </c>
      <c r="R2709" s="33"/>
      <c r="S2709" s="34"/>
      <c r="T2709" s="34"/>
      <c r="U2709" s="34"/>
      <c r="V2709" s="34"/>
      <c r="W2709" s="34"/>
      <c r="X2709" s="34"/>
      <c r="Y2709" s="3"/>
      <c r="Z2709" s="3"/>
      <c r="AA2709" s="3"/>
      <c r="AB2709" s="3"/>
      <c r="AC2709" s="3"/>
      <c r="AD2709" s="3"/>
      <c r="AE2709" s="3"/>
      <c r="AF2709" s="3"/>
      <c r="AG2709" s="3"/>
      <c r="AH2709" s="3"/>
      <c r="AI2709" s="3"/>
      <c r="AJ2709" s="3"/>
      <c r="AK2709" s="3"/>
      <c r="AL2709" s="3"/>
    </row>
    <row r="2710" ht="15.75" customHeight="1">
      <c r="A2710" s="27">
        <f t="shared" si="21"/>
        <v>1589</v>
      </c>
      <c r="B2710" s="28" t="s">
        <v>9465</v>
      </c>
      <c r="C2710" s="43" t="s">
        <v>9466</v>
      </c>
      <c r="D2710" s="30" t="s">
        <v>9467</v>
      </c>
      <c r="E2710" s="28" t="s">
        <v>144</v>
      </c>
      <c r="F2710" s="28" t="s">
        <v>29</v>
      </c>
      <c r="G2710" s="28" t="s">
        <v>30</v>
      </c>
      <c r="H2710" s="28" t="s">
        <v>31</v>
      </c>
      <c r="I2710" s="28" t="s">
        <v>30</v>
      </c>
      <c r="J2710" s="28">
        <v>72.0</v>
      </c>
      <c r="K2710" s="28"/>
      <c r="L2710" s="28" t="s">
        <v>9468</v>
      </c>
      <c r="M2710" s="28" t="s">
        <v>8783</v>
      </c>
      <c r="N2710" s="28">
        <v>2005.0</v>
      </c>
      <c r="O2710" s="60">
        <v>12.0</v>
      </c>
      <c r="P2710" s="28">
        <v>1.0</v>
      </c>
      <c r="Q2710" s="94">
        <v>1.0</v>
      </c>
      <c r="R2710" s="33"/>
      <c r="S2710" s="34"/>
      <c r="T2710" s="34"/>
      <c r="U2710" s="34"/>
      <c r="V2710" s="34"/>
      <c r="W2710" s="34"/>
      <c r="X2710" s="34"/>
      <c r="Y2710" s="45"/>
      <c r="Z2710" s="45"/>
      <c r="AA2710" s="45"/>
      <c r="AB2710" s="45"/>
      <c r="AC2710" s="45"/>
      <c r="AD2710" s="45"/>
      <c r="AE2710" s="45"/>
      <c r="AF2710" s="45"/>
      <c r="AG2710" s="45"/>
      <c r="AH2710" s="45"/>
      <c r="AI2710" s="45"/>
      <c r="AJ2710" s="45"/>
      <c r="AK2710" s="45"/>
      <c r="AL2710" s="45"/>
    </row>
    <row r="2711" ht="15.75" customHeight="1">
      <c r="A2711" s="27">
        <f t="shared" si="21"/>
        <v>1590</v>
      </c>
      <c r="B2711" s="121" t="s">
        <v>9469</v>
      </c>
      <c r="C2711" s="121" t="s">
        <v>9470</v>
      </c>
      <c r="D2711" s="119" t="s">
        <v>9471</v>
      </c>
      <c r="E2711" s="83"/>
      <c r="F2711" s="121" t="s">
        <v>29</v>
      </c>
      <c r="G2711" s="121" t="s">
        <v>30</v>
      </c>
      <c r="H2711" s="83"/>
      <c r="I2711" s="121" t="s">
        <v>30</v>
      </c>
      <c r="J2711" s="121">
        <v>204.0</v>
      </c>
      <c r="K2711" s="83"/>
      <c r="L2711" s="121" t="s">
        <v>9472</v>
      </c>
      <c r="M2711" s="121" t="s">
        <v>9473</v>
      </c>
      <c r="N2711" s="121">
        <v>1986.0</v>
      </c>
      <c r="O2711" s="60">
        <v>12.0</v>
      </c>
      <c r="P2711" s="121">
        <v>1.0</v>
      </c>
      <c r="Q2711" s="121">
        <v>1.0</v>
      </c>
      <c r="R2711" s="84"/>
      <c r="S2711" s="116"/>
      <c r="T2711" s="116"/>
      <c r="U2711" s="116"/>
      <c r="V2711" s="116"/>
      <c r="W2711" s="116"/>
      <c r="X2711" s="116"/>
      <c r="Y2711" s="45"/>
      <c r="Z2711" s="45"/>
      <c r="AA2711" s="45"/>
      <c r="AB2711" s="45"/>
      <c r="AC2711" s="45"/>
      <c r="AD2711" s="45"/>
      <c r="AE2711" s="45"/>
      <c r="AF2711" s="45"/>
      <c r="AG2711" s="45"/>
      <c r="AH2711" s="45"/>
      <c r="AI2711" s="45"/>
      <c r="AJ2711" s="45"/>
      <c r="AK2711" s="45"/>
      <c r="AL2711" s="45"/>
    </row>
    <row r="2712" ht="15.75" customHeight="1">
      <c r="A2712" s="27">
        <f t="shared" si="21"/>
        <v>1591</v>
      </c>
      <c r="B2712" s="28" t="s">
        <v>31</v>
      </c>
      <c r="C2712" s="43" t="s">
        <v>9474</v>
      </c>
      <c r="D2712" s="30" t="s">
        <v>9475</v>
      </c>
      <c r="E2712" s="28"/>
      <c r="F2712" s="28" t="s">
        <v>29</v>
      </c>
      <c r="G2712" s="28" t="s">
        <v>9476</v>
      </c>
      <c r="H2712" s="28"/>
      <c r="I2712" s="28" t="s">
        <v>38</v>
      </c>
      <c r="J2712" s="28">
        <v>127.0</v>
      </c>
      <c r="K2712" s="28"/>
      <c r="L2712" s="28" t="s">
        <v>9477</v>
      </c>
      <c r="M2712" s="28" t="s">
        <v>9478</v>
      </c>
      <c r="N2712" s="28">
        <v>2009.0</v>
      </c>
      <c r="O2712" s="60">
        <v>12.0</v>
      </c>
      <c r="P2712" s="28">
        <v>1.0</v>
      </c>
      <c r="Q2712" s="94">
        <v>1.0</v>
      </c>
      <c r="R2712" s="33"/>
      <c r="S2712" s="34"/>
      <c r="T2712" s="34"/>
      <c r="U2712" s="34"/>
      <c r="V2712" s="34"/>
      <c r="W2712" s="34"/>
      <c r="X2712" s="34"/>
      <c r="Y2712" s="45"/>
      <c r="Z2712" s="45"/>
      <c r="AA2712" s="45"/>
      <c r="AB2712" s="45"/>
      <c r="AC2712" s="45"/>
      <c r="AD2712" s="45"/>
      <c r="AE2712" s="45"/>
      <c r="AF2712" s="45"/>
      <c r="AG2712" s="45"/>
      <c r="AH2712" s="45"/>
      <c r="AI2712" s="45"/>
      <c r="AJ2712" s="45"/>
      <c r="AK2712" s="45"/>
      <c r="AL2712" s="45"/>
    </row>
    <row r="2713" ht="15.75" customHeight="1">
      <c r="A2713" s="27">
        <f t="shared" si="21"/>
        <v>1592</v>
      </c>
      <c r="B2713" s="28" t="s">
        <v>9479</v>
      </c>
      <c r="C2713" s="29" t="s">
        <v>9480</v>
      </c>
      <c r="D2713" s="30" t="s">
        <v>9481</v>
      </c>
      <c r="E2713" s="28" t="s">
        <v>144</v>
      </c>
      <c r="F2713" s="28" t="s">
        <v>29</v>
      </c>
      <c r="G2713" s="28" t="s">
        <v>30</v>
      </c>
      <c r="H2713" s="28"/>
      <c r="I2713" s="28" t="s">
        <v>30</v>
      </c>
      <c r="J2713" s="28">
        <v>285.0</v>
      </c>
      <c r="K2713" s="28"/>
      <c r="L2713" s="28" t="s">
        <v>9482</v>
      </c>
      <c r="M2713" s="28" t="s">
        <v>151</v>
      </c>
      <c r="N2713" s="28">
        <v>1991.0</v>
      </c>
      <c r="O2713" s="60">
        <v>12.0</v>
      </c>
      <c r="P2713" s="28">
        <v>2.0</v>
      </c>
      <c r="Q2713" s="94">
        <v>2.0</v>
      </c>
      <c r="R2713" s="33"/>
      <c r="S2713" s="34"/>
      <c r="T2713" s="34"/>
      <c r="U2713" s="34"/>
      <c r="V2713" s="34"/>
      <c r="W2713" s="34"/>
      <c r="X2713" s="34"/>
      <c r="Y2713" s="45"/>
      <c r="Z2713" s="45"/>
      <c r="AA2713" s="45"/>
      <c r="AB2713" s="45"/>
      <c r="AC2713" s="45"/>
      <c r="AD2713" s="45"/>
      <c r="AE2713" s="45"/>
      <c r="AF2713" s="45"/>
      <c r="AG2713" s="45"/>
      <c r="AH2713" s="45"/>
      <c r="AI2713" s="45"/>
      <c r="AJ2713" s="45"/>
      <c r="AK2713" s="45"/>
      <c r="AL2713" s="45"/>
    </row>
    <row r="2714" ht="15.75" customHeight="1">
      <c r="A2714" s="27">
        <f t="shared" si="21"/>
        <v>1593</v>
      </c>
      <c r="B2714" s="28" t="s">
        <v>9483</v>
      </c>
      <c r="C2714" s="43" t="s">
        <v>9484</v>
      </c>
      <c r="D2714" s="30" t="s">
        <v>9485</v>
      </c>
      <c r="E2714" s="28" t="s">
        <v>144</v>
      </c>
      <c r="F2714" s="28" t="s">
        <v>29</v>
      </c>
      <c r="G2714" s="28" t="s">
        <v>30</v>
      </c>
      <c r="H2714" s="28"/>
      <c r="I2714" s="28" t="s">
        <v>30</v>
      </c>
      <c r="J2714" s="28">
        <v>240.0</v>
      </c>
      <c r="K2714" s="28"/>
      <c r="L2714" s="28" t="s">
        <v>9486</v>
      </c>
      <c r="M2714" s="28" t="s">
        <v>1040</v>
      </c>
      <c r="N2714" s="28">
        <v>2006.0</v>
      </c>
      <c r="O2714" s="60">
        <v>12.0</v>
      </c>
      <c r="P2714" s="28">
        <v>1.0</v>
      </c>
      <c r="Q2714" s="94">
        <v>1.0</v>
      </c>
      <c r="R2714" s="33"/>
      <c r="S2714" s="34"/>
      <c r="T2714" s="34"/>
      <c r="U2714" s="34"/>
      <c r="V2714" s="34"/>
      <c r="W2714" s="34"/>
      <c r="X2714" s="34"/>
      <c r="Y2714" s="45"/>
      <c r="Z2714" s="45"/>
      <c r="AA2714" s="45"/>
      <c r="AB2714" s="45"/>
      <c r="AC2714" s="45"/>
      <c r="AD2714" s="45"/>
      <c r="AE2714" s="45"/>
      <c r="AF2714" s="45"/>
      <c r="AG2714" s="45"/>
      <c r="AH2714" s="45"/>
      <c r="AI2714" s="45"/>
      <c r="AJ2714" s="45"/>
      <c r="AK2714" s="45"/>
      <c r="AL2714" s="45"/>
    </row>
    <row r="2715" ht="15.75" customHeight="1">
      <c r="A2715" s="27">
        <f t="shared" si="21"/>
        <v>1594</v>
      </c>
      <c r="B2715" s="28" t="s">
        <v>9487</v>
      </c>
      <c r="C2715" s="43" t="s">
        <v>9488</v>
      </c>
      <c r="D2715" s="30" t="s">
        <v>9489</v>
      </c>
      <c r="E2715" s="28" t="s">
        <v>144</v>
      </c>
      <c r="F2715" s="28" t="s">
        <v>29</v>
      </c>
      <c r="G2715" s="28" t="s">
        <v>30</v>
      </c>
      <c r="H2715" s="28"/>
      <c r="I2715" s="28" t="s">
        <v>30</v>
      </c>
      <c r="J2715" s="28"/>
      <c r="K2715" s="28"/>
      <c r="L2715" s="28" t="s">
        <v>9490</v>
      </c>
      <c r="M2715" s="28" t="s">
        <v>9196</v>
      </c>
      <c r="N2715" s="28">
        <v>2015.0</v>
      </c>
      <c r="O2715" s="60">
        <v>12.0</v>
      </c>
      <c r="P2715" s="28">
        <v>1.0</v>
      </c>
      <c r="Q2715" s="32">
        <v>1.0</v>
      </c>
      <c r="R2715" s="33"/>
      <c r="S2715" s="34"/>
      <c r="T2715" s="34"/>
      <c r="U2715" s="34"/>
      <c r="V2715" s="34"/>
      <c r="W2715" s="34"/>
      <c r="X2715" s="34"/>
      <c r="Y2715" s="45"/>
      <c r="Z2715" s="45"/>
      <c r="AA2715" s="45"/>
      <c r="AB2715" s="45"/>
      <c r="AC2715" s="45"/>
      <c r="AD2715" s="45"/>
      <c r="AE2715" s="45"/>
      <c r="AF2715" s="45"/>
      <c r="AG2715" s="45"/>
      <c r="AH2715" s="45"/>
      <c r="AI2715" s="45"/>
      <c r="AJ2715" s="45"/>
      <c r="AK2715" s="45"/>
      <c r="AL2715" s="45"/>
    </row>
    <row r="2716" ht="15.75" customHeight="1">
      <c r="A2716" s="27">
        <f t="shared" si="21"/>
        <v>1595</v>
      </c>
      <c r="B2716" s="28" t="s">
        <v>9491</v>
      </c>
      <c r="C2716" s="43" t="s">
        <v>9492</v>
      </c>
      <c r="D2716" s="30" t="s">
        <v>9493</v>
      </c>
      <c r="E2716" s="28" t="s">
        <v>144</v>
      </c>
      <c r="F2716" s="28" t="s">
        <v>29</v>
      </c>
      <c r="G2716" s="28" t="s">
        <v>30</v>
      </c>
      <c r="H2716" s="28"/>
      <c r="I2716" s="28" t="s">
        <v>30</v>
      </c>
      <c r="J2716" s="28">
        <v>56.0</v>
      </c>
      <c r="K2716" s="28"/>
      <c r="L2716" s="28" t="s">
        <v>9494</v>
      </c>
      <c r="M2716" s="28" t="s">
        <v>151</v>
      </c>
      <c r="N2716" s="28">
        <v>1990.0</v>
      </c>
      <c r="O2716" s="60">
        <v>12.0</v>
      </c>
      <c r="P2716" s="28">
        <v>1.0</v>
      </c>
      <c r="Q2716" s="94">
        <v>1.0</v>
      </c>
      <c r="R2716" s="33"/>
      <c r="S2716" s="34"/>
      <c r="T2716" s="34"/>
      <c r="U2716" s="34"/>
      <c r="V2716" s="34"/>
      <c r="W2716" s="34"/>
      <c r="X2716" s="34"/>
      <c r="Y2716" s="3"/>
      <c r="Z2716" s="3"/>
      <c r="AA2716" s="3"/>
      <c r="AB2716" s="3"/>
      <c r="AC2716" s="3"/>
      <c r="AD2716" s="3"/>
      <c r="AE2716" s="3"/>
      <c r="AF2716" s="3"/>
      <c r="AG2716" s="3"/>
      <c r="AH2716" s="3"/>
      <c r="AI2716" s="3"/>
      <c r="AJ2716" s="3"/>
      <c r="AK2716" s="3"/>
      <c r="AL2716" s="3"/>
    </row>
    <row r="2717" ht="48.0" customHeight="1">
      <c r="A2717" s="27">
        <f t="shared" si="21"/>
        <v>1596</v>
      </c>
      <c r="B2717" s="28" t="s">
        <v>9495</v>
      </c>
      <c r="C2717" s="29" t="s">
        <v>9496</v>
      </c>
      <c r="D2717" s="30" t="s">
        <v>9497</v>
      </c>
      <c r="E2717" s="28" t="s">
        <v>144</v>
      </c>
      <c r="F2717" s="28" t="s">
        <v>29</v>
      </c>
      <c r="G2717" s="28" t="s">
        <v>37</v>
      </c>
      <c r="H2717" s="28" t="s">
        <v>31</v>
      </c>
      <c r="I2717" s="28" t="s">
        <v>38</v>
      </c>
      <c r="J2717" s="28">
        <v>389.0</v>
      </c>
      <c r="K2717" s="28"/>
      <c r="L2717" s="28" t="s">
        <v>9498</v>
      </c>
      <c r="M2717" s="28" t="s">
        <v>9192</v>
      </c>
      <c r="N2717" s="28">
        <v>2000.0</v>
      </c>
      <c r="O2717" s="60">
        <v>12.0</v>
      </c>
      <c r="P2717" s="28">
        <v>1.0</v>
      </c>
      <c r="Q2717" s="94">
        <v>1.0</v>
      </c>
      <c r="R2717" s="33"/>
      <c r="S2717" s="34"/>
      <c r="T2717" s="34"/>
      <c r="U2717" s="34"/>
      <c r="V2717" s="34"/>
      <c r="W2717" s="34"/>
      <c r="X2717" s="34"/>
      <c r="Y2717" s="45"/>
      <c r="Z2717" s="45"/>
      <c r="AA2717" s="45"/>
      <c r="AB2717" s="45"/>
      <c r="AC2717" s="45"/>
      <c r="AD2717" s="45"/>
      <c r="AE2717" s="45"/>
      <c r="AF2717" s="45"/>
      <c r="AG2717" s="45"/>
      <c r="AH2717" s="45"/>
      <c r="AI2717" s="45"/>
      <c r="AJ2717" s="45"/>
      <c r="AK2717" s="45"/>
      <c r="AL2717" s="45"/>
    </row>
    <row r="2718" ht="36.75" customHeight="1">
      <c r="A2718" s="27">
        <f t="shared" si="21"/>
        <v>1597</v>
      </c>
      <c r="B2718" s="28" t="s">
        <v>31</v>
      </c>
      <c r="C2718" s="43" t="s">
        <v>9499</v>
      </c>
      <c r="D2718" s="30" t="s">
        <v>9500</v>
      </c>
      <c r="E2718" s="28" t="s">
        <v>144</v>
      </c>
      <c r="F2718" s="28" t="s">
        <v>29</v>
      </c>
      <c r="G2718" s="28" t="s">
        <v>37</v>
      </c>
      <c r="H2718" s="28"/>
      <c r="I2718" s="28" t="s">
        <v>38</v>
      </c>
      <c r="J2718" s="28">
        <f>276+12</f>
        <v>288</v>
      </c>
      <c r="K2718" s="28"/>
      <c r="L2718" s="28" t="s">
        <v>9501</v>
      </c>
      <c r="M2718" s="28" t="s">
        <v>9502</v>
      </c>
      <c r="N2718" s="28">
        <v>1978.0</v>
      </c>
      <c r="O2718" s="60">
        <v>12.0</v>
      </c>
      <c r="P2718" s="28">
        <v>1.0</v>
      </c>
      <c r="Q2718" s="94">
        <v>1.0</v>
      </c>
      <c r="R2718" s="33"/>
      <c r="S2718" s="34"/>
      <c r="T2718" s="34"/>
      <c r="U2718" s="34"/>
      <c r="V2718" s="34"/>
      <c r="W2718" s="34"/>
      <c r="X2718" s="34"/>
      <c r="Y2718" s="3"/>
      <c r="Z2718" s="3"/>
      <c r="AA2718" s="3"/>
      <c r="AB2718" s="3"/>
      <c r="AC2718" s="3"/>
      <c r="AD2718" s="3"/>
      <c r="AE2718" s="3"/>
      <c r="AF2718" s="3"/>
      <c r="AG2718" s="3"/>
      <c r="AH2718" s="3"/>
      <c r="AI2718" s="3"/>
      <c r="AJ2718" s="3"/>
      <c r="AK2718" s="3"/>
      <c r="AL2718" s="3"/>
    </row>
    <row r="2719" ht="15.75" customHeight="1">
      <c r="A2719" s="27">
        <f t="shared" si="21"/>
        <v>1598</v>
      </c>
      <c r="B2719" s="28" t="s">
        <v>31</v>
      </c>
      <c r="C2719" s="29" t="s">
        <v>9503</v>
      </c>
      <c r="D2719" s="30" t="s">
        <v>9504</v>
      </c>
      <c r="E2719" s="28" t="s">
        <v>144</v>
      </c>
      <c r="F2719" s="28" t="s">
        <v>29</v>
      </c>
      <c r="G2719" s="28" t="s">
        <v>38</v>
      </c>
      <c r="H2719" s="28"/>
      <c r="I2719" s="28" t="s">
        <v>38</v>
      </c>
      <c r="J2719" s="28">
        <v>221.0</v>
      </c>
      <c r="K2719" s="28"/>
      <c r="L2719" s="28" t="s">
        <v>502</v>
      </c>
      <c r="M2719" s="28" t="s">
        <v>507</v>
      </c>
      <c r="N2719" s="28">
        <v>1963.0</v>
      </c>
      <c r="O2719" s="60">
        <v>12.0</v>
      </c>
      <c r="P2719" s="28">
        <v>1.0</v>
      </c>
      <c r="Q2719" s="94">
        <v>1.0</v>
      </c>
      <c r="R2719" s="33"/>
      <c r="S2719" s="34"/>
      <c r="T2719" s="34"/>
      <c r="U2719" s="34"/>
      <c r="V2719" s="34"/>
      <c r="W2719" s="34"/>
      <c r="X2719" s="34"/>
      <c r="Y2719" s="45"/>
      <c r="Z2719" s="45"/>
      <c r="AA2719" s="45"/>
      <c r="AB2719" s="45"/>
      <c r="AC2719" s="45"/>
      <c r="AD2719" s="45"/>
      <c r="AE2719" s="45"/>
      <c r="AF2719" s="45"/>
      <c r="AG2719" s="45"/>
      <c r="AH2719" s="45"/>
      <c r="AI2719" s="45"/>
      <c r="AJ2719" s="45"/>
      <c r="AK2719" s="45"/>
      <c r="AL2719" s="45"/>
    </row>
    <row r="2720" ht="15.75" customHeight="1">
      <c r="A2720" s="27">
        <f t="shared" si="21"/>
        <v>1599</v>
      </c>
      <c r="B2720" s="28" t="s">
        <v>9505</v>
      </c>
      <c r="C2720" s="43" t="s">
        <v>9506</v>
      </c>
      <c r="D2720" s="30" t="s">
        <v>9507</v>
      </c>
      <c r="E2720" s="28" t="s">
        <v>144</v>
      </c>
      <c r="F2720" s="28" t="s">
        <v>29</v>
      </c>
      <c r="G2720" s="28" t="s">
        <v>37</v>
      </c>
      <c r="H2720" s="28"/>
      <c r="I2720" s="28" t="s">
        <v>38</v>
      </c>
      <c r="J2720" s="28">
        <v>248.0</v>
      </c>
      <c r="K2720" s="28"/>
      <c r="L2720" s="28" t="s">
        <v>9508</v>
      </c>
      <c r="M2720" s="28" t="s">
        <v>9509</v>
      </c>
      <c r="N2720" s="28">
        <v>1990.0</v>
      </c>
      <c r="O2720" s="60">
        <v>12.0</v>
      </c>
      <c r="P2720" s="28">
        <v>1.0</v>
      </c>
      <c r="Q2720" s="94">
        <v>1.0</v>
      </c>
      <c r="R2720" s="33"/>
      <c r="S2720" s="34"/>
      <c r="T2720" s="34"/>
      <c r="U2720" s="34"/>
      <c r="V2720" s="34"/>
      <c r="W2720" s="34"/>
      <c r="X2720" s="34"/>
      <c r="Y2720" s="45"/>
      <c r="Z2720" s="45"/>
      <c r="AA2720" s="45"/>
      <c r="AB2720" s="45"/>
      <c r="AC2720" s="45"/>
      <c r="AD2720" s="45"/>
      <c r="AE2720" s="45"/>
      <c r="AF2720" s="45"/>
      <c r="AG2720" s="45"/>
      <c r="AH2720" s="45"/>
      <c r="AI2720" s="45"/>
      <c r="AJ2720" s="45"/>
      <c r="AK2720" s="45"/>
      <c r="AL2720" s="45"/>
    </row>
    <row r="2721" ht="15.75" customHeight="1">
      <c r="A2721" s="27">
        <f t="shared" si="21"/>
        <v>1600</v>
      </c>
      <c r="B2721" s="28" t="s">
        <v>31</v>
      </c>
      <c r="C2721" s="29" t="s">
        <v>9510</v>
      </c>
      <c r="D2721" s="30" t="s">
        <v>9511</v>
      </c>
      <c r="E2721" s="28" t="s">
        <v>144</v>
      </c>
      <c r="F2721" s="28" t="s">
        <v>29</v>
      </c>
      <c r="G2721" s="28" t="s">
        <v>30</v>
      </c>
      <c r="H2721" s="28"/>
      <c r="I2721" s="28" t="s">
        <v>30</v>
      </c>
      <c r="J2721" s="28">
        <v>83.0</v>
      </c>
      <c r="K2721" s="28"/>
      <c r="L2721" s="31" t="s">
        <v>7336</v>
      </c>
      <c r="M2721" s="28" t="s">
        <v>151</v>
      </c>
      <c r="N2721" s="28">
        <v>1979.0</v>
      </c>
      <c r="O2721" s="60">
        <v>12.0</v>
      </c>
      <c r="P2721" s="28">
        <v>4.0</v>
      </c>
      <c r="Q2721" s="94">
        <v>4.0</v>
      </c>
      <c r="R2721" s="33"/>
      <c r="S2721" s="34"/>
      <c r="T2721" s="34"/>
      <c r="U2721" s="34"/>
      <c r="V2721" s="34"/>
      <c r="W2721" s="34"/>
      <c r="X2721" s="34"/>
      <c r="Y2721" s="45"/>
      <c r="Z2721" s="45"/>
      <c r="AA2721" s="45"/>
      <c r="AB2721" s="45"/>
      <c r="AC2721" s="45"/>
      <c r="AD2721" s="45"/>
      <c r="AE2721" s="45"/>
      <c r="AF2721" s="45"/>
      <c r="AG2721" s="45"/>
      <c r="AH2721" s="45"/>
      <c r="AI2721" s="45"/>
      <c r="AJ2721" s="45"/>
      <c r="AK2721" s="45"/>
      <c r="AL2721" s="45"/>
    </row>
    <row r="2722" ht="15.75" customHeight="1">
      <c r="A2722" s="27">
        <f t="shared" si="21"/>
        <v>1601</v>
      </c>
      <c r="B2722" s="28" t="s">
        <v>9512</v>
      </c>
      <c r="C2722" s="29" t="s">
        <v>9513</v>
      </c>
      <c r="D2722" s="39" t="s">
        <v>9514</v>
      </c>
      <c r="E2722" s="28" t="s">
        <v>302</v>
      </c>
      <c r="F2722" s="28" t="s">
        <v>29</v>
      </c>
      <c r="G2722" s="28" t="s">
        <v>30</v>
      </c>
      <c r="H2722" s="28"/>
      <c r="I2722" s="28" t="s">
        <v>30</v>
      </c>
      <c r="J2722" s="28">
        <v>385.0</v>
      </c>
      <c r="K2722" s="28"/>
      <c r="L2722" s="28" t="s">
        <v>9515</v>
      </c>
      <c r="M2722" s="28" t="s">
        <v>9516</v>
      </c>
      <c r="N2722" s="28">
        <v>2016.0</v>
      </c>
      <c r="O2722" s="60">
        <v>12.0</v>
      </c>
      <c r="P2722" s="28">
        <v>2.0</v>
      </c>
      <c r="Q2722" s="94">
        <v>2.0</v>
      </c>
      <c r="R2722" s="33"/>
      <c r="S2722" s="40"/>
      <c r="T2722" s="40"/>
      <c r="U2722" s="40"/>
      <c r="V2722" s="40"/>
      <c r="W2722" s="40"/>
      <c r="X2722" s="40"/>
      <c r="Y2722" s="45"/>
      <c r="Z2722" s="45"/>
      <c r="AA2722" s="45"/>
      <c r="AB2722" s="45"/>
      <c r="AC2722" s="45"/>
      <c r="AD2722" s="45"/>
      <c r="AE2722" s="45"/>
      <c r="AF2722" s="45"/>
      <c r="AG2722" s="45"/>
      <c r="AH2722" s="45"/>
      <c r="AI2722" s="45"/>
      <c r="AJ2722" s="45"/>
      <c r="AK2722" s="45"/>
      <c r="AL2722" s="45"/>
    </row>
    <row r="2723" ht="15.75" customHeight="1">
      <c r="A2723" s="27">
        <f t="shared" si="21"/>
        <v>1602</v>
      </c>
      <c r="B2723" s="28" t="s">
        <v>9517</v>
      </c>
      <c r="C2723" s="43" t="s">
        <v>9518</v>
      </c>
      <c r="D2723" s="30" t="s">
        <v>9519</v>
      </c>
      <c r="E2723" s="28" t="s">
        <v>31</v>
      </c>
      <c r="F2723" s="28" t="s">
        <v>29</v>
      </c>
      <c r="G2723" s="28" t="s">
        <v>30</v>
      </c>
      <c r="H2723" s="28"/>
      <c r="I2723" s="28" t="s">
        <v>30</v>
      </c>
      <c r="J2723" s="28">
        <v>288.0</v>
      </c>
      <c r="K2723" s="28"/>
      <c r="L2723" s="28" t="s">
        <v>9520</v>
      </c>
      <c r="M2723" s="28" t="s">
        <v>9521</v>
      </c>
      <c r="N2723" s="28">
        <v>2004.0</v>
      </c>
      <c r="O2723" s="60">
        <v>12.0</v>
      </c>
      <c r="P2723" s="28">
        <v>2.0</v>
      </c>
      <c r="Q2723" s="32">
        <v>2.0</v>
      </c>
      <c r="R2723" s="33"/>
      <c r="S2723" s="34"/>
      <c r="T2723" s="34"/>
      <c r="U2723" s="34"/>
      <c r="V2723" s="34"/>
      <c r="W2723" s="34"/>
      <c r="X2723" s="34"/>
      <c r="Y2723" s="45"/>
      <c r="Z2723" s="45"/>
      <c r="AA2723" s="45"/>
      <c r="AB2723" s="45"/>
      <c r="AC2723" s="45"/>
      <c r="AD2723" s="45"/>
      <c r="AE2723" s="45"/>
      <c r="AF2723" s="45"/>
      <c r="AG2723" s="45"/>
      <c r="AH2723" s="45"/>
      <c r="AI2723" s="45"/>
      <c r="AJ2723" s="45"/>
      <c r="AK2723" s="45"/>
      <c r="AL2723" s="45"/>
    </row>
    <row r="2724" ht="15.75" customHeight="1">
      <c r="A2724" s="27">
        <f t="shared" si="21"/>
        <v>1603</v>
      </c>
      <c r="B2724" s="83"/>
      <c r="C2724" s="121" t="s">
        <v>9522</v>
      </c>
      <c r="D2724" s="119" t="s">
        <v>9523</v>
      </c>
      <c r="E2724" s="121" t="s">
        <v>144</v>
      </c>
      <c r="F2724" s="121" t="s">
        <v>29</v>
      </c>
      <c r="G2724" s="121" t="s">
        <v>30</v>
      </c>
      <c r="H2724" s="83"/>
      <c r="I2724" s="121" t="s">
        <v>30</v>
      </c>
      <c r="J2724" s="121">
        <v>171.0</v>
      </c>
      <c r="K2724" s="83"/>
      <c r="L2724" s="121" t="s">
        <v>6479</v>
      </c>
      <c r="M2724" s="121" t="s">
        <v>1166</v>
      </c>
      <c r="N2724" s="121">
        <v>1999.0</v>
      </c>
      <c r="O2724" s="60">
        <v>12.0</v>
      </c>
      <c r="P2724" s="121">
        <v>1.0</v>
      </c>
      <c r="Q2724" s="121">
        <v>1.0</v>
      </c>
      <c r="R2724" s="84"/>
      <c r="S2724" s="34"/>
      <c r="T2724" s="34"/>
      <c r="U2724" s="34"/>
      <c r="V2724" s="34"/>
      <c r="W2724" s="34"/>
      <c r="X2724" s="34"/>
      <c r="Y2724" s="45"/>
      <c r="Z2724" s="45"/>
      <c r="AA2724" s="45"/>
      <c r="AB2724" s="45"/>
      <c r="AC2724" s="45"/>
      <c r="AD2724" s="45"/>
      <c r="AE2724" s="45"/>
      <c r="AF2724" s="45"/>
      <c r="AG2724" s="45"/>
      <c r="AH2724" s="45"/>
      <c r="AI2724" s="45"/>
      <c r="AJ2724" s="45"/>
      <c r="AK2724" s="45"/>
      <c r="AL2724" s="45"/>
    </row>
    <row r="2725" ht="15.75" customHeight="1">
      <c r="A2725" s="27">
        <f t="shared" si="21"/>
        <v>1604</v>
      </c>
      <c r="B2725" s="83"/>
      <c r="C2725" s="124" t="s">
        <v>9524</v>
      </c>
      <c r="D2725" s="119" t="s">
        <v>9525</v>
      </c>
      <c r="E2725" s="83"/>
      <c r="F2725" s="121" t="s">
        <v>29</v>
      </c>
      <c r="G2725" s="121" t="s">
        <v>30</v>
      </c>
      <c r="H2725" s="83"/>
      <c r="I2725" s="121" t="s">
        <v>30</v>
      </c>
      <c r="J2725" s="121">
        <v>156.0</v>
      </c>
      <c r="K2725" s="83"/>
      <c r="L2725" s="121" t="s">
        <v>9526</v>
      </c>
      <c r="M2725" s="121" t="s">
        <v>6235</v>
      </c>
      <c r="N2725" s="121">
        <v>1995.0</v>
      </c>
      <c r="O2725" s="60">
        <v>12.0</v>
      </c>
      <c r="P2725" s="121">
        <v>1.0</v>
      </c>
      <c r="Q2725" s="121">
        <v>1.0</v>
      </c>
      <c r="R2725" s="84"/>
      <c r="S2725" s="34"/>
      <c r="T2725" s="34"/>
      <c r="U2725" s="34"/>
      <c r="V2725" s="34"/>
      <c r="W2725" s="34"/>
      <c r="X2725" s="34"/>
      <c r="Y2725" s="45"/>
      <c r="Z2725" s="45"/>
      <c r="AA2725" s="45"/>
      <c r="AB2725" s="45"/>
      <c r="AC2725" s="45"/>
      <c r="AD2725" s="45"/>
      <c r="AE2725" s="45"/>
      <c r="AF2725" s="45"/>
      <c r="AG2725" s="45"/>
      <c r="AH2725" s="45"/>
      <c r="AI2725" s="45"/>
      <c r="AJ2725" s="45"/>
      <c r="AK2725" s="45"/>
      <c r="AL2725" s="45"/>
    </row>
    <row r="2726" ht="15.75" customHeight="1">
      <c r="A2726" s="27">
        <f t="shared" si="21"/>
        <v>1605</v>
      </c>
      <c r="B2726" s="121" t="s">
        <v>9527</v>
      </c>
      <c r="C2726" s="124" t="s">
        <v>9528</v>
      </c>
      <c r="D2726" s="119" t="s">
        <v>9529</v>
      </c>
      <c r="E2726" s="83"/>
      <c r="F2726" s="121" t="s">
        <v>29</v>
      </c>
      <c r="G2726" s="121" t="s">
        <v>30</v>
      </c>
      <c r="H2726" s="83"/>
      <c r="I2726" s="121" t="s">
        <v>30</v>
      </c>
      <c r="J2726" s="121">
        <v>158.0</v>
      </c>
      <c r="K2726" s="83"/>
      <c r="L2726" s="121" t="s">
        <v>9526</v>
      </c>
      <c r="M2726" s="121" t="s">
        <v>6235</v>
      </c>
      <c r="N2726" s="121">
        <v>1997.0</v>
      </c>
      <c r="O2726" s="60">
        <v>12.0</v>
      </c>
      <c r="P2726" s="121">
        <v>1.0</v>
      </c>
      <c r="Q2726" s="121">
        <v>1.0</v>
      </c>
      <c r="R2726" s="84"/>
      <c r="S2726" s="34"/>
      <c r="T2726" s="34"/>
      <c r="U2726" s="34"/>
      <c r="V2726" s="34"/>
      <c r="W2726" s="34"/>
      <c r="X2726" s="34"/>
      <c r="Y2726" s="74"/>
      <c r="Z2726" s="74"/>
      <c r="AA2726" s="74"/>
      <c r="AB2726" s="74"/>
      <c r="AC2726" s="74"/>
      <c r="AD2726" s="74"/>
      <c r="AE2726" s="74"/>
      <c r="AF2726" s="74"/>
      <c r="AG2726" s="74"/>
      <c r="AH2726" s="74"/>
      <c r="AI2726" s="74"/>
      <c r="AJ2726" s="74"/>
      <c r="AK2726" s="74"/>
      <c r="AL2726" s="74"/>
    </row>
    <row r="2727" ht="15.75" customHeight="1">
      <c r="A2727" s="27">
        <f t="shared" si="21"/>
        <v>1606</v>
      </c>
      <c r="B2727" s="83"/>
      <c r="C2727" s="121" t="s">
        <v>9530</v>
      </c>
      <c r="D2727" s="119" t="s">
        <v>9531</v>
      </c>
      <c r="E2727" s="121" t="s">
        <v>144</v>
      </c>
      <c r="F2727" s="121" t="s">
        <v>29</v>
      </c>
      <c r="G2727" s="121" t="s">
        <v>30</v>
      </c>
      <c r="H2727" s="83"/>
      <c r="I2727" s="121" t="s">
        <v>30</v>
      </c>
      <c r="J2727" s="121">
        <v>88.0</v>
      </c>
      <c r="K2727" s="83"/>
      <c r="L2727" s="121" t="s">
        <v>9532</v>
      </c>
      <c r="M2727" s="121" t="s">
        <v>9533</v>
      </c>
      <c r="N2727" s="83"/>
      <c r="O2727" s="60">
        <v>12.0</v>
      </c>
      <c r="P2727" s="121">
        <v>1.0</v>
      </c>
      <c r="Q2727" s="121">
        <v>1.0</v>
      </c>
      <c r="R2727" s="84"/>
      <c r="S2727" s="34"/>
      <c r="T2727" s="34"/>
      <c r="U2727" s="34"/>
      <c r="V2727" s="34"/>
      <c r="W2727" s="34"/>
      <c r="X2727" s="34"/>
      <c r="Y2727" s="45"/>
      <c r="Z2727" s="45"/>
      <c r="AA2727" s="45"/>
      <c r="AB2727" s="45"/>
      <c r="AC2727" s="45"/>
      <c r="AD2727" s="45"/>
      <c r="AE2727" s="45"/>
      <c r="AF2727" s="45"/>
      <c r="AG2727" s="45"/>
      <c r="AH2727" s="45"/>
      <c r="AI2727" s="45"/>
      <c r="AJ2727" s="45"/>
      <c r="AK2727" s="45"/>
      <c r="AL2727" s="45"/>
    </row>
    <row r="2728" ht="15.75" customHeight="1">
      <c r="A2728" s="27">
        <f t="shared" si="21"/>
        <v>1607</v>
      </c>
      <c r="B2728" s="28" t="s">
        <v>9534</v>
      </c>
      <c r="C2728" s="29" t="s">
        <v>9535</v>
      </c>
      <c r="D2728" s="30" t="s">
        <v>9536</v>
      </c>
      <c r="E2728" s="28"/>
      <c r="F2728" s="28" t="s">
        <v>29</v>
      </c>
      <c r="G2728" s="28" t="s">
        <v>30</v>
      </c>
      <c r="H2728" s="28"/>
      <c r="I2728" s="28" t="s">
        <v>30</v>
      </c>
      <c r="J2728" s="28">
        <v>232.0</v>
      </c>
      <c r="K2728" s="28"/>
      <c r="L2728" s="28" t="s">
        <v>9537</v>
      </c>
      <c r="M2728" s="28" t="s">
        <v>9538</v>
      </c>
      <c r="N2728" s="28">
        <v>1990.0</v>
      </c>
      <c r="O2728" s="60">
        <v>12.0</v>
      </c>
      <c r="P2728" s="28">
        <v>1.0</v>
      </c>
      <c r="Q2728" s="94">
        <v>1.0</v>
      </c>
      <c r="R2728" s="33"/>
      <c r="S2728" s="34"/>
      <c r="T2728" s="34"/>
      <c r="U2728" s="34"/>
      <c r="V2728" s="34"/>
      <c r="W2728" s="34"/>
      <c r="X2728" s="34"/>
      <c r="Y2728" s="45"/>
      <c r="Z2728" s="45"/>
      <c r="AA2728" s="45"/>
      <c r="AB2728" s="45"/>
      <c r="AC2728" s="45"/>
      <c r="AD2728" s="45"/>
      <c r="AE2728" s="45"/>
      <c r="AF2728" s="45"/>
      <c r="AG2728" s="45"/>
      <c r="AH2728" s="45"/>
      <c r="AI2728" s="45"/>
      <c r="AJ2728" s="45"/>
      <c r="AK2728" s="45"/>
      <c r="AL2728" s="45"/>
    </row>
    <row r="2729" ht="15.75" customHeight="1">
      <c r="A2729" s="27">
        <f t="shared" si="21"/>
        <v>1608</v>
      </c>
      <c r="B2729" s="28"/>
      <c r="C2729" s="43" t="s">
        <v>9539</v>
      </c>
      <c r="D2729" s="30" t="s">
        <v>9540</v>
      </c>
      <c r="E2729" s="28"/>
      <c r="F2729" s="28" t="s">
        <v>29</v>
      </c>
      <c r="G2729" s="28" t="s">
        <v>159</v>
      </c>
      <c r="H2729" s="28"/>
      <c r="I2729" s="28" t="s">
        <v>159</v>
      </c>
      <c r="J2729" s="28">
        <v>239.0</v>
      </c>
      <c r="K2729" s="28"/>
      <c r="L2729" s="28" t="s">
        <v>9541</v>
      </c>
      <c r="M2729" s="28" t="s">
        <v>2258</v>
      </c>
      <c r="N2729" s="28">
        <v>2005.0</v>
      </c>
      <c r="O2729" s="60">
        <v>12.0</v>
      </c>
      <c r="P2729" s="28">
        <v>1.0</v>
      </c>
      <c r="Q2729" s="32">
        <v>1.0</v>
      </c>
      <c r="R2729" s="33"/>
      <c r="S2729" s="34"/>
      <c r="T2729" s="34"/>
      <c r="U2729" s="34"/>
      <c r="V2729" s="34"/>
      <c r="W2729" s="34"/>
      <c r="X2729" s="34"/>
      <c r="Y2729" s="45"/>
      <c r="Z2729" s="45"/>
      <c r="AA2729" s="45"/>
      <c r="AB2729" s="45"/>
      <c r="AC2729" s="45"/>
      <c r="AD2729" s="45"/>
      <c r="AE2729" s="45"/>
      <c r="AF2729" s="45"/>
      <c r="AG2729" s="45"/>
      <c r="AH2729" s="45"/>
      <c r="AI2729" s="45"/>
      <c r="AJ2729" s="45"/>
      <c r="AK2729" s="45"/>
      <c r="AL2729" s="45"/>
    </row>
    <row r="2730" ht="15.75" customHeight="1">
      <c r="A2730" s="27">
        <f t="shared" si="21"/>
        <v>1609</v>
      </c>
      <c r="B2730" s="32" t="s">
        <v>9542</v>
      </c>
      <c r="C2730" s="121" t="s">
        <v>9543</v>
      </c>
      <c r="D2730" s="119" t="s">
        <v>9544</v>
      </c>
      <c r="E2730" s="121" t="s">
        <v>144</v>
      </c>
      <c r="F2730" s="121" t="s">
        <v>29</v>
      </c>
      <c r="G2730" s="121" t="s">
        <v>30</v>
      </c>
      <c r="H2730" s="83"/>
      <c r="I2730" s="121" t="s">
        <v>30</v>
      </c>
      <c r="J2730" s="121">
        <v>335.0</v>
      </c>
      <c r="K2730" s="83"/>
      <c r="L2730" s="121" t="s">
        <v>9545</v>
      </c>
      <c r="M2730" s="121" t="s">
        <v>8073</v>
      </c>
      <c r="N2730" s="121">
        <v>2017.0</v>
      </c>
      <c r="O2730" s="60">
        <v>12.0</v>
      </c>
      <c r="P2730" s="121">
        <v>1.0</v>
      </c>
      <c r="Q2730" s="121">
        <v>1.0</v>
      </c>
      <c r="R2730" s="84"/>
      <c r="S2730" s="116"/>
      <c r="T2730" s="116"/>
      <c r="U2730" s="116"/>
      <c r="V2730" s="116"/>
      <c r="W2730" s="116"/>
      <c r="X2730" s="116"/>
      <c r="Y2730" s="74"/>
      <c r="Z2730" s="74"/>
      <c r="AA2730" s="74"/>
      <c r="AB2730" s="74"/>
      <c r="AC2730" s="74"/>
      <c r="AD2730" s="74"/>
      <c r="AE2730" s="74"/>
      <c r="AF2730" s="74"/>
      <c r="AG2730" s="74"/>
      <c r="AH2730" s="74"/>
      <c r="AI2730" s="74"/>
      <c r="AJ2730" s="74"/>
      <c r="AK2730" s="74"/>
      <c r="AL2730" s="74"/>
    </row>
    <row r="2731" ht="15.75" customHeight="1">
      <c r="A2731" s="27">
        <f t="shared" si="21"/>
        <v>1610</v>
      </c>
      <c r="B2731" s="28" t="s">
        <v>9546</v>
      </c>
      <c r="C2731" s="29" t="s">
        <v>9547</v>
      </c>
      <c r="D2731" s="30" t="s">
        <v>9548</v>
      </c>
      <c r="E2731" s="28"/>
      <c r="F2731" s="28" t="s">
        <v>29</v>
      </c>
      <c r="G2731" s="28" t="s">
        <v>30</v>
      </c>
      <c r="H2731" s="28"/>
      <c r="I2731" s="28" t="s">
        <v>30</v>
      </c>
      <c r="J2731" s="28">
        <v>362.0</v>
      </c>
      <c r="K2731" s="28"/>
      <c r="L2731" s="28" t="s">
        <v>9549</v>
      </c>
      <c r="M2731" s="28" t="s">
        <v>151</v>
      </c>
      <c r="N2731" s="28">
        <v>1989.0</v>
      </c>
      <c r="O2731" s="60">
        <v>12.0</v>
      </c>
      <c r="P2731" s="28">
        <v>1.0</v>
      </c>
      <c r="Q2731" s="94">
        <v>13.0</v>
      </c>
      <c r="R2731" s="33"/>
      <c r="S2731" s="34"/>
      <c r="T2731" s="34"/>
      <c r="U2731" s="34"/>
      <c r="V2731" s="34"/>
      <c r="W2731" s="34"/>
      <c r="X2731" s="34"/>
      <c r="Y2731" s="74"/>
      <c r="Z2731" s="74"/>
      <c r="AA2731" s="74"/>
      <c r="AB2731" s="74"/>
      <c r="AC2731" s="74"/>
      <c r="AD2731" s="74"/>
      <c r="AE2731" s="74"/>
      <c r="AF2731" s="74"/>
      <c r="AG2731" s="74"/>
      <c r="AH2731" s="74"/>
      <c r="AI2731" s="74"/>
      <c r="AJ2731" s="74"/>
      <c r="AK2731" s="74"/>
      <c r="AL2731" s="74"/>
    </row>
    <row r="2732" ht="15.75" customHeight="1">
      <c r="A2732" s="27">
        <f t="shared" si="21"/>
        <v>1611</v>
      </c>
      <c r="B2732" s="28" t="s">
        <v>9550</v>
      </c>
      <c r="C2732" s="43" t="s">
        <v>9551</v>
      </c>
      <c r="D2732" s="30" t="s">
        <v>9552</v>
      </c>
      <c r="E2732" s="28" t="s">
        <v>144</v>
      </c>
      <c r="F2732" s="28" t="s">
        <v>29</v>
      </c>
      <c r="G2732" s="28" t="s">
        <v>38</v>
      </c>
      <c r="H2732" s="28"/>
      <c r="I2732" s="28" t="s">
        <v>38</v>
      </c>
      <c r="J2732" s="28">
        <f>256+11</f>
        <v>267</v>
      </c>
      <c r="K2732" s="28"/>
      <c r="L2732" s="28" t="s">
        <v>2984</v>
      </c>
      <c r="M2732" s="28" t="s">
        <v>9553</v>
      </c>
      <c r="N2732" s="28">
        <v>2017.0</v>
      </c>
      <c r="O2732" s="60">
        <v>12.0</v>
      </c>
      <c r="P2732" s="28">
        <v>1.0</v>
      </c>
      <c r="Q2732" s="94">
        <v>1.0</v>
      </c>
      <c r="R2732" s="33"/>
      <c r="S2732" s="34"/>
      <c r="T2732" s="34"/>
      <c r="U2732" s="34"/>
      <c r="V2732" s="34"/>
      <c r="W2732" s="34"/>
      <c r="X2732" s="34"/>
      <c r="Y2732" s="74"/>
      <c r="Z2732" s="74"/>
      <c r="AA2732" s="74"/>
      <c r="AB2732" s="74"/>
      <c r="AC2732" s="74"/>
      <c r="AD2732" s="74"/>
      <c r="AE2732" s="74"/>
      <c r="AF2732" s="74"/>
      <c r="AG2732" s="74"/>
      <c r="AH2732" s="74"/>
      <c r="AI2732" s="74"/>
      <c r="AJ2732" s="74"/>
      <c r="AK2732" s="74"/>
      <c r="AL2732" s="74"/>
    </row>
    <row r="2733" ht="15.75" customHeight="1">
      <c r="A2733" s="27">
        <f t="shared" si="21"/>
        <v>1612</v>
      </c>
      <c r="B2733" s="28" t="s">
        <v>31</v>
      </c>
      <c r="C2733" s="43" t="s">
        <v>9554</v>
      </c>
      <c r="D2733" s="30" t="s">
        <v>9555</v>
      </c>
      <c r="E2733" s="28" t="s">
        <v>31</v>
      </c>
      <c r="F2733" s="28" t="s">
        <v>29</v>
      </c>
      <c r="G2733" s="28" t="s">
        <v>30</v>
      </c>
      <c r="H2733" s="28"/>
      <c r="I2733" s="28" t="s">
        <v>30</v>
      </c>
      <c r="J2733" s="28">
        <v>142.0</v>
      </c>
      <c r="K2733" s="28"/>
      <c r="L2733" s="28"/>
      <c r="M2733" s="28" t="s">
        <v>151</v>
      </c>
      <c r="N2733" s="28">
        <v>1985.0</v>
      </c>
      <c r="O2733" s="60">
        <v>12.0</v>
      </c>
      <c r="P2733" s="28">
        <v>1.0</v>
      </c>
      <c r="Q2733" s="94">
        <v>1.0</v>
      </c>
      <c r="R2733" s="33"/>
      <c r="S2733" s="34"/>
      <c r="T2733" s="34"/>
      <c r="U2733" s="34"/>
      <c r="V2733" s="34"/>
      <c r="W2733" s="34"/>
      <c r="X2733" s="34"/>
      <c r="Y2733" s="74"/>
      <c r="Z2733" s="74"/>
      <c r="AA2733" s="74"/>
      <c r="AB2733" s="74"/>
      <c r="AC2733" s="74"/>
      <c r="AD2733" s="74"/>
      <c r="AE2733" s="74"/>
      <c r="AF2733" s="74"/>
      <c r="AG2733" s="74"/>
      <c r="AH2733" s="74"/>
      <c r="AI2733" s="74"/>
      <c r="AJ2733" s="74"/>
      <c r="AK2733" s="74"/>
      <c r="AL2733" s="74"/>
    </row>
    <row r="2734" ht="15.75" customHeight="1">
      <c r="A2734" s="27">
        <f t="shared" si="21"/>
        <v>1613</v>
      </c>
      <c r="B2734" s="28" t="s">
        <v>9556</v>
      </c>
      <c r="C2734" s="29" t="s">
        <v>9557</v>
      </c>
      <c r="D2734" s="30" t="s">
        <v>9558</v>
      </c>
      <c r="E2734" s="28"/>
      <c r="F2734" s="28" t="s">
        <v>29</v>
      </c>
      <c r="G2734" s="28" t="s">
        <v>37</v>
      </c>
      <c r="H2734" s="28"/>
      <c r="I2734" s="28" t="s">
        <v>38</v>
      </c>
      <c r="J2734" s="28">
        <v>601.0</v>
      </c>
      <c r="K2734" s="28"/>
      <c r="L2734" s="28" t="s">
        <v>9559</v>
      </c>
      <c r="M2734" s="28" t="s">
        <v>507</v>
      </c>
      <c r="N2734" s="28">
        <v>2006.0</v>
      </c>
      <c r="O2734" s="60">
        <v>12.0</v>
      </c>
      <c r="P2734" s="28">
        <v>1.0</v>
      </c>
      <c r="Q2734" s="94">
        <v>1.0</v>
      </c>
      <c r="R2734" s="33"/>
      <c r="S2734" s="34"/>
      <c r="T2734" s="34"/>
      <c r="U2734" s="34"/>
      <c r="V2734" s="34"/>
      <c r="W2734" s="34"/>
      <c r="X2734" s="34"/>
      <c r="Y2734" s="74"/>
      <c r="Z2734" s="74"/>
      <c r="AA2734" s="74"/>
      <c r="AB2734" s="74"/>
      <c r="AC2734" s="74"/>
      <c r="AD2734" s="74"/>
      <c r="AE2734" s="74"/>
      <c r="AF2734" s="74"/>
      <c r="AG2734" s="74"/>
      <c r="AH2734" s="74"/>
      <c r="AI2734" s="74"/>
      <c r="AJ2734" s="74"/>
      <c r="AK2734" s="74"/>
      <c r="AL2734" s="74"/>
    </row>
    <row r="2735" ht="15.75" customHeight="1">
      <c r="A2735" s="27">
        <f t="shared" si="21"/>
        <v>1614</v>
      </c>
      <c r="B2735" s="28"/>
      <c r="C2735" s="29" t="s">
        <v>9560</v>
      </c>
      <c r="D2735" s="30" t="s">
        <v>9561</v>
      </c>
      <c r="E2735" s="28" t="s">
        <v>144</v>
      </c>
      <c r="F2735" s="28" t="s">
        <v>29</v>
      </c>
      <c r="G2735" s="28" t="s">
        <v>30</v>
      </c>
      <c r="H2735" s="28"/>
      <c r="I2735" s="28" t="s">
        <v>30</v>
      </c>
      <c r="J2735" s="28">
        <f>61</f>
        <v>61</v>
      </c>
      <c r="K2735" s="28"/>
      <c r="L2735" s="28" t="s">
        <v>9562</v>
      </c>
      <c r="M2735" s="28" t="s">
        <v>2405</v>
      </c>
      <c r="N2735" s="28">
        <v>2004.0</v>
      </c>
      <c r="O2735" s="60">
        <v>12.0</v>
      </c>
      <c r="P2735" s="28">
        <v>1.0</v>
      </c>
      <c r="Q2735" s="94">
        <v>1.0</v>
      </c>
      <c r="R2735" s="33"/>
      <c r="S2735" s="34"/>
      <c r="T2735" s="34"/>
      <c r="U2735" s="34"/>
      <c r="V2735" s="34"/>
      <c r="W2735" s="34"/>
      <c r="X2735" s="34"/>
      <c r="Y2735" s="74"/>
      <c r="Z2735" s="74"/>
      <c r="AA2735" s="74"/>
      <c r="AB2735" s="74"/>
      <c r="AC2735" s="74"/>
      <c r="AD2735" s="74"/>
      <c r="AE2735" s="74"/>
      <c r="AF2735" s="74"/>
      <c r="AG2735" s="74"/>
      <c r="AH2735" s="74"/>
      <c r="AI2735" s="74"/>
      <c r="AJ2735" s="74"/>
      <c r="AK2735" s="74"/>
      <c r="AL2735" s="74"/>
    </row>
    <row r="2736" ht="15.75" customHeight="1">
      <c r="A2736" s="27">
        <f t="shared" si="21"/>
        <v>1615</v>
      </c>
      <c r="B2736" s="28" t="s">
        <v>31</v>
      </c>
      <c r="C2736" s="43" t="s">
        <v>9563</v>
      </c>
      <c r="D2736" s="30" t="s">
        <v>9564</v>
      </c>
      <c r="E2736" s="28" t="s">
        <v>144</v>
      </c>
      <c r="F2736" s="28" t="s">
        <v>29</v>
      </c>
      <c r="G2736" s="28" t="s">
        <v>30</v>
      </c>
      <c r="H2736" s="28"/>
      <c r="I2736" s="28" t="s">
        <v>30</v>
      </c>
      <c r="J2736" s="28">
        <v>140.0</v>
      </c>
      <c r="K2736" s="28"/>
      <c r="L2736" s="28" t="s">
        <v>9565</v>
      </c>
      <c r="M2736" s="28" t="s">
        <v>9566</v>
      </c>
      <c r="N2736" s="28">
        <v>1987.0</v>
      </c>
      <c r="O2736" s="60">
        <v>12.0</v>
      </c>
      <c r="P2736" s="28">
        <v>1.0</v>
      </c>
      <c r="Q2736" s="94">
        <v>1.0</v>
      </c>
      <c r="R2736" s="33"/>
      <c r="S2736" s="116"/>
      <c r="T2736" s="116"/>
      <c r="U2736" s="116"/>
      <c r="V2736" s="116"/>
      <c r="W2736" s="116"/>
      <c r="X2736" s="116"/>
      <c r="Y2736" s="74"/>
      <c r="Z2736" s="74"/>
      <c r="AA2736" s="74"/>
      <c r="AB2736" s="74"/>
      <c r="AC2736" s="74"/>
      <c r="AD2736" s="74"/>
      <c r="AE2736" s="74"/>
      <c r="AF2736" s="74"/>
      <c r="AG2736" s="74"/>
      <c r="AH2736" s="74"/>
      <c r="AI2736" s="74"/>
      <c r="AJ2736" s="74"/>
      <c r="AK2736" s="74"/>
      <c r="AL2736" s="74"/>
    </row>
    <row r="2737" ht="15.75" customHeight="1">
      <c r="A2737" s="27">
        <f t="shared" si="21"/>
        <v>1616</v>
      </c>
      <c r="B2737" s="28" t="s">
        <v>31</v>
      </c>
      <c r="C2737" s="43" t="s">
        <v>9567</v>
      </c>
      <c r="D2737" s="30" t="s">
        <v>9568</v>
      </c>
      <c r="E2737" s="28"/>
      <c r="F2737" s="28" t="s">
        <v>29</v>
      </c>
      <c r="G2737" s="28" t="s">
        <v>30</v>
      </c>
      <c r="H2737" s="28"/>
      <c r="I2737" s="28" t="s">
        <v>30</v>
      </c>
      <c r="J2737" s="28">
        <v>192.0</v>
      </c>
      <c r="K2737" s="28"/>
      <c r="L2737" s="28" t="s">
        <v>6972</v>
      </c>
      <c r="M2737" s="28" t="s">
        <v>151</v>
      </c>
      <c r="N2737" s="28">
        <v>1985.0</v>
      </c>
      <c r="O2737" s="60">
        <v>12.0</v>
      </c>
      <c r="P2737" s="28">
        <v>1.0</v>
      </c>
      <c r="Q2737" s="94">
        <v>1.0</v>
      </c>
      <c r="R2737" s="33"/>
      <c r="S2737" s="116"/>
      <c r="T2737" s="116"/>
      <c r="U2737" s="116"/>
      <c r="V2737" s="116"/>
      <c r="W2737" s="116"/>
      <c r="X2737" s="116"/>
      <c r="Y2737" s="74"/>
      <c r="Z2737" s="74"/>
      <c r="AA2737" s="74"/>
      <c r="AB2737" s="74"/>
      <c r="AC2737" s="74"/>
      <c r="AD2737" s="74"/>
      <c r="AE2737" s="74"/>
      <c r="AF2737" s="74"/>
      <c r="AG2737" s="74"/>
      <c r="AH2737" s="74"/>
      <c r="AI2737" s="74"/>
      <c r="AJ2737" s="74"/>
      <c r="AK2737" s="74"/>
      <c r="AL2737" s="74"/>
    </row>
    <row r="2738" ht="15.75" customHeight="1">
      <c r="A2738" s="27">
        <f t="shared" si="21"/>
        <v>1617</v>
      </c>
      <c r="B2738" s="28" t="s">
        <v>9569</v>
      </c>
      <c r="C2738" s="43" t="s">
        <v>9570</v>
      </c>
      <c r="D2738" s="30" t="s">
        <v>9571</v>
      </c>
      <c r="E2738" s="28" t="s">
        <v>144</v>
      </c>
      <c r="F2738" s="28" t="s">
        <v>29</v>
      </c>
      <c r="G2738" s="28" t="s">
        <v>30</v>
      </c>
      <c r="H2738" s="28" t="s">
        <v>31</v>
      </c>
      <c r="I2738" s="28" t="s">
        <v>30</v>
      </c>
      <c r="J2738" s="28">
        <v>206.0</v>
      </c>
      <c r="K2738" s="28"/>
      <c r="L2738" s="28" t="s">
        <v>6972</v>
      </c>
      <c r="M2738" s="28" t="s">
        <v>151</v>
      </c>
      <c r="N2738" s="28">
        <v>2010.0</v>
      </c>
      <c r="O2738" s="60">
        <v>12.0</v>
      </c>
      <c r="P2738" s="28">
        <v>1.0</v>
      </c>
      <c r="Q2738" s="32">
        <v>1.0</v>
      </c>
      <c r="R2738" s="33"/>
      <c r="S2738" s="34"/>
      <c r="T2738" s="34"/>
      <c r="U2738" s="34"/>
      <c r="V2738" s="34"/>
      <c r="W2738" s="34"/>
      <c r="X2738" s="34"/>
      <c r="Y2738" s="45"/>
      <c r="Z2738" s="45"/>
      <c r="AA2738" s="45"/>
      <c r="AB2738" s="45"/>
      <c r="AC2738" s="45"/>
      <c r="AD2738" s="45"/>
      <c r="AE2738" s="45"/>
      <c r="AF2738" s="45"/>
      <c r="AG2738" s="45"/>
      <c r="AH2738" s="45"/>
      <c r="AI2738" s="45"/>
      <c r="AJ2738" s="45"/>
      <c r="AK2738" s="45"/>
      <c r="AL2738" s="45"/>
    </row>
    <row r="2739" ht="15.75" customHeight="1">
      <c r="A2739" s="27">
        <f t="shared" si="21"/>
        <v>1618</v>
      </c>
      <c r="B2739" s="28" t="s">
        <v>9572</v>
      </c>
      <c r="C2739" s="43" t="s">
        <v>9573</v>
      </c>
      <c r="D2739" s="30" t="s">
        <v>9574</v>
      </c>
      <c r="E2739" s="28" t="s">
        <v>144</v>
      </c>
      <c r="F2739" s="28" t="s">
        <v>29</v>
      </c>
      <c r="G2739" s="28" t="s">
        <v>30</v>
      </c>
      <c r="H2739" s="28"/>
      <c r="I2739" s="28" t="s">
        <v>30</v>
      </c>
      <c r="J2739" s="28">
        <v>412.0</v>
      </c>
      <c r="K2739" s="28"/>
      <c r="L2739" s="28" t="s">
        <v>9334</v>
      </c>
      <c r="M2739" s="28" t="s">
        <v>151</v>
      </c>
      <c r="N2739" s="28">
        <v>2001.0</v>
      </c>
      <c r="O2739" s="60">
        <v>12.0</v>
      </c>
      <c r="P2739" s="28">
        <v>2.0</v>
      </c>
      <c r="Q2739" s="94">
        <v>2.0</v>
      </c>
      <c r="R2739" s="33"/>
      <c r="S2739" s="34"/>
      <c r="T2739" s="34"/>
      <c r="U2739" s="34"/>
      <c r="V2739" s="34"/>
      <c r="W2739" s="34"/>
      <c r="X2739" s="34"/>
      <c r="Y2739" s="45"/>
      <c r="Z2739" s="45"/>
      <c r="AA2739" s="45"/>
      <c r="AB2739" s="45"/>
      <c r="AC2739" s="45"/>
      <c r="AD2739" s="45"/>
      <c r="AE2739" s="45"/>
      <c r="AF2739" s="45"/>
      <c r="AG2739" s="45"/>
      <c r="AH2739" s="45"/>
      <c r="AI2739" s="45"/>
      <c r="AJ2739" s="45"/>
      <c r="AK2739" s="45"/>
      <c r="AL2739" s="45"/>
    </row>
    <row r="2740" ht="15.75" customHeight="1">
      <c r="A2740" s="27">
        <f t="shared" si="21"/>
        <v>1619</v>
      </c>
      <c r="B2740" s="28" t="s">
        <v>9575</v>
      </c>
      <c r="C2740" s="29" t="s">
        <v>9576</v>
      </c>
      <c r="D2740" s="30" t="s">
        <v>9577</v>
      </c>
      <c r="E2740" s="28" t="s">
        <v>144</v>
      </c>
      <c r="F2740" s="28" t="s">
        <v>29</v>
      </c>
      <c r="G2740" s="28" t="s">
        <v>30</v>
      </c>
      <c r="H2740" s="28"/>
      <c r="I2740" s="28" t="s">
        <v>30</v>
      </c>
      <c r="J2740" s="28">
        <v>496.0</v>
      </c>
      <c r="K2740" s="28"/>
      <c r="L2740" s="28" t="s">
        <v>9334</v>
      </c>
      <c r="M2740" s="28" t="s">
        <v>151</v>
      </c>
      <c r="N2740" s="28">
        <v>2003.0</v>
      </c>
      <c r="O2740" s="60">
        <v>12.0</v>
      </c>
      <c r="P2740" s="28">
        <v>1.0</v>
      </c>
      <c r="Q2740" s="94">
        <v>1.0</v>
      </c>
      <c r="R2740" s="33"/>
      <c r="S2740" s="34"/>
      <c r="T2740" s="34"/>
      <c r="U2740" s="34"/>
      <c r="V2740" s="34"/>
      <c r="W2740" s="34"/>
      <c r="X2740" s="34"/>
      <c r="Y2740" s="45"/>
      <c r="Z2740" s="45"/>
      <c r="AA2740" s="45"/>
      <c r="AB2740" s="45"/>
      <c r="AC2740" s="45"/>
      <c r="AD2740" s="45"/>
      <c r="AE2740" s="45"/>
      <c r="AF2740" s="45"/>
      <c r="AG2740" s="45"/>
      <c r="AH2740" s="45"/>
      <c r="AI2740" s="45"/>
      <c r="AJ2740" s="45"/>
      <c r="AK2740" s="45"/>
      <c r="AL2740" s="45"/>
    </row>
    <row r="2741" ht="15.75" customHeight="1">
      <c r="A2741" s="27">
        <f t="shared" si="21"/>
        <v>1620</v>
      </c>
      <c r="B2741" s="28" t="s">
        <v>9578</v>
      </c>
      <c r="C2741" s="43" t="s">
        <v>9579</v>
      </c>
      <c r="D2741" s="30" t="s">
        <v>9580</v>
      </c>
      <c r="E2741" s="28" t="s">
        <v>144</v>
      </c>
      <c r="F2741" s="28" t="s">
        <v>29</v>
      </c>
      <c r="G2741" s="28" t="s">
        <v>30</v>
      </c>
      <c r="H2741" s="28"/>
      <c r="I2741" s="28" t="s">
        <v>30</v>
      </c>
      <c r="J2741" s="28">
        <v>382.0</v>
      </c>
      <c r="K2741" s="28"/>
      <c r="L2741" s="28" t="s">
        <v>249</v>
      </c>
      <c r="M2741" s="28" t="s">
        <v>151</v>
      </c>
      <c r="N2741" s="28">
        <v>2011.0</v>
      </c>
      <c r="O2741" s="60">
        <v>12.0</v>
      </c>
      <c r="P2741" s="28">
        <v>1.0</v>
      </c>
      <c r="Q2741" s="94">
        <v>1.0</v>
      </c>
      <c r="R2741" s="33"/>
      <c r="S2741" s="34"/>
      <c r="T2741" s="34"/>
      <c r="U2741" s="34"/>
      <c r="V2741" s="34"/>
      <c r="W2741" s="34"/>
      <c r="X2741" s="34"/>
      <c r="Y2741" s="45"/>
      <c r="Z2741" s="45"/>
      <c r="AA2741" s="45"/>
      <c r="AB2741" s="45"/>
      <c r="AC2741" s="45"/>
      <c r="AD2741" s="45"/>
      <c r="AE2741" s="45"/>
      <c r="AF2741" s="45"/>
      <c r="AG2741" s="45"/>
      <c r="AH2741" s="45"/>
      <c r="AI2741" s="45"/>
      <c r="AJ2741" s="45"/>
      <c r="AK2741" s="45"/>
      <c r="AL2741" s="45"/>
    </row>
    <row r="2742" ht="15.75" customHeight="1">
      <c r="A2742" s="27">
        <f t="shared" si="21"/>
        <v>1621</v>
      </c>
      <c r="B2742" s="28" t="s">
        <v>9581</v>
      </c>
      <c r="C2742" s="43" t="s">
        <v>9582</v>
      </c>
      <c r="D2742" s="30" t="s">
        <v>9583</v>
      </c>
      <c r="E2742" s="28" t="s">
        <v>144</v>
      </c>
      <c r="F2742" s="28" t="s">
        <v>29</v>
      </c>
      <c r="G2742" s="28" t="s">
        <v>37</v>
      </c>
      <c r="H2742" s="28"/>
      <c r="I2742" s="28" t="s">
        <v>38</v>
      </c>
      <c r="J2742" s="28">
        <f>280+12</f>
        <v>292</v>
      </c>
      <c r="K2742" s="28"/>
      <c r="L2742" s="28" t="s">
        <v>9584</v>
      </c>
      <c r="M2742" s="28" t="s">
        <v>9585</v>
      </c>
      <c r="N2742" s="28">
        <v>1980.0</v>
      </c>
      <c r="O2742" s="28">
        <v>12.0</v>
      </c>
      <c r="P2742" s="28">
        <v>1.0</v>
      </c>
      <c r="Q2742" s="94">
        <v>1.0</v>
      </c>
      <c r="R2742" s="33"/>
      <c r="S2742" s="34"/>
      <c r="T2742" s="34"/>
      <c r="U2742" s="34"/>
      <c r="V2742" s="34"/>
      <c r="W2742" s="34"/>
      <c r="X2742" s="34"/>
      <c r="Y2742" s="45"/>
      <c r="Z2742" s="45"/>
      <c r="AA2742" s="45"/>
      <c r="AB2742" s="45"/>
      <c r="AC2742" s="45"/>
      <c r="AD2742" s="45"/>
      <c r="AE2742" s="45"/>
      <c r="AF2742" s="45"/>
      <c r="AG2742" s="45"/>
      <c r="AH2742" s="45"/>
      <c r="AI2742" s="45"/>
      <c r="AJ2742" s="45"/>
      <c r="AK2742" s="45"/>
      <c r="AL2742" s="45"/>
    </row>
    <row r="2743" ht="15.75" customHeight="1">
      <c r="A2743" s="27">
        <f t="shared" si="21"/>
        <v>1622</v>
      </c>
      <c r="B2743" s="28" t="s">
        <v>9586</v>
      </c>
      <c r="C2743" s="43" t="s">
        <v>9587</v>
      </c>
      <c r="D2743" s="30" t="s">
        <v>9588</v>
      </c>
      <c r="E2743" s="28" t="s">
        <v>144</v>
      </c>
      <c r="F2743" s="28" t="s">
        <v>29</v>
      </c>
      <c r="G2743" s="28" t="s">
        <v>30</v>
      </c>
      <c r="H2743" s="28"/>
      <c r="I2743" s="28" t="s">
        <v>30</v>
      </c>
      <c r="J2743" s="28">
        <v>196.0</v>
      </c>
      <c r="K2743" s="28"/>
      <c r="L2743" s="28" t="s">
        <v>9589</v>
      </c>
      <c r="M2743" s="28" t="s">
        <v>151</v>
      </c>
      <c r="N2743" s="28">
        <v>2006.0</v>
      </c>
      <c r="O2743" s="28">
        <v>12.0</v>
      </c>
      <c r="P2743" s="31">
        <v>2.0</v>
      </c>
      <c r="Q2743" s="114">
        <v>2.0</v>
      </c>
      <c r="R2743" s="33"/>
      <c r="S2743" s="34"/>
      <c r="T2743" s="34"/>
      <c r="U2743" s="34"/>
      <c r="V2743" s="34"/>
      <c r="W2743" s="34"/>
      <c r="X2743" s="34"/>
      <c r="Y2743" s="45"/>
      <c r="Z2743" s="45"/>
      <c r="AA2743" s="45"/>
      <c r="AB2743" s="45"/>
      <c r="AC2743" s="45"/>
      <c r="AD2743" s="45"/>
      <c r="AE2743" s="45"/>
      <c r="AF2743" s="45"/>
      <c r="AG2743" s="45"/>
      <c r="AH2743" s="45"/>
      <c r="AI2743" s="45"/>
      <c r="AJ2743" s="45"/>
      <c r="AK2743" s="45"/>
      <c r="AL2743" s="45"/>
    </row>
    <row r="2744" ht="15.75" customHeight="1">
      <c r="A2744" s="27">
        <f t="shared" si="21"/>
        <v>1623</v>
      </c>
      <c r="B2744" s="28"/>
      <c r="C2744" s="43" t="s">
        <v>9590</v>
      </c>
      <c r="D2744" s="30" t="s">
        <v>9591</v>
      </c>
      <c r="E2744" s="28" t="s">
        <v>144</v>
      </c>
      <c r="F2744" s="28" t="s">
        <v>29</v>
      </c>
      <c r="G2744" s="28" t="s">
        <v>37</v>
      </c>
      <c r="H2744" s="28"/>
      <c r="I2744" s="28" t="s">
        <v>38</v>
      </c>
      <c r="J2744" s="28">
        <v>327.0</v>
      </c>
      <c r="K2744" s="28"/>
      <c r="L2744" s="28" t="s">
        <v>9592</v>
      </c>
      <c r="M2744" s="28" t="s">
        <v>6883</v>
      </c>
      <c r="N2744" s="28">
        <v>1961.0</v>
      </c>
      <c r="O2744" s="28">
        <v>12.0</v>
      </c>
      <c r="P2744" s="28">
        <v>1.0</v>
      </c>
      <c r="Q2744" s="94">
        <v>1.0</v>
      </c>
      <c r="R2744" s="33"/>
      <c r="S2744" s="34"/>
      <c r="T2744" s="34"/>
      <c r="U2744" s="34"/>
      <c r="V2744" s="34"/>
      <c r="W2744" s="34"/>
      <c r="X2744" s="34"/>
      <c r="Y2744" s="74"/>
      <c r="Z2744" s="74"/>
      <c r="AA2744" s="74"/>
      <c r="AB2744" s="74"/>
      <c r="AC2744" s="74"/>
      <c r="AD2744" s="74"/>
      <c r="AE2744" s="74"/>
      <c r="AF2744" s="74"/>
      <c r="AG2744" s="74"/>
      <c r="AH2744" s="74"/>
      <c r="AI2744" s="74"/>
      <c r="AJ2744" s="74"/>
      <c r="AK2744" s="74"/>
      <c r="AL2744" s="74"/>
    </row>
    <row r="2745" ht="15.75" customHeight="1">
      <c r="A2745" s="27">
        <f t="shared" si="21"/>
        <v>1624</v>
      </c>
      <c r="B2745" s="83"/>
      <c r="C2745" s="121" t="s">
        <v>9593</v>
      </c>
      <c r="D2745" s="119" t="s">
        <v>9594</v>
      </c>
      <c r="E2745" s="121" t="s">
        <v>144</v>
      </c>
      <c r="F2745" s="121" t="s">
        <v>29</v>
      </c>
      <c r="G2745" s="121" t="s">
        <v>30</v>
      </c>
      <c r="H2745" s="83"/>
      <c r="I2745" s="121" t="s">
        <v>30</v>
      </c>
      <c r="J2745" s="121">
        <v>98.0</v>
      </c>
      <c r="K2745" s="83"/>
      <c r="L2745" s="121" t="s">
        <v>9595</v>
      </c>
      <c r="M2745" s="121" t="s">
        <v>2463</v>
      </c>
      <c r="N2745" s="121">
        <v>1993.0</v>
      </c>
      <c r="O2745" s="28">
        <v>12.0</v>
      </c>
      <c r="P2745" s="121">
        <v>1.0</v>
      </c>
      <c r="Q2745" s="121">
        <v>1.0</v>
      </c>
      <c r="R2745" s="84"/>
      <c r="S2745" s="116"/>
      <c r="T2745" s="116"/>
      <c r="U2745" s="116"/>
      <c r="V2745" s="116"/>
      <c r="W2745" s="116"/>
      <c r="X2745" s="116"/>
      <c r="Y2745" s="45"/>
      <c r="Z2745" s="45"/>
      <c r="AA2745" s="45"/>
      <c r="AB2745" s="45"/>
      <c r="AC2745" s="45"/>
      <c r="AD2745" s="45"/>
      <c r="AE2745" s="45"/>
      <c r="AF2745" s="45"/>
      <c r="AG2745" s="45"/>
      <c r="AH2745" s="45"/>
      <c r="AI2745" s="45"/>
      <c r="AJ2745" s="45"/>
      <c r="AK2745" s="45"/>
      <c r="AL2745" s="45"/>
    </row>
    <row r="2746" ht="32.25" customHeight="1">
      <c r="A2746" s="27">
        <f t="shared" si="21"/>
        <v>1625</v>
      </c>
      <c r="B2746" s="28" t="s">
        <v>31</v>
      </c>
      <c r="C2746" s="43" t="s">
        <v>9596</v>
      </c>
      <c r="D2746" s="30" t="s">
        <v>9597</v>
      </c>
      <c r="E2746" s="28" t="s">
        <v>144</v>
      </c>
      <c r="F2746" s="28" t="s">
        <v>29</v>
      </c>
      <c r="G2746" s="28" t="s">
        <v>30</v>
      </c>
      <c r="H2746" s="28"/>
      <c r="I2746" s="28" t="s">
        <v>30</v>
      </c>
      <c r="J2746" s="28">
        <v>327.0</v>
      </c>
      <c r="K2746" s="28"/>
      <c r="L2746" s="28" t="s">
        <v>9598</v>
      </c>
      <c r="M2746" s="28" t="s">
        <v>4762</v>
      </c>
      <c r="N2746" s="28">
        <v>2003.0</v>
      </c>
      <c r="O2746" s="28">
        <v>12.0</v>
      </c>
      <c r="P2746" s="28">
        <v>1.0</v>
      </c>
      <c r="Q2746" s="94">
        <v>1.0</v>
      </c>
      <c r="R2746" s="33"/>
      <c r="S2746" s="34"/>
      <c r="T2746" s="34"/>
      <c r="U2746" s="34"/>
      <c r="V2746" s="34"/>
      <c r="W2746" s="34"/>
      <c r="X2746" s="34"/>
      <c r="Y2746" s="45"/>
      <c r="Z2746" s="45"/>
      <c r="AA2746" s="45"/>
      <c r="AB2746" s="45"/>
      <c r="AC2746" s="45"/>
      <c r="AD2746" s="45"/>
      <c r="AE2746" s="45"/>
      <c r="AF2746" s="45"/>
      <c r="AG2746" s="45"/>
      <c r="AH2746" s="45"/>
      <c r="AI2746" s="45"/>
      <c r="AJ2746" s="45"/>
      <c r="AK2746" s="45"/>
      <c r="AL2746" s="45"/>
    </row>
    <row r="2747" ht="15.75" customHeight="1">
      <c r="A2747" s="27">
        <f t="shared" si="21"/>
        <v>1626</v>
      </c>
      <c r="B2747" s="28" t="s">
        <v>9599</v>
      </c>
      <c r="C2747" s="43" t="s">
        <v>9600</v>
      </c>
      <c r="D2747" s="30" t="s">
        <v>9601</v>
      </c>
      <c r="E2747" s="28" t="s">
        <v>144</v>
      </c>
      <c r="F2747" s="28" t="s">
        <v>29</v>
      </c>
      <c r="G2747" s="28" t="s">
        <v>37</v>
      </c>
      <c r="H2747" s="28"/>
      <c r="I2747" s="28" t="s">
        <v>38</v>
      </c>
      <c r="J2747" s="28">
        <v>198.0</v>
      </c>
      <c r="K2747" s="28"/>
      <c r="L2747" s="28" t="s">
        <v>9602</v>
      </c>
      <c r="M2747" s="28" t="s">
        <v>3485</v>
      </c>
      <c r="N2747" s="28">
        <v>2008.0</v>
      </c>
      <c r="O2747" s="28">
        <v>12.0</v>
      </c>
      <c r="P2747" s="28">
        <v>1.0</v>
      </c>
      <c r="Q2747" s="94">
        <v>1.0</v>
      </c>
      <c r="R2747" s="33"/>
      <c r="S2747" s="116"/>
      <c r="T2747" s="116"/>
      <c r="U2747" s="116"/>
      <c r="V2747" s="116"/>
      <c r="W2747" s="116"/>
      <c r="X2747" s="116"/>
      <c r="Y2747" s="45"/>
      <c r="Z2747" s="45"/>
      <c r="AA2747" s="45"/>
      <c r="AB2747" s="45"/>
      <c r="AC2747" s="45"/>
      <c r="AD2747" s="45"/>
      <c r="AE2747" s="45"/>
      <c r="AF2747" s="45"/>
      <c r="AG2747" s="45"/>
      <c r="AH2747" s="45"/>
      <c r="AI2747" s="45"/>
      <c r="AJ2747" s="45"/>
      <c r="AK2747" s="45"/>
      <c r="AL2747" s="45"/>
    </row>
    <row r="2748" ht="15.75" customHeight="1">
      <c r="A2748" s="27">
        <f t="shared" si="21"/>
        <v>1627</v>
      </c>
      <c r="B2748" s="28" t="s">
        <v>9603</v>
      </c>
      <c r="C2748" s="43" t="s">
        <v>9604</v>
      </c>
      <c r="D2748" s="30" t="s">
        <v>9605</v>
      </c>
      <c r="E2748" s="28" t="s">
        <v>302</v>
      </c>
      <c r="F2748" s="28" t="s">
        <v>29</v>
      </c>
      <c r="G2748" s="28" t="s">
        <v>166</v>
      </c>
      <c r="H2748" s="28"/>
      <c r="I2748" s="28" t="s">
        <v>38</v>
      </c>
      <c r="J2748" s="28">
        <v>768.0</v>
      </c>
      <c r="K2748" s="28"/>
      <c r="L2748" s="28" t="s">
        <v>9606</v>
      </c>
      <c r="M2748" s="28" t="s">
        <v>9607</v>
      </c>
      <c r="N2748" s="28">
        <v>2012.0</v>
      </c>
      <c r="O2748" s="28">
        <v>12.0</v>
      </c>
      <c r="P2748" s="28">
        <v>1.0</v>
      </c>
      <c r="Q2748" s="94">
        <v>1.0</v>
      </c>
      <c r="R2748" s="33">
        <v>1.0</v>
      </c>
      <c r="S2748" s="116"/>
      <c r="T2748" s="116"/>
      <c r="U2748" s="116"/>
      <c r="V2748" s="116"/>
      <c r="W2748" s="116"/>
      <c r="X2748" s="116"/>
      <c r="Y2748" s="74"/>
      <c r="Z2748" s="74"/>
      <c r="AA2748" s="74"/>
      <c r="AB2748" s="74"/>
      <c r="AC2748" s="74"/>
      <c r="AD2748" s="74"/>
      <c r="AE2748" s="74"/>
      <c r="AF2748" s="74"/>
      <c r="AG2748" s="74"/>
      <c r="AH2748" s="74"/>
      <c r="AI2748" s="74"/>
      <c r="AJ2748" s="74"/>
      <c r="AK2748" s="74"/>
      <c r="AL2748" s="74"/>
    </row>
    <row r="2749" ht="15.75" customHeight="1">
      <c r="A2749" s="27">
        <f t="shared" si="21"/>
        <v>1628</v>
      </c>
      <c r="B2749" s="28" t="s">
        <v>31</v>
      </c>
      <c r="C2749" s="43" t="s">
        <v>9608</v>
      </c>
      <c r="D2749" s="30" t="s">
        <v>9609</v>
      </c>
      <c r="E2749" s="28" t="s">
        <v>144</v>
      </c>
      <c r="F2749" s="28" t="s">
        <v>29</v>
      </c>
      <c r="G2749" s="28" t="s">
        <v>30</v>
      </c>
      <c r="H2749" s="28"/>
      <c r="I2749" s="28" t="s">
        <v>30</v>
      </c>
      <c r="J2749" s="28">
        <v>161.0</v>
      </c>
      <c r="K2749" s="28"/>
      <c r="L2749" s="28" t="s">
        <v>9610</v>
      </c>
      <c r="M2749" s="28" t="s">
        <v>151</v>
      </c>
      <c r="N2749" s="28">
        <v>1973.0</v>
      </c>
      <c r="O2749" s="28">
        <v>12.0</v>
      </c>
      <c r="P2749" s="28">
        <v>2.0</v>
      </c>
      <c r="Q2749" s="94">
        <v>2.0</v>
      </c>
      <c r="R2749" s="33"/>
      <c r="S2749" s="116"/>
      <c r="T2749" s="116"/>
      <c r="U2749" s="116"/>
      <c r="V2749" s="116"/>
      <c r="W2749" s="116"/>
      <c r="X2749" s="116"/>
      <c r="Y2749" s="45"/>
      <c r="Z2749" s="45"/>
      <c r="AA2749" s="45"/>
      <c r="AB2749" s="45"/>
      <c r="AC2749" s="45"/>
      <c r="AD2749" s="45"/>
      <c r="AE2749" s="45"/>
      <c r="AF2749" s="45"/>
      <c r="AG2749" s="45"/>
      <c r="AH2749" s="45"/>
      <c r="AI2749" s="45"/>
      <c r="AJ2749" s="45"/>
      <c r="AK2749" s="45"/>
      <c r="AL2749" s="45"/>
    </row>
    <row r="2750" ht="15.75" customHeight="1">
      <c r="A2750" s="27">
        <f t="shared" si="21"/>
        <v>1629</v>
      </c>
      <c r="B2750" s="28" t="s">
        <v>9611</v>
      </c>
      <c r="C2750" s="29" t="s">
        <v>9612</v>
      </c>
      <c r="D2750" s="30" t="s">
        <v>9613</v>
      </c>
      <c r="E2750" s="28" t="s">
        <v>144</v>
      </c>
      <c r="F2750" s="28" t="s">
        <v>29</v>
      </c>
      <c r="G2750" s="28" t="s">
        <v>30</v>
      </c>
      <c r="H2750" s="28"/>
      <c r="I2750" s="28">
        <v>1.0</v>
      </c>
      <c r="J2750" s="28">
        <v>176.0</v>
      </c>
      <c r="K2750" s="28"/>
      <c r="L2750" s="28" t="s">
        <v>9614</v>
      </c>
      <c r="M2750" s="28" t="s">
        <v>151</v>
      </c>
      <c r="N2750" s="28">
        <v>2001.0</v>
      </c>
      <c r="O2750" s="28">
        <v>12.0</v>
      </c>
      <c r="P2750" s="28">
        <v>1.0</v>
      </c>
      <c r="Q2750" s="94">
        <v>1.0</v>
      </c>
      <c r="R2750" s="33"/>
      <c r="S2750" s="34"/>
      <c r="T2750" s="34"/>
      <c r="U2750" s="34"/>
      <c r="V2750" s="34"/>
      <c r="W2750" s="34"/>
      <c r="X2750" s="34"/>
      <c r="Y2750" s="74"/>
      <c r="Z2750" s="74"/>
      <c r="AA2750" s="74"/>
      <c r="AB2750" s="74"/>
      <c r="AC2750" s="74"/>
      <c r="AD2750" s="74"/>
      <c r="AE2750" s="74"/>
      <c r="AF2750" s="74"/>
      <c r="AG2750" s="74"/>
      <c r="AH2750" s="74"/>
      <c r="AI2750" s="74"/>
      <c r="AJ2750" s="74"/>
      <c r="AK2750" s="74"/>
      <c r="AL2750" s="74"/>
    </row>
    <row r="2751" ht="15.75" customHeight="1">
      <c r="A2751" s="27">
        <f t="shared" si="21"/>
        <v>1630</v>
      </c>
      <c r="B2751" s="28" t="s">
        <v>9615</v>
      </c>
      <c r="C2751" s="43" t="s">
        <v>9616</v>
      </c>
      <c r="D2751" s="30" t="s">
        <v>9617</v>
      </c>
      <c r="E2751" s="28" t="s">
        <v>144</v>
      </c>
      <c r="F2751" s="28" t="s">
        <v>29</v>
      </c>
      <c r="G2751" s="28" t="s">
        <v>30</v>
      </c>
      <c r="H2751" s="28"/>
      <c r="I2751" s="28" t="s">
        <v>30</v>
      </c>
      <c r="J2751" s="28">
        <v>205.0</v>
      </c>
      <c r="K2751" s="28"/>
      <c r="L2751" s="28" t="s">
        <v>9614</v>
      </c>
      <c r="M2751" s="28" t="s">
        <v>151</v>
      </c>
      <c r="N2751" s="28">
        <v>2001.0</v>
      </c>
      <c r="O2751" s="28">
        <v>12.0</v>
      </c>
      <c r="P2751" s="28">
        <v>1.0</v>
      </c>
      <c r="Q2751" s="94">
        <v>1.0</v>
      </c>
      <c r="R2751" s="33"/>
      <c r="S2751" s="34"/>
      <c r="T2751" s="34"/>
      <c r="U2751" s="34"/>
      <c r="V2751" s="34"/>
      <c r="W2751" s="34"/>
      <c r="X2751" s="34"/>
      <c r="Y2751" s="45"/>
      <c r="Z2751" s="45"/>
      <c r="AA2751" s="45"/>
      <c r="AB2751" s="45"/>
      <c r="AC2751" s="45"/>
      <c r="AD2751" s="45"/>
      <c r="AE2751" s="45"/>
      <c r="AF2751" s="45"/>
      <c r="AG2751" s="45"/>
      <c r="AH2751" s="45"/>
      <c r="AI2751" s="45"/>
      <c r="AJ2751" s="45"/>
      <c r="AK2751" s="45"/>
      <c r="AL2751" s="45"/>
    </row>
    <row r="2752" ht="15.75" customHeight="1">
      <c r="A2752" s="27">
        <f t="shared" si="21"/>
        <v>1631</v>
      </c>
      <c r="B2752" s="28" t="s">
        <v>9618</v>
      </c>
      <c r="C2752" s="43" t="s">
        <v>9616</v>
      </c>
      <c r="D2752" s="30" t="s">
        <v>9619</v>
      </c>
      <c r="E2752" s="28" t="s">
        <v>144</v>
      </c>
      <c r="F2752" s="28" t="s">
        <v>29</v>
      </c>
      <c r="G2752" s="28" t="s">
        <v>30</v>
      </c>
      <c r="H2752" s="28"/>
      <c r="I2752" s="28" t="s">
        <v>30</v>
      </c>
      <c r="J2752" s="28">
        <v>200.0</v>
      </c>
      <c r="K2752" s="28"/>
      <c r="L2752" s="28" t="s">
        <v>9614</v>
      </c>
      <c r="M2752" s="28" t="s">
        <v>151</v>
      </c>
      <c r="N2752" s="28">
        <v>2003.0</v>
      </c>
      <c r="O2752" s="28">
        <v>12.0</v>
      </c>
      <c r="P2752" s="28">
        <v>2.0</v>
      </c>
      <c r="Q2752" s="94">
        <v>2.0</v>
      </c>
      <c r="R2752" s="33"/>
      <c r="S2752" s="34"/>
      <c r="T2752" s="34"/>
      <c r="U2752" s="34"/>
      <c r="V2752" s="34"/>
      <c r="W2752" s="34"/>
      <c r="X2752" s="34"/>
      <c r="Y2752" s="74"/>
      <c r="Z2752" s="74"/>
      <c r="AA2752" s="74"/>
      <c r="AB2752" s="74"/>
      <c r="AC2752" s="74"/>
      <c r="AD2752" s="74"/>
      <c r="AE2752" s="74"/>
      <c r="AF2752" s="74"/>
      <c r="AG2752" s="74"/>
      <c r="AH2752" s="74"/>
      <c r="AI2752" s="74"/>
      <c r="AJ2752" s="74"/>
      <c r="AK2752" s="74"/>
      <c r="AL2752" s="74"/>
    </row>
    <row r="2753" ht="15.75" customHeight="1">
      <c r="A2753" s="27">
        <f t="shared" si="21"/>
        <v>1632</v>
      </c>
      <c r="B2753" s="28" t="s">
        <v>9620</v>
      </c>
      <c r="C2753" s="43" t="s">
        <v>9621</v>
      </c>
      <c r="D2753" s="30" t="s">
        <v>9622</v>
      </c>
      <c r="E2753" s="28" t="s">
        <v>9623</v>
      </c>
      <c r="F2753" s="28" t="s">
        <v>29</v>
      </c>
      <c r="G2753" s="28" t="s">
        <v>30</v>
      </c>
      <c r="H2753" s="28"/>
      <c r="I2753" s="28" t="s">
        <v>30</v>
      </c>
      <c r="J2753" s="28">
        <f>204+4</f>
        <v>208</v>
      </c>
      <c r="K2753" s="28"/>
      <c r="L2753" s="28" t="s">
        <v>31</v>
      </c>
      <c r="M2753" s="28" t="s">
        <v>9624</v>
      </c>
      <c r="N2753" s="28">
        <v>1995.0</v>
      </c>
      <c r="O2753" s="28">
        <v>12.0</v>
      </c>
      <c r="P2753" s="28">
        <v>1.0</v>
      </c>
      <c r="Q2753" s="32">
        <v>1.0</v>
      </c>
      <c r="R2753" s="33"/>
      <c r="S2753" s="34"/>
      <c r="T2753" s="34"/>
      <c r="U2753" s="34"/>
      <c r="V2753" s="34"/>
      <c r="W2753" s="34"/>
      <c r="X2753" s="34"/>
      <c r="Y2753" s="45"/>
      <c r="Z2753" s="45"/>
      <c r="AA2753" s="45"/>
      <c r="AB2753" s="45"/>
      <c r="AC2753" s="45"/>
      <c r="AD2753" s="45"/>
      <c r="AE2753" s="45"/>
      <c r="AF2753" s="45"/>
      <c r="AG2753" s="45"/>
      <c r="AH2753" s="45"/>
      <c r="AI2753" s="45"/>
      <c r="AJ2753" s="45"/>
      <c r="AK2753" s="45"/>
      <c r="AL2753" s="45"/>
    </row>
    <row r="2754" ht="15.75" customHeight="1">
      <c r="A2754" s="27">
        <f t="shared" si="21"/>
        <v>1633</v>
      </c>
      <c r="B2754" s="121" t="s">
        <v>9625</v>
      </c>
      <c r="C2754" s="121" t="s">
        <v>9626</v>
      </c>
      <c r="D2754" s="119" t="s">
        <v>9627</v>
      </c>
      <c r="E2754" s="121" t="s">
        <v>144</v>
      </c>
      <c r="F2754" s="121" t="s">
        <v>29</v>
      </c>
      <c r="G2754" s="121" t="s">
        <v>30</v>
      </c>
      <c r="H2754" s="83"/>
      <c r="I2754" s="121" t="s">
        <v>30</v>
      </c>
      <c r="J2754" s="121">
        <v>182.0</v>
      </c>
      <c r="K2754" s="83"/>
      <c r="L2754" s="121" t="s">
        <v>9628</v>
      </c>
      <c r="M2754" s="121" t="s">
        <v>151</v>
      </c>
      <c r="N2754" s="121">
        <v>2001.0</v>
      </c>
      <c r="O2754" s="28">
        <v>12.0</v>
      </c>
      <c r="P2754" s="121">
        <v>1.0</v>
      </c>
      <c r="Q2754" s="121">
        <v>1.0</v>
      </c>
      <c r="R2754" s="84"/>
      <c r="S2754" s="34"/>
      <c r="T2754" s="34"/>
      <c r="U2754" s="34"/>
      <c r="V2754" s="34"/>
      <c r="W2754" s="34"/>
      <c r="X2754" s="34"/>
      <c r="Y2754" s="45"/>
      <c r="Z2754" s="45"/>
      <c r="AA2754" s="45"/>
      <c r="AB2754" s="45"/>
      <c r="AC2754" s="45"/>
      <c r="AD2754" s="45"/>
      <c r="AE2754" s="45"/>
      <c r="AF2754" s="45"/>
      <c r="AG2754" s="45"/>
      <c r="AH2754" s="45"/>
      <c r="AI2754" s="45"/>
      <c r="AJ2754" s="45"/>
      <c r="AK2754" s="45"/>
      <c r="AL2754" s="45"/>
    </row>
    <row r="2755" ht="15.75" customHeight="1">
      <c r="A2755" s="27">
        <f t="shared" si="21"/>
        <v>1634</v>
      </c>
      <c r="B2755" s="28" t="s">
        <v>31</v>
      </c>
      <c r="C2755" s="43" t="s">
        <v>9629</v>
      </c>
      <c r="D2755" s="30" t="s">
        <v>9630</v>
      </c>
      <c r="E2755" s="28" t="s">
        <v>144</v>
      </c>
      <c r="F2755" s="28" t="s">
        <v>29</v>
      </c>
      <c r="G2755" s="28" t="s">
        <v>30</v>
      </c>
      <c r="H2755" s="28"/>
      <c r="I2755" s="28" t="s">
        <v>30</v>
      </c>
      <c r="J2755" s="28">
        <v>278.0</v>
      </c>
      <c r="K2755" s="28"/>
      <c r="L2755" s="28" t="s">
        <v>9631</v>
      </c>
      <c r="M2755" s="28" t="s">
        <v>151</v>
      </c>
      <c r="N2755" s="28">
        <v>1979.0</v>
      </c>
      <c r="O2755" s="28">
        <v>12.0</v>
      </c>
      <c r="P2755" s="28">
        <v>1.0</v>
      </c>
      <c r="Q2755" s="94">
        <v>1.0</v>
      </c>
      <c r="R2755" s="33"/>
      <c r="S2755" s="34"/>
      <c r="T2755" s="34"/>
      <c r="U2755" s="34"/>
      <c r="V2755" s="34"/>
      <c r="W2755" s="34"/>
      <c r="X2755" s="34"/>
      <c r="Y2755" s="45"/>
      <c r="Z2755" s="45"/>
      <c r="AA2755" s="45"/>
      <c r="AB2755" s="45"/>
      <c r="AC2755" s="45"/>
      <c r="AD2755" s="45"/>
      <c r="AE2755" s="45"/>
      <c r="AF2755" s="45"/>
      <c r="AG2755" s="45"/>
      <c r="AH2755" s="45"/>
      <c r="AI2755" s="45"/>
      <c r="AJ2755" s="45"/>
      <c r="AK2755" s="45"/>
      <c r="AL2755" s="45"/>
    </row>
    <row r="2756" ht="15.75" customHeight="1">
      <c r="A2756" s="27">
        <f t="shared" si="21"/>
        <v>1635</v>
      </c>
      <c r="B2756" s="28" t="s">
        <v>9632</v>
      </c>
      <c r="C2756" s="29" t="s">
        <v>9633</v>
      </c>
      <c r="D2756" s="30" t="s">
        <v>9634</v>
      </c>
      <c r="E2756" s="28" t="s">
        <v>144</v>
      </c>
      <c r="F2756" s="28" t="s">
        <v>29</v>
      </c>
      <c r="G2756" s="28" t="s">
        <v>37</v>
      </c>
      <c r="H2756" s="28"/>
      <c r="I2756" s="28" t="s">
        <v>38</v>
      </c>
      <c r="J2756" s="28"/>
      <c r="K2756" s="28"/>
      <c r="L2756" s="28"/>
      <c r="M2756" s="28" t="s">
        <v>4207</v>
      </c>
      <c r="N2756" s="28">
        <v>1999.0</v>
      </c>
      <c r="O2756" s="28">
        <v>12.0</v>
      </c>
      <c r="P2756" s="28">
        <v>1.0</v>
      </c>
      <c r="Q2756" s="94">
        <v>1.0</v>
      </c>
      <c r="R2756" s="33"/>
      <c r="S2756" s="185"/>
      <c r="T2756" s="185"/>
      <c r="U2756" s="185"/>
      <c r="V2756" s="185"/>
      <c r="W2756" s="185"/>
      <c r="X2756" s="185"/>
      <c r="Y2756" s="45"/>
      <c r="Z2756" s="45"/>
      <c r="AA2756" s="45"/>
      <c r="AB2756" s="45"/>
      <c r="AC2756" s="45"/>
      <c r="AD2756" s="45"/>
      <c r="AE2756" s="45"/>
      <c r="AF2756" s="45"/>
      <c r="AG2756" s="45"/>
      <c r="AH2756" s="45"/>
      <c r="AI2756" s="45"/>
      <c r="AJ2756" s="45"/>
      <c r="AK2756" s="45"/>
      <c r="AL2756" s="45"/>
    </row>
    <row r="2757" ht="15.75" customHeight="1">
      <c r="A2757" s="27">
        <f t="shared" si="21"/>
        <v>1636</v>
      </c>
      <c r="B2757" s="28"/>
      <c r="C2757" s="43" t="s">
        <v>9635</v>
      </c>
      <c r="D2757" s="30" t="s">
        <v>9636</v>
      </c>
      <c r="E2757" s="28" t="s">
        <v>144</v>
      </c>
      <c r="F2757" s="28" t="s">
        <v>29</v>
      </c>
      <c r="G2757" s="28" t="s">
        <v>30</v>
      </c>
      <c r="H2757" s="28"/>
      <c r="I2757" s="28" t="s">
        <v>30</v>
      </c>
      <c r="J2757" s="28">
        <f>147</f>
        <v>147</v>
      </c>
      <c r="K2757" s="28"/>
      <c r="L2757" s="28" t="s">
        <v>9637</v>
      </c>
      <c r="M2757" s="28" t="s">
        <v>7306</v>
      </c>
      <c r="N2757" s="28">
        <v>1989.0</v>
      </c>
      <c r="O2757" s="28">
        <v>12.0</v>
      </c>
      <c r="P2757" s="28">
        <v>1.0</v>
      </c>
      <c r="Q2757" s="94">
        <v>1.0</v>
      </c>
      <c r="R2757" s="33"/>
      <c r="S2757" s="185"/>
      <c r="T2757" s="185"/>
      <c r="U2757" s="185"/>
      <c r="V2757" s="185"/>
      <c r="W2757" s="185"/>
      <c r="X2757" s="185"/>
      <c r="Y2757" s="45"/>
      <c r="Z2757" s="45"/>
      <c r="AA2757" s="45"/>
      <c r="AB2757" s="45"/>
      <c r="AC2757" s="45"/>
      <c r="AD2757" s="45"/>
      <c r="AE2757" s="45"/>
      <c r="AF2757" s="45"/>
      <c r="AG2757" s="45"/>
      <c r="AH2757" s="45"/>
      <c r="AI2757" s="45"/>
      <c r="AJ2757" s="45"/>
      <c r="AK2757" s="45"/>
      <c r="AL2757" s="45"/>
    </row>
    <row r="2758" ht="15.75" customHeight="1">
      <c r="A2758" s="27">
        <f t="shared" si="21"/>
        <v>1637</v>
      </c>
      <c r="B2758" s="28" t="s">
        <v>9457</v>
      </c>
      <c r="C2758" s="43" t="s">
        <v>9638</v>
      </c>
      <c r="D2758" s="30" t="s">
        <v>9639</v>
      </c>
      <c r="E2758" s="28" t="s">
        <v>144</v>
      </c>
      <c r="F2758" s="28" t="s">
        <v>29</v>
      </c>
      <c r="G2758" s="28" t="s">
        <v>30</v>
      </c>
      <c r="H2758" s="28"/>
      <c r="I2758" s="28" t="s">
        <v>30</v>
      </c>
      <c r="J2758" s="28">
        <f>270+12</f>
        <v>282</v>
      </c>
      <c r="K2758" s="28"/>
      <c r="L2758" s="28" t="s">
        <v>9640</v>
      </c>
      <c r="M2758" s="28" t="s">
        <v>3109</v>
      </c>
      <c r="N2758" s="28">
        <v>1989.0</v>
      </c>
      <c r="O2758" s="28">
        <v>12.0</v>
      </c>
      <c r="P2758" s="28">
        <v>1.0</v>
      </c>
      <c r="Q2758" s="94">
        <v>1.0</v>
      </c>
      <c r="R2758" s="33"/>
      <c r="S2758" s="116"/>
      <c r="T2758" s="116"/>
      <c r="U2758" s="116"/>
      <c r="V2758" s="116"/>
      <c r="W2758" s="116"/>
      <c r="X2758" s="116"/>
      <c r="Y2758" s="45"/>
      <c r="Z2758" s="45"/>
      <c r="AA2758" s="45"/>
      <c r="AB2758" s="45"/>
      <c r="AC2758" s="45"/>
      <c r="AD2758" s="45"/>
      <c r="AE2758" s="45"/>
      <c r="AF2758" s="45"/>
      <c r="AG2758" s="45"/>
      <c r="AH2758" s="45"/>
      <c r="AI2758" s="45"/>
      <c r="AJ2758" s="45"/>
      <c r="AK2758" s="45"/>
      <c r="AL2758" s="45"/>
    </row>
    <row r="2759" ht="15.75" customHeight="1">
      <c r="A2759" s="27">
        <f t="shared" si="21"/>
        <v>1638</v>
      </c>
      <c r="B2759" s="28" t="s">
        <v>9641</v>
      </c>
      <c r="C2759" s="43" t="s">
        <v>9642</v>
      </c>
      <c r="D2759" s="30" t="s">
        <v>9643</v>
      </c>
      <c r="E2759" s="28" t="s">
        <v>144</v>
      </c>
      <c r="F2759" s="28" t="s">
        <v>29</v>
      </c>
      <c r="G2759" s="28" t="s">
        <v>30</v>
      </c>
      <c r="H2759" s="28"/>
      <c r="I2759" s="28" t="s">
        <v>30</v>
      </c>
      <c r="J2759" s="28">
        <f>576</f>
        <v>576</v>
      </c>
      <c r="K2759" s="28"/>
      <c r="L2759" s="28" t="s">
        <v>9644</v>
      </c>
      <c r="M2759" s="28" t="s">
        <v>3109</v>
      </c>
      <c r="N2759" s="28">
        <v>2005.0</v>
      </c>
      <c r="O2759" s="28">
        <v>12.0</v>
      </c>
      <c r="P2759" s="28">
        <v>1.0</v>
      </c>
      <c r="Q2759" s="94">
        <v>1.0</v>
      </c>
      <c r="R2759" s="33"/>
      <c r="S2759" s="116"/>
      <c r="T2759" s="116"/>
      <c r="U2759" s="116"/>
      <c r="V2759" s="116"/>
      <c r="W2759" s="116"/>
      <c r="X2759" s="116"/>
      <c r="Y2759" s="45"/>
      <c r="Z2759" s="45"/>
      <c r="AA2759" s="45"/>
      <c r="AB2759" s="45"/>
      <c r="AC2759" s="45"/>
      <c r="AD2759" s="45"/>
      <c r="AE2759" s="45"/>
      <c r="AF2759" s="45"/>
      <c r="AG2759" s="45"/>
      <c r="AH2759" s="45"/>
      <c r="AI2759" s="45"/>
      <c r="AJ2759" s="45"/>
      <c r="AK2759" s="45"/>
      <c r="AL2759" s="45"/>
    </row>
    <row r="2760" ht="15.75" customHeight="1">
      <c r="A2760" s="27">
        <f t="shared" si="21"/>
        <v>1639</v>
      </c>
      <c r="B2760" s="28"/>
      <c r="C2760" s="43" t="s">
        <v>9645</v>
      </c>
      <c r="D2760" s="30" t="s">
        <v>9646</v>
      </c>
      <c r="E2760" s="28" t="s">
        <v>144</v>
      </c>
      <c r="F2760" s="28" t="s">
        <v>29</v>
      </c>
      <c r="G2760" s="28" t="s">
        <v>37</v>
      </c>
      <c r="H2760" s="28"/>
      <c r="I2760" s="28" t="s">
        <v>38</v>
      </c>
      <c r="J2760" s="28">
        <f>95</f>
        <v>95</v>
      </c>
      <c r="K2760" s="28"/>
      <c r="L2760" s="28" t="s">
        <v>9647</v>
      </c>
      <c r="M2760" s="28" t="s">
        <v>9648</v>
      </c>
      <c r="N2760" s="28">
        <v>1971.0</v>
      </c>
      <c r="O2760" s="28">
        <v>12.0</v>
      </c>
      <c r="P2760" s="28">
        <v>1.0</v>
      </c>
      <c r="Q2760" s="94">
        <v>1.0</v>
      </c>
      <c r="R2760" s="33"/>
      <c r="S2760" s="116"/>
      <c r="T2760" s="116"/>
      <c r="U2760" s="116"/>
      <c r="V2760" s="116"/>
      <c r="W2760" s="116"/>
      <c r="X2760" s="116"/>
      <c r="Y2760" s="45"/>
      <c r="Z2760" s="45"/>
      <c r="AA2760" s="45"/>
      <c r="AB2760" s="45"/>
      <c r="AC2760" s="45"/>
      <c r="AD2760" s="45"/>
      <c r="AE2760" s="45"/>
      <c r="AF2760" s="45"/>
      <c r="AG2760" s="45"/>
      <c r="AH2760" s="45"/>
      <c r="AI2760" s="45"/>
      <c r="AJ2760" s="45"/>
      <c r="AK2760" s="45"/>
      <c r="AL2760" s="45"/>
    </row>
    <row r="2761" ht="15.75" customHeight="1">
      <c r="A2761" s="27">
        <f t="shared" si="21"/>
        <v>1640</v>
      </c>
      <c r="B2761" s="28" t="s">
        <v>31</v>
      </c>
      <c r="C2761" s="43" t="s">
        <v>9649</v>
      </c>
      <c r="D2761" s="30" t="s">
        <v>9650</v>
      </c>
      <c r="E2761" s="28" t="s">
        <v>144</v>
      </c>
      <c r="F2761" s="28" t="s">
        <v>29</v>
      </c>
      <c r="G2761" s="28" t="s">
        <v>30</v>
      </c>
      <c r="H2761" s="28"/>
      <c r="I2761" s="28" t="s">
        <v>30</v>
      </c>
      <c r="J2761" s="28"/>
      <c r="K2761" s="28"/>
      <c r="L2761" s="28" t="s">
        <v>9651</v>
      </c>
      <c r="M2761" s="28" t="s">
        <v>4860</v>
      </c>
      <c r="N2761" s="28">
        <v>2004.0</v>
      </c>
      <c r="O2761" s="28">
        <v>12.0</v>
      </c>
      <c r="P2761" s="28">
        <v>1.0</v>
      </c>
      <c r="Q2761" s="94">
        <v>1.0</v>
      </c>
      <c r="R2761" s="33"/>
      <c r="S2761" s="116"/>
      <c r="T2761" s="116"/>
      <c r="U2761" s="116"/>
      <c r="V2761" s="116"/>
      <c r="W2761" s="116"/>
      <c r="X2761" s="116"/>
      <c r="Y2761" s="45"/>
      <c r="Z2761" s="45"/>
      <c r="AA2761" s="45"/>
      <c r="AB2761" s="45"/>
      <c r="AC2761" s="45"/>
      <c r="AD2761" s="45"/>
      <c r="AE2761" s="45"/>
      <c r="AF2761" s="45"/>
      <c r="AG2761" s="45"/>
      <c r="AH2761" s="45"/>
      <c r="AI2761" s="45"/>
      <c r="AJ2761" s="45"/>
      <c r="AK2761" s="45"/>
      <c r="AL2761" s="45"/>
    </row>
    <row r="2762" ht="15.75" customHeight="1">
      <c r="A2762" s="27">
        <f t="shared" si="21"/>
        <v>1641</v>
      </c>
      <c r="B2762" s="28"/>
      <c r="C2762" s="43" t="s">
        <v>9652</v>
      </c>
      <c r="D2762" s="30" t="s">
        <v>9653</v>
      </c>
      <c r="E2762" s="28" t="s">
        <v>144</v>
      </c>
      <c r="F2762" s="28" t="s">
        <v>29</v>
      </c>
      <c r="G2762" s="28" t="s">
        <v>30</v>
      </c>
      <c r="H2762" s="28"/>
      <c r="I2762" s="28" t="s">
        <v>30</v>
      </c>
      <c r="J2762" s="28">
        <f>766+2</f>
        <v>768</v>
      </c>
      <c r="K2762" s="28"/>
      <c r="L2762" s="28" t="s">
        <v>9654</v>
      </c>
      <c r="M2762" s="28" t="s">
        <v>2258</v>
      </c>
      <c r="N2762" s="28">
        <v>2004.0</v>
      </c>
      <c r="O2762" s="28">
        <v>12.0</v>
      </c>
      <c r="P2762" s="28">
        <v>1.0</v>
      </c>
      <c r="Q2762" s="32">
        <v>1.0</v>
      </c>
      <c r="R2762" s="33"/>
      <c r="S2762" s="185"/>
      <c r="T2762" s="185"/>
      <c r="U2762" s="185"/>
      <c r="V2762" s="185"/>
      <c r="W2762" s="185"/>
      <c r="X2762" s="185"/>
      <c r="Y2762" s="74"/>
      <c r="Z2762" s="74"/>
      <c r="AA2762" s="74"/>
      <c r="AB2762" s="74"/>
      <c r="AC2762" s="74"/>
      <c r="AD2762" s="74"/>
      <c r="AE2762" s="74"/>
      <c r="AF2762" s="74"/>
      <c r="AG2762" s="74"/>
      <c r="AH2762" s="74"/>
      <c r="AI2762" s="74"/>
      <c r="AJ2762" s="74"/>
      <c r="AK2762" s="74"/>
      <c r="AL2762" s="74"/>
    </row>
    <row r="2763" ht="15.75" customHeight="1">
      <c r="A2763" s="27">
        <f t="shared" si="21"/>
        <v>1642</v>
      </c>
      <c r="B2763" s="28"/>
      <c r="C2763" s="43" t="s">
        <v>9655</v>
      </c>
      <c r="D2763" s="30" t="s">
        <v>9656</v>
      </c>
      <c r="E2763" s="28" t="s">
        <v>144</v>
      </c>
      <c r="F2763" s="28" t="s">
        <v>29</v>
      </c>
      <c r="G2763" s="28" t="s">
        <v>37</v>
      </c>
      <c r="H2763" s="28"/>
      <c r="I2763" s="28" t="s">
        <v>38</v>
      </c>
      <c r="J2763" s="28">
        <f>288</f>
        <v>288</v>
      </c>
      <c r="K2763" s="28"/>
      <c r="L2763" s="28" t="s">
        <v>9657</v>
      </c>
      <c r="M2763" s="28" t="s">
        <v>2194</v>
      </c>
      <c r="N2763" s="28">
        <v>1950.0</v>
      </c>
      <c r="O2763" s="28">
        <v>12.0</v>
      </c>
      <c r="P2763" s="28">
        <v>1.0</v>
      </c>
      <c r="Q2763" s="94">
        <v>1.0</v>
      </c>
      <c r="R2763" s="33"/>
      <c r="S2763" s="34"/>
      <c r="T2763" s="34"/>
      <c r="U2763" s="34"/>
      <c r="V2763" s="34"/>
      <c r="W2763" s="34"/>
      <c r="X2763" s="34"/>
      <c r="Y2763" s="45"/>
      <c r="Z2763" s="45"/>
      <c r="AA2763" s="45"/>
      <c r="AB2763" s="45"/>
      <c r="AC2763" s="45"/>
      <c r="AD2763" s="45"/>
      <c r="AE2763" s="45"/>
      <c r="AF2763" s="45"/>
      <c r="AG2763" s="45"/>
      <c r="AH2763" s="45"/>
      <c r="AI2763" s="45"/>
      <c r="AJ2763" s="45"/>
      <c r="AK2763" s="45"/>
      <c r="AL2763" s="45"/>
    </row>
    <row r="2764" ht="15.75" customHeight="1">
      <c r="A2764" s="27">
        <f t="shared" si="21"/>
        <v>1643</v>
      </c>
      <c r="B2764" s="121" t="s">
        <v>9658</v>
      </c>
      <c r="C2764" s="124" t="s">
        <v>9659</v>
      </c>
      <c r="D2764" s="119" t="s">
        <v>9660</v>
      </c>
      <c r="E2764" s="83"/>
      <c r="F2764" s="121" t="s">
        <v>29</v>
      </c>
      <c r="G2764" s="121" t="s">
        <v>6448</v>
      </c>
      <c r="H2764" s="83"/>
      <c r="I2764" s="121" t="s">
        <v>38</v>
      </c>
      <c r="J2764" s="121">
        <v>294.0</v>
      </c>
      <c r="K2764" s="83"/>
      <c r="L2764" s="121" t="s">
        <v>71</v>
      </c>
      <c r="M2764" s="121" t="s">
        <v>72</v>
      </c>
      <c r="N2764" s="121">
        <v>2003.0</v>
      </c>
      <c r="O2764" s="28">
        <v>12.0</v>
      </c>
      <c r="P2764" s="121">
        <v>1.0</v>
      </c>
      <c r="Q2764" s="121">
        <v>1.0</v>
      </c>
      <c r="R2764" s="84"/>
      <c r="S2764" s="34"/>
      <c r="T2764" s="34"/>
      <c r="U2764" s="34"/>
      <c r="V2764" s="34"/>
      <c r="W2764" s="34"/>
      <c r="X2764" s="34"/>
      <c r="Y2764" s="45"/>
      <c r="Z2764" s="45"/>
      <c r="AA2764" s="45"/>
      <c r="AB2764" s="45"/>
      <c r="AC2764" s="45"/>
      <c r="AD2764" s="45"/>
      <c r="AE2764" s="45"/>
      <c r="AF2764" s="45"/>
      <c r="AG2764" s="45"/>
      <c r="AH2764" s="45"/>
      <c r="AI2764" s="45"/>
      <c r="AJ2764" s="45"/>
      <c r="AK2764" s="45"/>
      <c r="AL2764" s="45"/>
    </row>
    <row r="2765" ht="15.75" customHeight="1">
      <c r="A2765" s="27">
        <f t="shared" si="21"/>
        <v>1644</v>
      </c>
      <c r="B2765" s="28" t="s">
        <v>9661</v>
      </c>
      <c r="C2765" s="43" t="s">
        <v>9662</v>
      </c>
      <c r="D2765" s="30" t="s">
        <v>9663</v>
      </c>
      <c r="E2765" s="28" t="s">
        <v>302</v>
      </c>
      <c r="F2765" s="28" t="s">
        <v>29</v>
      </c>
      <c r="G2765" s="28" t="s">
        <v>37</v>
      </c>
      <c r="H2765" s="28"/>
      <c r="I2765" s="28" t="s">
        <v>38</v>
      </c>
      <c r="J2765" s="28">
        <v>271.0</v>
      </c>
      <c r="K2765" s="28"/>
      <c r="L2765" s="28" t="s">
        <v>6932</v>
      </c>
      <c r="M2765" s="28" t="s">
        <v>9664</v>
      </c>
      <c r="N2765" s="28">
        <v>2012.0</v>
      </c>
      <c r="O2765" s="28">
        <v>12.0</v>
      </c>
      <c r="P2765" s="28">
        <v>1.0</v>
      </c>
      <c r="Q2765" s="32">
        <v>1.0</v>
      </c>
      <c r="R2765" s="33"/>
      <c r="S2765" s="34"/>
      <c r="T2765" s="34"/>
      <c r="U2765" s="34"/>
      <c r="V2765" s="34"/>
      <c r="W2765" s="34"/>
      <c r="X2765" s="34"/>
      <c r="Y2765" s="74"/>
      <c r="Z2765" s="74"/>
      <c r="AA2765" s="74"/>
      <c r="AB2765" s="74"/>
      <c r="AC2765" s="74"/>
      <c r="AD2765" s="74"/>
      <c r="AE2765" s="74"/>
      <c r="AF2765" s="74"/>
      <c r="AG2765" s="74"/>
      <c r="AH2765" s="74"/>
      <c r="AI2765" s="74"/>
      <c r="AJ2765" s="74"/>
      <c r="AK2765" s="74"/>
      <c r="AL2765" s="74"/>
    </row>
    <row r="2766" ht="15.75" customHeight="1">
      <c r="A2766" s="27">
        <f t="shared" si="21"/>
        <v>1645</v>
      </c>
      <c r="B2766" s="28" t="s">
        <v>9665</v>
      </c>
      <c r="C2766" s="29" t="s">
        <v>9666</v>
      </c>
      <c r="D2766" s="30" t="s">
        <v>9667</v>
      </c>
      <c r="E2766" s="28" t="s">
        <v>144</v>
      </c>
      <c r="F2766" s="28" t="s">
        <v>29</v>
      </c>
      <c r="G2766" s="28" t="s">
        <v>30</v>
      </c>
      <c r="H2766" s="28"/>
      <c r="I2766" s="28" t="s">
        <v>30</v>
      </c>
      <c r="J2766" s="28">
        <f t="shared" ref="J2766:J2767" si="22">934</f>
        <v>934</v>
      </c>
      <c r="K2766" s="28"/>
      <c r="L2766" s="28" t="s">
        <v>9668</v>
      </c>
      <c r="M2766" s="28" t="s">
        <v>151</v>
      </c>
      <c r="N2766" s="28">
        <v>2003.0</v>
      </c>
      <c r="O2766" s="60">
        <v>12.0</v>
      </c>
      <c r="P2766" s="31">
        <v>1.0</v>
      </c>
      <c r="Q2766" s="37">
        <v>1.0</v>
      </c>
      <c r="R2766" s="33"/>
      <c r="S2766" s="34"/>
      <c r="T2766" s="34"/>
      <c r="U2766" s="34"/>
      <c r="V2766" s="34"/>
      <c r="W2766" s="34"/>
      <c r="X2766" s="34"/>
      <c r="Y2766" s="45"/>
      <c r="Z2766" s="45"/>
      <c r="AA2766" s="45"/>
      <c r="AB2766" s="45"/>
      <c r="AC2766" s="45"/>
      <c r="AD2766" s="45"/>
      <c r="AE2766" s="45"/>
      <c r="AF2766" s="45"/>
      <c r="AG2766" s="45"/>
      <c r="AH2766" s="45"/>
      <c r="AI2766" s="45"/>
      <c r="AJ2766" s="45"/>
      <c r="AK2766" s="45"/>
      <c r="AL2766" s="45"/>
    </row>
    <row r="2767" ht="15.75" customHeight="1">
      <c r="A2767" s="27">
        <f t="shared" si="21"/>
        <v>1646</v>
      </c>
      <c r="B2767" s="28" t="s">
        <v>9665</v>
      </c>
      <c r="C2767" s="29" t="s">
        <v>9666</v>
      </c>
      <c r="D2767" s="30" t="s">
        <v>9667</v>
      </c>
      <c r="E2767" s="28" t="s">
        <v>144</v>
      </c>
      <c r="F2767" s="28" t="s">
        <v>29</v>
      </c>
      <c r="G2767" s="28" t="s">
        <v>30</v>
      </c>
      <c r="H2767" s="28"/>
      <c r="I2767" s="28" t="s">
        <v>30</v>
      </c>
      <c r="J2767" s="28">
        <f t="shared" si="22"/>
        <v>934</v>
      </c>
      <c r="K2767" s="28"/>
      <c r="L2767" s="28" t="s">
        <v>9668</v>
      </c>
      <c r="M2767" s="28" t="s">
        <v>151</v>
      </c>
      <c r="N2767" s="28">
        <v>2004.0</v>
      </c>
      <c r="O2767" s="60">
        <v>12.0</v>
      </c>
      <c r="P2767" s="28">
        <v>1.0</v>
      </c>
      <c r="Q2767" s="32">
        <v>1.0</v>
      </c>
      <c r="R2767" s="33"/>
      <c r="S2767" s="34"/>
      <c r="T2767" s="34"/>
      <c r="U2767" s="34"/>
      <c r="V2767" s="34"/>
      <c r="W2767" s="34"/>
      <c r="X2767" s="34"/>
      <c r="Y2767" s="45"/>
      <c r="Z2767" s="45"/>
      <c r="AA2767" s="45"/>
      <c r="AB2767" s="45"/>
      <c r="AC2767" s="45"/>
      <c r="AD2767" s="45"/>
      <c r="AE2767" s="45"/>
      <c r="AF2767" s="45"/>
      <c r="AG2767" s="45"/>
      <c r="AH2767" s="45"/>
      <c r="AI2767" s="45"/>
      <c r="AJ2767" s="45"/>
      <c r="AK2767" s="45"/>
      <c r="AL2767" s="45"/>
    </row>
    <row r="2768" ht="15.75" customHeight="1">
      <c r="A2768" s="27">
        <f t="shared" si="21"/>
        <v>1647</v>
      </c>
      <c r="B2768" s="28" t="s">
        <v>9669</v>
      </c>
      <c r="C2768" s="43" t="s">
        <v>9670</v>
      </c>
      <c r="D2768" s="30" t="s">
        <v>9671</v>
      </c>
      <c r="E2768" s="28" t="s">
        <v>144</v>
      </c>
      <c r="F2768" s="28" t="s">
        <v>29</v>
      </c>
      <c r="G2768" s="28" t="s">
        <v>30</v>
      </c>
      <c r="H2768" s="28"/>
      <c r="I2768" s="28" t="s">
        <v>30</v>
      </c>
      <c r="J2768" s="28">
        <f>757</f>
        <v>757</v>
      </c>
      <c r="K2768" s="28"/>
      <c r="L2768" s="28" t="s">
        <v>9672</v>
      </c>
      <c r="M2768" s="28" t="s">
        <v>151</v>
      </c>
      <c r="N2768" s="28">
        <v>2002.0</v>
      </c>
      <c r="O2768" s="60">
        <v>12.0</v>
      </c>
      <c r="P2768" s="28">
        <v>1.0</v>
      </c>
      <c r="Q2768" s="32">
        <v>1.0</v>
      </c>
      <c r="R2768" s="33"/>
      <c r="S2768" s="40"/>
      <c r="T2768" s="40"/>
      <c r="U2768" s="40"/>
      <c r="V2768" s="40"/>
      <c r="W2768" s="40"/>
      <c r="X2768" s="40"/>
      <c r="Y2768" s="45"/>
      <c r="Z2768" s="45"/>
      <c r="AA2768" s="45"/>
      <c r="AB2768" s="45"/>
      <c r="AC2768" s="45"/>
      <c r="AD2768" s="45"/>
      <c r="AE2768" s="45"/>
      <c r="AF2768" s="45"/>
      <c r="AG2768" s="45"/>
      <c r="AH2768" s="45"/>
      <c r="AI2768" s="45"/>
      <c r="AJ2768" s="45"/>
      <c r="AK2768" s="45"/>
      <c r="AL2768" s="45"/>
    </row>
    <row r="2769" ht="15.75" customHeight="1">
      <c r="A2769" s="27">
        <f t="shared" si="21"/>
        <v>1648</v>
      </c>
      <c r="B2769" s="121" t="s">
        <v>9673</v>
      </c>
      <c r="C2769" s="121" t="s">
        <v>9674</v>
      </c>
      <c r="D2769" s="119" t="s">
        <v>9675</v>
      </c>
      <c r="E2769" s="83"/>
      <c r="F2769" s="121" t="s">
        <v>29</v>
      </c>
      <c r="G2769" s="121" t="s">
        <v>6448</v>
      </c>
      <c r="H2769" s="83"/>
      <c r="I2769" s="121" t="s">
        <v>30</v>
      </c>
      <c r="J2769" s="121">
        <v>571.0</v>
      </c>
      <c r="K2769" s="83"/>
      <c r="L2769" s="121" t="s">
        <v>9676</v>
      </c>
      <c r="M2769" s="121" t="s">
        <v>49</v>
      </c>
      <c r="N2769" s="121">
        <v>2011.0</v>
      </c>
      <c r="O2769" s="60">
        <v>12.0</v>
      </c>
      <c r="P2769" s="121">
        <v>1.0</v>
      </c>
      <c r="Q2769" s="121">
        <v>1.0</v>
      </c>
      <c r="R2769" s="84"/>
      <c r="S2769" s="116"/>
      <c r="T2769" s="116"/>
      <c r="U2769" s="116"/>
      <c r="V2769" s="116"/>
      <c r="W2769" s="116"/>
      <c r="X2769" s="116"/>
      <c r="Y2769" s="74"/>
      <c r="Z2769" s="74"/>
      <c r="AA2769" s="74"/>
      <c r="AB2769" s="74"/>
      <c r="AC2769" s="74"/>
      <c r="AD2769" s="74"/>
      <c r="AE2769" s="74"/>
      <c r="AF2769" s="74"/>
      <c r="AG2769" s="74"/>
      <c r="AH2769" s="74"/>
      <c r="AI2769" s="74"/>
      <c r="AJ2769" s="74"/>
      <c r="AK2769" s="74"/>
      <c r="AL2769" s="74"/>
    </row>
    <row r="2770" ht="15.75" customHeight="1">
      <c r="A2770" s="27">
        <f t="shared" si="21"/>
        <v>1649</v>
      </c>
      <c r="B2770" s="28" t="s">
        <v>9677</v>
      </c>
      <c r="C2770" s="43" t="s">
        <v>9678</v>
      </c>
      <c r="D2770" s="30" t="s">
        <v>9679</v>
      </c>
      <c r="E2770" s="28" t="s">
        <v>302</v>
      </c>
      <c r="F2770" s="28" t="s">
        <v>29</v>
      </c>
      <c r="G2770" s="28" t="s">
        <v>30</v>
      </c>
      <c r="H2770" s="28"/>
      <c r="I2770" s="28" t="s">
        <v>30</v>
      </c>
      <c r="J2770" s="28">
        <v>47.0</v>
      </c>
      <c r="K2770" s="28"/>
      <c r="L2770" s="28" t="s">
        <v>3199</v>
      </c>
      <c r="M2770" s="28" t="s">
        <v>151</v>
      </c>
      <c r="N2770" s="28">
        <v>2011.0</v>
      </c>
      <c r="O2770" s="60">
        <v>12.0</v>
      </c>
      <c r="P2770" s="28">
        <v>1.0</v>
      </c>
      <c r="Q2770" s="32">
        <v>1.0</v>
      </c>
      <c r="R2770" s="33"/>
      <c r="S2770" s="116"/>
      <c r="T2770" s="116"/>
      <c r="U2770" s="116"/>
      <c r="V2770" s="116"/>
      <c r="W2770" s="116"/>
      <c r="X2770" s="116"/>
      <c r="Y2770" s="45"/>
      <c r="Z2770" s="45"/>
      <c r="AA2770" s="45"/>
      <c r="AB2770" s="45"/>
      <c r="AC2770" s="45"/>
      <c r="AD2770" s="45"/>
      <c r="AE2770" s="45"/>
      <c r="AF2770" s="45"/>
      <c r="AG2770" s="45"/>
      <c r="AH2770" s="45"/>
      <c r="AI2770" s="45"/>
      <c r="AJ2770" s="45"/>
      <c r="AK2770" s="45"/>
      <c r="AL2770" s="45"/>
    </row>
    <row r="2771" ht="53.25" customHeight="1">
      <c r="A2771" s="27">
        <f t="shared" si="21"/>
        <v>1650</v>
      </c>
      <c r="B2771" s="28" t="s">
        <v>9680</v>
      </c>
      <c r="C2771" s="102" t="s">
        <v>9681</v>
      </c>
      <c r="D2771" s="30" t="s">
        <v>9682</v>
      </c>
      <c r="E2771" s="28" t="s">
        <v>144</v>
      </c>
      <c r="F2771" s="28" t="s">
        <v>29</v>
      </c>
      <c r="G2771" s="28" t="s">
        <v>38</v>
      </c>
      <c r="H2771" s="28"/>
      <c r="I2771" s="28" t="s">
        <v>38</v>
      </c>
      <c r="J2771" s="28">
        <v>225.0</v>
      </c>
      <c r="K2771" s="28"/>
      <c r="L2771" s="28" t="s">
        <v>9683</v>
      </c>
      <c r="M2771" s="28" t="s">
        <v>230</v>
      </c>
      <c r="N2771" s="28">
        <v>2012.0</v>
      </c>
      <c r="O2771" s="60">
        <v>12.0</v>
      </c>
      <c r="P2771" s="28">
        <v>1.0</v>
      </c>
      <c r="Q2771" s="32">
        <v>1.0</v>
      </c>
      <c r="R2771" s="33"/>
      <c r="S2771" s="34"/>
      <c r="T2771" s="34"/>
      <c r="U2771" s="34"/>
      <c r="V2771" s="34"/>
      <c r="W2771" s="34"/>
      <c r="X2771" s="34"/>
      <c r="Y2771" s="74"/>
      <c r="Z2771" s="74"/>
      <c r="AA2771" s="74"/>
      <c r="AB2771" s="74"/>
      <c r="AC2771" s="74"/>
      <c r="AD2771" s="74"/>
      <c r="AE2771" s="74"/>
      <c r="AF2771" s="74"/>
      <c r="AG2771" s="74"/>
      <c r="AH2771" s="74"/>
      <c r="AI2771" s="74"/>
      <c r="AJ2771" s="74"/>
      <c r="AK2771" s="74"/>
      <c r="AL2771" s="74"/>
    </row>
    <row r="2772" ht="15.75" customHeight="1">
      <c r="A2772" s="27">
        <f t="shared" si="21"/>
        <v>1651</v>
      </c>
      <c r="B2772" s="28" t="s">
        <v>9684</v>
      </c>
      <c r="C2772" s="43" t="s">
        <v>9685</v>
      </c>
      <c r="D2772" s="30" t="s">
        <v>9686</v>
      </c>
      <c r="E2772" s="28"/>
      <c r="F2772" s="28" t="s">
        <v>29</v>
      </c>
      <c r="G2772" s="28" t="s">
        <v>37</v>
      </c>
      <c r="H2772" s="28" t="s">
        <v>31</v>
      </c>
      <c r="I2772" s="28" t="s">
        <v>38</v>
      </c>
      <c r="J2772" s="28">
        <v>276.0</v>
      </c>
      <c r="K2772" s="28"/>
      <c r="L2772" s="28" t="s">
        <v>2868</v>
      </c>
      <c r="M2772" s="28" t="s">
        <v>2693</v>
      </c>
      <c r="N2772" s="28">
        <v>1985.0</v>
      </c>
      <c r="O2772" s="60">
        <v>12.0</v>
      </c>
      <c r="P2772" s="28">
        <v>1.0</v>
      </c>
      <c r="Q2772" s="94">
        <v>1.0</v>
      </c>
      <c r="R2772" s="33"/>
      <c r="S2772" s="34"/>
      <c r="T2772" s="34"/>
      <c r="U2772" s="34"/>
      <c r="V2772" s="34"/>
      <c r="W2772" s="34"/>
      <c r="X2772" s="34"/>
      <c r="Y2772" s="74"/>
      <c r="Z2772" s="74"/>
      <c r="AA2772" s="74"/>
      <c r="AB2772" s="74"/>
      <c r="AC2772" s="74"/>
      <c r="AD2772" s="74"/>
      <c r="AE2772" s="74"/>
      <c r="AF2772" s="74"/>
      <c r="AG2772" s="74"/>
      <c r="AH2772" s="74"/>
      <c r="AI2772" s="74"/>
      <c r="AJ2772" s="74"/>
      <c r="AK2772" s="74"/>
      <c r="AL2772" s="74"/>
    </row>
    <row r="2773" ht="15.75" customHeight="1">
      <c r="A2773" s="27">
        <f t="shared" si="21"/>
        <v>1652</v>
      </c>
      <c r="B2773" s="28" t="s">
        <v>31</v>
      </c>
      <c r="C2773" s="48" t="s">
        <v>9687</v>
      </c>
      <c r="D2773" s="30" t="s">
        <v>9688</v>
      </c>
      <c r="E2773" s="28" t="s">
        <v>28</v>
      </c>
      <c r="F2773" s="28" t="s">
        <v>29</v>
      </c>
      <c r="G2773" s="28" t="s">
        <v>37</v>
      </c>
      <c r="H2773" s="28"/>
      <c r="I2773" s="28" t="s">
        <v>38</v>
      </c>
      <c r="J2773" s="28">
        <v>96.0</v>
      </c>
      <c r="K2773" s="28"/>
      <c r="L2773" s="28" t="s">
        <v>9689</v>
      </c>
      <c r="M2773" s="28" t="s">
        <v>4194</v>
      </c>
      <c r="N2773" s="28">
        <v>1962.0</v>
      </c>
      <c r="O2773" s="60">
        <v>12.0</v>
      </c>
      <c r="P2773" s="28">
        <v>1.0</v>
      </c>
      <c r="Q2773" s="32">
        <v>1.0</v>
      </c>
      <c r="R2773" s="33"/>
      <c r="S2773" s="34"/>
      <c r="T2773" s="34"/>
      <c r="U2773" s="34"/>
      <c r="V2773" s="34"/>
      <c r="W2773" s="34"/>
      <c r="X2773" s="34"/>
      <c r="Y2773" s="45"/>
      <c r="Z2773" s="45"/>
      <c r="AA2773" s="45"/>
      <c r="AB2773" s="45"/>
      <c r="AC2773" s="45"/>
      <c r="AD2773" s="45"/>
      <c r="AE2773" s="45"/>
      <c r="AF2773" s="45"/>
      <c r="AG2773" s="45"/>
      <c r="AH2773" s="45"/>
      <c r="AI2773" s="45"/>
      <c r="AJ2773" s="45"/>
      <c r="AK2773" s="45"/>
      <c r="AL2773" s="45"/>
    </row>
    <row r="2774" ht="15.75" customHeight="1">
      <c r="A2774" s="27">
        <f t="shared" si="21"/>
        <v>1653</v>
      </c>
      <c r="B2774" s="28" t="s">
        <v>9690</v>
      </c>
      <c r="C2774" s="43" t="s">
        <v>9691</v>
      </c>
      <c r="D2774" s="30" t="s">
        <v>9692</v>
      </c>
      <c r="E2774" s="28" t="s">
        <v>28</v>
      </c>
      <c r="F2774" s="28" t="s">
        <v>29</v>
      </c>
      <c r="G2774" s="28" t="s">
        <v>30</v>
      </c>
      <c r="H2774" s="28"/>
      <c r="I2774" s="28" t="s">
        <v>30</v>
      </c>
      <c r="J2774" s="28">
        <v>156.0</v>
      </c>
      <c r="K2774" s="28"/>
      <c r="L2774" s="28" t="s">
        <v>9693</v>
      </c>
      <c r="M2774" s="28" t="s">
        <v>9694</v>
      </c>
      <c r="N2774" s="28">
        <v>2015.0</v>
      </c>
      <c r="O2774" s="28">
        <v>12.0</v>
      </c>
      <c r="P2774" s="28">
        <v>1.0</v>
      </c>
      <c r="Q2774" s="94">
        <v>1.0</v>
      </c>
      <c r="R2774" s="33"/>
      <c r="S2774" s="34"/>
      <c r="T2774" s="34"/>
      <c r="U2774" s="34"/>
      <c r="V2774" s="34"/>
      <c r="W2774" s="34"/>
      <c r="X2774" s="34"/>
      <c r="Y2774" s="45"/>
      <c r="Z2774" s="45"/>
      <c r="AA2774" s="45"/>
      <c r="AB2774" s="45"/>
      <c r="AC2774" s="45"/>
      <c r="AD2774" s="45"/>
      <c r="AE2774" s="45"/>
      <c r="AF2774" s="45"/>
      <c r="AG2774" s="45"/>
      <c r="AH2774" s="45"/>
      <c r="AI2774" s="45"/>
      <c r="AJ2774" s="45"/>
      <c r="AK2774" s="45"/>
      <c r="AL2774" s="45"/>
    </row>
    <row r="2775" ht="15.75" customHeight="1">
      <c r="A2775" s="27">
        <f t="shared" si="21"/>
        <v>1654</v>
      </c>
      <c r="B2775" s="119" t="s">
        <v>9695</v>
      </c>
      <c r="C2775" s="128" t="s">
        <v>9696</v>
      </c>
      <c r="D2775" s="119" t="s">
        <v>9697</v>
      </c>
      <c r="E2775" s="83"/>
      <c r="F2775" s="121" t="s">
        <v>29</v>
      </c>
      <c r="G2775" s="121" t="s">
        <v>6448</v>
      </c>
      <c r="H2775" s="83"/>
      <c r="I2775" s="121" t="s">
        <v>38</v>
      </c>
      <c r="J2775" s="121">
        <v>342.0</v>
      </c>
      <c r="K2775" s="83"/>
      <c r="L2775" s="121" t="s">
        <v>71</v>
      </c>
      <c r="M2775" s="121" t="s">
        <v>72</v>
      </c>
      <c r="N2775" s="121">
        <v>2003.0</v>
      </c>
      <c r="O2775" s="28">
        <v>12.0</v>
      </c>
      <c r="P2775" s="121">
        <v>1.0</v>
      </c>
      <c r="Q2775" s="121">
        <v>1.0</v>
      </c>
      <c r="R2775" s="84"/>
      <c r="S2775" s="34"/>
      <c r="T2775" s="34"/>
      <c r="U2775" s="34"/>
      <c r="V2775" s="34"/>
      <c r="W2775" s="34"/>
      <c r="X2775" s="34"/>
      <c r="Y2775" s="74"/>
      <c r="Z2775" s="74"/>
      <c r="AA2775" s="74"/>
      <c r="AB2775" s="74"/>
      <c r="AC2775" s="74"/>
      <c r="AD2775" s="74"/>
      <c r="AE2775" s="74"/>
      <c r="AF2775" s="74"/>
      <c r="AG2775" s="74"/>
      <c r="AH2775" s="74"/>
      <c r="AI2775" s="74"/>
      <c r="AJ2775" s="74"/>
      <c r="AK2775" s="74"/>
      <c r="AL2775" s="74"/>
    </row>
    <row r="2776" ht="15.75" customHeight="1">
      <c r="A2776" s="27">
        <f t="shared" si="21"/>
        <v>1655</v>
      </c>
      <c r="B2776" s="28" t="s">
        <v>9698</v>
      </c>
      <c r="C2776" s="43" t="s">
        <v>9699</v>
      </c>
      <c r="D2776" s="30" t="s">
        <v>9700</v>
      </c>
      <c r="E2776" s="28" t="s">
        <v>302</v>
      </c>
      <c r="F2776" s="28" t="s">
        <v>29</v>
      </c>
      <c r="G2776" s="28" t="s">
        <v>37</v>
      </c>
      <c r="H2776" s="28"/>
      <c r="I2776" s="28" t="s">
        <v>38</v>
      </c>
      <c r="J2776" s="28">
        <v>222.0</v>
      </c>
      <c r="K2776" s="28"/>
      <c r="L2776" s="28" t="s">
        <v>9701</v>
      </c>
      <c r="M2776" s="28" t="s">
        <v>230</v>
      </c>
      <c r="N2776" s="28">
        <v>1999.0</v>
      </c>
      <c r="O2776" s="28">
        <v>12.0</v>
      </c>
      <c r="P2776" s="28">
        <v>1.0</v>
      </c>
      <c r="Q2776" s="32">
        <v>1.0</v>
      </c>
      <c r="R2776" s="33"/>
      <c r="S2776" s="34"/>
      <c r="T2776" s="34"/>
      <c r="U2776" s="34"/>
      <c r="V2776" s="34"/>
      <c r="W2776" s="34"/>
      <c r="X2776" s="34"/>
      <c r="Y2776" s="74"/>
      <c r="Z2776" s="74"/>
      <c r="AA2776" s="74"/>
      <c r="AB2776" s="74"/>
      <c r="AC2776" s="74"/>
      <c r="AD2776" s="74"/>
      <c r="AE2776" s="74"/>
      <c r="AF2776" s="74"/>
      <c r="AG2776" s="74"/>
      <c r="AH2776" s="74"/>
      <c r="AI2776" s="74"/>
      <c r="AJ2776" s="74"/>
      <c r="AK2776" s="74"/>
      <c r="AL2776" s="74"/>
    </row>
    <row r="2777" ht="15.75" customHeight="1">
      <c r="A2777" s="27">
        <f t="shared" si="21"/>
        <v>1656</v>
      </c>
      <c r="B2777" s="28" t="s">
        <v>9702</v>
      </c>
      <c r="C2777" s="48" t="s">
        <v>9703</v>
      </c>
      <c r="D2777" s="30" t="s">
        <v>9704</v>
      </c>
      <c r="E2777" s="28" t="s">
        <v>28</v>
      </c>
      <c r="F2777" s="28" t="s">
        <v>29</v>
      </c>
      <c r="G2777" s="28" t="s">
        <v>37</v>
      </c>
      <c r="H2777" s="28"/>
      <c r="I2777" s="28" t="s">
        <v>38</v>
      </c>
      <c r="J2777" s="28">
        <v>223.0</v>
      </c>
      <c r="K2777" s="28"/>
      <c r="L2777" s="28" t="s">
        <v>9705</v>
      </c>
      <c r="M2777" s="28" t="s">
        <v>250</v>
      </c>
      <c r="N2777" s="60">
        <v>1975.0</v>
      </c>
      <c r="O2777" s="60">
        <v>12.0</v>
      </c>
      <c r="P2777" s="28">
        <v>1.0</v>
      </c>
      <c r="Q2777" s="32">
        <v>1.0</v>
      </c>
      <c r="R2777" s="33"/>
      <c r="S2777" s="34"/>
      <c r="T2777" s="34"/>
      <c r="U2777" s="34"/>
      <c r="V2777" s="34"/>
      <c r="W2777" s="34"/>
      <c r="X2777" s="34"/>
      <c r="Y2777" s="45"/>
      <c r="Z2777" s="45"/>
      <c r="AA2777" s="45"/>
      <c r="AB2777" s="45"/>
      <c r="AC2777" s="45"/>
      <c r="AD2777" s="45"/>
      <c r="AE2777" s="45"/>
      <c r="AF2777" s="45"/>
      <c r="AG2777" s="45"/>
      <c r="AH2777" s="45"/>
      <c r="AI2777" s="45"/>
      <c r="AJ2777" s="45"/>
      <c r="AK2777" s="45"/>
      <c r="AL2777" s="45"/>
    </row>
    <row r="2778" ht="15.75" customHeight="1">
      <c r="A2778" s="27">
        <f t="shared" si="21"/>
        <v>1657</v>
      </c>
      <c r="B2778" s="28" t="s">
        <v>9706</v>
      </c>
      <c r="C2778" s="102" t="s">
        <v>9707</v>
      </c>
      <c r="D2778" s="30" t="s">
        <v>9708</v>
      </c>
      <c r="E2778" s="28"/>
      <c r="F2778" s="28" t="s">
        <v>29</v>
      </c>
      <c r="G2778" s="28" t="s">
        <v>37</v>
      </c>
      <c r="H2778" s="28"/>
      <c r="I2778" s="28" t="s">
        <v>38</v>
      </c>
      <c r="J2778" s="28">
        <v>205.0</v>
      </c>
      <c r="K2778" s="28"/>
      <c r="L2778" s="28" t="s">
        <v>9709</v>
      </c>
      <c r="M2778" s="28" t="s">
        <v>356</v>
      </c>
      <c r="N2778" s="28">
        <v>1976.0</v>
      </c>
      <c r="O2778" s="60">
        <v>12.0</v>
      </c>
      <c r="P2778" s="28">
        <v>1.0</v>
      </c>
      <c r="Q2778" s="94">
        <v>1.0</v>
      </c>
      <c r="R2778" s="33"/>
      <c r="S2778" s="116"/>
      <c r="T2778" s="116"/>
      <c r="U2778" s="116"/>
      <c r="V2778" s="116"/>
      <c r="W2778" s="116"/>
      <c r="X2778" s="116"/>
      <c r="Y2778" s="45"/>
      <c r="Z2778" s="45"/>
      <c r="AA2778" s="45"/>
      <c r="AB2778" s="45"/>
      <c r="AC2778" s="45"/>
      <c r="AD2778" s="45"/>
      <c r="AE2778" s="45"/>
      <c r="AF2778" s="45"/>
      <c r="AG2778" s="45"/>
      <c r="AH2778" s="45"/>
      <c r="AI2778" s="45"/>
      <c r="AJ2778" s="45"/>
      <c r="AK2778" s="45"/>
      <c r="AL2778" s="45"/>
    </row>
    <row r="2779" ht="15.75" customHeight="1">
      <c r="A2779" s="27">
        <f t="shared" si="21"/>
        <v>1658</v>
      </c>
      <c r="B2779" s="28" t="s">
        <v>31</v>
      </c>
      <c r="C2779" s="29" t="s">
        <v>9710</v>
      </c>
      <c r="D2779" s="30" t="s">
        <v>9711</v>
      </c>
      <c r="E2779" s="28"/>
      <c r="F2779" s="28" t="s">
        <v>29</v>
      </c>
      <c r="G2779" s="28" t="s">
        <v>38</v>
      </c>
      <c r="H2779" s="28" t="s">
        <v>31</v>
      </c>
      <c r="I2779" s="28" t="s">
        <v>38</v>
      </c>
      <c r="J2779" s="28">
        <v>292.0</v>
      </c>
      <c r="K2779" s="28"/>
      <c r="L2779" s="28" t="s">
        <v>31</v>
      </c>
      <c r="M2779" s="28" t="s">
        <v>72</v>
      </c>
      <c r="N2779" s="28" t="s">
        <v>31</v>
      </c>
      <c r="O2779" s="60">
        <v>12.0</v>
      </c>
      <c r="P2779" s="28">
        <v>1.0</v>
      </c>
      <c r="Q2779" s="94">
        <v>1.0</v>
      </c>
      <c r="R2779" s="33"/>
      <c r="S2779" s="34"/>
      <c r="T2779" s="34"/>
      <c r="U2779" s="34"/>
      <c r="V2779" s="34"/>
      <c r="W2779" s="34"/>
      <c r="X2779" s="34"/>
      <c r="Y2779" s="45"/>
      <c r="Z2779" s="45"/>
      <c r="AA2779" s="45"/>
      <c r="AB2779" s="45"/>
      <c r="AC2779" s="45"/>
      <c r="AD2779" s="45"/>
      <c r="AE2779" s="45"/>
      <c r="AF2779" s="45"/>
      <c r="AG2779" s="45"/>
      <c r="AH2779" s="45"/>
      <c r="AI2779" s="45"/>
      <c r="AJ2779" s="45"/>
      <c r="AK2779" s="45"/>
      <c r="AL2779" s="45"/>
    </row>
    <row r="2780" ht="15.75" customHeight="1">
      <c r="A2780" s="27">
        <f t="shared" si="21"/>
        <v>1659</v>
      </c>
      <c r="B2780" s="28"/>
      <c r="C2780" s="29" t="s">
        <v>9712</v>
      </c>
      <c r="D2780" s="30" t="s">
        <v>9713</v>
      </c>
      <c r="E2780" s="28"/>
      <c r="F2780" s="28" t="s">
        <v>29</v>
      </c>
      <c r="G2780" s="28" t="s">
        <v>131</v>
      </c>
      <c r="H2780" s="28" t="s">
        <v>31</v>
      </c>
      <c r="I2780" s="28" t="s">
        <v>131</v>
      </c>
      <c r="J2780" s="28">
        <v>156.0</v>
      </c>
      <c r="K2780" s="28"/>
      <c r="L2780" s="28" t="s">
        <v>31</v>
      </c>
      <c r="M2780" s="28" t="s">
        <v>9714</v>
      </c>
      <c r="N2780" s="28">
        <v>1968.0</v>
      </c>
      <c r="O2780" s="60">
        <v>12.0</v>
      </c>
      <c r="P2780" s="28">
        <v>1.0</v>
      </c>
      <c r="Q2780" s="94">
        <v>1.0</v>
      </c>
      <c r="R2780" s="33"/>
      <c r="S2780" s="34"/>
      <c r="T2780" s="34"/>
      <c r="U2780" s="40"/>
      <c r="V2780" s="40"/>
      <c r="W2780" s="40"/>
      <c r="X2780" s="40"/>
      <c r="Y2780" s="45"/>
      <c r="Z2780" s="45"/>
      <c r="AA2780" s="45"/>
      <c r="AB2780" s="45"/>
      <c r="AC2780" s="45"/>
      <c r="AD2780" s="45"/>
      <c r="AE2780" s="45"/>
      <c r="AF2780" s="45"/>
      <c r="AG2780" s="45"/>
      <c r="AH2780" s="45"/>
      <c r="AI2780" s="45"/>
      <c r="AJ2780" s="45"/>
      <c r="AK2780" s="45"/>
      <c r="AL2780" s="45"/>
    </row>
    <row r="2781" ht="15.75" customHeight="1">
      <c r="A2781" s="27">
        <f t="shared" si="21"/>
        <v>1660</v>
      </c>
      <c r="B2781" s="28" t="s">
        <v>9715</v>
      </c>
      <c r="C2781" s="29" t="s">
        <v>9716</v>
      </c>
      <c r="D2781" s="39" t="s">
        <v>9717</v>
      </c>
      <c r="E2781" s="28" t="s">
        <v>144</v>
      </c>
      <c r="F2781" s="28" t="s">
        <v>29</v>
      </c>
      <c r="G2781" s="28" t="s">
        <v>30</v>
      </c>
      <c r="H2781" s="28"/>
      <c r="I2781" s="28" t="s">
        <v>30</v>
      </c>
      <c r="J2781" s="28">
        <f>338+22</f>
        <v>360</v>
      </c>
      <c r="K2781" s="28"/>
      <c r="L2781" s="28" t="s">
        <v>9718</v>
      </c>
      <c r="M2781" s="28" t="s">
        <v>9719</v>
      </c>
      <c r="N2781" s="28">
        <v>2001.0</v>
      </c>
      <c r="O2781" s="28">
        <v>12.0</v>
      </c>
      <c r="P2781" s="28">
        <v>1.0</v>
      </c>
      <c r="Q2781" s="32">
        <v>1.0</v>
      </c>
      <c r="R2781" s="33"/>
      <c r="S2781" s="34"/>
      <c r="T2781" s="34"/>
      <c r="U2781" s="34"/>
      <c r="V2781" s="34"/>
      <c r="W2781" s="34"/>
      <c r="X2781" s="34"/>
      <c r="Y2781" s="45"/>
      <c r="Z2781" s="45"/>
      <c r="AA2781" s="45"/>
      <c r="AB2781" s="45"/>
      <c r="AC2781" s="45"/>
      <c r="AD2781" s="45"/>
      <c r="AE2781" s="45"/>
      <c r="AF2781" s="45"/>
      <c r="AG2781" s="45"/>
      <c r="AH2781" s="45"/>
      <c r="AI2781" s="45"/>
      <c r="AJ2781" s="45"/>
      <c r="AK2781" s="45"/>
      <c r="AL2781" s="45"/>
    </row>
    <row r="2782" ht="15.75" customHeight="1">
      <c r="A2782" s="27">
        <f t="shared" si="21"/>
        <v>1661</v>
      </c>
      <c r="B2782" s="28" t="s">
        <v>9720</v>
      </c>
      <c r="C2782" s="43" t="s">
        <v>9721</v>
      </c>
      <c r="D2782" s="30" t="s">
        <v>9722</v>
      </c>
      <c r="E2782" s="28" t="s">
        <v>28</v>
      </c>
      <c r="F2782" s="28" t="s">
        <v>29</v>
      </c>
      <c r="G2782" s="28" t="s">
        <v>37</v>
      </c>
      <c r="H2782" s="28"/>
      <c r="I2782" s="28" t="s">
        <v>38</v>
      </c>
      <c r="J2782" s="28">
        <v>869.0</v>
      </c>
      <c r="K2782" s="28"/>
      <c r="L2782" s="28" t="s">
        <v>7800</v>
      </c>
      <c r="M2782" s="28" t="s">
        <v>1176</v>
      </c>
      <c r="N2782" s="28">
        <v>2002.0</v>
      </c>
      <c r="O2782" s="28">
        <v>12.0</v>
      </c>
      <c r="P2782" s="28">
        <v>1.0</v>
      </c>
      <c r="Q2782" s="32">
        <v>1.0</v>
      </c>
      <c r="R2782" s="33"/>
      <c r="S2782" s="34"/>
      <c r="T2782" s="34"/>
      <c r="U2782" s="34"/>
      <c r="V2782" s="34"/>
      <c r="W2782" s="34"/>
      <c r="X2782" s="34"/>
      <c r="Y2782" s="74"/>
      <c r="Z2782" s="74"/>
      <c r="AA2782" s="74"/>
      <c r="AB2782" s="74"/>
      <c r="AC2782" s="74"/>
      <c r="AD2782" s="74"/>
      <c r="AE2782" s="74"/>
      <c r="AF2782" s="74"/>
      <c r="AG2782" s="74"/>
      <c r="AH2782" s="74"/>
      <c r="AI2782" s="74"/>
      <c r="AJ2782" s="74"/>
      <c r="AK2782" s="74"/>
      <c r="AL2782" s="74"/>
    </row>
    <row r="2783" ht="15.75" customHeight="1">
      <c r="A2783" s="27">
        <f t="shared" si="21"/>
        <v>1662</v>
      </c>
      <c r="B2783" s="28" t="s">
        <v>31</v>
      </c>
      <c r="C2783" s="43" t="s">
        <v>9723</v>
      </c>
      <c r="D2783" s="30" t="s">
        <v>9724</v>
      </c>
      <c r="E2783" s="28" t="s">
        <v>144</v>
      </c>
      <c r="F2783" s="28" t="s">
        <v>29</v>
      </c>
      <c r="G2783" s="28" t="s">
        <v>30</v>
      </c>
      <c r="H2783" s="28"/>
      <c r="I2783" s="28" t="s">
        <v>30</v>
      </c>
      <c r="J2783" s="28">
        <v>116.0</v>
      </c>
      <c r="K2783" s="28"/>
      <c r="L2783" s="28" t="s">
        <v>9725</v>
      </c>
      <c r="M2783" s="28" t="s">
        <v>913</v>
      </c>
      <c r="N2783" s="28">
        <v>2001.0</v>
      </c>
      <c r="O2783" s="60">
        <v>12.0</v>
      </c>
      <c r="P2783" s="28">
        <v>1.0</v>
      </c>
      <c r="Q2783" s="32">
        <v>1.0</v>
      </c>
      <c r="R2783" s="33"/>
      <c r="S2783" s="34"/>
      <c r="T2783" s="34"/>
      <c r="U2783" s="34"/>
      <c r="V2783" s="34"/>
      <c r="W2783" s="34"/>
      <c r="X2783" s="34"/>
      <c r="Y2783" s="74"/>
      <c r="Z2783" s="74"/>
      <c r="AA2783" s="74"/>
      <c r="AB2783" s="74"/>
      <c r="AC2783" s="74"/>
      <c r="AD2783" s="74"/>
      <c r="AE2783" s="74"/>
      <c r="AF2783" s="74"/>
      <c r="AG2783" s="74"/>
      <c r="AH2783" s="74"/>
      <c r="AI2783" s="74"/>
      <c r="AJ2783" s="74"/>
      <c r="AK2783" s="74"/>
      <c r="AL2783" s="74"/>
    </row>
    <row r="2784" ht="15.75" customHeight="1">
      <c r="A2784" s="27">
        <f t="shared" si="21"/>
        <v>1663</v>
      </c>
      <c r="B2784" s="28" t="s">
        <v>9726</v>
      </c>
      <c r="C2784" s="29" t="s">
        <v>9727</v>
      </c>
      <c r="D2784" s="30" t="s">
        <v>9728</v>
      </c>
      <c r="E2784" s="28" t="s">
        <v>28</v>
      </c>
      <c r="F2784" s="28" t="s">
        <v>29</v>
      </c>
      <c r="G2784" s="28" t="s">
        <v>30</v>
      </c>
      <c r="H2784" s="28"/>
      <c r="I2784" s="28" t="s">
        <v>30</v>
      </c>
      <c r="J2784" s="28">
        <v>658.0</v>
      </c>
      <c r="K2784" s="28"/>
      <c r="L2784" s="28" t="s">
        <v>9729</v>
      </c>
      <c r="M2784" s="28" t="s">
        <v>169</v>
      </c>
      <c r="N2784" s="28">
        <v>2011.0</v>
      </c>
      <c r="O2784" s="62" t="s">
        <v>205</v>
      </c>
      <c r="P2784" s="28">
        <v>1.0</v>
      </c>
      <c r="Q2784" s="32">
        <v>1.0</v>
      </c>
      <c r="R2784" s="33"/>
      <c r="S2784" s="185"/>
      <c r="T2784" s="185"/>
      <c r="U2784" s="185"/>
      <c r="V2784" s="185"/>
      <c r="W2784" s="185"/>
      <c r="X2784" s="185"/>
      <c r="Y2784" s="74"/>
      <c r="Z2784" s="74"/>
      <c r="AA2784" s="74"/>
      <c r="AB2784" s="74"/>
      <c r="AC2784" s="74"/>
      <c r="AD2784" s="74"/>
      <c r="AE2784" s="74"/>
      <c r="AF2784" s="74"/>
      <c r="AG2784" s="74"/>
      <c r="AH2784" s="74"/>
      <c r="AI2784" s="74"/>
      <c r="AJ2784" s="74"/>
      <c r="AK2784" s="74"/>
      <c r="AL2784" s="74"/>
    </row>
    <row r="2785" ht="15.75" customHeight="1">
      <c r="A2785" s="27">
        <f t="shared" si="21"/>
        <v>1664</v>
      </c>
      <c r="B2785" s="28" t="s">
        <v>31</v>
      </c>
      <c r="C2785" s="29" t="s">
        <v>202</v>
      </c>
      <c r="D2785" s="30" t="s">
        <v>9730</v>
      </c>
      <c r="E2785" s="28" t="s">
        <v>28</v>
      </c>
      <c r="F2785" s="28" t="s">
        <v>29</v>
      </c>
      <c r="G2785" s="28" t="s">
        <v>30</v>
      </c>
      <c r="H2785" s="28"/>
      <c r="I2785" s="28" t="s">
        <v>30</v>
      </c>
      <c r="J2785" s="28">
        <v>152.0</v>
      </c>
      <c r="K2785" s="28"/>
      <c r="L2785" s="28" t="s">
        <v>9731</v>
      </c>
      <c r="M2785" s="28" t="s">
        <v>151</v>
      </c>
      <c r="N2785" s="28">
        <v>1974.0</v>
      </c>
      <c r="O2785" s="62" t="s">
        <v>205</v>
      </c>
      <c r="P2785" s="28">
        <v>1.0</v>
      </c>
      <c r="Q2785" s="32">
        <v>1.0</v>
      </c>
      <c r="R2785" s="33"/>
      <c r="S2785" s="34"/>
      <c r="T2785" s="34"/>
      <c r="U2785" s="34"/>
      <c r="V2785" s="34"/>
      <c r="W2785" s="34"/>
      <c r="X2785" s="34"/>
      <c r="Y2785" s="74"/>
      <c r="Z2785" s="74"/>
      <c r="AA2785" s="74"/>
      <c r="AB2785" s="74"/>
      <c r="AC2785" s="74"/>
      <c r="AD2785" s="74"/>
      <c r="AE2785" s="74"/>
      <c r="AF2785" s="74"/>
      <c r="AG2785" s="74"/>
      <c r="AH2785" s="74"/>
      <c r="AI2785" s="74"/>
      <c r="AJ2785" s="74"/>
      <c r="AK2785" s="74"/>
      <c r="AL2785" s="74"/>
    </row>
    <row r="2786" ht="15.75" customHeight="1">
      <c r="A2786" s="27">
        <f t="shared" si="21"/>
        <v>1665</v>
      </c>
      <c r="B2786" s="28" t="s">
        <v>9732</v>
      </c>
      <c r="C2786" s="48" t="s">
        <v>9733</v>
      </c>
      <c r="D2786" s="30" t="s">
        <v>9734</v>
      </c>
      <c r="E2786" s="28" t="s">
        <v>28</v>
      </c>
      <c r="F2786" s="28" t="s">
        <v>29</v>
      </c>
      <c r="G2786" s="28" t="s">
        <v>30</v>
      </c>
      <c r="H2786" s="28"/>
      <c r="I2786" s="28" t="s">
        <v>30</v>
      </c>
      <c r="J2786" s="28">
        <v>324.0</v>
      </c>
      <c r="K2786" s="28"/>
      <c r="L2786" s="28" t="s">
        <v>912</v>
      </c>
      <c r="M2786" s="28" t="s">
        <v>913</v>
      </c>
      <c r="N2786" s="28">
        <v>2005.0</v>
      </c>
      <c r="O2786" s="62" t="s">
        <v>205</v>
      </c>
      <c r="P2786" s="28">
        <v>2.0</v>
      </c>
      <c r="Q2786" s="32">
        <v>2.0</v>
      </c>
      <c r="R2786" s="33"/>
      <c r="S2786" s="34"/>
      <c r="T2786" s="34"/>
      <c r="U2786" s="34"/>
      <c r="V2786" s="34"/>
      <c r="W2786" s="34"/>
      <c r="X2786" s="34"/>
      <c r="Y2786" s="45"/>
      <c r="Z2786" s="45"/>
      <c r="AA2786" s="45"/>
      <c r="AB2786" s="45"/>
      <c r="AC2786" s="45"/>
      <c r="AD2786" s="45"/>
      <c r="AE2786" s="45"/>
      <c r="AF2786" s="45"/>
      <c r="AG2786" s="45"/>
      <c r="AH2786" s="45"/>
      <c r="AI2786" s="45"/>
      <c r="AJ2786" s="45"/>
      <c r="AK2786" s="45"/>
      <c r="AL2786" s="45"/>
    </row>
    <row r="2787" ht="15.75" customHeight="1">
      <c r="A2787" s="27">
        <f t="shared" si="21"/>
        <v>1666</v>
      </c>
      <c r="B2787" s="28" t="s">
        <v>9735</v>
      </c>
      <c r="C2787" s="102" t="s">
        <v>9736</v>
      </c>
      <c r="D2787" s="30" t="s">
        <v>9737</v>
      </c>
      <c r="E2787" s="28" t="s">
        <v>28</v>
      </c>
      <c r="F2787" s="28" t="s">
        <v>29</v>
      </c>
      <c r="G2787" s="28" t="s">
        <v>30</v>
      </c>
      <c r="H2787" s="28"/>
      <c r="I2787" s="28" t="s">
        <v>30</v>
      </c>
      <c r="J2787" s="28">
        <v>268.0</v>
      </c>
      <c r="K2787" s="28"/>
      <c r="L2787" s="28" t="s">
        <v>9738</v>
      </c>
      <c r="M2787" s="28" t="s">
        <v>151</v>
      </c>
      <c r="N2787" s="28">
        <v>2004.0</v>
      </c>
      <c r="O2787" s="60">
        <v>12.0</v>
      </c>
      <c r="P2787" s="60">
        <v>1.0</v>
      </c>
      <c r="Q2787" s="94">
        <v>1.0</v>
      </c>
      <c r="R2787" s="33"/>
      <c r="S2787" s="34"/>
      <c r="T2787" s="34"/>
      <c r="U2787" s="34"/>
      <c r="V2787" s="34"/>
      <c r="W2787" s="34"/>
      <c r="X2787" s="34"/>
      <c r="Y2787" s="45"/>
      <c r="Z2787" s="45"/>
      <c r="AA2787" s="45"/>
      <c r="AB2787" s="45"/>
      <c r="AC2787" s="45"/>
      <c r="AD2787" s="45"/>
      <c r="AE2787" s="45"/>
      <c r="AF2787" s="45"/>
      <c r="AG2787" s="45"/>
      <c r="AH2787" s="45"/>
      <c r="AI2787" s="45"/>
      <c r="AJ2787" s="45"/>
      <c r="AK2787" s="45"/>
      <c r="AL2787" s="45"/>
    </row>
    <row r="2788" ht="15.75" customHeight="1">
      <c r="A2788" s="27">
        <f t="shared" si="21"/>
        <v>1667</v>
      </c>
      <c r="B2788" s="28" t="s">
        <v>9735</v>
      </c>
      <c r="C2788" s="102" t="s">
        <v>9736</v>
      </c>
      <c r="D2788" s="30" t="s">
        <v>9737</v>
      </c>
      <c r="E2788" s="28" t="s">
        <v>28</v>
      </c>
      <c r="F2788" s="28" t="s">
        <v>29</v>
      </c>
      <c r="G2788" s="28" t="s">
        <v>30</v>
      </c>
      <c r="H2788" s="28"/>
      <c r="I2788" s="28" t="s">
        <v>30</v>
      </c>
      <c r="J2788" s="28">
        <v>268.0</v>
      </c>
      <c r="K2788" s="28"/>
      <c r="L2788" s="28" t="s">
        <v>9738</v>
      </c>
      <c r="M2788" s="28" t="s">
        <v>151</v>
      </c>
      <c r="N2788" s="60">
        <v>1994.0</v>
      </c>
      <c r="O2788" s="60">
        <v>12.0</v>
      </c>
      <c r="P2788" s="60">
        <v>1.0</v>
      </c>
      <c r="Q2788" s="94">
        <v>1.0</v>
      </c>
      <c r="R2788" s="33"/>
      <c r="S2788" s="34"/>
      <c r="T2788" s="34"/>
      <c r="U2788" s="34"/>
      <c r="V2788" s="34"/>
      <c r="W2788" s="34"/>
      <c r="X2788" s="34"/>
      <c r="Y2788" s="45"/>
      <c r="Z2788" s="45"/>
      <c r="AA2788" s="45"/>
      <c r="AB2788" s="45"/>
      <c r="AC2788" s="45"/>
      <c r="AD2788" s="45"/>
      <c r="AE2788" s="45"/>
      <c r="AF2788" s="45"/>
      <c r="AG2788" s="45"/>
      <c r="AH2788" s="45"/>
      <c r="AI2788" s="45"/>
      <c r="AJ2788" s="45"/>
      <c r="AK2788" s="45"/>
      <c r="AL2788" s="45"/>
    </row>
    <row r="2789" ht="15.75" customHeight="1">
      <c r="A2789" s="27">
        <f t="shared" si="21"/>
        <v>1668</v>
      </c>
      <c r="B2789" s="28" t="s">
        <v>9739</v>
      </c>
      <c r="C2789" s="29" t="s">
        <v>9740</v>
      </c>
      <c r="D2789" s="30" t="s">
        <v>9741</v>
      </c>
      <c r="E2789" s="28" t="s">
        <v>223</v>
      </c>
      <c r="F2789" s="28" t="s">
        <v>29</v>
      </c>
      <c r="G2789" s="28" t="s">
        <v>37</v>
      </c>
      <c r="H2789" s="28"/>
      <c r="I2789" s="28" t="s">
        <v>38</v>
      </c>
      <c r="J2789" s="28">
        <v>212.0</v>
      </c>
      <c r="K2789" s="28"/>
      <c r="L2789" s="28" t="s">
        <v>619</v>
      </c>
      <c r="M2789" s="28" t="s">
        <v>54</v>
      </c>
      <c r="N2789" s="28">
        <v>1984.0</v>
      </c>
      <c r="O2789" s="60">
        <v>12.0</v>
      </c>
      <c r="P2789" s="28">
        <v>1.0</v>
      </c>
      <c r="Q2789" s="94">
        <v>1.0</v>
      </c>
      <c r="R2789" s="33"/>
      <c r="S2789" s="34"/>
      <c r="T2789" s="34"/>
      <c r="U2789" s="34"/>
      <c r="V2789" s="34"/>
      <c r="W2789" s="34"/>
      <c r="X2789" s="34"/>
      <c r="Y2789" s="45"/>
      <c r="Z2789" s="45"/>
      <c r="AA2789" s="45"/>
      <c r="AB2789" s="45"/>
      <c r="AC2789" s="45"/>
      <c r="AD2789" s="45"/>
      <c r="AE2789" s="45"/>
      <c r="AF2789" s="45"/>
      <c r="AG2789" s="45"/>
      <c r="AH2789" s="45"/>
      <c r="AI2789" s="45"/>
      <c r="AJ2789" s="45"/>
      <c r="AK2789" s="45"/>
      <c r="AL2789" s="45"/>
    </row>
    <row r="2790" ht="15.75" customHeight="1">
      <c r="A2790" s="27">
        <f t="shared" si="21"/>
        <v>1669</v>
      </c>
      <c r="B2790" s="28" t="s">
        <v>9742</v>
      </c>
      <c r="C2790" s="43" t="s">
        <v>9743</v>
      </c>
      <c r="D2790" s="30" t="s">
        <v>9744</v>
      </c>
      <c r="E2790" s="28" t="s">
        <v>144</v>
      </c>
      <c r="F2790" s="28" t="s">
        <v>29</v>
      </c>
      <c r="G2790" s="28" t="s">
        <v>30</v>
      </c>
      <c r="H2790" s="28"/>
      <c r="I2790" s="28" t="s">
        <v>30</v>
      </c>
      <c r="J2790" s="28">
        <f>462+24</f>
        <v>486</v>
      </c>
      <c r="K2790" s="28"/>
      <c r="L2790" s="28" t="s">
        <v>9745</v>
      </c>
      <c r="M2790" s="28" t="s">
        <v>9719</v>
      </c>
      <c r="N2790" s="28">
        <v>2011.0</v>
      </c>
      <c r="O2790" s="28">
        <v>12.0</v>
      </c>
      <c r="P2790" s="28">
        <v>1.0</v>
      </c>
      <c r="Q2790" s="32">
        <v>1.0</v>
      </c>
      <c r="R2790" s="33"/>
      <c r="S2790" s="34"/>
      <c r="T2790" s="34"/>
      <c r="U2790" s="34"/>
      <c r="V2790" s="34"/>
      <c r="W2790" s="34"/>
      <c r="X2790" s="34"/>
      <c r="Y2790" s="45"/>
      <c r="Z2790" s="45"/>
      <c r="AA2790" s="45"/>
      <c r="AB2790" s="45"/>
      <c r="AC2790" s="45"/>
      <c r="AD2790" s="45"/>
      <c r="AE2790" s="45"/>
      <c r="AF2790" s="45"/>
      <c r="AG2790" s="45"/>
      <c r="AH2790" s="45"/>
      <c r="AI2790" s="45"/>
      <c r="AJ2790" s="45"/>
      <c r="AK2790" s="45"/>
      <c r="AL2790" s="45"/>
    </row>
    <row r="2791" ht="15.75" customHeight="1">
      <c r="A2791" s="27">
        <f t="shared" si="21"/>
        <v>1670</v>
      </c>
      <c r="B2791" s="28" t="s">
        <v>9746</v>
      </c>
      <c r="C2791" s="29" t="s">
        <v>9747</v>
      </c>
      <c r="D2791" s="30" t="s">
        <v>9748</v>
      </c>
      <c r="E2791" s="28" t="s">
        <v>144</v>
      </c>
      <c r="F2791" s="28" t="s">
        <v>29</v>
      </c>
      <c r="G2791" s="28" t="s">
        <v>37</v>
      </c>
      <c r="H2791" s="28"/>
      <c r="I2791" s="28" t="s">
        <v>38</v>
      </c>
      <c r="J2791" s="28">
        <f>345+36</f>
        <v>381</v>
      </c>
      <c r="K2791" s="28"/>
      <c r="L2791" s="28" t="s">
        <v>9749</v>
      </c>
      <c r="M2791" s="28" t="s">
        <v>9750</v>
      </c>
      <c r="N2791" s="28">
        <v>2006.0</v>
      </c>
      <c r="O2791" s="28">
        <v>12.0</v>
      </c>
      <c r="P2791" s="28">
        <v>1.0</v>
      </c>
      <c r="Q2791" s="32">
        <v>1.0</v>
      </c>
      <c r="R2791" s="33"/>
      <c r="S2791" s="34"/>
      <c r="T2791" s="34"/>
      <c r="U2791" s="34"/>
      <c r="V2791" s="34"/>
      <c r="W2791" s="34"/>
      <c r="X2791" s="34"/>
      <c r="Y2791" s="45"/>
      <c r="Z2791" s="45"/>
      <c r="AA2791" s="45"/>
      <c r="AB2791" s="45"/>
      <c r="AC2791" s="45"/>
      <c r="AD2791" s="45"/>
      <c r="AE2791" s="45"/>
      <c r="AF2791" s="45"/>
      <c r="AG2791" s="45"/>
      <c r="AH2791" s="45"/>
      <c r="AI2791" s="45"/>
      <c r="AJ2791" s="45"/>
      <c r="AK2791" s="45"/>
      <c r="AL2791" s="45"/>
    </row>
    <row r="2792" ht="15.75" customHeight="1">
      <c r="A2792" s="27">
        <f t="shared" si="21"/>
        <v>1671</v>
      </c>
      <c r="B2792" s="28" t="s">
        <v>9751</v>
      </c>
      <c r="C2792" s="43" t="s">
        <v>9752</v>
      </c>
      <c r="D2792" s="30" t="s">
        <v>9753</v>
      </c>
      <c r="E2792" s="28" t="s">
        <v>302</v>
      </c>
      <c r="F2792" s="28" t="s">
        <v>29</v>
      </c>
      <c r="G2792" s="28" t="s">
        <v>37</v>
      </c>
      <c r="H2792" s="28"/>
      <c r="I2792" s="28" t="s">
        <v>38</v>
      </c>
      <c r="J2792" s="28">
        <v>198.0</v>
      </c>
      <c r="K2792" s="28"/>
      <c r="L2792" s="28" t="s">
        <v>71</v>
      </c>
      <c r="M2792" s="28" t="s">
        <v>72</v>
      </c>
      <c r="N2792" s="28">
        <v>2006.0</v>
      </c>
      <c r="O2792" s="60">
        <v>12.0</v>
      </c>
      <c r="P2792" s="28">
        <v>1.0</v>
      </c>
      <c r="Q2792" s="32">
        <v>1.0</v>
      </c>
      <c r="R2792" s="33"/>
      <c r="S2792" s="185"/>
      <c r="T2792" s="185"/>
      <c r="U2792" s="185"/>
      <c r="V2792" s="185"/>
      <c r="W2792" s="185"/>
      <c r="X2792" s="185"/>
      <c r="Y2792" s="45"/>
      <c r="Z2792" s="45"/>
      <c r="AA2792" s="45"/>
      <c r="AB2792" s="45"/>
      <c r="AC2792" s="45"/>
      <c r="AD2792" s="45"/>
      <c r="AE2792" s="45"/>
      <c r="AF2792" s="45"/>
      <c r="AG2792" s="45"/>
      <c r="AH2792" s="45"/>
      <c r="AI2792" s="45"/>
      <c r="AJ2792" s="45"/>
      <c r="AK2792" s="45"/>
      <c r="AL2792" s="45"/>
    </row>
    <row r="2793" ht="15.75" customHeight="1">
      <c r="A2793" s="27">
        <f t="shared" si="21"/>
        <v>1672</v>
      </c>
      <c r="B2793" s="28" t="s">
        <v>9754</v>
      </c>
      <c r="C2793" s="43" t="s">
        <v>9755</v>
      </c>
      <c r="D2793" s="30" t="s">
        <v>9756</v>
      </c>
      <c r="E2793" s="28" t="s">
        <v>144</v>
      </c>
      <c r="F2793" s="28" t="s">
        <v>29</v>
      </c>
      <c r="G2793" s="28" t="s">
        <v>30</v>
      </c>
      <c r="H2793" s="28"/>
      <c r="I2793" s="28" t="s">
        <v>30</v>
      </c>
      <c r="J2793" s="28">
        <f>176</f>
        <v>176</v>
      </c>
      <c r="K2793" s="28"/>
      <c r="L2793" s="28" t="s">
        <v>9757</v>
      </c>
      <c r="M2793" s="28" t="s">
        <v>9758</v>
      </c>
      <c r="N2793" s="28">
        <v>2006.0</v>
      </c>
      <c r="O2793" s="28">
        <v>12.0</v>
      </c>
      <c r="P2793" s="28">
        <v>1.0</v>
      </c>
      <c r="Q2793" s="94">
        <v>1.0</v>
      </c>
      <c r="R2793" s="33"/>
      <c r="S2793" s="34"/>
      <c r="T2793" s="34"/>
      <c r="U2793" s="34"/>
      <c r="V2793" s="34"/>
      <c r="W2793" s="34"/>
      <c r="X2793" s="34"/>
      <c r="Y2793" s="45"/>
      <c r="Z2793" s="45"/>
      <c r="AA2793" s="45"/>
      <c r="AB2793" s="45"/>
      <c r="AC2793" s="45"/>
      <c r="AD2793" s="45"/>
      <c r="AE2793" s="45"/>
      <c r="AF2793" s="45"/>
      <c r="AG2793" s="45"/>
      <c r="AH2793" s="45"/>
      <c r="AI2793" s="45"/>
      <c r="AJ2793" s="45"/>
      <c r="AK2793" s="45"/>
      <c r="AL2793" s="45"/>
    </row>
    <row r="2794" ht="15.75" customHeight="1">
      <c r="A2794" s="27">
        <f t="shared" si="21"/>
        <v>1673</v>
      </c>
      <c r="B2794" s="28" t="s">
        <v>9759</v>
      </c>
      <c r="C2794" s="102" t="s">
        <v>9760</v>
      </c>
      <c r="D2794" s="30" t="s">
        <v>9761</v>
      </c>
      <c r="E2794" s="28" t="s">
        <v>28</v>
      </c>
      <c r="F2794" s="28" t="s">
        <v>29</v>
      </c>
      <c r="G2794" s="28" t="s">
        <v>37</v>
      </c>
      <c r="H2794" s="28"/>
      <c r="I2794" s="28" t="s">
        <v>38</v>
      </c>
      <c r="J2794" s="28">
        <v>159.0</v>
      </c>
      <c r="K2794" s="28"/>
      <c r="L2794" s="28" t="s">
        <v>9762</v>
      </c>
      <c r="M2794" s="28" t="s">
        <v>6983</v>
      </c>
      <c r="N2794" s="28">
        <v>1986.0</v>
      </c>
      <c r="O2794" s="62" t="s">
        <v>205</v>
      </c>
      <c r="P2794" s="31">
        <v>2.0</v>
      </c>
      <c r="Q2794" s="37">
        <v>2.0</v>
      </c>
      <c r="R2794" s="33"/>
      <c r="S2794" s="34"/>
      <c r="T2794" s="34"/>
      <c r="U2794" s="34"/>
      <c r="V2794" s="34"/>
      <c r="W2794" s="34"/>
      <c r="X2794" s="34"/>
      <c r="Y2794" s="74"/>
      <c r="Z2794" s="74"/>
      <c r="AA2794" s="74"/>
      <c r="AB2794" s="74"/>
      <c r="AC2794" s="74"/>
      <c r="AD2794" s="74"/>
      <c r="AE2794" s="74"/>
      <c r="AF2794" s="74"/>
      <c r="AG2794" s="74"/>
      <c r="AH2794" s="74"/>
      <c r="AI2794" s="74"/>
      <c r="AJ2794" s="74"/>
      <c r="AK2794" s="74"/>
      <c r="AL2794" s="74"/>
    </row>
    <row r="2795" ht="15.75" customHeight="1">
      <c r="A2795" s="27">
        <f t="shared" si="21"/>
        <v>1674</v>
      </c>
      <c r="B2795" s="28" t="s">
        <v>9763</v>
      </c>
      <c r="C2795" s="43" t="s">
        <v>9764</v>
      </c>
      <c r="D2795" s="30" t="s">
        <v>9765</v>
      </c>
      <c r="E2795" s="28" t="s">
        <v>144</v>
      </c>
      <c r="F2795" s="28" t="s">
        <v>29</v>
      </c>
      <c r="G2795" s="28" t="s">
        <v>30</v>
      </c>
      <c r="H2795" s="28"/>
      <c r="I2795" s="28" t="s">
        <v>30</v>
      </c>
      <c r="J2795" s="28">
        <v>222.0</v>
      </c>
      <c r="K2795" s="28"/>
      <c r="L2795" s="28" t="s">
        <v>9766</v>
      </c>
      <c r="M2795" s="28" t="s">
        <v>4762</v>
      </c>
      <c r="N2795" s="28">
        <v>1984.0</v>
      </c>
      <c r="O2795" s="60">
        <v>12.0</v>
      </c>
      <c r="P2795" s="28">
        <v>1.0</v>
      </c>
      <c r="Q2795" s="32">
        <v>1.0</v>
      </c>
      <c r="R2795" s="33"/>
      <c r="S2795" s="34"/>
      <c r="T2795" s="34"/>
      <c r="U2795" s="34"/>
      <c r="V2795" s="34"/>
      <c r="W2795" s="34"/>
      <c r="X2795" s="34"/>
      <c r="Y2795" s="45"/>
      <c r="Z2795" s="45"/>
      <c r="AA2795" s="45"/>
      <c r="AB2795" s="45"/>
      <c r="AC2795" s="45"/>
      <c r="AD2795" s="45"/>
      <c r="AE2795" s="45"/>
      <c r="AF2795" s="45"/>
      <c r="AG2795" s="45"/>
      <c r="AH2795" s="45"/>
      <c r="AI2795" s="45"/>
      <c r="AJ2795" s="45"/>
      <c r="AK2795" s="45"/>
      <c r="AL2795" s="45"/>
    </row>
    <row r="2796" ht="15.75" customHeight="1">
      <c r="A2796" s="27">
        <f t="shared" si="21"/>
        <v>1675</v>
      </c>
      <c r="B2796" s="28" t="s">
        <v>9767</v>
      </c>
      <c r="C2796" s="29" t="s">
        <v>9768</v>
      </c>
      <c r="D2796" s="120" t="s">
        <v>9769</v>
      </c>
      <c r="E2796" s="28" t="s">
        <v>28</v>
      </c>
      <c r="F2796" s="28" t="s">
        <v>29</v>
      </c>
      <c r="G2796" s="60" t="s">
        <v>38</v>
      </c>
      <c r="H2796" s="28"/>
      <c r="I2796" s="28" t="s">
        <v>38</v>
      </c>
      <c r="J2796" s="28">
        <v>238.0</v>
      </c>
      <c r="K2796" s="28"/>
      <c r="L2796" s="28" t="s">
        <v>9770</v>
      </c>
      <c r="M2796" s="28" t="s">
        <v>5903</v>
      </c>
      <c r="N2796" s="28">
        <v>1970.0</v>
      </c>
      <c r="O2796" s="60">
        <v>12.0</v>
      </c>
      <c r="P2796" s="28">
        <v>1.0</v>
      </c>
      <c r="Q2796" s="32">
        <v>1.0</v>
      </c>
      <c r="R2796" s="33"/>
      <c r="S2796" s="116"/>
      <c r="T2796" s="116"/>
      <c r="U2796" s="116"/>
      <c r="V2796" s="116"/>
      <c r="W2796" s="116"/>
      <c r="X2796" s="116"/>
      <c r="Y2796" s="45"/>
      <c r="Z2796" s="45"/>
      <c r="AA2796" s="45"/>
      <c r="AB2796" s="45"/>
      <c r="AC2796" s="45"/>
      <c r="AD2796" s="45"/>
      <c r="AE2796" s="45"/>
      <c r="AF2796" s="45"/>
      <c r="AG2796" s="45"/>
      <c r="AH2796" s="45"/>
      <c r="AI2796" s="45"/>
      <c r="AJ2796" s="45"/>
      <c r="AK2796" s="45"/>
      <c r="AL2796" s="45"/>
    </row>
    <row r="2797" ht="15.75" customHeight="1">
      <c r="A2797" s="27">
        <f t="shared" si="21"/>
        <v>1676</v>
      </c>
      <c r="B2797" s="28" t="s">
        <v>9771</v>
      </c>
      <c r="C2797" s="102" t="s">
        <v>9772</v>
      </c>
      <c r="D2797" s="30" t="s">
        <v>9773</v>
      </c>
      <c r="E2797" s="28" t="s">
        <v>28</v>
      </c>
      <c r="F2797" s="28" t="s">
        <v>29</v>
      </c>
      <c r="G2797" s="28" t="s">
        <v>37</v>
      </c>
      <c r="H2797" s="28"/>
      <c r="I2797" s="28" t="s">
        <v>38</v>
      </c>
      <c r="J2797" s="28">
        <v>113.0</v>
      </c>
      <c r="K2797" s="28"/>
      <c r="L2797" s="28" t="s">
        <v>9774</v>
      </c>
      <c r="M2797" s="28" t="s">
        <v>335</v>
      </c>
      <c r="N2797" s="28">
        <v>1977.0</v>
      </c>
      <c r="O2797" s="60">
        <v>12.0</v>
      </c>
      <c r="P2797" s="28">
        <v>1.0</v>
      </c>
      <c r="Q2797" s="32">
        <v>1.0</v>
      </c>
      <c r="R2797" s="33"/>
      <c r="S2797" s="34"/>
      <c r="T2797" s="34"/>
      <c r="U2797" s="34"/>
      <c r="V2797" s="34"/>
      <c r="W2797" s="34"/>
      <c r="X2797" s="34"/>
      <c r="Y2797" s="45"/>
      <c r="Z2797" s="45"/>
      <c r="AA2797" s="45"/>
      <c r="AB2797" s="45"/>
      <c r="AC2797" s="45"/>
      <c r="AD2797" s="45"/>
      <c r="AE2797" s="45"/>
      <c r="AF2797" s="45"/>
      <c r="AG2797" s="45"/>
      <c r="AH2797" s="45"/>
      <c r="AI2797" s="45"/>
      <c r="AJ2797" s="45"/>
      <c r="AK2797" s="45"/>
      <c r="AL2797" s="45"/>
    </row>
    <row r="2798" ht="15.75" customHeight="1">
      <c r="A2798" s="27">
        <f t="shared" si="21"/>
        <v>1677</v>
      </c>
      <c r="B2798" s="28" t="s">
        <v>9775</v>
      </c>
      <c r="C2798" s="29" t="s">
        <v>9776</v>
      </c>
      <c r="D2798" s="30" t="s">
        <v>9777</v>
      </c>
      <c r="E2798" s="28" t="s">
        <v>28</v>
      </c>
      <c r="F2798" s="28" t="s">
        <v>29</v>
      </c>
      <c r="G2798" s="28" t="s">
        <v>30</v>
      </c>
      <c r="H2798" s="28"/>
      <c r="I2798" s="28" t="s">
        <v>30</v>
      </c>
      <c r="J2798" s="28">
        <v>112.0</v>
      </c>
      <c r="K2798" s="28"/>
      <c r="L2798" s="28" t="s">
        <v>9778</v>
      </c>
      <c r="M2798" s="28" t="s">
        <v>4877</v>
      </c>
      <c r="N2798" s="28">
        <v>2002.0</v>
      </c>
      <c r="O2798" s="60">
        <v>12.0</v>
      </c>
      <c r="P2798" s="28">
        <v>1.0</v>
      </c>
      <c r="Q2798" s="32">
        <v>1.0</v>
      </c>
      <c r="R2798" s="33"/>
      <c r="S2798" s="34"/>
      <c r="T2798" s="34"/>
      <c r="U2798" s="34"/>
      <c r="V2798" s="34"/>
      <c r="W2798" s="34"/>
      <c r="X2798" s="34"/>
      <c r="Y2798" s="45"/>
      <c r="Z2798" s="45"/>
      <c r="AA2798" s="45"/>
      <c r="AB2798" s="45"/>
      <c r="AC2798" s="45"/>
      <c r="AD2798" s="45"/>
      <c r="AE2798" s="45"/>
      <c r="AF2798" s="45"/>
      <c r="AG2798" s="45"/>
      <c r="AH2798" s="45"/>
      <c r="AI2798" s="45"/>
      <c r="AJ2798" s="45"/>
      <c r="AK2798" s="45"/>
      <c r="AL2798" s="45"/>
    </row>
    <row r="2799" ht="15.75" customHeight="1">
      <c r="A2799" s="27">
        <f t="shared" si="21"/>
        <v>1678</v>
      </c>
      <c r="B2799" s="28" t="s">
        <v>9779</v>
      </c>
      <c r="C2799" s="43" t="s">
        <v>9780</v>
      </c>
      <c r="D2799" s="30" t="s">
        <v>9781</v>
      </c>
      <c r="E2799" s="28" t="s">
        <v>28</v>
      </c>
      <c r="F2799" s="28" t="s">
        <v>29</v>
      </c>
      <c r="G2799" s="28" t="s">
        <v>37</v>
      </c>
      <c r="H2799" s="28"/>
      <c r="I2799" s="28" t="s">
        <v>38</v>
      </c>
      <c r="J2799" s="28">
        <v>191.0</v>
      </c>
      <c r="K2799" s="28"/>
      <c r="L2799" s="28" t="s">
        <v>9782</v>
      </c>
      <c r="M2799" s="28" t="s">
        <v>6983</v>
      </c>
      <c r="N2799" s="28">
        <v>1982.0</v>
      </c>
      <c r="O2799" s="62" t="s">
        <v>205</v>
      </c>
      <c r="P2799" s="28">
        <v>1.0</v>
      </c>
      <c r="Q2799" s="32">
        <v>1.0</v>
      </c>
      <c r="R2799" s="33"/>
      <c r="S2799" s="34"/>
      <c r="T2799" s="34"/>
      <c r="U2799" s="34"/>
      <c r="V2799" s="34"/>
      <c r="W2799" s="34"/>
      <c r="X2799" s="34"/>
      <c r="Y2799" s="74"/>
      <c r="Z2799" s="74"/>
      <c r="AA2799" s="74"/>
      <c r="AB2799" s="74"/>
      <c r="AC2799" s="74"/>
      <c r="AD2799" s="74"/>
      <c r="AE2799" s="74"/>
      <c r="AF2799" s="74"/>
      <c r="AG2799" s="74"/>
      <c r="AH2799" s="74"/>
      <c r="AI2799" s="74"/>
      <c r="AJ2799" s="74"/>
      <c r="AK2799" s="74"/>
      <c r="AL2799" s="74"/>
    </row>
    <row r="2800" ht="15.75" customHeight="1">
      <c r="A2800" s="27">
        <f t="shared" si="21"/>
        <v>1679</v>
      </c>
      <c r="B2800" s="60" t="s">
        <v>9783</v>
      </c>
      <c r="C2800" s="48" t="s">
        <v>9784</v>
      </c>
      <c r="D2800" s="30" t="s">
        <v>9785</v>
      </c>
      <c r="E2800" s="28" t="s">
        <v>302</v>
      </c>
      <c r="F2800" s="28" t="s">
        <v>740</v>
      </c>
      <c r="G2800" s="28" t="s">
        <v>30</v>
      </c>
      <c r="H2800" s="28"/>
      <c r="I2800" s="28" t="s">
        <v>30</v>
      </c>
      <c r="J2800" s="28">
        <v>64.0</v>
      </c>
      <c r="K2800" s="28"/>
      <c r="L2800" s="28" t="s">
        <v>9786</v>
      </c>
      <c r="M2800" s="28" t="s">
        <v>151</v>
      </c>
      <c r="N2800" s="31">
        <v>1983.0</v>
      </c>
      <c r="O2800" s="62" t="s">
        <v>205</v>
      </c>
      <c r="P2800" s="28">
        <v>1.0</v>
      </c>
      <c r="Q2800" s="32">
        <v>1.0</v>
      </c>
      <c r="R2800" s="33"/>
      <c r="S2800" s="34"/>
      <c r="T2800" s="34"/>
      <c r="U2800" s="34"/>
      <c r="V2800" s="34"/>
      <c r="W2800" s="34"/>
      <c r="X2800" s="34"/>
      <c r="Y2800" s="45"/>
      <c r="Z2800" s="45"/>
      <c r="AA2800" s="45"/>
      <c r="AB2800" s="45"/>
      <c r="AC2800" s="45"/>
      <c r="AD2800" s="45"/>
      <c r="AE2800" s="45"/>
      <c r="AF2800" s="45"/>
      <c r="AG2800" s="45"/>
      <c r="AH2800" s="45"/>
      <c r="AI2800" s="45"/>
      <c r="AJ2800" s="45"/>
      <c r="AK2800" s="45"/>
      <c r="AL2800" s="45"/>
    </row>
    <row r="2801" ht="15.75" customHeight="1">
      <c r="A2801" s="27"/>
      <c r="B2801" s="60" t="s">
        <v>9787</v>
      </c>
      <c r="C2801" s="48" t="s">
        <v>9784</v>
      </c>
      <c r="D2801" s="30" t="s">
        <v>9785</v>
      </c>
      <c r="E2801" s="28" t="s">
        <v>302</v>
      </c>
      <c r="F2801" s="28" t="s">
        <v>740</v>
      </c>
      <c r="G2801" s="28" t="s">
        <v>30</v>
      </c>
      <c r="H2801" s="28"/>
      <c r="I2801" s="28" t="s">
        <v>30</v>
      </c>
      <c r="J2801" s="28">
        <v>64.0</v>
      </c>
      <c r="K2801" s="28"/>
      <c r="L2801" s="28" t="s">
        <v>9786</v>
      </c>
      <c r="M2801" s="28" t="s">
        <v>151</v>
      </c>
      <c r="N2801" s="31">
        <v>1997.0</v>
      </c>
      <c r="O2801" s="62" t="s">
        <v>205</v>
      </c>
      <c r="P2801" s="28">
        <v>1.0</v>
      </c>
      <c r="Q2801" s="32">
        <v>1.0</v>
      </c>
      <c r="R2801" s="33"/>
      <c r="S2801" s="185"/>
      <c r="T2801" s="185"/>
      <c r="U2801" s="185"/>
      <c r="V2801" s="185"/>
      <c r="W2801" s="185"/>
      <c r="X2801" s="185"/>
      <c r="Y2801" s="45"/>
      <c r="Z2801" s="45"/>
      <c r="AA2801" s="45"/>
      <c r="AB2801" s="45"/>
      <c r="AC2801" s="45"/>
      <c r="AD2801" s="45"/>
      <c r="AE2801" s="45"/>
      <c r="AF2801" s="45"/>
      <c r="AG2801" s="45"/>
      <c r="AH2801" s="45"/>
      <c r="AI2801" s="45"/>
      <c r="AJ2801" s="45"/>
      <c r="AK2801" s="45"/>
      <c r="AL2801" s="45"/>
    </row>
    <row r="2802" ht="15.75" customHeight="1">
      <c r="A2802" s="27">
        <f>A2800+1</f>
        <v>1680</v>
      </c>
      <c r="B2802" s="28" t="s">
        <v>31</v>
      </c>
      <c r="C2802" s="29" t="s">
        <v>9784</v>
      </c>
      <c r="D2802" s="30" t="s">
        <v>9788</v>
      </c>
      <c r="E2802" s="28" t="s">
        <v>28</v>
      </c>
      <c r="F2802" s="28" t="s">
        <v>29</v>
      </c>
      <c r="G2802" s="28" t="s">
        <v>30</v>
      </c>
      <c r="H2802" s="28"/>
      <c r="I2802" s="28" t="s">
        <v>30</v>
      </c>
      <c r="J2802" s="28">
        <v>64.0</v>
      </c>
      <c r="K2802" s="28"/>
      <c r="L2802" s="28" t="s">
        <v>9789</v>
      </c>
      <c r="M2802" s="28" t="s">
        <v>151</v>
      </c>
      <c r="N2802" s="28">
        <v>1978.0</v>
      </c>
      <c r="O2802" s="62" t="s">
        <v>205</v>
      </c>
      <c r="P2802" s="28">
        <v>1.0</v>
      </c>
      <c r="Q2802" s="32">
        <v>1.0</v>
      </c>
      <c r="R2802" s="33"/>
      <c r="S2802" s="34"/>
      <c r="T2802" s="34"/>
      <c r="U2802" s="34"/>
      <c r="V2802" s="34"/>
      <c r="W2802" s="34"/>
      <c r="X2802" s="34"/>
      <c r="Y2802" s="45"/>
      <c r="Z2802" s="45"/>
      <c r="AA2802" s="45"/>
      <c r="AB2802" s="45"/>
      <c r="AC2802" s="45"/>
      <c r="AD2802" s="45"/>
      <c r="AE2802" s="45"/>
      <c r="AF2802" s="45"/>
      <c r="AG2802" s="45"/>
      <c r="AH2802" s="45"/>
      <c r="AI2802" s="45"/>
      <c r="AJ2802" s="45"/>
      <c r="AK2802" s="45"/>
      <c r="AL2802" s="45"/>
    </row>
    <row r="2803" ht="15.75" customHeight="1">
      <c r="A2803" s="27">
        <f t="shared" ref="A2803:A3107" si="23">A2802+1</f>
        <v>1681</v>
      </c>
      <c r="B2803" s="28" t="s">
        <v>3187</v>
      </c>
      <c r="C2803" s="29" t="s">
        <v>9784</v>
      </c>
      <c r="D2803" s="30" t="s">
        <v>9790</v>
      </c>
      <c r="E2803" s="28" t="s">
        <v>28</v>
      </c>
      <c r="F2803" s="28" t="s">
        <v>29</v>
      </c>
      <c r="G2803" s="28" t="s">
        <v>30</v>
      </c>
      <c r="H2803" s="28"/>
      <c r="I2803" s="28" t="s">
        <v>30</v>
      </c>
      <c r="J2803" s="28">
        <v>63.0</v>
      </c>
      <c r="K2803" s="28"/>
      <c r="L2803" s="28" t="s">
        <v>9791</v>
      </c>
      <c r="M2803" s="28" t="s">
        <v>151</v>
      </c>
      <c r="N2803" s="28">
        <v>2012.0</v>
      </c>
      <c r="O2803" s="62" t="s">
        <v>205</v>
      </c>
      <c r="P2803" s="28">
        <v>1.0</v>
      </c>
      <c r="Q2803" s="32">
        <v>1.0</v>
      </c>
      <c r="R2803" s="33"/>
      <c r="S2803" s="34"/>
      <c r="T2803" s="34"/>
      <c r="U2803" s="34"/>
      <c r="V2803" s="34"/>
      <c r="W2803" s="34"/>
      <c r="X2803" s="34"/>
      <c r="Y2803" s="45"/>
      <c r="Z2803" s="45"/>
      <c r="AA2803" s="45"/>
      <c r="AB2803" s="45"/>
      <c r="AC2803" s="45"/>
      <c r="AD2803" s="45"/>
      <c r="AE2803" s="45"/>
      <c r="AF2803" s="45"/>
      <c r="AG2803" s="45"/>
      <c r="AH2803" s="45"/>
      <c r="AI2803" s="45"/>
      <c r="AJ2803" s="45"/>
      <c r="AK2803" s="45"/>
      <c r="AL2803" s="45"/>
    </row>
    <row r="2804" ht="15.75" customHeight="1">
      <c r="A2804" s="27">
        <f t="shared" si="23"/>
        <v>1682</v>
      </c>
      <c r="B2804" s="28" t="s">
        <v>9792</v>
      </c>
      <c r="C2804" s="43" t="s">
        <v>9793</v>
      </c>
      <c r="D2804" s="30" t="s">
        <v>9794</v>
      </c>
      <c r="E2804" s="28" t="s">
        <v>28</v>
      </c>
      <c r="F2804" s="28" t="s">
        <v>29</v>
      </c>
      <c r="G2804" s="28" t="s">
        <v>38</v>
      </c>
      <c r="H2804" s="28"/>
      <c r="I2804" s="28" t="s">
        <v>38</v>
      </c>
      <c r="J2804" s="28">
        <v>132.0</v>
      </c>
      <c r="K2804" s="28"/>
      <c r="L2804" s="28" t="s">
        <v>311</v>
      </c>
      <c r="M2804" s="28" t="s">
        <v>219</v>
      </c>
      <c r="N2804" s="28">
        <v>1983.0</v>
      </c>
      <c r="O2804" s="60">
        <v>12.0</v>
      </c>
      <c r="P2804" s="28">
        <v>1.0</v>
      </c>
      <c r="Q2804" s="32">
        <v>1.0</v>
      </c>
      <c r="R2804" s="33"/>
      <c r="S2804" s="34"/>
      <c r="T2804" s="34"/>
      <c r="U2804" s="34"/>
      <c r="V2804" s="34"/>
      <c r="W2804" s="34"/>
      <c r="X2804" s="34"/>
      <c r="Y2804" s="74"/>
      <c r="Z2804" s="74"/>
      <c r="AA2804" s="74"/>
      <c r="AB2804" s="74"/>
      <c r="AC2804" s="74"/>
      <c r="AD2804" s="74"/>
      <c r="AE2804" s="74"/>
      <c r="AF2804" s="74"/>
      <c r="AG2804" s="74"/>
      <c r="AH2804" s="74"/>
      <c r="AI2804" s="74"/>
      <c r="AJ2804" s="74"/>
      <c r="AK2804" s="74"/>
      <c r="AL2804" s="74"/>
    </row>
    <row r="2805" ht="15.75" customHeight="1">
      <c r="A2805" s="27">
        <f t="shared" si="23"/>
        <v>1683</v>
      </c>
      <c r="B2805" s="28" t="s">
        <v>9795</v>
      </c>
      <c r="C2805" s="43" t="s">
        <v>9796</v>
      </c>
      <c r="D2805" s="30" t="s">
        <v>9797</v>
      </c>
      <c r="E2805" s="28" t="s">
        <v>302</v>
      </c>
      <c r="F2805" s="28" t="s">
        <v>29</v>
      </c>
      <c r="G2805" s="28" t="s">
        <v>30</v>
      </c>
      <c r="H2805" s="28"/>
      <c r="I2805" s="28" t="s">
        <v>30</v>
      </c>
      <c r="J2805" s="28">
        <f>144+8</f>
        <v>152</v>
      </c>
      <c r="K2805" s="28"/>
      <c r="L2805" s="28" t="s">
        <v>145</v>
      </c>
      <c r="M2805" s="28" t="s">
        <v>151</v>
      </c>
      <c r="N2805" s="28">
        <v>2012.0</v>
      </c>
      <c r="O2805" s="28">
        <v>12.0</v>
      </c>
      <c r="P2805" s="28">
        <v>1.0</v>
      </c>
      <c r="Q2805" s="94">
        <v>1.0</v>
      </c>
      <c r="R2805" s="33"/>
      <c r="S2805" s="34"/>
      <c r="T2805" s="34"/>
      <c r="U2805" s="34"/>
      <c r="V2805" s="34"/>
      <c r="W2805" s="34"/>
      <c r="X2805" s="34"/>
      <c r="Y2805" s="45"/>
      <c r="Z2805" s="45"/>
      <c r="AA2805" s="45"/>
      <c r="AB2805" s="45"/>
      <c r="AC2805" s="45"/>
      <c r="AD2805" s="45"/>
      <c r="AE2805" s="45"/>
      <c r="AF2805" s="45"/>
      <c r="AG2805" s="45"/>
      <c r="AH2805" s="45"/>
      <c r="AI2805" s="45"/>
      <c r="AJ2805" s="45"/>
      <c r="AK2805" s="45"/>
      <c r="AL2805" s="45"/>
    </row>
    <row r="2806" ht="15.75" customHeight="1">
      <c r="A2806" s="27">
        <f t="shared" si="23"/>
        <v>1684</v>
      </c>
      <c r="B2806" s="28" t="s">
        <v>9798</v>
      </c>
      <c r="C2806" s="29" t="s">
        <v>9799</v>
      </c>
      <c r="D2806" s="30" t="s">
        <v>9800</v>
      </c>
      <c r="E2806" s="28" t="s">
        <v>28</v>
      </c>
      <c r="F2806" s="28" t="s">
        <v>29</v>
      </c>
      <c r="G2806" s="28" t="s">
        <v>37</v>
      </c>
      <c r="H2806" s="28"/>
      <c r="I2806" s="28" t="s">
        <v>38</v>
      </c>
      <c r="J2806" s="28">
        <v>223.0</v>
      </c>
      <c r="K2806" s="28"/>
      <c r="L2806" s="28" t="s">
        <v>9801</v>
      </c>
      <c r="M2806" s="28" t="s">
        <v>6983</v>
      </c>
      <c r="N2806" s="28">
        <v>1984.0</v>
      </c>
      <c r="O2806" s="62" t="s">
        <v>205</v>
      </c>
      <c r="P2806" s="28">
        <v>1.0</v>
      </c>
      <c r="Q2806" s="32">
        <v>1.0</v>
      </c>
      <c r="R2806" s="33"/>
      <c r="S2806" s="34"/>
      <c r="T2806" s="34"/>
      <c r="U2806" s="34"/>
      <c r="V2806" s="34"/>
      <c r="W2806" s="34"/>
      <c r="X2806" s="34"/>
      <c r="Y2806" s="45"/>
      <c r="Z2806" s="45"/>
      <c r="AA2806" s="45"/>
      <c r="AB2806" s="45"/>
      <c r="AC2806" s="45"/>
      <c r="AD2806" s="45"/>
      <c r="AE2806" s="45"/>
      <c r="AF2806" s="45"/>
      <c r="AG2806" s="45"/>
      <c r="AH2806" s="45"/>
      <c r="AI2806" s="45"/>
      <c r="AJ2806" s="45"/>
      <c r="AK2806" s="45"/>
      <c r="AL2806" s="45"/>
    </row>
    <row r="2807" ht="15.75" customHeight="1">
      <c r="A2807" s="27">
        <f t="shared" si="23"/>
        <v>1685</v>
      </c>
      <c r="B2807" s="28" t="s">
        <v>9802</v>
      </c>
      <c r="C2807" s="29" t="s">
        <v>384</v>
      </c>
      <c r="D2807" s="30" t="s">
        <v>9803</v>
      </c>
      <c r="E2807" s="28" t="s">
        <v>28</v>
      </c>
      <c r="F2807" s="28" t="s">
        <v>29</v>
      </c>
      <c r="G2807" s="28" t="s">
        <v>386</v>
      </c>
      <c r="H2807" s="28"/>
      <c r="I2807" s="28" t="s">
        <v>167</v>
      </c>
      <c r="J2807" s="28">
        <v>291.0</v>
      </c>
      <c r="K2807" s="28"/>
      <c r="L2807" s="28" t="s">
        <v>387</v>
      </c>
      <c r="M2807" s="28" t="s">
        <v>169</v>
      </c>
      <c r="N2807" s="28">
        <v>2018.0</v>
      </c>
      <c r="O2807" s="62" t="s">
        <v>205</v>
      </c>
      <c r="P2807" s="28">
        <v>1.0</v>
      </c>
      <c r="Q2807" s="32">
        <v>1.0</v>
      </c>
      <c r="R2807" s="33"/>
      <c r="S2807" s="34"/>
      <c r="T2807" s="34"/>
      <c r="U2807" s="34"/>
      <c r="V2807" s="34"/>
      <c r="W2807" s="34"/>
      <c r="X2807" s="34"/>
      <c r="Y2807" s="74"/>
      <c r="Z2807" s="74"/>
      <c r="AA2807" s="74"/>
      <c r="AB2807" s="74"/>
      <c r="AC2807" s="74"/>
      <c r="AD2807" s="74"/>
      <c r="AE2807" s="74"/>
      <c r="AF2807" s="74"/>
      <c r="AG2807" s="74"/>
      <c r="AH2807" s="74"/>
      <c r="AI2807" s="74"/>
      <c r="AJ2807" s="74"/>
      <c r="AK2807" s="74"/>
      <c r="AL2807" s="74"/>
    </row>
    <row r="2808" ht="15.75" customHeight="1">
      <c r="A2808" s="27">
        <f t="shared" si="23"/>
        <v>1686</v>
      </c>
      <c r="B2808" s="28"/>
      <c r="C2808" s="43" t="s">
        <v>9804</v>
      </c>
      <c r="D2808" s="30" t="s">
        <v>9785</v>
      </c>
      <c r="E2808" s="28" t="s">
        <v>302</v>
      </c>
      <c r="F2808" s="28" t="s">
        <v>740</v>
      </c>
      <c r="G2808" s="28" t="s">
        <v>30</v>
      </c>
      <c r="H2808" s="28"/>
      <c r="I2808" s="28" t="s">
        <v>30</v>
      </c>
      <c r="J2808" s="28">
        <v>64.0</v>
      </c>
      <c r="K2808" s="28"/>
      <c r="L2808" s="28" t="s">
        <v>9786</v>
      </c>
      <c r="M2808" s="28" t="s">
        <v>151</v>
      </c>
      <c r="N2808" s="28">
        <v>1983.0</v>
      </c>
      <c r="O2808" s="62" t="s">
        <v>205</v>
      </c>
      <c r="P2808" s="28">
        <v>1.0</v>
      </c>
      <c r="Q2808" s="32">
        <v>1.0</v>
      </c>
      <c r="R2808" s="33"/>
      <c r="S2808" s="34"/>
      <c r="T2808" s="34"/>
      <c r="U2808" s="34"/>
      <c r="V2808" s="34"/>
      <c r="W2808" s="34"/>
      <c r="X2808" s="34"/>
      <c r="Y2808" s="45"/>
      <c r="Z2808" s="45"/>
      <c r="AA2808" s="45"/>
      <c r="AB2808" s="45"/>
      <c r="AC2808" s="45"/>
      <c r="AD2808" s="45"/>
      <c r="AE2808" s="45"/>
      <c r="AF2808" s="45"/>
      <c r="AG2808" s="45"/>
      <c r="AH2808" s="45"/>
      <c r="AI2808" s="45"/>
      <c r="AJ2808" s="45"/>
      <c r="AK2808" s="45"/>
      <c r="AL2808" s="45"/>
    </row>
    <row r="2809" ht="15.75" customHeight="1">
      <c r="A2809" s="27">
        <f t="shared" si="23"/>
        <v>1687</v>
      </c>
      <c r="B2809" s="121" t="s">
        <v>838</v>
      </c>
      <c r="C2809" s="121" t="s">
        <v>9805</v>
      </c>
      <c r="D2809" s="125" t="s">
        <v>9806</v>
      </c>
      <c r="E2809" s="121" t="s">
        <v>144</v>
      </c>
      <c r="F2809" s="121" t="s">
        <v>29</v>
      </c>
      <c r="G2809" s="121" t="s">
        <v>37</v>
      </c>
      <c r="H2809" s="83"/>
      <c r="I2809" s="121" t="s">
        <v>38</v>
      </c>
      <c r="J2809" s="121">
        <v>200.0</v>
      </c>
      <c r="K2809" s="83"/>
      <c r="L2809" s="121" t="s">
        <v>619</v>
      </c>
      <c r="M2809" s="121" t="s">
        <v>54</v>
      </c>
      <c r="N2809" s="121">
        <v>1984.0</v>
      </c>
      <c r="O2809" s="124">
        <v>7.0</v>
      </c>
      <c r="P2809" s="124">
        <v>4.0</v>
      </c>
      <c r="Q2809" s="124">
        <v>4.0</v>
      </c>
      <c r="R2809" s="84"/>
      <c r="S2809" s="34"/>
      <c r="T2809" s="34"/>
      <c r="U2809" s="34"/>
      <c r="V2809" s="34"/>
      <c r="W2809" s="34"/>
      <c r="X2809" s="34"/>
      <c r="Y2809" s="45"/>
      <c r="Z2809" s="45"/>
      <c r="AA2809" s="45"/>
      <c r="AB2809" s="45"/>
      <c r="AC2809" s="45"/>
      <c r="AD2809" s="45"/>
      <c r="AE2809" s="45"/>
      <c r="AF2809" s="45"/>
      <c r="AG2809" s="45"/>
      <c r="AH2809" s="45"/>
      <c r="AI2809" s="45"/>
      <c r="AJ2809" s="45"/>
      <c r="AK2809" s="45"/>
      <c r="AL2809" s="45"/>
    </row>
    <row r="2810" ht="15.75" customHeight="1">
      <c r="A2810" s="27">
        <f t="shared" si="23"/>
        <v>1688</v>
      </c>
      <c r="B2810" s="28" t="s">
        <v>9807</v>
      </c>
      <c r="C2810" s="129" t="s">
        <v>9808</v>
      </c>
      <c r="D2810" s="120" t="s">
        <v>9809</v>
      </c>
      <c r="E2810" s="28" t="s">
        <v>28</v>
      </c>
      <c r="F2810" s="28" t="s">
        <v>29</v>
      </c>
      <c r="G2810" s="28" t="s">
        <v>37</v>
      </c>
      <c r="H2810" s="28" t="s">
        <v>31</v>
      </c>
      <c r="I2810" s="28" t="s">
        <v>38</v>
      </c>
      <c r="J2810" s="28">
        <v>207.0</v>
      </c>
      <c r="K2810" s="28" t="s">
        <v>31</v>
      </c>
      <c r="L2810" s="28" t="s">
        <v>9810</v>
      </c>
      <c r="M2810" s="28" t="s">
        <v>6983</v>
      </c>
      <c r="N2810" s="28">
        <v>1984.0</v>
      </c>
      <c r="O2810" s="62" t="s">
        <v>205</v>
      </c>
      <c r="P2810" s="31">
        <v>2.0</v>
      </c>
      <c r="Q2810" s="37">
        <v>2.0</v>
      </c>
      <c r="R2810" s="33"/>
      <c r="S2810" s="116"/>
      <c r="T2810" s="116"/>
      <c r="U2810" s="116"/>
      <c r="V2810" s="116"/>
      <c r="W2810" s="116"/>
      <c r="X2810" s="116"/>
      <c r="Y2810" s="74"/>
      <c r="Z2810" s="74"/>
      <c r="AA2810" s="74"/>
      <c r="AB2810" s="74"/>
      <c r="AC2810" s="74"/>
      <c r="AD2810" s="74"/>
      <c r="AE2810" s="74"/>
      <c r="AF2810" s="74"/>
      <c r="AG2810" s="74"/>
      <c r="AH2810" s="74"/>
      <c r="AI2810" s="74"/>
      <c r="AJ2810" s="74"/>
      <c r="AK2810" s="74"/>
      <c r="AL2810" s="74"/>
    </row>
    <row r="2811" ht="15.75" customHeight="1">
      <c r="A2811" s="27">
        <f t="shared" si="23"/>
        <v>1689</v>
      </c>
      <c r="B2811" s="60" t="s">
        <v>9811</v>
      </c>
      <c r="C2811" s="48" t="s">
        <v>9812</v>
      </c>
      <c r="D2811" s="120" t="s">
        <v>9813</v>
      </c>
      <c r="E2811" s="28" t="s">
        <v>28</v>
      </c>
      <c r="F2811" s="28" t="s">
        <v>29</v>
      </c>
      <c r="G2811" s="28" t="s">
        <v>38</v>
      </c>
      <c r="H2811" s="28"/>
      <c r="I2811" s="28" t="s">
        <v>38</v>
      </c>
      <c r="J2811" s="28">
        <v>406.0</v>
      </c>
      <c r="K2811" s="28"/>
      <c r="L2811" s="28" t="s">
        <v>9814</v>
      </c>
      <c r="M2811" s="28" t="s">
        <v>9815</v>
      </c>
      <c r="N2811" s="28">
        <v>1896.0</v>
      </c>
      <c r="O2811" s="60">
        <v>12.0</v>
      </c>
      <c r="P2811" s="28">
        <v>1.0</v>
      </c>
      <c r="Q2811" s="32">
        <v>1.0</v>
      </c>
      <c r="R2811" s="33"/>
      <c r="S2811" s="34"/>
      <c r="T2811" s="34"/>
      <c r="U2811" s="34"/>
      <c r="V2811" s="34"/>
      <c r="W2811" s="34"/>
      <c r="X2811" s="34"/>
      <c r="Y2811" s="74"/>
      <c r="Z2811" s="74"/>
      <c r="AA2811" s="74"/>
      <c r="AB2811" s="74"/>
      <c r="AC2811" s="74"/>
      <c r="AD2811" s="74"/>
      <c r="AE2811" s="74"/>
      <c r="AF2811" s="74"/>
      <c r="AG2811" s="74"/>
      <c r="AH2811" s="74"/>
      <c r="AI2811" s="74"/>
      <c r="AJ2811" s="74"/>
      <c r="AK2811" s="74"/>
      <c r="AL2811" s="74"/>
    </row>
    <row r="2812" ht="15.75" customHeight="1">
      <c r="A2812" s="27">
        <f t="shared" si="23"/>
        <v>1690</v>
      </c>
      <c r="B2812" s="60" t="s">
        <v>9816</v>
      </c>
      <c r="C2812" s="102" t="s">
        <v>9817</v>
      </c>
      <c r="D2812" s="30" t="s">
        <v>9818</v>
      </c>
      <c r="E2812" s="28" t="s">
        <v>144</v>
      </c>
      <c r="F2812" s="28" t="s">
        <v>29</v>
      </c>
      <c r="G2812" s="28" t="s">
        <v>30</v>
      </c>
      <c r="H2812" s="28"/>
      <c r="I2812" s="28" t="s">
        <v>30</v>
      </c>
      <c r="J2812" s="28">
        <v>79.0</v>
      </c>
      <c r="K2812" s="28"/>
      <c r="L2812" s="28" t="s">
        <v>9819</v>
      </c>
      <c r="M2812" s="28" t="s">
        <v>9820</v>
      </c>
      <c r="N2812" s="28">
        <v>2013.0</v>
      </c>
      <c r="O2812" s="60">
        <v>12.0</v>
      </c>
      <c r="P2812" s="28">
        <v>1.0</v>
      </c>
      <c r="Q2812" s="32">
        <v>1.0</v>
      </c>
      <c r="R2812" s="33"/>
      <c r="S2812" s="40"/>
      <c r="T2812" s="40"/>
      <c r="U2812" s="40"/>
      <c r="V2812" s="40"/>
      <c r="W2812" s="40"/>
      <c r="X2812" s="40"/>
      <c r="Y2812" s="45"/>
      <c r="Z2812" s="45"/>
      <c r="AA2812" s="45"/>
      <c r="AB2812" s="45"/>
      <c r="AC2812" s="45"/>
      <c r="AD2812" s="45"/>
      <c r="AE2812" s="45"/>
      <c r="AF2812" s="45"/>
      <c r="AG2812" s="45"/>
      <c r="AH2812" s="45"/>
      <c r="AI2812" s="45"/>
      <c r="AJ2812" s="45"/>
      <c r="AK2812" s="45"/>
      <c r="AL2812" s="45"/>
    </row>
    <row r="2813" ht="15.75" customHeight="1">
      <c r="A2813" s="27">
        <f t="shared" si="23"/>
        <v>1691</v>
      </c>
      <c r="B2813" s="28" t="s">
        <v>31</v>
      </c>
      <c r="C2813" s="102" t="s">
        <v>9821</v>
      </c>
      <c r="D2813" s="30" t="s">
        <v>9822</v>
      </c>
      <c r="E2813" s="28" t="s">
        <v>28</v>
      </c>
      <c r="F2813" s="28" t="s">
        <v>29</v>
      </c>
      <c r="G2813" s="28" t="s">
        <v>30</v>
      </c>
      <c r="H2813" s="28"/>
      <c r="I2813" s="28" t="s">
        <v>30</v>
      </c>
      <c r="J2813" s="28">
        <v>79.0</v>
      </c>
      <c r="K2813" s="28"/>
      <c r="L2813" s="28" t="s">
        <v>9823</v>
      </c>
      <c r="M2813" s="60" t="s">
        <v>4762</v>
      </c>
      <c r="N2813" s="28">
        <v>2003.0</v>
      </c>
      <c r="O2813" s="62" t="s">
        <v>205</v>
      </c>
      <c r="P2813" s="28">
        <v>2.0</v>
      </c>
      <c r="Q2813" s="32">
        <v>2.0</v>
      </c>
      <c r="R2813" s="33"/>
      <c r="S2813" s="34"/>
      <c r="T2813" s="34"/>
      <c r="U2813" s="34"/>
      <c r="V2813" s="34"/>
      <c r="W2813" s="34"/>
      <c r="X2813" s="34"/>
      <c r="Y2813" s="74"/>
      <c r="Z2813" s="74"/>
      <c r="AA2813" s="74"/>
      <c r="AB2813" s="74"/>
      <c r="AC2813" s="74"/>
      <c r="AD2813" s="74"/>
      <c r="AE2813" s="74"/>
      <c r="AF2813" s="74"/>
      <c r="AG2813" s="74"/>
      <c r="AH2813" s="74"/>
      <c r="AI2813" s="74"/>
      <c r="AJ2813" s="74"/>
      <c r="AK2813" s="74"/>
      <c r="AL2813" s="74"/>
    </row>
    <row r="2814" ht="15.75" customHeight="1">
      <c r="A2814" s="27">
        <f t="shared" si="23"/>
        <v>1692</v>
      </c>
      <c r="B2814" s="28" t="s">
        <v>9824</v>
      </c>
      <c r="C2814" s="48" t="s">
        <v>9825</v>
      </c>
      <c r="D2814" s="30" t="s">
        <v>422</v>
      </c>
      <c r="E2814" s="28" t="s">
        <v>28</v>
      </c>
      <c r="F2814" s="28" t="s">
        <v>29</v>
      </c>
      <c r="G2814" s="28" t="s">
        <v>38</v>
      </c>
      <c r="H2814" s="28"/>
      <c r="I2814" s="28" t="s">
        <v>38</v>
      </c>
      <c r="J2814" s="28">
        <v>144.0</v>
      </c>
      <c r="K2814" s="28"/>
      <c r="L2814" s="28" t="s">
        <v>5099</v>
      </c>
      <c r="M2814" s="28" t="s">
        <v>631</v>
      </c>
      <c r="N2814" s="28">
        <v>1991.0</v>
      </c>
      <c r="O2814" s="60">
        <v>12.0</v>
      </c>
      <c r="P2814" s="28">
        <v>1.0</v>
      </c>
      <c r="Q2814" s="32">
        <v>1.0</v>
      </c>
      <c r="R2814" s="33"/>
      <c r="S2814" s="34"/>
      <c r="T2814" s="34"/>
      <c r="U2814" s="34"/>
      <c r="V2814" s="34"/>
      <c r="W2814" s="34"/>
      <c r="X2814" s="34"/>
      <c r="Y2814" s="74"/>
      <c r="Z2814" s="74"/>
      <c r="AA2814" s="74"/>
      <c r="AB2814" s="74"/>
      <c r="AC2814" s="74"/>
      <c r="AD2814" s="74"/>
      <c r="AE2814" s="74"/>
      <c r="AF2814" s="74"/>
      <c r="AG2814" s="74"/>
      <c r="AH2814" s="74"/>
      <c r="AI2814" s="74"/>
      <c r="AJ2814" s="74"/>
      <c r="AK2814" s="74"/>
      <c r="AL2814" s="74"/>
    </row>
    <row r="2815" ht="15.75" customHeight="1">
      <c r="A2815" s="27">
        <f t="shared" si="23"/>
        <v>1693</v>
      </c>
      <c r="B2815" s="83"/>
      <c r="C2815" s="124" t="s">
        <v>9826</v>
      </c>
      <c r="D2815" s="119" t="s">
        <v>9827</v>
      </c>
      <c r="E2815" s="83"/>
      <c r="F2815" s="121" t="s">
        <v>29</v>
      </c>
      <c r="G2815" s="121" t="s">
        <v>30</v>
      </c>
      <c r="H2815" s="83"/>
      <c r="I2815" s="121" t="s">
        <v>30</v>
      </c>
      <c r="J2815" s="121">
        <v>225.0</v>
      </c>
      <c r="K2815" s="83"/>
      <c r="L2815" s="121" t="s">
        <v>9828</v>
      </c>
      <c r="M2815" s="121" t="s">
        <v>4762</v>
      </c>
      <c r="N2815" s="121">
        <v>2004.0</v>
      </c>
      <c r="O2815" s="124" t="s">
        <v>205</v>
      </c>
      <c r="P2815" s="121">
        <v>1.0</v>
      </c>
      <c r="Q2815" s="121">
        <v>1.0</v>
      </c>
      <c r="R2815" s="84"/>
      <c r="S2815" s="185"/>
      <c r="T2815" s="185"/>
      <c r="U2815" s="185"/>
      <c r="V2815" s="185"/>
      <c r="W2815" s="185"/>
      <c r="X2815" s="185"/>
      <c r="Y2815" s="45"/>
      <c r="Z2815" s="45"/>
      <c r="AA2815" s="45"/>
      <c r="AB2815" s="45"/>
      <c r="AC2815" s="45"/>
      <c r="AD2815" s="45"/>
      <c r="AE2815" s="45"/>
      <c r="AF2815" s="45"/>
      <c r="AG2815" s="45"/>
      <c r="AH2815" s="45"/>
      <c r="AI2815" s="45"/>
      <c r="AJ2815" s="45"/>
      <c r="AK2815" s="45"/>
      <c r="AL2815" s="45"/>
    </row>
    <row r="2816" ht="15.75" customHeight="1">
      <c r="A2816" s="27">
        <f t="shared" si="23"/>
        <v>1694</v>
      </c>
      <c r="B2816" s="28" t="s">
        <v>9829</v>
      </c>
      <c r="C2816" s="48" t="s">
        <v>9830</v>
      </c>
      <c r="D2816" s="30" t="s">
        <v>9831</v>
      </c>
      <c r="E2816" s="28" t="s">
        <v>28</v>
      </c>
      <c r="F2816" s="28" t="s">
        <v>29</v>
      </c>
      <c r="G2816" s="28" t="s">
        <v>30</v>
      </c>
      <c r="H2816" s="28"/>
      <c r="I2816" s="28" t="s">
        <v>30</v>
      </c>
      <c r="J2816" s="28">
        <v>92.0</v>
      </c>
      <c r="K2816" s="28"/>
      <c r="L2816" s="28" t="s">
        <v>9832</v>
      </c>
      <c r="M2816" s="28" t="s">
        <v>151</v>
      </c>
      <c r="N2816" s="28">
        <v>2006.0</v>
      </c>
      <c r="O2816" s="62" t="s">
        <v>205</v>
      </c>
      <c r="P2816" s="28">
        <v>1.0</v>
      </c>
      <c r="Q2816" s="32">
        <v>1.0</v>
      </c>
      <c r="R2816" s="33"/>
      <c r="S2816" s="34"/>
      <c r="T2816" s="34"/>
      <c r="U2816" s="34"/>
      <c r="V2816" s="34"/>
      <c r="W2816" s="34"/>
      <c r="X2816" s="34"/>
      <c r="Y2816" s="74"/>
      <c r="Z2816" s="74"/>
      <c r="AA2816" s="74"/>
      <c r="AB2816" s="74"/>
      <c r="AC2816" s="74"/>
      <c r="AD2816" s="74"/>
      <c r="AE2816" s="74"/>
      <c r="AF2816" s="74"/>
      <c r="AG2816" s="74"/>
      <c r="AH2816" s="74"/>
      <c r="AI2816" s="74"/>
      <c r="AJ2816" s="74"/>
      <c r="AK2816" s="74"/>
      <c r="AL2816" s="74"/>
    </row>
    <row r="2817" ht="15.75" customHeight="1">
      <c r="A2817" s="27">
        <f t="shared" si="23"/>
        <v>1695</v>
      </c>
      <c r="B2817" s="28" t="s">
        <v>9833</v>
      </c>
      <c r="C2817" s="43" t="s">
        <v>9834</v>
      </c>
      <c r="D2817" s="30" t="s">
        <v>9835</v>
      </c>
      <c r="E2817" s="28" t="s">
        <v>3118</v>
      </c>
      <c r="F2817" s="28" t="s">
        <v>29</v>
      </c>
      <c r="G2817" s="28" t="s">
        <v>30</v>
      </c>
      <c r="H2817" s="28"/>
      <c r="I2817" s="28" t="s">
        <v>30</v>
      </c>
      <c r="J2817" s="28">
        <f>160</f>
        <v>160</v>
      </c>
      <c r="K2817" s="28"/>
      <c r="L2817" s="28" t="s">
        <v>8822</v>
      </c>
      <c r="M2817" s="28" t="s">
        <v>544</v>
      </c>
      <c r="N2817" s="28">
        <v>2008.0</v>
      </c>
      <c r="O2817" s="31" t="s">
        <v>205</v>
      </c>
      <c r="P2817" s="28">
        <v>1.0</v>
      </c>
      <c r="Q2817" s="32">
        <v>1.0</v>
      </c>
      <c r="R2817" s="33"/>
      <c r="S2817" s="34"/>
      <c r="T2817" s="34"/>
      <c r="U2817" s="34"/>
      <c r="V2817" s="34"/>
      <c r="W2817" s="34"/>
      <c r="X2817" s="34"/>
      <c r="Y2817" s="74"/>
      <c r="Z2817" s="74"/>
      <c r="AA2817" s="74"/>
      <c r="AB2817" s="74"/>
      <c r="AC2817" s="74"/>
      <c r="AD2817" s="74"/>
      <c r="AE2817" s="74"/>
      <c r="AF2817" s="74"/>
      <c r="AG2817" s="74"/>
      <c r="AH2817" s="74"/>
      <c r="AI2817" s="74"/>
      <c r="AJ2817" s="74"/>
      <c r="AK2817" s="74"/>
      <c r="AL2817" s="74"/>
    </row>
    <row r="2818" ht="15.75" customHeight="1">
      <c r="A2818" s="27">
        <f t="shared" si="23"/>
        <v>1696</v>
      </c>
      <c r="B2818" s="28" t="s">
        <v>9836</v>
      </c>
      <c r="C2818" s="29" t="s">
        <v>9837</v>
      </c>
      <c r="D2818" s="30" t="s">
        <v>9838</v>
      </c>
      <c r="E2818" s="28" t="s">
        <v>28</v>
      </c>
      <c r="F2818" s="28" t="s">
        <v>29</v>
      </c>
      <c r="G2818" s="28" t="s">
        <v>386</v>
      </c>
      <c r="H2818" s="28"/>
      <c r="I2818" s="28" t="s">
        <v>167</v>
      </c>
      <c r="J2818" s="28">
        <v>428.0</v>
      </c>
      <c r="K2818" s="28"/>
      <c r="L2818" s="28" t="s">
        <v>387</v>
      </c>
      <c r="M2818" s="28" t="s">
        <v>169</v>
      </c>
      <c r="N2818" s="28">
        <v>2018.0</v>
      </c>
      <c r="O2818" s="31" t="s">
        <v>205</v>
      </c>
      <c r="P2818" s="28">
        <v>1.0</v>
      </c>
      <c r="Q2818" s="32">
        <v>1.0</v>
      </c>
      <c r="R2818" s="33"/>
      <c r="S2818" s="34"/>
      <c r="T2818" s="34"/>
      <c r="U2818" s="34"/>
      <c r="V2818" s="34"/>
      <c r="W2818" s="34"/>
      <c r="X2818" s="34"/>
      <c r="Y2818" s="45"/>
      <c r="Z2818" s="45"/>
      <c r="AA2818" s="45"/>
      <c r="AB2818" s="45"/>
      <c r="AC2818" s="45"/>
      <c r="AD2818" s="45"/>
      <c r="AE2818" s="45"/>
      <c r="AF2818" s="45"/>
      <c r="AG2818" s="45"/>
      <c r="AH2818" s="45"/>
      <c r="AI2818" s="45"/>
      <c r="AJ2818" s="45"/>
      <c r="AK2818" s="45"/>
      <c r="AL2818" s="45"/>
    </row>
    <row r="2819" ht="15.75" customHeight="1">
      <c r="A2819" s="27">
        <f t="shared" si="23"/>
        <v>1697</v>
      </c>
      <c r="B2819" s="28" t="s">
        <v>9839</v>
      </c>
      <c r="C2819" s="48" t="s">
        <v>9840</v>
      </c>
      <c r="D2819" s="137" t="s">
        <v>9841</v>
      </c>
      <c r="E2819" s="28" t="s">
        <v>28</v>
      </c>
      <c r="F2819" s="28" t="s">
        <v>29</v>
      </c>
      <c r="G2819" s="28" t="s">
        <v>30</v>
      </c>
      <c r="H2819" s="28"/>
      <c r="I2819" s="28" t="s">
        <v>30</v>
      </c>
      <c r="J2819" s="28">
        <v>126.0</v>
      </c>
      <c r="K2819" s="28"/>
      <c r="L2819" s="28" t="s">
        <v>9842</v>
      </c>
      <c r="M2819" s="28" t="s">
        <v>4877</v>
      </c>
      <c r="N2819" s="28">
        <v>2002.0</v>
      </c>
      <c r="O2819" s="62" t="s">
        <v>205</v>
      </c>
      <c r="P2819" s="28">
        <v>1.0</v>
      </c>
      <c r="Q2819" s="32">
        <v>1.0</v>
      </c>
      <c r="R2819" s="33"/>
      <c r="S2819" s="185"/>
      <c r="T2819" s="185"/>
      <c r="U2819" s="185"/>
      <c r="V2819" s="185"/>
      <c r="W2819" s="185"/>
      <c r="X2819" s="185"/>
      <c r="Y2819" s="74"/>
      <c r="Z2819" s="74"/>
      <c r="AA2819" s="74"/>
      <c r="AB2819" s="74"/>
      <c r="AC2819" s="74"/>
      <c r="AD2819" s="74"/>
      <c r="AE2819" s="74"/>
      <c r="AF2819" s="74"/>
      <c r="AG2819" s="74"/>
      <c r="AH2819" s="74"/>
      <c r="AI2819" s="74"/>
      <c r="AJ2819" s="74"/>
      <c r="AK2819" s="74"/>
      <c r="AL2819" s="74"/>
    </row>
    <row r="2820" ht="15.75" customHeight="1">
      <c r="A2820" s="27">
        <f t="shared" si="23"/>
        <v>1698</v>
      </c>
      <c r="B2820" s="28" t="s">
        <v>9843</v>
      </c>
      <c r="C2820" s="102" t="s">
        <v>9844</v>
      </c>
      <c r="D2820" s="30" t="s">
        <v>9845</v>
      </c>
      <c r="E2820" s="28" t="s">
        <v>28</v>
      </c>
      <c r="F2820" s="28" t="s">
        <v>29</v>
      </c>
      <c r="G2820" s="28" t="s">
        <v>37</v>
      </c>
      <c r="H2820" s="28"/>
      <c r="I2820" s="28" t="s">
        <v>38</v>
      </c>
      <c r="J2820" s="28">
        <v>88.0</v>
      </c>
      <c r="K2820" s="28"/>
      <c r="L2820" s="28" t="s">
        <v>9846</v>
      </c>
      <c r="M2820" s="28" t="s">
        <v>219</v>
      </c>
      <c r="N2820" s="28">
        <v>1983.0</v>
      </c>
      <c r="O2820" s="62" t="s">
        <v>205</v>
      </c>
      <c r="P2820" s="28">
        <v>1.0</v>
      </c>
      <c r="Q2820" s="32">
        <v>1.0</v>
      </c>
      <c r="R2820" s="33"/>
      <c r="S2820" s="40"/>
      <c r="T2820" s="40"/>
      <c r="U2820" s="40"/>
      <c r="V2820" s="40"/>
      <c r="W2820" s="40"/>
      <c r="X2820" s="40"/>
      <c r="Y2820" s="74"/>
      <c r="Z2820" s="74"/>
      <c r="AA2820" s="74"/>
      <c r="AB2820" s="74"/>
      <c r="AC2820" s="74"/>
      <c r="AD2820" s="74"/>
      <c r="AE2820" s="74"/>
      <c r="AF2820" s="74"/>
      <c r="AG2820" s="74"/>
      <c r="AH2820" s="74"/>
      <c r="AI2820" s="74"/>
      <c r="AJ2820" s="74"/>
      <c r="AK2820" s="74"/>
      <c r="AL2820" s="74"/>
    </row>
    <row r="2821" ht="15.75" customHeight="1">
      <c r="A2821" s="27">
        <f t="shared" si="23"/>
        <v>1699</v>
      </c>
      <c r="B2821" s="121" t="s">
        <v>31</v>
      </c>
      <c r="C2821" s="121" t="s">
        <v>9847</v>
      </c>
      <c r="D2821" s="119" t="s">
        <v>9848</v>
      </c>
      <c r="E2821" s="121" t="s">
        <v>3148</v>
      </c>
      <c r="F2821" s="121" t="s">
        <v>29</v>
      </c>
      <c r="G2821" s="121" t="s">
        <v>37</v>
      </c>
      <c r="H2821" s="83"/>
      <c r="I2821" s="121" t="s">
        <v>38</v>
      </c>
      <c r="J2821" s="121">
        <v>176.0</v>
      </c>
      <c r="K2821" s="83"/>
      <c r="L2821" s="121" t="s">
        <v>9849</v>
      </c>
      <c r="M2821" s="121" t="s">
        <v>54</v>
      </c>
      <c r="N2821" s="121">
        <v>1976.0</v>
      </c>
      <c r="O2821" s="121">
        <v>12.0</v>
      </c>
      <c r="P2821" s="121">
        <v>1.0</v>
      </c>
      <c r="Q2821" s="121">
        <v>1.0</v>
      </c>
      <c r="R2821" s="84"/>
      <c r="S2821" s="185"/>
      <c r="T2821" s="185"/>
      <c r="U2821" s="185"/>
      <c r="V2821" s="185"/>
      <c r="W2821" s="185"/>
      <c r="X2821" s="185"/>
      <c r="Y2821" s="45"/>
      <c r="Z2821" s="45"/>
      <c r="AA2821" s="45"/>
      <c r="AB2821" s="45"/>
      <c r="AC2821" s="45"/>
      <c r="AD2821" s="45"/>
      <c r="AE2821" s="45"/>
      <c r="AF2821" s="45"/>
      <c r="AG2821" s="45"/>
      <c r="AH2821" s="45"/>
      <c r="AI2821" s="45"/>
      <c r="AJ2821" s="45"/>
      <c r="AK2821" s="45"/>
      <c r="AL2821" s="45"/>
    </row>
    <row r="2822" ht="15.75" customHeight="1">
      <c r="A2822" s="27">
        <f t="shared" si="23"/>
        <v>1700</v>
      </c>
      <c r="B2822" s="28" t="s">
        <v>9850</v>
      </c>
      <c r="C2822" s="102" t="s">
        <v>9851</v>
      </c>
      <c r="D2822" s="30" t="s">
        <v>9852</v>
      </c>
      <c r="E2822" s="28" t="s">
        <v>28</v>
      </c>
      <c r="F2822" s="28" t="s">
        <v>29</v>
      </c>
      <c r="G2822" s="28" t="s">
        <v>31</v>
      </c>
      <c r="H2822" s="28"/>
      <c r="I2822" s="28" t="s">
        <v>38</v>
      </c>
      <c r="J2822" s="28">
        <v>257.0</v>
      </c>
      <c r="K2822" s="28"/>
      <c r="L2822" s="28" t="s">
        <v>1104</v>
      </c>
      <c r="M2822" s="28" t="s">
        <v>219</v>
      </c>
      <c r="N2822" s="28">
        <v>1983.0</v>
      </c>
      <c r="O2822" s="62" t="s">
        <v>205</v>
      </c>
      <c r="P2822" s="28">
        <v>1.0</v>
      </c>
      <c r="Q2822" s="32">
        <v>1.0</v>
      </c>
      <c r="R2822" s="33"/>
      <c r="S2822" s="34"/>
      <c r="T2822" s="34"/>
      <c r="U2822" s="34"/>
      <c r="V2822" s="34"/>
      <c r="W2822" s="34"/>
      <c r="X2822" s="34"/>
      <c r="Y2822" s="45"/>
      <c r="Z2822" s="45"/>
      <c r="AA2822" s="45"/>
      <c r="AB2822" s="45"/>
      <c r="AC2822" s="45"/>
      <c r="AD2822" s="45"/>
      <c r="AE2822" s="45"/>
      <c r="AF2822" s="45"/>
      <c r="AG2822" s="45"/>
      <c r="AH2822" s="45"/>
      <c r="AI2822" s="45"/>
      <c r="AJ2822" s="45"/>
      <c r="AK2822" s="45"/>
      <c r="AL2822" s="45"/>
    </row>
    <row r="2823" ht="15.75" customHeight="1">
      <c r="A2823" s="27">
        <f t="shared" si="23"/>
        <v>1701</v>
      </c>
      <c r="B2823" s="28" t="s">
        <v>9853</v>
      </c>
      <c r="C2823" s="102" t="s">
        <v>9854</v>
      </c>
      <c r="D2823" s="30" t="s">
        <v>9855</v>
      </c>
      <c r="E2823" s="28" t="s">
        <v>28</v>
      </c>
      <c r="F2823" s="28" t="s">
        <v>29</v>
      </c>
      <c r="G2823" s="28" t="s">
        <v>37</v>
      </c>
      <c r="H2823" s="28"/>
      <c r="I2823" s="28" t="s">
        <v>38</v>
      </c>
      <c r="J2823" s="28">
        <v>161.0</v>
      </c>
      <c r="K2823" s="28"/>
      <c r="L2823" s="28" t="s">
        <v>1291</v>
      </c>
      <c r="M2823" s="28" t="s">
        <v>6009</v>
      </c>
      <c r="N2823" s="28">
        <v>1989.0</v>
      </c>
      <c r="O2823" s="62" t="s">
        <v>205</v>
      </c>
      <c r="P2823" s="28">
        <v>1.0</v>
      </c>
      <c r="Q2823" s="32">
        <v>1.0</v>
      </c>
      <c r="R2823" s="33"/>
      <c r="S2823" s="116"/>
      <c r="T2823" s="116"/>
      <c r="U2823" s="185"/>
      <c r="V2823" s="185"/>
      <c r="W2823" s="185"/>
      <c r="X2823" s="185"/>
      <c r="Y2823" s="45"/>
      <c r="Z2823" s="45"/>
      <c r="AA2823" s="45"/>
      <c r="AB2823" s="45"/>
      <c r="AC2823" s="45"/>
      <c r="AD2823" s="45"/>
      <c r="AE2823" s="45"/>
      <c r="AF2823" s="45"/>
      <c r="AG2823" s="45"/>
      <c r="AH2823" s="45"/>
      <c r="AI2823" s="45"/>
      <c r="AJ2823" s="45"/>
      <c r="AK2823" s="45"/>
      <c r="AL2823" s="45"/>
    </row>
    <row r="2824" ht="15.75" customHeight="1">
      <c r="A2824" s="27">
        <f t="shared" si="23"/>
        <v>1702</v>
      </c>
      <c r="B2824" s="28" t="s">
        <v>9856</v>
      </c>
      <c r="C2824" s="43" t="s">
        <v>9857</v>
      </c>
      <c r="D2824" s="30" t="s">
        <v>9858</v>
      </c>
      <c r="E2824" s="28" t="s">
        <v>28</v>
      </c>
      <c r="F2824" s="28" t="s">
        <v>29</v>
      </c>
      <c r="G2824" s="28" t="s">
        <v>31</v>
      </c>
      <c r="H2824" s="28"/>
      <c r="I2824" s="28" t="s">
        <v>38</v>
      </c>
      <c r="J2824" s="28">
        <v>274.0</v>
      </c>
      <c r="K2824" s="28"/>
      <c r="L2824" s="28" t="s">
        <v>2557</v>
      </c>
      <c r="M2824" s="28" t="s">
        <v>219</v>
      </c>
      <c r="N2824" s="28">
        <v>1984.0</v>
      </c>
      <c r="O2824" s="62" t="s">
        <v>205</v>
      </c>
      <c r="P2824" s="28">
        <v>2.0</v>
      </c>
      <c r="Q2824" s="32">
        <v>2.0</v>
      </c>
      <c r="R2824" s="33"/>
      <c r="S2824" s="34"/>
      <c r="T2824" s="34"/>
      <c r="U2824" s="34"/>
      <c r="V2824" s="34"/>
      <c r="W2824" s="34"/>
      <c r="X2824" s="34"/>
      <c r="Y2824" s="74"/>
      <c r="Z2824" s="74"/>
      <c r="AA2824" s="74"/>
      <c r="AB2824" s="74"/>
      <c r="AC2824" s="74"/>
      <c r="AD2824" s="74"/>
      <c r="AE2824" s="74"/>
      <c r="AF2824" s="74"/>
      <c r="AG2824" s="74"/>
      <c r="AH2824" s="74"/>
      <c r="AI2824" s="74"/>
      <c r="AJ2824" s="74"/>
      <c r="AK2824" s="74"/>
      <c r="AL2824" s="74"/>
    </row>
    <row r="2825" ht="15.75" customHeight="1">
      <c r="A2825" s="27">
        <f t="shared" si="23"/>
        <v>1703</v>
      </c>
      <c r="B2825" s="28" t="s">
        <v>9618</v>
      </c>
      <c r="C2825" s="29" t="s">
        <v>9859</v>
      </c>
      <c r="D2825" s="120" t="s">
        <v>9860</v>
      </c>
      <c r="E2825" s="28" t="s">
        <v>28</v>
      </c>
      <c r="F2825" s="28" t="s">
        <v>29</v>
      </c>
      <c r="G2825" s="28" t="s">
        <v>30</v>
      </c>
      <c r="H2825" s="28"/>
      <c r="I2825" s="28" t="s">
        <v>30</v>
      </c>
      <c r="J2825" s="28">
        <v>152.0</v>
      </c>
      <c r="K2825" s="28"/>
      <c r="L2825" s="28" t="s">
        <v>9861</v>
      </c>
      <c r="M2825" s="28" t="s">
        <v>151</v>
      </c>
      <c r="N2825" s="28">
        <v>1997.0</v>
      </c>
      <c r="O2825" s="62" t="s">
        <v>205</v>
      </c>
      <c r="P2825" s="60">
        <v>2.0</v>
      </c>
      <c r="Q2825" s="94">
        <v>2.0</v>
      </c>
      <c r="R2825" s="33"/>
      <c r="S2825" s="34"/>
      <c r="T2825" s="34"/>
      <c r="U2825" s="34"/>
      <c r="V2825" s="34"/>
      <c r="W2825" s="34"/>
      <c r="X2825" s="34"/>
      <c r="Y2825" s="45"/>
      <c r="Z2825" s="45"/>
      <c r="AA2825" s="45"/>
      <c r="AB2825" s="45"/>
      <c r="AC2825" s="45"/>
      <c r="AD2825" s="45"/>
      <c r="AE2825" s="45"/>
      <c r="AF2825" s="45"/>
      <c r="AG2825" s="45"/>
      <c r="AH2825" s="45"/>
      <c r="AI2825" s="45"/>
      <c r="AJ2825" s="45"/>
      <c r="AK2825" s="45"/>
      <c r="AL2825" s="45"/>
    </row>
    <row r="2826" ht="15.75" customHeight="1">
      <c r="A2826" s="27">
        <f t="shared" si="23"/>
        <v>1704</v>
      </c>
      <c r="B2826" s="28" t="s">
        <v>9862</v>
      </c>
      <c r="C2826" s="102" t="s">
        <v>9863</v>
      </c>
      <c r="D2826" s="30" t="s">
        <v>9864</v>
      </c>
      <c r="E2826" s="28" t="s">
        <v>28</v>
      </c>
      <c r="F2826" s="28" t="s">
        <v>29</v>
      </c>
      <c r="G2826" s="28" t="s">
        <v>30</v>
      </c>
      <c r="H2826" s="28"/>
      <c r="I2826" s="28" t="s">
        <v>30</v>
      </c>
      <c r="J2826" s="28">
        <v>170.0</v>
      </c>
      <c r="K2826" s="28"/>
      <c r="L2826" s="28" t="s">
        <v>9828</v>
      </c>
      <c r="M2826" s="60" t="s">
        <v>4762</v>
      </c>
      <c r="N2826" s="28">
        <v>2008.0</v>
      </c>
      <c r="O2826" s="62" t="s">
        <v>205</v>
      </c>
      <c r="P2826" s="28">
        <v>1.0</v>
      </c>
      <c r="Q2826" s="32">
        <v>1.0</v>
      </c>
      <c r="R2826" s="33"/>
      <c r="S2826" s="34"/>
      <c r="T2826" s="34"/>
      <c r="U2826" s="34"/>
      <c r="V2826" s="34"/>
      <c r="W2826" s="34"/>
      <c r="X2826" s="34"/>
      <c r="Y2826" s="45"/>
      <c r="Z2826" s="45"/>
      <c r="AA2826" s="45"/>
      <c r="AB2826" s="45"/>
      <c r="AC2826" s="45"/>
      <c r="AD2826" s="45"/>
      <c r="AE2826" s="45"/>
      <c r="AF2826" s="45"/>
      <c r="AG2826" s="45"/>
      <c r="AH2826" s="45"/>
      <c r="AI2826" s="45"/>
      <c r="AJ2826" s="45"/>
      <c r="AK2826" s="45"/>
      <c r="AL2826" s="45"/>
    </row>
    <row r="2827" ht="15.75" customHeight="1">
      <c r="A2827" s="27">
        <f t="shared" si="23"/>
        <v>1705</v>
      </c>
      <c r="B2827" s="121" t="s">
        <v>9865</v>
      </c>
      <c r="C2827" s="124" t="s">
        <v>9866</v>
      </c>
      <c r="D2827" s="128" t="s">
        <v>9867</v>
      </c>
      <c r="E2827" s="121" t="s">
        <v>3148</v>
      </c>
      <c r="F2827" s="121" t="s">
        <v>29</v>
      </c>
      <c r="G2827" s="121" t="s">
        <v>37</v>
      </c>
      <c r="H2827" s="83"/>
      <c r="I2827" s="121" t="s">
        <v>38</v>
      </c>
      <c r="J2827" s="121">
        <v>138.0</v>
      </c>
      <c r="K2827" s="83"/>
      <c r="L2827" s="121" t="s">
        <v>619</v>
      </c>
      <c r="M2827" s="121" t="s">
        <v>54</v>
      </c>
      <c r="N2827" s="121">
        <v>1983.0</v>
      </c>
      <c r="O2827" s="124">
        <v>7.0</v>
      </c>
      <c r="P2827" s="124">
        <v>6.0</v>
      </c>
      <c r="Q2827" s="124">
        <v>6.0</v>
      </c>
      <c r="R2827" s="84"/>
      <c r="S2827" s="34"/>
      <c r="T2827" s="34"/>
      <c r="U2827" s="34"/>
      <c r="V2827" s="34"/>
      <c r="W2827" s="34"/>
      <c r="X2827" s="34"/>
      <c r="Y2827" s="45"/>
      <c r="Z2827" s="45"/>
      <c r="AA2827" s="45"/>
      <c r="AB2827" s="45"/>
      <c r="AC2827" s="45"/>
      <c r="AD2827" s="45"/>
      <c r="AE2827" s="45"/>
      <c r="AF2827" s="45"/>
      <c r="AG2827" s="45"/>
      <c r="AH2827" s="45"/>
      <c r="AI2827" s="45"/>
      <c r="AJ2827" s="45"/>
      <c r="AK2827" s="45"/>
      <c r="AL2827" s="45"/>
    </row>
    <row r="2828" ht="15.75" customHeight="1">
      <c r="A2828" s="27">
        <f t="shared" si="23"/>
        <v>1706</v>
      </c>
      <c r="B2828" s="28" t="s">
        <v>31</v>
      </c>
      <c r="C2828" s="43" t="s">
        <v>9868</v>
      </c>
      <c r="D2828" s="30" t="s">
        <v>9869</v>
      </c>
      <c r="E2828" s="28" t="s">
        <v>31</v>
      </c>
      <c r="F2828" s="28" t="s">
        <v>29</v>
      </c>
      <c r="G2828" s="28" t="s">
        <v>131</v>
      </c>
      <c r="H2828" s="28"/>
      <c r="I2828" s="28" t="s">
        <v>38</v>
      </c>
      <c r="J2828" s="28"/>
      <c r="K2828" s="28"/>
      <c r="L2828" s="28" t="s">
        <v>9870</v>
      </c>
      <c r="M2828" s="28" t="s">
        <v>31</v>
      </c>
      <c r="N2828" s="28"/>
      <c r="O2828" s="60">
        <v>12.0</v>
      </c>
      <c r="P2828" s="28">
        <v>1.0</v>
      </c>
      <c r="Q2828" s="94">
        <v>1.0</v>
      </c>
      <c r="R2828" s="33"/>
      <c r="S2828" s="34"/>
      <c r="T2828" s="34"/>
      <c r="U2828" s="34"/>
      <c r="V2828" s="34"/>
      <c r="W2828" s="34"/>
      <c r="X2828" s="34"/>
      <c r="Y2828" s="45"/>
      <c r="Z2828" s="45"/>
      <c r="AA2828" s="45"/>
      <c r="AB2828" s="45"/>
      <c r="AC2828" s="45"/>
      <c r="AD2828" s="45"/>
      <c r="AE2828" s="45"/>
      <c r="AF2828" s="45"/>
      <c r="AG2828" s="45"/>
      <c r="AH2828" s="45"/>
      <c r="AI2828" s="45"/>
      <c r="AJ2828" s="45"/>
      <c r="AK2828" s="45"/>
      <c r="AL2828" s="45"/>
    </row>
    <row r="2829" ht="15.75" customHeight="1">
      <c r="A2829" s="27">
        <f t="shared" si="23"/>
        <v>1707</v>
      </c>
      <c r="B2829" s="28" t="s">
        <v>9871</v>
      </c>
      <c r="C2829" s="48" t="s">
        <v>9872</v>
      </c>
      <c r="D2829" s="30" t="s">
        <v>9873</v>
      </c>
      <c r="E2829" s="28" t="s">
        <v>28</v>
      </c>
      <c r="F2829" s="28" t="s">
        <v>29</v>
      </c>
      <c r="G2829" s="28" t="s">
        <v>38</v>
      </c>
      <c r="H2829" s="28"/>
      <c r="I2829" s="28" t="s">
        <v>38</v>
      </c>
      <c r="J2829" s="28">
        <v>319.0</v>
      </c>
      <c r="K2829" s="28"/>
      <c r="L2829" s="28" t="s">
        <v>9874</v>
      </c>
      <c r="M2829" s="28" t="s">
        <v>6983</v>
      </c>
      <c r="N2829" s="28">
        <v>1982.0</v>
      </c>
      <c r="O2829" s="60">
        <v>12.0</v>
      </c>
      <c r="P2829" s="28">
        <v>1.0</v>
      </c>
      <c r="Q2829" s="32">
        <v>1.0</v>
      </c>
      <c r="R2829" s="33"/>
      <c r="S2829" s="34"/>
      <c r="T2829" s="34"/>
      <c r="U2829" s="34"/>
      <c r="V2829" s="34"/>
      <c r="W2829" s="34"/>
      <c r="X2829" s="34"/>
      <c r="Y2829" s="45"/>
      <c r="Z2829" s="45"/>
      <c r="AA2829" s="45"/>
      <c r="AB2829" s="45"/>
      <c r="AC2829" s="45"/>
      <c r="AD2829" s="45"/>
      <c r="AE2829" s="45"/>
      <c r="AF2829" s="45"/>
      <c r="AG2829" s="45"/>
      <c r="AH2829" s="45"/>
      <c r="AI2829" s="45"/>
      <c r="AJ2829" s="45"/>
      <c r="AK2829" s="45"/>
      <c r="AL2829" s="45"/>
    </row>
    <row r="2830" ht="15.75" customHeight="1">
      <c r="A2830" s="27">
        <f t="shared" si="23"/>
        <v>1708</v>
      </c>
      <c r="B2830" s="28"/>
      <c r="C2830" s="29" t="s">
        <v>9875</v>
      </c>
      <c r="D2830" s="30" t="s">
        <v>9876</v>
      </c>
      <c r="E2830" s="28" t="s">
        <v>28</v>
      </c>
      <c r="F2830" s="28" t="s">
        <v>29</v>
      </c>
      <c r="G2830" s="28" t="s">
        <v>38</v>
      </c>
      <c r="H2830" s="28"/>
      <c r="I2830" s="28" t="s">
        <v>38</v>
      </c>
      <c r="J2830" s="60">
        <v>180.0</v>
      </c>
      <c r="K2830" s="28"/>
      <c r="L2830" s="28" t="s">
        <v>9877</v>
      </c>
      <c r="M2830" s="28" t="s">
        <v>524</v>
      </c>
      <c r="N2830" s="28">
        <v>1972.0</v>
      </c>
      <c r="O2830" s="60">
        <v>12.0</v>
      </c>
      <c r="P2830" s="28">
        <v>1.0</v>
      </c>
      <c r="Q2830" s="32">
        <v>1.0</v>
      </c>
      <c r="R2830" s="33"/>
      <c r="S2830" s="34"/>
      <c r="T2830" s="34"/>
      <c r="U2830" s="34"/>
      <c r="V2830" s="34"/>
      <c r="W2830" s="34"/>
      <c r="X2830" s="34"/>
      <c r="Y2830" s="45"/>
      <c r="Z2830" s="45"/>
      <c r="AA2830" s="45"/>
      <c r="AB2830" s="45"/>
      <c r="AC2830" s="45"/>
      <c r="AD2830" s="45"/>
      <c r="AE2830" s="45"/>
      <c r="AF2830" s="45"/>
      <c r="AG2830" s="45"/>
      <c r="AH2830" s="45"/>
      <c r="AI2830" s="45"/>
      <c r="AJ2830" s="45"/>
      <c r="AK2830" s="45"/>
      <c r="AL2830" s="45"/>
    </row>
    <row r="2831" ht="15.75" customHeight="1">
      <c r="A2831" s="27">
        <f t="shared" si="23"/>
        <v>1709</v>
      </c>
      <c r="B2831" s="28" t="s">
        <v>9878</v>
      </c>
      <c r="C2831" s="29" t="s">
        <v>9879</v>
      </c>
      <c r="D2831" s="120" t="s">
        <v>9880</v>
      </c>
      <c r="E2831" s="28" t="s">
        <v>28</v>
      </c>
      <c r="F2831" s="28" t="s">
        <v>29</v>
      </c>
      <c r="G2831" s="28" t="s">
        <v>30</v>
      </c>
      <c r="H2831" s="28"/>
      <c r="I2831" s="28" t="s">
        <v>30</v>
      </c>
      <c r="J2831" s="28">
        <v>110.0</v>
      </c>
      <c r="K2831" s="28"/>
      <c r="L2831" s="31" t="s">
        <v>9778</v>
      </c>
      <c r="M2831" s="28" t="s">
        <v>4877</v>
      </c>
      <c r="N2831" s="28">
        <v>2002.0</v>
      </c>
      <c r="O2831" s="62" t="s">
        <v>205</v>
      </c>
      <c r="P2831" s="28">
        <v>1.0</v>
      </c>
      <c r="Q2831" s="32">
        <v>1.0</v>
      </c>
      <c r="R2831" s="33"/>
      <c r="S2831" s="40"/>
      <c r="T2831" s="40"/>
      <c r="U2831" s="40"/>
      <c r="V2831" s="40"/>
      <c r="W2831" s="40"/>
      <c r="X2831" s="40"/>
      <c r="Y2831" s="45"/>
      <c r="Z2831" s="45"/>
      <c r="AA2831" s="45"/>
      <c r="AB2831" s="45"/>
      <c r="AC2831" s="45"/>
      <c r="AD2831" s="45"/>
      <c r="AE2831" s="45"/>
      <c r="AF2831" s="45"/>
      <c r="AG2831" s="45"/>
      <c r="AH2831" s="45"/>
      <c r="AI2831" s="45"/>
      <c r="AJ2831" s="45"/>
      <c r="AK2831" s="45"/>
      <c r="AL2831" s="45"/>
    </row>
    <row r="2832" ht="15.75" customHeight="1">
      <c r="A2832" s="27">
        <f t="shared" si="23"/>
        <v>1710</v>
      </c>
      <c r="B2832" s="121" t="s">
        <v>31</v>
      </c>
      <c r="C2832" s="130" t="s">
        <v>9881</v>
      </c>
      <c r="D2832" s="222" t="s">
        <v>9882</v>
      </c>
      <c r="E2832" s="121" t="s">
        <v>3148</v>
      </c>
      <c r="F2832" s="121" t="s">
        <v>29</v>
      </c>
      <c r="G2832" s="121" t="s">
        <v>37</v>
      </c>
      <c r="H2832" s="83"/>
      <c r="I2832" s="121" t="s">
        <v>38</v>
      </c>
      <c r="J2832" s="121">
        <v>149.0</v>
      </c>
      <c r="K2832" s="83"/>
      <c r="L2832" s="124" t="s">
        <v>224</v>
      </c>
      <c r="M2832" s="121" t="s">
        <v>54</v>
      </c>
      <c r="N2832" s="121">
        <v>1977.0</v>
      </c>
      <c r="O2832" s="223" t="s">
        <v>225</v>
      </c>
      <c r="P2832" s="124">
        <v>6.0</v>
      </c>
      <c r="Q2832" s="124">
        <v>6.0</v>
      </c>
      <c r="R2832" s="84"/>
      <c r="S2832" s="185"/>
      <c r="T2832" s="185"/>
      <c r="U2832" s="185"/>
      <c r="V2832" s="185"/>
      <c r="W2832" s="185"/>
      <c r="X2832" s="185"/>
      <c r="Y2832" s="45"/>
      <c r="Z2832" s="45"/>
      <c r="AA2832" s="45"/>
      <c r="AB2832" s="45"/>
      <c r="AC2832" s="45"/>
      <c r="AD2832" s="45"/>
      <c r="AE2832" s="45"/>
      <c r="AF2832" s="45"/>
      <c r="AG2832" s="45"/>
      <c r="AH2832" s="45"/>
      <c r="AI2832" s="45"/>
      <c r="AJ2832" s="45"/>
      <c r="AK2832" s="45"/>
      <c r="AL2832" s="45"/>
    </row>
    <row r="2833" ht="15.75" customHeight="1">
      <c r="A2833" s="27">
        <f t="shared" si="23"/>
        <v>1711</v>
      </c>
      <c r="B2833" s="28" t="s">
        <v>31</v>
      </c>
      <c r="C2833" s="102" t="s">
        <v>9883</v>
      </c>
      <c r="D2833" s="30" t="s">
        <v>9884</v>
      </c>
      <c r="E2833" s="28" t="s">
        <v>28</v>
      </c>
      <c r="F2833" s="28" t="s">
        <v>29</v>
      </c>
      <c r="G2833" s="28" t="s">
        <v>30</v>
      </c>
      <c r="H2833" s="28"/>
      <c r="I2833" s="28" t="s">
        <v>30</v>
      </c>
      <c r="J2833" s="28">
        <v>143.0</v>
      </c>
      <c r="K2833" s="28"/>
      <c r="L2833" s="28" t="s">
        <v>9885</v>
      </c>
      <c r="M2833" s="28" t="s">
        <v>151</v>
      </c>
      <c r="N2833" s="28">
        <v>1966.0</v>
      </c>
      <c r="O2833" s="223" t="s">
        <v>205</v>
      </c>
      <c r="P2833" s="28">
        <v>1.0</v>
      </c>
      <c r="Q2833" s="32">
        <v>1.0</v>
      </c>
      <c r="R2833" s="33"/>
      <c r="S2833" s="34"/>
      <c r="T2833" s="34"/>
      <c r="U2833" s="34"/>
      <c r="V2833" s="34"/>
      <c r="W2833" s="34"/>
      <c r="X2833" s="34"/>
      <c r="Y2833" s="45"/>
      <c r="Z2833" s="45"/>
      <c r="AA2833" s="45"/>
      <c r="AB2833" s="45"/>
      <c r="AC2833" s="45"/>
      <c r="AD2833" s="45"/>
      <c r="AE2833" s="45"/>
      <c r="AF2833" s="45"/>
      <c r="AG2833" s="45"/>
      <c r="AH2833" s="45"/>
      <c r="AI2833" s="45"/>
      <c r="AJ2833" s="45"/>
      <c r="AK2833" s="45"/>
      <c r="AL2833" s="45"/>
    </row>
    <row r="2834" ht="15.75" customHeight="1">
      <c r="A2834" s="27">
        <f t="shared" si="23"/>
        <v>1712</v>
      </c>
      <c r="B2834" s="28" t="s">
        <v>9886</v>
      </c>
      <c r="C2834" s="102" t="s">
        <v>9887</v>
      </c>
      <c r="D2834" s="30" t="s">
        <v>9888</v>
      </c>
      <c r="E2834" s="60" t="s">
        <v>302</v>
      </c>
      <c r="F2834" s="28" t="s">
        <v>29</v>
      </c>
      <c r="G2834" s="28" t="s">
        <v>37</v>
      </c>
      <c r="H2834" s="28"/>
      <c r="I2834" s="28" t="s">
        <v>38</v>
      </c>
      <c r="J2834" s="28">
        <v>342.0</v>
      </c>
      <c r="K2834" s="28"/>
      <c r="L2834" s="28" t="s">
        <v>9889</v>
      </c>
      <c r="M2834" s="28" t="s">
        <v>352</v>
      </c>
      <c r="N2834" s="28">
        <v>2010.0</v>
      </c>
      <c r="O2834" s="224">
        <v>12.0</v>
      </c>
      <c r="P2834" s="28">
        <v>1.0</v>
      </c>
      <c r="Q2834" s="32">
        <v>1.0</v>
      </c>
      <c r="R2834" s="33"/>
      <c r="S2834" s="225"/>
      <c r="T2834" s="225"/>
      <c r="U2834" s="225"/>
      <c r="V2834" s="225"/>
      <c r="W2834" s="225"/>
      <c r="X2834" s="225"/>
      <c r="Y2834" s="45"/>
      <c r="Z2834" s="45"/>
      <c r="AA2834" s="45"/>
      <c r="AB2834" s="45"/>
      <c r="AC2834" s="45"/>
      <c r="AD2834" s="45"/>
      <c r="AE2834" s="45"/>
      <c r="AF2834" s="45"/>
      <c r="AG2834" s="45"/>
      <c r="AH2834" s="45"/>
      <c r="AI2834" s="45"/>
      <c r="AJ2834" s="45"/>
      <c r="AK2834" s="45"/>
      <c r="AL2834" s="45"/>
    </row>
    <row r="2835" ht="15.75" customHeight="1">
      <c r="A2835" s="27">
        <f t="shared" si="23"/>
        <v>1713</v>
      </c>
      <c r="B2835" s="28" t="s">
        <v>9890</v>
      </c>
      <c r="C2835" s="29" t="s">
        <v>9891</v>
      </c>
      <c r="D2835" s="39" t="s">
        <v>9892</v>
      </c>
      <c r="E2835" s="28" t="s">
        <v>28</v>
      </c>
      <c r="F2835" s="28" t="s">
        <v>29</v>
      </c>
      <c r="G2835" s="28" t="s">
        <v>30</v>
      </c>
      <c r="H2835" s="28"/>
      <c r="I2835" s="28" t="s">
        <v>30</v>
      </c>
      <c r="J2835" s="28">
        <v>543.0</v>
      </c>
      <c r="K2835" s="28"/>
      <c r="L2835" s="28" t="s">
        <v>9893</v>
      </c>
      <c r="M2835" s="28" t="s">
        <v>151</v>
      </c>
      <c r="N2835" s="28">
        <v>2017.0</v>
      </c>
      <c r="O2835" s="223" t="s">
        <v>205</v>
      </c>
      <c r="P2835" s="28">
        <v>2.0</v>
      </c>
      <c r="Q2835" s="32">
        <v>2.0</v>
      </c>
      <c r="R2835" s="33"/>
      <c r="S2835" s="185"/>
      <c r="T2835" s="185"/>
      <c r="U2835" s="185"/>
      <c r="V2835" s="185"/>
      <c r="W2835" s="185"/>
      <c r="X2835" s="185"/>
      <c r="Y2835" s="45"/>
      <c r="Z2835" s="45"/>
      <c r="AA2835" s="45"/>
      <c r="AB2835" s="45"/>
      <c r="AC2835" s="45"/>
      <c r="AD2835" s="45"/>
      <c r="AE2835" s="45"/>
      <c r="AF2835" s="45"/>
      <c r="AG2835" s="45"/>
      <c r="AH2835" s="45"/>
      <c r="AI2835" s="45"/>
      <c r="AJ2835" s="45"/>
      <c r="AK2835" s="45"/>
      <c r="AL2835" s="45"/>
    </row>
    <row r="2836" ht="15.75" customHeight="1">
      <c r="A2836" s="27">
        <f t="shared" si="23"/>
        <v>1714</v>
      </c>
      <c r="B2836" s="224" t="s">
        <v>9894</v>
      </c>
      <c r="C2836" s="224" t="s">
        <v>9895</v>
      </c>
      <c r="D2836" s="226" t="s">
        <v>9896</v>
      </c>
      <c r="E2836" s="224" t="s">
        <v>28</v>
      </c>
      <c r="F2836" s="224" t="s">
        <v>29</v>
      </c>
      <c r="G2836" s="224" t="s">
        <v>9897</v>
      </c>
      <c r="H2836" s="79"/>
      <c r="I2836" s="224" t="s">
        <v>38</v>
      </c>
      <c r="J2836" s="224">
        <v>176.0</v>
      </c>
      <c r="K2836" s="79"/>
      <c r="L2836" s="224" t="s">
        <v>343</v>
      </c>
      <c r="M2836" s="224" t="s">
        <v>49</v>
      </c>
      <c r="N2836" s="224">
        <v>1982.0</v>
      </c>
      <c r="O2836" s="223" t="s">
        <v>205</v>
      </c>
      <c r="P2836" s="224">
        <v>1.0</v>
      </c>
      <c r="Q2836" s="224">
        <v>1.0</v>
      </c>
      <c r="R2836" s="227"/>
      <c r="S2836" s="34"/>
      <c r="T2836" s="34"/>
      <c r="U2836" s="34"/>
      <c r="V2836" s="34"/>
      <c r="W2836" s="34"/>
      <c r="X2836" s="34"/>
      <c r="Y2836" s="45"/>
      <c r="Z2836" s="45"/>
      <c r="AA2836" s="45"/>
      <c r="AB2836" s="45"/>
      <c r="AC2836" s="45"/>
      <c r="AD2836" s="45"/>
      <c r="AE2836" s="45"/>
      <c r="AF2836" s="45"/>
      <c r="AG2836" s="45"/>
      <c r="AH2836" s="45"/>
      <c r="AI2836" s="45"/>
      <c r="AJ2836" s="45"/>
      <c r="AK2836" s="45"/>
      <c r="AL2836" s="45"/>
    </row>
    <row r="2837" ht="15.75" customHeight="1">
      <c r="A2837" s="27">
        <f t="shared" si="23"/>
        <v>1715</v>
      </c>
      <c r="B2837" s="28" t="s">
        <v>9898</v>
      </c>
      <c r="C2837" s="43" t="s">
        <v>9899</v>
      </c>
      <c r="D2837" s="30" t="s">
        <v>9900</v>
      </c>
      <c r="E2837" s="28" t="s">
        <v>28</v>
      </c>
      <c r="F2837" s="28" t="s">
        <v>29</v>
      </c>
      <c r="G2837" s="28" t="s">
        <v>30</v>
      </c>
      <c r="H2837" s="28" t="s">
        <v>31</v>
      </c>
      <c r="I2837" s="28" t="s">
        <v>30</v>
      </c>
      <c r="J2837" s="31">
        <v>173.0</v>
      </c>
      <c r="K2837" s="28"/>
      <c r="L2837" s="28" t="s">
        <v>912</v>
      </c>
      <c r="M2837" s="28" t="s">
        <v>4166</v>
      </c>
      <c r="N2837" s="28">
        <v>2008.0</v>
      </c>
      <c r="O2837" s="62" t="s">
        <v>205</v>
      </c>
      <c r="P2837" s="28">
        <v>1.0</v>
      </c>
      <c r="Q2837" s="32">
        <v>1.0</v>
      </c>
      <c r="R2837" s="33"/>
      <c r="S2837" s="116"/>
      <c r="T2837" s="116"/>
      <c r="U2837" s="116"/>
      <c r="V2837" s="116"/>
      <c r="W2837" s="116"/>
      <c r="X2837" s="116"/>
      <c r="Y2837" s="45"/>
      <c r="Z2837" s="45"/>
      <c r="AA2837" s="45"/>
      <c r="AB2837" s="45"/>
      <c r="AC2837" s="45"/>
      <c r="AD2837" s="45"/>
      <c r="AE2837" s="45"/>
      <c r="AF2837" s="45"/>
      <c r="AG2837" s="45"/>
      <c r="AH2837" s="45"/>
      <c r="AI2837" s="45"/>
      <c r="AJ2837" s="45"/>
      <c r="AK2837" s="45"/>
      <c r="AL2837" s="45"/>
    </row>
    <row r="2838" ht="15.75" customHeight="1">
      <c r="A2838" s="27">
        <f t="shared" si="23"/>
        <v>1716</v>
      </c>
      <c r="B2838" s="121" t="s">
        <v>9901</v>
      </c>
      <c r="C2838" s="121" t="s">
        <v>9902</v>
      </c>
      <c r="D2838" s="119" t="s">
        <v>9903</v>
      </c>
      <c r="E2838" s="121" t="s">
        <v>28</v>
      </c>
      <c r="F2838" s="121" t="s">
        <v>29</v>
      </c>
      <c r="G2838" s="121" t="s">
        <v>6448</v>
      </c>
      <c r="H2838" s="83"/>
      <c r="I2838" s="121" t="s">
        <v>38</v>
      </c>
      <c r="J2838" s="121">
        <v>154.0</v>
      </c>
      <c r="K2838" s="83"/>
      <c r="L2838" s="121" t="s">
        <v>9904</v>
      </c>
      <c r="M2838" s="121" t="s">
        <v>9354</v>
      </c>
      <c r="N2838" s="121">
        <v>1983.0</v>
      </c>
      <c r="O2838" s="60">
        <v>12.0</v>
      </c>
      <c r="P2838" s="121">
        <v>1.0</v>
      </c>
      <c r="Q2838" s="121">
        <v>1.0</v>
      </c>
      <c r="R2838" s="84"/>
      <c r="S2838" s="185"/>
      <c r="T2838" s="185"/>
      <c r="U2838" s="185"/>
      <c r="V2838" s="185"/>
      <c r="W2838" s="185"/>
      <c r="X2838" s="185"/>
      <c r="Y2838" s="45"/>
      <c r="Z2838" s="45"/>
      <c r="AA2838" s="45"/>
      <c r="AB2838" s="45"/>
      <c r="AC2838" s="45"/>
      <c r="AD2838" s="45"/>
      <c r="AE2838" s="45"/>
      <c r="AF2838" s="45"/>
      <c r="AG2838" s="45"/>
      <c r="AH2838" s="45"/>
      <c r="AI2838" s="45"/>
      <c r="AJ2838" s="45"/>
      <c r="AK2838" s="45"/>
      <c r="AL2838" s="45"/>
    </row>
    <row r="2839" ht="15.75" customHeight="1">
      <c r="A2839" s="27">
        <f t="shared" si="23"/>
        <v>1717</v>
      </c>
      <c r="B2839" s="28" t="s">
        <v>31</v>
      </c>
      <c r="C2839" s="29" t="s">
        <v>9905</v>
      </c>
      <c r="D2839" s="30" t="s">
        <v>9906</v>
      </c>
      <c r="E2839" s="28" t="s">
        <v>28</v>
      </c>
      <c r="F2839" s="28" t="s">
        <v>29</v>
      </c>
      <c r="G2839" s="28" t="s">
        <v>30</v>
      </c>
      <c r="H2839" s="28"/>
      <c r="I2839" s="28" t="s">
        <v>30</v>
      </c>
      <c r="J2839" s="28">
        <v>133.0</v>
      </c>
      <c r="K2839" s="28"/>
      <c r="L2839" s="28" t="s">
        <v>9828</v>
      </c>
      <c r="M2839" s="60" t="s">
        <v>4762</v>
      </c>
      <c r="N2839" s="28">
        <v>2003.0</v>
      </c>
      <c r="O2839" s="62" t="s">
        <v>205</v>
      </c>
      <c r="P2839" s="28">
        <v>1.0</v>
      </c>
      <c r="Q2839" s="32">
        <v>1.0</v>
      </c>
      <c r="R2839" s="33"/>
      <c r="S2839" s="34"/>
      <c r="T2839" s="34"/>
      <c r="U2839" s="34"/>
      <c r="V2839" s="34"/>
      <c r="W2839" s="34"/>
      <c r="X2839" s="34"/>
      <c r="Y2839" s="45"/>
      <c r="Z2839" s="45"/>
      <c r="AA2839" s="45"/>
      <c r="AB2839" s="45"/>
      <c r="AC2839" s="45"/>
      <c r="AD2839" s="45"/>
      <c r="AE2839" s="45"/>
      <c r="AF2839" s="45"/>
      <c r="AG2839" s="45"/>
      <c r="AH2839" s="45"/>
      <c r="AI2839" s="45"/>
      <c r="AJ2839" s="45"/>
      <c r="AK2839" s="45"/>
      <c r="AL2839" s="45"/>
    </row>
    <row r="2840" ht="15.75" customHeight="1">
      <c r="A2840" s="27">
        <f t="shared" si="23"/>
        <v>1718</v>
      </c>
      <c r="B2840" s="79"/>
      <c r="C2840" s="223" t="s">
        <v>9907</v>
      </c>
      <c r="D2840" s="226" t="s">
        <v>9906</v>
      </c>
      <c r="E2840" s="224" t="s">
        <v>28</v>
      </c>
      <c r="F2840" s="224" t="s">
        <v>29</v>
      </c>
      <c r="G2840" s="224" t="s">
        <v>30</v>
      </c>
      <c r="H2840" s="79"/>
      <c r="I2840" s="224" t="s">
        <v>30</v>
      </c>
      <c r="J2840" s="224">
        <v>130.0</v>
      </c>
      <c r="K2840" s="79"/>
      <c r="L2840" s="224" t="s">
        <v>9908</v>
      </c>
      <c r="M2840" s="224" t="s">
        <v>151</v>
      </c>
      <c r="N2840" s="224">
        <v>1967.0</v>
      </c>
      <c r="O2840" s="223" t="s">
        <v>205</v>
      </c>
      <c r="P2840" s="224">
        <v>1.0</v>
      </c>
      <c r="Q2840" s="224">
        <v>1.0</v>
      </c>
      <c r="R2840" s="227"/>
      <c r="S2840" s="116"/>
      <c r="T2840" s="116"/>
      <c r="U2840" s="116"/>
      <c r="V2840" s="116"/>
      <c r="W2840" s="116"/>
      <c r="X2840" s="116"/>
      <c r="Y2840" s="45"/>
      <c r="Z2840" s="45"/>
      <c r="AA2840" s="45"/>
      <c r="AB2840" s="45"/>
      <c r="AC2840" s="45"/>
      <c r="AD2840" s="45"/>
      <c r="AE2840" s="45"/>
      <c r="AF2840" s="45"/>
      <c r="AG2840" s="45"/>
      <c r="AH2840" s="45"/>
      <c r="AI2840" s="45"/>
      <c r="AJ2840" s="45"/>
      <c r="AK2840" s="45"/>
      <c r="AL2840" s="45"/>
    </row>
    <row r="2841" ht="15.75" customHeight="1">
      <c r="A2841" s="27">
        <f t="shared" si="23"/>
        <v>1719</v>
      </c>
      <c r="B2841" s="28" t="s">
        <v>9909</v>
      </c>
      <c r="C2841" s="48" t="s">
        <v>9907</v>
      </c>
      <c r="D2841" s="120" t="s">
        <v>9910</v>
      </c>
      <c r="E2841" s="28" t="s">
        <v>28</v>
      </c>
      <c r="F2841" s="28" t="s">
        <v>29</v>
      </c>
      <c r="G2841" s="28" t="s">
        <v>30</v>
      </c>
      <c r="H2841" s="28"/>
      <c r="I2841" s="28" t="s">
        <v>30</v>
      </c>
      <c r="J2841" s="28">
        <v>126.0</v>
      </c>
      <c r="K2841" s="28"/>
      <c r="L2841" s="28" t="s">
        <v>3453</v>
      </c>
      <c r="M2841" s="28" t="s">
        <v>151</v>
      </c>
      <c r="N2841" s="28">
        <v>2003.0</v>
      </c>
      <c r="O2841" s="62" t="s">
        <v>205</v>
      </c>
      <c r="P2841" s="28">
        <v>1.0</v>
      </c>
      <c r="Q2841" s="94">
        <v>1.0</v>
      </c>
      <c r="R2841" s="33"/>
      <c r="S2841" s="116"/>
      <c r="T2841" s="116"/>
      <c r="U2841" s="116"/>
      <c r="V2841" s="116"/>
      <c r="W2841" s="116"/>
      <c r="X2841" s="116"/>
      <c r="Y2841" s="45"/>
      <c r="Z2841" s="45"/>
      <c r="AA2841" s="45"/>
      <c r="AB2841" s="45"/>
      <c r="AC2841" s="45"/>
      <c r="AD2841" s="45"/>
      <c r="AE2841" s="45"/>
      <c r="AF2841" s="45"/>
      <c r="AG2841" s="45"/>
      <c r="AH2841" s="45"/>
      <c r="AI2841" s="45"/>
      <c r="AJ2841" s="45"/>
      <c r="AK2841" s="45"/>
      <c r="AL2841" s="45"/>
    </row>
    <row r="2842" ht="15.75" customHeight="1">
      <c r="A2842" s="27">
        <f t="shared" si="23"/>
        <v>1720</v>
      </c>
      <c r="B2842" s="28" t="s">
        <v>9911</v>
      </c>
      <c r="C2842" s="29" t="s">
        <v>9907</v>
      </c>
      <c r="D2842" s="30" t="s">
        <v>9910</v>
      </c>
      <c r="E2842" s="28" t="s">
        <v>28</v>
      </c>
      <c r="F2842" s="28" t="s">
        <v>29</v>
      </c>
      <c r="G2842" s="28" t="s">
        <v>30</v>
      </c>
      <c r="H2842" s="28"/>
      <c r="I2842" s="28" t="s">
        <v>30</v>
      </c>
      <c r="J2842" s="28">
        <v>159.0</v>
      </c>
      <c r="K2842" s="28"/>
      <c r="L2842" s="28" t="s">
        <v>8578</v>
      </c>
      <c r="M2842" s="28" t="s">
        <v>151</v>
      </c>
      <c r="N2842" s="28">
        <v>2012.0</v>
      </c>
      <c r="O2842" s="62" t="s">
        <v>205</v>
      </c>
      <c r="P2842" s="28">
        <v>1.0</v>
      </c>
      <c r="Q2842" s="32">
        <v>1.0</v>
      </c>
      <c r="R2842" s="33"/>
      <c r="S2842" s="34"/>
      <c r="T2842" s="34"/>
      <c r="U2842" s="34"/>
      <c r="V2842" s="34"/>
      <c r="W2842" s="34"/>
      <c r="X2842" s="34"/>
      <c r="Y2842" s="45"/>
      <c r="Z2842" s="45"/>
      <c r="AA2842" s="45"/>
      <c r="AB2842" s="45"/>
      <c r="AC2842" s="45"/>
      <c r="AD2842" s="45"/>
      <c r="AE2842" s="45"/>
      <c r="AF2842" s="45"/>
      <c r="AG2842" s="45"/>
      <c r="AH2842" s="45"/>
      <c r="AI2842" s="45"/>
      <c r="AJ2842" s="45"/>
      <c r="AK2842" s="45"/>
      <c r="AL2842" s="45"/>
    </row>
    <row r="2843" ht="15.75" customHeight="1">
      <c r="A2843" s="27">
        <f t="shared" si="23"/>
        <v>1721</v>
      </c>
      <c r="B2843" s="28" t="s">
        <v>9909</v>
      </c>
      <c r="C2843" s="48" t="s">
        <v>9907</v>
      </c>
      <c r="D2843" s="30" t="s">
        <v>9910</v>
      </c>
      <c r="E2843" s="28" t="s">
        <v>28</v>
      </c>
      <c r="F2843" s="28" t="s">
        <v>29</v>
      </c>
      <c r="G2843" s="28" t="s">
        <v>30</v>
      </c>
      <c r="H2843" s="28"/>
      <c r="I2843" s="28" t="s">
        <v>30</v>
      </c>
      <c r="J2843" s="28">
        <v>126.0</v>
      </c>
      <c r="K2843" s="28"/>
      <c r="L2843" s="60" t="s">
        <v>8578</v>
      </c>
      <c r="M2843" s="28" t="s">
        <v>151</v>
      </c>
      <c r="N2843" s="28">
        <v>2001.0</v>
      </c>
      <c r="O2843" s="62" t="s">
        <v>205</v>
      </c>
      <c r="P2843" s="28">
        <v>1.0</v>
      </c>
      <c r="Q2843" s="94">
        <v>1.0</v>
      </c>
      <c r="R2843" s="33"/>
      <c r="S2843" s="116"/>
      <c r="T2843" s="116"/>
      <c r="U2843" s="116"/>
      <c r="V2843" s="116"/>
      <c r="W2843" s="116"/>
      <c r="X2843" s="116"/>
      <c r="Y2843" s="45"/>
      <c r="Z2843" s="45"/>
      <c r="AA2843" s="45"/>
      <c r="AB2843" s="45"/>
      <c r="AC2843" s="45"/>
      <c r="AD2843" s="45"/>
      <c r="AE2843" s="45"/>
      <c r="AF2843" s="45"/>
      <c r="AG2843" s="45"/>
      <c r="AH2843" s="45"/>
      <c r="AI2843" s="45"/>
      <c r="AJ2843" s="45"/>
      <c r="AK2843" s="45"/>
      <c r="AL2843" s="45"/>
    </row>
    <row r="2844" ht="15.75" customHeight="1">
      <c r="A2844" s="27">
        <f t="shared" si="23"/>
        <v>1722</v>
      </c>
      <c r="B2844" s="28" t="s">
        <v>9912</v>
      </c>
      <c r="C2844" s="102" t="s">
        <v>9913</v>
      </c>
      <c r="D2844" s="30" t="s">
        <v>9914</v>
      </c>
      <c r="E2844" s="28" t="s">
        <v>28</v>
      </c>
      <c r="F2844" s="28" t="s">
        <v>29</v>
      </c>
      <c r="G2844" s="28" t="s">
        <v>31</v>
      </c>
      <c r="H2844" s="28"/>
      <c r="I2844" s="28" t="s">
        <v>38</v>
      </c>
      <c r="J2844" s="28">
        <v>175.0</v>
      </c>
      <c r="K2844" s="28"/>
      <c r="L2844" s="28" t="s">
        <v>9915</v>
      </c>
      <c r="M2844" s="28" t="s">
        <v>6983</v>
      </c>
      <c r="N2844" s="28">
        <v>1985.0</v>
      </c>
      <c r="O2844" s="62" t="s">
        <v>205</v>
      </c>
      <c r="P2844" s="28">
        <v>1.0</v>
      </c>
      <c r="Q2844" s="32">
        <v>1.0</v>
      </c>
      <c r="R2844" s="33"/>
      <c r="S2844" s="185"/>
      <c r="T2844" s="185"/>
      <c r="U2844" s="185"/>
      <c r="V2844" s="185"/>
      <c r="W2844" s="185"/>
      <c r="X2844" s="185"/>
      <c r="Y2844" s="45"/>
      <c r="Z2844" s="45"/>
      <c r="AA2844" s="45"/>
      <c r="AB2844" s="45"/>
      <c r="AC2844" s="45"/>
      <c r="AD2844" s="45"/>
      <c r="AE2844" s="45"/>
      <c r="AF2844" s="45"/>
      <c r="AG2844" s="45"/>
      <c r="AH2844" s="45"/>
      <c r="AI2844" s="45"/>
      <c r="AJ2844" s="45"/>
      <c r="AK2844" s="45"/>
      <c r="AL2844" s="45"/>
    </row>
    <row r="2845" ht="15.75" customHeight="1">
      <c r="A2845" s="27">
        <f t="shared" si="23"/>
        <v>1723</v>
      </c>
      <c r="B2845" s="28" t="s">
        <v>9916</v>
      </c>
      <c r="C2845" s="102" t="s">
        <v>9917</v>
      </c>
      <c r="D2845" s="30" t="s">
        <v>9918</v>
      </c>
      <c r="E2845" s="28" t="s">
        <v>28</v>
      </c>
      <c r="F2845" s="28" t="s">
        <v>29</v>
      </c>
      <c r="G2845" s="28" t="s">
        <v>37</v>
      </c>
      <c r="H2845" s="28"/>
      <c r="I2845" s="28" t="s">
        <v>38</v>
      </c>
      <c r="J2845" s="28">
        <v>291.0</v>
      </c>
      <c r="K2845" s="28"/>
      <c r="L2845" s="28" t="s">
        <v>281</v>
      </c>
      <c r="M2845" s="28" t="s">
        <v>286</v>
      </c>
      <c r="N2845" s="28">
        <v>1979.0</v>
      </c>
      <c r="O2845" s="60">
        <v>12.0</v>
      </c>
      <c r="P2845" s="28">
        <v>1.0</v>
      </c>
      <c r="Q2845" s="32">
        <v>1.0</v>
      </c>
      <c r="R2845" s="33"/>
      <c r="S2845" s="185"/>
      <c r="T2845" s="185"/>
      <c r="U2845" s="185"/>
      <c r="V2845" s="185"/>
      <c r="W2845" s="185"/>
      <c r="X2845" s="185"/>
      <c r="Y2845" s="45"/>
      <c r="Z2845" s="45"/>
      <c r="AA2845" s="45"/>
      <c r="AB2845" s="45"/>
      <c r="AC2845" s="45"/>
      <c r="AD2845" s="45"/>
      <c r="AE2845" s="45"/>
      <c r="AF2845" s="45"/>
      <c r="AG2845" s="45"/>
      <c r="AH2845" s="45"/>
      <c r="AI2845" s="45"/>
      <c r="AJ2845" s="45"/>
      <c r="AK2845" s="45"/>
      <c r="AL2845" s="45"/>
    </row>
    <row r="2846" ht="15.75" customHeight="1">
      <c r="A2846" s="27">
        <f t="shared" si="23"/>
        <v>1724</v>
      </c>
      <c r="B2846" s="28" t="s">
        <v>541</v>
      </c>
      <c r="C2846" s="102" t="s">
        <v>542</v>
      </c>
      <c r="D2846" s="120" t="s">
        <v>9919</v>
      </c>
      <c r="E2846" s="28" t="s">
        <v>28</v>
      </c>
      <c r="F2846" s="28" t="s">
        <v>29</v>
      </c>
      <c r="G2846" s="28" t="s">
        <v>30</v>
      </c>
      <c r="H2846" s="28"/>
      <c r="I2846" s="28" t="s">
        <v>30</v>
      </c>
      <c r="J2846" s="28">
        <v>274.0</v>
      </c>
      <c r="K2846" s="28"/>
      <c r="L2846" s="28" t="s">
        <v>281</v>
      </c>
      <c r="M2846" s="60" t="s">
        <v>544</v>
      </c>
      <c r="N2846" s="28">
        <v>2003.0</v>
      </c>
      <c r="O2846" s="60">
        <v>12.0</v>
      </c>
      <c r="P2846" s="28">
        <v>1.0</v>
      </c>
      <c r="Q2846" s="94">
        <v>1.0</v>
      </c>
      <c r="R2846" s="33"/>
      <c r="S2846" s="185"/>
      <c r="T2846" s="185"/>
      <c r="U2846" s="185"/>
      <c r="V2846" s="185"/>
      <c r="W2846" s="185"/>
      <c r="X2846" s="185"/>
      <c r="Y2846" s="45"/>
      <c r="Z2846" s="45"/>
      <c r="AA2846" s="45"/>
      <c r="AB2846" s="45"/>
      <c r="AC2846" s="45"/>
      <c r="AD2846" s="45"/>
      <c r="AE2846" s="45"/>
      <c r="AF2846" s="45"/>
      <c r="AG2846" s="45"/>
      <c r="AH2846" s="45"/>
      <c r="AI2846" s="45"/>
      <c r="AJ2846" s="45"/>
      <c r="AK2846" s="45"/>
      <c r="AL2846" s="45"/>
    </row>
    <row r="2847" ht="15.75" customHeight="1">
      <c r="A2847" s="27">
        <f t="shared" si="23"/>
        <v>1725</v>
      </c>
      <c r="B2847" s="28" t="s">
        <v>9920</v>
      </c>
      <c r="C2847" s="29" t="s">
        <v>9921</v>
      </c>
      <c r="D2847" s="30" t="s">
        <v>9922</v>
      </c>
      <c r="E2847" s="28"/>
      <c r="F2847" s="28" t="s">
        <v>740</v>
      </c>
      <c r="G2847" s="28"/>
      <c r="H2847" s="28"/>
      <c r="I2847" s="28" t="s">
        <v>38</v>
      </c>
      <c r="J2847" s="28">
        <v>147.0</v>
      </c>
      <c r="K2847" s="28"/>
      <c r="L2847" s="28" t="s">
        <v>9923</v>
      </c>
      <c r="M2847" s="28" t="s">
        <v>65</v>
      </c>
      <c r="N2847" s="28">
        <v>1959.0</v>
      </c>
      <c r="O2847" s="60">
        <v>12.0</v>
      </c>
      <c r="P2847" s="28">
        <v>1.0</v>
      </c>
      <c r="Q2847" s="32">
        <v>1.0</v>
      </c>
      <c r="R2847" s="33"/>
      <c r="S2847" s="34"/>
      <c r="T2847" s="34"/>
      <c r="U2847" s="34"/>
      <c r="V2847" s="34"/>
      <c r="W2847" s="34"/>
      <c r="X2847" s="34"/>
      <c r="Y2847" s="45"/>
      <c r="Z2847" s="45"/>
      <c r="AA2847" s="45"/>
      <c r="AB2847" s="45"/>
      <c r="AC2847" s="45"/>
      <c r="AD2847" s="45"/>
      <c r="AE2847" s="45"/>
      <c r="AF2847" s="45"/>
      <c r="AG2847" s="45"/>
      <c r="AH2847" s="45"/>
      <c r="AI2847" s="45"/>
      <c r="AJ2847" s="45"/>
      <c r="AK2847" s="45"/>
      <c r="AL2847" s="45"/>
    </row>
    <row r="2848" ht="15.75" customHeight="1">
      <c r="A2848" s="27">
        <f t="shared" si="23"/>
        <v>1726</v>
      </c>
      <c r="B2848" s="60" t="s">
        <v>9924</v>
      </c>
      <c r="C2848" s="48" t="s">
        <v>9925</v>
      </c>
      <c r="D2848" s="30" t="s">
        <v>9926</v>
      </c>
      <c r="E2848" s="28" t="s">
        <v>28</v>
      </c>
      <c r="F2848" s="28" t="s">
        <v>29</v>
      </c>
      <c r="G2848" s="28" t="s">
        <v>30</v>
      </c>
      <c r="H2848" s="28"/>
      <c r="I2848" s="28" t="s">
        <v>30</v>
      </c>
      <c r="J2848" s="28">
        <v>237.0</v>
      </c>
      <c r="K2848" s="28"/>
      <c r="L2848" s="124" t="s">
        <v>3453</v>
      </c>
      <c r="M2848" s="28" t="s">
        <v>151</v>
      </c>
      <c r="N2848" s="28">
        <v>2001.0</v>
      </c>
      <c r="O2848" s="62" t="s">
        <v>205</v>
      </c>
      <c r="P2848" s="28">
        <v>2.0</v>
      </c>
      <c r="Q2848" s="32">
        <v>2.0</v>
      </c>
      <c r="R2848" s="33"/>
      <c r="S2848" s="185"/>
      <c r="T2848" s="185"/>
      <c r="U2848" s="185"/>
      <c r="V2848" s="185"/>
      <c r="W2848" s="185"/>
      <c r="X2848" s="185"/>
      <c r="Y2848" s="45"/>
      <c r="Z2848" s="45"/>
      <c r="AA2848" s="45"/>
      <c r="AB2848" s="45"/>
      <c r="AC2848" s="45"/>
      <c r="AD2848" s="45"/>
      <c r="AE2848" s="45"/>
      <c r="AF2848" s="45"/>
      <c r="AG2848" s="45"/>
      <c r="AH2848" s="45"/>
      <c r="AI2848" s="45"/>
      <c r="AJ2848" s="45"/>
      <c r="AK2848" s="45"/>
      <c r="AL2848" s="45"/>
    </row>
    <row r="2849" ht="15.75" customHeight="1">
      <c r="A2849" s="27">
        <f t="shared" si="23"/>
        <v>1727</v>
      </c>
      <c r="B2849" s="28" t="s">
        <v>9927</v>
      </c>
      <c r="C2849" s="48" t="s">
        <v>9925</v>
      </c>
      <c r="D2849" s="30" t="s">
        <v>9926</v>
      </c>
      <c r="E2849" s="28" t="s">
        <v>28</v>
      </c>
      <c r="F2849" s="28" t="s">
        <v>29</v>
      </c>
      <c r="G2849" s="28" t="s">
        <v>30</v>
      </c>
      <c r="H2849" s="28"/>
      <c r="I2849" s="28" t="s">
        <v>30</v>
      </c>
      <c r="J2849" s="28">
        <v>267.0</v>
      </c>
      <c r="K2849" s="28"/>
      <c r="L2849" s="124" t="s">
        <v>3453</v>
      </c>
      <c r="M2849" s="28" t="s">
        <v>151</v>
      </c>
      <c r="N2849" s="28">
        <v>2012.0</v>
      </c>
      <c r="O2849" s="62" t="s">
        <v>205</v>
      </c>
      <c r="P2849" s="28">
        <v>1.0</v>
      </c>
      <c r="Q2849" s="32">
        <v>1.0</v>
      </c>
      <c r="R2849" s="33"/>
      <c r="S2849" s="34"/>
      <c r="T2849" s="34"/>
      <c r="U2849" s="34"/>
      <c r="V2849" s="34"/>
      <c r="W2849" s="34"/>
      <c r="X2849" s="34"/>
      <c r="Y2849" s="45"/>
      <c r="Z2849" s="45"/>
      <c r="AA2849" s="45"/>
      <c r="AB2849" s="45"/>
      <c r="AC2849" s="45"/>
      <c r="AD2849" s="45"/>
      <c r="AE2849" s="45"/>
      <c r="AF2849" s="45"/>
      <c r="AG2849" s="45"/>
      <c r="AH2849" s="45"/>
      <c r="AI2849" s="45"/>
      <c r="AJ2849" s="45"/>
      <c r="AK2849" s="45"/>
      <c r="AL2849" s="45"/>
    </row>
    <row r="2850" ht="15.75" customHeight="1">
      <c r="A2850" s="27">
        <f t="shared" si="23"/>
        <v>1728</v>
      </c>
      <c r="B2850" s="28"/>
      <c r="C2850" s="48" t="s">
        <v>9925</v>
      </c>
      <c r="D2850" s="39" t="s">
        <v>9928</v>
      </c>
      <c r="E2850" s="28" t="s">
        <v>28</v>
      </c>
      <c r="F2850" s="28" t="s">
        <v>29</v>
      </c>
      <c r="G2850" s="28" t="s">
        <v>30</v>
      </c>
      <c r="H2850" s="28"/>
      <c r="I2850" s="28" t="s">
        <v>30</v>
      </c>
      <c r="J2850" s="31">
        <v>251.0</v>
      </c>
      <c r="K2850" s="28"/>
      <c r="L2850" s="124" t="s">
        <v>3453</v>
      </c>
      <c r="M2850" s="28" t="s">
        <v>151</v>
      </c>
      <c r="N2850" s="28">
        <v>1977.0</v>
      </c>
      <c r="O2850" s="62" t="s">
        <v>205</v>
      </c>
      <c r="P2850" s="28">
        <v>2.0</v>
      </c>
      <c r="Q2850" s="32">
        <v>2.0</v>
      </c>
      <c r="R2850" s="33"/>
      <c r="S2850" s="34"/>
      <c r="T2850" s="34"/>
      <c r="U2850" s="34"/>
      <c r="V2850" s="34"/>
      <c r="W2850" s="34"/>
      <c r="X2850" s="34"/>
      <c r="Y2850" s="45"/>
      <c r="Z2850" s="45"/>
      <c r="AA2850" s="45"/>
      <c r="AB2850" s="45"/>
      <c r="AC2850" s="45"/>
      <c r="AD2850" s="45"/>
      <c r="AE2850" s="45"/>
      <c r="AF2850" s="45"/>
      <c r="AG2850" s="45"/>
      <c r="AH2850" s="45"/>
      <c r="AI2850" s="45"/>
      <c r="AJ2850" s="45"/>
      <c r="AK2850" s="45"/>
      <c r="AL2850" s="45"/>
    </row>
    <row r="2851" ht="15.75" customHeight="1">
      <c r="A2851" s="27">
        <f t="shared" si="23"/>
        <v>1729</v>
      </c>
      <c r="B2851" s="121" t="s">
        <v>9924</v>
      </c>
      <c r="C2851" s="124" t="s">
        <v>9925</v>
      </c>
      <c r="D2851" s="119" t="s">
        <v>9926</v>
      </c>
      <c r="E2851" s="121" t="s">
        <v>28</v>
      </c>
      <c r="F2851" s="121" t="s">
        <v>29</v>
      </c>
      <c r="G2851" s="121" t="s">
        <v>30</v>
      </c>
      <c r="H2851" s="83"/>
      <c r="I2851" s="121" t="s">
        <v>30</v>
      </c>
      <c r="J2851" s="121">
        <v>237.0</v>
      </c>
      <c r="K2851" s="83"/>
      <c r="L2851" s="124" t="s">
        <v>3453</v>
      </c>
      <c r="M2851" s="121" t="s">
        <v>151</v>
      </c>
      <c r="N2851" s="121">
        <v>2003.0</v>
      </c>
      <c r="O2851" s="62" t="s">
        <v>205</v>
      </c>
      <c r="P2851" s="121">
        <v>1.0</v>
      </c>
      <c r="Q2851" s="121">
        <v>1.0</v>
      </c>
      <c r="R2851" s="84"/>
      <c r="S2851" s="116"/>
      <c r="T2851" s="116"/>
      <c r="U2851" s="116"/>
      <c r="V2851" s="116"/>
      <c r="W2851" s="116"/>
      <c r="X2851" s="116"/>
      <c r="Y2851" s="45"/>
      <c r="Z2851" s="45"/>
      <c r="AA2851" s="45"/>
      <c r="AB2851" s="45"/>
      <c r="AC2851" s="45"/>
      <c r="AD2851" s="45"/>
      <c r="AE2851" s="45"/>
      <c r="AF2851" s="45"/>
      <c r="AG2851" s="45"/>
      <c r="AH2851" s="45"/>
      <c r="AI2851" s="45"/>
      <c r="AJ2851" s="45"/>
      <c r="AK2851" s="45"/>
      <c r="AL2851" s="45"/>
    </row>
    <row r="2852" ht="15.75" customHeight="1">
      <c r="A2852" s="27">
        <f t="shared" si="23"/>
        <v>1730</v>
      </c>
      <c r="B2852" s="83"/>
      <c r="C2852" s="121" t="s">
        <v>9929</v>
      </c>
      <c r="D2852" s="119" t="s">
        <v>9926</v>
      </c>
      <c r="E2852" s="121" t="s">
        <v>28</v>
      </c>
      <c r="F2852" s="121" t="s">
        <v>29</v>
      </c>
      <c r="G2852" s="121" t="s">
        <v>30</v>
      </c>
      <c r="H2852" s="83"/>
      <c r="I2852" s="121" t="s">
        <v>30</v>
      </c>
      <c r="J2852" s="121">
        <v>237.0</v>
      </c>
      <c r="K2852" s="83"/>
      <c r="L2852" s="124" t="s">
        <v>3453</v>
      </c>
      <c r="M2852" s="121" t="s">
        <v>151</v>
      </c>
      <c r="N2852" s="121">
        <v>1982.0</v>
      </c>
      <c r="O2852" s="62" t="s">
        <v>205</v>
      </c>
      <c r="P2852" s="121">
        <v>1.0</v>
      </c>
      <c r="Q2852" s="121">
        <v>1.0</v>
      </c>
      <c r="R2852" s="84"/>
      <c r="S2852" s="116"/>
      <c r="T2852" s="116"/>
      <c r="U2852" s="116"/>
      <c r="V2852" s="116"/>
      <c r="W2852" s="116"/>
      <c r="X2852" s="116"/>
      <c r="Y2852" s="45"/>
      <c r="Z2852" s="45"/>
      <c r="AA2852" s="45"/>
      <c r="AB2852" s="45"/>
      <c r="AC2852" s="45"/>
      <c r="AD2852" s="45"/>
      <c r="AE2852" s="45"/>
      <c r="AF2852" s="45"/>
      <c r="AG2852" s="45"/>
      <c r="AH2852" s="45"/>
      <c r="AI2852" s="45"/>
      <c r="AJ2852" s="45"/>
      <c r="AK2852" s="45"/>
      <c r="AL2852" s="45"/>
    </row>
    <row r="2853" ht="15.75" customHeight="1">
      <c r="A2853" s="27">
        <f t="shared" si="23"/>
        <v>1731</v>
      </c>
      <c r="B2853" s="28" t="s">
        <v>9930</v>
      </c>
      <c r="C2853" s="29" t="s">
        <v>9931</v>
      </c>
      <c r="D2853" s="30" t="s">
        <v>9932</v>
      </c>
      <c r="E2853" s="43" t="s">
        <v>302</v>
      </c>
      <c r="F2853" s="28" t="s">
        <v>29</v>
      </c>
      <c r="G2853" s="28" t="s">
        <v>30</v>
      </c>
      <c r="H2853" s="28"/>
      <c r="I2853" s="28" t="s">
        <v>30</v>
      </c>
      <c r="J2853" s="28">
        <v>280.0</v>
      </c>
      <c r="K2853" s="28"/>
      <c r="L2853" s="28" t="s">
        <v>303</v>
      </c>
      <c r="M2853" s="28" t="s">
        <v>151</v>
      </c>
      <c r="N2853" s="28">
        <v>1983.0</v>
      </c>
      <c r="O2853" s="28">
        <v>12.0</v>
      </c>
      <c r="P2853" s="28">
        <v>1.0</v>
      </c>
      <c r="Q2853" s="32">
        <v>1.0</v>
      </c>
      <c r="R2853" s="33"/>
      <c r="S2853" s="116"/>
      <c r="T2853" s="116"/>
      <c r="U2853" s="116"/>
      <c r="V2853" s="116"/>
      <c r="W2853" s="116"/>
      <c r="X2853" s="116"/>
      <c r="Y2853" s="45"/>
      <c r="Z2853" s="45"/>
      <c r="AA2853" s="45"/>
      <c r="AB2853" s="45"/>
      <c r="AC2853" s="45"/>
      <c r="AD2853" s="45"/>
      <c r="AE2853" s="45"/>
      <c r="AF2853" s="45"/>
      <c r="AG2853" s="45"/>
      <c r="AH2853" s="45"/>
      <c r="AI2853" s="45"/>
      <c r="AJ2853" s="45"/>
      <c r="AK2853" s="45"/>
      <c r="AL2853" s="45"/>
    </row>
    <row r="2854" ht="15.75" customHeight="1">
      <c r="A2854" s="27">
        <f t="shared" si="23"/>
        <v>1732</v>
      </c>
      <c r="B2854" s="28" t="s">
        <v>9933</v>
      </c>
      <c r="C2854" s="29" t="s">
        <v>9934</v>
      </c>
      <c r="D2854" s="39" t="s">
        <v>9935</v>
      </c>
      <c r="E2854" s="28" t="s">
        <v>144</v>
      </c>
      <c r="F2854" s="28" t="s">
        <v>29</v>
      </c>
      <c r="G2854" s="28" t="s">
        <v>30</v>
      </c>
      <c r="H2854" s="28"/>
      <c r="I2854" s="28" t="s">
        <v>30</v>
      </c>
      <c r="J2854" s="28">
        <v>160.0</v>
      </c>
      <c r="K2854" s="28"/>
      <c r="L2854" s="28" t="s">
        <v>3522</v>
      </c>
      <c r="M2854" s="28" t="s">
        <v>2479</v>
      </c>
      <c r="N2854" s="28">
        <v>2012.0</v>
      </c>
      <c r="O2854" s="62" t="s">
        <v>205</v>
      </c>
      <c r="P2854" s="28">
        <v>1.0</v>
      </c>
      <c r="Q2854" s="32">
        <v>1.0</v>
      </c>
      <c r="R2854" s="33"/>
      <c r="S2854" s="40"/>
      <c r="T2854" s="40"/>
      <c r="U2854" s="40"/>
      <c r="V2854" s="40"/>
      <c r="W2854" s="40"/>
      <c r="X2854" s="40"/>
      <c r="Y2854" s="45"/>
      <c r="Z2854" s="45"/>
      <c r="AA2854" s="45"/>
      <c r="AB2854" s="45"/>
      <c r="AC2854" s="45"/>
      <c r="AD2854" s="45"/>
      <c r="AE2854" s="45"/>
      <c r="AF2854" s="45"/>
      <c r="AG2854" s="45"/>
      <c r="AH2854" s="45"/>
      <c r="AI2854" s="45"/>
      <c r="AJ2854" s="45"/>
      <c r="AK2854" s="45"/>
      <c r="AL2854" s="45"/>
    </row>
    <row r="2855" ht="15.75" customHeight="1">
      <c r="A2855" s="27">
        <f t="shared" si="23"/>
        <v>1733</v>
      </c>
      <c r="B2855" s="28" t="s">
        <v>9936</v>
      </c>
      <c r="C2855" s="228" t="s">
        <v>9937</v>
      </c>
      <c r="D2855" s="30" t="s">
        <v>9938</v>
      </c>
      <c r="E2855" s="28" t="s">
        <v>28</v>
      </c>
      <c r="F2855" s="28" t="s">
        <v>29</v>
      </c>
      <c r="G2855" s="28" t="s">
        <v>37</v>
      </c>
      <c r="H2855" s="28"/>
      <c r="I2855" s="28" t="s">
        <v>38</v>
      </c>
      <c r="J2855" s="28">
        <v>336.0</v>
      </c>
      <c r="K2855" s="28"/>
      <c r="L2855" s="28" t="s">
        <v>9939</v>
      </c>
      <c r="M2855" s="60" t="s">
        <v>9940</v>
      </c>
      <c r="N2855" s="28">
        <v>2013.0</v>
      </c>
      <c r="O2855" s="62" t="s">
        <v>205</v>
      </c>
      <c r="P2855" s="28">
        <v>1.0</v>
      </c>
      <c r="Q2855" s="32">
        <v>1.0</v>
      </c>
      <c r="R2855" s="33"/>
      <c r="S2855" s="34"/>
      <c r="T2855" s="34"/>
      <c r="U2855" s="34"/>
      <c r="V2855" s="34"/>
      <c r="W2855" s="34"/>
      <c r="X2855" s="34"/>
      <c r="Y2855" s="45"/>
      <c r="Z2855" s="45"/>
      <c r="AA2855" s="45"/>
      <c r="AB2855" s="45"/>
      <c r="AC2855" s="45"/>
      <c r="AD2855" s="45"/>
      <c r="AE2855" s="45"/>
      <c r="AF2855" s="45"/>
      <c r="AG2855" s="45"/>
      <c r="AH2855" s="45"/>
      <c r="AI2855" s="45"/>
      <c r="AJ2855" s="45"/>
      <c r="AK2855" s="45"/>
      <c r="AL2855" s="45"/>
    </row>
    <row r="2856" ht="15.75" customHeight="1">
      <c r="A2856" s="27">
        <f t="shared" si="23"/>
        <v>1734</v>
      </c>
      <c r="B2856" s="121" t="s">
        <v>9941</v>
      </c>
      <c r="C2856" s="124" t="s">
        <v>9942</v>
      </c>
      <c r="D2856" s="119" t="s">
        <v>4910</v>
      </c>
      <c r="E2856" s="83"/>
      <c r="F2856" s="121" t="s">
        <v>29</v>
      </c>
      <c r="G2856" s="121" t="s">
        <v>30</v>
      </c>
      <c r="H2856" s="83"/>
      <c r="I2856" s="121" t="s">
        <v>30</v>
      </c>
      <c r="J2856" s="121">
        <v>137.0</v>
      </c>
      <c r="K2856" s="83"/>
      <c r="L2856" s="121" t="s">
        <v>9943</v>
      </c>
      <c r="M2856" s="121" t="s">
        <v>151</v>
      </c>
      <c r="N2856" s="121">
        <v>1997.0</v>
      </c>
      <c r="O2856" s="62" t="s">
        <v>205</v>
      </c>
      <c r="P2856" s="121">
        <v>1.0</v>
      </c>
      <c r="Q2856" s="121">
        <v>1.0</v>
      </c>
      <c r="R2856" s="84"/>
      <c r="S2856" s="34"/>
      <c r="T2856" s="34"/>
      <c r="U2856" s="34"/>
      <c r="V2856" s="34"/>
      <c r="W2856" s="34"/>
      <c r="X2856" s="34"/>
      <c r="Y2856" s="45"/>
      <c r="Z2856" s="45"/>
      <c r="AA2856" s="45"/>
      <c r="AB2856" s="45"/>
      <c r="AC2856" s="45"/>
      <c r="AD2856" s="45"/>
      <c r="AE2856" s="45"/>
      <c r="AF2856" s="45"/>
      <c r="AG2856" s="45"/>
      <c r="AH2856" s="45"/>
      <c r="AI2856" s="45"/>
      <c r="AJ2856" s="45"/>
      <c r="AK2856" s="45"/>
      <c r="AL2856" s="45"/>
    </row>
    <row r="2857" ht="15.75" customHeight="1">
      <c r="A2857" s="27">
        <f t="shared" si="23"/>
        <v>1735</v>
      </c>
      <c r="B2857" s="121" t="s">
        <v>31</v>
      </c>
      <c r="C2857" s="124" t="s">
        <v>9944</v>
      </c>
      <c r="D2857" s="128" t="s">
        <v>9945</v>
      </c>
      <c r="E2857" s="121" t="s">
        <v>3148</v>
      </c>
      <c r="F2857" s="121" t="s">
        <v>29</v>
      </c>
      <c r="G2857" s="121" t="s">
        <v>37</v>
      </c>
      <c r="H2857" s="83"/>
      <c r="I2857" s="121" t="s">
        <v>38</v>
      </c>
      <c r="J2857" s="121">
        <v>176.0</v>
      </c>
      <c r="K2857" s="83"/>
      <c r="L2857" s="124" t="s">
        <v>9946</v>
      </c>
      <c r="M2857" s="121" t="s">
        <v>54</v>
      </c>
      <c r="N2857" s="121">
        <v>1976.0</v>
      </c>
      <c r="O2857" s="124" t="s">
        <v>225</v>
      </c>
      <c r="P2857" s="124">
        <v>5.0</v>
      </c>
      <c r="Q2857" s="124">
        <v>5.0</v>
      </c>
      <c r="R2857" s="84"/>
      <c r="S2857" s="34"/>
      <c r="T2857" s="34"/>
      <c r="U2857" s="34"/>
      <c r="V2857" s="34"/>
      <c r="W2857" s="34"/>
      <c r="X2857" s="34"/>
      <c r="Y2857" s="45"/>
      <c r="Z2857" s="45"/>
      <c r="AA2857" s="45"/>
      <c r="AB2857" s="45"/>
      <c r="AC2857" s="45"/>
      <c r="AD2857" s="45"/>
      <c r="AE2857" s="45"/>
      <c r="AF2857" s="45"/>
      <c r="AG2857" s="45"/>
      <c r="AH2857" s="45"/>
      <c r="AI2857" s="45"/>
      <c r="AJ2857" s="45"/>
      <c r="AK2857" s="45"/>
      <c r="AL2857" s="45"/>
    </row>
    <row r="2858" ht="15.75" customHeight="1">
      <c r="A2858" s="27">
        <f t="shared" si="23"/>
        <v>1736</v>
      </c>
      <c r="B2858" s="28" t="s">
        <v>9947</v>
      </c>
      <c r="C2858" s="43" t="s">
        <v>9948</v>
      </c>
      <c r="D2858" s="30" t="s">
        <v>9949</v>
      </c>
      <c r="E2858" s="28" t="s">
        <v>144</v>
      </c>
      <c r="F2858" s="28" t="s">
        <v>29</v>
      </c>
      <c r="G2858" s="28" t="s">
        <v>30</v>
      </c>
      <c r="H2858" s="28"/>
      <c r="I2858" s="28" t="s">
        <v>30</v>
      </c>
      <c r="J2858" s="28">
        <v>86.0</v>
      </c>
      <c r="K2858" s="28"/>
      <c r="L2858" s="28" t="s">
        <v>9256</v>
      </c>
      <c r="M2858" s="28" t="s">
        <v>4762</v>
      </c>
      <c r="N2858" s="28">
        <v>2008.0</v>
      </c>
      <c r="O2858" s="60">
        <v>12.0</v>
      </c>
      <c r="P2858" s="28">
        <v>1.0</v>
      </c>
      <c r="Q2858" s="32">
        <v>1.0</v>
      </c>
      <c r="R2858" s="33"/>
      <c r="S2858" s="34"/>
      <c r="T2858" s="34"/>
      <c r="U2858" s="34"/>
      <c r="V2858" s="34"/>
      <c r="W2858" s="34"/>
      <c r="X2858" s="34"/>
      <c r="Y2858" s="45"/>
      <c r="Z2858" s="45"/>
      <c r="AA2858" s="45"/>
      <c r="AB2858" s="45"/>
      <c r="AC2858" s="45"/>
      <c r="AD2858" s="45"/>
      <c r="AE2858" s="45"/>
      <c r="AF2858" s="45"/>
      <c r="AG2858" s="45"/>
      <c r="AH2858" s="45"/>
      <c r="AI2858" s="45"/>
      <c r="AJ2858" s="45"/>
      <c r="AK2858" s="45"/>
      <c r="AL2858" s="45"/>
    </row>
    <row r="2859" ht="15.75" customHeight="1">
      <c r="A2859" s="27">
        <f t="shared" si="23"/>
        <v>1737</v>
      </c>
      <c r="B2859" s="28" t="s">
        <v>9950</v>
      </c>
      <c r="C2859" s="121" t="s">
        <v>9951</v>
      </c>
      <c r="D2859" s="119" t="s">
        <v>9952</v>
      </c>
      <c r="E2859" s="121" t="s">
        <v>28</v>
      </c>
      <c r="F2859" s="121" t="s">
        <v>29</v>
      </c>
      <c r="G2859" s="121" t="s">
        <v>30</v>
      </c>
      <c r="H2859" s="83"/>
      <c r="I2859" s="121" t="s">
        <v>30</v>
      </c>
      <c r="J2859" s="121">
        <v>216.0</v>
      </c>
      <c r="K2859" s="83"/>
      <c r="L2859" s="121" t="s">
        <v>9953</v>
      </c>
      <c r="M2859" s="121" t="s">
        <v>151</v>
      </c>
      <c r="N2859" s="121">
        <v>2007.0</v>
      </c>
      <c r="O2859" s="62" t="s">
        <v>205</v>
      </c>
      <c r="P2859" s="121">
        <v>1.0</v>
      </c>
      <c r="Q2859" s="121">
        <v>1.0</v>
      </c>
      <c r="R2859" s="84"/>
      <c r="S2859" s="34"/>
      <c r="T2859" s="34"/>
      <c r="U2859" s="34"/>
      <c r="V2859" s="34"/>
      <c r="W2859" s="34"/>
      <c r="X2859" s="34"/>
      <c r="Y2859" s="45"/>
      <c r="Z2859" s="45"/>
      <c r="AA2859" s="45"/>
      <c r="AB2859" s="45"/>
      <c r="AC2859" s="45"/>
      <c r="AD2859" s="45"/>
      <c r="AE2859" s="45"/>
      <c r="AF2859" s="45"/>
      <c r="AG2859" s="45"/>
      <c r="AH2859" s="45"/>
      <c r="AI2859" s="45"/>
      <c r="AJ2859" s="45"/>
      <c r="AK2859" s="45"/>
      <c r="AL2859" s="45"/>
    </row>
    <row r="2860" ht="15.75" customHeight="1">
      <c r="A2860" s="27">
        <f t="shared" si="23"/>
        <v>1738</v>
      </c>
      <c r="B2860" s="28" t="s">
        <v>9950</v>
      </c>
      <c r="C2860" s="29" t="s">
        <v>9954</v>
      </c>
      <c r="D2860" s="30" t="s">
        <v>9952</v>
      </c>
      <c r="E2860" s="28" t="s">
        <v>28</v>
      </c>
      <c r="F2860" s="28" t="s">
        <v>29</v>
      </c>
      <c r="G2860" s="28" t="s">
        <v>30</v>
      </c>
      <c r="H2860" s="28"/>
      <c r="I2860" s="28" t="s">
        <v>30</v>
      </c>
      <c r="J2860" s="28">
        <v>216.0</v>
      </c>
      <c r="K2860" s="28"/>
      <c r="L2860" s="28" t="s">
        <v>9955</v>
      </c>
      <c r="M2860" s="28" t="s">
        <v>151</v>
      </c>
      <c r="N2860" s="28">
        <v>2011.0</v>
      </c>
      <c r="O2860" s="62" t="s">
        <v>205</v>
      </c>
      <c r="P2860" s="28">
        <v>3.0</v>
      </c>
      <c r="Q2860" s="32">
        <v>3.0</v>
      </c>
      <c r="R2860" s="33"/>
      <c r="S2860" s="40"/>
      <c r="T2860" s="40"/>
      <c r="U2860" s="40"/>
      <c r="V2860" s="40"/>
      <c r="W2860" s="40"/>
      <c r="X2860" s="40"/>
      <c r="Y2860" s="45"/>
      <c r="Z2860" s="45"/>
      <c r="AA2860" s="45"/>
      <c r="AB2860" s="45"/>
      <c r="AC2860" s="45"/>
      <c r="AD2860" s="45"/>
      <c r="AE2860" s="45"/>
      <c r="AF2860" s="45"/>
      <c r="AG2860" s="45"/>
      <c r="AH2860" s="45"/>
      <c r="AI2860" s="45"/>
      <c r="AJ2860" s="45"/>
      <c r="AK2860" s="45"/>
      <c r="AL2860" s="45"/>
    </row>
    <row r="2861" ht="15.75" customHeight="1">
      <c r="A2861" s="27">
        <f t="shared" si="23"/>
        <v>1739</v>
      </c>
      <c r="B2861" s="28" t="s">
        <v>31</v>
      </c>
      <c r="C2861" s="48" t="s">
        <v>9956</v>
      </c>
      <c r="D2861" s="30" t="s">
        <v>9957</v>
      </c>
      <c r="E2861" s="28" t="s">
        <v>28</v>
      </c>
      <c r="F2861" s="28" t="s">
        <v>29</v>
      </c>
      <c r="G2861" s="28" t="s">
        <v>38</v>
      </c>
      <c r="H2861" s="28"/>
      <c r="I2861" s="28" t="s">
        <v>38</v>
      </c>
      <c r="J2861" s="28">
        <v>111.0</v>
      </c>
      <c r="K2861" s="28"/>
      <c r="L2861" s="28" t="s">
        <v>630</v>
      </c>
      <c r="M2861" s="28" t="s">
        <v>631</v>
      </c>
      <c r="N2861" s="28">
        <v>1967.0</v>
      </c>
      <c r="O2861" s="60">
        <v>12.0</v>
      </c>
      <c r="P2861" s="28">
        <v>1.0</v>
      </c>
      <c r="Q2861" s="32">
        <v>1.0</v>
      </c>
      <c r="R2861" s="33"/>
      <c r="S2861" s="34"/>
      <c r="T2861" s="34"/>
      <c r="U2861" s="34"/>
      <c r="V2861" s="34"/>
      <c r="W2861" s="34"/>
      <c r="X2861" s="34"/>
      <c r="Y2861" s="45"/>
      <c r="Z2861" s="45"/>
      <c r="AA2861" s="45"/>
      <c r="AB2861" s="45"/>
      <c r="AC2861" s="45"/>
      <c r="AD2861" s="45"/>
      <c r="AE2861" s="45"/>
      <c r="AF2861" s="45"/>
      <c r="AG2861" s="45"/>
      <c r="AH2861" s="45"/>
      <c r="AI2861" s="45"/>
      <c r="AJ2861" s="45"/>
      <c r="AK2861" s="45"/>
      <c r="AL2861" s="45"/>
    </row>
    <row r="2862" ht="15.75" customHeight="1">
      <c r="A2862" s="27">
        <f t="shared" si="23"/>
        <v>1740</v>
      </c>
      <c r="B2862" s="28" t="s">
        <v>9958</v>
      </c>
      <c r="C2862" s="102" t="s">
        <v>9959</v>
      </c>
      <c r="D2862" s="30" t="s">
        <v>9960</v>
      </c>
      <c r="E2862" s="28" t="s">
        <v>28</v>
      </c>
      <c r="F2862" s="28" t="s">
        <v>29</v>
      </c>
      <c r="G2862" s="28" t="s">
        <v>38</v>
      </c>
      <c r="H2862" s="28"/>
      <c r="I2862" s="28" t="s">
        <v>38</v>
      </c>
      <c r="J2862" s="28">
        <v>272.0</v>
      </c>
      <c r="K2862" s="28"/>
      <c r="L2862" s="28" t="s">
        <v>920</v>
      </c>
      <c r="M2862" s="28" t="s">
        <v>6983</v>
      </c>
      <c r="N2862" s="28">
        <v>1985.0</v>
      </c>
      <c r="O2862" s="60">
        <v>12.0</v>
      </c>
      <c r="P2862" s="28">
        <v>1.0</v>
      </c>
      <c r="Q2862" s="32">
        <v>1.0</v>
      </c>
      <c r="R2862" s="33"/>
      <c r="S2862" s="34"/>
      <c r="T2862" s="34"/>
      <c r="U2862" s="34"/>
      <c r="V2862" s="34"/>
      <c r="W2862" s="34"/>
      <c r="X2862" s="34"/>
      <c r="Y2862" s="45"/>
      <c r="Z2862" s="45"/>
      <c r="AA2862" s="45"/>
      <c r="AB2862" s="45"/>
      <c r="AC2862" s="45"/>
      <c r="AD2862" s="45"/>
      <c r="AE2862" s="45"/>
      <c r="AF2862" s="45"/>
      <c r="AG2862" s="45"/>
      <c r="AH2862" s="45"/>
      <c r="AI2862" s="45"/>
      <c r="AJ2862" s="45"/>
      <c r="AK2862" s="45"/>
      <c r="AL2862" s="45"/>
    </row>
    <row r="2863" ht="15.75" customHeight="1">
      <c r="A2863" s="27">
        <f t="shared" si="23"/>
        <v>1741</v>
      </c>
      <c r="B2863" s="28" t="s">
        <v>31</v>
      </c>
      <c r="C2863" s="102" t="s">
        <v>9961</v>
      </c>
      <c r="D2863" s="30" t="s">
        <v>9962</v>
      </c>
      <c r="E2863" s="28" t="s">
        <v>28</v>
      </c>
      <c r="F2863" s="28" t="s">
        <v>29</v>
      </c>
      <c r="G2863" s="28" t="s">
        <v>30</v>
      </c>
      <c r="H2863" s="28"/>
      <c r="I2863" s="28" t="s">
        <v>30</v>
      </c>
      <c r="J2863" s="28">
        <v>199.0</v>
      </c>
      <c r="K2863" s="28"/>
      <c r="L2863" s="28" t="s">
        <v>9963</v>
      </c>
      <c r="M2863" s="28" t="s">
        <v>151</v>
      </c>
      <c r="N2863" s="28">
        <v>1951.0</v>
      </c>
      <c r="O2863" s="60">
        <v>12.0</v>
      </c>
      <c r="P2863" s="28">
        <v>1.0</v>
      </c>
      <c r="Q2863" s="32">
        <v>1.0</v>
      </c>
      <c r="R2863" s="33"/>
      <c r="S2863" s="34"/>
      <c r="T2863" s="34"/>
      <c r="U2863" s="34"/>
      <c r="V2863" s="34"/>
      <c r="W2863" s="34"/>
      <c r="X2863" s="34"/>
      <c r="Y2863" s="45"/>
      <c r="Z2863" s="45"/>
      <c r="AA2863" s="45"/>
      <c r="AB2863" s="45"/>
      <c r="AC2863" s="45"/>
      <c r="AD2863" s="45"/>
      <c r="AE2863" s="45"/>
      <c r="AF2863" s="45"/>
      <c r="AG2863" s="45"/>
      <c r="AH2863" s="45"/>
      <c r="AI2863" s="45"/>
      <c r="AJ2863" s="45"/>
      <c r="AK2863" s="45"/>
      <c r="AL2863" s="45"/>
    </row>
    <row r="2864" ht="15.75" customHeight="1">
      <c r="A2864" s="27">
        <f t="shared" si="23"/>
        <v>1742</v>
      </c>
      <c r="B2864" s="28" t="s">
        <v>9964</v>
      </c>
      <c r="C2864" s="43" t="s">
        <v>9965</v>
      </c>
      <c r="D2864" s="30" t="s">
        <v>9966</v>
      </c>
      <c r="E2864" s="28" t="s">
        <v>144</v>
      </c>
      <c r="F2864" s="28" t="s">
        <v>29</v>
      </c>
      <c r="G2864" s="28" t="s">
        <v>30</v>
      </c>
      <c r="H2864" s="28" t="s">
        <v>31</v>
      </c>
      <c r="I2864" s="28" t="s">
        <v>30</v>
      </c>
      <c r="J2864" s="31">
        <v>347.0</v>
      </c>
      <c r="K2864" s="28"/>
      <c r="L2864" s="31" t="s">
        <v>9967</v>
      </c>
      <c r="M2864" s="28" t="s">
        <v>151</v>
      </c>
      <c r="N2864" s="28">
        <v>2011.0</v>
      </c>
      <c r="O2864" s="62" t="s">
        <v>205</v>
      </c>
      <c r="P2864" s="31">
        <v>2.0</v>
      </c>
      <c r="Q2864" s="37">
        <v>2.0</v>
      </c>
      <c r="R2864" s="33"/>
      <c r="S2864" s="40"/>
      <c r="T2864" s="40"/>
      <c r="U2864" s="40"/>
      <c r="V2864" s="40"/>
      <c r="W2864" s="40"/>
      <c r="X2864" s="40"/>
      <c r="Y2864" s="45"/>
      <c r="Z2864" s="45"/>
      <c r="AA2864" s="45"/>
      <c r="AB2864" s="45"/>
      <c r="AC2864" s="45"/>
      <c r="AD2864" s="45"/>
      <c r="AE2864" s="45"/>
      <c r="AF2864" s="45"/>
      <c r="AG2864" s="45"/>
      <c r="AH2864" s="45"/>
      <c r="AI2864" s="45"/>
      <c r="AJ2864" s="45"/>
      <c r="AK2864" s="45"/>
      <c r="AL2864" s="45"/>
    </row>
    <row r="2865" ht="15.75" customHeight="1">
      <c r="A2865" s="27">
        <f t="shared" si="23"/>
        <v>1743</v>
      </c>
      <c r="B2865" s="28" t="s">
        <v>9968</v>
      </c>
      <c r="C2865" s="102" t="s">
        <v>9969</v>
      </c>
      <c r="D2865" s="30" t="s">
        <v>9970</v>
      </c>
      <c r="E2865" s="28" t="s">
        <v>28</v>
      </c>
      <c r="F2865" s="28" t="s">
        <v>29</v>
      </c>
      <c r="G2865" s="28" t="s">
        <v>31</v>
      </c>
      <c r="H2865" s="28"/>
      <c r="I2865" s="28" t="s">
        <v>38</v>
      </c>
      <c r="J2865" s="28">
        <v>301.0</v>
      </c>
      <c r="K2865" s="28"/>
      <c r="L2865" s="28" t="s">
        <v>9971</v>
      </c>
      <c r="M2865" s="28" t="s">
        <v>6983</v>
      </c>
      <c r="N2865" s="28">
        <v>1987.0</v>
      </c>
      <c r="O2865" s="62" t="s">
        <v>205</v>
      </c>
      <c r="P2865" s="28">
        <v>1.0</v>
      </c>
      <c r="Q2865" s="32">
        <v>1.0</v>
      </c>
      <c r="R2865" s="33"/>
      <c r="S2865" s="40"/>
      <c r="T2865" s="40"/>
      <c r="U2865" s="40"/>
      <c r="V2865" s="40"/>
      <c r="W2865" s="40"/>
      <c r="X2865" s="40"/>
      <c r="Y2865" s="45"/>
      <c r="Z2865" s="45"/>
      <c r="AA2865" s="45"/>
      <c r="AB2865" s="45"/>
      <c r="AC2865" s="45"/>
      <c r="AD2865" s="45"/>
      <c r="AE2865" s="45"/>
      <c r="AF2865" s="45"/>
      <c r="AG2865" s="45"/>
      <c r="AH2865" s="45"/>
      <c r="AI2865" s="45"/>
      <c r="AJ2865" s="45"/>
      <c r="AK2865" s="45"/>
      <c r="AL2865" s="45"/>
    </row>
    <row r="2866" ht="15.75" customHeight="1">
      <c r="A2866" s="27">
        <f t="shared" si="23"/>
        <v>1744</v>
      </c>
      <c r="B2866" s="28" t="s">
        <v>31</v>
      </c>
      <c r="C2866" s="102" t="s">
        <v>9972</v>
      </c>
      <c r="D2866" s="30" t="s">
        <v>9973</v>
      </c>
      <c r="E2866" s="28" t="s">
        <v>28</v>
      </c>
      <c r="F2866" s="28" t="s">
        <v>29</v>
      </c>
      <c r="G2866" s="28" t="s">
        <v>30</v>
      </c>
      <c r="H2866" s="28"/>
      <c r="I2866" s="28" t="s">
        <v>30</v>
      </c>
      <c r="J2866" s="28">
        <v>335.0</v>
      </c>
      <c r="K2866" s="28"/>
      <c r="L2866" s="28" t="s">
        <v>9828</v>
      </c>
      <c r="M2866" s="28" t="s">
        <v>4762</v>
      </c>
      <c r="N2866" s="28" t="s">
        <v>31</v>
      </c>
      <c r="O2866" s="60">
        <v>12.0</v>
      </c>
      <c r="P2866" s="28">
        <v>1.0</v>
      </c>
      <c r="Q2866" s="32">
        <v>1.0</v>
      </c>
      <c r="R2866" s="33"/>
      <c r="S2866" s="40"/>
      <c r="T2866" s="40"/>
      <c r="U2866" s="40"/>
      <c r="V2866" s="40"/>
      <c r="W2866" s="40"/>
      <c r="X2866" s="40"/>
      <c r="Y2866" s="45"/>
      <c r="Z2866" s="45"/>
      <c r="AA2866" s="45"/>
      <c r="AB2866" s="45"/>
      <c r="AC2866" s="45"/>
      <c r="AD2866" s="45"/>
      <c r="AE2866" s="45"/>
      <c r="AF2866" s="45"/>
      <c r="AG2866" s="45"/>
      <c r="AH2866" s="45"/>
      <c r="AI2866" s="45"/>
      <c r="AJ2866" s="45"/>
      <c r="AK2866" s="45"/>
      <c r="AL2866" s="45"/>
    </row>
    <row r="2867" ht="15.75" customHeight="1">
      <c r="A2867" s="27">
        <f t="shared" si="23"/>
        <v>1745</v>
      </c>
      <c r="B2867" s="28" t="s">
        <v>9974</v>
      </c>
      <c r="C2867" s="102" t="s">
        <v>9975</v>
      </c>
      <c r="D2867" s="188" t="s">
        <v>9976</v>
      </c>
      <c r="E2867" s="28"/>
      <c r="F2867" s="28"/>
      <c r="G2867" s="60" t="s">
        <v>30</v>
      </c>
      <c r="H2867" s="28"/>
      <c r="I2867" s="60" t="s">
        <v>159</v>
      </c>
      <c r="J2867" s="60">
        <v>79.0</v>
      </c>
      <c r="K2867" s="28"/>
      <c r="L2867" s="60" t="s">
        <v>9977</v>
      </c>
      <c r="M2867" s="28"/>
      <c r="N2867" s="60">
        <v>2007.0</v>
      </c>
      <c r="O2867" s="60">
        <v>12.0</v>
      </c>
      <c r="P2867" s="62">
        <v>3.0</v>
      </c>
      <c r="Q2867" s="114">
        <v>3.0</v>
      </c>
      <c r="R2867" s="33"/>
      <c r="S2867" s="34"/>
      <c r="T2867" s="34"/>
      <c r="U2867" s="34"/>
      <c r="V2867" s="34"/>
      <c r="W2867" s="34"/>
      <c r="X2867" s="34"/>
      <c r="Y2867" s="45"/>
      <c r="Z2867" s="45"/>
      <c r="AA2867" s="45"/>
      <c r="AB2867" s="45"/>
      <c r="AC2867" s="45"/>
      <c r="AD2867" s="45"/>
      <c r="AE2867" s="45"/>
      <c r="AF2867" s="45"/>
      <c r="AG2867" s="45"/>
      <c r="AH2867" s="45"/>
      <c r="AI2867" s="45"/>
      <c r="AJ2867" s="45"/>
      <c r="AK2867" s="45"/>
      <c r="AL2867" s="45"/>
    </row>
    <row r="2868" ht="15.75" customHeight="1">
      <c r="A2868" s="27">
        <f t="shared" si="23"/>
        <v>1746</v>
      </c>
      <c r="B2868" s="28" t="s">
        <v>9978</v>
      </c>
      <c r="C2868" s="43" t="s">
        <v>9979</v>
      </c>
      <c r="D2868" s="30" t="s">
        <v>9980</v>
      </c>
      <c r="E2868" s="28" t="s">
        <v>28</v>
      </c>
      <c r="F2868" s="28" t="s">
        <v>29</v>
      </c>
      <c r="G2868" s="28" t="s">
        <v>37</v>
      </c>
      <c r="H2868" s="28"/>
      <c r="I2868" s="28" t="s">
        <v>38</v>
      </c>
      <c r="J2868" s="28">
        <v>578.0</v>
      </c>
      <c r="K2868" s="28"/>
      <c r="L2868" s="28" t="s">
        <v>446</v>
      </c>
      <c r="M2868" s="77" t="s">
        <v>250</v>
      </c>
      <c r="N2868" s="28">
        <v>1988.0</v>
      </c>
      <c r="O2868" s="28">
        <v>12.0</v>
      </c>
      <c r="P2868" s="28">
        <v>1.0</v>
      </c>
      <c r="Q2868" s="94">
        <v>1.0</v>
      </c>
      <c r="R2868" s="33"/>
      <c r="S2868" s="40"/>
      <c r="T2868" s="40"/>
      <c r="U2868" s="40"/>
      <c r="V2868" s="40"/>
      <c r="W2868" s="40"/>
      <c r="X2868" s="40"/>
      <c r="Y2868" s="45"/>
      <c r="Z2868" s="45"/>
      <c r="AA2868" s="45"/>
      <c r="AB2868" s="45"/>
      <c r="AC2868" s="45"/>
      <c r="AD2868" s="45"/>
      <c r="AE2868" s="45"/>
      <c r="AF2868" s="45"/>
      <c r="AG2868" s="45"/>
      <c r="AH2868" s="45"/>
      <c r="AI2868" s="45"/>
      <c r="AJ2868" s="45"/>
      <c r="AK2868" s="45"/>
      <c r="AL2868" s="45"/>
    </row>
    <row r="2869" ht="15.75" customHeight="1">
      <c r="A2869" s="27">
        <f t="shared" si="23"/>
        <v>1747</v>
      </c>
      <c r="B2869" s="28" t="s">
        <v>9981</v>
      </c>
      <c r="C2869" s="43" t="s">
        <v>9982</v>
      </c>
      <c r="D2869" s="30" t="s">
        <v>9983</v>
      </c>
      <c r="E2869" s="28" t="s">
        <v>28</v>
      </c>
      <c r="F2869" s="28" t="s">
        <v>29</v>
      </c>
      <c r="G2869" s="28" t="s">
        <v>37</v>
      </c>
      <c r="H2869" s="28"/>
      <c r="I2869" s="28" t="s">
        <v>38</v>
      </c>
      <c r="J2869" s="28">
        <v>804.0</v>
      </c>
      <c r="K2869" s="28"/>
      <c r="L2869" s="28" t="s">
        <v>9984</v>
      </c>
      <c r="M2869" s="28" t="s">
        <v>230</v>
      </c>
      <c r="N2869" s="28">
        <v>2011.0</v>
      </c>
      <c r="O2869" s="60">
        <v>12.0</v>
      </c>
      <c r="P2869" s="28">
        <v>1.0</v>
      </c>
      <c r="Q2869" s="32">
        <v>1.0</v>
      </c>
      <c r="R2869" s="33"/>
      <c r="S2869" s="40"/>
      <c r="T2869" s="40"/>
      <c r="U2869" s="40"/>
      <c r="V2869" s="40"/>
      <c r="W2869" s="40"/>
      <c r="X2869" s="40"/>
      <c r="Y2869" s="45"/>
      <c r="Z2869" s="45"/>
      <c r="AA2869" s="45"/>
      <c r="AB2869" s="45"/>
      <c r="AC2869" s="45"/>
      <c r="AD2869" s="45"/>
      <c r="AE2869" s="45"/>
      <c r="AF2869" s="45"/>
      <c r="AG2869" s="45"/>
      <c r="AH2869" s="45"/>
      <c r="AI2869" s="45"/>
      <c r="AJ2869" s="45"/>
      <c r="AK2869" s="45"/>
      <c r="AL2869" s="45"/>
    </row>
    <row r="2870" ht="15.75" customHeight="1">
      <c r="A2870" s="27">
        <f t="shared" si="23"/>
        <v>1748</v>
      </c>
      <c r="B2870" s="28" t="s">
        <v>9985</v>
      </c>
      <c r="C2870" s="102" t="s">
        <v>9986</v>
      </c>
      <c r="D2870" s="30" t="s">
        <v>9987</v>
      </c>
      <c r="E2870" s="28" t="s">
        <v>28</v>
      </c>
      <c r="F2870" s="28" t="s">
        <v>29</v>
      </c>
      <c r="G2870" s="28" t="s">
        <v>37</v>
      </c>
      <c r="H2870" s="28"/>
      <c r="I2870" s="28" t="s">
        <v>38</v>
      </c>
      <c r="J2870" s="28">
        <v>195.0</v>
      </c>
      <c r="K2870" s="28"/>
      <c r="L2870" s="28" t="s">
        <v>514</v>
      </c>
      <c r="M2870" s="28" t="s">
        <v>4194</v>
      </c>
      <c r="N2870" s="28">
        <v>1987.0</v>
      </c>
      <c r="O2870" s="60">
        <v>12.0</v>
      </c>
      <c r="P2870" s="28">
        <v>1.0</v>
      </c>
      <c r="Q2870" s="32">
        <v>1.0</v>
      </c>
      <c r="R2870" s="33"/>
      <c r="S2870" s="34"/>
      <c r="T2870" s="34"/>
      <c r="U2870" s="34"/>
      <c r="V2870" s="34"/>
      <c r="W2870" s="34"/>
      <c r="X2870" s="34"/>
      <c r="Y2870" s="45"/>
      <c r="Z2870" s="45"/>
      <c r="AA2870" s="45"/>
      <c r="AB2870" s="45"/>
      <c r="AC2870" s="45"/>
      <c r="AD2870" s="45"/>
      <c r="AE2870" s="45"/>
      <c r="AF2870" s="45"/>
      <c r="AG2870" s="45"/>
      <c r="AH2870" s="45"/>
      <c r="AI2870" s="45"/>
      <c r="AJ2870" s="45"/>
      <c r="AK2870" s="45"/>
      <c r="AL2870" s="45"/>
    </row>
    <row r="2871" ht="15.75" customHeight="1">
      <c r="A2871" s="27">
        <f t="shared" si="23"/>
        <v>1749</v>
      </c>
      <c r="B2871" s="28" t="s">
        <v>9988</v>
      </c>
      <c r="C2871" s="43" t="s">
        <v>9989</v>
      </c>
      <c r="D2871" s="30" t="s">
        <v>9990</v>
      </c>
      <c r="E2871" s="28" t="s">
        <v>28</v>
      </c>
      <c r="F2871" s="28" t="s">
        <v>29</v>
      </c>
      <c r="G2871" s="28" t="s">
        <v>37</v>
      </c>
      <c r="H2871" s="28"/>
      <c r="I2871" s="28" t="s">
        <v>38</v>
      </c>
      <c r="J2871" s="28">
        <v>263.0</v>
      </c>
      <c r="K2871" s="28"/>
      <c r="L2871" s="28" t="s">
        <v>9971</v>
      </c>
      <c r="M2871" s="28" t="s">
        <v>6983</v>
      </c>
      <c r="N2871" s="28">
        <v>1980.0</v>
      </c>
      <c r="O2871" s="62" t="s">
        <v>205</v>
      </c>
      <c r="P2871" s="28">
        <v>1.0</v>
      </c>
      <c r="Q2871" s="32">
        <v>1.0</v>
      </c>
      <c r="R2871" s="33"/>
      <c r="S2871" s="34"/>
      <c r="T2871" s="34"/>
      <c r="U2871" s="34"/>
      <c r="V2871" s="34"/>
      <c r="W2871" s="34"/>
      <c r="X2871" s="34"/>
      <c r="Y2871" s="45"/>
      <c r="Z2871" s="45"/>
      <c r="AA2871" s="45"/>
      <c r="AB2871" s="45"/>
      <c r="AC2871" s="45"/>
      <c r="AD2871" s="45"/>
      <c r="AE2871" s="45"/>
      <c r="AF2871" s="45"/>
      <c r="AG2871" s="45"/>
      <c r="AH2871" s="45"/>
      <c r="AI2871" s="45"/>
      <c r="AJ2871" s="45"/>
      <c r="AK2871" s="45"/>
      <c r="AL2871" s="45"/>
    </row>
    <row r="2872" ht="15.75" customHeight="1">
      <c r="A2872" s="27">
        <f t="shared" si="23"/>
        <v>1750</v>
      </c>
      <c r="B2872" s="28" t="s">
        <v>31</v>
      </c>
      <c r="C2872" s="102" t="s">
        <v>9991</v>
      </c>
      <c r="D2872" s="120" t="s">
        <v>9992</v>
      </c>
      <c r="E2872" s="28" t="s">
        <v>28</v>
      </c>
      <c r="F2872" s="28" t="s">
        <v>29</v>
      </c>
      <c r="G2872" s="28" t="s">
        <v>30</v>
      </c>
      <c r="H2872" s="28"/>
      <c r="I2872" s="28" t="s">
        <v>30</v>
      </c>
      <c r="J2872" s="28">
        <v>320.0</v>
      </c>
      <c r="K2872" s="28"/>
      <c r="L2872" s="31" t="s">
        <v>912</v>
      </c>
      <c r="M2872" s="28" t="s">
        <v>4762</v>
      </c>
      <c r="N2872" s="28">
        <v>2004.0</v>
      </c>
      <c r="O2872" s="62" t="s">
        <v>205</v>
      </c>
      <c r="P2872" s="28">
        <v>1.0</v>
      </c>
      <c r="Q2872" s="32">
        <v>1.0</v>
      </c>
      <c r="R2872" s="33"/>
      <c r="S2872" s="34"/>
      <c r="T2872" s="34"/>
      <c r="U2872" s="34"/>
      <c r="V2872" s="34"/>
      <c r="W2872" s="34"/>
      <c r="X2872" s="34"/>
      <c r="Y2872" s="45"/>
      <c r="Z2872" s="45"/>
      <c r="AA2872" s="45"/>
      <c r="AB2872" s="45"/>
      <c r="AC2872" s="45"/>
      <c r="AD2872" s="45"/>
      <c r="AE2872" s="45"/>
      <c r="AF2872" s="45"/>
      <c r="AG2872" s="45"/>
      <c r="AH2872" s="45"/>
      <c r="AI2872" s="45"/>
      <c r="AJ2872" s="45"/>
      <c r="AK2872" s="45"/>
      <c r="AL2872" s="45"/>
    </row>
    <row r="2873" ht="15.75" customHeight="1">
      <c r="A2873" s="27">
        <f t="shared" si="23"/>
        <v>1751</v>
      </c>
      <c r="B2873" s="28" t="s">
        <v>9993</v>
      </c>
      <c r="C2873" s="43" t="s">
        <v>9994</v>
      </c>
      <c r="D2873" s="30" t="s">
        <v>9995</v>
      </c>
      <c r="E2873" s="28" t="s">
        <v>302</v>
      </c>
      <c r="F2873" s="28" t="s">
        <v>29</v>
      </c>
      <c r="G2873" s="28" t="s">
        <v>30</v>
      </c>
      <c r="H2873" s="28"/>
      <c r="I2873" s="28" t="s">
        <v>30</v>
      </c>
      <c r="J2873" s="28">
        <v>842.0</v>
      </c>
      <c r="K2873" s="28"/>
      <c r="L2873" s="28" t="s">
        <v>9996</v>
      </c>
      <c r="M2873" s="28" t="s">
        <v>151</v>
      </c>
      <c r="N2873" s="28">
        <v>2003.0</v>
      </c>
      <c r="O2873" s="28">
        <v>12.0</v>
      </c>
      <c r="P2873" s="28">
        <v>1.0</v>
      </c>
      <c r="Q2873" s="32">
        <v>1.0</v>
      </c>
      <c r="R2873" s="33"/>
      <c r="S2873" s="116"/>
      <c r="T2873" s="116"/>
      <c r="U2873" s="116"/>
      <c r="V2873" s="116"/>
      <c r="W2873" s="116"/>
      <c r="X2873" s="116"/>
      <c r="Y2873" s="45"/>
      <c r="Z2873" s="45"/>
      <c r="AA2873" s="45"/>
      <c r="AB2873" s="45"/>
      <c r="AC2873" s="45"/>
      <c r="AD2873" s="45"/>
      <c r="AE2873" s="45"/>
      <c r="AF2873" s="45"/>
      <c r="AG2873" s="45"/>
      <c r="AH2873" s="45"/>
      <c r="AI2873" s="45"/>
      <c r="AJ2873" s="45"/>
      <c r="AK2873" s="45"/>
      <c r="AL2873" s="45"/>
    </row>
    <row r="2874" ht="15.75" customHeight="1">
      <c r="A2874" s="27">
        <f t="shared" si="23"/>
        <v>1752</v>
      </c>
      <c r="B2874" s="28" t="s">
        <v>9997</v>
      </c>
      <c r="C2874" s="43" t="s">
        <v>9998</v>
      </c>
      <c r="D2874" s="30" t="s">
        <v>9999</v>
      </c>
      <c r="E2874" s="28"/>
      <c r="F2874" s="28" t="s">
        <v>29</v>
      </c>
      <c r="G2874" s="28" t="s">
        <v>30</v>
      </c>
      <c r="H2874" s="28"/>
      <c r="I2874" s="28" t="s">
        <v>30</v>
      </c>
      <c r="J2874" s="28">
        <v>340.0</v>
      </c>
      <c r="K2874" s="28"/>
      <c r="L2874" s="28" t="s">
        <v>303</v>
      </c>
      <c r="M2874" s="28" t="s">
        <v>151</v>
      </c>
      <c r="N2874" s="28">
        <v>1983.0</v>
      </c>
      <c r="O2874" s="60">
        <v>12.0</v>
      </c>
      <c r="P2874" s="28">
        <v>1.0</v>
      </c>
      <c r="Q2874" s="32">
        <v>1.0</v>
      </c>
      <c r="R2874" s="33"/>
      <c r="S2874" s="116"/>
      <c r="T2874" s="116"/>
      <c r="U2874" s="116"/>
      <c r="V2874" s="116"/>
      <c r="W2874" s="116"/>
      <c r="X2874" s="116"/>
      <c r="Y2874" s="45"/>
      <c r="Z2874" s="45"/>
      <c r="AA2874" s="45"/>
      <c r="AB2874" s="45"/>
      <c r="AC2874" s="45"/>
      <c r="AD2874" s="45"/>
      <c r="AE2874" s="45"/>
      <c r="AF2874" s="45"/>
      <c r="AG2874" s="45"/>
      <c r="AH2874" s="45"/>
      <c r="AI2874" s="45"/>
      <c r="AJ2874" s="45"/>
      <c r="AK2874" s="45"/>
      <c r="AL2874" s="45"/>
    </row>
    <row r="2875" ht="15.75" customHeight="1">
      <c r="A2875" s="27">
        <f t="shared" si="23"/>
        <v>1753</v>
      </c>
      <c r="B2875" s="31" t="s">
        <v>9930</v>
      </c>
      <c r="C2875" s="29" t="s">
        <v>10000</v>
      </c>
      <c r="D2875" s="229" t="s">
        <v>10001</v>
      </c>
      <c r="E2875" s="43" t="s">
        <v>302</v>
      </c>
      <c r="F2875" s="28" t="s">
        <v>29</v>
      </c>
      <c r="G2875" s="28" t="s">
        <v>30</v>
      </c>
      <c r="H2875" s="43"/>
      <c r="I2875" s="28" t="s">
        <v>30</v>
      </c>
      <c r="J2875" s="43">
        <v>282.0</v>
      </c>
      <c r="K2875" s="43"/>
      <c r="L2875" s="28" t="s">
        <v>303</v>
      </c>
      <c r="M2875" s="28" t="s">
        <v>151</v>
      </c>
      <c r="N2875" s="43">
        <v>2015.0</v>
      </c>
      <c r="O2875" s="31">
        <v>8.0</v>
      </c>
      <c r="P2875" s="43">
        <v>1.0</v>
      </c>
      <c r="Q2875" s="32">
        <v>1.0</v>
      </c>
      <c r="R2875" s="33"/>
      <c r="S2875" s="34"/>
      <c r="T2875" s="34"/>
      <c r="U2875" s="34"/>
      <c r="V2875" s="34"/>
      <c r="W2875" s="34"/>
      <c r="X2875" s="34"/>
      <c r="Y2875" s="45"/>
      <c r="Z2875" s="45"/>
      <c r="AA2875" s="45"/>
      <c r="AB2875" s="45"/>
      <c r="AC2875" s="45"/>
      <c r="AD2875" s="45"/>
      <c r="AE2875" s="45"/>
      <c r="AF2875" s="45"/>
      <c r="AG2875" s="45"/>
      <c r="AH2875" s="45"/>
      <c r="AI2875" s="45"/>
      <c r="AJ2875" s="45"/>
      <c r="AK2875" s="45"/>
      <c r="AL2875" s="45"/>
    </row>
    <row r="2876" ht="15.75" customHeight="1">
      <c r="A2876" s="27">
        <f t="shared" si="23"/>
        <v>1754</v>
      </c>
      <c r="B2876" s="121" t="s">
        <v>10002</v>
      </c>
      <c r="C2876" s="124" t="s">
        <v>10003</v>
      </c>
      <c r="D2876" s="128" t="s">
        <v>10004</v>
      </c>
      <c r="E2876" s="121" t="s">
        <v>144</v>
      </c>
      <c r="F2876" s="83"/>
      <c r="G2876" s="121" t="s">
        <v>37</v>
      </c>
      <c r="H2876" s="83"/>
      <c r="I2876" s="121" t="s">
        <v>38</v>
      </c>
      <c r="J2876" s="121">
        <v>147.0</v>
      </c>
      <c r="K2876" s="83"/>
      <c r="L2876" s="121" t="s">
        <v>10005</v>
      </c>
      <c r="M2876" s="121" t="s">
        <v>10006</v>
      </c>
      <c r="N2876" s="121">
        <v>2006.0</v>
      </c>
      <c r="O2876" s="28">
        <v>12.0</v>
      </c>
      <c r="P2876" s="121">
        <v>1.0</v>
      </c>
      <c r="Q2876" s="121">
        <v>1.0</v>
      </c>
      <c r="R2876" s="84"/>
      <c r="S2876" s="34"/>
      <c r="T2876" s="34"/>
      <c r="U2876" s="34"/>
      <c r="V2876" s="34"/>
      <c r="W2876" s="34"/>
      <c r="X2876" s="34"/>
      <c r="Y2876" s="45"/>
      <c r="Z2876" s="45"/>
      <c r="AA2876" s="45"/>
      <c r="AB2876" s="45"/>
      <c r="AC2876" s="45"/>
      <c r="AD2876" s="45"/>
      <c r="AE2876" s="45"/>
      <c r="AF2876" s="45"/>
      <c r="AG2876" s="45"/>
      <c r="AH2876" s="45"/>
      <c r="AI2876" s="45"/>
      <c r="AJ2876" s="45"/>
      <c r="AK2876" s="45"/>
      <c r="AL2876" s="45"/>
    </row>
    <row r="2877" ht="15.75" customHeight="1">
      <c r="A2877" s="27">
        <f t="shared" si="23"/>
        <v>1755</v>
      </c>
      <c r="B2877" s="28" t="s">
        <v>10007</v>
      </c>
      <c r="C2877" s="43" t="s">
        <v>10008</v>
      </c>
      <c r="D2877" s="30" t="s">
        <v>10009</v>
      </c>
      <c r="E2877" s="28" t="s">
        <v>302</v>
      </c>
      <c r="F2877" s="28" t="s">
        <v>29</v>
      </c>
      <c r="G2877" s="28" t="s">
        <v>38</v>
      </c>
      <c r="H2877" s="28"/>
      <c r="I2877" s="28" t="s">
        <v>38</v>
      </c>
      <c r="J2877" s="28">
        <v>228.0</v>
      </c>
      <c r="K2877" s="28"/>
      <c r="L2877" s="28" t="s">
        <v>10010</v>
      </c>
      <c r="M2877" s="28" t="s">
        <v>230</v>
      </c>
      <c r="N2877" s="28">
        <v>2008.0</v>
      </c>
      <c r="O2877" s="28">
        <v>12.0</v>
      </c>
      <c r="P2877" s="28">
        <v>1.0</v>
      </c>
      <c r="Q2877" s="32">
        <v>1.0</v>
      </c>
      <c r="R2877" s="33"/>
      <c r="S2877" s="34"/>
      <c r="T2877" s="40"/>
      <c r="U2877" s="40"/>
      <c r="V2877" s="40"/>
      <c r="W2877" s="40"/>
      <c r="X2877" s="40"/>
      <c r="Y2877" s="45"/>
      <c r="Z2877" s="45"/>
      <c r="AA2877" s="45"/>
      <c r="AB2877" s="45"/>
      <c r="AC2877" s="45"/>
      <c r="AD2877" s="45"/>
      <c r="AE2877" s="45"/>
      <c r="AF2877" s="45"/>
      <c r="AG2877" s="45"/>
      <c r="AH2877" s="45"/>
      <c r="AI2877" s="45"/>
      <c r="AJ2877" s="45"/>
      <c r="AK2877" s="45"/>
      <c r="AL2877" s="45"/>
    </row>
    <row r="2878" ht="15.75" customHeight="1">
      <c r="A2878" s="27">
        <f t="shared" si="23"/>
        <v>1756</v>
      </c>
      <c r="B2878" s="28" t="s">
        <v>10011</v>
      </c>
      <c r="C2878" s="43" t="s">
        <v>10012</v>
      </c>
      <c r="D2878" s="30" t="s">
        <v>10013</v>
      </c>
      <c r="E2878" s="28" t="s">
        <v>302</v>
      </c>
      <c r="F2878" s="28" t="s">
        <v>29</v>
      </c>
      <c r="G2878" s="28" t="s">
        <v>38</v>
      </c>
      <c r="H2878" s="28"/>
      <c r="I2878" s="28" t="s">
        <v>38</v>
      </c>
      <c r="J2878" s="28">
        <v>383.0</v>
      </c>
      <c r="K2878" s="28"/>
      <c r="L2878" s="28" t="s">
        <v>10014</v>
      </c>
      <c r="M2878" s="28" t="s">
        <v>72</v>
      </c>
      <c r="N2878" s="28">
        <v>2013.0</v>
      </c>
      <c r="O2878" s="28">
        <v>12.0</v>
      </c>
      <c r="P2878" s="28">
        <v>1.0</v>
      </c>
      <c r="Q2878" s="32">
        <v>1.0</v>
      </c>
      <c r="R2878" s="33"/>
      <c r="S2878" s="34"/>
      <c r="T2878" s="34"/>
      <c r="U2878" s="34"/>
      <c r="V2878" s="34"/>
      <c r="W2878" s="34"/>
      <c r="X2878" s="34"/>
      <c r="Y2878" s="45"/>
      <c r="Z2878" s="45"/>
      <c r="AA2878" s="45"/>
      <c r="AB2878" s="45"/>
      <c r="AC2878" s="45"/>
      <c r="AD2878" s="45"/>
      <c r="AE2878" s="45"/>
      <c r="AF2878" s="45"/>
      <c r="AG2878" s="45"/>
      <c r="AH2878" s="45"/>
      <c r="AI2878" s="45"/>
      <c r="AJ2878" s="45"/>
      <c r="AK2878" s="45"/>
      <c r="AL2878" s="45"/>
    </row>
    <row r="2879" ht="15.75" customHeight="1">
      <c r="A2879" s="27">
        <f t="shared" si="23"/>
        <v>1757</v>
      </c>
      <c r="B2879" s="28" t="s">
        <v>10015</v>
      </c>
      <c r="C2879" s="29" t="s">
        <v>10016</v>
      </c>
      <c r="D2879" s="30" t="s">
        <v>10017</v>
      </c>
      <c r="E2879" s="28" t="s">
        <v>144</v>
      </c>
      <c r="F2879" s="28" t="s">
        <v>29</v>
      </c>
      <c r="G2879" s="28" t="s">
        <v>30</v>
      </c>
      <c r="H2879" s="28"/>
      <c r="I2879" s="28" t="s">
        <v>30</v>
      </c>
      <c r="J2879" s="28">
        <f>1218+30</f>
        <v>1248</v>
      </c>
      <c r="K2879" s="28"/>
      <c r="L2879" s="28" t="s">
        <v>10018</v>
      </c>
      <c r="M2879" s="28" t="s">
        <v>9719</v>
      </c>
      <c r="N2879" s="28">
        <v>2009.0</v>
      </c>
      <c r="O2879" s="28">
        <v>12.0</v>
      </c>
      <c r="P2879" s="28">
        <v>1.0</v>
      </c>
      <c r="Q2879" s="94">
        <v>1.0</v>
      </c>
      <c r="R2879" s="33"/>
      <c r="S2879" s="34"/>
      <c r="T2879" s="34"/>
      <c r="U2879" s="34"/>
      <c r="V2879" s="34"/>
      <c r="W2879" s="34"/>
      <c r="X2879" s="34"/>
      <c r="Y2879" s="45"/>
      <c r="Z2879" s="45"/>
      <c r="AA2879" s="45"/>
      <c r="AB2879" s="45"/>
      <c r="AC2879" s="45"/>
      <c r="AD2879" s="45"/>
      <c r="AE2879" s="45"/>
      <c r="AF2879" s="45"/>
      <c r="AG2879" s="45"/>
      <c r="AH2879" s="45"/>
      <c r="AI2879" s="45"/>
      <c r="AJ2879" s="45"/>
      <c r="AK2879" s="45"/>
      <c r="AL2879" s="45"/>
    </row>
    <row r="2880" ht="15.75" customHeight="1">
      <c r="A2880" s="27">
        <f t="shared" si="23"/>
        <v>1758</v>
      </c>
      <c r="B2880" s="28" t="s">
        <v>10019</v>
      </c>
      <c r="C2880" s="29" t="s">
        <v>10020</v>
      </c>
      <c r="D2880" s="30" t="s">
        <v>10021</v>
      </c>
      <c r="E2880" s="28"/>
      <c r="F2880" s="28" t="s">
        <v>29</v>
      </c>
      <c r="G2880" s="28" t="s">
        <v>37</v>
      </c>
      <c r="H2880" s="28"/>
      <c r="I2880" s="28" t="s">
        <v>38</v>
      </c>
      <c r="J2880" s="28">
        <v>181.0</v>
      </c>
      <c r="K2880" s="28"/>
      <c r="L2880" s="28" t="s">
        <v>10022</v>
      </c>
      <c r="M2880" s="28" t="s">
        <v>6983</v>
      </c>
      <c r="N2880" s="28">
        <v>1973.0</v>
      </c>
      <c r="O2880" s="28">
        <v>12.0</v>
      </c>
      <c r="P2880" s="28">
        <v>1.0</v>
      </c>
      <c r="Q2880" s="94">
        <v>1.0</v>
      </c>
      <c r="R2880" s="33"/>
      <c r="S2880" s="34"/>
      <c r="T2880" s="34"/>
      <c r="U2880" s="34"/>
      <c r="V2880" s="34"/>
      <c r="W2880" s="34"/>
      <c r="X2880" s="34"/>
      <c r="Y2880" s="45"/>
      <c r="Z2880" s="45"/>
      <c r="AA2880" s="45"/>
      <c r="AB2880" s="45"/>
      <c r="AC2880" s="45"/>
      <c r="AD2880" s="45"/>
      <c r="AE2880" s="45"/>
      <c r="AF2880" s="45"/>
      <c r="AG2880" s="45"/>
      <c r="AH2880" s="45"/>
      <c r="AI2880" s="45"/>
      <c r="AJ2880" s="45"/>
      <c r="AK2880" s="45"/>
      <c r="AL2880" s="45"/>
    </row>
    <row r="2881" ht="15.75" customHeight="1">
      <c r="A2881" s="27">
        <f t="shared" si="23"/>
        <v>1759</v>
      </c>
      <c r="B2881" s="28" t="s">
        <v>10023</v>
      </c>
      <c r="C2881" s="48" t="s">
        <v>10024</v>
      </c>
      <c r="D2881" s="30" t="s">
        <v>10025</v>
      </c>
      <c r="E2881" s="28" t="s">
        <v>302</v>
      </c>
      <c r="F2881" s="28" t="s">
        <v>29</v>
      </c>
      <c r="G2881" s="28" t="s">
        <v>37</v>
      </c>
      <c r="H2881" s="28"/>
      <c r="I2881" s="28" t="s">
        <v>38</v>
      </c>
      <c r="J2881" s="28">
        <v>290.0</v>
      </c>
      <c r="K2881" s="28"/>
      <c r="L2881" s="28" t="s">
        <v>857</v>
      </c>
      <c r="M2881" s="28" t="s">
        <v>230</v>
      </c>
      <c r="N2881" s="28">
        <v>2004.0</v>
      </c>
      <c r="O2881" s="60">
        <v>12.0</v>
      </c>
      <c r="P2881" s="28">
        <v>1.0</v>
      </c>
      <c r="Q2881" s="32">
        <v>1.0</v>
      </c>
      <c r="R2881" s="33"/>
      <c r="S2881" s="34"/>
      <c r="T2881" s="34"/>
      <c r="U2881" s="34"/>
      <c r="V2881" s="34"/>
      <c r="W2881" s="34"/>
      <c r="X2881" s="34"/>
      <c r="Y2881" s="45"/>
      <c r="Z2881" s="45"/>
      <c r="AA2881" s="45"/>
      <c r="AB2881" s="45"/>
      <c r="AC2881" s="45"/>
      <c r="AD2881" s="45"/>
      <c r="AE2881" s="45"/>
      <c r="AF2881" s="45"/>
      <c r="AG2881" s="45"/>
      <c r="AH2881" s="45"/>
      <c r="AI2881" s="45"/>
      <c r="AJ2881" s="45"/>
      <c r="AK2881" s="45"/>
      <c r="AL2881" s="45"/>
    </row>
    <row r="2882" ht="15.75" customHeight="1">
      <c r="A2882" s="27">
        <f t="shared" si="23"/>
        <v>1760</v>
      </c>
      <c r="B2882" s="28" t="s">
        <v>10026</v>
      </c>
      <c r="C2882" s="29" t="s">
        <v>10027</v>
      </c>
      <c r="D2882" s="30" t="s">
        <v>10028</v>
      </c>
      <c r="E2882" s="28"/>
      <c r="F2882" s="28" t="s">
        <v>29</v>
      </c>
      <c r="G2882" s="28" t="s">
        <v>30</v>
      </c>
      <c r="H2882" s="28"/>
      <c r="I2882" s="28" t="s">
        <v>30</v>
      </c>
      <c r="J2882" s="28">
        <v>64.0</v>
      </c>
      <c r="K2882" s="28"/>
      <c r="L2882" s="28" t="s">
        <v>9349</v>
      </c>
      <c r="M2882" s="28" t="s">
        <v>2936</v>
      </c>
      <c r="N2882" s="28">
        <v>2009.0</v>
      </c>
      <c r="O2882" s="60">
        <v>12.0</v>
      </c>
      <c r="P2882" s="28">
        <v>1.0</v>
      </c>
      <c r="Q2882" s="32">
        <v>1.0</v>
      </c>
      <c r="R2882" s="33"/>
      <c r="S2882" s="40"/>
      <c r="T2882" s="40"/>
      <c r="U2882" s="40"/>
      <c r="V2882" s="40"/>
      <c r="W2882" s="40"/>
      <c r="X2882" s="40"/>
      <c r="Y2882" s="45"/>
      <c r="Z2882" s="45"/>
      <c r="AA2882" s="45"/>
      <c r="AB2882" s="45"/>
      <c r="AC2882" s="45"/>
      <c r="AD2882" s="45"/>
      <c r="AE2882" s="45"/>
      <c r="AF2882" s="45"/>
      <c r="AG2882" s="45"/>
      <c r="AH2882" s="45"/>
      <c r="AI2882" s="45"/>
      <c r="AJ2882" s="45"/>
      <c r="AK2882" s="45"/>
      <c r="AL2882" s="45"/>
    </row>
    <row r="2883" ht="15.75" customHeight="1">
      <c r="A2883" s="27">
        <f t="shared" si="23"/>
        <v>1761</v>
      </c>
      <c r="B2883" s="28" t="s">
        <v>10029</v>
      </c>
      <c r="C2883" s="102" t="s">
        <v>10030</v>
      </c>
      <c r="D2883" s="30" t="s">
        <v>10031</v>
      </c>
      <c r="E2883" s="28" t="s">
        <v>28</v>
      </c>
      <c r="F2883" s="28" t="s">
        <v>29</v>
      </c>
      <c r="G2883" s="28" t="s">
        <v>37</v>
      </c>
      <c r="H2883" s="28"/>
      <c r="I2883" s="28" t="s">
        <v>38</v>
      </c>
      <c r="J2883" s="28">
        <v>285.0</v>
      </c>
      <c r="K2883" s="28"/>
      <c r="L2883" s="28" t="s">
        <v>10032</v>
      </c>
      <c r="M2883" s="28" t="s">
        <v>219</v>
      </c>
      <c r="N2883" s="28">
        <v>1984.0</v>
      </c>
      <c r="O2883" s="60">
        <v>12.0</v>
      </c>
      <c r="P2883" s="28">
        <v>1.0</v>
      </c>
      <c r="Q2883" s="32">
        <v>1.0</v>
      </c>
      <c r="R2883" s="33"/>
      <c r="S2883" s="185"/>
      <c r="T2883" s="185"/>
      <c r="U2883" s="185"/>
      <c r="V2883" s="185"/>
      <c r="W2883" s="185"/>
      <c r="X2883" s="185"/>
      <c r="Y2883" s="45"/>
      <c r="Z2883" s="45"/>
      <c r="AA2883" s="45"/>
      <c r="AB2883" s="45"/>
      <c r="AC2883" s="45"/>
      <c r="AD2883" s="45"/>
      <c r="AE2883" s="45"/>
      <c r="AF2883" s="45"/>
      <c r="AG2883" s="45"/>
      <c r="AH2883" s="45"/>
      <c r="AI2883" s="45"/>
      <c r="AJ2883" s="45"/>
      <c r="AK2883" s="45"/>
      <c r="AL2883" s="45"/>
    </row>
    <row r="2884" ht="15.75" customHeight="1">
      <c r="A2884" s="27">
        <f t="shared" si="23"/>
        <v>1762</v>
      </c>
      <c r="B2884" s="83"/>
      <c r="C2884" s="121" t="s">
        <v>10033</v>
      </c>
      <c r="D2884" s="119" t="s">
        <v>10034</v>
      </c>
      <c r="E2884" s="121" t="s">
        <v>144</v>
      </c>
      <c r="F2884" s="121" t="s">
        <v>29</v>
      </c>
      <c r="G2884" s="121" t="s">
        <v>30</v>
      </c>
      <c r="H2884" s="83"/>
      <c r="I2884" s="121" t="s">
        <v>30</v>
      </c>
      <c r="J2884" s="121">
        <v>87.0</v>
      </c>
      <c r="K2884" s="83"/>
      <c r="L2884" s="121" t="s">
        <v>10035</v>
      </c>
      <c r="M2884" s="121" t="s">
        <v>161</v>
      </c>
      <c r="N2884" s="121">
        <v>1987.0</v>
      </c>
      <c r="O2884" s="121">
        <v>12.0</v>
      </c>
      <c r="P2884" s="121">
        <v>1.0</v>
      </c>
      <c r="Q2884" s="121">
        <v>1.0</v>
      </c>
      <c r="R2884" s="84"/>
      <c r="S2884" s="34"/>
      <c r="T2884" s="34"/>
      <c r="U2884" s="34"/>
      <c r="V2884" s="34"/>
      <c r="W2884" s="34"/>
      <c r="X2884" s="34"/>
      <c r="Y2884" s="45"/>
      <c r="Z2884" s="45"/>
      <c r="AA2884" s="45"/>
      <c r="AB2884" s="45"/>
      <c r="AC2884" s="45"/>
      <c r="AD2884" s="45"/>
      <c r="AE2884" s="45"/>
      <c r="AF2884" s="45"/>
      <c r="AG2884" s="45"/>
      <c r="AH2884" s="45"/>
      <c r="AI2884" s="45"/>
      <c r="AJ2884" s="45"/>
      <c r="AK2884" s="45"/>
      <c r="AL2884" s="45"/>
    </row>
    <row r="2885" ht="15.75" customHeight="1">
      <c r="A2885" s="27">
        <f t="shared" si="23"/>
        <v>1763</v>
      </c>
      <c r="B2885" s="28" t="s">
        <v>10036</v>
      </c>
      <c r="C2885" s="102" t="s">
        <v>10037</v>
      </c>
      <c r="D2885" s="120" t="s">
        <v>10038</v>
      </c>
      <c r="E2885" s="28" t="s">
        <v>28</v>
      </c>
      <c r="F2885" s="28" t="s">
        <v>29</v>
      </c>
      <c r="G2885" s="28" t="s">
        <v>37</v>
      </c>
      <c r="H2885" s="28"/>
      <c r="I2885" s="28" t="s">
        <v>38</v>
      </c>
      <c r="J2885" s="28">
        <v>191.0</v>
      </c>
      <c r="K2885" s="28"/>
      <c r="L2885" s="28" t="s">
        <v>10039</v>
      </c>
      <c r="M2885" s="28" t="s">
        <v>250</v>
      </c>
      <c r="N2885" s="28">
        <v>1980.0</v>
      </c>
      <c r="O2885" s="60">
        <v>12.0</v>
      </c>
      <c r="P2885" s="28">
        <v>2.0</v>
      </c>
      <c r="Q2885" s="32">
        <v>2.0</v>
      </c>
      <c r="R2885" s="33"/>
      <c r="S2885" s="34"/>
      <c r="T2885" s="34"/>
      <c r="U2885" s="34"/>
      <c r="V2885" s="34"/>
      <c r="W2885" s="34"/>
      <c r="X2885" s="34"/>
      <c r="Y2885" s="45"/>
      <c r="Z2885" s="45"/>
      <c r="AA2885" s="45"/>
      <c r="AB2885" s="45"/>
      <c r="AC2885" s="45"/>
      <c r="AD2885" s="45"/>
      <c r="AE2885" s="45"/>
      <c r="AF2885" s="45"/>
      <c r="AG2885" s="45"/>
      <c r="AH2885" s="45"/>
      <c r="AI2885" s="45"/>
      <c r="AJ2885" s="45"/>
      <c r="AK2885" s="45"/>
      <c r="AL2885" s="45"/>
    </row>
    <row r="2886" ht="15.75" customHeight="1">
      <c r="A2886" s="27">
        <f t="shared" si="23"/>
        <v>1764</v>
      </c>
      <c r="B2886" s="28" t="s">
        <v>10040</v>
      </c>
      <c r="C2886" s="43" t="s">
        <v>10041</v>
      </c>
      <c r="D2886" s="30" t="s">
        <v>10042</v>
      </c>
      <c r="E2886" s="28" t="s">
        <v>144</v>
      </c>
      <c r="F2886" s="28" t="s">
        <v>29</v>
      </c>
      <c r="G2886" s="28" t="s">
        <v>30</v>
      </c>
      <c r="H2886" s="28"/>
      <c r="I2886" s="28" t="s">
        <v>30</v>
      </c>
      <c r="J2886" s="28">
        <v>280.0</v>
      </c>
      <c r="K2886" s="28"/>
      <c r="L2886" s="28" t="s">
        <v>10043</v>
      </c>
      <c r="M2886" s="28" t="s">
        <v>151</v>
      </c>
      <c r="N2886" s="28">
        <v>2006.0</v>
      </c>
      <c r="O2886" s="60">
        <v>12.0</v>
      </c>
      <c r="P2886" s="28">
        <v>2.0</v>
      </c>
      <c r="Q2886" s="94">
        <v>2.0</v>
      </c>
      <c r="R2886" s="33"/>
      <c r="S2886" s="34"/>
      <c r="T2886" s="34"/>
      <c r="U2886" s="34"/>
      <c r="V2886" s="34"/>
      <c r="W2886" s="34"/>
      <c r="X2886" s="34"/>
      <c r="Y2886" s="45"/>
      <c r="Z2886" s="45"/>
      <c r="AA2886" s="45"/>
      <c r="AB2886" s="45"/>
      <c r="AC2886" s="45"/>
      <c r="AD2886" s="45"/>
      <c r="AE2886" s="45"/>
      <c r="AF2886" s="45"/>
      <c r="AG2886" s="45"/>
      <c r="AH2886" s="45"/>
      <c r="AI2886" s="45"/>
      <c r="AJ2886" s="45"/>
      <c r="AK2886" s="45"/>
      <c r="AL2886" s="45"/>
    </row>
    <row r="2887" ht="15.75" customHeight="1">
      <c r="A2887" s="27">
        <f t="shared" si="23"/>
        <v>1765</v>
      </c>
      <c r="B2887" s="28" t="s">
        <v>10044</v>
      </c>
      <c r="C2887" s="29" t="s">
        <v>10045</v>
      </c>
      <c r="D2887" s="30" t="s">
        <v>10046</v>
      </c>
      <c r="E2887" s="28" t="s">
        <v>28</v>
      </c>
      <c r="F2887" s="28" t="s">
        <v>29</v>
      </c>
      <c r="G2887" s="28" t="s">
        <v>37</v>
      </c>
      <c r="H2887" s="28"/>
      <c r="I2887" s="28" t="s">
        <v>38</v>
      </c>
      <c r="J2887" s="28">
        <f>288</f>
        <v>288</v>
      </c>
      <c r="K2887" s="28"/>
      <c r="L2887" s="28" t="s">
        <v>729</v>
      </c>
      <c r="M2887" s="28" t="s">
        <v>10047</v>
      </c>
      <c r="N2887" s="28">
        <v>1975.0</v>
      </c>
      <c r="O2887" s="28">
        <v>12.0</v>
      </c>
      <c r="P2887" s="28">
        <v>1.0</v>
      </c>
      <c r="Q2887" s="94">
        <v>1.0</v>
      </c>
      <c r="R2887" s="33"/>
      <c r="S2887" s="34"/>
      <c r="T2887" s="34"/>
      <c r="U2887" s="34"/>
      <c r="V2887" s="34"/>
      <c r="W2887" s="34"/>
      <c r="X2887" s="34"/>
      <c r="Y2887" s="45"/>
      <c r="Z2887" s="45"/>
      <c r="AA2887" s="45"/>
      <c r="AB2887" s="45"/>
      <c r="AC2887" s="45"/>
      <c r="AD2887" s="45"/>
      <c r="AE2887" s="45"/>
      <c r="AF2887" s="45"/>
      <c r="AG2887" s="45"/>
      <c r="AH2887" s="45"/>
      <c r="AI2887" s="45"/>
      <c r="AJ2887" s="45"/>
      <c r="AK2887" s="45"/>
      <c r="AL2887" s="45"/>
    </row>
    <row r="2888" ht="15.75" customHeight="1">
      <c r="A2888" s="27">
        <f t="shared" si="23"/>
        <v>1766</v>
      </c>
      <c r="B2888" s="28" t="s">
        <v>31</v>
      </c>
      <c r="C2888" s="102" t="s">
        <v>10048</v>
      </c>
      <c r="D2888" s="30" t="s">
        <v>10049</v>
      </c>
      <c r="E2888" s="28" t="s">
        <v>28</v>
      </c>
      <c r="F2888" s="28" t="s">
        <v>29</v>
      </c>
      <c r="G2888" s="28" t="s">
        <v>30</v>
      </c>
      <c r="H2888" s="28"/>
      <c r="I2888" s="28" t="s">
        <v>30</v>
      </c>
      <c r="J2888" s="28">
        <v>209.0</v>
      </c>
      <c r="K2888" s="28"/>
      <c r="L2888" s="28" t="s">
        <v>9828</v>
      </c>
      <c r="M2888" s="28" t="s">
        <v>4762</v>
      </c>
      <c r="N2888" s="28">
        <v>1996.0</v>
      </c>
      <c r="O2888" s="62" t="s">
        <v>205</v>
      </c>
      <c r="P2888" s="28">
        <v>1.0</v>
      </c>
      <c r="Q2888" s="32">
        <v>1.0</v>
      </c>
      <c r="R2888" s="33"/>
      <c r="S2888" s="34"/>
      <c r="T2888" s="34"/>
      <c r="U2888" s="34"/>
      <c r="V2888" s="34"/>
      <c r="W2888" s="34"/>
      <c r="X2888" s="34"/>
      <c r="Y2888" s="45"/>
      <c r="Z2888" s="45"/>
      <c r="AA2888" s="45"/>
      <c r="AB2888" s="45"/>
      <c r="AC2888" s="45"/>
      <c r="AD2888" s="45"/>
      <c r="AE2888" s="45"/>
      <c r="AF2888" s="45"/>
      <c r="AG2888" s="45"/>
      <c r="AH2888" s="45"/>
      <c r="AI2888" s="45"/>
      <c r="AJ2888" s="45"/>
      <c r="AK2888" s="45"/>
      <c r="AL2888" s="45"/>
    </row>
    <row r="2889" ht="15.75" customHeight="1">
      <c r="A2889" s="27">
        <f t="shared" si="23"/>
        <v>1767</v>
      </c>
      <c r="B2889" s="28" t="s">
        <v>10050</v>
      </c>
      <c r="C2889" s="29" t="s">
        <v>10051</v>
      </c>
      <c r="D2889" s="39" t="s">
        <v>10052</v>
      </c>
      <c r="E2889" s="43" t="s">
        <v>302</v>
      </c>
      <c r="F2889" s="28" t="s">
        <v>29</v>
      </c>
      <c r="G2889" s="28" t="s">
        <v>30</v>
      </c>
      <c r="H2889" s="28"/>
      <c r="I2889" s="28" t="s">
        <v>30</v>
      </c>
      <c r="J2889" s="28">
        <v>565.0</v>
      </c>
      <c r="K2889" s="28"/>
      <c r="L2889" s="28" t="s">
        <v>303</v>
      </c>
      <c r="M2889" s="28" t="s">
        <v>151</v>
      </c>
      <c r="N2889" s="28">
        <v>2016.0</v>
      </c>
      <c r="O2889" s="31">
        <v>8.0</v>
      </c>
      <c r="P2889" s="28">
        <v>1.0</v>
      </c>
      <c r="Q2889" s="32">
        <v>1.0</v>
      </c>
      <c r="R2889" s="33"/>
      <c r="S2889" s="34"/>
      <c r="T2889" s="34"/>
      <c r="U2889" s="34"/>
      <c r="V2889" s="34"/>
      <c r="W2889" s="34"/>
      <c r="X2889" s="34"/>
      <c r="Y2889" s="45"/>
      <c r="Z2889" s="45"/>
      <c r="AA2889" s="45"/>
      <c r="AB2889" s="45"/>
      <c r="AC2889" s="45"/>
      <c r="AD2889" s="45"/>
      <c r="AE2889" s="45"/>
      <c r="AF2889" s="45"/>
      <c r="AG2889" s="45"/>
      <c r="AH2889" s="45"/>
      <c r="AI2889" s="45"/>
      <c r="AJ2889" s="45"/>
      <c r="AK2889" s="45"/>
      <c r="AL2889" s="45"/>
    </row>
    <row r="2890" ht="15.75" customHeight="1">
      <c r="A2890" s="27">
        <f t="shared" si="23"/>
        <v>1768</v>
      </c>
      <c r="B2890" s="28" t="s">
        <v>10053</v>
      </c>
      <c r="C2890" s="43" t="s">
        <v>10054</v>
      </c>
      <c r="D2890" s="30" t="s">
        <v>10055</v>
      </c>
      <c r="E2890" s="28" t="s">
        <v>302</v>
      </c>
      <c r="F2890" s="28" t="s">
        <v>29</v>
      </c>
      <c r="G2890" s="28" t="s">
        <v>30</v>
      </c>
      <c r="H2890" s="28"/>
      <c r="I2890" s="28" t="s">
        <v>30</v>
      </c>
      <c r="J2890" s="28">
        <f>224</f>
        <v>224</v>
      </c>
      <c r="K2890" s="28"/>
      <c r="L2890" s="28" t="s">
        <v>10056</v>
      </c>
      <c r="M2890" s="28" t="s">
        <v>10057</v>
      </c>
      <c r="N2890" s="28">
        <v>2016.0</v>
      </c>
      <c r="O2890" s="28">
        <v>12.0</v>
      </c>
      <c r="P2890" s="28">
        <v>1.0</v>
      </c>
      <c r="Q2890" s="94">
        <v>1.0</v>
      </c>
      <c r="R2890" s="33"/>
      <c r="S2890" s="34"/>
      <c r="T2890" s="34"/>
      <c r="U2890" s="34"/>
      <c r="V2890" s="34"/>
      <c r="W2890" s="34"/>
      <c r="X2890" s="34"/>
      <c r="Y2890" s="45"/>
      <c r="Z2890" s="45"/>
      <c r="AA2890" s="45"/>
      <c r="AB2890" s="45"/>
      <c r="AC2890" s="45"/>
      <c r="AD2890" s="45"/>
      <c r="AE2890" s="45"/>
      <c r="AF2890" s="45"/>
      <c r="AG2890" s="45"/>
      <c r="AH2890" s="45"/>
      <c r="AI2890" s="45"/>
      <c r="AJ2890" s="45"/>
      <c r="AK2890" s="45"/>
      <c r="AL2890" s="45"/>
    </row>
    <row r="2891" ht="15.75" customHeight="1">
      <c r="A2891" s="27">
        <f t="shared" si="23"/>
        <v>1769</v>
      </c>
      <c r="B2891" s="28" t="s">
        <v>10058</v>
      </c>
      <c r="C2891" s="43" t="s">
        <v>10059</v>
      </c>
      <c r="D2891" s="30" t="s">
        <v>10060</v>
      </c>
      <c r="E2891" s="28" t="s">
        <v>144</v>
      </c>
      <c r="F2891" s="28" t="s">
        <v>29</v>
      </c>
      <c r="G2891" s="28" t="s">
        <v>30</v>
      </c>
      <c r="H2891" s="28"/>
      <c r="I2891" s="28" t="s">
        <v>30</v>
      </c>
      <c r="J2891" s="28">
        <f>276+12</f>
        <v>288</v>
      </c>
      <c r="K2891" s="28"/>
      <c r="L2891" s="28" t="s">
        <v>2089</v>
      </c>
      <c r="M2891" s="28" t="s">
        <v>9719</v>
      </c>
      <c r="N2891" s="28">
        <v>2008.0</v>
      </c>
      <c r="O2891" s="28">
        <v>12.0</v>
      </c>
      <c r="P2891" s="28">
        <v>1.0</v>
      </c>
      <c r="Q2891" s="94">
        <v>1.0</v>
      </c>
      <c r="R2891" s="33"/>
      <c r="S2891" s="34"/>
      <c r="T2891" s="34"/>
      <c r="U2891" s="34"/>
      <c r="V2891" s="34"/>
      <c r="W2891" s="34"/>
      <c r="X2891" s="34"/>
      <c r="Y2891" s="45"/>
      <c r="Z2891" s="45"/>
      <c r="AA2891" s="45"/>
      <c r="AB2891" s="45"/>
      <c r="AC2891" s="45"/>
      <c r="AD2891" s="45"/>
      <c r="AE2891" s="45"/>
      <c r="AF2891" s="45"/>
      <c r="AG2891" s="45"/>
      <c r="AH2891" s="45"/>
      <c r="AI2891" s="45"/>
      <c r="AJ2891" s="45"/>
      <c r="AK2891" s="45"/>
      <c r="AL2891" s="45"/>
    </row>
    <row r="2892" ht="15.75" customHeight="1">
      <c r="A2892" s="27">
        <f t="shared" si="23"/>
        <v>1770</v>
      </c>
      <c r="B2892" s="28"/>
      <c r="C2892" s="43" t="s">
        <v>10061</v>
      </c>
      <c r="D2892" s="30" t="s">
        <v>10062</v>
      </c>
      <c r="E2892" s="28" t="s">
        <v>144</v>
      </c>
      <c r="F2892" s="28" t="s">
        <v>29</v>
      </c>
      <c r="G2892" s="28" t="s">
        <v>30</v>
      </c>
      <c r="H2892" s="28"/>
      <c r="I2892" s="28" t="s">
        <v>30</v>
      </c>
      <c r="J2892" s="28">
        <v>335.0</v>
      </c>
      <c r="K2892" s="28"/>
      <c r="L2892" s="28" t="s">
        <v>10063</v>
      </c>
      <c r="M2892" s="28" t="s">
        <v>4762</v>
      </c>
      <c r="N2892" s="28">
        <v>2003.0</v>
      </c>
      <c r="O2892" s="28">
        <v>12.0</v>
      </c>
      <c r="P2892" s="28">
        <v>1.0</v>
      </c>
      <c r="Q2892" s="32">
        <v>1.0</v>
      </c>
      <c r="R2892" s="33"/>
      <c r="S2892" s="34"/>
      <c r="T2892" s="34"/>
      <c r="U2892" s="34"/>
      <c r="V2892" s="34"/>
      <c r="W2892" s="34"/>
      <c r="X2892" s="34"/>
      <c r="Y2892" s="45"/>
      <c r="Z2892" s="45"/>
      <c r="AA2892" s="45"/>
      <c r="AB2892" s="45"/>
      <c r="AC2892" s="45"/>
      <c r="AD2892" s="45"/>
      <c r="AE2892" s="45"/>
      <c r="AF2892" s="45"/>
      <c r="AG2892" s="45"/>
      <c r="AH2892" s="45"/>
      <c r="AI2892" s="45"/>
      <c r="AJ2892" s="45"/>
      <c r="AK2892" s="45"/>
      <c r="AL2892" s="45"/>
    </row>
    <row r="2893" ht="15.75" customHeight="1">
      <c r="A2893" s="27">
        <f t="shared" si="23"/>
        <v>1771</v>
      </c>
      <c r="B2893" s="28" t="s">
        <v>10064</v>
      </c>
      <c r="C2893" s="48" t="s">
        <v>10065</v>
      </c>
      <c r="D2893" s="30" t="s">
        <v>10066</v>
      </c>
      <c r="E2893" s="28"/>
      <c r="F2893" s="28" t="s">
        <v>29</v>
      </c>
      <c r="G2893" s="28" t="s">
        <v>37</v>
      </c>
      <c r="H2893" s="28"/>
      <c r="I2893" s="28" t="s">
        <v>38</v>
      </c>
      <c r="J2893" s="28">
        <v>296.0</v>
      </c>
      <c r="K2893" s="28"/>
      <c r="L2893" s="28" t="s">
        <v>10067</v>
      </c>
      <c r="M2893" s="28" t="s">
        <v>10068</v>
      </c>
      <c r="N2893" s="28">
        <v>1975.0</v>
      </c>
      <c r="O2893" s="60">
        <v>12.0</v>
      </c>
      <c r="P2893" s="28">
        <v>1.0</v>
      </c>
      <c r="Q2893" s="32">
        <v>1.0</v>
      </c>
      <c r="R2893" s="33"/>
      <c r="S2893" s="34"/>
      <c r="T2893" s="34"/>
      <c r="U2893" s="34"/>
      <c r="V2893" s="34"/>
      <c r="W2893" s="34"/>
      <c r="X2893" s="34"/>
      <c r="Y2893" s="45"/>
      <c r="Z2893" s="45"/>
      <c r="AA2893" s="45"/>
      <c r="AB2893" s="45"/>
      <c r="AC2893" s="45"/>
      <c r="AD2893" s="45"/>
      <c r="AE2893" s="45"/>
      <c r="AF2893" s="45"/>
      <c r="AG2893" s="45"/>
      <c r="AH2893" s="45"/>
      <c r="AI2893" s="45"/>
      <c r="AJ2893" s="45"/>
      <c r="AK2893" s="45"/>
      <c r="AL2893" s="45"/>
    </row>
    <row r="2894" ht="15.75" customHeight="1">
      <c r="A2894" s="27">
        <f t="shared" si="23"/>
        <v>1772</v>
      </c>
      <c r="B2894" s="28" t="s">
        <v>31</v>
      </c>
      <c r="C2894" s="43" t="s">
        <v>10069</v>
      </c>
      <c r="D2894" s="30" t="s">
        <v>10070</v>
      </c>
      <c r="E2894" s="28" t="s">
        <v>144</v>
      </c>
      <c r="F2894" s="28" t="s">
        <v>29</v>
      </c>
      <c r="G2894" s="28" t="s">
        <v>30</v>
      </c>
      <c r="H2894" s="28"/>
      <c r="I2894" s="28" t="s">
        <v>30</v>
      </c>
      <c r="J2894" s="28">
        <v>120.0</v>
      </c>
      <c r="K2894" s="28"/>
      <c r="L2894" s="28" t="s">
        <v>7971</v>
      </c>
      <c r="M2894" s="28" t="s">
        <v>151</v>
      </c>
      <c r="N2894" s="28" t="s">
        <v>31</v>
      </c>
      <c r="O2894" s="60">
        <v>12.0</v>
      </c>
      <c r="P2894" s="28">
        <v>2.0</v>
      </c>
      <c r="Q2894" s="94">
        <v>2.0</v>
      </c>
      <c r="R2894" s="33"/>
      <c r="S2894" s="34"/>
      <c r="T2894" s="34"/>
      <c r="U2894" s="34"/>
      <c r="V2894" s="34"/>
      <c r="W2894" s="34"/>
      <c r="X2894" s="34"/>
      <c r="Y2894" s="45"/>
      <c r="Z2894" s="45"/>
      <c r="AA2894" s="45"/>
      <c r="AB2894" s="45"/>
      <c r="AC2894" s="45"/>
      <c r="AD2894" s="45"/>
      <c r="AE2894" s="45"/>
      <c r="AF2894" s="45"/>
      <c r="AG2894" s="45"/>
      <c r="AH2894" s="45"/>
      <c r="AI2894" s="45"/>
      <c r="AJ2894" s="45"/>
      <c r="AK2894" s="45"/>
      <c r="AL2894" s="45"/>
    </row>
    <row r="2895" ht="15.75" customHeight="1">
      <c r="A2895" s="27">
        <f t="shared" si="23"/>
        <v>1773</v>
      </c>
      <c r="B2895" s="83" t="s">
        <v>10071</v>
      </c>
      <c r="C2895" s="86" t="s">
        <v>10072</v>
      </c>
      <c r="D2895" s="118" t="s">
        <v>10073</v>
      </c>
      <c r="E2895" s="119" t="s">
        <v>144</v>
      </c>
      <c r="F2895" s="83" t="s">
        <v>29</v>
      </c>
      <c r="G2895" s="83" t="s">
        <v>30</v>
      </c>
      <c r="H2895" s="118"/>
      <c r="I2895" s="83" t="s">
        <v>30</v>
      </c>
      <c r="J2895" s="83">
        <v>148.0</v>
      </c>
      <c r="K2895" s="118"/>
      <c r="L2895" s="83" t="s">
        <v>9139</v>
      </c>
      <c r="M2895" s="118" t="s">
        <v>10074</v>
      </c>
      <c r="N2895" s="118">
        <v>2002.0</v>
      </c>
      <c r="O2895" s="121">
        <v>12.0</v>
      </c>
      <c r="P2895" s="119">
        <v>1.0</v>
      </c>
      <c r="Q2895" s="83">
        <v>1.0</v>
      </c>
      <c r="R2895" s="84"/>
      <c r="S2895" s="34"/>
      <c r="T2895" s="34"/>
      <c r="U2895" s="34"/>
      <c r="V2895" s="34"/>
      <c r="W2895" s="34"/>
      <c r="X2895" s="34"/>
      <c r="Y2895" s="45"/>
      <c r="Z2895" s="45"/>
      <c r="AA2895" s="45"/>
      <c r="AB2895" s="45"/>
      <c r="AC2895" s="45"/>
      <c r="AD2895" s="45"/>
      <c r="AE2895" s="45"/>
      <c r="AF2895" s="45"/>
      <c r="AG2895" s="45"/>
      <c r="AH2895" s="45"/>
      <c r="AI2895" s="45"/>
      <c r="AJ2895" s="45"/>
      <c r="AK2895" s="45"/>
      <c r="AL2895" s="45"/>
    </row>
    <row r="2896" ht="15.75" customHeight="1">
      <c r="A2896" s="27">
        <f t="shared" si="23"/>
        <v>1774</v>
      </c>
      <c r="B2896" s="28" t="s">
        <v>10075</v>
      </c>
      <c r="C2896" s="43" t="s">
        <v>10076</v>
      </c>
      <c r="D2896" s="30" t="s">
        <v>10077</v>
      </c>
      <c r="E2896" s="28" t="s">
        <v>31</v>
      </c>
      <c r="F2896" s="28" t="s">
        <v>29</v>
      </c>
      <c r="G2896" s="28" t="s">
        <v>37</v>
      </c>
      <c r="H2896" s="28"/>
      <c r="I2896" s="28" t="s">
        <v>38</v>
      </c>
      <c r="J2896" s="28">
        <v>222.0</v>
      </c>
      <c r="K2896" s="28"/>
      <c r="L2896" s="28" t="s">
        <v>10078</v>
      </c>
      <c r="M2896" s="28" t="s">
        <v>250</v>
      </c>
      <c r="N2896" s="28">
        <v>1978.0</v>
      </c>
      <c r="O2896" s="60">
        <v>12.0</v>
      </c>
      <c r="P2896" s="28">
        <v>1.0</v>
      </c>
      <c r="Q2896" s="94">
        <v>1.0</v>
      </c>
      <c r="R2896" s="33"/>
      <c r="S2896" s="34"/>
      <c r="T2896" s="34"/>
      <c r="U2896" s="34"/>
      <c r="V2896" s="34"/>
      <c r="W2896" s="34"/>
      <c r="X2896" s="34"/>
      <c r="Y2896" s="45"/>
      <c r="Z2896" s="45"/>
      <c r="AA2896" s="45"/>
      <c r="AB2896" s="45"/>
      <c r="AC2896" s="45"/>
      <c r="AD2896" s="45"/>
      <c r="AE2896" s="45"/>
      <c r="AF2896" s="45"/>
      <c r="AG2896" s="45"/>
      <c r="AH2896" s="45"/>
      <c r="AI2896" s="45"/>
      <c r="AJ2896" s="45"/>
      <c r="AK2896" s="45"/>
      <c r="AL2896" s="45"/>
    </row>
    <row r="2897" ht="15.75" customHeight="1">
      <c r="A2897" s="27">
        <f t="shared" si="23"/>
        <v>1775</v>
      </c>
      <c r="B2897" s="83" t="s">
        <v>10079</v>
      </c>
      <c r="C2897" s="86" t="s">
        <v>10080</v>
      </c>
      <c r="D2897" s="83" t="s">
        <v>10081</v>
      </c>
      <c r="E2897" s="118"/>
      <c r="F2897" s="83" t="s">
        <v>29</v>
      </c>
      <c r="G2897" s="83" t="s">
        <v>2743</v>
      </c>
      <c r="H2897" s="118"/>
      <c r="I2897" s="83" t="s">
        <v>38</v>
      </c>
      <c r="J2897" s="83">
        <v>326.0</v>
      </c>
      <c r="K2897" s="118"/>
      <c r="L2897" s="121" t="s">
        <v>10082</v>
      </c>
      <c r="M2897" s="118" t="s">
        <v>1176</v>
      </c>
      <c r="N2897" s="118">
        <v>2017.0</v>
      </c>
      <c r="O2897" s="121">
        <v>12.0</v>
      </c>
      <c r="P2897" s="118">
        <v>1.0</v>
      </c>
      <c r="Q2897" s="121">
        <v>1.0</v>
      </c>
      <c r="R2897" s="84"/>
      <c r="S2897" s="34"/>
      <c r="T2897" s="34"/>
      <c r="U2897" s="34"/>
      <c r="V2897" s="34"/>
      <c r="W2897" s="34"/>
      <c r="X2897" s="34"/>
      <c r="Y2897" s="45"/>
      <c r="Z2897" s="45"/>
      <c r="AA2897" s="45"/>
      <c r="AB2897" s="45"/>
      <c r="AC2897" s="45"/>
      <c r="AD2897" s="45"/>
      <c r="AE2897" s="45"/>
      <c r="AF2897" s="45"/>
      <c r="AG2897" s="45"/>
      <c r="AH2897" s="45"/>
      <c r="AI2897" s="45"/>
      <c r="AJ2897" s="45"/>
      <c r="AK2897" s="45"/>
      <c r="AL2897" s="45"/>
    </row>
    <row r="2898" ht="15.75" customHeight="1">
      <c r="A2898" s="27">
        <f t="shared" si="23"/>
        <v>1776</v>
      </c>
      <c r="B2898" s="28" t="s">
        <v>10083</v>
      </c>
      <c r="C2898" s="43" t="s">
        <v>10084</v>
      </c>
      <c r="D2898" s="30" t="s">
        <v>10085</v>
      </c>
      <c r="E2898" s="28" t="s">
        <v>31</v>
      </c>
      <c r="F2898" s="28" t="s">
        <v>29</v>
      </c>
      <c r="G2898" s="28" t="s">
        <v>37</v>
      </c>
      <c r="H2898" s="28"/>
      <c r="I2898" s="28" t="s">
        <v>38</v>
      </c>
      <c r="J2898" s="28">
        <v>126.0</v>
      </c>
      <c r="K2898" s="28"/>
      <c r="L2898" s="28" t="s">
        <v>10086</v>
      </c>
      <c r="M2898" s="28" t="s">
        <v>10087</v>
      </c>
      <c r="N2898" s="28">
        <v>1952.0</v>
      </c>
      <c r="O2898" s="60">
        <v>12.0</v>
      </c>
      <c r="P2898" s="28">
        <v>1.0</v>
      </c>
      <c r="Q2898" s="32">
        <v>1.0</v>
      </c>
      <c r="R2898" s="33"/>
      <c r="S2898" s="34"/>
      <c r="T2898" s="34"/>
      <c r="U2898" s="34"/>
      <c r="V2898" s="34"/>
      <c r="W2898" s="34"/>
      <c r="X2898" s="34"/>
      <c r="Y2898" s="45"/>
      <c r="Z2898" s="45"/>
      <c r="AA2898" s="45"/>
      <c r="AB2898" s="45"/>
      <c r="AC2898" s="45"/>
      <c r="AD2898" s="45"/>
      <c r="AE2898" s="45"/>
      <c r="AF2898" s="45"/>
      <c r="AG2898" s="45"/>
      <c r="AH2898" s="45"/>
      <c r="AI2898" s="45"/>
      <c r="AJ2898" s="45"/>
      <c r="AK2898" s="45"/>
      <c r="AL2898" s="45"/>
    </row>
    <row r="2899" ht="15.75" customHeight="1">
      <c r="A2899" s="27">
        <f t="shared" si="23"/>
        <v>1777</v>
      </c>
      <c r="B2899" s="28" t="s">
        <v>10088</v>
      </c>
      <c r="C2899" s="43" t="s">
        <v>10089</v>
      </c>
      <c r="D2899" s="30" t="s">
        <v>10090</v>
      </c>
      <c r="E2899" s="28"/>
      <c r="F2899" s="28" t="s">
        <v>29</v>
      </c>
      <c r="G2899" s="28" t="s">
        <v>30</v>
      </c>
      <c r="H2899" s="28"/>
      <c r="I2899" s="28" t="s">
        <v>30</v>
      </c>
      <c r="J2899" s="28">
        <v>205.0</v>
      </c>
      <c r="K2899" s="28"/>
      <c r="L2899" s="28" t="s">
        <v>3654</v>
      </c>
      <c r="M2899" s="28" t="s">
        <v>151</v>
      </c>
      <c r="N2899" s="28">
        <v>2009.0</v>
      </c>
      <c r="O2899" s="60">
        <v>12.0</v>
      </c>
      <c r="P2899" s="28">
        <v>1.0</v>
      </c>
      <c r="Q2899" s="94">
        <v>1.0</v>
      </c>
      <c r="R2899" s="33"/>
      <c r="S2899" s="34"/>
      <c r="T2899" s="34"/>
      <c r="U2899" s="34"/>
      <c r="V2899" s="34"/>
      <c r="W2899" s="34"/>
      <c r="X2899" s="34"/>
      <c r="Y2899" s="45"/>
      <c r="Z2899" s="45"/>
      <c r="AA2899" s="45"/>
      <c r="AB2899" s="45"/>
      <c r="AC2899" s="45"/>
      <c r="AD2899" s="45"/>
      <c r="AE2899" s="45"/>
      <c r="AF2899" s="45"/>
      <c r="AG2899" s="45"/>
      <c r="AH2899" s="45"/>
      <c r="AI2899" s="45"/>
      <c r="AJ2899" s="45"/>
      <c r="AK2899" s="45"/>
      <c r="AL2899" s="45"/>
    </row>
    <row r="2900" ht="15.75" customHeight="1">
      <c r="A2900" s="27">
        <f t="shared" si="23"/>
        <v>1778</v>
      </c>
      <c r="B2900" s="28" t="s">
        <v>10091</v>
      </c>
      <c r="C2900" s="43" t="s">
        <v>10092</v>
      </c>
      <c r="D2900" s="30" t="s">
        <v>10093</v>
      </c>
      <c r="E2900" s="28" t="s">
        <v>144</v>
      </c>
      <c r="F2900" s="28" t="s">
        <v>29</v>
      </c>
      <c r="G2900" s="28" t="s">
        <v>30</v>
      </c>
      <c r="H2900" s="28"/>
      <c r="I2900" s="28" t="s">
        <v>30</v>
      </c>
      <c r="J2900" s="28">
        <f>148+12</f>
        <v>160</v>
      </c>
      <c r="K2900" s="28"/>
      <c r="L2900" s="28" t="s">
        <v>7971</v>
      </c>
      <c r="M2900" s="28" t="s">
        <v>3109</v>
      </c>
      <c r="N2900" s="28">
        <v>2010.0</v>
      </c>
      <c r="O2900" s="28">
        <v>12.0</v>
      </c>
      <c r="P2900" s="28">
        <v>2.0</v>
      </c>
      <c r="Q2900" s="94">
        <v>2.0</v>
      </c>
      <c r="R2900" s="33"/>
      <c r="S2900" s="34"/>
      <c r="T2900" s="34"/>
      <c r="U2900" s="34"/>
      <c r="V2900" s="34"/>
      <c r="W2900" s="34"/>
      <c r="X2900" s="34"/>
      <c r="Y2900" s="45"/>
      <c r="Z2900" s="45"/>
      <c r="AA2900" s="45"/>
      <c r="AB2900" s="45"/>
      <c r="AC2900" s="45"/>
      <c r="AD2900" s="45"/>
      <c r="AE2900" s="45"/>
      <c r="AF2900" s="45"/>
      <c r="AG2900" s="45"/>
      <c r="AH2900" s="45"/>
      <c r="AI2900" s="45"/>
      <c r="AJ2900" s="45"/>
      <c r="AK2900" s="45"/>
      <c r="AL2900" s="45"/>
    </row>
    <row r="2901" ht="15.75" customHeight="1">
      <c r="A2901" s="27">
        <f t="shared" si="23"/>
        <v>1779</v>
      </c>
      <c r="B2901" s="28" t="s">
        <v>10094</v>
      </c>
      <c r="C2901" s="29" t="s">
        <v>10095</v>
      </c>
      <c r="D2901" s="30" t="s">
        <v>10096</v>
      </c>
      <c r="E2901" s="28" t="s">
        <v>144</v>
      </c>
      <c r="F2901" s="28" t="s">
        <v>29</v>
      </c>
      <c r="G2901" s="28" t="s">
        <v>30</v>
      </c>
      <c r="H2901" s="28"/>
      <c r="I2901" s="28" t="s">
        <v>30</v>
      </c>
      <c r="J2901" s="28">
        <f>223</f>
        <v>223</v>
      </c>
      <c r="K2901" s="28"/>
      <c r="L2901" s="28" t="s">
        <v>10097</v>
      </c>
      <c r="M2901" s="28" t="s">
        <v>356</v>
      </c>
      <c r="N2901" s="28">
        <v>1988.0</v>
      </c>
      <c r="O2901" s="28">
        <v>12.0</v>
      </c>
      <c r="P2901" s="28">
        <v>1.0</v>
      </c>
      <c r="Q2901" s="32">
        <v>1.0</v>
      </c>
      <c r="R2901" s="33"/>
      <c r="S2901" s="34"/>
      <c r="T2901" s="34"/>
      <c r="U2901" s="34"/>
      <c r="V2901" s="34"/>
      <c r="W2901" s="34"/>
      <c r="X2901" s="34"/>
      <c r="Y2901" s="45"/>
      <c r="Z2901" s="45"/>
      <c r="AA2901" s="45"/>
      <c r="AB2901" s="45"/>
      <c r="AC2901" s="45"/>
      <c r="AD2901" s="45"/>
      <c r="AE2901" s="45"/>
      <c r="AF2901" s="45"/>
      <c r="AG2901" s="45"/>
      <c r="AH2901" s="45"/>
      <c r="AI2901" s="45"/>
      <c r="AJ2901" s="45"/>
      <c r="AK2901" s="45"/>
      <c r="AL2901" s="45"/>
    </row>
    <row r="2902" ht="15.75" customHeight="1">
      <c r="A2902" s="27">
        <f t="shared" si="23"/>
        <v>1780</v>
      </c>
      <c r="B2902" s="28" t="s">
        <v>10098</v>
      </c>
      <c r="C2902" s="43" t="s">
        <v>10099</v>
      </c>
      <c r="D2902" s="30" t="s">
        <v>10100</v>
      </c>
      <c r="E2902" s="28" t="s">
        <v>31</v>
      </c>
      <c r="F2902" s="28" t="s">
        <v>29</v>
      </c>
      <c r="G2902" s="28" t="s">
        <v>37</v>
      </c>
      <c r="H2902" s="28"/>
      <c r="I2902" s="28" t="s">
        <v>38</v>
      </c>
      <c r="J2902" s="28">
        <v>141.0</v>
      </c>
      <c r="K2902" s="28"/>
      <c r="L2902" s="28" t="s">
        <v>10101</v>
      </c>
      <c r="M2902" s="28" t="s">
        <v>178</v>
      </c>
      <c r="N2902" s="28">
        <v>1979.0</v>
      </c>
      <c r="O2902" s="60">
        <v>12.0</v>
      </c>
      <c r="P2902" s="28">
        <v>1.0</v>
      </c>
      <c r="Q2902" s="94">
        <v>1.0</v>
      </c>
      <c r="R2902" s="33"/>
      <c r="S2902" s="116"/>
      <c r="T2902" s="116"/>
      <c r="U2902" s="116"/>
      <c r="V2902" s="116"/>
      <c r="W2902" s="116"/>
      <c r="X2902" s="116"/>
      <c r="Y2902" s="45"/>
      <c r="Z2902" s="45"/>
      <c r="AA2902" s="45"/>
      <c r="AB2902" s="45"/>
      <c r="AC2902" s="45"/>
      <c r="AD2902" s="45"/>
      <c r="AE2902" s="45"/>
      <c r="AF2902" s="45"/>
      <c r="AG2902" s="45"/>
      <c r="AH2902" s="45"/>
      <c r="AI2902" s="45"/>
      <c r="AJ2902" s="45"/>
      <c r="AK2902" s="45"/>
      <c r="AL2902" s="45"/>
    </row>
    <row r="2903" ht="15.75" customHeight="1">
      <c r="A2903" s="27">
        <f t="shared" si="23"/>
        <v>1781</v>
      </c>
      <c r="B2903" s="28" t="s">
        <v>10102</v>
      </c>
      <c r="C2903" s="102" t="s">
        <v>10103</v>
      </c>
      <c r="D2903" s="120" t="s">
        <v>10104</v>
      </c>
      <c r="E2903" s="60" t="s">
        <v>144</v>
      </c>
      <c r="F2903" s="28" t="s">
        <v>29</v>
      </c>
      <c r="G2903" s="28" t="s">
        <v>37</v>
      </c>
      <c r="H2903" s="28"/>
      <c r="I2903" s="28" t="s">
        <v>38</v>
      </c>
      <c r="J2903" s="28">
        <v>846.0</v>
      </c>
      <c r="K2903" s="28"/>
      <c r="L2903" s="28" t="s">
        <v>10105</v>
      </c>
      <c r="M2903" s="28" t="s">
        <v>230</v>
      </c>
      <c r="N2903" s="28">
        <v>2008.0</v>
      </c>
      <c r="O2903" s="60">
        <v>12.0</v>
      </c>
      <c r="P2903" s="28">
        <v>1.0</v>
      </c>
      <c r="Q2903" s="32">
        <v>1.0</v>
      </c>
      <c r="R2903" s="33"/>
      <c r="S2903" s="34"/>
      <c r="T2903" s="34"/>
      <c r="U2903" s="34"/>
      <c r="V2903" s="34"/>
      <c r="W2903" s="34"/>
      <c r="X2903" s="34"/>
      <c r="Y2903" s="45"/>
      <c r="Z2903" s="45"/>
      <c r="AA2903" s="45"/>
      <c r="AB2903" s="45"/>
      <c r="AC2903" s="45"/>
      <c r="AD2903" s="45"/>
      <c r="AE2903" s="45"/>
      <c r="AF2903" s="45"/>
      <c r="AG2903" s="45"/>
      <c r="AH2903" s="45"/>
      <c r="AI2903" s="45"/>
      <c r="AJ2903" s="45"/>
      <c r="AK2903" s="45"/>
      <c r="AL2903" s="45"/>
    </row>
    <row r="2904" ht="15.75" customHeight="1">
      <c r="A2904" s="27">
        <f t="shared" si="23"/>
        <v>1782</v>
      </c>
      <c r="B2904" s="28" t="s">
        <v>10106</v>
      </c>
      <c r="C2904" s="43" t="s">
        <v>10107</v>
      </c>
      <c r="D2904" s="30" t="s">
        <v>10108</v>
      </c>
      <c r="E2904" s="28" t="s">
        <v>302</v>
      </c>
      <c r="F2904" s="28" t="s">
        <v>29</v>
      </c>
      <c r="G2904" s="28" t="s">
        <v>30</v>
      </c>
      <c r="H2904" s="28"/>
      <c r="I2904" s="28" t="s">
        <v>30</v>
      </c>
      <c r="J2904" s="28">
        <v>168.0</v>
      </c>
      <c r="K2904" s="28"/>
      <c r="L2904" s="28" t="s">
        <v>5278</v>
      </c>
      <c r="M2904" s="28" t="s">
        <v>8310</v>
      </c>
      <c r="N2904" s="28">
        <v>2015.0</v>
      </c>
      <c r="O2904" s="28">
        <v>12.0</v>
      </c>
      <c r="P2904" s="28">
        <v>1.0</v>
      </c>
      <c r="Q2904" s="32">
        <v>1.0</v>
      </c>
      <c r="R2904" s="33"/>
      <c r="S2904" s="34"/>
      <c r="T2904" s="34"/>
      <c r="U2904" s="34"/>
      <c r="V2904" s="34"/>
      <c r="W2904" s="34"/>
      <c r="X2904" s="34"/>
      <c r="Y2904" s="45"/>
      <c r="Z2904" s="45"/>
      <c r="AA2904" s="45"/>
      <c r="AB2904" s="45"/>
      <c r="AC2904" s="45"/>
      <c r="AD2904" s="45"/>
      <c r="AE2904" s="45"/>
      <c r="AF2904" s="45"/>
      <c r="AG2904" s="45"/>
      <c r="AH2904" s="45"/>
      <c r="AI2904" s="45"/>
      <c r="AJ2904" s="45"/>
      <c r="AK2904" s="45"/>
      <c r="AL2904" s="45"/>
    </row>
    <row r="2905" ht="15.75" customHeight="1">
      <c r="A2905" s="27">
        <f t="shared" si="23"/>
        <v>1783</v>
      </c>
      <c r="B2905" s="28" t="s">
        <v>10109</v>
      </c>
      <c r="C2905" s="48" t="s">
        <v>10110</v>
      </c>
      <c r="D2905" s="39" t="s">
        <v>10111</v>
      </c>
      <c r="E2905" s="28"/>
      <c r="F2905" s="28" t="s">
        <v>29</v>
      </c>
      <c r="G2905" s="28" t="s">
        <v>37</v>
      </c>
      <c r="H2905" s="28"/>
      <c r="I2905" s="28" t="s">
        <v>38</v>
      </c>
      <c r="J2905" s="28">
        <v>390.0</v>
      </c>
      <c r="K2905" s="28"/>
      <c r="L2905" s="28" t="s">
        <v>10112</v>
      </c>
      <c r="M2905" s="28" t="s">
        <v>10113</v>
      </c>
      <c r="N2905" s="28">
        <v>1995.0</v>
      </c>
      <c r="O2905" s="60">
        <v>12.0</v>
      </c>
      <c r="P2905" s="28">
        <v>1.0</v>
      </c>
      <c r="Q2905" s="94">
        <v>1.0</v>
      </c>
      <c r="R2905" s="33"/>
      <c r="S2905" s="34"/>
      <c r="T2905" s="34"/>
      <c r="U2905" s="34"/>
      <c r="V2905" s="34"/>
      <c r="W2905" s="34"/>
      <c r="X2905" s="34"/>
      <c r="Y2905" s="45"/>
      <c r="Z2905" s="45"/>
      <c r="AA2905" s="45"/>
      <c r="AB2905" s="45"/>
      <c r="AC2905" s="45"/>
      <c r="AD2905" s="45"/>
      <c r="AE2905" s="45"/>
      <c r="AF2905" s="45"/>
      <c r="AG2905" s="45"/>
      <c r="AH2905" s="45"/>
      <c r="AI2905" s="45"/>
      <c r="AJ2905" s="45"/>
      <c r="AK2905" s="45"/>
      <c r="AL2905" s="45"/>
    </row>
    <row r="2906" ht="15.75" customHeight="1">
      <c r="A2906" s="27">
        <f t="shared" si="23"/>
        <v>1784</v>
      </c>
      <c r="B2906" s="121" t="s">
        <v>10114</v>
      </c>
      <c r="C2906" s="121" t="s">
        <v>10115</v>
      </c>
      <c r="D2906" s="119" t="s">
        <v>10116</v>
      </c>
      <c r="E2906" s="83"/>
      <c r="F2906" s="83"/>
      <c r="G2906" s="121" t="s">
        <v>37</v>
      </c>
      <c r="H2906" s="83"/>
      <c r="I2906" s="121" t="s">
        <v>38</v>
      </c>
      <c r="J2906" s="121">
        <v>333.0</v>
      </c>
      <c r="K2906" s="83"/>
      <c r="L2906" s="121" t="s">
        <v>1125</v>
      </c>
      <c r="M2906" s="121" t="s">
        <v>2567</v>
      </c>
      <c r="N2906" s="121">
        <v>1990.0</v>
      </c>
      <c r="O2906" s="121">
        <v>12.0</v>
      </c>
      <c r="P2906" s="121">
        <v>1.0</v>
      </c>
      <c r="Q2906" s="121">
        <v>1.0</v>
      </c>
      <c r="R2906" s="84"/>
      <c r="S2906" s="34"/>
      <c r="T2906" s="34"/>
      <c r="U2906" s="34"/>
      <c r="V2906" s="34"/>
      <c r="W2906" s="34"/>
      <c r="X2906" s="34"/>
      <c r="Y2906" s="45"/>
      <c r="Z2906" s="45"/>
      <c r="AA2906" s="45"/>
      <c r="AB2906" s="45"/>
      <c r="AC2906" s="45"/>
      <c r="AD2906" s="45"/>
      <c r="AE2906" s="45"/>
      <c r="AF2906" s="45"/>
      <c r="AG2906" s="45"/>
      <c r="AH2906" s="45"/>
      <c r="AI2906" s="45"/>
      <c r="AJ2906" s="45"/>
      <c r="AK2906" s="45"/>
      <c r="AL2906" s="45"/>
    </row>
    <row r="2907" ht="15.75" customHeight="1">
      <c r="A2907" s="27">
        <f t="shared" si="23"/>
        <v>1785</v>
      </c>
      <c r="B2907" s="28" t="s">
        <v>10117</v>
      </c>
      <c r="C2907" s="102" t="s">
        <v>10118</v>
      </c>
      <c r="D2907" s="30" t="s">
        <v>10119</v>
      </c>
      <c r="E2907" s="60" t="s">
        <v>144</v>
      </c>
      <c r="F2907" s="28" t="s">
        <v>29</v>
      </c>
      <c r="G2907" s="28" t="s">
        <v>37</v>
      </c>
      <c r="H2907" s="28"/>
      <c r="I2907" s="28" t="s">
        <v>38</v>
      </c>
      <c r="J2907" s="28">
        <v>238.0</v>
      </c>
      <c r="K2907" s="28"/>
      <c r="L2907" s="28" t="s">
        <v>10120</v>
      </c>
      <c r="M2907" s="28" t="s">
        <v>230</v>
      </c>
      <c r="N2907" s="28">
        <v>1976.0</v>
      </c>
      <c r="O2907" s="60">
        <v>12.0</v>
      </c>
      <c r="P2907" s="28">
        <v>1.0</v>
      </c>
      <c r="Q2907" s="32">
        <v>1.0</v>
      </c>
      <c r="R2907" s="33"/>
      <c r="S2907" s="34"/>
      <c r="T2907" s="34"/>
      <c r="U2907" s="34"/>
      <c r="V2907" s="34"/>
      <c r="W2907" s="34"/>
      <c r="X2907" s="34"/>
      <c r="Y2907" s="45"/>
      <c r="Z2907" s="45"/>
      <c r="AA2907" s="45"/>
      <c r="AB2907" s="45"/>
      <c r="AC2907" s="45"/>
      <c r="AD2907" s="45"/>
      <c r="AE2907" s="45"/>
      <c r="AF2907" s="45"/>
      <c r="AG2907" s="45"/>
      <c r="AH2907" s="45"/>
      <c r="AI2907" s="45"/>
      <c r="AJ2907" s="45"/>
      <c r="AK2907" s="45"/>
      <c r="AL2907" s="45"/>
    </row>
    <row r="2908" ht="15.75" customHeight="1">
      <c r="A2908" s="27">
        <f t="shared" si="23"/>
        <v>1786</v>
      </c>
      <c r="B2908" s="83" t="s">
        <v>10121</v>
      </c>
      <c r="C2908" s="86" t="s">
        <v>10122</v>
      </c>
      <c r="D2908" s="121" t="s">
        <v>10123</v>
      </c>
      <c r="E2908" s="118"/>
      <c r="F2908" s="83" t="s">
        <v>29</v>
      </c>
      <c r="G2908" s="83" t="s">
        <v>2743</v>
      </c>
      <c r="H2908" s="118"/>
      <c r="I2908" s="83" t="s">
        <v>38</v>
      </c>
      <c r="J2908" s="83">
        <v>268.0</v>
      </c>
      <c r="K2908" s="118"/>
      <c r="L2908" s="83" t="s">
        <v>10124</v>
      </c>
      <c r="M2908" s="118" t="s">
        <v>1176</v>
      </c>
      <c r="N2908" s="118">
        <v>2012.0</v>
      </c>
      <c r="O2908" s="121">
        <v>12.0</v>
      </c>
      <c r="P2908" s="118">
        <v>1.0</v>
      </c>
      <c r="Q2908" s="121">
        <v>1.0</v>
      </c>
      <c r="R2908" s="84"/>
      <c r="S2908" s="34"/>
      <c r="T2908" s="34"/>
      <c r="U2908" s="34"/>
      <c r="V2908" s="34"/>
      <c r="W2908" s="34"/>
      <c r="X2908" s="34"/>
      <c r="Y2908" s="45"/>
      <c r="Z2908" s="45"/>
      <c r="AA2908" s="45"/>
      <c r="AB2908" s="45"/>
      <c r="AC2908" s="45"/>
      <c r="AD2908" s="45"/>
      <c r="AE2908" s="45"/>
      <c r="AF2908" s="45"/>
      <c r="AG2908" s="45"/>
      <c r="AH2908" s="45"/>
      <c r="AI2908" s="45"/>
      <c r="AJ2908" s="45"/>
      <c r="AK2908" s="45"/>
      <c r="AL2908" s="45"/>
    </row>
    <row r="2909" ht="15.75" customHeight="1">
      <c r="A2909" s="27">
        <f t="shared" si="23"/>
        <v>1787</v>
      </c>
      <c r="B2909" s="60" t="s">
        <v>10125</v>
      </c>
      <c r="C2909" s="43" t="s">
        <v>10126</v>
      </c>
      <c r="D2909" s="120" t="s">
        <v>10127</v>
      </c>
      <c r="E2909" s="28" t="s">
        <v>28</v>
      </c>
      <c r="F2909" s="28" t="s">
        <v>740</v>
      </c>
      <c r="G2909" s="28" t="s">
        <v>3849</v>
      </c>
      <c r="H2909" s="28"/>
      <c r="I2909" s="28" t="s">
        <v>38</v>
      </c>
      <c r="J2909" s="28">
        <v>270.0</v>
      </c>
      <c r="K2909" s="28"/>
      <c r="L2909" s="28" t="s">
        <v>10128</v>
      </c>
      <c r="M2909" s="28" t="s">
        <v>10129</v>
      </c>
      <c r="N2909" s="28">
        <v>1973.0</v>
      </c>
      <c r="O2909" s="60">
        <v>12.0</v>
      </c>
      <c r="P2909" s="28">
        <v>1.0</v>
      </c>
      <c r="Q2909" s="32">
        <v>1.0</v>
      </c>
      <c r="R2909" s="33"/>
      <c r="S2909" s="34"/>
      <c r="T2909" s="34"/>
      <c r="U2909" s="34"/>
      <c r="V2909" s="34"/>
      <c r="W2909" s="34"/>
      <c r="X2909" s="34"/>
      <c r="Y2909" s="45"/>
      <c r="Z2909" s="45"/>
      <c r="AA2909" s="45"/>
      <c r="AB2909" s="45"/>
      <c r="AC2909" s="45"/>
      <c r="AD2909" s="45"/>
      <c r="AE2909" s="45"/>
      <c r="AF2909" s="45"/>
      <c r="AG2909" s="45"/>
      <c r="AH2909" s="45"/>
      <c r="AI2909" s="45"/>
      <c r="AJ2909" s="45"/>
      <c r="AK2909" s="45"/>
      <c r="AL2909" s="45"/>
    </row>
    <row r="2910" ht="15.75" customHeight="1">
      <c r="A2910" s="27">
        <f t="shared" si="23"/>
        <v>1788</v>
      </c>
      <c r="B2910" s="28" t="s">
        <v>10130</v>
      </c>
      <c r="C2910" s="102" t="s">
        <v>10131</v>
      </c>
      <c r="D2910" s="30" t="s">
        <v>10132</v>
      </c>
      <c r="E2910" s="28" t="s">
        <v>28</v>
      </c>
      <c r="F2910" s="28" t="s">
        <v>29</v>
      </c>
      <c r="G2910" s="28" t="s">
        <v>31</v>
      </c>
      <c r="H2910" s="28"/>
      <c r="I2910" s="28" t="s">
        <v>38</v>
      </c>
      <c r="J2910" s="28">
        <v>527.0</v>
      </c>
      <c r="K2910" s="28"/>
      <c r="L2910" s="28" t="s">
        <v>10133</v>
      </c>
      <c r="M2910" s="28" t="s">
        <v>6983</v>
      </c>
      <c r="N2910" s="28">
        <v>1986.0</v>
      </c>
      <c r="O2910" s="62" t="s">
        <v>205</v>
      </c>
      <c r="P2910" s="28">
        <v>2.0</v>
      </c>
      <c r="Q2910" s="32">
        <v>2.0</v>
      </c>
      <c r="R2910" s="33"/>
      <c r="S2910" s="116"/>
      <c r="T2910" s="116"/>
      <c r="U2910" s="116"/>
      <c r="V2910" s="116"/>
      <c r="W2910" s="116"/>
      <c r="X2910" s="116"/>
      <c r="Y2910" s="45"/>
      <c r="Z2910" s="45"/>
      <c r="AA2910" s="45"/>
      <c r="AB2910" s="45"/>
      <c r="AC2910" s="45"/>
      <c r="AD2910" s="45"/>
      <c r="AE2910" s="45"/>
      <c r="AF2910" s="45"/>
      <c r="AG2910" s="45"/>
      <c r="AH2910" s="45"/>
      <c r="AI2910" s="45"/>
      <c r="AJ2910" s="45"/>
      <c r="AK2910" s="45"/>
      <c r="AL2910" s="45"/>
    </row>
    <row r="2911" ht="15.75" customHeight="1">
      <c r="A2911" s="27">
        <f t="shared" si="23"/>
        <v>1789</v>
      </c>
      <c r="B2911" s="28" t="s">
        <v>31</v>
      </c>
      <c r="C2911" s="29" t="s">
        <v>10134</v>
      </c>
      <c r="D2911" s="39" t="s">
        <v>10135</v>
      </c>
      <c r="E2911" s="28" t="s">
        <v>302</v>
      </c>
      <c r="F2911" s="28" t="s">
        <v>29</v>
      </c>
      <c r="G2911" s="28" t="s">
        <v>30</v>
      </c>
      <c r="H2911" s="28"/>
      <c r="I2911" s="28" t="s">
        <v>30</v>
      </c>
      <c r="J2911" s="28">
        <v>90.0</v>
      </c>
      <c r="K2911" s="28"/>
      <c r="L2911" s="28" t="s">
        <v>10136</v>
      </c>
      <c r="M2911" s="28" t="s">
        <v>3991</v>
      </c>
      <c r="N2911" s="28">
        <v>2007.0</v>
      </c>
      <c r="O2911" s="60">
        <v>12.0</v>
      </c>
      <c r="P2911" s="28">
        <v>1.0</v>
      </c>
      <c r="Q2911" s="94">
        <v>1.0</v>
      </c>
      <c r="R2911" s="33"/>
      <c r="S2911" s="34"/>
      <c r="T2911" s="34"/>
      <c r="U2911" s="34"/>
      <c r="V2911" s="34"/>
      <c r="W2911" s="34"/>
      <c r="X2911" s="34"/>
      <c r="Y2911" s="45"/>
      <c r="Z2911" s="45"/>
      <c r="AA2911" s="45"/>
      <c r="AB2911" s="45"/>
      <c r="AC2911" s="45"/>
      <c r="AD2911" s="45"/>
      <c r="AE2911" s="45"/>
      <c r="AF2911" s="45"/>
      <c r="AG2911" s="45"/>
      <c r="AH2911" s="45"/>
      <c r="AI2911" s="45"/>
      <c r="AJ2911" s="45"/>
      <c r="AK2911" s="45"/>
      <c r="AL2911" s="45"/>
    </row>
    <row r="2912" ht="15.75" customHeight="1">
      <c r="A2912" s="27">
        <f t="shared" si="23"/>
        <v>1790</v>
      </c>
      <c r="B2912" s="28" t="s">
        <v>10137</v>
      </c>
      <c r="C2912" s="102" t="s">
        <v>10138</v>
      </c>
      <c r="D2912" s="30" t="s">
        <v>10139</v>
      </c>
      <c r="E2912" s="28" t="s">
        <v>28</v>
      </c>
      <c r="F2912" s="28" t="s">
        <v>29</v>
      </c>
      <c r="G2912" s="28" t="s">
        <v>30</v>
      </c>
      <c r="H2912" s="28"/>
      <c r="I2912" s="28" t="s">
        <v>30</v>
      </c>
      <c r="J2912" s="28">
        <v>549.0</v>
      </c>
      <c r="K2912" s="28"/>
      <c r="L2912" s="28" t="s">
        <v>10140</v>
      </c>
      <c r="M2912" s="28" t="s">
        <v>151</v>
      </c>
      <c r="N2912" s="28">
        <v>2010.0</v>
      </c>
      <c r="O2912" s="62" t="s">
        <v>205</v>
      </c>
      <c r="P2912" s="28">
        <v>2.0</v>
      </c>
      <c r="Q2912" s="32">
        <v>2.0</v>
      </c>
      <c r="R2912" s="33"/>
      <c r="S2912" s="34"/>
      <c r="T2912" s="34"/>
      <c r="U2912" s="34"/>
      <c r="V2912" s="34"/>
      <c r="W2912" s="34"/>
      <c r="X2912" s="34"/>
      <c r="Y2912" s="45"/>
      <c r="Z2912" s="45"/>
      <c r="AA2912" s="45"/>
      <c r="AB2912" s="45"/>
      <c r="AC2912" s="45"/>
      <c r="AD2912" s="45"/>
      <c r="AE2912" s="45"/>
      <c r="AF2912" s="45"/>
      <c r="AG2912" s="45"/>
      <c r="AH2912" s="45"/>
      <c r="AI2912" s="45"/>
      <c r="AJ2912" s="45"/>
      <c r="AK2912" s="45"/>
      <c r="AL2912" s="45"/>
    </row>
    <row r="2913" ht="15.75" customHeight="1">
      <c r="A2913" s="27">
        <f t="shared" si="23"/>
        <v>1791</v>
      </c>
      <c r="B2913" s="28" t="s">
        <v>10141</v>
      </c>
      <c r="C2913" s="43" t="s">
        <v>10142</v>
      </c>
      <c r="D2913" s="30" t="s">
        <v>10143</v>
      </c>
      <c r="E2913" s="28" t="s">
        <v>302</v>
      </c>
      <c r="F2913" s="28" t="s">
        <v>29</v>
      </c>
      <c r="G2913" s="28" t="s">
        <v>30</v>
      </c>
      <c r="H2913" s="28"/>
      <c r="I2913" s="28" t="s">
        <v>30</v>
      </c>
      <c r="J2913" s="28">
        <v>355.0</v>
      </c>
      <c r="K2913" s="28"/>
      <c r="L2913" s="28" t="s">
        <v>145</v>
      </c>
      <c r="M2913" s="28" t="s">
        <v>151</v>
      </c>
      <c r="N2913" s="28">
        <v>2013.0</v>
      </c>
      <c r="O2913" s="28">
        <v>12.0</v>
      </c>
      <c r="P2913" s="28">
        <v>1.0</v>
      </c>
      <c r="Q2913" s="32">
        <v>1.0</v>
      </c>
      <c r="R2913" s="33"/>
      <c r="S2913" s="116"/>
      <c r="T2913" s="116"/>
      <c r="U2913" s="116"/>
      <c r="V2913" s="116"/>
      <c r="W2913" s="116"/>
      <c r="X2913" s="116"/>
      <c r="Y2913" s="45"/>
      <c r="Z2913" s="45"/>
      <c r="AA2913" s="45"/>
      <c r="AB2913" s="45"/>
      <c r="AC2913" s="45"/>
      <c r="AD2913" s="45"/>
      <c r="AE2913" s="45"/>
      <c r="AF2913" s="45"/>
      <c r="AG2913" s="45"/>
      <c r="AH2913" s="45"/>
      <c r="AI2913" s="45"/>
      <c r="AJ2913" s="45"/>
      <c r="AK2913" s="45"/>
      <c r="AL2913" s="45"/>
    </row>
    <row r="2914" ht="15.75" customHeight="1">
      <c r="A2914" s="27">
        <f t="shared" si="23"/>
        <v>1792</v>
      </c>
      <c r="B2914" s="28" t="s">
        <v>10144</v>
      </c>
      <c r="C2914" s="102" t="s">
        <v>10145</v>
      </c>
      <c r="D2914" s="30" t="s">
        <v>10146</v>
      </c>
      <c r="E2914" s="28" t="s">
        <v>28</v>
      </c>
      <c r="F2914" s="28" t="s">
        <v>29</v>
      </c>
      <c r="G2914" s="28" t="s">
        <v>30</v>
      </c>
      <c r="H2914" s="28"/>
      <c r="I2914" s="28" t="s">
        <v>30</v>
      </c>
      <c r="J2914" s="28">
        <v>348.0</v>
      </c>
      <c r="K2914" s="28"/>
      <c r="L2914" s="28" t="s">
        <v>10147</v>
      </c>
      <c r="M2914" s="28" t="s">
        <v>10148</v>
      </c>
      <c r="N2914" s="28">
        <v>2002.0</v>
      </c>
      <c r="O2914" s="62" t="s">
        <v>205</v>
      </c>
      <c r="P2914" s="28">
        <v>1.0</v>
      </c>
      <c r="Q2914" s="32">
        <v>1.0</v>
      </c>
      <c r="R2914" s="33"/>
      <c r="S2914" s="34"/>
      <c r="T2914" s="34"/>
      <c r="U2914" s="34"/>
      <c r="V2914" s="34"/>
      <c r="W2914" s="34"/>
      <c r="X2914" s="34"/>
      <c r="Y2914" s="45"/>
      <c r="Z2914" s="45"/>
      <c r="AA2914" s="45"/>
      <c r="AB2914" s="45"/>
      <c r="AC2914" s="45"/>
      <c r="AD2914" s="45"/>
      <c r="AE2914" s="45"/>
      <c r="AF2914" s="45"/>
      <c r="AG2914" s="45"/>
      <c r="AH2914" s="45"/>
      <c r="AI2914" s="45"/>
      <c r="AJ2914" s="45"/>
      <c r="AK2914" s="45"/>
      <c r="AL2914" s="45"/>
    </row>
    <row r="2915" ht="15.75" customHeight="1">
      <c r="A2915" s="27">
        <f t="shared" si="23"/>
        <v>1793</v>
      </c>
      <c r="B2915" s="121" t="s">
        <v>10149</v>
      </c>
      <c r="C2915" s="121" t="s">
        <v>10150</v>
      </c>
      <c r="D2915" s="119" t="s">
        <v>10139</v>
      </c>
      <c r="E2915" s="121" t="s">
        <v>144</v>
      </c>
      <c r="F2915" s="121" t="s">
        <v>29</v>
      </c>
      <c r="G2915" s="121" t="s">
        <v>30</v>
      </c>
      <c r="H2915" s="83"/>
      <c r="I2915" s="121" t="s">
        <v>30</v>
      </c>
      <c r="J2915" s="121">
        <v>446.0</v>
      </c>
      <c r="K2915" s="83"/>
      <c r="L2915" s="121" t="s">
        <v>10151</v>
      </c>
      <c r="M2915" s="121" t="s">
        <v>151</v>
      </c>
      <c r="N2915" s="121">
        <v>2003.0</v>
      </c>
      <c r="O2915" s="62" t="s">
        <v>205</v>
      </c>
      <c r="P2915" s="121">
        <v>1.0</v>
      </c>
      <c r="Q2915" s="121">
        <v>1.0</v>
      </c>
      <c r="R2915" s="84"/>
      <c r="S2915" s="34"/>
      <c r="T2915" s="34"/>
      <c r="U2915" s="34"/>
      <c r="V2915" s="34"/>
      <c r="W2915" s="34"/>
      <c r="X2915" s="34"/>
      <c r="Y2915" s="45"/>
      <c r="Z2915" s="45"/>
      <c r="AA2915" s="45"/>
      <c r="AB2915" s="45"/>
      <c r="AC2915" s="45"/>
      <c r="AD2915" s="45"/>
      <c r="AE2915" s="45"/>
      <c r="AF2915" s="45"/>
      <c r="AG2915" s="45"/>
      <c r="AH2915" s="45"/>
      <c r="AI2915" s="45"/>
      <c r="AJ2915" s="45"/>
      <c r="AK2915" s="45"/>
      <c r="AL2915" s="45"/>
    </row>
    <row r="2916" ht="15.75" customHeight="1">
      <c r="A2916" s="27">
        <f t="shared" si="23"/>
        <v>1794</v>
      </c>
      <c r="B2916" s="28"/>
      <c r="C2916" s="29" t="s">
        <v>10152</v>
      </c>
      <c r="D2916" s="30" t="s">
        <v>10153</v>
      </c>
      <c r="E2916" s="28" t="s">
        <v>28</v>
      </c>
      <c r="F2916" s="28" t="s">
        <v>29</v>
      </c>
      <c r="G2916" s="28" t="s">
        <v>38</v>
      </c>
      <c r="H2916" s="28"/>
      <c r="I2916" s="28" t="s">
        <v>38</v>
      </c>
      <c r="J2916" s="60">
        <v>125.0</v>
      </c>
      <c r="K2916" s="28"/>
      <c r="L2916" s="28" t="s">
        <v>10154</v>
      </c>
      <c r="M2916" s="28" t="s">
        <v>65</v>
      </c>
      <c r="N2916" s="28">
        <v>1960.0</v>
      </c>
      <c r="O2916" s="60">
        <v>12.0</v>
      </c>
      <c r="P2916" s="28">
        <v>1.0</v>
      </c>
      <c r="Q2916" s="32">
        <v>1.0</v>
      </c>
      <c r="R2916" s="33"/>
      <c r="S2916" s="34"/>
      <c r="T2916" s="34"/>
      <c r="U2916" s="34"/>
      <c r="V2916" s="34"/>
      <c r="W2916" s="34"/>
      <c r="X2916" s="34"/>
      <c r="Y2916" s="45"/>
      <c r="Z2916" s="45"/>
      <c r="AA2916" s="45"/>
      <c r="AB2916" s="45"/>
      <c r="AC2916" s="45"/>
      <c r="AD2916" s="45"/>
      <c r="AE2916" s="45"/>
      <c r="AF2916" s="45"/>
      <c r="AG2916" s="45"/>
      <c r="AH2916" s="45"/>
      <c r="AI2916" s="45"/>
      <c r="AJ2916" s="45"/>
      <c r="AK2916" s="45"/>
      <c r="AL2916" s="45"/>
    </row>
    <row r="2917" ht="15.75" customHeight="1">
      <c r="A2917" s="27">
        <f t="shared" si="23"/>
        <v>1795</v>
      </c>
      <c r="B2917" s="28" t="s">
        <v>10155</v>
      </c>
      <c r="C2917" s="102" t="s">
        <v>2761</v>
      </c>
      <c r="D2917" s="30" t="s">
        <v>10156</v>
      </c>
      <c r="E2917" s="28" t="s">
        <v>28</v>
      </c>
      <c r="F2917" s="28" t="s">
        <v>29</v>
      </c>
      <c r="G2917" s="28" t="s">
        <v>37</v>
      </c>
      <c r="H2917" s="28"/>
      <c r="I2917" s="28" t="s">
        <v>38</v>
      </c>
      <c r="J2917" s="28">
        <v>364.0</v>
      </c>
      <c r="K2917" s="28"/>
      <c r="L2917" s="28" t="s">
        <v>347</v>
      </c>
      <c r="M2917" s="28" t="s">
        <v>219</v>
      </c>
      <c r="N2917" s="28">
        <v>1983.0</v>
      </c>
      <c r="O2917" s="60">
        <v>12.0</v>
      </c>
      <c r="P2917" s="28">
        <v>1.0</v>
      </c>
      <c r="Q2917" s="32">
        <v>1.0</v>
      </c>
      <c r="R2917" s="33"/>
      <c r="S2917" s="34"/>
      <c r="T2917" s="34"/>
      <c r="U2917" s="34"/>
      <c r="V2917" s="34"/>
      <c r="W2917" s="34"/>
      <c r="X2917" s="34"/>
      <c r="Y2917" s="45"/>
      <c r="Z2917" s="45"/>
      <c r="AA2917" s="45"/>
      <c r="AB2917" s="45"/>
      <c r="AC2917" s="45"/>
      <c r="AD2917" s="45"/>
      <c r="AE2917" s="45"/>
      <c r="AF2917" s="45"/>
      <c r="AG2917" s="45"/>
      <c r="AH2917" s="45"/>
      <c r="AI2917" s="45"/>
      <c r="AJ2917" s="45"/>
      <c r="AK2917" s="45"/>
      <c r="AL2917" s="45"/>
    </row>
    <row r="2918" ht="15.75" customHeight="1">
      <c r="A2918" s="27">
        <f t="shared" si="23"/>
        <v>1796</v>
      </c>
      <c r="B2918" s="28" t="s">
        <v>10157</v>
      </c>
      <c r="C2918" s="43" t="s">
        <v>10158</v>
      </c>
      <c r="D2918" s="30" t="s">
        <v>10159</v>
      </c>
      <c r="E2918" s="28" t="s">
        <v>28</v>
      </c>
      <c r="F2918" s="28" t="s">
        <v>29</v>
      </c>
      <c r="G2918" s="28" t="s">
        <v>30</v>
      </c>
      <c r="H2918" s="28"/>
      <c r="I2918" s="28" t="s">
        <v>30</v>
      </c>
      <c r="J2918" s="28">
        <v>100.0</v>
      </c>
      <c r="K2918" s="28"/>
      <c r="L2918" s="28" t="s">
        <v>9762</v>
      </c>
      <c r="M2918" s="28" t="s">
        <v>151</v>
      </c>
      <c r="N2918" s="28">
        <v>2011.0</v>
      </c>
      <c r="O2918" s="60">
        <v>12.0</v>
      </c>
      <c r="P2918" s="28">
        <v>1.0</v>
      </c>
      <c r="Q2918" s="32">
        <v>1.0</v>
      </c>
      <c r="R2918" s="33"/>
      <c r="S2918" s="34"/>
      <c r="T2918" s="34"/>
      <c r="U2918" s="34"/>
      <c r="V2918" s="34"/>
      <c r="W2918" s="34"/>
      <c r="X2918" s="34"/>
      <c r="Y2918" s="45"/>
      <c r="Z2918" s="45"/>
      <c r="AA2918" s="45"/>
      <c r="AB2918" s="45"/>
      <c r="AC2918" s="45"/>
      <c r="AD2918" s="45"/>
      <c r="AE2918" s="45"/>
      <c r="AF2918" s="45"/>
      <c r="AG2918" s="45"/>
      <c r="AH2918" s="45"/>
      <c r="AI2918" s="45"/>
      <c r="AJ2918" s="45"/>
      <c r="AK2918" s="45"/>
      <c r="AL2918" s="45"/>
    </row>
    <row r="2919" ht="36.75" customHeight="1">
      <c r="A2919" s="27">
        <f t="shared" si="23"/>
        <v>1797</v>
      </c>
      <c r="B2919" s="28" t="s">
        <v>10160</v>
      </c>
      <c r="C2919" s="43" t="s">
        <v>10161</v>
      </c>
      <c r="D2919" s="30" t="s">
        <v>10162</v>
      </c>
      <c r="E2919" s="28" t="s">
        <v>28</v>
      </c>
      <c r="F2919" s="28" t="s">
        <v>29</v>
      </c>
      <c r="G2919" s="28" t="s">
        <v>31</v>
      </c>
      <c r="H2919" s="28"/>
      <c r="I2919" s="28" t="s">
        <v>38</v>
      </c>
      <c r="J2919" s="28">
        <v>333.0</v>
      </c>
      <c r="K2919" s="28"/>
      <c r="L2919" s="28" t="s">
        <v>9762</v>
      </c>
      <c r="M2919" s="28" t="s">
        <v>6983</v>
      </c>
      <c r="N2919" s="28">
        <v>1986.0</v>
      </c>
      <c r="O2919" s="62" t="s">
        <v>10163</v>
      </c>
      <c r="P2919" s="28">
        <v>1.0</v>
      </c>
      <c r="Q2919" s="32">
        <v>1.0</v>
      </c>
      <c r="R2919" s="33"/>
      <c r="S2919" s="34"/>
      <c r="T2919" s="34"/>
      <c r="U2919" s="34"/>
      <c r="V2919" s="34"/>
      <c r="W2919" s="34"/>
      <c r="X2919" s="34"/>
      <c r="Y2919" s="45"/>
      <c r="Z2919" s="45"/>
      <c r="AA2919" s="45"/>
      <c r="AB2919" s="45"/>
      <c r="AC2919" s="45"/>
      <c r="AD2919" s="45"/>
      <c r="AE2919" s="45"/>
      <c r="AF2919" s="45"/>
      <c r="AG2919" s="45"/>
      <c r="AH2919" s="45"/>
      <c r="AI2919" s="45"/>
      <c r="AJ2919" s="45"/>
      <c r="AK2919" s="45"/>
      <c r="AL2919" s="45"/>
    </row>
    <row r="2920" ht="15.75" customHeight="1">
      <c r="A2920" s="27">
        <f t="shared" si="23"/>
        <v>1798</v>
      </c>
      <c r="B2920" s="28" t="s">
        <v>10164</v>
      </c>
      <c r="C2920" s="43" t="s">
        <v>10165</v>
      </c>
      <c r="D2920" s="30" t="s">
        <v>10166</v>
      </c>
      <c r="E2920" s="28" t="s">
        <v>144</v>
      </c>
      <c r="F2920" s="28" t="s">
        <v>29</v>
      </c>
      <c r="G2920" s="28" t="s">
        <v>30</v>
      </c>
      <c r="H2920" s="28"/>
      <c r="I2920" s="28" t="s">
        <v>30</v>
      </c>
      <c r="J2920" s="28">
        <v>187.0</v>
      </c>
      <c r="K2920" s="28"/>
      <c r="L2920" s="28" t="s">
        <v>10167</v>
      </c>
      <c r="M2920" s="28" t="s">
        <v>3991</v>
      </c>
      <c r="N2920" s="28">
        <v>1997.0</v>
      </c>
      <c r="O2920" s="28">
        <v>12.0</v>
      </c>
      <c r="P2920" s="28">
        <v>1.0</v>
      </c>
      <c r="Q2920" s="94">
        <v>1.0</v>
      </c>
      <c r="R2920" s="33"/>
      <c r="S2920" s="34"/>
      <c r="T2920" s="34"/>
      <c r="U2920" s="34"/>
      <c r="V2920" s="34"/>
      <c r="W2920" s="34"/>
      <c r="X2920" s="34"/>
      <c r="Y2920" s="45"/>
      <c r="Z2920" s="45"/>
      <c r="AA2920" s="45"/>
      <c r="AB2920" s="45"/>
      <c r="AC2920" s="45"/>
      <c r="AD2920" s="45"/>
      <c r="AE2920" s="45"/>
      <c r="AF2920" s="45"/>
      <c r="AG2920" s="45"/>
      <c r="AH2920" s="45"/>
      <c r="AI2920" s="45"/>
      <c r="AJ2920" s="45"/>
      <c r="AK2920" s="45"/>
      <c r="AL2920" s="45"/>
    </row>
    <row r="2921" ht="15.75" customHeight="1">
      <c r="A2921" s="27">
        <f t="shared" si="23"/>
        <v>1799</v>
      </c>
      <c r="B2921" s="28" t="s">
        <v>31</v>
      </c>
      <c r="C2921" s="29" t="s">
        <v>10168</v>
      </c>
      <c r="D2921" s="30" t="s">
        <v>10169</v>
      </c>
      <c r="E2921" s="28"/>
      <c r="F2921" s="28" t="s">
        <v>29</v>
      </c>
      <c r="G2921" s="28" t="s">
        <v>38</v>
      </c>
      <c r="H2921" s="28" t="s">
        <v>31</v>
      </c>
      <c r="I2921" s="28" t="s">
        <v>30</v>
      </c>
      <c r="J2921" s="28">
        <v>20.0</v>
      </c>
      <c r="K2921" s="28"/>
      <c r="L2921" s="28" t="s">
        <v>10170</v>
      </c>
      <c r="M2921" s="28" t="s">
        <v>10170</v>
      </c>
      <c r="N2921" s="28">
        <v>2012.0</v>
      </c>
      <c r="O2921" s="60">
        <v>12.0</v>
      </c>
      <c r="P2921" s="28">
        <v>1.0</v>
      </c>
      <c r="Q2921" s="32">
        <v>1.0</v>
      </c>
      <c r="R2921" s="33"/>
      <c r="S2921" s="34"/>
      <c r="T2921" s="34"/>
      <c r="U2921" s="34"/>
      <c r="V2921" s="34"/>
      <c r="W2921" s="34"/>
      <c r="X2921" s="34"/>
      <c r="Y2921" s="45"/>
      <c r="Z2921" s="45"/>
      <c r="AA2921" s="45"/>
      <c r="AB2921" s="45"/>
      <c r="AC2921" s="45"/>
      <c r="AD2921" s="45"/>
      <c r="AE2921" s="45"/>
      <c r="AF2921" s="45"/>
      <c r="AG2921" s="45"/>
      <c r="AH2921" s="45"/>
      <c r="AI2921" s="45"/>
      <c r="AJ2921" s="45"/>
      <c r="AK2921" s="45"/>
      <c r="AL2921" s="45"/>
    </row>
    <row r="2922" ht="15.75" customHeight="1">
      <c r="A2922" s="27">
        <f t="shared" si="23"/>
        <v>1800</v>
      </c>
      <c r="B2922" s="28" t="s">
        <v>10171</v>
      </c>
      <c r="C2922" s="43" t="s">
        <v>10172</v>
      </c>
      <c r="D2922" s="30" t="s">
        <v>10173</v>
      </c>
      <c r="E2922" s="28" t="s">
        <v>302</v>
      </c>
      <c r="F2922" s="28" t="s">
        <v>29</v>
      </c>
      <c r="G2922" s="28" t="s">
        <v>30</v>
      </c>
      <c r="H2922" s="28"/>
      <c r="I2922" s="28" t="s">
        <v>30</v>
      </c>
      <c r="J2922" s="28">
        <v>320.0</v>
      </c>
      <c r="K2922" s="28"/>
      <c r="L2922" s="28" t="s">
        <v>10174</v>
      </c>
      <c r="M2922" s="28" t="s">
        <v>161</v>
      </c>
      <c r="N2922" s="28">
        <v>2015.0</v>
      </c>
      <c r="O2922" s="62" t="s">
        <v>205</v>
      </c>
      <c r="P2922" s="28">
        <v>1.0</v>
      </c>
      <c r="Q2922" s="94">
        <v>1.0</v>
      </c>
      <c r="R2922" s="33"/>
      <c r="S2922" s="116"/>
      <c r="T2922" s="116"/>
      <c r="U2922" s="116"/>
      <c r="V2922" s="116"/>
      <c r="W2922" s="116"/>
      <c r="X2922" s="116"/>
      <c r="Y2922" s="45"/>
      <c r="Z2922" s="45"/>
      <c r="AA2922" s="45"/>
      <c r="AB2922" s="45"/>
      <c r="AC2922" s="45"/>
      <c r="AD2922" s="45"/>
      <c r="AE2922" s="45"/>
      <c r="AF2922" s="45"/>
      <c r="AG2922" s="45"/>
      <c r="AH2922" s="45"/>
      <c r="AI2922" s="45"/>
      <c r="AJ2922" s="45"/>
      <c r="AK2922" s="45"/>
      <c r="AL2922" s="45"/>
    </row>
    <row r="2923" ht="15.75" customHeight="1">
      <c r="A2923" s="27">
        <f t="shared" si="23"/>
        <v>1801</v>
      </c>
      <c r="B2923" s="28" t="s">
        <v>31</v>
      </c>
      <c r="C2923" s="43" t="s">
        <v>10175</v>
      </c>
      <c r="D2923" s="30" t="s">
        <v>10176</v>
      </c>
      <c r="E2923" s="28" t="s">
        <v>144</v>
      </c>
      <c r="F2923" s="28" t="s">
        <v>29</v>
      </c>
      <c r="G2923" s="28" t="s">
        <v>30</v>
      </c>
      <c r="H2923" s="28"/>
      <c r="I2923" s="28" t="s">
        <v>30</v>
      </c>
      <c r="J2923" s="28">
        <v>266.0</v>
      </c>
      <c r="K2923" s="28"/>
      <c r="L2923" s="28" t="s">
        <v>10136</v>
      </c>
      <c r="M2923" s="28" t="s">
        <v>3991</v>
      </c>
      <c r="N2923" s="28">
        <v>2005.0</v>
      </c>
      <c r="O2923" s="60">
        <v>12.0</v>
      </c>
      <c r="P2923" s="28">
        <v>1.0</v>
      </c>
      <c r="Q2923" s="94">
        <v>1.0</v>
      </c>
      <c r="R2923" s="33"/>
      <c r="S2923" s="34"/>
      <c r="T2923" s="34"/>
      <c r="U2923" s="34"/>
      <c r="V2923" s="34"/>
      <c r="W2923" s="34"/>
      <c r="X2923" s="34"/>
      <c r="Y2923" s="45"/>
      <c r="Z2923" s="45"/>
      <c r="AA2923" s="45"/>
      <c r="AB2923" s="45"/>
      <c r="AC2923" s="45"/>
      <c r="AD2923" s="45"/>
      <c r="AE2923" s="45"/>
      <c r="AF2923" s="45"/>
      <c r="AG2923" s="45"/>
      <c r="AH2923" s="45"/>
      <c r="AI2923" s="45"/>
      <c r="AJ2923" s="45"/>
      <c r="AK2923" s="45"/>
      <c r="AL2923" s="45"/>
    </row>
    <row r="2924" ht="15.75" customHeight="1">
      <c r="A2924" s="27">
        <f t="shared" si="23"/>
        <v>1802</v>
      </c>
      <c r="B2924" s="28" t="s">
        <v>31</v>
      </c>
      <c r="C2924" s="48" t="s">
        <v>910</v>
      </c>
      <c r="D2924" s="39" t="s">
        <v>10177</v>
      </c>
      <c r="E2924" s="28" t="s">
        <v>28</v>
      </c>
      <c r="F2924" s="28" t="s">
        <v>29</v>
      </c>
      <c r="G2924" s="28" t="s">
        <v>30</v>
      </c>
      <c r="H2924" s="28"/>
      <c r="I2924" s="28" t="s">
        <v>30</v>
      </c>
      <c r="J2924" s="31">
        <v>353.0</v>
      </c>
      <c r="K2924" s="28"/>
      <c r="L2924" s="28" t="s">
        <v>912</v>
      </c>
      <c r="M2924" s="28" t="s">
        <v>913</v>
      </c>
      <c r="N2924" s="31">
        <v>2004.0</v>
      </c>
      <c r="O2924" s="62" t="s">
        <v>205</v>
      </c>
      <c r="P2924" s="28">
        <v>1.0</v>
      </c>
      <c r="Q2924" s="32">
        <v>1.0</v>
      </c>
      <c r="R2924" s="33"/>
      <c r="S2924" s="34"/>
      <c r="T2924" s="34"/>
      <c r="U2924" s="34"/>
      <c r="V2924" s="34"/>
      <c r="W2924" s="34"/>
      <c r="X2924" s="34"/>
      <c r="Y2924" s="45"/>
      <c r="Z2924" s="45"/>
      <c r="AA2924" s="45"/>
      <c r="AB2924" s="45"/>
      <c r="AC2924" s="45"/>
      <c r="AD2924" s="45"/>
      <c r="AE2924" s="45"/>
      <c r="AF2924" s="45"/>
      <c r="AG2924" s="45"/>
      <c r="AH2924" s="45"/>
      <c r="AI2924" s="45"/>
      <c r="AJ2924" s="45"/>
      <c r="AK2924" s="45"/>
      <c r="AL2924" s="45"/>
    </row>
    <row r="2925" ht="15.75" customHeight="1">
      <c r="A2925" s="27">
        <f t="shared" si="23"/>
        <v>1803</v>
      </c>
      <c r="B2925" s="28" t="s">
        <v>31</v>
      </c>
      <c r="C2925" s="29" t="s">
        <v>910</v>
      </c>
      <c r="D2925" s="39" t="s">
        <v>10178</v>
      </c>
      <c r="E2925" s="28" t="s">
        <v>28</v>
      </c>
      <c r="F2925" s="28" t="s">
        <v>29</v>
      </c>
      <c r="G2925" s="28" t="s">
        <v>30</v>
      </c>
      <c r="H2925" s="28"/>
      <c r="I2925" s="28" t="s">
        <v>30</v>
      </c>
      <c r="J2925" s="28">
        <v>238.0</v>
      </c>
      <c r="K2925" s="28"/>
      <c r="L2925" s="28" t="s">
        <v>912</v>
      </c>
      <c r="M2925" s="28" t="s">
        <v>913</v>
      </c>
      <c r="N2925" s="28">
        <v>1999.0</v>
      </c>
      <c r="O2925" s="62" t="s">
        <v>205</v>
      </c>
      <c r="P2925" s="28">
        <v>1.0</v>
      </c>
      <c r="Q2925" s="32">
        <v>1.0</v>
      </c>
      <c r="R2925" s="33"/>
      <c r="S2925" s="34"/>
      <c r="T2925" s="34"/>
      <c r="U2925" s="34"/>
      <c r="V2925" s="34"/>
      <c r="W2925" s="34"/>
      <c r="X2925" s="34"/>
      <c r="Y2925" s="45"/>
      <c r="Z2925" s="45"/>
      <c r="AA2925" s="45"/>
      <c r="AB2925" s="45"/>
      <c r="AC2925" s="45"/>
      <c r="AD2925" s="45"/>
      <c r="AE2925" s="45"/>
      <c r="AF2925" s="45"/>
      <c r="AG2925" s="45"/>
      <c r="AH2925" s="45"/>
      <c r="AI2925" s="45"/>
      <c r="AJ2925" s="45"/>
      <c r="AK2925" s="45"/>
      <c r="AL2925" s="45"/>
    </row>
    <row r="2926" ht="15.75" customHeight="1">
      <c r="A2926" s="27">
        <f t="shared" si="23"/>
        <v>1804</v>
      </c>
      <c r="B2926" s="28" t="s">
        <v>10179</v>
      </c>
      <c r="C2926" s="29" t="s">
        <v>10180</v>
      </c>
      <c r="D2926" s="30" t="s">
        <v>10181</v>
      </c>
      <c r="E2926" s="28"/>
      <c r="F2926" s="28" t="s">
        <v>29</v>
      </c>
      <c r="G2926" s="28" t="s">
        <v>30</v>
      </c>
      <c r="H2926" s="28"/>
      <c r="I2926" s="28" t="s">
        <v>30</v>
      </c>
      <c r="J2926" s="28">
        <v>300.0</v>
      </c>
      <c r="K2926" s="28"/>
      <c r="L2926" s="28" t="s">
        <v>10182</v>
      </c>
      <c r="M2926" s="28" t="s">
        <v>161</v>
      </c>
      <c r="N2926" s="28">
        <v>2008.0</v>
      </c>
      <c r="O2926" s="62" t="s">
        <v>205</v>
      </c>
      <c r="P2926" s="28">
        <v>3.0</v>
      </c>
      <c r="Q2926" s="32">
        <v>3.0</v>
      </c>
      <c r="R2926" s="33"/>
      <c r="S2926" s="34"/>
      <c r="T2926" s="34"/>
      <c r="U2926" s="34"/>
      <c r="V2926" s="34"/>
      <c r="W2926" s="34"/>
      <c r="X2926" s="34"/>
      <c r="Y2926" s="45"/>
      <c r="Z2926" s="45"/>
      <c r="AA2926" s="45"/>
      <c r="AB2926" s="45"/>
      <c r="AC2926" s="45"/>
      <c r="AD2926" s="45"/>
      <c r="AE2926" s="45"/>
      <c r="AF2926" s="45"/>
      <c r="AG2926" s="45"/>
      <c r="AH2926" s="45"/>
      <c r="AI2926" s="45"/>
      <c r="AJ2926" s="45"/>
      <c r="AK2926" s="45"/>
      <c r="AL2926" s="45"/>
    </row>
    <row r="2927" ht="15.75" customHeight="1">
      <c r="A2927" s="27">
        <f t="shared" si="23"/>
        <v>1805</v>
      </c>
      <c r="B2927" s="28" t="s">
        <v>5886</v>
      </c>
      <c r="C2927" s="29" t="s">
        <v>10183</v>
      </c>
      <c r="D2927" s="30" t="s">
        <v>10184</v>
      </c>
      <c r="E2927" s="28"/>
      <c r="F2927" s="28" t="s">
        <v>29</v>
      </c>
      <c r="G2927" s="28" t="s">
        <v>37</v>
      </c>
      <c r="H2927" s="28" t="s">
        <v>31</v>
      </c>
      <c r="I2927" s="28" t="s">
        <v>38</v>
      </c>
      <c r="J2927" s="28">
        <v>171.0</v>
      </c>
      <c r="K2927" s="28"/>
      <c r="L2927" s="28" t="s">
        <v>10185</v>
      </c>
      <c r="M2927" s="28" t="s">
        <v>54</v>
      </c>
      <c r="N2927" s="28">
        <v>1972.0</v>
      </c>
      <c r="O2927" s="60">
        <v>12.0</v>
      </c>
      <c r="P2927" s="28">
        <v>2.0</v>
      </c>
      <c r="Q2927" s="94">
        <v>2.0</v>
      </c>
      <c r="R2927" s="33"/>
      <c r="S2927" s="34"/>
      <c r="T2927" s="34"/>
      <c r="U2927" s="34"/>
      <c r="V2927" s="34"/>
      <c r="W2927" s="34"/>
      <c r="X2927" s="34"/>
      <c r="Y2927" s="45"/>
      <c r="Z2927" s="45"/>
      <c r="AA2927" s="45"/>
      <c r="AB2927" s="45"/>
      <c r="AC2927" s="45"/>
      <c r="AD2927" s="45"/>
      <c r="AE2927" s="45"/>
      <c r="AF2927" s="45"/>
      <c r="AG2927" s="45"/>
      <c r="AH2927" s="45"/>
      <c r="AI2927" s="45"/>
      <c r="AJ2927" s="45"/>
      <c r="AK2927" s="45"/>
      <c r="AL2927" s="45"/>
    </row>
    <row r="2928" ht="15.75" customHeight="1">
      <c r="A2928" s="27">
        <f t="shared" si="23"/>
        <v>1806</v>
      </c>
      <c r="B2928" s="31" t="s">
        <v>10186</v>
      </c>
      <c r="C2928" s="29" t="s">
        <v>10187</v>
      </c>
      <c r="D2928" s="39" t="s">
        <v>262</v>
      </c>
      <c r="E2928" s="31" t="s">
        <v>10188</v>
      </c>
      <c r="F2928" s="28" t="s">
        <v>29</v>
      </c>
      <c r="G2928" s="28" t="s">
        <v>37</v>
      </c>
      <c r="H2928" s="28" t="s">
        <v>31</v>
      </c>
      <c r="I2928" s="28" t="s">
        <v>38</v>
      </c>
      <c r="J2928" s="28">
        <v>171.0</v>
      </c>
      <c r="K2928" s="28"/>
      <c r="L2928" s="31" t="s">
        <v>263</v>
      </c>
      <c r="M2928" s="28" t="s">
        <v>54</v>
      </c>
      <c r="N2928" s="28">
        <v>1972.0</v>
      </c>
      <c r="O2928" s="62" t="s">
        <v>225</v>
      </c>
      <c r="P2928" s="31">
        <v>1.0</v>
      </c>
      <c r="Q2928" s="114">
        <v>1.0</v>
      </c>
      <c r="R2928" s="33"/>
      <c r="S2928" s="34"/>
      <c r="T2928" s="34"/>
      <c r="U2928" s="34"/>
      <c r="V2928" s="34"/>
      <c r="W2928" s="34"/>
      <c r="X2928" s="34"/>
      <c r="Y2928" s="45"/>
      <c r="Z2928" s="45"/>
      <c r="AA2928" s="45"/>
      <c r="AB2928" s="45"/>
      <c r="AC2928" s="45"/>
      <c r="AD2928" s="45"/>
      <c r="AE2928" s="45"/>
      <c r="AF2928" s="45"/>
      <c r="AG2928" s="45"/>
      <c r="AH2928" s="45"/>
      <c r="AI2928" s="45"/>
      <c r="AJ2928" s="45"/>
      <c r="AK2928" s="45"/>
      <c r="AL2928" s="45"/>
    </row>
    <row r="2929" ht="15.75" customHeight="1">
      <c r="A2929" s="27">
        <f t="shared" si="23"/>
        <v>1807</v>
      </c>
      <c r="B2929" s="31" t="s">
        <v>10189</v>
      </c>
      <c r="C2929" s="29" t="s">
        <v>10190</v>
      </c>
      <c r="D2929" s="39" t="s">
        <v>10191</v>
      </c>
      <c r="E2929" s="31" t="s">
        <v>10188</v>
      </c>
      <c r="F2929" s="28" t="s">
        <v>29</v>
      </c>
      <c r="G2929" s="28" t="s">
        <v>37</v>
      </c>
      <c r="H2929" s="28" t="s">
        <v>31</v>
      </c>
      <c r="I2929" s="28" t="s">
        <v>38</v>
      </c>
      <c r="J2929" s="31">
        <v>214.0</v>
      </c>
      <c r="K2929" s="28"/>
      <c r="L2929" s="31" t="s">
        <v>263</v>
      </c>
      <c r="M2929" s="28" t="s">
        <v>54</v>
      </c>
      <c r="N2929" s="28">
        <v>1972.0</v>
      </c>
      <c r="O2929" s="62" t="s">
        <v>225</v>
      </c>
      <c r="P2929" s="31">
        <v>1.0</v>
      </c>
      <c r="Q2929" s="114">
        <v>1.0</v>
      </c>
      <c r="R2929" s="33"/>
      <c r="S2929" s="34"/>
      <c r="T2929" s="34"/>
      <c r="U2929" s="34"/>
      <c r="V2929" s="34"/>
      <c r="W2929" s="34"/>
      <c r="X2929" s="34"/>
      <c r="Y2929" s="45"/>
      <c r="Z2929" s="45"/>
      <c r="AA2929" s="45"/>
      <c r="AB2929" s="45"/>
      <c r="AC2929" s="45"/>
      <c r="AD2929" s="45"/>
      <c r="AE2929" s="45"/>
      <c r="AF2929" s="45"/>
      <c r="AG2929" s="45"/>
      <c r="AH2929" s="45"/>
      <c r="AI2929" s="45"/>
      <c r="AJ2929" s="45"/>
      <c r="AK2929" s="45"/>
      <c r="AL2929" s="45"/>
    </row>
    <row r="2930" ht="15.75" customHeight="1">
      <c r="A2930" s="27">
        <f t="shared" si="23"/>
        <v>1808</v>
      </c>
      <c r="B2930" s="28" t="s">
        <v>31</v>
      </c>
      <c r="C2930" s="43" t="s">
        <v>10192</v>
      </c>
      <c r="D2930" s="30" t="s">
        <v>10193</v>
      </c>
      <c r="E2930" s="28" t="s">
        <v>28</v>
      </c>
      <c r="F2930" s="28" t="s">
        <v>29</v>
      </c>
      <c r="G2930" s="28" t="s">
        <v>30</v>
      </c>
      <c r="H2930" s="28"/>
      <c r="I2930" s="28" t="s">
        <v>30</v>
      </c>
      <c r="J2930" s="28">
        <v>164.0</v>
      </c>
      <c r="K2930" s="28"/>
      <c r="L2930" s="28" t="s">
        <v>10194</v>
      </c>
      <c r="M2930" s="28" t="s">
        <v>151</v>
      </c>
      <c r="N2930" s="28">
        <v>1967.0</v>
      </c>
      <c r="O2930" s="62" t="s">
        <v>205</v>
      </c>
      <c r="P2930" s="28">
        <v>1.0</v>
      </c>
      <c r="Q2930" s="32">
        <v>1.0</v>
      </c>
      <c r="R2930" s="33"/>
      <c r="S2930" s="34"/>
      <c r="T2930" s="34"/>
      <c r="U2930" s="34"/>
      <c r="V2930" s="34"/>
      <c r="W2930" s="34"/>
      <c r="X2930" s="34"/>
      <c r="Y2930" s="45"/>
      <c r="Z2930" s="45"/>
      <c r="AA2930" s="45"/>
      <c r="AB2930" s="45"/>
      <c r="AC2930" s="45"/>
      <c r="AD2930" s="45"/>
      <c r="AE2930" s="45"/>
      <c r="AF2930" s="45"/>
      <c r="AG2930" s="45"/>
      <c r="AH2930" s="45"/>
      <c r="AI2930" s="45"/>
      <c r="AJ2930" s="45"/>
      <c r="AK2930" s="45"/>
      <c r="AL2930" s="45"/>
    </row>
    <row r="2931" ht="15.75" customHeight="1">
      <c r="A2931" s="27">
        <f t="shared" si="23"/>
        <v>1809</v>
      </c>
      <c r="B2931" s="28" t="s">
        <v>10195</v>
      </c>
      <c r="C2931" s="43" t="s">
        <v>10196</v>
      </c>
      <c r="D2931" s="30" t="s">
        <v>10197</v>
      </c>
      <c r="E2931" s="28"/>
      <c r="F2931" s="28" t="s">
        <v>29</v>
      </c>
      <c r="G2931" s="28" t="s">
        <v>37</v>
      </c>
      <c r="H2931" s="28"/>
      <c r="I2931" s="28" t="s">
        <v>38</v>
      </c>
      <c r="J2931" s="28">
        <v>141.0</v>
      </c>
      <c r="K2931" s="28"/>
      <c r="L2931" s="28" t="s">
        <v>10198</v>
      </c>
      <c r="M2931" s="28" t="s">
        <v>4550</v>
      </c>
      <c r="N2931" s="28">
        <v>1984.0</v>
      </c>
      <c r="O2931" s="60">
        <v>12.0</v>
      </c>
      <c r="P2931" s="28">
        <v>1.0</v>
      </c>
      <c r="Q2931" s="94">
        <v>1.0</v>
      </c>
      <c r="R2931" s="33"/>
      <c r="S2931" s="34"/>
      <c r="T2931" s="34"/>
      <c r="U2931" s="34"/>
      <c r="V2931" s="34"/>
      <c r="W2931" s="34"/>
      <c r="X2931" s="34"/>
      <c r="Y2931" s="45"/>
      <c r="Z2931" s="45"/>
      <c r="AA2931" s="45"/>
      <c r="AB2931" s="45"/>
      <c r="AC2931" s="45"/>
      <c r="AD2931" s="45"/>
      <c r="AE2931" s="45"/>
      <c r="AF2931" s="45"/>
      <c r="AG2931" s="45"/>
      <c r="AH2931" s="45"/>
      <c r="AI2931" s="45"/>
      <c r="AJ2931" s="45"/>
      <c r="AK2931" s="45"/>
      <c r="AL2931" s="45"/>
    </row>
    <row r="2932" ht="15.75" customHeight="1">
      <c r="A2932" s="27">
        <f t="shared" si="23"/>
        <v>1810</v>
      </c>
      <c r="B2932" s="28" t="s">
        <v>10199</v>
      </c>
      <c r="C2932" s="29" t="s">
        <v>10200</v>
      </c>
      <c r="D2932" s="30" t="s">
        <v>10201</v>
      </c>
      <c r="E2932" s="28" t="s">
        <v>28</v>
      </c>
      <c r="F2932" s="77" t="s">
        <v>29</v>
      </c>
      <c r="G2932" s="28" t="s">
        <v>37</v>
      </c>
      <c r="H2932" s="28"/>
      <c r="I2932" s="77" t="s">
        <v>38</v>
      </c>
      <c r="J2932" s="28">
        <v>242.0</v>
      </c>
      <c r="K2932" s="28"/>
      <c r="L2932" s="28" t="s">
        <v>10202</v>
      </c>
      <c r="M2932" s="28" t="s">
        <v>10203</v>
      </c>
      <c r="N2932" s="28">
        <v>2004.0</v>
      </c>
      <c r="O2932" s="28">
        <v>12.0</v>
      </c>
      <c r="P2932" s="28">
        <v>1.0</v>
      </c>
      <c r="Q2932" s="94">
        <v>1.0</v>
      </c>
      <c r="R2932" s="33"/>
      <c r="S2932" s="34"/>
      <c r="T2932" s="34"/>
      <c r="U2932" s="34"/>
      <c r="V2932" s="34"/>
      <c r="W2932" s="34"/>
      <c r="X2932" s="34"/>
      <c r="Y2932" s="45"/>
      <c r="Z2932" s="45"/>
      <c r="AA2932" s="45"/>
      <c r="AB2932" s="45"/>
      <c r="AC2932" s="45"/>
      <c r="AD2932" s="45"/>
      <c r="AE2932" s="45"/>
      <c r="AF2932" s="45"/>
      <c r="AG2932" s="45"/>
      <c r="AH2932" s="45"/>
      <c r="AI2932" s="45"/>
      <c r="AJ2932" s="45"/>
      <c r="AK2932" s="45"/>
      <c r="AL2932" s="45"/>
    </row>
    <row r="2933" ht="15.75" customHeight="1">
      <c r="A2933" s="27">
        <f t="shared" si="23"/>
        <v>1811</v>
      </c>
      <c r="B2933" s="28" t="s">
        <v>10204</v>
      </c>
      <c r="C2933" s="29" t="s">
        <v>10205</v>
      </c>
      <c r="D2933" s="30" t="s">
        <v>10206</v>
      </c>
      <c r="E2933" s="28" t="s">
        <v>302</v>
      </c>
      <c r="F2933" s="28" t="s">
        <v>29</v>
      </c>
      <c r="G2933" s="28" t="s">
        <v>37</v>
      </c>
      <c r="H2933" s="28"/>
      <c r="I2933" s="28" t="s">
        <v>38</v>
      </c>
      <c r="J2933" s="28">
        <v>304.0</v>
      </c>
      <c r="K2933" s="28"/>
      <c r="L2933" s="28" t="s">
        <v>10207</v>
      </c>
      <c r="M2933" s="28" t="s">
        <v>352</v>
      </c>
      <c r="N2933" s="28">
        <v>1997.0</v>
      </c>
      <c r="O2933" s="60">
        <v>12.0</v>
      </c>
      <c r="P2933" s="28">
        <v>1.0</v>
      </c>
      <c r="Q2933" s="94">
        <v>1.0</v>
      </c>
      <c r="R2933" s="33"/>
      <c r="S2933" s="34"/>
      <c r="T2933" s="34"/>
      <c r="U2933" s="34"/>
      <c r="V2933" s="34"/>
      <c r="W2933" s="34"/>
      <c r="X2933" s="34"/>
      <c r="Y2933" s="45"/>
      <c r="Z2933" s="45"/>
      <c r="AA2933" s="45"/>
      <c r="AB2933" s="45"/>
      <c r="AC2933" s="45"/>
      <c r="AD2933" s="45"/>
      <c r="AE2933" s="45"/>
      <c r="AF2933" s="45"/>
      <c r="AG2933" s="45"/>
      <c r="AH2933" s="45"/>
      <c r="AI2933" s="45"/>
      <c r="AJ2933" s="45"/>
      <c r="AK2933" s="45"/>
      <c r="AL2933" s="45"/>
    </row>
    <row r="2934" ht="15.75" customHeight="1">
      <c r="A2934" s="27">
        <f t="shared" si="23"/>
        <v>1812</v>
      </c>
      <c r="B2934" s="28" t="s">
        <v>10208</v>
      </c>
      <c r="C2934" s="102" t="s">
        <v>10209</v>
      </c>
      <c r="D2934" s="30" t="s">
        <v>10210</v>
      </c>
      <c r="E2934" s="28" t="s">
        <v>28</v>
      </c>
      <c r="F2934" s="28" t="s">
        <v>29</v>
      </c>
      <c r="G2934" s="28" t="s">
        <v>37</v>
      </c>
      <c r="H2934" s="28"/>
      <c r="I2934" s="28" t="s">
        <v>38</v>
      </c>
      <c r="J2934" s="28">
        <v>341.0</v>
      </c>
      <c r="K2934" s="28"/>
      <c r="L2934" s="28" t="s">
        <v>303</v>
      </c>
      <c r="M2934" s="28" t="s">
        <v>931</v>
      </c>
      <c r="N2934" s="28">
        <v>1976.0</v>
      </c>
      <c r="O2934" s="60">
        <v>12.0</v>
      </c>
      <c r="P2934" s="28">
        <v>2.0</v>
      </c>
      <c r="Q2934" s="32">
        <v>2.0</v>
      </c>
      <c r="R2934" s="33"/>
      <c r="S2934" s="34"/>
      <c r="T2934" s="34"/>
      <c r="U2934" s="34"/>
      <c r="V2934" s="34"/>
      <c r="W2934" s="34"/>
      <c r="X2934" s="34"/>
      <c r="Y2934" s="3"/>
      <c r="Z2934" s="3"/>
      <c r="AA2934" s="3"/>
      <c r="AB2934" s="3"/>
      <c r="AC2934" s="3"/>
      <c r="AD2934" s="3"/>
      <c r="AE2934" s="3"/>
      <c r="AF2934" s="3"/>
      <c r="AG2934" s="3"/>
      <c r="AH2934" s="3"/>
      <c r="AI2934" s="3"/>
      <c r="AJ2934" s="3"/>
      <c r="AK2934" s="3"/>
      <c r="AL2934" s="3"/>
    </row>
    <row r="2935" ht="15.75" customHeight="1">
      <c r="A2935" s="27">
        <f t="shared" si="23"/>
        <v>1813</v>
      </c>
      <c r="B2935" s="28" t="s">
        <v>31</v>
      </c>
      <c r="C2935" s="48" t="s">
        <v>10211</v>
      </c>
      <c r="D2935" s="120" t="s">
        <v>10212</v>
      </c>
      <c r="E2935" s="28" t="s">
        <v>28</v>
      </c>
      <c r="F2935" s="28" t="s">
        <v>29</v>
      </c>
      <c r="G2935" s="28" t="s">
        <v>37</v>
      </c>
      <c r="H2935" s="28"/>
      <c r="I2935" s="28" t="s">
        <v>38</v>
      </c>
      <c r="J2935" s="28">
        <v>173.0</v>
      </c>
      <c r="K2935" s="28"/>
      <c r="L2935" s="28" t="s">
        <v>10213</v>
      </c>
      <c r="M2935" s="28" t="s">
        <v>196</v>
      </c>
      <c r="N2935" s="28">
        <v>1962.0</v>
      </c>
      <c r="O2935" s="60">
        <v>12.0</v>
      </c>
      <c r="P2935" s="28">
        <v>1.0</v>
      </c>
      <c r="Q2935" s="32">
        <v>1.0</v>
      </c>
      <c r="R2935" s="33"/>
      <c r="S2935" s="34"/>
      <c r="T2935" s="34"/>
      <c r="U2935" s="34"/>
      <c r="V2935" s="34"/>
      <c r="W2935" s="34"/>
      <c r="X2935" s="34"/>
      <c r="Y2935" s="45"/>
      <c r="Z2935" s="45"/>
      <c r="AA2935" s="45"/>
      <c r="AB2935" s="45"/>
      <c r="AC2935" s="45"/>
      <c r="AD2935" s="45"/>
      <c r="AE2935" s="45"/>
      <c r="AF2935" s="45"/>
      <c r="AG2935" s="45"/>
      <c r="AH2935" s="45"/>
      <c r="AI2935" s="45"/>
      <c r="AJ2935" s="45"/>
      <c r="AK2935" s="45"/>
      <c r="AL2935" s="45"/>
    </row>
    <row r="2936" ht="15.75" customHeight="1">
      <c r="A2936" s="27">
        <f t="shared" si="23"/>
        <v>1814</v>
      </c>
      <c r="B2936" s="28" t="s">
        <v>10214</v>
      </c>
      <c r="C2936" s="43" t="s">
        <v>10215</v>
      </c>
      <c r="D2936" s="30" t="s">
        <v>10216</v>
      </c>
      <c r="E2936" s="28" t="s">
        <v>144</v>
      </c>
      <c r="F2936" s="28" t="s">
        <v>29</v>
      </c>
      <c r="G2936" s="28" t="s">
        <v>30</v>
      </c>
      <c r="H2936" s="28"/>
      <c r="I2936" s="28" t="s">
        <v>30</v>
      </c>
      <c r="J2936" s="28">
        <f>396+14</f>
        <v>410</v>
      </c>
      <c r="K2936" s="28"/>
      <c r="L2936" s="28" t="s">
        <v>10217</v>
      </c>
      <c r="M2936" s="28" t="s">
        <v>10218</v>
      </c>
      <c r="N2936" s="28">
        <v>2011.0</v>
      </c>
      <c r="O2936" s="62" t="s">
        <v>205</v>
      </c>
      <c r="P2936" s="28">
        <v>1.0</v>
      </c>
      <c r="Q2936" s="32">
        <v>1.0</v>
      </c>
      <c r="R2936" s="33"/>
      <c r="S2936" s="34"/>
      <c r="T2936" s="34"/>
      <c r="U2936" s="34"/>
      <c r="V2936" s="34"/>
      <c r="W2936" s="34"/>
      <c r="X2936" s="34"/>
      <c r="Y2936" s="3"/>
      <c r="Z2936" s="3"/>
      <c r="AA2936" s="3"/>
      <c r="AB2936" s="3"/>
      <c r="AC2936" s="3"/>
      <c r="AD2936" s="3"/>
      <c r="AE2936" s="3"/>
      <c r="AF2936" s="3"/>
      <c r="AG2936" s="3"/>
      <c r="AH2936" s="3"/>
      <c r="AI2936" s="3"/>
      <c r="AJ2936" s="3"/>
      <c r="AK2936" s="3"/>
      <c r="AL2936" s="3"/>
    </row>
    <row r="2937" ht="15.75" customHeight="1">
      <c r="A2937" s="27">
        <f t="shared" si="23"/>
        <v>1815</v>
      </c>
      <c r="B2937" s="28" t="s">
        <v>10219</v>
      </c>
      <c r="C2937" s="29" t="s">
        <v>10220</v>
      </c>
      <c r="D2937" s="30" t="s">
        <v>10221</v>
      </c>
      <c r="E2937" s="28" t="s">
        <v>144</v>
      </c>
      <c r="F2937" s="28" t="s">
        <v>29</v>
      </c>
      <c r="G2937" s="28" t="s">
        <v>30</v>
      </c>
      <c r="H2937" s="28"/>
      <c r="I2937" s="28" t="s">
        <v>30</v>
      </c>
      <c r="J2937" s="28">
        <f>245+14</f>
        <v>259</v>
      </c>
      <c r="K2937" s="28"/>
      <c r="L2937" s="28" t="s">
        <v>4311</v>
      </c>
      <c r="M2937" s="28" t="s">
        <v>10218</v>
      </c>
      <c r="N2937" s="28">
        <v>2008.0</v>
      </c>
      <c r="O2937" s="28">
        <v>12.0</v>
      </c>
      <c r="P2937" s="28">
        <v>1.0</v>
      </c>
      <c r="Q2937" s="94">
        <v>1.0</v>
      </c>
      <c r="R2937" s="33"/>
      <c r="S2937" s="34"/>
      <c r="T2937" s="34"/>
      <c r="U2937" s="34"/>
      <c r="V2937" s="34"/>
      <c r="W2937" s="34"/>
      <c r="X2937" s="34"/>
      <c r="Y2937" s="45"/>
      <c r="Z2937" s="45"/>
      <c r="AA2937" s="45"/>
      <c r="AB2937" s="45"/>
      <c r="AC2937" s="45"/>
      <c r="AD2937" s="45"/>
      <c r="AE2937" s="45"/>
      <c r="AF2937" s="45"/>
      <c r="AG2937" s="45"/>
      <c r="AH2937" s="45"/>
      <c r="AI2937" s="45"/>
      <c r="AJ2937" s="45"/>
      <c r="AK2937" s="45"/>
      <c r="AL2937" s="45"/>
    </row>
    <row r="2938" ht="15.75" customHeight="1">
      <c r="A2938" s="27">
        <f t="shared" si="23"/>
        <v>1816</v>
      </c>
      <c r="B2938" s="28" t="s">
        <v>10222</v>
      </c>
      <c r="C2938" s="129" t="s">
        <v>10223</v>
      </c>
      <c r="D2938" s="120" t="s">
        <v>10224</v>
      </c>
      <c r="E2938" s="28" t="s">
        <v>28</v>
      </c>
      <c r="F2938" s="28" t="s">
        <v>29</v>
      </c>
      <c r="G2938" s="28" t="s">
        <v>37</v>
      </c>
      <c r="H2938" s="28" t="s">
        <v>31</v>
      </c>
      <c r="I2938" s="28" t="s">
        <v>38</v>
      </c>
      <c r="J2938" s="28">
        <f>151+8</f>
        <v>159</v>
      </c>
      <c r="K2938" s="28" t="s">
        <v>31</v>
      </c>
      <c r="L2938" s="60" t="s">
        <v>9373</v>
      </c>
      <c r="M2938" s="28" t="s">
        <v>4402</v>
      </c>
      <c r="N2938" s="28">
        <v>1996.0</v>
      </c>
      <c r="O2938" s="60">
        <v>12.0</v>
      </c>
      <c r="P2938" s="28">
        <v>1.0</v>
      </c>
      <c r="Q2938" s="94">
        <v>1.0</v>
      </c>
      <c r="R2938" s="33"/>
      <c r="S2938" s="116"/>
      <c r="T2938" s="116"/>
      <c r="U2938" s="116"/>
      <c r="V2938" s="116"/>
      <c r="W2938" s="116"/>
      <c r="X2938" s="116"/>
      <c r="Y2938" s="45"/>
      <c r="Z2938" s="45"/>
      <c r="AA2938" s="45"/>
      <c r="AB2938" s="45"/>
      <c r="AC2938" s="45"/>
      <c r="AD2938" s="45"/>
      <c r="AE2938" s="45"/>
      <c r="AF2938" s="45"/>
      <c r="AG2938" s="45"/>
      <c r="AH2938" s="45"/>
      <c r="AI2938" s="45"/>
      <c r="AJ2938" s="45"/>
      <c r="AK2938" s="45"/>
      <c r="AL2938" s="45"/>
    </row>
    <row r="2939" ht="15.75" customHeight="1">
      <c r="A2939" s="27">
        <f t="shared" si="23"/>
        <v>1817</v>
      </c>
      <c r="B2939" s="28"/>
      <c r="C2939" s="43" t="s">
        <v>10225</v>
      </c>
      <c r="D2939" s="30" t="s">
        <v>10226</v>
      </c>
      <c r="E2939" s="28" t="s">
        <v>31</v>
      </c>
      <c r="F2939" s="28" t="s">
        <v>29</v>
      </c>
      <c r="G2939" s="28" t="s">
        <v>38</v>
      </c>
      <c r="H2939" s="28"/>
      <c r="I2939" s="28" t="s">
        <v>38</v>
      </c>
      <c r="J2939" s="28">
        <v>84.0</v>
      </c>
      <c r="K2939" s="28"/>
      <c r="L2939" s="28" t="s">
        <v>31</v>
      </c>
      <c r="M2939" s="28" t="s">
        <v>5994</v>
      </c>
      <c r="N2939" s="28">
        <v>1962.0</v>
      </c>
      <c r="O2939" s="62" t="s">
        <v>205</v>
      </c>
      <c r="P2939" s="28">
        <v>1.0</v>
      </c>
      <c r="Q2939" s="94">
        <v>1.0</v>
      </c>
      <c r="R2939" s="33"/>
      <c r="S2939" s="34"/>
      <c r="T2939" s="34"/>
      <c r="U2939" s="34"/>
      <c r="V2939" s="34"/>
      <c r="W2939" s="34"/>
      <c r="X2939" s="34"/>
      <c r="Y2939" s="45"/>
      <c r="Z2939" s="45"/>
      <c r="AA2939" s="45"/>
      <c r="AB2939" s="45"/>
      <c r="AC2939" s="45"/>
      <c r="AD2939" s="45"/>
      <c r="AE2939" s="45"/>
      <c r="AF2939" s="45"/>
      <c r="AG2939" s="45"/>
      <c r="AH2939" s="45"/>
      <c r="AI2939" s="45"/>
      <c r="AJ2939" s="45"/>
      <c r="AK2939" s="45"/>
      <c r="AL2939" s="45"/>
    </row>
    <row r="2940" ht="15.75" customHeight="1">
      <c r="A2940" s="27">
        <f t="shared" si="23"/>
        <v>1818</v>
      </c>
      <c r="B2940" s="121" t="s">
        <v>10227</v>
      </c>
      <c r="C2940" s="124" t="s">
        <v>10228</v>
      </c>
      <c r="D2940" s="119" t="s">
        <v>10229</v>
      </c>
      <c r="E2940" s="121" t="s">
        <v>28</v>
      </c>
      <c r="F2940" s="121" t="s">
        <v>29</v>
      </c>
      <c r="G2940" s="121" t="s">
        <v>30</v>
      </c>
      <c r="H2940" s="83"/>
      <c r="I2940" s="121" t="s">
        <v>30</v>
      </c>
      <c r="J2940" s="121">
        <v>696.0</v>
      </c>
      <c r="K2940" s="83"/>
      <c r="L2940" s="121" t="s">
        <v>4673</v>
      </c>
      <c r="M2940" s="121" t="s">
        <v>161</v>
      </c>
      <c r="N2940" s="121">
        <v>2003.0</v>
      </c>
      <c r="O2940" s="124" t="s">
        <v>205</v>
      </c>
      <c r="P2940" s="121">
        <v>1.0</v>
      </c>
      <c r="Q2940" s="121">
        <v>1.0</v>
      </c>
      <c r="R2940" s="84"/>
      <c r="S2940" s="34"/>
      <c r="T2940" s="34"/>
      <c r="U2940" s="34"/>
      <c r="V2940" s="34"/>
      <c r="W2940" s="34"/>
      <c r="X2940" s="34"/>
      <c r="Y2940" s="45"/>
      <c r="Z2940" s="45"/>
      <c r="AA2940" s="45"/>
      <c r="AB2940" s="45"/>
      <c r="AC2940" s="45"/>
      <c r="AD2940" s="45"/>
      <c r="AE2940" s="45"/>
      <c r="AF2940" s="45"/>
      <c r="AG2940" s="45"/>
      <c r="AH2940" s="45"/>
      <c r="AI2940" s="45"/>
      <c r="AJ2940" s="45"/>
      <c r="AK2940" s="45"/>
      <c r="AL2940" s="45"/>
    </row>
    <row r="2941" ht="15.75" customHeight="1">
      <c r="A2941" s="27">
        <f t="shared" si="23"/>
        <v>1819</v>
      </c>
      <c r="B2941" s="28" t="s">
        <v>10230</v>
      </c>
      <c r="C2941" s="102" t="s">
        <v>10231</v>
      </c>
      <c r="D2941" s="30" t="s">
        <v>10232</v>
      </c>
      <c r="E2941" s="28" t="s">
        <v>28</v>
      </c>
      <c r="F2941" s="28" t="s">
        <v>29</v>
      </c>
      <c r="G2941" s="28" t="s">
        <v>38</v>
      </c>
      <c r="H2941" s="28"/>
      <c r="I2941" s="28" t="s">
        <v>38</v>
      </c>
      <c r="J2941" s="28">
        <v>232.0</v>
      </c>
      <c r="K2941" s="28"/>
      <c r="L2941" s="28" t="s">
        <v>10233</v>
      </c>
      <c r="M2941" s="28" t="s">
        <v>1191</v>
      </c>
      <c r="N2941" s="28">
        <v>1998.0</v>
      </c>
      <c r="O2941" s="60">
        <v>12.0</v>
      </c>
      <c r="P2941" s="28">
        <v>1.0</v>
      </c>
      <c r="Q2941" s="32">
        <v>1.0</v>
      </c>
      <c r="R2941" s="33"/>
      <c r="S2941" s="34"/>
      <c r="T2941" s="34"/>
      <c r="U2941" s="34"/>
      <c r="V2941" s="34"/>
      <c r="W2941" s="34"/>
      <c r="X2941" s="34"/>
      <c r="Y2941" s="45"/>
      <c r="Z2941" s="45"/>
      <c r="AA2941" s="45"/>
      <c r="AB2941" s="45"/>
      <c r="AC2941" s="45"/>
      <c r="AD2941" s="45"/>
      <c r="AE2941" s="45"/>
      <c r="AF2941" s="45"/>
      <c r="AG2941" s="45"/>
      <c r="AH2941" s="45"/>
      <c r="AI2941" s="45"/>
      <c r="AJ2941" s="45"/>
      <c r="AK2941" s="45"/>
      <c r="AL2941" s="45"/>
    </row>
    <row r="2942" ht="15.75" customHeight="1">
      <c r="A2942" s="27">
        <f t="shared" si="23"/>
        <v>1820</v>
      </c>
      <c r="B2942" s="28" t="s">
        <v>10234</v>
      </c>
      <c r="C2942" s="102" t="s">
        <v>10235</v>
      </c>
      <c r="D2942" s="120" t="s">
        <v>10236</v>
      </c>
      <c r="E2942" s="28" t="s">
        <v>28</v>
      </c>
      <c r="F2942" s="28" t="s">
        <v>29</v>
      </c>
      <c r="G2942" s="28" t="s">
        <v>30</v>
      </c>
      <c r="H2942" s="28"/>
      <c r="I2942" s="28" t="s">
        <v>30</v>
      </c>
      <c r="J2942" s="28">
        <v>93.0</v>
      </c>
      <c r="K2942" s="28"/>
      <c r="L2942" s="28" t="s">
        <v>10237</v>
      </c>
      <c r="M2942" s="28" t="s">
        <v>151</v>
      </c>
      <c r="N2942" s="28">
        <v>2002.0</v>
      </c>
      <c r="O2942" s="60">
        <v>12.0</v>
      </c>
      <c r="P2942" s="28">
        <v>1.0</v>
      </c>
      <c r="Q2942" s="32">
        <v>1.0</v>
      </c>
      <c r="R2942" s="33"/>
      <c r="S2942" s="34"/>
      <c r="T2942" s="34"/>
      <c r="U2942" s="34"/>
      <c r="V2942" s="34"/>
      <c r="W2942" s="34"/>
      <c r="X2942" s="34"/>
      <c r="Y2942" s="3"/>
      <c r="Z2942" s="3"/>
      <c r="AA2942" s="3"/>
      <c r="AB2942" s="3"/>
      <c r="AC2942" s="3"/>
      <c r="AD2942" s="3"/>
      <c r="AE2942" s="3"/>
      <c r="AF2942" s="3"/>
      <c r="AG2942" s="3"/>
      <c r="AH2942" s="3"/>
      <c r="AI2942" s="3"/>
      <c r="AJ2942" s="3"/>
      <c r="AK2942" s="3"/>
      <c r="AL2942" s="3"/>
    </row>
    <row r="2943" ht="15.75" customHeight="1">
      <c r="A2943" s="27">
        <f t="shared" si="23"/>
        <v>1821</v>
      </c>
      <c r="B2943" s="28" t="s">
        <v>31</v>
      </c>
      <c r="C2943" s="43" t="s">
        <v>10238</v>
      </c>
      <c r="D2943" s="30" t="s">
        <v>10239</v>
      </c>
      <c r="E2943" s="28"/>
      <c r="F2943" s="28" t="s">
        <v>29</v>
      </c>
      <c r="G2943" s="28" t="s">
        <v>30</v>
      </c>
      <c r="H2943" s="28"/>
      <c r="I2943" s="28" t="s">
        <v>30</v>
      </c>
      <c r="J2943" s="28">
        <v>80.0</v>
      </c>
      <c r="K2943" s="28"/>
      <c r="L2943" s="28" t="s">
        <v>10240</v>
      </c>
      <c r="M2943" s="28" t="s">
        <v>151</v>
      </c>
      <c r="N2943" s="28">
        <v>1977.0</v>
      </c>
      <c r="O2943" s="60">
        <v>12.0</v>
      </c>
      <c r="P2943" s="28">
        <v>1.0</v>
      </c>
      <c r="Q2943" s="32">
        <v>1.0</v>
      </c>
      <c r="R2943" s="33"/>
      <c r="S2943" s="34"/>
      <c r="T2943" s="34"/>
      <c r="U2943" s="34"/>
      <c r="V2943" s="34"/>
      <c r="W2943" s="34"/>
      <c r="X2943" s="34"/>
      <c r="Y2943" s="45"/>
      <c r="Z2943" s="45"/>
      <c r="AA2943" s="45"/>
      <c r="AB2943" s="45"/>
      <c r="AC2943" s="45"/>
      <c r="AD2943" s="45"/>
      <c r="AE2943" s="45"/>
      <c r="AF2943" s="45"/>
      <c r="AG2943" s="45"/>
      <c r="AH2943" s="45"/>
      <c r="AI2943" s="45"/>
      <c r="AJ2943" s="45"/>
      <c r="AK2943" s="45"/>
      <c r="AL2943" s="45"/>
    </row>
    <row r="2944" ht="15.75" customHeight="1">
      <c r="A2944" s="27">
        <f t="shared" si="23"/>
        <v>1822</v>
      </c>
      <c r="B2944" s="28" t="s">
        <v>10241</v>
      </c>
      <c r="C2944" s="29" t="s">
        <v>10242</v>
      </c>
      <c r="D2944" s="30" t="s">
        <v>10243</v>
      </c>
      <c r="E2944" s="28" t="s">
        <v>144</v>
      </c>
      <c r="F2944" s="28" t="s">
        <v>29</v>
      </c>
      <c r="G2944" s="28" t="s">
        <v>30</v>
      </c>
      <c r="H2944" s="28"/>
      <c r="I2944" s="28" t="s">
        <v>30</v>
      </c>
      <c r="J2944" s="28">
        <v>79.0</v>
      </c>
      <c r="K2944" s="28"/>
      <c r="L2944" s="28" t="s">
        <v>10244</v>
      </c>
      <c r="M2944" s="28"/>
      <c r="N2944" s="28"/>
      <c r="O2944" s="28">
        <v>12.0</v>
      </c>
      <c r="P2944" s="28">
        <v>1.0</v>
      </c>
      <c r="Q2944" s="32">
        <v>1.0</v>
      </c>
      <c r="R2944" s="33"/>
      <c r="S2944" s="34"/>
      <c r="T2944" s="34"/>
      <c r="U2944" s="34"/>
      <c r="V2944" s="34"/>
      <c r="W2944" s="34"/>
      <c r="X2944" s="34"/>
      <c r="Y2944" s="45"/>
      <c r="Z2944" s="45"/>
      <c r="AA2944" s="45"/>
      <c r="AB2944" s="45"/>
      <c r="AC2944" s="45"/>
      <c r="AD2944" s="45"/>
      <c r="AE2944" s="45"/>
      <c r="AF2944" s="45"/>
      <c r="AG2944" s="45"/>
      <c r="AH2944" s="45"/>
      <c r="AI2944" s="45"/>
      <c r="AJ2944" s="45"/>
      <c r="AK2944" s="45"/>
      <c r="AL2944" s="45"/>
    </row>
    <row r="2945" ht="15.75" customHeight="1">
      <c r="A2945" s="27">
        <f t="shared" si="23"/>
        <v>1823</v>
      </c>
      <c r="B2945" s="28" t="s">
        <v>10245</v>
      </c>
      <c r="C2945" s="43" t="s">
        <v>10246</v>
      </c>
      <c r="D2945" s="30" t="s">
        <v>10247</v>
      </c>
      <c r="E2945" s="28" t="s">
        <v>28</v>
      </c>
      <c r="F2945" s="28" t="s">
        <v>29</v>
      </c>
      <c r="G2945" s="28" t="s">
        <v>30</v>
      </c>
      <c r="H2945" s="28"/>
      <c r="I2945" s="28" t="s">
        <v>30</v>
      </c>
      <c r="J2945" s="28">
        <v>252.0</v>
      </c>
      <c r="K2945" s="28"/>
      <c r="L2945" s="28" t="s">
        <v>10248</v>
      </c>
      <c r="M2945" s="28" t="s">
        <v>161</v>
      </c>
      <c r="N2945" s="28">
        <v>2011.0</v>
      </c>
      <c r="O2945" s="28">
        <v>12.0</v>
      </c>
      <c r="P2945" s="28">
        <v>1.0</v>
      </c>
      <c r="Q2945" s="32">
        <v>1.0</v>
      </c>
      <c r="R2945" s="33"/>
      <c r="S2945" s="34"/>
      <c r="T2945" s="34"/>
      <c r="U2945" s="34"/>
      <c r="V2945" s="34"/>
      <c r="W2945" s="34"/>
      <c r="X2945" s="34"/>
      <c r="Y2945" s="45"/>
      <c r="Z2945" s="45"/>
      <c r="AA2945" s="45"/>
      <c r="AB2945" s="45"/>
      <c r="AC2945" s="45"/>
      <c r="AD2945" s="45"/>
      <c r="AE2945" s="45"/>
      <c r="AF2945" s="45"/>
      <c r="AG2945" s="45"/>
      <c r="AH2945" s="45"/>
      <c r="AI2945" s="45"/>
      <c r="AJ2945" s="45"/>
      <c r="AK2945" s="45"/>
      <c r="AL2945" s="45"/>
    </row>
    <row r="2946" ht="15.75" customHeight="1">
      <c r="A2946" s="27">
        <f t="shared" si="23"/>
        <v>1824</v>
      </c>
      <c r="B2946" s="28" t="s">
        <v>31</v>
      </c>
      <c r="C2946" s="48" t="s">
        <v>10249</v>
      </c>
      <c r="D2946" s="30" t="s">
        <v>10250</v>
      </c>
      <c r="E2946" s="28" t="s">
        <v>28</v>
      </c>
      <c r="F2946" s="28" t="s">
        <v>29</v>
      </c>
      <c r="G2946" s="28" t="s">
        <v>30</v>
      </c>
      <c r="H2946" s="28"/>
      <c r="I2946" s="28" t="s">
        <v>30</v>
      </c>
      <c r="J2946" s="28">
        <v>207.0</v>
      </c>
      <c r="K2946" s="28"/>
      <c r="L2946" s="28" t="s">
        <v>10251</v>
      </c>
      <c r="M2946" s="28" t="s">
        <v>4762</v>
      </c>
      <c r="N2946" s="28">
        <v>1998.0</v>
      </c>
      <c r="O2946" s="62" t="s">
        <v>205</v>
      </c>
      <c r="P2946" s="28">
        <v>1.0</v>
      </c>
      <c r="Q2946" s="32">
        <v>1.0</v>
      </c>
      <c r="R2946" s="33"/>
      <c r="S2946" s="34"/>
      <c r="T2946" s="34"/>
      <c r="U2946" s="34"/>
      <c r="V2946" s="34"/>
      <c r="W2946" s="34"/>
      <c r="X2946" s="34"/>
      <c r="Y2946" s="45"/>
      <c r="Z2946" s="45"/>
      <c r="AA2946" s="45"/>
      <c r="AB2946" s="45"/>
      <c r="AC2946" s="45"/>
      <c r="AD2946" s="45"/>
      <c r="AE2946" s="45"/>
      <c r="AF2946" s="45"/>
      <c r="AG2946" s="45"/>
      <c r="AH2946" s="45"/>
      <c r="AI2946" s="45"/>
      <c r="AJ2946" s="45"/>
      <c r="AK2946" s="45"/>
      <c r="AL2946" s="45"/>
    </row>
    <row r="2947" ht="15.75" customHeight="1">
      <c r="A2947" s="27">
        <f t="shared" si="23"/>
        <v>1825</v>
      </c>
      <c r="B2947" s="28" t="s">
        <v>10252</v>
      </c>
      <c r="C2947" s="102" t="s">
        <v>10253</v>
      </c>
      <c r="D2947" s="30" t="s">
        <v>10254</v>
      </c>
      <c r="E2947" s="28" t="s">
        <v>28</v>
      </c>
      <c r="F2947" s="28" t="s">
        <v>29</v>
      </c>
      <c r="G2947" s="28" t="s">
        <v>38</v>
      </c>
      <c r="H2947" s="28"/>
      <c r="I2947" s="28" t="s">
        <v>38</v>
      </c>
      <c r="J2947" s="28">
        <v>245.0</v>
      </c>
      <c r="K2947" s="28"/>
      <c r="L2947" s="28" t="s">
        <v>290</v>
      </c>
      <c r="M2947" s="28" t="s">
        <v>1191</v>
      </c>
      <c r="N2947" s="28">
        <v>1997.0</v>
      </c>
      <c r="O2947" s="60">
        <v>12.0</v>
      </c>
      <c r="P2947" s="28">
        <v>1.0</v>
      </c>
      <c r="Q2947" s="32">
        <v>1.0</v>
      </c>
      <c r="R2947" s="33"/>
      <c r="S2947" s="34"/>
      <c r="T2947" s="34"/>
      <c r="U2947" s="34"/>
      <c r="V2947" s="34"/>
      <c r="W2947" s="34"/>
      <c r="X2947" s="34"/>
      <c r="Y2947" s="3"/>
      <c r="Z2947" s="3"/>
      <c r="AA2947" s="3"/>
      <c r="AB2947" s="3"/>
      <c r="AC2947" s="3"/>
      <c r="AD2947" s="3"/>
      <c r="AE2947" s="3"/>
      <c r="AF2947" s="3"/>
      <c r="AG2947" s="3"/>
      <c r="AH2947" s="3"/>
      <c r="AI2947" s="3"/>
      <c r="AJ2947" s="3"/>
      <c r="AK2947" s="3"/>
      <c r="AL2947" s="3"/>
    </row>
    <row r="2948" ht="15.75" customHeight="1">
      <c r="A2948" s="27">
        <f t="shared" si="23"/>
        <v>1826</v>
      </c>
      <c r="B2948" s="28"/>
      <c r="C2948" s="43" t="s">
        <v>10255</v>
      </c>
      <c r="D2948" s="30" t="s">
        <v>10256</v>
      </c>
      <c r="E2948" s="28" t="s">
        <v>31</v>
      </c>
      <c r="F2948" s="28" t="s">
        <v>29</v>
      </c>
      <c r="G2948" s="28" t="s">
        <v>38</v>
      </c>
      <c r="H2948" s="28"/>
      <c r="I2948" s="28" t="s">
        <v>38</v>
      </c>
      <c r="J2948" s="28">
        <v>49.0</v>
      </c>
      <c r="K2948" s="28"/>
      <c r="L2948" s="28" t="s">
        <v>31</v>
      </c>
      <c r="M2948" s="28" t="s">
        <v>5994</v>
      </c>
      <c r="N2948" s="28">
        <v>1958.0</v>
      </c>
      <c r="O2948" s="62" t="s">
        <v>205</v>
      </c>
      <c r="P2948" s="28">
        <v>2.0</v>
      </c>
      <c r="Q2948" s="94">
        <v>2.0</v>
      </c>
      <c r="R2948" s="33"/>
      <c r="S2948" s="34"/>
      <c r="T2948" s="34"/>
      <c r="U2948" s="34"/>
      <c r="V2948" s="34"/>
      <c r="W2948" s="34"/>
      <c r="X2948" s="34"/>
      <c r="Y2948" s="3"/>
      <c r="Z2948" s="3"/>
      <c r="AA2948" s="3"/>
      <c r="AB2948" s="3"/>
      <c r="AC2948" s="3"/>
      <c r="AD2948" s="3"/>
      <c r="AE2948" s="3"/>
      <c r="AF2948" s="3"/>
      <c r="AG2948" s="3"/>
      <c r="AH2948" s="3"/>
      <c r="AI2948" s="3"/>
      <c r="AJ2948" s="3"/>
      <c r="AK2948" s="3"/>
      <c r="AL2948" s="3"/>
    </row>
    <row r="2949" ht="15.75" customHeight="1">
      <c r="A2949" s="27">
        <f t="shared" si="23"/>
        <v>1827</v>
      </c>
      <c r="B2949" s="83" t="s">
        <v>10257</v>
      </c>
      <c r="C2949" s="86" t="s">
        <v>10258</v>
      </c>
      <c r="D2949" s="119" t="s">
        <v>10259</v>
      </c>
      <c r="E2949" s="118"/>
      <c r="F2949" s="83" t="s">
        <v>29</v>
      </c>
      <c r="G2949" s="83" t="s">
        <v>30</v>
      </c>
      <c r="H2949" s="118"/>
      <c r="I2949" s="83" t="s">
        <v>30</v>
      </c>
      <c r="J2949" s="83">
        <v>517.0</v>
      </c>
      <c r="K2949" s="118"/>
      <c r="L2949" s="83" t="s">
        <v>4758</v>
      </c>
      <c r="M2949" s="118" t="s">
        <v>10260</v>
      </c>
      <c r="N2949" s="118">
        <v>2003.0</v>
      </c>
      <c r="O2949" s="124" t="s">
        <v>205</v>
      </c>
      <c r="P2949" s="83">
        <v>1.0</v>
      </c>
      <c r="Q2949" s="83">
        <v>1.0</v>
      </c>
      <c r="R2949" s="84"/>
      <c r="S2949" s="34"/>
      <c r="T2949" s="34"/>
      <c r="U2949" s="34"/>
      <c r="V2949" s="34"/>
      <c r="W2949" s="34"/>
      <c r="X2949" s="34"/>
      <c r="Y2949" s="3"/>
      <c r="Z2949" s="3"/>
      <c r="AA2949" s="3"/>
      <c r="AB2949" s="3"/>
      <c r="AC2949" s="3"/>
      <c r="AD2949" s="3"/>
      <c r="AE2949" s="3"/>
      <c r="AF2949" s="3"/>
      <c r="AG2949" s="3"/>
      <c r="AH2949" s="3"/>
      <c r="AI2949" s="3"/>
      <c r="AJ2949" s="3"/>
      <c r="AK2949" s="3"/>
      <c r="AL2949" s="3"/>
    </row>
    <row r="2950" ht="15.75" customHeight="1">
      <c r="A2950" s="27">
        <f t="shared" si="23"/>
        <v>1828</v>
      </c>
      <c r="B2950" s="28" t="s">
        <v>10261</v>
      </c>
      <c r="C2950" s="129" t="s">
        <v>10262</v>
      </c>
      <c r="D2950" s="120" t="s">
        <v>10263</v>
      </c>
      <c r="E2950" s="28" t="s">
        <v>28</v>
      </c>
      <c r="F2950" s="28" t="s">
        <v>29</v>
      </c>
      <c r="G2950" s="28" t="s">
        <v>37</v>
      </c>
      <c r="H2950" s="28" t="s">
        <v>31</v>
      </c>
      <c r="I2950" s="28" t="s">
        <v>38</v>
      </c>
      <c r="J2950" s="28">
        <v>100.0</v>
      </c>
      <c r="K2950" s="28" t="s">
        <v>31</v>
      </c>
      <c r="L2950" s="28" t="s">
        <v>10264</v>
      </c>
      <c r="M2950" s="28" t="s">
        <v>4402</v>
      </c>
      <c r="N2950" s="60">
        <v>2005.0</v>
      </c>
      <c r="O2950" s="60">
        <v>12.0</v>
      </c>
      <c r="P2950" s="28">
        <v>2.0</v>
      </c>
      <c r="Q2950" s="32">
        <v>2.0</v>
      </c>
      <c r="R2950" s="33"/>
      <c r="S2950" s="185"/>
      <c r="T2950" s="185"/>
      <c r="U2950" s="185"/>
      <c r="V2950" s="185"/>
      <c r="W2950" s="185"/>
      <c r="X2950" s="185"/>
      <c r="Y2950" s="45"/>
      <c r="Z2950" s="45"/>
      <c r="AA2950" s="45"/>
      <c r="AB2950" s="45"/>
      <c r="AC2950" s="45"/>
      <c r="AD2950" s="45"/>
      <c r="AE2950" s="45"/>
      <c r="AF2950" s="45"/>
      <c r="AG2950" s="45"/>
      <c r="AH2950" s="45"/>
      <c r="AI2950" s="45"/>
      <c r="AJ2950" s="45"/>
      <c r="AK2950" s="45"/>
      <c r="AL2950" s="45"/>
    </row>
    <row r="2951" ht="15.75" customHeight="1">
      <c r="A2951" s="27">
        <f t="shared" si="23"/>
        <v>1829</v>
      </c>
      <c r="B2951" s="121" t="s">
        <v>10265</v>
      </c>
      <c r="C2951" s="124" t="s">
        <v>10266</v>
      </c>
      <c r="D2951" s="119" t="s">
        <v>10267</v>
      </c>
      <c r="E2951" s="83"/>
      <c r="F2951" s="83"/>
      <c r="G2951" s="121" t="s">
        <v>37</v>
      </c>
      <c r="H2951" s="83"/>
      <c r="I2951" s="121" t="s">
        <v>38</v>
      </c>
      <c r="J2951" s="121">
        <v>251.0</v>
      </c>
      <c r="K2951" s="83"/>
      <c r="L2951" s="121" t="s">
        <v>10268</v>
      </c>
      <c r="M2951" s="121" t="s">
        <v>10269</v>
      </c>
      <c r="N2951" s="121">
        <v>2001.0</v>
      </c>
      <c r="O2951" s="121">
        <v>12.0</v>
      </c>
      <c r="P2951" s="121">
        <v>1.0</v>
      </c>
      <c r="Q2951" s="121">
        <v>1.0</v>
      </c>
      <c r="R2951" s="84"/>
      <c r="S2951" s="34"/>
      <c r="T2951" s="34"/>
      <c r="U2951" s="34"/>
      <c r="V2951" s="34"/>
      <c r="W2951" s="34"/>
      <c r="X2951" s="34"/>
      <c r="Y2951" s="3"/>
      <c r="Z2951" s="3"/>
      <c r="AA2951" s="3"/>
      <c r="AB2951" s="3"/>
      <c r="AC2951" s="3"/>
      <c r="AD2951" s="3"/>
      <c r="AE2951" s="3"/>
      <c r="AF2951" s="3"/>
      <c r="AG2951" s="3"/>
      <c r="AH2951" s="3"/>
      <c r="AI2951" s="3"/>
      <c r="AJ2951" s="3"/>
      <c r="AK2951" s="3"/>
      <c r="AL2951" s="3"/>
    </row>
    <row r="2952" ht="15.75" customHeight="1">
      <c r="A2952" s="27">
        <f t="shared" si="23"/>
        <v>1830</v>
      </c>
      <c r="B2952" s="28" t="s">
        <v>10270</v>
      </c>
      <c r="C2952" s="29" t="s">
        <v>10271</v>
      </c>
      <c r="D2952" s="30" t="s">
        <v>10272</v>
      </c>
      <c r="E2952" s="28" t="s">
        <v>144</v>
      </c>
      <c r="F2952" s="28" t="s">
        <v>29</v>
      </c>
      <c r="G2952" s="28" t="s">
        <v>30</v>
      </c>
      <c r="H2952" s="28"/>
      <c r="I2952" s="28" t="s">
        <v>30</v>
      </c>
      <c r="J2952" s="28">
        <v>682.0</v>
      </c>
      <c r="K2952" s="28"/>
      <c r="L2952" s="28" t="s">
        <v>10273</v>
      </c>
      <c r="M2952" s="28" t="s">
        <v>151</v>
      </c>
      <c r="N2952" s="28">
        <v>2006.0</v>
      </c>
      <c r="O2952" s="28">
        <v>12.0</v>
      </c>
      <c r="P2952" s="28">
        <v>2.0</v>
      </c>
      <c r="Q2952" s="32">
        <v>2.0</v>
      </c>
      <c r="R2952" s="33"/>
      <c r="S2952" s="34"/>
      <c r="T2952" s="34"/>
      <c r="U2952" s="34"/>
      <c r="V2952" s="34"/>
      <c r="W2952" s="34"/>
      <c r="X2952" s="34"/>
      <c r="Y2952" s="45"/>
      <c r="Z2952" s="45"/>
      <c r="AA2952" s="45"/>
      <c r="AB2952" s="45"/>
      <c r="AC2952" s="45"/>
      <c r="AD2952" s="45"/>
      <c r="AE2952" s="45"/>
      <c r="AF2952" s="45"/>
      <c r="AG2952" s="45"/>
      <c r="AH2952" s="45"/>
      <c r="AI2952" s="45"/>
      <c r="AJ2952" s="45"/>
      <c r="AK2952" s="45"/>
      <c r="AL2952" s="45"/>
    </row>
    <row r="2953" ht="15.75" customHeight="1">
      <c r="A2953" s="27">
        <f t="shared" si="23"/>
        <v>1831</v>
      </c>
      <c r="B2953" s="28" t="s">
        <v>10274</v>
      </c>
      <c r="C2953" s="29" t="s">
        <v>10275</v>
      </c>
      <c r="D2953" s="30" t="s">
        <v>10276</v>
      </c>
      <c r="E2953" s="28"/>
      <c r="F2953" s="28" t="s">
        <v>29</v>
      </c>
      <c r="G2953" s="28" t="s">
        <v>30</v>
      </c>
      <c r="H2953" s="28"/>
      <c r="I2953" s="28" t="s">
        <v>30</v>
      </c>
      <c r="J2953" s="28">
        <v>358.0</v>
      </c>
      <c r="K2953" s="28"/>
      <c r="L2953" s="28" t="s">
        <v>9885</v>
      </c>
      <c r="M2953" s="28" t="s">
        <v>151</v>
      </c>
      <c r="N2953" s="28">
        <v>2004.0</v>
      </c>
      <c r="O2953" s="60">
        <v>12.0</v>
      </c>
      <c r="P2953" s="28">
        <v>1.0</v>
      </c>
      <c r="Q2953" s="32">
        <v>1.0</v>
      </c>
      <c r="R2953" s="33"/>
      <c r="S2953" s="34"/>
      <c r="T2953" s="34"/>
      <c r="U2953" s="34"/>
      <c r="V2953" s="34"/>
      <c r="W2953" s="34"/>
      <c r="X2953" s="34"/>
      <c r="Y2953" s="45"/>
      <c r="Z2953" s="45"/>
      <c r="AA2953" s="45"/>
      <c r="AB2953" s="45"/>
      <c r="AC2953" s="45"/>
      <c r="AD2953" s="45"/>
      <c r="AE2953" s="45"/>
      <c r="AF2953" s="45"/>
      <c r="AG2953" s="45"/>
      <c r="AH2953" s="45"/>
      <c r="AI2953" s="45"/>
      <c r="AJ2953" s="45"/>
      <c r="AK2953" s="45"/>
      <c r="AL2953" s="45"/>
    </row>
    <row r="2954" ht="15.75" customHeight="1">
      <c r="A2954" s="27">
        <f t="shared" si="23"/>
        <v>1832</v>
      </c>
      <c r="B2954" s="28" t="s">
        <v>10277</v>
      </c>
      <c r="C2954" s="29" t="s">
        <v>10278</v>
      </c>
      <c r="D2954" s="30" t="s">
        <v>10279</v>
      </c>
      <c r="E2954" s="28" t="s">
        <v>144</v>
      </c>
      <c r="F2954" s="28" t="s">
        <v>29</v>
      </c>
      <c r="G2954" s="28" t="s">
        <v>30</v>
      </c>
      <c r="H2954" s="28"/>
      <c r="I2954" s="28" t="s">
        <v>30</v>
      </c>
      <c r="J2954" s="28">
        <f>403+18</f>
        <v>421</v>
      </c>
      <c r="K2954" s="28"/>
      <c r="L2954" s="28" t="s">
        <v>10280</v>
      </c>
      <c r="M2954" s="28" t="s">
        <v>230</v>
      </c>
      <c r="N2954" s="28">
        <v>2012.0</v>
      </c>
      <c r="O2954" s="28">
        <v>12.0</v>
      </c>
      <c r="P2954" s="28">
        <v>1.0</v>
      </c>
      <c r="Q2954" s="32">
        <v>1.0</v>
      </c>
      <c r="R2954" s="33"/>
      <c r="S2954" s="185"/>
      <c r="T2954" s="185"/>
      <c r="U2954" s="185"/>
      <c r="V2954" s="185"/>
      <c r="W2954" s="185"/>
      <c r="X2954" s="185"/>
      <c r="Y2954" s="45"/>
      <c r="Z2954" s="45"/>
      <c r="AA2954" s="45"/>
      <c r="AB2954" s="45"/>
      <c r="AC2954" s="45"/>
      <c r="AD2954" s="45"/>
      <c r="AE2954" s="45"/>
      <c r="AF2954" s="45"/>
      <c r="AG2954" s="45"/>
      <c r="AH2954" s="45"/>
      <c r="AI2954" s="45"/>
      <c r="AJ2954" s="45"/>
      <c r="AK2954" s="45"/>
      <c r="AL2954" s="45"/>
    </row>
    <row r="2955" ht="15.75" customHeight="1">
      <c r="A2955" s="27">
        <f t="shared" si="23"/>
        <v>1833</v>
      </c>
      <c r="B2955" s="28" t="s">
        <v>10281</v>
      </c>
      <c r="C2955" s="43" t="s">
        <v>10282</v>
      </c>
      <c r="D2955" s="39" t="s">
        <v>10283</v>
      </c>
      <c r="E2955" s="28" t="s">
        <v>28</v>
      </c>
      <c r="F2955" s="28" t="s">
        <v>29</v>
      </c>
      <c r="G2955" s="28" t="s">
        <v>37</v>
      </c>
      <c r="H2955" s="28"/>
      <c r="I2955" s="28" t="s">
        <v>38</v>
      </c>
      <c r="J2955" s="28">
        <v>239.0</v>
      </c>
      <c r="K2955" s="28"/>
      <c r="L2955" s="28" t="s">
        <v>10284</v>
      </c>
      <c r="M2955" s="28" t="s">
        <v>6983</v>
      </c>
      <c r="N2955" s="28">
        <v>1990.0</v>
      </c>
      <c r="O2955" s="62" t="s">
        <v>205</v>
      </c>
      <c r="P2955" s="28">
        <v>1.0</v>
      </c>
      <c r="Q2955" s="32">
        <v>1.0</v>
      </c>
      <c r="R2955" s="33"/>
      <c r="S2955" s="40"/>
      <c r="T2955" s="40"/>
      <c r="U2955" s="40"/>
      <c r="V2955" s="40"/>
      <c r="W2955" s="40"/>
      <c r="X2955" s="40"/>
      <c r="Y2955" s="45"/>
      <c r="Z2955" s="45"/>
      <c r="AA2955" s="45"/>
      <c r="AB2955" s="45"/>
      <c r="AC2955" s="45"/>
      <c r="AD2955" s="45"/>
      <c r="AE2955" s="45"/>
      <c r="AF2955" s="45"/>
      <c r="AG2955" s="45"/>
      <c r="AH2955" s="45"/>
      <c r="AI2955" s="45"/>
      <c r="AJ2955" s="45"/>
      <c r="AK2955" s="45"/>
      <c r="AL2955" s="45"/>
    </row>
    <row r="2956" ht="15.75" customHeight="1">
      <c r="A2956" s="27">
        <f t="shared" si="23"/>
        <v>1834</v>
      </c>
      <c r="B2956" s="83"/>
      <c r="C2956" s="121" t="s">
        <v>10285</v>
      </c>
      <c r="D2956" s="128" t="s">
        <v>10286</v>
      </c>
      <c r="E2956" s="83" t="s">
        <v>28</v>
      </c>
      <c r="F2956" s="83" t="s">
        <v>29</v>
      </c>
      <c r="G2956" s="83" t="s">
        <v>2743</v>
      </c>
      <c r="H2956" s="83"/>
      <c r="I2956" s="83" t="s">
        <v>38</v>
      </c>
      <c r="J2956" s="121">
        <v>1003.0</v>
      </c>
      <c r="K2956" s="83"/>
      <c r="L2956" s="121" t="s">
        <v>10287</v>
      </c>
      <c r="M2956" s="83" t="s">
        <v>382</v>
      </c>
      <c r="N2956" s="121">
        <v>2004.0</v>
      </c>
      <c r="O2956" s="124">
        <v>9.0</v>
      </c>
      <c r="P2956" s="83">
        <v>1.0</v>
      </c>
      <c r="Q2956" s="83">
        <v>1.0</v>
      </c>
      <c r="R2956" s="84"/>
      <c r="S2956" s="34"/>
      <c r="T2956" s="34"/>
      <c r="U2956" s="34"/>
      <c r="V2956" s="34"/>
      <c r="W2956" s="34"/>
      <c r="X2956" s="34"/>
      <c r="Y2956" s="45"/>
      <c r="Z2956" s="45"/>
      <c r="AA2956" s="45"/>
      <c r="AB2956" s="45"/>
      <c r="AC2956" s="45"/>
      <c r="AD2956" s="45"/>
      <c r="AE2956" s="45"/>
      <c r="AF2956" s="45"/>
      <c r="AG2956" s="45"/>
      <c r="AH2956" s="45"/>
      <c r="AI2956" s="45"/>
      <c r="AJ2956" s="45"/>
      <c r="AK2956" s="45"/>
      <c r="AL2956" s="45"/>
    </row>
    <row r="2957" ht="15.75" customHeight="1">
      <c r="A2957" s="27">
        <f t="shared" si="23"/>
        <v>1835</v>
      </c>
      <c r="B2957" s="28" t="s">
        <v>10288</v>
      </c>
      <c r="C2957" s="29" t="s">
        <v>10289</v>
      </c>
      <c r="D2957" s="30" t="s">
        <v>10290</v>
      </c>
      <c r="E2957" s="28" t="s">
        <v>144</v>
      </c>
      <c r="F2957" s="28" t="s">
        <v>29</v>
      </c>
      <c r="G2957" s="28" t="s">
        <v>30</v>
      </c>
      <c r="H2957" s="28"/>
      <c r="I2957" s="28" t="s">
        <v>30</v>
      </c>
      <c r="J2957" s="28">
        <v>356.0</v>
      </c>
      <c r="K2957" s="28"/>
      <c r="L2957" s="28" t="s">
        <v>9766</v>
      </c>
      <c r="M2957" s="28" t="s">
        <v>4762</v>
      </c>
      <c r="N2957" s="28">
        <v>2012.0</v>
      </c>
      <c r="O2957" s="60">
        <v>12.0</v>
      </c>
      <c r="P2957" s="28">
        <v>1.0</v>
      </c>
      <c r="Q2957" s="32">
        <v>1.0</v>
      </c>
      <c r="R2957" s="33"/>
      <c r="S2957" s="185"/>
      <c r="T2957" s="185"/>
      <c r="U2957" s="185"/>
      <c r="V2957" s="185"/>
      <c r="W2957" s="185"/>
      <c r="X2957" s="185"/>
      <c r="Y2957" s="3"/>
      <c r="Z2957" s="3"/>
      <c r="AA2957" s="3"/>
      <c r="AB2957" s="3"/>
      <c r="AC2957" s="3"/>
      <c r="AD2957" s="3"/>
      <c r="AE2957" s="3"/>
      <c r="AF2957" s="3"/>
      <c r="AG2957" s="3"/>
      <c r="AH2957" s="3"/>
      <c r="AI2957" s="3"/>
      <c r="AJ2957" s="3"/>
      <c r="AK2957" s="3"/>
      <c r="AL2957" s="3"/>
    </row>
    <row r="2958" ht="15.75" customHeight="1">
      <c r="A2958" s="27">
        <f t="shared" si="23"/>
        <v>1836</v>
      </c>
      <c r="B2958" s="28" t="s">
        <v>10291</v>
      </c>
      <c r="C2958" s="129" t="s">
        <v>10292</v>
      </c>
      <c r="D2958" s="120" t="s">
        <v>10293</v>
      </c>
      <c r="E2958" s="28" t="s">
        <v>28</v>
      </c>
      <c r="F2958" s="28" t="s">
        <v>29</v>
      </c>
      <c r="G2958" s="28" t="s">
        <v>37</v>
      </c>
      <c r="H2958" s="28" t="s">
        <v>31</v>
      </c>
      <c r="I2958" s="28" t="s">
        <v>38</v>
      </c>
      <c r="J2958" s="28">
        <v>138.0</v>
      </c>
      <c r="K2958" s="28" t="s">
        <v>31</v>
      </c>
      <c r="L2958" s="28" t="s">
        <v>10294</v>
      </c>
      <c r="M2958" s="28" t="s">
        <v>4402</v>
      </c>
      <c r="N2958" s="28">
        <v>1996.0</v>
      </c>
      <c r="O2958" s="60">
        <v>12.0</v>
      </c>
      <c r="P2958" s="28">
        <v>1.0</v>
      </c>
      <c r="Q2958" s="32">
        <v>1.0</v>
      </c>
      <c r="R2958" s="33"/>
      <c r="S2958" s="34"/>
      <c r="T2958" s="34"/>
      <c r="U2958" s="34"/>
      <c r="V2958" s="34"/>
      <c r="W2958" s="34"/>
      <c r="X2958" s="34"/>
      <c r="Y2958" s="3"/>
      <c r="Z2958" s="3"/>
      <c r="AA2958" s="3"/>
      <c r="AB2958" s="3"/>
      <c r="AC2958" s="3"/>
      <c r="AD2958" s="3"/>
      <c r="AE2958" s="3"/>
      <c r="AF2958" s="3"/>
      <c r="AG2958" s="3"/>
      <c r="AH2958" s="3"/>
      <c r="AI2958" s="3"/>
      <c r="AJ2958" s="3"/>
      <c r="AK2958" s="3"/>
      <c r="AL2958" s="3"/>
    </row>
    <row r="2959" ht="15.75" customHeight="1">
      <c r="A2959" s="27">
        <f t="shared" si="23"/>
        <v>1837</v>
      </c>
      <c r="B2959" s="28" t="s">
        <v>10295</v>
      </c>
      <c r="C2959" s="29" t="s">
        <v>10296</v>
      </c>
      <c r="D2959" s="30" t="s">
        <v>10297</v>
      </c>
      <c r="E2959" s="28" t="s">
        <v>28</v>
      </c>
      <c r="F2959" s="28" t="s">
        <v>29</v>
      </c>
      <c r="G2959" s="28" t="s">
        <v>37</v>
      </c>
      <c r="H2959" s="28"/>
      <c r="I2959" s="28" t="s">
        <v>38</v>
      </c>
      <c r="J2959" s="28">
        <v>1154.0</v>
      </c>
      <c r="K2959" s="28"/>
      <c r="L2959" s="28" t="s">
        <v>7800</v>
      </c>
      <c r="M2959" s="28" t="s">
        <v>382</v>
      </c>
      <c r="N2959" s="28">
        <v>2010.0</v>
      </c>
      <c r="O2959" s="31">
        <v>8.0</v>
      </c>
      <c r="P2959" s="28">
        <v>1.0</v>
      </c>
      <c r="Q2959" s="32">
        <v>1.0</v>
      </c>
      <c r="R2959" s="33"/>
      <c r="S2959" s="34"/>
      <c r="T2959" s="34"/>
      <c r="U2959" s="34"/>
      <c r="V2959" s="34"/>
      <c r="W2959" s="34"/>
      <c r="X2959" s="34"/>
      <c r="Y2959" s="45"/>
      <c r="Z2959" s="45"/>
      <c r="AA2959" s="45"/>
      <c r="AB2959" s="45"/>
      <c r="AC2959" s="45"/>
      <c r="AD2959" s="45"/>
      <c r="AE2959" s="45"/>
      <c r="AF2959" s="45"/>
      <c r="AG2959" s="45"/>
      <c r="AH2959" s="45"/>
      <c r="AI2959" s="45"/>
      <c r="AJ2959" s="45"/>
      <c r="AK2959" s="45"/>
      <c r="AL2959" s="45"/>
    </row>
    <row r="2960" ht="15.75" customHeight="1">
      <c r="A2960" s="27">
        <f t="shared" si="23"/>
        <v>1838</v>
      </c>
      <c r="B2960" s="28"/>
      <c r="C2960" s="29" t="s">
        <v>10298</v>
      </c>
      <c r="D2960" s="30" t="s">
        <v>10299</v>
      </c>
      <c r="E2960" s="28" t="s">
        <v>31</v>
      </c>
      <c r="F2960" s="28" t="s">
        <v>29</v>
      </c>
      <c r="G2960" s="28" t="s">
        <v>38</v>
      </c>
      <c r="H2960" s="28"/>
      <c r="I2960" s="28" t="s">
        <v>38</v>
      </c>
      <c r="J2960" s="28">
        <v>77.0</v>
      </c>
      <c r="K2960" s="28"/>
      <c r="L2960" s="28" t="s">
        <v>31</v>
      </c>
      <c r="M2960" s="28" t="s">
        <v>5994</v>
      </c>
      <c r="N2960" s="28">
        <v>1959.0</v>
      </c>
      <c r="O2960" s="60">
        <v>12.0</v>
      </c>
      <c r="P2960" s="28">
        <v>1.0</v>
      </c>
      <c r="Q2960" s="94">
        <v>1.0</v>
      </c>
      <c r="R2960" s="33"/>
      <c r="S2960" s="116"/>
      <c r="T2960" s="116"/>
      <c r="U2960" s="116"/>
      <c r="V2960" s="116"/>
      <c r="W2960" s="116"/>
      <c r="X2960" s="116"/>
      <c r="Y2960" s="3"/>
      <c r="Z2960" s="3"/>
      <c r="AA2960" s="3"/>
      <c r="AB2960" s="3"/>
      <c r="AC2960" s="3"/>
      <c r="AD2960" s="3"/>
      <c r="AE2960" s="3"/>
      <c r="AF2960" s="3"/>
      <c r="AG2960" s="3"/>
      <c r="AH2960" s="3"/>
      <c r="AI2960" s="3"/>
      <c r="AJ2960" s="3"/>
      <c r="AK2960" s="3"/>
      <c r="AL2960" s="3"/>
    </row>
    <row r="2961" ht="15.75" customHeight="1">
      <c r="A2961" s="27">
        <f t="shared" si="23"/>
        <v>1839</v>
      </c>
      <c r="B2961" s="28" t="s">
        <v>31</v>
      </c>
      <c r="C2961" s="102" t="s">
        <v>10300</v>
      </c>
      <c r="D2961" s="120" t="s">
        <v>10301</v>
      </c>
      <c r="E2961" s="28" t="s">
        <v>28</v>
      </c>
      <c r="F2961" s="28" t="s">
        <v>29</v>
      </c>
      <c r="G2961" s="28" t="s">
        <v>30</v>
      </c>
      <c r="H2961" s="28"/>
      <c r="I2961" s="28" t="s">
        <v>30</v>
      </c>
      <c r="J2961" s="28">
        <v>166.0</v>
      </c>
      <c r="K2961" s="28"/>
      <c r="L2961" s="28" t="s">
        <v>10302</v>
      </c>
      <c r="M2961" s="28" t="s">
        <v>151</v>
      </c>
      <c r="N2961" s="28">
        <v>1985.0</v>
      </c>
      <c r="O2961" s="60">
        <v>12.0</v>
      </c>
      <c r="P2961" s="28">
        <v>1.0</v>
      </c>
      <c r="Q2961" s="32">
        <v>1.0</v>
      </c>
      <c r="R2961" s="33"/>
      <c r="S2961" s="116"/>
      <c r="T2961" s="116"/>
      <c r="U2961" s="116"/>
      <c r="V2961" s="116"/>
      <c r="W2961" s="116"/>
      <c r="X2961" s="116"/>
      <c r="Y2961" s="3"/>
      <c r="Z2961" s="3"/>
      <c r="AA2961" s="3"/>
      <c r="AB2961" s="3"/>
      <c r="AC2961" s="3"/>
      <c r="AD2961" s="3"/>
      <c r="AE2961" s="3"/>
      <c r="AF2961" s="3"/>
      <c r="AG2961" s="3"/>
      <c r="AH2961" s="3"/>
      <c r="AI2961" s="3"/>
      <c r="AJ2961" s="3"/>
      <c r="AK2961" s="3"/>
      <c r="AL2961" s="3"/>
    </row>
    <row r="2962" ht="15.75" customHeight="1">
      <c r="A2962" s="27">
        <f t="shared" si="23"/>
        <v>1840</v>
      </c>
      <c r="B2962" s="28"/>
      <c r="C2962" s="29" t="s">
        <v>10303</v>
      </c>
      <c r="D2962" s="30" t="s">
        <v>10304</v>
      </c>
      <c r="E2962" s="28" t="s">
        <v>144</v>
      </c>
      <c r="F2962" s="28" t="s">
        <v>29</v>
      </c>
      <c r="G2962" s="28" t="s">
        <v>30</v>
      </c>
      <c r="H2962" s="28"/>
      <c r="I2962" s="28" t="s">
        <v>30</v>
      </c>
      <c r="J2962" s="28">
        <v>117.0</v>
      </c>
      <c r="K2962" s="28"/>
      <c r="L2962" s="28" t="s">
        <v>10305</v>
      </c>
      <c r="M2962" s="28"/>
      <c r="N2962" s="28"/>
      <c r="O2962" s="28">
        <v>12.0</v>
      </c>
      <c r="P2962" s="28">
        <v>1.0</v>
      </c>
      <c r="Q2962" s="32">
        <v>1.0</v>
      </c>
      <c r="R2962" s="33"/>
      <c r="S2962" s="34"/>
      <c r="T2962" s="34"/>
      <c r="U2962" s="34"/>
      <c r="V2962" s="34"/>
      <c r="W2962" s="34"/>
      <c r="X2962" s="34"/>
      <c r="Y2962" s="3"/>
      <c r="Z2962" s="3"/>
      <c r="AA2962" s="3"/>
      <c r="AB2962" s="3"/>
      <c r="AC2962" s="3"/>
      <c r="AD2962" s="3"/>
      <c r="AE2962" s="3"/>
      <c r="AF2962" s="3"/>
      <c r="AG2962" s="3"/>
      <c r="AH2962" s="3"/>
      <c r="AI2962" s="3"/>
      <c r="AJ2962" s="3"/>
      <c r="AK2962" s="3"/>
      <c r="AL2962" s="3"/>
    </row>
    <row r="2963" ht="15.75" customHeight="1">
      <c r="A2963" s="27">
        <f t="shared" si="23"/>
        <v>1841</v>
      </c>
      <c r="B2963" s="28" t="s">
        <v>10306</v>
      </c>
      <c r="C2963" s="102" t="s">
        <v>10307</v>
      </c>
      <c r="D2963" s="120" t="s">
        <v>10308</v>
      </c>
      <c r="E2963" s="60" t="s">
        <v>144</v>
      </c>
      <c r="F2963" s="28" t="s">
        <v>29</v>
      </c>
      <c r="G2963" s="28" t="s">
        <v>37</v>
      </c>
      <c r="H2963" s="28"/>
      <c r="I2963" s="28" t="s">
        <v>38</v>
      </c>
      <c r="J2963" s="28">
        <v>226.0</v>
      </c>
      <c r="K2963" s="28"/>
      <c r="L2963" s="28" t="s">
        <v>10309</v>
      </c>
      <c r="M2963" s="28" t="s">
        <v>230</v>
      </c>
      <c r="N2963" s="28">
        <v>2004.0</v>
      </c>
      <c r="O2963" s="60">
        <v>12.0</v>
      </c>
      <c r="P2963" s="28">
        <v>1.0</v>
      </c>
      <c r="Q2963" s="32">
        <v>1.0</v>
      </c>
      <c r="R2963" s="33"/>
      <c r="S2963" s="34"/>
      <c r="T2963" s="34"/>
      <c r="U2963" s="34"/>
      <c r="V2963" s="34"/>
      <c r="W2963" s="34"/>
      <c r="X2963" s="34"/>
      <c r="Y2963" s="3"/>
      <c r="Z2963" s="3"/>
      <c r="AA2963" s="3"/>
      <c r="AB2963" s="3"/>
      <c r="AC2963" s="3"/>
      <c r="AD2963" s="3"/>
      <c r="AE2963" s="3"/>
      <c r="AF2963" s="3"/>
      <c r="AG2963" s="3"/>
      <c r="AH2963" s="3"/>
      <c r="AI2963" s="3"/>
      <c r="AJ2963" s="3"/>
      <c r="AK2963" s="3"/>
      <c r="AL2963" s="3"/>
    </row>
    <row r="2964" ht="15.75" customHeight="1">
      <c r="A2964" s="27">
        <f t="shared" si="23"/>
        <v>1842</v>
      </c>
      <c r="B2964" s="28" t="s">
        <v>10310</v>
      </c>
      <c r="C2964" s="48" t="s">
        <v>10311</v>
      </c>
      <c r="D2964" s="120" t="s">
        <v>10312</v>
      </c>
      <c r="E2964" s="60" t="s">
        <v>302</v>
      </c>
      <c r="F2964" s="28" t="s">
        <v>29</v>
      </c>
      <c r="G2964" s="28" t="s">
        <v>98</v>
      </c>
      <c r="H2964" s="28"/>
      <c r="I2964" s="28" t="s">
        <v>38</v>
      </c>
      <c r="J2964" s="28">
        <v>281.0</v>
      </c>
      <c r="K2964" s="28"/>
      <c r="L2964" s="28" t="s">
        <v>10313</v>
      </c>
      <c r="M2964" s="28" t="s">
        <v>100</v>
      </c>
      <c r="N2964" s="28">
        <v>2008.0</v>
      </c>
      <c r="O2964" s="60">
        <v>12.0</v>
      </c>
      <c r="P2964" s="28">
        <v>1.0</v>
      </c>
      <c r="Q2964" s="32">
        <v>1.0</v>
      </c>
      <c r="R2964" s="33"/>
      <c r="S2964" s="34"/>
      <c r="T2964" s="34"/>
      <c r="U2964" s="34"/>
      <c r="V2964" s="34"/>
      <c r="W2964" s="34"/>
      <c r="X2964" s="34"/>
      <c r="Y2964" s="3"/>
      <c r="Z2964" s="3"/>
      <c r="AA2964" s="3"/>
      <c r="AB2964" s="3"/>
      <c r="AC2964" s="3"/>
      <c r="AD2964" s="3"/>
      <c r="AE2964" s="3"/>
      <c r="AF2964" s="3"/>
      <c r="AG2964" s="3"/>
      <c r="AH2964" s="3"/>
      <c r="AI2964" s="3"/>
      <c r="AJ2964" s="3"/>
      <c r="AK2964" s="3"/>
      <c r="AL2964" s="3"/>
    </row>
    <row r="2965" ht="15.75" customHeight="1">
      <c r="A2965" s="27">
        <f t="shared" si="23"/>
        <v>1843</v>
      </c>
      <c r="B2965" s="28"/>
      <c r="C2965" s="43" t="s">
        <v>10314</v>
      </c>
      <c r="D2965" s="30" t="s">
        <v>10315</v>
      </c>
      <c r="E2965" s="28" t="s">
        <v>144</v>
      </c>
      <c r="F2965" s="28" t="s">
        <v>29</v>
      </c>
      <c r="G2965" s="28" t="s">
        <v>30</v>
      </c>
      <c r="H2965" s="28"/>
      <c r="I2965" s="28" t="s">
        <v>30</v>
      </c>
      <c r="J2965" s="28">
        <f>316</f>
        <v>316</v>
      </c>
      <c r="K2965" s="28"/>
      <c r="L2965" s="28" t="s">
        <v>10316</v>
      </c>
      <c r="M2965" s="28" t="s">
        <v>3109</v>
      </c>
      <c r="N2965" s="28">
        <v>1982.0</v>
      </c>
      <c r="O2965" s="28">
        <v>12.0</v>
      </c>
      <c r="P2965" s="28">
        <v>1.0</v>
      </c>
      <c r="Q2965" s="32">
        <v>1.0</v>
      </c>
      <c r="R2965" s="33"/>
      <c r="S2965" s="34"/>
      <c r="T2965" s="34"/>
      <c r="U2965" s="34"/>
      <c r="V2965" s="34"/>
      <c r="W2965" s="34"/>
      <c r="X2965" s="34"/>
      <c r="Y2965" s="45"/>
      <c r="Z2965" s="45"/>
      <c r="AA2965" s="45"/>
      <c r="AB2965" s="45"/>
      <c r="AC2965" s="45"/>
      <c r="AD2965" s="45"/>
      <c r="AE2965" s="45"/>
      <c r="AF2965" s="45"/>
      <c r="AG2965" s="45"/>
      <c r="AH2965" s="45"/>
      <c r="AI2965" s="45"/>
      <c r="AJ2965" s="45"/>
      <c r="AK2965" s="45"/>
      <c r="AL2965" s="45"/>
    </row>
    <row r="2966" ht="15.75" customHeight="1">
      <c r="A2966" s="27">
        <f t="shared" si="23"/>
        <v>1844</v>
      </c>
      <c r="B2966" s="28" t="s">
        <v>10317</v>
      </c>
      <c r="C2966" s="48" t="s">
        <v>10318</v>
      </c>
      <c r="D2966" s="120" t="s">
        <v>10319</v>
      </c>
      <c r="E2966" s="60" t="s">
        <v>144</v>
      </c>
      <c r="F2966" s="28" t="s">
        <v>29</v>
      </c>
      <c r="G2966" s="28" t="s">
        <v>37</v>
      </c>
      <c r="H2966" s="28"/>
      <c r="I2966" s="28" t="s">
        <v>38</v>
      </c>
      <c r="J2966" s="28">
        <v>310.0</v>
      </c>
      <c r="K2966" s="28"/>
      <c r="L2966" s="28" t="s">
        <v>10320</v>
      </c>
      <c r="M2966" s="28" t="s">
        <v>219</v>
      </c>
      <c r="N2966" s="28">
        <v>1991.0</v>
      </c>
      <c r="O2966" s="60">
        <v>12.0</v>
      </c>
      <c r="P2966" s="28">
        <v>1.0</v>
      </c>
      <c r="Q2966" s="94">
        <v>1.0</v>
      </c>
      <c r="R2966" s="33"/>
      <c r="S2966" s="34"/>
      <c r="T2966" s="34"/>
      <c r="U2966" s="34"/>
      <c r="V2966" s="34"/>
      <c r="W2966" s="34"/>
      <c r="X2966" s="34"/>
      <c r="Y2966" s="45"/>
      <c r="Z2966" s="45"/>
      <c r="AA2966" s="45"/>
      <c r="AB2966" s="45"/>
      <c r="AC2966" s="45"/>
      <c r="AD2966" s="45"/>
      <c r="AE2966" s="45"/>
      <c r="AF2966" s="45"/>
      <c r="AG2966" s="45"/>
      <c r="AH2966" s="45"/>
      <c r="AI2966" s="45"/>
      <c r="AJ2966" s="45"/>
      <c r="AK2966" s="45"/>
      <c r="AL2966" s="45"/>
    </row>
    <row r="2967" ht="15.75" customHeight="1">
      <c r="A2967" s="27">
        <f t="shared" si="23"/>
        <v>1845</v>
      </c>
      <c r="B2967" s="60" t="s">
        <v>10321</v>
      </c>
      <c r="C2967" s="102" t="s">
        <v>10322</v>
      </c>
      <c r="D2967" s="120" t="s">
        <v>10323</v>
      </c>
      <c r="E2967" s="60"/>
      <c r="F2967" s="60" t="s">
        <v>29</v>
      </c>
      <c r="G2967" s="60" t="s">
        <v>30</v>
      </c>
      <c r="H2967" s="60"/>
      <c r="I2967" s="60" t="s">
        <v>30</v>
      </c>
      <c r="J2967" s="60">
        <f>286+8</f>
        <v>294</v>
      </c>
      <c r="K2967" s="60"/>
      <c r="L2967" s="60" t="s">
        <v>3751</v>
      </c>
      <c r="M2967" s="60" t="s">
        <v>151</v>
      </c>
      <c r="N2967" s="60">
        <v>2008.0</v>
      </c>
      <c r="O2967" s="60">
        <v>12.0</v>
      </c>
      <c r="P2967" s="60">
        <v>2.0</v>
      </c>
      <c r="Q2967" s="94">
        <v>2.0</v>
      </c>
      <c r="R2967" s="230"/>
      <c r="S2967" s="34"/>
      <c r="T2967" s="34"/>
      <c r="U2967" s="34"/>
      <c r="V2967" s="34"/>
      <c r="W2967" s="34"/>
      <c r="X2967" s="34"/>
      <c r="Y2967" s="45"/>
      <c r="Z2967" s="45"/>
      <c r="AA2967" s="45"/>
      <c r="AB2967" s="45"/>
      <c r="AC2967" s="45"/>
      <c r="AD2967" s="45"/>
      <c r="AE2967" s="45"/>
      <c r="AF2967" s="45"/>
      <c r="AG2967" s="45"/>
      <c r="AH2967" s="45"/>
      <c r="AI2967" s="45"/>
      <c r="AJ2967" s="45"/>
      <c r="AK2967" s="45"/>
      <c r="AL2967" s="45"/>
    </row>
    <row r="2968" ht="15.75" customHeight="1">
      <c r="A2968" s="27">
        <f t="shared" si="23"/>
        <v>1846</v>
      </c>
      <c r="B2968" s="60" t="s">
        <v>10324</v>
      </c>
      <c r="C2968" s="48" t="s">
        <v>10325</v>
      </c>
      <c r="D2968" s="30" t="s">
        <v>10326</v>
      </c>
      <c r="E2968" s="28"/>
      <c r="F2968" s="28" t="s">
        <v>29</v>
      </c>
      <c r="G2968" s="28" t="s">
        <v>37</v>
      </c>
      <c r="H2968" s="28"/>
      <c r="I2968" s="28" t="s">
        <v>38</v>
      </c>
      <c r="J2968" s="28">
        <v>210.0</v>
      </c>
      <c r="K2968" s="28"/>
      <c r="L2968" s="28" t="s">
        <v>10327</v>
      </c>
      <c r="M2968" s="28" t="s">
        <v>230</v>
      </c>
      <c r="N2968" s="28">
        <v>2008.0</v>
      </c>
      <c r="O2968" s="60">
        <v>12.0</v>
      </c>
      <c r="P2968" s="28">
        <v>1.0</v>
      </c>
      <c r="Q2968" s="94">
        <v>1.0</v>
      </c>
      <c r="R2968" s="33"/>
      <c r="S2968" s="116"/>
      <c r="T2968" s="116"/>
      <c r="U2968" s="116"/>
      <c r="V2968" s="116"/>
      <c r="W2968" s="116"/>
      <c r="X2968" s="116"/>
      <c r="Y2968" s="45"/>
      <c r="Z2968" s="45"/>
      <c r="AA2968" s="45"/>
      <c r="AB2968" s="45"/>
      <c r="AC2968" s="45"/>
      <c r="AD2968" s="45"/>
      <c r="AE2968" s="45"/>
      <c r="AF2968" s="45"/>
      <c r="AG2968" s="45"/>
      <c r="AH2968" s="45"/>
      <c r="AI2968" s="45"/>
      <c r="AJ2968" s="45"/>
      <c r="AK2968" s="45"/>
      <c r="AL2968" s="45"/>
    </row>
    <row r="2969" ht="15.75" customHeight="1">
      <c r="A2969" s="27">
        <f t="shared" si="23"/>
        <v>1847</v>
      </c>
      <c r="B2969" s="28" t="s">
        <v>10328</v>
      </c>
      <c r="C2969" s="29" t="s">
        <v>10329</v>
      </c>
      <c r="D2969" s="30" t="s">
        <v>10330</v>
      </c>
      <c r="E2969" s="28" t="s">
        <v>144</v>
      </c>
      <c r="F2969" s="28" t="s">
        <v>29</v>
      </c>
      <c r="G2969" s="28" t="s">
        <v>37</v>
      </c>
      <c r="H2969" s="28" t="s">
        <v>31</v>
      </c>
      <c r="I2969" s="28" t="s">
        <v>38</v>
      </c>
      <c r="J2969" s="28">
        <v>460.0</v>
      </c>
      <c r="K2969" s="28"/>
      <c r="L2969" s="28" t="s">
        <v>10331</v>
      </c>
      <c r="M2969" s="28" t="s">
        <v>230</v>
      </c>
      <c r="N2969" s="28">
        <v>2010.0</v>
      </c>
      <c r="O2969" s="60">
        <v>12.0</v>
      </c>
      <c r="P2969" s="28">
        <v>1.0</v>
      </c>
      <c r="Q2969" s="94">
        <v>1.0</v>
      </c>
      <c r="R2969" s="33"/>
      <c r="S2969" s="34"/>
      <c r="T2969" s="34"/>
      <c r="U2969" s="34"/>
      <c r="V2969" s="34"/>
      <c r="W2969" s="34"/>
      <c r="X2969" s="34"/>
      <c r="Y2969" s="3"/>
      <c r="Z2969" s="3"/>
      <c r="AA2969" s="3"/>
      <c r="AB2969" s="3"/>
      <c r="AC2969" s="3"/>
      <c r="AD2969" s="3"/>
      <c r="AE2969" s="3"/>
      <c r="AF2969" s="3"/>
      <c r="AG2969" s="3"/>
      <c r="AH2969" s="3"/>
      <c r="AI2969" s="3"/>
      <c r="AJ2969" s="3"/>
      <c r="AK2969" s="3"/>
      <c r="AL2969" s="3"/>
    </row>
    <row r="2970" ht="15.75" customHeight="1">
      <c r="A2970" s="27">
        <f t="shared" si="23"/>
        <v>1848</v>
      </c>
      <c r="B2970" s="28" t="s">
        <v>10332</v>
      </c>
      <c r="C2970" s="43" t="s">
        <v>10333</v>
      </c>
      <c r="D2970" s="30" t="s">
        <v>10334</v>
      </c>
      <c r="E2970" s="28"/>
      <c r="F2970" s="28" t="s">
        <v>29</v>
      </c>
      <c r="G2970" s="28" t="s">
        <v>98</v>
      </c>
      <c r="H2970" s="28" t="s">
        <v>31</v>
      </c>
      <c r="I2970" s="28" t="s">
        <v>10335</v>
      </c>
      <c r="J2970" s="28">
        <f>606+36</f>
        <v>642</v>
      </c>
      <c r="K2970" s="28"/>
      <c r="L2970" s="28" t="s">
        <v>10336</v>
      </c>
      <c r="M2970" s="28" t="s">
        <v>100</v>
      </c>
      <c r="N2970" s="28">
        <v>1996.0</v>
      </c>
      <c r="O2970" s="60">
        <v>12.0</v>
      </c>
      <c r="P2970" s="28">
        <v>3.0</v>
      </c>
      <c r="Q2970" s="94">
        <v>3.0</v>
      </c>
      <c r="R2970" s="33"/>
      <c r="S2970" s="34"/>
      <c r="T2970" s="34"/>
      <c r="U2970" s="34"/>
      <c r="V2970" s="34"/>
      <c r="W2970" s="34"/>
      <c r="X2970" s="34"/>
      <c r="Y2970" s="45"/>
      <c r="Z2970" s="45"/>
      <c r="AA2970" s="45"/>
      <c r="AB2970" s="45"/>
      <c r="AC2970" s="45"/>
      <c r="AD2970" s="45"/>
      <c r="AE2970" s="45"/>
      <c r="AF2970" s="45"/>
      <c r="AG2970" s="45"/>
      <c r="AH2970" s="45"/>
      <c r="AI2970" s="45"/>
      <c r="AJ2970" s="45"/>
      <c r="AK2970" s="45"/>
      <c r="AL2970" s="45"/>
    </row>
    <row r="2971" ht="15.75" customHeight="1">
      <c r="A2971" s="27">
        <f t="shared" si="23"/>
        <v>1849</v>
      </c>
      <c r="B2971" s="28" t="s">
        <v>10337</v>
      </c>
      <c r="C2971" s="102" t="s">
        <v>10338</v>
      </c>
      <c r="D2971" s="30" t="s">
        <v>10339</v>
      </c>
      <c r="E2971" s="60" t="s">
        <v>144</v>
      </c>
      <c r="F2971" s="28" t="s">
        <v>29</v>
      </c>
      <c r="G2971" s="28" t="s">
        <v>37</v>
      </c>
      <c r="H2971" s="28"/>
      <c r="I2971" s="28" t="s">
        <v>38</v>
      </c>
      <c r="J2971" s="28">
        <v>372.0</v>
      </c>
      <c r="K2971" s="28"/>
      <c r="L2971" s="28" t="s">
        <v>10340</v>
      </c>
      <c r="M2971" s="28" t="s">
        <v>10341</v>
      </c>
      <c r="N2971" s="28">
        <v>1984.0</v>
      </c>
      <c r="O2971" s="60">
        <v>12.0</v>
      </c>
      <c r="P2971" s="28">
        <v>1.0</v>
      </c>
      <c r="Q2971" s="32">
        <v>1.0</v>
      </c>
      <c r="R2971" s="33"/>
      <c r="S2971" s="40"/>
      <c r="T2971" s="40"/>
      <c r="U2971" s="40"/>
      <c r="V2971" s="40"/>
      <c r="W2971" s="40"/>
      <c r="X2971" s="40"/>
      <c r="Y2971" s="3"/>
      <c r="Z2971" s="3"/>
      <c r="AA2971" s="3"/>
      <c r="AB2971" s="3"/>
      <c r="AC2971" s="3"/>
      <c r="AD2971" s="3"/>
      <c r="AE2971" s="3"/>
      <c r="AF2971" s="3"/>
      <c r="AG2971" s="3"/>
      <c r="AH2971" s="3"/>
      <c r="AI2971" s="3"/>
      <c r="AJ2971" s="3"/>
      <c r="AK2971" s="3"/>
      <c r="AL2971" s="3"/>
    </row>
    <row r="2972" ht="15.75" customHeight="1">
      <c r="A2972" s="27">
        <f t="shared" si="23"/>
        <v>1850</v>
      </c>
      <c r="B2972" s="28" t="s">
        <v>10342</v>
      </c>
      <c r="C2972" s="29" t="s">
        <v>10343</v>
      </c>
      <c r="D2972" s="30" t="s">
        <v>10344</v>
      </c>
      <c r="E2972" s="28"/>
      <c r="F2972" s="28" t="s">
        <v>29</v>
      </c>
      <c r="G2972" s="28" t="s">
        <v>37</v>
      </c>
      <c r="H2972" s="28"/>
      <c r="I2972" s="28" t="s">
        <v>38</v>
      </c>
      <c r="J2972" s="28">
        <v>184.0</v>
      </c>
      <c r="K2972" s="28"/>
      <c r="L2972" s="28" t="s">
        <v>9373</v>
      </c>
      <c r="M2972" s="28" t="s">
        <v>178</v>
      </c>
      <c r="N2972" s="28">
        <v>1998.0</v>
      </c>
      <c r="O2972" s="60">
        <v>12.0</v>
      </c>
      <c r="P2972" s="28">
        <v>1.0</v>
      </c>
      <c r="Q2972" s="32">
        <v>1.0</v>
      </c>
      <c r="R2972" s="33"/>
      <c r="S2972" s="34"/>
      <c r="T2972" s="34"/>
      <c r="U2972" s="34"/>
      <c r="V2972" s="34"/>
      <c r="W2972" s="34"/>
      <c r="X2972" s="34"/>
      <c r="Y2972" s="3"/>
      <c r="Z2972" s="3"/>
      <c r="AA2972" s="3"/>
      <c r="AB2972" s="3"/>
      <c r="AC2972" s="3"/>
      <c r="AD2972" s="3"/>
      <c r="AE2972" s="3"/>
      <c r="AF2972" s="3"/>
      <c r="AG2972" s="3"/>
      <c r="AH2972" s="3"/>
      <c r="AI2972" s="3"/>
      <c r="AJ2972" s="3"/>
      <c r="AK2972" s="3"/>
      <c r="AL2972" s="3"/>
    </row>
    <row r="2973" ht="15.75" customHeight="1">
      <c r="A2973" s="27">
        <f t="shared" si="23"/>
        <v>1851</v>
      </c>
      <c r="B2973" s="121" t="s">
        <v>10345</v>
      </c>
      <c r="C2973" s="121" t="s">
        <v>10346</v>
      </c>
      <c r="D2973" s="30" t="s">
        <v>10347</v>
      </c>
      <c r="E2973" s="121" t="s">
        <v>144</v>
      </c>
      <c r="F2973" s="121" t="s">
        <v>29</v>
      </c>
      <c r="G2973" s="121" t="s">
        <v>98</v>
      </c>
      <c r="H2973" s="83"/>
      <c r="I2973" s="121" t="s">
        <v>38</v>
      </c>
      <c r="J2973" s="121">
        <v>361.0</v>
      </c>
      <c r="K2973" s="83"/>
      <c r="L2973" s="121" t="s">
        <v>10336</v>
      </c>
      <c r="M2973" s="121" t="s">
        <v>10348</v>
      </c>
      <c r="N2973" s="121">
        <v>2009.0</v>
      </c>
      <c r="O2973" s="121">
        <v>12.0</v>
      </c>
      <c r="P2973" s="121">
        <v>2.0</v>
      </c>
      <c r="Q2973" s="121">
        <v>2.0</v>
      </c>
      <c r="R2973" s="84"/>
      <c r="S2973" s="185"/>
      <c r="T2973" s="185"/>
      <c r="U2973" s="185"/>
      <c r="V2973" s="185"/>
      <c r="W2973" s="185"/>
      <c r="X2973" s="185"/>
      <c r="Y2973" s="3"/>
      <c r="Z2973" s="3"/>
      <c r="AA2973" s="3"/>
      <c r="AB2973" s="3"/>
      <c r="AC2973" s="3"/>
      <c r="AD2973" s="3"/>
      <c r="AE2973" s="3"/>
      <c r="AF2973" s="3"/>
      <c r="AG2973" s="3"/>
      <c r="AH2973" s="3"/>
      <c r="AI2973" s="3"/>
      <c r="AJ2973" s="3"/>
      <c r="AK2973" s="3"/>
      <c r="AL2973" s="3"/>
    </row>
    <row r="2974" ht="15.75" customHeight="1">
      <c r="A2974" s="27">
        <f t="shared" si="23"/>
        <v>1852</v>
      </c>
      <c r="B2974" s="28" t="s">
        <v>10349</v>
      </c>
      <c r="C2974" s="43" t="s">
        <v>10350</v>
      </c>
      <c r="D2974" s="30" t="s">
        <v>10351</v>
      </c>
      <c r="E2974" s="28"/>
      <c r="F2974" s="28" t="s">
        <v>29</v>
      </c>
      <c r="G2974" s="28" t="s">
        <v>98</v>
      </c>
      <c r="H2974" s="28" t="s">
        <v>31</v>
      </c>
      <c r="I2974" s="28" t="s">
        <v>10352</v>
      </c>
      <c r="J2974" s="28">
        <f>14+361</f>
        <v>375</v>
      </c>
      <c r="K2974" s="28"/>
      <c r="L2974" s="28" t="s">
        <v>10336</v>
      </c>
      <c r="M2974" s="28" t="s">
        <v>100</v>
      </c>
      <c r="N2974" s="28">
        <v>1985.0</v>
      </c>
      <c r="O2974" s="60">
        <v>12.0</v>
      </c>
      <c r="P2974" s="28">
        <v>1.0</v>
      </c>
      <c r="Q2974" s="32">
        <v>1.0</v>
      </c>
      <c r="R2974" s="33"/>
      <c r="S2974" s="34"/>
      <c r="T2974" s="34"/>
      <c r="U2974" s="34"/>
      <c r="V2974" s="34"/>
      <c r="W2974" s="34"/>
      <c r="X2974" s="34"/>
      <c r="Y2974" s="45"/>
      <c r="Z2974" s="45"/>
      <c r="AA2974" s="45"/>
      <c r="AB2974" s="45"/>
      <c r="AC2974" s="45"/>
      <c r="AD2974" s="45"/>
      <c r="AE2974" s="45"/>
      <c r="AF2974" s="45"/>
      <c r="AG2974" s="45"/>
      <c r="AH2974" s="45"/>
      <c r="AI2974" s="45"/>
      <c r="AJ2974" s="45"/>
      <c r="AK2974" s="45"/>
      <c r="AL2974" s="45"/>
    </row>
    <row r="2975" ht="15.75" customHeight="1">
      <c r="A2975" s="27">
        <f t="shared" si="23"/>
        <v>1853</v>
      </c>
      <c r="B2975" s="28" t="s">
        <v>10353</v>
      </c>
      <c r="C2975" s="43" t="s">
        <v>10354</v>
      </c>
      <c r="D2975" s="30" t="s">
        <v>10355</v>
      </c>
      <c r="E2975" s="28"/>
      <c r="F2975" s="28" t="s">
        <v>29</v>
      </c>
      <c r="G2975" s="28" t="s">
        <v>98</v>
      </c>
      <c r="H2975" s="28" t="s">
        <v>31</v>
      </c>
      <c r="I2975" s="28" t="s">
        <v>10356</v>
      </c>
      <c r="J2975" s="28">
        <v>391.0</v>
      </c>
      <c r="K2975" s="28"/>
      <c r="L2975" s="28" t="s">
        <v>10336</v>
      </c>
      <c r="M2975" s="28" t="s">
        <v>10348</v>
      </c>
      <c r="N2975" s="28">
        <v>1979.0</v>
      </c>
      <c r="O2975" s="60">
        <v>12.0</v>
      </c>
      <c r="P2975" s="28">
        <v>2.0</v>
      </c>
      <c r="Q2975" s="32">
        <v>2.0</v>
      </c>
      <c r="R2975" s="33"/>
      <c r="S2975" s="34"/>
      <c r="T2975" s="34"/>
      <c r="U2975" s="34"/>
      <c r="V2975" s="34"/>
      <c r="W2975" s="34"/>
      <c r="X2975" s="34"/>
      <c r="Y2975" s="45"/>
      <c r="Z2975" s="45"/>
      <c r="AA2975" s="45"/>
      <c r="AB2975" s="45"/>
      <c r="AC2975" s="45"/>
      <c r="AD2975" s="45"/>
      <c r="AE2975" s="45"/>
      <c r="AF2975" s="45"/>
      <c r="AG2975" s="45"/>
      <c r="AH2975" s="45"/>
      <c r="AI2975" s="45"/>
      <c r="AJ2975" s="45"/>
      <c r="AK2975" s="45"/>
      <c r="AL2975" s="45"/>
    </row>
    <row r="2976" ht="15.75" customHeight="1">
      <c r="A2976" s="27">
        <f t="shared" si="23"/>
        <v>1854</v>
      </c>
      <c r="B2976" s="28" t="s">
        <v>10357</v>
      </c>
      <c r="C2976" s="29" t="s">
        <v>10358</v>
      </c>
      <c r="D2976" s="30" t="s">
        <v>10359</v>
      </c>
      <c r="E2976" s="60" t="s">
        <v>144</v>
      </c>
      <c r="F2976" s="28" t="s">
        <v>29</v>
      </c>
      <c r="G2976" s="28" t="s">
        <v>37</v>
      </c>
      <c r="H2976" s="28"/>
      <c r="I2976" s="28" t="s">
        <v>38</v>
      </c>
      <c r="J2976" s="28">
        <v>360.0</v>
      </c>
      <c r="K2976" s="28"/>
      <c r="L2976" s="28" t="s">
        <v>10360</v>
      </c>
      <c r="M2976" s="28" t="s">
        <v>83</v>
      </c>
      <c r="N2976" s="28">
        <v>2005.0</v>
      </c>
      <c r="O2976" s="60">
        <v>12.0</v>
      </c>
      <c r="P2976" s="28">
        <v>1.0</v>
      </c>
      <c r="Q2976" s="32">
        <v>1.0</v>
      </c>
      <c r="R2976" s="33"/>
      <c r="S2976" s="34"/>
      <c r="T2976" s="34"/>
      <c r="U2976" s="34"/>
      <c r="V2976" s="34"/>
      <c r="W2976" s="34"/>
      <c r="X2976" s="34"/>
      <c r="Y2976" s="45"/>
      <c r="Z2976" s="45"/>
      <c r="AA2976" s="45"/>
      <c r="AB2976" s="45"/>
      <c r="AC2976" s="45"/>
      <c r="AD2976" s="45"/>
      <c r="AE2976" s="45"/>
      <c r="AF2976" s="45"/>
      <c r="AG2976" s="45"/>
      <c r="AH2976" s="45"/>
      <c r="AI2976" s="45"/>
      <c r="AJ2976" s="45"/>
      <c r="AK2976" s="45"/>
      <c r="AL2976" s="45"/>
    </row>
    <row r="2977" ht="15.75" customHeight="1">
      <c r="A2977" s="27">
        <f t="shared" si="23"/>
        <v>1855</v>
      </c>
      <c r="B2977" s="121" t="s">
        <v>10361</v>
      </c>
      <c r="C2977" s="121" t="s">
        <v>10362</v>
      </c>
      <c r="D2977" s="119" t="s">
        <v>10363</v>
      </c>
      <c r="E2977" s="83"/>
      <c r="F2977" s="121" t="s">
        <v>29</v>
      </c>
      <c r="G2977" s="121" t="s">
        <v>37</v>
      </c>
      <c r="H2977" s="83"/>
      <c r="I2977" s="121" t="s">
        <v>38</v>
      </c>
      <c r="J2977" s="121">
        <v>665.0</v>
      </c>
      <c r="K2977" s="83"/>
      <c r="L2977" s="121" t="s">
        <v>10364</v>
      </c>
      <c r="M2977" s="121" t="s">
        <v>6239</v>
      </c>
      <c r="N2977" s="121">
        <v>2013.0</v>
      </c>
      <c r="O2977" s="121">
        <v>12.0</v>
      </c>
      <c r="P2977" s="121">
        <v>1.0</v>
      </c>
      <c r="Q2977" s="121">
        <v>1.0</v>
      </c>
      <c r="R2977" s="84"/>
      <c r="S2977" s="34"/>
      <c r="T2977" s="34"/>
      <c r="U2977" s="34"/>
      <c r="V2977" s="34"/>
      <c r="W2977" s="34"/>
      <c r="X2977" s="34"/>
      <c r="Y2977" s="45"/>
      <c r="Z2977" s="45"/>
      <c r="AA2977" s="45"/>
      <c r="AB2977" s="45"/>
      <c r="AC2977" s="45"/>
      <c r="AD2977" s="45"/>
      <c r="AE2977" s="45"/>
      <c r="AF2977" s="45"/>
      <c r="AG2977" s="45"/>
      <c r="AH2977" s="45"/>
      <c r="AI2977" s="45"/>
      <c r="AJ2977" s="45"/>
      <c r="AK2977" s="45"/>
      <c r="AL2977" s="45"/>
    </row>
    <row r="2978" ht="15.75" customHeight="1">
      <c r="A2978" s="27">
        <f t="shared" si="23"/>
        <v>1856</v>
      </c>
      <c r="B2978" s="28" t="s">
        <v>10365</v>
      </c>
      <c r="C2978" s="43" t="s">
        <v>10366</v>
      </c>
      <c r="D2978" s="30" t="s">
        <v>10367</v>
      </c>
      <c r="E2978" s="28" t="s">
        <v>144</v>
      </c>
      <c r="F2978" s="28" t="s">
        <v>29</v>
      </c>
      <c r="G2978" s="28" t="s">
        <v>37</v>
      </c>
      <c r="H2978" s="28"/>
      <c r="I2978" s="28" t="s">
        <v>38</v>
      </c>
      <c r="J2978" s="28">
        <v>191.0</v>
      </c>
      <c r="K2978" s="28"/>
      <c r="L2978" s="28" t="s">
        <v>10368</v>
      </c>
      <c r="M2978" s="28" t="s">
        <v>236</v>
      </c>
      <c r="N2978" s="28">
        <v>1979.0</v>
      </c>
      <c r="O2978" s="60">
        <v>12.0</v>
      </c>
      <c r="P2978" s="28">
        <v>1.0</v>
      </c>
      <c r="Q2978" s="32">
        <v>1.0</v>
      </c>
      <c r="R2978" s="33"/>
      <c r="S2978" s="34"/>
      <c r="T2978" s="34"/>
      <c r="U2978" s="34"/>
      <c r="V2978" s="34"/>
      <c r="W2978" s="34"/>
      <c r="X2978" s="34"/>
      <c r="Y2978" s="45"/>
      <c r="Z2978" s="45"/>
      <c r="AA2978" s="45"/>
      <c r="AB2978" s="45"/>
      <c r="AC2978" s="45"/>
      <c r="AD2978" s="45"/>
      <c r="AE2978" s="45"/>
      <c r="AF2978" s="45"/>
      <c r="AG2978" s="45"/>
      <c r="AH2978" s="45"/>
      <c r="AI2978" s="45"/>
      <c r="AJ2978" s="45"/>
      <c r="AK2978" s="45"/>
      <c r="AL2978" s="45"/>
    </row>
    <row r="2979" ht="15.75" customHeight="1">
      <c r="A2979" s="27">
        <f t="shared" si="23"/>
        <v>1857</v>
      </c>
      <c r="B2979" s="28" t="s">
        <v>31</v>
      </c>
      <c r="C2979" s="43" t="s">
        <v>10369</v>
      </c>
      <c r="D2979" s="30" t="s">
        <v>10370</v>
      </c>
      <c r="E2979" s="28" t="s">
        <v>144</v>
      </c>
      <c r="F2979" s="28" t="s">
        <v>29</v>
      </c>
      <c r="G2979" s="28" t="s">
        <v>31</v>
      </c>
      <c r="H2979" s="28"/>
      <c r="I2979" s="28" t="s">
        <v>38</v>
      </c>
      <c r="J2979" s="28">
        <v>446.0</v>
      </c>
      <c r="K2979" s="28"/>
      <c r="L2979" s="28" t="s">
        <v>10371</v>
      </c>
      <c r="M2979" s="28" t="s">
        <v>4744</v>
      </c>
      <c r="N2979" s="28">
        <v>1966.0</v>
      </c>
      <c r="O2979" s="60">
        <v>12.0</v>
      </c>
      <c r="P2979" s="28">
        <v>1.0</v>
      </c>
      <c r="Q2979" s="32">
        <v>1.0</v>
      </c>
      <c r="R2979" s="33"/>
      <c r="S2979" s="40"/>
      <c r="T2979" s="40"/>
      <c r="U2979" s="40"/>
      <c r="V2979" s="40"/>
      <c r="W2979" s="40"/>
      <c r="X2979" s="40"/>
      <c r="Y2979" s="45"/>
      <c r="Z2979" s="45"/>
      <c r="AA2979" s="45"/>
      <c r="AB2979" s="45"/>
      <c r="AC2979" s="45"/>
      <c r="AD2979" s="45"/>
      <c r="AE2979" s="45"/>
      <c r="AF2979" s="45"/>
      <c r="AG2979" s="45"/>
      <c r="AH2979" s="45"/>
      <c r="AI2979" s="45"/>
      <c r="AJ2979" s="45"/>
      <c r="AK2979" s="45"/>
      <c r="AL2979" s="45"/>
    </row>
    <row r="2980" ht="15.75" customHeight="1">
      <c r="A2980" s="27">
        <f t="shared" si="23"/>
        <v>1858</v>
      </c>
      <c r="B2980" s="28" t="s">
        <v>10372</v>
      </c>
      <c r="C2980" s="102" t="s">
        <v>10373</v>
      </c>
      <c r="D2980" s="30" t="s">
        <v>10374</v>
      </c>
      <c r="E2980" s="28" t="s">
        <v>28</v>
      </c>
      <c r="F2980" s="28" t="s">
        <v>29</v>
      </c>
      <c r="G2980" s="28" t="s">
        <v>31</v>
      </c>
      <c r="H2980" s="28"/>
      <c r="I2980" s="28" t="s">
        <v>38</v>
      </c>
      <c r="J2980" s="28">
        <v>351.0</v>
      </c>
      <c r="K2980" s="28"/>
      <c r="L2980" s="28" t="s">
        <v>9810</v>
      </c>
      <c r="M2980" s="28" t="s">
        <v>6983</v>
      </c>
      <c r="N2980" s="28">
        <v>1989.0</v>
      </c>
      <c r="O2980" s="62" t="s">
        <v>10163</v>
      </c>
      <c r="P2980" s="28">
        <v>1.0</v>
      </c>
      <c r="Q2980" s="32">
        <v>1.0</v>
      </c>
      <c r="R2980" s="33"/>
      <c r="S2980" s="34"/>
      <c r="T2980" s="34"/>
      <c r="U2980" s="34"/>
      <c r="V2980" s="34"/>
      <c r="W2980" s="34"/>
      <c r="X2980" s="34"/>
      <c r="Y2980" s="45"/>
      <c r="Z2980" s="45"/>
      <c r="AA2980" s="45"/>
      <c r="AB2980" s="45"/>
      <c r="AC2980" s="45"/>
      <c r="AD2980" s="45"/>
      <c r="AE2980" s="45"/>
      <c r="AF2980" s="45"/>
      <c r="AG2980" s="45"/>
      <c r="AH2980" s="45"/>
      <c r="AI2980" s="45"/>
      <c r="AJ2980" s="45"/>
      <c r="AK2980" s="45"/>
      <c r="AL2980" s="45"/>
    </row>
    <row r="2981" ht="15.75" customHeight="1">
      <c r="A2981" s="27">
        <f t="shared" si="23"/>
        <v>1859</v>
      </c>
      <c r="B2981" s="28"/>
      <c r="C2981" s="102" t="s">
        <v>10375</v>
      </c>
      <c r="D2981" s="120" t="s">
        <v>10376</v>
      </c>
      <c r="E2981" s="28"/>
      <c r="F2981" s="28" t="s">
        <v>29</v>
      </c>
      <c r="G2981" s="28" t="s">
        <v>30</v>
      </c>
      <c r="H2981" s="28"/>
      <c r="I2981" s="28" t="s">
        <v>30</v>
      </c>
      <c r="J2981" s="28">
        <v>254.0</v>
      </c>
      <c r="K2981" s="28" t="s">
        <v>10377</v>
      </c>
      <c r="L2981" s="60" t="s">
        <v>8011</v>
      </c>
      <c r="M2981" s="28" t="s">
        <v>151</v>
      </c>
      <c r="N2981" s="28">
        <v>1979.0</v>
      </c>
      <c r="O2981" s="60">
        <v>12.0</v>
      </c>
      <c r="P2981" s="28">
        <v>1.0</v>
      </c>
      <c r="Q2981" s="94">
        <v>1.0</v>
      </c>
      <c r="R2981" s="33"/>
      <c r="S2981" s="34"/>
      <c r="T2981" s="34"/>
      <c r="U2981" s="34"/>
      <c r="V2981" s="34"/>
      <c r="W2981" s="34"/>
      <c r="X2981" s="34"/>
      <c r="Y2981" s="45"/>
      <c r="Z2981" s="45"/>
      <c r="AA2981" s="45"/>
      <c r="AB2981" s="45"/>
      <c r="AC2981" s="45"/>
      <c r="AD2981" s="45"/>
      <c r="AE2981" s="45"/>
      <c r="AF2981" s="45"/>
      <c r="AG2981" s="45"/>
      <c r="AH2981" s="45"/>
      <c r="AI2981" s="45"/>
      <c r="AJ2981" s="45"/>
      <c r="AK2981" s="45"/>
      <c r="AL2981" s="45"/>
    </row>
    <row r="2982" ht="15.75" customHeight="1">
      <c r="A2982" s="27">
        <f t="shared" si="23"/>
        <v>1860</v>
      </c>
      <c r="B2982" s="28" t="s">
        <v>10378</v>
      </c>
      <c r="C2982" s="43" t="s">
        <v>10379</v>
      </c>
      <c r="D2982" s="30" t="s">
        <v>10380</v>
      </c>
      <c r="E2982" s="28" t="s">
        <v>302</v>
      </c>
      <c r="F2982" s="28" t="s">
        <v>29</v>
      </c>
      <c r="G2982" s="28" t="s">
        <v>37</v>
      </c>
      <c r="H2982" s="28"/>
      <c r="I2982" s="28" t="s">
        <v>38</v>
      </c>
      <c r="J2982" s="28">
        <v>206.0</v>
      </c>
      <c r="K2982" s="28"/>
      <c r="L2982" s="28" t="s">
        <v>10381</v>
      </c>
      <c r="M2982" s="28" t="s">
        <v>178</v>
      </c>
      <c r="N2982" s="28">
        <v>2013.0</v>
      </c>
      <c r="O2982" s="28">
        <v>12.0</v>
      </c>
      <c r="P2982" s="28">
        <v>1.0</v>
      </c>
      <c r="Q2982" s="32">
        <v>1.0</v>
      </c>
      <c r="R2982" s="33"/>
      <c r="S2982" s="34"/>
      <c r="T2982" s="34"/>
      <c r="U2982" s="34"/>
      <c r="V2982" s="34"/>
      <c r="W2982" s="34"/>
      <c r="X2982" s="34"/>
      <c r="Y2982" s="45"/>
      <c r="Z2982" s="45"/>
      <c r="AA2982" s="45"/>
      <c r="AB2982" s="45"/>
      <c r="AC2982" s="45"/>
      <c r="AD2982" s="45"/>
      <c r="AE2982" s="45"/>
      <c r="AF2982" s="45"/>
      <c r="AG2982" s="45"/>
      <c r="AH2982" s="45"/>
      <c r="AI2982" s="45"/>
      <c r="AJ2982" s="45"/>
      <c r="AK2982" s="45"/>
      <c r="AL2982" s="45"/>
    </row>
    <row r="2983" ht="15.75" customHeight="1">
      <c r="A2983" s="27">
        <f t="shared" si="23"/>
        <v>1861</v>
      </c>
      <c r="B2983" s="60" t="s">
        <v>10382</v>
      </c>
      <c r="C2983" s="43" t="s">
        <v>10383</v>
      </c>
      <c r="D2983" s="120" t="s">
        <v>10384</v>
      </c>
      <c r="E2983" s="28" t="s">
        <v>28</v>
      </c>
      <c r="F2983" s="28" t="s">
        <v>29</v>
      </c>
      <c r="G2983" s="28" t="s">
        <v>30</v>
      </c>
      <c r="H2983" s="28" t="s">
        <v>1164</v>
      </c>
      <c r="I2983" s="28" t="s">
        <v>30</v>
      </c>
      <c r="J2983" s="60">
        <v>328.0</v>
      </c>
      <c r="K2983" s="28"/>
      <c r="L2983" s="28" t="s">
        <v>4291</v>
      </c>
      <c r="M2983" s="28" t="s">
        <v>1166</v>
      </c>
      <c r="N2983" s="60">
        <v>2017.0</v>
      </c>
      <c r="O2983" s="60">
        <v>12.0</v>
      </c>
      <c r="P2983" s="28">
        <v>1.0</v>
      </c>
      <c r="Q2983" s="32">
        <v>1.0</v>
      </c>
      <c r="R2983" s="33"/>
      <c r="S2983" s="34"/>
      <c r="T2983" s="34"/>
      <c r="U2983" s="34"/>
      <c r="V2983" s="34"/>
      <c r="W2983" s="34"/>
      <c r="X2983" s="34"/>
      <c r="Y2983" s="45"/>
      <c r="Z2983" s="45"/>
      <c r="AA2983" s="45"/>
      <c r="AB2983" s="45"/>
      <c r="AC2983" s="45"/>
      <c r="AD2983" s="45"/>
      <c r="AE2983" s="45"/>
      <c r="AF2983" s="45"/>
      <c r="AG2983" s="45"/>
      <c r="AH2983" s="45"/>
      <c r="AI2983" s="45"/>
      <c r="AJ2983" s="45"/>
      <c r="AK2983" s="45"/>
      <c r="AL2983" s="45"/>
    </row>
    <row r="2984" ht="15.75" customHeight="1">
      <c r="A2984" s="27">
        <f t="shared" si="23"/>
        <v>1862</v>
      </c>
      <c r="B2984" s="28" t="s">
        <v>10385</v>
      </c>
      <c r="C2984" s="43" t="s">
        <v>10386</v>
      </c>
      <c r="D2984" s="30" t="s">
        <v>10387</v>
      </c>
      <c r="E2984" s="28" t="s">
        <v>144</v>
      </c>
      <c r="F2984" s="28" t="s">
        <v>29</v>
      </c>
      <c r="G2984" s="28" t="s">
        <v>30</v>
      </c>
      <c r="H2984" s="28"/>
      <c r="I2984" s="28" t="s">
        <v>30</v>
      </c>
      <c r="J2984" s="28">
        <f>201+20</f>
        <v>221</v>
      </c>
      <c r="K2984" s="28"/>
      <c r="L2984" s="28" t="s">
        <v>10388</v>
      </c>
      <c r="M2984" s="28" t="s">
        <v>9719</v>
      </c>
      <c r="N2984" s="28">
        <v>2011.0</v>
      </c>
      <c r="O2984" s="28">
        <v>12.0</v>
      </c>
      <c r="P2984" s="28">
        <v>1.0</v>
      </c>
      <c r="Q2984" s="94">
        <v>1.0</v>
      </c>
      <c r="R2984" s="33"/>
      <c r="S2984" s="116"/>
      <c r="T2984" s="116"/>
      <c r="U2984" s="116"/>
      <c r="V2984" s="116"/>
      <c r="W2984" s="116"/>
      <c r="X2984" s="116"/>
      <c r="Y2984" s="45"/>
      <c r="Z2984" s="45"/>
      <c r="AA2984" s="45"/>
      <c r="AB2984" s="45"/>
      <c r="AC2984" s="45"/>
      <c r="AD2984" s="45"/>
      <c r="AE2984" s="45"/>
      <c r="AF2984" s="45"/>
      <c r="AG2984" s="45"/>
      <c r="AH2984" s="45"/>
      <c r="AI2984" s="45"/>
      <c r="AJ2984" s="45"/>
      <c r="AK2984" s="45"/>
      <c r="AL2984" s="45"/>
    </row>
    <row r="2985" ht="15.75" customHeight="1">
      <c r="A2985" s="27">
        <f t="shared" si="23"/>
        <v>1863</v>
      </c>
      <c r="B2985" s="121" t="s">
        <v>10389</v>
      </c>
      <c r="C2985" s="121" t="s">
        <v>2942</v>
      </c>
      <c r="D2985" s="128" t="s">
        <v>10390</v>
      </c>
      <c r="E2985" s="121" t="s">
        <v>144</v>
      </c>
      <c r="F2985" s="121" t="s">
        <v>29</v>
      </c>
      <c r="G2985" s="121" t="s">
        <v>3123</v>
      </c>
      <c r="H2985" s="83"/>
      <c r="I2985" s="121" t="s">
        <v>38</v>
      </c>
      <c r="J2985" s="121">
        <v>753.0</v>
      </c>
      <c r="K2985" s="83"/>
      <c r="L2985" s="121" t="s">
        <v>2944</v>
      </c>
      <c r="M2985" s="121" t="s">
        <v>382</v>
      </c>
      <c r="N2985" s="121">
        <v>1986.0</v>
      </c>
      <c r="O2985" s="124">
        <v>9.0</v>
      </c>
      <c r="P2985" s="121">
        <v>1.0</v>
      </c>
      <c r="Q2985" s="121">
        <v>1.0</v>
      </c>
      <c r="R2985" s="84"/>
      <c r="S2985" s="116"/>
      <c r="T2985" s="116"/>
      <c r="U2985" s="116"/>
      <c r="V2985" s="116"/>
      <c r="W2985" s="116"/>
      <c r="X2985" s="116"/>
      <c r="Y2985" s="45"/>
      <c r="Z2985" s="45"/>
      <c r="AA2985" s="45"/>
      <c r="AB2985" s="45"/>
      <c r="AC2985" s="45"/>
      <c r="AD2985" s="45"/>
      <c r="AE2985" s="45"/>
      <c r="AF2985" s="45"/>
      <c r="AG2985" s="45"/>
      <c r="AH2985" s="45"/>
      <c r="AI2985" s="45"/>
      <c r="AJ2985" s="45"/>
      <c r="AK2985" s="45"/>
      <c r="AL2985" s="45"/>
    </row>
    <row r="2986" ht="15.75" customHeight="1">
      <c r="A2986" s="27">
        <f t="shared" si="23"/>
        <v>1864</v>
      </c>
      <c r="B2986" s="28" t="s">
        <v>10391</v>
      </c>
      <c r="C2986" s="29" t="s">
        <v>10392</v>
      </c>
      <c r="D2986" s="30" t="s">
        <v>10393</v>
      </c>
      <c r="E2986" s="28" t="s">
        <v>3118</v>
      </c>
      <c r="F2986" s="28" t="s">
        <v>29</v>
      </c>
      <c r="G2986" s="28" t="s">
        <v>30</v>
      </c>
      <c r="H2986" s="28"/>
      <c r="I2986" s="28" t="s">
        <v>30</v>
      </c>
      <c r="J2986" s="28">
        <f>470</f>
        <v>470</v>
      </c>
      <c r="K2986" s="28"/>
      <c r="L2986" s="28" t="s">
        <v>10394</v>
      </c>
      <c r="M2986" s="28" t="s">
        <v>161</v>
      </c>
      <c r="N2986" s="28">
        <v>2011.0</v>
      </c>
      <c r="O2986" s="28">
        <v>12.0</v>
      </c>
      <c r="P2986" s="28">
        <v>1.0</v>
      </c>
      <c r="Q2986" s="32">
        <v>1.0</v>
      </c>
      <c r="R2986" s="33"/>
      <c r="S2986" s="34"/>
      <c r="T2986" s="34"/>
      <c r="U2986" s="34"/>
      <c r="V2986" s="34"/>
      <c r="W2986" s="34"/>
      <c r="X2986" s="34"/>
      <c r="Y2986" s="45"/>
      <c r="Z2986" s="45"/>
      <c r="AA2986" s="45"/>
      <c r="AB2986" s="45"/>
      <c r="AC2986" s="45"/>
      <c r="AD2986" s="45"/>
      <c r="AE2986" s="45"/>
      <c r="AF2986" s="45"/>
      <c r="AG2986" s="45"/>
      <c r="AH2986" s="45"/>
      <c r="AI2986" s="45"/>
      <c r="AJ2986" s="45"/>
      <c r="AK2986" s="45"/>
      <c r="AL2986" s="45"/>
    </row>
    <row r="2987" ht="15.75" customHeight="1">
      <c r="A2987" s="27">
        <f t="shared" si="23"/>
        <v>1865</v>
      </c>
      <c r="B2987" s="28" t="s">
        <v>2176</v>
      </c>
      <c r="C2987" s="29" t="s">
        <v>10395</v>
      </c>
      <c r="D2987" s="30" t="s">
        <v>10396</v>
      </c>
      <c r="E2987" s="28" t="s">
        <v>144</v>
      </c>
      <c r="F2987" s="28" t="s">
        <v>29</v>
      </c>
      <c r="G2987" s="28" t="s">
        <v>37</v>
      </c>
      <c r="H2987" s="28"/>
      <c r="I2987" s="28" t="s">
        <v>38</v>
      </c>
      <c r="J2987" s="28">
        <f>176+10</f>
        <v>186</v>
      </c>
      <c r="K2987" s="28"/>
      <c r="L2987" s="28" t="s">
        <v>2180</v>
      </c>
      <c r="M2987" s="28" t="s">
        <v>10397</v>
      </c>
      <c r="N2987" s="28">
        <v>1968.0</v>
      </c>
      <c r="O2987" s="28">
        <v>12.0</v>
      </c>
      <c r="P2987" s="28">
        <v>1.0</v>
      </c>
      <c r="Q2987" s="94">
        <v>1.0</v>
      </c>
      <c r="R2987" s="33"/>
      <c r="S2987" s="116"/>
      <c r="T2987" s="116"/>
      <c r="U2987" s="116"/>
      <c r="V2987" s="116"/>
      <c r="W2987" s="116"/>
      <c r="X2987" s="116"/>
      <c r="Y2987" s="45"/>
      <c r="Z2987" s="45"/>
      <c r="AA2987" s="45"/>
      <c r="AB2987" s="45"/>
      <c r="AC2987" s="45"/>
      <c r="AD2987" s="45"/>
      <c r="AE2987" s="45"/>
      <c r="AF2987" s="45"/>
      <c r="AG2987" s="45"/>
      <c r="AH2987" s="45"/>
      <c r="AI2987" s="45"/>
      <c r="AJ2987" s="45"/>
      <c r="AK2987" s="45"/>
      <c r="AL2987" s="45"/>
    </row>
    <row r="2988" ht="15.75" customHeight="1">
      <c r="A2988" s="27">
        <f t="shared" si="23"/>
        <v>1866</v>
      </c>
      <c r="B2988" s="28" t="s">
        <v>10398</v>
      </c>
      <c r="C2988" s="47" t="s">
        <v>10399</v>
      </c>
      <c r="D2988" s="30" t="s">
        <v>10400</v>
      </c>
      <c r="E2988" s="28" t="s">
        <v>28</v>
      </c>
      <c r="F2988" s="28" t="s">
        <v>29</v>
      </c>
      <c r="G2988" s="28" t="s">
        <v>30</v>
      </c>
      <c r="H2988" s="28" t="s">
        <v>31</v>
      </c>
      <c r="I2988" s="28" t="s">
        <v>30</v>
      </c>
      <c r="J2988" s="28">
        <v>276.0</v>
      </c>
      <c r="K2988" s="28" t="s">
        <v>31</v>
      </c>
      <c r="L2988" s="28" t="s">
        <v>9705</v>
      </c>
      <c r="M2988" s="28" t="s">
        <v>544</v>
      </c>
      <c r="N2988" s="28">
        <v>2010.0</v>
      </c>
      <c r="O2988" s="31" t="s">
        <v>1381</v>
      </c>
      <c r="P2988" s="28">
        <v>1.0</v>
      </c>
      <c r="Q2988" s="94">
        <v>1.0</v>
      </c>
      <c r="R2988" s="33"/>
      <c r="S2988" s="185"/>
      <c r="T2988" s="185"/>
      <c r="U2988" s="185"/>
      <c r="V2988" s="185"/>
      <c r="W2988" s="185"/>
      <c r="X2988" s="185"/>
      <c r="Y2988" s="45"/>
      <c r="Z2988" s="45"/>
      <c r="AA2988" s="45"/>
      <c r="AB2988" s="45"/>
      <c r="AC2988" s="45"/>
      <c r="AD2988" s="45"/>
      <c r="AE2988" s="45"/>
      <c r="AF2988" s="45"/>
      <c r="AG2988" s="45"/>
      <c r="AH2988" s="45"/>
      <c r="AI2988" s="45"/>
      <c r="AJ2988" s="45"/>
      <c r="AK2988" s="45"/>
      <c r="AL2988" s="45"/>
    </row>
    <row r="2989" ht="15.75" customHeight="1">
      <c r="A2989" s="27">
        <f t="shared" si="23"/>
        <v>1867</v>
      </c>
      <c r="B2989" s="28" t="s">
        <v>10401</v>
      </c>
      <c r="C2989" s="47" t="s">
        <v>10402</v>
      </c>
      <c r="D2989" s="30" t="s">
        <v>10403</v>
      </c>
      <c r="E2989" s="28" t="s">
        <v>144</v>
      </c>
      <c r="F2989" s="28" t="s">
        <v>29</v>
      </c>
      <c r="G2989" s="28" t="s">
        <v>30</v>
      </c>
      <c r="H2989" s="28" t="s">
        <v>31</v>
      </c>
      <c r="I2989" s="28" t="s">
        <v>30</v>
      </c>
      <c r="J2989" s="28">
        <f>170+6</f>
        <v>176</v>
      </c>
      <c r="K2989" s="28" t="s">
        <v>31</v>
      </c>
      <c r="L2989" s="28" t="s">
        <v>10404</v>
      </c>
      <c r="M2989" s="28" t="s">
        <v>3240</v>
      </c>
      <c r="N2989" s="28">
        <v>2012.0</v>
      </c>
      <c r="O2989" s="60">
        <v>12.0</v>
      </c>
      <c r="P2989" s="28">
        <v>1.0</v>
      </c>
      <c r="Q2989" s="94">
        <v>1.0</v>
      </c>
      <c r="R2989" s="33"/>
      <c r="S2989" s="34"/>
      <c r="T2989" s="34"/>
      <c r="U2989" s="34"/>
      <c r="V2989" s="34"/>
      <c r="W2989" s="34"/>
      <c r="X2989" s="34"/>
      <c r="Y2989" s="45"/>
      <c r="Z2989" s="45"/>
      <c r="AA2989" s="45"/>
      <c r="AB2989" s="45"/>
      <c r="AC2989" s="45"/>
      <c r="AD2989" s="45"/>
      <c r="AE2989" s="45"/>
      <c r="AF2989" s="45"/>
      <c r="AG2989" s="45"/>
      <c r="AH2989" s="45"/>
      <c r="AI2989" s="45"/>
      <c r="AJ2989" s="45"/>
      <c r="AK2989" s="45"/>
      <c r="AL2989" s="45"/>
    </row>
    <row r="2990" ht="15.75" customHeight="1">
      <c r="A2990" s="27">
        <f t="shared" si="23"/>
        <v>1868</v>
      </c>
      <c r="B2990" s="28" t="s">
        <v>10405</v>
      </c>
      <c r="C2990" s="29" t="s">
        <v>10406</v>
      </c>
      <c r="D2990" s="30" t="s">
        <v>10407</v>
      </c>
      <c r="E2990" s="28" t="s">
        <v>31</v>
      </c>
      <c r="F2990" s="28" t="s">
        <v>29</v>
      </c>
      <c r="G2990" s="28" t="s">
        <v>30</v>
      </c>
      <c r="H2990" s="28"/>
      <c r="I2990" s="28" t="s">
        <v>30</v>
      </c>
      <c r="J2990" s="28">
        <v>582.0</v>
      </c>
      <c r="K2990" s="28"/>
      <c r="L2990" s="28" t="s">
        <v>10408</v>
      </c>
      <c r="M2990" s="28" t="s">
        <v>151</v>
      </c>
      <c r="N2990" s="28">
        <v>2004.0</v>
      </c>
      <c r="O2990" s="60" t="s">
        <v>4010</v>
      </c>
      <c r="P2990" s="31">
        <v>1.0</v>
      </c>
      <c r="Q2990" s="114">
        <v>1.0</v>
      </c>
      <c r="R2990" s="33"/>
      <c r="S2990" s="34"/>
      <c r="T2990" s="34"/>
      <c r="U2990" s="34"/>
      <c r="V2990" s="34"/>
      <c r="W2990" s="34"/>
      <c r="X2990" s="34"/>
      <c r="Y2990" s="45"/>
      <c r="Z2990" s="45"/>
      <c r="AA2990" s="45"/>
      <c r="AB2990" s="45"/>
      <c r="AC2990" s="45"/>
      <c r="AD2990" s="45"/>
      <c r="AE2990" s="45"/>
      <c r="AF2990" s="45"/>
      <c r="AG2990" s="45"/>
      <c r="AH2990" s="45"/>
      <c r="AI2990" s="45"/>
      <c r="AJ2990" s="45"/>
      <c r="AK2990" s="45"/>
      <c r="AL2990" s="45"/>
    </row>
    <row r="2991" ht="15.75" customHeight="1">
      <c r="A2991" s="27">
        <f t="shared" si="23"/>
        <v>1869</v>
      </c>
      <c r="B2991" s="28" t="s">
        <v>10405</v>
      </c>
      <c r="C2991" s="43" t="s">
        <v>10409</v>
      </c>
      <c r="D2991" s="231" t="s">
        <v>10407</v>
      </c>
      <c r="E2991" s="28" t="s">
        <v>144</v>
      </c>
      <c r="F2991" s="28" t="s">
        <v>29</v>
      </c>
      <c r="G2991" s="28" t="s">
        <v>30</v>
      </c>
      <c r="H2991" s="28"/>
      <c r="I2991" s="28" t="s">
        <v>30</v>
      </c>
      <c r="J2991" s="28">
        <v>582.0</v>
      </c>
      <c r="K2991" s="28"/>
      <c r="L2991" s="28" t="s">
        <v>10408</v>
      </c>
      <c r="M2991" s="28" t="s">
        <v>151</v>
      </c>
      <c r="N2991" s="28">
        <v>2002.0</v>
      </c>
      <c r="O2991" s="60" t="s">
        <v>4010</v>
      </c>
      <c r="P2991" s="28">
        <v>1.0</v>
      </c>
      <c r="Q2991" s="94">
        <v>1.0</v>
      </c>
      <c r="R2991" s="84"/>
      <c r="S2991" s="34"/>
      <c r="T2991" s="34"/>
      <c r="U2991" s="34"/>
      <c r="V2991" s="34"/>
      <c r="W2991" s="34"/>
      <c r="X2991" s="34"/>
      <c r="Y2991" s="45"/>
      <c r="Z2991" s="45"/>
      <c r="AA2991" s="45"/>
      <c r="AB2991" s="45"/>
      <c r="AC2991" s="45"/>
      <c r="AD2991" s="45"/>
      <c r="AE2991" s="45"/>
      <c r="AF2991" s="45"/>
      <c r="AG2991" s="45"/>
      <c r="AH2991" s="45"/>
      <c r="AI2991" s="45"/>
      <c r="AJ2991" s="45"/>
      <c r="AK2991" s="45"/>
      <c r="AL2991" s="45"/>
    </row>
    <row r="2992" ht="15.75" customHeight="1">
      <c r="A2992" s="27">
        <f t="shared" si="23"/>
        <v>1870</v>
      </c>
      <c r="B2992" s="28" t="s">
        <v>31</v>
      </c>
      <c r="C2992" s="43" t="s">
        <v>10409</v>
      </c>
      <c r="D2992" s="231" t="s">
        <v>10407</v>
      </c>
      <c r="E2992" s="28" t="s">
        <v>144</v>
      </c>
      <c r="F2992" s="28" t="s">
        <v>29</v>
      </c>
      <c r="G2992" s="28" t="s">
        <v>30</v>
      </c>
      <c r="H2992" s="28"/>
      <c r="I2992" s="28" t="s">
        <v>30</v>
      </c>
      <c r="J2992" s="28">
        <v>582.0</v>
      </c>
      <c r="K2992" s="28"/>
      <c r="L2992" s="28" t="s">
        <v>10408</v>
      </c>
      <c r="M2992" s="28" t="s">
        <v>151</v>
      </c>
      <c r="N2992" s="28">
        <v>1987.0</v>
      </c>
      <c r="O2992" s="60" t="s">
        <v>4010</v>
      </c>
      <c r="P2992" s="28">
        <v>1.0</v>
      </c>
      <c r="Q2992" s="94">
        <v>1.0</v>
      </c>
      <c r="R2992" s="84"/>
      <c r="S2992" s="34"/>
      <c r="T2992" s="34"/>
      <c r="U2992" s="34"/>
      <c r="V2992" s="34"/>
      <c r="W2992" s="34"/>
      <c r="X2992" s="34"/>
      <c r="Y2992" s="45"/>
      <c r="Z2992" s="45"/>
      <c r="AA2992" s="45"/>
      <c r="AB2992" s="45"/>
      <c r="AC2992" s="45"/>
      <c r="AD2992" s="45"/>
      <c r="AE2992" s="45"/>
      <c r="AF2992" s="45"/>
      <c r="AG2992" s="45"/>
      <c r="AH2992" s="45"/>
      <c r="AI2992" s="45"/>
      <c r="AJ2992" s="45"/>
      <c r="AK2992" s="45"/>
      <c r="AL2992" s="45"/>
    </row>
    <row r="2993" ht="15.75" customHeight="1">
      <c r="A2993" s="27">
        <f t="shared" si="23"/>
        <v>1871</v>
      </c>
      <c r="B2993" s="28" t="s">
        <v>10410</v>
      </c>
      <c r="C2993" s="43" t="s">
        <v>10411</v>
      </c>
      <c r="D2993" s="30" t="s">
        <v>10412</v>
      </c>
      <c r="E2993" s="28" t="s">
        <v>144</v>
      </c>
      <c r="F2993" s="28" t="s">
        <v>29</v>
      </c>
      <c r="G2993" s="28" t="s">
        <v>30</v>
      </c>
      <c r="H2993" s="28"/>
      <c r="I2993" s="28" t="s">
        <v>30</v>
      </c>
      <c r="J2993" s="28">
        <f>62</f>
        <v>62</v>
      </c>
      <c r="K2993" s="28"/>
      <c r="L2993" s="28" t="s">
        <v>10413</v>
      </c>
      <c r="M2993" s="28" t="s">
        <v>151</v>
      </c>
      <c r="N2993" s="28">
        <v>1998.0</v>
      </c>
      <c r="O2993" s="60" t="s">
        <v>4010</v>
      </c>
      <c r="P2993" s="28">
        <v>1.0</v>
      </c>
      <c r="Q2993" s="32">
        <v>1.0</v>
      </c>
      <c r="R2993" s="33"/>
      <c r="S2993" s="34"/>
      <c r="T2993" s="34"/>
      <c r="U2993" s="34"/>
      <c r="V2993" s="34"/>
      <c r="W2993" s="34"/>
      <c r="X2993" s="34"/>
      <c r="Y2993" s="45"/>
      <c r="Z2993" s="45"/>
      <c r="AA2993" s="45"/>
      <c r="AB2993" s="45"/>
      <c r="AC2993" s="45"/>
      <c r="AD2993" s="45"/>
      <c r="AE2993" s="45"/>
      <c r="AF2993" s="45"/>
      <c r="AG2993" s="45"/>
      <c r="AH2993" s="45"/>
      <c r="AI2993" s="45"/>
      <c r="AJ2993" s="45"/>
      <c r="AK2993" s="45"/>
      <c r="AL2993" s="45"/>
    </row>
    <row r="2994" ht="15.75" customHeight="1">
      <c r="A2994" s="27">
        <f t="shared" si="23"/>
        <v>1872</v>
      </c>
      <c r="B2994" s="28" t="s">
        <v>10414</v>
      </c>
      <c r="C2994" s="43" t="s">
        <v>10415</v>
      </c>
      <c r="D2994" s="30" t="s">
        <v>10416</v>
      </c>
      <c r="E2994" s="28" t="s">
        <v>31</v>
      </c>
      <c r="F2994" s="28" t="s">
        <v>29</v>
      </c>
      <c r="G2994" s="28" t="s">
        <v>30</v>
      </c>
      <c r="H2994" s="28"/>
      <c r="I2994" s="28" t="s">
        <v>30</v>
      </c>
      <c r="J2994" s="28">
        <v>40.0</v>
      </c>
      <c r="K2994" s="28"/>
      <c r="L2994" s="28" t="s">
        <v>10413</v>
      </c>
      <c r="M2994" s="28" t="s">
        <v>151</v>
      </c>
      <c r="N2994" s="28">
        <v>2002.0</v>
      </c>
      <c r="O2994" s="60" t="s">
        <v>4010</v>
      </c>
      <c r="P2994" s="28">
        <v>1.0</v>
      </c>
      <c r="Q2994" s="94">
        <v>1.0</v>
      </c>
      <c r="R2994" s="33"/>
      <c r="S2994" s="34"/>
      <c r="T2994" s="34"/>
      <c r="U2994" s="34"/>
      <c r="V2994" s="34"/>
      <c r="W2994" s="34"/>
      <c r="X2994" s="34"/>
      <c r="Y2994" s="45"/>
      <c r="Z2994" s="45"/>
      <c r="AA2994" s="45"/>
      <c r="AB2994" s="45"/>
      <c r="AC2994" s="45"/>
      <c r="AD2994" s="45"/>
      <c r="AE2994" s="45"/>
      <c r="AF2994" s="45"/>
      <c r="AG2994" s="45"/>
      <c r="AH2994" s="45"/>
      <c r="AI2994" s="45"/>
      <c r="AJ2994" s="45"/>
      <c r="AK2994" s="45"/>
      <c r="AL2994" s="45"/>
    </row>
    <row r="2995" ht="15.75" customHeight="1">
      <c r="A2995" s="27">
        <f t="shared" si="23"/>
        <v>1873</v>
      </c>
      <c r="B2995" s="28" t="s">
        <v>10414</v>
      </c>
      <c r="C2995" s="29" t="s">
        <v>10415</v>
      </c>
      <c r="D2995" s="30" t="s">
        <v>10416</v>
      </c>
      <c r="E2995" s="28" t="s">
        <v>31</v>
      </c>
      <c r="F2995" s="28" t="s">
        <v>29</v>
      </c>
      <c r="G2995" s="28" t="s">
        <v>30</v>
      </c>
      <c r="H2995" s="28"/>
      <c r="I2995" s="28" t="s">
        <v>30</v>
      </c>
      <c r="J2995" s="28">
        <v>40.0</v>
      </c>
      <c r="K2995" s="28"/>
      <c r="L2995" s="28" t="s">
        <v>10413</v>
      </c>
      <c r="M2995" s="28" t="s">
        <v>151</v>
      </c>
      <c r="N2995" s="28">
        <v>2012.0</v>
      </c>
      <c r="O2995" s="60" t="s">
        <v>4010</v>
      </c>
      <c r="P2995" s="31">
        <v>1.0</v>
      </c>
      <c r="Q2995" s="94">
        <v>1.0</v>
      </c>
      <c r="R2995" s="33"/>
      <c r="S2995" s="34"/>
      <c r="T2995" s="34"/>
      <c r="U2995" s="34"/>
      <c r="V2995" s="34"/>
      <c r="W2995" s="34"/>
      <c r="X2995" s="34"/>
      <c r="Y2995" s="45"/>
      <c r="Z2995" s="45"/>
      <c r="AA2995" s="45"/>
      <c r="AB2995" s="45"/>
      <c r="AC2995" s="45"/>
      <c r="AD2995" s="45"/>
      <c r="AE2995" s="45"/>
      <c r="AF2995" s="45"/>
      <c r="AG2995" s="45"/>
      <c r="AH2995" s="45"/>
      <c r="AI2995" s="45"/>
      <c r="AJ2995" s="45"/>
      <c r="AK2995" s="45"/>
      <c r="AL2995" s="45"/>
    </row>
    <row r="2996" ht="15.75" customHeight="1">
      <c r="A2996" s="27">
        <f t="shared" si="23"/>
        <v>1874</v>
      </c>
      <c r="B2996" s="121" t="s">
        <v>10417</v>
      </c>
      <c r="C2996" s="121" t="s">
        <v>10418</v>
      </c>
      <c r="D2996" s="119" t="s">
        <v>10419</v>
      </c>
      <c r="E2996" s="121" t="s">
        <v>144</v>
      </c>
      <c r="F2996" s="121" t="s">
        <v>29</v>
      </c>
      <c r="G2996" s="121" t="s">
        <v>166</v>
      </c>
      <c r="H2996" s="83"/>
      <c r="I2996" s="121" t="s">
        <v>38</v>
      </c>
      <c r="J2996" s="121">
        <v>314.0</v>
      </c>
      <c r="K2996" s="83"/>
      <c r="L2996" s="121" t="s">
        <v>10420</v>
      </c>
      <c r="M2996" s="121" t="s">
        <v>4194</v>
      </c>
      <c r="N2996" s="121">
        <v>2004.0</v>
      </c>
      <c r="O2996" s="60" t="s">
        <v>4010</v>
      </c>
      <c r="P2996" s="121">
        <v>1.0</v>
      </c>
      <c r="Q2996" s="121">
        <v>1.0</v>
      </c>
      <c r="R2996" s="84"/>
      <c r="S2996" s="34"/>
      <c r="T2996" s="34"/>
      <c r="U2996" s="34"/>
      <c r="V2996" s="34"/>
      <c r="W2996" s="34"/>
      <c r="X2996" s="34"/>
      <c r="Y2996" s="45"/>
      <c r="Z2996" s="45"/>
      <c r="AA2996" s="45"/>
      <c r="AB2996" s="45"/>
      <c r="AC2996" s="45"/>
      <c r="AD2996" s="45"/>
      <c r="AE2996" s="45"/>
      <c r="AF2996" s="45"/>
      <c r="AG2996" s="45"/>
      <c r="AH2996" s="45"/>
      <c r="AI2996" s="45"/>
      <c r="AJ2996" s="45"/>
      <c r="AK2996" s="45"/>
      <c r="AL2996" s="45"/>
    </row>
    <row r="2997" ht="15.75" customHeight="1">
      <c r="A2997" s="27">
        <f t="shared" si="23"/>
        <v>1875</v>
      </c>
      <c r="B2997" s="28" t="s">
        <v>10421</v>
      </c>
      <c r="C2997" s="48" t="s">
        <v>10422</v>
      </c>
      <c r="D2997" s="30" t="s">
        <v>10423</v>
      </c>
      <c r="E2997" s="28"/>
      <c r="F2997" s="28" t="s">
        <v>29</v>
      </c>
      <c r="G2997" s="28" t="s">
        <v>37</v>
      </c>
      <c r="H2997" s="28"/>
      <c r="I2997" s="28" t="s">
        <v>38</v>
      </c>
      <c r="J2997" s="28">
        <v>118.0</v>
      </c>
      <c r="K2997" s="28"/>
      <c r="L2997" s="28" t="s">
        <v>10424</v>
      </c>
      <c r="M2997" s="28" t="s">
        <v>931</v>
      </c>
      <c r="N2997" s="28">
        <v>1982.0</v>
      </c>
      <c r="O2997" s="60" t="s">
        <v>4010</v>
      </c>
      <c r="P2997" s="28">
        <v>1.0</v>
      </c>
      <c r="Q2997" s="32">
        <v>1.0</v>
      </c>
      <c r="R2997" s="33"/>
      <c r="S2997" s="34"/>
      <c r="T2997" s="34"/>
      <c r="U2997" s="34"/>
      <c r="V2997" s="34"/>
      <c r="W2997" s="34"/>
      <c r="X2997" s="34"/>
      <c r="Y2997" s="45"/>
      <c r="Z2997" s="45"/>
      <c r="AA2997" s="45"/>
      <c r="AB2997" s="45"/>
      <c r="AC2997" s="45"/>
      <c r="AD2997" s="45"/>
      <c r="AE2997" s="45"/>
      <c r="AF2997" s="45"/>
      <c r="AG2997" s="45"/>
      <c r="AH2997" s="45"/>
      <c r="AI2997" s="45"/>
      <c r="AJ2997" s="45"/>
      <c r="AK2997" s="45"/>
      <c r="AL2997" s="45"/>
    </row>
    <row r="2998" ht="15.75" customHeight="1">
      <c r="A2998" s="27">
        <f t="shared" si="23"/>
        <v>1876</v>
      </c>
      <c r="B2998" s="28" t="s">
        <v>10425</v>
      </c>
      <c r="C2998" s="29" t="s">
        <v>10426</v>
      </c>
      <c r="D2998" s="30" t="s">
        <v>10427</v>
      </c>
      <c r="E2998" s="28"/>
      <c r="F2998" s="28" t="s">
        <v>29</v>
      </c>
      <c r="G2998" s="28" t="s">
        <v>37</v>
      </c>
      <c r="H2998" s="28"/>
      <c r="I2998" s="28" t="s">
        <v>38</v>
      </c>
      <c r="J2998" s="28">
        <v>301.0</v>
      </c>
      <c r="K2998" s="28"/>
      <c r="L2998" s="28" t="s">
        <v>10428</v>
      </c>
      <c r="M2998" s="28" t="s">
        <v>2217</v>
      </c>
      <c r="N2998" s="28">
        <v>1990.0</v>
      </c>
      <c r="O2998" s="60" t="s">
        <v>4010</v>
      </c>
      <c r="P2998" s="60">
        <v>3.0</v>
      </c>
      <c r="Q2998" s="94">
        <v>3.0</v>
      </c>
      <c r="R2998" s="33"/>
      <c r="S2998" s="34"/>
      <c r="T2998" s="34"/>
      <c r="U2998" s="34"/>
      <c r="V2998" s="34"/>
      <c r="W2998" s="34"/>
      <c r="X2998" s="34"/>
      <c r="Y2998" s="45"/>
      <c r="Z2998" s="45"/>
      <c r="AA2998" s="45"/>
      <c r="AB2998" s="45"/>
      <c r="AC2998" s="45"/>
      <c r="AD2998" s="45"/>
      <c r="AE2998" s="45"/>
      <c r="AF2998" s="45"/>
      <c r="AG2998" s="45"/>
      <c r="AH2998" s="45"/>
      <c r="AI2998" s="45"/>
      <c r="AJ2998" s="45"/>
      <c r="AK2998" s="45"/>
      <c r="AL2998" s="45"/>
    </row>
    <row r="2999" ht="15.75" customHeight="1">
      <c r="A2999" s="27">
        <f t="shared" si="23"/>
        <v>1877</v>
      </c>
      <c r="B2999" s="28" t="s">
        <v>10429</v>
      </c>
      <c r="C2999" s="43" t="s">
        <v>10430</v>
      </c>
      <c r="D2999" s="30" t="s">
        <v>10431</v>
      </c>
      <c r="E2999" s="28" t="s">
        <v>144</v>
      </c>
      <c r="F2999" s="28" t="s">
        <v>29</v>
      </c>
      <c r="G2999" s="28" t="s">
        <v>30</v>
      </c>
      <c r="H2999" s="28"/>
      <c r="I2999" s="28" t="s">
        <v>30</v>
      </c>
      <c r="J2999" s="28">
        <f>337+10</f>
        <v>347</v>
      </c>
      <c r="K2999" s="28"/>
      <c r="L2999" s="28" t="s">
        <v>10432</v>
      </c>
      <c r="M2999" s="28" t="s">
        <v>2869</v>
      </c>
      <c r="N2999" s="28">
        <v>2014.0</v>
      </c>
      <c r="O2999" s="60" t="s">
        <v>4010</v>
      </c>
      <c r="P2999" s="28">
        <v>1.0</v>
      </c>
      <c r="Q2999" s="32">
        <v>1.0</v>
      </c>
      <c r="R2999" s="33"/>
      <c r="S2999" s="34"/>
      <c r="T2999" s="34"/>
      <c r="U2999" s="34"/>
      <c r="V2999" s="34"/>
      <c r="W2999" s="34"/>
      <c r="X2999" s="34"/>
      <c r="Y2999" s="45"/>
      <c r="Z2999" s="45"/>
      <c r="AA2999" s="45"/>
      <c r="AB2999" s="45"/>
      <c r="AC2999" s="45"/>
      <c r="AD2999" s="45"/>
      <c r="AE2999" s="45"/>
      <c r="AF2999" s="45"/>
      <c r="AG2999" s="45"/>
      <c r="AH2999" s="45"/>
      <c r="AI2999" s="45"/>
      <c r="AJ2999" s="45"/>
      <c r="AK2999" s="45"/>
      <c r="AL2999" s="45"/>
    </row>
    <row r="3000" ht="15.75" customHeight="1">
      <c r="A3000" s="27">
        <f t="shared" si="23"/>
        <v>1878</v>
      </c>
      <c r="B3000" s="28" t="s">
        <v>10433</v>
      </c>
      <c r="C3000" s="43" t="s">
        <v>10434</v>
      </c>
      <c r="D3000" s="30" t="s">
        <v>10435</v>
      </c>
      <c r="E3000" s="28"/>
      <c r="F3000" s="28" t="s">
        <v>29</v>
      </c>
      <c r="G3000" s="28" t="s">
        <v>37</v>
      </c>
      <c r="H3000" s="28"/>
      <c r="I3000" s="28" t="s">
        <v>38</v>
      </c>
      <c r="J3000" s="28">
        <v>536.0</v>
      </c>
      <c r="K3000" s="28"/>
      <c r="L3000" s="28" t="s">
        <v>10436</v>
      </c>
      <c r="M3000" s="28" t="s">
        <v>230</v>
      </c>
      <c r="N3000" s="28">
        <v>2003.0</v>
      </c>
      <c r="O3000" s="60" t="s">
        <v>4010</v>
      </c>
      <c r="P3000" s="28">
        <v>1.0</v>
      </c>
      <c r="Q3000" s="32">
        <v>1.0</v>
      </c>
      <c r="R3000" s="33"/>
      <c r="S3000" s="34"/>
      <c r="T3000" s="34"/>
      <c r="U3000" s="34"/>
      <c r="V3000" s="34"/>
      <c r="W3000" s="34"/>
      <c r="X3000" s="34"/>
      <c r="Y3000" s="3"/>
      <c r="Z3000" s="3"/>
      <c r="AA3000" s="3"/>
      <c r="AB3000" s="3"/>
      <c r="AC3000" s="3"/>
      <c r="AD3000" s="3"/>
      <c r="AE3000" s="3"/>
      <c r="AF3000" s="3"/>
      <c r="AG3000" s="3"/>
      <c r="AH3000" s="3"/>
      <c r="AI3000" s="3"/>
      <c r="AJ3000" s="3"/>
      <c r="AK3000" s="3"/>
      <c r="AL3000" s="3"/>
    </row>
    <row r="3001" ht="15.75" customHeight="1">
      <c r="A3001" s="27">
        <f t="shared" si="23"/>
        <v>1879</v>
      </c>
      <c r="B3001" s="121" t="s">
        <v>10437</v>
      </c>
      <c r="C3001" s="124" t="s">
        <v>10438</v>
      </c>
      <c r="D3001" s="119" t="s">
        <v>10439</v>
      </c>
      <c r="E3001" s="83"/>
      <c r="F3001" s="121" t="s">
        <v>29</v>
      </c>
      <c r="G3001" s="121" t="s">
        <v>37</v>
      </c>
      <c r="H3001" s="83"/>
      <c r="I3001" s="121" t="s">
        <v>38</v>
      </c>
      <c r="J3001" s="121">
        <v>129.0</v>
      </c>
      <c r="K3001" s="83"/>
      <c r="L3001" s="121" t="s">
        <v>10440</v>
      </c>
      <c r="M3001" s="121" t="s">
        <v>1478</v>
      </c>
      <c r="N3001" s="121">
        <v>2016.0</v>
      </c>
      <c r="O3001" s="60" t="s">
        <v>4010</v>
      </c>
      <c r="P3001" s="121">
        <v>1.0</v>
      </c>
      <c r="Q3001" s="121">
        <v>1.0</v>
      </c>
      <c r="R3001" s="84"/>
      <c r="S3001" s="34"/>
      <c r="T3001" s="34"/>
      <c r="U3001" s="34"/>
      <c r="V3001" s="34"/>
      <c r="W3001" s="34"/>
      <c r="X3001" s="34"/>
      <c r="Y3001" s="45"/>
      <c r="Z3001" s="45"/>
      <c r="AA3001" s="45"/>
      <c r="AB3001" s="45"/>
      <c r="AC3001" s="45"/>
      <c r="AD3001" s="45"/>
      <c r="AE3001" s="45"/>
      <c r="AF3001" s="45"/>
      <c r="AG3001" s="45"/>
      <c r="AH3001" s="45"/>
      <c r="AI3001" s="45"/>
      <c r="AJ3001" s="45"/>
      <c r="AK3001" s="45"/>
      <c r="AL3001" s="45"/>
    </row>
    <row r="3002" ht="15.75" customHeight="1">
      <c r="A3002" s="27">
        <f t="shared" si="23"/>
        <v>1880</v>
      </c>
      <c r="B3002" s="60" t="s">
        <v>10441</v>
      </c>
      <c r="C3002" s="29" t="s">
        <v>10442</v>
      </c>
      <c r="D3002" s="30" t="s">
        <v>10443</v>
      </c>
      <c r="E3002" s="28" t="s">
        <v>144</v>
      </c>
      <c r="F3002" s="28" t="s">
        <v>29</v>
      </c>
      <c r="G3002" s="28" t="s">
        <v>37</v>
      </c>
      <c r="H3002" s="28"/>
      <c r="I3002" s="28" t="s">
        <v>38</v>
      </c>
      <c r="J3002" s="28">
        <v>155.0</v>
      </c>
      <c r="K3002" s="28"/>
      <c r="L3002" s="28" t="s">
        <v>10444</v>
      </c>
      <c r="M3002" s="28" t="s">
        <v>1176</v>
      </c>
      <c r="N3002" s="28">
        <v>2006.0</v>
      </c>
      <c r="O3002" s="60" t="s">
        <v>4010</v>
      </c>
      <c r="P3002" s="28">
        <v>1.0</v>
      </c>
      <c r="Q3002" s="32">
        <v>1.0</v>
      </c>
      <c r="R3002" s="33"/>
      <c r="S3002" s="34"/>
      <c r="T3002" s="34"/>
      <c r="U3002" s="34"/>
      <c r="V3002" s="34"/>
      <c r="W3002" s="34"/>
      <c r="X3002" s="34"/>
      <c r="Y3002" s="45"/>
      <c r="Z3002" s="45"/>
      <c r="AA3002" s="45"/>
      <c r="AB3002" s="45"/>
      <c r="AC3002" s="45"/>
      <c r="AD3002" s="45"/>
      <c r="AE3002" s="45"/>
      <c r="AF3002" s="45"/>
      <c r="AG3002" s="45"/>
      <c r="AH3002" s="45"/>
      <c r="AI3002" s="45"/>
      <c r="AJ3002" s="45"/>
      <c r="AK3002" s="45"/>
      <c r="AL3002" s="45"/>
    </row>
    <row r="3003" ht="15.75" customHeight="1">
      <c r="A3003" s="27">
        <f t="shared" si="23"/>
        <v>1881</v>
      </c>
      <c r="B3003" s="28" t="s">
        <v>31</v>
      </c>
      <c r="C3003" s="43" t="s">
        <v>10445</v>
      </c>
      <c r="D3003" s="30" t="s">
        <v>10446</v>
      </c>
      <c r="E3003" s="28" t="s">
        <v>31</v>
      </c>
      <c r="F3003" s="28" t="s">
        <v>29</v>
      </c>
      <c r="G3003" s="28" t="s">
        <v>30</v>
      </c>
      <c r="H3003" s="28"/>
      <c r="I3003" s="28" t="s">
        <v>30</v>
      </c>
      <c r="J3003" s="28">
        <f>128+6</f>
        <v>134</v>
      </c>
      <c r="K3003" s="28"/>
      <c r="L3003" s="28" t="s">
        <v>7572</v>
      </c>
      <c r="M3003" s="28" t="s">
        <v>3991</v>
      </c>
      <c r="N3003" s="28">
        <v>1977.0</v>
      </c>
      <c r="O3003" s="60">
        <v>11.0</v>
      </c>
      <c r="P3003" s="28">
        <v>2.0</v>
      </c>
      <c r="Q3003" s="94">
        <v>1.0</v>
      </c>
      <c r="R3003" s="33"/>
      <c r="S3003" s="34"/>
      <c r="T3003" s="34"/>
      <c r="U3003" s="34"/>
      <c r="V3003" s="34"/>
      <c r="W3003" s="34"/>
      <c r="X3003" s="34"/>
      <c r="Y3003" s="45"/>
      <c r="Z3003" s="45"/>
      <c r="AA3003" s="45"/>
      <c r="AB3003" s="45"/>
      <c r="AC3003" s="45"/>
      <c r="AD3003" s="45"/>
      <c r="AE3003" s="45"/>
      <c r="AF3003" s="45"/>
      <c r="AG3003" s="45"/>
      <c r="AH3003" s="45"/>
      <c r="AI3003" s="45"/>
      <c r="AJ3003" s="45"/>
      <c r="AK3003" s="45"/>
      <c r="AL3003" s="45"/>
    </row>
    <row r="3004" ht="15.75" customHeight="1">
      <c r="A3004" s="27">
        <f t="shared" si="23"/>
        <v>1882</v>
      </c>
      <c r="B3004" s="28"/>
      <c r="C3004" s="43" t="s">
        <v>10447</v>
      </c>
      <c r="D3004" s="30" t="s">
        <v>10448</v>
      </c>
      <c r="E3004" s="28" t="s">
        <v>28</v>
      </c>
      <c r="F3004" s="28" t="s">
        <v>29</v>
      </c>
      <c r="G3004" s="28" t="s">
        <v>37</v>
      </c>
      <c r="H3004" s="28"/>
      <c r="I3004" s="28" t="s">
        <v>38</v>
      </c>
      <c r="J3004" s="28">
        <v>104.0</v>
      </c>
      <c r="K3004" s="28"/>
      <c r="L3004" s="28" t="s">
        <v>10449</v>
      </c>
      <c r="M3004" s="28" t="s">
        <v>3364</v>
      </c>
      <c r="N3004" s="28">
        <v>1996.0</v>
      </c>
      <c r="O3004" s="28" t="s">
        <v>4010</v>
      </c>
      <c r="P3004" s="28">
        <v>1.0</v>
      </c>
      <c r="Q3004" s="94">
        <v>1.0</v>
      </c>
      <c r="R3004" s="33"/>
      <c r="S3004" s="34"/>
      <c r="T3004" s="34"/>
      <c r="U3004" s="34"/>
      <c r="V3004" s="34"/>
      <c r="W3004" s="34"/>
      <c r="X3004" s="34"/>
      <c r="Y3004" s="45"/>
      <c r="Z3004" s="45"/>
      <c r="AA3004" s="45"/>
      <c r="AB3004" s="45"/>
      <c r="AC3004" s="45"/>
      <c r="AD3004" s="45"/>
      <c r="AE3004" s="45"/>
      <c r="AF3004" s="45"/>
      <c r="AG3004" s="45"/>
      <c r="AH3004" s="45"/>
      <c r="AI3004" s="45"/>
      <c r="AJ3004" s="45"/>
      <c r="AK3004" s="45"/>
      <c r="AL3004" s="45"/>
    </row>
    <row r="3005" ht="15.75" customHeight="1">
      <c r="A3005" s="27">
        <f t="shared" si="23"/>
        <v>1883</v>
      </c>
      <c r="B3005" s="83"/>
      <c r="C3005" s="121" t="s">
        <v>10450</v>
      </c>
      <c r="D3005" s="119" t="s">
        <v>10451</v>
      </c>
      <c r="E3005" s="121" t="s">
        <v>144</v>
      </c>
      <c r="F3005" s="121" t="s">
        <v>4823</v>
      </c>
      <c r="G3005" s="121" t="s">
        <v>37</v>
      </c>
      <c r="H3005" s="83"/>
      <c r="I3005" s="121" t="s">
        <v>30</v>
      </c>
      <c r="J3005" s="121">
        <v>237.0</v>
      </c>
      <c r="K3005" s="83"/>
      <c r="L3005" s="121" t="s">
        <v>8018</v>
      </c>
      <c r="M3005" s="121" t="s">
        <v>31</v>
      </c>
      <c r="N3005" s="121">
        <v>1983.0</v>
      </c>
      <c r="O3005" s="121" t="s">
        <v>4010</v>
      </c>
      <c r="P3005" s="121">
        <v>1.0</v>
      </c>
      <c r="Q3005" s="121">
        <v>1.0</v>
      </c>
      <c r="R3005" s="84"/>
      <c r="S3005" s="34"/>
      <c r="T3005" s="34"/>
      <c r="U3005" s="34"/>
      <c r="V3005" s="34"/>
      <c r="W3005" s="34"/>
      <c r="X3005" s="34"/>
      <c r="Y3005" s="45"/>
      <c r="Z3005" s="45"/>
      <c r="AA3005" s="45"/>
      <c r="AB3005" s="45"/>
      <c r="AC3005" s="45"/>
      <c r="AD3005" s="45"/>
      <c r="AE3005" s="45"/>
      <c r="AF3005" s="45"/>
      <c r="AG3005" s="45"/>
      <c r="AH3005" s="45"/>
      <c r="AI3005" s="45"/>
      <c r="AJ3005" s="45"/>
      <c r="AK3005" s="45"/>
      <c r="AL3005" s="45"/>
    </row>
    <row r="3006" ht="15.75" customHeight="1">
      <c r="A3006" s="27">
        <f t="shared" si="23"/>
        <v>1884</v>
      </c>
      <c r="B3006" s="121" t="s">
        <v>10452</v>
      </c>
      <c r="C3006" s="121" t="s">
        <v>10453</v>
      </c>
      <c r="D3006" s="119" t="s">
        <v>10454</v>
      </c>
      <c r="E3006" s="121" t="s">
        <v>4612</v>
      </c>
      <c r="F3006" s="121" t="s">
        <v>29</v>
      </c>
      <c r="G3006" s="121" t="s">
        <v>30</v>
      </c>
      <c r="H3006" s="83"/>
      <c r="I3006" s="121" t="s">
        <v>30</v>
      </c>
      <c r="J3006" s="121">
        <v>497.0</v>
      </c>
      <c r="K3006" s="83"/>
      <c r="L3006" s="121" t="s">
        <v>10455</v>
      </c>
      <c r="M3006" s="121" t="s">
        <v>10456</v>
      </c>
      <c r="N3006" s="121">
        <v>2016.0</v>
      </c>
      <c r="O3006" s="121" t="s">
        <v>4010</v>
      </c>
      <c r="P3006" s="121">
        <v>1.0</v>
      </c>
      <c r="Q3006" s="121">
        <v>1.0</v>
      </c>
      <c r="R3006" s="84"/>
      <c r="S3006" s="34"/>
      <c r="T3006" s="34"/>
      <c r="U3006" s="34"/>
      <c r="V3006" s="34"/>
      <c r="W3006" s="34"/>
      <c r="X3006" s="34"/>
      <c r="Y3006" s="45"/>
      <c r="Z3006" s="45"/>
      <c r="AA3006" s="45"/>
      <c r="AB3006" s="45"/>
      <c r="AC3006" s="45"/>
      <c r="AD3006" s="45"/>
      <c r="AE3006" s="45"/>
      <c r="AF3006" s="45"/>
      <c r="AG3006" s="45"/>
      <c r="AH3006" s="45"/>
      <c r="AI3006" s="45"/>
      <c r="AJ3006" s="45"/>
      <c r="AK3006" s="45"/>
      <c r="AL3006" s="45"/>
    </row>
    <row r="3007" ht="15.75" customHeight="1">
      <c r="A3007" s="27">
        <f t="shared" si="23"/>
        <v>1885</v>
      </c>
      <c r="B3007" s="31" t="s">
        <v>10457</v>
      </c>
      <c r="C3007" s="29" t="s">
        <v>10458</v>
      </c>
      <c r="D3007" s="39" t="s">
        <v>10459</v>
      </c>
      <c r="E3007" s="31" t="s">
        <v>29</v>
      </c>
      <c r="F3007" s="31" t="s">
        <v>29</v>
      </c>
      <c r="G3007" s="31" t="s">
        <v>30</v>
      </c>
      <c r="H3007" s="28"/>
      <c r="I3007" s="31" t="s">
        <v>30</v>
      </c>
      <c r="J3007" s="31">
        <v>106.0</v>
      </c>
      <c r="K3007" s="28"/>
      <c r="L3007" s="31" t="s">
        <v>10460</v>
      </c>
      <c r="M3007" s="31" t="s">
        <v>10461</v>
      </c>
      <c r="N3007" s="31">
        <v>2014.0</v>
      </c>
      <c r="O3007" s="31">
        <v>15.0</v>
      </c>
      <c r="P3007" s="31">
        <v>1.0</v>
      </c>
      <c r="Q3007" s="37">
        <v>1.0</v>
      </c>
      <c r="R3007" s="33"/>
      <c r="S3007" s="34"/>
      <c r="T3007" s="34"/>
      <c r="U3007" s="34"/>
      <c r="V3007" s="34"/>
      <c r="W3007" s="34"/>
      <c r="X3007" s="34"/>
      <c r="Y3007" s="45"/>
      <c r="Z3007" s="45"/>
      <c r="AA3007" s="45"/>
      <c r="AB3007" s="45"/>
      <c r="AC3007" s="45"/>
      <c r="AD3007" s="45"/>
      <c r="AE3007" s="45"/>
      <c r="AF3007" s="45"/>
      <c r="AG3007" s="45"/>
      <c r="AH3007" s="45"/>
      <c r="AI3007" s="45"/>
      <c r="AJ3007" s="45"/>
      <c r="AK3007" s="45"/>
      <c r="AL3007" s="45"/>
    </row>
    <row r="3008" ht="15.75" customHeight="1">
      <c r="A3008" s="27">
        <f t="shared" si="23"/>
        <v>1886</v>
      </c>
      <c r="B3008" s="31" t="s">
        <v>10462</v>
      </c>
      <c r="C3008" s="29" t="s">
        <v>10463</v>
      </c>
      <c r="D3008" s="35" t="s">
        <v>10464</v>
      </c>
      <c r="E3008" s="28"/>
      <c r="F3008" s="31" t="s">
        <v>29</v>
      </c>
      <c r="G3008" s="28"/>
      <c r="H3008" s="28"/>
      <c r="I3008" s="31" t="s">
        <v>38</v>
      </c>
      <c r="J3008" s="31">
        <v>292.0</v>
      </c>
      <c r="K3008" s="28"/>
      <c r="L3008" s="31" t="s">
        <v>10465</v>
      </c>
      <c r="M3008" s="31" t="s">
        <v>10466</v>
      </c>
      <c r="N3008" s="31">
        <v>1977.0</v>
      </c>
      <c r="O3008" s="31">
        <v>15.0</v>
      </c>
      <c r="P3008" s="31">
        <v>1.0</v>
      </c>
      <c r="Q3008" s="37">
        <v>1.0</v>
      </c>
      <c r="R3008" s="33"/>
      <c r="S3008" s="34"/>
      <c r="T3008" s="34"/>
      <c r="U3008" s="34"/>
      <c r="V3008" s="34"/>
      <c r="W3008" s="34"/>
      <c r="X3008" s="34"/>
      <c r="Y3008" s="45"/>
      <c r="Z3008" s="45"/>
      <c r="AA3008" s="45"/>
      <c r="AB3008" s="45"/>
      <c r="AC3008" s="45"/>
      <c r="AD3008" s="45"/>
      <c r="AE3008" s="45"/>
      <c r="AF3008" s="45"/>
      <c r="AG3008" s="45"/>
      <c r="AH3008" s="45"/>
      <c r="AI3008" s="45"/>
      <c r="AJ3008" s="45"/>
      <c r="AK3008" s="45"/>
      <c r="AL3008" s="45"/>
    </row>
    <row r="3009" ht="15.75" customHeight="1">
      <c r="A3009" s="27">
        <f t="shared" si="23"/>
        <v>1887</v>
      </c>
      <c r="B3009" s="31" t="s">
        <v>10467</v>
      </c>
      <c r="C3009" s="29" t="s">
        <v>10468</v>
      </c>
      <c r="D3009" s="39" t="s">
        <v>10469</v>
      </c>
      <c r="E3009" s="28"/>
      <c r="F3009" s="31" t="s">
        <v>29</v>
      </c>
      <c r="G3009" s="31" t="s">
        <v>37</v>
      </c>
      <c r="H3009" s="28"/>
      <c r="I3009" s="31" t="s">
        <v>38</v>
      </c>
      <c r="J3009" s="31">
        <v>345.0</v>
      </c>
      <c r="K3009" s="28"/>
      <c r="L3009" s="31" t="s">
        <v>10470</v>
      </c>
      <c r="M3009" s="31" t="s">
        <v>31</v>
      </c>
      <c r="N3009" s="31">
        <v>1969.0</v>
      </c>
      <c r="O3009" s="31">
        <v>15.0</v>
      </c>
      <c r="P3009" s="31">
        <v>1.0</v>
      </c>
      <c r="Q3009" s="37">
        <v>1.0</v>
      </c>
      <c r="R3009" s="33"/>
      <c r="S3009" s="34"/>
      <c r="T3009" s="34"/>
      <c r="U3009" s="34"/>
      <c r="V3009" s="34"/>
      <c r="W3009" s="34"/>
      <c r="X3009" s="34"/>
      <c r="Y3009" s="45"/>
      <c r="Z3009" s="45"/>
      <c r="AA3009" s="45"/>
      <c r="AB3009" s="45"/>
      <c r="AC3009" s="45"/>
      <c r="AD3009" s="45"/>
      <c r="AE3009" s="45"/>
      <c r="AF3009" s="45"/>
      <c r="AG3009" s="45"/>
      <c r="AH3009" s="45"/>
      <c r="AI3009" s="45"/>
      <c r="AJ3009" s="45"/>
      <c r="AK3009" s="45"/>
      <c r="AL3009" s="45"/>
    </row>
    <row r="3010" ht="15.75" customHeight="1">
      <c r="A3010" s="27">
        <f t="shared" si="23"/>
        <v>1888</v>
      </c>
      <c r="B3010" s="28"/>
      <c r="C3010" s="29" t="s">
        <v>10471</v>
      </c>
      <c r="D3010" s="39" t="s">
        <v>10472</v>
      </c>
      <c r="E3010" s="31" t="s">
        <v>144</v>
      </c>
      <c r="F3010" s="31" t="s">
        <v>29</v>
      </c>
      <c r="G3010" s="31" t="s">
        <v>37</v>
      </c>
      <c r="H3010" s="28"/>
      <c r="I3010" s="31" t="s">
        <v>30</v>
      </c>
      <c r="J3010" s="31">
        <v>758.0</v>
      </c>
      <c r="K3010" s="28"/>
      <c r="L3010" s="191" t="s">
        <v>10473</v>
      </c>
      <c r="M3010" s="31" t="s">
        <v>2258</v>
      </c>
      <c r="N3010" s="31">
        <v>1996.0</v>
      </c>
      <c r="O3010" s="62" t="s">
        <v>1381</v>
      </c>
      <c r="P3010" s="31">
        <v>1.0</v>
      </c>
      <c r="Q3010" s="37">
        <v>1.0</v>
      </c>
      <c r="R3010" s="33"/>
      <c r="S3010" s="34"/>
      <c r="T3010" s="34"/>
      <c r="U3010" s="34"/>
      <c r="V3010" s="34"/>
      <c r="W3010" s="34"/>
      <c r="X3010" s="34"/>
      <c r="Y3010" s="45"/>
      <c r="Z3010" s="45"/>
      <c r="AA3010" s="45"/>
      <c r="AB3010" s="45"/>
      <c r="AC3010" s="45"/>
      <c r="AD3010" s="45"/>
      <c r="AE3010" s="45"/>
      <c r="AF3010" s="45"/>
      <c r="AG3010" s="45"/>
      <c r="AH3010" s="45"/>
      <c r="AI3010" s="45"/>
      <c r="AJ3010" s="45"/>
      <c r="AK3010" s="45"/>
      <c r="AL3010" s="45"/>
    </row>
    <row r="3011" ht="15.75" customHeight="1">
      <c r="A3011" s="27">
        <f t="shared" si="23"/>
        <v>1889</v>
      </c>
      <c r="B3011" s="232" t="s">
        <v>2334</v>
      </c>
      <c r="C3011" s="29" t="s">
        <v>10474</v>
      </c>
      <c r="D3011" s="233" t="s">
        <v>10475</v>
      </c>
      <c r="E3011" s="28" t="s">
        <v>28</v>
      </c>
      <c r="F3011" s="31" t="s">
        <v>29</v>
      </c>
      <c r="G3011" s="31" t="s">
        <v>37</v>
      </c>
      <c r="H3011" s="28"/>
      <c r="I3011" s="31" t="s">
        <v>5762</v>
      </c>
      <c r="J3011" s="31">
        <v>464.0</v>
      </c>
      <c r="K3011" s="28"/>
      <c r="L3011" s="31" t="s">
        <v>244</v>
      </c>
      <c r="M3011" s="31" t="s">
        <v>10476</v>
      </c>
      <c r="N3011" s="31">
        <v>1984.0</v>
      </c>
      <c r="O3011" s="31">
        <v>9.0</v>
      </c>
      <c r="P3011" s="31">
        <v>1.0</v>
      </c>
      <c r="Q3011" s="37">
        <v>1.0</v>
      </c>
      <c r="R3011" s="33"/>
      <c r="S3011" s="34"/>
      <c r="T3011" s="34"/>
      <c r="U3011" s="34"/>
      <c r="V3011" s="34"/>
      <c r="W3011" s="34"/>
      <c r="X3011" s="34"/>
      <c r="Y3011" s="3"/>
      <c r="Z3011" s="3"/>
      <c r="AA3011" s="3"/>
      <c r="AB3011" s="3"/>
      <c r="AC3011" s="3"/>
      <c r="AD3011" s="3"/>
      <c r="AE3011" s="3"/>
      <c r="AF3011" s="3"/>
      <c r="AG3011" s="3"/>
      <c r="AH3011" s="3"/>
      <c r="AI3011" s="3"/>
      <c r="AJ3011" s="3"/>
      <c r="AK3011" s="3"/>
      <c r="AL3011" s="3"/>
    </row>
    <row r="3012" ht="15.75" customHeight="1">
      <c r="A3012" s="27">
        <f t="shared" si="23"/>
        <v>1890</v>
      </c>
      <c r="B3012" s="234" t="s">
        <v>10477</v>
      </c>
      <c r="C3012" s="29" t="s">
        <v>10478</v>
      </c>
      <c r="D3012" s="233" t="s">
        <v>10479</v>
      </c>
      <c r="E3012" s="31" t="s">
        <v>7202</v>
      </c>
      <c r="F3012" s="31" t="s">
        <v>29</v>
      </c>
      <c r="G3012" s="31" t="s">
        <v>30</v>
      </c>
      <c r="H3012" s="28"/>
      <c r="I3012" s="31" t="s">
        <v>30</v>
      </c>
      <c r="J3012" s="31">
        <v>402.0</v>
      </c>
      <c r="K3012" s="28"/>
      <c r="L3012" s="31" t="s">
        <v>10480</v>
      </c>
      <c r="M3012" s="31" t="s">
        <v>10481</v>
      </c>
      <c r="N3012" s="31">
        <v>2020.0</v>
      </c>
      <c r="O3012" s="31">
        <v>16.0</v>
      </c>
      <c r="P3012" s="31">
        <v>1.0</v>
      </c>
      <c r="Q3012" s="37">
        <v>1.0</v>
      </c>
      <c r="R3012" s="33"/>
      <c r="S3012" s="34"/>
      <c r="T3012" s="34"/>
      <c r="U3012" s="34"/>
      <c r="V3012" s="34"/>
      <c r="W3012" s="34"/>
      <c r="X3012" s="34"/>
      <c r="Y3012" s="45"/>
      <c r="Z3012" s="45"/>
      <c r="AA3012" s="45"/>
      <c r="AB3012" s="45"/>
      <c r="AC3012" s="45"/>
      <c r="AD3012" s="45"/>
      <c r="AE3012" s="45"/>
      <c r="AF3012" s="45"/>
      <c r="AG3012" s="45"/>
      <c r="AH3012" s="45"/>
      <c r="AI3012" s="45"/>
      <c r="AJ3012" s="45"/>
      <c r="AK3012" s="45"/>
      <c r="AL3012" s="45"/>
    </row>
    <row r="3013" ht="15.75" customHeight="1">
      <c r="A3013" s="27">
        <f t="shared" si="23"/>
        <v>1891</v>
      </c>
      <c r="B3013" s="235" t="s">
        <v>10482</v>
      </c>
      <c r="C3013" s="47" t="s">
        <v>10483</v>
      </c>
      <c r="D3013" s="233" t="s">
        <v>10484</v>
      </c>
      <c r="E3013" s="79"/>
      <c r="F3013" s="80" t="s">
        <v>29</v>
      </c>
      <c r="G3013" s="80" t="s">
        <v>30</v>
      </c>
      <c r="H3013" s="79"/>
      <c r="I3013" s="80" t="s">
        <v>30</v>
      </c>
      <c r="J3013" s="80">
        <v>313.0</v>
      </c>
      <c r="K3013" s="79"/>
      <c r="L3013" s="80" t="s">
        <v>10485</v>
      </c>
      <c r="M3013" s="80" t="s">
        <v>2463</v>
      </c>
      <c r="N3013" s="80">
        <v>2001.0</v>
      </c>
      <c r="O3013" s="80">
        <v>13.0</v>
      </c>
      <c r="P3013" s="80">
        <v>1.0</v>
      </c>
      <c r="Q3013" s="86">
        <v>1.0</v>
      </c>
      <c r="R3013" s="84"/>
      <c r="S3013" s="34"/>
      <c r="T3013" s="34"/>
      <c r="U3013" s="34"/>
      <c r="V3013" s="34"/>
      <c r="W3013" s="34"/>
      <c r="X3013" s="34"/>
      <c r="Y3013" s="45"/>
      <c r="Z3013" s="45"/>
      <c r="AA3013" s="45"/>
      <c r="AB3013" s="45"/>
      <c r="AC3013" s="45"/>
      <c r="AD3013" s="45"/>
      <c r="AE3013" s="45"/>
      <c r="AF3013" s="45"/>
      <c r="AG3013" s="45"/>
      <c r="AH3013" s="45"/>
      <c r="AI3013" s="45"/>
      <c r="AJ3013" s="45"/>
      <c r="AK3013" s="45"/>
      <c r="AL3013" s="45"/>
    </row>
    <row r="3014" ht="15.75" customHeight="1">
      <c r="A3014" s="27">
        <f t="shared" si="23"/>
        <v>1892</v>
      </c>
      <c r="B3014" s="86" t="s">
        <v>10486</v>
      </c>
      <c r="C3014" s="29" t="s">
        <v>10487</v>
      </c>
      <c r="D3014" s="236" t="s">
        <v>10488</v>
      </c>
      <c r="E3014" s="86" t="s">
        <v>144</v>
      </c>
      <c r="F3014" s="86" t="s">
        <v>29</v>
      </c>
      <c r="G3014" s="86" t="s">
        <v>30</v>
      </c>
      <c r="H3014" s="83"/>
      <c r="I3014" s="86" t="s">
        <v>30</v>
      </c>
      <c r="J3014" s="86">
        <v>400.0</v>
      </c>
      <c r="K3014" s="83"/>
      <c r="L3014" s="86" t="s">
        <v>10489</v>
      </c>
      <c r="M3014" s="86" t="s">
        <v>10490</v>
      </c>
      <c r="N3014" s="86">
        <v>2019.0</v>
      </c>
      <c r="O3014" s="86">
        <v>14.0</v>
      </c>
      <c r="P3014" s="86">
        <v>3.0</v>
      </c>
      <c r="Q3014" s="86">
        <v>3.0</v>
      </c>
      <c r="R3014" s="237"/>
      <c r="S3014" s="34"/>
      <c r="T3014" s="34"/>
      <c r="U3014" s="34"/>
      <c r="V3014" s="34"/>
      <c r="W3014" s="34"/>
      <c r="X3014" s="34"/>
      <c r="Y3014" s="3"/>
      <c r="Z3014" s="3"/>
      <c r="AA3014" s="3"/>
      <c r="AB3014" s="3"/>
      <c r="AC3014" s="3"/>
      <c r="AD3014" s="3"/>
      <c r="AE3014" s="3"/>
      <c r="AF3014" s="3"/>
      <c r="AG3014" s="3"/>
      <c r="AH3014" s="3"/>
      <c r="AI3014" s="3"/>
      <c r="AJ3014" s="3"/>
      <c r="AK3014" s="3"/>
      <c r="AL3014" s="3"/>
    </row>
    <row r="3015" ht="15.75" customHeight="1">
      <c r="A3015" s="27">
        <f t="shared" si="23"/>
        <v>1893</v>
      </c>
      <c r="B3015" s="86" t="s">
        <v>10491</v>
      </c>
      <c r="C3015" s="86" t="s">
        <v>10492</v>
      </c>
      <c r="D3015" s="117" t="s">
        <v>10493</v>
      </c>
      <c r="E3015" s="86" t="s">
        <v>28</v>
      </c>
      <c r="F3015" s="86" t="s">
        <v>29</v>
      </c>
      <c r="G3015" s="86" t="s">
        <v>37</v>
      </c>
      <c r="H3015" s="83"/>
      <c r="I3015" s="86" t="s">
        <v>38</v>
      </c>
      <c r="J3015" s="86">
        <v>1918.0</v>
      </c>
      <c r="K3015" s="83"/>
      <c r="L3015" s="86" t="s">
        <v>10494</v>
      </c>
      <c r="M3015" s="86" t="s">
        <v>4613</v>
      </c>
      <c r="N3015" s="86">
        <v>1998.0</v>
      </c>
      <c r="O3015" s="86">
        <v>2.0</v>
      </c>
      <c r="P3015" s="86">
        <v>1.0</v>
      </c>
      <c r="Q3015" s="86">
        <v>1.0</v>
      </c>
      <c r="R3015" s="237"/>
      <c r="S3015" s="34"/>
      <c r="T3015" s="34"/>
      <c r="U3015" s="34"/>
      <c r="V3015" s="34"/>
      <c r="W3015" s="34"/>
      <c r="X3015" s="34"/>
      <c r="Y3015" s="3"/>
      <c r="Z3015" s="3"/>
      <c r="AA3015" s="3"/>
      <c r="AB3015" s="3"/>
      <c r="AC3015" s="3"/>
      <c r="AD3015" s="3"/>
      <c r="AE3015" s="3"/>
      <c r="AF3015" s="3"/>
      <c r="AG3015" s="3"/>
      <c r="AH3015" s="3"/>
      <c r="AI3015" s="3"/>
      <c r="AJ3015" s="3"/>
      <c r="AK3015" s="3"/>
      <c r="AL3015" s="3"/>
    </row>
    <row r="3016" ht="15.75" customHeight="1">
      <c r="A3016" s="27">
        <f t="shared" si="23"/>
        <v>1894</v>
      </c>
      <c r="B3016" s="86" t="s">
        <v>10495</v>
      </c>
      <c r="C3016" s="238" t="s">
        <v>10496</v>
      </c>
      <c r="D3016" s="117" t="s">
        <v>10497</v>
      </c>
      <c r="E3016" s="83"/>
      <c r="F3016" s="86" t="s">
        <v>29</v>
      </c>
      <c r="G3016" s="86" t="s">
        <v>38</v>
      </c>
      <c r="H3016" s="83"/>
      <c r="I3016" s="86" t="s">
        <v>10498</v>
      </c>
      <c r="J3016" s="86">
        <v>435.0</v>
      </c>
      <c r="K3016" s="83"/>
      <c r="L3016" s="86" t="s">
        <v>10499</v>
      </c>
      <c r="M3016" s="86" t="s">
        <v>10500</v>
      </c>
      <c r="N3016" s="86">
        <v>1986.0</v>
      </c>
      <c r="O3016" s="86">
        <v>9.0</v>
      </c>
      <c r="P3016" s="86">
        <v>1.0</v>
      </c>
      <c r="Q3016" s="86">
        <v>1.0</v>
      </c>
      <c r="R3016" s="84"/>
      <c r="S3016" s="34"/>
      <c r="T3016" s="34"/>
      <c r="U3016" s="34"/>
      <c r="V3016" s="34"/>
      <c r="W3016" s="34"/>
      <c r="X3016" s="34"/>
      <c r="Y3016" s="45"/>
      <c r="Z3016" s="45"/>
      <c r="AA3016" s="45"/>
      <c r="AB3016" s="45"/>
      <c r="AC3016" s="45"/>
      <c r="AD3016" s="45"/>
      <c r="AE3016" s="45"/>
      <c r="AF3016" s="45"/>
      <c r="AG3016" s="45"/>
      <c r="AH3016" s="45"/>
      <c r="AI3016" s="45"/>
      <c r="AJ3016" s="45"/>
      <c r="AK3016" s="45"/>
      <c r="AL3016" s="45"/>
    </row>
    <row r="3017" ht="15.75" customHeight="1">
      <c r="A3017" s="27">
        <f t="shared" si="23"/>
        <v>1895</v>
      </c>
      <c r="B3017" s="86" t="s">
        <v>31</v>
      </c>
      <c r="C3017" s="86" t="s">
        <v>10501</v>
      </c>
      <c r="D3017" s="117" t="s">
        <v>10502</v>
      </c>
      <c r="E3017" s="83"/>
      <c r="F3017" s="86" t="s">
        <v>29</v>
      </c>
      <c r="G3017" s="86" t="s">
        <v>38</v>
      </c>
      <c r="H3017" s="83"/>
      <c r="I3017" s="86" t="s">
        <v>38</v>
      </c>
      <c r="J3017" s="86">
        <v>512.0</v>
      </c>
      <c r="K3017" s="83"/>
      <c r="L3017" s="86" t="s">
        <v>10503</v>
      </c>
      <c r="M3017" s="86" t="s">
        <v>10504</v>
      </c>
      <c r="N3017" s="86">
        <v>1956.0</v>
      </c>
      <c r="O3017" s="86">
        <v>9.0</v>
      </c>
      <c r="P3017" s="86">
        <v>1.0</v>
      </c>
      <c r="Q3017" s="86">
        <v>1.0</v>
      </c>
      <c r="R3017" s="84"/>
      <c r="S3017" s="34"/>
      <c r="T3017" s="34"/>
      <c r="U3017" s="34"/>
      <c r="V3017" s="34"/>
      <c r="W3017" s="34"/>
      <c r="X3017" s="34"/>
      <c r="Y3017" s="45"/>
      <c r="Z3017" s="45"/>
      <c r="AA3017" s="45"/>
      <c r="AB3017" s="45"/>
      <c r="AC3017" s="45"/>
      <c r="AD3017" s="45"/>
      <c r="AE3017" s="45"/>
      <c r="AF3017" s="45"/>
      <c r="AG3017" s="45"/>
      <c r="AH3017" s="45"/>
      <c r="AI3017" s="45"/>
      <c r="AJ3017" s="45"/>
      <c r="AK3017" s="45"/>
      <c r="AL3017" s="45"/>
    </row>
    <row r="3018" ht="15.75" customHeight="1">
      <c r="A3018" s="27">
        <f t="shared" si="23"/>
        <v>1896</v>
      </c>
      <c r="B3018" s="86" t="s">
        <v>10505</v>
      </c>
      <c r="C3018" s="86" t="s">
        <v>10506</v>
      </c>
      <c r="D3018" s="117" t="s">
        <v>10507</v>
      </c>
      <c r="E3018" s="86" t="s">
        <v>144</v>
      </c>
      <c r="F3018" s="86" t="s">
        <v>29</v>
      </c>
      <c r="G3018" s="86" t="s">
        <v>30</v>
      </c>
      <c r="H3018" s="83"/>
      <c r="I3018" s="86" t="s">
        <v>30</v>
      </c>
      <c r="J3018" s="86">
        <v>334.0</v>
      </c>
      <c r="K3018" s="83"/>
      <c r="L3018" s="86" t="s">
        <v>10508</v>
      </c>
      <c r="M3018" s="86" t="s">
        <v>161</v>
      </c>
      <c r="N3018" s="86">
        <v>2022.0</v>
      </c>
      <c r="O3018" s="86">
        <v>12.0</v>
      </c>
      <c r="P3018" s="86">
        <v>1.0</v>
      </c>
      <c r="Q3018" s="86">
        <v>1.0</v>
      </c>
      <c r="R3018" s="84"/>
      <c r="S3018" s="116"/>
      <c r="T3018" s="116"/>
      <c r="U3018" s="116"/>
      <c r="V3018" s="116"/>
      <c r="W3018" s="116"/>
      <c r="X3018" s="116"/>
      <c r="Y3018" s="45"/>
      <c r="Z3018" s="45"/>
      <c r="AA3018" s="45"/>
      <c r="AB3018" s="45"/>
      <c r="AC3018" s="45"/>
      <c r="AD3018" s="45"/>
      <c r="AE3018" s="45"/>
      <c r="AF3018" s="45"/>
      <c r="AG3018" s="45"/>
      <c r="AH3018" s="45"/>
      <c r="AI3018" s="45"/>
      <c r="AJ3018" s="45"/>
      <c r="AK3018" s="45"/>
      <c r="AL3018" s="45"/>
    </row>
    <row r="3019" ht="15.75" customHeight="1">
      <c r="A3019" s="27">
        <f t="shared" si="23"/>
        <v>1897</v>
      </c>
      <c r="B3019" s="86" t="s">
        <v>10509</v>
      </c>
      <c r="C3019" s="86" t="s">
        <v>10506</v>
      </c>
      <c r="D3019" s="117" t="s">
        <v>10510</v>
      </c>
      <c r="E3019" s="86" t="s">
        <v>144</v>
      </c>
      <c r="F3019" s="86" t="s">
        <v>29</v>
      </c>
      <c r="G3019" s="86" t="s">
        <v>30</v>
      </c>
      <c r="H3019" s="83"/>
      <c r="I3019" s="86" t="s">
        <v>30</v>
      </c>
      <c r="J3019" s="86">
        <v>643.0</v>
      </c>
      <c r="K3019" s="83"/>
      <c r="L3019" s="86" t="s">
        <v>10508</v>
      </c>
      <c r="M3019" s="86" t="s">
        <v>161</v>
      </c>
      <c r="N3019" s="86">
        <v>2022.0</v>
      </c>
      <c r="O3019" s="86">
        <v>12.0</v>
      </c>
      <c r="P3019" s="86">
        <v>1.0</v>
      </c>
      <c r="Q3019" s="86">
        <v>1.0</v>
      </c>
      <c r="R3019" s="84"/>
      <c r="S3019" s="34"/>
      <c r="T3019" s="34"/>
      <c r="U3019" s="34"/>
      <c r="V3019" s="34"/>
      <c r="W3019" s="34"/>
      <c r="X3019" s="34"/>
      <c r="Y3019" s="3"/>
      <c r="Z3019" s="3"/>
      <c r="AA3019" s="3"/>
      <c r="AB3019" s="3"/>
      <c r="AC3019" s="3"/>
      <c r="AD3019" s="3"/>
      <c r="AE3019" s="3"/>
      <c r="AF3019" s="3"/>
      <c r="AG3019" s="3"/>
      <c r="AH3019" s="3"/>
      <c r="AI3019" s="3"/>
      <c r="AJ3019" s="3"/>
      <c r="AK3019" s="3"/>
      <c r="AL3019" s="3"/>
    </row>
    <row r="3020" ht="15.75" customHeight="1">
      <c r="A3020" s="27">
        <f t="shared" si="23"/>
        <v>1898</v>
      </c>
      <c r="B3020" s="86" t="s">
        <v>10511</v>
      </c>
      <c r="C3020" s="86" t="s">
        <v>10512</v>
      </c>
      <c r="D3020" s="117" t="s">
        <v>10513</v>
      </c>
      <c r="E3020" s="83"/>
      <c r="F3020" s="86" t="s">
        <v>29</v>
      </c>
      <c r="G3020" s="86" t="s">
        <v>30</v>
      </c>
      <c r="H3020" s="83"/>
      <c r="I3020" s="86" t="s">
        <v>30</v>
      </c>
      <c r="J3020" s="86">
        <v>414.0</v>
      </c>
      <c r="K3020" s="83"/>
      <c r="L3020" s="86" t="s">
        <v>10514</v>
      </c>
      <c r="M3020" s="86" t="s">
        <v>161</v>
      </c>
      <c r="N3020" s="86">
        <v>2021.0</v>
      </c>
      <c r="O3020" s="86">
        <v>13.0</v>
      </c>
      <c r="P3020" s="86">
        <v>1.0</v>
      </c>
      <c r="Q3020" s="86">
        <v>1.0</v>
      </c>
      <c r="R3020" s="84"/>
      <c r="S3020" s="34"/>
      <c r="T3020" s="34"/>
      <c r="U3020" s="34"/>
      <c r="V3020" s="34"/>
      <c r="W3020" s="34"/>
      <c r="X3020" s="34"/>
      <c r="Y3020" s="45"/>
      <c r="Z3020" s="45"/>
      <c r="AA3020" s="45"/>
      <c r="AB3020" s="45"/>
      <c r="AC3020" s="45"/>
      <c r="AD3020" s="45"/>
      <c r="AE3020" s="45"/>
      <c r="AF3020" s="45"/>
      <c r="AG3020" s="45"/>
      <c r="AH3020" s="45"/>
      <c r="AI3020" s="45"/>
      <c r="AJ3020" s="45"/>
      <c r="AK3020" s="45"/>
      <c r="AL3020" s="45"/>
    </row>
    <row r="3021" ht="15.75" customHeight="1">
      <c r="A3021" s="27">
        <f t="shared" si="23"/>
        <v>1899</v>
      </c>
      <c r="B3021" s="86" t="s">
        <v>10515</v>
      </c>
      <c r="C3021" s="86" t="s">
        <v>10516</v>
      </c>
      <c r="D3021" s="117" t="s">
        <v>10517</v>
      </c>
      <c r="E3021" s="86" t="s">
        <v>144</v>
      </c>
      <c r="F3021" s="86" t="s">
        <v>29</v>
      </c>
      <c r="G3021" s="86" t="s">
        <v>30</v>
      </c>
      <c r="H3021" s="83"/>
      <c r="I3021" s="86" t="s">
        <v>30</v>
      </c>
      <c r="J3021" s="86">
        <v>301.0</v>
      </c>
      <c r="K3021" s="83"/>
      <c r="L3021" s="86" t="s">
        <v>10518</v>
      </c>
      <c r="M3021" s="86" t="s">
        <v>151</v>
      </c>
      <c r="N3021" s="86">
        <v>2016.0</v>
      </c>
      <c r="O3021" s="86">
        <v>14.0</v>
      </c>
      <c r="P3021" s="86">
        <v>1.0</v>
      </c>
      <c r="Q3021" s="86">
        <v>1.0</v>
      </c>
      <c r="R3021" s="84"/>
      <c r="S3021" s="34"/>
      <c r="T3021" s="34"/>
      <c r="U3021" s="34"/>
      <c r="V3021" s="34"/>
      <c r="W3021" s="34"/>
      <c r="X3021" s="34"/>
      <c r="Y3021" s="3"/>
      <c r="Z3021" s="3"/>
      <c r="AA3021" s="3"/>
      <c r="AB3021" s="3"/>
      <c r="AC3021" s="3"/>
      <c r="AD3021" s="3"/>
      <c r="AE3021" s="3"/>
      <c r="AF3021" s="3"/>
      <c r="AG3021" s="3"/>
      <c r="AH3021" s="3"/>
      <c r="AI3021" s="3"/>
      <c r="AJ3021" s="3"/>
      <c r="AK3021" s="3"/>
      <c r="AL3021" s="3"/>
    </row>
    <row r="3022" ht="15.75" customHeight="1">
      <c r="A3022" s="27">
        <f t="shared" si="23"/>
        <v>1900</v>
      </c>
      <c r="B3022" s="86" t="s">
        <v>10519</v>
      </c>
      <c r="C3022" s="86" t="s">
        <v>10520</v>
      </c>
      <c r="D3022" s="117" t="s">
        <v>10521</v>
      </c>
      <c r="E3022" s="86"/>
      <c r="F3022" s="86" t="s">
        <v>29</v>
      </c>
      <c r="G3022" s="86" t="s">
        <v>30</v>
      </c>
      <c r="H3022" s="83"/>
      <c r="I3022" s="86" t="s">
        <v>30</v>
      </c>
      <c r="J3022" s="86">
        <v>519.0</v>
      </c>
      <c r="K3022" s="83"/>
      <c r="L3022" s="86" t="s">
        <v>10522</v>
      </c>
      <c r="M3022" s="86" t="s">
        <v>169</v>
      </c>
      <c r="N3022" s="86">
        <v>2020.0</v>
      </c>
      <c r="O3022" s="86" t="s">
        <v>205</v>
      </c>
      <c r="P3022" s="86">
        <v>1.0</v>
      </c>
      <c r="Q3022" s="86">
        <v>1.0</v>
      </c>
      <c r="R3022" s="84"/>
      <c r="S3022" s="34"/>
      <c r="T3022" s="34"/>
      <c r="U3022" s="34"/>
      <c r="V3022" s="34"/>
      <c r="W3022" s="34"/>
      <c r="X3022" s="34"/>
      <c r="Y3022" s="45"/>
      <c r="Z3022" s="45"/>
      <c r="AA3022" s="45"/>
      <c r="AB3022" s="45"/>
      <c r="AC3022" s="45"/>
      <c r="AD3022" s="45"/>
      <c r="AE3022" s="45"/>
      <c r="AF3022" s="45"/>
      <c r="AG3022" s="45"/>
      <c r="AH3022" s="45"/>
      <c r="AI3022" s="45"/>
      <c r="AJ3022" s="45"/>
      <c r="AK3022" s="45"/>
      <c r="AL3022" s="45"/>
    </row>
    <row r="3023" ht="15.75" customHeight="1">
      <c r="A3023" s="27">
        <f t="shared" si="23"/>
        <v>1901</v>
      </c>
      <c r="B3023" s="86" t="s">
        <v>10523</v>
      </c>
      <c r="C3023" s="86" t="s">
        <v>10524</v>
      </c>
      <c r="D3023" s="117" t="s">
        <v>10525</v>
      </c>
      <c r="E3023" s="83"/>
      <c r="F3023" s="86" t="s">
        <v>29</v>
      </c>
      <c r="G3023" s="86" t="s">
        <v>30</v>
      </c>
      <c r="H3023" s="83"/>
      <c r="I3023" s="86" t="s">
        <v>30</v>
      </c>
      <c r="J3023" s="86">
        <v>420.0</v>
      </c>
      <c r="K3023" s="83"/>
      <c r="L3023" s="86" t="s">
        <v>249</v>
      </c>
      <c r="M3023" s="86" t="s">
        <v>169</v>
      </c>
      <c r="N3023" s="86">
        <v>2021.0</v>
      </c>
      <c r="O3023" s="86" t="s">
        <v>1246</v>
      </c>
      <c r="P3023" s="86">
        <v>1.0</v>
      </c>
      <c r="Q3023" s="86">
        <v>1.0</v>
      </c>
      <c r="R3023" s="84"/>
      <c r="S3023" s="34"/>
      <c r="T3023" s="34"/>
      <c r="U3023" s="34"/>
      <c r="V3023" s="34"/>
      <c r="W3023" s="34"/>
      <c r="X3023" s="34"/>
      <c r="Y3023" s="201"/>
      <c r="Z3023" s="201"/>
      <c r="AA3023" s="201"/>
      <c r="AB3023" s="201"/>
      <c r="AC3023" s="201"/>
      <c r="AD3023" s="201"/>
      <c r="AE3023" s="201"/>
      <c r="AF3023" s="201"/>
      <c r="AG3023" s="201"/>
      <c r="AH3023" s="201"/>
      <c r="AI3023" s="201"/>
      <c r="AJ3023" s="201"/>
      <c r="AK3023" s="201"/>
      <c r="AL3023" s="201"/>
    </row>
    <row r="3024" ht="15.75" customHeight="1">
      <c r="A3024" s="27">
        <f t="shared" si="23"/>
        <v>1902</v>
      </c>
      <c r="B3024" s="86" t="s">
        <v>10526</v>
      </c>
      <c r="C3024" s="86" t="s">
        <v>10524</v>
      </c>
      <c r="D3024" s="117" t="s">
        <v>10527</v>
      </c>
      <c r="E3024" s="83"/>
      <c r="F3024" s="86" t="s">
        <v>29</v>
      </c>
      <c r="G3024" s="86" t="s">
        <v>30</v>
      </c>
      <c r="H3024" s="83"/>
      <c r="I3024" s="86" t="s">
        <v>30</v>
      </c>
      <c r="J3024" s="86">
        <v>319.0</v>
      </c>
      <c r="K3024" s="83"/>
      <c r="L3024" s="86" t="s">
        <v>249</v>
      </c>
      <c r="M3024" s="86" t="s">
        <v>169</v>
      </c>
      <c r="N3024" s="86">
        <v>2021.0</v>
      </c>
      <c r="O3024" s="86" t="s">
        <v>1246</v>
      </c>
      <c r="P3024" s="86">
        <v>1.0</v>
      </c>
      <c r="Q3024" s="86">
        <v>1.0</v>
      </c>
      <c r="R3024" s="84"/>
      <c r="S3024" s="34"/>
      <c r="T3024" s="34"/>
      <c r="U3024" s="34"/>
      <c r="V3024" s="34"/>
      <c r="W3024" s="34"/>
      <c r="X3024" s="34"/>
      <c r="Y3024" s="45"/>
      <c r="Z3024" s="45"/>
      <c r="AA3024" s="45"/>
      <c r="AB3024" s="45"/>
      <c r="AC3024" s="45"/>
      <c r="AD3024" s="45"/>
      <c r="AE3024" s="45"/>
      <c r="AF3024" s="45"/>
      <c r="AG3024" s="45"/>
      <c r="AH3024" s="45"/>
      <c r="AI3024" s="45"/>
      <c r="AJ3024" s="45"/>
      <c r="AK3024" s="45"/>
      <c r="AL3024" s="45"/>
    </row>
    <row r="3025" ht="15.75" customHeight="1">
      <c r="A3025" s="27">
        <f t="shared" si="23"/>
        <v>1903</v>
      </c>
      <c r="B3025" s="86" t="s">
        <v>10528</v>
      </c>
      <c r="C3025" s="86" t="s">
        <v>10524</v>
      </c>
      <c r="D3025" s="117" t="s">
        <v>10529</v>
      </c>
      <c r="E3025" s="83"/>
      <c r="F3025" s="86" t="s">
        <v>29</v>
      </c>
      <c r="G3025" s="86" t="s">
        <v>30</v>
      </c>
      <c r="H3025" s="83"/>
      <c r="I3025" s="86" t="s">
        <v>30</v>
      </c>
      <c r="J3025" s="86">
        <v>358.0</v>
      </c>
      <c r="K3025" s="83"/>
      <c r="L3025" s="86" t="s">
        <v>249</v>
      </c>
      <c r="M3025" s="86" t="s">
        <v>169</v>
      </c>
      <c r="N3025" s="86">
        <v>2014.0</v>
      </c>
      <c r="O3025" s="86" t="s">
        <v>1246</v>
      </c>
      <c r="P3025" s="86">
        <v>2.0</v>
      </c>
      <c r="Q3025" s="86">
        <v>2.0</v>
      </c>
      <c r="R3025" s="84"/>
      <c r="S3025" s="34"/>
      <c r="T3025" s="34"/>
      <c r="U3025" s="34"/>
      <c r="V3025" s="34"/>
      <c r="W3025" s="34"/>
      <c r="X3025" s="34"/>
      <c r="Y3025" s="45"/>
      <c r="Z3025" s="45"/>
      <c r="AA3025" s="45"/>
      <c r="AB3025" s="45"/>
      <c r="AC3025" s="45"/>
      <c r="AD3025" s="45"/>
      <c r="AE3025" s="45"/>
      <c r="AF3025" s="45"/>
      <c r="AG3025" s="45"/>
      <c r="AH3025" s="45"/>
      <c r="AI3025" s="45"/>
      <c r="AJ3025" s="45"/>
      <c r="AK3025" s="45"/>
      <c r="AL3025" s="45"/>
    </row>
    <row r="3026" ht="15.75" customHeight="1">
      <c r="A3026" s="27">
        <f t="shared" si="23"/>
        <v>1904</v>
      </c>
      <c r="B3026" s="86" t="s">
        <v>10530</v>
      </c>
      <c r="C3026" s="86" t="s">
        <v>8450</v>
      </c>
      <c r="D3026" s="117" t="s">
        <v>10531</v>
      </c>
      <c r="E3026" s="86" t="s">
        <v>144</v>
      </c>
      <c r="F3026" s="86" t="s">
        <v>29</v>
      </c>
      <c r="G3026" s="86" t="s">
        <v>30</v>
      </c>
      <c r="H3026" s="83"/>
      <c r="I3026" s="86" t="s">
        <v>30</v>
      </c>
      <c r="J3026" s="86">
        <v>204.0</v>
      </c>
      <c r="K3026" s="83"/>
      <c r="L3026" s="86" t="s">
        <v>8452</v>
      </c>
      <c r="M3026" s="86" t="s">
        <v>169</v>
      </c>
      <c r="N3026" s="86">
        <v>2021.0</v>
      </c>
      <c r="O3026" s="86">
        <v>12.0</v>
      </c>
      <c r="P3026" s="86">
        <v>1.0</v>
      </c>
      <c r="Q3026" s="86">
        <v>1.0</v>
      </c>
      <c r="R3026" s="84"/>
      <c r="S3026" s="34"/>
      <c r="T3026" s="34"/>
      <c r="U3026" s="34"/>
      <c r="V3026" s="34"/>
      <c r="W3026" s="34"/>
      <c r="X3026" s="34"/>
      <c r="Y3026" s="45"/>
      <c r="Z3026" s="45"/>
      <c r="AA3026" s="45"/>
      <c r="AB3026" s="45"/>
      <c r="AC3026" s="45"/>
      <c r="AD3026" s="45"/>
      <c r="AE3026" s="45"/>
      <c r="AF3026" s="45"/>
      <c r="AG3026" s="45"/>
      <c r="AH3026" s="45"/>
      <c r="AI3026" s="45"/>
      <c r="AJ3026" s="45"/>
      <c r="AK3026" s="45"/>
      <c r="AL3026" s="45"/>
    </row>
    <row r="3027" ht="15.75" customHeight="1">
      <c r="A3027" s="27">
        <f t="shared" si="23"/>
        <v>1905</v>
      </c>
      <c r="B3027" s="86" t="s">
        <v>10532</v>
      </c>
      <c r="C3027" s="86" t="s">
        <v>10533</v>
      </c>
      <c r="D3027" s="117" t="s">
        <v>10534</v>
      </c>
      <c r="E3027" s="86" t="s">
        <v>28</v>
      </c>
      <c r="F3027" s="86" t="s">
        <v>29</v>
      </c>
      <c r="G3027" s="86" t="s">
        <v>30</v>
      </c>
      <c r="H3027" s="83"/>
      <c r="I3027" s="86" t="s">
        <v>30</v>
      </c>
      <c r="J3027" s="86">
        <v>116.0</v>
      </c>
      <c r="K3027" s="83"/>
      <c r="L3027" s="86" t="s">
        <v>10535</v>
      </c>
      <c r="M3027" s="86" t="s">
        <v>151</v>
      </c>
      <c r="N3027" s="86">
        <v>2019.0</v>
      </c>
      <c r="O3027" s="62" t="s">
        <v>1381</v>
      </c>
      <c r="P3027" s="86">
        <v>2.0</v>
      </c>
      <c r="Q3027" s="86">
        <v>2.0</v>
      </c>
      <c r="R3027" s="84"/>
      <c r="S3027" s="34"/>
      <c r="T3027" s="34"/>
      <c r="U3027" s="34"/>
      <c r="V3027" s="34"/>
      <c r="W3027" s="34"/>
      <c r="X3027" s="34"/>
      <c r="Y3027" s="3"/>
      <c r="Z3027" s="3"/>
      <c r="AA3027" s="3"/>
      <c r="AB3027" s="3"/>
      <c r="AC3027" s="3"/>
      <c r="AD3027" s="3"/>
      <c r="AE3027" s="3"/>
      <c r="AF3027" s="3"/>
      <c r="AG3027" s="3"/>
      <c r="AH3027" s="3"/>
      <c r="AI3027" s="3"/>
      <c r="AJ3027" s="3"/>
      <c r="AK3027" s="3"/>
      <c r="AL3027" s="3"/>
    </row>
    <row r="3028" ht="15.75" customHeight="1">
      <c r="A3028" s="27">
        <f t="shared" si="23"/>
        <v>1906</v>
      </c>
      <c r="B3028" s="86" t="s">
        <v>10536</v>
      </c>
      <c r="C3028" s="86" t="s">
        <v>10537</v>
      </c>
      <c r="D3028" s="117" t="s">
        <v>10538</v>
      </c>
      <c r="E3028" s="86"/>
      <c r="F3028" s="86" t="s">
        <v>29</v>
      </c>
      <c r="G3028" s="86" t="s">
        <v>30</v>
      </c>
      <c r="H3028" s="83"/>
      <c r="I3028" s="86" t="s">
        <v>30</v>
      </c>
      <c r="J3028" s="86">
        <v>133.0</v>
      </c>
      <c r="K3028" s="83"/>
      <c r="L3028" s="86" t="s">
        <v>10539</v>
      </c>
      <c r="M3028" s="86" t="s">
        <v>151</v>
      </c>
      <c r="N3028" s="86">
        <v>2020.0</v>
      </c>
      <c r="O3028" s="62" t="s">
        <v>1381</v>
      </c>
      <c r="P3028" s="86">
        <v>2.0</v>
      </c>
      <c r="Q3028" s="86">
        <v>2.0</v>
      </c>
      <c r="R3028" s="84"/>
      <c r="S3028" s="34"/>
      <c r="T3028" s="34"/>
      <c r="U3028" s="34"/>
      <c r="V3028" s="34"/>
      <c r="W3028" s="34"/>
      <c r="X3028" s="34"/>
      <c r="Y3028" s="3"/>
      <c r="Z3028" s="3"/>
      <c r="AA3028" s="3"/>
      <c r="AB3028" s="3"/>
      <c r="AC3028" s="3"/>
      <c r="AD3028" s="3"/>
      <c r="AE3028" s="3"/>
      <c r="AF3028" s="3"/>
      <c r="AG3028" s="3"/>
      <c r="AH3028" s="3"/>
      <c r="AI3028" s="3"/>
      <c r="AJ3028" s="3"/>
      <c r="AK3028" s="3"/>
      <c r="AL3028" s="3"/>
    </row>
    <row r="3029" ht="15.75" customHeight="1">
      <c r="A3029" s="27">
        <f t="shared" si="23"/>
        <v>1907</v>
      </c>
      <c r="B3029" s="86" t="s">
        <v>10540</v>
      </c>
      <c r="C3029" s="86" t="s">
        <v>10541</v>
      </c>
      <c r="D3029" s="117" t="s">
        <v>10542</v>
      </c>
      <c r="E3029" s="86"/>
      <c r="F3029" s="86" t="s">
        <v>29</v>
      </c>
      <c r="G3029" s="86" t="s">
        <v>30</v>
      </c>
      <c r="H3029" s="83"/>
      <c r="I3029" s="86" t="s">
        <v>30</v>
      </c>
      <c r="J3029" s="86">
        <v>95.0</v>
      </c>
      <c r="K3029" s="83"/>
      <c r="L3029" s="86" t="s">
        <v>10539</v>
      </c>
      <c r="M3029" s="86" t="s">
        <v>151</v>
      </c>
      <c r="N3029" s="86">
        <v>2020.0</v>
      </c>
      <c r="O3029" s="62" t="s">
        <v>1381</v>
      </c>
      <c r="P3029" s="86">
        <v>2.0</v>
      </c>
      <c r="Q3029" s="86">
        <v>2.0</v>
      </c>
      <c r="R3029" s="84"/>
      <c r="S3029" s="34"/>
      <c r="T3029" s="34"/>
      <c r="U3029" s="34"/>
      <c r="V3029" s="34"/>
      <c r="W3029" s="34"/>
      <c r="X3029" s="34"/>
      <c r="Y3029" s="3"/>
      <c r="Z3029" s="3"/>
      <c r="AA3029" s="3"/>
      <c r="AB3029" s="3"/>
      <c r="AC3029" s="3"/>
      <c r="AD3029" s="3"/>
      <c r="AE3029" s="3"/>
      <c r="AF3029" s="3"/>
      <c r="AG3029" s="3"/>
      <c r="AH3029" s="3"/>
      <c r="AI3029" s="3"/>
      <c r="AJ3029" s="3"/>
      <c r="AK3029" s="3"/>
      <c r="AL3029" s="3"/>
    </row>
    <row r="3030" ht="15.75" customHeight="1">
      <c r="A3030" s="27">
        <f t="shared" si="23"/>
        <v>1908</v>
      </c>
      <c r="B3030" s="86" t="s">
        <v>4250</v>
      </c>
      <c r="C3030" s="86" t="s">
        <v>10543</v>
      </c>
      <c r="D3030" s="117" t="s">
        <v>10544</v>
      </c>
      <c r="E3030" s="83"/>
      <c r="F3030" s="86" t="s">
        <v>29</v>
      </c>
      <c r="G3030" s="86" t="s">
        <v>30</v>
      </c>
      <c r="H3030" s="83"/>
      <c r="I3030" s="86" t="s">
        <v>30</v>
      </c>
      <c r="J3030" s="86">
        <v>258.0</v>
      </c>
      <c r="K3030" s="83"/>
      <c r="L3030" s="86" t="s">
        <v>4253</v>
      </c>
      <c r="M3030" s="86" t="s">
        <v>151</v>
      </c>
      <c r="N3030" s="86">
        <v>2017.0</v>
      </c>
      <c r="O3030" s="86" t="s">
        <v>10545</v>
      </c>
      <c r="P3030" s="86">
        <v>1.0</v>
      </c>
      <c r="Q3030" s="86">
        <v>1.0</v>
      </c>
      <c r="R3030" s="84"/>
      <c r="S3030" s="34"/>
      <c r="T3030" s="34"/>
      <c r="U3030" s="34"/>
      <c r="V3030" s="34"/>
      <c r="W3030" s="34"/>
      <c r="X3030" s="34"/>
      <c r="Y3030" s="45"/>
      <c r="Z3030" s="45"/>
      <c r="AA3030" s="45"/>
      <c r="AB3030" s="45"/>
      <c r="AC3030" s="45"/>
      <c r="AD3030" s="45"/>
      <c r="AE3030" s="45"/>
      <c r="AF3030" s="45"/>
      <c r="AG3030" s="45"/>
      <c r="AH3030" s="45"/>
      <c r="AI3030" s="45"/>
      <c r="AJ3030" s="45"/>
      <c r="AK3030" s="45"/>
      <c r="AL3030" s="45"/>
    </row>
    <row r="3031" ht="15.75" customHeight="1">
      <c r="A3031" s="27">
        <f t="shared" si="23"/>
        <v>1909</v>
      </c>
      <c r="B3031" s="86" t="s">
        <v>10546</v>
      </c>
      <c r="C3031" s="86" t="s">
        <v>10547</v>
      </c>
      <c r="D3031" s="117" t="s">
        <v>10548</v>
      </c>
      <c r="E3031" s="83"/>
      <c r="F3031" s="86" t="s">
        <v>29</v>
      </c>
      <c r="G3031" s="86" t="s">
        <v>30</v>
      </c>
      <c r="H3031" s="83"/>
      <c r="I3031" s="86" t="s">
        <v>30</v>
      </c>
      <c r="J3031" s="86">
        <v>155.0</v>
      </c>
      <c r="K3031" s="83"/>
      <c r="L3031" s="86" t="s">
        <v>10539</v>
      </c>
      <c r="M3031" s="86" t="s">
        <v>151</v>
      </c>
      <c r="N3031" s="86">
        <v>2020.0</v>
      </c>
      <c r="O3031" s="62" t="s">
        <v>205</v>
      </c>
      <c r="P3031" s="86">
        <v>2.0</v>
      </c>
      <c r="Q3031" s="86">
        <v>2.0</v>
      </c>
      <c r="R3031" s="84"/>
      <c r="S3031" s="34"/>
      <c r="T3031" s="34"/>
      <c r="U3031" s="34"/>
      <c r="V3031" s="34"/>
      <c r="W3031" s="34"/>
      <c r="X3031" s="34"/>
      <c r="Y3031" s="45"/>
      <c r="Z3031" s="45"/>
      <c r="AA3031" s="45"/>
      <c r="AB3031" s="45"/>
      <c r="AC3031" s="45"/>
      <c r="AD3031" s="45"/>
      <c r="AE3031" s="45"/>
      <c r="AF3031" s="45"/>
      <c r="AG3031" s="45"/>
      <c r="AH3031" s="45"/>
      <c r="AI3031" s="45"/>
      <c r="AJ3031" s="45"/>
      <c r="AK3031" s="45"/>
      <c r="AL3031" s="45"/>
    </row>
    <row r="3032" ht="15.75" customHeight="1">
      <c r="A3032" s="27">
        <f t="shared" si="23"/>
        <v>1910</v>
      </c>
      <c r="B3032" s="86" t="s">
        <v>3444</v>
      </c>
      <c r="C3032" s="86" t="s">
        <v>10549</v>
      </c>
      <c r="D3032" s="117" t="s">
        <v>10550</v>
      </c>
      <c r="E3032" s="86" t="s">
        <v>0</v>
      </c>
      <c r="F3032" s="86" t="s">
        <v>29</v>
      </c>
      <c r="G3032" s="86" t="s">
        <v>30</v>
      </c>
      <c r="H3032" s="83"/>
      <c r="I3032" s="86" t="s">
        <v>30</v>
      </c>
      <c r="J3032" s="86">
        <v>690.0</v>
      </c>
      <c r="K3032" s="83"/>
      <c r="L3032" s="86" t="s">
        <v>10551</v>
      </c>
      <c r="M3032" s="86" t="s">
        <v>151</v>
      </c>
      <c r="N3032" s="86">
        <v>2016.0</v>
      </c>
      <c r="O3032" s="62" t="s">
        <v>1381</v>
      </c>
      <c r="P3032" s="86">
        <v>1.0</v>
      </c>
      <c r="Q3032" s="86">
        <v>1.0</v>
      </c>
      <c r="R3032" s="84"/>
      <c r="S3032" s="34"/>
      <c r="T3032" s="34"/>
      <c r="U3032" s="34"/>
      <c r="V3032" s="34"/>
      <c r="W3032" s="34"/>
      <c r="X3032" s="34"/>
      <c r="Y3032" s="45"/>
      <c r="Z3032" s="45"/>
      <c r="AA3032" s="45"/>
      <c r="AB3032" s="45"/>
      <c r="AC3032" s="45"/>
      <c r="AD3032" s="45"/>
      <c r="AE3032" s="45"/>
      <c r="AF3032" s="45"/>
      <c r="AG3032" s="45"/>
      <c r="AH3032" s="45"/>
      <c r="AI3032" s="45"/>
      <c r="AJ3032" s="45"/>
      <c r="AK3032" s="45"/>
      <c r="AL3032" s="45"/>
    </row>
    <row r="3033" ht="15.75" customHeight="1">
      <c r="A3033" s="27">
        <f t="shared" si="23"/>
        <v>1911</v>
      </c>
      <c r="B3033" s="86" t="s">
        <v>31</v>
      </c>
      <c r="C3033" s="86" t="s">
        <v>10552</v>
      </c>
      <c r="D3033" s="117" t="s">
        <v>10553</v>
      </c>
      <c r="E3033" s="83"/>
      <c r="F3033" s="86" t="s">
        <v>29</v>
      </c>
      <c r="G3033" s="86" t="s">
        <v>37</v>
      </c>
      <c r="H3033" s="83"/>
      <c r="I3033" s="86" t="s">
        <v>38</v>
      </c>
      <c r="J3033" s="86">
        <v>224.0</v>
      </c>
      <c r="K3033" s="83"/>
      <c r="L3033" s="86" t="s">
        <v>10554</v>
      </c>
      <c r="M3033" s="86" t="s">
        <v>10555</v>
      </c>
      <c r="N3033" s="86">
        <v>1996.0</v>
      </c>
      <c r="O3033" s="86">
        <v>2.0</v>
      </c>
      <c r="P3033" s="86">
        <v>1.0</v>
      </c>
      <c r="Q3033" s="86">
        <v>1.0</v>
      </c>
      <c r="R3033" s="84"/>
      <c r="S3033" s="34"/>
      <c r="T3033" s="34"/>
      <c r="U3033" s="34"/>
      <c r="V3033" s="34"/>
      <c r="W3033" s="34"/>
      <c r="X3033" s="34"/>
      <c r="Y3033" s="45"/>
      <c r="Z3033" s="45"/>
      <c r="AA3033" s="45"/>
      <c r="AB3033" s="45"/>
      <c r="AC3033" s="45"/>
      <c r="AD3033" s="45"/>
      <c r="AE3033" s="45"/>
      <c r="AF3033" s="45"/>
      <c r="AG3033" s="45"/>
      <c r="AH3033" s="45"/>
      <c r="AI3033" s="45"/>
      <c r="AJ3033" s="45"/>
      <c r="AK3033" s="45"/>
      <c r="AL3033" s="45"/>
    </row>
    <row r="3034" ht="15.75" customHeight="1">
      <c r="A3034" s="27">
        <f t="shared" si="23"/>
        <v>1912</v>
      </c>
      <c r="B3034" s="80" t="s">
        <v>10556</v>
      </c>
      <c r="C3034" s="80" t="s">
        <v>10557</v>
      </c>
      <c r="D3034" s="126" t="s">
        <v>10558</v>
      </c>
      <c r="E3034" s="79" t="s">
        <v>28</v>
      </c>
      <c r="F3034" s="79" t="s">
        <v>29</v>
      </c>
      <c r="G3034" s="79" t="s">
        <v>37</v>
      </c>
      <c r="H3034" s="79"/>
      <c r="I3034" s="79" t="s">
        <v>38</v>
      </c>
      <c r="J3034" s="80">
        <v>538.0</v>
      </c>
      <c r="K3034" s="79"/>
      <c r="L3034" s="80" t="s">
        <v>10559</v>
      </c>
      <c r="M3034" s="79" t="s">
        <v>156</v>
      </c>
      <c r="N3034" s="80">
        <v>1981.0</v>
      </c>
      <c r="O3034" s="80">
        <v>8.0</v>
      </c>
      <c r="P3034" s="79">
        <v>1.0</v>
      </c>
      <c r="Q3034" s="86">
        <v>1.0</v>
      </c>
      <c r="R3034" s="84"/>
      <c r="S3034" s="34"/>
      <c r="T3034" s="34"/>
      <c r="U3034" s="34"/>
      <c r="V3034" s="34"/>
      <c r="W3034" s="34"/>
      <c r="X3034" s="34"/>
      <c r="Y3034" s="3"/>
      <c r="Z3034" s="3"/>
      <c r="AA3034" s="3"/>
      <c r="AB3034" s="3"/>
      <c r="AC3034" s="3"/>
      <c r="AD3034" s="3"/>
      <c r="AE3034" s="3"/>
      <c r="AF3034" s="3"/>
      <c r="AG3034" s="3"/>
      <c r="AH3034" s="3"/>
      <c r="AI3034" s="3"/>
      <c r="AJ3034" s="3"/>
      <c r="AK3034" s="3"/>
      <c r="AL3034" s="3"/>
    </row>
    <row r="3035" ht="15.75" customHeight="1">
      <c r="A3035" s="27">
        <f t="shared" si="23"/>
        <v>1913</v>
      </c>
      <c r="B3035" s="86" t="s">
        <v>10560</v>
      </c>
      <c r="C3035" s="86" t="s">
        <v>10561</v>
      </c>
      <c r="D3035" s="117" t="s">
        <v>10562</v>
      </c>
      <c r="E3035" s="83"/>
      <c r="F3035" s="86" t="s">
        <v>29</v>
      </c>
      <c r="G3035" s="83"/>
      <c r="H3035" s="83"/>
      <c r="I3035" s="86" t="s">
        <v>2184</v>
      </c>
      <c r="J3035" s="86">
        <v>103.0</v>
      </c>
      <c r="K3035" s="83"/>
      <c r="L3035" s="86" t="s">
        <v>10563</v>
      </c>
      <c r="M3035" s="86" t="s">
        <v>10564</v>
      </c>
      <c r="N3035" s="86">
        <v>2012.0</v>
      </c>
      <c r="O3035" s="86">
        <v>2.0</v>
      </c>
      <c r="P3035" s="86">
        <v>2.0</v>
      </c>
      <c r="Q3035" s="86">
        <v>2.0</v>
      </c>
      <c r="R3035" s="84"/>
      <c r="S3035" s="34"/>
      <c r="T3035" s="34"/>
      <c r="U3035" s="34"/>
      <c r="V3035" s="34"/>
      <c r="W3035" s="34"/>
      <c r="X3035" s="34"/>
      <c r="Y3035" s="3"/>
      <c r="Z3035" s="3"/>
      <c r="AA3035" s="3"/>
      <c r="AB3035" s="3"/>
      <c r="AC3035" s="3"/>
      <c r="AD3035" s="3"/>
      <c r="AE3035" s="3"/>
      <c r="AF3035" s="3"/>
      <c r="AG3035" s="3"/>
      <c r="AH3035" s="3"/>
      <c r="AI3035" s="3"/>
      <c r="AJ3035" s="3"/>
      <c r="AK3035" s="3"/>
      <c r="AL3035" s="3"/>
    </row>
    <row r="3036" ht="15.75" customHeight="1">
      <c r="A3036" s="27">
        <f t="shared" si="23"/>
        <v>1914</v>
      </c>
      <c r="B3036" s="86" t="s">
        <v>10565</v>
      </c>
      <c r="C3036" s="86" t="s">
        <v>10566</v>
      </c>
      <c r="D3036" s="117" t="s">
        <v>10567</v>
      </c>
      <c r="E3036" s="83"/>
      <c r="F3036" s="86" t="s">
        <v>29</v>
      </c>
      <c r="G3036" s="83"/>
      <c r="H3036" s="83"/>
      <c r="I3036" s="86" t="s">
        <v>2184</v>
      </c>
      <c r="J3036" s="86">
        <v>135.0</v>
      </c>
      <c r="K3036" s="83"/>
      <c r="L3036" s="86" t="s">
        <v>10563</v>
      </c>
      <c r="M3036" s="86" t="s">
        <v>10564</v>
      </c>
      <c r="N3036" s="86">
        <v>2013.0</v>
      </c>
      <c r="O3036" s="86">
        <v>2.0</v>
      </c>
      <c r="P3036" s="86">
        <v>2.0</v>
      </c>
      <c r="Q3036" s="86">
        <v>2.0</v>
      </c>
      <c r="R3036" s="84"/>
      <c r="S3036" s="34"/>
      <c r="T3036" s="34"/>
      <c r="U3036" s="34"/>
      <c r="V3036" s="34"/>
      <c r="W3036" s="34"/>
      <c r="X3036" s="34"/>
      <c r="Y3036" s="45"/>
      <c r="Z3036" s="45"/>
      <c r="AA3036" s="45"/>
      <c r="AB3036" s="45"/>
      <c r="AC3036" s="45"/>
      <c r="AD3036" s="45"/>
      <c r="AE3036" s="45"/>
      <c r="AF3036" s="45"/>
      <c r="AG3036" s="45"/>
      <c r="AH3036" s="45"/>
      <c r="AI3036" s="45"/>
      <c r="AJ3036" s="45"/>
      <c r="AK3036" s="45"/>
      <c r="AL3036" s="45"/>
    </row>
    <row r="3037" ht="15.75" customHeight="1">
      <c r="A3037" s="27">
        <f t="shared" si="23"/>
        <v>1915</v>
      </c>
      <c r="B3037" s="86" t="s">
        <v>10568</v>
      </c>
      <c r="C3037" s="86" t="s">
        <v>10569</v>
      </c>
      <c r="D3037" s="117" t="s">
        <v>10570</v>
      </c>
      <c r="E3037" s="83"/>
      <c r="F3037" s="86" t="s">
        <v>29</v>
      </c>
      <c r="G3037" s="86" t="s">
        <v>30</v>
      </c>
      <c r="H3037" s="83"/>
      <c r="I3037" s="86" t="s">
        <v>30</v>
      </c>
      <c r="J3037" s="86">
        <v>144.0</v>
      </c>
      <c r="K3037" s="83"/>
      <c r="L3037" s="86" t="s">
        <v>10571</v>
      </c>
      <c r="M3037" s="86" t="s">
        <v>151</v>
      </c>
      <c r="N3037" s="86">
        <v>1988.0</v>
      </c>
      <c r="O3037" s="86">
        <v>13.0</v>
      </c>
      <c r="P3037" s="86">
        <v>1.0</v>
      </c>
      <c r="Q3037" s="86">
        <v>1.0</v>
      </c>
      <c r="R3037" s="84"/>
      <c r="S3037" s="34"/>
      <c r="T3037" s="34"/>
      <c r="U3037" s="34"/>
      <c r="V3037" s="34"/>
      <c r="W3037" s="34"/>
      <c r="X3037" s="34"/>
      <c r="Y3037" s="45"/>
      <c r="Z3037" s="45"/>
      <c r="AA3037" s="45"/>
      <c r="AB3037" s="45"/>
      <c r="AC3037" s="45"/>
      <c r="AD3037" s="45"/>
      <c r="AE3037" s="45"/>
      <c r="AF3037" s="45"/>
      <c r="AG3037" s="45"/>
      <c r="AH3037" s="45"/>
      <c r="AI3037" s="45"/>
      <c r="AJ3037" s="45"/>
      <c r="AK3037" s="45"/>
      <c r="AL3037" s="45"/>
    </row>
    <row r="3038" ht="15.75" customHeight="1">
      <c r="A3038" s="27">
        <f t="shared" si="23"/>
        <v>1916</v>
      </c>
      <c r="B3038" s="86" t="s">
        <v>10572</v>
      </c>
      <c r="C3038" s="86" t="s">
        <v>10573</v>
      </c>
      <c r="D3038" s="117" t="s">
        <v>10574</v>
      </c>
      <c r="E3038" s="83"/>
      <c r="F3038" s="86" t="s">
        <v>29</v>
      </c>
      <c r="G3038" s="86" t="s">
        <v>37</v>
      </c>
      <c r="H3038" s="83"/>
      <c r="I3038" s="86" t="s">
        <v>38</v>
      </c>
      <c r="J3038" s="86">
        <v>196.0</v>
      </c>
      <c r="K3038" s="83"/>
      <c r="L3038" s="86" t="s">
        <v>2975</v>
      </c>
      <c r="M3038" s="86" t="s">
        <v>10575</v>
      </c>
      <c r="N3038" s="86">
        <v>1986.0</v>
      </c>
      <c r="O3038" s="86">
        <v>9.0</v>
      </c>
      <c r="P3038" s="86">
        <v>1.0</v>
      </c>
      <c r="Q3038" s="86">
        <v>1.0</v>
      </c>
      <c r="R3038" s="84"/>
      <c r="S3038" s="34"/>
      <c r="T3038" s="34"/>
      <c r="U3038" s="34"/>
      <c r="V3038" s="34"/>
      <c r="W3038" s="34"/>
      <c r="X3038" s="34"/>
      <c r="Y3038" s="45"/>
      <c r="Z3038" s="45"/>
      <c r="AA3038" s="45"/>
      <c r="AB3038" s="45"/>
      <c r="AC3038" s="45"/>
      <c r="AD3038" s="45"/>
      <c r="AE3038" s="45"/>
      <c r="AF3038" s="45"/>
      <c r="AG3038" s="45"/>
      <c r="AH3038" s="45"/>
      <c r="AI3038" s="45"/>
      <c r="AJ3038" s="45"/>
      <c r="AK3038" s="45"/>
      <c r="AL3038" s="45"/>
    </row>
    <row r="3039" ht="15.75" customHeight="1">
      <c r="A3039" s="27">
        <f t="shared" si="23"/>
        <v>1917</v>
      </c>
      <c r="B3039" s="86" t="s">
        <v>10576</v>
      </c>
      <c r="C3039" s="239" t="s">
        <v>10577</v>
      </c>
      <c r="D3039" s="117" t="s">
        <v>10578</v>
      </c>
      <c r="E3039" s="86" t="s">
        <v>28</v>
      </c>
      <c r="F3039" s="86" t="s">
        <v>29</v>
      </c>
      <c r="G3039" s="86" t="s">
        <v>37</v>
      </c>
      <c r="H3039" s="83"/>
      <c r="I3039" s="86" t="s">
        <v>38</v>
      </c>
      <c r="J3039" s="83"/>
      <c r="K3039" s="83"/>
      <c r="L3039" s="86" t="s">
        <v>10579</v>
      </c>
      <c r="M3039" s="86" t="s">
        <v>10580</v>
      </c>
      <c r="N3039" s="86">
        <v>2014.0</v>
      </c>
      <c r="O3039" s="86" t="s">
        <v>10545</v>
      </c>
      <c r="P3039" s="86">
        <v>1.0</v>
      </c>
      <c r="Q3039" s="86">
        <v>1.0</v>
      </c>
      <c r="R3039" s="84"/>
      <c r="S3039" s="34"/>
      <c r="T3039" s="34"/>
      <c r="U3039" s="34"/>
      <c r="V3039" s="34"/>
      <c r="W3039" s="34"/>
      <c r="X3039" s="34"/>
      <c r="Y3039" s="45"/>
      <c r="Z3039" s="45"/>
      <c r="AA3039" s="45"/>
      <c r="AB3039" s="45"/>
      <c r="AC3039" s="45"/>
      <c r="AD3039" s="45"/>
      <c r="AE3039" s="45"/>
      <c r="AF3039" s="45"/>
      <c r="AG3039" s="45"/>
      <c r="AH3039" s="45"/>
      <c r="AI3039" s="45"/>
      <c r="AJ3039" s="45"/>
      <c r="AK3039" s="45"/>
      <c r="AL3039" s="45"/>
    </row>
    <row r="3040" ht="15.75" customHeight="1">
      <c r="A3040" s="27">
        <f t="shared" si="23"/>
        <v>1918</v>
      </c>
      <c r="B3040" s="86" t="s">
        <v>10581</v>
      </c>
      <c r="C3040" s="86" t="s">
        <v>10582</v>
      </c>
      <c r="D3040" s="117" t="s">
        <v>10583</v>
      </c>
      <c r="E3040" s="86" t="s">
        <v>0</v>
      </c>
      <c r="F3040" s="86" t="s">
        <v>29</v>
      </c>
      <c r="G3040" s="86" t="s">
        <v>30</v>
      </c>
      <c r="H3040" s="83"/>
      <c r="I3040" s="86" t="s">
        <v>30</v>
      </c>
      <c r="J3040" s="86">
        <v>83.0</v>
      </c>
      <c r="K3040" s="83"/>
      <c r="L3040" s="86" t="s">
        <v>10584</v>
      </c>
      <c r="M3040" s="86" t="s">
        <v>3240</v>
      </c>
      <c r="N3040" s="86">
        <v>2010.0</v>
      </c>
      <c r="O3040" s="86">
        <v>12.0</v>
      </c>
      <c r="P3040" s="86">
        <v>1.0</v>
      </c>
      <c r="Q3040" s="86">
        <v>1.0</v>
      </c>
      <c r="R3040" s="84"/>
      <c r="S3040" s="34"/>
      <c r="T3040" s="34"/>
      <c r="U3040" s="34"/>
      <c r="V3040" s="34"/>
      <c r="W3040" s="34"/>
      <c r="X3040" s="34"/>
      <c r="Y3040" s="3"/>
      <c r="Z3040" s="3"/>
      <c r="AA3040" s="3"/>
      <c r="AB3040" s="3"/>
      <c r="AC3040" s="3"/>
      <c r="AD3040" s="3"/>
      <c r="AE3040" s="3"/>
      <c r="AF3040" s="3"/>
      <c r="AG3040" s="3"/>
      <c r="AH3040" s="3"/>
      <c r="AI3040" s="3"/>
      <c r="AJ3040" s="3"/>
      <c r="AK3040" s="3"/>
      <c r="AL3040" s="3"/>
    </row>
    <row r="3041" ht="15.75" customHeight="1">
      <c r="A3041" s="27">
        <f t="shared" si="23"/>
        <v>1919</v>
      </c>
      <c r="B3041" s="86" t="s">
        <v>31</v>
      </c>
      <c r="C3041" s="238" t="s">
        <v>10585</v>
      </c>
      <c r="D3041" s="117" t="s">
        <v>10586</v>
      </c>
      <c r="E3041" s="86" t="s">
        <v>0</v>
      </c>
      <c r="F3041" s="86" t="s">
        <v>29</v>
      </c>
      <c r="G3041" s="86" t="s">
        <v>30</v>
      </c>
      <c r="H3041" s="86" t="s">
        <v>30</v>
      </c>
      <c r="I3041" s="86" t="s">
        <v>30</v>
      </c>
      <c r="J3041" s="86">
        <v>272.0</v>
      </c>
      <c r="K3041" s="83"/>
      <c r="L3041" s="86" t="s">
        <v>10587</v>
      </c>
      <c r="M3041" s="86" t="s">
        <v>3240</v>
      </c>
      <c r="N3041" s="86">
        <v>2008.0</v>
      </c>
      <c r="O3041" s="86">
        <v>12.0</v>
      </c>
      <c r="P3041" s="86">
        <v>1.0</v>
      </c>
      <c r="Q3041" s="86">
        <v>1.0</v>
      </c>
      <c r="R3041" s="84"/>
      <c r="S3041" s="34"/>
      <c r="T3041" s="34"/>
      <c r="U3041" s="34"/>
      <c r="V3041" s="34"/>
      <c r="W3041" s="34"/>
      <c r="X3041" s="34"/>
      <c r="Y3041" s="3"/>
      <c r="Z3041" s="3"/>
      <c r="AA3041" s="3"/>
      <c r="AB3041" s="3"/>
      <c r="AC3041" s="3"/>
      <c r="AD3041" s="3"/>
      <c r="AE3041" s="3"/>
      <c r="AF3041" s="3"/>
      <c r="AG3041" s="3"/>
      <c r="AH3041" s="3"/>
      <c r="AI3041" s="3"/>
      <c r="AJ3041" s="3"/>
      <c r="AK3041" s="3"/>
      <c r="AL3041" s="3"/>
    </row>
    <row r="3042" ht="15.75" customHeight="1">
      <c r="A3042" s="27">
        <f t="shared" si="23"/>
        <v>1920</v>
      </c>
      <c r="B3042" s="86" t="s">
        <v>10588</v>
      </c>
      <c r="C3042" s="86" t="s">
        <v>10589</v>
      </c>
      <c r="D3042" s="117" t="s">
        <v>10590</v>
      </c>
      <c r="E3042" s="86" t="s">
        <v>0</v>
      </c>
      <c r="F3042" s="86" t="s">
        <v>29</v>
      </c>
      <c r="G3042" s="86" t="s">
        <v>30</v>
      </c>
      <c r="H3042" s="83"/>
      <c r="I3042" s="86" t="s">
        <v>30</v>
      </c>
      <c r="J3042" s="86">
        <v>270.0</v>
      </c>
      <c r="K3042" s="83"/>
      <c r="L3042" s="86" t="s">
        <v>10591</v>
      </c>
      <c r="M3042" s="86" t="s">
        <v>3240</v>
      </c>
      <c r="N3042" s="86">
        <v>2010.0</v>
      </c>
      <c r="O3042" s="86">
        <v>12.0</v>
      </c>
      <c r="P3042" s="86">
        <v>1.0</v>
      </c>
      <c r="Q3042" s="86">
        <v>1.0</v>
      </c>
      <c r="R3042" s="84"/>
      <c r="S3042" s="34"/>
      <c r="T3042" s="34"/>
      <c r="U3042" s="34"/>
      <c r="V3042" s="34"/>
      <c r="W3042" s="34"/>
      <c r="X3042" s="34"/>
      <c r="Y3042" s="45"/>
      <c r="Z3042" s="45"/>
      <c r="AA3042" s="45"/>
      <c r="AB3042" s="45"/>
      <c r="AC3042" s="45"/>
      <c r="AD3042" s="45"/>
      <c r="AE3042" s="45"/>
      <c r="AF3042" s="45"/>
      <c r="AG3042" s="45"/>
      <c r="AH3042" s="45"/>
      <c r="AI3042" s="45"/>
      <c r="AJ3042" s="45"/>
      <c r="AK3042" s="45"/>
      <c r="AL3042" s="45"/>
    </row>
    <row r="3043" ht="15.75" customHeight="1">
      <c r="A3043" s="27">
        <f t="shared" si="23"/>
        <v>1921</v>
      </c>
      <c r="B3043" s="86" t="s">
        <v>10592</v>
      </c>
      <c r="C3043" s="86" t="s">
        <v>10593</v>
      </c>
      <c r="D3043" s="117" t="s">
        <v>10594</v>
      </c>
      <c r="E3043" s="86" t="s">
        <v>144</v>
      </c>
      <c r="F3043" s="86" t="s">
        <v>29</v>
      </c>
      <c r="G3043" s="86" t="s">
        <v>30</v>
      </c>
      <c r="H3043" s="86" t="s">
        <v>30</v>
      </c>
      <c r="I3043" s="86" t="s">
        <v>30</v>
      </c>
      <c r="J3043" s="86">
        <v>390.0</v>
      </c>
      <c r="K3043" s="83"/>
      <c r="L3043" s="86" t="s">
        <v>10595</v>
      </c>
      <c r="M3043" s="86" t="s">
        <v>3240</v>
      </c>
      <c r="N3043" s="86">
        <v>2017.0</v>
      </c>
      <c r="O3043" s="86">
        <v>14.0</v>
      </c>
      <c r="P3043" s="86">
        <v>1.0</v>
      </c>
      <c r="Q3043" s="86">
        <v>1.0</v>
      </c>
      <c r="R3043" s="84"/>
      <c r="S3043" s="34"/>
      <c r="T3043" s="34"/>
      <c r="U3043" s="34"/>
      <c r="V3043" s="34"/>
      <c r="W3043" s="34"/>
      <c r="X3043" s="34"/>
      <c r="Y3043" s="45"/>
      <c r="Z3043" s="45"/>
      <c r="AA3043" s="45"/>
      <c r="AB3043" s="45"/>
      <c r="AC3043" s="45"/>
      <c r="AD3043" s="45"/>
      <c r="AE3043" s="45"/>
      <c r="AF3043" s="45"/>
      <c r="AG3043" s="45"/>
      <c r="AH3043" s="45"/>
      <c r="AI3043" s="45"/>
      <c r="AJ3043" s="45"/>
      <c r="AK3043" s="45"/>
      <c r="AL3043" s="45"/>
    </row>
    <row r="3044" ht="15.75" customHeight="1">
      <c r="A3044" s="27">
        <f t="shared" si="23"/>
        <v>1922</v>
      </c>
      <c r="B3044" s="86" t="s">
        <v>10596</v>
      </c>
      <c r="C3044" s="86" t="s">
        <v>10597</v>
      </c>
      <c r="D3044" s="117" t="s">
        <v>10598</v>
      </c>
      <c r="E3044" s="86"/>
      <c r="F3044" s="86" t="s">
        <v>29</v>
      </c>
      <c r="G3044" s="86" t="s">
        <v>30</v>
      </c>
      <c r="H3044" s="83"/>
      <c r="I3044" s="86" t="s">
        <v>30</v>
      </c>
      <c r="J3044" s="86">
        <v>602.0</v>
      </c>
      <c r="K3044" s="83"/>
      <c r="L3044" s="86" t="s">
        <v>10599</v>
      </c>
      <c r="M3044" s="86" t="s">
        <v>3240</v>
      </c>
      <c r="N3044" s="86">
        <v>2020.0</v>
      </c>
      <c r="O3044" s="86">
        <v>13.0</v>
      </c>
      <c r="P3044" s="86">
        <v>1.0</v>
      </c>
      <c r="Q3044" s="86">
        <v>1.0</v>
      </c>
      <c r="R3044" s="84"/>
      <c r="S3044" s="34"/>
      <c r="T3044" s="34"/>
      <c r="U3044" s="34"/>
      <c r="V3044" s="34"/>
      <c r="W3044" s="34"/>
      <c r="X3044" s="34"/>
      <c r="Y3044" s="45"/>
      <c r="Z3044" s="45"/>
      <c r="AA3044" s="45"/>
      <c r="AB3044" s="45"/>
      <c r="AC3044" s="45"/>
      <c r="AD3044" s="45"/>
      <c r="AE3044" s="45"/>
      <c r="AF3044" s="45"/>
      <c r="AG3044" s="45"/>
      <c r="AH3044" s="45"/>
      <c r="AI3044" s="45"/>
      <c r="AJ3044" s="45"/>
      <c r="AK3044" s="45"/>
      <c r="AL3044" s="45"/>
    </row>
    <row r="3045" ht="15.75" customHeight="1">
      <c r="A3045" s="27">
        <f t="shared" si="23"/>
        <v>1923</v>
      </c>
      <c r="B3045" s="86" t="s">
        <v>10600</v>
      </c>
      <c r="C3045" s="238" t="s">
        <v>10601</v>
      </c>
      <c r="D3045" s="117" t="s">
        <v>10602</v>
      </c>
      <c r="E3045" s="83"/>
      <c r="F3045" s="86" t="s">
        <v>29</v>
      </c>
      <c r="G3045" s="86" t="s">
        <v>30</v>
      </c>
      <c r="H3045" s="83"/>
      <c r="I3045" s="86" t="s">
        <v>30</v>
      </c>
      <c r="J3045" s="86">
        <v>144.0</v>
      </c>
      <c r="K3045" s="83"/>
      <c r="L3045" s="86" t="s">
        <v>10603</v>
      </c>
      <c r="M3045" s="86" t="s">
        <v>161</v>
      </c>
      <c r="N3045" s="86">
        <v>2020.0</v>
      </c>
      <c r="O3045" s="86" t="s">
        <v>10545</v>
      </c>
      <c r="P3045" s="86">
        <v>1.0</v>
      </c>
      <c r="Q3045" s="86">
        <v>1.0</v>
      </c>
      <c r="R3045" s="84"/>
      <c r="S3045" s="34"/>
      <c r="T3045" s="34"/>
      <c r="U3045" s="34"/>
      <c r="V3045" s="34"/>
      <c r="W3045" s="34"/>
      <c r="X3045" s="34"/>
      <c r="Y3045" s="45"/>
      <c r="Z3045" s="45"/>
      <c r="AA3045" s="45"/>
      <c r="AB3045" s="45"/>
      <c r="AC3045" s="45"/>
      <c r="AD3045" s="45"/>
      <c r="AE3045" s="45"/>
      <c r="AF3045" s="45"/>
      <c r="AG3045" s="45"/>
      <c r="AH3045" s="45"/>
      <c r="AI3045" s="45"/>
      <c r="AJ3045" s="45"/>
      <c r="AK3045" s="45"/>
      <c r="AL3045" s="45"/>
    </row>
    <row r="3046" ht="15.75" customHeight="1">
      <c r="A3046" s="27">
        <f t="shared" si="23"/>
        <v>1924</v>
      </c>
      <c r="B3046" s="86" t="s">
        <v>10604</v>
      </c>
      <c r="C3046" s="86" t="s">
        <v>10605</v>
      </c>
      <c r="D3046" s="117" t="s">
        <v>10606</v>
      </c>
      <c r="E3046" s="86" t="s">
        <v>0</v>
      </c>
      <c r="F3046" s="86" t="s">
        <v>29</v>
      </c>
      <c r="G3046" s="86" t="s">
        <v>30</v>
      </c>
      <c r="H3046" s="83"/>
      <c r="I3046" s="86" t="s">
        <v>30</v>
      </c>
      <c r="J3046" s="86">
        <v>298.0</v>
      </c>
      <c r="K3046" s="83"/>
      <c r="L3046" s="86" t="s">
        <v>10607</v>
      </c>
      <c r="M3046" s="86" t="s">
        <v>161</v>
      </c>
      <c r="N3046" s="86">
        <v>2019.0</v>
      </c>
      <c r="O3046" s="86" t="s">
        <v>10545</v>
      </c>
      <c r="P3046" s="86">
        <v>1.0</v>
      </c>
      <c r="Q3046" s="86">
        <v>1.0</v>
      </c>
      <c r="R3046" s="84"/>
      <c r="S3046" s="34"/>
      <c r="T3046" s="34"/>
      <c r="U3046" s="34"/>
      <c r="V3046" s="34"/>
      <c r="W3046" s="34"/>
      <c r="X3046" s="34"/>
      <c r="Y3046" s="45"/>
      <c r="Z3046" s="45"/>
      <c r="AA3046" s="45"/>
      <c r="AB3046" s="45"/>
      <c r="AC3046" s="45"/>
      <c r="AD3046" s="45"/>
      <c r="AE3046" s="45"/>
      <c r="AF3046" s="45"/>
      <c r="AG3046" s="45"/>
      <c r="AH3046" s="45"/>
      <c r="AI3046" s="45"/>
      <c r="AJ3046" s="45"/>
      <c r="AK3046" s="45"/>
      <c r="AL3046" s="45"/>
    </row>
    <row r="3047" ht="15.75" customHeight="1">
      <c r="A3047" s="27">
        <f t="shared" si="23"/>
        <v>1925</v>
      </c>
      <c r="B3047" s="86" t="s">
        <v>10608</v>
      </c>
      <c r="C3047" s="86" t="s">
        <v>10609</v>
      </c>
      <c r="D3047" s="117" t="s">
        <v>10610</v>
      </c>
      <c r="E3047" s="83"/>
      <c r="F3047" s="86" t="s">
        <v>29</v>
      </c>
      <c r="G3047" s="86" t="s">
        <v>30</v>
      </c>
      <c r="H3047" s="83"/>
      <c r="I3047" s="86" t="s">
        <v>30</v>
      </c>
      <c r="J3047" s="86">
        <v>423.0</v>
      </c>
      <c r="K3047" s="83"/>
      <c r="L3047" s="86" t="s">
        <v>10611</v>
      </c>
      <c r="M3047" s="86" t="s">
        <v>151</v>
      </c>
      <c r="N3047" s="86">
        <v>2020.0</v>
      </c>
      <c r="O3047" s="86">
        <v>13.0</v>
      </c>
      <c r="P3047" s="86">
        <v>1.0</v>
      </c>
      <c r="Q3047" s="86">
        <v>1.0</v>
      </c>
      <c r="R3047" s="84"/>
      <c r="S3047" s="34"/>
      <c r="T3047" s="34"/>
      <c r="U3047" s="34"/>
      <c r="V3047" s="34"/>
      <c r="W3047" s="34"/>
      <c r="X3047" s="34"/>
      <c r="Y3047" s="45"/>
      <c r="Z3047" s="45"/>
      <c r="AA3047" s="45"/>
      <c r="AB3047" s="45"/>
      <c r="AC3047" s="45"/>
      <c r="AD3047" s="45"/>
      <c r="AE3047" s="45"/>
      <c r="AF3047" s="45"/>
      <c r="AG3047" s="45"/>
      <c r="AH3047" s="45"/>
      <c r="AI3047" s="45"/>
      <c r="AJ3047" s="45"/>
      <c r="AK3047" s="45"/>
      <c r="AL3047" s="45"/>
    </row>
    <row r="3048" ht="15.75" customHeight="1">
      <c r="A3048" s="27">
        <f t="shared" si="23"/>
        <v>1926</v>
      </c>
      <c r="B3048" s="86" t="s">
        <v>10612</v>
      </c>
      <c r="C3048" s="86" t="s">
        <v>10613</v>
      </c>
      <c r="D3048" s="117" t="s">
        <v>10614</v>
      </c>
      <c r="E3048" s="83"/>
      <c r="F3048" s="86" t="s">
        <v>29</v>
      </c>
      <c r="G3048" s="86" t="s">
        <v>30</v>
      </c>
      <c r="H3048" s="83"/>
      <c r="I3048" s="86" t="s">
        <v>30</v>
      </c>
      <c r="J3048" s="86">
        <v>261.0</v>
      </c>
      <c r="K3048" s="83"/>
      <c r="L3048" s="86" t="s">
        <v>10615</v>
      </c>
      <c r="M3048" s="86" t="s">
        <v>151</v>
      </c>
      <c r="N3048" s="86">
        <v>2014.0</v>
      </c>
      <c r="O3048" s="86">
        <v>13.0</v>
      </c>
      <c r="P3048" s="86">
        <v>1.0</v>
      </c>
      <c r="Q3048" s="86">
        <v>1.0</v>
      </c>
      <c r="R3048" s="84"/>
      <c r="S3048" s="34"/>
      <c r="T3048" s="34"/>
      <c r="U3048" s="34"/>
      <c r="V3048" s="34"/>
      <c r="W3048" s="34"/>
      <c r="X3048" s="34"/>
      <c r="Y3048" s="45"/>
      <c r="Z3048" s="45"/>
      <c r="AA3048" s="45"/>
      <c r="AB3048" s="45"/>
      <c r="AC3048" s="45"/>
      <c r="AD3048" s="45"/>
      <c r="AE3048" s="45"/>
      <c r="AF3048" s="45"/>
      <c r="AG3048" s="45"/>
      <c r="AH3048" s="45"/>
      <c r="AI3048" s="45"/>
      <c r="AJ3048" s="45"/>
      <c r="AK3048" s="45"/>
      <c r="AL3048" s="45"/>
    </row>
    <row r="3049" ht="15.75" customHeight="1">
      <c r="A3049" s="27">
        <f t="shared" si="23"/>
        <v>1927</v>
      </c>
      <c r="B3049" s="86" t="s">
        <v>10616</v>
      </c>
      <c r="C3049" s="86" t="s">
        <v>10617</v>
      </c>
      <c r="D3049" s="117" t="s">
        <v>10618</v>
      </c>
      <c r="E3049" s="86" t="s">
        <v>0</v>
      </c>
      <c r="F3049" s="86" t="s">
        <v>29</v>
      </c>
      <c r="G3049" s="86" t="s">
        <v>30</v>
      </c>
      <c r="H3049" s="86" t="s">
        <v>30</v>
      </c>
      <c r="I3049" s="86" t="s">
        <v>30</v>
      </c>
      <c r="J3049" s="86">
        <v>174.0</v>
      </c>
      <c r="K3049" s="83"/>
      <c r="L3049" s="86" t="s">
        <v>10619</v>
      </c>
      <c r="M3049" s="86" t="s">
        <v>151</v>
      </c>
      <c r="N3049" s="86">
        <v>2019.0</v>
      </c>
      <c r="O3049" s="86">
        <v>13.0</v>
      </c>
      <c r="P3049" s="86">
        <v>1.0</v>
      </c>
      <c r="Q3049" s="86">
        <v>1.0</v>
      </c>
      <c r="R3049" s="84"/>
      <c r="S3049" s="34"/>
      <c r="T3049" s="34"/>
      <c r="U3049" s="34"/>
      <c r="V3049" s="34"/>
      <c r="W3049" s="34"/>
      <c r="X3049" s="34"/>
      <c r="Y3049" s="3"/>
      <c r="Z3049" s="3"/>
      <c r="AA3049" s="3"/>
      <c r="AB3049" s="3"/>
      <c r="AC3049" s="3"/>
      <c r="AD3049" s="3"/>
      <c r="AE3049" s="3"/>
      <c r="AF3049" s="3"/>
      <c r="AG3049" s="3"/>
      <c r="AH3049" s="3"/>
      <c r="AI3049" s="3"/>
      <c r="AJ3049" s="3"/>
      <c r="AK3049" s="3"/>
      <c r="AL3049" s="3"/>
    </row>
    <row r="3050" ht="15.75" customHeight="1">
      <c r="A3050" s="27">
        <f t="shared" si="23"/>
        <v>1928</v>
      </c>
      <c r="B3050" s="86" t="s">
        <v>10620</v>
      </c>
      <c r="C3050" s="86" t="s">
        <v>10621</v>
      </c>
      <c r="D3050" s="117" t="s">
        <v>10622</v>
      </c>
      <c r="E3050" s="83"/>
      <c r="F3050" s="86" t="s">
        <v>29</v>
      </c>
      <c r="G3050" s="86" t="s">
        <v>30</v>
      </c>
      <c r="H3050" s="86" t="s">
        <v>30</v>
      </c>
      <c r="I3050" s="86" t="s">
        <v>30</v>
      </c>
      <c r="J3050" s="86">
        <v>172.0</v>
      </c>
      <c r="K3050" s="83"/>
      <c r="L3050" s="86" t="s">
        <v>10623</v>
      </c>
      <c r="M3050" s="86" t="s">
        <v>151</v>
      </c>
      <c r="N3050" s="86">
        <v>2019.0</v>
      </c>
      <c r="O3050" s="86" t="s">
        <v>1246</v>
      </c>
      <c r="P3050" s="86">
        <v>1.0</v>
      </c>
      <c r="Q3050" s="86">
        <v>1.0</v>
      </c>
      <c r="R3050" s="84"/>
      <c r="S3050" s="34"/>
      <c r="T3050" s="34"/>
      <c r="U3050" s="34"/>
      <c r="V3050" s="34"/>
      <c r="W3050" s="34"/>
      <c r="X3050" s="34"/>
      <c r="Y3050" s="45"/>
      <c r="Z3050" s="45"/>
      <c r="AA3050" s="45"/>
      <c r="AB3050" s="45"/>
      <c r="AC3050" s="45"/>
      <c r="AD3050" s="45"/>
      <c r="AE3050" s="45"/>
      <c r="AF3050" s="45"/>
      <c r="AG3050" s="45"/>
      <c r="AH3050" s="45"/>
      <c r="AI3050" s="45"/>
      <c r="AJ3050" s="45"/>
      <c r="AK3050" s="45"/>
      <c r="AL3050" s="45"/>
    </row>
    <row r="3051" ht="15.75" customHeight="1">
      <c r="A3051" s="27">
        <f t="shared" si="23"/>
        <v>1929</v>
      </c>
      <c r="B3051" s="86" t="s">
        <v>10624</v>
      </c>
      <c r="C3051" s="86" t="s">
        <v>10625</v>
      </c>
      <c r="D3051" s="117" t="s">
        <v>10626</v>
      </c>
      <c r="E3051" s="83"/>
      <c r="F3051" s="86" t="s">
        <v>29</v>
      </c>
      <c r="G3051" s="86" t="s">
        <v>30</v>
      </c>
      <c r="H3051" s="83"/>
      <c r="I3051" s="86" t="s">
        <v>30</v>
      </c>
      <c r="J3051" s="86">
        <v>73.0</v>
      </c>
      <c r="K3051" s="83"/>
      <c r="L3051" s="86" t="s">
        <v>10627</v>
      </c>
      <c r="M3051" s="86" t="s">
        <v>151</v>
      </c>
      <c r="N3051" s="86">
        <v>2021.0</v>
      </c>
      <c r="O3051" s="86">
        <v>14.0</v>
      </c>
      <c r="P3051" s="86">
        <v>1.0</v>
      </c>
      <c r="Q3051" s="86">
        <v>1.0</v>
      </c>
      <c r="R3051" s="84"/>
      <c r="S3051" s="34"/>
      <c r="T3051" s="34"/>
      <c r="U3051" s="34"/>
      <c r="V3051" s="34"/>
      <c r="W3051" s="34"/>
      <c r="X3051" s="34"/>
      <c r="Y3051" s="45"/>
      <c r="Z3051" s="45"/>
      <c r="AA3051" s="45"/>
      <c r="AB3051" s="45"/>
      <c r="AC3051" s="45"/>
      <c r="AD3051" s="45"/>
      <c r="AE3051" s="45"/>
      <c r="AF3051" s="45"/>
      <c r="AG3051" s="45"/>
      <c r="AH3051" s="45"/>
      <c r="AI3051" s="45"/>
      <c r="AJ3051" s="45"/>
      <c r="AK3051" s="45"/>
      <c r="AL3051" s="45"/>
    </row>
    <row r="3052" ht="15.75" customHeight="1">
      <c r="A3052" s="27">
        <f t="shared" si="23"/>
        <v>1930</v>
      </c>
      <c r="B3052" s="86" t="s">
        <v>10628</v>
      </c>
      <c r="C3052" s="86" t="s">
        <v>10629</v>
      </c>
      <c r="D3052" s="117" t="s">
        <v>10630</v>
      </c>
      <c r="E3052" s="83"/>
      <c r="F3052" s="86" t="s">
        <v>29</v>
      </c>
      <c r="G3052" s="86" t="s">
        <v>30</v>
      </c>
      <c r="H3052" s="86" t="s">
        <v>30</v>
      </c>
      <c r="I3052" s="86" t="s">
        <v>30</v>
      </c>
      <c r="J3052" s="86">
        <v>479.0</v>
      </c>
      <c r="K3052" s="83"/>
      <c r="L3052" s="86" t="s">
        <v>3263</v>
      </c>
      <c r="M3052" s="86" t="s">
        <v>151</v>
      </c>
      <c r="N3052" s="86">
        <v>2017.0</v>
      </c>
      <c r="O3052" s="86" t="s">
        <v>1415</v>
      </c>
      <c r="P3052" s="86">
        <v>1.0</v>
      </c>
      <c r="Q3052" s="86">
        <v>1.0</v>
      </c>
      <c r="R3052" s="84"/>
      <c r="S3052" s="34"/>
      <c r="T3052" s="34"/>
      <c r="U3052" s="34"/>
      <c r="V3052" s="34"/>
      <c r="W3052" s="34"/>
      <c r="X3052" s="34"/>
      <c r="Y3052" s="3"/>
      <c r="Z3052" s="3"/>
      <c r="AA3052" s="3"/>
      <c r="AB3052" s="3"/>
      <c r="AC3052" s="3"/>
      <c r="AD3052" s="3"/>
      <c r="AE3052" s="3"/>
      <c r="AF3052" s="3"/>
      <c r="AG3052" s="3"/>
      <c r="AH3052" s="3"/>
      <c r="AI3052" s="3"/>
      <c r="AJ3052" s="3"/>
      <c r="AK3052" s="3"/>
      <c r="AL3052" s="3"/>
    </row>
    <row r="3053" ht="15.75" customHeight="1">
      <c r="A3053" s="27">
        <f t="shared" si="23"/>
        <v>1931</v>
      </c>
      <c r="B3053" s="86" t="s">
        <v>31</v>
      </c>
      <c r="C3053" s="86" t="s">
        <v>10631</v>
      </c>
      <c r="D3053" s="117" t="s">
        <v>10632</v>
      </c>
      <c r="E3053" s="83"/>
      <c r="F3053" s="86" t="s">
        <v>29</v>
      </c>
      <c r="G3053" s="86" t="s">
        <v>30</v>
      </c>
      <c r="H3053" s="83"/>
      <c r="I3053" s="86" t="s">
        <v>30</v>
      </c>
      <c r="J3053" s="86">
        <v>452.0</v>
      </c>
      <c r="K3053" s="83"/>
      <c r="L3053" s="86" t="s">
        <v>10633</v>
      </c>
      <c r="M3053" s="86" t="s">
        <v>3697</v>
      </c>
      <c r="N3053" s="86">
        <v>2000.0</v>
      </c>
      <c r="O3053" s="86">
        <v>14.0</v>
      </c>
      <c r="P3053" s="86">
        <v>1.0</v>
      </c>
      <c r="Q3053" s="86">
        <v>1.0</v>
      </c>
      <c r="R3053" s="84"/>
      <c r="S3053" s="34"/>
      <c r="T3053" s="34"/>
      <c r="U3053" s="34"/>
      <c r="V3053" s="34"/>
      <c r="W3053" s="34"/>
      <c r="X3053" s="34"/>
      <c r="Y3053" s="3"/>
      <c r="Z3053" s="3"/>
      <c r="AA3053" s="3"/>
      <c r="AB3053" s="3"/>
      <c r="AC3053" s="3"/>
      <c r="AD3053" s="3"/>
      <c r="AE3053" s="3"/>
      <c r="AF3053" s="3"/>
      <c r="AG3053" s="3"/>
      <c r="AH3053" s="3"/>
      <c r="AI3053" s="3"/>
      <c r="AJ3053" s="3"/>
      <c r="AK3053" s="3"/>
      <c r="AL3053" s="3"/>
    </row>
    <row r="3054" ht="15.75" customHeight="1">
      <c r="A3054" s="27">
        <f t="shared" si="23"/>
        <v>1932</v>
      </c>
      <c r="B3054" s="86" t="s">
        <v>31</v>
      </c>
      <c r="C3054" s="86" t="s">
        <v>10631</v>
      </c>
      <c r="D3054" s="117" t="s">
        <v>10634</v>
      </c>
      <c r="E3054" s="83"/>
      <c r="F3054" s="86" t="s">
        <v>29</v>
      </c>
      <c r="G3054" s="86" t="s">
        <v>30</v>
      </c>
      <c r="H3054" s="83"/>
      <c r="I3054" s="86" t="s">
        <v>30</v>
      </c>
      <c r="J3054" s="86">
        <v>455.0</v>
      </c>
      <c r="K3054" s="83"/>
      <c r="L3054" s="86" t="s">
        <v>10633</v>
      </c>
      <c r="M3054" s="86" t="s">
        <v>3697</v>
      </c>
      <c r="N3054" s="86">
        <v>2002.0</v>
      </c>
      <c r="O3054" s="86">
        <v>14.0</v>
      </c>
      <c r="P3054" s="86">
        <v>1.0</v>
      </c>
      <c r="Q3054" s="86">
        <v>1.0</v>
      </c>
      <c r="R3054" s="84"/>
      <c r="S3054" s="40"/>
      <c r="T3054" s="40"/>
      <c r="U3054" s="40"/>
      <c r="V3054" s="40"/>
      <c r="W3054" s="40"/>
      <c r="X3054" s="40"/>
      <c r="Y3054" s="45"/>
      <c r="Z3054" s="45"/>
      <c r="AA3054" s="45"/>
      <c r="AB3054" s="45"/>
      <c r="AC3054" s="45"/>
      <c r="AD3054" s="45"/>
      <c r="AE3054" s="45"/>
      <c r="AF3054" s="45"/>
      <c r="AG3054" s="45"/>
      <c r="AH3054" s="45"/>
      <c r="AI3054" s="45"/>
      <c r="AJ3054" s="45"/>
      <c r="AK3054" s="45"/>
      <c r="AL3054" s="45"/>
    </row>
    <row r="3055" ht="15.75" customHeight="1">
      <c r="A3055" s="27">
        <f t="shared" si="23"/>
        <v>1933</v>
      </c>
      <c r="B3055" s="86" t="s">
        <v>10635</v>
      </c>
      <c r="C3055" s="86" t="s">
        <v>10636</v>
      </c>
      <c r="D3055" s="117" t="s">
        <v>10637</v>
      </c>
      <c r="E3055" s="83"/>
      <c r="F3055" s="86" t="s">
        <v>29</v>
      </c>
      <c r="G3055" s="86" t="s">
        <v>30</v>
      </c>
      <c r="H3055" s="83"/>
      <c r="I3055" s="86" t="s">
        <v>30</v>
      </c>
      <c r="J3055" s="86">
        <v>352.0</v>
      </c>
      <c r="K3055" s="83"/>
      <c r="L3055" s="86" t="s">
        <v>10638</v>
      </c>
      <c r="M3055" s="86" t="s">
        <v>169</v>
      </c>
      <c r="N3055" s="86">
        <v>2021.0</v>
      </c>
      <c r="O3055" s="86">
        <v>13.0</v>
      </c>
      <c r="P3055" s="86">
        <v>1.0</v>
      </c>
      <c r="Q3055" s="86">
        <v>1.0</v>
      </c>
      <c r="R3055" s="84"/>
      <c r="S3055" s="185"/>
      <c r="T3055" s="185"/>
      <c r="U3055" s="185"/>
      <c r="V3055" s="185"/>
      <c r="W3055" s="185"/>
      <c r="X3055" s="185"/>
      <c r="Y3055" s="45"/>
      <c r="Z3055" s="45"/>
      <c r="AA3055" s="45"/>
      <c r="AB3055" s="45"/>
      <c r="AC3055" s="45"/>
      <c r="AD3055" s="45"/>
      <c r="AE3055" s="45"/>
      <c r="AF3055" s="45"/>
      <c r="AG3055" s="45"/>
      <c r="AH3055" s="45"/>
      <c r="AI3055" s="45"/>
      <c r="AJ3055" s="45"/>
      <c r="AK3055" s="45"/>
      <c r="AL3055" s="45"/>
    </row>
    <row r="3056" ht="15.75" customHeight="1">
      <c r="A3056" s="27">
        <f t="shared" si="23"/>
        <v>1934</v>
      </c>
      <c r="B3056" s="86" t="s">
        <v>10639</v>
      </c>
      <c r="C3056" s="86" t="s">
        <v>10640</v>
      </c>
      <c r="D3056" s="117" t="s">
        <v>10641</v>
      </c>
      <c r="E3056" s="86" t="s">
        <v>0</v>
      </c>
      <c r="F3056" s="86" t="s">
        <v>29</v>
      </c>
      <c r="G3056" s="86" t="s">
        <v>30</v>
      </c>
      <c r="H3056" s="83"/>
      <c r="I3056" s="86" t="s">
        <v>30</v>
      </c>
      <c r="J3056" s="86">
        <v>456.0</v>
      </c>
      <c r="K3056" s="83"/>
      <c r="L3056" s="86" t="s">
        <v>10642</v>
      </c>
      <c r="M3056" s="86" t="s">
        <v>169</v>
      </c>
      <c r="N3056" s="86">
        <v>2015.0</v>
      </c>
      <c r="O3056" s="86">
        <v>12.0</v>
      </c>
      <c r="P3056" s="86">
        <v>1.0</v>
      </c>
      <c r="Q3056" s="86">
        <v>1.0</v>
      </c>
      <c r="R3056" s="84"/>
      <c r="S3056" s="34"/>
      <c r="T3056" s="34"/>
      <c r="U3056" s="34"/>
      <c r="V3056" s="34"/>
      <c r="W3056" s="34"/>
      <c r="X3056" s="34"/>
      <c r="Y3056" s="45"/>
      <c r="Z3056" s="45"/>
      <c r="AA3056" s="45"/>
      <c r="AB3056" s="45"/>
      <c r="AC3056" s="45"/>
      <c r="AD3056" s="45"/>
      <c r="AE3056" s="45"/>
      <c r="AF3056" s="45"/>
      <c r="AG3056" s="45"/>
      <c r="AH3056" s="45"/>
      <c r="AI3056" s="45"/>
      <c r="AJ3056" s="45"/>
      <c r="AK3056" s="45"/>
      <c r="AL3056" s="45"/>
    </row>
    <row r="3057" ht="15.75" customHeight="1">
      <c r="A3057" s="27">
        <f t="shared" si="23"/>
        <v>1935</v>
      </c>
      <c r="B3057" s="86" t="s">
        <v>10643</v>
      </c>
      <c r="C3057" s="86" t="s">
        <v>10644</v>
      </c>
      <c r="D3057" s="117" t="s">
        <v>10645</v>
      </c>
      <c r="E3057" s="83"/>
      <c r="F3057" s="86" t="s">
        <v>29</v>
      </c>
      <c r="G3057" s="86" t="s">
        <v>30</v>
      </c>
      <c r="H3057" s="83"/>
      <c r="I3057" s="86" t="s">
        <v>30</v>
      </c>
      <c r="J3057" s="86">
        <v>922.0</v>
      </c>
      <c r="K3057" s="83"/>
      <c r="L3057" s="86" t="s">
        <v>9606</v>
      </c>
      <c r="M3057" s="86" t="s">
        <v>169</v>
      </c>
      <c r="N3057" s="86">
        <v>2020.0</v>
      </c>
      <c r="O3057" s="86">
        <v>12.0</v>
      </c>
      <c r="P3057" s="86">
        <v>1.0</v>
      </c>
      <c r="Q3057" s="86">
        <v>1.0</v>
      </c>
      <c r="R3057" s="84"/>
      <c r="S3057" s="34"/>
      <c r="T3057" s="34"/>
      <c r="U3057" s="34"/>
      <c r="V3057" s="34"/>
      <c r="W3057" s="34"/>
      <c r="X3057" s="34"/>
      <c r="Y3057" s="45"/>
      <c r="Z3057" s="45"/>
      <c r="AA3057" s="45"/>
      <c r="AB3057" s="45"/>
      <c r="AC3057" s="45"/>
      <c r="AD3057" s="45"/>
      <c r="AE3057" s="45"/>
      <c r="AF3057" s="45"/>
      <c r="AG3057" s="45"/>
      <c r="AH3057" s="45"/>
      <c r="AI3057" s="45"/>
      <c r="AJ3057" s="45"/>
      <c r="AK3057" s="45"/>
      <c r="AL3057" s="45"/>
    </row>
    <row r="3058" ht="15.75" customHeight="1">
      <c r="A3058" s="27">
        <f t="shared" si="23"/>
        <v>1936</v>
      </c>
      <c r="B3058" s="86" t="s">
        <v>10646</v>
      </c>
      <c r="C3058" s="86" t="s">
        <v>10647</v>
      </c>
      <c r="D3058" s="117" t="s">
        <v>10648</v>
      </c>
      <c r="E3058" s="83"/>
      <c r="F3058" s="86" t="s">
        <v>29</v>
      </c>
      <c r="G3058" s="86" t="s">
        <v>30</v>
      </c>
      <c r="H3058" s="83"/>
      <c r="I3058" s="86" t="s">
        <v>30</v>
      </c>
      <c r="J3058" s="86">
        <v>1064.0</v>
      </c>
      <c r="K3058" s="83"/>
      <c r="L3058" s="86" t="s">
        <v>780</v>
      </c>
      <c r="M3058" s="86" t="s">
        <v>169</v>
      </c>
      <c r="N3058" s="86">
        <v>2019.0</v>
      </c>
      <c r="O3058" s="86">
        <v>5.0</v>
      </c>
      <c r="P3058" s="86">
        <v>1.0</v>
      </c>
      <c r="Q3058" s="86">
        <v>1.0</v>
      </c>
      <c r="R3058" s="84"/>
      <c r="S3058" s="34"/>
      <c r="T3058" s="34"/>
      <c r="U3058" s="34"/>
      <c r="V3058" s="34"/>
      <c r="W3058" s="34"/>
      <c r="X3058" s="34"/>
      <c r="Y3058" s="45"/>
      <c r="Z3058" s="45"/>
      <c r="AA3058" s="45"/>
      <c r="AB3058" s="45"/>
      <c r="AC3058" s="45"/>
      <c r="AD3058" s="45"/>
      <c r="AE3058" s="45"/>
      <c r="AF3058" s="45"/>
      <c r="AG3058" s="45"/>
      <c r="AH3058" s="45"/>
      <c r="AI3058" s="45"/>
      <c r="AJ3058" s="45"/>
      <c r="AK3058" s="45"/>
      <c r="AL3058" s="45"/>
    </row>
    <row r="3059" ht="15.75" customHeight="1">
      <c r="A3059" s="27">
        <f t="shared" si="23"/>
        <v>1937</v>
      </c>
      <c r="B3059" s="86" t="s">
        <v>10649</v>
      </c>
      <c r="C3059" s="86" t="s">
        <v>10650</v>
      </c>
      <c r="D3059" s="117" t="s">
        <v>10651</v>
      </c>
      <c r="E3059" s="83"/>
      <c r="F3059" s="86" t="s">
        <v>29</v>
      </c>
      <c r="G3059" s="86" t="s">
        <v>30</v>
      </c>
      <c r="H3059" s="83"/>
      <c r="I3059" s="86" t="s">
        <v>30</v>
      </c>
      <c r="J3059" s="86">
        <v>904.0</v>
      </c>
      <c r="K3059" s="83"/>
      <c r="L3059" s="86" t="s">
        <v>780</v>
      </c>
      <c r="M3059" s="86" t="s">
        <v>169</v>
      </c>
      <c r="N3059" s="86">
        <v>2019.0</v>
      </c>
      <c r="O3059" s="86">
        <v>5.0</v>
      </c>
      <c r="P3059" s="86">
        <v>1.0</v>
      </c>
      <c r="Q3059" s="86">
        <v>1.0</v>
      </c>
      <c r="R3059" s="84"/>
      <c r="S3059" s="34"/>
      <c r="T3059" s="34"/>
      <c r="U3059" s="34"/>
      <c r="V3059" s="34"/>
      <c r="W3059" s="34"/>
      <c r="X3059" s="34"/>
      <c r="Y3059" s="45"/>
      <c r="Z3059" s="45"/>
      <c r="AA3059" s="45"/>
      <c r="AB3059" s="45"/>
      <c r="AC3059" s="45"/>
      <c r="AD3059" s="45"/>
      <c r="AE3059" s="45"/>
      <c r="AF3059" s="45"/>
      <c r="AG3059" s="45"/>
      <c r="AH3059" s="45"/>
      <c r="AI3059" s="45"/>
      <c r="AJ3059" s="45"/>
      <c r="AK3059" s="45"/>
      <c r="AL3059" s="45"/>
    </row>
    <row r="3060" ht="15.75" customHeight="1">
      <c r="A3060" s="27">
        <f t="shared" si="23"/>
        <v>1938</v>
      </c>
      <c r="B3060" s="86" t="s">
        <v>10652</v>
      </c>
      <c r="C3060" s="86" t="s">
        <v>10653</v>
      </c>
      <c r="D3060" s="117" t="s">
        <v>10654</v>
      </c>
      <c r="E3060" s="83"/>
      <c r="F3060" s="86" t="s">
        <v>29</v>
      </c>
      <c r="G3060" s="86" t="s">
        <v>30</v>
      </c>
      <c r="H3060" s="83"/>
      <c r="I3060" s="86" t="s">
        <v>30</v>
      </c>
      <c r="J3060" s="86">
        <v>985.0</v>
      </c>
      <c r="K3060" s="83"/>
      <c r="L3060" s="86" t="s">
        <v>780</v>
      </c>
      <c r="M3060" s="86" t="s">
        <v>169</v>
      </c>
      <c r="N3060" s="86">
        <v>2020.0</v>
      </c>
      <c r="O3060" s="86">
        <v>5.0</v>
      </c>
      <c r="P3060" s="86">
        <v>1.0</v>
      </c>
      <c r="Q3060" s="86">
        <v>1.0</v>
      </c>
      <c r="R3060" s="84"/>
      <c r="S3060" s="34"/>
      <c r="T3060" s="34"/>
      <c r="U3060" s="34"/>
      <c r="V3060" s="34"/>
      <c r="W3060" s="34"/>
      <c r="X3060" s="34"/>
      <c r="Y3060" s="3"/>
      <c r="Z3060" s="3"/>
      <c r="AA3060" s="3"/>
      <c r="AB3060" s="3"/>
      <c r="AC3060" s="3"/>
      <c r="AD3060" s="3"/>
      <c r="AE3060" s="3"/>
      <c r="AF3060" s="3"/>
      <c r="AG3060" s="3"/>
      <c r="AH3060" s="3"/>
      <c r="AI3060" s="3"/>
      <c r="AJ3060" s="3"/>
      <c r="AK3060" s="3"/>
      <c r="AL3060" s="3"/>
    </row>
    <row r="3061" ht="15.75" customHeight="1">
      <c r="A3061" s="27">
        <f t="shared" si="23"/>
        <v>1939</v>
      </c>
      <c r="B3061" s="86" t="s">
        <v>10655</v>
      </c>
      <c r="C3061" s="86" t="s">
        <v>10656</v>
      </c>
      <c r="D3061" s="117" t="s">
        <v>10657</v>
      </c>
      <c r="E3061" s="83"/>
      <c r="F3061" s="86" t="s">
        <v>29</v>
      </c>
      <c r="G3061" s="86" t="s">
        <v>30</v>
      </c>
      <c r="H3061" s="83"/>
      <c r="I3061" s="86" t="s">
        <v>30</v>
      </c>
      <c r="J3061" s="86">
        <v>831.0</v>
      </c>
      <c r="K3061" s="83"/>
      <c r="L3061" s="86" t="s">
        <v>780</v>
      </c>
      <c r="M3061" s="86" t="s">
        <v>169</v>
      </c>
      <c r="N3061" s="86">
        <v>2021.0</v>
      </c>
      <c r="O3061" s="86">
        <v>5.0</v>
      </c>
      <c r="P3061" s="86">
        <v>1.0</v>
      </c>
      <c r="Q3061" s="86">
        <v>1.0</v>
      </c>
      <c r="R3061" s="84"/>
      <c r="S3061" s="34"/>
      <c r="T3061" s="34"/>
      <c r="U3061" s="34"/>
      <c r="V3061" s="34"/>
      <c r="W3061" s="34"/>
      <c r="X3061" s="34"/>
      <c r="Y3061" s="3"/>
      <c r="Z3061" s="3"/>
      <c r="AA3061" s="3"/>
      <c r="AB3061" s="3"/>
      <c r="AC3061" s="3"/>
      <c r="AD3061" s="3"/>
      <c r="AE3061" s="3"/>
      <c r="AF3061" s="3"/>
      <c r="AG3061" s="3"/>
      <c r="AH3061" s="3"/>
      <c r="AI3061" s="3"/>
      <c r="AJ3061" s="3"/>
      <c r="AK3061" s="3"/>
      <c r="AL3061" s="3"/>
    </row>
    <row r="3062" ht="15.75" customHeight="1">
      <c r="A3062" s="27">
        <f t="shared" si="23"/>
        <v>1940</v>
      </c>
      <c r="B3062" s="86" t="s">
        <v>10658</v>
      </c>
      <c r="C3062" s="86" t="s">
        <v>2160</v>
      </c>
      <c r="D3062" s="117" t="s">
        <v>10659</v>
      </c>
      <c r="E3062" s="86" t="s">
        <v>0</v>
      </c>
      <c r="F3062" s="86" t="s">
        <v>29</v>
      </c>
      <c r="G3062" s="86" t="s">
        <v>30</v>
      </c>
      <c r="H3062" s="83"/>
      <c r="I3062" s="86" t="s">
        <v>30</v>
      </c>
      <c r="J3062" s="86">
        <v>1018.0</v>
      </c>
      <c r="K3062" s="83"/>
      <c r="L3062" s="86" t="s">
        <v>780</v>
      </c>
      <c r="M3062" s="86" t="s">
        <v>169</v>
      </c>
      <c r="N3062" s="86">
        <v>2021.0</v>
      </c>
      <c r="O3062" s="86">
        <v>5.0</v>
      </c>
      <c r="P3062" s="86">
        <v>1.0</v>
      </c>
      <c r="Q3062" s="86">
        <v>1.0</v>
      </c>
      <c r="R3062" s="84"/>
      <c r="S3062" s="34"/>
      <c r="T3062" s="34"/>
      <c r="U3062" s="34"/>
      <c r="V3062" s="34"/>
      <c r="W3062" s="34"/>
      <c r="X3062" s="34"/>
      <c r="Y3062" s="3"/>
      <c r="Z3062" s="3"/>
      <c r="AA3062" s="3"/>
      <c r="AB3062" s="3"/>
      <c r="AC3062" s="3"/>
      <c r="AD3062" s="3"/>
      <c r="AE3062" s="3"/>
      <c r="AF3062" s="3"/>
      <c r="AG3062" s="3"/>
      <c r="AH3062" s="3"/>
      <c r="AI3062" s="3"/>
      <c r="AJ3062" s="3"/>
      <c r="AK3062" s="3"/>
      <c r="AL3062" s="3"/>
    </row>
    <row r="3063" ht="15.75" customHeight="1">
      <c r="A3063" s="27">
        <f t="shared" si="23"/>
        <v>1941</v>
      </c>
      <c r="B3063" s="86" t="s">
        <v>10660</v>
      </c>
      <c r="C3063" s="86" t="s">
        <v>10661</v>
      </c>
      <c r="D3063" s="117" t="s">
        <v>10662</v>
      </c>
      <c r="E3063" s="86" t="s">
        <v>0</v>
      </c>
      <c r="F3063" s="86" t="s">
        <v>29</v>
      </c>
      <c r="G3063" s="86" t="s">
        <v>30</v>
      </c>
      <c r="H3063" s="83"/>
      <c r="I3063" s="86" t="s">
        <v>30</v>
      </c>
      <c r="J3063" s="86">
        <v>438.0</v>
      </c>
      <c r="K3063" s="83"/>
      <c r="L3063" s="86" t="s">
        <v>780</v>
      </c>
      <c r="M3063" s="86" t="s">
        <v>169</v>
      </c>
      <c r="N3063" s="86">
        <v>2018.0</v>
      </c>
      <c r="O3063" s="86">
        <v>5.0</v>
      </c>
      <c r="P3063" s="86">
        <v>1.0</v>
      </c>
      <c r="Q3063" s="86">
        <v>1.0</v>
      </c>
      <c r="R3063" s="84"/>
      <c r="S3063" s="34"/>
      <c r="T3063" s="34"/>
      <c r="U3063" s="34"/>
      <c r="V3063" s="34"/>
      <c r="W3063" s="34"/>
      <c r="X3063" s="34"/>
      <c r="Y3063" s="45"/>
      <c r="Z3063" s="45"/>
      <c r="AA3063" s="45"/>
      <c r="AB3063" s="45"/>
      <c r="AC3063" s="45"/>
      <c r="AD3063" s="45"/>
      <c r="AE3063" s="45"/>
      <c r="AF3063" s="45"/>
      <c r="AG3063" s="45"/>
      <c r="AH3063" s="45"/>
      <c r="AI3063" s="45"/>
      <c r="AJ3063" s="45"/>
      <c r="AK3063" s="45"/>
      <c r="AL3063" s="45"/>
    </row>
    <row r="3064" ht="15.75" customHeight="1">
      <c r="A3064" s="27">
        <f t="shared" si="23"/>
        <v>1942</v>
      </c>
      <c r="B3064" s="86" t="s">
        <v>10663</v>
      </c>
      <c r="C3064" s="86" t="s">
        <v>10664</v>
      </c>
      <c r="D3064" s="117" t="s">
        <v>10665</v>
      </c>
      <c r="E3064" s="83"/>
      <c r="F3064" s="86" t="s">
        <v>29</v>
      </c>
      <c r="G3064" s="86" t="s">
        <v>30</v>
      </c>
      <c r="H3064" s="83"/>
      <c r="I3064" s="86" t="s">
        <v>30</v>
      </c>
      <c r="J3064" s="86">
        <v>692.0</v>
      </c>
      <c r="K3064" s="83"/>
      <c r="L3064" s="86" t="s">
        <v>780</v>
      </c>
      <c r="M3064" s="86" t="s">
        <v>169</v>
      </c>
      <c r="N3064" s="86">
        <v>2016.0</v>
      </c>
      <c r="O3064" s="86">
        <v>5.0</v>
      </c>
      <c r="P3064" s="86">
        <v>1.0</v>
      </c>
      <c r="Q3064" s="86">
        <v>1.0</v>
      </c>
      <c r="R3064" s="84"/>
      <c r="S3064" s="34"/>
      <c r="T3064" s="34"/>
      <c r="U3064" s="34"/>
      <c r="V3064" s="34"/>
      <c r="W3064" s="34"/>
      <c r="X3064" s="34"/>
      <c r="Y3064" s="45"/>
      <c r="Z3064" s="45"/>
      <c r="AA3064" s="45"/>
      <c r="AB3064" s="45"/>
      <c r="AC3064" s="45"/>
      <c r="AD3064" s="45"/>
      <c r="AE3064" s="45"/>
      <c r="AF3064" s="45"/>
      <c r="AG3064" s="45"/>
      <c r="AH3064" s="45"/>
      <c r="AI3064" s="45"/>
      <c r="AJ3064" s="45"/>
      <c r="AK3064" s="45"/>
      <c r="AL3064" s="45"/>
    </row>
    <row r="3065" ht="15.75" customHeight="1">
      <c r="A3065" s="27">
        <f t="shared" si="23"/>
        <v>1943</v>
      </c>
      <c r="B3065" s="86" t="s">
        <v>10666</v>
      </c>
      <c r="C3065" s="86" t="s">
        <v>10664</v>
      </c>
      <c r="D3065" s="117" t="s">
        <v>10667</v>
      </c>
      <c r="E3065" s="83"/>
      <c r="F3065" s="86" t="s">
        <v>29</v>
      </c>
      <c r="G3065" s="86" t="s">
        <v>30</v>
      </c>
      <c r="H3065" s="83"/>
      <c r="I3065" s="86" t="s">
        <v>30</v>
      </c>
      <c r="J3065" s="86">
        <v>642.0</v>
      </c>
      <c r="K3065" s="83"/>
      <c r="L3065" s="86" t="s">
        <v>780</v>
      </c>
      <c r="M3065" s="86" t="s">
        <v>169</v>
      </c>
      <c r="N3065" s="86">
        <v>2016.0</v>
      </c>
      <c r="O3065" s="86">
        <v>5.0</v>
      </c>
      <c r="P3065" s="86">
        <v>1.0</v>
      </c>
      <c r="Q3065" s="86">
        <v>1.0</v>
      </c>
      <c r="R3065" s="84"/>
      <c r="S3065" s="34"/>
      <c r="T3065" s="34"/>
      <c r="U3065" s="34"/>
      <c r="V3065" s="34"/>
      <c r="W3065" s="34"/>
      <c r="X3065" s="34"/>
      <c r="Y3065" s="3"/>
      <c r="Z3065" s="3"/>
      <c r="AA3065" s="3"/>
      <c r="AB3065" s="3"/>
      <c r="AC3065" s="3"/>
      <c r="AD3065" s="3"/>
      <c r="AE3065" s="3"/>
      <c r="AF3065" s="3"/>
      <c r="AG3065" s="3"/>
      <c r="AH3065" s="3"/>
      <c r="AI3065" s="3"/>
      <c r="AJ3065" s="3"/>
      <c r="AK3065" s="3"/>
      <c r="AL3065" s="3"/>
    </row>
    <row r="3066" ht="15.75" customHeight="1">
      <c r="A3066" s="27">
        <f t="shared" si="23"/>
        <v>1944</v>
      </c>
      <c r="B3066" s="86" t="s">
        <v>10668</v>
      </c>
      <c r="C3066" s="86" t="s">
        <v>10669</v>
      </c>
      <c r="D3066" s="117" t="s">
        <v>10670</v>
      </c>
      <c r="E3066" s="83"/>
      <c r="F3066" s="86" t="s">
        <v>29</v>
      </c>
      <c r="G3066" s="86" t="s">
        <v>30</v>
      </c>
      <c r="H3066" s="83"/>
      <c r="I3066" s="86" t="s">
        <v>30</v>
      </c>
      <c r="J3066" s="86">
        <v>1130.0</v>
      </c>
      <c r="K3066" s="83"/>
      <c r="L3066" s="86" t="s">
        <v>780</v>
      </c>
      <c r="M3066" s="86" t="s">
        <v>169</v>
      </c>
      <c r="N3066" s="86">
        <v>2017.0</v>
      </c>
      <c r="O3066" s="86">
        <v>5.0</v>
      </c>
      <c r="P3066" s="86">
        <v>1.0</v>
      </c>
      <c r="Q3066" s="86">
        <v>1.0</v>
      </c>
      <c r="R3066" s="84"/>
      <c r="S3066" s="34"/>
      <c r="T3066" s="34"/>
      <c r="U3066" s="34"/>
      <c r="V3066" s="34"/>
      <c r="W3066" s="34"/>
      <c r="X3066" s="34"/>
      <c r="Y3066" s="3"/>
      <c r="Z3066" s="3"/>
      <c r="AA3066" s="3"/>
      <c r="AB3066" s="3"/>
      <c r="AC3066" s="3"/>
      <c r="AD3066" s="3"/>
      <c r="AE3066" s="3"/>
      <c r="AF3066" s="3"/>
      <c r="AG3066" s="3"/>
      <c r="AH3066" s="3"/>
      <c r="AI3066" s="3"/>
      <c r="AJ3066" s="3"/>
      <c r="AK3066" s="3"/>
      <c r="AL3066" s="3"/>
    </row>
    <row r="3067" ht="15.75" customHeight="1">
      <c r="A3067" s="27">
        <f t="shared" si="23"/>
        <v>1945</v>
      </c>
      <c r="B3067" s="86" t="s">
        <v>10671</v>
      </c>
      <c r="C3067" s="86" t="s">
        <v>10672</v>
      </c>
      <c r="D3067" s="117" t="s">
        <v>10673</v>
      </c>
      <c r="E3067" s="83"/>
      <c r="F3067" s="86" t="s">
        <v>29</v>
      </c>
      <c r="G3067" s="86" t="s">
        <v>30</v>
      </c>
      <c r="H3067" s="83"/>
      <c r="I3067" s="86" t="s">
        <v>30</v>
      </c>
      <c r="J3067" s="86">
        <v>865.0</v>
      </c>
      <c r="K3067" s="83"/>
      <c r="L3067" s="86" t="s">
        <v>780</v>
      </c>
      <c r="M3067" s="86" t="s">
        <v>169</v>
      </c>
      <c r="N3067" s="86">
        <v>2016.0</v>
      </c>
      <c r="O3067" s="86">
        <v>8.0</v>
      </c>
      <c r="P3067" s="86">
        <v>1.0</v>
      </c>
      <c r="Q3067" s="86">
        <v>1.0</v>
      </c>
      <c r="R3067" s="84"/>
      <c r="S3067" s="116"/>
      <c r="T3067" s="116"/>
      <c r="U3067" s="116"/>
      <c r="V3067" s="116"/>
      <c r="W3067" s="116"/>
      <c r="X3067" s="116"/>
      <c r="Y3067" s="3"/>
      <c r="Z3067" s="3"/>
      <c r="AA3067" s="3"/>
      <c r="AB3067" s="3"/>
      <c r="AC3067" s="3"/>
      <c r="AD3067" s="3"/>
      <c r="AE3067" s="3"/>
      <c r="AF3067" s="3"/>
      <c r="AG3067" s="3"/>
      <c r="AH3067" s="3"/>
      <c r="AI3067" s="3"/>
      <c r="AJ3067" s="3"/>
      <c r="AK3067" s="3"/>
      <c r="AL3067" s="3"/>
    </row>
    <row r="3068" ht="15.75" customHeight="1">
      <c r="A3068" s="27">
        <f t="shared" si="23"/>
        <v>1946</v>
      </c>
      <c r="B3068" s="86" t="s">
        <v>10674</v>
      </c>
      <c r="C3068" s="86" t="s">
        <v>10675</v>
      </c>
      <c r="D3068" s="117" t="s">
        <v>10676</v>
      </c>
      <c r="E3068" s="83"/>
      <c r="F3068" s="86" t="s">
        <v>29</v>
      </c>
      <c r="G3068" s="86" t="s">
        <v>30</v>
      </c>
      <c r="H3068" s="83"/>
      <c r="I3068" s="86" t="s">
        <v>30</v>
      </c>
      <c r="J3068" s="86">
        <v>443.0</v>
      </c>
      <c r="K3068" s="83"/>
      <c r="L3068" s="86" t="s">
        <v>780</v>
      </c>
      <c r="M3068" s="86" t="s">
        <v>169</v>
      </c>
      <c r="N3068" s="86">
        <v>2009.0</v>
      </c>
      <c r="O3068" s="86">
        <v>8.0</v>
      </c>
      <c r="P3068" s="86">
        <v>1.0</v>
      </c>
      <c r="Q3068" s="86">
        <v>1.0</v>
      </c>
      <c r="R3068" s="84"/>
      <c r="S3068" s="34"/>
      <c r="T3068" s="34"/>
      <c r="U3068" s="34"/>
      <c r="V3068" s="34"/>
      <c r="W3068" s="34"/>
      <c r="X3068" s="34"/>
      <c r="Y3068" s="45"/>
      <c r="Z3068" s="45"/>
      <c r="AA3068" s="45"/>
      <c r="AB3068" s="45"/>
      <c r="AC3068" s="45"/>
      <c r="AD3068" s="45"/>
      <c r="AE3068" s="45"/>
      <c r="AF3068" s="45"/>
      <c r="AG3068" s="45"/>
      <c r="AH3068" s="45"/>
      <c r="AI3068" s="45"/>
      <c r="AJ3068" s="45"/>
      <c r="AK3068" s="45"/>
      <c r="AL3068" s="45"/>
    </row>
    <row r="3069" ht="15.75" customHeight="1">
      <c r="A3069" s="27">
        <f t="shared" si="23"/>
        <v>1947</v>
      </c>
      <c r="B3069" s="86" t="s">
        <v>10677</v>
      </c>
      <c r="C3069" s="86" t="s">
        <v>10678</v>
      </c>
      <c r="D3069" s="117" t="s">
        <v>10679</v>
      </c>
      <c r="E3069" s="83"/>
      <c r="F3069" s="86" t="s">
        <v>29</v>
      </c>
      <c r="G3069" s="86" t="s">
        <v>30</v>
      </c>
      <c r="H3069" s="83"/>
      <c r="I3069" s="86" t="s">
        <v>30</v>
      </c>
      <c r="J3069" s="86">
        <v>644.0</v>
      </c>
      <c r="K3069" s="83"/>
      <c r="L3069" s="86" t="s">
        <v>780</v>
      </c>
      <c r="M3069" s="86" t="s">
        <v>169</v>
      </c>
      <c r="N3069" s="86">
        <v>2010.0</v>
      </c>
      <c r="O3069" s="86">
        <v>8.0</v>
      </c>
      <c r="P3069" s="86">
        <v>1.0</v>
      </c>
      <c r="Q3069" s="86">
        <v>1.0</v>
      </c>
      <c r="R3069" s="84"/>
      <c r="S3069" s="34"/>
      <c r="T3069" s="34"/>
      <c r="U3069" s="34"/>
      <c r="V3069" s="34"/>
      <c r="W3069" s="34"/>
      <c r="X3069" s="34"/>
      <c r="Y3069" s="45"/>
      <c r="Z3069" s="45"/>
      <c r="AA3069" s="45"/>
      <c r="AB3069" s="45"/>
      <c r="AC3069" s="45"/>
      <c r="AD3069" s="45"/>
      <c r="AE3069" s="45"/>
      <c r="AF3069" s="45"/>
      <c r="AG3069" s="45"/>
      <c r="AH3069" s="45"/>
      <c r="AI3069" s="45"/>
      <c r="AJ3069" s="45"/>
      <c r="AK3069" s="45"/>
      <c r="AL3069" s="45"/>
    </row>
    <row r="3070" ht="15.75" customHeight="1">
      <c r="A3070" s="27">
        <f t="shared" si="23"/>
        <v>1948</v>
      </c>
      <c r="B3070" s="86" t="s">
        <v>10680</v>
      </c>
      <c r="C3070" s="86" t="s">
        <v>10681</v>
      </c>
      <c r="D3070" s="117" t="s">
        <v>10682</v>
      </c>
      <c r="E3070" s="83"/>
      <c r="F3070" s="86" t="s">
        <v>29</v>
      </c>
      <c r="G3070" s="86" t="s">
        <v>38</v>
      </c>
      <c r="H3070" s="83"/>
      <c r="I3070" s="86" t="s">
        <v>38</v>
      </c>
      <c r="J3070" s="86">
        <v>416.0</v>
      </c>
      <c r="K3070" s="83"/>
      <c r="L3070" s="86" t="s">
        <v>10683</v>
      </c>
      <c r="M3070" s="86" t="s">
        <v>10684</v>
      </c>
      <c r="N3070" s="86">
        <v>2014.0</v>
      </c>
      <c r="O3070" s="86">
        <v>5.0</v>
      </c>
      <c r="P3070" s="86">
        <v>1.0</v>
      </c>
      <c r="Q3070" s="86">
        <v>1.0</v>
      </c>
      <c r="R3070" s="84"/>
      <c r="S3070" s="34"/>
      <c r="T3070" s="34"/>
      <c r="U3070" s="34"/>
      <c r="V3070" s="34"/>
      <c r="W3070" s="34"/>
      <c r="X3070" s="34"/>
      <c r="Y3070" s="45"/>
      <c r="Z3070" s="45"/>
      <c r="AA3070" s="45"/>
      <c r="AB3070" s="45"/>
      <c r="AC3070" s="45"/>
      <c r="AD3070" s="45"/>
      <c r="AE3070" s="45"/>
      <c r="AF3070" s="45"/>
      <c r="AG3070" s="45"/>
      <c r="AH3070" s="45"/>
      <c r="AI3070" s="45"/>
      <c r="AJ3070" s="45"/>
      <c r="AK3070" s="45"/>
      <c r="AL3070" s="45"/>
    </row>
    <row r="3071" ht="15.75" customHeight="1">
      <c r="A3071" s="27">
        <f t="shared" si="23"/>
        <v>1949</v>
      </c>
      <c r="B3071" s="86" t="s">
        <v>10685</v>
      </c>
      <c r="C3071" s="86" t="s">
        <v>10686</v>
      </c>
      <c r="D3071" s="117" t="s">
        <v>10687</v>
      </c>
      <c r="E3071" s="83" t="s">
        <v>28</v>
      </c>
      <c r="F3071" s="86" t="s">
        <v>29</v>
      </c>
      <c r="G3071" s="86" t="s">
        <v>37</v>
      </c>
      <c r="H3071" s="83"/>
      <c r="I3071" s="86" t="s">
        <v>38</v>
      </c>
      <c r="J3071" s="86">
        <v>424.0</v>
      </c>
      <c r="K3071" s="83"/>
      <c r="L3071" s="86" t="s">
        <v>1729</v>
      </c>
      <c r="M3071" s="86" t="s">
        <v>49</v>
      </c>
      <c r="N3071" s="86">
        <v>1976.0</v>
      </c>
      <c r="O3071" s="86">
        <v>5.0</v>
      </c>
      <c r="P3071" s="86">
        <v>1.0</v>
      </c>
      <c r="Q3071" s="86">
        <v>1.0</v>
      </c>
      <c r="R3071" s="84"/>
      <c r="S3071" s="34"/>
      <c r="T3071" s="34"/>
      <c r="U3071" s="34"/>
      <c r="V3071" s="34"/>
      <c r="W3071" s="34"/>
      <c r="X3071" s="34"/>
      <c r="Y3071" s="45"/>
      <c r="Z3071" s="45"/>
      <c r="AA3071" s="45"/>
      <c r="AB3071" s="45"/>
      <c r="AC3071" s="45"/>
      <c r="AD3071" s="45"/>
      <c r="AE3071" s="45"/>
      <c r="AF3071" s="45"/>
      <c r="AG3071" s="45"/>
      <c r="AH3071" s="45"/>
      <c r="AI3071" s="45"/>
      <c r="AJ3071" s="45"/>
      <c r="AK3071" s="45"/>
      <c r="AL3071" s="45"/>
    </row>
    <row r="3072" ht="15.75" customHeight="1">
      <c r="A3072" s="27">
        <f t="shared" si="23"/>
        <v>1950</v>
      </c>
      <c r="B3072" s="86" t="s">
        <v>10688</v>
      </c>
      <c r="C3072" s="238" t="s">
        <v>10689</v>
      </c>
      <c r="D3072" s="117" t="s">
        <v>1902</v>
      </c>
      <c r="E3072" s="83" t="s">
        <v>28</v>
      </c>
      <c r="F3072" s="86" t="s">
        <v>29</v>
      </c>
      <c r="G3072" s="86" t="s">
        <v>37</v>
      </c>
      <c r="H3072" s="83"/>
      <c r="I3072" s="86" t="s">
        <v>38</v>
      </c>
      <c r="J3072" s="86">
        <v>317.0</v>
      </c>
      <c r="K3072" s="83"/>
      <c r="L3072" s="86" t="s">
        <v>10690</v>
      </c>
      <c r="M3072" s="86" t="s">
        <v>49</v>
      </c>
      <c r="N3072" s="86">
        <v>1988.0</v>
      </c>
      <c r="O3072" s="86">
        <v>5.0</v>
      </c>
      <c r="P3072" s="86">
        <v>1.0</v>
      </c>
      <c r="Q3072" s="86">
        <v>1.0</v>
      </c>
      <c r="R3072" s="84"/>
      <c r="S3072" s="34"/>
      <c r="T3072" s="34"/>
      <c r="U3072" s="34"/>
      <c r="V3072" s="34"/>
      <c r="W3072" s="34"/>
      <c r="X3072" s="34"/>
      <c r="Y3072" s="45"/>
      <c r="Z3072" s="45"/>
      <c r="AA3072" s="45"/>
      <c r="AB3072" s="45"/>
      <c r="AC3072" s="45"/>
      <c r="AD3072" s="45"/>
      <c r="AE3072" s="45"/>
      <c r="AF3072" s="45"/>
      <c r="AG3072" s="45"/>
      <c r="AH3072" s="45"/>
      <c r="AI3072" s="45"/>
      <c r="AJ3072" s="45"/>
      <c r="AK3072" s="45"/>
      <c r="AL3072" s="45"/>
    </row>
    <row r="3073" ht="15.75" customHeight="1">
      <c r="A3073" s="27">
        <f t="shared" si="23"/>
        <v>1951</v>
      </c>
      <c r="B3073" s="86" t="s">
        <v>10691</v>
      </c>
      <c r="C3073" s="86" t="s">
        <v>10692</v>
      </c>
      <c r="D3073" s="117" t="s">
        <v>10693</v>
      </c>
      <c r="E3073" s="83" t="s">
        <v>28</v>
      </c>
      <c r="F3073" s="86" t="s">
        <v>29</v>
      </c>
      <c r="G3073" s="86" t="s">
        <v>37</v>
      </c>
      <c r="H3073" s="83"/>
      <c r="I3073" s="86" t="s">
        <v>38</v>
      </c>
      <c r="J3073" s="86">
        <v>396.0</v>
      </c>
      <c r="K3073" s="83"/>
      <c r="L3073" s="86" t="s">
        <v>10694</v>
      </c>
      <c r="M3073" s="86" t="s">
        <v>49</v>
      </c>
      <c r="N3073" s="86">
        <v>1981.0</v>
      </c>
      <c r="O3073" s="86">
        <v>5.0</v>
      </c>
      <c r="P3073" s="86">
        <v>1.0</v>
      </c>
      <c r="Q3073" s="86">
        <v>1.0</v>
      </c>
      <c r="R3073" s="84"/>
      <c r="S3073" s="34"/>
      <c r="T3073" s="34"/>
      <c r="U3073" s="34"/>
      <c r="V3073" s="34"/>
      <c r="W3073" s="34"/>
      <c r="X3073" s="34"/>
      <c r="Y3073" s="45"/>
      <c r="Z3073" s="45"/>
      <c r="AA3073" s="45"/>
      <c r="AB3073" s="45"/>
      <c r="AC3073" s="45"/>
      <c r="AD3073" s="45"/>
      <c r="AE3073" s="45"/>
      <c r="AF3073" s="45"/>
      <c r="AG3073" s="45"/>
      <c r="AH3073" s="45"/>
      <c r="AI3073" s="45"/>
      <c r="AJ3073" s="45"/>
      <c r="AK3073" s="45"/>
      <c r="AL3073" s="45"/>
    </row>
    <row r="3074" ht="15.75" customHeight="1">
      <c r="A3074" s="27">
        <f t="shared" si="23"/>
        <v>1952</v>
      </c>
      <c r="B3074" s="86" t="s">
        <v>10695</v>
      </c>
      <c r="C3074" s="86" t="s">
        <v>10696</v>
      </c>
      <c r="D3074" s="117" t="s">
        <v>10697</v>
      </c>
      <c r="E3074" s="83" t="s">
        <v>28</v>
      </c>
      <c r="F3074" s="86" t="s">
        <v>29</v>
      </c>
      <c r="G3074" s="86" t="s">
        <v>37</v>
      </c>
      <c r="H3074" s="83"/>
      <c r="I3074" s="86" t="s">
        <v>38</v>
      </c>
      <c r="J3074" s="86">
        <v>693.0</v>
      </c>
      <c r="K3074" s="83"/>
      <c r="L3074" s="86" t="s">
        <v>10698</v>
      </c>
      <c r="M3074" s="86" t="s">
        <v>49</v>
      </c>
      <c r="N3074" s="86">
        <v>2004.0</v>
      </c>
      <c r="O3074" s="86">
        <v>5.0</v>
      </c>
      <c r="P3074" s="86">
        <v>1.0</v>
      </c>
      <c r="Q3074" s="86">
        <v>1.0</v>
      </c>
      <c r="R3074" s="84"/>
      <c r="S3074" s="34"/>
      <c r="T3074" s="34"/>
      <c r="U3074" s="34"/>
      <c r="V3074" s="34"/>
      <c r="W3074" s="34"/>
      <c r="X3074" s="34"/>
      <c r="Y3074" s="3"/>
      <c r="Z3074" s="3"/>
      <c r="AA3074" s="3"/>
      <c r="AB3074" s="3"/>
      <c r="AC3074" s="3"/>
      <c r="AD3074" s="3"/>
      <c r="AE3074" s="3"/>
      <c r="AF3074" s="3"/>
      <c r="AG3074" s="3"/>
      <c r="AH3074" s="3"/>
      <c r="AI3074" s="3"/>
      <c r="AJ3074" s="3"/>
      <c r="AK3074" s="3"/>
      <c r="AL3074" s="3"/>
    </row>
    <row r="3075" ht="15.75" customHeight="1">
      <c r="A3075" s="27">
        <f t="shared" si="23"/>
        <v>1953</v>
      </c>
      <c r="B3075" s="86" t="s">
        <v>10699</v>
      </c>
      <c r="C3075" s="240" t="s">
        <v>10700</v>
      </c>
      <c r="D3075" s="117" t="s">
        <v>10701</v>
      </c>
      <c r="E3075" s="83" t="s">
        <v>28</v>
      </c>
      <c r="F3075" s="86" t="s">
        <v>29</v>
      </c>
      <c r="G3075" s="86" t="s">
        <v>37</v>
      </c>
      <c r="H3075" s="83"/>
      <c r="I3075" s="86" t="s">
        <v>38</v>
      </c>
      <c r="J3075" s="86">
        <v>387.0</v>
      </c>
      <c r="K3075" s="83"/>
      <c r="L3075" s="86" t="s">
        <v>10702</v>
      </c>
      <c r="M3075" s="86" t="s">
        <v>382</v>
      </c>
      <c r="N3075" s="86">
        <v>1985.0</v>
      </c>
      <c r="O3075" s="86">
        <v>6.0</v>
      </c>
      <c r="P3075" s="86">
        <v>1.0</v>
      </c>
      <c r="Q3075" s="86">
        <v>1.0</v>
      </c>
      <c r="R3075" s="84"/>
      <c r="S3075" s="34"/>
      <c r="T3075" s="34"/>
      <c r="U3075" s="34"/>
      <c r="V3075" s="34"/>
      <c r="W3075" s="34"/>
      <c r="X3075" s="34"/>
      <c r="Y3075" s="3"/>
      <c r="Z3075" s="3"/>
      <c r="AA3075" s="3"/>
      <c r="AB3075" s="3"/>
      <c r="AC3075" s="3"/>
      <c r="AD3075" s="3"/>
      <c r="AE3075" s="3"/>
      <c r="AF3075" s="3"/>
      <c r="AG3075" s="3"/>
      <c r="AH3075" s="3"/>
      <c r="AI3075" s="3"/>
      <c r="AJ3075" s="3"/>
      <c r="AK3075" s="3"/>
      <c r="AL3075" s="3"/>
    </row>
    <row r="3076" ht="15.75" customHeight="1">
      <c r="A3076" s="27">
        <f t="shared" si="23"/>
        <v>1954</v>
      </c>
      <c r="B3076" s="86" t="s">
        <v>10703</v>
      </c>
      <c r="C3076" s="241" t="s">
        <v>10704</v>
      </c>
      <c r="D3076" s="117" t="s">
        <v>10705</v>
      </c>
      <c r="E3076" s="83" t="s">
        <v>28</v>
      </c>
      <c r="F3076" s="86" t="s">
        <v>29</v>
      </c>
      <c r="G3076" s="86" t="s">
        <v>37</v>
      </c>
      <c r="H3076" s="83"/>
      <c r="I3076" s="86" t="s">
        <v>38</v>
      </c>
      <c r="J3076" s="86">
        <v>170.0</v>
      </c>
      <c r="K3076" s="83"/>
      <c r="L3076" s="86" t="s">
        <v>1687</v>
      </c>
      <c r="M3076" s="86" t="s">
        <v>382</v>
      </c>
      <c r="N3076" s="86">
        <v>1992.0</v>
      </c>
      <c r="O3076" s="86">
        <v>6.0</v>
      </c>
      <c r="P3076" s="86">
        <v>1.0</v>
      </c>
      <c r="Q3076" s="86">
        <v>1.0</v>
      </c>
      <c r="R3076" s="84"/>
      <c r="S3076" s="34"/>
      <c r="T3076" s="34"/>
      <c r="U3076" s="34"/>
      <c r="V3076" s="34"/>
      <c r="W3076" s="34"/>
      <c r="X3076" s="34"/>
      <c r="Y3076" s="45"/>
      <c r="Z3076" s="45"/>
      <c r="AA3076" s="45"/>
      <c r="AB3076" s="45"/>
      <c r="AC3076" s="45"/>
      <c r="AD3076" s="45"/>
      <c r="AE3076" s="45"/>
      <c r="AF3076" s="45"/>
      <c r="AG3076" s="45"/>
      <c r="AH3076" s="45"/>
      <c r="AI3076" s="45"/>
      <c r="AJ3076" s="45"/>
      <c r="AK3076" s="45"/>
      <c r="AL3076" s="45"/>
    </row>
    <row r="3077" ht="15.75" customHeight="1">
      <c r="A3077" s="27">
        <f t="shared" si="23"/>
        <v>1955</v>
      </c>
      <c r="B3077" s="86" t="s">
        <v>10706</v>
      </c>
      <c r="C3077" s="86" t="s">
        <v>10707</v>
      </c>
      <c r="D3077" s="117" t="s">
        <v>10708</v>
      </c>
      <c r="E3077" s="83" t="s">
        <v>28</v>
      </c>
      <c r="F3077" s="86" t="s">
        <v>29</v>
      </c>
      <c r="G3077" s="86" t="s">
        <v>37</v>
      </c>
      <c r="H3077" s="83"/>
      <c r="I3077" s="86" t="s">
        <v>38</v>
      </c>
      <c r="J3077" s="86">
        <v>388.0</v>
      </c>
      <c r="K3077" s="83"/>
      <c r="L3077" s="86" t="s">
        <v>10709</v>
      </c>
      <c r="M3077" s="86" t="s">
        <v>382</v>
      </c>
      <c r="N3077" s="86">
        <v>1991.0</v>
      </c>
      <c r="O3077" s="86">
        <v>6.0</v>
      </c>
      <c r="P3077" s="86">
        <v>1.0</v>
      </c>
      <c r="Q3077" s="86">
        <v>1.0</v>
      </c>
      <c r="R3077" s="84"/>
      <c r="S3077" s="34"/>
      <c r="T3077" s="34"/>
      <c r="U3077" s="34"/>
      <c r="V3077" s="34"/>
      <c r="W3077" s="34"/>
      <c r="X3077" s="34"/>
      <c r="Y3077" s="45"/>
      <c r="Z3077" s="45"/>
      <c r="AA3077" s="45"/>
      <c r="AB3077" s="45"/>
      <c r="AC3077" s="45"/>
      <c r="AD3077" s="45"/>
      <c r="AE3077" s="45"/>
      <c r="AF3077" s="45"/>
      <c r="AG3077" s="45"/>
      <c r="AH3077" s="45"/>
      <c r="AI3077" s="45"/>
      <c r="AJ3077" s="45"/>
      <c r="AK3077" s="45"/>
      <c r="AL3077" s="45"/>
    </row>
    <row r="3078" ht="15.75" customHeight="1">
      <c r="A3078" s="27">
        <f t="shared" si="23"/>
        <v>1956</v>
      </c>
      <c r="B3078" s="86" t="s">
        <v>10710</v>
      </c>
      <c r="C3078" s="238" t="s">
        <v>10711</v>
      </c>
      <c r="D3078" s="117" t="s">
        <v>10712</v>
      </c>
      <c r="E3078" s="83" t="s">
        <v>28</v>
      </c>
      <c r="F3078" s="86" t="s">
        <v>29</v>
      </c>
      <c r="G3078" s="86" t="s">
        <v>37</v>
      </c>
      <c r="H3078" s="83"/>
      <c r="I3078" s="86" t="s">
        <v>38</v>
      </c>
      <c r="J3078" s="86">
        <v>402.0</v>
      </c>
      <c r="K3078" s="83"/>
      <c r="L3078" s="86" t="s">
        <v>10713</v>
      </c>
      <c r="M3078" s="86" t="s">
        <v>382</v>
      </c>
      <c r="N3078" s="86">
        <v>1995.0</v>
      </c>
      <c r="O3078" s="86">
        <v>6.0</v>
      </c>
      <c r="P3078" s="86">
        <v>1.0</v>
      </c>
      <c r="Q3078" s="86">
        <v>1.0</v>
      </c>
      <c r="R3078" s="84"/>
      <c r="S3078" s="34"/>
      <c r="T3078" s="34"/>
      <c r="U3078" s="34"/>
      <c r="V3078" s="34"/>
      <c r="W3078" s="34"/>
      <c r="X3078" s="34"/>
      <c r="Y3078" s="45"/>
      <c r="Z3078" s="45"/>
      <c r="AA3078" s="45"/>
      <c r="AB3078" s="45"/>
      <c r="AC3078" s="45"/>
      <c r="AD3078" s="45"/>
      <c r="AE3078" s="45"/>
      <c r="AF3078" s="45"/>
      <c r="AG3078" s="45"/>
      <c r="AH3078" s="45"/>
      <c r="AI3078" s="45"/>
      <c r="AJ3078" s="45"/>
      <c r="AK3078" s="45"/>
      <c r="AL3078" s="45"/>
    </row>
    <row r="3079" ht="15.75" customHeight="1">
      <c r="A3079" s="27">
        <f t="shared" si="23"/>
        <v>1957</v>
      </c>
      <c r="B3079" s="86" t="s">
        <v>10714</v>
      </c>
      <c r="C3079" s="240" t="s">
        <v>10715</v>
      </c>
      <c r="D3079" s="117" t="s">
        <v>10716</v>
      </c>
      <c r="E3079" s="83" t="s">
        <v>28</v>
      </c>
      <c r="F3079" s="86" t="s">
        <v>29</v>
      </c>
      <c r="G3079" s="86" t="s">
        <v>37</v>
      </c>
      <c r="H3079" s="83"/>
      <c r="I3079" s="86" t="s">
        <v>38</v>
      </c>
      <c r="J3079" s="86">
        <v>306.0</v>
      </c>
      <c r="K3079" s="83"/>
      <c r="L3079" s="86" t="s">
        <v>1750</v>
      </c>
      <c r="M3079" s="86" t="s">
        <v>382</v>
      </c>
      <c r="N3079" s="86">
        <v>1987.0</v>
      </c>
      <c r="O3079" s="86">
        <v>6.0</v>
      </c>
      <c r="P3079" s="86">
        <v>1.0</v>
      </c>
      <c r="Q3079" s="86">
        <v>1.0</v>
      </c>
      <c r="R3079" s="84"/>
      <c r="S3079" s="34"/>
      <c r="T3079" s="34"/>
      <c r="U3079" s="34"/>
      <c r="V3079" s="34"/>
      <c r="W3079" s="34"/>
      <c r="X3079" s="34"/>
      <c r="Y3079" s="45"/>
      <c r="Z3079" s="45"/>
      <c r="AA3079" s="45"/>
      <c r="AB3079" s="45"/>
      <c r="AC3079" s="45"/>
      <c r="AD3079" s="45"/>
      <c r="AE3079" s="45"/>
      <c r="AF3079" s="45"/>
      <c r="AG3079" s="45"/>
      <c r="AH3079" s="45"/>
      <c r="AI3079" s="45"/>
      <c r="AJ3079" s="45"/>
      <c r="AK3079" s="45"/>
      <c r="AL3079" s="45"/>
    </row>
    <row r="3080" ht="15.75" customHeight="1">
      <c r="A3080" s="27">
        <f t="shared" si="23"/>
        <v>1958</v>
      </c>
      <c r="B3080" s="86" t="s">
        <v>10717</v>
      </c>
      <c r="C3080" s="240" t="s">
        <v>10715</v>
      </c>
      <c r="D3080" s="117" t="s">
        <v>10718</v>
      </c>
      <c r="E3080" s="83" t="s">
        <v>28</v>
      </c>
      <c r="F3080" s="86" t="s">
        <v>29</v>
      </c>
      <c r="G3080" s="86" t="s">
        <v>37</v>
      </c>
      <c r="H3080" s="83"/>
      <c r="I3080" s="86" t="s">
        <v>38</v>
      </c>
      <c r="J3080" s="86">
        <v>301.0</v>
      </c>
      <c r="K3080" s="83"/>
      <c r="L3080" s="86" t="s">
        <v>1750</v>
      </c>
      <c r="M3080" s="86" t="s">
        <v>382</v>
      </c>
      <c r="N3080" s="86">
        <v>1990.0</v>
      </c>
      <c r="O3080" s="86">
        <v>6.0</v>
      </c>
      <c r="P3080" s="86">
        <v>1.0</v>
      </c>
      <c r="Q3080" s="86">
        <v>1.0</v>
      </c>
      <c r="R3080" s="84"/>
      <c r="S3080" s="34"/>
      <c r="T3080" s="34"/>
      <c r="U3080" s="34"/>
      <c r="V3080" s="34"/>
      <c r="W3080" s="34"/>
      <c r="X3080" s="34"/>
      <c r="Y3080" s="45"/>
      <c r="Z3080" s="45"/>
      <c r="AA3080" s="45"/>
      <c r="AB3080" s="45"/>
      <c r="AC3080" s="45"/>
      <c r="AD3080" s="45"/>
      <c r="AE3080" s="45"/>
      <c r="AF3080" s="45"/>
      <c r="AG3080" s="45"/>
      <c r="AH3080" s="45"/>
      <c r="AI3080" s="45"/>
      <c r="AJ3080" s="45"/>
      <c r="AK3080" s="45"/>
      <c r="AL3080" s="45"/>
    </row>
    <row r="3081" ht="15.75" customHeight="1">
      <c r="A3081" s="27">
        <f t="shared" si="23"/>
        <v>1959</v>
      </c>
      <c r="B3081" s="86" t="s">
        <v>10719</v>
      </c>
      <c r="C3081" s="86" t="s">
        <v>791</v>
      </c>
      <c r="D3081" s="117" t="s">
        <v>10720</v>
      </c>
      <c r="E3081" s="83" t="s">
        <v>28</v>
      </c>
      <c r="F3081" s="86" t="s">
        <v>29</v>
      </c>
      <c r="G3081" s="86" t="s">
        <v>37</v>
      </c>
      <c r="H3081" s="83"/>
      <c r="I3081" s="86" t="s">
        <v>38</v>
      </c>
      <c r="J3081" s="86">
        <v>590.0</v>
      </c>
      <c r="K3081" s="83"/>
      <c r="L3081" s="86" t="s">
        <v>10721</v>
      </c>
      <c r="M3081" s="86" t="s">
        <v>123</v>
      </c>
      <c r="N3081" s="86">
        <v>2000.0</v>
      </c>
      <c r="O3081" s="86">
        <v>5.0</v>
      </c>
      <c r="P3081" s="86">
        <v>1.0</v>
      </c>
      <c r="Q3081" s="86">
        <v>1.0</v>
      </c>
      <c r="R3081" s="84"/>
      <c r="S3081" s="34"/>
      <c r="T3081" s="34"/>
      <c r="U3081" s="34"/>
      <c r="V3081" s="34"/>
      <c r="W3081" s="34"/>
      <c r="X3081" s="34"/>
      <c r="Y3081" s="45"/>
      <c r="Z3081" s="45"/>
      <c r="AA3081" s="45"/>
      <c r="AB3081" s="45"/>
      <c r="AC3081" s="45"/>
      <c r="AD3081" s="45"/>
      <c r="AE3081" s="45"/>
      <c r="AF3081" s="45"/>
      <c r="AG3081" s="45"/>
      <c r="AH3081" s="45"/>
      <c r="AI3081" s="45"/>
      <c r="AJ3081" s="45"/>
      <c r="AK3081" s="45"/>
      <c r="AL3081" s="45"/>
    </row>
    <row r="3082" ht="15.75" customHeight="1">
      <c r="A3082" s="27">
        <f t="shared" si="23"/>
        <v>1960</v>
      </c>
      <c r="B3082" s="86" t="s">
        <v>10722</v>
      </c>
      <c r="C3082" s="86" t="s">
        <v>10723</v>
      </c>
      <c r="D3082" s="117" t="s">
        <v>10724</v>
      </c>
      <c r="E3082" s="83" t="s">
        <v>28</v>
      </c>
      <c r="F3082" s="86" t="s">
        <v>29</v>
      </c>
      <c r="G3082" s="86" t="s">
        <v>37</v>
      </c>
      <c r="H3082" s="83"/>
      <c r="I3082" s="86" t="s">
        <v>38</v>
      </c>
      <c r="J3082" s="86">
        <v>477.0</v>
      </c>
      <c r="K3082" s="83"/>
      <c r="L3082" s="86" t="s">
        <v>10725</v>
      </c>
      <c r="M3082" s="86" t="s">
        <v>123</v>
      </c>
      <c r="N3082" s="86">
        <v>1994.0</v>
      </c>
      <c r="O3082" s="86">
        <v>5.0</v>
      </c>
      <c r="P3082" s="86">
        <v>1.0</v>
      </c>
      <c r="Q3082" s="86">
        <v>1.0</v>
      </c>
      <c r="R3082" s="84"/>
      <c r="S3082" s="34"/>
      <c r="T3082" s="34"/>
      <c r="U3082" s="34"/>
      <c r="V3082" s="34"/>
      <c r="W3082" s="34"/>
      <c r="X3082" s="34"/>
      <c r="Y3082" s="3"/>
      <c r="Z3082" s="3"/>
      <c r="AA3082" s="3"/>
      <c r="AB3082" s="3"/>
      <c r="AC3082" s="3"/>
      <c r="AD3082" s="3"/>
      <c r="AE3082" s="3"/>
      <c r="AF3082" s="3"/>
      <c r="AG3082" s="3"/>
      <c r="AH3082" s="3"/>
      <c r="AI3082" s="3"/>
      <c r="AJ3082" s="3"/>
      <c r="AK3082" s="3"/>
      <c r="AL3082" s="3"/>
    </row>
    <row r="3083" ht="15.75" customHeight="1">
      <c r="A3083" s="27">
        <f t="shared" si="23"/>
        <v>1961</v>
      </c>
      <c r="B3083" s="86" t="s">
        <v>10726</v>
      </c>
      <c r="C3083" s="86" t="s">
        <v>10727</v>
      </c>
      <c r="D3083" s="117" t="s">
        <v>10728</v>
      </c>
      <c r="E3083" s="83" t="s">
        <v>28</v>
      </c>
      <c r="F3083" s="86" t="s">
        <v>29</v>
      </c>
      <c r="G3083" s="86" t="s">
        <v>37</v>
      </c>
      <c r="H3083" s="83"/>
      <c r="I3083" s="86" t="s">
        <v>38</v>
      </c>
      <c r="J3083" s="86">
        <v>464.0</v>
      </c>
      <c r="K3083" s="83"/>
      <c r="L3083" s="86" t="s">
        <v>10729</v>
      </c>
      <c r="M3083" s="86" t="s">
        <v>123</v>
      </c>
      <c r="N3083" s="86">
        <v>1998.0</v>
      </c>
      <c r="O3083" s="86">
        <v>5.0</v>
      </c>
      <c r="P3083" s="86">
        <v>1.0</v>
      </c>
      <c r="Q3083" s="86">
        <v>1.0</v>
      </c>
      <c r="R3083" s="84"/>
      <c r="S3083" s="34"/>
      <c r="T3083" s="34"/>
      <c r="U3083" s="34"/>
      <c r="V3083" s="34"/>
      <c r="W3083" s="34"/>
      <c r="X3083" s="34"/>
      <c r="Y3083" s="45"/>
      <c r="Z3083" s="45"/>
      <c r="AA3083" s="45"/>
      <c r="AB3083" s="45"/>
      <c r="AC3083" s="45"/>
      <c r="AD3083" s="45"/>
      <c r="AE3083" s="45"/>
      <c r="AF3083" s="45"/>
      <c r="AG3083" s="45"/>
      <c r="AH3083" s="45"/>
      <c r="AI3083" s="45"/>
      <c r="AJ3083" s="45"/>
      <c r="AK3083" s="45"/>
      <c r="AL3083" s="45"/>
    </row>
    <row r="3084" ht="15.75" customHeight="1">
      <c r="A3084" s="27">
        <f t="shared" si="23"/>
        <v>1962</v>
      </c>
      <c r="B3084" s="86" t="s">
        <v>10730</v>
      </c>
      <c r="C3084" s="86" t="s">
        <v>10731</v>
      </c>
      <c r="D3084" s="117" t="s">
        <v>10732</v>
      </c>
      <c r="E3084" s="83" t="s">
        <v>28</v>
      </c>
      <c r="F3084" s="86" t="s">
        <v>29</v>
      </c>
      <c r="G3084" s="86" t="s">
        <v>37</v>
      </c>
      <c r="H3084" s="83"/>
      <c r="I3084" s="86" t="s">
        <v>38</v>
      </c>
      <c r="J3084" s="86">
        <v>431.0</v>
      </c>
      <c r="K3084" s="83"/>
      <c r="L3084" s="86" t="s">
        <v>10733</v>
      </c>
      <c r="M3084" s="86" t="s">
        <v>123</v>
      </c>
      <c r="N3084" s="86">
        <v>1995.0</v>
      </c>
      <c r="O3084" s="86">
        <v>5.0</v>
      </c>
      <c r="P3084" s="86">
        <v>1.0</v>
      </c>
      <c r="Q3084" s="86">
        <v>1.0</v>
      </c>
      <c r="R3084" s="84"/>
      <c r="S3084" s="34"/>
      <c r="T3084" s="34"/>
      <c r="U3084" s="34"/>
      <c r="V3084" s="34"/>
      <c r="W3084" s="34"/>
      <c r="X3084" s="34"/>
      <c r="Y3084" s="45"/>
      <c r="Z3084" s="45"/>
      <c r="AA3084" s="45"/>
      <c r="AB3084" s="45"/>
      <c r="AC3084" s="45"/>
      <c r="AD3084" s="45"/>
      <c r="AE3084" s="45"/>
      <c r="AF3084" s="45"/>
      <c r="AG3084" s="45"/>
      <c r="AH3084" s="45"/>
      <c r="AI3084" s="45"/>
      <c r="AJ3084" s="45"/>
      <c r="AK3084" s="45"/>
      <c r="AL3084" s="45"/>
    </row>
    <row r="3085" ht="15.75" customHeight="1">
      <c r="A3085" s="27">
        <f t="shared" si="23"/>
        <v>1963</v>
      </c>
      <c r="B3085" s="86" t="s">
        <v>10734</v>
      </c>
      <c r="C3085" s="86" t="s">
        <v>10735</v>
      </c>
      <c r="D3085" s="117" t="s">
        <v>10736</v>
      </c>
      <c r="E3085" s="83" t="s">
        <v>28</v>
      </c>
      <c r="F3085" s="86" t="s">
        <v>29</v>
      </c>
      <c r="G3085" s="86" t="s">
        <v>37</v>
      </c>
      <c r="H3085" s="83"/>
      <c r="I3085" s="86" t="s">
        <v>38</v>
      </c>
      <c r="J3085" s="86">
        <v>411.0</v>
      </c>
      <c r="K3085" s="83"/>
      <c r="L3085" s="86" t="s">
        <v>1489</v>
      </c>
      <c r="M3085" s="86" t="s">
        <v>123</v>
      </c>
      <c r="N3085" s="86">
        <v>1994.0</v>
      </c>
      <c r="O3085" s="86">
        <v>5.0</v>
      </c>
      <c r="P3085" s="86">
        <v>1.0</v>
      </c>
      <c r="Q3085" s="86">
        <v>1.0</v>
      </c>
      <c r="R3085" s="84"/>
      <c r="S3085" s="34"/>
      <c r="T3085" s="34"/>
      <c r="U3085" s="34"/>
      <c r="V3085" s="34"/>
      <c r="W3085" s="34"/>
      <c r="X3085" s="34"/>
      <c r="Y3085" s="45"/>
      <c r="Z3085" s="45"/>
      <c r="AA3085" s="45"/>
      <c r="AB3085" s="45"/>
      <c r="AC3085" s="45"/>
      <c r="AD3085" s="45"/>
      <c r="AE3085" s="45"/>
      <c r="AF3085" s="45"/>
      <c r="AG3085" s="45"/>
      <c r="AH3085" s="45"/>
      <c r="AI3085" s="45"/>
      <c r="AJ3085" s="45"/>
      <c r="AK3085" s="45"/>
      <c r="AL3085" s="45"/>
    </row>
    <row r="3086" ht="15.75" customHeight="1">
      <c r="A3086" s="27">
        <f t="shared" si="23"/>
        <v>1964</v>
      </c>
      <c r="B3086" s="86" t="s">
        <v>10737</v>
      </c>
      <c r="C3086" s="86" t="s">
        <v>10738</v>
      </c>
      <c r="D3086" s="117" t="s">
        <v>10739</v>
      </c>
      <c r="E3086" s="83" t="s">
        <v>28</v>
      </c>
      <c r="F3086" s="86" t="s">
        <v>29</v>
      </c>
      <c r="G3086" s="86" t="s">
        <v>37</v>
      </c>
      <c r="H3086" s="83"/>
      <c r="I3086" s="86" t="s">
        <v>38</v>
      </c>
      <c r="J3086" s="86">
        <v>432.0</v>
      </c>
      <c r="K3086" s="83"/>
      <c r="L3086" s="86" t="s">
        <v>10740</v>
      </c>
      <c r="M3086" s="86" t="s">
        <v>123</v>
      </c>
      <c r="N3086" s="86">
        <v>1993.0</v>
      </c>
      <c r="O3086" s="86">
        <v>5.0</v>
      </c>
      <c r="P3086" s="86">
        <v>1.0</v>
      </c>
      <c r="Q3086" s="86">
        <v>1.0</v>
      </c>
      <c r="R3086" s="84"/>
      <c r="S3086" s="34"/>
      <c r="T3086" s="34"/>
      <c r="U3086" s="34"/>
      <c r="V3086" s="34"/>
      <c r="W3086" s="34"/>
      <c r="X3086" s="34"/>
      <c r="Y3086" s="45"/>
      <c r="Z3086" s="45"/>
      <c r="AA3086" s="45"/>
      <c r="AB3086" s="45"/>
      <c r="AC3086" s="45"/>
      <c r="AD3086" s="45"/>
      <c r="AE3086" s="45"/>
      <c r="AF3086" s="45"/>
      <c r="AG3086" s="45"/>
      <c r="AH3086" s="45"/>
      <c r="AI3086" s="45"/>
      <c r="AJ3086" s="45"/>
      <c r="AK3086" s="45"/>
      <c r="AL3086" s="45"/>
    </row>
    <row r="3087" ht="15.75" customHeight="1">
      <c r="A3087" s="27">
        <f t="shared" si="23"/>
        <v>1965</v>
      </c>
      <c r="B3087" s="86" t="s">
        <v>10741</v>
      </c>
      <c r="C3087" s="86" t="s">
        <v>10742</v>
      </c>
      <c r="D3087" s="117" t="s">
        <v>10743</v>
      </c>
      <c r="E3087" s="83" t="s">
        <v>28</v>
      </c>
      <c r="F3087" s="86" t="s">
        <v>29</v>
      </c>
      <c r="G3087" s="86" t="s">
        <v>37</v>
      </c>
      <c r="H3087" s="83"/>
      <c r="I3087" s="86" t="s">
        <v>38</v>
      </c>
      <c r="J3087" s="86">
        <v>782.0</v>
      </c>
      <c r="K3087" s="83"/>
      <c r="L3087" s="86" t="s">
        <v>1990</v>
      </c>
      <c r="M3087" s="86" t="s">
        <v>123</v>
      </c>
      <c r="N3087" s="86">
        <v>2009.0</v>
      </c>
      <c r="O3087" s="86">
        <v>5.0</v>
      </c>
      <c r="P3087" s="86">
        <v>1.0</v>
      </c>
      <c r="Q3087" s="86">
        <v>1.0</v>
      </c>
      <c r="R3087" s="84"/>
      <c r="S3087" s="116"/>
      <c r="T3087" s="116"/>
      <c r="U3087" s="116"/>
      <c r="V3087" s="116"/>
      <c r="W3087" s="116"/>
      <c r="X3087" s="116"/>
      <c r="Y3087" s="3"/>
      <c r="Z3087" s="3"/>
      <c r="AA3087" s="3"/>
      <c r="AB3087" s="3"/>
      <c r="AC3087" s="3"/>
      <c r="AD3087" s="3"/>
      <c r="AE3087" s="3"/>
      <c r="AF3087" s="3"/>
      <c r="AG3087" s="3"/>
      <c r="AH3087" s="3"/>
      <c r="AI3087" s="3"/>
      <c r="AJ3087" s="3"/>
      <c r="AK3087" s="3"/>
      <c r="AL3087" s="3"/>
    </row>
    <row r="3088" ht="15.75" customHeight="1">
      <c r="A3088" s="27">
        <f t="shared" si="23"/>
        <v>1966</v>
      </c>
      <c r="B3088" s="86" t="s">
        <v>10744</v>
      </c>
      <c r="C3088" s="86" t="s">
        <v>10745</v>
      </c>
      <c r="D3088" s="117" t="s">
        <v>10746</v>
      </c>
      <c r="E3088" s="83" t="s">
        <v>28</v>
      </c>
      <c r="F3088" s="86" t="s">
        <v>29</v>
      </c>
      <c r="G3088" s="86" t="s">
        <v>37</v>
      </c>
      <c r="H3088" s="83"/>
      <c r="I3088" s="86" t="s">
        <v>38</v>
      </c>
      <c r="J3088" s="86">
        <v>496.0</v>
      </c>
      <c r="K3088" s="83"/>
      <c r="L3088" s="86" t="s">
        <v>10747</v>
      </c>
      <c r="M3088" s="86" t="s">
        <v>123</v>
      </c>
      <c r="N3088" s="86">
        <v>2004.0</v>
      </c>
      <c r="O3088" s="86">
        <v>5.0</v>
      </c>
      <c r="P3088" s="86">
        <v>1.0</v>
      </c>
      <c r="Q3088" s="86">
        <v>1.0</v>
      </c>
      <c r="R3088" s="84"/>
      <c r="S3088" s="34"/>
      <c r="T3088" s="34"/>
      <c r="U3088" s="34"/>
      <c r="V3088" s="34"/>
      <c r="W3088" s="34"/>
      <c r="X3088" s="34"/>
      <c r="Y3088" s="3"/>
      <c r="Z3088" s="3"/>
      <c r="AA3088" s="3"/>
      <c r="AB3088" s="3"/>
      <c r="AC3088" s="3"/>
      <c r="AD3088" s="3"/>
      <c r="AE3088" s="3"/>
      <c r="AF3088" s="3"/>
      <c r="AG3088" s="3"/>
      <c r="AH3088" s="3"/>
      <c r="AI3088" s="3"/>
      <c r="AJ3088" s="3"/>
      <c r="AK3088" s="3"/>
      <c r="AL3088" s="3"/>
    </row>
    <row r="3089" ht="15.75" customHeight="1">
      <c r="A3089" s="27">
        <f t="shared" si="23"/>
        <v>1967</v>
      </c>
      <c r="B3089" s="86" t="s">
        <v>10748</v>
      </c>
      <c r="C3089" s="86" t="s">
        <v>10749</v>
      </c>
      <c r="D3089" s="117" t="s">
        <v>10750</v>
      </c>
      <c r="E3089" s="83" t="s">
        <v>28</v>
      </c>
      <c r="F3089" s="83" t="s">
        <v>29</v>
      </c>
      <c r="G3089" s="86" t="s">
        <v>37</v>
      </c>
      <c r="H3089" s="83"/>
      <c r="I3089" s="83" t="s">
        <v>38</v>
      </c>
      <c r="J3089" s="86">
        <v>652.0</v>
      </c>
      <c r="K3089" s="83"/>
      <c r="L3089" s="86" t="s">
        <v>10751</v>
      </c>
      <c r="M3089" s="83" t="s">
        <v>382</v>
      </c>
      <c r="N3089" s="86">
        <v>2009.0</v>
      </c>
      <c r="O3089" s="86">
        <v>6.0</v>
      </c>
      <c r="P3089" s="83">
        <v>1.0</v>
      </c>
      <c r="Q3089" s="83">
        <v>1.0</v>
      </c>
      <c r="R3089" s="84"/>
      <c r="S3089" s="34"/>
      <c r="T3089" s="34"/>
      <c r="U3089" s="34"/>
      <c r="V3089" s="34"/>
      <c r="W3089" s="34"/>
      <c r="X3089" s="34"/>
      <c r="Y3089" s="3"/>
      <c r="Z3089" s="3"/>
      <c r="AA3089" s="3"/>
      <c r="AB3089" s="3"/>
      <c r="AC3089" s="3"/>
      <c r="AD3089" s="3"/>
      <c r="AE3089" s="3"/>
      <c r="AF3089" s="3"/>
      <c r="AG3089" s="3"/>
      <c r="AH3089" s="3"/>
      <c r="AI3089" s="3"/>
      <c r="AJ3089" s="3"/>
      <c r="AK3089" s="3"/>
      <c r="AL3089" s="3"/>
    </row>
    <row r="3090" ht="15.75" customHeight="1">
      <c r="A3090" s="27">
        <f t="shared" si="23"/>
        <v>1968</v>
      </c>
      <c r="B3090" s="86" t="s">
        <v>10752</v>
      </c>
      <c r="C3090" s="86" t="s">
        <v>10753</v>
      </c>
      <c r="D3090" s="117" t="s">
        <v>10754</v>
      </c>
      <c r="E3090" s="83" t="s">
        <v>28</v>
      </c>
      <c r="F3090" s="83" t="s">
        <v>29</v>
      </c>
      <c r="G3090" s="86" t="s">
        <v>37</v>
      </c>
      <c r="H3090" s="83"/>
      <c r="I3090" s="83" t="s">
        <v>38</v>
      </c>
      <c r="J3090" s="86">
        <v>704.0</v>
      </c>
      <c r="K3090" s="83"/>
      <c r="L3090" s="86" t="s">
        <v>10755</v>
      </c>
      <c r="M3090" s="83" t="s">
        <v>382</v>
      </c>
      <c r="N3090" s="86">
        <v>2006.0</v>
      </c>
      <c r="O3090" s="86">
        <v>6.0</v>
      </c>
      <c r="P3090" s="86">
        <v>1.0</v>
      </c>
      <c r="Q3090" s="86">
        <v>1.0</v>
      </c>
      <c r="R3090" s="84"/>
      <c r="S3090" s="34"/>
      <c r="T3090" s="34"/>
      <c r="U3090" s="34"/>
      <c r="V3090" s="34"/>
      <c r="W3090" s="34"/>
      <c r="X3090" s="34"/>
      <c r="Y3090" s="3"/>
      <c r="Z3090" s="3"/>
      <c r="AA3090" s="3"/>
      <c r="AB3090" s="3"/>
      <c r="AC3090" s="3"/>
      <c r="AD3090" s="3"/>
      <c r="AE3090" s="3"/>
      <c r="AF3090" s="3"/>
      <c r="AG3090" s="3"/>
      <c r="AH3090" s="3"/>
      <c r="AI3090" s="3"/>
      <c r="AJ3090" s="3"/>
      <c r="AK3090" s="3"/>
      <c r="AL3090" s="3"/>
    </row>
    <row r="3091" ht="15.75" customHeight="1">
      <c r="A3091" s="27">
        <f t="shared" si="23"/>
        <v>1969</v>
      </c>
      <c r="B3091" s="86" t="s">
        <v>10756</v>
      </c>
      <c r="C3091" s="86" t="s">
        <v>10757</v>
      </c>
      <c r="D3091" s="117" t="s">
        <v>10758</v>
      </c>
      <c r="E3091" s="83" t="s">
        <v>28</v>
      </c>
      <c r="F3091" s="83" t="s">
        <v>29</v>
      </c>
      <c r="G3091" s="86" t="s">
        <v>37</v>
      </c>
      <c r="H3091" s="83"/>
      <c r="I3091" s="83" t="s">
        <v>38</v>
      </c>
      <c r="J3091" s="86">
        <v>1072.0</v>
      </c>
      <c r="K3091" s="83"/>
      <c r="L3091" s="86" t="s">
        <v>10759</v>
      </c>
      <c r="M3091" s="83" t="s">
        <v>382</v>
      </c>
      <c r="N3091" s="86">
        <v>2018.0</v>
      </c>
      <c r="O3091" s="86">
        <v>6.0</v>
      </c>
      <c r="P3091" s="86">
        <v>1.0</v>
      </c>
      <c r="Q3091" s="86">
        <v>1.0</v>
      </c>
      <c r="R3091" s="84"/>
      <c r="S3091" s="34"/>
      <c r="T3091" s="34"/>
      <c r="U3091" s="34"/>
      <c r="V3091" s="34"/>
      <c r="W3091" s="34"/>
      <c r="X3091" s="34"/>
      <c r="Y3091" s="3"/>
      <c r="Z3091" s="3"/>
      <c r="AA3091" s="3"/>
      <c r="AB3091" s="3"/>
      <c r="AC3091" s="3"/>
      <c r="AD3091" s="3"/>
      <c r="AE3091" s="3"/>
      <c r="AF3091" s="3"/>
      <c r="AG3091" s="3"/>
      <c r="AH3091" s="3"/>
      <c r="AI3091" s="3"/>
      <c r="AJ3091" s="3"/>
      <c r="AK3091" s="3"/>
      <c r="AL3091" s="3"/>
    </row>
    <row r="3092" ht="15.75" customHeight="1">
      <c r="A3092" s="27">
        <f t="shared" si="23"/>
        <v>1970</v>
      </c>
      <c r="B3092" s="86" t="s">
        <v>10760</v>
      </c>
      <c r="C3092" s="86" t="s">
        <v>10761</v>
      </c>
      <c r="D3092" s="117" t="s">
        <v>10762</v>
      </c>
      <c r="E3092" s="83" t="s">
        <v>28</v>
      </c>
      <c r="F3092" s="83" t="s">
        <v>29</v>
      </c>
      <c r="G3092" s="86" t="s">
        <v>37</v>
      </c>
      <c r="H3092" s="83"/>
      <c r="I3092" s="83" t="s">
        <v>38</v>
      </c>
      <c r="J3092" s="86">
        <v>712.0</v>
      </c>
      <c r="K3092" s="83"/>
      <c r="L3092" s="86" t="s">
        <v>10763</v>
      </c>
      <c r="M3092" s="83" t="s">
        <v>382</v>
      </c>
      <c r="N3092" s="86">
        <v>2003.0</v>
      </c>
      <c r="O3092" s="86">
        <v>6.0</v>
      </c>
      <c r="P3092" s="86">
        <v>1.0</v>
      </c>
      <c r="Q3092" s="86">
        <v>1.0</v>
      </c>
      <c r="R3092" s="84"/>
      <c r="S3092" s="34"/>
      <c r="T3092" s="34"/>
      <c r="U3092" s="34"/>
      <c r="V3092" s="34"/>
      <c r="W3092" s="34"/>
      <c r="X3092" s="34"/>
      <c r="Y3092" s="3"/>
      <c r="Z3092" s="3"/>
      <c r="AA3092" s="3"/>
      <c r="AB3092" s="3"/>
      <c r="AC3092" s="3"/>
      <c r="AD3092" s="3"/>
      <c r="AE3092" s="3"/>
      <c r="AF3092" s="3"/>
      <c r="AG3092" s="3"/>
      <c r="AH3092" s="3"/>
      <c r="AI3092" s="3"/>
      <c r="AJ3092" s="3"/>
      <c r="AK3092" s="3"/>
      <c r="AL3092" s="3"/>
    </row>
    <row r="3093" ht="15.75" customHeight="1">
      <c r="A3093" s="27">
        <f t="shared" si="23"/>
        <v>1971</v>
      </c>
      <c r="B3093" s="86" t="s">
        <v>10764</v>
      </c>
      <c r="C3093" s="86" t="s">
        <v>10765</v>
      </c>
      <c r="D3093" s="117" t="s">
        <v>10766</v>
      </c>
      <c r="E3093" s="83" t="s">
        <v>28</v>
      </c>
      <c r="F3093" s="83" t="s">
        <v>29</v>
      </c>
      <c r="G3093" s="86" t="s">
        <v>37</v>
      </c>
      <c r="H3093" s="83"/>
      <c r="I3093" s="83" t="s">
        <v>38</v>
      </c>
      <c r="J3093" s="86">
        <v>488.0</v>
      </c>
      <c r="K3093" s="83"/>
      <c r="L3093" s="86" t="s">
        <v>10767</v>
      </c>
      <c r="M3093" s="83" t="s">
        <v>382</v>
      </c>
      <c r="N3093" s="86">
        <v>2002.0</v>
      </c>
      <c r="O3093" s="86">
        <v>6.0</v>
      </c>
      <c r="P3093" s="86">
        <v>1.0</v>
      </c>
      <c r="Q3093" s="86">
        <v>1.0</v>
      </c>
      <c r="R3093" s="84"/>
      <c r="S3093" s="34"/>
      <c r="T3093" s="34"/>
      <c r="U3093" s="34"/>
      <c r="V3093" s="34"/>
      <c r="W3093" s="34"/>
      <c r="X3093" s="34"/>
      <c r="Y3093" s="3"/>
      <c r="Z3093" s="3"/>
      <c r="AA3093" s="3"/>
      <c r="AB3093" s="3"/>
      <c r="AC3093" s="3"/>
      <c r="AD3093" s="3"/>
      <c r="AE3093" s="3"/>
      <c r="AF3093" s="3"/>
      <c r="AG3093" s="3"/>
      <c r="AH3093" s="3"/>
      <c r="AI3093" s="3"/>
      <c r="AJ3093" s="3"/>
      <c r="AK3093" s="3"/>
      <c r="AL3093" s="3"/>
    </row>
    <row r="3094" ht="15.75" customHeight="1">
      <c r="A3094" s="27">
        <f t="shared" si="23"/>
        <v>1972</v>
      </c>
      <c r="B3094" s="86" t="s">
        <v>10768</v>
      </c>
      <c r="C3094" s="86" t="s">
        <v>10769</v>
      </c>
      <c r="D3094" s="117" t="s">
        <v>10770</v>
      </c>
      <c r="E3094" s="83" t="s">
        <v>28</v>
      </c>
      <c r="F3094" s="83" t="s">
        <v>29</v>
      </c>
      <c r="G3094" s="86" t="s">
        <v>37</v>
      </c>
      <c r="H3094" s="83"/>
      <c r="I3094" s="83" t="s">
        <v>38</v>
      </c>
      <c r="J3094" s="86">
        <v>341.0</v>
      </c>
      <c r="K3094" s="83"/>
      <c r="L3094" s="86" t="s">
        <v>10771</v>
      </c>
      <c r="M3094" s="83" t="s">
        <v>382</v>
      </c>
      <c r="N3094" s="86">
        <v>2006.0</v>
      </c>
      <c r="O3094" s="86">
        <v>6.0</v>
      </c>
      <c r="P3094" s="86">
        <v>1.0</v>
      </c>
      <c r="Q3094" s="86">
        <v>1.0</v>
      </c>
      <c r="R3094" s="84"/>
      <c r="S3094" s="34"/>
      <c r="T3094" s="34"/>
      <c r="U3094" s="34"/>
      <c r="V3094" s="34"/>
      <c r="W3094" s="34"/>
      <c r="X3094" s="34"/>
      <c r="Y3094" s="3"/>
      <c r="Z3094" s="3"/>
      <c r="AA3094" s="3"/>
      <c r="AB3094" s="3"/>
      <c r="AC3094" s="3"/>
      <c r="AD3094" s="3"/>
      <c r="AE3094" s="3"/>
      <c r="AF3094" s="3"/>
      <c r="AG3094" s="3"/>
      <c r="AH3094" s="3"/>
      <c r="AI3094" s="3"/>
      <c r="AJ3094" s="3"/>
      <c r="AK3094" s="3"/>
      <c r="AL3094" s="3"/>
    </row>
    <row r="3095" ht="15.75" customHeight="1">
      <c r="A3095" s="27">
        <f t="shared" si="23"/>
        <v>1973</v>
      </c>
      <c r="B3095" s="86" t="s">
        <v>10772</v>
      </c>
      <c r="C3095" s="86" t="s">
        <v>10773</v>
      </c>
      <c r="D3095" s="117" t="s">
        <v>10774</v>
      </c>
      <c r="E3095" s="83" t="s">
        <v>28</v>
      </c>
      <c r="F3095" s="83" t="s">
        <v>29</v>
      </c>
      <c r="G3095" s="86" t="s">
        <v>37</v>
      </c>
      <c r="H3095" s="83"/>
      <c r="I3095" s="83" t="s">
        <v>38</v>
      </c>
      <c r="J3095" s="86">
        <v>352.0</v>
      </c>
      <c r="K3095" s="83"/>
      <c r="L3095" s="86" t="s">
        <v>1125</v>
      </c>
      <c r="M3095" s="83" t="s">
        <v>382</v>
      </c>
      <c r="N3095" s="86">
        <v>1994.0</v>
      </c>
      <c r="O3095" s="86">
        <v>9.0</v>
      </c>
      <c r="P3095" s="86">
        <v>1.0</v>
      </c>
      <c r="Q3095" s="86">
        <v>1.0</v>
      </c>
      <c r="R3095" s="84"/>
      <c r="S3095" s="34"/>
      <c r="T3095" s="34"/>
      <c r="U3095" s="34"/>
      <c r="V3095" s="34"/>
      <c r="W3095" s="34"/>
      <c r="X3095" s="34"/>
      <c r="Y3095" s="3"/>
      <c r="Z3095" s="3"/>
      <c r="AA3095" s="3"/>
      <c r="AB3095" s="3"/>
      <c r="AC3095" s="3"/>
      <c r="AD3095" s="3"/>
      <c r="AE3095" s="3"/>
      <c r="AF3095" s="3"/>
      <c r="AG3095" s="3"/>
      <c r="AH3095" s="3"/>
      <c r="AI3095" s="3"/>
      <c r="AJ3095" s="3"/>
      <c r="AK3095" s="3"/>
      <c r="AL3095" s="3"/>
    </row>
    <row r="3096" ht="15.75" customHeight="1">
      <c r="A3096" s="27">
        <f t="shared" si="23"/>
        <v>1974</v>
      </c>
      <c r="B3096" s="86" t="s">
        <v>10775</v>
      </c>
      <c r="C3096" s="86" t="s">
        <v>10773</v>
      </c>
      <c r="D3096" s="117" t="s">
        <v>10776</v>
      </c>
      <c r="E3096" s="83" t="s">
        <v>28</v>
      </c>
      <c r="F3096" s="83" t="s">
        <v>29</v>
      </c>
      <c r="G3096" s="86" t="s">
        <v>37</v>
      </c>
      <c r="H3096" s="83"/>
      <c r="I3096" s="83" t="s">
        <v>38</v>
      </c>
      <c r="J3096" s="86">
        <v>536.0</v>
      </c>
      <c r="K3096" s="83"/>
      <c r="L3096" s="86" t="s">
        <v>10777</v>
      </c>
      <c r="M3096" s="83" t="s">
        <v>382</v>
      </c>
      <c r="N3096" s="86">
        <v>2000.0</v>
      </c>
      <c r="O3096" s="86">
        <v>9.0</v>
      </c>
      <c r="P3096" s="86">
        <v>1.0</v>
      </c>
      <c r="Q3096" s="86">
        <v>1.0</v>
      </c>
      <c r="R3096" s="84"/>
      <c r="S3096" s="34"/>
      <c r="T3096" s="34"/>
      <c r="U3096" s="34"/>
      <c r="V3096" s="34"/>
      <c r="W3096" s="34"/>
      <c r="X3096" s="34"/>
      <c r="Y3096" s="3"/>
      <c r="Z3096" s="3"/>
      <c r="AA3096" s="3"/>
      <c r="AB3096" s="3"/>
      <c r="AC3096" s="3"/>
      <c r="AD3096" s="3"/>
      <c r="AE3096" s="3"/>
      <c r="AF3096" s="3"/>
      <c r="AG3096" s="3"/>
      <c r="AH3096" s="3"/>
      <c r="AI3096" s="3"/>
      <c r="AJ3096" s="3"/>
      <c r="AK3096" s="3"/>
      <c r="AL3096" s="3"/>
    </row>
    <row r="3097" ht="15.75" customHeight="1">
      <c r="A3097" s="27">
        <f t="shared" si="23"/>
        <v>1975</v>
      </c>
      <c r="B3097" s="86" t="s">
        <v>10778</v>
      </c>
      <c r="C3097" s="86" t="s">
        <v>10779</v>
      </c>
      <c r="D3097" s="117" t="s">
        <v>10780</v>
      </c>
      <c r="E3097" s="83" t="s">
        <v>28</v>
      </c>
      <c r="F3097" s="83" t="s">
        <v>29</v>
      </c>
      <c r="G3097" s="86" t="s">
        <v>37</v>
      </c>
      <c r="H3097" s="83"/>
      <c r="I3097" s="83" t="s">
        <v>38</v>
      </c>
      <c r="J3097" s="86">
        <v>320.0</v>
      </c>
      <c r="K3097" s="83"/>
      <c r="L3097" s="86" t="s">
        <v>698</v>
      </c>
      <c r="M3097" s="83" t="s">
        <v>382</v>
      </c>
      <c r="N3097" s="86">
        <v>1995.0</v>
      </c>
      <c r="O3097" s="86">
        <v>9.0</v>
      </c>
      <c r="P3097" s="86">
        <v>1.0</v>
      </c>
      <c r="Q3097" s="86">
        <v>1.0</v>
      </c>
      <c r="R3097" s="84"/>
      <c r="S3097" s="34"/>
      <c r="T3097" s="34"/>
      <c r="U3097" s="34"/>
      <c r="V3097" s="34"/>
      <c r="W3097" s="34"/>
      <c r="X3097" s="34"/>
      <c r="Y3097" s="45"/>
      <c r="Z3097" s="45"/>
      <c r="AA3097" s="45"/>
      <c r="AB3097" s="45"/>
      <c r="AC3097" s="45"/>
      <c r="AD3097" s="45"/>
      <c r="AE3097" s="45"/>
      <c r="AF3097" s="45"/>
      <c r="AG3097" s="45"/>
      <c r="AH3097" s="45"/>
      <c r="AI3097" s="45"/>
      <c r="AJ3097" s="45"/>
      <c r="AK3097" s="45"/>
      <c r="AL3097" s="45"/>
    </row>
    <row r="3098" ht="15.75" customHeight="1">
      <c r="A3098" s="27">
        <f t="shared" si="23"/>
        <v>1976</v>
      </c>
      <c r="B3098" s="86" t="s">
        <v>10781</v>
      </c>
      <c r="C3098" s="86" t="s">
        <v>10782</v>
      </c>
      <c r="D3098" s="117" t="s">
        <v>10783</v>
      </c>
      <c r="E3098" s="83" t="s">
        <v>28</v>
      </c>
      <c r="F3098" s="83" t="s">
        <v>29</v>
      </c>
      <c r="G3098" s="86" t="s">
        <v>37</v>
      </c>
      <c r="H3098" s="83"/>
      <c r="I3098" s="83" t="s">
        <v>38</v>
      </c>
      <c r="J3098" s="86">
        <v>256.0</v>
      </c>
      <c r="K3098" s="83"/>
      <c r="L3098" s="86" t="s">
        <v>10784</v>
      </c>
      <c r="M3098" s="83" t="s">
        <v>382</v>
      </c>
      <c r="N3098" s="86">
        <v>1995.0</v>
      </c>
      <c r="O3098" s="86">
        <v>9.0</v>
      </c>
      <c r="P3098" s="86">
        <v>1.0</v>
      </c>
      <c r="Q3098" s="86">
        <v>1.0</v>
      </c>
      <c r="R3098" s="84"/>
      <c r="S3098" s="34"/>
      <c r="T3098" s="34"/>
      <c r="U3098" s="34"/>
      <c r="V3098" s="34"/>
      <c r="W3098" s="34"/>
      <c r="X3098" s="34"/>
      <c r="Y3098" s="3"/>
      <c r="Z3098" s="3"/>
      <c r="AA3098" s="3"/>
      <c r="AB3098" s="3"/>
      <c r="AC3098" s="3"/>
      <c r="AD3098" s="3"/>
      <c r="AE3098" s="3"/>
      <c r="AF3098" s="3"/>
      <c r="AG3098" s="3"/>
      <c r="AH3098" s="3"/>
      <c r="AI3098" s="3"/>
      <c r="AJ3098" s="3"/>
      <c r="AK3098" s="3"/>
      <c r="AL3098" s="3"/>
    </row>
    <row r="3099" ht="15.75" customHeight="1">
      <c r="A3099" s="27">
        <f t="shared" si="23"/>
        <v>1977</v>
      </c>
      <c r="B3099" s="86" t="s">
        <v>10785</v>
      </c>
      <c r="C3099" s="86" t="s">
        <v>10786</v>
      </c>
      <c r="D3099" s="117" t="s">
        <v>10787</v>
      </c>
      <c r="E3099" s="83" t="s">
        <v>28</v>
      </c>
      <c r="F3099" s="83" t="s">
        <v>29</v>
      </c>
      <c r="G3099" s="86" t="s">
        <v>37</v>
      </c>
      <c r="H3099" s="83"/>
      <c r="I3099" s="83" t="s">
        <v>38</v>
      </c>
      <c r="J3099" s="86">
        <v>378.0</v>
      </c>
      <c r="K3099" s="83"/>
      <c r="L3099" s="86" t="s">
        <v>10788</v>
      </c>
      <c r="M3099" s="83" t="s">
        <v>382</v>
      </c>
      <c r="N3099" s="86">
        <v>1999.0</v>
      </c>
      <c r="O3099" s="86">
        <v>9.0</v>
      </c>
      <c r="P3099" s="86">
        <v>1.0</v>
      </c>
      <c r="Q3099" s="86">
        <v>1.0</v>
      </c>
      <c r="R3099" s="84"/>
      <c r="S3099" s="34"/>
      <c r="T3099" s="34"/>
      <c r="U3099" s="34"/>
      <c r="V3099" s="34"/>
      <c r="W3099" s="34"/>
      <c r="X3099" s="34"/>
      <c r="Y3099" s="45"/>
      <c r="Z3099" s="45"/>
      <c r="AA3099" s="45"/>
      <c r="AB3099" s="45"/>
      <c r="AC3099" s="45"/>
      <c r="AD3099" s="45"/>
      <c r="AE3099" s="45"/>
      <c r="AF3099" s="45"/>
      <c r="AG3099" s="45"/>
      <c r="AH3099" s="45"/>
      <c r="AI3099" s="45"/>
      <c r="AJ3099" s="45"/>
      <c r="AK3099" s="45"/>
      <c r="AL3099" s="45"/>
    </row>
    <row r="3100" ht="15.75" customHeight="1">
      <c r="A3100" s="27">
        <f t="shared" si="23"/>
        <v>1978</v>
      </c>
      <c r="B3100" s="86" t="s">
        <v>10789</v>
      </c>
      <c r="C3100" s="86" t="s">
        <v>10790</v>
      </c>
      <c r="D3100" s="117" t="s">
        <v>10791</v>
      </c>
      <c r="E3100" s="83" t="s">
        <v>28</v>
      </c>
      <c r="F3100" s="83" t="s">
        <v>29</v>
      </c>
      <c r="G3100" s="86" t="s">
        <v>37</v>
      </c>
      <c r="H3100" s="83"/>
      <c r="I3100" s="83" t="s">
        <v>38</v>
      </c>
      <c r="J3100" s="86">
        <v>338.0</v>
      </c>
      <c r="K3100" s="83"/>
      <c r="L3100" s="86" t="s">
        <v>10792</v>
      </c>
      <c r="M3100" s="83" t="s">
        <v>382</v>
      </c>
      <c r="N3100" s="86">
        <v>1997.0</v>
      </c>
      <c r="O3100" s="86">
        <v>9.0</v>
      </c>
      <c r="P3100" s="86">
        <v>1.0</v>
      </c>
      <c r="Q3100" s="86">
        <v>1.0</v>
      </c>
      <c r="R3100" s="84"/>
      <c r="S3100" s="34"/>
      <c r="T3100" s="34"/>
      <c r="U3100" s="34"/>
      <c r="V3100" s="34"/>
      <c r="W3100" s="34"/>
      <c r="X3100" s="34"/>
      <c r="Y3100" s="45"/>
      <c r="Z3100" s="45"/>
      <c r="AA3100" s="45"/>
      <c r="AB3100" s="45"/>
      <c r="AC3100" s="45"/>
      <c r="AD3100" s="45"/>
      <c r="AE3100" s="45"/>
      <c r="AF3100" s="45"/>
      <c r="AG3100" s="45"/>
      <c r="AH3100" s="45"/>
      <c r="AI3100" s="45"/>
      <c r="AJ3100" s="45"/>
      <c r="AK3100" s="45"/>
      <c r="AL3100" s="45"/>
    </row>
    <row r="3101" ht="15.75" customHeight="1">
      <c r="A3101" s="27">
        <f t="shared" si="23"/>
        <v>1979</v>
      </c>
      <c r="B3101" s="86" t="s">
        <v>10793</v>
      </c>
      <c r="C3101" s="86" t="s">
        <v>10794</v>
      </c>
      <c r="D3101" s="117" t="s">
        <v>10795</v>
      </c>
      <c r="E3101" s="83" t="s">
        <v>28</v>
      </c>
      <c r="F3101" s="83" t="s">
        <v>29</v>
      </c>
      <c r="G3101" s="86" t="s">
        <v>37</v>
      </c>
      <c r="H3101" s="83"/>
      <c r="I3101" s="83" t="s">
        <v>38</v>
      </c>
      <c r="J3101" s="86">
        <v>295.0</v>
      </c>
      <c r="K3101" s="83"/>
      <c r="L3101" s="86" t="s">
        <v>698</v>
      </c>
      <c r="M3101" s="83" t="s">
        <v>382</v>
      </c>
      <c r="N3101" s="86">
        <v>1996.0</v>
      </c>
      <c r="O3101" s="86">
        <v>9.0</v>
      </c>
      <c r="P3101" s="86">
        <v>1.0</v>
      </c>
      <c r="Q3101" s="86">
        <v>1.0</v>
      </c>
      <c r="R3101" s="84"/>
      <c r="S3101" s="34"/>
      <c r="T3101" s="34"/>
      <c r="U3101" s="34"/>
      <c r="V3101" s="34"/>
      <c r="W3101" s="34"/>
      <c r="X3101" s="34"/>
      <c r="Y3101" s="3"/>
      <c r="Z3101" s="3"/>
      <c r="AA3101" s="3"/>
      <c r="AB3101" s="3"/>
      <c r="AC3101" s="3"/>
      <c r="AD3101" s="3"/>
      <c r="AE3101" s="3"/>
      <c r="AF3101" s="3"/>
      <c r="AG3101" s="3"/>
      <c r="AH3101" s="3"/>
      <c r="AI3101" s="3"/>
      <c r="AJ3101" s="3"/>
      <c r="AK3101" s="3"/>
      <c r="AL3101" s="3"/>
    </row>
    <row r="3102" ht="15.75" customHeight="1">
      <c r="A3102" s="27">
        <f t="shared" si="23"/>
        <v>1980</v>
      </c>
      <c r="B3102" s="242" t="s">
        <v>10796</v>
      </c>
      <c r="C3102" s="242" t="s">
        <v>10797</v>
      </c>
      <c r="D3102" s="117" t="s">
        <v>10798</v>
      </c>
      <c r="E3102" s="83" t="s">
        <v>28</v>
      </c>
      <c r="F3102" s="83" t="s">
        <v>29</v>
      </c>
      <c r="G3102" s="86" t="s">
        <v>37</v>
      </c>
      <c r="H3102" s="243"/>
      <c r="I3102" s="83" t="s">
        <v>38</v>
      </c>
      <c r="J3102" s="244" t="s">
        <v>10799</v>
      </c>
      <c r="K3102" s="243"/>
      <c r="L3102" s="242" t="s">
        <v>2767</v>
      </c>
      <c r="M3102" s="83" t="s">
        <v>382</v>
      </c>
      <c r="N3102" s="86">
        <v>1996.0</v>
      </c>
      <c r="O3102" s="86">
        <v>9.0</v>
      </c>
      <c r="P3102" s="86">
        <v>1.0</v>
      </c>
      <c r="Q3102" s="86">
        <v>1.0</v>
      </c>
      <c r="R3102" s="245"/>
      <c r="S3102" s="116"/>
      <c r="T3102" s="116"/>
      <c r="U3102" s="116"/>
      <c r="V3102" s="116"/>
      <c r="W3102" s="116"/>
      <c r="X3102" s="116"/>
      <c r="Y3102" s="45"/>
      <c r="Z3102" s="45"/>
      <c r="AA3102" s="45"/>
      <c r="AB3102" s="45"/>
      <c r="AC3102" s="45"/>
      <c r="AD3102" s="45"/>
      <c r="AE3102" s="45"/>
      <c r="AF3102" s="45"/>
      <c r="AG3102" s="45"/>
      <c r="AH3102" s="45"/>
      <c r="AI3102" s="45"/>
      <c r="AJ3102" s="45"/>
      <c r="AK3102" s="45"/>
      <c r="AL3102" s="45"/>
    </row>
    <row r="3103" ht="15.75" customHeight="1">
      <c r="A3103" s="27">
        <f t="shared" si="23"/>
        <v>1981</v>
      </c>
      <c r="B3103" s="242" t="s">
        <v>4491</v>
      </c>
      <c r="C3103" s="242" t="s">
        <v>10800</v>
      </c>
      <c r="D3103" s="117" t="s">
        <v>4493</v>
      </c>
      <c r="E3103" s="86" t="s">
        <v>144</v>
      </c>
      <c r="F3103" s="86" t="s">
        <v>29</v>
      </c>
      <c r="G3103" s="86" t="s">
        <v>30</v>
      </c>
      <c r="H3103" s="86" t="s">
        <v>30</v>
      </c>
      <c r="I3103" s="86" t="s">
        <v>30</v>
      </c>
      <c r="J3103" s="86">
        <v>434.0</v>
      </c>
      <c r="K3103" s="243"/>
      <c r="L3103" s="242" t="s">
        <v>4054</v>
      </c>
      <c r="M3103" s="86" t="s">
        <v>151</v>
      </c>
      <c r="N3103" s="86">
        <v>2018.0</v>
      </c>
      <c r="O3103" s="86" t="s">
        <v>2259</v>
      </c>
      <c r="P3103" s="86">
        <v>1.0</v>
      </c>
      <c r="Q3103" s="86">
        <v>1.0</v>
      </c>
      <c r="R3103" s="245"/>
      <c r="S3103" s="185"/>
      <c r="T3103" s="185"/>
      <c r="U3103" s="185"/>
      <c r="V3103" s="185"/>
      <c r="W3103" s="185"/>
      <c r="X3103" s="185"/>
      <c r="Y3103" s="45"/>
      <c r="Z3103" s="45"/>
      <c r="AA3103" s="45"/>
      <c r="AB3103" s="45"/>
      <c r="AC3103" s="45"/>
      <c r="AD3103" s="45"/>
      <c r="AE3103" s="45"/>
      <c r="AF3103" s="45"/>
      <c r="AG3103" s="45"/>
      <c r="AH3103" s="45"/>
      <c r="AI3103" s="45"/>
      <c r="AJ3103" s="45"/>
      <c r="AK3103" s="45"/>
      <c r="AL3103" s="45"/>
    </row>
    <row r="3104" ht="15.75" customHeight="1">
      <c r="A3104" s="27">
        <f t="shared" si="23"/>
        <v>1982</v>
      </c>
      <c r="B3104" s="86" t="s">
        <v>7316</v>
      </c>
      <c r="C3104" s="86" t="s">
        <v>10801</v>
      </c>
      <c r="D3104" s="117" t="s">
        <v>10802</v>
      </c>
      <c r="E3104" s="86" t="s">
        <v>0</v>
      </c>
      <c r="F3104" s="86" t="s">
        <v>29</v>
      </c>
      <c r="G3104" s="86" t="s">
        <v>30</v>
      </c>
      <c r="H3104" s="86" t="s">
        <v>30</v>
      </c>
      <c r="I3104" s="86" t="s">
        <v>30</v>
      </c>
      <c r="J3104" s="86">
        <v>594.0</v>
      </c>
      <c r="K3104" s="83"/>
      <c r="L3104" s="86" t="s">
        <v>10803</v>
      </c>
      <c r="M3104" s="86" t="s">
        <v>151</v>
      </c>
      <c r="N3104" s="86">
        <v>2017.0</v>
      </c>
      <c r="O3104" s="86" t="s">
        <v>2259</v>
      </c>
      <c r="P3104" s="86">
        <v>2.0</v>
      </c>
      <c r="Q3104" s="86">
        <v>2.0</v>
      </c>
      <c r="R3104" s="84"/>
      <c r="S3104" s="34"/>
      <c r="T3104" s="34"/>
      <c r="U3104" s="34"/>
      <c r="V3104" s="34"/>
      <c r="W3104" s="34"/>
      <c r="X3104" s="34"/>
      <c r="Y3104" s="45"/>
      <c r="Z3104" s="45"/>
      <c r="AA3104" s="45"/>
      <c r="AB3104" s="45"/>
      <c r="AC3104" s="45"/>
      <c r="AD3104" s="45"/>
      <c r="AE3104" s="45"/>
      <c r="AF3104" s="45"/>
      <c r="AG3104" s="45"/>
      <c r="AH3104" s="45"/>
      <c r="AI3104" s="45"/>
      <c r="AJ3104" s="45"/>
      <c r="AK3104" s="45"/>
      <c r="AL3104" s="45"/>
    </row>
    <row r="3105" ht="15.75" customHeight="1">
      <c r="A3105" s="27">
        <f t="shared" si="23"/>
        <v>1983</v>
      </c>
      <c r="B3105" s="86" t="s">
        <v>10804</v>
      </c>
      <c r="C3105" s="86" t="s">
        <v>148</v>
      </c>
      <c r="D3105" s="117" t="s">
        <v>10805</v>
      </c>
      <c r="E3105" s="83"/>
      <c r="F3105" s="86" t="s">
        <v>29</v>
      </c>
      <c r="G3105" s="86" t="s">
        <v>30</v>
      </c>
      <c r="H3105" s="86" t="s">
        <v>30</v>
      </c>
      <c r="I3105" s="86" t="s">
        <v>30</v>
      </c>
      <c r="J3105" s="86">
        <v>133.0</v>
      </c>
      <c r="K3105" s="83"/>
      <c r="L3105" s="86" t="s">
        <v>150</v>
      </c>
      <c r="M3105" s="86" t="s">
        <v>151</v>
      </c>
      <c r="N3105" s="86">
        <v>2022.0</v>
      </c>
      <c r="O3105" s="86">
        <v>13.0</v>
      </c>
      <c r="P3105" s="86">
        <v>1.0</v>
      </c>
      <c r="Q3105" s="86">
        <v>1.0</v>
      </c>
      <c r="R3105" s="84"/>
      <c r="S3105" s="116"/>
      <c r="T3105" s="116"/>
      <c r="U3105" s="116"/>
      <c r="V3105" s="116"/>
      <c r="W3105" s="116"/>
      <c r="X3105" s="116"/>
      <c r="Y3105" s="45"/>
      <c r="Z3105" s="45"/>
      <c r="AA3105" s="45"/>
      <c r="AB3105" s="45"/>
      <c r="AC3105" s="45"/>
      <c r="AD3105" s="45"/>
      <c r="AE3105" s="45"/>
      <c r="AF3105" s="45"/>
      <c r="AG3105" s="45"/>
      <c r="AH3105" s="45"/>
      <c r="AI3105" s="45"/>
      <c r="AJ3105" s="45"/>
      <c r="AK3105" s="45"/>
      <c r="AL3105" s="45"/>
    </row>
    <row r="3106" ht="15.75" customHeight="1">
      <c r="A3106" s="27">
        <f t="shared" si="23"/>
        <v>1984</v>
      </c>
      <c r="B3106" s="86" t="s">
        <v>10806</v>
      </c>
      <c r="C3106" s="86" t="s">
        <v>10807</v>
      </c>
      <c r="D3106" s="117" t="s">
        <v>10808</v>
      </c>
      <c r="E3106" s="86" t="s">
        <v>144</v>
      </c>
      <c r="F3106" s="86" t="s">
        <v>29</v>
      </c>
      <c r="G3106" s="86" t="s">
        <v>30</v>
      </c>
      <c r="H3106" s="86" t="s">
        <v>30</v>
      </c>
      <c r="I3106" s="86" t="s">
        <v>30</v>
      </c>
      <c r="J3106" s="86">
        <v>591.0</v>
      </c>
      <c r="K3106" s="83"/>
      <c r="L3106" s="86" t="s">
        <v>10803</v>
      </c>
      <c r="M3106" s="86" t="s">
        <v>151</v>
      </c>
      <c r="N3106" s="86">
        <v>2020.0</v>
      </c>
      <c r="O3106" s="86" t="s">
        <v>2259</v>
      </c>
      <c r="P3106" s="86">
        <v>1.0</v>
      </c>
      <c r="Q3106" s="86">
        <v>1.0</v>
      </c>
      <c r="R3106" s="84"/>
      <c r="S3106" s="34"/>
      <c r="T3106" s="34"/>
      <c r="U3106" s="34"/>
      <c r="V3106" s="34"/>
      <c r="W3106" s="34"/>
      <c r="X3106" s="34"/>
      <c r="Y3106" s="45"/>
      <c r="Z3106" s="45"/>
      <c r="AA3106" s="45"/>
      <c r="AB3106" s="45"/>
      <c r="AC3106" s="45"/>
      <c r="AD3106" s="45"/>
      <c r="AE3106" s="45"/>
      <c r="AF3106" s="45"/>
      <c r="AG3106" s="45"/>
      <c r="AH3106" s="45"/>
      <c r="AI3106" s="45"/>
      <c r="AJ3106" s="45"/>
      <c r="AK3106" s="45"/>
      <c r="AL3106" s="45"/>
    </row>
    <row r="3107" ht="15.75" customHeight="1">
      <c r="A3107" s="27">
        <f t="shared" si="23"/>
        <v>1985</v>
      </c>
      <c r="B3107" s="86" t="s">
        <v>10809</v>
      </c>
      <c r="C3107" s="86" t="s">
        <v>10810</v>
      </c>
      <c r="D3107" s="117" t="s">
        <v>10811</v>
      </c>
      <c r="E3107" s="86" t="s">
        <v>144</v>
      </c>
      <c r="F3107" s="86" t="s">
        <v>29</v>
      </c>
      <c r="G3107" s="86" t="s">
        <v>30</v>
      </c>
      <c r="H3107" s="86" t="s">
        <v>30</v>
      </c>
      <c r="I3107" s="86" t="s">
        <v>30</v>
      </c>
      <c r="J3107" s="86">
        <v>789.0</v>
      </c>
      <c r="K3107" s="83"/>
      <c r="L3107" s="86" t="s">
        <v>10812</v>
      </c>
      <c r="M3107" s="86" t="s">
        <v>151</v>
      </c>
      <c r="N3107" s="86">
        <v>2021.0</v>
      </c>
      <c r="O3107" s="86">
        <v>10.0</v>
      </c>
      <c r="P3107" s="86">
        <v>2.0</v>
      </c>
      <c r="Q3107" s="86">
        <v>2.0</v>
      </c>
      <c r="R3107" s="84"/>
      <c r="S3107" s="185"/>
      <c r="T3107" s="185"/>
      <c r="U3107" s="185"/>
      <c r="V3107" s="185"/>
      <c r="W3107" s="185"/>
      <c r="X3107" s="185"/>
      <c r="Y3107" s="45"/>
      <c r="Z3107" s="45"/>
      <c r="AA3107" s="45"/>
      <c r="AB3107" s="45"/>
      <c r="AC3107" s="45"/>
      <c r="AD3107" s="45"/>
      <c r="AE3107" s="45"/>
      <c r="AF3107" s="45"/>
      <c r="AG3107" s="45"/>
      <c r="AH3107" s="45"/>
      <c r="AI3107" s="45"/>
      <c r="AJ3107" s="45"/>
      <c r="AK3107" s="45"/>
      <c r="AL3107" s="45"/>
    </row>
    <row r="3108" ht="15.75" customHeight="1">
      <c r="A3108" s="27">
        <v>4024.0</v>
      </c>
      <c r="B3108" s="86" t="s">
        <v>10813</v>
      </c>
      <c r="C3108" s="86" t="s">
        <v>10814</v>
      </c>
      <c r="D3108" s="117" t="s">
        <v>10815</v>
      </c>
      <c r="E3108" s="86" t="s">
        <v>0</v>
      </c>
      <c r="F3108" s="86" t="s">
        <v>29</v>
      </c>
      <c r="G3108" s="86" t="s">
        <v>30</v>
      </c>
      <c r="H3108" s="86"/>
      <c r="I3108" s="86" t="s">
        <v>30</v>
      </c>
      <c r="J3108" s="86">
        <v>589.0</v>
      </c>
      <c r="K3108" s="83"/>
      <c r="L3108" s="86" t="s">
        <v>9091</v>
      </c>
      <c r="M3108" s="86" t="s">
        <v>169</v>
      </c>
      <c r="N3108" s="86">
        <v>2020.0</v>
      </c>
      <c r="O3108" s="86">
        <v>13.0</v>
      </c>
      <c r="P3108" s="86">
        <v>2.0</v>
      </c>
      <c r="Q3108" s="86">
        <v>2.0</v>
      </c>
      <c r="R3108" s="84"/>
      <c r="S3108" s="34"/>
      <c r="T3108" s="34"/>
      <c r="U3108" s="34"/>
      <c r="V3108" s="34"/>
      <c r="W3108" s="34"/>
      <c r="X3108" s="34"/>
      <c r="Y3108" s="45"/>
      <c r="Z3108" s="45"/>
      <c r="AA3108" s="45"/>
      <c r="AB3108" s="45"/>
      <c r="AC3108" s="45"/>
      <c r="AD3108" s="45"/>
      <c r="AE3108" s="45"/>
      <c r="AF3108" s="45"/>
      <c r="AG3108" s="45"/>
      <c r="AH3108" s="45"/>
      <c r="AI3108" s="45"/>
      <c r="AJ3108" s="45"/>
      <c r="AK3108" s="45"/>
      <c r="AL3108" s="45"/>
    </row>
    <row r="3109" ht="15.75" customHeight="1">
      <c r="A3109" s="27">
        <v>4025.0</v>
      </c>
      <c r="B3109" s="86" t="s">
        <v>10816</v>
      </c>
      <c r="C3109" s="86" t="s">
        <v>10817</v>
      </c>
      <c r="D3109" s="117" t="s">
        <v>10818</v>
      </c>
      <c r="E3109" s="86" t="s">
        <v>144</v>
      </c>
      <c r="F3109" s="86" t="s">
        <v>29</v>
      </c>
      <c r="G3109" s="86" t="s">
        <v>30</v>
      </c>
      <c r="H3109" s="86"/>
      <c r="I3109" s="86" t="s">
        <v>30</v>
      </c>
      <c r="J3109" s="86">
        <v>316.0</v>
      </c>
      <c r="K3109" s="83"/>
      <c r="L3109" s="86" t="s">
        <v>8452</v>
      </c>
      <c r="M3109" s="86" t="s">
        <v>169</v>
      </c>
      <c r="N3109" s="86">
        <v>2022.0</v>
      </c>
      <c r="O3109" s="86">
        <v>12.0</v>
      </c>
      <c r="P3109" s="86">
        <v>2.0</v>
      </c>
      <c r="Q3109" s="86">
        <v>2.0</v>
      </c>
      <c r="R3109" s="84"/>
      <c r="S3109" s="34"/>
      <c r="T3109" s="34"/>
      <c r="U3109" s="34"/>
      <c r="V3109" s="34"/>
      <c r="W3109" s="34"/>
      <c r="X3109" s="34"/>
      <c r="Y3109" s="45"/>
      <c r="Z3109" s="45"/>
      <c r="AA3109" s="45"/>
      <c r="AB3109" s="45"/>
      <c r="AC3109" s="45"/>
      <c r="AD3109" s="45"/>
      <c r="AE3109" s="45"/>
      <c r="AF3109" s="45"/>
      <c r="AG3109" s="45"/>
      <c r="AH3109" s="45"/>
      <c r="AI3109" s="45"/>
      <c r="AJ3109" s="45"/>
      <c r="AK3109" s="45"/>
      <c r="AL3109" s="45"/>
    </row>
    <row r="3110" ht="15.75" customHeight="1">
      <c r="A3110" s="27">
        <v>4026.0</v>
      </c>
      <c r="B3110" s="86" t="s">
        <v>10819</v>
      </c>
      <c r="C3110" s="86" t="s">
        <v>10820</v>
      </c>
      <c r="D3110" s="117" t="s">
        <v>10821</v>
      </c>
      <c r="E3110" s="86" t="s">
        <v>0</v>
      </c>
      <c r="F3110" s="86" t="s">
        <v>29</v>
      </c>
      <c r="G3110" s="86" t="s">
        <v>30</v>
      </c>
      <c r="H3110" s="86"/>
      <c r="I3110" s="86" t="s">
        <v>30</v>
      </c>
      <c r="J3110" s="86">
        <v>483.0</v>
      </c>
      <c r="K3110" s="83"/>
      <c r="L3110" s="86" t="s">
        <v>9549</v>
      </c>
      <c r="M3110" s="86" t="s">
        <v>169</v>
      </c>
      <c r="N3110" s="86">
        <v>2018.0</v>
      </c>
      <c r="O3110" s="86">
        <v>13.0</v>
      </c>
      <c r="P3110" s="86">
        <v>1.0</v>
      </c>
      <c r="Q3110" s="86">
        <v>1.0</v>
      </c>
      <c r="R3110" s="84"/>
      <c r="S3110" s="34"/>
      <c r="T3110" s="34"/>
      <c r="U3110" s="34"/>
      <c r="V3110" s="34"/>
      <c r="W3110" s="34"/>
      <c r="X3110" s="34"/>
      <c r="Y3110" s="3"/>
      <c r="Z3110" s="3"/>
      <c r="AA3110" s="3"/>
      <c r="AB3110" s="3"/>
      <c r="AC3110" s="3"/>
      <c r="AD3110" s="3"/>
      <c r="AE3110" s="3"/>
      <c r="AF3110" s="3"/>
      <c r="AG3110" s="3"/>
      <c r="AH3110" s="3"/>
      <c r="AI3110" s="3"/>
      <c r="AJ3110" s="3"/>
      <c r="AK3110" s="3"/>
      <c r="AL3110" s="3"/>
    </row>
    <row r="3111" ht="15.75" customHeight="1">
      <c r="A3111" s="27">
        <v>4027.0</v>
      </c>
      <c r="B3111" s="86" t="s">
        <v>10822</v>
      </c>
      <c r="C3111" s="86" t="s">
        <v>10823</v>
      </c>
      <c r="D3111" s="117" t="s">
        <v>10824</v>
      </c>
      <c r="E3111" s="86"/>
      <c r="F3111" s="86" t="s">
        <v>29</v>
      </c>
      <c r="G3111" s="86" t="s">
        <v>30</v>
      </c>
      <c r="H3111" s="86"/>
      <c r="I3111" s="86" t="s">
        <v>30</v>
      </c>
      <c r="J3111" s="86">
        <v>738.0</v>
      </c>
      <c r="K3111" s="83"/>
      <c r="L3111" s="86" t="s">
        <v>10825</v>
      </c>
      <c r="M3111" s="86" t="s">
        <v>169</v>
      </c>
      <c r="N3111" s="86">
        <v>2017.0</v>
      </c>
      <c r="O3111" s="86">
        <v>14.0</v>
      </c>
      <c r="P3111" s="86">
        <v>1.0</v>
      </c>
      <c r="Q3111" s="86">
        <v>1.0</v>
      </c>
      <c r="R3111" s="84"/>
      <c r="S3111" s="34"/>
      <c r="T3111" s="34"/>
      <c r="U3111" s="34"/>
      <c r="V3111" s="34"/>
      <c r="W3111" s="34"/>
      <c r="X3111" s="34"/>
      <c r="Y3111" s="3"/>
      <c r="Z3111" s="3"/>
      <c r="AA3111" s="3"/>
      <c r="AB3111" s="3"/>
      <c r="AC3111" s="3"/>
      <c r="AD3111" s="3"/>
      <c r="AE3111" s="3"/>
      <c r="AF3111" s="3"/>
      <c r="AG3111" s="3"/>
      <c r="AH3111" s="3"/>
      <c r="AI3111" s="3"/>
      <c r="AJ3111" s="3"/>
      <c r="AK3111" s="3"/>
      <c r="AL3111" s="3"/>
    </row>
    <row r="3112" ht="15.75" customHeight="1">
      <c r="A3112" s="27">
        <v>4028.0</v>
      </c>
      <c r="B3112" s="86" t="s">
        <v>10826</v>
      </c>
      <c r="C3112" s="86" t="s">
        <v>10827</v>
      </c>
      <c r="D3112" s="117" t="s">
        <v>9167</v>
      </c>
      <c r="E3112" s="86"/>
      <c r="F3112" s="86" t="s">
        <v>29</v>
      </c>
      <c r="G3112" s="86" t="s">
        <v>30</v>
      </c>
      <c r="H3112" s="86"/>
      <c r="I3112" s="86" t="s">
        <v>30</v>
      </c>
      <c r="J3112" s="86">
        <v>340.0</v>
      </c>
      <c r="K3112" s="83"/>
      <c r="L3112" s="86" t="s">
        <v>8452</v>
      </c>
      <c r="M3112" s="86" t="s">
        <v>169</v>
      </c>
      <c r="N3112" s="86">
        <v>2021.0</v>
      </c>
      <c r="O3112" s="86">
        <v>12.0</v>
      </c>
      <c r="P3112" s="86">
        <v>1.0</v>
      </c>
      <c r="Q3112" s="86">
        <v>1.0</v>
      </c>
      <c r="R3112" s="84"/>
      <c r="S3112" s="34"/>
      <c r="T3112" s="34"/>
      <c r="U3112" s="34"/>
      <c r="V3112" s="34"/>
      <c r="W3112" s="34"/>
      <c r="X3112" s="34"/>
      <c r="Y3112" s="45"/>
      <c r="Z3112" s="45"/>
      <c r="AA3112" s="45"/>
      <c r="AB3112" s="45"/>
      <c r="AC3112" s="45"/>
      <c r="AD3112" s="45"/>
      <c r="AE3112" s="45"/>
      <c r="AF3112" s="45"/>
      <c r="AG3112" s="45"/>
      <c r="AH3112" s="45"/>
      <c r="AI3112" s="45"/>
      <c r="AJ3112" s="45"/>
      <c r="AK3112" s="45"/>
      <c r="AL3112" s="45"/>
    </row>
    <row r="3113" ht="15.75" customHeight="1">
      <c r="A3113" s="27">
        <v>4029.0</v>
      </c>
      <c r="B3113" s="86" t="s">
        <v>10828</v>
      </c>
      <c r="C3113" s="86" t="s">
        <v>10829</v>
      </c>
      <c r="D3113" s="117" t="s">
        <v>10830</v>
      </c>
      <c r="E3113" s="86"/>
      <c r="F3113" s="86" t="s">
        <v>29</v>
      </c>
      <c r="G3113" s="86" t="s">
        <v>30</v>
      </c>
      <c r="H3113" s="86"/>
      <c r="I3113" s="86" t="s">
        <v>30</v>
      </c>
      <c r="J3113" s="86">
        <v>267.0</v>
      </c>
      <c r="K3113" s="83"/>
      <c r="L3113" s="86" t="s">
        <v>8452</v>
      </c>
      <c r="M3113" s="86" t="s">
        <v>169</v>
      </c>
      <c r="N3113" s="86">
        <v>2022.0</v>
      </c>
      <c r="O3113" s="86">
        <v>13.0</v>
      </c>
      <c r="P3113" s="86">
        <v>1.0</v>
      </c>
      <c r="Q3113" s="86">
        <v>1.0</v>
      </c>
      <c r="R3113" s="84"/>
      <c r="S3113" s="34"/>
      <c r="T3113" s="34"/>
      <c r="U3113" s="34"/>
      <c r="V3113" s="34"/>
      <c r="W3113" s="34"/>
      <c r="X3113" s="34"/>
      <c r="Y3113" s="45"/>
      <c r="Z3113" s="45"/>
      <c r="AA3113" s="45"/>
      <c r="AB3113" s="45"/>
      <c r="AC3113" s="45"/>
      <c r="AD3113" s="45"/>
      <c r="AE3113" s="45"/>
      <c r="AF3113" s="45"/>
      <c r="AG3113" s="45"/>
      <c r="AH3113" s="45"/>
      <c r="AI3113" s="45"/>
      <c r="AJ3113" s="45"/>
      <c r="AK3113" s="45"/>
      <c r="AL3113" s="45"/>
    </row>
    <row r="3114" ht="15.75" customHeight="1">
      <c r="A3114" s="27">
        <v>4030.0</v>
      </c>
      <c r="B3114" s="86" t="s">
        <v>10831</v>
      </c>
      <c r="C3114" s="86" t="s">
        <v>10832</v>
      </c>
      <c r="D3114" s="117" t="s">
        <v>10833</v>
      </c>
      <c r="E3114" s="86"/>
      <c r="F3114" s="86" t="s">
        <v>29</v>
      </c>
      <c r="G3114" s="86" t="s">
        <v>30</v>
      </c>
      <c r="H3114" s="86"/>
      <c r="I3114" s="86" t="s">
        <v>30</v>
      </c>
      <c r="J3114" s="86">
        <v>248.0</v>
      </c>
      <c r="K3114" s="83"/>
      <c r="L3114" s="86" t="s">
        <v>8452</v>
      </c>
      <c r="M3114" s="86" t="s">
        <v>169</v>
      </c>
      <c r="N3114" s="86">
        <v>2021.0</v>
      </c>
      <c r="O3114" s="86">
        <v>13.0</v>
      </c>
      <c r="P3114" s="86">
        <v>1.0</v>
      </c>
      <c r="Q3114" s="86">
        <v>1.0</v>
      </c>
      <c r="R3114" s="84"/>
      <c r="S3114" s="185"/>
      <c r="T3114" s="185"/>
      <c r="U3114" s="185"/>
      <c r="V3114" s="185"/>
      <c r="W3114" s="185"/>
      <c r="X3114" s="185"/>
      <c r="Y3114" s="45"/>
      <c r="Z3114" s="45"/>
      <c r="AA3114" s="45"/>
      <c r="AB3114" s="45"/>
      <c r="AC3114" s="45"/>
      <c r="AD3114" s="45"/>
      <c r="AE3114" s="45"/>
      <c r="AF3114" s="45"/>
      <c r="AG3114" s="45"/>
      <c r="AH3114" s="45"/>
      <c r="AI3114" s="45"/>
      <c r="AJ3114" s="45"/>
      <c r="AK3114" s="45"/>
      <c r="AL3114" s="45"/>
    </row>
    <row r="3115" ht="15.75" customHeight="1">
      <c r="A3115" s="27">
        <v>4031.0</v>
      </c>
      <c r="B3115" s="86" t="s">
        <v>10834</v>
      </c>
      <c r="C3115" s="86" t="s">
        <v>10835</v>
      </c>
      <c r="D3115" s="117" t="s">
        <v>10836</v>
      </c>
      <c r="E3115" s="86"/>
      <c r="F3115" s="86" t="s">
        <v>29</v>
      </c>
      <c r="G3115" s="86" t="s">
        <v>30</v>
      </c>
      <c r="H3115" s="86"/>
      <c r="I3115" s="86" t="s">
        <v>30</v>
      </c>
      <c r="J3115" s="86">
        <v>306.0</v>
      </c>
      <c r="K3115" s="83"/>
      <c r="L3115" s="86" t="s">
        <v>8452</v>
      </c>
      <c r="M3115" s="86" t="s">
        <v>169</v>
      </c>
      <c r="N3115" s="86">
        <v>2022.0</v>
      </c>
      <c r="O3115" s="86">
        <v>13.0</v>
      </c>
      <c r="P3115" s="86">
        <v>1.0</v>
      </c>
      <c r="Q3115" s="86">
        <v>1.0</v>
      </c>
      <c r="R3115" s="84"/>
      <c r="S3115" s="185"/>
      <c r="T3115" s="185"/>
      <c r="U3115" s="185"/>
      <c r="V3115" s="185"/>
      <c r="W3115" s="185"/>
      <c r="X3115" s="185"/>
      <c r="Y3115" s="45"/>
      <c r="Z3115" s="45"/>
      <c r="AA3115" s="45"/>
      <c r="AB3115" s="45"/>
      <c r="AC3115" s="45"/>
      <c r="AD3115" s="45"/>
      <c r="AE3115" s="45"/>
      <c r="AF3115" s="45"/>
      <c r="AG3115" s="45"/>
      <c r="AH3115" s="45"/>
      <c r="AI3115" s="45"/>
      <c r="AJ3115" s="45"/>
      <c r="AK3115" s="45"/>
      <c r="AL3115" s="45"/>
    </row>
    <row r="3116" ht="15.75" customHeight="1">
      <c r="A3116" s="27">
        <v>4032.0</v>
      </c>
      <c r="B3116" s="86" t="s">
        <v>10530</v>
      </c>
      <c r="C3116" s="86" t="s">
        <v>8450</v>
      </c>
      <c r="D3116" s="117" t="s">
        <v>10837</v>
      </c>
      <c r="E3116" s="86"/>
      <c r="F3116" s="86" t="s">
        <v>29</v>
      </c>
      <c r="G3116" s="86" t="s">
        <v>30</v>
      </c>
      <c r="H3116" s="86"/>
      <c r="I3116" s="86" t="s">
        <v>30</v>
      </c>
      <c r="J3116" s="86">
        <v>204.0</v>
      </c>
      <c r="K3116" s="83"/>
      <c r="L3116" s="86" t="s">
        <v>8452</v>
      </c>
      <c r="M3116" s="86" t="s">
        <v>169</v>
      </c>
      <c r="N3116" s="86">
        <v>2021.0</v>
      </c>
      <c r="O3116" s="86">
        <v>12.0</v>
      </c>
      <c r="P3116" s="86">
        <v>1.0</v>
      </c>
      <c r="Q3116" s="86">
        <v>1.0</v>
      </c>
      <c r="R3116" s="84"/>
      <c r="S3116" s="34"/>
      <c r="T3116" s="34"/>
      <c r="U3116" s="34"/>
      <c r="V3116" s="34"/>
      <c r="W3116" s="34"/>
      <c r="X3116" s="34"/>
      <c r="Y3116" s="45"/>
      <c r="Z3116" s="45"/>
      <c r="AA3116" s="45"/>
      <c r="AB3116" s="45"/>
      <c r="AC3116" s="45"/>
      <c r="AD3116" s="45"/>
      <c r="AE3116" s="45"/>
      <c r="AF3116" s="45"/>
      <c r="AG3116" s="45"/>
      <c r="AH3116" s="45"/>
      <c r="AI3116" s="45"/>
      <c r="AJ3116" s="45"/>
      <c r="AK3116" s="45"/>
      <c r="AL3116" s="45"/>
    </row>
    <row r="3117" ht="15.75" customHeight="1">
      <c r="A3117" s="27">
        <v>4033.0</v>
      </c>
      <c r="B3117" s="86" t="s">
        <v>10838</v>
      </c>
      <c r="C3117" s="86" t="s">
        <v>10839</v>
      </c>
      <c r="D3117" s="117" t="s">
        <v>10840</v>
      </c>
      <c r="E3117" s="86"/>
      <c r="F3117" s="86" t="s">
        <v>29</v>
      </c>
      <c r="G3117" s="86" t="s">
        <v>30</v>
      </c>
      <c r="H3117" s="86"/>
      <c r="I3117" s="86" t="s">
        <v>30</v>
      </c>
      <c r="J3117" s="86">
        <v>152.0</v>
      </c>
      <c r="K3117" s="83"/>
      <c r="L3117" s="86" t="s">
        <v>8452</v>
      </c>
      <c r="M3117" s="86" t="s">
        <v>169</v>
      </c>
      <c r="N3117" s="86">
        <v>2021.0</v>
      </c>
      <c r="O3117" s="86">
        <v>13.0</v>
      </c>
      <c r="P3117" s="86">
        <v>1.0</v>
      </c>
      <c r="Q3117" s="86">
        <v>1.0</v>
      </c>
      <c r="R3117" s="84"/>
      <c r="S3117" s="34"/>
      <c r="T3117" s="34"/>
      <c r="U3117" s="34"/>
      <c r="V3117" s="34"/>
      <c r="W3117" s="34"/>
      <c r="X3117" s="34"/>
      <c r="Y3117" s="45"/>
      <c r="Z3117" s="45"/>
      <c r="AA3117" s="45"/>
      <c r="AB3117" s="45"/>
      <c r="AC3117" s="45"/>
      <c r="AD3117" s="45"/>
      <c r="AE3117" s="45"/>
      <c r="AF3117" s="45"/>
      <c r="AG3117" s="45"/>
      <c r="AH3117" s="45"/>
      <c r="AI3117" s="45"/>
      <c r="AJ3117" s="45"/>
      <c r="AK3117" s="45"/>
      <c r="AL3117" s="45"/>
    </row>
    <row r="3118" ht="15.75" customHeight="1">
      <c r="A3118" s="27">
        <v>4034.0</v>
      </c>
      <c r="B3118" s="86" t="s">
        <v>10841</v>
      </c>
      <c r="C3118" s="86" t="s">
        <v>10842</v>
      </c>
      <c r="D3118" s="117" t="s">
        <v>10843</v>
      </c>
      <c r="E3118" s="86"/>
      <c r="F3118" s="86" t="s">
        <v>29</v>
      </c>
      <c r="G3118" s="86" t="s">
        <v>30</v>
      </c>
      <c r="H3118" s="86"/>
      <c r="I3118" s="86" t="s">
        <v>30</v>
      </c>
      <c r="J3118" s="86">
        <v>100.0</v>
      </c>
      <c r="K3118" s="83"/>
      <c r="L3118" s="86" t="s">
        <v>10844</v>
      </c>
      <c r="M3118" s="86" t="s">
        <v>169</v>
      </c>
      <c r="N3118" s="86">
        <v>2017.0</v>
      </c>
      <c r="O3118" s="86">
        <v>14.0</v>
      </c>
      <c r="P3118" s="86">
        <v>1.0</v>
      </c>
      <c r="Q3118" s="86">
        <v>1.0</v>
      </c>
      <c r="R3118" s="84"/>
      <c r="S3118" s="34"/>
      <c r="T3118" s="34"/>
      <c r="U3118" s="34"/>
      <c r="V3118" s="34"/>
      <c r="W3118" s="34"/>
      <c r="X3118" s="34"/>
      <c r="Y3118" s="45"/>
      <c r="Z3118" s="45"/>
      <c r="AA3118" s="45"/>
      <c r="AB3118" s="45"/>
      <c r="AC3118" s="45"/>
      <c r="AD3118" s="45"/>
      <c r="AE3118" s="45"/>
      <c r="AF3118" s="45"/>
      <c r="AG3118" s="45"/>
      <c r="AH3118" s="45"/>
      <c r="AI3118" s="45"/>
      <c r="AJ3118" s="45"/>
      <c r="AK3118" s="45"/>
      <c r="AL3118" s="45"/>
    </row>
    <row r="3119" ht="15.75" customHeight="1">
      <c r="A3119" s="27">
        <v>4035.0</v>
      </c>
      <c r="B3119" s="86" t="s">
        <v>10845</v>
      </c>
      <c r="C3119" s="86" t="s">
        <v>10846</v>
      </c>
      <c r="D3119" s="117" t="s">
        <v>10847</v>
      </c>
      <c r="E3119" s="86"/>
      <c r="F3119" s="86" t="s">
        <v>29</v>
      </c>
      <c r="G3119" s="86" t="s">
        <v>30</v>
      </c>
      <c r="H3119" s="86"/>
      <c r="I3119" s="86" t="s">
        <v>30</v>
      </c>
      <c r="J3119" s="86">
        <v>138.0</v>
      </c>
      <c r="K3119" s="83"/>
      <c r="L3119" s="86" t="s">
        <v>10848</v>
      </c>
      <c r="M3119" s="86" t="s">
        <v>169</v>
      </c>
      <c r="N3119" s="86">
        <v>2021.0</v>
      </c>
      <c r="O3119" s="86">
        <v>13.0</v>
      </c>
      <c r="P3119" s="86">
        <v>2.0</v>
      </c>
      <c r="Q3119" s="86">
        <v>2.0</v>
      </c>
      <c r="R3119" s="84"/>
      <c r="S3119" s="34"/>
      <c r="T3119" s="34"/>
      <c r="U3119" s="34"/>
      <c r="V3119" s="34"/>
      <c r="W3119" s="34"/>
      <c r="X3119" s="34"/>
      <c r="Y3119" s="45"/>
      <c r="Z3119" s="45"/>
      <c r="AA3119" s="45"/>
      <c r="AB3119" s="45"/>
      <c r="AC3119" s="45"/>
      <c r="AD3119" s="45"/>
      <c r="AE3119" s="45"/>
      <c r="AF3119" s="45"/>
      <c r="AG3119" s="45"/>
      <c r="AH3119" s="45"/>
      <c r="AI3119" s="45"/>
      <c r="AJ3119" s="45"/>
      <c r="AK3119" s="45"/>
      <c r="AL3119" s="45"/>
    </row>
    <row r="3120" ht="15.75" customHeight="1">
      <c r="A3120" s="27">
        <v>4036.0</v>
      </c>
      <c r="B3120" s="86" t="s">
        <v>10849</v>
      </c>
      <c r="C3120" s="86" t="s">
        <v>10850</v>
      </c>
      <c r="D3120" s="117" t="s">
        <v>10851</v>
      </c>
      <c r="E3120" s="86"/>
      <c r="F3120" s="86" t="s">
        <v>29</v>
      </c>
      <c r="G3120" s="86" t="s">
        <v>30</v>
      </c>
      <c r="H3120" s="86"/>
      <c r="I3120" s="86" t="s">
        <v>30</v>
      </c>
      <c r="J3120" s="86">
        <v>80.0</v>
      </c>
      <c r="K3120" s="83"/>
      <c r="L3120" s="86" t="s">
        <v>10852</v>
      </c>
      <c r="M3120" s="86" t="s">
        <v>169</v>
      </c>
      <c r="N3120" s="86">
        <v>2022.0</v>
      </c>
      <c r="O3120" s="86">
        <v>13.0</v>
      </c>
      <c r="P3120" s="86">
        <v>1.0</v>
      </c>
      <c r="Q3120" s="86">
        <v>1.0</v>
      </c>
      <c r="R3120" s="84"/>
      <c r="S3120" s="34"/>
      <c r="T3120" s="34"/>
      <c r="U3120" s="34"/>
      <c r="V3120" s="34"/>
      <c r="W3120" s="34"/>
      <c r="X3120" s="34"/>
      <c r="Y3120" s="45"/>
      <c r="Z3120" s="45"/>
      <c r="AA3120" s="45"/>
      <c r="AB3120" s="45"/>
      <c r="AC3120" s="45"/>
      <c r="AD3120" s="45"/>
      <c r="AE3120" s="45"/>
      <c r="AF3120" s="45"/>
      <c r="AG3120" s="45"/>
      <c r="AH3120" s="45"/>
      <c r="AI3120" s="45"/>
      <c r="AJ3120" s="45"/>
      <c r="AK3120" s="45"/>
      <c r="AL3120" s="45"/>
    </row>
    <row r="3121" ht="15.75" customHeight="1">
      <c r="A3121" s="27">
        <v>4037.0</v>
      </c>
      <c r="B3121" s="86" t="s">
        <v>10853</v>
      </c>
      <c r="C3121" s="86" t="s">
        <v>10854</v>
      </c>
      <c r="D3121" s="117" t="s">
        <v>10855</v>
      </c>
      <c r="E3121" s="86"/>
      <c r="F3121" s="86" t="s">
        <v>29</v>
      </c>
      <c r="G3121" s="86" t="s">
        <v>30</v>
      </c>
      <c r="H3121" s="86"/>
      <c r="I3121" s="86" t="s">
        <v>30</v>
      </c>
      <c r="J3121" s="86">
        <v>835.0</v>
      </c>
      <c r="K3121" s="83"/>
      <c r="L3121" s="86" t="s">
        <v>10856</v>
      </c>
      <c r="M3121" s="86" t="s">
        <v>169</v>
      </c>
      <c r="N3121" s="86">
        <v>2015.0</v>
      </c>
      <c r="O3121" s="86">
        <v>12.0</v>
      </c>
      <c r="P3121" s="86">
        <v>1.0</v>
      </c>
      <c r="Q3121" s="86">
        <v>1.0</v>
      </c>
      <c r="R3121" s="84"/>
      <c r="S3121" s="185"/>
      <c r="T3121" s="185"/>
      <c r="U3121" s="185"/>
      <c r="V3121" s="185"/>
      <c r="W3121" s="185"/>
      <c r="X3121" s="185"/>
      <c r="Y3121" s="45"/>
      <c r="Z3121" s="45"/>
      <c r="AA3121" s="45"/>
      <c r="AB3121" s="45"/>
      <c r="AC3121" s="45"/>
      <c r="AD3121" s="45"/>
      <c r="AE3121" s="45"/>
      <c r="AF3121" s="45"/>
      <c r="AG3121" s="45"/>
      <c r="AH3121" s="45"/>
      <c r="AI3121" s="45"/>
      <c r="AJ3121" s="45"/>
      <c r="AK3121" s="45"/>
      <c r="AL3121" s="45"/>
    </row>
    <row r="3122" ht="15.75" customHeight="1">
      <c r="A3122" s="27">
        <v>4038.0</v>
      </c>
      <c r="B3122" s="86" t="s">
        <v>10857</v>
      </c>
      <c r="C3122" s="86" t="s">
        <v>10858</v>
      </c>
      <c r="D3122" s="117" t="s">
        <v>10859</v>
      </c>
      <c r="E3122" s="86"/>
      <c r="F3122" s="86" t="s">
        <v>29</v>
      </c>
      <c r="G3122" s="86" t="s">
        <v>30</v>
      </c>
      <c r="H3122" s="86"/>
      <c r="I3122" s="86" t="s">
        <v>30</v>
      </c>
      <c r="J3122" s="86">
        <v>308.0</v>
      </c>
      <c r="K3122" s="83"/>
      <c r="L3122" s="86" t="s">
        <v>10860</v>
      </c>
      <c r="M3122" s="86" t="s">
        <v>169</v>
      </c>
      <c r="N3122" s="86">
        <v>2021.0</v>
      </c>
      <c r="O3122" s="86">
        <v>13.0</v>
      </c>
      <c r="P3122" s="86">
        <v>1.0</v>
      </c>
      <c r="Q3122" s="86">
        <v>1.0</v>
      </c>
      <c r="R3122" s="84"/>
      <c r="S3122" s="34"/>
      <c r="T3122" s="34"/>
      <c r="U3122" s="34"/>
      <c r="V3122" s="34"/>
      <c r="W3122" s="34"/>
      <c r="X3122" s="34"/>
      <c r="Y3122" s="45"/>
      <c r="Z3122" s="45"/>
      <c r="AA3122" s="45"/>
      <c r="AB3122" s="45"/>
      <c r="AC3122" s="45"/>
      <c r="AD3122" s="45"/>
      <c r="AE3122" s="45"/>
      <c r="AF3122" s="45"/>
      <c r="AG3122" s="45"/>
      <c r="AH3122" s="45"/>
      <c r="AI3122" s="45"/>
      <c r="AJ3122" s="45"/>
      <c r="AK3122" s="45"/>
      <c r="AL3122" s="45"/>
    </row>
    <row r="3123" ht="15.75" customHeight="1">
      <c r="A3123" s="27">
        <v>4039.0</v>
      </c>
      <c r="B3123" s="86" t="s">
        <v>10861</v>
      </c>
      <c r="C3123" s="86" t="s">
        <v>10862</v>
      </c>
      <c r="D3123" s="117" t="s">
        <v>10863</v>
      </c>
      <c r="E3123" s="86"/>
      <c r="F3123" s="86" t="s">
        <v>29</v>
      </c>
      <c r="G3123" s="86" t="s">
        <v>30</v>
      </c>
      <c r="H3123" s="86"/>
      <c r="I3123" s="86" t="s">
        <v>30</v>
      </c>
      <c r="J3123" s="86">
        <v>501.0</v>
      </c>
      <c r="K3123" s="83"/>
      <c r="L3123" s="86" t="s">
        <v>587</v>
      </c>
      <c r="M3123" s="86" t="s">
        <v>169</v>
      </c>
      <c r="N3123" s="86">
        <v>2018.0</v>
      </c>
      <c r="O3123" s="86">
        <v>12.0</v>
      </c>
      <c r="P3123" s="86">
        <v>1.0</v>
      </c>
      <c r="Q3123" s="86">
        <v>1.0</v>
      </c>
      <c r="R3123" s="84"/>
      <c r="S3123" s="34"/>
      <c r="T3123" s="34"/>
      <c r="U3123" s="34"/>
      <c r="V3123" s="34"/>
      <c r="W3123" s="34"/>
      <c r="X3123" s="34"/>
      <c r="Y3123" s="45"/>
      <c r="Z3123" s="45"/>
      <c r="AA3123" s="45"/>
      <c r="AB3123" s="45"/>
      <c r="AC3123" s="45"/>
      <c r="AD3123" s="45"/>
      <c r="AE3123" s="45"/>
      <c r="AF3123" s="45"/>
      <c r="AG3123" s="45"/>
      <c r="AH3123" s="45"/>
      <c r="AI3123" s="45"/>
      <c r="AJ3123" s="45"/>
      <c r="AK3123" s="45"/>
      <c r="AL3123" s="45"/>
    </row>
    <row r="3124" ht="15.75" customHeight="1">
      <c r="A3124" s="27">
        <v>4040.0</v>
      </c>
      <c r="B3124" s="86" t="s">
        <v>9795</v>
      </c>
      <c r="C3124" s="86" t="s">
        <v>3622</v>
      </c>
      <c r="D3124" s="117" t="s">
        <v>10864</v>
      </c>
      <c r="E3124" s="86"/>
      <c r="F3124" s="86" t="s">
        <v>29</v>
      </c>
      <c r="G3124" s="86" t="s">
        <v>30</v>
      </c>
      <c r="H3124" s="86"/>
      <c r="I3124" s="86" t="s">
        <v>30</v>
      </c>
      <c r="J3124" s="86">
        <v>143.0</v>
      </c>
      <c r="K3124" s="83"/>
      <c r="L3124" s="86" t="s">
        <v>145</v>
      </c>
      <c r="M3124" s="86" t="s">
        <v>151</v>
      </c>
      <c r="N3124" s="86">
        <v>2016.0</v>
      </c>
      <c r="O3124" s="86">
        <v>10.0</v>
      </c>
      <c r="P3124" s="86">
        <v>2.0</v>
      </c>
      <c r="Q3124" s="86">
        <v>2.0</v>
      </c>
      <c r="R3124" s="84"/>
      <c r="S3124" s="34"/>
      <c r="T3124" s="34"/>
      <c r="U3124" s="34"/>
      <c r="V3124" s="34"/>
      <c r="W3124" s="34"/>
      <c r="X3124" s="34"/>
      <c r="Y3124" s="45"/>
      <c r="Z3124" s="45"/>
      <c r="AA3124" s="45"/>
      <c r="AB3124" s="45"/>
      <c r="AC3124" s="45"/>
      <c r="AD3124" s="45"/>
      <c r="AE3124" s="45"/>
      <c r="AF3124" s="45"/>
      <c r="AG3124" s="45"/>
      <c r="AH3124" s="45"/>
      <c r="AI3124" s="45"/>
      <c r="AJ3124" s="45"/>
      <c r="AK3124" s="45"/>
      <c r="AL3124" s="45"/>
    </row>
    <row r="3125" ht="15.75" customHeight="1">
      <c r="A3125" s="27">
        <v>4041.0</v>
      </c>
      <c r="B3125" s="86" t="s">
        <v>3180</v>
      </c>
      <c r="C3125" s="86" t="s">
        <v>10865</v>
      </c>
      <c r="D3125" s="117" t="s">
        <v>10866</v>
      </c>
      <c r="E3125" s="86"/>
      <c r="F3125" s="86" t="s">
        <v>29</v>
      </c>
      <c r="G3125" s="86" t="s">
        <v>30</v>
      </c>
      <c r="H3125" s="86"/>
      <c r="I3125" s="86" t="s">
        <v>30</v>
      </c>
      <c r="J3125" s="86">
        <v>134.0</v>
      </c>
      <c r="K3125" s="83"/>
      <c r="L3125" s="86" t="s">
        <v>145</v>
      </c>
      <c r="M3125" s="86" t="s">
        <v>151</v>
      </c>
      <c r="N3125" s="86">
        <v>2012.0</v>
      </c>
      <c r="O3125" s="86" t="s">
        <v>4296</v>
      </c>
      <c r="P3125" s="86">
        <v>1.0</v>
      </c>
      <c r="Q3125" s="86">
        <v>1.0</v>
      </c>
      <c r="R3125" s="84"/>
      <c r="S3125" s="34"/>
      <c r="T3125" s="34"/>
      <c r="U3125" s="34"/>
      <c r="V3125" s="34"/>
      <c r="W3125" s="34"/>
      <c r="X3125" s="34"/>
      <c r="Y3125" s="45"/>
      <c r="Z3125" s="45"/>
      <c r="AA3125" s="45"/>
      <c r="AB3125" s="45"/>
      <c r="AC3125" s="45"/>
      <c r="AD3125" s="45"/>
      <c r="AE3125" s="45"/>
      <c r="AF3125" s="45"/>
      <c r="AG3125" s="45"/>
      <c r="AH3125" s="45"/>
      <c r="AI3125" s="45"/>
      <c r="AJ3125" s="45"/>
      <c r="AK3125" s="45"/>
      <c r="AL3125" s="45"/>
    </row>
    <row r="3126" ht="15.75" customHeight="1">
      <c r="A3126" s="27">
        <v>4042.0</v>
      </c>
      <c r="B3126" s="86" t="s">
        <v>10867</v>
      </c>
      <c r="C3126" s="86" t="s">
        <v>10868</v>
      </c>
      <c r="D3126" s="117" t="s">
        <v>10869</v>
      </c>
      <c r="E3126" s="86"/>
      <c r="F3126" s="86" t="s">
        <v>29</v>
      </c>
      <c r="G3126" s="86" t="s">
        <v>30</v>
      </c>
      <c r="H3126" s="86"/>
      <c r="I3126" s="86" t="s">
        <v>30</v>
      </c>
      <c r="J3126" s="86">
        <v>125.0</v>
      </c>
      <c r="K3126" s="83"/>
      <c r="L3126" s="86" t="s">
        <v>145</v>
      </c>
      <c r="M3126" s="86" t="s">
        <v>151</v>
      </c>
      <c r="N3126" s="86">
        <v>2020.0</v>
      </c>
      <c r="O3126" s="86">
        <v>13.0</v>
      </c>
      <c r="P3126" s="86">
        <v>1.0</v>
      </c>
      <c r="Q3126" s="86">
        <v>1.0</v>
      </c>
      <c r="R3126" s="84"/>
      <c r="S3126" s="116"/>
      <c r="T3126" s="116"/>
      <c r="U3126" s="116"/>
      <c r="V3126" s="116"/>
      <c r="W3126" s="116"/>
      <c r="X3126" s="116"/>
      <c r="Y3126" s="45"/>
      <c r="Z3126" s="45"/>
      <c r="AA3126" s="45"/>
      <c r="AB3126" s="45"/>
      <c r="AC3126" s="45"/>
      <c r="AD3126" s="45"/>
      <c r="AE3126" s="45"/>
      <c r="AF3126" s="45"/>
      <c r="AG3126" s="45"/>
      <c r="AH3126" s="45"/>
      <c r="AI3126" s="45"/>
      <c r="AJ3126" s="45"/>
      <c r="AK3126" s="45"/>
      <c r="AL3126" s="45"/>
    </row>
    <row r="3127" ht="15.75" customHeight="1">
      <c r="A3127" s="27">
        <v>4043.0</v>
      </c>
      <c r="B3127" s="86" t="s">
        <v>10141</v>
      </c>
      <c r="C3127" s="86" t="s">
        <v>10865</v>
      </c>
      <c r="D3127" s="117" t="s">
        <v>10870</v>
      </c>
      <c r="E3127" s="86"/>
      <c r="F3127" s="86" t="s">
        <v>29</v>
      </c>
      <c r="G3127" s="86" t="s">
        <v>30</v>
      </c>
      <c r="H3127" s="86"/>
      <c r="I3127" s="86" t="s">
        <v>30</v>
      </c>
      <c r="J3127" s="86">
        <v>355.0</v>
      </c>
      <c r="K3127" s="83"/>
      <c r="L3127" s="86" t="s">
        <v>145</v>
      </c>
      <c r="M3127" s="86" t="s">
        <v>151</v>
      </c>
      <c r="N3127" s="86">
        <v>2013.0</v>
      </c>
      <c r="O3127" s="86">
        <v>10.0</v>
      </c>
      <c r="P3127" s="86">
        <v>2.0</v>
      </c>
      <c r="Q3127" s="86">
        <v>2.0</v>
      </c>
      <c r="R3127" s="84"/>
      <c r="S3127" s="34"/>
      <c r="T3127" s="34"/>
      <c r="U3127" s="34"/>
      <c r="V3127" s="34"/>
      <c r="W3127" s="34"/>
      <c r="X3127" s="34"/>
      <c r="Y3127" s="45"/>
      <c r="Z3127" s="45"/>
      <c r="AA3127" s="45"/>
      <c r="AB3127" s="45"/>
      <c r="AC3127" s="45"/>
      <c r="AD3127" s="45"/>
      <c r="AE3127" s="45"/>
      <c r="AF3127" s="45"/>
      <c r="AG3127" s="45"/>
      <c r="AH3127" s="45"/>
      <c r="AI3127" s="45"/>
      <c r="AJ3127" s="45"/>
      <c r="AK3127" s="45"/>
      <c r="AL3127" s="45"/>
    </row>
    <row r="3128" ht="15.75" customHeight="1">
      <c r="A3128" s="27">
        <v>4044.0</v>
      </c>
      <c r="B3128" s="86" t="s">
        <v>9180</v>
      </c>
      <c r="C3128" s="86" t="s">
        <v>10865</v>
      </c>
      <c r="D3128" s="117" t="s">
        <v>10871</v>
      </c>
      <c r="E3128" s="86"/>
      <c r="F3128" s="86" t="s">
        <v>29</v>
      </c>
      <c r="G3128" s="86" t="s">
        <v>30</v>
      </c>
      <c r="H3128" s="86"/>
      <c r="I3128" s="86" t="s">
        <v>30</v>
      </c>
      <c r="J3128" s="86">
        <v>469.0</v>
      </c>
      <c r="K3128" s="83"/>
      <c r="L3128" s="86" t="s">
        <v>145</v>
      </c>
      <c r="M3128" s="86" t="s">
        <v>151</v>
      </c>
      <c r="N3128" s="86">
        <v>2012.0</v>
      </c>
      <c r="O3128" s="86">
        <v>10.0</v>
      </c>
      <c r="P3128" s="86">
        <v>1.0</v>
      </c>
      <c r="Q3128" s="86">
        <v>1.0</v>
      </c>
      <c r="R3128" s="84"/>
      <c r="S3128" s="34"/>
      <c r="T3128" s="34"/>
      <c r="U3128" s="34"/>
      <c r="V3128" s="34"/>
      <c r="W3128" s="34"/>
      <c r="X3128" s="34"/>
      <c r="Y3128" s="45"/>
      <c r="Z3128" s="45"/>
      <c r="AA3128" s="45"/>
      <c r="AB3128" s="45"/>
      <c r="AC3128" s="45"/>
      <c r="AD3128" s="45"/>
      <c r="AE3128" s="45"/>
      <c r="AF3128" s="45"/>
      <c r="AG3128" s="45"/>
      <c r="AH3128" s="45"/>
      <c r="AI3128" s="45"/>
      <c r="AJ3128" s="45"/>
      <c r="AK3128" s="45"/>
      <c r="AL3128" s="45"/>
    </row>
    <row r="3129" ht="15.75" customHeight="1">
      <c r="A3129" s="27">
        <v>4045.0</v>
      </c>
      <c r="B3129" s="86" t="s">
        <v>10872</v>
      </c>
      <c r="C3129" s="86" t="s">
        <v>10873</v>
      </c>
      <c r="D3129" s="117" t="s">
        <v>10874</v>
      </c>
      <c r="E3129" s="86"/>
      <c r="F3129" s="86" t="s">
        <v>29</v>
      </c>
      <c r="G3129" s="86" t="s">
        <v>30</v>
      </c>
      <c r="H3129" s="86"/>
      <c r="I3129" s="86" t="s">
        <v>30</v>
      </c>
      <c r="J3129" s="86">
        <v>348.0</v>
      </c>
      <c r="K3129" s="83"/>
      <c r="L3129" s="86" t="s">
        <v>10875</v>
      </c>
      <c r="M3129" s="86" t="s">
        <v>151</v>
      </c>
      <c r="N3129" s="86">
        <v>2019.0</v>
      </c>
      <c r="O3129" s="86">
        <v>14.0</v>
      </c>
      <c r="P3129" s="86">
        <v>1.0</v>
      </c>
      <c r="Q3129" s="86">
        <v>1.0</v>
      </c>
      <c r="R3129" s="84"/>
      <c r="S3129" s="34"/>
      <c r="T3129" s="34"/>
      <c r="U3129" s="34"/>
      <c r="V3129" s="34"/>
      <c r="W3129" s="34"/>
      <c r="X3129" s="34"/>
      <c r="Y3129" s="45"/>
      <c r="Z3129" s="45"/>
      <c r="AA3129" s="45"/>
      <c r="AB3129" s="45"/>
      <c r="AC3129" s="45"/>
      <c r="AD3129" s="45"/>
      <c r="AE3129" s="45"/>
      <c r="AF3129" s="45"/>
      <c r="AG3129" s="45"/>
      <c r="AH3129" s="45"/>
      <c r="AI3129" s="45"/>
      <c r="AJ3129" s="45"/>
      <c r="AK3129" s="45"/>
      <c r="AL3129" s="45"/>
    </row>
    <row r="3130" ht="15.75" customHeight="1">
      <c r="A3130" s="27">
        <v>4046.0</v>
      </c>
      <c r="B3130" s="86" t="s">
        <v>10876</v>
      </c>
      <c r="C3130" s="86" t="s">
        <v>10877</v>
      </c>
      <c r="D3130" s="117" t="s">
        <v>10878</v>
      </c>
      <c r="E3130" s="86"/>
      <c r="F3130" s="86" t="s">
        <v>29</v>
      </c>
      <c r="G3130" s="86" t="s">
        <v>30</v>
      </c>
      <c r="H3130" s="86"/>
      <c r="I3130" s="86" t="s">
        <v>30</v>
      </c>
      <c r="J3130" s="86">
        <v>413.0</v>
      </c>
      <c r="K3130" s="83"/>
      <c r="L3130" s="86" t="s">
        <v>10879</v>
      </c>
      <c r="M3130" s="86" t="s">
        <v>151</v>
      </c>
      <c r="N3130" s="86">
        <v>2020.0</v>
      </c>
      <c r="O3130" s="86">
        <v>14.0</v>
      </c>
      <c r="P3130" s="86">
        <v>2.0</v>
      </c>
      <c r="Q3130" s="86">
        <v>2.0</v>
      </c>
      <c r="R3130" s="84"/>
      <c r="S3130" s="34"/>
      <c r="T3130" s="34"/>
      <c r="U3130" s="34"/>
      <c r="V3130" s="34"/>
      <c r="W3130" s="34"/>
      <c r="X3130" s="34"/>
      <c r="Y3130" s="45"/>
      <c r="Z3130" s="45"/>
      <c r="AA3130" s="45"/>
      <c r="AB3130" s="45"/>
      <c r="AC3130" s="45"/>
      <c r="AD3130" s="45"/>
      <c r="AE3130" s="45"/>
      <c r="AF3130" s="45"/>
      <c r="AG3130" s="45"/>
      <c r="AH3130" s="45"/>
      <c r="AI3130" s="45"/>
      <c r="AJ3130" s="45"/>
      <c r="AK3130" s="45"/>
      <c r="AL3130" s="45"/>
    </row>
    <row r="3131" ht="15.75" customHeight="1">
      <c r="A3131" s="27">
        <v>4047.0</v>
      </c>
      <c r="B3131" s="86" t="s">
        <v>10880</v>
      </c>
      <c r="C3131" s="86" t="s">
        <v>10881</v>
      </c>
      <c r="D3131" s="117" t="s">
        <v>10882</v>
      </c>
      <c r="E3131" s="86"/>
      <c r="F3131" s="86" t="s">
        <v>29</v>
      </c>
      <c r="G3131" s="86" t="s">
        <v>30</v>
      </c>
      <c r="H3131" s="86"/>
      <c r="I3131" s="86" t="s">
        <v>30</v>
      </c>
      <c r="J3131" s="86">
        <v>120.0</v>
      </c>
      <c r="K3131" s="83"/>
      <c r="L3131" s="86" t="s">
        <v>10883</v>
      </c>
      <c r="M3131" s="86" t="s">
        <v>4166</v>
      </c>
      <c r="N3131" s="86">
        <v>2021.0</v>
      </c>
      <c r="O3131" s="86" t="s">
        <v>2259</v>
      </c>
      <c r="P3131" s="86">
        <v>1.0</v>
      </c>
      <c r="Q3131" s="86">
        <v>1.0</v>
      </c>
      <c r="R3131" s="84"/>
      <c r="S3131" s="34"/>
      <c r="T3131" s="34"/>
      <c r="U3131" s="34"/>
      <c r="V3131" s="34"/>
      <c r="W3131" s="34"/>
      <c r="X3131" s="34"/>
      <c r="Y3131" s="45"/>
      <c r="Z3131" s="45"/>
      <c r="AA3131" s="45"/>
      <c r="AB3131" s="45"/>
      <c r="AC3131" s="45"/>
      <c r="AD3131" s="45"/>
      <c r="AE3131" s="45"/>
      <c r="AF3131" s="45"/>
      <c r="AG3131" s="45"/>
      <c r="AH3131" s="45"/>
      <c r="AI3131" s="45"/>
      <c r="AJ3131" s="45"/>
      <c r="AK3131" s="45"/>
      <c r="AL3131" s="45"/>
    </row>
    <row r="3132" ht="15.75" customHeight="1">
      <c r="A3132" s="27">
        <v>4048.0</v>
      </c>
      <c r="B3132" s="86" t="s">
        <v>10884</v>
      </c>
      <c r="C3132" s="86" t="s">
        <v>10885</v>
      </c>
      <c r="D3132" s="117" t="s">
        <v>10886</v>
      </c>
      <c r="E3132" s="86"/>
      <c r="F3132" s="86" t="s">
        <v>29</v>
      </c>
      <c r="G3132" s="86" t="s">
        <v>30</v>
      </c>
      <c r="H3132" s="86"/>
      <c r="I3132" s="86" t="s">
        <v>30</v>
      </c>
      <c r="J3132" s="86">
        <v>240.0</v>
      </c>
      <c r="K3132" s="83"/>
      <c r="L3132" s="86" t="s">
        <v>10887</v>
      </c>
      <c r="M3132" s="86" t="s">
        <v>4166</v>
      </c>
      <c r="N3132" s="86">
        <v>2014.0</v>
      </c>
      <c r="O3132" s="86">
        <v>13.0</v>
      </c>
      <c r="P3132" s="86">
        <v>1.0</v>
      </c>
      <c r="Q3132" s="86">
        <v>1.0</v>
      </c>
      <c r="R3132" s="84"/>
      <c r="S3132" s="34"/>
      <c r="T3132" s="34"/>
      <c r="U3132" s="34"/>
      <c r="V3132" s="34"/>
      <c r="W3132" s="34"/>
      <c r="X3132" s="34"/>
      <c r="Y3132" s="45"/>
      <c r="Z3132" s="45"/>
      <c r="AA3132" s="45"/>
      <c r="AB3132" s="45"/>
      <c r="AC3132" s="45"/>
      <c r="AD3132" s="45"/>
      <c r="AE3132" s="45"/>
      <c r="AF3132" s="45"/>
      <c r="AG3132" s="45"/>
      <c r="AH3132" s="45"/>
      <c r="AI3132" s="45"/>
      <c r="AJ3132" s="45"/>
      <c r="AK3132" s="45"/>
      <c r="AL3132" s="45"/>
    </row>
    <row r="3133" ht="15.75" customHeight="1">
      <c r="A3133" s="27">
        <v>4049.0</v>
      </c>
      <c r="B3133" s="86" t="s">
        <v>3454</v>
      </c>
      <c r="C3133" s="86" t="s">
        <v>10888</v>
      </c>
      <c r="D3133" s="117" t="s">
        <v>3456</v>
      </c>
      <c r="E3133" s="86"/>
      <c r="F3133" s="86" t="s">
        <v>29</v>
      </c>
      <c r="G3133" s="86" t="s">
        <v>30</v>
      </c>
      <c r="H3133" s="86"/>
      <c r="I3133" s="86" t="s">
        <v>30</v>
      </c>
      <c r="J3133" s="86">
        <v>196.0</v>
      </c>
      <c r="K3133" s="83"/>
      <c r="L3133" s="86" t="s">
        <v>1629</v>
      </c>
      <c r="M3133" s="86" t="s">
        <v>8073</v>
      </c>
      <c r="N3133" s="86">
        <v>2018.0</v>
      </c>
      <c r="O3133" s="86" t="s">
        <v>89</v>
      </c>
      <c r="P3133" s="86">
        <v>1.0</v>
      </c>
      <c r="Q3133" s="86">
        <v>1.0</v>
      </c>
      <c r="R3133" s="84"/>
      <c r="S3133" s="34"/>
      <c r="T3133" s="34"/>
      <c r="U3133" s="34"/>
      <c r="V3133" s="34"/>
      <c r="W3133" s="34"/>
      <c r="X3133" s="34"/>
      <c r="Y3133" s="45"/>
      <c r="Z3133" s="45"/>
      <c r="AA3133" s="45"/>
      <c r="AB3133" s="45"/>
      <c r="AC3133" s="45"/>
      <c r="AD3133" s="45"/>
      <c r="AE3133" s="45"/>
      <c r="AF3133" s="45"/>
      <c r="AG3133" s="45"/>
      <c r="AH3133" s="45"/>
      <c r="AI3133" s="45"/>
      <c r="AJ3133" s="45"/>
      <c r="AK3133" s="45"/>
      <c r="AL3133" s="45"/>
    </row>
    <row r="3134" ht="15.75" customHeight="1">
      <c r="A3134" s="27">
        <v>4050.0</v>
      </c>
      <c r="B3134" s="86" t="s">
        <v>10889</v>
      </c>
      <c r="C3134" s="86" t="s">
        <v>10890</v>
      </c>
      <c r="D3134" s="117" t="s">
        <v>10891</v>
      </c>
      <c r="E3134" s="86"/>
      <c r="F3134" s="86" t="s">
        <v>29</v>
      </c>
      <c r="G3134" s="86" t="s">
        <v>30</v>
      </c>
      <c r="H3134" s="86"/>
      <c r="I3134" s="86" t="s">
        <v>30</v>
      </c>
      <c r="J3134" s="86">
        <v>288.0</v>
      </c>
      <c r="K3134" s="83"/>
      <c r="L3134" s="86" t="s">
        <v>10892</v>
      </c>
      <c r="M3134" s="86" t="s">
        <v>8073</v>
      </c>
      <c r="N3134" s="86">
        <v>2013.0</v>
      </c>
      <c r="O3134" s="86">
        <v>14.0</v>
      </c>
      <c r="P3134" s="86">
        <v>1.0</v>
      </c>
      <c r="Q3134" s="86">
        <v>1.0</v>
      </c>
      <c r="R3134" s="84"/>
      <c r="S3134" s="34"/>
      <c r="T3134" s="34"/>
      <c r="U3134" s="34"/>
      <c r="V3134" s="34"/>
      <c r="W3134" s="34"/>
      <c r="X3134" s="34"/>
      <c r="Y3134" s="45"/>
      <c r="Z3134" s="45"/>
      <c r="AA3134" s="45"/>
      <c r="AB3134" s="45"/>
      <c r="AC3134" s="45"/>
      <c r="AD3134" s="45"/>
      <c r="AE3134" s="45"/>
      <c r="AF3134" s="45"/>
      <c r="AG3134" s="45"/>
      <c r="AH3134" s="45"/>
      <c r="AI3134" s="45"/>
      <c r="AJ3134" s="45"/>
      <c r="AK3134" s="45"/>
      <c r="AL3134" s="45"/>
    </row>
    <row r="3135" ht="15.75" customHeight="1">
      <c r="A3135" s="27">
        <v>4051.0</v>
      </c>
      <c r="B3135" s="86" t="s">
        <v>10893</v>
      </c>
      <c r="C3135" s="86" t="s">
        <v>10894</v>
      </c>
      <c r="D3135" s="117" t="s">
        <v>10895</v>
      </c>
      <c r="E3135" s="86"/>
      <c r="F3135" s="86" t="s">
        <v>29</v>
      </c>
      <c r="G3135" s="86" t="s">
        <v>30</v>
      </c>
      <c r="H3135" s="86"/>
      <c r="I3135" s="86" t="s">
        <v>30</v>
      </c>
      <c r="J3135" s="86">
        <v>204.0</v>
      </c>
      <c r="K3135" s="83"/>
      <c r="L3135" s="86" t="s">
        <v>9064</v>
      </c>
      <c r="M3135" s="86" t="s">
        <v>8073</v>
      </c>
      <c r="N3135" s="86">
        <v>2020.0</v>
      </c>
      <c r="O3135" s="86">
        <v>13.0</v>
      </c>
      <c r="P3135" s="86">
        <v>1.0</v>
      </c>
      <c r="Q3135" s="86">
        <v>1.0</v>
      </c>
      <c r="R3135" s="84"/>
      <c r="S3135" s="34"/>
      <c r="T3135" s="34"/>
      <c r="U3135" s="34"/>
      <c r="V3135" s="34"/>
      <c r="W3135" s="34"/>
      <c r="X3135" s="34"/>
      <c r="Y3135" s="45"/>
      <c r="Z3135" s="45"/>
      <c r="AA3135" s="45"/>
      <c r="AB3135" s="45"/>
      <c r="AC3135" s="45"/>
      <c r="AD3135" s="45"/>
      <c r="AE3135" s="45"/>
      <c r="AF3135" s="45"/>
      <c r="AG3135" s="45"/>
      <c r="AH3135" s="45"/>
      <c r="AI3135" s="45"/>
      <c r="AJ3135" s="45"/>
      <c r="AK3135" s="45"/>
      <c r="AL3135" s="45"/>
    </row>
    <row r="3136" ht="15.75" customHeight="1">
      <c r="A3136" s="27">
        <v>4052.0</v>
      </c>
      <c r="B3136" s="86" t="s">
        <v>10896</v>
      </c>
      <c r="C3136" s="86" t="s">
        <v>10897</v>
      </c>
      <c r="D3136" s="117" t="s">
        <v>10898</v>
      </c>
      <c r="E3136" s="86"/>
      <c r="F3136" s="86" t="s">
        <v>29</v>
      </c>
      <c r="G3136" s="86" t="s">
        <v>30</v>
      </c>
      <c r="H3136" s="86"/>
      <c r="I3136" s="86" t="s">
        <v>30</v>
      </c>
      <c r="J3136" s="86">
        <v>449.0</v>
      </c>
      <c r="K3136" s="83"/>
      <c r="L3136" s="86" t="s">
        <v>10899</v>
      </c>
      <c r="M3136" s="86" t="s">
        <v>8073</v>
      </c>
      <c r="N3136" s="86">
        <v>2015.0</v>
      </c>
      <c r="O3136" s="86">
        <v>13.0</v>
      </c>
      <c r="P3136" s="86">
        <v>1.0</v>
      </c>
      <c r="Q3136" s="86">
        <v>1.0</v>
      </c>
      <c r="R3136" s="84"/>
      <c r="S3136" s="34"/>
      <c r="T3136" s="34"/>
      <c r="U3136" s="34"/>
      <c r="V3136" s="34"/>
      <c r="W3136" s="34"/>
      <c r="X3136" s="34"/>
      <c r="Y3136" s="45"/>
      <c r="Z3136" s="45"/>
      <c r="AA3136" s="45"/>
      <c r="AB3136" s="45"/>
      <c r="AC3136" s="45"/>
      <c r="AD3136" s="45"/>
      <c r="AE3136" s="45"/>
      <c r="AF3136" s="45"/>
      <c r="AG3136" s="45"/>
      <c r="AH3136" s="45"/>
      <c r="AI3136" s="45"/>
      <c r="AJ3136" s="45"/>
      <c r="AK3136" s="45"/>
      <c r="AL3136" s="45"/>
    </row>
    <row r="3137" ht="15.75" customHeight="1">
      <c r="A3137" s="27">
        <v>4053.0</v>
      </c>
      <c r="B3137" s="86" t="s">
        <v>10900</v>
      </c>
      <c r="C3137" s="86" t="s">
        <v>10897</v>
      </c>
      <c r="D3137" s="117" t="s">
        <v>10901</v>
      </c>
      <c r="E3137" s="86"/>
      <c r="F3137" s="86" t="s">
        <v>29</v>
      </c>
      <c r="G3137" s="86" t="s">
        <v>30</v>
      </c>
      <c r="H3137" s="86"/>
      <c r="I3137" s="86" t="s">
        <v>30</v>
      </c>
      <c r="J3137" s="86">
        <v>608.0</v>
      </c>
      <c r="K3137" s="83"/>
      <c r="L3137" s="86" t="s">
        <v>10899</v>
      </c>
      <c r="M3137" s="86" t="s">
        <v>8073</v>
      </c>
      <c r="N3137" s="86">
        <v>2012.0</v>
      </c>
      <c r="O3137" s="86">
        <v>13.0</v>
      </c>
      <c r="P3137" s="86">
        <v>1.0</v>
      </c>
      <c r="Q3137" s="86">
        <v>1.0</v>
      </c>
      <c r="R3137" s="84"/>
      <c r="S3137" s="34"/>
      <c r="T3137" s="34"/>
      <c r="U3137" s="34"/>
      <c r="V3137" s="34"/>
      <c r="W3137" s="34"/>
      <c r="X3137" s="34"/>
      <c r="Y3137" s="45"/>
      <c r="Z3137" s="45"/>
      <c r="AA3137" s="45"/>
      <c r="AB3137" s="45"/>
      <c r="AC3137" s="45"/>
      <c r="AD3137" s="45"/>
      <c r="AE3137" s="45"/>
      <c r="AF3137" s="45"/>
      <c r="AG3137" s="45"/>
      <c r="AH3137" s="45"/>
      <c r="AI3137" s="45"/>
      <c r="AJ3137" s="45"/>
      <c r="AK3137" s="45"/>
      <c r="AL3137" s="45"/>
    </row>
    <row r="3138" ht="15.75" customHeight="1">
      <c r="A3138" s="27">
        <v>4054.0</v>
      </c>
      <c r="B3138" s="86" t="s">
        <v>10902</v>
      </c>
      <c r="C3138" s="86" t="s">
        <v>10897</v>
      </c>
      <c r="D3138" s="117" t="s">
        <v>10903</v>
      </c>
      <c r="E3138" s="86"/>
      <c r="F3138" s="86" t="s">
        <v>29</v>
      </c>
      <c r="G3138" s="86" t="s">
        <v>30</v>
      </c>
      <c r="H3138" s="86"/>
      <c r="I3138" s="86" t="s">
        <v>30</v>
      </c>
      <c r="J3138" s="86">
        <v>540.0</v>
      </c>
      <c r="K3138" s="83"/>
      <c r="L3138" s="86" t="s">
        <v>10899</v>
      </c>
      <c r="M3138" s="86" t="s">
        <v>8073</v>
      </c>
      <c r="N3138" s="86">
        <v>2013.0</v>
      </c>
      <c r="O3138" s="86">
        <v>13.0</v>
      </c>
      <c r="P3138" s="86">
        <v>1.0</v>
      </c>
      <c r="Q3138" s="86">
        <v>1.0</v>
      </c>
      <c r="R3138" s="84"/>
      <c r="S3138" s="225"/>
      <c r="T3138" s="225"/>
      <c r="U3138" s="225"/>
      <c r="V3138" s="225"/>
      <c r="W3138" s="225"/>
      <c r="X3138" s="225"/>
      <c r="Y3138" s="45"/>
      <c r="Z3138" s="45"/>
      <c r="AA3138" s="45"/>
      <c r="AB3138" s="45"/>
      <c r="AC3138" s="45"/>
      <c r="AD3138" s="45"/>
      <c r="AE3138" s="45"/>
      <c r="AF3138" s="45"/>
      <c r="AG3138" s="45"/>
      <c r="AH3138" s="45"/>
      <c r="AI3138" s="45"/>
      <c r="AJ3138" s="45"/>
      <c r="AK3138" s="45"/>
      <c r="AL3138" s="45"/>
    </row>
    <row r="3139" ht="15.75" customHeight="1">
      <c r="A3139" s="27">
        <v>4055.0</v>
      </c>
      <c r="B3139" s="86" t="s">
        <v>10904</v>
      </c>
      <c r="C3139" s="86" t="s">
        <v>10905</v>
      </c>
      <c r="D3139" s="117" t="s">
        <v>10906</v>
      </c>
      <c r="E3139" s="86" t="s">
        <v>0</v>
      </c>
      <c r="F3139" s="86" t="s">
        <v>29</v>
      </c>
      <c r="G3139" s="86" t="s">
        <v>30</v>
      </c>
      <c r="H3139" s="86"/>
      <c r="I3139" s="86" t="s">
        <v>30</v>
      </c>
      <c r="J3139" s="86">
        <v>276.0</v>
      </c>
      <c r="K3139" s="83"/>
      <c r="L3139" s="86" t="s">
        <v>10907</v>
      </c>
      <c r="M3139" s="86" t="s">
        <v>8073</v>
      </c>
      <c r="N3139" s="86">
        <v>2014.0</v>
      </c>
      <c r="O3139" s="86">
        <v>13.0</v>
      </c>
      <c r="P3139" s="86">
        <v>1.0</v>
      </c>
      <c r="Q3139" s="86">
        <v>1.0</v>
      </c>
      <c r="R3139" s="84"/>
      <c r="S3139" s="34"/>
      <c r="T3139" s="34"/>
      <c r="U3139" s="34"/>
      <c r="V3139" s="34"/>
      <c r="W3139" s="34"/>
      <c r="X3139" s="34"/>
      <c r="Y3139" s="3"/>
      <c r="Z3139" s="3"/>
      <c r="AA3139" s="3"/>
      <c r="AB3139" s="3"/>
      <c r="AC3139" s="3"/>
      <c r="AD3139" s="3"/>
      <c r="AE3139" s="3"/>
      <c r="AF3139" s="3"/>
      <c r="AG3139" s="3"/>
      <c r="AH3139" s="3"/>
      <c r="AI3139" s="3"/>
      <c r="AJ3139" s="3"/>
      <c r="AK3139" s="3"/>
      <c r="AL3139" s="3"/>
    </row>
    <row r="3140" ht="15.75" customHeight="1">
      <c r="A3140" s="27">
        <v>4056.0</v>
      </c>
      <c r="B3140" s="86" t="s">
        <v>10908</v>
      </c>
      <c r="C3140" s="86" t="s">
        <v>10905</v>
      </c>
      <c r="D3140" s="117" t="s">
        <v>10909</v>
      </c>
      <c r="E3140" s="86" t="s">
        <v>0</v>
      </c>
      <c r="F3140" s="86" t="s">
        <v>29</v>
      </c>
      <c r="G3140" s="86" t="s">
        <v>30</v>
      </c>
      <c r="H3140" s="86"/>
      <c r="I3140" s="86" t="s">
        <v>30</v>
      </c>
      <c r="J3140" s="86">
        <v>402.0</v>
      </c>
      <c r="K3140" s="83"/>
      <c r="L3140" s="86" t="s">
        <v>10907</v>
      </c>
      <c r="M3140" s="86" t="s">
        <v>8073</v>
      </c>
      <c r="N3140" s="86">
        <v>2012.0</v>
      </c>
      <c r="O3140" s="86">
        <v>13.0</v>
      </c>
      <c r="P3140" s="86">
        <v>1.0</v>
      </c>
      <c r="Q3140" s="86">
        <v>1.0</v>
      </c>
      <c r="R3140" s="84"/>
      <c r="S3140" s="34"/>
      <c r="T3140" s="34"/>
      <c r="U3140" s="34"/>
      <c r="V3140" s="34"/>
      <c r="W3140" s="34"/>
      <c r="X3140" s="34"/>
      <c r="Y3140" s="45"/>
      <c r="Z3140" s="45"/>
      <c r="AA3140" s="45"/>
      <c r="AB3140" s="45"/>
      <c r="AC3140" s="45"/>
      <c r="AD3140" s="45"/>
      <c r="AE3140" s="45"/>
      <c r="AF3140" s="45"/>
      <c r="AG3140" s="45"/>
      <c r="AH3140" s="45"/>
      <c r="AI3140" s="45"/>
      <c r="AJ3140" s="45"/>
      <c r="AK3140" s="45"/>
      <c r="AL3140" s="45"/>
    </row>
    <row r="3141" ht="15.75" customHeight="1">
      <c r="A3141" s="27">
        <v>4057.0</v>
      </c>
      <c r="B3141" s="86" t="s">
        <v>10910</v>
      </c>
      <c r="C3141" s="86" t="s">
        <v>10911</v>
      </c>
      <c r="D3141" s="117" t="s">
        <v>10912</v>
      </c>
      <c r="E3141" s="86" t="s">
        <v>0</v>
      </c>
      <c r="F3141" s="86" t="s">
        <v>29</v>
      </c>
      <c r="G3141" s="86" t="s">
        <v>30</v>
      </c>
      <c r="H3141" s="86"/>
      <c r="I3141" s="86" t="s">
        <v>30</v>
      </c>
      <c r="J3141" s="86">
        <v>288.0</v>
      </c>
      <c r="K3141" s="83"/>
      <c r="L3141" s="86" t="s">
        <v>10913</v>
      </c>
      <c r="M3141" s="86" t="s">
        <v>8073</v>
      </c>
      <c r="N3141" s="86">
        <v>2020.0</v>
      </c>
      <c r="O3141" s="86">
        <v>13.0</v>
      </c>
      <c r="P3141" s="86">
        <v>1.0</v>
      </c>
      <c r="Q3141" s="86">
        <v>1.0</v>
      </c>
      <c r="R3141" s="84"/>
      <c r="S3141" s="34"/>
      <c r="T3141" s="34"/>
      <c r="U3141" s="34"/>
      <c r="V3141" s="34"/>
      <c r="W3141" s="34"/>
      <c r="X3141" s="34"/>
      <c r="Y3141" s="45"/>
      <c r="Z3141" s="45"/>
      <c r="AA3141" s="45"/>
      <c r="AB3141" s="45"/>
      <c r="AC3141" s="45"/>
      <c r="AD3141" s="45"/>
      <c r="AE3141" s="45"/>
      <c r="AF3141" s="45"/>
      <c r="AG3141" s="45"/>
      <c r="AH3141" s="45"/>
      <c r="AI3141" s="45"/>
      <c r="AJ3141" s="45"/>
      <c r="AK3141" s="45"/>
      <c r="AL3141" s="45"/>
    </row>
    <row r="3142" ht="15.75" customHeight="1">
      <c r="A3142" s="27">
        <v>4058.0</v>
      </c>
      <c r="B3142" s="86" t="s">
        <v>10914</v>
      </c>
      <c r="C3142" s="86" t="s">
        <v>10915</v>
      </c>
      <c r="D3142" s="117" t="s">
        <v>10916</v>
      </c>
      <c r="E3142" s="86" t="s">
        <v>0</v>
      </c>
      <c r="F3142" s="86" t="s">
        <v>29</v>
      </c>
      <c r="G3142" s="86" t="s">
        <v>30</v>
      </c>
      <c r="H3142" s="86"/>
      <c r="I3142" s="86" t="s">
        <v>30</v>
      </c>
      <c r="J3142" s="86">
        <v>247.0</v>
      </c>
      <c r="K3142" s="83"/>
      <c r="L3142" s="86" t="s">
        <v>10917</v>
      </c>
      <c r="M3142" s="86" t="s">
        <v>8073</v>
      </c>
      <c r="N3142" s="86">
        <v>2019.0</v>
      </c>
      <c r="O3142" s="86">
        <v>13.0</v>
      </c>
      <c r="P3142" s="86">
        <v>1.0</v>
      </c>
      <c r="Q3142" s="86">
        <v>1.0</v>
      </c>
      <c r="R3142" s="84"/>
      <c r="S3142" s="34"/>
      <c r="T3142" s="34"/>
      <c r="U3142" s="34"/>
      <c r="V3142" s="34"/>
      <c r="W3142" s="34"/>
      <c r="X3142" s="34"/>
      <c r="Y3142" s="45"/>
      <c r="Z3142" s="45"/>
      <c r="AA3142" s="45"/>
      <c r="AB3142" s="45"/>
      <c r="AC3142" s="45"/>
      <c r="AD3142" s="45"/>
      <c r="AE3142" s="45"/>
      <c r="AF3142" s="45"/>
      <c r="AG3142" s="45"/>
      <c r="AH3142" s="45"/>
      <c r="AI3142" s="45"/>
      <c r="AJ3142" s="45"/>
      <c r="AK3142" s="45"/>
      <c r="AL3142" s="45"/>
    </row>
    <row r="3143" ht="15.75" customHeight="1">
      <c r="A3143" s="27">
        <v>4059.0</v>
      </c>
      <c r="B3143" s="86" t="s">
        <v>10918</v>
      </c>
      <c r="C3143" s="86" t="s">
        <v>10919</v>
      </c>
      <c r="D3143" s="117" t="s">
        <v>10920</v>
      </c>
      <c r="E3143" s="86" t="s">
        <v>0</v>
      </c>
      <c r="F3143" s="86" t="s">
        <v>29</v>
      </c>
      <c r="G3143" s="86" t="s">
        <v>30</v>
      </c>
      <c r="H3143" s="86"/>
      <c r="I3143" s="86" t="s">
        <v>30</v>
      </c>
      <c r="J3143" s="86">
        <v>437.0</v>
      </c>
      <c r="K3143" s="83"/>
      <c r="L3143" s="86" t="s">
        <v>10921</v>
      </c>
      <c r="M3143" s="86" t="s">
        <v>8073</v>
      </c>
      <c r="N3143" s="86">
        <v>2016.0</v>
      </c>
      <c r="O3143" s="86">
        <v>13.0</v>
      </c>
      <c r="P3143" s="86">
        <v>1.0</v>
      </c>
      <c r="Q3143" s="86">
        <v>1.0</v>
      </c>
      <c r="R3143" s="84"/>
      <c r="S3143" s="34"/>
      <c r="T3143" s="34"/>
      <c r="U3143" s="34"/>
      <c r="V3143" s="34"/>
      <c r="W3143" s="34"/>
      <c r="X3143" s="34"/>
      <c r="Y3143" s="45"/>
      <c r="Z3143" s="45"/>
      <c r="AA3143" s="45"/>
      <c r="AB3143" s="45"/>
      <c r="AC3143" s="45"/>
      <c r="AD3143" s="45"/>
      <c r="AE3143" s="45"/>
      <c r="AF3143" s="45"/>
      <c r="AG3143" s="45"/>
      <c r="AH3143" s="45"/>
      <c r="AI3143" s="45"/>
      <c r="AJ3143" s="45"/>
      <c r="AK3143" s="45"/>
      <c r="AL3143" s="45"/>
    </row>
    <row r="3144" ht="15.75" customHeight="1">
      <c r="A3144" s="27">
        <v>4060.0</v>
      </c>
      <c r="B3144" s="86" t="s">
        <v>10922</v>
      </c>
      <c r="C3144" s="86" t="s">
        <v>10923</v>
      </c>
      <c r="D3144" s="117" t="s">
        <v>10924</v>
      </c>
      <c r="E3144" s="86"/>
      <c r="F3144" s="86" t="s">
        <v>29</v>
      </c>
      <c r="G3144" s="86" t="s">
        <v>37</v>
      </c>
      <c r="H3144" s="86"/>
      <c r="I3144" s="86" t="s">
        <v>38</v>
      </c>
      <c r="J3144" s="86">
        <v>544.0</v>
      </c>
      <c r="K3144" s="83"/>
      <c r="L3144" s="86" t="s">
        <v>10925</v>
      </c>
      <c r="M3144" s="86" t="s">
        <v>8073</v>
      </c>
      <c r="N3144" s="86">
        <v>2011.0</v>
      </c>
      <c r="O3144" s="86">
        <v>13.0</v>
      </c>
      <c r="P3144" s="86">
        <v>1.0</v>
      </c>
      <c r="Q3144" s="86">
        <v>1.0</v>
      </c>
      <c r="R3144" s="84"/>
      <c r="S3144" s="34"/>
      <c r="T3144" s="34"/>
      <c r="U3144" s="34"/>
      <c r="V3144" s="34"/>
      <c r="W3144" s="34"/>
      <c r="X3144" s="34"/>
      <c r="Y3144" s="3"/>
      <c r="Z3144" s="3"/>
      <c r="AA3144" s="3"/>
      <c r="AB3144" s="3"/>
      <c r="AC3144" s="3"/>
      <c r="AD3144" s="3"/>
      <c r="AE3144" s="3"/>
      <c r="AF3144" s="3"/>
      <c r="AG3144" s="3"/>
      <c r="AH3144" s="3"/>
      <c r="AI3144" s="3"/>
      <c r="AJ3144" s="3"/>
      <c r="AK3144" s="3"/>
      <c r="AL3144" s="3"/>
    </row>
    <row r="3145" ht="15.75" customHeight="1">
      <c r="A3145" s="27">
        <v>4061.0</v>
      </c>
      <c r="B3145" s="86" t="s">
        <v>10926</v>
      </c>
      <c r="C3145" s="86" t="s">
        <v>10927</v>
      </c>
      <c r="D3145" s="117" t="s">
        <v>10928</v>
      </c>
      <c r="E3145" s="86" t="s">
        <v>0</v>
      </c>
      <c r="F3145" s="86" t="s">
        <v>29</v>
      </c>
      <c r="G3145" s="86" t="s">
        <v>37</v>
      </c>
      <c r="H3145" s="86"/>
      <c r="I3145" s="86" t="s">
        <v>38</v>
      </c>
      <c r="J3145" s="86">
        <v>159.0</v>
      </c>
      <c r="K3145" s="83"/>
      <c r="L3145" s="86" t="s">
        <v>10929</v>
      </c>
      <c r="M3145" s="86" t="s">
        <v>10930</v>
      </c>
      <c r="N3145" s="86">
        <v>2021.0</v>
      </c>
      <c r="O3145" s="86">
        <v>14.0</v>
      </c>
      <c r="P3145" s="86">
        <v>1.0</v>
      </c>
      <c r="Q3145" s="86">
        <v>1.0</v>
      </c>
      <c r="R3145" s="84"/>
      <c r="S3145" s="34"/>
      <c r="T3145" s="34"/>
      <c r="U3145" s="34"/>
      <c r="V3145" s="34"/>
      <c r="W3145" s="34"/>
      <c r="X3145" s="34"/>
      <c r="Y3145" s="3"/>
      <c r="Z3145" s="3"/>
      <c r="AA3145" s="3"/>
      <c r="AB3145" s="3"/>
      <c r="AC3145" s="3"/>
      <c r="AD3145" s="3"/>
      <c r="AE3145" s="3"/>
      <c r="AF3145" s="3"/>
      <c r="AG3145" s="3"/>
      <c r="AH3145" s="3"/>
      <c r="AI3145" s="3"/>
      <c r="AJ3145" s="3"/>
      <c r="AK3145" s="3"/>
      <c r="AL3145" s="3"/>
    </row>
    <row r="3146" ht="15.75" customHeight="1">
      <c r="A3146" s="27">
        <v>4062.0</v>
      </c>
      <c r="B3146" s="86" t="s">
        <v>10931</v>
      </c>
      <c r="C3146" s="86" t="s">
        <v>10932</v>
      </c>
      <c r="D3146" s="117" t="s">
        <v>1284</v>
      </c>
      <c r="E3146" s="86"/>
      <c r="F3146" s="86" t="s">
        <v>29</v>
      </c>
      <c r="G3146" s="86" t="s">
        <v>37</v>
      </c>
      <c r="H3146" s="86"/>
      <c r="I3146" s="86" t="s">
        <v>38</v>
      </c>
      <c r="J3146" s="86">
        <v>366.0</v>
      </c>
      <c r="K3146" s="83"/>
      <c r="L3146" s="86" t="s">
        <v>1196</v>
      </c>
      <c r="M3146" s="86" t="s">
        <v>49</v>
      </c>
      <c r="N3146" s="86">
        <v>2019.0</v>
      </c>
      <c r="O3146" s="86" t="s">
        <v>89</v>
      </c>
      <c r="P3146" s="86">
        <v>1.0</v>
      </c>
      <c r="Q3146" s="86">
        <v>1.0</v>
      </c>
      <c r="R3146" s="84"/>
      <c r="S3146" s="34"/>
      <c r="T3146" s="34"/>
      <c r="U3146" s="34"/>
      <c r="V3146" s="34"/>
      <c r="W3146" s="34"/>
      <c r="X3146" s="34"/>
      <c r="Y3146" s="45"/>
      <c r="Z3146" s="45"/>
      <c r="AA3146" s="45"/>
      <c r="AB3146" s="45"/>
      <c r="AC3146" s="45"/>
      <c r="AD3146" s="45"/>
      <c r="AE3146" s="45"/>
      <c r="AF3146" s="45"/>
      <c r="AG3146" s="45"/>
      <c r="AH3146" s="45"/>
      <c r="AI3146" s="45"/>
      <c r="AJ3146" s="45"/>
      <c r="AK3146" s="45"/>
      <c r="AL3146" s="45"/>
    </row>
    <row r="3147" ht="15.75" customHeight="1">
      <c r="A3147" s="27">
        <v>4063.0</v>
      </c>
      <c r="B3147" s="86" t="s">
        <v>10933</v>
      </c>
      <c r="C3147" s="86" t="s">
        <v>10934</v>
      </c>
      <c r="D3147" s="117" t="s">
        <v>10935</v>
      </c>
      <c r="E3147" s="86"/>
      <c r="F3147" s="86" t="s">
        <v>29</v>
      </c>
      <c r="G3147" s="86" t="s">
        <v>37</v>
      </c>
      <c r="H3147" s="86"/>
      <c r="I3147" s="86" t="s">
        <v>38</v>
      </c>
      <c r="J3147" s="244" t="s">
        <v>31</v>
      </c>
      <c r="K3147" s="83"/>
      <c r="L3147" s="86" t="s">
        <v>10936</v>
      </c>
      <c r="M3147" s="86" t="s">
        <v>10937</v>
      </c>
      <c r="N3147" s="86">
        <v>2014.0</v>
      </c>
      <c r="O3147" s="86">
        <v>9.0</v>
      </c>
      <c r="P3147" s="86">
        <v>1.0</v>
      </c>
      <c r="Q3147" s="86">
        <v>1.0</v>
      </c>
      <c r="R3147" s="84"/>
      <c r="S3147" s="116"/>
      <c r="T3147" s="116"/>
      <c r="U3147" s="116"/>
      <c r="V3147" s="116"/>
      <c r="W3147" s="116"/>
      <c r="X3147" s="116"/>
      <c r="Y3147" s="45"/>
      <c r="Z3147" s="45"/>
      <c r="AA3147" s="45"/>
      <c r="AB3147" s="45"/>
      <c r="AC3147" s="45"/>
      <c r="AD3147" s="45"/>
      <c r="AE3147" s="45"/>
      <c r="AF3147" s="45"/>
      <c r="AG3147" s="45"/>
      <c r="AH3147" s="45"/>
      <c r="AI3147" s="45"/>
      <c r="AJ3147" s="45"/>
      <c r="AK3147" s="45"/>
      <c r="AL3147" s="45"/>
    </row>
    <row r="3148" ht="15.75" customHeight="1">
      <c r="A3148" s="27">
        <v>4064.0</v>
      </c>
      <c r="B3148" s="86" t="s">
        <v>10938</v>
      </c>
      <c r="C3148" s="86" t="s">
        <v>10939</v>
      </c>
      <c r="D3148" s="117" t="s">
        <v>10940</v>
      </c>
      <c r="E3148" s="86"/>
      <c r="F3148" s="86" t="s">
        <v>29</v>
      </c>
      <c r="G3148" s="86" t="s">
        <v>37</v>
      </c>
      <c r="H3148" s="86"/>
      <c r="I3148" s="86" t="s">
        <v>38</v>
      </c>
      <c r="J3148" s="86">
        <v>588.0</v>
      </c>
      <c r="K3148" s="83"/>
      <c r="L3148" s="86" t="s">
        <v>10941</v>
      </c>
      <c r="M3148" s="86" t="s">
        <v>382</v>
      </c>
      <c r="N3148" s="86">
        <v>2012.0</v>
      </c>
      <c r="O3148" s="86">
        <v>9.0</v>
      </c>
      <c r="P3148" s="86">
        <v>1.0</v>
      </c>
      <c r="Q3148" s="86">
        <v>1.0</v>
      </c>
      <c r="R3148" s="84"/>
      <c r="S3148" s="116"/>
      <c r="T3148" s="116"/>
      <c r="U3148" s="116"/>
      <c r="V3148" s="116"/>
      <c r="W3148" s="116"/>
      <c r="X3148" s="116"/>
      <c r="Y3148" s="45"/>
      <c r="Z3148" s="45"/>
      <c r="AA3148" s="45"/>
      <c r="AB3148" s="45"/>
      <c r="AC3148" s="45"/>
      <c r="AD3148" s="45"/>
      <c r="AE3148" s="45"/>
      <c r="AF3148" s="45"/>
      <c r="AG3148" s="45"/>
      <c r="AH3148" s="45"/>
      <c r="AI3148" s="45"/>
      <c r="AJ3148" s="45"/>
      <c r="AK3148" s="45"/>
      <c r="AL3148" s="45"/>
    </row>
    <row r="3149" ht="15.75" customHeight="1">
      <c r="A3149" s="27">
        <v>4065.0</v>
      </c>
      <c r="B3149" s="86" t="s">
        <v>10942</v>
      </c>
      <c r="C3149" s="86" t="s">
        <v>10943</v>
      </c>
      <c r="D3149" s="117" t="s">
        <v>10944</v>
      </c>
      <c r="E3149" s="86"/>
      <c r="F3149" s="86" t="s">
        <v>29</v>
      </c>
      <c r="G3149" s="86" t="s">
        <v>37</v>
      </c>
      <c r="H3149" s="86"/>
      <c r="I3149" s="86" t="s">
        <v>38</v>
      </c>
      <c r="J3149" s="86">
        <v>208.0</v>
      </c>
      <c r="K3149" s="83"/>
      <c r="L3149" s="86" t="s">
        <v>10945</v>
      </c>
      <c r="M3149" s="86" t="s">
        <v>382</v>
      </c>
      <c r="N3149" s="86">
        <v>2020.0</v>
      </c>
      <c r="O3149" s="86">
        <v>12.0</v>
      </c>
      <c r="P3149" s="86">
        <v>1.0</v>
      </c>
      <c r="Q3149" s="86">
        <v>1.0</v>
      </c>
      <c r="R3149" s="84"/>
      <c r="S3149" s="34"/>
      <c r="T3149" s="34"/>
      <c r="U3149" s="34"/>
      <c r="V3149" s="34"/>
      <c r="W3149" s="34"/>
      <c r="X3149" s="34"/>
      <c r="Y3149" s="3"/>
      <c r="Z3149" s="3"/>
      <c r="AA3149" s="3"/>
      <c r="AB3149" s="3"/>
      <c r="AC3149" s="3"/>
      <c r="AD3149" s="3"/>
      <c r="AE3149" s="3"/>
      <c r="AF3149" s="3"/>
      <c r="AG3149" s="3"/>
      <c r="AH3149" s="3"/>
      <c r="AI3149" s="3"/>
      <c r="AJ3149" s="3"/>
      <c r="AK3149" s="3"/>
      <c r="AL3149" s="3"/>
    </row>
    <row r="3150" ht="15.75" customHeight="1">
      <c r="A3150" s="27">
        <v>4066.0</v>
      </c>
      <c r="B3150" s="86" t="s">
        <v>10946</v>
      </c>
      <c r="C3150" s="86" t="s">
        <v>10947</v>
      </c>
      <c r="D3150" s="117" t="s">
        <v>10948</v>
      </c>
      <c r="E3150" s="86" t="s">
        <v>0</v>
      </c>
      <c r="F3150" s="86" t="s">
        <v>29</v>
      </c>
      <c r="G3150" s="86" t="s">
        <v>37</v>
      </c>
      <c r="H3150" s="86"/>
      <c r="I3150" s="86" t="s">
        <v>38</v>
      </c>
      <c r="J3150" s="86">
        <v>989.0</v>
      </c>
      <c r="K3150" s="83"/>
      <c r="L3150" s="86" t="s">
        <v>10949</v>
      </c>
      <c r="M3150" s="86" t="s">
        <v>382</v>
      </c>
      <c r="N3150" s="86">
        <v>2005.0</v>
      </c>
      <c r="O3150" s="86" t="s">
        <v>2259</v>
      </c>
      <c r="P3150" s="86">
        <v>1.0</v>
      </c>
      <c r="Q3150" s="86">
        <v>1.0</v>
      </c>
      <c r="R3150" s="84"/>
      <c r="S3150" s="34"/>
      <c r="T3150" s="34"/>
      <c r="U3150" s="34"/>
      <c r="V3150" s="34"/>
      <c r="W3150" s="34"/>
      <c r="X3150" s="34"/>
      <c r="Y3150" s="45"/>
      <c r="Z3150" s="45"/>
      <c r="AA3150" s="45"/>
      <c r="AB3150" s="45"/>
      <c r="AC3150" s="45"/>
      <c r="AD3150" s="45"/>
      <c r="AE3150" s="45"/>
      <c r="AF3150" s="45"/>
      <c r="AG3150" s="45"/>
      <c r="AH3150" s="45"/>
      <c r="AI3150" s="45"/>
      <c r="AJ3150" s="45"/>
      <c r="AK3150" s="45"/>
      <c r="AL3150" s="45"/>
    </row>
    <row r="3151" ht="15.75" customHeight="1">
      <c r="A3151" s="27">
        <v>4067.0</v>
      </c>
      <c r="B3151" s="86" t="s">
        <v>10950</v>
      </c>
      <c r="C3151" s="86" t="s">
        <v>10951</v>
      </c>
      <c r="D3151" s="117" t="s">
        <v>10952</v>
      </c>
      <c r="E3151" s="86"/>
      <c r="F3151" s="86" t="s">
        <v>29</v>
      </c>
      <c r="G3151" s="86" t="s">
        <v>37</v>
      </c>
      <c r="H3151" s="86"/>
      <c r="I3151" s="86" t="s">
        <v>38</v>
      </c>
      <c r="J3151" s="86">
        <v>1102.0</v>
      </c>
      <c r="K3151" s="83"/>
      <c r="L3151" s="86" t="s">
        <v>10949</v>
      </c>
      <c r="M3151" s="86" t="s">
        <v>382</v>
      </c>
      <c r="N3151" s="86">
        <v>2005.0</v>
      </c>
      <c r="O3151" s="86" t="s">
        <v>2259</v>
      </c>
      <c r="P3151" s="86">
        <v>1.0</v>
      </c>
      <c r="Q3151" s="86">
        <v>1.0</v>
      </c>
      <c r="R3151" s="84"/>
      <c r="S3151" s="34"/>
      <c r="T3151" s="34"/>
      <c r="U3151" s="34"/>
      <c r="V3151" s="34"/>
      <c r="W3151" s="34"/>
      <c r="X3151" s="34"/>
      <c r="Y3151" s="45"/>
      <c r="Z3151" s="45"/>
      <c r="AA3151" s="45"/>
      <c r="AB3151" s="45"/>
      <c r="AC3151" s="45"/>
      <c r="AD3151" s="45"/>
      <c r="AE3151" s="45"/>
      <c r="AF3151" s="45"/>
      <c r="AG3151" s="45"/>
      <c r="AH3151" s="45"/>
      <c r="AI3151" s="45"/>
      <c r="AJ3151" s="45"/>
      <c r="AK3151" s="45"/>
      <c r="AL3151" s="45"/>
    </row>
    <row r="3152" ht="15.75" customHeight="1">
      <c r="A3152" s="27">
        <v>4068.0</v>
      </c>
      <c r="B3152" s="86" t="s">
        <v>672</v>
      </c>
      <c r="C3152" s="86" t="s">
        <v>10953</v>
      </c>
      <c r="D3152" s="117" t="s">
        <v>10954</v>
      </c>
      <c r="E3152" s="86" t="s">
        <v>0</v>
      </c>
      <c r="F3152" s="86" t="s">
        <v>29</v>
      </c>
      <c r="G3152" s="86" t="s">
        <v>37</v>
      </c>
      <c r="H3152" s="86"/>
      <c r="I3152" s="86" t="s">
        <v>38</v>
      </c>
      <c r="J3152" s="86">
        <v>640.0</v>
      </c>
      <c r="K3152" s="83"/>
      <c r="L3152" s="86" t="s">
        <v>10949</v>
      </c>
      <c r="M3152" s="86" t="s">
        <v>382</v>
      </c>
      <c r="N3152" s="86">
        <v>2005.0</v>
      </c>
      <c r="O3152" s="86" t="s">
        <v>2259</v>
      </c>
      <c r="P3152" s="86">
        <v>1.0</v>
      </c>
      <c r="Q3152" s="86">
        <v>1.0</v>
      </c>
      <c r="R3152" s="84"/>
      <c r="S3152" s="34"/>
      <c r="T3152" s="34"/>
      <c r="U3152" s="34"/>
      <c r="V3152" s="34"/>
      <c r="W3152" s="34"/>
      <c r="X3152" s="34"/>
      <c r="Y3152" s="3"/>
      <c r="Z3152" s="3"/>
      <c r="AA3152" s="3"/>
      <c r="AB3152" s="3"/>
      <c r="AC3152" s="3"/>
      <c r="AD3152" s="3"/>
      <c r="AE3152" s="3"/>
      <c r="AF3152" s="3"/>
      <c r="AG3152" s="3"/>
      <c r="AH3152" s="3"/>
      <c r="AI3152" s="3"/>
      <c r="AJ3152" s="3"/>
      <c r="AK3152" s="3"/>
      <c r="AL3152" s="3"/>
    </row>
    <row r="3153" ht="15.75" customHeight="1">
      <c r="A3153" s="27">
        <v>4069.0</v>
      </c>
      <c r="B3153" s="86" t="s">
        <v>537</v>
      </c>
      <c r="C3153" s="86" t="s">
        <v>10955</v>
      </c>
      <c r="D3153" s="117" t="s">
        <v>10956</v>
      </c>
      <c r="E3153" s="86" t="s">
        <v>0</v>
      </c>
      <c r="F3153" s="86" t="s">
        <v>29</v>
      </c>
      <c r="G3153" s="86" t="s">
        <v>37</v>
      </c>
      <c r="H3153" s="86"/>
      <c r="I3153" s="86" t="s">
        <v>38</v>
      </c>
      <c r="J3153" s="86">
        <v>643.0</v>
      </c>
      <c r="K3153" s="83"/>
      <c r="L3153" s="86" t="s">
        <v>10949</v>
      </c>
      <c r="M3153" s="86" t="s">
        <v>382</v>
      </c>
      <c r="N3153" s="86">
        <v>2005.0</v>
      </c>
      <c r="O3153" s="86" t="s">
        <v>2259</v>
      </c>
      <c r="P3153" s="86">
        <v>1.0</v>
      </c>
      <c r="Q3153" s="86">
        <v>1.0</v>
      </c>
      <c r="R3153" s="84"/>
      <c r="S3153" s="116"/>
      <c r="T3153" s="116"/>
      <c r="U3153" s="116"/>
      <c r="V3153" s="116"/>
      <c r="W3153" s="116"/>
      <c r="X3153" s="116"/>
      <c r="Y3153" s="3"/>
      <c r="Z3153" s="3"/>
      <c r="AA3153" s="3"/>
      <c r="AB3153" s="3"/>
      <c r="AC3153" s="3"/>
      <c r="AD3153" s="3"/>
      <c r="AE3153" s="3"/>
      <c r="AF3153" s="3"/>
      <c r="AG3153" s="3"/>
      <c r="AH3153" s="3"/>
      <c r="AI3153" s="3"/>
      <c r="AJ3153" s="3"/>
      <c r="AK3153" s="3"/>
      <c r="AL3153" s="3"/>
    </row>
    <row r="3154" ht="15.75" customHeight="1">
      <c r="A3154" s="27">
        <v>4070.0</v>
      </c>
      <c r="B3154" s="86" t="s">
        <v>399</v>
      </c>
      <c r="C3154" s="86" t="s">
        <v>10957</v>
      </c>
      <c r="D3154" s="117" t="s">
        <v>10958</v>
      </c>
      <c r="E3154" s="86" t="s">
        <v>0</v>
      </c>
      <c r="F3154" s="86" t="s">
        <v>29</v>
      </c>
      <c r="G3154" s="86" t="s">
        <v>37</v>
      </c>
      <c r="H3154" s="86"/>
      <c r="I3154" s="86" t="s">
        <v>38</v>
      </c>
      <c r="J3154" s="86">
        <v>789.0</v>
      </c>
      <c r="K3154" s="83"/>
      <c r="L3154" s="86" t="s">
        <v>10949</v>
      </c>
      <c r="M3154" s="86" t="s">
        <v>382</v>
      </c>
      <c r="N3154" s="86">
        <v>2005.0</v>
      </c>
      <c r="O3154" s="86" t="s">
        <v>2259</v>
      </c>
      <c r="P3154" s="86">
        <v>1.0</v>
      </c>
      <c r="Q3154" s="86">
        <v>1.0</v>
      </c>
      <c r="R3154" s="84"/>
      <c r="S3154" s="34"/>
      <c r="T3154" s="34"/>
      <c r="U3154" s="34"/>
      <c r="V3154" s="34"/>
      <c r="W3154" s="34"/>
      <c r="X3154" s="34"/>
      <c r="Y3154" s="45"/>
      <c r="Z3154" s="45"/>
      <c r="AA3154" s="45"/>
      <c r="AB3154" s="45"/>
      <c r="AC3154" s="45"/>
      <c r="AD3154" s="45"/>
      <c r="AE3154" s="45"/>
      <c r="AF3154" s="45"/>
      <c r="AG3154" s="45"/>
      <c r="AH3154" s="45"/>
      <c r="AI3154" s="45"/>
      <c r="AJ3154" s="45"/>
      <c r="AK3154" s="45"/>
      <c r="AL3154" s="45"/>
    </row>
    <row r="3155" ht="15.75" customHeight="1">
      <c r="A3155" s="27">
        <v>4071.0</v>
      </c>
      <c r="B3155" s="86" t="s">
        <v>10959</v>
      </c>
      <c r="C3155" s="86" t="s">
        <v>10960</v>
      </c>
      <c r="D3155" s="117" t="s">
        <v>10961</v>
      </c>
      <c r="E3155" s="86"/>
      <c r="F3155" s="86" t="s">
        <v>29</v>
      </c>
      <c r="G3155" s="86" t="s">
        <v>30</v>
      </c>
      <c r="H3155" s="86"/>
      <c r="I3155" s="86" t="s">
        <v>30</v>
      </c>
      <c r="J3155" s="86">
        <v>334.0</v>
      </c>
      <c r="K3155" s="83"/>
      <c r="L3155" s="86" t="s">
        <v>10962</v>
      </c>
      <c r="M3155" s="86" t="s">
        <v>10963</v>
      </c>
      <c r="N3155" s="86">
        <v>2013.0</v>
      </c>
      <c r="O3155" s="86">
        <v>13.0</v>
      </c>
      <c r="P3155" s="86">
        <v>1.0</v>
      </c>
      <c r="Q3155" s="86">
        <v>1.0</v>
      </c>
      <c r="R3155" s="84"/>
      <c r="S3155" s="34"/>
      <c r="T3155" s="34"/>
      <c r="U3155" s="34"/>
      <c r="V3155" s="34"/>
      <c r="W3155" s="34"/>
      <c r="X3155" s="34"/>
      <c r="Y3155" s="45"/>
      <c r="Z3155" s="45"/>
      <c r="AA3155" s="45"/>
      <c r="AB3155" s="45"/>
      <c r="AC3155" s="45"/>
      <c r="AD3155" s="45"/>
      <c r="AE3155" s="45"/>
      <c r="AF3155" s="45"/>
      <c r="AG3155" s="45"/>
      <c r="AH3155" s="45"/>
      <c r="AI3155" s="45"/>
      <c r="AJ3155" s="45"/>
      <c r="AK3155" s="45"/>
      <c r="AL3155" s="45"/>
    </row>
    <row r="3156" ht="15.75" customHeight="1">
      <c r="A3156" s="27">
        <v>4072.0</v>
      </c>
      <c r="B3156" s="86" t="s">
        <v>10964</v>
      </c>
      <c r="C3156" s="86" t="s">
        <v>10965</v>
      </c>
      <c r="D3156" s="117" t="s">
        <v>10966</v>
      </c>
      <c r="E3156" s="86"/>
      <c r="F3156" s="86" t="s">
        <v>29</v>
      </c>
      <c r="G3156" s="86" t="s">
        <v>30</v>
      </c>
      <c r="H3156" s="86"/>
      <c r="I3156" s="86" t="s">
        <v>30</v>
      </c>
      <c r="J3156" s="86">
        <v>377.0</v>
      </c>
      <c r="K3156" s="83"/>
      <c r="L3156" s="86" t="s">
        <v>10962</v>
      </c>
      <c r="M3156" s="86" t="s">
        <v>10963</v>
      </c>
      <c r="N3156" s="86">
        <v>2011.0</v>
      </c>
      <c r="O3156" s="86">
        <v>13.0</v>
      </c>
      <c r="P3156" s="86">
        <v>1.0</v>
      </c>
      <c r="Q3156" s="86">
        <v>1.0</v>
      </c>
      <c r="R3156" s="84"/>
      <c r="S3156" s="34"/>
      <c r="T3156" s="34"/>
      <c r="U3156" s="34"/>
      <c r="V3156" s="34"/>
      <c r="W3156" s="34"/>
      <c r="X3156" s="34"/>
      <c r="Y3156" s="45"/>
      <c r="Z3156" s="45"/>
      <c r="AA3156" s="45"/>
      <c r="AB3156" s="45"/>
      <c r="AC3156" s="45"/>
      <c r="AD3156" s="45"/>
      <c r="AE3156" s="45"/>
      <c r="AF3156" s="45"/>
      <c r="AG3156" s="45"/>
      <c r="AH3156" s="45"/>
      <c r="AI3156" s="45"/>
      <c r="AJ3156" s="45"/>
      <c r="AK3156" s="45"/>
      <c r="AL3156" s="45"/>
    </row>
    <row r="3157" ht="15.75" customHeight="1">
      <c r="A3157" s="27">
        <v>4073.0</v>
      </c>
      <c r="B3157" s="86" t="s">
        <v>10967</v>
      </c>
      <c r="C3157" s="86" t="s">
        <v>10968</v>
      </c>
      <c r="D3157" s="117" t="s">
        <v>10969</v>
      </c>
      <c r="E3157" s="86" t="s">
        <v>10970</v>
      </c>
      <c r="F3157" s="86" t="s">
        <v>29</v>
      </c>
      <c r="G3157" s="86" t="s">
        <v>30</v>
      </c>
      <c r="H3157" s="86"/>
      <c r="I3157" s="86" t="s">
        <v>30</v>
      </c>
      <c r="J3157" s="86">
        <v>322.0</v>
      </c>
      <c r="K3157" s="83"/>
      <c r="L3157" s="86" t="s">
        <v>10962</v>
      </c>
      <c r="M3157" s="86" t="s">
        <v>10963</v>
      </c>
      <c r="N3157" s="86">
        <v>2011.0</v>
      </c>
      <c r="O3157" s="86">
        <v>13.0</v>
      </c>
      <c r="P3157" s="86">
        <v>1.0</v>
      </c>
      <c r="Q3157" s="86">
        <v>1.0</v>
      </c>
      <c r="R3157" s="84"/>
      <c r="S3157" s="34"/>
      <c r="T3157" s="34"/>
      <c r="U3157" s="34"/>
      <c r="V3157" s="34"/>
      <c r="W3157" s="34"/>
      <c r="X3157" s="34"/>
      <c r="Y3157" s="45"/>
      <c r="Z3157" s="45"/>
      <c r="AA3157" s="45"/>
      <c r="AB3157" s="45"/>
      <c r="AC3157" s="45"/>
      <c r="AD3157" s="45"/>
      <c r="AE3157" s="45"/>
      <c r="AF3157" s="45"/>
      <c r="AG3157" s="45"/>
      <c r="AH3157" s="45"/>
      <c r="AI3157" s="45"/>
      <c r="AJ3157" s="45"/>
      <c r="AK3157" s="45"/>
      <c r="AL3157" s="45"/>
    </row>
    <row r="3158" ht="15.75" customHeight="1">
      <c r="A3158" s="27">
        <v>4074.0</v>
      </c>
      <c r="B3158" s="86" t="s">
        <v>10971</v>
      </c>
      <c r="C3158" s="86" t="s">
        <v>10972</v>
      </c>
      <c r="D3158" s="117" t="s">
        <v>10973</v>
      </c>
      <c r="E3158" s="86"/>
      <c r="F3158" s="86" t="s">
        <v>29</v>
      </c>
      <c r="G3158" s="86" t="s">
        <v>30</v>
      </c>
      <c r="H3158" s="86"/>
      <c r="I3158" s="86" t="s">
        <v>30</v>
      </c>
      <c r="J3158" s="86">
        <v>261.0</v>
      </c>
      <c r="K3158" s="83"/>
      <c r="L3158" s="86" t="s">
        <v>10962</v>
      </c>
      <c r="M3158" s="113" t="s">
        <v>3175</v>
      </c>
      <c r="N3158" s="86">
        <v>2021.0</v>
      </c>
      <c r="O3158" s="86">
        <v>13.0</v>
      </c>
      <c r="P3158" s="86">
        <v>1.0</v>
      </c>
      <c r="Q3158" s="86">
        <v>1.0</v>
      </c>
      <c r="R3158" s="84"/>
      <c r="S3158" s="34"/>
      <c r="T3158" s="34"/>
      <c r="U3158" s="34"/>
      <c r="V3158" s="34"/>
      <c r="W3158" s="34"/>
      <c r="X3158" s="34"/>
      <c r="Y3158" s="45"/>
      <c r="Z3158" s="45"/>
      <c r="AA3158" s="45"/>
      <c r="AB3158" s="45"/>
      <c r="AC3158" s="45"/>
      <c r="AD3158" s="45"/>
      <c r="AE3158" s="45"/>
      <c r="AF3158" s="45"/>
      <c r="AG3158" s="45"/>
      <c r="AH3158" s="45"/>
      <c r="AI3158" s="45"/>
      <c r="AJ3158" s="45"/>
      <c r="AK3158" s="45"/>
      <c r="AL3158" s="45"/>
    </row>
    <row r="3159" ht="15.75" customHeight="1">
      <c r="A3159" s="27">
        <v>4075.0</v>
      </c>
      <c r="B3159" s="86" t="s">
        <v>10974</v>
      </c>
      <c r="C3159" s="86" t="s">
        <v>10975</v>
      </c>
      <c r="D3159" s="117" t="s">
        <v>10976</v>
      </c>
      <c r="E3159" s="86"/>
      <c r="F3159" s="86" t="s">
        <v>29</v>
      </c>
      <c r="G3159" s="86" t="s">
        <v>30</v>
      </c>
      <c r="H3159" s="86"/>
      <c r="I3159" s="86" t="s">
        <v>30</v>
      </c>
      <c r="J3159" s="86">
        <v>174.0</v>
      </c>
      <c r="K3159" s="83"/>
      <c r="L3159" s="86" t="s">
        <v>10977</v>
      </c>
      <c r="M3159" s="86" t="s">
        <v>10978</v>
      </c>
      <c r="N3159" s="86">
        <v>2015.0</v>
      </c>
      <c r="O3159" s="86">
        <v>13.0</v>
      </c>
      <c r="P3159" s="86">
        <v>1.0</v>
      </c>
      <c r="Q3159" s="86">
        <v>1.0</v>
      </c>
      <c r="R3159" s="84"/>
      <c r="S3159" s="34"/>
      <c r="T3159" s="34"/>
      <c r="U3159" s="34"/>
      <c r="V3159" s="34"/>
      <c r="W3159" s="34"/>
      <c r="X3159" s="34"/>
      <c r="Y3159" s="3"/>
      <c r="Z3159" s="3"/>
      <c r="AA3159" s="3"/>
      <c r="AB3159" s="3"/>
      <c r="AC3159" s="3"/>
      <c r="AD3159" s="3"/>
      <c r="AE3159" s="3"/>
      <c r="AF3159" s="3"/>
      <c r="AG3159" s="3"/>
      <c r="AH3159" s="3"/>
      <c r="AI3159" s="3"/>
      <c r="AJ3159" s="3"/>
      <c r="AK3159" s="3"/>
      <c r="AL3159" s="3"/>
    </row>
    <row r="3160" ht="15.75" customHeight="1">
      <c r="A3160" s="27">
        <v>4076.0</v>
      </c>
      <c r="B3160" s="86" t="s">
        <v>10979</v>
      </c>
      <c r="C3160" s="86" t="s">
        <v>10980</v>
      </c>
      <c r="D3160" s="117" t="s">
        <v>10981</v>
      </c>
      <c r="E3160" s="86" t="s">
        <v>0</v>
      </c>
      <c r="F3160" s="86" t="s">
        <v>29</v>
      </c>
      <c r="G3160" s="86" t="s">
        <v>30</v>
      </c>
      <c r="H3160" s="86"/>
      <c r="I3160" s="86" t="s">
        <v>30</v>
      </c>
      <c r="J3160" s="86">
        <v>143.0</v>
      </c>
      <c r="K3160" s="83"/>
      <c r="L3160" s="86" t="s">
        <v>10982</v>
      </c>
      <c r="M3160" s="86" t="s">
        <v>161</v>
      </c>
      <c r="N3160" s="86">
        <v>2019.0</v>
      </c>
      <c r="O3160" s="86">
        <v>12.0</v>
      </c>
      <c r="P3160" s="86">
        <v>1.0</v>
      </c>
      <c r="Q3160" s="86">
        <v>1.0</v>
      </c>
      <c r="R3160" s="84"/>
      <c r="S3160" s="34"/>
      <c r="T3160" s="34"/>
      <c r="U3160" s="34"/>
      <c r="V3160" s="34"/>
      <c r="W3160" s="34"/>
      <c r="X3160" s="34"/>
      <c r="Y3160" s="45"/>
      <c r="Z3160" s="45"/>
      <c r="AA3160" s="45"/>
      <c r="AB3160" s="45"/>
      <c r="AC3160" s="45"/>
      <c r="AD3160" s="45"/>
      <c r="AE3160" s="45"/>
      <c r="AF3160" s="45"/>
      <c r="AG3160" s="45"/>
      <c r="AH3160" s="45"/>
      <c r="AI3160" s="45"/>
      <c r="AJ3160" s="45"/>
      <c r="AK3160" s="45"/>
      <c r="AL3160" s="45"/>
    </row>
    <row r="3161" ht="15.75" customHeight="1">
      <c r="A3161" s="27">
        <v>4077.0</v>
      </c>
      <c r="B3161" s="86" t="s">
        <v>10983</v>
      </c>
      <c r="C3161" s="86" t="s">
        <v>10984</v>
      </c>
      <c r="D3161" s="117" t="s">
        <v>10985</v>
      </c>
      <c r="E3161" s="86" t="s">
        <v>0</v>
      </c>
      <c r="F3161" s="86" t="s">
        <v>29</v>
      </c>
      <c r="G3161" s="86" t="s">
        <v>37</v>
      </c>
      <c r="H3161" s="86"/>
      <c r="I3161" s="86" t="s">
        <v>38</v>
      </c>
      <c r="J3161" s="86">
        <v>213.0</v>
      </c>
      <c r="K3161" s="83"/>
      <c r="L3161" s="86" t="s">
        <v>10986</v>
      </c>
      <c r="M3161" s="86" t="s">
        <v>10987</v>
      </c>
      <c r="N3161" s="86">
        <v>1984.0</v>
      </c>
      <c r="O3161" s="86">
        <v>16.0</v>
      </c>
      <c r="P3161" s="86">
        <v>1.0</v>
      </c>
      <c r="Q3161" s="86">
        <v>1.0</v>
      </c>
      <c r="R3161" s="84"/>
      <c r="S3161" s="34"/>
      <c r="T3161" s="34"/>
      <c r="U3161" s="34"/>
      <c r="V3161" s="34"/>
      <c r="W3161" s="34"/>
      <c r="X3161" s="34"/>
      <c r="Y3161" s="45"/>
      <c r="Z3161" s="45"/>
      <c r="AA3161" s="45"/>
      <c r="AB3161" s="45"/>
      <c r="AC3161" s="45"/>
      <c r="AD3161" s="45"/>
      <c r="AE3161" s="45"/>
      <c r="AF3161" s="45"/>
      <c r="AG3161" s="45"/>
      <c r="AH3161" s="45"/>
      <c r="AI3161" s="45"/>
      <c r="AJ3161" s="45"/>
      <c r="AK3161" s="45"/>
      <c r="AL3161" s="45"/>
    </row>
    <row r="3162" ht="15.75" customHeight="1">
      <c r="A3162" s="27">
        <v>4078.0</v>
      </c>
      <c r="B3162" s="86" t="s">
        <v>10988</v>
      </c>
      <c r="C3162" s="86" t="s">
        <v>10989</v>
      </c>
      <c r="D3162" s="117" t="s">
        <v>10990</v>
      </c>
      <c r="E3162" s="86" t="s">
        <v>10991</v>
      </c>
      <c r="F3162" s="86" t="s">
        <v>29</v>
      </c>
      <c r="G3162" s="86" t="s">
        <v>30</v>
      </c>
      <c r="H3162" s="86"/>
      <c r="I3162" s="86" t="s">
        <v>30</v>
      </c>
      <c r="J3162" s="86">
        <v>90.0</v>
      </c>
      <c r="K3162" s="83"/>
      <c r="L3162" s="246" t="s">
        <v>10992</v>
      </c>
      <c r="M3162" s="86" t="s">
        <v>10993</v>
      </c>
      <c r="N3162" s="86">
        <v>2021.0</v>
      </c>
      <c r="O3162" s="86">
        <v>12.0</v>
      </c>
      <c r="P3162" s="86">
        <v>1.0</v>
      </c>
      <c r="Q3162" s="86">
        <v>1.0</v>
      </c>
      <c r="R3162" s="84"/>
      <c r="S3162" s="34"/>
      <c r="T3162" s="34"/>
      <c r="U3162" s="34"/>
      <c r="V3162" s="34"/>
      <c r="W3162" s="34"/>
      <c r="X3162" s="34"/>
      <c r="Y3162" s="45"/>
      <c r="Z3162" s="45"/>
      <c r="AA3162" s="45"/>
      <c r="AB3162" s="45"/>
      <c r="AC3162" s="45"/>
      <c r="AD3162" s="45"/>
      <c r="AE3162" s="45"/>
      <c r="AF3162" s="45"/>
      <c r="AG3162" s="45"/>
      <c r="AH3162" s="45"/>
      <c r="AI3162" s="45"/>
      <c r="AJ3162" s="45"/>
      <c r="AK3162" s="45"/>
      <c r="AL3162" s="45"/>
    </row>
    <row r="3163" ht="15.75" customHeight="1">
      <c r="A3163" s="27">
        <v>4079.0</v>
      </c>
      <c r="B3163" s="86" t="s">
        <v>10994</v>
      </c>
      <c r="C3163" s="86" t="s">
        <v>10995</v>
      </c>
      <c r="D3163" s="117" t="s">
        <v>10996</v>
      </c>
      <c r="E3163" s="86"/>
      <c r="F3163" s="86" t="s">
        <v>29</v>
      </c>
      <c r="G3163" s="86" t="s">
        <v>30</v>
      </c>
      <c r="H3163" s="86"/>
      <c r="I3163" s="86" t="s">
        <v>30</v>
      </c>
      <c r="J3163" s="86">
        <v>149.0</v>
      </c>
      <c r="K3163" s="83"/>
      <c r="L3163" s="246" t="s">
        <v>10997</v>
      </c>
      <c r="M3163" s="86" t="s">
        <v>10993</v>
      </c>
      <c r="N3163" s="86">
        <v>2021.0</v>
      </c>
      <c r="O3163" s="86">
        <v>12.0</v>
      </c>
      <c r="P3163" s="86">
        <v>1.0</v>
      </c>
      <c r="Q3163" s="86">
        <v>1.0</v>
      </c>
      <c r="R3163" s="84"/>
      <c r="S3163" s="34"/>
      <c r="T3163" s="34"/>
      <c r="U3163" s="34"/>
      <c r="V3163" s="34"/>
      <c r="W3163" s="34"/>
      <c r="X3163" s="34"/>
      <c r="Y3163" s="3"/>
      <c r="Z3163" s="3"/>
      <c r="AA3163" s="3"/>
      <c r="AB3163" s="3"/>
      <c r="AC3163" s="3"/>
      <c r="AD3163" s="3"/>
      <c r="AE3163" s="3"/>
      <c r="AF3163" s="3"/>
      <c r="AG3163" s="3"/>
      <c r="AH3163" s="3"/>
      <c r="AI3163" s="3"/>
      <c r="AJ3163" s="3"/>
      <c r="AK3163" s="3"/>
      <c r="AL3163" s="3"/>
    </row>
    <row r="3164" ht="15.75" customHeight="1">
      <c r="A3164" s="27">
        <v>4080.0</v>
      </c>
      <c r="B3164" s="86" t="s">
        <v>10998</v>
      </c>
      <c r="C3164" s="86" t="s">
        <v>10999</v>
      </c>
      <c r="D3164" s="117" t="s">
        <v>11000</v>
      </c>
      <c r="E3164" s="86"/>
      <c r="F3164" s="86" t="s">
        <v>29</v>
      </c>
      <c r="G3164" s="86" t="s">
        <v>30</v>
      </c>
      <c r="H3164" s="86"/>
      <c r="I3164" s="86" t="s">
        <v>30</v>
      </c>
      <c r="J3164" s="86">
        <v>101.0</v>
      </c>
      <c r="K3164" s="83"/>
      <c r="L3164" s="86" t="s">
        <v>11001</v>
      </c>
      <c r="M3164" s="86" t="s">
        <v>10993</v>
      </c>
      <c r="N3164" s="86">
        <v>2021.0</v>
      </c>
      <c r="O3164" s="86">
        <v>12.0</v>
      </c>
      <c r="P3164" s="86">
        <v>1.0</v>
      </c>
      <c r="Q3164" s="86">
        <v>1.0</v>
      </c>
      <c r="R3164" s="84"/>
      <c r="S3164" s="116"/>
      <c r="T3164" s="116"/>
      <c r="U3164" s="116"/>
      <c r="V3164" s="116"/>
      <c r="W3164" s="116"/>
      <c r="X3164" s="116"/>
      <c r="Y3164" s="3"/>
      <c r="Z3164" s="3"/>
      <c r="AA3164" s="3"/>
      <c r="AB3164" s="3"/>
      <c r="AC3164" s="3"/>
      <c r="AD3164" s="3"/>
      <c r="AE3164" s="3"/>
      <c r="AF3164" s="3"/>
      <c r="AG3164" s="3"/>
      <c r="AH3164" s="3"/>
      <c r="AI3164" s="3"/>
      <c r="AJ3164" s="3"/>
      <c r="AK3164" s="3"/>
      <c r="AL3164" s="3"/>
    </row>
    <row r="3165" ht="15.75" customHeight="1">
      <c r="A3165" s="27">
        <v>4081.0</v>
      </c>
      <c r="B3165" s="86" t="s">
        <v>11002</v>
      </c>
      <c r="C3165" s="86" t="s">
        <v>11003</v>
      </c>
      <c r="D3165" s="117" t="s">
        <v>11004</v>
      </c>
      <c r="E3165" s="86"/>
      <c r="F3165" s="86" t="s">
        <v>29</v>
      </c>
      <c r="G3165" s="86" t="s">
        <v>30</v>
      </c>
      <c r="H3165" s="86"/>
      <c r="I3165" s="86" t="s">
        <v>30</v>
      </c>
      <c r="J3165" s="86">
        <v>192.0</v>
      </c>
      <c r="K3165" s="83"/>
      <c r="L3165" s="86" t="s">
        <v>11005</v>
      </c>
      <c r="M3165" s="86" t="s">
        <v>161</v>
      </c>
      <c r="N3165" s="86">
        <v>2021.0</v>
      </c>
      <c r="O3165" s="86">
        <v>10.0</v>
      </c>
      <c r="P3165" s="86">
        <v>1.0</v>
      </c>
      <c r="Q3165" s="86">
        <v>1.0</v>
      </c>
      <c r="R3165" s="84"/>
      <c r="S3165" s="116"/>
      <c r="T3165" s="116"/>
      <c r="U3165" s="116"/>
      <c r="V3165" s="116"/>
      <c r="W3165" s="116"/>
      <c r="X3165" s="116"/>
      <c r="Y3165" s="45"/>
      <c r="Z3165" s="45"/>
      <c r="AA3165" s="45"/>
      <c r="AB3165" s="45"/>
      <c r="AC3165" s="45"/>
      <c r="AD3165" s="45"/>
      <c r="AE3165" s="45"/>
      <c r="AF3165" s="45"/>
      <c r="AG3165" s="45"/>
      <c r="AH3165" s="45"/>
      <c r="AI3165" s="45"/>
      <c r="AJ3165" s="45"/>
      <c r="AK3165" s="45"/>
      <c r="AL3165" s="45"/>
    </row>
    <row r="3166" ht="15.75" customHeight="1">
      <c r="A3166" s="27">
        <v>4082.0</v>
      </c>
      <c r="B3166" s="86" t="s">
        <v>11002</v>
      </c>
      <c r="C3166" s="86" t="s">
        <v>11006</v>
      </c>
      <c r="D3166" s="117" t="s">
        <v>11007</v>
      </c>
      <c r="E3166" s="86"/>
      <c r="F3166" s="86" t="s">
        <v>29</v>
      </c>
      <c r="G3166" s="86" t="s">
        <v>30</v>
      </c>
      <c r="H3166" s="86"/>
      <c r="I3166" s="86" t="s">
        <v>30</v>
      </c>
      <c r="J3166" s="86">
        <v>216.0</v>
      </c>
      <c r="K3166" s="83"/>
      <c r="L3166" s="86" t="s">
        <v>11005</v>
      </c>
      <c r="M3166" s="86" t="s">
        <v>161</v>
      </c>
      <c r="N3166" s="86">
        <v>2021.0</v>
      </c>
      <c r="O3166" s="86">
        <v>10.0</v>
      </c>
      <c r="P3166" s="86">
        <v>1.0</v>
      </c>
      <c r="Q3166" s="86">
        <v>1.0</v>
      </c>
      <c r="R3166" s="84"/>
      <c r="S3166" s="116"/>
      <c r="T3166" s="116"/>
      <c r="U3166" s="116"/>
      <c r="V3166" s="116"/>
      <c r="W3166" s="116"/>
      <c r="X3166" s="116"/>
      <c r="Y3166" s="45"/>
      <c r="Z3166" s="45"/>
      <c r="AA3166" s="45"/>
      <c r="AB3166" s="45"/>
      <c r="AC3166" s="45"/>
      <c r="AD3166" s="45"/>
      <c r="AE3166" s="45"/>
      <c r="AF3166" s="45"/>
      <c r="AG3166" s="45"/>
      <c r="AH3166" s="45"/>
      <c r="AI3166" s="45"/>
      <c r="AJ3166" s="45"/>
      <c r="AK3166" s="45"/>
      <c r="AL3166" s="45"/>
    </row>
    <row r="3167" ht="15.75" customHeight="1">
      <c r="A3167" s="27">
        <v>4083.0</v>
      </c>
      <c r="B3167" s="86" t="s">
        <v>11008</v>
      </c>
      <c r="C3167" s="86" t="s">
        <v>11009</v>
      </c>
      <c r="D3167" s="117" t="s">
        <v>11010</v>
      </c>
      <c r="E3167" s="86"/>
      <c r="F3167" s="86" t="s">
        <v>29</v>
      </c>
      <c r="G3167" s="86" t="s">
        <v>30</v>
      </c>
      <c r="H3167" s="86"/>
      <c r="I3167" s="86" t="s">
        <v>30</v>
      </c>
      <c r="J3167" s="86">
        <v>443.0</v>
      </c>
      <c r="K3167" s="83"/>
      <c r="L3167" s="86" t="s">
        <v>11011</v>
      </c>
      <c r="M3167" s="86" t="s">
        <v>169</v>
      </c>
      <c r="N3167" s="86">
        <v>2022.0</v>
      </c>
      <c r="O3167" s="86">
        <v>13.0</v>
      </c>
      <c r="P3167" s="86">
        <v>1.0</v>
      </c>
      <c r="Q3167" s="86">
        <v>1.0</v>
      </c>
      <c r="R3167" s="84"/>
      <c r="S3167" s="34"/>
      <c r="T3167" s="34"/>
      <c r="U3167" s="34"/>
      <c r="V3167" s="34"/>
      <c r="W3167" s="34"/>
      <c r="X3167" s="34"/>
      <c r="Y3167" s="45"/>
      <c r="Z3167" s="45"/>
      <c r="AA3167" s="45"/>
      <c r="AB3167" s="45"/>
      <c r="AC3167" s="45"/>
      <c r="AD3167" s="45"/>
      <c r="AE3167" s="45"/>
      <c r="AF3167" s="45"/>
      <c r="AG3167" s="45"/>
      <c r="AH3167" s="45"/>
      <c r="AI3167" s="45"/>
      <c r="AJ3167" s="45"/>
      <c r="AK3167" s="45"/>
      <c r="AL3167" s="45"/>
    </row>
    <row r="3168" ht="15.75" customHeight="1">
      <c r="A3168" s="27">
        <v>4084.0</v>
      </c>
      <c r="B3168" s="86" t="s">
        <v>11012</v>
      </c>
      <c r="C3168" s="86" t="s">
        <v>11013</v>
      </c>
      <c r="D3168" s="117" t="s">
        <v>11014</v>
      </c>
      <c r="E3168" s="86"/>
      <c r="F3168" s="86" t="s">
        <v>29</v>
      </c>
      <c r="G3168" s="86" t="s">
        <v>30</v>
      </c>
      <c r="H3168" s="86"/>
      <c r="I3168" s="86" t="s">
        <v>30</v>
      </c>
      <c r="J3168" s="86">
        <v>283.0</v>
      </c>
      <c r="K3168" s="83"/>
      <c r="L3168" s="86" t="s">
        <v>11015</v>
      </c>
      <c r="M3168" s="86" t="s">
        <v>169</v>
      </c>
      <c r="N3168" s="86">
        <v>2022.0</v>
      </c>
      <c r="O3168" s="86">
        <v>13.0</v>
      </c>
      <c r="P3168" s="86">
        <v>1.0</v>
      </c>
      <c r="Q3168" s="86">
        <v>1.0</v>
      </c>
      <c r="R3168" s="84"/>
      <c r="S3168" s="34"/>
      <c r="T3168" s="34"/>
      <c r="U3168" s="34"/>
      <c r="V3168" s="34"/>
      <c r="W3168" s="34"/>
      <c r="X3168" s="34"/>
      <c r="Y3168" s="3"/>
      <c r="Z3168" s="3"/>
      <c r="AA3168" s="3"/>
      <c r="AB3168" s="3"/>
      <c r="AC3168" s="3"/>
      <c r="AD3168" s="3"/>
      <c r="AE3168" s="3"/>
      <c r="AF3168" s="3"/>
      <c r="AG3168" s="3"/>
      <c r="AH3168" s="3"/>
      <c r="AI3168" s="3"/>
      <c r="AJ3168" s="3"/>
      <c r="AK3168" s="3"/>
      <c r="AL3168" s="3"/>
    </row>
    <row r="3169" ht="15.75" customHeight="1">
      <c r="A3169" s="27">
        <v>4085.0</v>
      </c>
      <c r="B3169" s="86" t="s">
        <v>4077</v>
      </c>
      <c r="C3169" s="86" t="s">
        <v>11016</v>
      </c>
      <c r="D3169" s="117" t="s">
        <v>4079</v>
      </c>
      <c r="E3169" s="86"/>
      <c r="F3169" s="86" t="s">
        <v>29</v>
      </c>
      <c r="G3169" s="86" t="s">
        <v>30</v>
      </c>
      <c r="H3169" s="86"/>
      <c r="I3169" s="86" t="s">
        <v>30</v>
      </c>
      <c r="J3169" s="86">
        <v>248.0</v>
      </c>
      <c r="K3169" s="83"/>
      <c r="L3169" s="86" t="s">
        <v>11017</v>
      </c>
      <c r="M3169" s="86" t="s">
        <v>151</v>
      </c>
      <c r="N3169" s="86">
        <v>2015.0</v>
      </c>
      <c r="O3169" s="86" t="s">
        <v>2259</v>
      </c>
      <c r="P3169" s="86">
        <v>1.0</v>
      </c>
      <c r="Q3169" s="86">
        <v>1.0</v>
      </c>
      <c r="R3169" s="84"/>
      <c r="S3169" s="34"/>
      <c r="T3169" s="34"/>
      <c r="U3169" s="34"/>
      <c r="V3169" s="34"/>
      <c r="W3169" s="34"/>
      <c r="X3169" s="34"/>
      <c r="Y3169" s="3"/>
      <c r="Z3169" s="3"/>
      <c r="AA3169" s="3"/>
      <c r="AB3169" s="3"/>
      <c r="AC3169" s="3"/>
      <c r="AD3169" s="3"/>
      <c r="AE3169" s="3"/>
      <c r="AF3169" s="3"/>
      <c r="AG3169" s="3"/>
      <c r="AH3169" s="3"/>
      <c r="AI3169" s="3"/>
      <c r="AJ3169" s="3"/>
      <c r="AK3169" s="3"/>
      <c r="AL3169" s="3"/>
    </row>
    <row r="3170" ht="15.75" customHeight="1">
      <c r="A3170" s="27">
        <v>4086.0</v>
      </c>
      <c r="B3170" s="86" t="s">
        <v>11018</v>
      </c>
      <c r="C3170" s="86" t="s">
        <v>11019</v>
      </c>
      <c r="D3170" s="117" t="s">
        <v>11020</v>
      </c>
      <c r="E3170" s="86"/>
      <c r="F3170" s="86" t="s">
        <v>29</v>
      </c>
      <c r="G3170" s="86" t="s">
        <v>30</v>
      </c>
      <c r="H3170" s="86"/>
      <c r="I3170" s="86" t="s">
        <v>30</v>
      </c>
      <c r="J3170" s="86">
        <v>465.0</v>
      </c>
      <c r="K3170" s="83"/>
      <c r="L3170" s="86" t="s">
        <v>11021</v>
      </c>
      <c r="M3170" s="86" t="s">
        <v>169</v>
      </c>
      <c r="N3170" s="86">
        <v>2018.0</v>
      </c>
      <c r="O3170" s="86">
        <v>16.0</v>
      </c>
      <c r="P3170" s="86">
        <v>1.0</v>
      </c>
      <c r="Q3170" s="86">
        <v>1.0</v>
      </c>
      <c r="R3170" s="84"/>
      <c r="S3170" s="34"/>
      <c r="T3170" s="34"/>
      <c r="U3170" s="34"/>
      <c r="V3170" s="34"/>
      <c r="W3170" s="34"/>
      <c r="X3170" s="34"/>
      <c r="Y3170" s="3"/>
      <c r="Z3170" s="3"/>
      <c r="AA3170" s="3"/>
      <c r="AB3170" s="3"/>
      <c r="AC3170" s="3"/>
      <c r="AD3170" s="3"/>
      <c r="AE3170" s="3"/>
      <c r="AF3170" s="3"/>
      <c r="AG3170" s="3"/>
      <c r="AH3170" s="3"/>
      <c r="AI3170" s="3"/>
      <c r="AJ3170" s="3"/>
      <c r="AK3170" s="3"/>
      <c r="AL3170" s="3"/>
    </row>
    <row r="3171" ht="15.75" customHeight="1">
      <c r="A3171" s="27">
        <v>4087.0</v>
      </c>
      <c r="B3171" s="86" t="s">
        <v>11022</v>
      </c>
      <c r="C3171" s="86" t="s">
        <v>11023</v>
      </c>
      <c r="D3171" s="117" t="s">
        <v>7529</v>
      </c>
      <c r="E3171" s="86"/>
      <c r="F3171" s="86" t="s">
        <v>29</v>
      </c>
      <c r="G3171" s="86" t="s">
        <v>30</v>
      </c>
      <c r="H3171" s="86"/>
      <c r="I3171" s="86" t="s">
        <v>30</v>
      </c>
      <c r="J3171" s="86">
        <v>171.0</v>
      </c>
      <c r="K3171" s="83"/>
      <c r="L3171" s="86" t="s">
        <v>7530</v>
      </c>
      <c r="M3171" s="86" t="s">
        <v>151</v>
      </c>
      <c r="N3171" s="86">
        <v>2019.0</v>
      </c>
      <c r="O3171" s="86">
        <v>14.0</v>
      </c>
      <c r="P3171" s="86">
        <v>1.0</v>
      </c>
      <c r="Q3171" s="86">
        <v>1.0</v>
      </c>
      <c r="R3171" s="84"/>
      <c r="S3171" s="185"/>
      <c r="T3171" s="185"/>
      <c r="U3171" s="185"/>
      <c r="V3171" s="185"/>
      <c r="W3171" s="185"/>
      <c r="X3171" s="185"/>
      <c r="Y3171" s="45"/>
      <c r="Z3171" s="45"/>
      <c r="AA3171" s="45"/>
      <c r="AB3171" s="45"/>
      <c r="AC3171" s="45"/>
      <c r="AD3171" s="45"/>
      <c r="AE3171" s="45"/>
      <c r="AF3171" s="45"/>
      <c r="AG3171" s="45"/>
      <c r="AH3171" s="45"/>
      <c r="AI3171" s="45"/>
      <c r="AJ3171" s="45"/>
      <c r="AK3171" s="45"/>
      <c r="AL3171" s="45"/>
    </row>
    <row r="3172" ht="15.75" customHeight="1">
      <c r="A3172" s="27">
        <v>4088.0</v>
      </c>
      <c r="B3172" s="86" t="s">
        <v>11024</v>
      </c>
      <c r="C3172" s="86" t="s">
        <v>11025</v>
      </c>
      <c r="D3172" s="117" t="s">
        <v>11026</v>
      </c>
      <c r="E3172" s="86"/>
      <c r="F3172" s="86" t="s">
        <v>29</v>
      </c>
      <c r="G3172" s="86" t="s">
        <v>30</v>
      </c>
      <c r="H3172" s="86"/>
      <c r="I3172" s="86" t="s">
        <v>30</v>
      </c>
      <c r="J3172" s="86">
        <v>367.0</v>
      </c>
      <c r="K3172" s="83"/>
      <c r="L3172" s="246" t="s">
        <v>11027</v>
      </c>
      <c r="M3172" s="86" t="s">
        <v>11028</v>
      </c>
      <c r="N3172" s="86">
        <v>2019.0</v>
      </c>
      <c r="O3172" s="86" t="s">
        <v>89</v>
      </c>
      <c r="P3172" s="86">
        <v>1.0</v>
      </c>
      <c r="Q3172" s="86">
        <v>1.0</v>
      </c>
      <c r="R3172" s="84"/>
      <c r="S3172" s="116"/>
      <c r="T3172" s="116"/>
      <c r="U3172" s="116"/>
      <c r="V3172" s="116"/>
      <c r="W3172" s="116"/>
      <c r="X3172" s="116"/>
      <c r="Y3172" s="3"/>
      <c r="Z3172" s="3"/>
      <c r="AA3172" s="3"/>
      <c r="AB3172" s="3"/>
      <c r="AC3172" s="3"/>
      <c r="AD3172" s="3"/>
      <c r="AE3172" s="3"/>
      <c r="AF3172" s="3"/>
      <c r="AG3172" s="3"/>
      <c r="AH3172" s="3"/>
      <c r="AI3172" s="3"/>
      <c r="AJ3172" s="3"/>
      <c r="AK3172" s="3"/>
      <c r="AL3172" s="3"/>
    </row>
    <row r="3173" ht="15.75" customHeight="1">
      <c r="A3173" s="27">
        <v>4089.0</v>
      </c>
      <c r="B3173" s="86" t="s">
        <v>11029</v>
      </c>
      <c r="C3173" s="86" t="s">
        <v>11030</v>
      </c>
      <c r="D3173" s="117" t="s">
        <v>11031</v>
      </c>
      <c r="E3173" s="86"/>
      <c r="F3173" s="86" t="s">
        <v>29</v>
      </c>
      <c r="G3173" s="86" t="s">
        <v>30</v>
      </c>
      <c r="H3173" s="86"/>
      <c r="I3173" s="86" t="s">
        <v>30</v>
      </c>
      <c r="J3173" s="86">
        <v>346.0</v>
      </c>
      <c r="K3173" s="83"/>
      <c r="L3173" s="86" t="s">
        <v>3297</v>
      </c>
      <c r="M3173" s="86" t="s">
        <v>151</v>
      </c>
      <c r="N3173" s="86">
        <v>2018.0</v>
      </c>
      <c r="O3173" s="86">
        <v>12.0</v>
      </c>
      <c r="P3173" s="86">
        <v>1.0</v>
      </c>
      <c r="Q3173" s="86">
        <v>1.0</v>
      </c>
      <c r="R3173" s="84"/>
      <c r="S3173" s="116"/>
      <c r="T3173" s="116"/>
      <c r="U3173" s="116"/>
      <c r="V3173" s="116"/>
      <c r="W3173" s="116"/>
      <c r="X3173" s="116"/>
      <c r="Y3173" s="45"/>
      <c r="Z3173" s="45"/>
      <c r="AA3173" s="45"/>
      <c r="AB3173" s="45"/>
      <c r="AC3173" s="45"/>
      <c r="AD3173" s="45"/>
      <c r="AE3173" s="45"/>
      <c r="AF3173" s="45"/>
      <c r="AG3173" s="45"/>
      <c r="AH3173" s="45"/>
      <c r="AI3173" s="45"/>
      <c r="AJ3173" s="45"/>
      <c r="AK3173" s="45"/>
      <c r="AL3173" s="45"/>
    </row>
    <row r="3174" ht="15.75" customHeight="1">
      <c r="A3174" s="27">
        <v>4090.0</v>
      </c>
      <c r="B3174" s="86" t="s">
        <v>11032</v>
      </c>
      <c r="C3174" s="86" t="s">
        <v>11033</v>
      </c>
      <c r="D3174" s="117" t="s">
        <v>11034</v>
      </c>
      <c r="E3174" s="86"/>
      <c r="F3174" s="86" t="s">
        <v>29</v>
      </c>
      <c r="G3174" s="86" t="s">
        <v>30</v>
      </c>
      <c r="H3174" s="86"/>
      <c r="I3174" s="86" t="s">
        <v>30</v>
      </c>
      <c r="J3174" s="86">
        <v>298.0</v>
      </c>
      <c r="K3174" s="83"/>
      <c r="L3174" s="86" t="s">
        <v>11035</v>
      </c>
      <c r="M3174" s="86" t="s">
        <v>11028</v>
      </c>
      <c r="N3174" s="86">
        <v>2018.0</v>
      </c>
      <c r="O3174" s="86">
        <v>13.0</v>
      </c>
      <c r="P3174" s="86">
        <v>1.0</v>
      </c>
      <c r="Q3174" s="86">
        <v>1.0</v>
      </c>
      <c r="R3174" s="84"/>
      <c r="S3174" s="34"/>
      <c r="T3174" s="34"/>
      <c r="U3174" s="34"/>
      <c r="V3174" s="34"/>
      <c r="W3174" s="34"/>
      <c r="X3174" s="34"/>
      <c r="Y3174" s="3"/>
      <c r="Z3174" s="3"/>
      <c r="AA3174" s="3"/>
      <c r="AB3174" s="3"/>
      <c r="AC3174" s="3"/>
      <c r="AD3174" s="3"/>
      <c r="AE3174" s="3"/>
      <c r="AF3174" s="3"/>
      <c r="AG3174" s="3"/>
      <c r="AH3174" s="3"/>
      <c r="AI3174" s="3"/>
      <c r="AJ3174" s="3"/>
      <c r="AK3174" s="3"/>
      <c r="AL3174" s="3"/>
    </row>
    <row r="3175" ht="15.75" customHeight="1">
      <c r="A3175" s="27">
        <v>4091.0</v>
      </c>
      <c r="B3175" s="86" t="s">
        <v>11036</v>
      </c>
      <c r="C3175" s="86" t="s">
        <v>11037</v>
      </c>
      <c r="D3175" s="117" t="s">
        <v>11038</v>
      </c>
      <c r="E3175" s="86"/>
      <c r="F3175" s="86" t="s">
        <v>29</v>
      </c>
      <c r="G3175" s="86" t="s">
        <v>30</v>
      </c>
      <c r="H3175" s="86"/>
      <c r="I3175" s="86" t="s">
        <v>30</v>
      </c>
      <c r="J3175" s="86">
        <v>146.0</v>
      </c>
      <c r="K3175" s="83"/>
      <c r="L3175" s="86" t="s">
        <v>11039</v>
      </c>
      <c r="M3175" s="86" t="s">
        <v>11040</v>
      </c>
      <c r="N3175" s="86">
        <v>2018.0</v>
      </c>
      <c r="O3175" s="86" t="s">
        <v>11041</v>
      </c>
      <c r="P3175" s="86">
        <v>1.0</v>
      </c>
      <c r="Q3175" s="86">
        <v>1.0</v>
      </c>
      <c r="R3175" s="84"/>
      <c r="S3175" s="34"/>
      <c r="T3175" s="34"/>
      <c r="U3175" s="34"/>
      <c r="V3175" s="34"/>
      <c r="W3175" s="34"/>
      <c r="X3175" s="34"/>
      <c r="Y3175" s="45"/>
      <c r="Z3175" s="45"/>
      <c r="AA3175" s="45"/>
      <c r="AB3175" s="45"/>
      <c r="AC3175" s="45"/>
      <c r="AD3175" s="45"/>
      <c r="AE3175" s="45"/>
      <c r="AF3175" s="45"/>
      <c r="AG3175" s="45"/>
      <c r="AH3175" s="45"/>
      <c r="AI3175" s="45"/>
      <c r="AJ3175" s="45"/>
      <c r="AK3175" s="45"/>
      <c r="AL3175" s="45"/>
    </row>
    <row r="3176" ht="15.75" customHeight="1">
      <c r="A3176" s="27">
        <v>4092.0</v>
      </c>
      <c r="B3176" s="86" t="s">
        <v>11042</v>
      </c>
      <c r="C3176" s="86" t="s">
        <v>11043</v>
      </c>
      <c r="D3176" s="117" t="s">
        <v>11044</v>
      </c>
      <c r="E3176" s="86" t="s">
        <v>144</v>
      </c>
      <c r="F3176" s="86" t="s">
        <v>29</v>
      </c>
      <c r="G3176" s="86" t="s">
        <v>30</v>
      </c>
      <c r="H3176" s="86"/>
      <c r="I3176" s="86" t="s">
        <v>30</v>
      </c>
      <c r="J3176" s="86">
        <v>731.0</v>
      </c>
      <c r="K3176" s="83"/>
      <c r="L3176" s="86" t="s">
        <v>10595</v>
      </c>
      <c r="M3176" s="86" t="s">
        <v>11028</v>
      </c>
      <c r="N3176" s="86">
        <v>2017.0</v>
      </c>
      <c r="O3176" s="86">
        <v>3.0</v>
      </c>
      <c r="P3176" s="86">
        <v>1.0</v>
      </c>
      <c r="Q3176" s="86">
        <v>1.0</v>
      </c>
      <c r="R3176" s="84"/>
      <c r="S3176" s="34"/>
      <c r="T3176" s="34"/>
      <c r="U3176" s="34"/>
      <c r="V3176" s="34"/>
      <c r="W3176" s="34"/>
      <c r="X3176" s="34"/>
      <c r="Y3176" s="3"/>
      <c r="Z3176" s="3"/>
      <c r="AA3176" s="3"/>
      <c r="AB3176" s="3"/>
      <c r="AC3176" s="3"/>
      <c r="AD3176" s="3"/>
      <c r="AE3176" s="3"/>
      <c r="AF3176" s="3"/>
      <c r="AG3176" s="3"/>
      <c r="AH3176" s="3"/>
      <c r="AI3176" s="3"/>
      <c r="AJ3176" s="3"/>
      <c r="AK3176" s="3"/>
      <c r="AL3176" s="3"/>
    </row>
    <row r="3177" ht="15.75" customHeight="1">
      <c r="A3177" s="27">
        <v>4093.0</v>
      </c>
      <c r="B3177" s="86" t="s">
        <v>11045</v>
      </c>
      <c r="C3177" s="86" t="s">
        <v>11046</v>
      </c>
      <c r="D3177" s="117" t="s">
        <v>11047</v>
      </c>
      <c r="E3177" s="86"/>
      <c r="F3177" s="86" t="s">
        <v>29</v>
      </c>
      <c r="G3177" s="86" t="s">
        <v>30</v>
      </c>
      <c r="H3177" s="86"/>
      <c r="I3177" s="86" t="s">
        <v>30</v>
      </c>
      <c r="J3177" s="86">
        <v>278.0</v>
      </c>
      <c r="K3177" s="83"/>
      <c r="L3177" s="86" t="s">
        <v>11048</v>
      </c>
      <c r="M3177" s="86" t="s">
        <v>4107</v>
      </c>
      <c r="N3177" s="86">
        <v>2016.0</v>
      </c>
      <c r="O3177" s="86">
        <v>13.0</v>
      </c>
      <c r="P3177" s="86">
        <v>1.0</v>
      </c>
      <c r="Q3177" s="86">
        <v>1.0</v>
      </c>
      <c r="R3177" s="84"/>
      <c r="S3177" s="34"/>
      <c r="T3177" s="34"/>
      <c r="U3177" s="34"/>
      <c r="V3177" s="34"/>
      <c r="W3177" s="34"/>
      <c r="X3177" s="34"/>
      <c r="Y3177" s="45"/>
      <c r="Z3177" s="45"/>
      <c r="AA3177" s="45"/>
      <c r="AB3177" s="45"/>
      <c r="AC3177" s="45"/>
      <c r="AD3177" s="45"/>
      <c r="AE3177" s="45"/>
      <c r="AF3177" s="45"/>
      <c r="AG3177" s="45"/>
      <c r="AH3177" s="45"/>
      <c r="AI3177" s="45"/>
      <c r="AJ3177" s="45"/>
      <c r="AK3177" s="45"/>
      <c r="AL3177" s="45"/>
    </row>
    <row r="3178" ht="15.75" customHeight="1">
      <c r="A3178" s="27">
        <v>4094.0</v>
      </c>
      <c r="B3178" s="86" t="s">
        <v>11049</v>
      </c>
      <c r="C3178" s="86" t="s">
        <v>11050</v>
      </c>
      <c r="D3178" s="117" t="s">
        <v>11051</v>
      </c>
      <c r="E3178" s="86"/>
      <c r="F3178" s="86" t="s">
        <v>29</v>
      </c>
      <c r="G3178" s="86" t="s">
        <v>30</v>
      </c>
      <c r="H3178" s="86"/>
      <c r="I3178" s="86" t="s">
        <v>30</v>
      </c>
      <c r="J3178" s="86">
        <v>74.0</v>
      </c>
      <c r="K3178" s="83"/>
      <c r="L3178" s="86" t="s">
        <v>11052</v>
      </c>
      <c r="M3178" s="86" t="s">
        <v>11028</v>
      </c>
      <c r="N3178" s="86">
        <v>2019.0</v>
      </c>
      <c r="O3178" s="86">
        <v>13.0</v>
      </c>
      <c r="P3178" s="86">
        <v>1.0</v>
      </c>
      <c r="Q3178" s="86">
        <v>1.0</v>
      </c>
      <c r="R3178" s="84"/>
      <c r="S3178" s="34"/>
      <c r="T3178" s="34"/>
      <c r="U3178" s="34"/>
      <c r="V3178" s="40"/>
      <c r="W3178" s="40"/>
      <c r="X3178" s="40"/>
      <c r="Y3178" s="45"/>
      <c r="Z3178" s="45"/>
      <c r="AA3178" s="45"/>
      <c r="AB3178" s="45"/>
      <c r="AC3178" s="45"/>
      <c r="AD3178" s="45"/>
      <c r="AE3178" s="45"/>
      <c r="AF3178" s="45"/>
      <c r="AG3178" s="45"/>
      <c r="AH3178" s="45"/>
      <c r="AI3178" s="45"/>
      <c r="AJ3178" s="45"/>
      <c r="AK3178" s="45"/>
      <c r="AL3178" s="45"/>
    </row>
    <row r="3179" ht="15.75" customHeight="1">
      <c r="A3179" s="27">
        <v>4095.0</v>
      </c>
      <c r="B3179" s="86" t="s">
        <v>11053</v>
      </c>
      <c r="C3179" s="86" t="s">
        <v>11054</v>
      </c>
      <c r="D3179" s="117" t="s">
        <v>11055</v>
      </c>
      <c r="E3179" s="86"/>
      <c r="F3179" s="86" t="s">
        <v>29</v>
      </c>
      <c r="G3179" s="86" t="s">
        <v>30</v>
      </c>
      <c r="H3179" s="86"/>
      <c r="I3179" s="86" t="s">
        <v>30</v>
      </c>
      <c r="J3179" s="86">
        <v>261.0</v>
      </c>
      <c r="K3179" s="83"/>
      <c r="L3179" s="86" t="s">
        <v>11056</v>
      </c>
      <c r="M3179" s="86" t="s">
        <v>151</v>
      </c>
      <c r="N3179" s="86">
        <v>2016.0</v>
      </c>
      <c r="O3179" s="86">
        <v>14.0</v>
      </c>
      <c r="P3179" s="86">
        <v>1.0</v>
      </c>
      <c r="Q3179" s="86">
        <v>1.0</v>
      </c>
      <c r="R3179" s="84"/>
      <c r="S3179" s="185"/>
      <c r="T3179" s="185"/>
      <c r="U3179" s="185"/>
      <c r="V3179" s="185"/>
      <c r="W3179" s="185"/>
      <c r="X3179" s="185"/>
      <c r="Y3179" s="3"/>
      <c r="Z3179" s="3"/>
      <c r="AA3179" s="3"/>
      <c r="AB3179" s="3"/>
      <c r="AC3179" s="3"/>
      <c r="AD3179" s="3"/>
      <c r="AE3179" s="3"/>
      <c r="AF3179" s="3"/>
      <c r="AG3179" s="3"/>
      <c r="AH3179" s="3"/>
      <c r="AI3179" s="3"/>
      <c r="AJ3179" s="3"/>
      <c r="AK3179" s="3"/>
      <c r="AL3179" s="3"/>
    </row>
    <row r="3180" ht="15.75" customHeight="1">
      <c r="A3180" s="27">
        <v>4096.0</v>
      </c>
      <c r="B3180" s="86" t="s">
        <v>11057</v>
      </c>
      <c r="C3180" s="86" t="s">
        <v>11058</v>
      </c>
      <c r="D3180" s="117" t="s">
        <v>11059</v>
      </c>
      <c r="E3180" s="86"/>
      <c r="F3180" s="86" t="s">
        <v>29</v>
      </c>
      <c r="G3180" s="86" t="s">
        <v>30</v>
      </c>
      <c r="H3180" s="86"/>
      <c r="I3180" s="86" t="s">
        <v>30</v>
      </c>
      <c r="J3180" s="86">
        <v>258.0</v>
      </c>
      <c r="K3180" s="83"/>
      <c r="L3180" s="86" t="s">
        <v>11060</v>
      </c>
      <c r="M3180" s="86" t="s">
        <v>11040</v>
      </c>
      <c r="N3180" s="86">
        <v>2018.0</v>
      </c>
      <c r="O3180" s="86" t="s">
        <v>11041</v>
      </c>
      <c r="P3180" s="86">
        <v>1.0</v>
      </c>
      <c r="Q3180" s="86">
        <v>1.0</v>
      </c>
      <c r="R3180" s="84"/>
      <c r="S3180" s="34"/>
      <c r="T3180" s="34"/>
      <c r="U3180" s="34"/>
      <c r="V3180" s="34"/>
      <c r="W3180" s="34"/>
      <c r="X3180" s="34"/>
      <c r="Y3180" s="3"/>
      <c r="Z3180" s="3"/>
      <c r="AA3180" s="3"/>
      <c r="AB3180" s="3"/>
      <c r="AC3180" s="3"/>
      <c r="AD3180" s="3"/>
      <c r="AE3180" s="3"/>
      <c r="AF3180" s="3"/>
      <c r="AG3180" s="3"/>
      <c r="AH3180" s="3"/>
      <c r="AI3180" s="3"/>
      <c r="AJ3180" s="3"/>
      <c r="AK3180" s="3"/>
      <c r="AL3180" s="3"/>
    </row>
    <row r="3181" ht="15.75" customHeight="1">
      <c r="A3181" s="27">
        <v>4097.0</v>
      </c>
      <c r="B3181" s="86" t="s">
        <v>11061</v>
      </c>
      <c r="C3181" s="86" t="s">
        <v>11062</v>
      </c>
      <c r="D3181" s="117" t="s">
        <v>11063</v>
      </c>
      <c r="E3181" s="86"/>
      <c r="F3181" s="86" t="s">
        <v>29</v>
      </c>
      <c r="G3181" s="86" t="s">
        <v>30</v>
      </c>
      <c r="H3181" s="86"/>
      <c r="I3181" s="86" t="s">
        <v>30</v>
      </c>
      <c r="J3181" s="86">
        <v>190.0</v>
      </c>
      <c r="K3181" s="83"/>
      <c r="L3181" s="86" t="s">
        <v>11064</v>
      </c>
      <c r="M3181" s="86" t="s">
        <v>151</v>
      </c>
      <c r="N3181" s="86">
        <v>2018.0</v>
      </c>
      <c r="O3181" s="86">
        <v>14.0</v>
      </c>
      <c r="P3181" s="86">
        <v>1.0</v>
      </c>
      <c r="Q3181" s="86">
        <v>1.0</v>
      </c>
      <c r="R3181" s="84"/>
      <c r="S3181" s="34"/>
      <c r="T3181" s="34"/>
      <c r="U3181" s="34"/>
      <c r="V3181" s="34"/>
      <c r="W3181" s="34"/>
      <c r="X3181" s="34"/>
      <c r="Y3181" s="3"/>
      <c r="Z3181" s="3"/>
      <c r="AA3181" s="3"/>
      <c r="AB3181" s="3"/>
      <c r="AC3181" s="3"/>
      <c r="AD3181" s="3"/>
      <c r="AE3181" s="3"/>
      <c r="AF3181" s="3"/>
      <c r="AG3181" s="3"/>
      <c r="AH3181" s="3"/>
      <c r="AI3181" s="3"/>
      <c r="AJ3181" s="3"/>
      <c r="AK3181" s="3"/>
      <c r="AL3181" s="3"/>
    </row>
    <row r="3182" ht="15.75" customHeight="1">
      <c r="A3182" s="27">
        <v>4098.0</v>
      </c>
      <c r="B3182" s="86" t="s">
        <v>11065</v>
      </c>
      <c r="C3182" s="86" t="s">
        <v>11066</v>
      </c>
      <c r="D3182" s="117" t="s">
        <v>11067</v>
      </c>
      <c r="E3182" s="86"/>
      <c r="F3182" s="86" t="s">
        <v>29</v>
      </c>
      <c r="G3182" s="86" t="s">
        <v>2179</v>
      </c>
      <c r="H3182" s="86"/>
      <c r="I3182" s="86" t="s">
        <v>30</v>
      </c>
      <c r="J3182" s="86">
        <v>421.0</v>
      </c>
      <c r="K3182" s="83"/>
      <c r="L3182" s="86" t="s">
        <v>11068</v>
      </c>
      <c r="M3182" s="86" t="s">
        <v>151</v>
      </c>
      <c r="N3182" s="86">
        <v>2020.0</v>
      </c>
      <c r="O3182" s="86">
        <v>14.0</v>
      </c>
      <c r="P3182" s="86">
        <v>1.0</v>
      </c>
      <c r="Q3182" s="86">
        <v>1.0</v>
      </c>
      <c r="R3182" s="84"/>
      <c r="S3182" s="34"/>
      <c r="T3182" s="34"/>
      <c r="U3182" s="34"/>
      <c r="V3182" s="34"/>
      <c r="W3182" s="34"/>
      <c r="X3182" s="34"/>
      <c r="Y3182" s="45"/>
      <c r="Z3182" s="45"/>
      <c r="AA3182" s="45"/>
      <c r="AB3182" s="45"/>
      <c r="AC3182" s="45"/>
      <c r="AD3182" s="45"/>
      <c r="AE3182" s="45"/>
      <c r="AF3182" s="45"/>
      <c r="AG3182" s="45"/>
      <c r="AH3182" s="45"/>
      <c r="AI3182" s="45"/>
      <c r="AJ3182" s="45"/>
      <c r="AK3182" s="45"/>
      <c r="AL3182" s="45"/>
    </row>
    <row r="3183" ht="15.75" customHeight="1">
      <c r="A3183" s="27">
        <v>4099.0</v>
      </c>
      <c r="B3183" s="86" t="s">
        <v>11069</v>
      </c>
      <c r="C3183" s="86" t="s">
        <v>11070</v>
      </c>
      <c r="D3183" s="117" t="s">
        <v>11071</v>
      </c>
      <c r="E3183" s="86"/>
      <c r="F3183" s="86" t="s">
        <v>29</v>
      </c>
      <c r="G3183" s="86" t="s">
        <v>30</v>
      </c>
      <c r="H3183" s="86"/>
      <c r="I3183" s="86" t="s">
        <v>30</v>
      </c>
      <c r="J3183" s="86">
        <v>150.0</v>
      </c>
      <c r="K3183" s="83"/>
      <c r="L3183" s="247" t="s">
        <v>11072</v>
      </c>
      <c r="M3183" s="86" t="s">
        <v>11073</v>
      </c>
      <c r="N3183" s="86">
        <v>2010.0</v>
      </c>
      <c r="O3183" s="86">
        <v>16.0</v>
      </c>
      <c r="P3183" s="86">
        <v>1.0</v>
      </c>
      <c r="Q3183" s="86">
        <v>1.0</v>
      </c>
      <c r="R3183" s="84"/>
      <c r="S3183" s="34"/>
      <c r="T3183" s="34"/>
      <c r="U3183" s="34"/>
      <c r="V3183" s="34"/>
      <c r="W3183" s="34"/>
      <c r="X3183" s="34"/>
      <c r="Y3183" s="45"/>
      <c r="Z3183" s="45"/>
      <c r="AA3183" s="45"/>
      <c r="AB3183" s="45"/>
      <c r="AC3183" s="45"/>
      <c r="AD3183" s="45"/>
      <c r="AE3183" s="45"/>
      <c r="AF3183" s="45"/>
      <c r="AG3183" s="45"/>
      <c r="AH3183" s="45"/>
      <c r="AI3183" s="45"/>
      <c r="AJ3183" s="45"/>
      <c r="AK3183" s="45"/>
      <c r="AL3183" s="45"/>
    </row>
    <row r="3184" ht="15.75" customHeight="1">
      <c r="A3184" s="27">
        <v>4100.0</v>
      </c>
      <c r="B3184" s="86" t="s">
        <v>11074</v>
      </c>
      <c r="C3184" s="86" t="s">
        <v>9612</v>
      </c>
      <c r="D3184" s="117" t="s">
        <v>11075</v>
      </c>
      <c r="E3184" s="86" t="s">
        <v>144</v>
      </c>
      <c r="F3184" s="86" t="s">
        <v>29</v>
      </c>
      <c r="G3184" s="86" t="s">
        <v>30</v>
      </c>
      <c r="H3184" s="86"/>
      <c r="I3184" s="86" t="s">
        <v>30</v>
      </c>
      <c r="J3184" s="86">
        <v>465.0</v>
      </c>
      <c r="K3184" s="83"/>
      <c r="L3184" s="246" t="s">
        <v>11076</v>
      </c>
      <c r="M3184" s="86" t="s">
        <v>151</v>
      </c>
      <c r="N3184" s="86">
        <v>2016.0</v>
      </c>
      <c r="O3184" s="86">
        <v>12.0</v>
      </c>
      <c r="P3184" s="86">
        <v>1.0</v>
      </c>
      <c r="Q3184" s="86">
        <v>1.0</v>
      </c>
      <c r="R3184" s="84"/>
      <c r="S3184" s="34"/>
      <c r="T3184" s="34"/>
      <c r="U3184" s="34"/>
      <c r="V3184" s="34"/>
      <c r="W3184" s="34"/>
      <c r="X3184" s="34"/>
      <c r="Y3184" s="45"/>
      <c r="Z3184" s="45"/>
      <c r="AA3184" s="45"/>
      <c r="AB3184" s="45"/>
      <c r="AC3184" s="45"/>
      <c r="AD3184" s="45"/>
      <c r="AE3184" s="45"/>
      <c r="AF3184" s="45"/>
      <c r="AG3184" s="45"/>
      <c r="AH3184" s="45"/>
      <c r="AI3184" s="45"/>
      <c r="AJ3184" s="45"/>
      <c r="AK3184" s="45"/>
      <c r="AL3184" s="45"/>
    </row>
    <row r="3185" ht="15.75" customHeight="1">
      <c r="A3185" s="27">
        <v>4101.0</v>
      </c>
      <c r="B3185" s="86" t="s">
        <v>11077</v>
      </c>
      <c r="C3185" s="86" t="s">
        <v>11078</v>
      </c>
      <c r="D3185" s="117" t="s">
        <v>11079</v>
      </c>
      <c r="E3185" s="86"/>
      <c r="F3185" s="86" t="s">
        <v>29</v>
      </c>
      <c r="G3185" s="86" t="s">
        <v>30</v>
      </c>
      <c r="H3185" s="86"/>
      <c r="I3185" s="86" t="s">
        <v>30</v>
      </c>
      <c r="J3185" s="86">
        <v>477.0</v>
      </c>
      <c r="K3185" s="83"/>
      <c r="L3185" s="86" t="s">
        <v>11080</v>
      </c>
      <c r="M3185" s="86" t="s">
        <v>11040</v>
      </c>
      <c r="N3185" s="86">
        <v>2016.0</v>
      </c>
      <c r="O3185" s="86">
        <v>16.0</v>
      </c>
      <c r="P3185" s="86">
        <v>1.0</v>
      </c>
      <c r="Q3185" s="86">
        <v>1.0</v>
      </c>
      <c r="R3185" s="84"/>
      <c r="S3185" s="34"/>
      <c r="T3185" s="34"/>
      <c r="U3185" s="34"/>
      <c r="V3185" s="34"/>
      <c r="W3185" s="34"/>
      <c r="X3185" s="34"/>
      <c r="Y3185" s="45"/>
      <c r="Z3185" s="45"/>
      <c r="AA3185" s="45"/>
      <c r="AB3185" s="45"/>
      <c r="AC3185" s="45"/>
      <c r="AD3185" s="45"/>
      <c r="AE3185" s="45"/>
      <c r="AF3185" s="45"/>
      <c r="AG3185" s="45"/>
      <c r="AH3185" s="45"/>
      <c r="AI3185" s="45"/>
      <c r="AJ3185" s="45"/>
      <c r="AK3185" s="45"/>
      <c r="AL3185" s="45"/>
    </row>
    <row r="3186" ht="15.75" customHeight="1">
      <c r="A3186" s="27">
        <v>4102.0</v>
      </c>
      <c r="B3186" s="86" t="s">
        <v>11081</v>
      </c>
      <c r="C3186" s="86" t="s">
        <v>11082</v>
      </c>
      <c r="D3186" s="117" t="s">
        <v>11083</v>
      </c>
      <c r="E3186" s="86"/>
      <c r="F3186" s="86" t="s">
        <v>29</v>
      </c>
      <c r="G3186" s="86" t="s">
        <v>3849</v>
      </c>
      <c r="H3186" s="86"/>
      <c r="I3186" s="86" t="s">
        <v>38</v>
      </c>
      <c r="J3186" s="86">
        <v>160.0</v>
      </c>
      <c r="K3186" s="83"/>
      <c r="L3186" s="86" t="s">
        <v>11084</v>
      </c>
      <c r="M3186" s="86" t="s">
        <v>1191</v>
      </c>
      <c r="N3186" s="86">
        <v>1999.0</v>
      </c>
      <c r="O3186" s="86" t="s">
        <v>89</v>
      </c>
      <c r="P3186" s="86">
        <v>1.0</v>
      </c>
      <c r="Q3186" s="86">
        <v>1.0</v>
      </c>
      <c r="R3186" s="84"/>
      <c r="S3186" s="34"/>
      <c r="T3186" s="34"/>
      <c r="U3186" s="34"/>
      <c r="V3186" s="34"/>
      <c r="W3186" s="34"/>
      <c r="X3186" s="34"/>
      <c r="Y3186" s="45"/>
      <c r="Z3186" s="45"/>
      <c r="AA3186" s="45"/>
      <c r="AB3186" s="45"/>
      <c r="AC3186" s="45"/>
      <c r="AD3186" s="45"/>
      <c r="AE3186" s="45"/>
      <c r="AF3186" s="45"/>
      <c r="AG3186" s="45"/>
      <c r="AH3186" s="45"/>
      <c r="AI3186" s="45"/>
      <c r="AJ3186" s="45"/>
      <c r="AK3186" s="45"/>
      <c r="AL3186" s="45"/>
    </row>
    <row r="3187" ht="15.75" customHeight="1">
      <c r="A3187" s="27">
        <v>4104.0</v>
      </c>
      <c r="B3187" s="86" t="s">
        <v>11085</v>
      </c>
      <c r="C3187" s="86" t="s">
        <v>11086</v>
      </c>
      <c r="D3187" s="117" t="s">
        <v>11087</v>
      </c>
      <c r="E3187" s="86" t="s">
        <v>144</v>
      </c>
      <c r="F3187" s="86" t="s">
        <v>29</v>
      </c>
      <c r="G3187" s="86" t="s">
        <v>37</v>
      </c>
      <c r="H3187" s="86"/>
      <c r="I3187" s="86" t="s">
        <v>30</v>
      </c>
      <c r="J3187" s="86">
        <v>325.0</v>
      </c>
      <c r="K3187" s="83"/>
      <c r="L3187" s="86" t="s">
        <v>9362</v>
      </c>
      <c r="M3187" s="86" t="s">
        <v>8073</v>
      </c>
      <c r="N3187" s="86">
        <v>2004.0</v>
      </c>
      <c r="O3187" s="86">
        <v>12.0</v>
      </c>
      <c r="P3187" s="86">
        <v>1.0</v>
      </c>
      <c r="Q3187" s="86">
        <v>1.0</v>
      </c>
      <c r="R3187" s="84"/>
      <c r="S3187" s="34"/>
      <c r="T3187" s="34"/>
      <c r="U3187" s="34"/>
      <c r="V3187" s="34"/>
      <c r="W3187" s="34"/>
      <c r="X3187" s="34"/>
      <c r="Y3187" s="45"/>
      <c r="Z3187" s="45"/>
      <c r="AA3187" s="45"/>
      <c r="AB3187" s="45"/>
      <c r="AC3187" s="45"/>
      <c r="AD3187" s="45"/>
      <c r="AE3187" s="45"/>
      <c r="AF3187" s="45"/>
      <c r="AG3187" s="45"/>
      <c r="AH3187" s="45"/>
      <c r="AI3187" s="45"/>
      <c r="AJ3187" s="45"/>
      <c r="AK3187" s="45"/>
      <c r="AL3187" s="45"/>
    </row>
    <row r="3188" ht="15.75" customHeight="1">
      <c r="A3188" s="27">
        <v>4105.0</v>
      </c>
      <c r="B3188" s="86"/>
      <c r="C3188" s="86" t="s">
        <v>11088</v>
      </c>
      <c r="D3188" s="117" t="s">
        <v>10093</v>
      </c>
      <c r="E3188" s="86"/>
      <c r="F3188" s="86" t="s">
        <v>29</v>
      </c>
      <c r="G3188" s="86" t="s">
        <v>8203</v>
      </c>
      <c r="H3188" s="86"/>
      <c r="I3188" s="86" t="s">
        <v>30</v>
      </c>
      <c r="J3188" s="86">
        <v>159.0</v>
      </c>
      <c r="K3188" s="83"/>
      <c r="L3188" s="86" t="s">
        <v>11089</v>
      </c>
      <c r="M3188" s="86" t="s">
        <v>1166</v>
      </c>
      <c r="N3188" s="86">
        <v>1988.0</v>
      </c>
      <c r="O3188" s="86" t="s">
        <v>89</v>
      </c>
      <c r="P3188" s="86">
        <v>1.0</v>
      </c>
      <c r="Q3188" s="86">
        <v>1.0</v>
      </c>
      <c r="R3188" s="84"/>
      <c r="S3188" s="116"/>
      <c r="T3188" s="116"/>
      <c r="U3188" s="116"/>
      <c r="V3188" s="116"/>
      <c r="W3188" s="116"/>
      <c r="X3188" s="116"/>
      <c r="Y3188" s="3"/>
      <c r="Z3188" s="3"/>
      <c r="AA3188" s="3"/>
      <c r="AB3188" s="3"/>
      <c r="AC3188" s="3"/>
      <c r="AD3188" s="3"/>
      <c r="AE3188" s="3"/>
      <c r="AF3188" s="3"/>
      <c r="AG3188" s="3"/>
      <c r="AH3188" s="3"/>
      <c r="AI3188" s="3"/>
      <c r="AJ3188" s="3"/>
      <c r="AK3188" s="3"/>
      <c r="AL3188" s="3"/>
    </row>
    <row r="3189" ht="15.75" customHeight="1">
      <c r="A3189" s="27">
        <v>4106.0</v>
      </c>
      <c r="B3189" s="86" t="s">
        <v>11090</v>
      </c>
      <c r="C3189" s="86" t="s">
        <v>11091</v>
      </c>
      <c r="D3189" s="117" t="s">
        <v>11092</v>
      </c>
      <c r="E3189" s="86"/>
      <c r="F3189" s="86" t="s">
        <v>29</v>
      </c>
      <c r="G3189" s="86" t="s">
        <v>30</v>
      </c>
      <c r="H3189" s="86"/>
      <c r="I3189" s="86" t="s">
        <v>30</v>
      </c>
      <c r="J3189" s="86">
        <v>280.0</v>
      </c>
      <c r="K3189" s="83"/>
      <c r="L3189" s="86" t="s">
        <v>11093</v>
      </c>
      <c r="M3189" s="86" t="s">
        <v>11094</v>
      </c>
      <c r="N3189" s="86">
        <v>2022.0</v>
      </c>
      <c r="O3189" s="86" t="s">
        <v>89</v>
      </c>
      <c r="P3189" s="86">
        <v>3.0</v>
      </c>
      <c r="Q3189" s="86">
        <v>3.0</v>
      </c>
      <c r="R3189" s="84"/>
      <c r="S3189" s="34"/>
      <c r="T3189" s="34"/>
      <c r="U3189" s="34"/>
      <c r="V3189" s="34"/>
      <c r="W3189" s="34"/>
      <c r="X3189" s="34"/>
      <c r="Y3189" s="45"/>
      <c r="Z3189" s="45"/>
      <c r="AA3189" s="45"/>
      <c r="AB3189" s="45"/>
      <c r="AC3189" s="45"/>
      <c r="AD3189" s="45"/>
      <c r="AE3189" s="45"/>
      <c r="AF3189" s="45"/>
      <c r="AG3189" s="45"/>
      <c r="AH3189" s="45"/>
      <c r="AI3189" s="45"/>
      <c r="AJ3189" s="45"/>
      <c r="AK3189" s="45"/>
      <c r="AL3189" s="45"/>
    </row>
    <row r="3190" ht="15.75" customHeight="1">
      <c r="A3190" s="27">
        <v>4107.0</v>
      </c>
      <c r="B3190" s="86" t="s">
        <v>11095</v>
      </c>
      <c r="C3190" s="86" t="s">
        <v>11096</v>
      </c>
      <c r="D3190" s="117" t="s">
        <v>11097</v>
      </c>
      <c r="E3190" s="86"/>
      <c r="F3190" s="86" t="s">
        <v>29</v>
      </c>
      <c r="G3190" s="86" t="s">
        <v>30</v>
      </c>
      <c r="H3190" s="86"/>
      <c r="I3190" s="86" t="s">
        <v>30</v>
      </c>
      <c r="J3190" s="86">
        <v>90.0</v>
      </c>
      <c r="K3190" s="83"/>
      <c r="L3190" s="86" t="s">
        <v>11093</v>
      </c>
      <c r="M3190" s="86" t="s">
        <v>11094</v>
      </c>
      <c r="N3190" s="86">
        <v>2022.0</v>
      </c>
      <c r="O3190" s="86" t="s">
        <v>89</v>
      </c>
      <c r="P3190" s="86">
        <v>3.0</v>
      </c>
      <c r="Q3190" s="86">
        <v>3.0</v>
      </c>
      <c r="R3190" s="84"/>
      <c r="S3190" s="34"/>
      <c r="T3190" s="34"/>
      <c r="U3190" s="34"/>
      <c r="V3190" s="34"/>
      <c r="W3190" s="34"/>
      <c r="X3190" s="34"/>
      <c r="Y3190" s="45"/>
      <c r="Z3190" s="45"/>
      <c r="AA3190" s="45"/>
      <c r="AB3190" s="45"/>
      <c r="AC3190" s="45"/>
      <c r="AD3190" s="45"/>
      <c r="AE3190" s="45"/>
      <c r="AF3190" s="45"/>
      <c r="AG3190" s="45"/>
      <c r="AH3190" s="45"/>
      <c r="AI3190" s="45"/>
      <c r="AJ3190" s="45"/>
      <c r="AK3190" s="45"/>
      <c r="AL3190" s="45"/>
    </row>
    <row r="3191" ht="15.75" customHeight="1">
      <c r="A3191" s="27">
        <v>4108.0</v>
      </c>
      <c r="B3191" s="86" t="s">
        <v>11098</v>
      </c>
      <c r="C3191" s="86" t="s">
        <v>11099</v>
      </c>
      <c r="D3191" s="117" t="s">
        <v>11100</v>
      </c>
      <c r="E3191" s="86"/>
      <c r="F3191" s="86" t="s">
        <v>29</v>
      </c>
      <c r="G3191" s="86" t="s">
        <v>30</v>
      </c>
      <c r="H3191" s="86"/>
      <c r="I3191" s="86" t="s">
        <v>30</v>
      </c>
      <c r="J3191" s="86">
        <v>101.0</v>
      </c>
      <c r="K3191" s="83"/>
      <c r="L3191" s="86" t="s">
        <v>11101</v>
      </c>
      <c r="M3191" s="86" t="s">
        <v>10148</v>
      </c>
      <c r="N3191" s="86">
        <v>2019.0</v>
      </c>
      <c r="O3191" s="86" t="s">
        <v>89</v>
      </c>
      <c r="P3191" s="86">
        <v>3.0</v>
      </c>
      <c r="Q3191" s="86">
        <v>3.0</v>
      </c>
      <c r="R3191" s="84"/>
      <c r="S3191" s="34"/>
      <c r="T3191" s="34"/>
      <c r="U3191" s="34"/>
      <c r="V3191" s="34"/>
      <c r="W3191" s="34"/>
      <c r="X3191" s="34"/>
      <c r="Y3191" s="45"/>
      <c r="Z3191" s="45"/>
      <c r="AA3191" s="45"/>
      <c r="AB3191" s="45"/>
      <c r="AC3191" s="45"/>
      <c r="AD3191" s="45"/>
      <c r="AE3191" s="45"/>
      <c r="AF3191" s="45"/>
      <c r="AG3191" s="45"/>
      <c r="AH3191" s="45"/>
      <c r="AI3191" s="45"/>
      <c r="AJ3191" s="45"/>
      <c r="AK3191" s="45"/>
      <c r="AL3191" s="45"/>
    </row>
    <row r="3192" ht="15.75" customHeight="1">
      <c r="A3192" s="27">
        <v>4109.0</v>
      </c>
      <c r="B3192" s="86" t="s">
        <v>11102</v>
      </c>
      <c r="C3192" s="86" t="s">
        <v>11103</v>
      </c>
      <c r="D3192" s="117" t="s">
        <v>11104</v>
      </c>
      <c r="E3192" s="86"/>
      <c r="F3192" s="86" t="s">
        <v>29</v>
      </c>
      <c r="G3192" s="86" t="s">
        <v>11105</v>
      </c>
      <c r="H3192" s="86"/>
      <c r="I3192" s="86" t="s">
        <v>38</v>
      </c>
      <c r="J3192" s="86">
        <v>570.0</v>
      </c>
      <c r="K3192" s="83"/>
      <c r="L3192" s="86" t="s">
        <v>5377</v>
      </c>
      <c r="M3192" s="86" t="s">
        <v>4535</v>
      </c>
      <c r="N3192" s="86">
        <v>1999.0</v>
      </c>
      <c r="O3192" s="86" t="s">
        <v>89</v>
      </c>
      <c r="P3192" s="86">
        <v>1.0</v>
      </c>
      <c r="Q3192" s="86">
        <v>1.0</v>
      </c>
      <c r="R3192" s="84"/>
      <c r="S3192" s="34"/>
      <c r="T3192" s="34"/>
      <c r="U3192" s="34"/>
      <c r="V3192" s="34"/>
      <c r="W3192" s="34"/>
      <c r="X3192" s="34"/>
      <c r="Y3192" s="45"/>
      <c r="Z3192" s="45"/>
      <c r="AA3192" s="45"/>
      <c r="AB3192" s="45"/>
      <c r="AC3192" s="45"/>
      <c r="AD3192" s="45"/>
      <c r="AE3192" s="45"/>
      <c r="AF3192" s="45"/>
      <c r="AG3192" s="45"/>
      <c r="AH3192" s="45"/>
      <c r="AI3192" s="45"/>
      <c r="AJ3192" s="45"/>
      <c r="AK3192" s="45"/>
      <c r="AL3192" s="45"/>
    </row>
    <row r="3193" ht="15.75" customHeight="1">
      <c r="A3193" s="27">
        <v>4110.0</v>
      </c>
      <c r="B3193" s="86" t="s">
        <v>11106</v>
      </c>
      <c r="C3193" s="86" t="s">
        <v>11107</v>
      </c>
      <c r="D3193" s="117" t="s">
        <v>11108</v>
      </c>
      <c r="E3193" s="86"/>
      <c r="F3193" s="86" t="s">
        <v>29</v>
      </c>
      <c r="G3193" s="86" t="s">
        <v>30</v>
      </c>
      <c r="H3193" s="86"/>
      <c r="I3193" s="86" t="s">
        <v>30</v>
      </c>
      <c r="J3193" s="86">
        <v>484.0</v>
      </c>
      <c r="K3193" s="83"/>
      <c r="L3193" s="86" t="s">
        <v>11109</v>
      </c>
      <c r="M3193" s="86" t="s">
        <v>11110</v>
      </c>
      <c r="N3193" s="86">
        <v>2022.0</v>
      </c>
      <c r="O3193" s="86">
        <v>16.0</v>
      </c>
      <c r="P3193" s="86">
        <v>2.0</v>
      </c>
      <c r="Q3193" s="86">
        <v>2.0</v>
      </c>
      <c r="R3193" s="84"/>
      <c r="S3193" s="34"/>
      <c r="T3193" s="34"/>
      <c r="U3193" s="34"/>
      <c r="V3193" s="34"/>
      <c r="W3193" s="34"/>
      <c r="X3193" s="34"/>
      <c r="Y3193" s="3"/>
      <c r="Z3193" s="3"/>
      <c r="AA3193" s="3"/>
      <c r="AB3193" s="3"/>
      <c r="AC3193" s="3"/>
      <c r="AD3193" s="3"/>
      <c r="AE3193" s="3"/>
      <c r="AF3193" s="3"/>
      <c r="AG3193" s="3"/>
      <c r="AH3193" s="3"/>
      <c r="AI3193" s="3"/>
      <c r="AJ3193" s="3"/>
      <c r="AK3193" s="3"/>
      <c r="AL3193" s="3"/>
    </row>
    <row r="3194" ht="15.75" customHeight="1">
      <c r="A3194" s="27">
        <v>4111.0</v>
      </c>
      <c r="B3194" s="121" t="s">
        <v>5011</v>
      </c>
      <c r="C3194" s="86" t="s">
        <v>11111</v>
      </c>
      <c r="D3194" s="117" t="s">
        <v>11112</v>
      </c>
      <c r="E3194" s="86" t="s">
        <v>5001</v>
      </c>
      <c r="F3194" s="86" t="s">
        <v>29</v>
      </c>
      <c r="G3194" s="86" t="s">
        <v>37</v>
      </c>
      <c r="H3194" s="86"/>
      <c r="I3194" s="86" t="s">
        <v>38</v>
      </c>
      <c r="J3194" s="86">
        <v>151.0</v>
      </c>
      <c r="K3194" s="83"/>
      <c r="L3194" s="86" t="s">
        <v>11113</v>
      </c>
      <c r="M3194" s="86" t="s">
        <v>54</v>
      </c>
      <c r="N3194" s="86">
        <v>2022.0</v>
      </c>
      <c r="O3194" s="86">
        <v>18.0</v>
      </c>
      <c r="P3194" s="86">
        <v>2.0</v>
      </c>
      <c r="Q3194" s="86">
        <v>2.0</v>
      </c>
      <c r="R3194" s="84"/>
      <c r="S3194" s="34"/>
      <c r="T3194" s="34"/>
      <c r="U3194" s="34"/>
      <c r="V3194" s="34"/>
      <c r="W3194" s="34"/>
      <c r="X3194" s="34"/>
      <c r="Y3194" s="45"/>
      <c r="Z3194" s="45"/>
      <c r="AA3194" s="45"/>
      <c r="AB3194" s="45"/>
      <c r="AC3194" s="45"/>
      <c r="AD3194" s="45"/>
      <c r="AE3194" s="45"/>
      <c r="AF3194" s="45"/>
      <c r="AG3194" s="45"/>
      <c r="AH3194" s="45"/>
      <c r="AI3194" s="45"/>
      <c r="AJ3194" s="45"/>
      <c r="AK3194" s="45"/>
      <c r="AL3194" s="45"/>
    </row>
    <row r="3195" ht="15.75" customHeight="1">
      <c r="A3195" s="27">
        <v>4112.0</v>
      </c>
      <c r="B3195" s="86" t="s">
        <v>11114</v>
      </c>
      <c r="C3195" s="86" t="s">
        <v>11115</v>
      </c>
      <c r="D3195" s="117" t="s">
        <v>11116</v>
      </c>
      <c r="E3195" s="86"/>
      <c r="F3195" s="86" t="s">
        <v>29</v>
      </c>
      <c r="G3195" s="86" t="s">
        <v>37</v>
      </c>
      <c r="H3195" s="86"/>
      <c r="I3195" s="86" t="s">
        <v>38</v>
      </c>
      <c r="J3195" s="86">
        <v>259.0</v>
      </c>
      <c r="K3195" s="83"/>
      <c r="L3195" s="86" t="s">
        <v>11117</v>
      </c>
      <c r="M3195" s="86" t="s">
        <v>9192</v>
      </c>
      <c r="N3195" s="86">
        <v>2001.0</v>
      </c>
      <c r="O3195" s="86" t="s">
        <v>2259</v>
      </c>
      <c r="P3195" s="86">
        <v>1.0</v>
      </c>
      <c r="Q3195" s="86">
        <v>1.0</v>
      </c>
      <c r="R3195" s="84"/>
      <c r="S3195" s="34"/>
      <c r="T3195" s="34"/>
      <c r="U3195" s="34"/>
      <c r="V3195" s="34"/>
      <c r="W3195" s="34"/>
      <c r="X3195" s="34"/>
      <c r="Y3195" s="45"/>
      <c r="Z3195" s="45"/>
      <c r="AA3195" s="45"/>
      <c r="AB3195" s="45"/>
      <c r="AC3195" s="45"/>
      <c r="AD3195" s="45"/>
      <c r="AE3195" s="45"/>
      <c r="AF3195" s="45"/>
      <c r="AG3195" s="45"/>
      <c r="AH3195" s="45"/>
      <c r="AI3195" s="45"/>
      <c r="AJ3195" s="45"/>
      <c r="AK3195" s="45"/>
      <c r="AL3195" s="45"/>
    </row>
    <row r="3196" ht="15.75" customHeight="1">
      <c r="A3196" s="27">
        <v>4113.0</v>
      </c>
      <c r="B3196" s="86" t="s">
        <v>11118</v>
      </c>
      <c r="C3196" s="86" t="s">
        <v>11119</v>
      </c>
      <c r="D3196" s="117" t="s">
        <v>11120</v>
      </c>
      <c r="E3196" s="86"/>
      <c r="F3196" s="86" t="s">
        <v>29</v>
      </c>
      <c r="G3196" s="86" t="s">
        <v>8203</v>
      </c>
      <c r="H3196" s="86"/>
      <c r="I3196" s="86" t="s">
        <v>38</v>
      </c>
      <c r="J3196" s="86">
        <v>971.0</v>
      </c>
      <c r="K3196" s="83"/>
      <c r="L3196" s="86" t="s">
        <v>5838</v>
      </c>
      <c r="M3196" s="86" t="s">
        <v>54</v>
      </c>
      <c r="N3196" s="86">
        <v>2019.0</v>
      </c>
      <c r="O3196" s="86" t="s">
        <v>2259</v>
      </c>
      <c r="P3196" s="86">
        <v>1.0</v>
      </c>
      <c r="Q3196" s="86">
        <v>1.0</v>
      </c>
      <c r="R3196" s="84"/>
      <c r="S3196" s="34"/>
      <c r="T3196" s="34"/>
      <c r="U3196" s="34"/>
      <c r="V3196" s="34"/>
      <c r="W3196" s="34"/>
      <c r="X3196" s="34"/>
      <c r="Y3196" s="3"/>
      <c r="Z3196" s="3"/>
      <c r="AA3196" s="3"/>
      <c r="AB3196" s="3"/>
      <c r="AC3196" s="3"/>
      <c r="AD3196" s="3"/>
      <c r="AE3196" s="3"/>
      <c r="AF3196" s="3"/>
      <c r="AG3196" s="3"/>
      <c r="AH3196" s="3"/>
      <c r="AI3196" s="3"/>
      <c r="AJ3196" s="3"/>
      <c r="AK3196" s="3"/>
      <c r="AL3196" s="3"/>
    </row>
    <row r="3197" ht="15.75" customHeight="1">
      <c r="A3197" s="248">
        <v>4114.0</v>
      </c>
      <c r="B3197" s="249" t="s">
        <v>11121</v>
      </c>
      <c r="C3197" s="249" t="s">
        <v>11122</v>
      </c>
      <c r="D3197" s="250" t="s">
        <v>11123</v>
      </c>
      <c r="E3197" s="251"/>
      <c r="F3197" s="249" t="s">
        <v>29</v>
      </c>
      <c r="G3197" s="249" t="s">
        <v>30</v>
      </c>
      <c r="H3197" s="251"/>
      <c r="I3197" s="249" t="s">
        <v>30</v>
      </c>
      <c r="J3197" s="249">
        <v>334.0</v>
      </c>
      <c r="K3197" s="251"/>
      <c r="L3197" s="249" t="s">
        <v>11124</v>
      </c>
      <c r="M3197" s="249" t="s">
        <v>9000</v>
      </c>
      <c r="N3197" s="249">
        <v>2023.0</v>
      </c>
      <c r="O3197" s="251"/>
      <c r="P3197" s="249">
        <v>1.0</v>
      </c>
      <c r="Q3197" s="249">
        <v>1.0</v>
      </c>
      <c r="R3197" s="252"/>
      <c r="S3197" s="253"/>
      <c r="T3197" s="34"/>
      <c r="U3197" s="34"/>
      <c r="V3197" s="34"/>
      <c r="W3197" s="34"/>
      <c r="X3197" s="34"/>
      <c r="Y3197" s="3"/>
      <c r="Z3197" s="3"/>
      <c r="AA3197" s="3"/>
      <c r="AB3197" s="3"/>
      <c r="AC3197" s="3"/>
      <c r="AD3197" s="3"/>
      <c r="AE3197" s="3"/>
      <c r="AF3197" s="3"/>
      <c r="AG3197" s="3"/>
      <c r="AH3197" s="3"/>
      <c r="AI3197" s="3"/>
      <c r="AJ3197" s="3"/>
      <c r="AK3197" s="3"/>
      <c r="AL3197" s="3"/>
    </row>
    <row r="3198" ht="15.75" customHeight="1">
      <c r="A3198" s="248">
        <v>4115.0</v>
      </c>
      <c r="B3198" s="251"/>
      <c r="C3198" s="249" t="s">
        <v>11125</v>
      </c>
      <c r="D3198" s="250" t="s">
        <v>11126</v>
      </c>
      <c r="E3198" s="251"/>
      <c r="F3198" s="249" t="s">
        <v>29</v>
      </c>
      <c r="G3198" s="249" t="s">
        <v>30</v>
      </c>
      <c r="H3198" s="251"/>
      <c r="I3198" s="249" t="s">
        <v>30</v>
      </c>
      <c r="J3198" s="249">
        <v>212.0</v>
      </c>
      <c r="K3198" s="251"/>
      <c r="L3198" s="249" t="s">
        <v>11127</v>
      </c>
      <c r="M3198" s="251"/>
      <c r="N3198" s="249">
        <v>1982.0</v>
      </c>
      <c r="O3198" s="251"/>
      <c r="P3198" s="249">
        <v>1.0</v>
      </c>
      <c r="Q3198" s="249">
        <v>1.0</v>
      </c>
      <c r="R3198" s="252"/>
      <c r="S3198" s="253"/>
      <c r="T3198" s="34"/>
      <c r="U3198" s="34"/>
      <c r="V3198" s="34"/>
      <c r="W3198" s="34"/>
      <c r="X3198" s="34"/>
      <c r="Y3198" s="3"/>
      <c r="Z3198" s="3"/>
      <c r="AA3198" s="3"/>
      <c r="AB3198" s="3"/>
      <c r="AC3198" s="3"/>
      <c r="AD3198" s="3"/>
      <c r="AE3198" s="3"/>
      <c r="AF3198" s="3"/>
      <c r="AG3198" s="3"/>
      <c r="AH3198" s="3"/>
      <c r="AI3198" s="3"/>
      <c r="AJ3198" s="3"/>
      <c r="AK3198" s="3"/>
      <c r="AL3198" s="3"/>
    </row>
    <row r="3199" ht="15.75" customHeight="1">
      <c r="A3199" s="248"/>
      <c r="B3199" s="249" t="s">
        <v>11128</v>
      </c>
      <c r="C3199" s="249" t="s">
        <v>11129</v>
      </c>
      <c r="D3199" s="250" t="s">
        <v>11130</v>
      </c>
      <c r="E3199" s="251"/>
      <c r="F3199" s="249" t="s">
        <v>29</v>
      </c>
      <c r="G3199" s="249" t="s">
        <v>81</v>
      </c>
      <c r="H3199" s="251"/>
      <c r="I3199" s="249" t="s">
        <v>30</v>
      </c>
      <c r="J3199" s="249">
        <v>977.0</v>
      </c>
      <c r="K3199" s="251"/>
      <c r="L3199" s="249" t="s">
        <v>11131</v>
      </c>
      <c r="M3199" s="249" t="s">
        <v>151</v>
      </c>
      <c r="N3199" s="249">
        <v>2016.0</v>
      </c>
      <c r="O3199" s="251"/>
      <c r="P3199" s="249">
        <v>1.0</v>
      </c>
      <c r="Q3199" s="249">
        <v>1.0</v>
      </c>
      <c r="R3199" s="252"/>
      <c r="S3199" s="253"/>
      <c r="T3199" s="34"/>
      <c r="U3199" s="34"/>
      <c r="V3199" s="34"/>
      <c r="W3199" s="34"/>
      <c r="X3199" s="34"/>
      <c r="Y3199" s="3"/>
      <c r="Z3199" s="3"/>
      <c r="AA3199" s="3"/>
      <c r="AB3199" s="3"/>
      <c r="AC3199" s="3"/>
      <c r="AD3199" s="3"/>
      <c r="AE3199" s="3"/>
      <c r="AF3199" s="3"/>
      <c r="AG3199" s="3"/>
      <c r="AH3199" s="3"/>
      <c r="AI3199" s="3"/>
      <c r="AJ3199" s="3"/>
      <c r="AK3199" s="3"/>
      <c r="AL3199" s="3"/>
    </row>
    <row r="3200" ht="15.75" customHeight="1">
      <c r="A3200" s="248"/>
      <c r="B3200" s="249" t="s">
        <v>11132</v>
      </c>
      <c r="C3200" s="248" t="s">
        <v>11133</v>
      </c>
      <c r="D3200" s="250" t="s">
        <v>11134</v>
      </c>
      <c r="E3200" s="251"/>
      <c r="F3200" s="249" t="s">
        <v>29</v>
      </c>
      <c r="G3200" s="249" t="s">
        <v>30</v>
      </c>
      <c r="H3200" s="251"/>
      <c r="I3200" s="249" t="s">
        <v>30</v>
      </c>
      <c r="J3200" s="249">
        <v>177.0</v>
      </c>
      <c r="K3200" s="251"/>
      <c r="L3200" s="249" t="s">
        <v>11135</v>
      </c>
      <c r="M3200" s="249" t="s">
        <v>11136</v>
      </c>
      <c r="N3200" s="249">
        <v>2018.0</v>
      </c>
      <c r="O3200" s="251"/>
      <c r="P3200" s="249">
        <v>1.0</v>
      </c>
      <c r="Q3200" s="249">
        <v>1.0</v>
      </c>
      <c r="R3200" s="252"/>
      <c r="S3200" s="253"/>
      <c r="T3200" s="34"/>
      <c r="U3200" s="34"/>
      <c r="V3200" s="34"/>
      <c r="W3200" s="34"/>
      <c r="X3200" s="34"/>
      <c r="Y3200" s="3"/>
      <c r="Z3200" s="3"/>
      <c r="AA3200" s="3"/>
      <c r="AB3200" s="3"/>
      <c r="AC3200" s="3"/>
      <c r="AD3200" s="3"/>
      <c r="AE3200" s="3"/>
      <c r="AF3200" s="3"/>
      <c r="AG3200" s="3"/>
      <c r="AH3200" s="3"/>
      <c r="AI3200" s="3"/>
      <c r="AJ3200" s="3"/>
      <c r="AK3200" s="3"/>
      <c r="AL3200" s="3"/>
    </row>
    <row r="3201" ht="15.75" customHeight="1">
      <c r="A3201" s="248"/>
      <c r="B3201" s="249" t="s">
        <v>11137</v>
      </c>
      <c r="C3201" s="248" t="s">
        <v>11138</v>
      </c>
      <c r="D3201" s="250" t="s">
        <v>11139</v>
      </c>
      <c r="E3201" s="251"/>
      <c r="F3201" s="249" t="s">
        <v>29</v>
      </c>
      <c r="G3201" s="249" t="s">
        <v>30</v>
      </c>
      <c r="H3201" s="251"/>
      <c r="I3201" s="249" t="s">
        <v>30</v>
      </c>
      <c r="J3201" s="249">
        <v>295.0</v>
      </c>
      <c r="K3201" s="251"/>
      <c r="L3201" s="249" t="s">
        <v>11140</v>
      </c>
      <c r="M3201" s="249" t="s">
        <v>161</v>
      </c>
      <c r="N3201" s="249">
        <v>2011.0</v>
      </c>
      <c r="O3201" s="251"/>
      <c r="P3201" s="249">
        <v>1.0</v>
      </c>
      <c r="Q3201" s="249">
        <v>1.0</v>
      </c>
      <c r="R3201" s="252"/>
      <c r="S3201" s="253"/>
      <c r="T3201" s="34"/>
      <c r="U3201" s="34"/>
      <c r="V3201" s="34"/>
      <c r="W3201" s="34"/>
      <c r="X3201" s="34"/>
      <c r="Y3201" s="3"/>
      <c r="Z3201" s="3"/>
      <c r="AA3201" s="3"/>
      <c r="AB3201" s="3"/>
      <c r="AC3201" s="3"/>
      <c r="AD3201" s="3"/>
      <c r="AE3201" s="3"/>
      <c r="AF3201" s="3"/>
      <c r="AG3201" s="3"/>
      <c r="AH3201" s="3"/>
      <c r="AI3201" s="3"/>
      <c r="AJ3201" s="3"/>
      <c r="AK3201" s="3"/>
      <c r="AL3201" s="3"/>
    </row>
    <row r="3202" ht="15.75" customHeight="1">
      <c r="A3202" s="248"/>
      <c r="B3202" s="249" t="s">
        <v>11141</v>
      </c>
      <c r="C3202" s="248" t="s">
        <v>11142</v>
      </c>
      <c r="D3202" s="254" t="s">
        <v>11143</v>
      </c>
      <c r="E3202" s="251"/>
      <c r="F3202" s="249" t="s">
        <v>29</v>
      </c>
      <c r="G3202" s="249" t="s">
        <v>11144</v>
      </c>
      <c r="H3202" s="251"/>
      <c r="I3202" s="249" t="s">
        <v>38</v>
      </c>
      <c r="J3202" s="249">
        <v>290.0</v>
      </c>
      <c r="K3202" s="251"/>
      <c r="L3202" s="249" t="s">
        <v>11145</v>
      </c>
      <c r="M3202" s="249" t="s">
        <v>11146</v>
      </c>
      <c r="N3202" s="249">
        <v>2021.0</v>
      </c>
      <c r="O3202" s="251"/>
      <c r="P3202" s="249">
        <v>1.0</v>
      </c>
      <c r="Q3202" s="249">
        <v>1.0</v>
      </c>
      <c r="R3202" s="252"/>
      <c r="S3202" s="34"/>
      <c r="T3202" s="34"/>
      <c r="U3202" s="34"/>
      <c r="V3202" s="34"/>
      <c r="W3202" s="34"/>
      <c r="X3202" s="34"/>
      <c r="Y3202" s="3"/>
      <c r="Z3202" s="3"/>
      <c r="AA3202" s="3"/>
      <c r="AB3202" s="3"/>
      <c r="AC3202" s="3"/>
      <c r="AD3202" s="3"/>
      <c r="AE3202" s="3"/>
      <c r="AF3202" s="3"/>
      <c r="AG3202" s="3"/>
      <c r="AH3202" s="3"/>
      <c r="AI3202" s="3"/>
      <c r="AJ3202" s="3"/>
      <c r="AK3202" s="3"/>
      <c r="AL3202" s="3"/>
    </row>
    <row r="3203" ht="15.75" customHeight="1">
      <c r="A3203" s="248"/>
      <c r="B3203" s="249" t="s">
        <v>11147</v>
      </c>
      <c r="C3203" s="248" t="s">
        <v>11148</v>
      </c>
      <c r="D3203" s="250" t="s">
        <v>11149</v>
      </c>
      <c r="E3203" s="251"/>
      <c r="F3203" s="249" t="s">
        <v>29</v>
      </c>
      <c r="G3203" s="249" t="s">
        <v>30</v>
      </c>
      <c r="H3203" s="251"/>
      <c r="I3203" s="249" t="s">
        <v>30</v>
      </c>
      <c r="J3203" s="249">
        <v>160.0</v>
      </c>
      <c r="K3203" s="251"/>
      <c r="L3203" s="249" t="s">
        <v>145</v>
      </c>
      <c r="M3203" s="249" t="s">
        <v>11150</v>
      </c>
      <c r="N3203" s="249">
        <v>2011.0</v>
      </c>
      <c r="O3203" s="251"/>
      <c r="P3203" s="249">
        <v>1.0</v>
      </c>
      <c r="Q3203" s="249">
        <v>1.0</v>
      </c>
      <c r="R3203" s="252"/>
      <c r="S3203" s="34"/>
      <c r="T3203" s="34"/>
      <c r="U3203" s="34"/>
      <c r="V3203" s="34"/>
      <c r="W3203" s="34"/>
      <c r="X3203" s="34"/>
      <c r="Y3203" s="3"/>
      <c r="Z3203" s="3"/>
      <c r="AA3203" s="3"/>
      <c r="AB3203" s="3"/>
      <c r="AC3203" s="3"/>
      <c r="AD3203" s="3"/>
      <c r="AE3203" s="3"/>
      <c r="AF3203" s="3"/>
      <c r="AG3203" s="3"/>
      <c r="AH3203" s="3"/>
      <c r="AI3203" s="3"/>
      <c r="AJ3203" s="3"/>
      <c r="AK3203" s="3"/>
      <c r="AL3203" s="3"/>
    </row>
    <row r="3204" ht="15.75" customHeight="1">
      <c r="A3204" s="248"/>
      <c r="B3204" s="251"/>
      <c r="C3204" s="248" t="s">
        <v>11151</v>
      </c>
      <c r="D3204" s="250" t="s">
        <v>11152</v>
      </c>
      <c r="E3204" s="251"/>
      <c r="F3204" s="249" t="s">
        <v>29</v>
      </c>
      <c r="G3204" s="249" t="s">
        <v>30</v>
      </c>
      <c r="H3204" s="251"/>
      <c r="I3204" s="249" t="s">
        <v>30</v>
      </c>
      <c r="J3204" s="249">
        <v>277.0</v>
      </c>
      <c r="K3204" s="251"/>
      <c r="L3204" s="249" t="s">
        <v>11153</v>
      </c>
      <c r="M3204" s="249" t="s">
        <v>11154</v>
      </c>
      <c r="N3204" s="249">
        <v>1997.0</v>
      </c>
      <c r="O3204" s="251"/>
      <c r="P3204" s="249">
        <v>1.0</v>
      </c>
      <c r="Q3204" s="249">
        <v>1.0</v>
      </c>
      <c r="R3204" s="252"/>
      <c r="S3204" s="34"/>
      <c r="T3204" s="34"/>
      <c r="U3204" s="34"/>
      <c r="V3204" s="34"/>
      <c r="W3204" s="34"/>
      <c r="X3204" s="34"/>
      <c r="Y3204" s="3"/>
      <c r="Z3204" s="3"/>
      <c r="AA3204" s="3"/>
      <c r="AB3204" s="3"/>
      <c r="AC3204" s="3"/>
      <c r="AD3204" s="3"/>
      <c r="AE3204" s="3"/>
      <c r="AF3204" s="3"/>
      <c r="AG3204" s="3"/>
      <c r="AH3204" s="3"/>
      <c r="AI3204" s="3"/>
      <c r="AJ3204" s="3"/>
      <c r="AK3204" s="3"/>
      <c r="AL3204" s="3"/>
    </row>
    <row r="3205" ht="15.75" customHeight="1">
      <c r="A3205" s="248"/>
      <c r="B3205" s="251"/>
      <c r="C3205" s="248" t="s">
        <v>11155</v>
      </c>
      <c r="D3205" s="250" t="s">
        <v>11156</v>
      </c>
      <c r="E3205" s="251"/>
      <c r="F3205" s="249" t="s">
        <v>29</v>
      </c>
      <c r="G3205" s="249" t="s">
        <v>30</v>
      </c>
      <c r="H3205" s="251"/>
      <c r="I3205" s="249" t="s">
        <v>30</v>
      </c>
      <c r="J3205" s="249">
        <v>223.0</v>
      </c>
      <c r="K3205" s="251"/>
      <c r="L3205" s="249" t="s">
        <v>11157</v>
      </c>
      <c r="M3205" s="249" t="s">
        <v>4166</v>
      </c>
      <c r="N3205" s="249">
        <v>1995.0</v>
      </c>
      <c r="O3205" s="251"/>
      <c r="P3205" s="249">
        <v>2.0</v>
      </c>
      <c r="Q3205" s="249">
        <v>2.0</v>
      </c>
      <c r="R3205" s="252"/>
      <c r="S3205" s="34"/>
      <c r="T3205" s="34"/>
      <c r="U3205" s="34"/>
      <c r="V3205" s="34"/>
      <c r="W3205" s="34"/>
      <c r="X3205" s="34"/>
      <c r="Y3205" s="3"/>
      <c r="Z3205" s="3"/>
      <c r="AA3205" s="3"/>
      <c r="AB3205" s="3"/>
      <c r="AC3205" s="3"/>
      <c r="AD3205" s="3"/>
      <c r="AE3205" s="3"/>
      <c r="AF3205" s="3"/>
      <c r="AG3205" s="3"/>
      <c r="AH3205" s="3"/>
      <c r="AI3205" s="3"/>
      <c r="AJ3205" s="3"/>
      <c r="AK3205" s="3"/>
      <c r="AL3205" s="3"/>
    </row>
    <row r="3206" ht="15.75" customHeight="1">
      <c r="A3206" s="248"/>
      <c r="B3206" s="249" t="s">
        <v>11158</v>
      </c>
      <c r="C3206" s="248" t="s">
        <v>11159</v>
      </c>
      <c r="D3206" s="250" t="s">
        <v>11160</v>
      </c>
      <c r="E3206" s="251"/>
      <c r="F3206" s="249" t="s">
        <v>29</v>
      </c>
      <c r="G3206" s="249" t="s">
        <v>30</v>
      </c>
      <c r="H3206" s="251"/>
      <c r="I3206" s="249" t="s">
        <v>30</v>
      </c>
      <c r="J3206" s="249">
        <v>227.0</v>
      </c>
      <c r="K3206" s="251"/>
      <c r="L3206" s="249" t="s">
        <v>11161</v>
      </c>
      <c r="M3206" s="249" t="s">
        <v>11162</v>
      </c>
      <c r="N3206" s="249">
        <v>1988.0</v>
      </c>
      <c r="O3206" s="251"/>
      <c r="P3206" s="249">
        <v>1.0</v>
      </c>
      <c r="Q3206" s="249">
        <v>1.0</v>
      </c>
      <c r="R3206" s="252"/>
      <c r="S3206" s="34"/>
      <c r="T3206" s="34"/>
      <c r="U3206" s="34"/>
      <c r="V3206" s="34"/>
      <c r="W3206" s="34"/>
      <c r="X3206" s="34"/>
      <c r="Y3206" s="3"/>
      <c r="Z3206" s="3"/>
      <c r="AA3206" s="3"/>
      <c r="AB3206" s="3"/>
      <c r="AC3206" s="3"/>
      <c r="AD3206" s="3"/>
      <c r="AE3206" s="3"/>
      <c r="AF3206" s="3"/>
      <c r="AG3206" s="3"/>
      <c r="AH3206" s="3"/>
      <c r="AI3206" s="3"/>
      <c r="AJ3206" s="3"/>
      <c r="AK3206" s="3"/>
      <c r="AL3206" s="3"/>
    </row>
    <row r="3207" ht="15.75" customHeight="1">
      <c r="A3207" s="248"/>
      <c r="B3207" s="249" t="s">
        <v>11163</v>
      </c>
      <c r="C3207" s="248" t="s">
        <v>11164</v>
      </c>
      <c r="D3207" s="250" t="s">
        <v>11165</v>
      </c>
      <c r="E3207" s="251"/>
      <c r="F3207" s="249" t="s">
        <v>29</v>
      </c>
      <c r="G3207" s="249" t="s">
        <v>11166</v>
      </c>
      <c r="H3207" s="251"/>
      <c r="I3207" s="249" t="s">
        <v>38</v>
      </c>
      <c r="J3207" s="249">
        <v>172.0</v>
      </c>
      <c r="K3207" s="251"/>
      <c r="L3207" s="249" t="s">
        <v>11167</v>
      </c>
      <c r="M3207" s="249" t="s">
        <v>11168</v>
      </c>
      <c r="N3207" s="249">
        <v>2022.0</v>
      </c>
      <c r="O3207" s="251"/>
      <c r="P3207" s="249">
        <v>1.0</v>
      </c>
      <c r="Q3207" s="249">
        <v>1.0</v>
      </c>
      <c r="R3207" s="252"/>
      <c r="S3207" s="34"/>
      <c r="T3207" s="34"/>
      <c r="U3207" s="34"/>
      <c r="V3207" s="34"/>
      <c r="W3207" s="34"/>
      <c r="X3207" s="34"/>
      <c r="Y3207" s="3"/>
      <c r="Z3207" s="3"/>
      <c r="AA3207" s="3"/>
      <c r="AB3207" s="3"/>
      <c r="AC3207" s="3"/>
      <c r="AD3207" s="3"/>
      <c r="AE3207" s="3"/>
      <c r="AF3207" s="3"/>
      <c r="AG3207" s="3"/>
      <c r="AH3207" s="3"/>
      <c r="AI3207" s="3"/>
      <c r="AJ3207" s="3"/>
      <c r="AK3207" s="3"/>
      <c r="AL3207" s="3"/>
    </row>
    <row r="3208" ht="15.75" customHeight="1">
      <c r="A3208" s="248"/>
      <c r="B3208" s="251"/>
      <c r="C3208" s="248" t="s">
        <v>11169</v>
      </c>
      <c r="D3208" s="250" t="s">
        <v>11170</v>
      </c>
      <c r="E3208" s="251"/>
      <c r="F3208" s="249" t="s">
        <v>29</v>
      </c>
      <c r="G3208" s="249" t="s">
        <v>37</v>
      </c>
      <c r="H3208" s="251"/>
      <c r="I3208" s="249" t="s">
        <v>30</v>
      </c>
      <c r="J3208" s="249">
        <v>555.0</v>
      </c>
      <c r="K3208" s="251"/>
      <c r="L3208" s="249" t="s">
        <v>11171</v>
      </c>
      <c r="M3208" s="249" t="s">
        <v>11172</v>
      </c>
      <c r="N3208" s="249">
        <v>1992.0</v>
      </c>
      <c r="O3208" s="251"/>
      <c r="P3208" s="249">
        <v>1.0</v>
      </c>
      <c r="Q3208" s="249">
        <v>1.0</v>
      </c>
      <c r="R3208" s="252"/>
      <c r="S3208" s="34"/>
      <c r="T3208" s="34"/>
      <c r="U3208" s="34"/>
      <c r="V3208" s="34"/>
      <c r="W3208" s="34"/>
      <c r="X3208" s="34"/>
      <c r="Y3208" s="3"/>
      <c r="Z3208" s="3"/>
      <c r="AA3208" s="3"/>
      <c r="AB3208" s="3"/>
      <c r="AC3208" s="3"/>
      <c r="AD3208" s="3"/>
      <c r="AE3208" s="3"/>
      <c r="AF3208" s="3"/>
      <c r="AG3208" s="3"/>
      <c r="AH3208" s="3"/>
      <c r="AI3208" s="3"/>
      <c r="AJ3208" s="3"/>
      <c r="AK3208" s="3"/>
      <c r="AL3208" s="3"/>
    </row>
    <row r="3209" ht="15.75" customHeight="1">
      <c r="A3209" s="248"/>
      <c r="B3209" s="249" t="s">
        <v>11173</v>
      </c>
      <c r="C3209" s="248" t="s">
        <v>11174</v>
      </c>
      <c r="D3209" s="250" t="s">
        <v>11175</v>
      </c>
      <c r="E3209" s="251"/>
      <c r="F3209" s="249" t="s">
        <v>29</v>
      </c>
      <c r="G3209" s="249" t="s">
        <v>37</v>
      </c>
      <c r="H3209" s="251"/>
      <c r="I3209" s="249" t="s">
        <v>38</v>
      </c>
      <c r="J3209" s="249">
        <v>356.0</v>
      </c>
      <c r="K3209" s="251"/>
      <c r="L3209" s="249" t="s">
        <v>11176</v>
      </c>
      <c r="M3209" s="249" t="s">
        <v>11177</v>
      </c>
      <c r="N3209" s="249">
        <v>2013.0</v>
      </c>
      <c r="O3209" s="251"/>
      <c r="P3209" s="249">
        <v>1.0</v>
      </c>
      <c r="Q3209" s="249">
        <v>1.0</v>
      </c>
      <c r="R3209" s="252"/>
      <c r="S3209" s="253" t="s">
        <v>11178</v>
      </c>
      <c r="T3209" s="34"/>
      <c r="U3209" s="34"/>
      <c r="V3209" s="34"/>
      <c r="W3209" s="34"/>
      <c r="X3209" s="34"/>
      <c r="Y3209" s="3"/>
      <c r="Z3209" s="3"/>
      <c r="AA3209" s="3"/>
      <c r="AB3209" s="3"/>
      <c r="AC3209" s="3"/>
      <c r="AD3209" s="3"/>
      <c r="AE3209" s="3"/>
      <c r="AF3209" s="3"/>
      <c r="AG3209" s="3"/>
      <c r="AH3209" s="3"/>
      <c r="AI3209" s="3"/>
      <c r="AJ3209" s="3"/>
      <c r="AK3209" s="3"/>
      <c r="AL3209" s="3"/>
    </row>
    <row r="3210" ht="15.75" customHeight="1">
      <c r="A3210" s="248"/>
      <c r="B3210" s="249" t="s">
        <v>11179</v>
      </c>
      <c r="C3210" s="248" t="s">
        <v>11180</v>
      </c>
      <c r="D3210" s="250" t="s">
        <v>11181</v>
      </c>
      <c r="E3210" s="251"/>
      <c r="F3210" s="249" t="s">
        <v>29</v>
      </c>
      <c r="G3210" s="249" t="s">
        <v>30</v>
      </c>
      <c r="H3210" s="251"/>
      <c r="I3210" s="249" t="s">
        <v>30</v>
      </c>
      <c r="J3210" s="249">
        <v>476.0</v>
      </c>
      <c r="K3210" s="251"/>
      <c r="L3210" s="249" t="s">
        <v>11182</v>
      </c>
      <c r="M3210" s="249" t="s">
        <v>11183</v>
      </c>
      <c r="N3210" s="249">
        <v>2006.0</v>
      </c>
      <c r="O3210" s="251"/>
      <c r="P3210" s="249">
        <v>1.0</v>
      </c>
      <c r="Q3210" s="249">
        <v>1.0</v>
      </c>
      <c r="R3210" s="252"/>
      <c r="S3210" s="34"/>
      <c r="T3210" s="34"/>
      <c r="U3210" s="34"/>
      <c r="V3210" s="34"/>
      <c r="W3210" s="34"/>
      <c r="X3210" s="34"/>
      <c r="Y3210" s="3"/>
      <c r="Z3210" s="3"/>
      <c r="AA3210" s="3"/>
      <c r="AB3210" s="3"/>
      <c r="AC3210" s="3"/>
      <c r="AD3210" s="3"/>
      <c r="AE3210" s="3"/>
      <c r="AF3210" s="3"/>
      <c r="AG3210" s="3"/>
      <c r="AH3210" s="3"/>
      <c r="AI3210" s="3"/>
      <c r="AJ3210" s="3"/>
      <c r="AK3210" s="3"/>
      <c r="AL3210" s="3"/>
    </row>
    <row r="3211" ht="15.75" customHeight="1">
      <c r="A3211" s="248"/>
      <c r="B3211" s="249" t="s">
        <v>11184</v>
      </c>
      <c r="C3211" s="248" t="s">
        <v>11185</v>
      </c>
      <c r="D3211" s="250" t="s">
        <v>11186</v>
      </c>
      <c r="E3211" s="251"/>
      <c r="F3211" s="249" t="s">
        <v>29</v>
      </c>
      <c r="G3211" s="249" t="s">
        <v>37</v>
      </c>
      <c r="H3211" s="251"/>
      <c r="I3211" s="249" t="s">
        <v>38</v>
      </c>
      <c r="J3211" s="249">
        <v>303.0</v>
      </c>
      <c r="K3211" s="251"/>
      <c r="L3211" s="249" t="s">
        <v>11187</v>
      </c>
      <c r="M3211" s="249" t="s">
        <v>10580</v>
      </c>
      <c r="N3211" s="249">
        <v>2009.0</v>
      </c>
      <c r="O3211" s="251"/>
      <c r="P3211" s="249">
        <v>1.0</v>
      </c>
      <c r="Q3211" s="249">
        <v>1.0</v>
      </c>
      <c r="R3211" s="252"/>
      <c r="S3211" s="69"/>
      <c r="T3211" s="69"/>
      <c r="U3211" s="69"/>
      <c r="V3211" s="69"/>
      <c r="W3211" s="69"/>
      <c r="X3211" s="69"/>
      <c r="Y3211" s="255"/>
      <c r="Z3211" s="255"/>
      <c r="AA3211" s="255"/>
      <c r="AB3211" s="255"/>
      <c r="AC3211" s="255"/>
      <c r="AD3211" s="255"/>
      <c r="AE3211" s="255"/>
      <c r="AF3211" s="255"/>
      <c r="AG3211" s="255"/>
      <c r="AH3211" s="255"/>
      <c r="AI3211" s="255"/>
      <c r="AJ3211" s="255"/>
      <c r="AK3211" s="255"/>
      <c r="AL3211" s="255"/>
    </row>
    <row r="3212" ht="15.75" customHeight="1">
      <c r="A3212" s="248"/>
      <c r="B3212" s="249" t="s">
        <v>11188</v>
      </c>
      <c r="C3212" s="248" t="s">
        <v>11189</v>
      </c>
      <c r="D3212" s="250" t="s">
        <v>11190</v>
      </c>
      <c r="E3212" s="251"/>
      <c r="F3212" s="249" t="s">
        <v>29</v>
      </c>
      <c r="G3212" s="249" t="s">
        <v>30</v>
      </c>
      <c r="H3212" s="251"/>
      <c r="I3212" s="249" t="s">
        <v>30</v>
      </c>
      <c r="J3212" s="249">
        <v>542.0</v>
      </c>
      <c r="K3212" s="251"/>
      <c r="L3212" s="249" t="s">
        <v>11191</v>
      </c>
      <c r="M3212" s="249" t="s">
        <v>151</v>
      </c>
      <c r="N3212" s="249">
        <v>2011.0</v>
      </c>
      <c r="O3212" s="251"/>
      <c r="P3212" s="249">
        <v>1.0</v>
      </c>
      <c r="Q3212" s="249">
        <v>1.0</v>
      </c>
      <c r="R3212" s="252"/>
      <c r="S3212" s="69"/>
      <c r="T3212" s="69"/>
      <c r="U3212" s="69"/>
      <c r="V3212" s="69"/>
      <c r="W3212" s="69"/>
      <c r="X3212" s="69"/>
      <c r="Y3212" s="255"/>
      <c r="Z3212" s="255"/>
      <c r="AA3212" s="255"/>
      <c r="AB3212" s="255"/>
      <c r="AC3212" s="255"/>
      <c r="AD3212" s="255"/>
      <c r="AE3212" s="255"/>
      <c r="AF3212" s="255"/>
      <c r="AG3212" s="255"/>
      <c r="AH3212" s="255"/>
      <c r="AI3212" s="255"/>
      <c r="AJ3212" s="255"/>
      <c r="AK3212" s="255"/>
      <c r="AL3212" s="255"/>
    </row>
    <row r="3213" ht="15.75" customHeight="1">
      <c r="A3213" s="248"/>
      <c r="B3213" s="249" t="s">
        <v>11192</v>
      </c>
      <c r="C3213" s="248" t="s">
        <v>11193</v>
      </c>
      <c r="D3213" s="250" t="s">
        <v>11194</v>
      </c>
      <c r="E3213" s="251"/>
      <c r="F3213" s="249" t="s">
        <v>29</v>
      </c>
      <c r="G3213" s="249" t="s">
        <v>37</v>
      </c>
      <c r="H3213" s="251"/>
      <c r="I3213" s="249" t="s">
        <v>30</v>
      </c>
      <c r="J3213" s="249">
        <v>332.0</v>
      </c>
      <c r="K3213" s="251"/>
      <c r="L3213" s="249" t="s">
        <v>11195</v>
      </c>
      <c r="M3213" s="251"/>
      <c r="N3213" s="249">
        <v>2007.0</v>
      </c>
      <c r="O3213" s="251"/>
      <c r="P3213" s="249">
        <v>1.0</v>
      </c>
      <c r="Q3213" s="249">
        <v>1.0</v>
      </c>
      <c r="R3213" s="252"/>
      <c r="S3213" s="69"/>
      <c r="T3213" s="69"/>
      <c r="U3213" s="69"/>
      <c r="V3213" s="69"/>
      <c r="W3213" s="69"/>
      <c r="X3213" s="69"/>
      <c r="Y3213" s="255"/>
      <c r="Z3213" s="255"/>
      <c r="AA3213" s="255"/>
      <c r="AB3213" s="255"/>
      <c r="AC3213" s="255"/>
      <c r="AD3213" s="255"/>
      <c r="AE3213" s="255"/>
      <c r="AF3213" s="255"/>
      <c r="AG3213" s="255"/>
      <c r="AH3213" s="255"/>
      <c r="AI3213" s="255"/>
      <c r="AJ3213" s="255"/>
      <c r="AK3213" s="255"/>
      <c r="AL3213" s="255"/>
    </row>
    <row r="3214" ht="15.75" customHeight="1">
      <c r="A3214" s="248"/>
      <c r="B3214" s="249" t="s">
        <v>8291</v>
      </c>
      <c r="C3214" s="248" t="s">
        <v>11196</v>
      </c>
      <c r="D3214" s="250" t="s">
        <v>11197</v>
      </c>
      <c r="E3214" s="251"/>
      <c r="F3214" s="249" t="s">
        <v>29</v>
      </c>
      <c r="G3214" s="249" t="s">
        <v>131</v>
      </c>
      <c r="H3214" s="251"/>
      <c r="I3214" s="249" t="s">
        <v>30</v>
      </c>
      <c r="J3214" s="249">
        <v>130.0</v>
      </c>
      <c r="K3214" s="251"/>
      <c r="L3214" s="249" t="s">
        <v>11198</v>
      </c>
      <c r="M3214" s="249" t="s">
        <v>151</v>
      </c>
      <c r="N3214" s="249">
        <v>1994.0</v>
      </c>
      <c r="O3214" s="251"/>
      <c r="P3214" s="249">
        <v>1.0</v>
      </c>
      <c r="Q3214" s="249">
        <v>1.0</v>
      </c>
      <c r="R3214" s="252"/>
      <c r="S3214" s="69"/>
      <c r="T3214" s="69"/>
      <c r="U3214" s="69"/>
      <c r="V3214" s="69"/>
      <c r="W3214" s="69"/>
      <c r="X3214" s="69"/>
      <c r="Y3214" s="255"/>
      <c r="Z3214" s="255"/>
      <c r="AA3214" s="255"/>
      <c r="AB3214" s="255"/>
      <c r="AC3214" s="255"/>
      <c r="AD3214" s="255"/>
      <c r="AE3214" s="255"/>
      <c r="AF3214" s="255"/>
      <c r="AG3214" s="255"/>
      <c r="AH3214" s="255"/>
      <c r="AI3214" s="255"/>
      <c r="AJ3214" s="255"/>
      <c r="AK3214" s="255"/>
      <c r="AL3214" s="255"/>
    </row>
    <row r="3215" ht="15.75" customHeight="1">
      <c r="A3215" s="248"/>
      <c r="B3215" s="249" t="s">
        <v>11199</v>
      </c>
      <c r="C3215" s="248" t="s">
        <v>11200</v>
      </c>
      <c r="D3215" s="250" t="s">
        <v>11201</v>
      </c>
      <c r="E3215" s="251"/>
      <c r="F3215" s="249" t="s">
        <v>29</v>
      </c>
      <c r="G3215" s="249" t="s">
        <v>11144</v>
      </c>
      <c r="H3215" s="251"/>
      <c r="I3215" s="249" t="s">
        <v>30</v>
      </c>
      <c r="J3215" s="249">
        <v>524.0</v>
      </c>
      <c r="K3215" s="251"/>
      <c r="L3215" s="249" t="s">
        <v>11202</v>
      </c>
      <c r="M3215" s="249" t="s">
        <v>4762</v>
      </c>
      <c r="N3215" s="249">
        <v>2009.0</v>
      </c>
      <c r="O3215" s="251"/>
      <c r="P3215" s="249">
        <v>1.0</v>
      </c>
      <c r="Q3215" s="249">
        <v>1.0</v>
      </c>
      <c r="R3215" s="252"/>
      <c r="S3215" s="69"/>
      <c r="T3215" s="69"/>
      <c r="U3215" s="69"/>
      <c r="V3215" s="69"/>
      <c r="W3215" s="69"/>
      <c r="X3215" s="69"/>
      <c r="Y3215" s="255"/>
      <c r="Z3215" s="255"/>
      <c r="AA3215" s="255"/>
      <c r="AB3215" s="255"/>
      <c r="AC3215" s="255"/>
      <c r="AD3215" s="255"/>
      <c r="AE3215" s="255"/>
      <c r="AF3215" s="255"/>
      <c r="AG3215" s="255"/>
      <c r="AH3215" s="255"/>
      <c r="AI3215" s="255"/>
      <c r="AJ3215" s="255"/>
      <c r="AK3215" s="255"/>
      <c r="AL3215" s="255"/>
    </row>
    <row r="3216" ht="15.75" customHeight="1">
      <c r="A3216" s="248"/>
      <c r="B3216" s="249" t="s">
        <v>11203</v>
      </c>
      <c r="C3216" s="248" t="s">
        <v>11204</v>
      </c>
      <c r="D3216" s="250" t="s">
        <v>11205</v>
      </c>
      <c r="E3216" s="251"/>
      <c r="F3216" s="249" t="s">
        <v>29</v>
      </c>
      <c r="G3216" s="249" t="s">
        <v>30</v>
      </c>
      <c r="H3216" s="251"/>
      <c r="I3216" s="249" t="s">
        <v>30</v>
      </c>
      <c r="J3216" s="249">
        <v>192.0</v>
      </c>
      <c r="K3216" s="251"/>
      <c r="L3216" s="249" t="s">
        <v>11206</v>
      </c>
      <c r="M3216" s="249" t="s">
        <v>544</v>
      </c>
      <c r="N3216" s="249">
        <v>2008.0</v>
      </c>
      <c r="O3216" s="251"/>
      <c r="P3216" s="249">
        <v>1.0</v>
      </c>
      <c r="Q3216" s="249">
        <v>1.0</v>
      </c>
      <c r="R3216" s="252"/>
      <c r="S3216" s="69"/>
      <c r="T3216" s="69"/>
      <c r="U3216" s="69"/>
      <c r="V3216" s="69"/>
      <c r="W3216" s="69"/>
      <c r="X3216" s="69"/>
      <c r="Y3216" s="255"/>
      <c r="Z3216" s="255"/>
      <c r="AA3216" s="255"/>
      <c r="AB3216" s="255"/>
      <c r="AC3216" s="255"/>
      <c r="AD3216" s="255"/>
      <c r="AE3216" s="255"/>
      <c r="AF3216" s="255"/>
      <c r="AG3216" s="255"/>
      <c r="AH3216" s="255"/>
      <c r="AI3216" s="255"/>
      <c r="AJ3216" s="255"/>
      <c r="AK3216" s="255"/>
      <c r="AL3216" s="255"/>
    </row>
    <row r="3217" ht="15.75" customHeight="1">
      <c r="A3217" s="248"/>
      <c r="B3217" s="249" t="s">
        <v>11207</v>
      </c>
      <c r="C3217" s="248" t="s">
        <v>11208</v>
      </c>
      <c r="D3217" s="250" t="s">
        <v>11209</v>
      </c>
      <c r="E3217" s="251"/>
      <c r="F3217" s="249" t="s">
        <v>29</v>
      </c>
      <c r="G3217" s="249" t="s">
        <v>37</v>
      </c>
      <c r="H3217" s="251"/>
      <c r="I3217" s="249" t="s">
        <v>30</v>
      </c>
      <c r="J3217" s="249">
        <v>168.0</v>
      </c>
      <c r="K3217" s="251"/>
      <c r="L3217" s="249" t="s">
        <v>10485</v>
      </c>
      <c r="M3217" s="249" t="s">
        <v>4107</v>
      </c>
      <c r="N3217" s="249">
        <v>2002.0</v>
      </c>
      <c r="O3217" s="251"/>
      <c r="P3217" s="249">
        <v>1.0</v>
      </c>
      <c r="Q3217" s="249">
        <v>1.0</v>
      </c>
      <c r="R3217" s="252"/>
      <c r="S3217" s="69"/>
      <c r="T3217" s="69"/>
      <c r="U3217" s="69"/>
      <c r="V3217" s="69"/>
      <c r="W3217" s="69"/>
      <c r="X3217" s="69"/>
      <c r="Y3217" s="255"/>
      <c r="Z3217" s="255"/>
      <c r="AA3217" s="255"/>
      <c r="AB3217" s="255"/>
      <c r="AC3217" s="255"/>
      <c r="AD3217" s="255"/>
      <c r="AE3217" s="255"/>
      <c r="AF3217" s="255"/>
      <c r="AG3217" s="255"/>
      <c r="AH3217" s="255"/>
      <c r="AI3217" s="255"/>
      <c r="AJ3217" s="255"/>
      <c r="AK3217" s="255"/>
      <c r="AL3217" s="255"/>
    </row>
    <row r="3218" ht="15.75" customHeight="1">
      <c r="A3218" s="248"/>
      <c r="B3218" s="249" t="s">
        <v>11210</v>
      </c>
      <c r="C3218" s="248" t="s">
        <v>11211</v>
      </c>
      <c r="D3218" s="250" t="s">
        <v>11212</v>
      </c>
      <c r="E3218" s="251"/>
      <c r="F3218" s="249" t="s">
        <v>29</v>
      </c>
      <c r="G3218" s="249" t="s">
        <v>37</v>
      </c>
      <c r="H3218" s="251"/>
      <c r="I3218" s="249" t="s">
        <v>38</v>
      </c>
      <c r="J3218" s="249">
        <v>292.0</v>
      </c>
      <c r="K3218" s="251"/>
      <c r="L3218" s="249" t="s">
        <v>11213</v>
      </c>
      <c r="M3218" s="249" t="s">
        <v>11214</v>
      </c>
      <c r="N3218" s="249">
        <v>1981.0</v>
      </c>
      <c r="O3218" s="251"/>
      <c r="P3218" s="249">
        <v>1.0</v>
      </c>
      <c r="Q3218" s="249">
        <v>1.0</v>
      </c>
      <c r="R3218" s="252"/>
      <c r="S3218" s="69"/>
      <c r="T3218" s="69"/>
      <c r="U3218" s="69"/>
      <c r="V3218" s="69"/>
      <c r="W3218" s="69"/>
      <c r="X3218" s="69"/>
      <c r="Y3218" s="255"/>
      <c r="Z3218" s="255"/>
      <c r="AA3218" s="255"/>
      <c r="AB3218" s="255"/>
      <c r="AC3218" s="255"/>
      <c r="AD3218" s="255"/>
      <c r="AE3218" s="255"/>
      <c r="AF3218" s="255"/>
      <c r="AG3218" s="255"/>
      <c r="AH3218" s="255"/>
      <c r="AI3218" s="255"/>
      <c r="AJ3218" s="255"/>
      <c r="AK3218" s="255"/>
      <c r="AL3218" s="255"/>
    </row>
    <row r="3219" ht="15.75" customHeight="1">
      <c r="A3219" s="248"/>
      <c r="B3219" s="251"/>
      <c r="C3219" s="248" t="s">
        <v>11215</v>
      </c>
      <c r="D3219" s="250" t="s">
        <v>11216</v>
      </c>
      <c r="E3219" s="251"/>
      <c r="F3219" s="249" t="s">
        <v>29</v>
      </c>
      <c r="G3219" s="249" t="s">
        <v>37</v>
      </c>
      <c r="H3219" s="251"/>
      <c r="I3219" s="249" t="s">
        <v>30</v>
      </c>
      <c r="J3219" s="249">
        <v>43.0</v>
      </c>
      <c r="K3219" s="251"/>
      <c r="L3219" s="249" t="s">
        <v>11217</v>
      </c>
      <c r="M3219" s="249" t="s">
        <v>3501</v>
      </c>
      <c r="N3219" s="249">
        <v>2000.0</v>
      </c>
      <c r="O3219" s="251"/>
      <c r="P3219" s="249">
        <v>1.0</v>
      </c>
      <c r="Q3219" s="249">
        <v>1.0</v>
      </c>
      <c r="R3219" s="252"/>
      <c r="S3219" s="69"/>
      <c r="T3219" s="69"/>
      <c r="U3219" s="69"/>
      <c r="V3219" s="69"/>
      <c r="W3219" s="69"/>
      <c r="X3219" s="69"/>
      <c r="Y3219" s="255"/>
      <c r="Z3219" s="255"/>
      <c r="AA3219" s="255"/>
      <c r="AB3219" s="255"/>
      <c r="AC3219" s="255"/>
      <c r="AD3219" s="255"/>
      <c r="AE3219" s="255"/>
      <c r="AF3219" s="255"/>
      <c r="AG3219" s="255"/>
      <c r="AH3219" s="255"/>
      <c r="AI3219" s="255"/>
      <c r="AJ3219" s="255"/>
      <c r="AK3219" s="255"/>
      <c r="AL3219" s="255"/>
    </row>
    <row r="3220" ht="15.75" customHeight="1">
      <c r="A3220" s="248"/>
      <c r="B3220" s="249" t="s">
        <v>11218</v>
      </c>
      <c r="C3220" s="248" t="s">
        <v>11219</v>
      </c>
      <c r="D3220" s="250" t="s">
        <v>11220</v>
      </c>
      <c r="E3220" s="251"/>
      <c r="F3220" s="249" t="s">
        <v>29</v>
      </c>
      <c r="G3220" s="249" t="s">
        <v>37</v>
      </c>
      <c r="H3220" s="251"/>
      <c r="I3220" s="249" t="s">
        <v>30</v>
      </c>
      <c r="J3220" s="249">
        <v>338.0</v>
      </c>
      <c r="K3220" s="251"/>
      <c r="L3220" s="249" t="s">
        <v>2767</v>
      </c>
      <c r="M3220" s="249" t="s">
        <v>151</v>
      </c>
      <c r="N3220" s="249">
        <v>2010.0</v>
      </c>
      <c r="O3220" s="251"/>
      <c r="P3220" s="249">
        <v>1.0</v>
      </c>
      <c r="Q3220" s="249">
        <v>1.0</v>
      </c>
      <c r="R3220" s="252"/>
      <c r="S3220" s="69"/>
      <c r="T3220" s="69"/>
      <c r="U3220" s="69"/>
      <c r="V3220" s="69"/>
      <c r="W3220" s="69"/>
      <c r="X3220" s="69"/>
      <c r="Y3220" s="255"/>
      <c r="Z3220" s="255"/>
      <c r="AA3220" s="255"/>
      <c r="AB3220" s="255"/>
      <c r="AC3220" s="255"/>
      <c r="AD3220" s="255"/>
      <c r="AE3220" s="255"/>
      <c r="AF3220" s="255"/>
      <c r="AG3220" s="255"/>
      <c r="AH3220" s="255"/>
      <c r="AI3220" s="255"/>
      <c r="AJ3220" s="255"/>
      <c r="AK3220" s="255"/>
      <c r="AL3220" s="255"/>
    </row>
    <row r="3221" ht="15.75" customHeight="1">
      <c r="A3221" s="248"/>
      <c r="B3221" s="249" t="s">
        <v>11221</v>
      </c>
      <c r="C3221" s="248" t="s">
        <v>11222</v>
      </c>
      <c r="D3221" s="250" t="s">
        <v>11223</v>
      </c>
      <c r="E3221" s="251"/>
      <c r="F3221" s="249" t="s">
        <v>29</v>
      </c>
      <c r="G3221" s="249" t="s">
        <v>37</v>
      </c>
      <c r="H3221" s="251"/>
      <c r="I3221" s="249" t="s">
        <v>38</v>
      </c>
      <c r="J3221" s="249">
        <v>330.0</v>
      </c>
      <c r="K3221" s="251"/>
      <c r="L3221" s="249" t="s">
        <v>11224</v>
      </c>
      <c r="M3221" s="249" t="s">
        <v>11225</v>
      </c>
      <c r="N3221" s="249">
        <v>1971.0</v>
      </c>
      <c r="O3221" s="251"/>
      <c r="P3221" s="249">
        <v>1.0</v>
      </c>
      <c r="Q3221" s="249">
        <v>1.0</v>
      </c>
      <c r="R3221" s="252"/>
      <c r="S3221" s="69"/>
      <c r="T3221" s="69"/>
      <c r="U3221" s="69"/>
      <c r="V3221" s="69"/>
      <c r="W3221" s="69"/>
      <c r="X3221" s="69"/>
      <c r="Y3221" s="255"/>
      <c r="Z3221" s="255"/>
      <c r="AA3221" s="255"/>
      <c r="AB3221" s="255"/>
      <c r="AC3221" s="255"/>
      <c r="AD3221" s="255"/>
      <c r="AE3221" s="255"/>
      <c r="AF3221" s="255"/>
      <c r="AG3221" s="255"/>
      <c r="AH3221" s="255"/>
      <c r="AI3221" s="255"/>
      <c r="AJ3221" s="255"/>
      <c r="AK3221" s="255"/>
      <c r="AL3221" s="255"/>
    </row>
    <row r="3222" ht="15.75" customHeight="1">
      <c r="A3222" s="248"/>
      <c r="B3222" s="249" t="s">
        <v>11226</v>
      </c>
      <c r="C3222" s="248" t="s">
        <v>11227</v>
      </c>
      <c r="D3222" s="250" t="s">
        <v>11228</v>
      </c>
      <c r="E3222" s="251"/>
      <c r="F3222" s="249" t="s">
        <v>29</v>
      </c>
      <c r="G3222" s="249" t="s">
        <v>37</v>
      </c>
      <c r="H3222" s="251"/>
      <c r="I3222" s="249" t="s">
        <v>38</v>
      </c>
      <c r="J3222" s="249">
        <v>333.0</v>
      </c>
      <c r="K3222" s="251"/>
      <c r="L3222" s="249" t="s">
        <v>11229</v>
      </c>
      <c r="M3222" s="249" t="s">
        <v>11230</v>
      </c>
      <c r="N3222" s="249">
        <v>1992.0</v>
      </c>
      <c r="O3222" s="251"/>
      <c r="P3222" s="249">
        <v>1.0</v>
      </c>
      <c r="Q3222" s="249">
        <v>1.0</v>
      </c>
      <c r="R3222" s="252"/>
      <c r="S3222" s="69"/>
      <c r="T3222" s="69"/>
      <c r="U3222" s="69"/>
      <c r="V3222" s="69"/>
      <c r="W3222" s="69"/>
      <c r="X3222" s="69"/>
      <c r="Y3222" s="255"/>
      <c r="Z3222" s="255"/>
      <c r="AA3222" s="255"/>
      <c r="AB3222" s="255"/>
      <c r="AC3222" s="255"/>
      <c r="AD3222" s="255"/>
      <c r="AE3222" s="255"/>
      <c r="AF3222" s="255"/>
      <c r="AG3222" s="255"/>
      <c r="AH3222" s="255"/>
      <c r="AI3222" s="255"/>
      <c r="AJ3222" s="255"/>
      <c r="AK3222" s="255"/>
      <c r="AL3222" s="255"/>
    </row>
    <row r="3223" ht="15.75" customHeight="1">
      <c r="A3223" s="248"/>
      <c r="B3223" s="249" t="s">
        <v>11231</v>
      </c>
      <c r="C3223" s="248" t="s">
        <v>11232</v>
      </c>
      <c r="D3223" s="250" t="s">
        <v>11233</v>
      </c>
      <c r="E3223" s="251"/>
      <c r="F3223" s="249" t="s">
        <v>29</v>
      </c>
      <c r="G3223" s="249" t="s">
        <v>11234</v>
      </c>
      <c r="H3223" s="251"/>
      <c r="I3223" s="249" t="s">
        <v>30</v>
      </c>
      <c r="J3223" s="249">
        <v>402.0</v>
      </c>
      <c r="K3223" s="251"/>
      <c r="L3223" s="249" t="s">
        <v>11235</v>
      </c>
      <c r="M3223" s="249" t="s">
        <v>11236</v>
      </c>
      <c r="N3223" s="249">
        <v>2011.0</v>
      </c>
      <c r="O3223" s="251"/>
      <c r="P3223" s="249">
        <v>1.0</v>
      </c>
      <c r="Q3223" s="249">
        <v>1.0</v>
      </c>
      <c r="R3223" s="252"/>
      <c r="S3223" s="69"/>
      <c r="T3223" s="69"/>
      <c r="U3223" s="69"/>
      <c r="V3223" s="69"/>
      <c r="W3223" s="69"/>
      <c r="X3223" s="69"/>
      <c r="Y3223" s="255"/>
      <c r="Z3223" s="255"/>
      <c r="AA3223" s="255"/>
      <c r="AB3223" s="255"/>
      <c r="AC3223" s="255"/>
      <c r="AD3223" s="255"/>
      <c r="AE3223" s="255"/>
      <c r="AF3223" s="255"/>
      <c r="AG3223" s="255"/>
      <c r="AH3223" s="255"/>
      <c r="AI3223" s="255"/>
      <c r="AJ3223" s="255"/>
      <c r="AK3223" s="255"/>
      <c r="AL3223" s="255"/>
    </row>
    <row r="3224" ht="15.75" customHeight="1">
      <c r="A3224" s="248"/>
      <c r="B3224" s="249" t="s">
        <v>11237</v>
      </c>
      <c r="C3224" s="248" t="s">
        <v>11238</v>
      </c>
      <c r="D3224" s="250" t="s">
        <v>11239</v>
      </c>
      <c r="E3224" s="251"/>
      <c r="F3224" s="249" t="s">
        <v>29</v>
      </c>
      <c r="G3224" s="249" t="s">
        <v>37</v>
      </c>
      <c r="H3224" s="251"/>
      <c r="I3224" s="249" t="s">
        <v>38</v>
      </c>
      <c r="J3224" s="249">
        <v>428.0</v>
      </c>
      <c r="K3224" s="251"/>
      <c r="L3224" s="249" t="s">
        <v>2873</v>
      </c>
      <c r="M3224" s="249" t="s">
        <v>11240</v>
      </c>
      <c r="N3224" s="249">
        <v>1982.0</v>
      </c>
      <c r="O3224" s="251"/>
      <c r="P3224" s="249">
        <v>1.0</v>
      </c>
      <c r="Q3224" s="249">
        <v>1.0</v>
      </c>
      <c r="R3224" s="252"/>
      <c r="S3224" s="69"/>
      <c r="T3224" s="69"/>
      <c r="U3224" s="69"/>
      <c r="V3224" s="69"/>
      <c r="W3224" s="69"/>
      <c r="X3224" s="69"/>
      <c r="Y3224" s="255"/>
      <c r="Z3224" s="255"/>
      <c r="AA3224" s="255"/>
      <c r="AB3224" s="255"/>
      <c r="AC3224" s="255"/>
      <c r="AD3224" s="255"/>
      <c r="AE3224" s="255"/>
      <c r="AF3224" s="255"/>
      <c r="AG3224" s="255"/>
      <c r="AH3224" s="255"/>
      <c r="AI3224" s="255"/>
      <c r="AJ3224" s="255"/>
      <c r="AK3224" s="255"/>
      <c r="AL3224" s="255"/>
    </row>
    <row r="3225" ht="15.75" customHeight="1">
      <c r="A3225" s="248"/>
      <c r="B3225" s="249" t="s">
        <v>11241</v>
      </c>
      <c r="C3225" s="248" t="s">
        <v>11242</v>
      </c>
      <c r="D3225" s="250" t="s">
        <v>11243</v>
      </c>
      <c r="E3225" s="251"/>
      <c r="F3225" s="249" t="s">
        <v>29</v>
      </c>
      <c r="G3225" s="249" t="s">
        <v>30</v>
      </c>
      <c r="H3225" s="251"/>
      <c r="I3225" s="249" t="s">
        <v>30</v>
      </c>
      <c r="J3225" s="249">
        <v>85.0</v>
      </c>
      <c r="K3225" s="251"/>
      <c r="L3225" s="249" t="s">
        <v>4883</v>
      </c>
      <c r="M3225" s="249" t="s">
        <v>151</v>
      </c>
      <c r="N3225" s="249">
        <v>2008.0</v>
      </c>
      <c r="O3225" s="251"/>
      <c r="P3225" s="249">
        <v>1.0</v>
      </c>
      <c r="Q3225" s="249">
        <v>1.0</v>
      </c>
      <c r="R3225" s="252"/>
      <c r="S3225" s="69"/>
      <c r="T3225" s="69"/>
      <c r="U3225" s="69"/>
      <c r="V3225" s="69"/>
      <c r="W3225" s="69"/>
      <c r="X3225" s="69"/>
      <c r="Y3225" s="255"/>
      <c r="Z3225" s="255"/>
      <c r="AA3225" s="255"/>
      <c r="AB3225" s="255"/>
      <c r="AC3225" s="255"/>
      <c r="AD3225" s="255"/>
      <c r="AE3225" s="255"/>
      <c r="AF3225" s="255"/>
      <c r="AG3225" s="255"/>
      <c r="AH3225" s="255"/>
      <c r="AI3225" s="255"/>
      <c r="AJ3225" s="255"/>
      <c r="AK3225" s="255"/>
      <c r="AL3225" s="255"/>
    </row>
    <row r="3226" ht="15.75" customHeight="1">
      <c r="A3226" s="248"/>
      <c r="B3226" s="251"/>
      <c r="C3226" s="248" t="s">
        <v>11244</v>
      </c>
      <c r="D3226" s="250" t="s">
        <v>11245</v>
      </c>
      <c r="E3226" s="251"/>
      <c r="F3226" s="249" t="s">
        <v>29</v>
      </c>
      <c r="G3226" s="249" t="s">
        <v>11144</v>
      </c>
      <c r="H3226" s="251"/>
      <c r="I3226" s="249" t="s">
        <v>30</v>
      </c>
      <c r="J3226" s="249">
        <v>273.0</v>
      </c>
      <c r="K3226" s="251"/>
      <c r="L3226" s="249" t="s">
        <v>11246</v>
      </c>
      <c r="M3226" s="249" t="s">
        <v>11247</v>
      </c>
      <c r="N3226" s="249">
        <v>2005.0</v>
      </c>
      <c r="O3226" s="251"/>
      <c r="P3226" s="249">
        <v>1.0</v>
      </c>
      <c r="Q3226" s="249">
        <v>1.0</v>
      </c>
      <c r="R3226" s="252"/>
      <c r="S3226" s="69"/>
      <c r="T3226" s="69"/>
      <c r="U3226" s="69"/>
      <c r="V3226" s="69"/>
      <c r="W3226" s="69"/>
      <c r="X3226" s="69"/>
      <c r="Y3226" s="255"/>
      <c r="Z3226" s="255"/>
      <c r="AA3226" s="255"/>
      <c r="AB3226" s="255"/>
      <c r="AC3226" s="255"/>
      <c r="AD3226" s="255"/>
      <c r="AE3226" s="255"/>
      <c r="AF3226" s="255"/>
      <c r="AG3226" s="255"/>
      <c r="AH3226" s="255"/>
      <c r="AI3226" s="255"/>
      <c r="AJ3226" s="255"/>
      <c r="AK3226" s="255"/>
      <c r="AL3226" s="255"/>
    </row>
    <row r="3227" ht="15.75" customHeight="1">
      <c r="A3227" s="248"/>
      <c r="B3227" s="249" t="s">
        <v>11248</v>
      </c>
      <c r="C3227" s="248" t="s">
        <v>11249</v>
      </c>
      <c r="D3227" s="250" t="s">
        <v>11250</v>
      </c>
      <c r="E3227" s="251"/>
      <c r="F3227" s="249" t="s">
        <v>29</v>
      </c>
      <c r="G3227" s="249" t="s">
        <v>11144</v>
      </c>
      <c r="H3227" s="251"/>
      <c r="I3227" s="249" t="s">
        <v>38</v>
      </c>
      <c r="J3227" s="249">
        <v>158.0</v>
      </c>
      <c r="K3227" s="251"/>
      <c r="L3227" s="249" t="s">
        <v>8822</v>
      </c>
      <c r="M3227" s="249" t="s">
        <v>11251</v>
      </c>
      <c r="N3227" s="249">
        <v>1997.0</v>
      </c>
      <c r="O3227" s="251"/>
      <c r="P3227" s="249">
        <v>1.0</v>
      </c>
      <c r="Q3227" s="249">
        <v>1.0</v>
      </c>
      <c r="R3227" s="252"/>
      <c r="S3227" s="69"/>
      <c r="T3227" s="69"/>
      <c r="U3227" s="69"/>
      <c r="V3227" s="69"/>
      <c r="W3227" s="69"/>
      <c r="X3227" s="69"/>
      <c r="Y3227" s="255"/>
      <c r="Z3227" s="255"/>
      <c r="AA3227" s="255"/>
      <c r="AB3227" s="255"/>
      <c r="AC3227" s="255"/>
      <c r="AD3227" s="255"/>
      <c r="AE3227" s="255"/>
      <c r="AF3227" s="255"/>
      <c r="AG3227" s="255"/>
      <c r="AH3227" s="255"/>
      <c r="AI3227" s="255"/>
      <c r="AJ3227" s="255"/>
      <c r="AK3227" s="255"/>
      <c r="AL3227" s="255"/>
    </row>
    <row r="3228" ht="15.75" customHeight="1">
      <c r="A3228" s="248"/>
      <c r="B3228" s="251"/>
      <c r="C3228" s="248" t="s">
        <v>11252</v>
      </c>
      <c r="D3228" s="250" t="s">
        <v>11253</v>
      </c>
      <c r="E3228" s="251"/>
      <c r="F3228" s="249" t="s">
        <v>29</v>
      </c>
      <c r="G3228" s="249" t="s">
        <v>37</v>
      </c>
      <c r="H3228" s="251"/>
      <c r="I3228" s="249" t="s">
        <v>38</v>
      </c>
      <c r="J3228" s="249">
        <v>487.0</v>
      </c>
      <c r="K3228" s="251"/>
      <c r="L3228" s="249" t="s">
        <v>11254</v>
      </c>
      <c r="M3228" s="249" t="s">
        <v>11255</v>
      </c>
      <c r="N3228" s="251"/>
      <c r="O3228" s="251"/>
      <c r="P3228" s="249">
        <v>1.0</v>
      </c>
      <c r="Q3228" s="249">
        <v>1.0</v>
      </c>
      <c r="R3228" s="252"/>
      <c r="S3228" s="69"/>
      <c r="T3228" s="69"/>
      <c r="U3228" s="69"/>
      <c r="V3228" s="69"/>
      <c r="W3228" s="69"/>
      <c r="X3228" s="69"/>
      <c r="Y3228" s="255"/>
      <c r="Z3228" s="255"/>
      <c r="AA3228" s="255"/>
      <c r="AB3228" s="255"/>
      <c r="AC3228" s="255"/>
      <c r="AD3228" s="255"/>
      <c r="AE3228" s="255"/>
      <c r="AF3228" s="255"/>
      <c r="AG3228" s="255"/>
      <c r="AH3228" s="255"/>
      <c r="AI3228" s="255"/>
      <c r="AJ3228" s="255"/>
      <c r="AK3228" s="255"/>
      <c r="AL3228" s="255"/>
    </row>
    <row r="3229" ht="15.75" customHeight="1">
      <c r="A3229" s="248"/>
      <c r="B3229" s="249" t="s">
        <v>11256</v>
      </c>
      <c r="C3229" s="256" t="s">
        <v>11257</v>
      </c>
      <c r="D3229" s="250" t="s">
        <v>11258</v>
      </c>
      <c r="E3229" s="251"/>
      <c r="F3229" s="249" t="s">
        <v>29</v>
      </c>
      <c r="G3229" s="249" t="s">
        <v>11144</v>
      </c>
      <c r="H3229" s="251"/>
      <c r="I3229" s="249" t="s">
        <v>38</v>
      </c>
      <c r="J3229" s="249">
        <v>405.0</v>
      </c>
      <c r="K3229" s="251"/>
      <c r="L3229" s="249" t="s">
        <v>8822</v>
      </c>
      <c r="M3229" s="249" t="s">
        <v>3433</v>
      </c>
      <c r="N3229" s="249">
        <v>1990.0</v>
      </c>
      <c r="O3229" s="251"/>
      <c r="P3229" s="249">
        <v>1.0</v>
      </c>
      <c r="Q3229" s="249">
        <v>1.0</v>
      </c>
      <c r="R3229" s="252"/>
      <c r="S3229" s="69"/>
      <c r="T3229" s="69"/>
      <c r="U3229" s="69"/>
      <c r="V3229" s="69"/>
      <c r="W3229" s="69"/>
      <c r="X3229" s="69"/>
      <c r="Y3229" s="255"/>
      <c r="Z3229" s="255"/>
      <c r="AA3229" s="255"/>
      <c r="AB3229" s="255"/>
      <c r="AC3229" s="255"/>
      <c r="AD3229" s="255"/>
      <c r="AE3229" s="255"/>
      <c r="AF3229" s="255"/>
      <c r="AG3229" s="255"/>
      <c r="AH3229" s="255"/>
      <c r="AI3229" s="255"/>
      <c r="AJ3229" s="255"/>
      <c r="AK3229" s="255"/>
      <c r="AL3229" s="255"/>
    </row>
    <row r="3230" ht="15.75" customHeight="1">
      <c r="A3230" s="248"/>
      <c r="B3230" s="249" t="s">
        <v>11259</v>
      </c>
      <c r="C3230" s="256" t="s">
        <v>11260</v>
      </c>
      <c r="D3230" s="250" t="s">
        <v>11261</v>
      </c>
      <c r="E3230" s="251"/>
      <c r="F3230" s="249" t="s">
        <v>29</v>
      </c>
      <c r="G3230" s="249" t="s">
        <v>11144</v>
      </c>
      <c r="H3230" s="251"/>
      <c r="I3230" s="249" t="s">
        <v>38</v>
      </c>
      <c r="J3230" s="251"/>
      <c r="K3230" s="251"/>
      <c r="L3230" s="249" t="s">
        <v>8822</v>
      </c>
      <c r="M3230" s="249" t="s">
        <v>3433</v>
      </c>
      <c r="N3230" s="249">
        <v>1995.0</v>
      </c>
      <c r="O3230" s="251"/>
      <c r="P3230" s="249">
        <v>1.0</v>
      </c>
      <c r="Q3230" s="249">
        <v>1.0</v>
      </c>
      <c r="R3230" s="252"/>
      <c r="S3230" s="69"/>
      <c r="T3230" s="69"/>
      <c r="U3230" s="69"/>
      <c r="V3230" s="69"/>
      <c r="W3230" s="69"/>
      <c r="X3230" s="69"/>
      <c r="Y3230" s="255"/>
      <c r="Z3230" s="255"/>
      <c r="AA3230" s="255"/>
      <c r="AB3230" s="255"/>
      <c r="AC3230" s="255"/>
      <c r="AD3230" s="255"/>
      <c r="AE3230" s="255"/>
      <c r="AF3230" s="255"/>
      <c r="AG3230" s="255"/>
      <c r="AH3230" s="255"/>
      <c r="AI3230" s="255"/>
      <c r="AJ3230" s="255"/>
      <c r="AK3230" s="255"/>
      <c r="AL3230" s="255"/>
    </row>
    <row r="3231" ht="15.75" customHeight="1">
      <c r="A3231" s="248"/>
      <c r="B3231" s="249" t="s">
        <v>11262</v>
      </c>
      <c r="C3231" s="248" t="s">
        <v>11263</v>
      </c>
      <c r="D3231" s="250" t="s">
        <v>11264</v>
      </c>
      <c r="E3231" s="251"/>
      <c r="F3231" s="249" t="s">
        <v>29</v>
      </c>
      <c r="G3231" s="249" t="s">
        <v>11144</v>
      </c>
      <c r="H3231" s="251"/>
      <c r="I3231" s="249" t="s">
        <v>38</v>
      </c>
      <c r="J3231" s="251"/>
      <c r="K3231" s="251"/>
      <c r="L3231" s="249" t="s">
        <v>8822</v>
      </c>
      <c r="M3231" s="249" t="s">
        <v>3433</v>
      </c>
      <c r="N3231" s="249">
        <v>1996.0</v>
      </c>
      <c r="O3231" s="251"/>
      <c r="P3231" s="249">
        <v>1.0</v>
      </c>
      <c r="Q3231" s="249">
        <v>1.0</v>
      </c>
      <c r="R3231" s="252"/>
      <c r="S3231" s="69"/>
      <c r="T3231" s="69"/>
      <c r="U3231" s="69"/>
      <c r="V3231" s="69"/>
      <c r="W3231" s="69"/>
      <c r="X3231" s="69"/>
      <c r="Y3231" s="255"/>
      <c r="Z3231" s="255"/>
      <c r="AA3231" s="255"/>
      <c r="AB3231" s="255"/>
      <c r="AC3231" s="255"/>
      <c r="AD3231" s="255"/>
      <c r="AE3231" s="255"/>
      <c r="AF3231" s="255"/>
      <c r="AG3231" s="255"/>
      <c r="AH3231" s="255"/>
      <c r="AI3231" s="255"/>
      <c r="AJ3231" s="255"/>
      <c r="AK3231" s="255"/>
      <c r="AL3231" s="255"/>
    </row>
    <row r="3232" ht="15.75" customHeight="1">
      <c r="A3232" s="248"/>
      <c r="B3232" s="249" t="s">
        <v>11265</v>
      </c>
      <c r="C3232" s="248" t="s">
        <v>11266</v>
      </c>
      <c r="D3232" s="250" t="s">
        <v>11267</v>
      </c>
      <c r="E3232" s="251"/>
      <c r="F3232" s="249" t="s">
        <v>29</v>
      </c>
      <c r="G3232" s="249" t="s">
        <v>11144</v>
      </c>
      <c r="H3232" s="251"/>
      <c r="I3232" s="249" t="s">
        <v>38</v>
      </c>
      <c r="J3232" s="251"/>
      <c r="K3232" s="251"/>
      <c r="L3232" s="249" t="s">
        <v>8822</v>
      </c>
      <c r="M3232" s="249" t="s">
        <v>3433</v>
      </c>
      <c r="N3232" s="249">
        <v>1996.0</v>
      </c>
      <c r="O3232" s="251"/>
      <c r="P3232" s="249">
        <v>1.0</v>
      </c>
      <c r="Q3232" s="249">
        <v>1.0</v>
      </c>
      <c r="R3232" s="252"/>
      <c r="S3232" s="69"/>
      <c r="T3232" s="69"/>
      <c r="U3232" s="69"/>
      <c r="V3232" s="69"/>
      <c r="W3232" s="69"/>
      <c r="X3232" s="69"/>
      <c r="Y3232" s="255"/>
      <c r="Z3232" s="255"/>
      <c r="AA3232" s="255"/>
      <c r="AB3232" s="255"/>
      <c r="AC3232" s="255"/>
      <c r="AD3232" s="255"/>
      <c r="AE3232" s="255"/>
      <c r="AF3232" s="255"/>
      <c r="AG3232" s="255"/>
      <c r="AH3232" s="255"/>
      <c r="AI3232" s="255"/>
      <c r="AJ3232" s="255"/>
      <c r="AK3232" s="255"/>
      <c r="AL3232" s="255"/>
    </row>
    <row r="3233" ht="15.75" customHeight="1">
      <c r="A3233" s="248"/>
      <c r="B3233" s="249" t="s">
        <v>11268</v>
      </c>
      <c r="C3233" s="248" t="s">
        <v>11269</v>
      </c>
      <c r="D3233" s="250" t="s">
        <v>11270</v>
      </c>
      <c r="E3233" s="251"/>
      <c r="F3233" s="249" t="s">
        <v>29</v>
      </c>
      <c r="G3233" s="249" t="s">
        <v>11144</v>
      </c>
      <c r="H3233" s="251"/>
      <c r="I3233" s="249" t="s">
        <v>30</v>
      </c>
      <c r="J3233" s="249">
        <v>127.0</v>
      </c>
      <c r="K3233" s="251"/>
      <c r="L3233" s="249" t="s">
        <v>3104</v>
      </c>
      <c r="M3233" s="249" t="s">
        <v>11247</v>
      </c>
      <c r="N3233" s="249">
        <v>2002.0</v>
      </c>
      <c r="O3233" s="251"/>
      <c r="P3233" s="249">
        <v>1.0</v>
      </c>
      <c r="Q3233" s="249">
        <v>1.0</v>
      </c>
      <c r="R3233" s="252"/>
      <c r="S3233" s="34"/>
      <c r="T3233" s="34"/>
      <c r="U3233" s="34"/>
      <c r="V3233" s="34"/>
      <c r="W3233" s="34"/>
      <c r="X3233" s="34"/>
      <c r="Y3233" s="3"/>
      <c r="Z3233" s="3"/>
      <c r="AA3233" s="3"/>
      <c r="AB3233" s="3"/>
      <c r="AC3233" s="3"/>
      <c r="AD3233" s="3"/>
      <c r="AE3233" s="3"/>
      <c r="AF3233" s="3"/>
      <c r="AG3233" s="3"/>
      <c r="AH3233" s="3"/>
      <c r="AI3233" s="3"/>
      <c r="AJ3233" s="3"/>
      <c r="AK3233" s="3"/>
      <c r="AL3233" s="3"/>
    </row>
    <row r="3234" ht="15.75" customHeight="1">
      <c r="A3234" s="248"/>
      <c r="B3234" s="249" t="s">
        <v>11271</v>
      </c>
      <c r="C3234" s="248" t="s">
        <v>11272</v>
      </c>
      <c r="D3234" s="250" t="s">
        <v>11273</v>
      </c>
      <c r="E3234" s="251"/>
      <c r="F3234" s="249" t="s">
        <v>29</v>
      </c>
      <c r="G3234" s="249" t="s">
        <v>11144</v>
      </c>
      <c r="H3234" s="251"/>
      <c r="I3234" s="249" t="s">
        <v>30</v>
      </c>
      <c r="J3234" s="249">
        <v>97.0</v>
      </c>
      <c r="K3234" s="251"/>
      <c r="L3234" s="249" t="s">
        <v>3104</v>
      </c>
      <c r="M3234" s="249" t="s">
        <v>11247</v>
      </c>
      <c r="N3234" s="249">
        <v>2002.0</v>
      </c>
      <c r="O3234" s="251"/>
      <c r="P3234" s="249">
        <v>1.0</v>
      </c>
      <c r="Q3234" s="249">
        <v>1.0</v>
      </c>
      <c r="R3234" s="252"/>
      <c r="S3234" s="34"/>
      <c r="T3234" s="34"/>
      <c r="U3234" s="34"/>
      <c r="V3234" s="34"/>
      <c r="W3234" s="34"/>
      <c r="X3234" s="34"/>
      <c r="Y3234" s="3"/>
      <c r="Z3234" s="3"/>
      <c r="AA3234" s="3"/>
      <c r="AB3234" s="3"/>
      <c r="AC3234" s="3"/>
      <c r="AD3234" s="3"/>
      <c r="AE3234" s="3"/>
      <c r="AF3234" s="3"/>
      <c r="AG3234" s="3"/>
      <c r="AH3234" s="3"/>
      <c r="AI3234" s="3"/>
      <c r="AJ3234" s="3"/>
      <c r="AK3234" s="3"/>
      <c r="AL3234" s="3"/>
    </row>
    <row r="3235" ht="15.75" customHeight="1">
      <c r="A3235" s="257"/>
      <c r="B3235" s="258" t="s">
        <v>11274</v>
      </c>
      <c r="C3235" s="257" t="s">
        <v>11275</v>
      </c>
      <c r="D3235" s="259" t="s">
        <v>11276</v>
      </c>
      <c r="E3235" s="260"/>
      <c r="F3235" s="249" t="s">
        <v>29</v>
      </c>
      <c r="G3235" s="249" t="s">
        <v>11144</v>
      </c>
      <c r="H3235" s="260"/>
      <c r="I3235" s="249" t="s">
        <v>30</v>
      </c>
      <c r="J3235" s="258">
        <v>134.0</v>
      </c>
      <c r="K3235" s="260"/>
      <c r="L3235" s="258" t="s">
        <v>3104</v>
      </c>
      <c r="M3235" s="258" t="s">
        <v>11247</v>
      </c>
      <c r="N3235" s="258">
        <v>2003.0</v>
      </c>
      <c r="O3235" s="260"/>
      <c r="P3235" s="258">
        <v>1.0</v>
      </c>
      <c r="Q3235" s="258">
        <v>1.0</v>
      </c>
      <c r="R3235" s="261"/>
      <c r="S3235" s="34"/>
      <c r="T3235" s="34"/>
      <c r="U3235" s="34"/>
      <c r="V3235" s="34"/>
      <c r="W3235" s="34"/>
      <c r="X3235" s="34"/>
      <c r="Y3235" s="3"/>
      <c r="Z3235" s="3"/>
      <c r="AA3235" s="3"/>
      <c r="AB3235" s="3"/>
      <c r="AC3235" s="3"/>
      <c r="AD3235" s="3"/>
      <c r="AE3235" s="3"/>
      <c r="AF3235" s="3"/>
      <c r="AG3235" s="3"/>
      <c r="AH3235" s="3"/>
      <c r="AI3235" s="3"/>
      <c r="AJ3235" s="3"/>
      <c r="AK3235" s="3"/>
      <c r="AL3235" s="3"/>
    </row>
    <row r="3236" ht="15.75" customHeight="1">
      <c r="A3236" s="27"/>
      <c r="B3236" s="28"/>
      <c r="C3236" s="29" t="s">
        <v>11277</v>
      </c>
      <c r="D3236" s="39" t="s">
        <v>11278</v>
      </c>
      <c r="E3236" s="28"/>
      <c r="F3236" s="31" t="s">
        <v>29</v>
      </c>
      <c r="G3236" s="31" t="s">
        <v>37</v>
      </c>
      <c r="H3236" s="28"/>
      <c r="I3236" s="31" t="s">
        <v>30</v>
      </c>
      <c r="J3236" s="31">
        <v>304.0</v>
      </c>
      <c r="K3236" s="28"/>
      <c r="L3236" s="31" t="s">
        <v>11279</v>
      </c>
      <c r="M3236" s="31" t="s">
        <v>3027</v>
      </c>
      <c r="N3236" s="31">
        <v>2004.0</v>
      </c>
      <c r="O3236" s="28"/>
      <c r="P3236" s="31">
        <v>1.0</v>
      </c>
      <c r="Q3236" s="37">
        <v>1.0</v>
      </c>
      <c r="R3236" s="33"/>
      <c r="S3236" s="34"/>
      <c r="T3236" s="34"/>
      <c r="U3236" s="34"/>
      <c r="V3236" s="34"/>
      <c r="W3236" s="34"/>
      <c r="X3236" s="34"/>
      <c r="Y3236" s="3"/>
      <c r="Z3236" s="3"/>
      <c r="AA3236" s="3"/>
      <c r="AB3236" s="3"/>
      <c r="AC3236" s="3"/>
      <c r="AD3236" s="3"/>
      <c r="AE3236" s="3"/>
      <c r="AF3236" s="3"/>
      <c r="AG3236" s="3"/>
      <c r="AH3236" s="3"/>
      <c r="AI3236" s="3"/>
      <c r="AJ3236" s="3"/>
      <c r="AK3236" s="3"/>
      <c r="AL3236" s="3"/>
    </row>
    <row r="3237" ht="15.75" customHeight="1">
      <c r="A3237" s="27"/>
      <c r="B3237" s="31" t="s">
        <v>4745</v>
      </c>
      <c r="C3237" s="29" t="s">
        <v>4746</v>
      </c>
      <c r="D3237" s="39" t="s">
        <v>11280</v>
      </c>
      <c r="E3237" s="28"/>
      <c r="F3237" s="31" t="s">
        <v>29</v>
      </c>
      <c r="G3237" s="31" t="s">
        <v>37</v>
      </c>
      <c r="H3237" s="28"/>
      <c r="I3237" s="31" t="s">
        <v>30</v>
      </c>
      <c r="J3237" s="31">
        <v>150.0</v>
      </c>
      <c r="K3237" s="28"/>
      <c r="L3237" s="31" t="s">
        <v>11281</v>
      </c>
      <c r="M3237" s="31" t="s">
        <v>151</v>
      </c>
      <c r="N3237" s="31">
        <v>2016.0</v>
      </c>
      <c r="O3237" s="28"/>
      <c r="P3237" s="31">
        <v>1.0</v>
      </c>
      <c r="Q3237" s="37">
        <v>1.0</v>
      </c>
      <c r="R3237" s="33"/>
      <c r="S3237" s="34"/>
      <c r="T3237" s="34"/>
      <c r="U3237" s="34"/>
      <c r="V3237" s="34"/>
      <c r="W3237" s="34"/>
      <c r="X3237" s="34"/>
      <c r="Y3237" s="3"/>
      <c r="Z3237" s="3"/>
      <c r="AA3237" s="3"/>
      <c r="AB3237" s="3"/>
      <c r="AC3237" s="3"/>
      <c r="AD3237" s="3"/>
      <c r="AE3237" s="3"/>
      <c r="AF3237" s="3"/>
      <c r="AG3237" s="3"/>
      <c r="AH3237" s="3"/>
      <c r="AI3237" s="3"/>
      <c r="AJ3237" s="3"/>
      <c r="AK3237" s="3"/>
      <c r="AL3237" s="3"/>
    </row>
    <row r="3238" ht="15.75" customHeight="1">
      <c r="A3238" s="27"/>
      <c r="B3238" s="31" t="s">
        <v>11282</v>
      </c>
      <c r="C3238" s="29" t="s">
        <v>11283</v>
      </c>
      <c r="D3238" s="39" t="s">
        <v>11284</v>
      </c>
      <c r="E3238" s="28"/>
      <c r="F3238" s="31" t="s">
        <v>29</v>
      </c>
      <c r="G3238" s="31" t="s">
        <v>30</v>
      </c>
      <c r="H3238" s="28"/>
      <c r="I3238" s="31" t="s">
        <v>30</v>
      </c>
      <c r="J3238" s="31">
        <v>316.0</v>
      </c>
      <c r="K3238" s="28"/>
      <c r="L3238" s="31" t="s">
        <v>11285</v>
      </c>
      <c r="M3238" s="31" t="s">
        <v>11286</v>
      </c>
      <c r="N3238" s="31">
        <v>2010.0</v>
      </c>
      <c r="O3238" s="28"/>
      <c r="P3238" s="31">
        <v>1.0</v>
      </c>
      <c r="Q3238" s="37">
        <v>1.0</v>
      </c>
      <c r="R3238" s="33"/>
      <c r="S3238" s="34"/>
      <c r="T3238" s="34"/>
      <c r="U3238" s="34"/>
      <c r="V3238" s="34"/>
      <c r="W3238" s="34"/>
      <c r="X3238" s="34"/>
      <c r="Y3238" s="3"/>
      <c r="Z3238" s="3"/>
      <c r="AA3238" s="3"/>
      <c r="AB3238" s="3"/>
      <c r="AC3238" s="3"/>
      <c r="AD3238" s="3"/>
      <c r="AE3238" s="3"/>
      <c r="AF3238" s="3"/>
      <c r="AG3238" s="3"/>
      <c r="AH3238" s="3"/>
      <c r="AI3238" s="3"/>
      <c r="AJ3238" s="3"/>
      <c r="AK3238" s="3"/>
      <c r="AL3238" s="3"/>
    </row>
    <row r="3239" ht="15.75" customHeight="1">
      <c r="A3239" s="27"/>
      <c r="B3239" s="28"/>
      <c r="C3239" s="29" t="s">
        <v>11287</v>
      </c>
      <c r="D3239" s="39" t="s">
        <v>11288</v>
      </c>
      <c r="E3239" s="28"/>
      <c r="F3239" s="31" t="s">
        <v>29</v>
      </c>
      <c r="G3239" s="31" t="s">
        <v>11144</v>
      </c>
      <c r="H3239" s="28"/>
      <c r="I3239" s="31" t="s">
        <v>30</v>
      </c>
      <c r="J3239" s="31">
        <v>208.0</v>
      </c>
      <c r="K3239" s="28"/>
      <c r="L3239" s="31" t="s">
        <v>8822</v>
      </c>
      <c r="M3239" s="31" t="s">
        <v>11247</v>
      </c>
      <c r="N3239" s="31">
        <v>1984.0</v>
      </c>
      <c r="O3239" s="28"/>
      <c r="P3239" s="31">
        <v>1.0</v>
      </c>
      <c r="Q3239" s="37">
        <v>1.0</v>
      </c>
      <c r="R3239" s="33"/>
      <c r="S3239" s="34"/>
      <c r="T3239" s="34"/>
      <c r="U3239" s="34"/>
      <c r="V3239" s="34"/>
      <c r="W3239" s="34"/>
      <c r="X3239" s="34"/>
      <c r="Y3239" s="3"/>
      <c r="Z3239" s="3"/>
      <c r="AA3239" s="3"/>
      <c r="AB3239" s="3"/>
      <c r="AC3239" s="3"/>
      <c r="AD3239" s="3"/>
      <c r="AE3239" s="3"/>
      <c r="AF3239" s="3"/>
      <c r="AG3239" s="3"/>
      <c r="AH3239" s="3"/>
      <c r="AI3239" s="3"/>
      <c r="AJ3239" s="3"/>
      <c r="AK3239" s="3"/>
      <c r="AL3239" s="3"/>
    </row>
    <row r="3240" ht="15.75" customHeight="1">
      <c r="A3240" s="27"/>
      <c r="B3240" s="31" t="s">
        <v>11289</v>
      </c>
      <c r="C3240" s="29" t="s">
        <v>11290</v>
      </c>
      <c r="D3240" s="39" t="s">
        <v>11291</v>
      </c>
      <c r="E3240" s="28"/>
      <c r="F3240" s="31" t="s">
        <v>29</v>
      </c>
      <c r="G3240" s="31" t="s">
        <v>37</v>
      </c>
      <c r="H3240" s="28"/>
      <c r="I3240" s="31" t="s">
        <v>30</v>
      </c>
      <c r="J3240" s="31">
        <v>194.0</v>
      </c>
      <c r="K3240" s="28"/>
      <c r="L3240" s="31" t="s">
        <v>11292</v>
      </c>
      <c r="M3240" s="31" t="s">
        <v>169</v>
      </c>
      <c r="N3240" s="31">
        <v>2001.0</v>
      </c>
      <c r="O3240" s="28"/>
      <c r="P3240" s="31">
        <v>1.0</v>
      </c>
      <c r="Q3240" s="37">
        <v>1.0</v>
      </c>
      <c r="R3240" s="33"/>
      <c r="S3240" s="34"/>
      <c r="T3240" s="34"/>
      <c r="U3240" s="34"/>
      <c r="V3240" s="34"/>
      <c r="W3240" s="34"/>
      <c r="X3240" s="34"/>
      <c r="Y3240" s="3"/>
      <c r="Z3240" s="3"/>
      <c r="AA3240" s="3"/>
      <c r="AB3240" s="3"/>
      <c r="AC3240" s="3"/>
      <c r="AD3240" s="3"/>
      <c r="AE3240" s="3"/>
      <c r="AF3240" s="3"/>
      <c r="AG3240" s="3"/>
      <c r="AH3240" s="3"/>
      <c r="AI3240" s="3"/>
      <c r="AJ3240" s="3"/>
      <c r="AK3240" s="3"/>
      <c r="AL3240" s="3"/>
    </row>
    <row r="3241" ht="15.75" customHeight="1">
      <c r="A3241" s="27"/>
      <c r="B3241" s="31" t="s">
        <v>11293</v>
      </c>
      <c r="C3241" s="29" t="s">
        <v>11294</v>
      </c>
      <c r="D3241" s="39" t="s">
        <v>11295</v>
      </c>
      <c r="E3241" s="28"/>
      <c r="F3241" s="31" t="s">
        <v>29</v>
      </c>
      <c r="G3241" s="31" t="s">
        <v>11166</v>
      </c>
      <c r="H3241" s="28"/>
      <c r="I3241" s="31" t="s">
        <v>30</v>
      </c>
      <c r="J3241" s="31">
        <v>397.0</v>
      </c>
      <c r="K3241" s="28"/>
      <c r="L3241" s="31" t="s">
        <v>11296</v>
      </c>
      <c r="M3241" s="31" t="s">
        <v>11297</v>
      </c>
      <c r="N3241" s="31">
        <v>2008.0</v>
      </c>
      <c r="O3241" s="28"/>
      <c r="P3241" s="31">
        <v>1.0</v>
      </c>
      <c r="Q3241" s="37">
        <v>1.0</v>
      </c>
      <c r="R3241" s="33"/>
      <c r="S3241" s="34"/>
      <c r="T3241" s="34"/>
      <c r="U3241" s="34"/>
      <c r="V3241" s="34"/>
      <c r="W3241" s="34"/>
      <c r="X3241" s="34"/>
      <c r="Y3241" s="3"/>
      <c r="Z3241" s="3"/>
      <c r="AA3241" s="3"/>
      <c r="AB3241" s="3"/>
      <c r="AC3241" s="3"/>
      <c r="AD3241" s="3"/>
      <c r="AE3241" s="3"/>
      <c r="AF3241" s="3"/>
      <c r="AG3241" s="3"/>
      <c r="AH3241" s="3"/>
      <c r="AI3241" s="3"/>
      <c r="AJ3241" s="3"/>
      <c r="AK3241" s="3"/>
      <c r="AL3241" s="3"/>
    </row>
    <row r="3242" ht="15.75" customHeight="1">
      <c r="A3242" s="27"/>
      <c r="B3242" s="28"/>
      <c r="C3242" s="29" t="s">
        <v>11298</v>
      </c>
      <c r="D3242" s="39" t="s">
        <v>11299</v>
      </c>
      <c r="E3242" s="28"/>
      <c r="F3242" s="31" t="s">
        <v>29</v>
      </c>
      <c r="G3242" s="31" t="s">
        <v>11144</v>
      </c>
      <c r="H3242" s="28"/>
      <c r="I3242" s="31" t="s">
        <v>30</v>
      </c>
      <c r="J3242" s="31">
        <v>148.0</v>
      </c>
      <c r="K3242" s="28"/>
      <c r="L3242" s="31" t="s">
        <v>11246</v>
      </c>
      <c r="M3242" s="31" t="s">
        <v>11247</v>
      </c>
      <c r="N3242" s="31">
        <v>1994.0</v>
      </c>
      <c r="O3242" s="28"/>
      <c r="P3242" s="31">
        <v>1.0</v>
      </c>
      <c r="Q3242" s="37">
        <v>1.0</v>
      </c>
      <c r="R3242" s="33"/>
      <c r="S3242" s="34"/>
      <c r="T3242" s="34"/>
      <c r="U3242" s="34"/>
      <c r="V3242" s="34"/>
      <c r="W3242" s="34"/>
      <c r="X3242" s="34"/>
      <c r="Y3242" s="3"/>
      <c r="Z3242" s="3"/>
      <c r="AA3242" s="3"/>
      <c r="AB3242" s="3"/>
      <c r="AC3242" s="3"/>
      <c r="AD3242" s="3"/>
      <c r="AE3242" s="3"/>
      <c r="AF3242" s="3"/>
      <c r="AG3242" s="3"/>
      <c r="AH3242" s="3"/>
      <c r="AI3242" s="3"/>
      <c r="AJ3242" s="3"/>
      <c r="AK3242" s="3"/>
      <c r="AL3242" s="3"/>
    </row>
    <row r="3243" ht="15.75" customHeight="1">
      <c r="A3243" s="27"/>
      <c r="B3243" s="28"/>
      <c r="C3243" s="29" t="s">
        <v>11300</v>
      </c>
      <c r="D3243" s="39" t="s">
        <v>11301</v>
      </c>
      <c r="E3243" s="28"/>
      <c r="F3243" s="31" t="s">
        <v>29</v>
      </c>
      <c r="G3243" s="31" t="s">
        <v>37</v>
      </c>
      <c r="H3243" s="28"/>
      <c r="I3243" s="31" t="s">
        <v>30</v>
      </c>
      <c r="J3243" s="31">
        <v>290.0</v>
      </c>
      <c r="K3243" s="28"/>
      <c r="L3243" s="31" t="s">
        <v>11302</v>
      </c>
      <c r="M3243" s="31" t="s">
        <v>4860</v>
      </c>
      <c r="N3243" s="31">
        <v>1998.0</v>
      </c>
      <c r="O3243" s="28"/>
      <c r="P3243" s="31">
        <v>1.0</v>
      </c>
      <c r="Q3243" s="37">
        <v>1.0</v>
      </c>
      <c r="R3243" s="33"/>
      <c r="S3243" s="34"/>
      <c r="T3243" s="34"/>
      <c r="U3243" s="34"/>
      <c r="V3243" s="34"/>
      <c r="W3243" s="34"/>
      <c r="X3243" s="34"/>
      <c r="Y3243" s="3"/>
      <c r="Z3243" s="3"/>
      <c r="AA3243" s="3"/>
      <c r="AB3243" s="3"/>
      <c r="AC3243" s="3"/>
      <c r="AD3243" s="3"/>
      <c r="AE3243" s="3"/>
      <c r="AF3243" s="3"/>
      <c r="AG3243" s="3"/>
      <c r="AH3243" s="3"/>
      <c r="AI3243" s="3"/>
      <c r="AJ3243" s="3"/>
      <c r="AK3243" s="3"/>
      <c r="AL3243" s="3"/>
    </row>
    <row r="3244" ht="15.75" customHeight="1">
      <c r="A3244" s="27"/>
      <c r="B3244" s="28"/>
      <c r="C3244" s="29" t="s">
        <v>11303</v>
      </c>
      <c r="D3244" s="39" t="s">
        <v>11304</v>
      </c>
      <c r="E3244" s="28"/>
      <c r="F3244" s="31" t="s">
        <v>29</v>
      </c>
      <c r="G3244" s="31" t="s">
        <v>30</v>
      </c>
      <c r="H3244" s="28"/>
      <c r="I3244" s="31" t="s">
        <v>30</v>
      </c>
      <c r="J3244" s="31">
        <v>264.0</v>
      </c>
      <c r="K3244" s="28"/>
      <c r="L3244" s="31" t="s">
        <v>11305</v>
      </c>
      <c r="M3244" s="31" t="s">
        <v>161</v>
      </c>
      <c r="N3244" s="31">
        <v>2016.0</v>
      </c>
      <c r="O3244" s="28"/>
      <c r="P3244" s="31">
        <v>1.0</v>
      </c>
      <c r="Q3244" s="37">
        <v>1.0</v>
      </c>
      <c r="R3244" s="33"/>
      <c r="S3244" s="34"/>
      <c r="T3244" s="34"/>
      <c r="U3244" s="34"/>
      <c r="V3244" s="34"/>
      <c r="W3244" s="34"/>
      <c r="X3244" s="34"/>
      <c r="Y3244" s="3"/>
      <c r="Z3244" s="3"/>
      <c r="AA3244" s="3"/>
      <c r="AB3244" s="3"/>
      <c r="AC3244" s="3"/>
      <c r="AD3244" s="3"/>
      <c r="AE3244" s="3"/>
      <c r="AF3244" s="3"/>
      <c r="AG3244" s="3"/>
      <c r="AH3244" s="3"/>
      <c r="AI3244" s="3"/>
      <c r="AJ3244" s="3"/>
      <c r="AK3244" s="3"/>
      <c r="AL3244" s="3"/>
    </row>
    <row r="3245" ht="15.75" customHeight="1">
      <c r="A3245" s="27"/>
      <c r="B3245" s="28"/>
      <c r="C3245" s="29" t="s">
        <v>11306</v>
      </c>
      <c r="D3245" s="39" t="s">
        <v>11307</v>
      </c>
      <c r="E3245" s="28"/>
      <c r="F3245" s="31" t="s">
        <v>29</v>
      </c>
      <c r="G3245" s="31" t="s">
        <v>30</v>
      </c>
      <c r="H3245" s="28"/>
      <c r="I3245" s="31" t="s">
        <v>30</v>
      </c>
      <c r="J3245" s="31">
        <v>271.0</v>
      </c>
      <c r="K3245" s="28"/>
      <c r="L3245" s="31" t="s">
        <v>11305</v>
      </c>
      <c r="M3245" s="31" t="s">
        <v>161</v>
      </c>
      <c r="N3245" s="31">
        <v>2016.0</v>
      </c>
      <c r="O3245" s="28"/>
      <c r="P3245" s="31">
        <v>1.0</v>
      </c>
      <c r="Q3245" s="37">
        <v>1.0</v>
      </c>
      <c r="R3245" s="33"/>
      <c r="S3245" s="34"/>
      <c r="T3245" s="34"/>
      <c r="U3245" s="34"/>
      <c r="V3245" s="34"/>
      <c r="W3245" s="34"/>
      <c r="X3245" s="34"/>
      <c r="Y3245" s="3"/>
      <c r="Z3245" s="3"/>
      <c r="AA3245" s="3"/>
      <c r="AB3245" s="3"/>
      <c r="AC3245" s="3"/>
      <c r="AD3245" s="3"/>
      <c r="AE3245" s="3"/>
      <c r="AF3245" s="3"/>
      <c r="AG3245" s="3"/>
      <c r="AH3245" s="3"/>
      <c r="AI3245" s="3"/>
      <c r="AJ3245" s="3"/>
      <c r="AK3245" s="3"/>
      <c r="AL3245" s="3"/>
    </row>
    <row r="3246" ht="15.75" customHeight="1">
      <c r="A3246" s="27"/>
      <c r="B3246" s="31" t="s">
        <v>7604</v>
      </c>
      <c r="C3246" s="29" t="s">
        <v>11308</v>
      </c>
      <c r="D3246" s="39" t="s">
        <v>7606</v>
      </c>
      <c r="E3246" s="28"/>
      <c r="F3246" s="31" t="s">
        <v>29</v>
      </c>
      <c r="G3246" s="31" t="s">
        <v>37</v>
      </c>
      <c r="H3246" s="28"/>
      <c r="I3246" s="31" t="s">
        <v>30</v>
      </c>
      <c r="J3246" s="31">
        <v>95.0</v>
      </c>
      <c r="K3246" s="28"/>
      <c r="L3246" s="31" t="s">
        <v>11309</v>
      </c>
      <c r="M3246" s="31" t="s">
        <v>169</v>
      </c>
      <c r="N3246" s="31">
        <v>2004.0</v>
      </c>
      <c r="O3246" s="28"/>
      <c r="P3246" s="31">
        <v>1.0</v>
      </c>
      <c r="Q3246" s="37">
        <v>1.0</v>
      </c>
      <c r="R3246" s="33"/>
      <c r="S3246" s="34"/>
      <c r="T3246" s="34"/>
      <c r="U3246" s="34"/>
      <c r="V3246" s="34"/>
      <c r="W3246" s="34"/>
      <c r="X3246" s="34"/>
      <c r="Y3246" s="3"/>
      <c r="Z3246" s="3"/>
      <c r="AA3246" s="3"/>
      <c r="AB3246" s="3"/>
      <c r="AC3246" s="3"/>
      <c r="AD3246" s="3"/>
      <c r="AE3246" s="3"/>
      <c r="AF3246" s="3"/>
      <c r="AG3246" s="3"/>
      <c r="AH3246" s="3"/>
      <c r="AI3246" s="3"/>
      <c r="AJ3246" s="3"/>
      <c r="AK3246" s="3"/>
      <c r="AL3246" s="3"/>
    </row>
    <row r="3247" ht="15.75" customHeight="1">
      <c r="A3247" s="27"/>
      <c r="B3247" s="31" t="s">
        <v>11310</v>
      </c>
      <c r="C3247" s="29" t="s">
        <v>11311</v>
      </c>
      <c r="D3247" s="39" t="s">
        <v>11312</v>
      </c>
      <c r="E3247" s="28"/>
      <c r="F3247" s="31" t="s">
        <v>29</v>
      </c>
      <c r="G3247" s="31" t="s">
        <v>30</v>
      </c>
      <c r="H3247" s="28"/>
      <c r="I3247" s="31" t="s">
        <v>30</v>
      </c>
      <c r="J3247" s="31">
        <v>184.0</v>
      </c>
      <c r="K3247" s="28"/>
      <c r="L3247" s="31" t="s">
        <v>11313</v>
      </c>
      <c r="M3247" s="31" t="s">
        <v>8722</v>
      </c>
      <c r="N3247" s="31">
        <v>2005.0</v>
      </c>
      <c r="O3247" s="28"/>
      <c r="P3247" s="31">
        <v>1.0</v>
      </c>
      <c r="Q3247" s="37">
        <v>1.0</v>
      </c>
      <c r="R3247" s="33"/>
      <c r="S3247" s="34"/>
      <c r="T3247" s="34"/>
      <c r="U3247" s="34"/>
      <c r="V3247" s="34"/>
      <c r="W3247" s="34"/>
      <c r="X3247" s="34"/>
      <c r="Y3247" s="3"/>
      <c r="Z3247" s="3"/>
      <c r="AA3247" s="3"/>
      <c r="AB3247" s="3"/>
      <c r="AC3247" s="3"/>
      <c r="AD3247" s="3"/>
      <c r="AE3247" s="3"/>
      <c r="AF3247" s="3"/>
      <c r="AG3247" s="3"/>
      <c r="AH3247" s="3"/>
      <c r="AI3247" s="3"/>
      <c r="AJ3247" s="3"/>
      <c r="AK3247" s="3"/>
      <c r="AL3247" s="3"/>
    </row>
    <row r="3248" ht="15.75" customHeight="1">
      <c r="A3248" s="27"/>
      <c r="B3248" s="31" t="s">
        <v>11314</v>
      </c>
      <c r="C3248" s="29" t="s">
        <v>11315</v>
      </c>
      <c r="D3248" s="39" t="s">
        <v>11316</v>
      </c>
      <c r="E3248" s="28"/>
      <c r="F3248" s="31" t="s">
        <v>29</v>
      </c>
      <c r="G3248" s="31" t="s">
        <v>30</v>
      </c>
      <c r="H3248" s="28"/>
      <c r="I3248" s="31" t="s">
        <v>30</v>
      </c>
      <c r="J3248" s="31">
        <v>248.0</v>
      </c>
      <c r="K3248" s="28"/>
      <c r="L3248" s="31" t="s">
        <v>11317</v>
      </c>
      <c r="M3248" s="31" t="s">
        <v>3240</v>
      </c>
      <c r="N3248" s="31">
        <v>2009.0</v>
      </c>
      <c r="O3248" s="28"/>
      <c r="P3248" s="31">
        <v>1.0</v>
      </c>
      <c r="Q3248" s="37">
        <v>1.0</v>
      </c>
      <c r="R3248" s="33"/>
      <c r="S3248" s="34"/>
      <c r="T3248" s="34"/>
      <c r="U3248" s="34"/>
      <c r="V3248" s="34"/>
      <c r="W3248" s="34"/>
      <c r="X3248" s="34"/>
      <c r="Y3248" s="3"/>
      <c r="Z3248" s="3"/>
      <c r="AA3248" s="3"/>
      <c r="AB3248" s="3"/>
      <c r="AC3248" s="3"/>
      <c r="AD3248" s="3"/>
      <c r="AE3248" s="3"/>
      <c r="AF3248" s="3"/>
      <c r="AG3248" s="3"/>
      <c r="AH3248" s="3"/>
      <c r="AI3248" s="3"/>
      <c r="AJ3248" s="3"/>
      <c r="AK3248" s="3"/>
      <c r="AL3248" s="3"/>
    </row>
    <row r="3249" ht="15.75" customHeight="1">
      <c r="A3249" s="27"/>
      <c r="B3249" s="28"/>
      <c r="C3249" s="29" t="s">
        <v>10868</v>
      </c>
      <c r="D3249" s="39" t="s">
        <v>11318</v>
      </c>
      <c r="E3249" s="28"/>
      <c r="F3249" s="31" t="s">
        <v>29</v>
      </c>
      <c r="G3249" s="31" t="s">
        <v>30</v>
      </c>
      <c r="H3249" s="28"/>
      <c r="I3249" s="31" t="s">
        <v>30</v>
      </c>
      <c r="J3249" s="31">
        <v>96.0</v>
      </c>
      <c r="K3249" s="28"/>
      <c r="L3249" s="31" t="s">
        <v>145</v>
      </c>
      <c r="M3249" s="31" t="s">
        <v>146</v>
      </c>
      <c r="N3249" s="31">
        <v>2002.0</v>
      </c>
      <c r="O3249" s="28"/>
      <c r="P3249" s="31">
        <v>1.0</v>
      </c>
      <c r="Q3249" s="37">
        <v>1.0</v>
      </c>
      <c r="R3249" s="33"/>
      <c r="S3249" s="34"/>
      <c r="T3249" s="34"/>
      <c r="U3249" s="34"/>
      <c r="V3249" s="34"/>
      <c r="W3249" s="34"/>
      <c r="X3249" s="34"/>
      <c r="Y3249" s="3"/>
      <c r="Z3249" s="3"/>
      <c r="AA3249" s="3"/>
      <c r="AB3249" s="3"/>
      <c r="AC3249" s="3"/>
      <c r="AD3249" s="3"/>
      <c r="AE3249" s="3"/>
      <c r="AF3249" s="3"/>
      <c r="AG3249" s="3"/>
      <c r="AH3249" s="3"/>
      <c r="AI3249" s="3"/>
      <c r="AJ3249" s="3"/>
      <c r="AK3249" s="3"/>
      <c r="AL3249" s="3"/>
    </row>
    <row r="3250" ht="15.75" customHeight="1">
      <c r="A3250" s="27"/>
      <c r="B3250" s="31" t="s">
        <v>11319</v>
      </c>
      <c r="C3250" s="29" t="s">
        <v>11320</v>
      </c>
      <c r="D3250" s="39" t="s">
        <v>11321</v>
      </c>
      <c r="E3250" s="28"/>
      <c r="F3250" s="31" t="s">
        <v>29</v>
      </c>
      <c r="G3250" s="31" t="s">
        <v>30</v>
      </c>
      <c r="H3250" s="28"/>
      <c r="I3250" s="31" t="s">
        <v>30</v>
      </c>
      <c r="J3250" s="31">
        <v>151.0</v>
      </c>
      <c r="K3250" s="28"/>
      <c r="L3250" s="31" t="s">
        <v>11322</v>
      </c>
      <c r="M3250" s="31" t="s">
        <v>9456</v>
      </c>
      <c r="N3250" s="31">
        <v>1992.0</v>
      </c>
      <c r="O3250" s="28"/>
      <c r="P3250" s="31">
        <v>1.0</v>
      </c>
      <c r="Q3250" s="37">
        <v>1.0</v>
      </c>
      <c r="R3250" s="33"/>
      <c r="S3250" s="34"/>
      <c r="T3250" s="34"/>
      <c r="U3250" s="34"/>
      <c r="V3250" s="34"/>
      <c r="W3250" s="34"/>
      <c r="X3250" s="34"/>
      <c r="Y3250" s="3"/>
      <c r="Z3250" s="3"/>
      <c r="AA3250" s="3"/>
      <c r="AB3250" s="3"/>
      <c r="AC3250" s="3"/>
      <c r="AD3250" s="3"/>
      <c r="AE3250" s="3"/>
      <c r="AF3250" s="3"/>
      <c r="AG3250" s="3"/>
      <c r="AH3250" s="3"/>
      <c r="AI3250" s="3"/>
      <c r="AJ3250" s="3"/>
      <c r="AK3250" s="3"/>
      <c r="AL3250" s="3"/>
    </row>
    <row r="3251" ht="15.75" customHeight="1">
      <c r="A3251" s="27"/>
      <c r="B3251" s="31" t="s">
        <v>11323</v>
      </c>
      <c r="C3251" s="29" t="s">
        <v>11324</v>
      </c>
      <c r="D3251" s="39" t="s">
        <v>11325</v>
      </c>
      <c r="E3251" s="28"/>
      <c r="F3251" s="31" t="s">
        <v>29</v>
      </c>
      <c r="G3251" s="31" t="s">
        <v>30</v>
      </c>
      <c r="H3251" s="28"/>
      <c r="I3251" s="31" t="s">
        <v>30</v>
      </c>
      <c r="J3251" s="31">
        <v>186.0</v>
      </c>
      <c r="K3251" s="28"/>
      <c r="L3251" s="31" t="s">
        <v>11326</v>
      </c>
      <c r="M3251" s="31" t="s">
        <v>151</v>
      </c>
      <c r="N3251" s="31">
        <v>2003.0</v>
      </c>
      <c r="O3251" s="28"/>
      <c r="P3251" s="31">
        <v>1.0</v>
      </c>
      <c r="Q3251" s="37">
        <v>1.0</v>
      </c>
      <c r="R3251" s="33"/>
      <c r="S3251" s="34"/>
      <c r="T3251" s="34"/>
      <c r="U3251" s="34"/>
      <c r="V3251" s="34"/>
      <c r="W3251" s="34"/>
      <c r="X3251" s="34"/>
      <c r="Y3251" s="3"/>
      <c r="Z3251" s="3"/>
      <c r="AA3251" s="3"/>
      <c r="AB3251" s="3"/>
      <c r="AC3251" s="3"/>
      <c r="AD3251" s="3"/>
      <c r="AE3251" s="3"/>
      <c r="AF3251" s="3"/>
      <c r="AG3251" s="3"/>
      <c r="AH3251" s="3"/>
      <c r="AI3251" s="3"/>
      <c r="AJ3251" s="3"/>
      <c r="AK3251" s="3"/>
      <c r="AL3251" s="3"/>
    </row>
    <row r="3252" ht="15.75" customHeight="1">
      <c r="A3252" s="27"/>
      <c r="B3252" s="31" t="s">
        <v>11327</v>
      </c>
      <c r="C3252" s="29" t="s">
        <v>11328</v>
      </c>
      <c r="D3252" s="39" t="s">
        <v>11329</v>
      </c>
      <c r="E3252" s="28"/>
      <c r="F3252" s="31" t="s">
        <v>29</v>
      </c>
      <c r="G3252" s="31" t="s">
        <v>30</v>
      </c>
      <c r="H3252" s="28"/>
      <c r="I3252" s="31" t="s">
        <v>30</v>
      </c>
      <c r="J3252" s="31">
        <v>465.0</v>
      </c>
      <c r="K3252" s="28"/>
      <c r="L3252" s="31" t="s">
        <v>11330</v>
      </c>
      <c r="M3252" s="31" t="s">
        <v>161</v>
      </c>
      <c r="N3252" s="31">
        <v>2001.0</v>
      </c>
      <c r="O3252" s="28"/>
      <c r="P3252" s="31">
        <v>1.0</v>
      </c>
      <c r="Q3252" s="37">
        <v>1.0</v>
      </c>
      <c r="R3252" s="33"/>
      <c r="S3252" s="34"/>
      <c r="T3252" s="34"/>
      <c r="U3252" s="34"/>
      <c r="V3252" s="34"/>
      <c r="W3252" s="34"/>
      <c r="X3252" s="34"/>
      <c r="Y3252" s="3"/>
      <c r="Z3252" s="3"/>
      <c r="AA3252" s="3"/>
      <c r="AB3252" s="3"/>
      <c r="AC3252" s="3"/>
      <c r="AD3252" s="3"/>
      <c r="AE3252" s="3"/>
      <c r="AF3252" s="3"/>
      <c r="AG3252" s="3"/>
      <c r="AH3252" s="3"/>
      <c r="AI3252" s="3"/>
      <c r="AJ3252" s="3"/>
      <c r="AK3252" s="3"/>
      <c r="AL3252" s="3"/>
    </row>
    <row r="3253" ht="15.75" customHeight="1">
      <c r="A3253" s="27"/>
      <c r="B3253" s="31" t="s">
        <v>8146</v>
      </c>
      <c r="C3253" s="29" t="s">
        <v>11331</v>
      </c>
      <c r="D3253" s="39" t="s">
        <v>11332</v>
      </c>
      <c r="E3253" s="28"/>
      <c r="F3253" s="31" t="s">
        <v>29</v>
      </c>
      <c r="G3253" s="31" t="s">
        <v>30</v>
      </c>
      <c r="H3253" s="28"/>
      <c r="I3253" s="31" t="s">
        <v>30</v>
      </c>
      <c r="J3253" s="31">
        <v>374.0</v>
      </c>
      <c r="K3253" s="28"/>
      <c r="L3253" s="31" t="s">
        <v>11333</v>
      </c>
      <c r="M3253" s="31" t="s">
        <v>151</v>
      </c>
      <c r="N3253" s="31">
        <v>2008.0</v>
      </c>
      <c r="O3253" s="28"/>
      <c r="P3253" s="31">
        <v>1.0</v>
      </c>
      <c r="Q3253" s="37">
        <v>1.0</v>
      </c>
      <c r="R3253" s="33"/>
      <c r="S3253" s="34"/>
      <c r="T3253" s="34"/>
      <c r="U3253" s="34"/>
      <c r="V3253" s="34"/>
      <c r="W3253" s="34"/>
      <c r="X3253" s="34"/>
      <c r="Y3253" s="3"/>
      <c r="Z3253" s="3"/>
      <c r="AA3253" s="3"/>
      <c r="AB3253" s="3"/>
      <c r="AC3253" s="3"/>
      <c r="AD3253" s="3"/>
      <c r="AE3253" s="3"/>
      <c r="AF3253" s="3"/>
      <c r="AG3253" s="3"/>
      <c r="AH3253" s="3"/>
      <c r="AI3253" s="3"/>
      <c r="AJ3253" s="3"/>
      <c r="AK3253" s="3"/>
      <c r="AL3253" s="3"/>
    </row>
    <row r="3254" ht="15.75" customHeight="1">
      <c r="A3254" s="27"/>
      <c r="B3254" s="28"/>
      <c r="C3254" s="29" t="s">
        <v>11334</v>
      </c>
      <c r="D3254" s="39" t="s">
        <v>11335</v>
      </c>
      <c r="E3254" s="28"/>
      <c r="F3254" s="31" t="s">
        <v>29</v>
      </c>
      <c r="G3254" s="31" t="s">
        <v>37</v>
      </c>
      <c r="H3254" s="28"/>
      <c r="I3254" s="31" t="s">
        <v>38</v>
      </c>
      <c r="J3254" s="31">
        <v>569.0</v>
      </c>
      <c r="K3254" s="28"/>
      <c r="L3254" s="31" t="s">
        <v>11336</v>
      </c>
      <c r="M3254" s="31" t="s">
        <v>11337</v>
      </c>
      <c r="N3254" s="31">
        <v>1962.0</v>
      </c>
      <c r="O3254" s="28"/>
      <c r="P3254" s="31">
        <v>1.0</v>
      </c>
      <c r="Q3254" s="37">
        <v>1.0</v>
      </c>
      <c r="R3254" s="33"/>
      <c r="S3254" s="34"/>
      <c r="T3254" s="34"/>
      <c r="U3254" s="34"/>
      <c r="V3254" s="34"/>
      <c r="W3254" s="34"/>
      <c r="X3254" s="34"/>
      <c r="Y3254" s="3"/>
      <c r="Z3254" s="3"/>
      <c r="AA3254" s="3"/>
      <c r="AB3254" s="3"/>
      <c r="AC3254" s="3"/>
      <c r="AD3254" s="3"/>
      <c r="AE3254" s="3"/>
      <c r="AF3254" s="3"/>
      <c r="AG3254" s="3"/>
      <c r="AH3254" s="3"/>
      <c r="AI3254" s="3"/>
      <c r="AJ3254" s="3"/>
      <c r="AK3254" s="3"/>
      <c r="AL3254" s="3"/>
    </row>
    <row r="3255" ht="15.75" customHeight="1">
      <c r="A3255" s="27"/>
      <c r="B3255" s="28"/>
      <c r="C3255" s="29" t="s">
        <v>11338</v>
      </c>
      <c r="D3255" s="39" t="s">
        <v>11339</v>
      </c>
      <c r="E3255" s="28"/>
      <c r="F3255" s="31" t="s">
        <v>29</v>
      </c>
      <c r="G3255" s="31" t="s">
        <v>37</v>
      </c>
      <c r="H3255" s="28"/>
      <c r="I3255" s="31" t="s">
        <v>38</v>
      </c>
      <c r="J3255" s="31">
        <v>512.0</v>
      </c>
      <c r="K3255" s="28"/>
      <c r="L3255" s="31" t="s">
        <v>11340</v>
      </c>
      <c r="M3255" s="31" t="s">
        <v>382</v>
      </c>
      <c r="N3255" s="31">
        <v>2014.0</v>
      </c>
      <c r="O3255" s="28"/>
      <c r="P3255" s="31">
        <v>1.0</v>
      </c>
      <c r="Q3255" s="37">
        <v>1.0</v>
      </c>
      <c r="R3255" s="33"/>
      <c r="S3255" s="34"/>
      <c r="T3255" s="34"/>
      <c r="U3255" s="34"/>
      <c r="V3255" s="34"/>
      <c r="W3255" s="34"/>
      <c r="X3255" s="34"/>
      <c r="Y3255" s="3"/>
      <c r="Z3255" s="3"/>
      <c r="AA3255" s="3"/>
      <c r="AB3255" s="3"/>
      <c r="AC3255" s="3"/>
      <c r="AD3255" s="3"/>
      <c r="AE3255" s="3"/>
      <c r="AF3255" s="3"/>
      <c r="AG3255" s="3"/>
      <c r="AH3255" s="3"/>
      <c r="AI3255" s="3"/>
      <c r="AJ3255" s="3"/>
      <c r="AK3255" s="3"/>
      <c r="AL3255" s="3"/>
    </row>
    <row r="3256" ht="15.75" customHeight="1">
      <c r="A3256" s="27"/>
      <c r="B3256" s="31" t="s">
        <v>11341</v>
      </c>
      <c r="C3256" s="68" t="s">
        <v>11342</v>
      </c>
      <c r="D3256" s="39" t="s">
        <v>11343</v>
      </c>
      <c r="E3256" s="28"/>
      <c r="F3256" s="31" t="s">
        <v>29</v>
      </c>
      <c r="G3256" s="31" t="s">
        <v>37</v>
      </c>
      <c r="H3256" s="28"/>
      <c r="I3256" s="31" t="s">
        <v>30</v>
      </c>
      <c r="J3256" s="31">
        <v>492.0</v>
      </c>
      <c r="K3256" s="28"/>
      <c r="L3256" s="31" t="s">
        <v>11344</v>
      </c>
      <c r="M3256" s="31" t="s">
        <v>169</v>
      </c>
      <c r="N3256" s="31">
        <v>2002.0</v>
      </c>
      <c r="O3256" s="28"/>
      <c r="P3256" s="31">
        <v>1.0</v>
      </c>
      <c r="Q3256" s="37">
        <v>1.0</v>
      </c>
      <c r="R3256" s="33"/>
      <c r="S3256" s="34"/>
      <c r="T3256" s="34"/>
      <c r="U3256" s="34"/>
      <c r="V3256" s="34"/>
      <c r="W3256" s="34"/>
      <c r="X3256" s="34"/>
      <c r="Y3256" s="3"/>
      <c r="Z3256" s="3"/>
      <c r="AA3256" s="3"/>
      <c r="AB3256" s="3"/>
      <c r="AC3256" s="3"/>
      <c r="AD3256" s="3"/>
      <c r="AE3256" s="3"/>
      <c r="AF3256" s="3"/>
      <c r="AG3256" s="3"/>
      <c r="AH3256" s="3"/>
      <c r="AI3256" s="3"/>
      <c r="AJ3256" s="3"/>
      <c r="AK3256" s="3"/>
      <c r="AL3256" s="3"/>
    </row>
    <row r="3257" ht="15.75" customHeight="1">
      <c r="A3257" s="27"/>
      <c r="B3257" s="31" t="s">
        <v>11345</v>
      </c>
      <c r="C3257" s="29" t="s">
        <v>11346</v>
      </c>
      <c r="D3257" s="39" t="s">
        <v>11347</v>
      </c>
      <c r="E3257" s="28"/>
      <c r="F3257" s="31" t="s">
        <v>29</v>
      </c>
      <c r="G3257" s="31" t="s">
        <v>30</v>
      </c>
      <c r="H3257" s="28"/>
      <c r="I3257" s="31" t="s">
        <v>30</v>
      </c>
      <c r="J3257" s="31">
        <v>241.0</v>
      </c>
      <c r="K3257" s="28"/>
      <c r="L3257" s="31" t="s">
        <v>2823</v>
      </c>
      <c r="M3257" s="31" t="s">
        <v>1040</v>
      </c>
      <c r="N3257" s="31">
        <v>2004.0</v>
      </c>
      <c r="O3257" s="28"/>
      <c r="P3257" s="31">
        <v>1.0</v>
      </c>
      <c r="Q3257" s="37">
        <v>1.0</v>
      </c>
      <c r="R3257" s="33"/>
      <c r="S3257" s="34"/>
      <c r="T3257" s="34"/>
      <c r="U3257" s="34"/>
      <c r="V3257" s="34"/>
      <c r="W3257" s="34"/>
      <c r="X3257" s="34"/>
      <c r="Y3257" s="3"/>
      <c r="Z3257" s="3"/>
      <c r="AA3257" s="3"/>
      <c r="AB3257" s="3"/>
      <c r="AC3257" s="3"/>
      <c r="AD3257" s="3"/>
      <c r="AE3257" s="3"/>
      <c r="AF3257" s="3"/>
      <c r="AG3257" s="3"/>
      <c r="AH3257" s="3"/>
      <c r="AI3257" s="3"/>
      <c r="AJ3257" s="3"/>
      <c r="AK3257" s="3"/>
      <c r="AL3257" s="3"/>
    </row>
    <row r="3258" ht="15.75" customHeight="1">
      <c r="A3258" s="27"/>
      <c r="B3258" s="28"/>
      <c r="C3258" s="29" t="s">
        <v>11348</v>
      </c>
      <c r="D3258" s="39" t="s">
        <v>11349</v>
      </c>
      <c r="E3258" s="28"/>
      <c r="F3258" s="31" t="s">
        <v>29</v>
      </c>
      <c r="G3258" s="31" t="s">
        <v>37</v>
      </c>
      <c r="H3258" s="28"/>
      <c r="I3258" s="31" t="s">
        <v>30</v>
      </c>
      <c r="J3258" s="31">
        <v>390.0</v>
      </c>
      <c r="K3258" s="28"/>
      <c r="L3258" s="31" t="s">
        <v>9075</v>
      </c>
      <c r="M3258" s="31" t="s">
        <v>3027</v>
      </c>
      <c r="N3258" s="31">
        <v>2002.0</v>
      </c>
      <c r="O3258" s="28"/>
      <c r="P3258" s="31">
        <v>1.0</v>
      </c>
      <c r="Q3258" s="37">
        <v>1.0</v>
      </c>
      <c r="R3258" s="33"/>
      <c r="S3258" s="34"/>
      <c r="T3258" s="34"/>
      <c r="U3258" s="34"/>
      <c r="V3258" s="34"/>
      <c r="W3258" s="34"/>
      <c r="X3258" s="34"/>
      <c r="Y3258" s="3"/>
      <c r="Z3258" s="3"/>
      <c r="AA3258" s="3"/>
      <c r="AB3258" s="3"/>
      <c r="AC3258" s="3"/>
      <c r="AD3258" s="3"/>
      <c r="AE3258" s="3"/>
      <c r="AF3258" s="3"/>
      <c r="AG3258" s="3"/>
      <c r="AH3258" s="3"/>
      <c r="AI3258" s="3"/>
      <c r="AJ3258" s="3"/>
      <c r="AK3258" s="3"/>
      <c r="AL3258" s="3"/>
    </row>
    <row r="3259" ht="15.75" customHeight="1">
      <c r="A3259" s="27"/>
      <c r="B3259" s="31" t="s">
        <v>11350</v>
      </c>
      <c r="C3259" s="29" t="s">
        <v>11351</v>
      </c>
      <c r="D3259" s="39" t="s">
        <v>11352</v>
      </c>
      <c r="E3259" s="28"/>
      <c r="F3259" s="31" t="s">
        <v>29</v>
      </c>
      <c r="G3259" s="31" t="s">
        <v>37</v>
      </c>
      <c r="H3259" s="28"/>
      <c r="I3259" s="31" t="s">
        <v>30</v>
      </c>
      <c r="J3259" s="31">
        <v>235.0</v>
      </c>
      <c r="K3259" s="28"/>
      <c r="L3259" s="31" t="s">
        <v>9766</v>
      </c>
      <c r="M3259" s="31" t="s">
        <v>4762</v>
      </c>
      <c r="N3259" s="31">
        <v>2008.0</v>
      </c>
      <c r="O3259" s="28"/>
      <c r="P3259" s="31">
        <v>1.0</v>
      </c>
      <c r="Q3259" s="37">
        <v>1.0</v>
      </c>
      <c r="R3259" s="33"/>
      <c r="S3259" s="34"/>
      <c r="T3259" s="34"/>
      <c r="U3259" s="34"/>
      <c r="V3259" s="34"/>
      <c r="W3259" s="34"/>
      <c r="X3259" s="34"/>
      <c r="Y3259" s="3"/>
      <c r="Z3259" s="3"/>
      <c r="AA3259" s="3"/>
      <c r="AB3259" s="3"/>
      <c r="AC3259" s="3"/>
      <c r="AD3259" s="3"/>
      <c r="AE3259" s="3"/>
      <c r="AF3259" s="3"/>
      <c r="AG3259" s="3"/>
      <c r="AH3259" s="3"/>
      <c r="AI3259" s="3"/>
      <c r="AJ3259" s="3"/>
      <c r="AK3259" s="3"/>
      <c r="AL3259" s="3"/>
    </row>
    <row r="3260" ht="15.75" customHeight="1">
      <c r="A3260" s="27"/>
      <c r="B3260" s="31" t="s">
        <v>11353</v>
      </c>
      <c r="C3260" s="29" t="s">
        <v>11354</v>
      </c>
      <c r="D3260" s="39" t="s">
        <v>11355</v>
      </c>
      <c r="E3260" s="28"/>
      <c r="F3260" s="31" t="s">
        <v>29</v>
      </c>
      <c r="G3260" s="31" t="s">
        <v>37</v>
      </c>
      <c r="H3260" s="28"/>
      <c r="I3260" s="31" t="s">
        <v>30</v>
      </c>
      <c r="J3260" s="31">
        <v>251.0</v>
      </c>
      <c r="K3260" s="28"/>
      <c r="L3260" s="31" t="s">
        <v>11356</v>
      </c>
      <c r="M3260" s="31" t="s">
        <v>11357</v>
      </c>
      <c r="N3260" s="31">
        <v>1999.0</v>
      </c>
      <c r="O3260" s="28"/>
      <c r="P3260" s="31">
        <v>1.0</v>
      </c>
      <c r="Q3260" s="37">
        <v>1.0</v>
      </c>
      <c r="R3260" s="33"/>
      <c r="S3260" s="34"/>
      <c r="T3260" s="34"/>
      <c r="U3260" s="34"/>
      <c r="V3260" s="34"/>
      <c r="W3260" s="34"/>
      <c r="X3260" s="34"/>
      <c r="Y3260" s="3"/>
      <c r="Z3260" s="3"/>
      <c r="AA3260" s="3"/>
      <c r="AB3260" s="3"/>
      <c r="AC3260" s="3"/>
      <c r="AD3260" s="3"/>
      <c r="AE3260" s="3"/>
      <c r="AF3260" s="3"/>
      <c r="AG3260" s="3"/>
      <c r="AH3260" s="3"/>
      <c r="AI3260" s="3"/>
      <c r="AJ3260" s="3"/>
      <c r="AK3260" s="3"/>
      <c r="AL3260" s="3"/>
    </row>
    <row r="3261" ht="15.75" customHeight="1">
      <c r="A3261" s="27"/>
      <c r="B3261" s="28"/>
      <c r="C3261" s="29" t="s">
        <v>11358</v>
      </c>
      <c r="D3261" s="39" t="s">
        <v>11359</v>
      </c>
      <c r="E3261" s="28"/>
      <c r="F3261" s="31" t="s">
        <v>29</v>
      </c>
      <c r="G3261" s="31" t="s">
        <v>37</v>
      </c>
      <c r="H3261" s="28"/>
      <c r="I3261" s="31" t="s">
        <v>30</v>
      </c>
      <c r="J3261" s="31">
        <v>247.0</v>
      </c>
      <c r="K3261" s="28"/>
      <c r="L3261" s="31" t="s">
        <v>11360</v>
      </c>
      <c r="M3261" s="31" t="s">
        <v>3240</v>
      </c>
      <c r="N3261" s="31">
        <v>1999.0</v>
      </c>
      <c r="O3261" s="28"/>
      <c r="P3261" s="31">
        <v>1.0</v>
      </c>
      <c r="Q3261" s="37">
        <v>1.0</v>
      </c>
      <c r="R3261" s="33"/>
      <c r="S3261" s="34"/>
      <c r="T3261" s="34"/>
      <c r="U3261" s="34"/>
      <c r="V3261" s="34"/>
      <c r="W3261" s="34"/>
      <c r="X3261" s="34"/>
      <c r="Y3261" s="3"/>
      <c r="Z3261" s="3"/>
      <c r="AA3261" s="3"/>
      <c r="AB3261" s="3"/>
      <c r="AC3261" s="3"/>
      <c r="AD3261" s="3"/>
      <c r="AE3261" s="3"/>
      <c r="AF3261" s="3"/>
      <c r="AG3261" s="3"/>
      <c r="AH3261" s="3"/>
      <c r="AI3261" s="3"/>
      <c r="AJ3261" s="3"/>
      <c r="AK3261" s="3"/>
      <c r="AL3261" s="3"/>
    </row>
    <row r="3262" ht="15.75" customHeight="1">
      <c r="A3262" s="262"/>
      <c r="B3262" s="263" t="s">
        <v>11361</v>
      </c>
      <c r="C3262" s="264" t="s">
        <v>11362</v>
      </c>
      <c r="D3262" s="265" t="s">
        <v>11363</v>
      </c>
      <c r="E3262" s="266"/>
      <c r="F3262" s="263" t="s">
        <v>29</v>
      </c>
      <c r="G3262" s="263" t="s">
        <v>30</v>
      </c>
      <c r="H3262" s="266"/>
      <c r="I3262" s="263" t="s">
        <v>30</v>
      </c>
      <c r="J3262" s="263">
        <v>162.0</v>
      </c>
      <c r="K3262" s="266"/>
      <c r="L3262" s="263" t="s">
        <v>11364</v>
      </c>
      <c r="M3262" s="263" t="s">
        <v>3240</v>
      </c>
      <c r="N3262" s="263">
        <v>2008.0</v>
      </c>
      <c r="O3262" s="266"/>
      <c r="P3262" s="263">
        <v>1.0</v>
      </c>
      <c r="Q3262" s="267">
        <v>1.0</v>
      </c>
      <c r="R3262" s="268"/>
      <c r="S3262" s="269" t="s">
        <v>11365</v>
      </c>
      <c r="T3262" s="34"/>
      <c r="U3262" s="34"/>
      <c r="V3262" s="34"/>
      <c r="W3262" s="34"/>
      <c r="X3262" s="34"/>
      <c r="Y3262" s="3"/>
      <c r="Z3262" s="3"/>
      <c r="AA3262" s="3"/>
      <c r="AB3262" s="3"/>
      <c r="AC3262" s="3"/>
      <c r="AD3262" s="3"/>
      <c r="AE3262" s="3"/>
      <c r="AF3262" s="3"/>
      <c r="AG3262" s="3"/>
      <c r="AH3262" s="3"/>
      <c r="AI3262" s="3"/>
      <c r="AJ3262" s="3"/>
      <c r="AK3262" s="3"/>
      <c r="AL3262" s="3"/>
    </row>
    <row r="3263" ht="15.75" customHeight="1">
      <c r="A3263" s="262"/>
      <c r="B3263" s="263" t="s">
        <v>11366</v>
      </c>
      <c r="C3263" s="264" t="s">
        <v>11367</v>
      </c>
      <c r="D3263" s="265" t="s">
        <v>11368</v>
      </c>
      <c r="E3263" s="266"/>
      <c r="F3263" s="263" t="s">
        <v>29</v>
      </c>
      <c r="G3263" s="263" t="s">
        <v>30</v>
      </c>
      <c r="H3263" s="266"/>
      <c r="I3263" s="263" t="s">
        <v>30</v>
      </c>
      <c r="J3263" s="263">
        <v>116.0</v>
      </c>
      <c r="K3263" s="266"/>
      <c r="L3263" s="263" t="s">
        <v>11369</v>
      </c>
      <c r="M3263" s="263" t="s">
        <v>3240</v>
      </c>
      <c r="N3263" s="270" t="s">
        <v>11370</v>
      </c>
      <c r="O3263" s="266"/>
      <c r="P3263" s="263">
        <v>1.0</v>
      </c>
      <c r="Q3263" s="267">
        <v>1.0</v>
      </c>
      <c r="R3263" s="268"/>
      <c r="S3263" s="34"/>
      <c r="T3263" s="34"/>
      <c r="U3263" s="34"/>
      <c r="V3263" s="34"/>
      <c r="W3263" s="34"/>
      <c r="X3263" s="34"/>
      <c r="Y3263" s="3"/>
      <c r="Z3263" s="3"/>
      <c r="AA3263" s="3"/>
      <c r="AB3263" s="3"/>
      <c r="AC3263" s="3"/>
      <c r="AD3263" s="3"/>
      <c r="AE3263" s="3"/>
      <c r="AF3263" s="3"/>
      <c r="AG3263" s="3"/>
      <c r="AH3263" s="3"/>
      <c r="AI3263" s="3"/>
      <c r="AJ3263" s="3"/>
      <c r="AK3263" s="3"/>
      <c r="AL3263" s="3"/>
    </row>
    <row r="3264" ht="15.75" customHeight="1">
      <c r="A3264" s="262"/>
      <c r="B3264" s="263" t="s">
        <v>11371</v>
      </c>
      <c r="C3264" s="264" t="s">
        <v>11372</v>
      </c>
      <c r="D3264" s="265" t="s">
        <v>11373</v>
      </c>
      <c r="E3264" s="266"/>
      <c r="F3264" s="263" t="s">
        <v>29</v>
      </c>
      <c r="G3264" s="263" t="s">
        <v>30</v>
      </c>
      <c r="H3264" s="266"/>
      <c r="I3264" s="263" t="s">
        <v>30</v>
      </c>
      <c r="J3264" s="263">
        <v>208.0</v>
      </c>
      <c r="K3264" s="266"/>
      <c r="L3264" s="263" t="s">
        <v>11374</v>
      </c>
      <c r="M3264" s="263" t="s">
        <v>3240</v>
      </c>
      <c r="N3264" s="263">
        <v>2021.0</v>
      </c>
      <c r="O3264" s="266"/>
      <c r="P3264" s="263">
        <v>1.0</v>
      </c>
      <c r="Q3264" s="267">
        <v>1.0</v>
      </c>
      <c r="R3264" s="268"/>
      <c r="S3264" s="34"/>
      <c r="T3264" s="34"/>
      <c r="U3264" s="34"/>
      <c r="V3264" s="34"/>
      <c r="W3264" s="34"/>
      <c r="X3264" s="34"/>
      <c r="Y3264" s="3"/>
      <c r="Z3264" s="3"/>
      <c r="AA3264" s="3"/>
      <c r="AB3264" s="3"/>
      <c r="AC3264" s="3"/>
      <c r="AD3264" s="3"/>
      <c r="AE3264" s="3"/>
      <c r="AF3264" s="3"/>
      <c r="AG3264" s="3"/>
      <c r="AH3264" s="3"/>
      <c r="AI3264" s="3"/>
      <c r="AJ3264" s="3"/>
      <c r="AK3264" s="3"/>
      <c r="AL3264" s="3"/>
    </row>
    <row r="3265" ht="15.75" customHeight="1">
      <c r="A3265" s="262"/>
      <c r="B3265" s="263" t="s">
        <v>11375</v>
      </c>
      <c r="C3265" s="264" t="s">
        <v>11376</v>
      </c>
      <c r="D3265" s="265" t="s">
        <v>11377</v>
      </c>
      <c r="E3265" s="266"/>
      <c r="F3265" s="263" t="s">
        <v>29</v>
      </c>
      <c r="G3265" s="263" t="s">
        <v>30</v>
      </c>
      <c r="H3265" s="266"/>
      <c r="I3265" s="263" t="s">
        <v>30</v>
      </c>
      <c r="J3265" s="263">
        <v>196.0</v>
      </c>
      <c r="K3265" s="266"/>
      <c r="L3265" s="263" t="s">
        <v>11378</v>
      </c>
      <c r="M3265" s="263" t="s">
        <v>3240</v>
      </c>
      <c r="N3265" s="263">
        <v>2010.0</v>
      </c>
      <c r="O3265" s="266"/>
      <c r="P3265" s="263">
        <v>1.0</v>
      </c>
      <c r="Q3265" s="267">
        <v>1.0</v>
      </c>
      <c r="R3265" s="268"/>
      <c r="S3265" s="34"/>
      <c r="T3265" s="34"/>
      <c r="U3265" s="34"/>
      <c r="V3265" s="34"/>
      <c r="W3265" s="34"/>
      <c r="X3265" s="34"/>
      <c r="Y3265" s="3"/>
      <c r="Z3265" s="3"/>
      <c r="AA3265" s="3"/>
      <c r="AB3265" s="3"/>
      <c r="AC3265" s="3"/>
      <c r="AD3265" s="3"/>
      <c r="AE3265" s="3"/>
      <c r="AF3265" s="3"/>
      <c r="AG3265" s="3"/>
      <c r="AH3265" s="3"/>
      <c r="AI3265" s="3"/>
      <c r="AJ3265" s="3"/>
      <c r="AK3265" s="3"/>
      <c r="AL3265" s="3"/>
    </row>
    <row r="3266" ht="15.75" customHeight="1">
      <c r="A3266" s="262"/>
      <c r="B3266" s="263" t="s">
        <v>11379</v>
      </c>
      <c r="C3266" s="264" t="s">
        <v>11380</v>
      </c>
      <c r="D3266" s="265" t="s">
        <v>11381</v>
      </c>
      <c r="E3266" s="266"/>
      <c r="F3266" s="263" t="s">
        <v>29</v>
      </c>
      <c r="G3266" s="263" t="s">
        <v>30</v>
      </c>
      <c r="H3266" s="266"/>
      <c r="I3266" s="263" t="s">
        <v>30</v>
      </c>
      <c r="J3266" s="263">
        <v>134.0</v>
      </c>
      <c r="K3266" s="266"/>
      <c r="L3266" s="263" t="s">
        <v>912</v>
      </c>
      <c r="M3266" s="263" t="s">
        <v>3240</v>
      </c>
      <c r="N3266" s="263">
        <v>2021.0</v>
      </c>
      <c r="O3266" s="266"/>
      <c r="P3266" s="263">
        <v>1.0</v>
      </c>
      <c r="Q3266" s="267">
        <v>1.0</v>
      </c>
      <c r="R3266" s="268"/>
      <c r="S3266" s="34"/>
      <c r="T3266" s="34"/>
      <c r="U3266" s="34"/>
      <c r="V3266" s="34"/>
      <c r="W3266" s="34"/>
      <c r="X3266" s="34"/>
      <c r="Y3266" s="3"/>
      <c r="Z3266" s="3"/>
      <c r="AA3266" s="3"/>
      <c r="AB3266" s="3"/>
      <c r="AC3266" s="3"/>
      <c r="AD3266" s="3"/>
      <c r="AE3266" s="3"/>
      <c r="AF3266" s="3"/>
      <c r="AG3266" s="3"/>
      <c r="AH3266" s="3"/>
      <c r="AI3266" s="3"/>
      <c r="AJ3266" s="3"/>
      <c r="AK3266" s="3"/>
      <c r="AL3266" s="3"/>
    </row>
    <row r="3267" ht="15.75" customHeight="1">
      <c r="A3267" s="262"/>
      <c r="B3267" s="263" t="s">
        <v>11382</v>
      </c>
      <c r="C3267" s="264" t="s">
        <v>11383</v>
      </c>
      <c r="D3267" s="265" t="s">
        <v>11384</v>
      </c>
      <c r="E3267" s="266"/>
      <c r="F3267" s="263" t="s">
        <v>29</v>
      </c>
      <c r="G3267" s="263" t="s">
        <v>30</v>
      </c>
      <c r="H3267" s="266"/>
      <c r="I3267" s="263" t="s">
        <v>30</v>
      </c>
      <c r="J3267" s="263">
        <v>442.0</v>
      </c>
      <c r="K3267" s="266"/>
      <c r="L3267" s="263" t="s">
        <v>11374</v>
      </c>
      <c r="M3267" s="263" t="s">
        <v>3240</v>
      </c>
      <c r="N3267" s="263">
        <v>2014.0</v>
      </c>
      <c r="O3267" s="266"/>
      <c r="P3267" s="263">
        <v>1.0</v>
      </c>
      <c r="Q3267" s="267">
        <v>1.0</v>
      </c>
      <c r="R3267" s="268"/>
      <c r="S3267" s="34"/>
      <c r="T3267" s="34"/>
      <c r="U3267" s="34"/>
      <c r="V3267" s="34"/>
      <c r="W3267" s="34"/>
      <c r="X3267" s="34"/>
      <c r="Y3267" s="3"/>
      <c r="Z3267" s="3"/>
      <c r="AA3267" s="3"/>
      <c r="AB3267" s="3"/>
      <c r="AC3267" s="3"/>
      <c r="AD3267" s="3"/>
      <c r="AE3267" s="3"/>
      <c r="AF3267" s="3"/>
      <c r="AG3267" s="3"/>
      <c r="AH3267" s="3"/>
      <c r="AI3267" s="3"/>
      <c r="AJ3267" s="3"/>
      <c r="AK3267" s="3"/>
      <c r="AL3267" s="3"/>
    </row>
    <row r="3268" ht="15.75" customHeight="1">
      <c r="A3268" s="262"/>
      <c r="B3268" s="263" t="s">
        <v>11385</v>
      </c>
      <c r="C3268" s="264" t="s">
        <v>11386</v>
      </c>
      <c r="D3268" s="265" t="s">
        <v>11387</v>
      </c>
      <c r="E3268" s="266"/>
      <c r="F3268" s="263" t="s">
        <v>29</v>
      </c>
      <c r="G3268" s="263" t="s">
        <v>30</v>
      </c>
      <c r="H3268" s="266"/>
      <c r="I3268" s="263" t="s">
        <v>30</v>
      </c>
      <c r="J3268" s="263">
        <v>298.0</v>
      </c>
      <c r="K3268" s="266"/>
      <c r="L3268" s="263" t="s">
        <v>11388</v>
      </c>
      <c r="M3268" s="263" t="s">
        <v>3240</v>
      </c>
      <c r="N3268" s="263">
        <v>2016.0</v>
      </c>
      <c r="O3268" s="266"/>
      <c r="P3268" s="263">
        <v>1.0</v>
      </c>
      <c r="Q3268" s="267">
        <v>1.0</v>
      </c>
      <c r="R3268" s="268"/>
      <c r="S3268" s="34"/>
      <c r="T3268" s="34"/>
      <c r="U3268" s="34"/>
      <c r="V3268" s="34"/>
      <c r="W3268" s="34"/>
      <c r="X3268" s="34"/>
      <c r="Y3268" s="3"/>
      <c r="Z3268" s="3"/>
      <c r="AA3268" s="3"/>
      <c r="AB3268" s="3"/>
      <c r="AC3268" s="3"/>
      <c r="AD3268" s="3"/>
      <c r="AE3268" s="3"/>
      <c r="AF3268" s="3"/>
      <c r="AG3268" s="3"/>
      <c r="AH3268" s="3"/>
      <c r="AI3268" s="3"/>
      <c r="AJ3268" s="3"/>
      <c r="AK3268" s="3"/>
      <c r="AL3268" s="3"/>
    </row>
    <row r="3269" ht="15.75" customHeight="1">
      <c r="A3269" s="262"/>
      <c r="B3269" s="263" t="s">
        <v>11389</v>
      </c>
      <c r="C3269" s="264" t="s">
        <v>11390</v>
      </c>
      <c r="D3269" s="265" t="s">
        <v>11391</v>
      </c>
      <c r="E3269" s="266"/>
      <c r="F3269" s="263" t="s">
        <v>29</v>
      </c>
      <c r="G3269" s="263" t="s">
        <v>30</v>
      </c>
      <c r="H3269" s="266"/>
      <c r="I3269" s="263" t="s">
        <v>30</v>
      </c>
      <c r="J3269" s="263">
        <v>276.0</v>
      </c>
      <c r="K3269" s="266"/>
      <c r="L3269" s="263" t="s">
        <v>11392</v>
      </c>
      <c r="M3269" s="263" t="s">
        <v>3240</v>
      </c>
      <c r="N3269" s="263">
        <v>2015.0</v>
      </c>
      <c r="O3269" s="266"/>
      <c r="P3269" s="263">
        <v>1.0</v>
      </c>
      <c r="Q3269" s="267">
        <v>1.0</v>
      </c>
      <c r="R3269" s="268"/>
      <c r="S3269" s="34"/>
      <c r="T3269" s="34"/>
      <c r="U3269" s="34"/>
      <c r="V3269" s="34"/>
      <c r="W3269" s="34"/>
      <c r="X3269" s="34"/>
      <c r="Y3269" s="3"/>
      <c r="Z3269" s="3"/>
      <c r="AA3269" s="3"/>
      <c r="AB3269" s="3"/>
      <c r="AC3269" s="3"/>
      <c r="AD3269" s="3"/>
      <c r="AE3269" s="3"/>
      <c r="AF3269" s="3"/>
      <c r="AG3269" s="3"/>
      <c r="AH3269" s="3"/>
      <c r="AI3269" s="3"/>
      <c r="AJ3269" s="3"/>
      <c r="AK3269" s="3"/>
      <c r="AL3269" s="3"/>
    </row>
    <row r="3270" ht="15.75" customHeight="1">
      <c r="A3270" s="262"/>
      <c r="B3270" s="263" t="s">
        <v>11393</v>
      </c>
      <c r="C3270" s="264" t="s">
        <v>11394</v>
      </c>
      <c r="D3270" s="265" t="s">
        <v>11395</v>
      </c>
      <c r="E3270" s="266"/>
      <c r="F3270" s="263" t="s">
        <v>29</v>
      </c>
      <c r="G3270" s="263" t="s">
        <v>30</v>
      </c>
      <c r="H3270" s="266"/>
      <c r="I3270" s="263" t="s">
        <v>30</v>
      </c>
      <c r="J3270" s="263">
        <v>354.0</v>
      </c>
      <c r="K3270" s="266"/>
      <c r="L3270" s="263" t="s">
        <v>11396</v>
      </c>
      <c r="M3270" s="263" t="s">
        <v>3240</v>
      </c>
      <c r="N3270" s="263">
        <v>2018.0</v>
      </c>
      <c r="O3270" s="266"/>
      <c r="P3270" s="263">
        <v>1.0</v>
      </c>
      <c r="Q3270" s="267">
        <v>1.0</v>
      </c>
      <c r="R3270" s="268"/>
      <c r="S3270" s="34"/>
      <c r="T3270" s="34"/>
      <c r="U3270" s="34"/>
      <c r="V3270" s="34"/>
      <c r="W3270" s="34"/>
      <c r="X3270" s="34"/>
      <c r="Y3270" s="3"/>
      <c r="Z3270" s="3"/>
      <c r="AA3270" s="3"/>
      <c r="AB3270" s="3"/>
      <c r="AC3270" s="3"/>
      <c r="AD3270" s="3"/>
      <c r="AE3270" s="3"/>
      <c r="AF3270" s="3"/>
      <c r="AG3270" s="3"/>
      <c r="AH3270" s="3"/>
      <c r="AI3270" s="3"/>
      <c r="AJ3270" s="3"/>
      <c r="AK3270" s="3"/>
      <c r="AL3270" s="3"/>
    </row>
    <row r="3271" ht="15.75" customHeight="1">
      <c r="A3271" s="262"/>
      <c r="B3271" s="263" t="s">
        <v>11397</v>
      </c>
      <c r="C3271" s="264" t="s">
        <v>11398</v>
      </c>
      <c r="D3271" s="265" t="s">
        <v>9728</v>
      </c>
      <c r="E3271" s="266"/>
      <c r="F3271" s="263" t="s">
        <v>29</v>
      </c>
      <c r="G3271" s="263" t="s">
        <v>30</v>
      </c>
      <c r="H3271" s="266"/>
      <c r="I3271" s="263" t="s">
        <v>30</v>
      </c>
      <c r="J3271" s="263">
        <v>554.0</v>
      </c>
      <c r="K3271" s="266"/>
      <c r="L3271" s="263" t="s">
        <v>3239</v>
      </c>
      <c r="M3271" s="263" t="s">
        <v>3240</v>
      </c>
      <c r="N3271" s="263">
        <v>2019.0</v>
      </c>
      <c r="O3271" s="266"/>
      <c r="P3271" s="263">
        <v>1.0</v>
      </c>
      <c r="Q3271" s="267">
        <v>1.0</v>
      </c>
      <c r="R3271" s="268"/>
      <c r="S3271" s="34"/>
      <c r="T3271" s="34"/>
      <c r="U3271" s="34"/>
      <c r="V3271" s="34"/>
      <c r="W3271" s="34"/>
      <c r="X3271" s="34"/>
      <c r="Y3271" s="3"/>
      <c r="Z3271" s="3"/>
      <c r="AA3271" s="3"/>
      <c r="AB3271" s="3"/>
      <c r="AC3271" s="3"/>
      <c r="AD3271" s="3"/>
      <c r="AE3271" s="3"/>
      <c r="AF3271" s="3"/>
      <c r="AG3271" s="3"/>
      <c r="AH3271" s="3"/>
      <c r="AI3271" s="3"/>
      <c r="AJ3271" s="3"/>
      <c r="AK3271" s="3"/>
      <c r="AL3271" s="3"/>
    </row>
    <row r="3272" ht="15.75" customHeight="1">
      <c r="A3272" s="262"/>
      <c r="B3272" s="263" t="s">
        <v>11399</v>
      </c>
      <c r="C3272" s="264" t="s">
        <v>11400</v>
      </c>
      <c r="D3272" s="265" t="s">
        <v>11401</v>
      </c>
      <c r="E3272" s="266"/>
      <c r="F3272" s="263" t="s">
        <v>29</v>
      </c>
      <c r="G3272" s="263" t="s">
        <v>30</v>
      </c>
      <c r="H3272" s="266"/>
      <c r="I3272" s="263" t="s">
        <v>30</v>
      </c>
      <c r="J3272" s="263">
        <v>338.0</v>
      </c>
      <c r="K3272" s="266"/>
      <c r="L3272" s="263" t="s">
        <v>11374</v>
      </c>
      <c r="M3272" s="263" t="s">
        <v>3240</v>
      </c>
      <c r="N3272" s="263">
        <v>2016.0</v>
      </c>
      <c r="O3272" s="266"/>
      <c r="P3272" s="263">
        <v>1.0</v>
      </c>
      <c r="Q3272" s="267">
        <v>1.0</v>
      </c>
      <c r="R3272" s="268"/>
      <c r="S3272" s="34"/>
      <c r="T3272" s="34"/>
      <c r="U3272" s="34"/>
      <c r="V3272" s="34"/>
      <c r="W3272" s="34"/>
      <c r="X3272" s="34"/>
      <c r="Y3272" s="3"/>
      <c r="Z3272" s="3"/>
      <c r="AA3272" s="3"/>
      <c r="AB3272" s="3"/>
      <c r="AC3272" s="3"/>
      <c r="AD3272" s="3"/>
      <c r="AE3272" s="3"/>
      <c r="AF3272" s="3"/>
      <c r="AG3272" s="3"/>
      <c r="AH3272" s="3"/>
      <c r="AI3272" s="3"/>
      <c r="AJ3272" s="3"/>
      <c r="AK3272" s="3"/>
      <c r="AL3272" s="3"/>
    </row>
    <row r="3273" ht="15.75" customHeight="1">
      <c r="A3273" s="262"/>
      <c r="B3273" s="263" t="s">
        <v>11402</v>
      </c>
      <c r="C3273" s="264" t="s">
        <v>11403</v>
      </c>
      <c r="D3273" s="265" t="s">
        <v>11404</v>
      </c>
      <c r="E3273" s="266"/>
      <c r="F3273" s="263" t="s">
        <v>29</v>
      </c>
      <c r="G3273" s="263" t="s">
        <v>30</v>
      </c>
      <c r="H3273" s="266"/>
      <c r="I3273" s="263" t="s">
        <v>30</v>
      </c>
      <c r="J3273" s="263">
        <v>402.0</v>
      </c>
      <c r="K3273" s="266"/>
      <c r="L3273" s="263" t="s">
        <v>11405</v>
      </c>
      <c r="M3273" s="263" t="s">
        <v>3240</v>
      </c>
      <c r="N3273" s="263">
        <v>2016.0</v>
      </c>
      <c r="O3273" s="266"/>
      <c r="P3273" s="263">
        <v>1.0</v>
      </c>
      <c r="Q3273" s="267">
        <v>1.0</v>
      </c>
      <c r="R3273" s="268"/>
      <c r="S3273" s="34"/>
      <c r="T3273" s="34"/>
      <c r="U3273" s="34"/>
      <c r="V3273" s="34"/>
      <c r="W3273" s="34"/>
      <c r="X3273" s="34"/>
      <c r="Y3273" s="3"/>
      <c r="Z3273" s="3"/>
      <c r="AA3273" s="3"/>
      <c r="AB3273" s="3"/>
      <c r="AC3273" s="3"/>
      <c r="AD3273" s="3"/>
      <c r="AE3273" s="3"/>
      <c r="AF3273" s="3"/>
      <c r="AG3273" s="3"/>
      <c r="AH3273" s="3"/>
      <c r="AI3273" s="3"/>
      <c r="AJ3273" s="3"/>
      <c r="AK3273" s="3"/>
      <c r="AL3273" s="3"/>
    </row>
    <row r="3274" ht="15.75" customHeight="1">
      <c r="A3274" s="262"/>
      <c r="B3274" s="263" t="s">
        <v>11406</v>
      </c>
      <c r="C3274" s="264" t="s">
        <v>11407</v>
      </c>
      <c r="D3274" s="265" t="s">
        <v>11408</v>
      </c>
      <c r="E3274" s="266"/>
      <c r="F3274" s="263" t="s">
        <v>29</v>
      </c>
      <c r="G3274" s="263" t="s">
        <v>30</v>
      </c>
      <c r="H3274" s="266"/>
      <c r="I3274" s="263" t="s">
        <v>30</v>
      </c>
      <c r="J3274" s="263">
        <v>154.0</v>
      </c>
      <c r="K3274" s="266"/>
      <c r="L3274" s="263" t="s">
        <v>10883</v>
      </c>
      <c r="M3274" s="263" t="s">
        <v>3240</v>
      </c>
      <c r="N3274" s="263">
        <v>2020.0</v>
      </c>
      <c r="O3274" s="266"/>
      <c r="P3274" s="263">
        <v>1.0</v>
      </c>
      <c r="Q3274" s="267">
        <v>1.0</v>
      </c>
      <c r="R3274" s="268"/>
      <c r="S3274" s="34"/>
      <c r="T3274" s="34"/>
      <c r="U3274" s="34"/>
      <c r="V3274" s="34"/>
      <c r="W3274" s="34"/>
      <c r="X3274" s="34"/>
      <c r="Y3274" s="3"/>
      <c r="Z3274" s="3"/>
      <c r="AA3274" s="3"/>
      <c r="AB3274" s="3"/>
      <c r="AC3274" s="3"/>
      <c r="AD3274" s="3"/>
      <c r="AE3274" s="3"/>
      <c r="AF3274" s="3"/>
      <c r="AG3274" s="3"/>
      <c r="AH3274" s="3"/>
      <c r="AI3274" s="3"/>
      <c r="AJ3274" s="3"/>
      <c r="AK3274" s="3"/>
      <c r="AL3274" s="3"/>
    </row>
    <row r="3275" ht="15.75" customHeight="1">
      <c r="A3275" s="262"/>
      <c r="B3275" s="263" t="s">
        <v>11409</v>
      </c>
      <c r="C3275" s="264" t="s">
        <v>11410</v>
      </c>
      <c r="D3275" s="265" t="s">
        <v>11411</v>
      </c>
      <c r="E3275" s="266"/>
      <c r="F3275" s="263" t="s">
        <v>29</v>
      </c>
      <c r="G3275" s="263" t="s">
        <v>30</v>
      </c>
      <c r="H3275" s="266"/>
      <c r="I3275" s="263" t="s">
        <v>30</v>
      </c>
      <c r="J3275" s="263">
        <v>288.0</v>
      </c>
      <c r="K3275" s="266"/>
      <c r="L3275" s="263" t="s">
        <v>11035</v>
      </c>
      <c r="M3275" s="263" t="s">
        <v>3240</v>
      </c>
      <c r="N3275" s="263">
        <v>2014.0</v>
      </c>
      <c r="O3275" s="266"/>
      <c r="P3275" s="263">
        <v>1.0</v>
      </c>
      <c r="Q3275" s="267">
        <v>1.0</v>
      </c>
      <c r="R3275" s="268"/>
      <c r="S3275" s="34"/>
      <c r="T3275" s="34"/>
      <c r="U3275" s="34"/>
      <c r="V3275" s="34"/>
      <c r="W3275" s="34"/>
      <c r="X3275" s="34"/>
      <c r="Y3275" s="3"/>
      <c r="Z3275" s="3"/>
      <c r="AA3275" s="3"/>
      <c r="AB3275" s="3"/>
      <c r="AC3275" s="3"/>
      <c r="AD3275" s="3"/>
      <c r="AE3275" s="3"/>
      <c r="AF3275" s="3"/>
      <c r="AG3275" s="3"/>
      <c r="AH3275" s="3"/>
      <c r="AI3275" s="3"/>
      <c r="AJ3275" s="3"/>
      <c r="AK3275" s="3"/>
      <c r="AL3275" s="3"/>
    </row>
    <row r="3276" ht="15.75" customHeight="1">
      <c r="A3276" s="262"/>
      <c r="B3276" s="266"/>
      <c r="C3276" s="264" t="s">
        <v>11412</v>
      </c>
      <c r="D3276" s="265" t="s">
        <v>11413</v>
      </c>
      <c r="E3276" s="266"/>
      <c r="F3276" s="263" t="s">
        <v>29</v>
      </c>
      <c r="G3276" s="263" t="s">
        <v>30</v>
      </c>
      <c r="H3276" s="266"/>
      <c r="I3276" s="263" t="s">
        <v>30</v>
      </c>
      <c r="J3276" s="263">
        <v>180.0</v>
      </c>
      <c r="K3276" s="266"/>
      <c r="L3276" s="263" t="s">
        <v>11414</v>
      </c>
      <c r="M3276" s="263" t="s">
        <v>11172</v>
      </c>
      <c r="N3276" s="263">
        <v>2003.0</v>
      </c>
      <c r="O3276" s="266"/>
      <c r="P3276" s="263">
        <v>1.0</v>
      </c>
      <c r="Q3276" s="267">
        <v>1.0</v>
      </c>
      <c r="R3276" s="268"/>
      <c r="S3276" s="34"/>
      <c r="T3276" s="34"/>
      <c r="U3276" s="34"/>
      <c r="V3276" s="34"/>
      <c r="W3276" s="34"/>
      <c r="X3276" s="34"/>
      <c r="Y3276" s="3"/>
      <c r="Z3276" s="3"/>
      <c r="AA3276" s="3"/>
      <c r="AB3276" s="3"/>
      <c r="AC3276" s="3"/>
      <c r="AD3276" s="3"/>
      <c r="AE3276" s="3"/>
      <c r="AF3276" s="3"/>
      <c r="AG3276" s="3"/>
      <c r="AH3276" s="3"/>
      <c r="AI3276" s="3"/>
      <c r="AJ3276" s="3"/>
      <c r="AK3276" s="3"/>
      <c r="AL3276" s="3"/>
    </row>
    <row r="3277" ht="15.75" customHeight="1">
      <c r="A3277" s="262"/>
      <c r="B3277" s="263" t="s">
        <v>11415</v>
      </c>
      <c r="C3277" s="264" t="s">
        <v>11416</v>
      </c>
      <c r="D3277" s="265" t="s">
        <v>11417</v>
      </c>
      <c r="E3277" s="266"/>
      <c r="F3277" s="263" t="s">
        <v>29</v>
      </c>
      <c r="G3277" s="263" t="s">
        <v>30</v>
      </c>
      <c r="H3277" s="266"/>
      <c r="I3277" s="263" t="s">
        <v>30</v>
      </c>
      <c r="J3277" s="263">
        <v>600.0</v>
      </c>
      <c r="K3277" s="266"/>
      <c r="L3277" s="263" t="s">
        <v>11374</v>
      </c>
      <c r="M3277" s="263" t="s">
        <v>3240</v>
      </c>
      <c r="N3277" s="263">
        <v>2019.0</v>
      </c>
      <c r="O3277" s="266"/>
      <c r="P3277" s="263">
        <v>1.0</v>
      </c>
      <c r="Q3277" s="267">
        <v>1.0</v>
      </c>
      <c r="R3277" s="268"/>
      <c r="S3277" s="34"/>
      <c r="T3277" s="34"/>
      <c r="U3277" s="34"/>
      <c r="V3277" s="34"/>
      <c r="W3277" s="34"/>
      <c r="X3277" s="34"/>
      <c r="Y3277" s="3"/>
      <c r="Z3277" s="3"/>
      <c r="AA3277" s="3"/>
      <c r="AB3277" s="3"/>
      <c r="AC3277" s="3"/>
      <c r="AD3277" s="3"/>
      <c r="AE3277" s="3"/>
      <c r="AF3277" s="3"/>
      <c r="AG3277" s="3"/>
      <c r="AH3277" s="3"/>
      <c r="AI3277" s="3"/>
      <c r="AJ3277" s="3"/>
      <c r="AK3277" s="3"/>
      <c r="AL3277" s="3"/>
    </row>
    <row r="3278" ht="15.75" customHeight="1">
      <c r="A3278" s="262"/>
      <c r="B3278" s="263" t="s">
        <v>11418</v>
      </c>
      <c r="C3278" s="264" t="s">
        <v>11419</v>
      </c>
      <c r="D3278" s="265" t="s">
        <v>11420</v>
      </c>
      <c r="E3278" s="266"/>
      <c r="F3278" s="263" t="s">
        <v>29</v>
      </c>
      <c r="G3278" s="263" t="s">
        <v>30</v>
      </c>
      <c r="H3278" s="266"/>
      <c r="I3278" s="263" t="s">
        <v>30</v>
      </c>
      <c r="J3278" s="263">
        <v>88.0</v>
      </c>
      <c r="K3278" s="266"/>
      <c r="L3278" s="263" t="s">
        <v>11421</v>
      </c>
      <c r="M3278" s="263" t="s">
        <v>151</v>
      </c>
      <c r="N3278" s="263">
        <v>2023.0</v>
      </c>
      <c r="O3278" s="266"/>
      <c r="P3278" s="263">
        <v>1.0</v>
      </c>
      <c r="Q3278" s="267">
        <v>1.0</v>
      </c>
      <c r="R3278" s="268"/>
      <c r="S3278" s="34"/>
      <c r="T3278" s="34"/>
      <c r="U3278" s="34"/>
      <c r="V3278" s="34"/>
      <c r="W3278" s="34"/>
      <c r="X3278" s="34"/>
      <c r="Y3278" s="3"/>
      <c r="Z3278" s="3"/>
      <c r="AA3278" s="3"/>
      <c r="AB3278" s="3"/>
      <c r="AC3278" s="3"/>
      <c r="AD3278" s="3"/>
      <c r="AE3278" s="3"/>
      <c r="AF3278" s="3"/>
      <c r="AG3278" s="3"/>
      <c r="AH3278" s="3"/>
      <c r="AI3278" s="3"/>
      <c r="AJ3278" s="3"/>
      <c r="AK3278" s="3"/>
      <c r="AL3278" s="3"/>
    </row>
    <row r="3279" ht="15.75" customHeight="1">
      <c r="A3279" s="262"/>
      <c r="B3279" s="263" t="s">
        <v>11422</v>
      </c>
      <c r="C3279" s="271" t="s">
        <v>11423</v>
      </c>
      <c r="D3279" s="265" t="s">
        <v>11424</v>
      </c>
      <c r="E3279" s="266"/>
      <c r="F3279" s="263" t="s">
        <v>29</v>
      </c>
      <c r="G3279" s="263" t="s">
        <v>30</v>
      </c>
      <c r="H3279" s="266"/>
      <c r="I3279" s="263" t="s">
        <v>30</v>
      </c>
      <c r="J3279" s="263">
        <v>260.0</v>
      </c>
      <c r="K3279" s="266"/>
      <c r="L3279" s="263" t="s">
        <v>11425</v>
      </c>
      <c r="M3279" s="263" t="s">
        <v>151</v>
      </c>
      <c r="N3279" s="263">
        <v>2019.0</v>
      </c>
      <c r="O3279" s="266"/>
      <c r="P3279" s="263">
        <v>1.0</v>
      </c>
      <c r="Q3279" s="267">
        <v>1.0</v>
      </c>
      <c r="R3279" s="268"/>
      <c r="S3279" s="34"/>
      <c r="T3279" s="34"/>
      <c r="U3279" s="34"/>
      <c r="V3279" s="34"/>
      <c r="W3279" s="34"/>
      <c r="X3279" s="34"/>
      <c r="Y3279" s="3"/>
      <c r="Z3279" s="3"/>
      <c r="AA3279" s="3"/>
      <c r="AB3279" s="3"/>
      <c r="AC3279" s="3"/>
      <c r="AD3279" s="3"/>
      <c r="AE3279" s="3"/>
      <c r="AF3279" s="3"/>
      <c r="AG3279" s="3"/>
      <c r="AH3279" s="3"/>
      <c r="AI3279" s="3"/>
      <c r="AJ3279" s="3"/>
      <c r="AK3279" s="3"/>
      <c r="AL3279" s="3"/>
    </row>
    <row r="3280" ht="15.75" customHeight="1">
      <c r="A3280" s="262"/>
      <c r="B3280" s="263" t="s">
        <v>11426</v>
      </c>
      <c r="C3280" s="264" t="s">
        <v>11427</v>
      </c>
      <c r="D3280" s="265" t="s">
        <v>11428</v>
      </c>
      <c r="E3280" s="266"/>
      <c r="F3280" s="263" t="s">
        <v>29</v>
      </c>
      <c r="G3280" s="263" t="s">
        <v>30</v>
      </c>
      <c r="H3280" s="266"/>
      <c r="I3280" s="263" t="s">
        <v>30</v>
      </c>
      <c r="J3280" s="263">
        <v>255.0</v>
      </c>
      <c r="K3280" s="266"/>
      <c r="L3280" s="263" t="s">
        <v>11429</v>
      </c>
      <c r="M3280" s="263" t="s">
        <v>151</v>
      </c>
      <c r="N3280" s="263">
        <v>2021.0</v>
      </c>
      <c r="O3280" s="266"/>
      <c r="P3280" s="263">
        <v>1.0</v>
      </c>
      <c r="Q3280" s="267">
        <v>1.0</v>
      </c>
      <c r="R3280" s="268"/>
      <c r="S3280" s="34"/>
      <c r="T3280" s="34"/>
      <c r="U3280" s="34"/>
      <c r="V3280" s="34"/>
      <c r="W3280" s="34"/>
      <c r="X3280" s="34"/>
      <c r="Y3280" s="3"/>
      <c r="Z3280" s="3"/>
      <c r="AA3280" s="3"/>
      <c r="AB3280" s="3"/>
      <c r="AC3280" s="3"/>
      <c r="AD3280" s="3"/>
      <c r="AE3280" s="3"/>
      <c r="AF3280" s="3"/>
      <c r="AG3280" s="3"/>
      <c r="AH3280" s="3"/>
      <c r="AI3280" s="3"/>
      <c r="AJ3280" s="3"/>
      <c r="AK3280" s="3"/>
      <c r="AL3280" s="3"/>
    </row>
    <row r="3281" ht="15.75" customHeight="1">
      <c r="A3281" s="262"/>
      <c r="B3281" s="263" t="s">
        <v>11430</v>
      </c>
      <c r="C3281" s="264" t="s">
        <v>11431</v>
      </c>
      <c r="D3281" s="265" t="s">
        <v>11432</v>
      </c>
      <c r="E3281" s="266"/>
      <c r="F3281" s="263" t="s">
        <v>29</v>
      </c>
      <c r="G3281" s="263" t="s">
        <v>30</v>
      </c>
      <c r="H3281" s="266"/>
      <c r="I3281" s="263" t="s">
        <v>30</v>
      </c>
      <c r="J3281" s="263">
        <v>180.0</v>
      </c>
      <c r="K3281" s="266"/>
      <c r="L3281" s="263" t="s">
        <v>11433</v>
      </c>
      <c r="M3281" s="263" t="s">
        <v>151</v>
      </c>
      <c r="N3281" s="263">
        <v>2019.0</v>
      </c>
      <c r="O3281" s="266"/>
      <c r="P3281" s="263">
        <v>1.0</v>
      </c>
      <c r="Q3281" s="267">
        <v>1.0</v>
      </c>
      <c r="R3281" s="268"/>
      <c r="S3281" s="34"/>
      <c r="T3281" s="34"/>
      <c r="U3281" s="34"/>
      <c r="V3281" s="34"/>
      <c r="W3281" s="34"/>
      <c r="X3281" s="34"/>
      <c r="Y3281" s="3"/>
      <c r="Z3281" s="3"/>
      <c r="AA3281" s="3"/>
      <c r="AB3281" s="3"/>
      <c r="AC3281" s="3"/>
      <c r="AD3281" s="3"/>
      <c r="AE3281" s="3"/>
      <c r="AF3281" s="3"/>
      <c r="AG3281" s="3"/>
      <c r="AH3281" s="3"/>
      <c r="AI3281" s="3"/>
      <c r="AJ3281" s="3"/>
      <c r="AK3281" s="3"/>
      <c r="AL3281" s="3"/>
    </row>
    <row r="3282" ht="15.75" customHeight="1">
      <c r="A3282" s="262"/>
      <c r="B3282" s="263" t="s">
        <v>11053</v>
      </c>
      <c r="C3282" s="264" t="s">
        <v>11434</v>
      </c>
      <c r="D3282" s="265" t="s">
        <v>11435</v>
      </c>
      <c r="E3282" s="266"/>
      <c r="F3282" s="263" t="s">
        <v>29</v>
      </c>
      <c r="G3282" s="263" t="s">
        <v>30</v>
      </c>
      <c r="H3282" s="263" t="s">
        <v>30</v>
      </c>
      <c r="I3282" s="263" t="s">
        <v>30</v>
      </c>
      <c r="J3282" s="263">
        <v>262.0</v>
      </c>
      <c r="K3282" s="266"/>
      <c r="L3282" s="263" t="s">
        <v>11056</v>
      </c>
      <c r="M3282" s="263" t="s">
        <v>151</v>
      </c>
      <c r="N3282" s="263">
        <v>2016.0</v>
      </c>
      <c r="O3282" s="266"/>
      <c r="P3282" s="263">
        <v>1.0</v>
      </c>
      <c r="Q3282" s="267">
        <v>1.0</v>
      </c>
      <c r="R3282" s="268"/>
      <c r="S3282" s="34"/>
      <c r="T3282" s="34"/>
      <c r="U3282" s="34"/>
      <c r="V3282" s="34"/>
      <c r="W3282" s="34"/>
      <c r="X3282" s="34"/>
      <c r="Y3282" s="3"/>
      <c r="Z3282" s="3"/>
      <c r="AA3282" s="3"/>
      <c r="AB3282" s="3"/>
      <c r="AC3282" s="3"/>
      <c r="AD3282" s="3"/>
      <c r="AE3282" s="3"/>
      <c r="AF3282" s="3"/>
      <c r="AG3282" s="3"/>
      <c r="AH3282" s="3"/>
      <c r="AI3282" s="3"/>
      <c r="AJ3282" s="3"/>
      <c r="AK3282" s="3"/>
      <c r="AL3282" s="3"/>
    </row>
    <row r="3283" ht="15.75" customHeight="1">
      <c r="A3283" s="262"/>
      <c r="B3283" s="263" t="s">
        <v>11436</v>
      </c>
      <c r="C3283" s="264" t="s">
        <v>11437</v>
      </c>
      <c r="D3283" s="265" t="s">
        <v>11438</v>
      </c>
      <c r="E3283" s="266"/>
      <c r="F3283" s="263" t="s">
        <v>29</v>
      </c>
      <c r="G3283" s="263" t="s">
        <v>30</v>
      </c>
      <c r="H3283" s="266"/>
      <c r="I3283" s="263" t="s">
        <v>30</v>
      </c>
      <c r="J3283" s="263">
        <v>382.0</v>
      </c>
      <c r="K3283" s="266"/>
      <c r="L3283" s="263" t="s">
        <v>11439</v>
      </c>
      <c r="M3283" s="263" t="s">
        <v>151</v>
      </c>
      <c r="N3283" s="263">
        <v>2019.0</v>
      </c>
      <c r="O3283" s="266"/>
      <c r="P3283" s="263">
        <v>1.0</v>
      </c>
      <c r="Q3283" s="267">
        <v>1.0</v>
      </c>
      <c r="R3283" s="268"/>
      <c r="S3283" s="34"/>
      <c r="T3283" s="34"/>
      <c r="U3283" s="34"/>
      <c r="V3283" s="34"/>
      <c r="W3283" s="34"/>
      <c r="X3283" s="34"/>
      <c r="Y3283" s="3"/>
      <c r="Z3283" s="3"/>
      <c r="AA3283" s="3"/>
      <c r="AB3283" s="3"/>
      <c r="AC3283" s="3"/>
      <c r="AD3283" s="3"/>
      <c r="AE3283" s="3"/>
      <c r="AF3283" s="3"/>
      <c r="AG3283" s="3"/>
      <c r="AH3283" s="3"/>
      <c r="AI3283" s="3"/>
      <c r="AJ3283" s="3"/>
      <c r="AK3283" s="3"/>
      <c r="AL3283" s="3"/>
    </row>
    <row r="3284" ht="15.75" customHeight="1">
      <c r="A3284" s="262"/>
      <c r="B3284" s="263" t="s">
        <v>11440</v>
      </c>
      <c r="C3284" s="264" t="s">
        <v>11441</v>
      </c>
      <c r="D3284" s="265" t="s">
        <v>11442</v>
      </c>
      <c r="E3284" s="266"/>
      <c r="F3284" s="263" t="s">
        <v>29</v>
      </c>
      <c r="G3284" s="263" t="s">
        <v>30</v>
      </c>
      <c r="H3284" s="266"/>
      <c r="I3284" s="263" t="s">
        <v>30</v>
      </c>
      <c r="J3284" s="263">
        <v>408.0</v>
      </c>
      <c r="K3284" s="266"/>
      <c r="L3284" s="263" t="s">
        <v>11443</v>
      </c>
      <c r="M3284" s="263" t="s">
        <v>151</v>
      </c>
      <c r="N3284" s="263">
        <v>2016.0</v>
      </c>
      <c r="O3284" s="266"/>
      <c r="P3284" s="263">
        <v>1.0</v>
      </c>
      <c r="Q3284" s="267">
        <v>1.0</v>
      </c>
      <c r="R3284" s="268"/>
      <c r="S3284" s="34"/>
      <c r="T3284" s="34"/>
      <c r="U3284" s="34"/>
      <c r="V3284" s="34"/>
      <c r="W3284" s="34"/>
      <c r="X3284" s="34"/>
      <c r="Y3284" s="3"/>
      <c r="Z3284" s="3"/>
      <c r="AA3284" s="3"/>
      <c r="AB3284" s="3"/>
      <c r="AC3284" s="3"/>
      <c r="AD3284" s="3"/>
      <c r="AE3284" s="3"/>
      <c r="AF3284" s="3"/>
      <c r="AG3284" s="3"/>
      <c r="AH3284" s="3"/>
      <c r="AI3284" s="3"/>
      <c r="AJ3284" s="3"/>
      <c r="AK3284" s="3"/>
      <c r="AL3284" s="3"/>
    </row>
    <row r="3285" ht="15.75" customHeight="1">
      <c r="A3285" s="27"/>
      <c r="B3285" s="31" t="s">
        <v>11444</v>
      </c>
      <c r="C3285" s="29" t="s">
        <v>11445</v>
      </c>
      <c r="D3285" s="39" t="s">
        <v>11446</v>
      </c>
      <c r="E3285" s="28"/>
      <c r="F3285" s="31" t="s">
        <v>29</v>
      </c>
      <c r="G3285" s="31" t="s">
        <v>37</v>
      </c>
      <c r="H3285" s="28"/>
      <c r="I3285" s="31" t="s">
        <v>38</v>
      </c>
      <c r="J3285" s="31">
        <v>350.0</v>
      </c>
      <c r="K3285" s="28"/>
      <c r="L3285" s="31" t="s">
        <v>11447</v>
      </c>
      <c r="M3285" s="31" t="s">
        <v>11448</v>
      </c>
      <c r="N3285" s="31">
        <v>2001.0</v>
      </c>
      <c r="O3285" s="28"/>
      <c r="P3285" s="31">
        <v>1.0</v>
      </c>
      <c r="Q3285" s="37">
        <v>1.0</v>
      </c>
      <c r="R3285" s="33"/>
      <c r="S3285" s="34"/>
      <c r="T3285" s="34"/>
      <c r="U3285" s="34"/>
      <c r="V3285" s="34"/>
      <c r="W3285" s="34"/>
      <c r="X3285" s="34"/>
      <c r="Y3285" s="3"/>
      <c r="Z3285" s="3"/>
      <c r="AA3285" s="3"/>
      <c r="AB3285" s="3"/>
      <c r="AC3285" s="3"/>
      <c r="AD3285" s="3"/>
      <c r="AE3285" s="3"/>
      <c r="AF3285" s="3"/>
      <c r="AG3285" s="3"/>
      <c r="AH3285" s="3"/>
      <c r="AI3285" s="3"/>
      <c r="AJ3285" s="3"/>
      <c r="AK3285" s="3"/>
      <c r="AL3285" s="3"/>
    </row>
    <row r="3286" ht="15.75" customHeight="1">
      <c r="A3286" s="27"/>
      <c r="B3286" s="31" t="s">
        <v>11449</v>
      </c>
      <c r="C3286" s="29" t="s">
        <v>11450</v>
      </c>
      <c r="D3286" s="39" t="s">
        <v>11451</v>
      </c>
      <c r="E3286" s="28"/>
      <c r="F3286" s="31" t="s">
        <v>29</v>
      </c>
      <c r="G3286" s="31" t="s">
        <v>30</v>
      </c>
      <c r="H3286" s="28"/>
      <c r="I3286" s="31" t="s">
        <v>30</v>
      </c>
      <c r="J3286" s="31">
        <v>121.0</v>
      </c>
      <c r="K3286" s="28"/>
      <c r="L3286" s="31" t="s">
        <v>7279</v>
      </c>
      <c r="M3286" s="31" t="s">
        <v>151</v>
      </c>
      <c r="N3286" s="31">
        <v>2005.0</v>
      </c>
      <c r="O3286" s="28"/>
      <c r="P3286" s="31">
        <v>1.0</v>
      </c>
      <c r="Q3286" s="37">
        <v>1.0</v>
      </c>
      <c r="R3286" s="33"/>
      <c r="S3286" s="34"/>
      <c r="T3286" s="34"/>
      <c r="U3286" s="34"/>
      <c r="V3286" s="34"/>
      <c r="W3286" s="34"/>
      <c r="X3286" s="34"/>
      <c r="Y3286" s="3"/>
      <c r="Z3286" s="3"/>
      <c r="AA3286" s="3"/>
      <c r="AB3286" s="3"/>
      <c r="AC3286" s="3"/>
      <c r="AD3286" s="3"/>
      <c r="AE3286" s="3"/>
      <c r="AF3286" s="3"/>
      <c r="AG3286" s="3"/>
      <c r="AH3286" s="3"/>
      <c r="AI3286" s="3"/>
      <c r="AJ3286" s="3"/>
      <c r="AK3286" s="3"/>
      <c r="AL3286" s="3"/>
    </row>
    <row r="3287" ht="15.75" customHeight="1">
      <c r="A3287" s="27"/>
      <c r="B3287" s="49"/>
      <c r="C3287" s="272"/>
      <c r="D3287" s="55"/>
      <c r="E3287" s="49"/>
      <c r="F3287" s="49"/>
      <c r="G3287" s="49"/>
      <c r="H3287" s="49"/>
      <c r="I3287" s="49"/>
      <c r="J3287" s="49"/>
      <c r="K3287" s="49"/>
      <c r="L3287" s="49"/>
      <c r="M3287" s="49"/>
      <c r="N3287" s="49"/>
      <c r="O3287" s="49"/>
      <c r="P3287" s="49"/>
      <c r="Q3287" s="56"/>
      <c r="R3287" s="54"/>
      <c r="S3287" s="34"/>
      <c r="T3287" s="34"/>
      <c r="U3287" s="34"/>
      <c r="V3287" s="34"/>
      <c r="W3287" s="34"/>
      <c r="X3287" s="34"/>
      <c r="Y3287" s="3"/>
      <c r="Z3287" s="3"/>
      <c r="AA3287" s="3"/>
      <c r="AB3287" s="3"/>
      <c r="AC3287" s="3"/>
      <c r="AD3287" s="3"/>
      <c r="AE3287" s="3"/>
      <c r="AF3287" s="3"/>
      <c r="AG3287" s="3"/>
      <c r="AH3287" s="3"/>
      <c r="AI3287" s="3"/>
      <c r="AJ3287" s="3"/>
      <c r="AK3287" s="3"/>
      <c r="AL3287" s="3"/>
    </row>
    <row r="3288" ht="15.75" customHeight="1">
      <c r="A3288" s="27"/>
      <c r="B3288" s="49"/>
      <c r="C3288" s="272"/>
      <c r="D3288" s="55"/>
      <c r="E3288" s="49"/>
      <c r="F3288" s="49"/>
      <c r="G3288" s="49"/>
      <c r="H3288" s="49"/>
      <c r="I3288" s="49"/>
      <c r="J3288" s="49"/>
      <c r="K3288" s="49"/>
      <c r="L3288" s="49"/>
      <c r="M3288" s="49"/>
      <c r="N3288" s="49"/>
      <c r="O3288" s="49"/>
      <c r="P3288" s="49"/>
      <c r="Q3288" s="56"/>
      <c r="R3288" s="54"/>
      <c r="S3288" s="34"/>
      <c r="T3288" s="34"/>
      <c r="U3288" s="34"/>
      <c r="V3288" s="34"/>
      <c r="W3288" s="34"/>
      <c r="X3288" s="34"/>
      <c r="Y3288" s="3"/>
      <c r="Z3288" s="3"/>
      <c r="AA3288" s="3"/>
      <c r="AB3288" s="3"/>
      <c r="AC3288" s="3"/>
      <c r="AD3288" s="3"/>
      <c r="AE3288" s="3"/>
      <c r="AF3288" s="3"/>
      <c r="AG3288" s="3"/>
      <c r="AH3288" s="3"/>
      <c r="AI3288" s="3"/>
      <c r="AJ3288" s="3"/>
      <c r="AK3288" s="3"/>
      <c r="AL3288" s="3"/>
    </row>
    <row r="3289" ht="15.75" customHeight="1">
      <c r="A3289" s="27"/>
      <c r="B3289" s="49"/>
      <c r="C3289" s="272"/>
      <c r="D3289" s="55"/>
      <c r="E3289" s="49"/>
      <c r="F3289" s="49"/>
      <c r="G3289" s="49"/>
      <c r="H3289" s="49"/>
      <c r="I3289" s="49"/>
      <c r="J3289" s="49"/>
      <c r="K3289" s="49"/>
      <c r="L3289" s="49"/>
      <c r="M3289" s="49"/>
      <c r="N3289" s="49"/>
      <c r="O3289" s="49"/>
      <c r="P3289" s="49"/>
      <c r="Q3289" s="56"/>
      <c r="R3289" s="54"/>
      <c r="S3289" s="34"/>
      <c r="T3289" s="34"/>
      <c r="U3289" s="34"/>
      <c r="V3289" s="34"/>
      <c r="W3289" s="34"/>
      <c r="X3289" s="34"/>
      <c r="Y3289" s="3"/>
      <c r="Z3289" s="3"/>
      <c r="AA3289" s="3"/>
      <c r="AB3289" s="3"/>
      <c r="AC3289" s="3"/>
      <c r="AD3289" s="3"/>
      <c r="AE3289" s="3"/>
      <c r="AF3289" s="3"/>
      <c r="AG3289" s="3"/>
      <c r="AH3289" s="3"/>
      <c r="AI3289" s="3"/>
      <c r="AJ3289" s="3"/>
      <c r="AK3289" s="3"/>
      <c r="AL3289" s="3"/>
    </row>
    <row r="3290" ht="15.75" customHeight="1">
      <c r="A3290" s="27">
        <f>A3196+1</f>
        <v>4114</v>
      </c>
      <c r="B3290" s="49" t="s">
        <v>11452</v>
      </c>
      <c r="C3290" s="272" t="s">
        <v>11453</v>
      </c>
      <c r="D3290" s="55" t="s">
        <v>11454</v>
      </c>
      <c r="E3290" s="49"/>
      <c r="F3290" s="49" t="s">
        <v>29</v>
      </c>
      <c r="G3290" s="49" t="s">
        <v>159</v>
      </c>
      <c r="H3290" s="49"/>
      <c r="I3290" s="49" t="s">
        <v>30</v>
      </c>
      <c r="J3290" s="49">
        <v>64.0</v>
      </c>
      <c r="K3290" s="49"/>
      <c r="L3290" s="49" t="s">
        <v>11455</v>
      </c>
      <c r="M3290" s="49" t="s">
        <v>161</v>
      </c>
      <c r="N3290" s="49">
        <v>2004.0</v>
      </c>
      <c r="O3290" s="49" t="s">
        <v>11456</v>
      </c>
      <c r="P3290" s="49">
        <v>1.0</v>
      </c>
      <c r="Q3290" s="56"/>
      <c r="R3290" s="54"/>
      <c r="S3290" s="34"/>
      <c r="T3290" s="34"/>
      <c r="U3290" s="34"/>
      <c r="V3290" s="34"/>
      <c r="W3290" s="34"/>
      <c r="X3290" s="34"/>
      <c r="Y3290" s="3"/>
      <c r="Z3290" s="3"/>
      <c r="AA3290" s="3"/>
      <c r="AB3290" s="3"/>
      <c r="AC3290" s="3"/>
      <c r="AD3290" s="3"/>
      <c r="AE3290" s="3"/>
      <c r="AF3290" s="3"/>
      <c r="AG3290" s="3"/>
      <c r="AH3290" s="3"/>
      <c r="AI3290" s="3"/>
      <c r="AJ3290" s="3"/>
      <c r="AK3290" s="3"/>
      <c r="AL3290" s="3"/>
    </row>
    <row r="3291" ht="15.75" customHeight="1">
      <c r="A3291" s="27">
        <f t="shared" ref="A3291:A3301" si="24">A3290+1</f>
        <v>4115</v>
      </c>
      <c r="B3291" s="49"/>
      <c r="C3291" s="272" t="s">
        <v>7508</v>
      </c>
      <c r="D3291" s="55" t="s">
        <v>11457</v>
      </c>
      <c r="E3291" s="49" t="s">
        <v>7505</v>
      </c>
      <c r="F3291" s="52" t="s">
        <v>29</v>
      </c>
      <c r="G3291" s="49" t="s">
        <v>159</v>
      </c>
      <c r="H3291" s="49"/>
      <c r="I3291" s="49" t="s">
        <v>159</v>
      </c>
      <c r="J3291" s="52" t="s">
        <v>11458</v>
      </c>
      <c r="K3291" s="49"/>
      <c r="L3291" s="49"/>
      <c r="M3291" s="49" t="s">
        <v>4572</v>
      </c>
      <c r="N3291" s="49">
        <v>2017.0</v>
      </c>
      <c r="O3291" s="49" t="s">
        <v>11456</v>
      </c>
      <c r="P3291" s="49">
        <v>1.0</v>
      </c>
      <c r="Q3291" s="56"/>
      <c r="R3291" s="54"/>
      <c r="S3291" s="185"/>
      <c r="T3291" s="185"/>
      <c r="U3291" s="185"/>
      <c r="V3291" s="185"/>
      <c r="W3291" s="185"/>
      <c r="X3291" s="185"/>
      <c r="Y3291" s="45"/>
      <c r="Z3291" s="45"/>
      <c r="AA3291" s="45"/>
      <c r="AB3291" s="45"/>
      <c r="AC3291" s="45"/>
      <c r="AD3291" s="45"/>
      <c r="AE3291" s="45"/>
      <c r="AF3291" s="45"/>
      <c r="AG3291" s="45"/>
      <c r="AH3291" s="45"/>
      <c r="AI3291" s="45"/>
      <c r="AJ3291" s="45"/>
      <c r="AK3291" s="45"/>
      <c r="AL3291" s="45"/>
    </row>
    <row r="3292" ht="15.75" customHeight="1">
      <c r="A3292" s="27">
        <f t="shared" si="24"/>
        <v>4116</v>
      </c>
      <c r="B3292" s="49"/>
      <c r="C3292" s="272" t="s">
        <v>11459</v>
      </c>
      <c r="D3292" s="55" t="s">
        <v>11460</v>
      </c>
      <c r="E3292" s="49" t="s">
        <v>144</v>
      </c>
      <c r="F3292" s="49" t="s">
        <v>29</v>
      </c>
      <c r="G3292" s="49"/>
      <c r="H3292" s="49"/>
      <c r="I3292" s="49" t="s">
        <v>159</v>
      </c>
      <c r="J3292" s="49">
        <v>253.0</v>
      </c>
      <c r="K3292" s="49"/>
      <c r="L3292" s="52" t="s">
        <v>0</v>
      </c>
      <c r="M3292" s="49" t="s">
        <v>151</v>
      </c>
      <c r="N3292" s="49">
        <v>2017.0</v>
      </c>
      <c r="O3292" s="49" t="s">
        <v>11456</v>
      </c>
      <c r="P3292" s="49">
        <v>1.0</v>
      </c>
      <c r="Q3292" s="56"/>
      <c r="R3292" s="54"/>
      <c r="S3292" s="34"/>
      <c r="T3292" s="34"/>
      <c r="U3292" s="34"/>
      <c r="V3292" s="34"/>
      <c r="W3292" s="34"/>
      <c r="X3292" s="34"/>
      <c r="Y3292" s="45"/>
      <c r="Z3292" s="45"/>
      <c r="AA3292" s="45"/>
      <c r="AB3292" s="45"/>
      <c r="AC3292" s="45"/>
      <c r="AD3292" s="45"/>
      <c r="AE3292" s="45"/>
      <c r="AF3292" s="45"/>
      <c r="AG3292" s="45"/>
      <c r="AH3292" s="45"/>
      <c r="AI3292" s="45"/>
      <c r="AJ3292" s="45"/>
      <c r="AK3292" s="45"/>
      <c r="AL3292" s="45"/>
    </row>
    <row r="3293" ht="15.75" customHeight="1">
      <c r="A3293" s="27">
        <f t="shared" si="24"/>
        <v>4117</v>
      </c>
      <c r="B3293" s="49"/>
      <c r="C3293" s="272" t="s">
        <v>11461</v>
      </c>
      <c r="D3293" s="55" t="s">
        <v>11462</v>
      </c>
      <c r="E3293" s="49" t="s">
        <v>144</v>
      </c>
      <c r="F3293" s="49" t="s">
        <v>29</v>
      </c>
      <c r="G3293" s="49" t="s">
        <v>30</v>
      </c>
      <c r="H3293" s="49"/>
      <c r="I3293" s="49" t="s">
        <v>159</v>
      </c>
      <c r="J3293" s="49">
        <v>259.0</v>
      </c>
      <c r="K3293" s="49"/>
      <c r="L3293" s="49" t="s">
        <v>8289</v>
      </c>
      <c r="M3293" s="49" t="s">
        <v>3027</v>
      </c>
      <c r="N3293" s="49">
        <v>2003.0</v>
      </c>
      <c r="O3293" s="49" t="s">
        <v>11456</v>
      </c>
      <c r="P3293" s="49">
        <v>1.0</v>
      </c>
      <c r="Q3293" s="56">
        <v>1.0</v>
      </c>
      <c r="R3293" s="54"/>
      <c r="S3293" s="34"/>
      <c r="T3293" s="34"/>
      <c r="U3293" s="34"/>
      <c r="V3293" s="34"/>
      <c r="W3293" s="34"/>
      <c r="X3293" s="34"/>
      <c r="Y3293" s="45"/>
      <c r="Z3293" s="45"/>
      <c r="AA3293" s="45"/>
      <c r="AB3293" s="45"/>
      <c r="AC3293" s="45"/>
      <c r="AD3293" s="45"/>
      <c r="AE3293" s="45"/>
      <c r="AF3293" s="45"/>
      <c r="AG3293" s="45"/>
      <c r="AH3293" s="45"/>
      <c r="AI3293" s="45"/>
      <c r="AJ3293" s="45"/>
      <c r="AK3293" s="45"/>
      <c r="AL3293" s="45"/>
    </row>
    <row r="3294" ht="15.75" customHeight="1">
      <c r="A3294" s="27">
        <f t="shared" si="24"/>
        <v>4118</v>
      </c>
      <c r="B3294" s="49"/>
      <c r="C3294" s="272" t="s">
        <v>11463</v>
      </c>
      <c r="D3294" s="55" t="s">
        <v>11464</v>
      </c>
      <c r="E3294" s="49" t="s">
        <v>144</v>
      </c>
      <c r="F3294" s="49" t="s">
        <v>29</v>
      </c>
      <c r="G3294" s="49" t="s">
        <v>30</v>
      </c>
      <c r="H3294" s="49"/>
      <c r="I3294" s="49" t="s">
        <v>159</v>
      </c>
      <c r="J3294" s="49">
        <v>98.0</v>
      </c>
      <c r="K3294" s="49"/>
      <c r="L3294" s="49" t="s">
        <v>11465</v>
      </c>
      <c r="M3294" s="49"/>
      <c r="N3294" s="49">
        <v>2003.0</v>
      </c>
      <c r="O3294" s="49" t="s">
        <v>11456</v>
      </c>
      <c r="P3294" s="49">
        <v>1.0</v>
      </c>
      <c r="Q3294" s="56">
        <v>1.0</v>
      </c>
      <c r="R3294" s="54"/>
      <c r="S3294" s="34"/>
      <c r="T3294" s="34"/>
      <c r="U3294" s="34"/>
      <c r="V3294" s="34"/>
      <c r="W3294" s="34"/>
      <c r="X3294" s="34"/>
      <c r="Y3294" s="45"/>
      <c r="Z3294" s="45"/>
      <c r="AA3294" s="45"/>
      <c r="AB3294" s="45"/>
      <c r="AC3294" s="45"/>
      <c r="AD3294" s="45"/>
      <c r="AE3294" s="45"/>
      <c r="AF3294" s="45"/>
      <c r="AG3294" s="45"/>
      <c r="AH3294" s="45"/>
      <c r="AI3294" s="45"/>
      <c r="AJ3294" s="45"/>
      <c r="AK3294" s="45"/>
      <c r="AL3294" s="45"/>
    </row>
    <row r="3295" ht="15.75" customHeight="1">
      <c r="A3295" s="27">
        <f t="shared" si="24"/>
        <v>4119</v>
      </c>
      <c r="B3295" s="49" t="s">
        <v>31</v>
      </c>
      <c r="C3295" s="50" t="s">
        <v>11466</v>
      </c>
      <c r="D3295" s="55" t="s">
        <v>11467</v>
      </c>
      <c r="E3295" s="49"/>
      <c r="F3295" s="49" t="s">
        <v>29</v>
      </c>
      <c r="G3295" s="49" t="s">
        <v>98</v>
      </c>
      <c r="H3295" s="49" t="s">
        <v>31</v>
      </c>
      <c r="I3295" s="49" t="s">
        <v>98</v>
      </c>
      <c r="J3295" s="49">
        <v>327.0</v>
      </c>
      <c r="K3295" s="49"/>
      <c r="L3295" s="52" t="s">
        <v>0</v>
      </c>
      <c r="M3295" s="49" t="s">
        <v>11468</v>
      </c>
      <c r="N3295" s="49">
        <v>1963.0</v>
      </c>
      <c r="O3295" s="49" t="s">
        <v>388</v>
      </c>
      <c r="P3295" s="49">
        <v>1.0</v>
      </c>
      <c r="Q3295" s="56"/>
      <c r="R3295" s="54"/>
      <c r="S3295" s="34"/>
      <c r="T3295" s="34"/>
      <c r="U3295" s="34"/>
      <c r="V3295" s="34"/>
      <c r="W3295" s="34"/>
      <c r="X3295" s="34"/>
      <c r="Y3295" s="45"/>
      <c r="Z3295" s="45"/>
      <c r="AA3295" s="45"/>
      <c r="AB3295" s="45"/>
      <c r="AC3295" s="45"/>
      <c r="AD3295" s="45"/>
      <c r="AE3295" s="45"/>
      <c r="AF3295" s="45"/>
      <c r="AG3295" s="45"/>
      <c r="AH3295" s="45"/>
      <c r="AI3295" s="45"/>
      <c r="AJ3295" s="45"/>
      <c r="AK3295" s="45"/>
      <c r="AL3295" s="45"/>
    </row>
    <row r="3296" ht="15.75" customHeight="1">
      <c r="A3296" s="27">
        <f t="shared" si="24"/>
        <v>4120</v>
      </c>
      <c r="B3296" s="49" t="s">
        <v>31</v>
      </c>
      <c r="C3296" s="272" t="s">
        <v>11469</v>
      </c>
      <c r="D3296" s="55" t="s">
        <v>11470</v>
      </c>
      <c r="E3296" s="49"/>
      <c r="F3296" s="49" t="s">
        <v>29</v>
      </c>
      <c r="G3296" s="49" t="s">
        <v>37</v>
      </c>
      <c r="H3296" s="49" t="s">
        <v>31</v>
      </c>
      <c r="I3296" s="49" t="s">
        <v>38</v>
      </c>
      <c r="J3296" s="49">
        <v>32.0</v>
      </c>
      <c r="K3296" s="49"/>
      <c r="L3296" s="49" t="s">
        <v>11471</v>
      </c>
      <c r="M3296" s="49" t="s">
        <v>11472</v>
      </c>
      <c r="N3296" s="49">
        <v>1983.0</v>
      </c>
      <c r="O3296" s="49" t="s">
        <v>388</v>
      </c>
      <c r="P3296" s="49">
        <v>1.0</v>
      </c>
      <c r="Q3296" s="56"/>
      <c r="R3296" s="54"/>
      <c r="S3296" s="34"/>
      <c r="T3296" s="34"/>
      <c r="U3296" s="34"/>
      <c r="V3296" s="34"/>
      <c r="W3296" s="34"/>
      <c r="X3296" s="34"/>
      <c r="Y3296" s="3"/>
      <c r="Z3296" s="3"/>
      <c r="AA3296" s="3"/>
      <c r="AB3296" s="3"/>
      <c r="AC3296" s="3"/>
      <c r="AD3296" s="3"/>
      <c r="AE3296" s="3"/>
      <c r="AF3296" s="3"/>
      <c r="AG3296" s="3"/>
      <c r="AH3296" s="3"/>
      <c r="AI3296" s="3"/>
      <c r="AJ3296" s="3"/>
      <c r="AK3296" s="3"/>
      <c r="AL3296" s="3"/>
    </row>
    <row r="3297" ht="15.75" customHeight="1">
      <c r="A3297" s="27">
        <f t="shared" si="24"/>
        <v>4121</v>
      </c>
      <c r="B3297" s="49" t="s">
        <v>31</v>
      </c>
      <c r="C3297" s="272" t="s">
        <v>11473</v>
      </c>
      <c r="D3297" s="55" t="s">
        <v>11474</v>
      </c>
      <c r="E3297" s="49" t="s">
        <v>31</v>
      </c>
      <c r="F3297" s="49" t="s">
        <v>29</v>
      </c>
      <c r="G3297" s="49" t="s">
        <v>98</v>
      </c>
      <c r="H3297" s="49"/>
      <c r="I3297" s="49" t="s">
        <v>2855</v>
      </c>
      <c r="J3297" s="49">
        <v>273.0</v>
      </c>
      <c r="K3297" s="49"/>
      <c r="L3297" s="49" t="s">
        <v>11475</v>
      </c>
      <c r="M3297" s="49" t="s">
        <v>11476</v>
      </c>
      <c r="N3297" s="49">
        <v>1970.0</v>
      </c>
      <c r="O3297" s="49" t="s">
        <v>388</v>
      </c>
      <c r="P3297" s="49">
        <v>1.0</v>
      </c>
      <c r="Q3297" s="56"/>
      <c r="R3297" s="54"/>
      <c r="S3297" s="34"/>
      <c r="T3297" s="34"/>
      <c r="U3297" s="34"/>
      <c r="V3297" s="34"/>
      <c r="W3297" s="34"/>
      <c r="X3297" s="34"/>
      <c r="Y3297" s="45"/>
      <c r="Z3297" s="45"/>
      <c r="AA3297" s="45"/>
      <c r="AB3297" s="45"/>
      <c r="AC3297" s="45"/>
      <c r="AD3297" s="45"/>
      <c r="AE3297" s="45"/>
      <c r="AF3297" s="45"/>
      <c r="AG3297" s="45"/>
      <c r="AH3297" s="45"/>
      <c r="AI3297" s="45"/>
      <c r="AJ3297" s="45"/>
      <c r="AK3297" s="45"/>
      <c r="AL3297" s="45"/>
    </row>
    <row r="3298" ht="15.75" customHeight="1">
      <c r="A3298" s="27">
        <f t="shared" si="24"/>
        <v>4122</v>
      </c>
      <c r="B3298" s="49" t="s">
        <v>31</v>
      </c>
      <c r="C3298" s="272" t="s">
        <v>11477</v>
      </c>
      <c r="D3298" s="55" t="s">
        <v>11478</v>
      </c>
      <c r="E3298" s="49"/>
      <c r="F3298" s="49" t="s">
        <v>29</v>
      </c>
      <c r="G3298" s="49" t="s">
        <v>98</v>
      </c>
      <c r="H3298" s="49" t="s">
        <v>31</v>
      </c>
      <c r="I3298" s="49" t="s">
        <v>98</v>
      </c>
      <c r="J3298" s="49">
        <v>316.0</v>
      </c>
      <c r="K3298" s="49"/>
      <c r="L3298" s="49" t="s">
        <v>11479</v>
      </c>
      <c r="M3298" s="49" t="s">
        <v>11480</v>
      </c>
      <c r="N3298" s="49">
        <v>1967.0</v>
      </c>
      <c r="O3298" s="49" t="s">
        <v>388</v>
      </c>
      <c r="P3298" s="49">
        <v>1.0</v>
      </c>
      <c r="Q3298" s="56"/>
      <c r="R3298" s="54"/>
      <c r="S3298" s="34"/>
      <c r="T3298" s="34"/>
      <c r="U3298" s="34"/>
      <c r="V3298" s="34"/>
      <c r="W3298" s="34"/>
      <c r="X3298" s="34"/>
      <c r="Y3298" s="45"/>
      <c r="Z3298" s="45"/>
      <c r="AA3298" s="45"/>
      <c r="AB3298" s="45"/>
      <c r="AC3298" s="45"/>
      <c r="AD3298" s="45"/>
      <c r="AE3298" s="45"/>
      <c r="AF3298" s="45"/>
      <c r="AG3298" s="45"/>
      <c r="AH3298" s="45"/>
      <c r="AI3298" s="45"/>
      <c r="AJ3298" s="45"/>
      <c r="AK3298" s="45"/>
      <c r="AL3298" s="45"/>
    </row>
    <row r="3299" ht="15.75" customHeight="1">
      <c r="A3299" s="27">
        <f t="shared" si="24"/>
        <v>4123</v>
      </c>
      <c r="B3299" s="49" t="s">
        <v>9206</v>
      </c>
      <c r="C3299" s="272" t="s">
        <v>11481</v>
      </c>
      <c r="D3299" s="55" t="s">
        <v>11482</v>
      </c>
      <c r="E3299" s="49" t="s">
        <v>31</v>
      </c>
      <c r="F3299" s="49" t="s">
        <v>29</v>
      </c>
      <c r="G3299" s="49" t="s">
        <v>98</v>
      </c>
      <c r="H3299" s="49"/>
      <c r="I3299" s="49" t="s">
        <v>98</v>
      </c>
      <c r="J3299" s="49">
        <v>156.0</v>
      </c>
      <c r="K3299" s="49"/>
      <c r="L3299" s="49" t="s">
        <v>9210</v>
      </c>
      <c r="M3299" s="49" t="s">
        <v>11483</v>
      </c>
      <c r="N3299" s="49">
        <v>1978.0</v>
      </c>
      <c r="O3299" s="49" t="s">
        <v>388</v>
      </c>
      <c r="P3299" s="49">
        <v>1.0</v>
      </c>
      <c r="Q3299" s="56"/>
      <c r="R3299" s="54"/>
      <c r="S3299" s="34"/>
      <c r="T3299" s="34"/>
      <c r="U3299" s="34"/>
      <c r="V3299" s="34"/>
      <c r="W3299" s="34"/>
      <c r="X3299" s="34"/>
      <c r="Y3299" s="45"/>
      <c r="Z3299" s="45"/>
      <c r="AA3299" s="45"/>
      <c r="AB3299" s="45"/>
      <c r="AC3299" s="45"/>
      <c r="AD3299" s="45"/>
      <c r="AE3299" s="45"/>
      <c r="AF3299" s="45"/>
      <c r="AG3299" s="45"/>
      <c r="AH3299" s="45"/>
      <c r="AI3299" s="45"/>
      <c r="AJ3299" s="45"/>
      <c r="AK3299" s="45"/>
      <c r="AL3299" s="45"/>
    </row>
    <row r="3300" ht="15.75" customHeight="1">
      <c r="A3300" s="27">
        <f t="shared" si="24"/>
        <v>4124</v>
      </c>
      <c r="B3300" s="49"/>
      <c r="C3300" s="272" t="s">
        <v>11484</v>
      </c>
      <c r="D3300" s="55" t="s">
        <v>11485</v>
      </c>
      <c r="E3300" s="49" t="s">
        <v>31</v>
      </c>
      <c r="F3300" s="49" t="s">
        <v>29</v>
      </c>
      <c r="G3300" s="49" t="s">
        <v>98</v>
      </c>
      <c r="H3300" s="49"/>
      <c r="I3300" s="49" t="s">
        <v>98</v>
      </c>
      <c r="J3300" s="49">
        <v>100.0</v>
      </c>
      <c r="K3300" s="49"/>
      <c r="L3300" s="49" t="s">
        <v>11486</v>
      </c>
      <c r="M3300" s="49" t="s">
        <v>11487</v>
      </c>
      <c r="N3300" s="49">
        <v>1968.0</v>
      </c>
      <c r="O3300" s="49" t="s">
        <v>388</v>
      </c>
      <c r="P3300" s="49">
        <v>1.0</v>
      </c>
      <c r="Q3300" s="56"/>
      <c r="R3300" s="54"/>
      <c r="S3300" s="34"/>
      <c r="T3300" s="34"/>
      <c r="U3300" s="34"/>
      <c r="V3300" s="34"/>
      <c r="W3300" s="34"/>
      <c r="X3300" s="34"/>
      <c r="Y3300" s="45"/>
      <c r="Z3300" s="45"/>
      <c r="AA3300" s="45"/>
      <c r="AB3300" s="45"/>
      <c r="AC3300" s="45"/>
      <c r="AD3300" s="45"/>
      <c r="AE3300" s="45"/>
      <c r="AF3300" s="45"/>
      <c r="AG3300" s="45"/>
      <c r="AH3300" s="45"/>
      <c r="AI3300" s="45"/>
      <c r="AJ3300" s="45"/>
      <c r="AK3300" s="45"/>
      <c r="AL3300" s="45"/>
    </row>
    <row r="3301" ht="15.75" customHeight="1">
      <c r="A3301" s="27">
        <f t="shared" si="24"/>
        <v>4125</v>
      </c>
      <c r="B3301" s="49" t="s">
        <v>31</v>
      </c>
      <c r="C3301" s="272" t="s">
        <v>11488</v>
      </c>
      <c r="D3301" s="55" t="s">
        <v>11489</v>
      </c>
      <c r="E3301" s="49" t="s">
        <v>31</v>
      </c>
      <c r="F3301" s="49" t="s">
        <v>29</v>
      </c>
      <c r="G3301" s="49" t="s">
        <v>30</v>
      </c>
      <c r="H3301" s="49"/>
      <c r="I3301" s="49" t="s">
        <v>30</v>
      </c>
      <c r="J3301" s="49">
        <v>113.0</v>
      </c>
      <c r="K3301" s="49"/>
      <c r="L3301" s="49" t="s">
        <v>11490</v>
      </c>
      <c r="M3301" s="49" t="s">
        <v>11491</v>
      </c>
      <c r="N3301" s="49">
        <v>1995.0</v>
      </c>
      <c r="O3301" s="49" t="s">
        <v>388</v>
      </c>
      <c r="P3301" s="49">
        <v>1.0</v>
      </c>
      <c r="Q3301" s="56"/>
      <c r="R3301" s="54"/>
      <c r="S3301" s="34"/>
      <c r="T3301" s="34"/>
      <c r="U3301" s="34"/>
      <c r="V3301" s="34"/>
      <c r="W3301" s="34"/>
      <c r="X3301" s="34"/>
      <c r="Y3301" s="45"/>
      <c r="Z3301" s="45"/>
      <c r="AA3301" s="45"/>
      <c r="AB3301" s="45"/>
      <c r="AC3301" s="45"/>
      <c r="AD3301" s="45"/>
      <c r="AE3301" s="45"/>
      <c r="AF3301" s="45"/>
      <c r="AG3301" s="45"/>
      <c r="AH3301" s="45"/>
      <c r="AI3301" s="45"/>
      <c r="AJ3301" s="45"/>
      <c r="AK3301" s="45"/>
      <c r="AL3301" s="45"/>
    </row>
    <row r="3302" ht="15.75" customHeight="1">
      <c r="A3302" s="27">
        <f>A3300+1</f>
        <v>4125</v>
      </c>
      <c r="B3302" s="49" t="s">
        <v>31</v>
      </c>
      <c r="C3302" s="272" t="s">
        <v>11492</v>
      </c>
      <c r="D3302" s="51" t="s">
        <v>11493</v>
      </c>
      <c r="E3302" s="49"/>
      <c r="F3302" s="49" t="s">
        <v>29</v>
      </c>
      <c r="G3302" s="49" t="s">
        <v>30</v>
      </c>
      <c r="H3302" s="49"/>
      <c r="I3302" s="49" t="s">
        <v>30</v>
      </c>
      <c r="J3302" s="49">
        <v>407.0</v>
      </c>
      <c r="K3302" s="49"/>
      <c r="L3302" s="49" t="s">
        <v>11494</v>
      </c>
      <c r="M3302" s="49" t="s">
        <v>8562</v>
      </c>
      <c r="N3302" s="49">
        <v>1976.0</v>
      </c>
      <c r="O3302" s="49" t="s">
        <v>388</v>
      </c>
      <c r="P3302" s="49">
        <v>1.0</v>
      </c>
      <c r="Q3302" s="56"/>
      <c r="R3302" s="54"/>
      <c r="S3302" s="116"/>
      <c r="T3302" s="116"/>
      <c r="U3302" s="116"/>
      <c r="V3302" s="116"/>
      <c r="W3302" s="116"/>
      <c r="X3302" s="116"/>
      <c r="Y3302" s="3"/>
      <c r="Z3302" s="3"/>
      <c r="AA3302" s="3"/>
      <c r="AB3302" s="3"/>
      <c r="AC3302" s="3"/>
      <c r="AD3302" s="3"/>
      <c r="AE3302" s="3"/>
      <c r="AF3302" s="3"/>
      <c r="AG3302" s="3"/>
      <c r="AH3302" s="3"/>
      <c r="AI3302" s="3"/>
      <c r="AJ3302" s="3"/>
      <c r="AK3302" s="3"/>
      <c r="AL3302" s="3"/>
    </row>
    <row r="3303" ht="15.75" customHeight="1">
      <c r="A3303" s="27">
        <f t="shared" ref="A3303:A3615" si="25">A3302+1</f>
        <v>4126</v>
      </c>
      <c r="B3303" s="49" t="s">
        <v>11495</v>
      </c>
      <c r="C3303" s="272" t="s">
        <v>11496</v>
      </c>
      <c r="D3303" s="55" t="s">
        <v>11497</v>
      </c>
      <c r="E3303" s="49" t="s">
        <v>31</v>
      </c>
      <c r="F3303" s="49" t="s">
        <v>29</v>
      </c>
      <c r="G3303" s="49" t="s">
        <v>30</v>
      </c>
      <c r="H3303" s="49"/>
      <c r="I3303" s="49" t="s">
        <v>30</v>
      </c>
      <c r="J3303" s="49">
        <v>53.0</v>
      </c>
      <c r="K3303" s="49"/>
      <c r="L3303" s="49" t="s">
        <v>11498</v>
      </c>
      <c r="M3303" s="49" t="s">
        <v>151</v>
      </c>
      <c r="N3303" s="49">
        <v>2011.0</v>
      </c>
      <c r="O3303" s="49" t="s">
        <v>388</v>
      </c>
      <c r="P3303" s="49">
        <v>1.0</v>
      </c>
      <c r="Q3303" s="56"/>
      <c r="R3303" s="54"/>
      <c r="S3303" s="116"/>
      <c r="T3303" s="116"/>
      <c r="U3303" s="116"/>
      <c r="V3303" s="116"/>
      <c r="W3303" s="116"/>
      <c r="X3303" s="116"/>
      <c r="Y3303" s="45"/>
      <c r="Z3303" s="45"/>
      <c r="AA3303" s="45"/>
      <c r="AB3303" s="45"/>
      <c r="AC3303" s="45"/>
      <c r="AD3303" s="45"/>
      <c r="AE3303" s="45"/>
      <c r="AF3303" s="45"/>
      <c r="AG3303" s="45"/>
      <c r="AH3303" s="45"/>
      <c r="AI3303" s="45"/>
      <c r="AJ3303" s="45"/>
      <c r="AK3303" s="45"/>
      <c r="AL3303" s="45"/>
    </row>
    <row r="3304" ht="15.75" customHeight="1">
      <c r="A3304" s="27">
        <f t="shared" si="25"/>
        <v>4127</v>
      </c>
      <c r="B3304" s="49" t="s">
        <v>11499</v>
      </c>
      <c r="C3304" s="272" t="s">
        <v>11500</v>
      </c>
      <c r="D3304" s="55" t="s">
        <v>11501</v>
      </c>
      <c r="E3304" s="49" t="s">
        <v>31</v>
      </c>
      <c r="F3304" s="49" t="s">
        <v>29</v>
      </c>
      <c r="G3304" s="49" t="s">
        <v>37</v>
      </c>
      <c r="H3304" s="49"/>
      <c r="I3304" s="49" t="s">
        <v>38</v>
      </c>
      <c r="J3304" s="49">
        <v>176.0</v>
      </c>
      <c r="K3304" s="49"/>
      <c r="L3304" s="49" t="s">
        <v>11502</v>
      </c>
      <c r="M3304" s="49" t="s">
        <v>11503</v>
      </c>
      <c r="N3304" s="49">
        <v>1985.0</v>
      </c>
      <c r="O3304" s="49" t="s">
        <v>388</v>
      </c>
      <c r="P3304" s="49">
        <v>1.0</v>
      </c>
      <c r="Q3304" s="56"/>
      <c r="R3304" s="54"/>
      <c r="S3304" s="116"/>
      <c r="T3304" s="116"/>
      <c r="U3304" s="116"/>
      <c r="V3304" s="116"/>
      <c r="W3304" s="116"/>
      <c r="X3304" s="116"/>
      <c r="Y3304" s="3"/>
      <c r="Z3304" s="3"/>
      <c r="AA3304" s="3"/>
      <c r="AB3304" s="3"/>
      <c r="AC3304" s="3"/>
      <c r="AD3304" s="3"/>
      <c r="AE3304" s="3"/>
      <c r="AF3304" s="3"/>
      <c r="AG3304" s="3"/>
      <c r="AH3304" s="3"/>
      <c r="AI3304" s="3"/>
      <c r="AJ3304" s="3"/>
      <c r="AK3304" s="3"/>
      <c r="AL3304" s="3"/>
    </row>
    <row r="3305" ht="15.75" customHeight="1">
      <c r="A3305" s="27">
        <f t="shared" si="25"/>
        <v>4128</v>
      </c>
      <c r="B3305" s="49" t="s">
        <v>11504</v>
      </c>
      <c r="C3305" s="272" t="s">
        <v>11505</v>
      </c>
      <c r="D3305" s="55" t="s">
        <v>11506</v>
      </c>
      <c r="E3305" s="49" t="s">
        <v>31</v>
      </c>
      <c r="F3305" s="49" t="s">
        <v>29</v>
      </c>
      <c r="G3305" s="49" t="s">
        <v>30</v>
      </c>
      <c r="H3305" s="49"/>
      <c r="I3305" s="49" t="s">
        <v>30</v>
      </c>
      <c r="J3305" s="49">
        <v>576.0</v>
      </c>
      <c r="K3305" s="49"/>
      <c r="L3305" s="49" t="s">
        <v>11507</v>
      </c>
      <c r="M3305" s="49" t="s">
        <v>151</v>
      </c>
      <c r="N3305" s="49">
        <v>2003.0</v>
      </c>
      <c r="O3305" s="49" t="s">
        <v>388</v>
      </c>
      <c r="P3305" s="49">
        <v>1.0</v>
      </c>
      <c r="Q3305" s="56">
        <v>1.0</v>
      </c>
      <c r="R3305" s="54"/>
      <c r="S3305" s="34"/>
      <c r="T3305" s="34"/>
      <c r="U3305" s="34"/>
      <c r="V3305" s="34"/>
      <c r="W3305" s="34"/>
      <c r="X3305" s="34"/>
      <c r="Y3305" s="3"/>
      <c r="Z3305" s="3"/>
      <c r="AA3305" s="3"/>
      <c r="AB3305" s="3"/>
      <c r="AC3305" s="3"/>
      <c r="AD3305" s="3"/>
      <c r="AE3305" s="3"/>
      <c r="AF3305" s="3"/>
      <c r="AG3305" s="3"/>
      <c r="AH3305" s="3"/>
      <c r="AI3305" s="3"/>
      <c r="AJ3305" s="3"/>
      <c r="AK3305" s="3"/>
      <c r="AL3305" s="3"/>
    </row>
    <row r="3306" ht="15.75" customHeight="1">
      <c r="A3306" s="27">
        <f t="shared" si="25"/>
        <v>4129</v>
      </c>
      <c r="B3306" s="49" t="s">
        <v>11508</v>
      </c>
      <c r="C3306" s="272" t="s">
        <v>11509</v>
      </c>
      <c r="D3306" s="55" t="s">
        <v>11510</v>
      </c>
      <c r="E3306" s="49"/>
      <c r="F3306" s="49" t="s">
        <v>29</v>
      </c>
      <c r="G3306" s="49" t="s">
        <v>37</v>
      </c>
      <c r="H3306" s="49"/>
      <c r="I3306" s="49" t="s">
        <v>38</v>
      </c>
      <c r="J3306" s="49">
        <v>233.0</v>
      </c>
      <c r="K3306" s="49"/>
      <c r="L3306" s="49" t="s">
        <v>5220</v>
      </c>
      <c r="M3306" s="49" t="s">
        <v>3268</v>
      </c>
      <c r="N3306" s="49">
        <v>2003.0</v>
      </c>
      <c r="O3306" s="49" t="s">
        <v>388</v>
      </c>
      <c r="P3306" s="49">
        <v>1.0</v>
      </c>
      <c r="Q3306" s="56"/>
      <c r="R3306" s="54"/>
      <c r="S3306" s="34"/>
      <c r="T3306" s="34"/>
      <c r="U3306" s="34"/>
      <c r="V3306" s="34"/>
      <c r="W3306" s="34"/>
      <c r="X3306" s="34"/>
      <c r="Y3306" s="3"/>
      <c r="Z3306" s="3"/>
      <c r="AA3306" s="3"/>
      <c r="AB3306" s="3"/>
      <c r="AC3306" s="3"/>
      <c r="AD3306" s="3"/>
      <c r="AE3306" s="3"/>
      <c r="AF3306" s="3"/>
      <c r="AG3306" s="3"/>
      <c r="AH3306" s="3"/>
      <c r="AI3306" s="3"/>
      <c r="AJ3306" s="3"/>
      <c r="AK3306" s="3"/>
      <c r="AL3306" s="3"/>
    </row>
    <row r="3307" ht="15.75" customHeight="1">
      <c r="A3307" s="27">
        <f t="shared" si="25"/>
        <v>4130</v>
      </c>
      <c r="B3307" s="49" t="s">
        <v>11511</v>
      </c>
      <c r="C3307" s="272" t="s">
        <v>11512</v>
      </c>
      <c r="D3307" s="55" t="s">
        <v>11513</v>
      </c>
      <c r="E3307" s="49"/>
      <c r="F3307" s="49" t="s">
        <v>29</v>
      </c>
      <c r="G3307" s="49" t="s">
        <v>38</v>
      </c>
      <c r="H3307" s="49"/>
      <c r="I3307" s="49" t="s">
        <v>38</v>
      </c>
      <c r="J3307" s="49">
        <v>63.0</v>
      </c>
      <c r="K3307" s="49"/>
      <c r="L3307" s="49" t="s">
        <v>11514</v>
      </c>
      <c r="M3307" s="49" t="s">
        <v>11515</v>
      </c>
      <c r="N3307" s="49">
        <v>1994.0</v>
      </c>
      <c r="O3307" s="49" t="s">
        <v>388</v>
      </c>
      <c r="P3307" s="49">
        <v>1.0</v>
      </c>
      <c r="Q3307" s="56">
        <v>1.0</v>
      </c>
      <c r="R3307" s="54"/>
      <c r="S3307" s="34"/>
      <c r="T3307" s="34"/>
      <c r="U3307" s="34"/>
      <c r="V3307" s="34"/>
      <c r="W3307" s="34"/>
      <c r="X3307" s="34"/>
      <c r="Y3307" s="45"/>
      <c r="Z3307" s="45"/>
      <c r="AA3307" s="45"/>
      <c r="AB3307" s="45"/>
      <c r="AC3307" s="45"/>
      <c r="AD3307" s="45"/>
      <c r="AE3307" s="45"/>
      <c r="AF3307" s="45"/>
      <c r="AG3307" s="45"/>
      <c r="AH3307" s="45"/>
      <c r="AI3307" s="45"/>
      <c r="AJ3307" s="45"/>
      <c r="AK3307" s="45"/>
      <c r="AL3307" s="45"/>
    </row>
    <row r="3308" ht="15.75" customHeight="1">
      <c r="A3308" s="27">
        <f t="shared" si="25"/>
        <v>4131</v>
      </c>
      <c r="B3308" s="49" t="s">
        <v>31</v>
      </c>
      <c r="C3308" s="272" t="s">
        <v>11516</v>
      </c>
      <c r="D3308" s="55" t="s">
        <v>11517</v>
      </c>
      <c r="E3308" s="49"/>
      <c r="F3308" s="49" t="s">
        <v>29</v>
      </c>
      <c r="G3308" s="49" t="s">
        <v>31</v>
      </c>
      <c r="H3308" s="49"/>
      <c r="I3308" s="49" t="s">
        <v>38</v>
      </c>
      <c r="J3308" s="49">
        <v>112.0</v>
      </c>
      <c r="K3308" s="49"/>
      <c r="L3308" s="49" t="s">
        <v>31</v>
      </c>
      <c r="M3308" s="49" t="s">
        <v>11518</v>
      </c>
      <c r="N3308" s="49">
        <v>2006.0</v>
      </c>
      <c r="O3308" s="49" t="s">
        <v>388</v>
      </c>
      <c r="P3308" s="49">
        <v>1.0</v>
      </c>
      <c r="Q3308" s="56"/>
      <c r="R3308" s="54"/>
      <c r="S3308" s="116"/>
      <c r="T3308" s="116"/>
      <c r="U3308" s="116"/>
      <c r="V3308" s="116"/>
      <c r="W3308" s="116"/>
      <c r="X3308" s="116"/>
      <c r="Y3308" s="45"/>
      <c r="Z3308" s="45"/>
      <c r="AA3308" s="45"/>
      <c r="AB3308" s="45"/>
      <c r="AC3308" s="45"/>
      <c r="AD3308" s="45"/>
      <c r="AE3308" s="45"/>
      <c r="AF3308" s="45"/>
      <c r="AG3308" s="45"/>
      <c r="AH3308" s="45"/>
      <c r="AI3308" s="45"/>
      <c r="AJ3308" s="45"/>
      <c r="AK3308" s="45"/>
      <c r="AL3308" s="45"/>
    </row>
    <row r="3309" ht="15.75" customHeight="1">
      <c r="A3309" s="27">
        <f t="shared" si="25"/>
        <v>4132</v>
      </c>
      <c r="B3309" s="49" t="s">
        <v>11519</v>
      </c>
      <c r="C3309" s="272" t="s">
        <v>11520</v>
      </c>
      <c r="D3309" s="55" t="s">
        <v>11521</v>
      </c>
      <c r="E3309" s="49"/>
      <c r="F3309" s="49" t="s">
        <v>29</v>
      </c>
      <c r="G3309" s="49" t="s">
        <v>58</v>
      </c>
      <c r="H3309" s="49"/>
      <c r="I3309" s="49" t="s">
        <v>38</v>
      </c>
      <c r="J3309" s="49">
        <v>125.0</v>
      </c>
      <c r="K3309" s="49"/>
      <c r="L3309" s="49" t="s">
        <v>11522</v>
      </c>
      <c r="M3309" s="49" t="s">
        <v>5208</v>
      </c>
      <c r="N3309" s="49">
        <v>1966.0</v>
      </c>
      <c r="O3309" s="49" t="s">
        <v>388</v>
      </c>
      <c r="P3309" s="49">
        <v>1.0</v>
      </c>
      <c r="Q3309" s="56">
        <v>1.0</v>
      </c>
      <c r="R3309" s="54"/>
      <c r="S3309" s="116"/>
      <c r="T3309" s="116"/>
      <c r="U3309" s="116"/>
      <c r="V3309" s="116"/>
      <c r="W3309" s="116"/>
      <c r="X3309" s="116"/>
      <c r="Y3309" s="3"/>
      <c r="Z3309" s="3"/>
      <c r="AA3309" s="3"/>
      <c r="AB3309" s="3"/>
      <c r="AC3309" s="3"/>
      <c r="AD3309" s="3"/>
      <c r="AE3309" s="3"/>
      <c r="AF3309" s="3"/>
      <c r="AG3309" s="3"/>
      <c r="AH3309" s="3"/>
      <c r="AI3309" s="3"/>
      <c r="AJ3309" s="3"/>
      <c r="AK3309" s="3"/>
      <c r="AL3309" s="3"/>
    </row>
    <row r="3310" ht="15.75" customHeight="1">
      <c r="A3310" s="27">
        <f t="shared" si="25"/>
        <v>4133</v>
      </c>
      <c r="B3310" s="49" t="s">
        <v>11523</v>
      </c>
      <c r="C3310" s="272" t="s">
        <v>11524</v>
      </c>
      <c r="D3310" s="55" t="s">
        <v>11525</v>
      </c>
      <c r="E3310" s="49"/>
      <c r="F3310" s="49" t="s">
        <v>29</v>
      </c>
      <c r="G3310" s="49" t="s">
        <v>37</v>
      </c>
      <c r="H3310" s="49"/>
      <c r="I3310" s="49" t="s">
        <v>38</v>
      </c>
      <c r="J3310" s="49">
        <v>190.0</v>
      </c>
      <c r="K3310" s="49"/>
      <c r="L3310" s="49" t="s">
        <v>11526</v>
      </c>
      <c r="M3310" s="49" t="s">
        <v>72</v>
      </c>
      <c r="N3310" s="49">
        <v>2004.0</v>
      </c>
      <c r="O3310" s="49" t="s">
        <v>388</v>
      </c>
      <c r="P3310" s="49">
        <v>1.0</v>
      </c>
      <c r="Q3310" s="56"/>
      <c r="R3310" s="54"/>
      <c r="S3310" s="116"/>
      <c r="T3310" s="116"/>
      <c r="U3310" s="116"/>
      <c r="V3310" s="116"/>
      <c r="W3310" s="116"/>
      <c r="X3310" s="116"/>
      <c r="Y3310" s="45"/>
      <c r="Z3310" s="45"/>
      <c r="AA3310" s="45"/>
      <c r="AB3310" s="45"/>
      <c r="AC3310" s="45"/>
      <c r="AD3310" s="45"/>
      <c r="AE3310" s="45"/>
      <c r="AF3310" s="45"/>
      <c r="AG3310" s="45"/>
      <c r="AH3310" s="45"/>
      <c r="AI3310" s="45"/>
      <c r="AJ3310" s="45"/>
      <c r="AK3310" s="45"/>
      <c r="AL3310" s="45"/>
    </row>
    <row r="3311" ht="15.75" customHeight="1">
      <c r="A3311" s="27">
        <f t="shared" si="25"/>
        <v>4134</v>
      </c>
      <c r="B3311" s="49" t="s">
        <v>11527</v>
      </c>
      <c r="C3311" s="272" t="s">
        <v>11528</v>
      </c>
      <c r="D3311" s="55" t="s">
        <v>11529</v>
      </c>
      <c r="E3311" s="49"/>
      <c r="F3311" s="49" t="s">
        <v>29</v>
      </c>
      <c r="G3311" s="49" t="s">
        <v>37</v>
      </c>
      <c r="H3311" s="49"/>
      <c r="I3311" s="49" t="s">
        <v>38</v>
      </c>
      <c r="J3311" s="49">
        <v>190.0</v>
      </c>
      <c r="K3311" s="49"/>
      <c r="L3311" s="49" t="s">
        <v>11530</v>
      </c>
      <c r="M3311" s="49" t="s">
        <v>72</v>
      </c>
      <c r="N3311" s="49">
        <v>2004.0</v>
      </c>
      <c r="O3311" s="49" t="s">
        <v>388</v>
      </c>
      <c r="P3311" s="49">
        <v>1.0</v>
      </c>
      <c r="Q3311" s="56">
        <v>1.0</v>
      </c>
      <c r="R3311" s="54"/>
      <c r="S3311" s="34"/>
      <c r="T3311" s="34"/>
      <c r="U3311" s="34"/>
      <c r="V3311" s="34"/>
      <c r="W3311" s="34"/>
      <c r="X3311" s="34"/>
      <c r="Y3311" s="3"/>
      <c r="Z3311" s="3"/>
      <c r="AA3311" s="3"/>
      <c r="AB3311" s="3"/>
      <c r="AC3311" s="3"/>
      <c r="AD3311" s="3"/>
      <c r="AE3311" s="3"/>
      <c r="AF3311" s="3"/>
      <c r="AG3311" s="3"/>
      <c r="AH3311" s="3"/>
      <c r="AI3311" s="3"/>
      <c r="AJ3311" s="3"/>
      <c r="AK3311" s="3"/>
      <c r="AL3311" s="3"/>
    </row>
    <row r="3312" ht="15.75" customHeight="1">
      <c r="A3312" s="27">
        <f t="shared" si="25"/>
        <v>4135</v>
      </c>
      <c r="B3312" s="49" t="s">
        <v>11531</v>
      </c>
      <c r="C3312" s="272" t="s">
        <v>11532</v>
      </c>
      <c r="D3312" s="55" t="s">
        <v>11533</v>
      </c>
      <c r="E3312" s="49"/>
      <c r="F3312" s="49" t="s">
        <v>29</v>
      </c>
      <c r="G3312" s="49" t="s">
        <v>37</v>
      </c>
      <c r="H3312" s="49"/>
      <c r="I3312" s="49" t="s">
        <v>38</v>
      </c>
      <c r="J3312" s="49">
        <v>253.0</v>
      </c>
      <c r="K3312" s="49"/>
      <c r="L3312" s="49" t="s">
        <v>11534</v>
      </c>
      <c r="M3312" s="49" t="s">
        <v>1191</v>
      </c>
      <c r="N3312" s="49">
        <v>2003.0</v>
      </c>
      <c r="O3312" s="49" t="s">
        <v>388</v>
      </c>
      <c r="P3312" s="49">
        <v>1.0</v>
      </c>
      <c r="Q3312" s="56">
        <v>1.0</v>
      </c>
      <c r="R3312" s="54"/>
      <c r="S3312" s="116"/>
      <c r="T3312" s="116"/>
      <c r="U3312" s="116"/>
      <c r="V3312" s="116"/>
      <c r="W3312" s="116"/>
      <c r="X3312" s="116"/>
      <c r="Y3312" s="3"/>
      <c r="Z3312" s="3"/>
      <c r="AA3312" s="3"/>
      <c r="AB3312" s="3"/>
      <c r="AC3312" s="3"/>
      <c r="AD3312" s="3"/>
      <c r="AE3312" s="3"/>
      <c r="AF3312" s="3"/>
      <c r="AG3312" s="3"/>
      <c r="AH3312" s="3"/>
      <c r="AI3312" s="3"/>
      <c r="AJ3312" s="3"/>
      <c r="AK3312" s="3"/>
      <c r="AL3312" s="3"/>
    </row>
    <row r="3313" ht="15.75" customHeight="1">
      <c r="A3313" s="27">
        <f t="shared" si="25"/>
        <v>4136</v>
      </c>
      <c r="B3313" s="49" t="s">
        <v>11535</v>
      </c>
      <c r="C3313" s="272" t="s">
        <v>11536</v>
      </c>
      <c r="D3313" s="55" t="s">
        <v>11537</v>
      </c>
      <c r="E3313" s="49" t="s">
        <v>31</v>
      </c>
      <c r="F3313" s="49" t="s">
        <v>29</v>
      </c>
      <c r="G3313" s="49" t="s">
        <v>30</v>
      </c>
      <c r="H3313" s="49"/>
      <c r="I3313" s="49" t="s">
        <v>30</v>
      </c>
      <c r="J3313" s="49">
        <v>94.0</v>
      </c>
      <c r="K3313" s="49"/>
      <c r="L3313" s="49" t="s">
        <v>11538</v>
      </c>
      <c r="M3313" s="49" t="s">
        <v>161</v>
      </c>
      <c r="N3313" s="49">
        <v>1993.0</v>
      </c>
      <c r="O3313" s="49" t="s">
        <v>388</v>
      </c>
      <c r="P3313" s="49">
        <v>1.0</v>
      </c>
      <c r="Q3313" s="56"/>
      <c r="R3313" s="54"/>
      <c r="S3313" s="40"/>
      <c r="T3313" s="40"/>
      <c r="U3313" s="40"/>
      <c r="V3313" s="40"/>
      <c r="W3313" s="40"/>
      <c r="X3313" s="40"/>
      <c r="Y3313" s="45"/>
      <c r="Z3313" s="45"/>
      <c r="AA3313" s="45"/>
      <c r="AB3313" s="45"/>
      <c r="AC3313" s="45"/>
      <c r="AD3313" s="45"/>
      <c r="AE3313" s="45"/>
      <c r="AF3313" s="45"/>
      <c r="AG3313" s="45"/>
      <c r="AH3313" s="45"/>
      <c r="AI3313" s="45"/>
      <c r="AJ3313" s="45"/>
      <c r="AK3313" s="45"/>
      <c r="AL3313" s="45"/>
    </row>
    <row r="3314" ht="15.75" customHeight="1">
      <c r="A3314" s="27">
        <f t="shared" si="25"/>
        <v>4137</v>
      </c>
      <c r="B3314" s="49" t="s">
        <v>11539</v>
      </c>
      <c r="C3314" s="272" t="s">
        <v>11540</v>
      </c>
      <c r="D3314" s="55" t="s">
        <v>11541</v>
      </c>
      <c r="E3314" s="49"/>
      <c r="F3314" s="49" t="s">
        <v>29</v>
      </c>
      <c r="G3314" s="49" t="s">
        <v>31</v>
      </c>
      <c r="H3314" s="49"/>
      <c r="I3314" s="49" t="s">
        <v>38</v>
      </c>
      <c r="J3314" s="49">
        <v>128.0</v>
      </c>
      <c r="K3314" s="49"/>
      <c r="L3314" s="49" t="s">
        <v>11542</v>
      </c>
      <c r="M3314" s="49" t="s">
        <v>11543</v>
      </c>
      <c r="N3314" s="49">
        <v>2004.0</v>
      </c>
      <c r="O3314" s="49" t="s">
        <v>388</v>
      </c>
      <c r="P3314" s="49">
        <v>1.0</v>
      </c>
      <c r="Q3314" s="56">
        <v>1.0</v>
      </c>
      <c r="R3314" s="54"/>
      <c r="S3314" s="34"/>
      <c r="T3314" s="34"/>
      <c r="U3314" s="34"/>
      <c r="V3314" s="34"/>
      <c r="W3314" s="34"/>
      <c r="X3314" s="34"/>
      <c r="Y3314" s="45"/>
      <c r="Z3314" s="45"/>
      <c r="AA3314" s="45"/>
      <c r="AB3314" s="45"/>
      <c r="AC3314" s="45"/>
      <c r="AD3314" s="45"/>
      <c r="AE3314" s="45"/>
      <c r="AF3314" s="45"/>
      <c r="AG3314" s="45"/>
      <c r="AH3314" s="45"/>
      <c r="AI3314" s="45"/>
      <c r="AJ3314" s="45"/>
      <c r="AK3314" s="45"/>
      <c r="AL3314" s="45"/>
    </row>
    <row r="3315" ht="15.75" customHeight="1">
      <c r="A3315" s="27">
        <f t="shared" si="25"/>
        <v>4138</v>
      </c>
      <c r="B3315" s="49" t="s">
        <v>11544</v>
      </c>
      <c r="C3315" s="272" t="s">
        <v>11545</v>
      </c>
      <c r="D3315" s="55" t="s">
        <v>11546</v>
      </c>
      <c r="E3315" s="49"/>
      <c r="F3315" s="49" t="s">
        <v>29</v>
      </c>
      <c r="G3315" s="49" t="s">
        <v>58</v>
      </c>
      <c r="H3315" s="49"/>
      <c r="I3315" s="49" t="s">
        <v>38</v>
      </c>
      <c r="J3315" s="49">
        <v>32.0</v>
      </c>
      <c r="K3315" s="49"/>
      <c r="L3315" s="49" t="s">
        <v>11547</v>
      </c>
      <c r="M3315" s="49" t="s">
        <v>5208</v>
      </c>
      <c r="N3315" s="49" t="s">
        <v>31</v>
      </c>
      <c r="O3315" s="49" t="s">
        <v>388</v>
      </c>
      <c r="P3315" s="49">
        <v>1.0</v>
      </c>
      <c r="Q3315" s="56">
        <v>1.0</v>
      </c>
      <c r="R3315" s="54"/>
      <c r="S3315" s="34"/>
      <c r="T3315" s="34"/>
      <c r="U3315" s="34"/>
      <c r="V3315" s="34"/>
      <c r="W3315" s="34"/>
      <c r="X3315" s="34"/>
      <c r="Y3315" s="45"/>
      <c r="Z3315" s="45"/>
      <c r="AA3315" s="45"/>
      <c r="AB3315" s="45"/>
      <c r="AC3315" s="45"/>
      <c r="AD3315" s="45"/>
      <c r="AE3315" s="45"/>
      <c r="AF3315" s="45"/>
      <c r="AG3315" s="45"/>
      <c r="AH3315" s="45"/>
      <c r="AI3315" s="45"/>
      <c r="AJ3315" s="45"/>
      <c r="AK3315" s="45"/>
      <c r="AL3315" s="45"/>
    </row>
    <row r="3316" ht="15.75" customHeight="1">
      <c r="A3316" s="27">
        <f t="shared" si="25"/>
        <v>4139</v>
      </c>
      <c r="B3316" s="49" t="s">
        <v>11548</v>
      </c>
      <c r="C3316" s="272" t="s">
        <v>11549</v>
      </c>
      <c r="D3316" s="55" t="s">
        <v>11550</v>
      </c>
      <c r="E3316" s="49"/>
      <c r="F3316" s="49" t="s">
        <v>29</v>
      </c>
      <c r="G3316" s="49" t="s">
        <v>31</v>
      </c>
      <c r="H3316" s="49"/>
      <c r="I3316" s="49" t="s">
        <v>38</v>
      </c>
      <c r="J3316" s="49">
        <v>191.0</v>
      </c>
      <c r="K3316" s="49"/>
      <c r="L3316" s="49" t="s">
        <v>11542</v>
      </c>
      <c r="M3316" s="49" t="s">
        <v>11543</v>
      </c>
      <c r="N3316" s="49">
        <v>2002.0</v>
      </c>
      <c r="O3316" s="49" t="s">
        <v>388</v>
      </c>
      <c r="P3316" s="49">
        <v>1.0</v>
      </c>
      <c r="Q3316" s="56">
        <v>1.0</v>
      </c>
      <c r="R3316" s="54"/>
      <c r="S3316" s="34"/>
      <c r="T3316" s="34"/>
      <c r="U3316" s="34"/>
      <c r="V3316" s="34"/>
      <c r="W3316" s="34"/>
      <c r="X3316" s="34"/>
      <c r="Y3316" s="3"/>
      <c r="Z3316" s="3"/>
      <c r="AA3316" s="3"/>
      <c r="AB3316" s="3"/>
      <c r="AC3316" s="3"/>
      <c r="AD3316" s="3"/>
      <c r="AE3316" s="3"/>
      <c r="AF3316" s="3"/>
      <c r="AG3316" s="3"/>
      <c r="AH3316" s="3"/>
      <c r="AI3316" s="3"/>
      <c r="AJ3316" s="3"/>
      <c r="AK3316" s="3"/>
      <c r="AL3316" s="3"/>
    </row>
    <row r="3317" ht="15.75" customHeight="1">
      <c r="A3317" s="27">
        <f t="shared" si="25"/>
        <v>4140</v>
      </c>
      <c r="B3317" s="49" t="s">
        <v>31</v>
      </c>
      <c r="C3317" s="272" t="s">
        <v>11551</v>
      </c>
      <c r="D3317" s="55" t="s">
        <v>11552</v>
      </c>
      <c r="E3317" s="49"/>
      <c r="F3317" s="49" t="s">
        <v>29</v>
      </c>
      <c r="G3317" s="49" t="s">
        <v>37</v>
      </c>
      <c r="H3317" s="49"/>
      <c r="I3317" s="49" t="s">
        <v>38</v>
      </c>
      <c r="J3317" s="49">
        <v>267.0</v>
      </c>
      <c r="K3317" s="49"/>
      <c r="L3317" s="49" t="s">
        <v>11553</v>
      </c>
      <c r="M3317" s="49" t="s">
        <v>11554</v>
      </c>
      <c r="N3317" s="49">
        <v>1961.0</v>
      </c>
      <c r="O3317" s="49" t="s">
        <v>388</v>
      </c>
      <c r="P3317" s="49">
        <v>1.0</v>
      </c>
      <c r="Q3317" s="56"/>
      <c r="R3317" s="54"/>
      <c r="S3317" s="34"/>
      <c r="T3317" s="34"/>
      <c r="U3317" s="34"/>
      <c r="V3317" s="34"/>
      <c r="W3317" s="34"/>
      <c r="X3317" s="34"/>
      <c r="Y3317" s="45"/>
      <c r="Z3317" s="45"/>
      <c r="AA3317" s="45"/>
      <c r="AB3317" s="45"/>
      <c r="AC3317" s="45"/>
      <c r="AD3317" s="45"/>
      <c r="AE3317" s="45"/>
      <c r="AF3317" s="45"/>
      <c r="AG3317" s="45"/>
      <c r="AH3317" s="45"/>
      <c r="AI3317" s="45"/>
      <c r="AJ3317" s="45"/>
      <c r="AK3317" s="45"/>
      <c r="AL3317" s="45"/>
    </row>
    <row r="3318" ht="15.75" customHeight="1">
      <c r="A3318" s="27">
        <f t="shared" si="25"/>
        <v>4141</v>
      </c>
      <c r="B3318" s="49" t="s">
        <v>11555</v>
      </c>
      <c r="C3318" s="272" t="s">
        <v>11556</v>
      </c>
      <c r="D3318" s="55" t="s">
        <v>11557</v>
      </c>
      <c r="E3318" s="49"/>
      <c r="F3318" s="49" t="s">
        <v>29</v>
      </c>
      <c r="G3318" s="49" t="s">
        <v>37</v>
      </c>
      <c r="H3318" s="49"/>
      <c r="I3318" s="49" t="s">
        <v>38</v>
      </c>
      <c r="J3318" s="49">
        <v>176.0</v>
      </c>
      <c r="K3318" s="49"/>
      <c r="L3318" s="49" t="s">
        <v>11558</v>
      </c>
      <c r="M3318" s="49" t="s">
        <v>1191</v>
      </c>
      <c r="N3318" s="49">
        <v>1997.0</v>
      </c>
      <c r="O3318" s="49" t="s">
        <v>388</v>
      </c>
      <c r="P3318" s="49">
        <v>1.0</v>
      </c>
      <c r="Q3318" s="56">
        <v>1.0</v>
      </c>
      <c r="R3318" s="54"/>
      <c r="S3318" s="34"/>
      <c r="T3318" s="34"/>
      <c r="U3318" s="34"/>
      <c r="V3318" s="34"/>
      <c r="W3318" s="34"/>
      <c r="X3318" s="34"/>
      <c r="Y3318" s="45"/>
      <c r="Z3318" s="45"/>
      <c r="AA3318" s="45"/>
      <c r="AB3318" s="45"/>
      <c r="AC3318" s="45"/>
      <c r="AD3318" s="45"/>
      <c r="AE3318" s="45"/>
      <c r="AF3318" s="45"/>
      <c r="AG3318" s="45"/>
      <c r="AH3318" s="45"/>
      <c r="AI3318" s="45"/>
      <c r="AJ3318" s="45"/>
      <c r="AK3318" s="45"/>
      <c r="AL3318" s="45"/>
    </row>
    <row r="3319" ht="15.75" customHeight="1">
      <c r="A3319" s="27">
        <f t="shared" si="25"/>
        <v>4142</v>
      </c>
      <c r="B3319" s="49" t="s">
        <v>11559</v>
      </c>
      <c r="C3319" s="272" t="s">
        <v>11560</v>
      </c>
      <c r="D3319" s="55" t="s">
        <v>11561</v>
      </c>
      <c r="E3319" s="49"/>
      <c r="F3319" s="49" t="s">
        <v>29</v>
      </c>
      <c r="G3319" s="49" t="s">
        <v>37</v>
      </c>
      <c r="H3319" s="49"/>
      <c r="I3319" s="49" t="s">
        <v>38</v>
      </c>
      <c r="J3319" s="49">
        <v>251.0</v>
      </c>
      <c r="K3319" s="49"/>
      <c r="L3319" s="49" t="s">
        <v>11562</v>
      </c>
      <c r="M3319" s="49" t="s">
        <v>11563</v>
      </c>
      <c r="N3319" s="49">
        <v>1975.0</v>
      </c>
      <c r="O3319" s="49" t="s">
        <v>388</v>
      </c>
      <c r="P3319" s="49">
        <v>1.0</v>
      </c>
      <c r="Q3319" s="56">
        <v>1.0</v>
      </c>
      <c r="R3319" s="54"/>
      <c r="S3319" s="34"/>
      <c r="T3319" s="34"/>
      <c r="U3319" s="34"/>
      <c r="V3319" s="34"/>
      <c r="W3319" s="34"/>
      <c r="X3319" s="34"/>
      <c r="Y3319" s="45"/>
      <c r="Z3319" s="45"/>
      <c r="AA3319" s="45"/>
      <c r="AB3319" s="45"/>
      <c r="AC3319" s="45"/>
      <c r="AD3319" s="45"/>
      <c r="AE3319" s="45"/>
      <c r="AF3319" s="45"/>
      <c r="AG3319" s="45"/>
      <c r="AH3319" s="45"/>
      <c r="AI3319" s="45"/>
      <c r="AJ3319" s="45"/>
      <c r="AK3319" s="45"/>
      <c r="AL3319" s="45"/>
    </row>
    <row r="3320" ht="15.75" customHeight="1">
      <c r="A3320" s="27">
        <f t="shared" si="25"/>
        <v>4143</v>
      </c>
      <c r="B3320" s="49" t="s">
        <v>11564</v>
      </c>
      <c r="C3320" s="272" t="s">
        <v>11565</v>
      </c>
      <c r="D3320" s="55" t="s">
        <v>11566</v>
      </c>
      <c r="E3320" s="49" t="s">
        <v>31</v>
      </c>
      <c r="F3320" s="49" t="s">
        <v>29</v>
      </c>
      <c r="G3320" s="49" t="s">
        <v>30</v>
      </c>
      <c r="H3320" s="49"/>
      <c r="I3320" s="49" t="s">
        <v>30</v>
      </c>
      <c r="J3320" s="49">
        <v>286.0</v>
      </c>
      <c r="K3320" s="49"/>
      <c r="L3320" s="49" t="s">
        <v>11567</v>
      </c>
      <c r="M3320" s="49" t="s">
        <v>151</v>
      </c>
      <c r="N3320" s="49">
        <v>2000.0</v>
      </c>
      <c r="O3320" s="49" t="s">
        <v>388</v>
      </c>
      <c r="P3320" s="49">
        <v>2.0</v>
      </c>
      <c r="Q3320" s="56"/>
      <c r="R3320" s="54"/>
      <c r="S3320" s="34"/>
      <c r="T3320" s="34"/>
      <c r="U3320" s="34"/>
      <c r="V3320" s="34"/>
      <c r="W3320" s="34"/>
      <c r="X3320" s="34"/>
      <c r="Y3320" s="45"/>
      <c r="Z3320" s="45"/>
      <c r="AA3320" s="45"/>
      <c r="AB3320" s="45"/>
      <c r="AC3320" s="45"/>
      <c r="AD3320" s="45"/>
      <c r="AE3320" s="45"/>
      <c r="AF3320" s="45"/>
      <c r="AG3320" s="45"/>
      <c r="AH3320" s="45"/>
      <c r="AI3320" s="45"/>
      <c r="AJ3320" s="45"/>
      <c r="AK3320" s="45"/>
      <c r="AL3320" s="45"/>
    </row>
    <row r="3321" ht="15.75" customHeight="1">
      <c r="A3321" s="27">
        <f t="shared" si="25"/>
        <v>4144</v>
      </c>
      <c r="B3321" s="49"/>
      <c r="C3321" s="272" t="s">
        <v>11568</v>
      </c>
      <c r="D3321" s="55" t="s">
        <v>11569</v>
      </c>
      <c r="E3321" s="49" t="s">
        <v>31</v>
      </c>
      <c r="F3321" s="49" t="s">
        <v>29</v>
      </c>
      <c r="G3321" s="49" t="s">
        <v>30</v>
      </c>
      <c r="H3321" s="49"/>
      <c r="I3321" s="49" t="s">
        <v>30</v>
      </c>
      <c r="J3321" s="49"/>
      <c r="K3321" s="49"/>
      <c r="L3321" s="49" t="s">
        <v>3453</v>
      </c>
      <c r="M3321" s="49" t="s">
        <v>151</v>
      </c>
      <c r="N3321" s="49">
        <v>1990.0</v>
      </c>
      <c r="O3321" s="49" t="s">
        <v>388</v>
      </c>
      <c r="P3321" s="49">
        <v>2.0</v>
      </c>
      <c r="Q3321" s="56"/>
      <c r="R3321" s="54"/>
      <c r="S3321" s="34"/>
      <c r="T3321" s="34"/>
      <c r="U3321" s="34"/>
      <c r="V3321" s="34"/>
      <c r="W3321" s="34"/>
      <c r="X3321" s="34"/>
      <c r="Y3321" s="3"/>
      <c r="Z3321" s="3"/>
      <c r="AA3321" s="3"/>
      <c r="AB3321" s="3"/>
      <c r="AC3321" s="3"/>
      <c r="AD3321" s="3"/>
      <c r="AE3321" s="3"/>
      <c r="AF3321" s="3"/>
      <c r="AG3321" s="3"/>
      <c r="AH3321" s="3"/>
      <c r="AI3321" s="3"/>
      <c r="AJ3321" s="3"/>
      <c r="AK3321" s="3"/>
      <c r="AL3321" s="3"/>
    </row>
    <row r="3322" ht="15.75" customHeight="1">
      <c r="A3322" s="27">
        <f t="shared" si="25"/>
        <v>4145</v>
      </c>
      <c r="B3322" s="49" t="s">
        <v>11570</v>
      </c>
      <c r="C3322" s="272" t="s">
        <v>11568</v>
      </c>
      <c r="D3322" s="55" t="s">
        <v>11571</v>
      </c>
      <c r="E3322" s="49" t="s">
        <v>31</v>
      </c>
      <c r="F3322" s="49" t="s">
        <v>29</v>
      </c>
      <c r="G3322" s="49" t="s">
        <v>30</v>
      </c>
      <c r="H3322" s="49"/>
      <c r="I3322" s="49" t="s">
        <v>30</v>
      </c>
      <c r="J3322" s="49">
        <v>96.0</v>
      </c>
      <c r="K3322" s="49"/>
      <c r="L3322" s="49" t="s">
        <v>11425</v>
      </c>
      <c r="M3322" s="49" t="s">
        <v>151</v>
      </c>
      <c r="N3322" s="49">
        <v>1990.0</v>
      </c>
      <c r="O3322" s="49" t="s">
        <v>388</v>
      </c>
      <c r="P3322" s="49">
        <v>1.0</v>
      </c>
      <c r="Q3322" s="56"/>
      <c r="R3322" s="54"/>
      <c r="S3322" s="34"/>
      <c r="T3322" s="34"/>
      <c r="U3322" s="34"/>
      <c r="V3322" s="34"/>
      <c r="W3322" s="34"/>
      <c r="X3322" s="34"/>
      <c r="Y3322" s="3"/>
      <c r="Z3322" s="3"/>
      <c r="AA3322" s="3"/>
      <c r="AB3322" s="3"/>
      <c r="AC3322" s="3"/>
      <c r="AD3322" s="3"/>
      <c r="AE3322" s="3"/>
      <c r="AF3322" s="3"/>
      <c r="AG3322" s="3"/>
      <c r="AH3322" s="3"/>
      <c r="AI3322" s="3"/>
      <c r="AJ3322" s="3"/>
      <c r="AK3322" s="3"/>
      <c r="AL3322" s="3"/>
    </row>
    <row r="3323" ht="15.75" customHeight="1">
      <c r="A3323" s="27">
        <f t="shared" si="25"/>
        <v>4146</v>
      </c>
      <c r="B3323" s="49" t="s">
        <v>11572</v>
      </c>
      <c r="C3323" s="50" t="s">
        <v>11573</v>
      </c>
      <c r="D3323" s="55" t="s">
        <v>11574</v>
      </c>
      <c r="E3323" s="52" t="s">
        <v>31</v>
      </c>
      <c r="F3323" s="52" t="s">
        <v>29</v>
      </c>
      <c r="G3323" s="49" t="s">
        <v>30</v>
      </c>
      <c r="H3323" s="49"/>
      <c r="I3323" s="49" t="s">
        <v>30</v>
      </c>
      <c r="J3323" s="49">
        <v>594.0</v>
      </c>
      <c r="K3323" s="49"/>
      <c r="L3323" s="49" t="s">
        <v>11575</v>
      </c>
      <c r="M3323" s="49" t="s">
        <v>11576</v>
      </c>
      <c r="N3323" s="49">
        <v>1998.0</v>
      </c>
      <c r="O3323" s="52">
        <v>16.0</v>
      </c>
      <c r="P3323" s="49">
        <v>1.0</v>
      </c>
      <c r="Q3323" s="53">
        <v>1.0</v>
      </c>
      <c r="R3323" s="54"/>
      <c r="S3323" s="34"/>
      <c r="T3323" s="34"/>
      <c r="U3323" s="34"/>
      <c r="V3323" s="34"/>
      <c r="W3323" s="34"/>
      <c r="X3323" s="34"/>
      <c r="Y3323" s="45"/>
      <c r="Z3323" s="45"/>
      <c r="AA3323" s="45"/>
      <c r="AB3323" s="45"/>
      <c r="AC3323" s="45"/>
      <c r="AD3323" s="45"/>
      <c r="AE3323" s="45"/>
      <c r="AF3323" s="45"/>
      <c r="AG3323" s="45"/>
      <c r="AH3323" s="45"/>
      <c r="AI3323" s="45"/>
      <c r="AJ3323" s="45"/>
      <c r="AK3323" s="45"/>
      <c r="AL3323" s="45"/>
    </row>
    <row r="3324" ht="15.75" customHeight="1">
      <c r="A3324" s="27">
        <f t="shared" si="25"/>
        <v>4147</v>
      </c>
      <c r="B3324" s="49"/>
      <c r="C3324" s="272" t="s">
        <v>11577</v>
      </c>
      <c r="D3324" s="55" t="s">
        <v>11578</v>
      </c>
      <c r="E3324" s="49" t="s">
        <v>144</v>
      </c>
      <c r="F3324" s="49" t="s">
        <v>29</v>
      </c>
      <c r="G3324" s="49" t="s">
        <v>37</v>
      </c>
      <c r="H3324" s="49"/>
      <c r="I3324" s="49" t="s">
        <v>38</v>
      </c>
      <c r="J3324" s="49">
        <f>127</f>
        <v>127</v>
      </c>
      <c r="K3324" s="49"/>
      <c r="L3324" s="49" t="s">
        <v>11579</v>
      </c>
      <c r="M3324" s="49" t="s">
        <v>2194</v>
      </c>
      <c r="N3324" s="49"/>
      <c r="O3324" s="49" t="s">
        <v>388</v>
      </c>
      <c r="P3324" s="49">
        <v>1.0</v>
      </c>
      <c r="Q3324" s="56">
        <v>1.0</v>
      </c>
      <c r="R3324" s="54"/>
      <c r="S3324" s="34"/>
      <c r="T3324" s="34"/>
      <c r="U3324" s="34"/>
      <c r="V3324" s="34"/>
      <c r="W3324" s="34"/>
      <c r="X3324" s="34"/>
      <c r="Y3324" s="45"/>
      <c r="Z3324" s="45"/>
      <c r="AA3324" s="45"/>
      <c r="AB3324" s="45"/>
      <c r="AC3324" s="45"/>
      <c r="AD3324" s="45"/>
      <c r="AE3324" s="45"/>
      <c r="AF3324" s="45"/>
      <c r="AG3324" s="45"/>
      <c r="AH3324" s="45"/>
      <c r="AI3324" s="45"/>
      <c r="AJ3324" s="45"/>
      <c r="AK3324" s="45"/>
      <c r="AL3324" s="45"/>
    </row>
    <row r="3325" ht="15.75" customHeight="1">
      <c r="A3325" s="27">
        <f t="shared" si="25"/>
        <v>4148</v>
      </c>
      <c r="B3325" s="49" t="s">
        <v>11580</v>
      </c>
      <c r="C3325" s="272" t="s">
        <v>11581</v>
      </c>
      <c r="D3325" s="55" t="s">
        <v>11582</v>
      </c>
      <c r="E3325" s="49" t="s">
        <v>31</v>
      </c>
      <c r="F3325" s="49" t="s">
        <v>29</v>
      </c>
      <c r="G3325" s="49" t="s">
        <v>30</v>
      </c>
      <c r="H3325" s="49"/>
      <c r="I3325" s="49" t="s">
        <v>30</v>
      </c>
      <c r="J3325" s="49">
        <v>79.0</v>
      </c>
      <c r="K3325" s="49"/>
      <c r="L3325" s="49" t="s">
        <v>11583</v>
      </c>
      <c r="M3325" s="49" t="s">
        <v>161</v>
      </c>
      <c r="N3325" s="49">
        <v>1999.0</v>
      </c>
      <c r="O3325" s="49" t="s">
        <v>388</v>
      </c>
      <c r="P3325" s="49">
        <v>1.0</v>
      </c>
      <c r="Q3325" s="56">
        <v>1.0</v>
      </c>
      <c r="R3325" s="54"/>
      <c r="S3325" s="34"/>
      <c r="T3325" s="34"/>
      <c r="U3325" s="34"/>
      <c r="V3325" s="34"/>
      <c r="W3325" s="34"/>
      <c r="X3325" s="34"/>
      <c r="Y3325" s="3"/>
      <c r="Z3325" s="3"/>
      <c r="AA3325" s="3"/>
      <c r="AB3325" s="3"/>
      <c r="AC3325" s="3"/>
      <c r="AD3325" s="3"/>
      <c r="AE3325" s="3"/>
      <c r="AF3325" s="3"/>
      <c r="AG3325" s="3"/>
      <c r="AH3325" s="3"/>
      <c r="AI3325" s="3"/>
      <c r="AJ3325" s="3"/>
      <c r="AK3325" s="3"/>
      <c r="AL3325" s="3"/>
    </row>
    <row r="3326" ht="15.75" customHeight="1">
      <c r="A3326" s="27">
        <f t="shared" si="25"/>
        <v>4149</v>
      </c>
      <c r="B3326" s="49" t="s">
        <v>11584</v>
      </c>
      <c r="C3326" s="272" t="s">
        <v>11585</v>
      </c>
      <c r="D3326" s="55" t="s">
        <v>11586</v>
      </c>
      <c r="E3326" s="49" t="s">
        <v>31</v>
      </c>
      <c r="F3326" s="49" t="s">
        <v>29</v>
      </c>
      <c r="G3326" s="49" t="s">
        <v>30</v>
      </c>
      <c r="H3326" s="49"/>
      <c r="I3326" s="49" t="s">
        <v>30</v>
      </c>
      <c r="J3326" s="49">
        <v>624.0</v>
      </c>
      <c r="K3326" s="49"/>
      <c r="L3326" s="49" t="s">
        <v>11587</v>
      </c>
      <c r="M3326" s="49" t="s">
        <v>2494</v>
      </c>
      <c r="N3326" s="49">
        <v>1994.0</v>
      </c>
      <c r="O3326" s="49" t="s">
        <v>388</v>
      </c>
      <c r="P3326" s="49">
        <v>1.0</v>
      </c>
      <c r="Q3326" s="56"/>
      <c r="R3326" s="54"/>
      <c r="S3326" s="34"/>
      <c r="T3326" s="34"/>
      <c r="U3326" s="34"/>
      <c r="V3326" s="34"/>
      <c r="W3326" s="34"/>
      <c r="X3326" s="34"/>
      <c r="Y3326" s="45"/>
      <c r="Z3326" s="45"/>
      <c r="AA3326" s="45"/>
      <c r="AB3326" s="45"/>
      <c r="AC3326" s="45"/>
      <c r="AD3326" s="45"/>
      <c r="AE3326" s="45"/>
      <c r="AF3326" s="45"/>
      <c r="AG3326" s="45"/>
      <c r="AH3326" s="45"/>
      <c r="AI3326" s="45"/>
      <c r="AJ3326" s="45"/>
      <c r="AK3326" s="45"/>
      <c r="AL3326" s="45"/>
    </row>
    <row r="3327" ht="15.75" customHeight="1">
      <c r="A3327" s="27">
        <f t="shared" si="25"/>
        <v>4150</v>
      </c>
      <c r="B3327" s="49" t="s">
        <v>31</v>
      </c>
      <c r="C3327" s="272" t="s">
        <v>11588</v>
      </c>
      <c r="D3327" s="55" t="s">
        <v>11589</v>
      </c>
      <c r="E3327" s="49" t="s">
        <v>31</v>
      </c>
      <c r="F3327" s="49" t="s">
        <v>29</v>
      </c>
      <c r="G3327" s="49" t="s">
        <v>30</v>
      </c>
      <c r="H3327" s="49"/>
      <c r="I3327" s="49" t="s">
        <v>30</v>
      </c>
      <c r="J3327" s="49">
        <v>191.0</v>
      </c>
      <c r="K3327" s="49"/>
      <c r="L3327" s="49" t="s">
        <v>11590</v>
      </c>
      <c r="M3327" s="49" t="s">
        <v>31</v>
      </c>
      <c r="N3327" s="49">
        <v>1984.0</v>
      </c>
      <c r="O3327" s="49" t="s">
        <v>388</v>
      </c>
      <c r="P3327" s="49">
        <v>1.0</v>
      </c>
      <c r="Q3327" s="56"/>
      <c r="R3327" s="54"/>
      <c r="S3327" s="34"/>
      <c r="T3327" s="34"/>
      <c r="U3327" s="34"/>
      <c r="V3327" s="34"/>
      <c r="W3327" s="34"/>
      <c r="X3327" s="34"/>
      <c r="Y3327" s="45"/>
      <c r="Z3327" s="45"/>
      <c r="AA3327" s="45"/>
      <c r="AB3327" s="45"/>
      <c r="AC3327" s="45"/>
      <c r="AD3327" s="45"/>
      <c r="AE3327" s="45"/>
      <c r="AF3327" s="45"/>
      <c r="AG3327" s="45"/>
      <c r="AH3327" s="45"/>
      <c r="AI3327" s="45"/>
      <c r="AJ3327" s="45"/>
      <c r="AK3327" s="45"/>
      <c r="AL3327" s="45"/>
    </row>
    <row r="3328" ht="15.75" customHeight="1">
      <c r="A3328" s="27">
        <f t="shared" si="25"/>
        <v>4151</v>
      </c>
      <c r="B3328" s="49"/>
      <c r="C3328" s="272" t="s">
        <v>11591</v>
      </c>
      <c r="D3328" s="55" t="s">
        <v>11592</v>
      </c>
      <c r="E3328" s="49" t="s">
        <v>31</v>
      </c>
      <c r="F3328" s="49" t="s">
        <v>29</v>
      </c>
      <c r="G3328" s="49" t="s">
        <v>127</v>
      </c>
      <c r="H3328" s="49"/>
      <c r="I3328" s="49" t="s">
        <v>38</v>
      </c>
      <c r="J3328" s="49">
        <v>37.0</v>
      </c>
      <c r="K3328" s="49"/>
      <c r="L3328" s="49" t="s">
        <v>11593</v>
      </c>
      <c r="M3328" s="49" t="s">
        <v>11594</v>
      </c>
      <c r="N3328" s="49">
        <v>2008.0</v>
      </c>
      <c r="O3328" s="49" t="s">
        <v>388</v>
      </c>
      <c r="P3328" s="49">
        <v>1.0</v>
      </c>
      <c r="Q3328" s="56"/>
      <c r="R3328" s="54"/>
      <c r="S3328" s="34"/>
      <c r="T3328" s="34"/>
      <c r="U3328" s="34"/>
      <c r="V3328" s="34"/>
      <c r="W3328" s="34"/>
      <c r="X3328" s="34"/>
      <c r="Y3328" s="45"/>
      <c r="Z3328" s="45"/>
      <c r="AA3328" s="45"/>
      <c r="AB3328" s="45"/>
      <c r="AC3328" s="45"/>
      <c r="AD3328" s="45"/>
      <c r="AE3328" s="45"/>
      <c r="AF3328" s="45"/>
      <c r="AG3328" s="45"/>
      <c r="AH3328" s="45"/>
      <c r="AI3328" s="45"/>
      <c r="AJ3328" s="45"/>
      <c r="AK3328" s="45"/>
      <c r="AL3328" s="45"/>
    </row>
    <row r="3329" ht="15.75" customHeight="1">
      <c r="A3329" s="27">
        <f t="shared" si="25"/>
        <v>4152</v>
      </c>
      <c r="B3329" s="49" t="s">
        <v>31</v>
      </c>
      <c r="C3329" s="272" t="s">
        <v>11595</v>
      </c>
      <c r="D3329" s="55" t="s">
        <v>11596</v>
      </c>
      <c r="E3329" s="49" t="s">
        <v>31</v>
      </c>
      <c r="F3329" s="49" t="s">
        <v>29</v>
      </c>
      <c r="G3329" s="49" t="s">
        <v>37</v>
      </c>
      <c r="H3329" s="49"/>
      <c r="I3329" s="49" t="s">
        <v>38</v>
      </c>
      <c r="J3329" s="49">
        <v>272.0</v>
      </c>
      <c r="K3329" s="49"/>
      <c r="L3329" s="49" t="s">
        <v>11597</v>
      </c>
      <c r="M3329" s="49" t="s">
        <v>11598</v>
      </c>
      <c r="N3329" s="49">
        <v>1974.0</v>
      </c>
      <c r="O3329" s="49" t="s">
        <v>388</v>
      </c>
      <c r="P3329" s="49">
        <v>1.0</v>
      </c>
      <c r="Q3329" s="56"/>
      <c r="R3329" s="54"/>
      <c r="S3329" s="34"/>
      <c r="T3329" s="34"/>
      <c r="U3329" s="34"/>
      <c r="V3329" s="34"/>
      <c r="W3329" s="34"/>
      <c r="X3329" s="34"/>
      <c r="Y3329" s="45"/>
      <c r="Z3329" s="45"/>
      <c r="AA3329" s="45"/>
      <c r="AB3329" s="45"/>
      <c r="AC3329" s="45"/>
      <c r="AD3329" s="45"/>
      <c r="AE3329" s="45"/>
      <c r="AF3329" s="45"/>
      <c r="AG3329" s="45"/>
      <c r="AH3329" s="45"/>
      <c r="AI3329" s="45"/>
      <c r="AJ3329" s="45"/>
      <c r="AK3329" s="45"/>
      <c r="AL3329" s="45"/>
    </row>
    <row r="3330" ht="15.75" customHeight="1">
      <c r="A3330" s="27">
        <f t="shared" si="25"/>
        <v>4153</v>
      </c>
      <c r="B3330" s="49"/>
      <c r="C3330" s="272" t="s">
        <v>11599</v>
      </c>
      <c r="D3330" s="55" t="s">
        <v>11600</v>
      </c>
      <c r="E3330" s="49" t="s">
        <v>137</v>
      </c>
      <c r="F3330" s="49" t="s">
        <v>29</v>
      </c>
      <c r="G3330" s="49" t="s">
        <v>30</v>
      </c>
      <c r="H3330" s="49"/>
      <c r="I3330" s="49" t="s">
        <v>30</v>
      </c>
      <c r="J3330" s="49">
        <v>72.0</v>
      </c>
      <c r="K3330" s="49"/>
      <c r="L3330" s="49" t="s">
        <v>11601</v>
      </c>
      <c r="M3330" s="49" t="s">
        <v>11602</v>
      </c>
      <c r="N3330" s="49">
        <v>2000.0</v>
      </c>
      <c r="O3330" s="49" t="s">
        <v>388</v>
      </c>
      <c r="P3330" s="49">
        <v>1.0</v>
      </c>
      <c r="Q3330" s="56">
        <v>1.0</v>
      </c>
      <c r="R3330" s="54"/>
      <c r="S3330" s="34"/>
      <c r="T3330" s="34"/>
      <c r="U3330" s="34"/>
      <c r="V3330" s="34"/>
      <c r="W3330" s="34"/>
      <c r="X3330" s="34"/>
      <c r="Y3330" s="45"/>
      <c r="Z3330" s="45"/>
      <c r="AA3330" s="45"/>
      <c r="AB3330" s="45"/>
      <c r="AC3330" s="45"/>
      <c r="AD3330" s="45"/>
      <c r="AE3330" s="45"/>
      <c r="AF3330" s="45"/>
      <c r="AG3330" s="45"/>
      <c r="AH3330" s="45"/>
      <c r="AI3330" s="45"/>
      <c r="AJ3330" s="45"/>
      <c r="AK3330" s="45"/>
      <c r="AL3330" s="45"/>
    </row>
    <row r="3331" ht="15.75" customHeight="1">
      <c r="A3331" s="27">
        <f t="shared" si="25"/>
        <v>4154</v>
      </c>
      <c r="B3331" s="273" t="s">
        <v>11603</v>
      </c>
      <c r="C3331" s="272" t="s">
        <v>11604</v>
      </c>
      <c r="D3331" s="55" t="s">
        <v>11605</v>
      </c>
      <c r="E3331" s="49" t="s">
        <v>137</v>
      </c>
      <c r="F3331" s="49" t="s">
        <v>29</v>
      </c>
      <c r="G3331" s="49" t="s">
        <v>38</v>
      </c>
      <c r="H3331" s="49"/>
      <c r="I3331" s="49" t="s">
        <v>38</v>
      </c>
      <c r="J3331" s="49">
        <v>254.0</v>
      </c>
      <c r="K3331" s="49"/>
      <c r="L3331" s="49" t="s">
        <v>11606</v>
      </c>
      <c r="M3331" s="49"/>
      <c r="N3331" s="49">
        <v>1987.0</v>
      </c>
      <c r="O3331" s="49" t="s">
        <v>388</v>
      </c>
      <c r="P3331" s="49">
        <v>1.0</v>
      </c>
      <c r="Q3331" s="56">
        <v>1.0</v>
      </c>
      <c r="R3331" s="54"/>
      <c r="S3331" s="34"/>
      <c r="T3331" s="34"/>
      <c r="U3331" s="34"/>
      <c r="V3331" s="34"/>
      <c r="W3331" s="34"/>
      <c r="X3331" s="34"/>
      <c r="Y3331" s="45"/>
      <c r="Z3331" s="45"/>
      <c r="AA3331" s="45"/>
      <c r="AB3331" s="45"/>
      <c r="AC3331" s="45"/>
      <c r="AD3331" s="45"/>
      <c r="AE3331" s="45"/>
      <c r="AF3331" s="45"/>
      <c r="AG3331" s="45"/>
      <c r="AH3331" s="45"/>
      <c r="AI3331" s="45"/>
      <c r="AJ3331" s="45"/>
      <c r="AK3331" s="45"/>
      <c r="AL3331" s="45"/>
    </row>
    <row r="3332" ht="15.75" customHeight="1">
      <c r="A3332" s="27">
        <f t="shared" si="25"/>
        <v>4155</v>
      </c>
      <c r="B3332" s="49" t="s">
        <v>11607</v>
      </c>
      <c r="C3332" s="272" t="s">
        <v>11604</v>
      </c>
      <c r="D3332" s="55" t="s">
        <v>11608</v>
      </c>
      <c r="E3332" s="49" t="s">
        <v>137</v>
      </c>
      <c r="F3332" s="49" t="s">
        <v>29</v>
      </c>
      <c r="G3332" s="49" t="s">
        <v>58</v>
      </c>
      <c r="H3332" s="49"/>
      <c r="I3332" s="49" t="s">
        <v>38</v>
      </c>
      <c r="J3332" s="49">
        <v>18.0</v>
      </c>
      <c r="K3332" s="49"/>
      <c r="L3332" s="49"/>
      <c r="M3332" s="49" t="s">
        <v>11609</v>
      </c>
      <c r="N3332" s="49"/>
      <c r="O3332" s="49" t="s">
        <v>388</v>
      </c>
      <c r="P3332" s="49">
        <v>1.0</v>
      </c>
      <c r="Q3332" s="56">
        <v>1.0</v>
      </c>
      <c r="R3332" s="54"/>
      <c r="S3332" s="40"/>
      <c r="T3332" s="40"/>
      <c r="U3332" s="40"/>
      <c r="V3332" s="40"/>
      <c r="W3332" s="40"/>
      <c r="X3332" s="40"/>
      <c r="Y3332" s="45"/>
      <c r="Z3332" s="45"/>
      <c r="AA3332" s="45"/>
      <c r="AB3332" s="45"/>
      <c r="AC3332" s="45"/>
      <c r="AD3332" s="45"/>
      <c r="AE3332" s="45"/>
      <c r="AF3332" s="45"/>
      <c r="AG3332" s="45"/>
      <c r="AH3332" s="45"/>
      <c r="AI3332" s="45"/>
      <c r="AJ3332" s="45"/>
      <c r="AK3332" s="45"/>
      <c r="AL3332" s="45"/>
    </row>
    <row r="3333" ht="15.75" customHeight="1">
      <c r="A3333" s="27">
        <f t="shared" si="25"/>
        <v>4156</v>
      </c>
      <c r="B3333" s="49"/>
      <c r="C3333" s="272" t="s">
        <v>11610</v>
      </c>
      <c r="D3333" s="55" t="s">
        <v>11611</v>
      </c>
      <c r="E3333" s="49" t="s">
        <v>9623</v>
      </c>
      <c r="F3333" s="49" t="s">
        <v>29</v>
      </c>
      <c r="G3333" s="49" t="s">
        <v>30</v>
      </c>
      <c r="H3333" s="49" t="s">
        <v>31</v>
      </c>
      <c r="I3333" s="49" t="s">
        <v>30</v>
      </c>
      <c r="J3333" s="49">
        <v>300.0</v>
      </c>
      <c r="K3333" s="49"/>
      <c r="L3333" s="49" t="s">
        <v>11612</v>
      </c>
      <c r="M3333" s="49" t="s">
        <v>6620</v>
      </c>
      <c r="N3333" s="49">
        <v>2008.0</v>
      </c>
      <c r="O3333" s="49" t="s">
        <v>388</v>
      </c>
      <c r="P3333" s="49">
        <v>1.0</v>
      </c>
      <c r="Q3333" s="56"/>
      <c r="R3333" s="54"/>
      <c r="S3333" s="34"/>
      <c r="T3333" s="34"/>
      <c r="U3333" s="34"/>
      <c r="V3333" s="34"/>
      <c r="W3333" s="34"/>
      <c r="X3333" s="34"/>
      <c r="Y3333" s="3"/>
      <c r="Z3333" s="3"/>
      <c r="AA3333" s="3"/>
      <c r="AB3333" s="3"/>
      <c r="AC3333" s="3"/>
      <c r="AD3333" s="3"/>
      <c r="AE3333" s="3"/>
      <c r="AF3333" s="3"/>
      <c r="AG3333" s="3"/>
      <c r="AH3333" s="3"/>
      <c r="AI3333" s="3"/>
      <c r="AJ3333" s="3"/>
      <c r="AK3333" s="3"/>
      <c r="AL3333" s="3"/>
    </row>
    <row r="3334" ht="15.75" customHeight="1">
      <c r="A3334" s="27">
        <f t="shared" si="25"/>
        <v>4157</v>
      </c>
      <c r="B3334" s="49" t="s">
        <v>11613</v>
      </c>
      <c r="C3334" s="272" t="s">
        <v>11614</v>
      </c>
      <c r="D3334" s="55" t="s">
        <v>11615</v>
      </c>
      <c r="E3334" s="49"/>
      <c r="F3334" s="49" t="s">
        <v>29</v>
      </c>
      <c r="G3334" s="49" t="s">
        <v>58</v>
      </c>
      <c r="H3334" s="49"/>
      <c r="I3334" s="49" t="s">
        <v>38</v>
      </c>
      <c r="J3334" s="49">
        <v>249.0</v>
      </c>
      <c r="K3334" s="49"/>
      <c r="L3334" s="49" t="s">
        <v>11547</v>
      </c>
      <c r="M3334" s="49" t="s">
        <v>4873</v>
      </c>
      <c r="N3334" s="49">
        <v>2002.0</v>
      </c>
      <c r="O3334" s="49" t="s">
        <v>388</v>
      </c>
      <c r="P3334" s="49">
        <v>1.0</v>
      </c>
      <c r="Q3334" s="56">
        <v>1.0</v>
      </c>
      <c r="R3334" s="54"/>
      <c r="S3334" s="34"/>
      <c r="T3334" s="34"/>
      <c r="U3334" s="34"/>
      <c r="V3334" s="34"/>
      <c r="W3334" s="34"/>
      <c r="X3334" s="34"/>
      <c r="Y3334" s="45"/>
      <c r="Z3334" s="45"/>
      <c r="AA3334" s="45"/>
      <c r="AB3334" s="45"/>
      <c r="AC3334" s="45"/>
      <c r="AD3334" s="45"/>
      <c r="AE3334" s="45"/>
      <c r="AF3334" s="45"/>
      <c r="AG3334" s="45"/>
      <c r="AH3334" s="45"/>
      <c r="AI3334" s="45"/>
      <c r="AJ3334" s="45"/>
      <c r="AK3334" s="45"/>
      <c r="AL3334" s="45"/>
    </row>
    <row r="3335" ht="15.75" customHeight="1">
      <c r="A3335" s="27">
        <f t="shared" si="25"/>
        <v>4158</v>
      </c>
      <c r="B3335" s="49" t="s">
        <v>11616</v>
      </c>
      <c r="C3335" s="272" t="s">
        <v>11617</v>
      </c>
      <c r="D3335" s="55" t="s">
        <v>11618</v>
      </c>
      <c r="E3335" s="49"/>
      <c r="F3335" s="49" t="s">
        <v>29</v>
      </c>
      <c r="G3335" s="49" t="s">
        <v>30</v>
      </c>
      <c r="H3335" s="49" t="s">
        <v>31</v>
      </c>
      <c r="I3335" s="49" t="s">
        <v>30</v>
      </c>
      <c r="J3335" s="49">
        <v>127.0</v>
      </c>
      <c r="K3335" s="49"/>
      <c r="L3335" s="49" t="s">
        <v>11619</v>
      </c>
      <c r="M3335" s="49" t="s">
        <v>11620</v>
      </c>
      <c r="N3335" s="49">
        <v>2010.0</v>
      </c>
      <c r="O3335" s="49" t="s">
        <v>388</v>
      </c>
      <c r="P3335" s="49">
        <v>1.0</v>
      </c>
      <c r="Q3335" s="56"/>
      <c r="R3335" s="54"/>
      <c r="S3335" s="34"/>
      <c r="T3335" s="34"/>
      <c r="U3335" s="34"/>
      <c r="V3335" s="34"/>
      <c r="W3335" s="34"/>
      <c r="X3335" s="34"/>
      <c r="Y3335" s="45"/>
      <c r="Z3335" s="45"/>
      <c r="AA3335" s="45"/>
      <c r="AB3335" s="45"/>
      <c r="AC3335" s="45"/>
      <c r="AD3335" s="45"/>
      <c r="AE3335" s="45"/>
      <c r="AF3335" s="45"/>
      <c r="AG3335" s="45"/>
      <c r="AH3335" s="45"/>
      <c r="AI3335" s="45"/>
      <c r="AJ3335" s="45"/>
      <c r="AK3335" s="45"/>
      <c r="AL3335" s="45"/>
    </row>
    <row r="3336" ht="15.75" customHeight="1">
      <c r="A3336" s="27">
        <f t="shared" si="25"/>
        <v>4159</v>
      </c>
      <c r="B3336" s="49" t="s">
        <v>11621</v>
      </c>
      <c r="C3336" s="272" t="s">
        <v>11622</v>
      </c>
      <c r="D3336" s="55" t="s">
        <v>11623</v>
      </c>
      <c r="E3336" s="49"/>
      <c r="F3336" s="49" t="s">
        <v>29</v>
      </c>
      <c r="G3336" s="49" t="s">
        <v>37</v>
      </c>
      <c r="H3336" s="49" t="s">
        <v>31</v>
      </c>
      <c r="I3336" s="49" t="s">
        <v>38</v>
      </c>
      <c r="J3336" s="49">
        <v>250.0</v>
      </c>
      <c r="K3336" s="49"/>
      <c r="L3336" s="49" t="s">
        <v>11624</v>
      </c>
      <c r="M3336" s="49" t="s">
        <v>11625</v>
      </c>
      <c r="N3336" s="49">
        <v>1989.0</v>
      </c>
      <c r="O3336" s="49" t="s">
        <v>388</v>
      </c>
      <c r="P3336" s="49">
        <v>1.0</v>
      </c>
      <c r="Q3336" s="56"/>
      <c r="R3336" s="54"/>
      <c r="S3336" s="34"/>
      <c r="T3336" s="34"/>
      <c r="U3336" s="34"/>
      <c r="V3336" s="34"/>
      <c r="W3336" s="34"/>
      <c r="X3336" s="34"/>
      <c r="Y3336" s="45"/>
      <c r="Z3336" s="45"/>
      <c r="AA3336" s="45"/>
      <c r="AB3336" s="45"/>
      <c r="AC3336" s="45"/>
      <c r="AD3336" s="45"/>
      <c r="AE3336" s="45"/>
      <c r="AF3336" s="45"/>
      <c r="AG3336" s="45"/>
      <c r="AH3336" s="45"/>
      <c r="AI3336" s="45"/>
      <c r="AJ3336" s="45"/>
      <c r="AK3336" s="45"/>
      <c r="AL3336" s="45"/>
    </row>
    <row r="3337" ht="15.75" customHeight="1">
      <c r="A3337" s="27">
        <f t="shared" si="25"/>
        <v>4160</v>
      </c>
      <c r="B3337" s="49" t="s">
        <v>11626</v>
      </c>
      <c r="C3337" s="272" t="s">
        <v>11627</v>
      </c>
      <c r="D3337" s="55" t="s">
        <v>11628</v>
      </c>
      <c r="E3337" s="49"/>
      <c r="F3337" s="49" t="s">
        <v>29</v>
      </c>
      <c r="G3337" s="49" t="s">
        <v>131</v>
      </c>
      <c r="H3337" s="49"/>
      <c r="I3337" s="49" t="s">
        <v>38</v>
      </c>
      <c r="J3337" s="49">
        <v>253.0</v>
      </c>
      <c r="K3337" s="49"/>
      <c r="L3337" s="49" t="s">
        <v>11629</v>
      </c>
      <c r="M3337" s="49" t="s">
        <v>3465</v>
      </c>
      <c r="N3337" s="49">
        <v>1978.0</v>
      </c>
      <c r="O3337" s="49" t="s">
        <v>388</v>
      </c>
      <c r="P3337" s="49">
        <v>1.0</v>
      </c>
      <c r="Q3337" s="56"/>
      <c r="R3337" s="54"/>
      <c r="S3337" s="34"/>
      <c r="T3337" s="34"/>
      <c r="U3337" s="34"/>
      <c r="V3337" s="34"/>
      <c r="W3337" s="34"/>
      <c r="X3337" s="34"/>
      <c r="Y3337" s="3"/>
      <c r="Z3337" s="3"/>
      <c r="AA3337" s="3"/>
      <c r="AB3337" s="3"/>
      <c r="AC3337" s="3"/>
      <c r="AD3337" s="3"/>
      <c r="AE3337" s="3"/>
      <c r="AF3337" s="3"/>
      <c r="AG3337" s="3"/>
      <c r="AH3337" s="3"/>
      <c r="AI3337" s="3"/>
      <c r="AJ3337" s="3"/>
      <c r="AK3337" s="3"/>
      <c r="AL3337" s="3"/>
    </row>
    <row r="3338" ht="15.75" customHeight="1">
      <c r="A3338" s="27">
        <f t="shared" si="25"/>
        <v>4161</v>
      </c>
      <c r="B3338" s="49" t="s">
        <v>11630</v>
      </c>
      <c r="C3338" s="272" t="s">
        <v>11631</v>
      </c>
      <c r="D3338" s="55" t="s">
        <v>11632</v>
      </c>
      <c r="E3338" s="49" t="s">
        <v>31</v>
      </c>
      <c r="F3338" s="49" t="s">
        <v>29</v>
      </c>
      <c r="G3338" s="49" t="s">
        <v>30</v>
      </c>
      <c r="H3338" s="49"/>
      <c r="I3338" s="49" t="s">
        <v>30</v>
      </c>
      <c r="J3338" s="49">
        <v>237.0</v>
      </c>
      <c r="K3338" s="49"/>
      <c r="L3338" s="49" t="s">
        <v>5233</v>
      </c>
      <c r="M3338" s="49" t="s">
        <v>5234</v>
      </c>
      <c r="N3338" s="49">
        <v>1999.0</v>
      </c>
      <c r="O3338" s="49" t="s">
        <v>388</v>
      </c>
      <c r="P3338" s="49">
        <v>1.0</v>
      </c>
      <c r="Q3338" s="56"/>
      <c r="R3338" s="54"/>
      <c r="S3338" s="34"/>
      <c r="T3338" s="34"/>
      <c r="U3338" s="34"/>
      <c r="V3338" s="34"/>
      <c r="W3338" s="34"/>
      <c r="X3338" s="34"/>
      <c r="Y3338" s="3"/>
      <c r="Z3338" s="3"/>
      <c r="AA3338" s="3"/>
      <c r="AB3338" s="3"/>
      <c r="AC3338" s="3"/>
      <c r="AD3338" s="3"/>
      <c r="AE3338" s="3"/>
      <c r="AF3338" s="3"/>
      <c r="AG3338" s="3"/>
      <c r="AH3338" s="3"/>
      <c r="AI3338" s="3"/>
      <c r="AJ3338" s="3"/>
      <c r="AK3338" s="3"/>
      <c r="AL3338" s="3"/>
    </row>
    <row r="3339" ht="15.75" customHeight="1">
      <c r="A3339" s="27">
        <f t="shared" si="25"/>
        <v>4162</v>
      </c>
      <c r="B3339" s="49" t="s">
        <v>11633</v>
      </c>
      <c r="C3339" s="272" t="s">
        <v>11634</v>
      </c>
      <c r="D3339" s="55" t="s">
        <v>11635</v>
      </c>
      <c r="E3339" s="49" t="s">
        <v>31</v>
      </c>
      <c r="F3339" s="49" t="s">
        <v>29</v>
      </c>
      <c r="G3339" s="49" t="s">
        <v>37</v>
      </c>
      <c r="H3339" s="49"/>
      <c r="I3339" s="49" t="s">
        <v>38</v>
      </c>
      <c r="J3339" s="49">
        <v>170.0</v>
      </c>
      <c r="K3339" s="49"/>
      <c r="L3339" s="49" t="s">
        <v>11636</v>
      </c>
      <c r="M3339" s="49" t="s">
        <v>230</v>
      </c>
      <c r="N3339" s="49">
        <v>2002.0</v>
      </c>
      <c r="O3339" s="49" t="s">
        <v>388</v>
      </c>
      <c r="P3339" s="49">
        <v>1.0</v>
      </c>
      <c r="Q3339" s="56"/>
      <c r="R3339" s="54"/>
      <c r="S3339" s="34"/>
      <c r="T3339" s="34"/>
      <c r="U3339" s="34"/>
      <c r="V3339" s="34"/>
      <c r="W3339" s="34"/>
      <c r="X3339" s="34"/>
      <c r="Y3339" s="45"/>
      <c r="Z3339" s="45"/>
      <c r="AA3339" s="45"/>
      <c r="AB3339" s="45"/>
      <c r="AC3339" s="45"/>
      <c r="AD3339" s="45"/>
      <c r="AE3339" s="45"/>
      <c r="AF3339" s="45"/>
      <c r="AG3339" s="45"/>
      <c r="AH3339" s="45"/>
      <c r="AI3339" s="45"/>
      <c r="AJ3339" s="45"/>
      <c r="AK3339" s="45"/>
      <c r="AL3339" s="45"/>
    </row>
    <row r="3340" ht="15.75" customHeight="1">
      <c r="A3340" s="27">
        <f t="shared" si="25"/>
        <v>4163</v>
      </c>
      <c r="B3340" s="49" t="s">
        <v>11637</v>
      </c>
      <c r="C3340" s="272" t="s">
        <v>11638</v>
      </c>
      <c r="D3340" s="55" t="s">
        <v>11639</v>
      </c>
      <c r="E3340" s="49"/>
      <c r="F3340" s="49" t="s">
        <v>29</v>
      </c>
      <c r="G3340" s="49" t="s">
        <v>37</v>
      </c>
      <c r="H3340" s="49" t="s">
        <v>31</v>
      </c>
      <c r="I3340" s="49" t="s">
        <v>38</v>
      </c>
      <c r="J3340" s="49">
        <v>165.0</v>
      </c>
      <c r="K3340" s="49"/>
      <c r="L3340" s="49" t="s">
        <v>11640</v>
      </c>
      <c r="M3340" s="49" t="s">
        <v>6699</v>
      </c>
      <c r="N3340" s="49">
        <v>1980.0</v>
      </c>
      <c r="O3340" s="49" t="s">
        <v>388</v>
      </c>
      <c r="P3340" s="49">
        <v>1.0</v>
      </c>
      <c r="Q3340" s="56"/>
      <c r="R3340" s="54"/>
      <c r="S3340" s="34"/>
      <c r="T3340" s="34"/>
      <c r="U3340" s="34"/>
      <c r="V3340" s="34"/>
      <c r="W3340" s="34"/>
      <c r="X3340" s="34"/>
      <c r="Y3340" s="45"/>
      <c r="Z3340" s="45"/>
      <c r="AA3340" s="45"/>
      <c r="AB3340" s="45"/>
      <c r="AC3340" s="45"/>
      <c r="AD3340" s="45"/>
      <c r="AE3340" s="45"/>
      <c r="AF3340" s="45"/>
      <c r="AG3340" s="45"/>
      <c r="AH3340" s="45"/>
      <c r="AI3340" s="45"/>
      <c r="AJ3340" s="45"/>
      <c r="AK3340" s="45"/>
      <c r="AL3340" s="45"/>
    </row>
    <row r="3341" ht="15.75" customHeight="1">
      <c r="A3341" s="27">
        <f t="shared" si="25"/>
        <v>4164</v>
      </c>
      <c r="B3341" s="49" t="s">
        <v>31</v>
      </c>
      <c r="C3341" s="272" t="s">
        <v>11641</v>
      </c>
      <c r="D3341" s="55" t="s">
        <v>11642</v>
      </c>
      <c r="E3341" s="49" t="s">
        <v>31</v>
      </c>
      <c r="F3341" s="49" t="s">
        <v>29</v>
      </c>
      <c r="G3341" s="49" t="s">
        <v>30</v>
      </c>
      <c r="H3341" s="49"/>
      <c r="I3341" s="49" t="s">
        <v>30</v>
      </c>
      <c r="J3341" s="49">
        <v>94.0</v>
      </c>
      <c r="K3341" s="49"/>
      <c r="L3341" s="49" t="s">
        <v>11643</v>
      </c>
      <c r="M3341" s="49" t="s">
        <v>11644</v>
      </c>
      <c r="N3341" s="49">
        <v>1996.0</v>
      </c>
      <c r="O3341" s="49" t="s">
        <v>388</v>
      </c>
      <c r="P3341" s="49">
        <v>1.0</v>
      </c>
      <c r="Q3341" s="56"/>
      <c r="R3341" s="54"/>
      <c r="S3341" s="34"/>
      <c r="T3341" s="34"/>
      <c r="U3341" s="34"/>
      <c r="V3341" s="34"/>
      <c r="W3341" s="34"/>
      <c r="X3341" s="34"/>
      <c r="Y3341" s="3"/>
      <c r="Z3341" s="3"/>
      <c r="AA3341" s="3"/>
      <c r="AB3341" s="3"/>
      <c r="AC3341" s="3"/>
      <c r="AD3341" s="3"/>
      <c r="AE3341" s="3"/>
      <c r="AF3341" s="3"/>
      <c r="AG3341" s="3"/>
      <c r="AH3341" s="3"/>
      <c r="AI3341" s="3"/>
      <c r="AJ3341" s="3"/>
      <c r="AK3341" s="3"/>
      <c r="AL3341" s="3"/>
    </row>
    <row r="3342" ht="15.75" customHeight="1">
      <c r="A3342" s="27">
        <f t="shared" si="25"/>
        <v>4165</v>
      </c>
      <c r="B3342" s="49" t="s">
        <v>11645</v>
      </c>
      <c r="C3342" s="272" t="s">
        <v>11646</v>
      </c>
      <c r="D3342" s="55" t="s">
        <v>11647</v>
      </c>
      <c r="E3342" s="49" t="s">
        <v>31</v>
      </c>
      <c r="F3342" s="49" t="s">
        <v>29</v>
      </c>
      <c r="G3342" s="49" t="s">
        <v>30</v>
      </c>
      <c r="H3342" s="49"/>
      <c r="I3342" s="49" t="s">
        <v>30</v>
      </c>
      <c r="J3342" s="49">
        <v>172.0</v>
      </c>
      <c r="K3342" s="49"/>
      <c r="L3342" s="49" t="s">
        <v>11648</v>
      </c>
      <c r="M3342" s="49" t="s">
        <v>151</v>
      </c>
      <c r="N3342" s="49">
        <v>20003.0</v>
      </c>
      <c r="O3342" s="49" t="s">
        <v>388</v>
      </c>
      <c r="P3342" s="49">
        <v>1.0</v>
      </c>
      <c r="Q3342" s="56"/>
      <c r="R3342" s="54"/>
      <c r="S3342" s="34"/>
      <c r="T3342" s="34"/>
      <c r="U3342" s="34"/>
      <c r="V3342" s="34"/>
      <c r="W3342" s="34"/>
      <c r="X3342" s="34"/>
      <c r="Y3342" s="45"/>
      <c r="Z3342" s="45"/>
      <c r="AA3342" s="45"/>
      <c r="AB3342" s="45"/>
      <c r="AC3342" s="45"/>
      <c r="AD3342" s="45"/>
      <c r="AE3342" s="45"/>
      <c r="AF3342" s="45"/>
      <c r="AG3342" s="45"/>
      <c r="AH3342" s="45"/>
      <c r="AI3342" s="45"/>
      <c r="AJ3342" s="45"/>
      <c r="AK3342" s="45"/>
      <c r="AL3342" s="45"/>
    </row>
    <row r="3343" ht="15.75" customHeight="1">
      <c r="A3343" s="27">
        <f t="shared" si="25"/>
        <v>4166</v>
      </c>
      <c r="B3343" s="49" t="s">
        <v>11649</v>
      </c>
      <c r="C3343" s="272" t="s">
        <v>11650</v>
      </c>
      <c r="D3343" s="55" t="s">
        <v>11651</v>
      </c>
      <c r="E3343" s="49" t="s">
        <v>31</v>
      </c>
      <c r="F3343" s="49" t="s">
        <v>29</v>
      </c>
      <c r="G3343" s="49" t="s">
        <v>30</v>
      </c>
      <c r="H3343" s="49"/>
      <c r="I3343" s="49" t="s">
        <v>30</v>
      </c>
      <c r="J3343" s="49">
        <v>65.0</v>
      </c>
      <c r="K3343" s="49"/>
      <c r="L3343" s="49" t="s">
        <v>11652</v>
      </c>
      <c r="M3343" s="49" t="s">
        <v>8995</v>
      </c>
      <c r="N3343" s="49">
        <v>2007.0</v>
      </c>
      <c r="O3343" s="49" t="s">
        <v>388</v>
      </c>
      <c r="P3343" s="49">
        <v>1.0</v>
      </c>
      <c r="Q3343" s="56"/>
      <c r="R3343" s="54"/>
      <c r="S3343" s="34"/>
      <c r="T3343" s="34"/>
      <c r="U3343" s="34"/>
      <c r="V3343" s="34"/>
      <c r="W3343" s="34"/>
      <c r="X3343" s="34"/>
      <c r="Y3343" s="45"/>
      <c r="Z3343" s="45"/>
      <c r="AA3343" s="45"/>
      <c r="AB3343" s="45"/>
      <c r="AC3343" s="45"/>
      <c r="AD3343" s="45"/>
      <c r="AE3343" s="45"/>
      <c r="AF3343" s="45"/>
      <c r="AG3343" s="45"/>
      <c r="AH3343" s="45"/>
      <c r="AI3343" s="45"/>
      <c r="AJ3343" s="45"/>
      <c r="AK3343" s="45"/>
      <c r="AL3343" s="45"/>
    </row>
    <row r="3344" ht="15.75" customHeight="1">
      <c r="A3344" s="27">
        <f t="shared" si="25"/>
        <v>4167</v>
      </c>
      <c r="B3344" s="49" t="s">
        <v>11653</v>
      </c>
      <c r="C3344" s="272" t="s">
        <v>11654</v>
      </c>
      <c r="D3344" s="55" t="s">
        <v>11655</v>
      </c>
      <c r="E3344" s="49" t="s">
        <v>31</v>
      </c>
      <c r="F3344" s="49" t="s">
        <v>29</v>
      </c>
      <c r="G3344" s="49" t="s">
        <v>30</v>
      </c>
      <c r="H3344" s="49"/>
      <c r="I3344" s="49" t="s">
        <v>30</v>
      </c>
      <c r="J3344" s="49">
        <v>273.0</v>
      </c>
      <c r="K3344" s="49"/>
      <c r="L3344" s="49" t="s">
        <v>11656</v>
      </c>
      <c r="M3344" s="49" t="s">
        <v>151</v>
      </c>
      <c r="N3344" s="49">
        <v>2009.0</v>
      </c>
      <c r="O3344" s="49" t="s">
        <v>388</v>
      </c>
      <c r="P3344" s="49">
        <v>1.0</v>
      </c>
      <c r="Q3344" s="56"/>
      <c r="R3344" s="54"/>
      <c r="S3344" s="34"/>
      <c r="T3344" s="34"/>
      <c r="U3344" s="34"/>
      <c r="V3344" s="34"/>
      <c r="W3344" s="34"/>
      <c r="X3344" s="34"/>
      <c r="Y3344" s="3"/>
      <c r="Z3344" s="3"/>
      <c r="AA3344" s="3"/>
      <c r="AB3344" s="3"/>
      <c r="AC3344" s="3"/>
      <c r="AD3344" s="3"/>
      <c r="AE3344" s="3"/>
      <c r="AF3344" s="3"/>
      <c r="AG3344" s="3"/>
      <c r="AH3344" s="3"/>
      <c r="AI3344" s="3"/>
      <c r="AJ3344" s="3"/>
      <c r="AK3344" s="3"/>
      <c r="AL3344" s="3"/>
    </row>
    <row r="3345" ht="15.75" customHeight="1">
      <c r="A3345" s="27">
        <f t="shared" si="25"/>
        <v>4168</v>
      </c>
      <c r="B3345" s="49" t="s">
        <v>31</v>
      </c>
      <c r="C3345" s="272" t="s">
        <v>11657</v>
      </c>
      <c r="D3345" s="55" t="s">
        <v>11658</v>
      </c>
      <c r="E3345" s="49"/>
      <c r="F3345" s="49" t="s">
        <v>29</v>
      </c>
      <c r="G3345" s="49" t="s">
        <v>30</v>
      </c>
      <c r="H3345" s="49" t="s">
        <v>31</v>
      </c>
      <c r="I3345" s="49" t="s">
        <v>0</v>
      </c>
      <c r="J3345" s="49">
        <v>208.0</v>
      </c>
      <c r="K3345" s="49"/>
      <c r="L3345" s="49" t="s">
        <v>11659</v>
      </c>
      <c r="M3345" s="49" t="s">
        <v>11660</v>
      </c>
      <c r="N3345" s="49">
        <v>1956.0</v>
      </c>
      <c r="O3345" s="49" t="s">
        <v>388</v>
      </c>
      <c r="P3345" s="49">
        <v>1.0</v>
      </c>
      <c r="Q3345" s="56"/>
      <c r="R3345" s="54"/>
      <c r="S3345" s="34"/>
      <c r="T3345" s="34"/>
      <c r="U3345" s="34"/>
      <c r="V3345" s="34"/>
      <c r="W3345" s="34"/>
      <c r="X3345" s="34"/>
      <c r="Y3345" s="45"/>
      <c r="Z3345" s="45"/>
      <c r="AA3345" s="45"/>
      <c r="AB3345" s="45"/>
      <c r="AC3345" s="45"/>
      <c r="AD3345" s="45"/>
      <c r="AE3345" s="45"/>
      <c r="AF3345" s="45"/>
      <c r="AG3345" s="45"/>
      <c r="AH3345" s="45"/>
      <c r="AI3345" s="45"/>
      <c r="AJ3345" s="45"/>
      <c r="AK3345" s="45"/>
      <c r="AL3345" s="45"/>
    </row>
    <row r="3346" ht="15.75" customHeight="1">
      <c r="A3346" s="27">
        <f t="shared" si="25"/>
        <v>4169</v>
      </c>
      <c r="B3346" s="49" t="s">
        <v>31</v>
      </c>
      <c r="C3346" s="272" t="s">
        <v>11661</v>
      </c>
      <c r="D3346" s="55" t="s">
        <v>11662</v>
      </c>
      <c r="E3346" s="49"/>
      <c r="F3346" s="49" t="s">
        <v>29</v>
      </c>
      <c r="G3346" s="49" t="s">
        <v>37</v>
      </c>
      <c r="H3346" s="49" t="s">
        <v>31</v>
      </c>
      <c r="I3346" s="49" t="s">
        <v>38</v>
      </c>
      <c r="J3346" s="49">
        <v>326.0</v>
      </c>
      <c r="K3346" s="49"/>
      <c r="L3346" s="49" t="s">
        <v>11663</v>
      </c>
      <c r="M3346" s="49" t="s">
        <v>5593</v>
      </c>
      <c r="N3346" s="49">
        <v>1977.0</v>
      </c>
      <c r="O3346" s="49" t="s">
        <v>388</v>
      </c>
      <c r="P3346" s="49">
        <v>1.0</v>
      </c>
      <c r="Q3346" s="56"/>
      <c r="R3346" s="54"/>
      <c r="S3346" s="34"/>
      <c r="T3346" s="34"/>
      <c r="U3346" s="34"/>
      <c r="V3346" s="34"/>
      <c r="W3346" s="34"/>
      <c r="X3346" s="34"/>
      <c r="Y3346" s="45"/>
      <c r="Z3346" s="45"/>
      <c r="AA3346" s="45"/>
      <c r="AB3346" s="45"/>
      <c r="AC3346" s="45"/>
      <c r="AD3346" s="45"/>
      <c r="AE3346" s="45"/>
      <c r="AF3346" s="45"/>
      <c r="AG3346" s="45"/>
      <c r="AH3346" s="45"/>
      <c r="AI3346" s="45"/>
      <c r="AJ3346" s="45"/>
      <c r="AK3346" s="45"/>
      <c r="AL3346" s="45"/>
    </row>
    <row r="3347" ht="15.75" customHeight="1">
      <c r="A3347" s="27">
        <f t="shared" si="25"/>
        <v>4170</v>
      </c>
      <c r="B3347" s="49" t="s">
        <v>5368</v>
      </c>
      <c r="C3347" s="272" t="s">
        <v>11664</v>
      </c>
      <c r="D3347" s="55" t="s">
        <v>5370</v>
      </c>
      <c r="E3347" s="49" t="s">
        <v>31</v>
      </c>
      <c r="F3347" s="49" t="s">
        <v>29</v>
      </c>
      <c r="G3347" s="49" t="s">
        <v>5371</v>
      </c>
      <c r="H3347" s="49"/>
      <c r="I3347" s="49" t="s">
        <v>38</v>
      </c>
      <c r="J3347" s="49">
        <v>205.0</v>
      </c>
      <c r="K3347" s="49"/>
      <c r="L3347" s="49" t="s">
        <v>5372</v>
      </c>
      <c r="M3347" s="49" t="s">
        <v>5373</v>
      </c>
      <c r="N3347" s="49">
        <v>1991.0</v>
      </c>
      <c r="O3347" s="49" t="s">
        <v>388</v>
      </c>
      <c r="P3347" s="49">
        <v>1.0</v>
      </c>
      <c r="Q3347" s="56"/>
      <c r="R3347" s="54"/>
      <c r="S3347" s="34"/>
      <c r="T3347" s="34"/>
      <c r="U3347" s="34"/>
      <c r="V3347" s="34"/>
      <c r="W3347" s="34"/>
      <c r="X3347" s="34"/>
      <c r="Y3347" s="45"/>
      <c r="Z3347" s="45"/>
      <c r="AA3347" s="45"/>
      <c r="AB3347" s="45"/>
      <c r="AC3347" s="45"/>
      <c r="AD3347" s="45"/>
      <c r="AE3347" s="45"/>
      <c r="AF3347" s="45"/>
      <c r="AG3347" s="45"/>
      <c r="AH3347" s="45"/>
      <c r="AI3347" s="45"/>
      <c r="AJ3347" s="45"/>
      <c r="AK3347" s="45"/>
      <c r="AL3347" s="45"/>
    </row>
    <row r="3348" ht="15.75" customHeight="1">
      <c r="A3348" s="27">
        <f t="shared" si="25"/>
        <v>4171</v>
      </c>
      <c r="B3348" s="49" t="s">
        <v>11665</v>
      </c>
      <c r="C3348" s="272" t="s">
        <v>11666</v>
      </c>
      <c r="D3348" s="55" t="s">
        <v>11667</v>
      </c>
      <c r="E3348" s="49"/>
      <c r="F3348" s="49" t="s">
        <v>29</v>
      </c>
      <c r="G3348" s="49" t="s">
        <v>37</v>
      </c>
      <c r="H3348" s="49" t="s">
        <v>31</v>
      </c>
      <c r="I3348" s="49" t="s">
        <v>38</v>
      </c>
      <c r="J3348" s="49">
        <v>317.0</v>
      </c>
      <c r="K3348" s="49"/>
      <c r="L3348" s="49" t="s">
        <v>11668</v>
      </c>
      <c r="M3348" s="49" t="s">
        <v>2693</v>
      </c>
      <c r="N3348" s="49">
        <v>1996.0</v>
      </c>
      <c r="O3348" s="49" t="s">
        <v>388</v>
      </c>
      <c r="P3348" s="49">
        <v>1.0</v>
      </c>
      <c r="Q3348" s="56">
        <v>1.0</v>
      </c>
      <c r="R3348" s="54"/>
      <c r="S3348" s="116"/>
      <c r="T3348" s="116"/>
      <c r="U3348" s="116"/>
      <c r="V3348" s="116"/>
      <c r="W3348" s="116"/>
      <c r="X3348" s="116"/>
      <c r="Y3348" s="45"/>
      <c r="Z3348" s="45"/>
      <c r="AA3348" s="45"/>
      <c r="AB3348" s="45"/>
      <c r="AC3348" s="45"/>
      <c r="AD3348" s="45"/>
      <c r="AE3348" s="45"/>
      <c r="AF3348" s="45"/>
      <c r="AG3348" s="45"/>
      <c r="AH3348" s="45"/>
      <c r="AI3348" s="45"/>
      <c r="AJ3348" s="45"/>
      <c r="AK3348" s="45"/>
      <c r="AL3348" s="45"/>
    </row>
    <row r="3349" ht="15.75" customHeight="1">
      <c r="A3349" s="27">
        <f t="shared" si="25"/>
        <v>4172</v>
      </c>
      <c r="B3349" s="49" t="s">
        <v>11669</v>
      </c>
      <c r="C3349" s="272" t="s">
        <v>11670</v>
      </c>
      <c r="D3349" s="55" t="s">
        <v>11671</v>
      </c>
      <c r="E3349" s="49" t="s">
        <v>31</v>
      </c>
      <c r="F3349" s="49" t="s">
        <v>29</v>
      </c>
      <c r="G3349" s="49" t="s">
        <v>37</v>
      </c>
      <c r="H3349" s="49"/>
      <c r="I3349" s="49" t="s">
        <v>38</v>
      </c>
      <c r="J3349" s="49">
        <v>437.0</v>
      </c>
      <c r="K3349" s="49"/>
      <c r="L3349" s="49" t="s">
        <v>11672</v>
      </c>
      <c r="M3349" s="49" t="s">
        <v>2813</v>
      </c>
      <c r="N3349" s="49">
        <v>1991.0</v>
      </c>
      <c r="O3349" s="49" t="s">
        <v>388</v>
      </c>
      <c r="P3349" s="49">
        <v>1.0</v>
      </c>
      <c r="Q3349" s="56"/>
      <c r="R3349" s="54"/>
      <c r="S3349" s="34"/>
      <c r="T3349" s="34"/>
      <c r="U3349" s="34"/>
      <c r="V3349" s="34"/>
      <c r="W3349" s="34"/>
      <c r="X3349" s="34"/>
      <c r="Y3349" s="45"/>
      <c r="Z3349" s="45"/>
      <c r="AA3349" s="45"/>
      <c r="AB3349" s="45"/>
      <c r="AC3349" s="45"/>
      <c r="AD3349" s="45"/>
      <c r="AE3349" s="45"/>
      <c r="AF3349" s="45"/>
      <c r="AG3349" s="45"/>
      <c r="AH3349" s="45"/>
      <c r="AI3349" s="45"/>
      <c r="AJ3349" s="45"/>
      <c r="AK3349" s="45"/>
      <c r="AL3349" s="45"/>
    </row>
    <row r="3350" ht="15.75" customHeight="1">
      <c r="A3350" s="27">
        <f t="shared" si="25"/>
        <v>4173</v>
      </c>
      <c r="B3350" s="49" t="s">
        <v>11673</v>
      </c>
      <c r="C3350" s="272" t="s">
        <v>11674</v>
      </c>
      <c r="D3350" s="55" t="s">
        <v>11675</v>
      </c>
      <c r="E3350" s="49"/>
      <c r="F3350" s="49" t="s">
        <v>29</v>
      </c>
      <c r="G3350" s="49"/>
      <c r="H3350" s="49" t="s">
        <v>31</v>
      </c>
      <c r="I3350" s="49" t="s">
        <v>38</v>
      </c>
      <c r="J3350" s="49">
        <v>254.0</v>
      </c>
      <c r="K3350" s="49"/>
      <c r="L3350" s="49" t="s">
        <v>11676</v>
      </c>
      <c r="M3350" s="49"/>
      <c r="N3350" s="49"/>
      <c r="O3350" s="49" t="s">
        <v>388</v>
      </c>
      <c r="P3350" s="49">
        <v>1.0</v>
      </c>
      <c r="Q3350" s="56"/>
      <c r="R3350" s="54"/>
      <c r="S3350" s="34"/>
      <c r="T3350" s="34"/>
      <c r="U3350" s="34"/>
      <c r="V3350" s="34"/>
      <c r="W3350" s="34"/>
      <c r="X3350" s="34"/>
      <c r="Y3350" s="3"/>
      <c r="Z3350" s="3"/>
      <c r="AA3350" s="3"/>
      <c r="AB3350" s="3"/>
      <c r="AC3350" s="3"/>
      <c r="AD3350" s="3"/>
      <c r="AE3350" s="3"/>
      <c r="AF3350" s="3"/>
      <c r="AG3350" s="3"/>
      <c r="AH3350" s="3"/>
      <c r="AI3350" s="3"/>
      <c r="AJ3350" s="3"/>
      <c r="AK3350" s="3"/>
      <c r="AL3350" s="3"/>
    </row>
    <row r="3351" ht="15.75" customHeight="1">
      <c r="A3351" s="27">
        <f t="shared" si="25"/>
        <v>4174</v>
      </c>
      <c r="B3351" s="49" t="s">
        <v>31</v>
      </c>
      <c r="C3351" s="272" t="s">
        <v>11677</v>
      </c>
      <c r="D3351" s="55" t="s">
        <v>11678</v>
      </c>
      <c r="E3351" s="49"/>
      <c r="F3351" s="49" t="s">
        <v>29</v>
      </c>
      <c r="G3351" s="49" t="s">
        <v>30</v>
      </c>
      <c r="H3351" s="49" t="s">
        <v>31</v>
      </c>
      <c r="I3351" s="49" t="s">
        <v>30</v>
      </c>
      <c r="J3351" s="49">
        <v>511.0</v>
      </c>
      <c r="K3351" s="49"/>
      <c r="L3351" s="49" t="s">
        <v>11679</v>
      </c>
      <c r="M3351" s="49" t="s">
        <v>11680</v>
      </c>
      <c r="N3351" s="49">
        <v>1983.0</v>
      </c>
      <c r="O3351" s="49" t="s">
        <v>388</v>
      </c>
      <c r="P3351" s="49">
        <v>1.0</v>
      </c>
      <c r="Q3351" s="56"/>
      <c r="R3351" s="54"/>
      <c r="S3351" s="38"/>
      <c r="T3351" s="38"/>
      <c r="U3351" s="38"/>
      <c r="V3351" s="38"/>
      <c r="W3351" s="38"/>
      <c r="X3351" s="38"/>
      <c r="Y3351" s="3"/>
      <c r="Z3351" s="3"/>
      <c r="AA3351" s="3"/>
      <c r="AB3351" s="3"/>
      <c r="AC3351" s="3"/>
      <c r="AD3351" s="3"/>
      <c r="AE3351" s="3"/>
      <c r="AF3351" s="3"/>
      <c r="AG3351" s="3"/>
      <c r="AH3351" s="3"/>
      <c r="AI3351" s="3"/>
      <c r="AJ3351" s="3"/>
      <c r="AK3351" s="3"/>
      <c r="AL3351" s="3"/>
    </row>
    <row r="3352" ht="15.75" customHeight="1">
      <c r="A3352" s="27">
        <f t="shared" si="25"/>
        <v>4175</v>
      </c>
      <c r="B3352" s="49" t="s">
        <v>11681</v>
      </c>
      <c r="C3352" s="272" t="s">
        <v>11682</v>
      </c>
      <c r="D3352" s="55" t="s">
        <v>11683</v>
      </c>
      <c r="E3352" s="49"/>
      <c r="F3352" s="49" t="s">
        <v>29</v>
      </c>
      <c r="G3352" s="49" t="s">
        <v>37</v>
      </c>
      <c r="H3352" s="49"/>
      <c r="I3352" s="49" t="s">
        <v>38</v>
      </c>
      <c r="J3352" s="49">
        <v>368.0</v>
      </c>
      <c r="K3352" s="49"/>
      <c r="L3352" s="49" t="s">
        <v>11684</v>
      </c>
      <c r="M3352" s="49" t="s">
        <v>230</v>
      </c>
      <c r="N3352" s="49">
        <v>2002.0</v>
      </c>
      <c r="O3352" s="49" t="s">
        <v>388</v>
      </c>
      <c r="P3352" s="49">
        <v>1.0</v>
      </c>
      <c r="Q3352" s="56"/>
      <c r="R3352" s="54"/>
      <c r="S3352" s="34"/>
      <c r="T3352" s="34"/>
      <c r="U3352" s="34"/>
      <c r="V3352" s="34"/>
      <c r="W3352" s="34"/>
      <c r="X3352" s="34"/>
      <c r="Y3352" s="45"/>
      <c r="Z3352" s="45"/>
      <c r="AA3352" s="45"/>
      <c r="AB3352" s="45"/>
      <c r="AC3352" s="45"/>
      <c r="AD3352" s="45"/>
      <c r="AE3352" s="45"/>
      <c r="AF3352" s="45"/>
      <c r="AG3352" s="45"/>
      <c r="AH3352" s="45"/>
      <c r="AI3352" s="45"/>
      <c r="AJ3352" s="45"/>
      <c r="AK3352" s="45"/>
      <c r="AL3352" s="45"/>
    </row>
    <row r="3353" ht="15.75" customHeight="1">
      <c r="A3353" s="27">
        <f t="shared" si="25"/>
        <v>4176</v>
      </c>
      <c r="B3353" s="49"/>
      <c r="C3353" s="272" t="s">
        <v>11685</v>
      </c>
      <c r="D3353" s="55" t="s">
        <v>11686</v>
      </c>
      <c r="E3353" s="49" t="s">
        <v>144</v>
      </c>
      <c r="F3353" s="49" t="s">
        <v>29</v>
      </c>
      <c r="G3353" s="49" t="s">
        <v>30</v>
      </c>
      <c r="H3353" s="49"/>
      <c r="I3353" s="49" t="s">
        <v>159</v>
      </c>
      <c r="J3353" s="49">
        <v>240.0</v>
      </c>
      <c r="K3353" s="49"/>
      <c r="L3353" s="49" t="s">
        <v>11687</v>
      </c>
      <c r="M3353" s="274" t="s">
        <v>31</v>
      </c>
      <c r="N3353" s="49">
        <v>2003.0</v>
      </c>
      <c r="O3353" s="49" t="s">
        <v>388</v>
      </c>
      <c r="P3353" s="49">
        <v>1.0</v>
      </c>
      <c r="Q3353" s="56">
        <v>1.0</v>
      </c>
      <c r="R3353" s="54"/>
      <c r="S3353" s="34"/>
      <c r="T3353" s="34"/>
      <c r="U3353" s="34"/>
      <c r="V3353" s="34"/>
      <c r="W3353" s="34"/>
      <c r="X3353" s="34"/>
      <c r="Y3353" s="45"/>
      <c r="Z3353" s="45"/>
      <c r="AA3353" s="45"/>
      <c r="AB3353" s="45"/>
      <c r="AC3353" s="45"/>
      <c r="AD3353" s="45"/>
      <c r="AE3353" s="45"/>
      <c r="AF3353" s="45"/>
      <c r="AG3353" s="45"/>
      <c r="AH3353" s="45"/>
      <c r="AI3353" s="45"/>
      <c r="AJ3353" s="45"/>
      <c r="AK3353" s="45"/>
      <c r="AL3353" s="45"/>
    </row>
    <row r="3354" ht="15.75" customHeight="1">
      <c r="A3354" s="27">
        <f t="shared" si="25"/>
        <v>4177</v>
      </c>
      <c r="B3354" s="49" t="s">
        <v>11688</v>
      </c>
      <c r="C3354" s="272" t="s">
        <v>11689</v>
      </c>
      <c r="D3354" s="55" t="s">
        <v>11690</v>
      </c>
      <c r="E3354" s="49"/>
      <c r="F3354" s="49" t="s">
        <v>29</v>
      </c>
      <c r="G3354" s="49" t="s">
        <v>30</v>
      </c>
      <c r="H3354" s="49" t="s">
        <v>31</v>
      </c>
      <c r="I3354" s="49" t="s">
        <v>30</v>
      </c>
      <c r="J3354" s="49">
        <v>173.0</v>
      </c>
      <c r="K3354" s="49"/>
      <c r="L3354" s="49" t="s">
        <v>11691</v>
      </c>
      <c r="M3354" s="49" t="s">
        <v>11692</v>
      </c>
      <c r="N3354" s="49">
        <v>2008.0</v>
      </c>
      <c r="O3354" s="49" t="s">
        <v>388</v>
      </c>
      <c r="P3354" s="49">
        <v>1.0</v>
      </c>
      <c r="Q3354" s="56"/>
      <c r="R3354" s="54"/>
      <c r="S3354" s="34"/>
      <c r="T3354" s="34"/>
      <c r="U3354" s="34"/>
      <c r="V3354" s="34"/>
      <c r="W3354" s="34"/>
      <c r="X3354" s="34"/>
      <c r="Y3354" s="3"/>
      <c r="Z3354" s="3"/>
      <c r="AA3354" s="3"/>
      <c r="AB3354" s="3"/>
      <c r="AC3354" s="3"/>
      <c r="AD3354" s="3"/>
      <c r="AE3354" s="3"/>
      <c r="AF3354" s="3"/>
      <c r="AG3354" s="3"/>
      <c r="AH3354" s="3"/>
      <c r="AI3354" s="3"/>
      <c r="AJ3354" s="3"/>
      <c r="AK3354" s="3"/>
      <c r="AL3354" s="3"/>
    </row>
    <row r="3355" ht="15.75" customHeight="1">
      <c r="A3355" s="27">
        <f t="shared" si="25"/>
        <v>4178</v>
      </c>
      <c r="B3355" s="49" t="s">
        <v>31</v>
      </c>
      <c r="C3355" s="272" t="s">
        <v>11693</v>
      </c>
      <c r="D3355" s="55" t="s">
        <v>11694</v>
      </c>
      <c r="E3355" s="49"/>
      <c r="F3355" s="49" t="s">
        <v>29</v>
      </c>
      <c r="G3355" s="49" t="s">
        <v>5563</v>
      </c>
      <c r="H3355" s="49"/>
      <c r="I3355" s="49" t="s">
        <v>38</v>
      </c>
      <c r="J3355" s="49">
        <v>171.0</v>
      </c>
      <c r="K3355" s="49"/>
      <c r="L3355" s="49" t="s">
        <v>11695</v>
      </c>
      <c r="M3355" s="49" t="s">
        <v>11696</v>
      </c>
      <c r="N3355" s="49">
        <v>1975.0</v>
      </c>
      <c r="O3355" s="49" t="s">
        <v>388</v>
      </c>
      <c r="P3355" s="49">
        <v>1.0</v>
      </c>
      <c r="Q3355" s="56">
        <v>1.0</v>
      </c>
      <c r="R3355" s="54"/>
      <c r="S3355" s="116"/>
      <c r="T3355" s="116"/>
      <c r="U3355" s="116"/>
      <c r="V3355" s="116"/>
      <c r="W3355" s="116"/>
      <c r="X3355" s="116"/>
      <c r="Y3355" s="3"/>
      <c r="Z3355" s="3"/>
      <c r="AA3355" s="3"/>
      <c r="AB3355" s="3"/>
      <c r="AC3355" s="3"/>
      <c r="AD3355" s="3"/>
      <c r="AE3355" s="3"/>
      <c r="AF3355" s="3"/>
      <c r="AG3355" s="3"/>
      <c r="AH3355" s="3"/>
      <c r="AI3355" s="3"/>
      <c r="AJ3355" s="3"/>
      <c r="AK3355" s="3"/>
      <c r="AL3355" s="3"/>
    </row>
    <row r="3356" ht="15.75" customHeight="1">
      <c r="A3356" s="27">
        <f t="shared" si="25"/>
        <v>4179</v>
      </c>
      <c r="B3356" s="49" t="s">
        <v>31</v>
      </c>
      <c r="C3356" s="272" t="s">
        <v>11693</v>
      </c>
      <c r="D3356" s="55" t="s">
        <v>11694</v>
      </c>
      <c r="E3356" s="49"/>
      <c r="F3356" s="49" t="s">
        <v>29</v>
      </c>
      <c r="G3356" s="49" t="s">
        <v>5563</v>
      </c>
      <c r="H3356" s="49"/>
      <c r="I3356" s="49" t="s">
        <v>38</v>
      </c>
      <c r="J3356" s="49">
        <v>171.0</v>
      </c>
      <c r="K3356" s="49"/>
      <c r="L3356" s="49" t="s">
        <v>11695</v>
      </c>
      <c r="M3356" s="49" t="s">
        <v>11696</v>
      </c>
      <c r="N3356" s="49">
        <v>1975.0</v>
      </c>
      <c r="O3356" s="49" t="s">
        <v>388</v>
      </c>
      <c r="P3356" s="49">
        <v>2.0</v>
      </c>
      <c r="Q3356" s="56">
        <v>2.0</v>
      </c>
      <c r="R3356" s="54"/>
      <c r="S3356" s="34"/>
      <c r="T3356" s="34"/>
      <c r="U3356" s="34"/>
      <c r="V3356" s="34"/>
      <c r="W3356" s="34"/>
      <c r="X3356" s="34"/>
      <c r="Y3356" s="45"/>
      <c r="Z3356" s="45"/>
      <c r="AA3356" s="45"/>
      <c r="AB3356" s="45"/>
      <c r="AC3356" s="45"/>
      <c r="AD3356" s="45"/>
      <c r="AE3356" s="45"/>
      <c r="AF3356" s="45"/>
      <c r="AG3356" s="45"/>
      <c r="AH3356" s="45"/>
      <c r="AI3356" s="45"/>
      <c r="AJ3356" s="45"/>
      <c r="AK3356" s="45"/>
      <c r="AL3356" s="45"/>
    </row>
    <row r="3357" ht="15.75" customHeight="1">
      <c r="A3357" s="27">
        <f t="shared" si="25"/>
        <v>4180</v>
      </c>
      <c r="B3357" s="49"/>
      <c r="C3357" s="272" t="s">
        <v>11697</v>
      </c>
      <c r="D3357" s="55" t="s">
        <v>11698</v>
      </c>
      <c r="E3357" s="49" t="s">
        <v>31</v>
      </c>
      <c r="F3357" s="49" t="s">
        <v>29</v>
      </c>
      <c r="G3357" s="49" t="s">
        <v>6151</v>
      </c>
      <c r="H3357" s="49"/>
      <c r="I3357" s="49" t="s">
        <v>38</v>
      </c>
      <c r="J3357" s="49">
        <v>159.0</v>
      </c>
      <c r="K3357" s="49"/>
      <c r="L3357" s="49" t="s">
        <v>11699</v>
      </c>
      <c r="M3357" s="49" t="s">
        <v>11700</v>
      </c>
      <c r="N3357" s="49">
        <v>1992.0</v>
      </c>
      <c r="O3357" s="49" t="s">
        <v>388</v>
      </c>
      <c r="P3357" s="49">
        <v>1.0</v>
      </c>
      <c r="Q3357" s="56"/>
      <c r="R3357" s="54"/>
      <c r="S3357" s="116"/>
      <c r="T3357" s="116"/>
      <c r="U3357" s="116"/>
      <c r="V3357" s="116"/>
      <c r="W3357" s="116"/>
      <c r="X3357" s="116"/>
      <c r="Y3357" s="45"/>
      <c r="Z3357" s="45"/>
      <c r="AA3357" s="45"/>
      <c r="AB3357" s="45"/>
      <c r="AC3357" s="45"/>
      <c r="AD3357" s="45"/>
      <c r="AE3357" s="45"/>
      <c r="AF3357" s="45"/>
      <c r="AG3357" s="45"/>
      <c r="AH3357" s="45"/>
      <c r="AI3357" s="45"/>
      <c r="AJ3357" s="45"/>
      <c r="AK3357" s="45"/>
      <c r="AL3357" s="45"/>
    </row>
    <row r="3358" ht="15.75" customHeight="1">
      <c r="A3358" s="27">
        <f t="shared" si="25"/>
        <v>4181</v>
      </c>
      <c r="B3358" s="49"/>
      <c r="C3358" s="272" t="s">
        <v>11701</v>
      </c>
      <c r="D3358" s="55" t="s">
        <v>11702</v>
      </c>
      <c r="E3358" s="49" t="s">
        <v>144</v>
      </c>
      <c r="F3358" s="49" t="s">
        <v>29</v>
      </c>
      <c r="G3358" s="49" t="s">
        <v>30</v>
      </c>
      <c r="H3358" s="49"/>
      <c r="I3358" s="49" t="s">
        <v>30</v>
      </c>
      <c r="J3358" s="49"/>
      <c r="K3358" s="49"/>
      <c r="L3358" s="49"/>
      <c r="M3358" s="49"/>
      <c r="N3358" s="49"/>
      <c r="O3358" s="49" t="s">
        <v>388</v>
      </c>
      <c r="P3358" s="49">
        <v>1.0</v>
      </c>
      <c r="Q3358" s="56"/>
      <c r="R3358" s="54"/>
      <c r="S3358" s="34"/>
      <c r="T3358" s="34"/>
      <c r="U3358" s="34"/>
      <c r="V3358" s="34"/>
      <c r="W3358" s="34"/>
      <c r="X3358" s="34"/>
      <c r="Y3358" s="45"/>
      <c r="Z3358" s="45"/>
      <c r="AA3358" s="45"/>
      <c r="AB3358" s="45"/>
      <c r="AC3358" s="45"/>
      <c r="AD3358" s="45"/>
      <c r="AE3358" s="45"/>
      <c r="AF3358" s="45"/>
      <c r="AG3358" s="45"/>
      <c r="AH3358" s="45"/>
      <c r="AI3358" s="45"/>
      <c r="AJ3358" s="45"/>
      <c r="AK3358" s="45"/>
      <c r="AL3358" s="45"/>
    </row>
    <row r="3359" ht="15.75" customHeight="1">
      <c r="A3359" s="27">
        <f t="shared" si="25"/>
        <v>4182</v>
      </c>
      <c r="B3359" s="49" t="s">
        <v>31</v>
      </c>
      <c r="C3359" s="272" t="s">
        <v>11703</v>
      </c>
      <c r="D3359" s="55" t="s">
        <v>11704</v>
      </c>
      <c r="E3359" s="49" t="s">
        <v>31</v>
      </c>
      <c r="F3359" s="49" t="s">
        <v>29</v>
      </c>
      <c r="G3359" s="49"/>
      <c r="H3359" s="49"/>
      <c r="I3359" s="49" t="s">
        <v>38</v>
      </c>
      <c r="J3359" s="49">
        <v>42.0</v>
      </c>
      <c r="K3359" s="49"/>
      <c r="L3359" s="49" t="s">
        <v>31</v>
      </c>
      <c r="M3359" s="49" t="s">
        <v>11705</v>
      </c>
      <c r="N3359" s="49">
        <v>1988.0</v>
      </c>
      <c r="O3359" s="49" t="s">
        <v>388</v>
      </c>
      <c r="P3359" s="49">
        <v>1.0</v>
      </c>
      <c r="Q3359" s="56"/>
      <c r="R3359" s="54"/>
      <c r="S3359" s="34"/>
      <c r="T3359" s="34"/>
      <c r="U3359" s="34"/>
      <c r="V3359" s="34"/>
      <c r="W3359" s="34"/>
      <c r="X3359" s="34"/>
      <c r="Y3359" s="3"/>
      <c r="Z3359" s="3"/>
      <c r="AA3359" s="3"/>
      <c r="AB3359" s="3"/>
      <c r="AC3359" s="3"/>
      <c r="AD3359" s="3"/>
      <c r="AE3359" s="3"/>
      <c r="AF3359" s="3"/>
      <c r="AG3359" s="3"/>
      <c r="AH3359" s="3"/>
      <c r="AI3359" s="3"/>
      <c r="AJ3359" s="3"/>
      <c r="AK3359" s="3"/>
      <c r="AL3359" s="3"/>
    </row>
    <row r="3360" ht="15.75" customHeight="1">
      <c r="A3360" s="27">
        <f t="shared" si="25"/>
        <v>4183</v>
      </c>
      <c r="B3360" s="49" t="s">
        <v>31</v>
      </c>
      <c r="C3360" s="272" t="s">
        <v>11706</v>
      </c>
      <c r="D3360" s="55" t="s">
        <v>11707</v>
      </c>
      <c r="E3360" s="49" t="s">
        <v>144</v>
      </c>
      <c r="F3360" s="49" t="s">
        <v>29</v>
      </c>
      <c r="G3360" s="49" t="s">
        <v>30</v>
      </c>
      <c r="H3360" s="49"/>
      <c r="I3360" s="49" t="s">
        <v>30</v>
      </c>
      <c r="J3360" s="49">
        <f>122+6</f>
        <v>128</v>
      </c>
      <c r="K3360" s="49"/>
      <c r="L3360" s="49" t="s">
        <v>11708</v>
      </c>
      <c r="M3360" s="49" t="s">
        <v>31</v>
      </c>
      <c r="N3360" s="49" t="s">
        <v>31</v>
      </c>
      <c r="O3360" s="49" t="s">
        <v>388</v>
      </c>
      <c r="P3360" s="49">
        <v>1.0</v>
      </c>
      <c r="Q3360" s="56"/>
      <c r="R3360" s="54"/>
      <c r="S3360" s="34"/>
      <c r="T3360" s="34"/>
      <c r="U3360" s="34"/>
      <c r="V3360" s="34"/>
      <c r="W3360" s="34"/>
      <c r="X3360" s="34"/>
      <c r="Y3360" s="45"/>
      <c r="Z3360" s="45"/>
      <c r="AA3360" s="45"/>
      <c r="AB3360" s="45"/>
      <c r="AC3360" s="45"/>
      <c r="AD3360" s="45"/>
      <c r="AE3360" s="45"/>
      <c r="AF3360" s="45"/>
      <c r="AG3360" s="45"/>
      <c r="AH3360" s="45"/>
      <c r="AI3360" s="45"/>
      <c r="AJ3360" s="45"/>
      <c r="AK3360" s="45"/>
      <c r="AL3360" s="45"/>
    </row>
    <row r="3361" ht="15.75" customHeight="1">
      <c r="A3361" s="27">
        <f t="shared" si="25"/>
        <v>4184</v>
      </c>
      <c r="B3361" s="49" t="s">
        <v>11709</v>
      </c>
      <c r="C3361" s="272" t="s">
        <v>11710</v>
      </c>
      <c r="D3361" s="55" t="s">
        <v>11711</v>
      </c>
      <c r="E3361" s="49"/>
      <c r="F3361" s="49" t="s">
        <v>29</v>
      </c>
      <c r="G3361" s="49" t="s">
        <v>31</v>
      </c>
      <c r="H3361" s="49"/>
      <c r="I3361" s="49" t="s">
        <v>38</v>
      </c>
      <c r="J3361" s="49">
        <v>120.0</v>
      </c>
      <c r="K3361" s="49"/>
      <c r="L3361" s="49" t="s">
        <v>11712</v>
      </c>
      <c r="M3361" s="49" t="s">
        <v>31</v>
      </c>
      <c r="N3361" s="49" t="s">
        <v>31</v>
      </c>
      <c r="O3361" s="49" t="s">
        <v>388</v>
      </c>
      <c r="P3361" s="49">
        <v>1.0</v>
      </c>
      <c r="Q3361" s="56"/>
      <c r="R3361" s="54"/>
      <c r="S3361" s="116"/>
      <c r="T3361" s="116"/>
      <c r="U3361" s="116"/>
      <c r="V3361" s="116"/>
      <c r="W3361" s="116"/>
      <c r="X3361" s="116"/>
      <c r="Y3361" s="3"/>
      <c r="Z3361" s="3"/>
      <c r="AA3361" s="3"/>
      <c r="AB3361" s="3"/>
      <c r="AC3361" s="3"/>
      <c r="AD3361" s="3"/>
      <c r="AE3361" s="3"/>
      <c r="AF3361" s="3"/>
      <c r="AG3361" s="3"/>
      <c r="AH3361" s="3"/>
      <c r="AI3361" s="3"/>
      <c r="AJ3361" s="3"/>
      <c r="AK3361" s="3"/>
      <c r="AL3361" s="3"/>
    </row>
    <row r="3362" ht="15.75" customHeight="1">
      <c r="A3362" s="27">
        <f t="shared" si="25"/>
        <v>4185</v>
      </c>
      <c r="B3362" s="49" t="s">
        <v>31</v>
      </c>
      <c r="C3362" s="272" t="s">
        <v>11713</v>
      </c>
      <c r="D3362" s="55" t="s">
        <v>11714</v>
      </c>
      <c r="E3362" s="49"/>
      <c r="F3362" s="49" t="s">
        <v>29</v>
      </c>
      <c r="G3362" s="49" t="s">
        <v>37</v>
      </c>
      <c r="H3362" s="49" t="s">
        <v>31</v>
      </c>
      <c r="I3362" s="49" t="s">
        <v>38</v>
      </c>
      <c r="J3362" s="49">
        <v>176.0</v>
      </c>
      <c r="K3362" s="49"/>
      <c r="L3362" s="49" t="s">
        <v>11715</v>
      </c>
      <c r="M3362" s="49" t="s">
        <v>11716</v>
      </c>
      <c r="N3362" s="49">
        <v>1966.0</v>
      </c>
      <c r="O3362" s="49" t="s">
        <v>388</v>
      </c>
      <c r="P3362" s="49">
        <v>1.0</v>
      </c>
      <c r="Q3362" s="56"/>
      <c r="R3362" s="54"/>
      <c r="S3362" s="34"/>
      <c r="T3362" s="34"/>
      <c r="U3362" s="34"/>
      <c r="V3362" s="34"/>
      <c r="W3362" s="34"/>
      <c r="X3362" s="34"/>
      <c r="Y3362" s="45"/>
      <c r="Z3362" s="45"/>
      <c r="AA3362" s="45"/>
      <c r="AB3362" s="45"/>
      <c r="AC3362" s="45"/>
      <c r="AD3362" s="45"/>
      <c r="AE3362" s="45"/>
      <c r="AF3362" s="45"/>
      <c r="AG3362" s="45"/>
      <c r="AH3362" s="45"/>
      <c r="AI3362" s="45"/>
      <c r="AJ3362" s="45"/>
      <c r="AK3362" s="45"/>
      <c r="AL3362" s="45"/>
    </row>
    <row r="3363" ht="15.75" customHeight="1">
      <c r="A3363" s="27">
        <f t="shared" si="25"/>
        <v>4186</v>
      </c>
      <c r="B3363" s="49" t="s">
        <v>31</v>
      </c>
      <c r="C3363" s="272" t="s">
        <v>11717</v>
      </c>
      <c r="D3363" s="55" t="s">
        <v>11718</v>
      </c>
      <c r="E3363" s="49" t="s">
        <v>31</v>
      </c>
      <c r="F3363" s="49" t="s">
        <v>29</v>
      </c>
      <c r="G3363" s="49" t="s">
        <v>37</v>
      </c>
      <c r="H3363" s="49"/>
      <c r="I3363" s="49" t="s">
        <v>38</v>
      </c>
      <c r="J3363" s="49">
        <v>118.0</v>
      </c>
      <c r="K3363" s="49"/>
      <c r="L3363" s="49" t="s">
        <v>11719</v>
      </c>
      <c r="M3363" s="49" t="s">
        <v>6009</v>
      </c>
      <c r="N3363" s="49" t="s">
        <v>11720</v>
      </c>
      <c r="O3363" s="49" t="s">
        <v>388</v>
      </c>
      <c r="P3363" s="49">
        <v>1.0</v>
      </c>
      <c r="Q3363" s="56"/>
      <c r="R3363" s="54"/>
      <c r="S3363" s="34"/>
      <c r="T3363" s="34"/>
      <c r="U3363" s="34"/>
      <c r="V3363" s="34"/>
      <c r="W3363" s="34"/>
      <c r="X3363" s="34"/>
      <c r="Y3363" s="45"/>
      <c r="Z3363" s="45"/>
      <c r="AA3363" s="45"/>
      <c r="AB3363" s="45"/>
      <c r="AC3363" s="45"/>
      <c r="AD3363" s="45"/>
      <c r="AE3363" s="45"/>
      <c r="AF3363" s="45"/>
      <c r="AG3363" s="45"/>
      <c r="AH3363" s="45"/>
      <c r="AI3363" s="45"/>
      <c r="AJ3363" s="45"/>
      <c r="AK3363" s="45"/>
      <c r="AL3363" s="45"/>
    </row>
    <row r="3364" ht="15.75" customHeight="1">
      <c r="A3364" s="27">
        <f t="shared" si="25"/>
        <v>4187</v>
      </c>
      <c r="B3364" s="49" t="s">
        <v>31</v>
      </c>
      <c r="C3364" s="272" t="s">
        <v>11721</v>
      </c>
      <c r="D3364" s="55" t="s">
        <v>11722</v>
      </c>
      <c r="E3364" s="49"/>
      <c r="F3364" s="49" t="s">
        <v>29</v>
      </c>
      <c r="G3364" s="49" t="s">
        <v>30</v>
      </c>
      <c r="H3364" s="49" t="s">
        <v>31</v>
      </c>
      <c r="I3364" s="49" t="s">
        <v>30</v>
      </c>
      <c r="J3364" s="49">
        <v>63.0</v>
      </c>
      <c r="K3364" s="49"/>
      <c r="L3364" s="49" t="s">
        <v>11723</v>
      </c>
      <c r="M3364" s="49" t="s">
        <v>11724</v>
      </c>
      <c r="N3364" s="49">
        <v>1976.0</v>
      </c>
      <c r="O3364" s="49" t="s">
        <v>388</v>
      </c>
      <c r="P3364" s="49">
        <v>1.0</v>
      </c>
      <c r="Q3364" s="56">
        <v>1.0</v>
      </c>
      <c r="R3364" s="54"/>
      <c r="S3364" s="34"/>
      <c r="T3364" s="34"/>
      <c r="U3364" s="34"/>
      <c r="V3364" s="34"/>
      <c r="W3364" s="34"/>
      <c r="X3364" s="34"/>
      <c r="Y3364" s="45"/>
      <c r="Z3364" s="45"/>
      <c r="AA3364" s="45"/>
      <c r="AB3364" s="45"/>
      <c r="AC3364" s="45"/>
      <c r="AD3364" s="45"/>
      <c r="AE3364" s="45"/>
      <c r="AF3364" s="45"/>
      <c r="AG3364" s="45"/>
      <c r="AH3364" s="45"/>
      <c r="AI3364" s="45"/>
      <c r="AJ3364" s="45"/>
      <c r="AK3364" s="45"/>
      <c r="AL3364" s="45"/>
    </row>
    <row r="3365" ht="15.75" customHeight="1">
      <c r="A3365" s="27">
        <f t="shared" si="25"/>
        <v>4188</v>
      </c>
      <c r="B3365" s="49" t="s">
        <v>31</v>
      </c>
      <c r="C3365" s="272" t="s">
        <v>11725</v>
      </c>
      <c r="D3365" s="55" t="s">
        <v>11726</v>
      </c>
      <c r="E3365" s="49" t="s">
        <v>31</v>
      </c>
      <c r="F3365" s="49" t="s">
        <v>29</v>
      </c>
      <c r="G3365" s="49" t="s">
        <v>30</v>
      </c>
      <c r="H3365" s="49"/>
      <c r="I3365" s="49" t="s">
        <v>30</v>
      </c>
      <c r="J3365" s="49">
        <v>23.0</v>
      </c>
      <c r="K3365" s="49"/>
      <c r="L3365" s="49" t="s">
        <v>11723</v>
      </c>
      <c r="M3365" s="49" t="s">
        <v>11727</v>
      </c>
      <c r="N3365" s="49">
        <v>1976.0</v>
      </c>
      <c r="O3365" s="49" t="s">
        <v>388</v>
      </c>
      <c r="P3365" s="49">
        <v>1.0</v>
      </c>
      <c r="Q3365" s="56"/>
      <c r="R3365" s="54"/>
      <c r="S3365" s="34"/>
      <c r="T3365" s="34"/>
      <c r="U3365" s="34"/>
      <c r="V3365" s="34"/>
      <c r="W3365" s="34"/>
      <c r="X3365" s="34"/>
      <c r="Y3365" s="45"/>
      <c r="Z3365" s="45"/>
      <c r="AA3365" s="45"/>
      <c r="AB3365" s="45"/>
      <c r="AC3365" s="45"/>
      <c r="AD3365" s="45"/>
      <c r="AE3365" s="45"/>
      <c r="AF3365" s="45"/>
      <c r="AG3365" s="45"/>
      <c r="AH3365" s="45"/>
      <c r="AI3365" s="45"/>
      <c r="AJ3365" s="45"/>
      <c r="AK3365" s="45"/>
      <c r="AL3365" s="45"/>
    </row>
    <row r="3366" ht="15.75" customHeight="1">
      <c r="A3366" s="27">
        <f t="shared" si="25"/>
        <v>4189</v>
      </c>
      <c r="B3366" s="49" t="s">
        <v>31</v>
      </c>
      <c r="C3366" s="272" t="s">
        <v>11728</v>
      </c>
      <c r="D3366" s="55" t="s">
        <v>112</v>
      </c>
      <c r="E3366" s="49"/>
      <c r="F3366" s="49" t="s">
        <v>29</v>
      </c>
      <c r="G3366" s="49" t="s">
        <v>30</v>
      </c>
      <c r="H3366" s="49" t="s">
        <v>31</v>
      </c>
      <c r="I3366" s="49" t="s">
        <v>30</v>
      </c>
      <c r="J3366" s="49">
        <v>264.0</v>
      </c>
      <c r="K3366" s="49"/>
      <c r="L3366" s="49" t="s">
        <v>2815</v>
      </c>
      <c r="M3366" s="49" t="s">
        <v>114</v>
      </c>
      <c r="N3366" s="49">
        <v>1978.0</v>
      </c>
      <c r="O3366" s="49" t="s">
        <v>388</v>
      </c>
      <c r="P3366" s="49">
        <v>1.0</v>
      </c>
      <c r="Q3366" s="56"/>
      <c r="R3366" s="54"/>
      <c r="S3366" s="34"/>
      <c r="T3366" s="34"/>
      <c r="U3366" s="34"/>
      <c r="V3366" s="34"/>
      <c r="W3366" s="34"/>
      <c r="X3366" s="34"/>
      <c r="Y3366" s="45"/>
      <c r="Z3366" s="45"/>
      <c r="AA3366" s="45"/>
      <c r="AB3366" s="45"/>
      <c r="AC3366" s="45"/>
      <c r="AD3366" s="45"/>
      <c r="AE3366" s="45"/>
      <c r="AF3366" s="45"/>
      <c r="AG3366" s="45"/>
      <c r="AH3366" s="45"/>
      <c r="AI3366" s="45"/>
      <c r="AJ3366" s="45"/>
      <c r="AK3366" s="45"/>
      <c r="AL3366" s="45"/>
    </row>
    <row r="3367" ht="15.75" customHeight="1">
      <c r="A3367" s="27">
        <f t="shared" si="25"/>
        <v>4190</v>
      </c>
      <c r="B3367" s="49" t="s">
        <v>31</v>
      </c>
      <c r="C3367" s="272" t="s">
        <v>11729</v>
      </c>
      <c r="D3367" s="55" t="s">
        <v>11730</v>
      </c>
      <c r="E3367" s="49" t="s">
        <v>31</v>
      </c>
      <c r="F3367" s="49" t="s">
        <v>29</v>
      </c>
      <c r="G3367" s="49" t="s">
        <v>30</v>
      </c>
      <c r="H3367" s="49"/>
      <c r="I3367" s="49" t="s">
        <v>30</v>
      </c>
      <c r="J3367" s="49">
        <v>299.0</v>
      </c>
      <c r="K3367" s="49"/>
      <c r="L3367" s="49" t="s">
        <v>11731</v>
      </c>
      <c r="M3367" s="49" t="s">
        <v>11732</v>
      </c>
      <c r="N3367" s="49">
        <v>1996.0</v>
      </c>
      <c r="O3367" s="49" t="s">
        <v>388</v>
      </c>
      <c r="P3367" s="49">
        <v>1.0</v>
      </c>
      <c r="Q3367" s="56"/>
      <c r="R3367" s="54"/>
      <c r="S3367" s="34"/>
      <c r="T3367" s="34"/>
      <c r="U3367" s="34"/>
      <c r="V3367" s="34"/>
      <c r="W3367" s="34"/>
      <c r="X3367" s="34"/>
      <c r="Y3367" s="45"/>
      <c r="Z3367" s="45"/>
      <c r="AA3367" s="45"/>
      <c r="AB3367" s="45"/>
      <c r="AC3367" s="45"/>
      <c r="AD3367" s="45"/>
      <c r="AE3367" s="45"/>
      <c r="AF3367" s="45"/>
      <c r="AG3367" s="45"/>
      <c r="AH3367" s="45"/>
      <c r="AI3367" s="45"/>
      <c r="AJ3367" s="45"/>
      <c r="AK3367" s="45"/>
      <c r="AL3367" s="45"/>
    </row>
    <row r="3368" ht="15.75" customHeight="1">
      <c r="A3368" s="27">
        <f t="shared" si="25"/>
        <v>4191</v>
      </c>
      <c r="B3368" s="49" t="s">
        <v>11733</v>
      </c>
      <c r="C3368" s="272" t="s">
        <v>11734</v>
      </c>
      <c r="D3368" s="55" t="s">
        <v>11735</v>
      </c>
      <c r="E3368" s="49"/>
      <c r="F3368" s="49" t="s">
        <v>29</v>
      </c>
      <c r="G3368" s="49" t="s">
        <v>38</v>
      </c>
      <c r="H3368" s="49"/>
      <c r="I3368" s="49" t="s">
        <v>38</v>
      </c>
      <c r="J3368" s="49">
        <v>389.0</v>
      </c>
      <c r="K3368" s="49"/>
      <c r="L3368" s="49" t="s">
        <v>11736</v>
      </c>
      <c r="M3368" s="49" t="s">
        <v>507</v>
      </c>
      <c r="N3368" s="49">
        <v>2003.0</v>
      </c>
      <c r="O3368" s="49" t="s">
        <v>388</v>
      </c>
      <c r="P3368" s="49">
        <v>1.0</v>
      </c>
      <c r="Q3368" s="56"/>
      <c r="R3368" s="54"/>
      <c r="S3368" s="34"/>
      <c r="T3368" s="34"/>
      <c r="U3368" s="34"/>
      <c r="V3368" s="34"/>
      <c r="W3368" s="34"/>
      <c r="X3368" s="34"/>
      <c r="Y3368" s="3"/>
      <c r="Z3368" s="3"/>
      <c r="AA3368" s="3"/>
      <c r="AB3368" s="3"/>
      <c r="AC3368" s="3"/>
      <c r="AD3368" s="3"/>
      <c r="AE3368" s="3"/>
      <c r="AF3368" s="3"/>
      <c r="AG3368" s="3"/>
      <c r="AH3368" s="3"/>
      <c r="AI3368" s="3"/>
      <c r="AJ3368" s="3"/>
      <c r="AK3368" s="3"/>
      <c r="AL3368" s="3"/>
    </row>
    <row r="3369" ht="15.75" customHeight="1">
      <c r="A3369" s="27">
        <f t="shared" si="25"/>
        <v>4192</v>
      </c>
      <c r="B3369" s="49" t="s">
        <v>11737</v>
      </c>
      <c r="C3369" s="272" t="s">
        <v>11738</v>
      </c>
      <c r="D3369" s="55" t="s">
        <v>11739</v>
      </c>
      <c r="E3369" s="49"/>
      <c r="F3369" s="49" t="s">
        <v>29</v>
      </c>
      <c r="G3369" s="49" t="s">
        <v>37</v>
      </c>
      <c r="H3369" s="49"/>
      <c r="I3369" s="49" t="s">
        <v>38</v>
      </c>
      <c r="J3369" s="49">
        <v>368.0</v>
      </c>
      <c r="K3369" s="49"/>
      <c r="L3369" s="49" t="s">
        <v>11740</v>
      </c>
      <c r="M3369" s="49" t="s">
        <v>3268</v>
      </c>
      <c r="N3369" s="49">
        <v>1999.0</v>
      </c>
      <c r="O3369" s="49" t="s">
        <v>388</v>
      </c>
      <c r="P3369" s="49">
        <v>1.0</v>
      </c>
      <c r="Q3369" s="56"/>
      <c r="R3369" s="54"/>
      <c r="S3369" s="116"/>
      <c r="T3369" s="116"/>
      <c r="U3369" s="116"/>
      <c r="V3369" s="116"/>
      <c r="W3369" s="116"/>
      <c r="X3369" s="116"/>
      <c r="Y3369" s="45"/>
      <c r="Z3369" s="45"/>
      <c r="AA3369" s="45"/>
      <c r="AB3369" s="45"/>
      <c r="AC3369" s="45"/>
      <c r="AD3369" s="45"/>
      <c r="AE3369" s="45"/>
      <c r="AF3369" s="45"/>
      <c r="AG3369" s="45"/>
      <c r="AH3369" s="45"/>
      <c r="AI3369" s="45"/>
      <c r="AJ3369" s="45"/>
      <c r="AK3369" s="45"/>
      <c r="AL3369" s="45"/>
    </row>
    <row r="3370" ht="15.75" customHeight="1">
      <c r="A3370" s="27">
        <f t="shared" si="25"/>
        <v>4193</v>
      </c>
      <c r="B3370" s="49" t="s">
        <v>11741</v>
      </c>
      <c r="C3370" s="272" t="s">
        <v>11742</v>
      </c>
      <c r="D3370" s="55" t="s">
        <v>11743</v>
      </c>
      <c r="E3370" s="49" t="s">
        <v>31</v>
      </c>
      <c r="F3370" s="49" t="s">
        <v>29</v>
      </c>
      <c r="G3370" s="49" t="s">
        <v>37</v>
      </c>
      <c r="H3370" s="49"/>
      <c r="I3370" s="49" t="s">
        <v>38</v>
      </c>
      <c r="J3370" s="49">
        <v>303.0</v>
      </c>
      <c r="K3370" s="49"/>
      <c r="L3370" s="49" t="s">
        <v>11744</v>
      </c>
      <c r="M3370" s="49" t="s">
        <v>11745</v>
      </c>
      <c r="N3370" s="49">
        <v>1985.0</v>
      </c>
      <c r="O3370" s="49" t="s">
        <v>388</v>
      </c>
      <c r="P3370" s="49">
        <v>1.0</v>
      </c>
      <c r="Q3370" s="56"/>
      <c r="R3370" s="54"/>
      <c r="S3370" s="34"/>
      <c r="T3370" s="34"/>
      <c r="U3370" s="34"/>
      <c r="V3370" s="34"/>
      <c r="W3370" s="34"/>
      <c r="X3370" s="34"/>
      <c r="Y3370" s="45"/>
      <c r="Z3370" s="45"/>
      <c r="AA3370" s="45"/>
      <c r="AB3370" s="45"/>
      <c r="AC3370" s="45"/>
      <c r="AD3370" s="45"/>
      <c r="AE3370" s="45"/>
      <c r="AF3370" s="45"/>
      <c r="AG3370" s="45"/>
      <c r="AH3370" s="45"/>
      <c r="AI3370" s="45"/>
      <c r="AJ3370" s="45"/>
      <c r="AK3370" s="45"/>
      <c r="AL3370" s="45"/>
    </row>
    <row r="3371" ht="15.75" customHeight="1">
      <c r="A3371" s="27">
        <f t="shared" si="25"/>
        <v>4194</v>
      </c>
      <c r="B3371" s="49" t="s">
        <v>11741</v>
      </c>
      <c r="C3371" s="272" t="s">
        <v>11746</v>
      </c>
      <c r="D3371" s="55" t="s">
        <v>11747</v>
      </c>
      <c r="E3371" s="49"/>
      <c r="F3371" s="49" t="s">
        <v>29</v>
      </c>
      <c r="G3371" s="49" t="s">
        <v>37</v>
      </c>
      <c r="H3371" s="49"/>
      <c r="I3371" s="49" t="s">
        <v>38</v>
      </c>
      <c r="J3371" s="49">
        <v>289.0</v>
      </c>
      <c r="K3371" s="49"/>
      <c r="L3371" s="49" t="s">
        <v>11748</v>
      </c>
      <c r="M3371" s="49" t="s">
        <v>11749</v>
      </c>
      <c r="N3371" s="49">
        <v>1985.0</v>
      </c>
      <c r="O3371" s="49" t="s">
        <v>388</v>
      </c>
      <c r="P3371" s="49">
        <v>1.0</v>
      </c>
      <c r="Q3371" s="56"/>
      <c r="R3371" s="54"/>
      <c r="S3371" s="34"/>
      <c r="T3371" s="34"/>
      <c r="U3371" s="34"/>
      <c r="V3371" s="34"/>
      <c r="W3371" s="34"/>
      <c r="X3371" s="34"/>
      <c r="Y3371" s="45"/>
      <c r="Z3371" s="45"/>
      <c r="AA3371" s="45"/>
      <c r="AB3371" s="45"/>
      <c r="AC3371" s="45"/>
      <c r="AD3371" s="45"/>
      <c r="AE3371" s="45"/>
      <c r="AF3371" s="45"/>
      <c r="AG3371" s="45"/>
      <c r="AH3371" s="45"/>
      <c r="AI3371" s="45"/>
      <c r="AJ3371" s="45"/>
      <c r="AK3371" s="45"/>
      <c r="AL3371" s="45"/>
    </row>
    <row r="3372" ht="15.75" customHeight="1">
      <c r="A3372" s="27">
        <f t="shared" si="25"/>
        <v>4195</v>
      </c>
      <c r="B3372" s="49" t="s">
        <v>5600</v>
      </c>
      <c r="C3372" s="272" t="s">
        <v>11750</v>
      </c>
      <c r="D3372" s="55" t="s">
        <v>5602</v>
      </c>
      <c r="E3372" s="49" t="s">
        <v>31</v>
      </c>
      <c r="F3372" s="49" t="s">
        <v>29</v>
      </c>
      <c r="G3372" s="49" t="s">
        <v>5603</v>
      </c>
      <c r="H3372" s="49"/>
      <c r="I3372" s="49" t="s">
        <v>5613</v>
      </c>
      <c r="J3372" s="49">
        <v>200.0</v>
      </c>
      <c r="K3372" s="49"/>
      <c r="L3372" s="49" t="s">
        <v>11751</v>
      </c>
      <c r="M3372" s="49" t="s">
        <v>2929</v>
      </c>
      <c r="N3372" s="49" t="s">
        <v>11752</v>
      </c>
      <c r="O3372" s="49" t="s">
        <v>388</v>
      </c>
      <c r="P3372" s="49">
        <v>1.0</v>
      </c>
      <c r="Q3372" s="56"/>
      <c r="R3372" s="54"/>
      <c r="S3372" s="34"/>
      <c r="T3372" s="34"/>
      <c r="U3372" s="34"/>
      <c r="V3372" s="34"/>
      <c r="W3372" s="34"/>
      <c r="X3372" s="34"/>
      <c r="Y3372" s="45"/>
      <c r="Z3372" s="45"/>
      <c r="AA3372" s="45"/>
      <c r="AB3372" s="45"/>
      <c r="AC3372" s="45"/>
      <c r="AD3372" s="45"/>
      <c r="AE3372" s="45"/>
      <c r="AF3372" s="45"/>
      <c r="AG3372" s="45"/>
      <c r="AH3372" s="45"/>
      <c r="AI3372" s="45"/>
      <c r="AJ3372" s="45"/>
      <c r="AK3372" s="45"/>
      <c r="AL3372" s="45"/>
    </row>
    <row r="3373" ht="15.75" customHeight="1">
      <c r="A3373" s="27">
        <f t="shared" si="25"/>
        <v>4196</v>
      </c>
      <c r="B3373" s="49"/>
      <c r="C3373" s="272" t="s">
        <v>11753</v>
      </c>
      <c r="D3373" s="55" t="s">
        <v>11754</v>
      </c>
      <c r="E3373" s="49" t="s">
        <v>11755</v>
      </c>
      <c r="F3373" s="49" t="s">
        <v>29</v>
      </c>
      <c r="G3373" s="49" t="s">
        <v>37</v>
      </c>
      <c r="H3373" s="49"/>
      <c r="I3373" s="49" t="s">
        <v>38</v>
      </c>
      <c r="J3373" s="49">
        <v>449.0</v>
      </c>
      <c r="K3373" s="49"/>
      <c r="L3373" s="49" t="s">
        <v>11756</v>
      </c>
      <c r="M3373" s="49" t="s">
        <v>11757</v>
      </c>
      <c r="N3373" s="49">
        <v>1990.0</v>
      </c>
      <c r="O3373" s="49" t="s">
        <v>388</v>
      </c>
      <c r="P3373" s="49">
        <v>1.0</v>
      </c>
      <c r="Q3373" s="56">
        <v>1.0</v>
      </c>
      <c r="R3373" s="54"/>
      <c r="S3373" s="34"/>
      <c r="T3373" s="34"/>
      <c r="U3373" s="34"/>
      <c r="V3373" s="34"/>
      <c r="W3373" s="34"/>
      <c r="X3373" s="34"/>
      <c r="Y3373" s="45"/>
      <c r="Z3373" s="45"/>
      <c r="AA3373" s="45"/>
      <c r="AB3373" s="45"/>
      <c r="AC3373" s="45"/>
      <c r="AD3373" s="45"/>
      <c r="AE3373" s="45"/>
      <c r="AF3373" s="45"/>
      <c r="AG3373" s="45"/>
      <c r="AH3373" s="45"/>
      <c r="AI3373" s="45"/>
      <c r="AJ3373" s="45"/>
      <c r="AK3373" s="45"/>
      <c r="AL3373" s="45"/>
    </row>
    <row r="3374" ht="15.75" customHeight="1">
      <c r="A3374" s="27">
        <f t="shared" si="25"/>
        <v>4197</v>
      </c>
      <c r="B3374" s="49" t="s">
        <v>5545</v>
      </c>
      <c r="C3374" s="272" t="s">
        <v>11758</v>
      </c>
      <c r="D3374" s="55" t="s">
        <v>11759</v>
      </c>
      <c r="E3374" s="49" t="s">
        <v>31</v>
      </c>
      <c r="F3374" s="49" t="s">
        <v>29</v>
      </c>
      <c r="G3374" s="49" t="s">
        <v>37</v>
      </c>
      <c r="H3374" s="49"/>
      <c r="I3374" s="49" t="s">
        <v>5613</v>
      </c>
      <c r="J3374" s="49">
        <v>441.0</v>
      </c>
      <c r="K3374" s="49"/>
      <c r="L3374" s="49" t="s">
        <v>766</v>
      </c>
      <c r="M3374" s="49" t="s">
        <v>524</v>
      </c>
      <c r="N3374" s="49">
        <v>2009.0</v>
      </c>
      <c r="O3374" s="49" t="s">
        <v>388</v>
      </c>
      <c r="P3374" s="49">
        <v>1.0</v>
      </c>
      <c r="Q3374" s="56"/>
      <c r="R3374" s="54"/>
      <c r="S3374" s="34"/>
      <c r="T3374" s="34"/>
      <c r="U3374" s="34"/>
      <c r="V3374" s="34"/>
      <c r="W3374" s="34"/>
      <c r="X3374" s="34"/>
      <c r="Y3374" s="3"/>
      <c r="Z3374" s="3"/>
      <c r="AA3374" s="3"/>
      <c r="AB3374" s="3"/>
      <c r="AC3374" s="3"/>
      <c r="AD3374" s="3"/>
      <c r="AE3374" s="3"/>
      <c r="AF3374" s="3"/>
      <c r="AG3374" s="3"/>
      <c r="AH3374" s="3"/>
      <c r="AI3374" s="3"/>
      <c r="AJ3374" s="3"/>
      <c r="AK3374" s="3"/>
      <c r="AL3374" s="3"/>
    </row>
    <row r="3375" ht="15.75" customHeight="1">
      <c r="A3375" s="27">
        <f t="shared" si="25"/>
        <v>4198</v>
      </c>
      <c r="B3375" s="49" t="s">
        <v>11760</v>
      </c>
      <c r="C3375" s="272" t="s">
        <v>11761</v>
      </c>
      <c r="D3375" s="55" t="s">
        <v>11762</v>
      </c>
      <c r="E3375" s="49"/>
      <c r="F3375" s="49" t="s">
        <v>29</v>
      </c>
      <c r="G3375" s="49" t="s">
        <v>37</v>
      </c>
      <c r="H3375" s="49"/>
      <c r="I3375" s="49" t="s">
        <v>38</v>
      </c>
      <c r="J3375" s="49">
        <v>266.0</v>
      </c>
      <c r="K3375" s="49"/>
      <c r="L3375" s="49" t="s">
        <v>11763</v>
      </c>
      <c r="M3375" s="49" t="s">
        <v>230</v>
      </c>
      <c r="N3375" s="49">
        <v>2004.0</v>
      </c>
      <c r="O3375" s="49" t="s">
        <v>388</v>
      </c>
      <c r="P3375" s="49">
        <v>1.0</v>
      </c>
      <c r="Q3375" s="56"/>
      <c r="R3375" s="54"/>
      <c r="S3375" s="34"/>
      <c r="T3375" s="34"/>
      <c r="U3375" s="34"/>
      <c r="V3375" s="34"/>
      <c r="W3375" s="34"/>
      <c r="X3375" s="34"/>
      <c r="Y3375" s="45"/>
      <c r="Z3375" s="45"/>
      <c r="AA3375" s="45"/>
      <c r="AB3375" s="45"/>
      <c r="AC3375" s="45"/>
      <c r="AD3375" s="45"/>
      <c r="AE3375" s="45"/>
      <c r="AF3375" s="45"/>
      <c r="AG3375" s="45"/>
      <c r="AH3375" s="45"/>
      <c r="AI3375" s="45"/>
      <c r="AJ3375" s="45"/>
      <c r="AK3375" s="45"/>
      <c r="AL3375" s="45"/>
    </row>
    <row r="3376" ht="15.75" customHeight="1">
      <c r="A3376" s="27">
        <f t="shared" si="25"/>
        <v>4199</v>
      </c>
      <c r="B3376" s="49" t="s">
        <v>1225</v>
      </c>
      <c r="C3376" s="272" t="s">
        <v>11764</v>
      </c>
      <c r="D3376" s="55" t="s">
        <v>1230</v>
      </c>
      <c r="E3376" s="49" t="s">
        <v>28</v>
      </c>
      <c r="F3376" s="49" t="s">
        <v>29</v>
      </c>
      <c r="G3376" s="49" t="s">
        <v>98</v>
      </c>
      <c r="H3376" s="49"/>
      <c r="I3376" s="49" t="s">
        <v>1195</v>
      </c>
      <c r="J3376" s="49">
        <v>812.0</v>
      </c>
      <c r="K3376" s="49"/>
      <c r="L3376" s="49" t="s">
        <v>11765</v>
      </c>
      <c r="M3376" s="49" t="s">
        <v>100</v>
      </c>
      <c r="N3376" s="49">
        <v>2006.0</v>
      </c>
      <c r="O3376" s="49" t="s">
        <v>388</v>
      </c>
      <c r="P3376" s="49">
        <v>1.0</v>
      </c>
      <c r="Q3376" s="56">
        <v>1.0</v>
      </c>
      <c r="R3376" s="54"/>
      <c r="S3376" s="34"/>
      <c r="T3376" s="34"/>
      <c r="U3376" s="34"/>
      <c r="V3376" s="34"/>
      <c r="W3376" s="34"/>
      <c r="X3376" s="34"/>
      <c r="Y3376" s="45"/>
      <c r="Z3376" s="45"/>
      <c r="AA3376" s="45"/>
      <c r="AB3376" s="45"/>
      <c r="AC3376" s="45"/>
      <c r="AD3376" s="45"/>
      <c r="AE3376" s="45"/>
      <c r="AF3376" s="45"/>
      <c r="AG3376" s="45"/>
      <c r="AH3376" s="45"/>
      <c r="AI3376" s="45"/>
      <c r="AJ3376" s="45"/>
      <c r="AK3376" s="45"/>
      <c r="AL3376" s="45"/>
    </row>
    <row r="3377" ht="15.75" customHeight="1">
      <c r="A3377" s="27">
        <f t="shared" si="25"/>
        <v>4200</v>
      </c>
      <c r="B3377" s="49" t="s">
        <v>31</v>
      </c>
      <c r="C3377" s="272" t="s">
        <v>11766</v>
      </c>
      <c r="D3377" s="55" t="s">
        <v>11767</v>
      </c>
      <c r="E3377" s="49" t="s">
        <v>31</v>
      </c>
      <c r="F3377" s="49" t="s">
        <v>29</v>
      </c>
      <c r="G3377" s="49" t="s">
        <v>37</v>
      </c>
      <c r="H3377" s="49"/>
      <c r="I3377" s="49" t="s">
        <v>38</v>
      </c>
      <c r="J3377" s="49">
        <v>199.0</v>
      </c>
      <c r="K3377" s="49"/>
      <c r="L3377" s="49" t="s">
        <v>11768</v>
      </c>
      <c r="M3377" s="49" t="s">
        <v>11769</v>
      </c>
      <c r="N3377" s="49">
        <v>1964.0</v>
      </c>
      <c r="O3377" s="49" t="s">
        <v>388</v>
      </c>
      <c r="P3377" s="49">
        <v>1.0</v>
      </c>
      <c r="Q3377" s="56"/>
      <c r="R3377" s="54"/>
      <c r="S3377" s="34"/>
      <c r="T3377" s="34"/>
      <c r="U3377" s="34"/>
      <c r="V3377" s="34"/>
      <c r="W3377" s="34"/>
      <c r="X3377" s="34"/>
      <c r="Y3377" s="45"/>
      <c r="Z3377" s="45"/>
      <c r="AA3377" s="45"/>
      <c r="AB3377" s="45"/>
      <c r="AC3377" s="45"/>
      <c r="AD3377" s="45"/>
      <c r="AE3377" s="45"/>
      <c r="AF3377" s="45"/>
      <c r="AG3377" s="45"/>
      <c r="AH3377" s="45"/>
      <c r="AI3377" s="45"/>
      <c r="AJ3377" s="45"/>
      <c r="AK3377" s="45"/>
      <c r="AL3377" s="45"/>
    </row>
    <row r="3378" ht="15.75" customHeight="1">
      <c r="A3378" s="27">
        <f t="shared" si="25"/>
        <v>4201</v>
      </c>
      <c r="B3378" s="63" t="s">
        <v>11770</v>
      </c>
      <c r="C3378" s="275" t="s">
        <v>11771</v>
      </c>
      <c r="D3378" s="65" t="s">
        <v>11772</v>
      </c>
      <c r="E3378" s="63" t="s">
        <v>31</v>
      </c>
      <c r="F3378" s="63" t="s">
        <v>29</v>
      </c>
      <c r="G3378" s="63" t="s">
        <v>81</v>
      </c>
      <c r="H3378" s="63"/>
      <c r="I3378" s="63" t="s">
        <v>38</v>
      </c>
      <c r="J3378" s="63">
        <v>194.0</v>
      </c>
      <c r="K3378" s="63"/>
      <c r="L3378" s="63" t="s">
        <v>11773</v>
      </c>
      <c r="M3378" s="63" t="s">
        <v>83</v>
      </c>
      <c r="N3378" s="63">
        <v>1981.0</v>
      </c>
      <c r="O3378" s="63" t="s">
        <v>388</v>
      </c>
      <c r="P3378" s="63">
        <v>1.0</v>
      </c>
      <c r="Q3378" s="276"/>
      <c r="R3378" s="67"/>
      <c r="S3378" s="116"/>
      <c r="T3378" s="116"/>
      <c r="U3378" s="116"/>
      <c r="V3378" s="116"/>
      <c r="W3378" s="116"/>
      <c r="X3378" s="116"/>
      <c r="Y3378" s="45"/>
      <c r="Z3378" s="45"/>
      <c r="AA3378" s="45"/>
      <c r="AB3378" s="45"/>
      <c r="AC3378" s="45"/>
      <c r="AD3378" s="45"/>
      <c r="AE3378" s="45"/>
      <c r="AF3378" s="45"/>
      <c r="AG3378" s="45"/>
      <c r="AH3378" s="45"/>
      <c r="AI3378" s="45"/>
      <c r="AJ3378" s="45"/>
      <c r="AK3378" s="45"/>
      <c r="AL3378" s="45"/>
    </row>
    <row r="3379" ht="15.75" customHeight="1">
      <c r="A3379" s="27">
        <f t="shared" si="25"/>
        <v>4202</v>
      </c>
      <c r="B3379" s="63"/>
      <c r="C3379" s="275" t="s">
        <v>11774</v>
      </c>
      <c r="D3379" s="65" t="s">
        <v>11775</v>
      </c>
      <c r="E3379" s="63" t="s">
        <v>31</v>
      </c>
      <c r="F3379" s="63" t="s">
        <v>29</v>
      </c>
      <c r="G3379" s="63" t="s">
        <v>37</v>
      </c>
      <c r="H3379" s="63"/>
      <c r="I3379" s="63" t="s">
        <v>38</v>
      </c>
      <c r="J3379" s="63">
        <v>23.0</v>
      </c>
      <c r="K3379" s="63"/>
      <c r="L3379" s="63"/>
      <c r="M3379" s="63"/>
      <c r="N3379" s="63"/>
      <c r="O3379" s="63" t="s">
        <v>388</v>
      </c>
      <c r="P3379" s="63">
        <v>1.0</v>
      </c>
      <c r="Q3379" s="276"/>
      <c r="R3379" s="67"/>
      <c r="S3379" s="116"/>
      <c r="T3379" s="116"/>
      <c r="U3379" s="116"/>
      <c r="V3379" s="116"/>
      <c r="W3379" s="116"/>
      <c r="X3379" s="116"/>
      <c r="Y3379" s="45"/>
      <c r="Z3379" s="45"/>
      <c r="AA3379" s="45"/>
      <c r="AB3379" s="45"/>
      <c r="AC3379" s="45"/>
      <c r="AD3379" s="45"/>
      <c r="AE3379" s="45"/>
      <c r="AF3379" s="45"/>
      <c r="AG3379" s="45"/>
      <c r="AH3379" s="45"/>
      <c r="AI3379" s="45"/>
      <c r="AJ3379" s="45"/>
      <c r="AK3379" s="45"/>
      <c r="AL3379" s="45"/>
    </row>
    <row r="3380" ht="15.75" customHeight="1">
      <c r="A3380" s="27">
        <f t="shared" si="25"/>
        <v>4203</v>
      </c>
      <c r="B3380" s="63" t="s">
        <v>31</v>
      </c>
      <c r="C3380" s="275" t="s">
        <v>11776</v>
      </c>
      <c r="D3380" s="65" t="s">
        <v>11777</v>
      </c>
      <c r="E3380" s="63" t="s">
        <v>31</v>
      </c>
      <c r="F3380" s="63" t="s">
        <v>29</v>
      </c>
      <c r="G3380" s="63" t="s">
        <v>38</v>
      </c>
      <c r="H3380" s="63"/>
      <c r="I3380" s="63" t="s">
        <v>38</v>
      </c>
      <c r="J3380" s="63">
        <v>76.0</v>
      </c>
      <c r="K3380" s="63"/>
      <c r="L3380" s="63" t="s">
        <v>619</v>
      </c>
      <c r="M3380" s="63" t="s">
        <v>54</v>
      </c>
      <c r="N3380" s="63">
        <v>1961.0</v>
      </c>
      <c r="O3380" s="63" t="s">
        <v>388</v>
      </c>
      <c r="P3380" s="63">
        <v>1.0</v>
      </c>
      <c r="Q3380" s="276"/>
      <c r="R3380" s="67"/>
      <c r="S3380" s="34"/>
      <c r="T3380" s="34"/>
      <c r="U3380" s="34"/>
      <c r="V3380" s="34"/>
      <c r="W3380" s="34"/>
      <c r="X3380" s="34"/>
      <c r="Y3380" s="45"/>
      <c r="Z3380" s="45"/>
      <c r="AA3380" s="45"/>
      <c r="AB3380" s="45"/>
      <c r="AC3380" s="45"/>
      <c r="AD3380" s="45"/>
      <c r="AE3380" s="45"/>
      <c r="AF3380" s="45"/>
      <c r="AG3380" s="45"/>
      <c r="AH3380" s="45"/>
      <c r="AI3380" s="45"/>
      <c r="AJ3380" s="45"/>
      <c r="AK3380" s="45"/>
      <c r="AL3380" s="45"/>
    </row>
    <row r="3381" ht="15.75" customHeight="1">
      <c r="A3381" s="27">
        <f t="shared" si="25"/>
        <v>4204</v>
      </c>
      <c r="B3381" s="63" t="s">
        <v>31</v>
      </c>
      <c r="C3381" s="275" t="s">
        <v>11778</v>
      </c>
      <c r="D3381" s="65" t="s">
        <v>11779</v>
      </c>
      <c r="E3381" s="63" t="s">
        <v>31</v>
      </c>
      <c r="F3381" s="63" t="s">
        <v>29</v>
      </c>
      <c r="G3381" s="63" t="s">
        <v>5737</v>
      </c>
      <c r="H3381" s="63"/>
      <c r="I3381" s="63" t="s">
        <v>38</v>
      </c>
      <c r="J3381" s="63">
        <v>143.0</v>
      </c>
      <c r="K3381" s="63"/>
      <c r="L3381" s="63" t="s">
        <v>5853</v>
      </c>
      <c r="M3381" s="63" t="s">
        <v>5373</v>
      </c>
      <c r="N3381" s="63">
        <v>1984.0</v>
      </c>
      <c r="O3381" s="63" t="s">
        <v>388</v>
      </c>
      <c r="P3381" s="63">
        <v>1.0</v>
      </c>
      <c r="Q3381" s="276"/>
      <c r="R3381" s="67"/>
      <c r="S3381" s="34"/>
      <c r="T3381" s="34"/>
      <c r="U3381" s="34"/>
      <c r="V3381" s="34"/>
      <c r="W3381" s="34"/>
      <c r="X3381" s="34"/>
      <c r="Y3381" s="45"/>
      <c r="Z3381" s="45"/>
      <c r="AA3381" s="45"/>
      <c r="AB3381" s="45"/>
      <c r="AC3381" s="45"/>
      <c r="AD3381" s="45"/>
      <c r="AE3381" s="45"/>
      <c r="AF3381" s="45"/>
      <c r="AG3381" s="45"/>
      <c r="AH3381" s="45"/>
      <c r="AI3381" s="45"/>
      <c r="AJ3381" s="45"/>
      <c r="AK3381" s="45"/>
      <c r="AL3381" s="45"/>
    </row>
    <row r="3382" ht="15.75" customHeight="1">
      <c r="A3382" s="27">
        <f t="shared" si="25"/>
        <v>4205</v>
      </c>
      <c r="B3382" s="63" t="s">
        <v>11780</v>
      </c>
      <c r="C3382" s="275" t="s">
        <v>11781</v>
      </c>
      <c r="D3382" s="65" t="s">
        <v>11782</v>
      </c>
      <c r="E3382" s="63" t="s">
        <v>31</v>
      </c>
      <c r="F3382" s="63" t="s">
        <v>29</v>
      </c>
      <c r="G3382" s="63" t="s">
        <v>657</v>
      </c>
      <c r="H3382" s="63"/>
      <c r="I3382" s="63" t="s">
        <v>38</v>
      </c>
      <c r="J3382" s="63">
        <v>485.0</v>
      </c>
      <c r="K3382" s="63"/>
      <c r="L3382" s="63" t="s">
        <v>11783</v>
      </c>
      <c r="M3382" s="63" t="s">
        <v>11784</v>
      </c>
      <c r="N3382" s="63">
        <v>2004.0</v>
      </c>
      <c r="O3382" s="63" t="s">
        <v>388</v>
      </c>
      <c r="P3382" s="63">
        <v>1.0</v>
      </c>
      <c r="Q3382" s="276"/>
      <c r="R3382" s="67"/>
      <c r="S3382" s="34"/>
      <c r="T3382" s="34"/>
      <c r="U3382" s="34"/>
      <c r="V3382" s="34"/>
      <c r="W3382" s="34"/>
      <c r="X3382" s="34"/>
      <c r="Y3382" s="45"/>
      <c r="Z3382" s="45"/>
      <c r="AA3382" s="45"/>
      <c r="AB3382" s="45"/>
      <c r="AC3382" s="45"/>
      <c r="AD3382" s="45"/>
      <c r="AE3382" s="45"/>
      <c r="AF3382" s="45"/>
      <c r="AG3382" s="45"/>
      <c r="AH3382" s="45"/>
      <c r="AI3382" s="45"/>
      <c r="AJ3382" s="45"/>
      <c r="AK3382" s="45"/>
      <c r="AL3382" s="45"/>
    </row>
    <row r="3383" ht="15.75" customHeight="1">
      <c r="A3383" s="27">
        <f t="shared" si="25"/>
        <v>4206</v>
      </c>
      <c r="B3383" s="63" t="s">
        <v>31</v>
      </c>
      <c r="C3383" s="275" t="s">
        <v>11785</v>
      </c>
      <c r="D3383" s="65" t="s">
        <v>11786</v>
      </c>
      <c r="E3383" s="63" t="s">
        <v>31</v>
      </c>
      <c r="F3383" s="63" t="s">
        <v>29</v>
      </c>
      <c r="G3383" s="63" t="s">
        <v>131</v>
      </c>
      <c r="H3383" s="63"/>
      <c r="I3383" s="63" t="s">
        <v>38</v>
      </c>
      <c r="J3383" s="63">
        <v>148.0</v>
      </c>
      <c r="K3383" s="63"/>
      <c r="L3383" s="63" t="s">
        <v>619</v>
      </c>
      <c r="M3383" s="63" t="s">
        <v>54</v>
      </c>
      <c r="N3383" s="63">
        <v>1961.0</v>
      </c>
      <c r="O3383" s="63" t="s">
        <v>388</v>
      </c>
      <c r="P3383" s="63">
        <v>1.0</v>
      </c>
      <c r="Q3383" s="276"/>
      <c r="R3383" s="67"/>
      <c r="S3383" s="34"/>
      <c r="T3383" s="34"/>
      <c r="U3383" s="34"/>
      <c r="V3383" s="34"/>
      <c r="W3383" s="34"/>
      <c r="X3383" s="34"/>
      <c r="Y3383" s="45"/>
      <c r="Z3383" s="45"/>
      <c r="AA3383" s="45"/>
      <c r="AB3383" s="45"/>
      <c r="AC3383" s="45"/>
      <c r="AD3383" s="45"/>
      <c r="AE3383" s="45"/>
      <c r="AF3383" s="45"/>
      <c r="AG3383" s="45"/>
      <c r="AH3383" s="45"/>
      <c r="AI3383" s="45"/>
      <c r="AJ3383" s="45"/>
      <c r="AK3383" s="45"/>
      <c r="AL3383" s="45"/>
    </row>
    <row r="3384" ht="15.75" customHeight="1">
      <c r="A3384" s="27">
        <f t="shared" si="25"/>
        <v>4207</v>
      </c>
      <c r="B3384" s="63" t="s">
        <v>11787</v>
      </c>
      <c r="C3384" s="275" t="s">
        <v>11788</v>
      </c>
      <c r="D3384" s="65" t="s">
        <v>11789</v>
      </c>
      <c r="E3384" s="63" t="s">
        <v>31</v>
      </c>
      <c r="F3384" s="63" t="s">
        <v>29</v>
      </c>
      <c r="G3384" s="63" t="s">
        <v>127</v>
      </c>
      <c r="H3384" s="63"/>
      <c r="I3384" s="63" t="s">
        <v>38</v>
      </c>
      <c r="J3384" s="63">
        <v>140.0</v>
      </c>
      <c r="K3384" s="63"/>
      <c r="L3384" s="63" t="s">
        <v>11790</v>
      </c>
      <c r="M3384" s="63" t="s">
        <v>11791</v>
      </c>
      <c r="N3384" s="63">
        <v>19836.0</v>
      </c>
      <c r="O3384" s="63" t="s">
        <v>388</v>
      </c>
      <c r="P3384" s="63">
        <v>1.0</v>
      </c>
      <c r="Q3384" s="276"/>
      <c r="R3384" s="67"/>
      <c r="S3384" s="34"/>
      <c r="T3384" s="34"/>
      <c r="U3384" s="34"/>
      <c r="V3384" s="34"/>
      <c r="W3384" s="34"/>
      <c r="X3384" s="34"/>
      <c r="Y3384" s="45"/>
      <c r="Z3384" s="45"/>
      <c r="AA3384" s="45"/>
      <c r="AB3384" s="45"/>
      <c r="AC3384" s="45"/>
      <c r="AD3384" s="45"/>
      <c r="AE3384" s="45"/>
      <c r="AF3384" s="45"/>
      <c r="AG3384" s="45"/>
      <c r="AH3384" s="45"/>
      <c r="AI3384" s="45"/>
      <c r="AJ3384" s="45"/>
      <c r="AK3384" s="45"/>
      <c r="AL3384" s="45"/>
    </row>
    <row r="3385" ht="15.75" customHeight="1">
      <c r="A3385" s="27">
        <f t="shared" si="25"/>
        <v>4208</v>
      </c>
      <c r="B3385" s="63" t="s">
        <v>31</v>
      </c>
      <c r="C3385" s="275" t="s">
        <v>5851</v>
      </c>
      <c r="D3385" s="65" t="s">
        <v>11792</v>
      </c>
      <c r="E3385" s="63" t="s">
        <v>31</v>
      </c>
      <c r="F3385" s="63" t="s">
        <v>29</v>
      </c>
      <c r="G3385" s="63" t="s">
        <v>37</v>
      </c>
      <c r="H3385" s="63"/>
      <c r="I3385" s="63" t="s">
        <v>38</v>
      </c>
      <c r="J3385" s="63">
        <v>145.0</v>
      </c>
      <c r="K3385" s="63"/>
      <c r="L3385" s="63" t="s">
        <v>2387</v>
      </c>
      <c r="M3385" s="63" t="s">
        <v>6009</v>
      </c>
      <c r="N3385" s="63">
        <v>1947.0</v>
      </c>
      <c r="O3385" s="63" t="s">
        <v>388</v>
      </c>
      <c r="P3385" s="63">
        <v>1.0</v>
      </c>
      <c r="Q3385" s="276"/>
      <c r="R3385" s="67"/>
      <c r="S3385" s="34"/>
      <c r="T3385" s="34"/>
      <c r="U3385" s="34"/>
      <c r="V3385" s="34"/>
      <c r="W3385" s="34"/>
      <c r="X3385" s="34"/>
      <c r="Y3385" s="3"/>
      <c r="Z3385" s="3"/>
      <c r="AA3385" s="3"/>
      <c r="AB3385" s="3"/>
      <c r="AC3385" s="3"/>
      <c r="AD3385" s="3"/>
      <c r="AE3385" s="3"/>
      <c r="AF3385" s="3"/>
      <c r="AG3385" s="3"/>
      <c r="AH3385" s="3"/>
      <c r="AI3385" s="3"/>
      <c r="AJ3385" s="3"/>
      <c r="AK3385" s="3"/>
      <c r="AL3385" s="3"/>
    </row>
    <row r="3386" ht="15.75" customHeight="1">
      <c r="A3386" s="27">
        <f t="shared" si="25"/>
        <v>4209</v>
      </c>
      <c r="B3386" s="49"/>
      <c r="C3386" s="272" t="s">
        <v>5851</v>
      </c>
      <c r="D3386" s="55" t="s">
        <v>11793</v>
      </c>
      <c r="E3386" s="49" t="s">
        <v>31</v>
      </c>
      <c r="F3386" s="49" t="s">
        <v>29</v>
      </c>
      <c r="G3386" s="49" t="s">
        <v>37</v>
      </c>
      <c r="H3386" s="49"/>
      <c r="I3386" s="49" t="s">
        <v>38</v>
      </c>
      <c r="J3386" s="49">
        <v>197.0</v>
      </c>
      <c r="K3386" s="49"/>
      <c r="L3386" s="49" t="s">
        <v>31</v>
      </c>
      <c r="M3386" s="49" t="s">
        <v>31</v>
      </c>
      <c r="N3386" s="49">
        <v>1968.0</v>
      </c>
      <c r="O3386" s="49" t="s">
        <v>388</v>
      </c>
      <c r="P3386" s="49">
        <v>1.0</v>
      </c>
      <c r="Q3386" s="56"/>
      <c r="R3386" s="54"/>
      <c r="S3386" s="34"/>
      <c r="T3386" s="34"/>
      <c r="U3386" s="34"/>
      <c r="V3386" s="34"/>
      <c r="W3386" s="34"/>
      <c r="X3386" s="34"/>
      <c r="Y3386" s="45"/>
      <c r="Z3386" s="45"/>
      <c r="AA3386" s="45"/>
      <c r="AB3386" s="45"/>
      <c r="AC3386" s="45"/>
      <c r="AD3386" s="45"/>
      <c r="AE3386" s="45"/>
      <c r="AF3386" s="45"/>
      <c r="AG3386" s="45"/>
      <c r="AH3386" s="45"/>
      <c r="AI3386" s="45"/>
      <c r="AJ3386" s="45"/>
      <c r="AK3386" s="45"/>
      <c r="AL3386" s="45"/>
    </row>
    <row r="3387" ht="15.75" customHeight="1">
      <c r="A3387" s="27">
        <f t="shared" si="25"/>
        <v>4210</v>
      </c>
      <c r="B3387" s="49" t="s">
        <v>5841</v>
      </c>
      <c r="C3387" s="272" t="s">
        <v>5851</v>
      </c>
      <c r="D3387" s="55" t="s">
        <v>5842</v>
      </c>
      <c r="E3387" s="49" t="s">
        <v>31</v>
      </c>
      <c r="F3387" s="49" t="s">
        <v>29</v>
      </c>
      <c r="G3387" s="49" t="s">
        <v>131</v>
      </c>
      <c r="H3387" s="49"/>
      <c r="I3387" s="49" t="s">
        <v>38</v>
      </c>
      <c r="J3387" s="49">
        <v>226.0</v>
      </c>
      <c r="K3387" s="49"/>
      <c r="L3387" s="49" t="s">
        <v>5843</v>
      </c>
      <c r="M3387" s="49" t="s">
        <v>3465</v>
      </c>
      <c r="N3387" s="49">
        <v>2003.0</v>
      </c>
      <c r="O3387" s="49" t="s">
        <v>388</v>
      </c>
      <c r="P3387" s="49">
        <v>2.0</v>
      </c>
      <c r="Q3387" s="56"/>
      <c r="R3387" s="54"/>
      <c r="S3387" s="116"/>
      <c r="T3387" s="116"/>
      <c r="U3387" s="116"/>
      <c r="V3387" s="116"/>
      <c r="W3387" s="116"/>
      <c r="X3387" s="116"/>
      <c r="Y3387" s="45"/>
      <c r="Z3387" s="45"/>
      <c r="AA3387" s="45"/>
      <c r="AB3387" s="45"/>
      <c r="AC3387" s="45"/>
      <c r="AD3387" s="45"/>
      <c r="AE3387" s="45"/>
      <c r="AF3387" s="45"/>
      <c r="AG3387" s="45"/>
      <c r="AH3387" s="45"/>
      <c r="AI3387" s="45"/>
      <c r="AJ3387" s="45"/>
      <c r="AK3387" s="45"/>
      <c r="AL3387" s="45"/>
    </row>
    <row r="3388" ht="15.75" customHeight="1">
      <c r="A3388" s="27">
        <f t="shared" si="25"/>
        <v>4211</v>
      </c>
      <c r="B3388" s="158" t="s">
        <v>31</v>
      </c>
      <c r="C3388" s="204" t="s">
        <v>11794</v>
      </c>
      <c r="D3388" s="160" t="s">
        <v>11795</v>
      </c>
      <c r="E3388" s="158" t="s">
        <v>28</v>
      </c>
      <c r="F3388" s="158" t="s">
        <v>29</v>
      </c>
      <c r="G3388" s="158" t="s">
        <v>38</v>
      </c>
      <c r="H3388" s="158"/>
      <c r="I3388" s="158" t="s">
        <v>38</v>
      </c>
      <c r="J3388" s="158">
        <v>798.0</v>
      </c>
      <c r="K3388" s="158"/>
      <c r="L3388" s="158" t="s">
        <v>11796</v>
      </c>
      <c r="M3388" s="158" t="s">
        <v>54</v>
      </c>
      <c r="N3388" s="158">
        <v>1971.0</v>
      </c>
      <c r="O3388" s="158" t="s">
        <v>388</v>
      </c>
      <c r="P3388" s="158">
        <v>2.0</v>
      </c>
      <c r="Q3388" s="162">
        <v>2.0</v>
      </c>
      <c r="R3388" s="163"/>
      <c r="S3388" s="34"/>
      <c r="T3388" s="34"/>
      <c r="U3388" s="34"/>
      <c r="V3388" s="34"/>
      <c r="W3388" s="34"/>
      <c r="X3388" s="34"/>
      <c r="Y3388" s="45"/>
      <c r="Z3388" s="45"/>
      <c r="AA3388" s="45"/>
      <c r="AB3388" s="45"/>
      <c r="AC3388" s="45"/>
      <c r="AD3388" s="45"/>
      <c r="AE3388" s="45"/>
      <c r="AF3388" s="45"/>
      <c r="AG3388" s="45"/>
      <c r="AH3388" s="45"/>
      <c r="AI3388" s="45"/>
      <c r="AJ3388" s="45"/>
      <c r="AK3388" s="45"/>
      <c r="AL3388" s="45"/>
    </row>
    <row r="3389" ht="15.75" customHeight="1">
      <c r="A3389" s="27">
        <f t="shared" si="25"/>
        <v>4212</v>
      </c>
      <c r="B3389" s="49" t="s">
        <v>31</v>
      </c>
      <c r="C3389" s="272" t="s">
        <v>11797</v>
      </c>
      <c r="D3389" s="55" t="s">
        <v>11798</v>
      </c>
      <c r="E3389" s="49" t="s">
        <v>31</v>
      </c>
      <c r="F3389" s="49" t="s">
        <v>29</v>
      </c>
      <c r="G3389" s="49" t="s">
        <v>38</v>
      </c>
      <c r="H3389" s="49"/>
      <c r="I3389" s="49" t="s">
        <v>38</v>
      </c>
      <c r="J3389" s="49">
        <v>154.0</v>
      </c>
      <c r="K3389" s="49"/>
      <c r="L3389" s="49" t="s">
        <v>619</v>
      </c>
      <c r="M3389" s="49" t="s">
        <v>54</v>
      </c>
      <c r="N3389" s="49">
        <v>1968.0</v>
      </c>
      <c r="O3389" s="49" t="s">
        <v>388</v>
      </c>
      <c r="P3389" s="49">
        <v>1.0</v>
      </c>
      <c r="Q3389" s="56">
        <v>1.0</v>
      </c>
      <c r="R3389" s="54"/>
      <c r="S3389" s="34"/>
      <c r="T3389" s="34"/>
      <c r="U3389" s="34"/>
      <c r="V3389" s="34"/>
      <c r="W3389" s="34"/>
      <c r="X3389" s="34"/>
      <c r="Y3389" s="45"/>
      <c r="Z3389" s="45"/>
      <c r="AA3389" s="45"/>
      <c r="AB3389" s="45"/>
      <c r="AC3389" s="45"/>
      <c r="AD3389" s="45"/>
      <c r="AE3389" s="45"/>
      <c r="AF3389" s="45"/>
      <c r="AG3389" s="45"/>
      <c r="AH3389" s="45"/>
      <c r="AI3389" s="45"/>
      <c r="AJ3389" s="45"/>
      <c r="AK3389" s="45"/>
      <c r="AL3389" s="45"/>
    </row>
    <row r="3390" ht="15.75" customHeight="1">
      <c r="A3390" s="27">
        <f t="shared" si="25"/>
        <v>4213</v>
      </c>
      <c r="B3390" s="49" t="s">
        <v>31</v>
      </c>
      <c r="C3390" s="272" t="s">
        <v>11799</v>
      </c>
      <c r="D3390" s="55" t="s">
        <v>11800</v>
      </c>
      <c r="E3390" s="49" t="s">
        <v>31</v>
      </c>
      <c r="F3390" s="49" t="s">
        <v>29</v>
      </c>
      <c r="G3390" s="49"/>
      <c r="H3390" s="49"/>
      <c r="I3390" s="49" t="s">
        <v>38</v>
      </c>
      <c r="J3390" s="49">
        <v>252.0</v>
      </c>
      <c r="K3390" s="49"/>
      <c r="L3390" s="49" t="s">
        <v>5909</v>
      </c>
      <c r="M3390" s="49" t="s">
        <v>11801</v>
      </c>
      <c r="N3390" s="49"/>
      <c r="O3390" s="49" t="s">
        <v>388</v>
      </c>
      <c r="P3390" s="49">
        <v>1.0</v>
      </c>
      <c r="Q3390" s="56"/>
      <c r="R3390" s="54"/>
      <c r="S3390" s="34"/>
      <c r="T3390" s="34"/>
      <c r="U3390" s="34"/>
      <c r="V3390" s="34"/>
      <c r="W3390" s="34"/>
      <c r="X3390" s="34"/>
      <c r="Y3390" s="45"/>
      <c r="Z3390" s="45"/>
      <c r="AA3390" s="45"/>
      <c r="AB3390" s="45"/>
      <c r="AC3390" s="45"/>
      <c r="AD3390" s="45"/>
      <c r="AE3390" s="45"/>
      <c r="AF3390" s="45"/>
      <c r="AG3390" s="45"/>
      <c r="AH3390" s="45"/>
      <c r="AI3390" s="45"/>
      <c r="AJ3390" s="45"/>
      <c r="AK3390" s="45"/>
      <c r="AL3390" s="45"/>
    </row>
    <row r="3391" ht="15.75" customHeight="1">
      <c r="A3391" s="27">
        <f t="shared" si="25"/>
        <v>4214</v>
      </c>
      <c r="B3391" s="49"/>
      <c r="C3391" s="272" t="s">
        <v>11802</v>
      </c>
      <c r="D3391" s="55" t="s">
        <v>11803</v>
      </c>
      <c r="E3391" s="49" t="s">
        <v>144</v>
      </c>
      <c r="F3391" s="49" t="s">
        <v>29</v>
      </c>
      <c r="G3391" s="49" t="s">
        <v>37</v>
      </c>
      <c r="H3391" s="49"/>
      <c r="I3391" s="49" t="s">
        <v>38</v>
      </c>
      <c r="J3391" s="49">
        <v>258.0</v>
      </c>
      <c r="K3391" s="49"/>
      <c r="L3391" s="49" t="s">
        <v>4222</v>
      </c>
      <c r="M3391" s="49" t="s">
        <v>54</v>
      </c>
      <c r="N3391" s="49">
        <v>1969.0</v>
      </c>
      <c r="O3391" s="49" t="s">
        <v>388</v>
      </c>
      <c r="P3391" s="49">
        <v>3.0</v>
      </c>
      <c r="Q3391" s="56"/>
      <c r="R3391" s="54"/>
      <c r="S3391" s="34"/>
      <c r="T3391" s="34"/>
      <c r="U3391" s="34"/>
      <c r="V3391" s="34"/>
      <c r="W3391" s="34"/>
      <c r="X3391" s="34"/>
      <c r="Y3391" s="45"/>
      <c r="Z3391" s="45"/>
      <c r="AA3391" s="45"/>
      <c r="AB3391" s="45"/>
      <c r="AC3391" s="45"/>
      <c r="AD3391" s="45"/>
      <c r="AE3391" s="45"/>
      <c r="AF3391" s="45"/>
      <c r="AG3391" s="45"/>
      <c r="AH3391" s="45"/>
      <c r="AI3391" s="45"/>
      <c r="AJ3391" s="45"/>
      <c r="AK3391" s="45"/>
      <c r="AL3391" s="45"/>
    </row>
    <row r="3392" ht="15.75" customHeight="1">
      <c r="A3392" s="27">
        <f t="shared" si="25"/>
        <v>4215</v>
      </c>
      <c r="B3392" s="49" t="s">
        <v>11804</v>
      </c>
      <c r="C3392" s="272" t="s">
        <v>11805</v>
      </c>
      <c r="D3392" s="55" t="s">
        <v>11806</v>
      </c>
      <c r="E3392" s="49" t="s">
        <v>2377</v>
      </c>
      <c r="F3392" s="49" t="s">
        <v>29</v>
      </c>
      <c r="G3392" s="49" t="s">
        <v>37</v>
      </c>
      <c r="H3392" s="49"/>
      <c r="I3392" s="49" t="s">
        <v>38</v>
      </c>
      <c r="J3392" s="52">
        <v>301.0</v>
      </c>
      <c r="K3392" s="49"/>
      <c r="L3392" s="49" t="s">
        <v>11807</v>
      </c>
      <c r="M3392" s="49" t="s">
        <v>365</v>
      </c>
      <c r="N3392" s="49">
        <v>1987.0</v>
      </c>
      <c r="O3392" s="49" t="s">
        <v>388</v>
      </c>
      <c r="P3392" s="49">
        <v>1.0</v>
      </c>
      <c r="Q3392" s="56"/>
      <c r="R3392" s="54"/>
      <c r="S3392" s="34"/>
      <c r="T3392" s="34"/>
      <c r="U3392" s="34"/>
      <c r="V3392" s="34"/>
      <c r="W3392" s="34"/>
      <c r="X3392" s="34"/>
      <c r="Y3392" s="45"/>
      <c r="Z3392" s="45"/>
      <c r="AA3392" s="45"/>
      <c r="AB3392" s="45"/>
      <c r="AC3392" s="45"/>
      <c r="AD3392" s="45"/>
      <c r="AE3392" s="45"/>
      <c r="AF3392" s="45"/>
      <c r="AG3392" s="45"/>
      <c r="AH3392" s="45"/>
      <c r="AI3392" s="45"/>
      <c r="AJ3392" s="45"/>
      <c r="AK3392" s="45"/>
      <c r="AL3392" s="45"/>
    </row>
    <row r="3393" ht="15.75" customHeight="1">
      <c r="A3393" s="27">
        <f t="shared" si="25"/>
        <v>4216</v>
      </c>
      <c r="B3393" s="63" t="s">
        <v>11808</v>
      </c>
      <c r="C3393" s="64" t="s">
        <v>11809</v>
      </c>
      <c r="D3393" s="65" t="s">
        <v>11810</v>
      </c>
      <c r="E3393" s="63" t="s">
        <v>31</v>
      </c>
      <c r="F3393" s="63" t="s">
        <v>29</v>
      </c>
      <c r="G3393" s="63" t="s">
        <v>30</v>
      </c>
      <c r="H3393" s="63"/>
      <c r="I3393" s="63" t="s">
        <v>30</v>
      </c>
      <c r="J3393" s="63">
        <v>1160.0</v>
      </c>
      <c r="K3393" s="63"/>
      <c r="L3393" s="63" t="s">
        <v>11811</v>
      </c>
      <c r="M3393" s="63" t="s">
        <v>2698</v>
      </c>
      <c r="N3393" s="63">
        <v>2009.0</v>
      </c>
      <c r="O3393" s="63" t="s">
        <v>388</v>
      </c>
      <c r="P3393" s="63">
        <v>1.0</v>
      </c>
      <c r="Q3393" s="66">
        <v>1.0</v>
      </c>
      <c r="R3393" s="67"/>
      <c r="S3393" s="34"/>
      <c r="T3393" s="34"/>
      <c r="U3393" s="34"/>
      <c r="V3393" s="34"/>
      <c r="W3393" s="34"/>
      <c r="X3393" s="34"/>
      <c r="Y3393" s="45"/>
      <c r="Z3393" s="45"/>
      <c r="AA3393" s="45"/>
      <c r="AB3393" s="45"/>
      <c r="AC3393" s="45"/>
      <c r="AD3393" s="45"/>
      <c r="AE3393" s="45"/>
      <c r="AF3393" s="45"/>
      <c r="AG3393" s="45"/>
      <c r="AH3393" s="45"/>
      <c r="AI3393" s="45"/>
      <c r="AJ3393" s="45"/>
      <c r="AK3393" s="45"/>
      <c r="AL3393" s="45"/>
    </row>
    <row r="3394" ht="15.75" customHeight="1">
      <c r="A3394" s="27">
        <f t="shared" si="25"/>
        <v>4217</v>
      </c>
      <c r="B3394" s="49"/>
      <c r="C3394" s="272" t="s">
        <v>11812</v>
      </c>
      <c r="D3394" s="55" t="s">
        <v>11813</v>
      </c>
      <c r="E3394" s="49" t="s">
        <v>31</v>
      </c>
      <c r="F3394" s="49" t="s">
        <v>29</v>
      </c>
      <c r="G3394" s="49" t="s">
        <v>30</v>
      </c>
      <c r="H3394" s="49"/>
      <c r="I3394" s="49" t="s">
        <v>30</v>
      </c>
      <c r="J3394" s="49">
        <v>82.0</v>
      </c>
      <c r="K3394" s="49"/>
      <c r="L3394" s="49" t="s">
        <v>6092</v>
      </c>
      <c r="M3394" s="49" t="s">
        <v>114</v>
      </c>
      <c r="N3394" s="49">
        <v>1977.0</v>
      </c>
      <c r="O3394" s="49" t="s">
        <v>388</v>
      </c>
      <c r="P3394" s="49">
        <v>1.0</v>
      </c>
      <c r="Q3394" s="56"/>
      <c r="R3394" s="54"/>
      <c r="S3394" s="34"/>
      <c r="T3394" s="34"/>
      <c r="U3394" s="34"/>
      <c r="V3394" s="34"/>
      <c r="W3394" s="34"/>
      <c r="X3394" s="34"/>
      <c r="Y3394" s="45"/>
      <c r="Z3394" s="45"/>
      <c r="AA3394" s="45"/>
      <c r="AB3394" s="45"/>
      <c r="AC3394" s="45"/>
      <c r="AD3394" s="45"/>
      <c r="AE3394" s="45"/>
      <c r="AF3394" s="45"/>
      <c r="AG3394" s="45"/>
      <c r="AH3394" s="45"/>
      <c r="AI3394" s="45"/>
      <c r="AJ3394" s="45"/>
      <c r="AK3394" s="45"/>
      <c r="AL3394" s="45"/>
    </row>
    <row r="3395" ht="15.75" customHeight="1">
      <c r="A3395" s="27">
        <f t="shared" si="25"/>
        <v>4218</v>
      </c>
      <c r="B3395" s="49" t="s">
        <v>31</v>
      </c>
      <c r="C3395" s="272" t="s">
        <v>11814</v>
      </c>
      <c r="D3395" s="55" t="s">
        <v>11815</v>
      </c>
      <c r="E3395" s="49"/>
      <c r="F3395" s="49" t="s">
        <v>29</v>
      </c>
      <c r="G3395" s="49" t="s">
        <v>30</v>
      </c>
      <c r="H3395" s="49"/>
      <c r="I3395" s="49" t="s">
        <v>30</v>
      </c>
      <c r="J3395" s="49">
        <v>109.0</v>
      </c>
      <c r="K3395" s="49"/>
      <c r="L3395" s="49" t="s">
        <v>6092</v>
      </c>
      <c r="M3395" s="49" t="s">
        <v>11816</v>
      </c>
      <c r="N3395" s="49">
        <v>1977.0</v>
      </c>
      <c r="O3395" s="49" t="s">
        <v>388</v>
      </c>
      <c r="P3395" s="49">
        <v>1.0</v>
      </c>
      <c r="Q3395" s="56"/>
      <c r="R3395" s="54"/>
      <c r="S3395" s="34"/>
      <c r="T3395" s="34"/>
      <c r="U3395" s="34"/>
      <c r="V3395" s="34"/>
      <c r="W3395" s="34"/>
      <c r="X3395" s="34"/>
      <c r="Y3395" s="3"/>
      <c r="Z3395" s="3"/>
      <c r="AA3395" s="3"/>
      <c r="AB3395" s="3"/>
      <c r="AC3395" s="3"/>
      <c r="AD3395" s="3"/>
      <c r="AE3395" s="3"/>
      <c r="AF3395" s="3"/>
      <c r="AG3395" s="3"/>
      <c r="AH3395" s="3"/>
      <c r="AI3395" s="3"/>
      <c r="AJ3395" s="3"/>
      <c r="AK3395" s="3"/>
      <c r="AL3395" s="3"/>
    </row>
    <row r="3396" ht="15.75" customHeight="1">
      <c r="A3396" s="27">
        <f t="shared" si="25"/>
        <v>4219</v>
      </c>
      <c r="B3396" s="49"/>
      <c r="C3396" s="272" t="s">
        <v>11817</v>
      </c>
      <c r="D3396" s="55" t="s">
        <v>11818</v>
      </c>
      <c r="E3396" s="49" t="s">
        <v>31</v>
      </c>
      <c r="F3396" s="49" t="s">
        <v>29</v>
      </c>
      <c r="G3396" s="49" t="s">
        <v>37</v>
      </c>
      <c r="H3396" s="49"/>
      <c r="I3396" s="49" t="s">
        <v>38</v>
      </c>
      <c r="J3396" s="52" t="s">
        <v>0</v>
      </c>
      <c r="K3396" s="49"/>
      <c r="L3396" s="49" t="s">
        <v>11819</v>
      </c>
      <c r="M3396" s="49" t="s">
        <v>6391</v>
      </c>
      <c r="N3396" s="49">
        <v>1967.0</v>
      </c>
      <c r="O3396" s="49" t="s">
        <v>388</v>
      </c>
      <c r="P3396" s="49">
        <v>1.0</v>
      </c>
      <c r="Q3396" s="56"/>
      <c r="R3396" s="54"/>
      <c r="S3396" s="34"/>
      <c r="T3396" s="34"/>
      <c r="U3396" s="34"/>
      <c r="V3396" s="34"/>
      <c r="W3396" s="34"/>
      <c r="X3396" s="34"/>
      <c r="Y3396" s="3"/>
      <c r="Z3396" s="3"/>
      <c r="AA3396" s="3"/>
      <c r="AB3396" s="3"/>
      <c r="AC3396" s="3"/>
      <c r="AD3396" s="3"/>
      <c r="AE3396" s="3"/>
      <c r="AF3396" s="3"/>
      <c r="AG3396" s="3"/>
      <c r="AH3396" s="3"/>
      <c r="AI3396" s="3"/>
      <c r="AJ3396" s="3"/>
      <c r="AK3396" s="3"/>
      <c r="AL3396" s="3"/>
    </row>
    <row r="3397" ht="15.75" customHeight="1">
      <c r="A3397" s="27">
        <f t="shared" si="25"/>
        <v>4220</v>
      </c>
      <c r="B3397" s="49" t="s">
        <v>11820</v>
      </c>
      <c r="C3397" s="272" t="s">
        <v>11821</v>
      </c>
      <c r="D3397" s="55" t="s">
        <v>11822</v>
      </c>
      <c r="E3397" s="49" t="s">
        <v>31</v>
      </c>
      <c r="F3397" s="49" t="s">
        <v>29</v>
      </c>
      <c r="G3397" s="49" t="s">
        <v>37</v>
      </c>
      <c r="H3397" s="49"/>
      <c r="I3397" s="49" t="s">
        <v>4554</v>
      </c>
      <c r="J3397" s="49">
        <v>781.0</v>
      </c>
      <c r="K3397" s="49"/>
      <c r="L3397" s="49" t="s">
        <v>11823</v>
      </c>
      <c r="M3397" s="49" t="s">
        <v>2903</v>
      </c>
      <c r="N3397" s="49">
        <v>2011.0</v>
      </c>
      <c r="O3397" s="49" t="s">
        <v>388</v>
      </c>
      <c r="P3397" s="49">
        <v>1.0</v>
      </c>
      <c r="Q3397" s="56">
        <v>1.0</v>
      </c>
      <c r="R3397" s="54"/>
      <c r="S3397" s="34"/>
      <c r="T3397" s="34"/>
      <c r="U3397" s="34"/>
      <c r="V3397" s="34"/>
      <c r="W3397" s="34"/>
      <c r="X3397" s="34"/>
      <c r="Y3397" s="45"/>
      <c r="Z3397" s="45"/>
      <c r="AA3397" s="45"/>
      <c r="AB3397" s="45"/>
      <c r="AC3397" s="45"/>
      <c r="AD3397" s="45"/>
      <c r="AE3397" s="45"/>
      <c r="AF3397" s="45"/>
      <c r="AG3397" s="45"/>
      <c r="AH3397" s="45"/>
      <c r="AI3397" s="45"/>
      <c r="AJ3397" s="45"/>
      <c r="AK3397" s="45"/>
      <c r="AL3397" s="45"/>
    </row>
    <row r="3398" ht="15.75" customHeight="1">
      <c r="A3398" s="27">
        <f t="shared" si="25"/>
        <v>4221</v>
      </c>
      <c r="B3398" s="49" t="s">
        <v>11824</v>
      </c>
      <c r="C3398" s="272" t="s">
        <v>11825</v>
      </c>
      <c r="D3398" s="55" t="s">
        <v>11826</v>
      </c>
      <c r="E3398" s="49" t="s">
        <v>144</v>
      </c>
      <c r="F3398" s="49" t="s">
        <v>29</v>
      </c>
      <c r="G3398" s="49"/>
      <c r="H3398" s="49" t="s">
        <v>31</v>
      </c>
      <c r="I3398" s="49" t="s">
        <v>38</v>
      </c>
      <c r="J3398" s="277">
        <v>900.0</v>
      </c>
      <c r="K3398" s="278"/>
      <c r="L3398" s="49" t="s">
        <v>11827</v>
      </c>
      <c r="M3398" s="49" t="s">
        <v>11828</v>
      </c>
      <c r="N3398" s="49">
        <v>2000.0</v>
      </c>
      <c r="O3398" s="49" t="s">
        <v>388</v>
      </c>
      <c r="P3398" s="49">
        <v>1.0</v>
      </c>
      <c r="Q3398" s="56">
        <v>1.0</v>
      </c>
      <c r="R3398" s="54"/>
      <c r="S3398" s="34"/>
      <c r="T3398" s="34"/>
      <c r="U3398" s="34"/>
      <c r="V3398" s="34"/>
      <c r="W3398" s="34"/>
      <c r="X3398" s="34"/>
      <c r="Y3398" s="45"/>
      <c r="Z3398" s="45"/>
      <c r="AA3398" s="45"/>
      <c r="AB3398" s="45"/>
      <c r="AC3398" s="45"/>
      <c r="AD3398" s="45"/>
      <c r="AE3398" s="45"/>
      <c r="AF3398" s="45"/>
      <c r="AG3398" s="45"/>
      <c r="AH3398" s="45"/>
      <c r="AI3398" s="45"/>
      <c r="AJ3398" s="45"/>
      <c r="AK3398" s="45"/>
      <c r="AL3398" s="45"/>
    </row>
    <row r="3399" ht="15.75" customHeight="1">
      <c r="A3399" s="27">
        <f t="shared" si="25"/>
        <v>4222</v>
      </c>
      <c r="B3399" s="49"/>
      <c r="C3399" s="272" t="s">
        <v>11825</v>
      </c>
      <c r="D3399" s="55" t="s">
        <v>11829</v>
      </c>
      <c r="E3399" s="49" t="s">
        <v>144</v>
      </c>
      <c r="F3399" s="49" t="s">
        <v>29</v>
      </c>
      <c r="G3399" s="49"/>
      <c r="H3399" s="49"/>
      <c r="I3399" s="49" t="s">
        <v>38</v>
      </c>
      <c r="J3399" s="277">
        <v>1221.0</v>
      </c>
      <c r="K3399" s="278"/>
      <c r="L3399" s="49" t="s">
        <v>11827</v>
      </c>
      <c r="M3399" s="49" t="s">
        <v>11828</v>
      </c>
      <c r="N3399" s="49">
        <v>1998.0</v>
      </c>
      <c r="O3399" s="49" t="s">
        <v>388</v>
      </c>
      <c r="P3399" s="49">
        <v>1.0</v>
      </c>
      <c r="Q3399" s="56">
        <v>1.0</v>
      </c>
      <c r="R3399" s="54"/>
      <c r="S3399" s="34"/>
      <c r="T3399" s="34"/>
      <c r="U3399" s="34"/>
      <c r="V3399" s="34"/>
      <c r="W3399" s="34"/>
      <c r="X3399" s="34"/>
      <c r="Y3399" s="45"/>
      <c r="Z3399" s="45"/>
      <c r="AA3399" s="45"/>
      <c r="AB3399" s="45"/>
      <c r="AC3399" s="45"/>
      <c r="AD3399" s="45"/>
      <c r="AE3399" s="45"/>
      <c r="AF3399" s="45"/>
      <c r="AG3399" s="45"/>
      <c r="AH3399" s="45"/>
      <c r="AI3399" s="45"/>
      <c r="AJ3399" s="45"/>
      <c r="AK3399" s="45"/>
      <c r="AL3399" s="45"/>
    </row>
    <row r="3400" ht="15.75" customHeight="1">
      <c r="A3400" s="27">
        <f t="shared" si="25"/>
        <v>4223</v>
      </c>
      <c r="B3400" s="49" t="s">
        <v>31</v>
      </c>
      <c r="C3400" s="272" t="s">
        <v>11830</v>
      </c>
      <c r="D3400" s="55" t="s">
        <v>11831</v>
      </c>
      <c r="E3400" s="49" t="s">
        <v>92</v>
      </c>
      <c r="F3400" s="49" t="s">
        <v>29</v>
      </c>
      <c r="G3400" s="49" t="s">
        <v>37</v>
      </c>
      <c r="H3400" s="49"/>
      <c r="I3400" s="49" t="s">
        <v>38</v>
      </c>
      <c r="J3400" s="49">
        <v>999.0</v>
      </c>
      <c r="K3400" s="49"/>
      <c r="L3400" s="49" t="s">
        <v>11832</v>
      </c>
      <c r="M3400" s="49" t="s">
        <v>524</v>
      </c>
      <c r="N3400" s="49">
        <v>1976.0</v>
      </c>
      <c r="O3400" s="49" t="s">
        <v>388</v>
      </c>
      <c r="P3400" s="49">
        <v>1.0</v>
      </c>
      <c r="Q3400" s="56"/>
      <c r="R3400" s="54"/>
      <c r="S3400" s="34"/>
      <c r="T3400" s="34"/>
      <c r="U3400" s="34"/>
      <c r="V3400" s="34"/>
      <c r="W3400" s="34"/>
      <c r="X3400" s="34"/>
      <c r="Y3400" s="3"/>
      <c r="Z3400" s="3"/>
      <c r="AA3400" s="3"/>
      <c r="AB3400" s="3"/>
      <c r="AC3400" s="3"/>
      <c r="AD3400" s="3"/>
      <c r="AE3400" s="3"/>
      <c r="AF3400" s="3"/>
      <c r="AG3400" s="3"/>
      <c r="AH3400" s="3"/>
      <c r="AI3400" s="3"/>
      <c r="AJ3400" s="3"/>
      <c r="AK3400" s="3"/>
      <c r="AL3400" s="3"/>
    </row>
    <row r="3401" ht="15.75" customHeight="1">
      <c r="A3401" s="27">
        <f t="shared" si="25"/>
        <v>4224</v>
      </c>
      <c r="B3401" s="49" t="s">
        <v>31</v>
      </c>
      <c r="C3401" s="272" t="s">
        <v>11833</v>
      </c>
      <c r="D3401" s="55" t="s">
        <v>11834</v>
      </c>
      <c r="E3401" s="49" t="s">
        <v>28</v>
      </c>
      <c r="F3401" s="49" t="s">
        <v>29</v>
      </c>
      <c r="G3401" s="49" t="s">
        <v>37</v>
      </c>
      <c r="H3401" s="49"/>
      <c r="I3401" s="49" t="s">
        <v>38</v>
      </c>
      <c r="J3401" s="49">
        <v>1130.0</v>
      </c>
      <c r="K3401" s="49"/>
      <c r="L3401" s="49" t="s">
        <v>11835</v>
      </c>
      <c r="M3401" s="49" t="s">
        <v>11836</v>
      </c>
      <c r="N3401" s="49">
        <v>1978.0</v>
      </c>
      <c r="O3401" s="49" t="s">
        <v>388</v>
      </c>
      <c r="P3401" s="49">
        <v>1.0</v>
      </c>
      <c r="Q3401" s="56"/>
      <c r="R3401" s="54"/>
      <c r="S3401" s="34"/>
      <c r="T3401" s="34"/>
      <c r="U3401" s="34"/>
      <c r="V3401" s="34"/>
      <c r="W3401" s="34"/>
      <c r="X3401" s="34"/>
      <c r="Y3401" s="3"/>
      <c r="Z3401" s="3"/>
      <c r="AA3401" s="3"/>
      <c r="AB3401" s="3"/>
      <c r="AC3401" s="3"/>
      <c r="AD3401" s="3"/>
      <c r="AE3401" s="3"/>
      <c r="AF3401" s="3"/>
      <c r="AG3401" s="3"/>
      <c r="AH3401" s="3"/>
      <c r="AI3401" s="3"/>
      <c r="AJ3401" s="3"/>
      <c r="AK3401" s="3"/>
      <c r="AL3401" s="3"/>
    </row>
    <row r="3402" ht="15.75" customHeight="1">
      <c r="A3402" s="27">
        <f t="shared" si="25"/>
        <v>4225</v>
      </c>
      <c r="B3402" s="49" t="s">
        <v>11837</v>
      </c>
      <c r="C3402" s="272" t="s">
        <v>11838</v>
      </c>
      <c r="D3402" s="55" t="s">
        <v>11839</v>
      </c>
      <c r="E3402" s="49" t="s">
        <v>2571</v>
      </c>
      <c r="F3402" s="49" t="s">
        <v>29</v>
      </c>
      <c r="G3402" s="49" t="s">
        <v>37</v>
      </c>
      <c r="H3402" s="49"/>
      <c r="I3402" s="49" t="s">
        <v>38</v>
      </c>
      <c r="J3402" s="49">
        <f>1118+4+58+20</f>
        <v>1200</v>
      </c>
      <c r="K3402" s="49"/>
      <c r="L3402" s="49" t="s">
        <v>11840</v>
      </c>
      <c r="M3402" s="49" t="s">
        <v>2903</v>
      </c>
      <c r="N3402" s="49">
        <v>1979.0</v>
      </c>
      <c r="O3402" s="49" t="s">
        <v>388</v>
      </c>
      <c r="P3402" s="49">
        <v>2.0</v>
      </c>
      <c r="Q3402" s="56">
        <v>2.0</v>
      </c>
      <c r="R3402" s="54"/>
      <c r="S3402" s="34"/>
      <c r="T3402" s="34"/>
      <c r="U3402" s="34"/>
      <c r="V3402" s="34"/>
      <c r="W3402" s="34"/>
      <c r="X3402" s="34"/>
      <c r="Y3402" s="3"/>
      <c r="Z3402" s="3"/>
      <c r="AA3402" s="3"/>
      <c r="AB3402" s="3"/>
      <c r="AC3402" s="3"/>
      <c r="AD3402" s="3"/>
      <c r="AE3402" s="3"/>
      <c r="AF3402" s="3"/>
      <c r="AG3402" s="3"/>
      <c r="AH3402" s="3"/>
      <c r="AI3402" s="3"/>
      <c r="AJ3402" s="3"/>
      <c r="AK3402" s="3"/>
      <c r="AL3402" s="3"/>
    </row>
    <row r="3403" ht="15.75" customHeight="1">
      <c r="A3403" s="27">
        <f t="shared" si="25"/>
        <v>4226</v>
      </c>
      <c r="B3403" s="49" t="s">
        <v>31</v>
      </c>
      <c r="C3403" s="272" t="s">
        <v>11841</v>
      </c>
      <c r="D3403" s="55" t="s">
        <v>11842</v>
      </c>
      <c r="E3403" s="49" t="s">
        <v>31</v>
      </c>
      <c r="F3403" s="49" t="s">
        <v>29</v>
      </c>
      <c r="G3403" s="49" t="s">
        <v>30</v>
      </c>
      <c r="H3403" s="49"/>
      <c r="I3403" s="49" t="s">
        <v>38</v>
      </c>
      <c r="J3403" s="49" t="s">
        <v>31</v>
      </c>
      <c r="K3403" s="49"/>
      <c r="L3403" s="49" t="s">
        <v>11843</v>
      </c>
      <c r="M3403" s="49" t="s">
        <v>11844</v>
      </c>
      <c r="N3403" s="49">
        <v>2007.0</v>
      </c>
      <c r="O3403" s="49" t="s">
        <v>388</v>
      </c>
      <c r="P3403" s="49">
        <v>1.0</v>
      </c>
      <c r="Q3403" s="56"/>
      <c r="R3403" s="54"/>
      <c r="S3403" s="34"/>
      <c r="T3403" s="34"/>
      <c r="U3403" s="34"/>
      <c r="V3403" s="34"/>
      <c r="W3403" s="34"/>
      <c r="X3403" s="34"/>
      <c r="Y3403" s="3"/>
      <c r="Z3403" s="3"/>
      <c r="AA3403" s="3"/>
      <c r="AB3403" s="3"/>
      <c r="AC3403" s="3"/>
      <c r="AD3403" s="3"/>
      <c r="AE3403" s="3"/>
      <c r="AF3403" s="3"/>
      <c r="AG3403" s="3"/>
      <c r="AH3403" s="3"/>
      <c r="AI3403" s="3"/>
      <c r="AJ3403" s="3"/>
      <c r="AK3403" s="3"/>
      <c r="AL3403" s="3"/>
    </row>
    <row r="3404" ht="15.75" customHeight="1">
      <c r="A3404" s="27">
        <f t="shared" si="25"/>
        <v>4227</v>
      </c>
      <c r="B3404" s="49" t="s">
        <v>11845</v>
      </c>
      <c r="C3404" s="272" t="s">
        <v>11846</v>
      </c>
      <c r="D3404" s="55" t="s">
        <v>11847</v>
      </c>
      <c r="E3404" s="49" t="s">
        <v>31</v>
      </c>
      <c r="F3404" s="49" t="s">
        <v>29</v>
      </c>
      <c r="G3404" s="49" t="s">
        <v>30</v>
      </c>
      <c r="H3404" s="49"/>
      <c r="I3404" s="49" t="s">
        <v>30</v>
      </c>
      <c r="J3404" s="49">
        <v>97.0</v>
      </c>
      <c r="K3404" s="49"/>
      <c r="L3404" s="49" t="s">
        <v>11848</v>
      </c>
      <c r="M3404" s="49" t="s">
        <v>151</v>
      </c>
      <c r="N3404" s="49">
        <v>2007.0</v>
      </c>
      <c r="O3404" s="49" t="s">
        <v>388</v>
      </c>
      <c r="P3404" s="49">
        <v>1.0</v>
      </c>
      <c r="Q3404" s="56"/>
      <c r="R3404" s="54"/>
      <c r="S3404" s="34"/>
      <c r="T3404" s="34"/>
      <c r="U3404" s="34"/>
      <c r="V3404" s="34"/>
      <c r="W3404" s="34"/>
      <c r="X3404" s="34"/>
      <c r="Y3404" s="3"/>
      <c r="Z3404" s="3"/>
      <c r="AA3404" s="3"/>
      <c r="AB3404" s="3"/>
      <c r="AC3404" s="3"/>
      <c r="AD3404" s="3"/>
      <c r="AE3404" s="3"/>
      <c r="AF3404" s="3"/>
      <c r="AG3404" s="3"/>
      <c r="AH3404" s="3"/>
      <c r="AI3404" s="3"/>
      <c r="AJ3404" s="3"/>
      <c r="AK3404" s="3"/>
      <c r="AL3404" s="3"/>
    </row>
    <row r="3405" ht="15.75" customHeight="1">
      <c r="A3405" s="27">
        <f t="shared" si="25"/>
        <v>4228</v>
      </c>
      <c r="B3405" s="49" t="s">
        <v>6586</v>
      </c>
      <c r="C3405" s="272" t="s">
        <v>11849</v>
      </c>
      <c r="D3405" s="55" t="s">
        <v>11850</v>
      </c>
      <c r="E3405" s="49" t="s">
        <v>31</v>
      </c>
      <c r="F3405" s="49" t="s">
        <v>29</v>
      </c>
      <c r="G3405" s="49" t="s">
        <v>38</v>
      </c>
      <c r="H3405" s="49"/>
      <c r="I3405" s="49" t="s">
        <v>38</v>
      </c>
      <c r="J3405" s="49">
        <v>251.0</v>
      </c>
      <c r="K3405" s="49"/>
      <c r="L3405" s="49" t="s">
        <v>6589</v>
      </c>
      <c r="M3405" s="49" t="s">
        <v>6590</v>
      </c>
      <c r="N3405" s="49">
        <v>1976.0</v>
      </c>
      <c r="O3405" s="49" t="s">
        <v>388</v>
      </c>
      <c r="P3405" s="49">
        <v>1.0</v>
      </c>
      <c r="Q3405" s="56"/>
      <c r="R3405" s="54"/>
      <c r="S3405" s="116"/>
      <c r="T3405" s="116"/>
      <c r="U3405" s="116"/>
      <c r="V3405" s="116"/>
      <c r="W3405" s="116"/>
      <c r="X3405" s="116"/>
      <c r="Y3405" s="3"/>
      <c r="Z3405" s="3"/>
      <c r="AA3405" s="3"/>
      <c r="AB3405" s="3"/>
      <c r="AC3405" s="3"/>
      <c r="AD3405" s="3"/>
      <c r="AE3405" s="3"/>
      <c r="AF3405" s="3"/>
      <c r="AG3405" s="3"/>
      <c r="AH3405" s="3"/>
      <c r="AI3405" s="3"/>
      <c r="AJ3405" s="3"/>
      <c r="AK3405" s="3"/>
      <c r="AL3405" s="3"/>
    </row>
    <row r="3406" ht="15.75" customHeight="1">
      <c r="A3406" s="27">
        <f t="shared" si="25"/>
        <v>4229</v>
      </c>
      <c r="B3406" s="63"/>
      <c r="C3406" s="275" t="s">
        <v>11851</v>
      </c>
      <c r="D3406" s="65" t="s">
        <v>11852</v>
      </c>
      <c r="E3406" s="63" t="s">
        <v>31</v>
      </c>
      <c r="F3406" s="63" t="s">
        <v>29</v>
      </c>
      <c r="G3406" s="63" t="s">
        <v>38</v>
      </c>
      <c r="H3406" s="63"/>
      <c r="I3406" s="63" t="s">
        <v>30</v>
      </c>
      <c r="J3406" s="63"/>
      <c r="K3406" s="63"/>
      <c r="L3406" s="63" t="s">
        <v>31</v>
      </c>
      <c r="M3406" s="63" t="s">
        <v>6127</v>
      </c>
      <c r="N3406" s="63">
        <v>1989.0</v>
      </c>
      <c r="O3406" s="63" t="s">
        <v>388</v>
      </c>
      <c r="P3406" s="63">
        <v>1.0</v>
      </c>
      <c r="Q3406" s="276"/>
      <c r="R3406" s="67"/>
      <c r="S3406" s="116"/>
      <c r="T3406" s="116"/>
      <c r="U3406" s="116"/>
      <c r="V3406" s="116"/>
      <c r="W3406" s="116"/>
      <c r="X3406" s="116"/>
      <c r="Y3406" s="3"/>
      <c r="Z3406" s="3"/>
      <c r="AA3406" s="3"/>
      <c r="AB3406" s="3"/>
      <c r="AC3406" s="3"/>
      <c r="AD3406" s="3"/>
      <c r="AE3406" s="3"/>
      <c r="AF3406" s="3"/>
      <c r="AG3406" s="3"/>
      <c r="AH3406" s="3"/>
      <c r="AI3406" s="3"/>
      <c r="AJ3406" s="3"/>
      <c r="AK3406" s="3"/>
      <c r="AL3406" s="3"/>
    </row>
    <row r="3407" ht="15.75" customHeight="1">
      <c r="A3407" s="27">
        <f t="shared" si="25"/>
        <v>4230</v>
      </c>
      <c r="B3407" s="49" t="s">
        <v>6370</v>
      </c>
      <c r="C3407" s="272" t="s">
        <v>6371</v>
      </c>
      <c r="D3407" s="55" t="s">
        <v>11853</v>
      </c>
      <c r="E3407" s="49" t="s">
        <v>31</v>
      </c>
      <c r="F3407" s="49" t="s">
        <v>29</v>
      </c>
      <c r="G3407" s="49" t="s">
        <v>38</v>
      </c>
      <c r="H3407" s="49"/>
      <c r="I3407" s="49" t="s">
        <v>38</v>
      </c>
      <c r="J3407" s="49">
        <v>262.0</v>
      </c>
      <c r="K3407" s="49"/>
      <c r="L3407" s="49" t="s">
        <v>11854</v>
      </c>
      <c r="M3407" s="49" t="s">
        <v>83</v>
      </c>
      <c r="N3407" s="49">
        <v>1980.0</v>
      </c>
      <c r="O3407" s="49" t="s">
        <v>388</v>
      </c>
      <c r="P3407" s="49">
        <v>1.0</v>
      </c>
      <c r="Q3407" s="56"/>
      <c r="R3407" s="54"/>
      <c r="S3407" s="116"/>
      <c r="T3407" s="116"/>
      <c r="U3407" s="116"/>
      <c r="V3407" s="116"/>
      <c r="W3407" s="116"/>
      <c r="X3407" s="116"/>
      <c r="Y3407" s="45"/>
      <c r="Z3407" s="45"/>
      <c r="AA3407" s="45"/>
      <c r="AB3407" s="45"/>
      <c r="AC3407" s="45"/>
      <c r="AD3407" s="45"/>
      <c r="AE3407" s="45"/>
      <c r="AF3407" s="45"/>
      <c r="AG3407" s="45"/>
      <c r="AH3407" s="45"/>
      <c r="AI3407" s="45"/>
      <c r="AJ3407" s="45"/>
      <c r="AK3407" s="45"/>
      <c r="AL3407" s="45"/>
    </row>
    <row r="3408" ht="15.75" customHeight="1">
      <c r="A3408" s="27">
        <f t="shared" si="25"/>
        <v>4231</v>
      </c>
      <c r="B3408" s="49"/>
      <c r="C3408" s="272" t="s">
        <v>11855</v>
      </c>
      <c r="D3408" s="55" t="s">
        <v>11856</v>
      </c>
      <c r="E3408" s="49" t="s">
        <v>31</v>
      </c>
      <c r="F3408" s="49" t="s">
        <v>29</v>
      </c>
      <c r="G3408" s="49" t="s">
        <v>2417</v>
      </c>
      <c r="H3408" s="49"/>
      <c r="I3408" s="49" t="s">
        <v>38</v>
      </c>
      <c r="J3408" s="49">
        <v>1104.0</v>
      </c>
      <c r="K3408" s="49"/>
      <c r="L3408" s="49" t="s">
        <v>6376</v>
      </c>
      <c r="M3408" s="49" t="s">
        <v>0</v>
      </c>
      <c r="N3408" s="49">
        <v>1970.0</v>
      </c>
      <c r="O3408" s="49" t="s">
        <v>388</v>
      </c>
      <c r="P3408" s="49">
        <v>1.0</v>
      </c>
      <c r="Q3408" s="56"/>
      <c r="R3408" s="54"/>
      <c r="S3408" s="185"/>
      <c r="T3408" s="185"/>
      <c r="U3408" s="185"/>
      <c r="V3408" s="185"/>
      <c r="W3408" s="185"/>
      <c r="X3408" s="185"/>
      <c r="Y3408" s="3"/>
      <c r="Z3408" s="3"/>
      <c r="AA3408" s="3"/>
      <c r="AB3408" s="3"/>
      <c r="AC3408" s="3"/>
      <c r="AD3408" s="3"/>
      <c r="AE3408" s="3"/>
      <c r="AF3408" s="3"/>
      <c r="AG3408" s="3"/>
      <c r="AH3408" s="3"/>
      <c r="AI3408" s="3"/>
      <c r="AJ3408" s="3"/>
      <c r="AK3408" s="3"/>
      <c r="AL3408" s="3"/>
    </row>
    <row r="3409" ht="15.75" customHeight="1">
      <c r="A3409" s="27">
        <f t="shared" si="25"/>
        <v>4232</v>
      </c>
      <c r="B3409" s="49" t="s">
        <v>31</v>
      </c>
      <c r="C3409" s="272" t="s">
        <v>11857</v>
      </c>
      <c r="D3409" s="55" t="s">
        <v>11858</v>
      </c>
      <c r="E3409" s="49"/>
      <c r="F3409" s="49" t="s">
        <v>29</v>
      </c>
      <c r="G3409" s="49" t="s">
        <v>30</v>
      </c>
      <c r="H3409" s="49" t="s">
        <v>31</v>
      </c>
      <c r="I3409" s="49" t="s">
        <v>11859</v>
      </c>
      <c r="J3409" s="49">
        <v>142.0</v>
      </c>
      <c r="K3409" s="49"/>
      <c r="L3409" s="49" t="s">
        <v>11860</v>
      </c>
      <c r="M3409" s="49" t="s">
        <v>6308</v>
      </c>
      <c r="N3409" s="49">
        <v>1964.0</v>
      </c>
      <c r="O3409" s="49" t="s">
        <v>388</v>
      </c>
      <c r="P3409" s="49">
        <v>1.0</v>
      </c>
      <c r="Q3409" s="56"/>
      <c r="R3409" s="54"/>
      <c r="S3409" s="116"/>
      <c r="T3409" s="116"/>
      <c r="U3409" s="116"/>
      <c r="V3409" s="116"/>
      <c r="W3409" s="116"/>
      <c r="X3409" s="116"/>
      <c r="Y3409" s="3"/>
      <c r="Z3409" s="3"/>
      <c r="AA3409" s="3"/>
      <c r="AB3409" s="3"/>
      <c r="AC3409" s="3"/>
      <c r="AD3409" s="3"/>
      <c r="AE3409" s="3"/>
      <c r="AF3409" s="3"/>
      <c r="AG3409" s="3"/>
      <c r="AH3409" s="3"/>
      <c r="AI3409" s="3"/>
      <c r="AJ3409" s="3"/>
      <c r="AK3409" s="3"/>
      <c r="AL3409" s="3"/>
    </row>
    <row r="3410" ht="15.75" customHeight="1">
      <c r="A3410" s="27">
        <f t="shared" si="25"/>
        <v>4233</v>
      </c>
      <c r="B3410" s="49" t="s">
        <v>31</v>
      </c>
      <c r="C3410" s="272" t="s">
        <v>11861</v>
      </c>
      <c r="D3410" s="55" t="s">
        <v>11862</v>
      </c>
      <c r="E3410" s="49" t="s">
        <v>31</v>
      </c>
      <c r="F3410" s="49" t="s">
        <v>29</v>
      </c>
      <c r="G3410" s="49" t="s">
        <v>30</v>
      </c>
      <c r="H3410" s="49"/>
      <c r="I3410" s="49" t="s">
        <v>30</v>
      </c>
      <c r="J3410" s="49">
        <v>179.0</v>
      </c>
      <c r="K3410" s="49"/>
      <c r="L3410" s="49" t="s">
        <v>6522</v>
      </c>
      <c r="M3410" s="49" t="s">
        <v>4762</v>
      </c>
      <c r="N3410" s="49">
        <v>2000.0</v>
      </c>
      <c r="O3410" s="49" t="s">
        <v>388</v>
      </c>
      <c r="P3410" s="49">
        <v>1.0</v>
      </c>
      <c r="Q3410" s="56">
        <v>1.0</v>
      </c>
      <c r="R3410" s="54"/>
      <c r="S3410" s="34"/>
      <c r="T3410" s="34"/>
      <c r="U3410" s="34"/>
      <c r="V3410" s="34"/>
      <c r="W3410" s="34"/>
      <c r="X3410" s="34"/>
      <c r="Y3410" s="3"/>
      <c r="Z3410" s="3"/>
      <c r="AA3410" s="3"/>
      <c r="AB3410" s="3"/>
      <c r="AC3410" s="3"/>
      <c r="AD3410" s="3"/>
      <c r="AE3410" s="3"/>
      <c r="AF3410" s="3"/>
      <c r="AG3410" s="3"/>
      <c r="AH3410" s="3"/>
      <c r="AI3410" s="3"/>
      <c r="AJ3410" s="3"/>
      <c r="AK3410" s="3"/>
      <c r="AL3410" s="3"/>
    </row>
    <row r="3411" ht="15.75" customHeight="1">
      <c r="A3411" s="27">
        <f t="shared" si="25"/>
        <v>4234</v>
      </c>
      <c r="B3411" s="49" t="s">
        <v>11863</v>
      </c>
      <c r="C3411" s="272" t="s">
        <v>11864</v>
      </c>
      <c r="D3411" s="55" t="s">
        <v>11865</v>
      </c>
      <c r="E3411" s="49" t="s">
        <v>31</v>
      </c>
      <c r="F3411" s="49" t="s">
        <v>29</v>
      </c>
      <c r="G3411" s="49" t="s">
        <v>30</v>
      </c>
      <c r="H3411" s="49"/>
      <c r="I3411" s="49" t="s">
        <v>30</v>
      </c>
      <c r="J3411" s="49">
        <v>61.0</v>
      </c>
      <c r="K3411" s="49"/>
      <c r="L3411" s="49" t="s">
        <v>31</v>
      </c>
      <c r="M3411" s="49" t="s">
        <v>161</v>
      </c>
      <c r="N3411" s="49">
        <v>2002.0</v>
      </c>
      <c r="O3411" s="49" t="s">
        <v>388</v>
      </c>
      <c r="P3411" s="49">
        <v>1.0</v>
      </c>
      <c r="Q3411" s="56"/>
      <c r="R3411" s="54"/>
      <c r="S3411" s="34"/>
      <c r="T3411" s="34"/>
      <c r="U3411" s="34"/>
      <c r="V3411" s="34"/>
      <c r="W3411" s="34"/>
      <c r="X3411" s="34"/>
      <c r="Y3411" s="45"/>
      <c r="Z3411" s="45"/>
      <c r="AA3411" s="45"/>
      <c r="AB3411" s="45"/>
      <c r="AC3411" s="45"/>
      <c r="AD3411" s="45"/>
      <c r="AE3411" s="45"/>
      <c r="AF3411" s="45"/>
      <c r="AG3411" s="45"/>
      <c r="AH3411" s="45"/>
      <c r="AI3411" s="45"/>
      <c r="AJ3411" s="45"/>
      <c r="AK3411" s="45"/>
      <c r="AL3411" s="45"/>
    </row>
    <row r="3412" ht="15.75" customHeight="1">
      <c r="A3412" s="27">
        <f t="shared" si="25"/>
        <v>4235</v>
      </c>
      <c r="B3412" s="49" t="s">
        <v>6591</v>
      </c>
      <c r="C3412" s="272" t="s">
        <v>11866</v>
      </c>
      <c r="D3412" s="279" t="s">
        <v>11867</v>
      </c>
      <c r="E3412" s="49"/>
      <c r="F3412" s="49" t="s">
        <v>740</v>
      </c>
      <c r="G3412" s="49" t="s">
        <v>37</v>
      </c>
      <c r="H3412" s="49"/>
      <c r="I3412" s="49" t="s">
        <v>38</v>
      </c>
      <c r="J3412" s="49">
        <f>256+16</f>
        <v>272</v>
      </c>
      <c r="K3412" s="49"/>
      <c r="L3412" s="49" t="s">
        <v>3124</v>
      </c>
      <c r="M3412" s="49" t="s">
        <v>11868</v>
      </c>
      <c r="N3412" s="49">
        <v>2001.0</v>
      </c>
      <c r="O3412" s="49" t="s">
        <v>388</v>
      </c>
      <c r="P3412" s="49">
        <v>1.0</v>
      </c>
      <c r="Q3412" s="56">
        <v>1.0</v>
      </c>
      <c r="R3412" s="54"/>
      <c r="S3412" s="34"/>
      <c r="T3412" s="34"/>
      <c r="U3412" s="34"/>
      <c r="V3412" s="34"/>
      <c r="W3412" s="34"/>
      <c r="X3412" s="34"/>
      <c r="Y3412" s="3"/>
      <c r="Z3412" s="3"/>
      <c r="AA3412" s="3"/>
      <c r="AB3412" s="3"/>
      <c r="AC3412" s="3"/>
      <c r="AD3412" s="3"/>
      <c r="AE3412" s="3"/>
      <c r="AF3412" s="3"/>
      <c r="AG3412" s="3"/>
      <c r="AH3412" s="3"/>
      <c r="AI3412" s="3"/>
      <c r="AJ3412" s="3"/>
      <c r="AK3412" s="3"/>
      <c r="AL3412" s="3"/>
    </row>
    <row r="3413" ht="15.75" customHeight="1">
      <c r="A3413" s="27">
        <f t="shared" si="25"/>
        <v>4236</v>
      </c>
      <c r="B3413" s="49" t="s">
        <v>31</v>
      </c>
      <c r="C3413" s="272" t="s">
        <v>11869</v>
      </c>
      <c r="D3413" s="55" t="s">
        <v>11870</v>
      </c>
      <c r="E3413" s="49" t="s">
        <v>31</v>
      </c>
      <c r="F3413" s="49" t="s">
        <v>29</v>
      </c>
      <c r="G3413" s="49" t="s">
        <v>30</v>
      </c>
      <c r="H3413" s="49"/>
      <c r="I3413" s="49" t="s">
        <v>30</v>
      </c>
      <c r="J3413" s="49"/>
      <c r="K3413" s="49"/>
      <c r="L3413" s="49" t="s">
        <v>11871</v>
      </c>
      <c r="M3413" s="49" t="s">
        <v>3341</v>
      </c>
      <c r="N3413" s="49">
        <v>2004.0</v>
      </c>
      <c r="O3413" s="49" t="s">
        <v>388</v>
      </c>
      <c r="P3413" s="49">
        <v>1.0</v>
      </c>
      <c r="Q3413" s="56"/>
      <c r="R3413" s="54"/>
      <c r="S3413" s="34"/>
      <c r="T3413" s="34"/>
      <c r="U3413" s="34"/>
      <c r="V3413" s="34"/>
      <c r="W3413" s="34"/>
      <c r="X3413" s="34"/>
      <c r="Y3413" s="45"/>
      <c r="Z3413" s="45"/>
      <c r="AA3413" s="45"/>
      <c r="AB3413" s="45"/>
      <c r="AC3413" s="45"/>
      <c r="AD3413" s="45"/>
      <c r="AE3413" s="45"/>
      <c r="AF3413" s="45"/>
      <c r="AG3413" s="45"/>
      <c r="AH3413" s="45"/>
      <c r="AI3413" s="45"/>
      <c r="AJ3413" s="45"/>
      <c r="AK3413" s="45"/>
      <c r="AL3413" s="45"/>
    </row>
    <row r="3414" ht="15.75" customHeight="1">
      <c r="A3414" s="27">
        <f t="shared" si="25"/>
        <v>4237</v>
      </c>
      <c r="B3414" s="49" t="s">
        <v>11872</v>
      </c>
      <c r="C3414" s="272" t="s">
        <v>6655</v>
      </c>
      <c r="D3414" s="55" t="s">
        <v>11873</v>
      </c>
      <c r="E3414" s="49" t="s">
        <v>31</v>
      </c>
      <c r="F3414" s="49" t="s">
        <v>29</v>
      </c>
      <c r="G3414" s="49" t="s">
        <v>37</v>
      </c>
      <c r="H3414" s="49"/>
      <c r="I3414" s="49" t="s">
        <v>38</v>
      </c>
      <c r="J3414" s="49">
        <v>403.0</v>
      </c>
      <c r="K3414" s="49"/>
      <c r="L3414" s="49" t="s">
        <v>6650</v>
      </c>
      <c r="M3414" s="49" t="s">
        <v>11874</v>
      </c>
      <c r="N3414" s="49">
        <v>1984.0</v>
      </c>
      <c r="O3414" s="49" t="s">
        <v>388</v>
      </c>
      <c r="P3414" s="49">
        <v>1.0</v>
      </c>
      <c r="Q3414" s="56"/>
      <c r="R3414" s="54"/>
      <c r="S3414" s="34"/>
      <c r="T3414" s="34"/>
      <c r="U3414" s="34"/>
      <c r="V3414" s="34"/>
      <c r="W3414" s="34"/>
      <c r="X3414" s="34"/>
      <c r="Y3414" s="45"/>
      <c r="Z3414" s="45"/>
      <c r="AA3414" s="45"/>
      <c r="AB3414" s="45"/>
      <c r="AC3414" s="45"/>
      <c r="AD3414" s="45"/>
      <c r="AE3414" s="45"/>
      <c r="AF3414" s="45"/>
      <c r="AG3414" s="45"/>
      <c r="AH3414" s="45"/>
      <c r="AI3414" s="45"/>
      <c r="AJ3414" s="45"/>
      <c r="AK3414" s="45"/>
      <c r="AL3414" s="45"/>
    </row>
    <row r="3415" ht="15.75" customHeight="1">
      <c r="A3415" s="27">
        <f t="shared" si="25"/>
        <v>4238</v>
      </c>
      <c r="B3415" s="49" t="s">
        <v>11875</v>
      </c>
      <c r="C3415" s="272" t="s">
        <v>6666</v>
      </c>
      <c r="D3415" s="55" t="s">
        <v>11876</v>
      </c>
      <c r="E3415" s="49"/>
      <c r="F3415" s="49" t="s">
        <v>29</v>
      </c>
      <c r="G3415" s="49" t="s">
        <v>30</v>
      </c>
      <c r="H3415" s="49"/>
      <c r="I3415" s="49" t="s">
        <v>30</v>
      </c>
      <c r="J3415" s="49">
        <v>235.0</v>
      </c>
      <c r="K3415" s="49"/>
      <c r="L3415" s="49" t="s">
        <v>6668</v>
      </c>
      <c r="M3415" s="49" t="s">
        <v>6669</v>
      </c>
      <c r="N3415" s="49">
        <v>2003.0</v>
      </c>
      <c r="O3415" s="49" t="s">
        <v>388</v>
      </c>
      <c r="P3415" s="49">
        <v>1.0</v>
      </c>
      <c r="Q3415" s="56"/>
      <c r="R3415" s="54"/>
      <c r="S3415" s="40"/>
      <c r="T3415" s="40"/>
      <c r="U3415" s="40"/>
      <c r="V3415" s="40"/>
      <c r="W3415" s="40"/>
      <c r="X3415" s="40"/>
      <c r="Y3415" s="45"/>
      <c r="Z3415" s="45"/>
      <c r="AA3415" s="45"/>
      <c r="AB3415" s="45"/>
      <c r="AC3415" s="45"/>
      <c r="AD3415" s="45"/>
      <c r="AE3415" s="45"/>
      <c r="AF3415" s="45"/>
      <c r="AG3415" s="45"/>
      <c r="AH3415" s="45"/>
      <c r="AI3415" s="45"/>
      <c r="AJ3415" s="45"/>
      <c r="AK3415" s="45"/>
      <c r="AL3415" s="45"/>
    </row>
    <row r="3416" ht="15.75" customHeight="1">
      <c r="A3416" s="27">
        <f t="shared" si="25"/>
        <v>4239</v>
      </c>
      <c r="B3416" s="49" t="s">
        <v>31</v>
      </c>
      <c r="C3416" s="272" t="s">
        <v>11877</v>
      </c>
      <c r="D3416" s="55" t="s">
        <v>11878</v>
      </c>
      <c r="E3416" s="49"/>
      <c r="F3416" s="49"/>
      <c r="G3416" s="49" t="s">
        <v>30</v>
      </c>
      <c r="H3416" s="49"/>
      <c r="I3416" s="49" t="s">
        <v>30</v>
      </c>
      <c r="J3416" s="49">
        <v>74.0</v>
      </c>
      <c r="K3416" s="49"/>
      <c r="L3416" s="49" t="s">
        <v>6972</v>
      </c>
      <c r="M3416" s="49" t="s">
        <v>151</v>
      </c>
      <c r="N3416" s="49" t="s">
        <v>31</v>
      </c>
      <c r="O3416" s="49" t="s">
        <v>388</v>
      </c>
      <c r="P3416" s="49">
        <v>1.0</v>
      </c>
      <c r="Q3416" s="56"/>
      <c r="R3416" s="54"/>
      <c r="S3416" s="40"/>
      <c r="T3416" s="40"/>
      <c r="U3416" s="40"/>
      <c r="V3416" s="40"/>
      <c r="W3416" s="40"/>
      <c r="X3416" s="40"/>
      <c r="Y3416" s="3"/>
      <c r="Z3416" s="3"/>
      <c r="AA3416" s="3"/>
      <c r="AB3416" s="3"/>
      <c r="AC3416" s="3"/>
      <c r="AD3416" s="3"/>
      <c r="AE3416" s="3"/>
      <c r="AF3416" s="3"/>
      <c r="AG3416" s="3"/>
      <c r="AH3416" s="3"/>
      <c r="AI3416" s="3"/>
      <c r="AJ3416" s="3"/>
      <c r="AK3416" s="3"/>
      <c r="AL3416" s="3"/>
    </row>
    <row r="3417" ht="15.75" customHeight="1">
      <c r="A3417" s="27">
        <f t="shared" si="25"/>
        <v>4240</v>
      </c>
      <c r="B3417" s="49" t="s">
        <v>31</v>
      </c>
      <c r="C3417" s="272" t="s">
        <v>11879</v>
      </c>
      <c r="D3417" s="55" t="s">
        <v>11880</v>
      </c>
      <c r="E3417" s="49" t="s">
        <v>302</v>
      </c>
      <c r="F3417" s="49" t="s">
        <v>29</v>
      </c>
      <c r="G3417" s="49" t="s">
        <v>131</v>
      </c>
      <c r="H3417" s="49"/>
      <c r="I3417" s="49" t="s">
        <v>38</v>
      </c>
      <c r="J3417" s="49">
        <v>210.0</v>
      </c>
      <c r="K3417" s="49"/>
      <c r="L3417" s="49" t="s">
        <v>11881</v>
      </c>
      <c r="M3417" s="49" t="s">
        <v>230</v>
      </c>
      <c r="N3417" s="49">
        <v>1964.0</v>
      </c>
      <c r="O3417" s="49" t="s">
        <v>388</v>
      </c>
      <c r="P3417" s="49">
        <v>1.0</v>
      </c>
      <c r="Q3417" s="56"/>
      <c r="R3417" s="54"/>
      <c r="S3417" s="34"/>
      <c r="T3417" s="34"/>
      <c r="U3417" s="34"/>
      <c r="V3417" s="34"/>
      <c r="W3417" s="34"/>
      <c r="X3417" s="34"/>
      <c r="Y3417" s="45"/>
      <c r="Z3417" s="45"/>
      <c r="AA3417" s="45"/>
      <c r="AB3417" s="45"/>
      <c r="AC3417" s="45"/>
      <c r="AD3417" s="45"/>
      <c r="AE3417" s="45"/>
      <c r="AF3417" s="45"/>
      <c r="AG3417" s="45"/>
      <c r="AH3417" s="45"/>
      <c r="AI3417" s="45"/>
      <c r="AJ3417" s="45"/>
      <c r="AK3417" s="45"/>
      <c r="AL3417" s="45"/>
    </row>
    <row r="3418" ht="15.75" customHeight="1">
      <c r="A3418" s="27">
        <f t="shared" si="25"/>
        <v>4241</v>
      </c>
      <c r="B3418" s="49" t="s">
        <v>11882</v>
      </c>
      <c r="C3418" s="272" t="s">
        <v>11883</v>
      </c>
      <c r="D3418" s="55" t="s">
        <v>11884</v>
      </c>
      <c r="E3418" s="49" t="s">
        <v>31</v>
      </c>
      <c r="F3418" s="49" t="s">
        <v>29</v>
      </c>
      <c r="G3418" s="49" t="s">
        <v>38</v>
      </c>
      <c r="H3418" s="49"/>
      <c r="I3418" s="49" t="s">
        <v>38</v>
      </c>
      <c r="J3418" s="49">
        <v>319.0</v>
      </c>
      <c r="K3418" s="49"/>
      <c r="L3418" s="49" t="s">
        <v>11885</v>
      </c>
      <c r="M3418" s="49" t="s">
        <v>178</v>
      </c>
      <c r="N3418" s="49">
        <v>1983.0</v>
      </c>
      <c r="O3418" s="49" t="s">
        <v>388</v>
      </c>
      <c r="P3418" s="49">
        <v>1.0</v>
      </c>
      <c r="Q3418" s="56">
        <v>1.0</v>
      </c>
      <c r="R3418" s="54"/>
      <c r="S3418" s="34"/>
      <c r="T3418" s="34"/>
      <c r="U3418" s="34"/>
      <c r="V3418" s="34"/>
      <c r="W3418" s="34"/>
      <c r="X3418" s="34"/>
      <c r="Y3418" s="45"/>
      <c r="Z3418" s="45"/>
      <c r="AA3418" s="45"/>
      <c r="AB3418" s="45"/>
      <c r="AC3418" s="45"/>
      <c r="AD3418" s="45"/>
      <c r="AE3418" s="45"/>
      <c r="AF3418" s="45"/>
      <c r="AG3418" s="45"/>
      <c r="AH3418" s="45"/>
      <c r="AI3418" s="45"/>
      <c r="AJ3418" s="45"/>
      <c r="AK3418" s="45"/>
      <c r="AL3418" s="45"/>
    </row>
    <row r="3419" ht="15.75" customHeight="1">
      <c r="A3419" s="27">
        <f t="shared" si="25"/>
        <v>4242</v>
      </c>
      <c r="B3419" s="49"/>
      <c r="C3419" s="272" t="s">
        <v>11886</v>
      </c>
      <c r="D3419" s="55" t="s">
        <v>11887</v>
      </c>
      <c r="E3419" s="49" t="s">
        <v>31</v>
      </c>
      <c r="F3419" s="49" t="s">
        <v>29</v>
      </c>
      <c r="G3419" s="49" t="s">
        <v>30</v>
      </c>
      <c r="H3419" s="49"/>
      <c r="I3419" s="49" t="s">
        <v>30</v>
      </c>
      <c r="J3419" s="49">
        <v>99.0</v>
      </c>
      <c r="K3419" s="49"/>
      <c r="L3419" s="49" t="s">
        <v>6808</v>
      </c>
      <c r="M3419" s="49" t="s">
        <v>151</v>
      </c>
      <c r="N3419" s="49">
        <v>1982.0</v>
      </c>
      <c r="O3419" s="49" t="s">
        <v>388</v>
      </c>
      <c r="P3419" s="49">
        <v>1.0</v>
      </c>
      <c r="Q3419" s="56"/>
      <c r="R3419" s="54"/>
      <c r="S3419" s="185"/>
      <c r="T3419" s="185"/>
      <c r="U3419" s="185"/>
      <c r="V3419" s="185"/>
      <c r="W3419" s="185"/>
      <c r="X3419" s="185"/>
      <c r="Y3419" s="45"/>
      <c r="Z3419" s="45"/>
      <c r="AA3419" s="45"/>
      <c r="AB3419" s="45"/>
      <c r="AC3419" s="45"/>
      <c r="AD3419" s="45"/>
      <c r="AE3419" s="45"/>
      <c r="AF3419" s="45"/>
      <c r="AG3419" s="45"/>
      <c r="AH3419" s="45"/>
      <c r="AI3419" s="45"/>
      <c r="AJ3419" s="45"/>
      <c r="AK3419" s="45"/>
      <c r="AL3419" s="45"/>
    </row>
    <row r="3420" ht="15.75" customHeight="1">
      <c r="A3420" s="27">
        <f t="shared" si="25"/>
        <v>4243</v>
      </c>
      <c r="B3420" s="63" t="s">
        <v>11888</v>
      </c>
      <c r="C3420" s="275" t="s">
        <v>11889</v>
      </c>
      <c r="D3420" s="65" t="s">
        <v>11890</v>
      </c>
      <c r="E3420" s="63" t="s">
        <v>302</v>
      </c>
      <c r="F3420" s="63" t="s">
        <v>29</v>
      </c>
      <c r="G3420" s="63" t="s">
        <v>37</v>
      </c>
      <c r="H3420" s="63"/>
      <c r="I3420" s="63" t="s">
        <v>38</v>
      </c>
      <c r="J3420" s="63">
        <v>753.0</v>
      </c>
      <c r="K3420" s="63"/>
      <c r="L3420" s="63" t="s">
        <v>11891</v>
      </c>
      <c r="M3420" s="63" t="s">
        <v>60</v>
      </c>
      <c r="N3420" s="63">
        <v>1992.0</v>
      </c>
      <c r="O3420" s="63" t="s">
        <v>388</v>
      </c>
      <c r="P3420" s="63">
        <v>1.0</v>
      </c>
      <c r="Q3420" s="276"/>
      <c r="R3420" s="67"/>
      <c r="S3420" s="34"/>
      <c r="T3420" s="34"/>
      <c r="U3420" s="34"/>
      <c r="V3420" s="34"/>
      <c r="W3420" s="34"/>
      <c r="X3420" s="34"/>
      <c r="Y3420" s="45"/>
      <c r="Z3420" s="45"/>
      <c r="AA3420" s="45"/>
      <c r="AB3420" s="45"/>
      <c r="AC3420" s="45"/>
      <c r="AD3420" s="45"/>
      <c r="AE3420" s="45"/>
      <c r="AF3420" s="45"/>
      <c r="AG3420" s="45"/>
      <c r="AH3420" s="45"/>
      <c r="AI3420" s="45"/>
      <c r="AJ3420" s="45"/>
      <c r="AK3420" s="45"/>
      <c r="AL3420" s="45"/>
    </row>
    <row r="3421" ht="15.75" customHeight="1">
      <c r="A3421" s="27">
        <f t="shared" si="25"/>
        <v>4244</v>
      </c>
      <c r="B3421" s="49" t="s">
        <v>31</v>
      </c>
      <c r="C3421" s="50" t="s">
        <v>11892</v>
      </c>
      <c r="D3421" s="55" t="s">
        <v>11893</v>
      </c>
      <c r="E3421" s="49" t="s">
        <v>31</v>
      </c>
      <c r="F3421" s="49" t="s">
        <v>29</v>
      </c>
      <c r="G3421" s="49" t="s">
        <v>30</v>
      </c>
      <c r="H3421" s="49"/>
      <c r="I3421" s="49" t="s">
        <v>30</v>
      </c>
      <c r="J3421" s="49">
        <v>352.0</v>
      </c>
      <c r="K3421" s="49"/>
      <c r="L3421" s="49" t="s">
        <v>11687</v>
      </c>
      <c r="M3421" s="49" t="s">
        <v>11894</v>
      </c>
      <c r="N3421" s="49">
        <v>2007.0</v>
      </c>
      <c r="O3421" s="49" t="s">
        <v>388</v>
      </c>
      <c r="P3421" s="49">
        <v>1.0</v>
      </c>
      <c r="Q3421" s="56"/>
      <c r="R3421" s="54"/>
      <c r="S3421" s="40"/>
      <c r="T3421" s="40"/>
      <c r="U3421" s="40"/>
      <c r="V3421" s="40"/>
      <c r="W3421" s="40"/>
      <c r="X3421" s="40"/>
      <c r="Y3421" s="45"/>
      <c r="Z3421" s="45"/>
      <c r="AA3421" s="45"/>
      <c r="AB3421" s="45"/>
      <c r="AC3421" s="45"/>
      <c r="AD3421" s="45"/>
      <c r="AE3421" s="45"/>
      <c r="AF3421" s="45"/>
      <c r="AG3421" s="45"/>
      <c r="AH3421" s="45"/>
      <c r="AI3421" s="45"/>
      <c r="AJ3421" s="45"/>
      <c r="AK3421" s="45"/>
      <c r="AL3421" s="45"/>
    </row>
    <row r="3422" ht="15.75" customHeight="1">
      <c r="A3422" s="27">
        <f t="shared" si="25"/>
        <v>4245</v>
      </c>
      <c r="B3422" s="49"/>
      <c r="C3422" s="272" t="s">
        <v>11895</v>
      </c>
      <c r="D3422" s="55" t="s">
        <v>11896</v>
      </c>
      <c r="E3422" s="49" t="s">
        <v>31</v>
      </c>
      <c r="F3422" s="49" t="s">
        <v>29</v>
      </c>
      <c r="G3422" s="49" t="s">
        <v>30</v>
      </c>
      <c r="H3422" s="49"/>
      <c r="I3422" s="49" t="s">
        <v>30</v>
      </c>
      <c r="J3422" s="49">
        <v>173.0</v>
      </c>
      <c r="K3422" s="49"/>
      <c r="L3422" s="49" t="s">
        <v>11897</v>
      </c>
      <c r="M3422" s="49" t="s">
        <v>151</v>
      </c>
      <c r="N3422" s="49">
        <v>1976.0</v>
      </c>
      <c r="O3422" s="49" t="s">
        <v>388</v>
      </c>
      <c r="P3422" s="49">
        <v>1.0</v>
      </c>
      <c r="Q3422" s="56"/>
      <c r="R3422" s="54"/>
      <c r="S3422" s="34"/>
      <c r="T3422" s="34"/>
      <c r="U3422" s="34"/>
      <c r="V3422" s="34"/>
      <c r="W3422" s="34"/>
      <c r="X3422" s="34"/>
      <c r="Y3422" s="3"/>
      <c r="Z3422" s="3"/>
      <c r="AA3422" s="3"/>
      <c r="AB3422" s="3"/>
      <c r="AC3422" s="3"/>
      <c r="AD3422" s="3"/>
      <c r="AE3422" s="3"/>
      <c r="AF3422" s="3"/>
      <c r="AG3422" s="3"/>
      <c r="AH3422" s="3"/>
      <c r="AI3422" s="3"/>
      <c r="AJ3422" s="3"/>
      <c r="AK3422" s="3"/>
      <c r="AL3422" s="3"/>
    </row>
    <row r="3423" ht="15.75" customHeight="1">
      <c r="A3423" s="27">
        <f t="shared" si="25"/>
        <v>4246</v>
      </c>
      <c r="B3423" s="49"/>
      <c r="C3423" s="272" t="s">
        <v>11898</v>
      </c>
      <c r="D3423" s="55" t="s">
        <v>11896</v>
      </c>
      <c r="E3423" s="49" t="s">
        <v>144</v>
      </c>
      <c r="F3423" s="49" t="s">
        <v>29</v>
      </c>
      <c r="G3423" s="49" t="s">
        <v>30</v>
      </c>
      <c r="H3423" s="49"/>
      <c r="I3423" s="49" t="s">
        <v>30</v>
      </c>
      <c r="J3423" s="49">
        <v>173.0</v>
      </c>
      <c r="K3423" s="49"/>
      <c r="L3423" s="49" t="s">
        <v>11899</v>
      </c>
      <c r="M3423" s="49" t="s">
        <v>8504</v>
      </c>
      <c r="N3423" s="49">
        <v>1976.0</v>
      </c>
      <c r="O3423" s="49" t="s">
        <v>388</v>
      </c>
      <c r="P3423" s="49">
        <v>1.0</v>
      </c>
      <c r="Q3423" s="56"/>
      <c r="R3423" s="54"/>
      <c r="S3423" s="34"/>
      <c r="T3423" s="34"/>
      <c r="U3423" s="34"/>
      <c r="V3423" s="34"/>
      <c r="W3423" s="34"/>
      <c r="X3423" s="34"/>
      <c r="Y3423" s="45"/>
      <c r="Z3423" s="45"/>
      <c r="AA3423" s="45"/>
      <c r="AB3423" s="45"/>
      <c r="AC3423" s="45"/>
      <c r="AD3423" s="45"/>
      <c r="AE3423" s="45"/>
      <c r="AF3423" s="45"/>
      <c r="AG3423" s="45"/>
      <c r="AH3423" s="45"/>
      <c r="AI3423" s="45"/>
      <c r="AJ3423" s="45"/>
      <c r="AK3423" s="45"/>
      <c r="AL3423" s="45"/>
    </row>
    <row r="3424" ht="15.75" customHeight="1">
      <c r="A3424" s="27">
        <f t="shared" si="25"/>
        <v>4247</v>
      </c>
      <c r="B3424" s="49" t="s">
        <v>11900</v>
      </c>
      <c r="C3424" s="272" t="s">
        <v>11901</v>
      </c>
      <c r="D3424" s="55" t="s">
        <v>11902</v>
      </c>
      <c r="E3424" s="49" t="s">
        <v>31</v>
      </c>
      <c r="F3424" s="49" t="s">
        <v>29</v>
      </c>
      <c r="G3424" s="49" t="s">
        <v>30</v>
      </c>
      <c r="H3424" s="49"/>
      <c r="I3424" s="49" t="s">
        <v>30</v>
      </c>
      <c r="J3424" s="49">
        <v>174.0</v>
      </c>
      <c r="K3424" s="49"/>
      <c r="L3424" s="49" t="s">
        <v>11903</v>
      </c>
      <c r="M3424" s="49" t="s">
        <v>6669</v>
      </c>
      <c r="N3424" s="49">
        <v>2009.0</v>
      </c>
      <c r="O3424" s="49" t="s">
        <v>388</v>
      </c>
      <c r="P3424" s="49">
        <v>1.0</v>
      </c>
      <c r="Q3424" s="56"/>
      <c r="R3424" s="54"/>
      <c r="S3424" s="34"/>
      <c r="T3424" s="34"/>
      <c r="U3424" s="34"/>
      <c r="V3424" s="34"/>
      <c r="W3424" s="34"/>
      <c r="X3424" s="34"/>
      <c r="Y3424" s="45"/>
      <c r="Z3424" s="45"/>
      <c r="AA3424" s="45"/>
      <c r="AB3424" s="45"/>
      <c r="AC3424" s="45"/>
      <c r="AD3424" s="45"/>
      <c r="AE3424" s="45"/>
      <c r="AF3424" s="45"/>
      <c r="AG3424" s="45"/>
      <c r="AH3424" s="45"/>
      <c r="AI3424" s="45"/>
      <c r="AJ3424" s="45"/>
      <c r="AK3424" s="45"/>
      <c r="AL3424" s="45"/>
    </row>
    <row r="3425" ht="15.75" customHeight="1">
      <c r="A3425" s="27">
        <f t="shared" si="25"/>
        <v>4248</v>
      </c>
      <c r="B3425" s="49" t="s">
        <v>11904</v>
      </c>
      <c r="C3425" s="272" t="s">
        <v>11905</v>
      </c>
      <c r="D3425" s="55" t="s">
        <v>11906</v>
      </c>
      <c r="E3425" s="49" t="s">
        <v>144</v>
      </c>
      <c r="F3425" s="49" t="s">
        <v>29</v>
      </c>
      <c r="G3425" s="49" t="s">
        <v>30</v>
      </c>
      <c r="H3425" s="49"/>
      <c r="I3425" s="49" t="s">
        <v>30</v>
      </c>
      <c r="J3425" s="49">
        <v>236.0</v>
      </c>
      <c r="K3425" s="49"/>
      <c r="L3425" s="49" t="s">
        <v>1765</v>
      </c>
      <c r="M3425" s="49" t="s">
        <v>151</v>
      </c>
      <c r="N3425" s="49">
        <v>2015.0</v>
      </c>
      <c r="O3425" s="49" t="s">
        <v>388</v>
      </c>
      <c r="P3425" s="49">
        <v>2.0</v>
      </c>
      <c r="Q3425" s="56">
        <v>2.0</v>
      </c>
      <c r="R3425" s="54"/>
      <c r="S3425" s="34"/>
      <c r="T3425" s="34"/>
      <c r="U3425" s="34"/>
      <c r="V3425" s="34"/>
      <c r="W3425" s="34"/>
      <c r="X3425" s="34"/>
      <c r="Y3425" s="45"/>
      <c r="Z3425" s="45"/>
      <c r="AA3425" s="45"/>
      <c r="AB3425" s="45"/>
      <c r="AC3425" s="45"/>
      <c r="AD3425" s="45"/>
      <c r="AE3425" s="45"/>
      <c r="AF3425" s="45"/>
      <c r="AG3425" s="45"/>
      <c r="AH3425" s="45"/>
      <c r="AI3425" s="45"/>
      <c r="AJ3425" s="45"/>
      <c r="AK3425" s="45"/>
      <c r="AL3425" s="45"/>
    </row>
    <row r="3426" ht="15.75" customHeight="1">
      <c r="A3426" s="27">
        <f t="shared" si="25"/>
        <v>4249</v>
      </c>
      <c r="B3426" s="49" t="s">
        <v>11907</v>
      </c>
      <c r="C3426" s="272" t="s">
        <v>11908</v>
      </c>
      <c r="D3426" s="55" t="s">
        <v>11909</v>
      </c>
      <c r="E3426" s="49"/>
      <c r="F3426" s="49" t="s">
        <v>29</v>
      </c>
      <c r="G3426" s="49" t="s">
        <v>30</v>
      </c>
      <c r="H3426" s="49"/>
      <c r="I3426" s="49" t="s">
        <v>30</v>
      </c>
      <c r="J3426" s="49">
        <v>324.0</v>
      </c>
      <c r="K3426" s="49"/>
      <c r="L3426" s="49" t="s">
        <v>11910</v>
      </c>
      <c r="M3426" s="49" t="s">
        <v>8469</v>
      </c>
      <c r="N3426" s="49">
        <v>2005.0</v>
      </c>
      <c r="O3426" s="49" t="s">
        <v>388</v>
      </c>
      <c r="P3426" s="49">
        <v>1.0</v>
      </c>
      <c r="Q3426" s="56"/>
      <c r="R3426" s="54"/>
      <c r="S3426" s="34"/>
      <c r="T3426" s="34"/>
      <c r="U3426" s="34"/>
      <c r="V3426" s="34"/>
      <c r="W3426" s="34"/>
      <c r="X3426" s="34"/>
      <c r="Y3426" s="45"/>
      <c r="Z3426" s="45"/>
      <c r="AA3426" s="45"/>
      <c r="AB3426" s="45"/>
      <c r="AC3426" s="45"/>
      <c r="AD3426" s="45"/>
      <c r="AE3426" s="45"/>
      <c r="AF3426" s="45"/>
      <c r="AG3426" s="45"/>
      <c r="AH3426" s="45"/>
      <c r="AI3426" s="45"/>
      <c r="AJ3426" s="45"/>
      <c r="AK3426" s="45"/>
      <c r="AL3426" s="45"/>
    </row>
    <row r="3427" ht="15.75" customHeight="1">
      <c r="A3427" s="27">
        <f t="shared" si="25"/>
        <v>4250</v>
      </c>
      <c r="B3427" s="63" t="s">
        <v>11911</v>
      </c>
      <c r="C3427" s="275" t="s">
        <v>11912</v>
      </c>
      <c r="D3427" s="65" t="s">
        <v>11913</v>
      </c>
      <c r="E3427" s="63" t="s">
        <v>31</v>
      </c>
      <c r="F3427" s="63" t="s">
        <v>29</v>
      </c>
      <c r="G3427" s="63" t="s">
        <v>30</v>
      </c>
      <c r="H3427" s="63"/>
      <c r="I3427" s="63" t="s">
        <v>30</v>
      </c>
      <c r="J3427" s="63">
        <v>150.0</v>
      </c>
      <c r="K3427" s="63"/>
      <c r="L3427" s="63" t="s">
        <v>4008</v>
      </c>
      <c r="M3427" s="63" t="s">
        <v>4009</v>
      </c>
      <c r="N3427" s="63">
        <v>2007.0</v>
      </c>
      <c r="O3427" s="63" t="s">
        <v>388</v>
      </c>
      <c r="P3427" s="63">
        <v>1.0</v>
      </c>
      <c r="Q3427" s="276"/>
      <c r="R3427" s="67"/>
      <c r="S3427" s="40"/>
      <c r="T3427" s="40"/>
      <c r="U3427" s="40"/>
      <c r="V3427" s="40"/>
      <c r="W3427" s="40"/>
      <c r="X3427" s="40"/>
      <c r="Y3427" s="45"/>
      <c r="Z3427" s="45"/>
      <c r="AA3427" s="45"/>
      <c r="AB3427" s="45"/>
      <c r="AC3427" s="45"/>
      <c r="AD3427" s="45"/>
      <c r="AE3427" s="45"/>
      <c r="AF3427" s="45"/>
      <c r="AG3427" s="45"/>
      <c r="AH3427" s="45"/>
      <c r="AI3427" s="45"/>
      <c r="AJ3427" s="45"/>
      <c r="AK3427" s="45"/>
      <c r="AL3427" s="45"/>
    </row>
    <row r="3428" ht="15.75" customHeight="1">
      <c r="A3428" s="27">
        <f t="shared" si="25"/>
        <v>4251</v>
      </c>
      <c r="B3428" s="49" t="s">
        <v>11914</v>
      </c>
      <c r="C3428" s="272" t="s">
        <v>11915</v>
      </c>
      <c r="D3428" s="55" t="s">
        <v>11916</v>
      </c>
      <c r="E3428" s="49"/>
      <c r="F3428" s="49" t="s">
        <v>29</v>
      </c>
      <c r="G3428" s="49" t="s">
        <v>37</v>
      </c>
      <c r="H3428" s="49"/>
      <c r="I3428" s="49" t="s">
        <v>38</v>
      </c>
      <c r="J3428" s="49">
        <v>243.0</v>
      </c>
      <c r="K3428" s="49"/>
      <c r="L3428" s="49" t="s">
        <v>5713</v>
      </c>
      <c r="M3428" s="49" t="s">
        <v>230</v>
      </c>
      <c r="N3428" s="49">
        <v>2002.0</v>
      </c>
      <c r="O3428" s="49" t="s">
        <v>388</v>
      </c>
      <c r="P3428" s="49">
        <v>1.0</v>
      </c>
      <c r="Q3428" s="56"/>
      <c r="R3428" s="54"/>
      <c r="S3428" s="34"/>
      <c r="T3428" s="34"/>
      <c r="U3428" s="34"/>
      <c r="V3428" s="34"/>
      <c r="W3428" s="34"/>
      <c r="X3428" s="34"/>
      <c r="Y3428" s="45"/>
      <c r="Z3428" s="45"/>
      <c r="AA3428" s="45"/>
      <c r="AB3428" s="45"/>
      <c r="AC3428" s="45"/>
      <c r="AD3428" s="45"/>
      <c r="AE3428" s="45"/>
      <c r="AF3428" s="45"/>
      <c r="AG3428" s="45"/>
      <c r="AH3428" s="45"/>
      <c r="AI3428" s="45"/>
      <c r="AJ3428" s="45"/>
      <c r="AK3428" s="45"/>
      <c r="AL3428" s="45"/>
    </row>
    <row r="3429" ht="15.75" customHeight="1">
      <c r="A3429" s="27">
        <f t="shared" si="25"/>
        <v>4252</v>
      </c>
      <c r="B3429" s="49" t="s">
        <v>11917</v>
      </c>
      <c r="C3429" s="272" t="s">
        <v>11918</v>
      </c>
      <c r="D3429" s="55" t="s">
        <v>11919</v>
      </c>
      <c r="E3429" s="49" t="s">
        <v>31</v>
      </c>
      <c r="F3429" s="49" t="s">
        <v>29</v>
      </c>
      <c r="G3429" s="49" t="s">
        <v>37</v>
      </c>
      <c r="H3429" s="49"/>
      <c r="I3429" s="49" t="s">
        <v>38</v>
      </c>
      <c r="J3429" s="49">
        <v>206.0</v>
      </c>
      <c r="K3429" s="49"/>
      <c r="L3429" s="49" t="s">
        <v>11920</v>
      </c>
      <c r="M3429" s="49" t="s">
        <v>230</v>
      </c>
      <c r="N3429" s="49">
        <v>1981.0</v>
      </c>
      <c r="O3429" s="49" t="s">
        <v>388</v>
      </c>
      <c r="P3429" s="49">
        <v>1.0</v>
      </c>
      <c r="Q3429" s="56"/>
      <c r="R3429" s="54"/>
      <c r="S3429" s="34"/>
      <c r="T3429" s="34"/>
      <c r="U3429" s="34"/>
      <c r="V3429" s="34"/>
      <c r="W3429" s="34"/>
      <c r="X3429" s="34"/>
      <c r="Y3429" s="45"/>
      <c r="Z3429" s="45"/>
      <c r="AA3429" s="45"/>
      <c r="AB3429" s="45"/>
      <c r="AC3429" s="45"/>
      <c r="AD3429" s="45"/>
      <c r="AE3429" s="45"/>
      <c r="AF3429" s="45"/>
      <c r="AG3429" s="45"/>
      <c r="AH3429" s="45"/>
      <c r="AI3429" s="45"/>
      <c r="AJ3429" s="45"/>
      <c r="AK3429" s="45"/>
      <c r="AL3429" s="45"/>
    </row>
    <row r="3430" ht="15.75" customHeight="1">
      <c r="A3430" s="27">
        <f t="shared" si="25"/>
        <v>4253</v>
      </c>
      <c r="B3430" s="49" t="s">
        <v>11921</v>
      </c>
      <c r="C3430" s="272" t="s">
        <v>11922</v>
      </c>
      <c r="D3430" s="55" t="s">
        <v>11923</v>
      </c>
      <c r="E3430" s="49"/>
      <c r="F3430" s="49" t="s">
        <v>29</v>
      </c>
      <c r="G3430" s="49" t="s">
        <v>30</v>
      </c>
      <c r="H3430" s="49" t="s">
        <v>31</v>
      </c>
      <c r="I3430" s="49" t="s">
        <v>30</v>
      </c>
      <c r="J3430" s="49">
        <v>509.0</v>
      </c>
      <c r="K3430" s="49"/>
      <c r="L3430" s="49" t="s">
        <v>11924</v>
      </c>
      <c r="M3430" s="49" t="s">
        <v>151</v>
      </c>
      <c r="N3430" s="49">
        <v>2004.0</v>
      </c>
      <c r="O3430" s="49" t="s">
        <v>388</v>
      </c>
      <c r="P3430" s="49">
        <v>1.0</v>
      </c>
      <c r="Q3430" s="56"/>
      <c r="R3430" s="54"/>
      <c r="S3430" s="34"/>
      <c r="T3430" s="34"/>
      <c r="U3430" s="34"/>
      <c r="V3430" s="34"/>
      <c r="W3430" s="34"/>
      <c r="X3430" s="34"/>
      <c r="Y3430" s="45"/>
      <c r="Z3430" s="45"/>
      <c r="AA3430" s="45"/>
      <c r="AB3430" s="45"/>
      <c r="AC3430" s="45"/>
      <c r="AD3430" s="45"/>
      <c r="AE3430" s="45"/>
      <c r="AF3430" s="45"/>
      <c r="AG3430" s="45"/>
      <c r="AH3430" s="45"/>
      <c r="AI3430" s="45"/>
      <c r="AJ3430" s="45"/>
      <c r="AK3430" s="45"/>
      <c r="AL3430" s="45"/>
    </row>
    <row r="3431" ht="15.75" customHeight="1">
      <c r="A3431" s="27">
        <f t="shared" si="25"/>
        <v>4254</v>
      </c>
      <c r="B3431" s="63" t="s">
        <v>11925</v>
      </c>
      <c r="C3431" s="275" t="s">
        <v>11926</v>
      </c>
      <c r="D3431" s="65" t="s">
        <v>11927</v>
      </c>
      <c r="E3431" s="63" t="s">
        <v>144</v>
      </c>
      <c r="F3431" s="63" t="s">
        <v>29</v>
      </c>
      <c r="G3431" s="63" t="s">
        <v>6271</v>
      </c>
      <c r="H3431" s="63"/>
      <c r="I3431" s="63" t="s">
        <v>38</v>
      </c>
      <c r="J3431" s="63">
        <v>140.0</v>
      </c>
      <c r="K3431" s="63"/>
      <c r="L3431" s="63" t="s">
        <v>11928</v>
      </c>
      <c r="M3431" s="63" t="s">
        <v>11929</v>
      </c>
      <c r="N3431" s="63">
        <v>1991.0</v>
      </c>
      <c r="O3431" s="63" t="s">
        <v>388</v>
      </c>
      <c r="P3431" s="63">
        <v>1.0</v>
      </c>
      <c r="Q3431" s="276">
        <v>1.0</v>
      </c>
      <c r="R3431" s="67"/>
      <c r="S3431" s="34"/>
      <c r="T3431" s="34"/>
      <c r="U3431" s="34"/>
      <c r="V3431" s="34"/>
      <c r="W3431" s="34"/>
      <c r="X3431" s="34"/>
      <c r="Y3431" s="45"/>
      <c r="Z3431" s="45"/>
      <c r="AA3431" s="45"/>
      <c r="AB3431" s="45"/>
      <c r="AC3431" s="45"/>
      <c r="AD3431" s="45"/>
      <c r="AE3431" s="45"/>
      <c r="AF3431" s="45"/>
      <c r="AG3431" s="45"/>
      <c r="AH3431" s="45"/>
      <c r="AI3431" s="45"/>
      <c r="AJ3431" s="45"/>
      <c r="AK3431" s="45"/>
      <c r="AL3431" s="45"/>
    </row>
    <row r="3432" ht="15.75" customHeight="1">
      <c r="A3432" s="27">
        <f t="shared" si="25"/>
        <v>4255</v>
      </c>
      <c r="B3432" s="63" t="s">
        <v>31</v>
      </c>
      <c r="C3432" s="275" t="s">
        <v>11930</v>
      </c>
      <c r="D3432" s="65" t="s">
        <v>11931</v>
      </c>
      <c r="E3432" s="63" t="s">
        <v>144</v>
      </c>
      <c r="F3432" s="63" t="s">
        <v>29</v>
      </c>
      <c r="G3432" s="63" t="s">
        <v>30</v>
      </c>
      <c r="H3432" s="63"/>
      <c r="I3432" s="63" t="s">
        <v>30</v>
      </c>
      <c r="J3432" s="63">
        <v>426.0</v>
      </c>
      <c r="K3432" s="63"/>
      <c r="L3432" s="63" t="s">
        <v>11932</v>
      </c>
      <c r="M3432" s="63" t="s">
        <v>11933</v>
      </c>
      <c r="N3432" s="63">
        <v>1996.0</v>
      </c>
      <c r="O3432" s="63" t="s">
        <v>388</v>
      </c>
      <c r="P3432" s="63">
        <v>1.0</v>
      </c>
      <c r="Q3432" s="276"/>
      <c r="R3432" s="67"/>
      <c r="S3432" s="34"/>
      <c r="T3432" s="34"/>
      <c r="U3432" s="34"/>
      <c r="V3432" s="34"/>
      <c r="W3432" s="34"/>
      <c r="X3432" s="34"/>
      <c r="Y3432" s="45"/>
      <c r="Z3432" s="45"/>
      <c r="AA3432" s="45"/>
      <c r="AB3432" s="45"/>
      <c r="AC3432" s="45"/>
      <c r="AD3432" s="45"/>
      <c r="AE3432" s="45"/>
      <c r="AF3432" s="45"/>
      <c r="AG3432" s="45"/>
      <c r="AH3432" s="45"/>
      <c r="AI3432" s="45"/>
      <c r="AJ3432" s="45"/>
      <c r="AK3432" s="45"/>
      <c r="AL3432" s="45"/>
    </row>
    <row r="3433" ht="15.75" customHeight="1">
      <c r="A3433" s="27">
        <f t="shared" si="25"/>
        <v>4256</v>
      </c>
      <c r="B3433" s="63" t="s">
        <v>11630</v>
      </c>
      <c r="C3433" s="275" t="s">
        <v>11934</v>
      </c>
      <c r="D3433" s="65" t="s">
        <v>11935</v>
      </c>
      <c r="E3433" s="63" t="s">
        <v>144</v>
      </c>
      <c r="F3433" s="63" t="s">
        <v>29</v>
      </c>
      <c r="G3433" s="63" t="s">
        <v>30</v>
      </c>
      <c r="H3433" s="63"/>
      <c r="I3433" s="63" t="s">
        <v>30</v>
      </c>
      <c r="J3433" s="63">
        <f>244</f>
        <v>244</v>
      </c>
      <c r="K3433" s="63"/>
      <c r="L3433" s="63" t="s">
        <v>5233</v>
      </c>
      <c r="M3433" s="63" t="s">
        <v>11936</v>
      </c>
      <c r="N3433" s="63"/>
      <c r="O3433" s="63" t="s">
        <v>388</v>
      </c>
      <c r="P3433" s="63">
        <v>1.0</v>
      </c>
      <c r="Q3433" s="276"/>
      <c r="R3433" s="67"/>
      <c r="S3433" s="34"/>
      <c r="T3433" s="34"/>
      <c r="U3433" s="34"/>
      <c r="V3433" s="34"/>
      <c r="W3433" s="34"/>
      <c r="X3433" s="34"/>
      <c r="Y3433" s="3"/>
      <c r="Z3433" s="3"/>
      <c r="AA3433" s="3"/>
      <c r="AB3433" s="3"/>
      <c r="AC3433" s="3"/>
      <c r="AD3433" s="3"/>
      <c r="AE3433" s="3"/>
      <c r="AF3433" s="3"/>
      <c r="AG3433" s="3"/>
      <c r="AH3433" s="3"/>
      <c r="AI3433" s="3"/>
      <c r="AJ3433" s="3"/>
      <c r="AK3433" s="3"/>
      <c r="AL3433" s="3"/>
    </row>
    <row r="3434" ht="15.75" customHeight="1">
      <c r="A3434" s="27">
        <f t="shared" si="25"/>
        <v>4257</v>
      </c>
      <c r="B3434" s="63"/>
      <c r="C3434" s="275" t="s">
        <v>11937</v>
      </c>
      <c r="D3434" s="65" t="s">
        <v>11938</v>
      </c>
      <c r="E3434" s="63" t="s">
        <v>144</v>
      </c>
      <c r="F3434" s="63" t="s">
        <v>29</v>
      </c>
      <c r="G3434" s="63" t="s">
        <v>30</v>
      </c>
      <c r="H3434" s="63"/>
      <c r="I3434" s="63" t="s">
        <v>30</v>
      </c>
      <c r="J3434" s="63">
        <f>151+8</f>
        <v>159</v>
      </c>
      <c r="K3434" s="63"/>
      <c r="L3434" s="63" t="s">
        <v>2474</v>
      </c>
      <c r="M3434" s="63" t="s">
        <v>151</v>
      </c>
      <c r="N3434" s="63">
        <v>1990.0</v>
      </c>
      <c r="O3434" s="63" t="s">
        <v>388</v>
      </c>
      <c r="P3434" s="63">
        <v>1.0</v>
      </c>
      <c r="Q3434" s="276"/>
      <c r="R3434" s="67"/>
      <c r="S3434" s="34"/>
      <c r="T3434" s="34"/>
      <c r="U3434" s="34"/>
      <c r="V3434" s="34"/>
      <c r="W3434" s="34"/>
      <c r="X3434" s="34"/>
      <c r="Y3434" s="45"/>
      <c r="Z3434" s="45"/>
      <c r="AA3434" s="45"/>
      <c r="AB3434" s="45"/>
      <c r="AC3434" s="45"/>
      <c r="AD3434" s="45"/>
      <c r="AE3434" s="45"/>
      <c r="AF3434" s="45"/>
      <c r="AG3434" s="45"/>
      <c r="AH3434" s="45"/>
      <c r="AI3434" s="45"/>
      <c r="AJ3434" s="45"/>
      <c r="AK3434" s="45"/>
      <c r="AL3434" s="45"/>
    </row>
    <row r="3435" ht="15.75" customHeight="1">
      <c r="A3435" s="27">
        <f t="shared" si="25"/>
        <v>4258</v>
      </c>
      <c r="B3435" s="63" t="s">
        <v>31</v>
      </c>
      <c r="C3435" s="275" t="s">
        <v>11939</v>
      </c>
      <c r="D3435" s="65" t="s">
        <v>11940</v>
      </c>
      <c r="E3435" s="63" t="s">
        <v>137</v>
      </c>
      <c r="F3435" s="63" t="s">
        <v>29</v>
      </c>
      <c r="G3435" s="63" t="s">
        <v>5747</v>
      </c>
      <c r="H3435" s="63"/>
      <c r="I3435" s="63" t="s">
        <v>38</v>
      </c>
      <c r="J3435" s="63">
        <v>248.0</v>
      </c>
      <c r="K3435" s="63"/>
      <c r="L3435" s="63" t="s">
        <v>31</v>
      </c>
      <c r="M3435" s="63" t="s">
        <v>11941</v>
      </c>
      <c r="N3435" s="63">
        <v>1999.0</v>
      </c>
      <c r="O3435" s="63" t="s">
        <v>388</v>
      </c>
      <c r="P3435" s="63">
        <v>1.0</v>
      </c>
      <c r="Q3435" s="276"/>
      <c r="R3435" s="67"/>
      <c r="S3435" s="34"/>
      <c r="T3435" s="34"/>
      <c r="U3435" s="34"/>
      <c r="V3435" s="34"/>
      <c r="W3435" s="34"/>
      <c r="X3435" s="34"/>
      <c r="Y3435" s="45"/>
      <c r="Z3435" s="45"/>
      <c r="AA3435" s="45"/>
      <c r="AB3435" s="45"/>
      <c r="AC3435" s="45"/>
      <c r="AD3435" s="45"/>
      <c r="AE3435" s="45"/>
      <c r="AF3435" s="45"/>
      <c r="AG3435" s="45"/>
      <c r="AH3435" s="45"/>
      <c r="AI3435" s="45"/>
      <c r="AJ3435" s="45"/>
      <c r="AK3435" s="45"/>
      <c r="AL3435" s="45"/>
    </row>
    <row r="3436" ht="15.75" customHeight="1">
      <c r="A3436" s="27">
        <f t="shared" si="25"/>
        <v>4259</v>
      </c>
      <c r="B3436" s="63" t="s">
        <v>31</v>
      </c>
      <c r="C3436" s="275" t="s">
        <v>11939</v>
      </c>
      <c r="D3436" s="65" t="s">
        <v>11942</v>
      </c>
      <c r="E3436" s="63" t="s">
        <v>137</v>
      </c>
      <c r="F3436" s="63" t="s">
        <v>29</v>
      </c>
      <c r="G3436" s="63" t="s">
        <v>5747</v>
      </c>
      <c r="H3436" s="63"/>
      <c r="I3436" s="63" t="s">
        <v>38</v>
      </c>
      <c r="J3436" s="63">
        <v>152.0</v>
      </c>
      <c r="K3436" s="63"/>
      <c r="L3436" s="63" t="s">
        <v>31</v>
      </c>
      <c r="M3436" s="63" t="s">
        <v>11941</v>
      </c>
      <c r="N3436" s="63">
        <v>1999.0</v>
      </c>
      <c r="O3436" s="63" t="s">
        <v>388</v>
      </c>
      <c r="P3436" s="63">
        <v>1.0</v>
      </c>
      <c r="Q3436" s="276"/>
      <c r="R3436" s="67"/>
      <c r="S3436" s="34"/>
      <c r="T3436" s="34"/>
      <c r="U3436" s="34"/>
      <c r="V3436" s="34"/>
      <c r="W3436" s="34"/>
      <c r="X3436" s="34"/>
      <c r="Y3436" s="45"/>
      <c r="Z3436" s="45"/>
      <c r="AA3436" s="45"/>
      <c r="AB3436" s="45"/>
      <c r="AC3436" s="45"/>
      <c r="AD3436" s="45"/>
      <c r="AE3436" s="45"/>
      <c r="AF3436" s="45"/>
      <c r="AG3436" s="45"/>
      <c r="AH3436" s="45"/>
      <c r="AI3436" s="45"/>
      <c r="AJ3436" s="45"/>
      <c r="AK3436" s="45"/>
      <c r="AL3436" s="45"/>
    </row>
    <row r="3437" ht="15.75" customHeight="1">
      <c r="A3437" s="27">
        <f t="shared" si="25"/>
        <v>4260</v>
      </c>
      <c r="B3437" s="63" t="s">
        <v>11943</v>
      </c>
      <c r="C3437" s="275" t="s">
        <v>11944</v>
      </c>
      <c r="D3437" s="65" t="s">
        <v>11945</v>
      </c>
      <c r="E3437" s="63" t="s">
        <v>137</v>
      </c>
      <c r="F3437" s="63" t="s">
        <v>29</v>
      </c>
      <c r="G3437" s="63" t="s">
        <v>38</v>
      </c>
      <c r="H3437" s="63"/>
      <c r="I3437" s="63" t="s">
        <v>38</v>
      </c>
      <c r="J3437" s="63">
        <v>64.0</v>
      </c>
      <c r="K3437" s="63"/>
      <c r="L3437" s="63" t="s">
        <v>11946</v>
      </c>
      <c r="M3437" s="63" t="s">
        <v>1203</v>
      </c>
      <c r="N3437" s="63">
        <v>1999.0</v>
      </c>
      <c r="O3437" s="63" t="s">
        <v>388</v>
      </c>
      <c r="P3437" s="63">
        <v>1.0</v>
      </c>
      <c r="Q3437" s="276"/>
      <c r="R3437" s="67"/>
      <c r="S3437" s="34"/>
      <c r="T3437" s="34"/>
      <c r="U3437" s="34"/>
      <c r="V3437" s="34"/>
      <c r="W3437" s="34"/>
      <c r="X3437" s="34"/>
      <c r="Y3437" s="45"/>
      <c r="Z3437" s="45"/>
      <c r="AA3437" s="45"/>
      <c r="AB3437" s="45"/>
      <c r="AC3437" s="45"/>
      <c r="AD3437" s="45"/>
      <c r="AE3437" s="45"/>
      <c r="AF3437" s="45"/>
      <c r="AG3437" s="45"/>
      <c r="AH3437" s="45"/>
      <c r="AI3437" s="45"/>
      <c r="AJ3437" s="45"/>
      <c r="AK3437" s="45"/>
      <c r="AL3437" s="45"/>
    </row>
    <row r="3438" ht="15.75" customHeight="1">
      <c r="A3438" s="27">
        <f t="shared" si="25"/>
        <v>4261</v>
      </c>
      <c r="B3438" s="63" t="s">
        <v>31</v>
      </c>
      <c r="C3438" s="275" t="s">
        <v>11947</v>
      </c>
      <c r="D3438" s="65" t="s">
        <v>11948</v>
      </c>
      <c r="E3438" s="63" t="s">
        <v>31</v>
      </c>
      <c r="F3438" s="63" t="s">
        <v>29</v>
      </c>
      <c r="G3438" s="63" t="s">
        <v>30</v>
      </c>
      <c r="H3438" s="63"/>
      <c r="I3438" s="63" t="s">
        <v>30</v>
      </c>
      <c r="J3438" s="63">
        <v>200.0</v>
      </c>
      <c r="K3438" s="63"/>
      <c r="L3438" s="63" t="s">
        <v>7971</v>
      </c>
      <c r="M3438" s="63" t="s">
        <v>151</v>
      </c>
      <c r="N3438" s="63">
        <v>1966.0</v>
      </c>
      <c r="O3438" s="63" t="s">
        <v>388</v>
      </c>
      <c r="P3438" s="63">
        <v>1.0</v>
      </c>
      <c r="Q3438" s="276"/>
      <c r="R3438" s="67"/>
      <c r="S3438" s="34"/>
      <c r="T3438" s="34"/>
      <c r="U3438" s="34"/>
      <c r="V3438" s="34"/>
      <c r="W3438" s="34"/>
      <c r="X3438" s="34"/>
      <c r="Y3438" s="3"/>
      <c r="Z3438" s="3"/>
      <c r="AA3438" s="3"/>
      <c r="AB3438" s="3"/>
      <c r="AC3438" s="3"/>
      <c r="AD3438" s="3"/>
      <c r="AE3438" s="3"/>
      <c r="AF3438" s="3"/>
      <c r="AG3438" s="3"/>
      <c r="AH3438" s="3"/>
      <c r="AI3438" s="3"/>
      <c r="AJ3438" s="3"/>
      <c r="AK3438" s="3"/>
      <c r="AL3438" s="3"/>
    </row>
    <row r="3439" ht="15.75" customHeight="1">
      <c r="A3439" s="27">
        <f t="shared" si="25"/>
        <v>4262</v>
      </c>
      <c r="B3439" s="63" t="s">
        <v>7430</v>
      </c>
      <c r="C3439" s="275" t="s">
        <v>11949</v>
      </c>
      <c r="D3439" s="65" t="s">
        <v>11950</v>
      </c>
      <c r="E3439" s="63" t="s">
        <v>144</v>
      </c>
      <c r="F3439" s="63" t="s">
        <v>29</v>
      </c>
      <c r="G3439" s="63" t="s">
        <v>30</v>
      </c>
      <c r="H3439" s="63"/>
      <c r="I3439" s="63" t="s">
        <v>30</v>
      </c>
      <c r="J3439" s="63">
        <f>726+15</f>
        <v>741</v>
      </c>
      <c r="K3439" s="63"/>
      <c r="L3439" s="63" t="s">
        <v>11951</v>
      </c>
      <c r="M3439" s="63" t="s">
        <v>151</v>
      </c>
      <c r="N3439" s="63">
        <v>1989.0</v>
      </c>
      <c r="O3439" s="63" t="s">
        <v>388</v>
      </c>
      <c r="P3439" s="63">
        <v>1.0</v>
      </c>
      <c r="Q3439" s="276">
        <v>1.0</v>
      </c>
      <c r="R3439" s="67"/>
      <c r="S3439" s="34"/>
      <c r="T3439" s="34"/>
      <c r="U3439" s="34"/>
      <c r="V3439" s="34"/>
      <c r="W3439" s="34"/>
      <c r="X3439" s="34"/>
      <c r="Y3439" s="45"/>
      <c r="Z3439" s="45"/>
      <c r="AA3439" s="45"/>
      <c r="AB3439" s="45"/>
      <c r="AC3439" s="45"/>
      <c r="AD3439" s="45"/>
      <c r="AE3439" s="45"/>
      <c r="AF3439" s="45"/>
      <c r="AG3439" s="45"/>
      <c r="AH3439" s="45"/>
      <c r="AI3439" s="45"/>
      <c r="AJ3439" s="45"/>
      <c r="AK3439" s="45"/>
      <c r="AL3439" s="45"/>
    </row>
    <row r="3440" ht="15.75" customHeight="1">
      <c r="A3440" s="27">
        <f t="shared" si="25"/>
        <v>4263</v>
      </c>
      <c r="B3440" s="63" t="s">
        <v>31</v>
      </c>
      <c r="C3440" s="275" t="s">
        <v>11952</v>
      </c>
      <c r="D3440" s="65" t="s">
        <v>11953</v>
      </c>
      <c r="E3440" s="63" t="s">
        <v>31</v>
      </c>
      <c r="F3440" s="63" t="s">
        <v>29</v>
      </c>
      <c r="G3440" s="63" t="s">
        <v>30</v>
      </c>
      <c r="H3440" s="63"/>
      <c r="I3440" s="63" t="s">
        <v>30</v>
      </c>
      <c r="J3440" s="63">
        <v>270.0</v>
      </c>
      <c r="K3440" s="63"/>
      <c r="L3440" s="63" t="s">
        <v>11954</v>
      </c>
      <c r="M3440" s="63" t="s">
        <v>7544</v>
      </c>
      <c r="N3440" s="63">
        <v>2006.0</v>
      </c>
      <c r="O3440" s="63" t="s">
        <v>388</v>
      </c>
      <c r="P3440" s="63">
        <v>1.0</v>
      </c>
      <c r="Q3440" s="276">
        <v>1.0</v>
      </c>
      <c r="R3440" s="67"/>
      <c r="S3440" s="34"/>
      <c r="T3440" s="34"/>
      <c r="U3440" s="34"/>
      <c r="V3440" s="34"/>
      <c r="W3440" s="34"/>
      <c r="X3440" s="34"/>
      <c r="Y3440" s="3"/>
      <c r="Z3440" s="3"/>
      <c r="AA3440" s="3"/>
      <c r="AB3440" s="3"/>
      <c r="AC3440" s="3"/>
      <c r="AD3440" s="3"/>
      <c r="AE3440" s="3"/>
      <c r="AF3440" s="3"/>
      <c r="AG3440" s="3"/>
      <c r="AH3440" s="3"/>
      <c r="AI3440" s="3"/>
      <c r="AJ3440" s="3"/>
      <c r="AK3440" s="3"/>
      <c r="AL3440" s="3"/>
    </row>
    <row r="3441" ht="15.75" customHeight="1">
      <c r="A3441" s="27">
        <f t="shared" si="25"/>
        <v>4264</v>
      </c>
      <c r="B3441" s="63"/>
      <c r="C3441" s="275" t="s">
        <v>11955</v>
      </c>
      <c r="D3441" s="65" t="s">
        <v>11956</v>
      </c>
      <c r="E3441" s="63" t="s">
        <v>144</v>
      </c>
      <c r="F3441" s="63" t="s">
        <v>29</v>
      </c>
      <c r="G3441" s="63" t="s">
        <v>30</v>
      </c>
      <c r="H3441" s="63"/>
      <c r="I3441" s="63" t="s">
        <v>30</v>
      </c>
      <c r="J3441" s="63">
        <v>63.0</v>
      </c>
      <c r="K3441" s="63"/>
      <c r="L3441" s="63" t="s">
        <v>7977</v>
      </c>
      <c r="M3441" s="63" t="s">
        <v>7978</v>
      </c>
      <c r="N3441" s="63">
        <v>1993.0</v>
      </c>
      <c r="O3441" s="63" t="s">
        <v>388</v>
      </c>
      <c r="P3441" s="63">
        <v>1.0</v>
      </c>
      <c r="Q3441" s="276">
        <v>1.0</v>
      </c>
      <c r="R3441" s="67"/>
      <c r="S3441" s="34"/>
      <c r="T3441" s="34"/>
      <c r="U3441" s="34"/>
      <c r="V3441" s="34"/>
      <c r="W3441" s="34"/>
      <c r="X3441" s="34"/>
      <c r="Y3441" s="45"/>
      <c r="Z3441" s="45"/>
      <c r="AA3441" s="45"/>
      <c r="AB3441" s="45"/>
      <c r="AC3441" s="45"/>
      <c r="AD3441" s="45"/>
      <c r="AE3441" s="45"/>
      <c r="AF3441" s="45"/>
      <c r="AG3441" s="45"/>
      <c r="AH3441" s="45"/>
      <c r="AI3441" s="45"/>
      <c r="AJ3441" s="45"/>
      <c r="AK3441" s="45"/>
      <c r="AL3441" s="45"/>
    </row>
    <row r="3442" ht="15.75" customHeight="1">
      <c r="A3442" s="27">
        <f t="shared" si="25"/>
        <v>4265</v>
      </c>
      <c r="B3442" s="49" t="s">
        <v>11957</v>
      </c>
      <c r="C3442" s="272" t="s">
        <v>11958</v>
      </c>
      <c r="D3442" s="55" t="s">
        <v>11959</v>
      </c>
      <c r="E3442" s="49" t="s">
        <v>31</v>
      </c>
      <c r="F3442" s="49" t="s">
        <v>29</v>
      </c>
      <c r="G3442" s="49" t="s">
        <v>30</v>
      </c>
      <c r="H3442" s="49"/>
      <c r="I3442" s="49" t="s">
        <v>30</v>
      </c>
      <c r="J3442" s="49">
        <v>116.0</v>
      </c>
      <c r="K3442" s="49"/>
      <c r="L3442" s="49" t="s">
        <v>11960</v>
      </c>
      <c r="M3442" s="49" t="s">
        <v>544</v>
      </c>
      <c r="N3442" s="49">
        <v>2007.0</v>
      </c>
      <c r="O3442" s="49" t="s">
        <v>388</v>
      </c>
      <c r="P3442" s="49">
        <v>1.0</v>
      </c>
      <c r="Q3442" s="56"/>
      <c r="R3442" s="54"/>
      <c r="S3442" s="34"/>
      <c r="T3442" s="34"/>
      <c r="U3442" s="34"/>
      <c r="V3442" s="34"/>
      <c r="W3442" s="34"/>
      <c r="X3442" s="34"/>
      <c r="Y3442" s="45"/>
      <c r="Z3442" s="45"/>
      <c r="AA3442" s="45"/>
      <c r="AB3442" s="45"/>
      <c r="AC3442" s="45"/>
      <c r="AD3442" s="45"/>
      <c r="AE3442" s="45"/>
      <c r="AF3442" s="45"/>
      <c r="AG3442" s="45"/>
      <c r="AH3442" s="45"/>
      <c r="AI3442" s="45"/>
      <c r="AJ3442" s="45"/>
      <c r="AK3442" s="45"/>
      <c r="AL3442" s="45"/>
    </row>
    <row r="3443" ht="15.75" customHeight="1">
      <c r="A3443" s="27">
        <f t="shared" si="25"/>
        <v>4266</v>
      </c>
      <c r="B3443" s="49"/>
      <c r="C3443" s="272" t="s">
        <v>11961</v>
      </c>
      <c r="D3443" s="55" t="s">
        <v>11962</v>
      </c>
      <c r="E3443" s="49" t="s">
        <v>7510</v>
      </c>
      <c r="F3443" s="49" t="s">
        <v>29</v>
      </c>
      <c r="G3443" s="49" t="s">
        <v>30</v>
      </c>
      <c r="H3443" s="49"/>
      <c r="I3443" s="49" t="s">
        <v>30</v>
      </c>
      <c r="J3443" s="49">
        <v>92.0</v>
      </c>
      <c r="K3443" s="49"/>
      <c r="L3443" s="49" t="s">
        <v>11963</v>
      </c>
      <c r="M3443" s="49" t="s">
        <v>11963</v>
      </c>
      <c r="N3443" s="49">
        <v>2005.0</v>
      </c>
      <c r="O3443" s="49" t="s">
        <v>388</v>
      </c>
      <c r="P3443" s="49">
        <v>1.0</v>
      </c>
      <c r="Q3443" s="56">
        <v>1.0</v>
      </c>
      <c r="R3443" s="54"/>
      <c r="S3443" s="34"/>
      <c r="T3443" s="34"/>
      <c r="U3443" s="34"/>
      <c r="V3443" s="34"/>
      <c r="W3443" s="34"/>
      <c r="X3443" s="34"/>
      <c r="Y3443" s="45"/>
      <c r="Z3443" s="45"/>
      <c r="AA3443" s="45"/>
      <c r="AB3443" s="45"/>
      <c r="AC3443" s="45"/>
      <c r="AD3443" s="45"/>
      <c r="AE3443" s="45"/>
      <c r="AF3443" s="45"/>
      <c r="AG3443" s="45"/>
      <c r="AH3443" s="45"/>
      <c r="AI3443" s="45"/>
      <c r="AJ3443" s="45"/>
      <c r="AK3443" s="45"/>
      <c r="AL3443" s="45"/>
    </row>
    <row r="3444" ht="15.75" customHeight="1">
      <c r="A3444" s="27">
        <f t="shared" si="25"/>
        <v>4267</v>
      </c>
      <c r="B3444" s="49" t="s">
        <v>7512</v>
      </c>
      <c r="C3444" s="272" t="s">
        <v>11964</v>
      </c>
      <c r="D3444" s="55" t="s">
        <v>11965</v>
      </c>
      <c r="E3444" s="49"/>
      <c r="F3444" s="49" t="s">
        <v>29</v>
      </c>
      <c r="G3444" s="49" t="s">
        <v>30</v>
      </c>
      <c r="H3444" s="49" t="s">
        <v>31</v>
      </c>
      <c r="I3444" s="49" t="s">
        <v>30</v>
      </c>
      <c r="J3444" s="49">
        <v>98.0</v>
      </c>
      <c r="K3444" s="49"/>
      <c r="L3444" s="49" t="s">
        <v>7515</v>
      </c>
      <c r="M3444" s="49" t="s">
        <v>2463</v>
      </c>
      <c r="N3444" s="49">
        <v>2005.0</v>
      </c>
      <c r="O3444" s="49" t="s">
        <v>388</v>
      </c>
      <c r="P3444" s="49">
        <v>1.0</v>
      </c>
      <c r="Q3444" s="56"/>
      <c r="R3444" s="54"/>
      <c r="S3444" s="34"/>
      <c r="T3444" s="34"/>
      <c r="U3444" s="34"/>
      <c r="V3444" s="34"/>
      <c r="W3444" s="34"/>
      <c r="X3444" s="34"/>
      <c r="Y3444" s="45"/>
      <c r="Z3444" s="45"/>
      <c r="AA3444" s="45"/>
      <c r="AB3444" s="45"/>
      <c r="AC3444" s="45"/>
      <c r="AD3444" s="45"/>
      <c r="AE3444" s="45"/>
      <c r="AF3444" s="45"/>
      <c r="AG3444" s="45"/>
      <c r="AH3444" s="45"/>
      <c r="AI3444" s="45"/>
      <c r="AJ3444" s="45"/>
      <c r="AK3444" s="45"/>
      <c r="AL3444" s="45"/>
    </row>
    <row r="3445" ht="15.75" customHeight="1">
      <c r="A3445" s="27">
        <f t="shared" si="25"/>
        <v>4268</v>
      </c>
      <c r="B3445" s="49" t="s">
        <v>11966</v>
      </c>
      <c r="C3445" s="272" t="s">
        <v>11967</v>
      </c>
      <c r="D3445" s="55" t="s">
        <v>11968</v>
      </c>
      <c r="E3445" s="49" t="s">
        <v>31</v>
      </c>
      <c r="F3445" s="49" t="s">
        <v>29</v>
      </c>
      <c r="G3445" s="49" t="s">
        <v>30</v>
      </c>
      <c r="H3445" s="49"/>
      <c r="I3445" s="49" t="s">
        <v>30</v>
      </c>
      <c r="J3445" s="49">
        <v>216.0</v>
      </c>
      <c r="K3445" s="49"/>
      <c r="L3445" s="49" t="s">
        <v>11969</v>
      </c>
      <c r="M3445" s="49" t="s">
        <v>2463</v>
      </c>
      <c r="N3445" s="49">
        <v>2001.0</v>
      </c>
      <c r="O3445" s="49" t="s">
        <v>388</v>
      </c>
      <c r="P3445" s="49">
        <v>1.0</v>
      </c>
      <c r="Q3445" s="56"/>
      <c r="R3445" s="54"/>
      <c r="S3445" s="34"/>
      <c r="T3445" s="34"/>
      <c r="U3445" s="34"/>
      <c r="V3445" s="34"/>
      <c r="W3445" s="34"/>
      <c r="X3445" s="34"/>
      <c r="Y3445" s="3"/>
      <c r="Z3445" s="3"/>
      <c r="AA3445" s="3"/>
      <c r="AB3445" s="3"/>
      <c r="AC3445" s="3"/>
      <c r="AD3445" s="3"/>
      <c r="AE3445" s="3"/>
      <c r="AF3445" s="3"/>
      <c r="AG3445" s="3"/>
      <c r="AH3445" s="3"/>
      <c r="AI3445" s="3"/>
      <c r="AJ3445" s="3"/>
      <c r="AK3445" s="3"/>
      <c r="AL3445" s="3"/>
    </row>
    <row r="3446" ht="15.75" customHeight="1">
      <c r="A3446" s="27">
        <f t="shared" si="25"/>
        <v>4269</v>
      </c>
      <c r="B3446" s="49" t="s">
        <v>31</v>
      </c>
      <c r="C3446" s="272" t="s">
        <v>11970</v>
      </c>
      <c r="D3446" s="55" t="s">
        <v>11971</v>
      </c>
      <c r="E3446" s="49" t="s">
        <v>31</v>
      </c>
      <c r="F3446" s="49" t="s">
        <v>29</v>
      </c>
      <c r="G3446" s="49" t="s">
        <v>30</v>
      </c>
      <c r="H3446" s="49"/>
      <c r="I3446" s="49" t="s">
        <v>30</v>
      </c>
      <c r="J3446" s="49">
        <v>460.0</v>
      </c>
      <c r="K3446" s="49"/>
      <c r="L3446" s="49" t="s">
        <v>11972</v>
      </c>
      <c r="M3446" s="49" t="s">
        <v>151</v>
      </c>
      <c r="N3446" s="49">
        <v>1977.0</v>
      </c>
      <c r="O3446" s="49" t="s">
        <v>388</v>
      </c>
      <c r="P3446" s="49"/>
      <c r="Q3446" s="56"/>
      <c r="R3446" s="54"/>
      <c r="S3446" s="34"/>
      <c r="T3446" s="34"/>
      <c r="U3446" s="34"/>
      <c r="V3446" s="34"/>
      <c r="W3446" s="34"/>
      <c r="X3446" s="34"/>
      <c r="Y3446" s="45"/>
      <c r="Z3446" s="45"/>
      <c r="AA3446" s="45"/>
      <c r="AB3446" s="45"/>
      <c r="AC3446" s="45"/>
      <c r="AD3446" s="45"/>
      <c r="AE3446" s="45"/>
      <c r="AF3446" s="45"/>
      <c r="AG3446" s="45"/>
      <c r="AH3446" s="45"/>
      <c r="AI3446" s="45"/>
      <c r="AJ3446" s="45"/>
      <c r="AK3446" s="45"/>
      <c r="AL3446" s="45"/>
    </row>
    <row r="3447" ht="15.75" customHeight="1">
      <c r="A3447" s="27">
        <f t="shared" si="25"/>
        <v>4270</v>
      </c>
      <c r="B3447" s="49"/>
      <c r="C3447" s="272" t="s">
        <v>11973</v>
      </c>
      <c r="D3447" s="55" t="s">
        <v>11974</v>
      </c>
      <c r="E3447" s="49" t="s">
        <v>31</v>
      </c>
      <c r="F3447" s="49" t="s">
        <v>29</v>
      </c>
      <c r="G3447" s="49" t="s">
        <v>30</v>
      </c>
      <c r="H3447" s="49"/>
      <c r="I3447" s="49" t="s">
        <v>30</v>
      </c>
      <c r="J3447" s="49">
        <v>234.0</v>
      </c>
      <c r="K3447" s="49"/>
      <c r="L3447" s="49" t="s">
        <v>11975</v>
      </c>
      <c r="M3447" s="49" t="s">
        <v>4166</v>
      </c>
      <c r="N3447" s="49">
        <v>1997.0</v>
      </c>
      <c r="O3447" s="49" t="s">
        <v>388</v>
      </c>
      <c r="P3447" s="49">
        <v>1.0</v>
      </c>
      <c r="Q3447" s="56"/>
      <c r="R3447" s="54"/>
      <c r="S3447" s="34"/>
      <c r="T3447" s="34"/>
      <c r="U3447" s="34"/>
      <c r="V3447" s="34"/>
      <c r="W3447" s="34"/>
      <c r="X3447" s="34"/>
      <c r="Y3447" s="45"/>
      <c r="Z3447" s="45"/>
      <c r="AA3447" s="45"/>
      <c r="AB3447" s="45"/>
      <c r="AC3447" s="45"/>
      <c r="AD3447" s="45"/>
      <c r="AE3447" s="45"/>
      <c r="AF3447" s="45"/>
      <c r="AG3447" s="45"/>
      <c r="AH3447" s="45"/>
      <c r="AI3447" s="45"/>
      <c r="AJ3447" s="45"/>
      <c r="AK3447" s="45"/>
      <c r="AL3447" s="45"/>
    </row>
    <row r="3448" ht="15.75" customHeight="1">
      <c r="A3448" s="27">
        <f t="shared" si="25"/>
        <v>4271</v>
      </c>
      <c r="B3448" s="63"/>
      <c r="C3448" s="275" t="s">
        <v>11976</v>
      </c>
      <c r="D3448" s="65" t="s">
        <v>11977</v>
      </c>
      <c r="E3448" s="63" t="s">
        <v>144</v>
      </c>
      <c r="F3448" s="63" t="s">
        <v>29</v>
      </c>
      <c r="G3448" s="63" t="s">
        <v>30</v>
      </c>
      <c r="H3448" s="63" t="s">
        <v>31</v>
      </c>
      <c r="I3448" s="63" t="s">
        <v>30</v>
      </c>
      <c r="J3448" s="63">
        <v>102.0</v>
      </c>
      <c r="K3448" s="63"/>
      <c r="L3448" s="63" t="s">
        <v>11978</v>
      </c>
      <c r="M3448" s="63" t="s">
        <v>161</v>
      </c>
      <c r="N3448" s="63">
        <v>1975.0</v>
      </c>
      <c r="O3448" s="63" t="s">
        <v>388</v>
      </c>
      <c r="P3448" s="63">
        <v>1.0</v>
      </c>
      <c r="Q3448" s="276">
        <v>1.0</v>
      </c>
      <c r="R3448" s="67"/>
      <c r="S3448" s="34"/>
      <c r="T3448" s="34"/>
      <c r="U3448" s="34"/>
      <c r="V3448" s="34"/>
      <c r="W3448" s="34"/>
      <c r="X3448" s="34"/>
      <c r="Y3448" s="45"/>
      <c r="Z3448" s="45"/>
      <c r="AA3448" s="45"/>
      <c r="AB3448" s="45"/>
      <c r="AC3448" s="45"/>
      <c r="AD3448" s="45"/>
      <c r="AE3448" s="45"/>
      <c r="AF3448" s="45"/>
      <c r="AG3448" s="45"/>
      <c r="AH3448" s="45"/>
      <c r="AI3448" s="45"/>
      <c r="AJ3448" s="45"/>
      <c r="AK3448" s="45"/>
      <c r="AL3448" s="45"/>
    </row>
    <row r="3449" ht="15.75" customHeight="1">
      <c r="A3449" s="27">
        <f t="shared" si="25"/>
        <v>4272</v>
      </c>
      <c r="B3449" s="63" t="s">
        <v>6732</v>
      </c>
      <c r="C3449" s="275" t="s">
        <v>11979</v>
      </c>
      <c r="D3449" s="65" t="s">
        <v>11980</v>
      </c>
      <c r="E3449" s="63" t="s">
        <v>31</v>
      </c>
      <c r="F3449" s="63" t="s">
        <v>29</v>
      </c>
      <c r="G3449" s="63" t="s">
        <v>30</v>
      </c>
      <c r="H3449" s="63"/>
      <c r="I3449" s="63" t="s">
        <v>30</v>
      </c>
      <c r="J3449" s="63">
        <v>172.0</v>
      </c>
      <c r="K3449" s="63"/>
      <c r="L3449" s="63" t="s">
        <v>6735</v>
      </c>
      <c r="M3449" s="63" t="s">
        <v>4166</v>
      </c>
      <c r="N3449" s="63">
        <v>2009.0</v>
      </c>
      <c r="O3449" s="63" t="s">
        <v>388</v>
      </c>
      <c r="P3449" s="63">
        <v>1.0</v>
      </c>
      <c r="Q3449" s="276"/>
      <c r="R3449" s="67"/>
      <c r="S3449" s="34"/>
      <c r="T3449" s="34"/>
      <c r="U3449" s="34"/>
      <c r="V3449" s="34"/>
      <c r="W3449" s="34"/>
      <c r="X3449" s="34"/>
      <c r="Y3449" s="45"/>
      <c r="Z3449" s="45"/>
      <c r="AA3449" s="45"/>
      <c r="AB3449" s="45"/>
      <c r="AC3449" s="45"/>
      <c r="AD3449" s="45"/>
      <c r="AE3449" s="45"/>
      <c r="AF3449" s="45"/>
      <c r="AG3449" s="45"/>
      <c r="AH3449" s="45"/>
      <c r="AI3449" s="45"/>
      <c r="AJ3449" s="45"/>
      <c r="AK3449" s="45"/>
      <c r="AL3449" s="45"/>
    </row>
    <row r="3450" ht="15.75" customHeight="1">
      <c r="A3450" s="27">
        <f t="shared" si="25"/>
        <v>4273</v>
      </c>
      <c r="B3450" s="63" t="s">
        <v>11981</v>
      </c>
      <c r="C3450" s="275" t="s">
        <v>11982</v>
      </c>
      <c r="D3450" s="65" t="s">
        <v>11983</v>
      </c>
      <c r="E3450" s="63" t="s">
        <v>31</v>
      </c>
      <c r="F3450" s="63" t="s">
        <v>29</v>
      </c>
      <c r="G3450" s="63" t="s">
        <v>30</v>
      </c>
      <c r="H3450" s="63"/>
      <c r="I3450" s="63" t="s">
        <v>30</v>
      </c>
      <c r="J3450" s="63">
        <v>140.0</v>
      </c>
      <c r="K3450" s="63"/>
      <c r="L3450" s="63" t="s">
        <v>11984</v>
      </c>
      <c r="M3450" s="63" t="s">
        <v>151</v>
      </c>
      <c r="N3450" s="63">
        <v>2008.0</v>
      </c>
      <c r="O3450" s="63" t="s">
        <v>388</v>
      </c>
      <c r="P3450" s="63">
        <v>1.0</v>
      </c>
      <c r="Q3450" s="276">
        <v>1.0</v>
      </c>
      <c r="R3450" s="67"/>
      <c r="S3450" s="34"/>
      <c r="T3450" s="34"/>
      <c r="U3450" s="34"/>
      <c r="V3450" s="34"/>
      <c r="W3450" s="34"/>
      <c r="X3450" s="34"/>
      <c r="Y3450" s="3"/>
      <c r="Z3450" s="3"/>
      <c r="AA3450" s="3"/>
      <c r="AB3450" s="3"/>
      <c r="AC3450" s="3"/>
      <c r="AD3450" s="3"/>
      <c r="AE3450" s="3"/>
      <c r="AF3450" s="3"/>
      <c r="AG3450" s="3"/>
      <c r="AH3450" s="3"/>
      <c r="AI3450" s="3"/>
      <c r="AJ3450" s="3"/>
      <c r="AK3450" s="3"/>
      <c r="AL3450" s="3"/>
    </row>
    <row r="3451" ht="15.75" customHeight="1">
      <c r="A3451" s="27">
        <f t="shared" si="25"/>
        <v>4274</v>
      </c>
      <c r="B3451" s="63" t="s">
        <v>7712</v>
      </c>
      <c r="C3451" s="275" t="s">
        <v>11985</v>
      </c>
      <c r="D3451" s="65" t="s">
        <v>7714</v>
      </c>
      <c r="E3451" s="63" t="s">
        <v>31</v>
      </c>
      <c r="F3451" s="63" t="s">
        <v>29</v>
      </c>
      <c r="G3451" s="63" t="s">
        <v>30</v>
      </c>
      <c r="H3451" s="63"/>
      <c r="I3451" s="63" t="s">
        <v>30</v>
      </c>
      <c r="J3451" s="63">
        <v>442.0</v>
      </c>
      <c r="K3451" s="63"/>
      <c r="L3451" s="63" t="s">
        <v>11986</v>
      </c>
      <c r="M3451" s="63" t="s">
        <v>151</v>
      </c>
      <c r="N3451" s="63">
        <v>1996.0</v>
      </c>
      <c r="O3451" s="63" t="s">
        <v>388</v>
      </c>
      <c r="P3451" s="63">
        <v>1.0</v>
      </c>
      <c r="Q3451" s="276"/>
      <c r="R3451" s="67"/>
      <c r="S3451" s="34"/>
      <c r="T3451" s="34"/>
      <c r="U3451" s="34"/>
      <c r="V3451" s="34"/>
      <c r="W3451" s="34"/>
      <c r="X3451" s="34"/>
      <c r="Y3451" s="45"/>
      <c r="Z3451" s="45"/>
      <c r="AA3451" s="45"/>
      <c r="AB3451" s="45"/>
      <c r="AC3451" s="45"/>
      <c r="AD3451" s="45"/>
      <c r="AE3451" s="45"/>
      <c r="AF3451" s="45"/>
      <c r="AG3451" s="45"/>
      <c r="AH3451" s="45"/>
      <c r="AI3451" s="45"/>
      <c r="AJ3451" s="45"/>
      <c r="AK3451" s="45"/>
      <c r="AL3451" s="45"/>
    </row>
    <row r="3452" ht="15.75" customHeight="1">
      <c r="A3452" s="27">
        <f t="shared" si="25"/>
        <v>4275</v>
      </c>
      <c r="B3452" s="63" t="s">
        <v>31</v>
      </c>
      <c r="C3452" s="275" t="s">
        <v>7724</v>
      </c>
      <c r="D3452" s="65" t="s">
        <v>7725</v>
      </c>
      <c r="E3452" s="63" t="s">
        <v>31</v>
      </c>
      <c r="F3452" s="63" t="s">
        <v>29</v>
      </c>
      <c r="G3452" s="63" t="s">
        <v>30</v>
      </c>
      <c r="H3452" s="63"/>
      <c r="I3452" s="63" t="s">
        <v>30</v>
      </c>
      <c r="J3452" s="63">
        <v>176.0</v>
      </c>
      <c r="K3452" s="63"/>
      <c r="L3452" s="63" t="s">
        <v>7726</v>
      </c>
      <c r="M3452" s="63" t="s">
        <v>151</v>
      </c>
      <c r="N3452" s="63">
        <v>1983.0</v>
      </c>
      <c r="O3452" s="63" t="s">
        <v>388</v>
      </c>
      <c r="P3452" s="63">
        <v>1.0</v>
      </c>
      <c r="Q3452" s="276"/>
      <c r="R3452" s="67"/>
      <c r="S3452" s="34"/>
      <c r="T3452" s="34"/>
      <c r="U3452" s="34"/>
      <c r="V3452" s="34"/>
      <c r="W3452" s="34"/>
      <c r="X3452" s="34"/>
      <c r="Y3452" s="45"/>
      <c r="Z3452" s="45"/>
      <c r="AA3452" s="45"/>
      <c r="AB3452" s="45"/>
      <c r="AC3452" s="45"/>
      <c r="AD3452" s="45"/>
      <c r="AE3452" s="45"/>
      <c r="AF3452" s="45"/>
      <c r="AG3452" s="45"/>
      <c r="AH3452" s="45"/>
      <c r="AI3452" s="45"/>
      <c r="AJ3452" s="45"/>
      <c r="AK3452" s="45"/>
      <c r="AL3452" s="45"/>
    </row>
    <row r="3453" ht="15.75" customHeight="1">
      <c r="A3453" s="27">
        <f t="shared" si="25"/>
        <v>4276</v>
      </c>
      <c r="B3453" s="63"/>
      <c r="C3453" s="275" t="s">
        <v>11987</v>
      </c>
      <c r="D3453" s="65" t="s">
        <v>11988</v>
      </c>
      <c r="E3453" s="63" t="s">
        <v>144</v>
      </c>
      <c r="F3453" s="63" t="s">
        <v>29</v>
      </c>
      <c r="G3453" s="63" t="s">
        <v>30</v>
      </c>
      <c r="H3453" s="63"/>
      <c r="I3453" s="63" t="s">
        <v>30</v>
      </c>
      <c r="J3453" s="63">
        <v>267.0</v>
      </c>
      <c r="K3453" s="63"/>
      <c r="L3453" s="63" t="s">
        <v>7741</v>
      </c>
      <c r="M3453" s="63" t="s">
        <v>7742</v>
      </c>
      <c r="N3453" s="63">
        <v>1982.0</v>
      </c>
      <c r="O3453" s="63" t="s">
        <v>388</v>
      </c>
      <c r="P3453" s="63">
        <v>1.0</v>
      </c>
      <c r="Q3453" s="276">
        <v>1.0</v>
      </c>
      <c r="R3453" s="67"/>
      <c r="S3453" s="34"/>
      <c r="T3453" s="34"/>
      <c r="U3453" s="34"/>
      <c r="V3453" s="34"/>
      <c r="W3453" s="34"/>
      <c r="X3453" s="34"/>
      <c r="Y3453" s="45"/>
      <c r="Z3453" s="45"/>
      <c r="AA3453" s="45"/>
      <c r="AB3453" s="45"/>
      <c r="AC3453" s="45"/>
      <c r="AD3453" s="45"/>
      <c r="AE3453" s="45"/>
      <c r="AF3453" s="45"/>
      <c r="AG3453" s="45"/>
      <c r="AH3453" s="45"/>
      <c r="AI3453" s="45"/>
      <c r="AJ3453" s="45"/>
      <c r="AK3453" s="45"/>
      <c r="AL3453" s="45"/>
    </row>
    <row r="3454" ht="15.75" customHeight="1">
      <c r="A3454" s="27">
        <f t="shared" si="25"/>
        <v>4277</v>
      </c>
      <c r="B3454" s="63" t="s">
        <v>7774</v>
      </c>
      <c r="C3454" s="275" t="s">
        <v>11989</v>
      </c>
      <c r="D3454" s="65" t="s">
        <v>11990</v>
      </c>
      <c r="E3454" s="63" t="s">
        <v>31</v>
      </c>
      <c r="F3454" s="63" t="s">
        <v>29</v>
      </c>
      <c r="G3454" s="63" t="s">
        <v>37</v>
      </c>
      <c r="H3454" s="63"/>
      <c r="I3454" s="63" t="s">
        <v>38</v>
      </c>
      <c r="J3454" s="63">
        <v>348.0</v>
      </c>
      <c r="K3454" s="63"/>
      <c r="L3454" s="63" t="s">
        <v>7778</v>
      </c>
      <c r="M3454" s="63" t="s">
        <v>3364</v>
      </c>
      <c r="N3454" s="63">
        <v>2002.0</v>
      </c>
      <c r="O3454" s="63" t="s">
        <v>388</v>
      </c>
      <c r="P3454" s="63">
        <v>1.0</v>
      </c>
      <c r="Q3454" s="276"/>
      <c r="R3454" s="67"/>
      <c r="S3454" s="34"/>
      <c r="T3454" s="34"/>
      <c r="U3454" s="34"/>
      <c r="V3454" s="34"/>
      <c r="W3454" s="34"/>
      <c r="X3454" s="34"/>
      <c r="Y3454" s="45"/>
      <c r="Z3454" s="45"/>
      <c r="AA3454" s="45"/>
      <c r="AB3454" s="45"/>
      <c r="AC3454" s="45"/>
      <c r="AD3454" s="45"/>
      <c r="AE3454" s="45"/>
      <c r="AF3454" s="45"/>
      <c r="AG3454" s="45"/>
      <c r="AH3454" s="45"/>
      <c r="AI3454" s="45"/>
      <c r="AJ3454" s="45"/>
      <c r="AK3454" s="45"/>
      <c r="AL3454" s="45"/>
    </row>
    <row r="3455" ht="15.75" customHeight="1">
      <c r="A3455" s="27">
        <f t="shared" si="25"/>
        <v>4278</v>
      </c>
      <c r="B3455" s="63" t="s">
        <v>11991</v>
      </c>
      <c r="C3455" s="275" t="s">
        <v>11992</v>
      </c>
      <c r="D3455" s="65" t="s">
        <v>11993</v>
      </c>
      <c r="E3455" s="63" t="s">
        <v>31</v>
      </c>
      <c r="F3455" s="63" t="s">
        <v>29</v>
      </c>
      <c r="G3455" s="63" t="s">
        <v>30</v>
      </c>
      <c r="H3455" s="63"/>
      <c r="I3455" s="63" t="s">
        <v>30</v>
      </c>
      <c r="J3455" s="63">
        <v>365.0</v>
      </c>
      <c r="K3455" s="63"/>
      <c r="L3455" s="63" t="s">
        <v>11994</v>
      </c>
      <c r="M3455" s="63" t="s">
        <v>151</v>
      </c>
      <c r="N3455" s="63">
        <v>2009.0</v>
      </c>
      <c r="O3455" s="63" t="s">
        <v>388</v>
      </c>
      <c r="P3455" s="63">
        <v>1.0</v>
      </c>
      <c r="Q3455" s="276"/>
      <c r="R3455" s="67"/>
      <c r="S3455" s="40"/>
      <c r="T3455" s="40"/>
      <c r="U3455" s="40"/>
      <c r="V3455" s="40"/>
      <c r="W3455" s="40"/>
      <c r="X3455" s="40"/>
      <c r="Y3455" s="45"/>
      <c r="Z3455" s="45"/>
      <c r="AA3455" s="45"/>
      <c r="AB3455" s="45"/>
      <c r="AC3455" s="45"/>
      <c r="AD3455" s="45"/>
      <c r="AE3455" s="45"/>
      <c r="AF3455" s="45"/>
      <c r="AG3455" s="45"/>
      <c r="AH3455" s="45"/>
      <c r="AI3455" s="45"/>
      <c r="AJ3455" s="45"/>
      <c r="AK3455" s="45"/>
      <c r="AL3455" s="45"/>
    </row>
    <row r="3456" ht="15.75" customHeight="1">
      <c r="A3456" s="27">
        <f t="shared" si="25"/>
        <v>4279</v>
      </c>
      <c r="B3456" s="63" t="s">
        <v>7878</v>
      </c>
      <c r="C3456" s="275" t="s">
        <v>7896</v>
      </c>
      <c r="D3456" s="65" t="s">
        <v>7880</v>
      </c>
      <c r="E3456" s="63" t="s">
        <v>31</v>
      </c>
      <c r="F3456" s="63" t="s">
        <v>29</v>
      </c>
      <c r="G3456" s="63" t="s">
        <v>30</v>
      </c>
      <c r="H3456" s="63"/>
      <c r="I3456" s="63" t="s">
        <v>30</v>
      </c>
      <c r="J3456" s="63">
        <v>255.0</v>
      </c>
      <c r="K3456" s="63"/>
      <c r="L3456" s="63" t="s">
        <v>7897</v>
      </c>
      <c r="M3456" s="63" t="s">
        <v>151</v>
      </c>
      <c r="N3456" s="63">
        <v>2005.0</v>
      </c>
      <c r="O3456" s="63" t="s">
        <v>388</v>
      </c>
      <c r="P3456" s="63">
        <v>1.0</v>
      </c>
      <c r="Q3456" s="276"/>
      <c r="R3456" s="67"/>
      <c r="S3456" s="34"/>
      <c r="T3456" s="34"/>
      <c r="U3456" s="34"/>
      <c r="V3456" s="34"/>
      <c r="W3456" s="34"/>
      <c r="X3456" s="34"/>
      <c r="Y3456" s="45"/>
      <c r="Z3456" s="45"/>
      <c r="AA3456" s="45"/>
      <c r="AB3456" s="45"/>
      <c r="AC3456" s="45"/>
      <c r="AD3456" s="45"/>
      <c r="AE3456" s="45"/>
      <c r="AF3456" s="45"/>
      <c r="AG3456" s="45"/>
      <c r="AH3456" s="45"/>
      <c r="AI3456" s="45"/>
      <c r="AJ3456" s="45"/>
      <c r="AK3456" s="45"/>
      <c r="AL3456" s="45"/>
    </row>
    <row r="3457" ht="15.75" customHeight="1">
      <c r="A3457" s="27">
        <f t="shared" si="25"/>
        <v>4280</v>
      </c>
      <c r="B3457" s="49" t="s">
        <v>11995</v>
      </c>
      <c r="C3457" s="272" t="s">
        <v>11996</v>
      </c>
      <c r="D3457" s="55" t="s">
        <v>11997</v>
      </c>
      <c r="E3457" s="49" t="s">
        <v>31</v>
      </c>
      <c r="F3457" s="49" t="s">
        <v>29</v>
      </c>
      <c r="G3457" s="49" t="s">
        <v>30</v>
      </c>
      <c r="H3457" s="49"/>
      <c r="I3457" s="49" t="s">
        <v>30</v>
      </c>
      <c r="J3457" s="49">
        <v>124.0</v>
      </c>
      <c r="K3457" s="49"/>
      <c r="L3457" s="49" t="s">
        <v>150</v>
      </c>
      <c r="M3457" s="49" t="s">
        <v>151</v>
      </c>
      <c r="N3457" s="49" t="s">
        <v>11998</v>
      </c>
      <c r="O3457" s="49" t="s">
        <v>388</v>
      </c>
      <c r="P3457" s="49">
        <v>1.0</v>
      </c>
      <c r="Q3457" s="56"/>
      <c r="R3457" s="54"/>
      <c r="S3457" s="34"/>
      <c r="T3457" s="34"/>
      <c r="U3457" s="34"/>
      <c r="V3457" s="34"/>
      <c r="W3457" s="34"/>
      <c r="X3457" s="34"/>
      <c r="Y3457" s="45"/>
      <c r="Z3457" s="45"/>
      <c r="AA3457" s="45"/>
      <c r="AB3457" s="45"/>
      <c r="AC3457" s="45"/>
      <c r="AD3457" s="45"/>
      <c r="AE3457" s="45"/>
      <c r="AF3457" s="45"/>
      <c r="AG3457" s="45"/>
      <c r="AH3457" s="45"/>
      <c r="AI3457" s="45"/>
      <c r="AJ3457" s="45"/>
      <c r="AK3457" s="45"/>
      <c r="AL3457" s="45"/>
    </row>
    <row r="3458" ht="15.75" customHeight="1">
      <c r="A3458" s="27">
        <f t="shared" si="25"/>
        <v>4281</v>
      </c>
      <c r="B3458" s="49" t="s">
        <v>147</v>
      </c>
      <c r="C3458" s="272" t="s">
        <v>7926</v>
      </c>
      <c r="D3458" s="55" t="s">
        <v>11999</v>
      </c>
      <c r="E3458" s="49" t="s">
        <v>31</v>
      </c>
      <c r="F3458" s="49" t="s">
        <v>29</v>
      </c>
      <c r="G3458" s="49" t="s">
        <v>30</v>
      </c>
      <c r="H3458" s="49"/>
      <c r="I3458" s="49" t="s">
        <v>30</v>
      </c>
      <c r="J3458" s="49">
        <v>119.0</v>
      </c>
      <c r="K3458" s="49"/>
      <c r="L3458" s="49" t="s">
        <v>150</v>
      </c>
      <c r="M3458" s="49" t="s">
        <v>151</v>
      </c>
      <c r="N3458" s="49">
        <v>2012.0</v>
      </c>
      <c r="O3458" s="49" t="s">
        <v>388</v>
      </c>
      <c r="P3458" s="49">
        <v>1.0</v>
      </c>
      <c r="Q3458" s="56"/>
      <c r="R3458" s="54"/>
      <c r="S3458" s="34"/>
      <c r="T3458" s="34"/>
      <c r="U3458" s="34"/>
      <c r="V3458" s="34"/>
      <c r="W3458" s="34"/>
      <c r="X3458" s="34"/>
      <c r="Y3458" s="3"/>
      <c r="Z3458" s="3"/>
      <c r="AA3458" s="3"/>
      <c r="AB3458" s="3"/>
      <c r="AC3458" s="3"/>
      <c r="AD3458" s="3"/>
      <c r="AE3458" s="3"/>
      <c r="AF3458" s="3"/>
      <c r="AG3458" s="3"/>
      <c r="AH3458" s="3"/>
      <c r="AI3458" s="3"/>
      <c r="AJ3458" s="3"/>
      <c r="AK3458" s="3"/>
      <c r="AL3458" s="3"/>
    </row>
    <row r="3459" ht="15.75" customHeight="1">
      <c r="A3459" s="27">
        <f t="shared" si="25"/>
        <v>4282</v>
      </c>
      <c r="B3459" s="49" t="s">
        <v>12000</v>
      </c>
      <c r="C3459" s="272" t="s">
        <v>7926</v>
      </c>
      <c r="D3459" s="55" t="s">
        <v>12001</v>
      </c>
      <c r="E3459" s="49" t="s">
        <v>31</v>
      </c>
      <c r="F3459" s="49" t="s">
        <v>29</v>
      </c>
      <c r="G3459" s="49" t="s">
        <v>30</v>
      </c>
      <c r="H3459" s="49"/>
      <c r="I3459" s="49" t="s">
        <v>30</v>
      </c>
      <c r="J3459" s="49">
        <v>144.0</v>
      </c>
      <c r="K3459" s="49"/>
      <c r="L3459" s="49" t="s">
        <v>150</v>
      </c>
      <c r="M3459" s="49" t="s">
        <v>151</v>
      </c>
      <c r="N3459" s="49">
        <v>2013.0</v>
      </c>
      <c r="O3459" s="49" t="s">
        <v>388</v>
      </c>
      <c r="P3459" s="49">
        <v>1.0</v>
      </c>
      <c r="Q3459" s="56"/>
      <c r="R3459" s="54"/>
      <c r="S3459" s="34"/>
      <c r="T3459" s="34"/>
      <c r="U3459" s="34"/>
      <c r="V3459" s="34"/>
      <c r="W3459" s="34"/>
      <c r="X3459" s="34"/>
      <c r="Y3459" s="45"/>
      <c r="Z3459" s="45"/>
      <c r="AA3459" s="45"/>
      <c r="AB3459" s="45"/>
      <c r="AC3459" s="45"/>
      <c r="AD3459" s="45"/>
      <c r="AE3459" s="45"/>
      <c r="AF3459" s="45"/>
      <c r="AG3459" s="45"/>
      <c r="AH3459" s="45"/>
      <c r="AI3459" s="45"/>
      <c r="AJ3459" s="45"/>
      <c r="AK3459" s="45"/>
      <c r="AL3459" s="45"/>
    </row>
    <row r="3460" ht="15.75" customHeight="1">
      <c r="A3460" s="27">
        <f t="shared" si="25"/>
        <v>4283</v>
      </c>
      <c r="B3460" s="49" t="s">
        <v>12002</v>
      </c>
      <c r="C3460" s="272" t="s">
        <v>7926</v>
      </c>
      <c r="D3460" s="55" t="s">
        <v>12003</v>
      </c>
      <c r="E3460" s="49" t="s">
        <v>31</v>
      </c>
      <c r="F3460" s="49" t="s">
        <v>29</v>
      </c>
      <c r="G3460" s="49" t="s">
        <v>30</v>
      </c>
      <c r="H3460" s="49"/>
      <c r="I3460" s="49" t="s">
        <v>30</v>
      </c>
      <c r="J3460" s="49">
        <v>144.0</v>
      </c>
      <c r="K3460" s="49"/>
      <c r="L3460" s="49" t="s">
        <v>150</v>
      </c>
      <c r="M3460" s="49" t="s">
        <v>151</v>
      </c>
      <c r="N3460" s="49">
        <v>2010.0</v>
      </c>
      <c r="O3460" s="49" t="s">
        <v>388</v>
      </c>
      <c r="P3460" s="49">
        <v>1.0</v>
      </c>
      <c r="Q3460" s="56"/>
      <c r="R3460" s="54"/>
      <c r="S3460" s="185"/>
      <c r="T3460" s="185"/>
      <c r="U3460" s="185"/>
      <c r="V3460" s="185"/>
      <c r="W3460" s="185"/>
      <c r="X3460" s="185"/>
      <c r="Y3460" s="3"/>
      <c r="Z3460" s="3"/>
      <c r="AA3460" s="3"/>
      <c r="AB3460" s="3"/>
      <c r="AC3460" s="3"/>
      <c r="AD3460" s="3"/>
      <c r="AE3460" s="3"/>
      <c r="AF3460" s="3"/>
      <c r="AG3460" s="3"/>
      <c r="AH3460" s="3"/>
      <c r="AI3460" s="3"/>
      <c r="AJ3460" s="3"/>
      <c r="AK3460" s="3"/>
      <c r="AL3460" s="3"/>
    </row>
    <row r="3461" ht="15.75" customHeight="1">
      <c r="A3461" s="27">
        <f t="shared" si="25"/>
        <v>4284</v>
      </c>
      <c r="B3461" s="49" t="s">
        <v>12004</v>
      </c>
      <c r="C3461" s="272" t="s">
        <v>7926</v>
      </c>
      <c r="D3461" s="55" t="s">
        <v>12005</v>
      </c>
      <c r="E3461" s="49" t="s">
        <v>31</v>
      </c>
      <c r="F3461" s="49" t="s">
        <v>29</v>
      </c>
      <c r="G3461" s="49" t="s">
        <v>30</v>
      </c>
      <c r="H3461" s="49"/>
      <c r="I3461" s="49" t="s">
        <v>30</v>
      </c>
      <c r="J3461" s="49">
        <v>138.0</v>
      </c>
      <c r="K3461" s="49"/>
      <c r="L3461" s="49" t="s">
        <v>150</v>
      </c>
      <c r="M3461" s="49" t="s">
        <v>151</v>
      </c>
      <c r="N3461" s="49">
        <v>2012.0</v>
      </c>
      <c r="O3461" s="49" t="s">
        <v>388</v>
      </c>
      <c r="P3461" s="49">
        <v>1.0</v>
      </c>
      <c r="Q3461" s="56"/>
      <c r="R3461" s="54"/>
      <c r="S3461" s="34"/>
      <c r="T3461" s="34"/>
      <c r="U3461" s="34"/>
      <c r="V3461" s="34"/>
      <c r="W3461" s="34"/>
      <c r="X3461" s="34"/>
      <c r="Y3461" s="45"/>
      <c r="Z3461" s="45"/>
      <c r="AA3461" s="45"/>
      <c r="AB3461" s="45"/>
      <c r="AC3461" s="45"/>
      <c r="AD3461" s="45"/>
      <c r="AE3461" s="45"/>
      <c r="AF3461" s="45"/>
      <c r="AG3461" s="45"/>
      <c r="AH3461" s="45"/>
      <c r="AI3461" s="45"/>
      <c r="AJ3461" s="45"/>
      <c r="AK3461" s="45"/>
      <c r="AL3461" s="45"/>
    </row>
    <row r="3462" ht="15.75" customHeight="1">
      <c r="A3462" s="27">
        <f t="shared" si="25"/>
        <v>4285</v>
      </c>
      <c r="B3462" s="49" t="s">
        <v>12006</v>
      </c>
      <c r="C3462" s="272" t="s">
        <v>7926</v>
      </c>
      <c r="D3462" s="55" t="s">
        <v>12007</v>
      </c>
      <c r="E3462" s="49" t="s">
        <v>31</v>
      </c>
      <c r="F3462" s="49" t="s">
        <v>29</v>
      </c>
      <c r="G3462" s="49" t="s">
        <v>30</v>
      </c>
      <c r="H3462" s="49"/>
      <c r="I3462" s="49" t="s">
        <v>30</v>
      </c>
      <c r="J3462" s="49">
        <v>140.0</v>
      </c>
      <c r="K3462" s="49"/>
      <c r="L3462" s="49" t="s">
        <v>150</v>
      </c>
      <c r="M3462" s="49" t="s">
        <v>151</v>
      </c>
      <c r="N3462" s="49">
        <v>2012.0</v>
      </c>
      <c r="O3462" s="49" t="s">
        <v>388</v>
      </c>
      <c r="P3462" s="49">
        <v>1.0</v>
      </c>
      <c r="Q3462" s="56"/>
      <c r="R3462" s="54"/>
      <c r="S3462" s="34"/>
      <c r="T3462" s="34"/>
      <c r="U3462" s="34"/>
      <c r="V3462" s="34"/>
      <c r="W3462" s="34"/>
      <c r="X3462" s="34"/>
      <c r="Y3462" s="3"/>
      <c r="Z3462" s="3"/>
      <c r="AA3462" s="3"/>
      <c r="AB3462" s="3"/>
      <c r="AC3462" s="3"/>
      <c r="AD3462" s="3"/>
      <c r="AE3462" s="3"/>
      <c r="AF3462" s="3"/>
      <c r="AG3462" s="3"/>
      <c r="AH3462" s="3"/>
      <c r="AI3462" s="3"/>
      <c r="AJ3462" s="3"/>
      <c r="AK3462" s="3"/>
      <c r="AL3462" s="3"/>
    </row>
    <row r="3463" ht="15.75" customHeight="1">
      <c r="A3463" s="27">
        <f t="shared" si="25"/>
        <v>4286</v>
      </c>
      <c r="B3463" s="49" t="s">
        <v>7923</v>
      </c>
      <c r="C3463" s="272" t="s">
        <v>7926</v>
      </c>
      <c r="D3463" s="55" t="s">
        <v>12008</v>
      </c>
      <c r="E3463" s="49" t="s">
        <v>31</v>
      </c>
      <c r="F3463" s="49" t="s">
        <v>29</v>
      </c>
      <c r="G3463" s="49" t="s">
        <v>30</v>
      </c>
      <c r="H3463" s="49"/>
      <c r="I3463" s="49" t="s">
        <v>30</v>
      </c>
      <c r="J3463" s="49">
        <v>129.0</v>
      </c>
      <c r="K3463" s="49"/>
      <c r="L3463" s="49" t="s">
        <v>150</v>
      </c>
      <c r="M3463" s="49" t="s">
        <v>151</v>
      </c>
      <c r="N3463" s="49">
        <v>2008.0</v>
      </c>
      <c r="O3463" s="49" t="s">
        <v>388</v>
      </c>
      <c r="P3463" s="49">
        <v>2.0</v>
      </c>
      <c r="Q3463" s="56"/>
      <c r="R3463" s="54"/>
      <c r="S3463" s="34"/>
      <c r="T3463" s="34"/>
      <c r="U3463" s="34"/>
      <c r="V3463" s="34"/>
      <c r="W3463" s="34"/>
      <c r="X3463" s="34"/>
      <c r="Y3463" s="45"/>
      <c r="Z3463" s="45"/>
      <c r="AA3463" s="45"/>
      <c r="AB3463" s="45"/>
      <c r="AC3463" s="45"/>
      <c r="AD3463" s="45"/>
      <c r="AE3463" s="45"/>
      <c r="AF3463" s="45"/>
      <c r="AG3463" s="45"/>
      <c r="AH3463" s="45"/>
      <c r="AI3463" s="45"/>
      <c r="AJ3463" s="45"/>
      <c r="AK3463" s="45"/>
      <c r="AL3463" s="45"/>
    </row>
    <row r="3464" ht="15.75" customHeight="1">
      <c r="A3464" s="27">
        <f t="shared" si="25"/>
        <v>4287</v>
      </c>
      <c r="B3464" s="49" t="s">
        <v>12009</v>
      </c>
      <c r="C3464" s="272" t="s">
        <v>7930</v>
      </c>
      <c r="D3464" s="55" t="s">
        <v>12010</v>
      </c>
      <c r="E3464" s="49" t="s">
        <v>31</v>
      </c>
      <c r="F3464" s="49" t="s">
        <v>29</v>
      </c>
      <c r="G3464" s="49" t="s">
        <v>30</v>
      </c>
      <c r="H3464" s="49"/>
      <c r="I3464" s="49" t="s">
        <v>30</v>
      </c>
      <c r="J3464" s="49">
        <v>158.0</v>
      </c>
      <c r="K3464" s="49"/>
      <c r="L3464" s="49" t="s">
        <v>150</v>
      </c>
      <c r="M3464" s="49" t="s">
        <v>151</v>
      </c>
      <c r="N3464" s="49">
        <v>2010.0</v>
      </c>
      <c r="O3464" s="49" t="s">
        <v>388</v>
      </c>
      <c r="P3464" s="49">
        <v>1.0</v>
      </c>
      <c r="Q3464" s="56"/>
      <c r="R3464" s="54"/>
      <c r="S3464" s="34"/>
      <c r="T3464" s="34"/>
      <c r="U3464" s="34"/>
      <c r="V3464" s="34"/>
      <c r="W3464" s="34"/>
      <c r="X3464" s="34"/>
      <c r="Y3464" s="45"/>
      <c r="Z3464" s="45"/>
      <c r="AA3464" s="45"/>
      <c r="AB3464" s="45"/>
      <c r="AC3464" s="45"/>
      <c r="AD3464" s="45"/>
      <c r="AE3464" s="45"/>
      <c r="AF3464" s="45"/>
      <c r="AG3464" s="45"/>
      <c r="AH3464" s="45"/>
      <c r="AI3464" s="45"/>
      <c r="AJ3464" s="45"/>
      <c r="AK3464" s="45"/>
      <c r="AL3464" s="45"/>
    </row>
    <row r="3465" ht="15.75" customHeight="1">
      <c r="A3465" s="27">
        <f t="shared" si="25"/>
        <v>4288</v>
      </c>
      <c r="B3465" s="49" t="s">
        <v>12011</v>
      </c>
      <c r="C3465" s="272" t="s">
        <v>7930</v>
      </c>
      <c r="D3465" s="55" t="s">
        <v>12012</v>
      </c>
      <c r="E3465" s="49" t="s">
        <v>31</v>
      </c>
      <c r="F3465" s="49" t="s">
        <v>29</v>
      </c>
      <c r="G3465" s="49" t="s">
        <v>30</v>
      </c>
      <c r="H3465" s="49"/>
      <c r="I3465" s="49" t="s">
        <v>30</v>
      </c>
      <c r="J3465" s="49">
        <v>143.0</v>
      </c>
      <c r="K3465" s="49"/>
      <c r="L3465" s="49" t="s">
        <v>150</v>
      </c>
      <c r="M3465" s="49" t="s">
        <v>151</v>
      </c>
      <c r="N3465" s="49">
        <v>2010.0</v>
      </c>
      <c r="O3465" s="49" t="s">
        <v>388</v>
      </c>
      <c r="P3465" s="49">
        <v>1.0</v>
      </c>
      <c r="Q3465" s="56"/>
      <c r="R3465" s="54"/>
      <c r="S3465" s="34"/>
      <c r="T3465" s="34"/>
      <c r="U3465" s="34"/>
      <c r="V3465" s="34"/>
      <c r="W3465" s="34"/>
      <c r="X3465" s="34"/>
      <c r="Y3465" s="45"/>
      <c r="Z3465" s="45"/>
      <c r="AA3465" s="45"/>
      <c r="AB3465" s="45"/>
      <c r="AC3465" s="45"/>
      <c r="AD3465" s="45"/>
      <c r="AE3465" s="45"/>
      <c r="AF3465" s="45"/>
      <c r="AG3465" s="45"/>
      <c r="AH3465" s="45"/>
      <c r="AI3465" s="45"/>
      <c r="AJ3465" s="45"/>
      <c r="AK3465" s="45"/>
      <c r="AL3465" s="45"/>
    </row>
    <row r="3466" ht="15.75" customHeight="1">
      <c r="A3466" s="27">
        <f t="shared" si="25"/>
        <v>4289</v>
      </c>
      <c r="B3466" s="63" t="s">
        <v>12013</v>
      </c>
      <c r="C3466" s="275" t="s">
        <v>12014</v>
      </c>
      <c r="D3466" s="65" t="s">
        <v>12015</v>
      </c>
      <c r="E3466" s="63" t="s">
        <v>31</v>
      </c>
      <c r="F3466" s="63" t="s">
        <v>29</v>
      </c>
      <c r="G3466" s="63" t="s">
        <v>30</v>
      </c>
      <c r="H3466" s="63"/>
      <c r="I3466" s="63" t="s">
        <v>30</v>
      </c>
      <c r="J3466" s="63">
        <v>266.0</v>
      </c>
      <c r="K3466" s="63"/>
      <c r="L3466" s="63" t="s">
        <v>11356</v>
      </c>
      <c r="M3466" s="63" t="s">
        <v>151</v>
      </c>
      <c r="N3466" s="63">
        <v>2004.0</v>
      </c>
      <c r="O3466" s="63" t="s">
        <v>388</v>
      </c>
      <c r="P3466" s="63">
        <v>1.0</v>
      </c>
      <c r="Q3466" s="276"/>
      <c r="R3466" s="67"/>
      <c r="S3466" s="116"/>
      <c r="T3466" s="116"/>
      <c r="U3466" s="116"/>
      <c r="V3466" s="116"/>
      <c r="W3466" s="116"/>
      <c r="X3466" s="116"/>
      <c r="Y3466" s="45"/>
      <c r="Z3466" s="45"/>
      <c r="AA3466" s="45"/>
      <c r="AB3466" s="45"/>
      <c r="AC3466" s="45"/>
      <c r="AD3466" s="45"/>
      <c r="AE3466" s="45"/>
      <c r="AF3466" s="45"/>
      <c r="AG3466" s="45"/>
      <c r="AH3466" s="45"/>
      <c r="AI3466" s="45"/>
      <c r="AJ3466" s="45"/>
      <c r="AK3466" s="45"/>
      <c r="AL3466" s="45"/>
    </row>
    <row r="3467" ht="15.75" customHeight="1">
      <c r="A3467" s="27">
        <f t="shared" si="25"/>
        <v>4290</v>
      </c>
      <c r="B3467" s="63" t="s">
        <v>12016</v>
      </c>
      <c r="C3467" s="275" t="s">
        <v>12017</v>
      </c>
      <c r="D3467" s="65" t="s">
        <v>12018</v>
      </c>
      <c r="E3467" s="63" t="s">
        <v>144</v>
      </c>
      <c r="F3467" s="63" t="s">
        <v>29</v>
      </c>
      <c r="G3467" s="63" t="s">
        <v>30</v>
      </c>
      <c r="H3467" s="63"/>
      <c r="I3467" s="63" t="s">
        <v>30</v>
      </c>
      <c r="J3467" s="63">
        <v>222.0</v>
      </c>
      <c r="K3467" s="63"/>
      <c r="L3467" s="63" t="s">
        <v>12019</v>
      </c>
      <c r="M3467" s="63" t="s">
        <v>12020</v>
      </c>
      <c r="N3467" s="63">
        <v>2012.0</v>
      </c>
      <c r="O3467" s="63" t="s">
        <v>388</v>
      </c>
      <c r="P3467" s="63">
        <v>1.0</v>
      </c>
      <c r="Q3467" s="276"/>
      <c r="R3467" s="67"/>
      <c r="S3467" s="34"/>
      <c r="T3467" s="34"/>
      <c r="U3467" s="34"/>
      <c r="V3467" s="34"/>
      <c r="W3467" s="34"/>
      <c r="X3467" s="34"/>
      <c r="Y3467" s="45"/>
      <c r="Z3467" s="45"/>
      <c r="AA3467" s="45"/>
      <c r="AB3467" s="45"/>
      <c r="AC3467" s="45"/>
      <c r="AD3467" s="45"/>
      <c r="AE3467" s="45"/>
      <c r="AF3467" s="45"/>
      <c r="AG3467" s="45"/>
      <c r="AH3467" s="45"/>
      <c r="AI3467" s="45"/>
      <c r="AJ3467" s="45"/>
      <c r="AK3467" s="45"/>
      <c r="AL3467" s="45"/>
    </row>
    <row r="3468" ht="15.75" customHeight="1">
      <c r="A3468" s="27">
        <f t="shared" si="25"/>
        <v>4291</v>
      </c>
      <c r="B3468" s="63" t="s">
        <v>8307</v>
      </c>
      <c r="C3468" s="275" t="s">
        <v>12021</v>
      </c>
      <c r="D3468" s="65" t="s">
        <v>8309</v>
      </c>
      <c r="E3468" s="63" t="s">
        <v>144</v>
      </c>
      <c r="F3468" s="63" t="s">
        <v>29</v>
      </c>
      <c r="G3468" s="63" t="s">
        <v>30</v>
      </c>
      <c r="H3468" s="63"/>
      <c r="I3468" s="63" t="s">
        <v>30</v>
      </c>
      <c r="J3468" s="63">
        <v>128.0</v>
      </c>
      <c r="K3468" s="63"/>
      <c r="L3468" s="63" t="s">
        <v>4856</v>
      </c>
      <c r="M3468" s="63" t="s">
        <v>12022</v>
      </c>
      <c r="N3468" s="63">
        <v>2015.0</v>
      </c>
      <c r="O3468" s="63" t="s">
        <v>388</v>
      </c>
      <c r="P3468" s="63">
        <v>1.0</v>
      </c>
      <c r="Q3468" s="276"/>
      <c r="R3468" s="67"/>
      <c r="S3468" s="34"/>
      <c r="T3468" s="34"/>
      <c r="U3468" s="34"/>
      <c r="V3468" s="34"/>
      <c r="W3468" s="34"/>
      <c r="X3468" s="34"/>
      <c r="Y3468" s="45"/>
      <c r="Z3468" s="45"/>
      <c r="AA3468" s="45"/>
      <c r="AB3468" s="45"/>
      <c r="AC3468" s="45"/>
      <c r="AD3468" s="45"/>
      <c r="AE3468" s="45"/>
      <c r="AF3468" s="45"/>
      <c r="AG3468" s="45"/>
      <c r="AH3468" s="45"/>
      <c r="AI3468" s="45"/>
      <c r="AJ3468" s="45"/>
      <c r="AK3468" s="45"/>
      <c r="AL3468" s="45"/>
    </row>
    <row r="3469" ht="15.75" customHeight="1">
      <c r="A3469" s="27">
        <f t="shared" si="25"/>
        <v>4292</v>
      </c>
      <c r="B3469" s="63" t="s">
        <v>8349</v>
      </c>
      <c r="C3469" s="275" t="s">
        <v>12023</v>
      </c>
      <c r="D3469" s="65" t="s">
        <v>12024</v>
      </c>
      <c r="E3469" s="63" t="s">
        <v>144</v>
      </c>
      <c r="F3469" s="63" t="s">
        <v>29</v>
      </c>
      <c r="G3469" s="63" t="s">
        <v>30</v>
      </c>
      <c r="H3469" s="63"/>
      <c r="I3469" s="63" t="s">
        <v>30</v>
      </c>
      <c r="J3469" s="63">
        <f>202+14</f>
        <v>216</v>
      </c>
      <c r="K3469" s="63"/>
      <c r="L3469" s="63" t="s">
        <v>8352</v>
      </c>
      <c r="M3469" s="63" t="s">
        <v>83</v>
      </c>
      <c r="N3469" s="63">
        <v>1998.0</v>
      </c>
      <c r="O3469" s="63" t="s">
        <v>388</v>
      </c>
      <c r="P3469" s="63">
        <v>1.0</v>
      </c>
      <c r="Q3469" s="276">
        <v>1.0</v>
      </c>
      <c r="R3469" s="67"/>
      <c r="S3469" s="34"/>
      <c r="T3469" s="34"/>
      <c r="U3469" s="34"/>
      <c r="V3469" s="34"/>
      <c r="W3469" s="34"/>
      <c r="X3469" s="34"/>
      <c r="Y3469" s="3"/>
      <c r="Z3469" s="3"/>
      <c r="AA3469" s="3"/>
      <c r="AB3469" s="3"/>
      <c r="AC3469" s="3"/>
      <c r="AD3469" s="3"/>
      <c r="AE3469" s="3"/>
      <c r="AF3469" s="3"/>
      <c r="AG3469" s="3"/>
      <c r="AH3469" s="3"/>
      <c r="AI3469" s="3"/>
      <c r="AJ3469" s="3"/>
      <c r="AK3469" s="3"/>
      <c r="AL3469" s="3"/>
    </row>
    <row r="3470" ht="15.75" customHeight="1">
      <c r="A3470" s="27">
        <f t="shared" si="25"/>
        <v>4293</v>
      </c>
      <c r="B3470" s="63" t="s">
        <v>8373</v>
      </c>
      <c r="C3470" s="275" t="s">
        <v>12025</v>
      </c>
      <c r="D3470" s="65" t="s">
        <v>12026</v>
      </c>
      <c r="E3470" s="63" t="s">
        <v>144</v>
      </c>
      <c r="F3470" s="63" t="s">
        <v>29</v>
      </c>
      <c r="G3470" s="63" t="s">
        <v>30</v>
      </c>
      <c r="H3470" s="63"/>
      <c r="I3470" s="63" t="s">
        <v>30</v>
      </c>
      <c r="J3470" s="63">
        <v>172.0</v>
      </c>
      <c r="K3470" s="63"/>
      <c r="L3470" s="63" t="s">
        <v>4008</v>
      </c>
      <c r="M3470" s="63" t="s">
        <v>7948</v>
      </c>
      <c r="N3470" s="63">
        <v>2007.0</v>
      </c>
      <c r="O3470" s="63" t="s">
        <v>388</v>
      </c>
      <c r="P3470" s="63">
        <v>1.0</v>
      </c>
      <c r="Q3470" s="276"/>
      <c r="R3470" s="67"/>
      <c r="S3470" s="34"/>
      <c r="T3470" s="34"/>
      <c r="U3470" s="34"/>
      <c r="V3470" s="34"/>
      <c r="W3470" s="34"/>
      <c r="X3470" s="34"/>
      <c r="Y3470" s="45"/>
      <c r="Z3470" s="45"/>
      <c r="AA3470" s="45"/>
      <c r="AB3470" s="45"/>
      <c r="AC3470" s="45"/>
      <c r="AD3470" s="45"/>
      <c r="AE3470" s="45"/>
      <c r="AF3470" s="45"/>
      <c r="AG3470" s="45"/>
      <c r="AH3470" s="45"/>
      <c r="AI3470" s="45"/>
      <c r="AJ3470" s="45"/>
      <c r="AK3470" s="45"/>
      <c r="AL3470" s="45"/>
    </row>
    <row r="3471" ht="15.75" customHeight="1">
      <c r="A3471" s="27">
        <f t="shared" si="25"/>
        <v>4294</v>
      </c>
      <c r="B3471" s="63"/>
      <c r="C3471" s="275" t="s">
        <v>12027</v>
      </c>
      <c r="D3471" s="65" t="s">
        <v>12028</v>
      </c>
      <c r="E3471" s="63" t="s">
        <v>144</v>
      </c>
      <c r="F3471" s="63" t="s">
        <v>29</v>
      </c>
      <c r="G3471" s="63" t="s">
        <v>30</v>
      </c>
      <c r="H3471" s="63"/>
      <c r="I3471" s="63" t="s">
        <v>30</v>
      </c>
      <c r="J3471" s="63">
        <f>154</f>
        <v>154</v>
      </c>
      <c r="K3471" s="63"/>
      <c r="L3471" s="63" t="s">
        <v>12029</v>
      </c>
      <c r="M3471" s="63" t="s">
        <v>8504</v>
      </c>
      <c r="N3471" s="63">
        <v>1979.0</v>
      </c>
      <c r="O3471" s="63" t="s">
        <v>388</v>
      </c>
      <c r="P3471" s="63">
        <v>1.0</v>
      </c>
      <c r="Q3471" s="276"/>
      <c r="R3471" s="67"/>
      <c r="S3471" s="34"/>
      <c r="T3471" s="34"/>
      <c r="U3471" s="34"/>
      <c r="V3471" s="34"/>
      <c r="W3471" s="34"/>
      <c r="X3471" s="34"/>
      <c r="Y3471" s="45"/>
      <c r="Z3471" s="45"/>
      <c r="AA3471" s="45"/>
      <c r="AB3471" s="45"/>
      <c r="AC3471" s="45"/>
      <c r="AD3471" s="45"/>
      <c r="AE3471" s="45"/>
      <c r="AF3471" s="45"/>
      <c r="AG3471" s="45"/>
      <c r="AH3471" s="45"/>
      <c r="AI3471" s="45"/>
      <c r="AJ3471" s="45"/>
      <c r="AK3471" s="45"/>
      <c r="AL3471" s="45"/>
    </row>
    <row r="3472" ht="15.75" customHeight="1">
      <c r="A3472" s="27">
        <f t="shared" si="25"/>
        <v>4295</v>
      </c>
      <c r="B3472" s="63"/>
      <c r="C3472" s="275" t="s">
        <v>12030</v>
      </c>
      <c r="D3472" s="65" t="s">
        <v>12031</v>
      </c>
      <c r="E3472" s="63" t="s">
        <v>144</v>
      </c>
      <c r="F3472" s="63" t="s">
        <v>29</v>
      </c>
      <c r="G3472" s="63" t="s">
        <v>30</v>
      </c>
      <c r="H3472" s="63"/>
      <c r="I3472" s="63" t="s">
        <v>30</v>
      </c>
      <c r="J3472" s="63">
        <f>840</f>
        <v>840</v>
      </c>
      <c r="K3472" s="63"/>
      <c r="L3472" s="63" t="s">
        <v>12032</v>
      </c>
      <c r="M3472" s="63" t="s">
        <v>2258</v>
      </c>
      <c r="N3472" s="63">
        <v>2003.0</v>
      </c>
      <c r="O3472" s="63" t="s">
        <v>388</v>
      </c>
      <c r="P3472" s="63">
        <v>1.0</v>
      </c>
      <c r="Q3472" s="276"/>
      <c r="R3472" s="67"/>
      <c r="S3472" s="34"/>
      <c r="T3472" s="34"/>
      <c r="U3472" s="34"/>
      <c r="V3472" s="34"/>
      <c r="W3472" s="34"/>
      <c r="X3472" s="34"/>
      <c r="Y3472" s="45"/>
      <c r="Z3472" s="45"/>
      <c r="AA3472" s="45"/>
      <c r="AB3472" s="45"/>
      <c r="AC3472" s="45"/>
      <c r="AD3472" s="45"/>
      <c r="AE3472" s="45"/>
      <c r="AF3472" s="45"/>
      <c r="AG3472" s="45"/>
      <c r="AH3472" s="45"/>
      <c r="AI3472" s="45"/>
      <c r="AJ3472" s="45"/>
      <c r="AK3472" s="45"/>
      <c r="AL3472" s="45"/>
    </row>
    <row r="3473" ht="23.25" customHeight="1">
      <c r="A3473" s="27">
        <f t="shared" si="25"/>
        <v>4296</v>
      </c>
      <c r="B3473" s="63" t="s">
        <v>8398</v>
      </c>
      <c r="C3473" s="275" t="s">
        <v>12033</v>
      </c>
      <c r="D3473" s="65" t="s">
        <v>12034</v>
      </c>
      <c r="E3473" s="63" t="s">
        <v>144</v>
      </c>
      <c r="F3473" s="63" t="s">
        <v>29</v>
      </c>
      <c r="G3473" s="63" t="s">
        <v>30</v>
      </c>
      <c r="H3473" s="63"/>
      <c r="I3473" s="63" t="s">
        <v>30</v>
      </c>
      <c r="J3473" s="63">
        <f>312+8</f>
        <v>320</v>
      </c>
      <c r="K3473" s="63"/>
      <c r="L3473" s="63" t="s">
        <v>12035</v>
      </c>
      <c r="M3473" s="63" t="s">
        <v>2405</v>
      </c>
      <c r="N3473" s="63">
        <v>2009.0</v>
      </c>
      <c r="O3473" s="63" t="s">
        <v>388</v>
      </c>
      <c r="P3473" s="63">
        <v>1.0</v>
      </c>
      <c r="Q3473" s="276"/>
      <c r="R3473" s="67"/>
      <c r="S3473" s="34"/>
      <c r="T3473" s="34"/>
      <c r="U3473" s="34"/>
      <c r="V3473" s="34"/>
      <c r="W3473" s="34"/>
      <c r="X3473" s="34"/>
      <c r="Y3473" s="45"/>
      <c r="Z3473" s="45"/>
      <c r="AA3473" s="45"/>
      <c r="AB3473" s="45"/>
      <c r="AC3473" s="45"/>
      <c r="AD3473" s="45"/>
      <c r="AE3473" s="45"/>
      <c r="AF3473" s="45"/>
      <c r="AG3473" s="45"/>
      <c r="AH3473" s="45"/>
      <c r="AI3473" s="45"/>
      <c r="AJ3473" s="45"/>
      <c r="AK3473" s="45"/>
      <c r="AL3473" s="45"/>
    </row>
    <row r="3474" ht="15.75" customHeight="1">
      <c r="A3474" s="27">
        <f t="shared" si="25"/>
        <v>4297</v>
      </c>
      <c r="B3474" s="63" t="s">
        <v>8408</v>
      </c>
      <c r="C3474" s="275" t="s">
        <v>12036</v>
      </c>
      <c r="D3474" s="65" t="s">
        <v>12037</v>
      </c>
      <c r="E3474" s="63" t="s">
        <v>31</v>
      </c>
      <c r="F3474" s="63" t="s">
        <v>29</v>
      </c>
      <c r="G3474" s="63" t="s">
        <v>30</v>
      </c>
      <c r="H3474" s="63"/>
      <c r="I3474" s="63" t="s">
        <v>30</v>
      </c>
      <c r="J3474" s="63">
        <v>256.0</v>
      </c>
      <c r="K3474" s="63"/>
      <c r="L3474" s="63" t="s">
        <v>6099</v>
      </c>
      <c r="M3474" s="63" t="s">
        <v>4166</v>
      </c>
      <c r="N3474" s="63">
        <v>2008.0</v>
      </c>
      <c r="O3474" s="63" t="s">
        <v>388</v>
      </c>
      <c r="P3474" s="63">
        <v>1.0</v>
      </c>
      <c r="Q3474" s="276"/>
      <c r="R3474" s="67"/>
      <c r="S3474" s="34"/>
      <c r="T3474" s="34"/>
      <c r="U3474" s="34"/>
      <c r="V3474" s="34"/>
      <c r="W3474" s="34"/>
      <c r="X3474" s="34"/>
      <c r="Y3474" s="45"/>
      <c r="Z3474" s="45"/>
      <c r="AA3474" s="45"/>
      <c r="AB3474" s="45"/>
      <c r="AC3474" s="45"/>
      <c r="AD3474" s="45"/>
      <c r="AE3474" s="45"/>
      <c r="AF3474" s="45"/>
      <c r="AG3474" s="45"/>
      <c r="AH3474" s="45"/>
      <c r="AI3474" s="45"/>
      <c r="AJ3474" s="45"/>
      <c r="AK3474" s="45"/>
      <c r="AL3474" s="45"/>
    </row>
    <row r="3475" ht="15.75" customHeight="1">
      <c r="A3475" s="27">
        <f t="shared" si="25"/>
        <v>4298</v>
      </c>
      <c r="B3475" s="63" t="s">
        <v>8424</v>
      </c>
      <c r="C3475" s="275" t="s">
        <v>12038</v>
      </c>
      <c r="D3475" s="65" t="s">
        <v>12039</v>
      </c>
      <c r="E3475" s="63" t="s">
        <v>31</v>
      </c>
      <c r="F3475" s="63" t="s">
        <v>29</v>
      </c>
      <c r="G3475" s="63" t="s">
        <v>30</v>
      </c>
      <c r="H3475" s="63"/>
      <c r="I3475" s="63" t="s">
        <v>30</v>
      </c>
      <c r="J3475" s="63">
        <v>221.0</v>
      </c>
      <c r="K3475" s="63"/>
      <c r="L3475" s="63" t="s">
        <v>12040</v>
      </c>
      <c r="M3475" s="63" t="s">
        <v>4166</v>
      </c>
      <c r="N3475" s="63">
        <v>2010.0</v>
      </c>
      <c r="O3475" s="63" t="s">
        <v>388</v>
      </c>
      <c r="P3475" s="63">
        <v>1.0</v>
      </c>
      <c r="Q3475" s="276">
        <v>1.0</v>
      </c>
      <c r="R3475" s="67"/>
      <c r="S3475" s="34"/>
      <c r="T3475" s="34"/>
      <c r="U3475" s="34"/>
      <c r="V3475" s="34"/>
      <c r="W3475" s="34"/>
      <c r="X3475" s="34"/>
      <c r="Y3475" s="45"/>
      <c r="Z3475" s="45"/>
      <c r="AA3475" s="45"/>
      <c r="AB3475" s="45"/>
      <c r="AC3475" s="45"/>
      <c r="AD3475" s="45"/>
      <c r="AE3475" s="45"/>
      <c r="AF3475" s="45"/>
      <c r="AG3475" s="45"/>
      <c r="AH3475" s="45"/>
      <c r="AI3475" s="45"/>
      <c r="AJ3475" s="45"/>
      <c r="AK3475" s="45"/>
      <c r="AL3475" s="45"/>
    </row>
    <row r="3476" ht="15.75" customHeight="1">
      <c r="A3476" s="27">
        <f t="shared" si="25"/>
        <v>4299</v>
      </c>
      <c r="B3476" s="49"/>
      <c r="C3476" s="272" t="s">
        <v>12041</v>
      </c>
      <c r="D3476" s="55" t="s">
        <v>12042</v>
      </c>
      <c r="E3476" s="49" t="s">
        <v>144</v>
      </c>
      <c r="F3476" s="49" t="s">
        <v>29</v>
      </c>
      <c r="G3476" s="49" t="s">
        <v>30</v>
      </c>
      <c r="H3476" s="49"/>
      <c r="I3476" s="49" t="s">
        <v>30</v>
      </c>
      <c r="J3476" s="49">
        <f>75+8</f>
        <v>83</v>
      </c>
      <c r="K3476" s="49"/>
      <c r="L3476" s="49" t="s">
        <v>12043</v>
      </c>
      <c r="M3476" s="49" t="s">
        <v>3027</v>
      </c>
      <c r="N3476" s="49">
        <v>2002.0</v>
      </c>
      <c r="O3476" s="49" t="s">
        <v>388</v>
      </c>
      <c r="P3476" s="49">
        <v>1.0</v>
      </c>
      <c r="Q3476" s="56">
        <v>1.0</v>
      </c>
      <c r="R3476" s="54"/>
      <c r="S3476" s="34"/>
      <c r="T3476" s="34"/>
      <c r="U3476" s="34"/>
      <c r="V3476" s="34"/>
      <c r="W3476" s="34"/>
      <c r="X3476" s="34"/>
      <c r="Y3476" s="45"/>
      <c r="Z3476" s="45"/>
      <c r="AA3476" s="45"/>
      <c r="AB3476" s="45"/>
      <c r="AC3476" s="45"/>
      <c r="AD3476" s="45"/>
      <c r="AE3476" s="45"/>
      <c r="AF3476" s="45"/>
      <c r="AG3476" s="45"/>
      <c r="AH3476" s="45"/>
      <c r="AI3476" s="45"/>
      <c r="AJ3476" s="45"/>
      <c r="AK3476" s="45"/>
      <c r="AL3476" s="45"/>
    </row>
    <row r="3477" ht="15.75" customHeight="1">
      <c r="A3477" s="27">
        <f t="shared" si="25"/>
        <v>4300</v>
      </c>
      <c r="B3477" s="49"/>
      <c r="C3477" s="272" t="s">
        <v>12044</v>
      </c>
      <c r="D3477" s="55" t="s">
        <v>12045</v>
      </c>
      <c r="E3477" s="49" t="s">
        <v>144</v>
      </c>
      <c r="F3477" s="49" t="s">
        <v>29</v>
      </c>
      <c r="G3477" s="49" t="s">
        <v>30</v>
      </c>
      <c r="H3477" s="49"/>
      <c r="I3477" s="49" t="s">
        <v>30</v>
      </c>
      <c r="J3477" s="49">
        <f>418</f>
        <v>418</v>
      </c>
      <c r="K3477" s="49"/>
      <c r="L3477" s="49" t="s">
        <v>12046</v>
      </c>
      <c r="M3477" s="49" t="s">
        <v>2258</v>
      </c>
      <c r="N3477" s="49">
        <v>2003.0</v>
      </c>
      <c r="O3477" s="49" t="s">
        <v>388</v>
      </c>
      <c r="P3477" s="49">
        <v>1.0</v>
      </c>
      <c r="Q3477" s="56"/>
      <c r="R3477" s="54"/>
      <c r="S3477" s="34"/>
      <c r="T3477" s="34"/>
      <c r="U3477" s="34"/>
      <c r="V3477" s="34"/>
      <c r="W3477" s="34"/>
      <c r="X3477" s="34"/>
      <c r="Y3477" s="45"/>
      <c r="Z3477" s="45"/>
      <c r="AA3477" s="45"/>
      <c r="AB3477" s="45"/>
      <c r="AC3477" s="45"/>
      <c r="AD3477" s="45"/>
      <c r="AE3477" s="45"/>
      <c r="AF3477" s="45"/>
      <c r="AG3477" s="45"/>
      <c r="AH3477" s="45"/>
      <c r="AI3477" s="45"/>
      <c r="AJ3477" s="45"/>
      <c r="AK3477" s="45"/>
      <c r="AL3477" s="45"/>
    </row>
    <row r="3478" ht="15.75" customHeight="1">
      <c r="A3478" s="27">
        <f t="shared" si="25"/>
        <v>4301</v>
      </c>
      <c r="B3478" s="49" t="s">
        <v>8453</v>
      </c>
      <c r="C3478" s="272" t="s">
        <v>12047</v>
      </c>
      <c r="D3478" s="55" t="s">
        <v>8455</v>
      </c>
      <c r="E3478" s="49" t="s">
        <v>144</v>
      </c>
      <c r="F3478" s="49" t="s">
        <v>29</v>
      </c>
      <c r="G3478" s="49" t="s">
        <v>30</v>
      </c>
      <c r="H3478" s="49"/>
      <c r="I3478" s="49" t="s">
        <v>30</v>
      </c>
      <c r="J3478" s="49">
        <f>95+14</f>
        <v>109</v>
      </c>
      <c r="K3478" s="49"/>
      <c r="L3478" s="49" t="s">
        <v>12048</v>
      </c>
      <c r="M3478" s="49" t="s">
        <v>3109</v>
      </c>
      <c r="N3478" s="49">
        <v>1992.0</v>
      </c>
      <c r="O3478" s="49" t="s">
        <v>388</v>
      </c>
      <c r="P3478" s="49">
        <v>1.0</v>
      </c>
      <c r="Q3478" s="56"/>
      <c r="R3478" s="54"/>
      <c r="S3478" s="34"/>
      <c r="T3478" s="34"/>
      <c r="U3478" s="34"/>
      <c r="V3478" s="34"/>
      <c r="W3478" s="34"/>
      <c r="X3478" s="34"/>
      <c r="Y3478" s="3"/>
      <c r="Z3478" s="3"/>
      <c r="AA3478" s="3"/>
      <c r="AB3478" s="3"/>
      <c r="AC3478" s="3"/>
      <c r="AD3478" s="3"/>
      <c r="AE3478" s="3"/>
      <c r="AF3478" s="3"/>
      <c r="AG3478" s="3"/>
      <c r="AH3478" s="3"/>
      <c r="AI3478" s="3"/>
      <c r="AJ3478" s="3"/>
      <c r="AK3478" s="3"/>
      <c r="AL3478" s="3"/>
    </row>
    <row r="3479" ht="15.75" customHeight="1">
      <c r="A3479" s="27">
        <f t="shared" si="25"/>
        <v>4302</v>
      </c>
      <c r="B3479" s="49" t="s">
        <v>31</v>
      </c>
      <c r="C3479" s="272" t="s">
        <v>12049</v>
      </c>
      <c r="D3479" s="55" t="s">
        <v>12050</v>
      </c>
      <c r="E3479" s="49" t="s">
        <v>31</v>
      </c>
      <c r="F3479" s="49" t="s">
        <v>29</v>
      </c>
      <c r="G3479" s="49" t="s">
        <v>30</v>
      </c>
      <c r="H3479" s="49"/>
      <c r="I3479" s="49" t="s">
        <v>30</v>
      </c>
      <c r="J3479" s="49">
        <v>259.0</v>
      </c>
      <c r="K3479" s="49"/>
      <c r="L3479" s="49" t="s">
        <v>5292</v>
      </c>
      <c r="M3479" s="49" t="s">
        <v>12051</v>
      </c>
      <c r="N3479" s="49">
        <v>1997.0</v>
      </c>
      <c r="O3479" s="49" t="s">
        <v>388</v>
      </c>
      <c r="P3479" s="49">
        <v>1.0</v>
      </c>
      <c r="Q3479" s="56"/>
      <c r="R3479" s="54"/>
      <c r="S3479" s="34"/>
      <c r="T3479" s="34"/>
      <c r="U3479" s="34"/>
      <c r="V3479" s="34"/>
      <c r="W3479" s="34"/>
      <c r="X3479" s="34"/>
      <c r="Y3479" s="45"/>
      <c r="Z3479" s="45"/>
      <c r="AA3479" s="45"/>
      <c r="AB3479" s="45"/>
      <c r="AC3479" s="45"/>
      <c r="AD3479" s="45"/>
      <c r="AE3479" s="45"/>
      <c r="AF3479" s="45"/>
      <c r="AG3479" s="45"/>
      <c r="AH3479" s="45"/>
      <c r="AI3479" s="45"/>
      <c r="AJ3479" s="45"/>
      <c r="AK3479" s="45"/>
      <c r="AL3479" s="45"/>
    </row>
    <row r="3480" ht="15.75" customHeight="1">
      <c r="A3480" s="27">
        <f t="shared" si="25"/>
        <v>4303</v>
      </c>
      <c r="B3480" s="49" t="s">
        <v>12052</v>
      </c>
      <c r="C3480" s="272" t="s">
        <v>12053</v>
      </c>
      <c r="D3480" s="55" t="s">
        <v>12054</v>
      </c>
      <c r="E3480" s="49" t="s">
        <v>31</v>
      </c>
      <c r="F3480" s="49" t="s">
        <v>29</v>
      </c>
      <c r="G3480" s="49" t="s">
        <v>30</v>
      </c>
      <c r="H3480" s="49"/>
      <c r="I3480" s="49" t="s">
        <v>30</v>
      </c>
      <c r="J3480" s="49">
        <v>72.0</v>
      </c>
      <c r="K3480" s="49"/>
      <c r="L3480" s="49" t="s">
        <v>12055</v>
      </c>
      <c r="M3480" s="49" t="s">
        <v>161</v>
      </c>
      <c r="N3480" s="49">
        <v>2013.0</v>
      </c>
      <c r="O3480" s="49" t="s">
        <v>388</v>
      </c>
      <c r="P3480" s="49">
        <v>1.0</v>
      </c>
      <c r="Q3480" s="56"/>
      <c r="R3480" s="54"/>
      <c r="S3480" s="34"/>
      <c r="T3480" s="34"/>
      <c r="U3480" s="34"/>
      <c r="V3480" s="34"/>
      <c r="W3480" s="34"/>
      <c r="X3480" s="34"/>
      <c r="Y3480" s="3"/>
      <c r="Z3480" s="3"/>
      <c r="AA3480" s="3"/>
      <c r="AB3480" s="3"/>
      <c r="AC3480" s="3"/>
      <c r="AD3480" s="3"/>
      <c r="AE3480" s="3"/>
      <c r="AF3480" s="3"/>
      <c r="AG3480" s="3"/>
      <c r="AH3480" s="3"/>
      <c r="AI3480" s="3"/>
      <c r="AJ3480" s="3"/>
      <c r="AK3480" s="3"/>
      <c r="AL3480" s="3"/>
    </row>
    <row r="3481" ht="15.75" customHeight="1">
      <c r="A3481" s="27">
        <f t="shared" si="25"/>
        <v>4304</v>
      </c>
      <c r="B3481" s="49" t="s">
        <v>12056</v>
      </c>
      <c r="C3481" s="272" t="s">
        <v>12057</v>
      </c>
      <c r="D3481" s="55" t="s">
        <v>12058</v>
      </c>
      <c r="E3481" s="49" t="s">
        <v>144</v>
      </c>
      <c r="F3481" s="49" t="s">
        <v>29</v>
      </c>
      <c r="G3481" s="49" t="s">
        <v>30</v>
      </c>
      <c r="H3481" s="49"/>
      <c r="I3481" s="49" t="s">
        <v>30</v>
      </c>
      <c r="J3481" s="49">
        <f>160+8</f>
        <v>168</v>
      </c>
      <c r="K3481" s="49"/>
      <c r="L3481" s="49" t="s">
        <v>6547</v>
      </c>
      <c r="M3481" s="49" t="s">
        <v>3240</v>
      </c>
      <c r="N3481" s="49">
        <v>2013.0</v>
      </c>
      <c r="O3481" s="49" t="s">
        <v>388</v>
      </c>
      <c r="P3481" s="49">
        <v>1.0</v>
      </c>
      <c r="Q3481" s="56"/>
      <c r="R3481" s="54"/>
      <c r="S3481" s="34"/>
      <c r="T3481" s="34"/>
      <c r="U3481" s="34"/>
      <c r="V3481" s="34"/>
      <c r="W3481" s="34"/>
      <c r="X3481" s="34"/>
      <c r="Y3481" s="3"/>
      <c r="Z3481" s="3"/>
      <c r="AA3481" s="3"/>
      <c r="AB3481" s="3"/>
      <c r="AC3481" s="3"/>
      <c r="AD3481" s="3"/>
      <c r="AE3481" s="3"/>
      <c r="AF3481" s="3"/>
      <c r="AG3481" s="3"/>
      <c r="AH3481" s="3"/>
      <c r="AI3481" s="3"/>
      <c r="AJ3481" s="3"/>
      <c r="AK3481" s="3"/>
      <c r="AL3481" s="3"/>
    </row>
    <row r="3482" ht="15.75" customHeight="1">
      <c r="A3482" s="27">
        <f t="shared" si="25"/>
        <v>4305</v>
      </c>
      <c r="B3482" s="158" t="s">
        <v>31</v>
      </c>
      <c r="C3482" s="204" t="s">
        <v>12059</v>
      </c>
      <c r="D3482" s="160" t="s">
        <v>12060</v>
      </c>
      <c r="E3482" s="158" t="s">
        <v>31</v>
      </c>
      <c r="F3482" s="158" t="s">
        <v>29</v>
      </c>
      <c r="G3482" s="158" t="s">
        <v>30</v>
      </c>
      <c r="H3482" s="158"/>
      <c r="I3482" s="158" t="s">
        <v>30</v>
      </c>
      <c r="J3482" s="158">
        <v>61.0</v>
      </c>
      <c r="K3482" s="158"/>
      <c r="L3482" s="158" t="s">
        <v>3055</v>
      </c>
      <c r="M3482" s="158" t="s">
        <v>3056</v>
      </c>
      <c r="N3482" s="158" t="s">
        <v>31</v>
      </c>
      <c r="O3482" s="158" t="s">
        <v>388</v>
      </c>
      <c r="P3482" s="158">
        <v>1.0</v>
      </c>
      <c r="Q3482" s="162"/>
      <c r="R3482" s="163"/>
      <c r="S3482" s="34"/>
      <c r="T3482" s="34"/>
      <c r="U3482" s="34"/>
      <c r="V3482" s="34"/>
      <c r="W3482" s="34"/>
      <c r="X3482" s="34"/>
      <c r="Y3482" s="45"/>
      <c r="Z3482" s="45"/>
      <c r="AA3482" s="45"/>
      <c r="AB3482" s="45"/>
      <c r="AC3482" s="45"/>
      <c r="AD3482" s="45"/>
      <c r="AE3482" s="45"/>
      <c r="AF3482" s="45"/>
      <c r="AG3482" s="45"/>
      <c r="AH3482" s="45"/>
      <c r="AI3482" s="45"/>
      <c r="AJ3482" s="45"/>
      <c r="AK3482" s="45"/>
      <c r="AL3482" s="45"/>
    </row>
    <row r="3483" ht="15.75" customHeight="1">
      <c r="A3483" s="27">
        <f t="shared" si="25"/>
        <v>4306</v>
      </c>
      <c r="B3483" s="280" t="s">
        <v>12061</v>
      </c>
      <c r="C3483" s="272" t="s">
        <v>12062</v>
      </c>
      <c r="D3483" s="55" t="s">
        <v>12063</v>
      </c>
      <c r="E3483" s="49"/>
      <c r="F3483" s="49" t="s">
        <v>29</v>
      </c>
      <c r="G3483" s="49" t="s">
        <v>30</v>
      </c>
      <c r="H3483" s="49"/>
      <c r="I3483" s="49" t="s">
        <v>30</v>
      </c>
      <c r="J3483" s="49">
        <v>266.0</v>
      </c>
      <c r="K3483" s="49"/>
      <c r="L3483" s="49" t="s">
        <v>8702</v>
      </c>
      <c r="M3483" s="49" t="s">
        <v>151</v>
      </c>
      <c r="N3483" s="49">
        <v>1989.0</v>
      </c>
      <c r="O3483" s="49" t="s">
        <v>388</v>
      </c>
      <c r="P3483" s="49">
        <v>1.0</v>
      </c>
      <c r="Q3483" s="56"/>
      <c r="R3483" s="54"/>
      <c r="S3483" s="34"/>
      <c r="T3483" s="34"/>
      <c r="U3483" s="34"/>
      <c r="V3483" s="34"/>
      <c r="W3483" s="34"/>
      <c r="X3483" s="34"/>
      <c r="Y3483" s="45"/>
      <c r="Z3483" s="45"/>
      <c r="AA3483" s="45"/>
      <c r="AB3483" s="45"/>
      <c r="AC3483" s="45"/>
      <c r="AD3483" s="45"/>
      <c r="AE3483" s="45"/>
      <c r="AF3483" s="45"/>
      <c r="AG3483" s="45"/>
      <c r="AH3483" s="45"/>
      <c r="AI3483" s="45"/>
      <c r="AJ3483" s="45"/>
      <c r="AK3483" s="45"/>
      <c r="AL3483" s="45"/>
    </row>
    <row r="3484" ht="15.75" customHeight="1">
      <c r="A3484" s="27">
        <f t="shared" si="25"/>
        <v>4307</v>
      </c>
      <c r="B3484" s="49" t="s">
        <v>8571</v>
      </c>
      <c r="C3484" s="272" t="s">
        <v>12064</v>
      </c>
      <c r="D3484" s="55" t="s">
        <v>8573</v>
      </c>
      <c r="E3484" s="49" t="s">
        <v>144</v>
      </c>
      <c r="F3484" s="49" t="s">
        <v>29</v>
      </c>
      <c r="G3484" s="49" t="s">
        <v>30</v>
      </c>
      <c r="H3484" s="49"/>
      <c r="I3484" s="49" t="s">
        <v>30</v>
      </c>
      <c r="J3484" s="49">
        <v>40.0</v>
      </c>
      <c r="K3484" s="49"/>
      <c r="L3484" s="49" t="s">
        <v>12065</v>
      </c>
      <c r="M3484" s="49" t="s">
        <v>2405</v>
      </c>
      <c r="N3484" s="49">
        <v>2004.0</v>
      </c>
      <c r="O3484" s="49" t="s">
        <v>388</v>
      </c>
      <c r="P3484" s="49">
        <v>1.0</v>
      </c>
      <c r="Q3484" s="56">
        <v>1.0</v>
      </c>
      <c r="R3484" s="54"/>
      <c r="S3484" s="281"/>
      <c r="T3484" s="281"/>
      <c r="U3484" s="281"/>
      <c r="V3484" s="281"/>
      <c r="W3484" s="281"/>
      <c r="X3484" s="281"/>
      <c r="Y3484" s="282"/>
      <c r="Z3484" s="282"/>
      <c r="AA3484" s="282"/>
      <c r="AB3484" s="282"/>
      <c r="AC3484" s="282"/>
      <c r="AD3484" s="282"/>
      <c r="AE3484" s="282"/>
      <c r="AF3484" s="282"/>
      <c r="AG3484" s="282"/>
      <c r="AH3484" s="282"/>
      <c r="AI3484" s="282"/>
      <c r="AJ3484" s="282"/>
      <c r="AK3484" s="282"/>
      <c r="AL3484" s="59"/>
    </row>
    <row r="3485" ht="24.75" customHeight="1">
      <c r="A3485" s="27">
        <f t="shared" si="25"/>
        <v>4308</v>
      </c>
      <c r="B3485" s="283" t="s">
        <v>8621</v>
      </c>
      <c r="C3485" s="272" t="s">
        <v>12066</v>
      </c>
      <c r="D3485" s="55" t="s">
        <v>9446</v>
      </c>
      <c r="E3485" s="49" t="s">
        <v>144</v>
      </c>
      <c r="F3485" s="49" t="s">
        <v>29</v>
      </c>
      <c r="G3485" s="49" t="s">
        <v>30</v>
      </c>
      <c r="H3485" s="49"/>
      <c r="I3485" s="49" t="s">
        <v>30</v>
      </c>
      <c r="J3485" s="49">
        <v>279.0</v>
      </c>
      <c r="K3485" s="49"/>
      <c r="L3485" s="49" t="s">
        <v>8452</v>
      </c>
      <c r="M3485" s="49" t="s">
        <v>9456</v>
      </c>
      <c r="N3485" s="49">
        <v>1995.0</v>
      </c>
      <c r="O3485" s="49" t="s">
        <v>388</v>
      </c>
      <c r="P3485" s="49">
        <v>1.0</v>
      </c>
      <c r="Q3485" s="56"/>
      <c r="R3485" s="54"/>
      <c r="S3485" s="34"/>
      <c r="T3485" s="34"/>
      <c r="U3485" s="34"/>
      <c r="V3485" s="34"/>
      <c r="W3485" s="34"/>
      <c r="X3485" s="34"/>
      <c r="Y3485" s="59"/>
      <c r="Z3485" s="59"/>
      <c r="AA3485" s="59"/>
      <c r="AB3485" s="59"/>
      <c r="AC3485" s="59"/>
      <c r="AD3485" s="59"/>
      <c r="AE3485" s="59"/>
      <c r="AF3485" s="59"/>
      <c r="AG3485" s="59"/>
      <c r="AH3485" s="59"/>
      <c r="AI3485" s="59"/>
      <c r="AJ3485" s="59"/>
      <c r="AK3485" s="59"/>
      <c r="AL3485" s="59"/>
    </row>
    <row r="3486" ht="21.0" customHeight="1">
      <c r="A3486" s="27">
        <f t="shared" si="25"/>
        <v>4309</v>
      </c>
      <c r="B3486" s="49" t="s">
        <v>8611</v>
      </c>
      <c r="C3486" s="272" t="s">
        <v>12067</v>
      </c>
      <c r="D3486" s="55" t="s">
        <v>12068</v>
      </c>
      <c r="E3486" s="49" t="s">
        <v>31</v>
      </c>
      <c r="F3486" s="49" t="s">
        <v>29</v>
      </c>
      <c r="G3486" s="49" t="s">
        <v>30</v>
      </c>
      <c r="H3486" s="49"/>
      <c r="I3486" s="49" t="s">
        <v>30</v>
      </c>
      <c r="J3486" s="49">
        <v>214.0</v>
      </c>
      <c r="K3486" s="49"/>
      <c r="L3486" s="49" t="s">
        <v>8614</v>
      </c>
      <c r="M3486" s="49" t="s">
        <v>151</v>
      </c>
      <c r="N3486" s="49">
        <v>2002.0</v>
      </c>
      <c r="O3486" s="49" t="s">
        <v>388</v>
      </c>
      <c r="P3486" s="49"/>
      <c r="Q3486" s="56"/>
      <c r="R3486" s="54"/>
      <c r="S3486" s="34"/>
      <c r="T3486" s="34"/>
      <c r="U3486" s="34"/>
      <c r="V3486" s="34"/>
      <c r="W3486" s="34"/>
      <c r="X3486" s="34"/>
      <c r="Y3486" s="59"/>
      <c r="Z3486" s="59"/>
      <c r="AA3486" s="59"/>
      <c r="AB3486" s="59"/>
      <c r="AC3486" s="59"/>
      <c r="AD3486" s="59"/>
      <c r="AE3486" s="59"/>
      <c r="AF3486" s="59"/>
      <c r="AG3486" s="59"/>
      <c r="AH3486" s="59"/>
      <c r="AI3486" s="59"/>
      <c r="AJ3486" s="59"/>
      <c r="AK3486" s="59"/>
      <c r="AL3486" s="59"/>
    </row>
    <row r="3487" ht="22.5" customHeight="1">
      <c r="A3487" s="27">
        <f t="shared" si="25"/>
        <v>4310</v>
      </c>
      <c r="B3487" s="49"/>
      <c r="C3487" s="272" t="s">
        <v>12069</v>
      </c>
      <c r="D3487" s="55" t="s">
        <v>12070</v>
      </c>
      <c r="E3487" s="49" t="s">
        <v>144</v>
      </c>
      <c r="F3487" s="49" t="s">
        <v>29</v>
      </c>
      <c r="G3487" s="49"/>
      <c r="H3487" s="49" t="s">
        <v>31</v>
      </c>
      <c r="I3487" s="49" t="s">
        <v>38</v>
      </c>
      <c r="J3487" s="49"/>
      <c r="K3487" s="49"/>
      <c r="L3487" s="49" t="s">
        <v>12071</v>
      </c>
      <c r="M3487" s="49" t="s">
        <v>3364</v>
      </c>
      <c r="N3487" s="49">
        <v>2011.0</v>
      </c>
      <c r="O3487" s="49" t="s">
        <v>388</v>
      </c>
      <c r="P3487" s="49">
        <v>1.0</v>
      </c>
      <c r="Q3487" s="56">
        <v>1.0</v>
      </c>
      <c r="R3487" s="54"/>
      <c r="S3487" s="34"/>
      <c r="T3487" s="34"/>
      <c r="U3487" s="34"/>
      <c r="V3487" s="34"/>
      <c r="W3487" s="34"/>
      <c r="X3487" s="34"/>
      <c r="Y3487" s="59"/>
      <c r="Z3487" s="59"/>
      <c r="AA3487" s="59"/>
      <c r="AB3487" s="59"/>
      <c r="AC3487" s="59"/>
      <c r="AD3487" s="59"/>
      <c r="AE3487" s="59"/>
      <c r="AF3487" s="59"/>
      <c r="AG3487" s="59"/>
      <c r="AH3487" s="59"/>
      <c r="AI3487" s="59"/>
      <c r="AJ3487" s="59"/>
      <c r="AK3487" s="59"/>
      <c r="AL3487" s="59"/>
    </row>
    <row r="3488" ht="24.75" customHeight="1">
      <c r="A3488" s="27">
        <f t="shared" si="25"/>
        <v>4311</v>
      </c>
      <c r="B3488" s="158" t="s">
        <v>8449</v>
      </c>
      <c r="C3488" s="204" t="s">
        <v>8615</v>
      </c>
      <c r="D3488" s="160" t="s">
        <v>12072</v>
      </c>
      <c r="E3488" s="158" t="s">
        <v>144</v>
      </c>
      <c r="F3488" s="158" t="s">
        <v>29</v>
      </c>
      <c r="G3488" s="158" t="s">
        <v>30</v>
      </c>
      <c r="H3488" s="158"/>
      <c r="I3488" s="158" t="s">
        <v>30</v>
      </c>
      <c r="J3488" s="158">
        <f>152+12</f>
        <v>164</v>
      </c>
      <c r="K3488" s="158"/>
      <c r="L3488" s="158" t="s">
        <v>8452</v>
      </c>
      <c r="M3488" s="158" t="s">
        <v>8617</v>
      </c>
      <c r="N3488" s="158">
        <v>2005.0</v>
      </c>
      <c r="O3488" s="158" t="s">
        <v>388</v>
      </c>
      <c r="P3488" s="158">
        <v>1.0</v>
      </c>
      <c r="Q3488" s="162"/>
      <c r="R3488" s="163"/>
      <c r="S3488" s="34"/>
      <c r="T3488" s="34"/>
      <c r="U3488" s="34"/>
      <c r="V3488" s="34"/>
      <c r="W3488" s="34"/>
      <c r="X3488" s="34"/>
      <c r="Y3488" s="59"/>
      <c r="Z3488" s="59"/>
      <c r="AA3488" s="59"/>
      <c r="AB3488" s="59"/>
      <c r="AC3488" s="59"/>
      <c r="AD3488" s="59"/>
      <c r="AE3488" s="59"/>
      <c r="AF3488" s="59"/>
      <c r="AG3488" s="59"/>
      <c r="AH3488" s="59"/>
      <c r="AI3488" s="59"/>
      <c r="AJ3488" s="59"/>
      <c r="AK3488" s="59"/>
      <c r="AL3488" s="59"/>
    </row>
    <row r="3489" ht="27.0" customHeight="1">
      <c r="A3489" s="27">
        <f t="shared" si="25"/>
        <v>4312</v>
      </c>
      <c r="B3489" s="158" t="s">
        <v>8621</v>
      </c>
      <c r="C3489" s="204" t="s">
        <v>8615</v>
      </c>
      <c r="D3489" s="160" t="s">
        <v>12073</v>
      </c>
      <c r="E3489" s="158" t="s">
        <v>144</v>
      </c>
      <c r="F3489" s="158" t="s">
        <v>29</v>
      </c>
      <c r="G3489" s="158" t="s">
        <v>30</v>
      </c>
      <c r="H3489" s="158"/>
      <c r="I3489" s="158" t="s">
        <v>30</v>
      </c>
      <c r="J3489" s="158">
        <f>340+8</f>
        <v>348</v>
      </c>
      <c r="K3489" s="158"/>
      <c r="L3489" s="158" t="s">
        <v>8452</v>
      </c>
      <c r="M3489" s="158" t="s">
        <v>169</v>
      </c>
      <c r="N3489" s="158">
        <v>2010.0</v>
      </c>
      <c r="O3489" s="158" t="s">
        <v>388</v>
      </c>
      <c r="P3489" s="158">
        <v>1.0</v>
      </c>
      <c r="Q3489" s="162"/>
      <c r="R3489" s="163"/>
      <c r="S3489" s="34"/>
      <c r="T3489" s="34"/>
      <c r="U3489" s="34"/>
      <c r="V3489" s="34"/>
      <c r="W3489" s="34"/>
      <c r="X3489" s="34"/>
      <c r="Y3489" s="59"/>
      <c r="Z3489" s="59"/>
      <c r="AA3489" s="59"/>
      <c r="AB3489" s="59"/>
      <c r="AC3489" s="59"/>
      <c r="AD3489" s="59"/>
      <c r="AE3489" s="59"/>
      <c r="AF3489" s="59"/>
      <c r="AG3489" s="59"/>
      <c r="AH3489" s="59"/>
      <c r="AI3489" s="59"/>
      <c r="AJ3489" s="59"/>
      <c r="AK3489" s="59"/>
      <c r="AL3489" s="59"/>
    </row>
    <row r="3490" ht="30.0" customHeight="1">
      <c r="A3490" s="27">
        <f t="shared" si="25"/>
        <v>4313</v>
      </c>
      <c r="B3490" s="49" t="s">
        <v>8682</v>
      </c>
      <c r="C3490" s="272" t="s">
        <v>12074</v>
      </c>
      <c r="D3490" s="55" t="s">
        <v>12075</v>
      </c>
      <c r="E3490" s="49" t="s">
        <v>28</v>
      </c>
      <c r="F3490" s="49" t="s">
        <v>29</v>
      </c>
      <c r="G3490" s="49" t="s">
        <v>30</v>
      </c>
      <c r="H3490" s="49"/>
      <c r="I3490" s="49" t="s">
        <v>30</v>
      </c>
      <c r="J3490" s="49">
        <v>160.0</v>
      </c>
      <c r="K3490" s="49"/>
      <c r="L3490" s="49" t="s">
        <v>4887</v>
      </c>
      <c r="M3490" s="49" t="s">
        <v>161</v>
      </c>
      <c r="N3490" s="49">
        <v>2007.0</v>
      </c>
      <c r="O3490" s="49" t="s">
        <v>388</v>
      </c>
      <c r="P3490" s="49">
        <v>1.0</v>
      </c>
      <c r="Q3490" s="56"/>
      <c r="R3490" s="54"/>
      <c r="S3490" s="34"/>
      <c r="T3490" s="34"/>
      <c r="U3490" s="34"/>
      <c r="V3490" s="34"/>
      <c r="W3490" s="34"/>
      <c r="X3490" s="34"/>
      <c r="Y3490" s="59"/>
      <c r="Z3490" s="59"/>
      <c r="AA3490" s="59"/>
      <c r="AB3490" s="59"/>
      <c r="AC3490" s="59"/>
      <c r="AD3490" s="59"/>
      <c r="AE3490" s="59"/>
      <c r="AF3490" s="59"/>
      <c r="AG3490" s="59"/>
      <c r="AH3490" s="59"/>
      <c r="AI3490" s="59"/>
      <c r="AJ3490" s="59"/>
      <c r="AK3490" s="59"/>
      <c r="AL3490" s="59"/>
    </row>
    <row r="3491" ht="30.0" customHeight="1">
      <c r="A3491" s="27">
        <f t="shared" si="25"/>
        <v>4314</v>
      </c>
      <c r="B3491" s="49"/>
      <c r="C3491" s="272" t="s">
        <v>12076</v>
      </c>
      <c r="D3491" s="55" t="s">
        <v>12077</v>
      </c>
      <c r="E3491" s="49" t="s">
        <v>144</v>
      </c>
      <c r="F3491" s="49" t="s">
        <v>29</v>
      </c>
      <c r="G3491" s="49" t="s">
        <v>30</v>
      </c>
      <c r="H3491" s="49" t="s">
        <v>31</v>
      </c>
      <c r="I3491" s="49" t="s">
        <v>30</v>
      </c>
      <c r="J3491" s="49"/>
      <c r="K3491" s="49"/>
      <c r="L3491" s="49" t="s">
        <v>8695</v>
      </c>
      <c r="M3491" s="49" t="s">
        <v>544</v>
      </c>
      <c r="N3491" s="49">
        <v>2011.0</v>
      </c>
      <c r="O3491" s="49" t="s">
        <v>388</v>
      </c>
      <c r="P3491" s="49">
        <v>1.0</v>
      </c>
      <c r="Q3491" s="56">
        <v>1.0</v>
      </c>
      <c r="R3491" s="54"/>
      <c r="S3491" s="34"/>
      <c r="T3491" s="34"/>
      <c r="U3491" s="34"/>
      <c r="V3491" s="34"/>
      <c r="W3491" s="34"/>
      <c r="X3491" s="34"/>
      <c r="Y3491" s="59"/>
      <c r="Z3491" s="59"/>
      <c r="AA3491" s="59"/>
      <c r="AB3491" s="59"/>
      <c r="AC3491" s="59"/>
      <c r="AD3491" s="59"/>
      <c r="AE3491" s="59"/>
      <c r="AF3491" s="59"/>
      <c r="AG3491" s="59"/>
      <c r="AH3491" s="59"/>
      <c r="AI3491" s="59"/>
      <c r="AJ3491" s="59"/>
      <c r="AK3491" s="59"/>
      <c r="AL3491" s="59"/>
    </row>
    <row r="3492" ht="30.0" customHeight="1">
      <c r="A3492" s="27">
        <f t="shared" si="25"/>
        <v>4315</v>
      </c>
      <c r="B3492" s="49"/>
      <c r="C3492" s="272" t="s">
        <v>12078</v>
      </c>
      <c r="D3492" s="55" t="s">
        <v>12079</v>
      </c>
      <c r="E3492" s="49" t="s">
        <v>144</v>
      </c>
      <c r="F3492" s="49" t="s">
        <v>29</v>
      </c>
      <c r="G3492" s="49" t="s">
        <v>30</v>
      </c>
      <c r="H3492" s="49"/>
      <c r="I3492" s="49" t="s">
        <v>30</v>
      </c>
      <c r="J3492" s="49">
        <v>115.0</v>
      </c>
      <c r="K3492" s="49"/>
      <c r="L3492" s="49"/>
      <c r="M3492" s="49" t="s">
        <v>8741</v>
      </c>
      <c r="N3492" s="49">
        <v>1992.0</v>
      </c>
      <c r="O3492" s="49" t="s">
        <v>388</v>
      </c>
      <c r="P3492" s="49">
        <v>2.0</v>
      </c>
      <c r="Q3492" s="56"/>
      <c r="R3492" s="54"/>
      <c r="S3492" s="185"/>
      <c r="T3492" s="185"/>
      <c r="U3492" s="185"/>
      <c r="V3492" s="185"/>
      <c r="W3492" s="185"/>
      <c r="X3492" s="185"/>
      <c r="Y3492" s="59"/>
      <c r="Z3492" s="59"/>
      <c r="AA3492" s="59"/>
      <c r="AB3492" s="59"/>
      <c r="AC3492" s="59"/>
      <c r="AD3492" s="59"/>
      <c r="AE3492" s="59"/>
      <c r="AF3492" s="59"/>
      <c r="AG3492" s="59"/>
      <c r="AH3492" s="59"/>
      <c r="AI3492" s="59"/>
      <c r="AJ3492" s="59"/>
      <c r="AK3492" s="59"/>
      <c r="AL3492" s="59"/>
    </row>
    <row r="3493" ht="30.0" customHeight="1">
      <c r="A3493" s="27">
        <f t="shared" si="25"/>
        <v>4316</v>
      </c>
      <c r="B3493" s="49" t="s">
        <v>8692</v>
      </c>
      <c r="C3493" s="272" t="s">
        <v>12080</v>
      </c>
      <c r="D3493" s="55" t="s">
        <v>8694</v>
      </c>
      <c r="E3493" s="49" t="s">
        <v>144</v>
      </c>
      <c r="F3493" s="49" t="s">
        <v>29</v>
      </c>
      <c r="G3493" s="49" t="s">
        <v>30</v>
      </c>
      <c r="H3493" s="49"/>
      <c r="I3493" s="49" t="s">
        <v>30</v>
      </c>
      <c r="J3493" s="49">
        <f>184</f>
        <v>184</v>
      </c>
      <c r="K3493" s="49"/>
      <c r="L3493" s="49" t="s">
        <v>8695</v>
      </c>
      <c r="M3493" s="49" t="s">
        <v>544</v>
      </c>
      <c r="N3493" s="49">
        <v>2011.0</v>
      </c>
      <c r="O3493" s="49" t="s">
        <v>388</v>
      </c>
      <c r="P3493" s="49">
        <v>1.0</v>
      </c>
      <c r="Q3493" s="56"/>
      <c r="R3493" s="54"/>
      <c r="S3493" s="34"/>
      <c r="T3493" s="34"/>
      <c r="U3493" s="34"/>
      <c r="V3493" s="34"/>
      <c r="W3493" s="34"/>
      <c r="X3493" s="34"/>
      <c r="Y3493" s="59"/>
      <c r="Z3493" s="59"/>
      <c r="AA3493" s="59"/>
      <c r="AB3493" s="59"/>
      <c r="AC3493" s="59"/>
      <c r="AD3493" s="59"/>
      <c r="AE3493" s="59"/>
      <c r="AF3493" s="59"/>
      <c r="AG3493" s="59"/>
      <c r="AH3493" s="59"/>
      <c r="AI3493" s="59"/>
      <c r="AJ3493" s="59"/>
      <c r="AK3493" s="59"/>
      <c r="AL3493" s="59"/>
    </row>
    <row r="3494" ht="30.0" customHeight="1">
      <c r="A3494" s="27">
        <f t="shared" si="25"/>
        <v>4317</v>
      </c>
      <c r="B3494" s="49"/>
      <c r="C3494" s="272" t="s">
        <v>12081</v>
      </c>
      <c r="D3494" s="55" t="s">
        <v>12082</v>
      </c>
      <c r="E3494" s="49" t="s">
        <v>144</v>
      </c>
      <c r="F3494" s="49" t="s">
        <v>29</v>
      </c>
      <c r="G3494" s="49" t="s">
        <v>30</v>
      </c>
      <c r="H3494" s="49"/>
      <c r="I3494" s="49" t="s">
        <v>30</v>
      </c>
      <c r="J3494" s="49">
        <f>124</f>
        <v>124</v>
      </c>
      <c r="K3494" s="49"/>
      <c r="L3494" s="49" t="s">
        <v>12083</v>
      </c>
      <c r="M3494" s="49" t="s">
        <v>12084</v>
      </c>
      <c r="N3494" s="49">
        <v>2010.0</v>
      </c>
      <c r="O3494" s="49" t="s">
        <v>388</v>
      </c>
      <c r="P3494" s="49">
        <v>1.0</v>
      </c>
      <c r="Q3494" s="56"/>
      <c r="R3494" s="54"/>
      <c r="S3494" s="34"/>
      <c r="T3494" s="34"/>
      <c r="U3494" s="34"/>
      <c r="V3494" s="34"/>
      <c r="W3494" s="34"/>
      <c r="X3494" s="34"/>
      <c r="Y3494" s="59"/>
      <c r="Z3494" s="59"/>
      <c r="AA3494" s="59"/>
      <c r="AB3494" s="59"/>
      <c r="AC3494" s="59"/>
      <c r="AD3494" s="59"/>
      <c r="AE3494" s="59"/>
      <c r="AF3494" s="59"/>
      <c r="AG3494" s="59"/>
      <c r="AH3494" s="59"/>
      <c r="AI3494" s="59"/>
      <c r="AJ3494" s="59"/>
      <c r="AK3494" s="59"/>
      <c r="AL3494" s="59"/>
    </row>
    <row r="3495" ht="30.0" customHeight="1">
      <c r="A3495" s="27">
        <f t="shared" si="25"/>
        <v>4318</v>
      </c>
      <c r="B3495" s="49" t="s">
        <v>12085</v>
      </c>
      <c r="C3495" s="272" t="s">
        <v>12086</v>
      </c>
      <c r="D3495" s="55" t="s">
        <v>12087</v>
      </c>
      <c r="E3495" s="49" t="s">
        <v>144</v>
      </c>
      <c r="F3495" s="49" t="s">
        <v>29</v>
      </c>
      <c r="G3495" s="49" t="s">
        <v>30</v>
      </c>
      <c r="H3495" s="49"/>
      <c r="I3495" s="49" t="s">
        <v>30</v>
      </c>
      <c r="J3495" s="49">
        <v>272.0</v>
      </c>
      <c r="K3495" s="49"/>
      <c r="L3495" s="49" t="s">
        <v>12088</v>
      </c>
      <c r="M3495" s="49" t="s">
        <v>9000</v>
      </c>
      <c r="N3495" s="49">
        <v>2004.0</v>
      </c>
      <c r="O3495" s="49" t="s">
        <v>388</v>
      </c>
      <c r="P3495" s="49">
        <v>1.0</v>
      </c>
      <c r="Q3495" s="56"/>
      <c r="R3495" s="54"/>
      <c r="S3495" s="34"/>
      <c r="T3495" s="34"/>
      <c r="U3495" s="34"/>
      <c r="V3495" s="34"/>
      <c r="W3495" s="34"/>
      <c r="X3495" s="34"/>
      <c r="Y3495" s="59"/>
      <c r="Z3495" s="59"/>
      <c r="AA3495" s="59"/>
      <c r="AB3495" s="59"/>
      <c r="AC3495" s="59"/>
      <c r="AD3495" s="59"/>
      <c r="AE3495" s="59"/>
      <c r="AF3495" s="59"/>
      <c r="AG3495" s="59"/>
      <c r="AH3495" s="59"/>
      <c r="AI3495" s="59"/>
      <c r="AJ3495" s="59"/>
      <c r="AK3495" s="59"/>
      <c r="AL3495" s="59"/>
    </row>
    <row r="3496" ht="30.0" customHeight="1">
      <c r="A3496" s="27">
        <f t="shared" si="25"/>
        <v>4319</v>
      </c>
      <c r="B3496" s="49" t="s">
        <v>31</v>
      </c>
      <c r="C3496" s="272" t="s">
        <v>12089</v>
      </c>
      <c r="D3496" s="55" t="s">
        <v>12090</v>
      </c>
      <c r="E3496" s="49" t="s">
        <v>31</v>
      </c>
      <c r="F3496" s="49" t="s">
        <v>29</v>
      </c>
      <c r="G3496" s="49" t="s">
        <v>30</v>
      </c>
      <c r="H3496" s="49"/>
      <c r="I3496" s="49" t="s">
        <v>30</v>
      </c>
      <c r="J3496" s="49">
        <v>200.0</v>
      </c>
      <c r="K3496" s="49"/>
      <c r="L3496" s="49" t="s">
        <v>8749</v>
      </c>
      <c r="M3496" s="49" t="s">
        <v>12091</v>
      </c>
      <c r="N3496" s="49">
        <v>2012.0</v>
      </c>
      <c r="O3496" s="49" t="s">
        <v>388</v>
      </c>
      <c r="P3496" s="49">
        <v>1.0</v>
      </c>
      <c r="Q3496" s="56"/>
      <c r="R3496" s="54"/>
      <c r="S3496" s="34"/>
      <c r="T3496" s="34"/>
      <c r="U3496" s="34"/>
      <c r="V3496" s="34"/>
      <c r="W3496" s="34"/>
      <c r="X3496" s="34"/>
      <c r="Y3496" s="59"/>
      <c r="Z3496" s="59"/>
      <c r="AA3496" s="59"/>
      <c r="AB3496" s="59"/>
      <c r="AC3496" s="59"/>
      <c r="AD3496" s="59"/>
      <c r="AE3496" s="59"/>
      <c r="AF3496" s="59"/>
      <c r="AG3496" s="59"/>
      <c r="AH3496" s="59"/>
      <c r="AI3496" s="59"/>
      <c r="AJ3496" s="59"/>
      <c r="AK3496" s="59"/>
      <c r="AL3496" s="59"/>
    </row>
    <row r="3497" ht="30.0" customHeight="1">
      <c r="A3497" s="27">
        <f t="shared" si="25"/>
        <v>4320</v>
      </c>
      <c r="B3497" s="49" t="s">
        <v>12092</v>
      </c>
      <c r="C3497" s="272" t="s">
        <v>12093</v>
      </c>
      <c r="D3497" s="55" t="s">
        <v>12094</v>
      </c>
      <c r="E3497" s="49" t="s">
        <v>31</v>
      </c>
      <c r="F3497" s="49" t="s">
        <v>29</v>
      </c>
      <c r="G3497" s="49" t="s">
        <v>37</v>
      </c>
      <c r="H3497" s="49"/>
      <c r="I3497" s="49" t="s">
        <v>38</v>
      </c>
      <c r="J3497" s="49">
        <v>252.0</v>
      </c>
      <c r="K3497" s="49"/>
      <c r="L3497" s="49" t="s">
        <v>12095</v>
      </c>
      <c r="M3497" s="49" t="s">
        <v>12096</v>
      </c>
      <c r="N3497" s="49">
        <v>2004.0</v>
      </c>
      <c r="O3497" s="49" t="s">
        <v>388</v>
      </c>
      <c r="P3497" s="49">
        <v>1.0</v>
      </c>
      <c r="Q3497" s="56"/>
      <c r="R3497" s="54"/>
      <c r="S3497" s="34"/>
      <c r="T3497" s="34"/>
      <c r="U3497" s="34"/>
      <c r="V3497" s="34"/>
      <c r="W3497" s="34"/>
      <c r="X3497" s="34"/>
      <c r="Y3497" s="59"/>
      <c r="Z3497" s="59"/>
      <c r="AA3497" s="59"/>
      <c r="AB3497" s="59"/>
      <c r="AC3497" s="59"/>
      <c r="AD3497" s="59"/>
      <c r="AE3497" s="59"/>
      <c r="AF3497" s="59"/>
      <c r="AG3497" s="59"/>
      <c r="AH3497" s="59"/>
      <c r="AI3497" s="59"/>
      <c r="AJ3497" s="59"/>
      <c r="AK3497" s="59"/>
      <c r="AL3497" s="59"/>
    </row>
    <row r="3498" ht="30.0" customHeight="1">
      <c r="A3498" s="27">
        <f t="shared" si="25"/>
        <v>4321</v>
      </c>
      <c r="B3498" s="49"/>
      <c r="C3498" s="272" t="s">
        <v>12097</v>
      </c>
      <c r="D3498" s="55" t="s">
        <v>8755</v>
      </c>
      <c r="E3498" s="49" t="s">
        <v>144</v>
      </c>
      <c r="F3498" s="49" t="s">
        <v>29</v>
      </c>
      <c r="G3498" s="49" t="s">
        <v>30</v>
      </c>
      <c r="H3498" s="49"/>
      <c r="I3498" s="49" t="s">
        <v>30</v>
      </c>
      <c r="J3498" s="49">
        <f>390+14</f>
        <v>404</v>
      </c>
      <c r="K3498" s="49"/>
      <c r="L3498" s="49" t="s">
        <v>12098</v>
      </c>
      <c r="M3498" s="49" t="s">
        <v>12099</v>
      </c>
      <c r="N3498" s="49">
        <v>2007.0</v>
      </c>
      <c r="O3498" s="49" t="s">
        <v>388</v>
      </c>
      <c r="P3498" s="49">
        <v>1.0</v>
      </c>
      <c r="Q3498" s="56">
        <v>1.0</v>
      </c>
      <c r="R3498" s="54"/>
      <c r="S3498" s="34"/>
      <c r="T3498" s="34"/>
      <c r="U3498" s="34"/>
      <c r="V3498" s="34"/>
      <c r="W3498" s="34"/>
      <c r="X3498" s="34"/>
      <c r="Y3498" s="59"/>
      <c r="Z3498" s="59"/>
      <c r="AA3498" s="59"/>
      <c r="AB3498" s="59"/>
      <c r="AC3498" s="59"/>
      <c r="AD3498" s="59"/>
      <c r="AE3498" s="59"/>
      <c r="AF3498" s="59"/>
      <c r="AG3498" s="59"/>
      <c r="AH3498" s="59"/>
      <c r="AI3498" s="59"/>
      <c r="AJ3498" s="59"/>
      <c r="AK3498" s="59"/>
      <c r="AL3498" s="59"/>
    </row>
    <row r="3499" ht="30.0" customHeight="1">
      <c r="A3499" s="27">
        <f t="shared" si="25"/>
        <v>4322</v>
      </c>
      <c r="B3499" s="158" t="s">
        <v>31</v>
      </c>
      <c r="C3499" s="204" t="s">
        <v>12100</v>
      </c>
      <c r="D3499" s="160" t="s">
        <v>12101</v>
      </c>
      <c r="E3499" s="158" t="s">
        <v>31</v>
      </c>
      <c r="F3499" s="158" t="s">
        <v>29</v>
      </c>
      <c r="G3499" s="158" t="s">
        <v>30</v>
      </c>
      <c r="H3499" s="158"/>
      <c r="I3499" s="158" t="s">
        <v>30</v>
      </c>
      <c r="J3499" s="158">
        <v>157.0</v>
      </c>
      <c r="K3499" s="158"/>
      <c r="L3499" s="158" t="s">
        <v>12102</v>
      </c>
      <c r="M3499" s="158" t="s">
        <v>12103</v>
      </c>
      <c r="N3499" s="158" t="s">
        <v>31</v>
      </c>
      <c r="O3499" s="158" t="s">
        <v>388</v>
      </c>
      <c r="P3499" s="158">
        <v>1.0</v>
      </c>
      <c r="Q3499" s="162"/>
      <c r="R3499" s="163"/>
      <c r="S3499" s="34"/>
      <c r="T3499" s="34"/>
      <c r="U3499" s="34"/>
      <c r="V3499" s="34"/>
      <c r="W3499" s="34"/>
      <c r="X3499" s="34"/>
      <c r="Y3499" s="59"/>
      <c r="Z3499" s="59"/>
      <c r="AA3499" s="59"/>
      <c r="AB3499" s="59"/>
      <c r="AC3499" s="59"/>
      <c r="AD3499" s="59"/>
      <c r="AE3499" s="59"/>
      <c r="AF3499" s="59"/>
      <c r="AG3499" s="59"/>
      <c r="AH3499" s="59"/>
      <c r="AI3499" s="59"/>
      <c r="AJ3499" s="59"/>
      <c r="AK3499" s="59"/>
      <c r="AL3499" s="59"/>
    </row>
    <row r="3500" ht="30.0" customHeight="1">
      <c r="A3500" s="27">
        <f t="shared" si="25"/>
        <v>4323</v>
      </c>
      <c r="B3500" s="49" t="s">
        <v>12104</v>
      </c>
      <c r="C3500" s="272" t="s">
        <v>12105</v>
      </c>
      <c r="D3500" s="55" t="s">
        <v>12106</v>
      </c>
      <c r="E3500" s="49"/>
      <c r="F3500" s="49" t="s">
        <v>29</v>
      </c>
      <c r="G3500" s="49" t="s">
        <v>30</v>
      </c>
      <c r="H3500" s="49"/>
      <c r="I3500" s="49" t="s">
        <v>30</v>
      </c>
      <c r="J3500" s="49">
        <v>191.0</v>
      </c>
      <c r="K3500" s="49"/>
      <c r="L3500" s="49" t="s">
        <v>12107</v>
      </c>
      <c r="M3500" s="49" t="s">
        <v>161</v>
      </c>
      <c r="N3500" s="49">
        <v>1964.0</v>
      </c>
      <c r="O3500" s="49" t="s">
        <v>388</v>
      </c>
      <c r="P3500" s="49">
        <v>1.0</v>
      </c>
      <c r="Q3500" s="56">
        <v>1.0</v>
      </c>
      <c r="R3500" s="54"/>
      <c r="S3500" s="34"/>
      <c r="T3500" s="34"/>
      <c r="U3500" s="34"/>
      <c r="V3500" s="34"/>
      <c r="W3500" s="34"/>
      <c r="X3500" s="34"/>
      <c r="Y3500" s="59"/>
      <c r="Z3500" s="59"/>
      <c r="AA3500" s="59"/>
      <c r="AB3500" s="59"/>
      <c r="AC3500" s="59"/>
      <c r="AD3500" s="59"/>
      <c r="AE3500" s="59"/>
      <c r="AF3500" s="59"/>
      <c r="AG3500" s="59"/>
      <c r="AH3500" s="59"/>
      <c r="AI3500" s="59"/>
      <c r="AJ3500" s="59"/>
      <c r="AK3500" s="59"/>
      <c r="AL3500" s="59"/>
    </row>
    <row r="3501" ht="30.0" customHeight="1">
      <c r="A3501" s="27">
        <f t="shared" si="25"/>
        <v>4324</v>
      </c>
      <c r="B3501" s="49" t="s">
        <v>12104</v>
      </c>
      <c r="C3501" s="272" t="s">
        <v>12108</v>
      </c>
      <c r="D3501" s="55" t="s">
        <v>12109</v>
      </c>
      <c r="E3501" s="49" t="s">
        <v>144</v>
      </c>
      <c r="F3501" s="49" t="s">
        <v>29</v>
      </c>
      <c r="G3501" s="49" t="s">
        <v>30</v>
      </c>
      <c r="H3501" s="49"/>
      <c r="I3501" s="49" t="s">
        <v>30</v>
      </c>
      <c r="J3501" s="49">
        <f>191</f>
        <v>191</v>
      </c>
      <c r="K3501" s="49"/>
      <c r="L3501" s="49" t="s">
        <v>12107</v>
      </c>
      <c r="M3501" s="49" t="s">
        <v>161</v>
      </c>
      <c r="N3501" s="49">
        <v>2007.0</v>
      </c>
      <c r="O3501" s="49" t="s">
        <v>388</v>
      </c>
      <c r="P3501" s="49">
        <v>1.0</v>
      </c>
      <c r="Q3501" s="56"/>
      <c r="R3501" s="54"/>
      <c r="S3501" s="34"/>
      <c r="T3501" s="34"/>
      <c r="U3501" s="34"/>
      <c r="V3501" s="34"/>
      <c r="W3501" s="34"/>
      <c r="X3501" s="34"/>
      <c r="Y3501" s="59"/>
      <c r="Z3501" s="59"/>
      <c r="AA3501" s="59"/>
      <c r="AB3501" s="59"/>
      <c r="AC3501" s="59"/>
      <c r="AD3501" s="59"/>
      <c r="AE3501" s="59"/>
      <c r="AF3501" s="59"/>
      <c r="AG3501" s="59"/>
      <c r="AH3501" s="59"/>
      <c r="AI3501" s="59"/>
      <c r="AJ3501" s="59"/>
      <c r="AK3501" s="59"/>
      <c r="AL3501" s="59"/>
    </row>
    <row r="3502" ht="30.0" customHeight="1">
      <c r="A3502" s="27">
        <f t="shared" si="25"/>
        <v>4325</v>
      </c>
      <c r="B3502" s="49" t="s">
        <v>31</v>
      </c>
      <c r="C3502" s="272" t="s">
        <v>12110</v>
      </c>
      <c r="D3502" s="55" t="s">
        <v>8530</v>
      </c>
      <c r="E3502" s="49"/>
      <c r="F3502" s="49" t="s">
        <v>29</v>
      </c>
      <c r="G3502" s="49" t="s">
        <v>30</v>
      </c>
      <c r="H3502" s="49"/>
      <c r="I3502" s="49" t="s">
        <v>30</v>
      </c>
      <c r="J3502" s="49">
        <v>95.0</v>
      </c>
      <c r="K3502" s="49"/>
      <c r="L3502" s="49" t="s">
        <v>8531</v>
      </c>
      <c r="M3502" s="49" t="s">
        <v>151</v>
      </c>
      <c r="N3502" s="49">
        <v>1983.0</v>
      </c>
      <c r="O3502" s="49" t="s">
        <v>388</v>
      </c>
      <c r="P3502" s="49">
        <v>1.0</v>
      </c>
      <c r="Q3502" s="56"/>
      <c r="R3502" s="54"/>
      <c r="S3502" s="34"/>
      <c r="T3502" s="34"/>
      <c r="U3502" s="34"/>
      <c r="V3502" s="34"/>
      <c r="W3502" s="34"/>
      <c r="X3502" s="34"/>
      <c r="Y3502" s="284"/>
      <c r="Z3502" s="284"/>
      <c r="AA3502" s="284"/>
      <c r="AB3502" s="284"/>
      <c r="AC3502" s="284"/>
      <c r="AD3502" s="284"/>
      <c r="AE3502" s="284"/>
      <c r="AF3502" s="284"/>
      <c r="AG3502" s="284"/>
      <c r="AH3502" s="284"/>
      <c r="AI3502" s="284"/>
      <c r="AJ3502" s="284"/>
      <c r="AK3502" s="284"/>
      <c r="AL3502" s="284"/>
    </row>
    <row r="3503" ht="30.0" customHeight="1">
      <c r="A3503" s="27">
        <f t="shared" si="25"/>
        <v>4326</v>
      </c>
      <c r="B3503" s="49" t="s">
        <v>31</v>
      </c>
      <c r="C3503" s="272" t="s">
        <v>12111</v>
      </c>
      <c r="D3503" s="55" t="s">
        <v>12112</v>
      </c>
      <c r="E3503" s="49"/>
      <c r="F3503" s="49" t="s">
        <v>29</v>
      </c>
      <c r="G3503" s="49" t="s">
        <v>30</v>
      </c>
      <c r="H3503" s="49"/>
      <c r="I3503" s="49" t="s">
        <v>30</v>
      </c>
      <c r="J3503" s="49">
        <v>369.0</v>
      </c>
      <c r="K3503" s="49"/>
      <c r="L3503" s="49" t="s">
        <v>12113</v>
      </c>
      <c r="M3503" s="49" t="s">
        <v>913</v>
      </c>
      <c r="N3503" s="49">
        <v>2007.0</v>
      </c>
      <c r="O3503" s="49" t="s">
        <v>388</v>
      </c>
      <c r="P3503" s="49">
        <v>1.0</v>
      </c>
      <c r="Q3503" s="56"/>
      <c r="R3503" s="54"/>
      <c r="S3503" s="34"/>
      <c r="T3503" s="34"/>
      <c r="U3503" s="34"/>
      <c r="V3503" s="34"/>
      <c r="W3503" s="34"/>
      <c r="X3503" s="34"/>
      <c r="Y3503" s="59"/>
      <c r="Z3503" s="59"/>
      <c r="AA3503" s="59"/>
      <c r="AB3503" s="59"/>
      <c r="AC3503" s="59"/>
      <c r="AD3503" s="59"/>
      <c r="AE3503" s="59"/>
      <c r="AF3503" s="59"/>
      <c r="AG3503" s="59"/>
      <c r="AH3503" s="59"/>
      <c r="AI3503" s="59"/>
      <c r="AJ3503" s="59"/>
      <c r="AK3503" s="59"/>
      <c r="AL3503" s="59"/>
    </row>
    <row r="3504" ht="30.0" customHeight="1">
      <c r="A3504" s="27">
        <f t="shared" si="25"/>
        <v>4327</v>
      </c>
      <c r="B3504" s="49" t="s">
        <v>12114</v>
      </c>
      <c r="C3504" s="272" t="s">
        <v>12115</v>
      </c>
      <c r="D3504" s="55" t="s">
        <v>12116</v>
      </c>
      <c r="E3504" s="49"/>
      <c r="F3504" s="49" t="s">
        <v>29</v>
      </c>
      <c r="G3504" s="49" t="s">
        <v>159</v>
      </c>
      <c r="H3504" s="49"/>
      <c r="I3504" s="49" t="s">
        <v>159</v>
      </c>
      <c r="J3504" s="49">
        <v>236.0</v>
      </c>
      <c r="K3504" s="49"/>
      <c r="L3504" s="49" t="s">
        <v>12117</v>
      </c>
      <c r="M3504" s="49" t="s">
        <v>151</v>
      </c>
      <c r="N3504" s="49">
        <v>1986.0</v>
      </c>
      <c r="O3504" s="49" t="s">
        <v>388</v>
      </c>
      <c r="P3504" s="49">
        <v>1.0</v>
      </c>
      <c r="Q3504" s="56">
        <v>1.0</v>
      </c>
      <c r="R3504" s="54"/>
      <c r="S3504" s="34"/>
      <c r="T3504" s="34"/>
      <c r="U3504" s="34"/>
      <c r="V3504" s="34"/>
      <c r="W3504" s="34"/>
      <c r="X3504" s="34"/>
      <c r="Y3504" s="284"/>
      <c r="Z3504" s="284"/>
      <c r="AA3504" s="284"/>
      <c r="AB3504" s="284"/>
      <c r="AC3504" s="284"/>
      <c r="AD3504" s="284"/>
      <c r="AE3504" s="284"/>
      <c r="AF3504" s="284"/>
      <c r="AG3504" s="284"/>
      <c r="AH3504" s="284"/>
      <c r="AI3504" s="284"/>
      <c r="AJ3504" s="284"/>
      <c r="AK3504" s="284"/>
      <c r="AL3504" s="284"/>
    </row>
    <row r="3505" ht="30.0" customHeight="1">
      <c r="A3505" s="27">
        <f t="shared" si="25"/>
        <v>4328</v>
      </c>
      <c r="B3505" s="49" t="s">
        <v>8942</v>
      </c>
      <c r="C3505" s="272" t="s">
        <v>12118</v>
      </c>
      <c r="D3505" s="55" t="s">
        <v>12119</v>
      </c>
      <c r="E3505" s="49"/>
      <c r="F3505" s="49" t="s">
        <v>29</v>
      </c>
      <c r="G3505" s="49" t="s">
        <v>30</v>
      </c>
      <c r="H3505" s="49"/>
      <c r="I3505" s="49" t="s">
        <v>30</v>
      </c>
      <c r="J3505" s="49">
        <v>220.0</v>
      </c>
      <c r="K3505" s="49"/>
      <c r="L3505" s="49" t="s">
        <v>12120</v>
      </c>
      <c r="M3505" s="49" t="s">
        <v>161</v>
      </c>
      <c r="N3505" s="49">
        <v>2007.0</v>
      </c>
      <c r="O3505" s="49" t="s">
        <v>388</v>
      </c>
      <c r="P3505" s="49">
        <v>2.0</v>
      </c>
      <c r="Q3505" s="56">
        <v>2.0</v>
      </c>
      <c r="R3505" s="54"/>
      <c r="S3505" s="34"/>
      <c r="T3505" s="34"/>
      <c r="U3505" s="34"/>
      <c r="V3505" s="34"/>
      <c r="W3505" s="34"/>
      <c r="X3505" s="34"/>
      <c r="Y3505" s="59"/>
      <c r="Z3505" s="59"/>
      <c r="AA3505" s="59"/>
      <c r="AB3505" s="59"/>
      <c r="AC3505" s="59"/>
      <c r="AD3505" s="59"/>
      <c r="AE3505" s="59"/>
      <c r="AF3505" s="59"/>
      <c r="AG3505" s="59"/>
      <c r="AH3505" s="59"/>
      <c r="AI3505" s="59"/>
      <c r="AJ3505" s="59"/>
      <c r="AK3505" s="59"/>
      <c r="AL3505" s="59"/>
    </row>
    <row r="3506" ht="30.0" customHeight="1">
      <c r="A3506" s="27">
        <f t="shared" si="25"/>
        <v>4329</v>
      </c>
      <c r="B3506" s="158" t="s">
        <v>8618</v>
      </c>
      <c r="C3506" s="204" t="s">
        <v>12121</v>
      </c>
      <c r="D3506" s="160" t="s">
        <v>12122</v>
      </c>
      <c r="E3506" s="158"/>
      <c r="F3506" s="158" t="s">
        <v>29</v>
      </c>
      <c r="G3506" s="158" t="s">
        <v>30</v>
      </c>
      <c r="H3506" s="158"/>
      <c r="I3506" s="158" t="s">
        <v>30</v>
      </c>
      <c r="J3506" s="158">
        <v>256.0</v>
      </c>
      <c r="K3506" s="158"/>
      <c r="L3506" s="158" t="s">
        <v>8452</v>
      </c>
      <c r="M3506" s="158" t="s">
        <v>169</v>
      </c>
      <c r="N3506" s="158">
        <v>1996.0</v>
      </c>
      <c r="O3506" s="158" t="s">
        <v>388</v>
      </c>
      <c r="P3506" s="158">
        <v>1.0</v>
      </c>
      <c r="Q3506" s="162"/>
      <c r="R3506" s="163"/>
      <c r="S3506" s="34"/>
      <c r="T3506" s="34"/>
      <c r="U3506" s="34"/>
      <c r="V3506" s="34"/>
      <c r="W3506" s="34"/>
      <c r="X3506" s="34"/>
      <c r="Y3506" s="284"/>
      <c r="Z3506" s="284"/>
      <c r="AA3506" s="284"/>
      <c r="AB3506" s="284"/>
      <c r="AC3506" s="284"/>
      <c r="AD3506" s="284"/>
      <c r="AE3506" s="284"/>
      <c r="AF3506" s="284"/>
      <c r="AG3506" s="284"/>
      <c r="AH3506" s="284"/>
      <c r="AI3506" s="284"/>
      <c r="AJ3506" s="284"/>
      <c r="AK3506" s="284"/>
      <c r="AL3506" s="284"/>
    </row>
    <row r="3507" ht="30.0" customHeight="1">
      <c r="A3507" s="27">
        <f t="shared" si="25"/>
        <v>4330</v>
      </c>
      <c r="B3507" s="49" t="s">
        <v>31</v>
      </c>
      <c r="C3507" s="272" t="s">
        <v>12123</v>
      </c>
      <c r="D3507" s="55" t="s">
        <v>12124</v>
      </c>
      <c r="E3507" s="49"/>
      <c r="F3507" s="49" t="s">
        <v>29</v>
      </c>
      <c r="G3507" s="49" t="s">
        <v>30</v>
      </c>
      <c r="H3507" s="49"/>
      <c r="I3507" s="49" t="s">
        <v>30</v>
      </c>
      <c r="J3507" s="49">
        <v>169.0</v>
      </c>
      <c r="K3507" s="49"/>
      <c r="L3507" s="49" t="s">
        <v>3055</v>
      </c>
      <c r="M3507" s="49" t="s">
        <v>3056</v>
      </c>
      <c r="N3507" s="49" t="s">
        <v>31</v>
      </c>
      <c r="O3507" s="49" t="s">
        <v>388</v>
      </c>
      <c r="P3507" s="49">
        <v>1.0</v>
      </c>
      <c r="Q3507" s="56"/>
      <c r="R3507" s="54"/>
      <c r="S3507" s="34"/>
      <c r="T3507" s="34"/>
      <c r="U3507" s="34"/>
      <c r="V3507" s="34"/>
      <c r="W3507" s="34"/>
      <c r="X3507" s="34"/>
      <c r="Y3507" s="59"/>
      <c r="Z3507" s="59"/>
      <c r="AA3507" s="59"/>
      <c r="AB3507" s="59"/>
      <c r="AC3507" s="59"/>
      <c r="AD3507" s="59"/>
      <c r="AE3507" s="59"/>
      <c r="AF3507" s="59"/>
      <c r="AG3507" s="59"/>
      <c r="AH3507" s="59"/>
      <c r="AI3507" s="59"/>
      <c r="AJ3507" s="59"/>
      <c r="AK3507" s="59"/>
      <c r="AL3507" s="59"/>
    </row>
    <row r="3508" ht="30.0" customHeight="1">
      <c r="A3508" s="27">
        <f t="shared" si="25"/>
        <v>4331</v>
      </c>
      <c r="B3508" s="49" t="s">
        <v>8893</v>
      </c>
      <c r="C3508" s="272" t="s">
        <v>12125</v>
      </c>
      <c r="D3508" s="55" t="s">
        <v>12126</v>
      </c>
      <c r="E3508" s="49" t="s">
        <v>144</v>
      </c>
      <c r="F3508" s="49" t="s">
        <v>29</v>
      </c>
      <c r="G3508" s="49" t="s">
        <v>30</v>
      </c>
      <c r="H3508" s="49"/>
      <c r="I3508" s="49" t="s">
        <v>30</v>
      </c>
      <c r="J3508" s="49">
        <f>394+6</f>
        <v>400</v>
      </c>
      <c r="K3508" s="49"/>
      <c r="L3508" s="49" t="s">
        <v>4111</v>
      </c>
      <c r="M3508" s="49" t="s">
        <v>4107</v>
      </c>
      <c r="N3508" s="49">
        <v>2009.0</v>
      </c>
      <c r="O3508" s="49" t="s">
        <v>388</v>
      </c>
      <c r="P3508" s="49">
        <v>1.0</v>
      </c>
      <c r="Q3508" s="56"/>
      <c r="R3508" s="54"/>
      <c r="S3508" s="34"/>
      <c r="T3508" s="34"/>
      <c r="U3508" s="34"/>
      <c r="V3508" s="34"/>
      <c r="W3508" s="34"/>
      <c r="X3508" s="34"/>
      <c r="Y3508" s="59"/>
      <c r="Z3508" s="59"/>
      <c r="AA3508" s="59"/>
      <c r="AB3508" s="59"/>
      <c r="AC3508" s="59"/>
      <c r="AD3508" s="59"/>
      <c r="AE3508" s="59"/>
      <c r="AF3508" s="59"/>
      <c r="AG3508" s="59"/>
      <c r="AH3508" s="59"/>
      <c r="AI3508" s="59"/>
      <c r="AJ3508" s="59"/>
      <c r="AK3508" s="59"/>
      <c r="AL3508" s="59"/>
    </row>
    <row r="3509" ht="30.0" customHeight="1">
      <c r="A3509" s="27">
        <f t="shared" si="25"/>
        <v>4332</v>
      </c>
      <c r="B3509" s="49" t="s">
        <v>8925</v>
      </c>
      <c r="C3509" s="272" t="s">
        <v>12127</v>
      </c>
      <c r="D3509" s="55" t="s">
        <v>12128</v>
      </c>
      <c r="E3509" s="49" t="s">
        <v>144</v>
      </c>
      <c r="F3509" s="49" t="s">
        <v>29</v>
      </c>
      <c r="G3509" s="49" t="s">
        <v>12129</v>
      </c>
      <c r="H3509" s="49"/>
      <c r="I3509" s="49" t="s">
        <v>38</v>
      </c>
      <c r="J3509" s="49">
        <f>292+16</f>
        <v>308</v>
      </c>
      <c r="K3509" s="49"/>
      <c r="L3509" s="49" t="s">
        <v>12130</v>
      </c>
      <c r="M3509" s="49" t="s">
        <v>8929</v>
      </c>
      <c r="N3509" s="49"/>
      <c r="O3509" s="49" t="s">
        <v>388</v>
      </c>
      <c r="P3509" s="49">
        <v>1.0</v>
      </c>
      <c r="Q3509" s="56"/>
      <c r="R3509" s="54"/>
      <c r="S3509" s="34"/>
      <c r="T3509" s="34"/>
      <c r="U3509" s="34"/>
      <c r="V3509" s="34"/>
      <c r="W3509" s="34"/>
      <c r="X3509" s="34"/>
      <c r="Y3509" s="59"/>
      <c r="Z3509" s="59"/>
      <c r="AA3509" s="59"/>
      <c r="AB3509" s="59"/>
      <c r="AC3509" s="59"/>
      <c r="AD3509" s="59"/>
      <c r="AE3509" s="59"/>
      <c r="AF3509" s="59"/>
      <c r="AG3509" s="59"/>
      <c r="AH3509" s="59"/>
      <c r="AI3509" s="59"/>
      <c r="AJ3509" s="59"/>
      <c r="AK3509" s="59"/>
      <c r="AL3509" s="59"/>
    </row>
    <row r="3510" ht="30.0" customHeight="1">
      <c r="A3510" s="27">
        <f t="shared" si="25"/>
        <v>4333</v>
      </c>
      <c r="B3510" s="49" t="s">
        <v>8942</v>
      </c>
      <c r="C3510" s="272" t="s">
        <v>12131</v>
      </c>
      <c r="D3510" s="55" t="s">
        <v>12132</v>
      </c>
      <c r="E3510" s="49" t="s">
        <v>144</v>
      </c>
      <c r="F3510" s="49" t="s">
        <v>29</v>
      </c>
      <c r="G3510" s="49" t="s">
        <v>30</v>
      </c>
      <c r="H3510" s="49"/>
      <c r="I3510" s="49" t="s">
        <v>30</v>
      </c>
      <c r="J3510" s="49">
        <f>206+14</f>
        <v>220</v>
      </c>
      <c r="K3510" s="49"/>
      <c r="L3510" s="49" t="s">
        <v>3066</v>
      </c>
      <c r="M3510" s="49" t="s">
        <v>161</v>
      </c>
      <c r="N3510" s="49">
        <v>2007.0</v>
      </c>
      <c r="O3510" s="49" t="s">
        <v>388</v>
      </c>
      <c r="P3510" s="49">
        <v>1.0</v>
      </c>
      <c r="Q3510" s="56"/>
      <c r="R3510" s="54"/>
      <c r="S3510" s="34"/>
      <c r="T3510" s="34"/>
      <c r="U3510" s="34"/>
      <c r="V3510" s="34"/>
      <c r="W3510" s="34"/>
      <c r="X3510" s="34"/>
      <c r="Y3510" s="59"/>
      <c r="Z3510" s="59"/>
      <c r="AA3510" s="59"/>
      <c r="AB3510" s="59"/>
      <c r="AC3510" s="59"/>
      <c r="AD3510" s="59"/>
      <c r="AE3510" s="59"/>
      <c r="AF3510" s="59"/>
      <c r="AG3510" s="59"/>
      <c r="AH3510" s="59"/>
      <c r="AI3510" s="59"/>
      <c r="AJ3510" s="59"/>
      <c r="AK3510" s="59"/>
      <c r="AL3510" s="59"/>
    </row>
    <row r="3511" ht="30.0" customHeight="1">
      <c r="A3511" s="27">
        <f t="shared" si="25"/>
        <v>4334</v>
      </c>
      <c r="B3511" s="49"/>
      <c r="C3511" s="272" t="s">
        <v>12133</v>
      </c>
      <c r="D3511" s="55" t="s">
        <v>12134</v>
      </c>
      <c r="E3511" s="49" t="s">
        <v>144</v>
      </c>
      <c r="F3511" s="49" t="s">
        <v>29</v>
      </c>
      <c r="G3511" s="49" t="s">
        <v>30</v>
      </c>
      <c r="H3511" s="49"/>
      <c r="I3511" s="49" t="s">
        <v>30</v>
      </c>
      <c r="J3511" s="49">
        <f>1109+5+20</f>
        <v>1134</v>
      </c>
      <c r="K3511" s="49"/>
      <c r="L3511" s="49" t="s">
        <v>8774</v>
      </c>
      <c r="M3511" s="49" t="s">
        <v>12135</v>
      </c>
      <c r="N3511" s="49">
        <v>1993.0</v>
      </c>
      <c r="O3511" s="49" t="s">
        <v>388</v>
      </c>
      <c r="P3511" s="49">
        <v>1.0</v>
      </c>
      <c r="Q3511" s="56">
        <v>1.0</v>
      </c>
      <c r="R3511" s="54"/>
      <c r="S3511" s="34"/>
      <c r="T3511" s="34"/>
      <c r="U3511" s="34"/>
      <c r="V3511" s="34"/>
      <c r="W3511" s="34"/>
      <c r="X3511" s="34"/>
      <c r="Y3511" s="285"/>
      <c r="Z3511" s="285"/>
      <c r="AA3511" s="285"/>
      <c r="AB3511" s="285"/>
      <c r="AC3511" s="285"/>
      <c r="AD3511" s="285"/>
      <c r="AE3511" s="285"/>
      <c r="AF3511" s="285"/>
      <c r="AG3511" s="285"/>
      <c r="AH3511" s="285"/>
      <c r="AI3511" s="285"/>
      <c r="AJ3511" s="285"/>
      <c r="AK3511" s="285"/>
      <c r="AL3511" s="285"/>
    </row>
    <row r="3512" ht="30.0" customHeight="1">
      <c r="A3512" s="27">
        <f t="shared" si="25"/>
        <v>4335</v>
      </c>
      <c r="B3512" s="49" t="s">
        <v>12136</v>
      </c>
      <c r="C3512" s="272" t="s">
        <v>12137</v>
      </c>
      <c r="D3512" s="55" t="s">
        <v>12138</v>
      </c>
      <c r="E3512" s="49" t="s">
        <v>31</v>
      </c>
      <c r="F3512" s="49" t="s">
        <v>29</v>
      </c>
      <c r="G3512" s="49" t="s">
        <v>30</v>
      </c>
      <c r="H3512" s="49"/>
      <c r="I3512" s="49" t="s">
        <v>30</v>
      </c>
      <c r="J3512" s="49">
        <v>493.0</v>
      </c>
      <c r="K3512" s="49"/>
      <c r="L3512" s="49" t="s">
        <v>12139</v>
      </c>
      <c r="M3512" s="49" t="s">
        <v>7060</v>
      </c>
      <c r="N3512" s="49">
        <v>2005.0</v>
      </c>
      <c r="O3512" s="49" t="s">
        <v>388</v>
      </c>
      <c r="P3512" s="49">
        <v>2.0</v>
      </c>
      <c r="Q3512" s="56">
        <v>2.0</v>
      </c>
      <c r="R3512" s="54"/>
      <c r="S3512" s="34"/>
      <c r="T3512" s="34"/>
      <c r="U3512" s="34"/>
      <c r="V3512" s="34"/>
      <c r="W3512" s="34"/>
      <c r="X3512" s="34"/>
      <c r="Y3512" s="284"/>
      <c r="Z3512" s="284"/>
      <c r="AA3512" s="284"/>
      <c r="AB3512" s="284"/>
      <c r="AC3512" s="284"/>
      <c r="AD3512" s="284"/>
      <c r="AE3512" s="284"/>
      <c r="AF3512" s="284"/>
      <c r="AG3512" s="284"/>
      <c r="AH3512" s="284"/>
      <c r="AI3512" s="284"/>
      <c r="AJ3512" s="284"/>
      <c r="AK3512" s="284"/>
      <c r="AL3512" s="284"/>
    </row>
    <row r="3513" ht="30.0" customHeight="1">
      <c r="A3513" s="27">
        <f t="shared" si="25"/>
        <v>4336</v>
      </c>
      <c r="B3513" s="280" t="s">
        <v>12140</v>
      </c>
      <c r="C3513" s="272" t="s">
        <v>12137</v>
      </c>
      <c r="D3513" s="55" t="s">
        <v>12141</v>
      </c>
      <c r="E3513" s="49" t="s">
        <v>31</v>
      </c>
      <c r="F3513" s="49" t="s">
        <v>29</v>
      </c>
      <c r="G3513" s="49" t="s">
        <v>30</v>
      </c>
      <c r="H3513" s="49"/>
      <c r="I3513" s="49" t="s">
        <v>30</v>
      </c>
      <c r="J3513" s="49">
        <v>441.0</v>
      </c>
      <c r="K3513" s="49"/>
      <c r="L3513" s="49" t="s">
        <v>12139</v>
      </c>
      <c r="M3513" s="49" t="s">
        <v>7060</v>
      </c>
      <c r="N3513" s="49">
        <v>2005.0</v>
      </c>
      <c r="O3513" s="49" t="s">
        <v>388</v>
      </c>
      <c r="P3513" s="49">
        <v>2.0</v>
      </c>
      <c r="Q3513" s="56">
        <v>2.0</v>
      </c>
      <c r="R3513" s="54"/>
      <c r="S3513" s="34"/>
      <c r="T3513" s="34"/>
      <c r="U3513" s="34"/>
      <c r="V3513" s="34"/>
      <c r="W3513" s="34"/>
      <c r="X3513" s="34"/>
      <c r="Y3513" s="59"/>
      <c r="Z3513" s="59"/>
      <c r="AA3513" s="59"/>
      <c r="AB3513" s="59"/>
      <c r="AC3513" s="59"/>
      <c r="AD3513" s="59"/>
      <c r="AE3513" s="59"/>
      <c r="AF3513" s="59"/>
      <c r="AG3513" s="59"/>
      <c r="AH3513" s="59"/>
      <c r="AI3513" s="59"/>
      <c r="AJ3513" s="59"/>
      <c r="AK3513" s="59"/>
      <c r="AL3513" s="59"/>
    </row>
    <row r="3514" ht="30.0" customHeight="1">
      <c r="A3514" s="27">
        <f t="shared" si="25"/>
        <v>4337</v>
      </c>
      <c r="B3514" s="49" t="s">
        <v>31</v>
      </c>
      <c r="C3514" s="272" t="s">
        <v>12142</v>
      </c>
      <c r="D3514" s="55" t="s">
        <v>12143</v>
      </c>
      <c r="E3514" s="49"/>
      <c r="F3514" s="49" t="s">
        <v>29</v>
      </c>
      <c r="G3514" s="49" t="s">
        <v>30</v>
      </c>
      <c r="H3514" s="49"/>
      <c r="I3514" s="49" t="s">
        <v>30</v>
      </c>
      <c r="J3514" s="49">
        <v>33.0</v>
      </c>
      <c r="K3514" s="49"/>
      <c r="L3514" s="49" t="s">
        <v>3055</v>
      </c>
      <c r="M3514" s="49" t="s">
        <v>3056</v>
      </c>
      <c r="N3514" s="49" t="s">
        <v>31</v>
      </c>
      <c r="O3514" s="49" t="s">
        <v>388</v>
      </c>
      <c r="P3514" s="49">
        <v>1.0</v>
      </c>
      <c r="Q3514" s="56"/>
      <c r="R3514" s="54"/>
      <c r="S3514" s="34"/>
      <c r="T3514" s="34"/>
      <c r="U3514" s="34"/>
      <c r="V3514" s="34"/>
      <c r="W3514" s="34"/>
      <c r="X3514" s="34"/>
      <c r="Y3514" s="284"/>
      <c r="Z3514" s="284"/>
      <c r="AA3514" s="284"/>
      <c r="AB3514" s="284"/>
      <c r="AC3514" s="284"/>
      <c r="AD3514" s="284"/>
      <c r="AE3514" s="284"/>
      <c r="AF3514" s="284"/>
      <c r="AG3514" s="284"/>
      <c r="AH3514" s="284"/>
      <c r="AI3514" s="284"/>
      <c r="AJ3514" s="284"/>
      <c r="AK3514" s="284"/>
      <c r="AL3514" s="284"/>
    </row>
    <row r="3515" ht="30.0" customHeight="1">
      <c r="A3515" s="27">
        <f t="shared" si="25"/>
        <v>4338</v>
      </c>
      <c r="B3515" s="49" t="s">
        <v>31</v>
      </c>
      <c r="C3515" s="272" t="s">
        <v>12144</v>
      </c>
      <c r="D3515" s="55" t="s">
        <v>12145</v>
      </c>
      <c r="E3515" s="49" t="s">
        <v>31</v>
      </c>
      <c r="F3515" s="49" t="s">
        <v>29</v>
      </c>
      <c r="G3515" s="49" t="s">
        <v>30</v>
      </c>
      <c r="H3515" s="49"/>
      <c r="I3515" s="49" t="s">
        <v>30</v>
      </c>
      <c r="J3515" s="49">
        <v>27.0</v>
      </c>
      <c r="K3515" s="49"/>
      <c r="L3515" s="49" t="s">
        <v>6598</v>
      </c>
      <c r="M3515" s="49" t="s">
        <v>31</v>
      </c>
      <c r="N3515" s="49" t="s">
        <v>31</v>
      </c>
      <c r="O3515" s="49" t="s">
        <v>388</v>
      </c>
      <c r="P3515" s="49">
        <v>1.0</v>
      </c>
      <c r="Q3515" s="56">
        <v>1.0</v>
      </c>
      <c r="R3515" s="54"/>
      <c r="S3515" s="34"/>
      <c r="T3515" s="34"/>
      <c r="U3515" s="34"/>
      <c r="V3515" s="34"/>
      <c r="W3515" s="34"/>
      <c r="X3515" s="34"/>
      <c r="Y3515" s="197"/>
      <c r="Z3515" s="197"/>
      <c r="AA3515" s="197"/>
      <c r="AB3515" s="197"/>
      <c r="AC3515" s="197"/>
      <c r="AD3515" s="197"/>
      <c r="AE3515" s="197"/>
      <c r="AF3515" s="197"/>
      <c r="AG3515" s="197"/>
      <c r="AH3515" s="197"/>
      <c r="AI3515" s="197"/>
      <c r="AJ3515" s="197"/>
      <c r="AK3515" s="197"/>
      <c r="AL3515" s="197"/>
    </row>
    <row r="3516" ht="15.75" customHeight="1">
      <c r="A3516" s="27">
        <f t="shared" si="25"/>
        <v>4339</v>
      </c>
      <c r="B3516" s="49" t="s">
        <v>31</v>
      </c>
      <c r="C3516" s="272" t="s">
        <v>12146</v>
      </c>
      <c r="D3516" s="55" t="s">
        <v>12147</v>
      </c>
      <c r="E3516" s="49"/>
      <c r="F3516" s="49" t="s">
        <v>29</v>
      </c>
      <c r="G3516" s="49" t="s">
        <v>30</v>
      </c>
      <c r="H3516" s="49"/>
      <c r="I3516" s="49" t="s">
        <v>30</v>
      </c>
      <c r="J3516" s="49">
        <v>12.0</v>
      </c>
      <c r="K3516" s="49"/>
      <c r="L3516" s="49" t="s">
        <v>3055</v>
      </c>
      <c r="M3516" s="49" t="s">
        <v>3056</v>
      </c>
      <c r="N3516" s="49" t="s">
        <v>31</v>
      </c>
      <c r="O3516" s="49" t="s">
        <v>388</v>
      </c>
      <c r="P3516" s="49">
        <v>1.0</v>
      </c>
      <c r="Q3516" s="56"/>
      <c r="R3516" s="54"/>
      <c r="S3516" s="34"/>
      <c r="T3516" s="34"/>
      <c r="U3516" s="34"/>
      <c r="V3516" s="34"/>
      <c r="W3516" s="34"/>
      <c r="X3516" s="34"/>
      <c r="Y3516" s="284"/>
      <c r="Z3516" s="284"/>
      <c r="AA3516" s="284"/>
      <c r="AB3516" s="284"/>
      <c r="AC3516" s="284"/>
      <c r="AD3516" s="284"/>
      <c r="AE3516" s="284"/>
      <c r="AF3516" s="284"/>
      <c r="AG3516" s="284"/>
      <c r="AH3516" s="284"/>
      <c r="AI3516" s="284"/>
      <c r="AJ3516" s="284"/>
      <c r="AK3516" s="284"/>
      <c r="AL3516" s="284"/>
    </row>
    <row r="3517" ht="15.75" customHeight="1">
      <c r="A3517" s="27">
        <f t="shared" si="25"/>
        <v>4340</v>
      </c>
      <c r="B3517" s="49" t="s">
        <v>12148</v>
      </c>
      <c r="C3517" s="272" t="s">
        <v>12149</v>
      </c>
      <c r="D3517" s="55" t="s">
        <v>12150</v>
      </c>
      <c r="E3517" s="49"/>
      <c r="F3517" s="49" t="s">
        <v>29</v>
      </c>
      <c r="G3517" s="49" t="s">
        <v>30</v>
      </c>
      <c r="H3517" s="49"/>
      <c r="I3517" s="49" t="s">
        <v>30</v>
      </c>
      <c r="J3517" s="49">
        <v>24.0</v>
      </c>
      <c r="K3517" s="49"/>
      <c r="L3517" s="49" t="s">
        <v>12151</v>
      </c>
      <c r="M3517" s="49" t="s">
        <v>151</v>
      </c>
      <c r="N3517" s="49">
        <v>2002.0</v>
      </c>
      <c r="O3517" s="49" t="s">
        <v>388</v>
      </c>
      <c r="P3517" s="49">
        <v>1.0</v>
      </c>
      <c r="Q3517" s="56"/>
      <c r="R3517" s="54"/>
      <c r="S3517" s="34"/>
      <c r="T3517" s="34"/>
      <c r="U3517" s="34"/>
      <c r="V3517" s="34"/>
      <c r="W3517" s="34"/>
      <c r="X3517" s="34"/>
      <c r="Y3517" s="284"/>
      <c r="Z3517" s="284"/>
      <c r="AA3517" s="284"/>
      <c r="AB3517" s="284"/>
      <c r="AC3517" s="284"/>
      <c r="AD3517" s="284"/>
      <c r="AE3517" s="284"/>
      <c r="AF3517" s="284"/>
      <c r="AG3517" s="284"/>
      <c r="AH3517" s="284"/>
      <c r="AI3517" s="284"/>
      <c r="AJ3517" s="284"/>
      <c r="AK3517" s="284"/>
      <c r="AL3517" s="284"/>
    </row>
    <row r="3518" ht="15.75" customHeight="1">
      <c r="A3518" s="27">
        <f t="shared" si="25"/>
        <v>4341</v>
      </c>
      <c r="B3518" s="49" t="s">
        <v>12152</v>
      </c>
      <c r="C3518" s="272" t="s">
        <v>12153</v>
      </c>
      <c r="D3518" s="55" t="s">
        <v>12154</v>
      </c>
      <c r="E3518" s="49"/>
      <c r="F3518" s="49" t="s">
        <v>29</v>
      </c>
      <c r="G3518" s="49" t="s">
        <v>30</v>
      </c>
      <c r="H3518" s="49"/>
      <c r="I3518" s="49" t="s">
        <v>30</v>
      </c>
      <c r="J3518" s="49" t="s">
        <v>31</v>
      </c>
      <c r="K3518" s="49"/>
      <c r="L3518" s="49" t="s">
        <v>12155</v>
      </c>
      <c r="M3518" s="49" t="s">
        <v>151</v>
      </c>
      <c r="N3518" s="49">
        <v>2010.0</v>
      </c>
      <c r="O3518" s="49" t="s">
        <v>388</v>
      </c>
      <c r="P3518" s="49">
        <v>1.0</v>
      </c>
      <c r="Q3518" s="56"/>
      <c r="R3518" s="54"/>
      <c r="S3518" s="34"/>
      <c r="T3518" s="34"/>
      <c r="U3518" s="34"/>
      <c r="V3518" s="34"/>
      <c r="W3518" s="34"/>
      <c r="X3518" s="34"/>
      <c r="Y3518" s="284"/>
      <c r="Z3518" s="284"/>
      <c r="AA3518" s="284"/>
      <c r="AB3518" s="284"/>
      <c r="AC3518" s="284"/>
      <c r="AD3518" s="284"/>
      <c r="AE3518" s="284"/>
      <c r="AF3518" s="284"/>
      <c r="AG3518" s="284"/>
      <c r="AH3518" s="284"/>
      <c r="AI3518" s="284"/>
      <c r="AJ3518" s="284"/>
      <c r="AK3518" s="284"/>
      <c r="AL3518" s="284"/>
    </row>
    <row r="3519" ht="15.75" customHeight="1">
      <c r="A3519" s="27">
        <f t="shared" si="25"/>
        <v>4342</v>
      </c>
      <c r="B3519" s="49" t="s">
        <v>31</v>
      </c>
      <c r="C3519" s="272" t="s">
        <v>12156</v>
      </c>
      <c r="D3519" s="55" t="s">
        <v>12157</v>
      </c>
      <c r="E3519" s="49" t="s">
        <v>31</v>
      </c>
      <c r="F3519" s="49" t="s">
        <v>29</v>
      </c>
      <c r="G3519" s="49" t="s">
        <v>37</v>
      </c>
      <c r="H3519" s="49"/>
      <c r="I3519" s="49"/>
      <c r="J3519" s="49"/>
      <c r="K3519" s="49"/>
      <c r="L3519" s="49" t="s">
        <v>12158</v>
      </c>
      <c r="M3519" s="49" t="s">
        <v>219</v>
      </c>
      <c r="N3519" s="49" t="s">
        <v>31</v>
      </c>
      <c r="O3519" s="49" t="s">
        <v>388</v>
      </c>
      <c r="P3519" s="49">
        <v>1.0</v>
      </c>
      <c r="Q3519" s="56"/>
      <c r="R3519" s="54"/>
      <c r="S3519" s="34"/>
      <c r="T3519" s="34"/>
      <c r="U3519" s="34"/>
      <c r="V3519" s="34"/>
      <c r="W3519" s="34"/>
      <c r="X3519" s="34"/>
      <c r="Y3519" s="59"/>
      <c r="Z3519" s="59"/>
      <c r="AA3519" s="59"/>
      <c r="AB3519" s="59"/>
      <c r="AC3519" s="59"/>
      <c r="AD3519" s="59"/>
      <c r="AE3519" s="59"/>
      <c r="AF3519" s="59"/>
      <c r="AG3519" s="59"/>
      <c r="AH3519" s="59"/>
      <c r="AI3519" s="59"/>
      <c r="AJ3519" s="59"/>
      <c r="AK3519" s="59"/>
      <c r="AL3519" s="59"/>
    </row>
    <row r="3520" ht="15.75" customHeight="1">
      <c r="A3520" s="27">
        <f t="shared" si="25"/>
        <v>4343</v>
      </c>
      <c r="B3520" s="49" t="s">
        <v>12159</v>
      </c>
      <c r="C3520" s="272" t="s">
        <v>12160</v>
      </c>
      <c r="D3520" s="55" t="s">
        <v>12161</v>
      </c>
      <c r="E3520" s="49"/>
      <c r="F3520" s="49" t="s">
        <v>29</v>
      </c>
      <c r="G3520" s="49" t="s">
        <v>30</v>
      </c>
      <c r="H3520" s="49"/>
      <c r="I3520" s="49" t="s">
        <v>30</v>
      </c>
      <c r="J3520" s="49">
        <v>178.0</v>
      </c>
      <c r="K3520" s="49"/>
      <c r="L3520" s="49" t="s">
        <v>12162</v>
      </c>
      <c r="M3520" s="49" t="s">
        <v>4166</v>
      </c>
      <c r="N3520" s="49">
        <v>2006.0</v>
      </c>
      <c r="O3520" s="49" t="s">
        <v>388</v>
      </c>
      <c r="P3520" s="49">
        <v>1.0</v>
      </c>
      <c r="Q3520" s="56"/>
      <c r="R3520" s="54"/>
      <c r="S3520" s="34"/>
      <c r="T3520" s="34"/>
      <c r="U3520" s="34"/>
      <c r="V3520" s="34"/>
      <c r="W3520" s="34"/>
      <c r="X3520" s="34"/>
      <c r="Y3520" s="284"/>
      <c r="Z3520" s="284"/>
      <c r="AA3520" s="284"/>
      <c r="AB3520" s="284"/>
      <c r="AC3520" s="284"/>
      <c r="AD3520" s="284"/>
      <c r="AE3520" s="284"/>
      <c r="AF3520" s="284"/>
      <c r="AG3520" s="284"/>
      <c r="AH3520" s="284"/>
      <c r="AI3520" s="284"/>
      <c r="AJ3520" s="284"/>
      <c r="AK3520" s="284"/>
      <c r="AL3520" s="284"/>
    </row>
    <row r="3521" ht="15.75" customHeight="1">
      <c r="A3521" s="27">
        <f t="shared" si="25"/>
        <v>4344</v>
      </c>
      <c r="B3521" s="49"/>
      <c r="C3521" s="272" t="s">
        <v>12163</v>
      </c>
      <c r="D3521" s="55" t="s">
        <v>12164</v>
      </c>
      <c r="E3521" s="49" t="s">
        <v>144</v>
      </c>
      <c r="F3521" s="49" t="s">
        <v>29</v>
      </c>
      <c r="G3521" s="49" t="s">
        <v>30</v>
      </c>
      <c r="H3521" s="49" t="s">
        <v>31</v>
      </c>
      <c r="I3521" s="49" t="s">
        <v>30</v>
      </c>
      <c r="J3521" s="49">
        <v>326.0</v>
      </c>
      <c r="K3521" s="49"/>
      <c r="L3521" s="49" t="s">
        <v>12165</v>
      </c>
      <c r="M3521" s="49" t="s">
        <v>2494</v>
      </c>
      <c r="N3521" s="49">
        <v>1997.0</v>
      </c>
      <c r="O3521" s="49" t="s">
        <v>388</v>
      </c>
      <c r="P3521" s="49">
        <v>1.0</v>
      </c>
      <c r="Q3521" s="56"/>
      <c r="R3521" s="54"/>
      <c r="S3521" s="34"/>
      <c r="T3521" s="34"/>
      <c r="U3521" s="34"/>
      <c r="V3521" s="34"/>
      <c r="W3521" s="34"/>
      <c r="X3521" s="34"/>
      <c r="Y3521" s="284"/>
      <c r="Z3521" s="284"/>
      <c r="AA3521" s="284"/>
      <c r="AB3521" s="284"/>
      <c r="AC3521" s="284"/>
      <c r="AD3521" s="284"/>
      <c r="AE3521" s="284"/>
      <c r="AF3521" s="284"/>
      <c r="AG3521" s="284"/>
      <c r="AH3521" s="284"/>
      <c r="AI3521" s="284"/>
      <c r="AJ3521" s="284"/>
      <c r="AK3521" s="284"/>
      <c r="AL3521" s="284"/>
    </row>
    <row r="3522" ht="15.75" customHeight="1">
      <c r="A3522" s="27">
        <f t="shared" si="25"/>
        <v>4345</v>
      </c>
      <c r="B3522" s="49" t="s">
        <v>12166</v>
      </c>
      <c r="C3522" s="50" t="s">
        <v>12167</v>
      </c>
      <c r="D3522" s="55" t="s">
        <v>12168</v>
      </c>
      <c r="E3522" s="49" t="s">
        <v>9623</v>
      </c>
      <c r="F3522" s="49" t="s">
        <v>29</v>
      </c>
      <c r="G3522" s="49" t="s">
        <v>30</v>
      </c>
      <c r="H3522" s="49"/>
      <c r="I3522" s="49" t="s">
        <v>30</v>
      </c>
      <c r="J3522" s="49">
        <f>171+24</f>
        <v>195</v>
      </c>
      <c r="K3522" s="49"/>
      <c r="L3522" s="49"/>
      <c r="M3522" s="49" t="s">
        <v>12169</v>
      </c>
      <c r="N3522" s="49">
        <v>1994.0</v>
      </c>
      <c r="O3522" s="49" t="s">
        <v>388</v>
      </c>
      <c r="P3522" s="49">
        <v>1.0</v>
      </c>
      <c r="Q3522" s="56">
        <v>1.0</v>
      </c>
      <c r="R3522" s="54"/>
      <c r="S3522" s="34"/>
      <c r="T3522" s="34"/>
      <c r="U3522" s="34"/>
      <c r="V3522" s="34"/>
      <c r="W3522" s="34"/>
      <c r="X3522" s="34"/>
      <c r="Y3522" s="59"/>
      <c r="Z3522" s="59"/>
      <c r="AA3522" s="59"/>
      <c r="AB3522" s="59"/>
      <c r="AC3522" s="59"/>
      <c r="AD3522" s="59"/>
      <c r="AE3522" s="59"/>
      <c r="AF3522" s="59"/>
      <c r="AG3522" s="59"/>
      <c r="AH3522" s="59"/>
      <c r="AI3522" s="59"/>
      <c r="AJ3522" s="59"/>
      <c r="AK3522" s="59"/>
      <c r="AL3522" s="59"/>
    </row>
    <row r="3523" ht="15.75" customHeight="1">
      <c r="A3523" s="27">
        <f t="shared" si="25"/>
        <v>4346</v>
      </c>
      <c r="B3523" s="49" t="s">
        <v>9569</v>
      </c>
      <c r="C3523" s="272" t="s">
        <v>9570</v>
      </c>
      <c r="D3523" s="55" t="s">
        <v>12170</v>
      </c>
      <c r="E3523" s="49"/>
      <c r="F3523" s="49" t="s">
        <v>29</v>
      </c>
      <c r="G3523" s="49" t="s">
        <v>30</v>
      </c>
      <c r="H3523" s="49"/>
      <c r="I3523" s="49" t="s">
        <v>30</v>
      </c>
      <c r="J3523" s="49">
        <v>206.0</v>
      </c>
      <c r="K3523" s="49"/>
      <c r="L3523" s="49" t="s">
        <v>6972</v>
      </c>
      <c r="M3523" s="49" t="s">
        <v>151</v>
      </c>
      <c r="N3523" s="49">
        <v>2010.0</v>
      </c>
      <c r="O3523" s="49" t="s">
        <v>388</v>
      </c>
      <c r="P3523" s="49">
        <v>1.0</v>
      </c>
      <c r="Q3523" s="56"/>
      <c r="R3523" s="54"/>
      <c r="S3523" s="34"/>
      <c r="T3523" s="34"/>
      <c r="U3523" s="34"/>
      <c r="V3523" s="34"/>
      <c r="W3523" s="34"/>
      <c r="X3523" s="34"/>
      <c r="Y3523" s="59"/>
      <c r="Z3523" s="59"/>
      <c r="AA3523" s="59"/>
      <c r="AB3523" s="59"/>
      <c r="AC3523" s="59"/>
      <c r="AD3523" s="59"/>
      <c r="AE3523" s="59"/>
      <c r="AF3523" s="59"/>
      <c r="AG3523" s="59"/>
      <c r="AH3523" s="59"/>
      <c r="AI3523" s="59"/>
      <c r="AJ3523" s="59"/>
      <c r="AK3523" s="59"/>
      <c r="AL3523" s="59"/>
    </row>
    <row r="3524" ht="15.75" customHeight="1">
      <c r="A3524" s="27">
        <f t="shared" si="25"/>
        <v>4347</v>
      </c>
      <c r="B3524" s="49" t="s">
        <v>12171</v>
      </c>
      <c r="C3524" s="272" t="s">
        <v>12172</v>
      </c>
      <c r="D3524" s="55" t="s">
        <v>12173</v>
      </c>
      <c r="E3524" s="49" t="s">
        <v>28</v>
      </c>
      <c r="F3524" s="49" t="s">
        <v>29</v>
      </c>
      <c r="G3524" s="49" t="s">
        <v>37</v>
      </c>
      <c r="H3524" s="49"/>
      <c r="I3524" s="49" t="s">
        <v>38</v>
      </c>
      <c r="J3524" s="49">
        <f>1064+48</f>
        <v>1112</v>
      </c>
      <c r="K3524" s="49"/>
      <c r="L3524" s="49" t="s">
        <v>1745</v>
      </c>
      <c r="M3524" s="49" t="s">
        <v>12174</v>
      </c>
      <c r="N3524" s="49">
        <v>2004.0</v>
      </c>
      <c r="O3524" s="49" t="s">
        <v>388</v>
      </c>
      <c r="P3524" s="49">
        <v>1.0</v>
      </c>
      <c r="Q3524" s="56">
        <v>1.0</v>
      </c>
      <c r="R3524" s="54"/>
      <c r="S3524" s="34"/>
      <c r="T3524" s="34"/>
      <c r="U3524" s="34"/>
      <c r="V3524" s="34"/>
      <c r="W3524" s="34"/>
      <c r="X3524" s="34"/>
      <c r="Y3524" s="284"/>
      <c r="Z3524" s="284"/>
      <c r="AA3524" s="284"/>
      <c r="AB3524" s="284"/>
      <c r="AC3524" s="284"/>
      <c r="AD3524" s="284"/>
      <c r="AE3524" s="284"/>
      <c r="AF3524" s="284"/>
      <c r="AG3524" s="284"/>
      <c r="AH3524" s="284"/>
      <c r="AI3524" s="284"/>
      <c r="AJ3524" s="284"/>
      <c r="AK3524" s="284"/>
      <c r="AL3524" s="284"/>
    </row>
    <row r="3525" ht="15.75" customHeight="1">
      <c r="A3525" s="27">
        <f t="shared" si="25"/>
        <v>4348</v>
      </c>
      <c r="B3525" s="49" t="s">
        <v>12175</v>
      </c>
      <c r="C3525" s="272" t="s">
        <v>12176</v>
      </c>
      <c r="D3525" s="55" t="s">
        <v>12177</v>
      </c>
      <c r="E3525" s="49"/>
      <c r="F3525" s="49" t="s">
        <v>29</v>
      </c>
      <c r="G3525" s="49" t="s">
        <v>37</v>
      </c>
      <c r="H3525" s="49"/>
      <c r="I3525" s="49" t="s">
        <v>38</v>
      </c>
      <c r="J3525" s="49">
        <v>224.0</v>
      </c>
      <c r="K3525" s="49"/>
      <c r="L3525" s="49" t="s">
        <v>12178</v>
      </c>
      <c r="M3525" s="49" t="s">
        <v>3485</v>
      </c>
      <c r="N3525" s="49">
        <v>2011.0</v>
      </c>
      <c r="O3525" s="49" t="s">
        <v>388</v>
      </c>
      <c r="P3525" s="49">
        <v>1.0</v>
      </c>
      <c r="Q3525" s="56"/>
      <c r="R3525" s="54"/>
      <c r="S3525" s="34"/>
      <c r="T3525" s="34"/>
      <c r="U3525" s="34"/>
      <c r="V3525" s="34"/>
      <c r="W3525" s="34"/>
      <c r="X3525" s="34"/>
      <c r="Y3525" s="59"/>
      <c r="Z3525" s="59"/>
      <c r="AA3525" s="59"/>
      <c r="AB3525" s="59"/>
      <c r="AC3525" s="59"/>
      <c r="AD3525" s="59"/>
      <c r="AE3525" s="59"/>
      <c r="AF3525" s="59"/>
      <c r="AG3525" s="59"/>
      <c r="AH3525" s="59"/>
      <c r="AI3525" s="59"/>
      <c r="AJ3525" s="59"/>
      <c r="AK3525" s="59"/>
      <c r="AL3525" s="59"/>
    </row>
    <row r="3526" ht="15.75" customHeight="1">
      <c r="A3526" s="27">
        <f t="shared" si="25"/>
        <v>4349</v>
      </c>
      <c r="B3526" s="49" t="s">
        <v>12179</v>
      </c>
      <c r="C3526" s="272" t="s">
        <v>12180</v>
      </c>
      <c r="D3526" s="55" t="s">
        <v>12181</v>
      </c>
      <c r="E3526" s="49" t="s">
        <v>144</v>
      </c>
      <c r="F3526" s="49" t="s">
        <v>29</v>
      </c>
      <c r="G3526" s="49" t="s">
        <v>166</v>
      </c>
      <c r="H3526" s="49"/>
      <c r="I3526" s="49" t="s">
        <v>30</v>
      </c>
      <c r="J3526" s="49">
        <v>835.0</v>
      </c>
      <c r="K3526" s="49"/>
      <c r="L3526" s="49" t="s">
        <v>10856</v>
      </c>
      <c r="M3526" s="49" t="s">
        <v>169</v>
      </c>
      <c r="N3526" s="49">
        <v>2015.0</v>
      </c>
      <c r="O3526" s="49" t="s">
        <v>388</v>
      </c>
      <c r="P3526" s="49">
        <v>1.0</v>
      </c>
      <c r="Q3526" s="56"/>
      <c r="R3526" s="54"/>
      <c r="S3526" s="34"/>
      <c r="T3526" s="34"/>
      <c r="U3526" s="34"/>
      <c r="V3526" s="34"/>
      <c r="W3526" s="34"/>
      <c r="X3526" s="34"/>
      <c r="Y3526" s="59"/>
      <c r="Z3526" s="59"/>
      <c r="AA3526" s="59"/>
      <c r="AB3526" s="59"/>
      <c r="AC3526" s="59"/>
      <c r="AD3526" s="59"/>
      <c r="AE3526" s="59"/>
      <c r="AF3526" s="59"/>
      <c r="AG3526" s="59"/>
      <c r="AH3526" s="59"/>
      <c r="AI3526" s="59"/>
      <c r="AJ3526" s="59"/>
      <c r="AK3526" s="59"/>
      <c r="AL3526" s="59"/>
    </row>
    <row r="3527" ht="15.75" customHeight="1">
      <c r="A3527" s="27">
        <f t="shared" si="25"/>
        <v>4350</v>
      </c>
      <c r="B3527" s="49" t="s">
        <v>8328</v>
      </c>
      <c r="C3527" s="272" t="s">
        <v>12182</v>
      </c>
      <c r="D3527" s="55" t="s">
        <v>12183</v>
      </c>
      <c r="E3527" s="49" t="s">
        <v>144</v>
      </c>
      <c r="F3527" s="49" t="s">
        <v>29</v>
      </c>
      <c r="G3527" s="49" t="s">
        <v>30</v>
      </c>
      <c r="H3527" s="49"/>
      <c r="I3527" s="49" t="s">
        <v>30</v>
      </c>
      <c r="J3527" s="49">
        <f>541+22</f>
        <v>563</v>
      </c>
      <c r="K3527" s="49"/>
      <c r="L3527" s="49" t="s">
        <v>12184</v>
      </c>
      <c r="M3527" s="49" t="s">
        <v>8332</v>
      </c>
      <c r="N3527" s="49">
        <v>2010.0</v>
      </c>
      <c r="O3527" s="49" t="s">
        <v>388</v>
      </c>
      <c r="P3527" s="49">
        <v>1.0</v>
      </c>
      <c r="Q3527" s="56"/>
      <c r="R3527" s="54"/>
      <c r="S3527" s="34"/>
      <c r="T3527" s="34"/>
      <c r="U3527" s="34"/>
      <c r="V3527" s="34"/>
      <c r="W3527" s="34"/>
      <c r="X3527" s="34"/>
      <c r="Y3527" s="284"/>
      <c r="Z3527" s="284"/>
      <c r="AA3527" s="284"/>
      <c r="AB3527" s="284"/>
      <c r="AC3527" s="284"/>
      <c r="AD3527" s="284"/>
      <c r="AE3527" s="284"/>
      <c r="AF3527" s="284"/>
      <c r="AG3527" s="284"/>
      <c r="AH3527" s="284"/>
      <c r="AI3527" s="284"/>
      <c r="AJ3527" s="284"/>
      <c r="AK3527" s="284"/>
      <c r="AL3527" s="284"/>
    </row>
    <row r="3528" ht="15.75" customHeight="1">
      <c r="A3528" s="27">
        <f t="shared" si="25"/>
        <v>4351</v>
      </c>
      <c r="B3528" s="49" t="s">
        <v>9461</v>
      </c>
      <c r="C3528" s="272" t="s">
        <v>12185</v>
      </c>
      <c r="D3528" s="55" t="s">
        <v>12186</v>
      </c>
      <c r="E3528" s="49" t="s">
        <v>144</v>
      </c>
      <c r="F3528" s="49" t="s">
        <v>29</v>
      </c>
      <c r="G3528" s="49" t="s">
        <v>30</v>
      </c>
      <c r="H3528" s="49"/>
      <c r="I3528" s="49" t="s">
        <v>30</v>
      </c>
      <c r="J3528" s="49">
        <f>389+16</f>
        <v>405</v>
      </c>
      <c r="K3528" s="49"/>
      <c r="L3528" s="49" t="s">
        <v>12187</v>
      </c>
      <c r="M3528" s="49" t="s">
        <v>3109</v>
      </c>
      <c r="N3528" s="49">
        <v>1990.0</v>
      </c>
      <c r="O3528" s="49" t="s">
        <v>388</v>
      </c>
      <c r="P3528" s="49">
        <v>1.0</v>
      </c>
      <c r="Q3528" s="56"/>
      <c r="R3528" s="54"/>
      <c r="S3528" s="34"/>
      <c r="T3528" s="34"/>
      <c r="U3528" s="34"/>
      <c r="V3528" s="34"/>
      <c r="W3528" s="34"/>
      <c r="X3528" s="34"/>
      <c r="Y3528" s="59"/>
      <c r="Z3528" s="59"/>
      <c r="AA3528" s="59"/>
      <c r="AB3528" s="59"/>
      <c r="AC3528" s="59"/>
      <c r="AD3528" s="59"/>
      <c r="AE3528" s="59"/>
      <c r="AF3528" s="59"/>
      <c r="AG3528" s="59"/>
      <c r="AH3528" s="59"/>
      <c r="AI3528" s="59"/>
      <c r="AJ3528" s="59"/>
      <c r="AK3528" s="59"/>
      <c r="AL3528" s="59"/>
    </row>
    <row r="3529" ht="15.75" customHeight="1">
      <c r="A3529" s="27">
        <f t="shared" si="25"/>
        <v>4352</v>
      </c>
      <c r="B3529" s="49"/>
      <c r="C3529" s="272" t="s">
        <v>12188</v>
      </c>
      <c r="D3529" s="55" t="s">
        <v>12189</v>
      </c>
      <c r="E3529" s="49" t="s">
        <v>144</v>
      </c>
      <c r="F3529" s="49" t="s">
        <v>29</v>
      </c>
      <c r="G3529" s="49" t="s">
        <v>30</v>
      </c>
      <c r="H3529" s="49"/>
      <c r="I3529" s="49" t="s">
        <v>30</v>
      </c>
      <c r="J3529" s="49">
        <f>214+8</f>
        <v>222</v>
      </c>
      <c r="K3529" s="49"/>
      <c r="L3529" s="49" t="s">
        <v>8638</v>
      </c>
      <c r="M3529" s="49" t="s">
        <v>12190</v>
      </c>
      <c r="N3529" s="49">
        <v>1970.0</v>
      </c>
      <c r="O3529" s="49" t="s">
        <v>388</v>
      </c>
      <c r="P3529" s="49">
        <v>1.0</v>
      </c>
      <c r="Q3529" s="56"/>
      <c r="R3529" s="54"/>
      <c r="S3529" s="34"/>
      <c r="T3529" s="34"/>
      <c r="U3529" s="34"/>
      <c r="V3529" s="34"/>
      <c r="W3529" s="34"/>
      <c r="X3529" s="34"/>
      <c r="Y3529" s="59"/>
      <c r="Z3529" s="59"/>
      <c r="AA3529" s="59"/>
      <c r="AB3529" s="59"/>
      <c r="AC3529" s="59"/>
      <c r="AD3529" s="59"/>
      <c r="AE3529" s="59"/>
      <c r="AF3529" s="59"/>
      <c r="AG3529" s="59"/>
      <c r="AH3529" s="59"/>
      <c r="AI3529" s="59"/>
      <c r="AJ3529" s="59"/>
      <c r="AK3529" s="59"/>
      <c r="AL3529" s="59"/>
    </row>
    <row r="3530" ht="15.75" customHeight="1">
      <c r="A3530" s="27">
        <f t="shared" si="25"/>
        <v>4353</v>
      </c>
      <c r="B3530" s="49" t="s">
        <v>12191</v>
      </c>
      <c r="C3530" s="272" t="s">
        <v>12192</v>
      </c>
      <c r="D3530" s="55" t="s">
        <v>12193</v>
      </c>
      <c r="E3530" s="49" t="s">
        <v>144</v>
      </c>
      <c r="F3530" s="49" t="s">
        <v>29</v>
      </c>
      <c r="G3530" s="49" t="s">
        <v>30</v>
      </c>
      <c r="H3530" s="49"/>
      <c r="I3530" s="49" t="s">
        <v>30</v>
      </c>
      <c r="J3530" s="49">
        <f>240+8</f>
        <v>248</v>
      </c>
      <c r="K3530" s="49"/>
      <c r="L3530" s="49" t="s">
        <v>9508</v>
      </c>
      <c r="M3530" s="49" t="s">
        <v>2388</v>
      </c>
      <c r="N3530" s="49">
        <v>1990.0</v>
      </c>
      <c r="O3530" s="49" t="s">
        <v>388</v>
      </c>
      <c r="P3530" s="49">
        <v>1.0</v>
      </c>
      <c r="Q3530" s="56"/>
      <c r="R3530" s="54"/>
      <c r="S3530" s="34"/>
      <c r="T3530" s="34"/>
      <c r="U3530" s="34"/>
      <c r="V3530" s="34"/>
      <c r="W3530" s="34"/>
      <c r="X3530" s="34"/>
      <c r="Y3530" s="59"/>
      <c r="Z3530" s="59"/>
      <c r="AA3530" s="59"/>
      <c r="AB3530" s="59"/>
      <c r="AC3530" s="59"/>
      <c r="AD3530" s="59"/>
      <c r="AE3530" s="59"/>
      <c r="AF3530" s="59"/>
      <c r="AG3530" s="59"/>
      <c r="AH3530" s="59"/>
      <c r="AI3530" s="59"/>
      <c r="AJ3530" s="59"/>
      <c r="AK3530" s="59"/>
      <c r="AL3530" s="59"/>
    </row>
    <row r="3531" ht="15.75" customHeight="1">
      <c r="A3531" s="27">
        <f t="shared" si="25"/>
        <v>4354</v>
      </c>
      <c r="B3531" s="49" t="s">
        <v>12194</v>
      </c>
      <c r="C3531" s="272" t="s">
        <v>9649</v>
      </c>
      <c r="D3531" s="55" t="s">
        <v>12195</v>
      </c>
      <c r="E3531" s="49" t="s">
        <v>144</v>
      </c>
      <c r="F3531" s="49" t="s">
        <v>29</v>
      </c>
      <c r="G3531" s="49" t="s">
        <v>81</v>
      </c>
      <c r="H3531" s="49"/>
      <c r="I3531" s="49" t="s">
        <v>38</v>
      </c>
      <c r="J3531" s="49">
        <v>48.0</v>
      </c>
      <c r="K3531" s="49"/>
      <c r="L3531" s="49" t="s">
        <v>3104</v>
      </c>
      <c r="M3531" s="49" t="s">
        <v>12196</v>
      </c>
      <c r="N3531" s="49">
        <v>1994.0</v>
      </c>
      <c r="O3531" s="49" t="s">
        <v>388</v>
      </c>
      <c r="P3531" s="49">
        <v>1.0</v>
      </c>
      <c r="Q3531" s="56"/>
      <c r="R3531" s="54"/>
      <c r="S3531" s="116"/>
      <c r="T3531" s="116"/>
      <c r="U3531" s="116"/>
      <c r="V3531" s="116"/>
      <c r="W3531" s="116"/>
      <c r="X3531" s="116"/>
      <c r="Y3531" s="284"/>
      <c r="Z3531" s="284"/>
      <c r="AA3531" s="284"/>
      <c r="AB3531" s="284"/>
      <c r="AC3531" s="284"/>
      <c r="AD3531" s="284"/>
      <c r="AE3531" s="284"/>
      <c r="AF3531" s="284"/>
      <c r="AG3531" s="284"/>
      <c r="AH3531" s="284"/>
      <c r="AI3531" s="284"/>
      <c r="AJ3531" s="284"/>
      <c r="AK3531" s="284"/>
      <c r="AL3531" s="284"/>
    </row>
    <row r="3532" ht="15.75" customHeight="1">
      <c r="A3532" s="27">
        <f t="shared" si="25"/>
        <v>4355</v>
      </c>
      <c r="B3532" s="49" t="s">
        <v>9669</v>
      </c>
      <c r="C3532" s="272" t="s">
        <v>12197</v>
      </c>
      <c r="D3532" s="55" t="s">
        <v>9671</v>
      </c>
      <c r="E3532" s="49" t="s">
        <v>144</v>
      </c>
      <c r="F3532" s="49" t="s">
        <v>29</v>
      </c>
      <c r="G3532" s="49" t="s">
        <v>30</v>
      </c>
      <c r="H3532" s="49"/>
      <c r="I3532" s="49" t="s">
        <v>30</v>
      </c>
      <c r="J3532" s="49">
        <v>757.0</v>
      </c>
      <c r="K3532" s="49"/>
      <c r="L3532" s="49" t="s">
        <v>9672</v>
      </c>
      <c r="M3532" s="49" t="s">
        <v>151</v>
      </c>
      <c r="N3532" s="49">
        <v>2004.0</v>
      </c>
      <c r="O3532" s="49" t="s">
        <v>388</v>
      </c>
      <c r="P3532" s="49">
        <v>1.0</v>
      </c>
      <c r="Q3532" s="56"/>
      <c r="R3532" s="54"/>
      <c r="S3532" s="34"/>
      <c r="T3532" s="34"/>
      <c r="U3532" s="34"/>
      <c r="V3532" s="34"/>
      <c r="W3532" s="34"/>
      <c r="X3532" s="34"/>
      <c r="Y3532" s="284"/>
      <c r="Z3532" s="284"/>
      <c r="AA3532" s="284"/>
      <c r="AB3532" s="284"/>
      <c r="AC3532" s="284"/>
      <c r="AD3532" s="284"/>
      <c r="AE3532" s="284"/>
      <c r="AF3532" s="284"/>
      <c r="AG3532" s="284"/>
      <c r="AH3532" s="284"/>
      <c r="AI3532" s="284"/>
      <c r="AJ3532" s="284"/>
      <c r="AK3532" s="284"/>
      <c r="AL3532" s="284"/>
    </row>
    <row r="3533" ht="15.75" customHeight="1">
      <c r="A3533" s="27">
        <f t="shared" si="25"/>
        <v>4356</v>
      </c>
      <c r="B3533" s="49" t="s">
        <v>31</v>
      </c>
      <c r="C3533" s="272" t="s">
        <v>12198</v>
      </c>
      <c r="D3533" s="55" t="s">
        <v>12199</v>
      </c>
      <c r="E3533" s="49"/>
      <c r="F3533" s="49" t="s">
        <v>29</v>
      </c>
      <c r="G3533" s="49" t="s">
        <v>38</v>
      </c>
      <c r="H3533" s="49"/>
      <c r="I3533" s="49" t="s">
        <v>38</v>
      </c>
      <c r="J3533" s="49">
        <v>239.0</v>
      </c>
      <c r="K3533" s="49"/>
      <c r="L3533" s="49" t="s">
        <v>12200</v>
      </c>
      <c r="M3533" s="49" t="s">
        <v>12201</v>
      </c>
      <c r="N3533" s="49">
        <v>1923.0</v>
      </c>
      <c r="O3533" s="49" t="s">
        <v>388</v>
      </c>
      <c r="P3533" s="49">
        <v>1.0</v>
      </c>
      <c r="Q3533" s="56"/>
      <c r="R3533" s="54"/>
      <c r="S3533" s="34"/>
      <c r="T3533" s="34"/>
      <c r="U3533" s="34"/>
      <c r="V3533" s="34"/>
      <c r="W3533" s="34"/>
      <c r="X3533" s="34"/>
      <c r="Y3533" s="284"/>
      <c r="Z3533" s="284"/>
      <c r="AA3533" s="284"/>
      <c r="AB3533" s="284"/>
      <c r="AC3533" s="284"/>
      <c r="AD3533" s="284"/>
      <c r="AE3533" s="284"/>
      <c r="AF3533" s="284"/>
      <c r="AG3533" s="284"/>
      <c r="AH3533" s="284"/>
      <c r="AI3533" s="284"/>
      <c r="AJ3533" s="284"/>
      <c r="AK3533" s="284"/>
      <c r="AL3533" s="284"/>
    </row>
    <row r="3534" ht="54.75" customHeight="1">
      <c r="A3534" s="27">
        <f t="shared" si="25"/>
        <v>4357</v>
      </c>
      <c r="B3534" s="49" t="s">
        <v>12202</v>
      </c>
      <c r="C3534" s="272" t="s">
        <v>12203</v>
      </c>
      <c r="D3534" s="55" t="s">
        <v>12204</v>
      </c>
      <c r="E3534" s="49" t="s">
        <v>28</v>
      </c>
      <c r="F3534" s="49" t="s">
        <v>29</v>
      </c>
      <c r="G3534" s="49" t="s">
        <v>37</v>
      </c>
      <c r="H3534" s="49"/>
      <c r="I3534" s="49" t="s">
        <v>38</v>
      </c>
      <c r="J3534" s="49">
        <v>995.0</v>
      </c>
      <c r="K3534" s="49"/>
      <c r="L3534" s="49" t="s">
        <v>8874</v>
      </c>
      <c r="M3534" s="49" t="s">
        <v>188</v>
      </c>
      <c r="N3534" s="49">
        <v>1983.0</v>
      </c>
      <c r="O3534" s="49" t="s">
        <v>388</v>
      </c>
      <c r="P3534" s="49">
        <v>1.0</v>
      </c>
      <c r="Q3534" s="56">
        <v>1.0</v>
      </c>
      <c r="R3534" s="54"/>
      <c r="S3534" s="34"/>
      <c r="T3534" s="34"/>
      <c r="U3534" s="34"/>
      <c r="V3534" s="34"/>
      <c r="W3534" s="34"/>
      <c r="X3534" s="34"/>
      <c r="Y3534" s="59"/>
      <c r="Z3534" s="59"/>
      <c r="AA3534" s="59"/>
      <c r="AB3534" s="59"/>
      <c r="AC3534" s="59"/>
      <c r="AD3534" s="59"/>
      <c r="AE3534" s="59"/>
      <c r="AF3534" s="59"/>
      <c r="AG3534" s="59"/>
      <c r="AH3534" s="59"/>
      <c r="AI3534" s="59"/>
      <c r="AJ3534" s="59"/>
      <c r="AK3534" s="59"/>
      <c r="AL3534" s="59"/>
    </row>
    <row r="3535" ht="15.75" customHeight="1">
      <c r="A3535" s="27">
        <f t="shared" si="25"/>
        <v>4358</v>
      </c>
      <c r="B3535" s="49" t="s">
        <v>12205</v>
      </c>
      <c r="C3535" s="272" t="s">
        <v>12206</v>
      </c>
      <c r="D3535" s="55" t="s">
        <v>12207</v>
      </c>
      <c r="E3535" s="49"/>
      <c r="F3535" s="49" t="s">
        <v>29</v>
      </c>
      <c r="G3535" s="49" t="s">
        <v>37</v>
      </c>
      <c r="H3535" s="49"/>
      <c r="I3535" s="49" t="s">
        <v>38</v>
      </c>
      <c r="J3535" s="49">
        <v>306.0</v>
      </c>
      <c r="K3535" s="49"/>
      <c r="L3535" s="49" t="s">
        <v>12208</v>
      </c>
      <c r="M3535" s="49" t="s">
        <v>352</v>
      </c>
      <c r="N3535" s="49">
        <v>2006.0</v>
      </c>
      <c r="O3535" s="49" t="s">
        <v>388</v>
      </c>
      <c r="P3535" s="49">
        <v>1.0</v>
      </c>
      <c r="Q3535" s="56"/>
      <c r="R3535" s="54"/>
      <c r="S3535" s="34"/>
      <c r="T3535" s="34"/>
      <c r="U3535" s="34"/>
      <c r="V3535" s="34"/>
      <c r="W3535" s="34"/>
      <c r="X3535" s="34"/>
      <c r="Y3535" s="59"/>
      <c r="Z3535" s="59"/>
      <c r="AA3535" s="59"/>
      <c r="AB3535" s="59"/>
      <c r="AC3535" s="59"/>
      <c r="AD3535" s="59"/>
      <c r="AE3535" s="59"/>
      <c r="AF3535" s="59"/>
      <c r="AG3535" s="59"/>
      <c r="AH3535" s="59"/>
      <c r="AI3535" s="59"/>
      <c r="AJ3535" s="59"/>
      <c r="AK3535" s="59"/>
      <c r="AL3535" s="59"/>
    </row>
    <row r="3536" ht="15.75" customHeight="1">
      <c r="A3536" s="27">
        <f t="shared" si="25"/>
        <v>4359</v>
      </c>
      <c r="B3536" s="49" t="s">
        <v>12209</v>
      </c>
      <c r="C3536" s="272" t="s">
        <v>12210</v>
      </c>
      <c r="D3536" s="55" t="s">
        <v>12211</v>
      </c>
      <c r="E3536" s="49"/>
      <c r="F3536" s="49" t="s">
        <v>29</v>
      </c>
      <c r="G3536" s="49" t="s">
        <v>37</v>
      </c>
      <c r="H3536" s="49"/>
      <c r="I3536" s="49" t="s">
        <v>38</v>
      </c>
      <c r="J3536" s="49">
        <v>174.0</v>
      </c>
      <c r="K3536" s="49"/>
      <c r="L3536" s="49" t="s">
        <v>11084</v>
      </c>
      <c r="M3536" s="49" t="s">
        <v>12212</v>
      </c>
      <c r="N3536" s="49">
        <v>1999.0</v>
      </c>
      <c r="O3536" s="49" t="s">
        <v>388</v>
      </c>
      <c r="P3536" s="49">
        <v>1.0</v>
      </c>
      <c r="Q3536" s="56"/>
      <c r="R3536" s="54"/>
      <c r="S3536" s="34"/>
      <c r="T3536" s="34"/>
      <c r="U3536" s="34"/>
      <c r="V3536" s="34"/>
      <c r="W3536" s="34"/>
      <c r="X3536" s="34"/>
      <c r="Y3536" s="284"/>
      <c r="Z3536" s="284"/>
      <c r="AA3536" s="284"/>
      <c r="AB3536" s="284"/>
      <c r="AC3536" s="284"/>
      <c r="AD3536" s="284"/>
      <c r="AE3536" s="284"/>
      <c r="AF3536" s="284"/>
      <c r="AG3536" s="284"/>
      <c r="AH3536" s="284"/>
      <c r="AI3536" s="284"/>
      <c r="AJ3536" s="284"/>
      <c r="AK3536" s="284"/>
      <c r="AL3536" s="284"/>
    </row>
    <row r="3537" ht="15.75" customHeight="1">
      <c r="A3537" s="27">
        <f t="shared" si="25"/>
        <v>4360</v>
      </c>
      <c r="B3537" s="49" t="s">
        <v>12213</v>
      </c>
      <c r="C3537" s="272" t="s">
        <v>12214</v>
      </c>
      <c r="D3537" s="55" t="s">
        <v>12215</v>
      </c>
      <c r="E3537" s="49"/>
      <c r="F3537" s="49" t="s">
        <v>29</v>
      </c>
      <c r="G3537" s="49" t="s">
        <v>30</v>
      </c>
      <c r="H3537" s="49"/>
      <c r="I3537" s="49" t="s">
        <v>30</v>
      </c>
      <c r="J3537" s="49">
        <f>345+35</f>
        <v>380</v>
      </c>
      <c r="K3537" s="49"/>
      <c r="L3537" s="49" t="s">
        <v>12216</v>
      </c>
      <c r="M3537" s="49" t="s">
        <v>2698</v>
      </c>
      <c r="N3537" s="49">
        <v>2006.0</v>
      </c>
      <c r="O3537" s="49" t="s">
        <v>388</v>
      </c>
      <c r="P3537" s="49">
        <v>1.0</v>
      </c>
      <c r="Q3537" s="56"/>
      <c r="R3537" s="54"/>
      <c r="S3537" s="34"/>
      <c r="T3537" s="34"/>
      <c r="U3537" s="34"/>
      <c r="V3537" s="34"/>
      <c r="W3537" s="34"/>
      <c r="X3537" s="34"/>
      <c r="Y3537" s="284"/>
      <c r="Z3537" s="284"/>
      <c r="AA3537" s="284"/>
      <c r="AB3537" s="284"/>
      <c r="AC3537" s="284"/>
      <c r="AD3537" s="284"/>
      <c r="AE3537" s="284"/>
      <c r="AF3537" s="284"/>
      <c r="AG3537" s="284"/>
      <c r="AH3537" s="284"/>
      <c r="AI3537" s="284"/>
      <c r="AJ3537" s="284"/>
      <c r="AK3537" s="284"/>
      <c r="AL3537" s="284"/>
    </row>
    <row r="3538" ht="15.75" customHeight="1">
      <c r="A3538" s="27">
        <f t="shared" si="25"/>
        <v>4361</v>
      </c>
      <c r="B3538" s="49" t="s">
        <v>31</v>
      </c>
      <c r="C3538" s="272" t="s">
        <v>12217</v>
      </c>
      <c r="D3538" s="55" t="s">
        <v>12218</v>
      </c>
      <c r="E3538" s="49" t="s">
        <v>28</v>
      </c>
      <c r="F3538" s="49" t="s">
        <v>29</v>
      </c>
      <c r="G3538" s="49" t="s">
        <v>37</v>
      </c>
      <c r="H3538" s="49"/>
      <c r="I3538" s="49" t="s">
        <v>38</v>
      </c>
      <c r="J3538" s="49">
        <v>145.0</v>
      </c>
      <c r="K3538" s="49"/>
      <c r="L3538" s="49" t="s">
        <v>12219</v>
      </c>
      <c r="M3538" s="49" t="s">
        <v>83</v>
      </c>
      <c r="N3538" s="49">
        <v>1967.0</v>
      </c>
      <c r="O3538" s="49" t="s">
        <v>388</v>
      </c>
      <c r="P3538" s="49">
        <v>1.0</v>
      </c>
      <c r="Q3538" s="56">
        <v>1.0</v>
      </c>
      <c r="R3538" s="54"/>
      <c r="S3538" s="34"/>
      <c r="T3538" s="34"/>
      <c r="U3538" s="34"/>
      <c r="V3538" s="34"/>
      <c r="W3538" s="34"/>
      <c r="X3538" s="34"/>
      <c r="Y3538" s="59"/>
      <c r="Z3538" s="59"/>
      <c r="AA3538" s="59"/>
      <c r="AB3538" s="59"/>
      <c r="AC3538" s="59"/>
      <c r="AD3538" s="59"/>
      <c r="AE3538" s="59"/>
      <c r="AF3538" s="59"/>
      <c r="AG3538" s="59"/>
      <c r="AH3538" s="59"/>
      <c r="AI3538" s="59"/>
      <c r="AJ3538" s="59"/>
      <c r="AK3538" s="59"/>
      <c r="AL3538" s="59"/>
    </row>
    <row r="3539" ht="15.75" customHeight="1">
      <c r="A3539" s="27">
        <f t="shared" si="25"/>
        <v>4362</v>
      </c>
      <c r="B3539" s="283" t="s">
        <v>31</v>
      </c>
      <c r="C3539" s="272" t="s">
        <v>12220</v>
      </c>
      <c r="D3539" s="55" t="s">
        <v>9827</v>
      </c>
      <c r="E3539" s="49" t="s">
        <v>28</v>
      </c>
      <c r="F3539" s="49" t="s">
        <v>29</v>
      </c>
      <c r="G3539" s="49" t="s">
        <v>30</v>
      </c>
      <c r="H3539" s="49"/>
      <c r="I3539" s="49" t="s">
        <v>30</v>
      </c>
      <c r="J3539" s="49">
        <v>225.0</v>
      </c>
      <c r="K3539" s="49"/>
      <c r="L3539" s="49" t="s">
        <v>9828</v>
      </c>
      <c r="M3539" s="49" t="s">
        <v>4762</v>
      </c>
      <c r="N3539" s="49">
        <v>2004.0</v>
      </c>
      <c r="O3539" s="49" t="s">
        <v>388</v>
      </c>
      <c r="P3539" s="49">
        <v>1.0</v>
      </c>
      <c r="Q3539" s="56"/>
      <c r="R3539" s="54"/>
      <c r="S3539" s="34"/>
      <c r="T3539" s="34"/>
      <c r="U3539" s="34"/>
      <c r="V3539" s="34"/>
      <c r="W3539" s="34"/>
      <c r="X3539" s="34"/>
      <c r="Y3539" s="284"/>
      <c r="Z3539" s="284"/>
      <c r="AA3539" s="284"/>
      <c r="AB3539" s="284"/>
      <c r="AC3539" s="284"/>
      <c r="AD3539" s="284"/>
      <c r="AE3539" s="284"/>
      <c r="AF3539" s="284"/>
      <c r="AG3539" s="284"/>
      <c r="AH3539" s="284"/>
      <c r="AI3539" s="284"/>
      <c r="AJ3539" s="284"/>
      <c r="AK3539" s="284"/>
      <c r="AL3539" s="284"/>
    </row>
    <row r="3540" ht="15.75" customHeight="1">
      <c r="A3540" s="27">
        <f t="shared" si="25"/>
        <v>4363</v>
      </c>
      <c r="B3540" s="49" t="s">
        <v>12221</v>
      </c>
      <c r="C3540" s="50" t="s">
        <v>12222</v>
      </c>
      <c r="D3540" s="55" t="s">
        <v>12223</v>
      </c>
      <c r="E3540" s="49" t="s">
        <v>28</v>
      </c>
      <c r="F3540" s="49" t="s">
        <v>29</v>
      </c>
      <c r="G3540" s="49" t="s">
        <v>30</v>
      </c>
      <c r="H3540" s="49"/>
      <c r="I3540" s="49" t="s">
        <v>30</v>
      </c>
      <c r="J3540" s="49">
        <v>275.0</v>
      </c>
      <c r="K3540" s="49"/>
      <c r="L3540" s="49" t="s">
        <v>303</v>
      </c>
      <c r="M3540" s="49" t="s">
        <v>151</v>
      </c>
      <c r="N3540" s="49">
        <v>1987.0</v>
      </c>
      <c r="O3540" s="49" t="s">
        <v>388</v>
      </c>
      <c r="P3540" s="49">
        <v>1.0</v>
      </c>
      <c r="Q3540" s="56">
        <v>1.0</v>
      </c>
      <c r="R3540" s="54"/>
      <c r="S3540" s="34"/>
      <c r="T3540" s="34"/>
      <c r="U3540" s="34"/>
      <c r="V3540" s="34"/>
      <c r="W3540" s="34"/>
      <c r="X3540" s="34"/>
      <c r="Y3540" s="284"/>
      <c r="Z3540" s="284"/>
      <c r="AA3540" s="284"/>
      <c r="AB3540" s="284"/>
      <c r="AC3540" s="284"/>
      <c r="AD3540" s="284"/>
      <c r="AE3540" s="284"/>
      <c r="AF3540" s="284"/>
      <c r="AG3540" s="284"/>
      <c r="AH3540" s="284"/>
      <c r="AI3540" s="284"/>
      <c r="AJ3540" s="284"/>
      <c r="AK3540" s="284"/>
      <c r="AL3540" s="284"/>
    </row>
    <row r="3541" ht="15.75" customHeight="1">
      <c r="A3541" s="27">
        <f t="shared" si="25"/>
        <v>4364</v>
      </c>
      <c r="B3541" s="52" t="s">
        <v>12224</v>
      </c>
      <c r="C3541" s="50" t="s">
        <v>12225</v>
      </c>
      <c r="D3541" s="51" t="s">
        <v>12226</v>
      </c>
      <c r="E3541" s="49" t="s">
        <v>28</v>
      </c>
      <c r="F3541" s="49" t="s">
        <v>29</v>
      </c>
      <c r="G3541" s="49" t="s">
        <v>234</v>
      </c>
      <c r="H3541" s="49"/>
      <c r="I3541" s="49" t="s">
        <v>38</v>
      </c>
      <c r="J3541" s="49">
        <v>357.0</v>
      </c>
      <c r="K3541" s="49"/>
      <c r="L3541" s="49" t="s">
        <v>12227</v>
      </c>
      <c r="M3541" s="49" t="s">
        <v>236</v>
      </c>
      <c r="N3541" s="49">
        <v>1996.0</v>
      </c>
      <c r="O3541" s="52">
        <v>7.0</v>
      </c>
      <c r="P3541" s="52">
        <v>2.0</v>
      </c>
      <c r="Q3541" s="53">
        <v>2.0</v>
      </c>
      <c r="R3541" s="54"/>
      <c r="S3541" s="34"/>
      <c r="T3541" s="34"/>
      <c r="U3541" s="34"/>
      <c r="V3541" s="34"/>
      <c r="W3541" s="34"/>
      <c r="X3541" s="34"/>
      <c r="Y3541" s="284"/>
      <c r="Z3541" s="284"/>
      <c r="AA3541" s="284"/>
      <c r="AB3541" s="284"/>
      <c r="AC3541" s="284"/>
      <c r="AD3541" s="284"/>
      <c r="AE3541" s="284"/>
      <c r="AF3541" s="284"/>
      <c r="AG3541" s="284"/>
      <c r="AH3541" s="284"/>
      <c r="AI3541" s="284"/>
      <c r="AJ3541" s="284"/>
      <c r="AK3541" s="284"/>
      <c r="AL3541" s="284"/>
    </row>
    <row r="3542" ht="15.75" customHeight="1">
      <c r="A3542" s="27">
        <f t="shared" si="25"/>
        <v>4365</v>
      </c>
      <c r="B3542" s="49" t="s">
        <v>9763</v>
      </c>
      <c r="C3542" s="50" t="s">
        <v>12228</v>
      </c>
      <c r="D3542" s="55" t="s">
        <v>12229</v>
      </c>
      <c r="E3542" s="49" t="s">
        <v>144</v>
      </c>
      <c r="F3542" s="49" t="s">
        <v>29</v>
      </c>
      <c r="G3542" s="49" t="s">
        <v>30</v>
      </c>
      <c r="H3542" s="49"/>
      <c r="I3542" s="49" t="s">
        <v>30</v>
      </c>
      <c r="J3542" s="49">
        <f>222</f>
        <v>222</v>
      </c>
      <c r="K3542" s="49"/>
      <c r="L3542" s="49" t="s">
        <v>9766</v>
      </c>
      <c r="M3542" s="49" t="s">
        <v>4645</v>
      </c>
      <c r="N3542" s="49">
        <v>2012.0</v>
      </c>
      <c r="O3542" s="49" t="s">
        <v>388</v>
      </c>
      <c r="P3542" s="49">
        <v>1.0</v>
      </c>
      <c r="Q3542" s="56"/>
      <c r="R3542" s="54"/>
      <c r="S3542" s="34"/>
      <c r="T3542" s="34"/>
      <c r="U3542" s="34"/>
      <c r="V3542" s="34"/>
      <c r="W3542" s="34"/>
      <c r="X3542" s="34"/>
      <c r="Y3542" s="284"/>
      <c r="Z3542" s="284"/>
      <c r="AA3542" s="284"/>
      <c r="AB3542" s="284"/>
      <c r="AC3542" s="284"/>
      <c r="AD3542" s="284"/>
      <c r="AE3542" s="284"/>
      <c r="AF3542" s="284"/>
      <c r="AG3542" s="284"/>
      <c r="AH3542" s="284"/>
      <c r="AI3542" s="284"/>
      <c r="AJ3542" s="284"/>
      <c r="AK3542" s="284"/>
      <c r="AL3542" s="284"/>
    </row>
    <row r="3543" ht="15.75" customHeight="1">
      <c r="A3543" s="27">
        <f t="shared" si="25"/>
        <v>4366</v>
      </c>
      <c r="B3543" s="49" t="s">
        <v>12230</v>
      </c>
      <c r="C3543" s="272" t="s">
        <v>12231</v>
      </c>
      <c r="D3543" s="55" t="s">
        <v>12232</v>
      </c>
      <c r="E3543" s="49" t="s">
        <v>28</v>
      </c>
      <c r="F3543" s="49" t="s">
        <v>29</v>
      </c>
      <c r="G3543" s="49" t="s">
        <v>38</v>
      </c>
      <c r="H3543" s="49"/>
      <c r="I3543" s="49" t="s">
        <v>38</v>
      </c>
      <c r="J3543" s="49">
        <v>188.0</v>
      </c>
      <c r="K3543" s="49"/>
      <c r="L3543" s="49" t="s">
        <v>2582</v>
      </c>
      <c r="M3543" s="49" t="s">
        <v>12233</v>
      </c>
      <c r="N3543" s="49">
        <v>1971.0</v>
      </c>
      <c r="O3543" s="49" t="s">
        <v>388</v>
      </c>
      <c r="P3543" s="49">
        <v>1.0</v>
      </c>
      <c r="Q3543" s="56">
        <v>1.0</v>
      </c>
      <c r="R3543" s="54"/>
      <c r="S3543" s="34"/>
      <c r="T3543" s="34"/>
      <c r="U3543" s="34"/>
      <c r="V3543" s="34"/>
      <c r="W3543" s="34"/>
      <c r="X3543" s="34"/>
      <c r="Y3543" s="284"/>
      <c r="Z3543" s="284"/>
      <c r="AA3543" s="284"/>
      <c r="AB3543" s="284"/>
      <c r="AC3543" s="284"/>
      <c r="AD3543" s="284"/>
      <c r="AE3543" s="284"/>
      <c r="AF3543" s="284"/>
      <c r="AG3543" s="284"/>
      <c r="AH3543" s="284"/>
      <c r="AI3543" s="284"/>
      <c r="AJ3543" s="284"/>
      <c r="AK3543" s="284"/>
      <c r="AL3543" s="284"/>
    </row>
    <row r="3544" ht="15.75" customHeight="1">
      <c r="A3544" s="27">
        <f t="shared" si="25"/>
        <v>4367</v>
      </c>
      <c r="B3544" s="49" t="s">
        <v>838</v>
      </c>
      <c r="C3544" s="272" t="s">
        <v>12234</v>
      </c>
      <c r="D3544" s="55" t="s">
        <v>12235</v>
      </c>
      <c r="E3544" s="49" t="s">
        <v>223</v>
      </c>
      <c r="F3544" s="49" t="s">
        <v>29</v>
      </c>
      <c r="G3544" s="49" t="s">
        <v>37</v>
      </c>
      <c r="H3544" s="49"/>
      <c r="I3544" s="49" t="s">
        <v>38</v>
      </c>
      <c r="J3544" s="49">
        <v>208.0</v>
      </c>
      <c r="K3544" s="49"/>
      <c r="L3544" s="49" t="s">
        <v>619</v>
      </c>
      <c r="M3544" s="49" t="s">
        <v>54</v>
      </c>
      <c r="N3544" s="49">
        <v>1984.0</v>
      </c>
      <c r="O3544" s="49" t="s">
        <v>388</v>
      </c>
      <c r="P3544" s="49">
        <v>3.0</v>
      </c>
      <c r="Q3544" s="56"/>
      <c r="R3544" s="54"/>
      <c r="S3544" s="34"/>
      <c r="T3544" s="34"/>
      <c r="U3544" s="34"/>
      <c r="V3544" s="34"/>
      <c r="W3544" s="34"/>
      <c r="X3544" s="34"/>
      <c r="Y3544" s="284"/>
      <c r="Z3544" s="284"/>
      <c r="AA3544" s="284"/>
      <c r="AB3544" s="284"/>
      <c r="AC3544" s="284"/>
      <c r="AD3544" s="284"/>
      <c r="AE3544" s="284"/>
      <c r="AF3544" s="284"/>
      <c r="AG3544" s="284"/>
      <c r="AH3544" s="284"/>
      <c r="AI3544" s="284"/>
      <c r="AJ3544" s="284"/>
      <c r="AK3544" s="284"/>
      <c r="AL3544" s="284"/>
    </row>
    <row r="3545" ht="15.75" customHeight="1">
      <c r="A3545" s="27">
        <f t="shared" si="25"/>
        <v>4368</v>
      </c>
      <c r="B3545" s="49" t="s">
        <v>2554</v>
      </c>
      <c r="C3545" s="272" t="s">
        <v>12236</v>
      </c>
      <c r="D3545" s="55" t="s">
        <v>12237</v>
      </c>
      <c r="E3545" s="49" t="s">
        <v>28</v>
      </c>
      <c r="F3545" s="49" t="s">
        <v>29</v>
      </c>
      <c r="G3545" s="49" t="s">
        <v>37</v>
      </c>
      <c r="H3545" s="49"/>
      <c r="I3545" s="49" t="s">
        <v>38</v>
      </c>
      <c r="J3545" s="49">
        <v>366.0</v>
      </c>
      <c r="K3545" s="49"/>
      <c r="L3545" s="49" t="s">
        <v>12238</v>
      </c>
      <c r="M3545" s="49" t="s">
        <v>230</v>
      </c>
      <c r="N3545" s="49">
        <v>2009.0</v>
      </c>
      <c r="O3545" s="49" t="s">
        <v>388</v>
      </c>
      <c r="P3545" s="49">
        <v>1.0</v>
      </c>
      <c r="Q3545" s="56"/>
      <c r="R3545" s="54"/>
      <c r="S3545" s="34"/>
      <c r="T3545" s="34"/>
      <c r="U3545" s="34"/>
      <c r="V3545" s="34"/>
      <c r="W3545" s="34"/>
      <c r="X3545" s="34"/>
      <c r="Y3545" s="59"/>
      <c r="Z3545" s="59"/>
      <c r="AA3545" s="59"/>
      <c r="AB3545" s="59"/>
      <c r="AC3545" s="59"/>
      <c r="AD3545" s="59"/>
      <c r="AE3545" s="59"/>
      <c r="AF3545" s="59"/>
      <c r="AG3545" s="59"/>
      <c r="AH3545" s="59"/>
      <c r="AI3545" s="59"/>
      <c r="AJ3545" s="59"/>
      <c r="AK3545" s="59"/>
      <c r="AL3545" s="59"/>
    </row>
    <row r="3546" ht="15.75" customHeight="1">
      <c r="A3546" s="27">
        <f t="shared" si="25"/>
        <v>4369</v>
      </c>
      <c r="B3546" s="49" t="s">
        <v>31</v>
      </c>
      <c r="C3546" s="272" t="s">
        <v>12239</v>
      </c>
      <c r="D3546" s="55" t="s">
        <v>12240</v>
      </c>
      <c r="E3546" s="49" t="s">
        <v>28</v>
      </c>
      <c r="F3546" s="49" t="s">
        <v>29</v>
      </c>
      <c r="G3546" s="49" t="s">
        <v>131</v>
      </c>
      <c r="H3546" s="49"/>
      <c r="I3546" s="49" t="s">
        <v>38</v>
      </c>
      <c r="J3546" s="49">
        <v>328.0</v>
      </c>
      <c r="K3546" s="49"/>
      <c r="L3546" s="49" t="s">
        <v>12241</v>
      </c>
      <c r="M3546" s="49" t="s">
        <v>230</v>
      </c>
      <c r="N3546" s="49">
        <v>1957.0</v>
      </c>
      <c r="O3546" s="49" t="s">
        <v>388</v>
      </c>
      <c r="P3546" s="49">
        <v>1.0</v>
      </c>
      <c r="Q3546" s="56"/>
      <c r="R3546" s="54"/>
      <c r="S3546" s="34"/>
      <c r="T3546" s="34"/>
      <c r="U3546" s="34"/>
      <c r="V3546" s="34"/>
      <c r="W3546" s="34"/>
      <c r="X3546" s="34"/>
      <c r="Y3546" s="59"/>
      <c r="Z3546" s="59"/>
      <c r="AA3546" s="59"/>
      <c r="AB3546" s="59"/>
      <c r="AC3546" s="59"/>
      <c r="AD3546" s="59"/>
      <c r="AE3546" s="59"/>
      <c r="AF3546" s="59"/>
      <c r="AG3546" s="59"/>
      <c r="AH3546" s="59"/>
      <c r="AI3546" s="59"/>
      <c r="AJ3546" s="59"/>
      <c r="AK3546" s="59"/>
      <c r="AL3546" s="59"/>
    </row>
    <row r="3547" ht="15.75" customHeight="1">
      <c r="A3547" s="27">
        <f t="shared" si="25"/>
        <v>4370</v>
      </c>
      <c r="B3547" s="49" t="s">
        <v>31</v>
      </c>
      <c r="C3547" s="272" t="s">
        <v>12242</v>
      </c>
      <c r="D3547" s="55" t="s">
        <v>12243</v>
      </c>
      <c r="E3547" s="49" t="s">
        <v>223</v>
      </c>
      <c r="F3547" s="49" t="s">
        <v>29</v>
      </c>
      <c r="G3547" s="49" t="s">
        <v>30</v>
      </c>
      <c r="H3547" s="49"/>
      <c r="I3547" s="49" t="s">
        <v>30</v>
      </c>
      <c r="J3547" s="49">
        <v>238.0</v>
      </c>
      <c r="K3547" s="49"/>
      <c r="L3547" s="49" t="s">
        <v>12244</v>
      </c>
      <c r="M3547" s="49" t="s">
        <v>54</v>
      </c>
      <c r="N3547" s="49">
        <v>1975.0</v>
      </c>
      <c r="O3547" s="49" t="s">
        <v>388</v>
      </c>
      <c r="P3547" s="49">
        <v>1.0</v>
      </c>
      <c r="Q3547" s="56"/>
      <c r="R3547" s="54"/>
      <c r="S3547" s="34"/>
      <c r="T3547" s="34"/>
      <c r="U3547" s="34"/>
      <c r="V3547" s="34"/>
      <c r="W3547" s="34"/>
      <c r="X3547" s="34"/>
      <c r="Y3547" s="59"/>
      <c r="Z3547" s="59"/>
      <c r="AA3547" s="59"/>
      <c r="AB3547" s="59"/>
      <c r="AC3547" s="59"/>
      <c r="AD3547" s="59"/>
      <c r="AE3547" s="59"/>
      <c r="AF3547" s="59"/>
      <c r="AG3547" s="59"/>
      <c r="AH3547" s="59"/>
      <c r="AI3547" s="59"/>
      <c r="AJ3547" s="59"/>
      <c r="AK3547" s="59"/>
      <c r="AL3547" s="59"/>
    </row>
    <row r="3548" ht="15.75" customHeight="1">
      <c r="A3548" s="27">
        <f t="shared" si="25"/>
        <v>4371</v>
      </c>
      <c r="B3548" s="49" t="s">
        <v>12245</v>
      </c>
      <c r="C3548" s="272" t="s">
        <v>12242</v>
      </c>
      <c r="D3548" s="55" t="s">
        <v>12246</v>
      </c>
      <c r="E3548" s="49" t="s">
        <v>223</v>
      </c>
      <c r="F3548" s="49" t="s">
        <v>29</v>
      </c>
      <c r="G3548" s="49" t="s">
        <v>30</v>
      </c>
      <c r="H3548" s="49"/>
      <c r="I3548" s="49" t="s">
        <v>30</v>
      </c>
      <c r="J3548" s="49"/>
      <c r="K3548" s="49"/>
      <c r="L3548" s="49" t="s">
        <v>12244</v>
      </c>
      <c r="M3548" s="49" t="s">
        <v>54</v>
      </c>
      <c r="N3548" s="49">
        <v>1976.0</v>
      </c>
      <c r="O3548" s="49" t="s">
        <v>388</v>
      </c>
      <c r="P3548" s="49">
        <v>1.0</v>
      </c>
      <c r="Q3548" s="56"/>
      <c r="R3548" s="54"/>
      <c r="S3548" s="34"/>
      <c r="T3548" s="34"/>
      <c r="U3548" s="34"/>
      <c r="V3548" s="34"/>
      <c r="W3548" s="34"/>
      <c r="X3548" s="34"/>
      <c r="Y3548" s="284"/>
      <c r="Z3548" s="284"/>
      <c r="AA3548" s="284"/>
      <c r="AB3548" s="284"/>
      <c r="AC3548" s="284"/>
      <c r="AD3548" s="284"/>
      <c r="AE3548" s="284"/>
      <c r="AF3548" s="284"/>
      <c r="AG3548" s="284"/>
      <c r="AH3548" s="284"/>
      <c r="AI3548" s="284"/>
      <c r="AJ3548" s="284"/>
      <c r="AK3548" s="284"/>
      <c r="AL3548" s="284"/>
    </row>
    <row r="3549" ht="15.75" customHeight="1">
      <c r="A3549" s="27">
        <f t="shared" si="25"/>
        <v>4372</v>
      </c>
      <c r="B3549" s="49" t="s">
        <v>478</v>
      </c>
      <c r="C3549" s="272" t="s">
        <v>12242</v>
      </c>
      <c r="D3549" s="55" t="s">
        <v>12247</v>
      </c>
      <c r="E3549" s="49" t="s">
        <v>223</v>
      </c>
      <c r="F3549" s="49" t="s">
        <v>29</v>
      </c>
      <c r="G3549" s="49" t="s">
        <v>37</v>
      </c>
      <c r="H3549" s="49"/>
      <c r="I3549" s="49" t="s">
        <v>38</v>
      </c>
      <c r="J3549" s="49">
        <v>238.0</v>
      </c>
      <c r="K3549" s="49"/>
      <c r="L3549" s="49" t="s">
        <v>12248</v>
      </c>
      <c r="M3549" s="49" t="s">
        <v>54</v>
      </c>
      <c r="N3549" s="49">
        <v>1976.0</v>
      </c>
      <c r="O3549" s="49" t="s">
        <v>388</v>
      </c>
      <c r="P3549" s="49">
        <v>1.0</v>
      </c>
      <c r="Q3549" s="56"/>
      <c r="R3549" s="54"/>
      <c r="S3549" s="34"/>
      <c r="T3549" s="34"/>
      <c r="U3549" s="34"/>
      <c r="V3549" s="34"/>
      <c r="W3549" s="34"/>
      <c r="X3549" s="34"/>
      <c r="Y3549" s="59"/>
      <c r="Z3549" s="59"/>
      <c r="AA3549" s="59"/>
      <c r="AB3549" s="59"/>
      <c r="AC3549" s="59"/>
      <c r="AD3549" s="59"/>
      <c r="AE3549" s="59"/>
      <c r="AF3549" s="59"/>
      <c r="AG3549" s="59"/>
      <c r="AH3549" s="59"/>
      <c r="AI3549" s="59"/>
      <c r="AJ3549" s="59"/>
      <c r="AK3549" s="59"/>
      <c r="AL3549" s="59"/>
    </row>
    <row r="3550" ht="15.75" customHeight="1">
      <c r="A3550" s="27">
        <f t="shared" si="25"/>
        <v>4373</v>
      </c>
      <c r="B3550" s="49" t="s">
        <v>31</v>
      </c>
      <c r="C3550" s="272" t="s">
        <v>12249</v>
      </c>
      <c r="D3550" s="55" t="s">
        <v>12250</v>
      </c>
      <c r="E3550" s="49" t="s">
        <v>28</v>
      </c>
      <c r="F3550" s="49" t="s">
        <v>29</v>
      </c>
      <c r="G3550" s="49" t="s">
        <v>37</v>
      </c>
      <c r="H3550" s="49"/>
      <c r="I3550" s="49" t="s">
        <v>38</v>
      </c>
      <c r="J3550" s="49">
        <v>163.0</v>
      </c>
      <c r="K3550" s="49"/>
      <c r="L3550" s="49" t="s">
        <v>12251</v>
      </c>
      <c r="M3550" s="49" t="s">
        <v>507</v>
      </c>
      <c r="N3550" s="49">
        <v>1966.0</v>
      </c>
      <c r="O3550" s="49" t="s">
        <v>388</v>
      </c>
      <c r="P3550" s="49">
        <v>1.0</v>
      </c>
      <c r="Q3550" s="56"/>
      <c r="R3550" s="54"/>
      <c r="S3550" s="34"/>
      <c r="T3550" s="34"/>
      <c r="U3550" s="34"/>
      <c r="V3550" s="34"/>
      <c r="W3550" s="34"/>
      <c r="X3550" s="34"/>
      <c r="Y3550" s="59"/>
      <c r="Z3550" s="59"/>
      <c r="AA3550" s="59"/>
      <c r="AB3550" s="59"/>
      <c r="AC3550" s="59"/>
      <c r="AD3550" s="59"/>
      <c r="AE3550" s="59"/>
      <c r="AF3550" s="59"/>
      <c r="AG3550" s="59"/>
      <c r="AH3550" s="59"/>
      <c r="AI3550" s="59"/>
      <c r="AJ3550" s="59"/>
      <c r="AK3550" s="59"/>
      <c r="AL3550" s="59"/>
    </row>
    <row r="3551" ht="15.75" customHeight="1">
      <c r="A3551" s="27">
        <f t="shared" si="25"/>
        <v>4374</v>
      </c>
      <c r="B3551" s="49" t="s">
        <v>478</v>
      </c>
      <c r="C3551" s="272" t="s">
        <v>12252</v>
      </c>
      <c r="D3551" s="55" t="s">
        <v>12253</v>
      </c>
      <c r="E3551" s="49" t="s">
        <v>223</v>
      </c>
      <c r="F3551" s="49" t="s">
        <v>29</v>
      </c>
      <c r="G3551" s="49" t="s">
        <v>37</v>
      </c>
      <c r="H3551" s="49"/>
      <c r="I3551" s="49" t="s">
        <v>38</v>
      </c>
      <c r="J3551" s="52">
        <v>229.0</v>
      </c>
      <c r="K3551" s="49"/>
      <c r="L3551" s="272"/>
      <c r="M3551" s="49" t="s">
        <v>54</v>
      </c>
      <c r="N3551" s="49">
        <v>1976.0</v>
      </c>
      <c r="O3551" s="49" t="s">
        <v>388</v>
      </c>
      <c r="P3551" s="49">
        <v>2.0</v>
      </c>
      <c r="Q3551" s="56"/>
      <c r="R3551" s="54"/>
      <c r="S3551" s="34"/>
      <c r="T3551" s="34"/>
      <c r="U3551" s="34"/>
      <c r="V3551" s="34"/>
      <c r="W3551" s="34"/>
      <c r="X3551" s="34"/>
      <c r="Y3551" s="59"/>
      <c r="Z3551" s="59"/>
      <c r="AA3551" s="59"/>
      <c r="AB3551" s="59"/>
      <c r="AC3551" s="59"/>
      <c r="AD3551" s="59"/>
      <c r="AE3551" s="59"/>
      <c r="AF3551" s="59"/>
      <c r="AG3551" s="59"/>
      <c r="AH3551" s="59"/>
      <c r="AI3551" s="59"/>
      <c r="AJ3551" s="59"/>
      <c r="AK3551" s="59"/>
      <c r="AL3551" s="59"/>
    </row>
    <row r="3552" ht="15.75" customHeight="1">
      <c r="A3552" s="27">
        <f t="shared" si="25"/>
        <v>4375</v>
      </c>
      <c r="B3552" s="49" t="s">
        <v>9618</v>
      </c>
      <c r="C3552" s="272" t="s">
        <v>12254</v>
      </c>
      <c r="D3552" s="55" t="s">
        <v>12255</v>
      </c>
      <c r="E3552" s="49" t="s">
        <v>28</v>
      </c>
      <c r="F3552" s="49" t="s">
        <v>29</v>
      </c>
      <c r="G3552" s="49" t="s">
        <v>30</v>
      </c>
      <c r="H3552" s="49"/>
      <c r="I3552" s="49" t="s">
        <v>30</v>
      </c>
      <c r="J3552" s="49">
        <v>152.0</v>
      </c>
      <c r="K3552" s="49"/>
      <c r="L3552" s="49" t="s">
        <v>9861</v>
      </c>
      <c r="M3552" s="49" t="s">
        <v>151</v>
      </c>
      <c r="N3552" s="49">
        <v>2003.0</v>
      </c>
      <c r="O3552" s="49" t="s">
        <v>388</v>
      </c>
      <c r="P3552" s="49">
        <v>1.0</v>
      </c>
      <c r="Q3552" s="56">
        <v>1.0</v>
      </c>
      <c r="R3552" s="54"/>
      <c r="S3552" s="34"/>
      <c r="T3552" s="34"/>
      <c r="U3552" s="34"/>
      <c r="V3552" s="34"/>
      <c r="W3552" s="34"/>
      <c r="X3552" s="34"/>
      <c r="Y3552" s="284"/>
      <c r="Z3552" s="284"/>
      <c r="AA3552" s="284"/>
      <c r="AB3552" s="284"/>
      <c r="AC3552" s="284"/>
      <c r="AD3552" s="284"/>
      <c r="AE3552" s="284"/>
      <c r="AF3552" s="284"/>
      <c r="AG3552" s="284"/>
      <c r="AH3552" s="284"/>
      <c r="AI3552" s="284"/>
      <c r="AJ3552" s="284"/>
      <c r="AK3552" s="284"/>
      <c r="AL3552" s="284"/>
    </row>
    <row r="3553" ht="15.75" customHeight="1">
      <c r="A3553" s="27">
        <f t="shared" si="25"/>
        <v>4376</v>
      </c>
      <c r="B3553" s="49" t="s">
        <v>12256</v>
      </c>
      <c r="C3553" s="272" t="s">
        <v>12257</v>
      </c>
      <c r="D3553" s="55" t="s">
        <v>12258</v>
      </c>
      <c r="E3553" s="49" t="s">
        <v>223</v>
      </c>
      <c r="F3553" s="49" t="s">
        <v>29</v>
      </c>
      <c r="G3553" s="49" t="s">
        <v>37</v>
      </c>
      <c r="H3553" s="49"/>
      <c r="I3553" s="49" t="s">
        <v>38</v>
      </c>
      <c r="J3553" s="49">
        <v>157.0</v>
      </c>
      <c r="K3553" s="49"/>
      <c r="L3553" s="49" t="s">
        <v>12259</v>
      </c>
      <c r="M3553" s="49" t="s">
        <v>54</v>
      </c>
      <c r="N3553" s="49">
        <v>1977.0</v>
      </c>
      <c r="O3553" s="49" t="s">
        <v>388</v>
      </c>
      <c r="P3553" s="49">
        <v>1.0</v>
      </c>
      <c r="Q3553" s="56"/>
      <c r="R3553" s="54"/>
      <c r="S3553" s="34"/>
      <c r="T3553" s="34"/>
      <c r="U3553" s="34"/>
      <c r="V3553" s="34"/>
      <c r="W3553" s="34"/>
      <c r="X3553" s="34"/>
      <c r="Y3553" s="284"/>
      <c r="Z3553" s="284"/>
      <c r="AA3553" s="284"/>
      <c r="AB3553" s="284"/>
      <c r="AC3553" s="284"/>
      <c r="AD3553" s="284"/>
      <c r="AE3553" s="284"/>
      <c r="AF3553" s="284"/>
      <c r="AG3553" s="284"/>
      <c r="AH3553" s="284"/>
      <c r="AI3553" s="284"/>
      <c r="AJ3553" s="284"/>
      <c r="AK3553" s="284"/>
      <c r="AL3553" s="284"/>
    </row>
    <row r="3554" ht="15.75" customHeight="1">
      <c r="A3554" s="27">
        <f t="shared" si="25"/>
        <v>4377</v>
      </c>
      <c r="B3554" s="158" t="s">
        <v>31</v>
      </c>
      <c r="C3554" s="204" t="s">
        <v>12260</v>
      </c>
      <c r="D3554" s="160" t="s">
        <v>12261</v>
      </c>
      <c r="E3554" s="158" t="s">
        <v>223</v>
      </c>
      <c r="F3554" s="158" t="s">
        <v>29</v>
      </c>
      <c r="G3554" s="158" t="s">
        <v>37</v>
      </c>
      <c r="H3554" s="158"/>
      <c r="I3554" s="158" t="s">
        <v>38</v>
      </c>
      <c r="J3554" s="158">
        <v>157.0</v>
      </c>
      <c r="K3554" s="158"/>
      <c r="L3554" s="158" t="s">
        <v>12259</v>
      </c>
      <c r="M3554" s="158" t="s">
        <v>54</v>
      </c>
      <c r="N3554" s="158">
        <v>1977.0</v>
      </c>
      <c r="O3554" s="158" t="s">
        <v>388</v>
      </c>
      <c r="P3554" s="158">
        <v>1.0</v>
      </c>
      <c r="Q3554" s="162"/>
      <c r="R3554" s="163"/>
      <c r="S3554" s="34"/>
      <c r="T3554" s="34"/>
      <c r="U3554" s="34"/>
      <c r="V3554" s="34"/>
      <c r="W3554" s="34"/>
      <c r="X3554" s="34"/>
      <c r="Y3554" s="284"/>
      <c r="Z3554" s="284"/>
      <c r="AA3554" s="284"/>
      <c r="AB3554" s="284"/>
      <c r="AC3554" s="284"/>
      <c r="AD3554" s="284"/>
      <c r="AE3554" s="284"/>
      <c r="AF3554" s="284"/>
      <c r="AG3554" s="284"/>
      <c r="AH3554" s="284"/>
      <c r="AI3554" s="284"/>
      <c r="AJ3554" s="284"/>
      <c r="AK3554" s="284"/>
      <c r="AL3554" s="284"/>
    </row>
    <row r="3555" ht="15.75" customHeight="1">
      <c r="A3555" s="27">
        <f t="shared" si="25"/>
        <v>4378</v>
      </c>
      <c r="B3555" s="158" t="s">
        <v>12262</v>
      </c>
      <c r="C3555" s="204" t="s">
        <v>12263</v>
      </c>
      <c r="D3555" s="160" t="s">
        <v>12264</v>
      </c>
      <c r="E3555" s="158" t="s">
        <v>223</v>
      </c>
      <c r="F3555" s="158" t="s">
        <v>29</v>
      </c>
      <c r="G3555" s="158" t="s">
        <v>37</v>
      </c>
      <c r="H3555" s="158"/>
      <c r="I3555" s="158" t="s">
        <v>38</v>
      </c>
      <c r="J3555" s="158">
        <v>157.0</v>
      </c>
      <c r="K3555" s="158"/>
      <c r="L3555" s="158" t="s">
        <v>12265</v>
      </c>
      <c r="M3555" s="158" t="s">
        <v>54</v>
      </c>
      <c r="N3555" s="158">
        <v>1977.0</v>
      </c>
      <c r="O3555" s="158" t="s">
        <v>388</v>
      </c>
      <c r="P3555" s="158">
        <v>2.0</v>
      </c>
      <c r="Q3555" s="162"/>
      <c r="R3555" s="163"/>
      <c r="S3555" s="286"/>
      <c r="T3555" s="286"/>
      <c r="U3555" s="286"/>
      <c r="V3555" s="286"/>
      <c r="W3555" s="286"/>
      <c r="X3555" s="286"/>
      <c r="Y3555" s="284"/>
      <c r="Z3555" s="284"/>
      <c r="AA3555" s="284"/>
      <c r="AB3555" s="284"/>
      <c r="AC3555" s="284"/>
      <c r="AD3555" s="284"/>
      <c r="AE3555" s="284"/>
      <c r="AF3555" s="284"/>
      <c r="AG3555" s="284"/>
      <c r="AH3555" s="284"/>
      <c r="AI3555" s="284"/>
      <c r="AJ3555" s="284"/>
      <c r="AK3555" s="284"/>
      <c r="AL3555" s="284"/>
    </row>
    <row r="3556" ht="15.75" customHeight="1">
      <c r="A3556" s="27">
        <f t="shared" si="25"/>
        <v>4379</v>
      </c>
      <c r="B3556" s="49" t="s">
        <v>12266</v>
      </c>
      <c r="C3556" s="272" t="s">
        <v>12267</v>
      </c>
      <c r="D3556" s="55" t="s">
        <v>12268</v>
      </c>
      <c r="E3556" s="49" t="s">
        <v>28</v>
      </c>
      <c r="F3556" s="49" t="s">
        <v>29</v>
      </c>
      <c r="G3556" s="49" t="s">
        <v>37</v>
      </c>
      <c r="H3556" s="49"/>
      <c r="I3556" s="49" t="s">
        <v>38</v>
      </c>
      <c r="J3556" s="49">
        <v>180.0</v>
      </c>
      <c r="K3556" s="49"/>
      <c r="L3556" s="49" t="s">
        <v>12269</v>
      </c>
      <c r="M3556" s="49" t="s">
        <v>524</v>
      </c>
      <c r="N3556" s="49">
        <v>1975.0</v>
      </c>
      <c r="O3556" s="49" t="s">
        <v>388</v>
      </c>
      <c r="P3556" s="49">
        <v>1.0</v>
      </c>
      <c r="Q3556" s="56"/>
      <c r="R3556" s="54"/>
      <c r="S3556" s="34"/>
      <c r="T3556" s="34"/>
      <c r="U3556" s="34"/>
      <c r="V3556" s="34"/>
      <c r="W3556" s="34"/>
      <c r="X3556" s="34"/>
      <c r="Y3556" s="284"/>
      <c r="Z3556" s="284"/>
      <c r="AA3556" s="284"/>
      <c r="AB3556" s="284"/>
      <c r="AC3556" s="284"/>
      <c r="AD3556" s="284"/>
      <c r="AE3556" s="284"/>
      <c r="AF3556" s="284"/>
      <c r="AG3556" s="284"/>
      <c r="AH3556" s="284"/>
      <c r="AI3556" s="284"/>
      <c r="AJ3556" s="284"/>
      <c r="AK3556" s="284"/>
      <c r="AL3556" s="284"/>
    </row>
    <row r="3557" ht="15.75" customHeight="1">
      <c r="A3557" s="27">
        <f t="shared" si="25"/>
        <v>4380</v>
      </c>
      <c r="B3557" s="49" t="s">
        <v>9223</v>
      </c>
      <c r="C3557" s="287" t="s">
        <v>12270</v>
      </c>
      <c r="D3557" s="55" t="s">
        <v>12271</v>
      </c>
      <c r="E3557" s="49" t="s">
        <v>28</v>
      </c>
      <c r="F3557" s="49" t="s">
        <v>29</v>
      </c>
      <c r="G3557" s="49" t="s">
        <v>30</v>
      </c>
      <c r="H3557" s="49" t="s">
        <v>31</v>
      </c>
      <c r="I3557" s="49" t="s">
        <v>30</v>
      </c>
      <c r="J3557" s="49">
        <v>289.0</v>
      </c>
      <c r="K3557" s="49" t="s">
        <v>31</v>
      </c>
      <c r="L3557" s="49" t="s">
        <v>912</v>
      </c>
      <c r="M3557" s="49" t="s">
        <v>3240</v>
      </c>
      <c r="N3557" s="49">
        <v>2010.0</v>
      </c>
      <c r="O3557" s="49" t="s">
        <v>388</v>
      </c>
      <c r="P3557" s="49">
        <v>1.0</v>
      </c>
      <c r="Q3557" s="56">
        <v>1.0</v>
      </c>
      <c r="R3557" s="54"/>
      <c r="S3557" s="34"/>
      <c r="T3557" s="34"/>
      <c r="U3557" s="34"/>
      <c r="V3557" s="34"/>
      <c r="W3557" s="34"/>
      <c r="X3557" s="34"/>
      <c r="Y3557" s="284"/>
      <c r="Z3557" s="284"/>
      <c r="AA3557" s="284"/>
      <c r="AB3557" s="284"/>
      <c r="AC3557" s="284"/>
      <c r="AD3557" s="284"/>
      <c r="AE3557" s="284"/>
      <c r="AF3557" s="284"/>
      <c r="AG3557" s="284"/>
      <c r="AH3557" s="284"/>
      <c r="AI3557" s="284"/>
      <c r="AJ3557" s="284"/>
      <c r="AK3557" s="284"/>
      <c r="AL3557" s="284"/>
    </row>
    <row r="3558" ht="15.75" customHeight="1">
      <c r="A3558" s="27">
        <f t="shared" si="25"/>
        <v>4381</v>
      </c>
      <c r="B3558" s="49" t="s">
        <v>31</v>
      </c>
      <c r="C3558" s="272" t="s">
        <v>12272</v>
      </c>
      <c r="D3558" s="55" t="s">
        <v>9906</v>
      </c>
      <c r="E3558" s="49" t="s">
        <v>28</v>
      </c>
      <c r="F3558" s="49" t="s">
        <v>29</v>
      </c>
      <c r="G3558" s="49" t="s">
        <v>30</v>
      </c>
      <c r="H3558" s="49"/>
      <c r="I3558" s="49" t="s">
        <v>30</v>
      </c>
      <c r="J3558" s="49">
        <v>130.0</v>
      </c>
      <c r="K3558" s="49"/>
      <c r="L3558" s="49" t="s">
        <v>12273</v>
      </c>
      <c r="M3558" s="49" t="s">
        <v>151</v>
      </c>
      <c r="N3558" s="49">
        <v>1967.0</v>
      </c>
      <c r="O3558" s="49" t="s">
        <v>388</v>
      </c>
      <c r="P3558" s="49">
        <v>1.0</v>
      </c>
      <c r="Q3558" s="56">
        <v>1.0</v>
      </c>
      <c r="R3558" s="288"/>
      <c r="S3558" s="34"/>
      <c r="T3558" s="34"/>
      <c r="U3558" s="34"/>
      <c r="V3558" s="34"/>
      <c r="W3558" s="34"/>
      <c r="X3558" s="34"/>
      <c r="Y3558" s="284"/>
      <c r="Z3558" s="284"/>
      <c r="AA3558" s="284"/>
      <c r="AB3558" s="284"/>
      <c r="AC3558" s="284"/>
      <c r="AD3558" s="284"/>
      <c r="AE3558" s="284"/>
      <c r="AF3558" s="284"/>
      <c r="AG3558" s="284"/>
      <c r="AH3558" s="284"/>
      <c r="AI3558" s="284"/>
      <c r="AJ3558" s="284"/>
      <c r="AK3558" s="284"/>
      <c r="AL3558" s="284"/>
    </row>
    <row r="3559" ht="15.75" customHeight="1">
      <c r="A3559" s="27">
        <f t="shared" si="25"/>
        <v>4382</v>
      </c>
      <c r="B3559" s="49" t="s">
        <v>31</v>
      </c>
      <c r="C3559" s="272" t="s">
        <v>12274</v>
      </c>
      <c r="D3559" s="55" t="s">
        <v>9928</v>
      </c>
      <c r="E3559" s="49" t="s">
        <v>28</v>
      </c>
      <c r="F3559" s="49" t="s">
        <v>29</v>
      </c>
      <c r="G3559" s="49" t="s">
        <v>30</v>
      </c>
      <c r="H3559" s="49"/>
      <c r="I3559" s="49" t="s">
        <v>30</v>
      </c>
      <c r="J3559" s="49">
        <v>251.0</v>
      </c>
      <c r="K3559" s="49"/>
      <c r="L3559" s="49" t="s">
        <v>3453</v>
      </c>
      <c r="M3559" s="49" t="s">
        <v>151</v>
      </c>
      <c r="N3559" s="49">
        <v>1982.0</v>
      </c>
      <c r="O3559" s="49" t="s">
        <v>388</v>
      </c>
      <c r="P3559" s="49">
        <v>1.0</v>
      </c>
      <c r="Q3559" s="56">
        <v>1.0</v>
      </c>
      <c r="R3559" s="54"/>
      <c r="S3559" s="34"/>
      <c r="T3559" s="34"/>
      <c r="U3559" s="34"/>
      <c r="V3559" s="34"/>
      <c r="W3559" s="34"/>
      <c r="X3559" s="34"/>
      <c r="Y3559" s="284"/>
      <c r="Z3559" s="284"/>
      <c r="AA3559" s="284"/>
      <c r="AB3559" s="284"/>
      <c r="AC3559" s="284"/>
      <c r="AD3559" s="284"/>
      <c r="AE3559" s="284"/>
      <c r="AF3559" s="284"/>
      <c r="AG3559" s="284"/>
      <c r="AH3559" s="284"/>
      <c r="AI3559" s="284"/>
      <c r="AJ3559" s="284"/>
      <c r="AK3559" s="284"/>
      <c r="AL3559" s="284"/>
    </row>
    <row r="3560" ht="15.75" customHeight="1">
      <c r="A3560" s="27">
        <f t="shared" si="25"/>
        <v>4383</v>
      </c>
      <c r="B3560" s="158" t="s">
        <v>560</v>
      </c>
      <c r="C3560" s="204" t="s">
        <v>12275</v>
      </c>
      <c r="D3560" s="160" t="s">
        <v>12276</v>
      </c>
      <c r="E3560" s="158" t="s">
        <v>223</v>
      </c>
      <c r="F3560" s="158" t="s">
        <v>29</v>
      </c>
      <c r="G3560" s="158" t="s">
        <v>37</v>
      </c>
      <c r="H3560" s="158"/>
      <c r="I3560" s="158" t="s">
        <v>38</v>
      </c>
      <c r="J3560" s="158">
        <v>207.0</v>
      </c>
      <c r="K3560" s="158"/>
      <c r="L3560" s="158" t="s">
        <v>12265</v>
      </c>
      <c r="M3560" s="158" t="s">
        <v>54</v>
      </c>
      <c r="N3560" s="158">
        <v>1982.0</v>
      </c>
      <c r="O3560" s="158" t="s">
        <v>388</v>
      </c>
      <c r="P3560" s="158">
        <v>1.0</v>
      </c>
      <c r="Q3560" s="162"/>
      <c r="R3560" s="289"/>
      <c r="S3560" s="34"/>
      <c r="T3560" s="34"/>
      <c r="U3560" s="34"/>
      <c r="V3560" s="34"/>
      <c r="W3560" s="34"/>
      <c r="X3560" s="34"/>
      <c r="Y3560" s="284"/>
      <c r="Z3560" s="284"/>
      <c r="AA3560" s="284"/>
      <c r="AB3560" s="284"/>
      <c r="AC3560" s="284"/>
      <c r="AD3560" s="284"/>
      <c r="AE3560" s="284"/>
      <c r="AF3560" s="284"/>
      <c r="AG3560" s="284"/>
      <c r="AH3560" s="284"/>
      <c r="AI3560" s="284"/>
      <c r="AJ3560" s="284"/>
      <c r="AK3560" s="284"/>
      <c r="AL3560" s="284"/>
    </row>
    <row r="3561" ht="15.75" customHeight="1">
      <c r="A3561" s="27">
        <f t="shared" si="25"/>
        <v>4384</v>
      </c>
      <c r="B3561" s="49" t="s">
        <v>12277</v>
      </c>
      <c r="C3561" s="272" t="s">
        <v>12278</v>
      </c>
      <c r="D3561" s="55" t="s">
        <v>12279</v>
      </c>
      <c r="E3561" s="49" t="s">
        <v>28</v>
      </c>
      <c r="F3561" s="49" t="s">
        <v>29</v>
      </c>
      <c r="G3561" s="49" t="s">
        <v>38</v>
      </c>
      <c r="H3561" s="49"/>
      <c r="I3561" s="49" t="s">
        <v>38</v>
      </c>
      <c r="J3561" s="49">
        <v>164.0</v>
      </c>
      <c r="K3561" s="49"/>
      <c r="L3561" s="49" t="s">
        <v>9334</v>
      </c>
      <c r="M3561" s="49" t="s">
        <v>12233</v>
      </c>
      <c r="N3561" s="49">
        <v>1974.0</v>
      </c>
      <c r="O3561" s="49" t="s">
        <v>388</v>
      </c>
      <c r="P3561" s="49">
        <v>1.0</v>
      </c>
      <c r="Q3561" s="56">
        <v>1.0</v>
      </c>
      <c r="R3561" s="288"/>
      <c r="S3561" s="34"/>
      <c r="T3561" s="34"/>
      <c r="U3561" s="34"/>
      <c r="V3561" s="34"/>
      <c r="W3561" s="34"/>
      <c r="X3561" s="34"/>
      <c r="Y3561" s="284"/>
      <c r="Z3561" s="284"/>
      <c r="AA3561" s="284"/>
      <c r="AB3561" s="284"/>
      <c r="AC3561" s="284"/>
      <c r="AD3561" s="284"/>
      <c r="AE3561" s="284"/>
      <c r="AF3561" s="284"/>
      <c r="AG3561" s="284"/>
      <c r="AH3561" s="284"/>
      <c r="AI3561" s="284"/>
      <c r="AJ3561" s="284"/>
      <c r="AK3561" s="284"/>
      <c r="AL3561" s="284"/>
    </row>
    <row r="3562" ht="15.75" customHeight="1">
      <c r="A3562" s="27">
        <f t="shared" si="25"/>
        <v>4385</v>
      </c>
      <c r="B3562" s="49" t="s">
        <v>12280</v>
      </c>
      <c r="C3562" s="272" t="s">
        <v>12281</v>
      </c>
      <c r="D3562" s="55" t="s">
        <v>12282</v>
      </c>
      <c r="E3562" s="49" t="s">
        <v>28</v>
      </c>
      <c r="F3562" s="49" t="s">
        <v>29</v>
      </c>
      <c r="G3562" s="49" t="s">
        <v>38</v>
      </c>
      <c r="H3562" s="49"/>
      <c r="I3562" s="49" t="s">
        <v>38</v>
      </c>
      <c r="J3562" s="49">
        <v>1446.0</v>
      </c>
      <c r="K3562" s="49"/>
      <c r="L3562" s="49" t="s">
        <v>2924</v>
      </c>
      <c r="M3562" s="49" t="s">
        <v>230</v>
      </c>
      <c r="N3562" s="49">
        <v>2000.0</v>
      </c>
      <c r="O3562" s="49" t="s">
        <v>388</v>
      </c>
      <c r="P3562" s="49">
        <v>1.0</v>
      </c>
      <c r="Q3562" s="56">
        <v>1.0</v>
      </c>
      <c r="R3562" s="288"/>
      <c r="S3562" s="34"/>
      <c r="T3562" s="34"/>
      <c r="U3562" s="34"/>
      <c r="V3562" s="34"/>
      <c r="W3562" s="34"/>
      <c r="X3562" s="34"/>
      <c r="Y3562" s="284"/>
      <c r="Z3562" s="284"/>
      <c r="AA3562" s="284"/>
      <c r="AB3562" s="284"/>
      <c r="AC3562" s="284"/>
      <c r="AD3562" s="284"/>
      <c r="AE3562" s="284"/>
      <c r="AF3562" s="284"/>
      <c r="AG3562" s="284"/>
      <c r="AH3562" s="284"/>
      <c r="AI3562" s="284"/>
      <c r="AJ3562" s="284"/>
      <c r="AK3562" s="284"/>
      <c r="AL3562" s="284"/>
    </row>
    <row r="3563" ht="15.75" customHeight="1">
      <c r="A3563" s="27">
        <f t="shared" si="25"/>
        <v>4386</v>
      </c>
      <c r="B3563" s="49" t="s">
        <v>12283</v>
      </c>
      <c r="C3563" s="272" t="s">
        <v>12284</v>
      </c>
      <c r="D3563" s="55" t="s">
        <v>12285</v>
      </c>
      <c r="E3563" s="49" t="s">
        <v>223</v>
      </c>
      <c r="F3563" s="49" t="s">
        <v>29</v>
      </c>
      <c r="G3563" s="49" t="s">
        <v>37</v>
      </c>
      <c r="H3563" s="49"/>
      <c r="I3563" s="49" t="s">
        <v>38</v>
      </c>
      <c r="J3563" s="49">
        <v>184.0</v>
      </c>
      <c r="K3563" s="49"/>
      <c r="L3563" s="49" t="s">
        <v>619</v>
      </c>
      <c r="M3563" s="49" t="s">
        <v>54</v>
      </c>
      <c r="N3563" s="49">
        <v>1982.0</v>
      </c>
      <c r="O3563" s="49" t="s">
        <v>388</v>
      </c>
      <c r="P3563" s="49">
        <v>5.0</v>
      </c>
      <c r="Q3563" s="56"/>
      <c r="R3563" s="288"/>
      <c r="S3563" s="34"/>
      <c r="T3563" s="34"/>
      <c r="U3563" s="34"/>
      <c r="V3563" s="34"/>
      <c r="W3563" s="34"/>
      <c r="X3563" s="34"/>
      <c r="Y3563" s="284"/>
      <c r="Z3563" s="284"/>
      <c r="AA3563" s="284"/>
      <c r="AB3563" s="284"/>
      <c r="AC3563" s="284"/>
      <c r="AD3563" s="284"/>
      <c r="AE3563" s="284"/>
      <c r="AF3563" s="284"/>
      <c r="AG3563" s="284"/>
      <c r="AH3563" s="284"/>
      <c r="AI3563" s="284"/>
      <c r="AJ3563" s="284"/>
      <c r="AK3563" s="284"/>
      <c r="AL3563" s="284"/>
    </row>
    <row r="3564" ht="15.75" customHeight="1">
      <c r="A3564" s="27">
        <f t="shared" si="25"/>
        <v>4387</v>
      </c>
      <c r="B3564" s="158" t="s">
        <v>31</v>
      </c>
      <c r="C3564" s="204" t="s">
        <v>12286</v>
      </c>
      <c r="D3564" s="160" t="s">
        <v>12287</v>
      </c>
      <c r="E3564" s="158" t="s">
        <v>223</v>
      </c>
      <c r="F3564" s="158" t="s">
        <v>29</v>
      </c>
      <c r="G3564" s="158" t="s">
        <v>37</v>
      </c>
      <c r="H3564" s="158"/>
      <c r="I3564" s="158" t="s">
        <v>38</v>
      </c>
      <c r="J3564" s="158">
        <v>332.0</v>
      </c>
      <c r="K3564" s="158"/>
      <c r="L3564" s="158" t="s">
        <v>12288</v>
      </c>
      <c r="M3564" s="158" t="s">
        <v>54</v>
      </c>
      <c r="N3564" s="158">
        <v>1973.0</v>
      </c>
      <c r="O3564" s="158" t="s">
        <v>388</v>
      </c>
      <c r="P3564" s="158">
        <v>1.0</v>
      </c>
      <c r="Q3564" s="162"/>
      <c r="R3564" s="289"/>
      <c r="S3564" s="34"/>
      <c r="T3564" s="34"/>
      <c r="U3564" s="34"/>
      <c r="V3564" s="34"/>
      <c r="W3564" s="34"/>
      <c r="X3564" s="34"/>
      <c r="Y3564" s="284"/>
      <c r="Z3564" s="284"/>
      <c r="AA3564" s="284"/>
      <c r="AB3564" s="284"/>
      <c r="AC3564" s="284"/>
      <c r="AD3564" s="284"/>
      <c r="AE3564" s="284"/>
      <c r="AF3564" s="284"/>
      <c r="AG3564" s="284"/>
      <c r="AH3564" s="284"/>
      <c r="AI3564" s="284"/>
      <c r="AJ3564" s="284"/>
      <c r="AK3564" s="284"/>
      <c r="AL3564" s="284"/>
    </row>
    <row r="3565" ht="15.75" customHeight="1">
      <c r="A3565" s="27">
        <f t="shared" si="25"/>
        <v>4388</v>
      </c>
      <c r="B3565" s="49" t="s">
        <v>31</v>
      </c>
      <c r="C3565" s="272" t="s">
        <v>12289</v>
      </c>
      <c r="D3565" s="55" t="s">
        <v>12290</v>
      </c>
      <c r="E3565" s="49"/>
      <c r="F3565" s="49"/>
      <c r="G3565" s="49" t="s">
        <v>12291</v>
      </c>
      <c r="H3565" s="49"/>
      <c r="I3565" s="49" t="s">
        <v>38</v>
      </c>
      <c r="J3565" s="49">
        <v>32.0</v>
      </c>
      <c r="K3565" s="49"/>
      <c r="L3565" s="49" t="s">
        <v>31</v>
      </c>
      <c r="M3565" s="49" t="s">
        <v>12292</v>
      </c>
      <c r="N3565" s="49">
        <v>1983.0</v>
      </c>
      <c r="O3565" s="49" t="s">
        <v>388</v>
      </c>
      <c r="P3565" s="49">
        <v>1.0</v>
      </c>
      <c r="Q3565" s="56"/>
      <c r="R3565" s="288"/>
      <c r="S3565" s="34"/>
      <c r="T3565" s="34"/>
      <c r="U3565" s="34"/>
      <c r="V3565" s="34"/>
      <c r="W3565" s="34"/>
      <c r="X3565" s="34"/>
      <c r="Y3565" s="284"/>
      <c r="Z3565" s="284"/>
      <c r="AA3565" s="284"/>
      <c r="AB3565" s="284"/>
      <c r="AC3565" s="284"/>
      <c r="AD3565" s="284"/>
      <c r="AE3565" s="284"/>
      <c r="AF3565" s="284"/>
      <c r="AG3565" s="284"/>
      <c r="AH3565" s="284"/>
      <c r="AI3565" s="284"/>
      <c r="AJ3565" s="284"/>
      <c r="AK3565" s="284"/>
      <c r="AL3565" s="284"/>
    </row>
    <row r="3566" ht="15.75" customHeight="1">
      <c r="A3566" s="27">
        <f t="shared" si="25"/>
        <v>4389</v>
      </c>
      <c r="B3566" s="49" t="s">
        <v>12293</v>
      </c>
      <c r="C3566" s="272" t="s">
        <v>9994</v>
      </c>
      <c r="D3566" s="55" t="s">
        <v>12294</v>
      </c>
      <c r="E3566" s="49" t="s">
        <v>302</v>
      </c>
      <c r="F3566" s="49" t="s">
        <v>29</v>
      </c>
      <c r="G3566" s="49" t="s">
        <v>30</v>
      </c>
      <c r="H3566" s="49"/>
      <c r="I3566" s="49" t="s">
        <v>30</v>
      </c>
      <c r="J3566" s="49">
        <v>842.0</v>
      </c>
      <c r="K3566" s="49"/>
      <c r="L3566" s="49" t="s">
        <v>9996</v>
      </c>
      <c r="M3566" s="49" t="s">
        <v>151</v>
      </c>
      <c r="N3566" s="49">
        <v>2015.0</v>
      </c>
      <c r="O3566" s="49" t="s">
        <v>388</v>
      </c>
      <c r="P3566" s="49">
        <v>1.0</v>
      </c>
      <c r="Q3566" s="56">
        <v>1.0</v>
      </c>
      <c r="R3566" s="288"/>
      <c r="S3566" s="34"/>
      <c r="T3566" s="34"/>
      <c r="U3566" s="34"/>
      <c r="V3566" s="34"/>
      <c r="W3566" s="34"/>
      <c r="X3566" s="34"/>
      <c r="Y3566" s="284"/>
      <c r="Z3566" s="284"/>
      <c r="AA3566" s="284"/>
      <c r="AB3566" s="284"/>
      <c r="AC3566" s="284"/>
      <c r="AD3566" s="284"/>
      <c r="AE3566" s="284"/>
      <c r="AF3566" s="284"/>
      <c r="AG3566" s="284"/>
      <c r="AH3566" s="284"/>
      <c r="AI3566" s="284"/>
      <c r="AJ3566" s="284"/>
      <c r="AK3566" s="284"/>
      <c r="AL3566" s="284"/>
    </row>
    <row r="3567" ht="15.75" customHeight="1">
      <c r="A3567" s="27">
        <f t="shared" si="25"/>
        <v>4390</v>
      </c>
      <c r="B3567" s="49" t="s">
        <v>9997</v>
      </c>
      <c r="C3567" s="272" t="s">
        <v>12295</v>
      </c>
      <c r="D3567" s="55" t="s">
        <v>12296</v>
      </c>
      <c r="E3567" s="49" t="s">
        <v>144</v>
      </c>
      <c r="F3567" s="49" t="s">
        <v>29</v>
      </c>
      <c r="G3567" s="49" t="s">
        <v>30</v>
      </c>
      <c r="H3567" s="49"/>
      <c r="I3567" s="49" t="s">
        <v>30</v>
      </c>
      <c r="J3567" s="49">
        <f>331+9</f>
        <v>340</v>
      </c>
      <c r="K3567" s="49"/>
      <c r="L3567" s="49" t="s">
        <v>303</v>
      </c>
      <c r="M3567" s="49" t="s">
        <v>3109</v>
      </c>
      <c r="N3567" s="49">
        <v>1986.0</v>
      </c>
      <c r="O3567" s="49" t="s">
        <v>388</v>
      </c>
      <c r="P3567" s="49">
        <v>1.0</v>
      </c>
      <c r="Q3567" s="56"/>
      <c r="R3567" s="288">
        <v>1.0</v>
      </c>
      <c r="S3567" s="34"/>
      <c r="T3567" s="34"/>
      <c r="U3567" s="34"/>
      <c r="V3567" s="34"/>
      <c r="W3567" s="34"/>
      <c r="X3567" s="34"/>
      <c r="Y3567" s="284"/>
      <c r="Z3567" s="284"/>
      <c r="AA3567" s="284"/>
      <c r="AB3567" s="284"/>
      <c r="AC3567" s="284"/>
      <c r="AD3567" s="284"/>
      <c r="AE3567" s="284"/>
      <c r="AF3567" s="284"/>
      <c r="AG3567" s="284"/>
      <c r="AH3567" s="284"/>
      <c r="AI3567" s="284"/>
      <c r="AJ3567" s="284"/>
      <c r="AK3567" s="284"/>
      <c r="AL3567" s="284"/>
    </row>
    <row r="3568" ht="15.75" customHeight="1">
      <c r="A3568" s="27">
        <f t="shared" si="25"/>
        <v>4391</v>
      </c>
      <c r="B3568" s="49" t="s">
        <v>12221</v>
      </c>
      <c r="C3568" s="272" t="s">
        <v>12295</v>
      </c>
      <c r="D3568" s="55" t="s">
        <v>12297</v>
      </c>
      <c r="E3568" s="49" t="s">
        <v>144</v>
      </c>
      <c r="F3568" s="49" t="s">
        <v>29</v>
      </c>
      <c r="G3568" s="49" t="s">
        <v>30</v>
      </c>
      <c r="H3568" s="49"/>
      <c r="I3568" s="49" t="s">
        <v>30</v>
      </c>
      <c r="J3568" s="49">
        <f>275+11</f>
        <v>286</v>
      </c>
      <c r="K3568" s="49"/>
      <c r="L3568" s="49" t="s">
        <v>303</v>
      </c>
      <c r="M3568" s="49" t="s">
        <v>3109</v>
      </c>
      <c r="N3568" s="49">
        <v>1983.0</v>
      </c>
      <c r="O3568" s="49" t="s">
        <v>388</v>
      </c>
      <c r="P3568" s="49">
        <v>1.0</v>
      </c>
      <c r="Q3568" s="56"/>
      <c r="R3568" s="288">
        <v>1.0</v>
      </c>
      <c r="S3568" s="34"/>
      <c r="T3568" s="34"/>
      <c r="U3568" s="34"/>
      <c r="V3568" s="34"/>
      <c r="W3568" s="34"/>
      <c r="X3568" s="34"/>
      <c r="Y3568" s="284"/>
      <c r="Z3568" s="284"/>
      <c r="AA3568" s="284"/>
      <c r="AB3568" s="284"/>
      <c r="AC3568" s="284"/>
      <c r="AD3568" s="284"/>
      <c r="AE3568" s="284"/>
      <c r="AF3568" s="284"/>
      <c r="AG3568" s="284"/>
      <c r="AH3568" s="284"/>
      <c r="AI3568" s="284"/>
      <c r="AJ3568" s="284"/>
      <c r="AK3568" s="284"/>
      <c r="AL3568" s="284"/>
    </row>
    <row r="3569" ht="15.75" customHeight="1">
      <c r="A3569" s="27">
        <f t="shared" si="25"/>
        <v>4392</v>
      </c>
      <c r="B3569" s="49" t="s">
        <v>790</v>
      </c>
      <c r="C3569" s="272" t="s">
        <v>12298</v>
      </c>
      <c r="D3569" s="55" t="s">
        <v>12299</v>
      </c>
      <c r="E3569" s="49" t="s">
        <v>28</v>
      </c>
      <c r="F3569" s="49" t="s">
        <v>29</v>
      </c>
      <c r="G3569" s="49" t="s">
        <v>38</v>
      </c>
      <c r="H3569" s="49"/>
      <c r="I3569" s="49" t="s">
        <v>38</v>
      </c>
      <c r="J3569" s="49">
        <v>174.0</v>
      </c>
      <c r="K3569" s="49"/>
      <c r="L3569" s="49" t="s">
        <v>9877</v>
      </c>
      <c r="M3569" s="49" t="s">
        <v>12233</v>
      </c>
      <c r="N3569" s="49">
        <v>1974.0</v>
      </c>
      <c r="O3569" s="49" t="s">
        <v>388</v>
      </c>
      <c r="P3569" s="49">
        <v>1.0</v>
      </c>
      <c r="Q3569" s="56">
        <v>1.0</v>
      </c>
      <c r="R3569" s="288"/>
      <c r="S3569" s="34"/>
      <c r="T3569" s="34"/>
      <c r="U3569" s="34"/>
      <c r="V3569" s="34"/>
      <c r="W3569" s="34"/>
      <c r="X3569" s="34"/>
      <c r="Y3569" s="284"/>
      <c r="Z3569" s="284"/>
      <c r="AA3569" s="284"/>
      <c r="AB3569" s="284"/>
      <c r="AC3569" s="284"/>
      <c r="AD3569" s="284"/>
      <c r="AE3569" s="284"/>
      <c r="AF3569" s="284"/>
      <c r="AG3569" s="284"/>
      <c r="AH3569" s="284"/>
      <c r="AI3569" s="284"/>
      <c r="AJ3569" s="284"/>
      <c r="AK3569" s="284"/>
      <c r="AL3569" s="284"/>
    </row>
    <row r="3570" ht="15.75" customHeight="1">
      <c r="A3570" s="27">
        <f t="shared" si="25"/>
        <v>4393</v>
      </c>
      <c r="B3570" s="49" t="s">
        <v>31</v>
      </c>
      <c r="C3570" s="272" t="s">
        <v>12300</v>
      </c>
      <c r="D3570" s="55" t="s">
        <v>749</v>
      </c>
      <c r="E3570" s="49" t="s">
        <v>28</v>
      </c>
      <c r="F3570" s="49" t="s">
        <v>29</v>
      </c>
      <c r="G3570" s="49" t="s">
        <v>37</v>
      </c>
      <c r="H3570" s="49"/>
      <c r="I3570" s="49" t="s">
        <v>38</v>
      </c>
      <c r="J3570" s="49">
        <v>430.0</v>
      </c>
      <c r="K3570" s="49"/>
      <c r="L3570" s="49" t="s">
        <v>12301</v>
      </c>
      <c r="M3570" s="49" t="s">
        <v>524</v>
      </c>
      <c r="N3570" s="49">
        <v>1974.0</v>
      </c>
      <c r="O3570" s="49" t="s">
        <v>388</v>
      </c>
      <c r="P3570" s="49">
        <v>1.0</v>
      </c>
      <c r="Q3570" s="56"/>
      <c r="R3570" s="288"/>
      <c r="S3570" s="34"/>
      <c r="T3570" s="34"/>
      <c r="U3570" s="34"/>
      <c r="V3570" s="34"/>
      <c r="W3570" s="34"/>
      <c r="X3570" s="34"/>
      <c r="Y3570" s="284"/>
      <c r="Z3570" s="284"/>
      <c r="AA3570" s="284"/>
      <c r="AB3570" s="284"/>
      <c r="AC3570" s="284"/>
      <c r="AD3570" s="284"/>
      <c r="AE3570" s="284"/>
      <c r="AF3570" s="284"/>
      <c r="AG3570" s="284"/>
      <c r="AH3570" s="284"/>
      <c r="AI3570" s="284"/>
      <c r="AJ3570" s="284"/>
      <c r="AK3570" s="284"/>
      <c r="AL3570" s="284"/>
    </row>
    <row r="3571" ht="15.75" customHeight="1">
      <c r="A3571" s="27">
        <f t="shared" si="25"/>
        <v>4394</v>
      </c>
      <c r="B3571" s="49" t="s">
        <v>10058</v>
      </c>
      <c r="C3571" s="50" t="s">
        <v>12302</v>
      </c>
      <c r="D3571" s="55" t="s">
        <v>12303</v>
      </c>
      <c r="E3571" s="49"/>
      <c r="F3571" s="49" t="s">
        <v>29</v>
      </c>
      <c r="G3571" s="49" t="s">
        <v>37</v>
      </c>
      <c r="H3571" s="49"/>
      <c r="I3571" s="49" t="s">
        <v>38</v>
      </c>
      <c r="J3571" s="49">
        <v>276.0</v>
      </c>
      <c r="K3571" s="49"/>
      <c r="L3571" s="49" t="s">
        <v>2089</v>
      </c>
      <c r="M3571" s="49" t="s">
        <v>230</v>
      </c>
      <c r="N3571" s="49">
        <v>2008.0</v>
      </c>
      <c r="O3571" s="49" t="s">
        <v>388</v>
      </c>
      <c r="P3571" s="49">
        <v>1.0</v>
      </c>
      <c r="Q3571" s="56">
        <v>1.0</v>
      </c>
      <c r="R3571" s="288"/>
      <c r="S3571" s="34"/>
      <c r="T3571" s="34"/>
      <c r="U3571" s="34"/>
      <c r="V3571" s="34"/>
      <c r="W3571" s="34"/>
      <c r="X3571" s="34"/>
      <c r="Y3571" s="284"/>
      <c r="Z3571" s="284"/>
      <c r="AA3571" s="284"/>
      <c r="AB3571" s="284"/>
      <c r="AC3571" s="284"/>
      <c r="AD3571" s="284"/>
      <c r="AE3571" s="284"/>
      <c r="AF3571" s="284"/>
      <c r="AG3571" s="284"/>
      <c r="AH3571" s="284"/>
      <c r="AI3571" s="284"/>
      <c r="AJ3571" s="284"/>
      <c r="AK3571" s="284"/>
      <c r="AL3571" s="284"/>
    </row>
    <row r="3572" ht="15.75" customHeight="1">
      <c r="A3572" s="27">
        <f t="shared" si="25"/>
        <v>4395</v>
      </c>
      <c r="B3572" s="49" t="s">
        <v>31</v>
      </c>
      <c r="C3572" s="272" t="s">
        <v>12304</v>
      </c>
      <c r="D3572" s="55" t="s">
        <v>12305</v>
      </c>
      <c r="E3572" s="49" t="s">
        <v>28</v>
      </c>
      <c r="F3572" s="49" t="s">
        <v>29</v>
      </c>
      <c r="G3572" s="49" t="s">
        <v>38</v>
      </c>
      <c r="H3572" s="49"/>
      <c r="I3572" s="49" t="s">
        <v>38</v>
      </c>
      <c r="J3572" s="49">
        <v>151.0</v>
      </c>
      <c r="K3572" s="49"/>
      <c r="L3572" s="49" t="s">
        <v>626</v>
      </c>
      <c r="M3572" s="49" t="s">
        <v>12306</v>
      </c>
      <c r="N3572" s="49">
        <v>1963.0</v>
      </c>
      <c r="O3572" s="49" t="s">
        <v>388</v>
      </c>
      <c r="P3572" s="49">
        <v>1.0</v>
      </c>
      <c r="Q3572" s="56"/>
      <c r="R3572" s="288"/>
      <c r="S3572" s="34"/>
      <c r="T3572" s="34"/>
      <c r="U3572" s="34"/>
      <c r="V3572" s="34"/>
      <c r="W3572" s="34"/>
      <c r="X3572" s="34"/>
      <c r="Y3572" s="284"/>
      <c r="Z3572" s="284"/>
      <c r="AA3572" s="284"/>
      <c r="AB3572" s="284"/>
      <c r="AC3572" s="284"/>
      <c r="AD3572" s="284"/>
      <c r="AE3572" s="284"/>
      <c r="AF3572" s="284"/>
      <c r="AG3572" s="284"/>
      <c r="AH3572" s="284"/>
      <c r="AI3572" s="284"/>
      <c r="AJ3572" s="284"/>
      <c r="AK3572" s="284"/>
      <c r="AL3572" s="284"/>
    </row>
    <row r="3573" ht="15.75" customHeight="1">
      <c r="A3573" s="27">
        <f t="shared" si="25"/>
        <v>4396</v>
      </c>
      <c r="B3573" s="49" t="s">
        <v>31</v>
      </c>
      <c r="C3573" s="50" t="s">
        <v>12307</v>
      </c>
      <c r="D3573" s="51" t="s">
        <v>12308</v>
      </c>
      <c r="E3573" s="49" t="s">
        <v>28</v>
      </c>
      <c r="F3573" s="49" t="s">
        <v>29</v>
      </c>
      <c r="G3573" s="49" t="s">
        <v>38</v>
      </c>
      <c r="H3573" s="49"/>
      <c r="I3573" s="49" t="s">
        <v>38</v>
      </c>
      <c r="J3573" s="49">
        <v>315.0</v>
      </c>
      <c r="K3573" s="49"/>
      <c r="L3573" s="52" t="s">
        <v>12309</v>
      </c>
      <c r="M3573" s="52" t="s">
        <v>213</v>
      </c>
      <c r="N3573" s="49">
        <v>1979.0</v>
      </c>
      <c r="O3573" s="49" t="s">
        <v>388</v>
      </c>
      <c r="P3573" s="49">
        <v>1.0</v>
      </c>
      <c r="Q3573" s="56"/>
      <c r="R3573" s="288"/>
      <c r="S3573" s="34"/>
      <c r="T3573" s="34"/>
      <c r="U3573" s="34"/>
      <c r="V3573" s="34"/>
      <c r="W3573" s="34"/>
      <c r="X3573" s="34"/>
      <c r="Y3573" s="59"/>
      <c r="Z3573" s="59"/>
      <c r="AA3573" s="59"/>
      <c r="AB3573" s="59"/>
      <c r="AC3573" s="59"/>
      <c r="AD3573" s="59"/>
      <c r="AE3573" s="59"/>
      <c r="AF3573" s="59"/>
      <c r="AG3573" s="59"/>
      <c r="AH3573" s="59"/>
      <c r="AI3573" s="59"/>
      <c r="AJ3573" s="59"/>
      <c r="AK3573" s="59"/>
      <c r="AL3573" s="59"/>
    </row>
    <row r="3574" ht="15.75" customHeight="1">
      <c r="A3574" s="27">
        <f t="shared" si="25"/>
        <v>4397</v>
      </c>
      <c r="B3574" s="49" t="s">
        <v>10053</v>
      </c>
      <c r="C3574" s="272" t="s">
        <v>10054</v>
      </c>
      <c r="D3574" s="55" t="s">
        <v>12310</v>
      </c>
      <c r="E3574" s="49" t="s">
        <v>144</v>
      </c>
      <c r="F3574" s="49" t="s">
        <v>29</v>
      </c>
      <c r="G3574" s="49" t="s">
        <v>30</v>
      </c>
      <c r="H3574" s="49"/>
      <c r="I3574" s="49" t="s">
        <v>30</v>
      </c>
      <c r="J3574" s="49">
        <v>224.0</v>
      </c>
      <c r="K3574" s="49"/>
      <c r="L3574" s="49" t="s">
        <v>5278</v>
      </c>
      <c r="M3574" s="49" t="s">
        <v>8310</v>
      </c>
      <c r="N3574" s="49">
        <v>2015.0</v>
      </c>
      <c r="O3574" s="49" t="s">
        <v>388</v>
      </c>
      <c r="P3574" s="49">
        <v>1.0</v>
      </c>
      <c r="Q3574" s="56">
        <v>1.0</v>
      </c>
      <c r="R3574" s="288"/>
      <c r="S3574" s="34"/>
      <c r="T3574" s="34"/>
      <c r="U3574" s="34"/>
      <c r="V3574" s="34"/>
      <c r="W3574" s="34"/>
      <c r="X3574" s="34"/>
      <c r="Y3574" s="284"/>
      <c r="Z3574" s="284"/>
      <c r="AA3574" s="284"/>
      <c r="AB3574" s="284"/>
      <c r="AC3574" s="284"/>
      <c r="AD3574" s="284"/>
      <c r="AE3574" s="284"/>
      <c r="AF3574" s="284"/>
      <c r="AG3574" s="284"/>
      <c r="AH3574" s="284"/>
      <c r="AI3574" s="284"/>
      <c r="AJ3574" s="284"/>
      <c r="AK3574" s="284"/>
      <c r="AL3574" s="284"/>
    </row>
    <row r="3575" ht="15.75" customHeight="1">
      <c r="A3575" s="27">
        <f t="shared" si="25"/>
        <v>4398</v>
      </c>
      <c r="B3575" s="63" t="s">
        <v>12311</v>
      </c>
      <c r="C3575" s="275" t="s">
        <v>12312</v>
      </c>
      <c r="D3575" s="65" t="s">
        <v>12313</v>
      </c>
      <c r="E3575" s="63"/>
      <c r="F3575" s="63" t="s">
        <v>29</v>
      </c>
      <c r="G3575" s="63" t="s">
        <v>37</v>
      </c>
      <c r="H3575" s="63"/>
      <c r="I3575" s="63" t="s">
        <v>38</v>
      </c>
      <c r="J3575" s="63">
        <v>166.0</v>
      </c>
      <c r="K3575" s="63"/>
      <c r="L3575" s="63" t="s">
        <v>12314</v>
      </c>
      <c r="M3575" s="63" t="s">
        <v>230</v>
      </c>
      <c r="N3575" s="63">
        <v>2012.0</v>
      </c>
      <c r="O3575" s="63" t="s">
        <v>388</v>
      </c>
      <c r="P3575" s="63">
        <v>1.0</v>
      </c>
      <c r="Q3575" s="276"/>
      <c r="R3575" s="67"/>
      <c r="S3575" s="34"/>
      <c r="T3575" s="34"/>
      <c r="U3575" s="34"/>
      <c r="V3575" s="34"/>
      <c r="W3575" s="34"/>
      <c r="X3575" s="34"/>
      <c r="Y3575" s="59"/>
      <c r="Z3575" s="59"/>
      <c r="AA3575" s="59"/>
      <c r="AB3575" s="59"/>
      <c r="AC3575" s="59"/>
      <c r="AD3575" s="59"/>
      <c r="AE3575" s="59"/>
      <c r="AF3575" s="59"/>
      <c r="AG3575" s="59"/>
      <c r="AH3575" s="59"/>
      <c r="AI3575" s="59"/>
      <c r="AJ3575" s="59"/>
      <c r="AK3575" s="59"/>
      <c r="AL3575" s="59"/>
    </row>
    <row r="3576" ht="15.75" customHeight="1">
      <c r="A3576" s="27">
        <f t="shared" si="25"/>
        <v>4399</v>
      </c>
      <c r="B3576" s="63" t="s">
        <v>12315</v>
      </c>
      <c r="C3576" s="275" t="s">
        <v>12316</v>
      </c>
      <c r="D3576" s="65" t="s">
        <v>12313</v>
      </c>
      <c r="E3576" s="63" t="s">
        <v>144</v>
      </c>
      <c r="F3576" s="63" t="s">
        <v>29</v>
      </c>
      <c r="G3576" s="63" t="s">
        <v>30</v>
      </c>
      <c r="H3576" s="63"/>
      <c r="I3576" s="63" t="s">
        <v>30</v>
      </c>
      <c r="J3576" s="63">
        <f>166+10</f>
        <v>176</v>
      </c>
      <c r="K3576" s="63"/>
      <c r="L3576" s="63" t="s">
        <v>12314</v>
      </c>
      <c r="M3576" s="63" t="s">
        <v>9719</v>
      </c>
      <c r="N3576" s="63">
        <v>2012.0</v>
      </c>
      <c r="O3576" s="63" t="s">
        <v>388</v>
      </c>
      <c r="P3576" s="63">
        <v>1.0</v>
      </c>
      <c r="Q3576" s="276"/>
      <c r="R3576" s="67"/>
      <c r="S3576" s="34"/>
      <c r="T3576" s="34"/>
      <c r="U3576" s="34"/>
      <c r="V3576" s="34"/>
      <c r="W3576" s="34"/>
      <c r="X3576" s="34"/>
      <c r="Y3576" s="284"/>
      <c r="Z3576" s="284"/>
      <c r="AA3576" s="284"/>
      <c r="AB3576" s="284"/>
      <c r="AC3576" s="284"/>
      <c r="AD3576" s="284"/>
      <c r="AE3576" s="284"/>
      <c r="AF3576" s="284"/>
      <c r="AG3576" s="284"/>
      <c r="AH3576" s="284"/>
      <c r="AI3576" s="284"/>
      <c r="AJ3576" s="284"/>
      <c r="AK3576" s="284"/>
      <c r="AL3576" s="284"/>
    </row>
    <row r="3577" ht="15.75" customHeight="1">
      <c r="A3577" s="27">
        <f t="shared" si="25"/>
        <v>4400</v>
      </c>
      <c r="B3577" s="63" t="s">
        <v>12317</v>
      </c>
      <c r="C3577" s="275" t="s">
        <v>12318</v>
      </c>
      <c r="D3577" s="65" t="s">
        <v>12319</v>
      </c>
      <c r="E3577" s="63" t="s">
        <v>144</v>
      </c>
      <c r="F3577" s="63" t="s">
        <v>29</v>
      </c>
      <c r="G3577" s="63" t="s">
        <v>37</v>
      </c>
      <c r="H3577" s="63"/>
      <c r="I3577" s="63" t="s">
        <v>38</v>
      </c>
      <c r="J3577" s="63">
        <v>522.0</v>
      </c>
      <c r="K3577" s="63"/>
      <c r="L3577" s="63" t="s">
        <v>12320</v>
      </c>
      <c r="M3577" s="63" t="s">
        <v>230</v>
      </c>
      <c r="N3577" s="63">
        <v>2000.0</v>
      </c>
      <c r="O3577" s="63" t="s">
        <v>388</v>
      </c>
      <c r="P3577" s="63">
        <v>1.0</v>
      </c>
      <c r="Q3577" s="276"/>
      <c r="R3577" s="67"/>
      <c r="S3577" s="34"/>
      <c r="T3577" s="34"/>
      <c r="U3577" s="34"/>
      <c r="V3577" s="34"/>
      <c r="W3577" s="34"/>
      <c r="X3577" s="34"/>
      <c r="Y3577" s="59"/>
      <c r="Z3577" s="59"/>
      <c r="AA3577" s="59"/>
      <c r="AB3577" s="59"/>
      <c r="AC3577" s="59"/>
      <c r="AD3577" s="59"/>
      <c r="AE3577" s="59"/>
      <c r="AF3577" s="59"/>
      <c r="AG3577" s="59"/>
      <c r="AH3577" s="59"/>
      <c r="AI3577" s="59"/>
      <c r="AJ3577" s="59"/>
      <c r="AK3577" s="59"/>
      <c r="AL3577" s="59"/>
    </row>
    <row r="3578" ht="15.75" customHeight="1">
      <c r="A3578" s="27">
        <f t="shared" si="25"/>
        <v>4401</v>
      </c>
      <c r="B3578" s="63" t="s">
        <v>12321</v>
      </c>
      <c r="C3578" s="275" t="s">
        <v>12322</v>
      </c>
      <c r="D3578" s="65" t="s">
        <v>12323</v>
      </c>
      <c r="E3578" s="63" t="s">
        <v>12324</v>
      </c>
      <c r="F3578" s="63" t="s">
        <v>29</v>
      </c>
      <c r="G3578" s="63" t="s">
        <v>37</v>
      </c>
      <c r="H3578" s="63"/>
      <c r="I3578" s="63" t="s">
        <v>38</v>
      </c>
      <c r="J3578" s="63">
        <f>522+29</f>
        <v>551</v>
      </c>
      <c r="K3578" s="63"/>
      <c r="L3578" s="63" t="s">
        <v>12320</v>
      </c>
      <c r="M3578" s="63" t="s">
        <v>7506</v>
      </c>
      <c r="N3578" s="63">
        <v>1965.0</v>
      </c>
      <c r="O3578" s="63" t="s">
        <v>388</v>
      </c>
      <c r="P3578" s="63">
        <v>2.0</v>
      </c>
      <c r="Q3578" s="276"/>
      <c r="R3578" s="67"/>
      <c r="S3578" s="34"/>
      <c r="T3578" s="34"/>
      <c r="U3578" s="34"/>
      <c r="V3578" s="34"/>
      <c r="W3578" s="34"/>
      <c r="X3578" s="34"/>
      <c r="Y3578" s="284"/>
      <c r="Z3578" s="284"/>
      <c r="AA3578" s="284"/>
      <c r="AB3578" s="284"/>
      <c r="AC3578" s="284"/>
      <c r="AD3578" s="284"/>
      <c r="AE3578" s="284"/>
      <c r="AF3578" s="284"/>
      <c r="AG3578" s="284"/>
      <c r="AH3578" s="284"/>
      <c r="AI3578" s="284"/>
      <c r="AJ3578" s="284"/>
      <c r="AK3578" s="284"/>
      <c r="AL3578" s="284"/>
    </row>
    <row r="3579" ht="15.75" customHeight="1">
      <c r="A3579" s="27">
        <f t="shared" si="25"/>
        <v>4402</v>
      </c>
      <c r="B3579" s="49" t="s">
        <v>11353</v>
      </c>
      <c r="C3579" s="272" t="s">
        <v>12325</v>
      </c>
      <c r="D3579" s="55" t="s">
        <v>12326</v>
      </c>
      <c r="E3579" s="49"/>
      <c r="F3579" s="49" t="s">
        <v>29</v>
      </c>
      <c r="G3579" s="49" t="s">
        <v>30</v>
      </c>
      <c r="H3579" s="49"/>
      <c r="I3579" s="49" t="s">
        <v>30</v>
      </c>
      <c r="J3579" s="49">
        <v>71.0</v>
      </c>
      <c r="K3579" s="49"/>
      <c r="L3579" s="49" t="s">
        <v>12151</v>
      </c>
      <c r="M3579" s="49" t="s">
        <v>151</v>
      </c>
      <c r="N3579" s="49">
        <v>2002.0</v>
      </c>
      <c r="O3579" s="49" t="s">
        <v>388</v>
      </c>
      <c r="P3579" s="49">
        <v>1.0</v>
      </c>
      <c r="Q3579" s="56"/>
      <c r="R3579" s="54"/>
      <c r="S3579" s="34"/>
      <c r="T3579" s="34"/>
      <c r="U3579" s="34"/>
      <c r="V3579" s="34"/>
      <c r="W3579" s="34"/>
      <c r="X3579" s="34"/>
      <c r="Y3579" s="59"/>
      <c r="Z3579" s="59"/>
      <c r="AA3579" s="59"/>
      <c r="AB3579" s="59"/>
      <c r="AC3579" s="59"/>
      <c r="AD3579" s="59"/>
      <c r="AE3579" s="59"/>
      <c r="AF3579" s="59"/>
      <c r="AG3579" s="59"/>
      <c r="AH3579" s="59"/>
      <c r="AI3579" s="59"/>
      <c r="AJ3579" s="59"/>
      <c r="AK3579" s="59"/>
      <c r="AL3579" s="59"/>
    </row>
    <row r="3580" ht="15.75" customHeight="1">
      <c r="A3580" s="27">
        <f t="shared" si="25"/>
        <v>4403</v>
      </c>
      <c r="B3580" s="49" t="s">
        <v>12327</v>
      </c>
      <c r="C3580" s="272" t="s">
        <v>12328</v>
      </c>
      <c r="D3580" s="55" t="s">
        <v>12329</v>
      </c>
      <c r="E3580" s="49" t="s">
        <v>31</v>
      </c>
      <c r="F3580" s="49" t="s">
        <v>29</v>
      </c>
      <c r="G3580" s="49" t="s">
        <v>30</v>
      </c>
      <c r="H3580" s="49"/>
      <c r="I3580" s="49" t="s">
        <v>30</v>
      </c>
      <c r="J3580" s="49">
        <v>512.0</v>
      </c>
      <c r="K3580" s="49"/>
      <c r="L3580" s="49" t="s">
        <v>12139</v>
      </c>
      <c r="M3580" s="49" t="s">
        <v>7060</v>
      </c>
      <c r="N3580" s="49">
        <v>2005.0</v>
      </c>
      <c r="O3580" s="49" t="s">
        <v>388</v>
      </c>
      <c r="P3580" s="49">
        <v>2.0</v>
      </c>
      <c r="Q3580" s="56"/>
      <c r="R3580" s="54"/>
      <c r="S3580" s="34"/>
      <c r="T3580" s="34"/>
      <c r="U3580" s="34"/>
      <c r="V3580" s="34"/>
      <c r="W3580" s="34"/>
      <c r="X3580" s="34"/>
      <c r="Y3580" s="59"/>
      <c r="Z3580" s="59"/>
      <c r="AA3580" s="59"/>
      <c r="AB3580" s="59"/>
      <c r="AC3580" s="59"/>
      <c r="AD3580" s="59"/>
      <c r="AE3580" s="59"/>
      <c r="AF3580" s="59"/>
      <c r="AG3580" s="59"/>
      <c r="AH3580" s="59"/>
      <c r="AI3580" s="59"/>
      <c r="AJ3580" s="59"/>
      <c r="AK3580" s="59"/>
      <c r="AL3580" s="59"/>
    </row>
    <row r="3581" ht="15.75" customHeight="1">
      <c r="A3581" s="27">
        <f t="shared" si="25"/>
        <v>4404</v>
      </c>
      <c r="B3581" s="49" t="s">
        <v>10572</v>
      </c>
      <c r="C3581" s="272" t="s">
        <v>12330</v>
      </c>
      <c r="D3581" s="55" t="s">
        <v>12331</v>
      </c>
      <c r="E3581" s="49" t="s">
        <v>28</v>
      </c>
      <c r="F3581" s="49" t="s">
        <v>29</v>
      </c>
      <c r="G3581" s="49" t="s">
        <v>37</v>
      </c>
      <c r="H3581" s="49"/>
      <c r="I3581" s="49" t="s">
        <v>38</v>
      </c>
      <c r="J3581" s="49">
        <v>571.0</v>
      </c>
      <c r="K3581" s="49"/>
      <c r="L3581" s="49" t="s">
        <v>12332</v>
      </c>
      <c r="M3581" s="49" t="s">
        <v>123</v>
      </c>
      <c r="N3581" s="49">
        <v>1992.0</v>
      </c>
      <c r="O3581" s="49" t="s">
        <v>388</v>
      </c>
      <c r="P3581" s="49">
        <v>1.0</v>
      </c>
      <c r="Q3581" s="56">
        <v>1.0</v>
      </c>
      <c r="R3581" s="54"/>
      <c r="S3581" s="34"/>
      <c r="T3581" s="34"/>
      <c r="U3581" s="34"/>
      <c r="V3581" s="34"/>
      <c r="W3581" s="34"/>
      <c r="X3581" s="34"/>
      <c r="Y3581" s="59"/>
      <c r="Z3581" s="59"/>
      <c r="AA3581" s="59"/>
      <c r="AB3581" s="59"/>
      <c r="AC3581" s="59"/>
      <c r="AD3581" s="59"/>
      <c r="AE3581" s="59"/>
      <c r="AF3581" s="59"/>
      <c r="AG3581" s="59"/>
      <c r="AH3581" s="59"/>
      <c r="AI3581" s="59"/>
      <c r="AJ3581" s="59"/>
      <c r="AK3581" s="59"/>
      <c r="AL3581" s="59"/>
    </row>
    <row r="3582" ht="15.75" customHeight="1">
      <c r="A3582" s="27">
        <f t="shared" si="25"/>
        <v>4405</v>
      </c>
      <c r="B3582" s="49" t="s">
        <v>12333</v>
      </c>
      <c r="C3582" s="272" t="s">
        <v>12334</v>
      </c>
      <c r="D3582" s="55" t="s">
        <v>12335</v>
      </c>
      <c r="E3582" s="49" t="s">
        <v>28</v>
      </c>
      <c r="F3582" s="49" t="s">
        <v>29</v>
      </c>
      <c r="G3582" s="49" t="s">
        <v>37</v>
      </c>
      <c r="H3582" s="49"/>
      <c r="I3582" s="49" t="s">
        <v>38</v>
      </c>
      <c r="J3582" s="49">
        <v>427.0</v>
      </c>
      <c r="K3582" s="49"/>
      <c r="L3582" s="49" t="s">
        <v>756</v>
      </c>
      <c r="M3582" s="49" t="s">
        <v>250</v>
      </c>
      <c r="N3582" s="49">
        <v>1987.0</v>
      </c>
      <c r="O3582" s="49" t="s">
        <v>388</v>
      </c>
      <c r="P3582" s="49">
        <v>1.0</v>
      </c>
      <c r="Q3582" s="56">
        <v>1.0</v>
      </c>
      <c r="R3582" s="54"/>
      <c r="S3582" s="34"/>
      <c r="T3582" s="34"/>
      <c r="U3582" s="34"/>
      <c r="V3582" s="34"/>
      <c r="W3582" s="34"/>
      <c r="X3582" s="34"/>
      <c r="Y3582" s="59"/>
      <c r="Z3582" s="59"/>
      <c r="AA3582" s="59"/>
      <c r="AB3582" s="59"/>
      <c r="AC3582" s="59"/>
      <c r="AD3582" s="59"/>
      <c r="AE3582" s="59"/>
      <c r="AF3582" s="59"/>
      <c r="AG3582" s="59"/>
      <c r="AH3582" s="59"/>
      <c r="AI3582" s="59"/>
      <c r="AJ3582" s="59"/>
      <c r="AK3582" s="59"/>
      <c r="AL3582" s="59"/>
    </row>
    <row r="3583" ht="15.75" customHeight="1">
      <c r="A3583" s="27">
        <f t="shared" si="25"/>
        <v>4406</v>
      </c>
      <c r="B3583" s="49" t="s">
        <v>31</v>
      </c>
      <c r="C3583" s="272" t="s">
        <v>12336</v>
      </c>
      <c r="D3583" s="55" t="s">
        <v>2587</v>
      </c>
      <c r="E3583" s="49" t="s">
        <v>28</v>
      </c>
      <c r="F3583" s="49" t="s">
        <v>29</v>
      </c>
      <c r="G3583" s="49" t="s">
        <v>30</v>
      </c>
      <c r="H3583" s="49"/>
      <c r="I3583" s="49" t="s">
        <v>38</v>
      </c>
      <c r="J3583" s="49">
        <v>175.0</v>
      </c>
      <c r="K3583" s="49"/>
      <c r="L3583" s="49" t="s">
        <v>12337</v>
      </c>
      <c r="M3583" s="49" t="s">
        <v>12338</v>
      </c>
      <c r="N3583" s="49">
        <v>1957.0</v>
      </c>
      <c r="O3583" s="49" t="s">
        <v>388</v>
      </c>
      <c r="P3583" s="49">
        <v>1.0</v>
      </c>
      <c r="Q3583" s="56"/>
      <c r="R3583" s="54"/>
      <c r="S3583" s="34"/>
      <c r="T3583" s="34"/>
      <c r="U3583" s="34"/>
      <c r="V3583" s="34"/>
      <c r="W3583" s="34"/>
      <c r="X3583" s="34"/>
      <c r="Y3583" s="59"/>
      <c r="Z3583" s="59"/>
      <c r="AA3583" s="59"/>
      <c r="AB3583" s="59"/>
      <c r="AC3583" s="59"/>
      <c r="AD3583" s="59"/>
      <c r="AE3583" s="59"/>
      <c r="AF3583" s="59"/>
      <c r="AG3583" s="59"/>
      <c r="AH3583" s="59"/>
      <c r="AI3583" s="59"/>
      <c r="AJ3583" s="59"/>
      <c r="AK3583" s="59"/>
      <c r="AL3583" s="59"/>
    </row>
    <row r="3584" ht="15.75" customHeight="1">
      <c r="A3584" s="27">
        <f t="shared" si="25"/>
        <v>4407</v>
      </c>
      <c r="B3584" s="49" t="s">
        <v>31</v>
      </c>
      <c r="C3584" s="272" t="s">
        <v>12339</v>
      </c>
      <c r="D3584" s="55" t="s">
        <v>12340</v>
      </c>
      <c r="E3584" s="49" t="s">
        <v>28</v>
      </c>
      <c r="F3584" s="49" t="s">
        <v>29</v>
      </c>
      <c r="G3584" s="49" t="s">
        <v>30</v>
      </c>
      <c r="H3584" s="49"/>
      <c r="I3584" s="49" t="s">
        <v>30</v>
      </c>
      <c r="J3584" s="49">
        <v>131.0</v>
      </c>
      <c r="K3584" s="49"/>
      <c r="L3584" s="49" t="s">
        <v>31</v>
      </c>
      <c r="M3584" s="49" t="s">
        <v>9290</v>
      </c>
      <c r="N3584" s="49">
        <v>2008.0</v>
      </c>
      <c r="O3584" s="49" t="s">
        <v>388</v>
      </c>
      <c r="P3584" s="49">
        <v>1.0</v>
      </c>
      <c r="Q3584" s="56"/>
      <c r="R3584" s="54"/>
      <c r="S3584" s="34"/>
      <c r="T3584" s="34"/>
      <c r="U3584" s="34"/>
      <c r="V3584" s="34"/>
      <c r="W3584" s="34"/>
      <c r="X3584" s="34"/>
      <c r="Y3584" s="59"/>
      <c r="Z3584" s="59"/>
      <c r="AA3584" s="59"/>
      <c r="AB3584" s="59"/>
      <c r="AC3584" s="59"/>
      <c r="AD3584" s="59"/>
      <c r="AE3584" s="59"/>
      <c r="AF3584" s="59"/>
      <c r="AG3584" s="59"/>
      <c r="AH3584" s="59"/>
      <c r="AI3584" s="59"/>
      <c r="AJ3584" s="59"/>
      <c r="AK3584" s="59"/>
      <c r="AL3584" s="59"/>
    </row>
    <row r="3585" ht="15.75" customHeight="1">
      <c r="A3585" s="27">
        <f t="shared" si="25"/>
        <v>4408</v>
      </c>
      <c r="B3585" s="63" t="s">
        <v>31</v>
      </c>
      <c r="C3585" s="275" t="s">
        <v>12341</v>
      </c>
      <c r="D3585" s="65" t="s">
        <v>12342</v>
      </c>
      <c r="E3585" s="63" t="s">
        <v>28</v>
      </c>
      <c r="F3585" s="63" t="s">
        <v>29</v>
      </c>
      <c r="G3585" s="63" t="s">
        <v>37</v>
      </c>
      <c r="H3585" s="63"/>
      <c r="I3585" s="63" t="s">
        <v>38</v>
      </c>
      <c r="J3585" s="63">
        <v>547.0</v>
      </c>
      <c r="K3585" s="63"/>
      <c r="L3585" s="63" t="s">
        <v>12343</v>
      </c>
      <c r="M3585" s="63" t="s">
        <v>365</v>
      </c>
      <c r="N3585" s="63">
        <v>1966.0</v>
      </c>
      <c r="O3585" s="63" t="s">
        <v>388</v>
      </c>
      <c r="P3585" s="63">
        <v>1.0</v>
      </c>
      <c r="Q3585" s="276"/>
      <c r="R3585" s="67"/>
      <c r="S3585" s="34"/>
      <c r="T3585" s="34"/>
      <c r="U3585" s="34"/>
      <c r="V3585" s="34"/>
      <c r="W3585" s="34"/>
      <c r="X3585" s="34"/>
      <c r="Y3585" s="59"/>
      <c r="Z3585" s="59"/>
      <c r="AA3585" s="59"/>
      <c r="AB3585" s="59"/>
      <c r="AC3585" s="59"/>
      <c r="AD3585" s="59"/>
      <c r="AE3585" s="59"/>
      <c r="AF3585" s="59"/>
      <c r="AG3585" s="59"/>
      <c r="AH3585" s="59"/>
      <c r="AI3585" s="59"/>
      <c r="AJ3585" s="59"/>
      <c r="AK3585" s="59"/>
      <c r="AL3585" s="59"/>
    </row>
    <row r="3586" ht="15.75" customHeight="1">
      <c r="A3586" s="27">
        <f t="shared" si="25"/>
        <v>4409</v>
      </c>
      <c r="B3586" s="49" t="s">
        <v>31</v>
      </c>
      <c r="C3586" s="272" t="s">
        <v>12341</v>
      </c>
      <c r="D3586" s="55" t="s">
        <v>12344</v>
      </c>
      <c r="E3586" s="49" t="s">
        <v>28</v>
      </c>
      <c r="F3586" s="49" t="s">
        <v>29</v>
      </c>
      <c r="G3586" s="49" t="s">
        <v>37</v>
      </c>
      <c r="H3586" s="49"/>
      <c r="I3586" s="49" t="s">
        <v>38</v>
      </c>
      <c r="J3586" s="49">
        <v>420.0</v>
      </c>
      <c r="K3586" s="49"/>
      <c r="L3586" s="49" t="s">
        <v>12343</v>
      </c>
      <c r="M3586" s="49" t="s">
        <v>365</v>
      </c>
      <c r="N3586" s="49">
        <v>1965.0</v>
      </c>
      <c r="O3586" s="49" t="s">
        <v>388</v>
      </c>
      <c r="P3586" s="49">
        <v>1.0</v>
      </c>
      <c r="Q3586" s="56"/>
      <c r="R3586" s="54"/>
      <c r="S3586" s="34"/>
      <c r="T3586" s="34"/>
      <c r="U3586" s="34"/>
      <c r="V3586" s="34"/>
      <c r="W3586" s="34"/>
      <c r="X3586" s="34"/>
      <c r="Y3586" s="59"/>
      <c r="Z3586" s="59"/>
      <c r="AA3586" s="59"/>
      <c r="AB3586" s="59"/>
      <c r="AC3586" s="59"/>
      <c r="AD3586" s="59"/>
      <c r="AE3586" s="59"/>
      <c r="AF3586" s="59"/>
      <c r="AG3586" s="59"/>
      <c r="AH3586" s="59"/>
      <c r="AI3586" s="59"/>
      <c r="AJ3586" s="59"/>
      <c r="AK3586" s="59"/>
      <c r="AL3586" s="59"/>
    </row>
    <row r="3587" ht="15.75" customHeight="1">
      <c r="A3587" s="27">
        <f t="shared" si="25"/>
        <v>4410</v>
      </c>
      <c r="B3587" s="49" t="s">
        <v>11720</v>
      </c>
      <c r="C3587" s="272" t="s">
        <v>12345</v>
      </c>
      <c r="D3587" s="55" t="s">
        <v>12346</v>
      </c>
      <c r="E3587" s="49" t="s">
        <v>28</v>
      </c>
      <c r="F3587" s="49" t="s">
        <v>29</v>
      </c>
      <c r="G3587" s="49" t="s">
        <v>30</v>
      </c>
      <c r="H3587" s="49"/>
      <c r="I3587" s="49" t="s">
        <v>30</v>
      </c>
      <c r="J3587" s="49">
        <v>280.0</v>
      </c>
      <c r="K3587" s="49"/>
      <c r="L3587" s="49" t="s">
        <v>12347</v>
      </c>
      <c r="M3587" s="49" t="s">
        <v>151</v>
      </c>
      <c r="N3587" s="49">
        <v>1967.0</v>
      </c>
      <c r="O3587" s="49" t="s">
        <v>388</v>
      </c>
      <c r="P3587" s="49">
        <v>1.0</v>
      </c>
      <c r="Q3587" s="56"/>
      <c r="R3587" s="54"/>
      <c r="S3587" s="34"/>
      <c r="T3587" s="34"/>
      <c r="U3587" s="34"/>
      <c r="V3587" s="34"/>
      <c r="W3587" s="34"/>
      <c r="X3587" s="34"/>
      <c r="Y3587" s="59"/>
      <c r="Z3587" s="59"/>
      <c r="AA3587" s="59"/>
      <c r="AB3587" s="59"/>
      <c r="AC3587" s="59"/>
      <c r="AD3587" s="59"/>
      <c r="AE3587" s="59"/>
      <c r="AF3587" s="59"/>
      <c r="AG3587" s="59"/>
      <c r="AH3587" s="59"/>
      <c r="AI3587" s="59"/>
      <c r="AJ3587" s="59"/>
      <c r="AK3587" s="59"/>
      <c r="AL3587" s="59"/>
    </row>
    <row r="3588" ht="15.75" customHeight="1">
      <c r="A3588" s="27">
        <f t="shared" si="25"/>
        <v>4411</v>
      </c>
      <c r="B3588" s="49" t="s">
        <v>2590</v>
      </c>
      <c r="C3588" s="272" t="s">
        <v>12348</v>
      </c>
      <c r="D3588" s="55" t="s">
        <v>12349</v>
      </c>
      <c r="E3588" s="49" t="s">
        <v>28</v>
      </c>
      <c r="F3588" s="49" t="s">
        <v>29</v>
      </c>
      <c r="G3588" s="49" t="s">
        <v>38</v>
      </c>
      <c r="H3588" s="49"/>
      <c r="I3588" s="49" t="s">
        <v>38</v>
      </c>
      <c r="J3588" s="49">
        <v>648.0</v>
      </c>
      <c r="K3588" s="49"/>
      <c r="L3588" s="49" t="s">
        <v>2593</v>
      </c>
      <c r="M3588" s="49" t="s">
        <v>230</v>
      </c>
      <c r="N3588" s="49">
        <v>1982.0</v>
      </c>
      <c r="O3588" s="49" t="s">
        <v>388</v>
      </c>
      <c r="P3588" s="49">
        <v>1.0</v>
      </c>
      <c r="Q3588" s="56">
        <v>1.0</v>
      </c>
      <c r="R3588" s="54"/>
      <c r="S3588" s="34"/>
      <c r="T3588" s="34"/>
      <c r="U3588" s="34"/>
      <c r="V3588" s="34"/>
      <c r="W3588" s="34"/>
      <c r="X3588" s="34"/>
      <c r="Y3588" s="59"/>
      <c r="Z3588" s="59"/>
      <c r="AA3588" s="59"/>
      <c r="AB3588" s="59"/>
      <c r="AC3588" s="59"/>
      <c r="AD3588" s="59"/>
      <c r="AE3588" s="59"/>
      <c r="AF3588" s="59"/>
      <c r="AG3588" s="59"/>
      <c r="AH3588" s="59"/>
      <c r="AI3588" s="59"/>
      <c r="AJ3588" s="59"/>
      <c r="AK3588" s="59"/>
      <c r="AL3588" s="59"/>
    </row>
    <row r="3589" ht="15.75" customHeight="1">
      <c r="A3589" s="27">
        <f t="shared" si="25"/>
        <v>4412</v>
      </c>
      <c r="B3589" s="49" t="s">
        <v>12350</v>
      </c>
      <c r="C3589" s="272" t="s">
        <v>12351</v>
      </c>
      <c r="D3589" s="55" t="s">
        <v>12352</v>
      </c>
      <c r="E3589" s="49" t="s">
        <v>223</v>
      </c>
      <c r="F3589" s="49" t="s">
        <v>29</v>
      </c>
      <c r="G3589" s="49" t="s">
        <v>37</v>
      </c>
      <c r="H3589" s="49"/>
      <c r="I3589" s="49" t="s">
        <v>38</v>
      </c>
      <c r="J3589" s="49" t="s">
        <v>31</v>
      </c>
      <c r="K3589" s="49"/>
      <c r="L3589" s="49" t="s">
        <v>12353</v>
      </c>
      <c r="M3589" s="49" t="s">
        <v>54</v>
      </c>
      <c r="N3589" s="49">
        <v>1972.0</v>
      </c>
      <c r="O3589" s="290" t="s">
        <v>388</v>
      </c>
      <c r="P3589" s="49">
        <v>1.0</v>
      </c>
      <c r="Q3589" s="291">
        <v>1.0</v>
      </c>
      <c r="R3589" s="54"/>
      <c r="S3589" s="116"/>
      <c r="T3589" s="116"/>
      <c r="U3589" s="116"/>
      <c r="V3589" s="116"/>
      <c r="W3589" s="116"/>
      <c r="X3589" s="116"/>
      <c r="Y3589" s="59"/>
      <c r="Z3589" s="59"/>
      <c r="AA3589" s="59"/>
      <c r="AB3589" s="59"/>
      <c r="AC3589" s="59"/>
      <c r="AD3589" s="59"/>
      <c r="AE3589" s="59"/>
      <c r="AF3589" s="59"/>
      <c r="AG3589" s="59"/>
      <c r="AH3589" s="59"/>
      <c r="AI3589" s="59"/>
      <c r="AJ3589" s="59"/>
      <c r="AK3589" s="59"/>
      <c r="AL3589" s="59"/>
    </row>
    <row r="3590" ht="15.75" customHeight="1">
      <c r="A3590" s="27">
        <f t="shared" si="25"/>
        <v>4413</v>
      </c>
      <c r="B3590" s="49" t="s">
        <v>12354</v>
      </c>
      <c r="C3590" s="272" t="s">
        <v>12355</v>
      </c>
      <c r="D3590" s="55" t="s">
        <v>12356</v>
      </c>
      <c r="E3590" s="49" t="s">
        <v>28</v>
      </c>
      <c r="F3590" s="49" t="s">
        <v>29</v>
      </c>
      <c r="G3590" s="49" t="s">
        <v>37</v>
      </c>
      <c r="H3590" s="49"/>
      <c r="I3590" s="49" t="s">
        <v>38</v>
      </c>
      <c r="J3590" s="49">
        <v>425.0</v>
      </c>
      <c r="K3590" s="49"/>
      <c r="L3590" s="49" t="s">
        <v>4790</v>
      </c>
      <c r="M3590" s="49" t="s">
        <v>230</v>
      </c>
      <c r="N3590" s="49">
        <v>1984.0</v>
      </c>
      <c r="O3590" s="49" t="s">
        <v>388</v>
      </c>
      <c r="P3590" s="49">
        <v>1.0</v>
      </c>
      <c r="Q3590" s="56"/>
      <c r="R3590" s="54"/>
      <c r="S3590" s="34"/>
      <c r="T3590" s="34"/>
      <c r="U3590" s="34"/>
      <c r="V3590" s="34"/>
      <c r="W3590" s="34"/>
      <c r="X3590" s="34"/>
      <c r="Y3590" s="59"/>
      <c r="Z3590" s="59"/>
      <c r="AA3590" s="59"/>
      <c r="AB3590" s="59"/>
      <c r="AC3590" s="59"/>
      <c r="AD3590" s="59"/>
      <c r="AE3590" s="59"/>
      <c r="AF3590" s="59"/>
      <c r="AG3590" s="59"/>
      <c r="AH3590" s="59"/>
      <c r="AI3590" s="59"/>
      <c r="AJ3590" s="59"/>
      <c r="AK3590" s="59"/>
      <c r="AL3590" s="59"/>
    </row>
    <row r="3591" ht="15.75" customHeight="1">
      <c r="A3591" s="115">
        <f t="shared" si="25"/>
        <v>4414</v>
      </c>
      <c r="B3591" s="49" t="s">
        <v>12357</v>
      </c>
      <c r="C3591" s="272" t="s">
        <v>12358</v>
      </c>
      <c r="D3591" s="55" t="s">
        <v>12359</v>
      </c>
      <c r="E3591" s="49" t="s">
        <v>28</v>
      </c>
      <c r="F3591" s="49" t="s">
        <v>29</v>
      </c>
      <c r="G3591" s="49" t="s">
        <v>30</v>
      </c>
      <c r="H3591" s="49"/>
      <c r="I3591" s="49" t="s">
        <v>30</v>
      </c>
      <c r="J3591" s="49">
        <v>288.0</v>
      </c>
      <c r="K3591" s="49"/>
      <c r="L3591" s="49" t="s">
        <v>10248</v>
      </c>
      <c r="M3591" s="49" t="s">
        <v>161</v>
      </c>
      <c r="N3591" s="49">
        <v>2011.0</v>
      </c>
      <c r="O3591" s="49" t="s">
        <v>388</v>
      </c>
      <c r="P3591" s="49">
        <v>1.0</v>
      </c>
      <c r="Q3591" s="56"/>
      <c r="R3591" s="54"/>
      <c r="S3591" s="34"/>
      <c r="T3591" s="34"/>
      <c r="U3591" s="34"/>
      <c r="V3591" s="34"/>
      <c r="W3591" s="34"/>
      <c r="X3591" s="34"/>
      <c r="Y3591" s="59"/>
      <c r="Z3591" s="59"/>
      <c r="AA3591" s="59"/>
      <c r="AB3591" s="59"/>
      <c r="AC3591" s="59"/>
      <c r="AD3591" s="59"/>
      <c r="AE3591" s="59"/>
      <c r="AF3591" s="59"/>
      <c r="AG3591" s="59"/>
      <c r="AH3591" s="59"/>
      <c r="AI3591" s="59"/>
      <c r="AJ3591" s="59"/>
      <c r="AK3591" s="59"/>
      <c r="AL3591" s="59"/>
    </row>
    <row r="3592" ht="15.75" customHeight="1">
      <c r="A3592" s="115">
        <f t="shared" si="25"/>
        <v>4415</v>
      </c>
      <c r="B3592" s="49" t="s">
        <v>1131</v>
      </c>
      <c r="C3592" s="272" t="s">
        <v>12360</v>
      </c>
      <c r="D3592" s="292"/>
      <c r="E3592" s="272" t="s">
        <v>302</v>
      </c>
      <c r="F3592" s="49" t="s">
        <v>29</v>
      </c>
      <c r="G3592" s="49" t="s">
        <v>30</v>
      </c>
      <c r="H3592" s="49"/>
      <c r="I3592" s="49" t="s">
        <v>30</v>
      </c>
      <c r="J3592" s="49">
        <v>450.0</v>
      </c>
      <c r="K3592" s="49"/>
      <c r="L3592" s="49" t="s">
        <v>303</v>
      </c>
      <c r="M3592" s="49" t="s">
        <v>151</v>
      </c>
      <c r="N3592" s="49">
        <v>2015.0</v>
      </c>
      <c r="O3592" s="49" t="s">
        <v>388</v>
      </c>
      <c r="P3592" s="49">
        <v>1.0</v>
      </c>
      <c r="Q3592" s="56">
        <v>1.0</v>
      </c>
      <c r="R3592" s="54"/>
      <c r="S3592" s="34"/>
      <c r="T3592" s="34"/>
      <c r="U3592" s="34"/>
      <c r="V3592" s="34"/>
      <c r="W3592" s="34"/>
      <c r="X3592" s="34"/>
      <c r="Y3592" s="59"/>
      <c r="Z3592" s="59"/>
      <c r="AA3592" s="59"/>
      <c r="AB3592" s="59"/>
      <c r="AC3592" s="59"/>
      <c r="AD3592" s="59"/>
      <c r="AE3592" s="59"/>
      <c r="AF3592" s="59"/>
      <c r="AG3592" s="59"/>
      <c r="AH3592" s="59"/>
      <c r="AI3592" s="59"/>
      <c r="AJ3592" s="59"/>
      <c r="AK3592" s="59"/>
      <c r="AL3592" s="59"/>
    </row>
    <row r="3593" ht="15.75" customHeight="1">
      <c r="A3593" s="115">
        <f t="shared" si="25"/>
        <v>4416</v>
      </c>
      <c r="B3593" s="49" t="s">
        <v>12361</v>
      </c>
      <c r="C3593" s="272" t="s">
        <v>12362</v>
      </c>
      <c r="D3593" s="55" t="s">
        <v>12363</v>
      </c>
      <c r="E3593" s="49" t="s">
        <v>28</v>
      </c>
      <c r="F3593" s="49" t="s">
        <v>29</v>
      </c>
      <c r="G3593" s="49" t="s">
        <v>30</v>
      </c>
      <c r="H3593" s="49"/>
      <c r="I3593" s="49" t="s">
        <v>30</v>
      </c>
      <c r="J3593" s="49">
        <v>614.0</v>
      </c>
      <c r="K3593" s="49"/>
      <c r="L3593" s="49" t="s">
        <v>12364</v>
      </c>
      <c r="M3593" s="49" t="s">
        <v>151</v>
      </c>
      <c r="N3593" s="49">
        <v>2008.0</v>
      </c>
      <c r="O3593" s="49" t="s">
        <v>388</v>
      </c>
      <c r="P3593" s="49">
        <v>1.0</v>
      </c>
      <c r="Q3593" s="56"/>
      <c r="R3593" s="54"/>
      <c r="S3593" s="34"/>
      <c r="T3593" s="34"/>
      <c r="U3593" s="34"/>
      <c r="V3593" s="34"/>
      <c r="W3593" s="34"/>
      <c r="X3593" s="34"/>
      <c r="Y3593" s="59"/>
      <c r="Z3593" s="59"/>
      <c r="AA3593" s="59"/>
      <c r="AB3593" s="59"/>
      <c r="AC3593" s="59"/>
      <c r="AD3593" s="59"/>
      <c r="AE3593" s="59"/>
      <c r="AF3593" s="59"/>
      <c r="AG3593" s="59"/>
      <c r="AH3593" s="59"/>
      <c r="AI3593" s="59"/>
      <c r="AJ3593" s="59"/>
      <c r="AK3593" s="59"/>
      <c r="AL3593" s="59"/>
    </row>
    <row r="3594" ht="15.75" customHeight="1">
      <c r="A3594" s="115">
        <f t="shared" si="25"/>
        <v>4417</v>
      </c>
      <c r="B3594" s="49" t="s">
        <v>31</v>
      </c>
      <c r="C3594" s="272" t="s">
        <v>12365</v>
      </c>
      <c r="D3594" s="55" t="s">
        <v>12366</v>
      </c>
      <c r="E3594" s="49" t="s">
        <v>144</v>
      </c>
      <c r="F3594" s="49" t="s">
        <v>29</v>
      </c>
      <c r="G3594" s="49" t="s">
        <v>30</v>
      </c>
      <c r="H3594" s="49"/>
      <c r="I3594" s="49" t="s">
        <v>30</v>
      </c>
      <c r="J3594" s="49">
        <v>64.0</v>
      </c>
      <c r="K3594" s="49"/>
      <c r="L3594" s="49" t="s">
        <v>31</v>
      </c>
      <c r="M3594" s="49" t="s">
        <v>12367</v>
      </c>
      <c r="N3594" s="49" t="s">
        <v>31</v>
      </c>
      <c r="O3594" s="49" t="s">
        <v>388</v>
      </c>
      <c r="P3594" s="49">
        <v>4.0</v>
      </c>
      <c r="Q3594" s="56"/>
      <c r="R3594" s="54"/>
      <c r="S3594" s="34"/>
      <c r="T3594" s="34"/>
      <c r="U3594" s="34"/>
      <c r="V3594" s="34"/>
      <c r="W3594" s="34"/>
      <c r="X3594" s="34"/>
      <c r="Y3594" s="284"/>
      <c r="Z3594" s="284"/>
      <c r="AA3594" s="284"/>
      <c r="AB3594" s="284"/>
      <c r="AC3594" s="284"/>
      <c r="AD3594" s="284"/>
      <c r="AE3594" s="284"/>
      <c r="AF3594" s="284"/>
      <c r="AG3594" s="284"/>
      <c r="AH3594" s="284"/>
      <c r="AI3594" s="284"/>
      <c r="AJ3594" s="284"/>
      <c r="AK3594" s="284"/>
      <c r="AL3594" s="284"/>
    </row>
    <row r="3595" ht="15.75" customHeight="1">
      <c r="A3595" s="115">
        <f t="shared" si="25"/>
        <v>4418</v>
      </c>
      <c r="B3595" s="49" t="s">
        <v>12368</v>
      </c>
      <c r="C3595" s="272" t="s">
        <v>12369</v>
      </c>
      <c r="D3595" s="55" t="s">
        <v>12370</v>
      </c>
      <c r="E3595" s="49" t="s">
        <v>28</v>
      </c>
      <c r="F3595" s="49" t="s">
        <v>29</v>
      </c>
      <c r="G3595" s="49" t="s">
        <v>30</v>
      </c>
      <c r="H3595" s="49"/>
      <c r="I3595" s="49" t="s">
        <v>30</v>
      </c>
      <c r="J3595" s="49">
        <v>184.0</v>
      </c>
      <c r="K3595" s="49"/>
      <c r="L3595" s="49" t="s">
        <v>12371</v>
      </c>
      <c r="M3595" s="49" t="s">
        <v>151</v>
      </c>
      <c r="N3595" s="49">
        <v>2010.0</v>
      </c>
      <c r="O3595" s="49" t="s">
        <v>388</v>
      </c>
      <c r="P3595" s="49">
        <v>1.0</v>
      </c>
      <c r="Q3595" s="56"/>
      <c r="R3595" s="54"/>
      <c r="S3595" s="34"/>
      <c r="T3595" s="34"/>
      <c r="U3595" s="34"/>
      <c r="V3595" s="34"/>
      <c r="W3595" s="34"/>
      <c r="X3595" s="34"/>
      <c r="Y3595" s="59"/>
      <c r="Z3595" s="59"/>
      <c r="AA3595" s="59"/>
      <c r="AB3595" s="59"/>
      <c r="AC3595" s="59"/>
      <c r="AD3595" s="59"/>
      <c r="AE3595" s="59"/>
      <c r="AF3595" s="59"/>
      <c r="AG3595" s="59"/>
      <c r="AH3595" s="59"/>
      <c r="AI3595" s="59"/>
      <c r="AJ3595" s="59"/>
      <c r="AK3595" s="59"/>
      <c r="AL3595" s="59"/>
    </row>
    <row r="3596" ht="15.75" customHeight="1">
      <c r="A3596" s="157">
        <f t="shared" si="25"/>
        <v>4419</v>
      </c>
      <c r="B3596" s="158" t="s">
        <v>31</v>
      </c>
      <c r="C3596" s="204" t="s">
        <v>12372</v>
      </c>
      <c r="D3596" s="160" t="s">
        <v>12373</v>
      </c>
      <c r="E3596" s="158" t="s">
        <v>144</v>
      </c>
      <c r="F3596" s="158" t="s">
        <v>29</v>
      </c>
      <c r="G3596" s="158" t="s">
        <v>30</v>
      </c>
      <c r="H3596" s="158"/>
      <c r="I3596" s="158" t="s">
        <v>30</v>
      </c>
      <c r="J3596" s="158">
        <v>64.0</v>
      </c>
      <c r="K3596" s="158"/>
      <c r="L3596" s="158" t="s">
        <v>31</v>
      </c>
      <c r="M3596" s="158" t="s">
        <v>12367</v>
      </c>
      <c r="N3596" s="158" t="s">
        <v>31</v>
      </c>
      <c r="O3596" s="158" t="s">
        <v>388</v>
      </c>
      <c r="P3596" s="158">
        <v>4.0</v>
      </c>
      <c r="Q3596" s="162"/>
      <c r="R3596" s="163"/>
      <c r="S3596" s="34"/>
      <c r="T3596" s="34"/>
      <c r="U3596" s="34"/>
      <c r="V3596" s="34"/>
      <c r="W3596" s="34"/>
      <c r="X3596" s="34"/>
      <c r="Y3596" s="284"/>
      <c r="Z3596" s="284"/>
      <c r="AA3596" s="284"/>
      <c r="AB3596" s="284"/>
      <c r="AC3596" s="284"/>
      <c r="AD3596" s="284"/>
      <c r="AE3596" s="284"/>
      <c r="AF3596" s="284"/>
      <c r="AG3596" s="284"/>
      <c r="AH3596" s="284"/>
      <c r="AI3596" s="284"/>
      <c r="AJ3596" s="284"/>
      <c r="AK3596" s="284"/>
      <c r="AL3596" s="284"/>
    </row>
    <row r="3597" ht="15.75" customHeight="1">
      <c r="A3597" s="164">
        <f t="shared" si="25"/>
        <v>4420</v>
      </c>
      <c r="B3597" s="63" t="s">
        <v>31</v>
      </c>
      <c r="C3597" s="275" t="s">
        <v>12374</v>
      </c>
      <c r="D3597" s="65" t="s">
        <v>12375</v>
      </c>
      <c r="E3597" s="63" t="s">
        <v>28</v>
      </c>
      <c r="F3597" s="63" t="s">
        <v>29</v>
      </c>
      <c r="G3597" s="63" t="s">
        <v>38</v>
      </c>
      <c r="H3597" s="63"/>
      <c r="I3597" s="63" t="s">
        <v>38</v>
      </c>
      <c r="J3597" s="63">
        <v>153.0</v>
      </c>
      <c r="K3597" s="63"/>
      <c r="L3597" s="63" t="s">
        <v>9377</v>
      </c>
      <c r="M3597" s="63" t="s">
        <v>65</v>
      </c>
      <c r="N3597" s="63">
        <v>1974.0</v>
      </c>
      <c r="O3597" s="63" t="s">
        <v>388</v>
      </c>
      <c r="P3597" s="63">
        <v>1.0</v>
      </c>
      <c r="Q3597" s="276"/>
      <c r="R3597" s="67"/>
      <c r="S3597" s="34"/>
      <c r="T3597" s="34"/>
      <c r="U3597" s="34"/>
      <c r="V3597" s="34"/>
      <c r="W3597" s="34"/>
      <c r="X3597" s="34"/>
      <c r="Y3597" s="59"/>
      <c r="Z3597" s="59"/>
      <c r="AA3597" s="59"/>
      <c r="AB3597" s="59"/>
      <c r="AC3597" s="59"/>
      <c r="AD3597" s="59"/>
      <c r="AE3597" s="59"/>
      <c r="AF3597" s="59"/>
      <c r="AG3597" s="59"/>
      <c r="AH3597" s="59"/>
      <c r="AI3597" s="59"/>
      <c r="AJ3597" s="59"/>
      <c r="AK3597" s="59"/>
      <c r="AL3597" s="59"/>
    </row>
    <row r="3598" ht="15.75" customHeight="1">
      <c r="A3598" s="293">
        <f t="shared" si="25"/>
        <v>4421</v>
      </c>
      <c r="B3598" s="294" t="s">
        <v>31</v>
      </c>
      <c r="C3598" s="295" t="s">
        <v>12376</v>
      </c>
      <c r="D3598" s="296" t="s">
        <v>12377</v>
      </c>
      <c r="E3598" s="294" t="s">
        <v>144</v>
      </c>
      <c r="F3598" s="294" t="s">
        <v>29</v>
      </c>
      <c r="G3598" s="294" t="s">
        <v>30</v>
      </c>
      <c r="H3598" s="294"/>
      <c r="I3598" s="294" t="s">
        <v>30</v>
      </c>
      <c r="J3598" s="294">
        <v>64.0</v>
      </c>
      <c r="K3598" s="294"/>
      <c r="L3598" s="294" t="s">
        <v>31</v>
      </c>
      <c r="M3598" s="294" t="s">
        <v>12367</v>
      </c>
      <c r="N3598" s="294" t="s">
        <v>31</v>
      </c>
      <c r="O3598" s="294" t="s">
        <v>388</v>
      </c>
      <c r="P3598" s="294">
        <v>9.0</v>
      </c>
      <c r="Q3598" s="297"/>
      <c r="R3598" s="298"/>
      <c r="S3598" s="34"/>
      <c r="T3598" s="34"/>
      <c r="U3598" s="34"/>
      <c r="V3598" s="34"/>
      <c r="W3598" s="34"/>
      <c r="X3598" s="34"/>
      <c r="Y3598" s="284"/>
      <c r="Z3598" s="284"/>
      <c r="AA3598" s="284"/>
      <c r="AB3598" s="284"/>
      <c r="AC3598" s="284"/>
      <c r="AD3598" s="284"/>
      <c r="AE3598" s="284"/>
      <c r="AF3598" s="284"/>
      <c r="AG3598" s="284"/>
      <c r="AH3598" s="284"/>
      <c r="AI3598" s="284"/>
      <c r="AJ3598" s="284"/>
      <c r="AK3598" s="284"/>
      <c r="AL3598" s="284"/>
    </row>
    <row r="3599" ht="15.75" customHeight="1">
      <c r="A3599" s="293">
        <f t="shared" si="25"/>
        <v>4422</v>
      </c>
      <c r="B3599" s="294" t="s">
        <v>12378</v>
      </c>
      <c r="C3599" s="295" t="s">
        <v>12379</v>
      </c>
      <c r="D3599" s="296" t="s">
        <v>12380</v>
      </c>
      <c r="E3599" s="294" t="s">
        <v>28</v>
      </c>
      <c r="F3599" s="294" t="s">
        <v>29</v>
      </c>
      <c r="G3599" s="294" t="s">
        <v>30</v>
      </c>
      <c r="H3599" s="294"/>
      <c r="I3599" s="294" t="s">
        <v>30</v>
      </c>
      <c r="J3599" s="294">
        <v>261.0</v>
      </c>
      <c r="K3599" s="294"/>
      <c r="L3599" s="294" t="s">
        <v>10248</v>
      </c>
      <c r="M3599" s="294" t="s">
        <v>161</v>
      </c>
      <c r="N3599" s="294">
        <v>2011.0</v>
      </c>
      <c r="O3599" s="294" t="s">
        <v>388</v>
      </c>
      <c r="P3599" s="294">
        <v>1.0</v>
      </c>
      <c r="Q3599" s="297"/>
      <c r="R3599" s="298"/>
      <c r="S3599" s="34"/>
      <c r="T3599" s="34"/>
      <c r="U3599" s="34"/>
      <c r="V3599" s="34"/>
      <c r="W3599" s="34"/>
      <c r="X3599" s="34"/>
      <c r="Y3599" s="59"/>
      <c r="Z3599" s="59"/>
      <c r="AA3599" s="59"/>
      <c r="AB3599" s="59"/>
      <c r="AC3599" s="59"/>
      <c r="AD3599" s="59"/>
      <c r="AE3599" s="59"/>
      <c r="AF3599" s="59"/>
      <c r="AG3599" s="59"/>
      <c r="AH3599" s="59"/>
      <c r="AI3599" s="59"/>
      <c r="AJ3599" s="59"/>
      <c r="AK3599" s="59"/>
      <c r="AL3599" s="59"/>
    </row>
    <row r="3600" ht="15.75" customHeight="1">
      <c r="A3600" s="293">
        <f t="shared" si="25"/>
        <v>4423</v>
      </c>
      <c r="B3600" s="294" t="s">
        <v>12381</v>
      </c>
      <c r="C3600" s="295" t="s">
        <v>12382</v>
      </c>
      <c r="D3600" s="296" t="s">
        <v>12383</v>
      </c>
      <c r="E3600" s="294" t="s">
        <v>28</v>
      </c>
      <c r="F3600" s="294" t="s">
        <v>29</v>
      </c>
      <c r="G3600" s="294" t="s">
        <v>30</v>
      </c>
      <c r="H3600" s="294"/>
      <c r="I3600" s="294" t="s">
        <v>30</v>
      </c>
      <c r="J3600" s="294">
        <v>204.0</v>
      </c>
      <c r="K3600" s="294"/>
      <c r="L3600" s="294" t="s">
        <v>12384</v>
      </c>
      <c r="M3600" s="294" t="s">
        <v>151</v>
      </c>
      <c r="N3600" s="294">
        <v>2009.0</v>
      </c>
      <c r="O3600" s="294" t="s">
        <v>388</v>
      </c>
      <c r="P3600" s="294">
        <v>1.0</v>
      </c>
      <c r="Q3600" s="297"/>
      <c r="R3600" s="298"/>
      <c r="S3600" s="185"/>
      <c r="T3600" s="185"/>
      <c r="U3600" s="185"/>
      <c r="V3600" s="185"/>
      <c r="W3600" s="185"/>
      <c r="X3600" s="185"/>
      <c r="Y3600" s="59"/>
      <c r="Z3600" s="59"/>
      <c r="AA3600" s="59"/>
      <c r="AB3600" s="59"/>
      <c r="AC3600" s="59"/>
      <c r="AD3600" s="59"/>
      <c r="AE3600" s="59"/>
      <c r="AF3600" s="59"/>
      <c r="AG3600" s="59"/>
      <c r="AH3600" s="59"/>
      <c r="AI3600" s="59"/>
      <c r="AJ3600" s="59"/>
      <c r="AK3600" s="59"/>
      <c r="AL3600" s="59"/>
    </row>
    <row r="3601" ht="15.75" customHeight="1">
      <c r="A3601" s="157">
        <f t="shared" si="25"/>
        <v>4424</v>
      </c>
      <c r="B3601" s="158" t="s">
        <v>12385</v>
      </c>
      <c r="C3601" s="204" t="s">
        <v>12386</v>
      </c>
      <c r="D3601" s="160" t="s">
        <v>12387</v>
      </c>
      <c r="E3601" s="158" t="s">
        <v>223</v>
      </c>
      <c r="F3601" s="158" t="s">
        <v>29</v>
      </c>
      <c r="G3601" s="158" t="s">
        <v>37</v>
      </c>
      <c r="H3601" s="158"/>
      <c r="I3601" s="158" t="s">
        <v>38</v>
      </c>
      <c r="J3601" s="158">
        <v>1949.0</v>
      </c>
      <c r="K3601" s="158"/>
      <c r="L3601" s="158" t="s">
        <v>12388</v>
      </c>
      <c r="M3601" s="158" t="s">
        <v>54</v>
      </c>
      <c r="N3601" s="158">
        <v>1988.0</v>
      </c>
      <c r="O3601" s="158" t="s">
        <v>388</v>
      </c>
      <c r="P3601" s="158">
        <v>1.0</v>
      </c>
      <c r="Q3601" s="162"/>
      <c r="R3601" s="163"/>
      <c r="S3601" s="34"/>
      <c r="T3601" s="34"/>
      <c r="U3601" s="34"/>
      <c r="V3601" s="34"/>
      <c r="W3601" s="34"/>
      <c r="X3601" s="34"/>
      <c r="Y3601" s="59"/>
      <c r="Z3601" s="59"/>
      <c r="AA3601" s="59"/>
      <c r="AB3601" s="59"/>
      <c r="AC3601" s="59"/>
      <c r="AD3601" s="59"/>
      <c r="AE3601" s="59"/>
      <c r="AF3601" s="59"/>
      <c r="AG3601" s="59"/>
      <c r="AH3601" s="59"/>
      <c r="AI3601" s="59"/>
      <c r="AJ3601" s="59"/>
      <c r="AK3601" s="59"/>
      <c r="AL3601" s="59"/>
    </row>
    <row r="3602" ht="15.75" customHeight="1">
      <c r="A3602" s="293">
        <f t="shared" si="25"/>
        <v>4425</v>
      </c>
      <c r="B3602" s="294" t="s">
        <v>12389</v>
      </c>
      <c r="C3602" s="295" t="s">
        <v>12390</v>
      </c>
      <c r="D3602" s="296" t="s">
        <v>12391</v>
      </c>
      <c r="E3602" s="294" t="s">
        <v>144</v>
      </c>
      <c r="F3602" s="294" t="s">
        <v>29</v>
      </c>
      <c r="G3602" s="294" t="s">
        <v>30</v>
      </c>
      <c r="H3602" s="294"/>
      <c r="I3602" s="294" t="s">
        <v>30</v>
      </c>
      <c r="J3602" s="294">
        <v>224.0</v>
      </c>
      <c r="K3602" s="294"/>
      <c r="L3602" s="294" t="s">
        <v>12392</v>
      </c>
      <c r="M3602" s="294" t="s">
        <v>151</v>
      </c>
      <c r="N3602" s="294">
        <v>2004.0</v>
      </c>
      <c r="O3602" s="294" t="s">
        <v>388</v>
      </c>
      <c r="P3602" s="294">
        <v>1.0</v>
      </c>
      <c r="Q3602" s="297"/>
      <c r="R3602" s="298"/>
      <c r="S3602" s="34"/>
      <c r="T3602" s="34"/>
      <c r="U3602" s="34"/>
      <c r="V3602" s="34"/>
      <c r="W3602" s="34"/>
      <c r="X3602" s="34"/>
      <c r="Y3602" s="59"/>
      <c r="Z3602" s="59"/>
      <c r="AA3602" s="59"/>
      <c r="AB3602" s="59"/>
      <c r="AC3602" s="59"/>
      <c r="AD3602" s="59"/>
      <c r="AE3602" s="59"/>
      <c r="AF3602" s="59"/>
      <c r="AG3602" s="59"/>
      <c r="AH3602" s="59"/>
      <c r="AI3602" s="59"/>
      <c r="AJ3602" s="59"/>
      <c r="AK3602" s="59"/>
      <c r="AL3602" s="59"/>
    </row>
    <row r="3603" ht="15.75" customHeight="1">
      <c r="A3603" s="164">
        <f t="shared" si="25"/>
        <v>4426</v>
      </c>
      <c r="B3603" s="299" t="s">
        <v>12393</v>
      </c>
      <c r="C3603" s="275" t="s">
        <v>12394</v>
      </c>
      <c r="D3603" s="65" t="s">
        <v>12395</v>
      </c>
      <c r="E3603" s="63" t="s">
        <v>28</v>
      </c>
      <c r="F3603" s="63" t="s">
        <v>29</v>
      </c>
      <c r="G3603" s="63" t="s">
        <v>386</v>
      </c>
      <c r="H3603" s="63" t="s">
        <v>31</v>
      </c>
      <c r="I3603" s="63" t="s">
        <v>30</v>
      </c>
      <c r="J3603" s="63">
        <v>879.0</v>
      </c>
      <c r="K3603" s="63"/>
      <c r="L3603" s="63" t="s">
        <v>780</v>
      </c>
      <c r="M3603" s="63" t="s">
        <v>169</v>
      </c>
      <c r="N3603" s="63">
        <v>2008.0</v>
      </c>
      <c r="O3603" s="63" t="s">
        <v>388</v>
      </c>
      <c r="P3603" s="63">
        <v>1.0</v>
      </c>
      <c r="Q3603" s="276"/>
      <c r="R3603" s="67">
        <v>1.0</v>
      </c>
      <c r="S3603" s="34"/>
      <c r="T3603" s="34"/>
      <c r="U3603" s="34"/>
      <c r="V3603" s="34"/>
      <c r="W3603" s="34"/>
      <c r="X3603" s="34"/>
      <c r="Y3603" s="284"/>
      <c r="Z3603" s="284"/>
      <c r="AA3603" s="284"/>
      <c r="AB3603" s="284"/>
      <c r="AC3603" s="284"/>
      <c r="AD3603" s="284"/>
      <c r="AE3603" s="284"/>
      <c r="AF3603" s="284"/>
      <c r="AG3603" s="284"/>
      <c r="AH3603" s="284"/>
      <c r="AI3603" s="284"/>
      <c r="AJ3603" s="284"/>
      <c r="AK3603" s="284"/>
      <c r="AL3603" s="284"/>
    </row>
    <row r="3604" ht="15.75" customHeight="1">
      <c r="A3604" s="164">
        <f t="shared" si="25"/>
        <v>4427</v>
      </c>
      <c r="B3604" s="63" t="s">
        <v>12396</v>
      </c>
      <c r="C3604" s="275" t="s">
        <v>12397</v>
      </c>
      <c r="D3604" s="65" t="s">
        <v>12398</v>
      </c>
      <c r="E3604" s="63" t="s">
        <v>28</v>
      </c>
      <c r="F3604" s="63" t="s">
        <v>29</v>
      </c>
      <c r="G3604" s="63" t="s">
        <v>30</v>
      </c>
      <c r="H3604" s="63"/>
      <c r="I3604" s="63" t="s">
        <v>30</v>
      </c>
      <c r="J3604" s="63">
        <v>445.0</v>
      </c>
      <c r="K3604" s="63"/>
      <c r="L3604" s="63" t="s">
        <v>10302</v>
      </c>
      <c r="M3604" s="63" t="s">
        <v>151</v>
      </c>
      <c r="N3604" s="63">
        <v>1996.0</v>
      </c>
      <c r="O3604" s="63" t="s">
        <v>388</v>
      </c>
      <c r="P3604" s="63">
        <v>2.0</v>
      </c>
      <c r="Q3604" s="276"/>
      <c r="R3604" s="67"/>
      <c r="S3604" s="34"/>
      <c r="T3604" s="34"/>
      <c r="U3604" s="34"/>
      <c r="V3604" s="34"/>
      <c r="W3604" s="34"/>
      <c r="X3604" s="34"/>
      <c r="Y3604" s="59"/>
      <c r="Z3604" s="59"/>
      <c r="AA3604" s="59"/>
      <c r="AB3604" s="59"/>
      <c r="AC3604" s="59"/>
      <c r="AD3604" s="59"/>
      <c r="AE3604" s="59"/>
      <c r="AF3604" s="59"/>
      <c r="AG3604" s="59"/>
      <c r="AH3604" s="59"/>
      <c r="AI3604" s="59"/>
      <c r="AJ3604" s="59"/>
      <c r="AK3604" s="59"/>
      <c r="AL3604" s="59"/>
    </row>
    <row r="3605" ht="15.75" customHeight="1">
      <c r="A3605" s="157">
        <f t="shared" si="25"/>
        <v>4428</v>
      </c>
      <c r="B3605" s="158" t="s">
        <v>1119</v>
      </c>
      <c r="C3605" s="204" t="s">
        <v>12399</v>
      </c>
      <c r="D3605" s="160" t="s">
        <v>12400</v>
      </c>
      <c r="E3605" s="158" t="s">
        <v>223</v>
      </c>
      <c r="F3605" s="158" t="s">
        <v>29</v>
      </c>
      <c r="G3605" s="158" t="s">
        <v>37</v>
      </c>
      <c r="H3605" s="158"/>
      <c r="I3605" s="158" t="s">
        <v>38</v>
      </c>
      <c r="J3605" s="158">
        <v>392.0</v>
      </c>
      <c r="K3605" s="158"/>
      <c r="L3605" s="158" t="s">
        <v>619</v>
      </c>
      <c r="M3605" s="158" t="s">
        <v>54</v>
      </c>
      <c r="N3605" s="158">
        <v>1981.0</v>
      </c>
      <c r="O3605" s="158" t="s">
        <v>388</v>
      </c>
      <c r="P3605" s="158">
        <v>2.0</v>
      </c>
      <c r="Q3605" s="162"/>
      <c r="R3605" s="163"/>
      <c r="S3605" s="116"/>
      <c r="T3605" s="116"/>
      <c r="U3605" s="116"/>
      <c r="V3605" s="116"/>
      <c r="W3605" s="116"/>
      <c r="X3605" s="116"/>
      <c r="Y3605" s="59"/>
      <c r="Z3605" s="59"/>
      <c r="AA3605" s="59"/>
      <c r="AB3605" s="59"/>
      <c r="AC3605" s="59"/>
      <c r="AD3605" s="59"/>
      <c r="AE3605" s="59"/>
      <c r="AF3605" s="59"/>
      <c r="AG3605" s="59"/>
      <c r="AH3605" s="59"/>
      <c r="AI3605" s="59"/>
      <c r="AJ3605" s="59"/>
      <c r="AK3605" s="59"/>
      <c r="AL3605" s="59"/>
    </row>
    <row r="3606" ht="15.75" customHeight="1">
      <c r="A3606" s="164">
        <f t="shared" si="25"/>
        <v>4429</v>
      </c>
      <c r="B3606" s="63" t="s">
        <v>12401</v>
      </c>
      <c r="C3606" s="275" t="s">
        <v>12402</v>
      </c>
      <c r="D3606" s="65" t="s">
        <v>12403</v>
      </c>
      <c r="E3606" s="63" t="s">
        <v>28</v>
      </c>
      <c r="F3606" s="63" t="s">
        <v>29</v>
      </c>
      <c r="G3606" s="63" t="s">
        <v>37</v>
      </c>
      <c r="H3606" s="63"/>
      <c r="I3606" s="63" t="s">
        <v>38</v>
      </c>
      <c r="J3606" s="63">
        <v>550.0</v>
      </c>
      <c r="K3606" s="63"/>
      <c r="L3606" s="63" t="s">
        <v>12404</v>
      </c>
      <c r="M3606" s="63" t="s">
        <v>219</v>
      </c>
      <c r="N3606" s="63">
        <v>1981.0</v>
      </c>
      <c r="O3606" s="63" t="s">
        <v>388</v>
      </c>
      <c r="P3606" s="63">
        <v>1.0</v>
      </c>
      <c r="Q3606" s="276">
        <v>1.0</v>
      </c>
      <c r="R3606" s="67"/>
      <c r="S3606" s="34"/>
      <c r="T3606" s="34"/>
      <c r="U3606" s="34"/>
      <c r="V3606" s="34"/>
      <c r="W3606" s="34"/>
      <c r="X3606" s="34"/>
      <c r="Y3606" s="59"/>
      <c r="Z3606" s="59"/>
      <c r="AA3606" s="59"/>
      <c r="AB3606" s="59"/>
      <c r="AC3606" s="59"/>
      <c r="AD3606" s="59"/>
      <c r="AE3606" s="59"/>
      <c r="AF3606" s="59"/>
      <c r="AG3606" s="59"/>
      <c r="AH3606" s="59"/>
      <c r="AI3606" s="59"/>
      <c r="AJ3606" s="59"/>
      <c r="AK3606" s="59"/>
      <c r="AL3606" s="59"/>
    </row>
    <row r="3607" ht="15.75" customHeight="1">
      <c r="A3607" s="164">
        <f t="shared" si="25"/>
        <v>4430</v>
      </c>
      <c r="B3607" s="63" t="s">
        <v>10288</v>
      </c>
      <c r="C3607" s="275" t="s">
        <v>12405</v>
      </c>
      <c r="D3607" s="65" t="s">
        <v>12406</v>
      </c>
      <c r="E3607" s="63" t="s">
        <v>144</v>
      </c>
      <c r="F3607" s="63" t="s">
        <v>29</v>
      </c>
      <c r="G3607" s="63" t="s">
        <v>30</v>
      </c>
      <c r="H3607" s="63" t="s">
        <v>31</v>
      </c>
      <c r="I3607" s="63" t="s">
        <v>30</v>
      </c>
      <c r="J3607" s="63"/>
      <c r="K3607" s="63"/>
      <c r="L3607" s="63"/>
      <c r="M3607" s="63" t="s">
        <v>4762</v>
      </c>
      <c r="N3607" s="63">
        <v>2012.0</v>
      </c>
      <c r="O3607" s="63" t="s">
        <v>388</v>
      </c>
      <c r="P3607" s="63">
        <v>1.0</v>
      </c>
      <c r="Q3607" s="276"/>
      <c r="R3607" s="67"/>
      <c r="S3607" s="116"/>
      <c r="T3607" s="116"/>
      <c r="U3607" s="116"/>
      <c r="V3607" s="116"/>
      <c r="W3607" s="116"/>
      <c r="X3607" s="116"/>
      <c r="Y3607" s="59"/>
      <c r="Z3607" s="59"/>
      <c r="AA3607" s="59"/>
      <c r="AB3607" s="59"/>
      <c r="AC3607" s="59"/>
      <c r="AD3607" s="59"/>
      <c r="AE3607" s="59"/>
      <c r="AF3607" s="59"/>
      <c r="AG3607" s="59"/>
      <c r="AH3607" s="59"/>
      <c r="AI3607" s="59"/>
      <c r="AJ3607" s="59"/>
      <c r="AK3607" s="59"/>
      <c r="AL3607" s="59"/>
    </row>
    <row r="3608" ht="15.75" customHeight="1">
      <c r="A3608" s="164">
        <f t="shared" si="25"/>
        <v>4431</v>
      </c>
      <c r="B3608" s="63" t="s">
        <v>12378</v>
      </c>
      <c r="C3608" s="275" t="s">
        <v>12407</v>
      </c>
      <c r="D3608" s="65" t="s">
        <v>12408</v>
      </c>
      <c r="E3608" s="63" t="s">
        <v>144</v>
      </c>
      <c r="F3608" s="63" t="s">
        <v>29</v>
      </c>
      <c r="G3608" s="63" t="s">
        <v>30</v>
      </c>
      <c r="H3608" s="63"/>
      <c r="I3608" s="63" t="s">
        <v>30</v>
      </c>
      <c r="J3608" s="63">
        <f>261</f>
        <v>261</v>
      </c>
      <c r="K3608" s="63"/>
      <c r="L3608" s="63" t="s">
        <v>10248</v>
      </c>
      <c r="M3608" s="63" t="s">
        <v>161</v>
      </c>
      <c r="N3608" s="63">
        <v>2011.0</v>
      </c>
      <c r="O3608" s="63" t="s">
        <v>388</v>
      </c>
      <c r="P3608" s="63">
        <v>1.0</v>
      </c>
      <c r="Q3608" s="276"/>
      <c r="R3608" s="67"/>
      <c r="S3608" s="34"/>
      <c r="T3608" s="34"/>
      <c r="U3608" s="34"/>
      <c r="V3608" s="34"/>
      <c r="W3608" s="34"/>
      <c r="X3608" s="34"/>
      <c r="Y3608" s="59"/>
      <c r="Z3608" s="59"/>
      <c r="AA3608" s="59"/>
      <c r="AB3608" s="59"/>
      <c r="AC3608" s="59"/>
      <c r="AD3608" s="59"/>
      <c r="AE3608" s="59"/>
      <c r="AF3608" s="59"/>
      <c r="AG3608" s="59"/>
      <c r="AH3608" s="59"/>
      <c r="AI3608" s="59"/>
      <c r="AJ3608" s="59"/>
      <c r="AK3608" s="59"/>
      <c r="AL3608" s="59"/>
    </row>
    <row r="3609" ht="15.75" customHeight="1">
      <c r="A3609" s="164">
        <f t="shared" si="25"/>
        <v>4432</v>
      </c>
      <c r="B3609" s="63" t="s">
        <v>12409</v>
      </c>
      <c r="C3609" s="275" t="s">
        <v>12410</v>
      </c>
      <c r="D3609" s="65" t="s">
        <v>12411</v>
      </c>
      <c r="E3609" s="63" t="s">
        <v>28</v>
      </c>
      <c r="F3609" s="63" t="s">
        <v>29</v>
      </c>
      <c r="G3609" s="63" t="s">
        <v>37</v>
      </c>
      <c r="H3609" s="63"/>
      <c r="I3609" s="63" t="s">
        <v>38</v>
      </c>
      <c r="J3609" s="63">
        <v>85.0</v>
      </c>
      <c r="K3609" s="63"/>
      <c r="L3609" s="63" t="s">
        <v>12412</v>
      </c>
      <c r="M3609" s="63" t="s">
        <v>178</v>
      </c>
      <c r="N3609" s="63">
        <v>1978.0</v>
      </c>
      <c r="O3609" s="63" t="s">
        <v>388</v>
      </c>
      <c r="P3609" s="63">
        <v>1.0</v>
      </c>
      <c r="Q3609" s="276"/>
      <c r="R3609" s="67"/>
      <c r="S3609" s="34"/>
      <c r="T3609" s="34"/>
      <c r="U3609" s="34"/>
      <c r="V3609" s="34"/>
      <c r="W3609" s="34"/>
      <c r="X3609" s="34"/>
      <c r="Y3609" s="59"/>
      <c r="Z3609" s="59"/>
      <c r="AA3609" s="59"/>
      <c r="AB3609" s="59"/>
      <c r="AC3609" s="59"/>
      <c r="AD3609" s="59"/>
      <c r="AE3609" s="59"/>
      <c r="AF3609" s="59"/>
      <c r="AG3609" s="59"/>
      <c r="AH3609" s="59"/>
      <c r="AI3609" s="59"/>
      <c r="AJ3609" s="59"/>
      <c r="AK3609" s="59"/>
      <c r="AL3609" s="59"/>
    </row>
    <row r="3610" ht="15.75" customHeight="1">
      <c r="A3610" s="157">
        <f t="shared" si="25"/>
        <v>4433</v>
      </c>
      <c r="B3610" s="158" t="s">
        <v>12413</v>
      </c>
      <c r="C3610" s="204" t="s">
        <v>12414</v>
      </c>
      <c r="D3610" s="160" t="s">
        <v>12415</v>
      </c>
      <c r="E3610" s="158" t="s">
        <v>302</v>
      </c>
      <c r="F3610" s="158" t="s">
        <v>29</v>
      </c>
      <c r="G3610" s="158" t="s">
        <v>30</v>
      </c>
      <c r="H3610" s="158"/>
      <c r="I3610" s="158" t="s">
        <v>30</v>
      </c>
      <c r="J3610" s="158">
        <v>316.0</v>
      </c>
      <c r="K3610" s="158"/>
      <c r="L3610" s="158" t="s">
        <v>12416</v>
      </c>
      <c r="M3610" s="158" t="s">
        <v>12417</v>
      </c>
      <c r="N3610" s="158">
        <v>2011.0</v>
      </c>
      <c r="O3610" s="158" t="s">
        <v>388</v>
      </c>
      <c r="P3610" s="158">
        <v>1.0</v>
      </c>
      <c r="Q3610" s="162"/>
      <c r="R3610" s="163"/>
      <c r="S3610" s="34"/>
      <c r="T3610" s="34"/>
      <c r="U3610" s="34"/>
      <c r="V3610" s="34"/>
      <c r="W3610" s="34"/>
      <c r="X3610" s="34"/>
      <c r="Y3610" s="284"/>
      <c r="Z3610" s="284"/>
      <c r="AA3610" s="284"/>
      <c r="AB3610" s="284"/>
      <c r="AC3610" s="284"/>
      <c r="AD3610" s="284"/>
      <c r="AE3610" s="284"/>
      <c r="AF3610" s="284"/>
      <c r="AG3610" s="284"/>
      <c r="AH3610" s="284"/>
      <c r="AI3610" s="284"/>
      <c r="AJ3610" s="284"/>
      <c r="AK3610" s="284"/>
      <c r="AL3610" s="284"/>
    </row>
    <row r="3611" ht="15.75" customHeight="1">
      <c r="A3611" s="164">
        <f t="shared" si="25"/>
        <v>4434</v>
      </c>
      <c r="B3611" s="63" t="s">
        <v>10385</v>
      </c>
      <c r="C3611" s="64" t="s">
        <v>12418</v>
      </c>
      <c r="D3611" s="65" t="s">
        <v>12419</v>
      </c>
      <c r="E3611" s="63" t="s">
        <v>144</v>
      </c>
      <c r="F3611" s="63" t="s">
        <v>29</v>
      </c>
      <c r="G3611" s="63" t="s">
        <v>38</v>
      </c>
      <c r="H3611" s="63"/>
      <c r="I3611" s="63" t="s">
        <v>38</v>
      </c>
      <c r="J3611" s="63">
        <v>201.0</v>
      </c>
      <c r="K3611" s="63"/>
      <c r="L3611" s="63" t="s">
        <v>6959</v>
      </c>
      <c r="M3611" s="63" t="s">
        <v>230</v>
      </c>
      <c r="N3611" s="63">
        <v>2011.0</v>
      </c>
      <c r="O3611" s="63" t="s">
        <v>388</v>
      </c>
      <c r="P3611" s="63">
        <v>1.0</v>
      </c>
      <c r="Q3611" s="276">
        <v>1.0</v>
      </c>
      <c r="R3611" s="67"/>
      <c r="S3611" s="116"/>
      <c r="T3611" s="116"/>
      <c r="U3611" s="116"/>
      <c r="V3611" s="116"/>
      <c r="W3611" s="116"/>
      <c r="X3611" s="116"/>
      <c r="Y3611" s="284"/>
      <c r="Z3611" s="284"/>
      <c r="AA3611" s="284"/>
      <c r="AB3611" s="284"/>
      <c r="AC3611" s="284"/>
      <c r="AD3611" s="284"/>
      <c r="AE3611" s="284"/>
      <c r="AF3611" s="284"/>
      <c r="AG3611" s="284"/>
      <c r="AH3611" s="284"/>
      <c r="AI3611" s="284"/>
      <c r="AJ3611" s="284"/>
      <c r="AK3611" s="284"/>
      <c r="AL3611" s="284"/>
    </row>
    <row r="3612" ht="15.75" customHeight="1">
      <c r="A3612" s="164">
        <f t="shared" si="25"/>
        <v>4435</v>
      </c>
      <c r="B3612" s="63" t="s">
        <v>10345</v>
      </c>
      <c r="C3612" s="275" t="s">
        <v>12420</v>
      </c>
      <c r="D3612" s="65" t="s">
        <v>12421</v>
      </c>
      <c r="E3612" s="63" t="s">
        <v>144</v>
      </c>
      <c r="F3612" s="63" t="s">
        <v>29</v>
      </c>
      <c r="G3612" s="63" t="s">
        <v>30</v>
      </c>
      <c r="H3612" s="63"/>
      <c r="I3612" s="63" t="s">
        <v>30</v>
      </c>
      <c r="J3612" s="63">
        <f>606+36</f>
        <v>642</v>
      </c>
      <c r="K3612" s="63"/>
      <c r="L3612" s="63"/>
      <c r="M3612" s="63" t="s">
        <v>100</v>
      </c>
      <c r="N3612" s="63">
        <v>1996.0</v>
      </c>
      <c r="O3612" s="63" t="s">
        <v>388</v>
      </c>
      <c r="P3612" s="63">
        <v>2.0</v>
      </c>
      <c r="Q3612" s="276"/>
      <c r="R3612" s="67"/>
      <c r="S3612" s="34"/>
      <c r="T3612" s="34"/>
      <c r="U3612" s="34"/>
      <c r="V3612" s="34"/>
      <c r="W3612" s="34"/>
      <c r="X3612" s="34"/>
      <c r="Y3612" s="59"/>
      <c r="Z3612" s="59"/>
      <c r="AA3612" s="59"/>
      <c r="AB3612" s="59"/>
      <c r="AC3612" s="59"/>
      <c r="AD3612" s="59"/>
      <c r="AE3612" s="59"/>
      <c r="AF3612" s="59"/>
      <c r="AG3612" s="59"/>
      <c r="AH3612" s="59"/>
      <c r="AI3612" s="59"/>
      <c r="AJ3612" s="59"/>
      <c r="AK3612" s="59"/>
      <c r="AL3612" s="59"/>
    </row>
    <row r="3613" ht="15.75" customHeight="1">
      <c r="A3613" s="164">
        <f t="shared" si="25"/>
        <v>4436</v>
      </c>
      <c r="B3613" s="63" t="s">
        <v>2816</v>
      </c>
      <c r="C3613" s="275" t="s">
        <v>12422</v>
      </c>
      <c r="D3613" s="65" t="s">
        <v>12423</v>
      </c>
      <c r="E3613" s="63" t="s">
        <v>144</v>
      </c>
      <c r="F3613" s="63" t="s">
        <v>29</v>
      </c>
      <c r="G3613" s="63" t="s">
        <v>30</v>
      </c>
      <c r="H3613" s="63"/>
      <c r="I3613" s="63" t="s">
        <v>30</v>
      </c>
      <c r="J3613" s="63">
        <f>216+8</f>
        <v>224</v>
      </c>
      <c r="K3613" s="63"/>
      <c r="L3613" s="63" t="s">
        <v>12424</v>
      </c>
      <c r="M3613" s="63" t="s">
        <v>4033</v>
      </c>
      <c r="N3613" s="63">
        <v>1982.0</v>
      </c>
      <c r="O3613" s="63" t="s">
        <v>388</v>
      </c>
      <c r="P3613" s="63">
        <v>1.0</v>
      </c>
      <c r="Q3613" s="300">
        <v>1.0</v>
      </c>
      <c r="R3613" s="67"/>
      <c r="S3613" s="34"/>
      <c r="T3613" s="34"/>
      <c r="U3613" s="34"/>
      <c r="V3613" s="34"/>
      <c r="W3613" s="34"/>
      <c r="X3613" s="34"/>
      <c r="Y3613" s="59"/>
      <c r="Z3613" s="59"/>
      <c r="AA3613" s="59"/>
      <c r="AB3613" s="59"/>
      <c r="AC3613" s="59"/>
      <c r="AD3613" s="59"/>
      <c r="AE3613" s="59"/>
      <c r="AF3613" s="59"/>
      <c r="AG3613" s="59"/>
      <c r="AH3613" s="59"/>
      <c r="AI3613" s="59"/>
      <c r="AJ3613" s="59"/>
      <c r="AK3613" s="59"/>
      <c r="AL3613" s="59"/>
    </row>
    <row r="3614" ht="15.75" customHeight="1">
      <c r="A3614" s="164">
        <f t="shared" si="25"/>
        <v>4437</v>
      </c>
      <c r="B3614" s="63"/>
      <c r="C3614" s="275" t="s">
        <v>12425</v>
      </c>
      <c r="D3614" s="65" t="s">
        <v>2843</v>
      </c>
      <c r="E3614" s="63" t="s">
        <v>144</v>
      </c>
      <c r="F3614" s="63" t="s">
        <v>29</v>
      </c>
      <c r="G3614" s="63" t="s">
        <v>30</v>
      </c>
      <c r="H3614" s="63"/>
      <c r="I3614" s="63" t="s">
        <v>30</v>
      </c>
      <c r="J3614" s="63">
        <f>369+14</f>
        <v>383</v>
      </c>
      <c r="K3614" s="63"/>
      <c r="L3614" s="63"/>
      <c r="M3614" s="63"/>
      <c r="N3614" s="63">
        <v>2003.0</v>
      </c>
      <c r="O3614" s="63" t="s">
        <v>388</v>
      </c>
      <c r="P3614" s="63">
        <v>1.0</v>
      </c>
      <c r="Q3614" s="276"/>
      <c r="R3614" s="67"/>
      <c r="S3614" s="34"/>
      <c r="T3614" s="34"/>
      <c r="U3614" s="34"/>
      <c r="V3614" s="34"/>
      <c r="W3614" s="34"/>
      <c r="X3614" s="34"/>
      <c r="Y3614" s="59"/>
      <c r="Z3614" s="59"/>
      <c r="AA3614" s="59"/>
      <c r="AB3614" s="59"/>
      <c r="AC3614" s="59"/>
      <c r="AD3614" s="59"/>
      <c r="AE3614" s="59"/>
      <c r="AF3614" s="59"/>
      <c r="AG3614" s="59"/>
      <c r="AH3614" s="59"/>
      <c r="AI3614" s="59"/>
      <c r="AJ3614" s="59"/>
      <c r="AK3614" s="59"/>
      <c r="AL3614" s="59"/>
    </row>
    <row r="3615" ht="15.75" customHeight="1">
      <c r="A3615" s="115">
        <f t="shared" si="25"/>
        <v>4438</v>
      </c>
      <c r="B3615" s="49" t="s">
        <v>2845</v>
      </c>
      <c r="C3615" s="272" t="s">
        <v>12426</v>
      </c>
      <c r="D3615" s="55" t="s">
        <v>12427</v>
      </c>
      <c r="E3615" s="49" t="s">
        <v>31</v>
      </c>
      <c r="F3615" s="49" t="s">
        <v>29</v>
      </c>
      <c r="G3615" s="49" t="s">
        <v>37</v>
      </c>
      <c r="H3615" s="49"/>
      <c r="I3615" s="49" t="s">
        <v>38</v>
      </c>
      <c r="J3615" s="49">
        <v>360.0</v>
      </c>
      <c r="K3615" s="49"/>
      <c r="L3615" s="49" t="s">
        <v>12428</v>
      </c>
      <c r="M3615" s="49" t="s">
        <v>72</v>
      </c>
      <c r="N3615" s="49">
        <v>1985.0</v>
      </c>
      <c r="O3615" s="49" t="s">
        <v>388</v>
      </c>
      <c r="P3615" s="49">
        <v>1.0</v>
      </c>
      <c r="Q3615" s="56"/>
      <c r="R3615" s="54"/>
      <c r="S3615" s="34"/>
      <c r="T3615" s="34"/>
      <c r="U3615" s="34"/>
      <c r="V3615" s="34"/>
      <c r="W3615" s="34"/>
      <c r="X3615" s="34"/>
      <c r="Y3615" s="59"/>
      <c r="Z3615" s="59"/>
      <c r="AA3615" s="59"/>
      <c r="AB3615" s="59"/>
      <c r="AC3615" s="59"/>
      <c r="AD3615" s="59"/>
      <c r="AE3615" s="59"/>
      <c r="AF3615" s="59"/>
      <c r="AG3615" s="59"/>
      <c r="AH3615" s="59"/>
      <c r="AI3615" s="59"/>
      <c r="AJ3615" s="59"/>
      <c r="AK3615" s="59"/>
      <c r="AL3615" s="59"/>
    </row>
    <row r="3616" ht="15.75" customHeight="1">
      <c r="A3616" s="115">
        <f>A3614+1</f>
        <v>4438</v>
      </c>
      <c r="B3616" s="49" t="s">
        <v>12429</v>
      </c>
      <c r="C3616" s="272" t="s">
        <v>12430</v>
      </c>
      <c r="D3616" s="55" t="s">
        <v>12431</v>
      </c>
      <c r="E3616" s="49" t="s">
        <v>144</v>
      </c>
      <c r="F3616" s="49" t="s">
        <v>29</v>
      </c>
      <c r="G3616" s="49" t="s">
        <v>30</v>
      </c>
      <c r="H3616" s="49"/>
      <c r="I3616" s="49" t="s">
        <v>30</v>
      </c>
      <c r="J3616" s="49">
        <f>581+25</f>
        <v>606</v>
      </c>
      <c r="K3616" s="49"/>
      <c r="L3616" s="49" t="s">
        <v>12432</v>
      </c>
      <c r="M3616" s="49" t="s">
        <v>12433</v>
      </c>
      <c r="N3616" s="49">
        <v>1995.0</v>
      </c>
      <c r="O3616" s="49" t="s">
        <v>388</v>
      </c>
      <c r="P3616" s="49">
        <v>1.0</v>
      </c>
      <c r="Q3616" s="56"/>
      <c r="R3616" s="54"/>
      <c r="S3616" s="34"/>
      <c r="T3616" s="34"/>
      <c r="U3616" s="34"/>
      <c r="V3616" s="34"/>
      <c r="W3616" s="34"/>
      <c r="X3616" s="34"/>
      <c r="Y3616" s="59"/>
      <c r="Z3616" s="59"/>
      <c r="AA3616" s="59"/>
      <c r="AB3616" s="59"/>
      <c r="AC3616" s="59"/>
      <c r="AD3616" s="59"/>
      <c r="AE3616" s="59"/>
      <c r="AF3616" s="59"/>
      <c r="AG3616" s="59"/>
      <c r="AH3616" s="59"/>
      <c r="AI3616" s="59"/>
      <c r="AJ3616" s="59"/>
      <c r="AK3616" s="59"/>
      <c r="AL3616" s="59"/>
    </row>
    <row r="3617" ht="15.75" customHeight="1">
      <c r="A3617" s="115">
        <f t="shared" ref="A3617:A3681" si="26">A3616+1</f>
        <v>4439</v>
      </c>
      <c r="B3617" s="49" t="s">
        <v>1177</v>
      </c>
      <c r="C3617" s="272" t="s">
        <v>12434</v>
      </c>
      <c r="D3617" s="55" t="s">
        <v>1179</v>
      </c>
      <c r="E3617" s="49" t="s">
        <v>28</v>
      </c>
      <c r="F3617" s="49" t="s">
        <v>29</v>
      </c>
      <c r="G3617" s="49" t="s">
        <v>37</v>
      </c>
      <c r="H3617" s="49"/>
      <c r="I3617" s="49" t="s">
        <v>38</v>
      </c>
      <c r="J3617" s="49">
        <v>349.0</v>
      </c>
      <c r="K3617" s="49"/>
      <c r="L3617" s="49" t="s">
        <v>12435</v>
      </c>
      <c r="M3617" s="49" t="s">
        <v>1181</v>
      </c>
      <c r="N3617" s="49">
        <v>1984.0</v>
      </c>
      <c r="O3617" s="49" t="s">
        <v>388</v>
      </c>
      <c r="P3617" s="49">
        <v>1.0</v>
      </c>
      <c r="Q3617" s="56"/>
      <c r="R3617" s="54"/>
      <c r="S3617" s="34"/>
      <c r="T3617" s="34"/>
      <c r="U3617" s="34"/>
      <c r="V3617" s="34"/>
      <c r="W3617" s="34"/>
      <c r="X3617" s="34"/>
      <c r="Y3617" s="59"/>
      <c r="Z3617" s="59"/>
      <c r="AA3617" s="59"/>
      <c r="AB3617" s="59"/>
      <c r="AC3617" s="59"/>
      <c r="AD3617" s="59"/>
      <c r="AE3617" s="59"/>
      <c r="AF3617" s="59"/>
      <c r="AG3617" s="59"/>
      <c r="AH3617" s="59"/>
      <c r="AI3617" s="59"/>
      <c r="AJ3617" s="59"/>
      <c r="AK3617" s="59"/>
      <c r="AL3617" s="59"/>
    </row>
    <row r="3618" ht="15.75" customHeight="1">
      <c r="A3618" s="164">
        <f t="shared" si="26"/>
        <v>4440</v>
      </c>
      <c r="B3618" s="63" t="s">
        <v>2865</v>
      </c>
      <c r="C3618" s="275" t="s">
        <v>12436</v>
      </c>
      <c r="D3618" s="65" t="s">
        <v>12437</v>
      </c>
      <c r="E3618" s="63" t="s">
        <v>144</v>
      </c>
      <c r="F3618" s="63" t="s">
        <v>29</v>
      </c>
      <c r="G3618" s="63" t="s">
        <v>30</v>
      </c>
      <c r="H3618" s="63"/>
      <c r="I3618" s="63" t="s">
        <v>30</v>
      </c>
      <c r="J3618" s="63">
        <f>326+10</f>
        <v>336</v>
      </c>
      <c r="K3618" s="63"/>
      <c r="L3618" s="63" t="s">
        <v>2868</v>
      </c>
      <c r="M3618" s="63" t="s">
        <v>2869</v>
      </c>
      <c r="N3618" s="63">
        <v>1995.0</v>
      </c>
      <c r="O3618" s="63" t="s">
        <v>388</v>
      </c>
      <c r="P3618" s="63">
        <v>1.0</v>
      </c>
      <c r="Q3618" s="276"/>
      <c r="R3618" s="67"/>
      <c r="S3618" s="34"/>
      <c r="T3618" s="34"/>
      <c r="U3618" s="34"/>
      <c r="V3618" s="34"/>
      <c r="W3618" s="34"/>
      <c r="X3618" s="34"/>
      <c r="Y3618" s="59"/>
      <c r="Z3618" s="59"/>
      <c r="AA3618" s="59"/>
      <c r="AB3618" s="59"/>
      <c r="AC3618" s="59"/>
      <c r="AD3618" s="59"/>
      <c r="AE3618" s="59"/>
      <c r="AF3618" s="59"/>
      <c r="AG3618" s="59"/>
      <c r="AH3618" s="59"/>
      <c r="AI3618" s="59"/>
      <c r="AJ3618" s="59"/>
      <c r="AK3618" s="59"/>
      <c r="AL3618" s="59"/>
    </row>
    <row r="3619" ht="15.75" customHeight="1">
      <c r="A3619" s="164">
        <f t="shared" si="26"/>
        <v>4441</v>
      </c>
      <c r="B3619" s="63" t="s">
        <v>31</v>
      </c>
      <c r="C3619" s="275" t="s">
        <v>12438</v>
      </c>
      <c r="D3619" s="65" t="s">
        <v>12439</v>
      </c>
      <c r="E3619" s="63"/>
      <c r="F3619" s="63" t="s">
        <v>29</v>
      </c>
      <c r="G3619" s="63" t="s">
        <v>30</v>
      </c>
      <c r="H3619" s="63" t="s">
        <v>31</v>
      </c>
      <c r="I3619" s="63" t="s">
        <v>30</v>
      </c>
      <c r="J3619" s="63">
        <v>80.0</v>
      </c>
      <c r="K3619" s="63"/>
      <c r="L3619" s="63"/>
      <c r="M3619" s="63"/>
      <c r="N3619" s="63" t="s">
        <v>31</v>
      </c>
      <c r="O3619" s="63" t="s">
        <v>388</v>
      </c>
      <c r="P3619" s="63">
        <v>2.0</v>
      </c>
      <c r="Q3619" s="276"/>
      <c r="R3619" s="67"/>
      <c r="S3619" s="34"/>
      <c r="T3619" s="34"/>
      <c r="U3619" s="34"/>
      <c r="V3619" s="34"/>
      <c r="W3619" s="34"/>
      <c r="X3619" s="34"/>
      <c r="Y3619" s="59"/>
      <c r="Z3619" s="59"/>
      <c r="AA3619" s="59"/>
      <c r="AB3619" s="59"/>
      <c r="AC3619" s="59"/>
      <c r="AD3619" s="59"/>
      <c r="AE3619" s="59"/>
      <c r="AF3619" s="59"/>
      <c r="AG3619" s="59"/>
      <c r="AH3619" s="59"/>
      <c r="AI3619" s="59"/>
      <c r="AJ3619" s="59"/>
      <c r="AK3619" s="59"/>
      <c r="AL3619" s="59"/>
    </row>
    <row r="3620" ht="15.75" customHeight="1">
      <c r="A3620" s="157">
        <f t="shared" si="26"/>
        <v>4442</v>
      </c>
      <c r="B3620" s="158" t="s">
        <v>31</v>
      </c>
      <c r="C3620" s="204" t="s">
        <v>12440</v>
      </c>
      <c r="D3620" s="160" t="s">
        <v>12441</v>
      </c>
      <c r="E3620" s="158"/>
      <c r="F3620" s="158" t="s">
        <v>29</v>
      </c>
      <c r="G3620" s="158" t="s">
        <v>30</v>
      </c>
      <c r="H3620" s="158"/>
      <c r="I3620" s="158" t="s">
        <v>30</v>
      </c>
      <c r="J3620" s="158">
        <v>619.0</v>
      </c>
      <c r="K3620" s="158"/>
      <c r="L3620" s="158" t="s">
        <v>31</v>
      </c>
      <c r="M3620" s="158" t="s">
        <v>4767</v>
      </c>
      <c r="N3620" s="158">
        <v>1974.0</v>
      </c>
      <c r="O3620" s="158" t="s">
        <v>388</v>
      </c>
      <c r="P3620" s="158">
        <v>1.0</v>
      </c>
      <c r="Q3620" s="162"/>
      <c r="R3620" s="163"/>
      <c r="S3620" s="34"/>
      <c r="T3620" s="34"/>
      <c r="U3620" s="34"/>
      <c r="V3620" s="34"/>
      <c r="W3620" s="34"/>
      <c r="X3620" s="34"/>
      <c r="Y3620" s="59"/>
      <c r="Z3620" s="59"/>
      <c r="AA3620" s="59"/>
      <c r="AB3620" s="59"/>
      <c r="AC3620" s="59"/>
      <c r="AD3620" s="59"/>
      <c r="AE3620" s="59"/>
      <c r="AF3620" s="59"/>
      <c r="AG3620" s="59"/>
      <c r="AH3620" s="59"/>
      <c r="AI3620" s="59"/>
      <c r="AJ3620" s="59"/>
      <c r="AK3620" s="59"/>
      <c r="AL3620" s="59"/>
    </row>
    <row r="3621" ht="15.75" customHeight="1">
      <c r="A3621" s="164">
        <f t="shared" si="26"/>
        <v>4443</v>
      </c>
      <c r="B3621" s="63" t="s">
        <v>12442</v>
      </c>
      <c r="C3621" s="275" t="s">
        <v>12443</v>
      </c>
      <c r="D3621" s="65" t="s">
        <v>12444</v>
      </c>
      <c r="E3621" s="63" t="s">
        <v>12445</v>
      </c>
      <c r="F3621" s="63" t="s">
        <v>29</v>
      </c>
      <c r="G3621" s="63" t="s">
        <v>12446</v>
      </c>
      <c r="H3621" s="63"/>
      <c r="I3621" s="63" t="s">
        <v>38</v>
      </c>
      <c r="J3621" s="63">
        <f>1103+8</f>
        <v>1111</v>
      </c>
      <c r="K3621" s="63"/>
      <c r="L3621" s="63" t="s">
        <v>31</v>
      </c>
      <c r="M3621" s="63" t="s">
        <v>12447</v>
      </c>
      <c r="N3621" s="63">
        <v>2016.0</v>
      </c>
      <c r="O3621" s="63" t="s">
        <v>388</v>
      </c>
      <c r="P3621" s="63">
        <v>1.0</v>
      </c>
      <c r="Q3621" s="276"/>
      <c r="R3621" s="67"/>
      <c r="S3621" s="34"/>
      <c r="T3621" s="34"/>
      <c r="U3621" s="34"/>
      <c r="V3621" s="34"/>
      <c r="W3621" s="34"/>
      <c r="X3621" s="34"/>
      <c r="Y3621" s="59"/>
      <c r="Z3621" s="59"/>
      <c r="AA3621" s="59"/>
      <c r="AB3621" s="59"/>
      <c r="AC3621" s="59"/>
      <c r="AD3621" s="59"/>
      <c r="AE3621" s="59"/>
      <c r="AF3621" s="59"/>
      <c r="AG3621" s="59"/>
      <c r="AH3621" s="59"/>
      <c r="AI3621" s="59"/>
      <c r="AJ3621" s="59"/>
      <c r="AK3621" s="59"/>
      <c r="AL3621" s="59"/>
    </row>
    <row r="3622" ht="15.75" customHeight="1">
      <c r="A3622" s="157">
        <f t="shared" si="26"/>
        <v>4444</v>
      </c>
      <c r="B3622" s="158" t="s">
        <v>12448</v>
      </c>
      <c r="C3622" s="159" t="s">
        <v>12449</v>
      </c>
      <c r="D3622" s="160" t="s">
        <v>12450</v>
      </c>
      <c r="E3622" s="158" t="s">
        <v>28</v>
      </c>
      <c r="F3622" s="158" t="s">
        <v>29</v>
      </c>
      <c r="G3622" s="158" t="s">
        <v>98</v>
      </c>
      <c r="H3622" s="158"/>
      <c r="I3622" s="158" t="s">
        <v>1195</v>
      </c>
      <c r="J3622" s="158">
        <v>918.0</v>
      </c>
      <c r="K3622" s="158"/>
      <c r="L3622" s="158" t="s">
        <v>31</v>
      </c>
      <c r="M3622" s="158" t="s">
        <v>100</v>
      </c>
      <c r="N3622" s="158">
        <v>2008.0</v>
      </c>
      <c r="O3622" s="158" t="s">
        <v>388</v>
      </c>
      <c r="P3622" s="158">
        <v>2.0</v>
      </c>
      <c r="Q3622" s="162">
        <v>2.0</v>
      </c>
      <c r="R3622" s="163"/>
      <c r="S3622" s="34"/>
      <c r="T3622" s="34"/>
      <c r="U3622" s="34"/>
      <c r="V3622" s="34"/>
      <c r="W3622" s="34"/>
      <c r="X3622" s="34"/>
      <c r="Y3622" s="59"/>
      <c r="Z3622" s="59"/>
      <c r="AA3622" s="59"/>
      <c r="AB3622" s="59"/>
      <c r="AC3622" s="59"/>
      <c r="AD3622" s="59"/>
      <c r="AE3622" s="59"/>
      <c r="AF3622" s="59"/>
      <c r="AG3622" s="59"/>
      <c r="AH3622" s="59"/>
      <c r="AI3622" s="59"/>
      <c r="AJ3622" s="59"/>
      <c r="AK3622" s="59"/>
      <c r="AL3622" s="59"/>
    </row>
    <row r="3623" ht="15.75" customHeight="1">
      <c r="A3623" s="115">
        <f t="shared" si="26"/>
        <v>4445</v>
      </c>
      <c r="B3623" s="49" t="s">
        <v>12451</v>
      </c>
      <c r="C3623" s="272" t="s">
        <v>12452</v>
      </c>
      <c r="D3623" s="55" t="s">
        <v>12453</v>
      </c>
      <c r="E3623" s="49" t="s">
        <v>28</v>
      </c>
      <c r="F3623" s="49" t="s">
        <v>29</v>
      </c>
      <c r="G3623" s="49" t="s">
        <v>98</v>
      </c>
      <c r="H3623" s="49"/>
      <c r="I3623" s="49" t="s">
        <v>1195</v>
      </c>
      <c r="J3623" s="49">
        <v>890.0</v>
      </c>
      <c r="K3623" s="49"/>
      <c r="L3623" s="49" t="s">
        <v>11765</v>
      </c>
      <c r="M3623" s="49" t="s">
        <v>100</v>
      </c>
      <c r="N3623" s="49">
        <v>2012.0</v>
      </c>
      <c r="O3623" s="49" t="s">
        <v>388</v>
      </c>
      <c r="P3623" s="49">
        <v>2.0</v>
      </c>
      <c r="Q3623" s="56">
        <v>2.0</v>
      </c>
      <c r="R3623" s="54"/>
      <c r="S3623" s="116"/>
      <c r="T3623" s="116"/>
      <c r="U3623" s="116"/>
      <c r="V3623" s="116"/>
      <c r="W3623" s="116"/>
      <c r="X3623" s="116"/>
      <c r="Y3623" s="59"/>
      <c r="Z3623" s="59"/>
      <c r="AA3623" s="59"/>
      <c r="AB3623" s="59"/>
      <c r="AC3623" s="59"/>
      <c r="AD3623" s="59"/>
      <c r="AE3623" s="59"/>
      <c r="AF3623" s="59"/>
      <c r="AG3623" s="59"/>
      <c r="AH3623" s="59"/>
      <c r="AI3623" s="59"/>
      <c r="AJ3623" s="59"/>
      <c r="AK3623" s="59"/>
      <c r="AL3623" s="59"/>
    </row>
    <row r="3624" ht="15.75" customHeight="1">
      <c r="A3624" s="164">
        <f t="shared" si="26"/>
        <v>4446</v>
      </c>
      <c r="B3624" s="63" t="s">
        <v>31</v>
      </c>
      <c r="C3624" s="275" t="s">
        <v>12454</v>
      </c>
      <c r="D3624" s="65" t="s">
        <v>12455</v>
      </c>
      <c r="E3624" s="63" t="s">
        <v>28</v>
      </c>
      <c r="F3624" s="63" t="s">
        <v>29</v>
      </c>
      <c r="G3624" s="63" t="s">
        <v>98</v>
      </c>
      <c r="H3624" s="63"/>
      <c r="I3624" s="63" t="s">
        <v>1195</v>
      </c>
      <c r="J3624" s="63">
        <v>1137.0</v>
      </c>
      <c r="K3624" s="63"/>
      <c r="L3624" s="63" t="s">
        <v>31</v>
      </c>
      <c r="M3624" s="63" t="s">
        <v>54</v>
      </c>
      <c r="N3624" s="63">
        <v>1968.0</v>
      </c>
      <c r="O3624" s="63" t="s">
        <v>388</v>
      </c>
      <c r="P3624" s="63">
        <v>1.0</v>
      </c>
      <c r="Q3624" s="276">
        <v>1.0</v>
      </c>
      <c r="R3624" s="67"/>
      <c r="S3624" s="116"/>
      <c r="T3624" s="116"/>
      <c r="U3624" s="116"/>
      <c r="V3624" s="116"/>
      <c r="W3624" s="116"/>
      <c r="X3624" s="116"/>
      <c r="Y3624" s="59"/>
      <c r="Z3624" s="59"/>
      <c r="AA3624" s="59"/>
      <c r="AB3624" s="59"/>
      <c r="AC3624" s="59"/>
      <c r="AD3624" s="59"/>
      <c r="AE3624" s="59"/>
      <c r="AF3624" s="59"/>
      <c r="AG3624" s="59"/>
      <c r="AH3624" s="59"/>
      <c r="AI3624" s="59"/>
      <c r="AJ3624" s="59"/>
      <c r="AK3624" s="59"/>
      <c r="AL3624" s="59"/>
    </row>
    <row r="3625" ht="15.75" customHeight="1">
      <c r="A3625" s="115">
        <f t="shared" si="26"/>
        <v>4447</v>
      </c>
      <c r="B3625" s="49"/>
      <c r="C3625" s="272" t="s">
        <v>12456</v>
      </c>
      <c r="D3625" s="55" t="s">
        <v>1294</v>
      </c>
      <c r="E3625" s="49"/>
      <c r="F3625" s="49" t="s">
        <v>740</v>
      </c>
      <c r="G3625" s="49" t="s">
        <v>2179</v>
      </c>
      <c r="H3625" s="49"/>
      <c r="I3625" s="49" t="s">
        <v>38</v>
      </c>
      <c r="J3625" s="49">
        <v>594.0</v>
      </c>
      <c r="K3625" s="49"/>
      <c r="L3625" s="49" t="s">
        <v>12457</v>
      </c>
      <c r="M3625" s="49" t="s">
        <v>219</v>
      </c>
      <c r="N3625" s="49">
        <v>1958.0</v>
      </c>
      <c r="O3625" s="49" t="s">
        <v>388</v>
      </c>
      <c r="P3625" s="49">
        <v>2.0</v>
      </c>
      <c r="Q3625" s="56">
        <v>2.0</v>
      </c>
      <c r="R3625" s="54"/>
      <c r="S3625" s="34"/>
      <c r="T3625" s="34"/>
      <c r="U3625" s="34"/>
      <c r="V3625" s="34"/>
      <c r="W3625" s="34"/>
      <c r="X3625" s="34"/>
      <c r="Y3625" s="59"/>
      <c r="Z3625" s="59"/>
      <c r="AA3625" s="59"/>
      <c r="AB3625" s="59"/>
      <c r="AC3625" s="59"/>
      <c r="AD3625" s="59"/>
      <c r="AE3625" s="59"/>
      <c r="AF3625" s="59"/>
      <c r="AG3625" s="59"/>
      <c r="AH3625" s="59"/>
      <c r="AI3625" s="59"/>
      <c r="AJ3625" s="59"/>
      <c r="AK3625" s="59"/>
      <c r="AL3625" s="59"/>
    </row>
    <row r="3626" ht="15.75" customHeight="1">
      <c r="A3626" s="115">
        <f t="shared" si="26"/>
        <v>4448</v>
      </c>
      <c r="B3626" s="49" t="s">
        <v>12458</v>
      </c>
      <c r="C3626" s="50" t="s">
        <v>12459</v>
      </c>
      <c r="D3626" s="55" t="s">
        <v>12460</v>
      </c>
      <c r="E3626" s="49" t="s">
        <v>3578</v>
      </c>
      <c r="F3626" s="49" t="s">
        <v>29</v>
      </c>
      <c r="G3626" s="49" t="s">
        <v>37</v>
      </c>
      <c r="H3626" s="49"/>
      <c r="I3626" s="49" t="s">
        <v>38</v>
      </c>
      <c r="J3626" s="49">
        <v>186.0</v>
      </c>
      <c r="K3626" s="49"/>
      <c r="L3626" s="49" t="s">
        <v>2967</v>
      </c>
      <c r="M3626" s="49" t="s">
        <v>72</v>
      </c>
      <c r="N3626" s="49">
        <v>2011.0</v>
      </c>
      <c r="O3626" s="49" t="s">
        <v>388</v>
      </c>
      <c r="P3626" s="49">
        <v>1.0</v>
      </c>
      <c r="Q3626" s="56"/>
      <c r="R3626" s="54"/>
      <c r="S3626" s="34"/>
      <c r="T3626" s="34"/>
      <c r="U3626" s="34"/>
      <c r="V3626" s="34"/>
      <c r="W3626" s="34"/>
      <c r="X3626" s="34"/>
      <c r="Y3626" s="59"/>
      <c r="Z3626" s="59"/>
      <c r="AA3626" s="59"/>
      <c r="AB3626" s="59"/>
      <c r="AC3626" s="59"/>
      <c r="AD3626" s="59"/>
      <c r="AE3626" s="59"/>
      <c r="AF3626" s="59"/>
      <c r="AG3626" s="59"/>
      <c r="AH3626" s="59"/>
      <c r="AI3626" s="59"/>
      <c r="AJ3626" s="59"/>
      <c r="AK3626" s="59"/>
      <c r="AL3626" s="59"/>
    </row>
    <row r="3627" ht="15.75" customHeight="1">
      <c r="A3627" s="115">
        <f t="shared" si="26"/>
        <v>4449</v>
      </c>
      <c r="B3627" s="49" t="s">
        <v>3086</v>
      </c>
      <c r="C3627" s="272" t="s">
        <v>12461</v>
      </c>
      <c r="D3627" s="55" t="s">
        <v>12462</v>
      </c>
      <c r="E3627" s="49" t="s">
        <v>144</v>
      </c>
      <c r="F3627" s="49" t="s">
        <v>29</v>
      </c>
      <c r="G3627" s="49" t="s">
        <v>30</v>
      </c>
      <c r="H3627" s="49"/>
      <c r="I3627" s="49" t="s">
        <v>30</v>
      </c>
      <c r="J3627" s="49">
        <f>191</f>
        <v>191</v>
      </c>
      <c r="K3627" s="49"/>
      <c r="L3627" s="49" t="s">
        <v>3089</v>
      </c>
      <c r="M3627" s="49" t="s">
        <v>12463</v>
      </c>
      <c r="N3627" s="49">
        <v>1977.0</v>
      </c>
      <c r="O3627" s="49" t="s">
        <v>388</v>
      </c>
      <c r="P3627" s="49">
        <v>1.0</v>
      </c>
      <c r="Q3627" s="56"/>
      <c r="R3627" s="54"/>
      <c r="S3627" s="34"/>
      <c r="T3627" s="34"/>
      <c r="U3627" s="34"/>
      <c r="V3627" s="34"/>
      <c r="W3627" s="34"/>
      <c r="X3627" s="34"/>
      <c r="Y3627" s="59"/>
      <c r="Z3627" s="59"/>
      <c r="AA3627" s="59"/>
      <c r="AB3627" s="59"/>
      <c r="AC3627" s="59"/>
      <c r="AD3627" s="59"/>
      <c r="AE3627" s="59"/>
      <c r="AF3627" s="59"/>
      <c r="AG3627" s="59"/>
      <c r="AH3627" s="59"/>
      <c r="AI3627" s="59"/>
      <c r="AJ3627" s="59"/>
      <c r="AK3627" s="59"/>
      <c r="AL3627" s="59"/>
    </row>
    <row r="3628" ht="15.75" customHeight="1">
      <c r="A3628" s="164">
        <f t="shared" si="26"/>
        <v>4450</v>
      </c>
      <c r="B3628" s="63" t="s">
        <v>31</v>
      </c>
      <c r="C3628" s="275" t="s">
        <v>12464</v>
      </c>
      <c r="D3628" s="65" t="s">
        <v>12465</v>
      </c>
      <c r="E3628" s="63"/>
      <c r="F3628" s="63" t="s">
        <v>29</v>
      </c>
      <c r="G3628" s="63" t="s">
        <v>30</v>
      </c>
      <c r="H3628" s="63"/>
      <c r="I3628" s="63" t="s">
        <v>30</v>
      </c>
      <c r="J3628" s="63">
        <v>135.0</v>
      </c>
      <c r="K3628" s="63"/>
      <c r="L3628" s="63" t="s">
        <v>12466</v>
      </c>
      <c r="M3628" s="63" t="s">
        <v>4762</v>
      </c>
      <c r="N3628" s="63">
        <v>1994.0</v>
      </c>
      <c r="O3628" s="63" t="s">
        <v>388</v>
      </c>
      <c r="P3628" s="63">
        <v>1.0</v>
      </c>
      <c r="Q3628" s="276"/>
      <c r="R3628" s="67"/>
      <c r="S3628" s="116"/>
      <c r="T3628" s="116"/>
      <c r="U3628" s="116"/>
      <c r="V3628" s="116"/>
      <c r="W3628" s="116"/>
      <c r="X3628" s="116"/>
      <c r="Y3628" s="59"/>
      <c r="Z3628" s="59"/>
      <c r="AA3628" s="59"/>
      <c r="AB3628" s="59"/>
      <c r="AC3628" s="59"/>
      <c r="AD3628" s="59"/>
      <c r="AE3628" s="59"/>
      <c r="AF3628" s="59"/>
      <c r="AG3628" s="59"/>
      <c r="AH3628" s="59"/>
      <c r="AI3628" s="59"/>
      <c r="AJ3628" s="59"/>
      <c r="AK3628" s="59"/>
      <c r="AL3628" s="59"/>
    </row>
    <row r="3629" ht="15.75" customHeight="1">
      <c r="A3629" s="164">
        <f t="shared" si="26"/>
        <v>4451</v>
      </c>
      <c r="B3629" s="63"/>
      <c r="C3629" s="275" t="s">
        <v>12467</v>
      </c>
      <c r="D3629" s="65" t="s">
        <v>12468</v>
      </c>
      <c r="E3629" s="63" t="s">
        <v>144</v>
      </c>
      <c r="F3629" s="63" t="s">
        <v>29</v>
      </c>
      <c r="G3629" s="63" t="s">
        <v>30</v>
      </c>
      <c r="H3629" s="63"/>
      <c r="I3629" s="63" t="s">
        <v>30</v>
      </c>
      <c r="J3629" s="63">
        <f>128</f>
        <v>128</v>
      </c>
      <c r="K3629" s="63"/>
      <c r="L3629" s="63" t="s">
        <v>12469</v>
      </c>
      <c r="M3629" s="63" t="s">
        <v>3109</v>
      </c>
      <c r="N3629" s="63">
        <v>1978.0</v>
      </c>
      <c r="O3629" s="63" t="s">
        <v>388</v>
      </c>
      <c r="P3629" s="63">
        <v>1.0</v>
      </c>
      <c r="Q3629" s="276"/>
      <c r="R3629" s="67"/>
      <c r="S3629" s="116"/>
      <c r="T3629" s="116"/>
      <c r="U3629" s="116"/>
      <c r="V3629" s="116"/>
      <c r="W3629" s="116"/>
      <c r="X3629" s="116"/>
      <c r="Y3629" s="284"/>
      <c r="Z3629" s="284"/>
      <c r="AA3629" s="284"/>
      <c r="AB3629" s="284"/>
      <c r="AC3629" s="284"/>
      <c r="AD3629" s="284"/>
      <c r="AE3629" s="284"/>
      <c r="AF3629" s="284"/>
      <c r="AG3629" s="284"/>
      <c r="AH3629" s="284"/>
      <c r="AI3629" s="284"/>
      <c r="AJ3629" s="284"/>
      <c r="AK3629" s="284"/>
      <c r="AL3629" s="284"/>
    </row>
    <row r="3630" ht="15.75" customHeight="1">
      <c r="A3630" s="164">
        <f t="shared" si="26"/>
        <v>4452</v>
      </c>
      <c r="B3630" s="63" t="s">
        <v>12470</v>
      </c>
      <c r="C3630" s="275" t="s">
        <v>12471</v>
      </c>
      <c r="D3630" s="65" t="s">
        <v>12472</v>
      </c>
      <c r="E3630" s="63" t="s">
        <v>144</v>
      </c>
      <c r="F3630" s="63" t="s">
        <v>29</v>
      </c>
      <c r="G3630" s="63" t="s">
        <v>30</v>
      </c>
      <c r="H3630" s="63"/>
      <c r="I3630" s="63" t="s">
        <v>30</v>
      </c>
      <c r="J3630" s="63">
        <v>556.0</v>
      </c>
      <c r="K3630" s="63"/>
      <c r="L3630" s="63" t="s">
        <v>12473</v>
      </c>
      <c r="M3630" s="63" t="s">
        <v>12474</v>
      </c>
      <c r="N3630" s="63">
        <v>2010.0</v>
      </c>
      <c r="O3630" s="63" t="s">
        <v>388</v>
      </c>
      <c r="P3630" s="63">
        <v>1.0</v>
      </c>
      <c r="Q3630" s="276"/>
      <c r="R3630" s="67"/>
      <c r="S3630" s="34"/>
      <c r="T3630" s="34"/>
      <c r="U3630" s="34"/>
      <c r="V3630" s="34"/>
      <c r="W3630" s="34"/>
      <c r="X3630" s="34"/>
      <c r="Y3630" s="284"/>
      <c r="Z3630" s="284"/>
      <c r="AA3630" s="284"/>
      <c r="AB3630" s="284"/>
      <c r="AC3630" s="284"/>
      <c r="AD3630" s="284"/>
      <c r="AE3630" s="284"/>
      <c r="AF3630" s="284"/>
      <c r="AG3630" s="284"/>
      <c r="AH3630" s="284"/>
      <c r="AI3630" s="284"/>
      <c r="AJ3630" s="284"/>
      <c r="AK3630" s="284"/>
      <c r="AL3630" s="284"/>
    </row>
    <row r="3631" ht="15.75" customHeight="1">
      <c r="A3631" s="115">
        <f t="shared" si="26"/>
        <v>4453</v>
      </c>
      <c r="B3631" s="49" t="s">
        <v>12475</v>
      </c>
      <c r="C3631" s="50" t="s">
        <v>12476</v>
      </c>
      <c r="D3631" s="55" t="s">
        <v>12477</v>
      </c>
      <c r="E3631" s="49"/>
      <c r="F3631" s="49" t="s">
        <v>29</v>
      </c>
      <c r="G3631" s="49" t="s">
        <v>37</v>
      </c>
      <c r="H3631" s="49"/>
      <c r="I3631" s="49" t="s">
        <v>38</v>
      </c>
      <c r="J3631" s="49">
        <v>232.0</v>
      </c>
      <c r="K3631" s="49"/>
      <c r="L3631" s="49" t="s">
        <v>6959</v>
      </c>
      <c r="M3631" s="49" t="s">
        <v>356</v>
      </c>
      <c r="N3631" s="49">
        <v>2009.0</v>
      </c>
      <c r="O3631" s="49" t="s">
        <v>388</v>
      </c>
      <c r="P3631" s="49">
        <v>1.0</v>
      </c>
      <c r="Q3631" s="56"/>
      <c r="R3631" s="54"/>
      <c r="S3631" s="34"/>
      <c r="T3631" s="34"/>
      <c r="U3631" s="34"/>
      <c r="V3631" s="34"/>
      <c r="W3631" s="34"/>
      <c r="X3631" s="34"/>
      <c r="Y3631" s="284"/>
      <c r="Z3631" s="284"/>
      <c r="AA3631" s="284"/>
      <c r="AB3631" s="284"/>
      <c r="AC3631" s="284"/>
      <c r="AD3631" s="284"/>
      <c r="AE3631" s="284"/>
      <c r="AF3631" s="284"/>
      <c r="AG3631" s="284"/>
      <c r="AH3631" s="284"/>
      <c r="AI3631" s="284"/>
      <c r="AJ3631" s="284"/>
      <c r="AK3631" s="284"/>
      <c r="AL3631" s="284"/>
    </row>
    <row r="3632" ht="15.75" customHeight="1">
      <c r="A3632" s="164">
        <f t="shared" si="26"/>
        <v>4454</v>
      </c>
      <c r="B3632" s="63" t="s">
        <v>12478</v>
      </c>
      <c r="C3632" s="275" t="s">
        <v>12479</v>
      </c>
      <c r="D3632" s="65" t="s">
        <v>12480</v>
      </c>
      <c r="E3632" s="63"/>
      <c r="F3632" s="63" t="s">
        <v>29</v>
      </c>
      <c r="G3632" s="63" t="s">
        <v>30</v>
      </c>
      <c r="H3632" s="63"/>
      <c r="I3632" s="63" t="s">
        <v>30</v>
      </c>
      <c r="J3632" s="63">
        <v>280.0</v>
      </c>
      <c r="K3632" s="63"/>
      <c r="L3632" s="63" t="s">
        <v>4342</v>
      </c>
      <c r="M3632" s="63" t="s">
        <v>1271</v>
      </c>
      <c r="N3632" s="63">
        <v>2005.0</v>
      </c>
      <c r="O3632" s="63" t="s">
        <v>388</v>
      </c>
      <c r="P3632" s="63">
        <v>1.0</v>
      </c>
      <c r="Q3632" s="276"/>
      <c r="R3632" s="67"/>
      <c r="S3632" s="34"/>
      <c r="T3632" s="34"/>
      <c r="U3632" s="34"/>
      <c r="V3632" s="34"/>
      <c r="W3632" s="34"/>
      <c r="X3632" s="34"/>
      <c r="Y3632" s="59"/>
      <c r="Z3632" s="59"/>
      <c r="AA3632" s="59"/>
      <c r="AB3632" s="59"/>
      <c r="AC3632" s="59"/>
      <c r="AD3632" s="59"/>
      <c r="AE3632" s="59"/>
      <c r="AF3632" s="59"/>
      <c r="AG3632" s="59"/>
      <c r="AH3632" s="59"/>
      <c r="AI3632" s="59"/>
      <c r="AJ3632" s="59"/>
      <c r="AK3632" s="59"/>
      <c r="AL3632" s="59"/>
    </row>
    <row r="3633" ht="15.75" customHeight="1">
      <c r="A3633" s="164">
        <f t="shared" si="26"/>
        <v>4455</v>
      </c>
      <c r="B3633" s="63" t="s">
        <v>12481</v>
      </c>
      <c r="C3633" s="275" t="s">
        <v>12482</v>
      </c>
      <c r="D3633" s="65" t="s">
        <v>12483</v>
      </c>
      <c r="E3633" s="63" t="s">
        <v>144</v>
      </c>
      <c r="F3633" s="63" t="s">
        <v>29</v>
      </c>
      <c r="G3633" s="63" t="s">
        <v>30</v>
      </c>
      <c r="H3633" s="63"/>
      <c r="I3633" s="63" t="s">
        <v>30</v>
      </c>
      <c r="J3633" s="63">
        <f>536+20</f>
        <v>556</v>
      </c>
      <c r="K3633" s="63"/>
      <c r="L3633" s="63" t="s">
        <v>8331</v>
      </c>
      <c r="M3633" s="63" t="s">
        <v>12484</v>
      </c>
      <c r="N3633" s="63">
        <v>2010.0</v>
      </c>
      <c r="O3633" s="63" t="s">
        <v>388</v>
      </c>
      <c r="P3633" s="63">
        <v>1.0</v>
      </c>
      <c r="Q3633" s="276"/>
      <c r="R3633" s="67"/>
      <c r="S3633" s="34"/>
      <c r="T3633" s="34"/>
      <c r="U3633" s="34"/>
      <c r="V3633" s="34"/>
      <c r="W3633" s="34"/>
      <c r="X3633" s="34"/>
      <c r="Y3633" s="59"/>
      <c r="Z3633" s="59"/>
      <c r="AA3633" s="59"/>
      <c r="AB3633" s="59"/>
      <c r="AC3633" s="59"/>
      <c r="AD3633" s="59"/>
      <c r="AE3633" s="59"/>
      <c r="AF3633" s="59"/>
      <c r="AG3633" s="59"/>
      <c r="AH3633" s="59"/>
      <c r="AI3633" s="59"/>
      <c r="AJ3633" s="59"/>
      <c r="AK3633" s="59"/>
      <c r="AL3633" s="59"/>
    </row>
    <row r="3634" ht="15.75" customHeight="1">
      <c r="A3634" s="164">
        <f t="shared" si="26"/>
        <v>4456</v>
      </c>
      <c r="B3634" s="63"/>
      <c r="C3634" s="275" t="s">
        <v>12485</v>
      </c>
      <c r="D3634" s="65" t="s">
        <v>12486</v>
      </c>
      <c r="E3634" s="63" t="s">
        <v>144</v>
      </c>
      <c r="F3634" s="63" t="s">
        <v>29</v>
      </c>
      <c r="G3634" s="63" t="s">
        <v>30</v>
      </c>
      <c r="H3634" s="63"/>
      <c r="I3634" s="63" t="s">
        <v>30</v>
      </c>
      <c r="J3634" s="63">
        <v>135.0</v>
      </c>
      <c r="K3634" s="63"/>
      <c r="L3634" s="63" t="s">
        <v>12487</v>
      </c>
      <c r="M3634" s="63" t="s">
        <v>4645</v>
      </c>
      <c r="N3634" s="63">
        <v>1976.0</v>
      </c>
      <c r="O3634" s="63" t="s">
        <v>388</v>
      </c>
      <c r="P3634" s="63">
        <v>1.0</v>
      </c>
      <c r="Q3634" s="276"/>
      <c r="R3634" s="67"/>
      <c r="S3634" s="34"/>
      <c r="T3634" s="34"/>
      <c r="U3634" s="34"/>
      <c r="V3634" s="34"/>
      <c r="W3634" s="34"/>
      <c r="X3634" s="34"/>
      <c r="Y3634" s="59"/>
      <c r="Z3634" s="59"/>
      <c r="AA3634" s="59"/>
      <c r="AB3634" s="59"/>
      <c r="AC3634" s="59"/>
      <c r="AD3634" s="59"/>
      <c r="AE3634" s="59"/>
      <c r="AF3634" s="59"/>
      <c r="AG3634" s="59"/>
      <c r="AH3634" s="59"/>
      <c r="AI3634" s="59"/>
      <c r="AJ3634" s="59"/>
      <c r="AK3634" s="59"/>
      <c r="AL3634" s="59"/>
    </row>
    <row r="3635" ht="15.75" customHeight="1">
      <c r="A3635" s="115">
        <f t="shared" si="26"/>
        <v>4457</v>
      </c>
      <c r="B3635" s="49" t="s">
        <v>3078</v>
      </c>
      <c r="C3635" s="272" t="s">
        <v>3068</v>
      </c>
      <c r="D3635" s="55" t="s">
        <v>12488</v>
      </c>
      <c r="E3635" s="49" t="s">
        <v>144</v>
      </c>
      <c r="F3635" s="49" t="s">
        <v>29</v>
      </c>
      <c r="G3635" s="49" t="s">
        <v>30</v>
      </c>
      <c r="H3635" s="49"/>
      <c r="I3635" s="49" t="s">
        <v>30</v>
      </c>
      <c r="J3635" s="49">
        <f>213+14</f>
        <v>227</v>
      </c>
      <c r="K3635" s="49"/>
      <c r="L3635" s="49" t="s">
        <v>3066</v>
      </c>
      <c r="M3635" s="49" t="s">
        <v>161</v>
      </c>
      <c r="N3635" s="49">
        <v>2007.0</v>
      </c>
      <c r="O3635" s="49" t="s">
        <v>388</v>
      </c>
      <c r="P3635" s="49">
        <v>1.0</v>
      </c>
      <c r="Q3635" s="56"/>
      <c r="R3635" s="54"/>
      <c r="S3635" s="34"/>
      <c r="T3635" s="34"/>
      <c r="U3635" s="34"/>
      <c r="V3635" s="34"/>
      <c r="W3635" s="34"/>
      <c r="X3635" s="34"/>
      <c r="Y3635" s="59"/>
      <c r="Z3635" s="59"/>
      <c r="AA3635" s="59"/>
      <c r="AB3635" s="59"/>
      <c r="AC3635" s="59"/>
      <c r="AD3635" s="59"/>
      <c r="AE3635" s="59"/>
      <c r="AF3635" s="59"/>
      <c r="AG3635" s="59"/>
      <c r="AH3635" s="59"/>
      <c r="AI3635" s="59"/>
      <c r="AJ3635" s="59"/>
      <c r="AK3635" s="59"/>
      <c r="AL3635" s="59"/>
    </row>
    <row r="3636" ht="15.75" customHeight="1">
      <c r="A3636" s="115">
        <f t="shared" si="26"/>
        <v>4458</v>
      </c>
      <c r="B3636" s="49" t="s">
        <v>1272</v>
      </c>
      <c r="C3636" s="272" t="s">
        <v>12489</v>
      </c>
      <c r="D3636" s="55" t="s">
        <v>1274</v>
      </c>
      <c r="E3636" s="49" t="s">
        <v>144</v>
      </c>
      <c r="F3636" s="49" t="s">
        <v>29</v>
      </c>
      <c r="G3636" s="49" t="s">
        <v>30</v>
      </c>
      <c r="H3636" s="49"/>
      <c r="I3636" s="49" t="s">
        <v>30</v>
      </c>
      <c r="J3636" s="49">
        <f>368+12</f>
        <v>380</v>
      </c>
      <c r="K3636" s="49"/>
      <c r="L3636" s="49" t="s">
        <v>12490</v>
      </c>
      <c r="M3636" s="49" t="s">
        <v>3109</v>
      </c>
      <c r="N3636" s="49">
        <v>2012.0</v>
      </c>
      <c r="O3636" s="49" t="s">
        <v>388</v>
      </c>
      <c r="P3636" s="49">
        <v>1.0</v>
      </c>
      <c r="Q3636" s="56"/>
      <c r="R3636" s="54"/>
      <c r="S3636" s="34"/>
      <c r="T3636" s="34"/>
      <c r="U3636" s="34"/>
      <c r="V3636" s="34"/>
      <c r="W3636" s="34"/>
      <c r="X3636" s="34"/>
      <c r="Y3636" s="284"/>
      <c r="Z3636" s="284"/>
      <c r="AA3636" s="284"/>
      <c r="AB3636" s="284"/>
      <c r="AC3636" s="284"/>
      <c r="AD3636" s="284"/>
      <c r="AE3636" s="284"/>
      <c r="AF3636" s="284"/>
      <c r="AG3636" s="284"/>
      <c r="AH3636" s="284"/>
      <c r="AI3636" s="284"/>
      <c r="AJ3636" s="284"/>
      <c r="AK3636" s="284"/>
      <c r="AL3636" s="284"/>
    </row>
    <row r="3637" ht="15.75" customHeight="1">
      <c r="A3637" s="115">
        <f t="shared" si="26"/>
        <v>4459</v>
      </c>
      <c r="B3637" s="49" t="s">
        <v>3063</v>
      </c>
      <c r="C3637" s="272" t="s">
        <v>12491</v>
      </c>
      <c r="D3637" s="55" t="s">
        <v>12492</v>
      </c>
      <c r="E3637" s="49"/>
      <c r="F3637" s="49" t="s">
        <v>29</v>
      </c>
      <c r="G3637" s="49" t="s">
        <v>30</v>
      </c>
      <c r="H3637" s="49"/>
      <c r="I3637" s="49" t="s">
        <v>30</v>
      </c>
      <c r="J3637" s="49">
        <v>164.0</v>
      </c>
      <c r="K3637" s="49"/>
      <c r="L3637" s="49" t="s">
        <v>3081</v>
      </c>
      <c r="M3637" s="49" t="s">
        <v>161</v>
      </c>
      <c r="N3637" s="49">
        <v>2006.0</v>
      </c>
      <c r="O3637" s="49" t="s">
        <v>388</v>
      </c>
      <c r="P3637" s="49">
        <v>1.0</v>
      </c>
      <c r="Q3637" s="56"/>
      <c r="R3637" s="54"/>
      <c r="S3637" s="34"/>
      <c r="T3637" s="34"/>
      <c r="U3637" s="34"/>
      <c r="V3637" s="34"/>
      <c r="W3637" s="34"/>
      <c r="X3637" s="34"/>
      <c r="Y3637" s="59"/>
      <c r="Z3637" s="59"/>
      <c r="AA3637" s="59"/>
      <c r="AB3637" s="59"/>
      <c r="AC3637" s="59"/>
      <c r="AD3637" s="59"/>
      <c r="AE3637" s="59"/>
      <c r="AF3637" s="59"/>
      <c r="AG3637" s="59"/>
      <c r="AH3637" s="59"/>
      <c r="AI3637" s="59"/>
      <c r="AJ3637" s="59"/>
      <c r="AK3637" s="59"/>
      <c r="AL3637" s="59"/>
    </row>
    <row r="3638" ht="15.75" customHeight="1">
      <c r="A3638" s="115">
        <f t="shared" si="26"/>
        <v>4460</v>
      </c>
      <c r="B3638" s="49" t="s">
        <v>8428</v>
      </c>
      <c r="C3638" s="272" t="s">
        <v>12493</v>
      </c>
      <c r="D3638" s="55" t="s">
        <v>8430</v>
      </c>
      <c r="E3638" s="49" t="s">
        <v>31</v>
      </c>
      <c r="F3638" s="49" t="s">
        <v>29</v>
      </c>
      <c r="G3638" s="49" t="s">
        <v>30</v>
      </c>
      <c r="H3638" s="49"/>
      <c r="I3638" s="49" t="s">
        <v>30</v>
      </c>
      <c r="J3638" s="49">
        <v>739.0</v>
      </c>
      <c r="K3638" s="49"/>
      <c r="L3638" s="49" t="s">
        <v>8729</v>
      </c>
      <c r="M3638" s="49" t="s">
        <v>7060</v>
      </c>
      <c r="N3638" s="49">
        <v>2005.0</v>
      </c>
      <c r="O3638" s="49" t="s">
        <v>388</v>
      </c>
      <c r="P3638" s="49">
        <v>2.0</v>
      </c>
      <c r="Q3638" s="53" t="s">
        <v>12494</v>
      </c>
      <c r="R3638" s="54"/>
      <c r="S3638" s="34"/>
      <c r="T3638" s="34"/>
      <c r="U3638" s="34"/>
      <c r="V3638" s="34"/>
      <c r="W3638" s="34"/>
      <c r="X3638" s="34"/>
      <c r="Y3638" s="59"/>
      <c r="Z3638" s="59"/>
      <c r="AA3638" s="59"/>
      <c r="AB3638" s="59"/>
      <c r="AC3638" s="59"/>
      <c r="AD3638" s="59"/>
      <c r="AE3638" s="59"/>
      <c r="AF3638" s="59"/>
      <c r="AG3638" s="59"/>
      <c r="AH3638" s="59"/>
      <c r="AI3638" s="59"/>
      <c r="AJ3638" s="59"/>
      <c r="AK3638" s="59"/>
      <c r="AL3638" s="59"/>
    </row>
    <row r="3639" ht="15.75" customHeight="1">
      <c r="A3639" s="115">
        <f t="shared" si="26"/>
        <v>4461</v>
      </c>
      <c r="B3639" s="49" t="s">
        <v>12495</v>
      </c>
      <c r="C3639" s="272" t="s">
        <v>12496</v>
      </c>
      <c r="D3639" s="55" t="s">
        <v>12497</v>
      </c>
      <c r="E3639" s="49" t="s">
        <v>144</v>
      </c>
      <c r="F3639" s="49" t="s">
        <v>29</v>
      </c>
      <c r="G3639" s="49" t="s">
        <v>30</v>
      </c>
      <c r="H3639" s="49"/>
      <c r="I3639" s="49" t="s">
        <v>30</v>
      </c>
      <c r="J3639" s="49">
        <v>527.0</v>
      </c>
      <c r="K3639" s="49"/>
      <c r="L3639" s="49" t="s">
        <v>3104</v>
      </c>
      <c r="M3639" s="49" t="s">
        <v>151</v>
      </c>
      <c r="N3639" s="49">
        <v>2011.0</v>
      </c>
      <c r="O3639" s="49" t="s">
        <v>388</v>
      </c>
      <c r="P3639" s="49">
        <v>2.0</v>
      </c>
      <c r="Q3639" s="56"/>
      <c r="R3639" s="54"/>
      <c r="S3639" s="116"/>
      <c r="T3639" s="116"/>
      <c r="U3639" s="116"/>
      <c r="V3639" s="116"/>
      <c r="W3639" s="116"/>
      <c r="X3639" s="116"/>
      <c r="Y3639" s="59"/>
      <c r="Z3639" s="59"/>
      <c r="AA3639" s="59"/>
      <c r="AB3639" s="59"/>
      <c r="AC3639" s="59"/>
      <c r="AD3639" s="59"/>
      <c r="AE3639" s="59"/>
      <c r="AF3639" s="59"/>
      <c r="AG3639" s="59"/>
      <c r="AH3639" s="59"/>
      <c r="AI3639" s="59"/>
      <c r="AJ3639" s="59"/>
      <c r="AK3639" s="59"/>
      <c r="AL3639" s="59"/>
    </row>
    <row r="3640" ht="15.75" customHeight="1">
      <c r="A3640" s="115">
        <f t="shared" si="26"/>
        <v>4462</v>
      </c>
      <c r="B3640" s="49" t="s">
        <v>31</v>
      </c>
      <c r="C3640" s="272" t="s">
        <v>12498</v>
      </c>
      <c r="D3640" s="55" t="s">
        <v>12499</v>
      </c>
      <c r="E3640" s="49"/>
      <c r="F3640" s="49" t="s">
        <v>29</v>
      </c>
      <c r="G3640" s="49" t="s">
        <v>30</v>
      </c>
      <c r="H3640" s="49"/>
      <c r="I3640" s="49" t="s">
        <v>30</v>
      </c>
      <c r="J3640" s="49">
        <v>182.0</v>
      </c>
      <c r="K3640" s="49"/>
      <c r="L3640" s="49" t="s">
        <v>12500</v>
      </c>
      <c r="M3640" s="49" t="s">
        <v>4762</v>
      </c>
      <c r="N3640" s="49">
        <v>2004.0</v>
      </c>
      <c r="O3640" s="49" t="s">
        <v>388</v>
      </c>
      <c r="P3640" s="49">
        <v>1.0</v>
      </c>
      <c r="Q3640" s="56"/>
      <c r="R3640" s="54"/>
      <c r="S3640" s="34"/>
      <c r="T3640" s="34"/>
      <c r="U3640" s="34"/>
      <c r="V3640" s="34"/>
      <c r="W3640" s="34"/>
      <c r="X3640" s="34"/>
      <c r="Y3640" s="59"/>
      <c r="Z3640" s="59"/>
      <c r="AA3640" s="59"/>
      <c r="AB3640" s="59"/>
      <c r="AC3640" s="59"/>
      <c r="AD3640" s="59"/>
      <c r="AE3640" s="59"/>
      <c r="AF3640" s="59"/>
      <c r="AG3640" s="59"/>
      <c r="AH3640" s="59"/>
      <c r="AI3640" s="59"/>
      <c r="AJ3640" s="59"/>
      <c r="AK3640" s="59"/>
      <c r="AL3640" s="59"/>
    </row>
    <row r="3641" ht="15.75" customHeight="1">
      <c r="A3641" s="115">
        <f t="shared" si="26"/>
        <v>4463</v>
      </c>
      <c r="B3641" s="49"/>
      <c r="C3641" s="272" t="s">
        <v>12501</v>
      </c>
      <c r="D3641" s="55" t="s">
        <v>12497</v>
      </c>
      <c r="E3641" s="49" t="s">
        <v>144</v>
      </c>
      <c r="F3641" s="49" t="s">
        <v>29</v>
      </c>
      <c r="G3641" s="49" t="s">
        <v>30</v>
      </c>
      <c r="H3641" s="49"/>
      <c r="I3641" s="49" t="s">
        <v>30</v>
      </c>
      <c r="J3641" s="49">
        <f>527</f>
        <v>527</v>
      </c>
      <c r="K3641" s="49"/>
      <c r="L3641" s="49" t="s">
        <v>3104</v>
      </c>
      <c r="M3641" s="49" t="s">
        <v>3109</v>
      </c>
      <c r="N3641" s="49">
        <v>2011.0</v>
      </c>
      <c r="O3641" s="49" t="s">
        <v>388</v>
      </c>
      <c r="P3641" s="49">
        <v>1.0</v>
      </c>
      <c r="Q3641" s="56"/>
      <c r="R3641" s="54"/>
      <c r="S3641" s="34"/>
      <c r="T3641" s="34"/>
      <c r="U3641" s="34"/>
      <c r="V3641" s="34"/>
      <c r="W3641" s="34"/>
      <c r="X3641" s="34"/>
      <c r="Y3641" s="284"/>
      <c r="Z3641" s="284"/>
      <c r="AA3641" s="284"/>
      <c r="AB3641" s="284"/>
      <c r="AC3641" s="284"/>
      <c r="AD3641" s="284"/>
      <c r="AE3641" s="284"/>
      <c r="AF3641" s="284"/>
      <c r="AG3641" s="284"/>
      <c r="AH3641" s="284"/>
      <c r="AI3641" s="284"/>
      <c r="AJ3641" s="284"/>
      <c r="AK3641" s="284"/>
      <c r="AL3641" s="284"/>
    </row>
    <row r="3642" ht="15.75" customHeight="1">
      <c r="A3642" s="115">
        <f t="shared" si="26"/>
        <v>4464</v>
      </c>
      <c r="B3642" s="49" t="s">
        <v>31</v>
      </c>
      <c r="C3642" s="272" t="s">
        <v>12502</v>
      </c>
      <c r="D3642" s="55" t="s">
        <v>12503</v>
      </c>
      <c r="E3642" s="49" t="s">
        <v>28</v>
      </c>
      <c r="F3642" s="49" t="s">
        <v>29</v>
      </c>
      <c r="G3642" s="49" t="s">
        <v>37</v>
      </c>
      <c r="H3642" s="49" t="s">
        <v>31</v>
      </c>
      <c r="I3642" s="49" t="s">
        <v>38</v>
      </c>
      <c r="J3642" s="49">
        <v>278.0</v>
      </c>
      <c r="K3642" s="49"/>
      <c r="L3642" s="49" t="s">
        <v>12504</v>
      </c>
      <c r="M3642" s="49" t="s">
        <v>524</v>
      </c>
      <c r="N3642" s="49">
        <v>1963.0</v>
      </c>
      <c r="O3642" s="49" t="s">
        <v>388</v>
      </c>
      <c r="P3642" s="49">
        <v>1.0</v>
      </c>
      <c r="Q3642" s="56"/>
      <c r="R3642" s="54"/>
      <c r="S3642" s="185"/>
      <c r="T3642" s="185"/>
      <c r="U3642" s="185"/>
      <c r="V3642" s="185"/>
      <c r="W3642" s="185"/>
      <c r="X3642" s="185"/>
      <c r="Y3642" s="59"/>
      <c r="Z3642" s="59"/>
      <c r="AA3642" s="59"/>
      <c r="AB3642" s="59"/>
      <c r="AC3642" s="59"/>
      <c r="AD3642" s="59"/>
      <c r="AE3642" s="59"/>
      <c r="AF3642" s="59"/>
      <c r="AG3642" s="59"/>
      <c r="AH3642" s="59"/>
      <c r="AI3642" s="59"/>
      <c r="AJ3642" s="59"/>
      <c r="AK3642" s="59"/>
      <c r="AL3642" s="59"/>
    </row>
    <row r="3643" ht="15.75" customHeight="1">
      <c r="A3643" s="157">
        <f t="shared" si="26"/>
        <v>4465</v>
      </c>
      <c r="B3643" s="158" t="s">
        <v>2573</v>
      </c>
      <c r="C3643" s="204" t="s">
        <v>12505</v>
      </c>
      <c r="D3643" s="160" t="s">
        <v>2574</v>
      </c>
      <c r="E3643" s="158" t="s">
        <v>28</v>
      </c>
      <c r="F3643" s="158" t="s">
        <v>29</v>
      </c>
      <c r="G3643" s="158" t="s">
        <v>37</v>
      </c>
      <c r="H3643" s="158"/>
      <c r="I3643" s="158" t="s">
        <v>38</v>
      </c>
      <c r="J3643" s="158">
        <v>128.0</v>
      </c>
      <c r="K3643" s="158"/>
      <c r="L3643" s="158" t="s">
        <v>2575</v>
      </c>
      <c r="M3643" s="158" t="s">
        <v>493</v>
      </c>
      <c r="N3643" s="158">
        <v>2009.0</v>
      </c>
      <c r="O3643" s="158" t="s">
        <v>388</v>
      </c>
      <c r="P3643" s="158">
        <v>1.0</v>
      </c>
      <c r="Q3643" s="162"/>
      <c r="R3643" s="163"/>
      <c r="S3643" s="34"/>
      <c r="T3643" s="34"/>
      <c r="U3643" s="34"/>
      <c r="V3643" s="34"/>
      <c r="W3643" s="34"/>
      <c r="X3643" s="34"/>
      <c r="Y3643" s="59"/>
      <c r="Z3643" s="59"/>
      <c r="AA3643" s="59"/>
      <c r="AB3643" s="59"/>
      <c r="AC3643" s="59"/>
      <c r="AD3643" s="59"/>
      <c r="AE3643" s="59"/>
      <c r="AF3643" s="59"/>
      <c r="AG3643" s="59"/>
      <c r="AH3643" s="59"/>
      <c r="AI3643" s="59"/>
      <c r="AJ3643" s="59"/>
      <c r="AK3643" s="59"/>
      <c r="AL3643" s="59"/>
    </row>
    <row r="3644" ht="15.75" customHeight="1">
      <c r="A3644" s="115">
        <f t="shared" si="26"/>
        <v>4466</v>
      </c>
      <c r="B3644" s="49" t="s">
        <v>1430</v>
      </c>
      <c r="C3644" s="272" t="s">
        <v>12506</v>
      </c>
      <c r="D3644" s="55" t="s">
        <v>12507</v>
      </c>
      <c r="E3644" s="49" t="s">
        <v>28</v>
      </c>
      <c r="F3644" s="49" t="s">
        <v>29</v>
      </c>
      <c r="G3644" s="49" t="s">
        <v>37</v>
      </c>
      <c r="H3644" s="49" t="s">
        <v>31</v>
      </c>
      <c r="I3644" s="49" t="s">
        <v>38</v>
      </c>
      <c r="J3644" s="49">
        <v>210.0</v>
      </c>
      <c r="K3644" s="49"/>
      <c r="L3644" s="49" t="s">
        <v>12508</v>
      </c>
      <c r="M3644" s="49" t="s">
        <v>250</v>
      </c>
      <c r="N3644" s="49">
        <v>1978.0</v>
      </c>
      <c r="O3644" s="49" t="s">
        <v>388</v>
      </c>
      <c r="P3644" s="49">
        <v>1.0</v>
      </c>
      <c r="Q3644" s="56"/>
      <c r="R3644" s="54"/>
      <c r="S3644" s="116"/>
      <c r="T3644" s="116"/>
      <c r="U3644" s="116"/>
      <c r="V3644" s="116"/>
      <c r="W3644" s="116"/>
      <c r="X3644" s="116"/>
      <c r="Y3644" s="59"/>
      <c r="Z3644" s="59"/>
      <c r="AA3644" s="59"/>
      <c r="AB3644" s="59"/>
      <c r="AC3644" s="59"/>
      <c r="AD3644" s="59"/>
      <c r="AE3644" s="59"/>
      <c r="AF3644" s="59"/>
      <c r="AG3644" s="59"/>
      <c r="AH3644" s="59"/>
      <c r="AI3644" s="59"/>
      <c r="AJ3644" s="59"/>
      <c r="AK3644" s="59"/>
      <c r="AL3644" s="59"/>
    </row>
    <row r="3645" ht="15.75" customHeight="1">
      <c r="A3645" s="115">
        <f t="shared" si="26"/>
        <v>4467</v>
      </c>
      <c r="B3645" s="49" t="s">
        <v>31</v>
      </c>
      <c r="C3645" s="272" t="s">
        <v>12509</v>
      </c>
      <c r="D3645" s="55" t="s">
        <v>12510</v>
      </c>
      <c r="E3645" s="49" t="s">
        <v>223</v>
      </c>
      <c r="F3645" s="49" t="s">
        <v>29</v>
      </c>
      <c r="G3645" s="49" t="s">
        <v>37</v>
      </c>
      <c r="H3645" s="49"/>
      <c r="I3645" s="49" t="s">
        <v>38</v>
      </c>
      <c r="J3645" s="49">
        <v>274.0</v>
      </c>
      <c r="K3645" s="49"/>
      <c r="L3645" s="49" t="s">
        <v>12511</v>
      </c>
      <c r="M3645" s="49" t="s">
        <v>54</v>
      </c>
      <c r="N3645" s="49">
        <v>1979.0</v>
      </c>
      <c r="O3645" s="49" t="s">
        <v>388</v>
      </c>
      <c r="P3645" s="49">
        <v>3.0</v>
      </c>
      <c r="Q3645" s="56"/>
      <c r="R3645" s="54"/>
      <c r="S3645" s="116"/>
      <c r="T3645" s="116"/>
      <c r="U3645" s="116"/>
      <c r="V3645" s="116"/>
      <c r="W3645" s="116"/>
      <c r="X3645" s="116"/>
      <c r="Y3645" s="59"/>
      <c r="Z3645" s="59"/>
      <c r="AA3645" s="59"/>
      <c r="AB3645" s="59"/>
      <c r="AC3645" s="59"/>
      <c r="AD3645" s="59"/>
      <c r="AE3645" s="59"/>
      <c r="AF3645" s="59"/>
      <c r="AG3645" s="59"/>
      <c r="AH3645" s="59"/>
      <c r="AI3645" s="59"/>
      <c r="AJ3645" s="59"/>
      <c r="AK3645" s="59"/>
      <c r="AL3645" s="59"/>
    </row>
    <row r="3646" ht="15.75" customHeight="1">
      <c r="A3646" s="115">
        <f t="shared" si="26"/>
        <v>4468</v>
      </c>
      <c r="B3646" s="49" t="s">
        <v>12512</v>
      </c>
      <c r="C3646" s="272" t="s">
        <v>12509</v>
      </c>
      <c r="D3646" s="55" t="s">
        <v>12513</v>
      </c>
      <c r="E3646" s="49" t="s">
        <v>223</v>
      </c>
      <c r="F3646" s="49" t="s">
        <v>29</v>
      </c>
      <c r="G3646" s="49" t="s">
        <v>37</v>
      </c>
      <c r="H3646" s="49"/>
      <c r="I3646" s="49" t="s">
        <v>38</v>
      </c>
      <c r="J3646" s="49"/>
      <c r="K3646" s="49"/>
      <c r="L3646" s="49" t="s">
        <v>12514</v>
      </c>
      <c r="M3646" s="49" t="s">
        <v>54</v>
      </c>
      <c r="N3646" s="49">
        <v>1979.0</v>
      </c>
      <c r="O3646" s="49" t="s">
        <v>388</v>
      </c>
      <c r="P3646" s="49">
        <v>1.0</v>
      </c>
      <c r="Q3646" s="56"/>
      <c r="R3646" s="54"/>
      <c r="S3646" s="34"/>
      <c r="T3646" s="34"/>
      <c r="U3646" s="34"/>
      <c r="V3646" s="34"/>
      <c r="W3646" s="34"/>
      <c r="X3646" s="34"/>
      <c r="Y3646" s="59"/>
      <c r="Z3646" s="59"/>
      <c r="AA3646" s="59"/>
      <c r="AB3646" s="59"/>
      <c r="AC3646" s="59"/>
      <c r="AD3646" s="59"/>
      <c r="AE3646" s="59"/>
      <c r="AF3646" s="59"/>
      <c r="AG3646" s="59"/>
      <c r="AH3646" s="59"/>
      <c r="AI3646" s="59"/>
      <c r="AJ3646" s="59"/>
      <c r="AK3646" s="59"/>
      <c r="AL3646" s="59"/>
    </row>
    <row r="3647" ht="15.75" customHeight="1">
      <c r="A3647" s="115">
        <f t="shared" si="26"/>
        <v>4469</v>
      </c>
      <c r="B3647" s="49" t="s">
        <v>1134</v>
      </c>
      <c r="C3647" s="272" t="s">
        <v>12515</v>
      </c>
      <c r="D3647" s="55" t="s">
        <v>12516</v>
      </c>
      <c r="E3647" s="49" t="s">
        <v>28</v>
      </c>
      <c r="F3647" s="49" t="s">
        <v>29</v>
      </c>
      <c r="G3647" s="49" t="s">
        <v>37</v>
      </c>
      <c r="H3647" s="49"/>
      <c r="I3647" s="49" t="s">
        <v>38</v>
      </c>
      <c r="J3647" s="49">
        <f>190+10</f>
        <v>200</v>
      </c>
      <c r="K3647" s="49"/>
      <c r="L3647" s="49" t="s">
        <v>12517</v>
      </c>
      <c r="M3647" s="49" t="s">
        <v>83</v>
      </c>
      <c r="N3647" s="49">
        <v>1999.0</v>
      </c>
      <c r="O3647" s="49" t="s">
        <v>388</v>
      </c>
      <c r="P3647" s="49">
        <v>1.0</v>
      </c>
      <c r="Q3647" s="56"/>
      <c r="R3647" s="54"/>
      <c r="S3647" s="34"/>
      <c r="T3647" s="34"/>
      <c r="U3647" s="34"/>
      <c r="V3647" s="34"/>
      <c r="W3647" s="34"/>
      <c r="X3647" s="34"/>
      <c r="Y3647" s="59"/>
      <c r="Z3647" s="59"/>
      <c r="AA3647" s="59"/>
      <c r="AB3647" s="59"/>
      <c r="AC3647" s="59"/>
      <c r="AD3647" s="59"/>
      <c r="AE3647" s="59"/>
      <c r="AF3647" s="59"/>
      <c r="AG3647" s="59"/>
      <c r="AH3647" s="59"/>
      <c r="AI3647" s="59"/>
      <c r="AJ3647" s="59"/>
      <c r="AK3647" s="59"/>
      <c r="AL3647" s="59"/>
    </row>
    <row r="3648" ht="15.75" hidden="1" customHeight="1">
      <c r="A3648" s="27">
        <f t="shared" si="26"/>
        <v>4470</v>
      </c>
      <c r="B3648" s="28" t="s">
        <v>12518</v>
      </c>
      <c r="C3648" s="43" t="s">
        <v>12519</v>
      </c>
      <c r="D3648" s="30" t="s">
        <v>12520</v>
      </c>
      <c r="E3648" s="28" t="s">
        <v>31</v>
      </c>
      <c r="F3648" s="28" t="s">
        <v>29</v>
      </c>
      <c r="G3648" s="28" t="s">
        <v>30</v>
      </c>
      <c r="H3648" s="28"/>
      <c r="I3648" s="28" t="s">
        <v>30</v>
      </c>
      <c r="J3648" s="28">
        <v>193.0</v>
      </c>
      <c r="K3648" s="28"/>
      <c r="L3648" s="28" t="s">
        <v>12521</v>
      </c>
      <c r="M3648" s="28" t="s">
        <v>151</v>
      </c>
      <c r="N3648" s="28">
        <v>2004.0</v>
      </c>
      <c r="O3648" s="60"/>
      <c r="P3648" s="28">
        <v>1.0</v>
      </c>
      <c r="Q3648" s="94">
        <v>1.0</v>
      </c>
      <c r="R3648" s="33"/>
      <c r="S3648" s="34"/>
      <c r="T3648" s="34"/>
      <c r="U3648" s="34"/>
      <c r="V3648" s="34"/>
      <c r="W3648" s="34"/>
      <c r="X3648" s="34"/>
      <c r="Y3648" s="59"/>
      <c r="Z3648" s="59"/>
      <c r="AA3648" s="59"/>
      <c r="AB3648" s="59"/>
      <c r="AC3648" s="59"/>
      <c r="AD3648" s="59"/>
      <c r="AE3648" s="59"/>
      <c r="AF3648" s="59"/>
      <c r="AG3648" s="59"/>
      <c r="AH3648" s="59"/>
      <c r="AI3648" s="59"/>
      <c r="AJ3648" s="59"/>
      <c r="AK3648" s="59"/>
      <c r="AL3648" s="59"/>
    </row>
    <row r="3649" ht="15.75" customHeight="1">
      <c r="A3649" s="115">
        <f t="shared" si="26"/>
        <v>4471</v>
      </c>
      <c r="B3649" s="49" t="s">
        <v>12522</v>
      </c>
      <c r="C3649" s="272" t="s">
        <v>12523</v>
      </c>
      <c r="D3649" s="55" t="s">
        <v>12524</v>
      </c>
      <c r="E3649" s="49" t="s">
        <v>28</v>
      </c>
      <c r="F3649" s="49" t="s">
        <v>29</v>
      </c>
      <c r="G3649" s="49" t="s">
        <v>30</v>
      </c>
      <c r="H3649" s="49" t="s">
        <v>31</v>
      </c>
      <c r="I3649" s="49" t="s">
        <v>30</v>
      </c>
      <c r="J3649" s="49">
        <v>180.0</v>
      </c>
      <c r="K3649" s="49"/>
      <c r="L3649" s="49" t="s">
        <v>492</v>
      </c>
      <c r="M3649" s="49" t="s">
        <v>544</v>
      </c>
      <c r="N3649" s="49">
        <v>2000.0</v>
      </c>
      <c r="O3649" s="49" t="s">
        <v>388</v>
      </c>
      <c r="P3649" s="49">
        <v>1.0</v>
      </c>
      <c r="Q3649" s="56"/>
      <c r="R3649" s="54"/>
      <c r="S3649" s="40"/>
      <c r="T3649" s="40"/>
      <c r="U3649" s="40"/>
      <c r="V3649" s="40"/>
      <c r="W3649" s="40"/>
      <c r="X3649" s="40"/>
      <c r="Y3649" s="59"/>
      <c r="Z3649" s="59"/>
      <c r="AA3649" s="59"/>
      <c r="AB3649" s="59"/>
      <c r="AC3649" s="59"/>
      <c r="AD3649" s="59"/>
      <c r="AE3649" s="59"/>
      <c r="AF3649" s="59"/>
      <c r="AG3649" s="59"/>
      <c r="AH3649" s="59"/>
      <c r="AI3649" s="59"/>
      <c r="AJ3649" s="59"/>
      <c r="AK3649" s="59"/>
      <c r="AL3649" s="59"/>
    </row>
    <row r="3650" ht="15.75" customHeight="1">
      <c r="A3650" s="115">
        <f t="shared" si="26"/>
        <v>4472</v>
      </c>
      <c r="B3650" s="49" t="s">
        <v>2607</v>
      </c>
      <c r="C3650" s="272" t="s">
        <v>2608</v>
      </c>
      <c r="D3650" s="55" t="s">
        <v>12525</v>
      </c>
      <c r="E3650" s="49" t="s">
        <v>28</v>
      </c>
      <c r="F3650" s="49" t="s">
        <v>29</v>
      </c>
      <c r="G3650" s="49" t="s">
        <v>37</v>
      </c>
      <c r="H3650" s="49"/>
      <c r="I3650" s="49" t="s">
        <v>38</v>
      </c>
      <c r="J3650" s="49">
        <v>256.0</v>
      </c>
      <c r="K3650" s="49"/>
      <c r="L3650" s="49" t="s">
        <v>2610</v>
      </c>
      <c r="M3650" s="49" t="s">
        <v>493</v>
      </c>
      <c r="N3650" s="49">
        <v>2009.0</v>
      </c>
      <c r="O3650" s="49" t="s">
        <v>388</v>
      </c>
      <c r="P3650" s="49">
        <v>1.0</v>
      </c>
      <c r="Q3650" s="56"/>
      <c r="R3650" s="54"/>
      <c r="S3650" s="40"/>
      <c r="T3650" s="40"/>
      <c r="U3650" s="40"/>
      <c r="V3650" s="40"/>
      <c r="W3650" s="40"/>
      <c r="X3650" s="40"/>
      <c r="Y3650" s="59"/>
      <c r="Z3650" s="59"/>
      <c r="AA3650" s="59"/>
      <c r="AB3650" s="59"/>
      <c r="AC3650" s="59"/>
      <c r="AD3650" s="59"/>
      <c r="AE3650" s="59"/>
      <c r="AF3650" s="59"/>
      <c r="AG3650" s="59"/>
      <c r="AH3650" s="59"/>
      <c r="AI3650" s="59"/>
      <c r="AJ3650" s="59"/>
      <c r="AK3650" s="59"/>
      <c r="AL3650" s="59"/>
    </row>
    <row r="3651" ht="15.75" customHeight="1">
      <c r="A3651" s="115">
        <f t="shared" si="26"/>
        <v>4473</v>
      </c>
      <c r="B3651" s="49" t="s">
        <v>12526</v>
      </c>
      <c r="C3651" s="272" t="s">
        <v>12527</v>
      </c>
      <c r="D3651" s="55" t="s">
        <v>12528</v>
      </c>
      <c r="E3651" s="49" t="s">
        <v>28</v>
      </c>
      <c r="F3651" s="49" t="s">
        <v>29</v>
      </c>
      <c r="G3651" s="49" t="s">
        <v>37</v>
      </c>
      <c r="H3651" s="49"/>
      <c r="I3651" s="49" t="s">
        <v>38</v>
      </c>
      <c r="J3651" s="49">
        <v>336.0</v>
      </c>
      <c r="K3651" s="56"/>
      <c r="L3651" s="49" t="s">
        <v>12529</v>
      </c>
      <c r="M3651" s="49" t="s">
        <v>12530</v>
      </c>
      <c r="N3651" s="49">
        <v>1983.0</v>
      </c>
      <c r="O3651" s="49" t="s">
        <v>388</v>
      </c>
      <c r="P3651" s="49">
        <v>1.0</v>
      </c>
      <c r="Q3651" s="56"/>
      <c r="R3651" s="54"/>
      <c r="S3651" s="34"/>
      <c r="T3651" s="34"/>
      <c r="U3651" s="34"/>
      <c r="V3651" s="34"/>
      <c r="W3651" s="34"/>
      <c r="X3651" s="34"/>
      <c r="Y3651" s="59"/>
      <c r="Z3651" s="59"/>
      <c r="AA3651" s="59"/>
      <c r="AB3651" s="59"/>
      <c r="AC3651" s="59"/>
      <c r="AD3651" s="59"/>
      <c r="AE3651" s="59"/>
      <c r="AF3651" s="59"/>
      <c r="AG3651" s="59"/>
      <c r="AH3651" s="59"/>
      <c r="AI3651" s="59"/>
      <c r="AJ3651" s="59"/>
      <c r="AK3651" s="59"/>
      <c r="AL3651" s="59"/>
    </row>
    <row r="3652" ht="15.75" customHeight="1">
      <c r="A3652" s="115">
        <f t="shared" si="26"/>
        <v>4474</v>
      </c>
      <c r="B3652" s="49" t="s">
        <v>12531</v>
      </c>
      <c r="C3652" s="272" t="s">
        <v>12527</v>
      </c>
      <c r="D3652" s="55" t="s">
        <v>12532</v>
      </c>
      <c r="E3652" s="49" t="s">
        <v>28</v>
      </c>
      <c r="F3652" s="49" t="s">
        <v>29</v>
      </c>
      <c r="G3652" s="49" t="s">
        <v>38</v>
      </c>
      <c r="H3652" s="49"/>
      <c r="I3652" s="49" t="s">
        <v>38</v>
      </c>
      <c r="J3652" s="49">
        <v>334.0</v>
      </c>
      <c r="K3652" s="49"/>
      <c r="L3652" s="49" t="s">
        <v>12533</v>
      </c>
      <c r="M3652" s="49" t="s">
        <v>12534</v>
      </c>
      <c r="N3652" s="49">
        <v>1983.0</v>
      </c>
      <c r="O3652" s="49" t="s">
        <v>388</v>
      </c>
      <c r="P3652" s="49">
        <v>1.0</v>
      </c>
      <c r="Q3652" s="56"/>
      <c r="R3652" s="54"/>
      <c r="S3652" s="34"/>
      <c r="T3652" s="34"/>
      <c r="U3652" s="34"/>
      <c r="V3652" s="34"/>
      <c r="W3652" s="34"/>
      <c r="X3652" s="34"/>
      <c r="Y3652" s="59"/>
      <c r="Z3652" s="59"/>
      <c r="AA3652" s="59"/>
      <c r="AB3652" s="59"/>
      <c r="AC3652" s="59"/>
      <c r="AD3652" s="59"/>
      <c r="AE3652" s="59"/>
      <c r="AF3652" s="59"/>
      <c r="AG3652" s="59"/>
      <c r="AH3652" s="59"/>
      <c r="AI3652" s="59"/>
      <c r="AJ3652" s="59"/>
      <c r="AK3652" s="59"/>
      <c r="AL3652" s="59"/>
    </row>
    <row r="3653" ht="15.75" customHeight="1">
      <c r="A3653" s="157">
        <f t="shared" si="26"/>
        <v>4475</v>
      </c>
      <c r="B3653" s="158" t="s">
        <v>1416</v>
      </c>
      <c r="C3653" s="204" t="s">
        <v>12535</v>
      </c>
      <c r="D3653" s="160" t="s">
        <v>12536</v>
      </c>
      <c r="E3653" s="158" t="s">
        <v>28</v>
      </c>
      <c r="F3653" s="158" t="s">
        <v>29</v>
      </c>
      <c r="G3653" s="158" t="s">
        <v>38</v>
      </c>
      <c r="H3653" s="158"/>
      <c r="I3653" s="158" t="s">
        <v>38</v>
      </c>
      <c r="J3653" s="158">
        <v>144.0</v>
      </c>
      <c r="K3653" s="158"/>
      <c r="L3653" s="158" t="s">
        <v>1419</v>
      </c>
      <c r="M3653" s="158" t="s">
        <v>83</v>
      </c>
      <c r="N3653" s="158">
        <v>1976.0</v>
      </c>
      <c r="O3653" s="158" t="s">
        <v>388</v>
      </c>
      <c r="P3653" s="158">
        <v>1.0</v>
      </c>
      <c r="Q3653" s="162"/>
      <c r="R3653" s="163"/>
      <c r="S3653" s="34"/>
      <c r="T3653" s="34"/>
      <c r="U3653" s="34"/>
      <c r="V3653" s="34"/>
      <c r="W3653" s="34"/>
      <c r="X3653" s="34"/>
      <c r="Y3653" s="59"/>
      <c r="Z3653" s="59"/>
      <c r="AA3653" s="59"/>
      <c r="AB3653" s="59"/>
      <c r="AC3653" s="59"/>
      <c r="AD3653" s="59"/>
      <c r="AE3653" s="59"/>
      <c r="AF3653" s="59"/>
      <c r="AG3653" s="59"/>
      <c r="AH3653" s="59"/>
      <c r="AI3653" s="59"/>
      <c r="AJ3653" s="59"/>
      <c r="AK3653" s="59"/>
      <c r="AL3653" s="59"/>
    </row>
    <row r="3654" ht="15.75" customHeight="1">
      <c r="A3654" s="115">
        <f t="shared" si="26"/>
        <v>4476</v>
      </c>
      <c r="B3654" s="49" t="s">
        <v>3234</v>
      </c>
      <c r="C3654" s="272" t="s">
        <v>12537</v>
      </c>
      <c r="D3654" s="55" t="s">
        <v>12538</v>
      </c>
      <c r="E3654" s="49" t="s">
        <v>28</v>
      </c>
      <c r="F3654" s="49" t="s">
        <v>29</v>
      </c>
      <c r="G3654" s="49" t="s">
        <v>37</v>
      </c>
      <c r="H3654" s="49"/>
      <c r="I3654" s="49" t="s">
        <v>38</v>
      </c>
      <c r="J3654" s="49">
        <v>210.0</v>
      </c>
      <c r="K3654" s="49"/>
      <c r="L3654" s="49" t="s">
        <v>12508</v>
      </c>
      <c r="M3654" s="49" t="s">
        <v>250</v>
      </c>
      <c r="N3654" s="49">
        <v>1978.0</v>
      </c>
      <c r="O3654" s="49" t="s">
        <v>388</v>
      </c>
      <c r="P3654" s="49">
        <v>1.0</v>
      </c>
      <c r="Q3654" s="56"/>
      <c r="R3654" s="54"/>
      <c r="S3654" s="34"/>
      <c r="T3654" s="34"/>
      <c r="U3654" s="34"/>
      <c r="V3654" s="34"/>
      <c r="W3654" s="34"/>
      <c r="X3654" s="34"/>
      <c r="Y3654" s="59"/>
      <c r="Z3654" s="59"/>
      <c r="AA3654" s="59"/>
      <c r="AB3654" s="59"/>
      <c r="AC3654" s="59"/>
      <c r="AD3654" s="59"/>
      <c r="AE3654" s="59"/>
      <c r="AF3654" s="59"/>
      <c r="AG3654" s="59"/>
      <c r="AH3654" s="59"/>
      <c r="AI3654" s="59"/>
      <c r="AJ3654" s="59"/>
      <c r="AK3654" s="59"/>
      <c r="AL3654" s="59"/>
    </row>
    <row r="3655" ht="15.75" customHeight="1">
      <c r="A3655" s="157">
        <f t="shared" si="26"/>
        <v>4477</v>
      </c>
      <c r="B3655" s="158" t="s">
        <v>1424</v>
      </c>
      <c r="C3655" s="204" t="s">
        <v>12539</v>
      </c>
      <c r="D3655" s="160" t="s">
        <v>12540</v>
      </c>
      <c r="E3655" s="158" t="s">
        <v>223</v>
      </c>
      <c r="F3655" s="158" t="s">
        <v>29</v>
      </c>
      <c r="G3655" s="158" t="s">
        <v>37</v>
      </c>
      <c r="H3655" s="158"/>
      <c r="I3655" s="158" t="s">
        <v>38</v>
      </c>
      <c r="J3655" s="158">
        <v>373.0</v>
      </c>
      <c r="K3655" s="158"/>
      <c r="L3655" s="158" t="s">
        <v>12541</v>
      </c>
      <c r="M3655" s="158" t="s">
        <v>54</v>
      </c>
      <c r="N3655" s="158">
        <v>1993.0</v>
      </c>
      <c r="O3655" s="158" t="s">
        <v>388</v>
      </c>
      <c r="P3655" s="158">
        <v>1.0</v>
      </c>
      <c r="Q3655" s="162"/>
      <c r="R3655" s="163"/>
      <c r="S3655" s="34"/>
      <c r="T3655" s="34"/>
      <c r="U3655" s="34"/>
      <c r="V3655" s="34"/>
      <c r="W3655" s="34"/>
      <c r="X3655" s="34"/>
      <c r="Y3655" s="59"/>
      <c r="Z3655" s="59"/>
      <c r="AA3655" s="59"/>
      <c r="AB3655" s="59"/>
      <c r="AC3655" s="59"/>
      <c r="AD3655" s="59"/>
      <c r="AE3655" s="59"/>
      <c r="AF3655" s="59"/>
      <c r="AG3655" s="59"/>
      <c r="AH3655" s="59"/>
      <c r="AI3655" s="59"/>
      <c r="AJ3655" s="59"/>
      <c r="AK3655" s="59"/>
      <c r="AL3655" s="59"/>
    </row>
    <row r="3656" ht="15.75" customHeight="1">
      <c r="A3656" s="115">
        <f t="shared" si="26"/>
        <v>4478</v>
      </c>
      <c r="B3656" s="49" t="s">
        <v>12542</v>
      </c>
      <c r="C3656" s="272" t="s">
        <v>12543</v>
      </c>
      <c r="D3656" s="55" t="s">
        <v>12544</v>
      </c>
      <c r="E3656" s="49"/>
      <c r="F3656" s="49" t="s">
        <v>29</v>
      </c>
      <c r="G3656" s="49" t="s">
        <v>38</v>
      </c>
      <c r="H3656" s="49"/>
      <c r="I3656" s="49" t="s">
        <v>38</v>
      </c>
      <c r="J3656" s="49">
        <v>272.0</v>
      </c>
      <c r="K3656" s="49"/>
      <c r="L3656" s="49" t="s">
        <v>8717</v>
      </c>
      <c r="M3656" s="49" t="s">
        <v>31</v>
      </c>
      <c r="N3656" s="49">
        <v>1979.0</v>
      </c>
      <c r="O3656" s="49" t="s">
        <v>388</v>
      </c>
      <c r="P3656" s="49">
        <v>1.0</v>
      </c>
      <c r="Q3656" s="56"/>
      <c r="R3656" s="54"/>
      <c r="S3656" s="34"/>
      <c r="T3656" s="34"/>
      <c r="U3656" s="34"/>
      <c r="V3656" s="34"/>
      <c r="W3656" s="34"/>
      <c r="X3656" s="34"/>
      <c r="Y3656" s="59"/>
      <c r="Z3656" s="59"/>
      <c r="AA3656" s="59"/>
      <c r="AB3656" s="59"/>
      <c r="AC3656" s="59"/>
      <c r="AD3656" s="59"/>
      <c r="AE3656" s="59"/>
      <c r="AF3656" s="59"/>
      <c r="AG3656" s="59"/>
      <c r="AH3656" s="59"/>
      <c r="AI3656" s="59"/>
      <c r="AJ3656" s="59"/>
      <c r="AK3656" s="59"/>
      <c r="AL3656" s="59"/>
    </row>
    <row r="3657" ht="15.75" customHeight="1">
      <c r="A3657" s="115">
        <f t="shared" si="26"/>
        <v>4479</v>
      </c>
      <c r="B3657" s="49" t="s">
        <v>1404</v>
      </c>
      <c r="C3657" s="50" t="s">
        <v>12545</v>
      </c>
      <c r="D3657" s="55" t="s">
        <v>1406</v>
      </c>
      <c r="E3657" s="49" t="s">
        <v>28</v>
      </c>
      <c r="F3657" s="49" t="s">
        <v>29</v>
      </c>
      <c r="G3657" s="49" t="s">
        <v>9209</v>
      </c>
      <c r="H3657" s="49"/>
      <c r="I3657" s="49" t="s">
        <v>9209</v>
      </c>
      <c r="J3657" s="49">
        <f>215</f>
        <v>215</v>
      </c>
      <c r="K3657" s="49"/>
      <c r="L3657" s="49" t="s">
        <v>12546</v>
      </c>
      <c r="M3657" s="49" t="s">
        <v>12547</v>
      </c>
      <c r="N3657" s="49">
        <v>1966.0</v>
      </c>
      <c r="O3657" s="49" t="s">
        <v>388</v>
      </c>
      <c r="P3657" s="49">
        <v>1.0</v>
      </c>
      <c r="Q3657" s="56"/>
      <c r="R3657" s="54"/>
      <c r="S3657" s="34"/>
      <c r="T3657" s="34"/>
      <c r="U3657" s="34"/>
      <c r="V3657" s="34"/>
      <c r="W3657" s="34"/>
      <c r="X3657" s="34"/>
      <c r="Y3657" s="59"/>
      <c r="Z3657" s="59"/>
      <c r="AA3657" s="59"/>
      <c r="AB3657" s="59"/>
      <c r="AC3657" s="59"/>
      <c r="AD3657" s="59"/>
      <c r="AE3657" s="59"/>
      <c r="AF3657" s="59"/>
      <c r="AG3657" s="59"/>
      <c r="AH3657" s="59"/>
      <c r="AI3657" s="59"/>
      <c r="AJ3657" s="59"/>
      <c r="AK3657" s="59"/>
      <c r="AL3657" s="59"/>
    </row>
    <row r="3658" ht="15.75" customHeight="1">
      <c r="A3658" s="164">
        <f t="shared" si="26"/>
        <v>4480</v>
      </c>
      <c r="B3658" s="63" t="s">
        <v>1667</v>
      </c>
      <c r="C3658" s="275" t="s">
        <v>12548</v>
      </c>
      <c r="D3658" s="65" t="s">
        <v>12549</v>
      </c>
      <c r="E3658" s="63" t="s">
        <v>28</v>
      </c>
      <c r="F3658" s="63" t="s">
        <v>29</v>
      </c>
      <c r="G3658" s="63" t="s">
        <v>37</v>
      </c>
      <c r="H3658" s="63"/>
      <c r="I3658" s="63" t="s">
        <v>38</v>
      </c>
      <c r="J3658" s="63">
        <v>887.0</v>
      </c>
      <c r="K3658" s="63"/>
      <c r="L3658" s="63" t="s">
        <v>1450</v>
      </c>
      <c r="M3658" s="63" t="s">
        <v>49</v>
      </c>
      <c r="N3658" s="63">
        <v>2005.0</v>
      </c>
      <c r="O3658" s="63" t="s">
        <v>388</v>
      </c>
      <c r="P3658" s="63">
        <v>1.0</v>
      </c>
      <c r="Q3658" s="276"/>
      <c r="R3658" s="67"/>
      <c r="S3658" s="40"/>
      <c r="T3658" s="40"/>
      <c r="U3658" s="40"/>
      <c r="V3658" s="40"/>
      <c r="W3658" s="40"/>
      <c r="X3658" s="40"/>
      <c r="Y3658" s="59"/>
      <c r="Z3658" s="59"/>
      <c r="AA3658" s="59"/>
      <c r="AB3658" s="59"/>
      <c r="AC3658" s="59"/>
      <c r="AD3658" s="59"/>
      <c r="AE3658" s="59"/>
      <c r="AF3658" s="59"/>
      <c r="AG3658" s="59"/>
      <c r="AH3658" s="59"/>
      <c r="AI3658" s="59"/>
      <c r="AJ3658" s="59"/>
      <c r="AK3658" s="59"/>
      <c r="AL3658" s="59"/>
    </row>
    <row r="3659" ht="15.75" customHeight="1">
      <c r="A3659" s="115">
        <f t="shared" si="26"/>
        <v>4481</v>
      </c>
      <c r="B3659" s="49" t="s">
        <v>12550</v>
      </c>
      <c r="C3659" s="272" t="s">
        <v>12551</v>
      </c>
      <c r="D3659" s="55" t="s">
        <v>12552</v>
      </c>
      <c r="E3659" s="49" t="s">
        <v>28</v>
      </c>
      <c r="F3659" s="49" t="s">
        <v>29</v>
      </c>
      <c r="G3659" s="49" t="s">
        <v>37</v>
      </c>
      <c r="H3659" s="49"/>
      <c r="I3659" s="49" t="s">
        <v>38</v>
      </c>
      <c r="J3659" s="49">
        <v>189.0</v>
      </c>
      <c r="K3659" s="49"/>
      <c r="L3659" s="49" t="s">
        <v>12553</v>
      </c>
      <c r="M3659" s="49" t="s">
        <v>230</v>
      </c>
      <c r="N3659" s="49">
        <v>2000.0</v>
      </c>
      <c r="O3659" s="49" t="s">
        <v>388</v>
      </c>
      <c r="P3659" s="49">
        <v>1.0</v>
      </c>
      <c r="Q3659" s="56"/>
      <c r="R3659" s="54"/>
      <c r="S3659" s="34"/>
      <c r="T3659" s="34"/>
      <c r="U3659" s="34"/>
      <c r="V3659" s="34"/>
      <c r="W3659" s="34"/>
      <c r="X3659" s="34"/>
      <c r="Y3659" s="59"/>
      <c r="Z3659" s="59"/>
      <c r="AA3659" s="59"/>
      <c r="AB3659" s="59"/>
      <c r="AC3659" s="59"/>
      <c r="AD3659" s="59"/>
      <c r="AE3659" s="59"/>
      <c r="AF3659" s="59"/>
      <c r="AG3659" s="59"/>
      <c r="AH3659" s="59"/>
      <c r="AI3659" s="59"/>
      <c r="AJ3659" s="59"/>
      <c r="AK3659" s="59"/>
      <c r="AL3659" s="59"/>
    </row>
    <row r="3660" ht="15.75" customHeight="1">
      <c r="A3660" s="164">
        <f t="shared" si="26"/>
        <v>4482</v>
      </c>
      <c r="B3660" s="63"/>
      <c r="C3660" s="275" t="s">
        <v>3257</v>
      </c>
      <c r="D3660" s="65" t="s">
        <v>3258</v>
      </c>
      <c r="E3660" s="63" t="s">
        <v>28</v>
      </c>
      <c r="F3660" s="63" t="s">
        <v>29</v>
      </c>
      <c r="G3660" s="63" t="s">
        <v>30</v>
      </c>
      <c r="H3660" s="63"/>
      <c r="I3660" s="63" t="s">
        <v>30</v>
      </c>
      <c r="J3660" s="63">
        <v>140.0</v>
      </c>
      <c r="K3660" s="63"/>
      <c r="L3660" s="63" t="s">
        <v>3327</v>
      </c>
      <c r="M3660" s="63" t="s">
        <v>151</v>
      </c>
      <c r="N3660" s="63">
        <v>1977.0</v>
      </c>
      <c r="O3660" s="63" t="s">
        <v>388</v>
      </c>
      <c r="P3660" s="63">
        <v>1.0</v>
      </c>
      <c r="Q3660" s="276"/>
      <c r="R3660" s="67"/>
      <c r="S3660" s="40"/>
      <c r="T3660" s="40"/>
      <c r="U3660" s="40"/>
      <c r="V3660" s="40"/>
      <c r="W3660" s="40"/>
      <c r="X3660" s="40"/>
      <c r="Y3660" s="59"/>
      <c r="Z3660" s="59"/>
      <c r="AA3660" s="59"/>
      <c r="AB3660" s="59"/>
      <c r="AC3660" s="59"/>
      <c r="AD3660" s="59"/>
      <c r="AE3660" s="59"/>
      <c r="AF3660" s="59"/>
      <c r="AG3660" s="59"/>
      <c r="AH3660" s="59"/>
      <c r="AI3660" s="59"/>
      <c r="AJ3660" s="59"/>
      <c r="AK3660" s="59"/>
      <c r="AL3660" s="59"/>
    </row>
    <row r="3661" ht="15.75" customHeight="1">
      <c r="A3661" s="115">
        <f t="shared" si="26"/>
        <v>4483</v>
      </c>
      <c r="B3661" s="49" t="s">
        <v>12554</v>
      </c>
      <c r="C3661" s="272" t="s">
        <v>12555</v>
      </c>
      <c r="D3661" s="55" t="s">
        <v>12556</v>
      </c>
      <c r="E3661" s="49" t="s">
        <v>28</v>
      </c>
      <c r="F3661" s="49" t="s">
        <v>29</v>
      </c>
      <c r="G3661" s="49" t="s">
        <v>37</v>
      </c>
      <c r="H3661" s="49"/>
      <c r="I3661" s="49" t="s">
        <v>38</v>
      </c>
      <c r="J3661" s="49">
        <v>658.0</v>
      </c>
      <c r="K3661" s="49"/>
      <c r="L3661" s="49" t="s">
        <v>12557</v>
      </c>
      <c r="M3661" s="49" t="s">
        <v>507</v>
      </c>
      <c r="N3661" s="49">
        <v>1986.0</v>
      </c>
      <c r="O3661" s="49" t="s">
        <v>388</v>
      </c>
      <c r="P3661" s="49">
        <v>1.0</v>
      </c>
      <c r="Q3661" s="56">
        <v>1.0</v>
      </c>
      <c r="R3661" s="54"/>
      <c r="S3661" s="40"/>
      <c r="T3661" s="40"/>
      <c r="U3661" s="40"/>
      <c r="V3661" s="40"/>
      <c r="W3661" s="40"/>
      <c r="X3661" s="40"/>
      <c r="Y3661" s="59"/>
      <c r="Z3661" s="59"/>
      <c r="AA3661" s="59"/>
      <c r="AB3661" s="59"/>
      <c r="AC3661" s="59"/>
      <c r="AD3661" s="59"/>
      <c r="AE3661" s="59"/>
      <c r="AF3661" s="59"/>
      <c r="AG3661" s="59"/>
      <c r="AH3661" s="59"/>
      <c r="AI3661" s="59"/>
      <c r="AJ3661" s="59"/>
      <c r="AK3661" s="59"/>
      <c r="AL3661" s="59"/>
    </row>
    <row r="3662" ht="15.75" customHeight="1">
      <c r="A3662" s="115">
        <f t="shared" si="26"/>
        <v>4484</v>
      </c>
      <c r="B3662" s="49" t="s">
        <v>31</v>
      </c>
      <c r="C3662" s="272" t="s">
        <v>3269</v>
      </c>
      <c r="D3662" s="55" t="s">
        <v>12558</v>
      </c>
      <c r="E3662" s="49" t="s">
        <v>28</v>
      </c>
      <c r="F3662" s="49" t="s">
        <v>29</v>
      </c>
      <c r="G3662" s="49" t="s">
        <v>38</v>
      </c>
      <c r="H3662" s="49"/>
      <c r="I3662" s="49" t="s">
        <v>38</v>
      </c>
      <c r="J3662" s="49">
        <v>286.0</v>
      </c>
      <c r="K3662" s="49"/>
      <c r="L3662" s="49" t="s">
        <v>12559</v>
      </c>
      <c r="M3662" s="49" t="s">
        <v>65</v>
      </c>
      <c r="N3662" s="49">
        <v>1966.0</v>
      </c>
      <c r="O3662" s="49" t="s">
        <v>388</v>
      </c>
      <c r="P3662" s="49">
        <v>1.0</v>
      </c>
      <c r="Q3662" s="56"/>
      <c r="R3662" s="54"/>
      <c r="S3662" s="40"/>
      <c r="T3662" s="40"/>
      <c r="U3662" s="40"/>
      <c r="V3662" s="40"/>
      <c r="W3662" s="40"/>
      <c r="X3662" s="40"/>
      <c r="Y3662" s="59"/>
      <c r="Z3662" s="59"/>
      <c r="AA3662" s="59"/>
      <c r="AB3662" s="59"/>
      <c r="AC3662" s="59"/>
      <c r="AD3662" s="59"/>
      <c r="AE3662" s="59"/>
      <c r="AF3662" s="59"/>
      <c r="AG3662" s="59"/>
      <c r="AH3662" s="59"/>
      <c r="AI3662" s="59"/>
      <c r="AJ3662" s="59"/>
      <c r="AK3662" s="59"/>
      <c r="AL3662" s="59"/>
    </row>
    <row r="3663" ht="15.75" customHeight="1">
      <c r="A3663" s="115">
        <f t="shared" si="26"/>
        <v>4485</v>
      </c>
      <c r="B3663" s="49" t="s">
        <v>12560</v>
      </c>
      <c r="C3663" s="272" t="s">
        <v>12561</v>
      </c>
      <c r="D3663" s="55" t="s">
        <v>12562</v>
      </c>
      <c r="E3663" s="49" t="s">
        <v>28</v>
      </c>
      <c r="F3663" s="49" t="s">
        <v>29</v>
      </c>
      <c r="G3663" s="49" t="s">
        <v>37</v>
      </c>
      <c r="H3663" s="49" t="s">
        <v>31</v>
      </c>
      <c r="I3663" s="49" t="s">
        <v>38</v>
      </c>
      <c r="J3663" s="49">
        <v>373.0</v>
      </c>
      <c r="K3663" s="49"/>
      <c r="L3663" s="49" t="s">
        <v>12563</v>
      </c>
      <c r="M3663" s="49" t="s">
        <v>250</v>
      </c>
      <c r="N3663" s="49">
        <v>2013.0</v>
      </c>
      <c r="O3663" s="49" t="s">
        <v>388</v>
      </c>
      <c r="P3663" s="49">
        <v>1.0</v>
      </c>
      <c r="Q3663" s="56"/>
      <c r="R3663" s="54"/>
      <c r="S3663" s="40"/>
      <c r="T3663" s="40"/>
      <c r="U3663" s="40"/>
      <c r="V3663" s="40"/>
      <c r="W3663" s="40"/>
      <c r="X3663" s="40"/>
      <c r="Y3663" s="284"/>
      <c r="Z3663" s="284"/>
      <c r="AA3663" s="284"/>
      <c r="AB3663" s="284"/>
      <c r="AC3663" s="284"/>
      <c r="AD3663" s="284"/>
      <c r="AE3663" s="284"/>
      <c r="AF3663" s="284"/>
      <c r="AG3663" s="284"/>
      <c r="AH3663" s="284"/>
      <c r="AI3663" s="284"/>
      <c r="AJ3663" s="284"/>
      <c r="AK3663" s="284"/>
      <c r="AL3663" s="284"/>
    </row>
    <row r="3664" ht="15.75" customHeight="1">
      <c r="A3664" s="115">
        <f t="shared" si="26"/>
        <v>4486</v>
      </c>
      <c r="B3664" s="49" t="s">
        <v>3280</v>
      </c>
      <c r="C3664" s="272" t="s">
        <v>12564</v>
      </c>
      <c r="D3664" s="55" t="s">
        <v>12565</v>
      </c>
      <c r="E3664" s="49" t="s">
        <v>28</v>
      </c>
      <c r="F3664" s="49" t="s">
        <v>29</v>
      </c>
      <c r="G3664" s="49" t="s">
        <v>30</v>
      </c>
      <c r="H3664" s="49"/>
      <c r="I3664" s="49" t="s">
        <v>30</v>
      </c>
      <c r="J3664" s="49">
        <v>244.0</v>
      </c>
      <c r="K3664" s="49"/>
      <c r="L3664" s="49" t="s">
        <v>492</v>
      </c>
      <c r="M3664" s="49" t="s">
        <v>544</v>
      </c>
      <c r="N3664" s="49">
        <v>1996.0</v>
      </c>
      <c r="O3664" s="49" t="s">
        <v>388</v>
      </c>
      <c r="P3664" s="49">
        <v>1.0</v>
      </c>
      <c r="Q3664" s="56"/>
      <c r="R3664" s="54"/>
      <c r="S3664" s="40"/>
      <c r="T3664" s="40"/>
      <c r="U3664" s="40"/>
      <c r="V3664" s="40"/>
      <c r="W3664" s="40"/>
      <c r="X3664" s="40"/>
      <c r="Y3664" s="59"/>
      <c r="Z3664" s="59"/>
      <c r="AA3664" s="59"/>
      <c r="AB3664" s="59"/>
      <c r="AC3664" s="59"/>
      <c r="AD3664" s="59"/>
      <c r="AE3664" s="59"/>
      <c r="AF3664" s="59"/>
      <c r="AG3664" s="59"/>
      <c r="AH3664" s="59"/>
      <c r="AI3664" s="59"/>
      <c r="AJ3664" s="59"/>
      <c r="AK3664" s="59"/>
      <c r="AL3664" s="59"/>
    </row>
    <row r="3665" ht="15.75" customHeight="1">
      <c r="A3665" s="115">
        <f t="shared" si="26"/>
        <v>4487</v>
      </c>
      <c r="B3665" s="49" t="s">
        <v>12566</v>
      </c>
      <c r="C3665" s="272" t="s">
        <v>12567</v>
      </c>
      <c r="D3665" s="55" t="s">
        <v>12568</v>
      </c>
      <c r="E3665" s="49" t="s">
        <v>28</v>
      </c>
      <c r="F3665" s="49" t="s">
        <v>29</v>
      </c>
      <c r="G3665" s="49" t="s">
        <v>1032</v>
      </c>
      <c r="H3665" s="49"/>
      <c r="I3665" s="49" t="s">
        <v>38</v>
      </c>
      <c r="J3665" s="49">
        <v>388.0</v>
      </c>
      <c r="K3665" s="49"/>
      <c r="L3665" s="49" t="s">
        <v>12569</v>
      </c>
      <c r="M3665" s="49" t="s">
        <v>236</v>
      </c>
      <c r="N3665" s="49">
        <v>1991.0</v>
      </c>
      <c r="O3665" s="49" t="s">
        <v>388</v>
      </c>
      <c r="P3665" s="49">
        <v>1.0</v>
      </c>
      <c r="Q3665" s="56"/>
      <c r="R3665" s="301"/>
      <c r="S3665" s="185"/>
      <c r="T3665" s="185"/>
      <c r="U3665" s="185"/>
      <c r="V3665" s="185"/>
      <c r="W3665" s="185"/>
      <c r="X3665" s="185"/>
      <c r="Y3665" s="284"/>
      <c r="Z3665" s="284"/>
      <c r="AA3665" s="284"/>
      <c r="AB3665" s="284"/>
      <c r="AC3665" s="284"/>
      <c r="AD3665" s="284"/>
      <c r="AE3665" s="284"/>
      <c r="AF3665" s="284"/>
      <c r="AG3665" s="284"/>
      <c r="AH3665" s="284"/>
      <c r="AI3665" s="284"/>
      <c r="AJ3665" s="284"/>
      <c r="AK3665" s="284"/>
      <c r="AL3665" s="284"/>
    </row>
    <row r="3666" ht="15.75" customHeight="1">
      <c r="A3666" s="115">
        <f t="shared" si="26"/>
        <v>4488</v>
      </c>
      <c r="B3666" s="49" t="s">
        <v>12570</v>
      </c>
      <c r="C3666" s="272" t="s">
        <v>12571</v>
      </c>
      <c r="D3666" s="55" t="s">
        <v>12572</v>
      </c>
      <c r="E3666" s="49" t="s">
        <v>28</v>
      </c>
      <c r="F3666" s="49" t="s">
        <v>29</v>
      </c>
      <c r="G3666" s="49" t="s">
        <v>37</v>
      </c>
      <c r="H3666" s="49" t="s">
        <v>31</v>
      </c>
      <c r="I3666" s="49" t="s">
        <v>38</v>
      </c>
      <c r="J3666" s="49">
        <f>597+25</f>
        <v>622</v>
      </c>
      <c r="K3666" s="49"/>
      <c r="L3666" s="49" t="s">
        <v>1595</v>
      </c>
      <c r="M3666" s="49" t="s">
        <v>178</v>
      </c>
      <c r="N3666" s="49">
        <v>2001.0</v>
      </c>
      <c r="O3666" s="49" t="s">
        <v>388</v>
      </c>
      <c r="P3666" s="49">
        <v>1.0</v>
      </c>
      <c r="Q3666" s="56"/>
      <c r="R3666" s="301"/>
      <c r="S3666" s="185"/>
      <c r="T3666" s="185"/>
      <c r="U3666" s="185"/>
      <c r="V3666" s="185"/>
      <c r="W3666" s="185"/>
      <c r="X3666" s="185"/>
      <c r="Y3666" s="284"/>
      <c r="Z3666" s="284"/>
      <c r="AA3666" s="284"/>
      <c r="AB3666" s="284"/>
      <c r="AC3666" s="284"/>
      <c r="AD3666" s="284"/>
      <c r="AE3666" s="284"/>
      <c r="AF3666" s="284"/>
      <c r="AG3666" s="284"/>
      <c r="AH3666" s="284"/>
      <c r="AI3666" s="284"/>
      <c r="AJ3666" s="284"/>
      <c r="AK3666" s="284"/>
      <c r="AL3666" s="284"/>
    </row>
    <row r="3667" ht="15.75" customHeight="1">
      <c r="A3667" s="115">
        <f t="shared" si="26"/>
        <v>4489</v>
      </c>
      <c r="B3667" s="49"/>
      <c r="C3667" s="272" t="s">
        <v>12573</v>
      </c>
      <c r="D3667" s="55" t="s">
        <v>12574</v>
      </c>
      <c r="E3667" s="49" t="s">
        <v>28</v>
      </c>
      <c r="F3667" s="49" t="s">
        <v>29</v>
      </c>
      <c r="G3667" s="49" t="s">
        <v>38</v>
      </c>
      <c r="H3667" s="49"/>
      <c r="I3667" s="49" t="s">
        <v>38</v>
      </c>
      <c r="J3667" s="49">
        <v>290.0</v>
      </c>
      <c r="K3667" s="49"/>
      <c r="L3667" s="49" t="s">
        <v>12575</v>
      </c>
      <c r="M3667" s="49" t="s">
        <v>72</v>
      </c>
      <c r="N3667" s="49">
        <v>1964.0</v>
      </c>
      <c r="O3667" s="49" t="s">
        <v>388</v>
      </c>
      <c r="P3667" s="49">
        <v>1.0</v>
      </c>
      <c r="Q3667" s="56"/>
      <c r="R3667" s="288"/>
      <c r="S3667" s="34"/>
      <c r="T3667" s="34"/>
      <c r="U3667" s="34"/>
      <c r="V3667" s="34"/>
      <c r="W3667" s="34"/>
      <c r="X3667" s="34"/>
      <c r="Y3667" s="284"/>
      <c r="Z3667" s="284"/>
      <c r="AA3667" s="284"/>
      <c r="AB3667" s="284"/>
      <c r="AC3667" s="284"/>
      <c r="AD3667" s="284"/>
      <c r="AE3667" s="284"/>
      <c r="AF3667" s="284"/>
      <c r="AG3667" s="284"/>
      <c r="AH3667" s="284"/>
      <c r="AI3667" s="284"/>
      <c r="AJ3667" s="284"/>
      <c r="AK3667" s="284"/>
      <c r="AL3667" s="284"/>
    </row>
    <row r="3668" ht="15.75" customHeight="1">
      <c r="A3668" s="115">
        <f t="shared" si="26"/>
        <v>4490</v>
      </c>
      <c r="B3668" s="49" t="s">
        <v>12576</v>
      </c>
      <c r="C3668" s="272" t="s">
        <v>12577</v>
      </c>
      <c r="D3668" s="55" t="s">
        <v>12578</v>
      </c>
      <c r="E3668" s="49" t="s">
        <v>28</v>
      </c>
      <c r="F3668" s="49" t="s">
        <v>29</v>
      </c>
      <c r="G3668" s="49" t="s">
        <v>37</v>
      </c>
      <c r="H3668" s="49" t="s">
        <v>31</v>
      </c>
      <c r="I3668" s="49" t="s">
        <v>38</v>
      </c>
      <c r="J3668" s="49">
        <v>240.0</v>
      </c>
      <c r="K3668" s="49"/>
      <c r="L3668" s="49" t="s">
        <v>12579</v>
      </c>
      <c r="M3668" s="49" t="s">
        <v>250</v>
      </c>
      <c r="N3668" s="49">
        <v>1973.0</v>
      </c>
      <c r="O3668" s="49" t="s">
        <v>388</v>
      </c>
      <c r="P3668" s="49">
        <v>1.0</v>
      </c>
      <c r="Q3668" s="56"/>
      <c r="R3668" s="288"/>
      <c r="S3668" s="34"/>
      <c r="T3668" s="34"/>
      <c r="U3668" s="34"/>
      <c r="V3668" s="34"/>
      <c r="W3668" s="34"/>
      <c r="X3668" s="34"/>
      <c r="Y3668" s="59"/>
      <c r="Z3668" s="59"/>
      <c r="AA3668" s="59"/>
      <c r="AB3668" s="59"/>
      <c r="AC3668" s="59"/>
      <c r="AD3668" s="59"/>
      <c r="AE3668" s="59"/>
      <c r="AF3668" s="59"/>
      <c r="AG3668" s="59"/>
      <c r="AH3668" s="59"/>
      <c r="AI3668" s="59"/>
      <c r="AJ3668" s="59"/>
      <c r="AK3668" s="59"/>
      <c r="AL3668" s="59"/>
    </row>
    <row r="3669" ht="15.75" customHeight="1">
      <c r="A3669" s="115">
        <f t="shared" si="26"/>
        <v>4491</v>
      </c>
      <c r="B3669" s="49" t="s">
        <v>3374</v>
      </c>
      <c r="C3669" s="272" t="s">
        <v>12580</v>
      </c>
      <c r="D3669" s="55" t="s">
        <v>3376</v>
      </c>
      <c r="E3669" s="49" t="s">
        <v>28</v>
      </c>
      <c r="F3669" s="49" t="s">
        <v>29</v>
      </c>
      <c r="G3669" s="49" t="s">
        <v>30</v>
      </c>
      <c r="H3669" s="49"/>
      <c r="I3669" s="49" t="s">
        <v>30</v>
      </c>
      <c r="J3669" s="49">
        <v>148.0</v>
      </c>
      <c r="K3669" s="49"/>
      <c r="L3669" s="49" t="s">
        <v>3377</v>
      </c>
      <c r="M3669" s="49" t="s">
        <v>151</v>
      </c>
      <c r="N3669" s="49">
        <v>1989.0</v>
      </c>
      <c r="O3669" s="49" t="s">
        <v>388</v>
      </c>
      <c r="P3669" s="49">
        <v>2.0</v>
      </c>
      <c r="Q3669" s="56"/>
      <c r="R3669" s="301"/>
      <c r="S3669" s="40"/>
      <c r="T3669" s="40"/>
      <c r="U3669" s="40"/>
      <c r="V3669" s="40"/>
      <c r="W3669" s="40"/>
      <c r="X3669" s="40"/>
      <c r="Y3669" s="59"/>
      <c r="Z3669" s="59"/>
      <c r="AA3669" s="59"/>
      <c r="AB3669" s="59"/>
      <c r="AC3669" s="59"/>
      <c r="AD3669" s="59"/>
      <c r="AE3669" s="59"/>
      <c r="AF3669" s="59"/>
      <c r="AG3669" s="59"/>
      <c r="AH3669" s="59"/>
      <c r="AI3669" s="59"/>
      <c r="AJ3669" s="59"/>
      <c r="AK3669" s="59"/>
      <c r="AL3669" s="59"/>
    </row>
    <row r="3670" ht="15.75" customHeight="1">
      <c r="A3670" s="115">
        <f t="shared" si="26"/>
        <v>4492</v>
      </c>
      <c r="B3670" s="49"/>
      <c r="C3670" s="272" t="s">
        <v>12581</v>
      </c>
      <c r="D3670" s="55" t="s">
        <v>12582</v>
      </c>
      <c r="E3670" s="49" t="s">
        <v>28</v>
      </c>
      <c r="F3670" s="49" t="s">
        <v>29</v>
      </c>
      <c r="G3670" s="49" t="s">
        <v>37</v>
      </c>
      <c r="H3670" s="49" t="s">
        <v>31</v>
      </c>
      <c r="I3670" s="49" t="s">
        <v>38</v>
      </c>
      <c r="J3670" s="49">
        <f>306+14</f>
        <v>320</v>
      </c>
      <c r="K3670" s="49"/>
      <c r="L3670" s="49" t="s">
        <v>1658</v>
      </c>
      <c r="M3670" s="49" t="s">
        <v>178</v>
      </c>
      <c r="N3670" s="49">
        <v>2004.0</v>
      </c>
      <c r="O3670" s="49" t="s">
        <v>388</v>
      </c>
      <c r="P3670" s="49">
        <v>1.0</v>
      </c>
      <c r="Q3670" s="56"/>
      <c r="R3670" s="288"/>
      <c r="S3670" s="34"/>
      <c r="T3670" s="34"/>
      <c r="U3670" s="34"/>
      <c r="V3670" s="34"/>
      <c r="W3670" s="34"/>
      <c r="X3670" s="34"/>
      <c r="Y3670" s="59"/>
      <c r="Z3670" s="59"/>
      <c r="AA3670" s="59"/>
      <c r="AB3670" s="59"/>
      <c r="AC3670" s="59"/>
      <c r="AD3670" s="59"/>
      <c r="AE3670" s="59"/>
      <c r="AF3670" s="59"/>
      <c r="AG3670" s="59"/>
      <c r="AH3670" s="59"/>
      <c r="AI3670" s="59"/>
      <c r="AJ3670" s="59"/>
      <c r="AK3670" s="59"/>
      <c r="AL3670" s="59"/>
    </row>
    <row r="3671" ht="15.75" customHeight="1">
      <c r="A3671" s="115">
        <f t="shared" si="26"/>
        <v>4493</v>
      </c>
      <c r="B3671" s="49" t="s">
        <v>3408</v>
      </c>
      <c r="C3671" s="272" t="s">
        <v>12583</v>
      </c>
      <c r="D3671" s="55" t="s">
        <v>12584</v>
      </c>
      <c r="E3671" s="49" t="s">
        <v>302</v>
      </c>
      <c r="F3671" s="49" t="s">
        <v>29</v>
      </c>
      <c r="G3671" s="49" t="s">
        <v>30</v>
      </c>
      <c r="H3671" s="49"/>
      <c r="I3671" s="49" t="s">
        <v>30</v>
      </c>
      <c r="J3671" s="49">
        <v>413.0</v>
      </c>
      <c r="K3671" s="49"/>
      <c r="L3671" s="49" t="s">
        <v>3407</v>
      </c>
      <c r="M3671" s="49" t="s">
        <v>151</v>
      </c>
      <c r="N3671" s="49">
        <v>2015.0</v>
      </c>
      <c r="O3671" s="49" t="s">
        <v>388</v>
      </c>
      <c r="P3671" s="49">
        <v>1.0</v>
      </c>
      <c r="Q3671" s="56"/>
      <c r="R3671" s="288"/>
      <c r="S3671" s="34"/>
      <c r="T3671" s="34"/>
      <c r="U3671" s="34"/>
      <c r="V3671" s="34"/>
      <c r="W3671" s="34"/>
      <c r="X3671" s="34"/>
      <c r="Y3671" s="59"/>
      <c r="Z3671" s="59"/>
      <c r="AA3671" s="59"/>
      <c r="AB3671" s="59"/>
      <c r="AC3671" s="59"/>
      <c r="AD3671" s="59"/>
      <c r="AE3671" s="59"/>
      <c r="AF3671" s="59"/>
      <c r="AG3671" s="59"/>
      <c r="AH3671" s="59"/>
      <c r="AI3671" s="59"/>
      <c r="AJ3671" s="59"/>
      <c r="AK3671" s="59"/>
      <c r="AL3671" s="59"/>
    </row>
    <row r="3672" ht="15.75" customHeight="1">
      <c r="A3672" s="115">
        <f t="shared" si="26"/>
        <v>4494</v>
      </c>
      <c r="B3672" s="49" t="s">
        <v>1622</v>
      </c>
      <c r="C3672" s="50" t="s">
        <v>1720</v>
      </c>
      <c r="D3672" s="51" t="s">
        <v>12585</v>
      </c>
      <c r="E3672" s="49" t="s">
        <v>28</v>
      </c>
      <c r="F3672" s="49" t="s">
        <v>29</v>
      </c>
      <c r="G3672" s="49" t="s">
        <v>37</v>
      </c>
      <c r="H3672" s="49"/>
      <c r="I3672" s="49" t="s">
        <v>38</v>
      </c>
      <c r="J3672" s="52">
        <v>712.0</v>
      </c>
      <c r="K3672" s="49"/>
      <c r="L3672" s="52" t="s">
        <v>1722</v>
      </c>
      <c r="M3672" s="49" t="s">
        <v>178</v>
      </c>
      <c r="N3672" s="49">
        <v>2011.0</v>
      </c>
      <c r="O3672" s="52">
        <v>4.0</v>
      </c>
      <c r="P3672" s="49">
        <v>1.0</v>
      </c>
      <c r="Q3672" s="56"/>
      <c r="R3672" s="288"/>
      <c r="S3672" s="34"/>
      <c r="T3672" s="34"/>
      <c r="U3672" s="34"/>
      <c r="V3672" s="34"/>
      <c r="W3672" s="34"/>
      <c r="X3672" s="34"/>
      <c r="Y3672" s="59"/>
      <c r="Z3672" s="59"/>
      <c r="AA3672" s="59"/>
      <c r="AB3672" s="59"/>
      <c r="AC3672" s="59"/>
      <c r="AD3672" s="59"/>
      <c r="AE3672" s="59"/>
      <c r="AF3672" s="59"/>
      <c r="AG3672" s="59"/>
      <c r="AH3672" s="59"/>
      <c r="AI3672" s="59"/>
      <c r="AJ3672" s="59"/>
      <c r="AK3672" s="59"/>
      <c r="AL3672" s="59"/>
    </row>
    <row r="3673" ht="15.75" customHeight="1">
      <c r="A3673" s="115">
        <f t="shared" si="26"/>
        <v>4495</v>
      </c>
      <c r="B3673" s="49" t="s">
        <v>31</v>
      </c>
      <c r="C3673" s="272" t="s">
        <v>12586</v>
      </c>
      <c r="D3673" s="55" t="s">
        <v>12587</v>
      </c>
      <c r="E3673" s="49" t="s">
        <v>28</v>
      </c>
      <c r="F3673" s="49" t="s">
        <v>29</v>
      </c>
      <c r="G3673" s="49" t="s">
        <v>31</v>
      </c>
      <c r="H3673" s="49" t="s">
        <v>31</v>
      </c>
      <c r="I3673" s="49" t="s">
        <v>31</v>
      </c>
      <c r="J3673" s="49">
        <v>600.0</v>
      </c>
      <c r="K3673" s="49"/>
      <c r="L3673" s="49" t="s">
        <v>1704</v>
      </c>
      <c r="M3673" s="49" t="s">
        <v>12588</v>
      </c>
      <c r="N3673" s="49">
        <v>1963.0</v>
      </c>
      <c r="O3673" s="49" t="s">
        <v>388</v>
      </c>
      <c r="P3673" s="49">
        <v>1.0</v>
      </c>
      <c r="Q3673" s="56"/>
      <c r="R3673" s="301"/>
      <c r="S3673" s="40"/>
      <c r="T3673" s="40"/>
      <c r="U3673" s="40"/>
      <c r="V3673" s="40"/>
      <c r="W3673" s="40"/>
      <c r="X3673" s="40"/>
      <c r="Y3673" s="59"/>
      <c r="Z3673" s="59"/>
      <c r="AA3673" s="59"/>
      <c r="AB3673" s="59"/>
      <c r="AC3673" s="59"/>
      <c r="AD3673" s="59"/>
      <c r="AE3673" s="59"/>
      <c r="AF3673" s="59"/>
      <c r="AG3673" s="59"/>
      <c r="AH3673" s="59"/>
      <c r="AI3673" s="59"/>
      <c r="AJ3673" s="59"/>
      <c r="AK3673" s="59"/>
      <c r="AL3673" s="59"/>
    </row>
    <row r="3674" ht="15.75" customHeight="1">
      <c r="A3674" s="115">
        <f t="shared" si="26"/>
        <v>4496</v>
      </c>
      <c r="B3674" s="49" t="s">
        <v>3386</v>
      </c>
      <c r="C3674" s="272" t="s">
        <v>12589</v>
      </c>
      <c r="D3674" s="55" t="s">
        <v>12590</v>
      </c>
      <c r="E3674" s="49"/>
      <c r="F3674" s="49" t="s">
        <v>29</v>
      </c>
      <c r="G3674" s="49" t="s">
        <v>30</v>
      </c>
      <c r="H3674" s="49"/>
      <c r="I3674" s="49" t="s">
        <v>30</v>
      </c>
      <c r="J3674" s="49">
        <v>233.0</v>
      </c>
      <c r="K3674" s="49"/>
      <c r="L3674" s="49" t="s">
        <v>12591</v>
      </c>
      <c r="M3674" s="49" t="s">
        <v>151</v>
      </c>
      <c r="N3674" s="49">
        <v>2009.0</v>
      </c>
      <c r="O3674" s="49" t="s">
        <v>388</v>
      </c>
      <c r="P3674" s="49">
        <v>1.0</v>
      </c>
      <c r="Q3674" s="56"/>
      <c r="R3674" s="288"/>
      <c r="S3674" s="34"/>
      <c r="T3674" s="34"/>
      <c r="U3674" s="34"/>
      <c r="V3674" s="34"/>
      <c r="W3674" s="34"/>
      <c r="X3674" s="34"/>
      <c r="Y3674" s="59"/>
      <c r="Z3674" s="59"/>
      <c r="AA3674" s="59"/>
      <c r="AB3674" s="59"/>
      <c r="AC3674" s="59"/>
      <c r="AD3674" s="59"/>
      <c r="AE3674" s="59"/>
      <c r="AF3674" s="59"/>
      <c r="AG3674" s="59"/>
      <c r="AH3674" s="59"/>
      <c r="AI3674" s="59"/>
      <c r="AJ3674" s="59"/>
      <c r="AK3674" s="59"/>
      <c r="AL3674" s="59"/>
    </row>
    <row r="3675" ht="15.75" customHeight="1">
      <c r="A3675" s="115">
        <f t="shared" si="26"/>
        <v>4497</v>
      </c>
      <c r="B3675" s="49" t="s">
        <v>12592</v>
      </c>
      <c r="C3675" s="272" t="s">
        <v>12593</v>
      </c>
      <c r="D3675" s="55" t="s">
        <v>12594</v>
      </c>
      <c r="E3675" s="49" t="s">
        <v>28</v>
      </c>
      <c r="F3675" s="49" t="s">
        <v>29</v>
      </c>
      <c r="G3675" s="49" t="s">
        <v>37</v>
      </c>
      <c r="H3675" s="49"/>
      <c r="I3675" s="49" t="s">
        <v>38</v>
      </c>
      <c r="J3675" s="49">
        <v>333.0</v>
      </c>
      <c r="K3675" s="49"/>
      <c r="L3675" s="49" t="s">
        <v>3398</v>
      </c>
      <c r="M3675" s="49"/>
      <c r="N3675" s="49"/>
      <c r="O3675" s="49" t="s">
        <v>388</v>
      </c>
      <c r="P3675" s="49">
        <v>1.0</v>
      </c>
      <c r="Q3675" s="56"/>
      <c r="R3675" s="288"/>
      <c r="S3675" s="34"/>
      <c r="T3675" s="34"/>
      <c r="U3675" s="34"/>
      <c r="V3675" s="34"/>
      <c r="W3675" s="34"/>
      <c r="X3675" s="34"/>
      <c r="Y3675" s="59"/>
      <c r="Z3675" s="59"/>
      <c r="AA3675" s="59"/>
      <c r="AB3675" s="59"/>
      <c r="AC3675" s="59"/>
      <c r="AD3675" s="59"/>
      <c r="AE3675" s="59"/>
      <c r="AF3675" s="59"/>
      <c r="AG3675" s="59"/>
      <c r="AH3675" s="59"/>
      <c r="AI3675" s="59"/>
      <c r="AJ3675" s="59"/>
      <c r="AK3675" s="59"/>
      <c r="AL3675" s="59"/>
    </row>
    <row r="3676" ht="15.75" customHeight="1">
      <c r="A3676" s="115">
        <f t="shared" si="26"/>
        <v>4498</v>
      </c>
      <c r="B3676" s="49" t="s">
        <v>12595</v>
      </c>
      <c r="C3676" s="272" t="s">
        <v>2624</v>
      </c>
      <c r="D3676" s="55" t="s">
        <v>12596</v>
      </c>
      <c r="E3676" s="49" t="s">
        <v>28</v>
      </c>
      <c r="F3676" s="49" t="s">
        <v>29</v>
      </c>
      <c r="G3676" s="49" t="s">
        <v>37</v>
      </c>
      <c r="H3676" s="49"/>
      <c r="I3676" s="49" t="s">
        <v>38</v>
      </c>
      <c r="J3676" s="49">
        <v>174.0</v>
      </c>
      <c r="K3676" s="49"/>
      <c r="L3676" s="49" t="s">
        <v>2626</v>
      </c>
      <c r="M3676" s="49" t="s">
        <v>493</v>
      </c>
      <c r="N3676" s="49">
        <v>2008.0</v>
      </c>
      <c r="O3676" s="49" t="s">
        <v>388</v>
      </c>
      <c r="P3676" s="49">
        <v>1.0</v>
      </c>
      <c r="Q3676" s="56"/>
      <c r="R3676" s="288"/>
      <c r="S3676" s="34"/>
      <c r="T3676" s="34"/>
      <c r="U3676" s="34"/>
      <c r="V3676" s="34"/>
      <c r="W3676" s="34"/>
      <c r="X3676" s="34"/>
      <c r="Y3676" s="59"/>
      <c r="Z3676" s="59"/>
      <c r="AA3676" s="59"/>
      <c r="AB3676" s="59"/>
      <c r="AC3676" s="59"/>
      <c r="AD3676" s="59"/>
      <c r="AE3676" s="59"/>
      <c r="AF3676" s="59"/>
      <c r="AG3676" s="59"/>
      <c r="AH3676" s="59"/>
      <c r="AI3676" s="59"/>
      <c r="AJ3676" s="59"/>
      <c r="AK3676" s="59"/>
      <c r="AL3676" s="59"/>
    </row>
    <row r="3677" ht="15.75" customHeight="1">
      <c r="A3677" s="302">
        <f t="shared" si="26"/>
        <v>4499</v>
      </c>
      <c r="B3677" s="303" t="s">
        <v>12597</v>
      </c>
      <c r="C3677" s="304" t="s">
        <v>12598</v>
      </c>
      <c r="D3677" s="305" t="s">
        <v>12599</v>
      </c>
      <c r="E3677" s="303" t="s">
        <v>223</v>
      </c>
      <c r="F3677" s="303" t="s">
        <v>29</v>
      </c>
      <c r="G3677" s="303" t="s">
        <v>37</v>
      </c>
      <c r="H3677" s="303"/>
      <c r="I3677" s="303" t="s">
        <v>38</v>
      </c>
      <c r="J3677" s="303">
        <v>397.0</v>
      </c>
      <c r="K3677" s="303"/>
      <c r="L3677" s="306" t="s">
        <v>12600</v>
      </c>
      <c r="M3677" s="303" t="s">
        <v>54</v>
      </c>
      <c r="N3677" s="303">
        <v>1997.0</v>
      </c>
      <c r="O3677" s="303" t="s">
        <v>388</v>
      </c>
      <c r="P3677" s="303">
        <v>1.0</v>
      </c>
      <c r="Q3677" s="307"/>
      <c r="R3677" s="34"/>
      <c r="S3677" s="34"/>
      <c r="T3677" s="34"/>
      <c r="U3677" s="34"/>
      <c r="V3677" s="34"/>
      <c r="W3677" s="34"/>
      <c r="X3677" s="34"/>
      <c r="Y3677" s="59"/>
      <c r="Z3677" s="59"/>
      <c r="AA3677" s="59"/>
      <c r="AB3677" s="59"/>
      <c r="AC3677" s="59"/>
      <c r="AD3677" s="59"/>
      <c r="AE3677" s="59"/>
      <c r="AF3677" s="59"/>
      <c r="AG3677" s="59"/>
      <c r="AH3677" s="59"/>
      <c r="AI3677" s="59"/>
      <c r="AJ3677" s="59"/>
      <c r="AK3677" s="59"/>
      <c r="AL3677" s="59"/>
    </row>
    <row r="3678" ht="15.75" customHeight="1">
      <c r="A3678" s="115">
        <f t="shared" si="26"/>
        <v>4500</v>
      </c>
      <c r="B3678" s="49" t="s">
        <v>12601</v>
      </c>
      <c r="C3678" s="272" t="s">
        <v>12602</v>
      </c>
      <c r="D3678" s="55" t="s">
        <v>12603</v>
      </c>
      <c r="E3678" s="49" t="s">
        <v>144</v>
      </c>
      <c r="F3678" s="49" t="s">
        <v>29</v>
      </c>
      <c r="G3678" s="49" t="s">
        <v>127</v>
      </c>
      <c r="H3678" s="49"/>
      <c r="I3678" s="49" t="s">
        <v>38</v>
      </c>
      <c r="J3678" s="49">
        <v>242.0</v>
      </c>
      <c r="K3678" s="49"/>
      <c r="L3678" s="49" t="s">
        <v>8664</v>
      </c>
      <c r="M3678" s="49" t="s">
        <v>12604</v>
      </c>
      <c r="N3678" s="49">
        <v>1985.0</v>
      </c>
      <c r="O3678" s="49" t="s">
        <v>388</v>
      </c>
      <c r="P3678" s="49">
        <v>1.0</v>
      </c>
      <c r="Q3678" s="56"/>
      <c r="R3678" s="288"/>
      <c r="S3678" s="34"/>
      <c r="T3678" s="34"/>
      <c r="U3678" s="34"/>
      <c r="V3678" s="34"/>
      <c r="W3678" s="34"/>
      <c r="X3678" s="34"/>
      <c r="Y3678" s="59"/>
      <c r="Z3678" s="59"/>
      <c r="AA3678" s="59"/>
      <c r="AB3678" s="59"/>
      <c r="AC3678" s="59"/>
      <c r="AD3678" s="59"/>
      <c r="AE3678" s="59"/>
      <c r="AF3678" s="59"/>
      <c r="AG3678" s="59"/>
      <c r="AH3678" s="59"/>
      <c r="AI3678" s="59"/>
      <c r="AJ3678" s="59"/>
      <c r="AK3678" s="59"/>
      <c r="AL3678" s="59"/>
    </row>
    <row r="3679" ht="15.75" customHeight="1">
      <c r="A3679" s="115">
        <f t="shared" si="26"/>
        <v>4501</v>
      </c>
      <c r="B3679" s="49" t="s">
        <v>2629</v>
      </c>
      <c r="C3679" s="272" t="s">
        <v>12605</v>
      </c>
      <c r="D3679" s="55" t="s">
        <v>12606</v>
      </c>
      <c r="E3679" s="49" t="s">
        <v>28</v>
      </c>
      <c r="F3679" s="49" t="s">
        <v>29</v>
      </c>
      <c r="G3679" s="49" t="s">
        <v>37</v>
      </c>
      <c r="H3679" s="49"/>
      <c r="I3679" s="49" t="s">
        <v>38</v>
      </c>
      <c r="J3679" s="49">
        <f>174</f>
        <v>174</v>
      </c>
      <c r="K3679" s="49"/>
      <c r="L3679" s="49" t="s">
        <v>2632</v>
      </c>
      <c r="M3679" s="49" t="s">
        <v>493</v>
      </c>
      <c r="N3679" s="49">
        <v>2008.0</v>
      </c>
      <c r="O3679" s="49" t="s">
        <v>388</v>
      </c>
      <c r="P3679" s="49">
        <v>1.0</v>
      </c>
      <c r="Q3679" s="56"/>
      <c r="R3679" s="301"/>
      <c r="S3679" s="40"/>
      <c r="T3679" s="40"/>
      <c r="U3679" s="40"/>
      <c r="V3679" s="40"/>
      <c r="W3679" s="40"/>
      <c r="X3679" s="40"/>
      <c r="Y3679" s="59"/>
      <c r="Z3679" s="59"/>
      <c r="AA3679" s="59"/>
      <c r="AB3679" s="59"/>
      <c r="AC3679" s="59"/>
      <c r="AD3679" s="59"/>
      <c r="AE3679" s="59"/>
      <c r="AF3679" s="59"/>
      <c r="AG3679" s="59"/>
      <c r="AH3679" s="59"/>
      <c r="AI3679" s="59"/>
      <c r="AJ3679" s="59"/>
      <c r="AK3679" s="59"/>
      <c r="AL3679" s="59"/>
    </row>
    <row r="3680" ht="15.75" customHeight="1">
      <c r="A3680" s="164">
        <f t="shared" si="26"/>
        <v>4502</v>
      </c>
      <c r="B3680" s="63" t="s">
        <v>12607</v>
      </c>
      <c r="C3680" s="275" t="s">
        <v>12608</v>
      </c>
      <c r="D3680" s="65" t="s">
        <v>12609</v>
      </c>
      <c r="E3680" s="63" t="s">
        <v>28</v>
      </c>
      <c r="F3680" s="63" t="s">
        <v>29</v>
      </c>
      <c r="G3680" s="63" t="s">
        <v>37</v>
      </c>
      <c r="H3680" s="63"/>
      <c r="I3680" s="63" t="s">
        <v>38</v>
      </c>
      <c r="J3680" s="63">
        <v>305.0</v>
      </c>
      <c r="K3680" s="63"/>
      <c r="L3680" s="63" t="s">
        <v>12610</v>
      </c>
      <c r="M3680" s="63" t="s">
        <v>123</v>
      </c>
      <c r="N3680" s="63">
        <v>1983.0</v>
      </c>
      <c r="O3680" s="63" t="s">
        <v>388</v>
      </c>
      <c r="P3680" s="63">
        <v>2.0</v>
      </c>
      <c r="Q3680" s="276"/>
      <c r="R3680" s="308"/>
      <c r="S3680" s="40"/>
      <c r="T3680" s="40"/>
      <c r="U3680" s="40"/>
      <c r="V3680" s="40"/>
      <c r="W3680" s="40"/>
      <c r="X3680" s="40"/>
      <c r="Y3680" s="59"/>
      <c r="Z3680" s="59"/>
      <c r="AA3680" s="59"/>
      <c r="AB3680" s="59"/>
      <c r="AC3680" s="59"/>
      <c r="AD3680" s="59"/>
      <c r="AE3680" s="59"/>
      <c r="AF3680" s="59"/>
      <c r="AG3680" s="59"/>
      <c r="AH3680" s="59"/>
      <c r="AI3680" s="59"/>
      <c r="AJ3680" s="59"/>
      <c r="AK3680" s="59"/>
      <c r="AL3680" s="59"/>
    </row>
    <row r="3681" ht="15.75" customHeight="1">
      <c r="A3681" s="157">
        <f t="shared" si="26"/>
        <v>4503</v>
      </c>
      <c r="B3681" s="158"/>
      <c r="C3681" s="204" t="s">
        <v>12611</v>
      </c>
      <c r="D3681" s="160" t="s">
        <v>12612</v>
      </c>
      <c r="E3681" s="158" t="s">
        <v>28</v>
      </c>
      <c r="F3681" s="158" t="s">
        <v>29</v>
      </c>
      <c r="G3681" s="158" t="s">
        <v>37</v>
      </c>
      <c r="H3681" s="158"/>
      <c r="I3681" s="158" t="s">
        <v>38</v>
      </c>
      <c r="J3681" s="158">
        <v>421.0</v>
      </c>
      <c r="K3681" s="158"/>
      <c r="L3681" s="158" t="s">
        <v>1889</v>
      </c>
      <c r="M3681" s="158" t="s">
        <v>507</v>
      </c>
      <c r="N3681" s="158">
        <v>1951.0</v>
      </c>
      <c r="O3681" s="158" t="s">
        <v>388</v>
      </c>
      <c r="P3681" s="158">
        <v>1.0</v>
      </c>
      <c r="Q3681" s="162"/>
      <c r="R3681" s="289"/>
      <c r="S3681" s="34"/>
      <c r="T3681" s="34"/>
      <c r="U3681" s="34"/>
      <c r="V3681" s="34"/>
      <c r="W3681" s="34"/>
      <c r="X3681" s="34"/>
      <c r="Y3681" s="59"/>
      <c r="Z3681" s="59"/>
      <c r="AA3681" s="59"/>
      <c r="AB3681" s="59"/>
      <c r="AC3681" s="59"/>
      <c r="AD3681" s="59"/>
      <c r="AE3681" s="59"/>
      <c r="AF3681" s="59"/>
      <c r="AG3681" s="59"/>
      <c r="AH3681" s="59"/>
      <c r="AI3681" s="59"/>
      <c r="AJ3681" s="59"/>
      <c r="AK3681" s="59"/>
      <c r="AL3681" s="59"/>
    </row>
    <row r="3682" ht="15.75" customHeight="1">
      <c r="A3682" s="115">
        <f>A3680+1</f>
        <v>4503</v>
      </c>
      <c r="B3682" s="49" t="s">
        <v>12613</v>
      </c>
      <c r="C3682" s="272" t="s">
        <v>12614</v>
      </c>
      <c r="D3682" s="55" t="s">
        <v>12615</v>
      </c>
      <c r="E3682" s="49" t="s">
        <v>31</v>
      </c>
      <c r="F3682" s="49" t="s">
        <v>29</v>
      </c>
      <c r="G3682" s="49" t="s">
        <v>30</v>
      </c>
      <c r="H3682" s="49"/>
      <c r="I3682" s="49" t="s">
        <v>30</v>
      </c>
      <c r="J3682" s="49">
        <v>143.0</v>
      </c>
      <c r="K3682" s="49"/>
      <c r="L3682" s="49" t="s">
        <v>150</v>
      </c>
      <c r="M3682" s="49" t="s">
        <v>151</v>
      </c>
      <c r="N3682" s="49">
        <v>2013.0</v>
      </c>
      <c r="O3682" s="49" t="s">
        <v>388</v>
      </c>
      <c r="P3682" s="49">
        <v>1.0</v>
      </c>
      <c r="Q3682" s="56"/>
      <c r="R3682" s="301"/>
      <c r="S3682" s="40"/>
      <c r="T3682" s="40"/>
      <c r="U3682" s="40"/>
      <c r="V3682" s="40"/>
      <c r="W3682" s="40"/>
      <c r="X3682" s="40"/>
      <c r="Y3682" s="59"/>
      <c r="Z3682" s="59"/>
      <c r="AA3682" s="59"/>
      <c r="AB3682" s="59"/>
      <c r="AC3682" s="59"/>
      <c r="AD3682" s="59"/>
      <c r="AE3682" s="59"/>
      <c r="AF3682" s="59"/>
      <c r="AG3682" s="59"/>
      <c r="AH3682" s="59"/>
      <c r="AI3682" s="59"/>
      <c r="AJ3682" s="59"/>
      <c r="AK3682" s="59"/>
      <c r="AL3682" s="59"/>
    </row>
    <row r="3683" ht="15.75" customHeight="1">
      <c r="A3683" s="115">
        <f t="shared" ref="A3683:A3689" si="27">A3682+1</f>
        <v>4504</v>
      </c>
      <c r="B3683" s="49" t="s">
        <v>12616</v>
      </c>
      <c r="C3683" s="287" t="s">
        <v>12617</v>
      </c>
      <c r="D3683" s="55" t="s">
        <v>12618</v>
      </c>
      <c r="E3683" s="49" t="s">
        <v>28</v>
      </c>
      <c r="F3683" s="49" t="s">
        <v>29</v>
      </c>
      <c r="G3683" s="49" t="s">
        <v>37</v>
      </c>
      <c r="H3683" s="49" t="s">
        <v>31</v>
      </c>
      <c r="I3683" s="49" t="s">
        <v>38</v>
      </c>
      <c r="J3683" s="49">
        <v>205.0</v>
      </c>
      <c r="K3683" s="49" t="s">
        <v>31</v>
      </c>
      <c r="L3683" s="49" t="s">
        <v>1915</v>
      </c>
      <c r="M3683" s="49" t="s">
        <v>178</v>
      </c>
      <c r="N3683" s="49">
        <v>2004.0</v>
      </c>
      <c r="O3683" s="49" t="s">
        <v>388</v>
      </c>
      <c r="P3683" s="49">
        <v>1.0</v>
      </c>
      <c r="Q3683" s="56"/>
      <c r="R3683" s="301"/>
      <c r="S3683" s="40"/>
      <c r="T3683" s="40"/>
      <c r="U3683" s="40"/>
      <c r="V3683" s="40"/>
      <c r="W3683" s="40"/>
      <c r="X3683" s="40"/>
      <c r="Y3683" s="59"/>
      <c r="Z3683" s="59"/>
      <c r="AA3683" s="59"/>
      <c r="AB3683" s="59"/>
      <c r="AC3683" s="59"/>
      <c r="AD3683" s="59"/>
      <c r="AE3683" s="59"/>
      <c r="AF3683" s="59"/>
      <c r="AG3683" s="59"/>
      <c r="AH3683" s="59"/>
      <c r="AI3683" s="59"/>
      <c r="AJ3683" s="59"/>
      <c r="AK3683" s="59"/>
      <c r="AL3683" s="59"/>
    </row>
    <row r="3684" ht="15.75" customHeight="1">
      <c r="A3684" s="115">
        <f t="shared" si="27"/>
        <v>4505</v>
      </c>
      <c r="B3684" s="49" t="s">
        <v>2637</v>
      </c>
      <c r="C3684" s="272" t="s">
        <v>12619</v>
      </c>
      <c r="D3684" s="55" t="s">
        <v>12620</v>
      </c>
      <c r="E3684" s="49" t="s">
        <v>28</v>
      </c>
      <c r="F3684" s="49" t="s">
        <v>29</v>
      </c>
      <c r="G3684" s="49" t="s">
        <v>37</v>
      </c>
      <c r="H3684" s="49"/>
      <c r="I3684" s="49" t="s">
        <v>38</v>
      </c>
      <c r="J3684" s="49">
        <v>352.0</v>
      </c>
      <c r="K3684" s="49"/>
      <c r="L3684" s="49" t="s">
        <v>2640</v>
      </c>
      <c r="M3684" s="49" t="s">
        <v>493</v>
      </c>
      <c r="N3684" s="49">
        <v>2008.0</v>
      </c>
      <c r="O3684" s="49" t="s">
        <v>388</v>
      </c>
      <c r="P3684" s="49">
        <v>1.0</v>
      </c>
      <c r="Q3684" s="56"/>
      <c r="R3684" s="301"/>
      <c r="S3684" s="40"/>
      <c r="T3684" s="40"/>
      <c r="U3684" s="40"/>
      <c r="V3684" s="40"/>
      <c r="W3684" s="40"/>
      <c r="X3684" s="40"/>
      <c r="Y3684" s="59"/>
      <c r="Z3684" s="59"/>
      <c r="AA3684" s="59"/>
      <c r="AB3684" s="59"/>
      <c r="AC3684" s="59"/>
      <c r="AD3684" s="59"/>
      <c r="AE3684" s="59"/>
      <c r="AF3684" s="59"/>
      <c r="AG3684" s="59"/>
      <c r="AH3684" s="59"/>
      <c r="AI3684" s="59"/>
      <c r="AJ3684" s="59"/>
      <c r="AK3684" s="59"/>
      <c r="AL3684" s="59"/>
    </row>
    <row r="3685" ht="15.75" customHeight="1">
      <c r="A3685" s="115">
        <f t="shared" si="27"/>
        <v>4506</v>
      </c>
      <c r="B3685" s="49" t="s">
        <v>12621</v>
      </c>
      <c r="C3685" s="272" t="s">
        <v>12622</v>
      </c>
      <c r="D3685" s="55" t="s">
        <v>12623</v>
      </c>
      <c r="E3685" s="49" t="s">
        <v>28</v>
      </c>
      <c r="F3685" s="49" t="s">
        <v>29</v>
      </c>
      <c r="G3685" s="49" t="s">
        <v>12624</v>
      </c>
      <c r="H3685" s="49"/>
      <c r="I3685" s="49" t="s">
        <v>38</v>
      </c>
      <c r="J3685" s="49">
        <v>332.0</v>
      </c>
      <c r="K3685" s="49"/>
      <c r="L3685" s="49" t="s">
        <v>1950</v>
      </c>
      <c r="M3685" s="49" t="s">
        <v>1394</v>
      </c>
      <c r="N3685" s="49">
        <v>1997.0</v>
      </c>
      <c r="O3685" s="49" t="s">
        <v>388</v>
      </c>
      <c r="P3685" s="49">
        <v>1.0</v>
      </c>
      <c r="Q3685" s="56"/>
      <c r="R3685" s="288"/>
      <c r="S3685" s="34"/>
      <c r="T3685" s="34"/>
      <c r="U3685" s="34"/>
      <c r="V3685" s="34"/>
      <c r="W3685" s="34"/>
      <c r="X3685" s="34"/>
      <c r="Y3685" s="59"/>
      <c r="Z3685" s="59"/>
      <c r="AA3685" s="59"/>
      <c r="AB3685" s="59"/>
      <c r="AC3685" s="59"/>
      <c r="AD3685" s="59"/>
      <c r="AE3685" s="59"/>
      <c r="AF3685" s="59"/>
      <c r="AG3685" s="59"/>
      <c r="AH3685" s="59"/>
      <c r="AI3685" s="59"/>
      <c r="AJ3685" s="59"/>
      <c r="AK3685" s="59"/>
      <c r="AL3685" s="59"/>
    </row>
    <row r="3686" ht="15.75" customHeight="1">
      <c r="A3686" s="115">
        <f t="shared" si="27"/>
        <v>4507</v>
      </c>
      <c r="B3686" s="49" t="s">
        <v>12625</v>
      </c>
      <c r="C3686" s="272" t="s">
        <v>12626</v>
      </c>
      <c r="D3686" s="55" t="s">
        <v>12627</v>
      </c>
      <c r="E3686" s="49" t="s">
        <v>28</v>
      </c>
      <c r="F3686" s="49" t="s">
        <v>29</v>
      </c>
      <c r="G3686" s="49" t="s">
        <v>37</v>
      </c>
      <c r="H3686" s="49"/>
      <c r="I3686" s="49" t="s">
        <v>38</v>
      </c>
      <c r="J3686" s="49">
        <v>269.0</v>
      </c>
      <c r="K3686" s="49"/>
      <c r="L3686" s="49" t="s">
        <v>12628</v>
      </c>
      <c r="M3686" s="49" t="s">
        <v>230</v>
      </c>
      <c r="N3686" s="49">
        <v>2010.0</v>
      </c>
      <c r="O3686" s="49" t="s">
        <v>388</v>
      </c>
      <c r="P3686" s="49">
        <v>1.0</v>
      </c>
      <c r="Q3686" s="56"/>
      <c r="R3686" s="288"/>
      <c r="S3686" s="34"/>
      <c r="T3686" s="34"/>
      <c r="U3686" s="34"/>
      <c r="V3686" s="34"/>
      <c r="W3686" s="34"/>
      <c r="X3686" s="34"/>
      <c r="Y3686" s="59"/>
      <c r="Z3686" s="59"/>
      <c r="AA3686" s="59"/>
      <c r="AB3686" s="59"/>
      <c r="AC3686" s="59"/>
      <c r="AD3686" s="59"/>
      <c r="AE3686" s="59"/>
      <c r="AF3686" s="59"/>
      <c r="AG3686" s="59"/>
      <c r="AH3686" s="59"/>
      <c r="AI3686" s="59"/>
      <c r="AJ3686" s="59"/>
      <c r="AK3686" s="59"/>
      <c r="AL3686" s="59"/>
    </row>
    <row r="3687" ht="15.75" customHeight="1">
      <c r="A3687" s="115">
        <f t="shared" si="27"/>
        <v>4508</v>
      </c>
      <c r="B3687" s="49" t="s">
        <v>1951</v>
      </c>
      <c r="C3687" s="272" t="s">
        <v>12629</v>
      </c>
      <c r="D3687" s="55" t="s">
        <v>12630</v>
      </c>
      <c r="E3687" s="49" t="s">
        <v>28</v>
      </c>
      <c r="F3687" s="49" t="s">
        <v>29</v>
      </c>
      <c r="G3687" s="49" t="s">
        <v>37</v>
      </c>
      <c r="H3687" s="49"/>
      <c r="I3687" s="49" t="s">
        <v>38</v>
      </c>
      <c r="J3687" s="49">
        <v>304.0</v>
      </c>
      <c r="K3687" s="49"/>
      <c r="L3687" s="49" t="s">
        <v>12631</v>
      </c>
      <c r="M3687" s="49" t="s">
        <v>123</v>
      </c>
      <c r="N3687" s="49">
        <v>1983.0</v>
      </c>
      <c r="O3687" s="49" t="s">
        <v>388</v>
      </c>
      <c r="P3687" s="49">
        <v>1.0</v>
      </c>
      <c r="Q3687" s="56"/>
      <c r="R3687" s="288"/>
      <c r="S3687" s="185"/>
      <c r="T3687" s="185"/>
      <c r="U3687" s="185"/>
      <c r="V3687" s="185"/>
      <c r="W3687" s="185"/>
      <c r="X3687" s="185"/>
      <c r="Y3687" s="59"/>
      <c r="Z3687" s="59"/>
      <c r="AA3687" s="59"/>
      <c r="AB3687" s="59"/>
      <c r="AC3687" s="59"/>
      <c r="AD3687" s="59"/>
      <c r="AE3687" s="59"/>
      <c r="AF3687" s="59"/>
      <c r="AG3687" s="59"/>
      <c r="AH3687" s="59"/>
      <c r="AI3687" s="59"/>
      <c r="AJ3687" s="59"/>
      <c r="AK3687" s="59"/>
      <c r="AL3687" s="59"/>
    </row>
    <row r="3688" ht="15.75" customHeight="1">
      <c r="A3688" s="157">
        <f t="shared" si="27"/>
        <v>4509</v>
      </c>
      <c r="B3688" s="158" t="s">
        <v>1955</v>
      </c>
      <c r="C3688" s="204" t="s">
        <v>12632</v>
      </c>
      <c r="D3688" s="160" t="s">
        <v>12633</v>
      </c>
      <c r="E3688" s="158" t="s">
        <v>223</v>
      </c>
      <c r="F3688" s="158" t="s">
        <v>29</v>
      </c>
      <c r="G3688" s="158" t="s">
        <v>37</v>
      </c>
      <c r="H3688" s="158"/>
      <c r="I3688" s="158" t="s">
        <v>38</v>
      </c>
      <c r="J3688" s="158">
        <v>348.0</v>
      </c>
      <c r="K3688" s="158"/>
      <c r="L3688" s="158" t="s">
        <v>12634</v>
      </c>
      <c r="M3688" s="158" t="s">
        <v>54</v>
      </c>
      <c r="N3688" s="158">
        <v>1983.0</v>
      </c>
      <c r="O3688" s="158" t="s">
        <v>388</v>
      </c>
      <c r="P3688" s="158">
        <v>2.0</v>
      </c>
      <c r="Q3688" s="162"/>
      <c r="R3688" s="309"/>
      <c r="S3688" s="40"/>
      <c r="T3688" s="40"/>
      <c r="U3688" s="40"/>
      <c r="V3688" s="40"/>
      <c r="W3688" s="40"/>
      <c r="X3688" s="40"/>
      <c r="Y3688" s="59"/>
      <c r="Z3688" s="59"/>
      <c r="AA3688" s="59"/>
      <c r="AB3688" s="59"/>
      <c r="AC3688" s="59"/>
      <c r="AD3688" s="59"/>
      <c r="AE3688" s="59"/>
      <c r="AF3688" s="59"/>
      <c r="AG3688" s="59"/>
      <c r="AH3688" s="59"/>
      <c r="AI3688" s="59"/>
      <c r="AJ3688" s="59"/>
      <c r="AK3688" s="59"/>
      <c r="AL3688" s="59"/>
    </row>
    <row r="3689" ht="15.75" customHeight="1">
      <c r="A3689" s="115">
        <f t="shared" si="27"/>
        <v>4510</v>
      </c>
      <c r="B3689" s="49" t="s">
        <v>3589</v>
      </c>
      <c r="C3689" s="272" t="s">
        <v>12635</v>
      </c>
      <c r="D3689" s="55" t="s">
        <v>12636</v>
      </c>
      <c r="E3689" s="49" t="s">
        <v>3118</v>
      </c>
      <c r="F3689" s="49" t="s">
        <v>29</v>
      </c>
      <c r="G3689" s="49" t="s">
        <v>30</v>
      </c>
      <c r="H3689" s="49"/>
      <c r="I3689" s="49" t="s">
        <v>30</v>
      </c>
      <c r="J3689" s="49">
        <f>410</f>
        <v>410</v>
      </c>
      <c r="K3689" s="49"/>
      <c r="L3689" s="49" t="s">
        <v>12637</v>
      </c>
      <c r="M3689" s="49" t="s">
        <v>151</v>
      </c>
      <c r="N3689" s="49">
        <v>2015.0</v>
      </c>
      <c r="O3689" s="49" t="s">
        <v>388</v>
      </c>
      <c r="P3689" s="49">
        <v>1.0</v>
      </c>
      <c r="Q3689" s="56"/>
      <c r="R3689" s="288"/>
      <c r="S3689" s="40"/>
      <c r="T3689" s="40"/>
      <c r="U3689" s="40"/>
      <c r="V3689" s="40"/>
      <c r="W3689" s="40"/>
      <c r="X3689" s="40"/>
      <c r="Y3689" s="59"/>
      <c r="Z3689" s="59"/>
      <c r="AA3689" s="59"/>
      <c r="AB3689" s="59"/>
      <c r="AC3689" s="59"/>
      <c r="AD3689" s="59"/>
      <c r="AE3689" s="59"/>
      <c r="AF3689" s="59"/>
      <c r="AG3689" s="59"/>
      <c r="AH3689" s="59"/>
      <c r="AI3689" s="59"/>
      <c r="AJ3689" s="59"/>
      <c r="AK3689" s="59"/>
      <c r="AL3689" s="59"/>
    </row>
    <row r="3690" ht="15.75" customHeight="1">
      <c r="A3690" s="115">
        <f>A3688+1</f>
        <v>4510</v>
      </c>
      <c r="B3690" s="49" t="s">
        <v>31</v>
      </c>
      <c r="C3690" s="272" t="s">
        <v>12638</v>
      </c>
      <c r="D3690" s="55" t="s">
        <v>12639</v>
      </c>
      <c r="E3690" s="49"/>
      <c r="F3690" s="49" t="s">
        <v>29</v>
      </c>
      <c r="G3690" s="49" t="s">
        <v>37</v>
      </c>
      <c r="H3690" s="49"/>
      <c r="I3690" s="49" t="s">
        <v>38</v>
      </c>
      <c r="J3690" s="49">
        <v>145.0</v>
      </c>
      <c r="K3690" s="49"/>
      <c r="L3690" s="49" t="s">
        <v>12640</v>
      </c>
      <c r="M3690" s="49" t="s">
        <v>178</v>
      </c>
      <c r="N3690" s="49">
        <v>1967.0</v>
      </c>
      <c r="O3690" s="49" t="s">
        <v>388</v>
      </c>
      <c r="P3690" s="49">
        <v>1.0</v>
      </c>
      <c r="Q3690" s="56"/>
      <c r="R3690" s="288"/>
      <c r="S3690" s="34"/>
      <c r="T3690" s="34"/>
      <c r="U3690" s="34"/>
      <c r="V3690" s="34"/>
      <c r="W3690" s="34"/>
      <c r="X3690" s="34"/>
      <c r="Y3690" s="59"/>
      <c r="Z3690" s="59"/>
      <c r="AA3690" s="59"/>
      <c r="AB3690" s="59"/>
      <c r="AC3690" s="59"/>
      <c r="AD3690" s="59"/>
      <c r="AE3690" s="59"/>
      <c r="AF3690" s="59"/>
      <c r="AG3690" s="59"/>
      <c r="AH3690" s="59"/>
      <c r="AI3690" s="59"/>
      <c r="AJ3690" s="59"/>
      <c r="AK3690" s="59"/>
      <c r="AL3690" s="59"/>
    </row>
    <row r="3691" ht="15.75" customHeight="1">
      <c r="A3691" s="115">
        <f t="shared" ref="A3691:A3764" si="28">A3690+1</f>
        <v>4511</v>
      </c>
      <c r="B3691" s="49" t="s">
        <v>1991</v>
      </c>
      <c r="C3691" s="272" t="s">
        <v>12641</v>
      </c>
      <c r="D3691" s="55" t="s">
        <v>12642</v>
      </c>
      <c r="E3691" s="49" t="s">
        <v>28</v>
      </c>
      <c r="F3691" s="49" t="s">
        <v>29</v>
      </c>
      <c r="G3691" s="49" t="s">
        <v>37</v>
      </c>
      <c r="H3691" s="49"/>
      <c r="I3691" s="49" t="s">
        <v>38</v>
      </c>
      <c r="J3691" s="49">
        <v>915.0</v>
      </c>
      <c r="K3691" s="49"/>
      <c r="L3691" s="49" t="s">
        <v>12643</v>
      </c>
      <c r="M3691" s="49" t="s">
        <v>236</v>
      </c>
      <c r="N3691" s="49">
        <v>2002.0</v>
      </c>
      <c r="O3691" s="49" t="s">
        <v>388</v>
      </c>
      <c r="P3691" s="49">
        <v>1.0</v>
      </c>
      <c r="Q3691" s="56"/>
      <c r="R3691" s="288"/>
      <c r="S3691" s="40"/>
      <c r="T3691" s="40"/>
      <c r="U3691" s="40"/>
      <c r="V3691" s="40"/>
      <c r="W3691" s="40"/>
      <c r="X3691" s="40"/>
      <c r="Y3691" s="59"/>
      <c r="Z3691" s="59"/>
      <c r="AA3691" s="59"/>
      <c r="AB3691" s="59"/>
      <c r="AC3691" s="59"/>
      <c r="AD3691" s="59"/>
      <c r="AE3691" s="59"/>
      <c r="AF3691" s="59"/>
      <c r="AG3691" s="59"/>
      <c r="AH3691" s="59"/>
      <c r="AI3691" s="59"/>
      <c r="AJ3691" s="59"/>
      <c r="AK3691" s="59"/>
      <c r="AL3691" s="59"/>
    </row>
    <row r="3692" ht="15.75" customHeight="1">
      <c r="A3692" s="115">
        <f t="shared" si="28"/>
        <v>4512</v>
      </c>
      <c r="B3692" s="49" t="s">
        <v>31</v>
      </c>
      <c r="C3692" s="272" t="s">
        <v>12644</v>
      </c>
      <c r="D3692" s="55" t="s">
        <v>12645</v>
      </c>
      <c r="E3692" s="49" t="s">
        <v>28</v>
      </c>
      <c r="F3692" s="49" t="s">
        <v>29</v>
      </c>
      <c r="G3692" s="49" t="s">
        <v>37</v>
      </c>
      <c r="H3692" s="49" t="s">
        <v>31</v>
      </c>
      <c r="I3692" s="49" t="s">
        <v>38</v>
      </c>
      <c r="J3692" s="49">
        <v>124.0</v>
      </c>
      <c r="K3692" s="49"/>
      <c r="L3692" s="49" t="s">
        <v>12646</v>
      </c>
      <c r="M3692" s="49" t="s">
        <v>816</v>
      </c>
      <c r="N3692" s="49" t="s">
        <v>31</v>
      </c>
      <c r="O3692" s="49" t="s">
        <v>388</v>
      </c>
      <c r="P3692" s="49">
        <v>1.0</v>
      </c>
      <c r="Q3692" s="56"/>
      <c r="R3692" s="288"/>
      <c r="S3692" s="34"/>
      <c r="T3692" s="34"/>
      <c r="U3692" s="34"/>
      <c r="V3692" s="34"/>
      <c r="W3692" s="34"/>
      <c r="X3692" s="34"/>
      <c r="Y3692" s="59"/>
      <c r="Z3692" s="59"/>
      <c r="AA3692" s="59"/>
      <c r="AB3692" s="59"/>
      <c r="AC3692" s="59"/>
      <c r="AD3692" s="59"/>
      <c r="AE3692" s="59"/>
      <c r="AF3692" s="59"/>
      <c r="AG3692" s="59"/>
      <c r="AH3692" s="59"/>
      <c r="AI3692" s="59"/>
      <c r="AJ3692" s="59"/>
      <c r="AK3692" s="59"/>
      <c r="AL3692" s="59"/>
    </row>
    <row r="3693" ht="15.75" customHeight="1">
      <c r="A3693" s="115">
        <f t="shared" si="28"/>
        <v>4513</v>
      </c>
      <c r="B3693" s="49" t="s">
        <v>1691</v>
      </c>
      <c r="C3693" s="272" t="s">
        <v>12647</v>
      </c>
      <c r="D3693" s="55" t="s">
        <v>12648</v>
      </c>
      <c r="E3693" s="49" t="s">
        <v>28</v>
      </c>
      <c r="F3693" s="49" t="s">
        <v>29</v>
      </c>
      <c r="G3693" s="49" t="s">
        <v>37</v>
      </c>
      <c r="H3693" s="49"/>
      <c r="I3693" s="49" t="s">
        <v>38</v>
      </c>
      <c r="J3693" s="49">
        <v>1011.0</v>
      </c>
      <c r="K3693" s="49"/>
      <c r="L3693" s="49" t="s">
        <v>675</v>
      </c>
      <c r="M3693" s="49" t="s">
        <v>524</v>
      </c>
      <c r="N3693" s="49">
        <v>2008.0</v>
      </c>
      <c r="O3693" s="49" t="s">
        <v>388</v>
      </c>
      <c r="P3693" s="49">
        <v>1.0</v>
      </c>
      <c r="Q3693" s="56"/>
      <c r="R3693" s="301"/>
      <c r="S3693" s="40"/>
      <c r="T3693" s="40"/>
      <c r="U3693" s="40"/>
      <c r="V3693" s="40"/>
      <c r="W3693" s="40"/>
      <c r="X3693" s="40"/>
      <c r="Y3693" s="59"/>
      <c r="Z3693" s="59"/>
      <c r="AA3693" s="59"/>
      <c r="AB3693" s="59"/>
      <c r="AC3693" s="59"/>
      <c r="AD3693" s="59"/>
      <c r="AE3693" s="59"/>
      <c r="AF3693" s="59"/>
      <c r="AG3693" s="59"/>
      <c r="AH3693" s="59"/>
      <c r="AI3693" s="59"/>
      <c r="AJ3693" s="59"/>
      <c r="AK3693" s="59"/>
      <c r="AL3693" s="59"/>
    </row>
    <row r="3694" ht="15.75" customHeight="1">
      <c r="A3694" s="164">
        <f t="shared" si="28"/>
        <v>4514</v>
      </c>
      <c r="B3694" s="63" t="s">
        <v>12649</v>
      </c>
      <c r="C3694" s="275" t="s">
        <v>12650</v>
      </c>
      <c r="D3694" s="65" t="s">
        <v>12651</v>
      </c>
      <c r="E3694" s="63" t="s">
        <v>223</v>
      </c>
      <c r="F3694" s="63" t="s">
        <v>29</v>
      </c>
      <c r="G3694" s="63" t="s">
        <v>37</v>
      </c>
      <c r="H3694" s="63"/>
      <c r="I3694" s="63" t="s">
        <v>38</v>
      </c>
      <c r="J3694" s="63">
        <v>467.0</v>
      </c>
      <c r="K3694" s="63"/>
      <c r="L3694" s="63" t="s">
        <v>12541</v>
      </c>
      <c r="M3694" s="63" t="s">
        <v>54</v>
      </c>
      <c r="N3694" s="63">
        <v>1990.0</v>
      </c>
      <c r="O3694" s="63" t="s">
        <v>388</v>
      </c>
      <c r="P3694" s="63">
        <v>1.0</v>
      </c>
      <c r="Q3694" s="276"/>
      <c r="R3694" s="308"/>
      <c r="S3694" s="40"/>
      <c r="T3694" s="40"/>
      <c r="U3694" s="40"/>
      <c r="V3694" s="40"/>
      <c r="W3694" s="40"/>
      <c r="X3694" s="40"/>
      <c r="Y3694" s="59"/>
      <c r="Z3694" s="59"/>
      <c r="AA3694" s="59"/>
      <c r="AB3694" s="59"/>
      <c r="AC3694" s="59"/>
      <c r="AD3694" s="59"/>
      <c r="AE3694" s="59"/>
      <c r="AF3694" s="59"/>
      <c r="AG3694" s="59"/>
      <c r="AH3694" s="59"/>
      <c r="AI3694" s="59"/>
      <c r="AJ3694" s="59"/>
      <c r="AK3694" s="59"/>
      <c r="AL3694" s="59"/>
    </row>
    <row r="3695" ht="15.75" customHeight="1">
      <c r="A3695" s="157">
        <f t="shared" si="28"/>
        <v>4515</v>
      </c>
      <c r="B3695" s="158" t="s">
        <v>2061</v>
      </c>
      <c r="C3695" s="204" t="s">
        <v>12652</v>
      </c>
      <c r="D3695" s="160" t="s">
        <v>12653</v>
      </c>
      <c r="E3695" s="158" t="s">
        <v>223</v>
      </c>
      <c r="F3695" s="158" t="s">
        <v>29</v>
      </c>
      <c r="G3695" s="158" t="s">
        <v>37</v>
      </c>
      <c r="H3695" s="158"/>
      <c r="I3695" s="158" t="s">
        <v>38</v>
      </c>
      <c r="J3695" s="158"/>
      <c r="K3695" s="158"/>
      <c r="L3695" s="158" t="s">
        <v>12541</v>
      </c>
      <c r="M3695" s="158" t="s">
        <v>54</v>
      </c>
      <c r="N3695" s="158">
        <v>1990.0</v>
      </c>
      <c r="O3695" s="158" t="s">
        <v>388</v>
      </c>
      <c r="P3695" s="158">
        <v>1.0</v>
      </c>
      <c r="Q3695" s="162"/>
      <c r="R3695" s="289"/>
      <c r="S3695" s="40"/>
      <c r="T3695" s="40"/>
      <c r="U3695" s="40"/>
      <c r="V3695" s="40"/>
      <c r="W3695" s="40"/>
      <c r="X3695" s="40"/>
      <c r="Y3695" s="59"/>
      <c r="Z3695" s="59"/>
      <c r="AA3695" s="59"/>
      <c r="AB3695" s="59"/>
      <c r="AC3695" s="59"/>
      <c r="AD3695" s="59"/>
      <c r="AE3695" s="59"/>
      <c r="AF3695" s="59"/>
      <c r="AG3695" s="59"/>
      <c r="AH3695" s="59"/>
      <c r="AI3695" s="59"/>
      <c r="AJ3695" s="59"/>
      <c r="AK3695" s="59"/>
      <c r="AL3695" s="59"/>
    </row>
    <row r="3696" ht="15.75" customHeight="1">
      <c r="A3696" s="115">
        <f t="shared" si="28"/>
        <v>4516</v>
      </c>
      <c r="B3696" s="49" t="s">
        <v>12654</v>
      </c>
      <c r="C3696" s="272" t="s">
        <v>12655</v>
      </c>
      <c r="D3696" s="55" t="s">
        <v>12656</v>
      </c>
      <c r="E3696" s="49" t="s">
        <v>28</v>
      </c>
      <c r="F3696" s="49" t="s">
        <v>29</v>
      </c>
      <c r="G3696" s="49" t="s">
        <v>37</v>
      </c>
      <c r="H3696" s="49" t="s">
        <v>31</v>
      </c>
      <c r="I3696" s="49" t="s">
        <v>38</v>
      </c>
      <c r="J3696" s="49">
        <v>249.0</v>
      </c>
      <c r="K3696" s="49"/>
      <c r="L3696" s="49" t="s">
        <v>1051</v>
      </c>
      <c r="M3696" s="49" t="s">
        <v>250</v>
      </c>
      <c r="N3696" s="49">
        <v>2008.0</v>
      </c>
      <c r="O3696" s="49" t="s">
        <v>388</v>
      </c>
      <c r="P3696" s="49">
        <v>1.0</v>
      </c>
      <c r="Q3696" s="56"/>
      <c r="R3696" s="288"/>
      <c r="S3696" s="116"/>
      <c r="T3696" s="116"/>
      <c r="U3696" s="116"/>
      <c r="V3696" s="116"/>
      <c r="W3696" s="116"/>
      <c r="X3696" s="116"/>
      <c r="Y3696" s="59"/>
      <c r="Z3696" s="59"/>
      <c r="AA3696" s="59"/>
      <c r="AB3696" s="59"/>
      <c r="AC3696" s="59"/>
      <c r="AD3696" s="59"/>
      <c r="AE3696" s="59"/>
      <c r="AF3696" s="59"/>
      <c r="AG3696" s="59"/>
      <c r="AH3696" s="59"/>
      <c r="AI3696" s="59"/>
      <c r="AJ3696" s="59"/>
      <c r="AK3696" s="59"/>
      <c r="AL3696" s="59"/>
    </row>
    <row r="3697" ht="15.75" customHeight="1">
      <c r="A3697" s="115">
        <f t="shared" si="28"/>
        <v>4517</v>
      </c>
      <c r="B3697" s="49" t="s">
        <v>2078</v>
      </c>
      <c r="C3697" s="272" t="s">
        <v>12657</v>
      </c>
      <c r="D3697" s="55" t="s">
        <v>12658</v>
      </c>
      <c r="E3697" s="49" t="s">
        <v>28</v>
      </c>
      <c r="F3697" s="49" t="s">
        <v>29</v>
      </c>
      <c r="G3697" s="49" t="s">
        <v>37</v>
      </c>
      <c r="H3697" s="49"/>
      <c r="I3697" s="49" t="s">
        <v>38</v>
      </c>
      <c r="J3697" s="49">
        <v>868.0</v>
      </c>
      <c r="K3697" s="49"/>
      <c r="L3697" s="49" t="s">
        <v>12659</v>
      </c>
      <c r="M3697" s="49" t="s">
        <v>230</v>
      </c>
      <c r="N3697" s="49">
        <v>2009.0</v>
      </c>
      <c r="O3697" s="49" t="s">
        <v>388</v>
      </c>
      <c r="P3697" s="49">
        <v>1.0</v>
      </c>
      <c r="Q3697" s="56"/>
      <c r="R3697" s="288"/>
      <c r="S3697" s="34"/>
      <c r="T3697" s="34"/>
      <c r="U3697" s="34"/>
      <c r="V3697" s="34"/>
      <c r="W3697" s="34"/>
      <c r="X3697" s="34"/>
      <c r="Y3697" s="59"/>
      <c r="Z3697" s="59"/>
      <c r="AA3697" s="59"/>
      <c r="AB3697" s="59"/>
      <c r="AC3697" s="59"/>
      <c r="AD3697" s="59"/>
      <c r="AE3697" s="59"/>
      <c r="AF3697" s="59"/>
      <c r="AG3697" s="59"/>
      <c r="AH3697" s="59"/>
      <c r="AI3697" s="59"/>
      <c r="AJ3697" s="59"/>
      <c r="AK3697" s="59"/>
      <c r="AL3697" s="59"/>
    </row>
    <row r="3698" ht="15.75" customHeight="1">
      <c r="A3698" s="115">
        <f t="shared" si="28"/>
        <v>4518</v>
      </c>
      <c r="B3698" s="49" t="s">
        <v>12660</v>
      </c>
      <c r="C3698" s="272" t="s">
        <v>12661</v>
      </c>
      <c r="D3698" s="55" t="s">
        <v>12662</v>
      </c>
      <c r="E3698" s="49" t="s">
        <v>28</v>
      </c>
      <c r="F3698" s="49" t="s">
        <v>29</v>
      </c>
      <c r="G3698" s="49" t="s">
        <v>37</v>
      </c>
      <c r="H3698" s="49"/>
      <c r="I3698" s="49" t="s">
        <v>38</v>
      </c>
      <c r="J3698" s="49">
        <v>178.0</v>
      </c>
      <c r="K3698" s="49"/>
      <c r="L3698" s="49" t="s">
        <v>12663</v>
      </c>
      <c r="M3698" s="49" t="s">
        <v>230</v>
      </c>
      <c r="N3698" s="49">
        <v>1999.0</v>
      </c>
      <c r="O3698" s="49" t="s">
        <v>388</v>
      </c>
      <c r="P3698" s="49">
        <v>1.0</v>
      </c>
      <c r="Q3698" s="56"/>
      <c r="R3698" s="288"/>
      <c r="S3698" s="34"/>
      <c r="T3698" s="34"/>
      <c r="U3698" s="34"/>
      <c r="V3698" s="34"/>
      <c r="W3698" s="34"/>
      <c r="X3698" s="34"/>
      <c r="Y3698" s="59"/>
      <c r="Z3698" s="59"/>
      <c r="AA3698" s="59"/>
      <c r="AB3698" s="59"/>
      <c r="AC3698" s="59"/>
      <c r="AD3698" s="59"/>
      <c r="AE3698" s="59"/>
      <c r="AF3698" s="59"/>
      <c r="AG3698" s="59"/>
      <c r="AH3698" s="59"/>
      <c r="AI3698" s="59"/>
      <c r="AJ3698" s="59"/>
      <c r="AK3698" s="59"/>
      <c r="AL3698" s="59"/>
    </row>
    <row r="3699" ht="15.75" customHeight="1">
      <c r="A3699" s="115">
        <f t="shared" si="28"/>
        <v>4519</v>
      </c>
      <c r="B3699" s="49" t="s">
        <v>12664</v>
      </c>
      <c r="C3699" s="272" t="s">
        <v>12665</v>
      </c>
      <c r="D3699" s="55" t="s">
        <v>12666</v>
      </c>
      <c r="E3699" s="49" t="s">
        <v>144</v>
      </c>
      <c r="F3699" s="49" t="s">
        <v>29</v>
      </c>
      <c r="G3699" s="49"/>
      <c r="H3699" s="49" t="s">
        <v>31</v>
      </c>
      <c r="I3699" s="49" t="s">
        <v>38</v>
      </c>
      <c r="J3699" s="277">
        <v>344.0</v>
      </c>
      <c r="K3699" s="278"/>
      <c r="L3699" s="49" t="s">
        <v>12667</v>
      </c>
      <c r="M3699" s="49" t="s">
        <v>178</v>
      </c>
      <c r="N3699" s="49">
        <v>2010.0</v>
      </c>
      <c r="O3699" s="49" t="s">
        <v>388</v>
      </c>
      <c r="P3699" s="49">
        <v>1.0</v>
      </c>
      <c r="Q3699" s="56"/>
      <c r="R3699" s="301"/>
      <c r="S3699" s="185"/>
      <c r="T3699" s="185"/>
      <c r="U3699" s="185"/>
      <c r="V3699" s="185"/>
      <c r="W3699" s="185"/>
      <c r="X3699" s="185"/>
      <c r="Y3699" s="59"/>
      <c r="Z3699" s="59"/>
      <c r="AA3699" s="59"/>
      <c r="AB3699" s="59"/>
      <c r="AC3699" s="59"/>
      <c r="AD3699" s="59"/>
      <c r="AE3699" s="59"/>
      <c r="AF3699" s="59"/>
      <c r="AG3699" s="59"/>
      <c r="AH3699" s="59"/>
      <c r="AI3699" s="59"/>
      <c r="AJ3699" s="59"/>
      <c r="AK3699" s="59"/>
      <c r="AL3699" s="59"/>
    </row>
    <row r="3700" ht="15.75" customHeight="1">
      <c r="A3700" s="115">
        <f t="shared" si="28"/>
        <v>4520</v>
      </c>
      <c r="B3700" s="49" t="s">
        <v>2142</v>
      </c>
      <c r="C3700" s="272" t="s">
        <v>12668</v>
      </c>
      <c r="D3700" s="55" t="s">
        <v>12669</v>
      </c>
      <c r="E3700" s="49" t="s">
        <v>28</v>
      </c>
      <c r="F3700" s="49" t="s">
        <v>29</v>
      </c>
      <c r="G3700" s="49" t="s">
        <v>38</v>
      </c>
      <c r="H3700" s="49"/>
      <c r="I3700" s="49" t="s">
        <v>38</v>
      </c>
      <c r="J3700" s="49">
        <v>118.0</v>
      </c>
      <c r="K3700" s="49"/>
      <c r="L3700" s="49" t="s">
        <v>2141</v>
      </c>
      <c r="M3700" s="49" t="s">
        <v>83</v>
      </c>
      <c r="N3700" s="49">
        <v>2016.0</v>
      </c>
      <c r="O3700" s="49" t="s">
        <v>388</v>
      </c>
      <c r="P3700" s="49">
        <v>1.0</v>
      </c>
      <c r="Q3700" s="56"/>
      <c r="R3700" s="288"/>
      <c r="S3700" s="34"/>
      <c r="T3700" s="34"/>
      <c r="U3700" s="34"/>
      <c r="V3700" s="34"/>
      <c r="W3700" s="34"/>
      <c r="X3700" s="34"/>
      <c r="Y3700" s="59"/>
      <c r="Z3700" s="59"/>
      <c r="AA3700" s="59"/>
      <c r="AB3700" s="59"/>
      <c r="AC3700" s="59"/>
      <c r="AD3700" s="59"/>
      <c r="AE3700" s="59"/>
      <c r="AF3700" s="59"/>
      <c r="AG3700" s="59"/>
      <c r="AH3700" s="59"/>
      <c r="AI3700" s="59"/>
      <c r="AJ3700" s="59"/>
      <c r="AK3700" s="59"/>
      <c r="AL3700" s="59"/>
    </row>
    <row r="3701" ht="15.75" customHeight="1">
      <c r="A3701" s="115">
        <f t="shared" si="28"/>
        <v>4521</v>
      </c>
      <c r="B3701" s="49" t="s">
        <v>2138</v>
      </c>
      <c r="C3701" s="272" t="s">
        <v>12668</v>
      </c>
      <c r="D3701" s="55" t="s">
        <v>12670</v>
      </c>
      <c r="E3701" s="49" t="s">
        <v>28</v>
      </c>
      <c r="F3701" s="49" t="s">
        <v>29</v>
      </c>
      <c r="G3701" s="49" t="s">
        <v>38</v>
      </c>
      <c r="H3701" s="49"/>
      <c r="I3701" s="49" t="s">
        <v>38</v>
      </c>
      <c r="J3701" s="49">
        <v>321.0</v>
      </c>
      <c r="K3701" s="49"/>
      <c r="L3701" s="49" t="s">
        <v>2141</v>
      </c>
      <c r="M3701" s="49" t="s">
        <v>83</v>
      </c>
      <c r="N3701" s="49">
        <v>2016.0</v>
      </c>
      <c r="O3701" s="49" t="s">
        <v>388</v>
      </c>
      <c r="P3701" s="49">
        <v>1.0</v>
      </c>
      <c r="Q3701" s="56"/>
      <c r="R3701" s="288"/>
      <c r="S3701" s="34"/>
      <c r="T3701" s="34"/>
      <c r="U3701" s="34"/>
      <c r="V3701" s="34"/>
      <c r="W3701" s="34"/>
      <c r="X3701" s="34"/>
      <c r="Y3701" s="59"/>
      <c r="Z3701" s="59"/>
      <c r="AA3701" s="59"/>
      <c r="AB3701" s="59"/>
      <c r="AC3701" s="59"/>
      <c r="AD3701" s="59"/>
      <c r="AE3701" s="59"/>
      <c r="AF3701" s="59"/>
      <c r="AG3701" s="59"/>
      <c r="AH3701" s="59"/>
      <c r="AI3701" s="59"/>
      <c r="AJ3701" s="59"/>
      <c r="AK3701" s="59"/>
      <c r="AL3701" s="59"/>
    </row>
    <row r="3702" ht="15.75" customHeight="1">
      <c r="A3702" s="115">
        <f t="shared" si="28"/>
        <v>4522</v>
      </c>
      <c r="B3702" s="49" t="s">
        <v>12671</v>
      </c>
      <c r="C3702" s="272" t="s">
        <v>12672</v>
      </c>
      <c r="D3702" s="55" t="s">
        <v>12673</v>
      </c>
      <c r="E3702" s="49" t="s">
        <v>28</v>
      </c>
      <c r="F3702" s="49" t="s">
        <v>29</v>
      </c>
      <c r="G3702" s="49" t="s">
        <v>37</v>
      </c>
      <c r="H3702" s="49"/>
      <c r="I3702" s="49" t="s">
        <v>38</v>
      </c>
      <c r="J3702" s="49">
        <v>366.0</v>
      </c>
      <c r="K3702" s="49"/>
      <c r="L3702" s="49" t="s">
        <v>12674</v>
      </c>
      <c r="M3702" s="49" t="s">
        <v>4613</v>
      </c>
      <c r="N3702" s="49">
        <v>2001.0</v>
      </c>
      <c r="O3702" s="49" t="s">
        <v>388</v>
      </c>
      <c r="P3702" s="49">
        <v>1.0</v>
      </c>
      <c r="Q3702" s="56"/>
      <c r="R3702" s="301"/>
      <c r="S3702" s="40"/>
      <c r="T3702" s="40"/>
      <c r="U3702" s="40"/>
      <c r="V3702" s="40"/>
      <c r="W3702" s="40"/>
      <c r="X3702" s="40"/>
      <c r="Y3702" s="59"/>
      <c r="Z3702" s="59"/>
      <c r="AA3702" s="59"/>
      <c r="AB3702" s="59"/>
      <c r="AC3702" s="59"/>
      <c r="AD3702" s="59"/>
      <c r="AE3702" s="59"/>
      <c r="AF3702" s="59"/>
      <c r="AG3702" s="59"/>
      <c r="AH3702" s="59"/>
      <c r="AI3702" s="59"/>
      <c r="AJ3702" s="59"/>
      <c r="AK3702" s="59"/>
      <c r="AL3702" s="59"/>
    </row>
    <row r="3703" ht="15.75" customHeight="1">
      <c r="A3703" s="115">
        <f t="shared" si="28"/>
        <v>4523</v>
      </c>
      <c r="B3703" s="310" t="s">
        <v>3666</v>
      </c>
      <c r="C3703" s="311" t="s">
        <v>12675</v>
      </c>
      <c r="D3703" s="312" t="s">
        <v>3668</v>
      </c>
      <c r="E3703" s="313" t="s">
        <v>144</v>
      </c>
      <c r="F3703" s="313" t="s">
        <v>29</v>
      </c>
      <c r="G3703" s="313" t="s">
        <v>37</v>
      </c>
      <c r="H3703" s="313"/>
      <c r="I3703" s="313" t="s">
        <v>38</v>
      </c>
      <c r="J3703" s="313">
        <f>67+25</f>
        <v>92</v>
      </c>
      <c r="K3703" s="313"/>
      <c r="L3703" s="313" t="s">
        <v>12676</v>
      </c>
      <c r="M3703" s="313" t="s">
        <v>12676</v>
      </c>
      <c r="N3703" s="313">
        <v>2012.0</v>
      </c>
      <c r="O3703" s="313" t="s">
        <v>388</v>
      </c>
      <c r="P3703" s="313">
        <v>1.0</v>
      </c>
      <c r="Q3703" s="56"/>
      <c r="R3703" s="288"/>
      <c r="S3703" s="34"/>
      <c r="T3703" s="34"/>
      <c r="U3703" s="34"/>
      <c r="V3703" s="34"/>
      <c r="W3703" s="34"/>
      <c r="X3703" s="34"/>
      <c r="Y3703" s="59"/>
      <c r="Z3703" s="59"/>
      <c r="AA3703" s="59"/>
      <c r="AB3703" s="59"/>
      <c r="AC3703" s="59"/>
      <c r="AD3703" s="59"/>
      <c r="AE3703" s="59"/>
      <c r="AF3703" s="59"/>
      <c r="AG3703" s="59"/>
      <c r="AH3703" s="59"/>
      <c r="AI3703" s="59"/>
      <c r="AJ3703" s="59"/>
      <c r="AK3703" s="59"/>
      <c r="AL3703" s="59"/>
    </row>
    <row r="3704" ht="15.75" customHeight="1">
      <c r="A3704" s="115">
        <f t="shared" si="28"/>
        <v>4524</v>
      </c>
      <c r="B3704" s="49" t="s">
        <v>12677</v>
      </c>
      <c r="C3704" s="272" t="s">
        <v>12678</v>
      </c>
      <c r="D3704" s="55" t="s">
        <v>12679</v>
      </c>
      <c r="E3704" s="49" t="s">
        <v>28</v>
      </c>
      <c r="F3704" s="49" t="s">
        <v>29</v>
      </c>
      <c r="G3704" s="49" t="s">
        <v>37</v>
      </c>
      <c r="H3704" s="49"/>
      <c r="I3704" s="49" t="s">
        <v>38</v>
      </c>
      <c r="J3704" s="49">
        <f>306+18</f>
        <v>324</v>
      </c>
      <c r="K3704" s="49"/>
      <c r="L3704" s="49" t="s">
        <v>12680</v>
      </c>
      <c r="M3704" s="49" t="s">
        <v>4613</v>
      </c>
      <c r="N3704" s="49">
        <v>2001.0</v>
      </c>
      <c r="O3704" s="49" t="s">
        <v>388</v>
      </c>
      <c r="P3704" s="49">
        <v>1.0</v>
      </c>
      <c r="Q3704" s="56"/>
      <c r="R3704" s="288"/>
      <c r="S3704" s="34"/>
      <c r="T3704" s="34"/>
      <c r="U3704" s="34"/>
      <c r="V3704" s="34"/>
      <c r="W3704" s="34"/>
      <c r="X3704" s="34"/>
      <c r="Y3704" s="59"/>
      <c r="Z3704" s="59"/>
      <c r="AA3704" s="59"/>
      <c r="AB3704" s="59"/>
      <c r="AC3704" s="59"/>
      <c r="AD3704" s="59"/>
      <c r="AE3704" s="59"/>
      <c r="AF3704" s="59"/>
      <c r="AG3704" s="59"/>
      <c r="AH3704" s="59"/>
      <c r="AI3704" s="59"/>
      <c r="AJ3704" s="59"/>
      <c r="AK3704" s="59"/>
      <c r="AL3704" s="59"/>
    </row>
    <row r="3705" ht="15.75" customHeight="1">
      <c r="A3705" s="115">
        <f t="shared" si="28"/>
        <v>4525</v>
      </c>
      <c r="B3705" s="49" t="s">
        <v>31</v>
      </c>
      <c r="C3705" s="272" t="s">
        <v>12681</v>
      </c>
      <c r="D3705" s="55" t="s">
        <v>12682</v>
      </c>
      <c r="E3705" s="49"/>
      <c r="F3705" s="49" t="s">
        <v>29</v>
      </c>
      <c r="G3705" s="49" t="s">
        <v>30</v>
      </c>
      <c r="H3705" s="49"/>
      <c r="I3705" s="49" t="s">
        <v>30</v>
      </c>
      <c r="J3705" s="49">
        <v>368.0</v>
      </c>
      <c r="K3705" s="49"/>
      <c r="L3705" s="49" t="s">
        <v>12683</v>
      </c>
      <c r="M3705" s="49" t="s">
        <v>3697</v>
      </c>
      <c r="N3705" s="49">
        <v>2004.0</v>
      </c>
      <c r="O3705" s="49" t="s">
        <v>388</v>
      </c>
      <c r="P3705" s="49">
        <v>1.0</v>
      </c>
      <c r="Q3705" s="56"/>
      <c r="R3705" s="288"/>
      <c r="S3705" s="34"/>
      <c r="T3705" s="34"/>
      <c r="U3705" s="34"/>
      <c r="V3705" s="34"/>
      <c r="W3705" s="34"/>
      <c r="X3705" s="34"/>
      <c r="Y3705" s="59"/>
      <c r="Z3705" s="59"/>
      <c r="AA3705" s="59"/>
      <c r="AB3705" s="59"/>
      <c r="AC3705" s="59"/>
      <c r="AD3705" s="59"/>
      <c r="AE3705" s="59"/>
      <c r="AF3705" s="59"/>
      <c r="AG3705" s="59"/>
      <c r="AH3705" s="59"/>
      <c r="AI3705" s="59"/>
      <c r="AJ3705" s="59"/>
      <c r="AK3705" s="59"/>
      <c r="AL3705" s="59"/>
    </row>
    <row r="3706" ht="15.75" customHeight="1">
      <c r="A3706" s="115">
        <f t="shared" si="28"/>
        <v>4526</v>
      </c>
      <c r="B3706" s="49" t="s">
        <v>12684</v>
      </c>
      <c r="C3706" s="272" t="s">
        <v>12685</v>
      </c>
      <c r="D3706" s="55" t="s">
        <v>12686</v>
      </c>
      <c r="E3706" s="49" t="s">
        <v>31</v>
      </c>
      <c r="F3706" s="49" t="s">
        <v>29</v>
      </c>
      <c r="G3706" s="49" t="s">
        <v>30</v>
      </c>
      <c r="H3706" s="49"/>
      <c r="I3706" s="49" t="s">
        <v>30</v>
      </c>
      <c r="J3706" s="49">
        <v>515.0</v>
      </c>
      <c r="K3706" s="49"/>
      <c r="L3706" s="49" t="s">
        <v>12139</v>
      </c>
      <c r="M3706" s="49" t="s">
        <v>7060</v>
      </c>
      <c r="N3706" s="49">
        <v>2005.0</v>
      </c>
      <c r="O3706" s="49" t="s">
        <v>388</v>
      </c>
      <c r="P3706" s="49">
        <v>3.0</v>
      </c>
      <c r="Q3706" s="56"/>
      <c r="R3706" s="301"/>
      <c r="S3706" s="40"/>
      <c r="T3706" s="40"/>
      <c r="U3706" s="40"/>
      <c r="V3706" s="40"/>
      <c r="W3706" s="40"/>
      <c r="X3706" s="40"/>
      <c r="Y3706" s="59"/>
      <c r="Z3706" s="59"/>
      <c r="AA3706" s="59"/>
      <c r="AB3706" s="59"/>
      <c r="AC3706" s="59"/>
      <c r="AD3706" s="59"/>
      <c r="AE3706" s="59"/>
      <c r="AF3706" s="59"/>
      <c r="AG3706" s="59"/>
      <c r="AH3706" s="59"/>
      <c r="AI3706" s="59"/>
      <c r="AJ3706" s="59"/>
      <c r="AK3706" s="59"/>
      <c r="AL3706" s="59"/>
    </row>
    <row r="3707" ht="15.75" customHeight="1">
      <c r="A3707" s="115">
        <f t="shared" si="28"/>
        <v>4527</v>
      </c>
      <c r="B3707" s="49" t="s">
        <v>12687</v>
      </c>
      <c r="C3707" s="272" t="s">
        <v>12685</v>
      </c>
      <c r="D3707" s="55" t="s">
        <v>12688</v>
      </c>
      <c r="E3707" s="49" t="s">
        <v>31</v>
      </c>
      <c r="F3707" s="49" t="s">
        <v>29</v>
      </c>
      <c r="G3707" s="49" t="s">
        <v>30</v>
      </c>
      <c r="H3707" s="49"/>
      <c r="I3707" s="49" t="s">
        <v>30</v>
      </c>
      <c r="J3707" s="49">
        <v>317.0</v>
      </c>
      <c r="K3707" s="49"/>
      <c r="L3707" s="49" t="s">
        <v>12139</v>
      </c>
      <c r="M3707" s="49" t="s">
        <v>7060</v>
      </c>
      <c r="N3707" s="49">
        <v>2005.0</v>
      </c>
      <c r="O3707" s="49" t="s">
        <v>388</v>
      </c>
      <c r="P3707" s="49">
        <v>3.0</v>
      </c>
      <c r="Q3707" s="56"/>
      <c r="R3707" s="301"/>
      <c r="S3707" s="40"/>
      <c r="T3707" s="40"/>
      <c r="U3707" s="40"/>
      <c r="V3707" s="40"/>
      <c r="W3707" s="40"/>
      <c r="X3707" s="40"/>
      <c r="Y3707" s="59"/>
      <c r="Z3707" s="59"/>
      <c r="AA3707" s="59"/>
      <c r="AB3707" s="59"/>
      <c r="AC3707" s="59"/>
      <c r="AD3707" s="59"/>
      <c r="AE3707" s="59"/>
      <c r="AF3707" s="59"/>
      <c r="AG3707" s="59"/>
      <c r="AH3707" s="59"/>
      <c r="AI3707" s="59"/>
      <c r="AJ3707" s="59"/>
      <c r="AK3707" s="59"/>
      <c r="AL3707" s="59"/>
    </row>
    <row r="3708" ht="15.75" customHeight="1">
      <c r="A3708" s="115">
        <f t="shared" si="28"/>
        <v>4528</v>
      </c>
      <c r="B3708" s="49" t="s">
        <v>12689</v>
      </c>
      <c r="C3708" s="272" t="s">
        <v>12685</v>
      </c>
      <c r="D3708" s="55" t="s">
        <v>12688</v>
      </c>
      <c r="E3708" s="49" t="s">
        <v>31</v>
      </c>
      <c r="F3708" s="49" t="s">
        <v>29</v>
      </c>
      <c r="G3708" s="49" t="s">
        <v>30</v>
      </c>
      <c r="H3708" s="49"/>
      <c r="I3708" s="49" t="s">
        <v>30</v>
      </c>
      <c r="J3708" s="49">
        <v>310.0</v>
      </c>
      <c r="K3708" s="49"/>
      <c r="L3708" s="49" t="s">
        <v>12139</v>
      </c>
      <c r="M3708" s="49" t="s">
        <v>7060</v>
      </c>
      <c r="N3708" s="49">
        <v>1999.0</v>
      </c>
      <c r="O3708" s="49" t="s">
        <v>388</v>
      </c>
      <c r="P3708" s="49">
        <v>4.0</v>
      </c>
      <c r="Q3708" s="56"/>
      <c r="R3708" s="288"/>
      <c r="S3708" s="34"/>
      <c r="T3708" s="34"/>
      <c r="U3708" s="34"/>
      <c r="V3708" s="34"/>
      <c r="W3708" s="34"/>
      <c r="X3708" s="34"/>
      <c r="Y3708" s="59"/>
      <c r="Z3708" s="59"/>
      <c r="AA3708" s="59"/>
      <c r="AB3708" s="59"/>
      <c r="AC3708" s="59"/>
      <c r="AD3708" s="59"/>
      <c r="AE3708" s="59"/>
      <c r="AF3708" s="59"/>
      <c r="AG3708" s="59"/>
      <c r="AH3708" s="59"/>
      <c r="AI3708" s="59"/>
      <c r="AJ3708" s="59"/>
      <c r="AK3708" s="59"/>
      <c r="AL3708" s="59"/>
    </row>
    <row r="3709" ht="15.75" customHeight="1">
      <c r="A3709" s="157">
        <f t="shared" si="28"/>
        <v>4529</v>
      </c>
      <c r="B3709" s="158" t="s">
        <v>2156</v>
      </c>
      <c r="C3709" s="204" t="s">
        <v>12690</v>
      </c>
      <c r="D3709" s="160" t="s">
        <v>12691</v>
      </c>
      <c r="E3709" s="158" t="s">
        <v>223</v>
      </c>
      <c r="F3709" s="158" t="s">
        <v>29</v>
      </c>
      <c r="G3709" s="158" t="s">
        <v>37</v>
      </c>
      <c r="H3709" s="158"/>
      <c r="I3709" s="158" t="s">
        <v>38</v>
      </c>
      <c r="J3709" s="158">
        <v>331.0</v>
      </c>
      <c r="K3709" s="158"/>
      <c r="L3709" s="158" t="s">
        <v>2159</v>
      </c>
      <c r="M3709" s="158" t="s">
        <v>54</v>
      </c>
      <c r="N3709" s="158">
        <v>1982.0</v>
      </c>
      <c r="O3709" s="158" t="s">
        <v>388</v>
      </c>
      <c r="P3709" s="158">
        <v>4.0</v>
      </c>
      <c r="Q3709" s="162"/>
      <c r="R3709" s="289"/>
      <c r="S3709" s="185"/>
      <c r="T3709" s="185"/>
      <c r="U3709" s="185"/>
      <c r="V3709" s="185"/>
      <c r="W3709" s="185"/>
      <c r="X3709" s="185"/>
      <c r="Y3709" s="59"/>
      <c r="Z3709" s="59"/>
      <c r="AA3709" s="59"/>
      <c r="AB3709" s="59"/>
      <c r="AC3709" s="59"/>
      <c r="AD3709" s="59"/>
      <c r="AE3709" s="59"/>
      <c r="AF3709" s="59"/>
      <c r="AG3709" s="59"/>
      <c r="AH3709" s="59"/>
      <c r="AI3709" s="59"/>
      <c r="AJ3709" s="59"/>
      <c r="AK3709" s="59"/>
      <c r="AL3709" s="59"/>
    </row>
    <row r="3710" ht="15.75" customHeight="1">
      <c r="A3710" s="115">
        <f t="shared" si="28"/>
        <v>4530</v>
      </c>
      <c r="B3710" s="49" t="s">
        <v>31</v>
      </c>
      <c r="C3710" s="272" t="s">
        <v>12692</v>
      </c>
      <c r="D3710" s="55" t="s">
        <v>12693</v>
      </c>
      <c r="E3710" s="49" t="s">
        <v>31</v>
      </c>
      <c r="F3710" s="49" t="s">
        <v>29</v>
      </c>
      <c r="G3710" s="49" t="s">
        <v>30</v>
      </c>
      <c r="H3710" s="49"/>
      <c r="I3710" s="49" t="s">
        <v>30</v>
      </c>
      <c r="J3710" s="49">
        <v>144.0</v>
      </c>
      <c r="K3710" s="49"/>
      <c r="L3710" s="49" t="s">
        <v>4673</v>
      </c>
      <c r="M3710" s="49" t="s">
        <v>4767</v>
      </c>
      <c r="N3710" s="49">
        <v>1978.0</v>
      </c>
      <c r="O3710" s="49" t="s">
        <v>388</v>
      </c>
      <c r="P3710" s="49">
        <v>1.0</v>
      </c>
      <c r="Q3710" s="56"/>
      <c r="R3710" s="288"/>
      <c r="S3710" s="34"/>
      <c r="T3710" s="34"/>
      <c r="U3710" s="34"/>
      <c r="V3710" s="34"/>
      <c r="W3710" s="34"/>
      <c r="X3710" s="34"/>
      <c r="Y3710" s="59"/>
      <c r="Z3710" s="59"/>
      <c r="AA3710" s="59"/>
      <c r="AB3710" s="59"/>
      <c r="AC3710" s="59"/>
      <c r="AD3710" s="59"/>
      <c r="AE3710" s="59"/>
      <c r="AF3710" s="59"/>
      <c r="AG3710" s="59"/>
      <c r="AH3710" s="59"/>
      <c r="AI3710" s="59"/>
      <c r="AJ3710" s="59"/>
      <c r="AK3710" s="59"/>
      <c r="AL3710" s="59"/>
    </row>
    <row r="3711" ht="15.75" customHeight="1">
      <c r="A3711" s="115">
        <f t="shared" si="28"/>
        <v>4531</v>
      </c>
      <c r="B3711" s="49" t="s">
        <v>12694</v>
      </c>
      <c r="C3711" s="272" t="s">
        <v>12695</v>
      </c>
      <c r="D3711" s="55" t="s">
        <v>12696</v>
      </c>
      <c r="E3711" s="49" t="s">
        <v>144</v>
      </c>
      <c r="F3711" s="49" t="s">
        <v>29</v>
      </c>
      <c r="G3711" s="49" t="s">
        <v>37</v>
      </c>
      <c r="H3711" s="49"/>
      <c r="I3711" s="49" t="s">
        <v>38</v>
      </c>
      <c r="J3711" s="49"/>
      <c r="K3711" s="49"/>
      <c r="L3711" s="49" t="s">
        <v>12697</v>
      </c>
      <c r="M3711" s="49" t="s">
        <v>12698</v>
      </c>
      <c r="N3711" s="49"/>
      <c r="O3711" s="49" t="s">
        <v>388</v>
      </c>
      <c r="P3711" s="49">
        <v>1.0</v>
      </c>
      <c r="Q3711" s="56"/>
      <c r="R3711" s="301"/>
      <c r="S3711" s="40"/>
      <c r="T3711" s="40"/>
      <c r="U3711" s="40"/>
      <c r="V3711" s="40"/>
      <c r="W3711" s="40"/>
      <c r="X3711" s="40"/>
      <c r="Y3711" s="59"/>
      <c r="Z3711" s="59"/>
      <c r="AA3711" s="59"/>
      <c r="AB3711" s="59"/>
      <c r="AC3711" s="59"/>
      <c r="AD3711" s="59"/>
      <c r="AE3711" s="59"/>
      <c r="AF3711" s="59"/>
      <c r="AG3711" s="59"/>
      <c r="AH3711" s="59"/>
      <c r="AI3711" s="59"/>
      <c r="AJ3711" s="59"/>
      <c r="AK3711" s="59"/>
      <c r="AL3711" s="59"/>
    </row>
    <row r="3712" ht="15.75" customHeight="1">
      <c r="A3712" s="115">
        <f t="shared" si="28"/>
        <v>4532</v>
      </c>
      <c r="B3712" s="49" t="s">
        <v>31</v>
      </c>
      <c r="C3712" s="272" t="s">
        <v>12699</v>
      </c>
      <c r="D3712" s="314" t="s">
        <v>12700</v>
      </c>
      <c r="E3712" s="49"/>
      <c r="F3712" s="49" t="s">
        <v>29</v>
      </c>
      <c r="G3712" s="49" t="s">
        <v>30</v>
      </c>
      <c r="H3712" s="49"/>
      <c r="I3712" s="49" t="s">
        <v>30</v>
      </c>
      <c r="J3712" s="49">
        <v>491.0</v>
      </c>
      <c r="K3712" s="49"/>
      <c r="L3712" s="49" t="s">
        <v>12701</v>
      </c>
      <c r="M3712" s="49" t="s">
        <v>2258</v>
      </c>
      <c r="N3712" s="49">
        <v>2002.0</v>
      </c>
      <c r="O3712" s="49" t="s">
        <v>388</v>
      </c>
      <c r="P3712" s="49">
        <v>1.0</v>
      </c>
      <c r="Q3712" s="56"/>
      <c r="R3712" s="301"/>
      <c r="S3712" s="40"/>
      <c r="T3712" s="40"/>
      <c r="U3712" s="40"/>
      <c r="V3712" s="40"/>
      <c r="W3712" s="40"/>
      <c r="X3712" s="40"/>
      <c r="Y3712" s="284"/>
      <c r="Z3712" s="284"/>
      <c r="AA3712" s="284"/>
      <c r="AB3712" s="284"/>
      <c r="AC3712" s="284"/>
      <c r="AD3712" s="284"/>
      <c r="AE3712" s="284"/>
      <c r="AF3712" s="284"/>
      <c r="AG3712" s="284"/>
      <c r="AH3712" s="284"/>
      <c r="AI3712" s="284"/>
      <c r="AJ3712" s="284"/>
      <c r="AK3712" s="284"/>
      <c r="AL3712" s="284"/>
    </row>
    <row r="3713" ht="15.75" customHeight="1">
      <c r="A3713" s="115">
        <f t="shared" si="28"/>
        <v>4533</v>
      </c>
      <c r="B3713" s="49" t="s">
        <v>12702</v>
      </c>
      <c r="C3713" s="272" t="s">
        <v>12703</v>
      </c>
      <c r="D3713" s="55" t="s">
        <v>12704</v>
      </c>
      <c r="E3713" s="49" t="s">
        <v>28</v>
      </c>
      <c r="F3713" s="49" t="s">
        <v>29</v>
      </c>
      <c r="G3713" s="49" t="s">
        <v>37</v>
      </c>
      <c r="H3713" s="49" t="s">
        <v>31</v>
      </c>
      <c r="I3713" s="49" t="s">
        <v>38</v>
      </c>
      <c r="J3713" s="49">
        <v>941.0</v>
      </c>
      <c r="K3713" s="49"/>
      <c r="L3713" s="49" t="s">
        <v>2189</v>
      </c>
      <c r="M3713" s="49" t="s">
        <v>365</v>
      </c>
      <c r="N3713" s="49">
        <v>1994.0</v>
      </c>
      <c r="O3713" s="49" t="s">
        <v>388</v>
      </c>
      <c r="P3713" s="49">
        <v>1.0</v>
      </c>
      <c r="Q3713" s="56"/>
      <c r="R3713" s="288"/>
      <c r="S3713" s="34"/>
      <c r="T3713" s="34"/>
      <c r="U3713" s="34"/>
      <c r="V3713" s="34"/>
      <c r="W3713" s="34"/>
      <c r="X3713" s="34"/>
      <c r="Y3713" s="59"/>
      <c r="Z3713" s="59"/>
      <c r="AA3713" s="59"/>
      <c r="AB3713" s="59"/>
      <c r="AC3713" s="59"/>
      <c r="AD3713" s="59"/>
      <c r="AE3713" s="59"/>
      <c r="AF3713" s="59"/>
      <c r="AG3713" s="59"/>
      <c r="AH3713" s="59"/>
      <c r="AI3713" s="59"/>
      <c r="AJ3713" s="59"/>
      <c r="AK3713" s="59"/>
      <c r="AL3713" s="59"/>
    </row>
    <row r="3714" ht="15.75" customHeight="1">
      <c r="A3714" s="115">
        <f t="shared" si="28"/>
        <v>4534</v>
      </c>
      <c r="B3714" s="49" t="s">
        <v>12705</v>
      </c>
      <c r="C3714" s="272" t="s">
        <v>12703</v>
      </c>
      <c r="D3714" s="55" t="s">
        <v>12706</v>
      </c>
      <c r="E3714" s="49" t="s">
        <v>28</v>
      </c>
      <c r="F3714" s="49" t="s">
        <v>29</v>
      </c>
      <c r="G3714" s="49" t="s">
        <v>37</v>
      </c>
      <c r="H3714" s="49" t="s">
        <v>31</v>
      </c>
      <c r="I3714" s="49" t="s">
        <v>38</v>
      </c>
      <c r="J3714" s="49">
        <v>660.0</v>
      </c>
      <c r="K3714" s="49"/>
      <c r="L3714" s="49" t="s">
        <v>2189</v>
      </c>
      <c r="M3714" s="49" t="s">
        <v>365</v>
      </c>
      <c r="N3714" s="49">
        <v>1991.0</v>
      </c>
      <c r="O3714" s="49" t="s">
        <v>388</v>
      </c>
      <c r="P3714" s="49">
        <v>1.0</v>
      </c>
      <c r="Q3714" s="56"/>
      <c r="R3714" s="301"/>
      <c r="S3714" s="40"/>
      <c r="T3714" s="40"/>
      <c r="U3714" s="40"/>
      <c r="V3714" s="40"/>
      <c r="W3714" s="40"/>
      <c r="X3714" s="40"/>
      <c r="Y3714" s="59"/>
      <c r="Z3714" s="59"/>
      <c r="AA3714" s="59"/>
      <c r="AB3714" s="59"/>
      <c r="AC3714" s="59"/>
      <c r="AD3714" s="59"/>
      <c r="AE3714" s="59"/>
      <c r="AF3714" s="59"/>
      <c r="AG3714" s="59"/>
      <c r="AH3714" s="59"/>
      <c r="AI3714" s="59"/>
      <c r="AJ3714" s="59"/>
      <c r="AK3714" s="59"/>
      <c r="AL3714" s="59"/>
    </row>
    <row r="3715" ht="15.75" customHeight="1">
      <c r="A3715" s="115">
        <f t="shared" si="28"/>
        <v>4535</v>
      </c>
      <c r="B3715" s="49" t="s">
        <v>12707</v>
      </c>
      <c r="C3715" s="272" t="s">
        <v>12703</v>
      </c>
      <c r="D3715" s="55" t="s">
        <v>12708</v>
      </c>
      <c r="E3715" s="49" t="s">
        <v>28</v>
      </c>
      <c r="F3715" s="49" t="s">
        <v>29</v>
      </c>
      <c r="G3715" s="49" t="s">
        <v>37</v>
      </c>
      <c r="H3715" s="49" t="s">
        <v>31</v>
      </c>
      <c r="I3715" s="49" t="s">
        <v>38</v>
      </c>
      <c r="J3715" s="49">
        <v>937.0</v>
      </c>
      <c r="K3715" s="49"/>
      <c r="L3715" s="49" t="s">
        <v>2189</v>
      </c>
      <c r="M3715" s="49" t="s">
        <v>365</v>
      </c>
      <c r="N3715" s="49">
        <v>1994.0</v>
      </c>
      <c r="O3715" s="49" t="s">
        <v>388</v>
      </c>
      <c r="P3715" s="49">
        <v>1.0</v>
      </c>
      <c r="Q3715" s="56"/>
      <c r="R3715" s="288"/>
      <c r="S3715" s="34"/>
      <c r="T3715" s="34"/>
      <c r="U3715" s="34"/>
      <c r="V3715" s="34"/>
      <c r="W3715" s="34"/>
      <c r="X3715" s="34"/>
      <c r="Y3715" s="59"/>
      <c r="Z3715" s="59"/>
      <c r="AA3715" s="59"/>
      <c r="AB3715" s="59"/>
      <c r="AC3715" s="59"/>
      <c r="AD3715" s="59"/>
      <c r="AE3715" s="59"/>
      <c r="AF3715" s="59"/>
      <c r="AG3715" s="59"/>
      <c r="AH3715" s="59"/>
      <c r="AI3715" s="59"/>
      <c r="AJ3715" s="59"/>
      <c r="AK3715" s="59"/>
      <c r="AL3715" s="59"/>
    </row>
    <row r="3716" ht="15.75" customHeight="1">
      <c r="A3716" s="115">
        <f t="shared" si="28"/>
        <v>4536</v>
      </c>
      <c r="B3716" s="49" t="s">
        <v>2918</v>
      </c>
      <c r="C3716" s="272" t="s">
        <v>12709</v>
      </c>
      <c r="D3716" s="55" t="s">
        <v>12710</v>
      </c>
      <c r="E3716" s="49" t="s">
        <v>223</v>
      </c>
      <c r="F3716" s="49" t="s">
        <v>29</v>
      </c>
      <c r="G3716" s="49" t="s">
        <v>37</v>
      </c>
      <c r="H3716" s="49"/>
      <c r="I3716" s="49" t="s">
        <v>38</v>
      </c>
      <c r="J3716" s="49">
        <v>192.0</v>
      </c>
      <c r="K3716" s="49"/>
      <c r="L3716" s="49" t="s">
        <v>12711</v>
      </c>
      <c r="M3716" s="49" t="s">
        <v>54</v>
      </c>
      <c r="N3716" s="49">
        <v>1980.0</v>
      </c>
      <c r="O3716" s="49" t="s">
        <v>388</v>
      </c>
      <c r="P3716" s="49">
        <v>1.0</v>
      </c>
      <c r="Q3716" s="56"/>
      <c r="R3716" s="288"/>
      <c r="S3716" s="116"/>
      <c r="T3716" s="116"/>
      <c r="U3716" s="116"/>
      <c r="V3716" s="116"/>
      <c r="W3716" s="116"/>
      <c r="X3716" s="116"/>
      <c r="Y3716" s="59"/>
      <c r="Z3716" s="59"/>
      <c r="AA3716" s="59"/>
      <c r="AB3716" s="59"/>
      <c r="AC3716" s="59"/>
      <c r="AD3716" s="59"/>
      <c r="AE3716" s="59"/>
      <c r="AF3716" s="59"/>
      <c r="AG3716" s="59"/>
      <c r="AH3716" s="59"/>
      <c r="AI3716" s="59"/>
      <c r="AJ3716" s="59"/>
      <c r="AK3716" s="59"/>
      <c r="AL3716" s="59"/>
    </row>
    <row r="3717" ht="15.75" customHeight="1">
      <c r="A3717" s="115">
        <f t="shared" si="28"/>
        <v>4537</v>
      </c>
      <c r="B3717" s="49" t="s">
        <v>31</v>
      </c>
      <c r="C3717" s="272" t="s">
        <v>12712</v>
      </c>
      <c r="D3717" s="55" t="s">
        <v>3962</v>
      </c>
      <c r="E3717" s="49" t="s">
        <v>144</v>
      </c>
      <c r="F3717" s="49" t="s">
        <v>29</v>
      </c>
      <c r="G3717" s="49" t="s">
        <v>30</v>
      </c>
      <c r="H3717" s="49"/>
      <c r="I3717" s="49" t="s">
        <v>30</v>
      </c>
      <c r="J3717" s="49">
        <f>170+3</f>
        <v>173</v>
      </c>
      <c r="K3717" s="49"/>
      <c r="L3717" s="49"/>
      <c r="M3717" s="49"/>
      <c r="N3717" s="49"/>
      <c r="O3717" s="49" t="s">
        <v>388</v>
      </c>
      <c r="P3717" s="49">
        <v>2.0</v>
      </c>
      <c r="Q3717" s="56"/>
      <c r="R3717" s="288"/>
      <c r="S3717" s="34"/>
      <c r="T3717" s="34"/>
      <c r="U3717" s="34"/>
      <c r="V3717" s="34"/>
      <c r="W3717" s="34"/>
      <c r="X3717" s="34"/>
      <c r="Y3717" s="59"/>
      <c r="Z3717" s="59"/>
      <c r="AA3717" s="59"/>
      <c r="AB3717" s="59"/>
      <c r="AC3717" s="59"/>
      <c r="AD3717" s="59"/>
      <c r="AE3717" s="59"/>
      <c r="AF3717" s="59"/>
      <c r="AG3717" s="59"/>
      <c r="AH3717" s="59"/>
      <c r="AI3717" s="59"/>
      <c r="AJ3717" s="59"/>
      <c r="AK3717" s="59"/>
      <c r="AL3717" s="59"/>
    </row>
    <row r="3718" ht="15.75" customHeight="1">
      <c r="A3718" s="115">
        <f t="shared" si="28"/>
        <v>4538</v>
      </c>
      <c r="B3718" s="49" t="s">
        <v>12713</v>
      </c>
      <c r="C3718" s="272" t="s">
        <v>12714</v>
      </c>
      <c r="D3718" s="55" t="s">
        <v>12715</v>
      </c>
      <c r="E3718" s="49"/>
      <c r="F3718" s="49" t="s">
        <v>29</v>
      </c>
      <c r="G3718" s="49" t="s">
        <v>30</v>
      </c>
      <c r="H3718" s="49"/>
      <c r="I3718" s="49" t="s">
        <v>30</v>
      </c>
      <c r="J3718" s="49">
        <v>172.0</v>
      </c>
      <c r="K3718" s="49"/>
      <c r="L3718" s="49" t="s">
        <v>10623</v>
      </c>
      <c r="M3718" s="49" t="s">
        <v>151</v>
      </c>
      <c r="N3718" s="49">
        <v>2004.0</v>
      </c>
      <c r="O3718" s="49" t="s">
        <v>388</v>
      </c>
      <c r="P3718" s="49">
        <v>1.0</v>
      </c>
      <c r="Q3718" s="56"/>
      <c r="R3718" s="288"/>
      <c r="S3718" s="34"/>
      <c r="T3718" s="34"/>
      <c r="U3718" s="34"/>
      <c r="V3718" s="34"/>
      <c r="W3718" s="34"/>
      <c r="X3718" s="34"/>
      <c r="Y3718" s="59"/>
      <c r="Z3718" s="59"/>
      <c r="AA3718" s="59"/>
      <c r="AB3718" s="59"/>
      <c r="AC3718" s="59"/>
      <c r="AD3718" s="59"/>
      <c r="AE3718" s="59"/>
      <c r="AF3718" s="59"/>
      <c r="AG3718" s="59"/>
      <c r="AH3718" s="59"/>
      <c r="AI3718" s="59"/>
      <c r="AJ3718" s="59"/>
      <c r="AK3718" s="59"/>
      <c r="AL3718" s="59"/>
    </row>
    <row r="3719" ht="15.75" customHeight="1">
      <c r="A3719" s="115">
        <f t="shared" si="28"/>
        <v>4539</v>
      </c>
      <c r="B3719" s="49" t="s">
        <v>31</v>
      </c>
      <c r="C3719" s="272" t="s">
        <v>12716</v>
      </c>
      <c r="D3719" s="55" t="s">
        <v>12717</v>
      </c>
      <c r="E3719" s="49"/>
      <c r="F3719" s="49" t="s">
        <v>29</v>
      </c>
      <c r="G3719" s="49" t="s">
        <v>81</v>
      </c>
      <c r="H3719" s="49"/>
      <c r="I3719" s="49" t="s">
        <v>38</v>
      </c>
      <c r="J3719" s="49">
        <v>13.0</v>
      </c>
      <c r="K3719" s="49"/>
      <c r="L3719" s="49" t="s">
        <v>12718</v>
      </c>
      <c r="M3719" s="49" t="s">
        <v>2233</v>
      </c>
      <c r="N3719" s="49">
        <v>1974.0</v>
      </c>
      <c r="O3719" s="49" t="s">
        <v>388</v>
      </c>
      <c r="P3719" s="49">
        <v>1.0</v>
      </c>
      <c r="Q3719" s="56"/>
      <c r="R3719" s="288"/>
      <c r="S3719" s="34"/>
      <c r="T3719" s="34"/>
      <c r="U3719" s="34"/>
      <c r="V3719" s="34"/>
      <c r="W3719" s="34"/>
      <c r="X3719" s="34"/>
      <c r="Y3719" s="59"/>
      <c r="Z3719" s="59"/>
      <c r="AA3719" s="59"/>
      <c r="AB3719" s="59"/>
      <c r="AC3719" s="59"/>
      <c r="AD3719" s="59"/>
      <c r="AE3719" s="59"/>
      <c r="AF3719" s="59"/>
      <c r="AG3719" s="59"/>
      <c r="AH3719" s="59"/>
      <c r="AI3719" s="59"/>
      <c r="AJ3719" s="59"/>
      <c r="AK3719" s="59"/>
      <c r="AL3719" s="59"/>
    </row>
    <row r="3720" ht="15.75" customHeight="1">
      <c r="A3720" s="115">
        <f t="shared" si="28"/>
        <v>4540</v>
      </c>
      <c r="B3720" s="49" t="s">
        <v>31</v>
      </c>
      <c r="C3720" s="272" t="s">
        <v>12719</v>
      </c>
      <c r="D3720" s="55" t="s">
        <v>12720</v>
      </c>
      <c r="E3720" s="49"/>
      <c r="F3720" s="49" t="s">
        <v>29</v>
      </c>
      <c r="G3720" s="49" t="s">
        <v>30</v>
      </c>
      <c r="H3720" s="49"/>
      <c r="I3720" s="49" t="s">
        <v>30</v>
      </c>
      <c r="J3720" s="49">
        <v>120.0</v>
      </c>
      <c r="K3720" s="49"/>
      <c r="L3720" s="49" t="s">
        <v>12721</v>
      </c>
      <c r="M3720" s="49" t="s">
        <v>161</v>
      </c>
      <c r="N3720" s="49" t="s">
        <v>31</v>
      </c>
      <c r="O3720" s="49" t="s">
        <v>388</v>
      </c>
      <c r="P3720" s="49">
        <v>1.0</v>
      </c>
      <c r="Q3720" s="56"/>
      <c r="R3720" s="288"/>
      <c r="S3720" s="34"/>
      <c r="T3720" s="34"/>
      <c r="U3720" s="34"/>
      <c r="V3720" s="34"/>
      <c r="W3720" s="34"/>
      <c r="X3720" s="34"/>
      <c r="Y3720" s="59"/>
      <c r="Z3720" s="59"/>
      <c r="AA3720" s="59"/>
      <c r="AB3720" s="59"/>
      <c r="AC3720" s="59"/>
      <c r="AD3720" s="59"/>
      <c r="AE3720" s="59"/>
      <c r="AF3720" s="59"/>
      <c r="AG3720" s="59"/>
      <c r="AH3720" s="59"/>
      <c r="AI3720" s="59"/>
      <c r="AJ3720" s="59"/>
      <c r="AK3720" s="59"/>
      <c r="AL3720" s="59"/>
    </row>
    <row r="3721" ht="15.75" customHeight="1">
      <c r="A3721" s="115">
        <f t="shared" si="28"/>
        <v>4541</v>
      </c>
      <c r="B3721" s="49" t="s">
        <v>2918</v>
      </c>
      <c r="C3721" s="272" t="s">
        <v>12722</v>
      </c>
      <c r="D3721" s="55" t="s">
        <v>12723</v>
      </c>
      <c r="E3721" s="49" t="s">
        <v>223</v>
      </c>
      <c r="F3721" s="49" t="s">
        <v>29</v>
      </c>
      <c r="G3721" s="49" t="s">
        <v>37</v>
      </c>
      <c r="H3721" s="49"/>
      <c r="I3721" s="49" t="s">
        <v>38</v>
      </c>
      <c r="J3721" s="49">
        <v>192.0</v>
      </c>
      <c r="K3721" s="49"/>
      <c r="L3721" s="49" t="s">
        <v>619</v>
      </c>
      <c r="M3721" s="49" t="s">
        <v>54</v>
      </c>
      <c r="N3721" s="49">
        <v>1980.0</v>
      </c>
      <c r="O3721" s="49" t="s">
        <v>388</v>
      </c>
      <c r="P3721" s="49">
        <v>1.0</v>
      </c>
      <c r="Q3721" s="56"/>
      <c r="R3721" s="288"/>
      <c r="S3721" s="34"/>
      <c r="T3721" s="34"/>
      <c r="U3721" s="34"/>
      <c r="V3721" s="34"/>
      <c r="W3721" s="34"/>
      <c r="X3721" s="34"/>
      <c r="Y3721" s="59"/>
      <c r="Z3721" s="59"/>
      <c r="AA3721" s="59"/>
      <c r="AB3721" s="59"/>
      <c r="AC3721" s="59"/>
      <c r="AD3721" s="59"/>
      <c r="AE3721" s="59"/>
      <c r="AF3721" s="59"/>
      <c r="AG3721" s="59"/>
      <c r="AH3721" s="59"/>
      <c r="AI3721" s="59"/>
      <c r="AJ3721" s="59"/>
      <c r="AK3721" s="59"/>
      <c r="AL3721" s="59"/>
    </row>
    <row r="3722" ht="15.75" customHeight="1">
      <c r="A3722" s="164">
        <f t="shared" si="28"/>
        <v>4542</v>
      </c>
      <c r="B3722" s="63" t="s">
        <v>12724</v>
      </c>
      <c r="C3722" s="275" t="s">
        <v>12725</v>
      </c>
      <c r="D3722" s="65" t="s">
        <v>12726</v>
      </c>
      <c r="E3722" s="63"/>
      <c r="F3722" s="63" t="s">
        <v>29</v>
      </c>
      <c r="G3722" s="63" t="s">
        <v>30</v>
      </c>
      <c r="H3722" s="63"/>
      <c r="I3722" s="63" t="s">
        <v>30</v>
      </c>
      <c r="J3722" s="63">
        <v>188.0</v>
      </c>
      <c r="K3722" s="63"/>
      <c r="L3722" s="63" t="s">
        <v>12727</v>
      </c>
      <c r="M3722" s="63" t="s">
        <v>151</v>
      </c>
      <c r="N3722" s="63">
        <v>2003.0</v>
      </c>
      <c r="O3722" s="63" t="s">
        <v>388</v>
      </c>
      <c r="P3722" s="63">
        <v>1.0</v>
      </c>
      <c r="Q3722" s="276"/>
      <c r="R3722" s="315"/>
      <c r="S3722" s="34"/>
      <c r="T3722" s="34"/>
      <c r="U3722" s="34"/>
      <c r="V3722" s="34"/>
      <c r="W3722" s="34"/>
      <c r="X3722" s="34"/>
      <c r="Y3722" s="59"/>
      <c r="Z3722" s="59"/>
      <c r="AA3722" s="59"/>
      <c r="AB3722" s="59"/>
      <c r="AC3722" s="59"/>
      <c r="AD3722" s="59"/>
      <c r="AE3722" s="59"/>
      <c r="AF3722" s="59"/>
      <c r="AG3722" s="59"/>
      <c r="AH3722" s="59"/>
      <c r="AI3722" s="59"/>
      <c r="AJ3722" s="59"/>
      <c r="AK3722" s="59"/>
      <c r="AL3722" s="59"/>
    </row>
    <row r="3723" ht="15.75" customHeight="1">
      <c r="A3723" s="115">
        <f t="shared" si="28"/>
        <v>4543</v>
      </c>
      <c r="B3723" s="49" t="s">
        <v>12728</v>
      </c>
      <c r="C3723" s="272" t="s">
        <v>12729</v>
      </c>
      <c r="D3723" s="55" t="s">
        <v>12730</v>
      </c>
      <c r="E3723" s="49" t="s">
        <v>144</v>
      </c>
      <c r="F3723" s="49" t="s">
        <v>29</v>
      </c>
      <c r="G3723" s="49" t="s">
        <v>30</v>
      </c>
      <c r="H3723" s="49"/>
      <c r="I3723" s="49" t="s">
        <v>30</v>
      </c>
      <c r="J3723" s="49">
        <v>273.0</v>
      </c>
      <c r="K3723" s="49"/>
      <c r="L3723" s="49" t="s">
        <v>12731</v>
      </c>
      <c r="M3723" s="49" t="s">
        <v>11247</v>
      </c>
      <c r="N3723" s="49">
        <v>2005.0</v>
      </c>
      <c r="O3723" s="49" t="s">
        <v>388</v>
      </c>
      <c r="P3723" s="49">
        <v>1.0</v>
      </c>
      <c r="Q3723" s="56"/>
      <c r="R3723" s="288"/>
      <c r="S3723" s="34"/>
      <c r="T3723" s="34"/>
      <c r="U3723" s="34"/>
      <c r="V3723" s="34"/>
      <c r="W3723" s="34"/>
      <c r="X3723" s="34"/>
      <c r="Y3723" s="59"/>
      <c r="Z3723" s="59"/>
      <c r="AA3723" s="59"/>
      <c r="AB3723" s="59"/>
      <c r="AC3723" s="59"/>
      <c r="AD3723" s="59"/>
      <c r="AE3723" s="59"/>
      <c r="AF3723" s="59"/>
      <c r="AG3723" s="59"/>
      <c r="AH3723" s="59"/>
      <c r="AI3723" s="59"/>
      <c r="AJ3723" s="59"/>
      <c r="AK3723" s="59"/>
      <c r="AL3723" s="59"/>
    </row>
    <row r="3724" ht="15.75" customHeight="1">
      <c r="A3724" s="115">
        <f t="shared" si="28"/>
        <v>4544</v>
      </c>
      <c r="B3724" s="49" t="s">
        <v>4929</v>
      </c>
      <c r="C3724" s="272" t="s">
        <v>12732</v>
      </c>
      <c r="D3724" s="314" t="s">
        <v>12733</v>
      </c>
      <c r="E3724" s="49" t="s">
        <v>31</v>
      </c>
      <c r="F3724" s="49" t="s">
        <v>29</v>
      </c>
      <c r="G3724" s="49" t="s">
        <v>30</v>
      </c>
      <c r="H3724" s="49"/>
      <c r="I3724" s="49" t="s">
        <v>30</v>
      </c>
      <c r="J3724" s="49">
        <v>296.0</v>
      </c>
      <c r="K3724" s="49"/>
      <c r="L3724" s="49" t="s">
        <v>4932</v>
      </c>
      <c r="M3724" s="49" t="s">
        <v>151</v>
      </c>
      <c r="N3724" s="49">
        <v>2008.0</v>
      </c>
      <c r="O3724" s="49" t="s">
        <v>388</v>
      </c>
      <c r="P3724" s="49">
        <v>1.0</v>
      </c>
      <c r="Q3724" s="56"/>
      <c r="R3724" s="288"/>
      <c r="S3724" s="40"/>
      <c r="T3724" s="40"/>
      <c r="U3724" s="40"/>
      <c r="V3724" s="40"/>
      <c r="W3724" s="40"/>
      <c r="X3724" s="40"/>
      <c r="Y3724" s="284"/>
      <c r="Z3724" s="284"/>
      <c r="AA3724" s="284"/>
      <c r="AB3724" s="284"/>
      <c r="AC3724" s="284"/>
      <c r="AD3724" s="284"/>
      <c r="AE3724" s="284"/>
      <c r="AF3724" s="284"/>
      <c r="AG3724" s="284"/>
      <c r="AH3724" s="284"/>
      <c r="AI3724" s="284"/>
      <c r="AJ3724" s="284"/>
      <c r="AK3724" s="284"/>
      <c r="AL3724" s="284"/>
    </row>
    <row r="3725" ht="15.75" customHeight="1">
      <c r="A3725" s="115">
        <f t="shared" si="28"/>
        <v>4545</v>
      </c>
      <c r="B3725" s="49" t="s">
        <v>12194</v>
      </c>
      <c r="C3725" s="272" t="s">
        <v>12734</v>
      </c>
      <c r="D3725" s="55" t="s">
        <v>12735</v>
      </c>
      <c r="E3725" s="49" t="s">
        <v>144</v>
      </c>
      <c r="F3725" s="49" t="s">
        <v>29</v>
      </c>
      <c r="G3725" s="49" t="s">
        <v>81</v>
      </c>
      <c r="H3725" s="49"/>
      <c r="I3725" s="49" t="s">
        <v>38</v>
      </c>
      <c r="J3725" s="49">
        <v>48.0</v>
      </c>
      <c r="K3725" s="49"/>
      <c r="L3725" s="49" t="s">
        <v>3104</v>
      </c>
      <c r="M3725" s="49" t="s">
        <v>12736</v>
      </c>
      <c r="N3725" s="49">
        <v>1994.0</v>
      </c>
      <c r="O3725" s="49" t="s">
        <v>388</v>
      </c>
      <c r="P3725" s="49">
        <v>1.0</v>
      </c>
      <c r="Q3725" s="56"/>
      <c r="R3725" s="288"/>
      <c r="S3725" s="34"/>
      <c r="T3725" s="34"/>
      <c r="U3725" s="34"/>
      <c r="V3725" s="34"/>
      <c r="W3725" s="34"/>
      <c r="X3725" s="34"/>
      <c r="Y3725" s="59"/>
      <c r="Z3725" s="59"/>
      <c r="AA3725" s="59"/>
      <c r="AB3725" s="59"/>
      <c r="AC3725" s="59"/>
      <c r="AD3725" s="59"/>
      <c r="AE3725" s="59"/>
      <c r="AF3725" s="59"/>
      <c r="AG3725" s="59"/>
      <c r="AH3725" s="59"/>
      <c r="AI3725" s="59"/>
      <c r="AJ3725" s="59"/>
      <c r="AK3725" s="59"/>
      <c r="AL3725" s="59"/>
    </row>
    <row r="3726" ht="15.75" customHeight="1">
      <c r="A3726" s="115">
        <f t="shared" si="28"/>
        <v>4546</v>
      </c>
      <c r="B3726" s="49" t="s">
        <v>12737</v>
      </c>
      <c r="C3726" s="272" t="s">
        <v>12738</v>
      </c>
      <c r="D3726" s="55" t="s">
        <v>12739</v>
      </c>
      <c r="E3726" s="49"/>
      <c r="F3726" s="49" t="s">
        <v>29</v>
      </c>
      <c r="G3726" s="49" t="s">
        <v>127</v>
      </c>
      <c r="H3726" s="49"/>
      <c r="I3726" s="49" t="s">
        <v>38</v>
      </c>
      <c r="J3726" s="49">
        <v>32.0</v>
      </c>
      <c r="K3726" s="49"/>
      <c r="L3726" s="49" t="s">
        <v>4068</v>
      </c>
      <c r="M3726" s="49" t="s">
        <v>5535</v>
      </c>
      <c r="N3726" s="49">
        <v>2001.0</v>
      </c>
      <c r="O3726" s="49" t="s">
        <v>388</v>
      </c>
      <c r="P3726" s="49">
        <v>2.0</v>
      </c>
      <c r="Q3726" s="56"/>
      <c r="R3726" s="288"/>
      <c r="S3726" s="34"/>
      <c r="T3726" s="34"/>
      <c r="U3726" s="34"/>
      <c r="V3726" s="34"/>
      <c r="W3726" s="34"/>
      <c r="X3726" s="34"/>
      <c r="Y3726" s="59"/>
      <c r="Z3726" s="59"/>
      <c r="AA3726" s="59"/>
      <c r="AB3726" s="59"/>
      <c r="AC3726" s="59"/>
      <c r="AD3726" s="59"/>
      <c r="AE3726" s="59"/>
      <c r="AF3726" s="59"/>
      <c r="AG3726" s="59"/>
      <c r="AH3726" s="59"/>
      <c r="AI3726" s="59"/>
      <c r="AJ3726" s="59"/>
      <c r="AK3726" s="59"/>
      <c r="AL3726" s="59"/>
    </row>
    <row r="3727" ht="15.75" customHeight="1">
      <c r="A3727" s="115">
        <f t="shared" si="28"/>
        <v>4547</v>
      </c>
      <c r="B3727" s="49" t="s">
        <v>12740</v>
      </c>
      <c r="C3727" s="272" t="s">
        <v>12741</v>
      </c>
      <c r="D3727" s="55" t="s">
        <v>12742</v>
      </c>
      <c r="E3727" s="49"/>
      <c r="F3727" s="49" t="s">
        <v>29</v>
      </c>
      <c r="G3727" s="49" t="s">
        <v>37</v>
      </c>
      <c r="H3727" s="49"/>
      <c r="I3727" s="49" t="s">
        <v>38</v>
      </c>
      <c r="J3727" s="49">
        <v>436.0</v>
      </c>
      <c r="K3727" s="49"/>
      <c r="L3727" s="49" t="s">
        <v>2437</v>
      </c>
      <c r="M3727" s="49" t="s">
        <v>230</v>
      </c>
      <c r="N3727" s="49">
        <v>2012.0</v>
      </c>
      <c r="O3727" s="49" t="s">
        <v>388</v>
      </c>
      <c r="P3727" s="49">
        <v>1.0</v>
      </c>
      <c r="Q3727" s="56"/>
      <c r="R3727" s="288"/>
      <c r="S3727" s="34"/>
      <c r="T3727" s="34"/>
      <c r="U3727" s="34"/>
      <c r="V3727" s="34"/>
      <c r="W3727" s="34"/>
      <c r="X3727" s="34"/>
      <c r="Y3727" s="59"/>
      <c r="Z3727" s="59"/>
      <c r="AA3727" s="59"/>
      <c r="AB3727" s="59"/>
      <c r="AC3727" s="59"/>
      <c r="AD3727" s="59"/>
      <c r="AE3727" s="59"/>
      <c r="AF3727" s="59"/>
      <c r="AG3727" s="59"/>
      <c r="AH3727" s="59"/>
      <c r="AI3727" s="59"/>
      <c r="AJ3727" s="59"/>
      <c r="AK3727" s="59"/>
      <c r="AL3727" s="59"/>
    </row>
    <row r="3728" ht="15.75" customHeight="1">
      <c r="A3728" s="115">
        <f t="shared" si="28"/>
        <v>4548</v>
      </c>
      <c r="B3728" s="49" t="s">
        <v>12743</v>
      </c>
      <c r="C3728" s="272" t="s">
        <v>12744</v>
      </c>
      <c r="D3728" s="55" t="s">
        <v>12745</v>
      </c>
      <c r="E3728" s="49" t="s">
        <v>2221</v>
      </c>
      <c r="F3728" s="49" t="s">
        <v>2222</v>
      </c>
      <c r="G3728" s="49" t="s">
        <v>38</v>
      </c>
      <c r="H3728" s="49"/>
      <c r="I3728" s="49" t="s">
        <v>38</v>
      </c>
      <c r="J3728" s="49">
        <v>46.0</v>
      </c>
      <c r="K3728" s="49"/>
      <c r="L3728" s="49" t="s">
        <v>12746</v>
      </c>
      <c r="M3728" s="49" t="s">
        <v>12747</v>
      </c>
      <c r="N3728" s="49">
        <v>1984.0</v>
      </c>
      <c r="O3728" s="49" t="s">
        <v>388</v>
      </c>
      <c r="P3728" s="49">
        <v>1.0</v>
      </c>
      <c r="Q3728" s="56"/>
      <c r="R3728" s="288"/>
      <c r="S3728" s="116"/>
      <c r="T3728" s="116"/>
      <c r="U3728" s="116"/>
      <c r="V3728" s="116"/>
      <c r="W3728" s="116"/>
      <c r="X3728" s="116"/>
      <c r="Y3728" s="59"/>
      <c r="Z3728" s="59"/>
      <c r="AA3728" s="59"/>
      <c r="AB3728" s="59"/>
      <c r="AC3728" s="59"/>
      <c r="AD3728" s="59"/>
      <c r="AE3728" s="59"/>
      <c r="AF3728" s="59"/>
      <c r="AG3728" s="59"/>
      <c r="AH3728" s="59"/>
      <c r="AI3728" s="59"/>
      <c r="AJ3728" s="59"/>
      <c r="AK3728" s="59"/>
      <c r="AL3728" s="59"/>
    </row>
    <row r="3729" ht="15.75" customHeight="1">
      <c r="A3729" s="115">
        <f t="shared" si="28"/>
        <v>4549</v>
      </c>
      <c r="B3729" s="49" t="s">
        <v>12748</v>
      </c>
      <c r="C3729" s="272" t="s">
        <v>12749</v>
      </c>
      <c r="D3729" s="55" t="s">
        <v>12750</v>
      </c>
      <c r="E3729" s="49" t="s">
        <v>144</v>
      </c>
      <c r="F3729" s="49" t="s">
        <v>29</v>
      </c>
      <c r="G3729" s="49" t="s">
        <v>30</v>
      </c>
      <c r="H3729" s="49"/>
      <c r="I3729" s="49" t="s">
        <v>30</v>
      </c>
      <c r="J3729" s="49">
        <v>80.0</v>
      </c>
      <c r="K3729" s="49"/>
      <c r="L3729" s="49" t="s">
        <v>4008</v>
      </c>
      <c r="M3729" s="49" t="s">
        <v>4009</v>
      </c>
      <c r="N3729" s="49">
        <v>2014.0</v>
      </c>
      <c r="O3729" s="49" t="s">
        <v>388</v>
      </c>
      <c r="P3729" s="49">
        <v>1.0</v>
      </c>
      <c r="Q3729" s="56"/>
      <c r="R3729" s="288"/>
      <c r="S3729" s="40"/>
      <c r="T3729" s="40"/>
      <c r="U3729" s="40"/>
      <c r="V3729" s="40"/>
      <c r="W3729" s="40"/>
      <c r="X3729" s="40"/>
      <c r="Y3729" s="59"/>
      <c r="Z3729" s="59"/>
      <c r="AA3729" s="59"/>
      <c r="AB3729" s="59"/>
      <c r="AC3729" s="59"/>
      <c r="AD3729" s="59"/>
      <c r="AE3729" s="59"/>
      <c r="AF3729" s="59"/>
      <c r="AG3729" s="59"/>
      <c r="AH3729" s="59"/>
      <c r="AI3729" s="59"/>
      <c r="AJ3729" s="59"/>
      <c r="AK3729" s="59"/>
      <c r="AL3729" s="59"/>
    </row>
    <row r="3730" ht="15.75" customHeight="1">
      <c r="A3730" s="115">
        <f t="shared" si="28"/>
        <v>4550</v>
      </c>
      <c r="B3730" s="49"/>
      <c r="C3730" s="272" t="s">
        <v>12751</v>
      </c>
      <c r="D3730" s="55" t="s">
        <v>12752</v>
      </c>
      <c r="E3730" s="49" t="s">
        <v>302</v>
      </c>
      <c r="F3730" s="49" t="s">
        <v>29</v>
      </c>
      <c r="G3730" s="49" t="s">
        <v>30</v>
      </c>
      <c r="H3730" s="49"/>
      <c r="I3730" s="49" t="s">
        <v>30</v>
      </c>
      <c r="J3730" s="49">
        <v>472.0</v>
      </c>
      <c r="K3730" s="49"/>
      <c r="L3730" s="49" t="s">
        <v>12753</v>
      </c>
      <c r="M3730" s="49" t="s">
        <v>2258</v>
      </c>
      <c r="N3730" s="49">
        <v>2011.0</v>
      </c>
      <c r="O3730" s="49" t="s">
        <v>388</v>
      </c>
      <c r="P3730" s="49">
        <v>1.0</v>
      </c>
      <c r="Q3730" s="56"/>
      <c r="R3730" s="288"/>
      <c r="S3730" s="40"/>
      <c r="T3730" s="40"/>
      <c r="U3730" s="40"/>
      <c r="V3730" s="40"/>
      <c r="W3730" s="40"/>
      <c r="X3730" s="40"/>
      <c r="Y3730" s="59"/>
      <c r="Z3730" s="59"/>
      <c r="AA3730" s="59"/>
      <c r="AB3730" s="59"/>
      <c r="AC3730" s="59"/>
      <c r="AD3730" s="59"/>
      <c r="AE3730" s="59"/>
      <c r="AF3730" s="59"/>
      <c r="AG3730" s="59"/>
      <c r="AH3730" s="59"/>
      <c r="AI3730" s="59"/>
      <c r="AJ3730" s="59"/>
      <c r="AK3730" s="59"/>
      <c r="AL3730" s="59"/>
    </row>
    <row r="3731" ht="15.75" customHeight="1">
      <c r="A3731" s="115">
        <f t="shared" si="28"/>
        <v>4551</v>
      </c>
      <c r="B3731" s="49" t="s">
        <v>12754</v>
      </c>
      <c r="C3731" s="272" t="s">
        <v>12755</v>
      </c>
      <c r="D3731" s="55" t="s">
        <v>12756</v>
      </c>
      <c r="E3731" s="49" t="s">
        <v>31</v>
      </c>
      <c r="F3731" s="49" t="s">
        <v>29</v>
      </c>
      <c r="G3731" s="49" t="s">
        <v>37</v>
      </c>
      <c r="H3731" s="49"/>
      <c r="I3731" s="49" t="s">
        <v>38</v>
      </c>
      <c r="J3731" s="49">
        <v>592.0</v>
      </c>
      <c r="K3731" s="49"/>
      <c r="L3731" s="49" t="s">
        <v>12757</v>
      </c>
      <c r="M3731" s="49" t="s">
        <v>230</v>
      </c>
      <c r="N3731" s="49">
        <v>2000.0</v>
      </c>
      <c r="O3731" s="49" t="s">
        <v>388</v>
      </c>
      <c r="P3731" s="49">
        <v>1.0</v>
      </c>
      <c r="Q3731" s="56"/>
      <c r="R3731" s="288"/>
      <c r="S3731" s="34"/>
      <c r="T3731" s="34"/>
      <c r="U3731" s="34"/>
      <c r="V3731" s="34"/>
      <c r="W3731" s="34"/>
      <c r="X3731" s="34"/>
      <c r="Y3731" s="59"/>
      <c r="Z3731" s="59"/>
      <c r="AA3731" s="59"/>
      <c r="AB3731" s="59"/>
      <c r="AC3731" s="59"/>
      <c r="AD3731" s="59"/>
      <c r="AE3731" s="59"/>
      <c r="AF3731" s="59"/>
      <c r="AG3731" s="59"/>
      <c r="AH3731" s="59"/>
      <c r="AI3731" s="59"/>
      <c r="AJ3731" s="59"/>
      <c r="AK3731" s="59"/>
      <c r="AL3731" s="59"/>
    </row>
    <row r="3732" ht="15.75" customHeight="1">
      <c r="A3732" s="115">
        <f t="shared" si="28"/>
        <v>4552</v>
      </c>
      <c r="B3732" s="49" t="s">
        <v>12758</v>
      </c>
      <c r="C3732" s="272" t="s">
        <v>12759</v>
      </c>
      <c r="D3732" s="55" t="s">
        <v>12760</v>
      </c>
      <c r="E3732" s="49" t="s">
        <v>31</v>
      </c>
      <c r="F3732" s="49" t="s">
        <v>29</v>
      </c>
      <c r="G3732" s="49" t="s">
        <v>30</v>
      </c>
      <c r="H3732" s="49"/>
      <c r="I3732" s="49" t="s">
        <v>30</v>
      </c>
      <c r="J3732" s="49">
        <v>106.0</v>
      </c>
      <c r="K3732" s="49"/>
      <c r="L3732" s="49" t="s">
        <v>12761</v>
      </c>
      <c r="M3732" s="49" t="s">
        <v>31</v>
      </c>
      <c r="N3732" s="49">
        <v>1998.0</v>
      </c>
      <c r="O3732" s="49" t="s">
        <v>388</v>
      </c>
      <c r="P3732" s="49">
        <v>1.0</v>
      </c>
      <c r="Q3732" s="56"/>
      <c r="R3732" s="288"/>
      <c r="S3732" s="34"/>
      <c r="T3732" s="34"/>
      <c r="U3732" s="34"/>
      <c r="V3732" s="34"/>
      <c r="W3732" s="34"/>
      <c r="X3732" s="34"/>
      <c r="Y3732" s="59"/>
      <c r="Z3732" s="59"/>
      <c r="AA3732" s="59"/>
      <c r="AB3732" s="59"/>
      <c r="AC3732" s="59"/>
      <c r="AD3732" s="59"/>
      <c r="AE3732" s="59"/>
      <c r="AF3732" s="59"/>
      <c r="AG3732" s="59"/>
      <c r="AH3732" s="59"/>
      <c r="AI3732" s="59"/>
      <c r="AJ3732" s="59"/>
      <c r="AK3732" s="59"/>
      <c r="AL3732" s="59"/>
    </row>
    <row r="3733" ht="15.75" customHeight="1">
      <c r="A3733" s="115">
        <f t="shared" si="28"/>
        <v>4553</v>
      </c>
      <c r="B3733" s="49"/>
      <c r="C3733" s="272" t="s">
        <v>12762</v>
      </c>
      <c r="D3733" s="55" t="s">
        <v>12763</v>
      </c>
      <c r="E3733" s="49" t="s">
        <v>144</v>
      </c>
      <c r="F3733" s="49" t="s">
        <v>29</v>
      </c>
      <c r="G3733" s="49" t="s">
        <v>30</v>
      </c>
      <c r="H3733" s="49" t="s">
        <v>31</v>
      </c>
      <c r="I3733" s="49" t="s">
        <v>30</v>
      </c>
      <c r="J3733" s="49"/>
      <c r="K3733" s="49"/>
      <c r="L3733" s="49" t="s">
        <v>4088</v>
      </c>
      <c r="M3733" s="49" t="s">
        <v>151</v>
      </c>
      <c r="N3733" s="49">
        <v>2009.0</v>
      </c>
      <c r="O3733" s="49" t="s">
        <v>388</v>
      </c>
      <c r="P3733" s="49">
        <v>1.0</v>
      </c>
      <c r="Q3733" s="56"/>
      <c r="R3733" s="288"/>
      <c r="S3733" s="34"/>
      <c r="T3733" s="34"/>
      <c r="U3733" s="34"/>
      <c r="V3733" s="34"/>
      <c r="W3733" s="34"/>
      <c r="X3733" s="34"/>
      <c r="Y3733" s="59"/>
      <c r="Z3733" s="59"/>
      <c r="AA3733" s="59"/>
      <c r="AB3733" s="59"/>
      <c r="AC3733" s="59"/>
      <c r="AD3733" s="59"/>
      <c r="AE3733" s="59"/>
      <c r="AF3733" s="59"/>
      <c r="AG3733" s="59"/>
      <c r="AH3733" s="59"/>
      <c r="AI3733" s="59"/>
      <c r="AJ3733" s="59"/>
      <c r="AK3733" s="59"/>
      <c r="AL3733" s="59"/>
    </row>
    <row r="3734" ht="15.75" customHeight="1">
      <c r="A3734" s="115">
        <f t="shared" si="28"/>
        <v>4554</v>
      </c>
      <c r="B3734" s="49" t="s">
        <v>4081</v>
      </c>
      <c r="C3734" s="272" t="s">
        <v>12764</v>
      </c>
      <c r="D3734" s="55" t="s">
        <v>12765</v>
      </c>
      <c r="E3734" s="49" t="s">
        <v>144</v>
      </c>
      <c r="F3734" s="49" t="s">
        <v>29</v>
      </c>
      <c r="G3734" s="49" t="s">
        <v>30</v>
      </c>
      <c r="H3734" s="49"/>
      <c r="I3734" s="49" t="s">
        <v>30</v>
      </c>
      <c r="J3734" s="49">
        <f>131</f>
        <v>131</v>
      </c>
      <c r="K3734" s="49"/>
      <c r="L3734" s="49" t="s">
        <v>12766</v>
      </c>
      <c r="M3734" s="49" t="s">
        <v>161</v>
      </c>
      <c r="N3734" s="49">
        <v>2012.0</v>
      </c>
      <c r="O3734" s="49" t="s">
        <v>388</v>
      </c>
      <c r="P3734" s="49">
        <v>1.0</v>
      </c>
      <c r="Q3734" s="56"/>
      <c r="R3734" s="288"/>
      <c r="S3734" s="34"/>
      <c r="T3734" s="34"/>
      <c r="U3734" s="34"/>
      <c r="V3734" s="34"/>
      <c r="W3734" s="34"/>
      <c r="X3734" s="34"/>
      <c r="Y3734" s="59"/>
      <c r="Z3734" s="59"/>
      <c r="AA3734" s="59"/>
      <c r="AB3734" s="59"/>
      <c r="AC3734" s="59"/>
      <c r="AD3734" s="59"/>
      <c r="AE3734" s="59"/>
      <c r="AF3734" s="59"/>
      <c r="AG3734" s="59"/>
      <c r="AH3734" s="59"/>
      <c r="AI3734" s="59"/>
      <c r="AJ3734" s="59"/>
      <c r="AK3734" s="59"/>
      <c r="AL3734" s="59"/>
    </row>
    <row r="3735" ht="15.75" customHeight="1">
      <c r="A3735" s="115">
        <f t="shared" si="28"/>
        <v>4555</v>
      </c>
      <c r="B3735" s="49" t="s">
        <v>12767</v>
      </c>
      <c r="C3735" s="272" t="s">
        <v>2226</v>
      </c>
      <c r="D3735" s="55" t="s">
        <v>12768</v>
      </c>
      <c r="E3735" s="49" t="s">
        <v>31</v>
      </c>
      <c r="F3735" s="49" t="s">
        <v>29</v>
      </c>
      <c r="G3735" s="49" t="s">
        <v>30</v>
      </c>
      <c r="H3735" s="49"/>
      <c r="I3735" s="49" t="s">
        <v>30</v>
      </c>
      <c r="J3735" s="49">
        <v>294.0</v>
      </c>
      <c r="K3735" s="49"/>
      <c r="L3735" s="49" t="s">
        <v>2228</v>
      </c>
      <c r="M3735" s="49" t="s">
        <v>2229</v>
      </c>
      <c r="N3735" s="49">
        <v>2000.0</v>
      </c>
      <c r="O3735" s="49" t="s">
        <v>388</v>
      </c>
      <c r="P3735" s="49">
        <v>1.0</v>
      </c>
      <c r="Q3735" s="56"/>
      <c r="R3735" s="288"/>
      <c r="S3735" s="34"/>
      <c r="T3735" s="34"/>
      <c r="U3735" s="34"/>
      <c r="V3735" s="34"/>
      <c r="W3735" s="34"/>
      <c r="X3735" s="34"/>
      <c r="Y3735" s="284"/>
      <c r="Z3735" s="284"/>
      <c r="AA3735" s="284"/>
      <c r="AB3735" s="284"/>
      <c r="AC3735" s="284"/>
      <c r="AD3735" s="284"/>
      <c r="AE3735" s="284"/>
      <c r="AF3735" s="284"/>
      <c r="AG3735" s="284"/>
      <c r="AH3735" s="284"/>
      <c r="AI3735" s="284"/>
      <c r="AJ3735" s="284"/>
      <c r="AK3735" s="284"/>
      <c r="AL3735" s="284"/>
    </row>
    <row r="3736" ht="15.75" customHeight="1">
      <c r="A3736" s="115">
        <f t="shared" si="28"/>
        <v>4556</v>
      </c>
      <c r="B3736" s="49" t="s">
        <v>12769</v>
      </c>
      <c r="C3736" s="272" t="s">
        <v>12770</v>
      </c>
      <c r="D3736" s="55" t="s">
        <v>12771</v>
      </c>
      <c r="E3736" s="49"/>
      <c r="F3736" s="49" t="s">
        <v>29</v>
      </c>
      <c r="G3736" s="49" t="s">
        <v>30</v>
      </c>
      <c r="H3736" s="49"/>
      <c r="I3736" s="49" t="s">
        <v>30</v>
      </c>
      <c r="J3736" s="49">
        <v>294.0</v>
      </c>
      <c r="K3736" s="49"/>
      <c r="L3736" s="49" t="s">
        <v>12772</v>
      </c>
      <c r="M3736" s="49" t="s">
        <v>12773</v>
      </c>
      <c r="N3736" s="49">
        <v>2007.0</v>
      </c>
      <c r="O3736" s="49" t="s">
        <v>388</v>
      </c>
      <c r="P3736" s="49">
        <v>1.0</v>
      </c>
      <c r="Q3736" s="56"/>
      <c r="R3736" s="288"/>
      <c r="S3736" s="34"/>
      <c r="T3736" s="34"/>
      <c r="U3736" s="34"/>
      <c r="V3736" s="34"/>
      <c r="W3736" s="34"/>
      <c r="X3736" s="34"/>
      <c r="Y3736" s="59"/>
      <c r="Z3736" s="59"/>
      <c r="AA3736" s="59"/>
      <c r="AB3736" s="59"/>
      <c r="AC3736" s="59"/>
      <c r="AD3736" s="59"/>
      <c r="AE3736" s="59"/>
      <c r="AF3736" s="59"/>
      <c r="AG3736" s="59"/>
      <c r="AH3736" s="59"/>
      <c r="AI3736" s="59"/>
      <c r="AJ3736" s="59"/>
      <c r="AK3736" s="59"/>
      <c r="AL3736" s="59"/>
    </row>
    <row r="3737" ht="15.75" customHeight="1">
      <c r="A3737" s="115">
        <f t="shared" si="28"/>
        <v>4557</v>
      </c>
      <c r="B3737" s="49" t="s">
        <v>4085</v>
      </c>
      <c r="C3737" s="272" t="s">
        <v>12774</v>
      </c>
      <c r="D3737" s="55" t="s">
        <v>12775</v>
      </c>
      <c r="E3737" s="49" t="s">
        <v>144</v>
      </c>
      <c r="F3737" s="49" t="s">
        <v>29</v>
      </c>
      <c r="G3737" s="49" t="s">
        <v>30</v>
      </c>
      <c r="H3737" s="49"/>
      <c r="I3737" s="49" t="s">
        <v>30</v>
      </c>
      <c r="J3737" s="49">
        <f>166+14</f>
        <v>180</v>
      </c>
      <c r="K3737" s="49"/>
      <c r="L3737" s="49" t="s">
        <v>4088</v>
      </c>
      <c r="M3737" s="49" t="s">
        <v>3109</v>
      </c>
      <c r="N3737" s="49">
        <v>2009.0</v>
      </c>
      <c r="O3737" s="49" t="s">
        <v>388</v>
      </c>
      <c r="P3737" s="49">
        <v>1.0</v>
      </c>
      <c r="Q3737" s="56"/>
      <c r="R3737" s="288"/>
      <c r="S3737" s="40"/>
      <c r="T3737" s="40"/>
      <c r="U3737" s="40"/>
      <c r="V3737" s="40"/>
      <c r="W3737" s="40"/>
      <c r="X3737" s="40"/>
      <c r="Y3737" s="59"/>
      <c r="Z3737" s="59"/>
      <c r="AA3737" s="59"/>
      <c r="AB3737" s="59"/>
      <c r="AC3737" s="59"/>
      <c r="AD3737" s="59"/>
      <c r="AE3737" s="59"/>
      <c r="AF3737" s="59"/>
      <c r="AG3737" s="59"/>
      <c r="AH3737" s="59"/>
      <c r="AI3737" s="59"/>
      <c r="AJ3737" s="59"/>
      <c r="AK3737" s="59"/>
      <c r="AL3737" s="59"/>
    </row>
    <row r="3738" ht="15.75" customHeight="1">
      <c r="A3738" s="115">
        <f t="shared" si="28"/>
        <v>4558</v>
      </c>
      <c r="B3738" s="49"/>
      <c r="C3738" s="272" t="s">
        <v>12776</v>
      </c>
      <c r="D3738" s="55" t="s">
        <v>4102</v>
      </c>
      <c r="E3738" s="49" t="s">
        <v>144</v>
      </c>
      <c r="F3738" s="49" t="s">
        <v>29</v>
      </c>
      <c r="G3738" s="49" t="s">
        <v>30</v>
      </c>
      <c r="H3738" s="49"/>
      <c r="I3738" s="49" t="s">
        <v>30</v>
      </c>
      <c r="J3738" s="49">
        <f>116</f>
        <v>116</v>
      </c>
      <c r="K3738" s="49"/>
      <c r="L3738" s="49" t="s">
        <v>12777</v>
      </c>
      <c r="M3738" s="49" t="s">
        <v>151</v>
      </c>
      <c r="N3738" s="49">
        <v>1983.0</v>
      </c>
      <c r="O3738" s="49" t="s">
        <v>388</v>
      </c>
      <c r="P3738" s="49">
        <v>1.0</v>
      </c>
      <c r="Q3738" s="56"/>
      <c r="R3738" s="288"/>
      <c r="S3738" s="34"/>
      <c r="T3738" s="34"/>
      <c r="U3738" s="34"/>
      <c r="V3738" s="34"/>
      <c r="W3738" s="34"/>
      <c r="X3738" s="34"/>
      <c r="Y3738" s="59"/>
      <c r="Z3738" s="59"/>
      <c r="AA3738" s="59"/>
      <c r="AB3738" s="59"/>
      <c r="AC3738" s="59"/>
      <c r="AD3738" s="59"/>
      <c r="AE3738" s="59"/>
      <c r="AF3738" s="59"/>
      <c r="AG3738" s="59"/>
      <c r="AH3738" s="59"/>
      <c r="AI3738" s="59"/>
      <c r="AJ3738" s="59"/>
      <c r="AK3738" s="59"/>
      <c r="AL3738" s="59"/>
    </row>
    <row r="3739" ht="15.75" customHeight="1">
      <c r="A3739" s="115">
        <f t="shared" si="28"/>
        <v>4559</v>
      </c>
      <c r="B3739" s="49" t="s">
        <v>12778</v>
      </c>
      <c r="C3739" s="272" t="s">
        <v>12779</v>
      </c>
      <c r="D3739" s="55" t="s">
        <v>12780</v>
      </c>
      <c r="E3739" s="49" t="s">
        <v>144</v>
      </c>
      <c r="F3739" s="49" t="s">
        <v>29</v>
      </c>
      <c r="G3739" s="49" t="s">
        <v>37</v>
      </c>
      <c r="H3739" s="49"/>
      <c r="I3739" s="49" t="s">
        <v>38</v>
      </c>
      <c r="J3739" s="49">
        <f>321</f>
        <v>321</v>
      </c>
      <c r="K3739" s="49"/>
      <c r="L3739" s="49" t="s">
        <v>12781</v>
      </c>
      <c r="M3739" s="49" t="s">
        <v>382</v>
      </c>
      <c r="N3739" s="49">
        <v>1967.0</v>
      </c>
      <c r="O3739" s="49" t="s">
        <v>388</v>
      </c>
      <c r="P3739" s="49">
        <v>1.0</v>
      </c>
      <c r="Q3739" s="56"/>
      <c r="R3739" s="288"/>
      <c r="S3739" s="34"/>
      <c r="T3739" s="34"/>
      <c r="U3739" s="34"/>
      <c r="V3739" s="34"/>
      <c r="W3739" s="34"/>
      <c r="X3739" s="34"/>
      <c r="Y3739" s="59"/>
      <c r="Z3739" s="59"/>
      <c r="AA3739" s="59"/>
      <c r="AB3739" s="59"/>
      <c r="AC3739" s="59"/>
      <c r="AD3739" s="59"/>
      <c r="AE3739" s="59"/>
      <c r="AF3739" s="59"/>
      <c r="AG3739" s="59"/>
      <c r="AH3739" s="59"/>
      <c r="AI3739" s="59"/>
      <c r="AJ3739" s="59"/>
      <c r="AK3739" s="59"/>
      <c r="AL3739" s="59"/>
    </row>
    <row r="3740" ht="15.75" customHeight="1">
      <c r="A3740" s="115">
        <f t="shared" si="28"/>
        <v>4560</v>
      </c>
      <c r="B3740" s="49"/>
      <c r="C3740" s="272" t="s">
        <v>12782</v>
      </c>
      <c r="D3740" s="55" t="s">
        <v>12783</v>
      </c>
      <c r="E3740" s="49" t="s">
        <v>144</v>
      </c>
      <c r="F3740" s="49" t="s">
        <v>29</v>
      </c>
      <c r="G3740" s="49" t="s">
        <v>30</v>
      </c>
      <c r="H3740" s="49"/>
      <c r="I3740" s="49" t="s">
        <v>30</v>
      </c>
      <c r="J3740" s="49">
        <f>289+6</f>
        <v>295</v>
      </c>
      <c r="K3740" s="49"/>
      <c r="L3740" s="49" t="s">
        <v>12772</v>
      </c>
      <c r="M3740" s="49" t="s">
        <v>12784</v>
      </c>
      <c r="N3740" s="49">
        <v>2007.0</v>
      </c>
      <c r="O3740" s="49" t="s">
        <v>388</v>
      </c>
      <c r="P3740" s="49">
        <v>1.0</v>
      </c>
      <c r="Q3740" s="56"/>
      <c r="R3740" s="288"/>
      <c r="S3740" s="34"/>
      <c r="T3740" s="34"/>
      <c r="U3740" s="34"/>
      <c r="V3740" s="34"/>
      <c r="W3740" s="34"/>
      <c r="X3740" s="34"/>
      <c r="Y3740" s="59"/>
      <c r="Z3740" s="59"/>
      <c r="AA3740" s="59"/>
      <c r="AB3740" s="59"/>
      <c r="AC3740" s="59"/>
      <c r="AD3740" s="59"/>
      <c r="AE3740" s="59"/>
      <c r="AF3740" s="59"/>
      <c r="AG3740" s="59"/>
      <c r="AH3740" s="59"/>
      <c r="AI3740" s="59"/>
      <c r="AJ3740" s="59"/>
      <c r="AK3740" s="59"/>
      <c r="AL3740" s="59"/>
    </row>
    <row r="3741" ht="15.75" customHeight="1">
      <c r="A3741" s="115">
        <f t="shared" si="28"/>
        <v>4561</v>
      </c>
      <c r="B3741" s="49" t="s">
        <v>12785</v>
      </c>
      <c r="C3741" s="272" t="s">
        <v>12786</v>
      </c>
      <c r="D3741" s="55" t="s">
        <v>12787</v>
      </c>
      <c r="E3741" s="49" t="s">
        <v>31</v>
      </c>
      <c r="F3741" s="49" t="s">
        <v>29</v>
      </c>
      <c r="G3741" s="49" t="s">
        <v>30</v>
      </c>
      <c r="H3741" s="49"/>
      <c r="I3741" s="49" t="s">
        <v>30</v>
      </c>
      <c r="J3741" s="49">
        <v>44.0</v>
      </c>
      <c r="K3741" s="49"/>
      <c r="L3741" s="49" t="s">
        <v>12788</v>
      </c>
      <c r="M3741" s="49" t="s">
        <v>161</v>
      </c>
      <c r="N3741" s="49">
        <v>2009.0</v>
      </c>
      <c r="O3741" s="49" t="s">
        <v>388</v>
      </c>
      <c r="P3741" s="49">
        <v>1.0</v>
      </c>
      <c r="Q3741" s="56"/>
      <c r="R3741" s="301"/>
      <c r="S3741" s="185"/>
      <c r="T3741" s="185"/>
      <c r="U3741" s="185"/>
      <c r="V3741" s="185"/>
      <c r="W3741" s="185"/>
      <c r="X3741" s="185"/>
      <c r="Y3741" s="59"/>
      <c r="Z3741" s="59"/>
      <c r="AA3741" s="59"/>
      <c r="AB3741" s="59"/>
      <c r="AC3741" s="59"/>
      <c r="AD3741" s="59"/>
      <c r="AE3741" s="59"/>
      <c r="AF3741" s="59"/>
      <c r="AG3741" s="59"/>
      <c r="AH3741" s="59"/>
      <c r="AI3741" s="59"/>
      <c r="AJ3741" s="59"/>
      <c r="AK3741" s="59"/>
      <c r="AL3741" s="59"/>
    </row>
    <row r="3742" ht="15.75" customHeight="1">
      <c r="A3742" s="115">
        <f t="shared" si="28"/>
        <v>4562</v>
      </c>
      <c r="B3742" s="49" t="s">
        <v>2234</v>
      </c>
      <c r="C3742" s="272" t="s">
        <v>12789</v>
      </c>
      <c r="D3742" s="55" t="s">
        <v>12790</v>
      </c>
      <c r="E3742" s="49"/>
      <c r="F3742" s="49" t="s">
        <v>29</v>
      </c>
      <c r="G3742" s="49" t="s">
        <v>37</v>
      </c>
      <c r="H3742" s="49"/>
      <c r="I3742" s="49" t="s">
        <v>38</v>
      </c>
      <c r="J3742" s="49">
        <v>398.0</v>
      </c>
      <c r="K3742" s="49"/>
      <c r="L3742" s="49" t="s">
        <v>12791</v>
      </c>
      <c r="M3742" s="49" t="s">
        <v>2903</v>
      </c>
      <c r="N3742" s="49">
        <v>1998.0</v>
      </c>
      <c r="O3742" s="49" t="s">
        <v>388</v>
      </c>
      <c r="P3742" s="49">
        <v>1.0</v>
      </c>
      <c r="Q3742" s="56"/>
      <c r="R3742" s="288"/>
      <c r="S3742" s="116"/>
      <c r="T3742" s="116"/>
      <c r="U3742" s="116"/>
      <c r="V3742" s="116"/>
      <c r="W3742" s="116"/>
      <c r="X3742" s="116"/>
      <c r="Y3742" s="59"/>
      <c r="Z3742" s="59"/>
      <c r="AA3742" s="59"/>
      <c r="AB3742" s="59"/>
      <c r="AC3742" s="59"/>
      <c r="AD3742" s="59"/>
      <c r="AE3742" s="59"/>
      <c r="AF3742" s="59"/>
      <c r="AG3742" s="59"/>
      <c r="AH3742" s="59"/>
      <c r="AI3742" s="59"/>
      <c r="AJ3742" s="59"/>
      <c r="AK3742" s="59"/>
      <c r="AL3742" s="59"/>
    </row>
    <row r="3743" ht="15.75" customHeight="1">
      <c r="A3743" s="115">
        <f t="shared" si="28"/>
        <v>4563</v>
      </c>
      <c r="B3743" s="49" t="s">
        <v>4162</v>
      </c>
      <c r="C3743" s="272" t="s">
        <v>12792</v>
      </c>
      <c r="D3743" s="55" t="s">
        <v>12793</v>
      </c>
      <c r="E3743" s="49" t="s">
        <v>144</v>
      </c>
      <c r="F3743" s="49" t="s">
        <v>29</v>
      </c>
      <c r="G3743" s="49" t="s">
        <v>30</v>
      </c>
      <c r="H3743" s="49"/>
      <c r="I3743" s="49" t="s">
        <v>30</v>
      </c>
      <c r="J3743" s="49">
        <f>216+16</f>
        <v>232</v>
      </c>
      <c r="K3743" s="49"/>
      <c r="L3743" s="49" t="s">
        <v>4165</v>
      </c>
      <c r="M3743" s="49" t="s">
        <v>3240</v>
      </c>
      <c r="N3743" s="49">
        <v>2009.0</v>
      </c>
      <c r="O3743" s="49" t="s">
        <v>388</v>
      </c>
      <c r="P3743" s="49">
        <v>1.0</v>
      </c>
      <c r="Q3743" s="56"/>
      <c r="R3743" s="288"/>
      <c r="S3743" s="116"/>
      <c r="T3743" s="116"/>
      <c r="U3743" s="116"/>
      <c r="V3743" s="116"/>
      <c r="W3743" s="116"/>
      <c r="X3743" s="116"/>
      <c r="Y3743" s="284"/>
      <c r="Z3743" s="284"/>
      <c r="AA3743" s="284"/>
      <c r="AB3743" s="284"/>
      <c r="AC3743" s="284"/>
      <c r="AD3743" s="284"/>
      <c r="AE3743" s="284"/>
      <c r="AF3743" s="284"/>
      <c r="AG3743" s="284"/>
      <c r="AH3743" s="284"/>
      <c r="AI3743" s="284"/>
      <c r="AJ3743" s="284"/>
      <c r="AK3743" s="284"/>
      <c r="AL3743" s="284"/>
    </row>
    <row r="3744" ht="15.75" customHeight="1">
      <c r="A3744" s="115">
        <f t="shared" si="28"/>
        <v>4564</v>
      </c>
      <c r="B3744" s="49" t="s">
        <v>4167</v>
      </c>
      <c r="C3744" s="272" t="s">
        <v>12794</v>
      </c>
      <c r="D3744" s="55" t="s">
        <v>12795</v>
      </c>
      <c r="E3744" s="49" t="s">
        <v>144</v>
      </c>
      <c r="F3744" s="49" t="s">
        <v>29</v>
      </c>
      <c r="G3744" s="49" t="s">
        <v>30</v>
      </c>
      <c r="H3744" s="49"/>
      <c r="I3744" s="49" t="s">
        <v>30</v>
      </c>
      <c r="J3744" s="49">
        <f>595</f>
        <v>595</v>
      </c>
      <c r="K3744" s="49"/>
      <c r="L3744" s="49"/>
      <c r="M3744" s="49"/>
      <c r="N3744" s="49"/>
      <c r="O3744" s="49" t="s">
        <v>388</v>
      </c>
      <c r="P3744" s="49">
        <v>1.0</v>
      </c>
      <c r="Q3744" s="56"/>
      <c r="R3744" s="288"/>
      <c r="S3744" s="116"/>
      <c r="T3744" s="116"/>
      <c r="U3744" s="116"/>
      <c r="V3744" s="116"/>
      <c r="W3744" s="116"/>
      <c r="X3744" s="116"/>
      <c r="Y3744" s="284"/>
      <c r="Z3744" s="284"/>
      <c r="AA3744" s="284"/>
      <c r="AB3744" s="284"/>
      <c r="AC3744" s="284"/>
      <c r="AD3744" s="284"/>
      <c r="AE3744" s="284"/>
      <c r="AF3744" s="284"/>
      <c r="AG3744" s="284"/>
      <c r="AH3744" s="284"/>
      <c r="AI3744" s="284"/>
      <c r="AJ3744" s="284"/>
      <c r="AK3744" s="284"/>
      <c r="AL3744" s="284"/>
    </row>
    <row r="3745" ht="15.75" customHeight="1">
      <c r="A3745" s="115">
        <f t="shared" si="28"/>
        <v>4565</v>
      </c>
      <c r="B3745" s="49" t="s">
        <v>12796</v>
      </c>
      <c r="C3745" s="272" t="s">
        <v>12797</v>
      </c>
      <c r="D3745" s="55" t="s">
        <v>12798</v>
      </c>
      <c r="E3745" s="49" t="s">
        <v>31</v>
      </c>
      <c r="F3745" s="49" t="s">
        <v>29</v>
      </c>
      <c r="G3745" s="49" t="s">
        <v>30</v>
      </c>
      <c r="H3745" s="49"/>
      <c r="I3745" s="49" t="s">
        <v>30</v>
      </c>
      <c r="J3745" s="49">
        <v>177.0</v>
      </c>
      <c r="K3745" s="49"/>
      <c r="L3745" s="49" t="s">
        <v>12799</v>
      </c>
      <c r="M3745" s="49" t="s">
        <v>151</v>
      </c>
      <c r="N3745" s="49">
        <v>2010.0</v>
      </c>
      <c r="O3745" s="49" t="s">
        <v>388</v>
      </c>
      <c r="P3745" s="49">
        <v>1.0</v>
      </c>
      <c r="Q3745" s="56"/>
      <c r="R3745" s="288"/>
      <c r="S3745" s="34"/>
      <c r="T3745" s="34"/>
      <c r="U3745" s="34"/>
      <c r="V3745" s="34"/>
      <c r="W3745" s="34"/>
      <c r="X3745" s="34"/>
      <c r="Y3745" s="284"/>
      <c r="Z3745" s="284"/>
      <c r="AA3745" s="284"/>
      <c r="AB3745" s="284"/>
      <c r="AC3745" s="284"/>
      <c r="AD3745" s="284"/>
      <c r="AE3745" s="284"/>
      <c r="AF3745" s="284"/>
      <c r="AG3745" s="284"/>
      <c r="AH3745" s="284"/>
      <c r="AI3745" s="284"/>
      <c r="AJ3745" s="284"/>
      <c r="AK3745" s="284"/>
      <c r="AL3745" s="284"/>
    </row>
    <row r="3746" ht="15.75" customHeight="1">
      <c r="A3746" s="115">
        <f t="shared" si="28"/>
        <v>4566</v>
      </c>
      <c r="B3746" s="49"/>
      <c r="C3746" s="272" t="s">
        <v>4239</v>
      </c>
      <c r="D3746" s="55" t="s">
        <v>12800</v>
      </c>
      <c r="E3746" s="49" t="s">
        <v>144</v>
      </c>
      <c r="F3746" s="49" t="s">
        <v>29</v>
      </c>
      <c r="G3746" s="49" t="s">
        <v>30</v>
      </c>
      <c r="H3746" s="49" t="s">
        <v>31</v>
      </c>
      <c r="I3746" s="49" t="s">
        <v>30</v>
      </c>
      <c r="J3746" s="49">
        <v>51.0</v>
      </c>
      <c r="K3746" s="49"/>
      <c r="L3746" s="49" t="s">
        <v>3128</v>
      </c>
      <c r="M3746" s="49" t="s">
        <v>151</v>
      </c>
      <c r="N3746" s="49">
        <v>1976.0</v>
      </c>
      <c r="O3746" s="49" t="s">
        <v>388</v>
      </c>
      <c r="P3746" s="49">
        <v>1.0</v>
      </c>
      <c r="Q3746" s="56"/>
      <c r="R3746" s="288"/>
      <c r="S3746" s="34"/>
      <c r="T3746" s="34"/>
      <c r="U3746" s="34"/>
      <c r="V3746" s="34"/>
      <c r="W3746" s="34"/>
      <c r="X3746" s="34"/>
      <c r="Y3746" s="59"/>
      <c r="Z3746" s="59"/>
      <c r="AA3746" s="59"/>
      <c r="AB3746" s="59"/>
      <c r="AC3746" s="59"/>
      <c r="AD3746" s="59"/>
      <c r="AE3746" s="59"/>
      <c r="AF3746" s="59"/>
      <c r="AG3746" s="59"/>
      <c r="AH3746" s="59"/>
      <c r="AI3746" s="59"/>
      <c r="AJ3746" s="59"/>
      <c r="AK3746" s="59"/>
      <c r="AL3746" s="59"/>
    </row>
    <row r="3747" ht="15.75" customHeight="1">
      <c r="A3747" s="115">
        <f t="shared" si="28"/>
        <v>4567</v>
      </c>
      <c r="B3747" s="316" t="s">
        <v>31</v>
      </c>
      <c r="C3747" s="317" t="s">
        <v>12801</v>
      </c>
      <c r="D3747" s="318" t="s">
        <v>12802</v>
      </c>
      <c r="E3747" s="316" t="s">
        <v>28</v>
      </c>
      <c r="F3747" s="316" t="s">
        <v>29</v>
      </c>
      <c r="G3747" s="316" t="s">
        <v>30</v>
      </c>
      <c r="H3747" s="316" t="s">
        <v>31</v>
      </c>
      <c r="I3747" s="316" t="s">
        <v>30</v>
      </c>
      <c r="J3747" s="316">
        <v>233.0</v>
      </c>
      <c r="K3747" s="316"/>
      <c r="L3747" s="316" t="s">
        <v>12803</v>
      </c>
      <c r="M3747" s="316" t="s">
        <v>151</v>
      </c>
      <c r="N3747" s="316">
        <v>1969.0</v>
      </c>
      <c r="O3747" s="316" t="s">
        <v>388</v>
      </c>
      <c r="P3747" s="316">
        <v>1.0</v>
      </c>
      <c r="Q3747" s="319">
        <v>1.0</v>
      </c>
      <c r="R3747" s="320"/>
      <c r="S3747" s="185"/>
      <c r="T3747" s="185"/>
      <c r="U3747" s="185"/>
      <c r="V3747" s="185"/>
      <c r="W3747" s="185"/>
      <c r="X3747" s="185"/>
      <c r="Y3747" s="45"/>
      <c r="Z3747" s="45"/>
      <c r="AA3747" s="45"/>
      <c r="AB3747" s="45"/>
      <c r="AC3747" s="45"/>
      <c r="AD3747" s="45"/>
      <c r="AE3747" s="45"/>
      <c r="AF3747" s="45"/>
      <c r="AG3747" s="45"/>
      <c r="AH3747" s="45"/>
      <c r="AI3747" s="45"/>
      <c r="AJ3747" s="45"/>
      <c r="AK3747" s="45"/>
      <c r="AL3747" s="45"/>
    </row>
    <row r="3748" ht="15.75" customHeight="1">
      <c r="A3748" s="115">
        <f t="shared" si="28"/>
        <v>4568</v>
      </c>
      <c r="B3748" s="274" t="s">
        <v>31</v>
      </c>
      <c r="C3748" s="272" t="s">
        <v>12804</v>
      </c>
      <c r="D3748" s="55" t="s">
        <v>2272</v>
      </c>
      <c r="E3748" s="49" t="s">
        <v>28</v>
      </c>
      <c r="F3748" s="49" t="s">
        <v>29</v>
      </c>
      <c r="G3748" s="49" t="s">
        <v>37</v>
      </c>
      <c r="H3748" s="49"/>
      <c r="I3748" s="49" t="s">
        <v>38</v>
      </c>
      <c r="J3748" s="49">
        <v>1199.0</v>
      </c>
      <c r="K3748" s="49"/>
      <c r="L3748" s="49" t="s">
        <v>12805</v>
      </c>
      <c r="M3748" s="49" t="s">
        <v>4784</v>
      </c>
      <c r="N3748" s="49">
        <v>1958.0</v>
      </c>
      <c r="O3748" s="49" t="s">
        <v>388</v>
      </c>
      <c r="P3748" s="49">
        <v>1.0</v>
      </c>
      <c r="Q3748" s="56"/>
      <c r="R3748" s="301"/>
      <c r="S3748" s="40"/>
      <c r="T3748" s="40"/>
      <c r="U3748" s="40"/>
      <c r="V3748" s="40"/>
      <c r="W3748" s="40"/>
      <c r="X3748" s="40"/>
      <c r="Y3748" s="59"/>
      <c r="Z3748" s="59"/>
      <c r="AA3748" s="59"/>
      <c r="AB3748" s="59"/>
      <c r="AC3748" s="59"/>
      <c r="AD3748" s="59"/>
      <c r="AE3748" s="59"/>
      <c r="AF3748" s="59"/>
      <c r="AG3748" s="59"/>
      <c r="AH3748" s="59"/>
      <c r="AI3748" s="59"/>
      <c r="AJ3748" s="59"/>
      <c r="AK3748" s="59"/>
      <c r="AL3748" s="59"/>
    </row>
    <row r="3749" ht="15.75" customHeight="1">
      <c r="A3749" s="115">
        <f t="shared" si="28"/>
        <v>4569</v>
      </c>
      <c r="B3749" s="49" t="s">
        <v>31</v>
      </c>
      <c r="C3749" s="272" t="s">
        <v>12806</v>
      </c>
      <c r="D3749" s="55" t="s">
        <v>12807</v>
      </c>
      <c r="E3749" s="49" t="s">
        <v>28</v>
      </c>
      <c r="F3749" s="49" t="s">
        <v>29</v>
      </c>
      <c r="G3749" s="49" t="s">
        <v>30</v>
      </c>
      <c r="H3749" s="49" t="s">
        <v>31</v>
      </c>
      <c r="I3749" s="49" t="s">
        <v>30</v>
      </c>
      <c r="J3749" s="49">
        <v>175.0</v>
      </c>
      <c r="K3749" s="49"/>
      <c r="L3749" s="49" t="s">
        <v>12808</v>
      </c>
      <c r="M3749" s="49" t="s">
        <v>151</v>
      </c>
      <c r="N3749" s="49">
        <v>1965.0</v>
      </c>
      <c r="O3749" s="49" t="s">
        <v>388</v>
      </c>
      <c r="P3749" s="49">
        <v>1.0</v>
      </c>
      <c r="Q3749" s="56"/>
      <c r="R3749" s="288">
        <v>1.0</v>
      </c>
      <c r="S3749" s="34"/>
      <c r="T3749" s="34"/>
      <c r="U3749" s="34"/>
      <c r="V3749" s="34"/>
      <c r="W3749" s="34"/>
      <c r="X3749" s="34"/>
      <c r="Y3749" s="59"/>
      <c r="Z3749" s="59"/>
      <c r="AA3749" s="59"/>
      <c r="AB3749" s="59"/>
      <c r="AC3749" s="59"/>
      <c r="AD3749" s="59"/>
      <c r="AE3749" s="59"/>
      <c r="AF3749" s="59"/>
      <c r="AG3749" s="59"/>
      <c r="AH3749" s="59"/>
      <c r="AI3749" s="59"/>
      <c r="AJ3749" s="59"/>
      <c r="AK3749" s="59"/>
      <c r="AL3749" s="59"/>
    </row>
    <row r="3750" ht="15.75" customHeight="1">
      <c r="A3750" s="27">
        <f t="shared" si="28"/>
        <v>4570</v>
      </c>
      <c r="B3750" s="49" t="s">
        <v>12809</v>
      </c>
      <c r="C3750" s="272" t="s">
        <v>12810</v>
      </c>
      <c r="D3750" s="55" t="s">
        <v>12811</v>
      </c>
      <c r="E3750" s="49" t="s">
        <v>28</v>
      </c>
      <c r="F3750" s="49" t="s">
        <v>29</v>
      </c>
      <c r="G3750" s="49" t="s">
        <v>37</v>
      </c>
      <c r="H3750" s="49"/>
      <c r="I3750" s="49" t="s">
        <v>38</v>
      </c>
      <c r="J3750" s="49">
        <v>1.029</v>
      </c>
      <c r="K3750" s="49"/>
      <c r="L3750" s="49" t="s">
        <v>12812</v>
      </c>
      <c r="M3750" s="49" t="s">
        <v>356</v>
      </c>
      <c r="N3750" s="49">
        <v>1976.0</v>
      </c>
      <c r="O3750" s="49" t="s">
        <v>388</v>
      </c>
      <c r="P3750" s="49">
        <v>1.0</v>
      </c>
      <c r="Q3750" s="56"/>
      <c r="R3750" s="288"/>
      <c r="S3750" s="34"/>
      <c r="T3750" s="34"/>
      <c r="U3750" s="34"/>
      <c r="V3750" s="34"/>
      <c r="W3750" s="34"/>
      <c r="X3750" s="34"/>
      <c r="Y3750" s="59"/>
      <c r="Z3750" s="59"/>
      <c r="AA3750" s="59"/>
      <c r="AB3750" s="59"/>
      <c r="AC3750" s="59"/>
      <c r="AD3750" s="59"/>
      <c r="AE3750" s="59"/>
      <c r="AF3750" s="59"/>
      <c r="AG3750" s="59"/>
      <c r="AH3750" s="59"/>
      <c r="AI3750" s="59"/>
      <c r="AJ3750" s="59"/>
      <c r="AK3750" s="59"/>
      <c r="AL3750" s="59"/>
    </row>
    <row r="3751" ht="15.75" customHeight="1">
      <c r="A3751" s="27">
        <f t="shared" si="28"/>
        <v>4571</v>
      </c>
      <c r="B3751" s="49" t="s">
        <v>12813</v>
      </c>
      <c r="C3751" s="272" t="s">
        <v>12810</v>
      </c>
      <c r="D3751" s="55" t="s">
        <v>12814</v>
      </c>
      <c r="E3751" s="49" t="s">
        <v>28</v>
      </c>
      <c r="F3751" s="49" t="s">
        <v>29</v>
      </c>
      <c r="G3751" s="49" t="s">
        <v>37</v>
      </c>
      <c r="H3751" s="49"/>
      <c r="I3751" s="49" t="s">
        <v>38</v>
      </c>
      <c r="J3751" s="49">
        <v>1401.0</v>
      </c>
      <c r="K3751" s="49"/>
      <c r="L3751" s="49" t="s">
        <v>2665</v>
      </c>
      <c r="M3751" s="49" t="s">
        <v>356</v>
      </c>
      <c r="N3751" s="49">
        <v>1977.0</v>
      </c>
      <c r="O3751" s="49" t="s">
        <v>388</v>
      </c>
      <c r="P3751" s="49">
        <v>1.0</v>
      </c>
      <c r="Q3751" s="56"/>
      <c r="R3751" s="288"/>
      <c r="S3751" s="34"/>
      <c r="T3751" s="34"/>
      <c r="U3751" s="34"/>
      <c r="V3751" s="34"/>
      <c r="W3751" s="34"/>
      <c r="X3751" s="34"/>
      <c r="Y3751" s="59"/>
      <c r="Z3751" s="59"/>
      <c r="AA3751" s="59"/>
      <c r="AB3751" s="59"/>
      <c r="AC3751" s="59"/>
      <c r="AD3751" s="59"/>
      <c r="AE3751" s="59"/>
      <c r="AF3751" s="59"/>
      <c r="AG3751" s="59"/>
      <c r="AH3751" s="59"/>
      <c r="AI3751" s="59"/>
      <c r="AJ3751" s="59"/>
      <c r="AK3751" s="59"/>
      <c r="AL3751" s="59"/>
    </row>
    <row r="3752" ht="15.75" customHeight="1">
      <c r="A3752" s="115">
        <f t="shared" si="28"/>
        <v>4572</v>
      </c>
      <c r="B3752" s="321" t="s">
        <v>31</v>
      </c>
      <c r="C3752" s="272" t="s">
        <v>12815</v>
      </c>
      <c r="D3752" s="55" t="s">
        <v>9730</v>
      </c>
      <c r="E3752" s="49" t="s">
        <v>28</v>
      </c>
      <c r="F3752" s="49" t="s">
        <v>29</v>
      </c>
      <c r="G3752" s="49" t="s">
        <v>30</v>
      </c>
      <c r="H3752" s="49"/>
      <c r="I3752" s="49" t="s">
        <v>30</v>
      </c>
      <c r="J3752" s="49">
        <v>221.0</v>
      </c>
      <c r="K3752" s="49"/>
      <c r="L3752" s="49" t="s">
        <v>12816</v>
      </c>
      <c r="M3752" s="49" t="s">
        <v>151</v>
      </c>
      <c r="N3752" s="49">
        <v>1966.0</v>
      </c>
      <c r="O3752" s="49" t="s">
        <v>388</v>
      </c>
      <c r="P3752" s="49">
        <v>1.0</v>
      </c>
      <c r="Q3752" s="56"/>
      <c r="R3752" s="288"/>
      <c r="S3752" s="34"/>
      <c r="T3752" s="34"/>
      <c r="U3752" s="34"/>
      <c r="V3752" s="34"/>
      <c r="W3752" s="34"/>
      <c r="X3752" s="34"/>
      <c r="Y3752" s="59"/>
      <c r="Z3752" s="59"/>
      <c r="AA3752" s="59"/>
      <c r="AB3752" s="59"/>
      <c r="AC3752" s="59"/>
      <c r="AD3752" s="59"/>
      <c r="AE3752" s="59"/>
      <c r="AF3752" s="59"/>
      <c r="AG3752" s="59"/>
      <c r="AH3752" s="59"/>
      <c r="AI3752" s="59"/>
      <c r="AJ3752" s="59"/>
      <c r="AK3752" s="59"/>
      <c r="AL3752" s="59"/>
    </row>
    <row r="3753" ht="15.75" customHeight="1">
      <c r="A3753" s="115">
        <f t="shared" si="28"/>
        <v>4573</v>
      </c>
      <c r="B3753" s="49" t="s">
        <v>31</v>
      </c>
      <c r="C3753" s="272" t="s">
        <v>12817</v>
      </c>
      <c r="D3753" s="55" t="s">
        <v>12818</v>
      </c>
      <c r="E3753" s="49" t="s">
        <v>28</v>
      </c>
      <c r="F3753" s="49" t="s">
        <v>29</v>
      </c>
      <c r="G3753" s="49" t="s">
        <v>30</v>
      </c>
      <c r="H3753" s="49" t="s">
        <v>31</v>
      </c>
      <c r="I3753" s="49" t="s">
        <v>30</v>
      </c>
      <c r="J3753" s="49">
        <v>303.0</v>
      </c>
      <c r="K3753" s="49"/>
      <c r="L3753" s="49" t="s">
        <v>12819</v>
      </c>
      <c r="M3753" s="49" t="s">
        <v>151</v>
      </c>
      <c r="N3753" s="49">
        <v>1982.0</v>
      </c>
      <c r="O3753" s="49" t="s">
        <v>388</v>
      </c>
      <c r="P3753" s="49">
        <v>1.0</v>
      </c>
      <c r="Q3753" s="56"/>
      <c r="R3753" s="288"/>
      <c r="S3753" s="34"/>
      <c r="T3753" s="34"/>
      <c r="U3753" s="34"/>
      <c r="V3753" s="34"/>
      <c r="W3753" s="34"/>
      <c r="X3753" s="34"/>
      <c r="Y3753" s="59"/>
      <c r="Z3753" s="59"/>
      <c r="AA3753" s="59"/>
      <c r="AB3753" s="59"/>
      <c r="AC3753" s="59"/>
      <c r="AD3753" s="59"/>
      <c r="AE3753" s="59"/>
      <c r="AF3753" s="59"/>
      <c r="AG3753" s="59"/>
      <c r="AH3753" s="59"/>
      <c r="AI3753" s="59"/>
      <c r="AJ3753" s="59"/>
      <c r="AK3753" s="59"/>
      <c r="AL3753" s="59"/>
    </row>
    <row r="3754" ht="15.75" customHeight="1">
      <c r="A3754" s="115">
        <f t="shared" si="28"/>
        <v>4574</v>
      </c>
      <c r="B3754" s="49"/>
      <c r="C3754" s="272" t="s">
        <v>12820</v>
      </c>
      <c r="D3754" s="55" t="s">
        <v>12821</v>
      </c>
      <c r="E3754" s="49" t="s">
        <v>28</v>
      </c>
      <c r="F3754" s="49" t="s">
        <v>29</v>
      </c>
      <c r="G3754" s="49" t="s">
        <v>38</v>
      </c>
      <c r="H3754" s="49"/>
      <c r="I3754" s="49" t="s">
        <v>38</v>
      </c>
      <c r="J3754" s="49">
        <v>299.0</v>
      </c>
      <c r="K3754" s="49"/>
      <c r="L3754" s="49" t="s">
        <v>12822</v>
      </c>
      <c r="M3754" s="49" t="s">
        <v>4692</v>
      </c>
      <c r="N3754" s="49">
        <v>1975.0</v>
      </c>
      <c r="O3754" s="49" t="s">
        <v>388</v>
      </c>
      <c r="P3754" s="49">
        <v>1.0</v>
      </c>
      <c r="Q3754" s="56"/>
      <c r="R3754" s="288"/>
      <c r="S3754" s="34"/>
      <c r="T3754" s="34"/>
      <c r="U3754" s="34"/>
      <c r="V3754" s="34"/>
      <c r="W3754" s="34"/>
      <c r="X3754" s="34"/>
      <c r="Y3754" s="59"/>
      <c r="Z3754" s="59"/>
      <c r="AA3754" s="59"/>
      <c r="AB3754" s="59"/>
      <c r="AC3754" s="59"/>
      <c r="AD3754" s="59"/>
      <c r="AE3754" s="59"/>
      <c r="AF3754" s="59"/>
      <c r="AG3754" s="59"/>
      <c r="AH3754" s="59"/>
      <c r="AI3754" s="59"/>
      <c r="AJ3754" s="59"/>
      <c r="AK3754" s="59"/>
      <c r="AL3754" s="59"/>
    </row>
    <row r="3755" ht="15.75" customHeight="1">
      <c r="A3755" s="115">
        <f t="shared" si="28"/>
        <v>4575</v>
      </c>
      <c r="B3755" s="49" t="s">
        <v>31</v>
      </c>
      <c r="C3755" s="272" t="s">
        <v>12823</v>
      </c>
      <c r="D3755" s="55" t="s">
        <v>12824</v>
      </c>
      <c r="E3755" s="49" t="s">
        <v>31</v>
      </c>
      <c r="F3755" s="49" t="s">
        <v>29</v>
      </c>
      <c r="G3755" s="49" t="s">
        <v>30</v>
      </c>
      <c r="H3755" s="49"/>
      <c r="I3755" s="49" t="s">
        <v>30</v>
      </c>
      <c r="J3755" s="49">
        <v>232.0</v>
      </c>
      <c r="K3755" s="49"/>
      <c r="L3755" s="49" t="s">
        <v>4655</v>
      </c>
      <c r="M3755" s="49" t="s">
        <v>151</v>
      </c>
      <c r="N3755" s="49">
        <v>1985.0</v>
      </c>
      <c r="O3755" s="49" t="s">
        <v>388</v>
      </c>
      <c r="P3755" s="49">
        <v>1.0</v>
      </c>
      <c r="Q3755" s="56"/>
      <c r="R3755" s="288"/>
      <c r="S3755" s="34"/>
      <c r="T3755" s="34"/>
      <c r="U3755" s="34"/>
      <c r="V3755" s="34"/>
      <c r="W3755" s="34"/>
      <c r="X3755" s="34"/>
      <c r="Y3755" s="59"/>
      <c r="Z3755" s="59"/>
      <c r="AA3755" s="59"/>
      <c r="AB3755" s="59"/>
      <c r="AC3755" s="59"/>
      <c r="AD3755" s="59"/>
      <c r="AE3755" s="59"/>
      <c r="AF3755" s="59"/>
      <c r="AG3755" s="59"/>
      <c r="AH3755" s="59"/>
      <c r="AI3755" s="59"/>
      <c r="AJ3755" s="59"/>
      <c r="AK3755" s="59"/>
      <c r="AL3755" s="59"/>
    </row>
    <row r="3756" ht="15.75" customHeight="1">
      <c r="A3756" s="115">
        <f t="shared" si="28"/>
        <v>4576</v>
      </c>
      <c r="B3756" s="49" t="s">
        <v>12825</v>
      </c>
      <c r="C3756" s="272" t="s">
        <v>12826</v>
      </c>
      <c r="D3756" s="55" t="s">
        <v>9151</v>
      </c>
      <c r="E3756" s="49" t="s">
        <v>31</v>
      </c>
      <c r="F3756" s="49" t="s">
        <v>29</v>
      </c>
      <c r="G3756" s="49" t="s">
        <v>30</v>
      </c>
      <c r="H3756" s="49"/>
      <c r="I3756" s="49" t="s">
        <v>30</v>
      </c>
      <c r="J3756" s="49">
        <v>227.0</v>
      </c>
      <c r="K3756" s="49"/>
      <c r="L3756" s="49" t="s">
        <v>6735</v>
      </c>
      <c r="M3756" s="49" t="s">
        <v>4166</v>
      </c>
      <c r="N3756" s="49">
        <v>2006.0</v>
      </c>
      <c r="O3756" s="49" t="s">
        <v>388</v>
      </c>
      <c r="P3756" s="49">
        <v>1.0</v>
      </c>
      <c r="Q3756" s="56"/>
      <c r="R3756" s="288"/>
      <c r="S3756" s="34"/>
      <c r="T3756" s="34"/>
      <c r="U3756" s="34"/>
      <c r="V3756" s="34"/>
      <c r="W3756" s="34"/>
      <c r="X3756" s="34"/>
      <c r="Y3756" s="59"/>
      <c r="Z3756" s="59"/>
      <c r="AA3756" s="59"/>
      <c r="AB3756" s="59"/>
      <c r="AC3756" s="59"/>
      <c r="AD3756" s="59"/>
      <c r="AE3756" s="59"/>
      <c r="AF3756" s="59"/>
      <c r="AG3756" s="59"/>
      <c r="AH3756" s="59"/>
      <c r="AI3756" s="59"/>
      <c r="AJ3756" s="59"/>
      <c r="AK3756" s="59"/>
      <c r="AL3756" s="59"/>
    </row>
    <row r="3757" ht="15.75" customHeight="1">
      <c r="A3757" s="115">
        <f t="shared" si="28"/>
        <v>4577</v>
      </c>
      <c r="B3757" s="310"/>
      <c r="C3757" s="311" t="s">
        <v>12827</v>
      </c>
      <c r="D3757" s="312" t="s">
        <v>12828</v>
      </c>
      <c r="E3757" s="313" t="s">
        <v>144</v>
      </c>
      <c r="F3757" s="313" t="s">
        <v>29</v>
      </c>
      <c r="G3757" s="313" t="s">
        <v>30</v>
      </c>
      <c r="H3757" s="313"/>
      <c r="I3757" s="313" t="s">
        <v>30</v>
      </c>
      <c r="J3757" s="313">
        <f>278+4</f>
        <v>282</v>
      </c>
      <c r="K3757" s="313"/>
      <c r="L3757" s="313"/>
      <c r="M3757" s="313" t="s">
        <v>4315</v>
      </c>
      <c r="N3757" s="313">
        <v>1997.0</v>
      </c>
      <c r="O3757" s="313" t="s">
        <v>388</v>
      </c>
      <c r="P3757" s="313">
        <v>2.0</v>
      </c>
      <c r="Q3757" s="56"/>
      <c r="R3757" s="288"/>
      <c r="S3757" s="34"/>
      <c r="T3757" s="34"/>
      <c r="U3757" s="34"/>
      <c r="V3757" s="34"/>
      <c r="W3757" s="34"/>
      <c r="X3757" s="34"/>
      <c r="Y3757" s="59"/>
      <c r="Z3757" s="59"/>
      <c r="AA3757" s="59"/>
      <c r="AB3757" s="59"/>
      <c r="AC3757" s="59"/>
      <c r="AD3757" s="59"/>
      <c r="AE3757" s="59"/>
      <c r="AF3757" s="59"/>
      <c r="AG3757" s="59"/>
      <c r="AH3757" s="59"/>
      <c r="AI3757" s="59"/>
      <c r="AJ3757" s="59"/>
      <c r="AK3757" s="59"/>
      <c r="AL3757" s="59"/>
    </row>
    <row r="3758" ht="15.75" customHeight="1">
      <c r="A3758" s="115">
        <f t="shared" si="28"/>
        <v>4578</v>
      </c>
      <c r="B3758" s="49" t="s">
        <v>4373</v>
      </c>
      <c r="C3758" s="272" t="s">
        <v>12829</v>
      </c>
      <c r="D3758" s="55" t="s">
        <v>12830</v>
      </c>
      <c r="E3758" s="49" t="s">
        <v>31</v>
      </c>
      <c r="F3758" s="49" t="s">
        <v>29</v>
      </c>
      <c r="G3758" s="49" t="s">
        <v>30</v>
      </c>
      <c r="H3758" s="49"/>
      <c r="I3758" s="49" t="s">
        <v>30</v>
      </c>
      <c r="J3758" s="49">
        <v>409.0</v>
      </c>
      <c r="K3758" s="49"/>
      <c r="L3758" s="49" t="s">
        <v>12831</v>
      </c>
      <c r="M3758" s="49" t="s">
        <v>151</v>
      </c>
      <c r="N3758" s="49">
        <v>2002.0</v>
      </c>
      <c r="O3758" s="49" t="s">
        <v>388</v>
      </c>
      <c r="P3758" s="49">
        <v>2.0</v>
      </c>
      <c r="Q3758" s="56"/>
      <c r="R3758" s="54"/>
      <c r="S3758" s="281"/>
      <c r="T3758" s="281"/>
      <c r="U3758" s="281"/>
      <c r="V3758" s="281"/>
      <c r="W3758" s="281"/>
      <c r="X3758" s="281"/>
      <c r="Y3758" s="322"/>
      <c r="Z3758" s="322" t="s">
        <v>38</v>
      </c>
      <c r="AA3758" s="322">
        <v>456.0</v>
      </c>
      <c r="AB3758" s="322"/>
      <c r="AC3758" s="322" t="s">
        <v>3919</v>
      </c>
      <c r="AD3758" s="322" t="s">
        <v>178</v>
      </c>
      <c r="AE3758" s="322">
        <v>1992.0</v>
      </c>
      <c r="AF3758" s="323">
        <v>11.0</v>
      </c>
      <c r="AG3758" s="322">
        <v>1.0</v>
      </c>
      <c r="AH3758" s="324">
        <v>1.0</v>
      </c>
      <c r="AI3758" s="45"/>
      <c r="AJ3758" s="45"/>
      <c r="AK3758" s="45"/>
      <c r="AL3758" s="45"/>
    </row>
    <row r="3759" ht="15.75" customHeight="1">
      <c r="A3759" s="164">
        <f t="shared" si="28"/>
        <v>4579</v>
      </c>
      <c r="B3759" s="63" t="s">
        <v>31</v>
      </c>
      <c r="C3759" s="275" t="s">
        <v>12832</v>
      </c>
      <c r="D3759" s="65" t="s">
        <v>12833</v>
      </c>
      <c r="E3759" s="63" t="s">
        <v>31</v>
      </c>
      <c r="F3759" s="63" t="s">
        <v>29</v>
      </c>
      <c r="G3759" s="63" t="s">
        <v>30</v>
      </c>
      <c r="H3759" s="63"/>
      <c r="I3759" s="63" t="s">
        <v>30</v>
      </c>
      <c r="J3759" s="63">
        <v>68.0</v>
      </c>
      <c r="K3759" s="63"/>
      <c r="L3759" s="63" t="s">
        <v>12834</v>
      </c>
      <c r="M3759" s="63" t="s">
        <v>151</v>
      </c>
      <c r="N3759" s="63">
        <v>1983.0</v>
      </c>
      <c r="O3759" s="63" t="s">
        <v>388</v>
      </c>
      <c r="P3759" s="63">
        <v>1.0</v>
      </c>
      <c r="Q3759" s="276"/>
      <c r="R3759" s="315"/>
      <c r="S3759" s="34"/>
      <c r="T3759" s="34"/>
      <c r="U3759" s="34"/>
      <c r="V3759" s="34"/>
      <c r="W3759" s="34"/>
      <c r="X3759" s="34"/>
      <c r="Y3759" s="284"/>
      <c r="Z3759" s="284"/>
      <c r="AA3759" s="284"/>
      <c r="AB3759" s="284"/>
      <c r="AC3759" s="284"/>
      <c r="AD3759" s="284"/>
      <c r="AE3759" s="284"/>
      <c r="AF3759" s="284"/>
      <c r="AG3759" s="284"/>
      <c r="AH3759" s="284"/>
      <c r="AI3759" s="284"/>
      <c r="AJ3759" s="284"/>
      <c r="AK3759" s="284"/>
      <c r="AL3759" s="284"/>
    </row>
    <row r="3760" ht="15.75" customHeight="1">
      <c r="A3760" s="115">
        <f t="shared" si="28"/>
        <v>4580</v>
      </c>
      <c r="B3760" s="49" t="s">
        <v>4476</v>
      </c>
      <c r="C3760" s="272" t="s">
        <v>12835</v>
      </c>
      <c r="D3760" s="55" t="s">
        <v>4478</v>
      </c>
      <c r="E3760" s="49" t="s">
        <v>31</v>
      </c>
      <c r="F3760" s="49" t="s">
        <v>29</v>
      </c>
      <c r="G3760" s="49" t="s">
        <v>30</v>
      </c>
      <c r="H3760" s="49"/>
      <c r="I3760" s="49" t="s">
        <v>30</v>
      </c>
      <c r="J3760" s="49">
        <v>260.0</v>
      </c>
      <c r="K3760" s="49"/>
      <c r="L3760" s="49" t="s">
        <v>3906</v>
      </c>
      <c r="M3760" s="49" t="s">
        <v>151</v>
      </c>
      <c r="N3760" s="49">
        <v>1993.0</v>
      </c>
      <c r="O3760" s="49" t="s">
        <v>388</v>
      </c>
      <c r="P3760" s="49">
        <v>1.0</v>
      </c>
      <c r="Q3760" s="56"/>
      <c r="R3760" s="288"/>
      <c r="S3760" s="34"/>
      <c r="T3760" s="34"/>
      <c r="U3760" s="34"/>
      <c r="V3760" s="34"/>
      <c r="W3760" s="34"/>
      <c r="X3760" s="34"/>
      <c r="Y3760" s="59"/>
      <c r="Z3760" s="59"/>
      <c r="AA3760" s="59"/>
      <c r="AB3760" s="59"/>
      <c r="AC3760" s="59"/>
      <c r="AD3760" s="59"/>
      <c r="AE3760" s="59"/>
      <c r="AF3760" s="59"/>
      <c r="AG3760" s="59"/>
      <c r="AH3760" s="59"/>
      <c r="AI3760" s="59"/>
      <c r="AJ3760" s="59"/>
      <c r="AK3760" s="59"/>
      <c r="AL3760" s="59"/>
    </row>
    <row r="3761" ht="15.75" customHeight="1">
      <c r="A3761" s="115">
        <f t="shared" si="28"/>
        <v>4581</v>
      </c>
      <c r="B3761" s="49" t="s">
        <v>4476</v>
      </c>
      <c r="C3761" s="272" t="s">
        <v>12836</v>
      </c>
      <c r="D3761" s="55" t="s">
        <v>12837</v>
      </c>
      <c r="E3761" s="49" t="s">
        <v>144</v>
      </c>
      <c r="F3761" s="49" t="s">
        <v>29</v>
      </c>
      <c r="G3761" s="49" t="s">
        <v>30</v>
      </c>
      <c r="H3761" s="49"/>
      <c r="I3761" s="49" t="s">
        <v>30</v>
      </c>
      <c r="J3761" s="49">
        <f>260</f>
        <v>260</v>
      </c>
      <c r="K3761" s="49"/>
      <c r="L3761" s="49" t="s">
        <v>3906</v>
      </c>
      <c r="M3761" s="49" t="s">
        <v>151</v>
      </c>
      <c r="N3761" s="49">
        <v>1997.0</v>
      </c>
      <c r="O3761" s="49" t="s">
        <v>388</v>
      </c>
      <c r="P3761" s="49">
        <v>1.0</v>
      </c>
      <c r="Q3761" s="56"/>
      <c r="R3761" s="301"/>
      <c r="S3761" s="40"/>
      <c r="T3761" s="40"/>
      <c r="U3761" s="40"/>
      <c r="V3761" s="40"/>
      <c r="W3761" s="40"/>
      <c r="X3761" s="40"/>
      <c r="Y3761" s="284"/>
      <c r="Z3761" s="284"/>
      <c r="AA3761" s="284"/>
      <c r="AB3761" s="284"/>
      <c r="AC3761" s="284"/>
      <c r="AD3761" s="284"/>
      <c r="AE3761" s="284"/>
      <c r="AF3761" s="284"/>
      <c r="AG3761" s="284"/>
      <c r="AH3761" s="284"/>
      <c r="AI3761" s="284"/>
      <c r="AJ3761" s="284"/>
      <c r="AK3761" s="284"/>
      <c r="AL3761" s="284"/>
    </row>
    <row r="3762" ht="15.75" customHeight="1">
      <c r="A3762" s="115">
        <f t="shared" si="28"/>
        <v>4582</v>
      </c>
      <c r="B3762" s="49" t="s">
        <v>31</v>
      </c>
      <c r="C3762" s="272" t="s">
        <v>12838</v>
      </c>
      <c r="D3762" s="55" t="s">
        <v>12839</v>
      </c>
      <c r="E3762" s="49" t="s">
        <v>144</v>
      </c>
      <c r="F3762" s="49" t="s">
        <v>29</v>
      </c>
      <c r="G3762" s="49" t="s">
        <v>30</v>
      </c>
      <c r="H3762" s="49"/>
      <c r="I3762" s="49" t="s">
        <v>30</v>
      </c>
      <c r="J3762" s="49">
        <f>88</f>
        <v>88</v>
      </c>
      <c r="K3762" s="49"/>
      <c r="L3762" s="49" t="s">
        <v>12840</v>
      </c>
      <c r="M3762" s="49" t="s">
        <v>2463</v>
      </c>
      <c r="N3762" s="49">
        <v>1970.0</v>
      </c>
      <c r="O3762" s="49" t="s">
        <v>388</v>
      </c>
      <c r="P3762" s="49">
        <v>1.0</v>
      </c>
      <c r="Q3762" s="56"/>
      <c r="R3762" s="288"/>
      <c r="S3762" s="116"/>
      <c r="T3762" s="116"/>
      <c r="U3762" s="116"/>
      <c r="V3762" s="116"/>
      <c r="W3762" s="116"/>
      <c r="X3762" s="116"/>
      <c r="Y3762" s="284"/>
      <c r="Z3762" s="284"/>
      <c r="AA3762" s="284"/>
      <c r="AB3762" s="284"/>
      <c r="AC3762" s="284"/>
      <c r="AD3762" s="284"/>
      <c r="AE3762" s="284"/>
      <c r="AF3762" s="284"/>
      <c r="AG3762" s="284"/>
      <c r="AH3762" s="284"/>
      <c r="AI3762" s="284"/>
      <c r="AJ3762" s="284"/>
      <c r="AK3762" s="284"/>
      <c r="AL3762" s="284"/>
    </row>
    <row r="3763" ht="15.75" customHeight="1">
      <c r="A3763" s="115">
        <f t="shared" si="28"/>
        <v>4583</v>
      </c>
      <c r="B3763" s="49" t="s">
        <v>31</v>
      </c>
      <c r="C3763" s="272" t="s">
        <v>4547</v>
      </c>
      <c r="D3763" s="55" t="s">
        <v>12841</v>
      </c>
      <c r="E3763" s="49" t="s">
        <v>31</v>
      </c>
      <c r="F3763" s="49" t="s">
        <v>29</v>
      </c>
      <c r="G3763" s="49" t="s">
        <v>30</v>
      </c>
      <c r="H3763" s="49"/>
      <c r="I3763" s="49" t="s">
        <v>30</v>
      </c>
      <c r="J3763" s="49">
        <v>30.0</v>
      </c>
      <c r="K3763" s="49"/>
      <c r="L3763" s="49" t="s">
        <v>4549</v>
      </c>
      <c r="M3763" s="49" t="s">
        <v>1203</v>
      </c>
      <c r="N3763" s="49">
        <v>1966.0</v>
      </c>
      <c r="O3763" s="49" t="s">
        <v>388</v>
      </c>
      <c r="P3763" s="49">
        <v>1.0</v>
      </c>
      <c r="Q3763" s="56"/>
      <c r="R3763" s="288"/>
      <c r="S3763" s="34"/>
      <c r="T3763" s="34"/>
      <c r="U3763" s="34"/>
      <c r="V3763" s="34"/>
      <c r="W3763" s="34"/>
      <c r="X3763" s="34"/>
      <c r="Y3763" s="284"/>
      <c r="Z3763" s="284"/>
      <c r="AA3763" s="284"/>
      <c r="AB3763" s="284"/>
      <c r="AC3763" s="284"/>
      <c r="AD3763" s="284"/>
      <c r="AE3763" s="284"/>
      <c r="AF3763" s="284"/>
      <c r="AG3763" s="284"/>
      <c r="AH3763" s="284"/>
      <c r="AI3763" s="284"/>
      <c r="AJ3763" s="284"/>
      <c r="AK3763" s="284"/>
      <c r="AL3763" s="284"/>
    </row>
    <row r="3764" ht="15.75" customHeight="1">
      <c r="A3764" s="115">
        <f t="shared" si="28"/>
        <v>4584</v>
      </c>
      <c r="B3764" s="310" t="s">
        <v>12842</v>
      </c>
      <c r="C3764" s="311" t="s">
        <v>12843</v>
      </c>
      <c r="D3764" s="312" t="s">
        <v>12844</v>
      </c>
      <c r="E3764" s="313" t="s">
        <v>2355</v>
      </c>
      <c r="F3764" s="313" t="s">
        <v>29</v>
      </c>
      <c r="G3764" s="313"/>
      <c r="H3764" s="313"/>
      <c r="I3764" s="313" t="s">
        <v>12845</v>
      </c>
      <c r="J3764" s="313">
        <f>1857</f>
        <v>1857</v>
      </c>
      <c r="K3764" s="313"/>
      <c r="L3764" s="313"/>
      <c r="M3764" s="313" t="s">
        <v>12846</v>
      </c>
      <c r="N3764" s="313">
        <v>2007.0</v>
      </c>
      <c r="O3764" s="313" t="s">
        <v>388</v>
      </c>
      <c r="P3764" s="313">
        <v>1.0</v>
      </c>
      <c r="Q3764" s="56"/>
      <c r="R3764" s="288"/>
      <c r="S3764" s="34"/>
      <c r="T3764" s="34"/>
      <c r="U3764" s="34"/>
      <c r="V3764" s="34"/>
      <c r="W3764" s="34"/>
      <c r="X3764" s="34"/>
      <c r="Y3764" s="284"/>
      <c r="Z3764" s="284"/>
      <c r="AA3764" s="284"/>
      <c r="AB3764" s="284"/>
      <c r="AC3764" s="284"/>
      <c r="AD3764" s="284"/>
      <c r="AE3764" s="284"/>
      <c r="AF3764" s="284"/>
      <c r="AG3764" s="284"/>
      <c r="AH3764" s="284"/>
      <c r="AI3764" s="284"/>
      <c r="AJ3764" s="284"/>
      <c r="AK3764" s="284"/>
      <c r="AL3764" s="284"/>
    </row>
    <row r="3765" ht="15.75" customHeight="1">
      <c r="A3765" s="115">
        <f>A3763+1</f>
        <v>4584</v>
      </c>
      <c r="B3765" s="49" t="s">
        <v>12847</v>
      </c>
      <c r="C3765" s="272" t="s">
        <v>12848</v>
      </c>
      <c r="D3765" s="55" t="s">
        <v>12849</v>
      </c>
      <c r="E3765" s="49" t="s">
        <v>28</v>
      </c>
      <c r="F3765" s="49" t="s">
        <v>29</v>
      </c>
      <c r="G3765" s="49" t="s">
        <v>4824</v>
      </c>
      <c r="H3765" s="49"/>
      <c r="I3765" s="49" t="s">
        <v>2184</v>
      </c>
      <c r="J3765" s="49">
        <v>1362.0</v>
      </c>
      <c r="K3765" s="49"/>
      <c r="L3765" s="49" t="s">
        <v>31</v>
      </c>
      <c r="M3765" s="49" t="s">
        <v>6409</v>
      </c>
      <c r="N3765" s="49" t="s">
        <v>31</v>
      </c>
      <c r="O3765" s="49" t="s">
        <v>388</v>
      </c>
      <c r="P3765" s="49"/>
      <c r="Q3765" s="56"/>
      <c r="R3765" s="288"/>
      <c r="S3765" s="34"/>
      <c r="T3765" s="34"/>
      <c r="U3765" s="34"/>
      <c r="V3765" s="34"/>
      <c r="W3765" s="34"/>
      <c r="X3765" s="34"/>
      <c r="Y3765" s="284"/>
      <c r="Z3765" s="284"/>
      <c r="AA3765" s="284"/>
      <c r="AB3765" s="284"/>
      <c r="AC3765" s="284"/>
      <c r="AD3765" s="284"/>
      <c r="AE3765" s="284"/>
      <c r="AF3765" s="284"/>
      <c r="AG3765" s="284"/>
      <c r="AH3765" s="284"/>
      <c r="AI3765" s="284"/>
      <c r="AJ3765" s="284"/>
      <c r="AK3765" s="284"/>
      <c r="AL3765" s="284"/>
    </row>
    <row r="3766" ht="15.75" customHeight="1">
      <c r="A3766" s="115">
        <f t="shared" ref="A3766:A4217" si="29">A3765+1</f>
        <v>4585</v>
      </c>
      <c r="B3766" s="49" t="s">
        <v>12850</v>
      </c>
      <c r="C3766" s="272" t="s">
        <v>12848</v>
      </c>
      <c r="D3766" s="55" t="s">
        <v>2183</v>
      </c>
      <c r="E3766" s="49" t="s">
        <v>28</v>
      </c>
      <c r="F3766" s="49" t="s">
        <v>29</v>
      </c>
      <c r="G3766" s="49" t="s">
        <v>98</v>
      </c>
      <c r="H3766" s="49"/>
      <c r="I3766" s="49" t="s">
        <v>2184</v>
      </c>
      <c r="J3766" s="49">
        <v>1574.0</v>
      </c>
      <c r="K3766" s="49"/>
      <c r="L3766" s="49" t="s">
        <v>31</v>
      </c>
      <c r="M3766" s="49" t="s">
        <v>1231</v>
      </c>
      <c r="N3766" s="49">
        <v>1967.0</v>
      </c>
      <c r="O3766" s="49" t="s">
        <v>388</v>
      </c>
      <c r="P3766" s="49">
        <v>4.0</v>
      </c>
      <c r="Q3766" s="56"/>
      <c r="R3766" s="288"/>
      <c r="S3766" s="34"/>
      <c r="T3766" s="34"/>
      <c r="U3766" s="34"/>
      <c r="V3766" s="34"/>
      <c r="W3766" s="34"/>
      <c r="X3766" s="34"/>
      <c r="Y3766" s="59"/>
      <c r="Z3766" s="59"/>
      <c r="AA3766" s="59"/>
      <c r="AB3766" s="59"/>
      <c r="AC3766" s="59"/>
      <c r="AD3766" s="59"/>
      <c r="AE3766" s="59"/>
      <c r="AF3766" s="59"/>
      <c r="AG3766" s="59"/>
      <c r="AH3766" s="59"/>
      <c r="AI3766" s="59"/>
      <c r="AJ3766" s="59"/>
      <c r="AK3766" s="59"/>
      <c r="AL3766" s="59"/>
    </row>
    <row r="3767" ht="15.75" customHeight="1">
      <c r="A3767" s="115">
        <f t="shared" si="29"/>
        <v>4586</v>
      </c>
      <c r="B3767" s="49" t="s">
        <v>31</v>
      </c>
      <c r="C3767" s="272" t="s">
        <v>12851</v>
      </c>
      <c r="D3767" s="55" t="s">
        <v>12852</v>
      </c>
      <c r="E3767" s="49" t="s">
        <v>28</v>
      </c>
      <c r="F3767" s="49" t="s">
        <v>29</v>
      </c>
      <c r="G3767" s="49" t="s">
        <v>38</v>
      </c>
      <c r="H3767" s="49"/>
      <c r="I3767" s="49" t="s">
        <v>2184</v>
      </c>
      <c r="J3767" s="49">
        <v>1384.0</v>
      </c>
      <c r="K3767" s="49"/>
      <c r="L3767" s="49" t="s">
        <v>31</v>
      </c>
      <c r="M3767" s="49" t="s">
        <v>12853</v>
      </c>
      <c r="N3767" s="49">
        <v>1956.0</v>
      </c>
      <c r="O3767" s="49" t="s">
        <v>388</v>
      </c>
      <c r="P3767" s="49">
        <v>1.0</v>
      </c>
      <c r="Q3767" s="56"/>
      <c r="R3767" s="288"/>
      <c r="S3767" s="34"/>
      <c r="T3767" s="34"/>
      <c r="U3767" s="34"/>
      <c r="V3767" s="34"/>
      <c r="W3767" s="34"/>
      <c r="X3767" s="34"/>
      <c r="Y3767" s="284"/>
      <c r="Z3767" s="284"/>
      <c r="AA3767" s="284"/>
      <c r="AB3767" s="284"/>
      <c r="AC3767" s="284"/>
      <c r="AD3767" s="284"/>
      <c r="AE3767" s="284"/>
      <c r="AF3767" s="284"/>
      <c r="AG3767" s="284"/>
      <c r="AH3767" s="284"/>
      <c r="AI3767" s="284"/>
      <c r="AJ3767" s="284"/>
      <c r="AK3767" s="284"/>
      <c r="AL3767" s="284"/>
    </row>
    <row r="3768" ht="15.75" customHeight="1">
      <c r="A3768" s="115">
        <f t="shared" si="29"/>
        <v>4587</v>
      </c>
      <c r="B3768" s="49" t="s">
        <v>31</v>
      </c>
      <c r="C3768" s="50" t="s">
        <v>12854</v>
      </c>
      <c r="D3768" s="55" t="s">
        <v>12855</v>
      </c>
      <c r="E3768" s="49"/>
      <c r="F3768" s="49" t="s">
        <v>29</v>
      </c>
      <c r="G3768" s="49" t="s">
        <v>31</v>
      </c>
      <c r="H3768" s="49"/>
      <c r="I3768" s="49" t="s">
        <v>31</v>
      </c>
      <c r="J3768" s="49">
        <v>958.0</v>
      </c>
      <c r="K3768" s="49"/>
      <c r="L3768" s="49" t="s">
        <v>12856</v>
      </c>
      <c r="M3768" s="49" t="s">
        <v>1231</v>
      </c>
      <c r="N3768" s="49">
        <v>1950.0</v>
      </c>
      <c r="O3768" s="49" t="s">
        <v>388</v>
      </c>
      <c r="P3768" s="49">
        <v>1.0</v>
      </c>
      <c r="Q3768" s="56"/>
      <c r="R3768" s="301"/>
      <c r="S3768" s="40"/>
      <c r="T3768" s="40"/>
      <c r="U3768" s="40"/>
      <c r="V3768" s="40"/>
      <c r="W3768" s="40"/>
      <c r="X3768" s="40"/>
      <c r="Y3768" s="284"/>
      <c r="Z3768" s="284"/>
      <c r="AA3768" s="284"/>
      <c r="AB3768" s="284"/>
      <c r="AC3768" s="284"/>
      <c r="AD3768" s="284"/>
      <c r="AE3768" s="284"/>
      <c r="AF3768" s="284"/>
      <c r="AG3768" s="284"/>
      <c r="AH3768" s="284"/>
      <c r="AI3768" s="284"/>
      <c r="AJ3768" s="284"/>
      <c r="AK3768" s="284"/>
      <c r="AL3768" s="284"/>
    </row>
    <row r="3769" ht="15.75" customHeight="1">
      <c r="A3769" s="115">
        <f t="shared" si="29"/>
        <v>4588</v>
      </c>
      <c r="B3769" s="49" t="s">
        <v>31</v>
      </c>
      <c r="C3769" s="50" t="s">
        <v>12854</v>
      </c>
      <c r="D3769" s="55" t="s">
        <v>12857</v>
      </c>
      <c r="E3769" s="49"/>
      <c r="F3769" s="49" t="s">
        <v>29</v>
      </c>
      <c r="G3769" s="49" t="s">
        <v>31</v>
      </c>
      <c r="H3769" s="49"/>
      <c r="I3769" s="49" t="s">
        <v>2855</v>
      </c>
      <c r="J3769" s="49">
        <v>1032.0</v>
      </c>
      <c r="K3769" s="49"/>
      <c r="L3769" s="49" t="s">
        <v>12856</v>
      </c>
      <c r="M3769" s="49" t="s">
        <v>1231</v>
      </c>
      <c r="N3769" s="49">
        <v>1954.0</v>
      </c>
      <c r="O3769" s="49" t="s">
        <v>388</v>
      </c>
      <c r="P3769" s="49">
        <v>1.0</v>
      </c>
      <c r="Q3769" s="56"/>
      <c r="R3769" s="288"/>
      <c r="S3769" s="40"/>
      <c r="T3769" s="40"/>
      <c r="U3769" s="40"/>
      <c r="V3769" s="40"/>
      <c r="W3769" s="40"/>
      <c r="X3769" s="40"/>
      <c r="Y3769" s="284"/>
      <c r="Z3769" s="284"/>
      <c r="AA3769" s="284"/>
      <c r="AB3769" s="284"/>
      <c r="AC3769" s="284"/>
      <c r="AD3769" s="284"/>
      <c r="AE3769" s="284"/>
      <c r="AF3769" s="284"/>
      <c r="AG3769" s="284"/>
      <c r="AH3769" s="284"/>
      <c r="AI3769" s="284"/>
      <c r="AJ3769" s="284"/>
      <c r="AK3769" s="284"/>
      <c r="AL3769" s="284"/>
    </row>
    <row r="3770" ht="15.75" customHeight="1">
      <c r="A3770" s="115">
        <f t="shared" si="29"/>
        <v>4589</v>
      </c>
      <c r="B3770" s="49" t="s">
        <v>12858</v>
      </c>
      <c r="C3770" s="272" t="s">
        <v>12859</v>
      </c>
      <c r="D3770" s="55" t="s">
        <v>12860</v>
      </c>
      <c r="E3770" s="49"/>
      <c r="F3770" s="49" t="s">
        <v>29</v>
      </c>
      <c r="G3770" s="49" t="s">
        <v>37</v>
      </c>
      <c r="H3770" s="49" t="s">
        <v>31</v>
      </c>
      <c r="I3770" s="49" t="s">
        <v>38</v>
      </c>
      <c r="J3770" s="49">
        <v>1392.0</v>
      </c>
      <c r="K3770" s="49"/>
      <c r="L3770" s="49" t="s">
        <v>12861</v>
      </c>
      <c r="M3770" s="49" t="s">
        <v>236</v>
      </c>
      <c r="N3770" s="49">
        <v>1995.0</v>
      </c>
      <c r="O3770" s="49" t="s">
        <v>388</v>
      </c>
      <c r="P3770" s="49">
        <v>1.0</v>
      </c>
      <c r="Q3770" s="56"/>
      <c r="R3770" s="288"/>
      <c r="S3770" s="34"/>
      <c r="T3770" s="34"/>
      <c r="U3770" s="34"/>
      <c r="V3770" s="34"/>
      <c r="W3770" s="34"/>
      <c r="X3770" s="34"/>
      <c r="Y3770" s="284"/>
      <c r="Z3770" s="284"/>
      <c r="AA3770" s="284"/>
      <c r="AB3770" s="284"/>
      <c r="AC3770" s="284"/>
      <c r="AD3770" s="284"/>
      <c r="AE3770" s="284"/>
      <c r="AF3770" s="284"/>
      <c r="AG3770" s="284"/>
      <c r="AH3770" s="284"/>
      <c r="AI3770" s="284"/>
      <c r="AJ3770" s="284"/>
      <c r="AK3770" s="284"/>
      <c r="AL3770" s="284"/>
    </row>
    <row r="3771" ht="15.75" customHeight="1">
      <c r="A3771" s="115">
        <f t="shared" si="29"/>
        <v>4590</v>
      </c>
      <c r="B3771" s="49" t="s">
        <v>12862</v>
      </c>
      <c r="C3771" s="272" t="s">
        <v>12863</v>
      </c>
      <c r="D3771" s="55" t="s">
        <v>12864</v>
      </c>
      <c r="E3771" s="49"/>
      <c r="F3771" s="49" t="s">
        <v>29</v>
      </c>
      <c r="G3771" s="49" t="s">
        <v>37</v>
      </c>
      <c r="H3771" s="49" t="s">
        <v>31</v>
      </c>
      <c r="I3771" s="49" t="s">
        <v>38</v>
      </c>
      <c r="J3771" s="49">
        <v>1167.0</v>
      </c>
      <c r="K3771" s="49"/>
      <c r="L3771" s="49" t="s">
        <v>12865</v>
      </c>
      <c r="M3771" s="49" t="s">
        <v>156</v>
      </c>
      <c r="N3771" s="49">
        <v>1992.0</v>
      </c>
      <c r="O3771" s="49" t="s">
        <v>388</v>
      </c>
      <c r="P3771" s="49">
        <v>1.0</v>
      </c>
      <c r="Q3771" s="56"/>
      <c r="R3771" s="288"/>
      <c r="S3771" s="116"/>
      <c r="T3771" s="116"/>
      <c r="U3771" s="116"/>
      <c r="V3771" s="116"/>
      <c r="W3771" s="116"/>
      <c r="X3771" s="116"/>
      <c r="Y3771" s="284"/>
      <c r="Z3771" s="284"/>
      <c r="AA3771" s="284"/>
      <c r="AB3771" s="284"/>
      <c r="AC3771" s="284"/>
      <c r="AD3771" s="284"/>
      <c r="AE3771" s="284"/>
      <c r="AF3771" s="284"/>
      <c r="AG3771" s="284"/>
      <c r="AH3771" s="284"/>
      <c r="AI3771" s="284"/>
      <c r="AJ3771" s="284"/>
      <c r="AK3771" s="284"/>
      <c r="AL3771" s="284"/>
    </row>
    <row r="3772" ht="15.75" customHeight="1">
      <c r="A3772" s="115">
        <f t="shared" si="29"/>
        <v>4591</v>
      </c>
      <c r="B3772" s="49" t="s">
        <v>12866</v>
      </c>
      <c r="C3772" s="272" t="s">
        <v>12867</v>
      </c>
      <c r="D3772" s="55" t="s">
        <v>12868</v>
      </c>
      <c r="E3772" s="49" t="s">
        <v>144</v>
      </c>
      <c r="F3772" s="49" t="s">
        <v>29</v>
      </c>
      <c r="G3772" s="49" t="s">
        <v>37</v>
      </c>
      <c r="H3772" s="49"/>
      <c r="I3772" s="49" t="s">
        <v>38</v>
      </c>
      <c r="J3772" s="49">
        <v>144.0</v>
      </c>
      <c r="K3772" s="49"/>
      <c r="L3772" s="49" t="s">
        <v>31</v>
      </c>
      <c r="M3772" s="49" t="s">
        <v>54</v>
      </c>
      <c r="N3772" s="49">
        <v>1990.0</v>
      </c>
      <c r="O3772" s="49" t="s">
        <v>388</v>
      </c>
      <c r="P3772" s="49">
        <v>1.0</v>
      </c>
      <c r="Q3772" s="56"/>
      <c r="R3772" s="288"/>
      <c r="S3772" s="34"/>
      <c r="T3772" s="34"/>
      <c r="U3772" s="34"/>
      <c r="V3772" s="34"/>
      <c r="W3772" s="34"/>
      <c r="X3772" s="34"/>
      <c r="Y3772" s="284"/>
      <c r="Z3772" s="284"/>
      <c r="AA3772" s="284"/>
      <c r="AB3772" s="284"/>
      <c r="AC3772" s="284"/>
      <c r="AD3772" s="284"/>
      <c r="AE3772" s="284"/>
      <c r="AF3772" s="284"/>
      <c r="AG3772" s="284"/>
      <c r="AH3772" s="284"/>
      <c r="AI3772" s="284"/>
      <c r="AJ3772" s="284"/>
      <c r="AK3772" s="284"/>
      <c r="AL3772" s="284"/>
    </row>
    <row r="3773" ht="15.75" customHeight="1">
      <c r="A3773" s="115">
        <f t="shared" si="29"/>
        <v>4592</v>
      </c>
      <c r="B3773" s="49" t="s">
        <v>4674</v>
      </c>
      <c r="C3773" s="272" t="s">
        <v>12869</v>
      </c>
      <c r="D3773" s="55" t="s">
        <v>12870</v>
      </c>
      <c r="E3773" s="49" t="s">
        <v>31</v>
      </c>
      <c r="F3773" s="49" t="s">
        <v>29</v>
      </c>
      <c r="G3773" s="49" t="s">
        <v>30</v>
      </c>
      <c r="H3773" s="49"/>
      <c r="I3773" s="49" t="s">
        <v>30</v>
      </c>
      <c r="J3773" s="49">
        <v>154.0</v>
      </c>
      <c r="K3773" s="49"/>
      <c r="L3773" s="49" t="s">
        <v>4673</v>
      </c>
      <c r="M3773" s="49" t="s">
        <v>161</v>
      </c>
      <c r="N3773" s="49">
        <v>1993.0</v>
      </c>
      <c r="O3773" s="49" t="s">
        <v>388</v>
      </c>
      <c r="P3773" s="49">
        <v>1.0</v>
      </c>
      <c r="Q3773" s="325"/>
      <c r="R3773" s="288"/>
      <c r="S3773" s="34"/>
      <c r="T3773" s="34"/>
      <c r="U3773" s="34"/>
      <c r="V3773" s="34"/>
      <c r="W3773" s="34"/>
      <c r="X3773" s="34"/>
      <c r="Y3773" s="284"/>
      <c r="Z3773" s="284"/>
      <c r="AA3773" s="284"/>
      <c r="AB3773" s="284"/>
      <c r="AC3773" s="284"/>
      <c r="AD3773" s="284"/>
      <c r="AE3773" s="284"/>
      <c r="AF3773" s="284"/>
      <c r="AG3773" s="284"/>
      <c r="AH3773" s="284"/>
      <c r="AI3773" s="284"/>
      <c r="AJ3773" s="284"/>
      <c r="AK3773" s="284"/>
      <c r="AL3773" s="284"/>
    </row>
    <row r="3774" ht="15.75" customHeight="1">
      <c r="A3774" s="115">
        <f t="shared" si="29"/>
        <v>4593</v>
      </c>
      <c r="B3774" s="49" t="s">
        <v>31</v>
      </c>
      <c r="C3774" s="272" t="s">
        <v>12871</v>
      </c>
      <c r="D3774" s="55" t="s">
        <v>12872</v>
      </c>
      <c r="E3774" s="49" t="s">
        <v>31</v>
      </c>
      <c r="F3774" s="49" t="s">
        <v>29</v>
      </c>
      <c r="G3774" s="49" t="s">
        <v>30</v>
      </c>
      <c r="H3774" s="49"/>
      <c r="I3774" s="49" t="s">
        <v>30</v>
      </c>
      <c r="J3774" s="49">
        <v>295.0</v>
      </c>
      <c r="K3774" s="49"/>
      <c r="L3774" s="49" t="s">
        <v>12873</v>
      </c>
      <c r="M3774" s="49" t="s">
        <v>3027</v>
      </c>
      <c r="N3774" s="49">
        <v>2005.0</v>
      </c>
      <c r="O3774" s="49" t="s">
        <v>388</v>
      </c>
      <c r="P3774" s="49">
        <v>1.0</v>
      </c>
      <c r="Q3774" s="56"/>
      <c r="R3774" s="288"/>
      <c r="S3774" s="34"/>
      <c r="T3774" s="34"/>
      <c r="U3774" s="34"/>
      <c r="V3774" s="34"/>
      <c r="W3774" s="34"/>
      <c r="X3774" s="34"/>
      <c r="Y3774" s="284"/>
      <c r="Z3774" s="284"/>
      <c r="AA3774" s="284"/>
      <c r="AB3774" s="284"/>
      <c r="AC3774" s="284"/>
      <c r="AD3774" s="284"/>
      <c r="AE3774" s="284"/>
      <c r="AF3774" s="284"/>
      <c r="AG3774" s="284"/>
      <c r="AH3774" s="284"/>
      <c r="AI3774" s="284"/>
      <c r="AJ3774" s="284"/>
      <c r="AK3774" s="284"/>
      <c r="AL3774" s="284"/>
    </row>
    <row r="3775" ht="15.75" customHeight="1">
      <c r="A3775" s="115">
        <f t="shared" si="29"/>
        <v>4594</v>
      </c>
      <c r="B3775" s="49" t="s">
        <v>4698</v>
      </c>
      <c r="C3775" s="272" t="s">
        <v>12874</v>
      </c>
      <c r="D3775" s="55" t="s">
        <v>12875</v>
      </c>
      <c r="E3775" s="49" t="s">
        <v>31</v>
      </c>
      <c r="F3775" s="49" t="s">
        <v>29</v>
      </c>
      <c r="G3775" s="49" t="s">
        <v>38</v>
      </c>
      <c r="H3775" s="49"/>
      <c r="I3775" s="49" t="s">
        <v>38</v>
      </c>
      <c r="J3775" s="49">
        <v>160.0</v>
      </c>
      <c r="K3775" s="49"/>
      <c r="L3775" s="49" t="s">
        <v>12876</v>
      </c>
      <c r="M3775" s="49" t="s">
        <v>466</v>
      </c>
      <c r="N3775" s="49">
        <v>1971.0</v>
      </c>
      <c r="O3775" s="49" t="s">
        <v>388</v>
      </c>
      <c r="P3775" s="49">
        <v>1.0</v>
      </c>
      <c r="Q3775" s="56"/>
      <c r="R3775" s="288"/>
      <c r="S3775" s="34"/>
      <c r="T3775" s="34"/>
      <c r="U3775" s="34"/>
      <c r="V3775" s="34"/>
      <c r="W3775" s="34"/>
      <c r="X3775" s="34"/>
      <c r="Y3775" s="284"/>
      <c r="Z3775" s="284"/>
      <c r="AA3775" s="284"/>
      <c r="AB3775" s="284"/>
      <c r="AC3775" s="284"/>
      <c r="AD3775" s="284"/>
      <c r="AE3775" s="284"/>
      <c r="AF3775" s="284"/>
      <c r="AG3775" s="284"/>
      <c r="AH3775" s="284"/>
      <c r="AI3775" s="284"/>
      <c r="AJ3775" s="284"/>
      <c r="AK3775" s="284"/>
      <c r="AL3775" s="284"/>
    </row>
    <row r="3776" ht="15.75" customHeight="1">
      <c r="A3776" s="115">
        <f t="shared" si="29"/>
        <v>4595</v>
      </c>
      <c r="B3776" s="49" t="s">
        <v>12877</v>
      </c>
      <c r="C3776" s="272" t="s">
        <v>12878</v>
      </c>
      <c r="D3776" s="55" t="s">
        <v>12879</v>
      </c>
      <c r="E3776" s="49" t="s">
        <v>144</v>
      </c>
      <c r="F3776" s="49" t="s">
        <v>29</v>
      </c>
      <c r="G3776" s="49" t="s">
        <v>30</v>
      </c>
      <c r="H3776" s="49" t="s">
        <v>31</v>
      </c>
      <c r="I3776" s="49" t="s">
        <v>30</v>
      </c>
      <c r="J3776" s="49">
        <v>418.0</v>
      </c>
      <c r="K3776" s="49"/>
      <c r="L3776" s="49" t="s">
        <v>12880</v>
      </c>
      <c r="M3776" s="49" t="s">
        <v>4660</v>
      </c>
      <c r="N3776" s="49">
        <v>2014.0</v>
      </c>
      <c r="O3776" s="49" t="s">
        <v>388</v>
      </c>
      <c r="P3776" s="49">
        <v>1.0</v>
      </c>
      <c r="Q3776" s="56"/>
      <c r="R3776" s="288"/>
      <c r="S3776" s="34"/>
      <c r="T3776" s="34"/>
      <c r="U3776" s="34"/>
      <c r="V3776" s="34"/>
      <c r="W3776" s="34"/>
      <c r="X3776" s="34"/>
      <c r="Y3776" s="284"/>
      <c r="Z3776" s="284"/>
      <c r="AA3776" s="284"/>
      <c r="AB3776" s="284"/>
      <c r="AC3776" s="284"/>
      <c r="AD3776" s="284"/>
      <c r="AE3776" s="284"/>
      <c r="AF3776" s="284"/>
      <c r="AG3776" s="284"/>
      <c r="AH3776" s="284"/>
      <c r="AI3776" s="284"/>
      <c r="AJ3776" s="284"/>
      <c r="AK3776" s="284"/>
      <c r="AL3776" s="284"/>
    </row>
    <row r="3777" ht="15.75" customHeight="1">
      <c r="A3777" s="115">
        <f t="shared" si="29"/>
        <v>4596</v>
      </c>
      <c r="B3777" s="310" t="s">
        <v>4652</v>
      </c>
      <c r="C3777" s="311" t="s">
        <v>12881</v>
      </c>
      <c r="D3777" s="312" t="s">
        <v>12882</v>
      </c>
      <c r="E3777" s="313" t="s">
        <v>144</v>
      </c>
      <c r="F3777" s="313" t="s">
        <v>29</v>
      </c>
      <c r="G3777" s="313" t="s">
        <v>30</v>
      </c>
      <c r="H3777" s="313"/>
      <c r="I3777" s="313" t="s">
        <v>30</v>
      </c>
      <c r="J3777" s="313">
        <f>232+10</f>
        <v>242</v>
      </c>
      <c r="K3777" s="313"/>
      <c r="L3777" s="313" t="s">
        <v>4655</v>
      </c>
      <c r="M3777" s="313" t="s">
        <v>12883</v>
      </c>
      <c r="N3777" s="313">
        <v>2001.0</v>
      </c>
      <c r="O3777" s="313" t="s">
        <v>388</v>
      </c>
      <c r="P3777" s="313">
        <v>1.0</v>
      </c>
      <c r="Q3777" s="56"/>
      <c r="R3777" s="288"/>
      <c r="S3777" s="34"/>
      <c r="T3777" s="34"/>
      <c r="U3777" s="34"/>
      <c r="V3777" s="34"/>
      <c r="W3777" s="34"/>
      <c r="X3777" s="34"/>
      <c r="Y3777" s="284"/>
      <c r="Z3777" s="284"/>
      <c r="AA3777" s="284"/>
      <c r="AB3777" s="284"/>
      <c r="AC3777" s="284"/>
      <c r="AD3777" s="284"/>
      <c r="AE3777" s="284"/>
      <c r="AF3777" s="284"/>
      <c r="AG3777" s="284"/>
      <c r="AH3777" s="284"/>
      <c r="AI3777" s="284"/>
      <c r="AJ3777" s="284"/>
      <c r="AK3777" s="284"/>
      <c r="AL3777" s="284"/>
    </row>
    <row r="3778" ht="15.75" customHeight="1">
      <c r="A3778" s="115">
        <f t="shared" si="29"/>
        <v>4597</v>
      </c>
      <c r="B3778" s="49" t="s">
        <v>12884</v>
      </c>
      <c r="C3778" s="50" t="s">
        <v>12885</v>
      </c>
      <c r="D3778" s="51" t="s">
        <v>12886</v>
      </c>
      <c r="E3778" s="49" t="s">
        <v>31</v>
      </c>
      <c r="F3778" s="49" t="s">
        <v>29</v>
      </c>
      <c r="G3778" s="49" t="s">
        <v>37</v>
      </c>
      <c r="H3778" s="49"/>
      <c r="I3778" s="49" t="s">
        <v>38</v>
      </c>
      <c r="J3778" s="49">
        <v>272.0</v>
      </c>
      <c r="K3778" s="49"/>
      <c r="L3778" s="52" t="s">
        <v>12887</v>
      </c>
      <c r="M3778" s="49" t="s">
        <v>1176</v>
      </c>
      <c r="N3778" s="49">
        <v>2008.0</v>
      </c>
      <c r="O3778" s="49" t="s">
        <v>388</v>
      </c>
      <c r="P3778" s="49">
        <v>1.0</v>
      </c>
      <c r="Q3778" s="56"/>
      <c r="R3778" s="288"/>
      <c r="S3778" s="34"/>
      <c r="T3778" s="34"/>
      <c r="U3778" s="34"/>
      <c r="V3778" s="34"/>
      <c r="W3778" s="34"/>
      <c r="X3778" s="34"/>
      <c r="Y3778" s="284"/>
      <c r="Z3778" s="284"/>
      <c r="AA3778" s="284"/>
      <c r="AB3778" s="284"/>
      <c r="AC3778" s="284"/>
      <c r="AD3778" s="284"/>
      <c r="AE3778" s="284"/>
      <c r="AF3778" s="284"/>
      <c r="AG3778" s="284"/>
      <c r="AH3778" s="284"/>
      <c r="AI3778" s="284"/>
      <c r="AJ3778" s="284"/>
      <c r="AK3778" s="284"/>
      <c r="AL3778" s="284"/>
    </row>
    <row r="3779" ht="15.75" customHeight="1">
      <c r="A3779" s="115">
        <f t="shared" si="29"/>
        <v>4598</v>
      </c>
      <c r="B3779" s="49" t="s">
        <v>12884</v>
      </c>
      <c r="C3779" s="272" t="s">
        <v>12888</v>
      </c>
      <c r="D3779" s="314" t="s">
        <v>12889</v>
      </c>
      <c r="E3779" s="49" t="s">
        <v>144</v>
      </c>
      <c r="F3779" s="49" t="s">
        <v>29</v>
      </c>
      <c r="G3779" s="49" t="s">
        <v>37</v>
      </c>
      <c r="H3779" s="49"/>
      <c r="I3779" s="49" t="s">
        <v>38</v>
      </c>
      <c r="J3779" s="49">
        <v>272.0</v>
      </c>
      <c r="K3779" s="49"/>
      <c r="L3779" s="49" t="s">
        <v>12890</v>
      </c>
      <c r="M3779" s="49" t="s">
        <v>1176</v>
      </c>
      <c r="N3779" s="49">
        <v>2008.0</v>
      </c>
      <c r="O3779" s="49" t="s">
        <v>388</v>
      </c>
      <c r="P3779" s="49">
        <v>1.0</v>
      </c>
      <c r="Q3779" s="56"/>
      <c r="R3779" s="288"/>
      <c r="S3779" s="34"/>
      <c r="T3779" s="34"/>
      <c r="U3779" s="34"/>
      <c r="V3779" s="34"/>
      <c r="W3779" s="34"/>
      <c r="X3779" s="34"/>
      <c r="Y3779" s="284"/>
      <c r="Z3779" s="284"/>
      <c r="AA3779" s="284"/>
      <c r="AB3779" s="284"/>
      <c r="AC3779" s="284"/>
      <c r="AD3779" s="284"/>
      <c r="AE3779" s="284"/>
      <c r="AF3779" s="284"/>
      <c r="AG3779" s="284"/>
      <c r="AH3779" s="284"/>
      <c r="AI3779" s="284"/>
      <c r="AJ3779" s="284"/>
      <c r="AK3779" s="284"/>
      <c r="AL3779" s="284"/>
    </row>
    <row r="3780" ht="15.75" customHeight="1">
      <c r="A3780" s="164">
        <f t="shared" si="29"/>
        <v>4599</v>
      </c>
      <c r="B3780" s="63" t="s">
        <v>31</v>
      </c>
      <c r="C3780" s="275" t="s">
        <v>12891</v>
      </c>
      <c r="D3780" s="65" t="s">
        <v>12892</v>
      </c>
      <c r="E3780" s="63"/>
      <c r="F3780" s="63" t="s">
        <v>29</v>
      </c>
      <c r="G3780" s="63" t="s">
        <v>30</v>
      </c>
      <c r="H3780" s="63"/>
      <c r="I3780" s="63" t="s">
        <v>30</v>
      </c>
      <c r="J3780" s="63">
        <v>72.0</v>
      </c>
      <c r="K3780" s="63"/>
      <c r="L3780" s="63" t="s">
        <v>3026</v>
      </c>
      <c r="M3780" s="63" t="s">
        <v>3027</v>
      </c>
      <c r="N3780" s="63">
        <v>2002.0</v>
      </c>
      <c r="O3780" s="63" t="s">
        <v>388</v>
      </c>
      <c r="P3780" s="63">
        <v>1.0</v>
      </c>
      <c r="Q3780" s="276"/>
      <c r="R3780" s="315"/>
      <c r="S3780" s="34"/>
      <c r="T3780" s="34"/>
      <c r="U3780" s="34"/>
      <c r="V3780" s="34"/>
      <c r="W3780" s="34"/>
      <c r="X3780" s="34"/>
      <c r="Y3780" s="284"/>
      <c r="Z3780" s="284"/>
      <c r="AA3780" s="284"/>
      <c r="AB3780" s="284"/>
      <c r="AC3780" s="284"/>
      <c r="AD3780" s="284"/>
      <c r="AE3780" s="284"/>
      <c r="AF3780" s="284"/>
      <c r="AG3780" s="284"/>
      <c r="AH3780" s="284"/>
      <c r="AI3780" s="284"/>
      <c r="AJ3780" s="284"/>
      <c r="AK3780" s="284"/>
      <c r="AL3780" s="284"/>
    </row>
    <row r="3781" ht="15.75" customHeight="1">
      <c r="A3781" s="164">
        <f t="shared" si="29"/>
        <v>4600</v>
      </c>
      <c r="B3781" s="63" t="s">
        <v>12893</v>
      </c>
      <c r="C3781" s="275" t="s">
        <v>12894</v>
      </c>
      <c r="D3781" s="326" t="s">
        <v>12895</v>
      </c>
      <c r="E3781" s="63"/>
      <c r="F3781" s="63" t="s">
        <v>29</v>
      </c>
      <c r="G3781" s="63" t="s">
        <v>131</v>
      </c>
      <c r="H3781" s="63"/>
      <c r="I3781" s="63" t="s">
        <v>131</v>
      </c>
      <c r="J3781" s="63">
        <v>171.0</v>
      </c>
      <c r="K3781" s="63"/>
      <c r="L3781" s="63" t="s">
        <v>12896</v>
      </c>
      <c r="M3781" s="63" t="s">
        <v>31</v>
      </c>
      <c r="N3781" s="63">
        <v>1984.0</v>
      </c>
      <c r="O3781" s="63" t="s">
        <v>388</v>
      </c>
      <c r="P3781" s="63">
        <v>1.0</v>
      </c>
      <c r="Q3781" s="276"/>
      <c r="R3781" s="315"/>
      <c r="S3781" s="116"/>
      <c r="T3781" s="116"/>
      <c r="U3781" s="116"/>
      <c r="V3781" s="116"/>
      <c r="W3781" s="116"/>
      <c r="X3781" s="116"/>
      <c r="Y3781" s="284"/>
      <c r="Z3781" s="284"/>
      <c r="AA3781" s="284"/>
      <c r="AB3781" s="284"/>
      <c r="AC3781" s="284"/>
      <c r="AD3781" s="284"/>
      <c r="AE3781" s="284"/>
      <c r="AF3781" s="284"/>
      <c r="AG3781" s="284"/>
      <c r="AH3781" s="284"/>
      <c r="AI3781" s="284"/>
      <c r="AJ3781" s="284"/>
      <c r="AK3781" s="284"/>
      <c r="AL3781" s="284"/>
    </row>
    <row r="3782" ht="15.75" customHeight="1">
      <c r="A3782" s="164">
        <f t="shared" si="29"/>
        <v>4601</v>
      </c>
      <c r="B3782" s="63" t="s">
        <v>4957</v>
      </c>
      <c r="C3782" s="275" t="s">
        <v>12897</v>
      </c>
      <c r="D3782" s="65" t="s">
        <v>12898</v>
      </c>
      <c r="E3782" s="63" t="s">
        <v>31</v>
      </c>
      <c r="F3782" s="63" t="s">
        <v>29</v>
      </c>
      <c r="G3782" s="63" t="s">
        <v>30</v>
      </c>
      <c r="H3782" s="63"/>
      <c r="I3782" s="63" t="s">
        <v>30</v>
      </c>
      <c r="J3782" s="63">
        <v>554.0</v>
      </c>
      <c r="K3782" s="63"/>
      <c r="L3782" s="63" t="s">
        <v>12899</v>
      </c>
      <c r="M3782" s="63" t="s">
        <v>250</v>
      </c>
      <c r="N3782" s="63">
        <v>1976.0</v>
      </c>
      <c r="O3782" s="63" t="s">
        <v>388</v>
      </c>
      <c r="P3782" s="63">
        <v>1.0</v>
      </c>
      <c r="Q3782" s="276"/>
      <c r="R3782" s="315"/>
      <c r="S3782" s="34"/>
      <c r="T3782" s="34"/>
      <c r="U3782" s="34"/>
      <c r="V3782" s="34"/>
      <c r="W3782" s="34"/>
      <c r="X3782" s="34"/>
      <c r="Y3782" s="284"/>
      <c r="Z3782" s="284"/>
      <c r="AA3782" s="284"/>
      <c r="AB3782" s="284"/>
      <c r="AC3782" s="284"/>
      <c r="AD3782" s="284"/>
      <c r="AE3782" s="284"/>
      <c r="AF3782" s="284"/>
      <c r="AG3782" s="284"/>
      <c r="AH3782" s="284"/>
      <c r="AI3782" s="284"/>
      <c r="AJ3782" s="284"/>
      <c r="AK3782" s="284"/>
      <c r="AL3782" s="284"/>
    </row>
    <row r="3783" ht="15.75" customHeight="1">
      <c r="A3783" s="115">
        <f t="shared" si="29"/>
        <v>4602</v>
      </c>
      <c r="B3783" s="49" t="s">
        <v>31</v>
      </c>
      <c r="C3783" s="272" t="s">
        <v>12900</v>
      </c>
      <c r="D3783" s="55" t="s">
        <v>12901</v>
      </c>
      <c r="E3783" s="49" t="s">
        <v>31</v>
      </c>
      <c r="F3783" s="49" t="s">
        <v>29</v>
      </c>
      <c r="G3783" s="49" t="s">
        <v>30</v>
      </c>
      <c r="H3783" s="49"/>
      <c r="I3783" s="49" t="s">
        <v>30</v>
      </c>
      <c r="J3783" s="49">
        <v>76.0</v>
      </c>
      <c r="K3783" s="49"/>
      <c r="L3783" s="49" t="s">
        <v>31</v>
      </c>
      <c r="M3783" s="49" t="s">
        <v>3056</v>
      </c>
      <c r="N3783" s="49">
        <v>1978.0</v>
      </c>
      <c r="O3783" s="49" t="s">
        <v>388</v>
      </c>
      <c r="P3783" s="49">
        <v>1.0</v>
      </c>
      <c r="Q3783" s="56"/>
      <c r="R3783" s="288"/>
      <c r="S3783" s="34"/>
      <c r="T3783" s="34"/>
      <c r="U3783" s="34"/>
      <c r="V3783" s="34"/>
      <c r="W3783" s="34"/>
      <c r="X3783" s="34"/>
      <c r="Y3783" s="284"/>
      <c r="Z3783" s="284"/>
      <c r="AA3783" s="284"/>
      <c r="AB3783" s="284"/>
      <c r="AC3783" s="284"/>
      <c r="AD3783" s="284"/>
      <c r="AE3783" s="284"/>
      <c r="AF3783" s="284"/>
      <c r="AG3783" s="284"/>
      <c r="AH3783" s="284"/>
      <c r="AI3783" s="284"/>
      <c r="AJ3783" s="284"/>
      <c r="AK3783" s="284"/>
      <c r="AL3783" s="284"/>
    </row>
    <row r="3784" ht="15.75" customHeight="1">
      <c r="A3784" s="115">
        <f t="shared" si="29"/>
        <v>4603</v>
      </c>
      <c r="B3784" s="49" t="s">
        <v>2367</v>
      </c>
      <c r="C3784" s="272" t="s">
        <v>12902</v>
      </c>
      <c r="D3784" s="55" t="s">
        <v>12903</v>
      </c>
      <c r="E3784" s="49" t="s">
        <v>144</v>
      </c>
      <c r="F3784" s="49" t="s">
        <v>29</v>
      </c>
      <c r="G3784" s="49" t="s">
        <v>37</v>
      </c>
      <c r="H3784" s="49"/>
      <c r="I3784" s="49" t="s">
        <v>38</v>
      </c>
      <c r="J3784" s="49">
        <f>272+12</f>
        <v>284</v>
      </c>
      <c r="K3784" s="49"/>
      <c r="L3784" s="49" t="s">
        <v>31</v>
      </c>
      <c r="M3784" s="49" t="s">
        <v>356</v>
      </c>
      <c r="N3784" s="49">
        <v>2006.0</v>
      </c>
      <c r="O3784" s="49" t="s">
        <v>388</v>
      </c>
      <c r="P3784" s="49">
        <v>1.0</v>
      </c>
      <c r="Q3784" s="56"/>
      <c r="R3784" s="288"/>
      <c r="S3784" s="34"/>
      <c r="T3784" s="34"/>
      <c r="U3784" s="34"/>
      <c r="V3784" s="34"/>
      <c r="W3784" s="34"/>
      <c r="X3784" s="34"/>
      <c r="Y3784" s="284"/>
      <c r="Z3784" s="284"/>
      <c r="AA3784" s="284"/>
      <c r="AB3784" s="284"/>
      <c r="AC3784" s="284"/>
      <c r="AD3784" s="284"/>
      <c r="AE3784" s="284"/>
      <c r="AF3784" s="284"/>
      <c r="AG3784" s="284"/>
      <c r="AH3784" s="284"/>
      <c r="AI3784" s="284"/>
      <c r="AJ3784" s="284"/>
      <c r="AK3784" s="284"/>
      <c r="AL3784" s="284"/>
    </row>
    <row r="3785" ht="15.75" customHeight="1">
      <c r="A3785" s="115">
        <f t="shared" si="29"/>
        <v>4604</v>
      </c>
      <c r="B3785" s="303" t="s">
        <v>2367</v>
      </c>
      <c r="C3785" s="272" t="s">
        <v>12902</v>
      </c>
      <c r="D3785" s="55" t="s">
        <v>12904</v>
      </c>
      <c r="E3785" s="49"/>
      <c r="F3785" s="49" t="s">
        <v>29</v>
      </c>
      <c r="G3785" s="49" t="s">
        <v>37</v>
      </c>
      <c r="H3785" s="49"/>
      <c r="I3785" s="49" t="s">
        <v>38</v>
      </c>
      <c r="J3785" s="52">
        <v>336.0</v>
      </c>
      <c r="K3785" s="49"/>
      <c r="L3785" s="49" t="s">
        <v>31</v>
      </c>
      <c r="M3785" s="49" t="s">
        <v>356</v>
      </c>
      <c r="N3785" s="52">
        <v>2006.0</v>
      </c>
      <c r="O3785" s="49" t="s">
        <v>388</v>
      </c>
      <c r="P3785" s="49">
        <v>1.0</v>
      </c>
      <c r="Q3785" s="56"/>
      <c r="R3785" s="288"/>
      <c r="S3785" s="34"/>
      <c r="T3785" s="34"/>
      <c r="U3785" s="34"/>
      <c r="V3785" s="34"/>
      <c r="W3785" s="34"/>
      <c r="X3785" s="34"/>
      <c r="Y3785" s="284"/>
      <c r="Z3785" s="284"/>
      <c r="AA3785" s="284"/>
      <c r="AB3785" s="284"/>
      <c r="AC3785" s="284"/>
      <c r="AD3785" s="284"/>
      <c r="AE3785" s="284"/>
      <c r="AF3785" s="284"/>
      <c r="AG3785" s="284"/>
      <c r="AH3785" s="284"/>
      <c r="AI3785" s="284"/>
      <c r="AJ3785" s="284"/>
      <c r="AK3785" s="284"/>
      <c r="AL3785" s="284"/>
    </row>
    <row r="3786" ht="15.75" customHeight="1">
      <c r="A3786" s="115">
        <f t="shared" si="29"/>
        <v>4605</v>
      </c>
      <c r="B3786" s="49" t="s">
        <v>12905</v>
      </c>
      <c r="C3786" s="50" t="s">
        <v>12906</v>
      </c>
      <c r="D3786" s="55" t="s">
        <v>12907</v>
      </c>
      <c r="E3786" s="49"/>
      <c r="F3786" s="49" t="s">
        <v>29</v>
      </c>
      <c r="G3786" s="49" t="s">
        <v>37</v>
      </c>
      <c r="H3786" s="49"/>
      <c r="I3786" s="49" t="s">
        <v>38</v>
      </c>
      <c r="J3786" s="49">
        <v>272.0</v>
      </c>
      <c r="K3786" s="49"/>
      <c r="L3786" s="52" t="s">
        <v>12908</v>
      </c>
      <c r="M3786" s="49" t="s">
        <v>356</v>
      </c>
      <c r="N3786" s="49">
        <v>2004.0</v>
      </c>
      <c r="O3786" s="49" t="s">
        <v>388</v>
      </c>
      <c r="P3786" s="49">
        <v>1.0</v>
      </c>
      <c r="Q3786" s="56"/>
      <c r="R3786" s="288"/>
      <c r="S3786" s="116"/>
      <c r="T3786" s="116"/>
      <c r="U3786" s="116"/>
      <c r="V3786" s="116"/>
      <c r="W3786" s="116"/>
      <c r="X3786" s="116"/>
      <c r="Y3786" s="284"/>
      <c r="Z3786" s="284"/>
      <c r="AA3786" s="284"/>
      <c r="AB3786" s="284"/>
      <c r="AC3786" s="284"/>
      <c r="AD3786" s="284"/>
      <c r="AE3786" s="284"/>
      <c r="AF3786" s="284"/>
      <c r="AG3786" s="284"/>
      <c r="AH3786" s="284"/>
      <c r="AI3786" s="284"/>
      <c r="AJ3786" s="284"/>
      <c r="AK3786" s="284"/>
      <c r="AL3786" s="284"/>
    </row>
    <row r="3787" ht="15.75" customHeight="1">
      <c r="A3787" s="115">
        <f t="shared" si="29"/>
        <v>4606</v>
      </c>
      <c r="B3787" s="49" t="s">
        <v>12909</v>
      </c>
      <c r="C3787" s="272" t="s">
        <v>12910</v>
      </c>
      <c r="D3787" s="55" t="s">
        <v>12911</v>
      </c>
      <c r="E3787" s="49" t="s">
        <v>31</v>
      </c>
      <c r="F3787" s="49" t="s">
        <v>29</v>
      </c>
      <c r="G3787" s="49" t="s">
        <v>30</v>
      </c>
      <c r="H3787" s="49"/>
      <c r="I3787" s="49" t="s">
        <v>30</v>
      </c>
      <c r="J3787" s="49">
        <v>139.0</v>
      </c>
      <c r="K3787" s="49"/>
      <c r="L3787" s="49" t="s">
        <v>12912</v>
      </c>
      <c r="M3787" s="49" t="s">
        <v>4166</v>
      </c>
      <c r="N3787" s="49">
        <v>2006.0</v>
      </c>
      <c r="O3787" s="49" t="s">
        <v>388</v>
      </c>
      <c r="P3787" s="49">
        <v>1.0</v>
      </c>
      <c r="Q3787" s="56"/>
      <c r="R3787" s="288"/>
      <c r="S3787" s="34"/>
      <c r="T3787" s="34"/>
      <c r="U3787" s="34"/>
      <c r="V3787" s="34"/>
      <c r="W3787" s="34"/>
      <c r="X3787" s="34"/>
      <c r="Y3787" s="284"/>
      <c r="Z3787" s="284"/>
      <c r="AA3787" s="284"/>
      <c r="AB3787" s="284"/>
      <c r="AC3787" s="284"/>
      <c r="AD3787" s="284"/>
      <c r="AE3787" s="284"/>
      <c r="AF3787" s="284"/>
      <c r="AG3787" s="284"/>
      <c r="AH3787" s="284"/>
      <c r="AI3787" s="284"/>
      <c r="AJ3787" s="284"/>
      <c r="AK3787" s="284"/>
      <c r="AL3787" s="284"/>
    </row>
    <row r="3788" ht="15.75" customHeight="1">
      <c r="A3788" s="115">
        <f t="shared" si="29"/>
        <v>4607</v>
      </c>
      <c r="B3788" s="49" t="s">
        <v>12913</v>
      </c>
      <c r="C3788" s="272" t="s">
        <v>12914</v>
      </c>
      <c r="D3788" s="55" t="s">
        <v>12915</v>
      </c>
      <c r="E3788" s="49" t="s">
        <v>144</v>
      </c>
      <c r="F3788" s="49" t="s">
        <v>29</v>
      </c>
      <c r="G3788" s="49" t="s">
        <v>38</v>
      </c>
      <c r="H3788" s="49"/>
      <c r="I3788" s="49" t="s">
        <v>38</v>
      </c>
      <c r="J3788" s="49">
        <v>288.0</v>
      </c>
      <c r="K3788" s="49"/>
      <c r="L3788" s="49" t="s">
        <v>2032</v>
      </c>
      <c r="M3788" s="49" t="s">
        <v>12916</v>
      </c>
      <c r="N3788" s="49">
        <v>2007.0</v>
      </c>
      <c r="O3788" s="49" t="s">
        <v>388</v>
      </c>
      <c r="P3788" s="49">
        <v>1.0</v>
      </c>
      <c r="Q3788" s="56"/>
      <c r="R3788" s="288"/>
      <c r="S3788" s="34"/>
      <c r="T3788" s="34"/>
      <c r="U3788" s="34"/>
      <c r="V3788" s="34"/>
      <c r="W3788" s="34"/>
      <c r="X3788" s="34"/>
      <c r="Y3788" s="284"/>
      <c r="Z3788" s="284"/>
      <c r="AA3788" s="284"/>
      <c r="AB3788" s="284"/>
      <c r="AC3788" s="284"/>
      <c r="AD3788" s="284"/>
      <c r="AE3788" s="284"/>
      <c r="AF3788" s="284"/>
      <c r="AG3788" s="284"/>
      <c r="AH3788" s="284"/>
      <c r="AI3788" s="284"/>
      <c r="AJ3788" s="284"/>
      <c r="AK3788" s="284"/>
      <c r="AL3788" s="284"/>
    </row>
    <row r="3789" ht="15.75" customHeight="1">
      <c r="A3789" s="115">
        <f t="shared" si="29"/>
        <v>4608</v>
      </c>
      <c r="B3789" s="49" t="s">
        <v>4888</v>
      </c>
      <c r="C3789" s="272" t="s">
        <v>12917</v>
      </c>
      <c r="D3789" s="55" t="s">
        <v>12918</v>
      </c>
      <c r="E3789" s="49" t="s">
        <v>31</v>
      </c>
      <c r="F3789" s="49" t="s">
        <v>29</v>
      </c>
      <c r="G3789" s="49" t="s">
        <v>30</v>
      </c>
      <c r="H3789" s="49"/>
      <c r="I3789" s="49" t="s">
        <v>30</v>
      </c>
      <c r="J3789" s="49">
        <v>192.0</v>
      </c>
      <c r="K3789" s="49"/>
      <c r="L3789" s="49" t="s">
        <v>12919</v>
      </c>
      <c r="M3789" s="49" t="s">
        <v>1271</v>
      </c>
      <c r="N3789" s="49">
        <v>2002.0</v>
      </c>
      <c r="O3789" s="49" t="s">
        <v>388</v>
      </c>
      <c r="P3789" s="49">
        <v>1.0</v>
      </c>
      <c r="Q3789" s="56"/>
      <c r="R3789" s="288"/>
      <c r="S3789" s="34"/>
      <c r="T3789" s="34"/>
      <c r="U3789" s="34"/>
      <c r="V3789" s="34"/>
      <c r="W3789" s="34"/>
      <c r="X3789" s="34"/>
      <c r="Y3789" s="284"/>
      <c r="Z3789" s="284"/>
      <c r="AA3789" s="284"/>
      <c r="AB3789" s="284"/>
      <c r="AC3789" s="284"/>
      <c r="AD3789" s="284"/>
      <c r="AE3789" s="284"/>
      <c r="AF3789" s="284"/>
      <c r="AG3789" s="284"/>
      <c r="AH3789" s="284"/>
      <c r="AI3789" s="284"/>
      <c r="AJ3789" s="284"/>
      <c r="AK3789" s="284"/>
      <c r="AL3789" s="284"/>
    </row>
    <row r="3790" ht="15.75" customHeight="1">
      <c r="A3790" s="115">
        <f t="shared" si="29"/>
        <v>4609</v>
      </c>
      <c r="B3790" s="49" t="s">
        <v>12920</v>
      </c>
      <c r="C3790" s="272" t="s">
        <v>12921</v>
      </c>
      <c r="D3790" s="55" t="s">
        <v>9344</v>
      </c>
      <c r="E3790" s="49" t="s">
        <v>31</v>
      </c>
      <c r="F3790" s="49" t="s">
        <v>29</v>
      </c>
      <c r="G3790" s="49" t="s">
        <v>37</v>
      </c>
      <c r="H3790" s="49"/>
      <c r="I3790" s="49" t="s">
        <v>38</v>
      </c>
      <c r="J3790" s="49">
        <v>207.0</v>
      </c>
      <c r="K3790" s="49"/>
      <c r="L3790" s="49" t="s">
        <v>1745</v>
      </c>
      <c r="M3790" s="49" t="s">
        <v>9345</v>
      </c>
      <c r="N3790" s="49">
        <v>1981.0</v>
      </c>
      <c r="O3790" s="49" t="s">
        <v>388</v>
      </c>
      <c r="P3790" s="49">
        <v>1.0</v>
      </c>
      <c r="Q3790" s="56"/>
      <c r="R3790" s="288"/>
      <c r="S3790" s="34"/>
      <c r="T3790" s="34"/>
      <c r="U3790" s="34"/>
      <c r="V3790" s="34"/>
      <c r="W3790" s="34"/>
      <c r="X3790" s="34"/>
      <c r="Y3790" s="284"/>
      <c r="Z3790" s="284"/>
      <c r="AA3790" s="284"/>
      <c r="AB3790" s="284"/>
      <c r="AC3790" s="284"/>
      <c r="AD3790" s="284"/>
      <c r="AE3790" s="284"/>
      <c r="AF3790" s="284"/>
      <c r="AG3790" s="284"/>
      <c r="AH3790" s="284"/>
      <c r="AI3790" s="284"/>
      <c r="AJ3790" s="284"/>
      <c r="AK3790" s="284"/>
      <c r="AL3790" s="284"/>
    </row>
    <row r="3791" ht="15.75" customHeight="1">
      <c r="A3791" s="115">
        <f t="shared" si="29"/>
        <v>4610</v>
      </c>
      <c r="B3791" s="313" t="s">
        <v>12922</v>
      </c>
      <c r="C3791" s="311" t="s">
        <v>12923</v>
      </c>
      <c r="D3791" s="312" t="s">
        <v>12924</v>
      </c>
      <c r="E3791" s="313" t="s">
        <v>144</v>
      </c>
      <c r="F3791" s="313" t="s">
        <v>29</v>
      </c>
      <c r="G3791" s="313" t="s">
        <v>30</v>
      </c>
      <c r="H3791" s="313"/>
      <c r="I3791" s="313" t="s">
        <v>30</v>
      </c>
      <c r="J3791" s="313">
        <f>58</f>
        <v>58</v>
      </c>
      <c r="K3791" s="313"/>
      <c r="L3791" s="313" t="s">
        <v>12925</v>
      </c>
      <c r="M3791" s="313" t="s">
        <v>4397</v>
      </c>
      <c r="N3791" s="313">
        <v>2011.0</v>
      </c>
      <c r="O3791" s="313" t="s">
        <v>388</v>
      </c>
      <c r="P3791" s="313">
        <v>1.0</v>
      </c>
      <c r="Q3791" s="56"/>
      <c r="R3791" s="288"/>
      <c r="S3791" s="34"/>
      <c r="T3791" s="34"/>
      <c r="U3791" s="34"/>
      <c r="V3791" s="34"/>
      <c r="W3791" s="34"/>
      <c r="X3791" s="34"/>
      <c r="Y3791" s="284"/>
      <c r="Z3791" s="284"/>
      <c r="AA3791" s="284"/>
      <c r="AB3791" s="284"/>
      <c r="AC3791" s="284"/>
      <c r="AD3791" s="284"/>
      <c r="AE3791" s="284"/>
      <c r="AF3791" s="284"/>
      <c r="AG3791" s="284"/>
      <c r="AH3791" s="284"/>
      <c r="AI3791" s="284"/>
      <c r="AJ3791" s="284"/>
      <c r="AK3791" s="284"/>
      <c r="AL3791" s="284"/>
    </row>
    <row r="3792" ht="15.75" customHeight="1">
      <c r="A3792" s="115">
        <f t="shared" si="29"/>
        <v>4611</v>
      </c>
      <c r="B3792" s="49"/>
      <c r="C3792" s="272" t="s">
        <v>12926</v>
      </c>
      <c r="D3792" s="55" t="s">
        <v>12927</v>
      </c>
      <c r="E3792" s="49" t="s">
        <v>144</v>
      </c>
      <c r="F3792" s="49" t="s">
        <v>29</v>
      </c>
      <c r="G3792" s="49" t="s">
        <v>30</v>
      </c>
      <c r="H3792" s="49"/>
      <c r="I3792" s="49" t="s">
        <v>30</v>
      </c>
      <c r="J3792" s="49">
        <v>29.0</v>
      </c>
      <c r="K3792" s="49"/>
      <c r="L3792" s="49" t="s">
        <v>3055</v>
      </c>
      <c r="M3792" s="49" t="s">
        <v>9174</v>
      </c>
      <c r="N3792" s="49"/>
      <c r="O3792" s="49" t="s">
        <v>388</v>
      </c>
      <c r="P3792" s="49">
        <v>2.0</v>
      </c>
      <c r="Q3792" s="56"/>
      <c r="R3792" s="288"/>
      <c r="S3792" s="116"/>
      <c r="T3792" s="116"/>
      <c r="U3792" s="116"/>
      <c r="V3792" s="116"/>
      <c r="W3792" s="116"/>
      <c r="X3792" s="116"/>
      <c r="Y3792" s="284"/>
      <c r="Z3792" s="284"/>
      <c r="AA3792" s="284"/>
      <c r="AB3792" s="284"/>
      <c r="AC3792" s="284"/>
      <c r="AD3792" s="284"/>
      <c r="AE3792" s="284"/>
      <c r="AF3792" s="284"/>
      <c r="AG3792" s="284"/>
      <c r="AH3792" s="284"/>
      <c r="AI3792" s="284"/>
      <c r="AJ3792" s="284"/>
      <c r="AK3792" s="284"/>
      <c r="AL3792" s="284"/>
    </row>
    <row r="3793" ht="15.75" customHeight="1">
      <c r="A3793" s="115">
        <f t="shared" si="29"/>
        <v>4612</v>
      </c>
      <c r="B3793" s="49" t="s">
        <v>12778</v>
      </c>
      <c r="C3793" s="272" t="s">
        <v>12928</v>
      </c>
      <c r="D3793" s="55" t="s">
        <v>12929</v>
      </c>
      <c r="E3793" s="49"/>
      <c r="F3793" s="49" t="s">
        <v>29</v>
      </c>
      <c r="G3793" s="49" t="s">
        <v>37</v>
      </c>
      <c r="H3793" s="49"/>
      <c r="I3793" s="49" t="s">
        <v>38</v>
      </c>
      <c r="J3793" s="49">
        <v>321.0</v>
      </c>
      <c r="K3793" s="49"/>
      <c r="L3793" s="49" t="s">
        <v>12781</v>
      </c>
      <c r="M3793" s="49" t="s">
        <v>2098</v>
      </c>
      <c r="N3793" s="49">
        <v>1967.0</v>
      </c>
      <c r="O3793" s="49" t="s">
        <v>388</v>
      </c>
      <c r="P3793" s="49">
        <v>1.0</v>
      </c>
      <c r="Q3793" s="56"/>
      <c r="R3793" s="288"/>
      <c r="S3793" s="34"/>
      <c r="T3793" s="34"/>
      <c r="U3793" s="34"/>
      <c r="V3793" s="34"/>
      <c r="W3793" s="34"/>
      <c r="X3793" s="34"/>
      <c r="Y3793" s="284"/>
      <c r="Z3793" s="284"/>
      <c r="AA3793" s="284"/>
      <c r="AB3793" s="284"/>
      <c r="AC3793" s="284"/>
      <c r="AD3793" s="284"/>
      <c r="AE3793" s="284"/>
      <c r="AF3793" s="284"/>
      <c r="AG3793" s="284"/>
      <c r="AH3793" s="284"/>
      <c r="AI3793" s="284"/>
      <c r="AJ3793" s="284"/>
      <c r="AK3793" s="284"/>
      <c r="AL3793" s="284"/>
    </row>
    <row r="3794" ht="15.75" customHeight="1">
      <c r="A3794" s="115">
        <f t="shared" si="29"/>
        <v>4613</v>
      </c>
      <c r="B3794" s="49" t="s">
        <v>12930</v>
      </c>
      <c r="C3794" s="272" t="s">
        <v>12931</v>
      </c>
      <c r="D3794" s="55" t="s">
        <v>12932</v>
      </c>
      <c r="E3794" s="49" t="s">
        <v>31</v>
      </c>
      <c r="F3794" s="49" t="s">
        <v>29</v>
      </c>
      <c r="G3794" s="49" t="s">
        <v>37</v>
      </c>
      <c r="H3794" s="49"/>
      <c r="I3794" s="49" t="s">
        <v>38</v>
      </c>
      <c r="J3794" s="49">
        <v>128.0</v>
      </c>
      <c r="K3794" s="49"/>
      <c r="L3794" s="49" t="s">
        <v>4452</v>
      </c>
      <c r="M3794" s="49" t="s">
        <v>365</v>
      </c>
      <c r="N3794" s="49">
        <v>1989.0</v>
      </c>
      <c r="O3794" s="49" t="s">
        <v>388</v>
      </c>
      <c r="P3794" s="49">
        <v>1.0</v>
      </c>
      <c r="Q3794" s="291"/>
      <c r="R3794" s="288"/>
      <c r="S3794" s="34"/>
      <c r="T3794" s="34"/>
      <c r="U3794" s="34"/>
      <c r="V3794" s="34"/>
      <c r="W3794" s="34"/>
      <c r="X3794" s="34"/>
      <c r="Y3794" s="284"/>
      <c r="Z3794" s="284"/>
      <c r="AA3794" s="284"/>
      <c r="AB3794" s="284"/>
      <c r="AC3794" s="284"/>
      <c r="AD3794" s="284"/>
      <c r="AE3794" s="284"/>
      <c r="AF3794" s="284"/>
      <c r="AG3794" s="284"/>
      <c r="AH3794" s="284"/>
      <c r="AI3794" s="284"/>
      <c r="AJ3794" s="284"/>
      <c r="AK3794" s="284"/>
      <c r="AL3794" s="284"/>
    </row>
    <row r="3795" ht="15.75" customHeight="1">
      <c r="A3795" s="157">
        <f t="shared" si="29"/>
        <v>4614</v>
      </c>
      <c r="B3795" s="158" t="s">
        <v>4159</v>
      </c>
      <c r="C3795" s="204" t="s">
        <v>12933</v>
      </c>
      <c r="D3795" s="160" t="s">
        <v>12934</v>
      </c>
      <c r="E3795" s="158" t="s">
        <v>144</v>
      </c>
      <c r="F3795" s="158" t="s">
        <v>29</v>
      </c>
      <c r="G3795" s="158" t="s">
        <v>30</v>
      </c>
      <c r="H3795" s="158"/>
      <c r="I3795" s="158" t="s">
        <v>30</v>
      </c>
      <c r="J3795" s="158">
        <f>304+6</f>
        <v>310</v>
      </c>
      <c r="K3795" s="158"/>
      <c r="L3795" s="158" t="s">
        <v>4111</v>
      </c>
      <c r="M3795" s="158" t="s">
        <v>4107</v>
      </c>
      <c r="N3795" s="158">
        <v>2006.0</v>
      </c>
      <c r="O3795" s="158" t="s">
        <v>388</v>
      </c>
      <c r="P3795" s="158">
        <v>1.0</v>
      </c>
      <c r="Q3795" s="162"/>
      <c r="R3795" s="289"/>
      <c r="S3795" s="34"/>
      <c r="T3795" s="34"/>
      <c r="U3795" s="34"/>
      <c r="V3795" s="34"/>
      <c r="W3795" s="34"/>
      <c r="X3795" s="34"/>
      <c r="Y3795" s="284"/>
      <c r="Z3795" s="284"/>
      <c r="AA3795" s="284"/>
      <c r="AB3795" s="284"/>
      <c r="AC3795" s="284"/>
      <c r="AD3795" s="284"/>
      <c r="AE3795" s="284"/>
      <c r="AF3795" s="284"/>
      <c r="AG3795" s="284"/>
      <c r="AH3795" s="284"/>
      <c r="AI3795" s="284"/>
      <c r="AJ3795" s="284"/>
      <c r="AK3795" s="284"/>
      <c r="AL3795" s="284"/>
    </row>
    <row r="3796" ht="15.75" customHeight="1">
      <c r="A3796" s="115">
        <f t="shared" si="29"/>
        <v>4615</v>
      </c>
      <c r="B3796" s="49" t="s">
        <v>4104</v>
      </c>
      <c r="C3796" s="272" t="s">
        <v>12935</v>
      </c>
      <c r="D3796" s="55" t="s">
        <v>12936</v>
      </c>
      <c r="E3796" s="49" t="s">
        <v>144</v>
      </c>
      <c r="F3796" s="49" t="s">
        <v>29</v>
      </c>
      <c r="G3796" s="49" t="s">
        <v>30</v>
      </c>
      <c r="H3796" s="49"/>
      <c r="I3796" s="49" t="s">
        <v>30</v>
      </c>
      <c r="J3796" s="49">
        <v>456.0</v>
      </c>
      <c r="K3796" s="49"/>
      <c r="L3796" s="49" t="s">
        <v>4111</v>
      </c>
      <c r="M3796" s="49" t="s">
        <v>4107</v>
      </c>
      <c r="N3796" s="49">
        <v>2005.0</v>
      </c>
      <c r="O3796" s="49" t="s">
        <v>388</v>
      </c>
      <c r="P3796" s="49">
        <v>1.0</v>
      </c>
      <c r="Q3796" s="56"/>
      <c r="R3796" s="301"/>
      <c r="S3796" s="40"/>
      <c r="T3796" s="40"/>
      <c r="U3796" s="40"/>
      <c r="V3796" s="40"/>
      <c r="W3796" s="40"/>
      <c r="X3796" s="40"/>
      <c r="Y3796" s="284"/>
      <c r="Z3796" s="284"/>
      <c r="AA3796" s="284"/>
      <c r="AB3796" s="284"/>
      <c r="AC3796" s="284"/>
      <c r="AD3796" s="284"/>
      <c r="AE3796" s="284"/>
      <c r="AF3796" s="284"/>
      <c r="AG3796" s="284"/>
      <c r="AH3796" s="284"/>
      <c r="AI3796" s="284"/>
      <c r="AJ3796" s="284"/>
      <c r="AK3796" s="284"/>
      <c r="AL3796" s="284"/>
    </row>
    <row r="3797" ht="15.75" customHeight="1">
      <c r="A3797" s="115">
        <f t="shared" si="29"/>
        <v>4616</v>
      </c>
      <c r="B3797" s="49" t="s">
        <v>31</v>
      </c>
      <c r="C3797" s="272" t="s">
        <v>12937</v>
      </c>
      <c r="D3797" s="55" t="s">
        <v>12938</v>
      </c>
      <c r="E3797" s="49" t="s">
        <v>31</v>
      </c>
      <c r="F3797" s="49" t="s">
        <v>29</v>
      </c>
      <c r="G3797" s="49" t="s">
        <v>30</v>
      </c>
      <c r="H3797" s="49"/>
      <c r="I3797" s="49" t="s">
        <v>30</v>
      </c>
      <c r="J3797" s="49">
        <v>70.0</v>
      </c>
      <c r="K3797" s="49"/>
      <c r="L3797" s="49" t="s">
        <v>3026</v>
      </c>
      <c r="M3797" s="49" t="s">
        <v>3027</v>
      </c>
      <c r="N3797" s="49">
        <v>2002.0</v>
      </c>
      <c r="O3797" s="49" t="s">
        <v>388</v>
      </c>
      <c r="P3797" s="49">
        <v>1.0</v>
      </c>
      <c r="Q3797" s="56"/>
      <c r="R3797" s="288"/>
      <c r="S3797" s="34"/>
      <c r="T3797" s="34"/>
      <c r="U3797" s="34"/>
      <c r="V3797" s="34"/>
      <c r="W3797" s="34"/>
      <c r="X3797" s="34"/>
      <c r="Y3797" s="284"/>
      <c r="Z3797" s="284"/>
      <c r="AA3797" s="284"/>
      <c r="AB3797" s="284"/>
      <c r="AC3797" s="284"/>
      <c r="AD3797" s="284"/>
      <c r="AE3797" s="284"/>
      <c r="AF3797" s="284"/>
      <c r="AG3797" s="284"/>
      <c r="AH3797" s="284"/>
      <c r="AI3797" s="284"/>
      <c r="AJ3797" s="284"/>
      <c r="AK3797" s="284"/>
      <c r="AL3797" s="284"/>
    </row>
    <row r="3798" ht="15.75" customHeight="1">
      <c r="A3798" s="115">
        <f t="shared" si="29"/>
        <v>4617</v>
      </c>
      <c r="B3798" s="313"/>
      <c r="C3798" s="311" t="s">
        <v>12939</v>
      </c>
      <c r="D3798" s="312" t="s">
        <v>12940</v>
      </c>
      <c r="E3798" s="313" t="s">
        <v>144</v>
      </c>
      <c r="F3798" s="313" t="s">
        <v>29</v>
      </c>
      <c r="G3798" s="313" t="s">
        <v>30</v>
      </c>
      <c r="H3798" s="313"/>
      <c r="I3798" s="313" t="s">
        <v>30</v>
      </c>
      <c r="J3798" s="313">
        <f>70+8</f>
        <v>78</v>
      </c>
      <c r="K3798" s="313"/>
      <c r="L3798" s="313" t="s">
        <v>12941</v>
      </c>
      <c r="M3798" s="313" t="s">
        <v>3027</v>
      </c>
      <c r="N3798" s="313">
        <v>2002.0</v>
      </c>
      <c r="O3798" s="313" t="s">
        <v>388</v>
      </c>
      <c r="P3798" s="313">
        <v>1.0</v>
      </c>
      <c r="Q3798" s="56"/>
      <c r="R3798" s="288"/>
      <c r="S3798" s="34"/>
      <c r="T3798" s="34"/>
      <c r="U3798" s="34"/>
      <c r="V3798" s="34"/>
      <c r="W3798" s="34"/>
      <c r="X3798" s="34"/>
      <c r="Y3798" s="284"/>
      <c r="Z3798" s="284"/>
      <c r="AA3798" s="284"/>
      <c r="AB3798" s="284"/>
      <c r="AC3798" s="284"/>
      <c r="AD3798" s="284"/>
      <c r="AE3798" s="284"/>
      <c r="AF3798" s="284"/>
      <c r="AG3798" s="284"/>
      <c r="AH3798" s="284"/>
      <c r="AI3798" s="284"/>
      <c r="AJ3798" s="284"/>
      <c r="AK3798" s="284"/>
      <c r="AL3798" s="284"/>
    </row>
    <row r="3799" ht="15.75" customHeight="1">
      <c r="A3799" s="115">
        <f t="shared" si="29"/>
        <v>4618</v>
      </c>
      <c r="B3799" s="49" t="s">
        <v>12942</v>
      </c>
      <c r="C3799" s="272" t="s">
        <v>12943</v>
      </c>
      <c r="D3799" s="55" t="s">
        <v>12944</v>
      </c>
      <c r="E3799" s="49" t="s">
        <v>31</v>
      </c>
      <c r="F3799" s="49" t="s">
        <v>29</v>
      </c>
      <c r="G3799" s="49" t="s">
        <v>30</v>
      </c>
      <c r="H3799" s="49"/>
      <c r="I3799" s="49" t="s">
        <v>30</v>
      </c>
      <c r="J3799" s="49">
        <v>174.0</v>
      </c>
      <c r="K3799" s="49"/>
      <c r="L3799" s="49" t="s">
        <v>12945</v>
      </c>
      <c r="M3799" s="49" t="s">
        <v>3991</v>
      </c>
      <c r="N3799" s="49">
        <v>2007.0</v>
      </c>
      <c r="O3799" s="49" t="s">
        <v>388</v>
      </c>
      <c r="P3799" s="49">
        <v>1.0</v>
      </c>
      <c r="Q3799" s="56"/>
      <c r="R3799" s="288"/>
      <c r="S3799" s="34"/>
      <c r="T3799" s="34"/>
      <c r="U3799" s="34"/>
      <c r="V3799" s="34"/>
      <c r="W3799" s="34"/>
      <c r="X3799" s="34"/>
      <c r="Y3799" s="284"/>
      <c r="Z3799" s="284"/>
      <c r="AA3799" s="284"/>
      <c r="AB3799" s="284"/>
      <c r="AC3799" s="284"/>
      <c r="AD3799" s="284"/>
      <c r="AE3799" s="284"/>
      <c r="AF3799" s="284"/>
      <c r="AG3799" s="284"/>
      <c r="AH3799" s="284"/>
      <c r="AI3799" s="284"/>
      <c r="AJ3799" s="284"/>
      <c r="AK3799" s="284"/>
      <c r="AL3799" s="284"/>
    </row>
    <row r="3800" ht="15.75" customHeight="1">
      <c r="A3800" s="115">
        <f t="shared" si="29"/>
        <v>4619</v>
      </c>
      <c r="B3800" s="49" t="s">
        <v>12946</v>
      </c>
      <c r="C3800" s="272" t="s">
        <v>12947</v>
      </c>
      <c r="D3800" s="55" t="s">
        <v>12948</v>
      </c>
      <c r="E3800" s="49" t="s">
        <v>31</v>
      </c>
      <c r="F3800" s="49" t="s">
        <v>29</v>
      </c>
      <c r="G3800" s="49" t="s">
        <v>37</v>
      </c>
      <c r="H3800" s="49"/>
      <c r="I3800" s="49" t="s">
        <v>30</v>
      </c>
      <c r="J3800" s="49">
        <v>240.0</v>
      </c>
      <c r="K3800" s="49"/>
      <c r="L3800" s="49" t="s">
        <v>12949</v>
      </c>
      <c r="M3800" s="49" t="s">
        <v>72</v>
      </c>
      <c r="N3800" s="49">
        <v>1969.0</v>
      </c>
      <c r="O3800" s="49" t="s">
        <v>388</v>
      </c>
      <c r="P3800" s="49">
        <v>1.0</v>
      </c>
      <c r="Q3800" s="56"/>
      <c r="R3800" s="288"/>
      <c r="S3800" s="34"/>
      <c r="T3800" s="34"/>
      <c r="U3800" s="34"/>
      <c r="V3800" s="34"/>
      <c r="W3800" s="34"/>
      <c r="X3800" s="34"/>
      <c r="Y3800" s="284"/>
      <c r="Z3800" s="284"/>
      <c r="AA3800" s="284"/>
      <c r="AB3800" s="284"/>
      <c r="AC3800" s="284"/>
      <c r="AD3800" s="284"/>
      <c r="AE3800" s="284"/>
      <c r="AF3800" s="284"/>
      <c r="AG3800" s="284"/>
      <c r="AH3800" s="284"/>
      <c r="AI3800" s="284"/>
      <c r="AJ3800" s="284"/>
      <c r="AK3800" s="284"/>
      <c r="AL3800" s="284"/>
    </row>
    <row r="3801" ht="15.75" customHeight="1">
      <c r="A3801" s="115">
        <f t="shared" si="29"/>
        <v>4620</v>
      </c>
      <c r="B3801" s="49" t="s">
        <v>2429</v>
      </c>
      <c r="C3801" s="272" t="s">
        <v>12950</v>
      </c>
      <c r="D3801" s="55" t="s">
        <v>12951</v>
      </c>
      <c r="E3801" s="49" t="s">
        <v>144</v>
      </c>
      <c r="F3801" s="49" t="s">
        <v>29</v>
      </c>
      <c r="G3801" s="49" t="s">
        <v>38</v>
      </c>
      <c r="H3801" s="49"/>
      <c r="I3801" s="49" t="s">
        <v>38</v>
      </c>
      <c r="J3801" s="49">
        <f>280+24</f>
        <v>304</v>
      </c>
      <c r="K3801" s="49"/>
      <c r="L3801" s="49" t="s">
        <v>12952</v>
      </c>
      <c r="M3801" s="49" t="s">
        <v>2433</v>
      </c>
      <c r="N3801" s="49">
        <v>1996.0</v>
      </c>
      <c r="O3801" s="49" t="s">
        <v>388</v>
      </c>
      <c r="P3801" s="49">
        <v>1.0</v>
      </c>
      <c r="Q3801" s="56"/>
      <c r="R3801" s="288"/>
      <c r="S3801" s="34"/>
      <c r="T3801" s="34"/>
      <c r="U3801" s="34"/>
      <c r="V3801" s="34"/>
      <c r="W3801" s="34"/>
      <c r="X3801" s="34"/>
      <c r="Y3801" s="284"/>
      <c r="Z3801" s="284"/>
      <c r="AA3801" s="284"/>
      <c r="AB3801" s="284"/>
      <c r="AC3801" s="284"/>
      <c r="AD3801" s="284"/>
      <c r="AE3801" s="284"/>
      <c r="AF3801" s="284"/>
      <c r="AG3801" s="284"/>
      <c r="AH3801" s="284"/>
      <c r="AI3801" s="284"/>
      <c r="AJ3801" s="284"/>
      <c r="AK3801" s="284"/>
      <c r="AL3801" s="284"/>
    </row>
    <row r="3802" ht="15.75" customHeight="1">
      <c r="A3802" s="115">
        <f t="shared" si="29"/>
        <v>4621</v>
      </c>
      <c r="B3802" s="49" t="s">
        <v>2438</v>
      </c>
      <c r="C3802" s="272" t="s">
        <v>12953</v>
      </c>
      <c r="D3802" s="55" t="s">
        <v>12954</v>
      </c>
      <c r="E3802" s="49" t="s">
        <v>31</v>
      </c>
      <c r="F3802" s="49" t="s">
        <v>29</v>
      </c>
      <c r="G3802" s="49" t="s">
        <v>30</v>
      </c>
      <c r="H3802" s="49"/>
      <c r="I3802" s="49" t="s">
        <v>30</v>
      </c>
      <c r="J3802" s="49">
        <v>122.0</v>
      </c>
      <c r="K3802" s="49"/>
      <c r="L3802" s="49" t="s">
        <v>12955</v>
      </c>
      <c r="M3802" s="49" t="s">
        <v>2442</v>
      </c>
      <c r="N3802" s="49">
        <v>2007.0</v>
      </c>
      <c r="O3802" s="49" t="s">
        <v>388</v>
      </c>
      <c r="P3802" s="49">
        <v>1.0</v>
      </c>
      <c r="Q3802" s="56"/>
      <c r="R3802" s="288"/>
      <c r="S3802" s="34"/>
      <c r="T3802" s="34"/>
      <c r="U3802" s="34"/>
      <c r="V3802" s="34"/>
      <c r="W3802" s="34"/>
      <c r="X3802" s="34"/>
      <c r="Y3802" s="284"/>
      <c r="Z3802" s="284"/>
      <c r="AA3802" s="284"/>
      <c r="AB3802" s="284"/>
      <c r="AC3802" s="284"/>
      <c r="AD3802" s="284"/>
      <c r="AE3802" s="284"/>
      <c r="AF3802" s="284"/>
      <c r="AG3802" s="284"/>
      <c r="AH3802" s="284"/>
      <c r="AI3802" s="284"/>
      <c r="AJ3802" s="284"/>
      <c r="AK3802" s="284"/>
      <c r="AL3802" s="284"/>
    </row>
    <row r="3803" ht="15.75" customHeight="1">
      <c r="A3803" s="157">
        <f t="shared" si="29"/>
        <v>4622</v>
      </c>
      <c r="B3803" s="158" t="s">
        <v>2459</v>
      </c>
      <c r="C3803" s="204" t="s">
        <v>12956</v>
      </c>
      <c r="D3803" s="160" t="s">
        <v>12957</v>
      </c>
      <c r="E3803" s="158" t="s">
        <v>144</v>
      </c>
      <c r="F3803" s="158" t="s">
        <v>29</v>
      </c>
      <c r="G3803" s="158" t="s">
        <v>30</v>
      </c>
      <c r="H3803" s="158"/>
      <c r="I3803" s="158" t="s">
        <v>30</v>
      </c>
      <c r="J3803" s="158">
        <f>126</f>
        <v>126</v>
      </c>
      <c r="K3803" s="158"/>
      <c r="L3803" s="158" t="s">
        <v>2462</v>
      </c>
      <c r="M3803" s="158" t="s">
        <v>12958</v>
      </c>
      <c r="N3803" s="158">
        <v>1997.0</v>
      </c>
      <c r="O3803" s="158" t="s">
        <v>388</v>
      </c>
      <c r="P3803" s="158">
        <v>1.0</v>
      </c>
      <c r="Q3803" s="162">
        <v>1.0</v>
      </c>
      <c r="R3803" s="289"/>
      <c r="S3803" s="34"/>
      <c r="T3803" s="34"/>
      <c r="U3803" s="34"/>
      <c r="V3803" s="34"/>
      <c r="W3803" s="34"/>
      <c r="X3803" s="34"/>
      <c r="Y3803" s="284"/>
      <c r="Z3803" s="284"/>
      <c r="AA3803" s="284"/>
      <c r="AB3803" s="284"/>
      <c r="AC3803" s="284"/>
      <c r="AD3803" s="284"/>
      <c r="AE3803" s="284"/>
      <c r="AF3803" s="284"/>
      <c r="AG3803" s="284"/>
      <c r="AH3803" s="284"/>
      <c r="AI3803" s="284"/>
      <c r="AJ3803" s="284"/>
      <c r="AK3803" s="284"/>
      <c r="AL3803" s="284"/>
    </row>
    <row r="3804" ht="15.75" customHeight="1">
      <c r="A3804" s="115">
        <f t="shared" si="29"/>
        <v>4623</v>
      </c>
      <c r="B3804" s="49" t="s">
        <v>31</v>
      </c>
      <c r="C3804" s="317" t="s">
        <v>12959</v>
      </c>
      <c r="D3804" s="318" t="s">
        <v>12960</v>
      </c>
      <c r="E3804" s="316" t="s">
        <v>31</v>
      </c>
      <c r="F3804" s="316" t="s">
        <v>29</v>
      </c>
      <c r="G3804" s="316" t="s">
        <v>30</v>
      </c>
      <c r="H3804" s="316"/>
      <c r="I3804" s="316" t="s">
        <v>30</v>
      </c>
      <c r="J3804" s="316">
        <v>28.0</v>
      </c>
      <c r="K3804" s="316"/>
      <c r="L3804" s="316" t="s">
        <v>12961</v>
      </c>
      <c r="M3804" s="316" t="s">
        <v>31</v>
      </c>
      <c r="N3804" s="316" t="s">
        <v>31</v>
      </c>
      <c r="O3804" s="49" t="s">
        <v>388</v>
      </c>
      <c r="P3804" s="316">
        <v>1.0</v>
      </c>
      <c r="Q3804" s="319"/>
      <c r="R3804" s="288"/>
      <c r="S3804" s="34"/>
      <c r="T3804" s="34"/>
      <c r="U3804" s="34"/>
      <c r="V3804" s="34"/>
      <c r="W3804" s="34"/>
      <c r="X3804" s="34"/>
      <c r="Y3804" s="284"/>
      <c r="Z3804" s="284"/>
      <c r="AA3804" s="284"/>
      <c r="AB3804" s="284"/>
      <c r="AC3804" s="284"/>
      <c r="AD3804" s="284"/>
      <c r="AE3804" s="284"/>
      <c r="AF3804" s="284"/>
      <c r="AG3804" s="284"/>
      <c r="AH3804" s="284"/>
      <c r="AI3804" s="284"/>
      <c r="AJ3804" s="284"/>
      <c r="AK3804" s="284"/>
      <c r="AL3804" s="284"/>
    </row>
    <row r="3805" ht="15.75" customHeight="1">
      <c r="A3805" s="115">
        <f t="shared" si="29"/>
        <v>4624</v>
      </c>
      <c r="B3805" s="49" t="s">
        <v>12962</v>
      </c>
      <c r="C3805" s="317" t="s">
        <v>12963</v>
      </c>
      <c r="D3805" s="318" t="s">
        <v>12964</v>
      </c>
      <c r="E3805" s="316" t="s">
        <v>302</v>
      </c>
      <c r="F3805" s="316" t="s">
        <v>29</v>
      </c>
      <c r="G3805" s="316" t="s">
        <v>37</v>
      </c>
      <c r="H3805" s="316"/>
      <c r="I3805" s="316" t="s">
        <v>38</v>
      </c>
      <c r="J3805" s="316">
        <v>248.0</v>
      </c>
      <c r="K3805" s="316"/>
      <c r="L3805" s="316" t="s">
        <v>1021</v>
      </c>
      <c r="M3805" s="316" t="s">
        <v>230</v>
      </c>
      <c r="N3805" s="316">
        <v>2006.0</v>
      </c>
      <c r="O3805" s="49" t="s">
        <v>388</v>
      </c>
      <c r="P3805" s="316">
        <v>1.0</v>
      </c>
      <c r="Q3805" s="319"/>
      <c r="R3805" s="288"/>
      <c r="S3805" s="34"/>
      <c r="T3805" s="34"/>
      <c r="U3805" s="34"/>
      <c r="V3805" s="34"/>
      <c r="W3805" s="34"/>
      <c r="X3805" s="34"/>
      <c r="Y3805" s="284"/>
      <c r="Z3805" s="284"/>
      <c r="AA3805" s="284"/>
      <c r="AB3805" s="284"/>
      <c r="AC3805" s="284"/>
      <c r="AD3805" s="284"/>
      <c r="AE3805" s="284"/>
      <c r="AF3805" s="284"/>
      <c r="AG3805" s="284"/>
      <c r="AH3805" s="284"/>
      <c r="AI3805" s="284"/>
      <c r="AJ3805" s="284"/>
      <c r="AK3805" s="284"/>
      <c r="AL3805" s="284"/>
    </row>
    <row r="3806" ht="15.75" customHeight="1">
      <c r="A3806" s="115">
        <f t="shared" si="29"/>
        <v>4625</v>
      </c>
      <c r="B3806" s="49" t="s">
        <v>12965</v>
      </c>
      <c r="C3806" s="317" t="s">
        <v>12966</v>
      </c>
      <c r="D3806" s="318" t="s">
        <v>12967</v>
      </c>
      <c r="E3806" s="316" t="s">
        <v>302</v>
      </c>
      <c r="F3806" s="316" t="s">
        <v>29</v>
      </c>
      <c r="G3806" s="316" t="s">
        <v>37</v>
      </c>
      <c r="H3806" s="316"/>
      <c r="I3806" s="316" t="s">
        <v>38</v>
      </c>
      <c r="J3806" s="316">
        <v>426.0</v>
      </c>
      <c r="K3806" s="316"/>
      <c r="L3806" s="316" t="s">
        <v>12968</v>
      </c>
      <c r="M3806" s="316" t="s">
        <v>230</v>
      </c>
      <c r="N3806" s="316">
        <v>1998.0</v>
      </c>
      <c r="O3806" s="49" t="s">
        <v>388</v>
      </c>
      <c r="P3806" s="316">
        <v>1.0</v>
      </c>
      <c r="Q3806" s="319"/>
      <c r="R3806" s="301"/>
      <c r="S3806" s="40"/>
      <c r="T3806" s="40"/>
      <c r="U3806" s="40"/>
      <c r="V3806" s="40"/>
      <c r="W3806" s="40"/>
      <c r="X3806" s="40"/>
      <c r="Y3806" s="284"/>
      <c r="Z3806" s="284"/>
      <c r="AA3806" s="284"/>
      <c r="AB3806" s="284"/>
      <c r="AC3806" s="284"/>
      <c r="AD3806" s="284"/>
      <c r="AE3806" s="284"/>
      <c r="AF3806" s="284"/>
      <c r="AG3806" s="284"/>
      <c r="AH3806" s="284"/>
      <c r="AI3806" s="284"/>
      <c r="AJ3806" s="284"/>
      <c r="AK3806" s="284"/>
      <c r="AL3806" s="284"/>
    </row>
    <row r="3807" ht="15.75" customHeight="1">
      <c r="A3807" s="115">
        <f t="shared" si="29"/>
        <v>4626</v>
      </c>
      <c r="B3807" s="49" t="s">
        <v>1092</v>
      </c>
      <c r="C3807" s="272" t="s">
        <v>12969</v>
      </c>
      <c r="D3807" s="55" t="s">
        <v>12970</v>
      </c>
      <c r="E3807" s="49"/>
      <c r="F3807" s="49" t="s">
        <v>29</v>
      </c>
      <c r="G3807" s="49" t="s">
        <v>30</v>
      </c>
      <c r="H3807" s="49"/>
      <c r="I3807" s="49" t="s">
        <v>30</v>
      </c>
      <c r="J3807" s="49">
        <v>236.0</v>
      </c>
      <c r="K3807" s="49"/>
      <c r="L3807" s="49" t="s">
        <v>12971</v>
      </c>
      <c r="M3807" s="49" t="s">
        <v>12972</v>
      </c>
      <c r="N3807" s="49">
        <v>2007.0</v>
      </c>
      <c r="O3807" s="49" t="s">
        <v>388</v>
      </c>
      <c r="P3807" s="49">
        <v>2.0</v>
      </c>
      <c r="Q3807" s="56"/>
      <c r="R3807" s="54"/>
      <c r="S3807" s="281"/>
      <c r="T3807" s="281"/>
      <c r="U3807" s="281"/>
      <c r="V3807" s="281"/>
      <c r="W3807" s="281"/>
      <c r="X3807" s="281"/>
      <c r="Y3807" s="282"/>
      <c r="Z3807" s="282"/>
      <c r="AA3807" s="282"/>
      <c r="AB3807" s="282"/>
      <c r="AC3807" s="282"/>
      <c r="AD3807" s="282"/>
      <c r="AE3807" s="282"/>
      <c r="AF3807" s="282"/>
      <c r="AG3807" s="282"/>
      <c r="AH3807" s="282"/>
      <c r="AI3807" s="282"/>
      <c r="AJ3807" s="282"/>
      <c r="AK3807" s="282"/>
      <c r="AL3807" s="282"/>
    </row>
    <row r="3808" ht="15.75" customHeight="1">
      <c r="A3808" s="115">
        <f t="shared" si="29"/>
        <v>4627</v>
      </c>
      <c r="B3808" s="49"/>
      <c r="C3808" s="272" t="s">
        <v>12973</v>
      </c>
      <c r="D3808" s="55" t="s">
        <v>12974</v>
      </c>
      <c r="E3808" s="49" t="s">
        <v>144</v>
      </c>
      <c r="F3808" s="49" t="s">
        <v>29</v>
      </c>
      <c r="G3808" s="49" t="s">
        <v>30</v>
      </c>
      <c r="H3808" s="49"/>
      <c r="I3808" s="49" t="s">
        <v>30</v>
      </c>
      <c r="J3808" s="49">
        <f>94</f>
        <v>94</v>
      </c>
      <c r="K3808" s="49"/>
      <c r="L3808" s="49" t="s">
        <v>12975</v>
      </c>
      <c r="M3808" s="49" t="s">
        <v>12976</v>
      </c>
      <c r="N3808" s="49">
        <v>2015.0</v>
      </c>
      <c r="O3808" s="49" t="s">
        <v>388</v>
      </c>
      <c r="P3808" s="49">
        <v>1.0</v>
      </c>
      <c r="Q3808" s="56"/>
      <c r="R3808" s="54"/>
      <c r="S3808" s="281"/>
      <c r="T3808" s="281"/>
      <c r="U3808" s="281"/>
      <c r="V3808" s="281"/>
      <c r="W3808" s="281"/>
      <c r="X3808" s="281"/>
      <c r="Y3808" s="282"/>
      <c r="Z3808" s="282"/>
      <c r="AA3808" s="282"/>
      <c r="AB3808" s="282"/>
      <c r="AC3808" s="282"/>
      <c r="AD3808" s="282"/>
      <c r="AE3808" s="282"/>
      <c r="AF3808" s="282"/>
      <c r="AG3808" s="282"/>
      <c r="AH3808" s="282"/>
      <c r="AI3808" s="282"/>
      <c r="AJ3808" s="282"/>
      <c r="AK3808" s="282"/>
      <c r="AL3808" s="282"/>
    </row>
    <row r="3809" ht="15.75" customHeight="1">
      <c r="A3809" s="115">
        <f t="shared" si="29"/>
        <v>4628</v>
      </c>
      <c r="B3809" s="49" t="s">
        <v>12977</v>
      </c>
      <c r="C3809" s="272" t="s">
        <v>12978</v>
      </c>
      <c r="D3809" s="55" t="s">
        <v>12979</v>
      </c>
      <c r="E3809" s="49" t="s">
        <v>144</v>
      </c>
      <c r="F3809" s="49" t="s">
        <v>29</v>
      </c>
      <c r="G3809" s="49" t="s">
        <v>12980</v>
      </c>
      <c r="H3809" s="49"/>
      <c r="I3809" s="49" t="s">
        <v>12980</v>
      </c>
      <c r="J3809" s="49">
        <v>184.0</v>
      </c>
      <c r="K3809" s="49"/>
      <c r="L3809" s="49" t="s">
        <v>11691</v>
      </c>
      <c r="M3809" s="49" t="s">
        <v>12981</v>
      </c>
      <c r="N3809" s="49">
        <v>2016.0</v>
      </c>
      <c r="O3809" s="49" t="s">
        <v>388</v>
      </c>
      <c r="P3809" s="49">
        <v>1.0</v>
      </c>
      <c r="Q3809" s="56"/>
      <c r="R3809" s="54"/>
      <c r="S3809" s="34"/>
      <c r="T3809" s="34"/>
      <c r="U3809" s="34"/>
      <c r="V3809" s="34"/>
      <c r="W3809" s="34"/>
      <c r="X3809" s="34"/>
      <c r="Y3809" s="45"/>
      <c r="Z3809" s="45"/>
      <c r="AA3809" s="45"/>
      <c r="AB3809" s="45"/>
      <c r="AC3809" s="45"/>
      <c r="AD3809" s="45"/>
      <c r="AE3809" s="45"/>
      <c r="AF3809" s="45"/>
      <c r="AG3809" s="45"/>
      <c r="AH3809" s="45"/>
      <c r="AI3809" s="45"/>
      <c r="AJ3809" s="45"/>
      <c r="AK3809" s="45"/>
      <c r="AL3809" s="45"/>
    </row>
    <row r="3810" ht="15.75" customHeight="1">
      <c r="A3810" s="115">
        <f t="shared" si="29"/>
        <v>4629</v>
      </c>
      <c r="B3810" s="49"/>
      <c r="C3810" s="272" t="s">
        <v>12982</v>
      </c>
      <c r="D3810" s="55" t="s">
        <v>12983</v>
      </c>
      <c r="E3810" s="49" t="s">
        <v>144</v>
      </c>
      <c r="F3810" s="49" t="s">
        <v>29</v>
      </c>
      <c r="G3810" s="49" t="s">
        <v>30</v>
      </c>
      <c r="H3810" s="49"/>
      <c r="I3810" s="49" t="s">
        <v>30</v>
      </c>
      <c r="J3810" s="49">
        <v>400.0</v>
      </c>
      <c r="K3810" s="49"/>
      <c r="L3810" s="49" t="s">
        <v>12984</v>
      </c>
      <c r="M3810" s="49" t="s">
        <v>2474</v>
      </c>
      <c r="N3810" s="49">
        <v>1994.0</v>
      </c>
      <c r="O3810" s="49" t="s">
        <v>388</v>
      </c>
      <c r="P3810" s="49">
        <v>1.0</v>
      </c>
      <c r="Q3810" s="56"/>
      <c r="R3810" s="288"/>
      <c r="S3810" s="34"/>
      <c r="T3810" s="34"/>
      <c r="U3810" s="34"/>
      <c r="V3810" s="34"/>
      <c r="W3810" s="34"/>
      <c r="X3810" s="34"/>
      <c r="Y3810" s="59"/>
      <c r="Z3810" s="59"/>
      <c r="AA3810" s="59"/>
      <c r="AB3810" s="59"/>
      <c r="AC3810" s="59"/>
      <c r="AD3810" s="59"/>
      <c r="AE3810" s="59"/>
      <c r="AF3810" s="59"/>
      <c r="AG3810" s="59"/>
      <c r="AH3810" s="59"/>
      <c r="AI3810" s="59"/>
      <c r="AJ3810" s="59"/>
      <c r="AK3810" s="59"/>
      <c r="AL3810" s="59"/>
    </row>
    <row r="3811" ht="15.75" customHeight="1">
      <c r="A3811" s="115">
        <f t="shared" si="29"/>
        <v>4630</v>
      </c>
      <c r="B3811" s="49" t="s">
        <v>12985</v>
      </c>
      <c r="C3811" s="50" t="s">
        <v>12986</v>
      </c>
      <c r="D3811" s="55" t="s">
        <v>12987</v>
      </c>
      <c r="E3811" s="49"/>
      <c r="F3811" s="49" t="s">
        <v>29</v>
      </c>
      <c r="G3811" s="49" t="s">
        <v>37</v>
      </c>
      <c r="H3811" s="49"/>
      <c r="I3811" s="49" t="s">
        <v>38</v>
      </c>
      <c r="J3811" s="49">
        <v>95.0</v>
      </c>
      <c r="K3811" s="49"/>
      <c r="L3811" s="52" t="s">
        <v>12988</v>
      </c>
      <c r="M3811" s="52" t="s">
        <v>255</v>
      </c>
      <c r="N3811" s="49">
        <v>1991.0</v>
      </c>
      <c r="O3811" s="49" t="s">
        <v>388</v>
      </c>
      <c r="P3811" s="49">
        <v>1.0</v>
      </c>
      <c r="Q3811" s="56"/>
      <c r="R3811" s="288"/>
      <c r="S3811" s="34"/>
      <c r="T3811" s="34"/>
      <c r="U3811" s="34"/>
      <c r="V3811" s="34"/>
      <c r="W3811" s="34"/>
      <c r="X3811" s="34"/>
      <c r="Y3811" s="59"/>
      <c r="Z3811" s="59"/>
      <c r="AA3811" s="59"/>
      <c r="AB3811" s="59"/>
      <c r="AC3811" s="59"/>
      <c r="AD3811" s="59"/>
      <c r="AE3811" s="59"/>
      <c r="AF3811" s="59"/>
      <c r="AG3811" s="59"/>
      <c r="AH3811" s="59"/>
      <c r="AI3811" s="59"/>
      <c r="AJ3811" s="59"/>
      <c r="AK3811" s="59"/>
      <c r="AL3811" s="59"/>
    </row>
    <row r="3812" ht="15.75" customHeight="1">
      <c r="A3812" s="115">
        <f t="shared" si="29"/>
        <v>4631</v>
      </c>
      <c r="B3812" s="49" t="s">
        <v>31</v>
      </c>
      <c r="C3812" s="272" t="s">
        <v>12989</v>
      </c>
      <c r="D3812" s="55" t="s">
        <v>12990</v>
      </c>
      <c r="E3812" s="49" t="s">
        <v>31</v>
      </c>
      <c r="F3812" s="49" t="s">
        <v>29</v>
      </c>
      <c r="G3812" s="49" t="s">
        <v>30</v>
      </c>
      <c r="H3812" s="49"/>
      <c r="I3812" s="49" t="s">
        <v>30</v>
      </c>
      <c r="J3812" s="49">
        <v>51.0</v>
      </c>
      <c r="K3812" s="49"/>
      <c r="L3812" s="49" t="s">
        <v>12991</v>
      </c>
      <c r="M3812" s="49" t="s">
        <v>31</v>
      </c>
      <c r="N3812" s="49">
        <v>2001.0</v>
      </c>
      <c r="O3812" s="49" t="s">
        <v>388</v>
      </c>
      <c r="P3812" s="49">
        <v>1.0</v>
      </c>
      <c r="Q3812" s="56"/>
      <c r="R3812" s="288"/>
      <c r="S3812" s="34"/>
      <c r="T3812" s="34"/>
      <c r="U3812" s="34"/>
      <c r="V3812" s="34"/>
      <c r="W3812" s="34"/>
      <c r="X3812" s="34"/>
      <c r="Y3812" s="59"/>
      <c r="Z3812" s="59"/>
      <c r="AA3812" s="59"/>
      <c r="AB3812" s="59"/>
      <c r="AC3812" s="59"/>
      <c r="AD3812" s="59"/>
      <c r="AE3812" s="59"/>
      <c r="AF3812" s="59"/>
      <c r="AG3812" s="59"/>
      <c r="AH3812" s="59"/>
      <c r="AI3812" s="59"/>
      <c r="AJ3812" s="59"/>
      <c r="AK3812" s="59"/>
      <c r="AL3812" s="59"/>
    </row>
    <row r="3813" ht="15.75" customHeight="1">
      <c r="A3813" s="115">
        <f t="shared" si="29"/>
        <v>4632</v>
      </c>
      <c r="B3813" s="49" t="s">
        <v>31</v>
      </c>
      <c r="C3813" s="272" t="s">
        <v>12992</v>
      </c>
      <c r="D3813" s="55" t="s">
        <v>12993</v>
      </c>
      <c r="E3813" s="49" t="s">
        <v>31</v>
      </c>
      <c r="F3813" s="49" t="s">
        <v>29</v>
      </c>
      <c r="G3813" s="49" t="s">
        <v>131</v>
      </c>
      <c r="H3813" s="49"/>
      <c r="I3813" s="49" t="s">
        <v>38</v>
      </c>
      <c r="J3813" s="49">
        <v>308.0</v>
      </c>
      <c r="K3813" s="49"/>
      <c r="L3813" s="49" t="s">
        <v>12994</v>
      </c>
      <c r="M3813" s="49" t="s">
        <v>12995</v>
      </c>
      <c r="N3813" s="49">
        <v>1967.0</v>
      </c>
      <c r="O3813" s="49" t="s">
        <v>388</v>
      </c>
      <c r="P3813" s="49">
        <v>1.0</v>
      </c>
      <c r="Q3813" s="56"/>
      <c r="R3813" s="288"/>
      <c r="S3813" s="34"/>
      <c r="T3813" s="34"/>
      <c r="U3813" s="34"/>
      <c r="V3813" s="34"/>
      <c r="W3813" s="34"/>
      <c r="X3813" s="34"/>
      <c r="Y3813" s="59"/>
      <c r="Z3813" s="59"/>
      <c r="AA3813" s="59"/>
      <c r="AB3813" s="59"/>
      <c r="AC3813" s="59"/>
      <c r="AD3813" s="59"/>
      <c r="AE3813" s="59"/>
      <c r="AF3813" s="59"/>
      <c r="AG3813" s="59"/>
      <c r="AH3813" s="59"/>
      <c r="AI3813" s="59"/>
      <c r="AJ3813" s="59"/>
      <c r="AK3813" s="59"/>
      <c r="AL3813" s="59"/>
    </row>
    <row r="3814" ht="15.75" customHeight="1">
      <c r="A3814" s="115">
        <f t="shared" si="29"/>
        <v>4633</v>
      </c>
      <c r="B3814" s="49" t="s">
        <v>2452</v>
      </c>
      <c r="C3814" s="327" t="s">
        <v>12996</v>
      </c>
      <c r="D3814" s="55" t="s">
        <v>12997</v>
      </c>
      <c r="E3814" s="49" t="s">
        <v>144</v>
      </c>
      <c r="F3814" s="49" t="s">
        <v>29</v>
      </c>
      <c r="G3814" s="49" t="s">
        <v>30</v>
      </c>
      <c r="H3814" s="49"/>
      <c r="I3814" s="49" t="s">
        <v>30</v>
      </c>
      <c r="J3814" s="49">
        <f>180</f>
        <v>180</v>
      </c>
      <c r="K3814" s="49"/>
      <c r="L3814" s="49" t="s">
        <v>12998</v>
      </c>
      <c r="M3814" s="49" t="s">
        <v>161</v>
      </c>
      <c r="N3814" s="49">
        <v>2002.0</v>
      </c>
      <c r="O3814" s="49" t="s">
        <v>388</v>
      </c>
      <c r="P3814" s="49">
        <v>1.0</v>
      </c>
      <c r="Q3814" s="56"/>
      <c r="R3814" s="288"/>
      <c r="S3814" s="34"/>
      <c r="T3814" s="34"/>
      <c r="U3814" s="34"/>
      <c r="V3814" s="34"/>
      <c r="W3814" s="34"/>
      <c r="X3814" s="34"/>
      <c r="Y3814" s="284"/>
      <c r="Z3814" s="284"/>
      <c r="AA3814" s="284"/>
      <c r="AB3814" s="284"/>
      <c r="AC3814" s="284"/>
      <c r="AD3814" s="284"/>
      <c r="AE3814" s="284"/>
      <c r="AF3814" s="284"/>
      <c r="AG3814" s="284"/>
      <c r="AH3814" s="284"/>
      <c r="AI3814" s="284"/>
      <c r="AJ3814" s="284"/>
      <c r="AK3814" s="284"/>
      <c r="AL3814" s="284"/>
    </row>
    <row r="3815" ht="15.75" customHeight="1">
      <c r="A3815" s="115">
        <f t="shared" si="29"/>
        <v>4634</v>
      </c>
      <c r="B3815" s="49"/>
      <c r="C3815" s="272" t="s">
        <v>12999</v>
      </c>
      <c r="D3815" s="55" t="s">
        <v>13000</v>
      </c>
      <c r="E3815" s="49" t="s">
        <v>144</v>
      </c>
      <c r="F3815" s="49" t="s">
        <v>29</v>
      </c>
      <c r="G3815" s="49" t="s">
        <v>30</v>
      </c>
      <c r="H3815" s="49"/>
      <c r="I3815" s="49" t="s">
        <v>30</v>
      </c>
      <c r="J3815" s="49">
        <v>12.0</v>
      </c>
      <c r="K3815" s="49"/>
      <c r="L3815" s="49" t="s">
        <v>13001</v>
      </c>
      <c r="M3815" s="49" t="s">
        <v>13001</v>
      </c>
      <c r="N3815" s="49">
        <v>2004.0</v>
      </c>
      <c r="O3815" s="49" t="s">
        <v>388</v>
      </c>
      <c r="P3815" s="49">
        <v>1.0</v>
      </c>
      <c r="Q3815" s="56"/>
      <c r="R3815" s="288"/>
      <c r="S3815" s="34"/>
      <c r="T3815" s="34"/>
      <c r="U3815" s="34"/>
      <c r="V3815" s="34"/>
      <c r="W3815" s="34"/>
      <c r="X3815" s="34"/>
      <c r="Y3815" s="284"/>
      <c r="Z3815" s="284"/>
      <c r="AA3815" s="284"/>
      <c r="AB3815" s="284"/>
      <c r="AC3815" s="284"/>
      <c r="AD3815" s="284"/>
      <c r="AE3815" s="284"/>
      <c r="AF3815" s="284"/>
      <c r="AG3815" s="284"/>
      <c r="AH3815" s="284"/>
      <c r="AI3815" s="284"/>
      <c r="AJ3815" s="284"/>
      <c r="AK3815" s="284"/>
      <c r="AL3815" s="284"/>
    </row>
    <row r="3816" ht="15.75" customHeight="1">
      <c r="A3816" s="115">
        <f t="shared" si="29"/>
        <v>4635</v>
      </c>
      <c r="B3816" s="49" t="s">
        <v>13002</v>
      </c>
      <c r="C3816" s="272" t="s">
        <v>13003</v>
      </c>
      <c r="D3816" s="55" t="s">
        <v>13004</v>
      </c>
      <c r="E3816" s="49" t="s">
        <v>144</v>
      </c>
      <c r="F3816" s="49" t="s">
        <v>29</v>
      </c>
      <c r="G3816" s="49" t="s">
        <v>30</v>
      </c>
      <c r="H3816" s="49" t="s">
        <v>31</v>
      </c>
      <c r="I3816" s="49" t="s">
        <v>30</v>
      </c>
      <c r="J3816" s="49">
        <v>287.0</v>
      </c>
      <c r="K3816" s="49"/>
      <c r="L3816" s="49" t="s">
        <v>13005</v>
      </c>
      <c r="M3816" s="49" t="s">
        <v>13006</v>
      </c>
      <c r="N3816" s="49">
        <v>2015.0</v>
      </c>
      <c r="O3816" s="49" t="s">
        <v>388</v>
      </c>
      <c r="P3816" s="49">
        <v>1.0</v>
      </c>
      <c r="Q3816" s="56"/>
      <c r="R3816" s="54"/>
      <c r="S3816" s="34"/>
      <c r="T3816" s="34"/>
      <c r="U3816" s="34"/>
      <c r="V3816" s="34"/>
      <c r="W3816" s="34"/>
      <c r="X3816" s="34"/>
      <c r="Y3816" s="284"/>
      <c r="Z3816" s="284"/>
      <c r="AA3816" s="284"/>
      <c r="AB3816" s="284"/>
      <c r="AC3816" s="284"/>
      <c r="AD3816" s="284"/>
      <c r="AE3816" s="284"/>
      <c r="AF3816" s="284"/>
      <c r="AG3816" s="284"/>
      <c r="AH3816" s="284"/>
      <c r="AI3816" s="284"/>
      <c r="AJ3816" s="284"/>
      <c r="AK3816" s="284"/>
      <c r="AL3816" s="284"/>
    </row>
    <row r="3817" ht="15.75" customHeight="1">
      <c r="A3817" s="115">
        <f t="shared" si="29"/>
        <v>4636</v>
      </c>
      <c r="B3817" s="49" t="s">
        <v>13007</v>
      </c>
      <c r="C3817" s="272" t="s">
        <v>13008</v>
      </c>
      <c r="D3817" s="55" t="s">
        <v>13009</v>
      </c>
      <c r="E3817" s="49" t="s">
        <v>29</v>
      </c>
      <c r="F3817" s="49" t="s">
        <v>29</v>
      </c>
      <c r="G3817" s="49" t="s">
        <v>30</v>
      </c>
      <c r="H3817" s="49"/>
      <c r="I3817" s="49" t="s">
        <v>30</v>
      </c>
      <c r="J3817" s="49">
        <v>94.0</v>
      </c>
      <c r="K3817" s="49"/>
      <c r="L3817" s="49" t="s">
        <v>13010</v>
      </c>
      <c r="M3817" s="49" t="s">
        <v>13011</v>
      </c>
      <c r="N3817" s="49">
        <v>2016.0</v>
      </c>
      <c r="O3817" s="49" t="s">
        <v>388</v>
      </c>
      <c r="P3817" s="49">
        <v>1.0</v>
      </c>
      <c r="Q3817" s="56"/>
      <c r="R3817" s="54"/>
      <c r="S3817" s="34"/>
      <c r="T3817" s="34"/>
      <c r="U3817" s="34"/>
      <c r="V3817" s="34"/>
      <c r="W3817" s="34"/>
      <c r="X3817" s="34"/>
      <c r="Y3817" s="284"/>
      <c r="Z3817" s="284"/>
      <c r="AA3817" s="284"/>
      <c r="AB3817" s="284"/>
      <c r="AC3817" s="284"/>
      <c r="AD3817" s="284"/>
      <c r="AE3817" s="284"/>
      <c r="AF3817" s="284"/>
      <c r="AG3817" s="284"/>
      <c r="AH3817" s="284"/>
      <c r="AI3817" s="284"/>
      <c r="AJ3817" s="284"/>
      <c r="AK3817" s="284"/>
      <c r="AL3817" s="284"/>
    </row>
    <row r="3818" ht="15.75" customHeight="1">
      <c r="A3818" s="115">
        <f t="shared" si="29"/>
        <v>4637</v>
      </c>
      <c r="B3818" s="49" t="s">
        <v>13012</v>
      </c>
      <c r="C3818" s="272" t="s">
        <v>13008</v>
      </c>
      <c r="D3818" s="55" t="s">
        <v>13013</v>
      </c>
      <c r="E3818" s="49" t="s">
        <v>144</v>
      </c>
      <c r="F3818" s="49" t="s">
        <v>29</v>
      </c>
      <c r="G3818" s="49" t="s">
        <v>30</v>
      </c>
      <c r="H3818" s="49"/>
      <c r="I3818" s="49" t="s">
        <v>30</v>
      </c>
      <c r="J3818" s="49">
        <v>121.0</v>
      </c>
      <c r="K3818" s="49"/>
      <c r="L3818" s="49" t="s">
        <v>13014</v>
      </c>
      <c r="M3818" s="49" t="s">
        <v>13011</v>
      </c>
      <c r="N3818" s="49">
        <v>2016.0</v>
      </c>
      <c r="O3818" s="49" t="s">
        <v>388</v>
      </c>
      <c r="P3818" s="49">
        <v>1.0</v>
      </c>
      <c r="Q3818" s="56"/>
      <c r="R3818" s="54"/>
      <c r="S3818" s="34"/>
      <c r="T3818" s="34"/>
      <c r="U3818" s="34"/>
      <c r="V3818" s="34"/>
      <c r="W3818" s="34"/>
      <c r="X3818" s="34"/>
      <c r="Y3818" s="284"/>
      <c r="Z3818" s="284"/>
      <c r="AA3818" s="284"/>
      <c r="AB3818" s="284"/>
      <c r="AC3818" s="284"/>
      <c r="AD3818" s="284"/>
      <c r="AE3818" s="284"/>
      <c r="AF3818" s="284"/>
      <c r="AG3818" s="284"/>
      <c r="AH3818" s="284"/>
      <c r="AI3818" s="284"/>
      <c r="AJ3818" s="284"/>
      <c r="AK3818" s="284"/>
      <c r="AL3818" s="284"/>
    </row>
    <row r="3819" ht="15.75" customHeight="1">
      <c r="A3819" s="115">
        <f t="shared" si="29"/>
        <v>4638</v>
      </c>
      <c r="B3819" s="49"/>
      <c r="C3819" s="272" t="s">
        <v>13015</v>
      </c>
      <c r="D3819" s="55" t="s">
        <v>13016</v>
      </c>
      <c r="E3819" s="49" t="s">
        <v>144</v>
      </c>
      <c r="F3819" s="49" t="s">
        <v>29</v>
      </c>
      <c r="G3819" s="49" t="s">
        <v>30</v>
      </c>
      <c r="H3819" s="49"/>
      <c r="I3819" s="49" t="s">
        <v>30</v>
      </c>
      <c r="J3819" s="49">
        <f>267+4</f>
        <v>271</v>
      </c>
      <c r="K3819" s="49"/>
      <c r="L3819" s="49" t="s">
        <v>13017</v>
      </c>
      <c r="M3819" s="49"/>
      <c r="N3819" s="49">
        <v>2013.0</v>
      </c>
      <c r="O3819" s="49" t="s">
        <v>388</v>
      </c>
      <c r="P3819" s="49">
        <v>1.0</v>
      </c>
      <c r="Q3819" s="56"/>
      <c r="R3819" s="54"/>
      <c r="S3819" s="34"/>
      <c r="T3819" s="34"/>
      <c r="U3819" s="34"/>
      <c r="V3819" s="34"/>
      <c r="W3819" s="34"/>
      <c r="X3819" s="34"/>
      <c r="Y3819" s="284"/>
      <c r="Z3819" s="284"/>
      <c r="AA3819" s="284"/>
      <c r="AB3819" s="284"/>
      <c r="AC3819" s="284"/>
      <c r="AD3819" s="284"/>
      <c r="AE3819" s="284"/>
      <c r="AF3819" s="284"/>
      <c r="AG3819" s="284"/>
      <c r="AH3819" s="284"/>
      <c r="AI3819" s="284"/>
      <c r="AJ3819" s="284"/>
      <c r="AK3819" s="284"/>
      <c r="AL3819" s="284"/>
    </row>
    <row r="3820" ht="15.75" customHeight="1">
      <c r="A3820" s="115">
        <f t="shared" si="29"/>
        <v>4639</v>
      </c>
      <c r="B3820" s="49" t="s">
        <v>13018</v>
      </c>
      <c r="C3820" s="272" t="s">
        <v>13019</v>
      </c>
      <c r="D3820" s="55" t="s">
        <v>13020</v>
      </c>
      <c r="E3820" s="49" t="s">
        <v>144</v>
      </c>
      <c r="F3820" s="49" t="s">
        <v>29</v>
      </c>
      <c r="G3820" s="49" t="s">
        <v>30</v>
      </c>
      <c r="H3820" s="49"/>
      <c r="I3820" s="49" t="s">
        <v>30</v>
      </c>
      <c r="J3820" s="49">
        <v>393.0</v>
      </c>
      <c r="K3820" s="49"/>
      <c r="L3820" s="49" t="s">
        <v>13021</v>
      </c>
      <c r="M3820" s="49" t="s">
        <v>13021</v>
      </c>
      <c r="N3820" s="49">
        <v>2020.0</v>
      </c>
      <c r="O3820" s="49" t="s">
        <v>388</v>
      </c>
      <c r="P3820" s="49">
        <v>1.0</v>
      </c>
      <c r="Q3820" s="56"/>
      <c r="R3820" s="288"/>
      <c r="S3820" s="34"/>
      <c r="T3820" s="34"/>
      <c r="U3820" s="34"/>
      <c r="V3820" s="34"/>
      <c r="W3820" s="34"/>
      <c r="X3820" s="34"/>
      <c r="Y3820" s="284"/>
      <c r="Z3820" s="284"/>
      <c r="AA3820" s="284"/>
      <c r="AB3820" s="284"/>
      <c r="AC3820" s="284"/>
      <c r="AD3820" s="284"/>
      <c r="AE3820" s="284"/>
      <c r="AF3820" s="284"/>
      <c r="AG3820" s="284"/>
      <c r="AH3820" s="284"/>
      <c r="AI3820" s="284"/>
      <c r="AJ3820" s="284"/>
      <c r="AK3820" s="284"/>
      <c r="AL3820" s="284"/>
    </row>
    <row r="3821" ht="15.75" customHeight="1">
      <c r="A3821" s="115">
        <f t="shared" si="29"/>
        <v>4640</v>
      </c>
      <c r="B3821" s="49"/>
      <c r="C3821" s="272" t="s">
        <v>13022</v>
      </c>
      <c r="D3821" s="55" t="s">
        <v>13023</v>
      </c>
      <c r="E3821" s="49"/>
      <c r="F3821" s="49" t="s">
        <v>29</v>
      </c>
      <c r="G3821" s="49" t="s">
        <v>30</v>
      </c>
      <c r="H3821" s="49"/>
      <c r="I3821" s="49" t="s">
        <v>159</v>
      </c>
      <c r="J3821" s="49">
        <v>236.0</v>
      </c>
      <c r="K3821" s="49"/>
      <c r="L3821" s="49" t="s">
        <v>13024</v>
      </c>
      <c r="M3821" s="49" t="s">
        <v>13025</v>
      </c>
      <c r="N3821" s="49">
        <v>2006.0</v>
      </c>
      <c r="O3821" s="49" t="s">
        <v>388</v>
      </c>
      <c r="P3821" s="49">
        <v>1.0</v>
      </c>
      <c r="Q3821" s="56"/>
      <c r="R3821" s="288"/>
      <c r="S3821" s="34"/>
      <c r="T3821" s="34"/>
      <c r="U3821" s="34"/>
      <c r="V3821" s="34"/>
      <c r="W3821" s="34"/>
      <c r="X3821" s="34"/>
      <c r="Y3821" s="284"/>
      <c r="Z3821" s="284"/>
      <c r="AA3821" s="284"/>
      <c r="AB3821" s="284"/>
      <c r="AC3821" s="284"/>
      <c r="AD3821" s="284"/>
      <c r="AE3821" s="284"/>
      <c r="AF3821" s="284"/>
      <c r="AG3821" s="284"/>
      <c r="AH3821" s="284"/>
      <c r="AI3821" s="284"/>
      <c r="AJ3821" s="284"/>
      <c r="AK3821" s="284"/>
      <c r="AL3821" s="284"/>
    </row>
    <row r="3822" ht="15.75" customHeight="1">
      <c r="A3822" s="115">
        <f t="shared" si="29"/>
        <v>4641</v>
      </c>
      <c r="B3822" s="49" t="s">
        <v>13026</v>
      </c>
      <c r="C3822" s="50" t="s">
        <v>13027</v>
      </c>
      <c r="D3822" s="55" t="s">
        <v>13028</v>
      </c>
      <c r="E3822" s="49" t="s">
        <v>144</v>
      </c>
      <c r="F3822" s="49" t="s">
        <v>29</v>
      </c>
      <c r="G3822" s="49" t="s">
        <v>37</v>
      </c>
      <c r="H3822" s="49"/>
      <c r="I3822" s="49" t="s">
        <v>38</v>
      </c>
      <c r="J3822" s="49">
        <v>310.0</v>
      </c>
      <c r="K3822" s="49"/>
      <c r="L3822" s="49" t="s">
        <v>13029</v>
      </c>
      <c r="M3822" s="49" t="s">
        <v>13030</v>
      </c>
      <c r="N3822" s="49">
        <v>1979.0</v>
      </c>
      <c r="O3822" s="49" t="s">
        <v>388</v>
      </c>
      <c r="P3822" s="49">
        <v>1.0</v>
      </c>
      <c r="Q3822" s="56"/>
      <c r="R3822" s="288"/>
      <c r="S3822" s="34"/>
      <c r="T3822" s="34"/>
      <c r="U3822" s="34"/>
      <c r="V3822" s="34"/>
      <c r="W3822" s="34"/>
      <c r="X3822" s="34"/>
      <c r="Y3822" s="284"/>
      <c r="Z3822" s="284"/>
      <c r="AA3822" s="284"/>
      <c r="AB3822" s="284"/>
      <c r="AC3822" s="284"/>
      <c r="AD3822" s="284"/>
      <c r="AE3822" s="284"/>
      <c r="AF3822" s="284"/>
      <c r="AG3822" s="284"/>
      <c r="AH3822" s="284"/>
      <c r="AI3822" s="284"/>
      <c r="AJ3822" s="284"/>
      <c r="AK3822" s="284"/>
      <c r="AL3822" s="284"/>
    </row>
    <row r="3823" ht="15.75" customHeight="1">
      <c r="A3823" s="115">
        <f t="shared" si="29"/>
        <v>4642</v>
      </c>
      <c r="B3823" s="49" t="s">
        <v>31</v>
      </c>
      <c r="C3823" s="272" t="s">
        <v>13031</v>
      </c>
      <c r="D3823" s="55" t="s">
        <v>13032</v>
      </c>
      <c r="E3823" s="49" t="s">
        <v>144</v>
      </c>
      <c r="F3823" s="49" t="s">
        <v>29</v>
      </c>
      <c r="G3823" s="49" t="s">
        <v>30</v>
      </c>
      <c r="H3823" s="49"/>
      <c r="I3823" s="49" t="s">
        <v>30</v>
      </c>
      <c r="J3823" s="49">
        <v>64.0</v>
      </c>
      <c r="K3823" s="49"/>
      <c r="L3823" s="49" t="s">
        <v>31</v>
      </c>
      <c r="M3823" s="49" t="s">
        <v>12367</v>
      </c>
      <c r="N3823" s="49" t="s">
        <v>31</v>
      </c>
      <c r="O3823" s="49" t="s">
        <v>388</v>
      </c>
      <c r="P3823" s="49">
        <v>9.0</v>
      </c>
      <c r="Q3823" s="56">
        <v>1.0</v>
      </c>
      <c r="R3823" s="288"/>
      <c r="S3823" s="34"/>
      <c r="T3823" s="34"/>
      <c r="U3823" s="34"/>
      <c r="V3823" s="34"/>
      <c r="W3823" s="34"/>
      <c r="X3823" s="34"/>
      <c r="Y3823" s="284"/>
      <c r="Z3823" s="284"/>
      <c r="AA3823" s="284"/>
      <c r="AB3823" s="284"/>
      <c r="AC3823" s="284"/>
      <c r="AD3823" s="284"/>
      <c r="AE3823" s="284"/>
      <c r="AF3823" s="284"/>
      <c r="AG3823" s="284"/>
      <c r="AH3823" s="284"/>
      <c r="AI3823" s="284"/>
      <c r="AJ3823" s="284"/>
      <c r="AK3823" s="284"/>
      <c r="AL3823" s="284"/>
    </row>
    <row r="3824" ht="15.75" customHeight="1">
      <c r="A3824" s="115">
        <f t="shared" si="29"/>
        <v>4643</v>
      </c>
      <c r="B3824" s="49" t="s">
        <v>13033</v>
      </c>
      <c r="C3824" s="272" t="s">
        <v>13034</v>
      </c>
      <c r="D3824" s="55" t="s">
        <v>13035</v>
      </c>
      <c r="E3824" s="49" t="s">
        <v>302</v>
      </c>
      <c r="F3824" s="49" t="s">
        <v>29</v>
      </c>
      <c r="G3824" s="49" t="s">
        <v>37</v>
      </c>
      <c r="H3824" s="49"/>
      <c r="I3824" s="49" t="s">
        <v>38</v>
      </c>
      <c r="J3824" s="321">
        <f>420+8</f>
        <v>428</v>
      </c>
      <c r="K3824" s="321"/>
      <c r="L3824" s="49" t="s">
        <v>13036</v>
      </c>
      <c r="M3824" s="49" t="s">
        <v>13037</v>
      </c>
      <c r="N3824" s="49">
        <v>2005.0</v>
      </c>
      <c r="O3824" s="49" t="s">
        <v>388</v>
      </c>
      <c r="P3824" s="49">
        <v>1.0</v>
      </c>
      <c r="Q3824" s="325"/>
      <c r="R3824" s="288"/>
      <c r="S3824" s="34"/>
      <c r="T3824" s="34"/>
      <c r="U3824" s="34"/>
      <c r="V3824" s="34"/>
      <c r="W3824" s="34"/>
      <c r="X3824" s="34"/>
      <c r="Y3824" s="284"/>
      <c r="Z3824" s="284"/>
      <c r="AA3824" s="284"/>
      <c r="AB3824" s="284"/>
      <c r="AC3824" s="284"/>
      <c r="AD3824" s="284"/>
      <c r="AE3824" s="284"/>
      <c r="AF3824" s="284"/>
      <c r="AG3824" s="284"/>
      <c r="AH3824" s="284"/>
      <c r="AI3824" s="284"/>
      <c r="AJ3824" s="284"/>
      <c r="AK3824" s="284"/>
      <c r="AL3824" s="284"/>
    </row>
    <row r="3825" ht="15.75" customHeight="1">
      <c r="A3825" s="115">
        <f t="shared" si="29"/>
        <v>4644</v>
      </c>
      <c r="B3825" s="49" t="s">
        <v>174</v>
      </c>
      <c r="C3825" s="272" t="s">
        <v>13038</v>
      </c>
      <c r="D3825" s="55" t="s">
        <v>13039</v>
      </c>
      <c r="E3825" s="49" t="s">
        <v>28</v>
      </c>
      <c r="F3825" s="49" t="s">
        <v>29</v>
      </c>
      <c r="G3825" s="49" t="s">
        <v>37</v>
      </c>
      <c r="H3825" s="49" t="s">
        <v>31</v>
      </c>
      <c r="I3825" s="49" t="s">
        <v>38</v>
      </c>
      <c r="J3825" s="49">
        <f>361+26</f>
        <v>387</v>
      </c>
      <c r="K3825" s="49"/>
      <c r="L3825" s="321" t="s">
        <v>177</v>
      </c>
      <c r="M3825" s="49" t="s">
        <v>178</v>
      </c>
      <c r="N3825" s="49">
        <v>2012.0</v>
      </c>
      <c r="O3825" s="49" t="s">
        <v>388</v>
      </c>
      <c r="P3825" s="49">
        <v>1.0</v>
      </c>
      <c r="Q3825" s="56"/>
      <c r="R3825" s="288"/>
      <c r="S3825" s="34"/>
      <c r="T3825" s="34"/>
      <c r="U3825" s="34"/>
      <c r="V3825" s="34"/>
      <c r="W3825" s="34"/>
      <c r="X3825" s="34"/>
      <c r="Y3825" s="284"/>
      <c r="Z3825" s="284"/>
      <c r="AA3825" s="284"/>
      <c r="AB3825" s="284"/>
      <c r="AC3825" s="284"/>
      <c r="AD3825" s="284"/>
      <c r="AE3825" s="284"/>
      <c r="AF3825" s="284"/>
      <c r="AG3825" s="284"/>
      <c r="AH3825" s="284"/>
      <c r="AI3825" s="284"/>
      <c r="AJ3825" s="284"/>
      <c r="AK3825" s="284"/>
      <c r="AL3825" s="284"/>
    </row>
    <row r="3826" ht="15.75" customHeight="1">
      <c r="A3826" s="115">
        <f t="shared" si="29"/>
        <v>4645</v>
      </c>
      <c r="B3826" s="49" t="s">
        <v>2633</v>
      </c>
      <c r="C3826" s="272" t="s">
        <v>13040</v>
      </c>
      <c r="D3826" s="55" t="s">
        <v>13041</v>
      </c>
      <c r="E3826" s="49" t="s">
        <v>28</v>
      </c>
      <c r="F3826" s="49" t="s">
        <v>29</v>
      </c>
      <c r="G3826" s="49" t="s">
        <v>37</v>
      </c>
      <c r="H3826" s="49" t="s">
        <v>31</v>
      </c>
      <c r="I3826" s="49" t="s">
        <v>38</v>
      </c>
      <c r="J3826" s="49">
        <v>339.0</v>
      </c>
      <c r="K3826" s="49"/>
      <c r="L3826" s="49" t="s">
        <v>2636</v>
      </c>
      <c r="M3826" s="49" t="s">
        <v>250</v>
      </c>
      <c r="N3826" s="49">
        <v>2009.0</v>
      </c>
      <c r="O3826" s="49" t="s">
        <v>388</v>
      </c>
      <c r="P3826" s="49">
        <v>1.0</v>
      </c>
      <c r="Q3826" s="328"/>
      <c r="R3826" s="329"/>
      <c r="S3826" s="185"/>
      <c r="T3826" s="185"/>
      <c r="U3826" s="185"/>
      <c r="V3826" s="185"/>
      <c r="W3826" s="185"/>
      <c r="X3826" s="185"/>
      <c r="Y3826" s="284"/>
      <c r="Z3826" s="284"/>
      <c r="AA3826" s="284"/>
      <c r="AB3826" s="284"/>
      <c r="AC3826" s="284"/>
      <c r="AD3826" s="284"/>
      <c r="AE3826" s="284"/>
      <c r="AF3826" s="284"/>
      <c r="AG3826" s="284"/>
      <c r="AH3826" s="284"/>
      <c r="AI3826" s="284"/>
      <c r="AJ3826" s="284"/>
      <c r="AK3826" s="284"/>
      <c r="AL3826" s="284"/>
    </row>
    <row r="3827" ht="15.75" customHeight="1">
      <c r="A3827" s="115">
        <f t="shared" si="29"/>
        <v>4646</v>
      </c>
      <c r="B3827" s="49" t="s">
        <v>31</v>
      </c>
      <c r="C3827" s="272" t="s">
        <v>13042</v>
      </c>
      <c r="D3827" s="55" t="s">
        <v>13043</v>
      </c>
      <c r="E3827" s="49" t="s">
        <v>302</v>
      </c>
      <c r="F3827" s="49" t="s">
        <v>29</v>
      </c>
      <c r="G3827" s="49" t="s">
        <v>37</v>
      </c>
      <c r="H3827" s="49"/>
      <c r="I3827" s="49" t="s">
        <v>38</v>
      </c>
      <c r="J3827" s="49">
        <v>416.0</v>
      </c>
      <c r="K3827" s="49"/>
      <c r="L3827" s="49" t="s">
        <v>31</v>
      </c>
      <c r="M3827" s="49" t="s">
        <v>13044</v>
      </c>
      <c r="N3827" s="49">
        <v>1962.0</v>
      </c>
      <c r="O3827" s="49" t="s">
        <v>388</v>
      </c>
      <c r="P3827" s="49">
        <v>1.0</v>
      </c>
      <c r="Q3827" s="56"/>
      <c r="R3827" s="288"/>
      <c r="S3827" s="34"/>
      <c r="T3827" s="34"/>
      <c r="U3827" s="34"/>
      <c r="V3827" s="34"/>
      <c r="W3827" s="34"/>
      <c r="X3827" s="34"/>
      <c r="Y3827" s="284"/>
      <c r="Z3827" s="284"/>
      <c r="AA3827" s="284"/>
      <c r="AB3827" s="284"/>
      <c r="AC3827" s="284"/>
      <c r="AD3827" s="284"/>
      <c r="AE3827" s="284"/>
      <c r="AF3827" s="284"/>
      <c r="AG3827" s="284"/>
      <c r="AH3827" s="284"/>
      <c r="AI3827" s="284"/>
      <c r="AJ3827" s="284"/>
      <c r="AK3827" s="284"/>
      <c r="AL3827" s="284"/>
    </row>
    <row r="3828" ht="15.75" customHeight="1">
      <c r="A3828" s="115">
        <f t="shared" si="29"/>
        <v>4647</v>
      </c>
      <c r="B3828" s="49" t="s">
        <v>31</v>
      </c>
      <c r="C3828" s="272" t="s">
        <v>13045</v>
      </c>
      <c r="D3828" s="55" t="s">
        <v>13046</v>
      </c>
      <c r="E3828" s="49" t="s">
        <v>13047</v>
      </c>
      <c r="F3828" s="49" t="s">
        <v>29</v>
      </c>
      <c r="G3828" s="49" t="s">
        <v>30</v>
      </c>
      <c r="H3828" s="49"/>
      <c r="I3828" s="49" t="s">
        <v>30</v>
      </c>
      <c r="J3828" s="49">
        <v>145.0</v>
      </c>
      <c r="K3828" s="49"/>
      <c r="L3828" s="49" t="s">
        <v>31</v>
      </c>
      <c r="M3828" s="49" t="s">
        <v>13048</v>
      </c>
      <c r="N3828" s="49">
        <v>2016.0</v>
      </c>
      <c r="O3828" s="49" t="s">
        <v>388</v>
      </c>
      <c r="P3828" s="49">
        <v>1.0</v>
      </c>
      <c r="Q3828" s="56"/>
      <c r="R3828" s="288"/>
      <c r="S3828" s="34"/>
      <c r="T3828" s="34"/>
      <c r="U3828" s="34"/>
      <c r="V3828" s="34"/>
      <c r="W3828" s="34"/>
      <c r="X3828" s="34"/>
      <c r="Y3828" s="59"/>
      <c r="Z3828" s="59"/>
      <c r="AA3828" s="59"/>
      <c r="AB3828" s="59"/>
      <c r="AC3828" s="59"/>
      <c r="AD3828" s="59"/>
      <c r="AE3828" s="59"/>
      <c r="AF3828" s="59"/>
      <c r="AG3828" s="59"/>
      <c r="AH3828" s="59"/>
      <c r="AI3828" s="59"/>
      <c r="AJ3828" s="59"/>
      <c r="AK3828" s="59"/>
      <c r="AL3828" s="59"/>
    </row>
    <row r="3829" ht="64.5" customHeight="1">
      <c r="A3829" s="115">
        <f t="shared" si="29"/>
        <v>4648</v>
      </c>
      <c r="B3829" s="49" t="s">
        <v>31</v>
      </c>
      <c r="C3829" s="272" t="s">
        <v>13049</v>
      </c>
      <c r="D3829" s="55" t="s">
        <v>13050</v>
      </c>
      <c r="E3829" s="49" t="s">
        <v>13047</v>
      </c>
      <c r="F3829" s="49" t="s">
        <v>29</v>
      </c>
      <c r="G3829" s="49" t="s">
        <v>30</v>
      </c>
      <c r="H3829" s="49"/>
      <c r="I3829" s="49" t="s">
        <v>30</v>
      </c>
      <c r="J3829" s="49">
        <f>154+6</f>
        <v>160</v>
      </c>
      <c r="K3829" s="49"/>
      <c r="L3829" s="49" t="s">
        <v>31</v>
      </c>
      <c r="M3829" s="49" t="s">
        <v>13051</v>
      </c>
      <c r="N3829" s="49">
        <v>2016.0</v>
      </c>
      <c r="O3829" s="49" t="s">
        <v>388</v>
      </c>
      <c r="P3829" s="49">
        <v>1.0</v>
      </c>
      <c r="Q3829" s="56"/>
      <c r="R3829" s="288"/>
      <c r="S3829" s="34"/>
      <c r="T3829" s="34"/>
      <c r="U3829" s="34"/>
      <c r="V3829" s="34"/>
      <c r="W3829" s="34"/>
      <c r="X3829" s="34"/>
      <c r="Y3829" s="284"/>
      <c r="Z3829" s="284"/>
      <c r="AA3829" s="284"/>
      <c r="AB3829" s="284"/>
      <c r="AC3829" s="284"/>
      <c r="AD3829" s="284"/>
      <c r="AE3829" s="284"/>
      <c r="AF3829" s="284"/>
      <c r="AG3829" s="284"/>
      <c r="AH3829" s="284"/>
      <c r="AI3829" s="284"/>
      <c r="AJ3829" s="284"/>
      <c r="AK3829" s="284"/>
      <c r="AL3829" s="284"/>
    </row>
    <row r="3830" ht="15.75" customHeight="1">
      <c r="A3830" s="115">
        <f t="shared" si="29"/>
        <v>4649</v>
      </c>
      <c r="B3830" s="49"/>
      <c r="C3830" s="272" t="s">
        <v>13052</v>
      </c>
      <c r="D3830" s="55" t="s">
        <v>13053</v>
      </c>
      <c r="E3830" s="49" t="s">
        <v>13047</v>
      </c>
      <c r="F3830" s="49" t="s">
        <v>29</v>
      </c>
      <c r="G3830" s="49" t="s">
        <v>30</v>
      </c>
      <c r="H3830" s="49"/>
      <c r="I3830" s="49" t="s">
        <v>30</v>
      </c>
      <c r="J3830" s="49">
        <v>59.0</v>
      </c>
      <c r="K3830" s="49"/>
      <c r="L3830" s="49"/>
      <c r="M3830" s="49" t="s">
        <v>13054</v>
      </c>
      <c r="N3830" s="49">
        <v>2019.0</v>
      </c>
      <c r="O3830" s="49" t="s">
        <v>388</v>
      </c>
      <c r="P3830" s="49">
        <v>1.0</v>
      </c>
      <c r="Q3830" s="56"/>
      <c r="R3830" s="288"/>
      <c r="S3830" s="34"/>
      <c r="T3830" s="34"/>
      <c r="U3830" s="34"/>
      <c r="V3830" s="34"/>
      <c r="W3830" s="34"/>
      <c r="X3830" s="34"/>
      <c r="Y3830" s="284"/>
      <c r="Z3830" s="284"/>
      <c r="AA3830" s="284"/>
      <c r="AB3830" s="284"/>
      <c r="AC3830" s="284"/>
      <c r="AD3830" s="284"/>
      <c r="AE3830" s="284"/>
      <c r="AF3830" s="284"/>
      <c r="AG3830" s="284"/>
      <c r="AH3830" s="284"/>
      <c r="AI3830" s="284"/>
      <c r="AJ3830" s="284"/>
      <c r="AK3830" s="284"/>
      <c r="AL3830" s="284"/>
    </row>
    <row r="3831" ht="15.75" customHeight="1">
      <c r="A3831" s="115">
        <f t="shared" si="29"/>
        <v>4650</v>
      </c>
      <c r="B3831" s="49" t="s">
        <v>13055</v>
      </c>
      <c r="C3831" s="50" t="s">
        <v>13056</v>
      </c>
      <c r="D3831" s="55" t="s">
        <v>13057</v>
      </c>
      <c r="E3831" s="49" t="s">
        <v>13058</v>
      </c>
      <c r="F3831" s="49" t="s">
        <v>29</v>
      </c>
      <c r="G3831" s="49" t="s">
        <v>131</v>
      </c>
      <c r="H3831" s="49"/>
      <c r="I3831" s="49" t="s">
        <v>131</v>
      </c>
      <c r="J3831" s="49">
        <v>379.0</v>
      </c>
      <c r="K3831" s="49"/>
      <c r="L3831" s="49" t="s">
        <v>31</v>
      </c>
      <c r="M3831" s="49" t="s">
        <v>4617</v>
      </c>
      <c r="N3831" s="49">
        <v>1989.0</v>
      </c>
      <c r="O3831" s="49" t="s">
        <v>388</v>
      </c>
      <c r="P3831" s="49">
        <v>1.0</v>
      </c>
      <c r="Q3831" s="56"/>
      <c r="R3831" s="288"/>
      <c r="S3831" s="34"/>
      <c r="T3831" s="34"/>
      <c r="U3831" s="34"/>
      <c r="V3831" s="34"/>
      <c r="W3831" s="34"/>
      <c r="X3831" s="34"/>
      <c r="Y3831" s="284"/>
      <c r="Z3831" s="284"/>
      <c r="AA3831" s="284"/>
      <c r="AB3831" s="284"/>
      <c r="AC3831" s="284"/>
      <c r="AD3831" s="284"/>
      <c r="AE3831" s="284"/>
      <c r="AF3831" s="284"/>
      <c r="AG3831" s="284"/>
      <c r="AH3831" s="284"/>
      <c r="AI3831" s="284"/>
      <c r="AJ3831" s="284"/>
      <c r="AK3831" s="284"/>
      <c r="AL3831" s="284"/>
    </row>
    <row r="3832" ht="15.75" customHeight="1">
      <c r="A3832" s="115">
        <f t="shared" si="29"/>
        <v>4651</v>
      </c>
      <c r="B3832" s="49" t="s">
        <v>31</v>
      </c>
      <c r="C3832" s="272" t="s">
        <v>13059</v>
      </c>
      <c r="D3832" s="55" t="s">
        <v>13060</v>
      </c>
      <c r="E3832" s="49" t="s">
        <v>13047</v>
      </c>
      <c r="F3832" s="49" t="s">
        <v>29</v>
      </c>
      <c r="G3832" s="49" t="s">
        <v>98</v>
      </c>
      <c r="H3832" s="49"/>
      <c r="I3832" s="49" t="s">
        <v>98</v>
      </c>
      <c r="J3832" s="49">
        <v>43.0</v>
      </c>
      <c r="K3832" s="49"/>
      <c r="L3832" s="49" t="s">
        <v>31</v>
      </c>
      <c r="M3832" s="49" t="s">
        <v>7707</v>
      </c>
      <c r="N3832" s="49">
        <v>2016.0</v>
      </c>
      <c r="O3832" s="49" t="s">
        <v>388</v>
      </c>
      <c r="P3832" s="49">
        <v>1.0</v>
      </c>
      <c r="Q3832" s="56"/>
      <c r="R3832" s="288"/>
      <c r="S3832" s="116"/>
      <c r="T3832" s="116"/>
      <c r="U3832" s="116"/>
      <c r="V3832" s="116"/>
      <c r="W3832" s="116"/>
      <c r="X3832" s="116"/>
      <c r="Y3832" s="284"/>
      <c r="Z3832" s="284"/>
      <c r="AA3832" s="284"/>
      <c r="AB3832" s="284"/>
      <c r="AC3832" s="284"/>
      <c r="AD3832" s="284"/>
      <c r="AE3832" s="284"/>
      <c r="AF3832" s="284"/>
      <c r="AG3832" s="284"/>
      <c r="AH3832" s="284"/>
      <c r="AI3832" s="284"/>
      <c r="AJ3832" s="284"/>
      <c r="AK3832" s="284"/>
      <c r="AL3832" s="284"/>
    </row>
    <row r="3833" ht="15.75" customHeight="1">
      <c r="A3833" s="115">
        <f t="shared" si="29"/>
        <v>4652</v>
      </c>
      <c r="B3833" s="330" t="s">
        <v>13061</v>
      </c>
      <c r="C3833" s="50" t="s">
        <v>13062</v>
      </c>
      <c r="D3833" s="55" t="s">
        <v>13063</v>
      </c>
      <c r="E3833" s="49" t="s">
        <v>144</v>
      </c>
      <c r="F3833" s="49" t="s">
        <v>29</v>
      </c>
      <c r="G3833" s="49" t="s">
        <v>37</v>
      </c>
      <c r="H3833" s="49"/>
      <c r="I3833" s="49" t="s">
        <v>38</v>
      </c>
      <c r="J3833" s="49">
        <f>292+12</f>
        <v>304</v>
      </c>
      <c r="K3833" s="49"/>
      <c r="L3833" s="49" t="s">
        <v>13064</v>
      </c>
      <c r="M3833" s="49" t="s">
        <v>13065</v>
      </c>
      <c r="N3833" s="49">
        <v>2015.0</v>
      </c>
      <c r="O3833" s="49" t="s">
        <v>388</v>
      </c>
      <c r="P3833" s="49">
        <v>1.0</v>
      </c>
      <c r="Q3833" s="56"/>
      <c r="R3833" s="288"/>
      <c r="S3833" s="34"/>
      <c r="T3833" s="34"/>
      <c r="U3833" s="34"/>
      <c r="V3833" s="34"/>
      <c r="W3833" s="34"/>
      <c r="X3833" s="34"/>
      <c r="Y3833" s="284"/>
      <c r="Z3833" s="284"/>
      <c r="AA3833" s="284"/>
      <c r="AB3833" s="284"/>
      <c r="AC3833" s="284"/>
      <c r="AD3833" s="284"/>
      <c r="AE3833" s="284"/>
      <c r="AF3833" s="284"/>
      <c r="AG3833" s="284"/>
      <c r="AH3833" s="284"/>
      <c r="AI3833" s="284"/>
      <c r="AJ3833" s="284"/>
      <c r="AK3833" s="284"/>
      <c r="AL3833" s="284"/>
    </row>
    <row r="3834" ht="15.75" customHeight="1">
      <c r="A3834" s="115">
        <f t="shared" si="29"/>
        <v>4653</v>
      </c>
      <c r="B3834" s="49" t="s">
        <v>31</v>
      </c>
      <c r="C3834" s="50" t="s">
        <v>13066</v>
      </c>
      <c r="D3834" s="55" t="s">
        <v>13067</v>
      </c>
      <c r="E3834" s="49" t="s">
        <v>144</v>
      </c>
      <c r="F3834" s="49" t="s">
        <v>29</v>
      </c>
      <c r="G3834" s="49" t="s">
        <v>30</v>
      </c>
      <c r="H3834" s="49"/>
      <c r="I3834" s="49" t="s">
        <v>30</v>
      </c>
      <c r="J3834" s="49">
        <v>36.0</v>
      </c>
      <c r="K3834" s="49"/>
      <c r="L3834" s="49" t="s">
        <v>31</v>
      </c>
      <c r="M3834" s="49" t="s">
        <v>151</v>
      </c>
      <c r="N3834" s="49">
        <v>2006.0</v>
      </c>
      <c r="O3834" s="49" t="s">
        <v>388</v>
      </c>
      <c r="P3834" s="49">
        <v>1.0</v>
      </c>
      <c r="Q3834" s="56"/>
      <c r="R3834" s="288"/>
      <c r="S3834" s="34"/>
      <c r="T3834" s="34"/>
      <c r="U3834" s="34"/>
      <c r="V3834" s="34"/>
      <c r="W3834" s="34"/>
      <c r="X3834" s="34"/>
      <c r="Y3834" s="284"/>
      <c r="Z3834" s="284"/>
      <c r="AA3834" s="284"/>
      <c r="AB3834" s="284"/>
      <c r="AC3834" s="284"/>
      <c r="AD3834" s="284"/>
      <c r="AE3834" s="284"/>
      <c r="AF3834" s="284"/>
      <c r="AG3834" s="284"/>
      <c r="AH3834" s="284"/>
      <c r="AI3834" s="284"/>
      <c r="AJ3834" s="284"/>
      <c r="AK3834" s="284"/>
      <c r="AL3834" s="284"/>
    </row>
    <row r="3835" ht="15.75" customHeight="1">
      <c r="A3835" s="115">
        <f t="shared" si="29"/>
        <v>4654</v>
      </c>
      <c r="B3835" s="49" t="s">
        <v>591</v>
      </c>
      <c r="C3835" s="50" t="s">
        <v>13068</v>
      </c>
      <c r="D3835" s="55" t="s">
        <v>13069</v>
      </c>
      <c r="E3835" s="49" t="s">
        <v>28</v>
      </c>
      <c r="F3835" s="49" t="s">
        <v>29</v>
      </c>
      <c r="G3835" s="49" t="s">
        <v>37</v>
      </c>
      <c r="H3835" s="49"/>
      <c r="I3835" s="49" t="s">
        <v>38</v>
      </c>
      <c r="J3835" s="49">
        <f>356+30</f>
        <v>386</v>
      </c>
      <c r="K3835" s="49"/>
      <c r="L3835" s="49" t="s">
        <v>594</v>
      </c>
      <c r="M3835" s="49" t="s">
        <v>178</v>
      </c>
      <c r="N3835" s="49">
        <v>1979.0</v>
      </c>
      <c r="O3835" s="49" t="s">
        <v>388</v>
      </c>
      <c r="P3835" s="49">
        <v>1.0</v>
      </c>
      <c r="Q3835" s="56"/>
      <c r="R3835" s="288"/>
      <c r="S3835" s="34"/>
      <c r="T3835" s="34"/>
      <c r="U3835" s="34"/>
      <c r="V3835" s="34"/>
      <c r="W3835" s="34"/>
      <c r="X3835" s="34"/>
      <c r="Y3835" s="284"/>
      <c r="Z3835" s="284"/>
      <c r="AA3835" s="284"/>
      <c r="AB3835" s="284"/>
      <c r="AC3835" s="284"/>
      <c r="AD3835" s="284"/>
      <c r="AE3835" s="284"/>
      <c r="AF3835" s="284"/>
      <c r="AG3835" s="284"/>
      <c r="AH3835" s="284"/>
      <c r="AI3835" s="284"/>
      <c r="AJ3835" s="284"/>
      <c r="AK3835" s="284"/>
      <c r="AL3835" s="284"/>
    </row>
    <row r="3836" ht="15.75" customHeight="1">
      <c r="A3836" s="115">
        <f t="shared" si="29"/>
        <v>4655</v>
      </c>
      <c r="B3836" s="49"/>
      <c r="C3836" s="50" t="s">
        <v>13070</v>
      </c>
      <c r="D3836" s="55" t="s">
        <v>13071</v>
      </c>
      <c r="E3836" s="49" t="s">
        <v>144</v>
      </c>
      <c r="F3836" s="49" t="s">
        <v>29</v>
      </c>
      <c r="G3836" s="49" t="s">
        <v>81</v>
      </c>
      <c r="H3836" s="49"/>
      <c r="I3836" s="49" t="s">
        <v>38</v>
      </c>
      <c r="J3836" s="49">
        <f>560+13</f>
        <v>573</v>
      </c>
      <c r="K3836" s="49"/>
      <c r="L3836" s="49" t="s">
        <v>31</v>
      </c>
      <c r="M3836" s="49" t="s">
        <v>13072</v>
      </c>
      <c r="N3836" s="49">
        <v>1998.0</v>
      </c>
      <c r="O3836" s="49" t="s">
        <v>388</v>
      </c>
      <c r="P3836" s="49">
        <v>1.0</v>
      </c>
      <c r="Q3836" s="56"/>
      <c r="R3836" s="288"/>
      <c r="S3836" s="34"/>
      <c r="T3836" s="34"/>
      <c r="U3836" s="34"/>
      <c r="V3836" s="34"/>
      <c r="W3836" s="34"/>
      <c r="X3836" s="34"/>
      <c r="Y3836" s="284"/>
      <c r="Z3836" s="284"/>
      <c r="AA3836" s="284"/>
      <c r="AB3836" s="284"/>
      <c r="AC3836" s="284"/>
      <c r="AD3836" s="284"/>
      <c r="AE3836" s="284"/>
      <c r="AF3836" s="284"/>
      <c r="AG3836" s="284"/>
      <c r="AH3836" s="284"/>
      <c r="AI3836" s="284"/>
      <c r="AJ3836" s="284"/>
      <c r="AK3836" s="284"/>
      <c r="AL3836" s="284"/>
    </row>
    <row r="3837" ht="15.75" customHeight="1">
      <c r="A3837" s="115">
        <f t="shared" si="29"/>
        <v>4656</v>
      </c>
      <c r="B3837" s="49" t="s">
        <v>11911</v>
      </c>
      <c r="C3837" s="50" t="s">
        <v>13073</v>
      </c>
      <c r="D3837" s="55" t="s">
        <v>13074</v>
      </c>
      <c r="E3837" s="49" t="s">
        <v>144</v>
      </c>
      <c r="F3837" s="49" t="s">
        <v>29</v>
      </c>
      <c r="G3837" s="49" t="s">
        <v>30</v>
      </c>
      <c r="H3837" s="49"/>
      <c r="I3837" s="49" t="s">
        <v>30</v>
      </c>
      <c r="J3837" s="49">
        <f>143+8</f>
        <v>151</v>
      </c>
      <c r="K3837" s="49"/>
      <c r="L3837" s="49" t="s">
        <v>4008</v>
      </c>
      <c r="M3837" s="49" t="s">
        <v>13075</v>
      </c>
      <c r="N3837" s="49">
        <v>2007.0</v>
      </c>
      <c r="O3837" s="49" t="s">
        <v>388</v>
      </c>
      <c r="P3837" s="49">
        <v>1.0</v>
      </c>
      <c r="Q3837" s="56"/>
      <c r="R3837" s="288"/>
      <c r="S3837" s="34"/>
      <c r="T3837" s="34"/>
      <c r="U3837" s="34"/>
      <c r="V3837" s="34"/>
      <c r="W3837" s="34"/>
      <c r="X3837" s="34"/>
      <c r="Y3837" s="284"/>
      <c r="Z3837" s="284"/>
      <c r="AA3837" s="284"/>
      <c r="AB3837" s="284"/>
      <c r="AC3837" s="284"/>
      <c r="AD3837" s="284"/>
      <c r="AE3837" s="284"/>
      <c r="AF3837" s="284"/>
      <c r="AG3837" s="284"/>
      <c r="AH3837" s="284"/>
      <c r="AI3837" s="284"/>
      <c r="AJ3837" s="284"/>
      <c r="AK3837" s="284"/>
      <c r="AL3837" s="284"/>
    </row>
    <row r="3838" ht="15.75" customHeight="1">
      <c r="A3838" s="115">
        <f t="shared" si="29"/>
        <v>4657</v>
      </c>
      <c r="B3838" s="49" t="s">
        <v>7859</v>
      </c>
      <c r="C3838" s="50" t="s">
        <v>7860</v>
      </c>
      <c r="D3838" s="55" t="s">
        <v>7861</v>
      </c>
      <c r="E3838" s="49" t="s">
        <v>144</v>
      </c>
      <c r="F3838" s="49" t="s">
        <v>29</v>
      </c>
      <c r="G3838" s="49" t="s">
        <v>30</v>
      </c>
      <c r="H3838" s="49"/>
      <c r="I3838" s="49" t="s">
        <v>30</v>
      </c>
      <c r="J3838" s="49">
        <f>128</f>
        <v>128</v>
      </c>
      <c r="K3838" s="49"/>
      <c r="L3838" s="49" t="s">
        <v>13076</v>
      </c>
      <c r="M3838" s="49" t="s">
        <v>13077</v>
      </c>
      <c r="N3838" s="49">
        <v>2001.0</v>
      </c>
      <c r="O3838" s="49" t="s">
        <v>388</v>
      </c>
      <c r="P3838" s="49">
        <v>1.0</v>
      </c>
      <c r="Q3838" s="56"/>
      <c r="R3838" s="301"/>
      <c r="S3838" s="185"/>
      <c r="T3838" s="185"/>
      <c r="U3838" s="185"/>
      <c r="V3838" s="185"/>
      <c r="W3838" s="185"/>
      <c r="X3838" s="185"/>
      <c r="Y3838" s="284"/>
      <c r="Z3838" s="284"/>
      <c r="AA3838" s="284"/>
      <c r="AB3838" s="284"/>
      <c r="AC3838" s="284"/>
      <c r="AD3838" s="284"/>
      <c r="AE3838" s="284"/>
      <c r="AF3838" s="284"/>
      <c r="AG3838" s="284"/>
      <c r="AH3838" s="284"/>
      <c r="AI3838" s="284"/>
      <c r="AJ3838" s="284"/>
      <c r="AK3838" s="284"/>
      <c r="AL3838" s="284"/>
    </row>
    <row r="3839" ht="15.75" customHeight="1">
      <c r="A3839" s="115">
        <f t="shared" si="29"/>
        <v>4658</v>
      </c>
      <c r="B3839" s="49" t="s">
        <v>13078</v>
      </c>
      <c r="C3839" s="50" t="s">
        <v>13079</v>
      </c>
      <c r="D3839" s="55" t="s">
        <v>13080</v>
      </c>
      <c r="E3839" s="49" t="s">
        <v>8641</v>
      </c>
      <c r="F3839" s="49" t="s">
        <v>29</v>
      </c>
      <c r="G3839" s="49" t="s">
        <v>13081</v>
      </c>
      <c r="H3839" s="49"/>
      <c r="I3839" s="49" t="s">
        <v>13082</v>
      </c>
      <c r="J3839" s="49">
        <v>448.0</v>
      </c>
      <c r="K3839" s="49"/>
      <c r="L3839" s="49" t="s">
        <v>31</v>
      </c>
      <c r="M3839" s="49"/>
      <c r="N3839" s="49">
        <v>2017.0</v>
      </c>
      <c r="O3839" s="49" t="s">
        <v>388</v>
      </c>
      <c r="P3839" s="49">
        <v>1.0</v>
      </c>
      <c r="Q3839" s="56"/>
      <c r="R3839" s="301"/>
      <c r="S3839" s="185"/>
      <c r="T3839" s="185"/>
      <c r="U3839" s="185"/>
      <c r="V3839" s="185"/>
      <c r="W3839" s="185"/>
      <c r="X3839" s="185"/>
      <c r="Y3839" s="284"/>
      <c r="Z3839" s="284"/>
      <c r="AA3839" s="284"/>
      <c r="AB3839" s="284"/>
      <c r="AC3839" s="284"/>
      <c r="AD3839" s="284"/>
      <c r="AE3839" s="284"/>
      <c r="AF3839" s="284"/>
      <c r="AG3839" s="284"/>
      <c r="AH3839" s="284"/>
      <c r="AI3839" s="284"/>
      <c r="AJ3839" s="284"/>
      <c r="AK3839" s="284"/>
      <c r="AL3839" s="284"/>
    </row>
    <row r="3840" ht="15.75" customHeight="1">
      <c r="A3840" s="115">
        <f t="shared" si="29"/>
        <v>4659</v>
      </c>
      <c r="B3840" s="49"/>
      <c r="C3840" s="50" t="s">
        <v>13083</v>
      </c>
      <c r="D3840" s="55" t="s">
        <v>13084</v>
      </c>
      <c r="E3840" s="49" t="s">
        <v>144</v>
      </c>
      <c r="F3840" s="49" t="s">
        <v>29</v>
      </c>
      <c r="G3840" s="49" t="s">
        <v>30</v>
      </c>
      <c r="H3840" s="49"/>
      <c r="I3840" s="49" t="s">
        <v>30</v>
      </c>
      <c r="J3840" s="49">
        <f>209+10</f>
        <v>219</v>
      </c>
      <c r="K3840" s="49"/>
      <c r="L3840" s="49" t="s">
        <v>9139</v>
      </c>
      <c r="M3840" s="49" t="s">
        <v>3240</v>
      </c>
      <c r="N3840" s="49">
        <v>1981.0</v>
      </c>
      <c r="O3840" s="49" t="s">
        <v>388</v>
      </c>
      <c r="P3840" s="49">
        <v>1.0</v>
      </c>
      <c r="Q3840" s="56"/>
      <c r="R3840" s="288"/>
      <c r="S3840" s="34"/>
      <c r="T3840" s="34"/>
      <c r="U3840" s="34"/>
      <c r="V3840" s="34"/>
      <c r="W3840" s="34"/>
      <c r="X3840" s="34"/>
      <c r="Y3840" s="284"/>
      <c r="Z3840" s="284"/>
      <c r="AA3840" s="284"/>
      <c r="AB3840" s="284"/>
      <c r="AC3840" s="284"/>
      <c r="AD3840" s="284"/>
      <c r="AE3840" s="284"/>
      <c r="AF3840" s="284"/>
      <c r="AG3840" s="284"/>
      <c r="AH3840" s="284"/>
      <c r="AI3840" s="284"/>
      <c r="AJ3840" s="284"/>
      <c r="AK3840" s="284"/>
      <c r="AL3840" s="284"/>
    </row>
    <row r="3841" ht="15.75" customHeight="1">
      <c r="A3841" s="115">
        <f t="shared" si="29"/>
        <v>4660</v>
      </c>
      <c r="B3841" s="49"/>
      <c r="C3841" s="50" t="s">
        <v>13085</v>
      </c>
      <c r="D3841" s="55" t="s">
        <v>13086</v>
      </c>
      <c r="E3841" s="49" t="s">
        <v>144</v>
      </c>
      <c r="F3841" s="49" t="s">
        <v>29</v>
      </c>
      <c r="G3841" s="49" t="s">
        <v>30</v>
      </c>
      <c r="H3841" s="49"/>
      <c r="I3841" s="49" t="s">
        <v>30</v>
      </c>
      <c r="J3841" s="49">
        <f>128</f>
        <v>128</v>
      </c>
      <c r="K3841" s="49"/>
      <c r="L3841" s="49"/>
      <c r="M3841" s="49" t="s">
        <v>7306</v>
      </c>
      <c r="N3841" s="49">
        <v>1995.0</v>
      </c>
      <c r="O3841" s="49" t="s">
        <v>388</v>
      </c>
      <c r="P3841" s="49">
        <v>1.0</v>
      </c>
      <c r="Q3841" s="56"/>
      <c r="R3841" s="288"/>
      <c r="S3841" s="34"/>
      <c r="T3841" s="34"/>
      <c r="U3841" s="34"/>
      <c r="V3841" s="34"/>
      <c r="W3841" s="34"/>
      <c r="X3841" s="34"/>
      <c r="Y3841" s="284"/>
      <c r="Z3841" s="284"/>
      <c r="AA3841" s="284"/>
      <c r="AB3841" s="284"/>
      <c r="AC3841" s="284"/>
      <c r="AD3841" s="284"/>
      <c r="AE3841" s="284"/>
      <c r="AF3841" s="284"/>
      <c r="AG3841" s="284"/>
      <c r="AH3841" s="284"/>
      <c r="AI3841" s="284"/>
      <c r="AJ3841" s="284"/>
      <c r="AK3841" s="284"/>
      <c r="AL3841" s="284"/>
    </row>
    <row r="3842" ht="15.75" customHeight="1">
      <c r="A3842" s="115">
        <f t="shared" si="29"/>
        <v>4661</v>
      </c>
      <c r="B3842" s="49" t="s">
        <v>13087</v>
      </c>
      <c r="C3842" s="50" t="s">
        <v>13088</v>
      </c>
      <c r="D3842" s="55" t="s">
        <v>13089</v>
      </c>
      <c r="E3842" s="49" t="s">
        <v>144</v>
      </c>
      <c r="F3842" s="49" t="s">
        <v>29</v>
      </c>
      <c r="G3842" s="49" t="s">
        <v>30</v>
      </c>
      <c r="H3842" s="49"/>
      <c r="I3842" s="49" t="s">
        <v>30</v>
      </c>
      <c r="J3842" s="49">
        <v>61.0</v>
      </c>
      <c r="K3842" s="49"/>
      <c r="L3842" s="49" t="s">
        <v>31</v>
      </c>
      <c r="M3842" s="49" t="s">
        <v>161</v>
      </c>
      <c r="N3842" s="49">
        <v>1993.0</v>
      </c>
      <c r="O3842" s="49" t="s">
        <v>388</v>
      </c>
      <c r="P3842" s="49">
        <v>1.0</v>
      </c>
      <c r="Q3842" s="56"/>
      <c r="R3842" s="288"/>
      <c r="S3842" s="34"/>
      <c r="T3842" s="34"/>
      <c r="U3842" s="34"/>
      <c r="V3842" s="34"/>
      <c r="W3842" s="34"/>
      <c r="X3842" s="34"/>
      <c r="Y3842" s="284"/>
      <c r="Z3842" s="284"/>
      <c r="AA3842" s="284"/>
      <c r="AB3842" s="284"/>
      <c r="AC3842" s="284"/>
      <c r="AD3842" s="284"/>
      <c r="AE3842" s="284"/>
      <c r="AF3842" s="284"/>
      <c r="AG3842" s="284"/>
      <c r="AH3842" s="284"/>
      <c r="AI3842" s="284"/>
      <c r="AJ3842" s="284"/>
      <c r="AK3842" s="284"/>
      <c r="AL3842" s="284"/>
    </row>
    <row r="3843" ht="15.75" customHeight="1">
      <c r="A3843" s="115">
        <f t="shared" si="29"/>
        <v>4662</v>
      </c>
      <c r="B3843" s="49" t="s">
        <v>6903</v>
      </c>
      <c r="C3843" s="50" t="s">
        <v>13090</v>
      </c>
      <c r="D3843" s="55" t="s">
        <v>13091</v>
      </c>
      <c r="E3843" s="49" t="s">
        <v>3839</v>
      </c>
      <c r="F3843" s="49" t="s">
        <v>29</v>
      </c>
      <c r="G3843" s="49" t="s">
        <v>38</v>
      </c>
      <c r="H3843" s="49"/>
      <c r="I3843" s="49" t="s">
        <v>38</v>
      </c>
      <c r="J3843" s="49">
        <f>467+34</f>
        <v>501</v>
      </c>
      <c r="K3843" s="49"/>
      <c r="L3843" s="49" t="s">
        <v>13092</v>
      </c>
      <c r="M3843" s="49" t="s">
        <v>13093</v>
      </c>
      <c r="N3843" s="49">
        <v>2012.0</v>
      </c>
      <c r="O3843" s="49" t="s">
        <v>388</v>
      </c>
      <c r="P3843" s="49">
        <v>1.0</v>
      </c>
      <c r="Q3843" s="56"/>
      <c r="R3843" s="288"/>
      <c r="S3843" s="34"/>
      <c r="T3843" s="34"/>
      <c r="U3843" s="34"/>
      <c r="V3843" s="34"/>
      <c r="W3843" s="34"/>
      <c r="X3843" s="34"/>
      <c r="Y3843" s="284"/>
      <c r="Z3843" s="284"/>
      <c r="AA3843" s="284"/>
      <c r="AB3843" s="284"/>
      <c r="AC3843" s="284"/>
      <c r="AD3843" s="284"/>
      <c r="AE3843" s="284"/>
      <c r="AF3843" s="284"/>
      <c r="AG3843" s="284"/>
      <c r="AH3843" s="284"/>
      <c r="AI3843" s="284"/>
      <c r="AJ3843" s="284"/>
      <c r="AK3843" s="284"/>
      <c r="AL3843" s="284"/>
    </row>
    <row r="3844" ht="15.75" customHeight="1">
      <c r="A3844" s="115">
        <f t="shared" si="29"/>
        <v>4663</v>
      </c>
      <c r="B3844" s="49" t="s">
        <v>7704</v>
      </c>
      <c r="C3844" s="50" t="s">
        <v>7705</v>
      </c>
      <c r="D3844" s="55" t="s">
        <v>7706</v>
      </c>
      <c r="E3844" s="49" t="s">
        <v>144</v>
      </c>
      <c r="F3844" s="49" t="s">
        <v>29</v>
      </c>
      <c r="G3844" s="49" t="s">
        <v>98</v>
      </c>
      <c r="H3844" s="49"/>
      <c r="I3844" s="49" t="s">
        <v>38</v>
      </c>
      <c r="J3844" s="49">
        <f>391</f>
        <v>391</v>
      </c>
      <c r="K3844" s="49"/>
      <c r="L3844" s="49" t="s">
        <v>13094</v>
      </c>
      <c r="M3844" s="49" t="s">
        <v>13095</v>
      </c>
      <c r="N3844" s="49">
        <v>2014.0</v>
      </c>
      <c r="O3844" s="49" t="s">
        <v>388</v>
      </c>
      <c r="P3844" s="49">
        <v>1.0</v>
      </c>
      <c r="Q3844" s="56"/>
      <c r="R3844" s="288"/>
      <c r="S3844" s="34"/>
      <c r="T3844" s="34"/>
      <c r="U3844" s="34"/>
      <c r="V3844" s="34"/>
      <c r="W3844" s="34"/>
      <c r="X3844" s="34"/>
      <c r="Y3844" s="284"/>
      <c r="Z3844" s="284"/>
      <c r="AA3844" s="284"/>
      <c r="AB3844" s="284"/>
      <c r="AC3844" s="284"/>
      <c r="AD3844" s="284"/>
      <c r="AE3844" s="284"/>
      <c r="AF3844" s="284"/>
      <c r="AG3844" s="284"/>
      <c r="AH3844" s="284"/>
      <c r="AI3844" s="284"/>
      <c r="AJ3844" s="284"/>
      <c r="AK3844" s="284"/>
      <c r="AL3844" s="284"/>
    </row>
    <row r="3845" ht="15.75" customHeight="1">
      <c r="A3845" s="115">
        <f t="shared" si="29"/>
        <v>4664</v>
      </c>
      <c r="B3845" s="49" t="s">
        <v>8328</v>
      </c>
      <c r="C3845" s="50" t="s">
        <v>13096</v>
      </c>
      <c r="D3845" s="55" t="s">
        <v>13097</v>
      </c>
      <c r="E3845" s="49" t="s">
        <v>144</v>
      </c>
      <c r="F3845" s="49" t="s">
        <v>29</v>
      </c>
      <c r="G3845" s="49" t="s">
        <v>30</v>
      </c>
      <c r="H3845" s="49"/>
      <c r="I3845" s="49" t="s">
        <v>30</v>
      </c>
      <c r="J3845" s="49">
        <f>541+22</f>
        <v>563</v>
      </c>
      <c r="K3845" s="49"/>
      <c r="L3845" s="49" t="s">
        <v>13098</v>
      </c>
      <c r="M3845" s="49" t="s">
        <v>13099</v>
      </c>
      <c r="N3845" s="49">
        <v>2010.0</v>
      </c>
      <c r="O3845" s="49" t="s">
        <v>388</v>
      </c>
      <c r="P3845" s="49">
        <v>1.0</v>
      </c>
      <c r="Q3845" s="56"/>
      <c r="R3845" s="301"/>
      <c r="S3845" s="185"/>
      <c r="T3845" s="185"/>
      <c r="U3845" s="185"/>
      <c r="V3845" s="185"/>
      <c r="W3845" s="185"/>
      <c r="X3845" s="185"/>
      <c r="Y3845" s="284"/>
      <c r="Z3845" s="284"/>
      <c r="AA3845" s="284"/>
      <c r="AB3845" s="284"/>
      <c r="AC3845" s="284"/>
      <c r="AD3845" s="284"/>
      <c r="AE3845" s="284"/>
      <c r="AF3845" s="284"/>
      <c r="AG3845" s="284"/>
      <c r="AH3845" s="284"/>
      <c r="AI3845" s="284"/>
      <c r="AJ3845" s="284"/>
      <c r="AK3845" s="284"/>
      <c r="AL3845" s="284"/>
    </row>
    <row r="3846" ht="15.75" customHeight="1">
      <c r="A3846" s="115">
        <f t="shared" si="29"/>
        <v>4665</v>
      </c>
      <c r="B3846" s="49" t="s">
        <v>13100</v>
      </c>
      <c r="C3846" s="50" t="s">
        <v>13101</v>
      </c>
      <c r="D3846" s="55" t="s">
        <v>13102</v>
      </c>
      <c r="E3846" s="49" t="s">
        <v>144</v>
      </c>
      <c r="F3846" s="49" t="s">
        <v>29</v>
      </c>
      <c r="G3846" s="49" t="s">
        <v>30</v>
      </c>
      <c r="H3846" s="49"/>
      <c r="I3846" s="49" t="s">
        <v>30</v>
      </c>
      <c r="J3846" s="49">
        <v>90.0</v>
      </c>
      <c r="K3846" s="49"/>
      <c r="L3846" s="49" t="s">
        <v>13103</v>
      </c>
      <c r="M3846" s="49" t="s">
        <v>161</v>
      </c>
      <c r="N3846" s="49">
        <v>2008.0</v>
      </c>
      <c r="O3846" s="49" t="s">
        <v>388</v>
      </c>
      <c r="P3846" s="49">
        <v>1.0</v>
      </c>
      <c r="Q3846" s="56"/>
      <c r="R3846" s="288"/>
      <c r="S3846" s="34"/>
      <c r="T3846" s="34"/>
      <c r="U3846" s="34"/>
      <c r="V3846" s="34"/>
      <c r="W3846" s="34"/>
      <c r="X3846" s="34"/>
      <c r="Y3846" s="284"/>
      <c r="Z3846" s="284"/>
      <c r="AA3846" s="284"/>
      <c r="AB3846" s="284"/>
      <c r="AC3846" s="284"/>
      <c r="AD3846" s="284"/>
      <c r="AE3846" s="284"/>
      <c r="AF3846" s="284"/>
      <c r="AG3846" s="284"/>
      <c r="AH3846" s="284"/>
      <c r="AI3846" s="284"/>
      <c r="AJ3846" s="284"/>
      <c r="AK3846" s="284"/>
      <c r="AL3846" s="284"/>
    </row>
    <row r="3847" ht="15.75" customHeight="1">
      <c r="A3847" s="115">
        <f t="shared" si="29"/>
        <v>4666</v>
      </c>
      <c r="B3847" s="49" t="s">
        <v>9978</v>
      </c>
      <c r="C3847" s="50" t="s">
        <v>13104</v>
      </c>
      <c r="D3847" s="55" t="s">
        <v>9980</v>
      </c>
      <c r="E3847" s="49" t="s">
        <v>28</v>
      </c>
      <c r="F3847" s="49" t="s">
        <v>29</v>
      </c>
      <c r="G3847" s="49" t="s">
        <v>37</v>
      </c>
      <c r="H3847" s="49"/>
      <c r="I3847" s="49" t="s">
        <v>38</v>
      </c>
      <c r="J3847" s="49">
        <f>578+12</f>
        <v>590</v>
      </c>
      <c r="K3847" s="49"/>
      <c r="L3847" s="49" t="s">
        <v>446</v>
      </c>
      <c r="M3847" s="49" t="s">
        <v>230</v>
      </c>
      <c r="N3847" s="49">
        <v>1987.0</v>
      </c>
      <c r="O3847" s="49" t="s">
        <v>388</v>
      </c>
      <c r="P3847" s="49">
        <v>1.0</v>
      </c>
      <c r="Q3847" s="56"/>
      <c r="R3847" s="288"/>
      <c r="S3847" s="34"/>
      <c r="T3847" s="34"/>
      <c r="U3847" s="34"/>
      <c r="V3847" s="34"/>
      <c r="W3847" s="34"/>
      <c r="X3847" s="34"/>
      <c r="Y3847" s="284"/>
      <c r="Z3847" s="284"/>
      <c r="AA3847" s="284"/>
      <c r="AB3847" s="284"/>
      <c r="AC3847" s="284"/>
      <c r="AD3847" s="284"/>
      <c r="AE3847" s="284"/>
      <c r="AF3847" s="284"/>
      <c r="AG3847" s="284"/>
      <c r="AH3847" s="284"/>
      <c r="AI3847" s="284"/>
      <c r="AJ3847" s="284"/>
      <c r="AK3847" s="284"/>
      <c r="AL3847" s="284"/>
    </row>
    <row r="3848" ht="15.75" customHeight="1">
      <c r="A3848" s="115">
        <f t="shared" si="29"/>
        <v>4667</v>
      </c>
      <c r="B3848" s="49" t="s">
        <v>31</v>
      </c>
      <c r="C3848" s="50" t="s">
        <v>13105</v>
      </c>
      <c r="D3848" s="55" t="s">
        <v>9980</v>
      </c>
      <c r="E3848" s="49" t="s">
        <v>28</v>
      </c>
      <c r="F3848" s="49" t="s">
        <v>29</v>
      </c>
      <c r="G3848" s="49" t="s">
        <v>37</v>
      </c>
      <c r="H3848" s="49"/>
      <c r="I3848" s="49" t="s">
        <v>38</v>
      </c>
      <c r="J3848" s="49">
        <f>408+26</f>
        <v>434</v>
      </c>
      <c r="K3848" s="49"/>
      <c r="L3848" s="49" t="s">
        <v>691</v>
      </c>
      <c r="M3848" s="49" t="s">
        <v>230</v>
      </c>
      <c r="N3848" s="49">
        <v>1959.0</v>
      </c>
      <c r="O3848" s="49" t="s">
        <v>388</v>
      </c>
      <c r="P3848" s="49">
        <v>1.0</v>
      </c>
      <c r="Q3848" s="56"/>
      <c r="R3848" s="288"/>
      <c r="S3848" s="34"/>
      <c r="T3848" s="34"/>
      <c r="U3848" s="34"/>
      <c r="V3848" s="34"/>
      <c r="W3848" s="34"/>
      <c r="X3848" s="34"/>
      <c r="Y3848" s="284"/>
      <c r="Z3848" s="284"/>
      <c r="AA3848" s="284"/>
      <c r="AB3848" s="284"/>
      <c r="AC3848" s="284"/>
      <c r="AD3848" s="284"/>
      <c r="AE3848" s="284"/>
      <c r="AF3848" s="284"/>
      <c r="AG3848" s="284"/>
      <c r="AH3848" s="284"/>
      <c r="AI3848" s="284"/>
      <c r="AJ3848" s="284"/>
      <c r="AK3848" s="284"/>
      <c r="AL3848" s="284"/>
    </row>
    <row r="3849" ht="15.75" customHeight="1">
      <c r="A3849" s="115">
        <f t="shared" si="29"/>
        <v>4668</v>
      </c>
      <c r="B3849" s="49"/>
      <c r="C3849" s="50" t="s">
        <v>10175</v>
      </c>
      <c r="D3849" s="55" t="s">
        <v>13106</v>
      </c>
      <c r="E3849" s="49" t="s">
        <v>144</v>
      </c>
      <c r="F3849" s="49" t="s">
        <v>29</v>
      </c>
      <c r="G3849" s="49" t="s">
        <v>30</v>
      </c>
      <c r="H3849" s="49"/>
      <c r="I3849" s="49" t="s">
        <v>30</v>
      </c>
      <c r="J3849" s="49">
        <f>266</f>
        <v>266</v>
      </c>
      <c r="K3849" s="49"/>
      <c r="L3849" s="49" t="s">
        <v>7518</v>
      </c>
      <c r="M3849" s="49" t="s">
        <v>3991</v>
      </c>
      <c r="N3849" s="49">
        <v>2005.0</v>
      </c>
      <c r="O3849" s="49" t="s">
        <v>388</v>
      </c>
      <c r="P3849" s="49">
        <v>1.0</v>
      </c>
      <c r="Q3849" s="56"/>
      <c r="R3849" s="288"/>
      <c r="S3849" s="34"/>
      <c r="T3849" s="34"/>
      <c r="U3849" s="34"/>
      <c r="V3849" s="34"/>
      <c r="W3849" s="34"/>
      <c r="X3849" s="34"/>
      <c r="Y3849" s="284"/>
      <c r="Z3849" s="284"/>
      <c r="AA3849" s="284"/>
      <c r="AB3849" s="284"/>
      <c r="AC3849" s="284"/>
      <c r="AD3849" s="284"/>
      <c r="AE3849" s="284"/>
      <c r="AF3849" s="284"/>
      <c r="AG3849" s="284"/>
      <c r="AH3849" s="284"/>
      <c r="AI3849" s="284"/>
      <c r="AJ3849" s="284"/>
      <c r="AK3849" s="284"/>
      <c r="AL3849" s="284"/>
    </row>
    <row r="3850" ht="15.75" customHeight="1">
      <c r="A3850" s="115">
        <f t="shared" si="29"/>
        <v>4669</v>
      </c>
      <c r="B3850" s="49" t="s">
        <v>2833</v>
      </c>
      <c r="C3850" s="50" t="s">
        <v>13107</v>
      </c>
      <c r="D3850" s="55" t="s">
        <v>13108</v>
      </c>
      <c r="E3850" s="49" t="s">
        <v>144</v>
      </c>
      <c r="F3850" s="49" t="s">
        <v>29</v>
      </c>
      <c r="G3850" s="49" t="s">
        <v>37</v>
      </c>
      <c r="H3850" s="49"/>
      <c r="I3850" s="49" t="s">
        <v>38</v>
      </c>
      <c r="J3850" s="49">
        <f>361+30</f>
        <v>391</v>
      </c>
      <c r="K3850" s="49"/>
      <c r="L3850" s="49" t="s">
        <v>13109</v>
      </c>
      <c r="M3850" s="49" t="s">
        <v>2869</v>
      </c>
      <c r="N3850" s="49">
        <v>1995.0</v>
      </c>
      <c r="O3850" s="49" t="s">
        <v>388</v>
      </c>
      <c r="P3850" s="49">
        <v>1.0</v>
      </c>
      <c r="Q3850" s="56"/>
      <c r="R3850" s="301"/>
      <c r="S3850" s="185"/>
      <c r="T3850" s="185"/>
      <c r="U3850" s="185"/>
      <c r="V3850" s="185"/>
      <c r="W3850" s="185"/>
      <c r="X3850" s="185"/>
      <c r="Y3850" s="284"/>
      <c r="Z3850" s="284"/>
      <c r="AA3850" s="284"/>
      <c r="AB3850" s="284"/>
      <c r="AC3850" s="284"/>
      <c r="AD3850" s="284"/>
      <c r="AE3850" s="284"/>
      <c r="AF3850" s="284"/>
      <c r="AG3850" s="284"/>
      <c r="AH3850" s="284"/>
      <c r="AI3850" s="284"/>
      <c r="AJ3850" s="284"/>
      <c r="AK3850" s="284"/>
      <c r="AL3850" s="284"/>
    </row>
    <row r="3851" ht="15.75" customHeight="1">
      <c r="A3851" s="115">
        <f t="shared" si="29"/>
        <v>4670</v>
      </c>
      <c r="B3851" s="49" t="s">
        <v>3047</v>
      </c>
      <c r="C3851" s="50" t="s">
        <v>3048</v>
      </c>
      <c r="D3851" s="55" t="s">
        <v>13110</v>
      </c>
      <c r="E3851" s="49" t="s">
        <v>144</v>
      </c>
      <c r="F3851" s="49" t="s">
        <v>29</v>
      </c>
      <c r="G3851" s="49" t="s">
        <v>37</v>
      </c>
      <c r="H3851" s="49"/>
      <c r="I3851" s="49" t="s">
        <v>38</v>
      </c>
      <c r="J3851" s="49">
        <f>119</f>
        <v>119</v>
      </c>
      <c r="K3851" s="49"/>
      <c r="L3851" s="49" t="s">
        <v>8638</v>
      </c>
      <c r="M3851" s="49" t="s">
        <v>230</v>
      </c>
      <c r="N3851" s="49">
        <v>1973.0</v>
      </c>
      <c r="O3851" s="49" t="s">
        <v>388</v>
      </c>
      <c r="P3851" s="49">
        <v>1.0</v>
      </c>
      <c r="Q3851" s="56"/>
      <c r="R3851" s="288"/>
      <c r="S3851" s="34"/>
      <c r="T3851" s="34"/>
      <c r="U3851" s="34"/>
      <c r="V3851" s="34"/>
      <c r="W3851" s="34"/>
      <c r="X3851" s="34"/>
      <c r="Y3851" s="284"/>
      <c r="Z3851" s="284"/>
      <c r="AA3851" s="284"/>
      <c r="AB3851" s="284"/>
      <c r="AC3851" s="284"/>
      <c r="AD3851" s="284"/>
      <c r="AE3851" s="284"/>
      <c r="AF3851" s="284"/>
      <c r="AG3851" s="284"/>
      <c r="AH3851" s="284"/>
      <c r="AI3851" s="284"/>
      <c r="AJ3851" s="284"/>
      <c r="AK3851" s="284"/>
      <c r="AL3851" s="284"/>
    </row>
    <row r="3852" ht="15.75" customHeight="1">
      <c r="A3852" s="115">
        <f t="shared" si="29"/>
        <v>4671</v>
      </c>
      <c r="B3852" s="49" t="s">
        <v>13111</v>
      </c>
      <c r="C3852" s="50" t="s">
        <v>13112</v>
      </c>
      <c r="D3852" s="55" t="s">
        <v>13113</v>
      </c>
      <c r="E3852" s="49" t="s">
        <v>28</v>
      </c>
      <c r="F3852" s="49" t="s">
        <v>29</v>
      </c>
      <c r="G3852" s="49" t="s">
        <v>58</v>
      </c>
      <c r="H3852" s="49"/>
      <c r="I3852" s="49" t="s">
        <v>38</v>
      </c>
      <c r="J3852" s="49">
        <f>27+1</f>
        <v>28</v>
      </c>
      <c r="K3852" s="49"/>
      <c r="L3852" s="49" t="s">
        <v>13114</v>
      </c>
      <c r="M3852" s="49" t="s">
        <v>13115</v>
      </c>
      <c r="N3852" s="49">
        <v>2017.0</v>
      </c>
      <c r="O3852" s="49" t="s">
        <v>388</v>
      </c>
      <c r="P3852" s="49">
        <v>1.0</v>
      </c>
      <c r="Q3852" s="56"/>
      <c r="R3852" s="288"/>
      <c r="S3852" s="34"/>
      <c r="T3852" s="34"/>
      <c r="U3852" s="34"/>
      <c r="V3852" s="34"/>
      <c r="W3852" s="34"/>
      <c r="X3852" s="34"/>
      <c r="Y3852" s="284"/>
      <c r="Z3852" s="284"/>
      <c r="AA3852" s="284"/>
      <c r="AB3852" s="284"/>
      <c r="AC3852" s="284"/>
      <c r="AD3852" s="284"/>
      <c r="AE3852" s="284"/>
      <c r="AF3852" s="284"/>
      <c r="AG3852" s="284"/>
      <c r="AH3852" s="284"/>
      <c r="AI3852" s="284"/>
      <c r="AJ3852" s="284"/>
      <c r="AK3852" s="284"/>
      <c r="AL3852" s="284"/>
    </row>
    <row r="3853" ht="15.75" customHeight="1">
      <c r="A3853" s="115">
        <f t="shared" si="29"/>
        <v>4672</v>
      </c>
      <c r="B3853" s="49" t="s">
        <v>2623</v>
      </c>
      <c r="C3853" s="50" t="s">
        <v>2624</v>
      </c>
      <c r="D3853" s="55" t="s">
        <v>13116</v>
      </c>
      <c r="E3853" s="49" t="s">
        <v>28</v>
      </c>
      <c r="F3853" s="49" t="s">
        <v>29</v>
      </c>
      <c r="G3853" s="49" t="s">
        <v>37</v>
      </c>
      <c r="H3853" s="49"/>
      <c r="I3853" s="49" t="s">
        <v>38</v>
      </c>
      <c r="J3853" s="49">
        <f>192</f>
        <v>192</v>
      </c>
      <c r="K3853" s="49"/>
      <c r="L3853" s="49" t="s">
        <v>2626</v>
      </c>
      <c r="M3853" s="49" t="s">
        <v>250</v>
      </c>
      <c r="N3853" s="49">
        <v>2008.0</v>
      </c>
      <c r="O3853" s="49" t="s">
        <v>388</v>
      </c>
      <c r="P3853" s="49">
        <v>1.0</v>
      </c>
      <c r="Q3853" s="56"/>
      <c r="R3853" s="288"/>
      <c r="S3853" s="34"/>
      <c r="T3853" s="34"/>
      <c r="U3853" s="34"/>
      <c r="V3853" s="34"/>
      <c r="W3853" s="34"/>
      <c r="X3853" s="34"/>
      <c r="Y3853" s="284"/>
      <c r="Z3853" s="284"/>
      <c r="AA3853" s="284"/>
      <c r="AB3853" s="284"/>
      <c r="AC3853" s="284"/>
      <c r="AD3853" s="284"/>
      <c r="AE3853" s="284"/>
      <c r="AF3853" s="284"/>
      <c r="AG3853" s="284"/>
      <c r="AH3853" s="284"/>
      <c r="AI3853" s="284"/>
      <c r="AJ3853" s="284"/>
      <c r="AK3853" s="284"/>
      <c r="AL3853" s="284"/>
    </row>
    <row r="3854" ht="15.75" customHeight="1">
      <c r="A3854" s="115">
        <f t="shared" si="29"/>
        <v>4673</v>
      </c>
      <c r="B3854" s="49"/>
      <c r="C3854" s="50" t="s">
        <v>13117</v>
      </c>
      <c r="D3854" s="55" t="s">
        <v>13118</v>
      </c>
      <c r="E3854" s="49" t="s">
        <v>3118</v>
      </c>
      <c r="F3854" s="49" t="s">
        <v>29</v>
      </c>
      <c r="G3854" s="49" t="s">
        <v>30</v>
      </c>
      <c r="H3854" s="49"/>
      <c r="I3854" s="49" t="s">
        <v>30</v>
      </c>
      <c r="J3854" s="49">
        <f>233</f>
        <v>233</v>
      </c>
      <c r="K3854" s="49"/>
      <c r="L3854" s="49" t="s">
        <v>8814</v>
      </c>
      <c r="M3854" s="49" t="s">
        <v>13119</v>
      </c>
      <c r="N3854" s="49">
        <v>1969.0</v>
      </c>
      <c r="O3854" s="49" t="s">
        <v>388</v>
      </c>
      <c r="P3854" s="49">
        <v>1.0</v>
      </c>
      <c r="Q3854" s="56"/>
      <c r="R3854" s="288"/>
      <c r="S3854" s="331"/>
      <c r="T3854" s="331"/>
      <c r="U3854" s="331"/>
      <c r="V3854" s="331"/>
      <c r="W3854" s="331"/>
      <c r="X3854" s="331"/>
      <c r="Y3854" s="284"/>
      <c r="Z3854" s="284"/>
      <c r="AA3854" s="284"/>
      <c r="AB3854" s="284"/>
      <c r="AC3854" s="284"/>
      <c r="AD3854" s="284"/>
      <c r="AE3854" s="284"/>
      <c r="AF3854" s="284"/>
      <c r="AG3854" s="284"/>
      <c r="AH3854" s="284"/>
      <c r="AI3854" s="284"/>
      <c r="AJ3854" s="284"/>
      <c r="AK3854" s="284"/>
      <c r="AL3854" s="284"/>
    </row>
    <row r="3855" ht="15.75" customHeight="1">
      <c r="A3855" s="115">
        <f t="shared" si="29"/>
        <v>4674</v>
      </c>
      <c r="B3855" s="49" t="s">
        <v>2536</v>
      </c>
      <c r="C3855" s="50" t="s">
        <v>13120</v>
      </c>
      <c r="D3855" s="55" t="s">
        <v>13121</v>
      </c>
      <c r="E3855" s="49" t="s">
        <v>28</v>
      </c>
      <c r="F3855" s="49" t="s">
        <v>29</v>
      </c>
      <c r="G3855" s="49" t="s">
        <v>37</v>
      </c>
      <c r="H3855" s="49"/>
      <c r="I3855" s="49" t="s">
        <v>38</v>
      </c>
      <c r="J3855" s="49">
        <f>246</f>
        <v>246</v>
      </c>
      <c r="K3855" s="49"/>
      <c r="L3855" s="49" t="s">
        <v>1365</v>
      </c>
      <c r="M3855" s="49" t="s">
        <v>1434</v>
      </c>
      <c r="N3855" s="49">
        <v>1988.0</v>
      </c>
      <c r="O3855" s="52" t="s">
        <v>494</v>
      </c>
      <c r="P3855" s="49">
        <v>1.0</v>
      </c>
      <c r="Q3855" s="56"/>
      <c r="R3855" s="288"/>
      <c r="S3855" s="34"/>
      <c r="T3855" s="34"/>
      <c r="U3855" s="34"/>
      <c r="V3855" s="34"/>
      <c r="W3855" s="34"/>
      <c r="X3855" s="34"/>
      <c r="Y3855" s="284"/>
      <c r="Z3855" s="284"/>
      <c r="AA3855" s="284"/>
      <c r="AB3855" s="284"/>
      <c r="AC3855" s="284"/>
      <c r="AD3855" s="284"/>
      <c r="AE3855" s="284"/>
      <c r="AF3855" s="284"/>
      <c r="AG3855" s="284"/>
      <c r="AH3855" s="284"/>
      <c r="AI3855" s="284"/>
      <c r="AJ3855" s="284"/>
      <c r="AK3855" s="284"/>
      <c r="AL3855" s="284"/>
    </row>
    <row r="3856" ht="15.75" customHeight="1">
      <c r="A3856" s="115">
        <f t="shared" si="29"/>
        <v>4675</v>
      </c>
      <c r="B3856" s="49" t="s">
        <v>13122</v>
      </c>
      <c r="C3856" s="50" t="s">
        <v>2540</v>
      </c>
      <c r="D3856" s="55" t="s">
        <v>2541</v>
      </c>
      <c r="E3856" s="49" t="s">
        <v>28</v>
      </c>
      <c r="F3856" s="49" t="s">
        <v>29</v>
      </c>
      <c r="G3856" s="49" t="s">
        <v>37</v>
      </c>
      <c r="H3856" s="49"/>
      <c r="I3856" s="49" t="s">
        <v>38</v>
      </c>
      <c r="J3856" s="49">
        <f>258+10</f>
        <v>268</v>
      </c>
      <c r="K3856" s="49"/>
      <c r="L3856" s="49" t="s">
        <v>2542</v>
      </c>
      <c r="M3856" s="49" t="s">
        <v>1772</v>
      </c>
      <c r="N3856" s="49">
        <v>1968.0</v>
      </c>
      <c r="O3856" s="49" t="s">
        <v>388</v>
      </c>
      <c r="P3856" s="49">
        <v>1.0</v>
      </c>
      <c r="Q3856" s="56"/>
      <c r="R3856" s="288"/>
      <c r="S3856" s="116"/>
      <c r="T3856" s="116"/>
      <c r="U3856" s="116"/>
      <c r="V3856" s="116"/>
      <c r="W3856" s="116"/>
      <c r="X3856" s="116"/>
      <c r="Y3856" s="284"/>
      <c r="Z3856" s="284"/>
      <c r="AA3856" s="284"/>
      <c r="AB3856" s="284"/>
      <c r="AC3856" s="284"/>
      <c r="AD3856" s="284"/>
      <c r="AE3856" s="284"/>
      <c r="AF3856" s="284"/>
      <c r="AG3856" s="284"/>
      <c r="AH3856" s="284"/>
      <c r="AI3856" s="284"/>
      <c r="AJ3856" s="284"/>
      <c r="AK3856" s="284"/>
      <c r="AL3856" s="284"/>
    </row>
    <row r="3857" ht="15.75" customHeight="1">
      <c r="A3857" s="115">
        <f t="shared" si="29"/>
        <v>4676</v>
      </c>
      <c r="B3857" s="49" t="s">
        <v>3614</v>
      </c>
      <c r="C3857" s="50" t="s">
        <v>13123</v>
      </c>
      <c r="D3857" s="55" t="s">
        <v>13124</v>
      </c>
      <c r="E3857" s="49" t="s">
        <v>3118</v>
      </c>
      <c r="F3857" s="49" t="s">
        <v>29</v>
      </c>
      <c r="G3857" s="49" t="s">
        <v>30</v>
      </c>
      <c r="H3857" s="49"/>
      <c r="I3857" s="49" t="s">
        <v>30</v>
      </c>
      <c r="J3857" s="49">
        <f>385+14</f>
        <v>399</v>
      </c>
      <c r="K3857" s="49"/>
      <c r="L3857" s="49" t="s">
        <v>13125</v>
      </c>
      <c r="M3857" s="49" t="s">
        <v>151</v>
      </c>
      <c r="N3857" s="49">
        <v>2015.0</v>
      </c>
      <c r="O3857" s="49" t="s">
        <v>388</v>
      </c>
      <c r="P3857" s="49">
        <v>1.0</v>
      </c>
      <c r="Q3857" s="56"/>
      <c r="R3857" s="288"/>
      <c r="S3857" s="34"/>
      <c r="T3857" s="34"/>
      <c r="U3857" s="34"/>
      <c r="V3857" s="34"/>
      <c r="W3857" s="34"/>
      <c r="X3857" s="34"/>
      <c r="Y3857" s="284"/>
      <c r="Z3857" s="284"/>
      <c r="AA3857" s="284"/>
      <c r="AB3857" s="284"/>
      <c r="AC3857" s="284"/>
      <c r="AD3857" s="284"/>
      <c r="AE3857" s="284"/>
      <c r="AF3857" s="284"/>
      <c r="AG3857" s="284"/>
      <c r="AH3857" s="284"/>
      <c r="AI3857" s="284"/>
      <c r="AJ3857" s="284"/>
      <c r="AK3857" s="284"/>
      <c r="AL3857" s="284"/>
    </row>
    <row r="3858" ht="15.75" customHeight="1">
      <c r="A3858" s="115">
        <f t="shared" si="29"/>
        <v>4677</v>
      </c>
      <c r="B3858" s="49" t="s">
        <v>13126</v>
      </c>
      <c r="C3858" s="50" t="s">
        <v>13127</v>
      </c>
      <c r="D3858" s="55" t="s">
        <v>13128</v>
      </c>
      <c r="E3858" s="49" t="s">
        <v>144</v>
      </c>
      <c r="F3858" s="49" t="s">
        <v>29</v>
      </c>
      <c r="G3858" s="49" t="s">
        <v>131</v>
      </c>
      <c r="H3858" s="49"/>
      <c r="I3858" s="49" t="s">
        <v>131</v>
      </c>
      <c r="J3858" s="49">
        <f>367</f>
        <v>367</v>
      </c>
      <c r="K3858" s="49"/>
      <c r="L3858" s="49" t="s">
        <v>13129</v>
      </c>
      <c r="M3858" s="49" t="s">
        <v>13130</v>
      </c>
      <c r="N3858" s="49">
        <v>1993.0</v>
      </c>
      <c r="O3858" s="49" t="s">
        <v>388</v>
      </c>
      <c r="P3858" s="49">
        <v>1.0</v>
      </c>
      <c r="Q3858" s="56"/>
      <c r="R3858" s="288"/>
      <c r="S3858" s="331"/>
      <c r="T3858" s="331"/>
      <c r="U3858" s="331"/>
      <c r="V3858" s="331"/>
      <c r="W3858" s="331"/>
      <c r="X3858" s="331"/>
      <c r="Y3858" s="284"/>
      <c r="Z3858" s="284"/>
      <c r="AA3858" s="284"/>
      <c r="AB3858" s="284"/>
      <c r="AC3858" s="284"/>
      <c r="AD3858" s="284"/>
      <c r="AE3858" s="284"/>
      <c r="AF3858" s="284"/>
      <c r="AG3858" s="284"/>
      <c r="AH3858" s="284"/>
      <c r="AI3858" s="284"/>
      <c r="AJ3858" s="284"/>
      <c r="AK3858" s="284"/>
      <c r="AL3858" s="284"/>
    </row>
    <row r="3859" ht="15.75" customHeight="1">
      <c r="A3859" s="115">
        <f t="shared" si="29"/>
        <v>4678</v>
      </c>
      <c r="B3859" s="49"/>
      <c r="C3859" s="50" t="s">
        <v>13131</v>
      </c>
      <c r="D3859" s="55" t="s">
        <v>13132</v>
      </c>
      <c r="E3859" s="49" t="s">
        <v>144</v>
      </c>
      <c r="F3859" s="49" t="s">
        <v>29</v>
      </c>
      <c r="G3859" s="49" t="s">
        <v>30</v>
      </c>
      <c r="H3859" s="49"/>
      <c r="I3859" s="49" t="s">
        <v>30</v>
      </c>
      <c r="J3859" s="49">
        <f>64</f>
        <v>64</v>
      </c>
      <c r="K3859" s="49"/>
      <c r="L3859" s="49" t="s">
        <v>13133</v>
      </c>
      <c r="M3859" s="49" t="s">
        <v>13077</v>
      </c>
      <c r="N3859" s="49" t="s">
        <v>31</v>
      </c>
      <c r="O3859" s="49" t="s">
        <v>388</v>
      </c>
      <c r="P3859" s="49">
        <v>1.0</v>
      </c>
      <c r="Q3859" s="56"/>
      <c r="R3859" s="288"/>
      <c r="S3859" s="34"/>
      <c r="T3859" s="34"/>
      <c r="U3859" s="34"/>
      <c r="V3859" s="34"/>
      <c r="W3859" s="34"/>
      <c r="X3859" s="34"/>
      <c r="Y3859" s="284"/>
      <c r="Z3859" s="284"/>
      <c r="AA3859" s="284"/>
      <c r="AB3859" s="284"/>
      <c r="AC3859" s="284"/>
      <c r="AD3859" s="284"/>
      <c r="AE3859" s="284"/>
      <c r="AF3859" s="284"/>
      <c r="AG3859" s="284"/>
      <c r="AH3859" s="284"/>
      <c r="AI3859" s="284"/>
      <c r="AJ3859" s="284"/>
      <c r="AK3859" s="284"/>
      <c r="AL3859" s="284"/>
    </row>
    <row r="3860" ht="15.75" customHeight="1">
      <c r="A3860" s="115">
        <f t="shared" si="29"/>
        <v>4679</v>
      </c>
      <c r="B3860" s="49" t="s">
        <v>2475</v>
      </c>
      <c r="C3860" s="50" t="s">
        <v>13134</v>
      </c>
      <c r="D3860" s="55" t="s">
        <v>2477</v>
      </c>
      <c r="E3860" s="49" t="s">
        <v>144</v>
      </c>
      <c r="F3860" s="49" t="s">
        <v>29</v>
      </c>
      <c r="G3860" s="49" t="s">
        <v>30</v>
      </c>
      <c r="H3860" s="49"/>
      <c r="I3860" s="49" t="s">
        <v>30</v>
      </c>
      <c r="J3860" s="49">
        <f>176+6</f>
        <v>182</v>
      </c>
      <c r="K3860" s="49"/>
      <c r="L3860" s="49" t="s">
        <v>2478</v>
      </c>
      <c r="M3860" s="49" t="s">
        <v>2479</v>
      </c>
      <c r="N3860" s="49">
        <v>2007.0</v>
      </c>
      <c r="O3860" s="49" t="s">
        <v>388</v>
      </c>
      <c r="P3860" s="49">
        <v>1.0</v>
      </c>
      <c r="Q3860" s="56"/>
      <c r="R3860" s="288"/>
      <c r="S3860" s="34"/>
      <c r="T3860" s="34"/>
      <c r="U3860" s="34"/>
      <c r="V3860" s="34"/>
      <c r="W3860" s="34"/>
      <c r="X3860" s="34"/>
      <c r="Y3860" s="284"/>
      <c r="Z3860" s="284"/>
      <c r="AA3860" s="284"/>
      <c r="AB3860" s="284"/>
      <c r="AC3860" s="284"/>
      <c r="AD3860" s="284"/>
      <c r="AE3860" s="284"/>
      <c r="AF3860" s="284"/>
      <c r="AG3860" s="284"/>
      <c r="AH3860" s="284"/>
      <c r="AI3860" s="284"/>
      <c r="AJ3860" s="284"/>
      <c r="AK3860" s="284"/>
      <c r="AL3860" s="284"/>
    </row>
    <row r="3861" ht="15.75" customHeight="1">
      <c r="A3861" s="115">
        <f t="shared" si="29"/>
        <v>4680</v>
      </c>
      <c r="B3861" s="49"/>
      <c r="C3861" s="50" t="s">
        <v>13134</v>
      </c>
      <c r="D3861" s="55" t="s">
        <v>13135</v>
      </c>
      <c r="E3861" s="49" t="s">
        <v>144</v>
      </c>
      <c r="F3861" s="49" t="s">
        <v>29</v>
      </c>
      <c r="G3861" s="49" t="s">
        <v>30</v>
      </c>
      <c r="H3861" s="49"/>
      <c r="I3861" s="49" t="s">
        <v>30</v>
      </c>
      <c r="J3861" s="49">
        <f>582</f>
        <v>582</v>
      </c>
      <c r="K3861" s="49"/>
      <c r="L3861" s="49" t="s">
        <v>13136</v>
      </c>
      <c r="M3861" s="49" t="s">
        <v>151</v>
      </c>
      <c r="N3861" s="49">
        <v>1987.0</v>
      </c>
      <c r="O3861" s="49" t="s">
        <v>388</v>
      </c>
      <c r="P3861" s="49">
        <v>1.0</v>
      </c>
      <c r="Q3861" s="56"/>
      <c r="R3861" s="288"/>
      <c r="S3861" s="34"/>
      <c r="T3861" s="34"/>
      <c r="U3861" s="34"/>
      <c r="V3861" s="34"/>
      <c r="W3861" s="34"/>
      <c r="X3861" s="34"/>
      <c r="Y3861" s="284"/>
      <c r="Z3861" s="284"/>
      <c r="AA3861" s="284"/>
      <c r="AB3861" s="284"/>
      <c r="AC3861" s="284"/>
      <c r="AD3861" s="284"/>
      <c r="AE3861" s="284"/>
      <c r="AF3861" s="284"/>
      <c r="AG3861" s="284"/>
      <c r="AH3861" s="284"/>
      <c r="AI3861" s="284"/>
      <c r="AJ3861" s="284"/>
      <c r="AK3861" s="284"/>
      <c r="AL3861" s="284"/>
    </row>
    <row r="3862" ht="15.75" customHeight="1">
      <c r="A3862" s="115">
        <f t="shared" si="29"/>
        <v>4681</v>
      </c>
      <c r="B3862" s="49" t="s">
        <v>31</v>
      </c>
      <c r="C3862" s="50" t="s">
        <v>13137</v>
      </c>
      <c r="D3862" s="55" t="s">
        <v>13138</v>
      </c>
      <c r="E3862" s="49" t="s">
        <v>144</v>
      </c>
      <c r="F3862" s="49" t="s">
        <v>29</v>
      </c>
      <c r="G3862" s="49" t="s">
        <v>30</v>
      </c>
      <c r="H3862" s="49"/>
      <c r="I3862" s="49" t="s">
        <v>30</v>
      </c>
      <c r="J3862" s="49">
        <v>64.0</v>
      </c>
      <c r="K3862" s="49"/>
      <c r="L3862" s="49" t="s">
        <v>13133</v>
      </c>
      <c r="M3862" s="49" t="s">
        <v>13077</v>
      </c>
      <c r="N3862" s="49">
        <v>1979.0</v>
      </c>
      <c r="O3862" s="49" t="s">
        <v>388</v>
      </c>
      <c r="P3862" s="49">
        <v>1.0</v>
      </c>
      <c r="Q3862" s="56"/>
      <c r="R3862" s="288"/>
      <c r="S3862" s="34"/>
      <c r="T3862" s="34"/>
      <c r="U3862" s="34"/>
      <c r="V3862" s="34"/>
      <c r="W3862" s="34"/>
      <c r="X3862" s="34"/>
      <c r="Y3862" s="284"/>
      <c r="Z3862" s="284"/>
      <c r="AA3862" s="284"/>
      <c r="AB3862" s="284"/>
      <c r="AC3862" s="284"/>
      <c r="AD3862" s="284"/>
      <c r="AE3862" s="284"/>
      <c r="AF3862" s="284"/>
      <c r="AG3862" s="284"/>
      <c r="AH3862" s="284"/>
      <c r="AI3862" s="284"/>
      <c r="AJ3862" s="284"/>
      <c r="AK3862" s="284"/>
      <c r="AL3862" s="284"/>
    </row>
    <row r="3863" ht="15.75" customHeight="1">
      <c r="A3863" s="115">
        <f t="shared" si="29"/>
        <v>4682</v>
      </c>
      <c r="B3863" s="49"/>
      <c r="C3863" s="50" t="s">
        <v>13139</v>
      </c>
      <c r="D3863" s="55" t="s">
        <v>13140</v>
      </c>
      <c r="E3863" s="49" t="s">
        <v>144</v>
      </c>
      <c r="F3863" s="49" t="s">
        <v>29</v>
      </c>
      <c r="G3863" s="49" t="s">
        <v>37</v>
      </c>
      <c r="H3863" s="49"/>
      <c r="I3863" s="49" t="s">
        <v>38</v>
      </c>
      <c r="J3863" s="49">
        <f>240+15</f>
        <v>255</v>
      </c>
      <c r="K3863" s="49"/>
      <c r="L3863" s="49" t="s">
        <v>12949</v>
      </c>
      <c r="M3863" s="49" t="s">
        <v>72</v>
      </c>
      <c r="N3863" s="49">
        <v>1969.0</v>
      </c>
      <c r="O3863" s="49" t="s">
        <v>388</v>
      </c>
      <c r="P3863" s="49">
        <v>1.0</v>
      </c>
      <c r="Q3863" s="56"/>
      <c r="R3863" s="288"/>
      <c r="S3863" s="34"/>
      <c r="T3863" s="34"/>
      <c r="U3863" s="34"/>
      <c r="V3863" s="34"/>
      <c r="W3863" s="34"/>
      <c r="X3863" s="34"/>
      <c r="Y3863" s="284"/>
      <c r="Z3863" s="284"/>
      <c r="AA3863" s="284"/>
      <c r="AB3863" s="284"/>
      <c r="AC3863" s="284"/>
      <c r="AD3863" s="284"/>
      <c r="AE3863" s="284"/>
      <c r="AF3863" s="284"/>
      <c r="AG3863" s="284"/>
      <c r="AH3863" s="284"/>
      <c r="AI3863" s="284"/>
      <c r="AJ3863" s="284"/>
      <c r="AK3863" s="284"/>
      <c r="AL3863" s="284"/>
    </row>
    <row r="3864" ht="15.75" customHeight="1">
      <c r="A3864" s="157">
        <f t="shared" si="29"/>
        <v>4683</v>
      </c>
      <c r="B3864" s="158"/>
      <c r="C3864" s="159" t="s">
        <v>2415</v>
      </c>
      <c r="D3864" s="160" t="s">
        <v>13141</v>
      </c>
      <c r="E3864" s="158" t="s">
        <v>144</v>
      </c>
      <c r="F3864" s="158" t="s">
        <v>29</v>
      </c>
      <c r="G3864" s="158" t="s">
        <v>30</v>
      </c>
      <c r="H3864" s="158"/>
      <c r="I3864" s="158" t="s">
        <v>30</v>
      </c>
      <c r="J3864" s="158">
        <v>184.0</v>
      </c>
      <c r="K3864" s="158"/>
      <c r="L3864" s="158" t="s">
        <v>2418</v>
      </c>
      <c r="M3864" s="158" t="s">
        <v>13142</v>
      </c>
      <c r="N3864" s="158">
        <v>1966.0</v>
      </c>
      <c r="O3864" s="158" t="s">
        <v>388</v>
      </c>
      <c r="P3864" s="158">
        <v>1.0</v>
      </c>
      <c r="Q3864" s="162"/>
      <c r="R3864" s="289"/>
      <c r="S3864" s="34"/>
      <c r="T3864" s="34"/>
      <c r="U3864" s="34"/>
      <c r="V3864" s="34"/>
      <c r="W3864" s="34"/>
      <c r="X3864" s="34"/>
      <c r="Y3864" s="284"/>
      <c r="Z3864" s="284"/>
      <c r="AA3864" s="284"/>
      <c r="AB3864" s="284"/>
      <c r="AC3864" s="284"/>
      <c r="AD3864" s="284"/>
      <c r="AE3864" s="284"/>
      <c r="AF3864" s="284"/>
      <c r="AG3864" s="284"/>
      <c r="AH3864" s="284"/>
      <c r="AI3864" s="284"/>
      <c r="AJ3864" s="284"/>
      <c r="AK3864" s="284"/>
      <c r="AL3864" s="284"/>
    </row>
    <row r="3865" ht="15.75" customHeight="1">
      <c r="A3865" s="157">
        <f t="shared" si="29"/>
        <v>4684</v>
      </c>
      <c r="B3865" s="158" t="s">
        <v>2419</v>
      </c>
      <c r="C3865" s="159" t="s">
        <v>13143</v>
      </c>
      <c r="D3865" s="160" t="s">
        <v>2421</v>
      </c>
      <c r="E3865" s="158" t="s">
        <v>144</v>
      </c>
      <c r="F3865" s="158" t="s">
        <v>29</v>
      </c>
      <c r="G3865" s="158" t="s">
        <v>30</v>
      </c>
      <c r="H3865" s="158"/>
      <c r="I3865" s="158" t="s">
        <v>30</v>
      </c>
      <c r="J3865" s="158">
        <f>844+16</f>
        <v>860</v>
      </c>
      <c r="K3865" s="158"/>
      <c r="L3865" s="158" t="s">
        <v>13144</v>
      </c>
      <c r="M3865" s="158" t="s">
        <v>2869</v>
      </c>
      <c r="N3865" s="158">
        <v>2007.0</v>
      </c>
      <c r="O3865" s="158" t="s">
        <v>388</v>
      </c>
      <c r="P3865" s="158">
        <v>1.0</v>
      </c>
      <c r="Q3865" s="162"/>
      <c r="R3865" s="289"/>
      <c r="S3865" s="34"/>
      <c r="T3865" s="34"/>
      <c r="U3865" s="34"/>
      <c r="V3865" s="34"/>
      <c r="W3865" s="34"/>
      <c r="X3865" s="34"/>
      <c r="Y3865" s="284"/>
      <c r="Z3865" s="284"/>
      <c r="AA3865" s="284"/>
      <c r="AB3865" s="284"/>
      <c r="AC3865" s="284"/>
      <c r="AD3865" s="284"/>
      <c r="AE3865" s="284"/>
      <c r="AF3865" s="284"/>
      <c r="AG3865" s="284"/>
      <c r="AH3865" s="284"/>
      <c r="AI3865" s="284"/>
      <c r="AJ3865" s="284"/>
      <c r="AK3865" s="284"/>
      <c r="AL3865" s="284"/>
    </row>
    <row r="3866" ht="15.75" customHeight="1">
      <c r="A3866" s="115">
        <f t="shared" si="29"/>
        <v>4685</v>
      </c>
      <c r="B3866" s="49"/>
      <c r="C3866" s="50" t="s">
        <v>13145</v>
      </c>
      <c r="D3866" s="55" t="s">
        <v>13146</v>
      </c>
      <c r="E3866" s="49" t="s">
        <v>144</v>
      </c>
      <c r="F3866" s="49" t="s">
        <v>29</v>
      </c>
      <c r="G3866" s="49" t="s">
        <v>30</v>
      </c>
      <c r="H3866" s="49"/>
      <c r="I3866" s="49" t="s">
        <v>30</v>
      </c>
      <c r="J3866" s="49">
        <f>51</f>
        <v>51</v>
      </c>
      <c r="K3866" s="49"/>
      <c r="L3866" s="49"/>
      <c r="M3866" s="49"/>
      <c r="N3866" s="49"/>
      <c r="O3866" s="49" t="s">
        <v>388</v>
      </c>
      <c r="P3866" s="49">
        <v>1.0</v>
      </c>
      <c r="Q3866" s="56"/>
      <c r="R3866" s="288"/>
      <c r="S3866" s="34"/>
      <c r="T3866" s="34"/>
      <c r="U3866" s="34"/>
      <c r="V3866" s="34"/>
      <c r="W3866" s="34"/>
      <c r="X3866" s="34"/>
      <c r="Y3866" s="284"/>
      <c r="Z3866" s="284"/>
      <c r="AA3866" s="284"/>
      <c r="AB3866" s="284"/>
      <c r="AC3866" s="284"/>
      <c r="AD3866" s="284"/>
      <c r="AE3866" s="284"/>
      <c r="AF3866" s="284"/>
      <c r="AG3866" s="284"/>
      <c r="AH3866" s="284"/>
      <c r="AI3866" s="284"/>
      <c r="AJ3866" s="284"/>
      <c r="AK3866" s="284"/>
      <c r="AL3866" s="284"/>
    </row>
    <row r="3867" ht="15.75" customHeight="1">
      <c r="A3867" s="115">
        <f t="shared" si="29"/>
        <v>4686</v>
      </c>
      <c r="B3867" s="49" t="s">
        <v>13147</v>
      </c>
      <c r="C3867" s="50" t="s">
        <v>5624</v>
      </c>
      <c r="D3867" s="55" t="s">
        <v>13148</v>
      </c>
      <c r="E3867" s="49" t="s">
        <v>3839</v>
      </c>
      <c r="F3867" s="49" t="s">
        <v>29</v>
      </c>
      <c r="G3867" s="49" t="s">
        <v>37</v>
      </c>
      <c r="H3867" s="49"/>
      <c r="I3867" s="49" t="s">
        <v>38</v>
      </c>
      <c r="J3867" s="49">
        <f>362+22</f>
        <v>384</v>
      </c>
      <c r="K3867" s="49"/>
      <c r="L3867" s="49" t="s">
        <v>766</v>
      </c>
      <c r="M3867" s="49" t="s">
        <v>382</v>
      </c>
      <c r="N3867" s="49">
        <v>1994.0</v>
      </c>
      <c r="O3867" s="49" t="s">
        <v>388</v>
      </c>
      <c r="P3867" s="49">
        <v>1.0</v>
      </c>
      <c r="Q3867" s="56"/>
      <c r="R3867" s="288"/>
      <c r="S3867" s="34"/>
      <c r="T3867" s="34"/>
      <c r="U3867" s="34"/>
      <c r="V3867" s="34"/>
      <c r="W3867" s="34"/>
      <c r="X3867" s="34"/>
      <c r="Y3867" s="284"/>
      <c r="Z3867" s="284"/>
      <c r="AA3867" s="284"/>
      <c r="AB3867" s="284"/>
      <c r="AC3867" s="284"/>
      <c r="AD3867" s="284"/>
      <c r="AE3867" s="284"/>
      <c r="AF3867" s="284"/>
      <c r="AG3867" s="284"/>
      <c r="AH3867" s="284"/>
      <c r="AI3867" s="284"/>
      <c r="AJ3867" s="284"/>
      <c r="AK3867" s="284"/>
      <c r="AL3867" s="284"/>
    </row>
    <row r="3868" ht="15.75" customHeight="1">
      <c r="A3868" s="115">
        <f t="shared" si="29"/>
        <v>4687</v>
      </c>
      <c r="B3868" s="49" t="s">
        <v>13149</v>
      </c>
      <c r="C3868" s="50" t="s">
        <v>13150</v>
      </c>
      <c r="D3868" s="55" t="s">
        <v>13151</v>
      </c>
      <c r="E3868" s="49" t="s">
        <v>144</v>
      </c>
      <c r="F3868" s="49" t="s">
        <v>29</v>
      </c>
      <c r="G3868" s="49" t="s">
        <v>30</v>
      </c>
      <c r="H3868" s="49"/>
      <c r="I3868" s="49" t="s">
        <v>30</v>
      </c>
      <c r="J3868" s="49">
        <f>162+35</f>
        <v>197</v>
      </c>
      <c r="K3868" s="49"/>
      <c r="L3868" s="49" t="s">
        <v>6547</v>
      </c>
      <c r="M3868" s="49" t="s">
        <v>3240</v>
      </c>
      <c r="N3868" s="49">
        <v>2014.0</v>
      </c>
      <c r="O3868" s="49" t="s">
        <v>388</v>
      </c>
      <c r="P3868" s="49">
        <v>1.0</v>
      </c>
      <c r="Q3868" s="56"/>
      <c r="R3868" s="288"/>
      <c r="S3868" s="34"/>
      <c r="T3868" s="34"/>
      <c r="U3868" s="34"/>
      <c r="V3868" s="34"/>
      <c r="W3868" s="34"/>
      <c r="X3868" s="34"/>
      <c r="Y3868" s="284"/>
      <c r="Z3868" s="284"/>
      <c r="AA3868" s="284"/>
      <c r="AB3868" s="284"/>
      <c r="AC3868" s="284"/>
      <c r="AD3868" s="284"/>
      <c r="AE3868" s="284"/>
      <c r="AF3868" s="284"/>
      <c r="AG3868" s="284"/>
      <c r="AH3868" s="284"/>
      <c r="AI3868" s="284"/>
      <c r="AJ3868" s="284"/>
      <c r="AK3868" s="284"/>
      <c r="AL3868" s="284"/>
    </row>
    <row r="3869" ht="15.75" customHeight="1">
      <c r="A3869" s="115">
        <f t="shared" si="29"/>
        <v>4688</v>
      </c>
      <c r="B3869" s="49" t="s">
        <v>9550</v>
      </c>
      <c r="C3869" s="50" t="s">
        <v>9551</v>
      </c>
      <c r="D3869" s="55" t="s">
        <v>9552</v>
      </c>
      <c r="E3869" s="49" t="s">
        <v>144</v>
      </c>
      <c r="F3869" s="49" t="s">
        <v>29</v>
      </c>
      <c r="G3869" s="49" t="s">
        <v>38</v>
      </c>
      <c r="H3869" s="49"/>
      <c r="I3869" s="49" t="s">
        <v>38</v>
      </c>
      <c r="J3869" s="49">
        <f>256+12</f>
        <v>268</v>
      </c>
      <c r="K3869" s="49"/>
      <c r="L3869" s="49" t="s">
        <v>2984</v>
      </c>
      <c r="M3869" s="49" t="s">
        <v>9553</v>
      </c>
      <c r="N3869" s="49">
        <v>2017.0</v>
      </c>
      <c r="O3869" s="49" t="s">
        <v>388</v>
      </c>
      <c r="P3869" s="49">
        <v>1.0</v>
      </c>
      <c r="Q3869" s="56"/>
      <c r="R3869" s="288"/>
      <c r="S3869" s="116"/>
      <c r="T3869" s="116"/>
      <c r="U3869" s="116"/>
      <c r="V3869" s="116"/>
      <c r="W3869" s="116"/>
      <c r="X3869" s="116"/>
      <c r="Y3869" s="284"/>
      <c r="Z3869" s="284"/>
      <c r="AA3869" s="284"/>
      <c r="AB3869" s="284"/>
      <c r="AC3869" s="284"/>
      <c r="AD3869" s="284"/>
      <c r="AE3869" s="284"/>
      <c r="AF3869" s="284"/>
      <c r="AG3869" s="284"/>
      <c r="AH3869" s="284"/>
      <c r="AI3869" s="284"/>
      <c r="AJ3869" s="284"/>
      <c r="AK3869" s="284"/>
      <c r="AL3869" s="284"/>
    </row>
    <row r="3870" ht="15.75" customHeight="1">
      <c r="A3870" s="115">
        <f t="shared" si="29"/>
        <v>4689</v>
      </c>
      <c r="B3870" s="49" t="s">
        <v>13152</v>
      </c>
      <c r="C3870" s="50" t="s">
        <v>13153</v>
      </c>
      <c r="D3870" s="55" t="s">
        <v>13154</v>
      </c>
      <c r="E3870" s="49" t="s">
        <v>144</v>
      </c>
      <c r="F3870" s="49" t="s">
        <v>29</v>
      </c>
      <c r="G3870" s="49" t="s">
        <v>13081</v>
      </c>
      <c r="H3870" s="49"/>
      <c r="I3870" s="49" t="s">
        <v>13082</v>
      </c>
      <c r="J3870" s="49">
        <v>136.0</v>
      </c>
      <c r="K3870" s="49"/>
      <c r="L3870" s="49" t="s">
        <v>31</v>
      </c>
      <c r="M3870" s="49" t="s">
        <v>13155</v>
      </c>
      <c r="N3870" s="49">
        <v>2017.0</v>
      </c>
      <c r="O3870" s="49" t="s">
        <v>388</v>
      </c>
      <c r="P3870" s="49">
        <v>1.0</v>
      </c>
      <c r="Q3870" s="56"/>
      <c r="R3870" s="288"/>
      <c r="S3870" s="116"/>
      <c r="T3870" s="116"/>
      <c r="U3870" s="116"/>
      <c r="V3870" s="116"/>
      <c r="W3870" s="116"/>
      <c r="X3870" s="116"/>
      <c r="Y3870" s="284"/>
      <c r="Z3870" s="284"/>
      <c r="AA3870" s="284"/>
      <c r="AB3870" s="284"/>
      <c r="AC3870" s="284"/>
      <c r="AD3870" s="284"/>
      <c r="AE3870" s="284"/>
      <c r="AF3870" s="284"/>
      <c r="AG3870" s="284"/>
      <c r="AH3870" s="284"/>
      <c r="AI3870" s="284"/>
      <c r="AJ3870" s="284"/>
      <c r="AK3870" s="284"/>
      <c r="AL3870" s="284"/>
    </row>
    <row r="3871" ht="15.75" customHeight="1">
      <c r="A3871" s="115">
        <f t="shared" si="29"/>
        <v>4690</v>
      </c>
      <c r="B3871" s="49" t="s">
        <v>2002</v>
      </c>
      <c r="C3871" s="50" t="s">
        <v>2003</v>
      </c>
      <c r="D3871" s="55" t="s">
        <v>13156</v>
      </c>
      <c r="E3871" s="49" t="s">
        <v>28</v>
      </c>
      <c r="F3871" s="49" t="s">
        <v>29</v>
      </c>
      <c r="G3871" s="49" t="s">
        <v>37</v>
      </c>
      <c r="H3871" s="49" t="s">
        <v>31</v>
      </c>
      <c r="I3871" s="49" t="s">
        <v>38</v>
      </c>
      <c r="J3871" s="49">
        <v>240.0</v>
      </c>
      <c r="K3871" s="49"/>
      <c r="L3871" s="49" t="s">
        <v>13157</v>
      </c>
      <c r="M3871" s="49" t="s">
        <v>250</v>
      </c>
      <c r="N3871" s="49" t="s">
        <v>31</v>
      </c>
      <c r="O3871" s="49" t="s">
        <v>388</v>
      </c>
      <c r="P3871" s="49">
        <v>1.0</v>
      </c>
      <c r="Q3871" s="56"/>
      <c r="R3871" s="288"/>
      <c r="S3871" s="34"/>
      <c r="T3871" s="34"/>
      <c r="U3871" s="34"/>
      <c r="V3871" s="34"/>
      <c r="W3871" s="34"/>
      <c r="X3871" s="34"/>
      <c r="Y3871" s="284"/>
      <c r="Z3871" s="284"/>
      <c r="AA3871" s="284"/>
      <c r="AB3871" s="284"/>
      <c r="AC3871" s="284"/>
      <c r="AD3871" s="284"/>
      <c r="AE3871" s="284"/>
      <c r="AF3871" s="284"/>
      <c r="AG3871" s="284"/>
      <c r="AH3871" s="284"/>
      <c r="AI3871" s="284"/>
      <c r="AJ3871" s="284"/>
      <c r="AK3871" s="284"/>
      <c r="AL3871" s="284"/>
    </row>
    <row r="3872" ht="15.75" customHeight="1">
      <c r="A3872" s="164">
        <f t="shared" si="29"/>
        <v>4691</v>
      </c>
      <c r="B3872" s="63" t="s">
        <v>12664</v>
      </c>
      <c r="C3872" s="64" t="s">
        <v>12665</v>
      </c>
      <c r="D3872" s="65" t="s">
        <v>13158</v>
      </c>
      <c r="E3872" s="63" t="s">
        <v>28</v>
      </c>
      <c r="F3872" s="63" t="s">
        <v>29</v>
      </c>
      <c r="G3872" s="63" t="s">
        <v>37</v>
      </c>
      <c r="H3872" s="63"/>
      <c r="I3872" s="63" t="s">
        <v>38</v>
      </c>
      <c r="J3872" s="63">
        <f>344+6</f>
        <v>350</v>
      </c>
      <c r="K3872" s="63"/>
      <c r="L3872" s="63" t="s">
        <v>13159</v>
      </c>
      <c r="M3872" s="63" t="s">
        <v>178</v>
      </c>
      <c r="N3872" s="63">
        <v>2009.0</v>
      </c>
      <c r="O3872" s="63" t="s">
        <v>388</v>
      </c>
      <c r="P3872" s="63">
        <v>1.0</v>
      </c>
      <c r="Q3872" s="276"/>
      <c r="R3872" s="315"/>
      <c r="S3872" s="34"/>
      <c r="T3872" s="34"/>
      <c r="U3872" s="34"/>
      <c r="V3872" s="34"/>
      <c r="W3872" s="34"/>
      <c r="X3872" s="34"/>
      <c r="Y3872" s="284"/>
      <c r="Z3872" s="284"/>
      <c r="AA3872" s="284"/>
      <c r="AB3872" s="284"/>
      <c r="AC3872" s="284"/>
      <c r="AD3872" s="284"/>
      <c r="AE3872" s="284"/>
      <c r="AF3872" s="284"/>
      <c r="AG3872" s="284"/>
      <c r="AH3872" s="284"/>
      <c r="AI3872" s="284"/>
      <c r="AJ3872" s="284"/>
      <c r="AK3872" s="284"/>
      <c r="AL3872" s="284"/>
    </row>
    <row r="3873" ht="15.75" customHeight="1">
      <c r="A3873" s="115">
        <f t="shared" si="29"/>
        <v>4692</v>
      </c>
      <c r="B3873" s="49" t="s">
        <v>1965</v>
      </c>
      <c r="C3873" s="50" t="s">
        <v>1966</v>
      </c>
      <c r="D3873" s="55" t="s">
        <v>13160</v>
      </c>
      <c r="E3873" s="49" t="s">
        <v>28</v>
      </c>
      <c r="F3873" s="49" t="s">
        <v>29</v>
      </c>
      <c r="G3873" s="49" t="s">
        <v>37</v>
      </c>
      <c r="H3873" s="49"/>
      <c r="I3873" s="49" t="s">
        <v>38</v>
      </c>
      <c r="J3873" s="49">
        <f>168+8</f>
        <v>176</v>
      </c>
      <c r="K3873" s="49"/>
      <c r="L3873" s="49" t="s">
        <v>1319</v>
      </c>
      <c r="M3873" s="49" t="s">
        <v>1478</v>
      </c>
      <c r="N3873" s="49">
        <v>1973.0</v>
      </c>
      <c r="O3873" s="49" t="s">
        <v>388</v>
      </c>
      <c r="P3873" s="49">
        <v>1.0</v>
      </c>
      <c r="Q3873" s="56"/>
      <c r="R3873" s="288"/>
      <c r="S3873" s="34"/>
      <c r="T3873" s="34"/>
      <c r="U3873" s="34"/>
      <c r="V3873" s="34"/>
      <c r="W3873" s="34"/>
      <c r="X3873" s="34"/>
      <c r="Y3873" s="284"/>
      <c r="Z3873" s="284"/>
      <c r="AA3873" s="284"/>
      <c r="AB3873" s="284"/>
      <c r="AC3873" s="284"/>
      <c r="AD3873" s="284"/>
      <c r="AE3873" s="284"/>
      <c r="AF3873" s="284"/>
      <c r="AG3873" s="284"/>
      <c r="AH3873" s="284"/>
      <c r="AI3873" s="284"/>
      <c r="AJ3873" s="284"/>
      <c r="AK3873" s="284"/>
      <c r="AL3873" s="284"/>
    </row>
    <row r="3874" ht="15.75" customHeight="1">
      <c r="A3874" s="115">
        <f t="shared" si="29"/>
        <v>4693</v>
      </c>
      <c r="B3874" s="49" t="s">
        <v>13161</v>
      </c>
      <c r="C3874" s="50" t="s">
        <v>3939</v>
      </c>
      <c r="D3874" s="55" t="s">
        <v>13162</v>
      </c>
      <c r="E3874" s="49" t="s">
        <v>8641</v>
      </c>
      <c r="F3874" s="49" t="s">
        <v>29</v>
      </c>
      <c r="G3874" s="49" t="s">
        <v>13081</v>
      </c>
      <c r="H3874" s="49"/>
      <c r="I3874" s="49" t="s">
        <v>13082</v>
      </c>
      <c r="J3874" s="49">
        <v>560.0</v>
      </c>
      <c r="K3874" s="49"/>
      <c r="L3874" s="49" t="s">
        <v>31</v>
      </c>
      <c r="M3874" s="49" t="s">
        <v>13163</v>
      </c>
      <c r="N3874" s="49">
        <v>2017.0</v>
      </c>
      <c r="O3874" s="49" t="s">
        <v>388</v>
      </c>
      <c r="P3874" s="49">
        <v>1.0</v>
      </c>
      <c r="Q3874" s="56"/>
      <c r="R3874" s="288"/>
      <c r="S3874" s="116"/>
      <c r="T3874" s="116"/>
      <c r="U3874" s="116"/>
      <c r="V3874" s="116"/>
      <c r="W3874" s="116"/>
      <c r="X3874" s="116"/>
      <c r="Y3874" s="284"/>
      <c r="Z3874" s="284"/>
      <c r="AA3874" s="284"/>
      <c r="AB3874" s="284"/>
      <c r="AC3874" s="284"/>
      <c r="AD3874" s="284"/>
      <c r="AE3874" s="284"/>
      <c r="AF3874" s="284"/>
      <c r="AG3874" s="284"/>
      <c r="AH3874" s="284"/>
      <c r="AI3874" s="284"/>
      <c r="AJ3874" s="284"/>
      <c r="AK3874" s="284"/>
      <c r="AL3874" s="284"/>
    </row>
    <row r="3875" ht="15.75" customHeight="1">
      <c r="A3875" s="157">
        <f t="shared" si="29"/>
        <v>4694</v>
      </c>
      <c r="B3875" s="158" t="s">
        <v>31</v>
      </c>
      <c r="C3875" s="159" t="s">
        <v>2483</v>
      </c>
      <c r="D3875" s="160" t="s">
        <v>13164</v>
      </c>
      <c r="E3875" s="158"/>
      <c r="F3875" s="158" t="s">
        <v>29</v>
      </c>
      <c r="G3875" s="158" t="s">
        <v>98</v>
      </c>
      <c r="H3875" s="158"/>
      <c r="I3875" s="158" t="s">
        <v>38</v>
      </c>
      <c r="J3875" s="158">
        <f>192</f>
        <v>192</v>
      </c>
      <c r="K3875" s="158"/>
      <c r="L3875" s="158" t="s">
        <v>13165</v>
      </c>
      <c r="M3875" s="158" t="s">
        <v>13166</v>
      </c>
      <c r="N3875" s="158">
        <v>1972.0</v>
      </c>
      <c r="O3875" s="158" t="s">
        <v>388</v>
      </c>
      <c r="P3875" s="158">
        <v>1.0</v>
      </c>
      <c r="Q3875" s="162"/>
      <c r="R3875" s="309"/>
      <c r="S3875" s="185"/>
      <c r="T3875" s="185"/>
      <c r="U3875" s="185"/>
      <c r="V3875" s="185"/>
      <c r="W3875" s="185"/>
      <c r="X3875" s="185"/>
      <c r="Y3875" s="284"/>
      <c r="Z3875" s="284"/>
      <c r="AA3875" s="284"/>
      <c r="AB3875" s="284"/>
      <c r="AC3875" s="284"/>
      <c r="AD3875" s="284"/>
      <c r="AE3875" s="284"/>
      <c r="AF3875" s="284"/>
      <c r="AG3875" s="284"/>
      <c r="AH3875" s="284"/>
      <c r="AI3875" s="284"/>
      <c r="AJ3875" s="284"/>
      <c r="AK3875" s="284"/>
      <c r="AL3875" s="284"/>
    </row>
    <row r="3876" ht="15.75" customHeight="1">
      <c r="A3876" s="115">
        <f t="shared" si="29"/>
        <v>4695</v>
      </c>
      <c r="B3876" s="49" t="s">
        <v>13167</v>
      </c>
      <c r="C3876" s="50" t="s">
        <v>13168</v>
      </c>
      <c r="D3876" s="55" t="s">
        <v>13169</v>
      </c>
      <c r="E3876" s="49" t="s">
        <v>144</v>
      </c>
      <c r="F3876" s="49" t="s">
        <v>29</v>
      </c>
      <c r="G3876" s="49" t="s">
        <v>37</v>
      </c>
      <c r="H3876" s="49"/>
      <c r="I3876" s="49" t="s">
        <v>38</v>
      </c>
      <c r="J3876" s="49">
        <f>379</f>
        <v>379</v>
      </c>
      <c r="K3876" s="49"/>
      <c r="L3876" s="49" t="s">
        <v>13169</v>
      </c>
      <c r="M3876" s="49" t="s">
        <v>13170</v>
      </c>
      <c r="N3876" s="49">
        <v>1962.0</v>
      </c>
      <c r="O3876" s="49" t="s">
        <v>388</v>
      </c>
      <c r="P3876" s="49">
        <v>1.0</v>
      </c>
      <c r="Q3876" s="56"/>
      <c r="R3876" s="288"/>
      <c r="S3876" s="34"/>
      <c r="T3876" s="34"/>
      <c r="U3876" s="34"/>
      <c r="V3876" s="34"/>
      <c r="W3876" s="34"/>
      <c r="X3876" s="34"/>
      <c r="Y3876" s="284"/>
      <c r="Z3876" s="284"/>
      <c r="AA3876" s="284"/>
      <c r="AB3876" s="284"/>
      <c r="AC3876" s="284"/>
      <c r="AD3876" s="284"/>
      <c r="AE3876" s="284"/>
      <c r="AF3876" s="284"/>
      <c r="AG3876" s="284"/>
      <c r="AH3876" s="284"/>
      <c r="AI3876" s="284"/>
      <c r="AJ3876" s="284"/>
      <c r="AK3876" s="284"/>
      <c r="AL3876" s="284"/>
    </row>
    <row r="3877" ht="15.75" customHeight="1">
      <c r="A3877" s="164">
        <f t="shared" si="29"/>
        <v>4696</v>
      </c>
      <c r="B3877" s="63" t="s">
        <v>13171</v>
      </c>
      <c r="C3877" s="64" t="s">
        <v>13172</v>
      </c>
      <c r="D3877" s="65" t="s">
        <v>13173</v>
      </c>
      <c r="E3877" s="63" t="s">
        <v>2601</v>
      </c>
      <c r="F3877" s="63" t="s">
        <v>29</v>
      </c>
      <c r="G3877" s="63" t="s">
        <v>37</v>
      </c>
      <c r="H3877" s="63"/>
      <c r="I3877" s="63" t="s">
        <v>38</v>
      </c>
      <c r="J3877" s="63">
        <f>205+16</f>
        <v>221</v>
      </c>
      <c r="K3877" s="63"/>
      <c r="L3877" s="63" t="s">
        <v>5599</v>
      </c>
      <c r="M3877" s="63" t="s">
        <v>3712</v>
      </c>
      <c r="N3877" s="63">
        <v>1994.0</v>
      </c>
      <c r="O3877" s="63" t="s">
        <v>388</v>
      </c>
      <c r="P3877" s="63">
        <v>1.0</v>
      </c>
      <c r="Q3877" s="276"/>
      <c r="R3877" s="315"/>
      <c r="S3877" s="116"/>
      <c r="T3877" s="116"/>
      <c r="U3877" s="116"/>
      <c r="V3877" s="116"/>
      <c r="W3877" s="116"/>
      <c r="X3877" s="116"/>
      <c r="Y3877" s="284"/>
      <c r="Z3877" s="284"/>
      <c r="AA3877" s="284"/>
      <c r="AB3877" s="284"/>
      <c r="AC3877" s="284"/>
      <c r="AD3877" s="284"/>
      <c r="AE3877" s="284"/>
      <c r="AF3877" s="284"/>
      <c r="AG3877" s="284"/>
      <c r="AH3877" s="284"/>
      <c r="AI3877" s="284"/>
      <c r="AJ3877" s="284"/>
      <c r="AK3877" s="284"/>
      <c r="AL3877" s="284"/>
    </row>
    <row r="3878" ht="15.75" customHeight="1">
      <c r="A3878" s="115">
        <f t="shared" si="29"/>
        <v>4697</v>
      </c>
      <c r="B3878" s="49" t="s">
        <v>13174</v>
      </c>
      <c r="C3878" s="50" t="s">
        <v>13175</v>
      </c>
      <c r="D3878" s="55" t="s">
        <v>13176</v>
      </c>
      <c r="E3878" s="49" t="s">
        <v>144</v>
      </c>
      <c r="F3878" s="49" t="s">
        <v>29</v>
      </c>
      <c r="G3878" s="49" t="s">
        <v>30</v>
      </c>
      <c r="H3878" s="49"/>
      <c r="I3878" s="49" t="s">
        <v>30</v>
      </c>
      <c r="J3878" s="49">
        <v>223.0</v>
      </c>
      <c r="K3878" s="49"/>
      <c r="L3878" s="49" t="s">
        <v>13177</v>
      </c>
      <c r="M3878" s="49" t="s">
        <v>9456</v>
      </c>
      <c r="N3878" s="49">
        <v>2001.0</v>
      </c>
      <c r="O3878" s="49" t="s">
        <v>388</v>
      </c>
      <c r="P3878" s="49">
        <v>1.0</v>
      </c>
      <c r="Q3878" s="56"/>
      <c r="R3878" s="288"/>
      <c r="S3878" s="34"/>
      <c r="T3878" s="34"/>
      <c r="U3878" s="34"/>
      <c r="V3878" s="34"/>
      <c r="W3878" s="34"/>
      <c r="X3878" s="34"/>
      <c r="Y3878" s="284"/>
      <c r="Z3878" s="284"/>
      <c r="AA3878" s="284"/>
      <c r="AB3878" s="284"/>
      <c r="AC3878" s="284"/>
      <c r="AD3878" s="284"/>
      <c r="AE3878" s="284"/>
      <c r="AF3878" s="284"/>
      <c r="AG3878" s="284"/>
      <c r="AH3878" s="284"/>
      <c r="AI3878" s="284"/>
      <c r="AJ3878" s="284"/>
      <c r="AK3878" s="284"/>
      <c r="AL3878" s="284"/>
    </row>
    <row r="3879" ht="15.75" customHeight="1">
      <c r="A3879" s="115">
        <f t="shared" si="29"/>
        <v>4698</v>
      </c>
      <c r="B3879" s="49" t="s">
        <v>361</v>
      </c>
      <c r="C3879" s="50" t="s">
        <v>13178</v>
      </c>
      <c r="D3879" s="55" t="s">
        <v>13179</v>
      </c>
      <c r="E3879" s="49" t="s">
        <v>144</v>
      </c>
      <c r="F3879" s="49" t="s">
        <v>29</v>
      </c>
      <c r="G3879" s="49" t="s">
        <v>37</v>
      </c>
      <c r="H3879" s="49"/>
      <c r="I3879" s="49" t="s">
        <v>38</v>
      </c>
      <c r="J3879" s="49">
        <f>634+29</f>
        <v>663</v>
      </c>
      <c r="K3879" s="49"/>
      <c r="L3879" s="49" t="s">
        <v>13180</v>
      </c>
      <c r="M3879" s="49" t="s">
        <v>365</v>
      </c>
      <c r="N3879" s="49">
        <v>1931.0</v>
      </c>
      <c r="O3879" s="49" t="s">
        <v>388</v>
      </c>
      <c r="P3879" s="49">
        <v>1.0</v>
      </c>
      <c r="Q3879" s="56"/>
      <c r="R3879" s="288"/>
      <c r="S3879" s="34"/>
      <c r="T3879" s="34"/>
      <c r="U3879" s="34"/>
      <c r="V3879" s="34"/>
      <c r="W3879" s="34"/>
      <c r="X3879" s="34"/>
      <c r="Y3879" s="284"/>
      <c r="Z3879" s="284"/>
      <c r="AA3879" s="284"/>
      <c r="AB3879" s="284"/>
      <c r="AC3879" s="284"/>
      <c r="AD3879" s="284"/>
      <c r="AE3879" s="284"/>
      <c r="AF3879" s="284"/>
      <c r="AG3879" s="284"/>
      <c r="AH3879" s="284"/>
      <c r="AI3879" s="284"/>
      <c r="AJ3879" s="284"/>
      <c r="AK3879" s="284"/>
      <c r="AL3879" s="284"/>
    </row>
    <row r="3880" ht="15.75" customHeight="1">
      <c r="A3880" s="115">
        <f t="shared" si="29"/>
        <v>4699</v>
      </c>
      <c r="B3880" s="321" t="s">
        <v>12413</v>
      </c>
      <c r="C3880" s="332" t="s">
        <v>13181</v>
      </c>
      <c r="D3880" s="314" t="s">
        <v>13182</v>
      </c>
      <c r="E3880" s="321" t="s">
        <v>144</v>
      </c>
      <c r="F3880" s="321" t="s">
        <v>29</v>
      </c>
      <c r="G3880" s="321" t="s">
        <v>30</v>
      </c>
      <c r="H3880" s="321"/>
      <c r="I3880" s="321" t="s">
        <v>30</v>
      </c>
      <c r="J3880" s="321">
        <f>316+4</f>
        <v>320</v>
      </c>
      <c r="K3880" s="321"/>
      <c r="L3880" s="321" t="s">
        <v>13183</v>
      </c>
      <c r="M3880" s="321" t="s">
        <v>12416</v>
      </c>
      <c r="N3880" s="321">
        <v>2011.0</v>
      </c>
      <c r="O3880" s="321" t="s">
        <v>388</v>
      </c>
      <c r="P3880" s="321">
        <v>1.0</v>
      </c>
      <c r="Q3880" s="325"/>
      <c r="R3880" s="288"/>
      <c r="S3880" s="34"/>
      <c r="T3880" s="34"/>
      <c r="U3880" s="34"/>
      <c r="V3880" s="34"/>
      <c r="W3880" s="34"/>
      <c r="X3880" s="34"/>
      <c r="Y3880" s="284"/>
      <c r="Z3880" s="284"/>
      <c r="AA3880" s="284"/>
      <c r="AB3880" s="284"/>
      <c r="AC3880" s="284"/>
      <c r="AD3880" s="284"/>
      <c r="AE3880" s="284"/>
      <c r="AF3880" s="284"/>
      <c r="AG3880" s="284"/>
      <c r="AH3880" s="284"/>
      <c r="AI3880" s="284"/>
      <c r="AJ3880" s="284"/>
      <c r="AK3880" s="284"/>
      <c r="AL3880" s="284"/>
    </row>
    <row r="3881" ht="15.75" customHeight="1">
      <c r="A3881" s="115">
        <f t="shared" si="29"/>
        <v>4700</v>
      </c>
      <c r="B3881" s="49" t="s">
        <v>12560</v>
      </c>
      <c r="C3881" s="50" t="s">
        <v>12561</v>
      </c>
      <c r="D3881" s="55" t="s">
        <v>13184</v>
      </c>
      <c r="E3881" s="49" t="s">
        <v>28</v>
      </c>
      <c r="F3881" s="49" t="s">
        <v>29</v>
      </c>
      <c r="G3881" s="49" t="s">
        <v>37</v>
      </c>
      <c r="H3881" s="49"/>
      <c r="I3881" s="49" t="s">
        <v>38</v>
      </c>
      <c r="J3881" s="49">
        <f>373</f>
        <v>373</v>
      </c>
      <c r="K3881" s="49"/>
      <c r="L3881" s="49" t="s">
        <v>13185</v>
      </c>
      <c r="M3881" s="49" t="s">
        <v>1434</v>
      </c>
      <c r="N3881" s="49">
        <v>2015.0</v>
      </c>
      <c r="O3881" s="49" t="s">
        <v>388</v>
      </c>
      <c r="P3881" s="49">
        <v>1.0</v>
      </c>
      <c r="Q3881" s="56"/>
      <c r="R3881" s="288"/>
      <c r="S3881" s="34"/>
      <c r="T3881" s="34"/>
      <c r="U3881" s="34"/>
      <c r="V3881" s="34"/>
      <c r="W3881" s="34"/>
      <c r="X3881" s="34"/>
      <c r="Y3881" s="284"/>
      <c r="Z3881" s="284"/>
      <c r="AA3881" s="284"/>
      <c r="AB3881" s="284"/>
      <c r="AC3881" s="284"/>
      <c r="AD3881" s="284"/>
      <c r="AE3881" s="284"/>
      <c r="AF3881" s="284"/>
      <c r="AG3881" s="284"/>
      <c r="AH3881" s="284"/>
      <c r="AI3881" s="284"/>
      <c r="AJ3881" s="284"/>
      <c r="AK3881" s="284"/>
      <c r="AL3881" s="284"/>
    </row>
    <row r="3882" ht="15.75" customHeight="1">
      <c r="A3882" s="115">
        <f t="shared" si="29"/>
        <v>4701</v>
      </c>
      <c r="B3882" s="49" t="s">
        <v>1638</v>
      </c>
      <c r="C3882" s="50" t="s">
        <v>1639</v>
      </c>
      <c r="D3882" s="55" t="s">
        <v>13186</v>
      </c>
      <c r="E3882" s="49" t="s">
        <v>28</v>
      </c>
      <c r="F3882" s="49" t="s">
        <v>29</v>
      </c>
      <c r="G3882" s="49" t="s">
        <v>37</v>
      </c>
      <c r="H3882" s="49"/>
      <c r="I3882" s="49" t="s">
        <v>38</v>
      </c>
      <c r="J3882" s="49">
        <f>160</f>
        <v>160</v>
      </c>
      <c r="K3882" s="49"/>
      <c r="L3882" s="49" t="s">
        <v>1641</v>
      </c>
      <c r="M3882" s="49" t="s">
        <v>1434</v>
      </c>
      <c r="N3882" s="49">
        <v>2015.0</v>
      </c>
      <c r="O3882" s="49" t="s">
        <v>388</v>
      </c>
      <c r="P3882" s="49">
        <v>1.0</v>
      </c>
      <c r="Q3882" s="56"/>
      <c r="R3882" s="288"/>
      <c r="S3882" s="34"/>
      <c r="T3882" s="34"/>
      <c r="U3882" s="34"/>
      <c r="V3882" s="34"/>
      <c r="W3882" s="34"/>
      <c r="X3882" s="34"/>
      <c r="Y3882" s="284"/>
      <c r="Z3882" s="284"/>
      <c r="AA3882" s="284"/>
      <c r="AB3882" s="284"/>
      <c r="AC3882" s="284"/>
      <c r="AD3882" s="284"/>
      <c r="AE3882" s="284"/>
      <c r="AF3882" s="284"/>
      <c r="AG3882" s="284"/>
      <c r="AH3882" s="284"/>
      <c r="AI3882" s="284"/>
      <c r="AJ3882" s="284"/>
      <c r="AK3882" s="284"/>
      <c r="AL3882" s="284"/>
    </row>
    <row r="3883" ht="15.75" customHeight="1">
      <c r="A3883" s="115">
        <f t="shared" si="29"/>
        <v>4702</v>
      </c>
      <c r="B3883" s="49" t="s">
        <v>31</v>
      </c>
      <c r="C3883" s="50" t="s">
        <v>13117</v>
      </c>
      <c r="D3883" s="55" t="s">
        <v>13187</v>
      </c>
      <c r="E3883" s="49" t="s">
        <v>144</v>
      </c>
      <c r="F3883" s="49" t="s">
        <v>29</v>
      </c>
      <c r="G3883" s="49" t="s">
        <v>30</v>
      </c>
      <c r="H3883" s="49"/>
      <c r="I3883" s="49" t="s">
        <v>30</v>
      </c>
      <c r="J3883" s="49">
        <v>233.0</v>
      </c>
      <c r="K3883" s="49"/>
      <c r="L3883" s="49" t="s">
        <v>8814</v>
      </c>
      <c r="M3883" s="49" t="s">
        <v>13119</v>
      </c>
      <c r="N3883" s="49">
        <v>1967.0</v>
      </c>
      <c r="O3883" s="49" t="s">
        <v>388</v>
      </c>
      <c r="P3883" s="49">
        <v>1.0</v>
      </c>
      <c r="Q3883" s="56"/>
      <c r="R3883" s="288"/>
      <c r="S3883" s="34"/>
      <c r="T3883" s="34"/>
      <c r="U3883" s="34"/>
      <c r="V3883" s="34"/>
      <c r="W3883" s="34"/>
      <c r="X3883" s="34"/>
      <c r="Y3883" s="284"/>
      <c r="Z3883" s="284"/>
      <c r="AA3883" s="284"/>
      <c r="AB3883" s="284"/>
      <c r="AC3883" s="284"/>
      <c r="AD3883" s="284"/>
      <c r="AE3883" s="284"/>
      <c r="AF3883" s="284"/>
      <c r="AG3883" s="284"/>
      <c r="AH3883" s="284"/>
      <c r="AI3883" s="284"/>
      <c r="AJ3883" s="284"/>
      <c r="AK3883" s="284"/>
      <c r="AL3883" s="284"/>
    </row>
    <row r="3884" ht="15.75" customHeight="1">
      <c r="A3884" s="115">
        <f t="shared" si="29"/>
        <v>4703</v>
      </c>
      <c r="B3884" s="49"/>
      <c r="C3884" s="50" t="s">
        <v>4751</v>
      </c>
      <c r="D3884" s="55" t="s">
        <v>13188</v>
      </c>
      <c r="E3884" s="49" t="s">
        <v>144</v>
      </c>
      <c r="F3884" s="49" t="s">
        <v>29</v>
      </c>
      <c r="G3884" s="49" t="s">
        <v>30</v>
      </c>
      <c r="H3884" s="49"/>
      <c r="I3884" s="49" t="s">
        <v>30</v>
      </c>
      <c r="J3884" s="49">
        <f>268</f>
        <v>268</v>
      </c>
      <c r="K3884" s="49"/>
      <c r="L3884" s="49" t="s">
        <v>13189</v>
      </c>
      <c r="M3884" s="49" t="s">
        <v>3684</v>
      </c>
      <c r="N3884" s="49">
        <v>1952.0</v>
      </c>
      <c r="O3884" s="49" t="s">
        <v>388</v>
      </c>
      <c r="P3884" s="49">
        <v>1.0</v>
      </c>
      <c r="Q3884" s="56"/>
      <c r="R3884" s="288"/>
      <c r="S3884" s="34"/>
      <c r="T3884" s="34"/>
      <c r="U3884" s="34"/>
      <c r="V3884" s="34"/>
      <c r="W3884" s="34"/>
      <c r="X3884" s="34"/>
      <c r="Y3884" s="284"/>
      <c r="Z3884" s="284"/>
      <c r="AA3884" s="284"/>
      <c r="AB3884" s="284"/>
      <c r="AC3884" s="284"/>
      <c r="AD3884" s="284"/>
      <c r="AE3884" s="284"/>
      <c r="AF3884" s="284"/>
      <c r="AG3884" s="284"/>
      <c r="AH3884" s="284"/>
      <c r="AI3884" s="284"/>
      <c r="AJ3884" s="284"/>
      <c r="AK3884" s="284"/>
      <c r="AL3884" s="284"/>
    </row>
    <row r="3885" ht="24.75" customHeight="1">
      <c r="A3885" s="115">
        <f t="shared" si="29"/>
        <v>4704</v>
      </c>
      <c r="B3885" s="49" t="s">
        <v>13190</v>
      </c>
      <c r="C3885" s="50" t="s">
        <v>13191</v>
      </c>
      <c r="D3885" s="55" t="s">
        <v>13192</v>
      </c>
      <c r="E3885" s="49" t="s">
        <v>144</v>
      </c>
      <c r="F3885" s="49" t="s">
        <v>29</v>
      </c>
      <c r="G3885" s="49" t="s">
        <v>13193</v>
      </c>
      <c r="H3885" s="49"/>
      <c r="I3885" s="49" t="s">
        <v>38</v>
      </c>
      <c r="J3885" s="49">
        <f>288</f>
        <v>288</v>
      </c>
      <c r="K3885" s="49"/>
      <c r="L3885" s="49" t="s">
        <v>13194</v>
      </c>
      <c r="M3885" s="49" t="s">
        <v>13195</v>
      </c>
      <c r="N3885" s="49">
        <v>2015.0</v>
      </c>
      <c r="O3885" s="49" t="s">
        <v>388</v>
      </c>
      <c r="P3885" s="49">
        <v>1.0</v>
      </c>
      <c r="Q3885" s="56"/>
      <c r="R3885" s="288"/>
      <c r="S3885" s="34"/>
      <c r="T3885" s="34"/>
      <c r="U3885" s="34"/>
      <c r="V3885" s="34"/>
      <c r="W3885" s="34"/>
      <c r="X3885" s="34"/>
      <c r="Y3885" s="284"/>
      <c r="Z3885" s="284"/>
      <c r="AA3885" s="284"/>
      <c r="AB3885" s="284"/>
      <c r="AC3885" s="284"/>
      <c r="AD3885" s="284"/>
      <c r="AE3885" s="284"/>
      <c r="AF3885" s="284"/>
      <c r="AG3885" s="284"/>
      <c r="AH3885" s="284"/>
      <c r="AI3885" s="284"/>
      <c r="AJ3885" s="284"/>
      <c r="AK3885" s="284"/>
      <c r="AL3885" s="284"/>
    </row>
    <row r="3886" ht="15.75" customHeight="1">
      <c r="A3886" s="115">
        <f t="shared" si="29"/>
        <v>4705</v>
      </c>
      <c r="B3886" s="49" t="s">
        <v>13196</v>
      </c>
      <c r="C3886" s="50" t="s">
        <v>9224</v>
      </c>
      <c r="D3886" s="55" t="s">
        <v>12271</v>
      </c>
      <c r="E3886" s="49" t="s">
        <v>3118</v>
      </c>
      <c r="F3886" s="49" t="s">
        <v>29</v>
      </c>
      <c r="G3886" s="49" t="s">
        <v>30</v>
      </c>
      <c r="H3886" s="49"/>
      <c r="I3886" s="49" t="s">
        <v>30</v>
      </c>
      <c r="J3886" s="49">
        <f>289+6</f>
        <v>295</v>
      </c>
      <c r="K3886" s="49"/>
      <c r="L3886" s="49" t="s">
        <v>912</v>
      </c>
      <c r="M3886" s="49" t="s">
        <v>3240</v>
      </c>
      <c r="N3886" s="49">
        <v>2010.0</v>
      </c>
      <c r="O3886" s="49" t="s">
        <v>388</v>
      </c>
      <c r="P3886" s="49">
        <v>1.0</v>
      </c>
      <c r="Q3886" s="56"/>
      <c r="R3886" s="288"/>
      <c r="S3886" s="34"/>
      <c r="T3886" s="34"/>
      <c r="U3886" s="34"/>
      <c r="V3886" s="34"/>
      <c r="W3886" s="34"/>
      <c r="X3886" s="34"/>
      <c r="Y3886" s="284"/>
      <c r="Z3886" s="284"/>
      <c r="AA3886" s="284"/>
      <c r="AB3886" s="284"/>
      <c r="AC3886" s="284"/>
      <c r="AD3886" s="284"/>
      <c r="AE3886" s="284"/>
      <c r="AF3886" s="284"/>
      <c r="AG3886" s="284"/>
      <c r="AH3886" s="284"/>
      <c r="AI3886" s="284"/>
      <c r="AJ3886" s="284"/>
      <c r="AK3886" s="284"/>
      <c r="AL3886" s="284"/>
    </row>
    <row r="3887" ht="15.75" customHeight="1">
      <c r="A3887" s="115">
        <f t="shared" si="29"/>
        <v>4706</v>
      </c>
      <c r="B3887" s="49" t="s">
        <v>13197</v>
      </c>
      <c r="C3887" s="50" t="s">
        <v>13198</v>
      </c>
      <c r="D3887" s="55" t="s">
        <v>13199</v>
      </c>
      <c r="E3887" s="49" t="s">
        <v>28</v>
      </c>
      <c r="F3887" s="49" t="s">
        <v>29</v>
      </c>
      <c r="G3887" s="49" t="s">
        <v>38</v>
      </c>
      <c r="H3887" s="49"/>
      <c r="I3887" s="49" t="s">
        <v>38</v>
      </c>
      <c r="J3887" s="49">
        <f>270</f>
        <v>270</v>
      </c>
      <c r="K3887" s="49"/>
      <c r="L3887" s="49" t="s">
        <v>13200</v>
      </c>
      <c r="M3887" s="49" t="s">
        <v>12233</v>
      </c>
      <c r="N3887" s="49">
        <v>1978.0</v>
      </c>
      <c r="O3887" s="49" t="s">
        <v>388</v>
      </c>
      <c r="P3887" s="49">
        <v>1.0</v>
      </c>
      <c r="Q3887" s="56"/>
      <c r="R3887" s="288"/>
      <c r="S3887" s="34"/>
      <c r="T3887" s="34"/>
      <c r="U3887" s="34"/>
      <c r="V3887" s="34"/>
      <c r="W3887" s="34"/>
      <c r="X3887" s="34"/>
      <c r="Y3887" s="284"/>
      <c r="Z3887" s="284"/>
      <c r="AA3887" s="284"/>
      <c r="AB3887" s="284"/>
      <c r="AC3887" s="284"/>
      <c r="AD3887" s="284"/>
      <c r="AE3887" s="284"/>
      <c r="AF3887" s="284"/>
      <c r="AG3887" s="284"/>
      <c r="AH3887" s="284"/>
      <c r="AI3887" s="284"/>
      <c r="AJ3887" s="284"/>
      <c r="AK3887" s="284"/>
      <c r="AL3887" s="284"/>
    </row>
    <row r="3888" ht="15.75" customHeight="1">
      <c r="A3888" s="115">
        <f t="shared" si="29"/>
        <v>4707</v>
      </c>
      <c r="B3888" s="49" t="s">
        <v>12357</v>
      </c>
      <c r="C3888" s="50" t="s">
        <v>13201</v>
      </c>
      <c r="D3888" s="55" t="s">
        <v>13202</v>
      </c>
      <c r="E3888" s="49" t="s">
        <v>3118</v>
      </c>
      <c r="F3888" s="49" t="s">
        <v>29</v>
      </c>
      <c r="G3888" s="49" t="s">
        <v>30</v>
      </c>
      <c r="H3888" s="49"/>
      <c r="I3888" s="49" t="s">
        <v>30</v>
      </c>
      <c r="J3888" s="49">
        <f>288</f>
        <v>288</v>
      </c>
      <c r="K3888" s="49"/>
      <c r="L3888" s="49" t="s">
        <v>10248</v>
      </c>
      <c r="M3888" s="49" t="s">
        <v>161</v>
      </c>
      <c r="N3888" s="49">
        <v>2011.0</v>
      </c>
      <c r="O3888" s="49" t="s">
        <v>388</v>
      </c>
      <c r="P3888" s="49">
        <v>1.0</v>
      </c>
      <c r="Q3888" s="56"/>
      <c r="R3888" s="288"/>
      <c r="S3888" s="34"/>
      <c r="T3888" s="34"/>
      <c r="U3888" s="34"/>
      <c r="V3888" s="34"/>
      <c r="W3888" s="34"/>
      <c r="X3888" s="34"/>
      <c r="Y3888" s="284"/>
      <c r="Z3888" s="284"/>
      <c r="AA3888" s="284"/>
      <c r="AB3888" s="284"/>
      <c r="AC3888" s="284"/>
      <c r="AD3888" s="284"/>
      <c r="AE3888" s="284"/>
      <c r="AF3888" s="284"/>
      <c r="AG3888" s="284"/>
      <c r="AH3888" s="284"/>
      <c r="AI3888" s="284"/>
      <c r="AJ3888" s="284"/>
      <c r="AK3888" s="284"/>
      <c r="AL3888" s="284"/>
    </row>
    <row r="3889" ht="15.75" customHeight="1">
      <c r="A3889" s="115">
        <f t="shared" si="29"/>
        <v>4708</v>
      </c>
      <c r="B3889" s="49"/>
      <c r="C3889" s="50" t="s">
        <v>13203</v>
      </c>
      <c r="D3889" s="55" t="s">
        <v>13204</v>
      </c>
      <c r="E3889" s="49" t="s">
        <v>13047</v>
      </c>
      <c r="F3889" s="49" t="s">
        <v>29</v>
      </c>
      <c r="G3889" s="49" t="s">
        <v>98</v>
      </c>
      <c r="H3889" s="49"/>
      <c r="I3889" s="49" t="s">
        <v>98</v>
      </c>
      <c r="J3889" s="49">
        <v>35.0</v>
      </c>
      <c r="K3889" s="49"/>
      <c r="L3889" s="49" t="s">
        <v>31</v>
      </c>
      <c r="M3889" s="49" t="s">
        <v>100</v>
      </c>
      <c r="N3889" s="49">
        <v>2016.0</v>
      </c>
      <c r="O3889" s="49" t="s">
        <v>388</v>
      </c>
      <c r="P3889" s="49">
        <v>1.0</v>
      </c>
      <c r="Q3889" s="56"/>
      <c r="R3889" s="288"/>
      <c r="S3889" s="34"/>
      <c r="T3889" s="34"/>
      <c r="U3889" s="34"/>
      <c r="V3889" s="34"/>
      <c r="W3889" s="34"/>
      <c r="X3889" s="34"/>
      <c r="Y3889" s="284"/>
      <c r="Z3889" s="284"/>
      <c r="AA3889" s="284"/>
      <c r="AB3889" s="284"/>
      <c r="AC3889" s="284"/>
      <c r="AD3889" s="284"/>
      <c r="AE3889" s="284"/>
      <c r="AF3889" s="284"/>
      <c r="AG3889" s="284"/>
      <c r="AH3889" s="284"/>
      <c r="AI3889" s="284"/>
      <c r="AJ3889" s="284"/>
      <c r="AK3889" s="284"/>
      <c r="AL3889" s="284"/>
    </row>
    <row r="3890" ht="15.75" customHeight="1">
      <c r="A3890" s="115">
        <f t="shared" si="29"/>
        <v>4709</v>
      </c>
      <c r="B3890" s="49"/>
      <c r="C3890" s="50" t="s">
        <v>13203</v>
      </c>
      <c r="D3890" s="55" t="s">
        <v>13205</v>
      </c>
      <c r="E3890" s="49" t="s">
        <v>13047</v>
      </c>
      <c r="F3890" s="49" t="s">
        <v>29</v>
      </c>
      <c r="G3890" s="49" t="s">
        <v>98</v>
      </c>
      <c r="H3890" s="49"/>
      <c r="I3890" s="49" t="s">
        <v>98</v>
      </c>
      <c r="J3890" s="49">
        <v>30.0</v>
      </c>
      <c r="K3890" s="49"/>
      <c r="L3890" s="49" t="s">
        <v>31</v>
      </c>
      <c r="M3890" s="49" t="s">
        <v>13206</v>
      </c>
      <c r="N3890" s="49">
        <v>2016.0</v>
      </c>
      <c r="O3890" s="49" t="s">
        <v>388</v>
      </c>
      <c r="P3890" s="49">
        <v>1.0</v>
      </c>
      <c r="Q3890" s="56"/>
      <c r="R3890" s="288"/>
      <c r="S3890" s="34"/>
      <c r="T3890" s="34"/>
      <c r="U3890" s="34"/>
      <c r="V3890" s="34"/>
      <c r="W3890" s="34"/>
      <c r="X3890" s="34"/>
      <c r="Y3890" s="284"/>
      <c r="Z3890" s="284"/>
      <c r="AA3890" s="284"/>
      <c r="AB3890" s="284"/>
      <c r="AC3890" s="284"/>
      <c r="AD3890" s="284"/>
      <c r="AE3890" s="284"/>
      <c r="AF3890" s="284"/>
      <c r="AG3890" s="284"/>
      <c r="AH3890" s="284"/>
      <c r="AI3890" s="284"/>
      <c r="AJ3890" s="284"/>
      <c r="AK3890" s="284"/>
      <c r="AL3890" s="284"/>
    </row>
    <row r="3891" ht="15.75" customHeight="1">
      <c r="A3891" s="115">
        <f t="shared" si="29"/>
        <v>4710</v>
      </c>
      <c r="B3891" s="49" t="s">
        <v>31</v>
      </c>
      <c r="C3891" s="50" t="s">
        <v>13203</v>
      </c>
      <c r="D3891" s="55" t="s">
        <v>13207</v>
      </c>
      <c r="E3891" s="49" t="s">
        <v>13047</v>
      </c>
      <c r="F3891" s="49" t="s">
        <v>29</v>
      </c>
      <c r="G3891" s="49" t="s">
        <v>98</v>
      </c>
      <c r="H3891" s="49"/>
      <c r="I3891" s="49" t="s">
        <v>98</v>
      </c>
      <c r="J3891" s="49">
        <v>70.0</v>
      </c>
      <c r="K3891" s="49"/>
      <c r="L3891" s="49" t="s">
        <v>31</v>
      </c>
      <c r="M3891" s="49" t="s">
        <v>100</v>
      </c>
      <c r="N3891" s="49">
        <v>2016.0</v>
      </c>
      <c r="O3891" s="49" t="s">
        <v>388</v>
      </c>
      <c r="P3891" s="49">
        <v>1.0</v>
      </c>
      <c r="Q3891" s="56"/>
      <c r="R3891" s="288"/>
      <c r="S3891" s="34"/>
      <c r="T3891" s="34"/>
      <c r="U3891" s="34"/>
      <c r="V3891" s="34"/>
      <c r="W3891" s="34"/>
      <c r="X3891" s="34"/>
      <c r="Y3891" s="284"/>
      <c r="Z3891" s="284"/>
      <c r="AA3891" s="284"/>
      <c r="AB3891" s="284"/>
      <c r="AC3891" s="284"/>
      <c r="AD3891" s="284"/>
      <c r="AE3891" s="284"/>
      <c r="AF3891" s="284"/>
      <c r="AG3891" s="284"/>
      <c r="AH3891" s="284"/>
      <c r="AI3891" s="284"/>
      <c r="AJ3891" s="284"/>
      <c r="AK3891" s="284"/>
      <c r="AL3891" s="284"/>
    </row>
    <row r="3892" ht="15.75" customHeight="1">
      <c r="A3892" s="115">
        <f t="shared" si="29"/>
        <v>4711</v>
      </c>
      <c r="B3892" s="49" t="s">
        <v>13208</v>
      </c>
      <c r="C3892" s="333" t="s">
        <v>13209</v>
      </c>
      <c r="D3892" s="55" t="s">
        <v>13210</v>
      </c>
      <c r="E3892" s="49" t="s">
        <v>28</v>
      </c>
      <c r="F3892" s="49" t="s">
        <v>29</v>
      </c>
      <c r="G3892" s="49" t="s">
        <v>37</v>
      </c>
      <c r="H3892" s="49" t="s">
        <v>31</v>
      </c>
      <c r="I3892" s="49" t="s">
        <v>38</v>
      </c>
      <c r="J3892" s="49">
        <f>636+12</f>
        <v>648</v>
      </c>
      <c r="K3892" s="49" t="s">
        <v>31</v>
      </c>
      <c r="L3892" s="49" t="s">
        <v>13211</v>
      </c>
      <c r="M3892" s="49" t="s">
        <v>382</v>
      </c>
      <c r="N3892" s="49">
        <v>2010.0</v>
      </c>
      <c r="O3892" s="49" t="s">
        <v>388</v>
      </c>
      <c r="P3892" s="49">
        <v>1.0</v>
      </c>
      <c r="Q3892" s="56"/>
      <c r="R3892" s="288"/>
      <c r="S3892" s="34"/>
      <c r="T3892" s="34"/>
      <c r="U3892" s="34"/>
      <c r="V3892" s="34"/>
      <c r="W3892" s="34"/>
      <c r="X3892" s="34"/>
      <c r="Y3892" s="284"/>
      <c r="Z3892" s="284"/>
      <c r="AA3892" s="284"/>
      <c r="AB3892" s="284"/>
      <c r="AC3892" s="284"/>
      <c r="AD3892" s="284"/>
      <c r="AE3892" s="284"/>
      <c r="AF3892" s="284"/>
      <c r="AG3892" s="284"/>
      <c r="AH3892" s="284"/>
      <c r="AI3892" s="284"/>
      <c r="AJ3892" s="284"/>
      <c r="AK3892" s="284"/>
      <c r="AL3892" s="284"/>
    </row>
    <row r="3893" ht="15.75" customHeight="1">
      <c r="A3893" s="115">
        <f t="shared" si="29"/>
        <v>4712</v>
      </c>
      <c r="B3893" s="49" t="s">
        <v>13212</v>
      </c>
      <c r="C3893" s="333" t="s">
        <v>2562</v>
      </c>
      <c r="D3893" s="55" t="s">
        <v>13213</v>
      </c>
      <c r="E3893" s="49" t="s">
        <v>144</v>
      </c>
      <c r="F3893" s="49" t="s">
        <v>29</v>
      </c>
      <c r="G3893" s="49" t="s">
        <v>37</v>
      </c>
      <c r="H3893" s="49" t="s">
        <v>31</v>
      </c>
      <c r="I3893" s="49" t="s">
        <v>30</v>
      </c>
      <c r="J3893" s="49">
        <f>380+34</f>
        <v>414</v>
      </c>
      <c r="K3893" s="49" t="s">
        <v>31</v>
      </c>
      <c r="L3893" s="49" t="s">
        <v>2564</v>
      </c>
      <c r="M3893" s="49" t="s">
        <v>1533</v>
      </c>
      <c r="N3893" s="49">
        <v>2014.0</v>
      </c>
      <c r="O3893" s="49" t="s">
        <v>388</v>
      </c>
      <c r="P3893" s="49">
        <v>1.0</v>
      </c>
      <c r="Q3893" s="56"/>
      <c r="R3893" s="288"/>
      <c r="S3893" s="34"/>
      <c r="T3893" s="34"/>
      <c r="U3893" s="34"/>
      <c r="V3893" s="34"/>
      <c r="W3893" s="34"/>
      <c r="X3893" s="34"/>
      <c r="Y3893" s="284"/>
      <c r="Z3893" s="284"/>
      <c r="AA3893" s="284"/>
      <c r="AB3893" s="284"/>
      <c r="AC3893" s="284"/>
      <c r="AD3893" s="284"/>
      <c r="AE3893" s="284"/>
      <c r="AF3893" s="284"/>
      <c r="AG3893" s="284"/>
      <c r="AH3893" s="284"/>
      <c r="AI3893" s="284"/>
      <c r="AJ3893" s="284"/>
      <c r="AK3893" s="284"/>
      <c r="AL3893" s="284"/>
    </row>
    <row r="3894" ht="15.75" customHeight="1">
      <c r="A3894" s="115">
        <f t="shared" si="29"/>
        <v>4713</v>
      </c>
      <c r="B3894" s="49" t="s">
        <v>13214</v>
      </c>
      <c r="C3894" s="333" t="s">
        <v>13215</v>
      </c>
      <c r="D3894" s="55" t="s">
        <v>13216</v>
      </c>
      <c r="E3894" s="49" t="s">
        <v>28</v>
      </c>
      <c r="F3894" s="49" t="s">
        <v>29</v>
      </c>
      <c r="G3894" s="49" t="s">
        <v>37</v>
      </c>
      <c r="H3894" s="49" t="s">
        <v>31</v>
      </c>
      <c r="I3894" s="49" t="s">
        <v>38</v>
      </c>
      <c r="J3894" s="49">
        <f>600+119</f>
        <v>719</v>
      </c>
      <c r="K3894" s="49" t="s">
        <v>31</v>
      </c>
      <c r="L3894" s="49" t="s">
        <v>13217</v>
      </c>
      <c r="M3894" s="49" t="s">
        <v>507</v>
      </c>
      <c r="N3894" s="49">
        <v>2014.0</v>
      </c>
      <c r="O3894" s="49" t="s">
        <v>388</v>
      </c>
      <c r="P3894" s="49">
        <v>1.0</v>
      </c>
      <c r="Q3894" s="56"/>
      <c r="R3894" s="301"/>
      <c r="S3894" s="185"/>
      <c r="T3894" s="185"/>
      <c r="U3894" s="185"/>
      <c r="V3894" s="185"/>
      <c r="W3894" s="185"/>
      <c r="X3894" s="185"/>
      <c r="Y3894" s="284"/>
      <c r="Z3894" s="284"/>
      <c r="AA3894" s="284"/>
      <c r="AB3894" s="284"/>
      <c r="AC3894" s="284"/>
      <c r="AD3894" s="284"/>
      <c r="AE3894" s="284"/>
      <c r="AF3894" s="284"/>
      <c r="AG3894" s="284"/>
      <c r="AH3894" s="284"/>
      <c r="AI3894" s="284"/>
      <c r="AJ3894" s="284"/>
      <c r="AK3894" s="284"/>
      <c r="AL3894" s="284"/>
    </row>
    <row r="3895" ht="15.75" customHeight="1">
      <c r="A3895" s="115">
        <f t="shared" si="29"/>
        <v>4714</v>
      </c>
      <c r="B3895" s="49" t="s">
        <v>1538</v>
      </c>
      <c r="C3895" s="333" t="s">
        <v>13218</v>
      </c>
      <c r="D3895" s="55" t="s">
        <v>13219</v>
      </c>
      <c r="E3895" s="49" t="s">
        <v>144</v>
      </c>
      <c r="F3895" s="49" t="s">
        <v>29</v>
      </c>
      <c r="G3895" s="49" t="s">
        <v>37</v>
      </c>
      <c r="H3895" s="49" t="s">
        <v>31</v>
      </c>
      <c r="I3895" s="49" t="s">
        <v>30</v>
      </c>
      <c r="J3895" s="49">
        <v>410.0</v>
      </c>
      <c r="K3895" s="49" t="s">
        <v>31</v>
      </c>
      <c r="L3895" s="49" t="s">
        <v>13220</v>
      </c>
      <c r="M3895" s="49" t="s">
        <v>1533</v>
      </c>
      <c r="N3895" s="49">
        <v>2014.0</v>
      </c>
      <c r="O3895" s="49" t="s">
        <v>388</v>
      </c>
      <c r="P3895" s="49">
        <v>2.0</v>
      </c>
      <c r="Q3895" s="56"/>
      <c r="R3895" s="288"/>
      <c r="S3895" s="34"/>
      <c r="T3895" s="34"/>
      <c r="U3895" s="34"/>
      <c r="V3895" s="34"/>
      <c r="W3895" s="34"/>
      <c r="X3895" s="34"/>
      <c r="Y3895" s="284"/>
      <c r="Z3895" s="284"/>
      <c r="AA3895" s="284"/>
      <c r="AB3895" s="284"/>
      <c r="AC3895" s="284"/>
      <c r="AD3895" s="284"/>
      <c r="AE3895" s="284"/>
      <c r="AF3895" s="284"/>
      <c r="AG3895" s="284"/>
      <c r="AH3895" s="284"/>
      <c r="AI3895" s="284"/>
      <c r="AJ3895" s="284"/>
      <c r="AK3895" s="284"/>
      <c r="AL3895" s="284"/>
    </row>
    <row r="3896" ht="15.75" customHeight="1">
      <c r="A3896" s="115">
        <f t="shared" si="29"/>
        <v>4715</v>
      </c>
      <c r="B3896" s="49" t="s">
        <v>10398</v>
      </c>
      <c r="C3896" s="333" t="s">
        <v>10399</v>
      </c>
      <c r="D3896" s="55"/>
      <c r="E3896" s="49" t="s">
        <v>28</v>
      </c>
      <c r="F3896" s="49" t="s">
        <v>29</v>
      </c>
      <c r="G3896" s="49" t="s">
        <v>30</v>
      </c>
      <c r="H3896" s="49" t="s">
        <v>31</v>
      </c>
      <c r="I3896" s="49" t="s">
        <v>30</v>
      </c>
      <c r="J3896" s="49">
        <v>276.0</v>
      </c>
      <c r="K3896" s="49" t="s">
        <v>31</v>
      </c>
      <c r="L3896" s="49" t="s">
        <v>9705</v>
      </c>
      <c r="M3896" s="49" t="s">
        <v>544</v>
      </c>
      <c r="N3896" s="49">
        <v>2010.0</v>
      </c>
      <c r="O3896" s="49" t="s">
        <v>388</v>
      </c>
      <c r="P3896" s="49">
        <v>1.0</v>
      </c>
      <c r="Q3896" s="56"/>
      <c r="R3896" s="288"/>
      <c r="S3896" s="34"/>
      <c r="T3896" s="34"/>
      <c r="U3896" s="34"/>
      <c r="V3896" s="34"/>
      <c r="W3896" s="34"/>
      <c r="X3896" s="34"/>
      <c r="Y3896" s="284"/>
      <c r="Z3896" s="284"/>
      <c r="AA3896" s="284"/>
      <c r="AB3896" s="284"/>
      <c r="AC3896" s="284"/>
      <c r="AD3896" s="284"/>
      <c r="AE3896" s="284"/>
      <c r="AF3896" s="284"/>
      <c r="AG3896" s="284"/>
      <c r="AH3896" s="284"/>
      <c r="AI3896" s="284"/>
      <c r="AJ3896" s="284"/>
      <c r="AK3896" s="284"/>
      <c r="AL3896" s="284"/>
    </row>
    <row r="3897" ht="15.75" customHeight="1">
      <c r="A3897" s="115">
        <f t="shared" si="29"/>
        <v>4716</v>
      </c>
      <c r="B3897" s="49" t="s">
        <v>13221</v>
      </c>
      <c r="C3897" s="333" t="s">
        <v>13222</v>
      </c>
      <c r="D3897" s="55" t="s">
        <v>13223</v>
      </c>
      <c r="E3897" s="49" t="s">
        <v>144</v>
      </c>
      <c r="F3897" s="49" t="s">
        <v>29</v>
      </c>
      <c r="G3897" s="49" t="s">
        <v>30</v>
      </c>
      <c r="H3897" s="49" t="s">
        <v>31</v>
      </c>
      <c r="I3897" s="49" t="s">
        <v>30</v>
      </c>
      <c r="J3897" s="49">
        <v>44.0</v>
      </c>
      <c r="K3897" s="49" t="s">
        <v>31</v>
      </c>
      <c r="L3897" s="49" t="s">
        <v>13224</v>
      </c>
      <c r="M3897" s="49" t="s">
        <v>3240</v>
      </c>
      <c r="N3897" s="49">
        <v>2006.0</v>
      </c>
      <c r="O3897" s="49" t="s">
        <v>388</v>
      </c>
      <c r="P3897" s="49">
        <v>1.0</v>
      </c>
      <c r="Q3897" s="56"/>
      <c r="R3897" s="288"/>
      <c r="S3897" s="34"/>
      <c r="T3897" s="34"/>
      <c r="U3897" s="34"/>
      <c r="V3897" s="34"/>
      <c r="W3897" s="34"/>
      <c r="X3897" s="34"/>
      <c r="Y3897" s="284"/>
      <c r="Z3897" s="284"/>
      <c r="AA3897" s="284"/>
      <c r="AB3897" s="284"/>
      <c r="AC3897" s="284"/>
      <c r="AD3897" s="284"/>
      <c r="AE3897" s="284"/>
      <c r="AF3897" s="284"/>
      <c r="AG3897" s="284"/>
      <c r="AH3897" s="284"/>
      <c r="AI3897" s="284"/>
      <c r="AJ3897" s="284"/>
      <c r="AK3897" s="284"/>
      <c r="AL3897" s="284"/>
    </row>
    <row r="3898" ht="15.75" customHeight="1">
      <c r="A3898" s="115">
        <f t="shared" si="29"/>
        <v>4717</v>
      </c>
      <c r="B3898" s="49" t="s">
        <v>13225</v>
      </c>
      <c r="C3898" s="50" t="s">
        <v>13226</v>
      </c>
      <c r="D3898" s="55" t="s">
        <v>13227</v>
      </c>
      <c r="E3898" s="49" t="s">
        <v>2571</v>
      </c>
      <c r="F3898" s="49" t="s">
        <v>29</v>
      </c>
      <c r="G3898" s="49" t="s">
        <v>37</v>
      </c>
      <c r="H3898" s="49"/>
      <c r="I3898" s="49" t="s">
        <v>38</v>
      </c>
      <c r="J3898" s="49">
        <v>388.0</v>
      </c>
      <c r="K3898" s="49"/>
      <c r="L3898" s="49" t="s">
        <v>13228</v>
      </c>
      <c r="M3898" s="49" t="s">
        <v>2953</v>
      </c>
      <c r="N3898" s="49">
        <v>1988.0</v>
      </c>
      <c r="O3898" s="49" t="s">
        <v>388</v>
      </c>
      <c r="P3898" s="49">
        <v>1.0</v>
      </c>
      <c r="Q3898" s="56"/>
      <c r="R3898" s="288"/>
      <c r="S3898" s="34"/>
      <c r="T3898" s="34"/>
      <c r="U3898" s="34"/>
      <c r="V3898" s="34"/>
      <c r="W3898" s="34"/>
      <c r="X3898" s="34"/>
      <c r="Y3898" s="284"/>
      <c r="Z3898" s="284"/>
      <c r="AA3898" s="284"/>
      <c r="AB3898" s="284"/>
      <c r="AC3898" s="284"/>
      <c r="AD3898" s="284"/>
      <c r="AE3898" s="284"/>
      <c r="AF3898" s="284"/>
      <c r="AG3898" s="284"/>
      <c r="AH3898" s="284"/>
      <c r="AI3898" s="284"/>
      <c r="AJ3898" s="284"/>
      <c r="AK3898" s="284"/>
      <c r="AL3898" s="284"/>
    </row>
    <row r="3899" ht="15.75" customHeight="1">
      <c r="A3899" s="115">
        <f t="shared" si="29"/>
        <v>4718</v>
      </c>
      <c r="B3899" s="49" t="s">
        <v>9346</v>
      </c>
      <c r="C3899" s="50" t="s">
        <v>13229</v>
      </c>
      <c r="D3899" s="55" t="s">
        <v>13230</v>
      </c>
      <c r="E3899" s="49" t="s">
        <v>144</v>
      </c>
      <c r="F3899" s="49" t="s">
        <v>29</v>
      </c>
      <c r="G3899" s="49" t="s">
        <v>30</v>
      </c>
      <c r="H3899" s="49" t="s">
        <v>31</v>
      </c>
      <c r="I3899" s="49" t="s">
        <v>30</v>
      </c>
      <c r="J3899" s="49">
        <v>158.0</v>
      </c>
      <c r="K3899" s="49" t="s">
        <v>31</v>
      </c>
      <c r="L3899" s="49" t="s">
        <v>9349</v>
      </c>
      <c r="M3899" s="49" t="s">
        <v>9350</v>
      </c>
      <c r="N3899" s="49">
        <v>2014.0</v>
      </c>
      <c r="O3899" s="49" t="s">
        <v>388</v>
      </c>
      <c r="P3899" s="49">
        <v>1.0</v>
      </c>
      <c r="Q3899" s="56"/>
      <c r="R3899" s="288"/>
      <c r="S3899" s="34"/>
      <c r="T3899" s="34"/>
      <c r="U3899" s="34"/>
      <c r="V3899" s="34"/>
      <c r="W3899" s="34"/>
      <c r="X3899" s="34"/>
      <c r="Y3899" s="284"/>
      <c r="Z3899" s="284"/>
      <c r="AA3899" s="284"/>
      <c r="AB3899" s="284"/>
      <c r="AC3899" s="284"/>
      <c r="AD3899" s="284"/>
      <c r="AE3899" s="284"/>
      <c r="AF3899" s="284"/>
      <c r="AG3899" s="284"/>
      <c r="AH3899" s="284"/>
      <c r="AI3899" s="284"/>
      <c r="AJ3899" s="284"/>
      <c r="AK3899" s="284"/>
      <c r="AL3899" s="284"/>
    </row>
    <row r="3900" ht="15.75" customHeight="1">
      <c r="A3900" s="115">
        <f t="shared" si="29"/>
        <v>4719</v>
      </c>
      <c r="B3900" s="49" t="s">
        <v>13231</v>
      </c>
      <c r="C3900" s="333" t="s">
        <v>13232</v>
      </c>
      <c r="D3900" s="55" t="s">
        <v>13233</v>
      </c>
      <c r="E3900" s="49" t="s">
        <v>28</v>
      </c>
      <c r="F3900" s="49" t="s">
        <v>29</v>
      </c>
      <c r="G3900" s="49" t="s">
        <v>30</v>
      </c>
      <c r="H3900" s="49" t="s">
        <v>31</v>
      </c>
      <c r="I3900" s="49" t="s">
        <v>30</v>
      </c>
      <c r="J3900" s="49">
        <f>154+6</f>
        <v>160</v>
      </c>
      <c r="K3900" s="49" t="s">
        <v>31</v>
      </c>
      <c r="L3900" s="49" t="s">
        <v>13234</v>
      </c>
      <c r="M3900" s="49" t="s">
        <v>3240</v>
      </c>
      <c r="N3900" s="49">
        <v>2013.0</v>
      </c>
      <c r="O3900" s="49" t="s">
        <v>388</v>
      </c>
      <c r="P3900" s="49">
        <v>1.0</v>
      </c>
      <c r="Q3900" s="56"/>
      <c r="R3900" s="288"/>
      <c r="S3900" s="34"/>
      <c r="T3900" s="34"/>
      <c r="U3900" s="34"/>
      <c r="V3900" s="34"/>
      <c r="W3900" s="34"/>
      <c r="X3900" s="34"/>
      <c r="Y3900" s="284"/>
      <c r="Z3900" s="284"/>
      <c r="AA3900" s="284"/>
      <c r="AB3900" s="284"/>
      <c r="AC3900" s="284"/>
      <c r="AD3900" s="284"/>
      <c r="AE3900" s="284"/>
      <c r="AF3900" s="284"/>
      <c r="AG3900" s="284"/>
      <c r="AH3900" s="284"/>
      <c r="AI3900" s="284"/>
      <c r="AJ3900" s="284"/>
      <c r="AK3900" s="284"/>
      <c r="AL3900" s="284"/>
    </row>
    <row r="3901" ht="15.75" customHeight="1">
      <c r="A3901" s="115">
        <f t="shared" si="29"/>
        <v>4720</v>
      </c>
      <c r="B3901" s="49" t="s">
        <v>31</v>
      </c>
      <c r="C3901" s="333" t="s">
        <v>9049</v>
      </c>
      <c r="D3901" s="55" t="s">
        <v>13235</v>
      </c>
      <c r="E3901" s="49" t="s">
        <v>144</v>
      </c>
      <c r="F3901" s="49" t="s">
        <v>29</v>
      </c>
      <c r="G3901" s="49" t="s">
        <v>30</v>
      </c>
      <c r="H3901" s="49" t="s">
        <v>31</v>
      </c>
      <c r="I3901" s="49" t="s">
        <v>30</v>
      </c>
      <c r="J3901" s="49">
        <v>300.0</v>
      </c>
      <c r="K3901" s="49" t="s">
        <v>31</v>
      </c>
      <c r="L3901" s="49" t="s">
        <v>13236</v>
      </c>
      <c r="M3901" s="49" t="s">
        <v>4179</v>
      </c>
      <c r="N3901" s="49">
        <v>2015.0</v>
      </c>
      <c r="O3901" s="49" t="s">
        <v>388</v>
      </c>
      <c r="P3901" s="49">
        <v>1.0</v>
      </c>
      <c r="Q3901" s="56"/>
      <c r="R3901" s="334"/>
      <c r="S3901" s="34"/>
      <c r="T3901" s="34"/>
      <c r="U3901" s="34"/>
      <c r="V3901" s="34"/>
      <c r="W3901" s="34"/>
      <c r="X3901" s="34"/>
      <c r="Y3901" s="284"/>
      <c r="Z3901" s="284"/>
      <c r="AA3901" s="284"/>
      <c r="AB3901" s="284"/>
      <c r="AC3901" s="284"/>
      <c r="AD3901" s="284"/>
      <c r="AE3901" s="284"/>
      <c r="AF3901" s="284"/>
      <c r="AG3901" s="284"/>
      <c r="AH3901" s="284"/>
      <c r="AI3901" s="284"/>
      <c r="AJ3901" s="284"/>
      <c r="AK3901" s="284"/>
      <c r="AL3901" s="284"/>
    </row>
    <row r="3902" ht="15.75" customHeight="1">
      <c r="A3902" s="115">
        <f t="shared" si="29"/>
        <v>4721</v>
      </c>
      <c r="B3902" s="49" t="s">
        <v>31</v>
      </c>
      <c r="C3902" s="272" t="s">
        <v>13237</v>
      </c>
      <c r="D3902" s="55" t="s">
        <v>13238</v>
      </c>
      <c r="E3902" s="49" t="s">
        <v>144</v>
      </c>
      <c r="F3902" s="49" t="s">
        <v>29</v>
      </c>
      <c r="G3902" s="49" t="s">
        <v>37</v>
      </c>
      <c r="H3902" s="49"/>
      <c r="I3902" s="49" t="s">
        <v>38</v>
      </c>
      <c r="J3902" s="49">
        <f>192+14</f>
        <v>206</v>
      </c>
      <c r="K3902" s="49"/>
      <c r="L3902" s="49" t="s">
        <v>31</v>
      </c>
      <c r="M3902" s="49" t="s">
        <v>382</v>
      </c>
      <c r="N3902" s="49">
        <v>1987.0</v>
      </c>
      <c r="O3902" s="49" t="s">
        <v>388</v>
      </c>
      <c r="P3902" s="49">
        <v>1.0</v>
      </c>
      <c r="Q3902" s="56"/>
      <c r="R3902" s="301"/>
      <c r="S3902" s="185"/>
      <c r="T3902" s="185"/>
      <c r="U3902" s="185"/>
      <c r="V3902" s="185"/>
      <c r="W3902" s="185"/>
      <c r="X3902" s="185"/>
      <c r="Y3902" s="284"/>
      <c r="Z3902" s="284"/>
      <c r="AA3902" s="284"/>
      <c r="AB3902" s="284"/>
      <c r="AC3902" s="284"/>
      <c r="AD3902" s="284"/>
      <c r="AE3902" s="284"/>
      <c r="AF3902" s="284"/>
      <c r="AG3902" s="284"/>
      <c r="AH3902" s="284"/>
      <c r="AI3902" s="284"/>
      <c r="AJ3902" s="284"/>
      <c r="AK3902" s="284"/>
      <c r="AL3902" s="284"/>
    </row>
    <row r="3903" ht="15.75" customHeight="1">
      <c r="A3903" s="115">
        <f t="shared" si="29"/>
        <v>4722</v>
      </c>
      <c r="B3903" s="49" t="s">
        <v>31</v>
      </c>
      <c r="C3903" s="272" t="s">
        <v>13237</v>
      </c>
      <c r="D3903" s="55" t="s">
        <v>13239</v>
      </c>
      <c r="E3903" s="49" t="s">
        <v>144</v>
      </c>
      <c r="F3903" s="49" t="s">
        <v>29</v>
      </c>
      <c r="G3903" s="49" t="s">
        <v>37</v>
      </c>
      <c r="H3903" s="49"/>
      <c r="I3903" s="49" t="s">
        <v>38</v>
      </c>
      <c r="J3903" s="49">
        <f>692+10</f>
        <v>702</v>
      </c>
      <c r="K3903" s="49"/>
      <c r="L3903" s="49" t="s">
        <v>31</v>
      </c>
      <c r="M3903" s="49" t="s">
        <v>10580</v>
      </c>
      <c r="N3903" s="49">
        <v>1991.0</v>
      </c>
      <c r="O3903" s="49" t="s">
        <v>388</v>
      </c>
      <c r="P3903" s="49">
        <v>1.0</v>
      </c>
      <c r="Q3903" s="56"/>
      <c r="R3903" s="334"/>
      <c r="S3903" s="34"/>
      <c r="T3903" s="34"/>
      <c r="U3903" s="34"/>
      <c r="V3903" s="34"/>
      <c r="W3903" s="34"/>
      <c r="X3903" s="34"/>
      <c r="Y3903" s="284"/>
      <c r="Z3903" s="284"/>
      <c r="AA3903" s="284"/>
      <c r="AB3903" s="284"/>
      <c r="AC3903" s="284"/>
      <c r="AD3903" s="284"/>
      <c r="AE3903" s="284"/>
      <c r="AF3903" s="284"/>
      <c r="AG3903" s="284"/>
      <c r="AH3903" s="284"/>
      <c r="AI3903" s="284"/>
      <c r="AJ3903" s="284"/>
      <c r="AK3903" s="284"/>
      <c r="AL3903" s="284"/>
    </row>
    <row r="3904" ht="15.75" customHeight="1">
      <c r="A3904" s="115">
        <f t="shared" si="29"/>
        <v>4723</v>
      </c>
      <c r="B3904" s="49" t="s">
        <v>31</v>
      </c>
      <c r="C3904" s="335" t="s">
        <v>13240</v>
      </c>
      <c r="D3904" s="55" t="s">
        <v>13241</v>
      </c>
      <c r="E3904" s="49" t="s">
        <v>4612</v>
      </c>
      <c r="F3904" s="49" t="s">
        <v>29</v>
      </c>
      <c r="G3904" s="49" t="s">
        <v>30</v>
      </c>
      <c r="H3904" s="49"/>
      <c r="I3904" s="49" t="s">
        <v>13242</v>
      </c>
      <c r="J3904" s="49">
        <f>508+8</f>
        <v>516</v>
      </c>
      <c r="K3904" s="49"/>
      <c r="L3904" s="49" t="s">
        <v>13243</v>
      </c>
      <c r="M3904" s="49" t="s">
        <v>13244</v>
      </c>
      <c r="N3904" s="49">
        <v>1951.0</v>
      </c>
      <c r="O3904" s="49" t="s">
        <v>388</v>
      </c>
      <c r="P3904" s="49">
        <v>1.0</v>
      </c>
      <c r="Q3904" s="56"/>
      <c r="R3904" s="334"/>
      <c r="S3904" s="34"/>
      <c r="T3904" s="34"/>
      <c r="U3904" s="34"/>
      <c r="V3904" s="34"/>
      <c r="W3904" s="34"/>
      <c r="X3904" s="34"/>
      <c r="Y3904" s="284"/>
      <c r="Z3904" s="284"/>
      <c r="AA3904" s="284"/>
      <c r="AB3904" s="284"/>
      <c r="AC3904" s="284"/>
      <c r="AD3904" s="284"/>
      <c r="AE3904" s="284"/>
      <c r="AF3904" s="284"/>
      <c r="AG3904" s="284"/>
      <c r="AH3904" s="284"/>
      <c r="AI3904" s="284"/>
      <c r="AJ3904" s="284"/>
      <c r="AK3904" s="284"/>
      <c r="AL3904" s="284"/>
    </row>
    <row r="3905" ht="15.75" customHeight="1">
      <c r="A3905" s="115">
        <f t="shared" si="29"/>
        <v>4724</v>
      </c>
      <c r="B3905" s="49" t="s">
        <v>31</v>
      </c>
      <c r="C3905" s="272" t="s">
        <v>31</v>
      </c>
      <c r="D3905" s="55" t="s">
        <v>13245</v>
      </c>
      <c r="E3905" s="49" t="s">
        <v>31</v>
      </c>
      <c r="F3905" s="49" t="s">
        <v>29</v>
      </c>
      <c r="G3905" s="49" t="s">
        <v>30</v>
      </c>
      <c r="H3905" s="49"/>
      <c r="I3905" s="49" t="s">
        <v>30</v>
      </c>
      <c r="J3905" s="49">
        <v>74.0</v>
      </c>
      <c r="K3905" s="49"/>
      <c r="L3905" s="49" t="s">
        <v>12961</v>
      </c>
      <c r="M3905" s="49" t="s">
        <v>31</v>
      </c>
      <c r="N3905" s="49" t="s">
        <v>31</v>
      </c>
      <c r="O3905" s="49" t="s">
        <v>388</v>
      </c>
      <c r="P3905" s="49">
        <v>1.0</v>
      </c>
      <c r="Q3905" s="56"/>
      <c r="R3905" s="334"/>
      <c r="S3905" s="34"/>
      <c r="T3905" s="34"/>
      <c r="U3905" s="34"/>
      <c r="V3905" s="34"/>
      <c r="W3905" s="34"/>
      <c r="X3905" s="34"/>
      <c r="Y3905" s="284"/>
      <c r="Z3905" s="284"/>
      <c r="AA3905" s="284"/>
      <c r="AB3905" s="284"/>
      <c r="AC3905" s="284"/>
      <c r="AD3905" s="284"/>
      <c r="AE3905" s="284"/>
      <c r="AF3905" s="284"/>
      <c r="AG3905" s="284"/>
      <c r="AH3905" s="284"/>
      <c r="AI3905" s="284"/>
      <c r="AJ3905" s="284"/>
      <c r="AK3905" s="284"/>
      <c r="AL3905" s="284"/>
    </row>
    <row r="3906" ht="15.75" customHeight="1">
      <c r="A3906" s="115">
        <f t="shared" si="29"/>
        <v>4725</v>
      </c>
      <c r="B3906" s="63" t="s">
        <v>13246</v>
      </c>
      <c r="C3906" s="275" t="s">
        <v>31</v>
      </c>
      <c r="D3906" s="65" t="s">
        <v>13247</v>
      </c>
      <c r="E3906" s="63" t="s">
        <v>31</v>
      </c>
      <c r="F3906" s="63" t="s">
        <v>29</v>
      </c>
      <c r="G3906" s="63" t="s">
        <v>127</v>
      </c>
      <c r="H3906" s="63"/>
      <c r="I3906" s="63" t="s">
        <v>38</v>
      </c>
      <c r="J3906" s="63">
        <v>45.0</v>
      </c>
      <c r="K3906" s="63"/>
      <c r="L3906" s="63" t="s">
        <v>31</v>
      </c>
      <c r="M3906" s="63" t="s">
        <v>12736</v>
      </c>
      <c r="N3906" s="63" t="s">
        <v>31</v>
      </c>
      <c r="O3906" s="63" t="s">
        <v>388</v>
      </c>
      <c r="P3906" s="63">
        <v>1.0</v>
      </c>
      <c r="Q3906" s="276"/>
      <c r="R3906" s="336"/>
      <c r="S3906" s="34"/>
      <c r="T3906" s="34"/>
      <c r="U3906" s="34"/>
      <c r="V3906" s="34"/>
      <c r="W3906" s="34"/>
      <c r="X3906" s="34"/>
      <c r="Y3906" s="284"/>
      <c r="Z3906" s="284"/>
      <c r="AA3906" s="284"/>
      <c r="AB3906" s="284"/>
      <c r="AC3906" s="284"/>
      <c r="AD3906" s="284"/>
      <c r="AE3906" s="284"/>
      <c r="AF3906" s="284"/>
      <c r="AG3906" s="284"/>
      <c r="AH3906" s="284"/>
      <c r="AI3906" s="284"/>
      <c r="AJ3906" s="284"/>
      <c r="AK3906" s="284"/>
      <c r="AL3906" s="284"/>
    </row>
    <row r="3907" ht="15.75" customHeight="1">
      <c r="A3907" s="115">
        <f t="shared" si="29"/>
        <v>4726</v>
      </c>
      <c r="B3907" s="63" t="s">
        <v>344</v>
      </c>
      <c r="C3907" s="275" t="s">
        <v>31</v>
      </c>
      <c r="D3907" s="65" t="s">
        <v>13248</v>
      </c>
      <c r="E3907" s="63" t="s">
        <v>28</v>
      </c>
      <c r="F3907" s="63" t="s">
        <v>29</v>
      </c>
      <c r="G3907" s="63" t="s">
        <v>234</v>
      </c>
      <c r="H3907" s="63"/>
      <c r="I3907" s="63" t="s">
        <v>38</v>
      </c>
      <c r="J3907" s="63">
        <v>337.0</v>
      </c>
      <c r="K3907" s="63"/>
      <c r="L3907" s="63" t="s">
        <v>347</v>
      </c>
      <c r="M3907" s="63" t="s">
        <v>236</v>
      </c>
      <c r="N3907" s="63">
        <v>1988.0</v>
      </c>
      <c r="O3907" s="63" t="s">
        <v>388</v>
      </c>
      <c r="P3907" s="63">
        <v>1.0</v>
      </c>
      <c r="Q3907" s="276"/>
      <c r="R3907" s="336"/>
      <c r="S3907" s="34"/>
      <c r="T3907" s="34"/>
      <c r="U3907" s="34"/>
      <c r="V3907" s="34"/>
      <c r="W3907" s="34"/>
      <c r="X3907" s="34"/>
      <c r="Y3907" s="284"/>
      <c r="Z3907" s="284"/>
      <c r="AA3907" s="284"/>
      <c r="AB3907" s="284"/>
      <c r="AC3907" s="284"/>
      <c r="AD3907" s="284"/>
      <c r="AE3907" s="284"/>
      <c r="AF3907" s="284"/>
      <c r="AG3907" s="284"/>
      <c r="AH3907" s="284"/>
      <c r="AI3907" s="284"/>
      <c r="AJ3907" s="284"/>
      <c r="AK3907" s="284"/>
      <c r="AL3907" s="284"/>
    </row>
    <row r="3908" ht="15.75" customHeight="1">
      <c r="A3908" s="115">
        <f t="shared" si="29"/>
        <v>4727</v>
      </c>
      <c r="B3908" s="63" t="s">
        <v>499</v>
      </c>
      <c r="C3908" s="275" t="s">
        <v>31</v>
      </c>
      <c r="D3908" s="65" t="s">
        <v>13249</v>
      </c>
      <c r="E3908" s="63" t="s">
        <v>28</v>
      </c>
      <c r="F3908" s="63" t="s">
        <v>29</v>
      </c>
      <c r="G3908" s="63" t="s">
        <v>234</v>
      </c>
      <c r="H3908" s="63"/>
      <c r="I3908" s="63" t="s">
        <v>38</v>
      </c>
      <c r="J3908" s="63">
        <v>228.0</v>
      </c>
      <c r="K3908" s="63"/>
      <c r="L3908" s="63" t="s">
        <v>4790</v>
      </c>
      <c r="M3908" s="63" t="s">
        <v>236</v>
      </c>
      <c r="N3908" s="63">
        <v>1982.0</v>
      </c>
      <c r="O3908" s="63" t="s">
        <v>388</v>
      </c>
      <c r="P3908" s="63">
        <v>1.0</v>
      </c>
      <c r="Q3908" s="276"/>
      <c r="R3908" s="315"/>
      <c r="S3908" s="34"/>
      <c r="T3908" s="34"/>
      <c r="U3908" s="34"/>
      <c r="V3908" s="34"/>
      <c r="W3908" s="34"/>
      <c r="X3908" s="34"/>
      <c r="Y3908" s="284"/>
      <c r="Z3908" s="284"/>
      <c r="AA3908" s="284"/>
      <c r="AB3908" s="284"/>
      <c r="AC3908" s="284"/>
      <c r="AD3908" s="284"/>
      <c r="AE3908" s="284"/>
      <c r="AF3908" s="284"/>
      <c r="AG3908" s="284"/>
      <c r="AH3908" s="284"/>
      <c r="AI3908" s="284"/>
      <c r="AJ3908" s="284"/>
      <c r="AK3908" s="284"/>
      <c r="AL3908" s="284"/>
    </row>
    <row r="3909" ht="15.75" customHeight="1">
      <c r="A3909" s="115">
        <f t="shared" si="29"/>
        <v>4728</v>
      </c>
      <c r="B3909" s="49" t="s">
        <v>13250</v>
      </c>
      <c r="C3909" s="272" t="s">
        <v>31</v>
      </c>
      <c r="D3909" s="55" t="s">
        <v>13251</v>
      </c>
      <c r="E3909" s="49" t="s">
        <v>13047</v>
      </c>
      <c r="F3909" s="49" t="s">
        <v>29</v>
      </c>
      <c r="G3909" s="49" t="s">
        <v>30</v>
      </c>
      <c r="H3909" s="49"/>
      <c r="I3909" s="49" t="s">
        <v>30</v>
      </c>
      <c r="J3909" s="49">
        <v>148.0</v>
      </c>
      <c r="K3909" s="49"/>
      <c r="L3909" s="49" t="s">
        <v>31</v>
      </c>
      <c r="M3909" s="49" t="s">
        <v>1271</v>
      </c>
      <c r="N3909" s="49">
        <v>2001.0</v>
      </c>
      <c r="O3909" s="49" t="s">
        <v>388</v>
      </c>
      <c r="P3909" s="49">
        <v>1.0</v>
      </c>
      <c r="Q3909" s="56"/>
      <c r="R3909" s="288"/>
      <c r="S3909" s="34"/>
      <c r="T3909" s="34"/>
      <c r="U3909" s="34"/>
      <c r="V3909" s="34"/>
      <c r="W3909" s="34"/>
      <c r="X3909" s="34"/>
      <c r="Y3909" s="284"/>
      <c r="Z3909" s="284"/>
      <c r="AA3909" s="284"/>
      <c r="AB3909" s="284"/>
      <c r="AC3909" s="284"/>
      <c r="AD3909" s="284"/>
      <c r="AE3909" s="284"/>
      <c r="AF3909" s="284"/>
      <c r="AG3909" s="284"/>
      <c r="AH3909" s="284"/>
      <c r="AI3909" s="284"/>
      <c r="AJ3909" s="284"/>
      <c r="AK3909" s="284"/>
      <c r="AL3909" s="284"/>
    </row>
    <row r="3910" ht="15.75" customHeight="1">
      <c r="A3910" s="115">
        <f t="shared" si="29"/>
        <v>4729</v>
      </c>
      <c r="B3910" s="49" t="s">
        <v>13250</v>
      </c>
      <c r="C3910" s="272" t="s">
        <v>31</v>
      </c>
      <c r="D3910" s="55" t="s">
        <v>13252</v>
      </c>
      <c r="E3910" s="49" t="s">
        <v>13047</v>
      </c>
      <c r="F3910" s="49" t="s">
        <v>29</v>
      </c>
      <c r="G3910" s="49" t="s">
        <v>30</v>
      </c>
      <c r="H3910" s="49"/>
      <c r="I3910" s="49" t="s">
        <v>38</v>
      </c>
      <c r="J3910" s="49">
        <v>136.0</v>
      </c>
      <c r="K3910" s="49"/>
      <c r="L3910" s="49" t="s">
        <v>31</v>
      </c>
      <c r="M3910" s="49" t="s">
        <v>1271</v>
      </c>
      <c r="N3910" s="49">
        <v>2011.0</v>
      </c>
      <c r="O3910" s="49" t="s">
        <v>388</v>
      </c>
      <c r="P3910" s="49">
        <v>1.0</v>
      </c>
      <c r="Q3910" s="56"/>
      <c r="R3910" s="288"/>
      <c r="S3910" s="34"/>
      <c r="T3910" s="34"/>
      <c r="U3910" s="34"/>
      <c r="V3910" s="34"/>
      <c r="W3910" s="34"/>
      <c r="X3910" s="34"/>
      <c r="Y3910" s="284"/>
      <c r="Z3910" s="284"/>
      <c r="AA3910" s="284"/>
      <c r="AB3910" s="284"/>
      <c r="AC3910" s="284"/>
      <c r="AD3910" s="284"/>
      <c r="AE3910" s="284"/>
      <c r="AF3910" s="284"/>
      <c r="AG3910" s="284"/>
      <c r="AH3910" s="284"/>
      <c r="AI3910" s="284"/>
      <c r="AJ3910" s="284"/>
      <c r="AK3910" s="284"/>
      <c r="AL3910" s="284"/>
    </row>
    <row r="3911" ht="15.75" customHeight="1">
      <c r="A3911" s="115">
        <f t="shared" si="29"/>
        <v>4730</v>
      </c>
      <c r="B3911" s="49" t="s">
        <v>13253</v>
      </c>
      <c r="C3911" s="272" t="s">
        <v>31</v>
      </c>
      <c r="D3911" s="55" t="s">
        <v>13254</v>
      </c>
      <c r="E3911" s="49" t="s">
        <v>31</v>
      </c>
      <c r="F3911" s="49" t="s">
        <v>29</v>
      </c>
      <c r="G3911" s="49" t="s">
        <v>37</v>
      </c>
      <c r="H3911" s="49"/>
      <c r="I3911" s="49" t="s">
        <v>38</v>
      </c>
      <c r="J3911" s="49"/>
      <c r="K3911" s="49"/>
      <c r="L3911" s="49" t="s">
        <v>13255</v>
      </c>
      <c r="M3911" s="49" t="s">
        <v>6009</v>
      </c>
      <c r="N3911" s="49">
        <v>2010.0</v>
      </c>
      <c r="O3911" s="49" t="s">
        <v>388</v>
      </c>
      <c r="P3911" s="49">
        <v>1.0</v>
      </c>
      <c r="Q3911" s="56"/>
      <c r="R3911" s="288"/>
      <c r="S3911" s="34"/>
      <c r="T3911" s="34"/>
      <c r="U3911" s="34"/>
      <c r="V3911" s="34"/>
      <c r="W3911" s="34"/>
      <c r="X3911" s="34"/>
      <c r="Y3911" s="284"/>
      <c r="Z3911" s="284"/>
      <c r="AA3911" s="284"/>
      <c r="AB3911" s="284"/>
      <c r="AC3911" s="284"/>
      <c r="AD3911" s="284"/>
      <c r="AE3911" s="284"/>
      <c r="AF3911" s="284"/>
      <c r="AG3911" s="284"/>
      <c r="AH3911" s="284"/>
      <c r="AI3911" s="284"/>
      <c r="AJ3911" s="284"/>
      <c r="AK3911" s="284"/>
      <c r="AL3911" s="284"/>
    </row>
    <row r="3912" ht="15.75" customHeight="1">
      <c r="A3912" s="115">
        <f t="shared" si="29"/>
        <v>4731</v>
      </c>
      <c r="B3912" s="49" t="s">
        <v>13256</v>
      </c>
      <c r="C3912" s="272" t="s">
        <v>31</v>
      </c>
      <c r="D3912" s="55" t="s">
        <v>13257</v>
      </c>
      <c r="E3912" s="49" t="s">
        <v>31</v>
      </c>
      <c r="F3912" s="49" t="s">
        <v>29</v>
      </c>
      <c r="G3912" s="49" t="s">
        <v>37</v>
      </c>
      <c r="H3912" s="49"/>
      <c r="I3912" s="49" t="s">
        <v>38</v>
      </c>
      <c r="J3912" s="49">
        <v>199.0</v>
      </c>
      <c r="K3912" s="49"/>
      <c r="L3912" s="49" t="s">
        <v>13258</v>
      </c>
      <c r="M3912" s="49" t="s">
        <v>13259</v>
      </c>
      <c r="N3912" s="49">
        <v>2008.0</v>
      </c>
      <c r="O3912" s="49" t="s">
        <v>388</v>
      </c>
      <c r="P3912" s="49">
        <v>1.0</v>
      </c>
      <c r="Q3912" s="56"/>
      <c r="R3912" s="288"/>
      <c r="S3912" s="34"/>
      <c r="T3912" s="34"/>
      <c r="U3912" s="34"/>
      <c r="V3912" s="34"/>
      <c r="W3912" s="34"/>
      <c r="X3912" s="34"/>
      <c r="Y3912" s="284"/>
      <c r="Z3912" s="284"/>
      <c r="AA3912" s="284"/>
      <c r="AB3912" s="284"/>
      <c r="AC3912" s="284"/>
      <c r="AD3912" s="284"/>
      <c r="AE3912" s="284"/>
      <c r="AF3912" s="284"/>
      <c r="AG3912" s="284"/>
      <c r="AH3912" s="284"/>
      <c r="AI3912" s="284"/>
      <c r="AJ3912" s="284"/>
      <c r="AK3912" s="284"/>
      <c r="AL3912" s="284"/>
    </row>
    <row r="3913" ht="15.75" customHeight="1">
      <c r="A3913" s="115">
        <f t="shared" si="29"/>
        <v>4732</v>
      </c>
      <c r="B3913" s="49" t="s">
        <v>31</v>
      </c>
      <c r="C3913" s="272" t="s">
        <v>31</v>
      </c>
      <c r="D3913" s="55" t="s">
        <v>13257</v>
      </c>
      <c r="E3913" s="49" t="s">
        <v>31</v>
      </c>
      <c r="F3913" s="49" t="s">
        <v>29</v>
      </c>
      <c r="G3913" s="49" t="s">
        <v>31</v>
      </c>
      <c r="H3913" s="49"/>
      <c r="I3913" s="49" t="s">
        <v>38</v>
      </c>
      <c r="J3913" s="49">
        <v>97.0</v>
      </c>
      <c r="K3913" s="49"/>
      <c r="L3913" s="49" t="s">
        <v>13260</v>
      </c>
      <c r="M3913" s="49" t="s">
        <v>2886</v>
      </c>
      <c r="N3913" s="49">
        <v>1980.0</v>
      </c>
      <c r="O3913" s="49" t="s">
        <v>388</v>
      </c>
      <c r="P3913" s="49">
        <v>1.0</v>
      </c>
      <c r="Q3913" s="56"/>
      <c r="R3913" s="288"/>
      <c r="S3913" s="116"/>
      <c r="T3913" s="116"/>
      <c r="U3913" s="116"/>
      <c r="V3913" s="116"/>
      <c r="W3913" s="116"/>
      <c r="X3913" s="116"/>
      <c r="Y3913" s="284"/>
      <c r="Z3913" s="284"/>
      <c r="AA3913" s="284"/>
      <c r="AB3913" s="284"/>
      <c r="AC3913" s="284"/>
      <c r="AD3913" s="284"/>
      <c r="AE3913" s="284"/>
      <c r="AF3913" s="284"/>
      <c r="AG3913" s="284"/>
      <c r="AH3913" s="284"/>
      <c r="AI3913" s="284"/>
      <c r="AJ3913" s="284"/>
      <c r="AK3913" s="284"/>
      <c r="AL3913" s="284"/>
    </row>
    <row r="3914" ht="15.75" customHeight="1">
      <c r="A3914" s="115">
        <f t="shared" si="29"/>
        <v>4733</v>
      </c>
      <c r="B3914" s="49" t="s">
        <v>31</v>
      </c>
      <c r="C3914" s="272" t="s">
        <v>31</v>
      </c>
      <c r="D3914" s="55" t="s">
        <v>13261</v>
      </c>
      <c r="E3914" s="49" t="s">
        <v>31</v>
      </c>
      <c r="F3914" s="49" t="s">
        <v>29</v>
      </c>
      <c r="G3914" s="49" t="s">
        <v>31</v>
      </c>
      <c r="H3914" s="49"/>
      <c r="I3914" s="49" t="s">
        <v>38</v>
      </c>
      <c r="J3914" s="49">
        <v>464.0</v>
      </c>
      <c r="K3914" s="49"/>
      <c r="L3914" s="49" t="s">
        <v>6070</v>
      </c>
      <c r="M3914" s="49" t="s">
        <v>31</v>
      </c>
      <c r="N3914" s="49">
        <v>1980.0</v>
      </c>
      <c r="O3914" s="49" t="s">
        <v>388</v>
      </c>
      <c r="P3914" s="49">
        <v>1.0</v>
      </c>
      <c r="Q3914" s="56"/>
      <c r="R3914" s="288"/>
      <c r="S3914" s="34"/>
      <c r="T3914" s="34"/>
      <c r="U3914" s="34"/>
      <c r="V3914" s="34"/>
      <c r="W3914" s="34"/>
      <c r="X3914" s="34"/>
      <c r="Y3914" s="284"/>
      <c r="Z3914" s="284"/>
      <c r="AA3914" s="284"/>
      <c r="AB3914" s="284"/>
      <c r="AC3914" s="284"/>
      <c r="AD3914" s="284"/>
      <c r="AE3914" s="284"/>
      <c r="AF3914" s="284"/>
      <c r="AG3914" s="284"/>
      <c r="AH3914" s="284"/>
      <c r="AI3914" s="284"/>
      <c r="AJ3914" s="284"/>
      <c r="AK3914" s="284"/>
      <c r="AL3914" s="284"/>
    </row>
    <row r="3915" ht="15.75" customHeight="1">
      <c r="A3915" s="115">
        <f t="shared" si="29"/>
        <v>4734</v>
      </c>
      <c r="B3915" s="49" t="s">
        <v>13262</v>
      </c>
      <c r="C3915" s="272" t="s">
        <v>31</v>
      </c>
      <c r="D3915" s="55" t="s">
        <v>13263</v>
      </c>
      <c r="E3915" s="49" t="s">
        <v>13264</v>
      </c>
      <c r="F3915" s="49" t="s">
        <v>29</v>
      </c>
      <c r="G3915" s="49" t="s">
        <v>5563</v>
      </c>
      <c r="H3915" s="49"/>
      <c r="I3915" s="49" t="s">
        <v>5563</v>
      </c>
      <c r="J3915" s="49">
        <v>208.0</v>
      </c>
      <c r="K3915" s="49"/>
      <c r="L3915" s="49"/>
      <c r="M3915" s="49" t="s">
        <v>7817</v>
      </c>
      <c r="N3915" s="49">
        <v>2005.0</v>
      </c>
      <c r="O3915" s="49" t="s">
        <v>388</v>
      </c>
      <c r="P3915" s="49">
        <v>1.0</v>
      </c>
      <c r="Q3915" s="56"/>
      <c r="R3915" s="288"/>
      <c r="S3915" s="116"/>
      <c r="T3915" s="116"/>
      <c r="U3915" s="116"/>
      <c r="V3915" s="116"/>
      <c r="W3915" s="116"/>
      <c r="X3915" s="116"/>
      <c r="Y3915" s="284"/>
      <c r="Z3915" s="284"/>
      <c r="AA3915" s="284"/>
      <c r="AB3915" s="284"/>
      <c r="AC3915" s="284"/>
      <c r="AD3915" s="284"/>
      <c r="AE3915" s="284"/>
      <c r="AF3915" s="284"/>
      <c r="AG3915" s="284"/>
      <c r="AH3915" s="284"/>
      <c r="AI3915" s="284"/>
      <c r="AJ3915" s="284"/>
      <c r="AK3915" s="284"/>
      <c r="AL3915" s="284"/>
    </row>
    <row r="3916" ht="15.75" customHeight="1">
      <c r="A3916" s="115">
        <f t="shared" si="29"/>
        <v>4735</v>
      </c>
      <c r="B3916" s="49" t="s">
        <v>13265</v>
      </c>
      <c r="C3916" s="272" t="s">
        <v>31</v>
      </c>
      <c r="D3916" s="55" t="s">
        <v>13266</v>
      </c>
      <c r="E3916" s="49"/>
      <c r="F3916" s="49" t="s">
        <v>29</v>
      </c>
      <c r="G3916" s="49" t="s">
        <v>30</v>
      </c>
      <c r="H3916" s="49" t="s">
        <v>31</v>
      </c>
      <c r="I3916" s="49" t="s">
        <v>30</v>
      </c>
      <c r="J3916" s="49">
        <v>241.0</v>
      </c>
      <c r="K3916" s="49"/>
      <c r="L3916" s="49" t="s">
        <v>13267</v>
      </c>
      <c r="M3916" s="49" t="s">
        <v>4762</v>
      </c>
      <c r="N3916" s="49">
        <v>2011.0</v>
      </c>
      <c r="O3916" s="49" t="s">
        <v>388</v>
      </c>
      <c r="P3916" s="49">
        <v>1.0</v>
      </c>
      <c r="Q3916" s="56"/>
      <c r="R3916" s="288"/>
      <c r="S3916" s="34"/>
      <c r="T3916" s="34"/>
      <c r="U3916" s="34"/>
      <c r="V3916" s="34"/>
      <c r="W3916" s="34"/>
      <c r="X3916" s="34"/>
      <c r="Y3916" s="284"/>
      <c r="Z3916" s="284"/>
      <c r="AA3916" s="284"/>
      <c r="AB3916" s="284"/>
      <c r="AC3916" s="284"/>
      <c r="AD3916" s="284"/>
      <c r="AE3916" s="284"/>
      <c r="AF3916" s="284"/>
      <c r="AG3916" s="284"/>
      <c r="AH3916" s="284"/>
      <c r="AI3916" s="284"/>
      <c r="AJ3916" s="284"/>
      <c r="AK3916" s="284"/>
      <c r="AL3916" s="284"/>
    </row>
    <row r="3917" ht="15.75" customHeight="1">
      <c r="A3917" s="115">
        <f t="shared" si="29"/>
        <v>4736</v>
      </c>
      <c r="B3917" s="49" t="s">
        <v>13268</v>
      </c>
      <c r="C3917" s="272" t="s">
        <v>31</v>
      </c>
      <c r="D3917" s="55" t="s">
        <v>13269</v>
      </c>
      <c r="E3917" s="49"/>
      <c r="F3917" s="49"/>
      <c r="G3917" s="49" t="s">
        <v>5297</v>
      </c>
      <c r="H3917" s="49"/>
      <c r="I3917" s="49" t="s">
        <v>38</v>
      </c>
      <c r="J3917" s="49">
        <v>224.0</v>
      </c>
      <c r="K3917" s="49"/>
      <c r="L3917" s="49" t="s">
        <v>13270</v>
      </c>
      <c r="M3917" s="49" t="s">
        <v>13271</v>
      </c>
      <c r="N3917" s="49">
        <v>1989.0</v>
      </c>
      <c r="O3917" s="49" t="s">
        <v>388</v>
      </c>
      <c r="P3917" s="49">
        <v>1.0</v>
      </c>
      <c r="Q3917" s="56"/>
      <c r="R3917" s="301"/>
      <c r="S3917" s="40"/>
      <c r="T3917" s="40"/>
      <c r="U3917" s="40"/>
      <c r="V3917" s="40"/>
      <c r="W3917" s="40"/>
      <c r="X3917" s="40"/>
      <c r="Y3917" s="284"/>
      <c r="Z3917" s="284"/>
      <c r="AA3917" s="284"/>
      <c r="AB3917" s="284"/>
      <c r="AC3917" s="284"/>
      <c r="AD3917" s="284"/>
      <c r="AE3917" s="284"/>
      <c r="AF3917" s="284"/>
      <c r="AG3917" s="284"/>
      <c r="AH3917" s="284"/>
      <c r="AI3917" s="284"/>
      <c r="AJ3917" s="284"/>
      <c r="AK3917" s="284"/>
      <c r="AL3917" s="284"/>
    </row>
    <row r="3918" ht="15.75" customHeight="1">
      <c r="A3918" s="115">
        <f t="shared" si="29"/>
        <v>4737</v>
      </c>
      <c r="B3918" s="49" t="s">
        <v>31</v>
      </c>
      <c r="C3918" s="272" t="s">
        <v>31</v>
      </c>
      <c r="D3918" s="55" t="s">
        <v>13272</v>
      </c>
      <c r="E3918" s="49" t="s">
        <v>28</v>
      </c>
      <c r="F3918" s="49" t="s">
        <v>29</v>
      </c>
      <c r="G3918" s="49" t="s">
        <v>37</v>
      </c>
      <c r="H3918" s="49"/>
      <c r="I3918" s="49" t="s">
        <v>38</v>
      </c>
      <c r="J3918" s="49">
        <v>326.0</v>
      </c>
      <c r="K3918" s="49"/>
      <c r="L3918" s="49" t="s">
        <v>477</v>
      </c>
      <c r="M3918" s="49" t="s">
        <v>507</v>
      </c>
      <c r="N3918" s="49">
        <v>1912.0</v>
      </c>
      <c r="O3918" s="49" t="s">
        <v>388</v>
      </c>
      <c r="P3918" s="49">
        <v>1.0</v>
      </c>
      <c r="Q3918" s="56"/>
      <c r="R3918" s="288"/>
      <c r="S3918" s="34"/>
      <c r="T3918" s="34"/>
      <c r="U3918" s="34"/>
      <c r="V3918" s="34"/>
      <c r="W3918" s="34"/>
      <c r="X3918" s="34"/>
      <c r="Y3918" s="284"/>
      <c r="Z3918" s="284"/>
      <c r="AA3918" s="284"/>
      <c r="AB3918" s="284"/>
      <c r="AC3918" s="284"/>
      <c r="AD3918" s="284"/>
      <c r="AE3918" s="284"/>
      <c r="AF3918" s="284"/>
      <c r="AG3918" s="284"/>
      <c r="AH3918" s="284"/>
      <c r="AI3918" s="284"/>
      <c r="AJ3918" s="284"/>
      <c r="AK3918" s="284"/>
      <c r="AL3918" s="284"/>
    </row>
    <row r="3919" ht="15.75" customHeight="1">
      <c r="A3919" s="115">
        <f t="shared" si="29"/>
        <v>4738</v>
      </c>
      <c r="B3919" s="49" t="s">
        <v>1204</v>
      </c>
      <c r="C3919" s="272" t="s">
        <v>31</v>
      </c>
      <c r="D3919" s="55" t="s">
        <v>12450</v>
      </c>
      <c r="E3919" s="49" t="s">
        <v>28</v>
      </c>
      <c r="F3919" s="49" t="s">
        <v>29</v>
      </c>
      <c r="G3919" s="49" t="s">
        <v>98</v>
      </c>
      <c r="H3919" s="49"/>
      <c r="I3919" s="49" t="s">
        <v>1195</v>
      </c>
      <c r="J3919" s="49">
        <v>918.0</v>
      </c>
      <c r="K3919" s="49"/>
      <c r="L3919" s="49" t="s">
        <v>31</v>
      </c>
      <c r="M3919" s="49" t="s">
        <v>100</v>
      </c>
      <c r="N3919" s="49">
        <v>1993.0</v>
      </c>
      <c r="O3919" s="49" t="s">
        <v>388</v>
      </c>
      <c r="P3919" s="49">
        <v>1.0</v>
      </c>
      <c r="Q3919" s="56"/>
      <c r="R3919" s="288"/>
      <c r="S3919" s="34"/>
      <c r="T3919" s="34"/>
      <c r="U3919" s="34"/>
      <c r="V3919" s="34"/>
      <c r="W3919" s="34"/>
      <c r="X3919" s="34"/>
      <c r="Y3919" s="284"/>
      <c r="Z3919" s="284"/>
      <c r="AA3919" s="284"/>
      <c r="AB3919" s="284"/>
      <c r="AC3919" s="284"/>
      <c r="AD3919" s="284"/>
      <c r="AE3919" s="284"/>
      <c r="AF3919" s="284"/>
      <c r="AG3919" s="284"/>
      <c r="AH3919" s="284"/>
      <c r="AI3919" s="284"/>
      <c r="AJ3919" s="284"/>
      <c r="AK3919" s="284"/>
      <c r="AL3919" s="284"/>
    </row>
    <row r="3920" ht="15.75" customHeight="1">
      <c r="A3920" s="115">
        <f t="shared" si="29"/>
        <v>4739</v>
      </c>
      <c r="B3920" s="49" t="s">
        <v>13273</v>
      </c>
      <c r="C3920" s="272" t="s">
        <v>31</v>
      </c>
      <c r="D3920" s="55" t="s">
        <v>13274</v>
      </c>
      <c r="E3920" s="49" t="s">
        <v>144</v>
      </c>
      <c r="F3920" s="49" t="s">
        <v>29</v>
      </c>
      <c r="G3920" s="49" t="s">
        <v>37</v>
      </c>
      <c r="H3920" s="49"/>
      <c r="I3920" s="49" t="s">
        <v>38</v>
      </c>
      <c r="J3920" s="49" t="s">
        <v>31</v>
      </c>
      <c r="K3920" s="49"/>
      <c r="L3920" s="49" t="s">
        <v>13275</v>
      </c>
      <c r="M3920" s="49" t="s">
        <v>13276</v>
      </c>
      <c r="N3920" s="49">
        <v>2000.0</v>
      </c>
      <c r="O3920" s="49" t="s">
        <v>388</v>
      </c>
      <c r="P3920" s="49">
        <v>1.0</v>
      </c>
      <c r="Q3920" s="56"/>
      <c r="R3920" s="288"/>
      <c r="S3920" s="34"/>
      <c r="T3920" s="34"/>
      <c r="U3920" s="34"/>
      <c r="V3920" s="34"/>
      <c r="W3920" s="34"/>
      <c r="X3920" s="34"/>
      <c r="Y3920" s="284"/>
      <c r="Z3920" s="284"/>
      <c r="AA3920" s="284"/>
      <c r="AB3920" s="284"/>
      <c r="AC3920" s="284"/>
      <c r="AD3920" s="284"/>
      <c r="AE3920" s="284"/>
      <c r="AF3920" s="284"/>
      <c r="AG3920" s="284"/>
      <c r="AH3920" s="284"/>
      <c r="AI3920" s="284"/>
      <c r="AJ3920" s="284"/>
      <c r="AK3920" s="284"/>
      <c r="AL3920" s="284"/>
    </row>
    <row r="3921" ht="15.75" customHeight="1">
      <c r="A3921" s="115">
        <f t="shared" si="29"/>
        <v>4740</v>
      </c>
      <c r="B3921" s="49"/>
      <c r="C3921" s="272" t="s">
        <v>31</v>
      </c>
      <c r="D3921" s="55" t="s">
        <v>13277</v>
      </c>
      <c r="E3921" s="49" t="s">
        <v>31</v>
      </c>
      <c r="F3921" s="49" t="s">
        <v>29</v>
      </c>
      <c r="G3921" s="49" t="s">
        <v>38</v>
      </c>
      <c r="H3921" s="49"/>
      <c r="I3921" s="49" t="s">
        <v>38</v>
      </c>
      <c r="J3921" s="49">
        <v>58.0</v>
      </c>
      <c r="K3921" s="49"/>
      <c r="L3921" s="49" t="s">
        <v>31</v>
      </c>
      <c r="M3921" s="49" t="s">
        <v>54</v>
      </c>
      <c r="N3921" s="49" t="s">
        <v>31</v>
      </c>
      <c r="O3921" s="49" t="s">
        <v>388</v>
      </c>
      <c r="P3921" s="49">
        <v>1.0</v>
      </c>
      <c r="Q3921" s="56"/>
      <c r="R3921" s="288"/>
      <c r="S3921" s="34"/>
      <c r="T3921" s="34"/>
      <c r="U3921" s="34"/>
      <c r="V3921" s="34"/>
      <c r="W3921" s="34"/>
      <c r="X3921" s="34"/>
      <c r="Y3921" s="284"/>
      <c r="Z3921" s="284"/>
      <c r="AA3921" s="284"/>
      <c r="AB3921" s="284"/>
      <c r="AC3921" s="284"/>
      <c r="AD3921" s="284"/>
      <c r="AE3921" s="284"/>
      <c r="AF3921" s="284"/>
      <c r="AG3921" s="284"/>
      <c r="AH3921" s="284"/>
      <c r="AI3921" s="284"/>
      <c r="AJ3921" s="284"/>
      <c r="AK3921" s="284"/>
      <c r="AL3921" s="284"/>
    </row>
    <row r="3922" ht="15.75" customHeight="1">
      <c r="A3922" s="115">
        <f t="shared" si="29"/>
        <v>4741</v>
      </c>
      <c r="B3922" s="49" t="s">
        <v>13278</v>
      </c>
      <c r="C3922" s="272" t="s">
        <v>31</v>
      </c>
      <c r="D3922" s="55" t="s">
        <v>13279</v>
      </c>
      <c r="E3922" s="49" t="s">
        <v>144</v>
      </c>
      <c r="F3922" s="49" t="s">
        <v>29</v>
      </c>
      <c r="G3922" s="49" t="s">
        <v>37</v>
      </c>
      <c r="H3922" s="49"/>
      <c r="I3922" s="49" t="s">
        <v>30</v>
      </c>
      <c r="J3922" s="49">
        <v>192.0</v>
      </c>
      <c r="K3922" s="49"/>
      <c r="L3922" s="49" t="s">
        <v>13280</v>
      </c>
      <c r="M3922" s="49" t="s">
        <v>8469</v>
      </c>
      <c r="N3922" s="49">
        <v>2011.0</v>
      </c>
      <c r="O3922" s="49" t="s">
        <v>388</v>
      </c>
      <c r="P3922" s="49">
        <v>1.0</v>
      </c>
      <c r="Q3922" s="56"/>
      <c r="R3922" s="288"/>
      <c r="S3922" s="34"/>
      <c r="T3922" s="34"/>
      <c r="U3922" s="34"/>
      <c r="V3922" s="34"/>
      <c r="W3922" s="34"/>
      <c r="X3922" s="34"/>
      <c r="Y3922" s="284"/>
      <c r="Z3922" s="284"/>
      <c r="AA3922" s="284"/>
      <c r="AB3922" s="284"/>
      <c r="AC3922" s="284"/>
      <c r="AD3922" s="284"/>
      <c r="AE3922" s="284"/>
      <c r="AF3922" s="284"/>
      <c r="AG3922" s="284"/>
      <c r="AH3922" s="284"/>
      <c r="AI3922" s="284"/>
      <c r="AJ3922" s="284"/>
      <c r="AK3922" s="284"/>
      <c r="AL3922" s="284"/>
    </row>
    <row r="3923" ht="15.75" customHeight="1">
      <c r="A3923" s="115">
        <f t="shared" si="29"/>
        <v>4742</v>
      </c>
      <c r="B3923" s="49" t="s">
        <v>13281</v>
      </c>
      <c r="C3923" s="272" t="s">
        <v>31</v>
      </c>
      <c r="D3923" s="55" t="s">
        <v>13282</v>
      </c>
      <c r="E3923" s="49" t="s">
        <v>2863</v>
      </c>
      <c r="F3923" s="49" t="s">
        <v>29</v>
      </c>
      <c r="G3923" s="49" t="s">
        <v>30</v>
      </c>
      <c r="H3923" s="49"/>
      <c r="I3923" s="49" t="s">
        <v>30</v>
      </c>
      <c r="J3923" s="49">
        <v>486.0</v>
      </c>
      <c r="K3923" s="49"/>
      <c r="L3923" s="49" t="s">
        <v>31</v>
      </c>
      <c r="M3923" s="49" t="s">
        <v>13283</v>
      </c>
      <c r="N3923" s="49">
        <v>1998.0</v>
      </c>
      <c r="O3923" s="49" t="s">
        <v>388</v>
      </c>
      <c r="P3923" s="49">
        <v>1.0</v>
      </c>
      <c r="Q3923" s="56"/>
      <c r="R3923" s="301"/>
      <c r="S3923" s="40"/>
      <c r="T3923" s="40"/>
      <c r="U3923" s="40"/>
      <c r="V3923" s="40"/>
      <c r="W3923" s="40"/>
      <c r="X3923" s="40"/>
      <c r="Y3923" s="284"/>
      <c r="Z3923" s="284"/>
      <c r="AA3923" s="284"/>
      <c r="AB3923" s="284"/>
      <c r="AC3923" s="284"/>
      <c r="AD3923" s="284"/>
      <c r="AE3923" s="284"/>
      <c r="AF3923" s="284"/>
      <c r="AG3923" s="284"/>
      <c r="AH3923" s="284"/>
      <c r="AI3923" s="284"/>
      <c r="AJ3923" s="284"/>
      <c r="AK3923" s="284"/>
      <c r="AL3923" s="284"/>
    </row>
    <row r="3924" ht="15.75" customHeight="1">
      <c r="A3924" s="115">
        <f t="shared" si="29"/>
        <v>4743</v>
      </c>
      <c r="B3924" s="49" t="s">
        <v>31</v>
      </c>
      <c r="C3924" s="272" t="s">
        <v>31</v>
      </c>
      <c r="D3924" s="55" t="s">
        <v>13284</v>
      </c>
      <c r="E3924" s="49" t="s">
        <v>31</v>
      </c>
      <c r="F3924" s="49" t="s">
        <v>29</v>
      </c>
      <c r="G3924" s="49" t="s">
        <v>30</v>
      </c>
      <c r="H3924" s="49"/>
      <c r="I3924" s="49" t="s">
        <v>30</v>
      </c>
      <c r="J3924" s="49">
        <v>69.0</v>
      </c>
      <c r="K3924" s="49"/>
      <c r="L3924" s="49" t="s">
        <v>13285</v>
      </c>
      <c r="M3924" s="49" t="s">
        <v>13286</v>
      </c>
      <c r="N3924" s="49" t="s">
        <v>31</v>
      </c>
      <c r="O3924" s="49" t="s">
        <v>388</v>
      </c>
      <c r="P3924" s="49">
        <v>1.0</v>
      </c>
      <c r="Q3924" s="56"/>
      <c r="R3924" s="288"/>
      <c r="S3924" s="116"/>
      <c r="T3924" s="116"/>
      <c r="U3924" s="116"/>
      <c r="V3924" s="116"/>
      <c r="W3924" s="116"/>
      <c r="X3924" s="116"/>
      <c r="Y3924" s="284"/>
      <c r="Z3924" s="284"/>
      <c r="AA3924" s="284"/>
      <c r="AB3924" s="284"/>
      <c r="AC3924" s="284"/>
      <c r="AD3924" s="284"/>
      <c r="AE3924" s="284"/>
      <c r="AF3924" s="284"/>
      <c r="AG3924" s="284"/>
      <c r="AH3924" s="284"/>
      <c r="AI3924" s="284"/>
      <c r="AJ3924" s="284"/>
      <c r="AK3924" s="284"/>
      <c r="AL3924" s="284"/>
    </row>
    <row r="3925" ht="15.75" customHeight="1">
      <c r="A3925" s="115">
        <f t="shared" si="29"/>
        <v>4744</v>
      </c>
      <c r="B3925" s="49" t="s">
        <v>31</v>
      </c>
      <c r="C3925" s="272" t="s">
        <v>31</v>
      </c>
      <c r="D3925" s="55" t="s">
        <v>13287</v>
      </c>
      <c r="E3925" s="49" t="s">
        <v>31</v>
      </c>
      <c r="F3925" s="49" t="s">
        <v>29</v>
      </c>
      <c r="G3925" s="49" t="s">
        <v>30</v>
      </c>
      <c r="H3925" s="49"/>
      <c r="I3925" s="49" t="s">
        <v>30</v>
      </c>
      <c r="J3925" s="49">
        <v>38.0</v>
      </c>
      <c r="K3925" s="49"/>
      <c r="L3925" s="49" t="s">
        <v>13288</v>
      </c>
      <c r="M3925" s="49" t="s">
        <v>31</v>
      </c>
      <c r="N3925" s="49" t="s">
        <v>31</v>
      </c>
      <c r="O3925" s="49" t="s">
        <v>388</v>
      </c>
      <c r="P3925" s="49">
        <v>1.0</v>
      </c>
      <c r="Q3925" s="56"/>
      <c r="R3925" s="288"/>
      <c r="S3925" s="34"/>
      <c r="T3925" s="34"/>
      <c r="U3925" s="34"/>
      <c r="V3925" s="34"/>
      <c r="W3925" s="34"/>
      <c r="X3925" s="34"/>
      <c r="Y3925" s="284"/>
      <c r="Z3925" s="284"/>
      <c r="AA3925" s="284"/>
      <c r="AB3925" s="284"/>
      <c r="AC3925" s="284"/>
      <c r="AD3925" s="284"/>
      <c r="AE3925" s="284"/>
      <c r="AF3925" s="284"/>
      <c r="AG3925" s="284"/>
      <c r="AH3925" s="284"/>
      <c r="AI3925" s="284"/>
      <c r="AJ3925" s="284"/>
      <c r="AK3925" s="284"/>
      <c r="AL3925" s="284"/>
    </row>
    <row r="3926" ht="15.75" customHeight="1">
      <c r="A3926" s="115">
        <f t="shared" si="29"/>
        <v>4745</v>
      </c>
      <c r="B3926" s="49" t="s">
        <v>31</v>
      </c>
      <c r="C3926" s="272" t="s">
        <v>31</v>
      </c>
      <c r="D3926" s="55" t="s">
        <v>13289</v>
      </c>
      <c r="E3926" s="49"/>
      <c r="F3926" s="49" t="s">
        <v>29</v>
      </c>
      <c r="G3926" s="49" t="s">
        <v>30</v>
      </c>
      <c r="H3926" s="49" t="s">
        <v>13290</v>
      </c>
      <c r="I3926" s="49" t="s">
        <v>13291</v>
      </c>
      <c r="J3926" s="49">
        <v>18.0</v>
      </c>
      <c r="K3926" s="49"/>
      <c r="L3926" s="49" t="s">
        <v>31</v>
      </c>
      <c r="M3926" s="49" t="s">
        <v>13292</v>
      </c>
      <c r="N3926" s="49" t="s">
        <v>31</v>
      </c>
      <c r="O3926" s="49" t="s">
        <v>388</v>
      </c>
      <c r="P3926" s="49">
        <v>1.0</v>
      </c>
      <c r="Q3926" s="56"/>
      <c r="R3926" s="288"/>
      <c r="S3926" s="116"/>
      <c r="T3926" s="116"/>
      <c r="U3926" s="116"/>
      <c r="V3926" s="116"/>
      <c r="W3926" s="116"/>
      <c r="X3926" s="116"/>
      <c r="Y3926" s="284"/>
      <c r="Z3926" s="284"/>
      <c r="AA3926" s="284"/>
      <c r="AB3926" s="284"/>
      <c r="AC3926" s="284"/>
      <c r="AD3926" s="284"/>
      <c r="AE3926" s="284"/>
      <c r="AF3926" s="284"/>
      <c r="AG3926" s="284"/>
      <c r="AH3926" s="284"/>
      <c r="AI3926" s="284"/>
      <c r="AJ3926" s="284"/>
      <c r="AK3926" s="284"/>
      <c r="AL3926" s="284"/>
    </row>
    <row r="3927" ht="15.75" customHeight="1">
      <c r="A3927" s="115">
        <f t="shared" si="29"/>
        <v>4746</v>
      </c>
      <c r="B3927" s="49" t="s">
        <v>31</v>
      </c>
      <c r="C3927" s="272" t="s">
        <v>31</v>
      </c>
      <c r="D3927" s="55" t="s">
        <v>13293</v>
      </c>
      <c r="E3927" s="49" t="s">
        <v>31</v>
      </c>
      <c r="F3927" s="49" t="s">
        <v>29</v>
      </c>
      <c r="G3927" s="49" t="s">
        <v>30</v>
      </c>
      <c r="H3927" s="49"/>
      <c r="I3927" s="49" t="s">
        <v>30</v>
      </c>
      <c r="J3927" s="49">
        <v>54.0</v>
      </c>
      <c r="K3927" s="49"/>
      <c r="L3927" s="49" t="s">
        <v>13294</v>
      </c>
      <c r="M3927" s="49" t="s">
        <v>13286</v>
      </c>
      <c r="N3927" s="49" t="s">
        <v>31</v>
      </c>
      <c r="O3927" s="49" t="s">
        <v>388</v>
      </c>
      <c r="P3927" s="49">
        <v>1.0</v>
      </c>
      <c r="Q3927" s="56"/>
      <c r="R3927" s="288"/>
      <c r="S3927" s="34"/>
      <c r="T3927" s="34"/>
      <c r="U3927" s="34"/>
      <c r="V3927" s="34"/>
      <c r="W3927" s="34"/>
      <c r="X3927" s="34"/>
      <c r="Y3927" s="284"/>
      <c r="Z3927" s="284"/>
      <c r="AA3927" s="284"/>
      <c r="AB3927" s="284"/>
      <c r="AC3927" s="284"/>
      <c r="AD3927" s="284"/>
      <c r="AE3927" s="284"/>
      <c r="AF3927" s="284"/>
      <c r="AG3927" s="284"/>
      <c r="AH3927" s="284"/>
      <c r="AI3927" s="284"/>
      <c r="AJ3927" s="284"/>
      <c r="AK3927" s="284"/>
      <c r="AL3927" s="284"/>
    </row>
    <row r="3928" ht="15.75" customHeight="1">
      <c r="A3928" s="115">
        <f t="shared" si="29"/>
        <v>4747</v>
      </c>
      <c r="B3928" s="49" t="s">
        <v>13295</v>
      </c>
      <c r="C3928" s="272" t="s">
        <v>31</v>
      </c>
      <c r="D3928" s="55" t="s">
        <v>13296</v>
      </c>
      <c r="E3928" s="49"/>
      <c r="F3928" s="49"/>
      <c r="G3928" s="49" t="s">
        <v>98</v>
      </c>
      <c r="H3928" s="49"/>
      <c r="I3928" s="49" t="s">
        <v>98</v>
      </c>
      <c r="J3928" s="49">
        <v>71.0</v>
      </c>
      <c r="K3928" s="49"/>
      <c r="L3928" s="49" t="s">
        <v>13297</v>
      </c>
      <c r="M3928" s="49" t="s">
        <v>13298</v>
      </c>
      <c r="N3928" s="49">
        <v>1996.0</v>
      </c>
      <c r="O3928" s="49" t="s">
        <v>388</v>
      </c>
      <c r="P3928" s="49">
        <v>1.0</v>
      </c>
      <c r="Q3928" s="56"/>
      <c r="R3928" s="288"/>
      <c r="S3928" s="34"/>
      <c r="T3928" s="34"/>
      <c r="U3928" s="34"/>
      <c r="V3928" s="34"/>
      <c r="W3928" s="34"/>
      <c r="X3928" s="34"/>
      <c r="Y3928" s="284"/>
      <c r="Z3928" s="284"/>
      <c r="AA3928" s="284"/>
      <c r="AB3928" s="284"/>
      <c r="AC3928" s="284"/>
      <c r="AD3928" s="284"/>
      <c r="AE3928" s="284"/>
      <c r="AF3928" s="284"/>
      <c r="AG3928" s="284"/>
      <c r="AH3928" s="284"/>
      <c r="AI3928" s="284"/>
      <c r="AJ3928" s="284"/>
      <c r="AK3928" s="284"/>
      <c r="AL3928" s="284"/>
    </row>
    <row r="3929" ht="15.75" customHeight="1">
      <c r="A3929" s="115">
        <f t="shared" si="29"/>
        <v>4748</v>
      </c>
      <c r="B3929" s="49" t="s">
        <v>31</v>
      </c>
      <c r="C3929" s="272" t="s">
        <v>31</v>
      </c>
      <c r="D3929" s="55" t="s">
        <v>13299</v>
      </c>
      <c r="E3929" s="49"/>
      <c r="F3929" s="49" t="s">
        <v>29</v>
      </c>
      <c r="G3929" s="49" t="s">
        <v>30</v>
      </c>
      <c r="H3929" s="49"/>
      <c r="I3929" s="49" t="s">
        <v>30</v>
      </c>
      <c r="J3929" s="49">
        <v>123.0</v>
      </c>
      <c r="K3929" s="49"/>
      <c r="L3929" s="49" t="s">
        <v>13300</v>
      </c>
      <c r="M3929" s="49" t="s">
        <v>31</v>
      </c>
      <c r="N3929" s="49">
        <v>1999.0</v>
      </c>
      <c r="O3929" s="49" t="s">
        <v>388</v>
      </c>
      <c r="P3929" s="49">
        <v>1.0</v>
      </c>
      <c r="Q3929" s="56"/>
      <c r="R3929" s="288"/>
      <c r="S3929" s="34"/>
      <c r="T3929" s="34"/>
      <c r="U3929" s="34"/>
      <c r="V3929" s="34"/>
      <c r="W3929" s="34"/>
      <c r="X3929" s="34"/>
      <c r="Y3929" s="284"/>
      <c r="Z3929" s="284"/>
      <c r="AA3929" s="284"/>
      <c r="AB3929" s="284"/>
      <c r="AC3929" s="284"/>
      <c r="AD3929" s="284"/>
      <c r="AE3929" s="284"/>
      <c r="AF3929" s="284"/>
      <c r="AG3929" s="284"/>
      <c r="AH3929" s="284"/>
      <c r="AI3929" s="284"/>
      <c r="AJ3929" s="284"/>
      <c r="AK3929" s="284"/>
      <c r="AL3929" s="284"/>
    </row>
    <row r="3930" ht="15.75" customHeight="1">
      <c r="A3930" s="115">
        <f t="shared" si="29"/>
        <v>4749</v>
      </c>
      <c r="B3930" s="49" t="s">
        <v>31</v>
      </c>
      <c r="C3930" s="272" t="s">
        <v>31</v>
      </c>
      <c r="D3930" s="55" t="s">
        <v>13301</v>
      </c>
      <c r="E3930" s="49"/>
      <c r="F3930" s="49" t="s">
        <v>29</v>
      </c>
      <c r="G3930" s="49" t="s">
        <v>30</v>
      </c>
      <c r="H3930" s="49"/>
      <c r="I3930" s="49" t="s">
        <v>30</v>
      </c>
      <c r="J3930" s="49">
        <v>83.0</v>
      </c>
      <c r="K3930" s="49"/>
      <c r="L3930" s="49" t="s">
        <v>13302</v>
      </c>
      <c r="M3930" s="49" t="s">
        <v>31</v>
      </c>
      <c r="N3930" s="49">
        <v>2000.0</v>
      </c>
      <c r="O3930" s="49" t="s">
        <v>388</v>
      </c>
      <c r="P3930" s="49">
        <v>1.0</v>
      </c>
      <c r="Q3930" s="56"/>
      <c r="R3930" s="288"/>
      <c r="S3930" s="34"/>
      <c r="T3930" s="34"/>
      <c r="U3930" s="34"/>
      <c r="V3930" s="34"/>
      <c r="W3930" s="34"/>
      <c r="X3930" s="34"/>
      <c r="Y3930" s="284"/>
      <c r="Z3930" s="284"/>
      <c r="AA3930" s="284"/>
      <c r="AB3930" s="284"/>
      <c r="AC3930" s="284"/>
      <c r="AD3930" s="284"/>
      <c r="AE3930" s="284"/>
      <c r="AF3930" s="284"/>
      <c r="AG3930" s="284"/>
      <c r="AH3930" s="284"/>
      <c r="AI3930" s="284"/>
      <c r="AJ3930" s="284"/>
      <c r="AK3930" s="284"/>
      <c r="AL3930" s="284"/>
    </row>
    <row r="3931" ht="15.75" customHeight="1">
      <c r="A3931" s="115">
        <f t="shared" si="29"/>
        <v>4750</v>
      </c>
      <c r="B3931" s="49" t="s">
        <v>31</v>
      </c>
      <c r="C3931" s="272" t="s">
        <v>31</v>
      </c>
      <c r="D3931" s="55" t="s">
        <v>13303</v>
      </c>
      <c r="E3931" s="49"/>
      <c r="F3931" s="49" t="s">
        <v>29</v>
      </c>
      <c r="G3931" s="49" t="s">
        <v>30</v>
      </c>
      <c r="H3931" s="49"/>
      <c r="I3931" s="49" t="s">
        <v>30</v>
      </c>
      <c r="J3931" s="49">
        <v>71.0</v>
      </c>
      <c r="K3931" s="49"/>
      <c r="L3931" s="49" t="s">
        <v>13304</v>
      </c>
      <c r="M3931" s="49" t="s">
        <v>31</v>
      </c>
      <c r="N3931" s="49">
        <v>1989.0</v>
      </c>
      <c r="O3931" s="49" t="s">
        <v>388</v>
      </c>
      <c r="P3931" s="49">
        <v>1.0</v>
      </c>
      <c r="Q3931" s="56"/>
      <c r="R3931" s="288"/>
      <c r="S3931" s="34"/>
      <c r="T3931" s="34"/>
      <c r="U3931" s="34"/>
      <c r="V3931" s="34"/>
      <c r="W3931" s="34"/>
      <c r="X3931" s="34"/>
      <c r="Y3931" s="284"/>
      <c r="Z3931" s="284"/>
      <c r="AA3931" s="284"/>
      <c r="AB3931" s="284"/>
      <c r="AC3931" s="284"/>
      <c r="AD3931" s="284"/>
      <c r="AE3931" s="284"/>
      <c r="AF3931" s="284"/>
      <c r="AG3931" s="284"/>
      <c r="AH3931" s="284"/>
      <c r="AI3931" s="284"/>
      <c r="AJ3931" s="284"/>
      <c r="AK3931" s="284"/>
      <c r="AL3931" s="284"/>
    </row>
    <row r="3932" ht="15.75" customHeight="1">
      <c r="A3932" s="115">
        <f t="shared" si="29"/>
        <v>4751</v>
      </c>
      <c r="B3932" s="49" t="s">
        <v>31</v>
      </c>
      <c r="C3932" s="272" t="s">
        <v>31</v>
      </c>
      <c r="D3932" s="55" t="s">
        <v>13305</v>
      </c>
      <c r="E3932" s="49" t="s">
        <v>31</v>
      </c>
      <c r="F3932" s="49" t="s">
        <v>29</v>
      </c>
      <c r="G3932" s="49" t="s">
        <v>30</v>
      </c>
      <c r="H3932" s="49"/>
      <c r="I3932" s="49" t="s">
        <v>30</v>
      </c>
      <c r="J3932" s="49" t="s">
        <v>31</v>
      </c>
      <c r="K3932" s="49"/>
      <c r="L3932" s="49" t="s">
        <v>31</v>
      </c>
      <c r="M3932" s="49" t="s">
        <v>31</v>
      </c>
      <c r="N3932" s="49" t="s">
        <v>31</v>
      </c>
      <c r="O3932" s="49" t="s">
        <v>388</v>
      </c>
      <c r="P3932" s="49">
        <v>1.0</v>
      </c>
      <c r="Q3932" s="56"/>
      <c r="R3932" s="288"/>
      <c r="S3932" s="34"/>
      <c r="T3932" s="34"/>
      <c r="U3932" s="34"/>
      <c r="V3932" s="34"/>
      <c r="W3932" s="34"/>
      <c r="X3932" s="34"/>
      <c r="Y3932" s="284"/>
      <c r="Z3932" s="284"/>
      <c r="AA3932" s="284"/>
      <c r="AB3932" s="284"/>
      <c r="AC3932" s="284"/>
      <c r="AD3932" s="284"/>
      <c r="AE3932" s="284"/>
      <c r="AF3932" s="284"/>
      <c r="AG3932" s="284"/>
      <c r="AH3932" s="284"/>
      <c r="AI3932" s="284"/>
      <c r="AJ3932" s="284"/>
      <c r="AK3932" s="284"/>
      <c r="AL3932" s="284"/>
    </row>
    <row r="3933" ht="15.75" customHeight="1">
      <c r="A3933" s="115">
        <f t="shared" si="29"/>
        <v>4752</v>
      </c>
      <c r="B3933" s="49" t="s">
        <v>31</v>
      </c>
      <c r="C3933" s="272" t="s">
        <v>31</v>
      </c>
      <c r="D3933" s="55" t="s">
        <v>13306</v>
      </c>
      <c r="E3933" s="49" t="s">
        <v>31</v>
      </c>
      <c r="F3933" s="49" t="s">
        <v>29</v>
      </c>
      <c r="G3933" s="49" t="s">
        <v>30</v>
      </c>
      <c r="H3933" s="49"/>
      <c r="I3933" s="49" t="s">
        <v>30</v>
      </c>
      <c r="J3933" s="49">
        <v>34.0</v>
      </c>
      <c r="K3933" s="49"/>
      <c r="L3933" s="49" t="s">
        <v>13307</v>
      </c>
      <c r="M3933" s="49" t="s">
        <v>13286</v>
      </c>
      <c r="N3933" s="49" t="s">
        <v>31</v>
      </c>
      <c r="O3933" s="49" t="s">
        <v>388</v>
      </c>
      <c r="P3933" s="49">
        <v>1.0</v>
      </c>
      <c r="Q3933" s="56"/>
      <c r="R3933" s="288"/>
      <c r="S3933" s="116"/>
      <c r="T3933" s="116"/>
      <c r="U3933" s="116"/>
      <c r="V3933" s="116"/>
      <c r="W3933" s="116"/>
      <c r="X3933" s="116"/>
      <c r="Y3933" s="284"/>
      <c r="Z3933" s="284"/>
      <c r="AA3933" s="284"/>
      <c r="AB3933" s="284"/>
      <c r="AC3933" s="284"/>
      <c r="AD3933" s="284"/>
      <c r="AE3933" s="284"/>
      <c r="AF3933" s="284"/>
      <c r="AG3933" s="284"/>
      <c r="AH3933" s="284"/>
      <c r="AI3933" s="284"/>
      <c r="AJ3933" s="284"/>
      <c r="AK3933" s="284"/>
      <c r="AL3933" s="284"/>
    </row>
    <row r="3934" ht="15.75" customHeight="1">
      <c r="A3934" s="115">
        <f t="shared" si="29"/>
        <v>4753</v>
      </c>
      <c r="B3934" s="49" t="s">
        <v>31</v>
      </c>
      <c r="C3934" s="272" t="s">
        <v>31</v>
      </c>
      <c r="D3934" s="55" t="s">
        <v>13308</v>
      </c>
      <c r="E3934" s="49" t="s">
        <v>31</v>
      </c>
      <c r="F3934" s="49" t="s">
        <v>29</v>
      </c>
      <c r="G3934" s="49" t="s">
        <v>30</v>
      </c>
      <c r="H3934" s="49"/>
      <c r="I3934" s="49" t="s">
        <v>30</v>
      </c>
      <c r="J3934" s="49">
        <v>34.0</v>
      </c>
      <c r="K3934" s="49"/>
      <c r="L3934" s="49" t="s">
        <v>13307</v>
      </c>
      <c r="M3934" s="49" t="s">
        <v>13286</v>
      </c>
      <c r="N3934" s="49" t="s">
        <v>31</v>
      </c>
      <c r="O3934" s="49" t="s">
        <v>388</v>
      </c>
      <c r="P3934" s="49">
        <v>1.0</v>
      </c>
      <c r="Q3934" s="56"/>
      <c r="R3934" s="288"/>
      <c r="S3934" s="34"/>
      <c r="T3934" s="34"/>
      <c r="U3934" s="34"/>
      <c r="V3934" s="34"/>
      <c r="W3934" s="34"/>
      <c r="X3934" s="34"/>
      <c r="Y3934" s="284"/>
      <c r="Z3934" s="284"/>
      <c r="AA3934" s="284"/>
      <c r="AB3934" s="284"/>
      <c r="AC3934" s="284"/>
      <c r="AD3934" s="284"/>
      <c r="AE3934" s="284"/>
      <c r="AF3934" s="284"/>
      <c r="AG3934" s="284"/>
      <c r="AH3934" s="284"/>
      <c r="AI3934" s="284"/>
      <c r="AJ3934" s="284"/>
      <c r="AK3934" s="284"/>
      <c r="AL3934" s="284"/>
    </row>
    <row r="3935" ht="15.75" customHeight="1">
      <c r="A3935" s="115">
        <f t="shared" si="29"/>
        <v>4754</v>
      </c>
      <c r="B3935" s="49" t="s">
        <v>31</v>
      </c>
      <c r="C3935" s="272" t="s">
        <v>31</v>
      </c>
      <c r="D3935" s="55" t="s">
        <v>13309</v>
      </c>
      <c r="E3935" s="49" t="s">
        <v>31</v>
      </c>
      <c r="F3935" s="49" t="s">
        <v>29</v>
      </c>
      <c r="G3935" s="49" t="s">
        <v>30</v>
      </c>
      <c r="H3935" s="49"/>
      <c r="I3935" s="49" t="s">
        <v>30</v>
      </c>
      <c r="J3935" s="49">
        <v>52.0</v>
      </c>
      <c r="K3935" s="49"/>
      <c r="L3935" s="49" t="s">
        <v>13310</v>
      </c>
      <c r="M3935" s="49" t="s">
        <v>13286</v>
      </c>
      <c r="N3935" s="49" t="s">
        <v>31</v>
      </c>
      <c r="O3935" s="49" t="s">
        <v>388</v>
      </c>
      <c r="P3935" s="49">
        <v>1.0</v>
      </c>
      <c r="Q3935" s="56"/>
      <c r="R3935" s="288"/>
      <c r="S3935" s="34"/>
      <c r="T3935" s="34"/>
      <c r="U3935" s="34"/>
      <c r="V3935" s="34"/>
      <c r="W3935" s="34"/>
      <c r="X3935" s="34"/>
      <c r="Y3935" s="284"/>
      <c r="Z3935" s="284"/>
      <c r="AA3935" s="284"/>
      <c r="AB3935" s="284"/>
      <c r="AC3935" s="284"/>
      <c r="AD3935" s="284"/>
      <c r="AE3935" s="284"/>
      <c r="AF3935" s="284"/>
      <c r="AG3935" s="284"/>
      <c r="AH3935" s="284"/>
      <c r="AI3935" s="284"/>
      <c r="AJ3935" s="284"/>
      <c r="AK3935" s="284"/>
      <c r="AL3935" s="284"/>
    </row>
    <row r="3936" ht="15.75" customHeight="1">
      <c r="A3936" s="115">
        <f t="shared" si="29"/>
        <v>4755</v>
      </c>
      <c r="B3936" s="49" t="s">
        <v>13311</v>
      </c>
      <c r="C3936" s="272" t="s">
        <v>31</v>
      </c>
      <c r="D3936" s="55" t="s">
        <v>13312</v>
      </c>
      <c r="E3936" s="49" t="s">
        <v>31</v>
      </c>
      <c r="F3936" s="49" t="s">
        <v>29</v>
      </c>
      <c r="G3936" s="49" t="s">
        <v>38</v>
      </c>
      <c r="H3936" s="49"/>
      <c r="I3936" s="49" t="s">
        <v>1195</v>
      </c>
      <c r="J3936" s="49">
        <v>47.0</v>
      </c>
      <c r="K3936" s="49"/>
      <c r="L3936" s="49" t="s">
        <v>13313</v>
      </c>
      <c r="M3936" s="49" t="s">
        <v>13314</v>
      </c>
      <c r="N3936" s="49" t="s">
        <v>31</v>
      </c>
      <c r="O3936" s="49" t="s">
        <v>388</v>
      </c>
      <c r="P3936" s="49">
        <v>1.0</v>
      </c>
      <c r="Q3936" s="56"/>
      <c r="R3936" s="288"/>
      <c r="S3936" s="34"/>
      <c r="T3936" s="34"/>
      <c r="U3936" s="34"/>
      <c r="V3936" s="34"/>
      <c r="W3936" s="34"/>
      <c r="X3936" s="34"/>
      <c r="Y3936" s="284"/>
      <c r="Z3936" s="284"/>
      <c r="AA3936" s="284"/>
      <c r="AB3936" s="284"/>
      <c r="AC3936" s="284"/>
      <c r="AD3936" s="284"/>
      <c r="AE3936" s="284"/>
      <c r="AF3936" s="284"/>
      <c r="AG3936" s="284"/>
      <c r="AH3936" s="284"/>
      <c r="AI3936" s="284"/>
      <c r="AJ3936" s="284"/>
      <c r="AK3936" s="284"/>
      <c r="AL3936" s="284"/>
    </row>
    <row r="3937" ht="15.75" customHeight="1">
      <c r="A3937" s="115">
        <f t="shared" si="29"/>
        <v>4756</v>
      </c>
      <c r="B3937" s="49" t="s">
        <v>13315</v>
      </c>
      <c r="C3937" s="272" t="s">
        <v>31</v>
      </c>
      <c r="D3937" s="55" t="s">
        <v>13316</v>
      </c>
      <c r="E3937" s="49" t="s">
        <v>31</v>
      </c>
      <c r="F3937" s="49" t="s">
        <v>29</v>
      </c>
      <c r="G3937" s="49" t="s">
        <v>38</v>
      </c>
      <c r="H3937" s="49"/>
      <c r="I3937" s="49" t="s">
        <v>13317</v>
      </c>
      <c r="J3937" s="49">
        <v>74.0</v>
      </c>
      <c r="K3937" s="49"/>
      <c r="L3937" s="49" t="s">
        <v>13313</v>
      </c>
      <c r="M3937" s="49" t="s">
        <v>13314</v>
      </c>
      <c r="N3937" s="49">
        <v>1989.0</v>
      </c>
      <c r="O3937" s="49" t="s">
        <v>388</v>
      </c>
      <c r="P3937" s="49">
        <v>1.0</v>
      </c>
      <c r="Q3937" s="56"/>
      <c r="R3937" s="288"/>
      <c r="S3937" s="34"/>
      <c r="T3937" s="34"/>
      <c r="U3937" s="34"/>
      <c r="V3937" s="34"/>
      <c r="W3937" s="34"/>
      <c r="X3937" s="34"/>
      <c r="Y3937" s="284"/>
      <c r="Z3937" s="284"/>
      <c r="AA3937" s="284"/>
      <c r="AB3937" s="284"/>
      <c r="AC3937" s="284"/>
      <c r="AD3937" s="284"/>
      <c r="AE3937" s="284"/>
      <c r="AF3937" s="284"/>
      <c r="AG3937" s="284"/>
      <c r="AH3937" s="284"/>
      <c r="AI3937" s="284"/>
      <c r="AJ3937" s="284"/>
      <c r="AK3937" s="284"/>
      <c r="AL3937" s="284"/>
    </row>
    <row r="3938" ht="15.75" customHeight="1">
      <c r="A3938" s="115">
        <f t="shared" si="29"/>
        <v>4757</v>
      </c>
      <c r="B3938" s="49" t="s">
        <v>13318</v>
      </c>
      <c r="C3938" s="272" t="s">
        <v>31</v>
      </c>
      <c r="D3938" s="55" t="s">
        <v>13319</v>
      </c>
      <c r="E3938" s="49" t="s">
        <v>31</v>
      </c>
      <c r="F3938" s="49" t="s">
        <v>29</v>
      </c>
      <c r="G3938" s="49" t="s">
        <v>38</v>
      </c>
      <c r="H3938" s="49"/>
      <c r="I3938" s="49" t="s">
        <v>2184</v>
      </c>
      <c r="J3938" s="49">
        <v>50.0</v>
      </c>
      <c r="K3938" s="49"/>
      <c r="L3938" s="49" t="s">
        <v>13313</v>
      </c>
      <c r="M3938" s="49" t="s">
        <v>13314</v>
      </c>
      <c r="N3938" s="49">
        <v>1988.0</v>
      </c>
      <c r="O3938" s="49" t="s">
        <v>388</v>
      </c>
      <c r="P3938" s="49">
        <v>1.0</v>
      </c>
      <c r="Q3938" s="56"/>
      <c r="R3938" s="288"/>
      <c r="S3938" s="34"/>
      <c r="T3938" s="34"/>
      <c r="U3938" s="34"/>
      <c r="V3938" s="34"/>
      <c r="W3938" s="34"/>
      <c r="X3938" s="34"/>
      <c r="Y3938" s="284"/>
      <c r="Z3938" s="284"/>
      <c r="AA3938" s="284"/>
      <c r="AB3938" s="284"/>
      <c r="AC3938" s="284"/>
      <c r="AD3938" s="284"/>
      <c r="AE3938" s="284"/>
      <c r="AF3938" s="284"/>
      <c r="AG3938" s="284"/>
      <c r="AH3938" s="284"/>
      <c r="AI3938" s="284"/>
      <c r="AJ3938" s="284"/>
      <c r="AK3938" s="284"/>
      <c r="AL3938" s="284"/>
    </row>
    <row r="3939" ht="15.75" customHeight="1">
      <c r="A3939" s="115">
        <f t="shared" si="29"/>
        <v>4758</v>
      </c>
      <c r="B3939" s="49" t="s">
        <v>31</v>
      </c>
      <c r="C3939" s="272" t="s">
        <v>31</v>
      </c>
      <c r="D3939" s="55" t="s">
        <v>13320</v>
      </c>
      <c r="E3939" s="49"/>
      <c r="F3939" s="49" t="s">
        <v>29</v>
      </c>
      <c r="G3939" s="49" t="s">
        <v>37</v>
      </c>
      <c r="H3939" s="49"/>
      <c r="I3939" s="49" t="s">
        <v>38</v>
      </c>
      <c r="J3939" s="49">
        <v>822.0</v>
      </c>
      <c r="K3939" s="49"/>
      <c r="L3939" s="49" t="s">
        <v>31</v>
      </c>
      <c r="M3939" s="49" t="s">
        <v>13321</v>
      </c>
      <c r="N3939" s="49">
        <v>1976.0</v>
      </c>
      <c r="O3939" s="49" t="s">
        <v>388</v>
      </c>
      <c r="P3939" s="49">
        <v>1.0</v>
      </c>
      <c r="Q3939" s="56"/>
      <c r="R3939" s="288"/>
      <c r="S3939" s="34"/>
      <c r="T3939" s="34"/>
      <c r="U3939" s="34"/>
      <c r="V3939" s="34"/>
      <c r="W3939" s="34"/>
      <c r="X3939" s="34"/>
      <c r="Y3939" s="284"/>
      <c r="Z3939" s="284"/>
      <c r="AA3939" s="284"/>
      <c r="AB3939" s="284"/>
      <c r="AC3939" s="284"/>
      <c r="AD3939" s="284"/>
      <c r="AE3939" s="284"/>
      <c r="AF3939" s="284"/>
      <c r="AG3939" s="284"/>
      <c r="AH3939" s="284"/>
      <c r="AI3939" s="284"/>
      <c r="AJ3939" s="284"/>
      <c r="AK3939" s="284"/>
      <c r="AL3939" s="284"/>
    </row>
    <row r="3940" ht="15.75" customHeight="1">
      <c r="A3940" s="115">
        <f t="shared" si="29"/>
        <v>4759</v>
      </c>
      <c r="B3940" s="49" t="s">
        <v>31</v>
      </c>
      <c r="C3940" s="272" t="s">
        <v>31</v>
      </c>
      <c r="D3940" s="55" t="s">
        <v>13322</v>
      </c>
      <c r="E3940" s="49" t="s">
        <v>31</v>
      </c>
      <c r="F3940" s="49" t="s">
        <v>29</v>
      </c>
      <c r="G3940" s="49" t="s">
        <v>30</v>
      </c>
      <c r="H3940" s="49"/>
      <c r="I3940" s="49" t="s">
        <v>30</v>
      </c>
      <c r="J3940" s="49">
        <v>16.0</v>
      </c>
      <c r="K3940" s="49"/>
      <c r="L3940" s="49" t="s">
        <v>13323</v>
      </c>
      <c r="M3940" s="49" t="s">
        <v>31</v>
      </c>
      <c r="N3940" s="49" t="s">
        <v>31</v>
      </c>
      <c r="O3940" s="49" t="s">
        <v>388</v>
      </c>
      <c r="P3940" s="49">
        <v>1.0</v>
      </c>
      <c r="Q3940" s="56"/>
      <c r="R3940" s="288"/>
      <c r="S3940" s="34"/>
      <c r="T3940" s="34"/>
      <c r="U3940" s="34"/>
      <c r="V3940" s="34"/>
      <c r="W3940" s="34"/>
      <c r="X3940" s="34"/>
      <c r="Y3940" s="284"/>
      <c r="Z3940" s="284"/>
      <c r="AA3940" s="284"/>
      <c r="AB3940" s="284"/>
      <c r="AC3940" s="284"/>
      <c r="AD3940" s="284"/>
      <c r="AE3940" s="284"/>
      <c r="AF3940" s="284"/>
      <c r="AG3940" s="284"/>
      <c r="AH3940" s="284"/>
      <c r="AI3940" s="284"/>
      <c r="AJ3940" s="284"/>
      <c r="AK3940" s="284"/>
      <c r="AL3940" s="284"/>
    </row>
    <row r="3941" ht="15.75" customHeight="1">
      <c r="A3941" s="115">
        <f t="shared" si="29"/>
        <v>4760</v>
      </c>
      <c r="B3941" s="49" t="s">
        <v>31</v>
      </c>
      <c r="C3941" s="272" t="s">
        <v>31</v>
      </c>
      <c r="D3941" s="55" t="s">
        <v>13324</v>
      </c>
      <c r="E3941" s="49"/>
      <c r="F3941" s="49" t="s">
        <v>29</v>
      </c>
      <c r="G3941" s="49" t="s">
        <v>30</v>
      </c>
      <c r="H3941" s="49"/>
      <c r="I3941" s="49" t="s">
        <v>30</v>
      </c>
      <c r="J3941" s="49">
        <v>243.0</v>
      </c>
      <c r="K3941" s="49"/>
      <c r="L3941" s="49" t="s">
        <v>31</v>
      </c>
      <c r="M3941" s="49" t="s">
        <v>13325</v>
      </c>
      <c r="N3941" s="49">
        <v>2009.0</v>
      </c>
      <c r="O3941" s="49" t="s">
        <v>388</v>
      </c>
      <c r="P3941" s="49">
        <v>1.0</v>
      </c>
      <c r="Q3941" s="56"/>
      <c r="R3941" s="288"/>
      <c r="S3941" s="34"/>
      <c r="T3941" s="34"/>
      <c r="U3941" s="34"/>
      <c r="V3941" s="34"/>
      <c r="W3941" s="34"/>
      <c r="X3941" s="34"/>
      <c r="Y3941" s="284"/>
      <c r="Z3941" s="284"/>
      <c r="AA3941" s="284"/>
      <c r="AB3941" s="284"/>
      <c r="AC3941" s="284"/>
      <c r="AD3941" s="284"/>
      <c r="AE3941" s="284"/>
      <c r="AF3941" s="284"/>
      <c r="AG3941" s="284"/>
      <c r="AH3941" s="284"/>
      <c r="AI3941" s="284"/>
      <c r="AJ3941" s="284"/>
      <c r="AK3941" s="284"/>
      <c r="AL3941" s="284"/>
    </row>
    <row r="3942" ht="15.75" customHeight="1">
      <c r="A3942" s="115">
        <f t="shared" si="29"/>
        <v>4761</v>
      </c>
      <c r="B3942" s="49" t="s">
        <v>31</v>
      </c>
      <c r="C3942" s="272" t="s">
        <v>31</v>
      </c>
      <c r="D3942" s="55" t="s">
        <v>13326</v>
      </c>
      <c r="E3942" s="49"/>
      <c r="F3942" s="49" t="s">
        <v>29</v>
      </c>
      <c r="G3942" s="49" t="s">
        <v>30</v>
      </c>
      <c r="H3942" s="49" t="s">
        <v>31</v>
      </c>
      <c r="I3942" s="49" t="s">
        <v>30</v>
      </c>
      <c r="J3942" s="49">
        <v>80.0</v>
      </c>
      <c r="K3942" s="49"/>
      <c r="L3942" s="49" t="s">
        <v>13327</v>
      </c>
      <c r="M3942" s="49" t="s">
        <v>13328</v>
      </c>
      <c r="N3942" s="49">
        <v>-1962.0</v>
      </c>
      <c r="O3942" s="49" t="s">
        <v>388</v>
      </c>
      <c r="P3942" s="49">
        <v>2.0</v>
      </c>
      <c r="Q3942" s="56"/>
      <c r="R3942" s="288"/>
      <c r="S3942" s="34"/>
      <c r="T3942" s="34"/>
      <c r="U3942" s="34"/>
      <c r="V3942" s="34"/>
      <c r="W3942" s="34"/>
      <c r="X3942" s="34"/>
      <c r="Y3942" s="284"/>
      <c r="Z3942" s="284"/>
      <c r="AA3942" s="284"/>
      <c r="AB3942" s="284"/>
      <c r="AC3942" s="284"/>
      <c r="AD3942" s="284"/>
      <c r="AE3942" s="284"/>
      <c r="AF3942" s="284"/>
      <c r="AG3942" s="284"/>
      <c r="AH3942" s="284"/>
      <c r="AI3942" s="284"/>
      <c r="AJ3942" s="284"/>
      <c r="AK3942" s="284"/>
      <c r="AL3942" s="284"/>
    </row>
    <row r="3943" ht="15.75" customHeight="1">
      <c r="A3943" s="115">
        <f t="shared" si="29"/>
        <v>4762</v>
      </c>
      <c r="B3943" s="49" t="s">
        <v>13329</v>
      </c>
      <c r="C3943" s="272" t="s">
        <v>31</v>
      </c>
      <c r="D3943" s="55" t="s">
        <v>13330</v>
      </c>
      <c r="E3943" s="49" t="s">
        <v>144</v>
      </c>
      <c r="F3943" s="49" t="s">
        <v>29</v>
      </c>
      <c r="G3943" s="49" t="s">
        <v>31</v>
      </c>
      <c r="H3943" s="49"/>
      <c r="I3943" s="49" t="s">
        <v>31</v>
      </c>
      <c r="J3943" s="49">
        <v>143.0</v>
      </c>
      <c r="K3943" s="49"/>
      <c r="L3943" s="49" t="s">
        <v>11317</v>
      </c>
      <c r="M3943" s="49" t="s">
        <v>913</v>
      </c>
      <c r="N3943" s="49">
        <v>2007.0</v>
      </c>
      <c r="O3943" s="49" t="s">
        <v>388</v>
      </c>
      <c r="P3943" s="49">
        <v>1.0</v>
      </c>
      <c r="Q3943" s="56"/>
      <c r="R3943" s="288"/>
      <c r="S3943" s="34"/>
      <c r="T3943" s="34"/>
      <c r="U3943" s="34"/>
      <c r="V3943" s="34"/>
      <c r="W3943" s="34"/>
      <c r="X3943" s="34"/>
      <c r="Y3943" s="284"/>
      <c r="Z3943" s="284"/>
      <c r="AA3943" s="284"/>
      <c r="AB3943" s="284"/>
      <c r="AC3943" s="284"/>
      <c r="AD3943" s="284"/>
      <c r="AE3943" s="284"/>
      <c r="AF3943" s="284"/>
      <c r="AG3943" s="284"/>
      <c r="AH3943" s="284"/>
      <c r="AI3943" s="284"/>
      <c r="AJ3943" s="284"/>
      <c r="AK3943" s="284"/>
      <c r="AL3943" s="284"/>
    </row>
    <row r="3944" ht="15.75" customHeight="1">
      <c r="A3944" s="115">
        <f t="shared" si="29"/>
        <v>4763</v>
      </c>
      <c r="B3944" s="49" t="s">
        <v>12866</v>
      </c>
      <c r="C3944" s="272" t="s">
        <v>31</v>
      </c>
      <c r="D3944" s="55" t="s">
        <v>12868</v>
      </c>
      <c r="E3944" s="49"/>
      <c r="F3944" s="49" t="s">
        <v>29</v>
      </c>
      <c r="G3944" s="49" t="s">
        <v>37</v>
      </c>
      <c r="H3944" s="49"/>
      <c r="I3944" s="49" t="s">
        <v>38</v>
      </c>
      <c r="J3944" s="49">
        <v>145.0</v>
      </c>
      <c r="K3944" s="49"/>
      <c r="L3944" s="49" t="s">
        <v>13331</v>
      </c>
      <c r="M3944" s="49" t="s">
        <v>54</v>
      </c>
      <c r="N3944" s="49">
        <v>1992.0</v>
      </c>
      <c r="O3944" s="49" t="s">
        <v>388</v>
      </c>
      <c r="P3944" s="49">
        <v>1.0</v>
      </c>
      <c r="Q3944" s="56"/>
      <c r="R3944" s="288"/>
      <c r="S3944" s="34"/>
      <c r="T3944" s="34"/>
      <c r="U3944" s="34"/>
      <c r="V3944" s="34"/>
      <c r="W3944" s="34"/>
      <c r="X3944" s="34"/>
      <c r="Y3944" s="284"/>
      <c r="Z3944" s="284"/>
      <c r="AA3944" s="284"/>
      <c r="AB3944" s="284"/>
      <c r="AC3944" s="284"/>
      <c r="AD3944" s="284"/>
      <c r="AE3944" s="284"/>
      <c r="AF3944" s="284"/>
      <c r="AG3944" s="284"/>
      <c r="AH3944" s="284"/>
      <c r="AI3944" s="284"/>
      <c r="AJ3944" s="284"/>
      <c r="AK3944" s="284"/>
      <c r="AL3944" s="284"/>
    </row>
    <row r="3945" ht="15.75" customHeight="1">
      <c r="A3945" s="115">
        <f t="shared" si="29"/>
        <v>4764</v>
      </c>
      <c r="B3945" s="49" t="s">
        <v>31</v>
      </c>
      <c r="C3945" s="272" t="s">
        <v>31</v>
      </c>
      <c r="D3945" s="55" t="s">
        <v>13332</v>
      </c>
      <c r="E3945" s="49" t="s">
        <v>31</v>
      </c>
      <c r="F3945" s="49" t="s">
        <v>29</v>
      </c>
      <c r="G3945" s="49" t="s">
        <v>30</v>
      </c>
      <c r="H3945" s="49"/>
      <c r="I3945" s="49" t="s">
        <v>30</v>
      </c>
      <c r="J3945" s="49">
        <v>35.0</v>
      </c>
      <c r="K3945" s="49"/>
      <c r="L3945" s="49" t="s">
        <v>31</v>
      </c>
      <c r="M3945" s="49" t="s">
        <v>31</v>
      </c>
      <c r="N3945" s="49" t="s">
        <v>31</v>
      </c>
      <c r="O3945" s="49" t="s">
        <v>388</v>
      </c>
      <c r="P3945" s="49">
        <v>1.0</v>
      </c>
      <c r="Q3945" s="56"/>
      <c r="R3945" s="288"/>
      <c r="S3945" s="34"/>
      <c r="T3945" s="34"/>
      <c r="U3945" s="34"/>
      <c r="V3945" s="34"/>
      <c r="W3945" s="34"/>
      <c r="X3945" s="34"/>
      <c r="Y3945" s="284"/>
      <c r="Z3945" s="284"/>
      <c r="AA3945" s="284"/>
      <c r="AB3945" s="284"/>
      <c r="AC3945" s="284"/>
      <c r="AD3945" s="284"/>
      <c r="AE3945" s="284"/>
      <c r="AF3945" s="284"/>
      <c r="AG3945" s="284"/>
      <c r="AH3945" s="284"/>
      <c r="AI3945" s="284"/>
      <c r="AJ3945" s="284"/>
      <c r="AK3945" s="284"/>
      <c r="AL3945" s="284"/>
    </row>
    <row r="3946" ht="15.75" customHeight="1">
      <c r="A3946" s="115">
        <f t="shared" si="29"/>
        <v>4765</v>
      </c>
      <c r="B3946" s="49" t="s">
        <v>31</v>
      </c>
      <c r="C3946" s="272" t="s">
        <v>31</v>
      </c>
      <c r="D3946" s="55" t="s">
        <v>13333</v>
      </c>
      <c r="E3946" s="49" t="s">
        <v>31</v>
      </c>
      <c r="F3946" s="49" t="s">
        <v>29</v>
      </c>
      <c r="G3946" s="49" t="s">
        <v>30</v>
      </c>
      <c r="H3946" s="49"/>
      <c r="I3946" s="49" t="s">
        <v>30</v>
      </c>
      <c r="J3946" s="49">
        <v>44.0</v>
      </c>
      <c r="K3946" s="49"/>
      <c r="L3946" s="49" t="s">
        <v>13285</v>
      </c>
      <c r="M3946" s="49" t="s">
        <v>13286</v>
      </c>
      <c r="N3946" s="49" t="s">
        <v>31</v>
      </c>
      <c r="O3946" s="49" t="s">
        <v>388</v>
      </c>
      <c r="P3946" s="49">
        <v>2.0</v>
      </c>
      <c r="Q3946" s="56"/>
      <c r="R3946" s="288"/>
      <c r="S3946" s="34"/>
      <c r="T3946" s="34"/>
      <c r="U3946" s="34"/>
      <c r="V3946" s="34"/>
      <c r="W3946" s="34"/>
      <c r="X3946" s="34"/>
      <c r="Y3946" s="284"/>
      <c r="Z3946" s="284"/>
      <c r="AA3946" s="284"/>
      <c r="AB3946" s="284"/>
      <c r="AC3946" s="284"/>
      <c r="AD3946" s="284"/>
      <c r="AE3946" s="284"/>
      <c r="AF3946" s="284"/>
      <c r="AG3946" s="284"/>
      <c r="AH3946" s="284"/>
      <c r="AI3946" s="284"/>
      <c r="AJ3946" s="284"/>
      <c r="AK3946" s="284"/>
      <c r="AL3946" s="284"/>
    </row>
    <row r="3947" ht="15.75" customHeight="1">
      <c r="A3947" s="115">
        <f t="shared" si="29"/>
        <v>4766</v>
      </c>
      <c r="B3947" s="49" t="s">
        <v>13334</v>
      </c>
      <c r="C3947" s="272" t="s">
        <v>31</v>
      </c>
      <c r="D3947" s="55" t="s">
        <v>13335</v>
      </c>
      <c r="E3947" s="49"/>
      <c r="F3947" s="49"/>
      <c r="G3947" s="49" t="s">
        <v>12291</v>
      </c>
      <c r="H3947" s="49"/>
      <c r="I3947" s="49" t="s">
        <v>38</v>
      </c>
      <c r="J3947" s="49">
        <v>80.0</v>
      </c>
      <c r="K3947" s="49"/>
      <c r="L3947" s="49" t="s">
        <v>13336</v>
      </c>
      <c r="M3947" s="49" t="s">
        <v>12292</v>
      </c>
      <c r="N3947" s="49" t="s">
        <v>31</v>
      </c>
      <c r="O3947" s="49" t="s">
        <v>388</v>
      </c>
      <c r="P3947" s="49">
        <v>1.0</v>
      </c>
      <c r="Q3947" s="56"/>
      <c r="R3947" s="288"/>
      <c r="S3947" s="34"/>
      <c r="T3947" s="34"/>
      <c r="U3947" s="34"/>
      <c r="V3947" s="34"/>
      <c r="W3947" s="34"/>
      <c r="X3947" s="34"/>
      <c r="Y3947" s="284"/>
      <c r="Z3947" s="284"/>
      <c r="AA3947" s="284"/>
      <c r="AB3947" s="284"/>
      <c r="AC3947" s="284"/>
      <c r="AD3947" s="284"/>
      <c r="AE3947" s="284"/>
      <c r="AF3947" s="284"/>
      <c r="AG3947" s="284"/>
      <c r="AH3947" s="284"/>
      <c r="AI3947" s="284"/>
      <c r="AJ3947" s="284"/>
      <c r="AK3947" s="284"/>
      <c r="AL3947" s="284"/>
    </row>
    <row r="3948" ht="15.75" customHeight="1">
      <c r="A3948" s="115">
        <f t="shared" si="29"/>
        <v>4767</v>
      </c>
      <c r="B3948" s="49" t="s">
        <v>13337</v>
      </c>
      <c r="C3948" s="272" t="s">
        <v>31</v>
      </c>
      <c r="D3948" s="55" t="s">
        <v>13338</v>
      </c>
      <c r="E3948" s="49"/>
      <c r="F3948" s="49" t="s">
        <v>29</v>
      </c>
      <c r="G3948" s="49" t="s">
        <v>37</v>
      </c>
      <c r="H3948" s="49"/>
      <c r="I3948" s="49" t="s">
        <v>38</v>
      </c>
      <c r="J3948" s="49">
        <v>201.0</v>
      </c>
      <c r="K3948" s="49"/>
      <c r="L3948" s="49" t="s">
        <v>8878</v>
      </c>
      <c r="M3948" s="49" t="s">
        <v>13339</v>
      </c>
      <c r="N3948" s="49">
        <v>1992.0</v>
      </c>
      <c r="O3948" s="49" t="s">
        <v>388</v>
      </c>
      <c r="P3948" s="49">
        <v>1.0</v>
      </c>
      <c r="Q3948" s="56"/>
      <c r="R3948" s="288"/>
      <c r="S3948" s="34"/>
      <c r="T3948" s="34"/>
      <c r="U3948" s="34"/>
      <c r="V3948" s="34"/>
      <c r="W3948" s="34"/>
      <c r="X3948" s="34"/>
      <c r="Y3948" s="284"/>
      <c r="Z3948" s="284"/>
      <c r="AA3948" s="284"/>
      <c r="AB3948" s="284"/>
      <c r="AC3948" s="284"/>
      <c r="AD3948" s="284"/>
      <c r="AE3948" s="284"/>
      <c r="AF3948" s="284"/>
      <c r="AG3948" s="284"/>
      <c r="AH3948" s="284"/>
      <c r="AI3948" s="284"/>
      <c r="AJ3948" s="284"/>
      <c r="AK3948" s="284"/>
      <c r="AL3948" s="284"/>
    </row>
    <row r="3949" ht="15.75" customHeight="1">
      <c r="A3949" s="115">
        <f t="shared" si="29"/>
        <v>4768</v>
      </c>
      <c r="B3949" s="49" t="s">
        <v>31</v>
      </c>
      <c r="C3949" s="272" t="s">
        <v>31</v>
      </c>
      <c r="D3949" s="55" t="s">
        <v>13340</v>
      </c>
      <c r="E3949" s="49" t="s">
        <v>31</v>
      </c>
      <c r="F3949" s="49" t="s">
        <v>29</v>
      </c>
      <c r="G3949" s="49" t="s">
        <v>30</v>
      </c>
      <c r="H3949" s="49"/>
      <c r="I3949" s="49" t="s">
        <v>30</v>
      </c>
      <c r="J3949" s="49">
        <v>77.0</v>
      </c>
      <c r="K3949" s="49"/>
      <c r="L3949" s="49" t="s">
        <v>12961</v>
      </c>
      <c r="M3949" s="49" t="s">
        <v>31</v>
      </c>
      <c r="N3949" s="49">
        <v>1992.0</v>
      </c>
      <c r="O3949" s="49" t="s">
        <v>388</v>
      </c>
      <c r="P3949" s="49">
        <v>1.0</v>
      </c>
      <c r="Q3949" s="56"/>
      <c r="R3949" s="288"/>
      <c r="S3949" s="34"/>
      <c r="T3949" s="34"/>
      <c r="U3949" s="34"/>
      <c r="V3949" s="34"/>
      <c r="W3949" s="34"/>
      <c r="X3949" s="34"/>
      <c r="Y3949" s="284"/>
      <c r="Z3949" s="284"/>
      <c r="AA3949" s="284"/>
      <c r="AB3949" s="284"/>
      <c r="AC3949" s="284"/>
      <c r="AD3949" s="284"/>
      <c r="AE3949" s="284"/>
      <c r="AF3949" s="284"/>
      <c r="AG3949" s="284"/>
      <c r="AH3949" s="284"/>
      <c r="AI3949" s="284"/>
      <c r="AJ3949" s="284"/>
      <c r="AK3949" s="284"/>
      <c r="AL3949" s="284"/>
    </row>
    <row r="3950" ht="15.75" customHeight="1">
      <c r="A3950" s="115">
        <f t="shared" si="29"/>
        <v>4769</v>
      </c>
      <c r="B3950" s="49" t="s">
        <v>31</v>
      </c>
      <c r="C3950" s="272" t="s">
        <v>31</v>
      </c>
      <c r="D3950" s="55" t="s">
        <v>13341</v>
      </c>
      <c r="E3950" s="49"/>
      <c r="F3950" s="49" t="s">
        <v>29</v>
      </c>
      <c r="G3950" s="49" t="s">
        <v>30</v>
      </c>
      <c r="H3950" s="49"/>
      <c r="I3950" s="49" t="s">
        <v>30</v>
      </c>
      <c r="J3950" s="49">
        <v>86.0</v>
      </c>
      <c r="K3950" s="49"/>
      <c r="L3950" s="49" t="s">
        <v>13342</v>
      </c>
      <c r="M3950" s="49" t="s">
        <v>151</v>
      </c>
      <c r="N3950" s="49">
        <v>1990.0</v>
      </c>
      <c r="O3950" s="49" t="s">
        <v>388</v>
      </c>
      <c r="P3950" s="49">
        <v>1.0</v>
      </c>
      <c r="Q3950" s="56"/>
      <c r="R3950" s="288"/>
      <c r="S3950" s="34"/>
      <c r="T3950" s="34"/>
      <c r="U3950" s="34"/>
      <c r="V3950" s="34"/>
      <c r="W3950" s="34"/>
      <c r="X3950" s="34"/>
      <c r="Y3950" s="284"/>
      <c r="Z3950" s="284"/>
      <c r="AA3950" s="284"/>
      <c r="AB3950" s="284"/>
      <c r="AC3950" s="284"/>
      <c r="AD3950" s="284"/>
      <c r="AE3950" s="284"/>
      <c r="AF3950" s="284"/>
      <c r="AG3950" s="284"/>
      <c r="AH3950" s="284"/>
      <c r="AI3950" s="284"/>
      <c r="AJ3950" s="284"/>
      <c r="AK3950" s="284"/>
      <c r="AL3950" s="284"/>
    </row>
    <row r="3951" ht="15.75" customHeight="1">
      <c r="A3951" s="115">
        <f t="shared" si="29"/>
        <v>4770</v>
      </c>
      <c r="B3951" s="49" t="s">
        <v>31</v>
      </c>
      <c r="C3951" s="272" t="s">
        <v>31</v>
      </c>
      <c r="D3951" s="55" t="s">
        <v>13343</v>
      </c>
      <c r="E3951" s="49"/>
      <c r="F3951" s="49" t="s">
        <v>29</v>
      </c>
      <c r="G3951" s="49" t="s">
        <v>30</v>
      </c>
      <c r="H3951" s="49"/>
      <c r="I3951" s="49" t="s">
        <v>30</v>
      </c>
      <c r="J3951" s="49">
        <v>135.0</v>
      </c>
      <c r="K3951" s="49"/>
      <c r="L3951" s="49" t="s">
        <v>13342</v>
      </c>
      <c r="M3951" s="49" t="s">
        <v>151</v>
      </c>
      <c r="N3951" s="49">
        <v>1989.0</v>
      </c>
      <c r="O3951" s="49" t="s">
        <v>388</v>
      </c>
      <c r="P3951" s="49">
        <v>1.0</v>
      </c>
      <c r="Q3951" s="56"/>
      <c r="R3951" s="288"/>
      <c r="S3951" s="34"/>
      <c r="T3951" s="34"/>
      <c r="U3951" s="34"/>
      <c r="V3951" s="34"/>
      <c r="W3951" s="34"/>
      <c r="X3951" s="34"/>
      <c r="Y3951" s="284"/>
      <c r="Z3951" s="284"/>
      <c r="AA3951" s="284"/>
      <c r="AB3951" s="284"/>
      <c r="AC3951" s="284"/>
      <c r="AD3951" s="284"/>
      <c r="AE3951" s="284"/>
      <c r="AF3951" s="284"/>
      <c r="AG3951" s="284"/>
      <c r="AH3951" s="284"/>
      <c r="AI3951" s="284"/>
      <c r="AJ3951" s="284"/>
      <c r="AK3951" s="284"/>
      <c r="AL3951" s="284"/>
    </row>
    <row r="3952" ht="15.75" customHeight="1">
      <c r="A3952" s="115">
        <f t="shared" si="29"/>
        <v>4771</v>
      </c>
      <c r="B3952" s="49" t="s">
        <v>13344</v>
      </c>
      <c r="C3952" s="272" t="s">
        <v>31</v>
      </c>
      <c r="D3952" s="55" t="s">
        <v>13345</v>
      </c>
      <c r="E3952" s="49"/>
      <c r="F3952" s="49" t="s">
        <v>29</v>
      </c>
      <c r="G3952" s="49" t="s">
        <v>30</v>
      </c>
      <c r="H3952" s="49" t="s">
        <v>31</v>
      </c>
      <c r="I3952" s="49" t="s">
        <v>30</v>
      </c>
      <c r="J3952" s="49">
        <v>224.0</v>
      </c>
      <c r="K3952" s="49"/>
      <c r="L3952" s="49" t="s">
        <v>13346</v>
      </c>
      <c r="M3952" s="49" t="s">
        <v>2494</v>
      </c>
      <c r="N3952" s="49">
        <v>1992.0</v>
      </c>
      <c r="O3952" s="49" t="s">
        <v>388</v>
      </c>
      <c r="P3952" s="49">
        <v>1.0</v>
      </c>
      <c r="Q3952" s="56"/>
      <c r="R3952" s="288"/>
      <c r="S3952" s="34"/>
      <c r="T3952" s="34"/>
      <c r="U3952" s="34"/>
      <c r="V3952" s="34"/>
      <c r="W3952" s="34"/>
      <c r="X3952" s="34"/>
      <c r="Y3952" s="284"/>
      <c r="Z3952" s="284"/>
      <c r="AA3952" s="284"/>
      <c r="AB3952" s="284"/>
      <c r="AC3952" s="284"/>
      <c r="AD3952" s="284"/>
      <c r="AE3952" s="284"/>
      <c r="AF3952" s="284"/>
      <c r="AG3952" s="284"/>
      <c r="AH3952" s="284"/>
      <c r="AI3952" s="284"/>
      <c r="AJ3952" s="284"/>
      <c r="AK3952" s="284"/>
      <c r="AL3952" s="284"/>
    </row>
    <row r="3953" ht="15.75" customHeight="1">
      <c r="A3953" s="115">
        <f t="shared" si="29"/>
        <v>4772</v>
      </c>
      <c r="B3953" s="49" t="s">
        <v>31</v>
      </c>
      <c r="C3953" s="272" t="s">
        <v>31</v>
      </c>
      <c r="D3953" s="55" t="s">
        <v>13347</v>
      </c>
      <c r="E3953" s="49" t="s">
        <v>31</v>
      </c>
      <c r="F3953" s="49" t="s">
        <v>29</v>
      </c>
      <c r="G3953" s="49" t="s">
        <v>37</v>
      </c>
      <c r="H3953" s="49"/>
      <c r="I3953" s="49" t="s">
        <v>131</v>
      </c>
      <c r="J3953" s="49">
        <v>176.0</v>
      </c>
      <c r="K3953" s="49"/>
      <c r="L3953" s="49" t="s">
        <v>13348</v>
      </c>
      <c r="M3953" s="49" t="s">
        <v>13349</v>
      </c>
      <c r="N3953" s="49">
        <v>1960.0</v>
      </c>
      <c r="O3953" s="49" t="s">
        <v>388</v>
      </c>
      <c r="P3953" s="49">
        <v>1.0</v>
      </c>
      <c r="Q3953" s="56"/>
      <c r="R3953" s="288"/>
      <c r="S3953" s="34"/>
      <c r="T3953" s="34"/>
      <c r="U3953" s="34"/>
      <c r="V3953" s="34"/>
      <c r="W3953" s="34"/>
      <c r="X3953" s="34"/>
      <c r="Y3953" s="284"/>
      <c r="Z3953" s="284"/>
      <c r="AA3953" s="284"/>
      <c r="AB3953" s="284"/>
      <c r="AC3953" s="284"/>
      <c r="AD3953" s="284"/>
      <c r="AE3953" s="284"/>
      <c r="AF3953" s="284"/>
      <c r="AG3953" s="284"/>
      <c r="AH3953" s="284"/>
      <c r="AI3953" s="284"/>
      <c r="AJ3953" s="284"/>
      <c r="AK3953" s="284"/>
      <c r="AL3953" s="284"/>
    </row>
    <row r="3954" ht="15.75" customHeight="1">
      <c r="A3954" s="115">
        <f t="shared" si="29"/>
        <v>4773</v>
      </c>
      <c r="B3954" s="49" t="s">
        <v>13350</v>
      </c>
      <c r="C3954" s="272" t="s">
        <v>31</v>
      </c>
      <c r="D3954" s="55" t="s">
        <v>13351</v>
      </c>
      <c r="E3954" s="49" t="s">
        <v>31</v>
      </c>
      <c r="F3954" s="49" t="s">
        <v>29</v>
      </c>
      <c r="G3954" s="49" t="s">
        <v>98</v>
      </c>
      <c r="H3954" s="49"/>
      <c r="I3954" s="49" t="s">
        <v>98</v>
      </c>
      <c r="J3954" s="49">
        <v>167.0</v>
      </c>
      <c r="K3954" s="49"/>
      <c r="L3954" s="49" t="s">
        <v>8327</v>
      </c>
      <c r="M3954" s="49" t="s">
        <v>13352</v>
      </c>
      <c r="N3954" s="49">
        <v>1980.0</v>
      </c>
      <c r="O3954" s="49" t="s">
        <v>388</v>
      </c>
      <c r="P3954" s="49">
        <v>1.0</v>
      </c>
      <c r="Q3954" s="56"/>
      <c r="R3954" s="288"/>
      <c r="S3954" s="34"/>
      <c r="T3954" s="34"/>
      <c r="U3954" s="34"/>
      <c r="V3954" s="34"/>
      <c r="W3954" s="34"/>
      <c r="X3954" s="34"/>
      <c r="Y3954" s="284"/>
      <c r="Z3954" s="284"/>
      <c r="AA3954" s="284"/>
      <c r="AB3954" s="284"/>
      <c r="AC3954" s="284"/>
      <c r="AD3954" s="284"/>
      <c r="AE3954" s="284"/>
      <c r="AF3954" s="284"/>
      <c r="AG3954" s="284"/>
      <c r="AH3954" s="284"/>
      <c r="AI3954" s="284"/>
      <c r="AJ3954" s="284"/>
      <c r="AK3954" s="284"/>
      <c r="AL3954" s="284"/>
    </row>
    <row r="3955" ht="15.75" customHeight="1">
      <c r="A3955" s="115">
        <f t="shared" si="29"/>
        <v>4774</v>
      </c>
      <c r="B3955" s="49" t="s">
        <v>31</v>
      </c>
      <c r="C3955" s="272" t="s">
        <v>31</v>
      </c>
      <c r="D3955" s="55" t="s">
        <v>13353</v>
      </c>
      <c r="E3955" s="49" t="s">
        <v>31</v>
      </c>
      <c r="F3955" s="49" t="s">
        <v>29</v>
      </c>
      <c r="G3955" s="49" t="s">
        <v>30</v>
      </c>
      <c r="H3955" s="49"/>
      <c r="I3955" s="49" t="s">
        <v>30</v>
      </c>
      <c r="J3955" s="49">
        <v>51.0</v>
      </c>
      <c r="K3955" s="49"/>
      <c r="L3955" s="49" t="s">
        <v>13354</v>
      </c>
      <c r="M3955" s="49" t="s">
        <v>31</v>
      </c>
      <c r="N3955" s="49">
        <v>1984.0</v>
      </c>
      <c r="O3955" s="49" t="s">
        <v>388</v>
      </c>
      <c r="P3955" s="49">
        <v>1.0</v>
      </c>
      <c r="Q3955" s="56"/>
      <c r="R3955" s="288"/>
      <c r="S3955" s="34"/>
      <c r="T3955" s="34"/>
      <c r="U3955" s="34"/>
      <c r="V3955" s="34"/>
      <c r="W3955" s="34"/>
      <c r="X3955" s="34"/>
      <c r="Y3955" s="284"/>
      <c r="Z3955" s="284"/>
      <c r="AA3955" s="284"/>
      <c r="AB3955" s="284"/>
      <c r="AC3955" s="284"/>
      <c r="AD3955" s="284"/>
      <c r="AE3955" s="284"/>
      <c r="AF3955" s="284"/>
      <c r="AG3955" s="284"/>
      <c r="AH3955" s="284"/>
      <c r="AI3955" s="284"/>
      <c r="AJ3955" s="284"/>
      <c r="AK3955" s="284"/>
      <c r="AL3955" s="284"/>
    </row>
    <row r="3956" ht="15.75" customHeight="1">
      <c r="A3956" s="115">
        <f t="shared" si="29"/>
        <v>4775</v>
      </c>
      <c r="B3956" s="49" t="s">
        <v>31</v>
      </c>
      <c r="C3956" s="272" t="s">
        <v>31</v>
      </c>
      <c r="D3956" s="55" t="s">
        <v>13355</v>
      </c>
      <c r="E3956" s="49"/>
      <c r="F3956" s="49" t="s">
        <v>29</v>
      </c>
      <c r="G3956" s="49" t="s">
        <v>31</v>
      </c>
      <c r="H3956" s="49"/>
      <c r="I3956" s="49" t="s">
        <v>31</v>
      </c>
      <c r="J3956" s="49">
        <v>424.0</v>
      </c>
      <c r="K3956" s="49"/>
      <c r="L3956" s="49" t="s">
        <v>31</v>
      </c>
      <c r="M3956" s="49" t="s">
        <v>13356</v>
      </c>
      <c r="N3956" s="49">
        <v>1987.0</v>
      </c>
      <c r="O3956" s="49" t="s">
        <v>388</v>
      </c>
      <c r="P3956" s="49">
        <v>1.0</v>
      </c>
      <c r="Q3956" s="56"/>
      <c r="R3956" s="288"/>
      <c r="S3956" s="34"/>
      <c r="T3956" s="34"/>
      <c r="U3956" s="34"/>
      <c r="V3956" s="34"/>
      <c r="W3956" s="34"/>
      <c r="X3956" s="34"/>
      <c r="Y3956" s="59"/>
      <c r="Z3956" s="59"/>
      <c r="AA3956" s="59"/>
      <c r="AB3956" s="59"/>
      <c r="AC3956" s="59"/>
      <c r="AD3956" s="59"/>
      <c r="AE3956" s="59"/>
      <c r="AF3956" s="59"/>
      <c r="AG3956" s="59"/>
      <c r="AH3956" s="59"/>
      <c r="AI3956" s="59"/>
      <c r="AJ3956" s="59"/>
      <c r="AK3956" s="59"/>
      <c r="AL3956" s="59"/>
    </row>
    <row r="3957" ht="15.75" customHeight="1">
      <c r="A3957" s="115">
        <f t="shared" si="29"/>
        <v>4776</v>
      </c>
      <c r="B3957" s="49" t="s">
        <v>13357</v>
      </c>
      <c r="C3957" s="272" t="s">
        <v>31</v>
      </c>
      <c r="D3957" s="55" t="s">
        <v>1230</v>
      </c>
      <c r="E3957" s="49" t="s">
        <v>28</v>
      </c>
      <c r="F3957" s="49" t="s">
        <v>29</v>
      </c>
      <c r="G3957" s="49" t="s">
        <v>98</v>
      </c>
      <c r="H3957" s="49"/>
      <c r="I3957" s="49" t="s">
        <v>1195</v>
      </c>
      <c r="J3957" s="49">
        <v>779.0</v>
      </c>
      <c r="K3957" s="49"/>
      <c r="L3957" s="49" t="s">
        <v>11765</v>
      </c>
      <c r="M3957" s="321" t="s">
        <v>1231</v>
      </c>
      <c r="N3957" s="49">
        <v>1991.0</v>
      </c>
      <c r="O3957" s="49" t="s">
        <v>388</v>
      </c>
      <c r="P3957" s="49">
        <v>1.0</v>
      </c>
      <c r="Q3957" s="56"/>
      <c r="R3957" s="288"/>
      <c r="S3957" s="34"/>
      <c r="T3957" s="34"/>
      <c r="U3957" s="34"/>
      <c r="V3957" s="34"/>
      <c r="W3957" s="34"/>
      <c r="X3957" s="34"/>
      <c r="Y3957" s="284"/>
      <c r="Z3957" s="284"/>
      <c r="AA3957" s="284"/>
      <c r="AB3957" s="284"/>
      <c r="AC3957" s="284"/>
      <c r="AD3957" s="284"/>
      <c r="AE3957" s="284"/>
      <c r="AF3957" s="284"/>
      <c r="AG3957" s="284"/>
      <c r="AH3957" s="284"/>
      <c r="AI3957" s="284"/>
      <c r="AJ3957" s="284"/>
      <c r="AK3957" s="284"/>
      <c r="AL3957" s="284"/>
    </row>
    <row r="3958" ht="15.75" customHeight="1">
      <c r="A3958" s="115">
        <f t="shared" si="29"/>
        <v>4777</v>
      </c>
      <c r="B3958" s="49" t="s">
        <v>13358</v>
      </c>
      <c r="C3958" s="272" t="s">
        <v>31</v>
      </c>
      <c r="D3958" s="55" t="s">
        <v>13359</v>
      </c>
      <c r="E3958" s="49" t="s">
        <v>31</v>
      </c>
      <c r="F3958" s="49" t="s">
        <v>29</v>
      </c>
      <c r="G3958" s="49" t="s">
        <v>37</v>
      </c>
      <c r="H3958" s="49"/>
      <c r="I3958" s="49" t="s">
        <v>38</v>
      </c>
      <c r="J3958" s="49">
        <v>60.0</v>
      </c>
      <c r="K3958" s="49"/>
      <c r="L3958" s="49" t="s">
        <v>5943</v>
      </c>
      <c r="M3958" s="49" t="s">
        <v>6009</v>
      </c>
      <c r="N3958" s="49">
        <v>2000.0</v>
      </c>
      <c r="O3958" s="49" t="s">
        <v>388</v>
      </c>
      <c r="P3958" s="49">
        <v>1.0</v>
      </c>
      <c r="Q3958" s="56"/>
      <c r="R3958" s="288"/>
      <c r="S3958" s="116"/>
      <c r="T3958" s="116"/>
      <c r="U3958" s="116"/>
      <c r="V3958" s="116"/>
      <c r="W3958" s="116"/>
      <c r="X3958" s="116"/>
      <c r="Y3958" s="284"/>
      <c r="Z3958" s="284"/>
      <c r="AA3958" s="284"/>
      <c r="AB3958" s="284"/>
      <c r="AC3958" s="284"/>
      <c r="AD3958" s="284"/>
      <c r="AE3958" s="284"/>
      <c r="AF3958" s="284"/>
      <c r="AG3958" s="284"/>
      <c r="AH3958" s="284"/>
      <c r="AI3958" s="284"/>
      <c r="AJ3958" s="284"/>
      <c r="AK3958" s="284"/>
      <c r="AL3958" s="284"/>
    </row>
    <row r="3959" ht="15.75" customHeight="1">
      <c r="A3959" s="115">
        <f t="shared" si="29"/>
        <v>4778</v>
      </c>
      <c r="B3959" s="49"/>
      <c r="C3959" s="272" t="s">
        <v>31</v>
      </c>
      <c r="D3959" s="55" t="s">
        <v>13360</v>
      </c>
      <c r="E3959" s="49"/>
      <c r="F3959" s="49"/>
      <c r="G3959" s="49" t="s">
        <v>12291</v>
      </c>
      <c r="H3959" s="49"/>
      <c r="I3959" s="49" t="s">
        <v>38</v>
      </c>
      <c r="J3959" s="49">
        <v>64.0</v>
      </c>
      <c r="K3959" s="49"/>
      <c r="L3959" s="49" t="s">
        <v>13361</v>
      </c>
      <c r="M3959" s="49" t="s">
        <v>12292</v>
      </c>
      <c r="N3959" s="49">
        <v>1983.0</v>
      </c>
      <c r="O3959" s="49" t="s">
        <v>388</v>
      </c>
      <c r="P3959" s="49">
        <v>1.0</v>
      </c>
      <c r="Q3959" s="56"/>
      <c r="R3959" s="288"/>
      <c r="S3959" s="34"/>
      <c r="T3959" s="34"/>
      <c r="U3959" s="34"/>
      <c r="V3959" s="34"/>
      <c r="W3959" s="34"/>
      <c r="X3959" s="34"/>
      <c r="Y3959" s="284"/>
      <c r="Z3959" s="284"/>
      <c r="AA3959" s="284"/>
      <c r="AB3959" s="284"/>
      <c r="AC3959" s="284"/>
      <c r="AD3959" s="284"/>
      <c r="AE3959" s="284"/>
      <c r="AF3959" s="284"/>
      <c r="AG3959" s="284"/>
      <c r="AH3959" s="284"/>
      <c r="AI3959" s="284"/>
      <c r="AJ3959" s="284"/>
      <c r="AK3959" s="284"/>
      <c r="AL3959" s="284"/>
    </row>
    <row r="3960" ht="15.75" customHeight="1">
      <c r="A3960" s="115">
        <f t="shared" si="29"/>
        <v>4779</v>
      </c>
      <c r="B3960" s="49"/>
      <c r="C3960" s="272" t="s">
        <v>31</v>
      </c>
      <c r="D3960" s="55" t="s">
        <v>13362</v>
      </c>
      <c r="E3960" s="49"/>
      <c r="F3960" s="49"/>
      <c r="G3960" s="49" t="s">
        <v>12291</v>
      </c>
      <c r="H3960" s="49"/>
      <c r="I3960" s="49" t="s">
        <v>38</v>
      </c>
      <c r="J3960" s="49">
        <v>80.0</v>
      </c>
      <c r="K3960" s="49"/>
      <c r="L3960" s="49" t="s">
        <v>13363</v>
      </c>
      <c r="M3960" s="49" t="s">
        <v>12292</v>
      </c>
      <c r="N3960" s="49">
        <v>1983.0</v>
      </c>
      <c r="O3960" s="49" t="s">
        <v>388</v>
      </c>
      <c r="P3960" s="49">
        <v>1.0</v>
      </c>
      <c r="Q3960" s="56"/>
      <c r="R3960" s="288"/>
      <c r="S3960" s="34"/>
      <c r="T3960" s="34"/>
      <c r="U3960" s="34"/>
      <c r="V3960" s="34"/>
      <c r="W3960" s="34"/>
      <c r="X3960" s="34"/>
      <c r="Y3960" s="284"/>
      <c r="Z3960" s="284"/>
      <c r="AA3960" s="284"/>
      <c r="AB3960" s="284"/>
      <c r="AC3960" s="284"/>
      <c r="AD3960" s="284"/>
      <c r="AE3960" s="284"/>
      <c r="AF3960" s="284"/>
      <c r="AG3960" s="284"/>
      <c r="AH3960" s="284"/>
      <c r="AI3960" s="284"/>
      <c r="AJ3960" s="284"/>
      <c r="AK3960" s="284"/>
      <c r="AL3960" s="284"/>
    </row>
    <row r="3961" ht="15.75" customHeight="1">
      <c r="A3961" s="115">
        <f t="shared" si="29"/>
        <v>4780</v>
      </c>
      <c r="B3961" s="49" t="s">
        <v>13364</v>
      </c>
      <c r="C3961" s="272" t="s">
        <v>31</v>
      </c>
      <c r="D3961" s="314" t="s">
        <v>13365</v>
      </c>
      <c r="E3961" s="49" t="s">
        <v>28</v>
      </c>
      <c r="F3961" s="49" t="s">
        <v>29</v>
      </c>
      <c r="G3961" s="49" t="s">
        <v>98</v>
      </c>
      <c r="H3961" s="49"/>
      <c r="I3961" s="49" t="s">
        <v>98</v>
      </c>
      <c r="J3961" s="49">
        <v>779.0</v>
      </c>
      <c r="K3961" s="49"/>
      <c r="L3961" s="49" t="s">
        <v>31</v>
      </c>
      <c r="M3961" s="49" t="s">
        <v>1231</v>
      </c>
      <c r="N3961" s="49">
        <v>1981.0</v>
      </c>
      <c r="O3961" s="49" t="s">
        <v>388</v>
      </c>
      <c r="P3961" s="49">
        <v>1.0</v>
      </c>
      <c r="Q3961" s="56"/>
      <c r="R3961" s="288"/>
      <c r="S3961" s="34"/>
      <c r="T3961" s="34"/>
      <c r="U3961" s="34"/>
      <c r="V3961" s="34"/>
      <c r="W3961" s="34"/>
      <c r="X3961" s="34"/>
      <c r="Y3961" s="284"/>
      <c r="Z3961" s="284"/>
      <c r="AA3961" s="284"/>
      <c r="AB3961" s="284"/>
      <c r="AC3961" s="284"/>
      <c r="AD3961" s="284"/>
      <c r="AE3961" s="284"/>
      <c r="AF3961" s="284"/>
      <c r="AG3961" s="284"/>
      <c r="AH3961" s="284"/>
      <c r="AI3961" s="284"/>
      <c r="AJ3961" s="284"/>
      <c r="AK3961" s="284"/>
      <c r="AL3961" s="284"/>
    </row>
    <row r="3962" ht="15.75" customHeight="1">
      <c r="A3962" s="115">
        <f t="shared" si="29"/>
        <v>4781</v>
      </c>
      <c r="B3962" s="49" t="s">
        <v>13366</v>
      </c>
      <c r="C3962" s="272" t="s">
        <v>31</v>
      </c>
      <c r="D3962" s="314" t="s">
        <v>13367</v>
      </c>
      <c r="E3962" s="49" t="s">
        <v>31</v>
      </c>
      <c r="F3962" s="49" t="s">
        <v>29</v>
      </c>
      <c r="G3962" s="49" t="s">
        <v>30</v>
      </c>
      <c r="H3962" s="49"/>
      <c r="I3962" s="49" t="s">
        <v>30</v>
      </c>
      <c r="J3962" s="49">
        <v>50.0</v>
      </c>
      <c r="K3962" s="49"/>
      <c r="L3962" s="49" t="s">
        <v>13368</v>
      </c>
      <c r="M3962" s="49" t="s">
        <v>169</v>
      </c>
      <c r="N3962" s="49">
        <v>2008.0</v>
      </c>
      <c r="O3962" s="49" t="s">
        <v>388</v>
      </c>
      <c r="P3962" s="49">
        <v>1.0</v>
      </c>
      <c r="Q3962" s="56"/>
      <c r="R3962" s="288"/>
      <c r="S3962" s="34"/>
      <c r="T3962" s="34"/>
      <c r="U3962" s="34"/>
      <c r="V3962" s="34"/>
      <c r="W3962" s="34"/>
      <c r="X3962" s="34"/>
      <c r="Y3962" s="284"/>
      <c r="Z3962" s="284"/>
      <c r="AA3962" s="284"/>
      <c r="AB3962" s="284"/>
      <c r="AC3962" s="284"/>
      <c r="AD3962" s="284"/>
      <c r="AE3962" s="284"/>
      <c r="AF3962" s="284"/>
      <c r="AG3962" s="284"/>
      <c r="AH3962" s="284"/>
      <c r="AI3962" s="284"/>
      <c r="AJ3962" s="284"/>
      <c r="AK3962" s="284"/>
      <c r="AL3962" s="284"/>
    </row>
    <row r="3963" ht="15.75" customHeight="1">
      <c r="A3963" s="115">
        <f t="shared" si="29"/>
        <v>4782</v>
      </c>
      <c r="B3963" s="49" t="s">
        <v>13369</v>
      </c>
      <c r="C3963" s="272" t="s">
        <v>31</v>
      </c>
      <c r="D3963" s="55" t="s">
        <v>13370</v>
      </c>
      <c r="E3963" s="49"/>
      <c r="F3963" s="49"/>
      <c r="G3963" s="49" t="s">
        <v>38</v>
      </c>
      <c r="H3963" s="49"/>
      <c r="I3963" s="49" t="s">
        <v>38</v>
      </c>
      <c r="J3963" s="49">
        <v>77.0</v>
      </c>
      <c r="K3963" s="49"/>
      <c r="L3963" s="49" t="s">
        <v>13371</v>
      </c>
      <c r="M3963" s="49" t="s">
        <v>12196</v>
      </c>
      <c r="N3963" s="49">
        <v>1980.0</v>
      </c>
      <c r="O3963" s="49" t="s">
        <v>388</v>
      </c>
      <c r="P3963" s="49">
        <v>1.0</v>
      </c>
      <c r="Q3963" s="56"/>
      <c r="R3963" s="288"/>
      <c r="S3963" s="34"/>
      <c r="T3963" s="34"/>
      <c r="U3963" s="34"/>
      <c r="V3963" s="34"/>
      <c r="W3963" s="34"/>
      <c r="X3963" s="34"/>
      <c r="Y3963" s="59"/>
      <c r="Z3963" s="59"/>
      <c r="AA3963" s="59"/>
      <c r="AB3963" s="59"/>
      <c r="AC3963" s="59"/>
      <c r="AD3963" s="59"/>
      <c r="AE3963" s="59"/>
      <c r="AF3963" s="59"/>
      <c r="AG3963" s="59"/>
      <c r="AH3963" s="59"/>
      <c r="AI3963" s="59"/>
      <c r="AJ3963" s="59"/>
      <c r="AK3963" s="59"/>
      <c r="AL3963" s="59"/>
    </row>
    <row r="3964" ht="15.75" customHeight="1">
      <c r="A3964" s="115">
        <f t="shared" si="29"/>
        <v>4783</v>
      </c>
      <c r="B3964" s="49"/>
      <c r="C3964" s="272" t="s">
        <v>31</v>
      </c>
      <c r="D3964" s="55" t="s">
        <v>13372</v>
      </c>
      <c r="E3964" s="49" t="s">
        <v>31</v>
      </c>
      <c r="F3964" s="49" t="s">
        <v>29</v>
      </c>
      <c r="G3964" s="49" t="s">
        <v>8203</v>
      </c>
      <c r="H3964" s="49"/>
      <c r="I3964" s="49" t="s">
        <v>38</v>
      </c>
      <c r="J3964" s="49" t="s">
        <v>31</v>
      </c>
      <c r="K3964" s="49"/>
      <c r="L3964" s="49" t="s">
        <v>31</v>
      </c>
      <c r="M3964" s="49" t="s">
        <v>31</v>
      </c>
      <c r="N3964" s="49">
        <v>2001.0</v>
      </c>
      <c r="O3964" s="49" t="s">
        <v>388</v>
      </c>
      <c r="P3964" s="49">
        <v>1.0</v>
      </c>
      <c r="Q3964" s="56"/>
      <c r="R3964" s="288"/>
      <c r="S3964" s="34"/>
      <c r="T3964" s="34"/>
      <c r="U3964" s="34"/>
      <c r="V3964" s="34"/>
      <c r="W3964" s="34"/>
      <c r="X3964" s="34"/>
      <c r="Y3964" s="284"/>
      <c r="Z3964" s="284"/>
      <c r="AA3964" s="284"/>
      <c r="AB3964" s="284"/>
      <c r="AC3964" s="284"/>
      <c r="AD3964" s="284"/>
      <c r="AE3964" s="284"/>
      <c r="AF3964" s="284"/>
      <c r="AG3964" s="284"/>
      <c r="AH3964" s="284"/>
      <c r="AI3964" s="284"/>
      <c r="AJ3964" s="284"/>
      <c r="AK3964" s="284"/>
      <c r="AL3964" s="284"/>
    </row>
    <row r="3965" ht="15.75" customHeight="1">
      <c r="A3965" s="115">
        <f t="shared" si="29"/>
        <v>4784</v>
      </c>
      <c r="B3965" s="321" t="s">
        <v>31</v>
      </c>
      <c r="C3965" s="272" t="s">
        <v>31</v>
      </c>
      <c r="D3965" s="55" t="s">
        <v>13373</v>
      </c>
      <c r="E3965" s="49" t="s">
        <v>31</v>
      </c>
      <c r="F3965" s="49" t="s">
        <v>29</v>
      </c>
      <c r="G3965" s="49" t="s">
        <v>30</v>
      </c>
      <c r="H3965" s="49"/>
      <c r="I3965" s="49" t="s">
        <v>30</v>
      </c>
      <c r="J3965" s="49">
        <v>38.0</v>
      </c>
      <c r="K3965" s="49"/>
      <c r="L3965" s="49" t="s">
        <v>13374</v>
      </c>
      <c r="M3965" s="49" t="s">
        <v>13286</v>
      </c>
      <c r="N3965" s="49">
        <v>1990.0</v>
      </c>
      <c r="O3965" s="49" t="s">
        <v>388</v>
      </c>
      <c r="P3965" s="49">
        <v>1.0</v>
      </c>
      <c r="Q3965" s="56"/>
      <c r="R3965" s="288"/>
      <c r="S3965" s="34"/>
      <c r="T3965" s="34"/>
      <c r="U3965" s="34"/>
      <c r="V3965" s="34"/>
      <c r="W3965" s="34"/>
      <c r="X3965" s="34"/>
      <c r="Y3965" s="284"/>
      <c r="Z3965" s="284"/>
      <c r="AA3965" s="284"/>
      <c r="AB3965" s="284"/>
      <c r="AC3965" s="284"/>
      <c r="AD3965" s="284"/>
      <c r="AE3965" s="284"/>
      <c r="AF3965" s="284"/>
      <c r="AG3965" s="284"/>
      <c r="AH3965" s="284"/>
      <c r="AI3965" s="284"/>
      <c r="AJ3965" s="284"/>
      <c r="AK3965" s="284"/>
      <c r="AL3965" s="284"/>
    </row>
    <row r="3966" ht="15.75" customHeight="1">
      <c r="A3966" s="115">
        <f t="shared" si="29"/>
        <v>4785</v>
      </c>
      <c r="B3966" s="49" t="s">
        <v>13375</v>
      </c>
      <c r="C3966" s="272" t="s">
        <v>31</v>
      </c>
      <c r="D3966" s="55" t="s">
        <v>13376</v>
      </c>
      <c r="E3966" s="49" t="s">
        <v>31</v>
      </c>
      <c r="F3966" s="49" t="s">
        <v>29</v>
      </c>
      <c r="G3966" s="49" t="s">
        <v>30</v>
      </c>
      <c r="H3966" s="49"/>
      <c r="I3966" s="49" t="s">
        <v>30</v>
      </c>
      <c r="J3966" s="49">
        <v>48.0</v>
      </c>
      <c r="K3966" s="49"/>
      <c r="L3966" s="49" t="s">
        <v>13377</v>
      </c>
      <c r="M3966" s="49" t="s">
        <v>13378</v>
      </c>
      <c r="N3966" s="49">
        <v>2003.0</v>
      </c>
      <c r="O3966" s="49" t="s">
        <v>388</v>
      </c>
      <c r="P3966" s="49">
        <v>1.0</v>
      </c>
      <c r="Q3966" s="56"/>
      <c r="R3966" s="288"/>
      <c r="S3966" s="34"/>
      <c r="T3966" s="34"/>
      <c r="U3966" s="34"/>
      <c r="V3966" s="34"/>
      <c r="W3966" s="34"/>
      <c r="X3966" s="34"/>
      <c r="Y3966" s="284"/>
      <c r="Z3966" s="284"/>
      <c r="AA3966" s="284"/>
      <c r="AB3966" s="284"/>
      <c r="AC3966" s="284"/>
      <c r="AD3966" s="284"/>
      <c r="AE3966" s="284"/>
      <c r="AF3966" s="284"/>
      <c r="AG3966" s="284"/>
      <c r="AH3966" s="284"/>
      <c r="AI3966" s="284"/>
      <c r="AJ3966" s="284"/>
      <c r="AK3966" s="284"/>
      <c r="AL3966" s="284"/>
    </row>
    <row r="3967" ht="15.75" customHeight="1">
      <c r="A3967" s="115">
        <f t="shared" si="29"/>
        <v>4786</v>
      </c>
      <c r="B3967" s="321"/>
      <c r="C3967" s="272" t="s">
        <v>31</v>
      </c>
      <c r="D3967" s="55" t="s">
        <v>13379</v>
      </c>
      <c r="E3967" s="49" t="s">
        <v>31</v>
      </c>
      <c r="F3967" s="49" t="s">
        <v>29</v>
      </c>
      <c r="G3967" s="49" t="s">
        <v>13380</v>
      </c>
      <c r="H3967" s="49"/>
      <c r="I3967" s="49" t="s">
        <v>38</v>
      </c>
      <c r="J3967" s="49">
        <v>97.0</v>
      </c>
      <c r="K3967" s="49"/>
      <c r="L3967" s="49" t="s">
        <v>13260</v>
      </c>
      <c r="M3967" s="49" t="s">
        <v>2886</v>
      </c>
      <c r="N3967" s="49">
        <v>1980.0</v>
      </c>
      <c r="O3967" s="49" t="s">
        <v>388</v>
      </c>
      <c r="P3967" s="49">
        <v>1.0</v>
      </c>
      <c r="Q3967" s="56"/>
      <c r="R3967" s="288"/>
      <c r="S3967" s="116"/>
      <c r="T3967" s="116"/>
      <c r="U3967" s="116"/>
      <c r="V3967" s="116"/>
      <c r="W3967" s="116"/>
      <c r="X3967" s="116"/>
      <c r="Y3967" s="284"/>
      <c r="Z3967" s="284"/>
      <c r="AA3967" s="284"/>
      <c r="AB3967" s="284"/>
      <c r="AC3967" s="284"/>
      <c r="AD3967" s="284"/>
      <c r="AE3967" s="284"/>
      <c r="AF3967" s="284"/>
      <c r="AG3967" s="284"/>
      <c r="AH3967" s="284"/>
      <c r="AI3967" s="284"/>
      <c r="AJ3967" s="284"/>
      <c r="AK3967" s="284"/>
      <c r="AL3967" s="284"/>
    </row>
    <row r="3968" ht="15.75" customHeight="1">
      <c r="A3968" s="115">
        <f t="shared" si="29"/>
        <v>4787</v>
      </c>
      <c r="B3968" s="49" t="s">
        <v>31</v>
      </c>
      <c r="C3968" s="272" t="s">
        <v>31</v>
      </c>
      <c r="D3968" s="55" t="s">
        <v>13381</v>
      </c>
      <c r="E3968" s="49"/>
      <c r="F3968" s="49" t="s">
        <v>29</v>
      </c>
      <c r="G3968" s="49" t="s">
        <v>30</v>
      </c>
      <c r="H3968" s="49"/>
      <c r="I3968" s="49" t="s">
        <v>30</v>
      </c>
      <c r="J3968" s="49" t="s">
        <v>31</v>
      </c>
      <c r="K3968" s="49"/>
      <c r="L3968" s="49" t="s">
        <v>13382</v>
      </c>
      <c r="M3968" s="49" t="s">
        <v>31</v>
      </c>
      <c r="N3968" s="49">
        <v>2003.0</v>
      </c>
      <c r="O3968" s="49" t="s">
        <v>388</v>
      </c>
      <c r="P3968" s="49">
        <v>1.0</v>
      </c>
      <c r="Q3968" s="56"/>
      <c r="R3968" s="288"/>
      <c r="S3968" s="34"/>
      <c r="T3968" s="34"/>
      <c r="U3968" s="34"/>
      <c r="V3968" s="34"/>
      <c r="W3968" s="34"/>
      <c r="X3968" s="34"/>
      <c r="Y3968" s="284"/>
      <c r="Z3968" s="284"/>
      <c r="AA3968" s="284"/>
      <c r="AB3968" s="284"/>
      <c r="AC3968" s="284"/>
      <c r="AD3968" s="284"/>
      <c r="AE3968" s="284"/>
      <c r="AF3968" s="284"/>
      <c r="AG3968" s="284"/>
      <c r="AH3968" s="284"/>
      <c r="AI3968" s="284"/>
      <c r="AJ3968" s="284"/>
      <c r="AK3968" s="284"/>
      <c r="AL3968" s="284"/>
    </row>
    <row r="3969" ht="15.75" customHeight="1">
      <c r="A3969" s="115">
        <f t="shared" si="29"/>
        <v>4788</v>
      </c>
      <c r="B3969" s="321" t="s">
        <v>31</v>
      </c>
      <c r="C3969" s="272" t="s">
        <v>31</v>
      </c>
      <c r="D3969" s="55" t="s">
        <v>13383</v>
      </c>
      <c r="E3969" s="49" t="s">
        <v>31</v>
      </c>
      <c r="F3969" s="49" t="s">
        <v>29</v>
      </c>
      <c r="G3969" s="49" t="s">
        <v>30</v>
      </c>
      <c r="H3969" s="49"/>
      <c r="I3969" s="49" t="s">
        <v>30</v>
      </c>
      <c r="J3969" s="49">
        <v>47.0</v>
      </c>
      <c r="K3969" s="49"/>
      <c r="L3969" s="49" t="s">
        <v>5614</v>
      </c>
      <c r="M3969" s="49" t="s">
        <v>13384</v>
      </c>
      <c r="N3969" s="49">
        <v>2011.0</v>
      </c>
      <c r="O3969" s="49" t="s">
        <v>388</v>
      </c>
      <c r="P3969" s="49">
        <v>1.0</v>
      </c>
      <c r="Q3969" s="56"/>
      <c r="R3969" s="288"/>
      <c r="S3969" s="116"/>
      <c r="T3969" s="116"/>
      <c r="U3969" s="116"/>
      <c r="V3969" s="116"/>
      <c r="W3969" s="116"/>
      <c r="X3969" s="116"/>
      <c r="Y3969" s="284"/>
      <c r="Z3969" s="284"/>
      <c r="AA3969" s="284"/>
      <c r="AB3969" s="284"/>
      <c r="AC3969" s="284"/>
      <c r="AD3969" s="284"/>
      <c r="AE3969" s="284"/>
      <c r="AF3969" s="284"/>
      <c r="AG3969" s="284"/>
      <c r="AH3969" s="284"/>
      <c r="AI3969" s="284"/>
      <c r="AJ3969" s="284"/>
      <c r="AK3969" s="284"/>
      <c r="AL3969" s="284"/>
    </row>
    <row r="3970" ht="15.75" customHeight="1">
      <c r="A3970" s="115">
        <f t="shared" si="29"/>
        <v>4789</v>
      </c>
      <c r="B3970" s="49" t="s">
        <v>31</v>
      </c>
      <c r="C3970" s="272" t="s">
        <v>31</v>
      </c>
      <c r="D3970" s="55" t="s">
        <v>13385</v>
      </c>
      <c r="E3970" s="49"/>
      <c r="F3970" s="49" t="s">
        <v>29</v>
      </c>
      <c r="G3970" s="49" t="s">
        <v>30</v>
      </c>
      <c r="H3970" s="49"/>
      <c r="I3970" s="49" t="s">
        <v>30</v>
      </c>
      <c r="J3970" s="49">
        <v>294.0</v>
      </c>
      <c r="K3970" s="49"/>
      <c r="L3970" s="49" t="s">
        <v>13386</v>
      </c>
      <c r="M3970" s="49" t="s">
        <v>31</v>
      </c>
      <c r="N3970" s="49">
        <v>1983.0</v>
      </c>
      <c r="O3970" s="49" t="s">
        <v>388</v>
      </c>
      <c r="P3970" s="49">
        <v>2.0</v>
      </c>
      <c r="Q3970" s="56"/>
      <c r="R3970" s="288"/>
      <c r="S3970" s="34"/>
      <c r="T3970" s="34"/>
      <c r="U3970" s="34"/>
      <c r="V3970" s="34"/>
      <c r="W3970" s="34"/>
      <c r="X3970" s="34"/>
      <c r="Y3970" s="284"/>
      <c r="Z3970" s="284"/>
      <c r="AA3970" s="284"/>
      <c r="AB3970" s="284"/>
      <c r="AC3970" s="284"/>
      <c r="AD3970" s="284"/>
      <c r="AE3970" s="284"/>
      <c r="AF3970" s="284"/>
      <c r="AG3970" s="284"/>
      <c r="AH3970" s="284"/>
      <c r="AI3970" s="284"/>
      <c r="AJ3970" s="284"/>
      <c r="AK3970" s="284"/>
      <c r="AL3970" s="284"/>
    </row>
    <row r="3971" ht="15.75" customHeight="1">
      <c r="A3971" s="115">
        <f t="shared" si="29"/>
        <v>4790</v>
      </c>
      <c r="B3971" s="321" t="s">
        <v>31</v>
      </c>
      <c r="C3971" s="272" t="s">
        <v>31</v>
      </c>
      <c r="D3971" s="55" t="s">
        <v>13387</v>
      </c>
      <c r="E3971" s="49" t="s">
        <v>31</v>
      </c>
      <c r="F3971" s="49" t="s">
        <v>29</v>
      </c>
      <c r="G3971" s="49" t="s">
        <v>30</v>
      </c>
      <c r="H3971" s="49"/>
      <c r="I3971" s="49" t="s">
        <v>30</v>
      </c>
      <c r="J3971" s="49" t="s">
        <v>31</v>
      </c>
      <c r="K3971" s="49"/>
      <c r="L3971" s="49" t="s">
        <v>13388</v>
      </c>
      <c r="M3971" s="49" t="s">
        <v>13389</v>
      </c>
      <c r="N3971" s="49" t="s">
        <v>31</v>
      </c>
      <c r="O3971" s="49" t="s">
        <v>388</v>
      </c>
      <c r="P3971" s="49">
        <v>1.0</v>
      </c>
      <c r="Q3971" s="56"/>
      <c r="R3971" s="288"/>
      <c r="S3971" s="34"/>
      <c r="T3971" s="34"/>
      <c r="U3971" s="34"/>
      <c r="V3971" s="34"/>
      <c r="W3971" s="34"/>
      <c r="X3971" s="34"/>
      <c r="Y3971" s="284"/>
      <c r="Z3971" s="284"/>
      <c r="AA3971" s="284"/>
      <c r="AB3971" s="284"/>
      <c r="AC3971" s="284"/>
      <c r="AD3971" s="284"/>
      <c r="AE3971" s="284"/>
      <c r="AF3971" s="284"/>
      <c r="AG3971" s="284"/>
      <c r="AH3971" s="284"/>
      <c r="AI3971" s="284"/>
      <c r="AJ3971" s="284"/>
      <c r="AK3971" s="284"/>
      <c r="AL3971" s="284"/>
    </row>
    <row r="3972" ht="15.75" customHeight="1">
      <c r="A3972" s="115">
        <f t="shared" si="29"/>
        <v>4791</v>
      </c>
      <c r="B3972" s="49" t="s">
        <v>31</v>
      </c>
      <c r="C3972" s="272" t="s">
        <v>31</v>
      </c>
      <c r="D3972" s="55" t="s">
        <v>13390</v>
      </c>
      <c r="E3972" s="49"/>
      <c r="F3972" s="49" t="s">
        <v>29</v>
      </c>
      <c r="G3972" s="49" t="s">
        <v>30</v>
      </c>
      <c r="H3972" s="49"/>
      <c r="I3972" s="49" t="s">
        <v>30</v>
      </c>
      <c r="J3972" s="49">
        <v>294.0</v>
      </c>
      <c r="K3972" s="49"/>
      <c r="L3972" s="49" t="s">
        <v>13391</v>
      </c>
      <c r="M3972" s="49" t="s">
        <v>31</v>
      </c>
      <c r="N3972" s="49">
        <v>2001.0</v>
      </c>
      <c r="O3972" s="49" t="s">
        <v>388</v>
      </c>
      <c r="P3972" s="49">
        <v>1.0</v>
      </c>
      <c r="Q3972" s="56"/>
      <c r="R3972" s="288"/>
      <c r="S3972" s="34"/>
      <c r="T3972" s="34"/>
      <c r="U3972" s="34"/>
      <c r="V3972" s="34"/>
      <c r="W3972" s="34"/>
      <c r="X3972" s="34"/>
      <c r="Y3972" s="284"/>
      <c r="Z3972" s="284"/>
      <c r="AA3972" s="284"/>
      <c r="AB3972" s="284"/>
      <c r="AC3972" s="284"/>
      <c r="AD3972" s="284"/>
      <c r="AE3972" s="284"/>
      <c r="AF3972" s="284"/>
      <c r="AG3972" s="284"/>
      <c r="AH3972" s="284"/>
      <c r="AI3972" s="284"/>
      <c r="AJ3972" s="284"/>
      <c r="AK3972" s="284"/>
      <c r="AL3972" s="284"/>
    </row>
    <row r="3973" ht="15.75" customHeight="1">
      <c r="A3973" s="115">
        <f t="shared" si="29"/>
        <v>4792</v>
      </c>
      <c r="B3973" s="49" t="s">
        <v>31</v>
      </c>
      <c r="C3973" s="272" t="s">
        <v>31</v>
      </c>
      <c r="D3973" s="55" t="s">
        <v>13392</v>
      </c>
      <c r="E3973" s="49"/>
      <c r="F3973" s="49" t="s">
        <v>29</v>
      </c>
      <c r="G3973" s="49" t="s">
        <v>30</v>
      </c>
      <c r="H3973" s="49"/>
      <c r="I3973" s="49" t="s">
        <v>30</v>
      </c>
      <c r="J3973" s="49">
        <v>141.0</v>
      </c>
      <c r="K3973" s="49"/>
      <c r="L3973" s="49" t="s">
        <v>13393</v>
      </c>
      <c r="M3973" s="49" t="s">
        <v>31</v>
      </c>
      <c r="N3973" s="49">
        <v>2001.0</v>
      </c>
      <c r="O3973" s="49" t="s">
        <v>388</v>
      </c>
      <c r="P3973" s="49">
        <v>1.0</v>
      </c>
      <c r="Q3973" s="56"/>
      <c r="R3973" s="288"/>
      <c r="S3973" s="34"/>
      <c r="T3973" s="34"/>
      <c r="U3973" s="34"/>
      <c r="V3973" s="34"/>
      <c r="W3973" s="34"/>
      <c r="X3973" s="34"/>
      <c r="Y3973" s="284"/>
      <c r="Z3973" s="284"/>
      <c r="AA3973" s="284"/>
      <c r="AB3973" s="284"/>
      <c r="AC3973" s="284"/>
      <c r="AD3973" s="284"/>
      <c r="AE3973" s="284"/>
      <c r="AF3973" s="284"/>
      <c r="AG3973" s="284"/>
      <c r="AH3973" s="284"/>
      <c r="AI3973" s="284"/>
      <c r="AJ3973" s="284"/>
      <c r="AK3973" s="284"/>
      <c r="AL3973" s="284"/>
    </row>
    <row r="3974" ht="15.75" customHeight="1">
      <c r="A3974" s="115">
        <f t="shared" si="29"/>
        <v>4793</v>
      </c>
      <c r="B3974" s="49"/>
      <c r="C3974" s="272" t="s">
        <v>31</v>
      </c>
      <c r="D3974" s="55" t="s">
        <v>13394</v>
      </c>
      <c r="E3974" s="49" t="s">
        <v>31</v>
      </c>
      <c r="F3974" s="49" t="s">
        <v>29</v>
      </c>
      <c r="G3974" s="49" t="s">
        <v>30</v>
      </c>
      <c r="H3974" s="49"/>
      <c r="I3974" s="49" t="s">
        <v>30</v>
      </c>
      <c r="J3974" s="49">
        <v>59.0</v>
      </c>
      <c r="K3974" s="49"/>
      <c r="L3974" s="49" t="s">
        <v>31</v>
      </c>
      <c r="M3974" s="49" t="s">
        <v>6009</v>
      </c>
      <c r="N3974" s="49">
        <v>2001.0</v>
      </c>
      <c r="O3974" s="49" t="s">
        <v>388</v>
      </c>
      <c r="P3974" s="49">
        <v>1.0</v>
      </c>
      <c r="Q3974" s="56"/>
      <c r="R3974" s="288"/>
      <c r="S3974" s="116"/>
      <c r="T3974" s="116"/>
      <c r="U3974" s="116"/>
      <c r="V3974" s="116"/>
      <c r="W3974" s="116"/>
      <c r="X3974" s="116"/>
      <c r="Y3974" s="284"/>
      <c r="Z3974" s="284"/>
      <c r="AA3974" s="284"/>
      <c r="AB3974" s="284"/>
      <c r="AC3974" s="284"/>
      <c r="AD3974" s="284"/>
      <c r="AE3974" s="284"/>
      <c r="AF3974" s="284"/>
      <c r="AG3974" s="284"/>
      <c r="AH3974" s="284"/>
      <c r="AI3974" s="284"/>
      <c r="AJ3974" s="284"/>
      <c r="AK3974" s="284"/>
      <c r="AL3974" s="284"/>
    </row>
    <row r="3975" ht="15.75" customHeight="1">
      <c r="A3975" s="115">
        <f t="shared" si="29"/>
        <v>4794</v>
      </c>
      <c r="B3975" s="321" t="s">
        <v>31</v>
      </c>
      <c r="C3975" s="272" t="s">
        <v>31</v>
      </c>
      <c r="D3975" s="55" t="s">
        <v>13395</v>
      </c>
      <c r="E3975" s="49" t="s">
        <v>31</v>
      </c>
      <c r="F3975" s="49" t="s">
        <v>29</v>
      </c>
      <c r="G3975" s="49" t="s">
        <v>30</v>
      </c>
      <c r="H3975" s="49"/>
      <c r="I3975" s="49" t="s">
        <v>30</v>
      </c>
      <c r="J3975" s="49">
        <v>80.0</v>
      </c>
      <c r="K3975" s="49"/>
      <c r="L3975" s="49" t="s">
        <v>13285</v>
      </c>
      <c r="M3975" s="49" t="s">
        <v>13286</v>
      </c>
      <c r="N3975" s="49">
        <v>1988.0</v>
      </c>
      <c r="O3975" s="49" t="s">
        <v>388</v>
      </c>
      <c r="P3975" s="49">
        <v>1.0</v>
      </c>
      <c r="Q3975" s="56"/>
      <c r="R3975" s="288"/>
      <c r="S3975" s="34"/>
      <c r="T3975" s="34"/>
      <c r="U3975" s="34"/>
      <c r="V3975" s="34"/>
      <c r="W3975" s="34"/>
      <c r="X3975" s="34"/>
      <c r="Y3975" s="284"/>
      <c r="Z3975" s="284"/>
      <c r="AA3975" s="284"/>
      <c r="AB3975" s="284"/>
      <c r="AC3975" s="284"/>
      <c r="AD3975" s="284"/>
      <c r="AE3975" s="284"/>
      <c r="AF3975" s="284"/>
      <c r="AG3975" s="284"/>
      <c r="AH3975" s="284"/>
      <c r="AI3975" s="284"/>
      <c r="AJ3975" s="284"/>
      <c r="AK3975" s="284"/>
      <c r="AL3975" s="284"/>
    </row>
    <row r="3976" ht="15.75" customHeight="1">
      <c r="A3976" s="115">
        <f t="shared" si="29"/>
        <v>4795</v>
      </c>
      <c r="B3976" s="321" t="s">
        <v>31</v>
      </c>
      <c r="C3976" s="272" t="s">
        <v>31</v>
      </c>
      <c r="D3976" s="55" t="s">
        <v>13396</v>
      </c>
      <c r="E3976" s="49" t="s">
        <v>31</v>
      </c>
      <c r="F3976" s="49" t="s">
        <v>29</v>
      </c>
      <c r="G3976" s="49" t="s">
        <v>30</v>
      </c>
      <c r="H3976" s="49"/>
      <c r="I3976" s="49" t="s">
        <v>30</v>
      </c>
      <c r="J3976" s="49">
        <v>80.0</v>
      </c>
      <c r="K3976" s="49"/>
      <c r="L3976" s="49" t="s">
        <v>13374</v>
      </c>
      <c r="M3976" s="49" t="s">
        <v>13286</v>
      </c>
      <c r="N3976" s="49">
        <v>1988.0</v>
      </c>
      <c r="O3976" s="49" t="s">
        <v>388</v>
      </c>
      <c r="P3976" s="49">
        <v>2.0</v>
      </c>
      <c r="Q3976" s="56"/>
      <c r="R3976" s="288"/>
      <c r="S3976" s="34"/>
      <c r="T3976" s="34"/>
      <c r="U3976" s="34"/>
      <c r="V3976" s="34"/>
      <c r="W3976" s="34"/>
      <c r="X3976" s="34"/>
      <c r="Y3976" s="284"/>
      <c r="Z3976" s="284"/>
      <c r="AA3976" s="284"/>
      <c r="AB3976" s="284"/>
      <c r="AC3976" s="284"/>
      <c r="AD3976" s="284"/>
      <c r="AE3976" s="284"/>
      <c r="AF3976" s="284"/>
      <c r="AG3976" s="284"/>
      <c r="AH3976" s="284"/>
      <c r="AI3976" s="284"/>
      <c r="AJ3976" s="284"/>
      <c r="AK3976" s="284"/>
      <c r="AL3976" s="284"/>
    </row>
    <row r="3977" ht="15.75" customHeight="1">
      <c r="A3977" s="115">
        <f t="shared" si="29"/>
        <v>4796</v>
      </c>
      <c r="B3977" s="49" t="s">
        <v>31</v>
      </c>
      <c r="C3977" s="272" t="s">
        <v>31</v>
      </c>
      <c r="D3977" s="55" t="s">
        <v>13397</v>
      </c>
      <c r="E3977" s="49" t="s">
        <v>31</v>
      </c>
      <c r="F3977" s="49" t="s">
        <v>29</v>
      </c>
      <c r="G3977" s="49" t="s">
        <v>30</v>
      </c>
      <c r="H3977" s="49"/>
      <c r="I3977" s="49" t="s">
        <v>30</v>
      </c>
      <c r="J3977" s="49">
        <v>61.0</v>
      </c>
      <c r="K3977" s="49"/>
      <c r="L3977" s="49" t="s">
        <v>12961</v>
      </c>
      <c r="M3977" s="49" t="s">
        <v>31</v>
      </c>
      <c r="N3977" s="49" t="s">
        <v>31</v>
      </c>
      <c r="O3977" s="49" t="s">
        <v>388</v>
      </c>
      <c r="P3977" s="49">
        <v>1.0</v>
      </c>
      <c r="Q3977" s="56"/>
      <c r="R3977" s="288"/>
      <c r="S3977" s="34"/>
      <c r="T3977" s="34"/>
      <c r="U3977" s="34"/>
      <c r="V3977" s="34"/>
      <c r="W3977" s="34"/>
      <c r="X3977" s="34"/>
      <c r="Y3977" s="284"/>
      <c r="Z3977" s="284"/>
      <c r="AA3977" s="284"/>
      <c r="AB3977" s="284"/>
      <c r="AC3977" s="284"/>
      <c r="AD3977" s="284"/>
      <c r="AE3977" s="284"/>
      <c r="AF3977" s="284"/>
      <c r="AG3977" s="284"/>
      <c r="AH3977" s="284"/>
      <c r="AI3977" s="284"/>
      <c r="AJ3977" s="284"/>
      <c r="AK3977" s="284"/>
      <c r="AL3977" s="284"/>
    </row>
    <row r="3978" ht="15.75" customHeight="1">
      <c r="A3978" s="115">
        <f t="shared" si="29"/>
        <v>4797</v>
      </c>
      <c r="B3978" s="321" t="s">
        <v>13398</v>
      </c>
      <c r="C3978" s="272" t="s">
        <v>31</v>
      </c>
      <c r="D3978" s="55" t="s">
        <v>13399</v>
      </c>
      <c r="E3978" s="49"/>
      <c r="F3978" s="49"/>
      <c r="G3978" s="49" t="s">
        <v>30</v>
      </c>
      <c r="H3978" s="49"/>
      <c r="I3978" s="49" t="s">
        <v>30</v>
      </c>
      <c r="J3978" s="49">
        <v>353.0</v>
      </c>
      <c r="K3978" s="49"/>
      <c r="L3978" s="49" t="s">
        <v>13400</v>
      </c>
      <c r="M3978" s="49" t="s">
        <v>2494</v>
      </c>
      <c r="N3978" s="49">
        <v>1998.0</v>
      </c>
      <c r="O3978" s="49" t="s">
        <v>388</v>
      </c>
      <c r="P3978" s="49">
        <v>1.0</v>
      </c>
      <c r="Q3978" s="56"/>
      <c r="R3978" s="288"/>
      <c r="S3978" s="34"/>
      <c r="T3978" s="34"/>
      <c r="U3978" s="34"/>
      <c r="V3978" s="34"/>
      <c r="W3978" s="34"/>
      <c r="X3978" s="34"/>
      <c r="Y3978" s="284"/>
      <c r="Z3978" s="284"/>
      <c r="AA3978" s="284"/>
      <c r="AB3978" s="284"/>
      <c r="AC3978" s="284"/>
      <c r="AD3978" s="284"/>
      <c r="AE3978" s="284"/>
      <c r="AF3978" s="284"/>
      <c r="AG3978" s="284"/>
      <c r="AH3978" s="284"/>
      <c r="AI3978" s="284"/>
      <c r="AJ3978" s="284"/>
      <c r="AK3978" s="284"/>
      <c r="AL3978" s="284"/>
    </row>
    <row r="3979" ht="15.75" customHeight="1">
      <c r="A3979" s="115">
        <f t="shared" si="29"/>
        <v>4798</v>
      </c>
      <c r="B3979" s="49" t="s">
        <v>31</v>
      </c>
      <c r="C3979" s="272" t="s">
        <v>31</v>
      </c>
      <c r="D3979" s="55" t="s">
        <v>13401</v>
      </c>
      <c r="E3979" s="49" t="s">
        <v>31</v>
      </c>
      <c r="F3979" s="49" t="s">
        <v>29</v>
      </c>
      <c r="G3979" s="49" t="s">
        <v>30</v>
      </c>
      <c r="H3979" s="49"/>
      <c r="I3979" s="49" t="s">
        <v>30</v>
      </c>
      <c r="J3979" s="49">
        <v>39.0</v>
      </c>
      <c r="K3979" s="49"/>
      <c r="L3979" s="49" t="s">
        <v>13402</v>
      </c>
      <c r="M3979" s="49" t="s">
        <v>13403</v>
      </c>
      <c r="N3979" s="49" t="s">
        <v>31</v>
      </c>
      <c r="O3979" s="49" t="s">
        <v>388</v>
      </c>
      <c r="P3979" s="49">
        <v>1.0</v>
      </c>
      <c r="Q3979" s="56"/>
      <c r="R3979" s="288"/>
      <c r="S3979" s="34"/>
      <c r="T3979" s="34"/>
      <c r="U3979" s="34"/>
      <c r="V3979" s="34"/>
      <c r="W3979" s="34"/>
      <c r="X3979" s="34"/>
      <c r="Y3979" s="284"/>
      <c r="Z3979" s="284"/>
      <c r="AA3979" s="284"/>
      <c r="AB3979" s="284"/>
      <c r="AC3979" s="284"/>
      <c r="AD3979" s="284"/>
      <c r="AE3979" s="284"/>
      <c r="AF3979" s="284"/>
      <c r="AG3979" s="284"/>
      <c r="AH3979" s="284"/>
      <c r="AI3979" s="284"/>
      <c r="AJ3979" s="284"/>
      <c r="AK3979" s="284"/>
      <c r="AL3979" s="284"/>
    </row>
    <row r="3980" ht="15.75" customHeight="1">
      <c r="A3980" s="115">
        <f t="shared" si="29"/>
        <v>4799</v>
      </c>
      <c r="B3980" s="321" t="s">
        <v>31</v>
      </c>
      <c r="C3980" s="272" t="s">
        <v>31</v>
      </c>
      <c r="D3980" s="55" t="s">
        <v>13404</v>
      </c>
      <c r="E3980" s="49" t="s">
        <v>31</v>
      </c>
      <c r="F3980" s="49" t="s">
        <v>29</v>
      </c>
      <c r="G3980" s="49" t="s">
        <v>30</v>
      </c>
      <c r="H3980" s="49"/>
      <c r="I3980" s="49" t="s">
        <v>30</v>
      </c>
      <c r="J3980" s="49">
        <v>142.0</v>
      </c>
      <c r="K3980" s="49"/>
      <c r="L3980" s="49" t="s">
        <v>13405</v>
      </c>
      <c r="M3980" s="49" t="s">
        <v>13286</v>
      </c>
      <c r="N3980" s="49" t="s">
        <v>31</v>
      </c>
      <c r="O3980" s="49" t="s">
        <v>388</v>
      </c>
      <c r="P3980" s="49">
        <v>1.0</v>
      </c>
      <c r="Q3980" s="56"/>
      <c r="R3980" s="288"/>
      <c r="S3980" s="34"/>
      <c r="T3980" s="34"/>
      <c r="U3980" s="34"/>
      <c r="V3980" s="34"/>
      <c r="W3980" s="34"/>
      <c r="X3980" s="34"/>
      <c r="Y3980" s="284"/>
      <c r="Z3980" s="284"/>
      <c r="AA3980" s="284"/>
      <c r="AB3980" s="284"/>
      <c r="AC3980" s="284"/>
      <c r="AD3980" s="284"/>
      <c r="AE3980" s="284"/>
      <c r="AF3980" s="284"/>
      <c r="AG3980" s="284"/>
      <c r="AH3980" s="284"/>
      <c r="AI3980" s="284"/>
      <c r="AJ3980" s="284"/>
      <c r="AK3980" s="284"/>
      <c r="AL3980" s="284"/>
    </row>
    <row r="3981" ht="15.75" customHeight="1">
      <c r="A3981" s="115">
        <f t="shared" si="29"/>
        <v>4800</v>
      </c>
      <c r="B3981" s="49" t="s">
        <v>13406</v>
      </c>
      <c r="C3981" s="272" t="s">
        <v>31</v>
      </c>
      <c r="D3981" s="55" t="s">
        <v>13407</v>
      </c>
      <c r="E3981" s="49"/>
      <c r="F3981" s="49" t="s">
        <v>29</v>
      </c>
      <c r="G3981" s="49" t="s">
        <v>30</v>
      </c>
      <c r="H3981" s="49"/>
      <c r="I3981" s="49" t="s">
        <v>30</v>
      </c>
      <c r="J3981" s="49">
        <v>205.0</v>
      </c>
      <c r="K3981" s="49"/>
      <c r="L3981" s="49" t="s">
        <v>13408</v>
      </c>
      <c r="M3981" s="49" t="s">
        <v>913</v>
      </c>
      <c r="N3981" s="49">
        <v>2008.0</v>
      </c>
      <c r="O3981" s="49" t="s">
        <v>388</v>
      </c>
      <c r="P3981" s="49">
        <v>1.0</v>
      </c>
      <c r="Q3981" s="56"/>
      <c r="R3981" s="288"/>
      <c r="S3981" s="34"/>
      <c r="T3981" s="34"/>
      <c r="U3981" s="34"/>
      <c r="V3981" s="34"/>
      <c r="W3981" s="34"/>
      <c r="X3981" s="34"/>
      <c r="Y3981" s="284"/>
      <c r="Z3981" s="284"/>
      <c r="AA3981" s="284"/>
      <c r="AB3981" s="284"/>
      <c r="AC3981" s="284"/>
      <c r="AD3981" s="284"/>
      <c r="AE3981" s="284"/>
      <c r="AF3981" s="284"/>
      <c r="AG3981" s="284"/>
      <c r="AH3981" s="284"/>
      <c r="AI3981" s="284"/>
      <c r="AJ3981" s="284"/>
      <c r="AK3981" s="284"/>
      <c r="AL3981" s="284"/>
    </row>
    <row r="3982" ht="15.75" customHeight="1">
      <c r="A3982" s="115">
        <f t="shared" si="29"/>
        <v>4801</v>
      </c>
      <c r="B3982" s="49" t="s">
        <v>13409</v>
      </c>
      <c r="C3982" s="272" t="s">
        <v>31</v>
      </c>
      <c r="D3982" s="55" t="s">
        <v>13410</v>
      </c>
      <c r="E3982" s="49" t="s">
        <v>137</v>
      </c>
      <c r="F3982" s="49" t="s">
        <v>29</v>
      </c>
      <c r="G3982" s="49" t="s">
        <v>58</v>
      </c>
      <c r="H3982" s="49"/>
      <c r="I3982" s="49" t="s">
        <v>38</v>
      </c>
      <c r="J3982" s="49" t="s">
        <v>31</v>
      </c>
      <c r="K3982" s="49"/>
      <c r="L3982" s="49" t="s">
        <v>31</v>
      </c>
      <c r="M3982" s="49" t="s">
        <v>4873</v>
      </c>
      <c r="N3982" s="49">
        <v>2004.0</v>
      </c>
      <c r="O3982" s="49" t="s">
        <v>388</v>
      </c>
      <c r="P3982" s="49">
        <v>1.0</v>
      </c>
      <c r="Q3982" s="56"/>
      <c r="R3982" s="288"/>
      <c r="S3982" s="34"/>
      <c r="T3982" s="34"/>
      <c r="U3982" s="34"/>
      <c r="V3982" s="34"/>
      <c r="W3982" s="34"/>
      <c r="X3982" s="34"/>
      <c r="Y3982" s="284"/>
      <c r="Z3982" s="284"/>
      <c r="AA3982" s="284"/>
      <c r="AB3982" s="284"/>
      <c r="AC3982" s="284"/>
      <c r="AD3982" s="284"/>
      <c r="AE3982" s="284"/>
      <c r="AF3982" s="284"/>
      <c r="AG3982" s="284"/>
      <c r="AH3982" s="284"/>
      <c r="AI3982" s="284"/>
      <c r="AJ3982" s="284"/>
      <c r="AK3982" s="284"/>
      <c r="AL3982" s="284"/>
    </row>
    <row r="3983" ht="15.75" customHeight="1">
      <c r="A3983" s="115">
        <f t="shared" si="29"/>
        <v>4802</v>
      </c>
      <c r="B3983" s="321" t="s">
        <v>31</v>
      </c>
      <c r="C3983" s="272" t="s">
        <v>31</v>
      </c>
      <c r="D3983" s="55" t="s">
        <v>13411</v>
      </c>
      <c r="E3983" s="49" t="s">
        <v>31</v>
      </c>
      <c r="F3983" s="49" t="s">
        <v>29</v>
      </c>
      <c r="G3983" s="49" t="s">
        <v>30</v>
      </c>
      <c r="H3983" s="49"/>
      <c r="I3983" s="49" t="s">
        <v>30</v>
      </c>
      <c r="J3983" s="49"/>
      <c r="K3983" s="49"/>
      <c r="L3983" s="49" t="s">
        <v>13412</v>
      </c>
      <c r="M3983" s="49"/>
      <c r="N3983" s="49" t="s">
        <v>31</v>
      </c>
      <c r="O3983" s="49" t="s">
        <v>388</v>
      </c>
      <c r="P3983" s="49">
        <v>1.0</v>
      </c>
      <c r="Q3983" s="56"/>
      <c r="R3983" s="288"/>
      <c r="S3983" s="34"/>
      <c r="T3983" s="34"/>
      <c r="U3983" s="34"/>
      <c r="V3983" s="34"/>
      <c r="W3983" s="34"/>
      <c r="X3983" s="34"/>
      <c r="Y3983" s="284"/>
      <c r="Z3983" s="284"/>
      <c r="AA3983" s="284"/>
      <c r="AB3983" s="284"/>
      <c r="AC3983" s="284"/>
      <c r="AD3983" s="284"/>
      <c r="AE3983" s="284"/>
      <c r="AF3983" s="284"/>
      <c r="AG3983" s="284"/>
      <c r="AH3983" s="284"/>
      <c r="AI3983" s="284"/>
      <c r="AJ3983" s="284"/>
      <c r="AK3983" s="284"/>
      <c r="AL3983" s="284"/>
    </row>
    <row r="3984" ht="15.75" customHeight="1">
      <c r="A3984" s="115">
        <f t="shared" si="29"/>
        <v>4803</v>
      </c>
      <c r="B3984" s="49"/>
      <c r="C3984" s="272" t="s">
        <v>31</v>
      </c>
      <c r="D3984" s="55" t="s">
        <v>13413</v>
      </c>
      <c r="E3984" s="49" t="s">
        <v>31</v>
      </c>
      <c r="F3984" s="49" t="s">
        <v>29</v>
      </c>
      <c r="G3984" s="49"/>
      <c r="H3984" s="49"/>
      <c r="I3984" s="49"/>
      <c r="J3984" s="49">
        <v>260.0</v>
      </c>
      <c r="K3984" s="49"/>
      <c r="L3984" s="49"/>
      <c r="M3984" s="49" t="s">
        <v>13414</v>
      </c>
      <c r="N3984" s="49">
        <v>1982.0</v>
      </c>
      <c r="O3984" s="49" t="s">
        <v>388</v>
      </c>
      <c r="P3984" s="49">
        <v>1.0</v>
      </c>
      <c r="Q3984" s="56"/>
      <c r="R3984" s="288"/>
      <c r="S3984" s="34"/>
      <c r="T3984" s="34"/>
      <c r="U3984" s="34"/>
      <c r="V3984" s="34"/>
      <c r="W3984" s="34"/>
      <c r="X3984" s="34"/>
      <c r="Y3984" s="284"/>
      <c r="Z3984" s="284"/>
      <c r="AA3984" s="284"/>
      <c r="AB3984" s="284"/>
      <c r="AC3984" s="284"/>
      <c r="AD3984" s="284"/>
      <c r="AE3984" s="284"/>
      <c r="AF3984" s="284"/>
      <c r="AG3984" s="284"/>
      <c r="AH3984" s="284"/>
      <c r="AI3984" s="284"/>
      <c r="AJ3984" s="284"/>
      <c r="AK3984" s="284"/>
      <c r="AL3984" s="284"/>
    </row>
    <row r="3985" ht="15.75" customHeight="1">
      <c r="A3985" s="115">
        <f t="shared" si="29"/>
        <v>4804</v>
      </c>
      <c r="B3985" s="49" t="s">
        <v>31</v>
      </c>
      <c r="C3985" s="272" t="s">
        <v>31</v>
      </c>
      <c r="D3985" s="55" t="s">
        <v>13415</v>
      </c>
      <c r="E3985" s="49"/>
      <c r="F3985" s="49" t="s">
        <v>29</v>
      </c>
      <c r="G3985" s="49" t="s">
        <v>30</v>
      </c>
      <c r="H3985" s="49" t="s">
        <v>31</v>
      </c>
      <c r="I3985" s="49" t="s">
        <v>30</v>
      </c>
      <c r="J3985" s="49">
        <v>28.0</v>
      </c>
      <c r="K3985" s="49"/>
      <c r="L3985" s="49" t="s">
        <v>10170</v>
      </c>
      <c r="M3985" s="49" t="s">
        <v>10170</v>
      </c>
      <c r="N3985" s="49">
        <v>2012.0</v>
      </c>
      <c r="O3985" s="49" t="s">
        <v>388</v>
      </c>
      <c r="P3985" s="49">
        <v>1.0</v>
      </c>
      <c r="Q3985" s="56"/>
      <c r="R3985" s="288"/>
      <c r="S3985" s="337"/>
      <c r="T3985" s="337"/>
      <c r="U3985" s="337"/>
      <c r="V3985" s="337"/>
      <c r="W3985" s="337"/>
      <c r="X3985" s="337"/>
      <c r="Y3985" s="284"/>
      <c r="Z3985" s="284"/>
      <c r="AA3985" s="284"/>
      <c r="AB3985" s="284"/>
      <c r="AC3985" s="284"/>
      <c r="AD3985" s="284"/>
      <c r="AE3985" s="284"/>
      <c r="AF3985" s="284"/>
      <c r="AG3985" s="284"/>
      <c r="AH3985" s="284"/>
      <c r="AI3985" s="284"/>
      <c r="AJ3985" s="284"/>
      <c r="AK3985" s="284"/>
      <c r="AL3985" s="284"/>
    </row>
    <row r="3986" ht="15.75" customHeight="1">
      <c r="A3986" s="115">
        <f t="shared" si="29"/>
        <v>4805</v>
      </c>
      <c r="B3986" s="49" t="s">
        <v>31</v>
      </c>
      <c r="C3986" s="272" t="s">
        <v>31</v>
      </c>
      <c r="D3986" s="55" t="s">
        <v>13416</v>
      </c>
      <c r="E3986" s="49" t="s">
        <v>31</v>
      </c>
      <c r="F3986" s="49" t="s">
        <v>29</v>
      </c>
      <c r="G3986" s="49" t="s">
        <v>30</v>
      </c>
      <c r="H3986" s="49"/>
      <c r="I3986" s="49" t="s">
        <v>30</v>
      </c>
      <c r="J3986" s="49">
        <v>27.0</v>
      </c>
      <c r="K3986" s="49"/>
      <c r="L3986" s="49" t="s">
        <v>13285</v>
      </c>
      <c r="M3986" s="49" t="s">
        <v>13286</v>
      </c>
      <c r="N3986" s="49" t="s">
        <v>31</v>
      </c>
      <c r="O3986" s="49" t="s">
        <v>388</v>
      </c>
      <c r="P3986" s="49">
        <v>1.0</v>
      </c>
      <c r="Q3986" s="56"/>
      <c r="R3986" s="288"/>
      <c r="S3986" s="34"/>
      <c r="T3986" s="34"/>
      <c r="U3986" s="34"/>
      <c r="V3986" s="34"/>
      <c r="W3986" s="34"/>
      <c r="X3986" s="34"/>
      <c r="Y3986" s="284"/>
      <c r="Z3986" s="284"/>
      <c r="AA3986" s="284"/>
      <c r="AB3986" s="284"/>
      <c r="AC3986" s="284"/>
      <c r="AD3986" s="284"/>
      <c r="AE3986" s="284"/>
      <c r="AF3986" s="284"/>
      <c r="AG3986" s="284"/>
      <c r="AH3986" s="284"/>
      <c r="AI3986" s="284"/>
      <c r="AJ3986" s="284"/>
      <c r="AK3986" s="284"/>
      <c r="AL3986" s="284"/>
    </row>
    <row r="3987" ht="15.75" customHeight="1">
      <c r="A3987" s="115">
        <f t="shared" si="29"/>
        <v>4806</v>
      </c>
      <c r="B3987" s="49" t="s">
        <v>13417</v>
      </c>
      <c r="C3987" s="272" t="s">
        <v>31</v>
      </c>
      <c r="D3987" s="55" t="s">
        <v>13418</v>
      </c>
      <c r="E3987" s="49"/>
      <c r="F3987" s="49"/>
      <c r="G3987" s="49" t="s">
        <v>12291</v>
      </c>
      <c r="H3987" s="49"/>
      <c r="I3987" s="49" t="s">
        <v>38</v>
      </c>
      <c r="J3987" s="49">
        <v>67.0</v>
      </c>
      <c r="K3987" s="49"/>
      <c r="L3987" s="49" t="s">
        <v>13419</v>
      </c>
      <c r="M3987" s="49" t="s">
        <v>13420</v>
      </c>
      <c r="N3987" s="49">
        <v>1979.0</v>
      </c>
      <c r="O3987" s="49" t="s">
        <v>388</v>
      </c>
      <c r="P3987" s="49">
        <v>2.0</v>
      </c>
      <c r="Q3987" s="56"/>
      <c r="R3987" s="288"/>
      <c r="S3987" s="34"/>
      <c r="T3987" s="34"/>
      <c r="U3987" s="34"/>
      <c r="V3987" s="34"/>
      <c r="W3987" s="34"/>
      <c r="X3987" s="34"/>
      <c r="Y3987" s="284"/>
      <c r="Z3987" s="284"/>
      <c r="AA3987" s="284"/>
      <c r="AB3987" s="284"/>
      <c r="AC3987" s="284"/>
      <c r="AD3987" s="284"/>
      <c r="AE3987" s="284"/>
      <c r="AF3987" s="284"/>
      <c r="AG3987" s="284"/>
      <c r="AH3987" s="284"/>
      <c r="AI3987" s="284"/>
      <c r="AJ3987" s="284"/>
      <c r="AK3987" s="284"/>
      <c r="AL3987" s="284"/>
    </row>
    <row r="3988" ht="15.75" customHeight="1">
      <c r="A3988" s="115">
        <f t="shared" si="29"/>
        <v>4807</v>
      </c>
      <c r="B3988" s="49" t="s">
        <v>13421</v>
      </c>
      <c r="C3988" s="272" t="s">
        <v>31</v>
      </c>
      <c r="D3988" s="55" t="s">
        <v>13422</v>
      </c>
      <c r="E3988" s="49" t="s">
        <v>13264</v>
      </c>
      <c r="F3988" s="49" t="s">
        <v>29</v>
      </c>
      <c r="G3988" s="49" t="s">
        <v>37</v>
      </c>
      <c r="H3988" s="49"/>
      <c r="I3988" s="49" t="s">
        <v>38</v>
      </c>
      <c r="J3988" s="49" t="s">
        <v>31</v>
      </c>
      <c r="K3988" s="49"/>
      <c r="L3988" s="49" t="s">
        <v>31</v>
      </c>
      <c r="M3988" s="49" t="s">
        <v>31</v>
      </c>
      <c r="N3988" s="49" t="s">
        <v>31</v>
      </c>
      <c r="O3988" s="49" t="s">
        <v>388</v>
      </c>
      <c r="P3988" s="49">
        <v>1.0</v>
      </c>
      <c r="Q3988" s="56"/>
      <c r="R3988" s="288"/>
      <c r="S3988" s="34"/>
      <c r="T3988" s="34"/>
      <c r="U3988" s="34"/>
      <c r="V3988" s="34"/>
      <c r="W3988" s="34"/>
      <c r="X3988" s="34"/>
      <c r="Y3988" s="284"/>
      <c r="Z3988" s="284"/>
      <c r="AA3988" s="284"/>
      <c r="AB3988" s="284"/>
      <c r="AC3988" s="284"/>
      <c r="AD3988" s="284"/>
      <c r="AE3988" s="284"/>
      <c r="AF3988" s="284"/>
      <c r="AG3988" s="284"/>
      <c r="AH3988" s="284"/>
      <c r="AI3988" s="284"/>
      <c r="AJ3988" s="284"/>
      <c r="AK3988" s="284"/>
      <c r="AL3988" s="284"/>
    </row>
    <row r="3989" ht="15.75" customHeight="1">
      <c r="A3989" s="115">
        <f t="shared" si="29"/>
        <v>4808</v>
      </c>
      <c r="B3989" s="49"/>
      <c r="C3989" s="272" t="s">
        <v>31</v>
      </c>
      <c r="D3989" s="55" t="s">
        <v>13423</v>
      </c>
      <c r="E3989" s="49" t="s">
        <v>31</v>
      </c>
      <c r="F3989" s="49" t="s">
        <v>29</v>
      </c>
      <c r="G3989" s="49" t="s">
        <v>38</v>
      </c>
      <c r="H3989" s="49"/>
      <c r="I3989" s="49" t="s">
        <v>38</v>
      </c>
      <c r="J3989" s="49">
        <v>117.0</v>
      </c>
      <c r="K3989" s="49"/>
      <c r="L3989" s="49" t="s">
        <v>31</v>
      </c>
      <c r="M3989" s="49" t="s">
        <v>5706</v>
      </c>
      <c r="N3989" s="49">
        <v>1939.0</v>
      </c>
      <c r="O3989" s="49" t="s">
        <v>388</v>
      </c>
      <c r="P3989" s="49">
        <v>1.0</v>
      </c>
      <c r="Q3989" s="56"/>
      <c r="R3989" s="288"/>
      <c r="S3989" s="34"/>
      <c r="T3989" s="34"/>
      <c r="U3989" s="34"/>
      <c r="V3989" s="34"/>
      <c r="W3989" s="34"/>
      <c r="X3989" s="34"/>
      <c r="Y3989" s="284"/>
      <c r="Z3989" s="284"/>
      <c r="AA3989" s="284"/>
      <c r="AB3989" s="284"/>
      <c r="AC3989" s="284"/>
      <c r="AD3989" s="284"/>
      <c r="AE3989" s="284"/>
      <c r="AF3989" s="284"/>
      <c r="AG3989" s="284"/>
      <c r="AH3989" s="284"/>
      <c r="AI3989" s="284"/>
      <c r="AJ3989" s="284"/>
      <c r="AK3989" s="284"/>
      <c r="AL3989" s="284"/>
    </row>
    <row r="3990" ht="15.75" customHeight="1">
      <c r="A3990" s="115">
        <f t="shared" si="29"/>
        <v>4809</v>
      </c>
      <c r="B3990" s="63" t="s">
        <v>13424</v>
      </c>
      <c r="C3990" s="275" t="s">
        <v>31</v>
      </c>
      <c r="D3990" s="65" t="s">
        <v>13425</v>
      </c>
      <c r="E3990" s="63"/>
      <c r="F3990" s="63" t="s">
        <v>29</v>
      </c>
      <c r="G3990" s="63" t="s">
        <v>131</v>
      </c>
      <c r="H3990" s="63"/>
      <c r="I3990" s="63" t="s">
        <v>131</v>
      </c>
      <c r="J3990" s="63">
        <v>426.0</v>
      </c>
      <c r="K3990" s="63"/>
      <c r="L3990" s="63" t="s">
        <v>31</v>
      </c>
      <c r="M3990" s="63" t="s">
        <v>2685</v>
      </c>
      <c r="N3990" s="63">
        <v>1986.0</v>
      </c>
      <c r="O3990" s="63" t="s">
        <v>388</v>
      </c>
      <c r="P3990" s="63">
        <v>1.0</v>
      </c>
      <c r="Q3990" s="276"/>
      <c r="R3990" s="315"/>
      <c r="S3990" s="34"/>
      <c r="T3990" s="34"/>
      <c r="U3990" s="34"/>
      <c r="V3990" s="34"/>
      <c r="W3990" s="34"/>
      <c r="X3990" s="34"/>
      <c r="Y3990" s="284"/>
      <c r="Z3990" s="284"/>
      <c r="AA3990" s="284"/>
      <c r="AB3990" s="284"/>
      <c r="AC3990" s="284"/>
      <c r="AD3990" s="284"/>
      <c r="AE3990" s="284"/>
      <c r="AF3990" s="284"/>
      <c r="AG3990" s="284"/>
      <c r="AH3990" s="284"/>
      <c r="AI3990" s="284"/>
      <c r="AJ3990" s="284"/>
      <c r="AK3990" s="284"/>
      <c r="AL3990" s="284"/>
    </row>
    <row r="3991" ht="15.75" customHeight="1">
      <c r="A3991" s="115">
        <f t="shared" si="29"/>
        <v>4810</v>
      </c>
      <c r="B3991" s="63" t="s">
        <v>31</v>
      </c>
      <c r="C3991" s="275" t="s">
        <v>31</v>
      </c>
      <c r="D3991" s="65" t="s">
        <v>13426</v>
      </c>
      <c r="E3991" s="63" t="s">
        <v>92</v>
      </c>
      <c r="F3991" s="63" t="s">
        <v>29</v>
      </c>
      <c r="G3991" s="63" t="s">
        <v>98</v>
      </c>
      <c r="H3991" s="63"/>
      <c r="I3991" s="63" t="s">
        <v>98</v>
      </c>
      <c r="J3991" s="63">
        <v>534.0</v>
      </c>
      <c r="K3991" s="63"/>
      <c r="L3991" s="63" t="s">
        <v>13427</v>
      </c>
      <c r="M3991" s="63" t="s">
        <v>13428</v>
      </c>
      <c r="N3991" s="63">
        <v>1953.0</v>
      </c>
      <c r="O3991" s="63" t="s">
        <v>388</v>
      </c>
      <c r="P3991" s="63">
        <v>2.0</v>
      </c>
      <c r="Q3991" s="276"/>
      <c r="R3991" s="315"/>
      <c r="S3991" s="116"/>
      <c r="T3991" s="116"/>
      <c r="U3991" s="116"/>
      <c r="V3991" s="116"/>
      <c r="W3991" s="116"/>
      <c r="X3991" s="116"/>
      <c r="Y3991" s="284"/>
      <c r="Z3991" s="284"/>
      <c r="AA3991" s="284"/>
      <c r="AB3991" s="284"/>
      <c r="AC3991" s="284"/>
      <c r="AD3991" s="284"/>
      <c r="AE3991" s="284"/>
      <c r="AF3991" s="284"/>
      <c r="AG3991" s="284"/>
      <c r="AH3991" s="284"/>
      <c r="AI3991" s="284"/>
      <c r="AJ3991" s="284"/>
      <c r="AK3991" s="284"/>
      <c r="AL3991" s="284"/>
    </row>
    <row r="3992" ht="15.75" customHeight="1">
      <c r="A3992" s="115">
        <f t="shared" si="29"/>
        <v>4811</v>
      </c>
      <c r="B3992" s="63" t="s">
        <v>31</v>
      </c>
      <c r="C3992" s="275" t="s">
        <v>31</v>
      </c>
      <c r="D3992" s="65" t="s">
        <v>13429</v>
      </c>
      <c r="E3992" s="63" t="s">
        <v>31</v>
      </c>
      <c r="F3992" s="63" t="s">
        <v>29</v>
      </c>
      <c r="G3992" s="63" t="s">
        <v>37</v>
      </c>
      <c r="H3992" s="63"/>
      <c r="I3992" s="63" t="s">
        <v>38</v>
      </c>
      <c r="J3992" s="63">
        <v>80.0</v>
      </c>
      <c r="K3992" s="63"/>
      <c r="L3992" s="63" t="s">
        <v>31</v>
      </c>
      <c r="M3992" s="63" t="s">
        <v>4550</v>
      </c>
      <c r="N3992" s="63">
        <v>1976.0</v>
      </c>
      <c r="O3992" s="63" t="s">
        <v>388</v>
      </c>
      <c r="P3992" s="63">
        <v>1.0</v>
      </c>
      <c r="Q3992" s="276"/>
      <c r="R3992" s="315"/>
      <c r="S3992" s="34"/>
      <c r="T3992" s="34"/>
      <c r="U3992" s="34"/>
      <c r="V3992" s="34"/>
      <c r="W3992" s="34"/>
      <c r="X3992" s="34"/>
      <c r="Y3992" s="284"/>
      <c r="Z3992" s="284"/>
      <c r="AA3992" s="284"/>
      <c r="AB3992" s="284"/>
      <c r="AC3992" s="284"/>
      <c r="AD3992" s="284"/>
      <c r="AE3992" s="284"/>
      <c r="AF3992" s="284"/>
      <c r="AG3992" s="284"/>
      <c r="AH3992" s="284"/>
      <c r="AI3992" s="284"/>
      <c r="AJ3992" s="284"/>
      <c r="AK3992" s="284"/>
      <c r="AL3992" s="284"/>
    </row>
    <row r="3993" ht="15.75" customHeight="1">
      <c r="A3993" s="115">
        <f t="shared" si="29"/>
        <v>4812</v>
      </c>
      <c r="B3993" s="63" t="s">
        <v>13430</v>
      </c>
      <c r="C3993" s="275" t="s">
        <v>31</v>
      </c>
      <c r="D3993" s="65" t="s">
        <v>13431</v>
      </c>
      <c r="E3993" s="63" t="s">
        <v>31</v>
      </c>
      <c r="F3993" s="63" t="s">
        <v>29</v>
      </c>
      <c r="G3993" s="63" t="s">
        <v>37</v>
      </c>
      <c r="H3993" s="63"/>
      <c r="I3993" s="63" t="s">
        <v>38</v>
      </c>
      <c r="J3993" s="63">
        <v>494.0</v>
      </c>
      <c r="K3993" s="63"/>
      <c r="L3993" s="63" t="s">
        <v>13432</v>
      </c>
      <c r="M3993" s="63" t="s">
        <v>230</v>
      </c>
      <c r="N3993" s="63">
        <v>1989.0</v>
      </c>
      <c r="O3993" s="63" t="s">
        <v>388</v>
      </c>
      <c r="P3993" s="63">
        <v>1.0</v>
      </c>
      <c r="Q3993" s="276"/>
      <c r="R3993" s="315"/>
      <c r="S3993" s="34"/>
      <c r="T3993" s="34"/>
      <c r="U3993" s="34"/>
      <c r="V3993" s="34"/>
      <c r="W3993" s="34"/>
      <c r="X3993" s="34"/>
      <c r="Y3993" s="284"/>
      <c r="Z3993" s="284"/>
      <c r="AA3993" s="284"/>
      <c r="AB3993" s="284"/>
      <c r="AC3993" s="284"/>
      <c r="AD3993" s="284"/>
      <c r="AE3993" s="284"/>
      <c r="AF3993" s="284"/>
      <c r="AG3993" s="284"/>
      <c r="AH3993" s="284"/>
      <c r="AI3993" s="284"/>
      <c r="AJ3993" s="284"/>
      <c r="AK3993" s="284"/>
      <c r="AL3993" s="284"/>
    </row>
    <row r="3994" ht="15.75" customHeight="1">
      <c r="A3994" s="115">
        <f t="shared" si="29"/>
        <v>4813</v>
      </c>
      <c r="B3994" s="63" t="s">
        <v>31</v>
      </c>
      <c r="C3994" s="275" t="s">
        <v>31</v>
      </c>
      <c r="D3994" s="65" t="s">
        <v>13433</v>
      </c>
      <c r="E3994" s="63" t="s">
        <v>31</v>
      </c>
      <c r="F3994" s="63" t="s">
        <v>29</v>
      </c>
      <c r="G3994" s="63" t="s">
        <v>38</v>
      </c>
      <c r="H3994" s="63"/>
      <c r="I3994" s="63" t="s">
        <v>38</v>
      </c>
      <c r="J3994" s="63">
        <v>24.0</v>
      </c>
      <c r="K3994" s="63"/>
      <c r="L3994" s="63" t="s">
        <v>31</v>
      </c>
      <c r="M3994" s="63" t="s">
        <v>31</v>
      </c>
      <c r="N3994" s="63" t="s">
        <v>31</v>
      </c>
      <c r="O3994" s="63" t="s">
        <v>388</v>
      </c>
      <c r="P3994" s="63">
        <v>1.0</v>
      </c>
      <c r="Q3994" s="276"/>
      <c r="R3994" s="315"/>
      <c r="S3994" s="34"/>
      <c r="T3994" s="34"/>
      <c r="U3994" s="34"/>
      <c r="V3994" s="34"/>
      <c r="W3994" s="34"/>
      <c r="X3994" s="34"/>
      <c r="Y3994" s="284"/>
      <c r="Z3994" s="284"/>
      <c r="AA3994" s="284"/>
      <c r="AB3994" s="284"/>
      <c r="AC3994" s="284"/>
      <c r="AD3994" s="284"/>
      <c r="AE3994" s="284"/>
      <c r="AF3994" s="284"/>
      <c r="AG3994" s="284"/>
      <c r="AH3994" s="284"/>
      <c r="AI3994" s="284"/>
      <c r="AJ3994" s="284"/>
      <c r="AK3994" s="284"/>
      <c r="AL3994" s="284"/>
    </row>
    <row r="3995" ht="15.75" customHeight="1">
      <c r="A3995" s="115">
        <f t="shared" si="29"/>
        <v>4814</v>
      </c>
      <c r="B3995" s="63" t="s">
        <v>13434</v>
      </c>
      <c r="C3995" s="275" t="s">
        <v>31</v>
      </c>
      <c r="D3995" s="65" t="s">
        <v>13435</v>
      </c>
      <c r="E3995" s="63" t="s">
        <v>28</v>
      </c>
      <c r="F3995" s="63" t="s">
        <v>29</v>
      </c>
      <c r="G3995" s="63" t="s">
        <v>37</v>
      </c>
      <c r="H3995" s="63"/>
      <c r="I3995" s="63" t="s">
        <v>38</v>
      </c>
      <c r="J3995" s="63">
        <v>203.0</v>
      </c>
      <c r="K3995" s="63"/>
      <c r="L3995" s="63" t="s">
        <v>13436</v>
      </c>
      <c r="M3995" s="63" t="s">
        <v>13437</v>
      </c>
      <c r="N3995" s="63">
        <v>1984.0</v>
      </c>
      <c r="O3995" s="63" t="s">
        <v>388</v>
      </c>
      <c r="P3995" s="63">
        <v>1.0</v>
      </c>
      <c r="Q3995" s="276"/>
      <c r="R3995" s="315"/>
      <c r="S3995" s="116"/>
      <c r="T3995" s="116"/>
      <c r="U3995" s="116"/>
      <c r="V3995" s="116"/>
      <c r="W3995" s="116"/>
      <c r="X3995" s="116"/>
      <c r="Y3995" s="284"/>
      <c r="Z3995" s="284"/>
      <c r="AA3995" s="284"/>
      <c r="AB3995" s="284"/>
      <c r="AC3995" s="284"/>
      <c r="AD3995" s="284"/>
      <c r="AE3995" s="284"/>
      <c r="AF3995" s="284"/>
      <c r="AG3995" s="284"/>
      <c r="AH3995" s="284"/>
      <c r="AI3995" s="284"/>
      <c r="AJ3995" s="284"/>
      <c r="AK3995" s="284"/>
      <c r="AL3995" s="284"/>
    </row>
    <row r="3996" ht="15.75" customHeight="1">
      <c r="A3996" s="115">
        <f t="shared" si="29"/>
        <v>4815</v>
      </c>
      <c r="B3996" s="63" t="s">
        <v>31</v>
      </c>
      <c r="C3996" s="275" t="s">
        <v>31</v>
      </c>
      <c r="D3996" s="65" t="s">
        <v>13438</v>
      </c>
      <c r="E3996" s="63"/>
      <c r="F3996" s="63" t="s">
        <v>29</v>
      </c>
      <c r="G3996" s="63" t="s">
        <v>30</v>
      </c>
      <c r="H3996" s="63" t="s">
        <v>31</v>
      </c>
      <c r="I3996" s="63" t="s">
        <v>30</v>
      </c>
      <c r="J3996" s="63">
        <v>781.0</v>
      </c>
      <c r="K3996" s="63"/>
      <c r="L3996" s="63" t="s">
        <v>13439</v>
      </c>
      <c r="M3996" s="63" t="s">
        <v>3335</v>
      </c>
      <c r="N3996" s="63">
        <v>2011.0</v>
      </c>
      <c r="O3996" s="63" t="s">
        <v>388</v>
      </c>
      <c r="P3996" s="63">
        <v>1.0</v>
      </c>
      <c r="Q3996" s="276"/>
      <c r="R3996" s="315"/>
      <c r="S3996" s="34"/>
      <c r="T3996" s="34"/>
      <c r="U3996" s="34"/>
      <c r="V3996" s="34"/>
      <c r="W3996" s="34"/>
      <c r="X3996" s="34"/>
      <c r="Y3996" s="284"/>
      <c r="Z3996" s="284"/>
      <c r="AA3996" s="284"/>
      <c r="AB3996" s="284"/>
      <c r="AC3996" s="284"/>
      <c r="AD3996" s="284"/>
      <c r="AE3996" s="284"/>
      <c r="AF3996" s="284"/>
      <c r="AG3996" s="284"/>
      <c r="AH3996" s="284"/>
      <c r="AI3996" s="284"/>
      <c r="AJ3996" s="284"/>
      <c r="AK3996" s="284"/>
      <c r="AL3996" s="284"/>
    </row>
    <row r="3997" ht="15.75" customHeight="1">
      <c r="A3997" s="115">
        <f t="shared" si="29"/>
        <v>4816</v>
      </c>
      <c r="B3997" s="63" t="s">
        <v>13440</v>
      </c>
      <c r="C3997" s="275" t="s">
        <v>31</v>
      </c>
      <c r="D3997" s="65" t="s">
        <v>13441</v>
      </c>
      <c r="E3997" s="63" t="s">
        <v>31</v>
      </c>
      <c r="F3997" s="63" t="s">
        <v>29</v>
      </c>
      <c r="G3997" s="63" t="s">
        <v>30</v>
      </c>
      <c r="H3997" s="63"/>
      <c r="I3997" s="63" t="s">
        <v>30</v>
      </c>
      <c r="J3997" s="63">
        <v>146.0</v>
      </c>
      <c r="K3997" s="63"/>
      <c r="L3997" s="63" t="s">
        <v>13442</v>
      </c>
      <c r="M3997" s="63" t="s">
        <v>13443</v>
      </c>
      <c r="N3997" s="63">
        <v>2006.0</v>
      </c>
      <c r="O3997" s="63" t="s">
        <v>388</v>
      </c>
      <c r="P3997" s="63">
        <v>1.0</v>
      </c>
      <c r="Q3997" s="276"/>
      <c r="R3997" s="315"/>
      <c r="S3997" s="34"/>
      <c r="T3997" s="34"/>
      <c r="U3997" s="34"/>
      <c r="V3997" s="34"/>
      <c r="W3997" s="34"/>
      <c r="X3997" s="34"/>
      <c r="Y3997" s="284"/>
      <c r="Z3997" s="284"/>
      <c r="AA3997" s="284"/>
      <c r="AB3997" s="284"/>
      <c r="AC3997" s="284"/>
      <c r="AD3997" s="284"/>
      <c r="AE3997" s="284"/>
      <c r="AF3997" s="284"/>
      <c r="AG3997" s="284"/>
      <c r="AH3997" s="284"/>
      <c r="AI3997" s="284"/>
      <c r="AJ3997" s="284"/>
      <c r="AK3997" s="284"/>
      <c r="AL3997" s="284"/>
    </row>
    <row r="3998" ht="15.75" customHeight="1">
      <c r="A3998" s="115">
        <f t="shared" si="29"/>
        <v>4817</v>
      </c>
      <c r="B3998" s="49" t="s">
        <v>31</v>
      </c>
      <c r="C3998" s="272" t="s">
        <v>31</v>
      </c>
      <c r="D3998" s="55" t="s">
        <v>13444</v>
      </c>
      <c r="E3998" s="49" t="s">
        <v>29</v>
      </c>
      <c r="F3998" s="49"/>
      <c r="G3998" s="49" t="s">
        <v>30</v>
      </c>
      <c r="H3998" s="49"/>
      <c r="I3998" s="49" t="s">
        <v>30</v>
      </c>
      <c r="J3998" s="49">
        <v>406.0</v>
      </c>
      <c r="K3998" s="49"/>
      <c r="L3998" s="49"/>
      <c r="M3998" s="49" t="s">
        <v>13445</v>
      </c>
      <c r="N3998" s="49">
        <v>2010.0</v>
      </c>
      <c r="O3998" s="49" t="s">
        <v>388</v>
      </c>
      <c r="P3998" s="49">
        <v>1.0</v>
      </c>
      <c r="Q3998" s="56"/>
      <c r="R3998" s="288"/>
      <c r="S3998" s="34"/>
      <c r="T3998" s="34"/>
      <c r="U3998" s="34"/>
      <c r="V3998" s="34"/>
      <c r="W3998" s="34"/>
      <c r="X3998" s="34"/>
      <c r="Y3998" s="284"/>
      <c r="Z3998" s="284"/>
      <c r="AA3998" s="284"/>
      <c r="AB3998" s="284"/>
      <c r="AC3998" s="284"/>
      <c r="AD3998" s="284"/>
      <c r="AE3998" s="284"/>
      <c r="AF3998" s="284"/>
      <c r="AG3998" s="284"/>
      <c r="AH3998" s="284"/>
      <c r="AI3998" s="284"/>
      <c r="AJ3998" s="284"/>
      <c r="AK3998" s="284"/>
      <c r="AL3998" s="284"/>
    </row>
    <row r="3999" ht="15.75" customHeight="1">
      <c r="A3999" s="115">
        <f t="shared" si="29"/>
        <v>4818</v>
      </c>
      <c r="B3999" s="49" t="s">
        <v>31</v>
      </c>
      <c r="C3999" s="272" t="s">
        <v>31</v>
      </c>
      <c r="D3999" s="55" t="s">
        <v>13446</v>
      </c>
      <c r="E3999" s="49"/>
      <c r="F3999" s="49" t="s">
        <v>29</v>
      </c>
      <c r="G3999" s="49" t="s">
        <v>30</v>
      </c>
      <c r="H3999" s="49"/>
      <c r="I3999" s="49" t="s">
        <v>30</v>
      </c>
      <c r="J3999" s="49">
        <v>124.0</v>
      </c>
      <c r="K3999" s="49"/>
      <c r="L3999" s="49" t="s">
        <v>13447</v>
      </c>
      <c r="M3999" s="49" t="s">
        <v>31</v>
      </c>
      <c r="N3999" s="49">
        <v>2007.0</v>
      </c>
      <c r="O3999" s="49" t="s">
        <v>388</v>
      </c>
      <c r="P3999" s="49">
        <v>1.0</v>
      </c>
      <c r="Q3999" s="56"/>
      <c r="R3999" s="301"/>
      <c r="S3999" s="40"/>
      <c r="T3999" s="40"/>
      <c r="U3999" s="40"/>
      <c r="V3999" s="40"/>
      <c r="W3999" s="40"/>
      <c r="X3999" s="40"/>
      <c r="Y3999" s="284"/>
      <c r="Z3999" s="284"/>
      <c r="AA3999" s="284"/>
      <c r="AB3999" s="284"/>
      <c r="AC3999" s="284"/>
      <c r="AD3999" s="284"/>
      <c r="AE3999" s="284"/>
      <c r="AF3999" s="284"/>
      <c r="AG3999" s="284"/>
      <c r="AH3999" s="284"/>
      <c r="AI3999" s="284"/>
      <c r="AJ3999" s="284"/>
      <c r="AK3999" s="284"/>
      <c r="AL3999" s="284"/>
    </row>
    <row r="4000" ht="15.75" customHeight="1">
      <c r="A4000" s="115">
        <f t="shared" si="29"/>
        <v>4819</v>
      </c>
      <c r="B4000" s="49" t="s">
        <v>31</v>
      </c>
      <c r="C4000" s="272" t="s">
        <v>31</v>
      </c>
      <c r="D4000" s="55" t="s">
        <v>13448</v>
      </c>
      <c r="E4000" s="49" t="s">
        <v>92</v>
      </c>
      <c r="F4000" s="49" t="s">
        <v>29</v>
      </c>
      <c r="G4000" s="49" t="s">
        <v>37</v>
      </c>
      <c r="H4000" s="49"/>
      <c r="I4000" s="49" t="s">
        <v>38</v>
      </c>
      <c r="J4000" s="49">
        <v>482.0</v>
      </c>
      <c r="K4000" s="49"/>
      <c r="L4000" s="49" t="s">
        <v>31</v>
      </c>
      <c r="M4000" s="49" t="s">
        <v>1203</v>
      </c>
      <c r="N4000" s="49">
        <v>1960.0</v>
      </c>
      <c r="O4000" s="49" t="s">
        <v>388</v>
      </c>
      <c r="P4000" s="49">
        <v>1.0</v>
      </c>
      <c r="Q4000" s="56"/>
      <c r="R4000" s="288"/>
      <c r="S4000" s="34"/>
      <c r="T4000" s="34"/>
      <c r="U4000" s="34"/>
      <c r="V4000" s="34"/>
      <c r="W4000" s="34"/>
      <c r="X4000" s="34"/>
      <c r="Y4000" s="284"/>
      <c r="Z4000" s="284"/>
      <c r="AA4000" s="284"/>
      <c r="AB4000" s="284"/>
      <c r="AC4000" s="284"/>
      <c r="AD4000" s="284"/>
      <c r="AE4000" s="284"/>
      <c r="AF4000" s="284"/>
      <c r="AG4000" s="284"/>
      <c r="AH4000" s="284"/>
      <c r="AI4000" s="284"/>
      <c r="AJ4000" s="284"/>
      <c r="AK4000" s="284"/>
      <c r="AL4000" s="284"/>
    </row>
    <row r="4001" ht="15.75" customHeight="1">
      <c r="A4001" s="115">
        <f t="shared" si="29"/>
        <v>4820</v>
      </c>
      <c r="B4001" s="49" t="s">
        <v>31</v>
      </c>
      <c r="C4001" s="272" t="s">
        <v>31</v>
      </c>
      <c r="D4001" s="55" t="s">
        <v>13449</v>
      </c>
      <c r="E4001" s="49" t="s">
        <v>92</v>
      </c>
      <c r="F4001" s="49" t="s">
        <v>29</v>
      </c>
      <c r="G4001" s="49" t="s">
        <v>37</v>
      </c>
      <c r="H4001" s="49"/>
      <c r="I4001" s="49" t="s">
        <v>38</v>
      </c>
      <c r="J4001" s="49">
        <v>2.164</v>
      </c>
      <c r="K4001" s="49"/>
      <c r="L4001" s="49" t="s">
        <v>2688</v>
      </c>
      <c r="M4001" s="49" t="s">
        <v>236</v>
      </c>
      <c r="N4001" s="49">
        <v>1957.0</v>
      </c>
      <c r="O4001" s="49" t="s">
        <v>388</v>
      </c>
      <c r="P4001" s="49">
        <v>1.0</v>
      </c>
      <c r="Q4001" s="56"/>
      <c r="R4001" s="288"/>
      <c r="S4001" s="34"/>
      <c r="T4001" s="34"/>
      <c r="U4001" s="34"/>
      <c r="V4001" s="34"/>
      <c r="W4001" s="34"/>
      <c r="X4001" s="34"/>
      <c r="Y4001" s="284"/>
      <c r="Z4001" s="284"/>
      <c r="AA4001" s="284"/>
      <c r="AB4001" s="284"/>
      <c r="AC4001" s="284"/>
      <c r="AD4001" s="284"/>
      <c r="AE4001" s="284"/>
      <c r="AF4001" s="284"/>
      <c r="AG4001" s="284"/>
      <c r="AH4001" s="284"/>
      <c r="AI4001" s="284"/>
      <c r="AJ4001" s="284"/>
      <c r="AK4001" s="284"/>
      <c r="AL4001" s="284"/>
    </row>
    <row r="4002" ht="15.75" customHeight="1">
      <c r="A4002" s="115">
        <f t="shared" si="29"/>
        <v>4821</v>
      </c>
      <c r="B4002" s="49" t="s">
        <v>31</v>
      </c>
      <c r="C4002" s="272" t="s">
        <v>31</v>
      </c>
      <c r="D4002" s="55" t="s">
        <v>13450</v>
      </c>
      <c r="E4002" s="49" t="s">
        <v>2863</v>
      </c>
      <c r="F4002" s="49" t="s">
        <v>29</v>
      </c>
      <c r="G4002" s="49" t="s">
        <v>31</v>
      </c>
      <c r="H4002" s="49"/>
      <c r="I4002" s="49" t="s">
        <v>38</v>
      </c>
      <c r="J4002" s="49" t="s">
        <v>31</v>
      </c>
      <c r="K4002" s="49"/>
      <c r="L4002" s="49" t="s">
        <v>13451</v>
      </c>
      <c r="M4002" s="49" t="s">
        <v>31</v>
      </c>
      <c r="N4002" s="49" t="s">
        <v>31</v>
      </c>
      <c r="O4002" s="49" t="s">
        <v>388</v>
      </c>
      <c r="P4002" s="49">
        <v>1.0</v>
      </c>
      <c r="Q4002" s="56"/>
      <c r="R4002" s="288"/>
      <c r="S4002" s="34"/>
      <c r="T4002" s="34"/>
      <c r="U4002" s="34"/>
      <c r="V4002" s="34"/>
      <c r="W4002" s="34"/>
      <c r="X4002" s="34"/>
      <c r="Y4002" s="284"/>
      <c r="Z4002" s="284"/>
      <c r="AA4002" s="284"/>
      <c r="AB4002" s="284"/>
      <c r="AC4002" s="284"/>
      <c r="AD4002" s="284"/>
      <c r="AE4002" s="284"/>
      <c r="AF4002" s="284"/>
      <c r="AG4002" s="284"/>
      <c r="AH4002" s="284"/>
      <c r="AI4002" s="284"/>
      <c r="AJ4002" s="284"/>
      <c r="AK4002" s="284"/>
      <c r="AL4002" s="284"/>
    </row>
    <row r="4003" ht="15.75" customHeight="1">
      <c r="A4003" s="115">
        <f t="shared" si="29"/>
        <v>4822</v>
      </c>
      <c r="B4003" s="49" t="s">
        <v>13452</v>
      </c>
      <c r="C4003" s="272" t="s">
        <v>31</v>
      </c>
      <c r="D4003" s="55" t="s">
        <v>13453</v>
      </c>
      <c r="E4003" s="49" t="s">
        <v>28</v>
      </c>
      <c r="F4003" s="49" t="s">
        <v>29</v>
      </c>
      <c r="G4003" s="49" t="s">
        <v>38</v>
      </c>
      <c r="H4003" s="49"/>
      <c r="I4003" s="49" t="s">
        <v>38</v>
      </c>
      <c r="J4003" s="49">
        <v>271.0</v>
      </c>
      <c r="K4003" s="49"/>
      <c r="L4003" s="49" t="s">
        <v>13454</v>
      </c>
      <c r="M4003" s="49" t="s">
        <v>466</v>
      </c>
      <c r="N4003" s="49">
        <v>1977.0</v>
      </c>
      <c r="O4003" s="49" t="s">
        <v>388</v>
      </c>
      <c r="P4003" s="49">
        <v>1.0</v>
      </c>
      <c r="Q4003" s="56"/>
      <c r="R4003" s="288"/>
      <c r="S4003" s="185"/>
      <c r="T4003" s="185"/>
      <c r="U4003" s="185"/>
      <c r="V4003" s="185"/>
      <c r="W4003" s="185"/>
      <c r="X4003" s="185"/>
      <c r="Y4003" s="284"/>
      <c r="Z4003" s="284"/>
      <c r="AA4003" s="284"/>
      <c r="AB4003" s="284"/>
      <c r="AC4003" s="284"/>
      <c r="AD4003" s="284"/>
      <c r="AE4003" s="284"/>
      <c r="AF4003" s="284"/>
      <c r="AG4003" s="284"/>
      <c r="AH4003" s="284"/>
      <c r="AI4003" s="284"/>
      <c r="AJ4003" s="284"/>
      <c r="AK4003" s="284"/>
      <c r="AL4003" s="284"/>
    </row>
    <row r="4004" ht="15.75" customHeight="1">
      <c r="A4004" s="115">
        <f t="shared" si="29"/>
        <v>4823</v>
      </c>
      <c r="B4004" s="49" t="s">
        <v>13455</v>
      </c>
      <c r="C4004" s="272" t="s">
        <v>31</v>
      </c>
      <c r="D4004" s="55" t="s">
        <v>13456</v>
      </c>
      <c r="E4004" s="49" t="s">
        <v>31</v>
      </c>
      <c r="F4004" s="49" t="s">
        <v>29</v>
      </c>
      <c r="G4004" s="49" t="s">
        <v>98</v>
      </c>
      <c r="H4004" s="49"/>
      <c r="I4004" s="49" t="s">
        <v>38</v>
      </c>
      <c r="J4004" s="49">
        <v>63.0</v>
      </c>
      <c r="K4004" s="49"/>
      <c r="L4004" s="49" t="s">
        <v>31</v>
      </c>
      <c r="M4004" s="49"/>
      <c r="N4004" s="49">
        <v>1977.0</v>
      </c>
      <c r="O4004" s="49" t="s">
        <v>388</v>
      </c>
      <c r="P4004" s="49">
        <v>1.0</v>
      </c>
      <c r="Q4004" s="56"/>
      <c r="R4004" s="288"/>
      <c r="S4004" s="34"/>
      <c r="T4004" s="34"/>
      <c r="U4004" s="34"/>
      <c r="V4004" s="34"/>
      <c r="W4004" s="34"/>
      <c r="X4004" s="34"/>
      <c r="Y4004" s="284"/>
      <c r="Z4004" s="284"/>
      <c r="AA4004" s="284"/>
      <c r="AB4004" s="284"/>
      <c r="AC4004" s="284"/>
      <c r="AD4004" s="284"/>
      <c r="AE4004" s="284"/>
      <c r="AF4004" s="284"/>
      <c r="AG4004" s="284"/>
      <c r="AH4004" s="284"/>
      <c r="AI4004" s="284"/>
      <c r="AJ4004" s="284"/>
      <c r="AK4004" s="284"/>
      <c r="AL4004" s="284"/>
    </row>
    <row r="4005" ht="15.75" customHeight="1">
      <c r="A4005" s="115">
        <f t="shared" si="29"/>
        <v>4824</v>
      </c>
      <c r="B4005" s="49" t="s">
        <v>13457</v>
      </c>
      <c r="C4005" s="272" t="s">
        <v>31</v>
      </c>
      <c r="D4005" s="55" t="s">
        <v>13458</v>
      </c>
      <c r="E4005" s="49" t="s">
        <v>137</v>
      </c>
      <c r="F4005" s="49" t="s">
        <v>29</v>
      </c>
      <c r="G4005" s="49" t="s">
        <v>37</v>
      </c>
      <c r="H4005" s="49"/>
      <c r="I4005" s="49" t="s">
        <v>38</v>
      </c>
      <c r="J4005" s="49" t="s">
        <v>31</v>
      </c>
      <c r="K4005" s="49"/>
      <c r="L4005" s="49" t="s">
        <v>31</v>
      </c>
      <c r="M4005" s="49" t="s">
        <v>4873</v>
      </c>
      <c r="N4005" s="49" t="s">
        <v>31</v>
      </c>
      <c r="O4005" s="49" t="s">
        <v>388</v>
      </c>
      <c r="P4005" s="49">
        <v>1.0</v>
      </c>
      <c r="Q4005" s="56"/>
      <c r="R4005" s="288"/>
      <c r="S4005" s="34"/>
      <c r="T4005" s="34"/>
      <c r="U4005" s="34"/>
      <c r="V4005" s="34"/>
      <c r="W4005" s="34"/>
      <c r="X4005" s="34"/>
      <c r="Y4005" s="284"/>
      <c r="Z4005" s="284"/>
      <c r="AA4005" s="284"/>
      <c r="AB4005" s="284"/>
      <c r="AC4005" s="284"/>
      <c r="AD4005" s="284"/>
      <c r="AE4005" s="284"/>
      <c r="AF4005" s="284"/>
      <c r="AG4005" s="284"/>
      <c r="AH4005" s="284"/>
      <c r="AI4005" s="284"/>
      <c r="AJ4005" s="284"/>
      <c r="AK4005" s="284"/>
      <c r="AL4005" s="284"/>
    </row>
    <row r="4006" ht="15.75" customHeight="1">
      <c r="A4006" s="115">
        <f t="shared" si="29"/>
        <v>4825</v>
      </c>
      <c r="B4006" s="49" t="s">
        <v>13459</v>
      </c>
      <c r="C4006" s="272" t="s">
        <v>31</v>
      </c>
      <c r="D4006" s="55" t="s">
        <v>13460</v>
      </c>
      <c r="E4006" s="49" t="s">
        <v>31</v>
      </c>
      <c r="F4006" s="49" t="s">
        <v>29</v>
      </c>
      <c r="G4006" s="49" t="s">
        <v>6151</v>
      </c>
      <c r="H4006" s="49"/>
      <c r="I4006" s="49" t="s">
        <v>38</v>
      </c>
      <c r="J4006" s="49">
        <v>155.0</v>
      </c>
      <c r="K4006" s="49"/>
      <c r="L4006" s="49" t="s">
        <v>13461</v>
      </c>
      <c r="M4006" s="49" t="s">
        <v>13462</v>
      </c>
      <c r="N4006" s="49">
        <v>1977.0</v>
      </c>
      <c r="O4006" s="49" t="s">
        <v>388</v>
      </c>
      <c r="P4006" s="49">
        <v>1.0</v>
      </c>
      <c r="Q4006" s="56"/>
      <c r="R4006" s="288"/>
      <c r="S4006" s="34"/>
      <c r="T4006" s="34"/>
      <c r="U4006" s="34"/>
      <c r="V4006" s="34"/>
      <c r="W4006" s="34"/>
      <c r="X4006" s="34"/>
      <c r="Y4006" s="284"/>
      <c r="Z4006" s="284"/>
      <c r="AA4006" s="284"/>
      <c r="AB4006" s="284"/>
      <c r="AC4006" s="284"/>
      <c r="AD4006" s="284"/>
      <c r="AE4006" s="284"/>
      <c r="AF4006" s="284"/>
      <c r="AG4006" s="284"/>
      <c r="AH4006" s="284"/>
      <c r="AI4006" s="284"/>
      <c r="AJ4006" s="284"/>
      <c r="AK4006" s="284"/>
      <c r="AL4006" s="284"/>
    </row>
    <row r="4007" ht="15.75" customHeight="1">
      <c r="A4007" s="115">
        <f t="shared" si="29"/>
        <v>4826</v>
      </c>
      <c r="B4007" s="49" t="s">
        <v>31</v>
      </c>
      <c r="C4007" s="272" t="s">
        <v>31</v>
      </c>
      <c r="D4007" s="55" t="s">
        <v>13463</v>
      </c>
      <c r="E4007" s="49" t="s">
        <v>31</v>
      </c>
      <c r="F4007" s="49" t="s">
        <v>29</v>
      </c>
      <c r="G4007" s="49" t="s">
        <v>30</v>
      </c>
      <c r="H4007" s="49"/>
      <c r="I4007" s="49" t="s">
        <v>13464</v>
      </c>
      <c r="J4007" s="49">
        <v>34.0</v>
      </c>
      <c r="K4007" s="49"/>
      <c r="L4007" s="49" t="s">
        <v>13465</v>
      </c>
      <c r="M4007" s="49" t="s">
        <v>13466</v>
      </c>
      <c r="N4007" s="49">
        <v>2005.0</v>
      </c>
      <c r="O4007" s="49" t="s">
        <v>388</v>
      </c>
      <c r="P4007" s="49">
        <v>1.0</v>
      </c>
      <c r="Q4007" s="56"/>
      <c r="R4007" s="288"/>
      <c r="S4007" s="34"/>
      <c r="T4007" s="34"/>
      <c r="U4007" s="34"/>
      <c r="V4007" s="34"/>
      <c r="W4007" s="34"/>
      <c r="X4007" s="34"/>
      <c r="Y4007" s="284"/>
      <c r="Z4007" s="284"/>
      <c r="AA4007" s="284"/>
      <c r="AB4007" s="284"/>
      <c r="AC4007" s="284"/>
      <c r="AD4007" s="284"/>
      <c r="AE4007" s="284"/>
      <c r="AF4007" s="284"/>
      <c r="AG4007" s="284"/>
      <c r="AH4007" s="284"/>
      <c r="AI4007" s="284"/>
      <c r="AJ4007" s="284"/>
      <c r="AK4007" s="284"/>
      <c r="AL4007" s="284"/>
    </row>
    <row r="4008" ht="15.0" customHeight="1">
      <c r="A4008" s="115">
        <f t="shared" si="29"/>
        <v>4827</v>
      </c>
      <c r="B4008" s="49" t="s">
        <v>31</v>
      </c>
      <c r="C4008" s="272" t="s">
        <v>31</v>
      </c>
      <c r="D4008" s="55" t="s">
        <v>2348</v>
      </c>
      <c r="E4008" s="49" t="s">
        <v>28</v>
      </c>
      <c r="F4008" s="49" t="s">
        <v>29</v>
      </c>
      <c r="G4008" s="49" t="s">
        <v>98</v>
      </c>
      <c r="H4008" s="49"/>
      <c r="I4008" s="49" t="s">
        <v>2184</v>
      </c>
      <c r="J4008" s="49">
        <v>1434.0</v>
      </c>
      <c r="K4008" s="49"/>
      <c r="L4008" s="49" t="s">
        <v>13467</v>
      </c>
      <c r="M4008" s="49" t="s">
        <v>1231</v>
      </c>
      <c r="N4008" s="49">
        <v>1962.0</v>
      </c>
      <c r="O4008" s="49" t="s">
        <v>388</v>
      </c>
      <c r="P4008" s="49">
        <v>1.0</v>
      </c>
      <c r="Q4008" s="56"/>
      <c r="R4008" s="288"/>
      <c r="S4008" s="34"/>
      <c r="T4008" s="34"/>
      <c r="U4008" s="34"/>
      <c r="V4008" s="34"/>
      <c r="W4008" s="34"/>
      <c r="X4008" s="34"/>
      <c r="Y4008" s="284"/>
      <c r="Z4008" s="284"/>
      <c r="AA4008" s="284"/>
      <c r="AB4008" s="284"/>
      <c r="AC4008" s="284"/>
      <c r="AD4008" s="284"/>
      <c r="AE4008" s="284"/>
      <c r="AF4008" s="284"/>
      <c r="AG4008" s="284"/>
      <c r="AH4008" s="284"/>
      <c r="AI4008" s="284"/>
      <c r="AJ4008" s="284"/>
      <c r="AK4008" s="284"/>
      <c r="AL4008" s="284"/>
    </row>
    <row r="4009" ht="15.75" hidden="1" customHeight="1">
      <c r="A4009" s="27">
        <f t="shared" si="29"/>
        <v>4828</v>
      </c>
      <c r="B4009" s="63" t="s">
        <v>13468</v>
      </c>
      <c r="C4009" s="275" t="s">
        <v>13469</v>
      </c>
      <c r="D4009" s="65" t="s">
        <v>13470</v>
      </c>
      <c r="E4009" s="63" t="s">
        <v>144</v>
      </c>
      <c r="F4009" s="63" t="s">
        <v>29</v>
      </c>
      <c r="G4009" s="63" t="s">
        <v>30</v>
      </c>
      <c r="H4009" s="63"/>
      <c r="I4009" s="63" t="s">
        <v>30</v>
      </c>
      <c r="J4009" s="63">
        <v>128.0</v>
      </c>
      <c r="K4009" s="63"/>
      <c r="L4009" s="63" t="s">
        <v>13471</v>
      </c>
      <c r="M4009" s="63" t="s">
        <v>3109</v>
      </c>
      <c r="N4009" s="63">
        <v>2002.0</v>
      </c>
      <c r="O4009" s="63"/>
      <c r="P4009" s="63">
        <v>1.0</v>
      </c>
      <c r="Q4009" s="300">
        <v>1.0</v>
      </c>
      <c r="R4009" s="315"/>
      <c r="S4009" s="34"/>
      <c r="T4009" s="34"/>
      <c r="U4009" s="34"/>
      <c r="V4009" s="34"/>
      <c r="W4009" s="34"/>
      <c r="X4009" s="34"/>
      <c r="Y4009" s="284"/>
      <c r="Z4009" s="284"/>
      <c r="AA4009" s="284"/>
      <c r="AB4009" s="284"/>
      <c r="AC4009" s="284"/>
      <c r="AD4009" s="284"/>
      <c r="AE4009" s="284"/>
      <c r="AF4009" s="284"/>
      <c r="AG4009" s="284"/>
      <c r="AH4009" s="284"/>
      <c r="AI4009" s="284"/>
      <c r="AJ4009" s="284"/>
      <c r="AK4009" s="284"/>
      <c r="AL4009" s="284"/>
    </row>
    <row r="4010" ht="15.75" customHeight="1">
      <c r="A4010" s="115">
        <f t="shared" si="29"/>
        <v>4829</v>
      </c>
      <c r="B4010" s="49" t="s">
        <v>31</v>
      </c>
      <c r="C4010" s="272" t="s">
        <v>31</v>
      </c>
      <c r="D4010" s="55" t="s">
        <v>13472</v>
      </c>
      <c r="E4010" s="49" t="s">
        <v>31</v>
      </c>
      <c r="F4010" s="49" t="s">
        <v>29</v>
      </c>
      <c r="G4010" s="49" t="s">
        <v>37</v>
      </c>
      <c r="H4010" s="49"/>
      <c r="I4010" s="49" t="s">
        <v>38</v>
      </c>
      <c r="J4010" s="49">
        <v>22.0</v>
      </c>
      <c r="K4010" s="49"/>
      <c r="L4010" s="49" t="s">
        <v>1210</v>
      </c>
      <c r="M4010" s="49" t="s">
        <v>1203</v>
      </c>
      <c r="N4010" s="49" t="s">
        <v>31</v>
      </c>
      <c r="O4010" s="49" t="s">
        <v>388</v>
      </c>
      <c r="P4010" s="49">
        <v>3.0</v>
      </c>
      <c r="Q4010" s="56"/>
      <c r="R4010" s="288"/>
      <c r="S4010" s="34"/>
      <c r="T4010" s="34"/>
      <c r="U4010" s="34"/>
      <c r="V4010" s="34"/>
      <c r="W4010" s="34"/>
      <c r="X4010" s="34"/>
      <c r="Y4010" s="284"/>
      <c r="Z4010" s="284"/>
      <c r="AA4010" s="284"/>
      <c r="AB4010" s="284"/>
      <c r="AC4010" s="284"/>
      <c r="AD4010" s="284"/>
      <c r="AE4010" s="284"/>
      <c r="AF4010" s="284"/>
      <c r="AG4010" s="284"/>
      <c r="AH4010" s="284"/>
      <c r="AI4010" s="284"/>
      <c r="AJ4010" s="284"/>
      <c r="AK4010" s="284"/>
      <c r="AL4010" s="284"/>
    </row>
    <row r="4011" ht="15.75" customHeight="1">
      <c r="A4011" s="115">
        <f t="shared" si="29"/>
        <v>4830</v>
      </c>
      <c r="B4011" s="49" t="s">
        <v>31</v>
      </c>
      <c r="C4011" s="272" t="s">
        <v>31</v>
      </c>
      <c r="D4011" s="55" t="s">
        <v>13473</v>
      </c>
      <c r="E4011" s="49" t="s">
        <v>31</v>
      </c>
      <c r="F4011" s="49" t="s">
        <v>29</v>
      </c>
      <c r="G4011" s="49" t="s">
        <v>30</v>
      </c>
      <c r="H4011" s="49"/>
      <c r="I4011" s="49" t="s">
        <v>30</v>
      </c>
      <c r="J4011" s="49">
        <v>27.0</v>
      </c>
      <c r="K4011" s="49"/>
      <c r="L4011" s="49" t="s">
        <v>13285</v>
      </c>
      <c r="M4011" s="49" t="s">
        <v>13286</v>
      </c>
      <c r="N4011" s="49" t="s">
        <v>31</v>
      </c>
      <c r="O4011" s="49" t="s">
        <v>388</v>
      </c>
      <c r="P4011" s="49">
        <v>1.0</v>
      </c>
      <c r="Q4011" s="56"/>
      <c r="R4011" s="301"/>
      <c r="S4011" s="185"/>
      <c r="T4011" s="185"/>
      <c r="U4011" s="185"/>
      <c r="V4011" s="185"/>
      <c r="W4011" s="185"/>
      <c r="X4011" s="185"/>
      <c r="Y4011" s="284"/>
      <c r="Z4011" s="284"/>
      <c r="AA4011" s="284"/>
      <c r="AB4011" s="284"/>
      <c r="AC4011" s="284"/>
      <c r="AD4011" s="284"/>
      <c r="AE4011" s="284"/>
      <c r="AF4011" s="284"/>
      <c r="AG4011" s="284"/>
      <c r="AH4011" s="284"/>
      <c r="AI4011" s="284"/>
      <c r="AJ4011" s="284"/>
      <c r="AK4011" s="284"/>
      <c r="AL4011" s="284"/>
    </row>
    <row r="4012" ht="15.75" customHeight="1">
      <c r="A4012" s="115">
        <f t="shared" si="29"/>
        <v>4831</v>
      </c>
      <c r="B4012" s="49" t="s">
        <v>31</v>
      </c>
      <c r="C4012" s="272" t="s">
        <v>31</v>
      </c>
      <c r="D4012" s="55" t="s">
        <v>13474</v>
      </c>
      <c r="E4012" s="49" t="s">
        <v>31</v>
      </c>
      <c r="F4012" s="49" t="s">
        <v>29</v>
      </c>
      <c r="G4012" s="49" t="s">
        <v>30</v>
      </c>
      <c r="H4012" s="49"/>
      <c r="I4012" s="49" t="s">
        <v>30</v>
      </c>
      <c r="J4012" s="49">
        <v>27.0</v>
      </c>
      <c r="K4012" s="49"/>
      <c r="L4012" s="49" t="s">
        <v>13374</v>
      </c>
      <c r="M4012" s="49" t="s">
        <v>13286</v>
      </c>
      <c r="N4012" s="49" t="s">
        <v>31</v>
      </c>
      <c r="O4012" s="49" t="s">
        <v>388</v>
      </c>
      <c r="P4012" s="49">
        <v>1.0</v>
      </c>
      <c r="Q4012" s="56"/>
      <c r="R4012" s="301"/>
      <c r="S4012" s="185"/>
      <c r="T4012" s="185"/>
      <c r="U4012" s="185"/>
      <c r="V4012" s="185"/>
      <c r="W4012" s="185"/>
      <c r="X4012" s="185"/>
      <c r="Y4012" s="284"/>
      <c r="Z4012" s="284"/>
      <c r="AA4012" s="284"/>
      <c r="AB4012" s="284"/>
      <c r="AC4012" s="284"/>
      <c r="AD4012" s="284"/>
      <c r="AE4012" s="284"/>
      <c r="AF4012" s="284"/>
      <c r="AG4012" s="284"/>
      <c r="AH4012" s="284"/>
      <c r="AI4012" s="284"/>
      <c r="AJ4012" s="284"/>
      <c r="AK4012" s="284"/>
      <c r="AL4012" s="284"/>
    </row>
    <row r="4013" ht="15.75" customHeight="1">
      <c r="A4013" s="115">
        <f t="shared" si="29"/>
        <v>4832</v>
      </c>
      <c r="B4013" s="49" t="s">
        <v>31</v>
      </c>
      <c r="C4013" s="272" t="s">
        <v>31</v>
      </c>
      <c r="D4013" s="55" t="s">
        <v>13475</v>
      </c>
      <c r="E4013" s="49" t="s">
        <v>31</v>
      </c>
      <c r="F4013" s="49" t="s">
        <v>29</v>
      </c>
      <c r="G4013" s="49" t="s">
        <v>30</v>
      </c>
      <c r="H4013" s="49"/>
      <c r="I4013" s="49" t="s">
        <v>30</v>
      </c>
      <c r="J4013" s="49">
        <v>64.0</v>
      </c>
      <c r="K4013" s="49"/>
      <c r="L4013" s="49" t="s">
        <v>13285</v>
      </c>
      <c r="M4013" s="49" t="s">
        <v>13286</v>
      </c>
      <c r="N4013" s="49">
        <v>1989.0</v>
      </c>
      <c r="O4013" s="49" t="s">
        <v>388</v>
      </c>
      <c r="P4013" s="49">
        <v>1.0</v>
      </c>
      <c r="Q4013" s="56"/>
      <c r="R4013" s="288"/>
      <c r="S4013" s="34"/>
      <c r="T4013" s="34"/>
      <c r="U4013" s="34"/>
      <c r="V4013" s="34"/>
      <c r="W4013" s="34"/>
      <c r="X4013" s="34"/>
      <c r="Y4013" s="284"/>
      <c r="Z4013" s="284"/>
      <c r="AA4013" s="284"/>
      <c r="AB4013" s="284"/>
      <c r="AC4013" s="284"/>
      <c r="AD4013" s="284"/>
      <c r="AE4013" s="284"/>
      <c r="AF4013" s="284"/>
      <c r="AG4013" s="284"/>
      <c r="AH4013" s="284"/>
      <c r="AI4013" s="284"/>
      <c r="AJ4013" s="284"/>
      <c r="AK4013" s="284"/>
      <c r="AL4013" s="284"/>
    </row>
    <row r="4014" ht="15.75" customHeight="1">
      <c r="A4014" s="115">
        <f t="shared" si="29"/>
        <v>4833</v>
      </c>
      <c r="B4014" s="49" t="s">
        <v>31</v>
      </c>
      <c r="C4014" s="272" t="s">
        <v>31</v>
      </c>
      <c r="D4014" s="55" t="s">
        <v>13476</v>
      </c>
      <c r="E4014" s="49" t="s">
        <v>31</v>
      </c>
      <c r="F4014" s="49" t="s">
        <v>29</v>
      </c>
      <c r="G4014" s="49" t="s">
        <v>30</v>
      </c>
      <c r="H4014" s="49"/>
      <c r="I4014" s="49" t="s">
        <v>30</v>
      </c>
      <c r="J4014" s="49">
        <v>51.0</v>
      </c>
      <c r="K4014" s="49"/>
      <c r="L4014" s="49" t="s">
        <v>13285</v>
      </c>
      <c r="M4014" s="49" t="s">
        <v>13286</v>
      </c>
      <c r="N4014" s="49">
        <v>1994.0</v>
      </c>
      <c r="O4014" s="49" t="s">
        <v>388</v>
      </c>
      <c r="P4014" s="49">
        <v>1.0</v>
      </c>
      <c r="Q4014" s="56"/>
      <c r="R4014" s="288"/>
      <c r="S4014" s="34"/>
      <c r="T4014" s="34"/>
      <c r="U4014" s="34"/>
      <c r="V4014" s="34"/>
      <c r="W4014" s="34"/>
      <c r="X4014" s="34"/>
      <c r="Y4014" s="284"/>
      <c r="Z4014" s="284"/>
      <c r="AA4014" s="284"/>
      <c r="AB4014" s="284"/>
      <c r="AC4014" s="284"/>
      <c r="AD4014" s="284"/>
      <c r="AE4014" s="284"/>
      <c r="AF4014" s="284"/>
      <c r="AG4014" s="284"/>
      <c r="AH4014" s="284"/>
      <c r="AI4014" s="284"/>
      <c r="AJ4014" s="284"/>
      <c r="AK4014" s="284"/>
      <c r="AL4014" s="284"/>
    </row>
    <row r="4015" ht="15.75" customHeight="1">
      <c r="A4015" s="115">
        <f t="shared" si="29"/>
        <v>4834</v>
      </c>
      <c r="B4015" s="49" t="s">
        <v>31</v>
      </c>
      <c r="C4015" s="272" t="s">
        <v>31</v>
      </c>
      <c r="D4015" s="55" t="s">
        <v>13477</v>
      </c>
      <c r="E4015" s="49" t="s">
        <v>31</v>
      </c>
      <c r="F4015" s="49" t="s">
        <v>29</v>
      </c>
      <c r="G4015" s="49" t="s">
        <v>30</v>
      </c>
      <c r="H4015" s="49"/>
      <c r="I4015" s="49" t="s">
        <v>30</v>
      </c>
      <c r="J4015" s="49">
        <v>78.0</v>
      </c>
      <c r="K4015" s="49"/>
      <c r="L4015" s="49" t="s">
        <v>12961</v>
      </c>
      <c r="M4015" s="49" t="s">
        <v>31</v>
      </c>
      <c r="N4015" s="49" t="s">
        <v>31</v>
      </c>
      <c r="O4015" s="49" t="s">
        <v>388</v>
      </c>
      <c r="P4015" s="49">
        <v>1.0</v>
      </c>
      <c r="Q4015" s="56"/>
      <c r="R4015" s="288"/>
      <c r="S4015" s="34"/>
      <c r="T4015" s="34"/>
      <c r="U4015" s="34"/>
      <c r="V4015" s="34"/>
      <c r="W4015" s="34"/>
      <c r="X4015" s="34"/>
      <c r="Y4015" s="284"/>
      <c r="Z4015" s="284"/>
      <c r="AA4015" s="284"/>
      <c r="AB4015" s="284"/>
      <c r="AC4015" s="284"/>
      <c r="AD4015" s="284"/>
      <c r="AE4015" s="284"/>
      <c r="AF4015" s="284"/>
      <c r="AG4015" s="284"/>
      <c r="AH4015" s="284"/>
      <c r="AI4015" s="284"/>
      <c r="AJ4015" s="284"/>
      <c r="AK4015" s="284"/>
      <c r="AL4015" s="284"/>
    </row>
    <row r="4016" ht="15.75" customHeight="1">
      <c r="A4016" s="115">
        <f t="shared" si="29"/>
        <v>4835</v>
      </c>
      <c r="B4016" s="49" t="s">
        <v>13478</v>
      </c>
      <c r="C4016" s="272" t="s">
        <v>31</v>
      </c>
      <c r="D4016" s="55" t="s">
        <v>13479</v>
      </c>
      <c r="E4016" s="49" t="s">
        <v>137</v>
      </c>
      <c r="F4016" s="49" t="s">
        <v>29</v>
      </c>
      <c r="G4016" s="49" t="s">
        <v>38</v>
      </c>
      <c r="H4016" s="49"/>
      <c r="I4016" s="49" t="s">
        <v>38</v>
      </c>
      <c r="J4016" s="49">
        <v>372.0</v>
      </c>
      <c r="K4016" s="49"/>
      <c r="L4016" s="49" t="s">
        <v>13480</v>
      </c>
      <c r="M4016" s="49" t="s">
        <v>1191</v>
      </c>
      <c r="N4016" s="49">
        <v>1994.0</v>
      </c>
      <c r="O4016" s="49" t="s">
        <v>388</v>
      </c>
      <c r="P4016" s="49">
        <v>1.0</v>
      </c>
      <c r="Q4016" s="56"/>
      <c r="R4016" s="301"/>
      <c r="S4016" s="185"/>
      <c r="T4016" s="185"/>
      <c r="U4016" s="185"/>
      <c r="V4016" s="185"/>
      <c r="W4016" s="185"/>
      <c r="X4016" s="185"/>
      <c r="Y4016" s="284"/>
      <c r="Z4016" s="284"/>
      <c r="AA4016" s="284"/>
      <c r="AB4016" s="284"/>
      <c r="AC4016" s="284"/>
      <c r="AD4016" s="284"/>
      <c r="AE4016" s="284"/>
      <c r="AF4016" s="284"/>
      <c r="AG4016" s="284"/>
      <c r="AH4016" s="284"/>
      <c r="AI4016" s="284"/>
      <c r="AJ4016" s="284"/>
      <c r="AK4016" s="284"/>
      <c r="AL4016" s="284"/>
    </row>
    <row r="4017" ht="15.75" customHeight="1">
      <c r="A4017" s="115">
        <f t="shared" si="29"/>
        <v>4836</v>
      </c>
      <c r="B4017" s="49" t="s">
        <v>31</v>
      </c>
      <c r="C4017" s="272" t="s">
        <v>31</v>
      </c>
      <c r="D4017" s="55" t="s">
        <v>13481</v>
      </c>
      <c r="E4017" s="49" t="s">
        <v>137</v>
      </c>
      <c r="F4017" s="49" t="s">
        <v>29</v>
      </c>
      <c r="G4017" s="49" t="s">
        <v>30</v>
      </c>
      <c r="H4017" s="49"/>
      <c r="I4017" s="49" t="s">
        <v>30</v>
      </c>
      <c r="J4017" s="49">
        <v>96.0</v>
      </c>
      <c r="K4017" s="49"/>
      <c r="L4017" s="49" t="s">
        <v>31</v>
      </c>
      <c r="M4017" s="49" t="s">
        <v>13482</v>
      </c>
      <c r="N4017" s="49" t="s">
        <v>31</v>
      </c>
      <c r="O4017" s="49" t="s">
        <v>388</v>
      </c>
      <c r="P4017" s="49">
        <v>1.0</v>
      </c>
      <c r="Q4017" s="56"/>
      <c r="R4017" s="288"/>
      <c r="S4017" s="34"/>
      <c r="T4017" s="34"/>
      <c r="U4017" s="34"/>
      <c r="V4017" s="34"/>
      <c r="W4017" s="34"/>
      <c r="X4017" s="34"/>
      <c r="Y4017" s="284"/>
      <c r="Z4017" s="284"/>
      <c r="AA4017" s="284"/>
      <c r="AB4017" s="284"/>
      <c r="AC4017" s="284"/>
      <c r="AD4017" s="284"/>
      <c r="AE4017" s="284"/>
      <c r="AF4017" s="284"/>
      <c r="AG4017" s="284"/>
      <c r="AH4017" s="284"/>
      <c r="AI4017" s="284"/>
      <c r="AJ4017" s="284"/>
      <c r="AK4017" s="284"/>
      <c r="AL4017" s="284"/>
    </row>
    <row r="4018" ht="15.75" customHeight="1">
      <c r="A4018" s="115">
        <f t="shared" si="29"/>
        <v>4837</v>
      </c>
      <c r="B4018" s="49" t="s">
        <v>13483</v>
      </c>
      <c r="C4018" s="272" t="s">
        <v>31</v>
      </c>
      <c r="D4018" s="55" t="s">
        <v>13484</v>
      </c>
      <c r="E4018" s="49" t="s">
        <v>137</v>
      </c>
      <c r="F4018" s="49" t="s">
        <v>29</v>
      </c>
      <c r="G4018" s="49" t="s">
        <v>30</v>
      </c>
      <c r="H4018" s="49"/>
      <c r="I4018" s="49" t="s">
        <v>30</v>
      </c>
      <c r="J4018" s="49">
        <v>32.0</v>
      </c>
      <c r="K4018" s="49"/>
      <c r="L4018" s="49" t="s">
        <v>13485</v>
      </c>
      <c r="M4018" s="49" t="s">
        <v>13486</v>
      </c>
      <c r="N4018" s="49">
        <v>2007.0</v>
      </c>
      <c r="O4018" s="49" t="s">
        <v>388</v>
      </c>
      <c r="P4018" s="49">
        <v>1.0</v>
      </c>
      <c r="Q4018" s="56"/>
      <c r="R4018" s="288"/>
      <c r="S4018" s="34"/>
      <c r="T4018" s="34"/>
      <c r="U4018" s="34"/>
      <c r="V4018" s="34"/>
      <c r="W4018" s="34"/>
      <c r="X4018" s="34"/>
      <c r="Y4018" s="284"/>
      <c r="Z4018" s="284"/>
      <c r="AA4018" s="284"/>
      <c r="AB4018" s="284"/>
      <c r="AC4018" s="284"/>
      <c r="AD4018" s="284"/>
      <c r="AE4018" s="284"/>
      <c r="AF4018" s="284"/>
      <c r="AG4018" s="284"/>
      <c r="AH4018" s="284"/>
      <c r="AI4018" s="284"/>
      <c r="AJ4018" s="284"/>
      <c r="AK4018" s="284"/>
      <c r="AL4018" s="284"/>
    </row>
    <row r="4019" ht="15.75" customHeight="1">
      <c r="A4019" s="115">
        <f t="shared" si="29"/>
        <v>4838</v>
      </c>
      <c r="B4019" s="49" t="s">
        <v>31</v>
      </c>
      <c r="C4019" s="272" t="s">
        <v>31</v>
      </c>
      <c r="D4019" s="55" t="s">
        <v>13487</v>
      </c>
      <c r="E4019" s="49" t="s">
        <v>137</v>
      </c>
      <c r="F4019" s="49" t="s">
        <v>29</v>
      </c>
      <c r="G4019" s="49" t="s">
        <v>30</v>
      </c>
      <c r="H4019" s="49"/>
      <c r="I4019" s="49" t="s">
        <v>30</v>
      </c>
      <c r="J4019" s="49">
        <v>72.0</v>
      </c>
      <c r="K4019" s="49"/>
      <c r="L4019" s="49" t="s">
        <v>13488</v>
      </c>
      <c r="M4019" s="49" t="s">
        <v>13489</v>
      </c>
      <c r="N4019" s="49">
        <v>2000.0</v>
      </c>
      <c r="O4019" s="49" t="s">
        <v>388</v>
      </c>
      <c r="P4019" s="49">
        <v>1.0</v>
      </c>
      <c r="Q4019" s="56"/>
      <c r="R4019" s="288"/>
      <c r="S4019" s="34"/>
      <c r="T4019" s="34"/>
      <c r="U4019" s="34"/>
      <c r="V4019" s="34"/>
      <c r="W4019" s="34"/>
      <c r="X4019" s="34"/>
      <c r="Y4019" s="284"/>
      <c r="Z4019" s="284"/>
      <c r="AA4019" s="284"/>
      <c r="AB4019" s="284"/>
      <c r="AC4019" s="284"/>
      <c r="AD4019" s="284"/>
      <c r="AE4019" s="284"/>
      <c r="AF4019" s="284"/>
      <c r="AG4019" s="284"/>
      <c r="AH4019" s="284"/>
      <c r="AI4019" s="284"/>
      <c r="AJ4019" s="284"/>
      <c r="AK4019" s="284"/>
      <c r="AL4019" s="284"/>
    </row>
    <row r="4020" ht="15.75" customHeight="1">
      <c r="A4020" s="115">
        <f t="shared" si="29"/>
        <v>4839</v>
      </c>
      <c r="B4020" s="49" t="s">
        <v>31</v>
      </c>
      <c r="C4020" s="272" t="s">
        <v>31</v>
      </c>
      <c r="D4020" s="55" t="s">
        <v>13490</v>
      </c>
      <c r="E4020" s="49" t="s">
        <v>31</v>
      </c>
      <c r="F4020" s="49" t="s">
        <v>29</v>
      </c>
      <c r="G4020" s="49" t="s">
        <v>30</v>
      </c>
      <c r="H4020" s="49"/>
      <c r="I4020" s="49" t="s">
        <v>30</v>
      </c>
      <c r="J4020" s="49">
        <v>69.0</v>
      </c>
      <c r="K4020" s="49"/>
      <c r="L4020" s="49" t="s">
        <v>13285</v>
      </c>
      <c r="M4020" s="49" t="s">
        <v>13286</v>
      </c>
      <c r="N4020" s="49" t="s">
        <v>31</v>
      </c>
      <c r="O4020" s="49" t="s">
        <v>388</v>
      </c>
      <c r="P4020" s="49">
        <v>1.0</v>
      </c>
      <c r="Q4020" s="56"/>
      <c r="R4020" s="288"/>
      <c r="S4020" s="34"/>
      <c r="T4020" s="34"/>
      <c r="U4020" s="34"/>
      <c r="V4020" s="34"/>
      <c r="W4020" s="34"/>
      <c r="X4020" s="34"/>
      <c r="Y4020" s="284"/>
      <c r="Z4020" s="284"/>
      <c r="AA4020" s="284"/>
      <c r="AB4020" s="284"/>
      <c r="AC4020" s="284"/>
      <c r="AD4020" s="284"/>
      <c r="AE4020" s="284"/>
      <c r="AF4020" s="284"/>
      <c r="AG4020" s="284"/>
      <c r="AH4020" s="284"/>
      <c r="AI4020" s="284"/>
      <c r="AJ4020" s="284"/>
      <c r="AK4020" s="284"/>
      <c r="AL4020" s="284"/>
    </row>
    <row r="4021" ht="15.75" customHeight="1">
      <c r="A4021" s="115">
        <f t="shared" si="29"/>
        <v>4840</v>
      </c>
      <c r="B4021" s="49" t="s">
        <v>31</v>
      </c>
      <c r="C4021" s="272" t="s">
        <v>31</v>
      </c>
      <c r="D4021" s="55" t="s">
        <v>13491</v>
      </c>
      <c r="E4021" s="49" t="s">
        <v>31</v>
      </c>
      <c r="F4021" s="49" t="s">
        <v>29</v>
      </c>
      <c r="G4021" s="49" t="s">
        <v>30</v>
      </c>
      <c r="H4021" s="49"/>
      <c r="I4021" s="49" t="s">
        <v>30</v>
      </c>
      <c r="J4021" s="49" t="s">
        <v>31</v>
      </c>
      <c r="K4021" s="49"/>
      <c r="L4021" s="49" t="s">
        <v>13492</v>
      </c>
      <c r="M4021" s="49" t="s">
        <v>13493</v>
      </c>
      <c r="N4021" s="49" t="s">
        <v>31</v>
      </c>
      <c r="O4021" s="49" t="s">
        <v>388</v>
      </c>
      <c r="P4021" s="49">
        <v>2.0</v>
      </c>
      <c r="Q4021" s="56"/>
      <c r="R4021" s="288"/>
      <c r="S4021" s="116"/>
      <c r="T4021" s="116"/>
      <c r="U4021" s="116"/>
      <c r="V4021" s="116"/>
      <c r="W4021" s="116"/>
      <c r="X4021" s="116"/>
      <c r="Y4021" s="284"/>
      <c r="Z4021" s="284"/>
      <c r="AA4021" s="284"/>
      <c r="AB4021" s="284"/>
      <c r="AC4021" s="284"/>
      <c r="AD4021" s="284"/>
      <c r="AE4021" s="284"/>
      <c r="AF4021" s="284"/>
      <c r="AG4021" s="284"/>
      <c r="AH4021" s="284"/>
      <c r="AI4021" s="284"/>
      <c r="AJ4021" s="284"/>
      <c r="AK4021" s="284"/>
      <c r="AL4021" s="284"/>
    </row>
    <row r="4022" ht="17.25" customHeight="1">
      <c r="A4022" s="115">
        <f t="shared" si="29"/>
        <v>4841</v>
      </c>
      <c r="B4022" s="49" t="s">
        <v>31</v>
      </c>
      <c r="C4022" s="272" t="s">
        <v>31</v>
      </c>
      <c r="D4022" s="55" t="s">
        <v>13494</v>
      </c>
      <c r="E4022" s="49" t="s">
        <v>31</v>
      </c>
      <c r="F4022" s="49" t="s">
        <v>29</v>
      </c>
      <c r="G4022" s="49" t="s">
        <v>30</v>
      </c>
      <c r="H4022" s="49"/>
      <c r="I4022" s="49" t="s">
        <v>30</v>
      </c>
      <c r="J4022" s="49">
        <v>6.0</v>
      </c>
      <c r="K4022" s="49"/>
      <c r="L4022" s="49" t="s">
        <v>31</v>
      </c>
      <c r="M4022" s="49" t="s">
        <v>31</v>
      </c>
      <c r="N4022" s="49" t="s">
        <v>31</v>
      </c>
      <c r="O4022" s="49" t="s">
        <v>388</v>
      </c>
      <c r="P4022" s="49">
        <v>2.0</v>
      </c>
      <c r="Q4022" s="56"/>
      <c r="R4022" s="288"/>
      <c r="S4022" s="34"/>
      <c r="T4022" s="34"/>
      <c r="U4022" s="34"/>
      <c r="V4022" s="34"/>
      <c r="W4022" s="34"/>
      <c r="X4022" s="34"/>
      <c r="Y4022" s="284"/>
      <c r="Z4022" s="284"/>
      <c r="AA4022" s="284"/>
      <c r="AB4022" s="284"/>
      <c r="AC4022" s="284"/>
      <c r="AD4022" s="284"/>
      <c r="AE4022" s="284"/>
      <c r="AF4022" s="284"/>
      <c r="AG4022" s="284"/>
      <c r="AH4022" s="284"/>
      <c r="AI4022" s="284"/>
      <c r="AJ4022" s="284"/>
      <c r="AK4022" s="284"/>
      <c r="AL4022" s="284"/>
    </row>
    <row r="4023" ht="15.75" customHeight="1">
      <c r="A4023" s="115">
        <f t="shared" si="29"/>
        <v>4842</v>
      </c>
      <c r="B4023" s="49" t="s">
        <v>31</v>
      </c>
      <c r="C4023" s="272" t="s">
        <v>31</v>
      </c>
      <c r="D4023" s="55" t="s">
        <v>13495</v>
      </c>
      <c r="E4023" s="49"/>
      <c r="F4023" s="49" t="s">
        <v>29</v>
      </c>
      <c r="G4023" s="49" t="s">
        <v>37</v>
      </c>
      <c r="H4023" s="49"/>
      <c r="I4023" s="49" t="s">
        <v>38</v>
      </c>
      <c r="J4023" s="49">
        <v>239.0</v>
      </c>
      <c r="K4023" s="49"/>
      <c r="L4023" s="49" t="s">
        <v>6913</v>
      </c>
      <c r="M4023" s="49" t="s">
        <v>13496</v>
      </c>
      <c r="N4023" s="49">
        <v>2007.0</v>
      </c>
      <c r="O4023" s="49" t="s">
        <v>388</v>
      </c>
      <c r="P4023" s="49">
        <v>1.0</v>
      </c>
      <c r="Q4023" s="56"/>
      <c r="R4023" s="288"/>
      <c r="S4023" s="34"/>
      <c r="T4023" s="34"/>
      <c r="U4023" s="34"/>
      <c r="V4023" s="34"/>
      <c r="W4023" s="34"/>
      <c r="X4023" s="34"/>
      <c r="Y4023" s="284"/>
      <c r="Z4023" s="284"/>
      <c r="AA4023" s="284"/>
      <c r="AB4023" s="284"/>
      <c r="AC4023" s="284"/>
      <c r="AD4023" s="284"/>
      <c r="AE4023" s="284"/>
      <c r="AF4023" s="284"/>
      <c r="AG4023" s="284"/>
      <c r="AH4023" s="284"/>
      <c r="AI4023" s="284"/>
      <c r="AJ4023" s="284"/>
      <c r="AK4023" s="284"/>
      <c r="AL4023" s="284"/>
    </row>
    <row r="4024" ht="15.75" customHeight="1">
      <c r="A4024" s="115">
        <f t="shared" si="29"/>
        <v>4843</v>
      </c>
      <c r="B4024" s="49" t="s">
        <v>13497</v>
      </c>
      <c r="C4024" s="272" t="s">
        <v>31</v>
      </c>
      <c r="D4024" s="55" t="s">
        <v>13498</v>
      </c>
      <c r="E4024" s="49" t="s">
        <v>92</v>
      </c>
      <c r="F4024" s="49" t="s">
        <v>29</v>
      </c>
      <c r="G4024" s="49" t="s">
        <v>37</v>
      </c>
      <c r="H4024" s="49"/>
      <c r="I4024" s="49" t="s">
        <v>38</v>
      </c>
      <c r="J4024" s="49">
        <v>1.232</v>
      </c>
      <c r="K4024" s="49"/>
      <c r="L4024" s="49" t="s">
        <v>31</v>
      </c>
      <c r="M4024" s="49" t="s">
        <v>230</v>
      </c>
      <c r="N4024" s="49">
        <v>1979.0</v>
      </c>
      <c r="O4024" s="49" t="s">
        <v>388</v>
      </c>
      <c r="P4024" s="49">
        <v>1.0</v>
      </c>
      <c r="Q4024" s="56"/>
      <c r="R4024" s="288"/>
      <c r="S4024" s="34"/>
      <c r="T4024" s="34"/>
      <c r="U4024" s="34"/>
      <c r="V4024" s="34"/>
      <c r="W4024" s="34"/>
      <c r="X4024" s="34"/>
      <c r="Y4024" s="284"/>
      <c r="Z4024" s="284"/>
      <c r="AA4024" s="284"/>
      <c r="AB4024" s="284"/>
      <c r="AC4024" s="284"/>
      <c r="AD4024" s="284"/>
      <c r="AE4024" s="284"/>
      <c r="AF4024" s="284"/>
      <c r="AG4024" s="284"/>
      <c r="AH4024" s="284"/>
      <c r="AI4024" s="284"/>
      <c r="AJ4024" s="284"/>
      <c r="AK4024" s="284"/>
      <c r="AL4024" s="284"/>
    </row>
    <row r="4025" ht="15.75" customHeight="1">
      <c r="A4025" s="115">
        <f t="shared" si="29"/>
        <v>4844</v>
      </c>
      <c r="B4025" s="49" t="s">
        <v>31</v>
      </c>
      <c r="C4025" s="272" t="s">
        <v>31</v>
      </c>
      <c r="D4025" s="55" t="s">
        <v>13499</v>
      </c>
      <c r="E4025" s="49" t="s">
        <v>92</v>
      </c>
      <c r="F4025" s="49" t="s">
        <v>29</v>
      </c>
      <c r="G4025" s="49" t="s">
        <v>37</v>
      </c>
      <c r="H4025" s="49"/>
      <c r="I4025" s="49" t="s">
        <v>38</v>
      </c>
      <c r="J4025" s="49">
        <v>1090.0</v>
      </c>
      <c r="K4025" s="49"/>
      <c r="L4025" s="49" t="s">
        <v>13500</v>
      </c>
      <c r="M4025" s="49" t="s">
        <v>31</v>
      </c>
      <c r="N4025" s="49" t="s">
        <v>31</v>
      </c>
      <c r="O4025" s="49" t="s">
        <v>388</v>
      </c>
      <c r="P4025" s="49">
        <v>1.0</v>
      </c>
      <c r="Q4025" s="56"/>
      <c r="R4025" s="301"/>
      <c r="S4025" s="185"/>
      <c r="T4025" s="185"/>
      <c r="U4025" s="185"/>
      <c r="V4025" s="185"/>
      <c r="W4025" s="185"/>
      <c r="X4025" s="185"/>
      <c r="Y4025" s="284"/>
      <c r="Z4025" s="284"/>
      <c r="AA4025" s="284"/>
      <c r="AB4025" s="284"/>
      <c r="AC4025" s="284"/>
      <c r="AD4025" s="284"/>
      <c r="AE4025" s="284"/>
      <c r="AF4025" s="284"/>
      <c r="AG4025" s="284"/>
      <c r="AH4025" s="284"/>
      <c r="AI4025" s="284"/>
      <c r="AJ4025" s="284"/>
      <c r="AK4025" s="284"/>
      <c r="AL4025" s="284"/>
    </row>
    <row r="4026" ht="15.75" hidden="1" customHeight="1">
      <c r="A4026" s="27">
        <f t="shared" si="29"/>
        <v>4845</v>
      </c>
      <c r="B4026" s="28" t="s">
        <v>13501</v>
      </c>
      <c r="C4026" s="29" t="s">
        <v>13502</v>
      </c>
      <c r="D4026" s="39" t="s">
        <v>13503</v>
      </c>
      <c r="E4026" s="28" t="s">
        <v>31</v>
      </c>
      <c r="F4026" s="28" t="s">
        <v>29</v>
      </c>
      <c r="G4026" s="28" t="s">
        <v>13504</v>
      </c>
      <c r="H4026" s="28"/>
      <c r="I4026" s="28" t="s">
        <v>2184</v>
      </c>
      <c r="J4026" s="28">
        <v>434.0</v>
      </c>
      <c r="K4026" s="28"/>
      <c r="L4026" s="28" t="s">
        <v>13505</v>
      </c>
      <c r="M4026" s="28" t="s">
        <v>13506</v>
      </c>
      <c r="N4026" s="28">
        <v>1999.0</v>
      </c>
      <c r="O4026" s="60"/>
      <c r="P4026" s="28">
        <v>1.0</v>
      </c>
      <c r="Q4026" s="32"/>
      <c r="R4026" s="338"/>
      <c r="S4026" s="40"/>
      <c r="T4026" s="40"/>
      <c r="U4026" s="40"/>
      <c r="V4026" s="40"/>
      <c r="W4026" s="40"/>
      <c r="X4026" s="40"/>
      <c r="Y4026" s="284"/>
      <c r="Z4026" s="284"/>
      <c r="AA4026" s="284"/>
      <c r="AB4026" s="284"/>
      <c r="AC4026" s="284"/>
      <c r="AD4026" s="284"/>
      <c r="AE4026" s="284"/>
      <c r="AF4026" s="284"/>
      <c r="AG4026" s="284"/>
      <c r="AH4026" s="284"/>
      <c r="AI4026" s="284"/>
      <c r="AJ4026" s="284"/>
      <c r="AK4026" s="284"/>
      <c r="AL4026" s="284"/>
    </row>
    <row r="4027" ht="15.75" customHeight="1">
      <c r="A4027" s="115">
        <f t="shared" si="29"/>
        <v>4846</v>
      </c>
      <c r="B4027" s="49" t="s">
        <v>31</v>
      </c>
      <c r="C4027" s="272" t="s">
        <v>31</v>
      </c>
      <c r="D4027" s="55" t="s">
        <v>13507</v>
      </c>
      <c r="E4027" s="49"/>
      <c r="F4027" s="49" t="s">
        <v>29</v>
      </c>
      <c r="G4027" s="49" t="s">
        <v>31</v>
      </c>
      <c r="H4027" s="49"/>
      <c r="I4027" s="49" t="s">
        <v>38</v>
      </c>
      <c r="J4027" s="49">
        <v>77.0</v>
      </c>
      <c r="K4027" s="49"/>
      <c r="L4027" s="49" t="s">
        <v>13508</v>
      </c>
      <c r="M4027" s="49" t="s">
        <v>13509</v>
      </c>
      <c r="N4027" s="49">
        <v>1996.0</v>
      </c>
      <c r="O4027" s="49" t="s">
        <v>388</v>
      </c>
      <c r="P4027" s="49">
        <v>1.0</v>
      </c>
      <c r="Q4027" s="56"/>
      <c r="R4027" s="301"/>
      <c r="S4027" s="185"/>
      <c r="T4027" s="185"/>
      <c r="U4027" s="185"/>
      <c r="V4027" s="185"/>
      <c r="W4027" s="185"/>
      <c r="X4027" s="185"/>
      <c r="Y4027" s="284"/>
      <c r="Z4027" s="284"/>
      <c r="AA4027" s="284"/>
      <c r="AB4027" s="284"/>
      <c r="AC4027" s="284"/>
      <c r="AD4027" s="284"/>
      <c r="AE4027" s="284"/>
      <c r="AF4027" s="284"/>
      <c r="AG4027" s="284"/>
      <c r="AH4027" s="284"/>
      <c r="AI4027" s="284"/>
      <c r="AJ4027" s="284"/>
      <c r="AK4027" s="284"/>
      <c r="AL4027" s="284"/>
    </row>
    <row r="4028" ht="15.75" hidden="1" customHeight="1">
      <c r="A4028" s="27">
        <f t="shared" si="29"/>
        <v>4847</v>
      </c>
      <c r="B4028" s="63" t="s">
        <v>31</v>
      </c>
      <c r="C4028" s="275" t="s">
        <v>13510</v>
      </c>
      <c r="D4028" s="65" t="s">
        <v>13511</v>
      </c>
      <c r="E4028" s="63"/>
      <c r="F4028" s="63" t="s">
        <v>29</v>
      </c>
      <c r="G4028" s="63" t="s">
        <v>31</v>
      </c>
      <c r="H4028" s="63"/>
      <c r="I4028" s="63" t="s">
        <v>38</v>
      </c>
      <c r="J4028" s="63">
        <v>112.0</v>
      </c>
      <c r="K4028" s="63"/>
      <c r="L4028" s="63" t="s">
        <v>13512</v>
      </c>
      <c r="M4028" s="63" t="s">
        <v>13513</v>
      </c>
      <c r="N4028" s="63">
        <v>2004.0</v>
      </c>
      <c r="O4028" s="63"/>
      <c r="P4028" s="63">
        <v>1.0</v>
      </c>
      <c r="Q4028" s="276">
        <v>1.0</v>
      </c>
      <c r="R4028" s="315"/>
      <c r="S4028" s="34"/>
      <c r="T4028" s="34"/>
      <c r="U4028" s="34"/>
      <c r="V4028" s="34"/>
      <c r="W4028" s="34"/>
      <c r="X4028" s="34"/>
      <c r="Y4028" s="284"/>
      <c r="Z4028" s="284"/>
      <c r="AA4028" s="284"/>
      <c r="AB4028" s="284"/>
      <c r="AC4028" s="284"/>
      <c r="AD4028" s="284"/>
      <c r="AE4028" s="284"/>
      <c r="AF4028" s="284"/>
      <c r="AG4028" s="284"/>
      <c r="AH4028" s="284"/>
      <c r="AI4028" s="284"/>
      <c r="AJ4028" s="284"/>
      <c r="AK4028" s="284"/>
      <c r="AL4028" s="284"/>
    </row>
    <row r="4029" ht="15.75" hidden="1" customHeight="1">
      <c r="A4029" s="302">
        <f t="shared" si="29"/>
        <v>4848</v>
      </c>
      <c r="B4029" s="339"/>
      <c r="C4029" s="339" t="s">
        <v>13514</v>
      </c>
      <c r="D4029" s="340"/>
      <c r="E4029" s="341"/>
      <c r="F4029" s="339"/>
      <c r="G4029" s="339"/>
      <c r="H4029" s="341"/>
      <c r="I4029" s="339"/>
      <c r="J4029" s="339"/>
      <c r="K4029" s="341"/>
      <c r="L4029" s="339"/>
      <c r="M4029" s="339"/>
      <c r="N4029" s="339"/>
      <c r="O4029" s="339"/>
      <c r="P4029" s="339"/>
      <c r="Q4029" s="339"/>
      <c r="R4029" s="116"/>
      <c r="S4029" s="116"/>
      <c r="T4029" s="116"/>
      <c r="U4029" s="116"/>
      <c r="V4029" s="116"/>
      <c r="W4029" s="116"/>
      <c r="X4029" s="116"/>
      <c r="Y4029" s="284"/>
      <c r="Z4029" s="284"/>
      <c r="AA4029" s="284"/>
      <c r="AB4029" s="284"/>
      <c r="AC4029" s="284"/>
      <c r="AD4029" s="284"/>
      <c r="AE4029" s="284"/>
      <c r="AF4029" s="284"/>
      <c r="AG4029" s="284"/>
      <c r="AH4029" s="284"/>
      <c r="AI4029" s="284"/>
      <c r="AJ4029" s="284"/>
      <c r="AK4029" s="284"/>
      <c r="AL4029" s="284"/>
    </row>
    <row r="4030" ht="15.75" hidden="1" customHeight="1">
      <c r="A4030" s="27">
        <f t="shared" si="29"/>
        <v>4849</v>
      </c>
      <c r="B4030" s="63" t="s">
        <v>13515</v>
      </c>
      <c r="C4030" s="275" t="s">
        <v>13516</v>
      </c>
      <c r="D4030" s="65" t="s">
        <v>13517</v>
      </c>
      <c r="E4030" s="63" t="s">
        <v>31</v>
      </c>
      <c r="F4030" s="63" t="s">
        <v>29</v>
      </c>
      <c r="G4030" s="63" t="s">
        <v>37</v>
      </c>
      <c r="H4030" s="63"/>
      <c r="I4030" s="63" t="s">
        <v>38</v>
      </c>
      <c r="J4030" s="63">
        <v>274.0</v>
      </c>
      <c r="K4030" s="63"/>
      <c r="L4030" s="63" t="s">
        <v>13518</v>
      </c>
      <c r="M4030" s="63" t="s">
        <v>10113</v>
      </c>
      <c r="N4030" s="63">
        <v>1982.0</v>
      </c>
      <c r="O4030" s="63"/>
      <c r="P4030" s="63">
        <v>1.0</v>
      </c>
      <c r="Q4030" s="276">
        <v>1.0</v>
      </c>
      <c r="R4030" s="315"/>
      <c r="S4030" s="34"/>
      <c r="T4030" s="34"/>
      <c r="U4030" s="34"/>
      <c r="V4030" s="34"/>
      <c r="W4030" s="34"/>
      <c r="X4030" s="34"/>
      <c r="Y4030" s="284"/>
      <c r="Z4030" s="284"/>
      <c r="AA4030" s="284"/>
      <c r="AB4030" s="284"/>
      <c r="AC4030" s="284"/>
      <c r="AD4030" s="284"/>
      <c r="AE4030" s="284"/>
      <c r="AF4030" s="284"/>
      <c r="AG4030" s="284"/>
      <c r="AH4030" s="284"/>
      <c r="AI4030" s="284"/>
      <c r="AJ4030" s="284"/>
      <c r="AK4030" s="284"/>
      <c r="AL4030" s="284"/>
    </row>
    <row r="4031" ht="15.75" hidden="1" customHeight="1">
      <c r="A4031" s="27">
        <f t="shared" si="29"/>
        <v>4850</v>
      </c>
      <c r="B4031" s="342"/>
      <c r="C4031" s="343" t="s">
        <v>13519</v>
      </c>
      <c r="D4031" s="344" t="s">
        <v>7196</v>
      </c>
      <c r="E4031" s="342" t="s">
        <v>144</v>
      </c>
      <c r="F4031" s="342" t="s">
        <v>29</v>
      </c>
      <c r="G4031" s="342" t="s">
        <v>38</v>
      </c>
      <c r="H4031" s="342"/>
      <c r="I4031" s="342" t="s">
        <v>38</v>
      </c>
      <c r="J4031" s="342">
        <v>223.0</v>
      </c>
      <c r="K4031" s="342"/>
      <c r="L4031" s="342" t="s">
        <v>13520</v>
      </c>
      <c r="M4031" s="342"/>
      <c r="N4031" s="342"/>
      <c r="O4031" s="342"/>
      <c r="P4031" s="342"/>
      <c r="Q4031" s="345"/>
      <c r="R4031" s="346"/>
      <c r="S4031" s="40"/>
      <c r="T4031" s="40"/>
      <c r="U4031" s="40"/>
      <c r="V4031" s="40"/>
      <c r="W4031" s="40"/>
      <c r="X4031" s="40"/>
      <c r="Y4031" s="284"/>
      <c r="Z4031" s="284"/>
      <c r="AA4031" s="284"/>
      <c r="AB4031" s="284"/>
      <c r="AC4031" s="284"/>
      <c r="AD4031" s="284"/>
      <c r="AE4031" s="284"/>
      <c r="AF4031" s="284"/>
      <c r="AG4031" s="284"/>
      <c r="AH4031" s="284"/>
      <c r="AI4031" s="284"/>
      <c r="AJ4031" s="284"/>
      <c r="AK4031" s="284"/>
      <c r="AL4031" s="284"/>
    </row>
    <row r="4032" ht="15.75" hidden="1" customHeight="1">
      <c r="A4032" s="27">
        <f t="shared" si="29"/>
        <v>4851</v>
      </c>
      <c r="B4032" s="342"/>
      <c r="C4032" s="343" t="s">
        <v>13521</v>
      </c>
      <c r="D4032" s="344" t="s">
        <v>7634</v>
      </c>
      <c r="E4032" s="342"/>
      <c r="F4032" s="342"/>
      <c r="G4032" s="342"/>
      <c r="H4032" s="342"/>
      <c r="I4032" s="342"/>
      <c r="J4032" s="342"/>
      <c r="K4032" s="342"/>
      <c r="L4032" s="342"/>
      <c r="M4032" s="342"/>
      <c r="N4032" s="342"/>
      <c r="O4032" s="342"/>
      <c r="P4032" s="342"/>
      <c r="Q4032" s="345"/>
      <c r="R4032" s="346"/>
      <c r="S4032" s="40"/>
      <c r="T4032" s="40"/>
      <c r="U4032" s="40"/>
      <c r="V4032" s="40"/>
      <c r="W4032" s="40"/>
      <c r="X4032" s="40"/>
      <c r="Y4032" s="284"/>
      <c r="Z4032" s="284"/>
      <c r="AA4032" s="284"/>
      <c r="AB4032" s="284"/>
      <c r="AC4032" s="284"/>
      <c r="AD4032" s="284"/>
      <c r="AE4032" s="284"/>
      <c r="AF4032" s="284"/>
      <c r="AG4032" s="284"/>
      <c r="AH4032" s="284"/>
      <c r="AI4032" s="284"/>
      <c r="AJ4032" s="284"/>
      <c r="AK4032" s="284"/>
      <c r="AL4032" s="284"/>
    </row>
    <row r="4033" ht="15.75" hidden="1" customHeight="1">
      <c r="A4033" s="27">
        <f t="shared" si="29"/>
        <v>4852</v>
      </c>
      <c r="B4033" s="347"/>
      <c r="C4033" s="348" t="s">
        <v>13522</v>
      </c>
      <c r="D4033" s="349" t="s">
        <v>13523</v>
      </c>
      <c r="E4033" s="347"/>
      <c r="F4033" s="347"/>
      <c r="G4033" s="347"/>
      <c r="H4033" s="347"/>
      <c r="I4033" s="347"/>
      <c r="J4033" s="347"/>
      <c r="K4033" s="347"/>
      <c r="L4033" s="347"/>
      <c r="M4033" s="347"/>
      <c r="N4033" s="347"/>
      <c r="O4033" s="347"/>
      <c r="P4033" s="347"/>
      <c r="Q4033" s="347"/>
      <c r="R4033" s="350"/>
      <c r="S4033" s="185"/>
      <c r="T4033" s="185"/>
      <c r="U4033" s="185"/>
      <c r="V4033" s="185"/>
      <c r="W4033" s="185"/>
      <c r="X4033" s="185"/>
      <c r="Y4033" s="284"/>
      <c r="Z4033" s="284"/>
      <c r="AA4033" s="284"/>
      <c r="AB4033" s="284"/>
      <c r="AC4033" s="284"/>
      <c r="AD4033" s="284"/>
      <c r="AE4033" s="284"/>
      <c r="AF4033" s="284"/>
      <c r="AG4033" s="284"/>
      <c r="AH4033" s="284"/>
      <c r="AI4033" s="284"/>
      <c r="AJ4033" s="284"/>
      <c r="AK4033" s="284"/>
      <c r="AL4033" s="284"/>
    </row>
    <row r="4034" ht="15.75" hidden="1" customHeight="1">
      <c r="A4034" s="27">
        <f t="shared" si="29"/>
        <v>4853</v>
      </c>
      <c r="B4034" s="63" t="s">
        <v>13524</v>
      </c>
      <c r="C4034" s="275" t="s">
        <v>13525</v>
      </c>
      <c r="D4034" s="65" t="s">
        <v>13526</v>
      </c>
      <c r="E4034" s="63"/>
      <c r="F4034" s="63" t="s">
        <v>29</v>
      </c>
      <c r="G4034" s="63" t="s">
        <v>37</v>
      </c>
      <c r="H4034" s="63"/>
      <c r="I4034" s="63" t="s">
        <v>38</v>
      </c>
      <c r="J4034" s="63">
        <f>622+10</f>
        <v>632</v>
      </c>
      <c r="K4034" s="63"/>
      <c r="L4034" s="63" t="s">
        <v>2789</v>
      </c>
      <c r="M4034" s="63" t="s">
        <v>3268</v>
      </c>
      <c r="N4034" s="63">
        <v>2009.0</v>
      </c>
      <c r="O4034" s="351"/>
      <c r="P4034" s="63">
        <v>1.0</v>
      </c>
      <c r="Q4034" s="300">
        <v>1.0</v>
      </c>
      <c r="R4034" s="315"/>
      <c r="S4034" s="34"/>
      <c r="T4034" s="34"/>
      <c r="U4034" s="34"/>
      <c r="V4034" s="34"/>
      <c r="W4034" s="34"/>
      <c r="X4034" s="34"/>
      <c r="Y4034" s="284"/>
      <c r="Z4034" s="284"/>
      <c r="AA4034" s="284"/>
      <c r="AB4034" s="284"/>
      <c r="AC4034" s="284"/>
      <c r="AD4034" s="284"/>
      <c r="AE4034" s="284"/>
      <c r="AF4034" s="284"/>
      <c r="AG4034" s="284"/>
      <c r="AH4034" s="284"/>
      <c r="AI4034" s="284"/>
      <c r="AJ4034" s="284"/>
      <c r="AK4034" s="284"/>
      <c r="AL4034" s="284"/>
    </row>
    <row r="4035" ht="15.75" customHeight="1">
      <c r="A4035" s="115">
        <f t="shared" si="29"/>
        <v>4854</v>
      </c>
      <c r="B4035" s="49" t="s">
        <v>13527</v>
      </c>
      <c r="C4035" s="272" t="s">
        <v>31</v>
      </c>
      <c r="D4035" s="55" t="s">
        <v>13528</v>
      </c>
      <c r="E4035" s="49" t="s">
        <v>31</v>
      </c>
      <c r="F4035" s="49" t="s">
        <v>29</v>
      </c>
      <c r="G4035" s="49" t="s">
        <v>30</v>
      </c>
      <c r="H4035" s="49"/>
      <c r="I4035" s="49" t="s">
        <v>30</v>
      </c>
      <c r="J4035" s="49">
        <v>53.0</v>
      </c>
      <c r="K4035" s="49"/>
      <c r="L4035" s="49"/>
      <c r="M4035" s="49" t="s">
        <v>13314</v>
      </c>
      <c r="N4035" s="49">
        <v>1988.0</v>
      </c>
      <c r="O4035" s="49" t="s">
        <v>388</v>
      </c>
      <c r="P4035" s="49">
        <v>1.0</v>
      </c>
      <c r="Q4035" s="56"/>
      <c r="R4035" s="301"/>
      <c r="S4035" s="40"/>
      <c r="T4035" s="40"/>
      <c r="U4035" s="40"/>
      <c r="V4035" s="40"/>
      <c r="W4035" s="40"/>
      <c r="X4035" s="40"/>
      <c r="Y4035" s="284"/>
      <c r="Z4035" s="284"/>
      <c r="AA4035" s="284"/>
      <c r="AB4035" s="284"/>
      <c r="AC4035" s="284"/>
      <c r="AD4035" s="284"/>
      <c r="AE4035" s="284"/>
      <c r="AF4035" s="284"/>
      <c r="AG4035" s="284"/>
      <c r="AH4035" s="284"/>
      <c r="AI4035" s="284"/>
      <c r="AJ4035" s="284"/>
      <c r="AK4035" s="284"/>
      <c r="AL4035" s="284"/>
    </row>
    <row r="4036" ht="15.75" hidden="1" customHeight="1">
      <c r="A4036" s="27">
        <f t="shared" si="29"/>
        <v>4855</v>
      </c>
      <c r="B4036" s="63"/>
      <c r="C4036" s="275"/>
      <c r="D4036" s="65" t="s">
        <v>13529</v>
      </c>
      <c r="E4036" s="63" t="s">
        <v>28</v>
      </c>
      <c r="F4036" s="63" t="s">
        <v>29</v>
      </c>
      <c r="G4036" s="63" t="s">
        <v>37</v>
      </c>
      <c r="H4036" s="63"/>
      <c r="I4036" s="63" t="s">
        <v>38</v>
      </c>
      <c r="J4036" s="63">
        <v>373.0</v>
      </c>
      <c r="K4036" s="63"/>
      <c r="L4036" s="63" t="s">
        <v>13530</v>
      </c>
      <c r="M4036" s="63" t="s">
        <v>507</v>
      </c>
      <c r="N4036" s="63">
        <v>19560.0</v>
      </c>
      <c r="O4036" s="63"/>
      <c r="P4036" s="63"/>
      <c r="Q4036" s="276">
        <v>1.0</v>
      </c>
      <c r="R4036" s="315"/>
      <c r="S4036" s="34"/>
      <c r="T4036" s="34"/>
      <c r="U4036" s="34"/>
      <c r="V4036" s="34"/>
      <c r="W4036" s="34"/>
      <c r="X4036" s="34"/>
      <c r="Y4036" s="284"/>
      <c r="Z4036" s="284"/>
      <c r="AA4036" s="284"/>
      <c r="AB4036" s="284"/>
      <c r="AC4036" s="284"/>
      <c r="AD4036" s="284"/>
      <c r="AE4036" s="284"/>
      <c r="AF4036" s="284"/>
      <c r="AG4036" s="284"/>
      <c r="AH4036" s="284"/>
      <c r="AI4036" s="284"/>
      <c r="AJ4036" s="284"/>
      <c r="AK4036" s="284"/>
      <c r="AL4036" s="284"/>
    </row>
    <row r="4037" ht="21.75" customHeight="1">
      <c r="A4037" s="115">
        <f t="shared" si="29"/>
        <v>4856</v>
      </c>
      <c r="B4037" s="49"/>
      <c r="C4037" s="272" t="s">
        <v>31</v>
      </c>
      <c r="D4037" s="55" t="s">
        <v>13531</v>
      </c>
      <c r="E4037" s="49" t="s">
        <v>31</v>
      </c>
      <c r="F4037" s="49" t="s">
        <v>29</v>
      </c>
      <c r="G4037" s="49" t="s">
        <v>30</v>
      </c>
      <c r="H4037" s="49"/>
      <c r="I4037" s="49" t="s">
        <v>30</v>
      </c>
      <c r="J4037" s="49">
        <v>83.0</v>
      </c>
      <c r="K4037" s="49"/>
      <c r="L4037" s="49" t="s">
        <v>13532</v>
      </c>
      <c r="M4037" s="49" t="s">
        <v>13286</v>
      </c>
      <c r="N4037" s="49" t="s">
        <v>31</v>
      </c>
      <c r="O4037" s="49" t="s">
        <v>388</v>
      </c>
      <c r="P4037" s="49">
        <v>1.0</v>
      </c>
      <c r="Q4037" s="56"/>
      <c r="R4037" s="301"/>
      <c r="S4037" s="40"/>
      <c r="T4037" s="40"/>
      <c r="U4037" s="40"/>
      <c r="V4037" s="40"/>
      <c r="W4037" s="40"/>
      <c r="X4037" s="40"/>
      <c r="Y4037" s="284"/>
      <c r="Z4037" s="284"/>
      <c r="AA4037" s="284"/>
      <c r="AB4037" s="284"/>
      <c r="AC4037" s="284"/>
      <c r="AD4037" s="284"/>
      <c r="AE4037" s="284"/>
      <c r="AF4037" s="284"/>
      <c r="AG4037" s="284"/>
      <c r="AH4037" s="284"/>
      <c r="AI4037" s="284"/>
      <c r="AJ4037" s="284"/>
      <c r="AK4037" s="284"/>
      <c r="AL4037" s="284"/>
    </row>
    <row r="4038" ht="15.75" customHeight="1">
      <c r="A4038" s="115">
        <f t="shared" si="29"/>
        <v>4857</v>
      </c>
      <c r="B4038" s="49" t="s">
        <v>31</v>
      </c>
      <c r="C4038" s="272" t="s">
        <v>31</v>
      </c>
      <c r="D4038" s="55" t="s">
        <v>13533</v>
      </c>
      <c r="E4038" s="49" t="s">
        <v>31</v>
      </c>
      <c r="F4038" s="49" t="s">
        <v>29</v>
      </c>
      <c r="G4038" s="49" t="s">
        <v>30</v>
      </c>
      <c r="H4038" s="49"/>
      <c r="I4038" s="49" t="s">
        <v>30</v>
      </c>
      <c r="J4038" s="49">
        <v>32.0</v>
      </c>
      <c r="K4038" s="49"/>
      <c r="L4038" s="49" t="s">
        <v>13534</v>
      </c>
      <c r="M4038" s="49" t="s">
        <v>13378</v>
      </c>
      <c r="N4038" s="49" t="s">
        <v>31</v>
      </c>
      <c r="O4038" s="49" t="s">
        <v>388</v>
      </c>
      <c r="P4038" s="49">
        <v>2.0</v>
      </c>
      <c r="Q4038" s="56"/>
      <c r="R4038" s="301"/>
      <c r="S4038" s="40"/>
      <c r="T4038" s="40"/>
      <c r="U4038" s="40"/>
      <c r="V4038" s="40"/>
      <c r="W4038" s="40"/>
      <c r="X4038" s="40"/>
      <c r="Y4038" s="284"/>
      <c r="Z4038" s="284"/>
      <c r="AA4038" s="284"/>
      <c r="AB4038" s="284"/>
      <c r="AC4038" s="284"/>
      <c r="AD4038" s="284"/>
      <c r="AE4038" s="284"/>
      <c r="AF4038" s="284"/>
      <c r="AG4038" s="284"/>
      <c r="AH4038" s="284"/>
      <c r="AI4038" s="284"/>
      <c r="AJ4038" s="284"/>
      <c r="AK4038" s="284"/>
      <c r="AL4038" s="284"/>
    </row>
    <row r="4039" ht="15.75" customHeight="1">
      <c r="A4039" s="115">
        <f t="shared" si="29"/>
        <v>4858</v>
      </c>
      <c r="B4039" s="49" t="s">
        <v>31</v>
      </c>
      <c r="C4039" s="272" t="s">
        <v>31</v>
      </c>
      <c r="D4039" s="55" t="s">
        <v>13535</v>
      </c>
      <c r="E4039" s="49" t="s">
        <v>31</v>
      </c>
      <c r="F4039" s="49" t="s">
        <v>29</v>
      </c>
      <c r="G4039" s="49" t="s">
        <v>30</v>
      </c>
      <c r="H4039" s="49"/>
      <c r="I4039" s="49" t="s">
        <v>30</v>
      </c>
      <c r="J4039" s="49">
        <v>56.0</v>
      </c>
      <c r="K4039" s="49"/>
      <c r="L4039" s="49" t="s">
        <v>13536</v>
      </c>
      <c r="M4039" s="49" t="s">
        <v>13286</v>
      </c>
      <c r="N4039" s="49" t="s">
        <v>31</v>
      </c>
      <c r="O4039" s="49" t="s">
        <v>388</v>
      </c>
      <c r="P4039" s="49">
        <v>1.0</v>
      </c>
      <c r="Q4039" s="56"/>
      <c r="R4039" s="301"/>
      <c r="S4039" s="40"/>
      <c r="T4039" s="40"/>
      <c r="U4039" s="40"/>
      <c r="V4039" s="40"/>
      <c r="W4039" s="40"/>
      <c r="X4039" s="40"/>
      <c r="Y4039" s="284"/>
      <c r="Z4039" s="284"/>
      <c r="AA4039" s="284"/>
      <c r="AB4039" s="284"/>
      <c r="AC4039" s="284"/>
      <c r="AD4039" s="284"/>
      <c r="AE4039" s="284"/>
      <c r="AF4039" s="284"/>
      <c r="AG4039" s="284"/>
      <c r="AH4039" s="284"/>
      <c r="AI4039" s="284"/>
      <c r="AJ4039" s="284"/>
      <c r="AK4039" s="284"/>
      <c r="AL4039" s="284"/>
    </row>
    <row r="4040" ht="15.75" customHeight="1">
      <c r="A4040" s="115">
        <f t="shared" si="29"/>
        <v>4859</v>
      </c>
      <c r="B4040" s="49" t="s">
        <v>31</v>
      </c>
      <c r="C4040" s="272" t="s">
        <v>31</v>
      </c>
      <c r="D4040" s="55" t="s">
        <v>13537</v>
      </c>
      <c r="E4040" s="49" t="s">
        <v>31</v>
      </c>
      <c r="F4040" s="49" t="s">
        <v>29</v>
      </c>
      <c r="G4040" s="49" t="s">
        <v>30</v>
      </c>
      <c r="H4040" s="49"/>
      <c r="I4040" s="49" t="s">
        <v>30</v>
      </c>
      <c r="J4040" s="49">
        <v>34.0</v>
      </c>
      <c r="K4040" s="49"/>
      <c r="L4040" s="49" t="s">
        <v>13285</v>
      </c>
      <c r="M4040" s="49" t="s">
        <v>13286</v>
      </c>
      <c r="N4040" s="49" t="s">
        <v>31</v>
      </c>
      <c r="O4040" s="49" t="s">
        <v>388</v>
      </c>
      <c r="P4040" s="49">
        <v>1.0</v>
      </c>
      <c r="Q4040" s="56"/>
      <c r="R4040" s="54"/>
      <c r="S4040" s="281"/>
      <c r="T4040" s="281"/>
      <c r="U4040" s="281"/>
      <c r="V4040" s="281"/>
      <c r="W4040" s="281"/>
      <c r="X4040" s="281"/>
      <c r="Y4040" s="282"/>
      <c r="Z4040" s="282"/>
      <c r="AA4040" s="282"/>
      <c r="AB4040" s="282"/>
      <c r="AC4040" s="282"/>
      <c r="AD4040" s="282"/>
      <c r="AE4040" s="282"/>
      <c r="AF4040" s="282"/>
      <c r="AG4040" s="282"/>
      <c r="AH4040" s="282"/>
      <c r="AI4040" s="282"/>
      <c r="AJ4040" s="282"/>
      <c r="AK4040" s="282"/>
      <c r="AL4040" s="282"/>
    </row>
    <row r="4041" ht="15.75" customHeight="1">
      <c r="A4041" s="115">
        <f t="shared" si="29"/>
        <v>4860</v>
      </c>
      <c r="B4041" s="49"/>
      <c r="C4041" s="272" t="s">
        <v>31</v>
      </c>
      <c r="D4041" s="55" t="s">
        <v>13538</v>
      </c>
      <c r="E4041" s="49" t="s">
        <v>31</v>
      </c>
      <c r="F4041" s="49" t="s">
        <v>29</v>
      </c>
      <c r="G4041" s="49" t="s">
        <v>38</v>
      </c>
      <c r="H4041" s="49"/>
      <c r="I4041" s="49" t="s">
        <v>38</v>
      </c>
      <c r="J4041" s="49">
        <v>14.0</v>
      </c>
      <c r="K4041" s="49"/>
      <c r="L4041" s="49" t="s">
        <v>31</v>
      </c>
      <c r="M4041" s="49" t="s">
        <v>13539</v>
      </c>
      <c r="N4041" s="49" t="s">
        <v>31</v>
      </c>
      <c r="O4041" s="49" t="s">
        <v>388</v>
      </c>
      <c r="P4041" s="49">
        <v>1.0</v>
      </c>
      <c r="Q4041" s="56"/>
      <c r="R4041" s="54"/>
      <c r="S4041" s="281"/>
      <c r="T4041" s="281"/>
      <c r="U4041" s="281"/>
      <c r="V4041" s="281"/>
      <c r="W4041" s="281"/>
      <c r="X4041" s="281"/>
      <c r="Y4041" s="282"/>
      <c r="Z4041" s="282"/>
      <c r="AA4041" s="282"/>
      <c r="AB4041" s="282"/>
      <c r="AC4041" s="282"/>
      <c r="AD4041" s="282"/>
      <c r="AE4041" s="282"/>
      <c r="AF4041" s="282"/>
      <c r="AG4041" s="282"/>
      <c r="AH4041" s="282"/>
      <c r="AI4041" s="282"/>
      <c r="AJ4041" s="282"/>
      <c r="AK4041" s="282"/>
      <c r="AL4041" s="282"/>
    </row>
    <row r="4042" ht="15.75" customHeight="1">
      <c r="A4042" s="115">
        <f t="shared" si="29"/>
        <v>4861</v>
      </c>
      <c r="B4042" s="49" t="s">
        <v>13540</v>
      </c>
      <c r="C4042" s="50" t="s">
        <v>13541</v>
      </c>
      <c r="D4042" s="51" t="s">
        <v>13542</v>
      </c>
      <c r="E4042" s="49" t="s">
        <v>28</v>
      </c>
      <c r="F4042" s="49" t="s">
        <v>29</v>
      </c>
      <c r="G4042" s="49" t="s">
        <v>37</v>
      </c>
      <c r="H4042" s="49"/>
      <c r="I4042" s="49" t="s">
        <v>38</v>
      </c>
      <c r="J4042" s="49">
        <v>1140.0</v>
      </c>
      <c r="K4042" s="49"/>
      <c r="L4042" s="49" t="s">
        <v>13543</v>
      </c>
      <c r="M4042" s="49" t="s">
        <v>178</v>
      </c>
      <c r="N4042" s="49">
        <v>2006.0</v>
      </c>
      <c r="O4042" s="52">
        <v>8.0</v>
      </c>
      <c r="P4042" s="49">
        <v>1.0</v>
      </c>
      <c r="Q4042" s="56"/>
      <c r="R4042" s="54"/>
      <c r="S4042" s="352"/>
      <c r="T4042" s="352"/>
      <c r="U4042" s="352"/>
      <c r="V4042" s="352"/>
      <c r="W4042" s="352"/>
      <c r="X4042" s="352"/>
      <c r="Y4042" s="282"/>
      <c r="Z4042" s="282"/>
      <c r="AA4042" s="282"/>
      <c r="AB4042" s="282"/>
      <c r="AC4042" s="282"/>
      <c r="AD4042" s="282"/>
      <c r="AE4042" s="282"/>
      <c r="AF4042" s="282"/>
      <c r="AG4042" s="282"/>
      <c r="AH4042" s="282"/>
      <c r="AI4042" s="282"/>
      <c r="AJ4042" s="282"/>
      <c r="AK4042" s="282"/>
      <c r="AL4042" s="282"/>
    </row>
    <row r="4043" ht="15.75" customHeight="1">
      <c r="A4043" s="115">
        <f t="shared" si="29"/>
        <v>4862</v>
      </c>
      <c r="B4043" s="49" t="s">
        <v>13544</v>
      </c>
      <c r="C4043" s="272">
        <v>220.7</v>
      </c>
      <c r="D4043" s="55" t="s">
        <v>13545</v>
      </c>
      <c r="E4043" s="49" t="s">
        <v>28</v>
      </c>
      <c r="F4043" s="49" t="s">
        <v>29</v>
      </c>
      <c r="G4043" s="49" t="s">
        <v>37</v>
      </c>
      <c r="H4043" s="49"/>
      <c r="I4043" s="49" t="s">
        <v>38</v>
      </c>
      <c r="J4043" s="49">
        <v>143.0</v>
      </c>
      <c r="K4043" s="49"/>
      <c r="L4043" s="49" t="s">
        <v>920</v>
      </c>
      <c r="M4043" s="49" t="s">
        <v>178</v>
      </c>
      <c r="N4043" s="49">
        <v>1973.0</v>
      </c>
      <c r="O4043" s="49" t="s">
        <v>388</v>
      </c>
      <c r="P4043" s="49">
        <v>2.0</v>
      </c>
      <c r="Q4043" s="56"/>
      <c r="R4043" s="301"/>
      <c r="S4043" s="185"/>
      <c r="T4043" s="185"/>
      <c r="U4043" s="185"/>
      <c r="V4043" s="185"/>
      <c r="W4043" s="185"/>
      <c r="X4043" s="185"/>
      <c r="Y4043" s="284"/>
      <c r="Z4043" s="284"/>
      <c r="AA4043" s="284"/>
      <c r="AB4043" s="284"/>
      <c r="AC4043" s="284"/>
      <c r="AD4043" s="284"/>
      <c r="AE4043" s="284"/>
      <c r="AF4043" s="284"/>
      <c r="AG4043" s="284"/>
      <c r="AH4043" s="284"/>
      <c r="AI4043" s="284"/>
      <c r="AJ4043" s="284"/>
      <c r="AK4043" s="284"/>
      <c r="AL4043" s="284"/>
    </row>
    <row r="4044" ht="15.75" customHeight="1">
      <c r="A4044" s="115">
        <f t="shared" si="29"/>
        <v>4863</v>
      </c>
      <c r="B4044" s="49" t="s">
        <v>357</v>
      </c>
      <c r="C4044" s="272">
        <v>220.7</v>
      </c>
      <c r="D4044" s="55" t="s">
        <v>13546</v>
      </c>
      <c r="E4044" s="49" t="s">
        <v>28</v>
      </c>
      <c r="F4044" s="49" t="s">
        <v>29</v>
      </c>
      <c r="G4044" s="49" t="s">
        <v>37</v>
      </c>
      <c r="H4044" s="49"/>
      <c r="I4044" s="49" t="s">
        <v>38</v>
      </c>
      <c r="J4044" s="49">
        <v>285.0</v>
      </c>
      <c r="K4044" s="49"/>
      <c r="L4044" s="49" t="s">
        <v>13547</v>
      </c>
      <c r="M4044" s="49" t="s">
        <v>178</v>
      </c>
      <c r="N4044" s="49">
        <v>1976.0</v>
      </c>
      <c r="O4044" s="49" t="s">
        <v>388</v>
      </c>
      <c r="P4044" s="49">
        <v>1.0</v>
      </c>
      <c r="Q4044" s="56"/>
      <c r="R4044" s="301"/>
      <c r="S4044" s="185"/>
      <c r="T4044" s="185"/>
      <c r="U4044" s="185"/>
      <c r="V4044" s="185"/>
      <c r="W4044" s="185"/>
      <c r="X4044" s="185"/>
      <c r="Y4044" s="284"/>
      <c r="Z4044" s="284"/>
      <c r="AA4044" s="284"/>
      <c r="AB4044" s="284"/>
      <c r="AC4044" s="284"/>
      <c r="AD4044" s="284"/>
      <c r="AE4044" s="284"/>
      <c r="AF4044" s="284"/>
      <c r="AG4044" s="284"/>
      <c r="AH4044" s="284"/>
      <c r="AI4044" s="284"/>
      <c r="AJ4044" s="284"/>
      <c r="AK4044" s="284"/>
      <c r="AL4044" s="284"/>
    </row>
    <row r="4045" ht="15.75" customHeight="1">
      <c r="A4045" s="115">
        <f t="shared" si="29"/>
        <v>4864</v>
      </c>
      <c r="B4045" s="49" t="s">
        <v>13548</v>
      </c>
      <c r="C4045" s="272">
        <v>220.7</v>
      </c>
      <c r="D4045" s="55" t="s">
        <v>13549</v>
      </c>
      <c r="E4045" s="49" t="s">
        <v>28</v>
      </c>
      <c r="F4045" s="49" t="s">
        <v>29</v>
      </c>
      <c r="G4045" s="49" t="s">
        <v>37</v>
      </c>
      <c r="H4045" s="49"/>
      <c r="I4045" s="49" t="s">
        <v>38</v>
      </c>
      <c r="J4045" s="49">
        <v>323.0</v>
      </c>
      <c r="K4045" s="49"/>
      <c r="L4045" s="49" t="s">
        <v>645</v>
      </c>
      <c r="M4045" s="49" t="s">
        <v>178</v>
      </c>
      <c r="N4045" s="49">
        <v>1975.0</v>
      </c>
      <c r="O4045" s="49" t="s">
        <v>388</v>
      </c>
      <c r="P4045" s="49">
        <v>1.0</v>
      </c>
      <c r="Q4045" s="56"/>
      <c r="R4045" s="301"/>
      <c r="S4045" s="185"/>
      <c r="T4045" s="185"/>
      <c r="U4045" s="185"/>
      <c r="V4045" s="185"/>
      <c r="W4045" s="185"/>
      <c r="X4045" s="185"/>
      <c r="Y4045" s="284"/>
      <c r="Z4045" s="284"/>
      <c r="AA4045" s="284"/>
      <c r="AB4045" s="284"/>
      <c r="AC4045" s="284"/>
      <c r="AD4045" s="284"/>
      <c r="AE4045" s="284"/>
      <c r="AF4045" s="284"/>
      <c r="AG4045" s="284"/>
      <c r="AH4045" s="284"/>
      <c r="AI4045" s="284"/>
      <c r="AJ4045" s="284"/>
      <c r="AK4045" s="284"/>
      <c r="AL4045" s="284"/>
    </row>
    <row r="4046" ht="15.75" customHeight="1">
      <c r="A4046" s="115">
        <f t="shared" si="29"/>
        <v>4865</v>
      </c>
      <c r="B4046" s="49" t="s">
        <v>13550</v>
      </c>
      <c r="C4046" s="272"/>
      <c r="D4046" s="55" t="s">
        <v>13551</v>
      </c>
      <c r="E4046" s="49"/>
      <c r="F4046" s="49" t="s">
        <v>29</v>
      </c>
      <c r="G4046" s="49" t="s">
        <v>13552</v>
      </c>
      <c r="H4046" s="49"/>
      <c r="I4046" s="49" t="s">
        <v>4554</v>
      </c>
      <c r="J4046" s="49">
        <v>1090.0</v>
      </c>
      <c r="K4046" s="49" t="s">
        <v>13553</v>
      </c>
      <c r="L4046" s="49" t="s">
        <v>13554</v>
      </c>
      <c r="M4046" s="49" t="s">
        <v>2903</v>
      </c>
      <c r="N4046" s="49">
        <v>1961.0</v>
      </c>
      <c r="O4046" s="49" t="s">
        <v>388</v>
      </c>
      <c r="P4046" s="49">
        <v>1.0</v>
      </c>
      <c r="Q4046" s="56"/>
      <c r="R4046" s="301"/>
      <c r="S4046" s="185"/>
      <c r="T4046" s="185"/>
      <c r="U4046" s="185"/>
      <c r="V4046" s="185"/>
      <c r="W4046" s="185"/>
      <c r="X4046" s="185"/>
      <c r="Y4046" s="284"/>
      <c r="Z4046" s="284"/>
      <c r="AA4046" s="284"/>
      <c r="AB4046" s="284"/>
      <c r="AC4046" s="284"/>
      <c r="AD4046" s="284"/>
      <c r="AE4046" s="284"/>
      <c r="AF4046" s="284"/>
      <c r="AG4046" s="284"/>
      <c r="AH4046" s="284"/>
      <c r="AI4046" s="284"/>
      <c r="AJ4046" s="284"/>
      <c r="AK4046" s="284"/>
      <c r="AL4046" s="284"/>
    </row>
    <row r="4047" ht="15.75" customHeight="1">
      <c r="A4047" s="115">
        <f t="shared" si="29"/>
        <v>4866</v>
      </c>
      <c r="B4047" s="49"/>
      <c r="C4047" s="272"/>
      <c r="D4047" s="55" t="s">
        <v>13555</v>
      </c>
      <c r="E4047" s="49" t="s">
        <v>144</v>
      </c>
      <c r="F4047" s="49" t="s">
        <v>29</v>
      </c>
      <c r="G4047" s="49" t="s">
        <v>30</v>
      </c>
      <c r="H4047" s="49" t="s">
        <v>31</v>
      </c>
      <c r="I4047" s="49" t="s">
        <v>30</v>
      </c>
      <c r="J4047" s="49">
        <v>296.0</v>
      </c>
      <c r="K4047" s="49"/>
      <c r="L4047" s="49"/>
      <c r="M4047" s="49" t="s">
        <v>13556</v>
      </c>
      <c r="N4047" s="49">
        <v>2007.0</v>
      </c>
      <c r="O4047" s="49" t="s">
        <v>388</v>
      </c>
      <c r="P4047" s="49">
        <v>1.0</v>
      </c>
      <c r="Q4047" s="56"/>
      <c r="R4047" s="301"/>
      <c r="S4047" s="185"/>
      <c r="T4047" s="185"/>
      <c r="U4047" s="185"/>
      <c r="V4047" s="185"/>
      <c r="W4047" s="185"/>
      <c r="X4047" s="185"/>
      <c r="Y4047" s="284"/>
      <c r="Z4047" s="284"/>
      <c r="AA4047" s="284"/>
      <c r="AB4047" s="284"/>
      <c r="AC4047" s="284"/>
      <c r="AD4047" s="284"/>
      <c r="AE4047" s="284"/>
      <c r="AF4047" s="284"/>
      <c r="AG4047" s="284"/>
      <c r="AH4047" s="284"/>
      <c r="AI4047" s="284"/>
      <c r="AJ4047" s="284"/>
      <c r="AK4047" s="284"/>
      <c r="AL4047" s="284"/>
    </row>
    <row r="4048" ht="15.75" customHeight="1">
      <c r="A4048" s="115">
        <f t="shared" si="29"/>
        <v>4867</v>
      </c>
      <c r="B4048" s="49"/>
      <c r="C4048" s="272"/>
      <c r="D4048" s="55" t="s">
        <v>13557</v>
      </c>
      <c r="E4048" s="49" t="s">
        <v>144</v>
      </c>
      <c r="F4048" s="49" t="s">
        <v>29</v>
      </c>
      <c r="G4048" s="49" t="s">
        <v>30</v>
      </c>
      <c r="H4048" s="49"/>
      <c r="I4048" s="49" t="s">
        <v>30</v>
      </c>
      <c r="J4048" s="49">
        <f>320</f>
        <v>320</v>
      </c>
      <c r="K4048" s="49"/>
      <c r="L4048" s="49"/>
      <c r="M4048" s="49" t="s">
        <v>1772</v>
      </c>
      <c r="N4048" s="49"/>
      <c r="O4048" s="49" t="s">
        <v>388</v>
      </c>
      <c r="P4048" s="49">
        <v>1.0</v>
      </c>
      <c r="Q4048" s="56"/>
      <c r="R4048" s="301"/>
      <c r="S4048" s="185"/>
      <c r="T4048" s="185"/>
      <c r="U4048" s="185"/>
      <c r="V4048" s="185"/>
      <c r="W4048" s="185"/>
      <c r="X4048" s="185"/>
      <c r="Y4048" s="284"/>
      <c r="Z4048" s="284"/>
      <c r="AA4048" s="284"/>
      <c r="AB4048" s="284"/>
      <c r="AC4048" s="284"/>
      <c r="AD4048" s="284"/>
      <c r="AE4048" s="284"/>
      <c r="AF4048" s="284"/>
      <c r="AG4048" s="284"/>
      <c r="AH4048" s="284"/>
      <c r="AI4048" s="284"/>
      <c r="AJ4048" s="284"/>
      <c r="AK4048" s="284"/>
      <c r="AL4048" s="284"/>
    </row>
    <row r="4049" ht="15.75" customHeight="1">
      <c r="A4049" s="115">
        <f t="shared" si="29"/>
        <v>4868</v>
      </c>
      <c r="B4049" s="49" t="s">
        <v>12224</v>
      </c>
      <c r="C4049" s="272"/>
      <c r="D4049" s="55" t="s">
        <v>13558</v>
      </c>
      <c r="E4049" s="49"/>
      <c r="F4049" s="49" t="s">
        <v>740</v>
      </c>
      <c r="G4049" s="49" t="s">
        <v>37</v>
      </c>
      <c r="H4049" s="49"/>
      <c r="I4049" s="49" t="s">
        <v>38</v>
      </c>
      <c r="J4049" s="49">
        <v>357.0</v>
      </c>
      <c r="K4049" s="49"/>
      <c r="L4049" s="49" t="s">
        <v>12227</v>
      </c>
      <c r="M4049" s="49" t="s">
        <v>13559</v>
      </c>
      <c r="N4049" s="49">
        <v>1983.0</v>
      </c>
      <c r="O4049" s="49" t="s">
        <v>388</v>
      </c>
      <c r="P4049" s="49">
        <v>1.0</v>
      </c>
      <c r="Q4049" s="56"/>
      <c r="R4049" s="301"/>
      <c r="S4049" s="185"/>
      <c r="T4049" s="185"/>
      <c r="U4049" s="185"/>
      <c r="V4049" s="185"/>
      <c r="W4049" s="185"/>
      <c r="X4049" s="185"/>
      <c r="Y4049" s="284"/>
      <c r="Z4049" s="284"/>
      <c r="AA4049" s="284"/>
      <c r="AB4049" s="284"/>
      <c r="AC4049" s="284"/>
      <c r="AD4049" s="284"/>
      <c r="AE4049" s="284"/>
      <c r="AF4049" s="284"/>
      <c r="AG4049" s="284"/>
      <c r="AH4049" s="284"/>
      <c r="AI4049" s="284"/>
      <c r="AJ4049" s="284"/>
      <c r="AK4049" s="284"/>
      <c r="AL4049" s="284"/>
    </row>
    <row r="4050" ht="15.75" customHeight="1">
      <c r="A4050" s="115">
        <f t="shared" si="29"/>
        <v>4869</v>
      </c>
      <c r="B4050" s="49"/>
      <c r="C4050" s="50" t="s">
        <v>13560</v>
      </c>
      <c r="D4050" s="51" t="s">
        <v>13561</v>
      </c>
      <c r="E4050" s="49"/>
      <c r="F4050" s="49" t="s">
        <v>29</v>
      </c>
      <c r="G4050" s="49"/>
      <c r="H4050" s="49"/>
      <c r="I4050" s="49" t="s">
        <v>2184</v>
      </c>
      <c r="J4050" s="49">
        <v>1013.0</v>
      </c>
      <c r="K4050" s="49" t="s">
        <v>13562</v>
      </c>
      <c r="L4050" s="49" t="s">
        <v>13563</v>
      </c>
      <c r="M4050" s="49" t="s">
        <v>13564</v>
      </c>
      <c r="N4050" s="49">
        <v>1954.0</v>
      </c>
      <c r="O4050" s="52">
        <v>2.0</v>
      </c>
      <c r="P4050" s="49">
        <v>1.0</v>
      </c>
      <c r="Q4050" s="53"/>
      <c r="R4050" s="301"/>
      <c r="S4050" s="185"/>
      <c r="T4050" s="185"/>
      <c r="U4050" s="185"/>
      <c r="V4050" s="185"/>
      <c r="W4050" s="185"/>
      <c r="X4050" s="185"/>
      <c r="Y4050" s="284"/>
      <c r="Z4050" s="284"/>
      <c r="AA4050" s="284"/>
      <c r="AB4050" s="284"/>
      <c r="AC4050" s="284"/>
      <c r="AD4050" s="284"/>
      <c r="AE4050" s="284"/>
      <c r="AF4050" s="284"/>
      <c r="AG4050" s="284"/>
      <c r="AH4050" s="284"/>
      <c r="AI4050" s="284"/>
      <c r="AJ4050" s="284"/>
      <c r="AK4050" s="284"/>
      <c r="AL4050" s="284"/>
    </row>
    <row r="4051" ht="15.75" customHeight="1">
      <c r="A4051" s="115">
        <f t="shared" si="29"/>
        <v>4870</v>
      </c>
      <c r="B4051" s="49" t="s">
        <v>13565</v>
      </c>
      <c r="C4051" s="272"/>
      <c r="D4051" s="55" t="s">
        <v>13566</v>
      </c>
      <c r="E4051" s="49" t="s">
        <v>144</v>
      </c>
      <c r="F4051" s="49" t="s">
        <v>29</v>
      </c>
      <c r="G4051" s="49" t="s">
        <v>30</v>
      </c>
      <c r="H4051" s="49" t="s">
        <v>31</v>
      </c>
      <c r="I4051" s="49" t="s">
        <v>30</v>
      </c>
      <c r="J4051" s="49"/>
      <c r="K4051" s="49"/>
      <c r="L4051" s="49"/>
      <c r="M4051" s="49"/>
      <c r="N4051" s="49"/>
      <c r="O4051" s="49" t="s">
        <v>388</v>
      </c>
      <c r="P4051" s="49">
        <v>1.0</v>
      </c>
      <c r="Q4051" s="56"/>
      <c r="R4051" s="301"/>
      <c r="S4051" s="185"/>
      <c r="T4051" s="185"/>
      <c r="U4051" s="185"/>
      <c r="V4051" s="185"/>
      <c r="W4051" s="185"/>
      <c r="X4051" s="185"/>
      <c r="Y4051" s="284"/>
      <c r="Z4051" s="284"/>
      <c r="AA4051" s="284"/>
      <c r="AB4051" s="284"/>
      <c r="AC4051" s="284"/>
      <c r="AD4051" s="284"/>
      <c r="AE4051" s="284"/>
      <c r="AF4051" s="284"/>
      <c r="AG4051" s="284"/>
      <c r="AH4051" s="284"/>
      <c r="AI4051" s="284"/>
      <c r="AJ4051" s="284"/>
      <c r="AK4051" s="284"/>
      <c r="AL4051" s="284"/>
    </row>
    <row r="4052" ht="15.75" customHeight="1">
      <c r="A4052" s="115">
        <f t="shared" si="29"/>
        <v>4871</v>
      </c>
      <c r="B4052" s="49"/>
      <c r="C4052" s="272"/>
      <c r="D4052" s="55" t="s">
        <v>13567</v>
      </c>
      <c r="E4052" s="49" t="s">
        <v>144</v>
      </c>
      <c r="F4052" s="49" t="s">
        <v>29</v>
      </c>
      <c r="G4052" s="49" t="s">
        <v>37</v>
      </c>
      <c r="H4052" s="49" t="s">
        <v>31</v>
      </c>
      <c r="I4052" s="49" t="s">
        <v>38</v>
      </c>
      <c r="J4052" s="49"/>
      <c r="K4052" s="49"/>
      <c r="L4052" s="49"/>
      <c r="M4052" s="49" t="s">
        <v>230</v>
      </c>
      <c r="N4052" s="49">
        <v>2003.0</v>
      </c>
      <c r="O4052" s="49" t="s">
        <v>388</v>
      </c>
      <c r="P4052" s="49">
        <v>1.0</v>
      </c>
      <c r="Q4052" s="56"/>
      <c r="R4052" s="301"/>
      <c r="S4052" s="185"/>
      <c r="T4052" s="185"/>
      <c r="U4052" s="185"/>
      <c r="V4052" s="185"/>
      <c r="W4052" s="185"/>
      <c r="X4052" s="185"/>
      <c r="Y4052" s="284"/>
      <c r="Z4052" s="284"/>
      <c r="AA4052" s="284"/>
      <c r="AB4052" s="284"/>
      <c r="AC4052" s="284"/>
      <c r="AD4052" s="284"/>
      <c r="AE4052" s="284"/>
      <c r="AF4052" s="284"/>
      <c r="AG4052" s="284"/>
      <c r="AH4052" s="284"/>
      <c r="AI4052" s="284"/>
      <c r="AJ4052" s="284"/>
      <c r="AK4052" s="284"/>
      <c r="AL4052" s="284"/>
    </row>
    <row r="4053" ht="15.75" customHeight="1">
      <c r="A4053" s="115">
        <f t="shared" si="29"/>
        <v>4872</v>
      </c>
      <c r="B4053" s="49"/>
      <c r="C4053" s="272"/>
      <c r="D4053" s="55" t="s">
        <v>13568</v>
      </c>
      <c r="E4053" s="49"/>
      <c r="F4053" s="49"/>
      <c r="G4053" s="49"/>
      <c r="H4053" s="49" t="s">
        <v>31</v>
      </c>
      <c r="I4053" s="49"/>
      <c r="J4053" s="49"/>
      <c r="K4053" s="49"/>
      <c r="L4053" s="49"/>
      <c r="M4053" s="49"/>
      <c r="N4053" s="49"/>
      <c r="O4053" s="49" t="s">
        <v>388</v>
      </c>
      <c r="P4053" s="49">
        <v>1.0</v>
      </c>
      <c r="Q4053" s="56"/>
      <c r="R4053" s="301"/>
      <c r="S4053" s="185"/>
      <c r="T4053" s="185"/>
      <c r="U4053" s="185"/>
      <c r="V4053" s="185"/>
      <c r="W4053" s="185"/>
      <c r="X4053" s="185"/>
      <c r="Y4053" s="284"/>
      <c r="Z4053" s="284"/>
      <c r="AA4053" s="284"/>
      <c r="AB4053" s="284"/>
      <c r="AC4053" s="284"/>
      <c r="AD4053" s="284"/>
      <c r="AE4053" s="284"/>
      <c r="AF4053" s="284"/>
      <c r="AG4053" s="284"/>
      <c r="AH4053" s="284"/>
      <c r="AI4053" s="284"/>
      <c r="AJ4053" s="284"/>
      <c r="AK4053" s="284"/>
      <c r="AL4053" s="284"/>
    </row>
    <row r="4054" ht="15.75" customHeight="1">
      <c r="A4054" s="115">
        <f t="shared" si="29"/>
        <v>4873</v>
      </c>
      <c r="B4054" s="49" t="s">
        <v>13569</v>
      </c>
      <c r="C4054" s="272"/>
      <c r="D4054" s="55" t="s">
        <v>13570</v>
      </c>
      <c r="E4054" s="49" t="s">
        <v>144</v>
      </c>
      <c r="F4054" s="49" t="s">
        <v>29</v>
      </c>
      <c r="G4054" s="49" t="s">
        <v>30</v>
      </c>
      <c r="H4054" s="49" t="s">
        <v>31</v>
      </c>
      <c r="I4054" s="49" t="s">
        <v>30</v>
      </c>
      <c r="J4054" s="49">
        <v>2015.0</v>
      </c>
      <c r="K4054" s="49"/>
      <c r="L4054" s="49" t="s">
        <v>8638</v>
      </c>
      <c r="M4054" s="49" t="s">
        <v>1040</v>
      </c>
      <c r="N4054" s="49">
        <v>2015.0</v>
      </c>
      <c r="O4054" s="49" t="s">
        <v>388</v>
      </c>
      <c r="P4054" s="49">
        <v>1.0</v>
      </c>
      <c r="Q4054" s="56"/>
      <c r="R4054" s="301"/>
      <c r="S4054" s="185"/>
      <c r="T4054" s="185"/>
      <c r="U4054" s="185"/>
      <c r="V4054" s="185"/>
      <c r="W4054" s="185"/>
      <c r="X4054" s="185"/>
      <c r="Y4054" s="284"/>
      <c r="Z4054" s="284"/>
      <c r="AA4054" s="284"/>
      <c r="AB4054" s="284"/>
      <c r="AC4054" s="284"/>
      <c r="AD4054" s="284"/>
      <c r="AE4054" s="284"/>
      <c r="AF4054" s="284"/>
      <c r="AG4054" s="284"/>
      <c r="AH4054" s="284"/>
      <c r="AI4054" s="284"/>
      <c r="AJ4054" s="284"/>
      <c r="AK4054" s="284"/>
      <c r="AL4054" s="284"/>
    </row>
    <row r="4055" ht="15.75" customHeight="1">
      <c r="A4055" s="115">
        <f t="shared" si="29"/>
        <v>4874</v>
      </c>
      <c r="B4055" s="49" t="s">
        <v>4536</v>
      </c>
      <c r="C4055" s="272"/>
      <c r="D4055" s="55" t="s">
        <v>13571</v>
      </c>
      <c r="E4055" s="49" t="s">
        <v>144</v>
      </c>
      <c r="F4055" s="49" t="s">
        <v>29</v>
      </c>
      <c r="G4055" s="49" t="s">
        <v>30</v>
      </c>
      <c r="H4055" s="49"/>
      <c r="I4055" s="49" t="s">
        <v>30</v>
      </c>
      <c r="J4055" s="49">
        <f>228</f>
        <v>228</v>
      </c>
      <c r="K4055" s="49"/>
      <c r="L4055" s="49" t="s">
        <v>13572</v>
      </c>
      <c r="M4055" s="49" t="s">
        <v>816</v>
      </c>
      <c r="N4055" s="49">
        <v>1982.0</v>
      </c>
      <c r="O4055" s="49" t="s">
        <v>388</v>
      </c>
      <c r="P4055" s="49">
        <v>1.0</v>
      </c>
      <c r="Q4055" s="56"/>
      <c r="R4055" s="301"/>
      <c r="S4055" s="185"/>
      <c r="T4055" s="185"/>
      <c r="U4055" s="185"/>
      <c r="V4055" s="185"/>
      <c r="W4055" s="185"/>
      <c r="X4055" s="185"/>
      <c r="Y4055" s="284"/>
      <c r="Z4055" s="284"/>
      <c r="AA4055" s="284"/>
      <c r="AB4055" s="284"/>
      <c r="AC4055" s="284"/>
      <c r="AD4055" s="284"/>
      <c r="AE4055" s="284"/>
      <c r="AF4055" s="284"/>
      <c r="AG4055" s="284"/>
      <c r="AH4055" s="284"/>
      <c r="AI4055" s="284"/>
      <c r="AJ4055" s="284"/>
      <c r="AK4055" s="284"/>
      <c r="AL4055" s="284"/>
    </row>
    <row r="4056" ht="15.75" customHeight="1">
      <c r="A4056" s="115">
        <f t="shared" si="29"/>
        <v>4875</v>
      </c>
      <c r="B4056" s="49"/>
      <c r="C4056" s="272"/>
      <c r="D4056" s="55" t="s">
        <v>13573</v>
      </c>
      <c r="E4056" s="49" t="s">
        <v>31</v>
      </c>
      <c r="F4056" s="49" t="s">
        <v>29</v>
      </c>
      <c r="G4056" s="49" t="s">
        <v>37</v>
      </c>
      <c r="H4056" s="49"/>
      <c r="I4056" s="49" t="s">
        <v>38</v>
      </c>
      <c r="J4056" s="49"/>
      <c r="K4056" s="49"/>
      <c r="L4056" s="49"/>
      <c r="M4056" s="49"/>
      <c r="N4056" s="49"/>
      <c r="O4056" s="49" t="s">
        <v>388</v>
      </c>
      <c r="P4056" s="49">
        <v>1.0</v>
      </c>
      <c r="Q4056" s="56"/>
      <c r="R4056" s="301"/>
      <c r="S4056" s="185"/>
      <c r="T4056" s="185"/>
      <c r="U4056" s="185"/>
      <c r="V4056" s="185"/>
      <c r="W4056" s="185"/>
      <c r="X4056" s="185"/>
      <c r="Y4056" s="284"/>
      <c r="Z4056" s="284"/>
      <c r="AA4056" s="284"/>
      <c r="AB4056" s="284"/>
      <c r="AC4056" s="284"/>
      <c r="AD4056" s="284"/>
      <c r="AE4056" s="284"/>
      <c r="AF4056" s="284"/>
      <c r="AG4056" s="284"/>
      <c r="AH4056" s="284"/>
      <c r="AI4056" s="284"/>
      <c r="AJ4056" s="284"/>
      <c r="AK4056" s="284"/>
      <c r="AL4056" s="284"/>
    </row>
    <row r="4057" ht="15.75" customHeight="1">
      <c r="A4057" s="115">
        <f t="shared" si="29"/>
        <v>4876</v>
      </c>
      <c r="B4057" s="49" t="s">
        <v>13574</v>
      </c>
      <c r="C4057" s="272"/>
      <c r="D4057" s="55" t="s">
        <v>13575</v>
      </c>
      <c r="E4057" s="49" t="s">
        <v>28</v>
      </c>
      <c r="F4057" s="49" t="s">
        <v>29</v>
      </c>
      <c r="G4057" s="49" t="s">
        <v>37</v>
      </c>
      <c r="H4057" s="49" t="s">
        <v>31</v>
      </c>
      <c r="I4057" s="49" t="s">
        <v>38</v>
      </c>
      <c r="J4057" s="49">
        <f>231+16</f>
        <v>247</v>
      </c>
      <c r="K4057" s="49"/>
      <c r="L4057" s="49" t="s">
        <v>13576</v>
      </c>
      <c r="M4057" s="49" t="s">
        <v>3461</v>
      </c>
      <c r="N4057" s="49">
        <v>2012.0</v>
      </c>
      <c r="O4057" s="49" t="s">
        <v>388</v>
      </c>
      <c r="P4057" s="49">
        <v>1.0</v>
      </c>
      <c r="Q4057" s="56"/>
      <c r="R4057" s="301"/>
      <c r="S4057" s="185"/>
      <c r="T4057" s="185"/>
      <c r="U4057" s="185"/>
      <c r="V4057" s="185"/>
      <c r="W4057" s="185"/>
      <c r="X4057" s="185"/>
      <c r="Y4057" s="284"/>
      <c r="Z4057" s="284"/>
      <c r="AA4057" s="284"/>
      <c r="AB4057" s="284"/>
      <c r="AC4057" s="284"/>
      <c r="AD4057" s="284"/>
      <c r="AE4057" s="284"/>
      <c r="AF4057" s="284"/>
      <c r="AG4057" s="284"/>
      <c r="AH4057" s="284"/>
      <c r="AI4057" s="284"/>
      <c r="AJ4057" s="284"/>
      <c r="AK4057" s="284"/>
      <c r="AL4057" s="284"/>
    </row>
    <row r="4058" ht="15.75" customHeight="1">
      <c r="A4058" s="115">
        <f t="shared" si="29"/>
        <v>4877</v>
      </c>
      <c r="B4058" s="49"/>
      <c r="C4058" s="272"/>
      <c r="D4058" s="55" t="s">
        <v>13577</v>
      </c>
      <c r="E4058" s="49" t="s">
        <v>144</v>
      </c>
      <c r="F4058" s="49" t="s">
        <v>29</v>
      </c>
      <c r="G4058" s="49" t="s">
        <v>30</v>
      </c>
      <c r="H4058" s="49" t="s">
        <v>31</v>
      </c>
      <c r="I4058" s="49" t="s">
        <v>30</v>
      </c>
      <c r="J4058" s="49"/>
      <c r="K4058" s="49"/>
      <c r="L4058" s="49"/>
      <c r="M4058" s="49" t="s">
        <v>161</v>
      </c>
      <c r="N4058" s="49">
        <v>2006.0</v>
      </c>
      <c r="O4058" s="49" t="s">
        <v>388</v>
      </c>
      <c r="P4058" s="49">
        <v>1.0</v>
      </c>
      <c r="Q4058" s="56"/>
      <c r="R4058" s="301"/>
      <c r="S4058" s="185"/>
      <c r="T4058" s="185"/>
      <c r="U4058" s="185"/>
      <c r="V4058" s="185"/>
      <c r="W4058" s="185"/>
      <c r="X4058" s="185"/>
      <c r="Y4058" s="284"/>
      <c r="Z4058" s="284"/>
      <c r="AA4058" s="284"/>
      <c r="AB4058" s="284"/>
      <c r="AC4058" s="284"/>
      <c r="AD4058" s="284"/>
      <c r="AE4058" s="284"/>
      <c r="AF4058" s="284"/>
      <c r="AG4058" s="284"/>
      <c r="AH4058" s="284"/>
      <c r="AI4058" s="284"/>
      <c r="AJ4058" s="284"/>
      <c r="AK4058" s="284"/>
      <c r="AL4058" s="284"/>
    </row>
    <row r="4059" ht="15.75" customHeight="1">
      <c r="A4059" s="115">
        <f t="shared" si="29"/>
        <v>4878</v>
      </c>
      <c r="B4059" s="49"/>
      <c r="C4059" s="272"/>
      <c r="D4059" s="55" t="s">
        <v>13578</v>
      </c>
      <c r="E4059" s="49" t="s">
        <v>144</v>
      </c>
      <c r="F4059" s="49" t="s">
        <v>29</v>
      </c>
      <c r="G4059" s="49"/>
      <c r="H4059" s="49" t="s">
        <v>31</v>
      </c>
      <c r="I4059" s="49" t="s">
        <v>38</v>
      </c>
      <c r="J4059" s="49"/>
      <c r="K4059" s="49"/>
      <c r="L4059" s="49"/>
      <c r="M4059" s="49" t="s">
        <v>65</v>
      </c>
      <c r="N4059" s="49">
        <v>1983.0</v>
      </c>
      <c r="O4059" s="49" t="s">
        <v>388</v>
      </c>
      <c r="P4059" s="49">
        <v>1.0</v>
      </c>
      <c r="Q4059" s="56"/>
      <c r="R4059" s="301"/>
      <c r="S4059" s="185"/>
      <c r="T4059" s="185"/>
      <c r="U4059" s="185"/>
      <c r="V4059" s="185"/>
      <c r="W4059" s="185"/>
      <c r="X4059" s="185"/>
      <c r="Y4059" s="284"/>
      <c r="Z4059" s="284"/>
      <c r="AA4059" s="284"/>
      <c r="AB4059" s="284"/>
      <c r="AC4059" s="284"/>
      <c r="AD4059" s="284"/>
      <c r="AE4059" s="284"/>
      <c r="AF4059" s="284"/>
      <c r="AG4059" s="284"/>
      <c r="AH4059" s="284"/>
      <c r="AI4059" s="284"/>
      <c r="AJ4059" s="284"/>
      <c r="AK4059" s="284"/>
      <c r="AL4059" s="284"/>
    </row>
    <row r="4060" ht="15.75" customHeight="1">
      <c r="A4060" s="115">
        <f t="shared" si="29"/>
        <v>4879</v>
      </c>
      <c r="B4060" s="49"/>
      <c r="C4060" s="272"/>
      <c r="D4060" s="55" t="s">
        <v>13579</v>
      </c>
      <c r="E4060" s="49" t="s">
        <v>144</v>
      </c>
      <c r="F4060" s="49" t="s">
        <v>29</v>
      </c>
      <c r="G4060" s="49"/>
      <c r="H4060" s="49" t="s">
        <v>31</v>
      </c>
      <c r="I4060" s="49" t="s">
        <v>38</v>
      </c>
      <c r="J4060" s="277">
        <v>50.96</v>
      </c>
      <c r="K4060" s="278"/>
      <c r="L4060" s="49"/>
      <c r="M4060" s="49" t="s">
        <v>13580</v>
      </c>
      <c r="N4060" s="49">
        <v>2014.0</v>
      </c>
      <c r="O4060" s="49" t="s">
        <v>388</v>
      </c>
      <c r="P4060" s="49">
        <v>1.0</v>
      </c>
      <c r="Q4060" s="56"/>
      <c r="R4060" s="301"/>
      <c r="S4060" s="185"/>
      <c r="T4060" s="185"/>
      <c r="U4060" s="185"/>
      <c r="V4060" s="185"/>
      <c r="W4060" s="185"/>
      <c r="X4060" s="185"/>
      <c r="Y4060" s="284"/>
      <c r="Z4060" s="284"/>
      <c r="AA4060" s="284"/>
      <c r="AB4060" s="284"/>
      <c r="AC4060" s="284"/>
      <c r="AD4060" s="284"/>
      <c r="AE4060" s="284"/>
      <c r="AF4060" s="284"/>
      <c r="AG4060" s="284"/>
      <c r="AH4060" s="284"/>
      <c r="AI4060" s="284"/>
      <c r="AJ4060" s="284"/>
      <c r="AK4060" s="284"/>
      <c r="AL4060" s="284"/>
    </row>
    <row r="4061" ht="15.0" customHeight="1">
      <c r="A4061" s="115">
        <f t="shared" si="29"/>
        <v>4880</v>
      </c>
      <c r="B4061" s="49"/>
      <c r="C4061" s="287"/>
      <c r="D4061" s="55" t="s">
        <v>13581</v>
      </c>
      <c r="E4061" s="49"/>
      <c r="F4061" s="49" t="s">
        <v>29</v>
      </c>
      <c r="G4061" s="49" t="s">
        <v>30</v>
      </c>
      <c r="H4061" s="49" t="s">
        <v>31</v>
      </c>
      <c r="I4061" s="49" t="s">
        <v>38</v>
      </c>
      <c r="J4061" s="49"/>
      <c r="K4061" s="49" t="s">
        <v>13582</v>
      </c>
      <c r="L4061" s="49"/>
      <c r="M4061" s="49"/>
      <c r="N4061" s="49"/>
      <c r="O4061" s="49" t="s">
        <v>388</v>
      </c>
      <c r="P4061" s="49">
        <v>1.0</v>
      </c>
      <c r="Q4061" s="56"/>
      <c r="R4061" s="301"/>
      <c r="S4061" s="185"/>
      <c r="T4061" s="185"/>
      <c r="U4061" s="185"/>
      <c r="V4061" s="185"/>
      <c r="W4061" s="185"/>
      <c r="X4061" s="185"/>
      <c r="Y4061" s="284"/>
      <c r="Z4061" s="284"/>
      <c r="AA4061" s="284"/>
      <c r="AB4061" s="284"/>
      <c r="AC4061" s="284"/>
      <c r="AD4061" s="284"/>
      <c r="AE4061" s="284"/>
      <c r="AF4061" s="284"/>
      <c r="AG4061" s="284"/>
      <c r="AH4061" s="284"/>
      <c r="AI4061" s="284"/>
      <c r="AJ4061" s="284"/>
      <c r="AK4061" s="284"/>
      <c r="AL4061" s="284"/>
    </row>
    <row r="4062" ht="15.75" customHeight="1">
      <c r="A4062" s="115">
        <f t="shared" si="29"/>
        <v>4881</v>
      </c>
      <c r="B4062" s="49"/>
      <c r="C4062" s="272"/>
      <c r="D4062" s="55" t="s">
        <v>13583</v>
      </c>
      <c r="E4062" s="49" t="s">
        <v>144</v>
      </c>
      <c r="F4062" s="49" t="s">
        <v>29</v>
      </c>
      <c r="G4062" s="49" t="s">
        <v>37</v>
      </c>
      <c r="H4062" s="49" t="s">
        <v>31</v>
      </c>
      <c r="I4062" s="49" t="s">
        <v>38</v>
      </c>
      <c r="J4062" s="49"/>
      <c r="K4062" s="49"/>
      <c r="L4062" s="49"/>
      <c r="M4062" s="49" t="s">
        <v>356</v>
      </c>
      <c r="N4062" s="49">
        <v>2009.0</v>
      </c>
      <c r="O4062" s="49" t="s">
        <v>388</v>
      </c>
      <c r="P4062" s="49">
        <v>1.0</v>
      </c>
      <c r="Q4062" s="56"/>
      <c r="R4062" s="301"/>
      <c r="S4062" s="185"/>
      <c r="T4062" s="185"/>
      <c r="U4062" s="185"/>
      <c r="V4062" s="185"/>
      <c r="W4062" s="185"/>
      <c r="X4062" s="185"/>
      <c r="Y4062" s="284"/>
      <c r="Z4062" s="284"/>
      <c r="AA4062" s="284"/>
      <c r="AB4062" s="284"/>
      <c r="AC4062" s="284"/>
      <c r="AD4062" s="284"/>
      <c r="AE4062" s="284"/>
      <c r="AF4062" s="284"/>
      <c r="AG4062" s="284"/>
      <c r="AH4062" s="284"/>
      <c r="AI4062" s="284"/>
      <c r="AJ4062" s="284"/>
      <c r="AK4062" s="284"/>
      <c r="AL4062" s="284"/>
    </row>
    <row r="4063" ht="15.75" hidden="1" customHeight="1">
      <c r="A4063" s="27">
        <f t="shared" si="29"/>
        <v>4882</v>
      </c>
      <c r="B4063" s="86" t="s">
        <v>31</v>
      </c>
      <c r="C4063" s="86" t="s">
        <v>13584</v>
      </c>
      <c r="D4063" s="117" t="s">
        <v>13585</v>
      </c>
      <c r="E4063" s="83"/>
      <c r="F4063" s="86" t="s">
        <v>29</v>
      </c>
      <c r="G4063" s="83"/>
      <c r="H4063" s="83"/>
      <c r="I4063" s="83"/>
      <c r="J4063" s="86">
        <v>342.0</v>
      </c>
      <c r="K4063" s="83"/>
      <c r="L4063" s="86" t="s">
        <v>13586</v>
      </c>
      <c r="M4063" s="86" t="s">
        <v>13587</v>
      </c>
      <c r="N4063" s="86">
        <v>2005.0</v>
      </c>
      <c r="O4063" s="83"/>
      <c r="P4063" s="86">
        <v>1.0</v>
      </c>
      <c r="Q4063" s="86">
        <v>1.0</v>
      </c>
      <c r="R4063" s="353"/>
      <c r="S4063" s="185"/>
      <c r="T4063" s="185"/>
      <c r="U4063" s="185"/>
      <c r="V4063" s="185"/>
      <c r="W4063" s="185"/>
      <c r="X4063" s="185"/>
      <c r="Y4063" s="284"/>
      <c r="Z4063" s="284"/>
      <c r="AA4063" s="284"/>
      <c r="AB4063" s="284"/>
      <c r="AC4063" s="284"/>
      <c r="AD4063" s="284"/>
      <c r="AE4063" s="284"/>
      <c r="AF4063" s="284"/>
      <c r="AG4063" s="284"/>
      <c r="AH4063" s="284"/>
      <c r="AI4063" s="284"/>
      <c r="AJ4063" s="284"/>
      <c r="AK4063" s="284"/>
      <c r="AL4063" s="284"/>
    </row>
    <row r="4064" ht="15.75" customHeight="1">
      <c r="A4064" s="115">
        <f t="shared" si="29"/>
        <v>4883</v>
      </c>
      <c r="B4064" s="49"/>
      <c r="C4064" s="272"/>
      <c r="D4064" s="55" t="s">
        <v>13588</v>
      </c>
      <c r="E4064" s="49" t="s">
        <v>144</v>
      </c>
      <c r="F4064" s="49" t="s">
        <v>29</v>
      </c>
      <c r="G4064" s="49" t="s">
        <v>37</v>
      </c>
      <c r="H4064" s="49" t="s">
        <v>31</v>
      </c>
      <c r="I4064" s="49" t="s">
        <v>38</v>
      </c>
      <c r="J4064" s="49"/>
      <c r="K4064" s="49"/>
      <c r="L4064" s="49"/>
      <c r="M4064" s="49" t="s">
        <v>356</v>
      </c>
      <c r="N4064" s="49">
        <v>2009.0</v>
      </c>
      <c r="O4064" s="49" t="s">
        <v>388</v>
      </c>
      <c r="P4064" s="49">
        <v>1.0</v>
      </c>
      <c r="Q4064" s="56"/>
      <c r="R4064" s="54"/>
      <c r="S4064" s="185"/>
      <c r="T4064" s="185"/>
      <c r="U4064" s="185"/>
      <c r="V4064" s="185"/>
      <c r="W4064" s="185"/>
      <c r="X4064" s="185"/>
      <c r="Y4064" s="354"/>
      <c r="Z4064" s="354"/>
      <c r="AA4064" s="354"/>
      <c r="AB4064" s="354"/>
      <c r="AC4064" s="354"/>
      <c r="AD4064" s="354"/>
      <c r="AE4064" s="354"/>
      <c r="AF4064" s="354"/>
      <c r="AG4064" s="354"/>
      <c r="AH4064" s="354"/>
      <c r="AI4064" s="354"/>
      <c r="AJ4064" s="354"/>
      <c r="AK4064" s="354"/>
      <c r="AL4064" s="354"/>
    </row>
    <row r="4065" ht="15.75" customHeight="1">
      <c r="A4065" s="115">
        <f t="shared" si="29"/>
        <v>4884</v>
      </c>
      <c r="B4065" s="49"/>
      <c r="C4065" s="272"/>
      <c r="D4065" s="55" t="s">
        <v>13589</v>
      </c>
      <c r="E4065" s="49" t="s">
        <v>144</v>
      </c>
      <c r="F4065" s="49" t="s">
        <v>29</v>
      </c>
      <c r="G4065" s="49" t="s">
        <v>37</v>
      </c>
      <c r="H4065" s="49" t="s">
        <v>31</v>
      </c>
      <c r="I4065" s="49" t="s">
        <v>38</v>
      </c>
      <c r="J4065" s="49"/>
      <c r="K4065" s="49"/>
      <c r="L4065" s="49"/>
      <c r="M4065" s="49" t="s">
        <v>356</v>
      </c>
      <c r="N4065" s="49">
        <v>2008.0</v>
      </c>
      <c r="O4065" s="49" t="s">
        <v>388</v>
      </c>
      <c r="P4065" s="49">
        <v>1.0</v>
      </c>
      <c r="Q4065" s="56"/>
      <c r="R4065" s="301"/>
      <c r="S4065" s="185"/>
      <c r="T4065" s="185"/>
      <c r="U4065" s="185"/>
      <c r="V4065" s="185"/>
      <c r="W4065" s="185"/>
      <c r="X4065" s="185"/>
      <c r="Y4065" s="284"/>
      <c r="Z4065" s="284"/>
      <c r="AA4065" s="284"/>
      <c r="AB4065" s="284"/>
      <c r="AC4065" s="284"/>
      <c r="AD4065" s="284"/>
      <c r="AE4065" s="284"/>
      <c r="AF4065" s="284"/>
      <c r="AG4065" s="284"/>
      <c r="AH4065" s="284"/>
      <c r="AI4065" s="284"/>
      <c r="AJ4065" s="284"/>
      <c r="AK4065" s="284"/>
      <c r="AL4065" s="284"/>
    </row>
    <row r="4066" ht="15.75" customHeight="1">
      <c r="A4066" s="115">
        <f t="shared" si="29"/>
        <v>4885</v>
      </c>
      <c r="B4066" s="49"/>
      <c r="C4066" s="272"/>
      <c r="D4066" s="55" t="s">
        <v>13590</v>
      </c>
      <c r="E4066" s="49" t="s">
        <v>144</v>
      </c>
      <c r="F4066" s="49" t="s">
        <v>29</v>
      </c>
      <c r="G4066" s="49" t="s">
        <v>37</v>
      </c>
      <c r="H4066" s="49" t="s">
        <v>31</v>
      </c>
      <c r="I4066" s="49" t="s">
        <v>38</v>
      </c>
      <c r="J4066" s="49"/>
      <c r="K4066" s="49"/>
      <c r="L4066" s="49"/>
      <c r="M4066" s="49" t="s">
        <v>356</v>
      </c>
      <c r="N4066" s="49">
        <v>2007.0</v>
      </c>
      <c r="O4066" s="49" t="s">
        <v>388</v>
      </c>
      <c r="P4066" s="49">
        <v>1.0</v>
      </c>
      <c r="Q4066" s="56"/>
      <c r="R4066" s="301"/>
      <c r="S4066" s="185"/>
      <c r="T4066" s="185"/>
      <c r="U4066" s="185"/>
      <c r="V4066" s="185"/>
      <c r="W4066" s="185"/>
      <c r="X4066" s="185"/>
      <c r="Y4066" s="284"/>
      <c r="Z4066" s="284"/>
      <c r="AA4066" s="284"/>
      <c r="AB4066" s="284"/>
      <c r="AC4066" s="284"/>
      <c r="AD4066" s="284"/>
      <c r="AE4066" s="284"/>
      <c r="AF4066" s="284"/>
      <c r="AG4066" s="284"/>
      <c r="AH4066" s="284"/>
      <c r="AI4066" s="284"/>
      <c r="AJ4066" s="284"/>
      <c r="AK4066" s="284"/>
      <c r="AL4066" s="284"/>
    </row>
    <row r="4067" ht="15.75" customHeight="1">
      <c r="A4067" s="115">
        <f t="shared" si="29"/>
        <v>4886</v>
      </c>
      <c r="B4067" s="49"/>
      <c r="C4067" s="272"/>
      <c r="D4067" s="55" t="s">
        <v>13591</v>
      </c>
      <c r="E4067" s="49" t="s">
        <v>144</v>
      </c>
      <c r="F4067" s="49" t="s">
        <v>29</v>
      </c>
      <c r="G4067" s="49" t="s">
        <v>37</v>
      </c>
      <c r="H4067" s="49" t="s">
        <v>31</v>
      </c>
      <c r="I4067" s="49" t="s">
        <v>38</v>
      </c>
      <c r="J4067" s="49"/>
      <c r="K4067" s="49"/>
      <c r="L4067" s="49"/>
      <c r="M4067" s="49" t="s">
        <v>356</v>
      </c>
      <c r="N4067" s="49">
        <v>2006.0</v>
      </c>
      <c r="O4067" s="49" t="s">
        <v>388</v>
      </c>
      <c r="P4067" s="49">
        <v>1.0</v>
      </c>
      <c r="Q4067" s="56"/>
      <c r="R4067" s="301"/>
      <c r="S4067" s="185"/>
      <c r="T4067" s="185"/>
      <c r="U4067" s="185"/>
      <c r="V4067" s="185"/>
      <c r="W4067" s="185"/>
      <c r="X4067" s="185"/>
      <c r="Y4067" s="284"/>
      <c r="Z4067" s="284"/>
      <c r="AA4067" s="284"/>
      <c r="AB4067" s="284"/>
      <c r="AC4067" s="284"/>
      <c r="AD4067" s="284"/>
      <c r="AE4067" s="284"/>
      <c r="AF4067" s="284"/>
      <c r="AG4067" s="284"/>
      <c r="AH4067" s="284"/>
      <c r="AI4067" s="284"/>
      <c r="AJ4067" s="284"/>
      <c r="AK4067" s="284"/>
      <c r="AL4067" s="284"/>
    </row>
    <row r="4068" ht="15.75" customHeight="1">
      <c r="A4068" s="115">
        <f t="shared" si="29"/>
        <v>4887</v>
      </c>
      <c r="B4068" s="49" t="s">
        <v>3047</v>
      </c>
      <c r="C4068" s="272"/>
      <c r="D4068" s="55" t="s">
        <v>13592</v>
      </c>
      <c r="E4068" s="49"/>
      <c r="F4068" s="49" t="s">
        <v>740</v>
      </c>
      <c r="G4068" s="49" t="s">
        <v>13593</v>
      </c>
      <c r="H4068" s="49"/>
      <c r="I4068" s="49" t="s">
        <v>38</v>
      </c>
      <c r="J4068" s="49">
        <v>119.0</v>
      </c>
      <c r="K4068" s="49"/>
      <c r="L4068" s="49" t="s">
        <v>729</v>
      </c>
      <c r="M4068" s="49" t="s">
        <v>230</v>
      </c>
      <c r="N4068" s="49">
        <v>1972.0</v>
      </c>
      <c r="O4068" s="49" t="s">
        <v>388</v>
      </c>
      <c r="P4068" s="49">
        <v>1.0</v>
      </c>
      <c r="Q4068" s="49"/>
      <c r="R4068" s="301"/>
      <c r="S4068" s="185"/>
      <c r="T4068" s="185"/>
      <c r="U4068" s="185"/>
      <c r="V4068" s="185"/>
      <c r="W4068" s="185"/>
      <c r="X4068" s="185"/>
      <c r="Y4068" s="284"/>
      <c r="Z4068" s="284"/>
      <c r="AA4068" s="284"/>
      <c r="AB4068" s="284"/>
      <c r="AC4068" s="284"/>
      <c r="AD4068" s="284"/>
      <c r="AE4068" s="284"/>
      <c r="AF4068" s="284"/>
      <c r="AG4068" s="284"/>
      <c r="AH4068" s="284"/>
      <c r="AI4068" s="284"/>
      <c r="AJ4068" s="284"/>
      <c r="AK4068" s="284"/>
      <c r="AL4068" s="284"/>
    </row>
    <row r="4069" ht="15.75" customHeight="1">
      <c r="A4069" s="115">
        <f t="shared" si="29"/>
        <v>4888</v>
      </c>
      <c r="B4069" s="49"/>
      <c r="C4069" s="355"/>
      <c r="D4069" s="55" t="s">
        <v>13594</v>
      </c>
      <c r="E4069" s="49" t="s">
        <v>144</v>
      </c>
      <c r="F4069" s="49" t="s">
        <v>29</v>
      </c>
      <c r="G4069" s="49"/>
      <c r="H4069" s="49" t="s">
        <v>31</v>
      </c>
      <c r="I4069" s="49" t="s">
        <v>38</v>
      </c>
      <c r="J4069" s="277">
        <v>39.11</v>
      </c>
      <c r="K4069" s="278"/>
      <c r="L4069" s="49"/>
      <c r="M4069" s="49" t="s">
        <v>13580</v>
      </c>
      <c r="N4069" s="49">
        <v>2008.0</v>
      </c>
      <c r="O4069" s="49" t="s">
        <v>388</v>
      </c>
      <c r="P4069" s="49">
        <v>1.0</v>
      </c>
      <c r="Q4069" s="56"/>
      <c r="R4069" s="301"/>
      <c r="S4069" s="185"/>
      <c r="T4069" s="185"/>
      <c r="U4069" s="185"/>
      <c r="V4069" s="185"/>
      <c r="W4069" s="185"/>
      <c r="X4069" s="185"/>
      <c r="Y4069" s="284"/>
      <c r="Z4069" s="284"/>
      <c r="AA4069" s="284"/>
      <c r="AB4069" s="284"/>
      <c r="AC4069" s="284"/>
      <c r="AD4069" s="284"/>
      <c r="AE4069" s="284"/>
      <c r="AF4069" s="284"/>
      <c r="AG4069" s="284"/>
      <c r="AH4069" s="284"/>
      <c r="AI4069" s="284"/>
      <c r="AJ4069" s="284"/>
      <c r="AK4069" s="284"/>
      <c r="AL4069" s="284"/>
    </row>
    <row r="4070" ht="15.75" hidden="1" customHeight="1">
      <c r="A4070" s="27">
        <f t="shared" si="29"/>
        <v>4889</v>
      </c>
      <c r="B4070" s="86" t="s">
        <v>11128</v>
      </c>
      <c r="C4070" s="86" t="s">
        <v>11129</v>
      </c>
      <c r="D4070" s="117" t="s">
        <v>13595</v>
      </c>
      <c r="E4070" s="83"/>
      <c r="F4070" s="86" t="s">
        <v>29</v>
      </c>
      <c r="G4070" s="86" t="s">
        <v>30</v>
      </c>
      <c r="H4070" s="83"/>
      <c r="I4070" s="86" t="s">
        <v>30</v>
      </c>
      <c r="J4070" s="86">
        <v>979.0</v>
      </c>
      <c r="K4070" s="83"/>
      <c r="L4070" s="86" t="s">
        <v>11131</v>
      </c>
      <c r="M4070" s="86" t="s">
        <v>151</v>
      </c>
      <c r="N4070" s="86">
        <v>2016.0</v>
      </c>
      <c r="O4070" s="83"/>
      <c r="P4070" s="86">
        <v>1.0</v>
      </c>
      <c r="Q4070" s="86">
        <v>1.0</v>
      </c>
      <c r="R4070" s="353"/>
      <c r="S4070" s="185"/>
      <c r="T4070" s="185"/>
      <c r="U4070" s="185"/>
      <c r="V4070" s="185"/>
      <c r="W4070" s="185"/>
      <c r="X4070" s="185"/>
      <c r="Y4070" s="284"/>
      <c r="Z4070" s="284"/>
      <c r="AA4070" s="284"/>
      <c r="AB4070" s="284"/>
      <c r="AC4070" s="284"/>
      <c r="AD4070" s="284"/>
      <c r="AE4070" s="284"/>
      <c r="AF4070" s="284"/>
      <c r="AG4070" s="284"/>
      <c r="AH4070" s="284"/>
      <c r="AI4070" s="284"/>
      <c r="AJ4070" s="284"/>
      <c r="AK4070" s="284"/>
      <c r="AL4070" s="284"/>
    </row>
    <row r="4071" ht="15.75" customHeight="1">
      <c r="A4071" s="115">
        <f t="shared" si="29"/>
        <v>4890</v>
      </c>
      <c r="B4071" s="49"/>
      <c r="C4071" s="272"/>
      <c r="D4071" s="55" t="s">
        <v>13596</v>
      </c>
      <c r="E4071" s="49" t="s">
        <v>144</v>
      </c>
      <c r="F4071" s="49" t="s">
        <v>29</v>
      </c>
      <c r="G4071" s="49"/>
      <c r="H4071" s="49" t="s">
        <v>31</v>
      </c>
      <c r="I4071" s="49" t="s">
        <v>38</v>
      </c>
      <c r="J4071" s="277">
        <v>37.75</v>
      </c>
      <c r="K4071" s="278"/>
      <c r="L4071" s="49"/>
      <c r="M4071" s="49" t="s">
        <v>13580</v>
      </c>
      <c r="N4071" s="49">
        <v>2006.0</v>
      </c>
      <c r="O4071" s="49" t="s">
        <v>388</v>
      </c>
      <c r="P4071" s="49">
        <v>1.0</v>
      </c>
      <c r="Q4071" s="56"/>
      <c r="R4071" s="301"/>
      <c r="S4071" s="185"/>
      <c r="T4071" s="185"/>
      <c r="U4071" s="185"/>
      <c r="V4071" s="185"/>
      <c r="W4071" s="185"/>
      <c r="X4071" s="185"/>
      <c r="Y4071" s="284"/>
      <c r="Z4071" s="284"/>
      <c r="AA4071" s="284"/>
      <c r="AB4071" s="284"/>
      <c r="AC4071" s="284"/>
      <c r="AD4071" s="284"/>
      <c r="AE4071" s="284"/>
      <c r="AF4071" s="284"/>
      <c r="AG4071" s="284"/>
      <c r="AH4071" s="284"/>
      <c r="AI4071" s="284"/>
      <c r="AJ4071" s="284"/>
      <c r="AK4071" s="284"/>
      <c r="AL4071" s="284"/>
    </row>
    <row r="4072" ht="15.75" customHeight="1">
      <c r="A4072" s="115">
        <f t="shared" si="29"/>
        <v>4891</v>
      </c>
      <c r="B4072" s="49"/>
      <c r="C4072" s="272"/>
      <c r="D4072" s="55" t="s">
        <v>13597</v>
      </c>
      <c r="E4072" s="49" t="s">
        <v>144</v>
      </c>
      <c r="F4072" s="49" t="s">
        <v>29</v>
      </c>
      <c r="G4072" s="49" t="s">
        <v>37</v>
      </c>
      <c r="H4072" s="49" t="s">
        <v>31</v>
      </c>
      <c r="I4072" s="49" t="s">
        <v>38</v>
      </c>
      <c r="J4072" s="49"/>
      <c r="K4072" s="49"/>
      <c r="L4072" s="49"/>
      <c r="M4072" s="49" t="s">
        <v>230</v>
      </c>
      <c r="N4072" s="49">
        <v>2009.0</v>
      </c>
      <c r="O4072" s="49" t="s">
        <v>388</v>
      </c>
      <c r="P4072" s="49">
        <v>1.0</v>
      </c>
      <c r="Q4072" s="56"/>
      <c r="R4072" s="301"/>
      <c r="S4072" s="185"/>
      <c r="T4072" s="185"/>
      <c r="U4072" s="185"/>
      <c r="V4072" s="185"/>
      <c r="W4072" s="185"/>
      <c r="X4072" s="185"/>
      <c r="Y4072" s="284"/>
      <c r="Z4072" s="284"/>
      <c r="AA4072" s="284"/>
      <c r="AB4072" s="284"/>
      <c r="AC4072" s="284"/>
      <c r="AD4072" s="284"/>
      <c r="AE4072" s="284"/>
      <c r="AF4072" s="284"/>
      <c r="AG4072" s="284"/>
      <c r="AH4072" s="284"/>
      <c r="AI4072" s="284"/>
      <c r="AJ4072" s="284"/>
      <c r="AK4072" s="284"/>
      <c r="AL4072" s="284"/>
    </row>
    <row r="4073" ht="15.75" customHeight="1">
      <c r="A4073" s="115">
        <f t="shared" si="29"/>
        <v>4892</v>
      </c>
      <c r="B4073" s="49"/>
      <c r="C4073" s="272"/>
      <c r="D4073" s="55" t="s">
        <v>13598</v>
      </c>
      <c r="E4073" s="49"/>
      <c r="F4073" s="49" t="s">
        <v>29</v>
      </c>
      <c r="G4073" s="49" t="s">
        <v>37</v>
      </c>
      <c r="H4073" s="49" t="s">
        <v>31</v>
      </c>
      <c r="I4073" s="49" t="s">
        <v>38</v>
      </c>
      <c r="J4073" s="49"/>
      <c r="K4073" s="49"/>
      <c r="L4073" s="49"/>
      <c r="M4073" s="49" t="s">
        <v>13580</v>
      </c>
      <c r="N4073" s="49">
        <v>2009.0</v>
      </c>
      <c r="O4073" s="49" t="s">
        <v>388</v>
      </c>
      <c r="P4073" s="49">
        <v>1.0</v>
      </c>
      <c r="Q4073" s="56"/>
      <c r="R4073" s="301"/>
      <c r="S4073" s="185"/>
      <c r="T4073" s="185"/>
      <c r="U4073" s="185"/>
      <c r="V4073" s="185"/>
      <c r="W4073" s="185"/>
      <c r="X4073" s="185"/>
      <c r="Y4073" s="284"/>
      <c r="Z4073" s="284"/>
      <c r="AA4073" s="284"/>
      <c r="AB4073" s="284"/>
      <c r="AC4073" s="284"/>
      <c r="AD4073" s="284"/>
      <c r="AE4073" s="284"/>
      <c r="AF4073" s="284"/>
      <c r="AG4073" s="284"/>
      <c r="AH4073" s="284"/>
      <c r="AI4073" s="284"/>
      <c r="AJ4073" s="284"/>
      <c r="AK4073" s="284"/>
      <c r="AL4073" s="284"/>
    </row>
    <row r="4074" ht="15.75" customHeight="1">
      <c r="A4074" s="115">
        <f t="shared" si="29"/>
        <v>4893</v>
      </c>
      <c r="B4074" s="49"/>
      <c r="C4074" s="272"/>
      <c r="D4074" s="55" t="s">
        <v>13599</v>
      </c>
      <c r="E4074" s="49" t="s">
        <v>144</v>
      </c>
      <c r="F4074" s="49" t="s">
        <v>29</v>
      </c>
      <c r="G4074" s="49" t="s">
        <v>37</v>
      </c>
      <c r="H4074" s="49" t="s">
        <v>31</v>
      </c>
      <c r="I4074" s="49" t="s">
        <v>38</v>
      </c>
      <c r="J4074" s="49"/>
      <c r="K4074" s="49"/>
      <c r="L4074" s="49"/>
      <c r="M4074" s="49" t="s">
        <v>230</v>
      </c>
      <c r="N4074" s="49">
        <v>2010.0</v>
      </c>
      <c r="O4074" s="49" t="s">
        <v>388</v>
      </c>
      <c r="P4074" s="49">
        <v>1.0</v>
      </c>
      <c r="Q4074" s="56"/>
      <c r="R4074" s="301"/>
      <c r="S4074" s="185"/>
      <c r="T4074" s="185"/>
      <c r="U4074" s="185"/>
      <c r="V4074" s="185"/>
      <c r="W4074" s="185"/>
      <c r="X4074" s="185"/>
      <c r="Y4074" s="284"/>
      <c r="Z4074" s="284"/>
      <c r="AA4074" s="284"/>
      <c r="AB4074" s="284"/>
      <c r="AC4074" s="284"/>
      <c r="AD4074" s="284"/>
      <c r="AE4074" s="284"/>
      <c r="AF4074" s="284"/>
      <c r="AG4074" s="284"/>
      <c r="AH4074" s="284"/>
      <c r="AI4074" s="284"/>
      <c r="AJ4074" s="284"/>
      <c r="AK4074" s="284"/>
      <c r="AL4074" s="284"/>
    </row>
    <row r="4075" ht="15.75" customHeight="1">
      <c r="A4075" s="115">
        <f t="shared" si="29"/>
        <v>4894</v>
      </c>
      <c r="B4075" s="49"/>
      <c r="C4075" s="272"/>
      <c r="D4075" s="55" t="s">
        <v>13600</v>
      </c>
      <c r="E4075" s="49" t="s">
        <v>144</v>
      </c>
      <c r="F4075" s="49" t="s">
        <v>29</v>
      </c>
      <c r="G4075" s="49" t="s">
        <v>37</v>
      </c>
      <c r="H4075" s="49"/>
      <c r="I4075" s="49" t="s">
        <v>38</v>
      </c>
      <c r="J4075" s="49">
        <v>222.0</v>
      </c>
      <c r="K4075" s="49" t="s">
        <v>13601</v>
      </c>
      <c r="L4075" s="49" t="s">
        <v>13602</v>
      </c>
      <c r="M4075" s="49" t="s">
        <v>13603</v>
      </c>
      <c r="N4075" s="49">
        <v>1989.0</v>
      </c>
      <c r="O4075" s="49" t="s">
        <v>388</v>
      </c>
      <c r="P4075" s="49">
        <v>1.0</v>
      </c>
      <c r="Q4075" s="56"/>
      <c r="R4075" s="301"/>
      <c r="S4075" s="185"/>
      <c r="T4075" s="185"/>
      <c r="U4075" s="185"/>
      <c r="V4075" s="185"/>
      <c r="W4075" s="185"/>
      <c r="X4075" s="185"/>
      <c r="Y4075" s="284"/>
      <c r="Z4075" s="284"/>
      <c r="AA4075" s="284"/>
      <c r="AB4075" s="284"/>
      <c r="AC4075" s="284"/>
      <c r="AD4075" s="284"/>
      <c r="AE4075" s="284"/>
      <c r="AF4075" s="284"/>
      <c r="AG4075" s="284"/>
      <c r="AH4075" s="284"/>
      <c r="AI4075" s="284"/>
      <c r="AJ4075" s="284"/>
      <c r="AK4075" s="284"/>
      <c r="AL4075" s="284"/>
    </row>
    <row r="4076" ht="15.75" customHeight="1">
      <c r="A4076" s="115">
        <f t="shared" si="29"/>
        <v>4895</v>
      </c>
      <c r="B4076" s="49" t="s">
        <v>13604</v>
      </c>
      <c r="C4076" s="272"/>
      <c r="D4076" s="55" t="s">
        <v>13605</v>
      </c>
      <c r="E4076" s="49"/>
      <c r="F4076" s="49" t="s">
        <v>740</v>
      </c>
      <c r="G4076" s="49" t="s">
        <v>37</v>
      </c>
      <c r="H4076" s="49"/>
      <c r="I4076" s="49" t="s">
        <v>38</v>
      </c>
      <c r="J4076" s="49">
        <v>444.0</v>
      </c>
      <c r="K4076" s="49"/>
      <c r="L4076" s="49" t="s">
        <v>13606</v>
      </c>
      <c r="M4076" s="49" t="s">
        <v>507</v>
      </c>
      <c r="N4076" s="49">
        <v>1975.0</v>
      </c>
      <c r="O4076" s="49" t="s">
        <v>388</v>
      </c>
      <c r="P4076" s="49">
        <v>1.0</v>
      </c>
      <c r="Q4076" s="56"/>
      <c r="R4076" s="301"/>
      <c r="S4076" s="185"/>
      <c r="T4076" s="185"/>
      <c r="U4076" s="185"/>
      <c r="V4076" s="185"/>
      <c r="W4076" s="185"/>
      <c r="X4076" s="185"/>
      <c r="Y4076" s="284"/>
      <c r="Z4076" s="284"/>
      <c r="AA4076" s="284"/>
      <c r="AB4076" s="284"/>
      <c r="AC4076" s="284"/>
      <c r="AD4076" s="284"/>
      <c r="AE4076" s="284"/>
      <c r="AF4076" s="284"/>
      <c r="AG4076" s="284"/>
      <c r="AH4076" s="284"/>
      <c r="AI4076" s="284"/>
      <c r="AJ4076" s="284"/>
      <c r="AK4076" s="284"/>
      <c r="AL4076" s="284"/>
    </row>
    <row r="4077" ht="15.75" customHeight="1">
      <c r="A4077" s="115">
        <f t="shared" si="29"/>
        <v>4896</v>
      </c>
      <c r="B4077" s="49" t="s">
        <v>13607</v>
      </c>
      <c r="C4077" s="272"/>
      <c r="D4077" s="55" t="s">
        <v>13608</v>
      </c>
      <c r="E4077" s="49"/>
      <c r="F4077" s="49" t="s">
        <v>740</v>
      </c>
      <c r="G4077" s="49" t="s">
        <v>37</v>
      </c>
      <c r="H4077" s="49"/>
      <c r="I4077" s="49" t="s">
        <v>38</v>
      </c>
      <c r="J4077" s="49">
        <v>927.0</v>
      </c>
      <c r="K4077" s="49"/>
      <c r="L4077" s="49" t="s">
        <v>13606</v>
      </c>
      <c r="M4077" s="49" t="s">
        <v>507</v>
      </c>
      <c r="N4077" s="49">
        <v>1979.0</v>
      </c>
      <c r="O4077" s="49" t="s">
        <v>388</v>
      </c>
      <c r="P4077" s="49">
        <v>1.0</v>
      </c>
      <c r="Q4077" s="56"/>
      <c r="R4077" s="301"/>
      <c r="S4077" s="185"/>
      <c r="T4077" s="185"/>
      <c r="U4077" s="185"/>
      <c r="V4077" s="185"/>
      <c r="W4077" s="185"/>
      <c r="X4077" s="185"/>
      <c r="Y4077" s="284"/>
      <c r="Z4077" s="284"/>
      <c r="AA4077" s="284"/>
      <c r="AB4077" s="284"/>
      <c r="AC4077" s="284"/>
      <c r="AD4077" s="284"/>
      <c r="AE4077" s="284"/>
      <c r="AF4077" s="284"/>
      <c r="AG4077" s="284"/>
      <c r="AH4077" s="284"/>
      <c r="AI4077" s="284"/>
      <c r="AJ4077" s="284"/>
      <c r="AK4077" s="284"/>
      <c r="AL4077" s="284"/>
    </row>
    <row r="4078" ht="15.75" customHeight="1">
      <c r="A4078" s="115">
        <f t="shared" si="29"/>
        <v>4897</v>
      </c>
      <c r="B4078" s="49"/>
      <c r="C4078" s="272"/>
      <c r="D4078" s="55" t="s">
        <v>13609</v>
      </c>
      <c r="E4078" s="49"/>
      <c r="F4078" s="49" t="s">
        <v>740</v>
      </c>
      <c r="G4078" s="49" t="s">
        <v>2179</v>
      </c>
      <c r="H4078" s="49"/>
      <c r="I4078" s="49" t="s">
        <v>38</v>
      </c>
      <c r="J4078" s="49">
        <v>360.0</v>
      </c>
      <c r="K4078" s="49"/>
      <c r="L4078" s="49" t="s">
        <v>13610</v>
      </c>
      <c r="M4078" s="49" t="s">
        <v>507</v>
      </c>
      <c r="N4078" s="49">
        <v>1921.0</v>
      </c>
      <c r="O4078" s="49" t="s">
        <v>388</v>
      </c>
      <c r="P4078" s="49">
        <v>1.0</v>
      </c>
      <c r="Q4078" s="56"/>
      <c r="R4078" s="301"/>
      <c r="S4078" s="185"/>
      <c r="T4078" s="185"/>
      <c r="U4078" s="185"/>
      <c r="V4078" s="185"/>
      <c r="W4078" s="185"/>
      <c r="X4078" s="185"/>
      <c r="Y4078" s="284"/>
      <c r="Z4078" s="284"/>
      <c r="AA4078" s="284"/>
      <c r="AB4078" s="284"/>
      <c r="AC4078" s="284"/>
      <c r="AD4078" s="284"/>
      <c r="AE4078" s="284"/>
      <c r="AF4078" s="284"/>
      <c r="AG4078" s="284"/>
      <c r="AH4078" s="284"/>
      <c r="AI4078" s="284"/>
      <c r="AJ4078" s="284"/>
      <c r="AK4078" s="284"/>
      <c r="AL4078" s="284"/>
    </row>
    <row r="4079" ht="15.75" customHeight="1">
      <c r="A4079" s="115">
        <f t="shared" si="29"/>
        <v>4898</v>
      </c>
      <c r="B4079" s="49"/>
      <c r="C4079" s="272"/>
      <c r="D4079" s="55" t="s">
        <v>13611</v>
      </c>
      <c r="E4079" s="49" t="s">
        <v>144</v>
      </c>
      <c r="F4079" s="49" t="s">
        <v>29</v>
      </c>
      <c r="G4079" s="49" t="s">
        <v>37</v>
      </c>
      <c r="H4079" s="49" t="s">
        <v>31</v>
      </c>
      <c r="I4079" s="49" t="s">
        <v>38</v>
      </c>
      <c r="J4079" s="49"/>
      <c r="K4079" s="49"/>
      <c r="L4079" s="49"/>
      <c r="M4079" s="49" t="s">
        <v>230</v>
      </c>
      <c r="N4079" s="49">
        <v>2010.0</v>
      </c>
      <c r="O4079" s="49" t="s">
        <v>388</v>
      </c>
      <c r="P4079" s="49">
        <v>1.0</v>
      </c>
      <c r="Q4079" s="56"/>
      <c r="R4079" s="301"/>
      <c r="S4079" s="185"/>
      <c r="T4079" s="185"/>
      <c r="U4079" s="185"/>
      <c r="V4079" s="185"/>
      <c r="W4079" s="185"/>
      <c r="X4079" s="185"/>
      <c r="Y4079" s="284"/>
      <c r="Z4079" s="284"/>
      <c r="AA4079" s="284"/>
      <c r="AB4079" s="284"/>
      <c r="AC4079" s="284"/>
      <c r="AD4079" s="284"/>
      <c r="AE4079" s="284"/>
      <c r="AF4079" s="284"/>
      <c r="AG4079" s="284"/>
      <c r="AH4079" s="284"/>
      <c r="AI4079" s="284"/>
      <c r="AJ4079" s="284"/>
      <c r="AK4079" s="284"/>
      <c r="AL4079" s="284"/>
    </row>
    <row r="4080" ht="15.75" customHeight="1">
      <c r="A4080" s="115">
        <f t="shared" si="29"/>
        <v>4899</v>
      </c>
      <c r="B4080" s="49"/>
      <c r="C4080" s="272"/>
      <c r="D4080" s="55" t="s">
        <v>13611</v>
      </c>
      <c r="E4080" s="49" t="s">
        <v>144</v>
      </c>
      <c r="F4080" s="49" t="s">
        <v>29</v>
      </c>
      <c r="G4080" s="49"/>
      <c r="H4080" s="49" t="s">
        <v>31</v>
      </c>
      <c r="I4080" s="49" t="s">
        <v>38</v>
      </c>
      <c r="J4080" s="277">
        <v>54.53</v>
      </c>
      <c r="K4080" s="278"/>
      <c r="L4080" s="49"/>
      <c r="M4080" s="49" t="s">
        <v>13580</v>
      </c>
      <c r="N4080" s="49">
        <v>2010.0</v>
      </c>
      <c r="O4080" s="49" t="s">
        <v>388</v>
      </c>
      <c r="P4080" s="49">
        <v>1.0</v>
      </c>
      <c r="Q4080" s="56"/>
      <c r="R4080" s="301"/>
      <c r="S4080" s="185"/>
      <c r="T4080" s="185"/>
      <c r="U4080" s="185"/>
      <c r="V4080" s="185"/>
      <c r="W4080" s="185"/>
      <c r="X4080" s="185"/>
      <c r="Y4080" s="284"/>
      <c r="Z4080" s="284"/>
      <c r="AA4080" s="284"/>
      <c r="AB4080" s="284"/>
      <c r="AC4080" s="284"/>
      <c r="AD4080" s="284"/>
      <c r="AE4080" s="284"/>
      <c r="AF4080" s="284"/>
      <c r="AG4080" s="284"/>
      <c r="AH4080" s="284"/>
      <c r="AI4080" s="284"/>
      <c r="AJ4080" s="284"/>
      <c r="AK4080" s="284"/>
      <c r="AL4080" s="284"/>
    </row>
    <row r="4081" ht="15.75" customHeight="1">
      <c r="A4081" s="115">
        <f t="shared" si="29"/>
        <v>4900</v>
      </c>
      <c r="B4081" s="49"/>
      <c r="C4081" s="272"/>
      <c r="D4081" s="55" t="s">
        <v>9980</v>
      </c>
      <c r="E4081" s="49"/>
      <c r="F4081" s="49" t="s">
        <v>740</v>
      </c>
      <c r="G4081" s="49" t="s">
        <v>37</v>
      </c>
      <c r="H4081" s="49"/>
      <c r="I4081" s="49" t="s">
        <v>38</v>
      </c>
      <c r="J4081" s="49">
        <v>408.0</v>
      </c>
      <c r="K4081" s="49"/>
      <c r="L4081" s="49" t="s">
        <v>691</v>
      </c>
      <c r="M4081" s="49" t="s">
        <v>230</v>
      </c>
      <c r="N4081" s="49">
        <v>1959.0</v>
      </c>
      <c r="O4081" s="49" t="s">
        <v>388</v>
      </c>
      <c r="P4081" s="49">
        <v>1.0</v>
      </c>
      <c r="Q4081" s="56"/>
      <c r="R4081" s="301"/>
      <c r="S4081" s="185"/>
      <c r="T4081" s="185"/>
      <c r="U4081" s="185"/>
      <c r="V4081" s="185"/>
      <c r="W4081" s="185"/>
      <c r="X4081" s="185"/>
      <c r="Y4081" s="284"/>
      <c r="Z4081" s="284"/>
      <c r="AA4081" s="284"/>
      <c r="AB4081" s="284"/>
      <c r="AC4081" s="284"/>
      <c r="AD4081" s="284"/>
      <c r="AE4081" s="284"/>
      <c r="AF4081" s="284"/>
      <c r="AG4081" s="284"/>
      <c r="AH4081" s="284"/>
      <c r="AI4081" s="284"/>
      <c r="AJ4081" s="284"/>
      <c r="AK4081" s="284"/>
      <c r="AL4081" s="284"/>
    </row>
    <row r="4082" ht="15.75" customHeight="1">
      <c r="A4082" s="115">
        <f t="shared" si="29"/>
        <v>4901</v>
      </c>
      <c r="B4082" s="49"/>
      <c r="C4082" s="272"/>
      <c r="D4082" s="55" t="s">
        <v>13612</v>
      </c>
      <c r="E4082" s="49"/>
      <c r="F4082" s="49" t="s">
        <v>29</v>
      </c>
      <c r="G4082" s="49" t="s">
        <v>38</v>
      </c>
      <c r="H4082" s="49"/>
      <c r="I4082" s="49" t="s">
        <v>38</v>
      </c>
      <c r="J4082" s="49"/>
      <c r="K4082" s="49" t="s">
        <v>13613</v>
      </c>
      <c r="L4082" s="49" t="s">
        <v>13614</v>
      </c>
      <c r="M4082" s="49"/>
      <c r="N4082" s="49">
        <v>2008.0</v>
      </c>
      <c r="O4082" s="49" t="s">
        <v>388</v>
      </c>
      <c r="P4082" s="49">
        <v>2.0</v>
      </c>
      <c r="Q4082" s="56"/>
      <c r="R4082" s="301"/>
      <c r="S4082" s="185"/>
      <c r="T4082" s="185"/>
      <c r="U4082" s="185"/>
      <c r="V4082" s="185"/>
      <c r="W4082" s="185"/>
      <c r="X4082" s="185"/>
      <c r="Y4082" s="284"/>
      <c r="Z4082" s="284"/>
      <c r="AA4082" s="284"/>
      <c r="AB4082" s="284"/>
      <c r="AC4082" s="284"/>
      <c r="AD4082" s="284"/>
      <c r="AE4082" s="284"/>
      <c r="AF4082" s="284"/>
      <c r="AG4082" s="284"/>
      <c r="AH4082" s="284"/>
      <c r="AI4082" s="284"/>
      <c r="AJ4082" s="284"/>
      <c r="AK4082" s="284"/>
      <c r="AL4082" s="284"/>
    </row>
    <row r="4083" ht="15.75" customHeight="1">
      <c r="A4083" s="115">
        <f t="shared" si="29"/>
        <v>4902</v>
      </c>
      <c r="B4083" s="49" t="s">
        <v>13615</v>
      </c>
      <c r="C4083" s="272"/>
      <c r="D4083" s="55" t="s">
        <v>13616</v>
      </c>
      <c r="E4083" s="49" t="s">
        <v>28</v>
      </c>
      <c r="F4083" s="49" t="s">
        <v>29</v>
      </c>
      <c r="G4083" s="49" t="s">
        <v>37</v>
      </c>
      <c r="H4083" s="49" t="s">
        <v>31</v>
      </c>
      <c r="I4083" s="49" t="s">
        <v>38</v>
      </c>
      <c r="J4083" s="49">
        <f>204+12</f>
        <v>216</v>
      </c>
      <c r="K4083" s="49"/>
      <c r="L4083" s="49" t="s">
        <v>13617</v>
      </c>
      <c r="M4083" s="49" t="s">
        <v>83</v>
      </c>
      <c r="N4083" s="49">
        <v>2008.0</v>
      </c>
      <c r="O4083" s="49" t="s">
        <v>388</v>
      </c>
      <c r="P4083" s="49">
        <v>1.0</v>
      </c>
      <c r="Q4083" s="56"/>
      <c r="R4083" s="301"/>
      <c r="S4083" s="185"/>
      <c r="T4083" s="185"/>
      <c r="U4083" s="185"/>
      <c r="V4083" s="185"/>
      <c r="W4083" s="185"/>
      <c r="X4083" s="185"/>
      <c r="Y4083" s="284"/>
      <c r="Z4083" s="284"/>
      <c r="AA4083" s="284"/>
      <c r="AB4083" s="284"/>
      <c r="AC4083" s="284"/>
      <c r="AD4083" s="284"/>
      <c r="AE4083" s="284"/>
      <c r="AF4083" s="284"/>
      <c r="AG4083" s="284"/>
      <c r="AH4083" s="284"/>
      <c r="AI4083" s="284"/>
      <c r="AJ4083" s="284"/>
      <c r="AK4083" s="284"/>
      <c r="AL4083" s="284"/>
    </row>
    <row r="4084" ht="15.75" customHeight="1">
      <c r="A4084" s="115">
        <f t="shared" si="29"/>
        <v>4903</v>
      </c>
      <c r="B4084" s="49" t="s">
        <v>1466</v>
      </c>
      <c r="C4084" s="272"/>
      <c r="D4084" s="55" t="s">
        <v>13618</v>
      </c>
      <c r="E4084" s="49" t="s">
        <v>28</v>
      </c>
      <c r="F4084" s="49" t="s">
        <v>29</v>
      </c>
      <c r="G4084" s="49" t="s">
        <v>37</v>
      </c>
      <c r="H4084" s="49" t="s">
        <v>31</v>
      </c>
      <c r="I4084" s="49" t="s">
        <v>38</v>
      </c>
      <c r="J4084" s="49">
        <f>331+11</f>
        <v>342</v>
      </c>
      <c r="K4084" s="49"/>
      <c r="L4084" s="49" t="s">
        <v>1469</v>
      </c>
      <c r="M4084" s="49" t="s">
        <v>83</v>
      </c>
      <c r="N4084" s="49">
        <v>2008.0</v>
      </c>
      <c r="O4084" s="49" t="s">
        <v>388</v>
      </c>
      <c r="P4084" s="49">
        <v>1.0</v>
      </c>
      <c r="Q4084" s="56"/>
      <c r="R4084" s="301"/>
      <c r="S4084" s="185"/>
      <c r="T4084" s="185"/>
      <c r="U4084" s="185"/>
      <c r="V4084" s="185"/>
      <c r="W4084" s="185"/>
      <c r="X4084" s="185"/>
      <c r="Y4084" s="284"/>
      <c r="Z4084" s="284"/>
      <c r="AA4084" s="284"/>
      <c r="AB4084" s="284"/>
      <c r="AC4084" s="284"/>
      <c r="AD4084" s="284"/>
      <c r="AE4084" s="284"/>
      <c r="AF4084" s="284"/>
      <c r="AG4084" s="284"/>
      <c r="AH4084" s="284"/>
      <c r="AI4084" s="284"/>
      <c r="AJ4084" s="284"/>
      <c r="AK4084" s="284"/>
      <c r="AL4084" s="284"/>
    </row>
    <row r="4085" ht="15.75" customHeight="1">
      <c r="A4085" s="115">
        <f t="shared" si="29"/>
        <v>4904</v>
      </c>
      <c r="B4085" s="49" t="s">
        <v>13619</v>
      </c>
      <c r="C4085" s="272"/>
      <c r="D4085" s="55" t="s">
        <v>13620</v>
      </c>
      <c r="E4085" s="49" t="s">
        <v>144</v>
      </c>
      <c r="F4085" s="49" t="s">
        <v>29</v>
      </c>
      <c r="G4085" s="49" t="s">
        <v>37</v>
      </c>
      <c r="H4085" s="49" t="s">
        <v>31</v>
      </c>
      <c r="I4085" s="49" t="s">
        <v>38</v>
      </c>
      <c r="J4085" s="49">
        <v>112.0</v>
      </c>
      <c r="K4085" s="49"/>
      <c r="L4085" s="49" t="s">
        <v>31</v>
      </c>
      <c r="M4085" s="49" t="s">
        <v>13621</v>
      </c>
      <c r="N4085" s="49">
        <v>2013.0</v>
      </c>
      <c r="O4085" s="49" t="s">
        <v>388</v>
      </c>
      <c r="P4085" s="49">
        <v>1.0</v>
      </c>
      <c r="Q4085" s="56"/>
      <c r="R4085" s="301"/>
      <c r="S4085" s="185"/>
      <c r="T4085" s="185"/>
      <c r="U4085" s="185"/>
      <c r="V4085" s="185"/>
      <c r="W4085" s="185"/>
      <c r="X4085" s="185"/>
      <c r="Y4085" s="284"/>
      <c r="Z4085" s="284"/>
      <c r="AA4085" s="284"/>
      <c r="AB4085" s="284"/>
      <c r="AC4085" s="284"/>
      <c r="AD4085" s="284"/>
      <c r="AE4085" s="284"/>
      <c r="AF4085" s="284"/>
      <c r="AG4085" s="284"/>
      <c r="AH4085" s="284"/>
      <c r="AI4085" s="284"/>
      <c r="AJ4085" s="284"/>
      <c r="AK4085" s="284"/>
      <c r="AL4085" s="284"/>
    </row>
    <row r="4086" ht="15.75" customHeight="1">
      <c r="A4086" s="115">
        <f t="shared" si="29"/>
        <v>4905</v>
      </c>
      <c r="B4086" s="49" t="s">
        <v>13622</v>
      </c>
      <c r="C4086" s="272"/>
      <c r="D4086" s="55" t="s">
        <v>13623</v>
      </c>
      <c r="E4086" s="49" t="s">
        <v>144</v>
      </c>
      <c r="F4086" s="49" t="s">
        <v>29</v>
      </c>
      <c r="G4086" s="49" t="s">
        <v>37</v>
      </c>
      <c r="H4086" s="49" t="s">
        <v>31</v>
      </c>
      <c r="I4086" s="49" t="s">
        <v>38</v>
      </c>
      <c r="J4086" s="49">
        <f>161+10</f>
        <v>171</v>
      </c>
      <c r="K4086" s="49"/>
      <c r="L4086" s="49" t="s">
        <v>13624</v>
      </c>
      <c r="M4086" s="49" t="s">
        <v>1191</v>
      </c>
      <c r="N4086" s="49">
        <v>2014.0</v>
      </c>
      <c r="O4086" s="49" t="s">
        <v>388</v>
      </c>
      <c r="P4086" s="49">
        <v>1.0</v>
      </c>
      <c r="Q4086" s="56"/>
      <c r="R4086" s="301"/>
      <c r="S4086" s="185"/>
      <c r="T4086" s="185"/>
      <c r="U4086" s="185"/>
      <c r="V4086" s="185"/>
      <c r="W4086" s="185"/>
      <c r="X4086" s="185"/>
      <c r="Y4086" s="284"/>
      <c r="Z4086" s="284"/>
      <c r="AA4086" s="284"/>
      <c r="AB4086" s="284"/>
      <c r="AC4086" s="284"/>
      <c r="AD4086" s="284"/>
      <c r="AE4086" s="284"/>
      <c r="AF4086" s="284"/>
      <c r="AG4086" s="284"/>
      <c r="AH4086" s="284"/>
      <c r="AI4086" s="284"/>
      <c r="AJ4086" s="284"/>
      <c r="AK4086" s="284"/>
      <c r="AL4086" s="284"/>
    </row>
    <row r="4087" ht="15.75" customHeight="1">
      <c r="A4087" s="115">
        <f t="shared" si="29"/>
        <v>4906</v>
      </c>
      <c r="B4087" s="49"/>
      <c r="C4087" s="272"/>
      <c r="D4087" s="55" t="s">
        <v>13625</v>
      </c>
      <c r="E4087" s="49" t="s">
        <v>144</v>
      </c>
      <c r="F4087" s="49" t="s">
        <v>29</v>
      </c>
      <c r="G4087" s="49"/>
      <c r="H4087" s="49" t="s">
        <v>31</v>
      </c>
      <c r="I4087" s="49" t="s">
        <v>38</v>
      </c>
      <c r="J4087" s="277">
        <v>54.75</v>
      </c>
      <c r="K4087" s="278"/>
      <c r="L4087" s="49"/>
      <c r="M4087" s="49" t="s">
        <v>13580</v>
      </c>
      <c r="N4087" s="49">
        <v>2009.0</v>
      </c>
      <c r="O4087" s="49" t="s">
        <v>388</v>
      </c>
      <c r="P4087" s="49">
        <v>1.0</v>
      </c>
      <c r="Q4087" s="56"/>
      <c r="R4087" s="301"/>
      <c r="S4087" s="185"/>
      <c r="T4087" s="185"/>
      <c r="U4087" s="185"/>
      <c r="V4087" s="185"/>
      <c r="W4087" s="185"/>
      <c r="X4087" s="185"/>
      <c r="Y4087" s="284"/>
      <c r="Z4087" s="284"/>
      <c r="AA4087" s="284"/>
      <c r="AB4087" s="284"/>
      <c r="AC4087" s="284"/>
      <c r="AD4087" s="284"/>
      <c r="AE4087" s="284"/>
      <c r="AF4087" s="284"/>
      <c r="AG4087" s="284"/>
      <c r="AH4087" s="284"/>
      <c r="AI4087" s="284"/>
      <c r="AJ4087" s="284"/>
      <c r="AK4087" s="284"/>
      <c r="AL4087" s="284"/>
    </row>
    <row r="4088" ht="15.75" customHeight="1">
      <c r="A4088" s="115">
        <f t="shared" si="29"/>
        <v>4907</v>
      </c>
      <c r="B4088" s="49"/>
      <c r="C4088" s="272"/>
      <c r="D4088" s="55" t="s">
        <v>13626</v>
      </c>
      <c r="E4088" s="49"/>
      <c r="F4088" s="49" t="s">
        <v>740</v>
      </c>
      <c r="G4088" s="49" t="s">
        <v>2179</v>
      </c>
      <c r="H4088" s="49"/>
      <c r="I4088" s="49" t="s">
        <v>38</v>
      </c>
      <c r="J4088" s="49">
        <v>239.0</v>
      </c>
      <c r="K4088" s="49"/>
      <c r="L4088" s="49" t="s">
        <v>13627</v>
      </c>
      <c r="M4088" s="49" t="s">
        <v>466</v>
      </c>
      <c r="N4088" s="49">
        <v>1960.0</v>
      </c>
      <c r="O4088" s="49" t="s">
        <v>388</v>
      </c>
      <c r="P4088" s="49">
        <v>1.0</v>
      </c>
      <c r="Q4088" s="56"/>
      <c r="R4088" s="301"/>
      <c r="S4088" s="185"/>
      <c r="T4088" s="185"/>
      <c r="U4088" s="185"/>
      <c r="V4088" s="185"/>
      <c r="W4088" s="185"/>
      <c r="X4088" s="185"/>
      <c r="Y4088" s="284"/>
      <c r="Z4088" s="284"/>
      <c r="AA4088" s="284"/>
      <c r="AB4088" s="284"/>
      <c r="AC4088" s="284"/>
      <c r="AD4088" s="284"/>
      <c r="AE4088" s="284"/>
      <c r="AF4088" s="284"/>
      <c r="AG4088" s="284"/>
      <c r="AH4088" s="284"/>
      <c r="AI4088" s="284"/>
      <c r="AJ4088" s="284"/>
      <c r="AK4088" s="284"/>
      <c r="AL4088" s="284"/>
    </row>
    <row r="4089" ht="15.75" customHeight="1">
      <c r="A4089" s="115">
        <f t="shared" si="29"/>
        <v>4908</v>
      </c>
      <c r="B4089" s="49" t="s">
        <v>13628</v>
      </c>
      <c r="C4089" s="272"/>
      <c r="D4089" s="55" t="s">
        <v>13629</v>
      </c>
      <c r="E4089" s="49" t="s">
        <v>144</v>
      </c>
      <c r="F4089" s="49" t="s">
        <v>29</v>
      </c>
      <c r="G4089" s="49" t="s">
        <v>30</v>
      </c>
      <c r="H4089" s="49" t="s">
        <v>31</v>
      </c>
      <c r="I4089" s="49" t="s">
        <v>30</v>
      </c>
      <c r="J4089" s="49">
        <v>94.0</v>
      </c>
      <c r="K4089" s="49"/>
      <c r="L4089" s="49" t="s">
        <v>13005</v>
      </c>
      <c r="M4089" s="49" t="s">
        <v>13006</v>
      </c>
      <c r="N4089" s="49">
        <v>2015.0</v>
      </c>
      <c r="O4089" s="49" t="s">
        <v>388</v>
      </c>
      <c r="P4089" s="49">
        <v>1.0</v>
      </c>
      <c r="Q4089" s="56"/>
      <c r="R4089" s="301"/>
      <c r="S4089" s="185"/>
      <c r="T4089" s="185"/>
      <c r="U4089" s="185"/>
      <c r="V4089" s="185"/>
      <c r="W4089" s="185"/>
      <c r="X4089" s="185"/>
      <c r="Y4089" s="284"/>
      <c r="Z4089" s="284"/>
      <c r="AA4089" s="284"/>
      <c r="AB4089" s="284"/>
      <c r="AC4089" s="284"/>
      <c r="AD4089" s="284"/>
      <c r="AE4089" s="284"/>
      <c r="AF4089" s="284"/>
      <c r="AG4089" s="284"/>
      <c r="AH4089" s="284"/>
      <c r="AI4089" s="284"/>
      <c r="AJ4089" s="284"/>
      <c r="AK4089" s="284"/>
      <c r="AL4089" s="284"/>
    </row>
    <row r="4090" ht="15.75" customHeight="1">
      <c r="A4090" s="115">
        <f t="shared" si="29"/>
        <v>4909</v>
      </c>
      <c r="B4090" s="49"/>
      <c r="C4090" s="272"/>
      <c r="D4090" s="55" t="s">
        <v>13630</v>
      </c>
      <c r="E4090" s="49" t="s">
        <v>144</v>
      </c>
      <c r="F4090" s="49" t="s">
        <v>29</v>
      </c>
      <c r="G4090" s="49" t="s">
        <v>30</v>
      </c>
      <c r="H4090" s="49" t="s">
        <v>31</v>
      </c>
      <c r="I4090" s="49" t="s">
        <v>30</v>
      </c>
      <c r="J4090" s="49"/>
      <c r="K4090" s="49"/>
      <c r="L4090" s="49"/>
      <c r="M4090" s="49" t="s">
        <v>151</v>
      </c>
      <c r="N4090" s="49">
        <v>2011.0</v>
      </c>
      <c r="O4090" s="49" t="s">
        <v>388</v>
      </c>
      <c r="P4090" s="49">
        <v>1.0</v>
      </c>
      <c r="Q4090" s="56"/>
      <c r="R4090" s="301"/>
      <c r="S4090" s="185"/>
      <c r="T4090" s="185"/>
      <c r="U4090" s="185"/>
      <c r="V4090" s="185"/>
      <c r="W4090" s="185"/>
      <c r="X4090" s="185"/>
      <c r="Y4090" s="284"/>
      <c r="Z4090" s="284"/>
      <c r="AA4090" s="284"/>
      <c r="AB4090" s="284"/>
      <c r="AC4090" s="284"/>
      <c r="AD4090" s="284"/>
      <c r="AE4090" s="284"/>
      <c r="AF4090" s="284"/>
      <c r="AG4090" s="284"/>
      <c r="AH4090" s="284"/>
      <c r="AI4090" s="284"/>
      <c r="AJ4090" s="284"/>
      <c r="AK4090" s="284"/>
      <c r="AL4090" s="284"/>
    </row>
    <row r="4091" ht="15.75" customHeight="1">
      <c r="A4091" s="115">
        <f t="shared" si="29"/>
        <v>4910</v>
      </c>
      <c r="B4091" s="49"/>
      <c r="C4091" s="272"/>
      <c r="D4091" s="55" t="s">
        <v>13630</v>
      </c>
      <c r="E4091" s="49" t="s">
        <v>144</v>
      </c>
      <c r="F4091" s="49" t="s">
        <v>29</v>
      </c>
      <c r="G4091" s="49" t="s">
        <v>30</v>
      </c>
      <c r="H4091" s="49" t="s">
        <v>31</v>
      </c>
      <c r="I4091" s="49" t="s">
        <v>30</v>
      </c>
      <c r="J4091" s="49"/>
      <c r="K4091" s="49"/>
      <c r="L4091" s="49"/>
      <c r="M4091" s="49" t="s">
        <v>151</v>
      </c>
      <c r="N4091" s="49">
        <v>2011.0</v>
      </c>
      <c r="O4091" s="49" t="s">
        <v>388</v>
      </c>
      <c r="P4091" s="49">
        <v>1.0</v>
      </c>
      <c r="Q4091" s="56"/>
      <c r="R4091" s="301"/>
      <c r="S4091" s="185"/>
      <c r="T4091" s="185"/>
      <c r="U4091" s="185"/>
      <c r="V4091" s="185"/>
      <c r="W4091" s="185"/>
      <c r="X4091" s="185"/>
      <c r="Y4091" s="284"/>
      <c r="Z4091" s="284"/>
      <c r="AA4091" s="284"/>
      <c r="AB4091" s="284"/>
      <c r="AC4091" s="284"/>
      <c r="AD4091" s="284"/>
      <c r="AE4091" s="284"/>
      <c r="AF4091" s="284"/>
      <c r="AG4091" s="284"/>
      <c r="AH4091" s="284"/>
      <c r="AI4091" s="284"/>
      <c r="AJ4091" s="284"/>
      <c r="AK4091" s="284"/>
      <c r="AL4091" s="284"/>
    </row>
    <row r="4092" ht="15.75" customHeight="1">
      <c r="A4092" s="115">
        <f t="shared" si="29"/>
        <v>4911</v>
      </c>
      <c r="B4092" s="49" t="s">
        <v>8298</v>
      </c>
      <c r="C4092" s="272"/>
      <c r="D4092" s="55" t="s">
        <v>13631</v>
      </c>
      <c r="E4092" s="49" t="s">
        <v>144</v>
      </c>
      <c r="F4092" s="49" t="s">
        <v>29</v>
      </c>
      <c r="G4092" s="49" t="s">
        <v>30</v>
      </c>
      <c r="H4092" s="49" t="s">
        <v>31</v>
      </c>
      <c r="I4092" s="49" t="s">
        <v>30</v>
      </c>
      <c r="J4092" s="49">
        <v>168.0</v>
      </c>
      <c r="K4092" s="49"/>
      <c r="L4092" s="49" t="s">
        <v>8301</v>
      </c>
      <c r="M4092" s="49" t="s">
        <v>4660</v>
      </c>
      <c r="N4092" s="49">
        <v>2015.0</v>
      </c>
      <c r="O4092" s="49" t="s">
        <v>388</v>
      </c>
      <c r="P4092" s="49">
        <v>1.0</v>
      </c>
      <c r="Q4092" s="56"/>
      <c r="R4092" s="301"/>
      <c r="S4092" s="185"/>
      <c r="T4092" s="185"/>
      <c r="U4092" s="185"/>
      <c r="V4092" s="185"/>
      <c r="W4092" s="185"/>
      <c r="X4092" s="185"/>
      <c r="Y4092" s="284"/>
      <c r="Z4092" s="284"/>
      <c r="AA4092" s="284"/>
      <c r="AB4092" s="284"/>
      <c r="AC4092" s="284"/>
      <c r="AD4092" s="284"/>
      <c r="AE4092" s="284"/>
      <c r="AF4092" s="284"/>
      <c r="AG4092" s="284"/>
      <c r="AH4092" s="284"/>
      <c r="AI4092" s="284"/>
      <c r="AJ4092" s="284"/>
      <c r="AK4092" s="284"/>
      <c r="AL4092" s="284"/>
    </row>
    <row r="4093" ht="15.75" customHeight="1">
      <c r="A4093" s="115">
        <f t="shared" si="29"/>
        <v>4912</v>
      </c>
      <c r="B4093" s="49" t="s">
        <v>10332</v>
      </c>
      <c r="C4093" s="272"/>
      <c r="D4093" s="55" t="s">
        <v>13632</v>
      </c>
      <c r="E4093" s="49"/>
      <c r="F4093" s="49" t="s">
        <v>740</v>
      </c>
      <c r="G4093" s="49" t="s">
        <v>2855</v>
      </c>
      <c r="H4093" s="49"/>
      <c r="I4093" s="49" t="s">
        <v>1195</v>
      </c>
      <c r="J4093" s="49">
        <v>606.0</v>
      </c>
      <c r="K4093" s="49"/>
      <c r="L4093" s="49"/>
      <c r="M4093" s="49" t="s">
        <v>100</v>
      </c>
      <c r="N4093" s="49">
        <v>1996.0</v>
      </c>
      <c r="O4093" s="49" t="s">
        <v>388</v>
      </c>
      <c r="P4093" s="49">
        <v>1.0</v>
      </c>
      <c r="Q4093" s="56"/>
      <c r="R4093" s="301"/>
      <c r="S4093" s="185"/>
      <c r="T4093" s="185"/>
      <c r="U4093" s="185"/>
      <c r="V4093" s="185"/>
      <c r="W4093" s="185"/>
      <c r="X4093" s="185"/>
      <c r="Y4093" s="284"/>
      <c r="Z4093" s="284"/>
      <c r="AA4093" s="284"/>
      <c r="AB4093" s="284"/>
      <c r="AC4093" s="284"/>
      <c r="AD4093" s="284"/>
      <c r="AE4093" s="284"/>
      <c r="AF4093" s="284"/>
      <c r="AG4093" s="284"/>
      <c r="AH4093" s="284"/>
      <c r="AI4093" s="284"/>
      <c r="AJ4093" s="284"/>
      <c r="AK4093" s="284"/>
      <c r="AL4093" s="284"/>
    </row>
    <row r="4094" ht="15.75" customHeight="1">
      <c r="A4094" s="115">
        <f t="shared" si="29"/>
        <v>4913</v>
      </c>
      <c r="B4094" s="49"/>
      <c r="C4094" s="272"/>
      <c r="D4094" s="55" t="s">
        <v>13633</v>
      </c>
      <c r="E4094" s="49" t="s">
        <v>144</v>
      </c>
      <c r="F4094" s="49" t="s">
        <v>29</v>
      </c>
      <c r="G4094" s="49" t="s">
        <v>30</v>
      </c>
      <c r="H4094" s="49" t="s">
        <v>31</v>
      </c>
      <c r="I4094" s="49" t="s">
        <v>30</v>
      </c>
      <c r="J4094" s="49"/>
      <c r="K4094" s="49"/>
      <c r="L4094" s="49"/>
      <c r="M4094" s="49" t="s">
        <v>3341</v>
      </c>
      <c r="N4094" s="49">
        <v>2011.0</v>
      </c>
      <c r="O4094" s="49" t="s">
        <v>388</v>
      </c>
      <c r="P4094" s="49">
        <v>1.0</v>
      </c>
      <c r="Q4094" s="56"/>
      <c r="R4094" s="301"/>
      <c r="S4094" s="185"/>
      <c r="T4094" s="185"/>
      <c r="U4094" s="185"/>
      <c r="V4094" s="185"/>
      <c r="W4094" s="185"/>
      <c r="X4094" s="185"/>
      <c r="Y4094" s="284"/>
      <c r="Z4094" s="284"/>
      <c r="AA4094" s="284"/>
      <c r="AB4094" s="284"/>
      <c r="AC4094" s="284"/>
      <c r="AD4094" s="284"/>
      <c r="AE4094" s="284"/>
      <c r="AF4094" s="284"/>
      <c r="AG4094" s="284"/>
      <c r="AH4094" s="284"/>
      <c r="AI4094" s="284"/>
      <c r="AJ4094" s="284"/>
      <c r="AK4094" s="284"/>
      <c r="AL4094" s="284"/>
    </row>
    <row r="4095" ht="15.75" customHeight="1">
      <c r="A4095" s="115">
        <f t="shared" si="29"/>
        <v>4914</v>
      </c>
      <c r="B4095" s="49"/>
      <c r="C4095" s="272"/>
      <c r="D4095" s="55" t="s">
        <v>13634</v>
      </c>
      <c r="E4095" s="49" t="s">
        <v>144</v>
      </c>
      <c r="F4095" s="49" t="s">
        <v>29</v>
      </c>
      <c r="G4095" s="49" t="s">
        <v>30</v>
      </c>
      <c r="H4095" s="49" t="s">
        <v>31</v>
      </c>
      <c r="I4095" s="49" t="s">
        <v>30</v>
      </c>
      <c r="J4095" s="49"/>
      <c r="K4095" s="49"/>
      <c r="L4095" s="49"/>
      <c r="M4095" s="49" t="s">
        <v>161</v>
      </c>
      <c r="N4095" s="49">
        <v>2011.0</v>
      </c>
      <c r="O4095" s="49" t="s">
        <v>388</v>
      </c>
      <c r="P4095" s="49">
        <v>1.0</v>
      </c>
      <c r="Q4095" s="56"/>
      <c r="R4095" s="301"/>
      <c r="S4095" s="185"/>
      <c r="T4095" s="185"/>
      <c r="U4095" s="185"/>
      <c r="V4095" s="185"/>
      <c r="W4095" s="185"/>
      <c r="X4095" s="185"/>
      <c r="Y4095" s="284"/>
      <c r="Z4095" s="284"/>
      <c r="AA4095" s="284"/>
      <c r="AB4095" s="284"/>
      <c r="AC4095" s="284"/>
      <c r="AD4095" s="284"/>
      <c r="AE4095" s="284"/>
      <c r="AF4095" s="284"/>
      <c r="AG4095" s="284"/>
      <c r="AH4095" s="284"/>
      <c r="AI4095" s="284"/>
      <c r="AJ4095" s="284"/>
      <c r="AK4095" s="284"/>
      <c r="AL4095" s="284"/>
    </row>
    <row r="4096" ht="15.75" customHeight="1">
      <c r="A4096" s="115">
        <f t="shared" si="29"/>
        <v>4915</v>
      </c>
      <c r="B4096" s="49"/>
      <c r="C4096" s="356"/>
      <c r="D4096" s="55" t="s">
        <v>13635</v>
      </c>
      <c r="E4096" s="49"/>
      <c r="F4096" s="49"/>
      <c r="G4096" s="49"/>
      <c r="H4096" s="49" t="s">
        <v>31</v>
      </c>
      <c r="I4096" s="49"/>
      <c r="J4096" s="49"/>
      <c r="K4096" s="49"/>
      <c r="L4096" s="49"/>
      <c r="M4096" s="49"/>
      <c r="N4096" s="49"/>
      <c r="O4096" s="49" t="s">
        <v>388</v>
      </c>
      <c r="P4096" s="49">
        <v>1.0</v>
      </c>
      <c r="Q4096" s="56"/>
      <c r="R4096" s="301"/>
      <c r="S4096" s="185"/>
      <c r="T4096" s="185"/>
      <c r="U4096" s="185"/>
      <c r="V4096" s="185"/>
      <c r="W4096" s="185"/>
      <c r="X4096" s="185"/>
      <c r="Y4096" s="284"/>
      <c r="Z4096" s="284"/>
      <c r="AA4096" s="284"/>
      <c r="AB4096" s="284"/>
      <c r="AC4096" s="284"/>
      <c r="AD4096" s="284"/>
      <c r="AE4096" s="284"/>
      <c r="AF4096" s="284"/>
      <c r="AG4096" s="284"/>
      <c r="AH4096" s="284"/>
      <c r="AI4096" s="284"/>
      <c r="AJ4096" s="284"/>
      <c r="AK4096" s="284"/>
      <c r="AL4096" s="284"/>
    </row>
    <row r="4097" ht="15.75" customHeight="1">
      <c r="A4097" s="115">
        <f t="shared" si="29"/>
        <v>4916</v>
      </c>
      <c r="B4097" s="49" t="s">
        <v>11584</v>
      </c>
      <c r="C4097" s="272"/>
      <c r="D4097" s="55" t="s">
        <v>11586</v>
      </c>
      <c r="E4097" s="49"/>
      <c r="F4097" s="49" t="s">
        <v>740</v>
      </c>
      <c r="G4097" s="49" t="s">
        <v>30</v>
      </c>
      <c r="H4097" s="49"/>
      <c r="I4097" s="49" t="s">
        <v>30</v>
      </c>
      <c r="J4097" s="49">
        <v>624.0</v>
      </c>
      <c r="K4097" s="49"/>
      <c r="L4097" s="49" t="s">
        <v>13636</v>
      </c>
      <c r="M4097" s="49" t="s">
        <v>2494</v>
      </c>
      <c r="N4097" s="49">
        <v>1994.0</v>
      </c>
      <c r="O4097" s="49" t="s">
        <v>388</v>
      </c>
      <c r="P4097" s="49">
        <v>1.0</v>
      </c>
      <c r="Q4097" s="56"/>
      <c r="R4097" s="301"/>
      <c r="S4097" s="185"/>
      <c r="T4097" s="185"/>
      <c r="U4097" s="185"/>
      <c r="V4097" s="185"/>
      <c r="W4097" s="185"/>
      <c r="X4097" s="185"/>
      <c r="Y4097" s="284"/>
      <c r="Z4097" s="284"/>
      <c r="AA4097" s="284"/>
      <c r="AB4097" s="284"/>
      <c r="AC4097" s="284"/>
      <c r="AD4097" s="284"/>
      <c r="AE4097" s="284"/>
      <c r="AF4097" s="284"/>
      <c r="AG4097" s="284"/>
      <c r="AH4097" s="284"/>
      <c r="AI4097" s="284"/>
      <c r="AJ4097" s="284"/>
      <c r="AK4097" s="284"/>
      <c r="AL4097" s="284"/>
    </row>
    <row r="4098" ht="15.75" customHeight="1">
      <c r="A4098" s="115">
        <f t="shared" si="29"/>
        <v>4917</v>
      </c>
      <c r="B4098" s="49" t="s">
        <v>4950</v>
      </c>
      <c r="C4098" s="272"/>
      <c r="D4098" s="55" t="s">
        <v>13637</v>
      </c>
      <c r="E4098" s="49" t="s">
        <v>144</v>
      </c>
      <c r="F4098" s="49" t="s">
        <v>29</v>
      </c>
      <c r="G4098" s="49" t="s">
        <v>30</v>
      </c>
      <c r="H4098" s="49" t="s">
        <v>31</v>
      </c>
      <c r="I4098" s="49" t="s">
        <v>30</v>
      </c>
      <c r="J4098" s="49">
        <f>462+6</f>
        <v>468</v>
      </c>
      <c r="K4098" s="49"/>
      <c r="L4098" s="49" t="s">
        <v>4111</v>
      </c>
      <c r="M4098" s="49" t="s">
        <v>4107</v>
      </c>
      <c r="N4098" s="49">
        <v>2010.0</v>
      </c>
      <c r="O4098" s="49" t="s">
        <v>388</v>
      </c>
      <c r="P4098" s="49">
        <v>1.0</v>
      </c>
      <c r="Q4098" s="56"/>
      <c r="R4098" s="301"/>
      <c r="S4098" s="185"/>
      <c r="T4098" s="185"/>
      <c r="U4098" s="185"/>
      <c r="V4098" s="185"/>
      <c r="W4098" s="185"/>
      <c r="X4098" s="185"/>
      <c r="Y4098" s="284"/>
      <c r="Z4098" s="284"/>
      <c r="AA4098" s="284"/>
      <c r="AB4098" s="284"/>
      <c r="AC4098" s="284"/>
      <c r="AD4098" s="284"/>
      <c r="AE4098" s="284"/>
      <c r="AF4098" s="284"/>
      <c r="AG4098" s="284"/>
      <c r="AH4098" s="284"/>
      <c r="AI4098" s="284"/>
      <c r="AJ4098" s="284"/>
      <c r="AK4098" s="284"/>
      <c r="AL4098" s="284"/>
    </row>
    <row r="4099" ht="15.75" customHeight="1">
      <c r="A4099" s="115">
        <f t="shared" si="29"/>
        <v>4918</v>
      </c>
      <c r="B4099" s="49"/>
      <c r="C4099" s="272"/>
      <c r="D4099" s="55" t="s">
        <v>13638</v>
      </c>
      <c r="E4099" s="49" t="s">
        <v>144</v>
      </c>
      <c r="F4099" s="49" t="s">
        <v>29</v>
      </c>
      <c r="G4099" s="49" t="s">
        <v>30</v>
      </c>
      <c r="H4099" s="49" t="s">
        <v>31</v>
      </c>
      <c r="I4099" s="49" t="s">
        <v>30</v>
      </c>
      <c r="J4099" s="49"/>
      <c r="K4099" s="49"/>
      <c r="L4099" s="49"/>
      <c r="M4099" s="357" t="s">
        <v>4762</v>
      </c>
      <c r="N4099" s="49">
        <v>2012.0</v>
      </c>
      <c r="O4099" s="49" t="s">
        <v>388</v>
      </c>
      <c r="P4099" s="49">
        <v>1.0</v>
      </c>
      <c r="Q4099" s="56"/>
      <c r="R4099" s="301"/>
      <c r="S4099" s="185"/>
      <c r="T4099" s="185"/>
      <c r="U4099" s="185"/>
      <c r="V4099" s="185"/>
      <c r="W4099" s="185"/>
      <c r="X4099" s="185"/>
      <c r="Y4099" s="284"/>
      <c r="Z4099" s="284"/>
      <c r="AA4099" s="284"/>
      <c r="AB4099" s="284"/>
      <c r="AC4099" s="284"/>
      <c r="AD4099" s="284"/>
      <c r="AE4099" s="284"/>
      <c r="AF4099" s="284"/>
      <c r="AG4099" s="284"/>
      <c r="AH4099" s="284"/>
      <c r="AI4099" s="284"/>
      <c r="AJ4099" s="284"/>
      <c r="AK4099" s="284"/>
      <c r="AL4099" s="284"/>
    </row>
    <row r="4100" ht="15.75" customHeight="1">
      <c r="A4100" s="115">
        <f t="shared" si="29"/>
        <v>4919</v>
      </c>
      <c r="B4100" s="49"/>
      <c r="C4100" s="272"/>
      <c r="D4100" s="55" t="s">
        <v>13639</v>
      </c>
      <c r="E4100" s="49" t="s">
        <v>144</v>
      </c>
      <c r="F4100" s="49" t="s">
        <v>29</v>
      </c>
      <c r="G4100" s="49" t="s">
        <v>30</v>
      </c>
      <c r="H4100" s="49" t="s">
        <v>31</v>
      </c>
      <c r="I4100" s="49" t="s">
        <v>30</v>
      </c>
      <c r="J4100" s="49"/>
      <c r="K4100" s="49"/>
      <c r="L4100" s="49"/>
      <c r="M4100" s="357" t="s">
        <v>4762</v>
      </c>
      <c r="N4100" s="49">
        <v>2012.0</v>
      </c>
      <c r="O4100" s="49" t="s">
        <v>388</v>
      </c>
      <c r="P4100" s="49">
        <v>1.0</v>
      </c>
      <c r="Q4100" s="56"/>
      <c r="R4100" s="301"/>
      <c r="S4100" s="185"/>
      <c r="T4100" s="185"/>
      <c r="U4100" s="185"/>
      <c r="V4100" s="185"/>
      <c r="W4100" s="185"/>
      <c r="X4100" s="185"/>
      <c r="Y4100" s="284"/>
      <c r="Z4100" s="284"/>
      <c r="AA4100" s="284"/>
      <c r="AB4100" s="284"/>
      <c r="AC4100" s="284"/>
      <c r="AD4100" s="284"/>
      <c r="AE4100" s="284"/>
      <c r="AF4100" s="284"/>
      <c r="AG4100" s="284"/>
      <c r="AH4100" s="284"/>
      <c r="AI4100" s="284"/>
      <c r="AJ4100" s="284"/>
      <c r="AK4100" s="284"/>
      <c r="AL4100" s="284"/>
    </row>
    <row r="4101" ht="15.75" customHeight="1">
      <c r="A4101" s="115">
        <f t="shared" si="29"/>
        <v>4920</v>
      </c>
      <c r="B4101" s="49"/>
      <c r="C4101" s="272"/>
      <c r="D4101" s="55" t="s">
        <v>13640</v>
      </c>
      <c r="E4101" s="49"/>
      <c r="F4101" s="49" t="s">
        <v>29</v>
      </c>
      <c r="G4101" s="49" t="s">
        <v>30</v>
      </c>
      <c r="H4101" s="49"/>
      <c r="I4101" s="49" t="s">
        <v>30</v>
      </c>
      <c r="J4101" s="49">
        <v>44.0</v>
      </c>
      <c r="K4101" s="49" t="s">
        <v>13641</v>
      </c>
      <c r="L4101" s="49" t="s">
        <v>13642</v>
      </c>
      <c r="M4101" s="49" t="s">
        <v>13643</v>
      </c>
      <c r="N4101" s="49">
        <v>2012.0</v>
      </c>
      <c r="O4101" s="49" t="s">
        <v>388</v>
      </c>
      <c r="P4101" s="49">
        <v>1.0</v>
      </c>
      <c r="Q4101" s="56"/>
      <c r="R4101" s="301"/>
      <c r="S4101" s="185"/>
      <c r="T4101" s="185"/>
      <c r="U4101" s="185"/>
      <c r="V4101" s="185"/>
      <c r="W4101" s="185"/>
      <c r="X4101" s="185"/>
      <c r="Y4101" s="284"/>
      <c r="Z4101" s="284"/>
      <c r="AA4101" s="284"/>
      <c r="AB4101" s="284"/>
      <c r="AC4101" s="284"/>
      <c r="AD4101" s="284"/>
      <c r="AE4101" s="284"/>
      <c r="AF4101" s="284"/>
      <c r="AG4101" s="284"/>
      <c r="AH4101" s="284"/>
      <c r="AI4101" s="284"/>
      <c r="AJ4101" s="284"/>
      <c r="AK4101" s="284"/>
      <c r="AL4101" s="284"/>
    </row>
    <row r="4102" ht="15.75" customHeight="1">
      <c r="A4102" s="115">
        <f t="shared" si="29"/>
        <v>4921</v>
      </c>
      <c r="B4102" s="49"/>
      <c r="C4102" s="272"/>
      <c r="D4102" s="55" t="s">
        <v>13644</v>
      </c>
      <c r="E4102" s="49"/>
      <c r="F4102" s="49" t="s">
        <v>29</v>
      </c>
      <c r="G4102" s="49" t="s">
        <v>30</v>
      </c>
      <c r="H4102" s="49"/>
      <c r="I4102" s="49" t="s">
        <v>30</v>
      </c>
      <c r="J4102" s="49">
        <v>66.0</v>
      </c>
      <c r="K4102" s="49" t="s">
        <v>13645</v>
      </c>
      <c r="L4102" s="49" t="s">
        <v>13646</v>
      </c>
      <c r="M4102" s="49" t="s">
        <v>13647</v>
      </c>
      <c r="N4102" s="49">
        <v>2000.0</v>
      </c>
      <c r="O4102" s="49" t="s">
        <v>388</v>
      </c>
      <c r="P4102" s="49">
        <v>1.0</v>
      </c>
      <c r="Q4102" s="56"/>
      <c r="R4102" s="301"/>
      <c r="S4102" s="185"/>
      <c r="T4102" s="185"/>
      <c r="U4102" s="185"/>
      <c r="V4102" s="185"/>
      <c r="W4102" s="185"/>
      <c r="X4102" s="185"/>
      <c r="Y4102" s="284"/>
      <c r="Z4102" s="284"/>
      <c r="AA4102" s="284"/>
      <c r="AB4102" s="284"/>
      <c r="AC4102" s="284"/>
      <c r="AD4102" s="284"/>
      <c r="AE4102" s="284"/>
      <c r="AF4102" s="284"/>
      <c r="AG4102" s="284"/>
      <c r="AH4102" s="284"/>
      <c r="AI4102" s="284"/>
      <c r="AJ4102" s="284"/>
      <c r="AK4102" s="284"/>
      <c r="AL4102" s="284"/>
    </row>
    <row r="4103" ht="15.75" customHeight="1">
      <c r="A4103" s="115">
        <f t="shared" si="29"/>
        <v>4922</v>
      </c>
      <c r="B4103" s="49" t="s">
        <v>13648</v>
      </c>
      <c r="C4103" s="272"/>
      <c r="D4103" s="55" t="s">
        <v>13649</v>
      </c>
      <c r="E4103" s="49" t="s">
        <v>31</v>
      </c>
      <c r="F4103" s="49" t="s">
        <v>29</v>
      </c>
      <c r="G4103" s="49" t="s">
        <v>30</v>
      </c>
      <c r="H4103" s="49"/>
      <c r="I4103" s="49" t="s">
        <v>30</v>
      </c>
      <c r="J4103" s="49">
        <v>56.0</v>
      </c>
      <c r="K4103" s="49"/>
      <c r="L4103" s="49"/>
      <c r="M4103" s="49" t="s">
        <v>13314</v>
      </c>
      <c r="N4103" s="49">
        <v>1988.0</v>
      </c>
      <c r="O4103" s="49" t="s">
        <v>388</v>
      </c>
      <c r="P4103" s="49">
        <v>1.0</v>
      </c>
      <c r="Q4103" s="56"/>
      <c r="R4103" s="301"/>
      <c r="S4103" s="185"/>
      <c r="T4103" s="185"/>
      <c r="U4103" s="185"/>
      <c r="V4103" s="185"/>
      <c r="W4103" s="185"/>
      <c r="X4103" s="185"/>
      <c r="Y4103" s="284"/>
      <c r="Z4103" s="284"/>
      <c r="AA4103" s="284"/>
      <c r="AB4103" s="284"/>
      <c r="AC4103" s="284"/>
      <c r="AD4103" s="284"/>
      <c r="AE4103" s="284"/>
      <c r="AF4103" s="284"/>
      <c r="AG4103" s="284"/>
      <c r="AH4103" s="284"/>
      <c r="AI4103" s="284"/>
      <c r="AJ4103" s="284"/>
      <c r="AK4103" s="284"/>
      <c r="AL4103" s="284"/>
    </row>
    <row r="4104" ht="15.75" customHeight="1">
      <c r="A4104" s="115">
        <f t="shared" si="29"/>
        <v>4923</v>
      </c>
      <c r="B4104" s="49"/>
      <c r="C4104" s="272"/>
      <c r="D4104" s="55" t="s">
        <v>13650</v>
      </c>
      <c r="E4104" s="49" t="s">
        <v>144</v>
      </c>
      <c r="F4104" s="49" t="s">
        <v>29</v>
      </c>
      <c r="G4104" s="49" t="s">
        <v>30</v>
      </c>
      <c r="H4104" s="49" t="s">
        <v>31</v>
      </c>
      <c r="I4104" s="49" t="s">
        <v>30</v>
      </c>
      <c r="J4104" s="49"/>
      <c r="K4104" s="49"/>
      <c r="L4104" s="49"/>
      <c r="M4104" s="357" t="s">
        <v>151</v>
      </c>
      <c r="N4104" s="49">
        <v>2012.0</v>
      </c>
      <c r="O4104" s="49" t="s">
        <v>388</v>
      </c>
      <c r="P4104" s="49">
        <v>1.0</v>
      </c>
      <c r="Q4104" s="56"/>
      <c r="R4104" s="301"/>
      <c r="S4104" s="185"/>
      <c r="T4104" s="185"/>
      <c r="U4104" s="185"/>
      <c r="V4104" s="185"/>
      <c r="W4104" s="185"/>
      <c r="X4104" s="185"/>
      <c r="Y4104" s="284"/>
      <c r="Z4104" s="284"/>
      <c r="AA4104" s="284"/>
      <c r="AB4104" s="284"/>
      <c r="AC4104" s="284"/>
      <c r="AD4104" s="284"/>
      <c r="AE4104" s="284"/>
      <c r="AF4104" s="284"/>
      <c r="AG4104" s="284"/>
      <c r="AH4104" s="284"/>
      <c r="AI4104" s="284"/>
      <c r="AJ4104" s="284"/>
      <c r="AK4104" s="284"/>
      <c r="AL4104" s="284"/>
    </row>
    <row r="4105" ht="15.75" customHeight="1">
      <c r="A4105" s="115">
        <f t="shared" si="29"/>
        <v>4924</v>
      </c>
      <c r="B4105" s="49"/>
      <c r="C4105" s="272"/>
      <c r="D4105" s="55" t="s">
        <v>13651</v>
      </c>
      <c r="E4105" s="49" t="s">
        <v>144</v>
      </c>
      <c r="F4105" s="49" t="s">
        <v>29</v>
      </c>
      <c r="G4105" s="49" t="s">
        <v>30</v>
      </c>
      <c r="H4105" s="49" t="s">
        <v>31</v>
      </c>
      <c r="I4105" s="49" t="s">
        <v>30</v>
      </c>
      <c r="J4105" s="49"/>
      <c r="K4105" s="49"/>
      <c r="L4105" s="49"/>
      <c r="M4105" s="357" t="s">
        <v>151</v>
      </c>
      <c r="N4105" s="49">
        <v>2013.0</v>
      </c>
      <c r="O4105" s="49" t="s">
        <v>388</v>
      </c>
      <c r="P4105" s="49">
        <v>1.0</v>
      </c>
      <c r="Q4105" s="56"/>
      <c r="R4105" s="301"/>
      <c r="S4105" s="185"/>
      <c r="T4105" s="185"/>
      <c r="U4105" s="185"/>
      <c r="V4105" s="185"/>
      <c r="W4105" s="185"/>
      <c r="X4105" s="185"/>
      <c r="Y4105" s="284"/>
      <c r="Z4105" s="284"/>
      <c r="AA4105" s="284"/>
      <c r="AB4105" s="284"/>
      <c r="AC4105" s="284"/>
      <c r="AD4105" s="284"/>
      <c r="AE4105" s="284"/>
      <c r="AF4105" s="284"/>
      <c r="AG4105" s="284"/>
      <c r="AH4105" s="284"/>
      <c r="AI4105" s="284"/>
      <c r="AJ4105" s="284"/>
      <c r="AK4105" s="284"/>
      <c r="AL4105" s="284"/>
    </row>
    <row r="4106" ht="15.75" customHeight="1">
      <c r="A4106" s="115">
        <f t="shared" si="29"/>
        <v>4925</v>
      </c>
      <c r="B4106" s="49" t="s">
        <v>13652</v>
      </c>
      <c r="C4106" s="355"/>
      <c r="D4106" s="55" t="s">
        <v>13653</v>
      </c>
      <c r="E4106" s="49" t="s">
        <v>144</v>
      </c>
      <c r="F4106" s="49" t="s">
        <v>29</v>
      </c>
      <c r="G4106" s="49" t="s">
        <v>30</v>
      </c>
      <c r="H4106" s="49" t="s">
        <v>31</v>
      </c>
      <c r="I4106" s="49" t="s">
        <v>30</v>
      </c>
      <c r="J4106" s="49">
        <v>148.0</v>
      </c>
      <c r="K4106" s="49"/>
      <c r="L4106" s="49" t="s">
        <v>12880</v>
      </c>
      <c r="M4106" s="49" t="s">
        <v>13654</v>
      </c>
      <c r="N4106" s="49">
        <v>2014.0</v>
      </c>
      <c r="O4106" s="49" t="s">
        <v>388</v>
      </c>
      <c r="P4106" s="49">
        <v>1.0</v>
      </c>
      <c r="Q4106" s="56"/>
      <c r="R4106" s="301"/>
      <c r="S4106" s="185"/>
      <c r="T4106" s="185"/>
      <c r="U4106" s="185"/>
      <c r="V4106" s="185"/>
      <c r="W4106" s="185"/>
      <c r="X4106" s="185"/>
      <c r="Y4106" s="284"/>
      <c r="Z4106" s="284"/>
      <c r="AA4106" s="284"/>
      <c r="AB4106" s="284"/>
      <c r="AC4106" s="284"/>
      <c r="AD4106" s="284"/>
      <c r="AE4106" s="284"/>
      <c r="AF4106" s="284"/>
      <c r="AG4106" s="284"/>
      <c r="AH4106" s="284"/>
      <c r="AI4106" s="284"/>
      <c r="AJ4106" s="284"/>
      <c r="AK4106" s="284"/>
      <c r="AL4106" s="284"/>
    </row>
    <row r="4107" ht="15.75" customHeight="1">
      <c r="A4107" s="115">
        <f t="shared" si="29"/>
        <v>4926</v>
      </c>
      <c r="B4107" s="49"/>
      <c r="C4107" s="358"/>
      <c r="D4107" s="55" t="s">
        <v>13655</v>
      </c>
      <c r="E4107" s="49" t="s">
        <v>144</v>
      </c>
      <c r="F4107" s="49" t="s">
        <v>29</v>
      </c>
      <c r="G4107" s="49" t="s">
        <v>30</v>
      </c>
      <c r="H4107" s="49" t="s">
        <v>31</v>
      </c>
      <c r="I4107" s="49" t="s">
        <v>30</v>
      </c>
      <c r="J4107" s="49">
        <v>149.0</v>
      </c>
      <c r="K4107" s="49"/>
      <c r="L4107" s="49" t="s">
        <v>8247</v>
      </c>
      <c r="M4107" s="49" t="s">
        <v>151</v>
      </c>
      <c r="N4107" s="49">
        <v>2012.0</v>
      </c>
      <c r="O4107" s="49" t="s">
        <v>388</v>
      </c>
      <c r="P4107" s="49">
        <v>1.0</v>
      </c>
      <c r="Q4107" s="56"/>
      <c r="R4107" s="301"/>
      <c r="S4107" s="185"/>
      <c r="T4107" s="185"/>
      <c r="U4107" s="185"/>
      <c r="V4107" s="185"/>
      <c r="W4107" s="185"/>
      <c r="X4107" s="185"/>
      <c r="Y4107" s="284"/>
      <c r="Z4107" s="284"/>
      <c r="AA4107" s="284"/>
      <c r="AB4107" s="284"/>
      <c r="AC4107" s="284"/>
      <c r="AD4107" s="284"/>
      <c r="AE4107" s="284"/>
      <c r="AF4107" s="284"/>
      <c r="AG4107" s="284"/>
      <c r="AH4107" s="284"/>
      <c r="AI4107" s="284"/>
      <c r="AJ4107" s="284"/>
      <c r="AK4107" s="284"/>
      <c r="AL4107" s="284"/>
    </row>
    <row r="4108" ht="15.75" customHeight="1">
      <c r="A4108" s="115">
        <f t="shared" si="29"/>
        <v>4927</v>
      </c>
      <c r="B4108" s="63"/>
      <c r="C4108" s="275"/>
      <c r="D4108" s="65" t="s">
        <v>13656</v>
      </c>
      <c r="E4108" s="63"/>
      <c r="F4108" s="63"/>
      <c r="G4108" s="63"/>
      <c r="H4108" s="63" t="s">
        <v>31</v>
      </c>
      <c r="I4108" s="63"/>
      <c r="J4108" s="359"/>
      <c r="K4108" s="63"/>
      <c r="L4108" s="63"/>
      <c r="M4108" s="63"/>
      <c r="N4108" s="63"/>
      <c r="O4108" s="63" t="s">
        <v>388</v>
      </c>
      <c r="P4108" s="63">
        <v>1.0</v>
      </c>
      <c r="Q4108" s="276"/>
      <c r="R4108" s="308"/>
      <c r="S4108" s="185"/>
      <c r="T4108" s="185"/>
      <c r="U4108" s="185"/>
      <c r="V4108" s="185"/>
      <c r="W4108" s="185"/>
      <c r="X4108" s="185"/>
      <c r="Y4108" s="284"/>
      <c r="Z4108" s="284"/>
      <c r="AA4108" s="284"/>
      <c r="AB4108" s="284"/>
      <c r="AC4108" s="284"/>
      <c r="AD4108" s="284"/>
      <c r="AE4108" s="284"/>
      <c r="AF4108" s="284"/>
      <c r="AG4108" s="284"/>
      <c r="AH4108" s="284"/>
      <c r="AI4108" s="284"/>
      <c r="AJ4108" s="284"/>
      <c r="AK4108" s="284"/>
      <c r="AL4108" s="284"/>
    </row>
    <row r="4109" ht="15.75" customHeight="1">
      <c r="A4109" s="115">
        <f t="shared" si="29"/>
        <v>4928</v>
      </c>
      <c r="B4109" s="49"/>
      <c r="C4109" s="272"/>
      <c r="D4109" s="55" t="s">
        <v>13657</v>
      </c>
      <c r="E4109" s="49"/>
      <c r="F4109" s="49" t="s">
        <v>740</v>
      </c>
      <c r="G4109" s="49" t="s">
        <v>37</v>
      </c>
      <c r="H4109" s="49"/>
      <c r="I4109" s="49" t="s">
        <v>38</v>
      </c>
      <c r="J4109" s="49">
        <v>413.0</v>
      </c>
      <c r="K4109" s="49"/>
      <c r="L4109" s="49" t="s">
        <v>13658</v>
      </c>
      <c r="M4109" s="49" t="s">
        <v>6699</v>
      </c>
      <c r="N4109" s="49">
        <v>1975.0</v>
      </c>
      <c r="O4109" s="49" t="s">
        <v>388</v>
      </c>
      <c r="P4109" s="49">
        <v>1.0</v>
      </c>
      <c r="Q4109" s="56"/>
      <c r="R4109" s="301"/>
      <c r="S4109" s="185"/>
      <c r="T4109" s="185"/>
      <c r="U4109" s="185"/>
      <c r="V4109" s="185"/>
      <c r="W4109" s="185"/>
      <c r="X4109" s="185"/>
      <c r="Y4109" s="284"/>
      <c r="Z4109" s="284"/>
      <c r="AA4109" s="284"/>
      <c r="AB4109" s="284"/>
      <c r="AC4109" s="284"/>
      <c r="AD4109" s="284"/>
      <c r="AE4109" s="284"/>
      <c r="AF4109" s="284"/>
      <c r="AG4109" s="284"/>
      <c r="AH4109" s="284"/>
      <c r="AI4109" s="284"/>
      <c r="AJ4109" s="284"/>
      <c r="AK4109" s="284"/>
      <c r="AL4109" s="284"/>
    </row>
    <row r="4110" ht="15.75" customHeight="1">
      <c r="A4110" s="115">
        <f t="shared" si="29"/>
        <v>4929</v>
      </c>
      <c r="B4110" s="49"/>
      <c r="C4110" s="272"/>
      <c r="D4110" s="55" t="s">
        <v>13659</v>
      </c>
      <c r="E4110" s="49" t="s">
        <v>31</v>
      </c>
      <c r="F4110" s="49" t="s">
        <v>29</v>
      </c>
      <c r="G4110" s="49"/>
      <c r="H4110" s="49"/>
      <c r="I4110" s="49"/>
      <c r="J4110" s="49"/>
      <c r="K4110" s="49"/>
      <c r="L4110" s="49" t="s">
        <v>31</v>
      </c>
      <c r="M4110" s="49"/>
      <c r="N4110" s="49"/>
      <c r="O4110" s="49" t="s">
        <v>388</v>
      </c>
      <c r="P4110" s="49"/>
      <c r="Q4110" s="56"/>
      <c r="R4110" s="301"/>
      <c r="S4110" s="185"/>
      <c r="T4110" s="185"/>
      <c r="U4110" s="185"/>
      <c r="V4110" s="185"/>
      <c r="W4110" s="185"/>
      <c r="X4110" s="185"/>
      <c r="Y4110" s="284"/>
      <c r="Z4110" s="284"/>
      <c r="AA4110" s="284"/>
      <c r="AB4110" s="284"/>
      <c r="AC4110" s="284"/>
      <c r="AD4110" s="284"/>
      <c r="AE4110" s="284"/>
      <c r="AF4110" s="284"/>
      <c r="AG4110" s="284"/>
      <c r="AH4110" s="284"/>
      <c r="AI4110" s="284"/>
      <c r="AJ4110" s="284"/>
      <c r="AK4110" s="284"/>
      <c r="AL4110" s="284"/>
    </row>
    <row r="4111" ht="15.75" customHeight="1">
      <c r="A4111" s="115">
        <f t="shared" si="29"/>
        <v>4930</v>
      </c>
      <c r="B4111" s="49"/>
      <c r="C4111" s="272"/>
      <c r="D4111" s="55" t="s">
        <v>13660</v>
      </c>
      <c r="E4111" s="49" t="s">
        <v>144</v>
      </c>
      <c r="F4111" s="49" t="s">
        <v>29</v>
      </c>
      <c r="G4111" s="49" t="s">
        <v>30</v>
      </c>
      <c r="H4111" s="49" t="s">
        <v>31</v>
      </c>
      <c r="I4111" s="49" t="s">
        <v>30</v>
      </c>
      <c r="J4111" s="49"/>
      <c r="K4111" s="49"/>
      <c r="L4111" s="49"/>
      <c r="M4111" s="357" t="s">
        <v>13661</v>
      </c>
      <c r="N4111" s="49">
        <v>2010.0</v>
      </c>
      <c r="O4111" s="49" t="s">
        <v>388</v>
      </c>
      <c r="P4111" s="49">
        <v>1.0</v>
      </c>
      <c r="Q4111" s="56"/>
      <c r="R4111" s="301"/>
      <c r="S4111" s="185"/>
      <c r="T4111" s="185"/>
      <c r="U4111" s="185"/>
      <c r="V4111" s="185"/>
      <c r="W4111" s="185"/>
      <c r="X4111" s="185"/>
      <c r="Y4111" s="284"/>
      <c r="Z4111" s="284"/>
      <c r="AA4111" s="284"/>
      <c r="AB4111" s="284"/>
      <c r="AC4111" s="284"/>
      <c r="AD4111" s="284"/>
      <c r="AE4111" s="284"/>
      <c r="AF4111" s="284"/>
      <c r="AG4111" s="284"/>
      <c r="AH4111" s="284"/>
      <c r="AI4111" s="284"/>
      <c r="AJ4111" s="284"/>
      <c r="AK4111" s="284"/>
      <c r="AL4111" s="284"/>
    </row>
    <row r="4112" ht="15.75" customHeight="1">
      <c r="A4112" s="115">
        <f t="shared" si="29"/>
        <v>4931</v>
      </c>
      <c r="B4112" s="49"/>
      <c r="C4112" s="272"/>
      <c r="D4112" s="55" t="s">
        <v>13662</v>
      </c>
      <c r="E4112" s="49"/>
      <c r="F4112" s="49" t="s">
        <v>29</v>
      </c>
      <c r="G4112" s="49" t="s">
        <v>30</v>
      </c>
      <c r="H4112" s="49"/>
      <c r="I4112" s="49" t="s">
        <v>30</v>
      </c>
      <c r="J4112" s="49">
        <v>48.0</v>
      </c>
      <c r="K4112" s="49" t="s">
        <v>13663</v>
      </c>
      <c r="L4112" s="49" t="s">
        <v>13664</v>
      </c>
      <c r="M4112" s="49" t="s">
        <v>13665</v>
      </c>
      <c r="N4112" s="49">
        <v>2002.0</v>
      </c>
      <c r="O4112" s="49" t="s">
        <v>388</v>
      </c>
      <c r="P4112" s="49">
        <v>11.0</v>
      </c>
      <c r="Q4112" s="56"/>
      <c r="R4112" s="301"/>
      <c r="S4112" s="185"/>
      <c r="T4112" s="185"/>
      <c r="U4112" s="185"/>
      <c r="V4112" s="185"/>
      <c r="W4112" s="185"/>
      <c r="X4112" s="185"/>
      <c r="Y4112" s="284"/>
      <c r="Z4112" s="284"/>
      <c r="AA4112" s="284"/>
      <c r="AB4112" s="284"/>
      <c r="AC4112" s="284"/>
      <c r="AD4112" s="284"/>
      <c r="AE4112" s="284"/>
      <c r="AF4112" s="284"/>
      <c r="AG4112" s="284"/>
      <c r="AH4112" s="284"/>
      <c r="AI4112" s="284"/>
      <c r="AJ4112" s="284"/>
      <c r="AK4112" s="284"/>
      <c r="AL4112" s="284"/>
    </row>
    <row r="4113" ht="15.75" customHeight="1">
      <c r="A4113" s="115">
        <f t="shared" si="29"/>
        <v>4932</v>
      </c>
      <c r="B4113" s="49"/>
      <c r="C4113" s="272"/>
      <c r="D4113" s="55" t="s">
        <v>13666</v>
      </c>
      <c r="E4113" s="49" t="s">
        <v>144</v>
      </c>
      <c r="F4113" s="49" t="s">
        <v>29</v>
      </c>
      <c r="G4113" s="49" t="s">
        <v>30</v>
      </c>
      <c r="H4113" s="49" t="s">
        <v>31</v>
      </c>
      <c r="I4113" s="49" t="s">
        <v>30</v>
      </c>
      <c r="J4113" s="49"/>
      <c r="K4113" s="49"/>
      <c r="L4113" s="49" t="s">
        <v>13664</v>
      </c>
      <c r="M4113" s="357" t="s">
        <v>13667</v>
      </c>
      <c r="N4113" s="49"/>
      <c r="O4113" s="49" t="s">
        <v>388</v>
      </c>
      <c r="P4113" s="49">
        <v>1.0</v>
      </c>
      <c r="Q4113" s="56"/>
      <c r="R4113" s="301"/>
      <c r="S4113" s="185"/>
      <c r="T4113" s="185"/>
      <c r="U4113" s="185"/>
      <c r="V4113" s="185"/>
      <c r="W4113" s="185"/>
      <c r="X4113" s="185"/>
      <c r="Y4113" s="284"/>
      <c r="Z4113" s="284"/>
      <c r="AA4113" s="284"/>
      <c r="AB4113" s="284"/>
      <c r="AC4113" s="284"/>
      <c r="AD4113" s="284"/>
      <c r="AE4113" s="284"/>
      <c r="AF4113" s="284"/>
      <c r="AG4113" s="284"/>
      <c r="AH4113" s="284"/>
      <c r="AI4113" s="284"/>
      <c r="AJ4113" s="284"/>
      <c r="AK4113" s="284"/>
      <c r="AL4113" s="284"/>
    </row>
    <row r="4114" ht="15.75" customHeight="1">
      <c r="A4114" s="115">
        <f t="shared" si="29"/>
        <v>4933</v>
      </c>
      <c r="B4114" s="49"/>
      <c r="C4114" s="272"/>
      <c r="D4114" s="55" t="s">
        <v>13668</v>
      </c>
      <c r="E4114" s="49" t="s">
        <v>144</v>
      </c>
      <c r="F4114" s="49" t="s">
        <v>29</v>
      </c>
      <c r="G4114" s="49" t="s">
        <v>30</v>
      </c>
      <c r="H4114" s="49" t="s">
        <v>31</v>
      </c>
      <c r="I4114" s="49" t="s">
        <v>30</v>
      </c>
      <c r="J4114" s="49"/>
      <c r="K4114" s="49"/>
      <c r="L4114" s="49"/>
      <c r="M4114" s="357" t="s">
        <v>151</v>
      </c>
      <c r="N4114" s="49">
        <v>2012.0</v>
      </c>
      <c r="O4114" s="49" t="s">
        <v>388</v>
      </c>
      <c r="P4114" s="49">
        <v>1.0</v>
      </c>
      <c r="Q4114" s="56"/>
      <c r="R4114" s="301"/>
      <c r="S4114" s="185"/>
      <c r="T4114" s="185"/>
      <c r="U4114" s="185"/>
      <c r="V4114" s="185"/>
      <c r="W4114" s="185"/>
      <c r="X4114" s="185"/>
      <c r="Y4114" s="284"/>
      <c r="Z4114" s="284"/>
      <c r="AA4114" s="284"/>
      <c r="AB4114" s="284"/>
      <c r="AC4114" s="284"/>
      <c r="AD4114" s="284"/>
      <c r="AE4114" s="284"/>
      <c r="AF4114" s="284"/>
      <c r="AG4114" s="284"/>
      <c r="AH4114" s="284"/>
      <c r="AI4114" s="284"/>
      <c r="AJ4114" s="284"/>
      <c r="AK4114" s="284"/>
      <c r="AL4114" s="284"/>
    </row>
    <row r="4115" ht="15.75" customHeight="1">
      <c r="A4115" s="115">
        <f t="shared" si="29"/>
        <v>4934</v>
      </c>
      <c r="B4115" s="49"/>
      <c r="C4115" s="272"/>
      <c r="D4115" s="55" t="s">
        <v>13669</v>
      </c>
      <c r="E4115" s="49" t="s">
        <v>144</v>
      </c>
      <c r="F4115" s="49" t="s">
        <v>29</v>
      </c>
      <c r="G4115" s="49" t="s">
        <v>30</v>
      </c>
      <c r="H4115" s="49" t="s">
        <v>31</v>
      </c>
      <c r="I4115" s="49" t="s">
        <v>30</v>
      </c>
      <c r="J4115" s="49"/>
      <c r="K4115" s="49"/>
      <c r="L4115" s="49"/>
      <c r="M4115" s="357" t="s">
        <v>151</v>
      </c>
      <c r="N4115" s="49">
        <v>2010.0</v>
      </c>
      <c r="O4115" s="49" t="s">
        <v>388</v>
      </c>
      <c r="P4115" s="49">
        <v>1.0</v>
      </c>
      <c r="Q4115" s="56"/>
      <c r="R4115" s="301"/>
      <c r="S4115" s="185"/>
      <c r="T4115" s="185"/>
      <c r="U4115" s="185"/>
      <c r="V4115" s="185"/>
      <c r="W4115" s="185"/>
      <c r="X4115" s="185"/>
      <c r="Y4115" s="284"/>
      <c r="Z4115" s="284"/>
      <c r="AA4115" s="284"/>
      <c r="AB4115" s="284"/>
      <c r="AC4115" s="284"/>
      <c r="AD4115" s="284"/>
      <c r="AE4115" s="284"/>
      <c r="AF4115" s="284"/>
      <c r="AG4115" s="284"/>
      <c r="AH4115" s="284"/>
      <c r="AI4115" s="284"/>
      <c r="AJ4115" s="284"/>
      <c r="AK4115" s="284"/>
      <c r="AL4115" s="284"/>
    </row>
    <row r="4116" ht="15.75" customHeight="1">
      <c r="A4116" s="115">
        <f t="shared" si="29"/>
        <v>4935</v>
      </c>
      <c r="B4116" s="49"/>
      <c r="C4116" s="272"/>
      <c r="D4116" s="55" t="s">
        <v>13669</v>
      </c>
      <c r="E4116" s="49" t="s">
        <v>144</v>
      </c>
      <c r="F4116" s="49" t="s">
        <v>29</v>
      </c>
      <c r="G4116" s="49" t="s">
        <v>30</v>
      </c>
      <c r="H4116" s="49" t="s">
        <v>31</v>
      </c>
      <c r="I4116" s="49" t="s">
        <v>30</v>
      </c>
      <c r="J4116" s="49"/>
      <c r="K4116" s="49"/>
      <c r="L4116" s="49"/>
      <c r="M4116" s="357" t="s">
        <v>151</v>
      </c>
      <c r="N4116" s="49">
        <v>2010.0</v>
      </c>
      <c r="O4116" s="49" t="s">
        <v>388</v>
      </c>
      <c r="P4116" s="49">
        <v>1.0</v>
      </c>
      <c r="Q4116" s="56"/>
      <c r="R4116" s="301"/>
      <c r="S4116" s="185"/>
      <c r="T4116" s="185"/>
      <c r="U4116" s="185"/>
      <c r="V4116" s="185"/>
      <c r="W4116" s="185"/>
      <c r="X4116" s="185"/>
      <c r="Y4116" s="284"/>
      <c r="Z4116" s="284"/>
      <c r="AA4116" s="284"/>
      <c r="AB4116" s="284"/>
      <c r="AC4116" s="284"/>
      <c r="AD4116" s="284"/>
      <c r="AE4116" s="284"/>
      <c r="AF4116" s="284"/>
      <c r="AG4116" s="284"/>
      <c r="AH4116" s="284"/>
      <c r="AI4116" s="284"/>
      <c r="AJ4116" s="284"/>
      <c r="AK4116" s="284"/>
      <c r="AL4116" s="284"/>
    </row>
    <row r="4117" ht="15.75" customHeight="1">
      <c r="A4117" s="115">
        <f t="shared" si="29"/>
        <v>4936</v>
      </c>
      <c r="B4117" s="49"/>
      <c r="C4117" s="272"/>
      <c r="D4117" s="55" t="s">
        <v>13670</v>
      </c>
      <c r="E4117" s="49" t="s">
        <v>144</v>
      </c>
      <c r="F4117" s="49" t="s">
        <v>29</v>
      </c>
      <c r="G4117" s="49" t="s">
        <v>30</v>
      </c>
      <c r="H4117" s="49" t="s">
        <v>31</v>
      </c>
      <c r="I4117" s="49" t="s">
        <v>30</v>
      </c>
      <c r="J4117" s="49"/>
      <c r="K4117" s="49"/>
      <c r="L4117" s="49"/>
      <c r="M4117" s="357" t="s">
        <v>151</v>
      </c>
      <c r="N4117" s="49">
        <v>2010.0</v>
      </c>
      <c r="O4117" s="49" t="s">
        <v>388</v>
      </c>
      <c r="P4117" s="49">
        <v>1.0</v>
      </c>
      <c r="Q4117" s="56"/>
      <c r="R4117" s="301"/>
      <c r="S4117" s="185"/>
      <c r="T4117" s="185"/>
      <c r="U4117" s="185"/>
      <c r="V4117" s="185"/>
      <c r="W4117" s="185"/>
      <c r="X4117" s="185"/>
      <c r="Y4117" s="284"/>
      <c r="Z4117" s="284"/>
      <c r="AA4117" s="284"/>
      <c r="AB4117" s="284"/>
      <c r="AC4117" s="284"/>
      <c r="AD4117" s="284"/>
      <c r="AE4117" s="284"/>
      <c r="AF4117" s="284"/>
      <c r="AG4117" s="284"/>
      <c r="AH4117" s="284"/>
      <c r="AI4117" s="284"/>
      <c r="AJ4117" s="284"/>
      <c r="AK4117" s="284"/>
      <c r="AL4117" s="284"/>
    </row>
    <row r="4118" ht="15.75" customHeight="1">
      <c r="A4118" s="115">
        <f t="shared" si="29"/>
        <v>4937</v>
      </c>
      <c r="B4118" s="49"/>
      <c r="C4118" s="272"/>
      <c r="D4118" s="55" t="s">
        <v>13671</v>
      </c>
      <c r="E4118" s="49" t="s">
        <v>144</v>
      </c>
      <c r="F4118" s="49" t="s">
        <v>29</v>
      </c>
      <c r="G4118" s="49" t="s">
        <v>30</v>
      </c>
      <c r="H4118" s="49" t="s">
        <v>31</v>
      </c>
      <c r="I4118" s="49" t="s">
        <v>30</v>
      </c>
      <c r="J4118" s="49"/>
      <c r="K4118" s="49"/>
      <c r="L4118" s="49"/>
      <c r="M4118" s="357" t="s">
        <v>151</v>
      </c>
      <c r="N4118" s="49">
        <v>2012.0</v>
      </c>
      <c r="O4118" s="49" t="s">
        <v>388</v>
      </c>
      <c r="P4118" s="49">
        <v>1.0</v>
      </c>
      <c r="Q4118" s="56"/>
      <c r="R4118" s="301"/>
      <c r="S4118" s="185"/>
      <c r="T4118" s="185"/>
      <c r="U4118" s="185"/>
      <c r="V4118" s="185"/>
      <c r="W4118" s="185"/>
      <c r="X4118" s="185"/>
      <c r="Y4118" s="284"/>
      <c r="Z4118" s="284"/>
      <c r="AA4118" s="284"/>
      <c r="AB4118" s="284"/>
      <c r="AC4118" s="284"/>
      <c r="AD4118" s="284"/>
      <c r="AE4118" s="284"/>
      <c r="AF4118" s="284"/>
      <c r="AG4118" s="284"/>
      <c r="AH4118" s="284"/>
      <c r="AI4118" s="284"/>
      <c r="AJ4118" s="284"/>
      <c r="AK4118" s="284"/>
      <c r="AL4118" s="284"/>
    </row>
    <row r="4119" ht="15.75" customHeight="1">
      <c r="A4119" s="115">
        <f t="shared" si="29"/>
        <v>4938</v>
      </c>
      <c r="B4119" s="49"/>
      <c r="C4119" s="272"/>
      <c r="D4119" s="55" t="s">
        <v>13671</v>
      </c>
      <c r="E4119" s="49" t="s">
        <v>144</v>
      </c>
      <c r="F4119" s="49" t="s">
        <v>29</v>
      </c>
      <c r="G4119" s="49" t="s">
        <v>30</v>
      </c>
      <c r="H4119" s="49" t="s">
        <v>31</v>
      </c>
      <c r="I4119" s="49" t="s">
        <v>30</v>
      </c>
      <c r="J4119" s="49"/>
      <c r="K4119" s="49"/>
      <c r="L4119" s="49"/>
      <c r="M4119" s="357" t="s">
        <v>151</v>
      </c>
      <c r="N4119" s="49">
        <v>2012.0</v>
      </c>
      <c r="O4119" s="49" t="s">
        <v>388</v>
      </c>
      <c r="P4119" s="49">
        <v>1.0</v>
      </c>
      <c r="Q4119" s="56"/>
      <c r="R4119" s="301"/>
      <c r="S4119" s="185"/>
      <c r="T4119" s="185"/>
      <c r="U4119" s="185"/>
      <c r="V4119" s="185"/>
      <c r="W4119" s="185"/>
      <c r="X4119" s="185"/>
      <c r="Y4119" s="284"/>
      <c r="Z4119" s="284"/>
      <c r="AA4119" s="284"/>
      <c r="AB4119" s="284"/>
      <c r="AC4119" s="284"/>
      <c r="AD4119" s="284"/>
      <c r="AE4119" s="284"/>
      <c r="AF4119" s="284"/>
      <c r="AG4119" s="284"/>
      <c r="AH4119" s="284"/>
      <c r="AI4119" s="284"/>
      <c r="AJ4119" s="284"/>
      <c r="AK4119" s="284"/>
      <c r="AL4119" s="284"/>
    </row>
    <row r="4120" ht="15.75" customHeight="1">
      <c r="A4120" s="115">
        <f t="shared" si="29"/>
        <v>4939</v>
      </c>
      <c r="B4120" s="49"/>
      <c r="C4120" s="272"/>
      <c r="D4120" s="55" t="s">
        <v>13672</v>
      </c>
      <c r="E4120" s="49" t="s">
        <v>144</v>
      </c>
      <c r="F4120" s="49" t="s">
        <v>29</v>
      </c>
      <c r="G4120" s="49" t="s">
        <v>30</v>
      </c>
      <c r="H4120" s="49" t="s">
        <v>31</v>
      </c>
      <c r="I4120" s="49" t="s">
        <v>30</v>
      </c>
      <c r="J4120" s="49"/>
      <c r="K4120" s="49"/>
      <c r="L4120" s="49"/>
      <c r="M4120" s="357" t="s">
        <v>151</v>
      </c>
      <c r="N4120" s="49">
        <v>2007.0</v>
      </c>
      <c r="O4120" s="49" t="s">
        <v>388</v>
      </c>
      <c r="P4120" s="49">
        <v>1.0</v>
      </c>
      <c r="Q4120" s="56"/>
      <c r="R4120" s="54"/>
      <c r="S4120" s="360"/>
      <c r="T4120" s="116"/>
      <c r="U4120" s="116"/>
      <c r="V4120" s="116"/>
      <c r="W4120" s="116"/>
      <c r="X4120" s="116"/>
      <c r="Y4120" s="45"/>
      <c r="Z4120" s="45"/>
      <c r="AA4120" s="45"/>
      <c r="AB4120" s="45"/>
      <c r="AC4120" s="45"/>
      <c r="AD4120" s="45"/>
      <c r="AE4120" s="45"/>
      <c r="AF4120" s="45"/>
      <c r="AG4120" s="45"/>
      <c r="AH4120" s="45"/>
      <c r="AI4120" s="45"/>
      <c r="AJ4120" s="45"/>
      <c r="AK4120" s="45"/>
      <c r="AL4120" s="45"/>
    </row>
    <row r="4121" ht="15.75" customHeight="1">
      <c r="A4121" s="115">
        <f t="shared" si="29"/>
        <v>4940</v>
      </c>
      <c r="B4121" s="49"/>
      <c r="C4121" s="272"/>
      <c r="D4121" s="55" t="s">
        <v>13672</v>
      </c>
      <c r="E4121" s="49" t="s">
        <v>144</v>
      </c>
      <c r="F4121" s="49" t="s">
        <v>29</v>
      </c>
      <c r="G4121" s="49" t="s">
        <v>30</v>
      </c>
      <c r="H4121" s="49" t="s">
        <v>31</v>
      </c>
      <c r="I4121" s="49" t="s">
        <v>30</v>
      </c>
      <c r="J4121" s="49"/>
      <c r="K4121" s="49"/>
      <c r="L4121" s="49"/>
      <c r="M4121" s="357" t="s">
        <v>151</v>
      </c>
      <c r="N4121" s="49">
        <v>2007.0</v>
      </c>
      <c r="O4121" s="49" t="s">
        <v>388</v>
      </c>
      <c r="P4121" s="49">
        <v>1.0</v>
      </c>
      <c r="Q4121" s="56"/>
      <c r="R4121" s="54"/>
      <c r="S4121" s="185"/>
      <c r="T4121" s="185"/>
      <c r="U4121" s="185"/>
      <c r="V4121" s="185"/>
      <c r="W4121" s="185"/>
      <c r="X4121" s="185"/>
      <c r="Y4121" s="284"/>
      <c r="Z4121" s="284"/>
      <c r="AA4121" s="284"/>
      <c r="AB4121" s="284"/>
      <c r="AC4121" s="284"/>
      <c r="AD4121" s="284"/>
      <c r="AE4121" s="284"/>
      <c r="AF4121" s="284"/>
      <c r="AG4121" s="284"/>
      <c r="AH4121" s="284"/>
      <c r="AI4121" s="284"/>
      <c r="AJ4121" s="284"/>
      <c r="AK4121" s="284"/>
      <c r="AL4121" s="284"/>
    </row>
    <row r="4122" ht="15.75" customHeight="1">
      <c r="A4122" s="115">
        <f t="shared" si="29"/>
        <v>4941</v>
      </c>
      <c r="B4122" s="49" t="s">
        <v>13673</v>
      </c>
      <c r="C4122" s="272"/>
      <c r="D4122" s="55" t="s">
        <v>13674</v>
      </c>
      <c r="E4122" s="49" t="s">
        <v>0</v>
      </c>
      <c r="F4122" s="49" t="s">
        <v>29</v>
      </c>
      <c r="G4122" s="49" t="s">
        <v>30</v>
      </c>
      <c r="H4122" s="49"/>
      <c r="I4122" s="49" t="s">
        <v>30</v>
      </c>
      <c r="J4122" s="49">
        <v>464.0</v>
      </c>
      <c r="K4122" s="49"/>
      <c r="L4122" s="49" t="s">
        <v>2206</v>
      </c>
      <c r="M4122" s="49" t="s">
        <v>151</v>
      </c>
      <c r="N4122" s="49">
        <v>2001.0</v>
      </c>
      <c r="O4122" s="49" t="s">
        <v>388</v>
      </c>
      <c r="P4122" s="49">
        <v>1.0</v>
      </c>
      <c r="Q4122" s="56"/>
      <c r="R4122" s="54"/>
      <c r="S4122" s="185"/>
      <c r="T4122" s="185"/>
      <c r="U4122" s="185"/>
      <c r="V4122" s="185"/>
      <c r="W4122" s="185"/>
      <c r="X4122" s="185"/>
      <c r="Y4122" s="284"/>
      <c r="Z4122" s="284"/>
      <c r="AA4122" s="284"/>
      <c r="AB4122" s="284"/>
      <c r="AC4122" s="284"/>
      <c r="AD4122" s="284"/>
      <c r="AE4122" s="284"/>
      <c r="AF4122" s="284"/>
      <c r="AG4122" s="284"/>
      <c r="AH4122" s="284"/>
      <c r="AI4122" s="284"/>
      <c r="AJ4122" s="284"/>
      <c r="AK4122" s="284"/>
      <c r="AL4122" s="284"/>
    </row>
    <row r="4123" ht="15.75" customHeight="1">
      <c r="A4123" s="115">
        <f t="shared" si="29"/>
        <v>4942</v>
      </c>
      <c r="B4123" s="49" t="s">
        <v>13675</v>
      </c>
      <c r="C4123" s="272"/>
      <c r="D4123" s="55" t="s">
        <v>13676</v>
      </c>
      <c r="E4123" s="49" t="s">
        <v>28</v>
      </c>
      <c r="F4123" s="49" t="s">
        <v>29</v>
      </c>
      <c r="G4123" s="49" t="s">
        <v>30</v>
      </c>
      <c r="H4123" s="49" t="s">
        <v>31</v>
      </c>
      <c r="I4123" s="49" t="s">
        <v>30</v>
      </c>
      <c r="J4123" s="49">
        <f>153</f>
        <v>153</v>
      </c>
      <c r="K4123" s="49"/>
      <c r="L4123" s="49" t="s">
        <v>13677</v>
      </c>
      <c r="M4123" s="49" t="s">
        <v>13678</v>
      </c>
      <c r="N4123" s="49">
        <v>2015.0</v>
      </c>
      <c r="O4123" s="49" t="s">
        <v>388</v>
      </c>
      <c r="P4123" s="49">
        <v>1.0</v>
      </c>
      <c r="Q4123" s="56"/>
      <c r="R4123" s="54"/>
      <c r="S4123" s="185"/>
      <c r="T4123" s="185"/>
      <c r="U4123" s="185"/>
      <c r="V4123" s="185"/>
      <c r="W4123" s="185"/>
      <c r="X4123" s="185"/>
      <c r="Y4123" s="284"/>
      <c r="Z4123" s="284"/>
      <c r="AA4123" s="284"/>
      <c r="AB4123" s="284"/>
      <c r="AC4123" s="284"/>
      <c r="AD4123" s="284"/>
      <c r="AE4123" s="284"/>
      <c r="AF4123" s="284"/>
      <c r="AG4123" s="284"/>
      <c r="AH4123" s="284"/>
      <c r="AI4123" s="284"/>
      <c r="AJ4123" s="284"/>
      <c r="AK4123" s="284"/>
      <c r="AL4123" s="284"/>
    </row>
    <row r="4124" ht="15.75" customHeight="1">
      <c r="A4124" s="115">
        <f t="shared" si="29"/>
        <v>4943</v>
      </c>
      <c r="B4124" s="63" t="s">
        <v>31</v>
      </c>
      <c r="C4124" s="275"/>
      <c r="D4124" s="65" t="s">
        <v>13679</v>
      </c>
      <c r="E4124" s="63" t="s">
        <v>31</v>
      </c>
      <c r="F4124" s="63" t="s">
        <v>29</v>
      </c>
      <c r="G4124" s="63" t="s">
        <v>30</v>
      </c>
      <c r="H4124" s="63"/>
      <c r="I4124" s="63" t="s">
        <v>30</v>
      </c>
      <c r="J4124" s="63">
        <v>184.0</v>
      </c>
      <c r="K4124" s="63"/>
      <c r="L4124" s="63" t="s">
        <v>13680</v>
      </c>
      <c r="M4124" s="63" t="s">
        <v>13681</v>
      </c>
      <c r="N4124" s="63">
        <v>2006.0</v>
      </c>
      <c r="O4124" s="63" t="s">
        <v>388</v>
      </c>
      <c r="P4124" s="63">
        <v>1.0</v>
      </c>
      <c r="Q4124" s="276"/>
      <c r="R4124" s="67"/>
      <c r="S4124" s="185"/>
      <c r="T4124" s="185"/>
      <c r="U4124" s="185"/>
      <c r="V4124" s="185"/>
      <c r="W4124" s="185"/>
      <c r="X4124" s="185"/>
      <c r="Y4124" s="284"/>
      <c r="Z4124" s="284"/>
      <c r="AA4124" s="284"/>
      <c r="AB4124" s="284"/>
      <c r="AC4124" s="284"/>
      <c r="AD4124" s="284"/>
      <c r="AE4124" s="284"/>
      <c r="AF4124" s="284"/>
      <c r="AG4124" s="284"/>
      <c r="AH4124" s="284"/>
      <c r="AI4124" s="284"/>
      <c r="AJ4124" s="284"/>
      <c r="AK4124" s="284"/>
      <c r="AL4124" s="284"/>
    </row>
    <row r="4125" ht="15.75" customHeight="1">
      <c r="A4125" s="115">
        <f t="shared" si="29"/>
        <v>4944</v>
      </c>
      <c r="B4125" s="49"/>
      <c r="C4125" s="272"/>
      <c r="D4125" s="55" t="s">
        <v>13682</v>
      </c>
      <c r="E4125" s="49" t="s">
        <v>144</v>
      </c>
      <c r="F4125" s="49" t="s">
        <v>29</v>
      </c>
      <c r="G4125" s="49"/>
      <c r="H4125" s="49" t="s">
        <v>31</v>
      </c>
      <c r="I4125" s="49" t="s">
        <v>38</v>
      </c>
      <c r="J4125" s="277">
        <v>47.15</v>
      </c>
      <c r="K4125" s="278"/>
      <c r="L4125" s="49"/>
      <c r="M4125" s="49" t="s">
        <v>13580</v>
      </c>
      <c r="N4125" s="49">
        <v>2012.0</v>
      </c>
      <c r="O4125" s="49" t="s">
        <v>388</v>
      </c>
      <c r="P4125" s="49">
        <v>1.0</v>
      </c>
      <c r="Q4125" s="56"/>
      <c r="R4125" s="54"/>
      <c r="S4125" s="185"/>
      <c r="T4125" s="185"/>
      <c r="U4125" s="185"/>
      <c r="V4125" s="185"/>
      <c r="W4125" s="185"/>
      <c r="X4125" s="185"/>
      <c r="Y4125" s="284"/>
      <c r="Z4125" s="284"/>
      <c r="AA4125" s="284"/>
      <c r="AB4125" s="284"/>
      <c r="AC4125" s="284"/>
      <c r="AD4125" s="284"/>
      <c r="AE4125" s="284"/>
      <c r="AF4125" s="284"/>
      <c r="AG4125" s="284"/>
      <c r="AH4125" s="284"/>
      <c r="AI4125" s="284"/>
      <c r="AJ4125" s="284"/>
      <c r="AK4125" s="284"/>
      <c r="AL4125" s="284"/>
    </row>
    <row r="4126" ht="15.75" customHeight="1">
      <c r="A4126" s="115">
        <f t="shared" si="29"/>
        <v>4945</v>
      </c>
      <c r="B4126" s="49"/>
      <c r="C4126" s="272"/>
      <c r="D4126" s="55" t="s">
        <v>13683</v>
      </c>
      <c r="E4126" s="49" t="s">
        <v>144</v>
      </c>
      <c r="F4126" s="49" t="s">
        <v>29</v>
      </c>
      <c r="G4126" s="49" t="s">
        <v>2855</v>
      </c>
      <c r="H4126" s="49" t="s">
        <v>31</v>
      </c>
      <c r="I4126" s="49" t="s">
        <v>98</v>
      </c>
      <c r="J4126" s="49">
        <v>176.0</v>
      </c>
      <c r="K4126" s="49"/>
      <c r="L4126" s="49" t="s">
        <v>31</v>
      </c>
      <c r="M4126" s="49" t="s">
        <v>13684</v>
      </c>
      <c r="N4126" s="49">
        <v>1960.0</v>
      </c>
      <c r="O4126" s="49" t="s">
        <v>388</v>
      </c>
      <c r="P4126" s="49">
        <v>1.0</v>
      </c>
      <c r="Q4126" s="56"/>
      <c r="R4126" s="54"/>
      <c r="S4126" s="185"/>
      <c r="T4126" s="185"/>
      <c r="U4126" s="185"/>
      <c r="V4126" s="185"/>
      <c r="W4126" s="185"/>
      <c r="X4126" s="185"/>
      <c r="Y4126" s="284"/>
      <c r="Z4126" s="284"/>
      <c r="AA4126" s="284"/>
      <c r="AB4126" s="284"/>
      <c r="AC4126" s="284"/>
      <c r="AD4126" s="284"/>
      <c r="AE4126" s="284"/>
      <c r="AF4126" s="284"/>
      <c r="AG4126" s="284"/>
      <c r="AH4126" s="284"/>
      <c r="AI4126" s="284"/>
      <c r="AJ4126" s="284"/>
      <c r="AK4126" s="284"/>
      <c r="AL4126" s="284"/>
    </row>
    <row r="4127" ht="15.75" customHeight="1">
      <c r="A4127" s="115">
        <f t="shared" si="29"/>
        <v>4946</v>
      </c>
      <c r="B4127" s="49" t="s">
        <v>13350</v>
      </c>
      <c r="C4127" s="272"/>
      <c r="D4127" s="55" t="s">
        <v>13685</v>
      </c>
      <c r="E4127" s="49" t="s">
        <v>144</v>
      </c>
      <c r="F4127" s="49" t="s">
        <v>29</v>
      </c>
      <c r="G4127" s="49" t="s">
        <v>30</v>
      </c>
      <c r="H4127" s="49"/>
      <c r="I4127" s="49" t="s">
        <v>30</v>
      </c>
      <c r="J4127" s="49">
        <f>188</f>
        <v>188</v>
      </c>
      <c r="K4127" s="49"/>
      <c r="L4127" s="49"/>
      <c r="M4127" s="49" t="s">
        <v>13686</v>
      </c>
      <c r="N4127" s="49">
        <v>1976.0</v>
      </c>
      <c r="O4127" s="49" t="s">
        <v>388</v>
      </c>
      <c r="P4127" s="49">
        <v>1.0</v>
      </c>
      <c r="Q4127" s="56"/>
      <c r="R4127" s="54"/>
      <c r="S4127" s="185"/>
      <c r="T4127" s="185"/>
      <c r="U4127" s="185"/>
      <c r="V4127" s="185"/>
      <c r="W4127" s="185"/>
      <c r="X4127" s="185"/>
      <c r="Y4127" s="284"/>
      <c r="Z4127" s="284"/>
      <c r="AA4127" s="284"/>
      <c r="AB4127" s="284"/>
      <c r="AC4127" s="284"/>
      <c r="AD4127" s="284"/>
      <c r="AE4127" s="284"/>
      <c r="AF4127" s="284"/>
      <c r="AG4127" s="284"/>
      <c r="AH4127" s="284"/>
      <c r="AI4127" s="284"/>
      <c r="AJ4127" s="284"/>
      <c r="AK4127" s="284"/>
      <c r="AL4127" s="284"/>
    </row>
    <row r="4128" ht="15.75" customHeight="1">
      <c r="A4128" s="115">
        <f t="shared" si="29"/>
        <v>4947</v>
      </c>
      <c r="B4128" s="49" t="s">
        <v>13687</v>
      </c>
      <c r="C4128" s="272"/>
      <c r="D4128" s="55" t="s">
        <v>13688</v>
      </c>
      <c r="E4128" s="49" t="s">
        <v>144</v>
      </c>
      <c r="F4128" s="49" t="s">
        <v>29</v>
      </c>
      <c r="G4128" s="49" t="s">
        <v>131</v>
      </c>
      <c r="H4128" s="49"/>
      <c r="I4128" s="49" t="s">
        <v>131</v>
      </c>
      <c r="J4128" s="49">
        <f>403</f>
        <v>403</v>
      </c>
      <c r="K4128" s="49"/>
      <c r="L4128" s="49"/>
      <c r="M4128" s="49" t="s">
        <v>13130</v>
      </c>
      <c r="N4128" s="49">
        <v>1990.0</v>
      </c>
      <c r="O4128" s="49" t="s">
        <v>388</v>
      </c>
      <c r="P4128" s="49">
        <v>1.0</v>
      </c>
      <c r="Q4128" s="56"/>
      <c r="R4128" s="54"/>
      <c r="S4128" s="185"/>
      <c r="T4128" s="185"/>
      <c r="U4128" s="185"/>
      <c r="V4128" s="185"/>
      <c r="W4128" s="185"/>
      <c r="X4128" s="185"/>
      <c r="Y4128" s="284"/>
      <c r="Z4128" s="284"/>
      <c r="AA4128" s="284"/>
      <c r="AB4128" s="284"/>
      <c r="AC4128" s="284"/>
      <c r="AD4128" s="284"/>
      <c r="AE4128" s="284"/>
      <c r="AF4128" s="284"/>
      <c r="AG4128" s="284"/>
      <c r="AH4128" s="284"/>
      <c r="AI4128" s="284"/>
      <c r="AJ4128" s="284"/>
      <c r="AK4128" s="284"/>
      <c r="AL4128" s="284"/>
    </row>
    <row r="4129" ht="15.75" customHeight="1">
      <c r="A4129" s="115">
        <f t="shared" si="29"/>
        <v>4948</v>
      </c>
      <c r="B4129" s="49"/>
      <c r="C4129" s="272"/>
      <c r="D4129" s="55" t="s">
        <v>13689</v>
      </c>
      <c r="E4129" s="49"/>
      <c r="F4129" s="49"/>
      <c r="G4129" s="49" t="s">
        <v>30</v>
      </c>
      <c r="H4129" s="49" t="s">
        <v>31</v>
      </c>
      <c r="I4129" s="49"/>
      <c r="J4129" s="49"/>
      <c r="K4129" s="49"/>
      <c r="L4129" s="49"/>
      <c r="M4129" s="49"/>
      <c r="N4129" s="49"/>
      <c r="O4129" s="49" t="s">
        <v>388</v>
      </c>
      <c r="P4129" s="49">
        <v>1.0</v>
      </c>
      <c r="Q4129" s="56"/>
      <c r="R4129" s="54"/>
      <c r="S4129" s="185"/>
      <c r="T4129" s="185"/>
      <c r="U4129" s="185"/>
      <c r="V4129" s="185"/>
      <c r="W4129" s="185"/>
      <c r="X4129" s="185"/>
      <c r="Y4129" s="284"/>
      <c r="Z4129" s="284"/>
      <c r="AA4129" s="284"/>
      <c r="AB4129" s="284"/>
      <c r="AC4129" s="284"/>
      <c r="AD4129" s="284"/>
      <c r="AE4129" s="284"/>
      <c r="AF4129" s="284"/>
      <c r="AG4129" s="284"/>
      <c r="AH4129" s="284"/>
      <c r="AI4129" s="284"/>
      <c r="AJ4129" s="284"/>
      <c r="AK4129" s="284"/>
      <c r="AL4129" s="284"/>
    </row>
    <row r="4130" ht="15.75" customHeight="1">
      <c r="A4130" s="115">
        <f t="shared" si="29"/>
        <v>4949</v>
      </c>
      <c r="B4130" s="49"/>
      <c r="C4130" s="272"/>
      <c r="D4130" s="55" t="s">
        <v>13690</v>
      </c>
      <c r="E4130" s="49" t="s">
        <v>144</v>
      </c>
      <c r="F4130" s="49" t="s">
        <v>29</v>
      </c>
      <c r="G4130" s="49" t="s">
        <v>131</v>
      </c>
      <c r="H4130" s="49" t="s">
        <v>31</v>
      </c>
      <c r="I4130" s="49" t="s">
        <v>131</v>
      </c>
      <c r="J4130" s="49"/>
      <c r="K4130" s="49"/>
      <c r="L4130" s="49"/>
      <c r="M4130" s="49" t="s">
        <v>100</v>
      </c>
      <c r="N4130" s="49">
        <v>2012.0</v>
      </c>
      <c r="O4130" s="49" t="s">
        <v>388</v>
      </c>
      <c r="P4130" s="49">
        <v>1.0</v>
      </c>
      <c r="Q4130" s="56"/>
      <c r="R4130" s="54"/>
      <c r="S4130" s="185"/>
      <c r="T4130" s="185"/>
      <c r="U4130" s="185"/>
      <c r="V4130" s="185"/>
      <c r="W4130" s="185"/>
      <c r="X4130" s="185"/>
      <c r="Y4130" s="284"/>
      <c r="Z4130" s="284"/>
      <c r="AA4130" s="284"/>
      <c r="AB4130" s="284"/>
      <c r="AC4130" s="284"/>
      <c r="AD4130" s="284"/>
      <c r="AE4130" s="284"/>
      <c r="AF4130" s="284"/>
      <c r="AG4130" s="284"/>
      <c r="AH4130" s="284"/>
      <c r="AI4130" s="284"/>
      <c r="AJ4130" s="284"/>
      <c r="AK4130" s="284"/>
      <c r="AL4130" s="284"/>
    </row>
    <row r="4131" ht="15.75" customHeight="1">
      <c r="A4131" s="115">
        <f t="shared" si="29"/>
        <v>4950</v>
      </c>
      <c r="B4131" s="49"/>
      <c r="C4131" s="272"/>
      <c r="D4131" s="55" t="s">
        <v>13691</v>
      </c>
      <c r="E4131" s="49" t="s">
        <v>144</v>
      </c>
      <c r="F4131" s="49" t="s">
        <v>29</v>
      </c>
      <c r="G4131" s="49"/>
      <c r="H4131" s="49"/>
      <c r="I4131" s="49" t="s">
        <v>38</v>
      </c>
      <c r="J4131" s="49"/>
      <c r="K4131" s="49" t="s">
        <v>13582</v>
      </c>
      <c r="L4131" s="49" t="s">
        <v>13552</v>
      </c>
      <c r="M4131" s="49" t="s">
        <v>31</v>
      </c>
      <c r="N4131" s="49">
        <v>1985.0</v>
      </c>
      <c r="O4131" s="49" t="s">
        <v>388</v>
      </c>
      <c r="P4131" s="49">
        <v>1.0</v>
      </c>
      <c r="Q4131" s="56"/>
      <c r="R4131" s="54"/>
      <c r="S4131" s="185"/>
      <c r="T4131" s="185"/>
      <c r="U4131" s="185"/>
      <c r="V4131" s="185"/>
      <c r="W4131" s="185"/>
      <c r="X4131" s="185"/>
      <c r="Y4131" s="284"/>
      <c r="Z4131" s="284"/>
      <c r="AA4131" s="284"/>
      <c r="AB4131" s="284"/>
      <c r="AC4131" s="284"/>
      <c r="AD4131" s="284"/>
      <c r="AE4131" s="284"/>
      <c r="AF4131" s="284"/>
      <c r="AG4131" s="284"/>
      <c r="AH4131" s="284"/>
      <c r="AI4131" s="284"/>
      <c r="AJ4131" s="284"/>
      <c r="AK4131" s="284"/>
      <c r="AL4131" s="284"/>
    </row>
    <row r="4132" ht="15.75" customHeight="1">
      <c r="A4132" s="115">
        <f t="shared" si="29"/>
        <v>4951</v>
      </c>
      <c r="B4132" s="49"/>
      <c r="C4132" s="272"/>
      <c r="D4132" s="55" t="s">
        <v>13692</v>
      </c>
      <c r="E4132" s="49"/>
      <c r="F4132" s="49" t="s">
        <v>29</v>
      </c>
      <c r="G4132" s="49" t="s">
        <v>30</v>
      </c>
      <c r="H4132" s="49"/>
      <c r="I4132" s="49" t="s">
        <v>30</v>
      </c>
      <c r="J4132" s="49">
        <v>62.0</v>
      </c>
      <c r="K4132" s="49"/>
      <c r="L4132" s="49" t="s">
        <v>13693</v>
      </c>
      <c r="M4132" s="49" t="s">
        <v>13694</v>
      </c>
      <c r="N4132" s="49" t="s">
        <v>13695</v>
      </c>
      <c r="O4132" s="49" t="s">
        <v>388</v>
      </c>
      <c r="P4132" s="49">
        <v>1.0</v>
      </c>
      <c r="Q4132" s="56"/>
      <c r="R4132" s="54"/>
      <c r="S4132" s="185"/>
      <c r="T4132" s="185"/>
      <c r="U4132" s="185"/>
      <c r="V4132" s="185"/>
      <c r="W4132" s="185"/>
      <c r="X4132" s="185"/>
      <c r="Y4132" s="284"/>
      <c r="Z4132" s="284"/>
      <c r="AA4132" s="284"/>
      <c r="AB4132" s="284"/>
      <c r="AC4132" s="284"/>
      <c r="AD4132" s="284"/>
      <c r="AE4132" s="284"/>
      <c r="AF4132" s="284"/>
      <c r="AG4132" s="284"/>
      <c r="AH4132" s="284"/>
      <c r="AI4132" s="284"/>
      <c r="AJ4132" s="284"/>
      <c r="AK4132" s="284"/>
      <c r="AL4132" s="284"/>
    </row>
    <row r="4133" ht="15.75" customHeight="1">
      <c r="A4133" s="115">
        <f t="shared" si="29"/>
        <v>4952</v>
      </c>
      <c r="B4133" s="49" t="s">
        <v>13696</v>
      </c>
      <c r="C4133" s="272"/>
      <c r="D4133" s="55" t="s">
        <v>13697</v>
      </c>
      <c r="E4133" s="49" t="s">
        <v>144</v>
      </c>
      <c r="F4133" s="49" t="s">
        <v>29</v>
      </c>
      <c r="G4133" s="49" t="s">
        <v>37</v>
      </c>
      <c r="H4133" s="49" t="s">
        <v>31</v>
      </c>
      <c r="I4133" s="49" t="s">
        <v>38</v>
      </c>
      <c r="J4133" s="49">
        <f>1712+16</f>
        <v>1728</v>
      </c>
      <c r="K4133" s="49"/>
      <c r="L4133" s="49" t="s">
        <v>31</v>
      </c>
      <c r="M4133" s="49" t="s">
        <v>524</v>
      </c>
      <c r="N4133" s="49">
        <v>1999.0</v>
      </c>
      <c r="O4133" s="49" t="s">
        <v>388</v>
      </c>
      <c r="P4133" s="49">
        <v>1.0</v>
      </c>
      <c r="Q4133" s="56"/>
      <c r="R4133" s="54"/>
      <c r="S4133" s="361"/>
      <c r="T4133" s="361"/>
      <c r="U4133" s="361"/>
      <c r="V4133" s="361"/>
      <c r="W4133" s="361"/>
      <c r="X4133" s="361"/>
      <c r="Y4133" s="362"/>
      <c r="Z4133" s="362"/>
      <c r="AA4133" s="362"/>
      <c r="AB4133" s="362"/>
      <c r="AC4133" s="362"/>
      <c r="AD4133" s="362"/>
      <c r="AE4133" s="362"/>
      <c r="AF4133" s="362"/>
      <c r="AG4133" s="362"/>
      <c r="AH4133" s="362"/>
      <c r="AI4133" s="362"/>
      <c r="AJ4133" s="362"/>
      <c r="AK4133" s="362"/>
      <c r="AL4133" s="362"/>
    </row>
    <row r="4134" ht="15.75" customHeight="1">
      <c r="A4134" s="115">
        <f t="shared" si="29"/>
        <v>4953</v>
      </c>
      <c r="B4134" s="49"/>
      <c r="C4134" s="272"/>
      <c r="D4134" s="55" t="s">
        <v>13698</v>
      </c>
      <c r="E4134" s="49" t="s">
        <v>144</v>
      </c>
      <c r="F4134" s="49" t="s">
        <v>29</v>
      </c>
      <c r="G4134" s="49" t="s">
        <v>30</v>
      </c>
      <c r="H4134" s="49" t="s">
        <v>31</v>
      </c>
      <c r="I4134" s="49" t="s">
        <v>30</v>
      </c>
      <c r="J4134" s="49"/>
      <c r="K4134" s="49"/>
      <c r="L4134" s="49"/>
      <c r="M4134" s="49" t="s">
        <v>151</v>
      </c>
      <c r="N4134" s="49">
        <v>2008.0</v>
      </c>
      <c r="O4134" s="49" t="s">
        <v>388</v>
      </c>
      <c r="P4134" s="49">
        <v>1.0</v>
      </c>
      <c r="Q4134" s="56"/>
      <c r="R4134" s="54"/>
      <c r="S4134" s="361"/>
      <c r="T4134" s="361"/>
      <c r="U4134" s="361"/>
      <c r="V4134" s="361"/>
      <c r="W4134" s="361"/>
      <c r="X4134" s="361"/>
      <c r="Y4134" s="362"/>
      <c r="Z4134" s="362"/>
      <c r="AA4134" s="362"/>
      <c r="AB4134" s="362"/>
      <c r="AC4134" s="362"/>
      <c r="AD4134" s="362"/>
      <c r="AE4134" s="362"/>
      <c r="AF4134" s="362"/>
      <c r="AG4134" s="362"/>
      <c r="AH4134" s="362"/>
      <c r="AI4134" s="362"/>
      <c r="AJ4134" s="362"/>
      <c r="AK4134" s="362"/>
      <c r="AL4134" s="362"/>
    </row>
    <row r="4135" ht="15.75" customHeight="1">
      <c r="A4135" s="115">
        <f t="shared" si="29"/>
        <v>4954</v>
      </c>
      <c r="B4135" s="49"/>
      <c r="C4135" s="272"/>
      <c r="D4135" s="55" t="s">
        <v>13699</v>
      </c>
      <c r="E4135" s="49" t="s">
        <v>29</v>
      </c>
      <c r="F4135" s="49"/>
      <c r="G4135" s="49" t="s">
        <v>30</v>
      </c>
      <c r="H4135" s="49"/>
      <c r="I4135" s="49" t="s">
        <v>30</v>
      </c>
      <c r="J4135" s="49"/>
      <c r="K4135" s="49"/>
      <c r="L4135" s="49"/>
      <c r="M4135" s="49" t="s">
        <v>13700</v>
      </c>
      <c r="N4135" s="49">
        <v>2009.0</v>
      </c>
      <c r="O4135" s="49" t="s">
        <v>388</v>
      </c>
      <c r="P4135" s="49">
        <v>1.0</v>
      </c>
      <c r="Q4135" s="56"/>
      <c r="R4135" s="54"/>
      <c r="S4135" s="185"/>
      <c r="T4135" s="185"/>
      <c r="U4135" s="185"/>
      <c r="V4135" s="185"/>
      <c r="W4135" s="185"/>
      <c r="X4135" s="185"/>
      <c r="Y4135" s="284"/>
      <c r="Z4135" s="284"/>
      <c r="AA4135" s="284"/>
      <c r="AB4135" s="284"/>
      <c r="AC4135" s="284"/>
      <c r="AD4135" s="284"/>
      <c r="AE4135" s="284"/>
      <c r="AF4135" s="284"/>
      <c r="AG4135" s="284"/>
      <c r="AH4135" s="284"/>
      <c r="AI4135" s="284"/>
      <c r="AJ4135" s="284"/>
      <c r="AK4135" s="284"/>
      <c r="AL4135" s="284"/>
    </row>
    <row r="4136" ht="15.75" customHeight="1">
      <c r="A4136" s="115">
        <f t="shared" si="29"/>
        <v>4955</v>
      </c>
      <c r="B4136" s="49"/>
      <c r="C4136" s="272"/>
      <c r="D4136" s="55" t="s">
        <v>13701</v>
      </c>
      <c r="E4136" s="49" t="s">
        <v>29</v>
      </c>
      <c r="F4136" s="49"/>
      <c r="G4136" s="49" t="s">
        <v>30</v>
      </c>
      <c r="H4136" s="49"/>
      <c r="I4136" s="49" t="s">
        <v>30</v>
      </c>
      <c r="J4136" s="49"/>
      <c r="K4136" s="49"/>
      <c r="L4136" s="49"/>
      <c r="M4136" s="49" t="s">
        <v>13700</v>
      </c>
      <c r="N4136" s="49">
        <v>2009.0</v>
      </c>
      <c r="O4136" s="49" t="s">
        <v>388</v>
      </c>
      <c r="P4136" s="49">
        <v>1.0</v>
      </c>
      <c r="Q4136" s="56"/>
      <c r="R4136" s="54"/>
      <c r="S4136" s="185"/>
      <c r="T4136" s="185"/>
      <c r="U4136" s="185"/>
      <c r="V4136" s="185"/>
      <c r="W4136" s="185"/>
      <c r="X4136" s="185"/>
      <c r="Y4136" s="284"/>
      <c r="Z4136" s="284"/>
      <c r="AA4136" s="284"/>
      <c r="AB4136" s="284"/>
      <c r="AC4136" s="284"/>
      <c r="AD4136" s="284"/>
      <c r="AE4136" s="284"/>
      <c r="AF4136" s="284"/>
      <c r="AG4136" s="284"/>
      <c r="AH4136" s="284"/>
      <c r="AI4136" s="284"/>
      <c r="AJ4136" s="284"/>
      <c r="AK4136" s="284"/>
      <c r="AL4136" s="284"/>
    </row>
    <row r="4137" ht="15.75" customHeight="1">
      <c r="A4137" s="115">
        <f t="shared" si="29"/>
        <v>4956</v>
      </c>
      <c r="B4137" s="49"/>
      <c r="C4137" s="272"/>
      <c r="D4137" s="55" t="s">
        <v>13702</v>
      </c>
      <c r="E4137" s="49" t="s">
        <v>29</v>
      </c>
      <c r="F4137" s="49"/>
      <c r="G4137" s="49" t="s">
        <v>30</v>
      </c>
      <c r="H4137" s="49"/>
      <c r="I4137" s="49" t="s">
        <v>30</v>
      </c>
      <c r="J4137" s="49"/>
      <c r="K4137" s="49"/>
      <c r="L4137" s="49"/>
      <c r="M4137" s="49" t="s">
        <v>13700</v>
      </c>
      <c r="N4137" s="49">
        <v>2010.0</v>
      </c>
      <c r="O4137" s="49" t="s">
        <v>388</v>
      </c>
      <c r="P4137" s="49">
        <v>1.0</v>
      </c>
      <c r="Q4137" s="56"/>
      <c r="R4137" s="54"/>
      <c r="S4137" s="185"/>
      <c r="T4137" s="185"/>
      <c r="U4137" s="185"/>
      <c r="V4137" s="185"/>
      <c r="W4137" s="185"/>
      <c r="X4137" s="185"/>
      <c r="Y4137" s="284"/>
      <c r="Z4137" s="284"/>
      <c r="AA4137" s="284"/>
      <c r="AB4137" s="284"/>
      <c r="AC4137" s="284"/>
      <c r="AD4137" s="284"/>
      <c r="AE4137" s="284"/>
      <c r="AF4137" s="284"/>
      <c r="AG4137" s="284"/>
      <c r="AH4137" s="284"/>
      <c r="AI4137" s="284"/>
      <c r="AJ4137" s="284"/>
      <c r="AK4137" s="284"/>
      <c r="AL4137" s="284"/>
    </row>
    <row r="4138" ht="15.75" customHeight="1">
      <c r="A4138" s="115">
        <f t="shared" si="29"/>
        <v>4957</v>
      </c>
      <c r="B4138" s="49"/>
      <c r="C4138" s="272"/>
      <c r="D4138" s="55" t="s">
        <v>13703</v>
      </c>
      <c r="E4138" s="49" t="s">
        <v>144</v>
      </c>
      <c r="F4138" s="49" t="s">
        <v>29</v>
      </c>
      <c r="G4138" s="49" t="s">
        <v>30</v>
      </c>
      <c r="H4138" s="49"/>
      <c r="I4138" s="49" t="s">
        <v>30</v>
      </c>
      <c r="J4138" s="49"/>
      <c r="K4138" s="49"/>
      <c r="L4138" s="49" t="s">
        <v>13704</v>
      </c>
      <c r="M4138" s="49" t="s">
        <v>12736</v>
      </c>
      <c r="N4138" s="49">
        <v>1980.0</v>
      </c>
      <c r="O4138" s="49" t="s">
        <v>388</v>
      </c>
      <c r="P4138" s="49">
        <v>1.0</v>
      </c>
      <c r="Q4138" s="56"/>
      <c r="R4138" s="54"/>
      <c r="S4138" s="185"/>
      <c r="T4138" s="185"/>
      <c r="U4138" s="185"/>
      <c r="V4138" s="185"/>
      <c r="W4138" s="185"/>
      <c r="X4138" s="185"/>
      <c r="Y4138" s="284"/>
      <c r="Z4138" s="284"/>
      <c r="AA4138" s="284"/>
      <c r="AB4138" s="284"/>
      <c r="AC4138" s="284"/>
      <c r="AD4138" s="284"/>
      <c r="AE4138" s="284"/>
      <c r="AF4138" s="284"/>
      <c r="AG4138" s="284"/>
      <c r="AH4138" s="284"/>
      <c r="AI4138" s="284"/>
      <c r="AJ4138" s="284"/>
      <c r="AK4138" s="284"/>
      <c r="AL4138" s="284"/>
    </row>
    <row r="4139" ht="15.75" customHeight="1">
      <c r="A4139" s="115">
        <f t="shared" si="29"/>
        <v>4958</v>
      </c>
      <c r="B4139" s="49"/>
      <c r="C4139" s="272"/>
      <c r="D4139" s="55" t="s">
        <v>12077</v>
      </c>
      <c r="E4139" s="49" t="s">
        <v>144</v>
      </c>
      <c r="F4139" s="49" t="s">
        <v>29</v>
      </c>
      <c r="G4139" s="49" t="s">
        <v>30</v>
      </c>
      <c r="H4139" s="49" t="s">
        <v>31</v>
      </c>
      <c r="I4139" s="49" t="s">
        <v>30</v>
      </c>
      <c r="J4139" s="49"/>
      <c r="K4139" s="49"/>
      <c r="L4139" s="49"/>
      <c r="M4139" s="49" t="s">
        <v>544</v>
      </c>
      <c r="N4139" s="49">
        <v>2011.0</v>
      </c>
      <c r="O4139" s="49" t="s">
        <v>388</v>
      </c>
      <c r="P4139" s="49">
        <v>1.0</v>
      </c>
      <c r="Q4139" s="56"/>
      <c r="R4139" s="54"/>
      <c r="S4139" s="185"/>
      <c r="T4139" s="185"/>
      <c r="U4139" s="185"/>
      <c r="V4139" s="185"/>
      <c r="W4139" s="185"/>
      <c r="X4139" s="185"/>
      <c r="Y4139" s="284"/>
      <c r="Z4139" s="284"/>
      <c r="AA4139" s="284"/>
      <c r="AB4139" s="284"/>
      <c r="AC4139" s="284"/>
      <c r="AD4139" s="284"/>
      <c r="AE4139" s="284"/>
      <c r="AF4139" s="284"/>
      <c r="AG4139" s="284"/>
      <c r="AH4139" s="284"/>
      <c r="AI4139" s="284"/>
      <c r="AJ4139" s="284"/>
      <c r="AK4139" s="284"/>
      <c r="AL4139" s="284"/>
    </row>
    <row r="4140" ht="15.75" customHeight="1">
      <c r="A4140" s="115">
        <f t="shared" si="29"/>
        <v>4959</v>
      </c>
      <c r="B4140" s="49"/>
      <c r="C4140" s="272"/>
      <c r="D4140" s="55" t="s">
        <v>13705</v>
      </c>
      <c r="E4140" s="49" t="s">
        <v>144</v>
      </c>
      <c r="F4140" s="49" t="s">
        <v>29</v>
      </c>
      <c r="G4140" s="49" t="s">
        <v>30</v>
      </c>
      <c r="H4140" s="49"/>
      <c r="I4140" s="49" t="s">
        <v>30</v>
      </c>
      <c r="J4140" s="49">
        <v>184.0</v>
      </c>
      <c r="K4140" s="49"/>
      <c r="L4140" s="49" t="s">
        <v>8695</v>
      </c>
      <c r="M4140" s="49" t="s">
        <v>13706</v>
      </c>
      <c r="N4140" s="49">
        <v>2010.0</v>
      </c>
      <c r="O4140" s="49" t="s">
        <v>388</v>
      </c>
      <c r="P4140" s="49">
        <v>1.0</v>
      </c>
      <c r="Q4140" s="56"/>
      <c r="R4140" s="54"/>
      <c r="S4140" s="185"/>
      <c r="T4140" s="185"/>
      <c r="U4140" s="185"/>
      <c r="V4140" s="185"/>
      <c r="W4140" s="185"/>
      <c r="X4140" s="185"/>
      <c r="Y4140" s="284"/>
      <c r="Z4140" s="284"/>
      <c r="AA4140" s="284"/>
      <c r="AB4140" s="284"/>
      <c r="AC4140" s="284"/>
      <c r="AD4140" s="284"/>
      <c r="AE4140" s="284"/>
      <c r="AF4140" s="284"/>
      <c r="AG4140" s="284"/>
      <c r="AH4140" s="284"/>
      <c r="AI4140" s="284"/>
      <c r="AJ4140" s="284"/>
      <c r="AK4140" s="284"/>
      <c r="AL4140" s="284"/>
    </row>
    <row r="4141" ht="15.75" customHeight="1">
      <c r="A4141" s="115">
        <f t="shared" si="29"/>
        <v>4960</v>
      </c>
      <c r="B4141" s="49"/>
      <c r="C4141" s="272"/>
      <c r="D4141" s="55" t="s">
        <v>13707</v>
      </c>
      <c r="E4141" s="49" t="s">
        <v>144</v>
      </c>
      <c r="F4141" s="49" t="s">
        <v>29</v>
      </c>
      <c r="G4141" s="49" t="s">
        <v>30</v>
      </c>
      <c r="H4141" s="49" t="s">
        <v>31</v>
      </c>
      <c r="I4141" s="49" t="s">
        <v>30</v>
      </c>
      <c r="J4141" s="49"/>
      <c r="K4141" s="49"/>
      <c r="L4141" s="49"/>
      <c r="M4141" s="49" t="s">
        <v>151</v>
      </c>
      <c r="N4141" s="49">
        <v>2009.0</v>
      </c>
      <c r="O4141" s="49" t="s">
        <v>388</v>
      </c>
      <c r="P4141" s="49">
        <v>1.0</v>
      </c>
      <c r="Q4141" s="56"/>
      <c r="R4141" s="54"/>
      <c r="S4141" s="185"/>
      <c r="T4141" s="185"/>
      <c r="U4141" s="185"/>
      <c r="V4141" s="185"/>
      <c r="W4141" s="185"/>
      <c r="X4141" s="185"/>
      <c r="Y4141" s="284"/>
      <c r="Z4141" s="284"/>
      <c r="AA4141" s="284"/>
      <c r="AB4141" s="284"/>
      <c r="AC4141" s="284"/>
      <c r="AD4141" s="284"/>
      <c r="AE4141" s="284"/>
      <c r="AF4141" s="284"/>
      <c r="AG4141" s="284"/>
      <c r="AH4141" s="284"/>
      <c r="AI4141" s="284"/>
      <c r="AJ4141" s="284"/>
      <c r="AK4141" s="284"/>
      <c r="AL4141" s="284"/>
    </row>
    <row r="4142" ht="15.75" customHeight="1">
      <c r="A4142" s="115">
        <f t="shared" si="29"/>
        <v>4961</v>
      </c>
      <c r="B4142" s="63"/>
      <c r="C4142" s="275"/>
      <c r="D4142" s="65" t="s">
        <v>13708</v>
      </c>
      <c r="E4142" s="63" t="s">
        <v>144</v>
      </c>
      <c r="F4142" s="63" t="s">
        <v>29</v>
      </c>
      <c r="G4142" s="63" t="s">
        <v>30</v>
      </c>
      <c r="H4142" s="63" t="s">
        <v>31</v>
      </c>
      <c r="I4142" s="63" t="s">
        <v>30</v>
      </c>
      <c r="J4142" s="63"/>
      <c r="K4142" s="63"/>
      <c r="L4142" s="63"/>
      <c r="M4142" s="63" t="s">
        <v>151</v>
      </c>
      <c r="N4142" s="63">
        <v>2011.0</v>
      </c>
      <c r="O4142" s="63" t="s">
        <v>388</v>
      </c>
      <c r="P4142" s="63">
        <v>1.0</v>
      </c>
      <c r="Q4142" s="276"/>
      <c r="R4142" s="67"/>
      <c r="S4142" s="185"/>
      <c r="T4142" s="185"/>
      <c r="U4142" s="185"/>
      <c r="V4142" s="185"/>
      <c r="W4142" s="185"/>
      <c r="X4142" s="185"/>
      <c r="Y4142" s="284"/>
      <c r="Z4142" s="284"/>
      <c r="AA4142" s="284"/>
      <c r="AB4142" s="284"/>
      <c r="AC4142" s="284"/>
      <c r="AD4142" s="284"/>
      <c r="AE4142" s="284"/>
      <c r="AF4142" s="284"/>
      <c r="AG4142" s="284"/>
      <c r="AH4142" s="284"/>
      <c r="AI4142" s="284"/>
      <c r="AJ4142" s="284"/>
      <c r="AK4142" s="284"/>
      <c r="AL4142" s="284"/>
    </row>
    <row r="4143" ht="15.75" customHeight="1">
      <c r="A4143" s="115">
        <f t="shared" si="29"/>
        <v>4962</v>
      </c>
      <c r="B4143" s="63" t="s">
        <v>4531</v>
      </c>
      <c r="C4143" s="275"/>
      <c r="D4143" s="65" t="s">
        <v>13709</v>
      </c>
      <c r="E4143" s="63"/>
      <c r="F4143" s="63" t="s">
        <v>740</v>
      </c>
      <c r="G4143" s="63" t="s">
        <v>37</v>
      </c>
      <c r="H4143" s="63"/>
      <c r="I4143" s="63" t="s">
        <v>38</v>
      </c>
      <c r="J4143" s="63">
        <v>199.0</v>
      </c>
      <c r="K4143" s="63"/>
      <c r="L4143" s="63" t="s">
        <v>4534</v>
      </c>
      <c r="M4143" s="63" t="s">
        <v>352</v>
      </c>
      <c r="N4143" s="63">
        <v>2004.0</v>
      </c>
      <c r="O4143" s="63" t="s">
        <v>388</v>
      </c>
      <c r="P4143" s="63">
        <v>1.0</v>
      </c>
      <c r="Q4143" s="63"/>
      <c r="R4143" s="67"/>
      <c r="S4143" s="185"/>
      <c r="T4143" s="185"/>
      <c r="U4143" s="185"/>
      <c r="V4143" s="185"/>
      <c r="W4143" s="185"/>
      <c r="X4143" s="185"/>
      <c r="Y4143" s="284"/>
      <c r="Z4143" s="284"/>
      <c r="AA4143" s="284"/>
      <c r="AB4143" s="284"/>
      <c r="AC4143" s="284"/>
      <c r="AD4143" s="284"/>
      <c r="AE4143" s="284"/>
      <c r="AF4143" s="284"/>
      <c r="AG4143" s="284"/>
      <c r="AH4143" s="284"/>
      <c r="AI4143" s="284"/>
      <c r="AJ4143" s="284"/>
      <c r="AK4143" s="284"/>
      <c r="AL4143" s="284"/>
    </row>
    <row r="4144" ht="15.75" customHeight="1">
      <c r="A4144" s="115">
        <f t="shared" si="29"/>
        <v>4963</v>
      </c>
      <c r="B4144" s="63"/>
      <c r="C4144" s="275"/>
      <c r="D4144" s="65" t="s">
        <v>13710</v>
      </c>
      <c r="E4144" s="63" t="s">
        <v>144</v>
      </c>
      <c r="F4144" s="63" t="s">
        <v>29</v>
      </c>
      <c r="G4144" s="63" t="s">
        <v>30</v>
      </c>
      <c r="H4144" s="63" t="s">
        <v>31</v>
      </c>
      <c r="I4144" s="63" t="s">
        <v>30</v>
      </c>
      <c r="J4144" s="63"/>
      <c r="K4144" s="63"/>
      <c r="L4144" s="63"/>
      <c r="M4144" s="63" t="s">
        <v>151</v>
      </c>
      <c r="N4144" s="63">
        <v>2011.0</v>
      </c>
      <c r="O4144" s="63" t="s">
        <v>388</v>
      </c>
      <c r="P4144" s="63">
        <v>1.0</v>
      </c>
      <c r="Q4144" s="276"/>
      <c r="R4144" s="67"/>
      <c r="S4144" s="185"/>
      <c r="T4144" s="185"/>
      <c r="U4144" s="185"/>
      <c r="V4144" s="185"/>
      <c r="W4144" s="185"/>
      <c r="X4144" s="185"/>
      <c r="Y4144" s="284"/>
      <c r="Z4144" s="284"/>
      <c r="AA4144" s="284"/>
      <c r="AB4144" s="284"/>
      <c r="AC4144" s="284"/>
      <c r="AD4144" s="284"/>
      <c r="AE4144" s="284"/>
      <c r="AF4144" s="284"/>
      <c r="AG4144" s="284"/>
      <c r="AH4144" s="284"/>
      <c r="AI4144" s="284"/>
      <c r="AJ4144" s="284"/>
      <c r="AK4144" s="284"/>
      <c r="AL4144" s="284"/>
    </row>
    <row r="4145" ht="15.75" customHeight="1">
      <c r="A4145" s="115">
        <f t="shared" si="29"/>
        <v>4964</v>
      </c>
      <c r="B4145" s="63"/>
      <c r="C4145" s="275"/>
      <c r="D4145" s="65" t="s">
        <v>13711</v>
      </c>
      <c r="E4145" s="63" t="s">
        <v>144</v>
      </c>
      <c r="F4145" s="63" t="s">
        <v>29</v>
      </c>
      <c r="G4145" s="63" t="s">
        <v>30</v>
      </c>
      <c r="H4145" s="63" t="s">
        <v>31</v>
      </c>
      <c r="I4145" s="63" t="s">
        <v>30</v>
      </c>
      <c r="J4145" s="63"/>
      <c r="K4145" s="63"/>
      <c r="L4145" s="63"/>
      <c r="M4145" s="63" t="s">
        <v>151</v>
      </c>
      <c r="N4145" s="63">
        <v>2010.0</v>
      </c>
      <c r="O4145" s="63" t="s">
        <v>388</v>
      </c>
      <c r="P4145" s="63">
        <v>1.0</v>
      </c>
      <c r="Q4145" s="276"/>
      <c r="R4145" s="67"/>
      <c r="S4145" s="185"/>
      <c r="T4145" s="185"/>
      <c r="U4145" s="185"/>
      <c r="V4145" s="185"/>
      <c r="W4145" s="185"/>
      <c r="X4145" s="185"/>
      <c r="Y4145" s="284"/>
      <c r="Z4145" s="284"/>
      <c r="AA4145" s="284"/>
      <c r="AB4145" s="284"/>
      <c r="AC4145" s="284"/>
      <c r="AD4145" s="284"/>
      <c r="AE4145" s="284"/>
      <c r="AF4145" s="284"/>
      <c r="AG4145" s="284"/>
      <c r="AH4145" s="284"/>
      <c r="AI4145" s="284"/>
      <c r="AJ4145" s="284"/>
      <c r="AK4145" s="284"/>
      <c r="AL4145" s="284"/>
    </row>
    <row r="4146" ht="15.75" customHeight="1">
      <c r="A4146" s="115">
        <f t="shared" si="29"/>
        <v>4965</v>
      </c>
      <c r="B4146" s="63"/>
      <c r="C4146" s="275"/>
      <c r="D4146" s="65" t="s">
        <v>13712</v>
      </c>
      <c r="E4146" s="63" t="s">
        <v>144</v>
      </c>
      <c r="F4146" s="63" t="s">
        <v>29</v>
      </c>
      <c r="G4146" s="63" t="s">
        <v>30</v>
      </c>
      <c r="H4146" s="63" t="s">
        <v>31</v>
      </c>
      <c r="I4146" s="63" t="s">
        <v>30</v>
      </c>
      <c r="J4146" s="63"/>
      <c r="K4146" s="63"/>
      <c r="L4146" s="63"/>
      <c r="M4146" s="63" t="s">
        <v>151</v>
      </c>
      <c r="N4146" s="63">
        <v>2010.0</v>
      </c>
      <c r="O4146" s="63" t="s">
        <v>388</v>
      </c>
      <c r="P4146" s="63">
        <v>1.0</v>
      </c>
      <c r="Q4146" s="276"/>
      <c r="R4146" s="67"/>
      <c r="S4146" s="185"/>
      <c r="T4146" s="185"/>
      <c r="U4146" s="185"/>
      <c r="V4146" s="185"/>
      <c r="W4146" s="185"/>
      <c r="X4146" s="185"/>
      <c r="Y4146" s="284"/>
      <c r="Z4146" s="284"/>
      <c r="AA4146" s="284"/>
      <c r="AB4146" s="284"/>
      <c r="AC4146" s="284"/>
      <c r="AD4146" s="284"/>
      <c r="AE4146" s="284"/>
      <c r="AF4146" s="284"/>
      <c r="AG4146" s="284"/>
      <c r="AH4146" s="284"/>
      <c r="AI4146" s="284"/>
      <c r="AJ4146" s="284"/>
      <c r="AK4146" s="284"/>
      <c r="AL4146" s="284"/>
    </row>
    <row r="4147" ht="15.75" customHeight="1">
      <c r="A4147" s="115">
        <f t="shared" si="29"/>
        <v>4966</v>
      </c>
      <c r="B4147" s="63"/>
      <c r="C4147" s="275"/>
      <c r="D4147" s="65" t="s">
        <v>13712</v>
      </c>
      <c r="E4147" s="63" t="s">
        <v>144</v>
      </c>
      <c r="F4147" s="63" t="s">
        <v>29</v>
      </c>
      <c r="G4147" s="63" t="s">
        <v>30</v>
      </c>
      <c r="H4147" s="63" t="s">
        <v>31</v>
      </c>
      <c r="I4147" s="63" t="s">
        <v>30</v>
      </c>
      <c r="J4147" s="63"/>
      <c r="K4147" s="63"/>
      <c r="L4147" s="63"/>
      <c r="M4147" s="63" t="s">
        <v>151</v>
      </c>
      <c r="N4147" s="63">
        <v>2010.0</v>
      </c>
      <c r="O4147" s="63" t="s">
        <v>388</v>
      </c>
      <c r="P4147" s="63">
        <v>1.0</v>
      </c>
      <c r="Q4147" s="276"/>
      <c r="R4147" s="67"/>
      <c r="S4147" s="185"/>
      <c r="T4147" s="185"/>
      <c r="U4147" s="185"/>
      <c r="V4147" s="185"/>
      <c r="W4147" s="185"/>
      <c r="X4147" s="185"/>
      <c r="Y4147" s="284"/>
      <c r="Z4147" s="284"/>
      <c r="AA4147" s="284"/>
      <c r="AB4147" s="284"/>
      <c r="AC4147" s="284"/>
      <c r="AD4147" s="284"/>
      <c r="AE4147" s="284"/>
      <c r="AF4147" s="284"/>
      <c r="AG4147" s="284"/>
      <c r="AH4147" s="284"/>
      <c r="AI4147" s="284"/>
      <c r="AJ4147" s="284"/>
      <c r="AK4147" s="284"/>
      <c r="AL4147" s="284"/>
    </row>
    <row r="4148" ht="15.75" customHeight="1">
      <c r="A4148" s="115">
        <f t="shared" si="29"/>
        <v>4967</v>
      </c>
      <c r="B4148" s="63"/>
      <c r="C4148" s="275"/>
      <c r="D4148" s="65" t="s">
        <v>13713</v>
      </c>
      <c r="E4148" s="63" t="s">
        <v>144</v>
      </c>
      <c r="F4148" s="63" t="s">
        <v>29</v>
      </c>
      <c r="G4148" s="63" t="s">
        <v>30</v>
      </c>
      <c r="H4148" s="63" t="s">
        <v>31</v>
      </c>
      <c r="I4148" s="63" t="s">
        <v>30</v>
      </c>
      <c r="J4148" s="63"/>
      <c r="K4148" s="63"/>
      <c r="L4148" s="63"/>
      <c r="M4148" s="63" t="s">
        <v>13714</v>
      </c>
      <c r="N4148" s="63">
        <v>2010.0</v>
      </c>
      <c r="O4148" s="63" t="s">
        <v>388</v>
      </c>
      <c r="P4148" s="63">
        <v>1.0</v>
      </c>
      <c r="Q4148" s="276"/>
      <c r="R4148" s="67"/>
      <c r="S4148" s="185"/>
      <c r="T4148" s="185"/>
      <c r="U4148" s="185"/>
      <c r="V4148" s="185"/>
      <c r="W4148" s="185"/>
      <c r="X4148" s="185"/>
      <c r="Y4148" s="284"/>
      <c r="Z4148" s="284"/>
      <c r="AA4148" s="284"/>
      <c r="AB4148" s="284"/>
      <c r="AC4148" s="284"/>
      <c r="AD4148" s="284"/>
      <c r="AE4148" s="284"/>
      <c r="AF4148" s="284"/>
      <c r="AG4148" s="284"/>
      <c r="AH4148" s="284"/>
      <c r="AI4148" s="284"/>
      <c r="AJ4148" s="284"/>
      <c r="AK4148" s="284"/>
      <c r="AL4148" s="284"/>
    </row>
    <row r="4149" ht="15.75" customHeight="1">
      <c r="A4149" s="115">
        <f t="shared" si="29"/>
        <v>4968</v>
      </c>
      <c r="B4149" s="158"/>
      <c r="C4149" s="204"/>
      <c r="D4149" s="160" t="s">
        <v>13715</v>
      </c>
      <c r="E4149" s="158" t="s">
        <v>144</v>
      </c>
      <c r="F4149" s="158" t="s">
        <v>29</v>
      </c>
      <c r="G4149" s="158" t="s">
        <v>30</v>
      </c>
      <c r="H4149" s="158" t="s">
        <v>31</v>
      </c>
      <c r="I4149" s="158" t="s">
        <v>30</v>
      </c>
      <c r="J4149" s="158"/>
      <c r="K4149" s="158"/>
      <c r="L4149" s="158"/>
      <c r="M4149" s="158" t="s">
        <v>151</v>
      </c>
      <c r="N4149" s="158">
        <v>1997.0</v>
      </c>
      <c r="O4149" s="158" t="s">
        <v>388</v>
      </c>
      <c r="P4149" s="158">
        <v>1.0</v>
      </c>
      <c r="Q4149" s="162"/>
      <c r="R4149" s="163"/>
      <c r="S4149" s="185"/>
      <c r="T4149" s="185"/>
      <c r="U4149" s="185"/>
      <c r="V4149" s="185"/>
      <c r="W4149" s="185"/>
      <c r="X4149" s="185"/>
      <c r="Y4149" s="284"/>
      <c r="Z4149" s="284"/>
      <c r="AA4149" s="284"/>
      <c r="AB4149" s="284"/>
      <c r="AC4149" s="284"/>
      <c r="AD4149" s="284"/>
      <c r="AE4149" s="284"/>
      <c r="AF4149" s="284"/>
      <c r="AG4149" s="284"/>
      <c r="AH4149" s="284"/>
      <c r="AI4149" s="284"/>
      <c r="AJ4149" s="284"/>
      <c r="AK4149" s="284"/>
      <c r="AL4149" s="284"/>
    </row>
    <row r="4150" ht="15.75" customHeight="1">
      <c r="A4150" s="115">
        <f t="shared" si="29"/>
        <v>4969</v>
      </c>
      <c r="B4150" s="49"/>
      <c r="C4150" s="272"/>
      <c r="D4150" s="55" t="s">
        <v>13715</v>
      </c>
      <c r="E4150" s="49" t="s">
        <v>144</v>
      </c>
      <c r="F4150" s="49" t="s">
        <v>29</v>
      </c>
      <c r="G4150" s="49" t="s">
        <v>30</v>
      </c>
      <c r="H4150" s="49" t="s">
        <v>31</v>
      </c>
      <c r="I4150" s="49" t="s">
        <v>30</v>
      </c>
      <c r="J4150" s="49"/>
      <c r="K4150" s="49"/>
      <c r="L4150" s="49"/>
      <c r="M4150" s="49" t="s">
        <v>151</v>
      </c>
      <c r="N4150" s="49">
        <v>1997.0</v>
      </c>
      <c r="O4150" s="49" t="s">
        <v>388</v>
      </c>
      <c r="P4150" s="49">
        <v>1.0</v>
      </c>
      <c r="Q4150" s="56"/>
      <c r="R4150" s="54"/>
      <c r="S4150" s="185"/>
      <c r="T4150" s="185"/>
      <c r="U4150" s="185"/>
      <c r="V4150" s="185"/>
      <c r="W4150" s="185"/>
      <c r="X4150" s="185"/>
      <c r="Y4150" s="284"/>
      <c r="Z4150" s="284"/>
      <c r="AA4150" s="284"/>
      <c r="AB4150" s="284"/>
      <c r="AC4150" s="284"/>
      <c r="AD4150" s="284"/>
      <c r="AE4150" s="284"/>
      <c r="AF4150" s="284"/>
      <c r="AG4150" s="284"/>
      <c r="AH4150" s="284"/>
      <c r="AI4150" s="284"/>
      <c r="AJ4150" s="284"/>
      <c r="AK4150" s="284"/>
      <c r="AL4150" s="284"/>
    </row>
    <row r="4151" ht="15.75" customHeight="1">
      <c r="A4151" s="115">
        <f t="shared" si="29"/>
        <v>4970</v>
      </c>
      <c r="B4151" s="49"/>
      <c r="C4151" s="272"/>
      <c r="D4151" s="55" t="s">
        <v>13716</v>
      </c>
      <c r="E4151" s="49" t="s">
        <v>144</v>
      </c>
      <c r="F4151" s="49" t="s">
        <v>29</v>
      </c>
      <c r="G4151" s="49" t="s">
        <v>30</v>
      </c>
      <c r="H4151" s="49" t="s">
        <v>31</v>
      </c>
      <c r="I4151" s="49" t="s">
        <v>30</v>
      </c>
      <c r="J4151" s="49"/>
      <c r="K4151" s="49"/>
      <c r="L4151" s="49"/>
      <c r="M4151" s="49" t="s">
        <v>151</v>
      </c>
      <c r="N4151" s="49">
        <v>2010.0</v>
      </c>
      <c r="O4151" s="49" t="s">
        <v>388</v>
      </c>
      <c r="P4151" s="49">
        <v>1.0</v>
      </c>
      <c r="Q4151" s="56"/>
      <c r="R4151" s="54"/>
      <c r="S4151" s="185"/>
      <c r="T4151" s="185"/>
      <c r="U4151" s="185"/>
      <c r="V4151" s="185"/>
      <c r="W4151" s="185"/>
      <c r="X4151" s="185"/>
      <c r="Y4151" s="284"/>
      <c r="Z4151" s="284"/>
      <c r="AA4151" s="284"/>
      <c r="AB4151" s="284"/>
      <c r="AC4151" s="284"/>
      <c r="AD4151" s="284"/>
      <c r="AE4151" s="284"/>
      <c r="AF4151" s="284"/>
      <c r="AG4151" s="284"/>
      <c r="AH4151" s="284"/>
      <c r="AI4151" s="284"/>
      <c r="AJ4151" s="284"/>
      <c r="AK4151" s="284"/>
      <c r="AL4151" s="284"/>
    </row>
    <row r="4152" ht="15.75" customHeight="1">
      <c r="A4152" s="115">
        <f t="shared" si="29"/>
        <v>4971</v>
      </c>
      <c r="B4152" s="49"/>
      <c r="C4152" s="272"/>
      <c r="D4152" s="55" t="s">
        <v>13717</v>
      </c>
      <c r="E4152" s="49" t="s">
        <v>144</v>
      </c>
      <c r="F4152" s="49" t="s">
        <v>29</v>
      </c>
      <c r="G4152" s="49" t="s">
        <v>30</v>
      </c>
      <c r="H4152" s="49" t="s">
        <v>31</v>
      </c>
      <c r="I4152" s="49" t="s">
        <v>30</v>
      </c>
      <c r="J4152" s="49"/>
      <c r="K4152" s="49"/>
      <c r="L4152" s="49"/>
      <c r="M4152" s="49" t="s">
        <v>151</v>
      </c>
      <c r="N4152" s="49">
        <v>2009.0</v>
      </c>
      <c r="O4152" s="49" t="s">
        <v>388</v>
      </c>
      <c r="P4152" s="49">
        <v>1.0</v>
      </c>
      <c r="Q4152" s="56"/>
      <c r="R4152" s="54"/>
      <c r="S4152" s="185"/>
      <c r="T4152" s="185"/>
      <c r="U4152" s="185"/>
      <c r="V4152" s="185"/>
      <c r="W4152" s="185"/>
      <c r="X4152" s="185"/>
      <c r="Y4152" s="284"/>
      <c r="Z4152" s="284"/>
      <c r="AA4152" s="284"/>
      <c r="AB4152" s="284"/>
      <c r="AC4152" s="284"/>
      <c r="AD4152" s="284"/>
      <c r="AE4152" s="284"/>
      <c r="AF4152" s="284"/>
      <c r="AG4152" s="284"/>
      <c r="AH4152" s="284"/>
      <c r="AI4152" s="284"/>
      <c r="AJ4152" s="284"/>
      <c r="AK4152" s="284"/>
      <c r="AL4152" s="284"/>
    </row>
    <row r="4153" ht="15.75" customHeight="1">
      <c r="A4153" s="115">
        <f t="shared" si="29"/>
        <v>4972</v>
      </c>
      <c r="B4153" s="49" t="s">
        <v>13398</v>
      </c>
      <c r="C4153" s="272"/>
      <c r="D4153" s="55" t="s">
        <v>13718</v>
      </c>
      <c r="E4153" s="49" t="s">
        <v>144</v>
      </c>
      <c r="F4153" s="49" t="s">
        <v>29</v>
      </c>
      <c r="G4153" s="49" t="s">
        <v>30</v>
      </c>
      <c r="H4153" s="49"/>
      <c r="I4153" s="49" t="s">
        <v>30</v>
      </c>
      <c r="J4153" s="49">
        <v>334.0</v>
      </c>
      <c r="K4153" s="49"/>
      <c r="L4153" s="49" t="s">
        <v>13719</v>
      </c>
      <c r="M4153" s="49" t="s">
        <v>13720</v>
      </c>
      <c r="N4153" s="49">
        <v>1998.0</v>
      </c>
      <c r="O4153" s="49" t="s">
        <v>388</v>
      </c>
      <c r="P4153" s="49">
        <v>1.0</v>
      </c>
      <c r="Q4153" s="49"/>
      <c r="R4153" s="54"/>
      <c r="S4153" s="185"/>
      <c r="T4153" s="185"/>
      <c r="U4153" s="185"/>
      <c r="V4153" s="185"/>
      <c r="W4153" s="185"/>
      <c r="X4153" s="185"/>
      <c r="Y4153" s="284"/>
      <c r="Z4153" s="284"/>
      <c r="AA4153" s="284"/>
      <c r="AB4153" s="284"/>
      <c r="AC4153" s="284"/>
      <c r="AD4153" s="284"/>
      <c r="AE4153" s="284"/>
      <c r="AF4153" s="284"/>
      <c r="AG4153" s="284"/>
      <c r="AH4153" s="284"/>
      <c r="AI4153" s="284"/>
      <c r="AJ4153" s="284"/>
      <c r="AK4153" s="284"/>
      <c r="AL4153" s="284"/>
    </row>
    <row r="4154" ht="15.75" customHeight="1">
      <c r="A4154" s="115">
        <f t="shared" si="29"/>
        <v>4973</v>
      </c>
      <c r="B4154" s="49"/>
      <c r="C4154" s="272"/>
      <c r="D4154" s="55" t="s">
        <v>12970</v>
      </c>
      <c r="E4154" s="49" t="s">
        <v>144</v>
      </c>
      <c r="F4154" s="49" t="s">
        <v>29</v>
      </c>
      <c r="G4154" s="49" t="s">
        <v>30</v>
      </c>
      <c r="H4154" s="49"/>
      <c r="I4154" s="49" t="s">
        <v>30</v>
      </c>
      <c r="J4154" s="49">
        <f>236+9</f>
        <v>245</v>
      </c>
      <c r="K4154" s="49"/>
      <c r="L4154" s="49" t="s">
        <v>13721</v>
      </c>
      <c r="M4154" s="49" t="s">
        <v>13722</v>
      </c>
      <c r="N4154" s="49">
        <v>2007.0</v>
      </c>
      <c r="O4154" s="49" t="s">
        <v>388</v>
      </c>
      <c r="P4154" s="49">
        <v>2.0</v>
      </c>
      <c r="Q4154" s="56"/>
      <c r="R4154" s="54"/>
      <c r="S4154" s="185"/>
      <c r="T4154" s="185"/>
      <c r="U4154" s="185"/>
      <c r="V4154" s="185"/>
      <c r="W4154" s="185"/>
      <c r="X4154" s="185"/>
      <c r="Y4154" s="284"/>
      <c r="Z4154" s="284"/>
      <c r="AA4154" s="284"/>
      <c r="AB4154" s="284"/>
      <c r="AC4154" s="284"/>
      <c r="AD4154" s="284"/>
      <c r="AE4154" s="284"/>
      <c r="AF4154" s="284"/>
      <c r="AG4154" s="284"/>
      <c r="AH4154" s="284"/>
      <c r="AI4154" s="284"/>
      <c r="AJ4154" s="284"/>
      <c r="AK4154" s="284"/>
      <c r="AL4154" s="284"/>
    </row>
    <row r="4155" ht="15.75" customHeight="1">
      <c r="A4155" s="115">
        <f t="shared" si="29"/>
        <v>4974</v>
      </c>
      <c r="B4155" s="49"/>
      <c r="C4155" s="272"/>
      <c r="D4155" s="55" t="s">
        <v>13723</v>
      </c>
      <c r="E4155" s="49"/>
      <c r="F4155" s="49"/>
      <c r="G4155" s="49"/>
      <c r="H4155" s="49" t="s">
        <v>31</v>
      </c>
      <c r="I4155" s="49"/>
      <c r="J4155" s="49"/>
      <c r="K4155" s="49"/>
      <c r="L4155" s="49"/>
      <c r="M4155" s="49"/>
      <c r="N4155" s="49"/>
      <c r="O4155" s="49" t="s">
        <v>388</v>
      </c>
      <c r="P4155" s="49">
        <v>1.0</v>
      </c>
      <c r="Q4155" s="56"/>
      <c r="R4155" s="54"/>
      <c r="S4155" s="185"/>
      <c r="T4155" s="185"/>
      <c r="U4155" s="185"/>
      <c r="V4155" s="185"/>
      <c r="W4155" s="185"/>
      <c r="X4155" s="185"/>
      <c r="Y4155" s="284"/>
      <c r="Z4155" s="284"/>
      <c r="AA4155" s="284"/>
      <c r="AB4155" s="284"/>
      <c r="AC4155" s="284"/>
      <c r="AD4155" s="284"/>
      <c r="AE4155" s="284"/>
      <c r="AF4155" s="284"/>
      <c r="AG4155" s="284"/>
      <c r="AH4155" s="284"/>
      <c r="AI4155" s="284"/>
      <c r="AJ4155" s="284"/>
      <c r="AK4155" s="284"/>
      <c r="AL4155" s="284"/>
    </row>
    <row r="4156" ht="15.75" customHeight="1">
      <c r="A4156" s="115">
        <f t="shared" si="29"/>
        <v>4975</v>
      </c>
      <c r="B4156" s="49" t="s">
        <v>13724</v>
      </c>
      <c r="C4156" s="272"/>
      <c r="D4156" s="55" t="s">
        <v>13725</v>
      </c>
      <c r="E4156" s="49" t="s">
        <v>144</v>
      </c>
      <c r="F4156" s="49" t="s">
        <v>29</v>
      </c>
      <c r="G4156" s="49" t="s">
        <v>30</v>
      </c>
      <c r="H4156" s="49"/>
      <c r="I4156" s="49" t="s">
        <v>30</v>
      </c>
      <c r="J4156" s="49">
        <v>140.0</v>
      </c>
      <c r="K4156" s="49"/>
      <c r="L4156" s="49" t="s">
        <v>13726</v>
      </c>
      <c r="M4156" s="49" t="s">
        <v>3991</v>
      </c>
      <c r="N4156" s="49">
        <v>2015.0</v>
      </c>
      <c r="O4156" s="49" t="s">
        <v>388</v>
      </c>
      <c r="P4156" s="49">
        <v>1.0</v>
      </c>
      <c r="Q4156" s="56"/>
      <c r="R4156" s="54"/>
      <c r="S4156" s="185"/>
      <c r="T4156" s="185"/>
      <c r="U4156" s="185"/>
      <c r="V4156" s="185"/>
      <c r="W4156" s="185"/>
      <c r="X4156" s="185"/>
      <c r="Y4156" s="284"/>
      <c r="Z4156" s="284"/>
      <c r="AA4156" s="284"/>
      <c r="AB4156" s="284"/>
      <c r="AC4156" s="284"/>
      <c r="AD4156" s="284"/>
      <c r="AE4156" s="284"/>
      <c r="AF4156" s="284"/>
      <c r="AG4156" s="284"/>
      <c r="AH4156" s="284"/>
      <c r="AI4156" s="284"/>
      <c r="AJ4156" s="284"/>
      <c r="AK4156" s="284"/>
      <c r="AL4156" s="284"/>
    </row>
    <row r="4157" ht="15.75" customHeight="1">
      <c r="A4157" s="115">
        <f t="shared" si="29"/>
        <v>4976</v>
      </c>
      <c r="B4157" s="49"/>
      <c r="C4157" s="272"/>
      <c r="D4157" s="55" t="s">
        <v>13727</v>
      </c>
      <c r="E4157" s="49" t="s">
        <v>144</v>
      </c>
      <c r="F4157" s="49" t="s">
        <v>29</v>
      </c>
      <c r="G4157" s="49" t="s">
        <v>30</v>
      </c>
      <c r="H4157" s="49" t="s">
        <v>31</v>
      </c>
      <c r="I4157" s="49" t="s">
        <v>30</v>
      </c>
      <c r="J4157" s="49"/>
      <c r="K4157" s="49"/>
      <c r="L4157" s="49"/>
      <c r="M4157" s="49" t="s">
        <v>151</v>
      </c>
      <c r="N4157" s="49">
        <v>2012.0</v>
      </c>
      <c r="O4157" s="49" t="s">
        <v>388</v>
      </c>
      <c r="P4157" s="49">
        <v>1.0</v>
      </c>
      <c r="Q4157" s="56"/>
      <c r="R4157" s="54"/>
      <c r="S4157" s="185"/>
      <c r="T4157" s="185"/>
      <c r="U4157" s="185"/>
      <c r="V4157" s="185"/>
      <c r="W4157" s="185"/>
      <c r="X4157" s="185"/>
      <c r="Y4157" s="284"/>
      <c r="Z4157" s="284"/>
      <c r="AA4157" s="284"/>
      <c r="AB4157" s="284"/>
      <c r="AC4157" s="284"/>
      <c r="AD4157" s="284"/>
      <c r="AE4157" s="284"/>
      <c r="AF4157" s="284"/>
      <c r="AG4157" s="284"/>
      <c r="AH4157" s="284"/>
      <c r="AI4157" s="284"/>
      <c r="AJ4157" s="284"/>
      <c r="AK4157" s="284"/>
      <c r="AL4157" s="284"/>
    </row>
    <row r="4158" ht="15.75" customHeight="1">
      <c r="A4158" s="115">
        <f t="shared" si="29"/>
        <v>4977</v>
      </c>
      <c r="B4158" s="49" t="s">
        <v>13728</v>
      </c>
      <c r="C4158" s="272"/>
      <c r="D4158" s="55" t="s">
        <v>13729</v>
      </c>
      <c r="E4158" s="49"/>
      <c r="F4158" s="49" t="s">
        <v>740</v>
      </c>
      <c r="G4158" s="49" t="s">
        <v>30</v>
      </c>
      <c r="H4158" s="49"/>
      <c r="I4158" s="49" t="s">
        <v>30</v>
      </c>
      <c r="J4158" s="49">
        <v>1646.0</v>
      </c>
      <c r="K4158" s="49"/>
      <c r="L4158" s="49" t="s">
        <v>13730</v>
      </c>
      <c r="M4158" s="49" t="s">
        <v>2494</v>
      </c>
      <c r="N4158" s="49">
        <v>1996.0</v>
      </c>
      <c r="O4158" s="49" t="s">
        <v>388</v>
      </c>
      <c r="P4158" s="49">
        <v>1.0</v>
      </c>
      <c r="Q4158" s="56"/>
      <c r="R4158" s="54"/>
      <c r="S4158" s="185"/>
      <c r="T4158" s="185"/>
      <c r="U4158" s="185"/>
      <c r="V4158" s="185"/>
      <c r="W4158" s="185"/>
      <c r="X4158" s="185"/>
      <c r="Y4158" s="284"/>
      <c r="Z4158" s="284"/>
      <c r="AA4158" s="284"/>
      <c r="AB4158" s="284"/>
      <c r="AC4158" s="284"/>
      <c r="AD4158" s="284"/>
      <c r="AE4158" s="284"/>
      <c r="AF4158" s="284"/>
      <c r="AG4158" s="284"/>
      <c r="AH4158" s="284"/>
      <c r="AI4158" s="284"/>
      <c r="AJ4158" s="284"/>
      <c r="AK4158" s="284"/>
      <c r="AL4158" s="284"/>
    </row>
    <row r="4159" ht="15.75" customHeight="1">
      <c r="A4159" s="115">
        <f t="shared" si="29"/>
        <v>4978</v>
      </c>
      <c r="B4159" s="49"/>
      <c r="C4159" s="272"/>
      <c r="D4159" s="55" t="s">
        <v>13731</v>
      </c>
      <c r="E4159" s="49" t="s">
        <v>144</v>
      </c>
      <c r="F4159" s="49" t="s">
        <v>29</v>
      </c>
      <c r="G4159" s="49" t="s">
        <v>30</v>
      </c>
      <c r="H4159" s="49" t="s">
        <v>31</v>
      </c>
      <c r="I4159" s="49" t="s">
        <v>30</v>
      </c>
      <c r="J4159" s="49"/>
      <c r="K4159" s="49"/>
      <c r="L4159" s="49"/>
      <c r="M4159" s="49" t="s">
        <v>151</v>
      </c>
      <c r="N4159" s="49">
        <v>2011.0</v>
      </c>
      <c r="O4159" s="49" t="s">
        <v>388</v>
      </c>
      <c r="P4159" s="49">
        <v>1.0</v>
      </c>
      <c r="Q4159" s="56"/>
      <c r="R4159" s="54"/>
      <c r="S4159" s="185"/>
      <c r="T4159" s="185"/>
      <c r="U4159" s="185"/>
      <c r="V4159" s="185"/>
      <c r="W4159" s="185"/>
      <c r="X4159" s="185"/>
      <c r="Y4159" s="284"/>
      <c r="Z4159" s="284"/>
      <c r="AA4159" s="284"/>
      <c r="AB4159" s="284"/>
      <c r="AC4159" s="284"/>
      <c r="AD4159" s="284"/>
      <c r="AE4159" s="284"/>
      <c r="AF4159" s="284"/>
      <c r="AG4159" s="284"/>
      <c r="AH4159" s="284"/>
      <c r="AI4159" s="284"/>
      <c r="AJ4159" s="284"/>
      <c r="AK4159" s="284"/>
      <c r="AL4159" s="284"/>
    </row>
    <row r="4160" ht="15.75" customHeight="1">
      <c r="A4160" s="115">
        <f t="shared" si="29"/>
        <v>4979</v>
      </c>
      <c r="B4160" s="49" t="s">
        <v>13732</v>
      </c>
      <c r="C4160" s="272"/>
      <c r="D4160" s="55" t="s">
        <v>13733</v>
      </c>
      <c r="E4160" s="49"/>
      <c r="F4160" s="49" t="s">
        <v>740</v>
      </c>
      <c r="G4160" s="49" t="s">
        <v>30</v>
      </c>
      <c r="H4160" s="49"/>
      <c r="I4160" s="49" t="s">
        <v>30</v>
      </c>
      <c r="J4160" s="49">
        <v>943.0</v>
      </c>
      <c r="K4160" s="49" t="s">
        <v>13734</v>
      </c>
      <c r="L4160" s="49" t="s">
        <v>13735</v>
      </c>
      <c r="M4160" s="49" t="s">
        <v>161</v>
      </c>
      <c r="N4160" s="49">
        <v>1969.0</v>
      </c>
      <c r="O4160" s="49" t="s">
        <v>388</v>
      </c>
      <c r="P4160" s="49">
        <v>1.0</v>
      </c>
      <c r="Q4160" s="56"/>
      <c r="R4160" s="54"/>
      <c r="S4160" s="185"/>
      <c r="T4160" s="185"/>
      <c r="U4160" s="185"/>
      <c r="V4160" s="185"/>
      <c r="W4160" s="185"/>
      <c r="X4160" s="185"/>
      <c r="Y4160" s="284"/>
      <c r="Z4160" s="284"/>
      <c r="AA4160" s="284"/>
      <c r="AB4160" s="284"/>
      <c r="AC4160" s="284"/>
      <c r="AD4160" s="284"/>
      <c r="AE4160" s="284"/>
      <c r="AF4160" s="284"/>
      <c r="AG4160" s="284"/>
      <c r="AH4160" s="284"/>
      <c r="AI4160" s="284"/>
      <c r="AJ4160" s="284"/>
      <c r="AK4160" s="284"/>
      <c r="AL4160" s="284"/>
    </row>
    <row r="4161" ht="15.75" customHeight="1">
      <c r="A4161" s="115">
        <f t="shared" si="29"/>
        <v>4980</v>
      </c>
      <c r="B4161" s="49"/>
      <c r="C4161" s="272"/>
      <c r="D4161" s="55" t="s">
        <v>13736</v>
      </c>
      <c r="E4161" s="49" t="s">
        <v>144</v>
      </c>
      <c r="F4161" s="49" t="s">
        <v>29</v>
      </c>
      <c r="G4161" s="49" t="s">
        <v>30</v>
      </c>
      <c r="H4161" s="49" t="s">
        <v>31</v>
      </c>
      <c r="I4161" s="49" t="s">
        <v>30</v>
      </c>
      <c r="J4161" s="49"/>
      <c r="K4161" s="49"/>
      <c r="L4161" s="49"/>
      <c r="M4161" s="49" t="s">
        <v>169</v>
      </c>
      <c r="N4161" s="49">
        <v>2011.0</v>
      </c>
      <c r="O4161" s="49" t="s">
        <v>388</v>
      </c>
      <c r="P4161" s="49">
        <v>1.0</v>
      </c>
      <c r="Q4161" s="56"/>
      <c r="R4161" s="54"/>
      <c r="S4161" s="185"/>
      <c r="T4161" s="185"/>
      <c r="U4161" s="185"/>
      <c r="V4161" s="185"/>
      <c r="W4161" s="185"/>
      <c r="X4161" s="185"/>
      <c r="Y4161" s="284"/>
      <c r="Z4161" s="284"/>
      <c r="AA4161" s="284"/>
      <c r="AB4161" s="284"/>
      <c r="AC4161" s="284"/>
      <c r="AD4161" s="284"/>
      <c r="AE4161" s="284"/>
      <c r="AF4161" s="284"/>
      <c r="AG4161" s="284"/>
      <c r="AH4161" s="284"/>
      <c r="AI4161" s="284"/>
      <c r="AJ4161" s="284"/>
      <c r="AK4161" s="284"/>
      <c r="AL4161" s="284"/>
    </row>
    <row r="4162" ht="15.75" customHeight="1">
      <c r="A4162" s="115">
        <f t="shared" si="29"/>
        <v>4981</v>
      </c>
      <c r="B4162" s="49"/>
      <c r="C4162" s="272"/>
      <c r="D4162" s="55" t="s">
        <v>13737</v>
      </c>
      <c r="E4162" s="49" t="s">
        <v>144</v>
      </c>
      <c r="F4162" s="49" t="s">
        <v>29</v>
      </c>
      <c r="G4162" s="49" t="s">
        <v>30</v>
      </c>
      <c r="H4162" s="49" t="s">
        <v>31</v>
      </c>
      <c r="I4162" s="49" t="s">
        <v>30</v>
      </c>
      <c r="J4162" s="49"/>
      <c r="K4162" s="49"/>
      <c r="L4162" s="49"/>
      <c r="M4162" s="49"/>
      <c r="N4162" s="49">
        <v>2010.0</v>
      </c>
      <c r="O4162" s="49" t="s">
        <v>388</v>
      </c>
      <c r="P4162" s="49">
        <v>1.0</v>
      </c>
      <c r="Q4162" s="56"/>
      <c r="R4162" s="54"/>
      <c r="S4162" s="185"/>
      <c r="T4162" s="185"/>
      <c r="U4162" s="185"/>
      <c r="V4162" s="185"/>
      <c r="W4162" s="185"/>
      <c r="X4162" s="185"/>
      <c r="Y4162" s="284"/>
      <c r="Z4162" s="284"/>
      <c r="AA4162" s="284"/>
      <c r="AB4162" s="284"/>
      <c r="AC4162" s="284"/>
      <c r="AD4162" s="284"/>
      <c r="AE4162" s="284"/>
      <c r="AF4162" s="284"/>
      <c r="AG4162" s="284"/>
      <c r="AH4162" s="284"/>
      <c r="AI4162" s="284"/>
      <c r="AJ4162" s="284"/>
      <c r="AK4162" s="284"/>
      <c r="AL4162" s="284"/>
    </row>
    <row r="4163" ht="15.75" customHeight="1">
      <c r="A4163" s="115">
        <f t="shared" si="29"/>
        <v>4982</v>
      </c>
      <c r="B4163" s="49"/>
      <c r="C4163" s="272"/>
      <c r="D4163" s="55" t="s">
        <v>13738</v>
      </c>
      <c r="E4163" s="49" t="s">
        <v>144</v>
      </c>
      <c r="F4163" s="49" t="s">
        <v>29</v>
      </c>
      <c r="G4163" s="49" t="s">
        <v>30</v>
      </c>
      <c r="H4163" s="49" t="s">
        <v>31</v>
      </c>
      <c r="I4163" s="49" t="s">
        <v>30</v>
      </c>
      <c r="J4163" s="49"/>
      <c r="K4163" s="49"/>
      <c r="L4163" s="49"/>
      <c r="M4163" s="49" t="s">
        <v>151</v>
      </c>
      <c r="N4163" s="49">
        <v>2011.0</v>
      </c>
      <c r="O4163" s="49" t="s">
        <v>388</v>
      </c>
      <c r="P4163" s="49">
        <v>1.0</v>
      </c>
      <c r="Q4163" s="56"/>
      <c r="R4163" s="54"/>
      <c r="S4163" s="185"/>
      <c r="T4163" s="185"/>
      <c r="U4163" s="185"/>
      <c r="V4163" s="185"/>
      <c r="W4163" s="185"/>
      <c r="X4163" s="185"/>
      <c r="Y4163" s="284"/>
      <c r="Z4163" s="284"/>
      <c r="AA4163" s="284"/>
      <c r="AB4163" s="284"/>
      <c r="AC4163" s="284"/>
      <c r="AD4163" s="284"/>
      <c r="AE4163" s="284"/>
      <c r="AF4163" s="284"/>
      <c r="AG4163" s="284"/>
      <c r="AH4163" s="284"/>
      <c r="AI4163" s="284"/>
      <c r="AJ4163" s="284"/>
      <c r="AK4163" s="284"/>
      <c r="AL4163" s="284"/>
    </row>
    <row r="4164" ht="15.75" customHeight="1">
      <c r="A4164" s="115">
        <f t="shared" si="29"/>
        <v>4983</v>
      </c>
      <c r="B4164" s="49"/>
      <c r="C4164" s="272"/>
      <c r="D4164" s="55" t="s">
        <v>13739</v>
      </c>
      <c r="E4164" s="49"/>
      <c r="F4164" s="49" t="s">
        <v>29</v>
      </c>
      <c r="G4164" s="49" t="s">
        <v>30</v>
      </c>
      <c r="H4164" s="49"/>
      <c r="I4164" s="49" t="s">
        <v>13317</v>
      </c>
      <c r="J4164" s="49">
        <v>120.0</v>
      </c>
      <c r="K4164" s="49"/>
      <c r="L4164" s="49" t="s">
        <v>13740</v>
      </c>
      <c r="M4164" s="49"/>
      <c r="N4164" s="49"/>
      <c r="O4164" s="49" t="s">
        <v>388</v>
      </c>
      <c r="P4164" s="49">
        <v>1.0</v>
      </c>
      <c r="Q4164" s="56"/>
      <c r="R4164" s="54"/>
      <c r="S4164" s="185"/>
      <c r="T4164" s="185"/>
      <c r="U4164" s="185"/>
      <c r="V4164" s="185"/>
      <c r="W4164" s="185"/>
      <c r="X4164" s="185"/>
      <c r="Y4164" s="284"/>
      <c r="Z4164" s="284"/>
      <c r="AA4164" s="284"/>
      <c r="AB4164" s="284"/>
      <c r="AC4164" s="284"/>
      <c r="AD4164" s="284"/>
      <c r="AE4164" s="284"/>
      <c r="AF4164" s="284"/>
      <c r="AG4164" s="284"/>
      <c r="AH4164" s="284"/>
      <c r="AI4164" s="284"/>
      <c r="AJ4164" s="284"/>
      <c r="AK4164" s="284"/>
      <c r="AL4164" s="284"/>
    </row>
    <row r="4165" ht="15.75" customHeight="1">
      <c r="A4165" s="115">
        <f t="shared" si="29"/>
        <v>4984</v>
      </c>
      <c r="B4165" s="49"/>
      <c r="C4165" s="272"/>
      <c r="D4165" s="55" t="s">
        <v>13741</v>
      </c>
      <c r="E4165" s="49" t="s">
        <v>144</v>
      </c>
      <c r="F4165" s="49" t="s">
        <v>29</v>
      </c>
      <c r="G4165" s="49" t="s">
        <v>30</v>
      </c>
      <c r="H4165" s="49" t="s">
        <v>31</v>
      </c>
      <c r="I4165" s="49" t="s">
        <v>30</v>
      </c>
      <c r="J4165" s="49"/>
      <c r="K4165" s="49"/>
      <c r="L4165" s="49" t="s">
        <v>31</v>
      </c>
      <c r="M4165" s="49" t="s">
        <v>13667</v>
      </c>
      <c r="N4165" s="49"/>
      <c r="O4165" s="49" t="s">
        <v>388</v>
      </c>
      <c r="P4165" s="49">
        <v>1.0</v>
      </c>
      <c r="Q4165" s="56"/>
      <c r="R4165" s="54"/>
      <c r="S4165" s="185"/>
      <c r="T4165" s="185"/>
      <c r="U4165" s="185"/>
      <c r="V4165" s="185"/>
      <c r="W4165" s="185"/>
      <c r="X4165" s="185"/>
      <c r="Y4165" s="284"/>
      <c r="Z4165" s="284"/>
      <c r="AA4165" s="284"/>
      <c r="AB4165" s="284"/>
      <c r="AC4165" s="284"/>
      <c r="AD4165" s="284"/>
      <c r="AE4165" s="284"/>
      <c r="AF4165" s="284"/>
      <c r="AG4165" s="284"/>
      <c r="AH4165" s="284"/>
      <c r="AI4165" s="284"/>
      <c r="AJ4165" s="284"/>
      <c r="AK4165" s="284"/>
      <c r="AL4165" s="284"/>
    </row>
    <row r="4166" ht="15.75" customHeight="1">
      <c r="A4166" s="115">
        <f t="shared" si="29"/>
        <v>4985</v>
      </c>
      <c r="B4166" s="49"/>
      <c r="C4166" s="272"/>
      <c r="D4166" s="55" t="s">
        <v>13741</v>
      </c>
      <c r="E4166" s="49"/>
      <c r="F4166" s="49" t="s">
        <v>29</v>
      </c>
      <c r="G4166" s="49" t="s">
        <v>30</v>
      </c>
      <c r="H4166" s="49"/>
      <c r="I4166" s="49" t="s">
        <v>30</v>
      </c>
      <c r="J4166" s="49">
        <v>48.0</v>
      </c>
      <c r="K4166" s="49" t="s">
        <v>13663</v>
      </c>
      <c r="L4166" s="49"/>
      <c r="M4166" s="49" t="s">
        <v>13665</v>
      </c>
      <c r="N4166" s="49">
        <v>1993.0</v>
      </c>
      <c r="O4166" s="49" t="s">
        <v>388</v>
      </c>
      <c r="P4166" s="49">
        <v>3.0</v>
      </c>
      <c r="Q4166" s="56"/>
      <c r="R4166" s="54"/>
      <c r="S4166" s="185"/>
      <c r="T4166" s="185"/>
      <c r="U4166" s="185"/>
      <c r="V4166" s="185"/>
      <c r="W4166" s="185"/>
      <c r="X4166" s="185"/>
      <c r="Y4166" s="284"/>
      <c r="Z4166" s="284"/>
      <c r="AA4166" s="284"/>
      <c r="AB4166" s="284"/>
      <c r="AC4166" s="284"/>
      <c r="AD4166" s="284"/>
      <c r="AE4166" s="284"/>
      <c r="AF4166" s="284"/>
      <c r="AG4166" s="284"/>
      <c r="AH4166" s="284"/>
      <c r="AI4166" s="284"/>
      <c r="AJ4166" s="284"/>
      <c r="AK4166" s="284"/>
      <c r="AL4166" s="284"/>
    </row>
    <row r="4167" ht="15.75" customHeight="1">
      <c r="A4167" s="115">
        <f t="shared" si="29"/>
        <v>4986</v>
      </c>
      <c r="B4167" s="49"/>
      <c r="C4167" s="272"/>
      <c r="D4167" s="55" t="s">
        <v>13742</v>
      </c>
      <c r="E4167" s="49" t="s">
        <v>144</v>
      </c>
      <c r="F4167" s="49" t="s">
        <v>29</v>
      </c>
      <c r="G4167" s="49" t="s">
        <v>30</v>
      </c>
      <c r="H4167" s="49" t="s">
        <v>31</v>
      </c>
      <c r="I4167" s="49" t="s">
        <v>30</v>
      </c>
      <c r="J4167" s="49"/>
      <c r="K4167" s="49"/>
      <c r="L4167" s="49"/>
      <c r="M4167" s="49" t="s">
        <v>4762</v>
      </c>
      <c r="N4167" s="49">
        <v>2011.0</v>
      </c>
      <c r="O4167" s="49" t="s">
        <v>388</v>
      </c>
      <c r="P4167" s="49">
        <v>1.0</v>
      </c>
      <c r="Q4167" s="56"/>
      <c r="R4167" s="54"/>
      <c r="S4167" s="185"/>
      <c r="T4167" s="185"/>
      <c r="U4167" s="185"/>
      <c r="V4167" s="185"/>
      <c r="W4167" s="185"/>
      <c r="X4167" s="185"/>
      <c r="Y4167" s="284"/>
      <c r="Z4167" s="284"/>
      <c r="AA4167" s="284"/>
      <c r="AB4167" s="284"/>
      <c r="AC4167" s="284"/>
      <c r="AD4167" s="284"/>
      <c r="AE4167" s="284"/>
      <c r="AF4167" s="284"/>
      <c r="AG4167" s="284"/>
      <c r="AH4167" s="284"/>
      <c r="AI4167" s="284"/>
      <c r="AJ4167" s="284"/>
      <c r="AK4167" s="284"/>
      <c r="AL4167" s="284"/>
    </row>
    <row r="4168" ht="15.75" customHeight="1">
      <c r="A4168" s="115">
        <f t="shared" si="29"/>
        <v>4987</v>
      </c>
      <c r="B4168" s="49" t="s">
        <v>1566</v>
      </c>
      <c r="C4168" s="272"/>
      <c r="D4168" s="55" t="s">
        <v>13743</v>
      </c>
      <c r="E4168" s="49" t="s">
        <v>28</v>
      </c>
      <c r="F4168" s="49" t="s">
        <v>29</v>
      </c>
      <c r="G4168" s="49" t="s">
        <v>37</v>
      </c>
      <c r="H4168" s="49"/>
      <c r="I4168" s="49" t="s">
        <v>38</v>
      </c>
      <c r="J4168" s="49"/>
      <c r="K4168" s="49"/>
      <c r="L4168" s="49" t="s">
        <v>13744</v>
      </c>
      <c r="M4168" s="49"/>
      <c r="N4168" s="49"/>
      <c r="O4168" s="49" t="s">
        <v>388</v>
      </c>
      <c r="P4168" s="49">
        <v>1.0</v>
      </c>
      <c r="Q4168" s="56"/>
      <c r="R4168" s="54"/>
      <c r="S4168" s="185"/>
      <c r="T4168" s="185"/>
      <c r="U4168" s="185"/>
      <c r="V4168" s="185"/>
      <c r="W4168" s="185"/>
      <c r="X4168" s="185"/>
      <c r="Y4168" s="284"/>
      <c r="Z4168" s="284"/>
      <c r="AA4168" s="284"/>
      <c r="AB4168" s="284"/>
      <c r="AC4168" s="284"/>
      <c r="AD4168" s="284"/>
      <c r="AE4168" s="284"/>
      <c r="AF4168" s="284"/>
      <c r="AG4168" s="284"/>
      <c r="AH4168" s="284"/>
      <c r="AI4168" s="284"/>
      <c r="AJ4168" s="284"/>
      <c r="AK4168" s="284"/>
      <c r="AL4168" s="284"/>
    </row>
    <row r="4169" ht="15.75" customHeight="1">
      <c r="A4169" s="115">
        <f t="shared" si="29"/>
        <v>4988</v>
      </c>
      <c r="B4169" s="49"/>
      <c r="C4169" s="272"/>
      <c r="D4169" s="55" t="s">
        <v>13745</v>
      </c>
      <c r="E4169" s="49" t="s">
        <v>144</v>
      </c>
      <c r="F4169" s="49" t="s">
        <v>29</v>
      </c>
      <c r="G4169" s="49" t="s">
        <v>30</v>
      </c>
      <c r="H4169" s="49" t="s">
        <v>31</v>
      </c>
      <c r="I4169" s="49" t="s">
        <v>30</v>
      </c>
      <c r="J4169" s="49"/>
      <c r="K4169" s="49"/>
      <c r="L4169" s="49"/>
      <c r="M4169" s="49" t="s">
        <v>151</v>
      </c>
      <c r="N4169" s="49">
        <v>2011.0</v>
      </c>
      <c r="O4169" s="49" t="s">
        <v>388</v>
      </c>
      <c r="P4169" s="49">
        <v>1.0</v>
      </c>
      <c r="Q4169" s="56"/>
      <c r="R4169" s="54"/>
      <c r="S4169" s="185"/>
      <c r="T4169" s="185"/>
      <c r="U4169" s="185"/>
      <c r="V4169" s="185"/>
      <c r="W4169" s="185"/>
      <c r="X4169" s="185"/>
      <c r="Y4169" s="284"/>
      <c r="Z4169" s="284"/>
      <c r="AA4169" s="284"/>
      <c r="AB4169" s="284"/>
      <c r="AC4169" s="284"/>
      <c r="AD4169" s="284"/>
      <c r="AE4169" s="284"/>
      <c r="AF4169" s="284"/>
      <c r="AG4169" s="284"/>
      <c r="AH4169" s="284"/>
      <c r="AI4169" s="284"/>
      <c r="AJ4169" s="284"/>
      <c r="AK4169" s="284"/>
      <c r="AL4169" s="284"/>
    </row>
    <row r="4170" ht="15.75" customHeight="1">
      <c r="A4170" s="115">
        <f t="shared" si="29"/>
        <v>4989</v>
      </c>
      <c r="B4170" s="49"/>
      <c r="C4170" s="272"/>
      <c r="D4170" s="55" t="s">
        <v>13745</v>
      </c>
      <c r="E4170" s="49" t="s">
        <v>144</v>
      </c>
      <c r="F4170" s="49" t="s">
        <v>29</v>
      </c>
      <c r="G4170" s="49" t="s">
        <v>30</v>
      </c>
      <c r="H4170" s="49" t="s">
        <v>31</v>
      </c>
      <c r="I4170" s="49" t="s">
        <v>30</v>
      </c>
      <c r="J4170" s="49"/>
      <c r="K4170" s="49"/>
      <c r="L4170" s="49"/>
      <c r="M4170" s="49" t="s">
        <v>151</v>
      </c>
      <c r="N4170" s="49">
        <v>2011.0</v>
      </c>
      <c r="O4170" s="49" t="s">
        <v>388</v>
      </c>
      <c r="P4170" s="49">
        <v>1.0</v>
      </c>
      <c r="Q4170" s="56"/>
      <c r="R4170" s="54"/>
      <c r="S4170" s="185"/>
      <c r="T4170" s="185"/>
      <c r="U4170" s="185"/>
      <c r="V4170" s="185"/>
      <c r="W4170" s="185"/>
      <c r="X4170" s="185"/>
      <c r="Y4170" s="284"/>
      <c r="Z4170" s="284"/>
      <c r="AA4170" s="284"/>
      <c r="AB4170" s="284"/>
      <c r="AC4170" s="284"/>
      <c r="AD4170" s="284"/>
      <c r="AE4170" s="284"/>
      <c r="AF4170" s="284"/>
      <c r="AG4170" s="284"/>
      <c r="AH4170" s="284"/>
      <c r="AI4170" s="284"/>
      <c r="AJ4170" s="284"/>
      <c r="AK4170" s="284"/>
      <c r="AL4170" s="284"/>
    </row>
    <row r="4171" ht="15.75" customHeight="1">
      <c r="A4171" s="115">
        <f t="shared" si="29"/>
        <v>4990</v>
      </c>
      <c r="B4171" s="49"/>
      <c r="C4171" s="272"/>
      <c r="D4171" s="55" t="s">
        <v>13746</v>
      </c>
      <c r="E4171" s="49" t="s">
        <v>144</v>
      </c>
      <c r="F4171" s="49" t="s">
        <v>29</v>
      </c>
      <c r="G4171" s="49" t="s">
        <v>30</v>
      </c>
      <c r="H4171" s="49" t="s">
        <v>31</v>
      </c>
      <c r="I4171" s="49" t="s">
        <v>30</v>
      </c>
      <c r="J4171" s="49"/>
      <c r="K4171" s="49"/>
      <c r="L4171" s="49"/>
      <c r="M4171" s="49" t="s">
        <v>151</v>
      </c>
      <c r="N4171" s="49">
        <v>2004.0</v>
      </c>
      <c r="O4171" s="49" t="s">
        <v>388</v>
      </c>
      <c r="P4171" s="49">
        <v>1.0</v>
      </c>
      <c r="Q4171" s="56"/>
      <c r="R4171" s="54"/>
      <c r="S4171" s="185"/>
      <c r="T4171" s="185"/>
      <c r="U4171" s="185"/>
      <c r="V4171" s="185"/>
      <c r="W4171" s="185"/>
      <c r="X4171" s="185"/>
      <c r="Y4171" s="284"/>
      <c r="Z4171" s="284"/>
      <c r="AA4171" s="284"/>
      <c r="AB4171" s="284"/>
      <c r="AC4171" s="284"/>
      <c r="AD4171" s="284"/>
      <c r="AE4171" s="284"/>
      <c r="AF4171" s="284"/>
      <c r="AG4171" s="284"/>
      <c r="AH4171" s="284"/>
      <c r="AI4171" s="284"/>
      <c r="AJ4171" s="284"/>
      <c r="AK4171" s="284"/>
      <c r="AL4171" s="284"/>
    </row>
    <row r="4172" ht="15.75" customHeight="1">
      <c r="A4172" s="115">
        <f t="shared" si="29"/>
        <v>4991</v>
      </c>
      <c r="B4172" s="49"/>
      <c r="C4172" s="272"/>
      <c r="D4172" s="55" t="s">
        <v>13747</v>
      </c>
      <c r="E4172" s="49" t="s">
        <v>144</v>
      </c>
      <c r="F4172" s="49" t="s">
        <v>29</v>
      </c>
      <c r="G4172" s="49" t="s">
        <v>30</v>
      </c>
      <c r="H4172" s="49" t="s">
        <v>31</v>
      </c>
      <c r="I4172" s="49" t="s">
        <v>30</v>
      </c>
      <c r="J4172" s="49"/>
      <c r="K4172" s="49"/>
      <c r="L4172" s="49"/>
      <c r="M4172" s="49" t="s">
        <v>151</v>
      </c>
      <c r="N4172" s="49">
        <v>2010.0</v>
      </c>
      <c r="O4172" s="49" t="s">
        <v>388</v>
      </c>
      <c r="P4172" s="49">
        <v>1.0</v>
      </c>
      <c r="Q4172" s="56"/>
      <c r="R4172" s="54"/>
      <c r="S4172" s="185"/>
      <c r="T4172" s="185"/>
      <c r="U4172" s="185"/>
      <c r="V4172" s="185"/>
      <c r="W4172" s="185"/>
      <c r="X4172" s="185"/>
      <c r="Y4172" s="284"/>
      <c r="Z4172" s="284"/>
      <c r="AA4172" s="284"/>
      <c r="AB4172" s="284"/>
      <c r="AC4172" s="284"/>
      <c r="AD4172" s="284"/>
      <c r="AE4172" s="284"/>
      <c r="AF4172" s="284"/>
      <c r="AG4172" s="284"/>
      <c r="AH4172" s="284"/>
      <c r="AI4172" s="284"/>
      <c r="AJ4172" s="284"/>
      <c r="AK4172" s="284"/>
      <c r="AL4172" s="284"/>
    </row>
    <row r="4173" ht="15.75" customHeight="1">
      <c r="A4173" s="115">
        <f t="shared" si="29"/>
        <v>4992</v>
      </c>
      <c r="B4173" s="49"/>
      <c r="C4173" s="272"/>
      <c r="D4173" s="55" t="s">
        <v>13748</v>
      </c>
      <c r="E4173" s="49" t="s">
        <v>144</v>
      </c>
      <c r="F4173" s="49" t="s">
        <v>29</v>
      </c>
      <c r="G4173" s="49" t="s">
        <v>30</v>
      </c>
      <c r="H4173" s="49" t="s">
        <v>31</v>
      </c>
      <c r="I4173" s="49" t="s">
        <v>30</v>
      </c>
      <c r="J4173" s="49"/>
      <c r="K4173" s="49"/>
      <c r="L4173" s="49"/>
      <c r="M4173" s="49" t="s">
        <v>161</v>
      </c>
      <c r="N4173" s="49">
        <v>2010.0</v>
      </c>
      <c r="O4173" s="49" t="s">
        <v>388</v>
      </c>
      <c r="P4173" s="49">
        <v>1.0</v>
      </c>
      <c r="Q4173" s="56"/>
      <c r="R4173" s="54"/>
      <c r="S4173" s="185"/>
      <c r="T4173" s="185"/>
      <c r="U4173" s="185"/>
      <c r="V4173" s="185"/>
      <c r="W4173" s="185"/>
      <c r="X4173" s="185"/>
      <c r="Y4173" s="284"/>
      <c r="Z4173" s="284"/>
      <c r="AA4173" s="284"/>
      <c r="AB4173" s="284"/>
      <c r="AC4173" s="284"/>
      <c r="AD4173" s="284"/>
      <c r="AE4173" s="284"/>
      <c r="AF4173" s="284"/>
      <c r="AG4173" s="284"/>
      <c r="AH4173" s="284"/>
      <c r="AI4173" s="284"/>
      <c r="AJ4173" s="284"/>
      <c r="AK4173" s="284"/>
      <c r="AL4173" s="284"/>
    </row>
    <row r="4174" ht="15.75" customHeight="1">
      <c r="A4174" s="115">
        <f t="shared" si="29"/>
        <v>4993</v>
      </c>
      <c r="B4174" s="49"/>
      <c r="C4174" s="272"/>
      <c r="D4174" s="55" t="s">
        <v>5076</v>
      </c>
      <c r="E4174" s="49" t="s">
        <v>144</v>
      </c>
      <c r="F4174" s="49" t="s">
        <v>29</v>
      </c>
      <c r="G4174" s="49" t="s">
        <v>30</v>
      </c>
      <c r="H4174" s="49"/>
      <c r="I4174" s="49" t="s">
        <v>30</v>
      </c>
      <c r="J4174" s="49">
        <v>207.0</v>
      </c>
      <c r="K4174" s="49"/>
      <c r="L4174" s="49"/>
      <c r="M4174" s="49" t="s">
        <v>4613</v>
      </c>
      <c r="N4174" s="49">
        <v>1964.0</v>
      </c>
      <c r="O4174" s="49" t="s">
        <v>388</v>
      </c>
      <c r="P4174" s="49">
        <v>1.0</v>
      </c>
      <c r="Q4174" s="56"/>
      <c r="R4174" s="54"/>
      <c r="S4174" s="185"/>
      <c r="T4174" s="185"/>
      <c r="U4174" s="185"/>
      <c r="V4174" s="185"/>
      <c r="W4174" s="185"/>
      <c r="X4174" s="185"/>
      <c r="Y4174" s="284"/>
      <c r="Z4174" s="284"/>
      <c r="AA4174" s="284"/>
      <c r="AB4174" s="284"/>
      <c r="AC4174" s="284"/>
      <c r="AD4174" s="284"/>
      <c r="AE4174" s="284"/>
      <c r="AF4174" s="284"/>
      <c r="AG4174" s="284"/>
      <c r="AH4174" s="284"/>
      <c r="AI4174" s="284"/>
      <c r="AJ4174" s="284"/>
      <c r="AK4174" s="284"/>
      <c r="AL4174" s="284"/>
    </row>
    <row r="4175" ht="15.75" customHeight="1">
      <c r="A4175" s="115">
        <f t="shared" si="29"/>
        <v>4994</v>
      </c>
      <c r="B4175" s="49" t="s">
        <v>13749</v>
      </c>
      <c r="C4175" s="272"/>
      <c r="D4175" s="55" t="s">
        <v>13750</v>
      </c>
      <c r="E4175" s="49" t="s">
        <v>28</v>
      </c>
      <c r="F4175" s="49" t="s">
        <v>29</v>
      </c>
      <c r="G4175" s="49" t="s">
        <v>30</v>
      </c>
      <c r="H4175" s="49" t="s">
        <v>31</v>
      </c>
      <c r="I4175" s="49" t="s">
        <v>30</v>
      </c>
      <c r="J4175" s="49">
        <f>224+8</f>
        <v>232</v>
      </c>
      <c r="K4175" s="49"/>
      <c r="L4175" s="49" t="s">
        <v>1629</v>
      </c>
      <c r="M4175" s="49" t="s">
        <v>3642</v>
      </c>
      <c r="N4175" s="49">
        <v>2013.0</v>
      </c>
      <c r="O4175" s="49" t="s">
        <v>388</v>
      </c>
      <c r="P4175" s="49">
        <v>1.0</v>
      </c>
      <c r="Q4175" s="56"/>
      <c r="R4175" s="54"/>
      <c r="S4175" s="185"/>
      <c r="T4175" s="185"/>
      <c r="U4175" s="185"/>
      <c r="V4175" s="185"/>
      <c r="W4175" s="185"/>
      <c r="X4175" s="185"/>
      <c r="Y4175" s="284"/>
      <c r="Z4175" s="284"/>
      <c r="AA4175" s="284"/>
      <c r="AB4175" s="284"/>
      <c r="AC4175" s="284"/>
      <c r="AD4175" s="284"/>
      <c r="AE4175" s="284"/>
      <c r="AF4175" s="284"/>
      <c r="AG4175" s="284"/>
      <c r="AH4175" s="284"/>
      <c r="AI4175" s="284"/>
      <c r="AJ4175" s="284"/>
      <c r="AK4175" s="284"/>
      <c r="AL4175" s="284"/>
    </row>
    <row r="4176" ht="15.75" customHeight="1">
      <c r="A4176" s="115">
        <f t="shared" si="29"/>
        <v>4995</v>
      </c>
      <c r="B4176" s="49" t="s">
        <v>13751</v>
      </c>
      <c r="C4176" s="272"/>
      <c r="D4176" s="55" t="s">
        <v>13752</v>
      </c>
      <c r="E4176" s="49"/>
      <c r="F4176" s="49" t="s">
        <v>740</v>
      </c>
      <c r="G4176" s="49" t="s">
        <v>2179</v>
      </c>
      <c r="H4176" s="49"/>
      <c r="I4176" s="49" t="s">
        <v>38</v>
      </c>
      <c r="J4176" s="49">
        <v>1178.0</v>
      </c>
      <c r="K4176" s="49" t="s">
        <v>13753</v>
      </c>
      <c r="L4176" s="49" t="s">
        <v>13754</v>
      </c>
      <c r="M4176" s="49" t="s">
        <v>13755</v>
      </c>
      <c r="N4176" s="49">
        <v>1985.0</v>
      </c>
      <c r="O4176" s="49" t="s">
        <v>388</v>
      </c>
      <c r="P4176" s="49">
        <v>1.0</v>
      </c>
      <c r="Q4176" s="56"/>
      <c r="R4176" s="54"/>
      <c r="S4176" s="185"/>
      <c r="T4176" s="185"/>
      <c r="U4176" s="185"/>
      <c r="V4176" s="185"/>
      <c r="W4176" s="185"/>
      <c r="X4176" s="185"/>
      <c r="Y4176" s="284"/>
      <c r="Z4176" s="284"/>
      <c r="AA4176" s="284"/>
      <c r="AB4176" s="284"/>
      <c r="AC4176" s="284"/>
      <c r="AD4176" s="284"/>
      <c r="AE4176" s="284"/>
      <c r="AF4176" s="284"/>
      <c r="AG4176" s="284"/>
      <c r="AH4176" s="284"/>
      <c r="AI4176" s="284"/>
      <c r="AJ4176" s="284"/>
      <c r="AK4176" s="284"/>
      <c r="AL4176" s="284"/>
    </row>
    <row r="4177" ht="15.75" customHeight="1">
      <c r="A4177" s="115">
        <f t="shared" si="29"/>
        <v>4996</v>
      </c>
      <c r="B4177" s="49" t="s">
        <v>13756</v>
      </c>
      <c r="C4177" s="272"/>
      <c r="D4177" s="55" t="s">
        <v>13757</v>
      </c>
      <c r="E4177" s="49"/>
      <c r="F4177" s="49" t="s">
        <v>740</v>
      </c>
      <c r="G4177" s="49" t="s">
        <v>2179</v>
      </c>
      <c r="H4177" s="49"/>
      <c r="I4177" s="49" t="s">
        <v>38</v>
      </c>
      <c r="J4177" s="49">
        <v>641.0</v>
      </c>
      <c r="K4177" s="49"/>
      <c r="L4177" s="49" t="s">
        <v>13758</v>
      </c>
      <c r="M4177" s="49" t="s">
        <v>219</v>
      </c>
      <c r="N4177" s="49">
        <v>1958.0</v>
      </c>
      <c r="O4177" s="49" t="s">
        <v>388</v>
      </c>
      <c r="P4177" s="49">
        <v>1.0</v>
      </c>
      <c r="Q4177" s="56"/>
      <c r="R4177" s="54"/>
      <c r="S4177" s="185"/>
      <c r="T4177" s="185"/>
      <c r="U4177" s="185"/>
      <c r="V4177" s="185"/>
      <c r="W4177" s="185"/>
      <c r="X4177" s="185"/>
      <c r="Y4177" s="284"/>
      <c r="Z4177" s="284"/>
      <c r="AA4177" s="284"/>
      <c r="AB4177" s="284"/>
      <c r="AC4177" s="284"/>
      <c r="AD4177" s="284"/>
      <c r="AE4177" s="284"/>
      <c r="AF4177" s="284"/>
      <c r="AG4177" s="284"/>
      <c r="AH4177" s="284"/>
      <c r="AI4177" s="284"/>
      <c r="AJ4177" s="284"/>
      <c r="AK4177" s="284"/>
      <c r="AL4177" s="284"/>
    </row>
    <row r="4178" ht="15.75" customHeight="1">
      <c r="A4178" s="115">
        <f t="shared" si="29"/>
        <v>4997</v>
      </c>
      <c r="B4178" s="49" t="s">
        <v>13759</v>
      </c>
      <c r="C4178" s="272"/>
      <c r="D4178" s="55" t="s">
        <v>13227</v>
      </c>
      <c r="E4178" s="49"/>
      <c r="F4178" s="49" t="s">
        <v>29</v>
      </c>
      <c r="G4178" s="49" t="s">
        <v>3849</v>
      </c>
      <c r="H4178" s="49"/>
      <c r="I4178" s="49" t="s">
        <v>38</v>
      </c>
      <c r="J4178" s="49">
        <v>900.0</v>
      </c>
      <c r="K4178" s="49" t="s">
        <v>13760</v>
      </c>
      <c r="L4178" s="49" t="s">
        <v>13761</v>
      </c>
      <c r="M4178" s="49" t="s">
        <v>13762</v>
      </c>
      <c r="N4178" s="49">
        <v>1958.0</v>
      </c>
      <c r="O4178" s="49" t="s">
        <v>388</v>
      </c>
      <c r="P4178" s="49">
        <v>1.0</v>
      </c>
      <c r="Q4178" s="56"/>
      <c r="R4178" s="54"/>
      <c r="S4178" s="185"/>
      <c r="T4178" s="185"/>
      <c r="U4178" s="185"/>
      <c r="V4178" s="185"/>
      <c r="W4178" s="185"/>
      <c r="X4178" s="185"/>
      <c r="Y4178" s="284"/>
      <c r="Z4178" s="284"/>
      <c r="AA4178" s="284"/>
      <c r="AB4178" s="284"/>
      <c r="AC4178" s="284"/>
      <c r="AD4178" s="284"/>
      <c r="AE4178" s="284"/>
      <c r="AF4178" s="284"/>
      <c r="AG4178" s="284"/>
      <c r="AH4178" s="284"/>
      <c r="AI4178" s="284"/>
      <c r="AJ4178" s="284"/>
      <c r="AK4178" s="284"/>
      <c r="AL4178" s="284"/>
    </row>
    <row r="4179" ht="15.75" customHeight="1">
      <c r="A4179" s="115">
        <f t="shared" si="29"/>
        <v>4998</v>
      </c>
      <c r="B4179" s="49"/>
      <c r="C4179" s="272"/>
      <c r="D4179" s="55" t="s">
        <v>13763</v>
      </c>
      <c r="E4179" s="49"/>
      <c r="F4179" s="49" t="s">
        <v>740</v>
      </c>
      <c r="G4179" s="49" t="s">
        <v>30</v>
      </c>
      <c r="H4179" s="49"/>
      <c r="I4179" s="49" t="s">
        <v>30</v>
      </c>
      <c r="J4179" s="49">
        <v>96.0</v>
      </c>
      <c r="K4179" s="49"/>
      <c r="L4179" s="49" t="s">
        <v>13764</v>
      </c>
      <c r="M4179" s="49" t="s">
        <v>4645</v>
      </c>
      <c r="N4179" s="49">
        <v>1975.0</v>
      </c>
      <c r="O4179" s="49" t="s">
        <v>388</v>
      </c>
      <c r="P4179" s="49">
        <v>1.0</v>
      </c>
      <c r="Q4179" s="56"/>
      <c r="R4179" s="54"/>
      <c r="S4179" s="185"/>
      <c r="T4179" s="185"/>
      <c r="U4179" s="185"/>
      <c r="V4179" s="185"/>
      <c r="W4179" s="185"/>
      <c r="X4179" s="185"/>
      <c r="Y4179" s="284"/>
      <c r="Z4179" s="284"/>
      <c r="AA4179" s="284"/>
      <c r="AB4179" s="284"/>
      <c r="AC4179" s="284"/>
      <c r="AD4179" s="284"/>
      <c r="AE4179" s="284"/>
      <c r="AF4179" s="284"/>
      <c r="AG4179" s="284"/>
      <c r="AH4179" s="284"/>
      <c r="AI4179" s="284"/>
      <c r="AJ4179" s="284"/>
      <c r="AK4179" s="284"/>
      <c r="AL4179" s="284"/>
    </row>
    <row r="4180" ht="15.75" customHeight="1">
      <c r="A4180" s="115">
        <f t="shared" si="29"/>
        <v>4999</v>
      </c>
      <c r="B4180" s="49"/>
      <c r="C4180" s="272"/>
      <c r="D4180" s="55" t="s">
        <v>13765</v>
      </c>
      <c r="E4180" s="49"/>
      <c r="F4180" s="49" t="s">
        <v>740</v>
      </c>
      <c r="G4180" s="49" t="s">
        <v>3849</v>
      </c>
      <c r="H4180" s="49"/>
      <c r="I4180" s="49" t="s">
        <v>38</v>
      </c>
      <c r="J4180" s="49">
        <v>207.0</v>
      </c>
      <c r="K4180" s="49"/>
      <c r="L4180" s="49" t="s">
        <v>13552</v>
      </c>
      <c r="M4180" s="49" t="s">
        <v>54</v>
      </c>
      <c r="N4180" s="49">
        <v>1972.0</v>
      </c>
      <c r="O4180" s="49" t="s">
        <v>388</v>
      </c>
      <c r="P4180" s="49">
        <v>1.0</v>
      </c>
      <c r="Q4180" s="49"/>
      <c r="R4180" s="54"/>
      <c r="S4180" s="185"/>
      <c r="T4180" s="185"/>
      <c r="U4180" s="185"/>
      <c r="V4180" s="185"/>
      <c r="W4180" s="185"/>
      <c r="X4180" s="185"/>
      <c r="Y4180" s="284"/>
      <c r="Z4180" s="284"/>
      <c r="AA4180" s="284"/>
      <c r="AB4180" s="284"/>
      <c r="AC4180" s="284"/>
      <c r="AD4180" s="284"/>
      <c r="AE4180" s="284"/>
      <c r="AF4180" s="284"/>
      <c r="AG4180" s="284"/>
      <c r="AH4180" s="284"/>
      <c r="AI4180" s="284"/>
      <c r="AJ4180" s="284"/>
      <c r="AK4180" s="284"/>
      <c r="AL4180" s="284"/>
    </row>
    <row r="4181" ht="15.75" customHeight="1">
      <c r="A4181" s="115">
        <f t="shared" si="29"/>
        <v>5000</v>
      </c>
      <c r="B4181" s="49"/>
      <c r="C4181" s="272"/>
      <c r="D4181" s="55" t="s">
        <v>13766</v>
      </c>
      <c r="E4181" s="49" t="s">
        <v>144</v>
      </c>
      <c r="F4181" s="49" t="s">
        <v>29</v>
      </c>
      <c r="G4181" s="49"/>
      <c r="H4181" s="49"/>
      <c r="I4181" s="49" t="s">
        <v>38</v>
      </c>
      <c r="J4181" s="49"/>
      <c r="K4181" s="49" t="s">
        <v>13582</v>
      </c>
      <c r="L4181" s="49" t="s">
        <v>13552</v>
      </c>
      <c r="M4181" s="49" t="s">
        <v>31</v>
      </c>
      <c r="N4181" s="49">
        <v>1983.0</v>
      </c>
      <c r="O4181" s="49" t="s">
        <v>388</v>
      </c>
      <c r="P4181" s="49">
        <v>1.0</v>
      </c>
      <c r="Q4181" s="56"/>
      <c r="R4181" s="54"/>
      <c r="S4181" s="185"/>
      <c r="T4181" s="185"/>
      <c r="U4181" s="185"/>
      <c r="V4181" s="185"/>
      <c r="W4181" s="185"/>
      <c r="X4181" s="185"/>
      <c r="Y4181" s="284"/>
      <c r="Z4181" s="284"/>
      <c r="AA4181" s="284"/>
      <c r="AB4181" s="284"/>
      <c r="AC4181" s="284"/>
      <c r="AD4181" s="284"/>
      <c r="AE4181" s="284"/>
      <c r="AF4181" s="284"/>
      <c r="AG4181" s="284"/>
      <c r="AH4181" s="284"/>
      <c r="AI4181" s="284"/>
      <c r="AJ4181" s="284"/>
      <c r="AK4181" s="284"/>
      <c r="AL4181" s="284"/>
    </row>
    <row r="4182" ht="15.75" customHeight="1">
      <c r="A4182" s="115">
        <f t="shared" si="29"/>
        <v>5001</v>
      </c>
      <c r="B4182" s="49"/>
      <c r="C4182" s="272"/>
      <c r="D4182" s="55" t="s">
        <v>13767</v>
      </c>
      <c r="E4182" s="49" t="s">
        <v>144</v>
      </c>
      <c r="F4182" s="49" t="s">
        <v>29</v>
      </c>
      <c r="G4182" s="49" t="s">
        <v>30</v>
      </c>
      <c r="H4182" s="49" t="s">
        <v>31</v>
      </c>
      <c r="I4182" s="49" t="s">
        <v>30</v>
      </c>
      <c r="J4182" s="49"/>
      <c r="K4182" s="49"/>
      <c r="L4182" s="49"/>
      <c r="M4182" s="49" t="s">
        <v>161</v>
      </c>
      <c r="N4182" s="49">
        <v>2011.0</v>
      </c>
      <c r="O4182" s="49" t="s">
        <v>388</v>
      </c>
      <c r="P4182" s="49">
        <v>1.0</v>
      </c>
      <c r="Q4182" s="56"/>
      <c r="R4182" s="54"/>
      <c r="S4182" s="185"/>
      <c r="T4182" s="185"/>
      <c r="U4182" s="185"/>
      <c r="V4182" s="185"/>
      <c r="W4182" s="185"/>
      <c r="X4182" s="185"/>
      <c r="Y4182" s="284"/>
      <c r="Z4182" s="284"/>
      <c r="AA4182" s="284"/>
      <c r="AB4182" s="284"/>
      <c r="AC4182" s="284"/>
      <c r="AD4182" s="284"/>
      <c r="AE4182" s="284"/>
      <c r="AF4182" s="284"/>
      <c r="AG4182" s="284"/>
      <c r="AH4182" s="284"/>
      <c r="AI4182" s="284"/>
      <c r="AJ4182" s="284"/>
      <c r="AK4182" s="284"/>
      <c r="AL4182" s="284"/>
    </row>
    <row r="4183" ht="15.75" customHeight="1">
      <c r="A4183" s="115">
        <f t="shared" si="29"/>
        <v>5002</v>
      </c>
      <c r="B4183" s="49"/>
      <c r="C4183" s="272"/>
      <c r="D4183" s="55" t="s">
        <v>13768</v>
      </c>
      <c r="E4183" s="49"/>
      <c r="F4183" s="49" t="s">
        <v>29</v>
      </c>
      <c r="G4183" s="49" t="s">
        <v>30</v>
      </c>
      <c r="H4183" s="49"/>
      <c r="I4183" s="49" t="s">
        <v>30</v>
      </c>
      <c r="J4183" s="49">
        <v>19.0</v>
      </c>
      <c r="K4183" s="49" t="s">
        <v>13641</v>
      </c>
      <c r="L4183" s="49" t="s">
        <v>13769</v>
      </c>
      <c r="M4183" s="49" t="s">
        <v>13770</v>
      </c>
      <c r="N4183" s="49">
        <v>2012.0</v>
      </c>
      <c r="O4183" s="49" t="s">
        <v>388</v>
      </c>
      <c r="P4183" s="49">
        <v>1.0</v>
      </c>
      <c r="Q4183" s="56"/>
      <c r="R4183" s="54"/>
      <c r="S4183" s="185"/>
      <c r="T4183" s="185"/>
      <c r="U4183" s="185"/>
      <c r="V4183" s="185"/>
      <c r="W4183" s="185"/>
      <c r="X4183" s="185"/>
      <c r="Y4183" s="284"/>
      <c r="Z4183" s="284"/>
      <c r="AA4183" s="284"/>
      <c r="AB4183" s="284"/>
      <c r="AC4183" s="284"/>
      <c r="AD4183" s="284"/>
      <c r="AE4183" s="284"/>
      <c r="AF4183" s="284"/>
      <c r="AG4183" s="284"/>
      <c r="AH4183" s="284"/>
      <c r="AI4183" s="284"/>
      <c r="AJ4183" s="284"/>
      <c r="AK4183" s="284"/>
      <c r="AL4183" s="284"/>
    </row>
    <row r="4184" ht="15.75" customHeight="1">
      <c r="A4184" s="115">
        <f t="shared" si="29"/>
        <v>5003</v>
      </c>
      <c r="B4184" s="49"/>
      <c r="C4184" s="272"/>
      <c r="D4184" s="55" t="s">
        <v>13771</v>
      </c>
      <c r="E4184" s="49" t="s">
        <v>144</v>
      </c>
      <c r="F4184" s="49" t="s">
        <v>29</v>
      </c>
      <c r="G4184" s="49" t="s">
        <v>30</v>
      </c>
      <c r="H4184" s="49" t="s">
        <v>31</v>
      </c>
      <c r="I4184" s="49" t="s">
        <v>30</v>
      </c>
      <c r="J4184" s="49"/>
      <c r="K4184" s="49"/>
      <c r="L4184" s="49"/>
      <c r="M4184" s="49" t="s">
        <v>151</v>
      </c>
      <c r="N4184" s="49">
        <v>2008.0</v>
      </c>
      <c r="O4184" s="49" t="s">
        <v>388</v>
      </c>
      <c r="P4184" s="49">
        <v>1.0</v>
      </c>
      <c r="Q4184" s="56"/>
      <c r="R4184" s="54"/>
      <c r="S4184" s="185"/>
      <c r="T4184" s="185"/>
      <c r="U4184" s="185"/>
      <c r="V4184" s="185"/>
      <c r="W4184" s="185"/>
      <c r="X4184" s="185"/>
      <c r="Y4184" s="284"/>
      <c r="Z4184" s="284"/>
      <c r="AA4184" s="284"/>
      <c r="AB4184" s="284"/>
      <c r="AC4184" s="284"/>
      <c r="AD4184" s="284"/>
      <c r="AE4184" s="284"/>
      <c r="AF4184" s="284"/>
      <c r="AG4184" s="284"/>
      <c r="AH4184" s="284"/>
      <c r="AI4184" s="284"/>
      <c r="AJ4184" s="284"/>
      <c r="AK4184" s="284"/>
      <c r="AL4184" s="284"/>
    </row>
    <row r="4185" ht="15.75" customHeight="1">
      <c r="A4185" s="115">
        <f t="shared" si="29"/>
        <v>5004</v>
      </c>
      <c r="B4185" s="49" t="s">
        <v>31</v>
      </c>
      <c r="C4185" s="272"/>
      <c r="D4185" s="55" t="s">
        <v>13772</v>
      </c>
      <c r="E4185" s="49" t="s">
        <v>31</v>
      </c>
      <c r="F4185" s="49" t="s">
        <v>29</v>
      </c>
      <c r="G4185" s="49" t="s">
        <v>30</v>
      </c>
      <c r="H4185" s="49"/>
      <c r="I4185" s="49" t="s">
        <v>30</v>
      </c>
      <c r="J4185" s="49">
        <v>278.0</v>
      </c>
      <c r="K4185" s="49"/>
      <c r="L4185" s="49" t="s">
        <v>7994</v>
      </c>
      <c r="M4185" s="49" t="s">
        <v>7995</v>
      </c>
      <c r="N4185" s="49"/>
      <c r="O4185" s="49" t="s">
        <v>388</v>
      </c>
      <c r="P4185" s="49">
        <v>1.0</v>
      </c>
      <c r="Q4185" s="56"/>
      <c r="R4185" s="54"/>
      <c r="S4185" s="185"/>
      <c r="T4185" s="185"/>
      <c r="U4185" s="185"/>
      <c r="V4185" s="185"/>
      <c r="W4185" s="185"/>
      <c r="X4185" s="185"/>
      <c r="Y4185" s="284"/>
      <c r="Z4185" s="284"/>
      <c r="AA4185" s="284"/>
      <c r="AB4185" s="284"/>
      <c r="AC4185" s="284"/>
      <c r="AD4185" s="284"/>
      <c r="AE4185" s="284"/>
      <c r="AF4185" s="284"/>
      <c r="AG4185" s="284"/>
      <c r="AH4185" s="284"/>
      <c r="AI4185" s="284"/>
      <c r="AJ4185" s="284"/>
      <c r="AK4185" s="284"/>
      <c r="AL4185" s="284"/>
    </row>
    <row r="4186" ht="15.75" customHeight="1">
      <c r="A4186" s="115">
        <f t="shared" si="29"/>
        <v>5005</v>
      </c>
      <c r="B4186" s="49"/>
      <c r="C4186" s="272"/>
      <c r="D4186" s="55" t="s">
        <v>13773</v>
      </c>
      <c r="E4186" s="49" t="s">
        <v>144</v>
      </c>
      <c r="F4186" s="49" t="s">
        <v>29</v>
      </c>
      <c r="G4186" s="49" t="s">
        <v>30</v>
      </c>
      <c r="H4186" s="49" t="s">
        <v>31</v>
      </c>
      <c r="I4186" s="49" t="s">
        <v>30</v>
      </c>
      <c r="J4186" s="49"/>
      <c r="K4186" s="49"/>
      <c r="L4186" s="49"/>
      <c r="M4186" s="49" t="s">
        <v>3341</v>
      </c>
      <c r="N4186" s="49">
        <v>2012.0</v>
      </c>
      <c r="O4186" s="49" t="s">
        <v>388</v>
      </c>
      <c r="P4186" s="49">
        <v>1.0</v>
      </c>
      <c r="Q4186" s="56"/>
      <c r="R4186" s="54"/>
      <c r="S4186" s="185"/>
      <c r="T4186" s="185"/>
      <c r="U4186" s="185"/>
      <c r="V4186" s="185"/>
      <c r="W4186" s="185"/>
      <c r="X4186" s="185"/>
      <c r="Y4186" s="284"/>
      <c r="Z4186" s="284"/>
      <c r="AA4186" s="284"/>
      <c r="AB4186" s="284"/>
      <c r="AC4186" s="284"/>
      <c r="AD4186" s="284"/>
      <c r="AE4186" s="284"/>
      <c r="AF4186" s="284"/>
      <c r="AG4186" s="284"/>
      <c r="AH4186" s="284"/>
      <c r="AI4186" s="284"/>
      <c r="AJ4186" s="284"/>
      <c r="AK4186" s="284"/>
      <c r="AL4186" s="284"/>
    </row>
    <row r="4187" ht="15.75" customHeight="1">
      <c r="A4187" s="115">
        <f t="shared" si="29"/>
        <v>5006</v>
      </c>
      <c r="B4187" s="49"/>
      <c r="C4187" s="272"/>
      <c r="D4187" s="55" t="s">
        <v>13774</v>
      </c>
      <c r="E4187" s="49"/>
      <c r="F4187" s="49" t="s">
        <v>29</v>
      </c>
      <c r="G4187" s="49" t="s">
        <v>30</v>
      </c>
      <c r="H4187" s="49"/>
      <c r="I4187" s="49" t="s">
        <v>30</v>
      </c>
      <c r="J4187" s="49">
        <v>593.0</v>
      </c>
      <c r="K4187" s="49"/>
      <c r="L4187" s="49"/>
      <c r="M4187" s="49"/>
      <c r="N4187" s="49">
        <v>1980.0</v>
      </c>
      <c r="O4187" s="49" t="s">
        <v>388</v>
      </c>
      <c r="P4187" s="49">
        <v>1.0</v>
      </c>
      <c r="Q4187" s="56"/>
      <c r="R4187" s="54"/>
      <c r="S4187" s="185"/>
      <c r="T4187" s="185"/>
      <c r="U4187" s="185"/>
      <c r="V4187" s="185"/>
      <c r="W4187" s="185"/>
      <c r="X4187" s="185"/>
      <c r="Y4187" s="284"/>
      <c r="Z4187" s="284"/>
      <c r="AA4187" s="284"/>
      <c r="AB4187" s="284"/>
      <c r="AC4187" s="284"/>
      <c r="AD4187" s="284"/>
      <c r="AE4187" s="284"/>
      <c r="AF4187" s="284"/>
      <c r="AG4187" s="284"/>
      <c r="AH4187" s="284"/>
      <c r="AI4187" s="284"/>
      <c r="AJ4187" s="284"/>
      <c r="AK4187" s="284"/>
      <c r="AL4187" s="284"/>
    </row>
    <row r="4188" ht="15.75" customHeight="1">
      <c r="A4188" s="115">
        <f t="shared" si="29"/>
        <v>5007</v>
      </c>
      <c r="B4188" s="63"/>
      <c r="C4188" s="275"/>
      <c r="D4188" s="65" t="s">
        <v>13775</v>
      </c>
      <c r="E4188" s="63" t="s">
        <v>144</v>
      </c>
      <c r="F4188" s="63" t="s">
        <v>29</v>
      </c>
      <c r="G4188" s="63" t="s">
        <v>30</v>
      </c>
      <c r="H4188" s="63" t="s">
        <v>31</v>
      </c>
      <c r="I4188" s="63" t="s">
        <v>30</v>
      </c>
      <c r="J4188" s="63"/>
      <c r="K4188" s="63"/>
      <c r="L4188" s="63"/>
      <c r="M4188" s="63" t="s">
        <v>151</v>
      </c>
      <c r="N4188" s="63">
        <v>2009.0</v>
      </c>
      <c r="O4188" s="63" t="s">
        <v>388</v>
      </c>
      <c r="P4188" s="63">
        <v>1.0</v>
      </c>
      <c r="Q4188" s="276"/>
      <c r="R4188" s="67"/>
      <c r="S4188" s="185"/>
      <c r="T4188" s="185"/>
      <c r="U4188" s="185"/>
      <c r="V4188" s="185"/>
      <c r="W4188" s="185"/>
      <c r="X4188" s="185"/>
      <c r="Y4188" s="284"/>
      <c r="Z4188" s="284"/>
      <c r="AA4188" s="284"/>
      <c r="AB4188" s="284"/>
      <c r="AC4188" s="284"/>
      <c r="AD4188" s="284"/>
      <c r="AE4188" s="284"/>
      <c r="AF4188" s="284"/>
      <c r="AG4188" s="284"/>
      <c r="AH4188" s="284"/>
      <c r="AI4188" s="284"/>
      <c r="AJ4188" s="284"/>
      <c r="AK4188" s="284"/>
      <c r="AL4188" s="284"/>
    </row>
    <row r="4189" ht="15.75" customHeight="1">
      <c r="A4189" s="115">
        <f t="shared" si="29"/>
        <v>5008</v>
      </c>
      <c r="B4189" s="63" t="s">
        <v>13776</v>
      </c>
      <c r="C4189" s="275"/>
      <c r="D4189" s="65" t="s">
        <v>13777</v>
      </c>
      <c r="E4189" s="63"/>
      <c r="F4189" s="63" t="s">
        <v>740</v>
      </c>
      <c r="G4189" s="63" t="s">
        <v>2179</v>
      </c>
      <c r="H4189" s="63"/>
      <c r="I4189" s="63" t="s">
        <v>38</v>
      </c>
      <c r="J4189" s="63">
        <v>1347.0</v>
      </c>
      <c r="K4189" s="63" t="s">
        <v>13778</v>
      </c>
      <c r="L4189" s="63" t="s">
        <v>13779</v>
      </c>
      <c r="M4189" s="63" t="s">
        <v>1203</v>
      </c>
      <c r="N4189" s="63">
        <v>1983.0</v>
      </c>
      <c r="O4189" s="63" t="s">
        <v>388</v>
      </c>
      <c r="P4189" s="63">
        <v>1.0</v>
      </c>
      <c r="Q4189" s="276"/>
      <c r="R4189" s="67"/>
      <c r="S4189" s="185"/>
      <c r="T4189" s="185"/>
      <c r="U4189" s="185"/>
      <c r="V4189" s="185"/>
      <c r="W4189" s="185"/>
      <c r="X4189" s="185"/>
      <c r="Y4189" s="284"/>
      <c r="Z4189" s="284"/>
      <c r="AA4189" s="284"/>
      <c r="AB4189" s="284"/>
      <c r="AC4189" s="284"/>
      <c r="AD4189" s="284"/>
      <c r="AE4189" s="284"/>
      <c r="AF4189" s="284"/>
      <c r="AG4189" s="284"/>
      <c r="AH4189" s="284"/>
      <c r="AI4189" s="284"/>
      <c r="AJ4189" s="284"/>
      <c r="AK4189" s="284"/>
      <c r="AL4189" s="284"/>
    </row>
    <row r="4190" ht="15.75" customHeight="1">
      <c r="A4190" s="115">
        <f t="shared" si="29"/>
        <v>5009</v>
      </c>
      <c r="B4190" s="63"/>
      <c r="C4190" s="275"/>
      <c r="D4190" s="326" t="s">
        <v>13780</v>
      </c>
      <c r="E4190" s="63" t="s">
        <v>144</v>
      </c>
      <c r="F4190" s="63" t="s">
        <v>29</v>
      </c>
      <c r="G4190" s="63" t="s">
        <v>30</v>
      </c>
      <c r="H4190" s="63" t="s">
        <v>31</v>
      </c>
      <c r="I4190" s="63" t="s">
        <v>30</v>
      </c>
      <c r="J4190" s="63"/>
      <c r="K4190" s="63"/>
      <c r="L4190" s="63"/>
      <c r="M4190" s="63" t="s">
        <v>151</v>
      </c>
      <c r="N4190" s="63">
        <v>2008.0</v>
      </c>
      <c r="O4190" s="63" t="s">
        <v>388</v>
      </c>
      <c r="P4190" s="63">
        <v>1.0</v>
      </c>
      <c r="Q4190" s="276"/>
      <c r="R4190" s="67"/>
      <c r="S4190" s="185"/>
      <c r="T4190" s="185"/>
      <c r="U4190" s="185"/>
      <c r="V4190" s="185"/>
      <c r="W4190" s="185"/>
      <c r="X4190" s="185"/>
      <c r="Y4190" s="284"/>
      <c r="Z4190" s="284"/>
      <c r="AA4190" s="284"/>
      <c r="AB4190" s="284"/>
      <c r="AC4190" s="284"/>
      <c r="AD4190" s="284"/>
      <c r="AE4190" s="284"/>
      <c r="AF4190" s="284"/>
      <c r="AG4190" s="284"/>
      <c r="AH4190" s="284"/>
      <c r="AI4190" s="284"/>
      <c r="AJ4190" s="284"/>
      <c r="AK4190" s="284"/>
      <c r="AL4190" s="284"/>
    </row>
    <row r="4191" ht="15.75" customHeight="1">
      <c r="A4191" s="115">
        <f t="shared" si="29"/>
        <v>5010</v>
      </c>
      <c r="B4191" s="63"/>
      <c r="C4191" s="275"/>
      <c r="D4191" s="65" t="s">
        <v>13781</v>
      </c>
      <c r="E4191" s="63" t="s">
        <v>144</v>
      </c>
      <c r="F4191" s="63" t="s">
        <v>29</v>
      </c>
      <c r="G4191" s="63" t="s">
        <v>30</v>
      </c>
      <c r="H4191" s="63" t="s">
        <v>31</v>
      </c>
      <c r="I4191" s="63" t="s">
        <v>30</v>
      </c>
      <c r="J4191" s="63"/>
      <c r="K4191" s="63"/>
      <c r="L4191" s="63"/>
      <c r="M4191" s="63" t="s">
        <v>151</v>
      </c>
      <c r="N4191" s="63">
        <v>2008.0</v>
      </c>
      <c r="O4191" s="63" t="s">
        <v>388</v>
      </c>
      <c r="P4191" s="63">
        <v>1.0</v>
      </c>
      <c r="Q4191" s="276"/>
      <c r="R4191" s="67"/>
      <c r="S4191" s="185"/>
      <c r="T4191" s="185"/>
      <c r="U4191" s="185"/>
      <c r="V4191" s="185"/>
      <c r="W4191" s="185"/>
      <c r="X4191" s="185"/>
      <c r="Y4191" s="284"/>
      <c r="Z4191" s="284"/>
      <c r="AA4191" s="284"/>
      <c r="AB4191" s="284"/>
      <c r="AC4191" s="284"/>
      <c r="AD4191" s="284"/>
      <c r="AE4191" s="284"/>
      <c r="AF4191" s="284"/>
      <c r="AG4191" s="284"/>
      <c r="AH4191" s="284"/>
      <c r="AI4191" s="284"/>
      <c r="AJ4191" s="284"/>
      <c r="AK4191" s="284"/>
      <c r="AL4191" s="284"/>
    </row>
    <row r="4192" ht="15.75" customHeight="1">
      <c r="A4192" s="164">
        <f t="shared" si="29"/>
        <v>5011</v>
      </c>
      <c r="B4192" s="63"/>
      <c r="C4192" s="275"/>
      <c r="D4192" s="65" t="s">
        <v>13782</v>
      </c>
      <c r="E4192" s="63"/>
      <c r="F4192" s="63" t="s">
        <v>29</v>
      </c>
      <c r="G4192" s="63" t="s">
        <v>30</v>
      </c>
      <c r="H4192" s="63"/>
      <c r="I4192" s="63" t="s">
        <v>30</v>
      </c>
      <c r="J4192" s="63">
        <v>56.0</v>
      </c>
      <c r="K4192" s="63" t="s">
        <v>13641</v>
      </c>
      <c r="L4192" s="63" t="s">
        <v>13783</v>
      </c>
      <c r="M4192" s="63" t="s">
        <v>13784</v>
      </c>
      <c r="N4192" s="63">
        <v>2003.0</v>
      </c>
      <c r="O4192" s="63" t="s">
        <v>388</v>
      </c>
      <c r="P4192" s="63">
        <v>1.0</v>
      </c>
      <c r="Q4192" s="276"/>
      <c r="R4192" s="67"/>
      <c r="S4192" s="185"/>
      <c r="T4192" s="185"/>
      <c r="U4192" s="185"/>
      <c r="V4192" s="185"/>
      <c r="W4192" s="185"/>
      <c r="X4192" s="185"/>
      <c r="Y4192" s="284"/>
      <c r="Z4192" s="284"/>
      <c r="AA4192" s="284"/>
      <c r="AB4192" s="284"/>
      <c r="AC4192" s="284"/>
      <c r="AD4192" s="284"/>
      <c r="AE4192" s="284"/>
      <c r="AF4192" s="284"/>
      <c r="AG4192" s="284"/>
      <c r="AH4192" s="284"/>
      <c r="AI4192" s="284"/>
      <c r="AJ4192" s="284"/>
      <c r="AK4192" s="284"/>
      <c r="AL4192" s="284"/>
    </row>
    <row r="4193" ht="15.75" customHeight="1">
      <c r="A4193" s="164">
        <f t="shared" si="29"/>
        <v>5012</v>
      </c>
      <c r="B4193" s="63"/>
      <c r="C4193" s="363"/>
      <c r="D4193" s="65" t="s">
        <v>5339</v>
      </c>
      <c r="E4193" s="63" t="s">
        <v>144</v>
      </c>
      <c r="F4193" s="63" t="s">
        <v>29</v>
      </c>
      <c r="G4193" s="63" t="s">
        <v>30</v>
      </c>
      <c r="H4193" s="63" t="s">
        <v>31</v>
      </c>
      <c r="I4193" s="63" t="s">
        <v>30</v>
      </c>
      <c r="J4193" s="63">
        <f>356+10</f>
        <v>366</v>
      </c>
      <c r="K4193" s="63"/>
      <c r="L4193" s="63"/>
      <c r="M4193" s="63" t="s">
        <v>5341</v>
      </c>
      <c r="N4193" s="63">
        <v>2014.0</v>
      </c>
      <c r="O4193" s="63" t="s">
        <v>388</v>
      </c>
      <c r="P4193" s="63">
        <v>1.0</v>
      </c>
      <c r="Q4193" s="276"/>
      <c r="R4193" s="67"/>
      <c r="S4193" s="185"/>
      <c r="T4193" s="185"/>
      <c r="U4193" s="185"/>
      <c r="V4193" s="185"/>
      <c r="W4193" s="185"/>
      <c r="X4193" s="185"/>
      <c r="Y4193" s="284"/>
      <c r="Z4193" s="284"/>
      <c r="AA4193" s="284"/>
      <c r="AB4193" s="284"/>
      <c r="AC4193" s="284"/>
      <c r="AD4193" s="284"/>
      <c r="AE4193" s="284"/>
      <c r="AF4193" s="284"/>
      <c r="AG4193" s="284"/>
      <c r="AH4193" s="284"/>
      <c r="AI4193" s="284"/>
      <c r="AJ4193" s="284"/>
      <c r="AK4193" s="284"/>
      <c r="AL4193" s="284"/>
    </row>
    <row r="4194" ht="15.75" customHeight="1">
      <c r="A4194" s="164">
        <f t="shared" si="29"/>
        <v>5013</v>
      </c>
      <c r="B4194" s="63"/>
      <c r="C4194" s="275"/>
      <c r="D4194" s="65" t="s">
        <v>13785</v>
      </c>
      <c r="E4194" s="63"/>
      <c r="F4194" s="63" t="s">
        <v>29</v>
      </c>
      <c r="G4194" s="63" t="s">
        <v>30</v>
      </c>
      <c r="H4194" s="63"/>
      <c r="I4194" s="63" t="s">
        <v>38</v>
      </c>
      <c r="J4194" s="63">
        <v>12.0</v>
      </c>
      <c r="K4194" s="63"/>
      <c r="L4194" s="63"/>
      <c r="M4194" s="63" t="s">
        <v>7817</v>
      </c>
      <c r="N4194" s="63">
        <v>2008.0</v>
      </c>
      <c r="O4194" s="63" t="s">
        <v>388</v>
      </c>
      <c r="P4194" s="63">
        <v>1.0</v>
      </c>
      <c r="Q4194" s="276"/>
      <c r="R4194" s="67"/>
      <c r="S4194" s="185"/>
      <c r="T4194" s="185"/>
      <c r="U4194" s="185"/>
      <c r="V4194" s="185"/>
      <c r="W4194" s="185"/>
      <c r="X4194" s="185"/>
      <c r="Y4194" s="284"/>
      <c r="Z4194" s="284"/>
      <c r="AA4194" s="284"/>
      <c r="AB4194" s="284"/>
      <c r="AC4194" s="284"/>
      <c r="AD4194" s="284"/>
      <c r="AE4194" s="284"/>
      <c r="AF4194" s="284"/>
      <c r="AG4194" s="284"/>
      <c r="AH4194" s="284"/>
      <c r="AI4194" s="284"/>
      <c r="AJ4194" s="284"/>
      <c r="AK4194" s="284"/>
      <c r="AL4194" s="284"/>
    </row>
    <row r="4195" ht="15.75" customHeight="1">
      <c r="A4195" s="164">
        <f t="shared" si="29"/>
        <v>5014</v>
      </c>
      <c r="B4195" s="63"/>
      <c r="C4195" s="275"/>
      <c r="D4195" s="65" t="s">
        <v>13786</v>
      </c>
      <c r="E4195" s="63"/>
      <c r="F4195" s="63" t="s">
        <v>29</v>
      </c>
      <c r="G4195" s="63" t="s">
        <v>131</v>
      </c>
      <c r="H4195" s="63"/>
      <c r="I4195" s="63" t="s">
        <v>31</v>
      </c>
      <c r="J4195" s="63">
        <v>1197.0</v>
      </c>
      <c r="K4195" s="63"/>
      <c r="L4195" s="63"/>
      <c r="M4195" s="63" t="s">
        <v>4617</v>
      </c>
      <c r="N4195" s="63">
        <v>1987.0</v>
      </c>
      <c r="O4195" s="63" t="s">
        <v>388</v>
      </c>
      <c r="P4195" s="63">
        <v>1.0</v>
      </c>
      <c r="Q4195" s="276"/>
      <c r="R4195" s="67"/>
      <c r="S4195" s="185"/>
      <c r="T4195" s="185"/>
      <c r="U4195" s="185"/>
      <c r="V4195" s="185"/>
      <c r="W4195" s="185"/>
      <c r="X4195" s="185"/>
      <c r="Y4195" s="284"/>
      <c r="Z4195" s="284"/>
      <c r="AA4195" s="284"/>
      <c r="AB4195" s="284"/>
      <c r="AC4195" s="284"/>
      <c r="AD4195" s="284"/>
      <c r="AE4195" s="284"/>
      <c r="AF4195" s="284"/>
      <c r="AG4195" s="284"/>
      <c r="AH4195" s="284"/>
      <c r="AI4195" s="284"/>
      <c r="AJ4195" s="284"/>
      <c r="AK4195" s="284"/>
      <c r="AL4195" s="284"/>
    </row>
    <row r="4196" ht="15.75" customHeight="1">
      <c r="A4196" s="115">
        <f t="shared" si="29"/>
        <v>5015</v>
      </c>
      <c r="B4196" s="49"/>
      <c r="C4196" s="272"/>
      <c r="D4196" s="55" t="s">
        <v>13787</v>
      </c>
      <c r="E4196" s="49"/>
      <c r="F4196" s="49" t="s">
        <v>29</v>
      </c>
      <c r="G4196" s="49" t="s">
        <v>30</v>
      </c>
      <c r="H4196" s="49"/>
      <c r="I4196" s="49" t="s">
        <v>30</v>
      </c>
      <c r="J4196" s="49">
        <v>61.0</v>
      </c>
      <c r="K4196" s="49"/>
      <c r="L4196" s="49"/>
      <c r="M4196" s="49" t="s">
        <v>13788</v>
      </c>
      <c r="N4196" s="290">
        <v>1976.0</v>
      </c>
      <c r="O4196" s="49" t="s">
        <v>388</v>
      </c>
      <c r="P4196" s="49">
        <v>1.0</v>
      </c>
      <c r="Q4196" s="56"/>
      <c r="R4196" s="54"/>
      <c r="S4196" s="185"/>
      <c r="T4196" s="185"/>
      <c r="U4196" s="185"/>
      <c r="V4196" s="185"/>
      <c r="W4196" s="185"/>
      <c r="X4196" s="185"/>
      <c r="Y4196" s="284"/>
      <c r="Z4196" s="284"/>
      <c r="AA4196" s="284"/>
      <c r="AB4196" s="284"/>
      <c r="AC4196" s="284"/>
      <c r="AD4196" s="284"/>
      <c r="AE4196" s="284"/>
      <c r="AF4196" s="284"/>
      <c r="AG4196" s="284"/>
      <c r="AH4196" s="284"/>
      <c r="AI4196" s="284"/>
      <c r="AJ4196" s="284"/>
      <c r="AK4196" s="284"/>
      <c r="AL4196" s="284"/>
    </row>
    <row r="4197" ht="15.75" customHeight="1">
      <c r="A4197" s="115">
        <f t="shared" si="29"/>
        <v>5016</v>
      </c>
      <c r="B4197" s="49" t="s">
        <v>13789</v>
      </c>
      <c r="C4197" s="272"/>
      <c r="D4197" s="55" t="s">
        <v>13790</v>
      </c>
      <c r="E4197" s="49" t="s">
        <v>144</v>
      </c>
      <c r="F4197" s="49" t="s">
        <v>29</v>
      </c>
      <c r="G4197" s="49" t="s">
        <v>37</v>
      </c>
      <c r="H4197" s="49" t="s">
        <v>31</v>
      </c>
      <c r="I4197" s="49" t="s">
        <v>38</v>
      </c>
      <c r="J4197" s="49">
        <f>268+18</f>
        <v>286</v>
      </c>
      <c r="K4197" s="49"/>
      <c r="L4197" s="49" t="s">
        <v>13791</v>
      </c>
      <c r="M4197" s="49" t="s">
        <v>2428</v>
      </c>
      <c r="N4197" s="49">
        <v>2007.0</v>
      </c>
      <c r="O4197" s="49" t="s">
        <v>388</v>
      </c>
      <c r="P4197" s="49">
        <v>1.0</v>
      </c>
      <c r="Q4197" s="56"/>
      <c r="R4197" s="54"/>
      <c r="S4197" s="185"/>
      <c r="T4197" s="185"/>
      <c r="U4197" s="185"/>
      <c r="V4197" s="185"/>
      <c r="W4197" s="185"/>
      <c r="X4197" s="185"/>
      <c r="Y4197" s="284"/>
      <c r="Z4197" s="284"/>
      <c r="AA4197" s="284"/>
      <c r="AB4197" s="284"/>
      <c r="AC4197" s="284"/>
      <c r="AD4197" s="284"/>
      <c r="AE4197" s="284"/>
      <c r="AF4197" s="284"/>
      <c r="AG4197" s="284"/>
      <c r="AH4197" s="284"/>
      <c r="AI4197" s="284"/>
      <c r="AJ4197" s="284"/>
      <c r="AK4197" s="284"/>
      <c r="AL4197" s="284"/>
    </row>
    <row r="4198" ht="15.75" customHeight="1">
      <c r="A4198" s="115">
        <f t="shared" si="29"/>
        <v>5017</v>
      </c>
      <c r="B4198" s="49"/>
      <c r="C4198" s="272"/>
      <c r="D4198" s="55" t="s">
        <v>13792</v>
      </c>
      <c r="E4198" s="49" t="s">
        <v>144</v>
      </c>
      <c r="F4198" s="49" t="s">
        <v>29</v>
      </c>
      <c r="G4198" s="49" t="s">
        <v>30</v>
      </c>
      <c r="H4198" s="49" t="s">
        <v>31</v>
      </c>
      <c r="I4198" s="49" t="s">
        <v>30</v>
      </c>
      <c r="J4198" s="49"/>
      <c r="K4198" s="49"/>
      <c r="L4198" s="49"/>
      <c r="M4198" s="49" t="s">
        <v>8469</v>
      </c>
      <c r="N4198" s="49">
        <v>2012.0</v>
      </c>
      <c r="O4198" s="49" t="s">
        <v>388</v>
      </c>
      <c r="P4198" s="49">
        <v>1.0</v>
      </c>
      <c r="Q4198" s="56"/>
      <c r="R4198" s="54"/>
      <c r="S4198" s="185"/>
      <c r="T4198" s="185"/>
      <c r="U4198" s="185"/>
      <c r="V4198" s="185"/>
      <c r="W4198" s="185"/>
      <c r="X4198" s="185"/>
      <c r="Y4198" s="284"/>
      <c r="Z4198" s="284"/>
      <c r="AA4198" s="284"/>
      <c r="AB4198" s="284"/>
      <c r="AC4198" s="284"/>
      <c r="AD4198" s="284"/>
      <c r="AE4198" s="284"/>
      <c r="AF4198" s="284"/>
      <c r="AG4198" s="284"/>
      <c r="AH4198" s="284"/>
      <c r="AI4198" s="284"/>
      <c r="AJ4198" s="284"/>
      <c r="AK4198" s="284"/>
      <c r="AL4198" s="284"/>
    </row>
    <row r="4199" ht="15.75" customHeight="1">
      <c r="A4199" s="115">
        <f t="shared" si="29"/>
        <v>5018</v>
      </c>
      <c r="B4199" s="49" t="s">
        <v>31</v>
      </c>
      <c r="C4199" s="272"/>
      <c r="D4199" s="55" t="s">
        <v>13793</v>
      </c>
      <c r="E4199" s="49" t="s">
        <v>31</v>
      </c>
      <c r="F4199" s="49" t="s">
        <v>29</v>
      </c>
      <c r="G4199" s="49" t="s">
        <v>30</v>
      </c>
      <c r="H4199" s="49"/>
      <c r="I4199" s="49" t="s">
        <v>30</v>
      </c>
      <c r="J4199" s="49"/>
      <c r="K4199" s="49"/>
      <c r="L4199" s="49" t="s">
        <v>31</v>
      </c>
      <c r="M4199" s="49" t="s">
        <v>31</v>
      </c>
      <c r="N4199" s="49" t="s">
        <v>31</v>
      </c>
      <c r="O4199" s="49" t="s">
        <v>388</v>
      </c>
      <c r="P4199" s="49">
        <v>1.0</v>
      </c>
      <c r="Q4199" s="56"/>
      <c r="R4199" s="54"/>
      <c r="S4199" s="185"/>
      <c r="T4199" s="185"/>
      <c r="U4199" s="185"/>
      <c r="V4199" s="185"/>
      <c r="W4199" s="185"/>
      <c r="X4199" s="185"/>
      <c r="Y4199" s="284"/>
      <c r="Z4199" s="284"/>
      <c r="AA4199" s="284"/>
      <c r="AB4199" s="284"/>
      <c r="AC4199" s="284"/>
      <c r="AD4199" s="284"/>
      <c r="AE4199" s="284"/>
      <c r="AF4199" s="284"/>
      <c r="AG4199" s="284"/>
      <c r="AH4199" s="284"/>
      <c r="AI4199" s="284"/>
      <c r="AJ4199" s="284"/>
      <c r="AK4199" s="284"/>
      <c r="AL4199" s="284"/>
    </row>
    <row r="4200" ht="15.75" customHeight="1">
      <c r="A4200" s="115">
        <f t="shared" si="29"/>
        <v>5019</v>
      </c>
      <c r="B4200" s="49" t="s">
        <v>13794</v>
      </c>
      <c r="C4200" s="272"/>
      <c r="D4200" s="55" t="s">
        <v>13795</v>
      </c>
      <c r="E4200" s="49"/>
      <c r="F4200" s="49" t="s">
        <v>740</v>
      </c>
      <c r="G4200" s="49" t="s">
        <v>2179</v>
      </c>
      <c r="H4200" s="49"/>
      <c r="I4200" s="49" t="s">
        <v>38</v>
      </c>
      <c r="J4200" s="49">
        <v>810.0</v>
      </c>
      <c r="K4200" s="49"/>
      <c r="L4200" s="49" t="s">
        <v>13796</v>
      </c>
      <c r="M4200" s="49" t="s">
        <v>236</v>
      </c>
      <c r="N4200" s="49">
        <v>1982.0</v>
      </c>
      <c r="O4200" s="49" t="s">
        <v>388</v>
      </c>
      <c r="P4200" s="49">
        <v>1.0</v>
      </c>
      <c r="Q4200" s="56"/>
      <c r="R4200" s="54"/>
      <c r="S4200" s="185"/>
      <c r="T4200" s="185"/>
      <c r="U4200" s="185"/>
      <c r="V4200" s="185"/>
      <c r="W4200" s="185"/>
      <c r="X4200" s="185"/>
      <c r="Y4200" s="284"/>
      <c r="Z4200" s="284"/>
      <c r="AA4200" s="284"/>
      <c r="AB4200" s="284"/>
      <c r="AC4200" s="284"/>
      <c r="AD4200" s="284"/>
      <c r="AE4200" s="284"/>
      <c r="AF4200" s="284"/>
      <c r="AG4200" s="284"/>
      <c r="AH4200" s="284"/>
      <c r="AI4200" s="284"/>
      <c r="AJ4200" s="284"/>
      <c r="AK4200" s="284"/>
      <c r="AL4200" s="284"/>
    </row>
    <row r="4201" ht="15.75" customHeight="1">
      <c r="A4201" s="115">
        <f t="shared" si="29"/>
        <v>5020</v>
      </c>
      <c r="B4201" s="49"/>
      <c r="C4201" s="272"/>
      <c r="D4201" s="55" t="s">
        <v>13797</v>
      </c>
      <c r="E4201" s="49" t="s">
        <v>144</v>
      </c>
      <c r="F4201" s="49" t="s">
        <v>29</v>
      </c>
      <c r="G4201" s="49" t="s">
        <v>30</v>
      </c>
      <c r="H4201" s="49" t="s">
        <v>31</v>
      </c>
      <c r="I4201" s="49" t="s">
        <v>30</v>
      </c>
      <c r="J4201" s="49">
        <v>312.0</v>
      </c>
      <c r="K4201" s="49"/>
      <c r="L4201" s="49"/>
      <c r="M4201" s="49" t="s">
        <v>13798</v>
      </c>
      <c r="N4201" s="49">
        <v>2014.0</v>
      </c>
      <c r="O4201" s="49" t="s">
        <v>388</v>
      </c>
      <c r="P4201" s="49">
        <v>1.0</v>
      </c>
      <c r="Q4201" s="56"/>
      <c r="R4201" s="54"/>
      <c r="S4201" s="185"/>
      <c r="T4201" s="185"/>
      <c r="U4201" s="185"/>
      <c r="V4201" s="185"/>
      <c r="W4201" s="185"/>
      <c r="X4201" s="185"/>
      <c r="Y4201" s="284"/>
      <c r="Z4201" s="284"/>
      <c r="AA4201" s="284"/>
      <c r="AB4201" s="284"/>
      <c r="AC4201" s="284"/>
      <c r="AD4201" s="284"/>
      <c r="AE4201" s="284"/>
      <c r="AF4201" s="284"/>
      <c r="AG4201" s="284"/>
      <c r="AH4201" s="284"/>
      <c r="AI4201" s="284"/>
      <c r="AJ4201" s="284"/>
      <c r="AK4201" s="284"/>
      <c r="AL4201" s="284"/>
    </row>
    <row r="4202" ht="15.75" customHeight="1">
      <c r="A4202" s="115">
        <f t="shared" si="29"/>
        <v>5021</v>
      </c>
      <c r="B4202" s="49" t="s">
        <v>13799</v>
      </c>
      <c r="C4202" s="272"/>
      <c r="D4202" s="55" t="s">
        <v>13800</v>
      </c>
      <c r="E4202" s="49"/>
      <c r="F4202" s="49" t="s">
        <v>29</v>
      </c>
      <c r="G4202" s="49" t="s">
        <v>37</v>
      </c>
      <c r="H4202" s="49"/>
      <c r="I4202" s="49" t="s">
        <v>38</v>
      </c>
      <c r="J4202" s="49">
        <v>1532.0</v>
      </c>
      <c r="K4202" s="49" t="s">
        <v>13778</v>
      </c>
      <c r="L4202" s="49" t="s">
        <v>13801</v>
      </c>
      <c r="M4202" s="49" t="s">
        <v>13802</v>
      </c>
      <c r="N4202" s="49">
        <v>1981.0</v>
      </c>
      <c r="O4202" s="49" t="s">
        <v>388</v>
      </c>
      <c r="P4202" s="49">
        <v>1.0</v>
      </c>
      <c r="Q4202" s="56"/>
      <c r="R4202" s="54"/>
      <c r="S4202" s="185"/>
      <c r="T4202" s="185"/>
      <c r="U4202" s="185"/>
      <c r="V4202" s="185"/>
      <c r="W4202" s="185"/>
      <c r="X4202" s="185"/>
      <c r="Y4202" s="284"/>
      <c r="Z4202" s="284"/>
      <c r="AA4202" s="284"/>
      <c r="AB4202" s="284"/>
      <c r="AC4202" s="284"/>
      <c r="AD4202" s="284"/>
      <c r="AE4202" s="284"/>
      <c r="AF4202" s="284"/>
      <c r="AG4202" s="284"/>
      <c r="AH4202" s="284"/>
      <c r="AI4202" s="284"/>
      <c r="AJ4202" s="284"/>
      <c r="AK4202" s="284"/>
      <c r="AL4202" s="284"/>
    </row>
    <row r="4203" ht="15.75" customHeight="1">
      <c r="A4203" s="115">
        <f t="shared" si="29"/>
        <v>5022</v>
      </c>
      <c r="B4203" s="49"/>
      <c r="C4203" s="272" t="s">
        <v>13803</v>
      </c>
      <c r="D4203" s="55" t="s">
        <v>13804</v>
      </c>
      <c r="E4203" s="49" t="s">
        <v>144</v>
      </c>
      <c r="F4203" s="49" t="s">
        <v>29</v>
      </c>
      <c r="G4203" s="49" t="s">
        <v>30</v>
      </c>
      <c r="H4203" s="49"/>
      <c r="I4203" s="49" t="s">
        <v>30</v>
      </c>
      <c r="J4203" s="49">
        <f>30+2</f>
        <v>32</v>
      </c>
      <c r="K4203" s="49"/>
      <c r="L4203" s="49" t="s">
        <v>31</v>
      </c>
      <c r="M4203" s="49" t="s">
        <v>13805</v>
      </c>
      <c r="N4203" s="49">
        <v>1997.0</v>
      </c>
      <c r="O4203" s="49" t="s">
        <v>13806</v>
      </c>
      <c r="P4203" s="49">
        <v>1.0</v>
      </c>
      <c r="Q4203" s="56"/>
      <c r="R4203" s="54"/>
      <c r="S4203" s="185"/>
      <c r="T4203" s="185"/>
      <c r="U4203" s="185"/>
      <c r="V4203" s="185"/>
      <c r="W4203" s="185"/>
      <c r="X4203" s="185"/>
      <c r="Y4203" s="284"/>
      <c r="Z4203" s="284"/>
      <c r="AA4203" s="284"/>
      <c r="AB4203" s="284"/>
      <c r="AC4203" s="284"/>
      <c r="AD4203" s="284"/>
      <c r="AE4203" s="284"/>
      <c r="AF4203" s="284"/>
      <c r="AG4203" s="284"/>
      <c r="AH4203" s="284"/>
      <c r="AI4203" s="284"/>
      <c r="AJ4203" s="284"/>
      <c r="AK4203" s="284"/>
      <c r="AL4203" s="284"/>
    </row>
    <row r="4204" ht="15.75" customHeight="1">
      <c r="A4204" s="115">
        <f t="shared" si="29"/>
        <v>5023</v>
      </c>
      <c r="B4204" s="330" t="s">
        <v>13807</v>
      </c>
      <c r="C4204" s="330" t="s">
        <v>13808</v>
      </c>
      <c r="D4204" s="330" t="s">
        <v>13809</v>
      </c>
      <c r="E4204" s="364"/>
      <c r="F4204" s="330" t="s">
        <v>29</v>
      </c>
      <c r="G4204" s="330" t="s">
        <v>30</v>
      </c>
      <c r="H4204" s="364"/>
      <c r="I4204" s="330" t="s">
        <v>30</v>
      </c>
      <c r="J4204" s="330">
        <v>348.0</v>
      </c>
      <c r="K4204" s="364"/>
      <c r="L4204" s="330" t="s">
        <v>13810</v>
      </c>
      <c r="M4204" s="364" t="s">
        <v>4284</v>
      </c>
      <c r="N4204" s="364">
        <v>2017.0</v>
      </c>
      <c r="O4204" s="330" t="s">
        <v>13811</v>
      </c>
      <c r="P4204" s="364">
        <v>1.0</v>
      </c>
      <c r="Q4204" s="330"/>
      <c r="R4204" s="365"/>
      <c r="S4204" s="185"/>
      <c r="T4204" s="185"/>
      <c r="U4204" s="185"/>
      <c r="V4204" s="185"/>
      <c r="W4204" s="185"/>
      <c r="X4204" s="185"/>
      <c r="Y4204" s="284"/>
      <c r="Z4204" s="284"/>
      <c r="AA4204" s="284"/>
      <c r="AB4204" s="284"/>
      <c r="AC4204" s="284"/>
      <c r="AD4204" s="284"/>
      <c r="AE4204" s="284"/>
      <c r="AF4204" s="284"/>
      <c r="AG4204" s="284"/>
      <c r="AH4204" s="284"/>
      <c r="AI4204" s="284"/>
      <c r="AJ4204" s="284"/>
      <c r="AK4204" s="284"/>
      <c r="AL4204" s="284"/>
    </row>
    <row r="4205" ht="15.75" customHeight="1">
      <c r="A4205" s="115">
        <f t="shared" si="29"/>
        <v>5024</v>
      </c>
      <c r="B4205" s="330" t="s">
        <v>13807</v>
      </c>
      <c r="C4205" s="330" t="s">
        <v>13808</v>
      </c>
      <c r="D4205" s="330" t="s">
        <v>13809</v>
      </c>
      <c r="E4205" s="364"/>
      <c r="F4205" s="330" t="s">
        <v>29</v>
      </c>
      <c r="G4205" s="330" t="s">
        <v>30</v>
      </c>
      <c r="H4205" s="364"/>
      <c r="I4205" s="330" t="s">
        <v>30</v>
      </c>
      <c r="J4205" s="330">
        <v>348.0</v>
      </c>
      <c r="K4205" s="364"/>
      <c r="L4205" s="330" t="s">
        <v>13810</v>
      </c>
      <c r="M4205" s="364" t="s">
        <v>4284</v>
      </c>
      <c r="N4205" s="364">
        <v>2017.0</v>
      </c>
      <c r="O4205" s="330" t="s">
        <v>13811</v>
      </c>
      <c r="P4205" s="364">
        <v>1.0</v>
      </c>
      <c r="Q4205" s="330"/>
      <c r="R4205" s="365"/>
      <c r="S4205" s="185"/>
      <c r="T4205" s="185"/>
      <c r="U4205" s="185"/>
      <c r="V4205" s="185"/>
      <c r="W4205" s="185"/>
      <c r="X4205" s="185"/>
      <c r="Y4205" s="284"/>
      <c r="Z4205" s="284"/>
      <c r="AA4205" s="284"/>
      <c r="AB4205" s="284"/>
      <c r="AC4205" s="284"/>
      <c r="AD4205" s="284"/>
      <c r="AE4205" s="284"/>
      <c r="AF4205" s="284"/>
      <c r="AG4205" s="284"/>
      <c r="AH4205" s="284"/>
      <c r="AI4205" s="284"/>
      <c r="AJ4205" s="284"/>
      <c r="AK4205" s="284"/>
      <c r="AL4205" s="284"/>
    </row>
    <row r="4206" ht="15.75" customHeight="1">
      <c r="A4206" s="115">
        <f t="shared" si="29"/>
        <v>5025</v>
      </c>
      <c r="B4206" s="330" t="s">
        <v>13812</v>
      </c>
      <c r="C4206" s="330" t="s">
        <v>13808</v>
      </c>
      <c r="D4206" s="330" t="s">
        <v>13813</v>
      </c>
      <c r="E4206" s="364"/>
      <c r="F4206" s="330" t="s">
        <v>29</v>
      </c>
      <c r="G4206" s="330" t="s">
        <v>30</v>
      </c>
      <c r="H4206" s="364"/>
      <c r="I4206" s="330" t="s">
        <v>30</v>
      </c>
      <c r="J4206" s="330">
        <v>157.0</v>
      </c>
      <c r="K4206" s="364"/>
      <c r="L4206" s="330" t="s">
        <v>13810</v>
      </c>
      <c r="M4206" s="364" t="s">
        <v>4284</v>
      </c>
      <c r="N4206" s="364">
        <v>2017.0</v>
      </c>
      <c r="O4206" s="330" t="s">
        <v>13811</v>
      </c>
      <c r="P4206" s="364">
        <v>1.0</v>
      </c>
      <c r="Q4206" s="330"/>
      <c r="R4206" s="365"/>
      <c r="S4206" s="185"/>
      <c r="T4206" s="185"/>
      <c r="U4206" s="185"/>
      <c r="V4206" s="185"/>
      <c r="W4206" s="185"/>
      <c r="X4206" s="185"/>
      <c r="Y4206" s="284"/>
      <c r="Z4206" s="284"/>
      <c r="AA4206" s="284"/>
      <c r="AB4206" s="284"/>
      <c r="AC4206" s="284"/>
      <c r="AD4206" s="284"/>
      <c r="AE4206" s="284"/>
      <c r="AF4206" s="284"/>
      <c r="AG4206" s="284"/>
      <c r="AH4206" s="284"/>
      <c r="AI4206" s="284"/>
      <c r="AJ4206" s="284"/>
      <c r="AK4206" s="284"/>
      <c r="AL4206" s="284"/>
    </row>
    <row r="4207" ht="15.75" customHeight="1">
      <c r="A4207" s="115">
        <f t="shared" si="29"/>
        <v>5026</v>
      </c>
      <c r="B4207" s="330"/>
      <c r="C4207" s="330" t="s">
        <v>13814</v>
      </c>
      <c r="D4207" s="330" t="s">
        <v>7875</v>
      </c>
      <c r="E4207" s="364"/>
      <c r="F4207" s="330" t="s">
        <v>29</v>
      </c>
      <c r="G4207" s="330" t="s">
        <v>30</v>
      </c>
      <c r="H4207" s="364"/>
      <c r="I4207" s="330" t="s">
        <v>30</v>
      </c>
      <c r="J4207" s="330">
        <v>420.0</v>
      </c>
      <c r="K4207" s="364"/>
      <c r="L4207" s="330" t="s">
        <v>7876</v>
      </c>
      <c r="M4207" s="364" t="s">
        <v>7877</v>
      </c>
      <c r="N4207" s="364">
        <v>1995.0</v>
      </c>
      <c r="O4207" s="330" t="s">
        <v>13811</v>
      </c>
      <c r="P4207" s="364">
        <v>1.0</v>
      </c>
      <c r="Q4207" s="330"/>
      <c r="R4207" s="365"/>
      <c r="S4207" s="185"/>
      <c r="T4207" s="185"/>
      <c r="U4207" s="185"/>
      <c r="V4207" s="185"/>
      <c r="W4207" s="185"/>
      <c r="X4207" s="185"/>
      <c r="Y4207" s="284"/>
      <c r="Z4207" s="284"/>
      <c r="AA4207" s="284"/>
      <c r="AB4207" s="284"/>
      <c r="AC4207" s="284"/>
      <c r="AD4207" s="284"/>
      <c r="AE4207" s="284"/>
      <c r="AF4207" s="284"/>
      <c r="AG4207" s="284"/>
      <c r="AH4207" s="284"/>
      <c r="AI4207" s="284"/>
      <c r="AJ4207" s="284"/>
      <c r="AK4207" s="284"/>
      <c r="AL4207" s="284"/>
    </row>
    <row r="4208" ht="15.75" customHeight="1">
      <c r="A4208" s="115">
        <f t="shared" si="29"/>
        <v>5027</v>
      </c>
      <c r="B4208" s="330" t="s">
        <v>7919</v>
      </c>
      <c r="C4208" s="330" t="s">
        <v>7920</v>
      </c>
      <c r="D4208" s="330" t="s">
        <v>7921</v>
      </c>
      <c r="E4208" s="364"/>
      <c r="F4208" s="330" t="s">
        <v>29</v>
      </c>
      <c r="G4208" s="330" t="s">
        <v>30</v>
      </c>
      <c r="H4208" s="364"/>
      <c r="I4208" s="330" t="s">
        <v>30</v>
      </c>
      <c r="J4208" s="330">
        <v>155.0</v>
      </c>
      <c r="K4208" s="364"/>
      <c r="L4208" s="330" t="s">
        <v>7922</v>
      </c>
      <c r="M4208" s="330" t="s">
        <v>151</v>
      </c>
      <c r="N4208" s="364">
        <v>2014.0</v>
      </c>
      <c r="O4208" s="330" t="s">
        <v>13811</v>
      </c>
      <c r="P4208" s="364">
        <v>1.0</v>
      </c>
      <c r="Q4208" s="330"/>
      <c r="R4208" s="365"/>
      <c r="S4208" s="185"/>
      <c r="T4208" s="185"/>
      <c r="U4208" s="185"/>
      <c r="V4208" s="185"/>
      <c r="W4208" s="185"/>
      <c r="X4208" s="185"/>
      <c r="Y4208" s="284"/>
      <c r="Z4208" s="284"/>
      <c r="AA4208" s="284"/>
      <c r="AB4208" s="284"/>
      <c r="AC4208" s="284"/>
      <c r="AD4208" s="284"/>
      <c r="AE4208" s="284"/>
      <c r="AF4208" s="284"/>
      <c r="AG4208" s="284"/>
      <c r="AH4208" s="284"/>
      <c r="AI4208" s="284"/>
      <c r="AJ4208" s="284"/>
      <c r="AK4208" s="284"/>
      <c r="AL4208" s="284"/>
    </row>
    <row r="4209" ht="15.75" customHeight="1">
      <c r="A4209" s="115">
        <f t="shared" si="29"/>
        <v>5028</v>
      </c>
      <c r="B4209" s="330" t="s">
        <v>13815</v>
      </c>
      <c r="C4209" s="330" t="s">
        <v>13816</v>
      </c>
      <c r="D4209" s="330" t="s">
        <v>13817</v>
      </c>
      <c r="E4209" s="364"/>
      <c r="F4209" s="330" t="s">
        <v>29</v>
      </c>
      <c r="G4209" s="330" t="s">
        <v>166</v>
      </c>
      <c r="H4209" s="364"/>
      <c r="I4209" s="330" t="s">
        <v>38</v>
      </c>
      <c r="J4209" s="330">
        <v>243.0</v>
      </c>
      <c r="K4209" s="364"/>
      <c r="L4209" s="330" t="s">
        <v>13818</v>
      </c>
      <c r="M4209" s="364" t="s">
        <v>10580</v>
      </c>
      <c r="N4209" s="364">
        <v>2000.0</v>
      </c>
      <c r="O4209" s="330" t="s">
        <v>13811</v>
      </c>
      <c r="P4209" s="364">
        <v>1.0</v>
      </c>
      <c r="Q4209" s="330"/>
      <c r="R4209" s="365"/>
      <c r="S4209" s="185"/>
      <c r="T4209" s="185"/>
      <c r="U4209" s="185"/>
      <c r="V4209" s="185"/>
      <c r="W4209" s="185"/>
      <c r="X4209" s="185"/>
      <c r="Y4209" s="284"/>
      <c r="Z4209" s="284"/>
      <c r="AA4209" s="284"/>
      <c r="AB4209" s="284"/>
      <c r="AC4209" s="284"/>
      <c r="AD4209" s="284"/>
      <c r="AE4209" s="284"/>
      <c r="AF4209" s="284"/>
      <c r="AG4209" s="284"/>
      <c r="AH4209" s="284"/>
      <c r="AI4209" s="284"/>
      <c r="AJ4209" s="284"/>
      <c r="AK4209" s="284"/>
      <c r="AL4209" s="284"/>
    </row>
    <row r="4210" ht="15.75" customHeight="1">
      <c r="A4210" s="115">
        <f t="shared" si="29"/>
        <v>5029</v>
      </c>
      <c r="B4210" s="330" t="s">
        <v>13815</v>
      </c>
      <c r="C4210" s="330" t="s">
        <v>13816</v>
      </c>
      <c r="D4210" s="330" t="s">
        <v>13819</v>
      </c>
      <c r="E4210" s="364"/>
      <c r="F4210" s="330" t="s">
        <v>29</v>
      </c>
      <c r="G4210" s="330" t="s">
        <v>166</v>
      </c>
      <c r="H4210" s="364"/>
      <c r="I4210" s="330" t="s">
        <v>38</v>
      </c>
      <c r="J4210" s="330">
        <v>243.0</v>
      </c>
      <c r="K4210" s="364"/>
      <c r="L4210" s="330" t="s">
        <v>13818</v>
      </c>
      <c r="M4210" s="364" t="s">
        <v>10580</v>
      </c>
      <c r="N4210" s="364">
        <v>2000.0</v>
      </c>
      <c r="O4210" s="330" t="s">
        <v>13811</v>
      </c>
      <c r="P4210" s="364">
        <v>1.0</v>
      </c>
      <c r="Q4210" s="330"/>
      <c r="R4210" s="365"/>
      <c r="S4210" s="185"/>
      <c r="T4210" s="185"/>
      <c r="U4210" s="185"/>
      <c r="V4210" s="185"/>
      <c r="W4210" s="185"/>
      <c r="X4210" s="185"/>
      <c r="Y4210" s="284"/>
      <c r="Z4210" s="284"/>
      <c r="AA4210" s="284"/>
      <c r="AB4210" s="284"/>
      <c r="AC4210" s="284"/>
      <c r="AD4210" s="284"/>
      <c r="AE4210" s="284"/>
      <c r="AF4210" s="284"/>
      <c r="AG4210" s="284"/>
      <c r="AH4210" s="284"/>
      <c r="AI4210" s="284"/>
      <c r="AJ4210" s="284"/>
      <c r="AK4210" s="284"/>
      <c r="AL4210" s="284"/>
    </row>
    <row r="4211" ht="15.75" customHeight="1">
      <c r="A4211" s="115">
        <f t="shared" si="29"/>
        <v>5030</v>
      </c>
      <c r="B4211" s="330" t="s">
        <v>9247</v>
      </c>
      <c r="C4211" s="330" t="s">
        <v>13820</v>
      </c>
      <c r="D4211" s="330" t="s">
        <v>9249</v>
      </c>
      <c r="E4211" s="364"/>
      <c r="F4211" s="330" t="s">
        <v>29</v>
      </c>
      <c r="G4211" s="330" t="s">
        <v>166</v>
      </c>
      <c r="H4211" s="364"/>
      <c r="I4211" s="330" t="s">
        <v>166</v>
      </c>
      <c r="J4211" s="330">
        <v>374.0</v>
      </c>
      <c r="K4211" s="364"/>
      <c r="L4211" s="330" t="s">
        <v>9250</v>
      </c>
      <c r="M4211" s="364" t="s">
        <v>2763</v>
      </c>
      <c r="N4211" s="364">
        <v>2008.0</v>
      </c>
      <c r="O4211" s="330" t="s">
        <v>13811</v>
      </c>
      <c r="P4211" s="364">
        <v>1.0</v>
      </c>
      <c r="Q4211" s="330"/>
      <c r="R4211" s="365"/>
      <c r="S4211" s="185"/>
      <c r="T4211" s="185"/>
      <c r="U4211" s="185"/>
      <c r="V4211" s="185"/>
      <c r="W4211" s="185"/>
      <c r="X4211" s="185"/>
      <c r="Y4211" s="284"/>
      <c r="Z4211" s="284"/>
      <c r="AA4211" s="284"/>
      <c r="AB4211" s="284"/>
      <c r="AC4211" s="284"/>
      <c r="AD4211" s="284"/>
      <c r="AE4211" s="284"/>
      <c r="AF4211" s="284"/>
      <c r="AG4211" s="284"/>
      <c r="AH4211" s="284"/>
      <c r="AI4211" s="284"/>
      <c r="AJ4211" s="284"/>
      <c r="AK4211" s="284"/>
      <c r="AL4211" s="284"/>
    </row>
    <row r="4212" ht="15.75" customHeight="1">
      <c r="A4212" s="115">
        <f t="shared" si="29"/>
        <v>5031</v>
      </c>
      <c r="B4212" s="330" t="s">
        <v>13821</v>
      </c>
      <c r="C4212" s="330" t="s">
        <v>13822</v>
      </c>
      <c r="D4212" s="330" t="s">
        <v>13823</v>
      </c>
      <c r="E4212" s="364"/>
      <c r="F4212" s="330" t="s">
        <v>29</v>
      </c>
      <c r="G4212" s="330" t="s">
        <v>30</v>
      </c>
      <c r="H4212" s="364"/>
      <c r="I4212" s="330" t="s">
        <v>30</v>
      </c>
      <c r="J4212" s="330">
        <v>412.0</v>
      </c>
      <c r="K4212" s="364"/>
      <c r="L4212" s="330" t="s">
        <v>249</v>
      </c>
      <c r="M4212" s="364" t="s">
        <v>151</v>
      </c>
      <c r="N4212" s="364">
        <v>2001.0</v>
      </c>
      <c r="O4212" s="330" t="s">
        <v>13811</v>
      </c>
      <c r="P4212" s="364">
        <v>1.0</v>
      </c>
      <c r="Q4212" s="330"/>
      <c r="R4212" s="365"/>
      <c r="S4212" s="185"/>
      <c r="T4212" s="185"/>
      <c r="U4212" s="185"/>
      <c r="V4212" s="185"/>
      <c r="W4212" s="185"/>
      <c r="X4212" s="185"/>
      <c r="Y4212" s="284"/>
      <c r="Z4212" s="284"/>
      <c r="AA4212" s="284"/>
      <c r="AB4212" s="284"/>
      <c r="AC4212" s="284"/>
      <c r="AD4212" s="284"/>
      <c r="AE4212" s="284"/>
      <c r="AF4212" s="284"/>
      <c r="AG4212" s="284"/>
      <c r="AH4212" s="284"/>
      <c r="AI4212" s="284"/>
      <c r="AJ4212" s="284"/>
      <c r="AK4212" s="284"/>
      <c r="AL4212" s="284"/>
    </row>
    <row r="4213" ht="15.75" customHeight="1">
      <c r="A4213" s="115">
        <f t="shared" si="29"/>
        <v>5032</v>
      </c>
      <c r="B4213" s="330" t="s">
        <v>13821</v>
      </c>
      <c r="C4213" s="330" t="s">
        <v>13822</v>
      </c>
      <c r="D4213" s="330" t="s">
        <v>13823</v>
      </c>
      <c r="E4213" s="364"/>
      <c r="F4213" s="330" t="s">
        <v>29</v>
      </c>
      <c r="G4213" s="330" t="s">
        <v>30</v>
      </c>
      <c r="H4213" s="364"/>
      <c r="I4213" s="330" t="s">
        <v>30</v>
      </c>
      <c r="J4213" s="330">
        <v>412.0</v>
      </c>
      <c r="K4213" s="364"/>
      <c r="L4213" s="330" t="s">
        <v>249</v>
      </c>
      <c r="M4213" s="364" t="s">
        <v>151</v>
      </c>
      <c r="N4213" s="364">
        <v>2001.0</v>
      </c>
      <c r="O4213" s="330" t="s">
        <v>13811</v>
      </c>
      <c r="P4213" s="364">
        <v>1.0</v>
      </c>
      <c r="Q4213" s="330"/>
      <c r="R4213" s="365"/>
      <c r="S4213" s="185"/>
      <c r="T4213" s="185"/>
      <c r="U4213" s="185"/>
      <c r="V4213" s="185"/>
      <c r="W4213" s="185"/>
      <c r="X4213" s="185"/>
      <c r="Y4213" s="284"/>
      <c r="Z4213" s="284"/>
      <c r="AA4213" s="284"/>
      <c r="AB4213" s="284"/>
      <c r="AC4213" s="284"/>
      <c r="AD4213" s="284"/>
      <c r="AE4213" s="284"/>
      <c r="AF4213" s="284"/>
      <c r="AG4213" s="284"/>
      <c r="AH4213" s="284"/>
      <c r="AI4213" s="284"/>
      <c r="AJ4213" s="284"/>
      <c r="AK4213" s="284"/>
      <c r="AL4213" s="284"/>
    </row>
    <row r="4214" ht="15.75" customHeight="1">
      <c r="A4214" s="115">
        <f t="shared" si="29"/>
        <v>5033</v>
      </c>
      <c r="B4214" s="330" t="s">
        <v>10079</v>
      </c>
      <c r="C4214" s="330" t="s">
        <v>13824</v>
      </c>
      <c r="D4214" s="330" t="s">
        <v>10081</v>
      </c>
      <c r="E4214" s="364"/>
      <c r="F4214" s="330" t="s">
        <v>29</v>
      </c>
      <c r="G4214" s="330" t="s">
        <v>2743</v>
      </c>
      <c r="H4214" s="364"/>
      <c r="I4214" s="330" t="s">
        <v>38</v>
      </c>
      <c r="J4214" s="330">
        <v>326.0</v>
      </c>
      <c r="K4214" s="364"/>
      <c r="L4214" s="330" t="s">
        <v>10124</v>
      </c>
      <c r="M4214" s="364" t="s">
        <v>1176</v>
      </c>
      <c r="N4214" s="364">
        <v>2017.0</v>
      </c>
      <c r="O4214" s="330" t="s">
        <v>13811</v>
      </c>
      <c r="P4214" s="364">
        <v>1.0</v>
      </c>
      <c r="Q4214" s="330"/>
      <c r="R4214" s="365"/>
      <c r="S4214" s="185"/>
      <c r="T4214" s="185"/>
      <c r="U4214" s="185"/>
      <c r="V4214" s="185"/>
      <c r="W4214" s="185"/>
      <c r="X4214" s="185"/>
      <c r="Y4214" s="284"/>
      <c r="Z4214" s="284"/>
      <c r="AA4214" s="284"/>
      <c r="AB4214" s="284"/>
      <c r="AC4214" s="284"/>
      <c r="AD4214" s="284"/>
      <c r="AE4214" s="284"/>
      <c r="AF4214" s="284"/>
      <c r="AG4214" s="284"/>
      <c r="AH4214" s="284"/>
      <c r="AI4214" s="284"/>
      <c r="AJ4214" s="284"/>
      <c r="AK4214" s="284"/>
      <c r="AL4214" s="284"/>
    </row>
    <row r="4215" ht="15.75" customHeight="1">
      <c r="A4215" s="115">
        <f t="shared" si="29"/>
        <v>5034</v>
      </c>
      <c r="B4215" s="330" t="s">
        <v>2760</v>
      </c>
      <c r="C4215" s="330" t="s">
        <v>13825</v>
      </c>
      <c r="D4215" s="330" t="s">
        <v>13826</v>
      </c>
      <c r="E4215" s="364"/>
      <c r="F4215" s="330" t="s">
        <v>29</v>
      </c>
      <c r="G4215" s="330" t="s">
        <v>166</v>
      </c>
      <c r="H4215" s="364"/>
      <c r="I4215" s="330" t="s">
        <v>166</v>
      </c>
      <c r="J4215" s="330"/>
      <c r="K4215" s="364"/>
      <c r="L4215" s="330" t="s">
        <v>347</v>
      </c>
      <c r="M4215" s="364" t="s">
        <v>2763</v>
      </c>
      <c r="N4215" s="364">
        <v>2010.0</v>
      </c>
      <c r="O4215" s="330" t="s">
        <v>13811</v>
      </c>
      <c r="P4215" s="364">
        <v>1.0</v>
      </c>
      <c r="Q4215" s="330"/>
      <c r="R4215" s="365"/>
      <c r="S4215" s="185"/>
      <c r="T4215" s="185"/>
      <c r="U4215" s="185"/>
      <c r="V4215" s="185"/>
      <c r="W4215" s="185"/>
      <c r="X4215" s="185"/>
      <c r="Y4215" s="284"/>
      <c r="Z4215" s="284"/>
      <c r="AA4215" s="284"/>
      <c r="AB4215" s="284"/>
      <c r="AC4215" s="284"/>
      <c r="AD4215" s="284"/>
      <c r="AE4215" s="284"/>
      <c r="AF4215" s="284"/>
      <c r="AG4215" s="284"/>
      <c r="AH4215" s="284"/>
      <c r="AI4215" s="284"/>
      <c r="AJ4215" s="284"/>
      <c r="AK4215" s="284"/>
      <c r="AL4215" s="284"/>
    </row>
    <row r="4216" ht="15.75" customHeight="1">
      <c r="A4216" s="115">
        <f t="shared" si="29"/>
        <v>5035</v>
      </c>
      <c r="B4216" s="330" t="s">
        <v>3486</v>
      </c>
      <c r="C4216" s="330" t="s">
        <v>13827</v>
      </c>
      <c r="D4216" s="330" t="s">
        <v>3488</v>
      </c>
      <c r="E4216" s="364"/>
      <c r="F4216" s="330" t="s">
        <v>29</v>
      </c>
      <c r="G4216" s="330" t="s">
        <v>166</v>
      </c>
      <c r="H4216" s="364"/>
      <c r="I4216" s="330" t="s">
        <v>166</v>
      </c>
      <c r="J4216" s="330">
        <v>297.0</v>
      </c>
      <c r="K4216" s="364"/>
      <c r="L4216" s="330" t="s">
        <v>3489</v>
      </c>
      <c r="M4216" s="364" t="s">
        <v>3490</v>
      </c>
      <c r="N4216" s="364">
        <v>2011.0</v>
      </c>
      <c r="O4216" s="330" t="s">
        <v>13811</v>
      </c>
      <c r="P4216" s="364">
        <v>1.0</v>
      </c>
      <c r="Q4216" s="330"/>
      <c r="R4216" s="365"/>
      <c r="S4216" s="185"/>
      <c r="T4216" s="185"/>
      <c r="U4216" s="185"/>
      <c r="V4216" s="185"/>
      <c r="W4216" s="185"/>
      <c r="X4216" s="185"/>
      <c r="Y4216" s="284"/>
      <c r="Z4216" s="284"/>
      <c r="AA4216" s="284"/>
      <c r="AB4216" s="284"/>
      <c r="AC4216" s="284"/>
      <c r="AD4216" s="284"/>
      <c r="AE4216" s="284"/>
      <c r="AF4216" s="284"/>
      <c r="AG4216" s="284"/>
      <c r="AH4216" s="284"/>
      <c r="AI4216" s="284"/>
      <c r="AJ4216" s="284"/>
      <c r="AK4216" s="284"/>
      <c r="AL4216" s="284"/>
    </row>
    <row r="4217" ht="15.75" customHeight="1">
      <c r="A4217" s="115">
        <f t="shared" si="29"/>
        <v>5036</v>
      </c>
      <c r="B4217" s="330" t="s">
        <v>13828</v>
      </c>
      <c r="C4217" s="366" t="s">
        <v>13829</v>
      </c>
      <c r="D4217" s="364" t="s">
        <v>13830</v>
      </c>
      <c r="E4217" s="330" t="s">
        <v>144</v>
      </c>
      <c r="F4217" s="330" t="s">
        <v>29</v>
      </c>
      <c r="G4217" s="330" t="s">
        <v>30</v>
      </c>
      <c r="H4217" s="330"/>
      <c r="I4217" s="330" t="s">
        <v>30</v>
      </c>
      <c r="J4217" s="330">
        <v>885.0</v>
      </c>
      <c r="K4217" s="330"/>
      <c r="L4217" s="330" t="s">
        <v>13831</v>
      </c>
      <c r="M4217" s="330" t="s">
        <v>4572</v>
      </c>
      <c r="N4217" s="330">
        <v>1998.0</v>
      </c>
      <c r="O4217" s="330" t="s">
        <v>13811</v>
      </c>
      <c r="P4217" s="330">
        <v>1.0</v>
      </c>
      <c r="Q4217" s="330">
        <v>1.0</v>
      </c>
      <c r="R4217" s="365"/>
      <c r="S4217" s="185"/>
      <c r="T4217" s="185"/>
      <c r="U4217" s="185"/>
      <c r="V4217" s="185"/>
      <c r="W4217" s="185"/>
      <c r="X4217" s="185"/>
      <c r="Y4217" s="284"/>
      <c r="Z4217" s="284"/>
      <c r="AA4217" s="284"/>
      <c r="AB4217" s="284"/>
      <c r="AC4217" s="284"/>
      <c r="AD4217" s="284"/>
      <c r="AE4217" s="284"/>
      <c r="AF4217" s="284"/>
      <c r="AG4217" s="284"/>
      <c r="AH4217" s="284"/>
      <c r="AI4217" s="284"/>
      <c r="AJ4217" s="284"/>
      <c r="AK4217" s="284"/>
      <c r="AL4217" s="284"/>
    </row>
    <row r="4218" ht="15.75" hidden="1" customHeight="1">
      <c r="A4218" s="27">
        <v>4103.0</v>
      </c>
      <c r="B4218" s="86" t="s">
        <v>11137</v>
      </c>
      <c r="C4218" s="86" t="s">
        <v>6</v>
      </c>
      <c r="D4218" s="117" t="s">
        <v>11139</v>
      </c>
      <c r="E4218" s="86"/>
      <c r="F4218" s="86" t="s">
        <v>29</v>
      </c>
      <c r="G4218" s="86" t="s">
        <v>30</v>
      </c>
      <c r="H4218" s="86"/>
      <c r="I4218" s="86" t="s">
        <v>30</v>
      </c>
      <c r="J4218" s="86">
        <v>295.0</v>
      </c>
      <c r="K4218" s="83"/>
      <c r="L4218" s="86" t="s">
        <v>13832</v>
      </c>
      <c r="M4218" s="86" t="s">
        <v>161</v>
      </c>
      <c r="N4218" s="86">
        <v>2011.0</v>
      </c>
      <c r="O4218" s="86"/>
      <c r="P4218" s="86">
        <v>1.0</v>
      </c>
      <c r="Q4218" s="86">
        <v>1.0</v>
      </c>
      <c r="R4218" s="84"/>
      <c r="S4218" s="185"/>
      <c r="T4218" s="185"/>
      <c r="U4218" s="185"/>
      <c r="V4218" s="185"/>
      <c r="W4218" s="185"/>
      <c r="X4218" s="185"/>
      <c r="Y4218" s="284"/>
      <c r="Z4218" s="284"/>
      <c r="AA4218" s="284"/>
      <c r="AB4218" s="284"/>
      <c r="AC4218" s="284"/>
      <c r="AD4218" s="284"/>
      <c r="AE4218" s="284"/>
      <c r="AF4218" s="284"/>
      <c r="AG4218" s="284"/>
      <c r="AH4218" s="284"/>
      <c r="AI4218" s="284"/>
      <c r="AJ4218" s="284"/>
      <c r="AK4218" s="284"/>
      <c r="AL4218" s="284"/>
    </row>
    <row r="4219" ht="15.75" customHeight="1">
      <c r="A4219" s="157">
        <f t="shared" ref="A4219:A4243" si="30">A4218+1</f>
        <v>4104</v>
      </c>
      <c r="B4219" s="367"/>
      <c r="C4219" s="368" t="s">
        <v>13833</v>
      </c>
      <c r="D4219" s="367" t="s">
        <v>2811</v>
      </c>
      <c r="E4219" s="369"/>
      <c r="F4219" s="367" t="s">
        <v>29</v>
      </c>
      <c r="G4219" s="367" t="s">
        <v>166</v>
      </c>
      <c r="H4219" s="369"/>
      <c r="I4219" s="367" t="s">
        <v>38</v>
      </c>
      <c r="J4219" s="367">
        <v>316.0</v>
      </c>
      <c r="K4219" s="369"/>
      <c r="L4219" s="367" t="s">
        <v>2812</v>
      </c>
      <c r="M4219" s="369"/>
      <c r="N4219" s="369">
        <v>1995.0</v>
      </c>
      <c r="O4219" s="367" t="s">
        <v>13811</v>
      </c>
      <c r="P4219" s="369">
        <v>1.0</v>
      </c>
      <c r="Q4219" s="367"/>
      <c r="R4219" s="370"/>
      <c r="S4219" s="185"/>
      <c r="T4219" s="185"/>
      <c r="U4219" s="185"/>
      <c r="V4219" s="185"/>
      <c r="W4219" s="185"/>
      <c r="X4219" s="185"/>
      <c r="Y4219" s="284"/>
      <c r="Z4219" s="284"/>
      <c r="AA4219" s="284"/>
      <c r="AB4219" s="284"/>
      <c r="AC4219" s="284"/>
      <c r="AD4219" s="284"/>
      <c r="AE4219" s="284"/>
      <c r="AF4219" s="284"/>
      <c r="AG4219" s="284"/>
      <c r="AH4219" s="284"/>
      <c r="AI4219" s="284"/>
      <c r="AJ4219" s="284"/>
      <c r="AK4219" s="284"/>
      <c r="AL4219" s="284"/>
    </row>
    <row r="4220" ht="15.75" customHeight="1">
      <c r="A4220" s="157">
        <f t="shared" si="30"/>
        <v>4105</v>
      </c>
      <c r="B4220" s="204" t="s">
        <v>13834</v>
      </c>
      <c r="C4220" s="204" t="s">
        <v>10</v>
      </c>
      <c r="D4220" s="204" t="s">
        <v>11</v>
      </c>
      <c r="E4220" s="371" t="s">
        <v>12</v>
      </c>
      <c r="F4220" s="204" t="s">
        <v>13</v>
      </c>
      <c r="G4220" s="204" t="s">
        <v>14</v>
      </c>
      <c r="H4220" s="204" t="s">
        <v>13835</v>
      </c>
      <c r="I4220" s="204" t="s">
        <v>15</v>
      </c>
      <c r="J4220" s="204" t="s">
        <v>16</v>
      </c>
      <c r="K4220" s="204" t="s">
        <v>13836</v>
      </c>
      <c r="L4220" s="204" t="s">
        <v>13837</v>
      </c>
      <c r="M4220" s="204" t="s">
        <v>18</v>
      </c>
      <c r="N4220" s="204" t="s">
        <v>19</v>
      </c>
      <c r="O4220" s="204" t="s">
        <v>20</v>
      </c>
      <c r="P4220" s="204" t="s">
        <v>21</v>
      </c>
      <c r="Q4220" s="372" t="s">
        <v>13838</v>
      </c>
      <c r="R4220" s="204" t="s">
        <v>13839</v>
      </c>
      <c r="S4220" s="185"/>
      <c r="T4220" s="185"/>
      <c r="U4220" s="185"/>
      <c r="V4220" s="185"/>
      <c r="W4220" s="185"/>
      <c r="X4220" s="185"/>
      <c r="Y4220" s="284"/>
      <c r="Z4220" s="284"/>
      <c r="AA4220" s="284"/>
      <c r="AB4220" s="284"/>
      <c r="AC4220" s="284"/>
      <c r="AD4220" s="284"/>
      <c r="AE4220" s="284"/>
      <c r="AF4220" s="284"/>
      <c r="AG4220" s="284"/>
      <c r="AH4220" s="284"/>
      <c r="AI4220" s="284"/>
      <c r="AJ4220" s="284"/>
      <c r="AK4220" s="284"/>
      <c r="AL4220" s="284"/>
    </row>
    <row r="4221" ht="15.75" customHeight="1">
      <c r="A4221" s="157">
        <f t="shared" si="30"/>
        <v>4106</v>
      </c>
      <c r="B4221" s="367" t="s">
        <v>13840</v>
      </c>
      <c r="C4221" s="368" t="s">
        <v>13841</v>
      </c>
      <c r="D4221" s="369" t="s">
        <v>13842</v>
      </c>
      <c r="E4221" s="367" t="s">
        <v>223</v>
      </c>
      <c r="F4221" s="367" t="s">
        <v>29</v>
      </c>
      <c r="G4221" s="367" t="s">
        <v>30</v>
      </c>
      <c r="H4221" s="367"/>
      <c r="I4221" s="367" t="s">
        <v>30</v>
      </c>
      <c r="J4221" s="367">
        <v>172.0</v>
      </c>
      <c r="K4221" s="367"/>
      <c r="L4221" s="373" t="s">
        <v>13843</v>
      </c>
      <c r="M4221" s="367" t="s">
        <v>5795</v>
      </c>
      <c r="N4221" s="367">
        <v>2006.0</v>
      </c>
      <c r="O4221" s="374" t="s">
        <v>4010</v>
      </c>
      <c r="P4221" s="373">
        <v>2.0</v>
      </c>
      <c r="Q4221" s="373">
        <v>2.0</v>
      </c>
      <c r="R4221" s="370"/>
      <c r="S4221" s="185"/>
      <c r="T4221" s="185"/>
      <c r="U4221" s="185"/>
      <c r="V4221" s="185"/>
      <c r="W4221" s="185"/>
      <c r="X4221" s="185"/>
      <c r="Y4221" s="284"/>
      <c r="Z4221" s="284"/>
      <c r="AA4221" s="284"/>
      <c r="AB4221" s="284"/>
      <c r="AC4221" s="284"/>
      <c r="AD4221" s="284"/>
      <c r="AE4221" s="284"/>
      <c r="AF4221" s="284"/>
      <c r="AG4221" s="284"/>
      <c r="AH4221" s="284"/>
      <c r="AI4221" s="284"/>
      <c r="AJ4221" s="284"/>
      <c r="AK4221" s="284"/>
      <c r="AL4221" s="284"/>
    </row>
    <row r="4222" ht="15.75" customHeight="1">
      <c r="A4222" s="375">
        <f t="shared" si="30"/>
        <v>4107</v>
      </c>
      <c r="B4222" s="376" t="s">
        <v>13844</v>
      </c>
      <c r="C4222" s="377" t="s">
        <v>13845</v>
      </c>
      <c r="D4222" s="378" t="s">
        <v>13846</v>
      </c>
      <c r="E4222" s="376" t="s">
        <v>31</v>
      </c>
      <c r="F4222" s="376" t="s">
        <v>29</v>
      </c>
      <c r="G4222" s="376" t="s">
        <v>37</v>
      </c>
      <c r="H4222" s="376"/>
      <c r="I4222" s="376" t="s">
        <v>13847</v>
      </c>
      <c r="J4222" s="376">
        <v>267.0</v>
      </c>
      <c r="K4222" s="376"/>
      <c r="L4222" s="376" t="s">
        <v>13848</v>
      </c>
      <c r="M4222" s="376" t="s">
        <v>507</v>
      </c>
      <c r="N4222" s="376">
        <v>2010.0</v>
      </c>
      <c r="O4222" s="379">
        <v>16.0</v>
      </c>
      <c r="P4222" s="376">
        <v>1.0</v>
      </c>
      <c r="Q4222" s="380">
        <v>1.0</v>
      </c>
      <c r="R4222" s="381"/>
      <c r="S4222" s="185"/>
      <c r="T4222" s="185"/>
      <c r="U4222" s="185"/>
      <c r="V4222" s="185"/>
      <c r="W4222" s="185"/>
      <c r="X4222" s="185"/>
      <c r="Y4222" s="284"/>
      <c r="Z4222" s="284"/>
      <c r="AA4222" s="284"/>
      <c r="AB4222" s="284"/>
      <c r="AC4222" s="284"/>
      <c r="AD4222" s="284"/>
      <c r="AE4222" s="284"/>
      <c r="AF4222" s="284"/>
      <c r="AG4222" s="284"/>
      <c r="AH4222" s="284"/>
      <c r="AI4222" s="284"/>
      <c r="AJ4222" s="284"/>
      <c r="AK4222" s="284"/>
      <c r="AL4222" s="284"/>
    </row>
    <row r="4223" ht="15.75" customHeight="1">
      <c r="A4223" s="302">
        <f t="shared" si="30"/>
        <v>4108</v>
      </c>
      <c r="B4223" s="303" t="s">
        <v>13849</v>
      </c>
      <c r="C4223" s="382" t="s">
        <v>13850</v>
      </c>
      <c r="D4223" s="383" t="s">
        <v>0</v>
      </c>
      <c r="E4223" s="303" t="s">
        <v>31</v>
      </c>
      <c r="F4223" s="303" t="s">
        <v>29</v>
      </c>
      <c r="G4223" s="303" t="s">
        <v>81</v>
      </c>
      <c r="H4223" s="303"/>
      <c r="I4223" s="303" t="s">
        <v>38</v>
      </c>
      <c r="J4223" s="303">
        <v>345.0</v>
      </c>
      <c r="K4223" s="303"/>
      <c r="L4223" s="303" t="s">
        <v>13851</v>
      </c>
      <c r="M4223" s="303" t="s">
        <v>83</v>
      </c>
      <c r="N4223" s="303">
        <v>1969.0</v>
      </c>
      <c r="O4223" s="384">
        <v>15.0</v>
      </c>
      <c r="P4223" s="303">
        <v>1.0</v>
      </c>
      <c r="Q4223" s="324">
        <v>1.0</v>
      </c>
      <c r="R4223" s="281"/>
      <c r="S4223" s="185"/>
      <c r="T4223" s="185"/>
      <c r="U4223" s="185"/>
      <c r="V4223" s="185"/>
      <c r="W4223" s="185"/>
      <c r="X4223" s="185"/>
      <c r="Y4223" s="284"/>
      <c r="Z4223" s="284"/>
      <c r="AA4223" s="284"/>
      <c r="AB4223" s="284"/>
      <c r="AC4223" s="284"/>
      <c r="AD4223" s="284"/>
      <c r="AE4223" s="284"/>
      <c r="AF4223" s="284"/>
      <c r="AG4223" s="284"/>
      <c r="AH4223" s="284"/>
      <c r="AI4223" s="284"/>
      <c r="AJ4223" s="284"/>
      <c r="AK4223" s="284"/>
      <c r="AL4223" s="284"/>
    </row>
    <row r="4224" ht="15.75" customHeight="1">
      <c r="A4224" s="302">
        <f t="shared" si="30"/>
        <v>4109</v>
      </c>
      <c r="B4224" s="303"/>
      <c r="C4224" s="382" t="s">
        <v>13852</v>
      </c>
      <c r="D4224" s="383" t="s">
        <v>0</v>
      </c>
      <c r="E4224" s="303" t="s">
        <v>31</v>
      </c>
      <c r="F4224" s="303" t="s">
        <v>29</v>
      </c>
      <c r="G4224" s="303" t="s">
        <v>30</v>
      </c>
      <c r="H4224" s="303"/>
      <c r="I4224" s="303" t="s">
        <v>30</v>
      </c>
      <c r="J4224" s="303">
        <v>214.0</v>
      </c>
      <c r="K4224" s="303"/>
      <c r="L4224" s="303" t="s">
        <v>13853</v>
      </c>
      <c r="M4224" s="303" t="s">
        <v>114</v>
      </c>
      <c r="N4224" s="303">
        <v>1978.0</v>
      </c>
      <c r="O4224" s="384">
        <v>15.0</v>
      </c>
      <c r="P4224" s="303">
        <v>1.0</v>
      </c>
      <c r="Q4224" s="307">
        <v>1.0</v>
      </c>
      <c r="R4224" s="281"/>
      <c r="S4224" s="185"/>
      <c r="T4224" s="185"/>
      <c r="U4224" s="185"/>
      <c r="V4224" s="185"/>
      <c r="W4224" s="185"/>
      <c r="X4224" s="185"/>
      <c r="Y4224" s="284"/>
      <c r="Z4224" s="284"/>
      <c r="AA4224" s="284"/>
      <c r="AB4224" s="284"/>
      <c r="AC4224" s="284"/>
      <c r="AD4224" s="284"/>
      <c r="AE4224" s="284"/>
      <c r="AF4224" s="284"/>
      <c r="AG4224" s="284"/>
      <c r="AH4224" s="284"/>
      <c r="AI4224" s="284"/>
      <c r="AJ4224" s="284"/>
      <c r="AK4224" s="284"/>
      <c r="AL4224" s="284"/>
    </row>
    <row r="4225" ht="15.75" customHeight="1">
      <c r="A4225" s="27">
        <f t="shared" si="30"/>
        <v>4110</v>
      </c>
      <c r="B4225" s="158" t="s">
        <v>7446</v>
      </c>
      <c r="C4225" s="204" t="s">
        <v>7447</v>
      </c>
      <c r="D4225" s="160" t="s">
        <v>7448</v>
      </c>
      <c r="E4225" s="158"/>
      <c r="F4225" s="158" t="s">
        <v>29</v>
      </c>
      <c r="G4225" s="158" t="s">
        <v>37</v>
      </c>
      <c r="H4225" s="158" t="s">
        <v>31</v>
      </c>
      <c r="I4225" s="158" t="s">
        <v>38</v>
      </c>
      <c r="J4225" s="158">
        <v>253.0</v>
      </c>
      <c r="K4225" s="158"/>
      <c r="L4225" s="158" t="s">
        <v>2387</v>
      </c>
      <c r="M4225" s="158" t="s">
        <v>219</v>
      </c>
      <c r="N4225" s="158">
        <v>1960.0</v>
      </c>
      <c r="O4225" s="374">
        <v>14.0</v>
      </c>
      <c r="P4225" s="158">
        <v>1.0</v>
      </c>
      <c r="Q4225" s="162">
        <v>1.0</v>
      </c>
      <c r="R4225" s="163"/>
      <c r="S4225" s="185"/>
      <c r="T4225" s="185"/>
      <c r="U4225" s="185"/>
      <c r="V4225" s="185"/>
      <c r="W4225" s="185"/>
      <c r="X4225" s="185"/>
      <c r="Y4225" s="284"/>
      <c r="Z4225" s="284"/>
      <c r="AA4225" s="284"/>
      <c r="AB4225" s="284"/>
      <c r="AC4225" s="284"/>
      <c r="AD4225" s="284"/>
      <c r="AE4225" s="284"/>
      <c r="AF4225" s="284"/>
      <c r="AG4225" s="284"/>
      <c r="AH4225" s="284"/>
      <c r="AI4225" s="284"/>
      <c r="AJ4225" s="284"/>
      <c r="AK4225" s="284"/>
      <c r="AL4225" s="284"/>
    </row>
    <row r="4226" ht="15.75" customHeight="1">
      <c r="A4226" s="27">
        <f t="shared" si="30"/>
        <v>4111</v>
      </c>
      <c r="B4226" s="158" t="s">
        <v>8795</v>
      </c>
      <c r="C4226" s="204" t="s">
        <v>8809</v>
      </c>
      <c r="D4226" s="160" t="s">
        <v>13854</v>
      </c>
      <c r="E4226" s="158" t="s">
        <v>144</v>
      </c>
      <c r="F4226" s="158" t="s">
        <v>29</v>
      </c>
      <c r="G4226" s="158" t="s">
        <v>30</v>
      </c>
      <c r="H4226" s="158"/>
      <c r="I4226" s="158" t="s">
        <v>30</v>
      </c>
      <c r="J4226" s="158">
        <v>120.0</v>
      </c>
      <c r="K4226" s="158"/>
      <c r="L4226" s="158" t="s">
        <v>8811</v>
      </c>
      <c r="M4226" s="158" t="s">
        <v>161</v>
      </c>
      <c r="N4226" s="158">
        <v>2007.0</v>
      </c>
      <c r="O4226" s="158">
        <v>13.0</v>
      </c>
      <c r="P4226" s="158">
        <v>1.0</v>
      </c>
      <c r="Q4226" s="385">
        <v>1.0</v>
      </c>
      <c r="R4226" s="163"/>
      <c r="S4226" s="185"/>
      <c r="T4226" s="185"/>
      <c r="U4226" s="185"/>
      <c r="V4226" s="185"/>
      <c r="W4226" s="185"/>
      <c r="X4226" s="185"/>
      <c r="Y4226" s="284"/>
      <c r="Z4226" s="284"/>
      <c r="AA4226" s="284"/>
      <c r="AB4226" s="284"/>
      <c r="AC4226" s="284"/>
      <c r="AD4226" s="284"/>
      <c r="AE4226" s="284"/>
      <c r="AF4226" s="284"/>
      <c r="AG4226" s="284"/>
      <c r="AH4226" s="284"/>
      <c r="AI4226" s="284"/>
      <c r="AJ4226" s="284"/>
      <c r="AK4226" s="284"/>
      <c r="AL4226" s="284"/>
    </row>
    <row r="4227" ht="15.75" customHeight="1">
      <c r="A4227" s="157">
        <f t="shared" si="30"/>
        <v>4112</v>
      </c>
      <c r="B4227" s="373" t="s">
        <v>31</v>
      </c>
      <c r="C4227" s="373" t="s">
        <v>13855</v>
      </c>
      <c r="D4227" s="386" t="s">
        <v>13856</v>
      </c>
      <c r="E4227" s="373" t="s">
        <v>3148</v>
      </c>
      <c r="F4227" s="373" t="s">
        <v>29</v>
      </c>
      <c r="G4227" s="373" t="s">
        <v>37</v>
      </c>
      <c r="H4227" s="367"/>
      <c r="I4227" s="373" t="s">
        <v>38</v>
      </c>
      <c r="J4227" s="387">
        <v>167.0</v>
      </c>
      <c r="K4227" s="367"/>
      <c r="L4227" s="387" t="s">
        <v>520</v>
      </c>
      <c r="M4227" s="373" t="s">
        <v>54</v>
      </c>
      <c r="N4227" s="373">
        <v>1977.0</v>
      </c>
      <c r="O4227" s="387">
        <v>7.0</v>
      </c>
      <c r="P4227" s="373">
        <v>1.0</v>
      </c>
      <c r="Q4227" s="373">
        <v>1.0</v>
      </c>
      <c r="R4227" s="370"/>
      <c r="S4227" s="185"/>
      <c r="T4227" s="185"/>
      <c r="U4227" s="185"/>
      <c r="V4227" s="185"/>
      <c r="W4227" s="185"/>
      <c r="X4227" s="185"/>
      <c r="Y4227" s="284"/>
      <c r="Z4227" s="284"/>
      <c r="AA4227" s="284"/>
      <c r="AB4227" s="284"/>
      <c r="AC4227" s="284"/>
      <c r="AD4227" s="284"/>
      <c r="AE4227" s="284"/>
      <c r="AF4227" s="284"/>
      <c r="AG4227" s="284"/>
      <c r="AH4227" s="284"/>
      <c r="AI4227" s="284"/>
      <c r="AJ4227" s="284"/>
      <c r="AK4227" s="284"/>
      <c r="AL4227" s="284"/>
    </row>
    <row r="4228" ht="15.75" customHeight="1">
      <c r="A4228" s="27">
        <f t="shared" si="30"/>
        <v>4113</v>
      </c>
      <c r="B4228" s="158" t="s">
        <v>3057</v>
      </c>
      <c r="C4228" s="204" t="s">
        <v>13857</v>
      </c>
      <c r="D4228" s="160" t="s">
        <v>13858</v>
      </c>
      <c r="E4228" s="158"/>
      <c r="F4228" s="158" t="s">
        <v>29</v>
      </c>
      <c r="G4228" s="158" t="s">
        <v>30</v>
      </c>
      <c r="H4228" s="158"/>
      <c r="I4228" s="158" t="s">
        <v>30</v>
      </c>
      <c r="J4228" s="158">
        <v>252.0</v>
      </c>
      <c r="K4228" s="158"/>
      <c r="L4228" s="158" t="s">
        <v>3034</v>
      </c>
      <c r="M4228" s="158" t="s">
        <v>161</v>
      </c>
      <c r="N4228" s="158">
        <v>2002.0</v>
      </c>
      <c r="O4228" s="374">
        <v>12.0</v>
      </c>
      <c r="P4228" s="158">
        <v>1.0</v>
      </c>
      <c r="Q4228" s="162">
        <v>1.0</v>
      </c>
      <c r="R4228" s="163"/>
      <c r="S4228" s="185"/>
      <c r="T4228" s="185"/>
      <c r="U4228" s="185"/>
      <c r="V4228" s="185"/>
      <c r="W4228" s="185"/>
      <c r="X4228" s="185"/>
      <c r="Y4228" s="284"/>
      <c r="Z4228" s="284"/>
      <c r="AA4228" s="284"/>
      <c r="AB4228" s="284"/>
      <c r="AC4228" s="284"/>
      <c r="AD4228" s="284"/>
      <c r="AE4228" s="284"/>
      <c r="AF4228" s="284"/>
      <c r="AG4228" s="284"/>
      <c r="AH4228" s="284"/>
      <c r="AI4228" s="284"/>
      <c r="AJ4228" s="284"/>
      <c r="AK4228" s="284"/>
      <c r="AL4228" s="284"/>
    </row>
    <row r="4229" ht="15.75" hidden="1" customHeight="1">
      <c r="A4229" s="27">
        <f t="shared" si="30"/>
        <v>4114</v>
      </c>
      <c r="B4229" s="86">
        <v>9.781991154705E12</v>
      </c>
      <c r="C4229" s="86"/>
      <c r="D4229" s="117" t="s">
        <v>13859</v>
      </c>
      <c r="E4229" s="86"/>
      <c r="F4229" s="86" t="s">
        <v>29</v>
      </c>
      <c r="G4229" s="86" t="s">
        <v>6454</v>
      </c>
      <c r="H4229" s="86"/>
      <c r="I4229" s="86" t="s">
        <v>38</v>
      </c>
      <c r="J4229" s="86">
        <v>500.0</v>
      </c>
      <c r="K4229" s="83"/>
      <c r="L4229" s="86"/>
      <c r="M4229" s="86" t="s">
        <v>54</v>
      </c>
      <c r="N4229" s="86"/>
      <c r="O4229" s="86"/>
      <c r="P4229" s="86">
        <v>1.0</v>
      </c>
      <c r="Q4229" s="86">
        <v>1.0</v>
      </c>
      <c r="R4229" s="84"/>
      <c r="S4229" s="185"/>
      <c r="T4229" s="185"/>
      <c r="U4229" s="185"/>
      <c r="V4229" s="185"/>
      <c r="W4229" s="185"/>
      <c r="X4229" s="185"/>
      <c r="Y4229" s="284"/>
      <c r="Z4229" s="284"/>
      <c r="AA4229" s="284"/>
      <c r="AB4229" s="284"/>
      <c r="AC4229" s="284"/>
      <c r="AD4229" s="284"/>
      <c r="AE4229" s="284"/>
      <c r="AF4229" s="284"/>
      <c r="AG4229" s="284"/>
      <c r="AH4229" s="284"/>
      <c r="AI4229" s="284"/>
      <c r="AJ4229" s="284"/>
      <c r="AK4229" s="284"/>
      <c r="AL4229" s="284"/>
    </row>
    <row r="4230" ht="15.75" hidden="1" customHeight="1">
      <c r="A4230" s="27">
        <f t="shared" si="30"/>
        <v>4115</v>
      </c>
      <c r="B4230" s="86" t="s">
        <v>13860</v>
      </c>
      <c r="C4230" s="86"/>
      <c r="D4230" s="117" t="s">
        <v>11123</v>
      </c>
      <c r="E4230" s="86"/>
      <c r="F4230" s="86" t="s">
        <v>29</v>
      </c>
      <c r="G4230" s="86" t="s">
        <v>30</v>
      </c>
      <c r="H4230" s="86"/>
      <c r="I4230" s="86" t="s">
        <v>30</v>
      </c>
      <c r="J4230" s="86">
        <v>334.0</v>
      </c>
      <c r="K4230" s="83"/>
      <c r="L4230" s="86" t="s">
        <v>13861</v>
      </c>
      <c r="M4230" s="86" t="s">
        <v>4806</v>
      </c>
      <c r="N4230" s="86">
        <v>2023.0</v>
      </c>
      <c r="O4230" s="86"/>
      <c r="P4230" s="86">
        <v>1.0</v>
      </c>
      <c r="Q4230" s="86">
        <v>1.0</v>
      </c>
      <c r="R4230" s="84"/>
      <c r="S4230" s="185"/>
      <c r="T4230" s="185"/>
      <c r="U4230" s="185"/>
      <c r="V4230" s="185"/>
      <c r="W4230" s="185"/>
      <c r="X4230" s="185"/>
      <c r="Y4230" s="284"/>
      <c r="Z4230" s="284"/>
      <c r="AA4230" s="284"/>
      <c r="AB4230" s="284"/>
      <c r="AC4230" s="284"/>
      <c r="AD4230" s="284"/>
      <c r="AE4230" s="284"/>
      <c r="AF4230" s="284"/>
      <c r="AG4230" s="284"/>
      <c r="AH4230" s="284"/>
      <c r="AI4230" s="284"/>
      <c r="AJ4230" s="284"/>
      <c r="AK4230" s="284"/>
      <c r="AL4230" s="284"/>
    </row>
    <row r="4231" ht="15.75" hidden="1" customHeight="1">
      <c r="A4231" s="27">
        <f t="shared" si="30"/>
        <v>4116</v>
      </c>
      <c r="B4231" s="86"/>
      <c r="C4231" s="86"/>
      <c r="D4231" s="117"/>
      <c r="E4231" s="86"/>
      <c r="F4231" s="86"/>
      <c r="G4231" s="86"/>
      <c r="H4231" s="86"/>
      <c r="I4231" s="86"/>
      <c r="J4231" s="86"/>
      <c r="K4231" s="83"/>
      <c r="L4231" s="86"/>
      <c r="M4231" s="86"/>
      <c r="N4231" s="86"/>
      <c r="O4231" s="86"/>
      <c r="P4231" s="86"/>
      <c r="Q4231" s="86"/>
      <c r="R4231" s="84"/>
      <c r="S4231" s="185"/>
      <c r="T4231" s="185"/>
      <c r="U4231" s="185"/>
      <c r="V4231" s="185"/>
      <c r="W4231" s="185"/>
      <c r="X4231" s="185"/>
      <c r="Y4231" s="284"/>
      <c r="Z4231" s="284"/>
      <c r="AA4231" s="284"/>
      <c r="AB4231" s="284"/>
      <c r="AC4231" s="284"/>
      <c r="AD4231" s="284"/>
      <c r="AE4231" s="284"/>
      <c r="AF4231" s="284"/>
      <c r="AG4231" s="284"/>
      <c r="AH4231" s="284"/>
      <c r="AI4231" s="284"/>
      <c r="AJ4231" s="284"/>
      <c r="AK4231" s="284"/>
      <c r="AL4231" s="284"/>
    </row>
    <row r="4232" ht="15.75" hidden="1" customHeight="1">
      <c r="A4232" s="27">
        <f t="shared" si="30"/>
        <v>4117</v>
      </c>
      <c r="B4232" s="86"/>
      <c r="C4232" s="86"/>
      <c r="D4232" s="117"/>
      <c r="E4232" s="86"/>
      <c r="F4232" s="86"/>
      <c r="G4232" s="86"/>
      <c r="H4232" s="86"/>
      <c r="I4232" s="86"/>
      <c r="J4232" s="86"/>
      <c r="K4232" s="83"/>
      <c r="L4232" s="86"/>
      <c r="M4232" s="86"/>
      <c r="N4232" s="86"/>
      <c r="O4232" s="86"/>
      <c r="P4232" s="86"/>
      <c r="Q4232" s="86"/>
      <c r="R4232" s="84"/>
      <c r="S4232" s="185"/>
      <c r="T4232" s="185"/>
      <c r="U4232" s="185"/>
      <c r="V4232" s="185"/>
      <c r="W4232" s="185"/>
      <c r="X4232" s="185"/>
      <c r="Y4232" s="284"/>
      <c r="Z4232" s="284"/>
      <c r="AA4232" s="284"/>
      <c r="AB4232" s="284"/>
      <c r="AC4232" s="284"/>
      <c r="AD4232" s="284"/>
      <c r="AE4232" s="284"/>
      <c r="AF4232" s="284"/>
      <c r="AG4232" s="284"/>
      <c r="AH4232" s="284"/>
      <c r="AI4232" s="284"/>
      <c r="AJ4232" s="284"/>
      <c r="AK4232" s="284"/>
      <c r="AL4232" s="284"/>
    </row>
    <row r="4233" ht="15.75" hidden="1" customHeight="1">
      <c r="A4233" s="27">
        <f t="shared" si="30"/>
        <v>4118</v>
      </c>
      <c r="B4233" s="86"/>
      <c r="C4233" s="86"/>
      <c r="D4233" s="117"/>
      <c r="E4233" s="86"/>
      <c r="F4233" s="86"/>
      <c r="G4233" s="86"/>
      <c r="H4233" s="86"/>
      <c r="I4233" s="86"/>
      <c r="J4233" s="86"/>
      <c r="K4233" s="83"/>
      <c r="L4233" s="86"/>
      <c r="M4233" s="86"/>
      <c r="N4233" s="86"/>
      <c r="O4233" s="86"/>
      <c r="P4233" s="86"/>
      <c r="Q4233" s="86"/>
      <c r="R4233" s="84"/>
      <c r="S4233" s="185"/>
      <c r="T4233" s="185"/>
      <c r="U4233" s="185"/>
      <c r="V4233" s="185"/>
      <c r="W4233" s="185"/>
      <c r="X4233" s="185"/>
      <c r="Y4233" s="284"/>
      <c r="Z4233" s="284"/>
      <c r="AA4233" s="284"/>
      <c r="AB4233" s="284"/>
      <c r="AC4233" s="284"/>
      <c r="AD4233" s="284"/>
      <c r="AE4233" s="284"/>
      <c r="AF4233" s="284"/>
      <c r="AG4233" s="284"/>
      <c r="AH4233" s="284"/>
      <c r="AI4233" s="284"/>
      <c r="AJ4233" s="284"/>
      <c r="AK4233" s="284"/>
      <c r="AL4233" s="284"/>
    </row>
    <row r="4234" ht="15.75" hidden="1" customHeight="1">
      <c r="A4234" s="27">
        <f t="shared" si="30"/>
        <v>4119</v>
      </c>
      <c r="B4234" s="86"/>
      <c r="C4234" s="86"/>
      <c r="D4234" s="117"/>
      <c r="E4234" s="86"/>
      <c r="F4234" s="86"/>
      <c r="G4234" s="86"/>
      <c r="H4234" s="86"/>
      <c r="I4234" s="86"/>
      <c r="J4234" s="86"/>
      <c r="K4234" s="83"/>
      <c r="L4234" s="86"/>
      <c r="M4234" s="86"/>
      <c r="N4234" s="86"/>
      <c r="O4234" s="86"/>
      <c r="P4234" s="86"/>
      <c r="Q4234" s="86"/>
      <c r="R4234" s="84"/>
      <c r="S4234" s="185"/>
      <c r="T4234" s="185"/>
      <c r="U4234" s="185"/>
      <c r="V4234" s="185"/>
      <c r="W4234" s="185"/>
      <c r="X4234" s="185"/>
      <c r="Y4234" s="284"/>
      <c r="Z4234" s="284"/>
      <c r="AA4234" s="284"/>
      <c r="AB4234" s="284"/>
      <c r="AC4234" s="284"/>
      <c r="AD4234" s="284"/>
      <c r="AE4234" s="284"/>
      <c r="AF4234" s="284"/>
      <c r="AG4234" s="284"/>
      <c r="AH4234" s="284"/>
      <c r="AI4234" s="284"/>
      <c r="AJ4234" s="284"/>
      <c r="AK4234" s="284"/>
      <c r="AL4234" s="284"/>
    </row>
    <row r="4235" ht="15.75" hidden="1" customHeight="1">
      <c r="A4235" s="27">
        <f t="shared" si="30"/>
        <v>4120</v>
      </c>
      <c r="B4235" s="86"/>
      <c r="C4235" s="86"/>
      <c r="D4235" s="117"/>
      <c r="E4235" s="86"/>
      <c r="F4235" s="86"/>
      <c r="G4235" s="86"/>
      <c r="H4235" s="86"/>
      <c r="I4235" s="86"/>
      <c r="J4235" s="86"/>
      <c r="K4235" s="83"/>
      <c r="L4235" s="86"/>
      <c r="M4235" s="86"/>
      <c r="N4235" s="86"/>
      <c r="O4235" s="86"/>
      <c r="P4235" s="86"/>
      <c r="Q4235" s="86"/>
      <c r="R4235" s="84"/>
      <c r="S4235" s="185"/>
      <c r="T4235" s="185"/>
      <c r="U4235" s="185"/>
      <c r="V4235" s="185"/>
      <c r="W4235" s="185"/>
      <c r="X4235" s="185"/>
      <c r="Y4235" s="284"/>
      <c r="Z4235" s="284"/>
      <c r="AA4235" s="284"/>
      <c r="AB4235" s="284"/>
      <c r="AC4235" s="284"/>
      <c r="AD4235" s="284"/>
      <c r="AE4235" s="284"/>
      <c r="AF4235" s="284"/>
      <c r="AG4235" s="284"/>
      <c r="AH4235" s="284"/>
      <c r="AI4235" s="284"/>
      <c r="AJ4235" s="284"/>
      <c r="AK4235" s="284"/>
      <c r="AL4235" s="284"/>
    </row>
    <row r="4236" ht="15.75" hidden="1" customHeight="1">
      <c r="A4236" s="27">
        <f t="shared" si="30"/>
        <v>4121</v>
      </c>
      <c r="B4236" s="86"/>
      <c r="C4236" s="86"/>
      <c r="D4236" s="117"/>
      <c r="E4236" s="86"/>
      <c r="F4236" s="86"/>
      <c r="G4236" s="86"/>
      <c r="H4236" s="86"/>
      <c r="I4236" s="86"/>
      <c r="J4236" s="86"/>
      <c r="K4236" s="83"/>
      <c r="L4236" s="86"/>
      <c r="M4236" s="86"/>
      <c r="N4236" s="86"/>
      <c r="O4236" s="86"/>
      <c r="P4236" s="86"/>
      <c r="Q4236" s="86"/>
      <c r="R4236" s="84"/>
      <c r="S4236" s="185"/>
      <c r="T4236" s="185"/>
      <c r="U4236" s="185"/>
      <c r="V4236" s="185"/>
      <c r="W4236" s="185"/>
      <c r="X4236" s="185"/>
      <c r="Y4236" s="284"/>
      <c r="Z4236" s="284"/>
      <c r="AA4236" s="284"/>
      <c r="AB4236" s="284"/>
      <c r="AC4236" s="284"/>
      <c r="AD4236" s="284"/>
      <c r="AE4236" s="284"/>
      <c r="AF4236" s="284"/>
      <c r="AG4236" s="284"/>
      <c r="AH4236" s="284"/>
      <c r="AI4236" s="284"/>
      <c r="AJ4236" s="284"/>
      <c r="AK4236" s="284"/>
      <c r="AL4236" s="284"/>
    </row>
    <row r="4237" ht="15.75" hidden="1" customHeight="1">
      <c r="A4237" s="27">
        <f t="shared" si="30"/>
        <v>4122</v>
      </c>
      <c r="B4237" s="186"/>
      <c r="C4237" s="186"/>
      <c r="D4237" s="187"/>
      <c r="E4237" s="188"/>
      <c r="F4237" s="186"/>
      <c r="G4237" s="186"/>
      <c r="H4237" s="186"/>
      <c r="I4237" s="186"/>
      <c r="J4237" s="186"/>
      <c r="K4237" s="186"/>
      <c r="L4237" s="186"/>
      <c r="M4237" s="186"/>
      <c r="N4237" s="187"/>
      <c r="O4237" s="187"/>
      <c r="P4237" s="187"/>
      <c r="Q4237" s="192"/>
      <c r="R4237" s="84"/>
      <c r="S4237" s="185"/>
      <c r="T4237" s="388"/>
      <c r="U4237" s="185"/>
      <c r="V4237" s="185"/>
      <c r="W4237" s="185"/>
      <c r="X4237" s="185"/>
      <c r="Y4237" s="284"/>
      <c r="Z4237" s="284"/>
      <c r="AA4237" s="284"/>
      <c r="AB4237" s="284"/>
      <c r="AC4237" s="284"/>
      <c r="AD4237" s="284"/>
      <c r="AE4237" s="284"/>
      <c r="AF4237" s="284"/>
      <c r="AG4237" s="284"/>
      <c r="AH4237" s="284"/>
      <c r="AI4237" s="284"/>
      <c r="AJ4237" s="284"/>
      <c r="AK4237" s="284"/>
      <c r="AL4237" s="284"/>
    </row>
    <row r="4238" ht="15.75" hidden="1" customHeight="1">
      <c r="A4238" s="27">
        <f t="shared" si="30"/>
        <v>4123</v>
      </c>
      <c r="B4238" s="186"/>
      <c r="C4238" s="186"/>
      <c r="D4238" s="187"/>
      <c r="E4238" s="188"/>
      <c r="F4238" s="186"/>
      <c r="G4238" s="186"/>
      <c r="H4238" s="186"/>
      <c r="I4238" s="186"/>
      <c r="J4238" s="186"/>
      <c r="K4238" s="186"/>
      <c r="L4238" s="186"/>
      <c r="M4238" s="186"/>
      <c r="N4238" s="187"/>
      <c r="O4238" s="187"/>
      <c r="P4238" s="389"/>
      <c r="Q4238" s="192"/>
      <c r="R4238" s="84"/>
      <c r="S4238" s="185"/>
      <c r="T4238" s="388"/>
      <c r="U4238" s="185"/>
      <c r="V4238" s="185"/>
      <c r="W4238" s="185"/>
      <c r="X4238" s="185"/>
      <c r="Y4238" s="284"/>
      <c r="Z4238" s="284"/>
      <c r="AA4238" s="284"/>
      <c r="AB4238" s="284"/>
      <c r="AC4238" s="284"/>
      <c r="AD4238" s="284"/>
      <c r="AE4238" s="284"/>
      <c r="AF4238" s="284"/>
      <c r="AG4238" s="284"/>
      <c r="AH4238" s="284"/>
      <c r="AI4238" s="284"/>
      <c r="AJ4238" s="284"/>
      <c r="AK4238" s="284"/>
      <c r="AL4238" s="284"/>
    </row>
    <row r="4239" ht="15.75" hidden="1" customHeight="1">
      <c r="A4239" s="27">
        <f t="shared" si="30"/>
        <v>4124</v>
      </c>
      <c r="B4239" s="186"/>
      <c r="C4239" s="186"/>
      <c r="D4239" s="187"/>
      <c r="E4239" s="188"/>
      <c r="F4239" s="186"/>
      <c r="G4239" s="186"/>
      <c r="H4239" s="186"/>
      <c r="I4239" s="186"/>
      <c r="J4239" s="186"/>
      <c r="K4239" s="186"/>
      <c r="L4239" s="186"/>
      <c r="M4239" s="186"/>
      <c r="N4239" s="187"/>
      <c r="O4239" s="187"/>
      <c r="P4239" s="389"/>
      <c r="Q4239" s="192"/>
      <c r="R4239" s="84"/>
      <c r="S4239" s="185"/>
      <c r="T4239" s="388"/>
      <c r="U4239" s="185"/>
      <c r="V4239" s="185"/>
      <c r="W4239" s="185"/>
      <c r="X4239" s="185"/>
      <c r="Y4239" s="284"/>
      <c r="Z4239" s="284"/>
      <c r="AA4239" s="284"/>
      <c r="AB4239" s="284"/>
      <c r="AC4239" s="284"/>
      <c r="AD4239" s="284"/>
      <c r="AE4239" s="284"/>
      <c r="AF4239" s="284"/>
      <c r="AG4239" s="284"/>
      <c r="AH4239" s="284"/>
      <c r="AI4239" s="284"/>
      <c r="AJ4239" s="284"/>
      <c r="AK4239" s="284"/>
      <c r="AL4239" s="284"/>
    </row>
    <row r="4240" ht="15.75" hidden="1" customHeight="1">
      <c r="A4240" s="27">
        <f t="shared" si="30"/>
        <v>4125</v>
      </c>
      <c r="B4240" s="186"/>
      <c r="C4240" s="186"/>
      <c r="D4240" s="187"/>
      <c r="E4240" s="188"/>
      <c r="F4240" s="186"/>
      <c r="G4240" s="186"/>
      <c r="H4240" s="186"/>
      <c r="I4240" s="186"/>
      <c r="J4240" s="186"/>
      <c r="K4240" s="186"/>
      <c r="L4240" s="186"/>
      <c r="M4240" s="186"/>
      <c r="N4240" s="187"/>
      <c r="O4240" s="187"/>
      <c r="P4240" s="389"/>
      <c r="Q4240" s="192"/>
      <c r="R4240" s="84"/>
      <c r="S4240" s="185"/>
      <c r="T4240" s="388"/>
      <c r="U4240" s="185"/>
      <c r="V4240" s="185"/>
      <c r="W4240" s="185"/>
      <c r="X4240" s="185"/>
      <c r="Y4240" s="284"/>
      <c r="Z4240" s="284"/>
      <c r="AA4240" s="284"/>
      <c r="AB4240" s="284"/>
      <c r="AC4240" s="284"/>
      <c r="AD4240" s="284"/>
      <c r="AE4240" s="284"/>
      <c r="AF4240" s="284"/>
      <c r="AG4240" s="284"/>
      <c r="AH4240" s="284"/>
      <c r="AI4240" s="284"/>
      <c r="AJ4240" s="284"/>
      <c r="AK4240" s="284"/>
      <c r="AL4240" s="284"/>
    </row>
    <row r="4241" ht="15.75" hidden="1" customHeight="1">
      <c r="A4241" s="27">
        <f t="shared" si="30"/>
        <v>4126</v>
      </c>
      <c r="B4241" s="186"/>
      <c r="C4241" s="186"/>
      <c r="D4241" s="187"/>
      <c r="E4241" s="188"/>
      <c r="F4241" s="186"/>
      <c r="G4241" s="186"/>
      <c r="H4241" s="186"/>
      <c r="I4241" s="186"/>
      <c r="J4241" s="186"/>
      <c r="K4241" s="186"/>
      <c r="L4241" s="186"/>
      <c r="M4241" s="186"/>
      <c r="N4241" s="187"/>
      <c r="O4241" s="187"/>
      <c r="P4241" s="389"/>
      <c r="Q4241" s="192"/>
      <c r="R4241" s="84"/>
      <c r="S4241" s="185"/>
      <c r="T4241" s="388"/>
      <c r="U4241" s="185"/>
      <c r="V4241" s="185"/>
      <c r="W4241" s="185"/>
      <c r="X4241" s="185"/>
      <c r="Y4241" s="284"/>
      <c r="Z4241" s="284"/>
      <c r="AA4241" s="284"/>
      <c r="AB4241" s="284"/>
      <c r="AC4241" s="284"/>
      <c r="AD4241" s="284"/>
      <c r="AE4241" s="284"/>
      <c r="AF4241" s="284"/>
      <c r="AG4241" s="284"/>
      <c r="AH4241" s="284"/>
      <c r="AI4241" s="284"/>
      <c r="AJ4241" s="284"/>
      <c r="AK4241" s="284"/>
      <c r="AL4241" s="284"/>
    </row>
    <row r="4242" ht="15.75" hidden="1" customHeight="1">
      <c r="A4242" s="27">
        <f t="shared" si="30"/>
        <v>4127</v>
      </c>
      <c r="B4242" s="186"/>
      <c r="C4242" s="186"/>
      <c r="D4242" s="187"/>
      <c r="E4242" s="188"/>
      <c r="F4242" s="186"/>
      <c r="G4242" s="186"/>
      <c r="H4242" s="186"/>
      <c r="I4242" s="186"/>
      <c r="J4242" s="186"/>
      <c r="K4242" s="186"/>
      <c r="L4242" s="186"/>
      <c r="M4242" s="186"/>
      <c r="N4242" s="187"/>
      <c r="O4242" s="187"/>
      <c r="P4242" s="389"/>
      <c r="Q4242" s="192"/>
      <c r="R4242" s="84"/>
      <c r="S4242" s="185"/>
      <c r="T4242" s="388"/>
      <c r="U4242" s="185"/>
      <c r="V4242" s="185"/>
      <c r="W4242" s="185"/>
      <c r="X4242" s="185"/>
      <c r="Y4242" s="284"/>
      <c r="Z4242" s="284"/>
      <c r="AA4242" s="284"/>
      <c r="AB4242" s="284"/>
      <c r="AC4242" s="284"/>
      <c r="AD4242" s="284"/>
      <c r="AE4242" s="284"/>
      <c r="AF4242" s="284"/>
      <c r="AG4242" s="284"/>
      <c r="AH4242" s="284"/>
      <c r="AI4242" s="284"/>
      <c r="AJ4242" s="284"/>
      <c r="AK4242" s="284"/>
      <c r="AL4242" s="284"/>
    </row>
    <row r="4243" ht="15.75" hidden="1" customHeight="1">
      <c r="A4243" s="27">
        <f t="shared" si="30"/>
        <v>4128</v>
      </c>
      <c r="B4243" s="186"/>
      <c r="C4243" s="186"/>
      <c r="D4243" s="187"/>
      <c r="E4243" s="188"/>
      <c r="F4243" s="186"/>
      <c r="G4243" s="186"/>
      <c r="H4243" s="186"/>
      <c r="I4243" s="186"/>
      <c r="J4243" s="186"/>
      <c r="K4243" s="186"/>
      <c r="L4243" s="186"/>
      <c r="M4243" s="186"/>
      <c r="N4243" s="187"/>
      <c r="O4243" s="187"/>
      <c r="P4243" s="389"/>
      <c r="Q4243" s="192"/>
      <c r="R4243" s="84"/>
      <c r="S4243" s="185"/>
      <c r="T4243" s="388"/>
      <c r="U4243" s="185"/>
      <c r="V4243" s="185"/>
      <c r="W4243" s="185"/>
      <c r="X4243" s="185"/>
      <c r="Y4243" s="284"/>
      <c r="Z4243" s="284"/>
      <c r="AA4243" s="284"/>
      <c r="AB4243" s="284"/>
      <c r="AC4243" s="284"/>
      <c r="AD4243" s="284"/>
      <c r="AE4243" s="284"/>
      <c r="AF4243" s="284"/>
      <c r="AG4243" s="284"/>
      <c r="AH4243" s="284"/>
      <c r="AI4243" s="284"/>
      <c r="AJ4243" s="284"/>
      <c r="AK4243" s="284"/>
      <c r="AL4243" s="284"/>
    </row>
    <row r="4244" ht="15.75" customHeight="1">
      <c r="A4244" s="27"/>
      <c r="B4244" s="186"/>
      <c r="C4244" s="186"/>
      <c r="D4244" s="187"/>
      <c r="E4244" s="188"/>
      <c r="F4244" s="186"/>
      <c r="G4244" s="186"/>
      <c r="H4244" s="186"/>
      <c r="I4244" s="186"/>
      <c r="J4244" s="186"/>
      <c r="K4244" s="186"/>
      <c r="L4244" s="186"/>
      <c r="M4244" s="186"/>
      <c r="N4244" s="187"/>
      <c r="O4244" s="187"/>
      <c r="P4244" s="389"/>
      <c r="Q4244" s="192"/>
      <c r="R4244" s="84"/>
      <c r="S4244" s="185"/>
      <c r="T4244" s="388"/>
      <c r="U4244" s="185"/>
      <c r="V4244" s="185"/>
      <c r="W4244" s="185"/>
      <c r="X4244" s="185"/>
      <c r="Y4244" s="284"/>
      <c r="Z4244" s="284"/>
      <c r="AA4244" s="284"/>
      <c r="AB4244" s="284"/>
      <c r="AC4244" s="284"/>
      <c r="AD4244" s="284"/>
      <c r="AE4244" s="284"/>
      <c r="AF4244" s="284"/>
      <c r="AG4244" s="284"/>
      <c r="AH4244" s="284"/>
      <c r="AI4244" s="284"/>
      <c r="AJ4244" s="284"/>
      <c r="AK4244" s="284"/>
      <c r="AL4244" s="284"/>
    </row>
    <row r="4245" ht="49.5" customHeight="1">
      <c r="A4245" s="390" t="s">
        <v>13862</v>
      </c>
      <c r="B4245" s="16"/>
      <c r="C4245" s="16"/>
      <c r="D4245" s="16"/>
      <c r="E4245" s="16"/>
      <c r="F4245" s="16"/>
      <c r="G4245" s="16"/>
      <c r="H4245" s="16"/>
      <c r="I4245" s="16"/>
      <c r="J4245" s="16"/>
      <c r="K4245" s="16"/>
      <c r="L4245" s="16"/>
      <c r="M4245" s="16"/>
      <c r="N4245" s="16"/>
      <c r="O4245" s="17"/>
      <c r="P4245" s="391">
        <f>SUM(P6:P4236)</f>
        <v>4974</v>
      </c>
      <c r="Q4245" s="392">
        <f>SUM(Q7:Q4236)</f>
        <v>4020</v>
      </c>
      <c r="R4245" s="393"/>
      <c r="S4245" s="185"/>
      <c r="T4245" s="185"/>
      <c r="U4245" s="185"/>
      <c r="V4245" s="185"/>
      <c r="W4245" s="185"/>
      <c r="X4245" s="185"/>
      <c r="Y4245" s="284"/>
      <c r="Z4245" s="284"/>
      <c r="AA4245" s="284"/>
      <c r="AB4245" s="284"/>
      <c r="AC4245" s="284"/>
      <c r="AD4245" s="284"/>
      <c r="AE4245" s="284"/>
      <c r="AF4245" s="284"/>
      <c r="AG4245" s="284"/>
      <c r="AH4245" s="284"/>
      <c r="AI4245" s="284"/>
      <c r="AJ4245" s="284"/>
      <c r="AK4245" s="284"/>
      <c r="AL4245" s="284"/>
    </row>
    <row r="4246" ht="15.75" customHeight="1">
      <c r="A4246" s="27"/>
      <c r="B4246" s="86"/>
      <c r="C4246" s="86"/>
      <c r="D4246" s="117"/>
      <c r="E4246" s="83"/>
      <c r="F4246" s="86"/>
      <c r="G4246" s="86"/>
      <c r="H4246" s="83"/>
      <c r="I4246" s="86"/>
      <c r="J4246" s="86"/>
      <c r="K4246" s="83"/>
      <c r="L4246" s="86"/>
      <c r="M4246" s="86"/>
      <c r="N4246" s="86"/>
      <c r="O4246" s="83"/>
      <c r="P4246" s="86"/>
      <c r="Q4246" s="86"/>
      <c r="R4246" s="84"/>
      <c r="S4246" s="185"/>
      <c r="T4246" s="185"/>
      <c r="U4246" s="185"/>
      <c r="V4246" s="185"/>
      <c r="W4246" s="185"/>
      <c r="X4246" s="185"/>
      <c r="Y4246" s="284"/>
      <c r="Z4246" s="284"/>
      <c r="AA4246" s="284"/>
      <c r="AB4246" s="284"/>
      <c r="AC4246" s="284"/>
      <c r="AD4246" s="284"/>
      <c r="AE4246" s="284"/>
      <c r="AF4246" s="284"/>
      <c r="AG4246" s="284"/>
      <c r="AH4246" s="284"/>
      <c r="AI4246" s="284"/>
      <c r="AJ4246" s="284"/>
      <c r="AK4246" s="284"/>
      <c r="AL4246" s="284"/>
    </row>
    <row r="4247" ht="15.75" customHeight="1">
      <c r="A4247" s="27"/>
      <c r="B4247" s="86"/>
      <c r="C4247" s="86"/>
      <c r="D4247" s="117"/>
      <c r="E4247" s="83"/>
      <c r="F4247" s="86"/>
      <c r="G4247" s="86"/>
      <c r="H4247" s="83"/>
      <c r="I4247" s="86"/>
      <c r="J4247" s="86"/>
      <c r="K4247" s="83"/>
      <c r="L4247" s="86"/>
      <c r="M4247" s="86"/>
      <c r="N4247" s="86"/>
      <c r="O4247" s="83"/>
      <c r="P4247" s="86"/>
      <c r="Q4247" s="86"/>
      <c r="R4247" s="84"/>
      <c r="S4247" s="185"/>
      <c r="T4247" s="185"/>
      <c r="U4247" s="185"/>
      <c r="V4247" s="185"/>
      <c r="W4247" s="185"/>
      <c r="X4247" s="185"/>
      <c r="Y4247" s="284"/>
      <c r="Z4247" s="284"/>
      <c r="AA4247" s="284"/>
      <c r="AB4247" s="284"/>
      <c r="AC4247" s="284"/>
      <c r="AD4247" s="284"/>
      <c r="AE4247" s="284"/>
      <c r="AF4247" s="284"/>
      <c r="AG4247" s="284"/>
      <c r="AH4247" s="284"/>
      <c r="AI4247" s="284"/>
      <c r="AJ4247" s="284"/>
      <c r="AK4247" s="284"/>
      <c r="AL4247" s="284"/>
    </row>
    <row r="4248" ht="15.75" customHeight="1">
      <c r="A4248" s="27"/>
      <c r="B4248" s="86"/>
      <c r="C4248" s="86"/>
      <c r="D4248" s="117"/>
      <c r="E4248" s="83"/>
      <c r="F4248" s="86"/>
      <c r="G4248" s="86"/>
      <c r="H4248" s="86"/>
      <c r="I4248" s="86"/>
      <c r="J4248" s="86"/>
      <c r="K4248" s="83"/>
      <c r="L4248" s="86"/>
      <c r="M4248" s="86"/>
      <c r="N4248" s="86"/>
      <c r="O4248" s="83"/>
      <c r="P4248" s="86"/>
      <c r="Q4248" s="86"/>
      <c r="R4248" s="84"/>
      <c r="S4248" s="185"/>
      <c r="T4248" s="185"/>
      <c r="U4248" s="185"/>
      <c r="V4248" s="185"/>
      <c r="W4248" s="185"/>
      <c r="X4248" s="185"/>
      <c r="Y4248" s="284"/>
      <c r="Z4248" s="284"/>
      <c r="AA4248" s="284"/>
      <c r="AB4248" s="284"/>
      <c r="AC4248" s="284"/>
      <c r="AD4248" s="284"/>
      <c r="AE4248" s="284"/>
      <c r="AF4248" s="284"/>
      <c r="AG4248" s="284"/>
      <c r="AH4248" s="284"/>
      <c r="AI4248" s="284"/>
      <c r="AJ4248" s="284"/>
      <c r="AK4248" s="284"/>
      <c r="AL4248" s="284"/>
    </row>
    <row r="4249" ht="15.75" customHeight="1">
      <c r="A4249" s="27"/>
      <c r="B4249" s="86"/>
      <c r="C4249" s="86"/>
      <c r="D4249" s="117"/>
      <c r="E4249" s="83"/>
      <c r="F4249" s="83"/>
      <c r="G4249" s="83"/>
      <c r="H4249" s="83"/>
      <c r="I4249" s="83"/>
      <c r="J4249" s="86"/>
      <c r="K4249" s="83"/>
      <c r="L4249" s="86"/>
      <c r="M4249" s="86"/>
      <c r="N4249" s="86"/>
      <c r="O4249" s="83"/>
      <c r="P4249" s="86"/>
      <c r="Q4249" s="86"/>
      <c r="R4249" s="84"/>
      <c r="S4249" s="185"/>
      <c r="T4249" s="185"/>
      <c r="U4249" s="185"/>
      <c r="V4249" s="185"/>
      <c r="W4249" s="185"/>
      <c r="X4249" s="185"/>
      <c r="Y4249" s="284"/>
      <c r="Z4249" s="284"/>
      <c r="AA4249" s="284"/>
      <c r="AB4249" s="284"/>
      <c r="AC4249" s="284"/>
      <c r="AD4249" s="284"/>
      <c r="AE4249" s="284"/>
      <c r="AF4249" s="284"/>
      <c r="AG4249" s="284"/>
      <c r="AH4249" s="284"/>
      <c r="AI4249" s="284"/>
      <c r="AJ4249" s="284"/>
      <c r="AK4249" s="284"/>
      <c r="AL4249" s="284"/>
    </row>
    <row r="4250" ht="15.75" customHeight="1">
      <c r="A4250" s="27"/>
      <c r="B4250" s="86"/>
      <c r="C4250" s="86"/>
      <c r="D4250" s="117"/>
      <c r="E4250" s="83"/>
      <c r="F4250" s="86"/>
      <c r="G4250" s="86"/>
      <c r="H4250" s="86"/>
      <c r="I4250" s="86"/>
      <c r="J4250" s="86"/>
      <c r="K4250" s="83"/>
      <c r="L4250" s="86"/>
      <c r="M4250" s="86"/>
      <c r="N4250" s="86"/>
      <c r="O4250" s="83"/>
      <c r="P4250" s="86"/>
      <c r="Q4250" s="86"/>
      <c r="R4250" s="84"/>
      <c r="S4250" s="185"/>
      <c r="T4250" s="185"/>
      <c r="U4250" s="185"/>
      <c r="V4250" s="185"/>
      <c r="W4250" s="185"/>
      <c r="X4250" s="185"/>
      <c r="Y4250" s="284"/>
      <c r="Z4250" s="284"/>
      <c r="AA4250" s="284"/>
      <c r="AB4250" s="284"/>
      <c r="AC4250" s="284"/>
      <c r="AD4250" s="284"/>
      <c r="AE4250" s="284"/>
      <c r="AF4250" s="284"/>
      <c r="AG4250" s="284"/>
      <c r="AH4250" s="284"/>
      <c r="AI4250" s="284"/>
      <c r="AJ4250" s="284"/>
      <c r="AK4250" s="284"/>
      <c r="AL4250" s="284"/>
    </row>
    <row r="4251" ht="15.75" customHeight="1">
      <c r="A4251" s="27"/>
      <c r="B4251" s="86"/>
      <c r="C4251" s="86"/>
      <c r="D4251" s="117"/>
      <c r="E4251" s="83"/>
      <c r="F4251" s="86"/>
      <c r="G4251" s="86"/>
      <c r="H4251" s="86"/>
      <c r="I4251" s="86"/>
      <c r="J4251" s="86"/>
      <c r="K4251" s="83"/>
      <c r="L4251" s="86"/>
      <c r="M4251" s="86"/>
      <c r="N4251" s="86"/>
      <c r="O4251" s="83"/>
      <c r="P4251" s="86"/>
      <c r="Q4251" s="86"/>
      <c r="R4251" s="84"/>
      <c r="S4251" s="185"/>
      <c r="T4251" s="185"/>
      <c r="U4251" s="185"/>
      <c r="V4251" s="185"/>
      <c r="W4251" s="185"/>
      <c r="X4251" s="185"/>
      <c r="Y4251" s="284"/>
      <c r="Z4251" s="284"/>
      <c r="AA4251" s="284"/>
      <c r="AB4251" s="284"/>
      <c r="AC4251" s="284"/>
      <c r="AD4251" s="284"/>
      <c r="AE4251" s="284"/>
      <c r="AF4251" s="284"/>
      <c r="AG4251" s="284"/>
      <c r="AH4251" s="284"/>
      <c r="AI4251" s="284"/>
      <c r="AJ4251" s="284"/>
      <c r="AK4251" s="284"/>
      <c r="AL4251" s="284"/>
    </row>
    <row r="4252" ht="15.75" customHeight="1">
      <c r="A4252" s="27"/>
      <c r="B4252" s="86"/>
      <c r="C4252" s="86"/>
      <c r="D4252" s="117"/>
      <c r="E4252" s="83"/>
      <c r="F4252" s="86"/>
      <c r="G4252" s="86"/>
      <c r="H4252" s="86"/>
      <c r="I4252" s="86"/>
      <c r="J4252" s="86"/>
      <c r="K4252" s="83"/>
      <c r="L4252" s="86"/>
      <c r="M4252" s="86"/>
      <c r="N4252" s="86"/>
      <c r="O4252" s="83"/>
      <c r="P4252" s="86"/>
      <c r="Q4252" s="86"/>
      <c r="R4252" s="84"/>
      <c r="S4252" s="185"/>
      <c r="T4252" s="185"/>
      <c r="U4252" s="185"/>
      <c r="V4252" s="185"/>
      <c r="W4252" s="185"/>
      <c r="X4252" s="185"/>
      <c r="Y4252" s="284"/>
      <c r="Z4252" s="284"/>
      <c r="AA4252" s="284"/>
      <c r="AB4252" s="284"/>
      <c r="AC4252" s="284"/>
      <c r="AD4252" s="284"/>
      <c r="AE4252" s="284"/>
      <c r="AF4252" s="284"/>
      <c r="AG4252" s="284"/>
      <c r="AH4252" s="284"/>
      <c r="AI4252" s="284"/>
      <c r="AJ4252" s="284"/>
      <c r="AK4252" s="284"/>
      <c r="AL4252" s="284"/>
    </row>
    <row r="4253" ht="15.75" customHeight="1">
      <c r="A4253" s="27"/>
      <c r="B4253" s="86"/>
      <c r="C4253" s="86"/>
      <c r="D4253" s="117"/>
      <c r="E4253" s="83"/>
      <c r="F4253" s="86"/>
      <c r="G4253" s="86"/>
      <c r="H4253" s="86"/>
      <c r="I4253" s="86"/>
      <c r="J4253" s="86"/>
      <c r="K4253" s="83"/>
      <c r="L4253" s="86"/>
      <c r="M4253" s="86"/>
      <c r="N4253" s="86"/>
      <c r="O4253" s="83"/>
      <c r="P4253" s="86"/>
      <c r="Q4253" s="86"/>
      <c r="R4253" s="84"/>
      <c r="S4253" s="185"/>
      <c r="T4253" s="185"/>
      <c r="U4253" s="185"/>
      <c r="V4253" s="185"/>
      <c r="W4253" s="185"/>
      <c r="X4253" s="185"/>
      <c r="Y4253" s="284"/>
      <c r="Z4253" s="284"/>
      <c r="AA4253" s="284"/>
      <c r="AB4253" s="284"/>
      <c r="AC4253" s="284"/>
      <c r="AD4253" s="284"/>
      <c r="AE4253" s="284"/>
      <c r="AF4253" s="284"/>
      <c r="AG4253" s="284"/>
      <c r="AH4253" s="284"/>
      <c r="AI4253" s="284"/>
      <c r="AJ4253" s="284"/>
      <c r="AK4253" s="284"/>
      <c r="AL4253" s="284"/>
    </row>
    <row r="4254" ht="15.75" customHeight="1">
      <c r="A4254" s="27"/>
      <c r="B4254" s="86"/>
      <c r="C4254" s="86"/>
      <c r="D4254" s="117"/>
      <c r="E4254" s="83"/>
      <c r="F4254" s="86"/>
      <c r="G4254" s="86"/>
      <c r="H4254" s="83"/>
      <c r="I4254" s="86"/>
      <c r="J4254" s="86"/>
      <c r="K4254" s="83"/>
      <c r="L4254" s="86"/>
      <c r="M4254" s="86"/>
      <c r="N4254" s="86"/>
      <c r="O4254" s="83"/>
      <c r="P4254" s="86"/>
      <c r="Q4254" s="86"/>
      <c r="R4254" s="84"/>
      <c r="S4254" s="185"/>
      <c r="T4254" s="185"/>
      <c r="U4254" s="185"/>
      <c r="V4254" s="185"/>
      <c r="W4254" s="185"/>
      <c r="X4254" s="185"/>
      <c r="Y4254" s="284"/>
      <c r="Z4254" s="284"/>
      <c r="AA4254" s="284"/>
      <c r="AB4254" s="284"/>
      <c r="AC4254" s="284"/>
      <c r="AD4254" s="284"/>
      <c r="AE4254" s="284"/>
      <c r="AF4254" s="284"/>
      <c r="AG4254" s="284"/>
      <c r="AH4254" s="284"/>
      <c r="AI4254" s="284"/>
      <c r="AJ4254" s="284"/>
      <c r="AK4254" s="284"/>
      <c r="AL4254" s="284"/>
    </row>
    <row r="4255" ht="15.75" customHeight="1">
      <c r="A4255" s="27"/>
      <c r="B4255" s="86"/>
      <c r="C4255" s="86"/>
      <c r="D4255" s="117"/>
      <c r="E4255" s="83"/>
      <c r="F4255" s="86"/>
      <c r="G4255" s="86"/>
      <c r="H4255" s="83"/>
      <c r="I4255" s="86"/>
      <c r="J4255" s="86"/>
      <c r="K4255" s="83"/>
      <c r="L4255" s="86"/>
      <c r="M4255" s="86"/>
      <c r="N4255" s="86"/>
      <c r="O4255" s="83"/>
      <c r="P4255" s="86"/>
      <c r="Q4255" s="86"/>
      <c r="R4255" s="84"/>
      <c r="S4255" s="185"/>
      <c r="T4255" s="185"/>
      <c r="U4255" s="185"/>
      <c r="V4255" s="185"/>
      <c r="W4255" s="185"/>
      <c r="X4255" s="185"/>
      <c r="Y4255" s="284"/>
      <c r="Z4255" s="284"/>
      <c r="AA4255" s="284"/>
      <c r="AB4255" s="284"/>
      <c r="AC4255" s="284"/>
      <c r="AD4255" s="284"/>
      <c r="AE4255" s="284"/>
      <c r="AF4255" s="284"/>
      <c r="AG4255" s="284"/>
      <c r="AH4255" s="284"/>
      <c r="AI4255" s="284"/>
      <c r="AJ4255" s="284"/>
      <c r="AK4255" s="284"/>
      <c r="AL4255" s="284"/>
    </row>
    <row r="4256" ht="15.75" customHeight="1">
      <c r="A4256" s="27"/>
      <c r="B4256" s="86"/>
      <c r="C4256" s="86"/>
      <c r="D4256" s="117"/>
      <c r="E4256" s="83"/>
      <c r="F4256" s="86"/>
      <c r="G4256" s="86"/>
      <c r="H4256" s="83"/>
      <c r="I4256" s="86"/>
      <c r="J4256" s="86"/>
      <c r="K4256" s="83"/>
      <c r="L4256" s="86"/>
      <c r="M4256" s="86"/>
      <c r="N4256" s="86"/>
      <c r="O4256" s="83"/>
      <c r="P4256" s="86"/>
      <c r="Q4256" s="86"/>
      <c r="R4256" s="84"/>
      <c r="S4256" s="185"/>
      <c r="T4256" s="185"/>
      <c r="U4256" s="185"/>
      <c r="V4256" s="185"/>
      <c r="W4256" s="185"/>
      <c r="X4256" s="185"/>
      <c r="Y4256" s="284"/>
      <c r="Z4256" s="284"/>
      <c r="AA4256" s="284"/>
      <c r="AB4256" s="284"/>
      <c r="AC4256" s="284"/>
      <c r="AD4256" s="284"/>
      <c r="AE4256" s="284"/>
      <c r="AF4256" s="284"/>
      <c r="AG4256" s="284"/>
      <c r="AH4256" s="284"/>
      <c r="AI4256" s="284"/>
      <c r="AJ4256" s="284"/>
      <c r="AK4256" s="284"/>
      <c r="AL4256" s="284"/>
    </row>
    <row r="4257" ht="15.75" customHeight="1">
      <c r="A4257" s="27"/>
      <c r="B4257" s="86"/>
      <c r="C4257" s="86"/>
      <c r="D4257" s="117"/>
      <c r="E4257" s="83"/>
      <c r="F4257" s="86"/>
      <c r="G4257" s="86"/>
      <c r="H4257" s="83"/>
      <c r="I4257" s="86"/>
      <c r="J4257" s="86"/>
      <c r="K4257" s="83"/>
      <c r="L4257" s="86"/>
      <c r="M4257" s="86"/>
      <c r="N4257" s="86"/>
      <c r="O4257" s="83"/>
      <c r="P4257" s="86"/>
      <c r="Q4257" s="86"/>
      <c r="R4257" s="84"/>
      <c r="S4257" s="185"/>
      <c r="T4257" s="185"/>
      <c r="U4257" s="185"/>
      <c r="V4257" s="185"/>
      <c r="W4257" s="185"/>
      <c r="X4257" s="185"/>
      <c r="Y4257" s="284"/>
      <c r="Z4257" s="284"/>
      <c r="AA4257" s="284"/>
      <c r="AB4257" s="284"/>
      <c r="AC4257" s="284"/>
      <c r="AD4257" s="284"/>
      <c r="AE4257" s="284"/>
      <c r="AF4257" s="284"/>
      <c r="AG4257" s="284"/>
      <c r="AH4257" s="284"/>
      <c r="AI4257" s="284"/>
      <c r="AJ4257" s="284"/>
      <c r="AK4257" s="284"/>
      <c r="AL4257" s="284"/>
    </row>
    <row r="4258" ht="15.75" customHeight="1">
      <c r="A4258" s="27"/>
      <c r="B4258" s="86"/>
      <c r="C4258" s="86"/>
      <c r="D4258" s="117"/>
      <c r="E4258" s="83"/>
      <c r="F4258" s="86"/>
      <c r="G4258" s="86"/>
      <c r="H4258" s="83"/>
      <c r="I4258" s="86"/>
      <c r="J4258" s="86"/>
      <c r="K4258" s="83"/>
      <c r="L4258" s="86"/>
      <c r="M4258" s="86"/>
      <c r="N4258" s="86"/>
      <c r="O4258" s="83"/>
      <c r="P4258" s="86"/>
      <c r="Q4258" s="86"/>
      <c r="R4258" s="84"/>
      <c r="S4258" s="185"/>
      <c r="T4258" s="185"/>
      <c r="U4258" s="185"/>
      <c r="V4258" s="185"/>
      <c r="W4258" s="185"/>
      <c r="X4258" s="185"/>
      <c r="Y4258" s="284"/>
      <c r="Z4258" s="284"/>
      <c r="AA4258" s="284"/>
      <c r="AB4258" s="284"/>
      <c r="AC4258" s="284"/>
      <c r="AD4258" s="284"/>
      <c r="AE4258" s="284"/>
      <c r="AF4258" s="284"/>
      <c r="AG4258" s="284"/>
      <c r="AH4258" s="284"/>
      <c r="AI4258" s="284"/>
      <c r="AJ4258" s="284"/>
      <c r="AK4258" s="284"/>
      <c r="AL4258" s="284"/>
    </row>
    <row r="4259" ht="15.75" customHeight="1">
      <c r="A4259" s="27"/>
      <c r="B4259" s="86"/>
      <c r="C4259" s="86"/>
      <c r="D4259" s="117"/>
      <c r="E4259" s="83"/>
      <c r="F4259" s="86"/>
      <c r="G4259" s="86"/>
      <c r="H4259" s="83"/>
      <c r="I4259" s="86"/>
      <c r="J4259" s="86"/>
      <c r="K4259" s="83"/>
      <c r="L4259" s="86"/>
      <c r="M4259" s="86"/>
      <c r="N4259" s="86"/>
      <c r="O4259" s="83"/>
      <c r="P4259" s="86"/>
      <c r="Q4259" s="86"/>
      <c r="R4259" s="84"/>
      <c r="S4259" s="185"/>
      <c r="T4259" s="185"/>
      <c r="U4259" s="185"/>
      <c r="V4259" s="185"/>
      <c r="W4259" s="185"/>
      <c r="X4259" s="185"/>
      <c r="Y4259" s="284"/>
      <c r="Z4259" s="284"/>
      <c r="AA4259" s="284"/>
      <c r="AB4259" s="284"/>
      <c r="AC4259" s="284"/>
      <c r="AD4259" s="284"/>
      <c r="AE4259" s="284"/>
      <c r="AF4259" s="284"/>
      <c r="AG4259" s="284"/>
      <c r="AH4259" s="284"/>
      <c r="AI4259" s="284"/>
      <c r="AJ4259" s="284"/>
      <c r="AK4259" s="284"/>
      <c r="AL4259" s="284"/>
    </row>
    <row r="4260" ht="15.75" customHeight="1">
      <c r="A4260" s="27"/>
      <c r="B4260" s="86"/>
      <c r="C4260" s="86"/>
      <c r="D4260" s="117"/>
      <c r="E4260" s="83"/>
      <c r="F4260" s="86"/>
      <c r="G4260" s="86"/>
      <c r="H4260" s="83"/>
      <c r="I4260" s="86"/>
      <c r="J4260" s="86"/>
      <c r="K4260" s="83"/>
      <c r="L4260" s="86"/>
      <c r="M4260" s="86"/>
      <c r="N4260" s="86"/>
      <c r="O4260" s="83"/>
      <c r="P4260" s="86"/>
      <c r="Q4260" s="86"/>
      <c r="R4260" s="84"/>
      <c r="S4260" s="185"/>
      <c r="T4260" s="185"/>
      <c r="U4260" s="185"/>
      <c r="V4260" s="185"/>
      <c r="W4260" s="185"/>
      <c r="X4260" s="185"/>
      <c r="Y4260" s="284"/>
      <c r="Z4260" s="284"/>
      <c r="AA4260" s="284"/>
      <c r="AB4260" s="284"/>
      <c r="AC4260" s="284"/>
      <c r="AD4260" s="284"/>
      <c r="AE4260" s="284"/>
      <c r="AF4260" s="284"/>
      <c r="AG4260" s="284"/>
      <c r="AH4260" s="284"/>
      <c r="AI4260" s="284"/>
      <c r="AJ4260" s="284"/>
      <c r="AK4260" s="284"/>
      <c r="AL4260" s="284"/>
    </row>
    <row r="4261" ht="15.75" customHeight="1">
      <c r="A4261" s="27"/>
      <c r="B4261" s="86"/>
      <c r="C4261" s="86"/>
      <c r="D4261" s="117"/>
      <c r="E4261" s="83"/>
      <c r="F4261" s="86"/>
      <c r="G4261" s="86"/>
      <c r="H4261" s="83"/>
      <c r="I4261" s="86"/>
      <c r="J4261" s="86"/>
      <c r="K4261" s="83"/>
      <c r="L4261" s="86"/>
      <c r="M4261" s="86"/>
      <c r="N4261" s="86"/>
      <c r="O4261" s="83"/>
      <c r="P4261" s="86"/>
      <c r="Q4261" s="86"/>
      <c r="R4261" s="84"/>
      <c r="S4261" s="185"/>
      <c r="T4261" s="185"/>
      <c r="U4261" s="185"/>
      <c r="V4261" s="185"/>
      <c r="W4261" s="185"/>
      <c r="X4261" s="185"/>
      <c r="Y4261" s="284"/>
      <c r="Z4261" s="284"/>
      <c r="AA4261" s="284"/>
      <c r="AB4261" s="284"/>
      <c r="AC4261" s="284"/>
      <c r="AD4261" s="284"/>
      <c r="AE4261" s="284"/>
      <c r="AF4261" s="284"/>
      <c r="AG4261" s="284"/>
      <c r="AH4261" s="284"/>
      <c r="AI4261" s="284"/>
      <c r="AJ4261" s="284"/>
      <c r="AK4261" s="284"/>
      <c r="AL4261" s="284"/>
    </row>
    <row r="4262" ht="15.75" customHeight="1">
      <c r="A4262" s="27"/>
      <c r="B4262" s="86"/>
      <c r="C4262" s="86"/>
      <c r="D4262" s="117"/>
      <c r="E4262" s="83"/>
      <c r="F4262" s="86"/>
      <c r="G4262" s="86"/>
      <c r="H4262" s="83"/>
      <c r="I4262" s="86"/>
      <c r="J4262" s="86"/>
      <c r="K4262" s="83"/>
      <c r="L4262" s="86"/>
      <c r="M4262" s="86"/>
      <c r="N4262" s="86"/>
      <c r="O4262" s="83"/>
      <c r="P4262" s="86"/>
      <c r="Q4262" s="86"/>
      <c r="R4262" s="84"/>
      <c r="S4262" s="185"/>
      <c r="T4262" s="185"/>
      <c r="U4262" s="185"/>
      <c r="V4262" s="185"/>
      <c r="W4262" s="185"/>
      <c r="X4262" s="185"/>
      <c r="Y4262" s="284"/>
      <c r="Z4262" s="284"/>
      <c r="AA4262" s="284"/>
      <c r="AB4262" s="284"/>
      <c r="AC4262" s="284"/>
      <c r="AD4262" s="284"/>
      <c r="AE4262" s="284"/>
      <c r="AF4262" s="284"/>
      <c r="AG4262" s="284"/>
      <c r="AH4262" s="284"/>
      <c r="AI4262" s="284"/>
      <c r="AJ4262" s="284"/>
      <c r="AK4262" s="284"/>
      <c r="AL4262" s="284"/>
    </row>
    <row r="4263" ht="15.75" customHeight="1">
      <c r="A4263" s="27"/>
      <c r="B4263" s="86"/>
      <c r="C4263" s="86"/>
      <c r="D4263" s="117"/>
      <c r="E4263" s="83"/>
      <c r="F4263" s="86"/>
      <c r="G4263" s="86"/>
      <c r="H4263" s="83"/>
      <c r="I4263" s="86"/>
      <c r="J4263" s="86"/>
      <c r="K4263" s="83"/>
      <c r="L4263" s="86"/>
      <c r="M4263" s="86"/>
      <c r="N4263" s="86"/>
      <c r="O4263" s="83"/>
      <c r="P4263" s="86"/>
      <c r="Q4263" s="86"/>
      <c r="R4263" s="84"/>
      <c r="S4263" s="185"/>
      <c r="T4263" s="185"/>
      <c r="U4263" s="185"/>
      <c r="V4263" s="185"/>
      <c r="W4263" s="185"/>
      <c r="X4263" s="185"/>
      <c r="Y4263" s="284"/>
      <c r="Z4263" s="284"/>
      <c r="AA4263" s="284"/>
      <c r="AB4263" s="284"/>
      <c r="AC4263" s="284"/>
      <c r="AD4263" s="284"/>
      <c r="AE4263" s="284"/>
      <c r="AF4263" s="284"/>
      <c r="AG4263" s="284"/>
      <c r="AH4263" s="284"/>
      <c r="AI4263" s="284"/>
      <c r="AJ4263" s="284"/>
      <c r="AK4263" s="284"/>
      <c r="AL4263" s="284"/>
    </row>
    <row r="4264" ht="15.75" customHeight="1">
      <c r="A4264" s="27"/>
      <c r="B4264" s="86"/>
      <c r="C4264" s="86"/>
      <c r="D4264" s="117"/>
      <c r="E4264" s="83"/>
      <c r="F4264" s="86"/>
      <c r="G4264" s="86"/>
      <c r="H4264" s="83"/>
      <c r="I4264" s="86"/>
      <c r="J4264" s="86"/>
      <c r="K4264" s="83"/>
      <c r="L4264" s="86"/>
      <c r="M4264" s="86"/>
      <c r="N4264" s="86"/>
      <c r="O4264" s="83"/>
      <c r="P4264" s="86"/>
      <c r="Q4264" s="86"/>
      <c r="R4264" s="84"/>
      <c r="S4264" s="185"/>
      <c r="T4264" s="185"/>
      <c r="U4264" s="185"/>
      <c r="V4264" s="185"/>
      <c r="W4264" s="185"/>
      <c r="X4264" s="185"/>
      <c r="Y4264" s="284"/>
      <c r="Z4264" s="284"/>
      <c r="AA4264" s="284"/>
      <c r="AB4264" s="284"/>
      <c r="AC4264" s="284"/>
      <c r="AD4264" s="284"/>
      <c r="AE4264" s="284"/>
      <c r="AF4264" s="284"/>
      <c r="AG4264" s="284"/>
      <c r="AH4264" s="284"/>
      <c r="AI4264" s="284"/>
      <c r="AJ4264" s="284"/>
      <c r="AK4264" s="284"/>
      <c r="AL4264" s="284"/>
    </row>
    <row r="4265" ht="15.75" customHeight="1">
      <c r="A4265" s="27"/>
      <c r="B4265" s="86"/>
      <c r="C4265" s="86"/>
      <c r="D4265" s="117"/>
      <c r="E4265" s="83"/>
      <c r="F4265" s="86"/>
      <c r="G4265" s="86"/>
      <c r="H4265" s="83"/>
      <c r="I4265" s="86"/>
      <c r="J4265" s="86"/>
      <c r="K4265" s="83"/>
      <c r="L4265" s="86"/>
      <c r="M4265" s="86"/>
      <c r="N4265" s="86"/>
      <c r="O4265" s="83"/>
      <c r="P4265" s="86"/>
      <c r="Q4265" s="86"/>
      <c r="R4265" s="84"/>
      <c r="S4265" s="185"/>
      <c r="T4265" s="185"/>
      <c r="U4265" s="185"/>
      <c r="V4265" s="185"/>
      <c r="W4265" s="185"/>
      <c r="X4265" s="185"/>
      <c r="Y4265" s="284"/>
      <c r="Z4265" s="284"/>
      <c r="AA4265" s="284"/>
      <c r="AB4265" s="284"/>
      <c r="AC4265" s="284"/>
      <c r="AD4265" s="284"/>
      <c r="AE4265" s="284"/>
      <c r="AF4265" s="284"/>
      <c r="AG4265" s="284"/>
      <c r="AH4265" s="284"/>
      <c r="AI4265" s="284"/>
      <c r="AJ4265" s="284"/>
      <c r="AK4265" s="284"/>
      <c r="AL4265" s="284"/>
    </row>
    <row r="4266" ht="15.75" customHeight="1">
      <c r="A4266" s="27"/>
      <c r="B4266" s="86"/>
      <c r="C4266" s="86"/>
      <c r="D4266" s="117"/>
      <c r="E4266" s="83"/>
      <c r="F4266" s="86"/>
      <c r="G4266" s="86"/>
      <c r="H4266" s="83"/>
      <c r="I4266" s="86"/>
      <c r="J4266" s="86"/>
      <c r="K4266" s="83"/>
      <c r="L4266" s="86"/>
      <c r="M4266" s="86"/>
      <c r="N4266" s="86"/>
      <c r="O4266" s="83"/>
      <c r="P4266" s="86"/>
      <c r="Q4266" s="86"/>
      <c r="R4266" s="84"/>
      <c r="S4266" s="185"/>
      <c r="T4266" s="185"/>
      <c r="U4266" s="185"/>
      <c r="V4266" s="185"/>
      <c r="W4266" s="185"/>
      <c r="X4266" s="185"/>
      <c r="Y4266" s="284"/>
      <c r="Z4266" s="284"/>
      <c r="AA4266" s="284"/>
      <c r="AB4266" s="284"/>
      <c r="AC4266" s="284"/>
      <c r="AD4266" s="284"/>
      <c r="AE4266" s="284"/>
      <c r="AF4266" s="284"/>
      <c r="AG4266" s="284"/>
      <c r="AH4266" s="284"/>
      <c r="AI4266" s="284"/>
      <c r="AJ4266" s="284"/>
      <c r="AK4266" s="284"/>
      <c r="AL4266" s="284"/>
    </row>
    <row r="4267" ht="15.75" customHeight="1">
      <c r="A4267" s="27"/>
      <c r="B4267" s="86"/>
      <c r="C4267" s="86"/>
      <c r="D4267" s="117"/>
      <c r="E4267" s="83"/>
      <c r="F4267" s="86"/>
      <c r="G4267" s="86"/>
      <c r="H4267" s="83"/>
      <c r="I4267" s="86"/>
      <c r="J4267" s="86"/>
      <c r="K4267" s="83"/>
      <c r="L4267" s="86"/>
      <c r="M4267" s="86"/>
      <c r="N4267" s="86"/>
      <c r="O4267" s="83"/>
      <c r="P4267" s="86"/>
      <c r="Q4267" s="86"/>
      <c r="R4267" s="84"/>
      <c r="S4267" s="185"/>
      <c r="T4267" s="185"/>
      <c r="U4267" s="185"/>
      <c r="V4267" s="185"/>
      <c r="W4267" s="185"/>
      <c r="X4267" s="185"/>
      <c r="Y4267" s="284"/>
      <c r="Z4267" s="284"/>
      <c r="AA4267" s="284"/>
      <c r="AB4267" s="284"/>
      <c r="AC4267" s="284"/>
      <c r="AD4267" s="284"/>
      <c r="AE4267" s="284"/>
      <c r="AF4267" s="284"/>
      <c r="AG4267" s="284"/>
      <c r="AH4267" s="284"/>
      <c r="AI4267" s="284"/>
      <c r="AJ4267" s="284"/>
      <c r="AK4267" s="284"/>
      <c r="AL4267" s="284"/>
    </row>
    <row r="4268" ht="15.75" customHeight="1">
      <c r="A4268" s="27"/>
      <c r="B4268" s="86"/>
      <c r="C4268" s="86"/>
      <c r="D4268" s="117"/>
      <c r="E4268" s="83"/>
      <c r="F4268" s="86"/>
      <c r="G4268" s="86"/>
      <c r="H4268" s="83"/>
      <c r="I4268" s="86"/>
      <c r="J4268" s="86"/>
      <c r="K4268" s="83"/>
      <c r="L4268" s="86"/>
      <c r="M4268" s="86"/>
      <c r="N4268" s="86"/>
      <c r="O4268" s="83"/>
      <c r="P4268" s="86"/>
      <c r="Q4268" s="86"/>
      <c r="R4268" s="84"/>
      <c r="S4268" s="185"/>
      <c r="T4268" s="185"/>
      <c r="U4268" s="185"/>
      <c r="V4268" s="185"/>
      <c r="W4268" s="185"/>
      <c r="X4268" s="185"/>
      <c r="Y4268" s="284"/>
      <c r="Z4268" s="284"/>
      <c r="AA4268" s="284"/>
      <c r="AB4268" s="284"/>
      <c r="AC4268" s="284"/>
      <c r="AD4268" s="284"/>
      <c r="AE4268" s="284"/>
      <c r="AF4268" s="284"/>
      <c r="AG4268" s="284"/>
      <c r="AH4268" s="284"/>
      <c r="AI4268" s="284"/>
      <c r="AJ4268" s="284"/>
      <c r="AK4268" s="284"/>
      <c r="AL4268" s="284"/>
    </row>
    <row r="4269" ht="15.75" customHeight="1">
      <c r="A4269" s="27"/>
      <c r="B4269" s="86"/>
      <c r="C4269" s="86"/>
      <c r="D4269" s="117"/>
      <c r="E4269" s="83"/>
      <c r="F4269" s="86"/>
      <c r="G4269" s="86"/>
      <c r="H4269" s="83"/>
      <c r="I4269" s="86"/>
      <c r="J4269" s="86"/>
      <c r="K4269" s="83"/>
      <c r="L4269" s="86"/>
      <c r="M4269" s="86"/>
      <c r="N4269" s="86"/>
      <c r="O4269" s="83"/>
      <c r="P4269" s="86"/>
      <c r="Q4269" s="86"/>
      <c r="R4269" s="84"/>
      <c r="S4269" s="185"/>
      <c r="T4269" s="185"/>
      <c r="U4269" s="185"/>
      <c r="V4269" s="185"/>
      <c r="W4269" s="185"/>
      <c r="X4269" s="185"/>
      <c r="Y4269" s="284"/>
      <c r="Z4269" s="284"/>
      <c r="AA4269" s="284"/>
      <c r="AB4269" s="284"/>
      <c r="AC4269" s="284"/>
      <c r="AD4269" s="284"/>
      <c r="AE4269" s="284"/>
      <c r="AF4269" s="284"/>
      <c r="AG4269" s="284"/>
      <c r="AH4269" s="284"/>
      <c r="AI4269" s="284"/>
      <c r="AJ4269" s="284"/>
      <c r="AK4269" s="284"/>
      <c r="AL4269" s="284"/>
    </row>
    <row r="4270" ht="15.75" customHeight="1">
      <c r="A4270" s="27"/>
      <c r="B4270" s="86"/>
      <c r="C4270" s="86"/>
      <c r="D4270" s="117"/>
      <c r="E4270" s="83"/>
      <c r="F4270" s="86"/>
      <c r="G4270" s="86"/>
      <c r="H4270" s="83"/>
      <c r="I4270" s="86"/>
      <c r="J4270" s="86"/>
      <c r="K4270" s="83"/>
      <c r="L4270" s="86"/>
      <c r="M4270" s="86"/>
      <c r="N4270" s="86"/>
      <c r="O4270" s="83"/>
      <c r="P4270" s="86"/>
      <c r="Q4270" s="86"/>
      <c r="R4270" s="84"/>
      <c r="S4270" s="185"/>
      <c r="T4270" s="185"/>
      <c r="U4270" s="185"/>
      <c r="V4270" s="185"/>
      <c r="W4270" s="185"/>
      <c r="X4270" s="185"/>
      <c r="Y4270" s="284"/>
      <c r="Z4270" s="284"/>
      <c r="AA4270" s="284"/>
      <c r="AB4270" s="284"/>
      <c r="AC4270" s="284"/>
      <c r="AD4270" s="284"/>
      <c r="AE4270" s="284"/>
      <c r="AF4270" s="284"/>
      <c r="AG4270" s="284"/>
      <c r="AH4270" s="284"/>
      <c r="AI4270" s="284"/>
      <c r="AJ4270" s="284"/>
      <c r="AK4270" s="284"/>
      <c r="AL4270" s="284"/>
    </row>
    <row r="4271" ht="15.75" customHeight="1">
      <c r="A4271" s="27"/>
      <c r="B4271" s="86"/>
      <c r="C4271" s="86"/>
      <c r="D4271" s="117"/>
      <c r="E4271" s="83"/>
      <c r="F4271" s="86"/>
      <c r="G4271" s="86"/>
      <c r="H4271" s="83"/>
      <c r="I4271" s="86"/>
      <c r="J4271" s="86"/>
      <c r="K4271" s="83"/>
      <c r="L4271" s="86"/>
      <c r="M4271" s="86"/>
      <c r="N4271" s="86"/>
      <c r="O4271" s="83"/>
      <c r="P4271" s="86"/>
      <c r="Q4271" s="86"/>
      <c r="R4271" s="84"/>
      <c r="S4271" s="185"/>
      <c r="T4271" s="185"/>
      <c r="U4271" s="185"/>
      <c r="V4271" s="185"/>
      <c r="W4271" s="185"/>
      <c r="X4271" s="185"/>
      <c r="Y4271" s="284"/>
      <c r="Z4271" s="284"/>
      <c r="AA4271" s="284"/>
      <c r="AB4271" s="284"/>
      <c r="AC4271" s="284"/>
      <c r="AD4271" s="284"/>
      <c r="AE4271" s="284"/>
      <c r="AF4271" s="284"/>
      <c r="AG4271" s="284"/>
      <c r="AH4271" s="284"/>
      <c r="AI4271" s="284"/>
      <c r="AJ4271" s="284"/>
      <c r="AK4271" s="284"/>
      <c r="AL4271" s="284"/>
    </row>
    <row r="4272" ht="15.75" customHeight="1">
      <c r="A4272" s="27"/>
      <c r="B4272" s="86"/>
      <c r="C4272" s="86"/>
      <c r="D4272" s="117"/>
      <c r="E4272" s="83"/>
      <c r="F4272" s="86"/>
      <c r="G4272" s="86"/>
      <c r="H4272" s="83"/>
      <c r="I4272" s="86"/>
      <c r="J4272" s="86"/>
      <c r="K4272" s="83"/>
      <c r="L4272" s="86"/>
      <c r="M4272" s="86"/>
      <c r="N4272" s="86"/>
      <c r="O4272" s="83"/>
      <c r="P4272" s="86"/>
      <c r="Q4272" s="86"/>
      <c r="R4272" s="84"/>
      <c r="S4272" s="185"/>
      <c r="T4272" s="185"/>
      <c r="U4272" s="185"/>
      <c r="V4272" s="185"/>
      <c r="W4272" s="185"/>
      <c r="X4272" s="185"/>
      <c r="Y4272" s="284"/>
      <c r="Z4272" s="284"/>
      <c r="AA4272" s="284"/>
      <c r="AB4272" s="284"/>
      <c r="AC4272" s="284"/>
      <c r="AD4272" s="284"/>
      <c r="AE4272" s="284"/>
      <c r="AF4272" s="284"/>
      <c r="AG4272" s="284"/>
      <c r="AH4272" s="284"/>
      <c r="AI4272" s="284"/>
      <c r="AJ4272" s="284"/>
      <c r="AK4272" s="284"/>
      <c r="AL4272" s="284"/>
    </row>
    <row r="4273" ht="15.75" customHeight="1">
      <c r="A4273" s="27"/>
      <c r="B4273" s="86"/>
      <c r="C4273" s="86"/>
      <c r="D4273" s="117"/>
      <c r="E4273" s="83"/>
      <c r="F4273" s="86"/>
      <c r="G4273" s="86"/>
      <c r="H4273" s="83"/>
      <c r="I4273" s="86"/>
      <c r="J4273" s="86"/>
      <c r="K4273" s="83"/>
      <c r="L4273" s="86"/>
      <c r="M4273" s="86"/>
      <c r="N4273" s="86"/>
      <c r="O4273" s="83"/>
      <c r="P4273" s="86"/>
      <c r="Q4273" s="86"/>
      <c r="R4273" s="84"/>
      <c r="S4273" s="185"/>
      <c r="T4273" s="185"/>
      <c r="U4273" s="185"/>
      <c r="V4273" s="185"/>
      <c r="W4273" s="185"/>
      <c r="X4273" s="185"/>
      <c r="Y4273" s="284"/>
      <c r="Z4273" s="284"/>
      <c r="AA4273" s="284"/>
      <c r="AB4273" s="284"/>
      <c r="AC4273" s="284"/>
      <c r="AD4273" s="284"/>
      <c r="AE4273" s="284"/>
      <c r="AF4273" s="284"/>
      <c r="AG4273" s="284"/>
      <c r="AH4273" s="284"/>
      <c r="AI4273" s="284"/>
      <c r="AJ4273" s="284"/>
      <c r="AK4273" s="284"/>
      <c r="AL4273" s="284"/>
    </row>
    <row r="4274" ht="15.75" customHeight="1">
      <c r="A4274" s="27"/>
      <c r="B4274" s="86"/>
      <c r="C4274" s="86"/>
      <c r="D4274" s="117"/>
      <c r="E4274" s="83"/>
      <c r="F4274" s="86"/>
      <c r="G4274" s="86"/>
      <c r="H4274" s="83"/>
      <c r="I4274" s="86"/>
      <c r="J4274" s="86"/>
      <c r="K4274" s="83"/>
      <c r="L4274" s="86"/>
      <c r="M4274" s="86"/>
      <c r="N4274" s="86"/>
      <c r="O4274" s="83"/>
      <c r="P4274" s="86"/>
      <c r="Q4274" s="86"/>
      <c r="R4274" s="84"/>
      <c r="S4274" s="185"/>
      <c r="T4274" s="185"/>
      <c r="U4274" s="185"/>
      <c r="V4274" s="185"/>
      <c r="W4274" s="185"/>
      <c r="X4274" s="185"/>
      <c r="Y4274" s="284"/>
      <c r="Z4274" s="284"/>
      <c r="AA4274" s="284"/>
      <c r="AB4274" s="284"/>
      <c r="AC4274" s="284"/>
      <c r="AD4274" s="284"/>
      <c r="AE4274" s="284"/>
      <c r="AF4274" s="284"/>
      <c r="AG4274" s="284"/>
      <c r="AH4274" s="284"/>
      <c r="AI4274" s="284"/>
      <c r="AJ4274" s="284"/>
      <c r="AK4274" s="284"/>
      <c r="AL4274" s="284"/>
    </row>
    <row r="4275" ht="15.75" customHeight="1">
      <c r="A4275" s="27"/>
      <c r="B4275" s="86"/>
      <c r="C4275" s="86"/>
      <c r="D4275" s="117"/>
      <c r="E4275" s="83"/>
      <c r="F4275" s="86"/>
      <c r="G4275" s="86"/>
      <c r="H4275" s="83"/>
      <c r="I4275" s="86"/>
      <c r="J4275" s="86"/>
      <c r="K4275" s="83"/>
      <c r="L4275" s="86"/>
      <c r="M4275" s="86"/>
      <c r="N4275" s="86"/>
      <c r="O4275" s="83"/>
      <c r="P4275" s="86"/>
      <c r="Q4275" s="86"/>
      <c r="R4275" s="84"/>
      <c r="S4275" s="185"/>
      <c r="T4275" s="185"/>
      <c r="U4275" s="185"/>
      <c r="V4275" s="185"/>
      <c r="W4275" s="185"/>
      <c r="X4275" s="185"/>
      <c r="Y4275" s="284"/>
      <c r="Z4275" s="284"/>
      <c r="AA4275" s="284"/>
      <c r="AB4275" s="284"/>
      <c r="AC4275" s="284"/>
      <c r="AD4275" s="284"/>
      <c r="AE4275" s="284"/>
      <c r="AF4275" s="284"/>
      <c r="AG4275" s="284"/>
      <c r="AH4275" s="284"/>
      <c r="AI4275" s="284"/>
      <c r="AJ4275" s="284"/>
      <c r="AK4275" s="284"/>
      <c r="AL4275" s="284"/>
    </row>
    <row r="4276" ht="15.75" customHeight="1">
      <c r="A4276" s="27"/>
      <c r="B4276" s="86"/>
      <c r="C4276" s="86"/>
      <c r="D4276" s="117"/>
      <c r="E4276" s="83"/>
      <c r="F4276" s="86"/>
      <c r="G4276" s="86"/>
      <c r="H4276" s="83"/>
      <c r="I4276" s="86"/>
      <c r="J4276" s="86"/>
      <c r="K4276" s="83"/>
      <c r="L4276" s="86"/>
      <c r="M4276" s="86"/>
      <c r="N4276" s="86"/>
      <c r="O4276" s="83"/>
      <c r="P4276" s="86"/>
      <c r="Q4276" s="86"/>
      <c r="R4276" s="84"/>
      <c r="S4276" s="185"/>
      <c r="T4276" s="185"/>
      <c r="U4276" s="185"/>
      <c r="V4276" s="185"/>
      <c r="W4276" s="185"/>
      <c r="X4276" s="185"/>
      <c r="Y4276" s="284"/>
      <c r="Z4276" s="284"/>
      <c r="AA4276" s="284"/>
      <c r="AB4276" s="284"/>
      <c r="AC4276" s="284"/>
      <c r="AD4276" s="284"/>
      <c r="AE4276" s="284"/>
      <c r="AF4276" s="284"/>
      <c r="AG4276" s="284"/>
      <c r="AH4276" s="284"/>
      <c r="AI4276" s="284"/>
      <c r="AJ4276" s="284"/>
      <c r="AK4276" s="284"/>
      <c r="AL4276" s="284"/>
    </row>
    <row r="4277" ht="15.75" customHeight="1">
      <c r="A4277" s="27"/>
      <c r="B4277" s="86"/>
      <c r="C4277" s="86"/>
      <c r="D4277" s="117"/>
      <c r="E4277" s="83"/>
      <c r="F4277" s="86"/>
      <c r="G4277" s="86"/>
      <c r="H4277" s="83"/>
      <c r="I4277" s="86"/>
      <c r="J4277" s="86"/>
      <c r="K4277" s="83"/>
      <c r="L4277" s="86"/>
      <c r="M4277" s="86"/>
      <c r="N4277" s="86"/>
      <c r="O4277" s="83"/>
      <c r="P4277" s="86"/>
      <c r="Q4277" s="86"/>
      <c r="R4277" s="84"/>
      <c r="S4277" s="185"/>
      <c r="T4277" s="185"/>
      <c r="U4277" s="185"/>
      <c r="V4277" s="185"/>
      <c r="W4277" s="185"/>
      <c r="X4277" s="185"/>
      <c r="Y4277" s="284"/>
      <c r="Z4277" s="284"/>
      <c r="AA4277" s="284"/>
      <c r="AB4277" s="284"/>
      <c r="AC4277" s="284"/>
      <c r="AD4277" s="284"/>
      <c r="AE4277" s="284"/>
      <c r="AF4277" s="284"/>
      <c r="AG4277" s="284"/>
      <c r="AH4277" s="284"/>
      <c r="AI4277" s="284"/>
      <c r="AJ4277" s="284"/>
      <c r="AK4277" s="284"/>
      <c r="AL4277" s="284"/>
    </row>
    <row r="4278" ht="15.75" customHeight="1">
      <c r="A4278" s="27"/>
      <c r="B4278" s="86"/>
      <c r="C4278" s="86"/>
      <c r="D4278" s="117"/>
      <c r="E4278" s="83"/>
      <c r="F4278" s="86"/>
      <c r="G4278" s="86"/>
      <c r="H4278" s="83"/>
      <c r="I4278" s="86"/>
      <c r="J4278" s="86"/>
      <c r="K4278" s="83"/>
      <c r="L4278" s="86"/>
      <c r="M4278" s="86"/>
      <c r="N4278" s="86"/>
      <c r="O4278" s="83"/>
      <c r="P4278" s="86"/>
      <c r="Q4278" s="86"/>
      <c r="R4278" s="84"/>
      <c r="S4278" s="185"/>
      <c r="T4278" s="185"/>
      <c r="U4278" s="185"/>
      <c r="V4278" s="185"/>
      <c r="W4278" s="185"/>
      <c r="X4278" s="185"/>
      <c r="Y4278" s="284"/>
      <c r="Z4278" s="284"/>
      <c r="AA4278" s="284"/>
      <c r="AB4278" s="284"/>
      <c r="AC4278" s="284"/>
      <c r="AD4278" s="284"/>
      <c r="AE4278" s="284"/>
      <c r="AF4278" s="284"/>
      <c r="AG4278" s="284"/>
      <c r="AH4278" s="284"/>
      <c r="AI4278" s="284"/>
      <c r="AJ4278" s="284"/>
      <c r="AK4278" s="284"/>
      <c r="AL4278" s="284"/>
    </row>
    <row r="4279" ht="15.75" customHeight="1">
      <c r="A4279" s="27"/>
      <c r="B4279" s="86"/>
      <c r="C4279" s="86"/>
      <c r="D4279" s="117"/>
      <c r="E4279" s="83"/>
      <c r="F4279" s="86"/>
      <c r="G4279" s="86"/>
      <c r="H4279" s="83"/>
      <c r="I4279" s="86"/>
      <c r="J4279" s="86"/>
      <c r="K4279" s="83"/>
      <c r="L4279" s="86"/>
      <c r="M4279" s="86"/>
      <c r="N4279" s="86"/>
      <c r="O4279" s="83"/>
      <c r="P4279" s="86"/>
      <c r="Q4279" s="86"/>
      <c r="R4279" s="84"/>
      <c r="S4279" s="185"/>
      <c r="T4279" s="185"/>
      <c r="U4279" s="185"/>
      <c r="V4279" s="185"/>
      <c r="W4279" s="185"/>
      <c r="X4279" s="185"/>
      <c r="Y4279" s="284"/>
      <c r="Z4279" s="284"/>
      <c r="AA4279" s="284"/>
      <c r="AB4279" s="284"/>
      <c r="AC4279" s="284"/>
      <c r="AD4279" s="284"/>
      <c r="AE4279" s="284"/>
      <c r="AF4279" s="284"/>
      <c r="AG4279" s="284"/>
      <c r="AH4279" s="284"/>
      <c r="AI4279" s="284"/>
      <c r="AJ4279" s="284"/>
      <c r="AK4279" s="284"/>
      <c r="AL4279" s="284"/>
    </row>
    <row r="4280" ht="15.75" customHeight="1">
      <c r="A4280" s="27"/>
      <c r="B4280" s="86"/>
      <c r="C4280" s="86"/>
      <c r="D4280" s="117"/>
      <c r="E4280" s="83"/>
      <c r="F4280" s="86"/>
      <c r="G4280" s="86"/>
      <c r="H4280" s="83"/>
      <c r="I4280" s="86"/>
      <c r="J4280" s="86"/>
      <c r="K4280" s="83"/>
      <c r="L4280" s="86"/>
      <c r="M4280" s="86"/>
      <c r="N4280" s="86"/>
      <c r="O4280" s="83"/>
      <c r="P4280" s="86"/>
      <c r="Q4280" s="86"/>
      <c r="R4280" s="84"/>
      <c r="S4280" s="185"/>
      <c r="T4280" s="185"/>
      <c r="U4280" s="185"/>
      <c r="V4280" s="185"/>
      <c r="W4280" s="185"/>
      <c r="X4280" s="185"/>
      <c r="Y4280" s="284"/>
      <c r="Z4280" s="284"/>
      <c r="AA4280" s="284"/>
      <c r="AB4280" s="284"/>
      <c r="AC4280" s="284"/>
      <c r="AD4280" s="284"/>
      <c r="AE4280" s="284"/>
      <c r="AF4280" s="284"/>
      <c r="AG4280" s="284"/>
      <c r="AH4280" s="284"/>
      <c r="AI4280" s="284"/>
      <c r="AJ4280" s="284"/>
      <c r="AK4280" s="284"/>
      <c r="AL4280" s="284"/>
    </row>
    <row r="4281" ht="15.75" customHeight="1">
      <c r="A4281" s="27"/>
      <c r="B4281" s="86"/>
      <c r="C4281" s="86"/>
      <c r="D4281" s="117"/>
      <c r="E4281" s="83"/>
      <c r="F4281" s="86"/>
      <c r="G4281" s="86"/>
      <c r="H4281" s="83"/>
      <c r="I4281" s="86"/>
      <c r="J4281" s="86"/>
      <c r="K4281" s="83"/>
      <c r="L4281" s="86"/>
      <c r="M4281" s="86"/>
      <c r="N4281" s="86"/>
      <c r="O4281" s="83"/>
      <c r="P4281" s="86"/>
      <c r="Q4281" s="86"/>
      <c r="R4281" s="84"/>
      <c r="S4281" s="185"/>
      <c r="T4281" s="185"/>
      <c r="U4281" s="185"/>
      <c r="V4281" s="185"/>
      <c r="W4281" s="185"/>
      <c r="X4281" s="185"/>
      <c r="Y4281" s="284"/>
      <c r="Z4281" s="284"/>
      <c r="AA4281" s="284"/>
      <c r="AB4281" s="284"/>
      <c r="AC4281" s="284"/>
      <c r="AD4281" s="284"/>
      <c r="AE4281" s="284"/>
      <c r="AF4281" s="284"/>
      <c r="AG4281" s="284"/>
      <c r="AH4281" s="284"/>
      <c r="AI4281" s="284"/>
      <c r="AJ4281" s="284"/>
      <c r="AK4281" s="284"/>
      <c r="AL4281" s="284"/>
    </row>
    <row r="4282" ht="15.75" customHeight="1">
      <c r="A4282" s="27"/>
      <c r="B4282" s="86"/>
      <c r="C4282" s="86"/>
      <c r="D4282" s="117"/>
      <c r="E4282" s="83"/>
      <c r="F4282" s="86"/>
      <c r="G4282" s="86"/>
      <c r="H4282" s="83"/>
      <c r="I4282" s="86"/>
      <c r="J4282" s="86"/>
      <c r="K4282" s="83"/>
      <c r="L4282" s="86"/>
      <c r="M4282" s="86"/>
      <c r="N4282" s="86"/>
      <c r="O4282" s="83"/>
      <c r="P4282" s="86"/>
      <c r="Q4282" s="86"/>
      <c r="R4282" s="84"/>
      <c r="S4282" s="185"/>
      <c r="T4282" s="185"/>
      <c r="U4282" s="185"/>
      <c r="V4282" s="185"/>
      <c r="W4282" s="185"/>
      <c r="X4282" s="185"/>
      <c r="Y4282" s="284"/>
      <c r="Z4282" s="284"/>
      <c r="AA4282" s="284"/>
      <c r="AB4282" s="284"/>
      <c r="AC4282" s="284"/>
      <c r="AD4282" s="284"/>
      <c r="AE4282" s="284"/>
      <c r="AF4282" s="284"/>
      <c r="AG4282" s="284"/>
      <c r="AH4282" s="284"/>
      <c r="AI4282" s="284"/>
      <c r="AJ4282" s="284"/>
      <c r="AK4282" s="284"/>
      <c r="AL4282" s="284"/>
    </row>
    <row r="4283" ht="15.75" customHeight="1">
      <c r="A4283" s="27"/>
      <c r="B4283" s="86"/>
      <c r="C4283" s="86"/>
      <c r="D4283" s="117"/>
      <c r="E4283" s="83"/>
      <c r="F4283" s="86"/>
      <c r="G4283" s="86"/>
      <c r="H4283" s="83"/>
      <c r="I4283" s="86"/>
      <c r="J4283" s="86"/>
      <c r="K4283" s="83"/>
      <c r="L4283" s="86"/>
      <c r="M4283" s="86"/>
      <c r="N4283" s="86"/>
      <c r="O4283" s="83"/>
      <c r="P4283" s="86"/>
      <c r="Q4283" s="86"/>
      <c r="R4283" s="84"/>
      <c r="S4283" s="185"/>
      <c r="T4283" s="185"/>
      <c r="U4283" s="185"/>
      <c r="V4283" s="185"/>
      <c r="W4283" s="185"/>
      <c r="X4283" s="185"/>
      <c r="Y4283" s="284"/>
      <c r="Z4283" s="284"/>
      <c r="AA4283" s="284"/>
      <c r="AB4283" s="284"/>
      <c r="AC4283" s="284"/>
      <c r="AD4283" s="284"/>
      <c r="AE4283" s="284"/>
      <c r="AF4283" s="284"/>
      <c r="AG4283" s="284"/>
      <c r="AH4283" s="284"/>
      <c r="AI4283" s="284"/>
      <c r="AJ4283" s="284"/>
      <c r="AK4283" s="284"/>
      <c r="AL4283" s="284"/>
    </row>
    <row r="4284" ht="15.75" customHeight="1">
      <c r="A4284" s="27"/>
      <c r="B4284" s="86"/>
      <c r="C4284" s="86"/>
      <c r="D4284" s="117"/>
      <c r="E4284" s="83"/>
      <c r="F4284" s="86"/>
      <c r="G4284" s="86"/>
      <c r="H4284" s="83"/>
      <c r="I4284" s="86"/>
      <c r="J4284" s="86"/>
      <c r="K4284" s="83"/>
      <c r="L4284" s="86"/>
      <c r="M4284" s="86"/>
      <c r="N4284" s="86"/>
      <c r="O4284" s="83"/>
      <c r="P4284" s="86"/>
      <c r="Q4284" s="86"/>
      <c r="R4284" s="84"/>
      <c r="S4284" s="185"/>
      <c r="T4284" s="185"/>
      <c r="U4284" s="185"/>
      <c r="V4284" s="185"/>
      <c r="W4284" s="185"/>
      <c r="X4284" s="185"/>
      <c r="Y4284" s="284"/>
      <c r="Z4284" s="284"/>
      <c r="AA4284" s="284"/>
      <c r="AB4284" s="284"/>
      <c r="AC4284" s="284"/>
      <c r="AD4284" s="284"/>
      <c r="AE4284" s="284"/>
      <c r="AF4284" s="284"/>
      <c r="AG4284" s="284"/>
      <c r="AH4284" s="284"/>
      <c r="AI4284" s="284"/>
      <c r="AJ4284" s="284"/>
      <c r="AK4284" s="284"/>
      <c r="AL4284" s="284"/>
    </row>
    <row r="4285" ht="15.75" customHeight="1">
      <c r="A4285" s="27"/>
      <c r="B4285" s="86"/>
      <c r="C4285" s="86"/>
      <c r="D4285" s="117"/>
      <c r="E4285" s="83"/>
      <c r="F4285" s="86"/>
      <c r="G4285" s="86"/>
      <c r="H4285" s="83"/>
      <c r="I4285" s="86"/>
      <c r="J4285" s="86"/>
      <c r="K4285" s="83"/>
      <c r="L4285" s="86"/>
      <c r="M4285" s="86"/>
      <c r="N4285" s="86"/>
      <c r="O4285" s="83"/>
      <c r="P4285" s="86"/>
      <c r="Q4285" s="86"/>
      <c r="R4285" s="84"/>
      <c r="S4285" s="185"/>
      <c r="T4285" s="185"/>
      <c r="U4285" s="185"/>
      <c r="V4285" s="185"/>
      <c r="W4285" s="185"/>
      <c r="X4285" s="185"/>
      <c r="Y4285" s="284"/>
      <c r="Z4285" s="284"/>
      <c r="AA4285" s="284"/>
      <c r="AB4285" s="284"/>
      <c r="AC4285" s="284"/>
      <c r="AD4285" s="284"/>
      <c r="AE4285" s="284"/>
      <c r="AF4285" s="284"/>
      <c r="AG4285" s="284"/>
      <c r="AH4285" s="284"/>
      <c r="AI4285" s="284"/>
      <c r="AJ4285" s="284"/>
      <c r="AK4285" s="284"/>
      <c r="AL4285" s="284"/>
    </row>
    <row r="4286" ht="15.75" customHeight="1">
      <c r="A4286" s="27"/>
      <c r="B4286" s="86"/>
      <c r="C4286" s="86"/>
      <c r="D4286" s="117"/>
      <c r="E4286" s="83"/>
      <c r="F4286" s="86"/>
      <c r="G4286" s="86"/>
      <c r="H4286" s="83"/>
      <c r="I4286" s="86"/>
      <c r="J4286" s="86"/>
      <c r="K4286" s="83"/>
      <c r="L4286" s="86"/>
      <c r="M4286" s="86"/>
      <c r="N4286" s="86"/>
      <c r="O4286" s="83"/>
      <c r="P4286" s="86"/>
      <c r="Q4286" s="86"/>
      <c r="R4286" s="84"/>
      <c r="S4286" s="185"/>
      <c r="T4286" s="185"/>
      <c r="U4286" s="185"/>
      <c r="V4286" s="185"/>
      <c r="W4286" s="185"/>
      <c r="X4286" s="185"/>
      <c r="Y4286" s="284"/>
      <c r="Z4286" s="284"/>
      <c r="AA4286" s="284"/>
      <c r="AB4286" s="284"/>
      <c r="AC4286" s="284"/>
      <c r="AD4286" s="284"/>
      <c r="AE4286" s="284"/>
      <c r="AF4286" s="284"/>
      <c r="AG4286" s="284"/>
      <c r="AH4286" s="284"/>
      <c r="AI4286" s="284"/>
      <c r="AJ4286" s="284"/>
      <c r="AK4286" s="284"/>
      <c r="AL4286" s="284"/>
    </row>
    <row r="4287" ht="15.75" customHeight="1">
      <c r="A4287" s="27"/>
      <c r="B4287" s="86"/>
      <c r="C4287" s="86"/>
      <c r="D4287" s="117"/>
      <c r="E4287" s="83"/>
      <c r="F4287" s="86"/>
      <c r="G4287" s="86"/>
      <c r="H4287" s="83"/>
      <c r="I4287" s="86"/>
      <c r="J4287" s="86"/>
      <c r="K4287" s="83"/>
      <c r="L4287" s="86"/>
      <c r="M4287" s="86"/>
      <c r="N4287" s="86"/>
      <c r="O4287" s="83"/>
      <c r="P4287" s="86"/>
      <c r="Q4287" s="86"/>
      <c r="R4287" s="84"/>
      <c r="S4287" s="185"/>
      <c r="T4287" s="185"/>
      <c r="U4287" s="185"/>
      <c r="V4287" s="185"/>
      <c r="W4287" s="185"/>
      <c r="X4287" s="185"/>
      <c r="Y4287" s="284"/>
      <c r="Z4287" s="284"/>
      <c r="AA4287" s="284"/>
      <c r="AB4287" s="284"/>
      <c r="AC4287" s="284"/>
      <c r="AD4287" s="284"/>
      <c r="AE4287" s="284"/>
      <c r="AF4287" s="284"/>
      <c r="AG4287" s="284"/>
      <c r="AH4287" s="284"/>
      <c r="AI4287" s="284"/>
      <c r="AJ4287" s="284"/>
      <c r="AK4287" s="284"/>
      <c r="AL4287" s="284"/>
    </row>
    <row r="4288" ht="15.75" customHeight="1">
      <c r="A4288" s="27"/>
      <c r="B4288" s="86"/>
      <c r="C4288" s="86"/>
      <c r="D4288" s="117"/>
      <c r="E4288" s="83"/>
      <c r="F4288" s="86"/>
      <c r="G4288" s="86"/>
      <c r="H4288" s="83"/>
      <c r="I4288" s="86"/>
      <c r="J4288" s="86"/>
      <c r="K4288" s="83"/>
      <c r="L4288" s="86"/>
      <c r="M4288" s="86"/>
      <c r="N4288" s="86"/>
      <c r="O4288" s="83"/>
      <c r="P4288" s="86"/>
      <c r="Q4288" s="86"/>
      <c r="R4288" s="84"/>
      <c r="S4288" s="185"/>
      <c r="T4288" s="185"/>
      <c r="U4288" s="185"/>
      <c r="V4288" s="185"/>
      <c r="W4288" s="185"/>
      <c r="X4288" s="185"/>
      <c r="Y4288" s="284"/>
      <c r="Z4288" s="284"/>
      <c r="AA4288" s="284"/>
      <c r="AB4288" s="284"/>
      <c r="AC4288" s="284"/>
      <c r="AD4288" s="284"/>
      <c r="AE4288" s="284"/>
      <c r="AF4288" s="284"/>
      <c r="AG4288" s="284"/>
      <c r="AH4288" s="284"/>
      <c r="AI4288" s="284"/>
      <c r="AJ4288" s="284"/>
      <c r="AK4288" s="284"/>
      <c r="AL4288" s="284"/>
    </row>
    <row r="4289" ht="15.75" customHeight="1">
      <c r="A4289" s="27"/>
      <c r="B4289" s="86"/>
      <c r="C4289" s="86"/>
      <c r="D4289" s="117"/>
      <c r="E4289" s="83"/>
      <c r="F4289" s="86"/>
      <c r="G4289" s="86"/>
      <c r="H4289" s="83"/>
      <c r="I4289" s="86"/>
      <c r="J4289" s="86"/>
      <c r="K4289" s="83"/>
      <c r="L4289" s="86"/>
      <c r="M4289" s="86"/>
      <c r="N4289" s="86"/>
      <c r="O4289" s="83"/>
      <c r="P4289" s="86"/>
      <c r="Q4289" s="86"/>
      <c r="R4289" s="84"/>
      <c r="S4289" s="185"/>
      <c r="T4289" s="185"/>
      <c r="U4289" s="185"/>
      <c r="V4289" s="185"/>
      <c r="W4289" s="185"/>
      <c r="X4289" s="185"/>
      <c r="Y4289" s="284"/>
      <c r="Z4289" s="284"/>
      <c r="AA4289" s="284"/>
      <c r="AB4289" s="284"/>
      <c r="AC4289" s="284"/>
      <c r="AD4289" s="284"/>
      <c r="AE4289" s="284"/>
      <c r="AF4289" s="284"/>
      <c r="AG4289" s="284"/>
      <c r="AH4289" s="284"/>
      <c r="AI4289" s="284"/>
      <c r="AJ4289" s="284"/>
      <c r="AK4289" s="284"/>
      <c r="AL4289" s="284"/>
    </row>
    <row r="4290" ht="15.75" customHeight="1">
      <c r="A4290" s="27"/>
      <c r="B4290" s="86"/>
      <c r="C4290" s="86"/>
      <c r="D4290" s="117"/>
      <c r="E4290" s="83"/>
      <c r="F4290" s="86"/>
      <c r="G4290" s="86"/>
      <c r="H4290" s="83"/>
      <c r="I4290" s="86"/>
      <c r="J4290" s="86"/>
      <c r="K4290" s="83"/>
      <c r="L4290" s="86"/>
      <c r="M4290" s="86"/>
      <c r="N4290" s="86"/>
      <c r="O4290" s="83"/>
      <c r="P4290" s="86"/>
      <c r="Q4290" s="86"/>
      <c r="R4290" s="84"/>
      <c r="S4290" s="185"/>
      <c r="T4290" s="185"/>
      <c r="U4290" s="185"/>
      <c r="V4290" s="185"/>
      <c r="W4290" s="185"/>
      <c r="X4290" s="185"/>
      <c r="Y4290" s="284"/>
      <c r="Z4290" s="284"/>
      <c r="AA4290" s="284"/>
      <c r="AB4290" s="284"/>
      <c r="AC4290" s="284"/>
      <c r="AD4290" s="284"/>
      <c r="AE4290" s="284"/>
      <c r="AF4290" s="284"/>
      <c r="AG4290" s="284"/>
      <c r="AH4290" s="284"/>
      <c r="AI4290" s="284"/>
      <c r="AJ4290" s="284"/>
      <c r="AK4290" s="284"/>
      <c r="AL4290" s="284"/>
    </row>
    <row r="4291" ht="15.75" customHeight="1">
      <c r="A4291" s="27"/>
      <c r="B4291" s="86"/>
      <c r="C4291" s="86"/>
      <c r="D4291" s="117"/>
      <c r="E4291" s="83"/>
      <c r="F4291" s="86"/>
      <c r="G4291" s="86"/>
      <c r="H4291" s="83"/>
      <c r="I4291" s="86"/>
      <c r="J4291" s="86"/>
      <c r="K4291" s="83"/>
      <c r="L4291" s="86"/>
      <c r="M4291" s="86"/>
      <c r="N4291" s="86"/>
      <c r="O4291" s="83"/>
      <c r="P4291" s="86"/>
      <c r="Q4291" s="86"/>
      <c r="R4291" s="84"/>
      <c r="S4291" s="185"/>
      <c r="T4291" s="185"/>
      <c r="U4291" s="185"/>
      <c r="V4291" s="185"/>
      <c r="W4291" s="185"/>
      <c r="X4291" s="185"/>
      <c r="Y4291" s="284"/>
      <c r="Z4291" s="284"/>
      <c r="AA4291" s="284"/>
      <c r="AB4291" s="284"/>
      <c r="AC4291" s="284"/>
      <c r="AD4291" s="284"/>
      <c r="AE4291" s="284"/>
      <c r="AF4291" s="284"/>
      <c r="AG4291" s="284"/>
      <c r="AH4291" s="284"/>
      <c r="AI4291" s="284"/>
      <c r="AJ4291" s="284"/>
      <c r="AK4291" s="284"/>
      <c r="AL4291" s="284"/>
    </row>
    <row r="4292" ht="15.75" customHeight="1">
      <c r="A4292" s="27"/>
      <c r="B4292" s="86"/>
      <c r="C4292" s="86"/>
      <c r="D4292" s="117"/>
      <c r="E4292" s="83"/>
      <c r="F4292" s="86"/>
      <c r="G4292" s="86"/>
      <c r="H4292" s="83"/>
      <c r="I4292" s="86"/>
      <c r="J4292" s="86"/>
      <c r="K4292" s="83"/>
      <c r="L4292" s="86"/>
      <c r="M4292" s="86"/>
      <c r="N4292" s="86"/>
      <c r="O4292" s="83"/>
      <c r="P4292" s="86"/>
      <c r="Q4292" s="86"/>
      <c r="R4292" s="84"/>
      <c r="S4292" s="185"/>
      <c r="T4292" s="185"/>
      <c r="U4292" s="185"/>
      <c r="V4292" s="185"/>
      <c r="W4292" s="185"/>
      <c r="X4292" s="185"/>
      <c r="Y4292" s="284"/>
      <c r="Z4292" s="284"/>
      <c r="AA4292" s="284"/>
      <c r="AB4292" s="284"/>
      <c r="AC4292" s="284"/>
      <c r="AD4292" s="284"/>
      <c r="AE4292" s="284"/>
      <c r="AF4292" s="284"/>
      <c r="AG4292" s="284"/>
      <c r="AH4292" s="284"/>
      <c r="AI4292" s="284"/>
      <c r="AJ4292" s="284"/>
      <c r="AK4292" s="284"/>
      <c r="AL4292" s="284"/>
    </row>
    <row r="4293" ht="15.75" customHeight="1">
      <c r="A4293" s="27"/>
      <c r="B4293" s="86"/>
      <c r="C4293" s="86"/>
      <c r="D4293" s="117"/>
      <c r="E4293" s="83"/>
      <c r="F4293" s="86"/>
      <c r="G4293" s="86"/>
      <c r="H4293" s="83"/>
      <c r="I4293" s="86"/>
      <c r="J4293" s="86"/>
      <c r="K4293" s="83"/>
      <c r="L4293" s="86"/>
      <c r="M4293" s="86"/>
      <c r="N4293" s="86"/>
      <c r="O4293" s="83"/>
      <c r="P4293" s="86"/>
      <c r="Q4293" s="86"/>
      <c r="R4293" s="84"/>
      <c r="S4293" s="185"/>
      <c r="T4293" s="185"/>
      <c r="U4293" s="185"/>
      <c r="V4293" s="185"/>
      <c r="W4293" s="185"/>
      <c r="X4293" s="185"/>
      <c r="Y4293" s="284"/>
      <c r="Z4293" s="284"/>
      <c r="AA4293" s="284"/>
      <c r="AB4293" s="284"/>
      <c r="AC4293" s="284"/>
      <c r="AD4293" s="284"/>
      <c r="AE4293" s="284"/>
      <c r="AF4293" s="284"/>
      <c r="AG4293" s="284"/>
      <c r="AH4293" s="284"/>
      <c r="AI4293" s="284"/>
      <c r="AJ4293" s="284"/>
      <c r="AK4293" s="284"/>
      <c r="AL4293" s="284"/>
    </row>
    <row r="4294" ht="15.75" customHeight="1">
      <c r="A4294" s="27"/>
      <c r="B4294" s="86"/>
      <c r="C4294" s="86"/>
      <c r="D4294" s="117"/>
      <c r="E4294" s="83"/>
      <c r="F4294" s="86"/>
      <c r="G4294" s="86"/>
      <c r="H4294" s="83"/>
      <c r="I4294" s="86"/>
      <c r="J4294" s="86"/>
      <c r="K4294" s="83"/>
      <c r="L4294" s="86"/>
      <c r="M4294" s="86"/>
      <c r="N4294" s="86"/>
      <c r="O4294" s="83"/>
      <c r="P4294" s="86"/>
      <c r="Q4294" s="86"/>
      <c r="R4294" s="84"/>
      <c r="S4294" s="185"/>
      <c r="T4294" s="185"/>
      <c r="U4294" s="185"/>
      <c r="V4294" s="185"/>
      <c r="W4294" s="185"/>
      <c r="X4294" s="185"/>
      <c r="Y4294" s="284"/>
      <c r="Z4294" s="284"/>
      <c r="AA4294" s="284"/>
      <c r="AB4294" s="284"/>
      <c r="AC4294" s="284"/>
      <c r="AD4294" s="284"/>
      <c r="AE4294" s="284"/>
      <c r="AF4294" s="284"/>
      <c r="AG4294" s="284"/>
      <c r="AH4294" s="284"/>
      <c r="AI4294" s="284"/>
      <c r="AJ4294" s="284"/>
      <c r="AK4294" s="284"/>
      <c r="AL4294" s="284"/>
    </row>
    <row r="4295" ht="15.75" customHeight="1">
      <c r="A4295" s="27"/>
      <c r="B4295" s="86"/>
      <c r="C4295" s="86"/>
      <c r="D4295" s="117"/>
      <c r="E4295" s="83"/>
      <c r="F4295" s="86"/>
      <c r="G4295" s="86"/>
      <c r="H4295" s="83"/>
      <c r="I4295" s="86"/>
      <c r="J4295" s="86"/>
      <c r="K4295" s="83"/>
      <c r="L4295" s="86"/>
      <c r="M4295" s="86"/>
      <c r="N4295" s="86"/>
      <c r="O4295" s="83"/>
      <c r="P4295" s="86"/>
      <c r="Q4295" s="86"/>
      <c r="R4295" s="84"/>
      <c r="S4295" s="185"/>
      <c r="T4295" s="185"/>
      <c r="U4295" s="185"/>
      <c r="V4295" s="185"/>
      <c r="W4295" s="185"/>
      <c r="X4295" s="185"/>
      <c r="Y4295" s="284"/>
      <c r="Z4295" s="284"/>
      <c r="AA4295" s="284"/>
      <c r="AB4295" s="284"/>
      <c r="AC4295" s="284"/>
      <c r="AD4295" s="284"/>
      <c r="AE4295" s="284"/>
      <c r="AF4295" s="284"/>
      <c r="AG4295" s="284"/>
      <c r="AH4295" s="284"/>
      <c r="AI4295" s="284"/>
      <c r="AJ4295" s="284"/>
      <c r="AK4295" s="284"/>
      <c r="AL4295" s="284"/>
    </row>
    <row r="4296" ht="15.75" customHeight="1">
      <c r="A4296" s="27"/>
      <c r="B4296" s="86"/>
      <c r="C4296" s="86"/>
      <c r="D4296" s="117"/>
      <c r="E4296" s="83"/>
      <c r="F4296" s="86"/>
      <c r="G4296" s="86"/>
      <c r="H4296" s="83"/>
      <c r="I4296" s="86"/>
      <c r="J4296" s="86"/>
      <c r="K4296" s="83"/>
      <c r="L4296" s="86"/>
      <c r="M4296" s="86"/>
      <c r="N4296" s="86"/>
      <c r="O4296" s="83"/>
      <c r="P4296" s="86"/>
      <c r="Q4296" s="86"/>
      <c r="R4296" s="84"/>
      <c r="S4296" s="185"/>
      <c r="T4296" s="185"/>
      <c r="U4296" s="185"/>
      <c r="V4296" s="185"/>
      <c r="W4296" s="185"/>
      <c r="X4296" s="185"/>
      <c r="Y4296" s="284"/>
      <c r="Z4296" s="284"/>
      <c r="AA4296" s="284"/>
      <c r="AB4296" s="284"/>
      <c r="AC4296" s="284"/>
      <c r="AD4296" s="284"/>
      <c r="AE4296" s="284"/>
      <c r="AF4296" s="284"/>
      <c r="AG4296" s="284"/>
      <c r="AH4296" s="284"/>
      <c r="AI4296" s="284"/>
      <c r="AJ4296" s="284"/>
      <c r="AK4296" s="284"/>
      <c r="AL4296" s="284"/>
    </row>
    <row r="4297" ht="15.75" customHeight="1">
      <c r="A4297" s="27"/>
      <c r="B4297" s="86"/>
      <c r="C4297" s="86"/>
      <c r="D4297" s="117"/>
      <c r="E4297" s="83"/>
      <c r="F4297" s="86"/>
      <c r="G4297" s="86"/>
      <c r="H4297" s="83"/>
      <c r="I4297" s="86"/>
      <c r="J4297" s="86"/>
      <c r="K4297" s="83"/>
      <c r="L4297" s="86"/>
      <c r="M4297" s="86"/>
      <c r="N4297" s="86"/>
      <c r="O4297" s="83"/>
      <c r="P4297" s="86"/>
      <c r="Q4297" s="86"/>
      <c r="R4297" s="84"/>
      <c r="S4297" s="185"/>
      <c r="T4297" s="185"/>
      <c r="U4297" s="185"/>
      <c r="V4297" s="185"/>
      <c r="W4297" s="185"/>
      <c r="X4297" s="185"/>
      <c r="Y4297" s="284"/>
      <c r="Z4297" s="284"/>
      <c r="AA4297" s="284"/>
      <c r="AB4297" s="284"/>
      <c r="AC4297" s="284"/>
      <c r="AD4297" s="284"/>
      <c r="AE4297" s="284"/>
      <c r="AF4297" s="284"/>
      <c r="AG4297" s="284"/>
      <c r="AH4297" s="284"/>
      <c r="AI4297" s="284"/>
      <c r="AJ4297" s="284"/>
      <c r="AK4297" s="284"/>
      <c r="AL4297" s="284"/>
    </row>
    <row r="4298" ht="15.75" customHeight="1">
      <c r="A4298" s="27"/>
      <c r="B4298" s="86"/>
      <c r="C4298" s="86"/>
      <c r="D4298" s="117"/>
      <c r="E4298" s="83"/>
      <c r="F4298" s="86"/>
      <c r="G4298" s="86"/>
      <c r="H4298" s="83"/>
      <c r="I4298" s="86"/>
      <c r="J4298" s="86"/>
      <c r="K4298" s="83"/>
      <c r="L4298" s="86"/>
      <c r="M4298" s="86"/>
      <c r="N4298" s="86"/>
      <c r="O4298" s="83"/>
      <c r="P4298" s="86"/>
      <c r="Q4298" s="86"/>
      <c r="R4298" s="84"/>
      <c r="S4298" s="185"/>
      <c r="T4298" s="185"/>
      <c r="U4298" s="185"/>
      <c r="V4298" s="185"/>
      <c r="W4298" s="185"/>
      <c r="X4298" s="185"/>
      <c r="Y4298" s="284"/>
      <c r="Z4298" s="284"/>
      <c r="AA4298" s="284"/>
      <c r="AB4298" s="284"/>
      <c r="AC4298" s="284"/>
      <c r="AD4298" s="284"/>
      <c r="AE4298" s="284"/>
      <c r="AF4298" s="284"/>
      <c r="AG4298" s="284"/>
      <c r="AH4298" s="284"/>
      <c r="AI4298" s="284"/>
      <c r="AJ4298" s="284"/>
      <c r="AK4298" s="284"/>
      <c r="AL4298" s="284"/>
    </row>
    <row r="4299" ht="15.75" customHeight="1">
      <c r="A4299" s="27"/>
      <c r="B4299" s="86"/>
      <c r="C4299" s="86"/>
      <c r="D4299" s="117"/>
      <c r="E4299" s="83"/>
      <c r="F4299" s="86"/>
      <c r="G4299" s="86"/>
      <c r="H4299" s="83"/>
      <c r="I4299" s="86"/>
      <c r="J4299" s="86"/>
      <c r="K4299" s="83"/>
      <c r="L4299" s="86"/>
      <c r="M4299" s="86"/>
      <c r="N4299" s="86"/>
      <c r="O4299" s="83"/>
      <c r="P4299" s="86"/>
      <c r="Q4299" s="86"/>
      <c r="R4299" s="84"/>
      <c r="S4299" s="185"/>
      <c r="T4299" s="185"/>
      <c r="U4299" s="185"/>
      <c r="V4299" s="185"/>
      <c r="W4299" s="185"/>
      <c r="X4299" s="185"/>
      <c r="Y4299" s="284"/>
      <c r="Z4299" s="284"/>
      <c r="AA4299" s="284"/>
      <c r="AB4299" s="284"/>
      <c r="AC4299" s="284"/>
      <c r="AD4299" s="284"/>
      <c r="AE4299" s="284"/>
      <c r="AF4299" s="284"/>
      <c r="AG4299" s="284"/>
      <c r="AH4299" s="284"/>
      <c r="AI4299" s="284"/>
      <c r="AJ4299" s="284"/>
      <c r="AK4299" s="284"/>
      <c r="AL4299" s="284"/>
    </row>
    <row r="4300" ht="15.75" customHeight="1">
      <c r="A4300" s="27"/>
      <c r="B4300" s="86"/>
      <c r="C4300" s="86"/>
      <c r="D4300" s="117"/>
      <c r="E4300" s="83"/>
      <c r="F4300" s="86"/>
      <c r="G4300" s="86"/>
      <c r="H4300" s="83"/>
      <c r="I4300" s="86"/>
      <c r="J4300" s="86"/>
      <c r="K4300" s="83"/>
      <c r="L4300" s="86"/>
      <c r="M4300" s="86"/>
      <c r="N4300" s="86"/>
      <c r="O4300" s="83"/>
      <c r="P4300" s="86"/>
      <c r="Q4300" s="86"/>
      <c r="R4300" s="84"/>
      <c r="S4300" s="185"/>
      <c r="T4300" s="185"/>
      <c r="U4300" s="185"/>
      <c r="V4300" s="185"/>
      <c r="W4300" s="185"/>
      <c r="X4300" s="185"/>
      <c r="Y4300" s="284"/>
      <c r="Z4300" s="284"/>
      <c r="AA4300" s="284"/>
      <c r="AB4300" s="284"/>
      <c r="AC4300" s="284"/>
      <c r="AD4300" s="284"/>
      <c r="AE4300" s="284"/>
      <c r="AF4300" s="284"/>
      <c r="AG4300" s="284"/>
      <c r="AH4300" s="284"/>
      <c r="AI4300" s="284"/>
      <c r="AJ4300" s="284"/>
      <c r="AK4300" s="284"/>
      <c r="AL4300" s="284"/>
    </row>
    <row r="4301" ht="15.75" customHeight="1">
      <c r="A4301" s="27"/>
      <c r="B4301" s="86"/>
      <c r="C4301" s="86"/>
      <c r="D4301" s="117"/>
      <c r="E4301" s="83"/>
      <c r="F4301" s="86"/>
      <c r="G4301" s="86"/>
      <c r="H4301" s="83"/>
      <c r="I4301" s="86"/>
      <c r="J4301" s="86"/>
      <c r="K4301" s="83"/>
      <c r="L4301" s="86"/>
      <c r="M4301" s="86"/>
      <c r="N4301" s="86"/>
      <c r="O4301" s="83"/>
      <c r="P4301" s="86"/>
      <c r="Q4301" s="86"/>
      <c r="R4301" s="84"/>
      <c r="S4301" s="185"/>
      <c r="T4301" s="185"/>
      <c r="U4301" s="185"/>
      <c r="V4301" s="185"/>
      <c r="W4301" s="185"/>
      <c r="X4301" s="185"/>
      <c r="Y4301" s="284"/>
      <c r="Z4301" s="284"/>
      <c r="AA4301" s="284"/>
      <c r="AB4301" s="284"/>
      <c r="AC4301" s="284"/>
      <c r="AD4301" s="284"/>
      <c r="AE4301" s="284"/>
      <c r="AF4301" s="284"/>
      <c r="AG4301" s="284"/>
      <c r="AH4301" s="284"/>
      <c r="AI4301" s="284"/>
      <c r="AJ4301" s="284"/>
      <c r="AK4301" s="284"/>
      <c r="AL4301" s="284"/>
    </row>
    <row r="4302" ht="15.75" customHeight="1">
      <c r="A4302" s="27"/>
      <c r="B4302" s="86"/>
      <c r="C4302" s="86"/>
      <c r="D4302" s="117"/>
      <c r="E4302" s="83"/>
      <c r="F4302" s="86"/>
      <c r="G4302" s="86"/>
      <c r="H4302" s="83"/>
      <c r="I4302" s="86"/>
      <c r="J4302" s="86"/>
      <c r="K4302" s="83"/>
      <c r="L4302" s="86"/>
      <c r="M4302" s="86"/>
      <c r="N4302" s="86"/>
      <c r="O4302" s="83"/>
      <c r="P4302" s="86"/>
      <c r="Q4302" s="86"/>
      <c r="R4302" s="84"/>
      <c r="S4302" s="185"/>
      <c r="T4302" s="185"/>
      <c r="U4302" s="185"/>
      <c r="V4302" s="185"/>
      <c r="W4302" s="185"/>
      <c r="X4302" s="185"/>
      <c r="Y4302" s="284"/>
      <c r="Z4302" s="284"/>
      <c r="AA4302" s="284"/>
      <c r="AB4302" s="284"/>
      <c r="AC4302" s="284"/>
      <c r="AD4302" s="284"/>
      <c r="AE4302" s="284"/>
      <c r="AF4302" s="284"/>
      <c r="AG4302" s="284"/>
      <c r="AH4302" s="284"/>
      <c r="AI4302" s="284"/>
      <c r="AJ4302" s="284"/>
      <c r="AK4302" s="284"/>
      <c r="AL4302" s="284"/>
    </row>
    <row r="4303" ht="15.75" customHeight="1">
      <c r="A4303" s="27"/>
      <c r="B4303" s="86"/>
      <c r="C4303" s="86"/>
      <c r="D4303" s="117"/>
      <c r="E4303" s="83"/>
      <c r="F4303" s="86"/>
      <c r="G4303" s="86"/>
      <c r="H4303" s="83"/>
      <c r="I4303" s="86"/>
      <c r="J4303" s="86"/>
      <c r="K4303" s="83"/>
      <c r="L4303" s="86"/>
      <c r="M4303" s="86"/>
      <c r="N4303" s="86"/>
      <c r="O4303" s="83"/>
      <c r="P4303" s="86"/>
      <c r="Q4303" s="86"/>
      <c r="R4303" s="84"/>
      <c r="S4303" s="185"/>
      <c r="T4303" s="185"/>
      <c r="U4303" s="185"/>
      <c r="V4303" s="185"/>
      <c r="W4303" s="185"/>
      <c r="X4303" s="185"/>
      <c r="Y4303" s="284"/>
      <c r="Z4303" s="284"/>
      <c r="AA4303" s="284"/>
      <c r="AB4303" s="284"/>
      <c r="AC4303" s="284"/>
      <c r="AD4303" s="284"/>
      <c r="AE4303" s="284"/>
      <c r="AF4303" s="284"/>
      <c r="AG4303" s="284"/>
      <c r="AH4303" s="284"/>
      <c r="AI4303" s="284"/>
      <c r="AJ4303" s="284"/>
      <c r="AK4303" s="284"/>
      <c r="AL4303" s="284"/>
    </row>
    <row r="4304" ht="15.75" customHeight="1">
      <c r="A4304" s="27"/>
      <c r="B4304" s="86"/>
      <c r="C4304" s="86"/>
      <c r="D4304" s="117"/>
      <c r="E4304" s="83"/>
      <c r="F4304" s="86"/>
      <c r="G4304" s="86"/>
      <c r="H4304" s="83"/>
      <c r="I4304" s="86"/>
      <c r="J4304" s="86"/>
      <c r="K4304" s="83"/>
      <c r="L4304" s="86"/>
      <c r="M4304" s="86"/>
      <c r="N4304" s="86"/>
      <c r="O4304" s="83"/>
      <c r="P4304" s="86"/>
      <c r="Q4304" s="86"/>
      <c r="R4304" s="84"/>
      <c r="S4304" s="185"/>
      <c r="T4304" s="185"/>
      <c r="U4304" s="185"/>
      <c r="V4304" s="185"/>
      <c r="W4304" s="185"/>
      <c r="X4304" s="185"/>
      <c r="Y4304" s="284"/>
      <c r="Z4304" s="284"/>
      <c r="AA4304" s="284"/>
      <c r="AB4304" s="284"/>
      <c r="AC4304" s="284"/>
      <c r="AD4304" s="284"/>
      <c r="AE4304" s="284"/>
      <c r="AF4304" s="284"/>
      <c r="AG4304" s="284"/>
      <c r="AH4304" s="284"/>
      <c r="AI4304" s="284"/>
      <c r="AJ4304" s="284"/>
      <c r="AK4304" s="284"/>
      <c r="AL4304" s="284"/>
    </row>
    <row r="4305" ht="15.75" customHeight="1">
      <c r="A4305" s="27"/>
      <c r="B4305" s="86"/>
      <c r="C4305" s="86"/>
      <c r="D4305" s="117"/>
      <c r="E4305" s="83"/>
      <c r="F4305" s="86"/>
      <c r="G4305" s="86"/>
      <c r="H4305" s="83"/>
      <c r="I4305" s="86"/>
      <c r="J4305" s="86"/>
      <c r="K4305" s="83"/>
      <c r="L4305" s="86"/>
      <c r="M4305" s="86"/>
      <c r="N4305" s="86"/>
      <c r="O4305" s="83"/>
      <c r="P4305" s="86"/>
      <c r="Q4305" s="86"/>
      <c r="R4305" s="84"/>
      <c r="S4305" s="185"/>
      <c r="T4305" s="185"/>
      <c r="U4305" s="185"/>
      <c r="V4305" s="185"/>
      <c r="W4305" s="185"/>
      <c r="X4305" s="185"/>
      <c r="Y4305" s="284"/>
      <c r="Z4305" s="284"/>
      <c r="AA4305" s="284"/>
      <c r="AB4305" s="284"/>
      <c r="AC4305" s="284"/>
      <c r="AD4305" s="284"/>
      <c r="AE4305" s="284"/>
      <c r="AF4305" s="284"/>
      <c r="AG4305" s="284"/>
      <c r="AH4305" s="284"/>
      <c r="AI4305" s="284"/>
      <c r="AJ4305" s="284"/>
      <c r="AK4305" s="284"/>
      <c r="AL4305" s="284"/>
    </row>
    <row r="4306" ht="15.75" customHeight="1">
      <c r="A4306" s="27"/>
      <c r="B4306" s="86"/>
      <c r="C4306" s="86"/>
      <c r="D4306" s="117"/>
      <c r="E4306" s="83"/>
      <c r="F4306" s="86"/>
      <c r="G4306" s="86"/>
      <c r="H4306" s="83"/>
      <c r="I4306" s="86"/>
      <c r="J4306" s="86"/>
      <c r="K4306" s="83"/>
      <c r="L4306" s="86"/>
      <c r="M4306" s="86"/>
      <c r="N4306" s="86"/>
      <c r="O4306" s="83"/>
      <c r="P4306" s="86"/>
      <c r="Q4306" s="86"/>
      <c r="R4306" s="84"/>
      <c r="S4306" s="185"/>
      <c r="T4306" s="185"/>
      <c r="U4306" s="185"/>
      <c r="V4306" s="185"/>
      <c r="W4306" s="185"/>
      <c r="X4306" s="185"/>
      <c r="Y4306" s="284"/>
      <c r="Z4306" s="284"/>
      <c r="AA4306" s="284"/>
      <c r="AB4306" s="284"/>
      <c r="AC4306" s="284"/>
      <c r="AD4306" s="284"/>
      <c r="AE4306" s="284"/>
      <c r="AF4306" s="284"/>
      <c r="AG4306" s="284"/>
      <c r="AH4306" s="284"/>
      <c r="AI4306" s="284"/>
      <c r="AJ4306" s="284"/>
      <c r="AK4306" s="284"/>
      <c r="AL4306" s="284"/>
    </row>
    <row r="4307" ht="15.75" customHeight="1">
      <c r="A4307" s="27"/>
      <c r="B4307" s="86"/>
      <c r="C4307" s="86"/>
      <c r="D4307" s="117"/>
      <c r="E4307" s="83"/>
      <c r="F4307" s="86"/>
      <c r="G4307" s="86"/>
      <c r="H4307" s="83"/>
      <c r="I4307" s="86"/>
      <c r="J4307" s="86"/>
      <c r="K4307" s="83"/>
      <c r="L4307" s="86"/>
      <c r="M4307" s="86"/>
      <c r="N4307" s="86"/>
      <c r="O4307" s="83"/>
      <c r="P4307" s="86"/>
      <c r="Q4307" s="86"/>
      <c r="R4307" s="84"/>
      <c r="S4307" s="185"/>
      <c r="T4307" s="185"/>
      <c r="U4307" s="185"/>
      <c r="V4307" s="185"/>
      <c r="W4307" s="185"/>
      <c r="X4307" s="185"/>
      <c r="Y4307" s="284"/>
      <c r="Z4307" s="284"/>
      <c r="AA4307" s="284"/>
      <c r="AB4307" s="284"/>
      <c r="AC4307" s="284"/>
      <c r="AD4307" s="284"/>
      <c r="AE4307" s="284"/>
      <c r="AF4307" s="284"/>
      <c r="AG4307" s="284"/>
      <c r="AH4307" s="284"/>
      <c r="AI4307" s="284"/>
      <c r="AJ4307" s="284"/>
      <c r="AK4307" s="284"/>
      <c r="AL4307" s="284"/>
    </row>
    <row r="4308" ht="15.75" customHeight="1">
      <c r="A4308" s="27"/>
      <c r="B4308" s="86"/>
      <c r="C4308" s="86"/>
      <c r="D4308" s="117"/>
      <c r="E4308" s="83"/>
      <c r="F4308" s="86"/>
      <c r="G4308" s="86"/>
      <c r="H4308" s="83"/>
      <c r="I4308" s="86"/>
      <c r="J4308" s="86"/>
      <c r="K4308" s="83"/>
      <c r="L4308" s="86"/>
      <c r="M4308" s="86"/>
      <c r="N4308" s="86"/>
      <c r="O4308" s="83"/>
      <c r="P4308" s="86"/>
      <c r="Q4308" s="86"/>
      <c r="R4308" s="84"/>
      <c r="S4308" s="185"/>
      <c r="T4308" s="185"/>
      <c r="U4308" s="185"/>
      <c r="V4308" s="185"/>
      <c r="W4308" s="185"/>
      <c r="X4308" s="185"/>
      <c r="Y4308" s="284"/>
      <c r="Z4308" s="284"/>
      <c r="AA4308" s="284"/>
      <c r="AB4308" s="284"/>
      <c r="AC4308" s="284"/>
      <c r="AD4308" s="284"/>
      <c r="AE4308" s="284"/>
      <c r="AF4308" s="284"/>
      <c r="AG4308" s="284"/>
      <c r="AH4308" s="284"/>
      <c r="AI4308" s="284"/>
      <c r="AJ4308" s="284"/>
      <c r="AK4308" s="284"/>
      <c r="AL4308" s="284"/>
    </row>
    <row r="4309" ht="15.75" customHeight="1">
      <c r="A4309" s="27"/>
      <c r="B4309" s="86"/>
      <c r="C4309" s="86"/>
      <c r="D4309" s="117"/>
      <c r="E4309" s="83"/>
      <c r="F4309" s="86"/>
      <c r="G4309" s="86"/>
      <c r="H4309" s="83"/>
      <c r="I4309" s="86"/>
      <c r="J4309" s="86"/>
      <c r="K4309" s="83"/>
      <c r="L4309" s="86"/>
      <c r="M4309" s="86"/>
      <c r="N4309" s="86"/>
      <c r="O4309" s="83"/>
      <c r="P4309" s="86"/>
      <c r="Q4309" s="86"/>
      <c r="R4309" s="84"/>
      <c r="S4309" s="185"/>
      <c r="T4309" s="185"/>
      <c r="U4309" s="185"/>
      <c r="V4309" s="185"/>
      <c r="W4309" s="185"/>
      <c r="X4309" s="185"/>
      <c r="Y4309" s="284"/>
      <c r="Z4309" s="284"/>
      <c r="AA4309" s="284"/>
      <c r="AB4309" s="284"/>
      <c r="AC4309" s="284"/>
      <c r="AD4309" s="284"/>
      <c r="AE4309" s="284"/>
      <c r="AF4309" s="284"/>
      <c r="AG4309" s="284"/>
      <c r="AH4309" s="284"/>
      <c r="AI4309" s="284"/>
      <c r="AJ4309" s="284"/>
      <c r="AK4309" s="284"/>
      <c r="AL4309" s="284"/>
    </row>
    <row r="4310" ht="15.75" customHeight="1">
      <c r="A4310" s="27"/>
      <c r="B4310" s="86"/>
      <c r="C4310" s="86"/>
      <c r="D4310" s="117"/>
      <c r="E4310" s="83"/>
      <c r="F4310" s="86"/>
      <c r="G4310" s="86"/>
      <c r="H4310" s="83"/>
      <c r="I4310" s="86"/>
      <c r="J4310" s="86"/>
      <c r="K4310" s="83"/>
      <c r="L4310" s="86"/>
      <c r="M4310" s="86"/>
      <c r="N4310" s="86"/>
      <c r="O4310" s="83"/>
      <c r="P4310" s="86"/>
      <c r="Q4310" s="86"/>
      <c r="R4310" s="84"/>
      <c r="S4310" s="185"/>
      <c r="T4310" s="185"/>
      <c r="U4310" s="185"/>
      <c r="V4310" s="185"/>
      <c r="W4310" s="185"/>
      <c r="X4310" s="185"/>
      <c r="Y4310" s="284"/>
      <c r="Z4310" s="284"/>
      <c r="AA4310" s="284"/>
      <c r="AB4310" s="284"/>
      <c r="AC4310" s="284"/>
      <c r="AD4310" s="284"/>
      <c r="AE4310" s="284"/>
      <c r="AF4310" s="284"/>
      <c r="AG4310" s="284"/>
      <c r="AH4310" s="284"/>
      <c r="AI4310" s="284"/>
      <c r="AJ4310" s="284"/>
      <c r="AK4310" s="284"/>
      <c r="AL4310" s="284"/>
    </row>
    <row r="4311" ht="15.75" customHeight="1">
      <c r="A4311" s="27"/>
      <c r="B4311" s="86"/>
      <c r="C4311" s="86"/>
      <c r="D4311" s="117"/>
      <c r="E4311" s="83"/>
      <c r="F4311" s="86"/>
      <c r="G4311" s="86"/>
      <c r="H4311" s="83"/>
      <c r="I4311" s="86"/>
      <c r="J4311" s="86"/>
      <c r="K4311" s="83"/>
      <c r="L4311" s="86"/>
      <c r="M4311" s="86"/>
      <c r="N4311" s="86"/>
      <c r="O4311" s="83"/>
      <c r="P4311" s="86"/>
      <c r="Q4311" s="86"/>
      <c r="R4311" s="84"/>
      <c r="S4311" s="185"/>
      <c r="T4311" s="185"/>
      <c r="U4311" s="185"/>
      <c r="V4311" s="185"/>
      <c r="W4311" s="185"/>
      <c r="X4311" s="185"/>
      <c r="Y4311" s="284"/>
      <c r="Z4311" s="284"/>
      <c r="AA4311" s="284"/>
      <c r="AB4311" s="284"/>
      <c r="AC4311" s="284"/>
      <c r="AD4311" s="284"/>
      <c r="AE4311" s="284"/>
      <c r="AF4311" s="284"/>
      <c r="AG4311" s="284"/>
      <c r="AH4311" s="284"/>
      <c r="AI4311" s="284"/>
      <c r="AJ4311" s="284"/>
      <c r="AK4311" s="284"/>
      <c r="AL4311" s="284"/>
    </row>
    <row r="4312" ht="15.75" customHeight="1">
      <c r="A4312" s="27"/>
      <c r="B4312" s="86"/>
      <c r="C4312" s="86"/>
      <c r="D4312" s="117"/>
      <c r="E4312" s="83"/>
      <c r="F4312" s="86"/>
      <c r="G4312" s="86"/>
      <c r="H4312" s="83"/>
      <c r="I4312" s="86"/>
      <c r="J4312" s="86"/>
      <c r="K4312" s="83"/>
      <c r="L4312" s="86"/>
      <c r="M4312" s="86"/>
      <c r="N4312" s="86"/>
      <c r="O4312" s="83"/>
      <c r="P4312" s="86"/>
      <c r="Q4312" s="86"/>
      <c r="R4312" s="84"/>
      <c r="S4312" s="185"/>
      <c r="T4312" s="185"/>
      <c r="U4312" s="185"/>
      <c r="V4312" s="185"/>
      <c r="W4312" s="185"/>
      <c r="X4312" s="185"/>
      <c r="Y4312" s="284"/>
      <c r="Z4312" s="284"/>
      <c r="AA4312" s="284"/>
      <c r="AB4312" s="284"/>
      <c r="AC4312" s="284"/>
      <c r="AD4312" s="284"/>
      <c r="AE4312" s="284"/>
      <c r="AF4312" s="284"/>
      <c r="AG4312" s="284"/>
      <c r="AH4312" s="284"/>
      <c r="AI4312" s="284"/>
      <c r="AJ4312" s="284"/>
      <c r="AK4312" s="284"/>
      <c r="AL4312" s="284"/>
    </row>
    <row r="4313" ht="15.75" customHeight="1">
      <c r="A4313" s="27"/>
      <c r="B4313" s="86"/>
      <c r="C4313" s="86"/>
      <c r="D4313" s="117"/>
      <c r="E4313" s="83"/>
      <c r="F4313" s="86"/>
      <c r="G4313" s="86"/>
      <c r="H4313" s="83"/>
      <c r="I4313" s="86"/>
      <c r="J4313" s="86"/>
      <c r="K4313" s="83"/>
      <c r="L4313" s="86"/>
      <c r="M4313" s="86"/>
      <c r="N4313" s="86"/>
      <c r="O4313" s="83"/>
      <c r="P4313" s="86"/>
      <c r="Q4313" s="86"/>
      <c r="R4313" s="84"/>
      <c r="S4313" s="185"/>
      <c r="T4313" s="185"/>
      <c r="U4313" s="185"/>
      <c r="V4313" s="185"/>
      <c r="W4313" s="185"/>
      <c r="X4313" s="185"/>
      <c r="Y4313" s="284"/>
      <c r="Z4313" s="284"/>
      <c r="AA4313" s="284"/>
      <c r="AB4313" s="284"/>
      <c r="AC4313" s="284"/>
      <c r="AD4313" s="284"/>
      <c r="AE4313" s="284"/>
      <c r="AF4313" s="284"/>
      <c r="AG4313" s="284"/>
      <c r="AH4313" s="284"/>
      <c r="AI4313" s="284"/>
      <c r="AJ4313" s="284"/>
      <c r="AK4313" s="284"/>
      <c r="AL4313" s="284"/>
    </row>
    <row r="4314" ht="15.75" customHeight="1">
      <c r="A4314" s="27"/>
      <c r="B4314" s="86"/>
      <c r="C4314" s="86"/>
      <c r="D4314" s="117"/>
      <c r="E4314" s="83"/>
      <c r="F4314" s="86"/>
      <c r="G4314" s="86"/>
      <c r="H4314" s="83"/>
      <c r="I4314" s="86"/>
      <c r="J4314" s="86"/>
      <c r="K4314" s="83"/>
      <c r="L4314" s="86"/>
      <c r="M4314" s="86"/>
      <c r="N4314" s="86"/>
      <c r="O4314" s="83"/>
      <c r="P4314" s="86"/>
      <c r="Q4314" s="86"/>
      <c r="R4314" s="84"/>
      <c r="S4314" s="185"/>
      <c r="T4314" s="185"/>
      <c r="U4314" s="185"/>
      <c r="V4314" s="185"/>
      <c r="W4314" s="185"/>
      <c r="X4314" s="185"/>
      <c r="Y4314" s="284"/>
      <c r="Z4314" s="284"/>
      <c r="AA4314" s="284"/>
      <c r="AB4314" s="284"/>
      <c r="AC4314" s="284"/>
      <c r="AD4314" s="284"/>
      <c r="AE4314" s="284"/>
      <c r="AF4314" s="284"/>
      <c r="AG4314" s="284"/>
      <c r="AH4314" s="284"/>
      <c r="AI4314" s="284"/>
      <c r="AJ4314" s="284"/>
      <c r="AK4314" s="284"/>
      <c r="AL4314" s="284"/>
    </row>
    <row r="4315" ht="15.75" customHeight="1">
      <c r="A4315" s="27"/>
      <c r="B4315" s="86"/>
      <c r="C4315" s="86"/>
      <c r="D4315" s="117"/>
      <c r="E4315" s="83"/>
      <c r="F4315" s="86"/>
      <c r="G4315" s="86"/>
      <c r="H4315" s="83"/>
      <c r="I4315" s="86"/>
      <c r="J4315" s="86"/>
      <c r="K4315" s="83"/>
      <c r="L4315" s="86"/>
      <c r="M4315" s="86"/>
      <c r="N4315" s="86"/>
      <c r="O4315" s="83"/>
      <c r="P4315" s="86"/>
      <c r="Q4315" s="86"/>
      <c r="R4315" s="84"/>
      <c r="S4315" s="185"/>
      <c r="T4315" s="185"/>
      <c r="U4315" s="185"/>
      <c r="V4315" s="185"/>
      <c r="W4315" s="185"/>
      <c r="X4315" s="185"/>
      <c r="Y4315" s="284"/>
      <c r="Z4315" s="284"/>
      <c r="AA4315" s="284"/>
      <c r="AB4315" s="284"/>
      <c r="AC4315" s="284"/>
      <c r="AD4315" s="284"/>
      <c r="AE4315" s="284"/>
      <c r="AF4315" s="284"/>
      <c r="AG4315" s="284"/>
      <c r="AH4315" s="284"/>
      <c r="AI4315" s="284"/>
      <c r="AJ4315" s="284"/>
      <c r="AK4315" s="284"/>
      <c r="AL4315" s="284"/>
    </row>
    <row r="4316" ht="15.75" customHeight="1">
      <c r="A4316" s="27"/>
      <c r="B4316" s="86"/>
      <c r="C4316" s="86"/>
      <c r="D4316" s="117"/>
      <c r="E4316" s="83"/>
      <c r="F4316" s="86"/>
      <c r="G4316" s="86"/>
      <c r="H4316" s="83"/>
      <c r="I4316" s="86"/>
      <c r="J4316" s="86"/>
      <c r="K4316" s="83"/>
      <c r="L4316" s="86"/>
      <c r="M4316" s="86"/>
      <c r="N4316" s="86"/>
      <c r="O4316" s="83"/>
      <c r="P4316" s="86"/>
      <c r="Q4316" s="86"/>
      <c r="R4316" s="84"/>
      <c r="S4316" s="185"/>
      <c r="T4316" s="185"/>
      <c r="U4316" s="185"/>
      <c r="V4316" s="185"/>
      <c r="W4316" s="185"/>
      <c r="X4316" s="185"/>
      <c r="Y4316" s="284"/>
      <c r="Z4316" s="284"/>
      <c r="AA4316" s="284"/>
      <c r="AB4316" s="284"/>
      <c r="AC4316" s="284"/>
      <c r="AD4316" s="284"/>
      <c r="AE4316" s="284"/>
      <c r="AF4316" s="284"/>
      <c r="AG4316" s="284"/>
      <c r="AH4316" s="284"/>
      <c r="AI4316" s="284"/>
      <c r="AJ4316" s="284"/>
      <c r="AK4316" s="284"/>
      <c r="AL4316" s="284"/>
    </row>
    <row r="4317" ht="15.75" customHeight="1">
      <c r="A4317" s="27"/>
      <c r="B4317" s="86"/>
      <c r="C4317" s="86"/>
      <c r="D4317" s="117"/>
      <c r="E4317" s="83"/>
      <c r="F4317" s="86"/>
      <c r="G4317" s="86"/>
      <c r="H4317" s="83"/>
      <c r="I4317" s="86"/>
      <c r="J4317" s="86"/>
      <c r="K4317" s="83"/>
      <c r="L4317" s="86"/>
      <c r="M4317" s="86"/>
      <c r="N4317" s="86"/>
      <c r="O4317" s="83"/>
      <c r="P4317" s="86"/>
      <c r="Q4317" s="86"/>
      <c r="R4317" s="84"/>
      <c r="S4317" s="185"/>
      <c r="T4317" s="185"/>
      <c r="U4317" s="185"/>
      <c r="V4317" s="185"/>
      <c r="W4317" s="185"/>
      <c r="X4317" s="185"/>
      <c r="Y4317" s="284"/>
      <c r="Z4317" s="284"/>
      <c r="AA4317" s="284"/>
      <c r="AB4317" s="284"/>
      <c r="AC4317" s="284"/>
      <c r="AD4317" s="284"/>
      <c r="AE4317" s="284"/>
      <c r="AF4317" s="284"/>
      <c r="AG4317" s="284"/>
      <c r="AH4317" s="284"/>
      <c r="AI4317" s="284"/>
      <c r="AJ4317" s="284"/>
      <c r="AK4317" s="284"/>
      <c r="AL4317" s="284"/>
    </row>
    <row r="4318" ht="15.75" customHeight="1">
      <c r="A4318" s="27"/>
      <c r="B4318" s="86"/>
      <c r="C4318" s="86"/>
      <c r="D4318" s="117"/>
      <c r="E4318" s="83"/>
      <c r="F4318" s="86"/>
      <c r="G4318" s="86"/>
      <c r="H4318" s="83"/>
      <c r="I4318" s="86"/>
      <c r="J4318" s="86"/>
      <c r="K4318" s="83"/>
      <c r="L4318" s="86"/>
      <c r="M4318" s="86"/>
      <c r="N4318" s="86"/>
      <c r="O4318" s="83"/>
      <c r="P4318" s="86"/>
      <c r="Q4318" s="86"/>
      <c r="R4318" s="84"/>
      <c r="S4318" s="185"/>
      <c r="T4318" s="185"/>
      <c r="U4318" s="185"/>
      <c r="V4318" s="185"/>
      <c r="W4318" s="185"/>
      <c r="X4318" s="185"/>
      <c r="Y4318" s="284"/>
      <c r="Z4318" s="284"/>
      <c r="AA4318" s="284"/>
      <c r="AB4318" s="284"/>
      <c r="AC4318" s="284"/>
      <c r="AD4318" s="284"/>
      <c r="AE4318" s="284"/>
      <c r="AF4318" s="284"/>
      <c r="AG4318" s="284"/>
      <c r="AH4318" s="284"/>
      <c r="AI4318" s="284"/>
      <c r="AJ4318" s="284"/>
      <c r="AK4318" s="284"/>
      <c r="AL4318" s="284"/>
    </row>
    <row r="4319" ht="15.75" customHeight="1">
      <c r="A4319" s="27"/>
      <c r="B4319" s="86"/>
      <c r="C4319" s="86"/>
      <c r="D4319" s="117"/>
      <c r="E4319" s="83"/>
      <c r="F4319" s="86"/>
      <c r="G4319" s="86"/>
      <c r="H4319" s="83"/>
      <c r="I4319" s="86"/>
      <c r="J4319" s="86"/>
      <c r="K4319" s="83"/>
      <c r="L4319" s="86"/>
      <c r="M4319" s="86"/>
      <c r="N4319" s="86"/>
      <c r="O4319" s="83"/>
      <c r="P4319" s="86"/>
      <c r="Q4319" s="86"/>
      <c r="R4319" s="84"/>
      <c r="S4319" s="185"/>
      <c r="T4319" s="185"/>
      <c r="U4319" s="185"/>
      <c r="V4319" s="185"/>
      <c r="W4319" s="185"/>
      <c r="X4319" s="185"/>
      <c r="Y4319" s="284"/>
      <c r="Z4319" s="284"/>
      <c r="AA4319" s="284"/>
      <c r="AB4319" s="284"/>
      <c r="AC4319" s="284"/>
      <c r="AD4319" s="284"/>
      <c r="AE4319" s="284"/>
      <c r="AF4319" s="284"/>
      <c r="AG4319" s="284"/>
      <c r="AH4319" s="284"/>
      <c r="AI4319" s="284"/>
      <c r="AJ4319" s="284"/>
      <c r="AK4319" s="284"/>
      <c r="AL4319" s="284"/>
    </row>
    <row r="4320" ht="15.75" customHeight="1">
      <c r="A4320" s="27"/>
      <c r="B4320" s="86"/>
      <c r="C4320" s="86"/>
      <c r="D4320" s="117"/>
      <c r="E4320" s="83"/>
      <c r="F4320" s="86"/>
      <c r="G4320" s="86"/>
      <c r="H4320" s="83"/>
      <c r="I4320" s="86"/>
      <c r="J4320" s="86"/>
      <c r="K4320" s="83"/>
      <c r="L4320" s="86"/>
      <c r="M4320" s="86"/>
      <c r="N4320" s="86"/>
      <c r="O4320" s="83"/>
      <c r="P4320" s="86"/>
      <c r="Q4320" s="86"/>
      <c r="R4320" s="84"/>
      <c r="S4320" s="185"/>
      <c r="T4320" s="185"/>
      <c r="U4320" s="185"/>
      <c r="V4320" s="185"/>
      <c r="W4320" s="185"/>
      <c r="X4320" s="185"/>
      <c r="Y4320" s="284"/>
      <c r="Z4320" s="284"/>
      <c r="AA4320" s="284"/>
      <c r="AB4320" s="284"/>
      <c r="AC4320" s="284"/>
      <c r="AD4320" s="284"/>
      <c r="AE4320" s="284"/>
      <c r="AF4320" s="284"/>
      <c r="AG4320" s="284"/>
      <c r="AH4320" s="284"/>
      <c r="AI4320" s="284"/>
      <c r="AJ4320" s="284"/>
      <c r="AK4320" s="284"/>
      <c r="AL4320" s="284"/>
    </row>
    <row r="4321" ht="15.75" customHeight="1">
      <c r="A4321" s="27"/>
      <c r="B4321" s="86"/>
      <c r="C4321" s="86"/>
      <c r="D4321" s="117"/>
      <c r="E4321" s="83"/>
      <c r="F4321" s="86"/>
      <c r="G4321" s="86"/>
      <c r="H4321" s="83"/>
      <c r="I4321" s="86"/>
      <c r="J4321" s="86"/>
      <c r="K4321" s="83"/>
      <c r="L4321" s="86"/>
      <c r="M4321" s="86"/>
      <c r="N4321" s="86"/>
      <c r="O4321" s="83"/>
      <c r="P4321" s="86"/>
      <c r="Q4321" s="86"/>
      <c r="R4321" s="84"/>
      <c r="S4321" s="185"/>
      <c r="T4321" s="185"/>
      <c r="U4321" s="185"/>
      <c r="V4321" s="185"/>
      <c r="W4321" s="185"/>
      <c r="X4321" s="185"/>
      <c r="Y4321" s="284"/>
      <c r="Z4321" s="284"/>
      <c r="AA4321" s="284"/>
      <c r="AB4321" s="284"/>
      <c r="AC4321" s="284"/>
      <c r="AD4321" s="284"/>
      <c r="AE4321" s="284"/>
      <c r="AF4321" s="284"/>
      <c r="AG4321" s="284"/>
      <c r="AH4321" s="284"/>
      <c r="AI4321" s="284"/>
      <c r="AJ4321" s="284"/>
      <c r="AK4321" s="284"/>
      <c r="AL4321" s="284"/>
    </row>
    <row r="4322" ht="15.75" customHeight="1">
      <c r="A4322" s="27"/>
      <c r="B4322" s="86"/>
      <c r="C4322" s="86"/>
      <c r="D4322" s="117"/>
      <c r="E4322" s="83"/>
      <c r="F4322" s="86"/>
      <c r="G4322" s="86"/>
      <c r="H4322" s="83"/>
      <c r="I4322" s="86"/>
      <c r="J4322" s="86"/>
      <c r="K4322" s="83"/>
      <c r="L4322" s="86"/>
      <c r="M4322" s="86"/>
      <c r="N4322" s="86"/>
      <c r="O4322" s="83"/>
      <c r="P4322" s="86"/>
      <c r="Q4322" s="86"/>
      <c r="R4322" s="84"/>
      <c r="S4322" s="185"/>
      <c r="T4322" s="185"/>
      <c r="U4322" s="185"/>
      <c r="V4322" s="185"/>
      <c r="W4322" s="185"/>
      <c r="X4322" s="185"/>
      <c r="Y4322" s="284"/>
      <c r="Z4322" s="284"/>
      <c r="AA4322" s="284"/>
      <c r="AB4322" s="284"/>
      <c r="AC4322" s="284"/>
      <c r="AD4322" s="284"/>
      <c r="AE4322" s="284"/>
      <c r="AF4322" s="284"/>
      <c r="AG4322" s="284"/>
      <c r="AH4322" s="284"/>
      <c r="AI4322" s="284"/>
      <c r="AJ4322" s="284"/>
      <c r="AK4322" s="284"/>
      <c r="AL4322" s="284"/>
    </row>
    <row r="4323" ht="15.75" customHeight="1">
      <c r="A4323" s="27"/>
      <c r="B4323" s="86"/>
      <c r="C4323" s="86"/>
      <c r="D4323" s="117"/>
      <c r="E4323" s="83"/>
      <c r="F4323" s="86"/>
      <c r="G4323" s="86"/>
      <c r="H4323" s="83"/>
      <c r="I4323" s="86"/>
      <c r="J4323" s="86"/>
      <c r="K4323" s="83"/>
      <c r="L4323" s="86"/>
      <c r="M4323" s="86"/>
      <c r="N4323" s="86"/>
      <c r="O4323" s="83"/>
      <c r="P4323" s="86"/>
      <c r="Q4323" s="86"/>
      <c r="R4323" s="84"/>
      <c r="S4323" s="185"/>
      <c r="T4323" s="185"/>
      <c r="U4323" s="185"/>
      <c r="V4323" s="185"/>
      <c r="W4323" s="185"/>
      <c r="X4323" s="185"/>
      <c r="Y4323" s="284"/>
      <c r="Z4323" s="284"/>
      <c r="AA4323" s="284"/>
      <c r="AB4323" s="284"/>
      <c r="AC4323" s="284"/>
      <c r="AD4323" s="284"/>
      <c r="AE4323" s="284"/>
      <c r="AF4323" s="284"/>
      <c r="AG4323" s="284"/>
      <c r="AH4323" s="284"/>
      <c r="AI4323" s="284"/>
      <c r="AJ4323" s="284"/>
      <c r="AK4323" s="284"/>
      <c r="AL4323" s="284"/>
    </row>
    <row r="4324" ht="15.75" customHeight="1">
      <c r="A4324" s="27"/>
      <c r="B4324" s="86"/>
      <c r="C4324" s="86"/>
      <c r="D4324" s="117"/>
      <c r="E4324" s="83"/>
      <c r="F4324" s="86"/>
      <c r="G4324" s="86"/>
      <c r="H4324" s="83"/>
      <c r="I4324" s="86"/>
      <c r="J4324" s="86"/>
      <c r="K4324" s="83"/>
      <c r="L4324" s="86"/>
      <c r="M4324" s="86"/>
      <c r="N4324" s="86"/>
      <c r="O4324" s="83"/>
      <c r="P4324" s="86"/>
      <c r="Q4324" s="86"/>
      <c r="R4324" s="84"/>
      <c r="S4324" s="185"/>
      <c r="T4324" s="185"/>
      <c r="U4324" s="185"/>
      <c r="V4324" s="185"/>
      <c r="W4324" s="185"/>
      <c r="X4324" s="185"/>
      <c r="Y4324" s="284"/>
      <c r="Z4324" s="284"/>
      <c r="AA4324" s="284"/>
      <c r="AB4324" s="284"/>
      <c r="AC4324" s="284"/>
      <c r="AD4324" s="284"/>
      <c r="AE4324" s="284"/>
      <c r="AF4324" s="284"/>
      <c r="AG4324" s="284"/>
      <c r="AH4324" s="284"/>
      <c r="AI4324" s="284"/>
      <c r="AJ4324" s="284"/>
      <c r="AK4324" s="284"/>
      <c r="AL4324" s="284"/>
    </row>
    <row r="4325" ht="15.75" customHeight="1">
      <c r="A4325" s="27"/>
      <c r="B4325" s="86"/>
      <c r="C4325" s="86"/>
      <c r="D4325" s="117"/>
      <c r="E4325" s="83"/>
      <c r="F4325" s="86"/>
      <c r="G4325" s="86"/>
      <c r="H4325" s="83"/>
      <c r="I4325" s="86"/>
      <c r="J4325" s="86"/>
      <c r="K4325" s="83"/>
      <c r="L4325" s="86"/>
      <c r="M4325" s="86"/>
      <c r="N4325" s="86"/>
      <c r="O4325" s="83"/>
      <c r="P4325" s="86"/>
      <c r="Q4325" s="86"/>
      <c r="R4325" s="84"/>
      <c r="S4325" s="185"/>
      <c r="T4325" s="185"/>
      <c r="U4325" s="185"/>
      <c r="V4325" s="185"/>
      <c r="W4325" s="185"/>
      <c r="X4325" s="185"/>
      <c r="Y4325" s="284"/>
      <c r="Z4325" s="284"/>
      <c r="AA4325" s="284"/>
      <c r="AB4325" s="284"/>
      <c r="AC4325" s="284"/>
      <c r="AD4325" s="284"/>
      <c r="AE4325" s="284"/>
      <c r="AF4325" s="284"/>
      <c r="AG4325" s="284"/>
      <c r="AH4325" s="284"/>
      <c r="AI4325" s="284"/>
      <c r="AJ4325" s="284"/>
      <c r="AK4325" s="284"/>
      <c r="AL4325" s="284"/>
    </row>
    <row r="4326" ht="15.75" customHeight="1">
      <c r="A4326" s="27"/>
      <c r="B4326" s="86"/>
      <c r="C4326" s="86"/>
      <c r="D4326" s="117"/>
      <c r="E4326" s="83"/>
      <c r="F4326" s="86"/>
      <c r="G4326" s="86"/>
      <c r="H4326" s="83"/>
      <c r="I4326" s="86"/>
      <c r="J4326" s="86"/>
      <c r="K4326" s="83"/>
      <c r="L4326" s="86"/>
      <c r="M4326" s="86"/>
      <c r="N4326" s="86"/>
      <c r="O4326" s="83"/>
      <c r="P4326" s="86"/>
      <c r="Q4326" s="86"/>
      <c r="R4326" s="84"/>
      <c r="S4326" s="185"/>
      <c r="T4326" s="185"/>
      <c r="U4326" s="185"/>
      <c r="V4326" s="185"/>
      <c r="W4326" s="185"/>
      <c r="X4326" s="185"/>
      <c r="Y4326" s="284"/>
      <c r="Z4326" s="284"/>
      <c r="AA4326" s="284"/>
      <c r="AB4326" s="284"/>
      <c r="AC4326" s="284"/>
      <c r="AD4326" s="284"/>
      <c r="AE4326" s="284"/>
      <c r="AF4326" s="284"/>
      <c r="AG4326" s="284"/>
      <c r="AH4326" s="284"/>
      <c r="AI4326" s="284"/>
      <c r="AJ4326" s="284"/>
      <c r="AK4326" s="284"/>
      <c r="AL4326" s="284"/>
    </row>
    <row r="4327" ht="15.75" customHeight="1">
      <c r="A4327" s="27"/>
      <c r="B4327" s="86"/>
      <c r="C4327" s="86"/>
      <c r="D4327" s="117"/>
      <c r="E4327" s="83"/>
      <c r="F4327" s="86"/>
      <c r="G4327" s="86"/>
      <c r="H4327" s="83"/>
      <c r="I4327" s="86"/>
      <c r="J4327" s="86"/>
      <c r="K4327" s="83"/>
      <c r="L4327" s="86"/>
      <c r="M4327" s="86"/>
      <c r="N4327" s="86"/>
      <c r="O4327" s="83"/>
      <c r="P4327" s="86"/>
      <c r="Q4327" s="86"/>
      <c r="R4327" s="84"/>
      <c r="S4327" s="185"/>
      <c r="T4327" s="185"/>
      <c r="U4327" s="185"/>
      <c r="V4327" s="185"/>
      <c r="W4327" s="185"/>
      <c r="X4327" s="185"/>
      <c r="Y4327" s="284"/>
      <c r="Z4327" s="284"/>
      <c r="AA4327" s="284"/>
      <c r="AB4327" s="284"/>
      <c r="AC4327" s="284"/>
      <c r="AD4327" s="284"/>
      <c r="AE4327" s="284"/>
      <c r="AF4327" s="284"/>
      <c r="AG4327" s="284"/>
      <c r="AH4327" s="284"/>
      <c r="AI4327" s="284"/>
      <c r="AJ4327" s="284"/>
      <c r="AK4327" s="284"/>
      <c r="AL4327" s="284"/>
    </row>
    <row r="4328" ht="15.75" customHeight="1">
      <c r="A4328" s="27"/>
      <c r="B4328" s="86"/>
      <c r="C4328" s="86"/>
      <c r="D4328" s="117"/>
      <c r="E4328" s="83"/>
      <c r="F4328" s="86"/>
      <c r="G4328" s="86"/>
      <c r="H4328" s="83"/>
      <c r="I4328" s="86"/>
      <c r="J4328" s="86"/>
      <c r="K4328" s="83"/>
      <c r="L4328" s="86"/>
      <c r="M4328" s="86"/>
      <c r="N4328" s="86"/>
      <c r="O4328" s="83"/>
      <c r="P4328" s="86"/>
      <c r="Q4328" s="86"/>
      <c r="R4328" s="84"/>
      <c r="S4328" s="185"/>
      <c r="T4328" s="185"/>
      <c r="U4328" s="185"/>
      <c r="V4328" s="185"/>
      <c r="W4328" s="185"/>
      <c r="X4328" s="185"/>
      <c r="Y4328" s="284"/>
      <c r="Z4328" s="284"/>
      <c r="AA4328" s="284"/>
      <c r="AB4328" s="284"/>
      <c r="AC4328" s="284"/>
      <c r="AD4328" s="284"/>
      <c r="AE4328" s="284"/>
      <c r="AF4328" s="284"/>
      <c r="AG4328" s="284"/>
      <c r="AH4328" s="284"/>
      <c r="AI4328" s="284"/>
      <c r="AJ4328" s="284"/>
      <c r="AK4328" s="284"/>
      <c r="AL4328" s="284"/>
    </row>
    <row r="4329" ht="15.75" customHeight="1">
      <c r="A4329" s="27"/>
      <c r="B4329" s="86"/>
      <c r="C4329" s="86"/>
      <c r="D4329" s="117"/>
      <c r="E4329" s="83"/>
      <c r="F4329" s="86"/>
      <c r="G4329" s="86"/>
      <c r="H4329" s="83"/>
      <c r="I4329" s="86"/>
      <c r="J4329" s="86"/>
      <c r="K4329" s="83"/>
      <c r="L4329" s="86"/>
      <c r="M4329" s="86"/>
      <c r="N4329" s="86"/>
      <c r="O4329" s="83"/>
      <c r="P4329" s="86"/>
      <c r="Q4329" s="86"/>
      <c r="R4329" s="84"/>
      <c r="S4329" s="185"/>
      <c r="T4329" s="185"/>
      <c r="U4329" s="185"/>
      <c r="V4329" s="185"/>
      <c r="W4329" s="185"/>
      <c r="X4329" s="185"/>
      <c r="Y4329" s="284"/>
      <c r="Z4329" s="284"/>
      <c r="AA4329" s="284"/>
      <c r="AB4329" s="284"/>
      <c r="AC4329" s="284"/>
      <c r="AD4329" s="284"/>
      <c r="AE4329" s="284"/>
      <c r="AF4329" s="284"/>
      <c r="AG4329" s="284"/>
      <c r="AH4329" s="284"/>
      <c r="AI4329" s="284"/>
      <c r="AJ4329" s="284"/>
      <c r="AK4329" s="284"/>
      <c r="AL4329" s="284"/>
    </row>
    <row r="4330" ht="15.75" customHeight="1">
      <c r="A4330" s="27"/>
      <c r="B4330" s="86"/>
      <c r="C4330" s="86"/>
      <c r="D4330" s="117"/>
      <c r="E4330" s="83"/>
      <c r="F4330" s="86"/>
      <c r="G4330" s="86"/>
      <c r="H4330" s="83"/>
      <c r="I4330" s="86"/>
      <c r="J4330" s="86"/>
      <c r="K4330" s="83"/>
      <c r="L4330" s="86"/>
      <c r="M4330" s="86"/>
      <c r="N4330" s="86"/>
      <c r="O4330" s="83"/>
      <c r="P4330" s="86"/>
      <c r="Q4330" s="86"/>
      <c r="R4330" s="84"/>
      <c r="S4330" s="185"/>
      <c r="T4330" s="185"/>
      <c r="U4330" s="185"/>
      <c r="V4330" s="185"/>
      <c r="W4330" s="185"/>
      <c r="X4330" s="185"/>
      <c r="Y4330" s="284"/>
      <c r="Z4330" s="284"/>
      <c r="AA4330" s="284"/>
      <c r="AB4330" s="284"/>
      <c r="AC4330" s="284"/>
      <c r="AD4330" s="284"/>
      <c r="AE4330" s="284"/>
      <c r="AF4330" s="284"/>
      <c r="AG4330" s="284"/>
      <c r="AH4330" s="284"/>
      <c r="AI4330" s="284"/>
      <c r="AJ4330" s="284"/>
      <c r="AK4330" s="284"/>
      <c r="AL4330" s="284"/>
    </row>
    <row r="4331" ht="15.75" customHeight="1">
      <c r="A4331" s="27"/>
      <c r="B4331" s="86"/>
      <c r="C4331" s="86"/>
      <c r="D4331" s="117"/>
      <c r="E4331" s="83"/>
      <c r="F4331" s="86"/>
      <c r="G4331" s="86"/>
      <c r="H4331" s="83"/>
      <c r="I4331" s="86"/>
      <c r="J4331" s="86"/>
      <c r="K4331" s="83"/>
      <c r="L4331" s="86"/>
      <c r="M4331" s="86"/>
      <c r="N4331" s="86"/>
      <c r="O4331" s="83"/>
      <c r="P4331" s="86"/>
      <c r="Q4331" s="86"/>
      <c r="R4331" s="84"/>
      <c r="S4331" s="185"/>
      <c r="T4331" s="185"/>
      <c r="U4331" s="185"/>
      <c r="V4331" s="185"/>
      <c r="W4331" s="185"/>
      <c r="X4331" s="185"/>
      <c r="Y4331" s="284"/>
      <c r="Z4331" s="284"/>
      <c r="AA4331" s="284"/>
      <c r="AB4331" s="284"/>
      <c r="AC4331" s="284"/>
      <c r="AD4331" s="284"/>
      <c r="AE4331" s="284"/>
      <c r="AF4331" s="284"/>
      <c r="AG4331" s="284"/>
      <c r="AH4331" s="284"/>
      <c r="AI4331" s="284"/>
      <c r="AJ4331" s="284"/>
      <c r="AK4331" s="284"/>
      <c r="AL4331" s="284"/>
    </row>
    <row r="4332" ht="15.75" customHeight="1">
      <c r="A4332" s="27"/>
      <c r="B4332" s="86"/>
      <c r="C4332" s="86"/>
      <c r="D4332" s="117"/>
      <c r="E4332" s="83"/>
      <c r="F4332" s="86"/>
      <c r="G4332" s="86"/>
      <c r="H4332" s="83"/>
      <c r="I4332" s="86"/>
      <c r="J4332" s="86"/>
      <c r="K4332" s="83"/>
      <c r="L4332" s="86"/>
      <c r="M4332" s="86"/>
      <c r="N4332" s="86"/>
      <c r="O4332" s="83"/>
      <c r="P4332" s="86"/>
      <c r="Q4332" s="86"/>
      <c r="R4332" s="84"/>
      <c r="S4332" s="185"/>
      <c r="T4332" s="185"/>
      <c r="U4332" s="185"/>
      <c r="V4332" s="185"/>
      <c r="W4332" s="185"/>
      <c r="X4332" s="185"/>
      <c r="Y4332" s="284"/>
      <c r="Z4332" s="284"/>
      <c r="AA4332" s="284"/>
      <c r="AB4332" s="284"/>
      <c r="AC4332" s="284"/>
      <c r="AD4332" s="284"/>
      <c r="AE4332" s="284"/>
      <c r="AF4332" s="284"/>
      <c r="AG4332" s="284"/>
      <c r="AH4332" s="284"/>
      <c r="AI4332" s="284"/>
      <c r="AJ4332" s="284"/>
      <c r="AK4332" s="284"/>
      <c r="AL4332" s="284"/>
    </row>
    <row r="4333" ht="15.75" customHeight="1">
      <c r="A4333" s="27"/>
      <c r="B4333" s="86"/>
      <c r="C4333" s="86"/>
      <c r="D4333" s="117"/>
      <c r="E4333" s="83"/>
      <c r="F4333" s="86"/>
      <c r="G4333" s="86"/>
      <c r="H4333" s="83"/>
      <c r="I4333" s="86"/>
      <c r="J4333" s="86"/>
      <c r="K4333" s="83"/>
      <c r="L4333" s="86"/>
      <c r="M4333" s="86"/>
      <c r="N4333" s="86"/>
      <c r="O4333" s="83"/>
      <c r="P4333" s="86"/>
      <c r="Q4333" s="86"/>
      <c r="R4333" s="84"/>
      <c r="S4333" s="185"/>
      <c r="T4333" s="185"/>
      <c r="U4333" s="185"/>
      <c r="V4333" s="185"/>
      <c r="W4333" s="185"/>
      <c r="X4333" s="185"/>
      <c r="Y4333" s="284"/>
      <c r="Z4333" s="284"/>
      <c r="AA4333" s="284"/>
      <c r="AB4333" s="284"/>
      <c r="AC4333" s="284"/>
      <c r="AD4333" s="284"/>
      <c r="AE4333" s="284"/>
      <c r="AF4333" s="284"/>
      <c r="AG4333" s="284"/>
      <c r="AH4333" s="284"/>
      <c r="AI4333" s="284"/>
      <c r="AJ4333" s="284"/>
      <c r="AK4333" s="284"/>
      <c r="AL4333" s="284"/>
    </row>
    <row r="4334" ht="15.75" customHeight="1">
      <c r="A4334" s="27"/>
      <c r="B4334" s="86"/>
      <c r="C4334" s="86"/>
      <c r="D4334" s="117"/>
      <c r="E4334" s="83"/>
      <c r="F4334" s="86"/>
      <c r="G4334" s="86"/>
      <c r="H4334" s="83"/>
      <c r="I4334" s="86"/>
      <c r="J4334" s="86"/>
      <c r="K4334" s="83"/>
      <c r="L4334" s="86"/>
      <c r="M4334" s="86"/>
      <c r="N4334" s="86"/>
      <c r="O4334" s="83"/>
      <c r="P4334" s="86"/>
      <c r="Q4334" s="86"/>
      <c r="R4334" s="84"/>
      <c r="S4334" s="185"/>
      <c r="T4334" s="185"/>
      <c r="U4334" s="185"/>
      <c r="V4334" s="185"/>
      <c r="W4334" s="185"/>
      <c r="X4334" s="185"/>
      <c r="Y4334" s="284"/>
      <c r="Z4334" s="284"/>
      <c r="AA4334" s="284"/>
      <c r="AB4334" s="284"/>
      <c r="AC4334" s="284"/>
      <c r="AD4334" s="284"/>
      <c r="AE4334" s="284"/>
      <c r="AF4334" s="284"/>
      <c r="AG4334" s="284"/>
      <c r="AH4334" s="284"/>
      <c r="AI4334" s="284"/>
      <c r="AJ4334" s="284"/>
      <c r="AK4334" s="284"/>
      <c r="AL4334" s="284"/>
    </row>
    <row r="4335" ht="15.75" customHeight="1">
      <c r="A4335" s="27"/>
      <c r="B4335" s="86"/>
      <c r="C4335" s="86"/>
      <c r="D4335" s="117"/>
      <c r="E4335" s="83"/>
      <c r="F4335" s="86"/>
      <c r="G4335" s="86"/>
      <c r="H4335" s="83"/>
      <c r="I4335" s="86"/>
      <c r="J4335" s="86"/>
      <c r="K4335" s="83"/>
      <c r="L4335" s="86"/>
      <c r="M4335" s="86"/>
      <c r="N4335" s="86"/>
      <c r="O4335" s="83"/>
      <c r="P4335" s="86"/>
      <c r="Q4335" s="86"/>
      <c r="R4335" s="84"/>
      <c r="S4335" s="185"/>
      <c r="T4335" s="185"/>
      <c r="U4335" s="185"/>
      <c r="V4335" s="185"/>
      <c r="W4335" s="185"/>
      <c r="X4335" s="185"/>
      <c r="Y4335" s="284"/>
      <c r="Z4335" s="284"/>
      <c r="AA4335" s="284"/>
      <c r="AB4335" s="284"/>
      <c r="AC4335" s="284"/>
      <c r="AD4335" s="284"/>
      <c r="AE4335" s="284"/>
      <c r="AF4335" s="284"/>
      <c r="AG4335" s="284"/>
      <c r="AH4335" s="284"/>
      <c r="AI4335" s="284"/>
      <c r="AJ4335" s="284"/>
      <c r="AK4335" s="284"/>
      <c r="AL4335" s="284"/>
    </row>
    <row r="4336" ht="15.75" customHeight="1">
      <c r="A4336" s="27"/>
      <c r="B4336" s="86"/>
      <c r="C4336" s="86"/>
      <c r="D4336" s="117"/>
      <c r="E4336" s="83"/>
      <c r="F4336" s="86"/>
      <c r="G4336" s="86"/>
      <c r="H4336" s="83"/>
      <c r="I4336" s="86"/>
      <c r="J4336" s="86"/>
      <c r="K4336" s="83"/>
      <c r="L4336" s="86"/>
      <c r="M4336" s="86"/>
      <c r="N4336" s="86"/>
      <c r="O4336" s="83"/>
      <c r="P4336" s="86"/>
      <c r="Q4336" s="86"/>
      <c r="R4336" s="84"/>
      <c r="S4336" s="185"/>
      <c r="T4336" s="185"/>
      <c r="U4336" s="185"/>
      <c r="V4336" s="185"/>
      <c r="W4336" s="185"/>
      <c r="X4336" s="185"/>
      <c r="Y4336" s="284"/>
      <c r="Z4336" s="284"/>
      <c r="AA4336" s="284"/>
      <c r="AB4336" s="284"/>
      <c r="AC4336" s="284"/>
      <c r="AD4336" s="284"/>
      <c r="AE4336" s="284"/>
      <c r="AF4336" s="284"/>
      <c r="AG4336" s="284"/>
      <c r="AH4336" s="284"/>
      <c r="AI4336" s="284"/>
      <c r="AJ4336" s="284"/>
      <c r="AK4336" s="284"/>
      <c r="AL4336" s="284"/>
    </row>
    <row r="4337" ht="15.75" customHeight="1">
      <c r="A4337" s="27"/>
      <c r="B4337" s="86"/>
      <c r="C4337" s="86"/>
      <c r="D4337" s="117"/>
      <c r="E4337" s="83"/>
      <c r="F4337" s="86"/>
      <c r="G4337" s="86"/>
      <c r="H4337" s="83"/>
      <c r="I4337" s="86"/>
      <c r="J4337" s="86"/>
      <c r="K4337" s="83"/>
      <c r="L4337" s="86"/>
      <c r="M4337" s="86"/>
      <c r="N4337" s="86"/>
      <c r="O4337" s="83"/>
      <c r="P4337" s="86"/>
      <c r="Q4337" s="86"/>
      <c r="R4337" s="84"/>
      <c r="S4337" s="185"/>
      <c r="T4337" s="185"/>
      <c r="U4337" s="185"/>
      <c r="V4337" s="185"/>
      <c r="W4337" s="185"/>
      <c r="X4337" s="185"/>
      <c r="Y4337" s="284"/>
      <c r="Z4337" s="284"/>
      <c r="AA4337" s="284"/>
      <c r="AB4337" s="284"/>
      <c r="AC4337" s="284"/>
      <c r="AD4337" s="284"/>
      <c r="AE4337" s="284"/>
      <c r="AF4337" s="284"/>
      <c r="AG4337" s="284"/>
      <c r="AH4337" s="284"/>
      <c r="AI4337" s="284"/>
      <c r="AJ4337" s="284"/>
      <c r="AK4337" s="284"/>
      <c r="AL4337" s="284"/>
    </row>
    <row r="4338" ht="15.75" customHeight="1">
      <c r="A4338" s="27"/>
      <c r="B4338" s="86"/>
      <c r="C4338" s="86"/>
      <c r="D4338" s="117"/>
      <c r="E4338" s="83"/>
      <c r="F4338" s="86"/>
      <c r="G4338" s="86"/>
      <c r="H4338" s="83"/>
      <c r="I4338" s="86"/>
      <c r="J4338" s="86"/>
      <c r="K4338" s="83"/>
      <c r="L4338" s="86"/>
      <c r="M4338" s="86"/>
      <c r="N4338" s="86"/>
      <c r="O4338" s="83"/>
      <c r="P4338" s="86"/>
      <c r="Q4338" s="86"/>
      <c r="R4338" s="84"/>
      <c r="S4338" s="185"/>
      <c r="T4338" s="185"/>
      <c r="U4338" s="185"/>
      <c r="V4338" s="185"/>
      <c r="W4338" s="185"/>
      <c r="X4338" s="185"/>
      <c r="Y4338" s="284"/>
      <c r="Z4338" s="284"/>
      <c r="AA4338" s="284"/>
      <c r="AB4338" s="284"/>
      <c r="AC4338" s="284"/>
      <c r="AD4338" s="284"/>
      <c r="AE4338" s="284"/>
      <c r="AF4338" s="284"/>
      <c r="AG4338" s="284"/>
      <c r="AH4338" s="284"/>
      <c r="AI4338" s="284"/>
      <c r="AJ4338" s="284"/>
      <c r="AK4338" s="284"/>
      <c r="AL4338" s="284"/>
    </row>
    <row r="4339" ht="15.75" customHeight="1">
      <c r="A4339" s="27"/>
      <c r="B4339" s="86"/>
      <c r="C4339" s="86"/>
      <c r="D4339" s="117"/>
      <c r="E4339" s="83"/>
      <c r="F4339" s="86"/>
      <c r="G4339" s="86"/>
      <c r="H4339" s="83"/>
      <c r="I4339" s="86"/>
      <c r="J4339" s="86"/>
      <c r="K4339" s="83"/>
      <c r="L4339" s="86"/>
      <c r="M4339" s="86"/>
      <c r="N4339" s="86"/>
      <c r="O4339" s="83"/>
      <c r="P4339" s="86"/>
      <c r="Q4339" s="86"/>
      <c r="R4339" s="84"/>
      <c r="S4339" s="185"/>
      <c r="T4339" s="185"/>
      <c r="U4339" s="185"/>
      <c r="V4339" s="185"/>
      <c r="W4339" s="185"/>
      <c r="X4339" s="185"/>
      <c r="Y4339" s="284"/>
      <c r="Z4339" s="284"/>
      <c r="AA4339" s="284"/>
      <c r="AB4339" s="284"/>
      <c r="AC4339" s="284"/>
      <c r="AD4339" s="284"/>
      <c r="AE4339" s="284"/>
      <c r="AF4339" s="284"/>
      <c r="AG4339" s="284"/>
      <c r="AH4339" s="284"/>
      <c r="AI4339" s="284"/>
      <c r="AJ4339" s="284"/>
      <c r="AK4339" s="284"/>
      <c r="AL4339" s="284"/>
    </row>
    <row r="4340" ht="15.75" customHeight="1">
      <c r="A4340" s="27"/>
      <c r="B4340" s="86"/>
      <c r="C4340" s="86"/>
      <c r="D4340" s="117"/>
      <c r="E4340" s="83"/>
      <c r="F4340" s="86"/>
      <c r="G4340" s="86"/>
      <c r="H4340" s="83"/>
      <c r="I4340" s="86"/>
      <c r="J4340" s="86"/>
      <c r="K4340" s="83"/>
      <c r="L4340" s="86"/>
      <c r="M4340" s="86"/>
      <c r="N4340" s="86"/>
      <c r="O4340" s="83"/>
      <c r="P4340" s="86"/>
      <c r="Q4340" s="86"/>
      <c r="R4340" s="84"/>
      <c r="S4340" s="185"/>
      <c r="T4340" s="185"/>
      <c r="U4340" s="185"/>
      <c r="V4340" s="185"/>
      <c r="W4340" s="185"/>
      <c r="X4340" s="185"/>
      <c r="Y4340" s="284"/>
      <c r="Z4340" s="284"/>
      <c r="AA4340" s="284"/>
      <c r="AB4340" s="284"/>
      <c r="AC4340" s="284"/>
      <c r="AD4340" s="284"/>
      <c r="AE4340" s="284"/>
      <c r="AF4340" s="284"/>
      <c r="AG4340" s="284"/>
      <c r="AH4340" s="284"/>
      <c r="AI4340" s="284"/>
      <c r="AJ4340" s="284"/>
      <c r="AK4340" s="284"/>
      <c r="AL4340" s="284"/>
    </row>
    <row r="4341" ht="15.75" customHeight="1">
      <c r="A4341" s="27"/>
      <c r="B4341" s="86"/>
      <c r="C4341" s="86"/>
      <c r="D4341" s="117"/>
      <c r="E4341" s="83"/>
      <c r="F4341" s="86"/>
      <c r="G4341" s="86"/>
      <c r="H4341" s="83"/>
      <c r="I4341" s="86"/>
      <c r="J4341" s="86"/>
      <c r="K4341" s="83"/>
      <c r="L4341" s="86"/>
      <c r="M4341" s="86"/>
      <c r="N4341" s="86"/>
      <c r="O4341" s="83"/>
      <c r="P4341" s="86"/>
      <c r="Q4341" s="86"/>
      <c r="R4341" s="84"/>
      <c r="S4341" s="185"/>
      <c r="T4341" s="185"/>
      <c r="U4341" s="185"/>
      <c r="V4341" s="185"/>
      <c r="W4341" s="185"/>
      <c r="X4341" s="185"/>
      <c r="Y4341" s="284"/>
      <c r="Z4341" s="284"/>
      <c r="AA4341" s="284"/>
      <c r="AB4341" s="284"/>
      <c r="AC4341" s="284"/>
      <c r="AD4341" s="284"/>
      <c r="AE4341" s="284"/>
      <c r="AF4341" s="284"/>
      <c r="AG4341" s="284"/>
      <c r="AH4341" s="284"/>
      <c r="AI4341" s="284"/>
      <c r="AJ4341" s="284"/>
      <c r="AK4341" s="284"/>
      <c r="AL4341" s="284"/>
    </row>
    <row r="4342" ht="15.75" customHeight="1">
      <c r="A4342" s="27"/>
      <c r="B4342" s="86"/>
      <c r="C4342" s="86"/>
      <c r="D4342" s="117"/>
      <c r="E4342" s="83"/>
      <c r="F4342" s="86"/>
      <c r="G4342" s="86"/>
      <c r="H4342" s="83"/>
      <c r="I4342" s="86"/>
      <c r="J4342" s="86"/>
      <c r="K4342" s="83"/>
      <c r="L4342" s="86"/>
      <c r="M4342" s="86"/>
      <c r="N4342" s="86"/>
      <c r="O4342" s="83"/>
      <c r="P4342" s="86"/>
      <c r="Q4342" s="86"/>
      <c r="R4342" s="84"/>
      <c r="S4342" s="185"/>
      <c r="T4342" s="185"/>
      <c r="U4342" s="185"/>
      <c r="V4342" s="185"/>
      <c r="W4342" s="185"/>
      <c r="X4342" s="185"/>
      <c r="Y4342" s="284"/>
      <c r="Z4342" s="284"/>
      <c r="AA4342" s="284"/>
      <c r="AB4342" s="284"/>
      <c r="AC4342" s="284"/>
      <c r="AD4342" s="284"/>
      <c r="AE4342" s="284"/>
      <c r="AF4342" s="284"/>
      <c r="AG4342" s="284"/>
      <c r="AH4342" s="284"/>
      <c r="AI4342" s="284"/>
      <c r="AJ4342" s="284"/>
      <c r="AK4342" s="284"/>
      <c r="AL4342" s="284"/>
    </row>
    <row r="4343" ht="15.75" customHeight="1">
      <c r="A4343" s="27"/>
      <c r="B4343" s="86"/>
      <c r="C4343" s="86"/>
      <c r="D4343" s="117"/>
      <c r="E4343" s="83"/>
      <c r="F4343" s="86"/>
      <c r="G4343" s="86"/>
      <c r="H4343" s="83"/>
      <c r="I4343" s="86"/>
      <c r="J4343" s="86"/>
      <c r="K4343" s="83"/>
      <c r="L4343" s="86"/>
      <c r="M4343" s="86"/>
      <c r="N4343" s="86"/>
      <c r="O4343" s="83"/>
      <c r="P4343" s="86"/>
      <c r="Q4343" s="86"/>
      <c r="R4343" s="84"/>
      <c r="S4343" s="185"/>
      <c r="T4343" s="185"/>
      <c r="U4343" s="185"/>
      <c r="V4343" s="185"/>
      <c r="W4343" s="185"/>
      <c r="X4343" s="185"/>
      <c r="Y4343" s="284"/>
      <c r="Z4343" s="284"/>
      <c r="AA4343" s="284"/>
      <c r="AB4343" s="284"/>
      <c r="AC4343" s="284"/>
      <c r="AD4343" s="284"/>
      <c r="AE4343" s="284"/>
      <c r="AF4343" s="284"/>
      <c r="AG4343" s="284"/>
      <c r="AH4343" s="284"/>
      <c r="AI4343" s="284"/>
      <c r="AJ4343" s="284"/>
      <c r="AK4343" s="284"/>
      <c r="AL4343" s="284"/>
    </row>
    <row r="4344" ht="15.75" customHeight="1">
      <c r="A4344" s="27"/>
      <c r="B4344" s="86"/>
      <c r="C4344" s="86"/>
      <c r="D4344" s="117"/>
      <c r="E4344" s="83"/>
      <c r="F4344" s="86"/>
      <c r="G4344" s="86"/>
      <c r="H4344" s="83"/>
      <c r="I4344" s="86"/>
      <c r="J4344" s="86"/>
      <c r="K4344" s="83"/>
      <c r="L4344" s="86"/>
      <c r="M4344" s="86"/>
      <c r="N4344" s="86"/>
      <c r="O4344" s="83"/>
      <c r="P4344" s="86"/>
      <c r="Q4344" s="86"/>
      <c r="R4344" s="84"/>
      <c r="S4344" s="185"/>
      <c r="T4344" s="185"/>
      <c r="U4344" s="185"/>
      <c r="V4344" s="185"/>
      <c r="W4344" s="185"/>
      <c r="X4344" s="185"/>
      <c r="Y4344" s="284"/>
      <c r="Z4344" s="284"/>
      <c r="AA4344" s="284"/>
      <c r="AB4344" s="284"/>
      <c r="AC4344" s="284"/>
      <c r="AD4344" s="284"/>
      <c r="AE4344" s="284"/>
      <c r="AF4344" s="284"/>
      <c r="AG4344" s="284"/>
      <c r="AH4344" s="284"/>
      <c r="AI4344" s="284"/>
      <c r="AJ4344" s="284"/>
      <c r="AK4344" s="284"/>
      <c r="AL4344" s="284"/>
    </row>
    <row r="4345" ht="15.75" customHeight="1">
      <c r="A4345" s="27"/>
      <c r="B4345" s="86"/>
      <c r="C4345" s="86"/>
      <c r="D4345" s="117"/>
      <c r="E4345" s="83"/>
      <c r="F4345" s="86"/>
      <c r="G4345" s="86"/>
      <c r="H4345" s="83"/>
      <c r="I4345" s="86"/>
      <c r="J4345" s="86"/>
      <c r="K4345" s="83"/>
      <c r="L4345" s="86"/>
      <c r="M4345" s="86"/>
      <c r="N4345" s="86"/>
      <c r="O4345" s="83"/>
      <c r="P4345" s="86"/>
      <c r="Q4345" s="86"/>
      <c r="R4345" s="84"/>
      <c r="S4345" s="185"/>
      <c r="T4345" s="185"/>
      <c r="U4345" s="185"/>
      <c r="V4345" s="185"/>
      <c r="W4345" s="185"/>
      <c r="X4345" s="185"/>
      <c r="Y4345" s="284"/>
      <c r="Z4345" s="284"/>
      <c r="AA4345" s="284"/>
      <c r="AB4345" s="284"/>
      <c r="AC4345" s="284"/>
      <c r="AD4345" s="284"/>
      <c r="AE4345" s="284"/>
      <c r="AF4345" s="284"/>
      <c r="AG4345" s="284"/>
      <c r="AH4345" s="284"/>
      <c r="AI4345" s="284"/>
      <c r="AJ4345" s="284"/>
      <c r="AK4345" s="284"/>
      <c r="AL4345" s="284"/>
    </row>
    <row r="4346" ht="15.75" customHeight="1">
      <c r="A4346" s="27"/>
      <c r="B4346" s="86"/>
      <c r="C4346" s="86"/>
      <c r="D4346" s="117"/>
      <c r="E4346" s="83"/>
      <c r="F4346" s="86"/>
      <c r="G4346" s="86"/>
      <c r="H4346" s="83"/>
      <c r="I4346" s="86"/>
      <c r="J4346" s="86"/>
      <c r="K4346" s="83"/>
      <c r="L4346" s="86"/>
      <c r="M4346" s="86"/>
      <c r="N4346" s="86"/>
      <c r="O4346" s="83"/>
      <c r="P4346" s="86"/>
      <c r="Q4346" s="86"/>
      <c r="R4346" s="84"/>
      <c r="S4346" s="185"/>
      <c r="T4346" s="185"/>
      <c r="U4346" s="185"/>
      <c r="V4346" s="185"/>
      <c r="W4346" s="185"/>
      <c r="X4346" s="185"/>
      <c r="Y4346" s="284"/>
      <c r="Z4346" s="284"/>
      <c r="AA4346" s="284"/>
      <c r="AB4346" s="284"/>
      <c r="AC4346" s="284"/>
      <c r="AD4346" s="284"/>
      <c r="AE4346" s="284"/>
      <c r="AF4346" s="284"/>
      <c r="AG4346" s="284"/>
      <c r="AH4346" s="284"/>
      <c r="AI4346" s="284"/>
      <c r="AJ4346" s="284"/>
      <c r="AK4346" s="284"/>
      <c r="AL4346" s="284"/>
    </row>
    <row r="4347" ht="15.75" customHeight="1">
      <c r="A4347" s="27"/>
      <c r="B4347" s="86"/>
      <c r="C4347" s="86"/>
      <c r="D4347" s="117"/>
      <c r="E4347" s="83"/>
      <c r="F4347" s="86"/>
      <c r="G4347" s="86"/>
      <c r="H4347" s="83"/>
      <c r="I4347" s="86"/>
      <c r="J4347" s="86"/>
      <c r="K4347" s="83"/>
      <c r="L4347" s="86"/>
      <c r="M4347" s="86"/>
      <c r="N4347" s="86"/>
      <c r="O4347" s="83"/>
      <c r="P4347" s="86"/>
      <c r="Q4347" s="86"/>
      <c r="R4347" s="84"/>
      <c r="S4347" s="185"/>
      <c r="T4347" s="185"/>
      <c r="U4347" s="185"/>
      <c r="V4347" s="185"/>
      <c r="W4347" s="185"/>
      <c r="X4347" s="185"/>
      <c r="Y4347" s="284"/>
      <c r="Z4347" s="284"/>
      <c r="AA4347" s="284"/>
      <c r="AB4347" s="284"/>
      <c r="AC4347" s="284"/>
      <c r="AD4347" s="284"/>
      <c r="AE4347" s="284"/>
      <c r="AF4347" s="284"/>
      <c r="AG4347" s="284"/>
      <c r="AH4347" s="284"/>
      <c r="AI4347" s="284"/>
      <c r="AJ4347" s="284"/>
      <c r="AK4347" s="284"/>
      <c r="AL4347" s="284"/>
    </row>
    <row r="4348" ht="15.75" customHeight="1">
      <c r="A4348" s="27"/>
      <c r="B4348" s="86"/>
      <c r="C4348" s="86"/>
      <c r="D4348" s="117"/>
      <c r="E4348" s="83"/>
      <c r="F4348" s="86"/>
      <c r="G4348" s="86"/>
      <c r="H4348" s="83"/>
      <c r="I4348" s="86"/>
      <c r="J4348" s="86"/>
      <c r="K4348" s="83"/>
      <c r="L4348" s="86"/>
      <c r="M4348" s="86"/>
      <c r="N4348" s="86"/>
      <c r="O4348" s="83"/>
      <c r="P4348" s="86"/>
      <c r="Q4348" s="86"/>
      <c r="R4348" s="84"/>
      <c r="S4348" s="185"/>
      <c r="T4348" s="185"/>
      <c r="U4348" s="185"/>
      <c r="V4348" s="185"/>
      <c r="W4348" s="185"/>
      <c r="X4348" s="185"/>
      <c r="Y4348" s="284"/>
      <c r="Z4348" s="284"/>
      <c r="AA4348" s="284"/>
      <c r="AB4348" s="284"/>
      <c r="AC4348" s="284"/>
      <c r="AD4348" s="284"/>
      <c r="AE4348" s="284"/>
      <c r="AF4348" s="284"/>
      <c r="AG4348" s="284"/>
      <c r="AH4348" s="284"/>
      <c r="AI4348" s="284"/>
      <c r="AJ4348" s="284"/>
      <c r="AK4348" s="284"/>
      <c r="AL4348" s="284"/>
    </row>
    <row r="4349" ht="15.75" customHeight="1">
      <c r="A4349" s="27"/>
      <c r="B4349" s="86"/>
      <c r="C4349" s="86"/>
      <c r="D4349" s="117"/>
      <c r="E4349" s="83"/>
      <c r="F4349" s="86"/>
      <c r="G4349" s="86"/>
      <c r="H4349" s="83"/>
      <c r="I4349" s="86"/>
      <c r="J4349" s="86"/>
      <c r="K4349" s="83"/>
      <c r="L4349" s="86"/>
      <c r="M4349" s="86"/>
      <c r="N4349" s="86"/>
      <c r="O4349" s="83"/>
      <c r="P4349" s="86"/>
      <c r="Q4349" s="86"/>
      <c r="R4349" s="84"/>
      <c r="S4349" s="185"/>
      <c r="T4349" s="185"/>
      <c r="U4349" s="185"/>
      <c r="V4349" s="185"/>
      <c r="W4349" s="185"/>
      <c r="X4349" s="185"/>
      <c r="Y4349" s="284"/>
      <c r="Z4349" s="284"/>
      <c r="AA4349" s="284"/>
      <c r="AB4349" s="284"/>
      <c r="AC4349" s="284"/>
      <c r="AD4349" s="284"/>
      <c r="AE4349" s="284"/>
      <c r="AF4349" s="284"/>
      <c r="AG4349" s="284"/>
      <c r="AH4349" s="284"/>
      <c r="AI4349" s="284"/>
      <c r="AJ4349" s="284"/>
      <c r="AK4349" s="284"/>
      <c r="AL4349" s="284"/>
    </row>
    <row r="4350" ht="15.75" customHeight="1">
      <c r="A4350" s="27"/>
      <c r="B4350" s="86"/>
      <c r="C4350" s="86"/>
      <c r="D4350" s="117"/>
      <c r="E4350" s="83"/>
      <c r="F4350" s="86"/>
      <c r="G4350" s="86"/>
      <c r="H4350" s="83"/>
      <c r="I4350" s="86"/>
      <c r="J4350" s="86"/>
      <c r="K4350" s="83"/>
      <c r="L4350" s="86"/>
      <c r="M4350" s="86"/>
      <c r="N4350" s="86"/>
      <c r="O4350" s="83"/>
      <c r="P4350" s="86"/>
      <c r="Q4350" s="86"/>
      <c r="R4350" s="84"/>
      <c r="S4350" s="185"/>
      <c r="T4350" s="185"/>
      <c r="U4350" s="185"/>
      <c r="V4350" s="185"/>
      <c r="W4350" s="185"/>
      <c r="X4350" s="185"/>
      <c r="Y4350" s="284"/>
      <c r="Z4350" s="284"/>
      <c r="AA4350" s="284"/>
      <c r="AB4350" s="284"/>
      <c r="AC4350" s="284"/>
      <c r="AD4350" s="284"/>
      <c r="AE4350" s="284"/>
      <c r="AF4350" s="284"/>
      <c r="AG4350" s="284"/>
      <c r="AH4350" s="284"/>
      <c r="AI4350" s="284"/>
      <c r="AJ4350" s="284"/>
      <c r="AK4350" s="284"/>
      <c r="AL4350" s="284"/>
    </row>
    <row r="4351" ht="15.75" customHeight="1">
      <c r="A4351" s="27"/>
      <c r="B4351" s="86"/>
      <c r="C4351" s="86"/>
      <c r="D4351" s="117"/>
      <c r="E4351" s="83"/>
      <c r="F4351" s="86"/>
      <c r="G4351" s="86"/>
      <c r="H4351" s="83"/>
      <c r="I4351" s="86"/>
      <c r="J4351" s="86"/>
      <c r="K4351" s="83"/>
      <c r="L4351" s="86"/>
      <c r="M4351" s="86"/>
      <c r="N4351" s="86"/>
      <c r="O4351" s="83"/>
      <c r="P4351" s="86"/>
      <c r="Q4351" s="86"/>
      <c r="R4351" s="84"/>
      <c r="S4351" s="185"/>
      <c r="T4351" s="185"/>
      <c r="U4351" s="185"/>
      <c r="V4351" s="185"/>
      <c r="W4351" s="185"/>
      <c r="X4351" s="185"/>
      <c r="Y4351" s="284"/>
      <c r="Z4351" s="284"/>
      <c r="AA4351" s="284"/>
      <c r="AB4351" s="284"/>
      <c r="AC4351" s="284"/>
      <c r="AD4351" s="284"/>
      <c r="AE4351" s="284"/>
      <c r="AF4351" s="284"/>
      <c r="AG4351" s="284"/>
      <c r="AH4351" s="284"/>
      <c r="AI4351" s="284"/>
      <c r="AJ4351" s="284"/>
      <c r="AK4351" s="284"/>
      <c r="AL4351" s="284"/>
    </row>
    <row r="4352" ht="15.75" customHeight="1">
      <c r="A4352" s="27"/>
      <c r="B4352" s="86"/>
      <c r="C4352" s="86"/>
      <c r="D4352" s="117"/>
      <c r="E4352" s="83"/>
      <c r="F4352" s="86"/>
      <c r="G4352" s="86"/>
      <c r="H4352" s="83"/>
      <c r="I4352" s="86"/>
      <c r="J4352" s="86"/>
      <c r="K4352" s="83"/>
      <c r="L4352" s="86"/>
      <c r="M4352" s="86"/>
      <c r="N4352" s="86"/>
      <c r="O4352" s="83"/>
      <c r="P4352" s="86"/>
      <c r="Q4352" s="86"/>
      <c r="R4352" s="84"/>
      <c r="S4352" s="185"/>
      <c r="T4352" s="185"/>
      <c r="U4352" s="185"/>
      <c r="V4352" s="185"/>
      <c r="W4352" s="185"/>
      <c r="X4352" s="185"/>
      <c r="Y4352" s="284"/>
      <c r="Z4352" s="284"/>
      <c r="AA4352" s="284"/>
      <c r="AB4352" s="284"/>
      <c r="AC4352" s="284"/>
      <c r="AD4352" s="284"/>
      <c r="AE4352" s="284"/>
      <c r="AF4352" s="284"/>
      <c r="AG4352" s="284"/>
      <c r="AH4352" s="284"/>
      <c r="AI4352" s="284"/>
      <c r="AJ4352" s="284"/>
      <c r="AK4352" s="284"/>
      <c r="AL4352" s="284"/>
    </row>
    <row r="4353" ht="15.75" customHeight="1">
      <c r="A4353" s="27"/>
      <c r="B4353" s="86"/>
      <c r="C4353" s="86"/>
      <c r="D4353" s="117"/>
      <c r="E4353" s="83"/>
      <c r="F4353" s="86"/>
      <c r="G4353" s="86"/>
      <c r="H4353" s="83"/>
      <c r="I4353" s="86"/>
      <c r="J4353" s="86"/>
      <c r="K4353" s="83"/>
      <c r="L4353" s="86"/>
      <c r="M4353" s="86"/>
      <c r="N4353" s="86"/>
      <c r="O4353" s="83"/>
      <c r="P4353" s="86"/>
      <c r="Q4353" s="86"/>
      <c r="R4353" s="84"/>
      <c r="S4353" s="185"/>
      <c r="T4353" s="185"/>
      <c r="U4353" s="185"/>
      <c r="V4353" s="185"/>
      <c r="W4353" s="185"/>
      <c r="X4353" s="185"/>
      <c r="Y4353" s="284"/>
      <c r="Z4353" s="284"/>
      <c r="AA4353" s="284"/>
      <c r="AB4353" s="284"/>
      <c r="AC4353" s="284"/>
      <c r="AD4353" s="284"/>
      <c r="AE4353" s="284"/>
      <c r="AF4353" s="284"/>
      <c r="AG4353" s="284"/>
      <c r="AH4353" s="284"/>
      <c r="AI4353" s="284"/>
      <c r="AJ4353" s="284"/>
      <c r="AK4353" s="284"/>
      <c r="AL4353" s="284"/>
    </row>
    <row r="4354" ht="15.75" customHeight="1">
      <c r="A4354" s="27"/>
      <c r="B4354" s="86"/>
      <c r="C4354" s="86"/>
      <c r="D4354" s="117"/>
      <c r="E4354" s="83"/>
      <c r="F4354" s="86"/>
      <c r="G4354" s="86"/>
      <c r="H4354" s="83"/>
      <c r="I4354" s="86"/>
      <c r="J4354" s="86"/>
      <c r="K4354" s="83"/>
      <c r="L4354" s="86"/>
      <c r="M4354" s="86"/>
      <c r="N4354" s="86"/>
      <c r="O4354" s="83"/>
      <c r="P4354" s="86"/>
      <c r="Q4354" s="86"/>
      <c r="R4354" s="84"/>
      <c r="S4354" s="185"/>
      <c r="T4354" s="185"/>
      <c r="U4354" s="185"/>
      <c r="V4354" s="185"/>
      <c r="W4354" s="185"/>
      <c r="X4354" s="185"/>
      <c r="Y4354" s="284"/>
      <c r="Z4354" s="284"/>
      <c r="AA4354" s="284"/>
      <c r="AB4354" s="284"/>
      <c r="AC4354" s="284"/>
      <c r="AD4354" s="284"/>
      <c r="AE4354" s="284"/>
      <c r="AF4354" s="284"/>
      <c r="AG4354" s="284"/>
      <c r="AH4354" s="284"/>
      <c r="AI4354" s="284"/>
      <c r="AJ4354" s="284"/>
      <c r="AK4354" s="284"/>
      <c r="AL4354" s="284"/>
    </row>
    <row r="4355" ht="15.75" customHeight="1">
      <c r="A4355" s="27"/>
      <c r="B4355" s="86"/>
      <c r="C4355" s="86"/>
      <c r="D4355" s="117"/>
      <c r="E4355" s="83"/>
      <c r="F4355" s="86"/>
      <c r="G4355" s="86"/>
      <c r="H4355" s="83"/>
      <c r="I4355" s="86"/>
      <c r="J4355" s="86"/>
      <c r="K4355" s="83"/>
      <c r="L4355" s="86"/>
      <c r="M4355" s="86"/>
      <c r="N4355" s="86"/>
      <c r="O4355" s="83"/>
      <c r="P4355" s="86"/>
      <c r="Q4355" s="86"/>
      <c r="R4355" s="84"/>
      <c r="S4355" s="185"/>
      <c r="T4355" s="185"/>
      <c r="U4355" s="185"/>
      <c r="V4355" s="185"/>
      <c r="W4355" s="185"/>
      <c r="X4355" s="185"/>
      <c r="Y4355" s="284"/>
      <c r="Z4355" s="284"/>
      <c r="AA4355" s="284"/>
      <c r="AB4355" s="284"/>
      <c r="AC4355" s="284"/>
      <c r="AD4355" s="284"/>
      <c r="AE4355" s="284"/>
      <c r="AF4355" s="284"/>
      <c r="AG4355" s="284"/>
      <c r="AH4355" s="284"/>
      <c r="AI4355" s="284"/>
      <c r="AJ4355" s="284"/>
      <c r="AK4355" s="284"/>
      <c r="AL4355" s="284"/>
    </row>
    <row r="4356" ht="15.75" customHeight="1">
      <c r="A4356" s="27"/>
      <c r="B4356" s="86"/>
      <c r="C4356" s="86"/>
      <c r="D4356" s="117"/>
      <c r="E4356" s="83"/>
      <c r="F4356" s="86"/>
      <c r="G4356" s="86"/>
      <c r="H4356" s="83"/>
      <c r="I4356" s="86"/>
      <c r="J4356" s="86"/>
      <c r="K4356" s="83"/>
      <c r="L4356" s="86"/>
      <c r="M4356" s="86"/>
      <c r="N4356" s="86"/>
      <c r="O4356" s="83"/>
      <c r="P4356" s="86"/>
      <c r="Q4356" s="86"/>
      <c r="R4356" s="84"/>
      <c r="S4356" s="185"/>
      <c r="T4356" s="185"/>
      <c r="U4356" s="185"/>
      <c r="V4356" s="185"/>
      <c r="W4356" s="185"/>
      <c r="X4356" s="185"/>
      <c r="Y4356" s="284"/>
      <c r="Z4356" s="284"/>
      <c r="AA4356" s="284"/>
      <c r="AB4356" s="284"/>
      <c r="AC4356" s="284"/>
      <c r="AD4356" s="284"/>
      <c r="AE4356" s="284"/>
      <c r="AF4356" s="284"/>
      <c r="AG4356" s="284"/>
      <c r="AH4356" s="284"/>
      <c r="AI4356" s="284"/>
      <c r="AJ4356" s="284"/>
      <c r="AK4356" s="284"/>
      <c r="AL4356" s="284"/>
    </row>
    <row r="4357" ht="15.75" customHeight="1">
      <c r="A4357" s="27"/>
      <c r="B4357" s="86"/>
      <c r="C4357" s="86"/>
      <c r="D4357" s="117"/>
      <c r="E4357" s="83"/>
      <c r="F4357" s="86"/>
      <c r="G4357" s="86"/>
      <c r="H4357" s="83"/>
      <c r="I4357" s="86"/>
      <c r="J4357" s="86"/>
      <c r="K4357" s="83"/>
      <c r="L4357" s="86"/>
      <c r="M4357" s="86"/>
      <c r="N4357" s="86"/>
      <c r="O4357" s="83"/>
      <c r="P4357" s="86"/>
      <c r="Q4357" s="86"/>
      <c r="R4357" s="84"/>
      <c r="S4357" s="185"/>
      <c r="T4357" s="185"/>
      <c r="U4357" s="185"/>
      <c r="V4357" s="185"/>
      <c r="W4357" s="185"/>
      <c r="X4357" s="185"/>
      <c r="Y4357" s="284"/>
      <c r="Z4357" s="284"/>
      <c r="AA4357" s="284"/>
      <c r="AB4357" s="284"/>
      <c r="AC4357" s="284"/>
      <c r="AD4357" s="284"/>
      <c r="AE4357" s="284"/>
      <c r="AF4357" s="284"/>
      <c r="AG4357" s="284"/>
      <c r="AH4357" s="284"/>
      <c r="AI4357" s="284"/>
      <c r="AJ4357" s="284"/>
      <c r="AK4357" s="284"/>
      <c r="AL4357" s="284"/>
    </row>
    <row r="4358" ht="15.75" customHeight="1">
      <c r="A4358" s="27"/>
      <c r="B4358" s="86"/>
      <c r="C4358" s="86"/>
      <c r="D4358" s="117"/>
      <c r="E4358" s="83"/>
      <c r="F4358" s="86"/>
      <c r="G4358" s="86"/>
      <c r="H4358" s="83"/>
      <c r="I4358" s="86"/>
      <c r="J4358" s="86"/>
      <c r="K4358" s="83"/>
      <c r="L4358" s="86"/>
      <c r="M4358" s="86"/>
      <c r="N4358" s="86"/>
      <c r="O4358" s="83"/>
      <c r="P4358" s="86"/>
      <c r="Q4358" s="86"/>
      <c r="R4358" s="84"/>
      <c r="S4358" s="185"/>
      <c r="T4358" s="185"/>
      <c r="U4358" s="185"/>
      <c r="V4358" s="185"/>
      <c r="W4358" s="185"/>
      <c r="X4358" s="185"/>
      <c r="Y4358" s="284"/>
      <c r="Z4358" s="284"/>
      <c r="AA4358" s="284"/>
      <c r="AB4358" s="284"/>
      <c r="AC4358" s="284"/>
      <c r="AD4358" s="284"/>
      <c r="AE4358" s="284"/>
      <c r="AF4358" s="284"/>
      <c r="AG4358" s="284"/>
      <c r="AH4358" s="284"/>
      <c r="AI4358" s="284"/>
      <c r="AJ4358" s="284"/>
      <c r="AK4358" s="284"/>
      <c r="AL4358" s="284"/>
    </row>
    <row r="4359" ht="15.75" customHeight="1">
      <c r="A4359" s="27"/>
      <c r="B4359" s="86"/>
      <c r="C4359" s="86"/>
      <c r="D4359" s="117"/>
      <c r="E4359" s="83"/>
      <c r="F4359" s="86"/>
      <c r="G4359" s="86"/>
      <c r="H4359" s="83"/>
      <c r="I4359" s="86"/>
      <c r="J4359" s="86"/>
      <c r="K4359" s="83"/>
      <c r="L4359" s="86"/>
      <c r="M4359" s="86"/>
      <c r="N4359" s="86"/>
      <c r="O4359" s="83"/>
      <c r="P4359" s="86"/>
      <c r="Q4359" s="86"/>
      <c r="R4359" s="84"/>
      <c r="S4359" s="185"/>
      <c r="T4359" s="185"/>
      <c r="U4359" s="185"/>
      <c r="V4359" s="185"/>
      <c r="W4359" s="185"/>
      <c r="X4359" s="185"/>
      <c r="Y4359" s="284"/>
      <c r="Z4359" s="284"/>
      <c r="AA4359" s="284"/>
      <c r="AB4359" s="284"/>
      <c r="AC4359" s="284"/>
      <c r="AD4359" s="284"/>
      <c r="AE4359" s="284"/>
      <c r="AF4359" s="284"/>
      <c r="AG4359" s="284"/>
      <c r="AH4359" s="284"/>
      <c r="AI4359" s="284"/>
      <c r="AJ4359" s="284"/>
      <c r="AK4359" s="284"/>
      <c r="AL4359" s="284"/>
    </row>
    <row r="4360" ht="15.75" customHeight="1">
      <c r="A4360" s="27"/>
      <c r="B4360" s="86"/>
      <c r="C4360" s="86"/>
      <c r="D4360" s="117"/>
      <c r="E4360" s="83"/>
      <c r="F4360" s="86"/>
      <c r="G4360" s="86"/>
      <c r="H4360" s="83"/>
      <c r="I4360" s="86"/>
      <c r="J4360" s="86"/>
      <c r="K4360" s="83"/>
      <c r="L4360" s="86"/>
      <c r="M4360" s="86"/>
      <c r="N4360" s="86"/>
      <c r="O4360" s="83"/>
      <c r="P4360" s="86"/>
      <c r="Q4360" s="86"/>
      <c r="R4360" s="84"/>
      <c r="S4360" s="185"/>
      <c r="T4360" s="185"/>
      <c r="U4360" s="185"/>
      <c r="V4360" s="185"/>
      <c r="W4360" s="185"/>
      <c r="X4360" s="185"/>
      <c r="Y4360" s="284"/>
      <c r="Z4360" s="284"/>
      <c r="AA4360" s="284"/>
      <c r="AB4360" s="284"/>
      <c r="AC4360" s="284"/>
      <c r="AD4360" s="284"/>
      <c r="AE4360" s="284"/>
      <c r="AF4360" s="284"/>
      <c r="AG4360" s="284"/>
      <c r="AH4360" s="284"/>
      <c r="AI4360" s="284"/>
      <c r="AJ4360" s="284"/>
      <c r="AK4360" s="284"/>
      <c r="AL4360" s="284"/>
    </row>
    <row r="4361" ht="15.75" customHeight="1">
      <c r="A4361" s="27"/>
      <c r="B4361" s="86"/>
      <c r="C4361" s="86"/>
      <c r="D4361" s="117"/>
      <c r="E4361" s="83"/>
      <c r="F4361" s="86"/>
      <c r="G4361" s="86"/>
      <c r="H4361" s="83"/>
      <c r="I4361" s="86"/>
      <c r="J4361" s="86"/>
      <c r="K4361" s="83"/>
      <c r="L4361" s="86"/>
      <c r="M4361" s="86"/>
      <c r="N4361" s="86"/>
      <c r="O4361" s="83"/>
      <c r="P4361" s="86"/>
      <c r="Q4361" s="86"/>
      <c r="R4361" s="84"/>
      <c r="S4361" s="185"/>
      <c r="T4361" s="185"/>
      <c r="U4361" s="185"/>
      <c r="V4361" s="185"/>
      <c r="W4361" s="185"/>
      <c r="X4361" s="185"/>
      <c r="Y4361" s="284"/>
      <c r="Z4361" s="284"/>
      <c r="AA4361" s="284"/>
      <c r="AB4361" s="284"/>
      <c r="AC4361" s="284"/>
      <c r="AD4361" s="284"/>
      <c r="AE4361" s="284"/>
      <c r="AF4361" s="284"/>
      <c r="AG4361" s="284"/>
      <c r="AH4361" s="284"/>
      <c r="AI4361" s="284"/>
      <c r="AJ4361" s="284"/>
      <c r="AK4361" s="284"/>
      <c r="AL4361" s="284"/>
    </row>
    <row r="4362" ht="15.75" customHeight="1">
      <c r="A4362" s="27"/>
      <c r="B4362" s="86"/>
      <c r="C4362" s="86"/>
      <c r="D4362" s="117"/>
      <c r="E4362" s="83"/>
      <c r="F4362" s="86"/>
      <c r="G4362" s="86"/>
      <c r="H4362" s="83"/>
      <c r="I4362" s="86"/>
      <c r="J4362" s="86"/>
      <c r="K4362" s="83"/>
      <c r="L4362" s="86"/>
      <c r="M4362" s="86"/>
      <c r="N4362" s="86"/>
      <c r="O4362" s="83"/>
      <c r="P4362" s="86"/>
      <c r="Q4362" s="86"/>
      <c r="R4362" s="84"/>
      <c r="S4362" s="185"/>
      <c r="T4362" s="185"/>
      <c r="U4362" s="185"/>
      <c r="V4362" s="185"/>
      <c r="W4362" s="185"/>
      <c r="X4362" s="185"/>
      <c r="Y4362" s="284"/>
      <c r="Z4362" s="284"/>
      <c r="AA4362" s="284"/>
      <c r="AB4362" s="284"/>
      <c r="AC4362" s="284"/>
      <c r="AD4362" s="284"/>
      <c r="AE4362" s="284"/>
      <c r="AF4362" s="284"/>
      <c r="AG4362" s="284"/>
      <c r="AH4362" s="284"/>
      <c r="AI4362" s="284"/>
      <c r="AJ4362" s="284"/>
      <c r="AK4362" s="284"/>
      <c r="AL4362" s="284"/>
    </row>
    <row r="4363" ht="15.75" customHeight="1">
      <c r="A4363" s="27"/>
      <c r="B4363" s="86"/>
      <c r="C4363" s="86"/>
      <c r="D4363" s="117"/>
      <c r="E4363" s="83"/>
      <c r="F4363" s="86"/>
      <c r="G4363" s="86"/>
      <c r="H4363" s="83"/>
      <c r="I4363" s="86"/>
      <c r="J4363" s="86"/>
      <c r="K4363" s="83"/>
      <c r="L4363" s="86"/>
      <c r="M4363" s="86"/>
      <c r="N4363" s="86"/>
      <c r="O4363" s="83"/>
      <c r="P4363" s="86"/>
      <c r="Q4363" s="86"/>
      <c r="R4363" s="84"/>
      <c r="S4363" s="185"/>
      <c r="T4363" s="185"/>
      <c r="U4363" s="185"/>
      <c r="V4363" s="185"/>
      <c r="W4363" s="185"/>
      <c r="X4363" s="185"/>
      <c r="Y4363" s="284"/>
      <c r="Z4363" s="284"/>
      <c r="AA4363" s="284"/>
      <c r="AB4363" s="284"/>
      <c r="AC4363" s="284"/>
      <c r="AD4363" s="284"/>
      <c r="AE4363" s="284"/>
      <c r="AF4363" s="284"/>
      <c r="AG4363" s="284"/>
      <c r="AH4363" s="284"/>
      <c r="AI4363" s="284"/>
      <c r="AJ4363" s="284"/>
      <c r="AK4363" s="284"/>
      <c r="AL4363" s="284"/>
    </row>
    <row r="4364" ht="15.75" customHeight="1">
      <c r="A4364" s="27"/>
      <c r="B4364" s="86"/>
      <c r="C4364" s="86"/>
      <c r="D4364" s="117"/>
      <c r="E4364" s="83"/>
      <c r="F4364" s="86"/>
      <c r="G4364" s="86"/>
      <c r="H4364" s="83"/>
      <c r="I4364" s="86"/>
      <c r="J4364" s="86"/>
      <c r="K4364" s="83"/>
      <c r="L4364" s="86"/>
      <c r="M4364" s="86"/>
      <c r="N4364" s="86"/>
      <c r="O4364" s="83"/>
      <c r="P4364" s="86"/>
      <c r="Q4364" s="86"/>
      <c r="R4364" s="84"/>
      <c r="S4364" s="185"/>
      <c r="T4364" s="185"/>
      <c r="U4364" s="185"/>
      <c r="V4364" s="185"/>
      <c r="W4364" s="185"/>
      <c r="X4364" s="185"/>
      <c r="Y4364" s="284"/>
      <c r="Z4364" s="284"/>
      <c r="AA4364" s="284"/>
      <c r="AB4364" s="284"/>
      <c r="AC4364" s="284"/>
      <c r="AD4364" s="284"/>
      <c r="AE4364" s="284"/>
      <c r="AF4364" s="284"/>
      <c r="AG4364" s="284"/>
      <c r="AH4364" s="284"/>
      <c r="AI4364" s="284"/>
      <c r="AJ4364" s="284"/>
      <c r="AK4364" s="284"/>
      <c r="AL4364" s="284"/>
    </row>
    <row r="4365" ht="15.75" customHeight="1">
      <c r="A4365" s="27"/>
      <c r="B4365" s="86"/>
      <c r="C4365" s="86"/>
      <c r="D4365" s="117"/>
      <c r="E4365" s="83"/>
      <c r="F4365" s="86"/>
      <c r="G4365" s="86"/>
      <c r="H4365" s="83"/>
      <c r="I4365" s="86"/>
      <c r="J4365" s="86"/>
      <c r="K4365" s="83"/>
      <c r="L4365" s="86"/>
      <c r="M4365" s="86"/>
      <c r="N4365" s="86"/>
      <c r="O4365" s="83"/>
      <c r="P4365" s="86"/>
      <c r="Q4365" s="86"/>
      <c r="R4365" s="84"/>
      <c r="S4365" s="185"/>
      <c r="T4365" s="185"/>
      <c r="U4365" s="185"/>
      <c r="V4365" s="185"/>
      <c r="W4365" s="185"/>
      <c r="X4365" s="185"/>
      <c r="Y4365" s="284"/>
      <c r="Z4365" s="284"/>
      <c r="AA4365" s="284"/>
      <c r="AB4365" s="284"/>
      <c r="AC4365" s="284"/>
      <c r="AD4365" s="284"/>
      <c r="AE4365" s="284"/>
      <c r="AF4365" s="284"/>
      <c r="AG4365" s="284"/>
      <c r="AH4365" s="284"/>
      <c r="AI4365" s="284"/>
      <c r="AJ4365" s="284"/>
      <c r="AK4365" s="284"/>
      <c r="AL4365" s="284"/>
    </row>
    <row r="4366" ht="15.75" customHeight="1">
      <c r="A4366" s="27"/>
      <c r="B4366" s="86"/>
      <c r="C4366" s="86"/>
      <c r="D4366" s="117"/>
      <c r="E4366" s="83"/>
      <c r="F4366" s="86"/>
      <c r="G4366" s="86"/>
      <c r="H4366" s="83"/>
      <c r="I4366" s="86"/>
      <c r="J4366" s="86"/>
      <c r="K4366" s="83"/>
      <c r="L4366" s="86"/>
      <c r="M4366" s="86"/>
      <c r="N4366" s="86"/>
      <c r="O4366" s="83"/>
      <c r="P4366" s="86"/>
      <c r="Q4366" s="86"/>
      <c r="R4366" s="84"/>
      <c r="S4366" s="185"/>
      <c r="T4366" s="185"/>
      <c r="U4366" s="185"/>
      <c r="V4366" s="185"/>
      <c r="W4366" s="185"/>
      <c r="X4366" s="185"/>
      <c r="Y4366" s="284"/>
      <c r="Z4366" s="284"/>
      <c r="AA4366" s="284"/>
      <c r="AB4366" s="284"/>
      <c r="AC4366" s="284"/>
      <c r="AD4366" s="284"/>
      <c r="AE4366" s="284"/>
      <c r="AF4366" s="284"/>
      <c r="AG4366" s="284"/>
      <c r="AH4366" s="284"/>
      <c r="AI4366" s="284"/>
      <c r="AJ4366" s="284"/>
      <c r="AK4366" s="284"/>
      <c r="AL4366" s="284"/>
    </row>
    <row r="4367" ht="15.75" customHeight="1">
      <c r="A4367" s="27"/>
      <c r="B4367" s="86"/>
      <c r="C4367" s="86"/>
      <c r="D4367" s="117"/>
      <c r="E4367" s="83"/>
      <c r="F4367" s="86"/>
      <c r="G4367" s="86"/>
      <c r="H4367" s="83"/>
      <c r="I4367" s="86"/>
      <c r="J4367" s="86"/>
      <c r="K4367" s="83"/>
      <c r="L4367" s="86"/>
      <c r="M4367" s="86"/>
      <c r="N4367" s="86"/>
      <c r="O4367" s="83"/>
      <c r="P4367" s="86"/>
      <c r="Q4367" s="86"/>
      <c r="R4367" s="84"/>
      <c r="S4367" s="185"/>
      <c r="T4367" s="185"/>
      <c r="U4367" s="185"/>
      <c r="V4367" s="185"/>
      <c r="W4367" s="185"/>
      <c r="X4367" s="185"/>
      <c r="Y4367" s="284"/>
      <c r="Z4367" s="284"/>
      <c r="AA4367" s="284"/>
      <c r="AB4367" s="284"/>
      <c r="AC4367" s="284"/>
      <c r="AD4367" s="284"/>
      <c r="AE4367" s="284"/>
      <c r="AF4367" s="284"/>
      <c r="AG4367" s="284"/>
      <c r="AH4367" s="284"/>
      <c r="AI4367" s="284"/>
      <c r="AJ4367" s="284"/>
      <c r="AK4367" s="284"/>
      <c r="AL4367" s="284"/>
    </row>
    <row r="4368" ht="15.75" customHeight="1">
      <c r="A4368" s="27"/>
      <c r="B4368" s="86"/>
      <c r="C4368" s="86"/>
      <c r="D4368" s="117"/>
      <c r="E4368" s="83"/>
      <c r="F4368" s="86"/>
      <c r="G4368" s="86"/>
      <c r="H4368" s="83"/>
      <c r="I4368" s="86"/>
      <c r="J4368" s="86"/>
      <c r="K4368" s="83"/>
      <c r="L4368" s="86"/>
      <c r="M4368" s="86"/>
      <c r="N4368" s="86"/>
      <c r="O4368" s="83"/>
      <c r="P4368" s="86"/>
      <c r="Q4368" s="86"/>
      <c r="R4368" s="84"/>
      <c r="S4368" s="185"/>
      <c r="T4368" s="185"/>
      <c r="U4368" s="185"/>
      <c r="V4368" s="185"/>
      <c r="W4368" s="185"/>
      <c r="X4368" s="185"/>
      <c r="Y4368" s="284"/>
      <c r="Z4368" s="284"/>
      <c r="AA4368" s="284"/>
      <c r="AB4368" s="284"/>
      <c r="AC4368" s="284"/>
      <c r="AD4368" s="284"/>
      <c r="AE4368" s="284"/>
      <c r="AF4368" s="284"/>
      <c r="AG4368" s="284"/>
      <c r="AH4368" s="284"/>
      <c r="AI4368" s="284"/>
      <c r="AJ4368" s="284"/>
      <c r="AK4368" s="284"/>
      <c r="AL4368" s="284"/>
    </row>
    <row r="4369" ht="15.75" customHeight="1">
      <c r="A4369" s="27"/>
      <c r="B4369" s="86"/>
      <c r="C4369" s="86"/>
      <c r="D4369" s="117"/>
      <c r="E4369" s="83"/>
      <c r="F4369" s="86"/>
      <c r="G4369" s="86"/>
      <c r="H4369" s="83"/>
      <c r="I4369" s="86"/>
      <c r="J4369" s="86"/>
      <c r="K4369" s="83"/>
      <c r="L4369" s="86"/>
      <c r="M4369" s="86"/>
      <c r="N4369" s="86"/>
      <c r="O4369" s="83"/>
      <c r="P4369" s="86"/>
      <c r="Q4369" s="86"/>
      <c r="R4369" s="84"/>
      <c r="S4369" s="185"/>
      <c r="T4369" s="185"/>
      <c r="U4369" s="185"/>
      <c r="V4369" s="185"/>
      <c r="W4369" s="185"/>
      <c r="X4369" s="185"/>
      <c r="Y4369" s="284"/>
      <c r="Z4369" s="284"/>
      <c r="AA4369" s="284"/>
      <c r="AB4369" s="284"/>
      <c r="AC4369" s="284"/>
      <c r="AD4369" s="284"/>
      <c r="AE4369" s="284"/>
      <c r="AF4369" s="284"/>
      <c r="AG4369" s="284"/>
      <c r="AH4369" s="284"/>
      <c r="AI4369" s="284"/>
      <c r="AJ4369" s="284"/>
      <c r="AK4369" s="284"/>
      <c r="AL4369" s="284"/>
    </row>
    <row r="4370" ht="15.75" customHeight="1">
      <c r="A4370" s="27"/>
      <c r="B4370" s="86"/>
      <c r="C4370" s="86"/>
      <c r="D4370" s="117"/>
      <c r="E4370" s="83"/>
      <c r="F4370" s="86"/>
      <c r="G4370" s="86"/>
      <c r="H4370" s="83"/>
      <c r="I4370" s="86"/>
      <c r="J4370" s="86"/>
      <c r="K4370" s="83"/>
      <c r="L4370" s="86"/>
      <c r="M4370" s="86"/>
      <c r="N4370" s="86"/>
      <c r="O4370" s="83"/>
      <c r="P4370" s="86"/>
      <c r="Q4370" s="86"/>
      <c r="R4370" s="84"/>
      <c r="S4370" s="185"/>
      <c r="T4370" s="185"/>
      <c r="U4370" s="185"/>
      <c r="V4370" s="185"/>
      <c r="W4370" s="185"/>
      <c r="X4370" s="185"/>
      <c r="Y4370" s="284"/>
      <c r="Z4370" s="284"/>
      <c r="AA4370" s="284"/>
      <c r="AB4370" s="284"/>
      <c r="AC4370" s="284"/>
      <c r="AD4370" s="284"/>
      <c r="AE4370" s="284"/>
      <c r="AF4370" s="284"/>
      <c r="AG4370" s="284"/>
      <c r="AH4370" s="284"/>
      <c r="AI4370" s="284"/>
      <c r="AJ4370" s="284"/>
      <c r="AK4370" s="284"/>
      <c r="AL4370" s="284"/>
    </row>
    <row r="4371" ht="15.75" customHeight="1">
      <c r="A4371" s="27"/>
      <c r="B4371" s="86"/>
      <c r="C4371" s="86"/>
      <c r="D4371" s="117"/>
      <c r="E4371" s="83"/>
      <c r="F4371" s="86"/>
      <c r="G4371" s="86"/>
      <c r="H4371" s="83"/>
      <c r="I4371" s="86"/>
      <c r="J4371" s="86"/>
      <c r="K4371" s="83"/>
      <c r="L4371" s="86"/>
      <c r="M4371" s="86"/>
      <c r="N4371" s="86"/>
      <c r="O4371" s="83"/>
      <c r="P4371" s="86"/>
      <c r="Q4371" s="86"/>
      <c r="R4371" s="84"/>
      <c r="S4371" s="185"/>
      <c r="T4371" s="185"/>
      <c r="U4371" s="185"/>
      <c r="V4371" s="185"/>
      <c r="W4371" s="185"/>
      <c r="X4371" s="185"/>
      <c r="Y4371" s="284"/>
      <c r="Z4371" s="284"/>
      <c r="AA4371" s="284"/>
      <c r="AB4371" s="284"/>
      <c r="AC4371" s="284"/>
      <c r="AD4371" s="284"/>
      <c r="AE4371" s="284"/>
      <c r="AF4371" s="284"/>
      <c r="AG4371" s="284"/>
      <c r="AH4371" s="284"/>
      <c r="AI4371" s="284"/>
      <c r="AJ4371" s="284"/>
      <c r="AK4371" s="284"/>
      <c r="AL4371" s="284"/>
    </row>
    <row r="4372" ht="15.75" customHeight="1">
      <c r="A4372" s="27"/>
      <c r="B4372" s="86"/>
      <c r="C4372" s="86"/>
      <c r="D4372" s="117"/>
      <c r="E4372" s="83"/>
      <c r="F4372" s="86"/>
      <c r="G4372" s="86"/>
      <c r="H4372" s="83"/>
      <c r="I4372" s="86"/>
      <c r="J4372" s="86"/>
      <c r="K4372" s="83"/>
      <c r="L4372" s="86"/>
      <c r="M4372" s="86"/>
      <c r="N4372" s="86"/>
      <c r="O4372" s="83"/>
      <c r="P4372" s="86"/>
      <c r="Q4372" s="86"/>
      <c r="R4372" s="84"/>
      <c r="S4372" s="185"/>
      <c r="T4372" s="185"/>
      <c r="U4372" s="185"/>
      <c r="V4372" s="185"/>
      <c r="W4372" s="185"/>
      <c r="X4372" s="185"/>
      <c r="Y4372" s="284"/>
      <c r="Z4372" s="284"/>
      <c r="AA4372" s="284"/>
      <c r="AB4372" s="284"/>
      <c r="AC4372" s="284"/>
      <c r="AD4372" s="284"/>
      <c r="AE4372" s="284"/>
      <c r="AF4372" s="284"/>
      <c r="AG4372" s="284"/>
      <c r="AH4372" s="284"/>
      <c r="AI4372" s="284"/>
      <c r="AJ4372" s="284"/>
      <c r="AK4372" s="284"/>
      <c r="AL4372" s="284"/>
    </row>
    <row r="4373" ht="15.75" customHeight="1">
      <c r="A4373" s="27"/>
      <c r="B4373" s="86"/>
      <c r="C4373" s="86"/>
      <c r="D4373" s="117"/>
      <c r="E4373" s="83"/>
      <c r="F4373" s="86"/>
      <c r="G4373" s="86"/>
      <c r="H4373" s="83"/>
      <c r="I4373" s="86"/>
      <c r="J4373" s="86"/>
      <c r="K4373" s="83"/>
      <c r="L4373" s="86"/>
      <c r="M4373" s="86"/>
      <c r="N4373" s="86"/>
      <c r="O4373" s="83"/>
      <c r="P4373" s="86"/>
      <c r="Q4373" s="86"/>
      <c r="R4373" s="84"/>
      <c r="S4373" s="185"/>
      <c r="T4373" s="185"/>
      <c r="U4373" s="185"/>
      <c r="V4373" s="185"/>
      <c r="W4373" s="185"/>
      <c r="X4373" s="185"/>
      <c r="Y4373" s="284"/>
      <c r="Z4373" s="284"/>
      <c r="AA4373" s="284"/>
      <c r="AB4373" s="284"/>
      <c r="AC4373" s="284"/>
      <c r="AD4373" s="284"/>
      <c r="AE4373" s="284"/>
      <c r="AF4373" s="284"/>
      <c r="AG4373" s="284"/>
      <c r="AH4373" s="284"/>
      <c r="AI4373" s="284"/>
      <c r="AJ4373" s="284"/>
      <c r="AK4373" s="284"/>
      <c r="AL4373" s="284"/>
    </row>
    <row r="4374" ht="15.75" customHeight="1">
      <c r="A4374" s="27"/>
      <c r="B4374" s="86"/>
      <c r="C4374" s="86"/>
      <c r="D4374" s="117"/>
      <c r="E4374" s="83"/>
      <c r="F4374" s="86"/>
      <c r="G4374" s="86"/>
      <c r="H4374" s="83"/>
      <c r="I4374" s="86"/>
      <c r="J4374" s="86"/>
      <c r="K4374" s="83"/>
      <c r="L4374" s="86"/>
      <c r="M4374" s="86"/>
      <c r="N4374" s="86"/>
      <c r="O4374" s="83"/>
      <c r="P4374" s="86"/>
      <c r="Q4374" s="86"/>
      <c r="R4374" s="84"/>
      <c r="S4374" s="185"/>
      <c r="T4374" s="185"/>
      <c r="U4374" s="185"/>
      <c r="V4374" s="185"/>
      <c r="W4374" s="185"/>
      <c r="X4374" s="185"/>
      <c r="Y4374" s="284"/>
      <c r="Z4374" s="284"/>
      <c r="AA4374" s="284"/>
      <c r="AB4374" s="284"/>
      <c r="AC4374" s="284"/>
      <c r="AD4374" s="284"/>
      <c r="AE4374" s="284"/>
      <c r="AF4374" s="284"/>
      <c r="AG4374" s="284"/>
      <c r="AH4374" s="284"/>
      <c r="AI4374" s="284"/>
      <c r="AJ4374" s="284"/>
      <c r="AK4374" s="284"/>
      <c r="AL4374" s="284"/>
    </row>
    <row r="4375" ht="15.75" customHeight="1">
      <c r="A4375" s="27"/>
      <c r="B4375" s="86"/>
      <c r="C4375" s="86"/>
      <c r="D4375" s="117"/>
      <c r="E4375" s="83"/>
      <c r="F4375" s="86"/>
      <c r="G4375" s="86"/>
      <c r="H4375" s="83"/>
      <c r="I4375" s="86"/>
      <c r="J4375" s="86"/>
      <c r="K4375" s="83"/>
      <c r="L4375" s="86"/>
      <c r="M4375" s="86"/>
      <c r="N4375" s="86"/>
      <c r="O4375" s="83"/>
      <c r="P4375" s="86"/>
      <c r="Q4375" s="86"/>
      <c r="R4375" s="84"/>
      <c r="S4375" s="185"/>
      <c r="T4375" s="185"/>
      <c r="U4375" s="185"/>
      <c r="V4375" s="185"/>
      <c r="W4375" s="185"/>
      <c r="X4375" s="185"/>
      <c r="Y4375" s="284"/>
      <c r="Z4375" s="284"/>
      <c r="AA4375" s="284"/>
      <c r="AB4375" s="284"/>
      <c r="AC4375" s="284"/>
      <c r="AD4375" s="284"/>
      <c r="AE4375" s="284"/>
      <c r="AF4375" s="284"/>
      <c r="AG4375" s="284"/>
      <c r="AH4375" s="284"/>
      <c r="AI4375" s="284"/>
      <c r="AJ4375" s="284"/>
      <c r="AK4375" s="284"/>
      <c r="AL4375" s="284"/>
    </row>
    <row r="4376" ht="15.75" customHeight="1">
      <c r="A4376" s="27"/>
      <c r="B4376" s="86"/>
      <c r="C4376" s="86"/>
      <c r="D4376" s="117"/>
      <c r="E4376" s="83"/>
      <c r="F4376" s="86"/>
      <c r="G4376" s="86"/>
      <c r="H4376" s="83"/>
      <c r="I4376" s="86"/>
      <c r="J4376" s="86"/>
      <c r="K4376" s="83"/>
      <c r="L4376" s="86"/>
      <c r="M4376" s="86"/>
      <c r="N4376" s="86"/>
      <c r="O4376" s="83"/>
      <c r="P4376" s="86"/>
      <c r="Q4376" s="86"/>
      <c r="R4376" s="84"/>
      <c r="S4376" s="185"/>
      <c r="T4376" s="185"/>
      <c r="U4376" s="185"/>
      <c r="V4376" s="185"/>
      <c r="W4376" s="185"/>
      <c r="X4376" s="185"/>
      <c r="Y4376" s="284"/>
      <c r="Z4376" s="284"/>
      <c r="AA4376" s="284"/>
      <c r="AB4376" s="284"/>
      <c r="AC4376" s="284"/>
      <c r="AD4376" s="284"/>
      <c r="AE4376" s="284"/>
      <c r="AF4376" s="284"/>
      <c r="AG4376" s="284"/>
      <c r="AH4376" s="284"/>
      <c r="AI4376" s="284"/>
      <c r="AJ4376" s="284"/>
      <c r="AK4376" s="284"/>
      <c r="AL4376" s="284"/>
    </row>
    <row r="4377" ht="15.75" customHeight="1">
      <c r="A4377" s="27"/>
      <c r="B4377" s="86"/>
      <c r="C4377" s="86"/>
      <c r="D4377" s="117"/>
      <c r="E4377" s="83"/>
      <c r="F4377" s="86"/>
      <c r="G4377" s="86"/>
      <c r="H4377" s="83"/>
      <c r="I4377" s="86"/>
      <c r="J4377" s="86"/>
      <c r="K4377" s="83"/>
      <c r="L4377" s="86"/>
      <c r="M4377" s="86"/>
      <c r="N4377" s="86"/>
      <c r="O4377" s="83"/>
      <c r="P4377" s="86"/>
      <c r="Q4377" s="86"/>
      <c r="R4377" s="84"/>
      <c r="S4377" s="185"/>
      <c r="T4377" s="185"/>
      <c r="U4377" s="185"/>
      <c r="V4377" s="185"/>
      <c r="W4377" s="185"/>
      <c r="X4377" s="185"/>
      <c r="Y4377" s="284"/>
      <c r="Z4377" s="284"/>
      <c r="AA4377" s="284"/>
      <c r="AB4377" s="284"/>
      <c r="AC4377" s="284"/>
      <c r="AD4377" s="284"/>
      <c r="AE4377" s="284"/>
      <c r="AF4377" s="284"/>
      <c r="AG4377" s="284"/>
      <c r="AH4377" s="284"/>
      <c r="AI4377" s="284"/>
      <c r="AJ4377" s="284"/>
      <c r="AK4377" s="284"/>
      <c r="AL4377" s="284"/>
    </row>
    <row r="4378" ht="15.75" customHeight="1">
      <c r="A4378" s="27"/>
      <c r="B4378" s="86"/>
      <c r="C4378" s="86"/>
      <c r="D4378" s="117"/>
      <c r="E4378" s="83"/>
      <c r="F4378" s="86"/>
      <c r="G4378" s="86"/>
      <c r="H4378" s="83"/>
      <c r="I4378" s="86"/>
      <c r="J4378" s="86"/>
      <c r="K4378" s="83"/>
      <c r="L4378" s="86"/>
      <c r="M4378" s="86"/>
      <c r="N4378" s="86"/>
      <c r="O4378" s="83"/>
      <c r="P4378" s="86"/>
      <c r="Q4378" s="86"/>
      <c r="R4378" s="84"/>
      <c r="S4378" s="185"/>
      <c r="T4378" s="185"/>
      <c r="U4378" s="185"/>
      <c r="V4378" s="185"/>
      <c r="W4378" s="185"/>
      <c r="X4378" s="185"/>
      <c r="Y4378" s="284"/>
      <c r="Z4378" s="284"/>
      <c r="AA4378" s="284"/>
      <c r="AB4378" s="284"/>
      <c r="AC4378" s="284"/>
      <c r="AD4378" s="284"/>
      <c r="AE4378" s="284"/>
      <c r="AF4378" s="284"/>
      <c r="AG4378" s="284"/>
      <c r="AH4378" s="284"/>
      <c r="AI4378" s="284"/>
      <c r="AJ4378" s="284"/>
      <c r="AK4378" s="284"/>
      <c r="AL4378" s="284"/>
    </row>
    <row r="4379" ht="15.75" customHeight="1">
      <c r="A4379" s="27"/>
      <c r="B4379" s="86"/>
      <c r="C4379" s="86"/>
      <c r="D4379" s="117"/>
      <c r="E4379" s="83"/>
      <c r="F4379" s="86"/>
      <c r="G4379" s="86"/>
      <c r="H4379" s="83"/>
      <c r="I4379" s="86"/>
      <c r="J4379" s="86"/>
      <c r="K4379" s="83"/>
      <c r="L4379" s="86"/>
      <c r="M4379" s="86"/>
      <c r="N4379" s="86"/>
      <c r="O4379" s="83"/>
      <c r="P4379" s="86"/>
      <c r="Q4379" s="86"/>
      <c r="R4379" s="84"/>
      <c r="S4379" s="185"/>
      <c r="T4379" s="185"/>
      <c r="U4379" s="185"/>
      <c r="V4379" s="185"/>
      <c r="W4379" s="185"/>
      <c r="X4379" s="185"/>
      <c r="Y4379" s="284"/>
      <c r="Z4379" s="284"/>
      <c r="AA4379" s="284"/>
      <c r="AB4379" s="284"/>
      <c r="AC4379" s="284"/>
      <c r="AD4379" s="284"/>
      <c r="AE4379" s="284"/>
      <c r="AF4379" s="284"/>
      <c r="AG4379" s="284"/>
      <c r="AH4379" s="284"/>
      <c r="AI4379" s="284"/>
      <c r="AJ4379" s="284"/>
      <c r="AK4379" s="284"/>
      <c r="AL4379" s="284"/>
    </row>
    <row r="4380" ht="15.75" customHeight="1">
      <c r="A4380" s="27"/>
      <c r="B4380" s="86"/>
      <c r="C4380" s="86"/>
      <c r="D4380" s="117"/>
      <c r="E4380" s="83"/>
      <c r="F4380" s="86"/>
      <c r="G4380" s="86"/>
      <c r="H4380" s="83"/>
      <c r="I4380" s="86"/>
      <c r="J4380" s="86"/>
      <c r="K4380" s="83"/>
      <c r="L4380" s="86"/>
      <c r="M4380" s="86"/>
      <c r="N4380" s="86"/>
      <c r="O4380" s="83"/>
      <c r="P4380" s="86"/>
      <c r="Q4380" s="86"/>
      <c r="R4380" s="84"/>
      <c r="S4380" s="185"/>
      <c r="T4380" s="185"/>
      <c r="U4380" s="185"/>
      <c r="V4380" s="185"/>
      <c r="W4380" s="185"/>
      <c r="X4380" s="185"/>
      <c r="Y4380" s="284"/>
      <c r="Z4380" s="284"/>
      <c r="AA4380" s="284"/>
      <c r="AB4380" s="284"/>
      <c r="AC4380" s="284"/>
      <c r="AD4380" s="284"/>
      <c r="AE4380" s="284"/>
      <c r="AF4380" s="284"/>
      <c r="AG4380" s="284"/>
      <c r="AH4380" s="284"/>
      <c r="AI4380" s="284"/>
      <c r="AJ4380" s="284"/>
      <c r="AK4380" s="284"/>
      <c r="AL4380" s="284"/>
    </row>
    <row r="4381" ht="15.75" customHeight="1">
      <c r="A4381" s="27"/>
      <c r="B4381" s="86"/>
      <c r="C4381" s="86"/>
      <c r="D4381" s="117"/>
      <c r="E4381" s="83"/>
      <c r="F4381" s="86"/>
      <c r="G4381" s="86"/>
      <c r="H4381" s="83"/>
      <c r="I4381" s="86"/>
      <c r="J4381" s="86"/>
      <c r="K4381" s="83"/>
      <c r="L4381" s="86"/>
      <c r="M4381" s="86"/>
      <c r="N4381" s="86"/>
      <c r="O4381" s="83"/>
      <c r="P4381" s="86"/>
      <c r="Q4381" s="86"/>
      <c r="R4381" s="84"/>
      <c r="S4381" s="185"/>
      <c r="T4381" s="185"/>
      <c r="U4381" s="185"/>
      <c r="V4381" s="185"/>
      <c r="W4381" s="185"/>
      <c r="X4381" s="185"/>
      <c r="Y4381" s="284"/>
      <c r="Z4381" s="284"/>
      <c r="AA4381" s="284"/>
      <c r="AB4381" s="284"/>
      <c r="AC4381" s="284"/>
      <c r="AD4381" s="284"/>
      <c r="AE4381" s="284"/>
      <c r="AF4381" s="284"/>
      <c r="AG4381" s="284"/>
      <c r="AH4381" s="284"/>
      <c r="AI4381" s="284"/>
      <c r="AJ4381" s="284"/>
      <c r="AK4381" s="284"/>
      <c r="AL4381" s="284"/>
    </row>
    <row r="4382" ht="15.75" customHeight="1">
      <c r="A4382" s="27"/>
      <c r="B4382" s="86"/>
      <c r="C4382" s="86"/>
      <c r="D4382" s="117"/>
      <c r="E4382" s="83"/>
      <c r="F4382" s="86"/>
      <c r="G4382" s="86"/>
      <c r="H4382" s="83"/>
      <c r="I4382" s="86"/>
      <c r="J4382" s="86"/>
      <c r="K4382" s="83"/>
      <c r="L4382" s="86"/>
      <c r="M4382" s="86"/>
      <c r="N4382" s="86"/>
      <c r="O4382" s="83"/>
      <c r="P4382" s="86"/>
      <c r="Q4382" s="86"/>
      <c r="R4382" s="84"/>
      <c r="S4382" s="185"/>
      <c r="T4382" s="185"/>
      <c r="U4382" s="185"/>
      <c r="V4382" s="185"/>
      <c r="W4382" s="185"/>
      <c r="X4382" s="185"/>
      <c r="Y4382" s="284"/>
      <c r="Z4382" s="284"/>
      <c r="AA4382" s="284"/>
      <c r="AB4382" s="284"/>
      <c r="AC4382" s="284"/>
      <c r="AD4382" s="284"/>
      <c r="AE4382" s="284"/>
      <c r="AF4382" s="284"/>
      <c r="AG4382" s="284"/>
      <c r="AH4382" s="284"/>
      <c r="AI4382" s="284"/>
      <c r="AJ4382" s="284"/>
      <c r="AK4382" s="284"/>
      <c r="AL4382" s="284"/>
    </row>
    <row r="4383" ht="15.75" customHeight="1">
      <c r="A4383" s="27"/>
      <c r="B4383" s="86"/>
      <c r="C4383" s="86"/>
      <c r="D4383" s="117"/>
      <c r="E4383" s="83"/>
      <c r="F4383" s="86"/>
      <c r="G4383" s="86"/>
      <c r="H4383" s="83"/>
      <c r="I4383" s="86"/>
      <c r="J4383" s="86"/>
      <c r="K4383" s="83"/>
      <c r="L4383" s="86"/>
      <c r="M4383" s="86"/>
      <c r="N4383" s="86"/>
      <c r="O4383" s="83"/>
      <c r="P4383" s="86"/>
      <c r="Q4383" s="86"/>
      <c r="R4383" s="84"/>
      <c r="S4383" s="185"/>
      <c r="T4383" s="185"/>
      <c r="U4383" s="185"/>
      <c r="V4383" s="185"/>
      <c r="W4383" s="185"/>
      <c r="X4383" s="185"/>
      <c r="Y4383" s="284"/>
      <c r="Z4383" s="284"/>
      <c r="AA4383" s="284"/>
      <c r="AB4383" s="284"/>
      <c r="AC4383" s="284"/>
      <c r="AD4383" s="284"/>
      <c r="AE4383" s="284"/>
      <c r="AF4383" s="284"/>
      <c r="AG4383" s="284"/>
      <c r="AH4383" s="284"/>
      <c r="AI4383" s="284"/>
      <c r="AJ4383" s="284"/>
      <c r="AK4383" s="284"/>
      <c r="AL4383" s="284"/>
    </row>
    <row r="4384" ht="15.75" customHeight="1">
      <c r="A4384" s="27"/>
      <c r="B4384" s="86"/>
      <c r="C4384" s="86"/>
      <c r="D4384" s="117"/>
      <c r="E4384" s="83"/>
      <c r="F4384" s="86"/>
      <c r="G4384" s="86"/>
      <c r="H4384" s="83"/>
      <c r="I4384" s="86"/>
      <c r="J4384" s="86"/>
      <c r="K4384" s="83"/>
      <c r="L4384" s="86"/>
      <c r="M4384" s="86"/>
      <c r="N4384" s="86"/>
      <c r="O4384" s="83"/>
      <c r="P4384" s="86"/>
      <c r="Q4384" s="86"/>
      <c r="R4384" s="84"/>
      <c r="S4384" s="185"/>
      <c r="T4384" s="185"/>
      <c r="U4384" s="185"/>
      <c r="V4384" s="185"/>
      <c r="W4384" s="185"/>
      <c r="X4384" s="185"/>
      <c r="Y4384" s="284"/>
      <c r="Z4384" s="284"/>
      <c r="AA4384" s="284"/>
      <c r="AB4384" s="284"/>
      <c r="AC4384" s="284"/>
      <c r="AD4384" s="284"/>
      <c r="AE4384" s="284"/>
      <c r="AF4384" s="284"/>
      <c r="AG4384" s="284"/>
      <c r="AH4384" s="284"/>
      <c r="AI4384" s="284"/>
      <c r="AJ4384" s="284"/>
      <c r="AK4384" s="284"/>
      <c r="AL4384" s="284"/>
    </row>
    <row r="4385" ht="15.75" customHeight="1">
      <c r="A4385" s="27"/>
      <c r="B4385" s="86"/>
      <c r="C4385" s="86"/>
      <c r="D4385" s="117"/>
      <c r="E4385" s="83"/>
      <c r="F4385" s="86"/>
      <c r="G4385" s="86"/>
      <c r="H4385" s="83"/>
      <c r="I4385" s="86"/>
      <c r="J4385" s="86"/>
      <c r="K4385" s="83"/>
      <c r="L4385" s="86"/>
      <c r="M4385" s="86"/>
      <c r="N4385" s="86"/>
      <c r="O4385" s="83"/>
      <c r="P4385" s="86"/>
      <c r="Q4385" s="86"/>
      <c r="R4385" s="84"/>
      <c r="S4385" s="185"/>
      <c r="T4385" s="185"/>
      <c r="U4385" s="185"/>
      <c r="V4385" s="185"/>
      <c r="W4385" s="185"/>
      <c r="X4385" s="185"/>
      <c r="Y4385" s="284"/>
      <c r="Z4385" s="284"/>
      <c r="AA4385" s="284"/>
      <c r="AB4385" s="284"/>
      <c r="AC4385" s="284"/>
      <c r="AD4385" s="284"/>
      <c r="AE4385" s="284"/>
      <c r="AF4385" s="284"/>
      <c r="AG4385" s="284"/>
      <c r="AH4385" s="284"/>
      <c r="AI4385" s="284"/>
      <c r="AJ4385" s="284"/>
      <c r="AK4385" s="284"/>
      <c r="AL4385" s="284"/>
    </row>
    <row r="4386" ht="15.75" customHeight="1">
      <c r="A4386" s="27"/>
      <c r="B4386" s="86"/>
      <c r="C4386" s="86"/>
      <c r="D4386" s="117"/>
      <c r="E4386" s="83"/>
      <c r="F4386" s="86"/>
      <c r="G4386" s="86"/>
      <c r="H4386" s="83"/>
      <c r="I4386" s="86"/>
      <c r="J4386" s="86"/>
      <c r="K4386" s="83"/>
      <c r="L4386" s="86"/>
      <c r="M4386" s="86"/>
      <c r="N4386" s="86"/>
      <c r="O4386" s="83"/>
      <c r="P4386" s="86"/>
      <c r="Q4386" s="86"/>
      <c r="R4386" s="84"/>
      <c r="S4386" s="185"/>
      <c r="T4386" s="185"/>
      <c r="U4386" s="185"/>
      <c r="V4386" s="185"/>
      <c r="W4386" s="185"/>
      <c r="X4386" s="185"/>
      <c r="Y4386" s="284"/>
      <c r="Z4386" s="284"/>
      <c r="AA4386" s="284"/>
      <c r="AB4386" s="284"/>
      <c r="AC4386" s="284"/>
      <c r="AD4386" s="284"/>
      <c r="AE4386" s="284"/>
      <c r="AF4386" s="284"/>
      <c r="AG4386" s="284"/>
      <c r="AH4386" s="284"/>
      <c r="AI4386" s="284"/>
      <c r="AJ4386" s="284"/>
      <c r="AK4386" s="284"/>
      <c r="AL4386" s="284"/>
    </row>
    <row r="4387" ht="15.75" customHeight="1">
      <c r="A4387" s="27"/>
      <c r="B4387" s="86"/>
      <c r="C4387" s="86"/>
      <c r="D4387" s="117"/>
      <c r="E4387" s="83"/>
      <c r="F4387" s="86"/>
      <c r="G4387" s="86"/>
      <c r="H4387" s="83"/>
      <c r="I4387" s="86"/>
      <c r="J4387" s="86"/>
      <c r="K4387" s="83"/>
      <c r="L4387" s="86"/>
      <c r="M4387" s="86"/>
      <c r="N4387" s="86"/>
      <c r="O4387" s="83"/>
      <c r="P4387" s="86"/>
      <c r="Q4387" s="86"/>
      <c r="R4387" s="84"/>
      <c r="S4387" s="185"/>
      <c r="T4387" s="185"/>
      <c r="U4387" s="185"/>
      <c r="V4387" s="185"/>
      <c r="W4387" s="185"/>
      <c r="X4387" s="185"/>
      <c r="Y4387" s="284"/>
      <c r="Z4387" s="284"/>
      <c r="AA4387" s="284"/>
      <c r="AB4387" s="284"/>
      <c r="AC4387" s="284"/>
      <c r="AD4387" s="284"/>
      <c r="AE4387" s="284"/>
      <c r="AF4387" s="284"/>
      <c r="AG4387" s="284"/>
      <c r="AH4387" s="284"/>
      <c r="AI4387" s="284"/>
      <c r="AJ4387" s="284"/>
      <c r="AK4387" s="284"/>
      <c r="AL4387" s="284"/>
    </row>
    <row r="4388" ht="15.75" customHeight="1">
      <c r="A4388" s="27"/>
      <c r="B4388" s="86"/>
      <c r="C4388" s="86"/>
      <c r="D4388" s="117"/>
      <c r="E4388" s="83"/>
      <c r="F4388" s="86"/>
      <c r="G4388" s="86"/>
      <c r="H4388" s="83"/>
      <c r="I4388" s="86"/>
      <c r="J4388" s="86"/>
      <c r="K4388" s="83"/>
      <c r="L4388" s="86"/>
      <c r="M4388" s="86"/>
      <c r="N4388" s="86"/>
      <c r="O4388" s="83"/>
      <c r="P4388" s="86"/>
      <c r="Q4388" s="86"/>
      <c r="R4388" s="84"/>
      <c r="S4388" s="185"/>
      <c r="T4388" s="185"/>
      <c r="U4388" s="185"/>
      <c r="V4388" s="185"/>
      <c r="W4388" s="185"/>
      <c r="X4388" s="185"/>
      <c r="Y4388" s="284"/>
      <c r="Z4388" s="284"/>
      <c r="AA4388" s="284"/>
      <c r="AB4388" s="284"/>
      <c r="AC4388" s="284"/>
      <c r="AD4388" s="284"/>
      <c r="AE4388" s="284"/>
      <c r="AF4388" s="284"/>
      <c r="AG4388" s="284"/>
      <c r="AH4388" s="284"/>
      <c r="AI4388" s="284"/>
      <c r="AJ4388" s="284"/>
      <c r="AK4388" s="284"/>
      <c r="AL4388" s="284"/>
    </row>
    <row r="4389" ht="15.75" customHeight="1">
      <c r="A4389" s="27"/>
      <c r="B4389" s="86"/>
      <c r="C4389" s="86"/>
      <c r="D4389" s="117"/>
      <c r="E4389" s="83"/>
      <c r="F4389" s="86"/>
      <c r="G4389" s="86"/>
      <c r="H4389" s="83"/>
      <c r="I4389" s="86"/>
      <c r="J4389" s="86"/>
      <c r="K4389" s="83"/>
      <c r="L4389" s="86"/>
      <c r="M4389" s="86"/>
      <c r="N4389" s="86"/>
      <c r="O4389" s="83"/>
      <c r="P4389" s="86"/>
      <c r="Q4389" s="86"/>
      <c r="R4389" s="84"/>
      <c r="S4389" s="185"/>
      <c r="T4389" s="185"/>
      <c r="U4389" s="185"/>
      <c r="V4389" s="185"/>
      <c r="W4389" s="185"/>
      <c r="X4389" s="185"/>
      <c r="Y4389" s="284"/>
      <c r="Z4389" s="284"/>
      <c r="AA4389" s="284"/>
      <c r="AB4389" s="284"/>
      <c r="AC4389" s="284"/>
      <c r="AD4389" s="284"/>
      <c r="AE4389" s="284"/>
      <c r="AF4389" s="284"/>
      <c r="AG4389" s="284"/>
      <c r="AH4389" s="284"/>
      <c r="AI4389" s="284"/>
      <c r="AJ4389" s="284"/>
      <c r="AK4389" s="284"/>
      <c r="AL4389" s="284"/>
    </row>
    <row r="4390" ht="15.75" customHeight="1">
      <c r="A4390" s="27"/>
      <c r="B4390" s="86"/>
      <c r="C4390" s="86"/>
      <c r="D4390" s="117"/>
      <c r="E4390" s="83"/>
      <c r="F4390" s="86"/>
      <c r="G4390" s="86"/>
      <c r="H4390" s="83"/>
      <c r="I4390" s="86"/>
      <c r="J4390" s="86"/>
      <c r="K4390" s="83"/>
      <c r="L4390" s="86"/>
      <c r="M4390" s="86"/>
      <c r="N4390" s="86"/>
      <c r="O4390" s="83"/>
      <c r="P4390" s="86"/>
      <c r="Q4390" s="86"/>
      <c r="R4390" s="84"/>
      <c r="S4390" s="185"/>
      <c r="T4390" s="185"/>
      <c r="U4390" s="185"/>
      <c r="V4390" s="185"/>
      <c r="W4390" s="185"/>
      <c r="X4390" s="185"/>
      <c r="Y4390" s="284"/>
      <c r="Z4390" s="284"/>
      <c r="AA4390" s="284"/>
      <c r="AB4390" s="284"/>
      <c r="AC4390" s="284"/>
      <c r="AD4390" s="284"/>
      <c r="AE4390" s="284"/>
      <c r="AF4390" s="284"/>
      <c r="AG4390" s="284"/>
      <c r="AH4390" s="284"/>
      <c r="AI4390" s="284"/>
      <c r="AJ4390" s="284"/>
      <c r="AK4390" s="284"/>
      <c r="AL4390" s="284"/>
    </row>
    <row r="4391" ht="15.75" customHeight="1">
      <c r="A4391" s="27"/>
      <c r="B4391" s="86"/>
      <c r="C4391" s="86"/>
      <c r="D4391" s="117"/>
      <c r="E4391" s="83"/>
      <c r="F4391" s="86"/>
      <c r="G4391" s="86"/>
      <c r="H4391" s="83"/>
      <c r="I4391" s="86"/>
      <c r="J4391" s="86"/>
      <c r="K4391" s="83"/>
      <c r="L4391" s="86"/>
      <c r="M4391" s="86"/>
      <c r="N4391" s="86"/>
      <c r="O4391" s="83"/>
      <c r="P4391" s="86"/>
      <c r="Q4391" s="86"/>
      <c r="R4391" s="84"/>
      <c r="S4391" s="185"/>
      <c r="T4391" s="185"/>
      <c r="U4391" s="185"/>
      <c r="V4391" s="185"/>
      <c r="W4391" s="185"/>
      <c r="X4391" s="185"/>
      <c r="Y4391" s="284"/>
      <c r="Z4391" s="284"/>
      <c r="AA4391" s="284"/>
      <c r="AB4391" s="284"/>
      <c r="AC4391" s="284"/>
      <c r="AD4391" s="284"/>
      <c r="AE4391" s="284"/>
      <c r="AF4391" s="284"/>
      <c r="AG4391" s="284"/>
      <c r="AH4391" s="284"/>
      <c r="AI4391" s="284"/>
      <c r="AJ4391" s="284"/>
      <c r="AK4391" s="284"/>
      <c r="AL4391" s="284"/>
    </row>
    <row r="4392" ht="15.75" customHeight="1">
      <c r="A4392" s="27"/>
      <c r="B4392" s="86"/>
      <c r="C4392" s="86"/>
      <c r="D4392" s="117"/>
      <c r="E4392" s="83"/>
      <c r="F4392" s="86"/>
      <c r="G4392" s="86"/>
      <c r="H4392" s="83"/>
      <c r="I4392" s="86"/>
      <c r="J4392" s="86"/>
      <c r="K4392" s="83"/>
      <c r="L4392" s="86"/>
      <c r="M4392" s="86"/>
      <c r="N4392" s="86"/>
      <c r="O4392" s="83"/>
      <c r="P4392" s="86"/>
      <c r="Q4392" s="86"/>
      <c r="R4392" s="84"/>
      <c r="S4392" s="185"/>
      <c r="T4392" s="185"/>
      <c r="U4392" s="185"/>
      <c r="V4392" s="185"/>
      <c r="W4392" s="185"/>
      <c r="X4392" s="185"/>
      <c r="Y4392" s="284"/>
      <c r="Z4392" s="284"/>
      <c r="AA4392" s="284"/>
      <c r="AB4392" s="284"/>
      <c r="AC4392" s="284"/>
      <c r="AD4392" s="284"/>
      <c r="AE4392" s="284"/>
      <c r="AF4392" s="284"/>
      <c r="AG4392" s="284"/>
      <c r="AH4392" s="284"/>
      <c r="AI4392" s="284"/>
      <c r="AJ4392" s="284"/>
      <c r="AK4392" s="284"/>
      <c r="AL4392" s="284"/>
    </row>
    <row r="4393" ht="15.75" customHeight="1">
      <c r="A4393" s="27"/>
      <c r="B4393" s="86"/>
      <c r="C4393" s="86"/>
      <c r="D4393" s="117"/>
      <c r="E4393" s="83"/>
      <c r="F4393" s="86"/>
      <c r="G4393" s="86"/>
      <c r="H4393" s="83"/>
      <c r="I4393" s="86"/>
      <c r="J4393" s="86"/>
      <c r="K4393" s="83"/>
      <c r="L4393" s="86"/>
      <c r="M4393" s="86"/>
      <c r="N4393" s="86"/>
      <c r="O4393" s="83"/>
      <c r="P4393" s="86"/>
      <c r="Q4393" s="86"/>
      <c r="R4393" s="84"/>
      <c r="S4393" s="185"/>
      <c r="T4393" s="185"/>
      <c r="U4393" s="185"/>
      <c r="V4393" s="185"/>
      <c r="W4393" s="185"/>
      <c r="X4393" s="185"/>
      <c r="Y4393" s="284"/>
      <c r="Z4393" s="284"/>
      <c r="AA4393" s="284"/>
      <c r="AB4393" s="284"/>
      <c r="AC4393" s="284"/>
      <c r="AD4393" s="284"/>
      <c r="AE4393" s="284"/>
      <c r="AF4393" s="284"/>
      <c r="AG4393" s="284"/>
      <c r="AH4393" s="284"/>
      <c r="AI4393" s="284"/>
      <c r="AJ4393" s="284"/>
      <c r="AK4393" s="284"/>
      <c r="AL4393" s="284"/>
    </row>
    <row r="4394" ht="15.75" customHeight="1">
      <c r="A4394" s="27"/>
      <c r="B4394" s="86"/>
      <c r="C4394" s="86"/>
      <c r="D4394" s="117"/>
      <c r="E4394" s="83"/>
      <c r="F4394" s="86"/>
      <c r="G4394" s="86"/>
      <c r="H4394" s="83"/>
      <c r="I4394" s="86"/>
      <c r="J4394" s="86"/>
      <c r="K4394" s="83"/>
      <c r="L4394" s="86"/>
      <c r="M4394" s="86"/>
      <c r="N4394" s="86"/>
      <c r="O4394" s="83"/>
      <c r="P4394" s="86"/>
      <c r="Q4394" s="86"/>
      <c r="R4394" s="84"/>
      <c r="S4394" s="185"/>
      <c r="T4394" s="185"/>
      <c r="U4394" s="185"/>
      <c r="V4394" s="185"/>
      <c r="W4394" s="185"/>
      <c r="X4394" s="185"/>
      <c r="Y4394" s="284"/>
      <c r="Z4394" s="284"/>
      <c r="AA4394" s="284"/>
      <c r="AB4394" s="284"/>
      <c r="AC4394" s="284"/>
      <c r="AD4394" s="284"/>
      <c r="AE4394" s="284"/>
      <c r="AF4394" s="284"/>
      <c r="AG4394" s="284"/>
      <c r="AH4394" s="284"/>
      <c r="AI4394" s="284"/>
      <c r="AJ4394" s="284"/>
      <c r="AK4394" s="284"/>
      <c r="AL4394" s="284"/>
    </row>
    <row r="4395" ht="15.75" customHeight="1">
      <c r="A4395" s="27"/>
      <c r="B4395" s="86"/>
      <c r="C4395" s="86"/>
      <c r="D4395" s="117"/>
      <c r="E4395" s="83"/>
      <c r="F4395" s="86"/>
      <c r="G4395" s="86"/>
      <c r="H4395" s="83"/>
      <c r="I4395" s="86"/>
      <c r="J4395" s="86"/>
      <c r="K4395" s="83"/>
      <c r="L4395" s="86"/>
      <c r="M4395" s="86"/>
      <c r="N4395" s="86"/>
      <c r="O4395" s="83"/>
      <c r="P4395" s="86"/>
      <c r="Q4395" s="86"/>
      <c r="R4395" s="84"/>
      <c r="S4395" s="185"/>
      <c r="T4395" s="185"/>
      <c r="U4395" s="185"/>
      <c r="V4395" s="185"/>
      <c r="W4395" s="185"/>
      <c r="X4395" s="185"/>
      <c r="Y4395" s="284"/>
      <c r="Z4395" s="284"/>
      <c r="AA4395" s="284"/>
      <c r="AB4395" s="284"/>
      <c r="AC4395" s="284"/>
      <c r="AD4395" s="284"/>
      <c r="AE4395" s="284"/>
      <c r="AF4395" s="284"/>
      <c r="AG4395" s="284"/>
      <c r="AH4395" s="284"/>
      <c r="AI4395" s="284"/>
      <c r="AJ4395" s="284"/>
      <c r="AK4395" s="284"/>
      <c r="AL4395" s="284"/>
    </row>
    <row r="4396" ht="15.75" customHeight="1">
      <c r="A4396" s="27"/>
      <c r="B4396" s="86"/>
      <c r="C4396" s="86"/>
      <c r="D4396" s="117"/>
      <c r="E4396" s="83"/>
      <c r="F4396" s="86"/>
      <c r="G4396" s="86"/>
      <c r="H4396" s="83"/>
      <c r="I4396" s="86"/>
      <c r="J4396" s="86"/>
      <c r="K4396" s="83"/>
      <c r="L4396" s="86"/>
      <c r="M4396" s="86"/>
      <c r="N4396" s="86"/>
      <c r="O4396" s="83"/>
      <c r="P4396" s="86"/>
      <c r="Q4396" s="86"/>
      <c r="R4396" s="84"/>
      <c r="S4396" s="185"/>
      <c r="T4396" s="185"/>
      <c r="U4396" s="185"/>
      <c r="V4396" s="185"/>
      <c r="W4396" s="185"/>
      <c r="X4396" s="185"/>
      <c r="Y4396" s="284"/>
      <c r="Z4396" s="284"/>
      <c r="AA4396" s="284"/>
      <c r="AB4396" s="284"/>
      <c r="AC4396" s="284"/>
      <c r="AD4396" s="284"/>
      <c r="AE4396" s="284"/>
      <c r="AF4396" s="284"/>
      <c r="AG4396" s="284"/>
      <c r="AH4396" s="284"/>
      <c r="AI4396" s="284"/>
      <c r="AJ4396" s="284"/>
      <c r="AK4396" s="284"/>
      <c r="AL4396" s="284"/>
    </row>
    <row r="4397" ht="15.75" customHeight="1">
      <c r="A4397" s="27"/>
      <c r="B4397" s="86"/>
      <c r="C4397" s="86"/>
      <c r="D4397" s="117"/>
      <c r="E4397" s="83"/>
      <c r="F4397" s="86"/>
      <c r="G4397" s="86"/>
      <c r="H4397" s="83"/>
      <c r="I4397" s="86"/>
      <c r="J4397" s="86"/>
      <c r="K4397" s="83"/>
      <c r="L4397" s="86"/>
      <c r="M4397" s="86"/>
      <c r="N4397" s="86"/>
      <c r="O4397" s="83"/>
      <c r="P4397" s="86"/>
      <c r="Q4397" s="86"/>
      <c r="R4397" s="84"/>
      <c r="S4397" s="185"/>
      <c r="T4397" s="185"/>
      <c r="U4397" s="185"/>
      <c r="V4397" s="185"/>
      <c r="W4397" s="185"/>
      <c r="X4397" s="185"/>
      <c r="Y4397" s="284"/>
      <c r="Z4397" s="284"/>
      <c r="AA4397" s="284"/>
      <c r="AB4397" s="284"/>
      <c r="AC4397" s="284"/>
      <c r="AD4397" s="284"/>
      <c r="AE4397" s="284"/>
      <c r="AF4397" s="284"/>
      <c r="AG4397" s="284"/>
      <c r="AH4397" s="284"/>
      <c r="AI4397" s="284"/>
      <c r="AJ4397" s="284"/>
      <c r="AK4397" s="284"/>
      <c r="AL4397" s="284"/>
    </row>
    <row r="4398" ht="15.75" customHeight="1">
      <c r="A4398" s="27"/>
      <c r="B4398" s="86"/>
      <c r="C4398" s="86"/>
      <c r="D4398" s="117"/>
      <c r="E4398" s="83"/>
      <c r="F4398" s="86"/>
      <c r="G4398" s="86"/>
      <c r="H4398" s="83"/>
      <c r="I4398" s="86"/>
      <c r="J4398" s="86"/>
      <c r="K4398" s="83"/>
      <c r="L4398" s="86"/>
      <c r="M4398" s="86"/>
      <c r="N4398" s="86"/>
      <c r="O4398" s="83"/>
      <c r="P4398" s="86"/>
      <c r="Q4398" s="86"/>
      <c r="R4398" s="84"/>
      <c r="S4398" s="185"/>
      <c r="T4398" s="185"/>
      <c r="U4398" s="185"/>
      <c r="V4398" s="185"/>
      <c r="W4398" s="185"/>
      <c r="X4398" s="185"/>
      <c r="Y4398" s="284"/>
      <c r="Z4398" s="284"/>
      <c r="AA4398" s="284"/>
      <c r="AB4398" s="284"/>
      <c r="AC4398" s="284"/>
      <c r="AD4398" s="284"/>
      <c r="AE4398" s="284"/>
      <c r="AF4398" s="284"/>
      <c r="AG4398" s="284"/>
      <c r="AH4398" s="284"/>
      <c r="AI4398" s="284"/>
      <c r="AJ4398" s="284"/>
      <c r="AK4398" s="284"/>
      <c r="AL4398" s="284"/>
    </row>
    <row r="4399" ht="15.75" customHeight="1">
      <c r="A4399" s="27"/>
      <c r="B4399" s="86"/>
      <c r="C4399" s="86"/>
      <c r="D4399" s="117"/>
      <c r="E4399" s="83"/>
      <c r="F4399" s="86"/>
      <c r="G4399" s="86"/>
      <c r="H4399" s="83"/>
      <c r="I4399" s="86"/>
      <c r="J4399" s="86"/>
      <c r="K4399" s="83"/>
      <c r="L4399" s="86"/>
      <c r="M4399" s="86"/>
      <c r="N4399" s="86"/>
      <c r="O4399" s="83"/>
      <c r="P4399" s="86"/>
      <c r="Q4399" s="86"/>
      <c r="R4399" s="84"/>
      <c r="S4399" s="185"/>
      <c r="T4399" s="185"/>
      <c r="U4399" s="185"/>
      <c r="V4399" s="185"/>
      <c r="W4399" s="185"/>
      <c r="X4399" s="185"/>
      <c r="Y4399" s="284"/>
      <c r="Z4399" s="284"/>
      <c r="AA4399" s="284"/>
      <c r="AB4399" s="284"/>
      <c r="AC4399" s="284"/>
      <c r="AD4399" s="284"/>
      <c r="AE4399" s="284"/>
      <c r="AF4399" s="284"/>
      <c r="AG4399" s="284"/>
      <c r="AH4399" s="284"/>
      <c r="AI4399" s="284"/>
      <c r="AJ4399" s="284"/>
      <c r="AK4399" s="284"/>
      <c r="AL4399" s="284"/>
    </row>
    <row r="4400" ht="15.75" customHeight="1">
      <c r="A4400" s="27"/>
      <c r="B4400" s="86"/>
      <c r="C4400" s="86"/>
      <c r="D4400" s="117"/>
      <c r="E4400" s="83"/>
      <c r="F4400" s="86"/>
      <c r="G4400" s="86"/>
      <c r="H4400" s="83"/>
      <c r="I4400" s="86"/>
      <c r="J4400" s="86"/>
      <c r="K4400" s="83"/>
      <c r="L4400" s="86"/>
      <c r="M4400" s="86"/>
      <c r="N4400" s="86"/>
      <c r="O4400" s="83"/>
      <c r="P4400" s="86"/>
      <c r="Q4400" s="86"/>
      <c r="R4400" s="84"/>
      <c r="S4400" s="185"/>
      <c r="T4400" s="185"/>
      <c r="U4400" s="185"/>
      <c r="V4400" s="185"/>
      <c r="W4400" s="185"/>
      <c r="X4400" s="185"/>
      <c r="Y4400" s="284"/>
      <c r="Z4400" s="284"/>
      <c r="AA4400" s="284"/>
      <c r="AB4400" s="284"/>
      <c r="AC4400" s="284"/>
      <c r="AD4400" s="284"/>
      <c r="AE4400" s="284"/>
      <c r="AF4400" s="284"/>
      <c r="AG4400" s="284"/>
      <c r="AH4400" s="284"/>
      <c r="AI4400" s="284"/>
      <c r="AJ4400" s="284"/>
      <c r="AK4400" s="284"/>
      <c r="AL4400" s="284"/>
    </row>
    <row r="4401" ht="15.75" customHeight="1">
      <c r="A4401" s="27"/>
      <c r="B4401" s="86"/>
      <c r="C4401" s="86"/>
      <c r="D4401" s="117"/>
      <c r="E4401" s="83"/>
      <c r="F4401" s="86"/>
      <c r="G4401" s="86"/>
      <c r="H4401" s="83"/>
      <c r="I4401" s="86"/>
      <c r="J4401" s="86"/>
      <c r="K4401" s="83"/>
      <c r="L4401" s="86"/>
      <c r="M4401" s="86"/>
      <c r="N4401" s="86"/>
      <c r="O4401" s="83"/>
      <c r="P4401" s="86"/>
      <c r="Q4401" s="86"/>
      <c r="R4401" s="84"/>
      <c r="S4401" s="185"/>
      <c r="T4401" s="185"/>
      <c r="U4401" s="185"/>
      <c r="V4401" s="185"/>
      <c r="W4401" s="185"/>
      <c r="X4401" s="185"/>
      <c r="Y4401" s="284"/>
      <c r="Z4401" s="284"/>
      <c r="AA4401" s="284"/>
      <c r="AB4401" s="284"/>
      <c r="AC4401" s="284"/>
      <c r="AD4401" s="284"/>
      <c r="AE4401" s="284"/>
      <c r="AF4401" s="284"/>
      <c r="AG4401" s="284"/>
      <c r="AH4401" s="284"/>
      <c r="AI4401" s="284"/>
      <c r="AJ4401" s="284"/>
      <c r="AK4401" s="284"/>
      <c r="AL4401" s="284"/>
    </row>
    <row r="4402" ht="15.75" customHeight="1">
      <c r="A4402" s="27"/>
      <c r="B4402" s="86"/>
      <c r="C4402" s="86"/>
      <c r="D4402" s="117"/>
      <c r="E4402" s="83"/>
      <c r="F4402" s="86"/>
      <c r="G4402" s="86"/>
      <c r="H4402" s="83"/>
      <c r="I4402" s="86"/>
      <c r="J4402" s="86"/>
      <c r="K4402" s="83"/>
      <c r="L4402" s="86"/>
      <c r="M4402" s="86"/>
      <c r="N4402" s="86"/>
      <c r="O4402" s="83"/>
      <c r="P4402" s="86"/>
      <c r="Q4402" s="86"/>
      <c r="R4402" s="84"/>
      <c r="S4402" s="185"/>
      <c r="T4402" s="185"/>
      <c r="U4402" s="185"/>
      <c r="V4402" s="185"/>
      <c r="W4402" s="185"/>
      <c r="X4402" s="185"/>
      <c r="Y4402" s="284"/>
      <c r="Z4402" s="284"/>
      <c r="AA4402" s="284"/>
      <c r="AB4402" s="284"/>
      <c r="AC4402" s="284"/>
      <c r="AD4402" s="284"/>
      <c r="AE4402" s="284"/>
      <c r="AF4402" s="284"/>
      <c r="AG4402" s="284"/>
      <c r="AH4402" s="284"/>
      <c r="AI4402" s="284"/>
      <c r="AJ4402" s="284"/>
      <c r="AK4402" s="284"/>
      <c r="AL4402" s="284"/>
    </row>
    <row r="4403" ht="15.75" customHeight="1">
      <c r="A4403" s="27"/>
      <c r="B4403" s="86"/>
      <c r="C4403" s="86"/>
      <c r="D4403" s="117"/>
      <c r="E4403" s="83"/>
      <c r="F4403" s="86"/>
      <c r="G4403" s="86"/>
      <c r="H4403" s="83"/>
      <c r="I4403" s="86"/>
      <c r="J4403" s="86"/>
      <c r="K4403" s="83"/>
      <c r="L4403" s="86"/>
      <c r="M4403" s="86"/>
      <c r="N4403" s="86"/>
      <c r="O4403" s="83"/>
      <c r="P4403" s="86"/>
      <c r="Q4403" s="86"/>
      <c r="R4403" s="84"/>
      <c r="S4403" s="185"/>
      <c r="T4403" s="185"/>
      <c r="U4403" s="185"/>
      <c r="V4403" s="185"/>
      <c r="W4403" s="185"/>
      <c r="X4403" s="185"/>
      <c r="Y4403" s="284"/>
      <c r="Z4403" s="284"/>
      <c r="AA4403" s="284"/>
      <c r="AB4403" s="284"/>
      <c r="AC4403" s="284"/>
      <c r="AD4403" s="284"/>
      <c r="AE4403" s="284"/>
      <c r="AF4403" s="284"/>
      <c r="AG4403" s="284"/>
      <c r="AH4403" s="284"/>
      <c r="AI4403" s="284"/>
      <c r="AJ4403" s="284"/>
      <c r="AK4403" s="284"/>
      <c r="AL4403" s="284"/>
    </row>
    <row r="4404" ht="15.75" customHeight="1">
      <c r="A4404" s="27"/>
      <c r="B4404" s="86"/>
      <c r="C4404" s="86"/>
      <c r="D4404" s="117"/>
      <c r="E4404" s="83"/>
      <c r="F4404" s="86"/>
      <c r="G4404" s="86"/>
      <c r="H4404" s="83"/>
      <c r="I4404" s="86"/>
      <c r="J4404" s="86"/>
      <c r="K4404" s="83"/>
      <c r="L4404" s="86"/>
      <c r="M4404" s="86"/>
      <c r="N4404" s="86"/>
      <c r="O4404" s="83"/>
      <c r="P4404" s="86"/>
      <c r="Q4404" s="86"/>
      <c r="R4404" s="84"/>
      <c r="S4404" s="185"/>
      <c r="T4404" s="185"/>
      <c r="U4404" s="185"/>
      <c r="V4404" s="185"/>
      <c r="W4404" s="185"/>
      <c r="X4404" s="185"/>
      <c r="Y4404" s="284"/>
      <c r="Z4404" s="284"/>
      <c r="AA4404" s="284"/>
      <c r="AB4404" s="284"/>
      <c r="AC4404" s="284"/>
      <c r="AD4404" s="284"/>
      <c r="AE4404" s="284"/>
      <c r="AF4404" s="284"/>
      <c r="AG4404" s="284"/>
      <c r="AH4404" s="284"/>
      <c r="AI4404" s="284"/>
      <c r="AJ4404" s="284"/>
      <c r="AK4404" s="284"/>
      <c r="AL4404" s="284"/>
    </row>
    <row r="4405" ht="15.75" customHeight="1">
      <c r="A4405" s="27"/>
      <c r="B4405" s="86"/>
      <c r="C4405" s="86"/>
      <c r="D4405" s="117"/>
      <c r="E4405" s="83"/>
      <c r="F4405" s="86"/>
      <c r="G4405" s="86"/>
      <c r="H4405" s="83"/>
      <c r="I4405" s="86"/>
      <c r="J4405" s="86"/>
      <c r="K4405" s="83"/>
      <c r="L4405" s="86"/>
      <c r="M4405" s="86"/>
      <c r="N4405" s="86"/>
      <c r="O4405" s="83"/>
      <c r="P4405" s="86"/>
      <c r="Q4405" s="86"/>
      <c r="R4405" s="84"/>
      <c r="S4405" s="185"/>
      <c r="T4405" s="185"/>
      <c r="U4405" s="185"/>
      <c r="V4405" s="185"/>
      <c r="W4405" s="185"/>
      <c r="X4405" s="185"/>
      <c r="Y4405" s="284"/>
      <c r="Z4405" s="284"/>
      <c r="AA4405" s="284"/>
      <c r="AB4405" s="284"/>
      <c r="AC4405" s="284"/>
      <c r="AD4405" s="284"/>
      <c r="AE4405" s="284"/>
      <c r="AF4405" s="284"/>
      <c r="AG4405" s="284"/>
      <c r="AH4405" s="284"/>
      <c r="AI4405" s="284"/>
      <c r="AJ4405" s="284"/>
      <c r="AK4405" s="284"/>
      <c r="AL4405" s="284"/>
    </row>
    <row r="4406" ht="15.75" customHeight="1">
      <c r="A4406" s="27"/>
      <c r="B4406" s="86"/>
      <c r="C4406" s="86"/>
      <c r="D4406" s="117"/>
      <c r="E4406" s="83"/>
      <c r="F4406" s="86"/>
      <c r="G4406" s="86"/>
      <c r="H4406" s="83"/>
      <c r="I4406" s="86"/>
      <c r="J4406" s="86"/>
      <c r="K4406" s="83"/>
      <c r="L4406" s="86"/>
      <c r="M4406" s="86"/>
      <c r="N4406" s="86"/>
      <c r="O4406" s="83"/>
      <c r="P4406" s="86"/>
      <c r="Q4406" s="86"/>
      <c r="R4406" s="84"/>
      <c r="S4406" s="185"/>
      <c r="T4406" s="185"/>
      <c r="U4406" s="185"/>
      <c r="V4406" s="185"/>
      <c r="W4406" s="185"/>
      <c r="X4406" s="185"/>
      <c r="Y4406" s="284"/>
      <c r="Z4406" s="284"/>
      <c r="AA4406" s="284"/>
      <c r="AB4406" s="284"/>
      <c r="AC4406" s="284"/>
      <c r="AD4406" s="284"/>
      <c r="AE4406" s="284"/>
      <c r="AF4406" s="284"/>
      <c r="AG4406" s="284"/>
      <c r="AH4406" s="284"/>
      <c r="AI4406" s="284"/>
      <c r="AJ4406" s="284"/>
      <c r="AK4406" s="284"/>
      <c r="AL4406" s="284"/>
    </row>
    <row r="4407" ht="15.75" customHeight="1">
      <c r="A4407" s="27"/>
      <c r="B4407" s="86"/>
      <c r="C4407" s="86"/>
      <c r="D4407" s="117"/>
      <c r="E4407" s="83"/>
      <c r="F4407" s="86"/>
      <c r="G4407" s="86"/>
      <c r="H4407" s="83"/>
      <c r="I4407" s="86"/>
      <c r="J4407" s="86"/>
      <c r="K4407" s="83"/>
      <c r="L4407" s="86"/>
      <c r="M4407" s="86"/>
      <c r="N4407" s="86"/>
      <c r="O4407" s="83"/>
      <c r="P4407" s="86"/>
      <c r="Q4407" s="86"/>
      <c r="R4407" s="84"/>
      <c r="S4407" s="185"/>
      <c r="T4407" s="185"/>
      <c r="U4407" s="185"/>
      <c r="V4407" s="185"/>
      <c r="W4407" s="185"/>
      <c r="X4407" s="185"/>
      <c r="Y4407" s="284"/>
      <c r="Z4407" s="284"/>
      <c r="AA4407" s="284"/>
      <c r="AB4407" s="284"/>
      <c r="AC4407" s="284"/>
      <c r="AD4407" s="284"/>
      <c r="AE4407" s="284"/>
      <c r="AF4407" s="284"/>
      <c r="AG4407" s="284"/>
      <c r="AH4407" s="284"/>
      <c r="AI4407" s="284"/>
      <c r="AJ4407" s="284"/>
      <c r="AK4407" s="284"/>
      <c r="AL4407" s="284"/>
    </row>
    <row r="4408" ht="15.75" customHeight="1">
      <c r="A4408" s="27"/>
      <c r="B4408" s="86"/>
      <c r="C4408" s="86"/>
      <c r="D4408" s="117"/>
      <c r="E4408" s="83"/>
      <c r="F4408" s="86"/>
      <c r="G4408" s="86"/>
      <c r="H4408" s="83"/>
      <c r="I4408" s="86"/>
      <c r="J4408" s="86"/>
      <c r="K4408" s="83"/>
      <c r="L4408" s="86"/>
      <c r="M4408" s="86"/>
      <c r="N4408" s="86"/>
      <c r="O4408" s="83"/>
      <c r="P4408" s="86"/>
      <c r="Q4408" s="86"/>
      <c r="R4408" s="84"/>
      <c r="S4408" s="185"/>
      <c r="T4408" s="185"/>
      <c r="U4408" s="185"/>
      <c r="V4408" s="185"/>
      <c r="W4408" s="185"/>
      <c r="X4408" s="185"/>
      <c r="Y4408" s="284"/>
      <c r="Z4408" s="284"/>
      <c r="AA4408" s="284"/>
      <c r="AB4408" s="284"/>
      <c r="AC4408" s="284"/>
      <c r="AD4408" s="284"/>
      <c r="AE4408" s="284"/>
      <c r="AF4408" s="284"/>
      <c r="AG4408" s="284"/>
      <c r="AH4408" s="284"/>
      <c r="AI4408" s="284"/>
      <c r="AJ4408" s="284"/>
      <c r="AK4408" s="284"/>
      <c r="AL4408" s="284"/>
    </row>
    <row r="4409" ht="15.75" customHeight="1">
      <c r="A4409" s="27"/>
      <c r="B4409" s="86"/>
      <c r="C4409" s="86"/>
      <c r="D4409" s="117"/>
      <c r="E4409" s="83"/>
      <c r="F4409" s="86"/>
      <c r="G4409" s="86"/>
      <c r="H4409" s="83"/>
      <c r="I4409" s="86"/>
      <c r="J4409" s="86"/>
      <c r="K4409" s="83"/>
      <c r="L4409" s="86"/>
      <c r="M4409" s="86"/>
      <c r="N4409" s="86"/>
      <c r="O4409" s="83"/>
      <c r="P4409" s="86"/>
      <c r="Q4409" s="86"/>
      <c r="R4409" s="84"/>
      <c r="S4409" s="185"/>
      <c r="T4409" s="185"/>
      <c r="U4409" s="185"/>
      <c r="V4409" s="185"/>
      <c r="W4409" s="185"/>
      <c r="X4409" s="185"/>
      <c r="Y4409" s="284"/>
      <c r="Z4409" s="284"/>
      <c r="AA4409" s="284"/>
      <c r="AB4409" s="284"/>
      <c r="AC4409" s="284"/>
      <c r="AD4409" s="284"/>
      <c r="AE4409" s="284"/>
      <c r="AF4409" s="284"/>
      <c r="AG4409" s="284"/>
      <c r="AH4409" s="284"/>
      <c r="AI4409" s="284"/>
      <c r="AJ4409" s="284"/>
      <c r="AK4409" s="284"/>
      <c r="AL4409" s="284"/>
    </row>
    <row r="4410" ht="15.75" customHeight="1">
      <c r="A4410" s="27"/>
      <c r="B4410" s="86"/>
      <c r="C4410" s="86"/>
      <c r="D4410" s="117"/>
      <c r="E4410" s="83"/>
      <c r="F4410" s="86"/>
      <c r="G4410" s="86"/>
      <c r="H4410" s="83"/>
      <c r="I4410" s="86"/>
      <c r="J4410" s="86"/>
      <c r="K4410" s="83"/>
      <c r="L4410" s="86"/>
      <c r="M4410" s="86"/>
      <c r="N4410" s="86"/>
      <c r="O4410" s="83"/>
      <c r="P4410" s="86"/>
      <c r="Q4410" s="86"/>
      <c r="R4410" s="84"/>
      <c r="S4410" s="185"/>
      <c r="T4410" s="185"/>
      <c r="U4410" s="185"/>
      <c r="V4410" s="185"/>
      <c r="W4410" s="185"/>
      <c r="X4410" s="185"/>
      <c r="Y4410" s="284"/>
      <c r="Z4410" s="284"/>
      <c r="AA4410" s="284"/>
      <c r="AB4410" s="284"/>
      <c r="AC4410" s="284"/>
      <c r="AD4410" s="284"/>
      <c r="AE4410" s="284"/>
      <c r="AF4410" s="284"/>
      <c r="AG4410" s="284"/>
      <c r="AH4410" s="284"/>
      <c r="AI4410" s="284"/>
      <c r="AJ4410" s="284"/>
      <c r="AK4410" s="284"/>
      <c r="AL4410" s="284"/>
    </row>
    <row r="4411" ht="15.75" customHeight="1">
      <c r="A4411" s="27"/>
      <c r="B4411" s="86"/>
      <c r="C4411" s="86"/>
      <c r="D4411" s="117"/>
      <c r="E4411" s="83"/>
      <c r="F4411" s="86"/>
      <c r="G4411" s="86"/>
      <c r="H4411" s="83"/>
      <c r="I4411" s="86"/>
      <c r="J4411" s="86"/>
      <c r="K4411" s="83"/>
      <c r="L4411" s="86"/>
      <c r="M4411" s="86"/>
      <c r="N4411" s="86"/>
      <c r="O4411" s="83"/>
      <c r="P4411" s="86"/>
      <c r="Q4411" s="86"/>
      <c r="R4411" s="84"/>
      <c r="S4411" s="185"/>
      <c r="T4411" s="185"/>
      <c r="U4411" s="185"/>
      <c r="V4411" s="185"/>
      <c r="W4411" s="185"/>
      <c r="X4411" s="185"/>
      <c r="Y4411" s="284"/>
      <c r="Z4411" s="284"/>
      <c r="AA4411" s="284"/>
      <c r="AB4411" s="284"/>
      <c r="AC4411" s="284"/>
      <c r="AD4411" s="284"/>
      <c r="AE4411" s="284"/>
      <c r="AF4411" s="284"/>
      <c r="AG4411" s="284"/>
      <c r="AH4411" s="284"/>
      <c r="AI4411" s="284"/>
      <c r="AJ4411" s="284"/>
      <c r="AK4411" s="284"/>
      <c r="AL4411" s="284"/>
    </row>
    <row r="4412" ht="15.75" customHeight="1">
      <c r="A4412" s="27"/>
      <c r="B4412" s="86"/>
      <c r="C4412" s="86"/>
      <c r="D4412" s="117"/>
      <c r="E4412" s="83"/>
      <c r="F4412" s="86"/>
      <c r="G4412" s="86"/>
      <c r="H4412" s="83"/>
      <c r="I4412" s="86"/>
      <c r="J4412" s="86"/>
      <c r="K4412" s="83"/>
      <c r="L4412" s="86"/>
      <c r="M4412" s="86"/>
      <c r="N4412" s="86"/>
      <c r="O4412" s="83"/>
      <c r="P4412" s="86"/>
      <c r="Q4412" s="86"/>
      <c r="R4412" s="84"/>
      <c r="S4412" s="185"/>
      <c r="T4412" s="185"/>
      <c r="U4412" s="185"/>
      <c r="V4412" s="185"/>
      <c r="W4412" s="185"/>
      <c r="X4412" s="185"/>
      <c r="Y4412" s="284"/>
      <c r="Z4412" s="284"/>
      <c r="AA4412" s="284"/>
      <c r="AB4412" s="284"/>
      <c r="AC4412" s="284"/>
      <c r="AD4412" s="284"/>
      <c r="AE4412" s="284"/>
      <c r="AF4412" s="284"/>
      <c r="AG4412" s="284"/>
      <c r="AH4412" s="284"/>
      <c r="AI4412" s="284"/>
      <c r="AJ4412" s="284"/>
      <c r="AK4412" s="284"/>
      <c r="AL4412" s="284"/>
    </row>
    <row r="4413" ht="15.75" customHeight="1">
      <c r="A4413" s="27"/>
      <c r="B4413" s="86"/>
      <c r="C4413" s="86"/>
      <c r="D4413" s="117"/>
      <c r="E4413" s="83"/>
      <c r="F4413" s="86"/>
      <c r="G4413" s="86"/>
      <c r="H4413" s="83"/>
      <c r="I4413" s="86"/>
      <c r="J4413" s="86"/>
      <c r="K4413" s="83"/>
      <c r="L4413" s="86"/>
      <c r="M4413" s="86"/>
      <c r="N4413" s="86"/>
      <c r="O4413" s="83"/>
      <c r="P4413" s="86"/>
      <c r="Q4413" s="86"/>
      <c r="R4413" s="84"/>
      <c r="S4413" s="185"/>
      <c r="T4413" s="185"/>
      <c r="U4413" s="185"/>
      <c r="V4413" s="185"/>
      <c r="W4413" s="185"/>
      <c r="X4413" s="185"/>
      <c r="Y4413" s="284"/>
      <c r="Z4413" s="284"/>
      <c r="AA4413" s="284"/>
      <c r="AB4413" s="284"/>
      <c r="AC4413" s="284"/>
      <c r="AD4413" s="284"/>
      <c r="AE4413" s="284"/>
      <c r="AF4413" s="284"/>
      <c r="AG4413" s="284"/>
      <c r="AH4413" s="284"/>
      <c r="AI4413" s="284"/>
      <c r="AJ4413" s="284"/>
      <c r="AK4413" s="284"/>
      <c r="AL4413" s="284"/>
    </row>
    <row r="4414" ht="15.75" customHeight="1">
      <c r="A4414" s="27"/>
      <c r="B4414" s="86"/>
      <c r="C4414" s="86"/>
      <c r="D4414" s="117"/>
      <c r="E4414" s="83"/>
      <c r="F4414" s="86"/>
      <c r="G4414" s="86"/>
      <c r="H4414" s="83"/>
      <c r="I4414" s="86"/>
      <c r="J4414" s="86"/>
      <c r="K4414" s="83"/>
      <c r="L4414" s="86"/>
      <c r="M4414" s="86"/>
      <c r="N4414" s="86"/>
      <c r="O4414" s="83"/>
      <c r="P4414" s="86"/>
      <c r="Q4414" s="86"/>
      <c r="R4414" s="84"/>
      <c r="S4414" s="185"/>
      <c r="T4414" s="185"/>
      <c r="U4414" s="185"/>
      <c r="V4414" s="185"/>
      <c r="W4414" s="185"/>
      <c r="X4414" s="185"/>
      <c r="Y4414" s="284"/>
      <c r="Z4414" s="284"/>
      <c r="AA4414" s="284"/>
      <c r="AB4414" s="284"/>
      <c r="AC4414" s="284"/>
      <c r="AD4414" s="284"/>
      <c r="AE4414" s="284"/>
      <c r="AF4414" s="284"/>
      <c r="AG4414" s="284"/>
      <c r="AH4414" s="284"/>
      <c r="AI4414" s="284"/>
      <c r="AJ4414" s="284"/>
      <c r="AK4414" s="284"/>
      <c r="AL4414" s="284"/>
    </row>
    <row r="4415" ht="15.75" customHeight="1">
      <c r="A4415" s="27"/>
      <c r="B4415" s="86"/>
      <c r="C4415" s="86"/>
      <c r="D4415" s="117"/>
      <c r="E4415" s="83"/>
      <c r="F4415" s="86"/>
      <c r="G4415" s="86"/>
      <c r="H4415" s="83"/>
      <c r="I4415" s="86"/>
      <c r="J4415" s="86"/>
      <c r="K4415" s="83"/>
      <c r="L4415" s="86"/>
      <c r="M4415" s="86"/>
      <c r="N4415" s="86"/>
      <c r="O4415" s="83"/>
      <c r="P4415" s="86"/>
      <c r="Q4415" s="86"/>
      <c r="R4415" s="84"/>
      <c r="S4415" s="185"/>
      <c r="T4415" s="185"/>
      <c r="U4415" s="185"/>
      <c r="V4415" s="185"/>
      <c r="W4415" s="185"/>
      <c r="X4415" s="185"/>
      <c r="Y4415" s="284"/>
      <c r="Z4415" s="284"/>
      <c r="AA4415" s="284"/>
      <c r="AB4415" s="284"/>
      <c r="AC4415" s="284"/>
      <c r="AD4415" s="284"/>
      <c r="AE4415" s="284"/>
      <c r="AF4415" s="284"/>
      <c r="AG4415" s="284"/>
      <c r="AH4415" s="284"/>
      <c r="AI4415" s="284"/>
      <c r="AJ4415" s="284"/>
      <c r="AK4415" s="284"/>
      <c r="AL4415" s="284"/>
    </row>
    <row r="4416" ht="15.75" customHeight="1">
      <c r="A4416" s="27"/>
      <c r="B4416" s="86"/>
      <c r="C4416" s="86"/>
      <c r="D4416" s="117"/>
      <c r="E4416" s="83"/>
      <c r="F4416" s="86"/>
      <c r="G4416" s="86"/>
      <c r="H4416" s="83"/>
      <c r="I4416" s="86"/>
      <c r="J4416" s="86"/>
      <c r="K4416" s="83"/>
      <c r="L4416" s="86"/>
      <c r="M4416" s="86"/>
      <c r="N4416" s="86"/>
      <c r="O4416" s="83"/>
      <c r="P4416" s="86"/>
      <c r="Q4416" s="86"/>
      <c r="R4416" s="84"/>
      <c r="S4416" s="185"/>
      <c r="T4416" s="185"/>
      <c r="U4416" s="185"/>
      <c r="V4416" s="185"/>
      <c r="W4416" s="185"/>
      <c r="X4416" s="185"/>
      <c r="Y4416" s="284"/>
      <c r="Z4416" s="284"/>
      <c r="AA4416" s="284"/>
      <c r="AB4416" s="284"/>
      <c r="AC4416" s="284"/>
      <c r="AD4416" s="284"/>
      <c r="AE4416" s="284"/>
      <c r="AF4416" s="284"/>
      <c r="AG4416" s="284"/>
      <c r="AH4416" s="284"/>
      <c r="AI4416" s="284"/>
      <c r="AJ4416" s="284"/>
      <c r="AK4416" s="284"/>
      <c r="AL4416" s="284"/>
    </row>
    <row r="4417" ht="15.75" customHeight="1">
      <c r="A4417" s="27"/>
      <c r="B4417" s="86"/>
      <c r="C4417" s="86"/>
      <c r="D4417" s="117"/>
      <c r="E4417" s="83"/>
      <c r="F4417" s="86"/>
      <c r="G4417" s="86"/>
      <c r="H4417" s="83"/>
      <c r="I4417" s="86"/>
      <c r="J4417" s="86"/>
      <c r="K4417" s="83"/>
      <c r="L4417" s="86"/>
      <c r="M4417" s="86"/>
      <c r="N4417" s="86"/>
      <c r="O4417" s="83"/>
      <c r="P4417" s="86"/>
      <c r="Q4417" s="86"/>
      <c r="R4417" s="84"/>
      <c r="S4417" s="185"/>
      <c r="T4417" s="185"/>
      <c r="U4417" s="185"/>
      <c r="V4417" s="185"/>
      <c r="W4417" s="185"/>
      <c r="X4417" s="185"/>
      <c r="Y4417" s="284"/>
      <c r="Z4417" s="284"/>
      <c r="AA4417" s="284"/>
      <c r="AB4417" s="284"/>
      <c r="AC4417" s="284"/>
      <c r="AD4417" s="284"/>
      <c r="AE4417" s="284"/>
      <c r="AF4417" s="284"/>
      <c r="AG4417" s="284"/>
      <c r="AH4417" s="284"/>
      <c r="AI4417" s="284"/>
      <c r="AJ4417" s="284"/>
      <c r="AK4417" s="284"/>
      <c r="AL4417" s="284"/>
    </row>
    <row r="4418" ht="15.75" customHeight="1">
      <c r="A4418" s="27"/>
      <c r="B4418" s="86"/>
      <c r="C4418" s="86"/>
      <c r="D4418" s="117"/>
      <c r="E4418" s="83"/>
      <c r="F4418" s="86"/>
      <c r="G4418" s="86"/>
      <c r="H4418" s="83"/>
      <c r="I4418" s="86"/>
      <c r="J4418" s="86"/>
      <c r="K4418" s="83"/>
      <c r="L4418" s="86"/>
      <c r="M4418" s="86"/>
      <c r="N4418" s="86"/>
      <c r="O4418" s="83"/>
      <c r="P4418" s="86"/>
      <c r="Q4418" s="86"/>
      <c r="R4418" s="84"/>
      <c r="S4418" s="185"/>
      <c r="T4418" s="185"/>
      <c r="U4418" s="185"/>
      <c r="V4418" s="185"/>
      <c r="W4418" s="185"/>
      <c r="X4418" s="185"/>
      <c r="Y4418" s="284"/>
      <c r="Z4418" s="284"/>
      <c r="AA4418" s="284"/>
      <c r="AB4418" s="284"/>
      <c r="AC4418" s="284"/>
      <c r="AD4418" s="284"/>
      <c r="AE4418" s="284"/>
      <c r="AF4418" s="284"/>
      <c r="AG4418" s="284"/>
      <c r="AH4418" s="284"/>
      <c r="AI4418" s="284"/>
      <c r="AJ4418" s="284"/>
      <c r="AK4418" s="284"/>
      <c r="AL4418" s="284"/>
    </row>
    <row r="4419" ht="15.75" customHeight="1">
      <c r="A4419" s="27"/>
      <c r="B4419" s="86"/>
      <c r="C4419" s="86"/>
      <c r="D4419" s="117"/>
      <c r="E4419" s="83"/>
      <c r="F4419" s="86"/>
      <c r="G4419" s="86"/>
      <c r="H4419" s="83"/>
      <c r="I4419" s="86"/>
      <c r="J4419" s="86"/>
      <c r="K4419" s="83"/>
      <c r="L4419" s="86"/>
      <c r="M4419" s="86"/>
      <c r="N4419" s="86"/>
      <c r="O4419" s="83"/>
      <c r="P4419" s="86"/>
      <c r="Q4419" s="86"/>
      <c r="R4419" s="84"/>
      <c r="S4419" s="185"/>
      <c r="T4419" s="185"/>
      <c r="U4419" s="185"/>
      <c r="V4419" s="185"/>
      <c r="W4419" s="185"/>
      <c r="X4419" s="185"/>
      <c r="Y4419" s="284"/>
      <c r="Z4419" s="284"/>
      <c r="AA4419" s="284"/>
      <c r="AB4419" s="284"/>
      <c r="AC4419" s="284"/>
      <c r="AD4419" s="284"/>
      <c r="AE4419" s="284"/>
      <c r="AF4419" s="284"/>
      <c r="AG4419" s="284"/>
      <c r="AH4419" s="284"/>
      <c r="AI4419" s="284"/>
      <c r="AJ4419" s="284"/>
      <c r="AK4419" s="284"/>
      <c r="AL4419" s="284"/>
    </row>
    <row r="4420" ht="15.75" customHeight="1">
      <c r="A4420" s="27"/>
      <c r="B4420" s="86"/>
      <c r="C4420" s="86"/>
      <c r="D4420" s="117"/>
      <c r="E4420" s="83"/>
      <c r="F4420" s="86"/>
      <c r="G4420" s="86"/>
      <c r="H4420" s="83"/>
      <c r="I4420" s="86"/>
      <c r="J4420" s="86"/>
      <c r="K4420" s="83"/>
      <c r="L4420" s="86"/>
      <c r="M4420" s="86"/>
      <c r="N4420" s="86"/>
      <c r="O4420" s="83"/>
      <c r="P4420" s="86"/>
      <c r="Q4420" s="86"/>
      <c r="R4420" s="84"/>
      <c r="S4420" s="185"/>
      <c r="T4420" s="185"/>
      <c r="U4420" s="185"/>
      <c r="V4420" s="185"/>
      <c r="W4420" s="185"/>
      <c r="X4420" s="185"/>
      <c r="Y4420" s="284"/>
      <c r="Z4420" s="284"/>
      <c r="AA4420" s="284"/>
      <c r="AB4420" s="284"/>
      <c r="AC4420" s="284"/>
      <c r="AD4420" s="284"/>
      <c r="AE4420" s="284"/>
      <c r="AF4420" s="284"/>
      <c r="AG4420" s="284"/>
      <c r="AH4420" s="284"/>
      <c r="AI4420" s="284"/>
      <c r="AJ4420" s="284"/>
      <c r="AK4420" s="284"/>
      <c r="AL4420" s="284"/>
    </row>
    <row r="4421" ht="15.75" customHeight="1">
      <c r="A4421" s="27"/>
      <c r="B4421" s="86"/>
      <c r="C4421" s="86"/>
      <c r="D4421" s="117"/>
      <c r="E4421" s="83"/>
      <c r="F4421" s="86"/>
      <c r="G4421" s="86"/>
      <c r="H4421" s="83"/>
      <c r="I4421" s="86"/>
      <c r="J4421" s="86"/>
      <c r="K4421" s="83"/>
      <c r="L4421" s="86"/>
      <c r="M4421" s="86"/>
      <c r="N4421" s="86"/>
      <c r="O4421" s="83"/>
      <c r="P4421" s="86"/>
      <c r="Q4421" s="86"/>
      <c r="R4421" s="84"/>
      <c r="S4421" s="185"/>
      <c r="T4421" s="185"/>
      <c r="U4421" s="185"/>
      <c r="V4421" s="185"/>
      <c r="W4421" s="185"/>
      <c r="X4421" s="185"/>
      <c r="Y4421" s="284"/>
      <c r="Z4421" s="284"/>
      <c r="AA4421" s="284"/>
      <c r="AB4421" s="284"/>
      <c r="AC4421" s="284"/>
      <c r="AD4421" s="284"/>
      <c r="AE4421" s="284"/>
      <c r="AF4421" s="284"/>
      <c r="AG4421" s="284"/>
      <c r="AH4421" s="284"/>
      <c r="AI4421" s="284"/>
      <c r="AJ4421" s="284"/>
      <c r="AK4421" s="284"/>
      <c r="AL4421" s="284"/>
    </row>
    <row r="4422" ht="15.75" customHeight="1">
      <c r="A4422" s="27"/>
      <c r="B4422" s="86"/>
      <c r="C4422" s="86"/>
      <c r="D4422" s="117"/>
      <c r="E4422" s="83"/>
      <c r="F4422" s="86"/>
      <c r="G4422" s="86"/>
      <c r="H4422" s="83"/>
      <c r="I4422" s="86"/>
      <c r="J4422" s="86"/>
      <c r="K4422" s="83"/>
      <c r="L4422" s="86"/>
      <c r="M4422" s="86"/>
      <c r="N4422" s="86"/>
      <c r="O4422" s="83"/>
      <c r="P4422" s="86"/>
      <c r="Q4422" s="86"/>
      <c r="R4422" s="84"/>
      <c r="S4422" s="185"/>
      <c r="T4422" s="185"/>
      <c r="U4422" s="185"/>
      <c r="V4422" s="185"/>
      <c r="W4422" s="185"/>
      <c r="X4422" s="185"/>
      <c r="Y4422" s="284"/>
      <c r="Z4422" s="284"/>
      <c r="AA4422" s="284"/>
      <c r="AB4422" s="284"/>
      <c r="AC4422" s="284"/>
      <c r="AD4422" s="284"/>
      <c r="AE4422" s="284"/>
      <c r="AF4422" s="284"/>
      <c r="AG4422" s="284"/>
      <c r="AH4422" s="284"/>
      <c r="AI4422" s="284"/>
      <c r="AJ4422" s="284"/>
      <c r="AK4422" s="284"/>
      <c r="AL4422" s="284"/>
    </row>
    <row r="4423" ht="15.75" customHeight="1">
      <c r="A4423" s="27"/>
      <c r="B4423" s="86"/>
      <c r="C4423" s="86"/>
      <c r="D4423" s="117"/>
      <c r="E4423" s="83"/>
      <c r="F4423" s="86"/>
      <c r="G4423" s="86"/>
      <c r="H4423" s="83"/>
      <c r="I4423" s="86"/>
      <c r="J4423" s="86"/>
      <c r="K4423" s="83"/>
      <c r="L4423" s="86"/>
      <c r="M4423" s="86"/>
      <c r="N4423" s="86"/>
      <c r="O4423" s="83"/>
      <c r="P4423" s="86"/>
      <c r="Q4423" s="86"/>
      <c r="R4423" s="84"/>
      <c r="S4423" s="185"/>
      <c r="T4423" s="185"/>
      <c r="U4423" s="185"/>
      <c r="V4423" s="185"/>
      <c r="W4423" s="185"/>
      <c r="X4423" s="185"/>
      <c r="Y4423" s="284"/>
      <c r="Z4423" s="284"/>
      <c r="AA4423" s="284"/>
      <c r="AB4423" s="284"/>
      <c r="AC4423" s="284"/>
      <c r="AD4423" s="284"/>
      <c r="AE4423" s="284"/>
      <c r="AF4423" s="284"/>
      <c r="AG4423" s="284"/>
      <c r="AH4423" s="284"/>
      <c r="AI4423" s="284"/>
      <c r="AJ4423" s="284"/>
      <c r="AK4423" s="284"/>
      <c r="AL4423" s="284"/>
    </row>
    <row r="4424" ht="15.75" customHeight="1">
      <c r="A4424" s="27"/>
      <c r="B4424" s="86"/>
      <c r="C4424" s="86"/>
      <c r="D4424" s="117"/>
      <c r="E4424" s="83"/>
      <c r="F4424" s="86"/>
      <c r="G4424" s="86"/>
      <c r="H4424" s="83"/>
      <c r="I4424" s="86"/>
      <c r="J4424" s="86"/>
      <c r="K4424" s="83"/>
      <c r="L4424" s="86"/>
      <c r="M4424" s="86"/>
      <c r="N4424" s="86"/>
      <c r="O4424" s="83"/>
      <c r="P4424" s="86"/>
      <c r="Q4424" s="86"/>
      <c r="R4424" s="84"/>
      <c r="S4424" s="185"/>
      <c r="T4424" s="185"/>
      <c r="U4424" s="185"/>
      <c r="V4424" s="185"/>
      <c r="W4424" s="185"/>
      <c r="X4424" s="185"/>
      <c r="Y4424" s="284"/>
      <c r="Z4424" s="284"/>
      <c r="AA4424" s="284"/>
      <c r="AB4424" s="284"/>
      <c r="AC4424" s="284"/>
      <c r="AD4424" s="284"/>
      <c r="AE4424" s="284"/>
      <c r="AF4424" s="284"/>
      <c r="AG4424" s="284"/>
      <c r="AH4424" s="284"/>
      <c r="AI4424" s="284"/>
      <c r="AJ4424" s="284"/>
      <c r="AK4424" s="284"/>
      <c r="AL4424" s="284"/>
    </row>
    <row r="4425" ht="15.75" customHeight="1">
      <c r="A4425" s="27"/>
      <c r="B4425" s="86"/>
      <c r="C4425" s="86"/>
      <c r="D4425" s="117"/>
      <c r="E4425" s="83"/>
      <c r="F4425" s="86"/>
      <c r="G4425" s="86"/>
      <c r="H4425" s="83"/>
      <c r="I4425" s="86"/>
      <c r="J4425" s="86"/>
      <c r="K4425" s="83"/>
      <c r="L4425" s="86"/>
      <c r="M4425" s="86"/>
      <c r="N4425" s="86"/>
      <c r="O4425" s="83"/>
      <c r="P4425" s="86"/>
      <c r="Q4425" s="86"/>
      <c r="R4425" s="84"/>
      <c r="S4425" s="185"/>
      <c r="T4425" s="185"/>
      <c r="U4425" s="185"/>
      <c r="V4425" s="185"/>
      <c r="W4425" s="185"/>
      <c r="X4425" s="185"/>
      <c r="Y4425" s="284"/>
      <c r="Z4425" s="284"/>
      <c r="AA4425" s="284"/>
      <c r="AB4425" s="284"/>
      <c r="AC4425" s="284"/>
      <c r="AD4425" s="284"/>
      <c r="AE4425" s="284"/>
      <c r="AF4425" s="284"/>
      <c r="AG4425" s="284"/>
      <c r="AH4425" s="284"/>
      <c r="AI4425" s="284"/>
      <c r="AJ4425" s="284"/>
      <c r="AK4425" s="284"/>
      <c r="AL4425" s="284"/>
    </row>
    <row r="4426" ht="15.75" customHeight="1">
      <c r="A4426" s="27"/>
      <c r="B4426" s="86"/>
      <c r="C4426" s="86"/>
      <c r="D4426" s="117"/>
      <c r="E4426" s="83"/>
      <c r="F4426" s="86"/>
      <c r="G4426" s="86"/>
      <c r="H4426" s="83"/>
      <c r="I4426" s="86"/>
      <c r="J4426" s="86"/>
      <c r="K4426" s="83"/>
      <c r="L4426" s="86"/>
      <c r="M4426" s="86"/>
      <c r="N4426" s="86"/>
      <c r="O4426" s="83"/>
      <c r="P4426" s="86"/>
      <c r="Q4426" s="86"/>
      <c r="R4426" s="84"/>
      <c r="S4426" s="185"/>
      <c r="T4426" s="185"/>
      <c r="U4426" s="185"/>
      <c r="V4426" s="185"/>
      <c r="W4426" s="185"/>
      <c r="X4426" s="185"/>
      <c r="Y4426" s="284"/>
      <c r="Z4426" s="284"/>
      <c r="AA4426" s="284"/>
      <c r="AB4426" s="284"/>
      <c r="AC4426" s="284"/>
      <c r="AD4426" s="284"/>
      <c r="AE4426" s="284"/>
      <c r="AF4426" s="284"/>
      <c r="AG4426" s="284"/>
      <c r="AH4426" s="284"/>
      <c r="AI4426" s="284"/>
      <c r="AJ4426" s="284"/>
      <c r="AK4426" s="284"/>
      <c r="AL4426" s="284"/>
    </row>
    <row r="4427" ht="15.75" customHeight="1">
      <c r="A4427" s="27"/>
      <c r="B4427" s="86"/>
      <c r="C4427" s="86"/>
      <c r="D4427" s="117"/>
      <c r="E4427" s="83"/>
      <c r="F4427" s="86"/>
      <c r="G4427" s="86"/>
      <c r="H4427" s="83"/>
      <c r="I4427" s="86"/>
      <c r="J4427" s="86"/>
      <c r="K4427" s="83"/>
      <c r="L4427" s="86"/>
      <c r="M4427" s="86"/>
      <c r="N4427" s="86"/>
      <c r="O4427" s="83"/>
      <c r="P4427" s="86"/>
      <c r="Q4427" s="86"/>
      <c r="R4427" s="84"/>
      <c r="S4427" s="185"/>
      <c r="T4427" s="185"/>
      <c r="U4427" s="185"/>
      <c r="V4427" s="185"/>
      <c r="W4427" s="185"/>
      <c r="X4427" s="185"/>
      <c r="Y4427" s="284"/>
      <c r="Z4427" s="284"/>
      <c r="AA4427" s="284"/>
      <c r="AB4427" s="284"/>
      <c r="AC4427" s="284"/>
      <c r="AD4427" s="284"/>
      <c r="AE4427" s="284"/>
      <c r="AF4427" s="284"/>
      <c r="AG4427" s="284"/>
      <c r="AH4427" s="284"/>
      <c r="AI4427" s="284"/>
      <c r="AJ4427" s="284"/>
      <c r="AK4427" s="284"/>
      <c r="AL4427" s="284"/>
    </row>
    <row r="4428" ht="15.75" customHeight="1">
      <c r="A4428" s="27"/>
      <c r="B4428" s="86"/>
      <c r="C4428" s="86"/>
      <c r="D4428" s="117"/>
      <c r="E4428" s="83"/>
      <c r="F4428" s="86"/>
      <c r="G4428" s="86"/>
      <c r="H4428" s="83"/>
      <c r="I4428" s="86"/>
      <c r="J4428" s="86"/>
      <c r="K4428" s="83"/>
      <c r="L4428" s="86"/>
      <c r="M4428" s="86"/>
      <c r="N4428" s="86"/>
      <c r="O4428" s="83"/>
      <c r="P4428" s="86"/>
      <c r="Q4428" s="86"/>
      <c r="R4428" s="84"/>
      <c r="S4428" s="185"/>
      <c r="T4428" s="185"/>
      <c r="U4428" s="185"/>
      <c r="V4428" s="185"/>
      <c r="W4428" s="185"/>
      <c r="X4428" s="185"/>
      <c r="Y4428" s="284"/>
      <c r="Z4428" s="284"/>
      <c r="AA4428" s="284"/>
      <c r="AB4428" s="284"/>
      <c r="AC4428" s="284"/>
      <c r="AD4428" s="284"/>
      <c r="AE4428" s="284"/>
      <c r="AF4428" s="284"/>
      <c r="AG4428" s="284"/>
      <c r="AH4428" s="284"/>
      <c r="AI4428" s="284"/>
      <c r="AJ4428" s="284"/>
      <c r="AK4428" s="284"/>
      <c r="AL4428" s="284"/>
    </row>
    <row r="4429" ht="15.75" customHeight="1">
      <c r="A4429" s="27"/>
      <c r="B4429" s="86"/>
      <c r="C4429" s="86"/>
      <c r="D4429" s="117"/>
      <c r="E4429" s="83"/>
      <c r="F4429" s="86"/>
      <c r="G4429" s="86"/>
      <c r="H4429" s="83"/>
      <c r="I4429" s="86"/>
      <c r="J4429" s="86"/>
      <c r="K4429" s="83"/>
      <c r="L4429" s="86"/>
      <c r="M4429" s="86"/>
      <c r="N4429" s="86"/>
      <c r="O4429" s="83"/>
      <c r="P4429" s="86"/>
      <c r="Q4429" s="86"/>
      <c r="R4429" s="84"/>
      <c r="S4429" s="185"/>
      <c r="T4429" s="185"/>
      <c r="U4429" s="185"/>
      <c r="V4429" s="185"/>
      <c r="W4429" s="185"/>
      <c r="X4429" s="185"/>
      <c r="Y4429" s="284"/>
      <c r="Z4429" s="284"/>
      <c r="AA4429" s="284"/>
      <c r="AB4429" s="284"/>
      <c r="AC4429" s="284"/>
      <c r="AD4429" s="284"/>
      <c r="AE4429" s="284"/>
      <c r="AF4429" s="284"/>
      <c r="AG4429" s="284"/>
      <c r="AH4429" s="284"/>
      <c r="AI4429" s="284"/>
      <c r="AJ4429" s="284"/>
      <c r="AK4429" s="284"/>
      <c r="AL4429" s="284"/>
    </row>
    <row r="4430" ht="15.75" customHeight="1">
      <c r="A4430" s="27"/>
      <c r="B4430" s="86"/>
      <c r="C4430" s="86"/>
      <c r="D4430" s="117"/>
      <c r="E4430" s="83"/>
      <c r="F4430" s="86"/>
      <c r="G4430" s="86"/>
      <c r="H4430" s="83"/>
      <c r="I4430" s="86"/>
      <c r="J4430" s="86"/>
      <c r="K4430" s="83"/>
      <c r="L4430" s="86"/>
      <c r="M4430" s="86"/>
      <c r="N4430" s="86"/>
      <c r="O4430" s="83"/>
      <c r="P4430" s="86"/>
      <c r="Q4430" s="86"/>
      <c r="R4430" s="84"/>
      <c r="S4430" s="185"/>
      <c r="T4430" s="185"/>
      <c r="U4430" s="185"/>
      <c r="V4430" s="185"/>
      <c r="W4430" s="185"/>
      <c r="X4430" s="185"/>
      <c r="Y4430" s="284"/>
      <c r="Z4430" s="284"/>
      <c r="AA4430" s="284"/>
      <c r="AB4430" s="284"/>
      <c r="AC4430" s="284"/>
      <c r="AD4430" s="284"/>
      <c r="AE4430" s="284"/>
      <c r="AF4430" s="284"/>
      <c r="AG4430" s="284"/>
      <c r="AH4430" s="284"/>
      <c r="AI4430" s="284"/>
      <c r="AJ4430" s="284"/>
      <c r="AK4430" s="284"/>
      <c r="AL4430" s="284"/>
    </row>
    <row r="4431" ht="15.75" customHeight="1">
      <c r="A4431" s="27"/>
      <c r="B4431" s="86"/>
      <c r="C4431" s="86"/>
      <c r="D4431" s="117"/>
      <c r="E4431" s="83"/>
      <c r="F4431" s="86"/>
      <c r="G4431" s="86"/>
      <c r="H4431" s="83"/>
      <c r="I4431" s="86"/>
      <c r="J4431" s="86"/>
      <c r="K4431" s="83"/>
      <c r="L4431" s="86"/>
      <c r="M4431" s="86"/>
      <c r="N4431" s="86"/>
      <c r="O4431" s="83"/>
      <c r="P4431" s="86"/>
      <c r="Q4431" s="86"/>
      <c r="R4431" s="84"/>
      <c r="S4431" s="185"/>
      <c r="T4431" s="185"/>
      <c r="U4431" s="185"/>
      <c r="V4431" s="185"/>
      <c r="W4431" s="185"/>
      <c r="X4431" s="185"/>
      <c r="Y4431" s="284"/>
      <c r="Z4431" s="284"/>
      <c r="AA4431" s="284"/>
      <c r="AB4431" s="284"/>
      <c r="AC4431" s="284"/>
      <c r="AD4431" s="284"/>
      <c r="AE4431" s="284"/>
      <c r="AF4431" s="284"/>
      <c r="AG4431" s="284"/>
      <c r="AH4431" s="284"/>
      <c r="AI4431" s="284"/>
      <c r="AJ4431" s="284"/>
      <c r="AK4431" s="284"/>
      <c r="AL4431" s="284"/>
    </row>
    <row r="4432" ht="15.75" customHeight="1">
      <c r="A4432" s="27"/>
      <c r="B4432" s="86"/>
      <c r="C4432" s="86"/>
      <c r="D4432" s="117"/>
      <c r="E4432" s="83"/>
      <c r="F4432" s="86"/>
      <c r="G4432" s="86"/>
      <c r="H4432" s="83"/>
      <c r="I4432" s="86"/>
      <c r="J4432" s="86"/>
      <c r="K4432" s="83"/>
      <c r="L4432" s="86"/>
      <c r="M4432" s="86"/>
      <c r="N4432" s="86"/>
      <c r="O4432" s="83"/>
      <c r="P4432" s="86"/>
      <c r="Q4432" s="86"/>
      <c r="R4432" s="84"/>
      <c r="S4432" s="185"/>
      <c r="T4432" s="185"/>
      <c r="U4432" s="185"/>
      <c r="V4432" s="185"/>
      <c r="W4432" s="185"/>
      <c r="X4432" s="185"/>
      <c r="Y4432" s="284"/>
      <c r="Z4432" s="284"/>
      <c r="AA4432" s="284"/>
      <c r="AB4432" s="284"/>
      <c r="AC4432" s="284"/>
      <c r="AD4432" s="284"/>
      <c r="AE4432" s="284"/>
      <c r="AF4432" s="284"/>
      <c r="AG4432" s="284"/>
      <c r="AH4432" s="284"/>
      <c r="AI4432" s="284"/>
      <c r="AJ4432" s="284"/>
      <c r="AK4432" s="284"/>
      <c r="AL4432" s="284"/>
    </row>
    <row r="4433" ht="15.75" customHeight="1">
      <c r="A4433" s="27"/>
      <c r="B4433" s="86"/>
      <c r="C4433" s="86"/>
      <c r="D4433" s="117"/>
      <c r="E4433" s="83"/>
      <c r="F4433" s="86"/>
      <c r="G4433" s="86"/>
      <c r="H4433" s="83"/>
      <c r="I4433" s="86"/>
      <c r="J4433" s="86"/>
      <c r="K4433" s="83"/>
      <c r="L4433" s="86"/>
      <c r="M4433" s="86"/>
      <c r="N4433" s="86"/>
      <c r="O4433" s="83"/>
      <c r="P4433" s="86"/>
      <c r="Q4433" s="86"/>
      <c r="R4433" s="84"/>
      <c r="S4433" s="185"/>
      <c r="T4433" s="185"/>
      <c r="U4433" s="185"/>
      <c r="V4433" s="185"/>
      <c r="W4433" s="185"/>
      <c r="X4433" s="185"/>
      <c r="Y4433" s="284"/>
      <c r="Z4433" s="284"/>
      <c r="AA4433" s="284"/>
      <c r="AB4433" s="284"/>
      <c r="AC4433" s="284"/>
      <c r="AD4433" s="284"/>
      <c r="AE4433" s="284"/>
      <c r="AF4433" s="284"/>
      <c r="AG4433" s="284"/>
      <c r="AH4433" s="284"/>
      <c r="AI4433" s="284"/>
      <c r="AJ4433" s="284"/>
      <c r="AK4433" s="284"/>
      <c r="AL4433" s="284"/>
    </row>
    <row r="4434" ht="15.75" customHeight="1">
      <c r="A4434" s="27"/>
      <c r="B4434" s="86"/>
      <c r="C4434" s="86"/>
      <c r="D4434" s="117"/>
      <c r="E4434" s="83"/>
      <c r="F4434" s="86"/>
      <c r="G4434" s="86"/>
      <c r="H4434" s="83"/>
      <c r="I4434" s="86"/>
      <c r="J4434" s="86"/>
      <c r="K4434" s="83"/>
      <c r="L4434" s="86"/>
      <c r="M4434" s="86"/>
      <c r="N4434" s="86"/>
      <c r="O4434" s="83"/>
      <c r="P4434" s="86"/>
      <c r="Q4434" s="86"/>
      <c r="R4434" s="84"/>
      <c r="S4434" s="185"/>
      <c r="T4434" s="185"/>
      <c r="U4434" s="185"/>
      <c r="V4434" s="185"/>
      <c r="W4434" s="185"/>
      <c r="X4434" s="185"/>
      <c r="Y4434" s="284"/>
      <c r="Z4434" s="284"/>
      <c r="AA4434" s="284"/>
      <c r="AB4434" s="284"/>
      <c r="AC4434" s="284"/>
      <c r="AD4434" s="284"/>
      <c r="AE4434" s="284"/>
      <c r="AF4434" s="284"/>
      <c r="AG4434" s="284"/>
      <c r="AH4434" s="284"/>
      <c r="AI4434" s="284"/>
      <c r="AJ4434" s="284"/>
      <c r="AK4434" s="284"/>
      <c r="AL4434" s="284"/>
    </row>
    <row r="4435" ht="15.75" customHeight="1">
      <c r="A4435" s="27"/>
      <c r="B4435" s="86"/>
      <c r="C4435" s="86"/>
      <c r="D4435" s="117"/>
      <c r="E4435" s="83"/>
      <c r="F4435" s="86"/>
      <c r="G4435" s="86"/>
      <c r="H4435" s="83"/>
      <c r="I4435" s="86"/>
      <c r="J4435" s="86"/>
      <c r="K4435" s="83"/>
      <c r="L4435" s="86"/>
      <c r="M4435" s="86"/>
      <c r="N4435" s="86"/>
      <c r="O4435" s="83"/>
      <c r="P4435" s="86"/>
      <c r="Q4435" s="86"/>
      <c r="R4435" s="84"/>
      <c r="S4435" s="185"/>
      <c r="T4435" s="185"/>
      <c r="U4435" s="185"/>
      <c r="V4435" s="185"/>
      <c r="W4435" s="185"/>
      <c r="X4435" s="185"/>
      <c r="Y4435" s="284"/>
      <c r="Z4435" s="284"/>
      <c r="AA4435" s="284"/>
      <c r="AB4435" s="284"/>
      <c r="AC4435" s="284"/>
      <c r="AD4435" s="284"/>
      <c r="AE4435" s="284"/>
      <c r="AF4435" s="284"/>
      <c r="AG4435" s="284"/>
      <c r="AH4435" s="284"/>
      <c r="AI4435" s="284"/>
      <c r="AJ4435" s="284"/>
      <c r="AK4435" s="284"/>
      <c r="AL4435" s="284"/>
    </row>
    <row r="4436" ht="15.75" customHeight="1">
      <c r="A4436" s="27"/>
      <c r="B4436" s="86"/>
      <c r="C4436" s="86"/>
      <c r="D4436" s="117"/>
      <c r="E4436" s="83"/>
      <c r="F4436" s="86"/>
      <c r="G4436" s="86"/>
      <c r="H4436" s="83"/>
      <c r="I4436" s="86"/>
      <c r="J4436" s="86"/>
      <c r="K4436" s="83"/>
      <c r="L4436" s="86"/>
      <c r="M4436" s="86"/>
      <c r="N4436" s="86"/>
      <c r="O4436" s="83"/>
      <c r="P4436" s="86"/>
      <c r="Q4436" s="86"/>
      <c r="R4436" s="84"/>
      <c r="S4436" s="185"/>
      <c r="T4436" s="185"/>
      <c r="U4436" s="185"/>
      <c r="V4436" s="185"/>
      <c r="W4436" s="185"/>
      <c r="X4436" s="185"/>
      <c r="Y4436" s="284"/>
      <c r="Z4436" s="284"/>
      <c r="AA4436" s="284"/>
      <c r="AB4436" s="284"/>
      <c r="AC4436" s="284"/>
      <c r="AD4436" s="284"/>
      <c r="AE4436" s="284"/>
      <c r="AF4436" s="284"/>
      <c r="AG4436" s="284"/>
      <c r="AH4436" s="284"/>
      <c r="AI4436" s="284"/>
      <c r="AJ4436" s="284"/>
      <c r="AK4436" s="284"/>
      <c r="AL4436" s="284"/>
    </row>
    <row r="4437" ht="15.75" customHeight="1">
      <c r="A4437" s="27"/>
      <c r="B4437" s="86"/>
      <c r="C4437" s="86"/>
      <c r="D4437" s="117"/>
      <c r="E4437" s="83"/>
      <c r="F4437" s="86"/>
      <c r="G4437" s="86"/>
      <c r="H4437" s="83"/>
      <c r="I4437" s="86"/>
      <c r="J4437" s="86"/>
      <c r="K4437" s="83"/>
      <c r="L4437" s="86"/>
      <c r="M4437" s="86"/>
      <c r="N4437" s="86"/>
      <c r="O4437" s="83"/>
      <c r="P4437" s="86"/>
      <c r="Q4437" s="86"/>
      <c r="R4437" s="84"/>
      <c r="S4437" s="185"/>
      <c r="T4437" s="185"/>
      <c r="U4437" s="185"/>
      <c r="V4437" s="185"/>
      <c r="W4437" s="185"/>
      <c r="X4437" s="185"/>
      <c r="Y4437" s="284"/>
      <c r="Z4437" s="284"/>
      <c r="AA4437" s="284"/>
      <c r="AB4437" s="284"/>
      <c r="AC4437" s="284"/>
      <c r="AD4437" s="284"/>
      <c r="AE4437" s="284"/>
      <c r="AF4437" s="284"/>
      <c r="AG4437" s="284"/>
      <c r="AH4437" s="284"/>
      <c r="AI4437" s="284"/>
      <c r="AJ4437" s="284"/>
      <c r="AK4437" s="284"/>
      <c r="AL4437" s="284"/>
    </row>
    <row r="4438" ht="15.75" customHeight="1">
      <c r="A4438" s="27"/>
      <c r="B4438" s="86"/>
      <c r="C4438" s="86"/>
      <c r="D4438" s="117"/>
      <c r="E4438" s="83"/>
      <c r="F4438" s="86"/>
      <c r="G4438" s="86"/>
      <c r="H4438" s="83"/>
      <c r="I4438" s="86"/>
      <c r="J4438" s="86"/>
      <c r="K4438" s="83"/>
      <c r="L4438" s="86"/>
      <c r="M4438" s="86"/>
      <c r="N4438" s="86"/>
      <c r="O4438" s="83"/>
      <c r="P4438" s="86"/>
      <c r="Q4438" s="86"/>
      <c r="R4438" s="84"/>
      <c r="S4438" s="185"/>
      <c r="T4438" s="185"/>
      <c r="U4438" s="185"/>
      <c r="V4438" s="185"/>
      <c r="W4438" s="185"/>
      <c r="X4438" s="185"/>
      <c r="Y4438" s="284"/>
      <c r="Z4438" s="284"/>
      <c r="AA4438" s="284"/>
      <c r="AB4438" s="284"/>
      <c r="AC4438" s="284"/>
      <c r="AD4438" s="284"/>
      <c r="AE4438" s="284"/>
      <c r="AF4438" s="284"/>
      <c r="AG4438" s="284"/>
      <c r="AH4438" s="284"/>
      <c r="AI4438" s="284"/>
      <c r="AJ4438" s="284"/>
      <c r="AK4438" s="284"/>
      <c r="AL4438" s="284"/>
    </row>
    <row r="4439" ht="15.75" customHeight="1">
      <c r="A4439" s="27"/>
      <c r="B4439" s="86"/>
      <c r="C4439" s="86"/>
      <c r="D4439" s="117"/>
      <c r="E4439" s="83"/>
      <c r="F4439" s="86"/>
      <c r="G4439" s="86"/>
      <c r="H4439" s="83"/>
      <c r="I4439" s="86"/>
      <c r="J4439" s="86"/>
      <c r="K4439" s="83"/>
      <c r="L4439" s="86"/>
      <c r="M4439" s="86"/>
      <c r="N4439" s="86"/>
      <c r="O4439" s="83"/>
      <c r="P4439" s="86"/>
      <c r="Q4439" s="86"/>
      <c r="R4439" s="84"/>
      <c r="S4439" s="185"/>
      <c r="T4439" s="185"/>
      <c r="U4439" s="185"/>
      <c r="V4439" s="185"/>
      <c r="W4439" s="185"/>
      <c r="X4439" s="185"/>
      <c r="Y4439" s="284"/>
      <c r="Z4439" s="284"/>
      <c r="AA4439" s="284"/>
      <c r="AB4439" s="284"/>
      <c r="AC4439" s="284"/>
      <c r="AD4439" s="284"/>
      <c r="AE4439" s="284"/>
      <c r="AF4439" s="284"/>
      <c r="AG4439" s="284"/>
      <c r="AH4439" s="284"/>
      <c r="AI4439" s="284"/>
      <c r="AJ4439" s="284"/>
      <c r="AK4439" s="284"/>
      <c r="AL4439" s="284"/>
    </row>
    <row r="4440" ht="15.75" customHeight="1">
      <c r="A4440" s="27"/>
      <c r="B4440" s="86"/>
      <c r="C4440" s="86"/>
      <c r="D4440" s="117"/>
      <c r="E4440" s="83"/>
      <c r="F4440" s="86"/>
      <c r="G4440" s="86"/>
      <c r="H4440" s="83"/>
      <c r="I4440" s="86"/>
      <c r="J4440" s="86"/>
      <c r="K4440" s="83"/>
      <c r="L4440" s="86"/>
      <c r="M4440" s="86"/>
      <c r="N4440" s="86"/>
      <c r="O4440" s="83"/>
      <c r="P4440" s="86"/>
      <c r="Q4440" s="86"/>
      <c r="R4440" s="84"/>
      <c r="S4440" s="185"/>
      <c r="T4440" s="185"/>
      <c r="U4440" s="185"/>
      <c r="V4440" s="185"/>
      <c r="W4440" s="185"/>
      <c r="X4440" s="185"/>
      <c r="Y4440" s="284"/>
      <c r="Z4440" s="284"/>
      <c r="AA4440" s="284"/>
      <c r="AB4440" s="284"/>
      <c r="AC4440" s="284"/>
      <c r="AD4440" s="284"/>
      <c r="AE4440" s="284"/>
      <c r="AF4440" s="284"/>
      <c r="AG4440" s="284"/>
      <c r="AH4440" s="284"/>
      <c r="AI4440" s="284"/>
      <c r="AJ4440" s="284"/>
      <c r="AK4440" s="284"/>
      <c r="AL4440" s="284"/>
    </row>
    <row r="4441" ht="15.75" customHeight="1">
      <c r="A4441" s="27"/>
      <c r="B4441" s="86"/>
      <c r="C4441" s="86"/>
      <c r="D4441" s="117"/>
      <c r="E4441" s="83"/>
      <c r="F4441" s="86"/>
      <c r="G4441" s="86"/>
      <c r="H4441" s="83"/>
      <c r="I4441" s="86"/>
      <c r="J4441" s="86"/>
      <c r="K4441" s="83"/>
      <c r="L4441" s="86"/>
      <c r="M4441" s="86"/>
      <c r="N4441" s="86"/>
      <c r="O4441" s="83"/>
      <c r="P4441" s="86"/>
      <c r="Q4441" s="86"/>
      <c r="R4441" s="84"/>
      <c r="S4441" s="185"/>
      <c r="T4441" s="185"/>
      <c r="U4441" s="185"/>
      <c r="V4441" s="185"/>
      <c r="W4441" s="185"/>
      <c r="X4441" s="185"/>
      <c r="Y4441" s="284"/>
      <c r="Z4441" s="284"/>
      <c r="AA4441" s="284"/>
      <c r="AB4441" s="284"/>
      <c r="AC4441" s="284"/>
      <c r="AD4441" s="284"/>
      <c r="AE4441" s="284"/>
      <c r="AF4441" s="284"/>
      <c r="AG4441" s="284"/>
      <c r="AH4441" s="284"/>
      <c r="AI4441" s="284"/>
      <c r="AJ4441" s="284"/>
      <c r="AK4441" s="284"/>
      <c r="AL4441" s="284"/>
    </row>
    <row r="4442" ht="15.75" customHeight="1">
      <c r="A4442" s="27"/>
      <c r="B4442" s="86"/>
      <c r="C4442" s="86"/>
      <c r="D4442" s="117"/>
      <c r="E4442" s="83"/>
      <c r="F4442" s="86"/>
      <c r="G4442" s="86"/>
      <c r="H4442" s="83"/>
      <c r="I4442" s="86"/>
      <c r="J4442" s="86"/>
      <c r="K4442" s="83"/>
      <c r="L4442" s="86"/>
      <c r="M4442" s="86"/>
      <c r="N4442" s="86"/>
      <c r="O4442" s="83"/>
      <c r="P4442" s="86"/>
      <c r="Q4442" s="86"/>
      <c r="R4442" s="84"/>
      <c r="S4442" s="185"/>
      <c r="T4442" s="185"/>
      <c r="U4442" s="185"/>
      <c r="V4442" s="185"/>
      <c r="W4442" s="185"/>
      <c r="X4442" s="185"/>
      <c r="Y4442" s="284"/>
      <c r="Z4442" s="284"/>
      <c r="AA4442" s="284"/>
      <c r="AB4442" s="284"/>
      <c r="AC4442" s="284"/>
      <c r="AD4442" s="284"/>
      <c r="AE4442" s="284"/>
      <c r="AF4442" s="284"/>
      <c r="AG4442" s="284"/>
      <c r="AH4442" s="284"/>
      <c r="AI4442" s="284"/>
      <c r="AJ4442" s="284"/>
      <c r="AK4442" s="284"/>
      <c r="AL4442" s="284"/>
    </row>
    <row r="4443" ht="15.75" customHeight="1">
      <c r="A4443" s="27"/>
      <c r="B4443" s="86"/>
      <c r="C4443" s="86"/>
      <c r="D4443" s="117"/>
      <c r="E4443" s="83"/>
      <c r="F4443" s="86"/>
      <c r="G4443" s="86"/>
      <c r="H4443" s="83"/>
      <c r="I4443" s="86"/>
      <c r="J4443" s="86"/>
      <c r="K4443" s="83"/>
      <c r="L4443" s="86"/>
      <c r="M4443" s="86"/>
      <c r="N4443" s="86"/>
      <c r="O4443" s="83"/>
      <c r="P4443" s="86"/>
      <c r="Q4443" s="86"/>
      <c r="R4443" s="84"/>
      <c r="S4443" s="185"/>
      <c r="T4443" s="185"/>
      <c r="U4443" s="185"/>
      <c r="V4443" s="185"/>
      <c r="W4443" s="185"/>
      <c r="X4443" s="185"/>
      <c r="Y4443" s="284"/>
      <c r="Z4443" s="284"/>
      <c r="AA4443" s="284"/>
      <c r="AB4443" s="284"/>
      <c r="AC4443" s="284"/>
      <c r="AD4443" s="284"/>
      <c r="AE4443" s="284"/>
      <c r="AF4443" s="284"/>
      <c r="AG4443" s="284"/>
      <c r="AH4443" s="284"/>
      <c r="AI4443" s="284"/>
      <c r="AJ4443" s="284"/>
      <c r="AK4443" s="284"/>
      <c r="AL4443" s="284"/>
    </row>
    <row r="4444" ht="15.75" customHeight="1">
      <c r="A4444" s="27"/>
      <c r="B4444" s="86"/>
      <c r="C4444" s="86"/>
      <c r="D4444" s="117"/>
      <c r="E4444" s="83"/>
      <c r="F4444" s="86"/>
      <c r="G4444" s="86"/>
      <c r="H4444" s="83"/>
      <c r="I4444" s="86"/>
      <c r="J4444" s="86"/>
      <c r="K4444" s="83"/>
      <c r="L4444" s="86"/>
      <c r="M4444" s="86"/>
      <c r="N4444" s="86"/>
      <c r="O4444" s="83"/>
      <c r="P4444" s="86"/>
      <c r="Q4444" s="86"/>
      <c r="R4444" s="84"/>
      <c r="S4444" s="185"/>
      <c r="T4444" s="185"/>
      <c r="U4444" s="185"/>
      <c r="V4444" s="185"/>
      <c r="W4444" s="185"/>
      <c r="X4444" s="185"/>
      <c r="Y4444" s="284"/>
      <c r="Z4444" s="284"/>
      <c r="AA4444" s="284"/>
      <c r="AB4444" s="284"/>
      <c r="AC4444" s="284"/>
      <c r="AD4444" s="284"/>
      <c r="AE4444" s="284"/>
      <c r="AF4444" s="284"/>
      <c r="AG4444" s="284"/>
      <c r="AH4444" s="284"/>
      <c r="AI4444" s="284"/>
      <c r="AJ4444" s="284"/>
      <c r="AK4444" s="284"/>
      <c r="AL4444" s="284"/>
    </row>
    <row r="4445" ht="15.75" customHeight="1">
      <c r="A4445" s="27"/>
      <c r="B4445" s="86"/>
      <c r="C4445" s="86"/>
      <c r="D4445" s="117"/>
      <c r="E4445" s="83"/>
      <c r="F4445" s="86"/>
      <c r="G4445" s="86"/>
      <c r="H4445" s="83"/>
      <c r="I4445" s="86"/>
      <c r="J4445" s="86"/>
      <c r="K4445" s="83"/>
      <c r="L4445" s="86"/>
      <c r="M4445" s="86"/>
      <c r="N4445" s="86"/>
      <c r="O4445" s="83"/>
      <c r="P4445" s="86"/>
      <c r="Q4445" s="86"/>
      <c r="R4445" s="84"/>
      <c r="S4445" s="185"/>
      <c r="T4445" s="185"/>
      <c r="U4445" s="185"/>
      <c r="V4445" s="185"/>
      <c r="W4445" s="185"/>
      <c r="X4445" s="185"/>
      <c r="Y4445" s="284"/>
      <c r="Z4445" s="284"/>
      <c r="AA4445" s="284"/>
      <c r="AB4445" s="284"/>
      <c r="AC4445" s="284"/>
      <c r="AD4445" s="284"/>
      <c r="AE4445" s="284"/>
      <c r="AF4445" s="284"/>
      <c r="AG4445" s="284"/>
      <c r="AH4445" s="284"/>
      <c r="AI4445" s="284"/>
      <c r="AJ4445" s="284"/>
      <c r="AK4445" s="284"/>
      <c r="AL4445" s="284"/>
    </row>
    <row r="4446" ht="15.75" customHeight="1">
      <c r="A4446" s="27"/>
      <c r="B4446" s="86"/>
      <c r="C4446" s="86"/>
      <c r="D4446" s="117"/>
      <c r="E4446" s="83"/>
      <c r="F4446" s="86"/>
      <c r="G4446" s="86"/>
      <c r="H4446" s="83"/>
      <c r="I4446" s="86"/>
      <c r="J4446" s="86"/>
      <c r="K4446" s="83"/>
      <c r="L4446" s="86"/>
      <c r="M4446" s="86"/>
      <c r="N4446" s="86"/>
      <c r="O4446" s="83"/>
      <c r="P4446" s="86"/>
      <c r="Q4446" s="86"/>
      <c r="R4446" s="84"/>
      <c r="S4446" s="185"/>
      <c r="T4446" s="185"/>
      <c r="U4446" s="185"/>
      <c r="V4446" s="185"/>
      <c r="W4446" s="185"/>
      <c r="X4446" s="185"/>
      <c r="Y4446" s="284"/>
      <c r="Z4446" s="284"/>
      <c r="AA4446" s="284"/>
      <c r="AB4446" s="284"/>
      <c r="AC4446" s="284"/>
      <c r="AD4446" s="284"/>
      <c r="AE4446" s="284"/>
      <c r="AF4446" s="284"/>
      <c r="AG4446" s="284"/>
      <c r="AH4446" s="284"/>
      <c r="AI4446" s="284"/>
      <c r="AJ4446" s="284"/>
      <c r="AK4446" s="284"/>
      <c r="AL4446" s="284"/>
    </row>
    <row r="4447" ht="15.75" customHeight="1">
      <c r="A4447" s="27"/>
      <c r="B4447" s="86"/>
      <c r="C4447" s="86"/>
      <c r="D4447" s="117"/>
      <c r="E4447" s="83"/>
      <c r="F4447" s="86"/>
      <c r="G4447" s="86"/>
      <c r="H4447" s="83"/>
      <c r="I4447" s="86"/>
      <c r="J4447" s="86"/>
      <c r="K4447" s="83"/>
      <c r="L4447" s="86"/>
      <c r="M4447" s="86"/>
      <c r="N4447" s="86"/>
      <c r="O4447" s="83"/>
      <c r="P4447" s="86"/>
      <c r="Q4447" s="86"/>
      <c r="R4447" s="84"/>
      <c r="S4447" s="185"/>
      <c r="T4447" s="185"/>
      <c r="U4447" s="185"/>
      <c r="V4447" s="185"/>
      <c r="W4447" s="185"/>
      <c r="X4447" s="185"/>
      <c r="Y4447" s="284"/>
      <c r="Z4447" s="284"/>
      <c r="AA4447" s="284"/>
      <c r="AB4447" s="284"/>
      <c r="AC4447" s="284"/>
      <c r="AD4447" s="284"/>
      <c r="AE4447" s="284"/>
      <c r="AF4447" s="284"/>
      <c r="AG4447" s="284"/>
      <c r="AH4447" s="284"/>
      <c r="AI4447" s="284"/>
      <c r="AJ4447" s="284"/>
      <c r="AK4447" s="284"/>
      <c r="AL4447" s="284"/>
    </row>
    <row r="4448" ht="15.75" customHeight="1">
      <c r="A4448" s="27"/>
      <c r="B4448" s="86"/>
      <c r="C4448" s="86"/>
      <c r="D4448" s="117"/>
      <c r="E4448" s="83"/>
      <c r="F4448" s="86"/>
      <c r="G4448" s="86"/>
      <c r="H4448" s="83"/>
      <c r="I4448" s="86"/>
      <c r="J4448" s="86"/>
      <c r="K4448" s="83"/>
      <c r="L4448" s="86"/>
      <c r="M4448" s="86"/>
      <c r="N4448" s="86"/>
      <c r="O4448" s="83"/>
      <c r="P4448" s="86"/>
      <c r="Q4448" s="86"/>
      <c r="R4448" s="84"/>
      <c r="S4448" s="185"/>
      <c r="T4448" s="185"/>
      <c r="U4448" s="185"/>
      <c r="V4448" s="185"/>
      <c r="W4448" s="185"/>
      <c r="X4448" s="185"/>
      <c r="Y4448" s="284"/>
      <c r="Z4448" s="284"/>
      <c r="AA4448" s="284"/>
      <c r="AB4448" s="284"/>
      <c r="AC4448" s="284"/>
      <c r="AD4448" s="284"/>
      <c r="AE4448" s="284"/>
      <c r="AF4448" s="284"/>
      <c r="AG4448" s="284"/>
      <c r="AH4448" s="284"/>
      <c r="AI4448" s="284"/>
      <c r="AJ4448" s="284"/>
      <c r="AK4448" s="284"/>
      <c r="AL4448" s="284"/>
    </row>
    <row r="4449" ht="15.75" customHeight="1">
      <c r="A4449" s="27"/>
      <c r="B4449" s="86"/>
      <c r="C4449" s="86"/>
      <c r="D4449" s="117"/>
      <c r="E4449" s="83"/>
      <c r="F4449" s="86"/>
      <c r="G4449" s="86"/>
      <c r="H4449" s="83"/>
      <c r="I4449" s="86"/>
      <c r="J4449" s="86"/>
      <c r="K4449" s="83"/>
      <c r="L4449" s="86"/>
      <c r="M4449" s="86"/>
      <c r="N4449" s="86"/>
      <c r="O4449" s="83"/>
      <c r="P4449" s="86"/>
      <c r="Q4449" s="86"/>
      <c r="R4449" s="84"/>
      <c r="S4449" s="185"/>
      <c r="T4449" s="185"/>
      <c r="U4449" s="185"/>
      <c r="V4449" s="185"/>
      <c r="W4449" s="185"/>
      <c r="X4449" s="185"/>
      <c r="Y4449" s="284"/>
      <c r="Z4449" s="284"/>
      <c r="AA4449" s="284"/>
      <c r="AB4449" s="284"/>
      <c r="AC4449" s="284"/>
      <c r="AD4449" s="284"/>
      <c r="AE4449" s="284"/>
      <c r="AF4449" s="284"/>
      <c r="AG4449" s="284"/>
      <c r="AH4449" s="284"/>
      <c r="AI4449" s="284"/>
      <c r="AJ4449" s="284"/>
      <c r="AK4449" s="284"/>
      <c r="AL4449" s="284"/>
    </row>
    <row r="4450" ht="15.75" customHeight="1">
      <c r="A4450" s="27"/>
      <c r="B4450" s="86"/>
      <c r="C4450" s="86"/>
      <c r="D4450" s="117"/>
      <c r="E4450" s="83"/>
      <c r="F4450" s="86"/>
      <c r="G4450" s="86"/>
      <c r="H4450" s="83"/>
      <c r="I4450" s="86"/>
      <c r="J4450" s="86"/>
      <c r="K4450" s="83"/>
      <c r="L4450" s="86"/>
      <c r="M4450" s="86"/>
      <c r="N4450" s="86"/>
      <c r="O4450" s="83"/>
      <c r="P4450" s="86"/>
      <c r="Q4450" s="86"/>
      <c r="R4450" s="84"/>
      <c r="S4450" s="185"/>
      <c r="T4450" s="185"/>
      <c r="U4450" s="185"/>
      <c r="V4450" s="185"/>
      <c r="W4450" s="185"/>
      <c r="X4450" s="185"/>
      <c r="Y4450" s="284"/>
      <c r="Z4450" s="284"/>
      <c r="AA4450" s="284"/>
      <c r="AB4450" s="284"/>
      <c r="AC4450" s="284"/>
      <c r="AD4450" s="284"/>
      <c r="AE4450" s="284"/>
      <c r="AF4450" s="284"/>
      <c r="AG4450" s="284"/>
      <c r="AH4450" s="284"/>
      <c r="AI4450" s="284"/>
      <c r="AJ4450" s="284"/>
      <c r="AK4450" s="284"/>
      <c r="AL4450" s="284"/>
    </row>
    <row r="4451" ht="15.75" customHeight="1">
      <c r="A4451" s="27"/>
      <c r="B4451" s="86"/>
      <c r="C4451" s="86"/>
      <c r="D4451" s="117"/>
      <c r="E4451" s="83"/>
      <c r="F4451" s="86"/>
      <c r="G4451" s="86"/>
      <c r="H4451" s="83"/>
      <c r="I4451" s="86"/>
      <c r="J4451" s="86"/>
      <c r="K4451" s="83"/>
      <c r="L4451" s="86"/>
      <c r="M4451" s="86"/>
      <c r="N4451" s="86"/>
      <c r="O4451" s="83"/>
      <c r="P4451" s="86"/>
      <c r="Q4451" s="86"/>
      <c r="R4451" s="84"/>
      <c r="S4451" s="185"/>
      <c r="T4451" s="185"/>
      <c r="U4451" s="185"/>
      <c r="V4451" s="185"/>
      <c r="W4451" s="185"/>
      <c r="X4451" s="185"/>
      <c r="Y4451" s="284"/>
      <c r="Z4451" s="284"/>
      <c r="AA4451" s="284"/>
      <c r="AB4451" s="284"/>
      <c r="AC4451" s="284"/>
      <c r="AD4451" s="284"/>
      <c r="AE4451" s="284"/>
      <c r="AF4451" s="284"/>
      <c r="AG4451" s="284"/>
      <c r="AH4451" s="284"/>
      <c r="AI4451" s="284"/>
      <c r="AJ4451" s="284"/>
      <c r="AK4451" s="284"/>
      <c r="AL4451" s="284"/>
    </row>
    <row r="4452" ht="15.75" customHeight="1">
      <c r="A4452" s="27"/>
      <c r="B4452" s="86"/>
      <c r="C4452" s="86"/>
      <c r="D4452" s="117"/>
      <c r="E4452" s="83"/>
      <c r="F4452" s="86"/>
      <c r="G4452" s="86"/>
      <c r="H4452" s="83"/>
      <c r="I4452" s="86"/>
      <c r="J4452" s="86"/>
      <c r="K4452" s="83"/>
      <c r="L4452" s="86"/>
      <c r="M4452" s="86"/>
      <c r="N4452" s="86"/>
      <c r="O4452" s="83"/>
      <c r="P4452" s="86"/>
      <c r="Q4452" s="86"/>
      <c r="R4452" s="84"/>
      <c r="S4452" s="185"/>
      <c r="T4452" s="185"/>
      <c r="U4452" s="185"/>
      <c r="V4452" s="185"/>
      <c r="W4452" s="185"/>
      <c r="X4452" s="185"/>
      <c r="Y4452" s="284"/>
      <c r="Z4452" s="284"/>
      <c r="AA4452" s="284"/>
      <c r="AB4452" s="284"/>
      <c r="AC4452" s="284"/>
      <c r="AD4452" s="284"/>
      <c r="AE4452" s="284"/>
      <c r="AF4452" s="284"/>
      <c r="AG4452" s="284"/>
      <c r="AH4452" s="284"/>
      <c r="AI4452" s="284"/>
      <c r="AJ4452" s="284"/>
      <c r="AK4452" s="284"/>
      <c r="AL4452" s="284"/>
    </row>
    <row r="4453" ht="15.75" customHeight="1">
      <c r="A4453" s="27"/>
      <c r="B4453" s="86"/>
      <c r="C4453" s="86"/>
      <c r="D4453" s="117"/>
      <c r="E4453" s="83"/>
      <c r="F4453" s="86"/>
      <c r="G4453" s="86"/>
      <c r="H4453" s="83"/>
      <c r="I4453" s="86"/>
      <c r="J4453" s="86"/>
      <c r="K4453" s="83"/>
      <c r="L4453" s="86"/>
      <c r="M4453" s="86"/>
      <c r="N4453" s="86"/>
      <c r="O4453" s="83"/>
      <c r="P4453" s="86"/>
      <c r="Q4453" s="86"/>
      <c r="R4453" s="84"/>
      <c r="S4453" s="185"/>
      <c r="T4453" s="185"/>
      <c r="U4453" s="185"/>
      <c r="V4453" s="185"/>
      <c r="W4453" s="185"/>
      <c r="X4453" s="185"/>
      <c r="Y4453" s="284"/>
      <c r="Z4453" s="284"/>
      <c r="AA4453" s="284"/>
      <c r="AB4453" s="284"/>
      <c r="AC4453" s="284"/>
      <c r="AD4453" s="284"/>
      <c r="AE4453" s="284"/>
      <c r="AF4453" s="284"/>
      <c r="AG4453" s="284"/>
      <c r="AH4453" s="284"/>
      <c r="AI4453" s="284"/>
      <c r="AJ4453" s="284"/>
      <c r="AK4453" s="284"/>
      <c r="AL4453" s="284"/>
    </row>
    <row r="4454" ht="15.75" customHeight="1">
      <c r="A4454" s="27"/>
      <c r="B4454" s="86"/>
      <c r="C4454" s="86"/>
      <c r="D4454" s="117"/>
      <c r="E4454" s="83"/>
      <c r="F4454" s="86"/>
      <c r="G4454" s="86"/>
      <c r="H4454" s="83"/>
      <c r="I4454" s="86"/>
      <c r="J4454" s="86"/>
      <c r="K4454" s="83"/>
      <c r="L4454" s="86"/>
      <c r="M4454" s="86"/>
      <c r="N4454" s="86"/>
      <c r="O4454" s="83"/>
      <c r="P4454" s="86"/>
      <c r="Q4454" s="86"/>
      <c r="R4454" s="84"/>
      <c r="S4454" s="185"/>
      <c r="T4454" s="185"/>
      <c r="U4454" s="185"/>
      <c r="V4454" s="185"/>
      <c r="W4454" s="185"/>
      <c r="X4454" s="185"/>
      <c r="Y4454" s="284"/>
      <c r="Z4454" s="284"/>
      <c r="AA4454" s="284"/>
      <c r="AB4454" s="284"/>
      <c r="AC4454" s="284"/>
      <c r="AD4454" s="284"/>
      <c r="AE4454" s="284"/>
      <c r="AF4454" s="284"/>
      <c r="AG4454" s="284"/>
      <c r="AH4454" s="284"/>
      <c r="AI4454" s="284"/>
      <c r="AJ4454" s="284"/>
      <c r="AK4454" s="284"/>
      <c r="AL4454" s="284"/>
    </row>
    <row r="4455" ht="15.75" customHeight="1">
      <c r="A4455" s="27"/>
      <c r="B4455" s="86"/>
      <c r="C4455" s="86"/>
      <c r="D4455" s="117"/>
      <c r="E4455" s="83"/>
      <c r="F4455" s="86"/>
      <c r="G4455" s="86"/>
      <c r="H4455" s="83"/>
      <c r="I4455" s="86"/>
      <c r="J4455" s="86"/>
      <c r="K4455" s="83"/>
      <c r="L4455" s="86"/>
      <c r="M4455" s="86"/>
      <c r="N4455" s="86"/>
      <c r="O4455" s="83"/>
      <c r="P4455" s="86"/>
      <c r="Q4455" s="86"/>
      <c r="R4455" s="84"/>
      <c r="S4455" s="185"/>
      <c r="T4455" s="185"/>
      <c r="U4455" s="185"/>
      <c r="V4455" s="185"/>
      <c r="W4455" s="185"/>
      <c r="X4455" s="185"/>
      <c r="Y4455" s="284"/>
      <c r="Z4455" s="284"/>
      <c r="AA4455" s="284"/>
      <c r="AB4455" s="284"/>
      <c r="AC4455" s="284"/>
      <c r="AD4455" s="284"/>
      <c r="AE4455" s="284"/>
      <c r="AF4455" s="284"/>
      <c r="AG4455" s="284"/>
      <c r="AH4455" s="284"/>
      <c r="AI4455" s="284"/>
      <c r="AJ4455" s="284"/>
      <c r="AK4455" s="284"/>
      <c r="AL4455" s="284"/>
    </row>
    <row r="4456" ht="15.75" customHeight="1">
      <c r="A4456" s="27"/>
      <c r="B4456" s="86"/>
      <c r="C4456" s="86"/>
      <c r="D4456" s="117"/>
      <c r="E4456" s="83"/>
      <c r="F4456" s="86"/>
      <c r="G4456" s="86"/>
      <c r="H4456" s="83"/>
      <c r="I4456" s="86"/>
      <c r="J4456" s="86"/>
      <c r="K4456" s="83"/>
      <c r="L4456" s="86"/>
      <c r="M4456" s="86"/>
      <c r="N4456" s="86"/>
      <c r="O4456" s="83"/>
      <c r="P4456" s="86"/>
      <c r="Q4456" s="86"/>
      <c r="R4456" s="84"/>
      <c r="S4456" s="185"/>
      <c r="T4456" s="185"/>
      <c r="U4456" s="185"/>
      <c r="V4456" s="185"/>
      <c r="W4456" s="185"/>
      <c r="X4456" s="185"/>
      <c r="Y4456" s="284"/>
      <c r="Z4456" s="284"/>
      <c r="AA4456" s="284"/>
      <c r="AB4456" s="284"/>
      <c r="AC4456" s="284"/>
      <c r="AD4456" s="284"/>
      <c r="AE4456" s="284"/>
      <c r="AF4456" s="284"/>
      <c r="AG4456" s="284"/>
      <c r="AH4456" s="284"/>
      <c r="AI4456" s="284"/>
      <c r="AJ4456" s="284"/>
      <c r="AK4456" s="284"/>
      <c r="AL4456" s="284"/>
    </row>
    <row r="4457" ht="15.75" customHeight="1">
      <c r="A4457" s="27"/>
      <c r="B4457" s="86"/>
      <c r="C4457" s="86"/>
      <c r="D4457" s="117"/>
      <c r="E4457" s="83"/>
      <c r="F4457" s="86"/>
      <c r="G4457" s="86"/>
      <c r="H4457" s="83"/>
      <c r="I4457" s="86"/>
      <c r="J4457" s="86"/>
      <c r="K4457" s="83"/>
      <c r="L4457" s="86"/>
      <c r="M4457" s="86"/>
      <c r="N4457" s="86"/>
      <c r="O4457" s="83"/>
      <c r="P4457" s="86"/>
      <c r="Q4457" s="86"/>
      <c r="R4457" s="84"/>
      <c r="S4457" s="185"/>
      <c r="T4457" s="185"/>
      <c r="U4457" s="185"/>
      <c r="V4457" s="185"/>
      <c r="W4457" s="185"/>
      <c r="X4457" s="185"/>
      <c r="Y4457" s="284"/>
      <c r="Z4457" s="284"/>
      <c r="AA4457" s="284"/>
      <c r="AB4457" s="284"/>
      <c r="AC4457" s="284"/>
      <c r="AD4457" s="284"/>
      <c r="AE4457" s="284"/>
      <c r="AF4457" s="284"/>
      <c r="AG4457" s="284"/>
      <c r="AH4457" s="284"/>
      <c r="AI4457" s="284"/>
      <c r="AJ4457" s="284"/>
      <c r="AK4457" s="284"/>
      <c r="AL4457" s="284"/>
    </row>
    <row r="4458" ht="15.75" customHeight="1">
      <c r="A4458" s="27"/>
      <c r="B4458" s="86"/>
      <c r="C4458" s="86"/>
      <c r="D4458" s="117"/>
      <c r="E4458" s="83"/>
      <c r="F4458" s="86"/>
      <c r="G4458" s="86"/>
      <c r="H4458" s="83"/>
      <c r="I4458" s="86"/>
      <c r="J4458" s="86"/>
      <c r="K4458" s="83"/>
      <c r="L4458" s="86"/>
      <c r="M4458" s="86"/>
      <c r="N4458" s="86"/>
      <c r="O4458" s="83"/>
      <c r="P4458" s="86"/>
      <c r="Q4458" s="86"/>
      <c r="R4458" s="84"/>
      <c r="S4458" s="185"/>
      <c r="T4458" s="185"/>
      <c r="U4458" s="185"/>
      <c r="V4458" s="185"/>
      <c r="W4458" s="185"/>
      <c r="X4458" s="185"/>
      <c r="Y4458" s="284"/>
      <c r="Z4458" s="284"/>
      <c r="AA4458" s="284"/>
      <c r="AB4458" s="284"/>
      <c r="AC4458" s="284"/>
      <c r="AD4458" s="284"/>
      <c r="AE4458" s="284"/>
      <c r="AF4458" s="284"/>
      <c r="AG4458" s="284"/>
      <c r="AH4458" s="284"/>
      <c r="AI4458" s="284"/>
      <c r="AJ4458" s="284"/>
      <c r="AK4458" s="284"/>
      <c r="AL4458" s="284"/>
    </row>
    <row r="4459" ht="15.75" customHeight="1">
      <c r="A4459" s="27"/>
      <c r="B4459" s="86"/>
      <c r="C4459" s="86"/>
      <c r="D4459" s="117"/>
      <c r="E4459" s="83"/>
      <c r="F4459" s="86"/>
      <c r="G4459" s="86"/>
      <c r="H4459" s="83"/>
      <c r="I4459" s="86"/>
      <c r="J4459" s="86"/>
      <c r="K4459" s="83"/>
      <c r="L4459" s="86"/>
      <c r="M4459" s="86"/>
      <c r="N4459" s="86"/>
      <c r="O4459" s="83"/>
      <c r="P4459" s="86"/>
      <c r="Q4459" s="86"/>
      <c r="R4459" s="84"/>
      <c r="S4459" s="185"/>
      <c r="T4459" s="185"/>
      <c r="U4459" s="185"/>
      <c r="V4459" s="185"/>
      <c r="W4459" s="185"/>
      <c r="X4459" s="185"/>
      <c r="Y4459" s="284"/>
      <c r="Z4459" s="284"/>
      <c r="AA4459" s="284"/>
      <c r="AB4459" s="284"/>
      <c r="AC4459" s="284"/>
      <c r="AD4459" s="284"/>
      <c r="AE4459" s="284"/>
      <c r="AF4459" s="284"/>
      <c r="AG4459" s="284"/>
      <c r="AH4459" s="284"/>
      <c r="AI4459" s="284"/>
      <c r="AJ4459" s="284"/>
      <c r="AK4459" s="284"/>
      <c r="AL4459" s="284"/>
    </row>
    <row r="4460" ht="15.75" customHeight="1">
      <c r="A4460" s="27"/>
      <c r="B4460" s="86"/>
      <c r="C4460" s="86"/>
      <c r="D4460" s="117"/>
      <c r="E4460" s="83"/>
      <c r="F4460" s="86"/>
      <c r="G4460" s="86"/>
      <c r="H4460" s="83"/>
      <c r="I4460" s="86"/>
      <c r="J4460" s="86"/>
      <c r="K4460" s="83"/>
      <c r="L4460" s="86"/>
      <c r="M4460" s="86"/>
      <c r="N4460" s="86"/>
      <c r="O4460" s="83"/>
      <c r="P4460" s="86"/>
      <c r="Q4460" s="86"/>
      <c r="R4460" s="84"/>
      <c r="S4460" s="185"/>
      <c r="T4460" s="185"/>
      <c r="U4460" s="185"/>
      <c r="V4460" s="185"/>
      <c r="W4460" s="185"/>
      <c r="X4460" s="185"/>
      <c r="Y4460" s="284"/>
      <c r="Z4460" s="284"/>
      <c r="AA4460" s="284"/>
      <c r="AB4460" s="284"/>
      <c r="AC4460" s="284"/>
      <c r="AD4460" s="284"/>
      <c r="AE4460" s="284"/>
      <c r="AF4460" s="284"/>
      <c r="AG4460" s="284"/>
      <c r="AH4460" s="284"/>
      <c r="AI4460" s="284"/>
      <c r="AJ4460" s="284"/>
      <c r="AK4460" s="284"/>
      <c r="AL4460" s="284"/>
    </row>
    <row r="4461" ht="15.75" customHeight="1">
      <c r="A4461" s="27"/>
      <c r="B4461" s="86"/>
      <c r="C4461" s="86"/>
      <c r="D4461" s="117"/>
      <c r="E4461" s="83"/>
      <c r="F4461" s="86"/>
      <c r="G4461" s="86"/>
      <c r="H4461" s="83"/>
      <c r="I4461" s="86"/>
      <c r="J4461" s="86"/>
      <c r="K4461" s="83"/>
      <c r="L4461" s="86"/>
      <c r="M4461" s="86"/>
      <c r="N4461" s="86"/>
      <c r="O4461" s="83"/>
      <c r="P4461" s="86"/>
      <c r="Q4461" s="86"/>
      <c r="R4461" s="84"/>
      <c r="S4461" s="185"/>
      <c r="T4461" s="185"/>
      <c r="U4461" s="185"/>
      <c r="V4461" s="185"/>
      <c r="W4461" s="185"/>
      <c r="X4461" s="185"/>
      <c r="Y4461" s="284"/>
      <c r="Z4461" s="284"/>
      <c r="AA4461" s="284"/>
      <c r="AB4461" s="284"/>
      <c r="AC4461" s="284"/>
      <c r="AD4461" s="284"/>
      <c r="AE4461" s="284"/>
      <c r="AF4461" s="284"/>
      <c r="AG4461" s="284"/>
      <c r="AH4461" s="284"/>
      <c r="AI4461" s="284"/>
      <c r="AJ4461" s="284"/>
      <c r="AK4461" s="284"/>
      <c r="AL4461" s="284"/>
    </row>
    <row r="4462" ht="15.75" customHeight="1">
      <c r="A4462" s="27"/>
      <c r="B4462" s="86"/>
      <c r="C4462" s="86"/>
      <c r="D4462" s="117"/>
      <c r="E4462" s="83"/>
      <c r="F4462" s="86"/>
      <c r="G4462" s="86"/>
      <c r="H4462" s="83"/>
      <c r="I4462" s="86"/>
      <c r="J4462" s="86"/>
      <c r="K4462" s="83"/>
      <c r="L4462" s="86"/>
      <c r="M4462" s="86"/>
      <c r="N4462" s="86"/>
      <c r="O4462" s="83"/>
      <c r="P4462" s="86"/>
      <c r="Q4462" s="86"/>
      <c r="R4462" s="84"/>
      <c r="S4462" s="185"/>
      <c r="T4462" s="185"/>
      <c r="U4462" s="185"/>
      <c r="V4462" s="185"/>
      <c r="W4462" s="185"/>
      <c r="X4462" s="185"/>
      <c r="Y4462" s="284"/>
      <c r="Z4462" s="284"/>
      <c r="AA4462" s="284"/>
      <c r="AB4462" s="284"/>
      <c r="AC4462" s="284"/>
      <c r="AD4462" s="284"/>
      <c r="AE4462" s="284"/>
      <c r="AF4462" s="284"/>
      <c r="AG4462" s="284"/>
      <c r="AH4462" s="284"/>
      <c r="AI4462" s="284"/>
      <c r="AJ4462" s="284"/>
      <c r="AK4462" s="284"/>
      <c r="AL4462" s="284"/>
    </row>
    <row r="4463" ht="15.75" customHeight="1">
      <c r="A4463" s="27"/>
      <c r="B4463" s="86"/>
      <c r="C4463" s="86"/>
      <c r="D4463" s="117"/>
      <c r="E4463" s="83"/>
      <c r="F4463" s="86"/>
      <c r="G4463" s="86"/>
      <c r="H4463" s="83"/>
      <c r="I4463" s="86"/>
      <c r="J4463" s="86"/>
      <c r="K4463" s="83"/>
      <c r="L4463" s="86"/>
      <c r="M4463" s="86"/>
      <c r="N4463" s="86"/>
      <c r="O4463" s="83"/>
      <c r="P4463" s="86"/>
      <c r="Q4463" s="86"/>
      <c r="R4463" s="84"/>
      <c r="S4463" s="185"/>
      <c r="T4463" s="185"/>
      <c r="U4463" s="185"/>
      <c r="V4463" s="185"/>
      <c r="W4463" s="185"/>
      <c r="X4463" s="185"/>
      <c r="Y4463" s="284"/>
      <c r="Z4463" s="284"/>
      <c r="AA4463" s="284"/>
      <c r="AB4463" s="284"/>
      <c r="AC4463" s="284"/>
      <c r="AD4463" s="284"/>
      <c r="AE4463" s="284"/>
      <c r="AF4463" s="284"/>
      <c r="AG4463" s="284"/>
      <c r="AH4463" s="284"/>
      <c r="AI4463" s="284"/>
      <c r="AJ4463" s="284"/>
      <c r="AK4463" s="284"/>
      <c r="AL4463" s="284"/>
    </row>
    <row r="4464" ht="15.75" customHeight="1">
      <c r="A4464" s="27"/>
      <c r="B4464" s="86"/>
      <c r="C4464" s="86"/>
      <c r="D4464" s="117"/>
      <c r="E4464" s="83"/>
      <c r="F4464" s="86"/>
      <c r="G4464" s="86"/>
      <c r="H4464" s="83"/>
      <c r="I4464" s="86"/>
      <c r="J4464" s="86"/>
      <c r="K4464" s="83"/>
      <c r="L4464" s="86"/>
      <c r="M4464" s="86"/>
      <c r="N4464" s="86"/>
      <c r="O4464" s="83"/>
      <c r="P4464" s="86"/>
      <c r="Q4464" s="86"/>
      <c r="R4464" s="84"/>
      <c r="S4464" s="185"/>
      <c r="T4464" s="185"/>
      <c r="U4464" s="185"/>
      <c r="V4464" s="185"/>
      <c r="W4464" s="185"/>
      <c r="X4464" s="185"/>
      <c r="Y4464" s="284"/>
      <c r="Z4464" s="284"/>
      <c r="AA4464" s="284"/>
      <c r="AB4464" s="284"/>
      <c r="AC4464" s="284"/>
      <c r="AD4464" s="284"/>
      <c r="AE4464" s="284"/>
      <c r="AF4464" s="284"/>
      <c r="AG4464" s="284"/>
      <c r="AH4464" s="284"/>
      <c r="AI4464" s="284"/>
      <c r="AJ4464" s="284"/>
      <c r="AK4464" s="284"/>
      <c r="AL4464" s="284"/>
    </row>
    <row r="4465" ht="15.75" customHeight="1">
      <c r="A4465" s="27"/>
      <c r="B4465" s="86"/>
      <c r="C4465" s="86"/>
      <c r="D4465" s="117"/>
      <c r="E4465" s="83"/>
      <c r="F4465" s="86"/>
      <c r="G4465" s="86"/>
      <c r="H4465" s="83"/>
      <c r="I4465" s="86"/>
      <c r="J4465" s="86"/>
      <c r="K4465" s="83"/>
      <c r="L4465" s="86"/>
      <c r="M4465" s="86"/>
      <c r="N4465" s="86"/>
      <c r="O4465" s="83"/>
      <c r="P4465" s="86"/>
      <c r="Q4465" s="86"/>
      <c r="R4465" s="84"/>
      <c r="S4465" s="185"/>
      <c r="T4465" s="185"/>
      <c r="U4465" s="185"/>
      <c r="V4465" s="185"/>
      <c r="W4465" s="185"/>
      <c r="X4465" s="185"/>
      <c r="Y4465" s="284"/>
      <c r="Z4465" s="284"/>
      <c r="AA4465" s="284"/>
      <c r="AB4465" s="284"/>
      <c r="AC4465" s="284"/>
      <c r="AD4465" s="284"/>
      <c r="AE4465" s="284"/>
      <c r="AF4465" s="284"/>
      <c r="AG4465" s="284"/>
      <c r="AH4465" s="284"/>
      <c r="AI4465" s="284"/>
      <c r="AJ4465" s="284"/>
      <c r="AK4465" s="284"/>
      <c r="AL4465" s="284"/>
    </row>
    <row r="4466" ht="15.75" customHeight="1">
      <c r="A4466" s="27"/>
      <c r="B4466" s="86"/>
      <c r="C4466" s="86"/>
      <c r="D4466" s="117"/>
      <c r="E4466" s="83"/>
      <c r="F4466" s="86"/>
      <c r="G4466" s="86"/>
      <c r="H4466" s="83"/>
      <c r="I4466" s="86"/>
      <c r="J4466" s="86"/>
      <c r="K4466" s="83"/>
      <c r="L4466" s="86"/>
      <c r="M4466" s="86"/>
      <c r="N4466" s="86"/>
      <c r="O4466" s="83"/>
      <c r="P4466" s="86"/>
      <c r="Q4466" s="86"/>
      <c r="R4466" s="84"/>
      <c r="S4466" s="185"/>
      <c r="T4466" s="185"/>
      <c r="U4466" s="185"/>
      <c r="V4466" s="185"/>
      <c r="W4466" s="185"/>
      <c r="X4466" s="185"/>
      <c r="Y4466" s="284"/>
      <c r="Z4466" s="284"/>
      <c r="AA4466" s="284"/>
      <c r="AB4466" s="284"/>
      <c r="AC4466" s="284"/>
      <c r="AD4466" s="284"/>
      <c r="AE4466" s="284"/>
      <c r="AF4466" s="284"/>
      <c r="AG4466" s="284"/>
      <c r="AH4466" s="284"/>
      <c r="AI4466" s="284"/>
      <c r="AJ4466" s="284"/>
      <c r="AK4466" s="284"/>
      <c r="AL4466" s="284"/>
    </row>
    <row r="4467" ht="15.75" customHeight="1">
      <c r="A4467" s="27"/>
      <c r="B4467" s="86"/>
      <c r="C4467" s="86"/>
      <c r="D4467" s="117"/>
      <c r="E4467" s="83"/>
      <c r="F4467" s="86"/>
      <c r="G4467" s="86"/>
      <c r="H4467" s="83"/>
      <c r="I4467" s="86"/>
      <c r="J4467" s="86"/>
      <c r="K4467" s="83"/>
      <c r="L4467" s="86"/>
      <c r="M4467" s="86"/>
      <c r="N4467" s="86"/>
      <c r="O4467" s="83"/>
      <c r="P4467" s="86"/>
      <c r="Q4467" s="86"/>
      <c r="R4467" s="84"/>
      <c r="S4467" s="185"/>
      <c r="T4467" s="185"/>
      <c r="U4467" s="185"/>
      <c r="V4467" s="185"/>
      <c r="W4467" s="185"/>
      <c r="X4467" s="185"/>
      <c r="Y4467" s="284"/>
      <c r="Z4467" s="284"/>
      <c r="AA4467" s="284"/>
      <c r="AB4467" s="284"/>
      <c r="AC4467" s="284"/>
      <c r="AD4467" s="284"/>
      <c r="AE4467" s="284"/>
      <c r="AF4467" s="284"/>
      <c r="AG4467" s="284"/>
      <c r="AH4467" s="284"/>
      <c r="AI4467" s="284"/>
      <c r="AJ4467" s="284"/>
      <c r="AK4467" s="284"/>
      <c r="AL4467" s="284"/>
    </row>
    <row r="4468" ht="15.75" customHeight="1">
      <c r="A4468" s="27"/>
      <c r="B4468" s="86"/>
      <c r="C4468" s="86"/>
      <c r="D4468" s="117"/>
      <c r="E4468" s="83"/>
      <c r="F4468" s="86"/>
      <c r="G4468" s="86"/>
      <c r="H4468" s="83"/>
      <c r="I4468" s="86"/>
      <c r="J4468" s="86"/>
      <c r="K4468" s="83"/>
      <c r="L4468" s="86"/>
      <c r="M4468" s="86"/>
      <c r="N4468" s="86"/>
      <c r="O4468" s="83"/>
      <c r="P4468" s="86"/>
      <c r="Q4468" s="86"/>
      <c r="R4468" s="84"/>
      <c r="S4468" s="185"/>
      <c r="T4468" s="185"/>
      <c r="U4468" s="185"/>
      <c r="V4468" s="185"/>
      <c r="W4468" s="185"/>
      <c r="X4468" s="185"/>
      <c r="Y4468" s="284"/>
      <c r="Z4468" s="284"/>
      <c r="AA4468" s="284"/>
      <c r="AB4468" s="284"/>
      <c r="AC4468" s="284"/>
      <c r="AD4468" s="284"/>
      <c r="AE4468" s="284"/>
      <c r="AF4468" s="284"/>
      <c r="AG4468" s="284"/>
      <c r="AH4468" s="284"/>
      <c r="AI4468" s="284"/>
      <c r="AJ4468" s="284"/>
      <c r="AK4468" s="284"/>
      <c r="AL4468" s="284"/>
    </row>
    <row r="4469" ht="15.75" customHeight="1">
      <c r="A4469" s="27"/>
      <c r="B4469" s="86"/>
      <c r="C4469" s="86"/>
      <c r="D4469" s="117"/>
      <c r="E4469" s="83"/>
      <c r="F4469" s="86"/>
      <c r="G4469" s="86"/>
      <c r="H4469" s="83"/>
      <c r="I4469" s="86"/>
      <c r="J4469" s="86"/>
      <c r="K4469" s="83"/>
      <c r="L4469" s="86"/>
      <c r="M4469" s="86"/>
      <c r="N4469" s="86"/>
      <c r="O4469" s="83"/>
      <c r="P4469" s="86"/>
      <c r="Q4469" s="86"/>
      <c r="R4469" s="84"/>
      <c r="S4469" s="185"/>
      <c r="T4469" s="185"/>
      <c r="U4469" s="185"/>
      <c r="V4469" s="185"/>
      <c r="W4469" s="185"/>
      <c r="X4469" s="185"/>
      <c r="Y4469" s="284"/>
      <c r="Z4469" s="284"/>
      <c r="AA4469" s="284"/>
      <c r="AB4469" s="284"/>
      <c r="AC4469" s="284"/>
      <c r="AD4469" s="284"/>
      <c r="AE4469" s="284"/>
      <c r="AF4469" s="284"/>
      <c r="AG4469" s="284"/>
      <c r="AH4469" s="284"/>
      <c r="AI4469" s="284"/>
      <c r="AJ4469" s="284"/>
      <c r="AK4469" s="284"/>
      <c r="AL4469" s="284"/>
    </row>
    <row r="4470" ht="15.75" customHeight="1">
      <c r="A4470" s="27"/>
      <c r="B4470" s="86"/>
      <c r="C4470" s="86"/>
      <c r="D4470" s="117"/>
      <c r="E4470" s="83"/>
      <c r="F4470" s="86"/>
      <c r="G4470" s="86"/>
      <c r="H4470" s="83"/>
      <c r="I4470" s="86"/>
      <c r="J4470" s="86"/>
      <c r="K4470" s="83"/>
      <c r="L4470" s="86"/>
      <c r="M4470" s="86"/>
      <c r="N4470" s="86"/>
      <c r="O4470" s="83"/>
      <c r="P4470" s="86"/>
      <c r="Q4470" s="86"/>
      <c r="R4470" s="84"/>
      <c r="S4470" s="185"/>
      <c r="T4470" s="185"/>
      <c r="U4470" s="185"/>
      <c r="V4470" s="185"/>
      <c r="W4470" s="185"/>
      <c r="X4470" s="185"/>
      <c r="Y4470" s="284"/>
      <c r="Z4470" s="284"/>
      <c r="AA4470" s="284"/>
      <c r="AB4470" s="284"/>
      <c r="AC4470" s="284"/>
      <c r="AD4470" s="284"/>
      <c r="AE4470" s="284"/>
      <c r="AF4470" s="284"/>
      <c r="AG4470" s="284"/>
      <c r="AH4470" s="284"/>
      <c r="AI4470" s="284"/>
      <c r="AJ4470" s="284"/>
      <c r="AK4470" s="284"/>
      <c r="AL4470" s="284"/>
    </row>
    <row r="4471" ht="15.75" customHeight="1">
      <c r="A4471" s="27"/>
      <c r="B4471" s="86"/>
      <c r="C4471" s="86"/>
      <c r="D4471" s="117"/>
      <c r="E4471" s="83"/>
      <c r="F4471" s="86"/>
      <c r="G4471" s="86"/>
      <c r="H4471" s="83"/>
      <c r="I4471" s="86"/>
      <c r="J4471" s="86"/>
      <c r="K4471" s="83"/>
      <c r="L4471" s="86"/>
      <c r="M4471" s="86"/>
      <c r="N4471" s="86"/>
      <c r="O4471" s="83"/>
      <c r="P4471" s="86"/>
      <c r="Q4471" s="86"/>
      <c r="R4471" s="84"/>
      <c r="S4471" s="185"/>
      <c r="T4471" s="185"/>
      <c r="U4471" s="185"/>
      <c r="V4471" s="185"/>
      <c r="W4471" s="185"/>
      <c r="X4471" s="185"/>
      <c r="Y4471" s="284"/>
      <c r="Z4471" s="284"/>
      <c r="AA4471" s="284"/>
      <c r="AB4471" s="284"/>
      <c r="AC4471" s="284"/>
      <c r="AD4471" s="284"/>
      <c r="AE4471" s="284"/>
      <c r="AF4471" s="284"/>
      <c r="AG4471" s="284"/>
      <c r="AH4471" s="284"/>
      <c r="AI4471" s="284"/>
      <c r="AJ4471" s="284"/>
      <c r="AK4471" s="284"/>
      <c r="AL4471" s="284"/>
    </row>
    <row r="4472" ht="15.75" customHeight="1">
      <c r="A4472" s="27"/>
      <c r="B4472" s="86"/>
      <c r="C4472" s="86"/>
      <c r="D4472" s="117"/>
      <c r="E4472" s="83"/>
      <c r="F4472" s="86"/>
      <c r="G4472" s="86"/>
      <c r="H4472" s="83"/>
      <c r="I4472" s="86"/>
      <c r="J4472" s="86"/>
      <c r="K4472" s="83"/>
      <c r="L4472" s="86"/>
      <c r="M4472" s="86"/>
      <c r="N4472" s="86"/>
      <c r="O4472" s="83"/>
      <c r="P4472" s="86"/>
      <c r="Q4472" s="86"/>
      <c r="R4472" s="84"/>
      <c r="S4472" s="185"/>
      <c r="T4472" s="185"/>
      <c r="U4472" s="185"/>
      <c r="V4472" s="185"/>
      <c r="W4472" s="185"/>
      <c r="X4472" s="185"/>
      <c r="Y4472" s="284"/>
      <c r="Z4472" s="284"/>
      <c r="AA4472" s="284"/>
      <c r="AB4472" s="284"/>
      <c r="AC4472" s="284"/>
      <c r="AD4472" s="284"/>
      <c r="AE4472" s="284"/>
      <c r="AF4472" s="284"/>
      <c r="AG4472" s="284"/>
      <c r="AH4472" s="284"/>
      <c r="AI4472" s="284"/>
      <c r="AJ4472" s="284"/>
      <c r="AK4472" s="284"/>
      <c r="AL4472" s="284"/>
    </row>
    <row r="4473" ht="15.75" customHeight="1">
      <c r="A4473" s="27"/>
      <c r="B4473" s="86"/>
      <c r="C4473" s="86"/>
      <c r="D4473" s="117"/>
      <c r="E4473" s="83"/>
      <c r="F4473" s="86"/>
      <c r="G4473" s="86"/>
      <c r="H4473" s="83"/>
      <c r="I4473" s="86"/>
      <c r="J4473" s="86"/>
      <c r="K4473" s="83"/>
      <c r="L4473" s="86"/>
      <c r="M4473" s="86"/>
      <c r="N4473" s="86"/>
      <c r="O4473" s="83"/>
      <c r="P4473" s="86"/>
      <c r="Q4473" s="86"/>
      <c r="R4473" s="84"/>
      <c r="S4473" s="185"/>
      <c r="T4473" s="185"/>
      <c r="U4473" s="185"/>
      <c r="V4473" s="185"/>
      <c r="W4473" s="185"/>
      <c r="X4473" s="185"/>
      <c r="Y4473" s="284"/>
      <c r="Z4473" s="284"/>
      <c r="AA4473" s="284"/>
      <c r="AB4473" s="284"/>
      <c r="AC4473" s="284"/>
      <c r="AD4473" s="284"/>
      <c r="AE4473" s="284"/>
      <c r="AF4473" s="284"/>
      <c r="AG4473" s="284"/>
      <c r="AH4473" s="284"/>
      <c r="AI4473" s="284"/>
      <c r="AJ4473" s="284"/>
      <c r="AK4473" s="284"/>
      <c r="AL4473" s="284"/>
    </row>
    <row r="4474" ht="15.75" customHeight="1">
      <c r="A4474" s="27"/>
      <c r="B4474" s="86"/>
      <c r="C4474" s="86"/>
      <c r="D4474" s="117"/>
      <c r="E4474" s="83"/>
      <c r="F4474" s="86"/>
      <c r="G4474" s="86"/>
      <c r="H4474" s="83"/>
      <c r="I4474" s="86"/>
      <c r="J4474" s="86"/>
      <c r="K4474" s="83"/>
      <c r="L4474" s="86"/>
      <c r="M4474" s="86"/>
      <c r="N4474" s="86"/>
      <c r="O4474" s="83"/>
      <c r="P4474" s="86"/>
      <c r="Q4474" s="86"/>
      <c r="R4474" s="84"/>
      <c r="S4474" s="185"/>
      <c r="T4474" s="185"/>
      <c r="U4474" s="185"/>
      <c r="V4474" s="185"/>
      <c r="W4474" s="185"/>
      <c r="X4474" s="185"/>
      <c r="Y4474" s="284"/>
      <c r="Z4474" s="284"/>
      <c r="AA4474" s="284"/>
      <c r="AB4474" s="284"/>
      <c r="AC4474" s="284"/>
      <c r="AD4474" s="284"/>
      <c r="AE4474" s="284"/>
      <c r="AF4474" s="284"/>
      <c r="AG4474" s="284"/>
      <c r="AH4474" s="284"/>
      <c r="AI4474" s="284"/>
      <c r="AJ4474" s="284"/>
      <c r="AK4474" s="284"/>
      <c r="AL4474" s="284"/>
    </row>
    <row r="4475" ht="15.75" customHeight="1">
      <c r="A4475" s="27"/>
      <c r="B4475" s="86"/>
      <c r="C4475" s="86"/>
      <c r="D4475" s="117"/>
      <c r="E4475" s="83"/>
      <c r="F4475" s="86"/>
      <c r="G4475" s="86"/>
      <c r="H4475" s="83"/>
      <c r="I4475" s="86"/>
      <c r="J4475" s="86"/>
      <c r="K4475" s="83"/>
      <c r="L4475" s="86"/>
      <c r="M4475" s="86"/>
      <c r="N4475" s="86"/>
      <c r="O4475" s="83"/>
      <c r="P4475" s="86"/>
      <c r="Q4475" s="86"/>
      <c r="R4475" s="84"/>
      <c r="S4475" s="185"/>
      <c r="T4475" s="185"/>
      <c r="U4475" s="185"/>
      <c r="V4475" s="185"/>
      <c r="W4475" s="185"/>
      <c r="X4475" s="185"/>
      <c r="Y4475" s="284"/>
      <c r="Z4475" s="284"/>
      <c r="AA4475" s="284"/>
      <c r="AB4475" s="284"/>
      <c r="AC4475" s="284"/>
      <c r="AD4475" s="284"/>
      <c r="AE4475" s="284"/>
      <c r="AF4475" s="284"/>
      <c r="AG4475" s="284"/>
      <c r="AH4475" s="284"/>
      <c r="AI4475" s="284"/>
      <c r="AJ4475" s="284"/>
      <c r="AK4475" s="284"/>
      <c r="AL4475" s="284"/>
    </row>
    <row r="4476" ht="15.75" customHeight="1">
      <c r="A4476" s="27"/>
      <c r="B4476" s="86"/>
      <c r="C4476" s="86"/>
      <c r="D4476" s="117"/>
      <c r="E4476" s="83"/>
      <c r="F4476" s="86"/>
      <c r="G4476" s="86"/>
      <c r="H4476" s="83"/>
      <c r="I4476" s="86"/>
      <c r="J4476" s="86"/>
      <c r="K4476" s="83"/>
      <c r="L4476" s="86"/>
      <c r="M4476" s="86"/>
      <c r="N4476" s="86"/>
      <c r="O4476" s="83"/>
      <c r="P4476" s="86"/>
      <c r="Q4476" s="86"/>
      <c r="R4476" s="84"/>
      <c r="S4476" s="185"/>
      <c r="T4476" s="185"/>
      <c r="U4476" s="185"/>
      <c r="V4476" s="185"/>
      <c r="W4476" s="185"/>
      <c r="X4476" s="185"/>
      <c r="Y4476" s="284"/>
      <c r="Z4476" s="284"/>
      <c r="AA4476" s="284"/>
      <c r="AB4476" s="284"/>
      <c r="AC4476" s="284"/>
      <c r="AD4476" s="284"/>
      <c r="AE4476" s="284"/>
      <c r="AF4476" s="284"/>
      <c r="AG4476" s="284"/>
      <c r="AH4476" s="284"/>
      <c r="AI4476" s="284"/>
      <c r="AJ4476" s="284"/>
      <c r="AK4476" s="284"/>
      <c r="AL4476" s="284"/>
    </row>
    <row r="4477" ht="15.75" customHeight="1">
      <c r="A4477" s="27"/>
      <c r="B4477" s="86"/>
      <c r="C4477" s="86"/>
      <c r="D4477" s="117"/>
      <c r="E4477" s="83"/>
      <c r="F4477" s="86"/>
      <c r="G4477" s="86"/>
      <c r="H4477" s="83"/>
      <c r="I4477" s="86"/>
      <c r="J4477" s="86"/>
      <c r="K4477" s="83"/>
      <c r="L4477" s="86"/>
      <c r="M4477" s="86"/>
      <c r="N4477" s="86"/>
      <c r="O4477" s="83"/>
      <c r="P4477" s="86"/>
      <c r="Q4477" s="86"/>
      <c r="R4477" s="84"/>
      <c r="S4477" s="185"/>
      <c r="T4477" s="185"/>
      <c r="U4477" s="185"/>
      <c r="V4477" s="185"/>
      <c r="W4477" s="185"/>
      <c r="X4477" s="185"/>
      <c r="Y4477" s="284"/>
      <c r="Z4477" s="284"/>
      <c r="AA4477" s="284"/>
      <c r="AB4477" s="284"/>
      <c r="AC4477" s="284"/>
      <c r="AD4477" s="284"/>
      <c r="AE4477" s="284"/>
      <c r="AF4477" s="284"/>
      <c r="AG4477" s="284"/>
      <c r="AH4477" s="284"/>
      <c r="AI4477" s="284"/>
      <c r="AJ4477" s="284"/>
      <c r="AK4477" s="284"/>
      <c r="AL4477" s="284"/>
    </row>
    <row r="4478" ht="15.75" customHeight="1">
      <c r="A4478" s="27"/>
      <c r="B4478" s="86"/>
      <c r="C4478" s="86"/>
      <c r="D4478" s="117"/>
      <c r="E4478" s="83"/>
      <c r="F4478" s="86"/>
      <c r="G4478" s="86"/>
      <c r="H4478" s="83"/>
      <c r="I4478" s="86"/>
      <c r="J4478" s="86"/>
      <c r="K4478" s="83"/>
      <c r="L4478" s="86"/>
      <c r="M4478" s="86"/>
      <c r="N4478" s="86"/>
      <c r="O4478" s="83"/>
      <c r="P4478" s="86"/>
      <c r="Q4478" s="86"/>
      <c r="R4478" s="84"/>
      <c r="S4478" s="185"/>
      <c r="T4478" s="185"/>
      <c r="U4478" s="185"/>
      <c r="V4478" s="185"/>
      <c r="W4478" s="185"/>
      <c r="X4478" s="185"/>
      <c r="Y4478" s="284"/>
      <c r="Z4478" s="284"/>
      <c r="AA4478" s="284"/>
      <c r="AB4478" s="284"/>
      <c r="AC4478" s="284"/>
      <c r="AD4478" s="284"/>
      <c r="AE4478" s="284"/>
      <c r="AF4478" s="284"/>
      <c r="AG4478" s="284"/>
      <c r="AH4478" s="284"/>
      <c r="AI4478" s="284"/>
      <c r="AJ4478" s="284"/>
      <c r="AK4478" s="284"/>
      <c r="AL4478" s="284"/>
    </row>
    <row r="4479" ht="15.75" customHeight="1">
      <c r="A4479" s="27"/>
      <c r="B4479" s="86"/>
      <c r="C4479" s="86"/>
      <c r="D4479" s="117"/>
      <c r="E4479" s="83"/>
      <c r="F4479" s="86"/>
      <c r="G4479" s="86"/>
      <c r="H4479" s="83"/>
      <c r="I4479" s="86"/>
      <c r="J4479" s="86"/>
      <c r="K4479" s="83"/>
      <c r="L4479" s="86"/>
      <c r="M4479" s="86"/>
      <c r="N4479" s="86"/>
      <c r="O4479" s="83"/>
      <c r="P4479" s="86"/>
      <c r="Q4479" s="86"/>
      <c r="R4479" s="84"/>
      <c r="S4479" s="185"/>
      <c r="T4479" s="185"/>
      <c r="U4479" s="185"/>
      <c r="V4479" s="185"/>
      <c r="W4479" s="185"/>
      <c r="X4479" s="185"/>
      <c r="Y4479" s="284"/>
      <c r="Z4479" s="284"/>
      <c r="AA4479" s="284"/>
      <c r="AB4479" s="284"/>
      <c r="AC4479" s="284"/>
      <c r="AD4479" s="284"/>
      <c r="AE4479" s="284"/>
      <c r="AF4479" s="284"/>
      <c r="AG4479" s="284"/>
      <c r="AH4479" s="284"/>
      <c r="AI4479" s="284"/>
      <c r="AJ4479" s="284"/>
      <c r="AK4479" s="284"/>
      <c r="AL4479" s="284"/>
    </row>
    <row r="4480" ht="15.75" customHeight="1">
      <c r="A4480" s="27"/>
      <c r="B4480" s="86"/>
      <c r="C4480" s="86"/>
      <c r="D4480" s="117"/>
      <c r="E4480" s="83"/>
      <c r="F4480" s="86"/>
      <c r="G4480" s="86"/>
      <c r="H4480" s="83"/>
      <c r="I4480" s="86"/>
      <c r="J4480" s="86"/>
      <c r="K4480" s="83"/>
      <c r="L4480" s="86"/>
      <c r="M4480" s="86"/>
      <c r="N4480" s="86"/>
      <c r="O4480" s="83"/>
      <c r="P4480" s="86"/>
      <c r="Q4480" s="86"/>
      <c r="R4480" s="84"/>
      <c r="S4480" s="185"/>
      <c r="T4480" s="185"/>
      <c r="U4480" s="185"/>
      <c r="V4480" s="185"/>
      <c r="W4480" s="185"/>
      <c r="X4480" s="185"/>
      <c r="Y4480" s="284"/>
      <c r="Z4480" s="284"/>
      <c r="AA4480" s="284"/>
      <c r="AB4480" s="284"/>
      <c r="AC4480" s="284"/>
      <c r="AD4480" s="284"/>
      <c r="AE4480" s="284"/>
      <c r="AF4480" s="284"/>
      <c r="AG4480" s="284"/>
      <c r="AH4480" s="284"/>
      <c r="AI4480" s="284"/>
      <c r="AJ4480" s="284"/>
      <c r="AK4480" s="284"/>
      <c r="AL4480" s="284"/>
    </row>
    <row r="4481" ht="15.75" customHeight="1">
      <c r="A4481" s="27"/>
      <c r="B4481" s="86"/>
      <c r="C4481" s="86"/>
      <c r="D4481" s="117"/>
      <c r="E4481" s="83"/>
      <c r="F4481" s="86"/>
      <c r="G4481" s="86"/>
      <c r="H4481" s="83"/>
      <c r="I4481" s="86"/>
      <c r="J4481" s="86"/>
      <c r="K4481" s="83"/>
      <c r="L4481" s="86"/>
      <c r="M4481" s="86"/>
      <c r="N4481" s="86"/>
      <c r="O4481" s="83"/>
      <c r="P4481" s="86"/>
      <c r="Q4481" s="86"/>
      <c r="R4481" s="84"/>
      <c r="S4481" s="185"/>
      <c r="T4481" s="185"/>
      <c r="U4481" s="185"/>
      <c r="V4481" s="185"/>
      <c r="W4481" s="185"/>
      <c r="X4481" s="185"/>
      <c r="Y4481" s="284"/>
      <c r="Z4481" s="284"/>
      <c r="AA4481" s="284"/>
      <c r="AB4481" s="284"/>
      <c r="AC4481" s="284"/>
      <c r="AD4481" s="284"/>
      <c r="AE4481" s="284"/>
      <c r="AF4481" s="284"/>
      <c r="AG4481" s="284"/>
      <c r="AH4481" s="284"/>
      <c r="AI4481" s="284"/>
      <c r="AJ4481" s="284"/>
      <c r="AK4481" s="284"/>
      <c r="AL4481" s="284"/>
    </row>
    <row r="4482" ht="15.75" customHeight="1">
      <c r="A4482" s="27"/>
      <c r="B4482" s="86"/>
      <c r="C4482" s="86"/>
      <c r="D4482" s="117"/>
      <c r="E4482" s="83"/>
      <c r="F4482" s="86"/>
      <c r="G4482" s="86"/>
      <c r="H4482" s="83"/>
      <c r="I4482" s="86"/>
      <c r="J4482" s="86"/>
      <c r="K4482" s="83"/>
      <c r="L4482" s="86"/>
      <c r="M4482" s="86"/>
      <c r="N4482" s="86"/>
      <c r="O4482" s="83"/>
      <c r="P4482" s="86"/>
      <c r="Q4482" s="86"/>
      <c r="R4482" s="84"/>
      <c r="S4482" s="185"/>
      <c r="T4482" s="185"/>
      <c r="U4482" s="185"/>
      <c r="V4482" s="185"/>
      <c r="W4482" s="185"/>
      <c r="X4482" s="185"/>
      <c r="Y4482" s="284"/>
      <c r="Z4482" s="284"/>
      <c r="AA4482" s="284"/>
      <c r="AB4482" s="284"/>
      <c r="AC4482" s="284"/>
      <c r="AD4482" s="284"/>
      <c r="AE4482" s="284"/>
      <c r="AF4482" s="284"/>
      <c r="AG4482" s="284"/>
      <c r="AH4482" s="284"/>
      <c r="AI4482" s="284"/>
      <c r="AJ4482" s="284"/>
      <c r="AK4482" s="284"/>
      <c r="AL4482" s="284"/>
    </row>
    <row r="4483" ht="15.75" customHeight="1">
      <c r="A4483" s="27"/>
      <c r="B4483" s="86"/>
      <c r="C4483" s="86"/>
      <c r="D4483" s="117"/>
      <c r="E4483" s="83"/>
      <c r="F4483" s="86"/>
      <c r="G4483" s="86"/>
      <c r="H4483" s="83"/>
      <c r="I4483" s="86"/>
      <c r="J4483" s="86"/>
      <c r="K4483" s="83"/>
      <c r="L4483" s="86"/>
      <c r="M4483" s="86"/>
      <c r="N4483" s="86"/>
      <c r="O4483" s="83"/>
      <c r="P4483" s="86"/>
      <c r="Q4483" s="86"/>
      <c r="R4483" s="84"/>
      <c r="S4483" s="185"/>
      <c r="T4483" s="185"/>
      <c r="U4483" s="185"/>
      <c r="V4483" s="185"/>
      <c r="W4483" s="185"/>
      <c r="X4483" s="185"/>
      <c r="Y4483" s="284"/>
      <c r="Z4483" s="284"/>
      <c r="AA4483" s="284"/>
      <c r="AB4483" s="284"/>
      <c r="AC4483" s="284"/>
      <c r="AD4483" s="284"/>
      <c r="AE4483" s="284"/>
      <c r="AF4483" s="284"/>
      <c r="AG4483" s="284"/>
      <c r="AH4483" s="284"/>
      <c r="AI4483" s="284"/>
      <c r="AJ4483" s="284"/>
      <c r="AK4483" s="284"/>
      <c r="AL4483" s="284"/>
    </row>
    <row r="4484" ht="15.75" customHeight="1">
      <c r="A4484" s="27"/>
      <c r="B4484" s="86"/>
      <c r="C4484" s="86"/>
      <c r="D4484" s="117"/>
      <c r="E4484" s="83"/>
      <c r="F4484" s="86"/>
      <c r="G4484" s="86"/>
      <c r="H4484" s="83"/>
      <c r="I4484" s="86"/>
      <c r="J4484" s="86"/>
      <c r="K4484" s="83"/>
      <c r="L4484" s="86"/>
      <c r="M4484" s="86"/>
      <c r="N4484" s="86"/>
      <c r="O4484" s="83"/>
      <c r="P4484" s="86"/>
      <c r="Q4484" s="86"/>
      <c r="R4484" s="84"/>
      <c r="S4484" s="185"/>
      <c r="T4484" s="185"/>
      <c r="U4484" s="185"/>
      <c r="V4484" s="185"/>
      <c r="W4484" s="185"/>
      <c r="X4484" s="185"/>
      <c r="Y4484" s="284"/>
      <c r="Z4484" s="284"/>
      <c r="AA4484" s="284"/>
      <c r="AB4484" s="284"/>
      <c r="AC4484" s="284"/>
      <c r="AD4484" s="284"/>
      <c r="AE4484" s="284"/>
      <c r="AF4484" s="284"/>
      <c r="AG4484" s="284"/>
      <c r="AH4484" s="284"/>
      <c r="AI4484" s="284"/>
      <c r="AJ4484" s="284"/>
      <c r="AK4484" s="284"/>
      <c r="AL4484" s="284"/>
    </row>
    <row r="4485" ht="15.75" customHeight="1">
      <c r="A4485" s="27"/>
      <c r="B4485" s="86"/>
      <c r="C4485" s="86"/>
      <c r="D4485" s="117"/>
      <c r="E4485" s="83"/>
      <c r="F4485" s="86"/>
      <c r="G4485" s="86"/>
      <c r="H4485" s="83"/>
      <c r="I4485" s="86"/>
      <c r="J4485" s="86"/>
      <c r="K4485" s="83"/>
      <c r="L4485" s="86"/>
      <c r="M4485" s="86"/>
      <c r="N4485" s="86"/>
      <c r="O4485" s="83"/>
      <c r="P4485" s="86"/>
      <c r="Q4485" s="86"/>
      <c r="R4485" s="84"/>
      <c r="S4485" s="185"/>
      <c r="T4485" s="185"/>
      <c r="U4485" s="185"/>
      <c r="V4485" s="185"/>
      <c r="W4485" s="185"/>
      <c r="X4485" s="185"/>
      <c r="Y4485" s="284"/>
      <c r="Z4485" s="284"/>
      <c r="AA4485" s="284"/>
      <c r="AB4485" s="284"/>
      <c r="AC4485" s="284"/>
      <c r="AD4485" s="284"/>
      <c r="AE4485" s="284"/>
      <c r="AF4485" s="284"/>
      <c r="AG4485" s="284"/>
      <c r="AH4485" s="284"/>
      <c r="AI4485" s="284"/>
      <c r="AJ4485" s="284"/>
      <c r="AK4485" s="284"/>
      <c r="AL4485" s="284"/>
    </row>
    <row r="4486" ht="15.75" customHeight="1">
      <c r="A4486" s="27"/>
      <c r="B4486" s="86"/>
      <c r="C4486" s="86"/>
      <c r="D4486" s="117"/>
      <c r="E4486" s="83"/>
      <c r="F4486" s="86"/>
      <c r="G4486" s="86"/>
      <c r="H4486" s="83"/>
      <c r="I4486" s="86"/>
      <c r="J4486" s="86"/>
      <c r="K4486" s="83"/>
      <c r="L4486" s="86"/>
      <c r="M4486" s="86"/>
      <c r="N4486" s="86"/>
      <c r="O4486" s="83"/>
      <c r="P4486" s="86"/>
      <c r="Q4486" s="86"/>
      <c r="R4486" s="84"/>
      <c r="S4486" s="185"/>
      <c r="T4486" s="185"/>
      <c r="U4486" s="185"/>
      <c r="V4486" s="185"/>
      <c r="W4486" s="185"/>
      <c r="X4486" s="185"/>
      <c r="Y4486" s="284"/>
      <c r="Z4486" s="284"/>
      <c r="AA4486" s="284"/>
      <c r="AB4486" s="284"/>
      <c r="AC4486" s="284"/>
      <c r="AD4486" s="284"/>
      <c r="AE4486" s="284"/>
      <c r="AF4486" s="284"/>
      <c r="AG4486" s="284"/>
      <c r="AH4486" s="284"/>
      <c r="AI4486" s="284"/>
      <c r="AJ4486" s="284"/>
      <c r="AK4486" s="284"/>
      <c r="AL4486" s="284"/>
    </row>
    <row r="4487" ht="15.75" customHeight="1">
      <c r="A4487" s="27"/>
      <c r="B4487" s="86"/>
      <c r="C4487" s="86"/>
      <c r="D4487" s="117"/>
      <c r="E4487" s="83"/>
      <c r="F4487" s="86"/>
      <c r="G4487" s="86"/>
      <c r="H4487" s="83"/>
      <c r="I4487" s="86"/>
      <c r="J4487" s="86"/>
      <c r="K4487" s="83"/>
      <c r="L4487" s="86"/>
      <c r="M4487" s="86"/>
      <c r="N4487" s="86"/>
      <c r="O4487" s="83"/>
      <c r="P4487" s="86"/>
      <c r="Q4487" s="86"/>
      <c r="R4487" s="84"/>
      <c r="S4487" s="185"/>
      <c r="T4487" s="185"/>
      <c r="U4487" s="185"/>
      <c r="V4487" s="185"/>
      <c r="W4487" s="185"/>
      <c r="X4487" s="185"/>
      <c r="Y4487" s="284"/>
      <c r="Z4487" s="284"/>
      <c r="AA4487" s="284"/>
      <c r="AB4487" s="284"/>
      <c r="AC4487" s="284"/>
      <c r="AD4487" s="284"/>
      <c r="AE4487" s="284"/>
      <c r="AF4487" s="284"/>
      <c r="AG4487" s="284"/>
      <c r="AH4487" s="284"/>
      <c r="AI4487" s="284"/>
      <c r="AJ4487" s="284"/>
      <c r="AK4487" s="284"/>
      <c r="AL4487" s="284"/>
    </row>
    <row r="4488" ht="15.75" customHeight="1">
      <c r="A4488" s="27"/>
      <c r="B4488" s="86"/>
      <c r="C4488" s="86"/>
      <c r="D4488" s="117"/>
      <c r="E4488" s="83"/>
      <c r="F4488" s="86"/>
      <c r="G4488" s="86"/>
      <c r="H4488" s="83"/>
      <c r="I4488" s="86"/>
      <c r="J4488" s="86"/>
      <c r="K4488" s="83"/>
      <c r="L4488" s="86"/>
      <c r="M4488" s="86"/>
      <c r="N4488" s="86"/>
      <c r="O4488" s="83"/>
      <c r="P4488" s="86"/>
      <c r="Q4488" s="86"/>
      <c r="R4488" s="84"/>
      <c r="S4488" s="185"/>
      <c r="T4488" s="185"/>
      <c r="U4488" s="185"/>
      <c r="V4488" s="185"/>
      <c r="W4488" s="185"/>
      <c r="X4488" s="185"/>
      <c r="Y4488" s="284"/>
      <c r="Z4488" s="284"/>
      <c r="AA4488" s="284"/>
      <c r="AB4488" s="284"/>
      <c r="AC4488" s="284"/>
      <c r="AD4488" s="284"/>
      <c r="AE4488" s="284"/>
      <c r="AF4488" s="284"/>
      <c r="AG4488" s="284"/>
      <c r="AH4488" s="284"/>
      <c r="AI4488" s="284"/>
      <c r="AJ4488" s="284"/>
      <c r="AK4488" s="284"/>
      <c r="AL4488" s="284"/>
    </row>
    <row r="4489" ht="15.75" customHeight="1">
      <c r="A4489" s="27"/>
      <c r="B4489" s="86"/>
      <c r="C4489" s="86"/>
      <c r="D4489" s="117"/>
      <c r="E4489" s="83"/>
      <c r="F4489" s="86"/>
      <c r="G4489" s="86"/>
      <c r="H4489" s="83"/>
      <c r="I4489" s="86"/>
      <c r="J4489" s="86"/>
      <c r="K4489" s="83"/>
      <c r="L4489" s="86"/>
      <c r="M4489" s="86"/>
      <c r="N4489" s="86"/>
      <c r="O4489" s="83"/>
      <c r="P4489" s="86"/>
      <c r="Q4489" s="86"/>
      <c r="R4489" s="84"/>
      <c r="S4489" s="185"/>
      <c r="T4489" s="185"/>
      <c r="U4489" s="185"/>
      <c r="V4489" s="185"/>
      <c r="W4489" s="185"/>
      <c r="X4489" s="185"/>
      <c r="Y4489" s="284"/>
      <c r="Z4489" s="284"/>
      <c r="AA4489" s="284"/>
      <c r="AB4489" s="284"/>
      <c r="AC4489" s="284"/>
      <c r="AD4489" s="284"/>
      <c r="AE4489" s="284"/>
      <c r="AF4489" s="284"/>
      <c r="AG4489" s="284"/>
      <c r="AH4489" s="284"/>
      <c r="AI4489" s="284"/>
      <c r="AJ4489" s="284"/>
      <c r="AK4489" s="284"/>
      <c r="AL4489" s="284"/>
    </row>
    <row r="4490" ht="15.75" customHeight="1">
      <c r="A4490" s="27"/>
      <c r="B4490" s="86"/>
      <c r="C4490" s="86"/>
      <c r="D4490" s="117"/>
      <c r="E4490" s="83"/>
      <c r="F4490" s="86"/>
      <c r="G4490" s="86"/>
      <c r="H4490" s="83"/>
      <c r="I4490" s="86"/>
      <c r="J4490" s="86"/>
      <c r="K4490" s="83"/>
      <c r="L4490" s="86"/>
      <c r="M4490" s="86"/>
      <c r="N4490" s="86"/>
      <c r="O4490" s="83"/>
      <c r="P4490" s="86"/>
      <c r="Q4490" s="86"/>
      <c r="R4490" s="84"/>
      <c r="S4490" s="185"/>
      <c r="T4490" s="185"/>
      <c r="U4490" s="185"/>
      <c r="V4490" s="185"/>
      <c r="W4490" s="185"/>
      <c r="X4490" s="185"/>
      <c r="Y4490" s="284"/>
      <c r="Z4490" s="284"/>
      <c r="AA4490" s="284"/>
      <c r="AB4490" s="284"/>
      <c r="AC4490" s="284"/>
      <c r="AD4490" s="284"/>
      <c r="AE4490" s="284"/>
      <c r="AF4490" s="284"/>
      <c r="AG4490" s="284"/>
      <c r="AH4490" s="284"/>
      <c r="AI4490" s="284"/>
      <c r="AJ4490" s="284"/>
      <c r="AK4490" s="284"/>
      <c r="AL4490" s="284"/>
    </row>
    <row r="4491" ht="15.75" customHeight="1">
      <c r="A4491" s="27"/>
      <c r="B4491" s="86"/>
      <c r="C4491" s="86"/>
      <c r="D4491" s="117"/>
      <c r="E4491" s="83"/>
      <c r="F4491" s="86"/>
      <c r="G4491" s="86"/>
      <c r="H4491" s="83"/>
      <c r="I4491" s="86"/>
      <c r="J4491" s="86"/>
      <c r="K4491" s="83"/>
      <c r="L4491" s="86"/>
      <c r="M4491" s="86"/>
      <c r="N4491" s="86"/>
      <c r="O4491" s="83"/>
      <c r="P4491" s="86"/>
      <c r="Q4491" s="86"/>
      <c r="R4491" s="84"/>
      <c r="S4491" s="185"/>
      <c r="T4491" s="185"/>
      <c r="U4491" s="185"/>
      <c r="V4491" s="185"/>
      <c r="W4491" s="185"/>
      <c r="X4491" s="185"/>
      <c r="Y4491" s="284"/>
      <c r="Z4491" s="284"/>
      <c r="AA4491" s="284"/>
      <c r="AB4491" s="284"/>
      <c r="AC4491" s="284"/>
      <c r="AD4491" s="284"/>
      <c r="AE4491" s="284"/>
      <c r="AF4491" s="284"/>
      <c r="AG4491" s="284"/>
      <c r="AH4491" s="284"/>
      <c r="AI4491" s="284"/>
      <c r="AJ4491" s="284"/>
      <c r="AK4491" s="284"/>
      <c r="AL4491" s="284"/>
    </row>
    <row r="4492" ht="15.75" customHeight="1">
      <c r="A4492" s="27"/>
      <c r="B4492" s="86"/>
      <c r="C4492" s="86"/>
      <c r="D4492" s="117"/>
      <c r="E4492" s="83"/>
      <c r="F4492" s="86"/>
      <c r="G4492" s="86"/>
      <c r="H4492" s="83"/>
      <c r="I4492" s="86"/>
      <c r="J4492" s="86"/>
      <c r="K4492" s="83"/>
      <c r="L4492" s="86"/>
      <c r="M4492" s="86"/>
      <c r="N4492" s="86"/>
      <c r="O4492" s="83"/>
      <c r="P4492" s="86"/>
      <c r="Q4492" s="86"/>
      <c r="R4492" s="84"/>
      <c r="S4492" s="185"/>
      <c r="T4492" s="185"/>
      <c r="U4492" s="185"/>
      <c r="V4492" s="185"/>
      <c r="W4492" s="185"/>
      <c r="X4492" s="185"/>
      <c r="Y4492" s="284"/>
      <c r="Z4492" s="284"/>
      <c r="AA4492" s="284"/>
      <c r="AB4492" s="284"/>
      <c r="AC4492" s="284"/>
      <c r="AD4492" s="284"/>
      <c r="AE4492" s="284"/>
      <c r="AF4492" s="284"/>
      <c r="AG4492" s="284"/>
      <c r="AH4492" s="284"/>
      <c r="AI4492" s="284"/>
      <c r="AJ4492" s="284"/>
      <c r="AK4492" s="284"/>
      <c r="AL4492" s="284"/>
    </row>
    <row r="4493" ht="15.75" customHeight="1">
      <c r="A4493" s="27"/>
      <c r="B4493" s="86"/>
      <c r="C4493" s="86"/>
      <c r="D4493" s="117"/>
      <c r="E4493" s="83"/>
      <c r="F4493" s="86"/>
      <c r="G4493" s="86"/>
      <c r="H4493" s="83"/>
      <c r="I4493" s="86"/>
      <c r="J4493" s="86"/>
      <c r="K4493" s="83"/>
      <c r="L4493" s="86"/>
      <c r="M4493" s="86"/>
      <c r="N4493" s="86"/>
      <c r="O4493" s="83"/>
      <c r="P4493" s="86"/>
      <c r="Q4493" s="86"/>
      <c r="R4493" s="84"/>
      <c r="S4493" s="185"/>
      <c r="T4493" s="185"/>
      <c r="U4493" s="185"/>
      <c r="V4493" s="185"/>
      <c r="W4493" s="185"/>
      <c r="X4493" s="185"/>
      <c r="Y4493" s="284"/>
      <c r="Z4493" s="284"/>
      <c r="AA4493" s="284"/>
      <c r="AB4493" s="284"/>
      <c r="AC4493" s="284"/>
      <c r="AD4493" s="284"/>
      <c r="AE4493" s="284"/>
      <c r="AF4493" s="284"/>
      <c r="AG4493" s="284"/>
      <c r="AH4493" s="284"/>
      <c r="AI4493" s="284"/>
      <c r="AJ4493" s="284"/>
      <c r="AK4493" s="284"/>
      <c r="AL4493" s="284"/>
    </row>
    <row r="4494" ht="15.75" customHeight="1">
      <c r="A4494" s="27"/>
      <c r="B4494" s="86"/>
      <c r="C4494" s="86"/>
      <c r="D4494" s="117"/>
      <c r="E4494" s="83"/>
      <c r="F4494" s="86"/>
      <c r="G4494" s="86"/>
      <c r="H4494" s="83"/>
      <c r="I4494" s="86"/>
      <c r="J4494" s="86"/>
      <c r="K4494" s="83"/>
      <c r="L4494" s="86"/>
      <c r="M4494" s="86"/>
      <c r="N4494" s="86"/>
      <c r="O4494" s="83"/>
      <c r="P4494" s="86"/>
      <c r="Q4494" s="86"/>
      <c r="R4494" s="84"/>
      <c r="S4494" s="185"/>
      <c r="T4494" s="185"/>
      <c r="U4494" s="185"/>
      <c r="V4494" s="185"/>
      <c r="W4494" s="185"/>
      <c r="X4494" s="185"/>
      <c r="Y4494" s="284"/>
      <c r="Z4494" s="284"/>
      <c r="AA4494" s="284"/>
      <c r="AB4494" s="284"/>
      <c r="AC4494" s="284"/>
      <c r="AD4494" s="284"/>
      <c r="AE4494" s="284"/>
      <c r="AF4494" s="284"/>
      <c r="AG4494" s="284"/>
      <c r="AH4494" s="284"/>
      <c r="AI4494" s="284"/>
      <c r="AJ4494" s="284"/>
      <c r="AK4494" s="284"/>
      <c r="AL4494" s="284"/>
    </row>
    <row r="4495" ht="15.75" customHeight="1">
      <c r="A4495" s="27"/>
      <c r="B4495" s="86"/>
      <c r="C4495" s="86"/>
      <c r="D4495" s="117"/>
      <c r="E4495" s="83"/>
      <c r="F4495" s="86"/>
      <c r="G4495" s="86"/>
      <c r="H4495" s="83"/>
      <c r="I4495" s="86"/>
      <c r="J4495" s="86"/>
      <c r="K4495" s="83"/>
      <c r="L4495" s="86"/>
      <c r="M4495" s="86"/>
      <c r="N4495" s="86"/>
      <c r="O4495" s="83"/>
      <c r="P4495" s="86"/>
      <c r="Q4495" s="86"/>
      <c r="R4495" s="84"/>
      <c r="S4495" s="185"/>
      <c r="T4495" s="185"/>
      <c r="U4495" s="185"/>
      <c r="V4495" s="185"/>
      <c r="W4495" s="185"/>
      <c r="X4495" s="185"/>
      <c r="Y4495" s="284"/>
      <c r="Z4495" s="284"/>
      <c r="AA4495" s="284"/>
      <c r="AB4495" s="284"/>
      <c r="AC4495" s="284"/>
      <c r="AD4495" s="284"/>
      <c r="AE4495" s="284"/>
      <c r="AF4495" s="284"/>
      <c r="AG4495" s="284"/>
      <c r="AH4495" s="284"/>
      <c r="AI4495" s="284"/>
      <c r="AJ4495" s="284"/>
      <c r="AK4495" s="284"/>
      <c r="AL4495" s="284"/>
    </row>
    <row r="4496" ht="15.75" customHeight="1">
      <c r="A4496" s="27"/>
      <c r="B4496" s="86"/>
      <c r="C4496" s="86"/>
      <c r="D4496" s="117"/>
      <c r="E4496" s="83"/>
      <c r="F4496" s="86"/>
      <c r="G4496" s="86"/>
      <c r="H4496" s="83"/>
      <c r="I4496" s="86"/>
      <c r="J4496" s="86"/>
      <c r="K4496" s="83"/>
      <c r="L4496" s="86"/>
      <c r="M4496" s="86"/>
      <c r="N4496" s="86"/>
      <c r="O4496" s="83"/>
      <c r="P4496" s="86"/>
      <c r="Q4496" s="86"/>
      <c r="R4496" s="84"/>
      <c r="S4496" s="185"/>
      <c r="T4496" s="185"/>
      <c r="U4496" s="185"/>
      <c r="V4496" s="185"/>
      <c r="W4496" s="185"/>
      <c r="X4496" s="185"/>
      <c r="Y4496" s="284"/>
      <c r="Z4496" s="284"/>
      <c r="AA4496" s="284"/>
      <c r="AB4496" s="284"/>
      <c r="AC4496" s="284"/>
      <c r="AD4496" s="284"/>
      <c r="AE4496" s="284"/>
      <c r="AF4496" s="284"/>
      <c r="AG4496" s="284"/>
      <c r="AH4496" s="284"/>
      <c r="AI4496" s="284"/>
      <c r="AJ4496" s="284"/>
      <c r="AK4496" s="284"/>
      <c r="AL4496" s="284"/>
    </row>
    <row r="4497" ht="15.75" customHeight="1">
      <c r="A4497" s="27"/>
      <c r="B4497" s="86"/>
      <c r="C4497" s="86"/>
      <c r="D4497" s="117"/>
      <c r="E4497" s="83"/>
      <c r="F4497" s="86"/>
      <c r="G4497" s="86"/>
      <c r="H4497" s="83"/>
      <c r="I4497" s="86"/>
      <c r="J4497" s="86"/>
      <c r="K4497" s="83"/>
      <c r="L4497" s="86"/>
      <c r="M4497" s="86"/>
      <c r="N4497" s="86"/>
      <c r="O4497" s="83"/>
      <c r="P4497" s="86"/>
      <c r="Q4497" s="86"/>
      <c r="R4497" s="84"/>
      <c r="S4497" s="185"/>
      <c r="T4497" s="185"/>
      <c r="U4497" s="185"/>
      <c r="V4497" s="185"/>
      <c r="W4497" s="185"/>
      <c r="X4497" s="185"/>
      <c r="Y4497" s="284"/>
      <c r="Z4497" s="284"/>
      <c r="AA4497" s="284"/>
      <c r="AB4497" s="284"/>
      <c r="AC4497" s="284"/>
      <c r="AD4497" s="284"/>
      <c r="AE4497" s="284"/>
      <c r="AF4497" s="284"/>
      <c r="AG4497" s="284"/>
      <c r="AH4497" s="284"/>
      <c r="AI4497" s="284"/>
      <c r="AJ4497" s="284"/>
      <c r="AK4497" s="284"/>
      <c r="AL4497" s="284"/>
    </row>
    <row r="4498" ht="15.75" customHeight="1">
      <c r="A4498" s="27"/>
      <c r="B4498" s="86"/>
      <c r="C4498" s="86"/>
      <c r="D4498" s="117"/>
      <c r="E4498" s="83"/>
      <c r="F4498" s="86"/>
      <c r="G4498" s="86"/>
      <c r="H4498" s="83"/>
      <c r="I4498" s="86"/>
      <c r="J4498" s="86"/>
      <c r="K4498" s="83"/>
      <c r="L4498" s="86"/>
      <c r="M4498" s="86"/>
      <c r="N4498" s="86"/>
      <c r="O4498" s="83"/>
      <c r="P4498" s="86"/>
      <c r="Q4498" s="86"/>
      <c r="R4498" s="84"/>
      <c r="S4498" s="185"/>
      <c r="T4498" s="185"/>
      <c r="U4498" s="185"/>
      <c r="V4498" s="185"/>
      <c r="W4498" s="185"/>
      <c r="X4498" s="185"/>
      <c r="Y4498" s="284"/>
      <c r="Z4498" s="284"/>
      <c r="AA4498" s="284"/>
      <c r="AB4498" s="284"/>
      <c r="AC4498" s="284"/>
      <c r="AD4498" s="284"/>
      <c r="AE4498" s="284"/>
      <c r="AF4498" s="284"/>
      <c r="AG4498" s="284"/>
      <c r="AH4498" s="284"/>
      <c r="AI4498" s="284"/>
      <c r="AJ4498" s="284"/>
      <c r="AK4498" s="284"/>
      <c r="AL4498" s="284"/>
    </row>
    <row r="4499" ht="15.75" customHeight="1">
      <c r="A4499" s="27"/>
      <c r="B4499" s="86"/>
      <c r="C4499" s="86"/>
      <c r="D4499" s="117"/>
      <c r="E4499" s="83"/>
      <c r="F4499" s="86"/>
      <c r="G4499" s="86"/>
      <c r="H4499" s="83"/>
      <c r="I4499" s="86"/>
      <c r="J4499" s="86"/>
      <c r="K4499" s="83"/>
      <c r="L4499" s="86"/>
      <c r="M4499" s="86"/>
      <c r="N4499" s="86"/>
      <c r="O4499" s="83"/>
      <c r="P4499" s="86"/>
      <c r="Q4499" s="86"/>
      <c r="R4499" s="84"/>
      <c r="S4499" s="185"/>
      <c r="T4499" s="185"/>
      <c r="U4499" s="185"/>
      <c r="V4499" s="185"/>
      <c r="W4499" s="185"/>
      <c r="X4499" s="185"/>
      <c r="Y4499" s="284"/>
      <c r="Z4499" s="284"/>
      <c r="AA4499" s="284"/>
      <c r="AB4499" s="284"/>
      <c r="AC4499" s="284"/>
      <c r="AD4499" s="284"/>
      <c r="AE4499" s="284"/>
      <c r="AF4499" s="284"/>
      <c r="AG4499" s="284"/>
      <c r="AH4499" s="284"/>
      <c r="AI4499" s="284"/>
      <c r="AJ4499" s="284"/>
      <c r="AK4499" s="284"/>
      <c r="AL4499" s="284"/>
    </row>
    <row r="4500" ht="15.75" customHeight="1">
      <c r="A4500" s="27"/>
      <c r="B4500" s="86"/>
      <c r="C4500" s="86"/>
      <c r="D4500" s="117"/>
      <c r="E4500" s="83"/>
      <c r="F4500" s="86"/>
      <c r="G4500" s="86"/>
      <c r="H4500" s="83"/>
      <c r="I4500" s="86"/>
      <c r="J4500" s="86"/>
      <c r="K4500" s="83"/>
      <c r="L4500" s="86"/>
      <c r="M4500" s="86"/>
      <c r="N4500" s="86"/>
      <c r="O4500" s="83"/>
      <c r="P4500" s="86"/>
      <c r="Q4500" s="86"/>
      <c r="R4500" s="84"/>
      <c r="S4500" s="185"/>
      <c r="T4500" s="185"/>
      <c r="U4500" s="185"/>
      <c r="V4500" s="185"/>
      <c r="W4500" s="185"/>
      <c r="X4500" s="185"/>
      <c r="Y4500" s="284"/>
      <c r="Z4500" s="284"/>
      <c r="AA4500" s="284"/>
      <c r="AB4500" s="284"/>
      <c r="AC4500" s="284"/>
      <c r="AD4500" s="284"/>
      <c r="AE4500" s="284"/>
      <c r="AF4500" s="284"/>
      <c r="AG4500" s="284"/>
      <c r="AH4500" s="284"/>
      <c r="AI4500" s="284"/>
      <c r="AJ4500" s="284"/>
      <c r="AK4500" s="284"/>
      <c r="AL4500" s="284"/>
    </row>
    <row r="4501" ht="15.75" customHeight="1">
      <c r="A4501" s="27"/>
      <c r="B4501" s="86"/>
      <c r="C4501" s="86"/>
      <c r="D4501" s="117"/>
      <c r="E4501" s="83"/>
      <c r="F4501" s="86"/>
      <c r="G4501" s="86"/>
      <c r="H4501" s="83"/>
      <c r="I4501" s="86"/>
      <c r="J4501" s="86"/>
      <c r="K4501" s="83"/>
      <c r="L4501" s="86"/>
      <c r="M4501" s="86"/>
      <c r="N4501" s="86"/>
      <c r="O4501" s="83"/>
      <c r="P4501" s="86"/>
      <c r="Q4501" s="86"/>
      <c r="R4501" s="84"/>
      <c r="S4501" s="185"/>
      <c r="T4501" s="185"/>
      <c r="U4501" s="185"/>
      <c r="V4501" s="185"/>
      <c r="W4501" s="185"/>
      <c r="X4501" s="185"/>
      <c r="Y4501" s="284"/>
      <c r="Z4501" s="284"/>
      <c r="AA4501" s="284"/>
      <c r="AB4501" s="284"/>
      <c r="AC4501" s="284"/>
      <c r="AD4501" s="284"/>
      <c r="AE4501" s="284"/>
      <c r="AF4501" s="284"/>
      <c r="AG4501" s="284"/>
      <c r="AH4501" s="284"/>
      <c r="AI4501" s="284"/>
      <c r="AJ4501" s="284"/>
      <c r="AK4501" s="284"/>
      <c r="AL4501" s="284"/>
    </row>
    <row r="4502" ht="15.75" customHeight="1">
      <c r="A4502" s="27"/>
      <c r="B4502" s="86"/>
      <c r="C4502" s="86"/>
      <c r="D4502" s="117"/>
      <c r="E4502" s="83"/>
      <c r="F4502" s="86"/>
      <c r="G4502" s="86"/>
      <c r="H4502" s="83"/>
      <c r="I4502" s="86"/>
      <c r="J4502" s="86"/>
      <c r="K4502" s="83"/>
      <c r="L4502" s="86"/>
      <c r="M4502" s="86"/>
      <c r="N4502" s="86"/>
      <c r="O4502" s="83"/>
      <c r="P4502" s="86"/>
      <c r="Q4502" s="86"/>
      <c r="R4502" s="84"/>
      <c r="S4502" s="185"/>
      <c r="T4502" s="185"/>
      <c r="U4502" s="185"/>
      <c r="V4502" s="185"/>
      <c r="W4502" s="185"/>
      <c r="X4502" s="185"/>
      <c r="Y4502" s="284"/>
      <c r="Z4502" s="284"/>
      <c r="AA4502" s="284"/>
      <c r="AB4502" s="284"/>
      <c r="AC4502" s="284"/>
      <c r="AD4502" s="284"/>
      <c r="AE4502" s="284"/>
      <c r="AF4502" s="284"/>
      <c r="AG4502" s="284"/>
      <c r="AH4502" s="284"/>
      <c r="AI4502" s="284"/>
      <c r="AJ4502" s="284"/>
      <c r="AK4502" s="284"/>
      <c r="AL4502" s="284"/>
    </row>
    <row r="4503" ht="15.75" customHeight="1">
      <c r="A4503" s="27"/>
      <c r="B4503" s="86"/>
      <c r="C4503" s="86"/>
      <c r="D4503" s="117"/>
      <c r="E4503" s="83"/>
      <c r="F4503" s="86"/>
      <c r="G4503" s="86"/>
      <c r="H4503" s="83"/>
      <c r="I4503" s="86"/>
      <c r="J4503" s="86"/>
      <c r="K4503" s="83"/>
      <c r="L4503" s="86"/>
      <c r="M4503" s="86"/>
      <c r="N4503" s="86"/>
      <c r="O4503" s="83"/>
      <c r="P4503" s="86"/>
      <c r="Q4503" s="86"/>
      <c r="R4503" s="84"/>
      <c r="S4503" s="185"/>
      <c r="T4503" s="185"/>
      <c r="U4503" s="185"/>
      <c r="V4503" s="185"/>
      <c r="W4503" s="185"/>
      <c r="X4503" s="185"/>
      <c r="Y4503" s="284"/>
      <c r="Z4503" s="284"/>
      <c r="AA4503" s="284"/>
      <c r="AB4503" s="284"/>
      <c r="AC4503" s="284"/>
      <c r="AD4503" s="284"/>
      <c r="AE4503" s="284"/>
      <c r="AF4503" s="284"/>
      <c r="AG4503" s="284"/>
      <c r="AH4503" s="284"/>
      <c r="AI4503" s="284"/>
      <c r="AJ4503" s="284"/>
      <c r="AK4503" s="284"/>
      <c r="AL4503" s="284"/>
    </row>
    <row r="4504" ht="15.75" customHeight="1">
      <c r="A4504" s="27"/>
      <c r="B4504" s="86"/>
      <c r="C4504" s="86"/>
      <c r="D4504" s="117"/>
      <c r="E4504" s="83"/>
      <c r="F4504" s="86"/>
      <c r="G4504" s="86"/>
      <c r="H4504" s="83"/>
      <c r="I4504" s="86"/>
      <c r="J4504" s="86"/>
      <c r="K4504" s="83"/>
      <c r="L4504" s="86"/>
      <c r="M4504" s="86"/>
      <c r="N4504" s="86"/>
      <c r="O4504" s="83"/>
      <c r="P4504" s="86"/>
      <c r="Q4504" s="86"/>
      <c r="R4504" s="84"/>
      <c r="S4504" s="185"/>
      <c r="T4504" s="185"/>
      <c r="U4504" s="185"/>
      <c r="V4504" s="185"/>
      <c r="W4504" s="185"/>
      <c r="X4504" s="185"/>
      <c r="Y4504" s="284"/>
      <c r="Z4504" s="284"/>
      <c r="AA4504" s="284"/>
      <c r="AB4504" s="284"/>
      <c r="AC4504" s="284"/>
      <c r="AD4504" s="284"/>
      <c r="AE4504" s="284"/>
      <c r="AF4504" s="284"/>
      <c r="AG4504" s="284"/>
      <c r="AH4504" s="284"/>
      <c r="AI4504" s="284"/>
      <c r="AJ4504" s="284"/>
      <c r="AK4504" s="284"/>
      <c r="AL4504" s="284"/>
    </row>
    <row r="4505" ht="15.75" customHeight="1">
      <c r="A4505" s="27"/>
      <c r="B4505" s="86"/>
      <c r="C4505" s="86"/>
      <c r="D4505" s="117"/>
      <c r="E4505" s="83"/>
      <c r="F4505" s="86"/>
      <c r="G4505" s="86"/>
      <c r="H4505" s="83"/>
      <c r="I4505" s="86"/>
      <c r="J4505" s="86"/>
      <c r="K4505" s="83"/>
      <c r="L4505" s="86"/>
      <c r="M4505" s="86"/>
      <c r="N4505" s="86"/>
      <c r="O4505" s="83"/>
      <c r="P4505" s="86"/>
      <c r="Q4505" s="86"/>
      <c r="R4505" s="84"/>
      <c r="S4505" s="185"/>
      <c r="T4505" s="185"/>
      <c r="U4505" s="185"/>
      <c r="V4505" s="185"/>
      <c r="W4505" s="185"/>
      <c r="X4505" s="185"/>
      <c r="Y4505" s="284"/>
      <c r="Z4505" s="284"/>
      <c r="AA4505" s="284"/>
      <c r="AB4505" s="284"/>
      <c r="AC4505" s="284"/>
      <c r="AD4505" s="284"/>
      <c r="AE4505" s="284"/>
      <c r="AF4505" s="284"/>
      <c r="AG4505" s="284"/>
      <c r="AH4505" s="284"/>
      <c r="AI4505" s="284"/>
      <c r="AJ4505" s="284"/>
      <c r="AK4505" s="284"/>
      <c r="AL4505" s="284"/>
    </row>
    <row r="4506" ht="15.75" customHeight="1">
      <c r="A4506" s="394"/>
      <c r="B4506" s="395"/>
      <c r="C4506" s="395"/>
      <c r="D4506" s="396"/>
      <c r="E4506" s="397"/>
      <c r="F4506" s="395"/>
      <c r="G4506" s="395"/>
      <c r="H4506" s="397"/>
      <c r="I4506" s="395"/>
      <c r="J4506" s="395"/>
      <c r="K4506" s="397"/>
      <c r="L4506" s="395"/>
      <c r="M4506" s="395"/>
      <c r="N4506" s="395"/>
      <c r="O4506" s="397"/>
      <c r="P4506" s="395"/>
      <c r="Q4506" s="395"/>
      <c r="R4506" s="353"/>
      <c r="S4506" s="185"/>
      <c r="T4506" s="185"/>
      <c r="U4506" s="185"/>
      <c r="V4506" s="185"/>
      <c r="W4506" s="185"/>
      <c r="X4506" s="185"/>
      <c r="Y4506" s="284"/>
      <c r="Z4506" s="284"/>
      <c r="AA4506" s="284"/>
      <c r="AB4506" s="284"/>
      <c r="AC4506" s="284"/>
      <c r="AD4506" s="284"/>
      <c r="AE4506" s="284"/>
      <c r="AF4506" s="284"/>
      <c r="AG4506" s="284"/>
      <c r="AH4506" s="284"/>
      <c r="AI4506" s="284"/>
      <c r="AJ4506" s="284"/>
      <c r="AK4506" s="284"/>
      <c r="AL4506" s="284"/>
    </row>
    <row r="4507" ht="15.75" customHeight="1">
      <c r="A4507" s="394"/>
      <c r="B4507" s="395"/>
      <c r="C4507" s="395"/>
      <c r="D4507" s="396"/>
      <c r="E4507" s="397"/>
      <c r="F4507" s="395"/>
      <c r="G4507" s="395"/>
      <c r="H4507" s="397"/>
      <c r="I4507" s="395"/>
      <c r="J4507" s="395"/>
      <c r="K4507" s="397"/>
      <c r="L4507" s="395"/>
      <c r="M4507" s="395"/>
      <c r="N4507" s="395"/>
      <c r="O4507" s="397"/>
      <c r="P4507" s="395"/>
      <c r="Q4507" s="395"/>
      <c r="R4507" s="353"/>
      <c r="S4507" s="185"/>
      <c r="T4507" s="185"/>
      <c r="U4507" s="185"/>
      <c r="V4507" s="185"/>
      <c r="W4507" s="185"/>
      <c r="X4507" s="185"/>
      <c r="Y4507" s="284"/>
      <c r="Z4507" s="284"/>
      <c r="AA4507" s="284"/>
      <c r="AB4507" s="284"/>
      <c r="AC4507" s="284"/>
      <c r="AD4507" s="284"/>
      <c r="AE4507" s="284"/>
      <c r="AF4507" s="284"/>
      <c r="AG4507" s="284"/>
      <c r="AH4507" s="284"/>
      <c r="AI4507" s="284"/>
      <c r="AJ4507" s="284"/>
      <c r="AK4507" s="284"/>
      <c r="AL4507" s="284"/>
    </row>
    <row r="4508" ht="15.75" customHeight="1">
      <c r="A4508" s="394"/>
      <c r="B4508" s="395"/>
      <c r="C4508" s="395"/>
      <c r="D4508" s="396"/>
      <c r="E4508" s="397"/>
      <c r="F4508" s="395"/>
      <c r="G4508" s="395"/>
      <c r="H4508" s="397"/>
      <c r="I4508" s="395"/>
      <c r="J4508" s="395"/>
      <c r="K4508" s="397"/>
      <c r="L4508" s="395"/>
      <c r="M4508" s="395"/>
      <c r="N4508" s="395"/>
      <c r="O4508" s="397"/>
      <c r="P4508" s="395"/>
      <c r="Q4508" s="395"/>
      <c r="R4508" s="353"/>
      <c r="S4508" s="185"/>
      <c r="T4508" s="185"/>
      <c r="U4508" s="185"/>
      <c r="V4508" s="185"/>
      <c r="W4508" s="185"/>
      <c r="X4508" s="185"/>
      <c r="Y4508" s="284"/>
      <c r="Z4508" s="284"/>
      <c r="AA4508" s="284"/>
      <c r="AB4508" s="284"/>
      <c r="AC4508" s="284"/>
      <c r="AD4508" s="284"/>
      <c r="AE4508" s="284"/>
      <c r="AF4508" s="284"/>
      <c r="AG4508" s="284"/>
      <c r="AH4508" s="284"/>
      <c r="AI4508" s="284"/>
      <c r="AJ4508" s="284"/>
      <c r="AK4508" s="284"/>
      <c r="AL4508" s="284"/>
    </row>
    <row r="4509" ht="15.75" customHeight="1">
      <c r="A4509" s="394"/>
      <c r="B4509" s="395"/>
      <c r="C4509" s="395"/>
      <c r="D4509" s="396"/>
      <c r="E4509" s="397"/>
      <c r="F4509" s="395"/>
      <c r="G4509" s="395"/>
      <c r="H4509" s="397"/>
      <c r="I4509" s="395"/>
      <c r="J4509" s="395"/>
      <c r="K4509" s="397"/>
      <c r="L4509" s="395"/>
      <c r="M4509" s="395"/>
      <c r="N4509" s="395"/>
      <c r="O4509" s="397"/>
      <c r="P4509" s="395"/>
      <c r="Q4509" s="395"/>
      <c r="R4509" s="353"/>
      <c r="S4509" s="185"/>
      <c r="T4509" s="185"/>
      <c r="U4509" s="185"/>
      <c r="V4509" s="185"/>
      <c r="W4509" s="185"/>
      <c r="X4509" s="185"/>
      <c r="Y4509" s="284"/>
      <c r="Z4509" s="284"/>
      <c r="AA4509" s="284"/>
      <c r="AB4509" s="284"/>
      <c r="AC4509" s="284"/>
      <c r="AD4509" s="284"/>
      <c r="AE4509" s="284"/>
      <c r="AF4509" s="284"/>
      <c r="AG4509" s="284"/>
      <c r="AH4509" s="284"/>
      <c r="AI4509" s="284"/>
      <c r="AJ4509" s="284"/>
      <c r="AK4509" s="284"/>
      <c r="AL4509" s="284"/>
    </row>
    <row r="4510" ht="15.75" customHeight="1">
      <c r="A4510" s="394"/>
      <c r="B4510" s="395"/>
      <c r="C4510" s="395"/>
      <c r="D4510" s="396"/>
      <c r="E4510" s="397"/>
      <c r="F4510" s="395"/>
      <c r="G4510" s="395"/>
      <c r="H4510" s="397"/>
      <c r="I4510" s="395"/>
      <c r="J4510" s="395"/>
      <c r="K4510" s="397"/>
      <c r="L4510" s="395"/>
      <c r="M4510" s="395"/>
      <c r="N4510" s="395"/>
      <c r="O4510" s="397"/>
      <c r="P4510" s="395"/>
      <c r="Q4510" s="395"/>
      <c r="R4510" s="353"/>
      <c r="S4510" s="185"/>
      <c r="T4510" s="185"/>
      <c r="U4510" s="185"/>
      <c r="V4510" s="185"/>
      <c r="W4510" s="185"/>
      <c r="X4510" s="185"/>
      <c r="Y4510" s="284"/>
      <c r="Z4510" s="284"/>
      <c r="AA4510" s="284"/>
      <c r="AB4510" s="284"/>
      <c r="AC4510" s="284"/>
      <c r="AD4510" s="284"/>
      <c r="AE4510" s="284"/>
      <c r="AF4510" s="284"/>
      <c r="AG4510" s="284"/>
      <c r="AH4510" s="284"/>
      <c r="AI4510" s="284"/>
      <c r="AJ4510" s="284"/>
      <c r="AK4510" s="284"/>
      <c r="AL4510" s="284"/>
    </row>
    <row r="4511" ht="15.75" customHeight="1">
      <c r="A4511" s="394"/>
      <c r="B4511" s="395"/>
      <c r="C4511" s="395"/>
      <c r="D4511" s="396"/>
      <c r="E4511" s="397"/>
      <c r="F4511" s="395"/>
      <c r="G4511" s="395"/>
      <c r="H4511" s="397"/>
      <c r="I4511" s="395"/>
      <c r="J4511" s="395"/>
      <c r="K4511" s="397"/>
      <c r="L4511" s="395"/>
      <c r="M4511" s="395"/>
      <c r="N4511" s="395"/>
      <c r="O4511" s="397"/>
      <c r="P4511" s="395"/>
      <c r="Q4511" s="395"/>
      <c r="R4511" s="353"/>
      <c r="S4511" s="185"/>
      <c r="T4511" s="185"/>
      <c r="U4511" s="185"/>
      <c r="V4511" s="185"/>
      <c r="W4511" s="185"/>
      <c r="X4511" s="185"/>
      <c r="Y4511" s="284"/>
      <c r="Z4511" s="284"/>
      <c r="AA4511" s="284"/>
      <c r="AB4511" s="284"/>
      <c r="AC4511" s="284"/>
      <c r="AD4511" s="284"/>
      <c r="AE4511" s="284"/>
      <c r="AF4511" s="284"/>
      <c r="AG4511" s="284"/>
      <c r="AH4511" s="284"/>
      <c r="AI4511" s="284"/>
      <c r="AJ4511" s="284"/>
      <c r="AK4511" s="284"/>
      <c r="AL4511" s="284"/>
    </row>
    <row r="4512" ht="15.75" customHeight="1">
      <c r="A4512" s="394"/>
      <c r="B4512" s="395"/>
      <c r="C4512" s="395"/>
      <c r="D4512" s="396"/>
      <c r="E4512" s="397"/>
      <c r="F4512" s="395"/>
      <c r="G4512" s="395"/>
      <c r="H4512" s="397"/>
      <c r="I4512" s="395"/>
      <c r="J4512" s="395"/>
      <c r="K4512" s="397"/>
      <c r="L4512" s="395"/>
      <c r="M4512" s="395"/>
      <c r="N4512" s="395"/>
      <c r="O4512" s="397"/>
      <c r="P4512" s="395"/>
      <c r="Q4512" s="395"/>
      <c r="R4512" s="353"/>
      <c r="S4512" s="185"/>
      <c r="T4512" s="185"/>
      <c r="U4512" s="185"/>
      <c r="V4512" s="185"/>
      <c r="W4512" s="185"/>
      <c r="X4512" s="185"/>
      <c r="Y4512" s="284"/>
      <c r="Z4512" s="284"/>
      <c r="AA4512" s="284"/>
      <c r="AB4512" s="284"/>
      <c r="AC4512" s="284"/>
      <c r="AD4512" s="284"/>
      <c r="AE4512" s="284"/>
      <c r="AF4512" s="284"/>
      <c r="AG4512" s="284"/>
      <c r="AH4512" s="284"/>
      <c r="AI4512" s="284"/>
      <c r="AJ4512" s="284"/>
      <c r="AK4512" s="284"/>
      <c r="AL4512" s="284"/>
    </row>
    <row r="4513" ht="15.75" customHeight="1">
      <c r="A4513" s="394"/>
      <c r="B4513" s="395"/>
      <c r="C4513" s="395"/>
      <c r="D4513" s="396"/>
      <c r="E4513" s="397"/>
      <c r="F4513" s="395"/>
      <c r="G4513" s="395"/>
      <c r="H4513" s="397"/>
      <c r="I4513" s="395"/>
      <c r="J4513" s="395"/>
      <c r="K4513" s="397"/>
      <c r="L4513" s="395"/>
      <c r="M4513" s="395"/>
      <c r="N4513" s="395"/>
      <c r="O4513" s="397"/>
      <c r="P4513" s="395"/>
      <c r="Q4513" s="395"/>
      <c r="R4513" s="353"/>
      <c r="S4513" s="185"/>
      <c r="T4513" s="185"/>
      <c r="U4513" s="185"/>
      <c r="V4513" s="185"/>
      <c r="W4513" s="185"/>
      <c r="X4513" s="185"/>
      <c r="Y4513" s="284"/>
      <c r="Z4513" s="284"/>
      <c r="AA4513" s="284"/>
      <c r="AB4513" s="284"/>
      <c r="AC4513" s="284"/>
      <c r="AD4513" s="284"/>
      <c r="AE4513" s="284"/>
      <c r="AF4513" s="284"/>
      <c r="AG4513" s="284"/>
      <c r="AH4513" s="284"/>
      <c r="AI4513" s="284"/>
      <c r="AJ4513" s="284"/>
      <c r="AK4513" s="284"/>
      <c r="AL4513" s="284"/>
    </row>
    <row r="4514" ht="15.75" customHeight="1">
      <c r="A4514" s="394"/>
      <c r="B4514" s="395"/>
      <c r="C4514" s="395"/>
      <c r="D4514" s="396"/>
      <c r="E4514" s="397"/>
      <c r="F4514" s="395"/>
      <c r="G4514" s="395"/>
      <c r="H4514" s="397"/>
      <c r="I4514" s="395"/>
      <c r="J4514" s="395"/>
      <c r="K4514" s="397"/>
      <c r="L4514" s="395"/>
      <c r="M4514" s="395"/>
      <c r="N4514" s="395"/>
      <c r="O4514" s="397"/>
      <c r="P4514" s="395"/>
      <c r="Q4514" s="395"/>
      <c r="R4514" s="353"/>
      <c r="S4514" s="185"/>
      <c r="T4514" s="185"/>
      <c r="U4514" s="185"/>
      <c r="V4514" s="185"/>
      <c r="W4514" s="185"/>
      <c r="X4514" s="185"/>
      <c r="Y4514" s="284"/>
      <c r="Z4514" s="284"/>
      <c r="AA4514" s="284"/>
      <c r="AB4514" s="284"/>
      <c r="AC4514" s="284"/>
      <c r="AD4514" s="284"/>
      <c r="AE4514" s="284"/>
      <c r="AF4514" s="284"/>
      <c r="AG4514" s="284"/>
      <c r="AH4514" s="284"/>
      <c r="AI4514" s="284"/>
      <c r="AJ4514" s="284"/>
      <c r="AK4514" s="284"/>
      <c r="AL4514" s="284"/>
    </row>
    <row r="4515" ht="15.75" customHeight="1">
      <c r="A4515" s="394"/>
      <c r="B4515" s="395"/>
      <c r="C4515" s="395"/>
      <c r="D4515" s="396"/>
      <c r="E4515" s="397"/>
      <c r="F4515" s="395"/>
      <c r="G4515" s="395"/>
      <c r="H4515" s="397"/>
      <c r="I4515" s="395"/>
      <c r="J4515" s="395"/>
      <c r="K4515" s="397"/>
      <c r="L4515" s="395"/>
      <c r="M4515" s="395"/>
      <c r="N4515" s="395"/>
      <c r="O4515" s="397"/>
      <c r="P4515" s="395"/>
      <c r="Q4515" s="395"/>
      <c r="R4515" s="353"/>
      <c r="S4515" s="185"/>
      <c r="T4515" s="185"/>
      <c r="U4515" s="185"/>
      <c r="V4515" s="185"/>
      <c r="W4515" s="185"/>
      <c r="X4515" s="185"/>
      <c r="Y4515" s="284"/>
      <c r="Z4515" s="284"/>
      <c r="AA4515" s="284"/>
      <c r="AB4515" s="284"/>
      <c r="AC4515" s="284"/>
      <c r="AD4515" s="284"/>
      <c r="AE4515" s="284"/>
      <c r="AF4515" s="284"/>
      <c r="AG4515" s="284"/>
      <c r="AH4515" s="284"/>
      <c r="AI4515" s="284"/>
      <c r="AJ4515" s="284"/>
      <c r="AK4515" s="284"/>
      <c r="AL4515" s="284"/>
    </row>
    <row r="4516" ht="15.75" customHeight="1">
      <c r="A4516" s="394"/>
      <c r="B4516" s="395"/>
      <c r="C4516" s="395"/>
      <c r="D4516" s="396"/>
      <c r="E4516" s="397"/>
      <c r="F4516" s="395"/>
      <c r="G4516" s="395"/>
      <c r="H4516" s="397"/>
      <c r="I4516" s="395"/>
      <c r="J4516" s="395"/>
      <c r="K4516" s="397"/>
      <c r="L4516" s="395"/>
      <c r="M4516" s="395"/>
      <c r="N4516" s="395"/>
      <c r="O4516" s="397"/>
      <c r="P4516" s="395"/>
      <c r="Q4516" s="395"/>
      <c r="R4516" s="353"/>
      <c r="S4516" s="185"/>
      <c r="T4516" s="185"/>
      <c r="U4516" s="185"/>
      <c r="V4516" s="185"/>
      <c r="W4516" s="185"/>
      <c r="X4516" s="185"/>
      <c r="Y4516" s="284"/>
      <c r="Z4516" s="284"/>
      <c r="AA4516" s="284"/>
      <c r="AB4516" s="284"/>
      <c r="AC4516" s="284"/>
      <c r="AD4516" s="284"/>
      <c r="AE4516" s="284"/>
      <c r="AF4516" s="284"/>
      <c r="AG4516" s="284"/>
      <c r="AH4516" s="284"/>
      <c r="AI4516" s="284"/>
      <c r="AJ4516" s="284"/>
      <c r="AK4516" s="284"/>
      <c r="AL4516" s="284"/>
    </row>
    <row r="4517" ht="15.75" customHeight="1">
      <c r="A4517" s="394"/>
      <c r="B4517" s="395"/>
      <c r="C4517" s="395"/>
      <c r="D4517" s="396"/>
      <c r="E4517" s="397"/>
      <c r="F4517" s="395"/>
      <c r="G4517" s="395"/>
      <c r="H4517" s="397"/>
      <c r="I4517" s="395"/>
      <c r="J4517" s="395"/>
      <c r="K4517" s="397"/>
      <c r="L4517" s="395"/>
      <c r="M4517" s="395"/>
      <c r="N4517" s="395"/>
      <c r="O4517" s="397"/>
      <c r="P4517" s="395"/>
      <c r="Q4517" s="395"/>
      <c r="R4517" s="353"/>
      <c r="S4517" s="185"/>
      <c r="T4517" s="185"/>
      <c r="U4517" s="185"/>
      <c r="V4517" s="185"/>
      <c r="W4517" s="185"/>
      <c r="X4517" s="185"/>
      <c r="Y4517" s="284"/>
      <c r="Z4517" s="284"/>
      <c r="AA4517" s="284"/>
      <c r="AB4517" s="284"/>
      <c r="AC4517" s="284"/>
      <c r="AD4517" s="284"/>
      <c r="AE4517" s="284"/>
      <c r="AF4517" s="284"/>
      <c r="AG4517" s="284"/>
      <c r="AH4517" s="284"/>
      <c r="AI4517" s="284"/>
      <c r="AJ4517" s="284"/>
      <c r="AK4517" s="284"/>
      <c r="AL4517" s="284"/>
    </row>
    <row r="4518" ht="15.75" customHeight="1">
      <c r="A4518" s="394"/>
      <c r="B4518" s="395"/>
      <c r="C4518" s="395"/>
      <c r="D4518" s="396"/>
      <c r="E4518" s="397"/>
      <c r="F4518" s="395"/>
      <c r="G4518" s="395"/>
      <c r="H4518" s="397"/>
      <c r="I4518" s="395"/>
      <c r="J4518" s="395"/>
      <c r="K4518" s="397"/>
      <c r="L4518" s="395"/>
      <c r="M4518" s="395"/>
      <c r="N4518" s="395"/>
      <c r="O4518" s="397"/>
      <c r="P4518" s="395"/>
      <c r="Q4518" s="395"/>
      <c r="R4518" s="353"/>
      <c r="S4518" s="185"/>
      <c r="T4518" s="185"/>
      <c r="U4518" s="185"/>
      <c r="V4518" s="185"/>
      <c r="W4518" s="185"/>
      <c r="X4518" s="185"/>
      <c r="Y4518" s="284"/>
      <c r="Z4518" s="284"/>
      <c r="AA4518" s="284"/>
      <c r="AB4518" s="284"/>
      <c r="AC4518" s="284"/>
      <c r="AD4518" s="284"/>
      <c r="AE4518" s="284"/>
      <c r="AF4518" s="284"/>
      <c r="AG4518" s="284"/>
      <c r="AH4518" s="284"/>
      <c r="AI4518" s="284"/>
      <c r="AJ4518" s="284"/>
      <c r="AK4518" s="284"/>
      <c r="AL4518" s="284"/>
    </row>
    <row r="4519" ht="15.75" customHeight="1">
      <c r="A4519" s="394"/>
      <c r="B4519" s="395"/>
      <c r="C4519" s="395"/>
      <c r="D4519" s="396"/>
      <c r="E4519" s="397"/>
      <c r="F4519" s="395"/>
      <c r="G4519" s="395"/>
      <c r="H4519" s="397"/>
      <c r="I4519" s="395"/>
      <c r="J4519" s="395"/>
      <c r="K4519" s="397"/>
      <c r="L4519" s="395"/>
      <c r="M4519" s="395"/>
      <c r="N4519" s="395"/>
      <c r="O4519" s="397"/>
      <c r="P4519" s="395"/>
      <c r="Q4519" s="395"/>
      <c r="R4519" s="353"/>
      <c r="S4519" s="185"/>
      <c r="T4519" s="185"/>
      <c r="U4519" s="185"/>
      <c r="V4519" s="185"/>
      <c r="W4519" s="185"/>
      <c r="X4519" s="185"/>
      <c r="Y4519" s="284"/>
      <c r="Z4519" s="284"/>
      <c r="AA4519" s="284"/>
      <c r="AB4519" s="284"/>
      <c r="AC4519" s="284"/>
      <c r="AD4519" s="284"/>
      <c r="AE4519" s="284"/>
      <c r="AF4519" s="284"/>
      <c r="AG4519" s="284"/>
      <c r="AH4519" s="284"/>
      <c r="AI4519" s="284"/>
      <c r="AJ4519" s="284"/>
      <c r="AK4519" s="284"/>
      <c r="AL4519" s="284"/>
    </row>
    <row r="4520" ht="15.75" customHeight="1">
      <c r="A4520" s="394"/>
      <c r="B4520" s="395"/>
      <c r="C4520" s="395"/>
      <c r="D4520" s="396"/>
      <c r="E4520" s="397"/>
      <c r="F4520" s="395"/>
      <c r="G4520" s="395"/>
      <c r="H4520" s="397"/>
      <c r="I4520" s="395"/>
      <c r="J4520" s="395"/>
      <c r="K4520" s="397"/>
      <c r="L4520" s="395"/>
      <c r="M4520" s="395"/>
      <c r="N4520" s="395"/>
      <c r="O4520" s="397"/>
      <c r="P4520" s="395"/>
      <c r="Q4520" s="395"/>
      <c r="R4520" s="353"/>
      <c r="S4520" s="185"/>
      <c r="T4520" s="185"/>
      <c r="U4520" s="185"/>
      <c r="V4520" s="185"/>
      <c r="W4520" s="185"/>
      <c r="X4520" s="185"/>
      <c r="Y4520" s="284"/>
      <c r="Z4520" s="284"/>
      <c r="AA4520" s="284"/>
      <c r="AB4520" s="284"/>
      <c r="AC4520" s="284"/>
      <c r="AD4520" s="284"/>
      <c r="AE4520" s="284"/>
      <c r="AF4520" s="284"/>
      <c r="AG4520" s="284"/>
      <c r="AH4520" s="284"/>
      <c r="AI4520" s="284"/>
      <c r="AJ4520" s="284"/>
      <c r="AK4520" s="284"/>
      <c r="AL4520" s="284"/>
    </row>
    <row r="4521" ht="15.75" customHeight="1">
      <c r="A4521" s="394"/>
      <c r="B4521" s="395"/>
      <c r="C4521" s="395"/>
      <c r="D4521" s="396"/>
      <c r="E4521" s="397"/>
      <c r="F4521" s="395"/>
      <c r="G4521" s="395"/>
      <c r="H4521" s="397"/>
      <c r="I4521" s="395"/>
      <c r="J4521" s="395"/>
      <c r="K4521" s="397"/>
      <c r="L4521" s="395"/>
      <c r="M4521" s="395"/>
      <c r="N4521" s="395"/>
      <c r="O4521" s="397"/>
      <c r="P4521" s="395"/>
      <c r="Q4521" s="395"/>
      <c r="R4521" s="353"/>
      <c r="S4521" s="185"/>
      <c r="T4521" s="185"/>
      <c r="U4521" s="185"/>
      <c r="V4521" s="185"/>
      <c r="W4521" s="185"/>
      <c r="X4521" s="185"/>
      <c r="Y4521" s="284"/>
      <c r="Z4521" s="284"/>
      <c r="AA4521" s="284"/>
      <c r="AB4521" s="284"/>
      <c r="AC4521" s="284"/>
      <c r="AD4521" s="284"/>
      <c r="AE4521" s="284"/>
      <c r="AF4521" s="284"/>
      <c r="AG4521" s="284"/>
      <c r="AH4521" s="284"/>
      <c r="AI4521" s="284"/>
      <c r="AJ4521" s="284"/>
      <c r="AK4521" s="284"/>
      <c r="AL4521" s="284"/>
    </row>
    <row r="4522" ht="15.75" customHeight="1">
      <c r="A4522" s="394"/>
      <c r="B4522" s="395"/>
      <c r="C4522" s="395"/>
      <c r="D4522" s="396"/>
      <c r="E4522" s="397"/>
      <c r="F4522" s="395"/>
      <c r="G4522" s="395"/>
      <c r="H4522" s="397"/>
      <c r="I4522" s="395"/>
      <c r="J4522" s="395"/>
      <c r="K4522" s="397"/>
      <c r="L4522" s="395"/>
      <c r="M4522" s="395"/>
      <c r="N4522" s="395"/>
      <c r="O4522" s="397"/>
      <c r="P4522" s="395"/>
      <c r="Q4522" s="395"/>
      <c r="R4522" s="353"/>
      <c r="S4522" s="185"/>
      <c r="T4522" s="185"/>
      <c r="U4522" s="185"/>
      <c r="V4522" s="185"/>
      <c r="W4522" s="185"/>
      <c r="X4522" s="185"/>
      <c r="Y4522" s="284"/>
      <c r="Z4522" s="284"/>
      <c r="AA4522" s="284"/>
      <c r="AB4522" s="284"/>
      <c r="AC4522" s="284"/>
      <c r="AD4522" s="284"/>
      <c r="AE4522" s="284"/>
      <c r="AF4522" s="284"/>
      <c r="AG4522" s="284"/>
      <c r="AH4522" s="284"/>
      <c r="AI4522" s="284"/>
      <c r="AJ4522" s="284"/>
      <c r="AK4522" s="284"/>
      <c r="AL4522" s="284"/>
    </row>
    <row r="4523" ht="15.75" customHeight="1">
      <c r="A4523" s="394"/>
      <c r="B4523" s="395"/>
      <c r="C4523" s="395"/>
      <c r="D4523" s="396"/>
      <c r="E4523" s="397"/>
      <c r="F4523" s="395"/>
      <c r="G4523" s="395"/>
      <c r="H4523" s="397"/>
      <c r="I4523" s="395"/>
      <c r="J4523" s="395"/>
      <c r="K4523" s="397"/>
      <c r="L4523" s="395"/>
      <c r="M4523" s="395"/>
      <c r="N4523" s="395"/>
      <c r="O4523" s="397"/>
      <c r="P4523" s="395"/>
      <c r="Q4523" s="395"/>
      <c r="R4523" s="353"/>
      <c r="S4523" s="185"/>
      <c r="T4523" s="185"/>
      <c r="U4523" s="185"/>
      <c r="V4523" s="185"/>
      <c r="W4523" s="185"/>
      <c r="X4523" s="185"/>
      <c r="Y4523" s="284"/>
      <c r="Z4523" s="284"/>
      <c r="AA4523" s="284"/>
      <c r="AB4523" s="284"/>
      <c r="AC4523" s="284"/>
      <c r="AD4523" s="284"/>
      <c r="AE4523" s="284"/>
      <c r="AF4523" s="284"/>
      <c r="AG4523" s="284"/>
      <c r="AH4523" s="284"/>
      <c r="AI4523" s="284"/>
      <c r="AJ4523" s="284"/>
      <c r="AK4523" s="284"/>
      <c r="AL4523" s="284"/>
    </row>
    <row r="4524" ht="15.75" customHeight="1">
      <c r="A4524" s="394"/>
      <c r="B4524" s="395"/>
      <c r="C4524" s="395"/>
      <c r="D4524" s="396"/>
      <c r="E4524" s="397"/>
      <c r="F4524" s="395"/>
      <c r="G4524" s="395"/>
      <c r="H4524" s="397"/>
      <c r="I4524" s="395"/>
      <c r="J4524" s="395"/>
      <c r="K4524" s="397"/>
      <c r="L4524" s="395"/>
      <c r="M4524" s="395"/>
      <c r="N4524" s="395"/>
      <c r="O4524" s="397"/>
      <c r="P4524" s="395"/>
      <c r="Q4524" s="395"/>
      <c r="R4524" s="353"/>
      <c r="S4524" s="185"/>
      <c r="T4524" s="185"/>
      <c r="U4524" s="185"/>
      <c r="V4524" s="185"/>
      <c r="W4524" s="185"/>
      <c r="X4524" s="185"/>
      <c r="Y4524" s="284"/>
      <c r="Z4524" s="284"/>
      <c r="AA4524" s="284"/>
      <c r="AB4524" s="284"/>
      <c r="AC4524" s="284"/>
      <c r="AD4524" s="284"/>
      <c r="AE4524" s="284"/>
      <c r="AF4524" s="284"/>
      <c r="AG4524" s="284"/>
      <c r="AH4524" s="284"/>
      <c r="AI4524" s="284"/>
      <c r="AJ4524" s="284"/>
      <c r="AK4524" s="284"/>
      <c r="AL4524" s="284"/>
    </row>
    <row r="4525" ht="15.75" customHeight="1">
      <c r="A4525" s="394"/>
      <c r="B4525" s="395"/>
      <c r="C4525" s="395"/>
      <c r="D4525" s="396"/>
      <c r="E4525" s="397"/>
      <c r="F4525" s="395"/>
      <c r="G4525" s="395"/>
      <c r="H4525" s="397"/>
      <c r="I4525" s="395"/>
      <c r="J4525" s="395"/>
      <c r="K4525" s="397"/>
      <c r="L4525" s="395"/>
      <c r="M4525" s="395"/>
      <c r="N4525" s="395"/>
      <c r="O4525" s="397"/>
      <c r="P4525" s="395"/>
      <c r="Q4525" s="395"/>
      <c r="R4525" s="353"/>
      <c r="S4525" s="185"/>
      <c r="T4525" s="185"/>
      <c r="U4525" s="185"/>
      <c r="V4525" s="185"/>
      <c r="W4525" s="185"/>
      <c r="X4525" s="185"/>
      <c r="Y4525" s="284"/>
      <c r="Z4525" s="284"/>
      <c r="AA4525" s="284"/>
      <c r="AB4525" s="284"/>
      <c r="AC4525" s="284"/>
      <c r="AD4525" s="284"/>
      <c r="AE4525" s="284"/>
      <c r="AF4525" s="284"/>
      <c r="AG4525" s="284"/>
      <c r="AH4525" s="284"/>
      <c r="AI4525" s="284"/>
      <c r="AJ4525" s="284"/>
      <c r="AK4525" s="284"/>
      <c r="AL4525" s="284"/>
    </row>
    <row r="4526" ht="15.75" customHeight="1">
      <c r="A4526" s="394"/>
      <c r="B4526" s="395"/>
      <c r="C4526" s="395"/>
      <c r="D4526" s="396"/>
      <c r="E4526" s="397"/>
      <c r="F4526" s="395"/>
      <c r="G4526" s="395"/>
      <c r="H4526" s="397"/>
      <c r="I4526" s="395"/>
      <c r="J4526" s="395"/>
      <c r="K4526" s="397"/>
      <c r="L4526" s="395"/>
      <c r="M4526" s="395"/>
      <c r="N4526" s="395"/>
      <c r="O4526" s="397"/>
      <c r="P4526" s="395"/>
      <c r="Q4526" s="395"/>
      <c r="R4526" s="353"/>
      <c r="S4526" s="185"/>
      <c r="T4526" s="185"/>
      <c r="U4526" s="185"/>
      <c r="V4526" s="185"/>
      <c r="W4526" s="185"/>
      <c r="X4526" s="185"/>
      <c r="Y4526" s="284"/>
      <c r="Z4526" s="284"/>
      <c r="AA4526" s="284"/>
      <c r="AB4526" s="284"/>
      <c r="AC4526" s="284"/>
      <c r="AD4526" s="284"/>
      <c r="AE4526" s="284"/>
      <c r="AF4526" s="284"/>
      <c r="AG4526" s="284"/>
      <c r="AH4526" s="284"/>
      <c r="AI4526" s="284"/>
      <c r="AJ4526" s="284"/>
      <c r="AK4526" s="284"/>
      <c r="AL4526" s="284"/>
    </row>
    <row r="4527" ht="15.75" customHeight="1">
      <c r="A4527" s="394"/>
      <c r="B4527" s="395"/>
      <c r="C4527" s="395"/>
      <c r="D4527" s="396"/>
      <c r="E4527" s="397"/>
      <c r="F4527" s="395"/>
      <c r="G4527" s="395"/>
      <c r="H4527" s="397"/>
      <c r="I4527" s="395"/>
      <c r="J4527" s="395"/>
      <c r="K4527" s="397"/>
      <c r="L4527" s="395"/>
      <c r="M4527" s="395"/>
      <c r="N4527" s="395"/>
      <c r="O4527" s="397"/>
      <c r="P4527" s="395"/>
      <c r="Q4527" s="395"/>
      <c r="R4527" s="353"/>
      <c r="S4527" s="185"/>
      <c r="T4527" s="185"/>
      <c r="U4527" s="185"/>
      <c r="V4527" s="185"/>
      <c r="W4527" s="185"/>
      <c r="X4527" s="185"/>
      <c r="Y4527" s="284"/>
      <c r="Z4527" s="284"/>
      <c r="AA4527" s="284"/>
      <c r="AB4527" s="284"/>
      <c r="AC4527" s="284"/>
      <c r="AD4527" s="284"/>
      <c r="AE4527" s="284"/>
      <c r="AF4527" s="284"/>
      <c r="AG4527" s="284"/>
      <c r="AH4527" s="284"/>
      <c r="AI4527" s="284"/>
      <c r="AJ4527" s="284"/>
      <c r="AK4527" s="284"/>
      <c r="AL4527" s="284"/>
    </row>
    <row r="4528" ht="15.75" customHeight="1">
      <c r="A4528" s="394"/>
      <c r="B4528" s="395"/>
      <c r="C4528" s="395"/>
      <c r="D4528" s="396"/>
      <c r="E4528" s="397"/>
      <c r="F4528" s="395"/>
      <c r="G4528" s="395"/>
      <c r="H4528" s="397"/>
      <c r="I4528" s="395"/>
      <c r="J4528" s="395"/>
      <c r="K4528" s="397"/>
      <c r="L4528" s="395"/>
      <c r="M4528" s="395"/>
      <c r="N4528" s="395"/>
      <c r="O4528" s="397"/>
      <c r="P4528" s="395"/>
      <c r="Q4528" s="395"/>
      <c r="R4528" s="353"/>
      <c r="S4528" s="185"/>
      <c r="T4528" s="185"/>
      <c r="U4528" s="185"/>
      <c r="V4528" s="185"/>
      <c r="W4528" s="185"/>
      <c r="X4528" s="185"/>
      <c r="Y4528" s="284"/>
      <c r="Z4528" s="284"/>
      <c r="AA4528" s="284"/>
      <c r="AB4528" s="284"/>
      <c r="AC4528" s="284"/>
      <c r="AD4528" s="284"/>
      <c r="AE4528" s="284"/>
      <c r="AF4528" s="284"/>
      <c r="AG4528" s="284"/>
      <c r="AH4528" s="284"/>
      <c r="AI4528" s="284"/>
      <c r="AJ4528" s="284"/>
      <c r="AK4528" s="284"/>
      <c r="AL4528" s="284"/>
    </row>
    <row r="4529" ht="15.75" customHeight="1">
      <c r="A4529" s="394"/>
      <c r="B4529" s="395"/>
      <c r="C4529" s="395"/>
      <c r="D4529" s="396"/>
      <c r="E4529" s="397"/>
      <c r="F4529" s="395"/>
      <c r="G4529" s="395"/>
      <c r="H4529" s="397"/>
      <c r="I4529" s="395"/>
      <c r="J4529" s="395"/>
      <c r="K4529" s="397"/>
      <c r="L4529" s="395"/>
      <c r="M4529" s="395"/>
      <c r="N4529" s="395"/>
      <c r="O4529" s="397"/>
      <c r="P4529" s="395"/>
      <c r="Q4529" s="395"/>
      <c r="R4529" s="353"/>
      <c r="S4529" s="185"/>
      <c r="T4529" s="185"/>
      <c r="U4529" s="185"/>
      <c r="V4529" s="185"/>
      <c r="W4529" s="185"/>
      <c r="X4529" s="185"/>
      <c r="Y4529" s="284"/>
      <c r="Z4529" s="284"/>
      <c r="AA4529" s="284"/>
      <c r="AB4529" s="284"/>
      <c r="AC4529" s="284"/>
      <c r="AD4529" s="284"/>
      <c r="AE4529" s="284"/>
      <c r="AF4529" s="284"/>
      <c r="AG4529" s="284"/>
      <c r="AH4529" s="284"/>
      <c r="AI4529" s="284"/>
      <c r="AJ4529" s="284"/>
      <c r="AK4529" s="284"/>
      <c r="AL4529" s="284"/>
    </row>
    <row r="4530" ht="15.75" customHeight="1">
      <c r="A4530" s="394"/>
      <c r="B4530" s="395"/>
      <c r="C4530" s="395"/>
      <c r="D4530" s="396"/>
      <c r="E4530" s="397"/>
      <c r="F4530" s="395"/>
      <c r="G4530" s="395"/>
      <c r="H4530" s="397"/>
      <c r="I4530" s="395"/>
      <c r="J4530" s="395"/>
      <c r="K4530" s="397"/>
      <c r="L4530" s="395"/>
      <c r="M4530" s="395"/>
      <c r="N4530" s="395"/>
      <c r="O4530" s="397"/>
      <c r="P4530" s="395"/>
      <c r="Q4530" s="395"/>
      <c r="R4530" s="353"/>
      <c r="S4530" s="185"/>
      <c r="T4530" s="185"/>
      <c r="U4530" s="185"/>
      <c r="V4530" s="185"/>
      <c r="W4530" s="185"/>
      <c r="X4530" s="185"/>
      <c r="Y4530" s="284"/>
      <c r="Z4530" s="284"/>
      <c r="AA4530" s="284"/>
      <c r="AB4530" s="284"/>
      <c r="AC4530" s="284"/>
      <c r="AD4530" s="284"/>
      <c r="AE4530" s="284"/>
      <c r="AF4530" s="284"/>
      <c r="AG4530" s="284"/>
      <c r="AH4530" s="284"/>
      <c r="AI4530" s="284"/>
      <c r="AJ4530" s="284"/>
      <c r="AK4530" s="284"/>
      <c r="AL4530" s="284"/>
    </row>
    <row r="4531" ht="15.75" customHeight="1">
      <c r="A4531" s="394"/>
      <c r="B4531" s="395"/>
      <c r="C4531" s="395"/>
      <c r="D4531" s="396"/>
      <c r="E4531" s="397"/>
      <c r="F4531" s="395"/>
      <c r="G4531" s="395"/>
      <c r="H4531" s="397"/>
      <c r="I4531" s="395"/>
      <c r="J4531" s="395"/>
      <c r="K4531" s="397"/>
      <c r="L4531" s="395"/>
      <c r="M4531" s="395"/>
      <c r="N4531" s="395"/>
      <c r="O4531" s="397"/>
      <c r="P4531" s="395"/>
      <c r="Q4531" s="395"/>
      <c r="R4531" s="353"/>
      <c r="S4531" s="185"/>
      <c r="T4531" s="185"/>
      <c r="U4531" s="185"/>
      <c r="V4531" s="185"/>
      <c r="W4531" s="185"/>
      <c r="X4531" s="185"/>
      <c r="Y4531" s="284"/>
      <c r="Z4531" s="284"/>
      <c r="AA4531" s="284"/>
      <c r="AB4531" s="284"/>
      <c r="AC4531" s="284"/>
      <c r="AD4531" s="284"/>
      <c r="AE4531" s="284"/>
      <c r="AF4531" s="284"/>
      <c r="AG4531" s="284"/>
      <c r="AH4531" s="284"/>
      <c r="AI4531" s="284"/>
      <c r="AJ4531" s="284"/>
      <c r="AK4531" s="284"/>
      <c r="AL4531" s="284"/>
    </row>
    <row r="4532" ht="15.75" customHeight="1">
      <c r="A4532" s="394"/>
      <c r="B4532" s="395"/>
      <c r="C4532" s="395"/>
      <c r="D4532" s="396"/>
      <c r="E4532" s="397"/>
      <c r="F4532" s="395"/>
      <c r="G4532" s="395"/>
      <c r="H4532" s="397"/>
      <c r="I4532" s="395"/>
      <c r="J4532" s="395"/>
      <c r="K4532" s="397"/>
      <c r="L4532" s="395"/>
      <c r="M4532" s="395"/>
      <c r="N4532" s="395"/>
      <c r="O4532" s="397"/>
      <c r="P4532" s="395"/>
      <c r="Q4532" s="395"/>
      <c r="R4532" s="353"/>
      <c r="S4532" s="185"/>
      <c r="T4532" s="185"/>
      <c r="U4532" s="185"/>
      <c r="V4532" s="185"/>
      <c r="W4532" s="185"/>
      <c r="X4532" s="185"/>
      <c r="Y4532" s="284"/>
      <c r="Z4532" s="284"/>
      <c r="AA4532" s="284"/>
      <c r="AB4532" s="284"/>
      <c r="AC4532" s="284"/>
      <c r="AD4532" s="284"/>
      <c r="AE4532" s="284"/>
      <c r="AF4532" s="284"/>
      <c r="AG4532" s="284"/>
      <c r="AH4532" s="284"/>
      <c r="AI4532" s="284"/>
      <c r="AJ4532" s="284"/>
      <c r="AK4532" s="284"/>
      <c r="AL4532" s="284"/>
    </row>
    <row r="4533" ht="15.75" customHeight="1">
      <c r="A4533" s="394"/>
      <c r="B4533" s="395"/>
      <c r="C4533" s="395"/>
      <c r="D4533" s="396"/>
      <c r="E4533" s="397"/>
      <c r="F4533" s="395"/>
      <c r="G4533" s="395"/>
      <c r="H4533" s="397"/>
      <c r="I4533" s="395"/>
      <c r="J4533" s="395"/>
      <c r="K4533" s="397"/>
      <c r="L4533" s="395"/>
      <c r="M4533" s="395"/>
      <c r="N4533" s="395"/>
      <c r="O4533" s="397"/>
      <c r="P4533" s="395"/>
      <c r="Q4533" s="395"/>
      <c r="R4533" s="353"/>
      <c r="S4533" s="185"/>
      <c r="T4533" s="185"/>
      <c r="U4533" s="185"/>
      <c r="V4533" s="185"/>
      <c r="W4533" s="185"/>
      <c r="X4533" s="185"/>
      <c r="Y4533" s="284"/>
      <c r="Z4533" s="284"/>
      <c r="AA4533" s="284"/>
      <c r="AB4533" s="284"/>
      <c r="AC4533" s="284"/>
      <c r="AD4533" s="284"/>
      <c r="AE4533" s="284"/>
      <c r="AF4533" s="284"/>
      <c r="AG4533" s="284"/>
      <c r="AH4533" s="284"/>
      <c r="AI4533" s="284"/>
      <c r="AJ4533" s="284"/>
      <c r="AK4533" s="284"/>
      <c r="AL4533" s="284"/>
    </row>
    <row r="4534" ht="15.75" customHeight="1">
      <c r="A4534" s="394"/>
      <c r="B4534" s="395"/>
      <c r="C4534" s="395"/>
      <c r="D4534" s="396"/>
      <c r="E4534" s="397"/>
      <c r="F4534" s="395"/>
      <c r="G4534" s="395"/>
      <c r="H4534" s="397"/>
      <c r="I4534" s="395"/>
      <c r="J4534" s="395"/>
      <c r="K4534" s="397"/>
      <c r="L4534" s="395"/>
      <c r="M4534" s="395"/>
      <c r="N4534" s="395"/>
      <c r="O4534" s="397"/>
      <c r="P4534" s="395"/>
      <c r="Q4534" s="395"/>
      <c r="R4534" s="353"/>
      <c r="S4534" s="185"/>
      <c r="T4534" s="185"/>
      <c r="U4534" s="185"/>
      <c r="V4534" s="185"/>
      <c r="W4534" s="185"/>
      <c r="X4534" s="185"/>
      <c r="Y4534" s="284"/>
      <c r="Z4534" s="284"/>
      <c r="AA4534" s="284"/>
      <c r="AB4534" s="284"/>
      <c r="AC4534" s="284"/>
      <c r="AD4534" s="284"/>
      <c r="AE4534" s="284"/>
      <c r="AF4534" s="284"/>
      <c r="AG4534" s="284"/>
      <c r="AH4534" s="284"/>
      <c r="AI4534" s="284"/>
      <c r="AJ4534" s="284"/>
      <c r="AK4534" s="284"/>
      <c r="AL4534" s="284"/>
    </row>
    <row r="4535" ht="15.75" customHeight="1">
      <c r="A4535" s="394"/>
      <c r="B4535" s="395"/>
      <c r="C4535" s="395"/>
      <c r="D4535" s="396"/>
      <c r="E4535" s="397"/>
      <c r="F4535" s="395"/>
      <c r="G4535" s="395"/>
      <c r="H4535" s="397"/>
      <c r="I4535" s="395"/>
      <c r="J4535" s="395"/>
      <c r="K4535" s="397"/>
      <c r="L4535" s="395"/>
      <c r="M4535" s="395"/>
      <c r="N4535" s="395"/>
      <c r="O4535" s="397"/>
      <c r="P4535" s="395"/>
      <c r="Q4535" s="395"/>
      <c r="R4535" s="353"/>
      <c r="S4535" s="185"/>
      <c r="T4535" s="185"/>
      <c r="U4535" s="185"/>
      <c r="V4535" s="185"/>
      <c r="W4535" s="185"/>
      <c r="X4535" s="185"/>
      <c r="Y4535" s="284"/>
      <c r="Z4535" s="284"/>
      <c r="AA4535" s="284"/>
      <c r="AB4535" s="284"/>
      <c r="AC4535" s="284"/>
      <c r="AD4535" s="284"/>
      <c r="AE4535" s="284"/>
      <c r="AF4535" s="284"/>
      <c r="AG4535" s="284"/>
      <c r="AH4535" s="284"/>
      <c r="AI4535" s="284"/>
      <c r="AJ4535" s="284"/>
      <c r="AK4535" s="284"/>
      <c r="AL4535" s="284"/>
    </row>
    <row r="4536" ht="15.75" customHeight="1">
      <c r="A4536" s="394"/>
      <c r="B4536" s="395"/>
      <c r="C4536" s="395"/>
      <c r="D4536" s="396"/>
      <c r="E4536" s="397"/>
      <c r="F4536" s="395"/>
      <c r="G4536" s="395"/>
      <c r="H4536" s="397"/>
      <c r="I4536" s="395"/>
      <c r="J4536" s="395"/>
      <c r="K4536" s="397"/>
      <c r="L4536" s="395"/>
      <c r="M4536" s="395"/>
      <c r="N4536" s="395"/>
      <c r="O4536" s="397"/>
      <c r="P4536" s="395"/>
      <c r="Q4536" s="395"/>
      <c r="R4536" s="353"/>
      <c r="S4536" s="185"/>
      <c r="T4536" s="185"/>
      <c r="U4536" s="185"/>
      <c r="V4536" s="185"/>
      <c r="W4536" s="185"/>
      <c r="X4536" s="185"/>
      <c r="Y4536" s="284"/>
      <c r="Z4536" s="284"/>
      <c r="AA4536" s="284"/>
      <c r="AB4536" s="284"/>
      <c r="AC4536" s="284"/>
      <c r="AD4536" s="284"/>
      <c r="AE4536" s="284"/>
      <c r="AF4536" s="284"/>
      <c r="AG4536" s="284"/>
      <c r="AH4536" s="284"/>
      <c r="AI4536" s="284"/>
      <c r="AJ4536" s="284"/>
      <c r="AK4536" s="284"/>
      <c r="AL4536" s="284"/>
    </row>
    <row r="4537" ht="15.75" customHeight="1">
      <c r="A4537" s="394"/>
      <c r="B4537" s="395"/>
      <c r="C4537" s="395"/>
      <c r="D4537" s="396"/>
      <c r="E4537" s="397"/>
      <c r="F4537" s="395"/>
      <c r="G4537" s="395"/>
      <c r="H4537" s="397"/>
      <c r="I4537" s="395"/>
      <c r="J4537" s="395"/>
      <c r="K4537" s="397"/>
      <c r="L4537" s="395"/>
      <c r="M4537" s="395"/>
      <c r="N4537" s="395"/>
      <c r="O4537" s="397"/>
      <c r="P4537" s="395"/>
      <c r="Q4537" s="395"/>
      <c r="R4537" s="353"/>
      <c r="S4537" s="185"/>
      <c r="T4537" s="185"/>
      <c r="U4537" s="185"/>
      <c r="V4537" s="185"/>
      <c r="W4537" s="185"/>
      <c r="X4537" s="185"/>
      <c r="Y4537" s="284"/>
      <c r="Z4537" s="284"/>
      <c r="AA4537" s="284"/>
      <c r="AB4537" s="284"/>
      <c r="AC4537" s="284"/>
      <c r="AD4537" s="284"/>
      <c r="AE4537" s="284"/>
      <c r="AF4537" s="284"/>
      <c r="AG4537" s="284"/>
      <c r="AH4537" s="284"/>
      <c r="AI4537" s="284"/>
      <c r="AJ4537" s="284"/>
      <c r="AK4537" s="284"/>
      <c r="AL4537" s="284"/>
    </row>
    <row r="4538" ht="15.75" customHeight="1">
      <c r="A4538" s="394"/>
      <c r="B4538" s="395"/>
      <c r="C4538" s="395"/>
      <c r="D4538" s="396"/>
      <c r="E4538" s="397"/>
      <c r="F4538" s="395"/>
      <c r="G4538" s="395"/>
      <c r="H4538" s="397"/>
      <c r="I4538" s="395"/>
      <c r="J4538" s="395"/>
      <c r="K4538" s="397"/>
      <c r="L4538" s="395"/>
      <c r="M4538" s="395"/>
      <c r="N4538" s="395"/>
      <c r="O4538" s="397"/>
      <c r="P4538" s="395"/>
      <c r="Q4538" s="395"/>
      <c r="R4538" s="353"/>
      <c r="S4538" s="185"/>
      <c r="T4538" s="185"/>
      <c r="U4538" s="185"/>
      <c r="V4538" s="185"/>
      <c r="W4538" s="185"/>
      <c r="X4538" s="185"/>
      <c r="Y4538" s="284"/>
      <c r="Z4538" s="284"/>
      <c r="AA4538" s="284"/>
      <c r="AB4538" s="284"/>
      <c r="AC4538" s="284"/>
      <c r="AD4538" s="284"/>
      <c r="AE4538" s="284"/>
      <c r="AF4538" s="284"/>
      <c r="AG4538" s="284"/>
      <c r="AH4538" s="284"/>
      <c r="AI4538" s="284"/>
      <c r="AJ4538" s="284"/>
      <c r="AK4538" s="284"/>
      <c r="AL4538" s="284"/>
    </row>
    <row r="4539" ht="15.75" customHeight="1">
      <c r="A4539" s="394"/>
      <c r="B4539" s="395"/>
      <c r="C4539" s="395"/>
      <c r="D4539" s="396"/>
      <c r="E4539" s="397"/>
      <c r="F4539" s="395"/>
      <c r="G4539" s="395"/>
      <c r="H4539" s="397"/>
      <c r="I4539" s="395"/>
      <c r="J4539" s="395"/>
      <c r="K4539" s="397"/>
      <c r="L4539" s="395"/>
      <c r="M4539" s="395"/>
      <c r="N4539" s="395"/>
      <c r="O4539" s="397"/>
      <c r="P4539" s="395"/>
      <c r="Q4539" s="395"/>
      <c r="R4539" s="353"/>
      <c r="S4539" s="185"/>
      <c r="T4539" s="185"/>
      <c r="U4539" s="185"/>
      <c r="V4539" s="185"/>
      <c r="W4539" s="185"/>
      <c r="X4539" s="185"/>
      <c r="Y4539" s="284"/>
      <c r="Z4539" s="284"/>
      <c r="AA4539" s="284"/>
      <c r="AB4539" s="284"/>
      <c r="AC4539" s="284"/>
      <c r="AD4539" s="284"/>
      <c r="AE4539" s="284"/>
      <c r="AF4539" s="284"/>
      <c r="AG4539" s="284"/>
      <c r="AH4539" s="284"/>
      <c r="AI4539" s="284"/>
      <c r="AJ4539" s="284"/>
      <c r="AK4539" s="284"/>
      <c r="AL4539" s="284"/>
    </row>
    <row r="4540" ht="15.75" customHeight="1">
      <c r="A4540" s="394"/>
      <c r="B4540" s="395"/>
      <c r="C4540" s="395"/>
      <c r="D4540" s="396"/>
      <c r="E4540" s="397"/>
      <c r="F4540" s="395"/>
      <c r="G4540" s="395"/>
      <c r="H4540" s="397"/>
      <c r="I4540" s="395"/>
      <c r="J4540" s="395"/>
      <c r="K4540" s="397"/>
      <c r="L4540" s="395"/>
      <c r="M4540" s="395"/>
      <c r="N4540" s="395"/>
      <c r="O4540" s="397"/>
      <c r="P4540" s="395"/>
      <c r="Q4540" s="395"/>
      <c r="R4540" s="353"/>
      <c r="S4540" s="185"/>
      <c r="T4540" s="185"/>
      <c r="U4540" s="185"/>
      <c r="V4540" s="185"/>
      <c r="W4540" s="185"/>
      <c r="X4540" s="185"/>
      <c r="Y4540" s="284"/>
      <c r="Z4540" s="284"/>
      <c r="AA4540" s="284"/>
      <c r="AB4540" s="284"/>
      <c r="AC4540" s="284"/>
      <c r="AD4540" s="284"/>
      <c r="AE4540" s="284"/>
      <c r="AF4540" s="284"/>
      <c r="AG4540" s="284"/>
      <c r="AH4540" s="284"/>
      <c r="AI4540" s="284"/>
      <c r="AJ4540" s="284"/>
      <c r="AK4540" s="284"/>
      <c r="AL4540" s="284"/>
    </row>
    <row r="4541" ht="15.75" customHeight="1">
      <c r="A4541" s="394"/>
      <c r="B4541" s="395"/>
      <c r="C4541" s="395"/>
      <c r="D4541" s="396"/>
      <c r="E4541" s="397"/>
      <c r="F4541" s="395"/>
      <c r="G4541" s="395"/>
      <c r="H4541" s="397"/>
      <c r="I4541" s="395"/>
      <c r="J4541" s="395"/>
      <c r="K4541" s="397"/>
      <c r="L4541" s="395"/>
      <c r="M4541" s="395"/>
      <c r="N4541" s="395"/>
      <c r="O4541" s="397"/>
      <c r="P4541" s="395"/>
      <c r="Q4541" s="395"/>
      <c r="R4541" s="353"/>
      <c r="S4541" s="185"/>
      <c r="T4541" s="185"/>
      <c r="U4541" s="185"/>
      <c r="V4541" s="185"/>
      <c r="W4541" s="185"/>
      <c r="X4541" s="185"/>
      <c r="Y4541" s="284"/>
      <c r="Z4541" s="284"/>
      <c r="AA4541" s="284"/>
      <c r="AB4541" s="284"/>
      <c r="AC4541" s="284"/>
      <c r="AD4541" s="284"/>
      <c r="AE4541" s="284"/>
      <c r="AF4541" s="284"/>
      <c r="AG4541" s="284"/>
      <c r="AH4541" s="284"/>
      <c r="AI4541" s="284"/>
      <c r="AJ4541" s="284"/>
      <c r="AK4541" s="284"/>
      <c r="AL4541" s="284"/>
    </row>
    <row r="4542" ht="15.75" customHeight="1">
      <c r="A4542" s="394"/>
      <c r="B4542" s="395"/>
      <c r="C4542" s="395"/>
      <c r="D4542" s="396"/>
      <c r="E4542" s="397"/>
      <c r="F4542" s="395"/>
      <c r="G4542" s="395"/>
      <c r="H4542" s="397"/>
      <c r="I4542" s="395"/>
      <c r="J4542" s="395"/>
      <c r="K4542" s="397"/>
      <c r="L4542" s="395"/>
      <c r="M4542" s="395"/>
      <c r="N4542" s="395"/>
      <c r="O4542" s="397"/>
      <c r="P4542" s="395"/>
      <c r="Q4542" s="395"/>
      <c r="R4542" s="353"/>
      <c r="S4542" s="185"/>
      <c r="T4542" s="185"/>
      <c r="U4542" s="185"/>
      <c r="V4542" s="185"/>
      <c r="W4542" s="185"/>
      <c r="X4542" s="185"/>
      <c r="Y4542" s="284"/>
      <c r="Z4542" s="284"/>
      <c r="AA4542" s="284"/>
      <c r="AB4542" s="284"/>
      <c r="AC4542" s="284"/>
      <c r="AD4542" s="284"/>
      <c r="AE4542" s="284"/>
      <c r="AF4542" s="284"/>
      <c r="AG4542" s="284"/>
      <c r="AH4542" s="284"/>
      <c r="AI4542" s="284"/>
      <c r="AJ4542" s="284"/>
      <c r="AK4542" s="284"/>
      <c r="AL4542" s="284"/>
    </row>
    <row r="4543" ht="15.75" customHeight="1">
      <c r="A4543" s="394"/>
      <c r="B4543" s="395"/>
      <c r="C4543" s="395"/>
      <c r="D4543" s="396"/>
      <c r="E4543" s="397"/>
      <c r="F4543" s="395"/>
      <c r="G4543" s="395"/>
      <c r="H4543" s="397"/>
      <c r="I4543" s="395"/>
      <c r="J4543" s="395"/>
      <c r="K4543" s="397"/>
      <c r="L4543" s="395"/>
      <c r="M4543" s="395"/>
      <c r="N4543" s="395"/>
      <c r="O4543" s="397"/>
      <c r="P4543" s="395"/>
      <c r="Q4543" s="395"/>
      <c r="R4543" s="353"/>
      <c r="S4543" s="185"/>
      <c r="T4543" s="185"/>
      <c r="U4543" s="185"/>
      <c r="V4543" s="185"/>
      <c r="W4543" s="185"/>
      <c r="X4543" s="185"/>
      <c r="Y4543" s="284"/>
      <c r="Z4543" s="284"/>
      <c r="AA4543" s="284"/>
      <c r="AB4543" s="284"/>
      <c r="AC4543" s="284"/>
      <c r="AD4543" s="284"/>
      <c r="AE4543" s="284"/>
      <c r="AF4543" s="284"/>
      <c r="AG4543" s="284"/>
      <c r="AH4543" s="284"/>
      <c r="AI4543" s="284"/>
      <c r="AJ4543" s="284"/>
      <c r="AK4543" s="284"/>
      <c r="AL4543" s="284"/>
    </row>
    <row r="4544" ht="15.75" customHeight="1">
      <c r="A4544" s="394"/>
      <c r="B4544" s="395"/>
      <c r="C4544" s="395"/>
      <c r="D4544" s="396"/>
      <c r="E4544" s="397"/>
      <c r="F4544" s="395"/>
      <c r="G4544" s="395"/>
      <c r="H4544" s="397"/>
      <c r="I4544" s="395"/>
      <c r="J4544" s="395"/>
      <c r="K4544" s="397"/>
      <c r="L4544" s="395"/>
      <c r="M4544" s="395"/>
      <c r="N4544" s="395"/>
      <c r="O4544" s="397"/>
      <c r="P4544" s="395"/>
      <c r="Q4544" s="395"/>
      <c r="R4544" s="353"/>
      <c r="S4544" s="185"/>
      <c r="T4544" s="185"/>
      <c r="U4544" s="185"/>
      <c r="V4544" s="185"/>
      <c r="W4544" s="185"/>
      <c r="X4544" s="185"/>
      <c r="Y4544" s="284"/>
      <c r="Z4544" s="284"/>
      <c r="AA4544" s="284"/>
      <c r="AB4544" s="284"/>
      <c r="AC4544" s="284"/>
      <c r="AD4544" s="284"/>
      <c r="AE4544" s="284"/>
      <c r="AF4544" s="284"/>
      <c r="AG4544" s="284"/>
      <c r="AH4544" s="284"/>
      <c r="AI4544" s="284"/>
      <c r="AJ4544" s="284"/>
      <c r="AK4544" s="284"/>
      <c r="AL4544" s="284"/>
    </row>
    <row r="4545" ht="15.75" customHeight="1">
      <c r="A4545" s="394"/>
      <c r="B4545" s="395"/>
      <c r="C4545" s="395"/>
      <c r="D4545" s="396"/>
      <c r="E4545" s="397"/>
      <c r="F4545" s="395"/>
      <c r="G4545" s="395"/>
      <c r="H4545" s="397"/>
      <c r="I4545" s="395"/>
      <c r="J4545" s="395"/>
      <c r="K4545" s="397"/>
      <c r="L4545" s="395"/>
      <c r="M4545" s="395"/>
      <c r="N4545" s="395"/>
      <c r="O4545" s="397"/>
      <c r="P4545" s="395"/>
      <c r="Q4545" s="395"/>
      <c r="R4545" s="353"/>
      <c r="S4545" s="185"/>
      <c r="T4545" s="185"/>
      <c r="U4545" s="185"/>
      <c r="V4545" s="185"/>
      <c r="W4545" s="185"/>
      <c r="X4545" s="185"/>
      <c r="Y4545" s="284"/>
      <c r="Z4545" s="284"/>
      <c r="AA4545" s="284"/>
      <c r="AB4545" s="284"/>
      <c r="AC4545" s="284"/>
      <c r="AD4545" s="284"/>
      <c r="AE4545" s="284"/>
      <c r="AF4545" s="284"/>
      <c r="AG4545" s="284"/>
      <c r="AH4545" s="284"/>
      <c r="AI4545" s="284"/>
      <c r="AJ4545" s="284"/>
      <c r="AK4545" s="284"/>
      <c r="AL4545" s="284"/>
    </row>
    <row r="4546" ht="15.75" customHeight="1">
      <c r="A4546" s="394"/>
      <c r="B4546" s="395"/>
      <c r="C4546" s="395"/>
      <c r="D4546" s="396"/>
      <c r="E4546" s="397"/>
      <c r="F4546" s="395"/>
      <c r="G4546" s="395"/>
      <c r="H4546" s="397"/>
      <c r="I4546" s="395"/>
      <c r="J4546" s="395"/>
      <c r="K4546" s="397"/>
      <c r="L4546" s="395"/>
      <c r="M4546" s="395"/>
      <c r="N4546" s="395"/>
      <c r="O4546" s="397"/>
      <c r="P4546" s="395"/>
      <c r="Q4546" s="395"/>
      <c r="R4546" s="353"/>
      <c r="S4546" s="185"/>
      <c r="T4546" s="185"/>
      <c r="U4546" s="185"/>
      <c r="V4546" s="185"/>
      <c r="W4546" s="185"/>
      <c r="X4546" s="185"/>
      <c r="Y4546" s="284"/>
      <c r="Z4546" s="284"/>
      <c r="AA4546" s="284"/>
      <c r="AB4546" s="284"/>
      <c r="AC4546" s="284"/>
      <c r="AD4546" s="284"/>
      <c r="AE4546" s="284"/>
      <c r="AF4546" s="284"/>
      <c r="AG4546" s="284"/>
      <c r="AH4546" s="284"/>
      <c r="AI4546" s="284"/>
      <c r="AJ4546" s="284"/>
      <c r="AK4546" s="284"/>
      <c r="AL4546" s="284"/>
    </row>
    <row r="4547" ht="15.75" customHeight="1">
      <c r="A4547" s="394"/>
      <c r="B4547" s="395"/>
      <c r="C4547" s="395"/>
      <c r="D4547" s="396"/>
      <c r="E4547" s="397"/>
      <c r="F4547" s="395"/>
      <c r="G4547" s="395"/>
      <c r="H4547" s="397"/>
      <c r="I4547" s="395"/>
      <c r="J4547" s="395"/>
      <c r="K4547" s="397"/>
      <c r="L4547" s="395"/>
      <c r="M4547" s="395"/>
      <c r="N4547" s="395"/>
      <c r="O4547" s="397"/>
      <c r="P4547" s="395"/>
      <c r="Q4547" s="395"/>
      <c r="R4547" s="353"/>
      <c r="S4547" s="185"/>
      <c r="T4547" s="185"/>
      <c r="U4547" s="185"/>
      <c r="V4547" s="185"/>
      <c r="W4547" s="185"/>
      <c r="X4547" s="185"/>
      <c r="Y4547" s="284"/>
      <c r="Z4547" s="284"/>
      <c r="AA4547" s="284"/>
      <c r="AB4547" s="284"/>
      <c r="AC4547" s="284"/>
      <c r="AD4547" s="284"/>
      <c r="AE4547" s="284"/>
      <c r="AF4547" s="284"/>
      <c r="AG4547" s="284"/>
      <c r="AH4547" s="284"/>
      <c r="AI4547" s="284"/>
      <c r="AJ4547" s="284"/>
      <c r="AK4547" s="284"/>
      <c r="AL4547" s="284"/>
    </row>
    <row r="4548" ht="15.75" customHeight="1">
      <c r="A4548" s="394"/>
      <c r="B4548" s="395"/>
      <c r="C4548" s="395"/>
      <c r="D4548" s="396"/>
      <c r="E4548" s="397"/>
      <c r="F4548" s="395"/>
      <c r="G4548" s="395"/>
      <c r="H4548" s="397"/>
      <c r="I4548" s="395"/>
      <c r="J4548" s="395"/>
      <c r="K4548" s="397"/>
      <c r="L4548" s="395"/>
      <c r="M4548" s="395"/>
      <c r="N4548" s="395"/>
      <c r="O4548" s="397"/>
      <c r="P4548" s="395"/>
      <c r="Q4548" s="395"/>
      <c r="R4548" s="353"/>
      <c r="S4548" s="185"/>
      <c r="T4548" s="185"/>
      <c r="U4548" s="185"/>
      <c r="V4548" s="185"/>
      <c r="W4548" s="185"/>
      <c r="X4548" s="185"/>
      <c r="Y4548" s="284"/>
      <c r="Z4548" s="284"/>
      <c r="AA4548" s="284"/>
      <c r="AB4548" s="284"/>
      <c r="AC4548" s="284"/>
      <c r="AD4548" s="284"/>
      <c r="AE4548" s="284"/>
      <c r="AF4548" s="284"/>
      <c r="AG4548" s="284"/>
      <c r="AH4548" s="284"/>
      <c r="AI4548" s="284"/>
      <c r="AJ4548" s="284"/>
      <c r="AK4548" s="284"/>
      <c r="AL4548" s="284"/>
    </row>
    <row r="4549" ht="15.75" customHeight="1">
      <c r="A4549" s="394"/>
      <c r="B4549" s="395"/>
      <c r="C4549" s="395"/>
      <c r="D4549" s="396"/>
      <c r="E4549" s="397"/>
      <c r="F4549" s="395"/>
      <c r="G4549" s="395"/>
      <c r="H4549" s="397"/>
      <c r="I4549" s="395"/>
      <c r="J4549" s="395"/>
      <c r="K4549" s="397"/>
      <c r="L4549" s="395"/>
      <c r="M4549" s="395"/>
      <c r="N4549" s="395"/>
      <c r="O4549" s="397"/>
      <c r="P4549" s="395"/>
      <c r="Q4549" s="395"/>
      <c r="R4549" s="353"/>
      <c r="S4549" s="185"/>
      <c r="T4549" s="185"/>
      <c r="U4549" s="185"/>
      <c r="V4549" s="185"/>
      <c r="W4549" s="185"/>
      <c r="X4549" s="185"/>
      <c r="Y4549" s="284"/>
      <c r="Z4549" s="284"/>
      <c r="AA4549" s="284"/>
      <c r="AB4549" s="284"/>
      <c r="AC4549" s="284"/>
      <c r="AD4549" s="284"/>
      <c r="AE4549" s="284"/>
      <c r="AF4549" s="284"/>
      <c r="AG4549" s="284"/>
      <c r="AH4549" s="284"/>
      <c r="AI4549" s="284"/>
      <c r="AJ4549" s="284"/>
      <c r="AK4549" s="284"/>
      <c r="AL4549" s="284"/>
    </row>
    <row r="4550" ht="15.75" customHeight="1">
      <c r="A4550" s="394"/>
      <c r="B4550" s="395"/>
      <c r="C4550" s="395"/>
      <c r="D4550" s="396"/>
      <c r="E4550" s="397"/>
      <c r="F4550" s="395"/>
      <c r="G4550" s="395"/>
      <c r="H4550" s="397"/>
      <c r="I4550" s="395"/>
      <c r="J4550" s="395"/>
      <c r="K4550" s="397"/>
      <c r="L4550" s="395"/>
      <c r="M4550" s="395"/>
      <c r="N4550" s="395"/>
      <c r="O4550" s="397"/>
      <c r="P4550" s="395"/>
      <c r="Q4550" s="395"/>
      <c r="R4550" s="353"/>
      <c r="S4550" s="185"/>
      <c r="T4550" s="185"/>
      <c r="U4550" s="185"/>
      <c r="V4550" s="185"/>
      <c r="W4550" s="185"/>
      <c r="X4550" s="185"/>
      <c r="Y4550" s="284"/>
      <c r="Z4550" s="284"/>
      <c r="AA4550" s="284"/>
      <c r="AB4550" s="284"/>
      <c r="AC4550" s="284"/>
      <c r="AD4550" s="284"/>
      <c r="AE4550" s="284"/>
      <c r="AF4550" s="284"/>
      <c r="AG4550" s="284"/>
      <c r="AH4550" s="284"/>
      <c r="AI4550" s="284"/>
      <c r="AJ4550" s="284"/>
      <c r="AK4550" s="284"/>
      <c r="AL4550" s="284"/>
    </row>
    <row r="4551" ht="15.75" customHeight="1">
      <c r="A4551" s="394"/>
      <c r="B4551" s="395"/>
      <c r="C4551" s="395"/>
      <c r="D4551" s="396"/>
      <c r="E4551" s="397"/>
      <c r="F4551" s="395"/>
      <c r="G4551" s="395"/>
      <c r="H4551" s="397"/>
      <c r="I4551" s="395"/>
      <c r="J4551" s="395"/>
      <c r="K4551" s="397"/>
      <c r="L4551" s="395"/>
      <c r="M4551" s="395"/>
      <c r="N4551" s="395"/>
      <c r="O4551" s="397"/>
      <c r="P4551" s="395"/>
      <c r="Q4551" s="395"/>
      <c r="R4551" s="353"/>
      <c r="S4551" s="185"/>
      <c r="T4551" s="185"/>
      <c r="U4551" s="185"/>
      <c r="V4551" s="185"/>
      <c r="W4551" s="185"/>
      <c r="X4551" s="185"/>
      <c r="Y4551" s="284"/>
      <c r="Z4551" s="284"/>
      <c r="AA4551" s="284"/>
      <c r="AB4551" s="284"/>
      <c r="AC4551" s="284"/>
      <c r="AD4551" s="284"/>
      <c r="AE4551" s="284"/>
      <c r="AF4551" s="284"/>
      <c r="AG4551" s="284"/>
      <c r="AH4551" s="284"/>
      <c r="AI4551" s="284"/>
      <c r="AJ4551" s="284"/>
      <c r="AK4551" s="284"/>
      <c r="AL4551" s="284"/>
    </row>
    <row r="4552" ht="15.75" customHeight="1">
      <c r="A4552" s="394"/>
      <c r="B4552" s="395"/>
      <c r="C4552" s="395"/>
      <c r="D4552" s="396"/>
      <c r="E4552" s="397"/>
      <c r="F4552" s="395"/>
      <c r="G4552" s="395"/>
      <c r="H4552" s="397"/>
      <c r="I4552" s="395"/>
      <c r="J4552" s="395"/>
      <c r="K4552" s="397"/>
      <c r="L4552" s="395"/>
      <c r="M4552" s="395"/>
      <c r="N4552" s="395"/>
      <c r="O4552" s="397"/>
      <c r="P4552" s="395"/>
      <c r="Q4552" s="395"/>
      <c r="R4552" s="353"/>
      <c r="S4552" s="185"/>
      <c r="T4552" s="185"/>
      <c r="U4552" s="185"/>
      <c r="V4552" s="185"/>
      <c r="W4552" s="185"/>
      <c r="X4552" s="185"/>
      <c r="Y4552" s="284"/>
      <c r="Z4552" s="284"/>
      <c r="AA4552" s="284"/>
      <c r="AB4552" s="284"/>
      <c r="AC4552" s="284"/>
      <c r="AD4552" s="284"/>
      <c r="AE4552" s="284"/>
      <c r="AF4552" s="284"/>
      <c r="AG4552" s="284"/>
      <c r="AH4552" s="284"/>
      <c r="AI4552" s="284"/>
      <c r="AJ4552" s="284"/>
      <c r="AK4552" s="284"/>
      <c r="AL4552" s="284"/>
    </row>
    <row r="4553" ht="15.75" customHeight="1">
      <c r="A4553" s="394"/>
      <c r="B4553" s="395"/>
      <c r="C4553" s="395"/>
      <c r="D4553" s="396"/>
      <c r="E4553" s="397"/>
      <c r="F4553" s="395"/>
      <c r="G4553" s="395"/>
      <c r="H4553" s="397"/>
      <c r="I4553" s="395"/>
      <c r="J4553" s="395"/>
      <c r="K4553" s="397"/>
      <c r="L4553" s="395"/>
      <c r="M4553" s="395"/>
      <c r="N4553" s="395"/>
      <c r="O4553" s="397"/>
      <c r="P4553" s="395"/>
      <c r="Q4553" s="395"/>
      <c r="R4553" s="353"/>
      <c r="S4553" s="185"/>
      <c r="T4553" s="185"/>
      <c r="U4553" s="185"/>
      <c r="V4553" s="185"/>
      <c r="W4553" s="185"/>
      <c r="X4553" s="185"/>
      <c r="Y4553" s="284"/>
      <c r="Z4553" s="284"/>
      <c r="AA4553" s="284"/>
      <c r="AB4553" s="284"/>
      <c r="AC4553" s="284"/>
      <c r="AD4553" s="284"/>
      <c r="AE4553" s="284"/>
      <c r="AF4553" s="284"/>
      <c r="AG4553" s="284"/>
      <c r="AH4553" s="284"/>
      <c r="AI4553" s="284"/>
      <c r="AJ4553" s="284"/>
      <c r="AK4553" s="284"/>
      <c r="AL4553" s="284"/>
    </row>
    <row r="4554" ht="15.75" customHeight="1">
      <c r="A4554" s="394"/>
      <c r="B4554" s="395"/>
      <c r="C4554" s="395"/>
      <c r="D4554" s="396"/>
      <c r="E4554" s="397"/>
      <c r="F4554" s="395"/>
      <c r="G4554" s="395"/>
      <c r="H4554" s="397"/>
      <c r="I4554" s="395"/>
      <c r="J4554" s="395"/>
      <c r="K4554" s="397"/>
      <c r="L4554" s="395"/>
      <c r="M4554" s="395"/>
      <c r="N4554" s="395"/>
      <c r="O4554" s="397"/>
      <c r="P4554" s="395"/>
      <c r="Q4554" s="395"/>
      <c r="R4554" s="353"/>
      <c r="S4554" s="185"/>
      <c r="T4554" s="185"/>
      <c r="U4554" s="185"/>
      <c r="V4554" s="185"/>
      <c r="W4554" s="185"/>
      <c r="X4554" s="185"/>
      <c r="Y4554" s="284"/>
      <c r="Z4554" s="284"/>
      <c r="AA4554" s="284"/>
      <c r="AB4554" s="284"/>
      <c r="AC4554" s="284"/>
      <c r="AD4554" s="284"/>
      <c r="AE4554" s="284"/>
      <c r="AF4554" s="284"/>
      <c r="AG4554" s="284"/>
      <c r="AH4554" s="284"/>
      <c r="AI4554" s="284"/>
      <c r="AJ4554" s="284"/>
      <c r="AK4554" s="284"/>
      <c r="AL4554" s="284"/>
    </row>
    <row r="4555" ht="15.75" customHeight="1">
      <c r="A4555" s="394"/>
      <c r="B4555" s="395"/>
      <c r="C4555" s="395"/>
      <c r="D4555" s="396"/>
      <c r="E4555" s="397"/>
      <c r="F4555" s="395"/>
      <c r="G4555" s="395"/>
      <c r="H4555" s="397"/>
      <c r="I4555" s="395"/>
      <c r="J4555" s="395"/>
      <c r="K4555" s="397"/>
      <c r="L4555" s="395"/>
      <c r="M4555" s="395"/>
      <c r="N4555" s="395"/>
      <c r="O4555" s="397"/>
      <c r="P4555" s="395"/>
      <c r="Q4555" s="395"/>
      <c r="R4555" s="353"/>
      <c r="S4555" s="185"/>
      <c r="T4555" s="185"/>
      <c r="U4555" s="185"/>
      <c r="V4555" s="185"/>
      <c r="W4555" s="185"/>
      <c r="X4555" s="185"/>
      <c r="Y4555" s="284"/>
      <c r="Z4555" s="284"/>
      <c r="AA4555" s="284"/>
      <c r="AB4555" s="284"/>
      <c r="AC4555" s="284"/>
      <c r="AD4555" s="284"/>
      <c r="AE4555" s="284"/>
      <c r="AF4555" s="284"/>
      <c r="AG4555" s="284"/>
      <c r="AH4555" s="284"/>
      <c r="AI4555" s="284"/>
      <c r="AJ4555" s="284"/>
      <c r="AK4555" s="284"/>
      <c r="AL4555" s="284"/>
    </row>
    <row r="4556" ht="15.75" customHeight="1">
      <c r="A4556" s="394"/>
      <c r="B4556" s="395"/>
      <c r="C4556" s="395"/>
      <c r="D4556" s="396"/>
      <c r="E4556" s="397"/>
      <c r="F4556" s="395"/>
      <c r="G4556" s="395"/>
      <c r="H4556" s="397"/>
      <c r="I4556" s="395"/>
      <c r="J4556" s="395"/>
      <c r="K4556" s="397"/>
      <c r="L4556" s="395"/>
      <c r="M4556" s="395"/>
      <c r="N4556" s="395"/>
      <c r="O4556" s="397"/>
      <c r="P4556" s="395"/>
      <c r="Q4556" s="395"/>
      <c r="R4556" s="353"/>
      <c r="S4556" s="185"/>
      <c r="T4556" s="185"/>
      <c r="U4556" s="185"/>
      <c r="V4556" s="185"/>
      <c r="W4556" s="185"/>
      <c r="X4556" s="185"/>
      <c r="Y4556" s="284"/>
      <c r="Z4556" s="284"/>
      <c r="AA4556" s="284"/>
      <c r="AB4556" s="284"/>
      <c r="AC4556" s="284"/>
      <c r="AD4556" s="284"/>
      <c r="AE4556" s="284"/>
      <c r="AF4556" s="284"/>
      <c r="AG4556" s="284"/>
      <c r="AH4556" s="284"/>
      <c r="AI4556" s="284"/>
      <c r="AJ4556" s="284"/>
      <c r="AK4556" s="284"/>
      <c r="AL4556" s="284"/>
    </row>
    <row r="4557" ht="15.75" customHeight="1">
      <c r="A4557" s="394"/>
      <c r="B4557" s="395"/>
      <c r="C4557" s="395"/>
      <c r="D4557" s="396"/>
      <c r="E4557" s="397"/>
      <c r="F4557" s="395"/>
      <c r="G4557" s="395"/>
      <c r="H4557" s="397"/>
      <c r="I4557" s="395"/>
      <c r="J4557" s="395"/>
      <c r="K4557" s="397"/>
      <c r="L4557" s="395"/>
      <c r="M4557" s="395"/>
      <c r="N4557" s="395"/>
      <c r="O4557" s="397"/>
      <c r="P4557" s="395"/>
      <c r="Q4557" s="395"/>
      <c r="R4557" s="353"/>
      <c r="S4557" s="185"/>
      <c r="T4557" s="185"/>
      <c r="U4557" s="185"/>
      <c r="V4557" s="185"/>
      <c r="W4557" s="185"/>
      <c r="X4557" s="185"/>
      <c r="Y4557" s="284"/>
      <c r="Z4557" s="284"/>
      <c r="AA4557" s="284"/>
      <c r="AB4557" s="284"/>
      <c r="AC4557" s="284"/>
      <c r="AD4557" s="284"/>
      <c r="AE4557" s="284"/>
      <c r="AF4557" s="284"/>
      <c r="AG4557" s="284"/>
      <c r="AH4557" s="284"/>
      <c r="AI4557" s="284"/>
      <c r="AJ4557" s="284"/>
      <c r="AK4557" s="284"/>
      <c r="AL4557" s="284"/>
    </row>
    <row r="4558" ht="15.75" customHeight="1">
      <c r="A4558" s="394"/>
      <c r="B4558" s="395"/>
      <c r="C4558" s="395"/>
      <c r="D4558" s="396"/>
      <c r="E4558" s="397"/>
      <c r="F4558" s="395"/>
      <c r="G4558" s="395"/>
      <c r="H4558" s="397"/>
      <c r="I4558" s="395"/>
      <c r="J4558" s="395"/>
      <c r="K4558" s="397"/>
      <c r="L4558" s="395"/>
      <c r="M4558" s="395"/>
      <c r="N4558" s="395"/>
      <c r="O4558" s="397"/>
      <c r="P4558" s="395"/>
      <c r="Q4558" s="395"/>
      <c r="R4558" s="353"/>
      <c r="S4558" s="185"/>
      <c r="T4558" s="185"/>
      <c r="U4558" s="185"/>
      <c r="V4558" s="185"/>
      <c r="W4558" s="185"/>
      <c r="X4558" s="185"/>
      <c r="Y4558" s="284"/>
      <c r="Z4558" s="284"/>
      <c r="AA4558" s="284"/>
      <c r="AB4558" s="284"/>
      <c r="AC4558" s="284"/>
      <c r="AD4558" s="284"/>
      <c r="AE4558" s="284"/>
      <c r="AF4558" s="284"/>
      <c r="AG4558" s="284"/>
      <c r="AH4558" s="284"/>
      <c r="AI4558" s="284"/>
      <c r="AJ4558" s="284"/>
      <c r="AK4558" s="284"/>
      <c r="AL4558" s="284"/>
    </row>
    <row r="4559" ht="15.75" customHeight="1">
      <c r="A4559" s="394"/>
      <c r="B4559" s="395"/>
      <c r="C4559" s="395"/>
      <c r="D4559" s="396"/>
      <c r="E4559" s="397"/>
      <c r="F4559" s="395"/>
      <c r="G4559" s="395"/>
      <c r="H4559" s="397"/>
      <c r="I4559" s="395"/>
      <c r="J4559" s="395"/>
      <c r="K4559" s="397"/>
      <c r="L4559" s="395"/>
      <c r="M4559" s="395"/>
      <c r="N4559" s="395"/>
      <c r="O4559" s="397"/>
      <c r="P4559" s="395"/>
      <c r="Q4559" s="395"/>
      <c r="R4559" s="353"/>
      <c r="S4559" s="185"/>
      <c r="T4559" s="185"/>
      <c r="U4559" s="185"/>
      <c r="V4559" s="185"/>
      <c r="W4559" s="185"/>
      <c r="X4559" s="185"/>
      <c r="Y4559" s="284"/>
      <c r="Z4559" s="284"/>
      <c r="AA4559" s="284"/>
      <c r="AB4559" s="284"/>
      <c r="AC4559" s="284"/>
      <c r="AD4559" s="284"/>
      <c r="AE4559" s="284"/>
      <c r="AF4559" s="284"/>
      <c r="AG4559" s="284"/>
      <c r="AH4559" s="284"/>
      <c r="AI4559" s="284"/>
      <c r="AJ4559" s="284"/>
      <c r="AK4559" s="284"/>
      <c r="AL4559" s="284"/>
    </row>
    <row r="4560" ht="15.75" customHeight="1">
      <c r="A4560" s="394"/>
      <c r="B4560" s="395"/>
      <c r="C4560" s="395"/>
      <c r="D4560" s="396"/>
      <c r="E4560" s="397"/>
      <c r="F4560" s="395"/>
      <c r="G4560" s="395"/>
      <c r="H4560" s="397"/>
      <c r="I4560" s="395"/>
      <c r="J4560" s="395"/>
      <c r="K4560" s="397"/>
      <c r="L4560" s="395"/>
      <c r="M4560" s="395"/>
      <c r="N4560" s="395"/>
      <c r="O4560" s="397"/>
      <c r="P4560" s="395"/>
      <c r="Q4560" s="395"/>
      <c r="R4560" s="353"/>
      <c r="S4560" s="185"/>
      <c r="T4560" s="185"/>
      <c r="U4560" s="185"/>
      <c r="V4560" s="185"/>
      <c r="W4560" s="185"/>
      <c r="X4560" s="185"/>
      <c r="Y4560" s="284"/>
      <c r="Z4560" s="284"/>
      <c r="AA4560" s="284"/>
      <c r="AB4560" s="284"/>
      <c r="AC4560" s="284"/>
      <c r="AD4560" s="284"/>
      <c r="AE4560" s="284"/>
      <c r="AF4560" s="284"/>
      <c r="AG4560" s="284"/>
      <c r="AH4560" s="284"/>
      <c r="AI4560" s="284"/>
      <c r="AJ4560" s="284"/>
      <c r="AK4560" s="284"/>
      <c r="AL4560" s="284"/>
    </row>
    <row r="4561" ht="15.75" customHeight="1">
      <c r="A4561" s="394"/>
      <c r="B4561" s="395"/>
      <c r="C4561" s="395"/>
      <c r="D4561" s="396"/>
      <c r="E4561" s="397"/>
      <c r="F4561" s="395"/>
      <c r="G4561" s="395"/>
      <c r="H4561" s="397"/>
      <c r="I4561" s="395"/>
      <c r="J4561" s="395"/>
      <c r="K4561" s="397"/>
      <c r="L4561" s="395"/>
      <c r="M4561" s="395"/>
      <c r="N4561" s="395"/>
      <c r="O4561" s="397"/>
      <c r="P4561" s="395"/>
      <c r="Q4561" s="395"/>
      <c r="R4561" s="353"/>
      <c r="S4561" s="185"/>
      <c r="T4561" s="185"/>
      <c r="U4561" s="185"/>
      <c r="V4561" s="185"/>
      <c r="W4561" s="185"/>
      <c r="X4561" s="185"/>
      <c r="Y4561" s="284"/>
      <c r="Z4561" s="284"/>
      <c r="AA4561" s="284"/>
      <c r="AB4561" s="284"/>
      <c r="AC4561" s="284"/>
      <c r="AD4561" s="284"/>
      <c r="AE4561" s="284"/>
      <c r="AF4561" s="284"/>
      <c r="AG4561" s="284"/>
      <c r="AH4561" s="284"/>
      <c r="AI4561" s="284"/>
      <c r="AJ4561" s="284"/>
      <c r="AK4561" s="284"/>
      <c r="AL4561" s="284"/>
    </row>
    <row r="4562" ht="15.75" customHeight="1">
      <c r="A4562" s="394"/>
      <c r="B4562" s="395"/>
      <c r="C4562" s="395"/>
      <c r="D4562" s="396"/>
      <c r="E4562" s="397"/>
      <c r="F4562" s="395"/>
      <c r="G4562" s="395"/>
      <c r="H4562" s="397"/>
      <c r="I4562" s="395"/>
      <c r="J4562" s="395"/>
      <c r="K4562" s="397"/>
      <c r="L4562" s="395"/>
      <c r="M4562" s="395"/>
      <c r="N4562" s="395"/>
      <c r="O4562" s="397"/>
      <c r="P4562" s="395"/>
      <c r="Q4562" s="395"/>
      <c r="R4562" s="353"/>
      <c r="S4562" s="185"/>
      <c r="T4562" s="185"/>
      <c r="U4562" s="185"/>
      <c r="V4562" s="185"/>
      <c r="W4562" s="185"/>
      <c r="X4562" s="185"/>
      <c r="Y4562" s="284"/>
      <c r="Z4562" s="284"/>
      <c r="AA4562" s="284"/>
      <c r="AB4562" s="284"/>
      <c r="AC4562" s="284"/>
      <c r="AD4562" s="284"/>
      <c r="AE4562" s="284"/>
      <c r="AF4562" s="284"/>
      <c r="AG4562" s="284"/>
      <c r="AH4562" s="284"/>
      <c r="AI4562" s="284"/>
      <c r="AJ4562" s="284"/>
      <c r="AK4562" s="284"/>
      <c r="AL4562" s="284"/>
    </row>
    <row r="4563" ht="15.75" customHeight="1">
      <c r="A4563" s="394"/>
      <c r="B4563" s="395"/>
      <c r="C4563" s="395"/>
      <c r="D4563" s="396"/>
      <c r="E4563" s="397"/>
      <c r="F4563" s="395"/>
      <c r="G4563" s="395"/>
      <c r="H4563" s="397"/>
      <c r="I4563" s="395"/>
      <c r="J4563" s="395"/>
      <c r="K4563" s="397"/>
      <c r="L4563" s="395"/>
      <c r="M4563" s="395"/>
      <c r="N4563" s="395"/>
      <c r="O4563" s="397"/>
      <c r="P4563" s="395"/>
      <c r="Q4563" s="395"/>
      <c r="R4563" s="353"/>
      <c r="S4563" s="185"/>
      <c r="T4563" s="185"/>
      <c r="U4563" s="185"/>
      <c r="V4563" s="185"/>
      <c r="W4563" s="185"/>
      <c r="X4563" s="185"/>
      <c r="Y4563" s="284"/>
      <c r="Z4563" s="284"/>
      <c r="AA4563" s="284"/>
      <c r="AB4563" s="284"/>
      <c r="AC4563" s="284"/>
      <c r="AD4563" s="284"/>
      <c r="AE4563" s="284"/>
      <c r="AF4563" s="284"/>
      <c r="AG4563" s="284"/>
      <c r="AH4563" s="284"/>
      <c r="AI4563" s="284"/>
      <c r="AJ4563" s="284"/>
      <c r="AK4563" s="284"/>
      <c r="AL4563" s="284"/>
    </row>
    <row r="4564" ht="15.75" customHeight="1">
      <c r="A4564" s="394"/>
      <c r="B4564" s="395"/>
      <c r="C4564" s="395"/>
      <c r="D4564" s="396"/>
      <c r="E4564" s="397"/>
      <c r="F4564" s="395"/>
      <c r="G4564" s="395"/>
      <c r="H4564" s="397"/>
      <c r="I4564" s="395"/>
      <c r="J4564" s="395"/>
      <c r="K4564" s="397"/>
      <c r="L4564" s="395"/>
      <c r="M4564" s="395"/>
      <c r="N4564" s="395"/>
      <c r="O4564" s="397"/>
      <c r="P4564" s="395"/>
      <c r="Q4564" s="395"/>
      <c r="R4564" s="353"/>
      <c r="S4564" s="185"/>
      <c r="T4564" s="185"/>
      <c r="U4564" s="185"/>
      <c r="V4564" s="185"/>
      <c r="W4564" s="185"/>
      <c r="X4564" s="185"/>
      <c r="Y4564" s="284"/>
      <c r="Z4564" s="284"/>
      <c r="AA4564" s="284"/>
      <c r="AB4564" s="284"/>
      <c r="AC4564" s="284"/>
      <c r="AD4564" s="284"/>
      <c r="AE4564" s="284"/>
      <c r="AF4564" s="284"/>
      <c r="AG4564" s="284"/>
      <c r="AH4564" s="284"/>
      <c r="AI4564" s="284"/>
      <c r="AJ4564" s="284"/>
      <c r="AK4564" s="284"/>
      <c r="AL4564" s="284"/>
    </row>
    <row r="4565" ht="15.75" customHeight="1">
      <c r="A4565" s="394"/>
      <c r="B4565" s="395"/>
      <c r="C4565" s="395"/>
      <c r="D4565" s="396"/>
      <c r="E4565" s="397"/>
      <c r="F4565" s="395"/>
      <c r="G4565" s="395"/>
      <c r="H4565" s="397"/>
      <c r="I4565" s="395"/>
      <c r="J4565" s="395"/>
      <c r="K4565" s="397"/>
      <c r="L4565" s="395"/>
      <c r="M4565" s="395"/>
      <c r="N4565" s="395"/>
      <c r="O4565" s="397"/>
      <c r="P4565" s="395"/>
      <c r="Q4565" s="395"/>
      <c r="R4565" s="353"/>
      <c r="S4565" s="185"/>
      <c r="T4565" s="185"/>
      <c r="U4565" s="185"/>
      <c r="V4565" s="185"/>
      <c r="W4565" s="185"/>
      <c r="X4565" s="185"/>
      <c r="Y4565" s="284"/>
      <c r="Z4565" s="284"/>
      <c r="AA4565" s="284"/>
      <c r="AB4565" s="284"/>
      <c r="AC4565" s="284"/>
      <c r="AD4565" s="284"/>
      <c r="AE4565" s="284"/>
      <c r="AF4565" s="284"/>
      <c r="AG4565" s="284"/>
      <c r="AH4565" s="284"/>
      <c r="AI4565" s="284"/>
      <c r="AJ4565" s="284"/>
      <c r="AK4565" s="284"/>
      <c r="AL4565" s="284"/>
    </row>
    <row r="4566" ht="15.75" customHeight="1">
      <c r="A4566" s="394"/>
      <c r="B4566" s="395"/>
      <c r="C4566" s="395"/>
      <c r="D4566" s="396"/>
      <c r="E4566" s="397"/>
      <c r="F4566" s="395"/>
      <c r="G4566" s="395"/>
      <c r="H4566" s="397"/>
      <c r="I4566" s="395"/>
      <c r="J4566" s="395"/>
      <c r="K4566" s="397"/>
      <c r="L4566" s="395"/>
      <c r="M4566" s="395"/>
      <c r="N4566" s="395"/>
      <c r="O4566" s="397"/>
      <c r="P4566" s="395"/>
      <c r="Q4566" s="395"/>
      <c r="R4566" s="353"/>
      <c r="S4566" s="185"/>
      <c r="T4566" s="185"/>
      <c r="U4566" s="185"/>
      <c r="V4566" s="185"/>
      <c r="W4566" s="185"/>
      <c r="X4566" s="185"/>
      <c r="Y4566" s="284"/>
      <c r="Z4566" s="284"/>
      <c r="AA4566" s="284"/>
      <c r="AB4566" s="284"/>
      <c r="AC4566" s="284"/>
      <c r="AD4566" s="284"/>
      <c r="AE4566" s="284"/>
      <c r="AF4566" s="284"/>
      <c r="AG4566" s="284"/>
      <c r="AH4566" s="284"/>
      <c r="AI4566" s="284"/>
      <c r="AJ4566" s="284"/>
      <c r="AK4566" s="284"/>
      <c r="AL4566" s="284"/>
    </row>
    <row r="4567" ht="15.75" customHeight="1">
      <c r="A4567" s="394"/>
      <c r="B4567" s="395"/>
      <c r="C4567" s="395"/>
      <c r="D4567" s="396"/>
      <c r="E4567" s="397"/>
      <c r="F4567" s="395"/>
      <c r="G4567" s="395"/>
      <c r="H4567" s="397"/>
      <c r="I4567" s="395"/>
      <c r="J4567" s="395"/>
      <c r="K4567" s="397"/>
      <c r="L4567" s="395"/>
      <c r="M4567" s="395"/>
      <c r="N4567" s="395"/>
      <c r="O4567" s="397"/>
      <c r="P4567" s="395"/>
      <c r="Q4567" s="395"/>
      <c r="R4567" s="353"/>
      <c r="S4567" s="185"/>
      <c r="T4567" s="185"/>
      <c r="U4567" s="185"/>
      <c r="V4567" s="185"/>
      <c r="W4567" s="185"/>
      <c r="X4567" s="185"/>
      <c r="Y4567" s="284"/>
      <c r="Z4567" s="284"/>
      <c r="AA4567" s="284"/>
      <c r="AB4567" s="284"/>
      <c r="AC4567" s="284"/>
      <c r="AD4567" s="284"/>
      <c r="AE4567" s="284"/>
      <c r="AF4567" s="284"/>
      <c r="AG4567" s="284"/>
      <c r="AH4567" s="284"/>
      <c r="AI4567" s="284"/>
      <c r="AJ4567" s="284"/>
      <c r="AK4567" s="284"/>
      <c r="AL4567" s="284"/>
    </row>
    <row r="4568" ht="15.75" customHeight="1">
      <c r="A4568" s="394"/>
      <c r="B4568" s="395"/>
      <c r="C4568" s="395"/>
      <c r="D4568" s="396"/>
      <c r="E4568" s="397"/>
      <c r="F4568" s="395"/>
      <c r="G4568" s="395"/>
      <c r="H4568" s="397"/>
      <c r="I4568" s="395"/>
      <c r="J4568" s="395"/>
      <c r="K4568" s="397"/>
      <c r="L4568" s="395"/>
      <c r="M4568" s="395"/>
      <c r="N4568" s="395"/>
      <c r="O4568" s="397"/>
      <c r="P4568" s="395"/>
      <c r="Q4568" s="395"/>
      <c r="R4568" s="353"/>
      <c r="S4568" s="185"/>
      <c r="T4568" s="185"/>
      <c r="U4568" s="185"/>
      <c r="V4568" s="185"/>
      <c r="W4568" s="185"/>
      <c r="X4568" s="185"/>
      <c r="Y4568" s="284"/>
      <c r="Z4568" s="284"/>
      <c r="AA4568" s="284"/>
      <c r="AB4568" s="284"/>
      <c r="AC4568" s="284"/>
      <c r="AD4568" s="284"/>
      <c r="AE4568" s="284"/>
      <c r="AF4568" s="284"/>
      <c r="AG4568" s="284"/>
      <c r="AH4568" s="284"/>
      <c r="AI4568" s="284"/>
      <c r="AJ4568" s="284"/>
      <c r="AK4568" s="284"/>
      <c r="AL4568" s="284"/>
    </row>
    <row r="4569" ht="15.75" customHeight="1">
      <c r="A4569" s="394"/>
      <c r="B4569" s="395"/>
      <c r="C4569" s="395"/>
      <c r="D4569" s="396"/>
      <c r="E4569" s="397"/>
      <c r="F4569" s="395"/>
      <c r="G4569" s="395"/>
      <c r="H4569" s="397"/>
      <c r="I4569" s="395"/>
      <c r="J4569" s="395"/>
      <c r="K4569" s="397"/>
      <c r="L4569" s="395"/>
      <c r="M4569" s="395"/>
      <c r="N4569" s="395"/>
      <c r="O4569" s="397"/>
      <c r="P4569" s="395"/>
      <c r="Q4569" s="395"/>
      <c r="R4569" s="353"/>
      <c r="S4569" s="185"/>
      <c r="T4569" s="185"/>
      <c r="U4569" s="185"/>
      <c r="V4569" s="185"/>
      <c r="W4569" s="185"/>
      <c r="X4569" s="185"/>
      <c r="Y4569" s="284"/>
      <c r="Z4569" s="284"/>
      <c r="AA4569" s="284"/>
      <c r="AB4569" s="284"/>
      <c r="AC4569" s="284"/>
      <c r="AD4569" s="284"/>
      <c r="AE4569" s="284"/>
      <c r="AF4569" s="284"/>
      <c r="AG4569" s="284"/>
      <c r="AH4569" s="284"/>
      <c r="AI4569" s="284"/>
      <c r="AJ4569" s="284"/>
      <c r="AK4569" s="284"/>
      <c r="AL4569" s="284"/>
    </row>
    <row r="4570" ht="15.75" customHeight="1">
      <c r="A4570" s="394"/>
      <c r="B4570" s="395"/>
      <c r="C4570" s="395"/>
      <c r="D4570" s="396"/>
      <c r="E4570" s="397"/>
      <c r="F4570" s="395"/>
      <c r="G4570" s="395"/>
      <c r="H4570" s="397"/>
      <c r="I4570" s="395"/>
      <c r="J4570" s="395"/>
      <c r="K4570" s="397"/>
      <c r="L4570" s="395"/>
      <c r="M4570" s="395"/>
      <c r="N4570" s="395"/>
      <c r="O4570" s="397"/>
      <c r="P4570" s="395"/>
      <c r="Q4570" s="395"/>
      <c r="R4570" s="353"/>
      <c r="S4570" s="185"/>
      <c r="T4570" s="185"/>
      <c r="U4570" s="185"/>
      <c r="V4570" s="185"/>
      <c r="W4570" s="185"/>
      <c r="X4570" s="185"/>
      <c r="Y4570" s="284"/>
      <c r="Z4570" s="284"/>
      <c r="AA4570" s="284"/>
      <c r="AB4570" s="284"/>
      <c r="AC4570" s="284"/>
      <c r="AD4570" s="284"/>
      <c r="AE4570" s="284"/>
      <c r="AF4570" s="284"/>
      <c r="AG4570" s="284"/>
      <c r="AH4570" s="284"/>
      <c r="AI4570" s="284"/>
      <c r="AJ4570" s="284"/>
      <c r="AK4570" s="284"/>
      <c r="AL4570" s="284"/>
    </row>
    <row r="4571" ht="15.75" customHeight="1">
      <c r="A4571" s="394"/>
      <c r="B4571" s="395"/>
      <c r="C4571" s="395"/>
      <c r="D4571" s="396"/>
      <c r="E4571" s="397"/>
      <c r="F4571" s="395"/>
      <c r="G4571" s="395"/>
      <c r="H4571" s="397"/>
      <c r="I4571" s="395"/>
      <c r="J4571" s="395"/>
      <c r="K4571" s="397"/>
      <c r="L4571" s="395"/>
      <c r="M4571" s="395"/>
      <c r="N4571" s="395"/>
      <c r="O4571" s="397"/>
      <c r="P4571" s="395"/>
      <c r="Q4571" s="395"/>
      <c r="R4571" s="353"/>
      <c r="S4571" s="185"/>
      <c r="T4571" s="185"/>
      <c r="U4571" s="185"/>
      <c r="V4571" s="185"/>
      <c r="W4571" s="185"/>
      <c r="X4571" s="185"/>
      <c r="Y4571" s="284"/>
      <c r="Z4571" s="284"/>
      <c r="AA4571" s="284"/>
      <c r="AB4571" s="284"/>
      <c r="AC4571" s="284"/>
      <c r="AD4571" s="284"/>
      <c r="AE4571" s="284"/>
      <c r="AF4571" s="284"/>
      <c r="AG4571" s="284"/>
      <c r="AH4571" s="284"/>
      <c r="AI4571" s="284"/>
      <c r="AJ4571" s="284"/>
      <c r="AK4571" s="284"/>
      <c r="AL4571" s="284"/>
    </row>
    <row r="4572" ht="15.75" customHeight="1">
      <c r="A4572" s="394"/>
      <c r="B4572" s="395"/>
      <c r="C4572" s="395"/>
      <c r="D4572" s="396"/>
      <c r="E4572" s="397"/>
      <c r="F4572" s="395"/>
      <c r="G4572" s="395"/>
      <c r="H4572" s="397"/>
      <c r="I4572" s="395"/>
      <c r="J4572" s="395"/>
      <c r="K4572" s="397"/>
      <c r="L4572" s="395"/>
      <c r="M4572" s="395"/>
      <c r="N4572" s="395"/>
      <c r="O4572" s="397"/>
      <c r="P4572" s="395"/>
      <c r="Q4572" s="395"/>
      <c r="R4572" s="353"/>
      <c r="S4572" s="185"/>
      <c r="T4572" s="185"/>
      <c r="U4572" s="185"/>
      <c r="V4572" s="185"/>
      <c r="W4572" s="185"/>
      <c r="X4572" s="185"/>
      <c r="Y4572" s="284"/>
      <c r="Z4572" s="284"/>
      <c r="AA4572" s="284"/>
      <c r="AB4572" s="284"/>
      <c r="AC4572" s="284"/>
      <c r="AD4572" s="284"/>
      <c r="AE4572" s="284"/>
      <c r="AF4572" s="284"/>
      <c r="AG4572" s="284"/>
      <c r="AH4572" s="284"/>
      <c r="AI4572" s="284"/>
      <c r="AJ4572" s="284"/>
      <c r="AK4572" s="284"/>
      <c r="AL4572" s="284"/>
    </row>
    <row r="4573" ht="15.75" customHeight="1">
      <c r="A4573" s="394"/>
      <c r="B4573" s="395"/>
      <c r="C4573" s="395"/>
      <c r="D4573" s="396"/>
      <c r="E4573" s="397"/>
      <c r="F4573" s="395"/>
      <c r="G4573" s="395"/>
      <c r="H4573" s="397"/>
      <c r="I4573" s="395"/>
      <c r="J4573" s="395"/>
      <c r="K4573" s="397"/>
      <c r="L4573" s="395"/>
      <c r="M4573" s="395"/>
      <c r="N4573" s="395"/>
      <c r="O4573" s="397"/>
      <c r="P4573" s="395"/>
      <c r="Q4573" s="395"/>
      <c r="R4573" s="353"/>
      <c r="S4573" s="185"/>
      <c r="T4573" s="185"/>
      <c r="U4573" s="185"/>
      <c r="V4573" s="185"/>
      <c r="W4573" s="185"/>
      <c r="X4573" s="185"/>
      <c r="Y4573" s="284"/>
      <c r="Z4573" s="284"/>
      <c r="AA4573" s="284"/>
      <c r="AB4573" s="284"/>
      <c r="AC4573" s="284"/>
      <c r="AD4573" s="284"/>
      <c r="AE4573" s="284"/>
      <c r="AF4573" s="284"/>
      <c r="AG4573" s="284"/>
      <c r="AH4573" s="284"/>
      <c r="AI4573" s="284"/>
      <c r="AJ4573" s="284"/>
      <c r="AK4573" s="284"/>
      <c r="AL4573" s="284"/>
    </row>
    <row r="4574" ht="15.75" customHeight="1">
      <c r="A4574" s="394"/>
      <c r="B4574" s="395"/>
      <c r="C4574" s="395"/>
      <c r="D4574" s="396"/>
      <c r="E4574" s="397"/>
      <c r="F4574" s="395"/>
      <c r="G4574" s="395"/>
      <c r="H4574" s="397"/>
      <c r="I4574" s="395"/>
      <c r="J4574" s="395"/>
      <c r="K4574" s="397"/>
      <c r="L4574" s="395"/>
      <c r="M4574" s="395"/>
      <c r="N4574" s="395"/>
      <c r="O4574" s="397"/>
      <c r="P4574" s="395"/>
      <c r="Q4574" s="395"/>
      <c r="R4574" s="353"/>
      <c r="S4574" s="185"/>
      <c r="T4574" s="185"/>
      <c r="U4574" s="185"/>
      <c r="V4574" s="185"/>
      <c r="W4574" s="185"/>
      <c r="X4574" s="185"/>
      <c r="Y4574" s="284"/>
      <c r="Z4574" s="284"/>
      <c r="AA4574" s="284"/>
      <c r="AB4574" s="284"/>
      <c r="AC4574" s="284"/>
      <c r="AD4574" s="284"/>
      <c r="AE4574" s="284"/>
      <c r="AF4574" s="284"/>
      <c r="AG4574" s="284"/>
      <c r="AH4574" s="284"/>
      <c r="AI4574" s="284"/>
      <c r="AJ4574" s="284"/>
      <c r="AK4574" s="284"/>
      <c r="AL4574" s="284"/>
    </row>
    <row r="4575" ht="15.75" customHeight="1">
      <c r="A4575" s="394"/>
      <c r="B4575" s="395"/>
      <c r="C4575" s="395"/>
      <c r="D4575" s="396"/>
      <c r="E4575" s="397"/>
      <c r="F4575" s="395"/>
      <c r="G4575" s="395"/>
      <c r="H4575" s="397"/>
      <c r="I4575" s="395"/>
      <c r="J4575" s="395"/>
      <c r="K4575" s="397"/>
      <c r="L4575" s="395"/>
      <c r="M4575" s="395"/>
      <c r="N4575" s="395"/>
      <c r="O4575" s="397"/>
      <c r="P4575" s="395"/>
      <c r="Q4575" s="395"/>
      <c r="R4575" s="353"/>
      <c r="S4575" s="185"/>
      <c r="T4575" s="185"/>
      <c r="U4575" s="185"/>
      <c r="V4575" s="185"/>
      <c r="W4575" s="185"/>
      <c r="X4575" s="185"/>
      <c r="Y4575" s="284"/>
      <c r="Z4575" s="284"/>
      <c r="AA4575" s="284"/>
      <c r="AB4575" s="284"/>
      <c r="AC4575" s="284"/>
      <c r="AD4575" s="284"/>
      <c r="AE4575" s="284"/>
      <c r="AF4575" s="284"/>
      <c r="AG4575" s="284"/>
      <c r="AH4575" s="284"/>
      <c r="AI4575" s="284"/>
      <c r="AJ4575" s="284"/>
      <c r="AK4575" s="284"/>
      <c r="AL4575" s="284"/>
    </row>
    <row r="4576" ht="15.75" customHeight="1">
      <c r="A4576" s="394"/>
      <c r="B4576" s="395"/>
      <c r="C4576" s="395"/>
      <c r="D4576" s="396"/>
      <c r="E4576" s="397"/>
      <c r="F4576" s="395"/>
      <c r="G4576" s="395"/>
      <c r="H4576" s="397"/>
      <c r="I4576" s="395"/>
      <c r="J4576" s="395"/>
      <c r="K4576" s="397"/>
      <c r="L4576" s="395"/>
      <c r="M4576" s="395"/>
      <c r="N4576" s="395"/>
      <c r="O4576" s="397"/>
      <c r="P4576" s="395"/>
      <c r="Q4576" s="395"/>
      <c r="R4576" s="353"/>
      <c r="S4576" s="185"/>
      <c r="T4576" s="185"/>
      <c r="U4576" s="185"/>
      <c r="V4576" s="185"/>
      <c r="W4576" s="185"/>
      <c r="X4576" s="185"/>
      <c r="Y4576" s="284"/>
      <c r="Z4576" s="284"/>
      <c r="AA4576" s="284"/>
      <c r="AB4576" s="284"/>
      <c r="AC4576" s="284"/>
      <c r="AD4576" s="284"/>
      <c r="AE4576" s="284"/>
      <c r="AF4576" s="284"/>
      <c r="AG4576" s="284"/>
      <c r="AH4576" s="284"/>
      <c r="AI4576" s="284"/>
      <c r="AJ4576" s="284"/>
      <c r="AK4576" s="284"/>
      <c r="AL4576" s="284"/>
    </row>
    <row r="4577" ht="15.75" customHeight="1">
      <c r="A4577" s="394"/>
      <c r="B4577" s="395"/>
      <c r="C4577" s="395"/>
      <c r="D4577" s="396"/>
      <c r="E4577" s="397"/>
      <c r="F4577" s="395"/>
      <c r="G4577" s="395"/>
      <c r="H4577" s="397"/>
      <c r="I4577" s="395"/>
      <c r="J4577" s="395"/>
      <c r="K4577" s="397"/>
      <c r="L4577" s="395"/>
      <c r="M4577" s="395"/>
      <c r="N4577" s="395"/>
      <c r="O4577" s="397"/>
      <c r="P4577" s="395"/>
      <c r="Q4577" s="395"/>
      <c r="R4577" s="353"/>
      <c r="S4577" s="185"/>
      <c r="T4577" s="185"/>
      <c r="U4577" s="185"/>
      <c r="V4577" s="185"/>
      <c r="W4577" s="185"/>
      <c r="X4577" s="185"/>
      <c r="Y4577" s="284"/>
      <c r="Z4577" s="284"/>
      <c r="AA4577" s="284"/>
      <c r="AB4577" s="284"/>
      <c r="AC4577" s="284"/>
      <c r="AD4577" s="284"/>
      <c r="AE4577" s="284"/>
      <c r="AF4577" s="284"/>
      <c r="AG4577" s="284"/>
      <c r="AH4577" s="284"/>
      <c r="AI4577" s="284"/>
      <c r="AJ4577" s="284"/>
      <c r="AK4577" s="284"/>
      <c r="AL4577" s="284"/>
    </row>
    <row r="4578" ht="15.75" customHeight="1">
      <c r="A4578" s="394"/>
      <c r="B4578" s="395"/>
      <c r="C4578" s="395"/>
      <c r="D4578" s="396"/>
      <c r="E4578" s="397"/>
      <c r="F4578" s="395"/>
      <c r="G4578" s="395"/>
      <c r="H4578" s="397"/>
      <c r="I4578" s="395"/>
      <c r="J4578" s="395"/>
      <c r="K4578" s="397"/>
      <c r="L4578" s="395"/>
      <c r="M4578" s="395"/>
      <c r="N4578" s="395"/>
      <c r="O4578" s="397"/>
      <c r="P4578" s="395"/>
      <c r="Q4578" s="395"/>
      <c r="R4578" s="353"/>
      <c r="S4578" s="185"/>
      <c r="T4578" s="185"/>
      <c r="U4578" s="185"/>
      <c r="V4578" s="185"/>
      <c r="W4578" s="185"/>
      <c r="X4578" s="185"/>
      <c r="Y4578" s="284"/>
      <c r="Z4578" s="284"/>
      <c r="AA4578" s="284"/>
      <c r="AB4578" s="284"/>
      <c r="AC4578" s="284"/>
      <c r="AD4578" s="284"/>
      <c r="AE4578" s="284"/>
      <c r="AF4578" s="284"/>
      <c r="AG4578" s="284"/>
      <c r="AH4578" s="284"/>
      <c r="AI4578" s="284"/>
      <c r="AJ4578" s="284"/>
      <c r="AK4578" s="284"/>
      <c r="AL4578" s="284"/>
    </row>
    <row r="4579" ht="15.75" customHeight="1">
      <c r="A4579" s="394"/>
      <c r="B4579" s="395"/>
      <c r="C4579" s="395"/>
      <c r="D4579" s="396"/>
      <c r="E4579" s="397"/>
      <c r="F4579" s="395"/>
      <c r="G4579" s="395"/>
      <c r="H4579" s="397"/>
      <c r="I4579" s="395"/>
      <c r="J4579" s="395"/>
      <c r="K4579" s="397"/>
      <c r="L4579" s="395"/>
      <c r="M4579" s="395"/>
      <c r="N4579" s="395"/>
      <c r="O4579" s="397"/>
      <c r="P4579" s="395"/>
      <c r="Q4579" s="395"/>
      <c r="R4579" s="353"/>
      <c r="S4579" s="185"/>
      <c r="T4579" s="185"/>
      <c r="U4579" s="185"/>
      <c r="V4579" s="185"/>
      <c r="W4579" s="185"/>
      <c r="X4579" s="185"/>
      <c r="Y4579" s="284"/>
      <c r="Z4579" s="284"/>
      <c r="AA4579" s="284"/>
      <c r="AB4579" s="284"/>
      <c r="AC4579" s="284"/>
      <c r="AD4579" s="284"/>
      <c r="AE4579" s="284"/>
      <c r="AF4579" s="284"/>
      <c r="AG4579" s="284"/>
      <c r="AH4579" s="284"/>
      <c r="AI4579" s="284"/>
      <c r="AJ4579" s="284"/>
      <c r="AK4579" s="284"/>
      <c r="AL4579" s="284"/>
    </row>
    <row r="4580" ht="15.75" customHeight="1">
      <c r="A4580" s="394"/>
      <c r="B4580" s="395"/>
      <c r="C4580" s="395"/>
      <c r="D4580" s="396"/>
      <c r="E4580" s="397"/>
      <c r="F4580" s="395"/>
      <c r="G4580" s="395"/>
      <c r="H4580" s="397"/>
      <c r="I4580" s="395"/>
      <c r="J4580" s="395"/>
      <c r="K4580" s="397"/>
      <c r="L4580" s="395"/>
      <c r="M4580" s="395"/>
      <c r="N4580" s="395"/>
      <c r="O4580" s="397"/>
      <c r="P4580" s="395"/>
      <c r="Q4580" s="395"/>
      <c r="R4580" s="353"/>
      <c r="S4580" s="185"/>
      <c r="T4580" s="185"/>
      <c r="U4580" s="185"/>
      <c r="V4580" s="185"/>
      <c r="W4580" s="185"/>
      <c r="X4580" s="185"/>
      <c r="Y4580" s="284"/>
      <c r="Z4580" s="284"/>
      <c r="AA4580" s="284"/>
      <c r="AB4580" s="284"/>
      <c r="AC4580" s="284"/>
      <c r="AD4580" s="284"/>
      <c r="AE4580" s="284"/>
      <c r="AF4580" s="284"/>
      <c r="AG4580" s="284"/>
      <c r="AH4580" s="284"/>
      <c r="AI4580" s="284"/>
      <c r="AJ4580" s="284"/>
      <c r="AK4580" s="284"/>
      <c r="AL4580" s="284"/>
    </row>
    <row r="4581" ht="15.75" customHeight="1">
      <c r="A4581" s="394"/>
      <c r="B4581" s="395"/>
      <c r="C4581" s="395"/>
      <c r="D4581" s="396"/>
      <c r="E4581" s="397"/>
      <c r="F4581" s="395"/>
      <c r="G4581" s="395"/>
      <c r="H4581" s="397"/>
      <c r="I4581" s="395"/>
      <c r="J4581" s="395"/>
      <c r="K4581" s="397"/>
      <c r="L4581" s="395"/>
      <c r="M4581" s="395"/>
      <c r="N4581" s="395"/>
      <c r="O4581" s="397"/>
      <c r="P4581" s="395"/>
      <c r="Q4581" s="395"/>
      <c r="R4581" s="353"/>
      <c r="S4581" s="185"/>
      <c r="T4581" s="185"/>
      <c r="U4581" s="185"/>
      <c r="V4581" s="185"/>
      <c r="W4581" s="185"/>
      <c r="X4581" s="185"/>
      <c r="Y4581" s="284"/>
      <c r="Z4581" s="284"/>
      <c r="AA4581" s="284"/>
      <c r="AB4581" s="284"/>
      <c r="AC4581" s="284"/>
      <c r="AD4581" s="284"/>
      <c r="AE4581" s="284"/>
      <c r="AF4581" s="284"/>
      <c r="AG4581" s="284"/>
      <c r="AH4581" s="284"/>
      <c r="AI4581" s="284"/>
      <c r="AJ4581" s="284"/>
      <c r="AK4581" s="284"/>
      <c r="AL4581" s="284"/>
    </row>
    <row r="4582" ht="15.75" customHeight="1">
      <c r="A4582" s="394"/>
      <c r="B4582" s="395"/>
      <c r="C4582" s="395"/>
      <c r="D4582" s="396"/>
      <c r="E4582" s="397"/>
      <c r="F4582" s="395"/>
      <c r="G4582" s="395"/>
      <c r="H4582" s="397"/>
      <c r="I4582" s="395"/>
      <c r="J4582" s="395"/>
      <c r="K4582" s="397"/>
      <c r="L4582" s="395"/>
      <c r="M4582" s="395"/>
      <c r="N4582" s="395"/>
      <c r="O4582" s="397"/>
      <c r="P4582" s="395"/>
      <c r="Q4582" s="395"/>
      <c r="R4582" s="353"/>
      <c r="S4582" s="185"/>
      <c r="T4582" s="185"/>
      <c r="U4582" s="185"/>
      <c r="V4582" s="185"/>
      <c r="W4582" s="185"/>
      <c r="X4582" s="185"/>
      <c r="Y4582" s="284"/>
      <c r="Z4582" s="284"/>
      <c r="AA4582" s="284"/>
      <c r="AB4582" s="284"/>
      <c r="AC4582" s="284"/>
      <c r="AD4582" s="284"/>
      <c r="AE4582" s="284"/>
      <c r="AF4582" s="284"/>
      <c r="AG4582" s="284"/>
      <c r="AH4582" s="284"/>
      <c r="AI4582" s="284"/>
      <c r="AJ4582" s="284"/>
      <c r="AK4582" s="284"/>
      <c r="AL4582" s="284"/>
    </row>
    <row r="4583" ht="15.75" customHeight="1">
      <c r="A4583" s="394"/>
      <c r="B4583" s="395"/>
      <c r="C4583" s="395"/>
      <c r="D4583" s="396"/>
      <c r="E4583" s="397"/>
      <c r="F4583" s="395"/>
      <c r="G4583" s="395"/>
      <c r="H4583" s="397"/>
      <c r="I4583" s="395"/>
      <c r="J4583" s="395"/>
      <c r="K4583" s="397"/>
      <c r="L4583" s="395"/>
      <c r="M4583" s="395"/>
      <c r="N4583" s="395"/>
      <c r="O4583" s="397"/>
      <c r="P4583" s="395"/>
      <c r="Q4583" s="395"/>
      <c r="R4583" s="353"/>
      <c r="S4583" s="185"/>
      <c r="T4583" s="185"/>
      <c r="U4583" s="185"/>
      <c r="V4583" s="185"/>
      <c r="W4583" s="185"/>
      <c r="X4583" s="185"/>
      <c r="Y4583" s="284"/>
      <c r="Z4583" s="284"/>
      <c r="AA4583" s="284"/>
      <c r="AB4583" s="284"/>
      <c r="AC4583" s="284"/>
      <c r="AD4583" s="284"/>
      <c r="AE4583" s="284"/>
      <c r="AF4583" s="284"/>
      <c r="AG4583" s="284"/>
      <c r="AH4583" s="284"/>
      <c r="AI4583" s="284"/>
      <c r="AJ4583" s="284"/>
      <c r="AK4583" s="284"/>
      <c r="AL4583" s="284"/>
    </row>
    <row r="4584" ht="15.75" customHeight="1">
      <c r="A4584" s="394"/>
      <c r="B4584" s="395"/>
      <c r="C4584" s="395"/>
      <c r="D4584" s="396"/>
      <c r="E4584" s="397"/>
      <c r="F4584" s="395"/>
      <c r="G4584" s="395"/>
      <c r="H4584" s="397"/>
      <c r="I4584" s="395"/>
      <c r="J4584" s="395"/>
      <c r="K4584" s="397"/>
      <c r="L4584" s="395"/>
      <c r="M4584" s="395"/>
      <c r="N4584" s="395"/>
      <c r="O4584" s="397"/>
      <c r="P4584" s="395"/>
      <c r="Q4584" s="395"/>
      <c r="R4584" s="353"/>
      <c r="S4584" s="185"/>
      <c r="T4584" s="185"/>
      <c r="U4584" s="185"/>
      <c r="V4584" s="185"/>
      <c r="W4584" s="185"/>
      <c r="X4584" s="185"/>
      <c r="Y4584" s="284"/>
      <c r="Z4584" s="284"/>
      <c r="AA4584" s="284"/>
      <c r="AB4584" s="284"/>
      <c r="AC4584" s="284"/>
      <c r="AD4584" s="284"/>
      <c r="AE4584" s="284"/>
      <c r="AF4584" s="284"/>
      <c r="AG4584" s="284"/>
      <c r="AH4584" s="284"/>
      <c r="AI4584" s="284"/>
      <c r="AJ4584" s="284"/>
      <c r="AK4584" s="284"/>
      <c r="AL4584" s="284"/>
    </row>
    <row r="4585" ht="15.75" customHeight="1">
      <c r="A4585" s="394"/>
      <c r="B4585" s="395"/>
      <c r="C4585" s="395"/>
      <c r="D4585" s="396"/>
      <c r="E4585" s="397"/>
      <c r="F4585" s="395"/>
      <c r="G4585" s="395"/>
      <c r="H4585" s="397"/>
      <c r="I4585" s="395"/>
      <c r="J4585" s="395"/>
      <c r="K4585" s="397"/>
      <c r="L4585" s="395"/>
      <c r="M4585" s="395"/>
      <c r="N4585" s="395"/>
      <c r="O4585" s="397"/>
      <c r="P4585" s="395"/>
      <c r="Q4585" s="395"/>
      <c r="R4585" s="353"/>
      <c r="S4585" s="185"/>
      <c r="T4585" s="185"/>
      <c r="U4585" s="185"/>
      <c r="V4585" s="185"/>
      <c r="W4585" s="185"/>
      <c r="X4585" s="185"/>
      <c r="Y4585" s="284"/>
      <c r="Z4585" s="284"/>
      <c r="AA4585" s="284"/>
      <c r="AB4585" s="284"/>
      <c r="AC4585" s="284"/>
      <c r="AD4585" s="284"/>
      <c r="AE4585" s="284"/>
      <c r="AF4585" s="284"/>
      <c r="AG4585" s="284"/>
      <c r="AH4585" s="284"/>
      <c r="AI4585" s="284"/>
      <c r="AJ4585" s="284"/>
      <c r="AK4585" s="284"/>
      <c r="AL4585" s="284"/>
    </row>
    <row r="4586" ht="15.75" customHeight="1">
      <c r="A4586" s="394"/>
      <c r="B4586" s="395"/>
      <c r="C4586" s="395"/>
      <c r="D4586" s="396"/>
      <c r="E4586" s="397"/>
      <c r="F4586" s="395"/>
      <c r="G4586" s="395"/>
      <c r="H4586" s="397"/>
      <c r="I4586" s="395"/>
      <c r="J4586" s="395"/>
      <c r="K4586" s="397"/>
      <c r="L4586" s="395"/>
      <c r="M4586" s="395"/>
      <c r="N4586" s="395"/>
      <c r="O4586" s="397"/>
      <c r="P4586" s="395"/>
      <c r="Q4586" s="395"/>
      <c r="R4586" s="353"/>
      <c r="S4586" s="185"/>
      <c r="T4586" s="185"/>
      <c r="U4586" s="185"/>
      <c r="V4586" s="185"/>
      <c r="W4586" s="185"/>
      <c r="X4586" s="185"/>
      <c r="Y4586" s="284"/>
      <c r="Z4586" s="284"/>
      <c r="AA4586" s="284"/>
      <c r="AB4586" s="284"/>
      <c r="AC4586" s="284"/>
      <c r="AD4586" s="284"/>
      <c r="AE4586" s="284"/>
      <c r="AF4586" s="284"/>
      <c r="AG4586" s="284"/>
      <c r="AH4586" s="284"/>
      <c r="AI4586" s="284"/>
      <c r="AJ4586" s="284"/>
      <c r="AK4586" s="284"/>
      <c r="AL4586" s="284"/>
    </row>
    <row r="4587" ht="15.75" customHeight="1">
      <c r="A4587" s="394"/>
      <c r="B4587" s="395"/>
      <c r="C4587" s="395"/>
      <c r="D4587" s="396"/>
      <c r="E4587" s="397"/>
      <c r="F4587" s="395"/>
      <c r="G4587" s="395"/>
      <c r="H4587" s="397"/>
      <c r="I4587" s="395"/>
      <c r="J4587" s="395"/>
      <c r="K4587" s="397"/>
      <c r="L4587" s="395"/>
      <c r="M4587" s="395"/>
      <c r="N4587" s="395"/>
      <c r="O4587" s="397"/>
      <c r="P4587" s="395"/>
      <c r="Q4587" s="395"/>
      <c r="R4587" s="353"/>
      <c r="S4587" s="185"/>
      <c r="T4587" s="185"/>
      <c r="U4587" s="185"/>
      <c r="V4587" s="185"/>
      <c r="W4587" s="185"/>
      <c r="X4587" s="185"/>
      <c r="Y4587" s="284"/>
      <c r="Z4587" s="284"/>
      <c r="AA4587" s="284"/>
      <c r="AB4587" s="284"/>
      <c r="AC4587" s="284"/>
      <c r="AD4587" s="284"/>
      <c r="AE4587" s="284"/>
      <c r="AF4587" s="284"/>
      <c r="AG4587" s="284"/>
      <c r="AH4587" s="284"/>
      <c r="AI4587" s="284"/>
      <c r="AJ4587" s="284"/>
      <c r="AK4587" s="284"/>
      <c r="AL4587" s="284"/>
    </row>
    <row r="4588" ht="15.75" customHeight="1">
      <c r="A4588" s="394"/>
      <c r="B4588" s="395"/>
      <c r="C4588" s="395"/>
      <c r="D4588" s="396"/>
      <c r="E4588" s="397"/>
      <c r="F4588" s="395"/>
      <c r="G4588" s="395"/>
      <c r="H4588" s="397"/>
      <c r="I4588" s="395"/>
      <c r="J4588" s="395"/>
      <c r="K4588" s="397"/>
      <c r="L4588" s="395"/>
      <c r="M4588" s="395"/>
      <c r="N4588" s="395"/>
      <c r="O4588" s="397"/>
      <c r="P4588" s="395"/>
      <c r="Q4588" s="395"/>
      <c r="R4588" s="353"/>
      <c r="S4588" s="185"/>
      <c r="T4588" s="185"/>
      <c r="U4588" s="185"/>
      <c r="V4588" s="185"/>
      <c r="W4588" s="185"/>
      <c r="X4588" s="185"/>
      <c r="Y4588" s="284"/>
      <c r="Z4588" s="284"/>
      <c r="AA4588" s="284"/>
      <c r="AB4588" s="284"/>
      <c r="AC4588" s="284"/>
      <c r="AD4588" s="284"/>
      <c r="AE4588" s="284"/>
      <c r="AF4588" s="284"/>
      <c r="AG4588" s="284"/>
      <c r="AH4588" s="284"/>
      <c r="AI4588" s="284"/>
      <c r="AJ4588" s="284"/>
      <c r="AK4588" s="284"/>
      <c r="AL4588" s="284"/>
    </row>
    <row r="4589" ht="15.75" customHeight="1">
      <c r="A4589" s="394"/>
      <c r="B4589" s="395"/>
      <c r="C4589" s="395"/>
      <c r="D4589" s="396"/>
      <c r="E4589" s="397"/>
      <c r="F4589" s="395"/>
      <c r="G4589" s="395"/>
      <c r="H4589" s="397"/>
      <c r="I4589" s="395"/>
      <c r="J4589" s="395"/>
      <c r="K4589" s="397"/>
      <c r="L4589" s="395"/>
      <c r="M4589" s="395"/>
      <c r="N4589" s="395"/>
      <c r="O4589" s="397"/>
      <c r="P4589" s="395"/>
      <c r="Q4589" s="395"/>
      <c r="R4589" s="353"/>
      <c r="S4589" s="185"/>
      <c r="T4589" s="185"/>
      <c r="U4589" s="185"/>
      <c r="V4589" s="185"/>
      <c r="W4589" s="185"/>
      <c r="X4589" s="185"/>
      <c r="Y4589" s="284"/>
      <c r="Z4589" s="284"/>
      <c r="AA4589" s="284"/>
      <c r="AB4589" s="284"/>
      <c r="AC4589" s="284"/>
      <c r="AD4589" s="284"/>
      <c r="AE4589" s="284"/>
      <c r="AF4589" s="284"/>
      <c r="AG4589" s="284"/>
      <c r="AH4589" s="284"/>
      <c r="AI4589" s="284"/>
      <c r="AJ4589" s="284"/>
      <c r="AK4589" s="284"/>
      <c r="AL4589" s="284"/>
    </row>
    <row r="4590" ht="15.75" customHeight="1">
      <c r="A4590" s="394"/>
      <c r="B4590" s="395"/>
      <c r="C4590" s="395"/>
      <c r="D4590" s="396"/>
      <c r="E4590" s="397"/>
      <c r="F4590" s="395"/>
      <c r="G4590" s="395"/>
      <c r="H4590" s="397"/>
      <c r="I4590" s="395"/>
      <c r="J4590" s="395"/>
      <c r="K4590" s="397"/>
      <c r="L4590" s="395"/>
      <c r="M4590" s="395"/>
      <c r="N4590" s="395"/>
      <c r="O4590" s="397"/>
      <c r="P4590" s="395"/>
      <c r="Q4590" s="395"/>
      <c r="R4590" s="353"/>
      <c r="S4590" s="185"/>
      <c r="T4590" s="185"/>
      <c r="U4590" s="185"/>
      <c r="V4590" s="185"/>
      <c r="W4590" s="185"/>
      <c r="X4590" s="185"/>
      <c r="Y4590" s="284"/>
      <c r="Z4590" s="284"/>
      <c r="AA4590" s="284"/>
      <c r="AB4590" s="284"/>
      <c r="AC4590" s="284"/>
      <c r="AD4590" s="284"/>
      <c r="AE4590" s="284"/>
      <c r="AF4590" s="284"/>
      <c r="AG4590" s="284"/>
      <c r="AH4590" s="284"/>
      <c r="AI4590" s="284"/>
      <c r="AJ4590" s="284"/>
      <c r="AK4590" s="284"/>
      <c r="AL4590" s="284"/>
    </row>
    <row r="4591" ht="15.75" customHeight="1">
      <c r="A4591" s="394"/>
      <c r="B4591" s="395"/>
      <c r="C4591" s="395"/>
      <c r="D4591" s="396"/>
      <c r="E4591" s="397"/>
      <c r="F4591" s="395"/>
      <c r="G4591" s="395"/>
      <c r="H4591" s="397"/>
      <c r="I4591" s="395"/>
      <c r="J4591" s="395"/>
      <c r="K4591" s="397"/>
      <c r="L4591" s="395"/>
      <c r="M4591" s="395"/>
      <c r="N4591" s="395"/>
      <c r="O4591" s="397"/>
      <c r="P4591" s="395"/>
      <c r="Q4591" s="395"/>
      <c r="R4591" s="353"/>
      <c r="S4591" s="185"/>
      <c r="T4591" s="185"/>
      <c r="U4591" s="185"/>
      <c r="V4591" s="185"/>
      <c r="W4591" s="185"/>
      <c r="X4591" s="185"/>
      <c r="Y4591" s="284"/>
      <c r="Z4591" s="284"/>
      <c r="AA4591" s="284"/>
      <c r="AB4591" s="284"/>
      <c r="AC4591" s="284"/>
      <c r="AD4591" s="284"/>
      <c r="AE4591" s="284"/>
      <c r="AF4591" s="284"/>
      <c r="AG4591" s="284"/>
      <c r="AH4591" s="284"/>
      <c r="AI4591" s="284"/>
      <c r="AJ4591" s="284"/>
      <c r="AK4591" s="284"/>
      <c r="AL4591" s="284"/>
    </row>
    <row r="4592" ht="15.75" customHeight="1">
      <c r="A4592" s="394"/>
      <c r="B4592" s="395"/>
      <c r="C4592" s="395"/>
      <c r="D4592" s="396"/>
      <c r="E4592" s="397"/>
      <c r="F4592" s="395"/>
      <c r="G4592" s="395"/>
      <c r="H4592" s="397"/>
      <c r="I4592" s="395"/>
      <c r="J4592" s="395"/>
      <c r="K4592" s="397"/>
      <c r="L4592" s="395"/>
      <c r="M4592" s="395"/>
      <c r="N4592" s="395"/>
      <c r="O4592" s="397"/>
      <c r="P4592" s="395"/>
      <c r="Q4592" s="395"/>
      <c r="R4592" s="353"/>
      <c r="S4592" s="185"/>
      <c r="T4592" s="185"/>
      <c r="U4592" s="185"/>
      <c r="V4592" s="185"/>
      <c r="W4592" s="185"/>
      <c r="X4592" s="185"/>
      <c r="Y4592" s="284"/>
      <c r="Z4592" s="284"/>
      <c r="AA4592" s="284"/>
      <c r="AB4592" s="284"/>
      <c r="AC4592" s="284"/>
      <c r="AD4592" s="284"/>
      <c r="AE4592" s="284"/>
      <c r="AF4592" s="284"/>
      <c r="AG4592" s="284"/>
      <c r="AH4592" s="284"/>
      <c r="AI4592" s="284"/>
      <c r="AJ4592" s="284"/>
      <c r="AK4592" s="284"/>
      <c r="AL4592" s="284"/>
    </row>
    <row r="4593" ht="15.75" customHeight="1">
      <c r="A4593" s="394"/>
      <c r="B4593" s="395"/>
      <c r="C4593" s="395"/>
      <c r="D4593" s="396"/>
      <c r="E4593" s="397"/>
      <c r="F4593" s="395"/>
      <c r="G4593" s="395"/>
      <c r="H4593" s="397"/>
      <c r="I4593" s="395"/>
      <c r="J4593" s="395"/>
      <c r="K4593" s="397"/>
      <c r="L4593" s="395"/>
      <c r="M4593" s="395"/>
      <c r="N4593" s="395"/>
      <c r="O4593" s="397"/>
      <c r="P4593" s="395"/>
      <c r="Q4593" s="395"/>
      <c r="R4593" s="353"/>
      <c r="S4593" s="185"/>
      <c r="T4593" s="185"/>
      <c r="U4593" s="185"/>
      <c r="V4593" s="185"/>
      <c r="W4593" s="185"/>
      <c r="X4593" s="185"/>
      <c r="Y4593" s="284"/>
      <c r="Z4593" s="284"/>
      <c r="AA4593" s="284"/>
      <c r="AB4593" s="284"/>
      <c r="AC4593" s="284"/>
      <c r="AD4593" s="284"/>
      <c r="AE4593" s="284"/>
      <c r="AF4593" s="284"/>
      <c r="AG4593" s="284"/>
      <c r="AH4593" s="284"/>
      <c r="AI4593" s="284"/>
      <c r="AJ4593" s="284"/>
      <c r="AK4593" s="284"/>
      <c r="AL4593" s="284"/>
    </row>
    <row r="4594" ht="15.75" customHeight="1">
      <c r="A4594" s="394"/>
      <c r="B4594" s="395"/>
      <c r="C4594" s="395"/>
      <c r="D4594" s="396"/>
      <c r="E4594" s="397"/>
      <c r="F4594" s="395"/>
      <c r="G4594" s="395"/>
      <c r="H4594" s="397"/>
      <c r="I4594" s="395"/>
      <c r="J4594" s="395"/>
      <c r="K4594" s="397"/>
      <c r="L4594" s="395"/>
      <c r="M4594" s="395"/>
      <c r="N4594" s="395"/>
      <c r="O4594" s="397"/>
      <c r="P4594" s="395"/>
      <c r="Q4594" s="395"/>
      <c r="R4594" s="353"/>
      <c r="S4594" s="185"/>
      <c r="T4594" s="185"/>
      <c r="U4594" s="185"/>
      <c r="V4594" s="185"/>
      <c r="W4594" s="185"/>
      <c r="X4594" s="185"/>
      <c r="Y4594" s="284"/>
      <c r="Z4594" s="284"/>
      <c r="AA4594" s="284"/>
      <c r="AB4594" s="284"/>
      <c r="AC4594" s="284"/>
      <c r="AD4594" s="284"/>
      <c r="AE4594" s="284"/>
      <c r="AF4594" s="284"/>
      <c r="AG4594" s="284"/>
      <c r="AH4594" s="284"/>
      <c r="AI4594" s="284"/>
      <c r="AJ4594" s="284"/>
      <c r="AK4594" s="284"/>
      <c r="AL4594" s="284"/>
    </row>
    <row r="4595" ht="15.75" customHeight="1">
      <c r="A4595" s="394"/>
      <c r="B4595" s="395"/>
      <c r="C4595" s="395"/>
      <c r="D4595" s="396"/>
      <c r="E4595" s="397"/>
      <c r="F4595" s="395"/>
      <c r="G4595" s="395"/>
      <c r="H4595" s="397"/>
      <c r="I4595" s="395"/>
      <c r="J4595" s="395"/>
      <c r="K4595" s="397"/>
      <c r="L4595" s="395"/>
      <c r="M4595" s="395"/>
      <c r="N4595" s="395"/>
      <c r="O4595" s="397"/>
      <c r="P4595" s="395"/>
      <c r="Q4595" s="395"/>
      <c r="R4595" s="353"/>
      <c r="S4595" s="185"/>
      <c r="T4595" s="185"/>
      <c r="U4595" s="185"/>
      <c r="V4595" s="185"/>
      <c r="W4595" s="185"/>
      <c r="X4595" s="185"/>
      <c r="Y4595" s="284"/>
      <c r="Z4595" s="284"/>
      <c r="AA4595" s="284"/>
      <c r="AB4595" s="284"/>
      <c r="AC4595" s="284"/>
      <c r="AD4595" s="284"/>
      <c r="AE4595" s="284"/>
      <c r="AF4595" s="284"/>
      <c r="AG4595" s="284"/>
      <c r="AH4595" s="284"/>
      <c r="AI4595" s="284"/>
      <c r="AJ4595" s="284"/>
      <c r="AK4595" s="284"/>
      <c r="AL4595" s="284"/>
    </row>
    <row r="4596" ht="15.75" customHeight="1">
      <c r="A4596" s="394"/>
      <c r="B4596" s="395"/>
      <c r="C4596" s="395"/>
      <c r="D4596" s="396"/>
      <c r="E4596" s="397"/>
      <c r="F4596" s="395"/>
      <c r="G4596" s="395"/>
      <c r="H4596" s="397"/>
      <c r="I4596" s="395"/>
      <c r="J4596" s="395"/>
      <c r="K4596" s="397"/>
      <c r="L4596" s="395"/>
      <c r="M4596" s="395"/>
      <c r="N4596" s="395"/>
      <c r="O4596" s="397"/>
      <c r="P4596" s="395"/>
      <c r="Q4596" s="395"/>
      <c r="R4596" s="353"/>
      <c r="S4596" s="185"/>
      <c r="T4596" s="185"/>
      <c r="U4596" s="185"/>
      <c r="V4596" s="185"/>
      <c r="W4596" s="185"/>
      <c r="X4596" s="185"/>
      <c r="Y4596" s="284"/>
      <c r="Z4596" s="284"/>
      <c r="AA4596" s="284"/>
      <c r="AB4596" s="284"/>
      <c r="AC4596" s="284"/>
      <c r="AD4596" s="284"/>
      <c r="AE4596" s="284"/>
      <c r="AF4596" s="284"/>
      <c r="AG4596" s="284"/>
      <c r="AH4596" s="284"/>
      <c r="AI4596" s="284"/>
      <c r="AJ4596" s="284"/>
      <c r="AK4596" s="284"/>
      <c r="AL4596" s="284"/>
    </row>
    <row r="4597" ht="15.75" customHeight="1">
      <c r="A4597" s="394"/>
      <c r="B4597" s="395"/>
      <c r="C4597" s="395"/>
      <c r="D4597" s="396"/>
      <c r="E4597" s="397"/>
      <c r="F4597" s="395"/>
      <c r="G4597" s="395"/>
      <c r="H4597" s="397"/>
      <c r="I4597" s="395"/>
      <c r="J4597" s="395"/>
      <c r="K4597" s="397"/>
      <c r="L4597" s="395"/>
      <c r="M4597" s="395"/>
      <c r="N4597" s="395"/>
      <c r="O4597" s="397"/>
      <c r="P4597" s="395"/>
      <c r="Q4597" s="395"/>
      <c r="R4597" s="353"/>
      <c r="S4597" s="185"/>
      <c r="T4597" s="185"/>
      <c r="U4597" s="185"/>
      <c r="V4597" s="185"/>
      <c r="W4597" s="185"/>
      <c r="X4597" s="185"/>
      <c r="Y4597" s="284"/>
      <c r="Z4597" s="284"/>
      <c r="AA4597" s="284"/>
      <c r="AB4597" s="284"/>
      <c r="AC4597" s="284"/>
      <c r="AD4597" s="284"/>
      <c r="AE4597" s="284"/>
      <c r="AF4597" s="284"/>
      <c r="AG4597" s="284"/>
      <c r="AH4597" s="284"/>
      <c r="AI4597" s="284"/>
      <c r="AJ4597" s="284"/>
      <c r="AK4597" s="284"/>
      <c r="AL4597" s="284"/>
    </row>
    <row r="4598" ht="15.75" customHeight="1">
      <c r="A4598" s="394"/>
      <c r="B4598" s="395"/>
      <c r="C4598" s="395"/>
      <c r="D4598" s="396"/>
      <c r="E4598" s="397"/>
      <c r="F4598" s="395"/>
      <c r="G4598" s="395"/>
      <c r="H4598" s="397"/>
      <c r="I4598" s="395"/>
      <c r="J4598" s="395"/>
      <c r="K4598" s="397"/>
      <c r="L4598" s="395"/>
      <c r="M4598" s="395"/>
      <c r="N4598" s="395"/>
      <c r="O4598" s="397"/>
      <c r="P4598" s="395"/>
      <c r="Q4598" s="395"/>
      <c r="R4598" s="353"/>
      <c r="S4598" s="185"/>
      <c r="T4598" s="185"/>
      <c r="U4598" s="185"/>
      <c r="V4598" s="185"/>
      <c r="W4598" s="185"/>
      <c r="X4598" s="185"/>
      <c r="Y4598" s="284"/>
      <c r="Z4598" s="284"/>
      <c r="AA4598" s="284"/>
      <c r="AB4598" s="284"/>
      <c r="AC4598" s="284"/>
      <c r="AD4598" s="284"/>
      <c r="AE4598" s="284"/>
      <c r="AF4598" s="284"/>
      <c r="AG4598" s="284"/>
      <c r="AH4598" s="284"/>
      <c r="AI4598" s="284"/>
      <c r="AJ4598" s="284"/>
      <c r="AK4598" s="284"/>
      <c r="AL4598" s="284"/>
    </row>
    <row r="4599" ht="15.75" customHeight="1">
      <c r="A4599" s="394"/>
      <c r="B4599" s="395"/>
      <c r="C4599" s="395"/>
      <c r="D4599" s="396"/>
      <c r="E4599" s="397"/>
      <c r="F4599" s="395"/>
      <c r="G4599" s="395"/>
      <c r="H4599" s="397"/>
      <c r="I4599" s="395"/>
      <c r="J4599" s="395"/>
      <c r="K4599" s="397"/>
      <c r="L4599" s="395"/>
      <c r="M4599" s="395"/>
      <c r="N4599" s="395"/>
      <c r="O4599" s="397"/>
      <c r="P4599" s="395"/>
      <c r="Q4599" s="395"/>
      <c r="R4599" s="353"/>
      <c r="S4599" s="185"/>
      <c r="T4599" s="185"/>
      <c r="U4599" s="185"/>
      <c r="V4599" s="185"/>
      <c r="W4599" s="185"/>
      <c r="X4599" s="185"/>
      <c r="Y4599" s="284"/>
      <c r="Z4599" s="284"/>
      <c r="AA4599" s="284"/>
      <c r="AB4599" s="284"/>
      <c r="AC4599" s="284"/>
      <c r="AD4599" s="284"/>
      <c r="AE4599" s="284"/>
      <c r="AF4599" s="284"/>
      <c r="AG4599" s="284"/>
      <c r="AH4599" s="284"/>
      <c r="AI4599" s="284"/>
      <c r="AJ4599" s="284"/>
      <c r="AK4599" s="284"/>
      <c r="AL4599" s="284"/>
    </row>
    <row r="4600" ht="15.75" customHeight="1">
      <c r="A4600" s="394"/>
      <c r="B4600" s="395"/>
      <c r="C4600" s="395"/>
      <c r="D4600" s="396"/>
      <c r="E4600" s="397"/>
      <c r="F4600" s="395"/>
      <c r="G4600" s="395"/>
      <c r="H4600" s="397"/>
      <c r="I4600" s="395"/>
      <c r="J4600" s="395"/>
      <c r="K4600" s="397"/>
      <c r="L4600" s="395"/>
      <c r="M4600" s="395"/>
      <c r="N4600" s="395"/>
      <c r="O4600" s="397"/>
      <c r="P4600" s="395"/>
      <c r="Q4600" s="395"/>
      <c r="R4600" s="353"/>
      <c r="S4600" s="185"/>
      <c r="T4600" s="185"/>
      <c r="U4600" s="185"/>
      <c r="V4600" s="185"/>
      <c r="W4600" s="185"/>
      <c r="X4600" s="185"/>
      <c r="Y4600" s="284"/>
      <c r="Z4600" s="284"/>
      <c r="AA4600" s="284"/>
      <c r="AB4600" s="284"/>
      <c r="AC4600" s="284"/>
      <c r="AD4600" s="284"/>
      <c r="AE4600" s="284"/>
      <c r="AF4600" s="284"/>
      <c r="AG4600" s="284"/>
      <c r="AH4600" s="284"/>
      <c r="AI4600" s="284"/>
      <c r="AJ4600" s="284"/>
      <c r="AK4600" s="284"/>
      <c r="AL4600" s="284"/>
    </row>
    <row r="4601" ht="15.75" customHeight="1">
      <c r="A4601" s="394"/>
      <c r="B4601" s="395"/>
      <c r="C4601" s="395"/>
      <c r="D4601" s="396"/>
      <c r="E4601" s="397"/>
      <c r="F4601" s="395"/>
      <c r="G4601" s="395"/>
      <c r="H4601" s="397"/>
      <c r="I4601" s="395"/>
      <c r="J4601" s="395"/>
      <c r="K4601" s="397"/>
      <c r="L4601" s="395"/>
      <c r="M4601" s="395"/>
      <c r="N4601" s="395"/>
      <c r="O4601" s="397"/>
      <c r="P4601" s="395"/>
      <c r="Q4601" s="395"/>
      <c r="R4601" s="353"/>
      <c r="S4601" s="185"/>
      <c r="T4601" s="185"/>
      <c r="U4601" s="185"/>
      <c r="V4601" s="185"/>
      <c r="W4601" s="185"/>
      <c r="X4601" s="185"/>
      <c r="Y4601" s="284"/>
      <c r="Z4601" s="284"/>
      <c r="AA4601" s="284"/>
      <c r="AB4601" s="284"/>
      <c r="AC4601" s="284"/>
      <c r="AD4601" s="284"/>
      <c r="AE4601" s="284"/>
      <c r="AF4601" s="284"/>
      <c r="AG4601" s="284"/>
      <c r="AH4601" s="284"/>
      <c r="AI4601" s="284"/>
      <c r="AJ4601" s="284"/>
      <c r="AK4601" s="284"/>
      <c r="AL4601" s="284"/>
    </row>
    <row r="4602" ht="15.75" customHeight="1">
      <c r="A4602" s="394"/>
      <c r="B4602" s="395"/>
      <c r="C4602" s="395"/>
      <c r="D4602" s="396"/>
      <c r="E4602" s="397"/>
      <c r="F4602" s="395"/>
      <c r="G4602" s="395"/>
      <c r="H4602" s="397"/>
      <c r="I4602" s="395"/>
      <c r="J4602" s="395"/>
      <c r="K4602" s="397"/>
      <c r="L4602" s="395"/>
      <c r="M4602" s="395"/>
      <c r="N4602" s="395"/>
      <c r="O4602" s="397"/>
      <c r="P4602" s="395"/>
      <c r="Q4602" s="395"/>
      <c r="R4602" s="353"/>
      <c r="S4602" s="185"/>
      <c r="T4602" s="185"/>
      <c r="U4602" s="185"/>
      <c r="V4602" s="185"/>
      <c r="W4602" s="185"/>
      <c r="X4602" s="185"/>
      <c r="Y4602" s="284"/>
      <c r="Z4602" s="284"/>
      <c r="AA4602" s="284"/>
      <c r="AB4602" s="284"/>
      <c r="AC4602" s="284"/>
      <c r="AD4602" s="284"/>
      <c r="AE4602" s="284"/>
      <c r="AF4602" s="284"/>
      <c r="AG4602" s="284"/>
      <c r="AH4602" s="284"/>
      <c r="AI4602" s="284"/>
      <c r="AJ4602" s="284"/>
      <c r="AK4602" s="284"/>
      <c r="AL4602" s="284"/>
    </row>
    <row r="4603" ht="15.75" customHeight="1">
      <c r="A4603" s="394"/>
      <c r="B4603" s="395"/>
      <c r="C4603" s="395"/>
      <c r="D4603" s="396"/>
      <c r="E4603" s="397"/>
      <c r="F4603" s="395"/>
      <c r="G4603" s="395"/>
      <c r="H4603" s="397"/>
      <c r="I4603" s="395"/>
      <c r="J4603" s="395"/>
      <c r="K4603" s="397"/>
      <c r="L4603" s="395"/>
      <c r="M4603" s="395"/>
      <c r="N4603" s="395"/>
      <c r="O4603" s="397"/>
      <c r="P4603" s="395"/>
      <c r="Q4603" s="395"/>
      <c r="R4603" s="353"/>
      <c r="S4603" s="185"/>
      <c r="T4603" s="185"/>
      <c r="U4603" s="185"/>
      <c r="V4603" s="185"/>
      <c r="W4603" s="185"/>
      <c r="X4603" s="185"/>
      <c r="Y4603" s="284"/>
      <c r="Z4603" s="284"/>
      <c r="AA4603" s="284"/>
      <c r="AB4603" s="284"/>
      <c r="AC4603" s="284"/>
      <c r="AD4603" s="284"/>
      <c r="AE4603" s="284"/>
      <c r="AF4603" s="284"/>
      <c r="AG4603" s="284"/>
      <c r="AH4603" s="284"/>
      <c r="AI4603" s="284"/>
      <c r="AJ4603" s="284"/>
      <c r="AK4603" s="284"/>
      <c r="AL4603" s="284"/>
    </row>
    <row r="4604" ht="15.75" customHeight="1">
      <c r="A4604" s="394"/>
      <c r="B4604" s="395"/>
      <c r="C4604" s="395"/>
      <c r="D4604" s="396"/>
      <c r="E4604" s="397"/>
      <c r="F4604" s="395"/>
      <c r="G4604" s="395"/>
      <c r="H4604" s="397"/>
      <c r="I4604" s="395"/>
      <c r="J4604" s="395"/>
      <c r="K4604" s="397"/>
      <c r="L4604" s="395"/>
      <c r="M4604" s="395"/>
      <c r="N4604" s="395"/>
      <c r="O4604" s="397"/>
      <c r="P4604" s="395"/>
      <c r="Q4604" s="395"/>
      <c r="R4604" s="353"/>
      <c r="S4604" s="185"/>
      <c r="T4604" s="185"/>
      <c r="U4604" s="185"/>
      <c r="V4604" s="185"/>
      <c r="W4604" s="185"/>
      <c r="X4604" s="185"/>
      <c r="Y4604" s="284"/>
      <c r="Z4604" s="284"/>
      <c r="AA4604" s="284"/>
      <c r="AB4604" s="284"/>
      <c r="AC4604" s="284"/>
      <c r="AD4604" s="284"/>
      <c r="AE4604" s="284"/>
      <c r="AF4604" s="284"/>
      <c r="AG4604" s="284"/>
      <c r="AH4604" s="284"/>
      <c r="AI4604" s="284"/>
      <c r="AJ4604" s="284"/>
      <c r="AK4604" s="284"/>
      <c r="AL4604" s="284"/>
    </row>
    <row r="4605" ht="15.75" customHeight="1">
      <c r="A4605" s="394"/>
      <c r="B4605" s="395"/>
      <c r="C4605" s="395"/>
      <c r="D4605" s="396"/>
      <c r="E4605" s="397"/>
      <c r="F4605" s="395"/>
      <c r="G4605" s="395"/>
      <c r="H4605" s="397"/>
      <c r="I4605" s="395"/>
      <c r="J4605" s="395"/>
      <c r="K4605" s="397"/>
      <c r="L4605" s="395"/>
      <c r="M4605" s="395"/>
      <c r="N4605" s="395"/>
      <c r="O4605" s="397"/>
      <c r="P4605" s="395"/>
      <c r="Q4605" s="395"/>
      <c r="R4605" s="353"/>
      <c r="S4605" s="185"/>
      <c r="T4605" s="185"/>
      <c r="U4605" s="185"/>
      <c r="V4605" s="185"/>
      <c r="W4605" s="185"/>
      <c r="X4605" s="185"/>
      <c r="Y4605" s="284"/>
      <c r="Z4605" s="284"/>
      <c r="AA4605" s="284"/>
      <c r="AB4605" s="284"/>
      <c r="AC4605" s="284"/>
      <c r="AD4605" s="284"/>
      <c r="AE4605" s="284"/>
      <c r="AF4605" s="284"/>
      <c r="AG4605" s="284"/>
      <c r="AH4605" s="284"/>
      <c r="AI4605" s="284"/>
      <c r="AJ4605" s="284"/>
      <c r="AK4605" s="284"/>
      <c r="AL4605" s="284"/>
    </row>
    <row r="4606" ht="15.75" customHeight="1">
      <c r="A4606" s="394"/>
      <c r="B4606" s="395"/>
      <c r="C4606" s="395"/>
      <c r="D4606" s="396"/>
      <c r="E4606" s="397"/>
      <c r="F4606" s="395"/>
      <c r="G4606" s="395"/>
      <c r="H4606" s="397"/>
      <c r="I4606" s="395"/>
      <c r="J4606" s="395"/>
      <c r="K4606" s="397"/>
      <c r="L4606" s="395"/>
      <c r="M4606" s="395"/>
      <c r="N4606" s="395"/>
      <c r="O4606" s="397"/>
      <c r="P4606" s="395"/>
      <c r="Q4606" s="395"/>
      <c r="R4606" s="353"/>
      <c r="S4606" s="185"/>
      <c r="T4606" s="185"/>
      <c r="U4606" s="185"/>
      <c r="V4606" s="185"/>
      <c r="W4606" s="185"/>
      <c r="X4606" s="185"/>
      <c r="Y4606" s="284"/>
      <c r="Z4606" s="284"/>
      <c r="AA4606" s="284"/>
      <c r="AB4606" s="284"/>
      <c r="AC4606" s="284"/>
      <c r="AD4606" s="284"/>
      <c r="AE4606" s="284"/>
      <c r="AF4606" s="284"/>
      <c r="AG4606" s="284"/>
      <c r="AH4606" s="284"/>
      <c r="AI4606" s="284"/>
      <c r="AJ4606" s="284"/>
      <c r="AK4606" s="284"/>
      <c r="AL4606" s="284"/>
    </row>
    <row r="4607" ht="15.75" customHeight="1">
      <c r="A4607" s="394"/>
      <c r="B4607" s="395"/>
      <c r="C4607" s="395"/>
      <c r="D4607" s="396"/>
      <c r="E4607" s="397"/>
      <c r="F4607" s="395"/>
      <c r="G4607" s="395"/>
      <c r="H4607" s="397"/>
      <c r="I4607" s="395"/>
      <c r="J4607" s="395"/>
      <c r="K4607" s="397"/>
      <c r="L4607" s="395"/>
      <c r="M4607" s="395"/>
      <c r="N4607" s="395"/>
      <c r="O4607" s="397"/>
      <c r="P4607" s="395"/>
      <c r="Q4607" s="395"/>
      <c r="R4607" s="353"/>
      <c r="S4607" s="185"/>
      <c r="T4607" s="185"/>
      <c r="U4607" s="185"/>
      <c r="V4607" s="185"/>
      <c r="W4607" s="185"/>
      <c r="X4607" s="185"/>
      <c r="Y4607" s="284"/>
      <c r="Z4607" s="284"/>
      <c r="AA4607" s="284"/>
      <c r="AB4607" s="284"/>
      <c r="AC4607" s="284"/>
      <c r="AD4607" s="284"/>
      <c r="AE4607" s="284"/>
      <c r="AF4607" s="284"/>
      <c r="AG4607" s="284"/>
      <c r="AH4607" s="284"/>
      <c r="AI4607" s="284"/>
      <c r="AJ4607" s="284"/>
      <c r="AK4607" s="284"/>
      <c r="AL4607" s="284"/>
    </row>
    <row r="4608" ht="15.75" customHeight="1">
      <c r="A4608" s="394"/>
      <c r="B4608" s="395"/>
      <c r="C4608" s="395"/>
      <c r="D4608" s="396"/>
      <c r="E4608" s="397"/>
      <c r="F4608" s="395"/>
      <c r="G4608" s="395"/>
      <c r="H4608" s="397"/>
      <c r="I4608" s="395"/>
      <c r="J4608" s="395"/>
      <c r="K4608" s="397"/>
      <c r="L4608" s="395"/>
      <c r="M4608" s="395"/>
      <c r="N4608" s="395"/>
      <c r="O4608" s="397"/>
      <c r="P4608" s="395"/>
      <c r="Q4608" s="395"/>
      <c r="R4608" s="353"/>
      <c r="S4608" s="185"/>
      <c r="T4608" s="185"/>
      <c r="U4608" s="185"/>
      <c r="V4608" s="185"/>
      <c r="W4608" s="185"/>
      <c r="X4608" s="185"/>
      <c r="Y4608" s="284"/>
      <c r="Z4608" s="284"/>
      <c r="AA4608" s="284"/>
      <c r="AB4608" s="284"/>
      <c r="AC4608" s="284"/>
      <c r="AD4608" s="284"/>
      <c r="AE4608" s="284"/>
      <c r="AF4608" s="284"/>
      <c r="AG4608" s="284"/>
      <c r="AH4608" s="284"/>
      <c r="AI4608" s="284"/>
      <c r="AJ4608" s="284"/>
      <c r="AK4608" s="284"/>
      <c r="AL4608" s="284"/>
    </row>
    <row r="4609" ht="15.75" customHeight="1">
      <c r="A4609" s="394"/>
      <c r="B4609" s="395"/>
      <c r="C4609" s="395"/>
      <c r="D4609" s="396"/>
      <c r="E4609" s="397"/>
      <c r="F4609" s="395"/>
      <c r="G4609" s="395"/>
      <c r="H4609" s="397"/>
      <c r="I4609" s="395"/>
      <c r="J4609" s="395"/>
      <c r="K4609" s="397"/>
      <c r="L4609" s="395"/>
      <c r="M4609" s="395"/>
      <c r="N4609" s="395"/>
      <c r="O4609" s="397"/>
      <c r="P4609" s="395"/>
      <c r="Q4609" s="395"/>
      <c r="R4609" s="353"/>
      <c r="S4609" s="185"/>
      <c r="T4609" s="185"/>
      <c r="U4609" s="185"/>
      <c r="V4609" s="185"/>
      <c r="W4609" s="185"/>
      <c r="X4609" s="185"/>
      <c r="Y4609" s="284"/>
      <c r="Z4609" s="284"/>
      <c r="AA4609" s="284"/>
      <c r="AB4609" s="284"/>
      <c r="AC4609" s="284"/>
      <c r="AD4609" s="284"/>
      <c r="AE4609" s="284"/>
      <c r="AF4609" s="284"/>
      <c r="AG4609" s="284"/>
      <c r="AH4609" s="284"/>
      <c r="AI4609" s="284"/>
      <c r="AJ4609" s="284"/>
      <c r="AK4609" s="284"/>
      <c r="AL4609" s="284"/>
    </row>
    <row r="4610" ht="15.75" customHeight="1">
      <c r="A4610" s="394"/>
      <c r="B4610" s="395"/>
      <c r="C4610" s="395"/>
      <c r="D4610" s="396"/>
      <c r="E4610" s="397"/>
      <c r="F4610" s="395"/>
      <c r="G4610" s="395"/>
      <c r="H4610" s="397"/>
      <c r="I4610" s="395"/>
      <c r="J4610" s="395"/>
      <c r="K4610" s="397"/>
      <c r="L4610" s="395"/>
      <c r="M4610" s="395"/>
      <c r="N4610" s="395"/>
      <c r="O4610" s="397"/>
      <c r="P4610" s="395"/>
      <c r="Q4610" s="395"/>
      <c r="R4610" s="353"/>
      <c r="S4610" s="185"/>
      <c r="T4610" s="185"/>
      <c r="U4610" s="185"/>
      <c r="V4610" s="185"/>
      <c r="W4610" s="185"/>
      <c r="X4610" s="185"/>
      <c r="Y4610" s="284"/>
      <c r="Z4610" s="284"/>
      <c r="AA4610" s="284"/>
      <c r="AB4610" s="284"/>
      <c r="AC4610" s="284"/>
      <c r="AD4610" s="284"/>
      <c r="AE4610" s="284"/>
      <c r="AF4610" s="284"/>
      <c r="AG4610" s="284"/>
      <c r="AH4610" s="284"/>
      <c r="AI4610" s="284"/>
      <c r="AJ4610" s="284"/>
      <c r="AK4610" s="284"/>
      <c r="AL4610" s="284"/>
    </row>
    <row r="4611" ht="15.75" customHeight="1">
      <c r="A4611" s="394"/>
      <c r="B4611" s="395"/>
      <c r="C4611" s="395"/>
      <c r="D4611" s="396"/>
      <c r="E4611" s="397"/>
      <c r="F4611" s="395"/>
      <c r="G4611" s="395"/>
      <c r="H4611" s="397"/>
      <c r="I4611" s="395"/>
      <c r="J4611" s="395"/>
      <c r="K4611" s="397"/>
      <c r="L4611" s="395"/>
      <c r="M4611" s="395"/>
      <c r="N4611" s="395"/>
      <c r="O4611" s="397"/>
      <c r="P4611" s="395"/>
      <c r="Q4611" s="395"/>
      <c r="R4611" s="353"/>
      <c r="S4611" s="185"/>
      <c r="T4611" s="185"/>
      <c r="U4611" s="185"/>
      <c r="V4611" s="185"/>
      <c r="W4611" s="185"/>
      <c r="X4611" s="185"/>
      <c r="Y4611" s="284"/>
      <c r="Z4611" s="284"/>
      <c r="AA4611" s="284"/>
      <c r="AB4611" s="284"/>
      <c r="AC4611" s="284"/>
      <c r="AD4611" s="284"/>
      <c r="AE4611" s="284"/>
      <c r="AF4611" s="284"/>
      <c r="AG4611" s="284"/>
      <c r="AH4611" s="284"/>
      <c r="AI4611" s="284"/>
      <c r="AJ4611" s="284"/>
      <c r="AK4611" s="284"/>
      <c r="AL4611" s="284"/>
    </row>
    <row r="4612" ht="15.75" customHeight="1">
      <c r="A4612" s="394"/>
      <c r="B4612" s="395"/>
      <c r="C4612" s="395"/>
      <c r="D4612" s="396"/>
      <c r="E4612" s="397"/>
      <c r="F4612" s="395"/>
      <c r="G4612" s="395"/>
      <c r="H4612" s="397"/>
      <c r="I4612" s="395"/>
      <c r="J4612" s="395"/>
      <c r="K4612" s="397"/>
      <c r="L4612" s="395"/>
      <c r="M4612" s="395"/>
      <c r="N4612" s="395"/>
      <c r="O4612" s="397"/>
      <c r="P4612" s="395"/>
      <c r="Q4612" s="395"/>
      <c r="R4612" s="353"/>
      <c r="S4612" s="185"/>
      <c r="T4612" s="185"/>
      <c r="U4612" s="185"/>
      <c r="V4612" s="185"/>
      <c r="W4612" s="185"/>
      <c r="X4612" s="185"/>
      <c r="Y4612" s="284"/>
      <c r="Z4612" s="284"/>
      <c r="AA4612" s="284"/>
      <c r="AB4612" s="284"/>
      <c r="AC4612" s="284"/>
      <c r="AD4612" s="284"/>
      <c r="AE4612" s="284"/>
      <c r="AF4612" s="284"/>
      <c r="AG4612" s="284"/>
      <c r="AH4612" s="284"/>
      <c r="AI4612" s="284"/>
      <c r="AJ4612" s="284"/>
      <c r="AK4612" s="284"/>
      <c r="AL4612" s="284"/>
    </row>
    <row r="4613" ht="15.75" customHeight="1">
      <c r="A4613" s="394"/>
      <c r="B4613" s="395"/>
      <c r="C4613" s="395"/>
      <c r="D4613" s="396"/>
      <c r="E4613" s="397"/>
      <c r="F4613" s="395"/>
      <c r="G4613" s="395"/>
      <c r="H4613" s="397"/>
      <c r="I4613" s="395"/>
      <c r="J4613" s="395"/>
      <c r="K4613" s="397"/>
      <c r="L4613" s="395"/>
      <c r="M4613" s="395"/>
      <c r="N4613" s="395"/>
      <c r="O4613" s="397"/>
      <c r="P4613" s="395"/>
      <c r="Q4613" s="395"/>
      <c r="R4613" s="353"/>
      <c r="S4613" s="185"/>
      <c r="T4613" s="185"/>
      <c r="U4613" s="185"/>
      <c r="V4613" s="185"/>
      <c r="W4613" s="185"/>
      <c r="X4613" s="185"/>
      <c r="Y4613" s="284"/>
      <c r="Z4613" s="284"/>
      <c r="AA4613" s="284"/>
      <c r="AB4613" s="284"/>
      <c r="AC4613" s="284"/>
      <c r="AD4613" s="284"/>
      <c r="AE4613" s="284"/>
      <c r="AF4613" s="284"/>
      <c r="AG4613" s="284"/>
      <c r="AH4613" s="284"/>
      <c r="AI4613" s="284"/>
      <c r="AJ4613" s="284"/>
      <c r="AK4613" s="284"/>
      <c r="AL4613" s="284"/>
    </row>
    <row r="4614" ht="15.75" customHeight="1">
      <c r="A4614" s="394"/>
      <c r="B4614" s="395"/>
      <c r="C4614" s="395"/>
      <c r="D4614" s="396"/>
      <c r="E4614" s="397"/>
      <c r="F4614" s="395"/>
      <c r="G4614" s="395"/>
      <c r="H4614" s="397"/>
      <c r="I4614" s="395"/>
      <c r="J4614" s="395"/>
      <c r="K4614" s="397"/>
      <c r="L4614" s="395"/>
      <c r="M4614" s="395"/>
      <c r="N4614" s="395"/>
      <c r="O4614" s="397"/>
      <c r="P4614" s="395"/>
      <c r="Q4614" s="395"/>
      <c r="R4614" s="353"/>
      <c r="S4614" s="185"/>
      <c r="T4614" s="185"/>
      <c r="U4614" s="185"/>
      <c r="V4614" s="185"/>
      <c r="W4614" s="185"/>
      <c r="X4614" s="185"/>
      <c r="Y4614" s="284"/>
      <c r="Z4614" s="284"/>
      <c r="AA4614" s="284"/>
      <c r="AB4614" s="284"/>
      <c r="AC4614" s="284"/>
      <c r="AD4614" s="284"/>
      <c r="AE4614" s="284"/>
      <c r="AF4614" s="284"/>
      <c r="AG4614" s="284"/>
      <c r="AH4614" s="284"/>
      <c r="AI4614" s="284"/>
      <c r="AJ4614" s="284"/>
      <c r="AK4614" s="284"/>
      <c r="AL4614" s="284"/>
    </row>
    <row r="4615" ht="15.75" customHeight="1">
      <c r="A4615" s="394"/>
      <c r="B4615" s="395"/>
      <c r="C4615" s="395"/>
      <c r="D4615" s="396"/>
      <c r="E4615" s="397"/>
      <c r="F4615" s="395"/>
      <c r="G4615" s="395"/>
      <c r="H4615" s="397"/>
      <c r="I4615" s="395"/>
      <c r="J4615" s="395"/>
      <c r="K4615" s="397"/>
      <c r="L4615" s="395"/>
      <c r="M4615" s="395"/>
      <c r="N4615" s="395"/>
      <c r="O4615" s="397"/>
      <c r="P4615" s="395"/>
      <c r="Q4615" s="395"/>
      <c r="R4615" s="353"/>
      <c r="S4615" s="185"/>
      <c r="T4615" s="185"/>
      <c r="U4615" s="185"/>
      <c r="V4615" s="185"/>
      <c r="W4615" s="185"/>
      <c r="X4615" s="185"/>
      <c r="Y4615" s="284"/>
      <c r="Z4615" s="284"/>
      <c r="AA4615" s="284"/>
      <c r="AB4615" s="284"/>
      <c r="AC4615" s="284"/>
      <c r="AD4615" s="284"/>
      <c r="AE4615" s="284"/>
      <c r="AF4615" s="284"/>
      <c r="AG4615" s="284"/>
      <c r="AH4615" s="284"/>
      <c r="AI4615" s="284"/>
      <c r="AJ4615" s="284"/>
      <c r="AK4615" s="284"/>
      <c r="AL4615" s="284"/>
    </row>
    <row r="4616" ht="15.75" customHeight="1">
      <c r="A4616" s="394"/>
      <c r="B4616" s="395"/>
      <c r="C4616" s="395"/>
      <c r="D4616" s="396"/>
      <c r="E4616" s="397"/>
      <c r="F4616" s="395"/>
      <c r="G4616" s="395"/>
      <c r="H4616" s="397"/>
      <c r="I4616" s="395"/>
      <c r="J4616" s="395"/>
      <c r="K4616" s="397"/>
      <c r="L4616" s="395"/>
      <c r="M4616" s="395"/>
      <c r="N4616" s="395"/>
      <c r="O4616" s="397"/>
      <c r="P4616" s="395"/>
      <c r="Q4616" s="395"/>
      <c r="R4616" s="353"/>
      <c r="S4616" s="185"/>
      <c r="T4616" s="185"/>
      <c r="U4616" s="185"/>
      <c r="V4616" s="185"/>
      <c r="W4616" s="185"/>
      <c r="X4616" s="185"/>
      <c r="Y4616" s="284"/>
      <c r="Z4616" s="284"/>
      <c r="AA4616" s="284"/>
      <c r="AB4616" s="284"/>
      <c r="AC4616" s="284"/>
      <c r="AD4616" s="284"/>
      <c r="AE4616" s="284"/>
      <c r="AF4616" s="284"/>
      <c r="AG4616" s="284"/>
      <c r="AH4616" s="284"/>
      <c r="AI4616" s="284"/>
      <c r="AJ4616" s="284"/>
      <c r="AK4616" s="284"/>
      <c r="AL4616" s="284"/>
    </row>
    <row r="4617" ht="15.75" customHeight="1">
      <c r="A4617" s="394"/>
      <c r="B4617" s="395"/>
      <c r="C4617" s="395"/>
      <c r="D4617" s="396"/>
      <c r="E4617" s="397"/>
      <c r="F4617" s="395"/>
      <c r="G4617" s="395"/>
      <c r="H4617" s="397"/>
      <c r="I4617" s="395"/>
      <c r="J4617" s="395"/>
      <c r="K4617" s="397"/>
      <c r="L4617" s="395"/>
      <c r="M4617" s="395"/>
      <c r="N4617" s="395"/>
      <c r="O4617" s="397"/>
      <c r="P4617" s="395"/>
      <c r="Q4617" s="395"/>
      <c r="R4617" s="353"/>
      <c r="S4617" s="185"/>
      <c r="T4617" s="185"/>
      <c r="U4617" s="185"/>
      <c r="V4617" s="185"/>
      <c r="W4617" s="185"/>
      <c r="X4617" s="185"/>
      <c r="Y4617" s="284"/>
      <c r="Z4617" s="284"/>
      <c r="AA4617" s="284"/>
      <c r="AB4617" s="284"/>
      <c r="AC4617" s="284"/>
      <c r="AD4617" s="284"/>
      <c r="AE4617" s="284"/>
      <c r="AF4617" s="284"/>
      <c r="AG4617" s="284"/>
      <c r="AH4617" s="284"/>
      <c r="AI4617" s="284"/>
      <c r="AJ4617" s="284"/>
      <c r="AK4617" s="284"/>
      <c r="AL4617" s="284"/>
    </row>
    <row r="4618" ht="15.75" customHeight="1">
      <c r="A4618" s="394"/>
      <c r="B4618" s="395"/>
      <c r="C4618" s="395"/>
      <c r="D4618" s="396"/>
      <c r="E4618" s="397"/>
      <c r="F4618" s="395"/>
      <c r="G4618" s="395"/>
      <c r="H4618" s="397"/>
      <c r="I4618" s="395"/>
      <c r="J4618" s="395"/>
      <c r="K4618" s="397"/>
      <c r="L4618" s="395"/>
      <c r="M4618" s="395"/>
      <c r="N4618" s="395"/>
      <c r="O4618" s="397"/>
      <c r="P4618" s="395"/>
      <c r="Q4618" s="395"/>
      <c r="R4618" s="353"/>
      <c r="S4618" s="185"/>
      <c r="T4618" s="185"/>
      <c r="U4618" s="185"/>
      <c r="V4618" s="185"/>
      <c r="W4618" s="185"/>
      <c r="X4618" s="185"/>
      <c r="Y4618" s="284"/>
      <c r="Z4618" s="284"/>
      <c r="AA4618" s="284"/>
      <c r="AB4618" s="284"/>
      <c r="AC4618" s="284"/>
      <c r="AD4618" s="284"/>
      <c r="AE4618" s="284"/>
      <c r="AF4618" s="284"/>
      <c r="AG4618" s="284"/>
      <c r="AH4618" s="284"/>
      <c r="AI4618" s="284"/>
      <c r="AJ4618" s="284"/>
      <c r="AK4618" s="284"/>
      <c r="AL4618" s="284"/>
    </row>
    <row r="4619" ht="15.75" customHeight="1">
      <c r="A4619" s="394"/>
      <c r="B4619" s="395"/>
      <c r="C4619" s="395"/>
      <c r="D4619" s="396"/>
      <c r="E4619" s="397"/>
      <c r="F4619" s="395"/>
      <c r="G4619" s="395"/>
      <c r="H4619" s="397"/>
      <c r="I4619" s="395"/>
      <c r="J4619" s="395"/>
      <c r="K4619" s="397"/>
      <c r="L4619" s="395"/>
      <c r="M4619" s="395"/>
      <c r="N4619" s="395"/>
      <c r="O4619" s="397"/>
      <c r="P4619" s="395"/>
      <c r="Q4619" s="395"/>
      <c r="R4619" s="353"/>
      <c r="S4619" s="185"/>
      <c r="T4619" s="185"/>
      <c r="U4619" s="185"/>
      <c r="V4619" s="185"/>
      <c r="W4619" s="185"/>
      <c r="X4619" s="185"/>
      <c r="Y4619" s="284"/>
      <c r="Z4619" s="284"/>
      <c r="AA4619" s="284"/>
      <c r="AB4619" s="284"/>
      <c r="AC4619" s="284"/>
      <c r="AD4619" s="284"/>
      <c r="AE4619" s="284"/>
      <c r="AF4619" s="284"/>
      <c r="AG4619" s="284"/>
      <c r="AH4619" s="284"/>
      <c r="AI4619" s="284"/>
      <c r="AJ4619" s="284"/>
      <c r="AK4619" s="284"/>
      <c r="AL4619" s="284"/>
    </row>
    <row r="4620" ht="15.75" customHeight="1">
      <c r="A4620" s="394"/>
      <c r="B4620" s="395"/>
      <c r="C4620" s="395"/>
      <c r="D4620" s="396"/>
      <c r="E4620" s="397"/>
      <c r="F4620" s="395"/>
      <c r="G4620" s="395"/>
      <c r="H4620" s="397"/>
      <c r="I4620" s="395"/>
      <c r="J4620" s="395"/>
      <c r="K4620" s="397"/>
      <c r="L4620" s="395"/>
      <c r="M4620" s="395"/>
      <c r="N4620" s="395"/>
      <c r="O4620" s="397"/>
      <c r="P4620" s="395"/>
      <c r="Q4620" s="395"/>
      <c r="R4620" s="353"/>
      <c r="S4620" s="185"/>
      <c r="T4620" s="185"/>
      <c r="U4620" s="185"/>
      <c r="V4620" s="185"/>
      <c r="W4620" s="185"/>
      <c r="X4620" s="185"/>
      <c r="Y4620" s="284"/>
      <c r="Z4620" s="284"/>
      <c r="AA4620" s="284"/>
      <c r="AB4620" s="284"/>
      <c r="AC4620" s="284"/>
      <c r="AD4620" s="284"/>
      <c r="AE4620" s="284"/>
      <c r="AF4620" s="284"/>
      <c r="AG4620" s="284"/>
      <c r="AH4620" s="284"/>
      <c r="AI4620" s="284"/>
      <c r="AJ4620" s="284"/>
      <c r="AK4620" s="284"/>
      <c r="AL4620" s="284"/>
    </row>
    <row r="4621" ht="15.75" customHeight="1">
      <c r="A4621" s="394"/>
      <c r="B4621" s="395"/>
      <c r="C4621" s="395"/>
      <c r="D4621" s="396"/>
      <c r="E4621" s="397"/>
      <c r="F4621" s="395"/>
      <c r="G4621" s="395"/>
      <c r="H4621" s="397"/>
      <c r="I4621" s="395"/>
      <c r="J4621" s="395"/>
      <c r="K4621" s="397"/>
      <c r="L4621" s="395"/>
      <c r="M4621" s="395"/>
      <c r="N4621" s="395"/>
      <c r="O4621" s="397"/>
      <c r="P4621" s="395"/>
      <c r="Q4621" s="395"/>
      <c r="R4621" s="353"/>
      <c r="S4621" s="185"/>
      <c r="T4621" s="185"/>
      <c r="U4621" s="185"/>
      <c r="V4621" s="185"/>
      <c r="W4621" s="185"/>
      <c r="X4621" s="185"/>
      <c r="Y4621" s="284"/>
      <c r="Z4621" s="284"/>
      <c r="AA4621" s="284"/>
      <c r="AB4621" s="284"/>
      <c r="AC4621" s="284"/>
      <c r="AD4621" s="284"/>
      <c r="AE4621" s="284"/>
      <c r="AF4621" s="284"/>
      <c r="AG4621" s="284"/>
      <c r="AH4621" s="284"/>
      <c r="AI4621" s="284"/>
      <c r="AJ4621" s="284"/>
      <c r="AK4621" s="284"/>
      <c r="AL4621" s="284"/>
    </row>
    <row r="4622" ht="15.75" customHeight="1">
      <c r="A4622" s="394"/>
      <c r="B4622" s="395"/>
      <c r="C4622" s="395"/>
      <c r="D4622" s="396"/>
      <c r="E4622" s="397"/>
      <c r="F4622" s="395"/>
      <c r="G4622" s="395"/>
      <c r="H4622" s="397"/>
      <c r="I4622" s="395"/>
      <c r="J4622" s="395"/>
      <c r="K4622" s="397"/>
      <c r="L4622" s="395"/>
      <c r="M4622" s="395"/>
      <c r="N4622" s="395"/>
      <c r="O4622" s="397"/>
      <c r="P4622" s="395"/>
      <c r="Q4622" s="395"/>
      <c r="R4622" s="353"/>
      <c r="S4622" s="185"/>
      <c r="T4622" s="185"/>
      <c r="U4622" s="185"/>
      <c r="V4622" s="185"/>
      <c r="W4622" s="185"/>
      <c r="X4622" s="185"/>
      <c r="Y4622" s="284"/>
      <c r="Z4622" s="284"/>
      <c r="AA4622" s="284"/>
      <c r="AB4622" s="284"/>
      <c r="AC4622" s="284"/>
      <c r="AD4622" s="284"/>
      <c r="AE4622" s="284"/>
      <c r="AF4622" s="284"/>
      <c r="AG4622" s="284"/>
      <c r="AH4622" s="284"/>
      <c r="AI4622" s="284"/>
      <c r="AJ4622" s="284"/>
      <c r="AK4622" s="284"/>
      <c r="AL4622" s="284"/>
    </row>
    <row r="4623" ht="15.75" customHeight="1">
      <c r="A4623" s="394"/>
      <c r="B4623" s="395"/>
      <c r="C4623" s="395"/>
      <c r="D4623" s="396"/>
      <c r="E4623" s="397"/>
      <c r="F4623" s="395"/>
      <c r="G4623" s="395"/>
      <c r="H4623" s="397"/>
      <c r="I4623" s="395"/>
      <c r="J4623" s="395"/>
      <c r="K4623" s="397"/>
      <c r="L4623" s="395"/>
      <c r="M4623" s="395"/>
      <c r="N4623" s="395"/>
      <c r="O4623" s="397"/>
      <c r="P4623" s="395"/>
      <c r="Q4623" s="395"/>
      <c r="R4623" s="353"/>
      <c r="S4623" s="185"/>
      <c r="T4623" s="185"/>
      <c r="U4623" s="185"/>
      <c r="V4623" s="185"/>
      <c r="W4623" s="185"/>
      <c r="X4623" s="185"/>
      <c r="Y4623" s="284"/>
      <c r="Z4623" s="284"/>
      <c r="AA4623" s="284"/>
      <c r="AB4623" s="284"/>
      <c r="AC4623" s="284"/>
      <c r="AD4623" s="284"/>
      <c r="AE4623" s="284"/>
      <c r="AF4623" s="284"/>
      <c r="AG4623" s="284"/>
      <c r="AH4623" s="284"/>
      <c r="AI4623" s="284"/>
      <c r="AJ4623" s="284"/>
      <c r="AK4623" s="284"/>
      <c r="AL4623" s="284"/>
    </row>
    <row r="4624" ht="15.75" customHeight="1">
      <c r="A4624" s="394"/>
      <c r="B4624" s="395"/>
      <c r="C4624" s="395"/>
      <c r="D4624" s="396"/>
      <c r="E4624" s="397"/>
      <c r="F4624" s="395"/>
      <c r="G4624" s="395"/>
      <c r="H4624" s="397"/>
      <c r="I4624" s="395"/>
      <c r="J4624" s="395"/>
      <c r="K4624" s="397"/>
      <c r="L4624" s="395"/>
      <c r="M4624" s="395"/>
      <c r="N4624" s="395"/>
      <c r="O4624" s="397"/>
      <c r="P4624" s="395"/>
      <c r="Q4624" s="395"/>
      <c r="R4624" s="353"/>
      <c r="S4624" s="185"/>
      <c r="T4624" s="185"/>
      <c r="U4624" s="185"/>
      <c r="V4624" s="185"/>
      <c r="W4624" s="185"/>
      <c r="X4624" s="185"/>
      <c r="Y4624" s="284"/>
      <c r="Z4624" s="284"/>
      <c r="AA4624" s="284"/>
      <c r="AB4624" s="284"/>
      <c r="AC4624" s="284"/>
      <c r="AD4624" s="284"/>
      <c r="AE4624" s="284"/>
      <c r="AF4624" s="284"/>
      <c r="AG4624" s="284"/>
      <c r="AH4624" s="284"/>
      <c r="AI4624" s="284"/>
      <c r="AJ4624" s="284"/>
      <c r="AK4624" s="284"/>
      <c r="AL4624" s="284"/>
    </row>
    <row r="4625" ht="15.75" customHeight="1">
      <c r="A4625" s="394"/>
      <c r="B4625" s="395"/>
      <c r="C4625" s="395"/>
      <c r="D4625" s="396"/>
      <c r="E4625" s="397"/>
      <c r="F4625" s="395"/>
      <c r="G4625" s="395"/>
      <c r="H4625" s="397"/>
      <c r="I4625" s="395"/>
      <c r="J4625" s="395"/>
      <c r="K4625" s="397"/>
      <c r="L4625" s="395"/>
      <c r="M4625" s="395"/>
      <c r="N4625" s="395"/>
      <c r="O4625" s="397"/>
      <c r="P4625" s="395"/>
      <c r="Q4625" s="395"/>
      <c r="R4625" s="353"/>
      <c r="S4625" s="185"/>
      <c r="T4625" s="185"/>
      <c r="U4625" s="185"/>
      <c r="V4625" s="185"/>
      <c r="W4625" s="185"/>
      <c r="X4625" s="185"/>
      <c r="Y4625" s="284"/>
      <c r="Z4625" s="284"/>
      <c r="AA4625" s="284"/>
      <c r="AB4625" s="284"/>
      <c r="AC4625" s="284"/>
      <c r="AD4625" s="284"/>
      <c r="AE4625" s="284"/>
      <c r="AF4625" s="284"/>
      <c r="AG4625" s="284"/>
      <c r="AH4625" s="284"/>
      <c r="AI4625" s="284"/>
      <c r="AJ4625" s="284"/>
      <c r="AK4625" s="284"/>
      <c r="AL4625" s="284"/>
    </row>
    <row r="4626" ht="15.75" customHeight="1">
      <c r="A4626" s="394"/>
      <c r="B4626" s="395"/>
      <c r="C4626" s="395"/>
      <c r="D4626" s="396"/>
      <c r="E4626" s="397"/>
      <c r="F4626" s="395"/>
      <c r="G4626" s="395"/>
      <c r="H4626" s="397"/>
      <c r="I4626" s="395"/>
      <c r="J4626" s="395"/>
      <c r="K4626" s="397"/>
      <c r="L4626" s="395"/>
      <c r="M4626" s="395"/>
      <c r="N4626" s="395"/>
      <c r="O4626" s="397"/>
      <c r="P4626" s="395"/>
      <c r="Q4626" s="395"/>
      <c r="R4626" s="353"/>
      <c r="S4626" s="185"/>
      <c r="T4626" s="185"/>
      <c r="U4626" s="185"/>
      <c r="V4626" s="185"/>
      <c r="W4626" s="185"/>
      <c r="X4626" s="185"/>
      <c r="Y4626" s="284"/>
      <c r="Z4626" s="284"/>
      <c r="AA4626" s="284"/>
      <c r="AB4626" s="284"/>
      <c r="AC4626" s="284"/>
      <c r="AD4626" s="284"/>
      <c r="AE4626" s="284"/>
      <c r="AF4626" s="284"/>
      <c r="AG4626" s="284"/>
      <c r="AH4626" s="284"/>
      <c r="AI4626" s="284"/>
      <c r="AJ4626" s="284"/>
      <c r="AK4626" s="284"/>
      <c r="AL4626" s="284"/>
    </row>
    <row r="4627" ht="15.75" customHeight="1">
      <c r="A4627" s="394"/>
      <c r="B4627" s="395"/>
      <c r="C4627" s="395"/>
      <c r="D4627" s="396"/>
      <c r="E4627" s="397"/>
      <c r="F4627" s="395"/>
      <c r="G4627" s="395"/>
      <c r="H4627" s="397"/>
      <c r="I4627" s="395"/>
      <c r="J4627" s="395"/>
      <c r="K4627" s="397"/>
      <c r="L4627" s="395"/>
      <c r="M4627" s="395"/>
      <c r="N4627" s="395"/>
      <c r="O4627" s="397"/>
      <c r="P4627" s="395"/>
      <c r="Q4627" s="395"/>
      <c r="R4627" s="353"/>
      <c r="S4627" s="185"/>
      <c r="T4627" s="185"/>
      <c r="U4627" s="185"/>
      <c r="V4627" s="185"/>
      <c r="W4627" s="185"/>
      <c r="X4627" s="185"/>
      <c r="Y4627" s="284"/>
      <c r="Z4627" s="284"/>
      <c r="AA4627" s="284"/>
      <c r="AB4627" s="284"/>
      <c r="AC4627" s="284"/>
      <c r="AD4627" s="284"/>
      <c r="AE4627" s="284"/>
      <c r="AF4627" s="284"/>
      <c r="AG4627" s="284"/>
      <c r="AH4627" s="284"/>
      <c r="AI4627" s="284"/>
      <c r="AJ4627" s="284"/>
      <c r="AK4627" s="284"/>
      <c r="AL4627" s="284"/>
    </row>
    <row r="4628" ht="15.75" customHeight="1">
      <c r="A4628" s="394"/>
      <c r="B4628" s="395"/>
      <c r="C4628" s="395"/>
      <c r="D4628" s="396"/>
      <c r="E4628" s="397"/>
      <c r="F4628" s="395"/>
      <c r="G4628" s="395"/>
      <c r="H4628" s="397"/>
      <c r="I4628" s="395"/>
      <c r="J4628" s="395"/>
      <c r="K4628" s="397"/>
      <c r="L4628" s="395"/>
      <c r="M4628" s="395"/>
      <c r="N4628" s="395"/>
      <c r="O4628" s="397"/>
      <c r="P4628" s="395"/>
      <c r="Q4628" s="395"/>
      <c r="R4628" s="353"/>
      <c r="S4628" s="185"/>
      <c r="T4628" s="185"/>
      <c r="U4628" s="185"/>
      <c r="V4628" s="185"/>
      <c r="W4628" s="185"/>
      <c r="X4628" s="185"/>
      <c r="Y4628" s="284"/>
      <c r="Z4628" s="284"/>
      <c r="AA4628" s="284"/>
      <c r="AB4628" s="284"/>
      <c r="AC4628" s="284"/>
      <c r="AD4628" s="284"/>
      <c r="AE4628" s="284"/>
      <c r="AF4628" s="284"/>
      <c r="AG4628" s="284"/>
      <c r="AH4628" s="284"/>
      <c r="AI4628" s="284"/>
      <c r="AJ4628" s="284"/>
      <c r="AK4628" s="284"/>
      <c r="AL4628" s="284"/>
    </row>
    <row r="4629" ht="15.75" customHeight="1">
      <c r="A4629" s="394"/>
      <c r="B4629" s="395"/>
      <c r="C4629" s="395"/>
      <c r="D4629" s="396"/>
      <c r="E4629" s="397"/>
      <c r="F4629" s="395"/>
      <c r="G4629" s="395"/>
      <c r="H4629" s="397"/>
      <c r="I4629" s="395"/>
      <c r="J4629" s="395"/>
      <c r="K4629" s="397"/>
      <c r="L4629" s="395"/>
      <c r="M4629" s="395"/>
      <c r="N4629" s="395"/>
      <c r="O4629" s="397"/>
      <c r="P4629" s="395"/>
      <c r="Q4629" s="395"/>
      <c r="R4629" s="353"/>
      <c r="S4629" s="185"/>
      <c r="T4629" s="185"/>
      <c r="U4629" s="185"/>
      <c r="V4629" s="185"/>
      <c r="W4629" s="185"/>
      <c r="X4629" s="185"/>
      <c r="Y4629" s="284"/>
      <c r="Z4629" s="284"/>
      <c r="AA4629" s="284"/>
      <c r="AB4629" s="284"/>
      <c r="AC4629" s="284"/>
      <c r="AD4629" s="284"/>
      <c r="AE4629" s="284"/>
      <c r="AF4629" s="284"/>
      <c r="AG4629" s="284"/>
      <c r="AH4629" s="284"/>
      <c r="AI4629" s="284"/>
      <c r="AJ4629" s="284"/>
      <c r="AK4629" s="284"/>
      <c r="AL4629" s="284"/>
    </row>
    <row r="4630" ht="15.75" customHeight="1">
      <c r="A4630" s="394"/>
      <c r="B4630" s="395"/>
      <c r="C4630" s="395"/>
      <c r="D4630" s="396"/>
      <c r="E4630" s="397"/>
      <c r="F4630" s="395"/>
      <c r="G4630" s="395"/>
      <c r="H4630" s="397"/>
      <c r="I4630" s="395"/>
      <c r="J4630" s="395"/>
      <c r="K4630" s="397"/>
      <c r="L4630" s="395"/>
      <c r="M4630" s="395"/>
      <c r="N4630" s="395"/>
      <c r="O4630" s="397"/>
      <c r="P4630" s="395"/>
      <c r="Q4630" s="395"/>
      <c r="R4630" s="353"/>
      <c r="S4630" s="185"/>
      <c r="T4630" s="185"/>
      <c r="U4630" s="185"/>
      <c r="V4630" s="185"/>
      <c r="W4630" s="185"/>
      <c r="X4630" s="185"/>
      <c r="Y4630" s="284"/>
      <c r="Z4630" s="284"/>
      <c r="AA4630" s="284"/>
      <c r="AB4630" s="284"/>
      <c r="AC4630" s="284"/>
      <c r="AD4630" s="284"/>
      <c r="AE4630" s="284"/>
      <c r="AF4630" s="284"/>
      <c r="AG4630" s="284"/>
      <c r="AH4630" s="284"/>
      <c r="AI4630" s="284"/>
      <c r="AJ4630" s="284"/>
      <c r="AK4630" s="284"/>
      <c r="AL4630" s="284"/>
    </row>
    <row r="4631" ht="15.75" customHeight="1">
      <c r="A4631" s="394"/>
      <c r="B4631" s="395"/>
      <c r="C4631" s="395"/>
      <c r="D4631" s="396"/>
      <c r="E4631" s="397"/>
      <c r="F4631" s="395"/>
      <c r="G4631" s="395"/>
      <c r="H4631" s="397"/>
      <c r="I4631" s="395"/>
      <c r="J4631" s="395"/>
      <c r="K4631" s="397"/>
      <c r="L4631" s="395"/>
      <c r="M4631" s="395"/>
      <c r="N4631" s="395"/>
      <c r="O4631" s="397"/>
      <c r="P4631" s="395"/>
      <c r="Q4631" s="395"/>
      <c r="R4631" s="353"/>
      <c r="S4631" s="185"/>
      <c r="T4631" s="185"/>
      <c r="U4631" s="185"/>
      <c r="V4631" s="185"/>
      <c r="W4631" s="185"/>
      <c r="X4631" s="185"/>
      <c r="Y4631" s="284"/>
      <c r="Z4631" s="284"/>
      <c r="AA4631" s="284"/>
      <c r="AB4631" s="284"/>
      <c r="AC4631" s="284"/>
      <c r="AD4631" s="284"/>
      <c r="AE4631" s="284"/>
      <c r="AF4631" s="284"/>
      <c r="AG4631" s="284"/>
      <c r="AH4631" s="284"/>
      <c r="AI4631" s="284"/>
      <c r="AJ4631" s="284"/>
      <c r="AK4631" s="284"/>
      <c r="AL4631" s="284"/>
    </row>
    <row r="4632" ht="15.75" customHeight="1">
      <c r="A4632" s="394"/>
      <c r="B4632" s="395"/>
      <c r="C4632" s="395"/>
      <c r="D4632" s="396"/>
      <c r="E4632" s="397"/>
      <c r="F4632" s="395"/>
      <c r="G4632" s="395"/>
      <c r="H4632" s="397"/>
      <c r="I4632" s="395"/>
      <c r="J4632" s="395"/>
      <c r="K4632" s="397"/>
      <c r="L4632" s="395"/>
      <c r="M4632" s="395"/>
      <c r="N4632" s="395"/>
      <c r="O4632" s="397"/>
      <c r="P4632" s="395"/>
      <c r="Q4632" s="395"/>
      <c r="R4632" s="353"/>
      <c r="S4632" s="185"/>
      <c r="T4632" s="185"/>
      <c r="U4632" s="185"/>
      <c r="V4632" s="185"/>
      <c r="W4632" s="185"/>
      <c r="X4632" s="185"/>
      <c r="Y4632" s="284"/>
      <c r="Z4632" s="284"/>
      <c r="AA4632" s="284"/>
      <c r="AB4632" s="284"/>
      <c r="AC4632" s="284"/>
      <c r="AD4632" s="284"/>
      <c r="AE4632" s="284"/>
      <c r="AF4632" s="284"/>
      <c r="AG4632" s="284"/>
      <c r="AH4632" s="284"/>
      <c r="AI4632" s="284"/>
      <c r="AJ4632" s="284"/>
      <c r="AK4632" s="284"/>
      <c r="AL4632" s="284"/>
    </row>
    <row r="4633" ht="15.75" customHeight="1">
      <c r="A4633" s="394"/>
      <c r="B4633" s="395"/>
      <c r="C4633" s="395"/>
      <c r="D4633" s="396"/>
      <c r="E4633" s="397"/>
      <c r="F4633" s="395"/>
      <c r="G4633" s="395"/>
      <c r="H4633" s="397"/>
      <c r="I4633" s="395"/>
      <c r="J4633" s="395"/>
      <c r="K4633" s="397"/>
      <c r="L4633" s="395"/>
      <c r="M4633" s="395"/>
      <c r="N4633" s="395"/>
      <c r="O4633" s="397"/>
      <c r="P4633" s="395"/>
      <c r="Q4633" s="395"/>
      <c r="R4633" s="353"/>
      <c r="S4633" s="185"/>
      <c r="T4633" s="185"/>
      <c r="U4633" s="185"/>
      <c r="V4633" s="185"/>
      <c r="W4633" s="185"/>
      <c r="X4633" s="185"/>
      <c r="Y4633" s="284"/>
      <c r="Z4633" s="284"/>
      <c r="AA4633" s="284"/>
      <c r="AB4633" s="284"/>
      <c r="AC4633" s="284"/>
      <c r="AD4633" s="284"/>
      <c r="AE4633" s="284"/>
      <c r="AF4633" s="284"/>
      <c r="AG4633" s="284"/>
      <c r="AH4633" s="284"/>
      <c r="AI4633" s="284"/>
      <c r="AJ4633" s="284"/>
      <c r="AK4633" s="284"/>
      <c r="AL4633" s="284"/>
    </row>
    <row r="4634" ht="15.75" customHeight="1">
      <c r="A4634" s="394"/>
      <c r="B4634" s="395"/>
      <c r="C4634" s="395"/>
      <c r="D4634" s="396"/>
      <c r="E4634" s="397"/>
      <c r="F4634" s="395"/>
      <c r="G4634" s="395"/>
      <c r="H4634" s="397"/>
      <c r="I4634" s="395"/>
      <c r="J4634" s="395"/>
      <c r="K4634" s="397"/>
      <c r="L4634" s="395"/>
      <c r="M4634" s="395"/>
      <c r="N4634" s="395"/>
      <c r="O4634" s="397"/>
      <c r="P4634" s="395"/>
      <c r="Q4634" s="395"/>
      <c r="R4634" s="353"/>
      <c r="S4634" s="185"/>
      <c r="T4634" s="185"/>
      <c r="U4634" s="185"/>
      <c r="V4634" s="185"/>
      <c r="W4634" s="185"/>
      <c r="X4634" s="185"/>
      <c r="Y4634" s="284"/>
      <c r="Z4634" s="284"/>
      <c r="AA4634" s="284"/>
      <c r="AB4634" s="284"/>
      <c r="AC4634" s="284"/>
      <c r="AD4634" s="284"/>
      <c r="AE4634" s="284"/>
      <c r="AF4634" s="284"/>
      <c r="AG4634" s="284"/>
      <c r="AH4634" s="284"/>
      <c r="AI4634" s="284"/>
      <c r="AJ4634" s="284"/>
      <c r="AK4634" s="284"/>
      <c r="AL4634" s="284"/>
    </row>
    <row r="4635" ht="15.75" customHeight="1">
      <c r="A4635" s="394"/>
      <c r="B4635" s="395"/>
      <c r="C4635" s="395"/>
      <c r="D4635" s="396"/>
      <c r="E4635" s="397"/>
      <c r="F4635" s="395"/>
      <c r="G4635" s="395"/>
      <c r="H4635" s="397"/>
      <c r="I4635" s="395"/>
      <c r="J4635" s="395"/>
      <c r="K4635" s="397"/>
      <c r="L4635" s="395"/>
      <c r="M4635" s="395"/>
      <c r="N4635" s="395"/>
      <c r="O4635" s="397"/>
      <c r="P4635" s="395"/>
      <c r="Q4635" s="395"/>
      <c r="R4635" s="353"/>
      <c r="S4635" s="185"/>
      <c r="T4635" s="185"/>
      <c r="U4635" s="185"/>
      <c r="V4635" s="185"/>
      <c r="W4635" s="185"/>
      <c r="X4635" s="185"/>
      <c r="Y4635" s="284"/>
      <c r="Z4635" s="284"/>
      <c r="AA4635" s="284"/>
      <c r="AB4635" s="284"/>
      <c r="AC4635" s="284"/>
      <c r="AD4635" s="284"/>
      <c r="AE4635" s="284"/>
      <c r="AF4635" s="284"/>
      <c r="AG4635" s="284"/>
      <c r="AH4635" s="284"/>
      <c r="AI4635" s="284"/>
      <c r="AJ4635" s="284"/>
      <c r="AK4635" s="284"/>
      <c r="AL4635" s="284"/>
    </row>
    <row r="4636" ht="15.75" customHeight="1">
      <c r="A4636" s="394"/>
      <c r="B4636" s="395"/>
      <c r="C4636" s="395"/>
      <c r="D4636" s="396"/>
      <c r="E4636" s="397"/>
      <c r="F4636" s="395"/>
      <c r="G4636" s="395"/>
      <c r="H4636" s="397"/>
      <c r="I4636" s="395"/>
      <c r="J4636" s="395"/>
      <c r="K4636" s="397"/>
      <c r="L4636" s="395"/>
      <c r="M4636" s="395"/>
      <c r="N4636" s="395"/>
      <c r="O4636" s="397"/>
      <c r="P4636" s="395"/>
      <c r="Q4636" s="395"/>
      <c r="R4636" s="353"/>
      <c r="S4636" s="185"/>
      <c r="T4636" s="185"/>
      <c r="U4636" s="185"/>
      <c r="V4636" s="185"/>
      <c r="W4636" s="185"/>
      <c r="X4636" s="185"/>
      <c r="Y4636" s="284"/>
      <c r="Z4636" s="284"/>
      <c r="AA4636" s="284"/>
      <c r="AB4636" s="284"/>
      <c r="AC4636" s="284"/>
      <c r="AD4636" s="284"/>
      <c r="AE4636" s="284"/>
      <c r="AF4636" s="284"/>
      <c r="AG4636" s="284"/>
      <c r="AH4636" s="284"/>
      <c r="AI4636" s="284"/>
      <c r="AJ4636" s="284"/>
      <c r="AK4636" s="284"/>
      <c r="AL4636" s="284"/>
    </row>
    <row r="4637" ht="15.75" customHeight="1">
      <c r="A4637" s="394"/>
      <c r="B4637" s="395"/>
      <c r="C4637" s="395"/>
      <c r="D4637" s="396"/>
      <c r="E4637" s="397"/>
      <c r="F4637" s="395"/>
      <c r="G4637" s="395"/>
      <c r="H4637" s="397"/>
      <c r="I4637" s="395"/>
      <c r="J4637" s="395"/>
      <c r="K4637" s="397"/>
      <c r="L4637" s="395"/>
      <c r="M4637" s="395"/>
      <c r="N4637" s="395"/>
      <c r="O4637" s="397"/>
      <c r="P4637" s="395"/>
      <c r="Q4637" s="395"/>
      <c r="R4637" s="353"/>
      <c r="S4637" s="185"/>
      <c r="T4637" s="185"/>
      <c r="U4637" s="185"/>
      <c r="V4637" s="185"/>
      <c r="W4637" s="185"/>
      <c r="X4637" s="185"/>
      <c r="Y4637" s="284"/>
      <c r="Z4637" s="284"/>
      <c r="AA4637" s="284"/>
      <c r="AB4637" s="284"/>
      <c r="AC4637" s="284"/>
      <c r="AD4637" s="284"/>
      <c r="AE4637" s="284"/>
      <c r="AF4637" s="284"/>
      <c r="AG4637" s="284"/>
      <c r="AH4637" s="284"/>
      <c r="AI4637" s="284"/>
      <c r="AJ4637" s="284"/>
      <c r="AK4637" s="284"/>
      <c r="AL4637" s="284"/>
    </row>
    <row r="4638" ht="15.75" customHeight="1">
      <c r="A4638" s="394"/>
      <c r="B4638" s="395"/>
      <c r="C4638" s="395"/>
      <c r="D4638" s="396"/>
      <c r="E4638" s="397"/>
      <c r="F4638" s="395"/>
      <c r="G4638" s="395"/>
      <c r="H4638" s="397"/>
      <c r="I4638" s="395"/>
      <c r="J4638" s="395"/>
      <c r="K4638" s="397"/>
      <c r="L4638" s="395"/>
      <c r="M4638" s="395"/>
      <c r="N4638" s="395"/>
      <c r="O4638" s="397"/>
      <c r="P4638" s="395"/>
      <c r="Q4638" s="395"/>
      <c r="R4638" s="353"/>
      <c r="S4638" s="185"/>
      <c r="T4638" s="185"/>
      <c r="U4638" s="185"/>
      <c r="V4638" s="185"/>
      <c r="W4638" s="185"/>
      <c r="X4638" s="185"/>
      <c r="Y4638" s="284"/>
      <c r="Z4638" s="284"/>
      <c r="AA4638" s="284"/>
      <c r="AB4638" s="284"/>
      <c r="AC4638" s="284"/>
      <c r="AD4638" s="284"/>
      <c r="AE4638" s="284"/>
      <c r="AF4638" s="284"/>
      <c r="AG4638" s="284"/>
      <c r="AH4638" s="284"/>
      <c r="AI4638" s="284"/>
      <c r="AJ4638" s="284"/>
      <c r="AK4638" s="284"/>
      <c r="AL4638" s="284"/>
    </row>
    <row r="4639" ht="15.75" customHeight="1">
      <c r="A4639" s="394"/>
      <c r="B4639" s="395"/>
      <c r="C4639" s="395"/>
      <c r="D4639" s="396"/>
      <c r="E4639" s="397"/>
      <c r="F4639" s="395"/>
      <c r="G4639" s="395"/>
      <c r="H4639" s="397"/>
      <c r="I4639" s="395"/>
      <c r="J4639" s="395"/>
      <c r="K4639" s="397"/>
      <c r="L4639" s="395"/>
      <c r="M4639" s="395"/>
      <c r="N4639" s="395"/>
      <c r="O4639" s="397"/>
      <c r="P4639" s="395"/>
      <c r="Q4639" s="395"/>
      <c r="R4639" s="353"/>
      <c r="S4639" s="185"/>
      <c r="T4639" s="185"/>
      <c r="U4639" s="185"/>
      <c r="V4639" s="185"/>
      <c r="W4639" s="185"/>
      <c r="X4639" s="185"/>
      <c r="Y4639" s="284"/>
      <c r="Z4639" s="284"/>
      <c r="AA4639" s="284"/>
      <c r="AB4639" s="284"/>
      <c r="AC4639" s="284"/>
      <c r="AD4639" s="284"/>
      <c r="AE4639" s="284"/>
      <c r="AF4639" s="284"/>
      <c r="AG4639" s="284"/>
      <c r="AH4639" s="284"/>
      <c r="AI4639" s="284"/>
      <c r="AJ4639" s="284"/>
      <c r="AK4639" s="284"/>
      <c r="AL4639" s="284"/>
    </row>
    <row r="4640" ht="15.75" customHeight="1">
      <c r="A4640" s="394"/>
      <c r="B4640" s="395"/>
      <c r="C4640" s="395"/>
      <c r="D4640" s="396"/>
      <c r="E4640" s="397"/>
      <c r="F4640" s="395"/>
      <c r="G4640" s="395"/>
      <c r="H4640" s="397"/>
      <c r="I4640" s="395"/>
      <c r="J4640" s="395"/>
      <c r="K4640" s="397"/>
      <c r="L4640" s="395"/>
      <c r="M4640" s="395"/>
      <c r="N4640" s="395"/>
      <c r="O4640" s="397"/>
      <c r="P4640" s="395"/>
      <c r="Q4640" s="395"/>
      <c r="R4640" s="353"/>
      <c r="S4640" s="185"/>
      <c r="T4640" s="185"/>
      <c r="U4640" s="185"/>
      <c r="V4640" s="185"/>
      <c r="W4640" s="185"/>
      <c r="X4640" s="185"/>
      <c r="Y4640" s="284"/>
      <c r="Z4640" s="284"/>
      <c r="AA4640" s="284"/>
      <c r="AB4640" s="284"/>
      <c r="AC4640" s="284"/>
      <c r="AD4640" s="284"/>
      <c r="AE4640" s="284"/>
      <c r="AF4640" s="284"/>
      <c r="AG4640" s="284"/>
      <c r="AH4640" s="284"/>
      <c r="AI4640" s="284"/>
      <c r="AJ4640" s="284"/>
      <c r="AK4640" s="284"/>
      <c r="AL4640" s="284"/>
    </row>
    <row r="4641" ht="15.75" customHeight="1">
      <c r="A4641" s="394"/>
      <c r="B4641" s="395"/>
      <c r="C4641" s="395"/>
      <c r="D4641" s="396"/>
      <c r="E4641" s="397"/>
      <c r="F4641" s="395"/>
      <c r="G4641" s="395"/>
      <c r="H4641" s="397"/>
      <c r="I4641" s="395"/>
      <c r="J4641" s="395"/>
      <c r="K4641" s="397"/>
      <c r="L4641" s="395"/>
      <c r="M4641" s="395"/>
      <c r="N4641" s="395"/>
      <c r="O4641" s="397"/>
      <c r="P4641" s="395"/>
      <c r="Q4641" s="395"/>
      <c r="R4641" s="353"/>
      <c r="S4641" s="185"/>
      <c r="T4641" s="185"/>
      <c r="U4641" s="185"/>
      <c r="V4641" s="185"/>
      <c r="W4641" s="185"/>
      <c r="X4641" s="185"/>
      <c r="Y4641" s="284"/>
      <c r="Z4641" s="284"/>
      <c r="AA4641" s="284"/>
      <c r="AB4641" s="284"/>
      <c r="AC4641" s="284"/>
      <c r="AD4641" s="284"/>
      <c r="AE4641" s="284"/>
      <c r="AF4641" s="284"/>
      <c r="AG4641" s="284"/>
      <c r="AH4641" s="284"/>
      <c r="AI4641" s="284"/>
      <c r="AJ4641" s="284"/>
      <c r="AK4641" s="284"/>
      <c r="AL4641" s="284"/>
    </row>
    <row r="4642" ht="15.75" customHeight="1">
      <c r="A4642" s="394"/>
      <c r="B4642" s="395"/>
      <c r="C4642" s="395"/>
      <c r="D4642" s="396"/>
      <c r="E4642" s="397"/>
      <c r="F4642" s="395"/>
      <c r="G4642" s="395"/>
      <c r="H4642" s="397"/>
      <c r="I4642" s="395"/>
      <c r="J4642" s="395"/>
      <c r="K4642" s="397"/>
      <c r="L4642" s="395"/>
      <c r="M4642" s="395"/>
      <c r="N4642" s="395"/>
      <c r="O4642" s="397"/>
      <c r="P4642" s="395"/>
      <c r="Q4642" s="395"/>
      <c r="R4642" s="353"/>
      <c r="S4642" s="185"/>
      <c r="T4642" s="185"/>
      <c r="U4642" s="185"/>
      <c r="V4642" s="185"/>
      <c r="W4642" s="185"/>
      <c r="X4642" s="185"/>
      <c r="Y4642" s="284"/>
      <c r="Z4642" s="284"/>
      <c r="AA4642" s="284"/>
      <c r="AB4642" s="284"/>
      <c r="AC4642" s="284"/>
      <c r="AD4642" s="284"/>
      <c r="AE4642" s="284"/>
      <c r="AF4642" s="284"/>
      <c r="AG4642" s="284"/>
      <c r="AH4642" s="284"/>
      <c r="AI4642" s="284"/>
      <c r="AJ4642" s="284"/>
      <c r="AK4642" s="284"/>
      <c r="AL4642" s="284"/>
    </row>
    <row r="4643" ht="15.75" customHeight="1">
      <c r="A4643" s="394"/>
      <c r="B4643" s="395"/>
      <c r="C4643" s="395"/>
      <c r="D4643" s="396"/>
      <c r="E4643" s="397"/>
      <c r="F4643" s="395"/>
      <c r="G4643" s="395"/>
      <c r="H4643" s="397"/>
      <c r="I4643" s="395"/>
      <c r="J4643" s="395"/>
      <c r="K4643" s="397"/>
      <c r="L4643" s="395"/>
      <c r="M4643" s="395"/>
      <c r="N4643" s="395"/>
      <c r="O4643" s="397"/>
      <c r="P4643" s="395"/>
      <c r="Q4643" s="395"/>
      <c r="R4643" s="353"/>
      <c r="S4643" s="185"/>
      <c r="T4643" s="185"/>
      <c r="U4643" s="185"/>
      <c r="V4643" s="185"/>
      <c r="W4643" s="185"/>
      <c r="X4643" s="185"/>
      <c r="Y4643" s="284"/>
      <c r="Z4643" s="284"/>
      <c r="AA4643" s="284"/>
      <c r="AB4643" s="284"/>
      <c r="AC4643" s="284"/>
      <c r="AD4643" s="284"/>
      <c r="AE4643" s="284"/>
      <c r="AF4643" s="284"/>
      <c r="AG4643" s="284"/>
      <c r="AH4643" s="284"/>
      <c r="AI4643" s="284"/>
      <c r="AJ4643" s="284"/>
      <c r="AK4643" s="284"/>
      <c r="AL4643" s="284"/>
    </row>
    <row r="4644" ht="15.75" customHeight="1">
      <c r="A4644" s="394"/>
      <c r="B4644" s="395"/>
      <c r="C4644" s="395"/>
      <c r="D4644" s="396"/>
      <c r="E4644" s="397"/>
      <c r="F4644" s="395"/>
      <c r="G4644" s="395"/>
      <c r="H4644" s="397"/>
      <c r="I4644" s="395"/>
      <c r="J4644" s="395"/>
      <c r="K4644" s="397"/>
      <c r="L4644" s="395"/>
      <c r="M4644" s="395"/>
      <c r="N4644" s="395"/>
      <c r="O4644" s="397"/>
      <c r="P4644" s="395"/>
      <c r="Q4644" s="395"/>
      <c r="R4644" s="353"/>
      <c r="S4644" s="185"/>
      <c r="T4644" s="185"/>
      <c r="U4644" s="185"/>
      <c r="V4644" s="185"/>
      <c r="W4644" s="185"/>
      <c r="X4644" s="185"/>
      <c r="Y4644" s="284"/>
      <c r="Z4644" s="284"/>
      <c r="AA4644" s="284"/>
      <c r="AB4644" s="284"/>
      <c r="AC4644" s="284"/>
      <c r="AD4644" s="284"/>
      <c r="AE4644" s="284"/>
      <c r="AF4644" s="284"/>
      <c r="AG4644" s="284"/>
      <c r="AH4644" s="284"/>
      <c r="AI4644" s="284"/>
      <c r="AJ4644" s="284"/>
      <c r="AK4644" s="284"/>
      <c r="AL4644" s="284"/>
    </row>
    <row r="4645" ht="15.75" customHeight="1">
      <c r="A4645" s="394"/>
      <c r="B4645" s="395"/>
      <c r="C4645" s="395"/>
      <c r="D4645" s="396"/>
      <c r="E4645" s="397"/>
      <c r="F4645" s="395"/>
      <c r="G4645" s="395"/>
      <c r="H4645" s="397"/>
      <c r="I4645" s="395"/>
      <c r="J4645" s="395"/>
      <c r="K4645" s="397"/>
      <c r="L4645" s="395"/>
      <c r="M4645" s="395"/>
      <c r="N4645" s="395"/>
      <c r="O4645" s="397"/>
      <c r="P4645" s="395"/>
      <c r="Q4645" s="395"/>
      <c r="R4645" s="353"/>
      <c r="S4645" s="185"/>
      <c r="T4645" s="185"/>
      <c r="U4645" s="185"/>
      <c r="V4645" s="185"/>
      <c r="W4645" s="185"/>
      <c r="X4645" s="185"/>
      <c r="Y4645" s="284"/>
      <c r="Z4645" s="284"/>
      <c r="AA4645" s="284"/>
      <c r="AB4645" s="284"/>
      <c r="AC4645" s="284"/>
      <c r="AD4645" s="284"/>
      <c r="AE4645" s="284"/>
      <c r="AF4645" s="284"/>
      <c r="AG4645" s="284"/>
      <c r="AH4645" s="284"/>
      <c r="AI4645" s="284"/>
      <c r="AJ4645" s="284"/>
      <c r="AK4645" s="284"/>
      <c r="AL4645" s="284"/>
    </row>
    <row r="4646" ht="15.75" customHeight="1">
      <c r="A4646" s="394"/>
      <c r="B4646" s="395"/>
      <c r="C4646" s="395"/>
      <c r="D4646" s="396"/>
      <c r="E4646" s="397"/>
      <c r="F4646" s="395"/>
      <c r="G4646" s="395"/>
      <c r="H4646" s="397"/>
      <c r="I4646" s="395"/>
      <c r="J4646" s="395"/>
      <c r="K4646" s="397"/>
      <c r="L4646" s="395"/>
      <c r="M4646" s="395"/>
      <c r="N4646" s="395"/>
      <c r="O4646" s="397"/>
      <c r="P4646" s="395"/>
      <c r="Q4646" s="395"/>
      <c r="R4646" s="353"/>
      <c r="S4646" s="185"/>
      <c r="T4646" s="185"/>
      <c r="U4646" s="185"/>
      <c r="V4646" s="185"/>
      <c r="W4646" s="185"/>
      <c r="X4646" s="185"/>
      <c r="Y4646" s="284"/>
      <c r="Z4646" s="284"/>
      <c r="AA4646" s="284"/>
      <c r="AB4646" s="284"/>
      <c r="AC4646" s="284"/>
      <c r="AD4646" s="284"/>
      <c r="AE4646" s="284"/>
      <c r="AF4646" s="284"/>
      <c r="AG4646" s="284"/>
      <c r="AH4646" s="284"/>
      <c r="AI4646" s="284"/>
      <c r="AJ4646" s="284"/>
      <c r="AK4646" s="284"/>
      <c r="AL4646" s="284"/>
    </row>
    <row r="4647" ht="15.75" customHeight="1">
      <c r="A4647" s="394"/>
      <c r="B4647" s="395"/>
      <c r="C4647" s="395"/>
      <c r="D4647" s="396"/>
      <c r="E4647" s="397"/>
      <c r="F4647" s="395"/>
      <c r="G4647" s="395"/>
      <c r="H4647" s="397"/>
      <c r="I4647" s="395"/>
      <c r="J4647" s="395"/>
      <c r="K4647" s="397"/>
      <c r="L4647" s="395"/>
      <c r="M4647" s="395"/>
      <c r="N4647" s="395"/>
      <c r="O4647" s="397"/>
      <c r="P4647" s="395"/>
      <c r="Q4647" s="395"/>
      <c r="R4647" s="353"/>
      <c r="S4647" s="185"/>
      <c r="T4647" s="185"/>
      <c r="U4647" s="185"/>
      <c r="V4647" s="185"/>
      <c r="W4647" s="185"/>
      <c r="X4647" s="185"/>
      <c r="Y4647" s="284"/>
      <c r="Z4647" s="284"/>
      <c r="AA4647" s="284"/>
      <c r="AB4647" s="284"/>
      <c r="AC4647" s="284"/>
      <c r="AD4647" s="284"/>
      <c r="AE4647" s="284"/>
      <c r="AF4647" s="284"/>
      <c r="AG4647" s="284"/>
      <c r="AH4647" s="284"/>
      <c r="AI4647" s="284"/>
      <c r="AJ4647" s="284"/>
      <c r="AK4647" s="284"/>
      <c r="AL4647" s="284"/>
    </row>
    <row r="4648" ht="15.75" customHeight="1">
      <c r="A4648" s="394"/>
      <c r="B4648" s="395"/>
      <c r="C4648" s="395"/>
      <c r="D4648" s="396"/>
      <c r="E4648" s="397"/>
      <c r="F4648" s="395"/>
      <c r="G4648" s="395"/>
      <c r="H4648" s="397"/>
      <c r="I4648" s="395"/>
      <c r="J4648" s="395"/>
      <c r="K4648" s="397"/>
      <c r="L4648" s="395"/>
      <c r="M4648" s="395"/>
      <c r="N4648" s="395"/>
      <c r="O4648" s="397"/>
      <c r="P4648" s="395"/>
      <c r="Q4648" s="395"/>
      <c r="R4648" s="353"/>
      <c r="S4648" s="185"/>
      <c r="T4648" s="185"/>
      <c r="U4648" s="185"/>
      <c r="V4648" s="185"/>
      <c r="W4648" s="185"/>
      <c r="X4648" s="185"/>
      <c r="Y4648" s="284"/>
      <c r="Z4648" s="284"/>
      <c r="AA4648" s="284"/>
      <c r="AB4648" s="284"/>
      <c r="AC4648" s="284"/>
      <c r="AD4648" s="284"/>
      <c r="AE4648" s="284"/>
      <c r="AF4648" s="284"/>
      <c r="AG4648" s="284"/>
      <c r="AH4648" s="284"/>
      <c r="AI4648" s="284"/>
      <c r="AJ4648" s="284"/>
      <c r="AK4648" s="284"/>
      <c r="AL4648" s="284"/>
    </row>
    <row r="4649" ht="15.75" customHeight="1">
      <c r="A4649" s="394"/>
      <c r="B4649" s="395"/>
      <c r="C4649" s="395"/>
      <c r="D4649" s="396"/>
      <c r="E4649" s="397"/>
      <c r="F4649" s="395"/>
      <c r="G4649" s="395"/>
      <c r="H4649" s="397"/>
      <c r="I4649" s="395"/>
      <c r="J4649" s="395"/>
      <c r="K4649" s="397"/>
      <c r="L4649" s="395"/>
      <c r="M4649" s="395"/>
      <c r="N4649" s="395"/>
      <c r="O4649" s="397"/>
      <c r="P4649" s="395"/>
      <c r="Q4649" s="395"/>
      <c r="R4649" s="353"/>
      <c r="S4649" s="185"/>
      <c r="T4649" s="185"/>
      <c r="U4649" s="185"/>
      <c r="V4649" s="185"/>
      <c r="W4649" s="185"/>
      <c r="X4649" s="185"/>
      <c r="Y4649" s="284"/>
      <c r="Z4649" s="284"/>
      <c r="AA4649" s="284"/>
      <c r="AB4649" s="284"/>
      <c r="AC4649" s="284"/>
      <c r="AD4649" s="284"/>
      <c r="AE4649" s="284"/>
      <c r="AF4649" s="284"/>
      <c r="AG4649" s="284"/>
      <c r="AH4649" s="284"/>
      <c r="AI4649" s="284"/>
      <c r="AJ4649" s="284"/>
      <c r="AK4649" s="284"/>
      <c r="AL4649" s="284"/>
    </row>
    <row r="4650" ht="15.75" customHeight="1">
      <c r="A4650" s="394"/>
      <c r="B4650" s="395"/>
      <c r="C4650" s="395"/>
      <c r="D4650" s="396"/>
      <c r="E4650" s="397"/>
      <c r="F4650" s="395"/>
      <c r="G4650" s="395"/>
      <c r="H4650" s="397"/>
      <c r="I4650" s="395"/>
      <c r="J4650" s="395"/>
      <c r="K4650" s="397"/>
      <c r="L4650" s="395"/>
      <c r="M4650" s="395"/>
      <c r="N4650" s="395"/>
      <c r="O4650" s="397"/>
      <c r="P4650" s="395"/>
      <c r="Q4650" s="395"/>
      <c r="R4650" s="353"/>
      <c r="S4650" s="185"/>
      <c r="T4650" s="185"/>
      <c r="U4650" s="185"/>
      <c r="V4650" s="185"/>
      <c r="W4650" s="185"/>
      <c r="X4650" s="185"/>
      <c r="Y4650" s="284"/>
      <c r="Z4650" s="284"/>
      <c r="AA4650" s="284"/>
      <c r="AB4650" s="284"/>
      <c r="AC4650" s="284"/>
      <c r="AD4650" s="284"/>
      <c r="AE4650" s="284"/>
      <c r="AF4650" s="284"/>
      <c r="AG4650" s="284"/>
      <c r="AH4650" s="284"/>
      <c r="AI4650" s="284"/>
      <c r="AJ4650" s="284"/>
      <c r="AK4650" s="284"/>
      <c r="AL4650" s="284"/>
    </row>
    <row r="4651" ht="15.75" customHeight="1">
      <c r="A4651" s="394"/>
      <c r="B4651" s="395"/>
      <c r="C4651" s="395"/>
      <c r="D4651" s="396"/>
      <c r="E4651" s="397"/>
      <c r="F4651" s="395"/>
      <c r="G4651" s="395"/>
      <c r="H4651" s="397"/>
      <c r="I4651" s="395"/>
      <c r="J4651" s="395"/>
      <c r="K4651" s="397"/>
      <c r="L4651" s="395"/>
      <c r="M4651" s="395"/>
      <c r="N4651" s="395"/>
      <c r="O4651" s="397"/>
      <c r="P4651" s="395"/>
      <c r="Q4651" s="395"/>
      <c r="R4651" s="353"/>
      <c r="S4651" s="185"/>
      <c r="T4651" s="185"/>
      <c r="U4651" s="185"/>
      <c r="V4651" s="185"/>
      <c r="W4651" s="185"/>
      <c r="X4651" s="185"/>
      <c r="Y4651" s="284"/>
      <c r="Z4651" s="284"/>
      <c r="AA4651" s="284"/>
      <c r="AB4651" s="284"/>
      <c r="AC4651" s="284"/>
      <c r="AD4651" s="284"/>
      <c r="AE4651" s="284"/>
      <c r="AF4651" s="284"/>
      <c r="AG4651" s="284"/>
      <c r="AH4651" s="284"/>
      <c r="AI4651" s="284"/>
      <c r="AJ4651" s="284"/>
      <c r="AK4651" s="284"/>
      <c r="AL4651" s="284"/>
    </row>
    <row r="4652" ht="15.75" customHeight="1">
      <c r="A4652" s="394"/>
      <c r="B4652" s="395"/>
      <c r="C4652" s="395"/>
      <c r="D4652" s="396"/>
      <c r="E4652" s="397"/>
      <c r="F4652" s="395"/>
      <c r="G4652" s="395"/>
      <c r="H4652" s="397"/>
      <c r="I4652" s="395"/>
      <c r="J4652" s="395"/>
      <c r="K4652" s="397"/>
      <c r="L4652" s="395"/>
      <c r="M4652" s="395"/>
      <c r="N4652" s="395"/>
      <c r="O4652" s="397"/>
      <c r="P4652" s="395"/>
      <c r="Q4652" s="395"/>
      <c r="R4652" s="353"/>
      <c r="S4652" s="185"/>
      <c r="T4652" s="185"/>
      <c r="U4652" s="185"/>
      <c r="V4652" s="185"/>
      <c r="W4652" s="185"/>
      <c r="X4652" s="185"/>
      <c r="Y4652" s="284"/>
      <c r="Z4652" s="284"/>
      <c r="AA4652" s="284"/>
      <c r="AB4652" s="284"/>
      <c r="AC4652" s="284"/>
      <c r="AD4652" s="284"/>
      <c r="AE4652" s="284"/>
      <c r="AF4652" s="284"/>
      <c r="AG4652" s="284"/>
      <c r="AH4652" s="284"/>
      <c r="AI4652" s="284"/>
      <c r="AJ4652" s="284"/>
      <c r="AK4652" s="284"/>
      <c r="AL4652" s="284"/>
    </row>
    <row r="4653" ht="15.75" customHeight="1">
      <c r="A4653" s="394"/>
      <c r="B4653" s="395"/>
      <c r="C4653" s="395"/>
      <c r="D4653" s="396"/>
      <c r="E4653" s="397"/>
      <c r="F4653" s="395"/>
      <c r="G4653" s="395"/>
      <c r="H4653" s="397"/>
      <c r="I4653" s="395"/>
      <c r="J4653" s="395"/>
      <c r="K4653" s="397"/>
      <c r="L4653" s="395"/>
      <c r="M4653" s="395"/>
      <c r="N4653" s="395"/>
      <c r="O4653" s="397"/>
      <c r="P4653" s="395"/>
      <c r="Q4653" s="395"/>
      <c r="R4653" s="353"/>
      <c r="S4653" s="185"/>
      <c r="T4653" s="185"/>
      <c r="U4653" s="185"/>
      <c r="V4653" s="185"/>
      <c r="W4653" s="185"/>
      <c r="X4653" s="185"/>
      <c r="Y4653" s="284"/>
      <c r="Z4653" s="284"/>
      <c r="AA4653" s="284"/>
      <c r="AB4653" s="284"/>
      <c r="AC4653" s="284"/>
      <c r="AD4653" s="284"/>
      <c r="AE4653" s="284"/>
      <c r="AF4653" s="284"/>
      <c r="AG4653" s="284"/>
      <c r="AH4653" s="284"/>
      <c r="AI4653" s="284"/>
      <c r="AJ4653" s="284"/>
      <c r="AK4653" s="284"/>
      <c r="AL4653" s="284"/>
    </row>
    <row r="4654" ht="15.75" customHeight="1">
      <c r="A4654" s="394"/>
      <c r="B4654" s="395"/>
      <c r="C4654" s="395"/>
      <c r="D4654" s="396"/>
      <c r="E4654" s="397"/>
      <c r="F4654" s="395"/>
      <c r="G4654" s="395"/>
      <c r="H4654" s="397"/>
      <c r="I4654" s="395"/>
      <c r="J4654" s="395"/>
      <c r="K4654" s="397"/>
      <c r="L4654" s="395"/>
      <c r="M4654" s="395"/>
      <c r="N4654" s="395"/>
      <c r="O4654" s="397"/>
      <c r="P4654" s="395"/>
      <c r="Q4654" s="395"/>
      <c r="R4654" s="353"/>
      <c r="S4654" s="185"/>
      <c r="T4654" s="185"/>
      <c r="U4654" s="185"/>
      <c r="V4654" s="185"/>
      <c r="W4654" s="185"/>
      <c r="X4654" s="185"/>
      <c r="Y4654" s="284"/>
      <c r="Z4654" s="284"/>
      <c r="AA4654" s="284"/>
      <c r="AB4654" s="284"/>
      <c r="AC4654" s="284"/>
      <c r="AD4654" s="284"/>
      <c r="AE4654" s="284"/>
      <c r="AF4654" s="284"/>
      <c r="AG4654" s="284"/>
      <c r="AH4654" s="284"/>
      <c r="AI4654" s="284"/>
      <c r="AJ4654" s="284"/>
      <c r="AK4654" s="284"/>
      <c r="AL4654" s="284"/>
    </row>
    <row r="4655" ht="15.75" customHeight="1">
      <c r="A4655" s="394"/>
      <c r="B4655" s="395"/>
      <c r="C4655" s="395"/>
      <c r="D4655" s="396"/>
      <c r="E4655" s="397"/>
      <c r="F4655" s="395"/>
      <c r="G4655" s="395"/>
      <c r="H4655" s="397"/>
      <c r="I4655" s="395"/>
      <c r="J4655" s="395"/>
      <c r="K4655" s="397"/>
      <c r="L4655" s="395"/>
      <c r="M4655" s="395"/>
      <c r="N4655" s="395"/>
      <c r="O4655" s="397"/>
      <c r="P4655" s="395"/>
      <c r="Q4655" s="395"/>
      <c r="R4655" s="353"/>
      <c r="S4655" s="185"/>
      <c r="T4655" s="185"/>
      <c r="U4655" s="185"/>
      <c r="V4655" s="185"/>
      <c r="W4655" s="185"/>
      <c r="X4655" s="185"/>
      <c r="Y4655" s="284"/>
      <c r="Z4655" s="284"/>
      <c r="AA4655" s="284"/>
      <c r="AB4655" s="284"/>
      <c r="AC4655" s="284"/>
      <c r="AD4655" s="284"/>
      <c r="AE4655" s="284"/>
      <c r="AF4655" s="284"/>
      <c r="AG4655" s="284"/>
      <c r="AH4655" s="284"/>
      <c r="AI4655" s="284"/>
      <c r="AJ4655" s="284"/>
      <c r="AK4655" s="284"/>
      <c r="AL4655" s="284"/>
    </row>
    <row r="4656" ht="15.75" customHeight="1">
      <c r="A4656" s="394"/>
      <c r="B4656" s="395"/>
      <c r="C4656" s="395"/>
      <c r="D4656" s="396"/>
      <c r="E4656" s="397"/>
      <c r="F4656" s="395"/>
      <c r="G4656" s="395"/>
      <c r="H4656" s="397"/>
      <c r="I4656" s="395"/>
      <c r="J4656" s="395"/>
      <c r="K4656" s="397"/>
      <c r="L4656" s="395"/>
      <c r="M4656" s="395"/>
      <c r="N4656" s="395"/>
      <c r="O4656" s="397"/>
      <c r="P4656" s="395"/>
      <c r="Q4656" s="395"/>
      <c r="R4656" s="353"/>
      <c r="S4656" s="185"/>
      <c r="T4656" s="185"/>
      <c r="U4656" s="185"/>
      <c r="V4656" s="185"/>
      <c r="W4656" s="185"/>
      <c r="X4656" s="185"/>
      <c r="Y4656" s="284"/>
      <c r="Z4656" s="284"/>
      <c r="AA4656" s="284"/>
      <c r="AB4656" s="284"/>
      <c r="AC4656" s="284"/>
      <c r="AD4656" s="284"/>
      <c r="AE4656" s="284"/>
      <c r="AF4656" s="284"/>
      <c r="AG4656" s="284"/>
      <c r="AH4656" s="284"/>
      <c r="AI4656" s="284"/>
      <c r="AJ4656" s="284"/>
      <c r="AK4656" s="284"/>
      <c r="AL4656" s="284"/>
    </row>
    <row r="4657" ht="15.75" customHeight="1">
      <c r="A4657" s="394"/>
      <c r="B4657" s="395"/>
      <c r="C4657" s="395"/>
      <c r="D4657" s="396"/>
      <c r="E4657" s="397"/>
      <c r="F4657" s="395"/>
      <c r="G4657" s="395"/>
      <c r="H4657" s="397"/>
      <c r="I4657" s="395"/>
      <c r="J4657" s="395"/>
      <c r="K4657" s="397"/>
      <c r="L4657" s="395"/>
      <c r="M4657" s="395"/>
      <c r="N4657" s="395"/>
      <c r="O4657" s="397"/>
      <c r="P4657" s="395"/>
      <c r="Q4657" s="395"/>
      <c r="R4657" s="353"/>
      <c r="S4657" s="185"/>
      <c r="T4657" s="185"/>
      <c r="U4657" s="185"/>
      <c r="V4657" s="185"/>
      <c r="W4657" s="185"/>
      <c r="X4657" s="185"/>
      <c r="Y4657" s="284"/>
      <c r="Z4657" s="284"/>
      <c r="AA4657" s="284"/>
      <c r="AB4657" s="284"/>
      <c r="AC4657" s="284"/>
      <c r="AD4657" s="284"/>
      <c r="AE4657" s="284"/>
      <c r="AF4657" s="284"/>
      <c r="AG4657" s="284"/>
      <c r="AH4657" s="284"/>
      <c r="AI4657" s="284"/>
      <c r="AJ4657" s="284"/>
      <c r="AK4657" s="284"/>
      <c r="AL4657" s="284"/>
    </row>
    <row r="4658" ht="15.75" customHeight="1">
      <c r="A4658" s="394"/>
      <c r="B4658" s="395"/>
      <c r="C4658" s="395"/>
      <c r="D4658" s="396"/>
      <c r="E4658" s="397"/>
      <c r="F4658" s="395"/>
      <c r="G4658" s="395"/>
      <c r="H4658" s="397"/>
      <c r="I4658" s="395"/>
      <c r="J4658" s="395"/>
      <c r="K4658" s="397"/>
      <c r="L4658" s="395"/>
      <c r="M4658" s="395"/>
      <c r="N4658" s="395"/>
      <c r="O4658" s="397"/>
      <c r="P4658" s="395"/>
      <c r="Q4658" s="395"/>
      <c r="R4658" s="353"/>
      <c r="S4658" s="185"/>
      <c r="T4658" s="185"/>
      <c r="U4658" s="185"/>
      <c r="V4658" s="185"/>
      <c r="W4658" s="185"/>
      <c r="X4658" s="185"/>
      <c r="Y4658" s="284"/>
      <c r="Z4658" s="284"/>
      <c r="AA4658" s="284"/>
      <c r="AB4658" s="284"/>
      <c r="AC4658" s="284"/>
      <c r="AD4658" s="284"/>
      <c r="AE4658" s="284"/>
      <c r="AF4658" s="284"/>
      <c r="AG4658" s="284"/>
      <c r="AH4658" s="284"/>
      <c r="AI4658" s="284"/>
      <c r="AJ4658" s="284"/>
      <c r="AK4658" s="284"/>
      <c r="AL4658" s="284"/>
    </row>
    <row r="4659" ht="15.75" customHeight="1">
      <c r="A4659" s="394"/>
      <c r="B4659" s="395"/>
      <c r="C4659" s="395"/>
      <c r="D4659" s="396"/>
      <c r="E4659" s="397"/>
      <c r="F4659" s="395"/>
      <c r="G4659" s="395"/>
      <c r="H4659" s="397"/>
      <c r="I4659" s="395"/>
      <c r="J4659" s="395"/>
      <c r="K4659" s="397"/>
      <c r="L4659" s="395"/>
      <c r="M4659" s="395"/>
      <c r="N4659" s="395"/>
      <c r="O4659" s="397"/>
      <c r="P4659" s="395"/>
      <c r="Q4659" s="395"/>
      <c r="R4659" s="353"/>
      <c r="S4659" s="185"/>
      <c r="T4659" s="185"/>
      <c r="U4659" s="185"/>
      <c r="V4659" s="185"/>
      <c r="W4659" s="185"/>
      <c r="X4659" s="185"/>
      <c r="Y4659" s="284"/>
      <c r="Z4659" s="284"/>
      <c r="AA4659" s="284"/>
      <c r="AB4659" s="284"/>
      <c r="AC4659" s="284"/>
      <c r="AD4659" s="284"/>
      <c r="AE4659" s="284"/>
      <c r="AF4659" s="284"/>
      <c r="AG4659" s="284"/>
      <c r="AH4659" s="284"/>
      <c r="AI4659" s="284"/>
      <c r="AJ4659" s="284"/>
      <c r="AK4659" s="284"/>
      <c r="AL4659" s="284"/>
    </row>
    <row r="4660" ht="15.75" customHeight="1">
      <c r="A4660" s="394"/>
      <c r="B4660" s="395"/>
      <c r="C4660" s="395"/>
      <c r="D4660" s="396"/>
      <c r="E4660" s="397"/>
      <c r="F4660" s="395"/>
      <c r="G4660" s="395"/>
      <c r="H4660" s="397"/>
      <c r="I4660" s="395"/>
      <c r="J4660" s="395"/>
      <c r="K4660" s="397"/>
      <c r="L4660" s="395"/>
      <c r="M4660" s="395"/>
      <c r="N4660" s="395"/>
      <c r="O4660" s="397"/>
      <c r="P4660" s="395"/>
      <c r="Q4660" s="395"/>
      <c r="R4660" s="353"/>
      <c r="S4660" s="185"/>
      <c r="T4660" s="185"/>
      <c r="U4660" s="185"/>
      <c r="V4660" s="185"/>
      <c r="W4660" s="185"/>
      <c r="X4660" s="185"/>
      <c r="Y4660" s="284"/>
      <c r="Z4660" s="284"/>
      <c r="AA4660" s="284"/>
      <c r="AB4660" s="284"/>
      <c r="AC4660" s="284"/>
      <c r="AD4660" s="284"/>
      <c r="AE4660" s="284"/>
      <c r="AF4660" s="284"/>
      <c r="AG4660" s="284"/>
      <c r="AH4660" s="284"/>
      <c r="AI4660" s="284"/>
      <c r="AJ4660" s="284"/>
      <c r="AK4660" s="284"/>
      <c r="AL4660" s="284"/>
    </row>
    <row r="4661" ht="15.75" customHeight="1">
      <c r="A4661" s="394"/>
      <c r="B4661" s="395"/>
      <c r="C4661" s="395"/>
      <c r="D4661" s="396"/>
      <c r="E4661" s="397"/>
      <c r="F4661" s="395"/>
      <c r="G4661" s="395"/>
      <c r="H4661" s="397"/>
      <c r="I4661" s="395"/>
      <c r="J4661" s="395"/>
      <c r="K4661" s="397"/>
      <c r="L4661" s="395"/>
      <c r="M4661" s="395"/>
      <c r="N4661" s="395"/>
      <c r="O4661" s="397"/>
      <c r="P4661" s="395"/>
      <c r="Q4661" s="395"/>
      <c r="R4661" s="353"/>
      <c r="S4661" s="185"/>
      <c r="T4661" s="185"/>
      <c r="U4661" s="185"/>
      <c r="V4661" s="185"/>
      <c r="W4661" s="185"/>
      <c r="X4661" s="185"/>
      <c r="Y4661" s="284"/>
      <c r="Z4661" s="284"/>
      <c r="AA4661" s="284"/>
      <c r="AB4661" s="284"/>
      <c r="AC4661" s="284"/>
      <c r="AD4661" s="284"/>
      <c r="AE4661" s="284"/>
      <c r="AF4661" s="284"/>
      <c r="AG4661" s="284"/>
      <c r="AH4661" s="284"/>
      <c r="AI4661" s="284"/>
      <c r="AJ4661" s="284"/>
      <c r="AK4661" s="284"/>
      <c r="AL4661" s="284"/>
    </row>
    <row r="4662" ht="15.75" customHeight="1">
      <c r="A4662" s="394"/>
      <c r="B4662" s="395"/>
      <c r="C4662" s="395"/>
      <c r="D4662" s="396"/>
      <c r="E4662" s="397"/>
      <c r="F4662" s="395"/>
      <c r="G4662" s="395"/>
      <c r="H4662" s="397"/>
      <c r="I4662" s="395"/>
      <c r="J4662" s="395"/>
      <c r="K4662" s="397"/>
      <c r="L4662" s="395"/>
      <c r="M4662" s="395"/>
      <c r="N4662" s="395"/>
      <c r="O4662" s="397"/>
      <c r="P4662" s="395"/>
      <c r="Q4662" s="395"/>
      <c r="R4662" s="353"/>
      <c r="S4662" s="185"/>
      <c r="T4662" s="185"/>
      <c r="U4662" s="185"/>
      <c r="V4662" s="185"/>
      <c r="W4662" s="185"/>
      <c r="X4662" s="185"/>
      <c r="Y4662" s="284"/>
      <c r="Z4662" s="284"/>
      <c r="AA4662" s="284"/>
      <c r="AB4662" s="284"/>
      <c r="AC4662" s="284"/>
      <c r="AD4662" s="284"/>
      <c r="AE4662" s="284"/>
      <c r="AF4662" s="284"/>
      <c r="AG4662" s="284"/>
      <c r="AH4662" s="284"/>
      <c r="AI4662" s="284"/>
      <c r="AJ4662" s="284"/>
      <c r="AK4662" s="284"/>
      <c r="AL4662" s="284"/>
    </row>
    <row r="4663" ht="15.75" customHeight="1">
      <c r="A4663" s="394"/>
      <c r="B4663" s="395"/>
      <c r="C4663" s="395"/>
      <c r="D4663" s="396"/>
      <c r="E4663" s="397"/>
      <c r="F4663" s="395"/>
      <c r="G4663" s="395"/>
      <c r="H4663" s="397"/>
      <c r="I4663" s="395"/>
      <c r="J4663" s="395"/>
      <c r="K4663" s="397"/>
      <c r="L4663" s="395"/>
      <c r="M4663" s="395"/>
      <c r="N4663" s="395"/>
      <c r="O4663" s="397"/>
      <c r="P4663" s="395"/>
      <c r="Q4663" s="395"/>
      <c r="R4663" s="353"/>
      <c r="S4663" s="185"/>
      <c r="T4663" s="185"/>
      <c r="U4663" s="185"/>
      <c r="V4663" s="185"/>
      <c r="W4663" s="185"/>
      <c r="X4663" s="185"/>
      <c r="Y4663" s="284"/>
      <c r="Z4663" s="284"/>
      <c r="AA4663" s="284"/>
      <c r="AB4663" s="284"/>
      <c r="AC4663" s="284"/>
      <c r="AD4663" s="284"/>
      <c r="AE4663" s="284"/>
      <c r="AF4663" s="284"/>
      <c r="AG4663" s="284"/>
      <c r="AH4663" s="284"/>
      <c r="AI4663" s="284"/>
      <c r="AJ4663" s="284"/>
      <c r="AK4663" s="284"/>
      <c r="AL4663" s="284"/>
    </row>
    <row r="4664" ht="15.75" customHeight="1">
      <c r="A4664" s="394"/>
      <c r="B4664" s="395"/>
      <c r="C4664" s="395"/>
      <c r="D4664" s="396"/>
      <c r="E4664" s="397"/>
      <c r="F4664" s="395"/>
      <c r="G4664" s="395"/>
      <c r="H4664" s="397"/>
      <c r="I4664" s="395"/>
      <c r="J4664" s="395"/>
      <c r="K4664" s="397"/>
      <c r="L4664" s="395"/>
      <c r="M4664" s="395"/>
      <c r="N4664" s="395"/>
      <c r="O4664" s="397"/>
      <c r="P4664" s="395"/>
      <c r="Q4664" s="395"/>
      <c r="R4664" s="353"/>
      <c r="S4664" s="185"/>
      <c r="T4664" s="185"/>
      <c r="U4664" s="185"/>
      <c r="V4664" s="185"/>
      <c r="W4664" s="185"/>
      <c r="X4664" s="185"/>
      <c r="Y4664" s="284"/>
      <c r="Z4664" s="284"/>
      <c r="AA4664" s="284"/>
      <c r="AB4664" s="284"/>
      <c r="AC4664" s="284"/>
      <c r="AD4664" s="284"/>
      <c r="AE4664" s="284"/>
      <c r="AF4664" s="284"/>
      <c r="AG4664" s="284"/>
      <c r="AH4664" s="284"/>
      <c r="AI4664" s="284"/>
      <c r="AJ4664" s="284"/>
      <c r="AK4664" s="284"/>
      <c r="AL4664" s="284"/>
    </row>
    <row r="4665" ht="15.75" customHeight="1">
      <c r="A4665" s="394"/>
      <c r="B4665" s="395"/>
      <c r="C4665" s="395"/>
      <c r="D4665" s="396"/>
      <c r="E4665" s="397"/>
      <c r="F4665" s="395"/>
      <c r="G4665" s="395"/>
      <c r="H4665" s="397"/>
      <c r="I4665" s="395"/>
      <c r="J4665" s="395"/>
      <c r="K4665" s="397"/>
      <c r="L4665" s="395"/>
      <c r="M4665" s="395"/>
      <c r="N4665" s="395"/>
      <c r="O4665" s="397"/>
      <c r="P4665" s="395"/>
      <c r="Q4665" s="395"/>
      <c r="R4665" s="353"/>
      <c r="S4665" s="185"/>
      <c r="T4665" s="185"/>
      <c r="U4665" s="185"/>
      <c r="V4665" s="185"/>
      <c r="W4665" s="185"/>
      <c r="X4665" s="185"/>
      <c r="Y4665" s="284"/>
      <c r="Z4665" s="284"/>
      <c r="AA4665" s="284"/>
      <c r="AB4665" s="284"/>
      <c r="AC4665" s="284"/>
      <c r="AD4665" s="284"/>
      <c r="AE4665" s="284"/>
      <c r="AF4665" s="284"/>
      <c r="AG4665" s="284"/>
      <c r="AH4665" s="284"/>
      <c r="AI4665" s="284"/>
      <c r="AJ4665" s="284"/>
      <c r="AK4665" s="284"/>
      <c r="AL4665" s="284"/>
    </row>
    <row r="4666" ht="15.75" customHeight="1">
      <c r="A4666" s="394"/>
      <c r="B4666" s="395"/>
      <c r="C4666" s="395"/>
      <c r="D4666" s="396"/>
      <c r="E4666" s="397"/>
      <c r="F4666" s="395"/>
      <c r="G4666" s="395"/>
      <c r="H4666" s="397"/>
      <c r="I4666" s="395"/>
      <c r="J4666" s="395"/>
      <c r="K4666" s="397"/>
      <c r="L4666" s="395"/>
      <c r="M4666" s="395"/>
      <c r="N4666" s="395"/>
      <c r="O4666" s="397"/>
      <c r="P4666" s="395"/>
      <c r="Q4666" s="395"/>
      <c r="R4666" s="353"/>
      <c r="S4666" s="185"/>
      <c r="T4666" s="185"/>
      <c r="U4666" s="185"/>
      <c r="V4666" s="185"/>
      <c r="W4666" s="185"/>
      <c r="X4666" s="185"/>
      <c r="Y4666" s="284"/>
      <c r="Z4666" s="284"/>
      <c r="AA4666" s="284"/>
      <c r="AB4666" s="284"/>
      <c r="AC4666" s="284"/>
      <c r="AD4666" s="284"/>
      <c r="AE4666" s="284"/>
      <c r="AF4666" s="284"/>
      <c r="AG4666" s="284"/>
      <c r="AH4666" s="284"/>
      <c r="AI4666" s="284"/>
      <c r="AJ4666" s="284"/>
      <c r="AK4666" s="284"/>
      <c r="AL4666" s="284"/>
    </row>
    <row r="4667" ht="15.75" customHeight="1">
      <c r="A4667" s="394"/>
      <c r="B4667" s="395"/>
      <c r="C4667" s="395"/>
      <c r="D4667" s="396"/>
      <c r="E4667" s="397"/>
      <c r="F4667" s="395"/>
      <c r="G4667" s="395"/>
      <c r="H4667" s="397"/>
      <c r="I4667" s="395"/>
      <c r="J4667" s="395"/>
      <c r="K4667" s="397"/>
      <c r="L4667" s="395"/>
      <c r="M4667" s="395"/>
      <c r="N4667" s="395"/>
      <c r="O4667" s="397"/>
      <c r="P4667" s="395"/>
      <c r="Q4667" s="395"/>
      <c r="R4667" s="353"/>
      <c r="S4667" s="185"/>
      <c r="T4667" s="185"/>
      <c r="U4667" s="185"/>
      <c r="V4667" s="185"/>
      <c r="W4667" s="185"/>
      <c r="X4667" s="185"/>
      <c r="Y4667" s="284"/>
      <c r="Z4667" s="284"/>
      <c r="AA4667" s="284"/>
      <c r="AB4667" s="284"/>
      <c r="AC4667" s="284"/>
      <c r="AD4667" s="284"/>
      <c r="AE4667" s="284"/>
      <c r="AF4667" s="284"/>
      <c r="AG4667" s="284"/>
      <c r="AH4667" s="284"/>
      <c r="AI4667" s="284"/>
      <c r="AJ4667" s="284"/>
      <c r="AK4667" s="284"/>
      <c r="AL4667" s="284"/>
    </row>
    <row r="4668" ht="15.75" customHeight="1">
      <c r="A4668" s="394"/>
      <c r="B4668" s="395"/>
      <c r="C4668" s="395"/>
      <c r="D4668" s="396"/>
      <c r="E4668" s="397"/>
      <c r="F4668" s="395"/>
      <c r="G4668" s="395"/>
      <c r="H4668" s="397"/>
      <c r="I4668" s="395"/>
      <c r="J4668" s="395"/>
      <c r="K4668" s="397"/>
      <c r="L4668" s="395"/>
      <c r="M4668" s="395"/>
      <c r="N4668" s="395"/>
      <c r="O4668" s="397"/>
      <c r="P4668" s="395"/>
      <c r="Q4668" s="395"/>
      <c r="R4668" s="353"/>
      <c r="S4668" s="185"/>
      <c r="T4668" s="185"/>
      <c r="U4668" s="185"/>
      <c r="V4668" s="185"/>
      <c r="W4668" s="185"/>
      <c r="X4668" s="185"/>
      <c r="Y4668" s="284"/>
      <c r="Z4668" s="284"/>
      <c r="AA4668" s="284"/>
      <c r="AB4668" s="284"/>
      <c r="AC4668" s="284"/>
      <c r="AD4668" s="284"/>
      <c r="AE4668" s="284"/>
      <c r="AF4668" s="284"/>
      <c r="AG4668" s="284"/>
      <c r="AH4668" s="284"/>
      <c r="AI4668" s="284"/>
      <c r="AJ4668" s="284"/>
      <c r="AK4668" s="284"/>
      <c r="AL4668" s="284"/>
    </row>
    <row r="4669" ht="15.75" customHeight="1">
      <c r="A4669" s="394"/>
      <c r="B4669" s="395"/>
      <c r="C4669" s="395"/>
      <c r="D4669" s="396"/>
      <c r="E4669" s="397"/>
      <c r="F4669" s="395"/>
      <c r="G4669" s="395"/>
      <c r="H4669" s="397"/>
      <c r="I4669" s="395"/>
      <c r="J4669" s="395"/>
      <c r="K4669" s="397"/>
      <c r="L4669" s="395"/>
      <c r="M4669" s="395"/>
      <c r="N4669" s="395"/>
      <c r="O4669" s="397"/>
      <c r="P4669" s="395"/>
      <c r="Q4669" s="395"/>
      <c r="R4669" s="353"/>
      <c r="S4669" s="185"/>
      <c r="T4669" s="185"/>
      <c r="U4669" s="185"/>
      <c r="V4669" s="185"/>
      <c r="W4669" s="185"/>
      <c r="X4669" s="185"/>
      <c r="Y4669" s="284"/>
      <c r="Z4669" s="284"/>
      <c r="AA4669" s="284"/>
      <c r="AB4669" s="284"/>
      <c r="AC4669" s="284"/>
      <c r="AD4669" s="284"/>
      <c r="AE4669" s="284"/>
      <c r="AF4669" s="284"/>
      <c r="AG4669" s="284"/>
      <c r="AH4669" s="284"/>
      <c r="AI4669" s="284"/>
      <c r="AJ4669" s="284"/>
      <c r="AK4669" s="284"/>
      <c r="AL4669" s="284"/>
    </row>
    <row r="4670" ht="15.75" customHeight="1">
      <c r="A4670" s="394"/>
      <c r="B4670" s="395"/>
      <c r="C4670" s="395"/>
      <c r="D4670" s="396"/>
      <c r="E4670" s="397"/>
      <c r="F4670" s="395"/>
      <c r="G4670" s="395"/>
      <c r="H4670" s="397"/>
      <c r="I4670" s="395"/>
      <c r="J4670" s="395"/>
      <c r="K4670" s="397"/>
      <c r="L4670" s="395"/>
      <c r="M4670" s="395"/>
      <c r="N4670" s="395"/>
      <c r="O4670" s="397"/>
      <c r="P4670" s="395"/>
      <c r="Q4670" s="395"/>
      <c r="R4670" s="353"/>
      <c r="S4670" s="185"/>
      <c r="T4670" s="185"/>
      <c r="U4670" s="185"/>
      <c r="V4670" s="185"/>
      <c r="W4670" s="185"/>
      <c r="X4670" s="185"/>
      <c r="Y4670" s="284"/>
      <c r="Z4670" s="284"/>
      <c r="AA4670" s="284"/>
      <c r="AB4670" s="284"/>
      <c r="AC4670" s="284"/>
      <c r="AD4670" s="284"/>
      <c r="AE4670" s="284"/>
      <c r="AF4670" s="284"/>
      <c r="AG4670" s="284"/>
      <c r="AH4670" s="284"/>
      <c r="AI4670" s="284"/>
      <c r="AJ4670" s="284"/>
      <c r="AK4670" s="284"/>
      <c r="AL4670" s="284"/>
    </row>
    <row r="4671" ht="15.75" customHeight="1">
      <c r="A4671" s="394"/>
      <c r="B4671" s="395"/>
      <c r="C4671" s="395"/>
      <c r="D4671" s="396"/>
      <c r="E4671" s="397"/>
      <c r="F4671" s="395"/>
      <c r="G4671" s="395"/>
      <c r="H4671" s="397"/>
      <c r="I4671" s="395"/>
      <c r="J4671" s="395"/>
      <c r="K4671" s="397"/>
      <c r="L4671" s="395"/>
      <c r="M4671" s="395"/>
      <c r="N4671" s="395"/>
      <c r="O4671" s="397"/>
      <c r="P4671" s="395"/>
      <c r="Q4671" s="395"/>
      <c r="R4671" s="353"/>
      <c r="S4671" s="185"/>
      <c r="T4671" s="185"/>
      <c r="U4671" s="185"/>
      <c r="V4671" s="185"/>
      <c r="W4671" s="185"/>
      <c r="X4671" s="185"/>
      <c r="Y4671" s="284"/>
      <c r="Z4671" s="284"/>
      <c r="AA4671" s="284"/>
      <c r="AB4671" s="284"/>
      <c r="AC4671" s="284"/>
      <c r="AD4671" s="284"/>
      <c r="AE4671" s="284"/>
      <c r="AF4671" s="284"/>
      <c r="AG4671" s="284"/>
      <c r="AH4671" s="284"/>
      <c r="AI4671" s="284"/>
      <c r="AJ4671" s="284"/>
      <c r="AK4671" s="284"/>
      <c r="AL4671" s="284"/>
    </row>
    <row r="4672" ht="15.75" customHeight="1">
      <c r="A4672" s="394"/>
      <c r="B4672" s="395"/>
      <c r="C4672" s="395"/>
      <c r="D4672" s="396"/>
      <c r="E4672" s="397"/>
      <c r="F4672" s="395"/>
      <c r="G4672" s="395"/>
      <c r="H4672" s="397"/>
      <c r="I4672" s="395"/>
      <c r="J4672" s="395"/>
      <c r="K4672" s="397"/>
      <c r="L4672" s="395"/>
      <c r="M4672" s="395"/>
      <c r="N4672" s="395"/>
      <c r="O4672" s="397"/>
      <c r="P4672" s="395"/>
      <c r="Q4672" s="395"/>
      <c r="R4672" s="353"/>
      <c r="S4672" s="185"/>
      <c r="T4672" s="185"/>
      <c r="U4672" s="185"/>
      <c r="V4672" s="185"/>
      <c r="W4672" s="185"/>
      <c r="X4672" s="185"/>
      <c r="Y4672" s="284"/>
      <c r="Z4672" s="284"/>
      <c r="AA4672" s="284"/>
      <c r="AB4672" s="284"/>
      <c r="AC4672" s="284"/>
      <c r="AD4672" s="284"/>
      <c r="AE4672" s="284"/>
      <c r="AF4672" s="284"/>
      <c r="AG4672" s="284"/>
      <c r="AH4672" s="284"/>
      <c r="AI4672" s="284"/>
      <c r="AJ4672" s="284"/>
      <c r="AK4672" s="284"/>
      <c r="AL4672" s="284"/>
    </row>
    <row r="4673" ht="15.75" customHeight="1">
      <c r="A4673" s="394"/>
      <c r="B4673" s="395"/>
      <c r="C4673" s="395"/>
      <c r="D4673" s="396"/>
      <c r="E4673" s="397"/>
      <c r="F4673" s="395"/>
      <c r="G4673" s="395"/>
      <c r="H4673" s="397"/>
      <c r="I4673" s="395"/>
      <c r="J4673" s="395"/>
      <c r="K4673" s="397"/>
      <c r="L4673" s="395"/>
      <c r="M4673" s="395"/>
      <c r="N4673" s="395"/>
      <c r="O4673" s="397"/>
      <c r="P4673" s="395"/>
      <c r="Q4673" s="395"/>
      <c r="R4673" s="353"/>
      <c r="S4673" s="185"/>
      <c r="T4673" s="185"/>
      <c r="U4673" s="185"/>
      <c r="V4673" s="185"/>
      <c r="W4673" s="185"/>
      <c r="X4673" s="185"/>
      <c r="Y4673" s="284"/>
      <c r="Z4673" s="284"/>
      <c r="AA4673" s="284"/>
      <c r="AB4673" s="284"/>
      <c r="AC4673" s="284"/>
      <c r="AD4673" s="284"/>
      <c r="AE4673" s="284"/>
      <c r="AF4673" s="284"/>
      <c r="AG4673" s="284"/>
      <c r="AH4673" s="284"/>
      <c r="AI4673" s="284"/>
      <c r="AJ4673" s="284"/>
      <c r="AK4673" s="284"/>
      <c r="AL4673" s="284"/>
    </row>
    <row r="4674" ht="15.75" customHeight="1">
      <c r="A4674" s="394"/>
      <c r="B4674" s="395"/>
      <c r="C4674" s="395"/>
      <c r="D4674" s="396"/>
      <c r="E4674" s="397"/>
      <c r="F4674" s="395"/>
      <c r="G4674" s="395"/>
      <c r="H4674" s="397"/>
      <c r="I4674" s="395"/>
      <c r="J4674" s="395"/>
      <c r="K4674" s="397"/>
      <c r="L4674" s="395"/>
      <c r="M4674" s="395"/>
      <c r="N4674" s="395"/>
      <c r="O4674" s="397"/>
      <c r="P4674" s="395"/>
      <c r="Q4674" s="395"/>
      <c r="R4674" s="353"/>
      <c r="S4674" s="185"/>
      <c r="T4674" s="185"/>
      <c r="U4674" s="185"/>
      <c r="V4674" s="185"/>
      <c r="W4674" s="185"/>
      <c r="X4674" s="185"/>
      <c r="Y4674" s="284"/>
      <c r="Z4674" s="284"/>
      <c r="AA4674" s="284"/>
      <c r="AB4674" s="284"/>
      <c r="AC4674" s="284"/>
      <c r="AD4674" s="284"/>
      <c r="AE4674" s="284"/>
      <c r="AF4674" s="284"/>
      <c r="AG4674" s="284"/>
      <c r="AH4674" s="284"/>
      <c r="AI4674" s="284"/>
      <c r="AJ4674" s="284"/>
      <c r="AK4674" s="284"/>
      <c r="AL4674" s="284"/>
    </row>
    <row r="4675" ht="15.75" customHeight="1">
      <c r="A4675" s="394"/>
      <c r="B4675" s="395"/>
      <c r="C4675" s="395"/>
      <c r="D4675" s="396"/>
      <c r="E4675" s="397"/>
      <c r="F4675" s="395"/>
      <c r="G4675" s="395"/>
      <c r="H4675" s="397"/>
      <c r="I4675" s="395"/>
      <c r="J4675" s="395"/>
      <c r="K4675" s="397"/>
      <c r="L4675" s="395"/>
      <c r="M4675" s="395"/>
      <c r="N4675" s="395"/>
      <c r="O4675" s="397"/>
      <c r="P4675" s="395"/>
      <c r="Q4675" s="395"/>
      <c r="R4675" s="353"/>
      <c r="S4675" s="185"/>
      <c r="T4675" s="185"/>
      <c r="U4675" s="185"/>
      <c r="V4675" s="185"/>
      <c r="W4675" s="185"/>
      <c r="X4675" s="185"/>
      <c r="Y4675" s="284"/>
      <c r="Z4675" s="284"/>
      <c r="AA4675" s="284"/>
      <c r="AB4675" s="284"/>
      <c r="AC4675" s="284"/>
      <c r="AD4675" s="284"/>
      <c r="AE4675" s="284"/>
      <c r="AF4675" s="284"/>
      <c r="AG4675" s="284"/>
      <c r="AH4675" s="284"/>
      <c r="AI4675" s="284"/>
      <c r="AJ4675" s="284"/>
      <c r="AK4675" s="284"/>
      <c r="AL4675" s="284"/>
    </row>
    <row r="4676" ht="15.75" customHeight="1">
      <c r="A4676" s="394"/>
      <c r="B4676" s="395"/>
      <c r="C4676" s="395"/>
      <c r="D4676" s="396"/>
      <c r="E4676" s="397"/>
      <c r="F4676" s="395"/>
      <c r="G4676" s="395"/>
      <c r="H4676" s="397"/>
      <c r="I4676" s="395"/>
      <c r="J4676" s="395"/>
      <c r="K4676" s="397"/>
      <c r="L4676" s="395"/>
      <c r="M4676" s="395"/>
      <c r="N4676" s="395"/>
      <c r="O4676" s="397"/>
      <c r="P4676" s="395"/>
      <c r="Q4676" s="395"/>
      <c r="R4676" s="353"/>
      <c r="S4676" s="185"/>
      <c r="T4676" s="185"/>
      <c r="U4676" s="185"/>
      <c r="V4676" s="185"/>
      <c r="W4676" s="185"/>
      <c r="X4676" s="185"/>
      <c r="Y4676" s="284"/>
      <c r="Z4676" s="284"/>
      <c r="AA4676" s="284"/>
      <c r="AB4676" s="284"/>
      <c r="AC4676" s="284"/>
      <c r="AD4676" s="284"/>
      <c r="AE4676" s="284"/>
      <c r="AF4676" s="284"/>
      <c r="AG4676" s="284"/>
      <c r="AH4676" s="284"/>
      <c r="AI4676" s="284"/>
      <c r="AJ4676" s="284"/>
      <c r="AK4676" s="284"/>
      <c r="AL4676" s="284"/>
    </row>
    <row r="4677" ht="15.75" customHeight="1">
      <c r="A4677" s="394"/>
      <c r="B4677" s="395"/>
      <c r="C4677" s="395"/>
      <c r="D4677" s="396"/>
      <c r="E4677" s="397"/>
      <c r="F4677" s="395"/>
      <c r="G4677" s="395"/>
      <c r="H4677" s="397"/>
      <c r="I4677" s="395"/>
      <c r="J4677" s="395"/>
      <c r="K4677" s="397"/>
      <c r="L4677" s="395"/>
      <c r="M4677" s="395"/>
      <c r="N4677" s="395"/>
      <c r="O4677" s="397"/>
      <c r="P4677" s="395"/>
      <c r="Q4677" s="395"/>
      <c r="R4677" s="353"/>
      <c r="S4677" s="185"/>
      <c r="T4677" s="185"/>
      <c r="U4677" s="185"/>
      <c r="V4677" s="185"/>
      <c r="W4677" s="185"/>
      <c r="X4677" s="185"/>
      <c r="Y4677" s="284"/>
      <c r="Z4677" s="284"/>
      <c r="AA4677" s="284"/>
      <c r="AB4677" s="284"/>
      <c r="AC4677" s="284"/>
      <c r="AD4677" s="284"/>
      <c r="AE4677" s="284"/>
      <c r="AF4677" s="284"/>
      <c r="AG4677" s="284"/>
      <c r="AH4677" s="284"/>
      <c r="AI4677" s="284"/>
      <c r="AJ4677" s="284"/>
      <c r="AK4677" s="284"/>
      <c r="AL4677" s="284"/>
    </row>
    <row r="4678" ht="15.75" customHeight="1">
      <c r="A4678" s="394"/>
      <c r="B4678" s="395"/>
      <c r="C4678" s="395"/>
      <c r="D4678" s="396"/>
      <c r="E4678" s="397"/>
      <c r="F4678" s="395"/>
      <c r="G4678" s="395"/>
      <c r="H4678" s="397"/>
      <c r="I4678" s="395"/>
      <c r="J4678" s="395"/>
      <c r="K4678" s="397"/>
      <c r="L4678" s="395"/>
      <c r="M4678" s="395"/>
      <c r="N4678" s="395"/>
      <c r="O4678" s="397"/>
      <c r="P4678" s="395"/>
      <c r="Q4678" s="395"/>
      <c r="R4678" s="353"/>
      <c r="S4678" s="185"/>
      <c r="T4678" s="185"/>
      <c r="U4678" s="185"/>
      <c r="V4678" s="185"/>
      <c r="W4678" s="185"/>
      <c r="X4678" s="185"/>
      <c r="Y4678" s="284"/>
      <c r="Z4678" s="284"/>
      <c r="AA4678" s="284"/>
      <c r="AB4678" s="284"/>
      <c r="AC4678" s="284"/>
      <c r="AD4678" s="284"/>
      <c r="AE4678" s="284"/>
      <c r="AF4678" s="284"/>
      <c r="AG4678" s="284"/>
      <c r="AH4678" s="284"/>
      <c r="AI4678" s="284"/>
      <c r="AJ4678" s="284"/>
      <c r="AK4678" s="284"/>
      <c r="AL4678" s="284"/>
    </row>
    <row r="4679" ht="15.75" customHeight="1">
      <c r="A4679" s="394"/>
      <c r="B4679" s="395"/>
      <c r="C4679" s="395"/>
      <c r="D4679" s="396"/>
      <c r="E4679" s="397"/>
      <c r="F4679" s="395"/>
      <c r="G4679" s="395"/>
      <c r="H4679" s="397"/>
      <c r="I4679" s="395"/>
      <c r="J4679" s="395"/>
      <c r="K4679" s="397"/>
      <c r="L4679" s="395"/>
      <c r="M4679" s="395"/>
      <c r="N4679" s="395"/>
      <c r="O4679" s="397"/>
      <c r="P4679" s="395"/>
      <c r="Q4679" s="395"/>
      <c r="R4679" s="353"/>
      <c r="S4679" s="185"/>
      <c r="T4679" s="185"/>
      <c r="U4679" s="185"/>
      <c r="V4679" s="185"/>
      <c r="W4679" s="185"/>
      <c r="X4679" s="185"/>
      <c r="Y4679" s="284"/>
      <c r="Z4679" s="284"/>
      <c r="AA4679" s="284"/>
      <c r="AB4679" s="284"/>
      <c r="AC4679" s="284"/>
      <c r="AD4679" s="284"/>
      <c r="AE4679" s="284"/>
      <c r="AF4679" s="284"/>
      <c r="AG4679" s="284"/>
      <c r="AH4679" s="284"/>
      <c r="AI4679" s="284"/>
      <c r="AJ4679" s="284"/>
      <c r="AK4679" s="284"/>
      <c r="AL4679" s="284"/>
    </row>
    <row r="4680" ht="15.75" customHeight="1">
      <c r="A4680" s="394"/>
      <c r="B4680" s="395"/>
      <c r="C4680" s="395"/>
      <c r="D4680" s="396"/>
      <c r="E4680" s="397"/>
      <c r="F4680" s="395"/>
      <c r="G4680" s="395"/>
      <c r="H4680" s="397"/>
      <c r="I4680" s="395"/>
      <c r="J4680" s="395"/>
      <c r="K4680" s="397"/>
      <c r="L4680" s="395"/>
      <c r="M4680" s="395"/>
      <c r="N4680" s="395"/>
      <c r="O4680" s="397"/>
      <c r="P4680" s="395"/>
      <c r="Q4680" s="395"/>
      <c r="R4680" s="353"/>
      <c r="S4680" s="185"/>
      <c r="T4680" s="185"/>
      <c r="U4680" s="185"/>
      <c r="V4680" s="185"/>
      <c r="W4680" s="185"/>
      <c r="X4680" s="185"/>
      <c r="Y4680" s="284"/>
      <c r="Z4680" s="284"/>
      <c r="AA4680" s="284"/>
      <c r="AB4680" s="284"/>
      <c r="AC4680" s="284"/>
      <c r="AD4680" s="284"/>
      <c r="AE4680" s="284"/>
      <c r="AF4680" s="284"/>
      <c r="AG4680" s="284"/>
      <c r="AH4680" s="284"/>
      <c r="AI4680" s="284"/>
      <c r="AJ4680" s="284"/>
      <c r="AK4680" s="284"/>
      <c r="AL4680" s="284"/>
    </row>
    <row r="4681" ht="15.75" customHeight="1">
      <c r="A4681" s="394"/>
      <c r="B4681" s="395"/>
      <c r="C4681" s="395"/>
      <c r="D4681" s="396"/>
      <c r="E4681" s="397"/>
      <c r="F4681" s="395"/>
      <c r="G4681" s="395"/>
      <c r="H4681" s="397"/>
      <c r="I4681" s="395"/>
      <c r="J4681" s="395"/>
      <c r="K4681" s="397"/>
      <c r="L4681" s="395"/>
      <c r="M4681" s="395"/>
      <c r="N4681" s="395"/>
      <c r="O4681" s="397"/>
      <c r="P4681" s="395"/>
      <c r="Q4681" s="395"/>
      <c r="R4681" s="353"/>
      <c r="S4681" s="185"/>
      <c r="T4681" s="185"/>
      <c r="U4681" s="185"/>
      <c r="V4681" s="185"/>
      <c r="W4681" s="185"/>
      <c r="X4681" s="185"/>
      <c r="Y4681" s="284"/>
      <c r="Z4681" s="284"/>
      <c r="AA4681" s="284"/>
      <c r="AB4681" s="284"/>
      <c r="AC4681" s="284"/>
      <c r="AD4681" s="284"/>
      <c r="AE4681" s="284"/>
      <c r="AF4681" s="284"/>
      <c r="AG4681" s="284"/>
      <c r="AH4681" s="284"/>
      <c r="AI4681" s="284"/>
      <c r="AJ4681" s="284"/>
      <c r="AK4681" s="284"/>
      <c r="AL4681" s="284"/>
    </row>
    <row r="4682" ht="15.75" customHeight="1">
      <c r="A4682" s="394"/>
      <c r="B4682" s="395"/>
      <c r="C4682" s="395"/>
      <c r="D4682" s="396"/>
      <c r="E4682" s="397"/>
      <c r="F4682" s="395"/>
      <c r="G4682" s="395"/>
      <c r="H4682" s="397"/>
      <c r="I4682" s="395"/>
      <c r="J4682" s="395"/>
      <c r="K4682" s="397"/>
      <c r="L4682" s="395"/>
      <c r="M4682" s="395"/>
      <c r="N4682" s="395"/>
      <c r="O4682" s="397"/>
      <c r="P4682" s="395"/>
      <c r="Q4682" s="395"/>
      <c r="R4682" s="353"/>
      <c r="S4682" s="185"/>
      <c r="T4682" s="185"/>
      <c r="U4682" s="185"/>
      <c r="V4682" s="185"/>
      <c r="W4682" s="185"/>
      <c r="X4682" s="185"/>
      <c r="Y4682" s="284"/>
      <c r="Z4682" s="284"/>
      <c r="AA4682" s="284"/>
      <c r="AB4682" s="284"/>
      <c r="AC4682" s="284"/>
      <c r="AD4682" s="284"/>
      <c r="AE4682" s="284"/>
      <c r="AF4682" s="284"/>
      <c r="AG4682" s="284"/>
      <c r="AH4682" s="284"/>
      <c r="AI4682" s="284"/>
      <c r="AJ4682" s="284"/>
      <c r="AK4682" s="284"/>
      <c r="AL4682" s="284"/>
    </row>
    <row r="4683" ht="15.75" customHeight="1">
      <c r="A4683" s="394"/>
      <c r="B4683" s="395"/>
      <c r="C4683" s="395"/>
      <c r="D4683" s="396"/>
      <c r="E4683" s="397"/>
      <c r="F4683" s="395"/>
      <c r="G4683" s="395"/>
      <c r="H4683" s="397"/>
      <c r="I4683" s="395"/>
      <c r="J4683" s="395"/>
      <c r="K4683" s="397"/>
      <c r="L4683" s="395"/>
      <c r="M4683" s="395"/>
      <c r="N4683" s="395"/>
      <c r="O4683" s="397"/>
      <c r="P4683" s="395"/>
      <c r="Q4683" s="395"/>
      <c r="R4683" s="353"/>
      <c r="S4683" s="185"/>
      <c r="T4683" s="185"/>
      <c r="U4683" s="185"/>
      <c r="V4683" s="185"/>
      <c r="W4683" s="185"/>
      <c r="X4683" s="185"/>
      <c r="Y4683" s="284"/>
      <c r="Z4683" s="284"/>
      <c r="AA4683" s="284"/>
      <c r="AB4683" s="284"/>
      <c r="AC4683" s="284"/>
      <c r="AD4683" s="284"/>
      <c r="AE4683" s="284"/>
      <c r="AF4683" s="284"/>
      <c r="AG4683" s="284"/>
      <c r="AH4683" s="284"/>
      <c r="AI4683" s="284"/>
      <c r="AJ4683" s="284"/>
      <c r="AK4683" s="284"/>
      <c r="AL4683" s="284"/>
    </row>
    <row r="4684" ht="15.75" customHeight="1">
      <c r="A4684" s="394"/>
      <c r="B4684" s="395"/>
      <c r="C4684" s="395"/>
      <c r="D4684" s="396"/>
      <c r="E4684" s="397"/>
      <c r="F4684" s="395"/>
      <c r="G4684" s="395"/>
      <c r="H4684" s="397"/>
      <c r="I4684" s="395"/>
      <c r="J4684" s="395"/>
      <c r="K4684" s="397"/>
      <c r="L4684" s="395"/>
      <c r="M4684" s="395"/>
      <c r="N4684" s="395"/>
      <c r="O4684" s="397"/>
      <c r="P4684" s="395"/>
      <c r="Q4684" s="395"/>
      <c r="R4684" s="353"/>
      <c r="S4684" s="185"/>
      <c r="T4684" s="185"/>
      <c r="U4684" s="185"/>
      <c r="V4684" s="185"/>
      <c r="W4684" s="185"/>
      <c r="X4684" s="185"/>
      <c r="Y4684" s="284"/>
      <c r="Z4684" s="284"/>
      <c r="AA4684" s="284"/>
      <c r="AB4684" s="284"/>
      <c r="AC4684" s="284"/>
      <c r="AD4684" s="284"/>
      <c r="AE4684" s="284"/>
      <c r="AF4684" s="284"/>
      <c r="AG4684" s="284"/>
      <c r="AH4684" s="284"/>
      <c r="AI4684" s="284"/>
      <c r="AJ4684" s="284"/>
      <c r="AK4684" s="284"/>
      <c r="AL4684" s="284"/>
    </row>
    <row r="4685" ht="15.75" customHeight="1">
      <c r="A4685" s="394"/>
      <c r="B4685" s="395"/>
      <c r="C4685" s="395"/>
      <c r="D4685" s="396"/>
      <c r="E4685" s="397"/>
      <c r="F4685" s="395"/>
      <c r="G4685" s="395"/>
      <c r="H4685" s="397"/>
      <c r="I4685" s="395"/>
      <c r="J4685" s="395"/>
      <c r="K4685" s="397"/>
      <c r="L4685" s="395"/>
      <c r="M4685" s="395"/>
      <c r="N4685" s="395"/>
      <c r="O4685" s="397"/>
      <c r="P4685" s="395"/>
      <c r="Q4685" s="395"/>
      <c r="R4685" s="353"/>
      <c r="S4685" s="185"/>
      <c r="T4685" s="185"/>
      <c r="U4685" s="185"/>
      <c r="V4685" s="185"/>
      <c r="W4685" s="185"/>
      <c r="X4685" s="185"/>
      <c r="Y4685" s="284"/>
      <c r="Z4685" s="284"/>
      <c r="AA4685" s="284"/>
      <c r="AB4685" s="284"/>
      <c r="AC4685" s="284"/>
      <c r="AD4685" s="284"/>
      <c r="AE4685" s="284"/>
      <c r="AF4685" s="284"/>
      <c r="AG4685" s="284"/>
      <c r="AH4685" s="284"/>
      <c r="AI4685" s="284"/>
      <c r="AJ4685" s="284"/>
      <c r="AK4685" s="284"/>
      <c r="AL4685" s="284"/>
    </row>
    <row r="4686" ht="15.75" customHeight="1">
      <c r="A4686" s="394"/>
      <c r="B4686" s="395"/>
      <c r="C4686" s="395"/>
      <c r="D4686" s="396"/>
      <c r="E4686" s="397"/>
      <c r="F4686" s="395"/>
      <c r="G4686" s="395"/>
      <c r="H4686" s="397"/>
      <c r="I4686" s="395"/>
      <c r="J4686" s="395"/>
      <c r="K4686" s="397"/>
      <c r="L4686" s="395"/>
      <c r="M4686" s="395"/>
      <c r="N4686" s="395"/>
      <c r="O4686" s="397"/>
      <c r="P4686" s="395"/>
      <c r="Q4686" s="395"/>
      <c r="R4686" s="353"/>
      <c r="S4686" s="185"/>
      <c r="T4686" s="185"/>
      <c r="U4686" s="185"/>
      <c r="V4686" s="185"/>
      <c r="W4686" s="185"/>
      <c r="X4686" s="185"/>
      <c r="Y4686" s="284"/>
      <c r="Z4686" s="284"/>
      <c r="AA4686" s="284"/>
      <c r="AB4686" s="284"/>
      <c r="AC4686" s="284"/>
      <c r="AD4686" s="284"/>
      <c r="AE4686" s="284"/>
      <c r="AF4686" s="284"/>
      <c r="AG4686" s="284"/>
      <c r="AH4686" s="284"/>
      <c r="AI4686" s="284"/>
      <c r="AJ4686" s="284"/>
      <c r="AK4686" s="284"/>
      <c r="AL4686" s="284"/>
    </row>
    <row r="4687" ht="15.75" customHeight="1">
      <c r="A4687" s="394"/>
      <c r="B4687" s="395"/>
      <c r="C4687" s="395"/>
      <c r="D4687" s="396"/>
      <c r="E4687" s="397"/>
      <c r="F4687" s="395"/>
      <c r="G4687" s="395"/>
      <c r="H4687" s="397"/>
      <c r="I4687" s="395"/>
      <c r="J4687" s="395"/>
      <c r="K4687" s="397"/>
      <c r="L4687" s="395"/>
      <c r="M4687" s="395"/>
      <c r="N4687" s="395"/>
      <c r="O4687" s="397"/>
      <c r="P4687" s="395"/>
      <c r="Q4687" s="395"/>
      <c r="R4687" s="353"/>
      <c r="S4687" s="185"/>
      <c r="T4687" s="185"/>
      <c r="U4687" s="185"/>
      <c r="V4687" s="185"/>
      <c r="W4687" s="185"/>
      <c r="X4687" s="185"/>
      <c r="Y4687" s="284"/>
      <c r="Z4687" s="284"/>
      <c r="AA4687" s="284"/>
      <c r="AB4687" s="284"/>
      <c r="AC4687" s="284"/>
      <c r="AD4687" s="284"/>
      <c r="AE4687" s="284"/>
      <c r="AF4687" s="284"/>
      <c r="AG4687" s="284"/>
      <c r="AH4687" s="284"/>
      <c r="AI4687" s="284"/>
      <c r="AJ4687" s="284"/>
      <c r="AK4687" s="284"/>
      <c r="AL4687" s="284"/>
    </row>
    <row r="4688" ht="15.75" customHeight="1">
      <c r="A4688" s="394"/>
      <c r="B4688" s="395"/>
      <c r="C4688" s="395"/>
      <c r="D4688" s="396"/>
      <c r="E4688" s="397"/>
      <c r="F4688" s="395"/>
      <c r="G4688" s="395"/>
      <c r="H4688" s="397"/>
      <c r="I4688" s="395"/>
      <c r="J4688" s="395"/>
      <c r="K4688" s="397"/>
      <c r="L4688" s="395"/>
      <c r="M4688" s="395"/>
      <c r="N4688" s="395"/>
      <c r="O4688" s="397"/>
      <c r="P4688" s="395"/>
      <c r="Q4688" s="395"/>
      <c r="R4688" s="353"/>
      <c r="S4688" s="185"/>
      <c r="T4688" s="185"/>
      <c r="U4688" s="185"/>
      <c r="V4688" s="185"/>
      <c r="W4688" s="185"/>
      <c r="X4688" s="185"/>
      <c r="Y4688" s="284"/>
      <c r="Z4688" s="284"/>
      <c r="AA4688" s="284"/>
      <c r="AB4688" s="284"/>
      <c r="AC4688" s="284"/>
      <c r="AD4688" s="284"/>
      <c r="AE4688" s="284"/>
      <c r="AF4688" s="284"/>
      <c r="AG4688" s="284"/>
      <c r="AH4688" s="284"/>
      <c r="AI4688" s="284"/>
      <c r="AJ4688" s="284"/>
      <c r="AK4688" s="284"/>
      <c r="AL4688" s="284"/>
    </row>
    <row r="4689" ht="15.75" customHeight="1">
      <c r="A4689" s="394"/>
      <c r="B4689" s="395"/>
      <c r="C4689" s="395"/>
      <c r="D4689" s="396"/>
      <c r="E4689" s="397"/>
      <c r="F4689" s="395"/>
      <c r="G4689" s="395"/>
      <c r="H4689" s="397"/>
      <c r="I4689" s="395"/>
      <c r="J4689" s="395"/>
      <c r="K4689" s="397"/>
      <c r="L4689" s="395"/>
      <c r="M4689" s="395"/>
      <c r="N4689" s="395"/>
      <c r="O4689" s="397"/>
      <c r="P4689" s="395"/>
      <c r="Q4689" s="395"/>
      <c r="R4689" s="353"/>
      <c r="S4689" s="185"/>
      <c r="T4689" s="185"/>
      <c r="U4689" s="185"/>
      <c r="V4689" s="185"/>
      <c r="W4689" s="185"/>
      <c r="X4689" s="185"/>
      <c r="Y4689" s="284"/>
      <c r="Z4689" s="284"/>
      <c r="AA4689" s="284"/>
      <c r="AB4689" s="284"/>
      <c r="AC4689" s="284"/>
      <c r="AD4689" s="284"/>
      <c r="AE4689" s="284"/>
      <c r="AF4689" s="284"/>
      <c r="AG4689" s="284"/>
      <c r="AH4689" s="284"/>
      <c r="AI4689" s="284"/>
      <c r="AJ4689" s="284"/>
      <c r="AK4689" s="284"/>
      <c r="AL4689" s="284"/>
    </row>
    <row r="4690" ht="15.75" customHeight="1">
      <c r="A4690" s="394"/>
      <c r="B4690" s="395"/>
      <c r="C4690" s="395"/>
      <c r="D4690" s="396"/>
      <c r="E4690" s="397"/>
      <c r="F4690" s="395"/>
      <c r="G4690" s="395"/>
      <c r="H4690" s="397"/>
      <c r="I4690" s="395"/>
      <c r="J4690" s="395"/>
      <c r="K4690" s="397"/>
      <c r="L4690" s="395"/>
      <c r="M4690" s="395"/>
      <c r="N4690" s="395"/>
      <c r="O4690" s="397"/>
      <c r="P4690" s="395"/>
      <c r="Q4690" s="395"/>
      <c r="R4690" s="353"/>
      <c r="S4690" s="185"/>
      <c r="T4690" s="185"/>
      <c r="U4690" s="185"/>
      <c r="V4690" s="185"/>
      <c r="W4690" s="185"/>
      <c r="X4690" s="185"/>
      <c r="Y4690" s="284"/>
      <c r="Z4690" s="284"/>
      <c r="AA4690" s="284"/>
      <c r="AB4690" s="284"/>
      <c r="AC4690" s="284"/>
      <c r="AD4690" s="284"/>
      <c r="AE4690" s="284"/>
      <c r="AF4690" s="284"/>
      <c r="AG4690" s="284"/>
      <c r="AH4690" s="284"/>
      <c r="AI4690" s="284"/>
      <c r="AJ4690" s="284"/>
      <c r="AK4690" s="284"/>
      <c r="AL4690" s="284"/>
    </row>
    <row r="4691" ht="15.75" customHeight="1">
      <c r="A4691" s="394"/>
      <c r="B4691" s="395"/>
      <c r="C4691" s="395"/>
      <c r="D4691" s="396"/>
      <c r="E4691" s="397"/>
      <c r="F4691" s="395"/>
      <c r="G4691" s="395"/>
      <c r="H4691" s="397"/>
      <c r="I4691" s="395"/>
      <c r="J4691" s="395"/>
      <c r="K4691" s="397"/>
      <c r="L4691" s="395"/>
      <c r="M4691" s="395"/>
      <c r="N4691" s="395"/>
      <c r="O4691" s="397"/>
      <c r="P4691" s="395"/>
      <c r="Q4691" s="395"/>
      <c r="R4691" s="353"/>
      <c r="S4691" s="185"/>
      <c r="T4691" s="185"/>
      <c r="U4691" s="185"/>
      <c r="V4691" s="185"/>
      <c r="W4691" s="185"/>
      <c r="X4691" s="185"/>
      <c r="Y4691" s="284"/>
      <c r="Z4691" s="284"/>
      <c r="AA4691" s="284"/>
      <c r="AB4691" s="284"/>
      <c r="AC4691" s="284"/>
      <c r="AD4691" s="284"/>
      <c r="AE4691" s="284"/>
      <c r="AF4691" s="284"/>
      <c r="AG4691" s="284"/>
      <c r="AH4691" s="284"/>
      <c r="AI4691" s="284"/>
      <c r="AJ4691" s="284"/>
      <c r="AK4691" s="284"/>
      <c r="AL4691" s="284"/>
    </row>
    <row r="4692" ht="15.75" customHeight="1">
      <c r="A4692" s="394"/>
      <c r="B4692" s="395"/>
      <c r="C4692" s="395"/>
      <c r="D4692" s="396"/>
      <c r="E4692" s="397"/>
      <c r="F4692" s="395"/>
      <c r="G4692" s="395"/>
      <c r="H4692" s="397"/>
      <c r="I4692" s="395"/>
      <c r="J4692" s="395"/>
      <c r="K4692" s="397"/>
      <c r="L4692" s="395"/>
      <c r="M4692" s="395"/>
      <c r="N4692" s="395"/>
      <c r="O4692" s="397"/>
      <c r="P4692" s="395"/>
      <c r="Q4692" s="395"/>
      <c r="R4692" s="353"/>
      <c r="S4692" s="185"/>
      <c r="T4692" s="185"/>
      <c r="U4692" s="185"/>
      <c r="V4692" s="185"/>
      <c r="W4692" s="185"/>
      <c r="X4692" s="185"/>
      <c r="Y4692" s="284"/>
      <c r="Z4692" s="284"/>
      <c r="AA4692" s="284"/>
      <c r="AB4692" s="284"/>
      <c r="AC4692" s="284"/>
      <c r="AD4692" s="284"/>
      <c r="AE4692" s="284"/>
      <c r="AF4692" s="284"/>
      <c r="AG4692" s="284"/>
      <c r="AH4692" s="284"/>
      <c r="AI4692" s="284"/>
      <c r="AJ4692" s="284"/>
      <c r="AK4692" s="284"/>
      <c r="AL4692" s="284"/>
    </row>
    <row r="4693" ht="15.75" customHeight="1">
      <c r="A4693" s="394"/>
      <c r="B4693" s="395"/>
      <c r="C4693" s="395"/>
      <c r="D4693" s="396"/>
      <c r="E4693" s="397"/>
      <c r="F4693" s="395"/>
      <c r="G4693" s="395"/>
      <c r="H4693" s="397"/>
      <c r="I4693" s="395"/>
      <c r="J4693" s="395"/>
      <c r="K4693" s="397"/>
      <c r="L4693" s="395"/>
      <c r="M4693" s="395"/>
      <c r="N4693" s="395"/>
      <c r="O4693" s="397"/>
      <c r="P4693" s="395"/>
      <c r="Q4693" s="395"/>
      <c r="R4693" s="353"/>
      <c r="S4693" s="185"/>
      <c r="T4693" s="185"/>
      <c r="U4693" s="185"/>
      <c r="V4693" s="185"/>
      <c r="W4693" s="185"/>
      <c r="X4693" s="185"/>
      <c r="Y4693" s="284"/>
      <c r="Z4693" s="284"/>
      <c r="AA4693" s="284"/>
      <c r="AB4693" s="284"/>
      <c r="AC4693" s="284"/>
      <c r="AD4693" s="284"/>
      <c r="AE4693" s="284"/>
      <c r="AF4693" s="284"/>
      <c r="AG4693" s="284"/>
      <c r="AH4693" s="284"/>
      <c r="AI4693" s="284"/>
      <c r="AJ4693" s="284"/>
      <c r="AK4693" s="284"/>
      <c r="AL4693" s="284"/>
    </row>
    <row r="4694" ht="15.75" customHeight="1">
      <c r="A4694" s="394"/>
      <c r="B4694" s="395"/>
      <c r="C4694" s="395"/>
      <c r="D4694" s="396"/>
      <c r="E4694" s="397"/>
      <c r="F4694" s="395"/>
      <c r="G4694" s="395"/>
      <c r="H4694" s="397"/>
      <c r="I4694" s="395"/>
      <c r="J4694" s="395"/>
      <c r="K4694" s="397"/>
      <c r="L4694" s="395"/>
      <c r="M4694" s="395"/>
      <c r="N4694" s="395"/>
      <c r="O4694" s="397"/>
      <c r="P4694" s="395"/>
      <c r="Q4694" s="395"/>
      <c r="R4694" s="353"/>
      <c r="S4694" s="185"/>
      <c r="T4694" s="185"/>
      <c r="U4694" s="185"/>
      <c r="V4694" s="185"/>
      <c r="W4694" s="185"/>
      <c r="X4694" s="185"/>
      <c r="Y4694" s="284"/>
      <c r="Z4694" s="284"/>
      <c r="AA4694" s="284"/>
      <c r="AB4694" s="284"/>
      <c r="AC4694" s="284"/>
      <c r="AD4694" s="284"/>
      <c r="AE4694" s="284"/>
      <c r="AF4694" s="284"/>
      <c r="AG4694" s="284"/>
      <c r="AH4694" s="284"/>
      <c r="AI4694" s="284"/>
      <c r="AJ4694" s="284"/>
      <c r="AK4694" s="284"/>
      <c r="AL4694" s="284"/>
    </row>
    <row r="4695" ht="15.75" customHeight="1">
      <c r="A4695" s="394"/>
      <c r="B4695" s="395"/>
      <c r="C4695" s="395"/>
      <c r="D4695" s="396"/>
      <c r="E4695" s="397"/>
      <c r="F4695" s="395"/>
      <c r="G4695" s="395"/>
      <c r="H4695" s="397"/>
      <c r="I4695" s="395"/>
      <c r="J4695" s="395"/>
      <c r="K4695" s="397"/>
      <c r="L4695" s="395"/>
      <c r="M4695" s="395"/>
      <c r="N4695" s="395"/>
      <c r="O4695" s="397"/>
      <c r="P4695" s="395"/>
      <c r="Q4695" s="395"/>
      <c r="R4695" s="353"/>
      <c r="S4695" s="185"/>
      <c r="T4695" s="185"/>
      <c r="U4695" s="185"/>
      <c r="V4695" s="185"/>
      <c r="W4695" s="185"/>
      <c r="X4695" s="185"/>
      <c r="Y4695" s="284"/>
      <c r="Z4695" s="284"/>
      <c r="AA4695" s="284"/>
      <c r="AB4695" s="284"/>
      <c r="AC4695" s="284"/>
      <c r="AD4695" s="284"/>
      <c r="AE4695" s="284"/>
      <c r="AF4695" s="284"/>
      <c r="AG4695" s="284"/>
      <c r="AH4695" s="284"/>
      <c r="AI4695" s="284"/>
      <c r="AJ4695" s="284"/>
      <c r="AK4695" s="284"/>
      <c r="AL4695" s="284"/>
    </row>
    <row r="4696" ht="15.75" customHeight="1">
      <c r="A4696" s="394"/>
      <c r="B4696" s="395"/>
      <c r="C4696" s="395"/>
      <c r="D4696" s="396"/>
      <c r="E4696" s="397"/>
      <c r="F4696" s="395"/>
      <c r="G4696" s="395"/>
      <c r="H4696" s="397"/>
      <c r="I4696" s="395"/>
      <c r="J4696" s="395"/>
      <c r="K4696" s="397"/>
      <c r="L4696" s="395"/>
      <c r="M4696" s="395"/>
      <c r="N4696" s="395"/>
      <c r="O4696" s="397"/>
      <c r="P4696" s="395"/>
      <c r="Q4696" s="395"/>
      <c r="R4696" s="353"/>
      <c r="S4696" s="185"/>
      <c r="T4696" s="185"/>
      <c r="U4696" s="185"/>
      <c r="V4696" s="185"/>
      <c r="W4696" s="185"/>
      <c r="X4696" s="185"/>
      <c r="Y4696" s="284"/>
      <c r="Z4696" s="284"/>
      <c r="AA4696" s="284"/>
      <c r="AB4696" s="284"/>
      <c r="AC4696" s="284"/>
      <c r="AD4696" s="284"/>
      <c r="AE4696" s="284"/>
      <c r="AF4696" s="284"/>
      <c r="AG4696" s="284"/>
      <c r="AH4696" s="284"/>
      <c r="AI4696" s="284"/>
      <c r="AJ4696" s="284"/>
      <c r="AK4696" s="284"/>
      <c r="AL4696" s="284"/>
    </row>
    <row r="4697" ht="15.75" customHeight="1">
      <c r="A4697" s="394"/>
      <c r="B4697" s="395"/>
      <c r="C4697" s="395"/>
      <c r="D4697" s="396"/>
      <c r="E4697" s="397"/>
      <c r="F4697" s="395"/>
      <c r="G4697" s="395"/>
      <c r="H4697" s="397"/>
      <c r="I4697" s="395"/>
      <c r="J4697" s="395"/>
      <c r="K4697" s="397"/>
      <c r="L4697" s="395"/>
      <c r="M4697" s="395"/>
      <c r="N4697" s="395"/>
      <c r="O4697" s="397"/>
      <c r="P4697" s="395"/>
      <c r="Q4697" s="395"/>
      <c r="R4697" s="353"/>
      <c r="S4697" s="185"/>
      <c r="T4697" s="185"/>
      <c r="U4697" s="185"/>
      <c r="V4697" s="185"/>
      <c r="W4697" s="185"/>
      <c r="X4697" s="185"/>
      <c r="Y4697" s="284"/>
      <c r="Z4697" s="284"/>
      <c r="AA4697" s="284"/>
      <c r="AB4697" s="284"/>
      <c r="AC4697" s="284"/>
      <c r="AD4697" s="284"/>
      <c r="AE4697" s="284"/>
      <c r="AF4697" s="284"/>
      <c r="AG4697" s="284"/>
      <c r="AH4697" s="284"/>
      <c r="AI4697" s="284"/>
      <c r="AJ4697" s="284"/>
      <c r="AK4697" s="284"/>
      <c r="AL4697" s="284"/>
    </row>
    <row r="4698" ht="15.75" customHeight="1">
      <c r="A4698" s="394"/>
      <c r="B4698" s="395"/>
      <c r="C4698" s="395"/>
      <c r="D4698" s="396"/>
      <c r="E4698" s="397"/>
      <c r="F4698" s="395"/>
      <c r="G4698" s="395"/>
      <c r="H4698" s="397"/>
      <c r="I4698" s="395"/>
      <c r="J4698" s="395"/>
      <c r="K4698" s="397"/>
      <c r="L4698" s="395"/>
      <c r="M4698" s="395"/>
      <c r="N4698" s="395"/>
      <c r="O4698" s="397"/>
      <c r="P4698" s="395"/>
      <c r="Q4698" s="395"/>
      <c r="R4698" s="353"/>
      <c r="S4698" s="185"/>
      <c r="T4698" s="185"/>
      <c r="U4698" s="185"/>
      <c r="V4698" s="185"/>
      <c r="W4698" s="185"/>
      <c r="X4698" s="185"/>
      <c r="Y4698" s="284"/>
      <c r="Z4698" s="284"/>
      <c r="AA4698" s="284"/>
      <c r="AB4698" s="284"/>
      <c r="AC4698" s="284"/>
      <c r="AD4698" s="284"/>
      <c r="AE4698" s="284"/>
      <c r="AF4698" s="284"/>
      <c r="AG4698" s="284"/>
      <c r="AH4698" s="284"/>
      <c r="AI4698" s="284"/>
      <c r="AJ4698" s="284"/>
      <c r="AK4698" s="284"/>
      <c r="AL4698" s="284"/>
    </row>
    <row r="4699" ht="15.75" customHeight="1">
      <c r="A4699" s="394"/>
      <c r="B4699" s="395"/>
      <c r="C4699" s="395"/>
      <c r="D4699" s="396"/>
      <c r="E4699" s="397"/>
      <c r="F4699" s="395"/>
      <c r="G4699" s="395"/>
      <c r="H4699" s="397"/>
      <c r="I4699" s="395"/>
      <c r="J4699" s="395"/>
      <c r="K4699" s="397"/>
      <c r="L4699" s="395"/>
      <c r="M4699" s="395"/>
      <c r="N4699" s="395"/>
      <c r="O4699" s="397"/>
      <c r="P4699" s="395"/>
      <c r="Q4699" s="395"/>
      <c r="R4699" s="353"/>
      <c r="S4699" s="185"/>
      <c r="T4699" s="185"/>
      <c r="U4699" s="185"/>
      <c r="V4699" s="185"/>
      <c r="W4699" s="185"/>
      <c r="X4699" s="185"/>
      <c r="Y4699" s="284"/>
      <c r="Z4699" s="284"/>
      <c r="AA4699" s="284"/>
      <c r="AB4699" s="284"/>
      <c r="AC4699" s="284"/>
      <c r="AD4699" s="284"/>
      <c r="AE4699" s="284"/>
      <c r="AF4699" s="284"/>
      <c r="AG4699" s="284"/>
      <c r="AH4699" s="284"/>
      <c r="AI4699" s="284"/>
      <c r="AJ4699" s="284"/>
      <c r="AK4699" s="284"/>
      <c r="AL4699" s="284"/>
    </row>
    <row r="4700" ht="15.75" customHeight="1">
      <c r="A4700" s="394"/>
      <c r="B4700" s="395"/>
      <c r="C4700" s="395"/>
      <c r="D4700" s="396"/>
      <c r="E4700" s="397"/>
      <c r="F4700" s="395"/>
      <c r="G4700" s="395"/>
      <c r="H4700" s="397"/>
      <c r="I4700" s="395"/>
      <c r="J4700" s="395"/>
      <c r="K4700" s="397"/>
      <c r="L4700" s="395"/>
      <c r="M4700" s="395"/>
      <c r="N4700" s="395"/>
      <c r="O4700" s="397"/>
      <c r="P4700" s="395"/>
      <c r="Q4700" s="395"/>
      <c r="R4700" s="353"/>
      <c r="S4700" s="185"/>
      <c r="T4700" s="185"/>
      <c r="U4700" s="185"/>
      <c r="V4700" s="185"/>
      <c r="W4700" s="185"/>
      <c r="X4700" s="185"/>
      <c r="Y4700" s="284"/>
      <c r="Z4700" s="284"/>
      <c r="AA4700" s="284"/>
      <c r="AB4700" s="284"/>
      <c r="AC4700" s="284"/>
      <c r="AD4700" s="284"/>
      <c r="AE4700" s="284"/>
      <c r="AF4700" s="284"/>
      <c r="AG4700" s="284"/>
      <c r="AH4700" s="284"/>
      <c r="AI4700" s="284"/>
      <c r="AJ4700" s="284"/>
      <c r="AK4700" s="284"/>
      <c r="AL4700" s="284"/>
    </row>
    <row r="4701" ht="15.75" customHeight="1">
      <c r="A4701" s="394"/>
      <c r="B4701" s="395"/>
      <c r="C4701" s="395"/>
      <c r="D4701" s="396"/>
      <c r="E4701" s="397"/>
      <c r="F4701" s="395"/>
      <c r="G4701" s="395"/>
      <c r="H4701" s="397"/>
      <c r="I4701" s="395"/>
      <c r="J4701" s="395"/>
      <c r="K4701" s="397"/>
      <c r="L4701" s="395"/>
      <c r="M4701" s="395"/>
      <c r="N4701" s="395"/>
      <c r="O4701" s="397"/>
      <c r="P4701" s="395"/>
      <c r="Q4701" s="395"/>
      <c r="R4701" s="353"/>
      <c r="S4701" s="185"/>
      <c r="T4701" s="185"/>
      <c r="U4701" s="185"/>
      <c r="V4701" s="185"/>
      <c r="W4701" s="185"/>
      <c r="X4701" s="185"/>
      <c r="Y4701" s="284"/>
      <c r="Z4701" s="284"/>
      <c r="AA4701" s="284"/>
      <c r="AB4701" s="284"/>
      <c r="AC4701" s="284"/>
      <c r="AD4701" s="284"/>
      <c r="AE4701" s="284"/>
      <c r="AF4701" s="284"/>
      <c r="AG4701" s="284"/>
      <c r="AH4701" s="284"/>
      <c r="AI4701" s="284"/>
      <c r="AJ4701" s="284"/>
      <c r="AK4701" s="284"/>
      <c r="AL4701" s="284"/>
    </row>
    <row r="4702" ht="15.75" customHeight="1">
      <c r="A4702" s="394"/>
      <c r="B4702" s="395"/>
      <c r="C4702" s="395"/>
      <c r="D4702" s="396"/>
      <c r="E4702" s="397"/>
      <c r="F4702" s="395"/>
      <c r="G4702" s="395"/>
      <c r="H4702" s="397"/>
      <c r="I4702" s="395"/>
      <c r="J4702" s="395"/>
      <c r="K4702" s="397"/>
      <c r="L4702" s="395"/>
      <c r="M4702" s="395"/>
      <c r="N4702" s="395"/>
      <c r="O4702" s="397"/>
      <c r="P4702" s="395"/>
      <c r="Q4702" s="395"/>
      <c r="R4702" s="353"/>
      <c r="S4702" s="185"/>
      <c r="T4702" s="185"/>
      <c r="U4702" s="185"/>
      <c r="V4702" s="185"/>
      <c r="W4702" s="185"/>
      <c r="X4702" s="185"/>
      <c r="Y4702" s="284"/>
      <c r="Z4702" s="284"/>
      <c r="AA4702" s="284"/>
      <c r="AB4702" s="284"/>
      <c r="AC4702" s="284"/>
      <c r="AD4702" s="284"/>
      <c r="AE4702" s="284"/>
      <c r="AF4702" s="284"/>
      <c r="AG4702" s="284"/>
      <c r="AH4702" s="284"/>
      <c r="AI4702" s="284"/>
      <c r="AJ4702" s="284"/>
      <c r="AK4702" s="284"/>
      <c r="AL4702" s="284"/>
    </row>
    <row r="4703" ht="15.75" customHeight="1">
      <c r="A4703" s="394"/>
      <c r="B4703" s="395"/>
      <c r="C4703" s="395"/>
      <c r="D4703" s="396"/>
      <c r="E4703" s="397"/>
      <c r="F4703" s="395"/>
      <c r="G4703" s="395"/>
      <c r="H4703" s="397"/>
      <c r="I4703" s="395"/>
      <c r="J4703" s="395"/>
      <c r="K4703" s="397"/>
      <c r="L4703" s="395"/>
      <c r="M4703" s="395"/>
      <c r="N4703" s="395"/>
      <c r="O4703" s="397"/>
      <c r="P4703" s="395"/>
      <c r="Q4703" s="395"/>
      <c r="R4703" s="353"/>
      <c r="S4703" s="185"/>
      <c r="T4703" s="185"/>
      <c r="U4703" s="185"/>
      <c r="V4703" s="185"/>
      <c r="W4703" s="185"/>
      <c r="X4703" s="185"/>
      <c r="Y4703" s="284"/>
      <c r="Z4703" s="284"/>
      <c r="AA4703" s="284"/>
      <c r="AB4703" s="284"/>
      <c r="AC4703" s="284"/>
      <c r="AD4703" s="284"/>
      <c r="AE4703" s="284"/>
      <c r="AF4703" s="284"/>
      <c r="AG4703" s="284"/>
      <c r="AH4703" s="284"/>
      <c r="AI4703" s="284"/>
      <c r="AJ4703" s="284"/>
      <c r="AK4703" s="284"/>
      <c r="AL4703" s="284"/>
    </row>
    <row r="4704" ht="15.75" customHeight="1">
      <c r="A4704" s="394"/>
      <c r="B4704" s="395"/>
      <c r="C4704" s="395"/>
      <c r="D4704" s="396"/>
      <c r="E4704" s="397"/>
      <c r="F4704" s="395"/>
      <c r="G4704" s="395"/>
      <c r="H4704" s="397"/>
      <c r="I4704" s="395"/>
      <c r="J4704" s="395"/>
      <c r="K4704" s="397"/>
      <c r="L4704" s="395"/>
      <c r="M4704" s="395"/>
      <c r="N4704" s="395"/>
      <c r="O4704" s="397"/>
      <c r="P4704" s="395"/>
      <c r="Q4704" s="395"/>
      <c r="R4704" s="353"/>
      <c r="S4704" s="185"/>
      <c r="T4704" s="185"/>
      <c r="U4704" s="185"/>
      <c r="V4704" s="185"/>
      <c r="W4704" s="185"/>
      <c r="X4704" s="185"/>
      <c r="Y4704" s="284"/>
      <c r="Z4704" s="284"/>
      <c r="AA4704" s="284"/>
      <c r="AB4704" s="284"/>
      <c r="AC4704" s="284"/>
      <c r="AD4704" s="284"/>
      <c r="AE4704" s="284"/>
      <c r="AF4704" s="284"/>
      <c r="AG4704" s="284"/>
      <c r="AH4704" s="284"/>
      <c r="AI4704" s="284"/>
      <c r="AJ4704" s="284"/>
      <c r="AK4704" s="284"/>
      <c r="AL4704" s="284"/>
    </row>
    <row r="4705" ht="15.75" customHeight="1">
      <c r="A4705" s="394"/>
      <c r="B4705" s="395"/>
      <c r="C4705" s="395"/>
      <c r="D4705" s="396"/>
      <c r="E4705" s="397"/>
      <c r="F4705" s="395"/>
      <c r="G4705" s="395"/>
      <c r="H4705" s="397"/>
      <c r="I4705" s="395"/>
      <c r="J4705" s="395"/>
      <c r="K4705" s="397"/>
      <c r="L4705" s="395"/>
      <c r="M4705" s="395"/>
      <c r="N4705" s="395"/>
      <c r="O4705" s="397"/>
      <c r="P4705" s="395"/>
      <c r="Q4705" s="395"/>
      <c r="R4705" s="353"/>
      <c r="S4705" s="185"/>
      <c r="T4705" s="185"/>
      <c r="U4705" s="185"/>
      <c r="V4705" s="185"/>
      <c r="W4705" s="185"/>
      <c r="X4705" s="185"/>
      <c r="Y4705" s="284"/>
      <c r="Z4705" s="284"/>
      <c r="AA4705" s="284"/>
      <c r="AB4705" s="284"/>
      <c r="AC4705" s="284"/>
      <c r="AD4705" s="284"/>
      <c r="AE4705" s="284"/>
      <c r="AF4705" s="284"/>
      <c r="AG4705" s="284"/>
      <c r="AH4705" s="284"/>
      <c r="AI4705" s="284"/>
      <c r="AJ4705" s="284"/>
      <c r="AK4705" s="284"/>
      <c r="AL4705" s="284"/>
    </row>
    <row r="4706" ht="15.75" customHeight="1">
      <c r="A4706" s="394"/>
      <c r="B4706" s="395"/>
      <c r="C4706" s="395"/>
      <c r="D4706" s="396"/>
      <c r="E4706" s="397"/>
      <c r="F4706" s="395"/>
      <c r="G4706" s="395"/>
      <c r="H4706" s="397"/>
      <c r="I4706" s="395"/>
      <c r="J4706" s="395"/>
      <c r="K4706" s="397"/>
      <c r="L4706" s="395"/>
      <c r="M4706" s="395"/>
      <c r="N4706" s="395"/>
      <c r="O4706" s="397"/>
      <c r="P4706" s="395"/>
      <c r="Q4706" s="395"/>
      <c r="R4706" s="353"/>
      <c r="S4706" s="185"/>
      <c r="T4706" s="185"/>
      <c r="U4706" s="185"/>
      <c r="V4706" s="185"/>
      <c r="W4706" s="185"/>
      <c r="X4706" s="185"/>
      <c r="Y4706" s="284"/>
      <c r="Z4706" s="284"/>
      <c r="AA4706" s="284"/>
      <c r="AB4706" s="284"/>
      <c r="AC4706" s="284"/>
      <c r="AD4706" s="284"/>
      <c r="AE4706" s="284"/>
      <c r="AF4706" s="284"/>
      <c r="AG4706" s="284"/>
      <c r="AH4706" s="284"/>
      <c r="AI4706" s="284"/>
      <c r="AJ4706" s="284"/>
      <c r="AK4706" s="284"/>
      <c r="AL4706" s="284"/>
    </row>
    <row r="4707" ht="15.75" customHeight="1">
      <c r="A4707" s="394"/>
      <c r="B4707" s="395"/>
      <c r="C4707" s="395"/>
      <c r="D4707" s="396"/>
      <c r="E4707" s="397"/>
      <c r="F4707" s="395"/>
      <c r="G4707" s="395"/>
      <c r="H4707" s="397"/>
      <c r="I4707" s="395"/>
      <c r="J4707" s="395"/>
      <c r="K4707" s="397"/>
      <c r="L4707" s="395"/>
      <c r="M4707" s="395"/>
      <c r="N4707" s="395"/>
      <c r="O4707" s="397"/>
      <c r="P4707" s="395"/>
      <c r="Q4707" s="395"/>
      <c r="R4707" s="353"/>
      <c r="S4707" s="185"/>
      <c r="T4707" s="185"/>
      <c r="U4707" s="185"/>
      <c r="V4707" s="185"/>
      <c r="W4707" s="185"/>
      <c r="X4707" s="185"/>
      <c r="Y4707" s="284"/>
      <c r="Z4707" s="284"/>
      <c r="AA4707" s="284"/>
      <c r="AB4707" s="284"/>
      <c r="AC4707" s="284"/>
      <c r="AD4707" s="284"/>
      <c r="AE4707" s="284"/>
      <c r="AF4707" s="284"/>
      <c r="AG4707" s="284"/>
      <c r="AH4707" s="284"/>
      <c r="AI4707" s="284"/>
      <c r="AJ4707" s="284"/>
      <c r="AK4707" s="284"/>
      <c r="AL4707" s="284"/>
    </row>
    <row r="4708" ht="15.75" customHeight="1">
      <c r="A4708" s="394"/>
      <c r="B4708" s="395"/>
      <c r="C4708" s="395"/>
      <c r="D4708" s="396"/>
      <c r="E4708" s="397"/>
      <c r="F4708" s="395"/>
      <c r="G4708" s="395"/>
      <c r="H4708" s="397"/>
      <c r="I4708" s="395"/>
      <c r="J4708" s="395"/>
      <c r="K4708" s="397"/>
      <c r="L4708" s="395"/>
      <c r="M4708" s="395"/>
      <c r="N4708" s="395"/>
      <c r="O4708" s="397"/>
      <c r="P4708" s="395"/>
      <c r="Q4708" s="395"/>
      <c r="R4708" s="353"/>
      <c r="S4708" s="185"/>
      <c r="T4708" s="185"/>
      <c r="U4708" s="185"/>
      <c r="V4708" s="185"/>
      <c r="W4708" s="185"/>
      <c r="X4708" s="185"/>
      <c r="Y4708" s="284"/>
      <c r="Z4708" s="284"/>
      <c r="AA4708" s="284"/>
      <c r="AB4708" s="284"/>
      <c r="AC4708" s="284"/>
      <c r="AD4708" s="284"/>
      <c r="AE4708" s="284"/>
      <c r="AF4708" s="284"/>
      <c r="AG4708" s="284"/>
      <c r="AH4708" s="284"/>
      <c r="AI4708" s="284"/>
      <c r="AJ4708" s="284"/>
      <c r="AK4708" s="284"/>
      <c r="AL4708" s="284"/>
    </row>
    <row r="4709" ht="15.75" customHeight="1">
      <c r="A4709" s="394"/>
      <c r="B4709" s="395"/>
      <c r="C4709" s="395"/>
      <c r="D4709" s="396"/>
      <c r="E4709" s="397"/>
      <c r="F4709" s="395"/>
      <c r="G4709" s="395"/>
      <c r="H4709" s="397"/>
      <c r="I4709" s="395"/>
      <c r="J4709" s="395"/>
      <c r="K4709" s="397"/>
      <c r="L4709" s="395"/>
      <c r="M4709" s="395"/>
      <c r="N4709" s="395"/>
      <c r="O4709" s="397"/>
      <c r="P4709" s="395"/>
      <c r="Q4709" s="395"/>
      <c r="R4709" s="353"/>
      <c r="S4709" s="185"/>
      <c r="T4709" s="185"/>
      <c r="U4709" s="185"/>
      <c r="V4709" s="185"/>
      <c r="W4709" s="185"/>
      <c r="X4709" s="185"/>
      <c r="Y4709" s="284"/>
      <c r="Z4709" s="284"/>
      <c r="AA4709" s="284"/>
      <c r="AB4709" s="284"/>
      <c r="AC4709" s="284"/>
      <c r="AD4709" s="284"/>
      <c r="AE4709" s="284"/>
      <c r="AF4709" s="284"/>
      <c r="AG4709" s="284"/>
      <c r="AH4709" s="284"/>
      <c r="AI4709" s="284"/>
      <c r="AJ4709" s="284"/>
      <c r="AK4709" s="284"/>
      <c r="AL4709" s="284"/>
    </row>
    <row r="4710" ht="15.75" customHeight="1">
      <c r="A4710" s="394"/>
      <c r="B4710" s="395"/>
      <c r="C4710" s="395"/>
      <c r="D4710" s="396"/>
      <c r="E4710" s="397"/>
      <c r="F4710" s="395"/>
      <c r="G4710" s="395"/>
      <c r="H4710" s="397"/>
      <c r="I4710" s="395"/>
      <c r="J4710" s="395"/>
      <c r="K4710" s="397"/>
      <c r="L4710" s="395"/>
      <c r="M4710" s="395"/>
      <c r="N4710" s="395"/>
      <c r="O4710" s="397"/>
      <c r="P4710" s="395"/>
      <c r="Q4710" s="395"/>
      <c r="R4710" s="353"/>
      <c r="S4710" s="185"/>
      <c r="T4710" s="185"/>
      <c r="U4710" s="185"/>
      <c r="V4710" s="185"/>
      <c r="W4710" s="185"/>
      <c r="X4710" s="185"/>
      <c r="Y4710" s="284"/>
      <c r="Z4710" s="284"/>
      <c r="AA4710" s="284"/>
      <c r="AB4710" s="284"/>
      <c r="AC4710" s="284"/>
      <c r="AD4710" s="284"/>
      <c r="AE4710" s="284"/>
      <c r="AF4710" s="284"/>
      <c r="AG4710" s="284"/>
      <c r="AH4710" s="284"/>
      <c r="AI4710" s="284"/>
      <c r="AJ4710" s="284"/>
      <c r="AK4710" s="284"/>
      <c r="AL4710" s="284"/>
    </row>
    <row r="4711" ht="15.75" customHeight="1">
      <c r="A4711" s="394"/>
      <c r="B4711" s="395"/>
      <c r="C4711" s="395"/>
      <c r="D4711" s="396"/>
      <c r="E4711" s="397"/>
      <c r="F4711" s="395"/>
      <c r="G4711" s="395"/>
      <c r="H4711" s="397"/>
      <c r="I4711" s="395"/>
      <c r="J4711" s="395"/>
      <c r="K4711" s="397"/>
      <c r="L4711" s="395"/>
      <c r="M4711" s="395"/>
      <c r="N4711" s="395"/>
      <c r="O4711" s="397"/>
      <c r="P4711" s="395"/>
      <c r="Q4711" s="395"/>
      <c r="R4711" s="353"/>
      <c r="S4711" s="185"/>
      <c r="T4711" s="185"/>
      <c r="U4711" s="185"/>
      <c r="V4711" s="185"/>
      <c r="W4711" s="185"/>
      <c r="X4711" s="185"/>
      <c r="Y4711" s="284"/>
      <c r="Z4711" s="284"/>
      <c r="AA4711" s="284"/>
      <c r="AB4711" s="284"/>
      <c r="AC4711" s="284"/>
      <c r="AD4711" s="284"/>
      <c r="AE4711" s="284"/>
      <c r="AF4711" s="284"/>
      <c r="AG4711" s="284"/>
      <c r="AH4711" s="284"/>
      <c r="AI4711" s="284"/>
      <c r="AJ4711" s="284"/>
      <c r="AK4711" s="284"/>
      <c r="AL4711" s="284"/>
    </row>
    <row r="4712" ht="15.75" customHeight="1">
      <c r="A4712" s="394"/>
      <c r="B4712" s="395"/>
      <c r="C4712" s="395"/>
      <c r="D4712" s="396"/>
      <c r="E4712" s="397"/>
      <c r="F4712" s="395"/>
      <c r="G4712" s="395"/>
      <c r="H4712" s="397"/>
      <c r="I4712" s="395"/>
      <c r="J4712" s="395"/>
      <c r="K4712" s="397"/>
      <c r="L4712" s="395"/>
      <c r="M4712" s="395"/>
      <c r="N4712" s="395"/>
      <c r="O4712" s="397"/>
      <c r="P4712" s="395"/>
      <c r="Q4712" s="395"/>
      <c r="R4712" s="353"/>
      <c r="S4712" s="185"/>
      <c r="T4712" s="185"/>
      <c r="U4712" s="185"/>
      <c r="V4712" s="185"/>
      <c r="W4712" s="185"/>
      <c r="X4712" s="185"/>
      <c r="Y4712" s="284"/>
      <c r="Z4712" s="284"/>
      <c r="AA4712" s="284"/>
      <c r="AB4712" s="284"/>
      <c r="AC4712" s="284"/>
      <c r="AD4712" s="284"/>
      <c r="AE4712" s="284"/>
      <c r="AF4712" s="284"/>
      <c r="AG4712" s="284"/>
      <c r="AH4712" s="284"/>
      <c r="AI4712" s="284"/>
      <c r="AJ4712" s="284"/>
      <c r="AK4712" s="284"/>
      <c r="AL4712" s="284"/>
    </row>
    <row r="4713" ht="15.75" customHeight="1">
      <c r="A4713" s="394"/>
      <c r="B4713" s="395"/>
      <c r="C4713" s="395"/>
      <c r="D4713" s="396"/>
      <c r="E4713" s="397"/>
      <c r="F4713" s="395"/>
      <c r="G4713" s="395"/>
      <c r="H4713" s="397"/>
      <c r="I4713" s="395"/>
      <c r="J4713" s="395"/>
      <c r="K4713" s="397"/>
      <c r="L4713" s="395"/>
      <c r="M4713" s="395"/>
      <c r="N4713" s="395"/>
      <c r="O4713" s="397"/>
      <c r="P4713" s="395"/>
      <c r="Q4713" s="395"/>
      <c r="R4713" s="353"/>
      <c r="S4713" s="185"/>
      <c r="T4713" s="185"/>
      <c r="U4713" s="185"/>
      <c r="V4713" s="185"/>
      <c r="W4713" s="185"/>
      <c r="X4713" s="185"/>
      <c r="Y4713" s="284"/>
      <c r="Z4713" s="284"/>
      <c r="AA4713" s="284"/>
      <c r="AB4713" s="284"/>
      <c r="AC4713" s="284"/>
      <c r="AD4713" s="284"/>
      <c r="AE4713" s="284"/>
      <c r="AF4713" s="284"/>
      <c r="AG4713" s="284"/>
      <c r="AH4713" s="284"/>
      <c r="AI4713" s="284"/>
      <c r="AJ4713" s="284"/>
      <c r="AK4713" s="284"/>
      <c r="AL4713" s="284"/>
    </row>
    <row r="4714" ht="15.75" customHeight="1">
      <c r="A4714" s="394"/>
      <c r="B4714" s="395"/>
      <c r="C4714" s="395"/>
      <c r="D4714" s="396"/>
      <c r="E4714" s="397"/>
      <c r="F4714" s="395"/>
      <c r="G4714" s="395"/>
      <c r="H4714" s="397"/>
      <c r="I4714" s="395"/>
      <c r="J4714" s="395"/>
      <c r="K4714" s="397"/>
      <c r="L4714" s="395"/>
      <c r="M4714" s="395"/>
      <c r="N4714" s="395"/>
      <c r="O4714" s="397"/>
      <c r="P4714" s="395"/>
      <c r="Q4714" s="395"/>
      <c r="R4714" s="353"/>
      <c r="S4714" s="185"/>
      <c r="T4714" s="185"/>
      <c r="U4714" s="185"/>
      <c r="V4714" s="185"/>
      <c r="W4714" s="185"/>
      <c r="X4714" s="185"/>
      <c r="Y4714" s="284"/>
      <c r="Z4714" s="284"/>
      <c r="AA4714" s="284"/>
      <c r="AB4714" s="284"/>
      <c r="AC4714" s="284"/>
      <c r="AD4714" s="284"/>
      <c r="AE4714" s="284"/>
      <c r="AF4714" s="284"/>
      <c r="AG4714" s="284"/>
      <c r="AH4714" s="284"/>
      <c r="AI4714" s="284"/>
      <c r="AJ4714" s="284"/>
      <c r="AK4714" s="284"/>
      <c r="AL4714" s="284"/>
    </row>
    <row r="4715" ht="15.75" customHeight="1">
      <c r="A4715" s="394"/>
      <c r="B4715" s="395"/>
      <c r="C4715" s="395"/>
      <c r="D4715" s="396"/>
      <c r="E4715" s="397"/>
      <c r="F4715" s="395"/>
      <c r="G4715" s="395"/>
      <c r="H4715" s="397"/>
      <c r="I4715" s="395"/>
      <c r="J4715" s="395"/>
      <c r="K4715" s="397"/>
      <c r="L4715" s="395"/>
      <c r="M4715" s="395"/>
      <c r="N4715" s="395"/>
      <c r="O4715" s="397"/>
      <c r="P4715" s="395"/>
      <c r="Q4715" s="395"/>
      <c r="R4715" s="353"/>
      <c r="S4715" s="185"/>
      <c r="T4715" s="185"/>
      <c r="U4715" s="185"/>
      <c r="V4715" s="185"/>
      <c r="W4715" s="185"/>
      <c r="X4715" s="185"/>
      <c r="Y4715" s="284"/>
      <c r="Z4715" s="284"/>
      <c r="AA4715" s="284"/>
      <c r="AB4715" s="284"/>
      <c r="AC4715" s="284"/>
      <c r="AD4715" s="284"/>
      <c r="AE4715" s="284"/>
      <c r="AF4715" s="284"/>
      <c r="AG4715" s="284"/>
      <c r="AH4715" s="284"/>
      <c r="AI4715" s="284"/>
      <c r="AJ4715" s="284"/>
      <c r="AK4715" s="284"/>
      <c r="AL4715" s="284"/>
    </row>
    <row r="4716" ht="15.75" customHeight="1">
      <c r="A4716" s="394"/>
      <c r="B4716" s="395"/>
      <c r="C4716" s="395"/>
      <c r="D4716" s="396"/>
      <c r="E4716" s="397"/>
      <c r="F4716" s="395"/>
      <c r="G4716" s="395"/>
      <c r="H4716" s="397"/>
      <c r="I4716" s="395"/>
      <c r="J4716" s="395"/>
      <c r="K4716" s="397"/>
      <c r="L4716" s="395"/>
      <c r="M4716" s="395"/>
      <c r="N4716" s="395"/>
      <c r="O4716" s="397"/>
      <c r="P4716" s="395"/>
      <c r="Q4716" s="395"/>
      <c r="R4716" s="353"/>
      <c r="S4716" s="185"/>
      <c r="T4716" s="185"/>
      <c r="U4716" s="185"/>
      <c r="V4716" s="185"/>
      <c r="W4716" s="185"/>
      <c r="X4716" s="185"/>
      <c r="Y4716" s="284"/>
      <c r="Z4716" s="284"/>
      <c r="AA4716" s="284"/>
      <c r="AB4716" s="284"/>
      <c r="AC4716" s="284"/>
      <c r="AD4716" s="284"/>
      <c r="AE4716" s="284"/>
      <c r="AF4716" s="284"/>
      <c r="AG4716" s="284"/>
      <c r="AH4716" s="284"/>
      <c r="AI4716" s="284"/>
      <c r="AJ4716" s="284"/>
      <c r="AK4716" s="284"/>
      <c r="AL4716" s="284"/>
    </row>
    <row r="4717" ht="15.75" customHeight="1">
      <c r="A4717" s="394"/>
      <c r="B4717" s="395"/>
      <c r="C4717" s="395"/>
      <c r="D4717" s="396"/>
      <c r="E4717" s="397"/>
      <c r="F4717" s="395"/>
      <c r="G4717" s="395"/>
      <c r="H4717" s="397"/>
      <c r="I4717" s="395"/>
      <c r="J4717" s="395"/>
      <c r="K4717" s="397"/>
      <c r="L4717" s="395"/>
      <c r="M4717" s="395"/>
      <c r="N4717" s="395"/>
      <c r="O4717" s="397"/>
      <c r="P4717" s="395"/>
      <c r="Q4717" s="395"/>
      <c r="R4717" s="353"/>
      <c r="S4717" s="185"/>
      <c r="T4717" s="185"/>
      <c r="U4717" s="185"/>
      <c r="V4717" s="185"/>
      <c r="W4717" s="185"/>
      <c r="X4717" s="185"/>
      <c r="Y4717" s="284"/>
      <c r="Z4717" s="284"/>
      <c r="AA4717" s="284"/>
      <c r="AB4717" s="284"/>
      <c r="AC4717" s="284"/>
      <c r="AD4717" s="284"/>
      <c r="AE4717" s="284"/>
      <c r="AF4717" s="284"/>
      <c r="AG4717" s="284"/>
      <c r="AH4717" s="284"/>
      <c r="AI4717" s="284"/>
      <c r="AJ4717" s="284"/>
      <c r="AK4717" s="284"/>
      <c r="AL4717" s="284"/>
    </row>
    <row r="4718" ht="15.75" customHeight="1">
      <c r="A4718" s="394"/>
      <c r="B4718" s="395"/>
      <c r="C4718" s="395"/>
      <c r="D4718" s="396"/>
      <c r="E4718" s="397"/>
      <c r="F4718" s="395"/>
      <c r="G4718" s="395"/>
      <c r="H4718" s="397"/>
      <c r="I4718" s="395"/>
      <c r="J4718" s="395"/>
      <c r="K4718" s="397"/>
      <c r="L4718" s="395"/>
      <c r="M4718" s="395"/>
      <c r="N4718" s="395"/>
      <c r="O4718" s="397"/>
      <c r="P4718" s="395"/>
      <c r="Q4718" s="395"/>
      <c r="R4718" s="353"/>
      <c r="S4718" s="185"/>
      <c r="T4718" s="185"/>
      <c r="U4718" s="185"/>
      <c r="V4718" s="185"/>
      <c r="W4718" s="185"/>
      <c r="X4718" s="185"/>
      <c r="Y4718" s="284"/>
      <c r="Z4718" s="284"/>
      <c r="AA4718" s="284"/>
      <c r="AB4718" s="284"/>
      <c r="AC4718" s="284"/>
      <c r="AD4718" s="284"/>
      <c r="AE4718" s="284"/>
      <c r="AF4718" s="284"/>
      <c r="AG4718" s="284"/>
      <c r="AH4718" s="284"/>
      <c r="AI4718" s="284"/>
      <c r="AJ4718" s="284"/>
      <c r="AK4718" s="284"/>
      <c r="AL4718" s="284"/>
    </row>
    <row r="4719" ht="15.75" customHeight="1">
      <c r="A4719" s="394"/>
      <c r="B4719" s="395"/>
      <c r="C4719" s="395"/>
      <c r="D4719" s="396"/>
      <c r="E4719" s="397"/>
      <c r="F4719" s="395"/>
      <c r="G4719" s="395"/>
      <c r="H4719" s="397"/>
      <c r="I4719" s="395"/>
      <c r="J4719" s="395"/>
      <c r="K4719" s="397"/>
      <c r="L4719" s="395"/>
      <c r="M4719" s="395"/>
      <c r="N4719" s="395"/>
      <c r="O4719" s="397"/>
      <c r="P4719" s="395"/>
      <c r="Q4719" s="395"/>
      <c r="R4719" s="353"/>
      <c r="S4719" s="185"/>
      <c r="T4719" s="185"/>
      <c r="U4719" s="185"/>
      <c r="V4719" s="185"/>
      <c r="W4719" s="185"/>
      <c r="X4719" s="185"/>
      <c r="Y4719" s="284"/>
      <c r="Z4719" s="284"/>
      <c r="AA4719" s="284"/>
      <c r="AB4719" s="284"/>
      <c r="AC4719" s="284"/>
      <c r="AD4719" s="284"/>
      <c r="AE4719" s="284"/>
      <c r="AF4719" s="284"/>
      <c r="AG4719" s="284"/>
      <c r="AH4719" s="284"/>
      <c r="AI4719" s="284"/>
      <c r="AJ4719" s="284"/>
      <c r="AK4719" s="284"/>
      <c r="AL4719" s="284"/>
    </row>
    <row r="4720" ht="15.75" customHeight="1">
      <c r="A4720" s="394"/>
      <c r="B4720" s="395"/>
      <c r="C4720" s="395"/>
      <c r="D4720" s="396"/>
      <c r="E4720" s="397"/>
      <c r="F4720" s="395"/>
      <c r="G4720" s="395"/>
      <c r="H4720" s="397"/>
      <c r="I4720" s="395"/>
      <c r="J4720" s="395"/>
      <c r="K4720" s="397"/>
      <c r="L4720" s="395"/>
      <c r="M4720" s="395"/>
      <c r="N4720" s="395"/>
      <c r="O4720" s="397"/>
      <c r="P4720" s="395"/>
      <c r="Q4720" s="395"/>
      <c r="R4720" s="353"/>
      <c r="S4720" s="185"/>
      <c r="T4720" s="185"/>
      <c r="U4720" s="185"/>
      <c r="V4720" s="185"/>
      <c r="W4720" s="185"/>
      <c r="X4720" s="185"/>
      <c r="Y4720" s="284"/>
      <c r="Z4720" s="284"/>
      <c r="AA4720" s="284"/>
      <c r="AB4720" s="284"/>
      <c r="AC4720" s="284"/>
      <c r="AD4720" s="284"/>
      <c r="AE4720" s="284"/>
      <c r="AF4720" s="284"/>
      <c r="AG4720" s="284"/>
      <c r="AH4720" s="284"/>
      <c r="AI4720" s="284"/>
      <c r="AJ4720" s="284"/>
      <c r="AK4720" s="284"/>
      <c r="AL4720" s="284"/>
    </row>
    <row r="4721" ht="15.75" customHeight="1">
      <c r="A4721" s="394"/>
      <c r="B4721" s="395"/>
      <c r="C4721" s="395"/>
      <c r="D4721" s="396"/>
      <c r="E4721" s="397"/>
      <c r="F4721" s="395"/>
      <c r="G4721" s="395"/>
      <c r="H4721" s="397"/>
      <c r="I4721" s="395"/>
      <c r="J4721" s="395"/>
      <c r="K4721" s="397"/>
      <c r="L4721" s="395"/>
      <c r="M4721" s="395"/>
      <c r="N4721" s="395"/>
      <c r="O4721" s="397"/>
      <c r="P4721" s="395"/>
      <c r="Q4721" s="395"/>
      <c r="R4721" s="353"/>
      <c r="S4721" s="185"/>
      <c r="T4721" s="185"/>
      <c r="U4721" s="185"/>
      <c r="V4721" s="185"/>
      <c r="W4721" s="185"/>
      <c r="X4721" s="185"/>
      <c r="Y4721" s="284"/>
      <c r="Z4721" s="284"/>
      <c r="AA4721" s="284"/>
      <c r="AB4721" s="284"/>
      <c r="AC4721" s="284"/>
      <c r="AD4721" s="284"/>
      <c r="AE4721" s="284"/>
      <c r="AF4721" s="284"/>
      <c r="AG4721" s="284"/>
      <c r="AH4721" s="284"/>
      <c r="AI4721" s="284"/>
      <c r="AJ4721" s="284"/>
      <c r="AK4721" s="284"/>
      <c r="AL4721" s="284"/>
    </row>
    <row r="4722" ht="15.75" customHeight="1">
      <c r="A4722" s="394"/>
      <c r="B4722" s="395"/>
      <c r="C4722" s="395"/>
      <c r="D4722" s="396"/>
      <c r="E4722" s="397"/>
      <c r="F4722" s="395"/>
      <c r="G4722" s="395"/>
      <c r="H4722" s="397"/>
      <c r="I4722" s="395"/>
      <c r="J4722" s="395"/>
      <c r="K4722" s="397"/>
      <c r="L4722" s="395"/>
      <c r="M4722" s="395"/>
      <c r="N4722" s="395"/>
      <c r="O4722" s="397"/>
      <c r="P4722" s="395"/>
      <c r="Q4722" s="395"/>
      <c r="R4722" s="353"/>
      <c r="S4722" s="185"/>
      <c r="T4722" s="185"/>
      <c r="U4722" s="185"/>
      <c r="V4722" s="185"/>
      <c r="W4722" s="185"/>
      <c r="X4722" s="185"/>
      <c r="Y4722" s="284"/>
      <c r="Z4722" s="284"/>
      <c r="AA4722" s="284"/>
      <c r="AB4722" s="284"/>
      <c r="AC4722" s="284"/>
      <c r="AD4722" s="284"/>
      <c r="AE4722" s="284"/>
      <c r="AF4722" s="284"/>
      <c r="AG4722" s="284"/>
      <c r="AH4722" s="284"/>
      <c r="AI4722" s="284"/>
      <c r="AJ4722" s="284"/>
      <c r="AK4722" s="284"/>
      <c r="AL4722" s="284"/>
    </row>
    <row r="4723" ht="15.75" customHeight="1">
      <c r="A4723" s="394"/>
      <c r="B4723" s="395"/>
      <c r="C4723" s="395"/>
      <c r="D4723" s="396"/>
      <c r="E4723" s="397"/>
      <c r="F4723" s="395"/>
      <c r="G4723" s="395"/>
      <c r="H4723" s="397"/>
      <c r="I4723" s="395"/>
      <c r="J4723" s="395"/>
      <c r="K4723" s="397"/>
      <c r="L4723" s="395"/>
      <c r="M4723" s="395"/>
      <c r="N4723" s="395"/>
      <c r="O4723" s="397"/>
      <c r="P4723" s="395"/>
      <c r="Q4723" s="395"/>
      <c r="R4723" s="353"/>
      <c r="S4723" s="185"/>
      <c r="T4723" s="185"/>
      <c r="U4723" s="185"/>
      <c r="V4723" s="185"/>
      <c r="W4723" s="185"/>
      <c r="X4723" s="185"/>
      <c r="Y4723" s="284"/>
      <c r="Z4723" s="284"/>
      <c r="AA4723" s="284"/>
      <c r="AB4723" s="284"/>
      <c r="AC4723" s="284"/>
      <c r="AD4723" s="284"/>
      <c r="AE4723" s="284"/>
      <c r="AF4723" s="284"/>
      <c r="AG4723" s="284"/>
      <c r="AH4723" s="284"/>
      <c r="AI4723" s="284"/>
      <c r="AJ4723" s="284"/>
      <c r="AK4723" s="284"/>
      <c r="AL4723" s="284"/>
    </row>
    <row r="4724" ht="15.75" customHeight="1">
      <c r="A4724" s="394"/>
      <c r="B4724" s="395"/>
      <c r="C4724" s="395"/>
      <c r="D4724" s="396"/>
      <c r="E4724" s="397"/>
      <c r="F4724" s="395"/>
      <c r="G4724" s="395"/>
      <c r="H4724" s="397"/>
      <c r="I4724" s="395"/>
      <c r="J4724" s="395"/>
      <c r="K4724" s="397"/>
      <c r="L4724" s="395"/>
      <c r="M4724" s="395"/>
      <c r="N4724" s="395"/>
      <c r="O4724" s="397"/>
      <c r="P4724" s="395"/>
      <c r="Q4724" s="395"/>
      <c r="R4724" s="353"/>
      <c r="S4724" s="185"/>
      <c r="T4724" s="185"/>
      <c r="U4724" s="185"/>
      <c r="V4724" s="185"/>
      <c r="W4724" s="185"/>
      <c r="X4724" s="185"/>
      <c r="Y4724" s="284"/>
      <c r="Z4724" s="284"/>
      <c r="AA4724" s="284"/>
      <c r="AB4724" s="284"/>
      <c r="AC4724" s="284"/>
      <c r="AD4724" s="284"/>
      <c r="AE4724" s="284"/>
      <c r="AF4724" s="284"/>
      <c r="AG4724" s="284"/>
      <c r="AH4724" s="284"/>
      <c r="AI4724" s="284"/>
      <c r="AJ4724" s="284"/>
      <c r="AK4724" s="284"/>
      <c r="AL4724" s="284"/>
    </row>
    <row r="4725" ht="15.75" customHeight="1">
      <c r="A4725" s="394"/>
      <c r="B4725" s="395"/>
      <c r="C4725" s="395"/>
      <c r="D4725" s="396"/>
      <c r="E4725" s="397"/>
      <c r="F4725" s="395"/>
      <c r="G4725" s="395"/>
      <c r="H4725" s="397"/>
      <c r="I4725" s="395"/>
      <c r="J4725" s="395"/>
      <c r="K4725" s="397"/>
      <c r="L4725" s="395"/>
      <c r="M4725" s="395"/>
      <c r="N4725" s="395"/>
      <c r="O4725" s="397"/>
      <c r="P4725" s="395"/>
      <c r="Q4725" s="395"/>
      <c r="R4725" s="353"/>
      <c r="S4725" s="185"/>
      <c r="T4725" s="185"/>
      <c r="U4725" s="185"/>
      <c r="V4725" s="185"/>
      <c r="W4725" s="185"/>
      <c r="X4725" s="185"/>
      <c r="Y4725" s="284"/>
      <c r="Z4725" s="284"/>
      <c r="AA4725" s="284"/>
      <c r="AB4725" s="284"/>
      <c r="AC4725" s="284"/>
      <c r="AD4725" s="284"/>
      <c r="AE4725" s="284"/>
      <c r="AF4725" s="284"/>
      <c r="AG4725" s="284"/>
      <c r="AH4725" s="284"/>
      <c r="AI4725" s="284"/>
      <c r="AJ4725" s="284"/>
      <c r="AK4725" s="284"/>
      <c r="AL4725" s="284"/>
    </row>
    <row r="4726" ht="15.75" customHeight="1">
      <c r="A4726" s="394"/>
      <c r="B4726" s="395"/>
      <c r="C4726" s="395"/>
      <c r="D4726" s="396"/>
      <c r="E4726" s="397"/>
      <c r="F4726" s="395"/>
      <c r="G4726" s="395"/>
      <c r="H4726" s="397"/>
      <c r="I4726" s="395"/>
      <c r="J4726" s="395"/>
      <c r="K4726" s="397"/>
      <c r="L4726" s="395"/>
      <c r="M4726" s="395"/>
      <c r="N4726" s="395"/>
      <c r="O4726" s="397"/>
      <c r="P4726" s="395"/>
      <c r="Q4726" s="395"/>
      <c r="R4726" s="353"/>
      <c r="S4726" s="185"/>
      <c r="T4726" s="185"/>
      <c r="U4726" s="185"/>
      <c r="V4726" s="185"/>
      <c r="W4726" s="185"/>
      <c r="X4726" s="185"/>
      <c r="Y4726" s="284"/>
      <c r="Z4726" s="284"/>
      <c r="AA4726" s="284"/>
      <c r="AB4726" s="284"/>
      <c r="AC4726" s="284"/>
      <c r="AD4726" s="284"/>
      <c r="AE4726" s="284"/>
      <c r="AF4726" s="284"/>
      <c r="AG4726" s="284"/>
      <c r="AH4726" s="284"/>
      <c r="AI4726" s="284"/>
      <c r="AJ4726" s="284"/>
      <c r="AK4726" s="284"/>
      <c r="AL4726" s="284"/>
    </row>
    <row r="4727" ht="15.75" customHeight="1">
      <c r="A4727" s="394"/>
      <c r="B4727" s="395"/>
      <c r="C4727" s="395"/>
      <c r="D4727" s="396"/>
      <c r="E4727" s="397"/>
      <c r="F4727" s="395"/>
      <c r="G4727" s="395"/>
      <c r="H4727" s="397"/>
      <c r="I4727" s="395"/>
      <c r="J4727" s="395"/>
      <c r="K4727" s="397"/>
      <c r="L4727" s="395"/>
      <c r="M4727" s="395"/>
      <c r="N4727" s="395"/>
      <c r="O4727" s="397"/>
      <c r="P4727" s="395"/>
      <c r="Q4727" s="395"/>
      <c r="R4727" s="353"/>
      <c r="S4727" s="185"/>
      <c r="T4727" s="185"/>
      <c r="U4727" s="185"/>
      <c r="V4727" s="185"/>
      <c r="W4727" s="185"/>
      <c r="X4727" s="185"/>
      <c r="Y4727" s="284"/>
      <c r="Z4727" s="284"/>
      <c r="AA4727" s="284"/>
      <c r="AB4727" s="284"/>
      <c r="AC4727" s="284"/>
      <c r="AD4727" s="284"/>
      <c r="AE4727" s="284"/>
      <c r="AF4727" s="284"/>
      <c r="AG4727" s="284"/>
      <c r="AH4727" s="284"/>
      <c r="AI4727" s="284"/>
      <c r="AJ4727" s="284"/>
      <c r="AK4727" s="284"/>
      <c r="AL4727" s="284"/>
    </row>
    <row r="4728" ht="15.75" customHeight="1">
      <c r="A4728" s="394"/>
      <c r="B4728" s="395"/>
      <c r="C4728" s="395"/>
      <c r="D4728" s="396"/>
      <c r="E4728" s="397"/>
      <c r="F4728" s="395"/>
      <c r="G4728" s="395"/>
      <c r="H4728" s="397"/>
      <c r="I4728" s="395"/>
      <c r="J4728" s="395"/>
      <c r="K4728" s="397"/>
      <c r="L4728" s="395"/>
      <c r="M4728" s="395"/>
      <c r="N4728" s="395"/>
      <c r="O4728" s="397"/>
      <c r="P4728" s="395"/>
      <c r="Q4728" s="395"/>
      <c r="R4728" s="353"/>
      <c r="S4728" s="185"/>
      <c r="T4728" s="185"/>
      <c r="U4728" s="185"/>
      <c r="V4728" s="185"/>
      <c r="W4728" s="185"/>
      <c r="X4728" s="185"/>
      <c r="Y4728" s="284"/>
      <c r="Z4728" s="284"/>
      <c r="AA4728" s="284"/>
      <c r="AB4728" s="284"/>
      <c r="AC4728" s="284"/>
      <c r="AD4728" s="284"/>
      <c r="AE4728" s="284"/>
      <c r="AF4728" s="284"/>
      <c r="AG4728" s="284"/>
      <c r="AH4728" s="284"/>
      <c r="AI4728" s="284"/>
      <c r="AJ4728" s="284"/>
      <c r="AK4728" s="284"/>
      <c r="AL4728" s="284"/>
    </row>
    <row r="4729" ht="15.75" customHeight="1">
      <c r="A4729" s="394"/>
      <c r="B4729" s="395"/>
      <c r="C4729" s="395"/>
      <c r="D4729" s="396"/>
      <c r="E4729" s="397"/>
      <c r="F4729" s="395"/>
      <c r="G4729" s="395"/>
      <c r="H4729" s="397"/>
      <c r="I4729" s="395"/>
      <c r="J4729" s="395"/>
      <c r="K4729" s="397"/>
      <c r="L4729" s="395"/>
      <c r="M4729" s="395"/>
      <c r="N4729" s="395"/>
      <c r="O4729" s="397"/>
      <c r="P4729" s="395"/>
      <c r="Q4729" s="395"/>
      <c r="R4729" s="353"/>
      <c r="S4729" s="185"/>
      <c r="T4729" s="185"/>
      <c r="U4729" s="185"/>
      <c r="V4729" s="185"/>
      <c r="W4729" s="185"/>
      <c r="X4729" s="185"/>
      <c r="Y4729" s="284"/>
      <c r="Z4729" s="284"/>
      <c r="AA4729" s="284"/>
      <c r="AB4729" s="284"/>
      <c r="AC4729" s="284"/>
      <c r="AD4729" s="284"/>
      <c r="AE4729" s="284"/>
      <c r="AF4729" s="284"/>
      <c r="AG4729" s="284"/>
      <c r="AH4729" s="284"/>
      <c r="AI4729" s="284"/>
      <c r="AJ4729" s="284"/>
      <c r="AK4729" s="284"/>
      <c r="AL4729" s="284"/>
    </row>
    <row r="4730" ht="15.75" customHeight="1">
      <c r="A4730" s="394"/>
      <c r="B4730" s="395"/>
      <c r="C4730" s="395"/>
      <c r="D4730" s="396"/>
      <c r="E4730" s="397"/>
      <c r="F4730" s="395"/>
      <c r="G4730" s="395"/>
      <c r="H4730" s="397"/>
      <c r="I4730" s="395"/>
      <c r="J4730" s="395"/>
      <c r="K4730" s="397"/>
      <c r="L4730" s="395"/>
      <c r="M4730" s="395"/>
      <c r="N4730" s="395"/>
      <c r="O4730" s="397"/>
      <c r="P4730" s="395"/>
      <c r="Q4730" s="395"/>
      <c r="R4730" s="353"/>
      <c r="S4730" s="185"/>
      <c r="T4730" s="185"/>
      <c r="U4730" s="185"/>
      <c r="V4730" s="185"/>
      <c r="W4730" s="185"/>
      <c r="X4730" s="185"/>
      <c r="Y4730" s="284"/>
      <c r="Z4730" s="284"/>
      <c r="AA4730" s="284"/>
      <c r="AB4730" s="284"/>
      <c r="AC4730" s="284"/>
      <c r="AD4730" s="284"/>
      <c r="AE4730" s="284"/>
      <c r="AF4730" s="284"/>
      <c r="AG4730" s="284"/>
      <c r="AH4730" s="284"/>
      <c r="AI4730" s="284"/>
      <c r="AJ4730" s="284"/>
      <c r="AK4730" s="284"/>
      <c r="AL4730" s="284"/>
    </row>
    <row r="4731" ht="15.75" customHeight="1">
      <c r="A4731" s="394"/>
      <c r="B4731" s="395"/>
      <c r="C4731" s="395"/>
      <c r="D4731" s="396"/>
      <c r="E4731" s="397"/>
      <c r="F4731" s="395"/>
      <c r="G4731" s="395"/>
      <c r="H4731" s="397"/>
      <c r="I4731" s="395"/>
      <c r="J4731" s="395"/>
      <c r="K4731" s="397"/>
      <c r="L4731" s="395"/>
      <c r="M4731" s="395"/>
      <c r="N4731" s="395"/>
      <c r="O4731" s="397"/>
      <c r="P4731" s="395"/>
      <c r="Q4731" s="395"/>
      <c r="R4731" s="353"/>
      <c r="S4731" s="185"/>
      <c r="T4731" s="185"/>
      <c r="U4731" s="185"/>
      <c r="V4731" s="185"/>
      <c r="W4731" s="185"/>
      <c r="X4731" s="185"/>
      <c r="Y4731" s="284"/>
      <c r="Z4731" s="284"/>
      <c r="AA4731" s="284"/>
      <c r="AB4731" s="284"/>
      <c r="AC4731" s="284"/>
      <c r="AD4731" s="284"/>
      <c r="AE4731" s="284"/>
      <c r="AF4731" s="284"/>
      <c r="AG4731" s="284"/>
      <c r="AH4731" s="284"/>
      <c r="AI4731" s="284"/>
      <c r="AJ4731" s="284"/>
      <c r="AK4731" s="284"/>
      <c r="AL4731" s="284"/>
    </row>
    <row r="4732" ht="15.75" customHeight="1">
      <c r="A4732" s="394"/>
      <c r="B4732" s="395"/>
      <c r="C4732" s="395"/>
      <c r="D4732" s="396"/>
      <c r="E4732" s="397"/>
      <c r="F4732" s="395"/>
      <c r="G4732" s="395"/>
      <c r="H4732" s="397"/>
      <c r="I4732" s="395"/>
      <c r="J4732" s="395"/>
      <c r="K4732" s="397"/>
      <c r="L4732" s="395"/>
      <c r="M4732" s="395"/>
      <c r="N4732" s="395"/>
      <c r="O4732" s="397"/>
      <c r="P4732" s="395"/>
      <c r="Q4732" s="395"/>
      <c r="R4732" s="353"/>
      <c r="S4732" s="185"/>
      <c r="T4732" s="185"/>
      <c r="U4732" s="185"/>
      <c r="V4732" s="185"/>
      <c r="W4732" s="185"/>
      <c r="X4732" s="185"/>
      <c r="Y4732" s="284"/>
      <c r="Z4732" s="284"/>
      <c r="AA4732" s="284"/>
      <c r="AB4732" s="284"/>
      <c r="AC4732" s="284"/>
      <c r="AD4732" s="284"/>
      <c r="AE4732" s="284"/>
      <c r="AF4732" s="284"/>
      <c r="AG4732" s="284"/>
      <c r="AH4732" s="284"/>
      <c r="AI4732" s="284"/>
      <c r="AJ4732" s="284"/>
      <c r="AK4732" s="284"/>
      <c r="AL4732" s="284"/>
    </row>
    <row r="4733" ht="15.75" customHeight="1">
      <c r="A4733" s="394"/>
      <c r="B4733" s="395"/>
      <c r="C4733" s="395"/>
      <c r="D4733" s="396"/>
      <c r="E4733" s="397"/>
      <c r="F4733" s="395"/>
      <c r="G4733" s="395"/>
      <c r="H4733" s="397"/>
      <c r="I4733" s="395"/>
      <c r="J4733" s="395"/>
      <c r="K4733" s="397"/>
      <c r="L4733" s="395"/>
      <c r="M4733" s="395"/>
      <c r="N4733" s="395"/>
      <c r="O4733" s="397"/>
      <c r="P4733" s="395"/>
      <c r="Q4733" s="395"/>
      <c r="R4733" s="353"/>
      <c r="S4733" s="185"/>
      <c r="T4733" s="185"/>
      <c r="U4733" s="185"/>
      <c r="V4733" s="185"/>
      <c r="W4733" s="185"/>
      <c r="X4733" s="185"/>
      <c r="Y4733" s="284"/>
      <c r="Z4733" s="284"/>
      <c r="AA4733" s="284"/>
      <c r="AB4733" s="284"/>
      <c r="AC4733" s="284"/>
      <c r="AD4733" s="284"/>
      <c r="AE4733" s="284"/>
      <c r="AF4733" s="284"/>
      <c r="AG4733" s="284"/>
      <c r="AH4733" s="284"/>
      <c r="AI4733" s="284"/>
      <c r="AJ4733" s="284"/>
      <c r="AK4733" s="284"/>
      <c r="AL4733" s="284"/>
    </row>
    <row r="4734" ht="15.75" customHeight="1">
      <c r="A4734" s="394"/>
      <c r="B4734" s="395"/>
      <c r="C4734" s="395"/>
      <c r="D4734" s="396"/>
      <c r="E4734" s="397"/>
      <c r="F4734" s="395"/>
      <c r="G4734" s="395"/>
      <c r="H4734" s="397"/>
      <c r="I4734" s="395"/>
      <c r="J4734" s="395"/>
      <c r="K4734" s="397"/>
      <c r="L4734" s="395"/>
      <c r="M4734" s="395"/>
      <c r="N4734" s="395"/>
      <c r="O4734" s="397"/>
      <c r="P4734" s="395"/>
      <c r="Q4734" s="395"/>
      <c r="R4734" s="353"/>
      <c r="S4734" s="185"/>
      <c r="T4734" s="185"/>
      <c r="U4734" s="185"/>
      <c r="V4734" s="185"/>
      <c r="W4734" s="185"/>
      <c r="X4734" s="185"/>
      <c r="Y4734" s="284"/>
      <c r="Z4734" s="284"/>
      <c r="AA4734" s="284"/>
      <c r="AB4734" s="284"/>
      <c r="AC4734" s="284"/>
      <c r="AD4734" s="284"/>
      <c r="AE4734" s="284"/>
      <c r="AF4734" s="284"/>
      <c r="AG4734" s="284"/>
      <c r="AH4734" s="284"/>
      <c r="AI4734" s="284"/>
      <c r="AJ4734" s="284"/>
      <c r="AK4734" s="284"/>
      <c r="AL4734" s="284"/>
    </row>
    <row r="4735" ht="15.75" customHeight="1">
      <c r="A4735" s="394"/>
      <c r="B4735" s="395"/>
      <c r="C4735" s="395"/>
      <c r="D4735" s="396"/>
      <c r="E4735" s="397"/>
      <c r="F4735" s="395"/>
      <c r="G4735" s="395"/>
      <c r="H4735" s="397"/>
      <c r="I4735" s="395"/>
      <c r="J4735" s="395"/>
      <c r="K4735" s="397"/>
      <c r="L4735" s="395"/>
      <c r="M4735" s="395"/>
      <c r="N4735" s="395"/>
      <c r="O4735" s="397"/>
      <c r="P4735" s="395"/>
      <c r="Q4735" s="395"/>
      <c r="R4735" s="353"/>
      <c r="S4735" s="185"/>
      <c r="T4735" s="185"/>
      <c r="U4735" s="185"/>
      <c r="V4735" s="185"/>
      <c r="W4735" s="185"/>
      <c r="X4735" s="185"/>
      <c r="Y4735" s="284"/>
      <c r="Z4735" s="284"/>
      <c r="AA4735" s="284"/>
      <c r="AB4735" s="284"/>
      <c r="AC4735" s="284"/>
      <c r="AD4735" s="284"/>
      <c r="AE4735" s="284"/>
      <c r="AF4735" s="284"/>
      <c r="AG4735" s="284"/>
      <c r="AH4735" s="284"/>
      <c r="AI4735" s="284"/>
      <c r="AJ4735" s="284"/>
      <c r="AK4735" s="284"/>
      <c r="AL4735" s="284"/>
    </row>
    <row r="4736" ht="15.75" customHeight="1">
      <c r="A4736" s="394"/>
      <c r="B4736" s="395"/>
      <c r="C4736" s="395"/>
      <c r="D4736" s="396"/>
      <c r="E4736" s="397"/>
      <c r="F4736" s="395"/>
      <c r="G4736" s="395"/>
      <c r="H4736" s="397"/>
      <c r="I4736" s="395"/>
      <c r="J4736" s="395"/>
      <c r="K4736" s="397"/>
      <c r="L4736" s="395"/>
      <c r="M4736" s="395"/>
      <c r="N4736" s="395"/>
      <c r="O4736" s="397"/>
      <c r="P4736" s="395"/>
      <c r="Q4736" s="395"/>
      <c r="R4736" s="353"/>
      <c r="S4736" s="185"/>
      <c r="T4736" s="185"/>
      <c r="U4736" s="185"/>
      <c r="V4736" s="185"/>
      <c r="W4736" s="185"/>
      <c r="X4736" s="185"/>
      <c r="Y4736" s="284"/>
      <c r="Z4736" s="284"/>
      <c r="AA4736" s="284"/>
      <c r="AB4736" s="284"/>
      <c r="AC4736" s="284"/>
      <c r="AD4736" s="284"/>
      <c r="AE4736" s="284"/>
      <c r="AF4736" s="284"/>
      <c r="AG4736" s="284"/>
      <c r="AH4736" s="284"/>
      <c r="AI4736" s="284"/>
      <c r="AJ4736" s="284"/>
      <c r="AK4736" s="284"/>
      <c r="AL4736" s="284"/>
    </row>
    <row r="4737" ht="15.75" customHeight="1">
      <c r="A4737" s="394"/>
      <c r="B4737" s="395"/>
      <c r="C4737" s="395"/>
      <c r="D4737" s="396"/>
      <c r="E4737" s="397"/>
      <c r="F4737" s="395"/>
      <c r="G4737" s="395"/>
      <c r="H4737" s="397"/>
      <c r="I4737" s="395"/>
      <c r="J4737" s="395"/>
      <c r="K4737" s="397"/>
      <c r="L4737" s="395"/>
      <c r="M4737" s="395"/>
      <c r="N4737" s="395"/>
      <c r="O4737" s="397"/>
      <c r="P4737" s="395"/>
      <c r="Q4737" s="395"/>
      <c r="R4737" s="353"/>
      <c r="S4737" s="185"/>
      <c r="T4737" s="185"/>
      <c r="U4737" s="185"/>
      <c r="V4737" s="185"/>
      <c r="W4737" s="185"/>
      <c r="X4737" s="185"/>
      <c r="Y4737" s="284"/>
      <c r="Z4737" s="284"/>
      <c r="AA4737" s="284"/>
      <c r="AB4737" s="284"/>
      <c r="AC4737" s="284"/>
      <c r="AD4737" s="284"/>
      <c r="AE4737" s="284"/>
      <c r="AF4737" s="284"/>
      <c r="AG4737" s="284"/>
      <c r="AH4737" s="284"/>
      <c r="AI4737" s="284"/>
      <c r="AJ4737" s="284"/>
      <c r="AK4737" s="284"/>
      <c r="AL4737" s="284"/>
    </row>
    <row r="4738" ht="15.75" customHeight="1">
      <c r="A4738" s="394"/>
      <c r="B4738" s="395"/>
      <c r="C4738" s="395"/>
      <c r="D4738" s="396"/>
      <c r="E4738" s="397"/>
      <c r="F4738" s="395"/>
      <c r="G4738" s="395"/>
      <c r="H4738" s="397"/>
      <c r="I4738" s="395"/>
      <c r="J4738" s="395"/>
      <c r="K4738" s="397"/>
      <c r="L4738" s="395"/>
      <c r="M4738" s="395"/>
      <c r="N4738" s="395"/>
      <c r="O4738" s="397"/>
      <c r="P4738" s="395"/>
      <c r="Q4738" s="395"/>
      <c r="R4738" s="353"/>
      <c r="S4738" s="185"/>
      <c r="T4738" s="185"/>
      <c r="U4738" s="185"/>
      <c r="V4738" s="185"/>
      <c r="W4738" s="185"/>
      <c r="X4738" s="185"/>
      <c r="Y4738" s="284"/>
      <c r="Z4738" s="284"/>
      <c r="AA4738" s="284"/>
      <c r="AB4738" s="284"/>
      <c r="AC4738" s="284"/>
      <c r="AD4738" s="284"/>
      <c r="AE4738" s="284"/>
      <c r="AF4738" s="284"/>
      <c r="AG4738" s="284"/>
      <c r="AH4738" s="284"/>
      <c r="AI4738" s="284"/>
      <c r="AJ4738" s="284"/>
      <c r="AK4738" s="284"/>
      <c r="AL4738" s="284"/>
    </row>
    <row r="4739" ht="15.75" customHeight="1">
      <c r="A4739" s="394"/>
      <c r="B4739" s="395"/>
      <c r="C4739" s="395"/>
      <c r="D4739" s="396"/>
      <c r="E4739" s="397"/>
      <c r="F4739" s="395"/>
      <c r="G4739" s="395"/>
      <c r="H4739" s="397"/>
      <c r="I4739" s="395"/>
      <c r="J4739" s="395"/>
      <c r="K4739" s="397"/>
      <c r="L4739" s="395"/>
      <c r="M4739" s="395"/>
      <c r="N4739" s="395"/>
      <c r="O4739" s="397"/>
      <c r="P4739" s="395"/>
      <c r="Q4739" s="395"/>
      <c r="R4739" s="353"/>
      <c r="S4739" s="185"/>
      <c r="T4739" s="185"/>
      <c r="U4739" s="185"/>
      <c r="V4739" s="185"/>
      <c r="W4739" s="185"/>
      <c r="X4739" s="185"/>
      <c r="Y4739" s="284"/>
      <c r="Z4739" s="284"/>
      <c r="AA4739" s="284"/>
      <c r="AB4739" s="284"/>
      <c r="AC4739" s="284"/>
      <c r="AD4739" s="284"/>
      <c r="AE4739" s="284"/>
      <c r="AF4739" s="284"/>
      <c r="AG4739" s="284"/>
      <c r="AH4739" s="284"/>
      <c r="AI4739" s="284"/>
      <c r="AJ4739" s="284"/>
      <c r="AK4739" s="284"/>
      <c r="AL4739" s="284"/>
    </row>
    <row r="4740" ht="15.75" customHeight="1">
      <c r="A4740" s="394"/>
      <c r="B4740" s="395"/>
      <c r="C4740" s="395"/>
      <c r="D4740" s="396"/>
      <c r="E4740" s="397"/>
      <c r="F4740" s="395"/>
      <c r="G4740" s="395"/>
      <c r="H4740" s="397"/>
      <c r="I4740" s="395"/>
      <c r="J4740" s="395"/>
      <c r="K4740" s="397"/>
      <c r="L4740" s="395"/>
      <c r="M4740" s="395"/>
      <c r="N4740" s="395"/>
      <c r="O4740" s="397"/>
      <c r="P4740" s="395"/>
      <c r="Q4740" s="395"/>
      <c r="R4740" s="353"/>
      <c r="S4740" s="185"/>
      <c r="T4740" s="185"/>
      <c r="U4740" s="185"/>
      <c r="V4740" s="185"/>
      <c r="W4740" s="185"/>
      <c r="X4740" s="185"/>
      <c r="Y4740" s="284"/>
      <c r="Z4740" s="284"/>
      <c r="AA4740" s="284"/>
      <c r="AB4740" s="284"/>
      <c r="AC4740" s="284"/>
      <c r="AD4740" s="284"/>
      <c r="AE4740" s="284"/>
      <c r="AF4740" s="284"/>
      <c r="AG4740" s="284"/>
      <c r="AH4740" s="284"/>
      <c r="AI4740" s="284"/>
      <c r="AJ4740" s="284"/>
      <c r="AK4740" s="284"/>
      <c r="AL4740" s="284"/>
    </row>
    <row r="4741" ht="15.75" customHeight="1">
      <c r="A4741" s="394"/>
      <c r="B4741" s="395"/>
      <c r="C4741" s="395"/>
      <c r="D4741" s="396"/>
      <c r="E4741" s="397"/>
      <c r="F4741" s="395"/>
      <c r="G4741" s="395"/>
      <c r="H4741" s="397"/>
      <c r="I4741" s="395"/>
      <c r="J4741" s="395"/>
      <c r="K4741" s="397"/>
      <c r="L4741" s="395"/>
      <c r="M4741" s="395"/>
      <c r="N4741" s="395"/>
      <c r="O4741" s="397"/>
      <c r="P4741" s="395"/>
      <c r="Q4741" s="395"/>
      <c r="R4741" s="353"/>
      <c r="S4741" s="185"/>
      <c r="T4741" s="185"/>
      <c r="U4741" s="185"/>
      <c r="V4741" s="185"/>
      <c r="W4741" s="185"/>
      <c r="X4741" s="185"/>
      <c r="Y4741" s="284"/>
      <c r="Z4741" s="284"/>
      <c r="AA4741" s="284"/>
      <c r="AB4741" s="284"/>
      <c r="AC4741" s="284"/>
      <c r="AD4741" s="284"/>
      <c r="AE4741" s="284"/>
      <c r="AF4741" s="284"/>
      <c r="AG4741" s="284"/>
      <c r="AH4741" s="284"/>
      <c r="AI4741" s="284"/>
      <c r="AJ4741" s="284"/>
      <c r="AK4741" s="284"/>
      <c r="AL4741" s="284"/>
    </row>
    <row r="4742" ht="15.75" customHeight="1">
      <c r="A4742" s="394"/>
      <c r="B4742" s="395"/>
      <c r="C4742" s="395"/>
      <c r="D4742" s="396"/>
      <c r="E4742" s="397"/>
      <c r="F4742" s="395"/>
      <c r="G4742" s="395"/>
      <c r="H4742" s="397"/>
      <c r="I4742" s="395"/>
      <c r="J4742" s="395"/>
      <c r="K4742" s="397"/>
      <c r="L4742" s="395"/>
      <c r="M4742" s="395"/>
      <c r="N4742" s="395"/>
      <c r="O4742" s="397"/>
      <c r="P4742" s="395"/>
      <c r="Q4742" s="395"/>
      <c r="R4742" s="353"/>
      <c r="S4742" s="185"/>
      <c r="T4742" s="185"/>
      <c r="U4742" s="185"/>
      <c r="V4742" s="185"/>
      <c r="W4742" s="185"/>
      <c r="X4742" s="185"/>
      <c r="Y4742" s="284"/>
      <c r="Z4742" s="284"/>
      <c r="AA4742" s="284"/>
      <c r="AB4742" s="284"/>
      <c r="AC4742" s="284"/>
      <c r="AD4742" s="284"/>
      <c r="AE4742" s="284"/>
      <c r="AF4742" s="284"/>
      <c r="AG4742" s="284"/>
      <c r="AH4742" s="284"/>
      <c r="AI4742" s="284"/>
      <c r="AJ4742" s="284"/>
      <c r="AK4742" s="284"/>
      <c r="AL4742" s="284"/>
    </row>
    <row r="4743" ht="15.75" customHeight="1">
      <c r="A4743" s="394"/>
      <c r="B4743" s="395"/>
      <c r="C4743" s="395"/>
      <c r="D4743" s="396"/>
      <c r="E4743" s="397"/>
      <c r="F4743" s="395"/>
      <c r="G4743" s="395"/>
      <c r="H4743" s="397"/>
      <c r="I4743" s="395"/>
      <c r="J4743" s="395"/>
      <c r="K4743" s="397"/>
      <c r="L4743" s="395"/>
      <c r="M4743" s="395"/>
      <c r="N4743" s="395"/>
      <c r="O4743" s="397"/>
      <c r="P4743" s="395"/>
      <c r="Q4743" s="395"/>
      <c r="R4743" s="353"/>
      <c r="S4743" s="185"/>
      <c r="T4743" s="185"/>
      <c r="U4743" s="185"/>
      <c r="V4743" s="185"/>
      <c r="W4743" s="185"/>
      <c r="X4743" s="185"/>
      <c r="Y4743" s="284"/>
      <c r="Z4743" s="284"/>
      <c r="AA4743" s="284"/>
      <c r="AB4743" s="284"/>
      <c r="AC4743" s="284"/>
      <c r="AD4743" s="284"/>
      <c r="AE4743" s="284"/>
      <c r="AF4743" s="284"/>
      <c r="AG4743" s="284"/>
      <c r="AH4743" s="284"/>
      <c r="AI4743" s="284"/>
      <c r="AJ4743" s="284"/>
      <c r="AK4743" s="284"/>
      <c r="AL4743" s="284"/>
    </row>
    <row r="4744" ht="15.75" customHeight="1">
      <c r="A4744" s="394"/>
      <c r="B4744" s="395"/>
      <c r="C4744" s="395"/>
      <c r="D4744" s="396"/>
      <c r="E4744" s="397"/>
      <c r="F4744" s="395"/>
      <c r="G4744" s="395"/>
      <c r="H4744" s="397"/>
      <c r="I4744" s="395"/>
      <c r="J4744" s="395"/>
      <c r="K4744" s="397"/>
      <c r="L4744" s="395"/>
      <c r="M4744" s="395"/>
      <c r="N4744" s="395"/>
      <c r="O4744" s="397"/>
      <c r="P4744" s="395"/>
      <c r="Q4744" s="395"/>
      <c r="R4744" s="353"/>
      <c r="S4744" s="185"/>
      <c r="T4744" s="185"/>
      <c r="U4744" s="185"/>
      <c r="V4744" s="185"/>
      <c r="W4744" s="185"/>
      <c r="X4744" s="185"/>
      <c r="Y4744" s="284"/>
      <c r="Z4744" s="284"/>
      <c r="AA4744" s="284"/>
      <c r="AB4744" s="284"/>
      <c r="AC4744" s="284"/>
      <c r="AD4744" s="284"/>
      <c r="AE4744" s="284"/>
      <c r="AF4744" s="284"/>
      <c r="AG4744" s="284"/>
      <c r="AH4744" s="284"/>
      <c r="AI4744" s="284"/>
      <c r="AJ4744" s="284"/>
      <c r="AK4744" s="284"/>
      <c r="AL4744" s="284"/>
    </row>
    <row r="4745" ht="15.75" customHeight="1">
      <c r="A4745" s="394"/>
      <c r="B4745" s="395"/>
      <c r="C4745" s="395"/>
      <c r="D4745" s="396"/>
      <c r="E4745" s="397"/>
      <c r="F4745" s="395"/>
      <c r="G4745" s="395"/>
      <c r="H4745" s="397"/>
      <c r="I4745" s="395"/>
      <c r="J4745" s="395"/>
      <c r="K4745" s="397"/>
      <c r="L4745" s="395"/>
      <c r="M4745" s="395"/>
      <c r="N4745" s="395"/>
      <c r="O4745" s="397"/>
      <c r="P4745" s="395"/>
      <c r="Q4745" s="395"/>
      <c r="R4745" s="353"/>
      <c r="S4745" s="185"/>
      <c r="T4745" s="185"/>
      <c r="U4745" s="185"/>
      <c r="V4745" s="185"/>
      <c r="W4745" s="185"/>
      <c r="X4745" s="185"/>
      <c r="Y4745" s="284"/>
      <c r="Z4745" s="284"/>
      <c r="AA4745" s="284"/>
      <c r="AB4745" s="284"/>
      <c r="AC4745" s="284"/>
      <c r="AD4745" s="284"/>
      <c r="AE4745" s="284"/>
      <c r="AF4745" s="284"/>
      <c r="AG4745" s="284"/>
      <c r="AH4745" s="284"/>
      <c r="AI4745" s="284"/>
      <c r="AJ4745" s="284"/>
      <c r="AK4745" s="284"/>
      <c r="AL4745" s="284"/>
    </row>
    <row r="4746" ht="15.75" customHeight="1">
      <c r="A4746" s="394"/>
      <c r="B4746" s="395"/>
      <c r="C4746" s="395"/>
      <c r="D4746" s="396"/>
      <c r="E4746" s="397"/>
      <c r="F4746" s="395"/>
      <c r="G4746" s="395"/>
      <c r="H4746" s="397"/>
      <c r="I4746" s="395"/>
      <c r="J4746" s="395"/>
      <c r="K4746" s="397"/>
      <c r="L4746" s="395"/>
      <c r="M4746" s="395"/>
      <c r="N4746" s="395"/>
      <c r="O4746" s="397"/>
      <c r="P4746" s="395"/>
      <c r="Q4746" s="395"/>
      <c r="R4746" s="353"/>
      <c r="S4746" s="185"/>
      <c r="T4746" s="185"/>
      <c r="U4746" s="185"/>
      <c r="V4746" s="185"/>
      <c r="W4746" s="185"/>
      <c r="X4746" s="185"/>
      <c r="Y4746" s="284"/>
      <c r="Z4746" s="284"/>
      <c r="AA4746" s="284"/>
      <c r="AB4746" s="284"/>
      <c r="AC4746" s="284"/>
      <c r="AD4746" s="284"/>
      <c r="AE4746" s="284"/>
      <c r="AF4746" s="284"/>
      <c r="AG4746" s="284"/>
      <c r="AH4746" s="284"/>
      <c r="AI4746" s="284"/>
      <c r="AJ4746" s="284"/>
      <c r="AK4746" s="284"/>
      <c r="AL4746" s="284"/>
    </row>
    <row r="4747" ht="15.75" customHeight="1">
      <c r="A4747" s="394"/>
      <c r="B4747" s="395"/>
      <c r="C4747" s="395"/>
      <c r="D4747" s="396"/>
      <c r="E4747" s="397"/>
      <c r="F4747" s="395"/>
      <c r="G4747" s="395"/>
      <c r="H4747" s="397"/>
      <c r="I4747" s="395"/>
      <c r="J4747" s="395"/>
      <c r="K4747" s="397"/>
      <c r="L4747" s="395"/>
      <c r="M4747" s="395"/>
      <c r="N4747" s="395"/>
      <c r="O4747" s="397"/>
      <c r="P4747" s="395"/>
      <c r="Q4747" s="395"/>
      <c r="R4747" s="353"/>
      <c r="S4747" s="185"/>
      <c r="T4747" s="185"/>
      <c r="U4747" s="185"/>
      <c r="V4747" s="185"/>
      <c r="W4747" s="185"/>
      <c r="X4747" s="185"/>
      <c r="Y4747" s="284"/>
      <c r="Z4747" s="284"/>
      <c r="AA4747" s="284"/>
      <c r="AB4747" s="284"/>
      <c r="AC4747" s="284"/>
      <c r="AD4747" s="284"/>
      <c r="AE4747" s="284"/>
      <c r="AF4747" s="284"/>
      <c r="AG4747" s="284"/>
      <c r="AH4747" s="284"/>
      <c r="AI4747" s="284"/>
      <c r="AJ4747" s="284"/>
      <c r="AK4747" s="284"/>
      <c r="AL4747" s="284"/>
    </row>
    <row r="4748" ht="15.75" customHeight="1">
      <c r="A4748" s="394"/>
      <c r="B4748" s="395"/>
      <c r="C4748" s="395"/>
      <c r="D4748" s="396"/>
      <c r="E4748" s="397"/>
      <c r="F4748" s="395"/>
      <c r="G4748" s="395"/>
      <c r="H4748" s="397"/>
      <c r="I4748" s="395"/>
      <c r="J4748" s="395"/>
      <c r="K4748" s="397"/>
      <c r="L4748" s="395"/>
      <c r="M4748" s="395"/>
      <c r="N4748" s="395"/>
      <c r="O4748" s="397"/>
      <c r="P4748" s="395"/>
      <c r="Q4748" s="395"/>
      <c r="R4748" s="353"/>
      <c r="S4748" s="185"/>
      <c r="T4748" s="185"/>
      <c r="U4748" s="185"/>
      <c r="V4748" s="185"/>
      <c r="W4748" s="185"/>
      <c r="X4748" s="185"/>
      <c r="Y4748" s="284"/>
      <c r="Z4748" s="284"/>
      <c r="AA4748" s="284"/>
      <c r="AB4748" s="284"/>
      <c r="AC4748" s="284"/>
      <c r="AD4748" s="284"/>
      <c r="AE4748" s="284"/>
      <c r="AF4748" s="284"/>
      <c r="AG4748" s="284"/>
      <c r="AH4748" s="284"/>
      <c r="AI4748" s="284"/>
      <c r="AJ4748" s="284"/>
      <c r="AK4748" s="284"/>
      <c r="AL4748" s="284"/>
    </row>
    <row r="4749" ht="15.75" customHeight="1">
      <c r="A4749" s="394"/>
      <c r="B4749" s="395"/>
      <c r="C4749" s="395"/>
      <c r="D4749" s="396"/>
      <c r="E4749" s="397"/>
      <c r="F4749" s="395"/>
      <c r="G4749" s="395"/>
      <c r="H4749" s="397"/>
      <c r="I4749" s="395"/>
      <c r="J4749" s="395"/>
      <c r="K4749" s="397"/>
      <c r="L4749" s="395"/>
      <c r="M4749" s="395"/>
      <c r="N4749" s="395"/>
      <c r="O4749" s="397"/>
      <c r="P4749" s="395"/>
      <c r="Q4749" s="395"/>
      <c r="R4749" s="353"/>
      <c r="S4749" s="185"/>
      <c r="T4749" s="185"/>
      <c r="U4749" s="185"/>
      <c r="V4749" s="185"/>
      <c r="W4749" s="185"/>
      <c r="X4749" s="185"/>
      <c r="Y4749" s="284"/>
      <c r="Z4749" s="284"/>
      <c r="AA4749" s="284"/>
      <c r="AB4749" s="284"/>
      <c r="AC4749" s="284"/>
      <c r="AD4749" s="284"/>
      <c r="AE4749" s="284"/>
      <c r="AF4749" s="284"/>
      <c r="AG4749" s="284"/>
      <c r="AH4749" s="284"/>
      <c r="AI4749" s="284"/>
      <c r="AJ4749" s="284"/>
      <c r="AK4749" s="284"/>
      <c r="AL4749" s="284"/>
    </row>
    <row r="4750" ht="15.75" customHeight="1">
      <c r="A4750" s="394"/>
      <c r="B4750" s="395"/>
      <c r="C4750" s="395"/>
      <c r="D4750" s="396"/>
      <c r="E4750" s="397"/>
      <c r="F4750" s="395"/>
      <c r="G4750" s="395"/>
      <c r="H4750" s="397"/>
      <c r="I4750" s="395"/>
      <c r="J4750" s="395"/>
      <c r="K4750" s="397"/>
      <c r="L4750" s="395"/>
      <c r="M4750" s="395"/>
      <c r="N4750" s="395"/>
      <c r="O4750" s="397"/>
      <c r="P4750" s="395"/>
      <c r="Q4750" s="395"/>
      <c r="R4750" s="353"/>
      <c r="S4750" s="185"/>
      <c r="T4750" s="185"/>
      <c r="U4750" s="185"/>
      <c r="V4750" s="185"/>
      <c r="W4750" s="185"/>
      <c r="X4750" s="185"/>
      <c r="Y4750" s="284"/>
      <c r="Z4750" s="284"/>
      <c r="AA4750" s="284"/>
      <c r="AB4750" s="284"/>
      <c r="AC4750" s="284"/>
      <c r="AD4750" s="284"/>
      <c r="AE4750" s="284"/>
      <c r="AF4750" s="284"/>
      <c r="AG4750" s="284"/>
      <c r="AH4750" s="284"/>
      <c r="AI4750" s="284"/>
      <c r="AJ4750" s="284"/>
      <c r="AK4750" s="284"/>
      <c r="AL4750" s="284"/>
    </row>
    <row r="4751" ht="15.75" customHeight="1">
      <c r="A4751" s="394"/>
      <c r="B4751" s="395"/>
      <c r="C4751" s="395"/>
      <c r="D4751" s="396"/>
      <c r="E4751" s="397"/>
      <c r="F4751" s="395"/>
      <c r="G4751" s="395"/>
      <c r="H4751" s="397"/>
      <c r="I4751" s="395"/>
      <c r="J4751" s="395"/>
      <c r="K4751" s="397"/>
      <c r="L4751" s="395"/>
      <c r="M4751" s="395"/>
      <c r="N4751" s="395"/>
      <c r="O4751" s="397"/>
      <c r="P4751" s="395"/>
      <c r="Q4751" s="395"/>
      <c r="R4751" s="353"/>
      <c r="S4751" s="185"/>
      <c r="T4751" s="185"/>
      <c r="U4751" s="185"/>
      <c r="V4751" s="185"/>
      <c r="W4751" s="185"/>
      <c r="X4751" s="185"/>
      <c r="Y4751" s="284"/>
      <c r="Z4751" s="284"/>
      <c r="AA4751" s="284"/>
      <c r="AB4751" s="284"/>
      <c r="AC4751" s="284"/>
      <c r="AD4751" s="284"/>
      <c r="AE4751" s="284"/>
      <c r="AF4751" s="284"/>
      <c r="AG4751" s="284"/>
      <c r="AH4751" s="284"/>
      <c r="AI4751" s="284"/>
      <c r="AJ4751" s="284"/>
      <c r="AK4751" s="284"/>
      <c r="AL4751" s="284"/>
    </row>
    <row r="4752" ht="15.75" customHeight="1">
      <c r="A4752" s="394"/>
      <c r="B4752" s="395"/>
      <c r="C4752" s="395"/>
      <c r="D4752" s="396"/>
      <c r="E4752" s="397"/>
      <c r="F4752" s="395"/>
      <c r="G4752" s="395"/>
      <c r="H4752" s="397"/>
      <c r="I4752" s="395"/>
      <c r="J4752" s="395"/>
      <c r="K4752" s="397"/>
      <c r="L4752" s="395"/>
      <c r="M4752" s="395"/>
      <c r="N4752" s="395"/>
      <c r="O4752" s="397"/>
      <c r="P4752" s="395"/>
      <c r="Q4752" s="395"/>
      <c r="R4752" s="353"/>
      <c r="S4752" s="185"/>
      <c r="T4752" s="185"/>
      <c r="U4752" s="185"/>
      <c r="V4752" s="185"/>
      <c r="W4752" s="185"/>
      <c r="X4752" s="185"/>
      <c r="Y4752" s="284"/>
      <c r="Z4752" s="284"/>
      <c r="AA4752" s="284"/>
      <c r="AB4752" s="284"/>
      <c r="AC4752" s="284"/>
      <c r="AD4752" s="284"/>
      <c r="AE4752" s="284"/>
      <c r="AF4752" s="284"/>
      <c r="AG4752" s="284"/>
      <c r="AH4752" s="284"/>
      <c r="AI4752" s="284"/>
      <c r="AJ4752" s="284"/>
      <c r="AK4752" s="284"/>
      <c r="AL4752" s="284"/>
    </row>
    <row r="4753" ht="15.75" customHeight="1">
      <c r="A4753" s="394"/>
      <c r="B4753" s="395"/>
      <c r="C4753" s="395"/>
      <c r="D4753" s="396"/>
      <c r="E4753" s="397"/>
      <c r="F4753" s="395"/>
      <c r="G4753" s="395"/>
      <c r="H4753" s="397"/>
      <c r="I4753" s="395"/>
      <c r="J4753" s="395"/>
      <c r="K4753" s="397"/>
      <c r="L4753" s="395"/>
      <c r="M4753" s="395"/>
      <c r="N4753" s="395"/>
      <c r="O4753" s="397"/>
      <c r="P4753" s="395"/>
      <c r="Q4753" s="395"/>
      <c r="R4753" s="353"/>
      <c r="S4753" s="185"/>
      <c r="T4753" s="185"/>
      <c r="U4753" s="185"/>
      <c r="V4753" s="185"/>
      <c r="W4753" s="185"/>
      <c r="X4753" s="185"/>
      <c r="Y4753" s="284"/>
      <c r="Z4753" s="284"/>
      <c r="AA4753" s="284"/>
      <c r="AB4753" s="284"/>
      <c r="AC4753" s="284"/>
      <c r="AD4753" s="284"/>
      <c r="AE4753" s="284"/>
      <c r="AF4753" s="284"/>
      <c r="AG4753" s="284"/>
      <c r="AH4753" s="284"/>
      <c r="AI4753" s="284"/>
      <c r="AJ4753" s="284"/>
      <c r="AK4753" s="284"/>
      <c r="AL4753" s="284"/>
    </row>
    <row r="4754" ht="15.75" customHeight="1">
      <c r="A4754" s="394"/>
      <c r="B4754" s="395"/>
      <c r="C4754" s="395"/>
      <c r="D4754" s="396"/>
      <c r="E4754" s="397"/>
      <c r="F4754" s="395"/>
      <c r="G4754" s="395"/>
      <c r="H4754" s="397"/>
      <c r="I4754" s="395"/>
      <c r="J4754" s="395"/>
      <c r="K4754" s="397"/>
      <c r="L4754" s="395"/>
      <c r="M4754" s="395"/>
      <c r="N4754" s="395"/>
      <c r="O4754" s="397"/>
      <c r="P4754" s="395"/>
      <c r="Q4754" s="395"/>
      <c r="R4754" s="353"/>
      <c r="S4754" s="185"/>
      <c r="T4754" s="185"/>
      <c r="U4754" s="185"/>
      <c r="V4754" s="185"/>
      <c r="W4754" s="185"/>
      <c r="X4754" s="185"/>
      <c r="Y4754" s="284"/>
      <c r="Z4754" s="284"/>
      <c r="AA4754" s="284"/>
      <c r="AB4754" s="284"/>
      <c r="AC4754" s="284"/>
      <c r="AD4754" s="284"/>
      <c r="AE4754" s="284"/>
      <c r="AF4754" s="284"/>
      <c r="AG4754" s="284"/>
      <c r="AH4754" s="284"/>
      <c r="AI4754" s="284"/>
      <c r="AJ4754" s="284"/>
      <c r="AK4754" s="284"/>
      <c r="AL4754" s="284"/>
    </row>
    <row r="4755" ht="15.75" customHeight="1">
      <c r="A4755" s="394"/>
      <c r="B4755" s="395"/>
      <c r="C4755" s="395"/>
      <c r="D4755" s="396"/>
      <c r="E4755" s="397"/>
      <c r="F4755" s="395"/>
      <c r="G4755" s="395"/>
      <c r="H4755" s="397"/>
      <c r="I4755" s="395"/>
      <c r="J4755" s="395"/>
      <c r="K4755" s="397"/>
      <c r="L4755" s="395"/>
      <c r="M4755" s="395"/>
      <c r="N4755" s="395"/>
      <c r="O4755" s="397"/>
      <c r="P4755" s="395"/>
      <c r="Q4755" s="395"/>
      <c r="R4755" s="353"/>
      <c r="S4755" s="185"/>
      <c r="T4755" s="185"/>
      <c r="U4755" s="185"/>
      <c r="V4755" s="185"/>
      <c r="W4755" s="185"/>
      <c r="X4755" s="185"/>
      <c r="Y4755" s="284"/>
      <c r="Z4755" s="284"/>
      <c r="AA4755" s="284"/>
      <c r="AB4755" s="284"/>
      <c r="AC4755" s="284"/>
      <c r="AD4755" s="284"/>
      <c r="AE4755" s="284"/>
      <c r="AF4755" s="284"/>
      <c r="AG4755" s="284"/>
      <c r="AH4755" s="284"/>
      <c r="AI4755" s="284"/>
      <c r="AJ4755" s="284"/>
      <c r="AK4755" s="284"/>
      <c r="AL4755" s="284"/>
    </row>
    <row r="4756" ht="15.75" customHeight="1">
      <c r="A4756" s="394"/>
      <c r="B4756" s="395"/>
      <c r="C4756" s="395"/>
      <c r="D4756" s="396"/>
      <c r="E4756" s="397"/>
      <c r="F4756" s="395"/>
      <c r="G4756" s="395"/>
      <c r="H4756" s="397"/>
      <c r="I4756" s="395"/>
      <c r="J4756" s="395"/>
      <c r="K4756" s="397"/>
      <c r="L4756" s="395"/>
      <c r="M4756" s="395"/>
      <c r="N4756" s="395"/>
      <c r="O4756" s="397"/>
      <c r="P4756" s="395"/>
      <c r="Q4756" s="395"/>
      <c r="R4756" s="353"/>
      <c r="S4756" s="185"/>
      <c r="T4756" s="185"/>
      <c r="U4756" s="185"/>
      <c r="V4756" s="185"/>
      <c r="W4756" s="185"/>
      <c r="X4756" s="185"/>
      <c r="Y4756" s="284"/>
      <c r="Z4756" s="284"/>
      <c r="AA4756" s="284"/>
      <c r="AB4756" s="284"/>
      <c r="AC4756" s="284"/>
      <c r="AD4756" s="284"/>
      <c r="AE4756" s="284"/>
      <c r="AF4756" s="284"/>
      <c r="AG4756" s="284"/>
      <c r="AH4756" s="284"/>
      <c r="AI4756" s="284"/>
      <c r="AJ4756" s="284"/>
      <c r="AK4756" s="284"/>
      <c r="AL4756" s="284"/>
    </row>
    <row r="4757" ht="15.75" customHeight="1">
      <c r="A4757" s="394"/>
      <c r="B4757" s="395"/>
      <c r="C4757" s="395"/>
      <c r="D4757" s="396"/>
      <c r="E4757" s="397"/>
      <c r="F4757" s="395"/>
      <c r="G4757" s="395"/>
      <c r="H4757" s="397"/>
      <c r="I4757" s="395"/>
      <c r="J4757" s="395"/>
      <c r="K4757" s="397"/>
      <c r="L4757" s="395"/>
      <c r="M4757" s="395"/>
      <c r="N4757" s="395"/>
      <c r="O4757" s="397"/>
      <c r="P4757" s="395"/>
      <c r="Q4757" s="395"/>
      <c r="R4757" s="353"/>
      <c r="S4757" s="185"/>
      <c r="T4757" s="185"/>
      <c r="U4757" s="185"/>
      <c r="V4757" s="185"/>
      <c r="W4757" s="185"/>
      <c r="X4757" s="185"/>
      <c r="Y4757" s="284"/>
      <c r="Z4757" s="284"/>
      <c r="AA4757" s="284"/>
      <c r="AB4757" s="284"/>
      <c r="AC4757" s="284"/>
      <c r="AD4757" s="284"/>
      <c r="AE4757" s="284"/>
      <c r="AF4757" s="284"/>
      <c r="AG4757" s="284"/>
      <c r="AH4757" s="284"/>
      <c r="AI4757" s="284"/>
      <c r="AJ4757" s="284"/>
      <c r="AK4757" s="284"/>
      <c r="AL4757" s="284"/>
    </row>
    <row r="4758" ht="15.75" customHeight="1">
      <c r="A4758" s="394"/>
      <c r="B4758" s="395"/>
      <c r="C4758" s="395"/>
      <c r="D4758" s="396"/>
      <c r="E4758" s="397"/>
      <c r="F4758" s="395"/>
      <c r="G4758" s="395"/>
      <c r="H4758" s="397"/>
      <c r="I4758" s="395"/>
      <c r="J4758" s="395"/>
      <c r="K4758" s="397"/>
      <c r="L4758" s="395"/>
      <c r="M4758" s="395"/>
      <c r="N4758" s="395"/>
      <c r="O4758" s="397"/>
      <c r="P4758" s="395"/>
      <c r="Q4758" s="395"/>
      <c r="R4758" s="353"/>
      <c r="S4758" s="185"/>
      <c r="T4758" s="185"/>
      <c r="U4758" s="185"/>
      <c r="V4758" s="185"/>
      <c r="W4758" s="185"/>
      <c r="X4758" s="185"/>
      <c r="Y4758" s="284"/>
      <c r="Z4758" s="284"/>
      <c r="AA4758" s="284"/>
      <c r="AB4758" s="284"/>
      <c r="AC4758" s="284"/>
      <c r="AD4758" s="284"/>
      <c r="AE4758" s="284"/>
      <c r="AF4758" s="284"/>
      <c r="AG4758" s="284"/>
      <c r="AH4758" s="284"/>
      <c r="AI4758" s="284"/>
      <c r="AJ4758" s="284"/>
      <c r="AK4758" s="284"/>
      <c r="AL4758" s="284"/>
    </row>
    <row r="4759" ht="15.75" customHeight="1">
      <c r="A4759" s="394"/>
      <c r="B4759" s="395"/>
      <c r="C4759" s="395"/>
      <c r="D4759" s="396"/>
      <c r="E4759" s="397"/>
      <c r="F4759" s="395"/>
      <c r="G4759" s="395"/>
      <c r="H4759" s="397"/>
      <c r="I4759" s="395"/>
      <c r="J4759" s="395"/>
      <c r="K4759" s="397"/>
      <c r="L4759" s="395"/>
      <c r="M4759" s="395"/>
      <c r="N4759" s="395"/>
      <c r="O4759" s="397"/>
      <c r="P4759" s="395"/>
      <c r="Q4759" s="395"/>
      <c r="R4759" s="353"/>
      <c r="S4759" s="185"/>
      <c r="T4759" s="185"/>
      <c r="U4759" s="185"/>
      <c r="V4759" s="185"/>
      <c r="W4759" s="185"/>
      <c r="X4759" s="185"/>
      <c r="Y4759" s="284"/>
      <c r="Z4759" s="284"/>
      <c r="AA4759" s="284"/>
      <c r="AB4759" s="284"/>
      <c r="AC4759" s="284"/>
      <c r="AD4759" s="284"/>
      <c r="AE4759" s="284"/>
      <c r="AF4759" s="284"/>
      <c r="AG4759" s="284"/>
      <c r="AH4759" s="284"/>
      <c r="AI4759" s="284"/>
      <c r="AJ4759" s="284"/>
      <c r="AK4759" s="284"/>
      <c r="AL4759" s="284"/>
    </row>
    <row r="4760" ht="15.75" customHeight="1">
      <c r="A4760" s="394"/>
      <c r="B4760" s="395"/>
      <c r="C4760" s="395"/>
      <c r="D4760" s="396"/>
      <c r="E4760" s="397"/>
      <c r="F4760" s="395"/>
      <c r="G4760" s="395"/>
      <c r="H4760" s="397"/>
      <c r="I4760" s="395"/>
      <c r="J4760" s="395"/>
      <c r="K4760" s="397"/>
      <c r="L4760" s="395"/>
      <c r="M4760" s="395"/>
      <c r="N4760" s="395"/>
      <c r="O4760" s="397"/>
      <c r="P4760" s="395"/>
      <c r="Q4760" s="395"/>
      <c r="R4760" s="353"/>
      <c r="S4760" s="185"/>
      <c r="T4760" s="185"/>
      <c r="U4760" s="185"/>
      <c r="V4760" s="185"/>
      <c r="W4760" s="185"/>
      <c r="X4760" s="185"/>
      <c r="Y4760" s="284"/>
      <c r="Z4760" s="284"/>
      <c r="AA4760" s="284"/>
      <c r="AB4760" s="284"/>
      <c r="AC4760" s="284"/>
      <c r="AD4760" s="284"/>
      <c r="AE4760" s="284"/>
      <c r="AF4760" s="284"/>
      <c r="AG4760" s="284"/>
      <c r="AH4760" s="284"/>
      <c r="AI4760" s="284"/>
      <c r="AJ4760" s="284"/>
      <c r="AK4760" s="284"/>
      <c r="AL4760" s="284"/>
    </row>
    <row r="4761" ht="15.75" customHeight="1">
      <c r="A4761" s="394"/>
      <c r="B4761" s="395"/>
      <c r="C4761" s="395"/>
      <c r="D4761" s="396"/>
      <c r="E4761" s="397"/>
      <c r="F4761" s="395"/>
      <c r="G4761" s="395"/>
      <c r="H4761" s="397"/>
      <c r="I4761" s="395"/>
      <c r="J4761" s="395"/>
      <c r="K4761" s="397"/>
      <c r="L4761" s="395"/>
      <c r="M4761" s="395"/>
      <c r="N4761" s="395"/>
      <c r="O4761" s="397"/>
      <c r="P4761" s="395"/>
      <c r="Q4761" s="395"/>
      <c r="R4761" s="353"/>
      <c r="S4761" s="185"/>
      <c r="T4761" s="185"/>
      <c r="U4761" s="185"/>
      <c r="V4761" s="185"/>
      <c r="W4761" s="185"/>
      <c r="X4761" s="185"/>
      <c r="Y4761" s="284"/>
      <c r="Z4761" s="284"/>
      <c r="AA4761" s="284"/>
      <c r="AB4761" s="284"/>
      <c r="AC4761" s="284"/>
      <c r="AD4761" s="284"/>
      <c r="AE4761" s="284"/>
      <c r="AF4761" s="284"/>
      <c r="AG4761" s="284"/>
      <c r="AH4761" s="284"/>
      <c r="AI4761" s="284"/>
      <c r="AJ4761" s="284"/>
      <c r="AK4761" s="284"/>
      <c r="AL4761" s="284"/>
    </row>
    <row r="4762" ht="15.75" customHeight="1">
      <c r="A4762" s="394"/>
      <c r="B4762" s="395"/>
      <c r="C4762" s="395"/>
      <c r="D4762" s="396"/>
      <c r="E4762" s="397"/>
      <c r="F4762" s="395"/>
      <c r="G4762" s="395"/>
      <c r="H4762" s="397"/>
      <c r="I4762" s="395"/>
      <c r="J4762" s="395"/>
      <c r="K4762" s="397"/>
      <c r="L4762" s="395"/>
      <c r="M4762" s="395"/>
      <c r="N4762" s="395"/>
      <c r="O4762" s="397"/>
      <c r="P4762" s="395"/>
      <c r="Q4762" s="395"/>
      <c r="R4762" s="353"/>
      <c r="S4762" s="185"/>
      <c r="T4762" s="185"/>
      <c r="U4762" s="185"/>
      <c r="V4762" s="185"/>
      <c r="W4762" s="185"/>
      <c r="X4762" s="185"/>
      <c r="Y4762" s="284"/>
      <c r="Z4762" s="284"/>
      <c r="AA4762" s="284"/>
      <c r="AB4762" s="284"/>
      <c r="AC4762" s="284"/>
      <c r="AD4762" s="284"/>
      <c r="AE4762" s="284"/>
      <c r="AF4762" s="284"/>
      <c r="AG4762" s="284"/>
      <c r="AH4762" s="284"/>
      <c r="AI4762" s="284"/>
      <c r="AJ4762" s="284"/>
      <c r="AK4762" s="284"/>
      <c r="AL4762" s="284"/>
    </row>
    <row r="4763" ht="15.75" customHeight="1">
      <c r="A4763" s="394"/>
      <c r="B4763" s="395"/>
      <c r="C4763" s="395"/>
      <c r="D4763" s="396"/>
      <c r="E4763" s="397"/>
      <c r="F4763" s="395"/>
      <c r="G4763" s="395"/>
      <c r="H4763" s="397"/>
      <c r="I4763" s="395"/>
      <c r="J4763" s="395"/>
      <c r="K4763" s="397"/>
      <c r="L4763" s="395"/>
      <c r="M4763" s="395"/>
      <c r="N4763" s="395"/>
      <c r="O4763" s="397"/>
      <c r="P4763" s="395"/>
      <c r="Q4763" s="395"/>
      <c r="R4763" s="353"/>
      <c r="S4763" s="185"/>
      <c r="T4763" s="185"/>
      <c r="U4763" s="185"/>
      <c r="V4763" s="185"/>
      <c r="W4763" s="185"/>
      <c r="X4763" s="185"/>
      <c r="Y4763" s="284"/>
      <c r="Z4763" s="284"/>
      <c r="AA4763" s="284"/>
      <c r="AB4763" s="284"/>
      <c r="AC4763" s="284"/>
      <c r="AD4763" s="284"/>
      <c r="AE4763" s="284"/>
      <c r="AF4763" s="284"/>
      <c r="AG4763" s="284"/>
      <c r="AH4763" s="284"/>
      <c r="AI4763" s="284"/>
      <c r="AJ4763" s="284"/>
      <c r="AK4763" s="284"/>
      <c r="AL4763" s="284"/>
    </row>
    <row r="4764" ht="15.75" customHeight="1">
      <c r="A4764" s="394"/>
      <c r="B4764" s="395"/>
      <c r="C4764" s="395"/>
      <c r="D4764" s="396"/>
      <c r="E4764" s="397"/>
      <c r="F4764" s="395"/>
      <c r="G4764" s="395"/>
      <c r="H4764" s="397"/>
      <c r="I4764" s="395"/>
      <c r="J4764" s="395"/>
      <c r="K4764" s="397"/>
      <c r="L4764" s="395"/>
      <c r="M4764" s="395"/>
      <c r="N4764" s="395"/>
      <c r="O4764" s="397"/>
      <c r="P4764" s="395"/>
      <c r="Q4764" s="395"/>
      <c r="R4764" s="353"/>
      <c r="S4764" s="185"/>
      <c r="T4764" s="185"/>
      <c r="U4764" s="185"/>
      <c r="V4764" s="185"/>
      <c r="W4764" s="185"/>
      <c r="X4764" s="185"/>
      <c r="Y4764" s="284"/>
      <c r="Z4764" s="284"/>
      <c r="AA4764" s="284"/>
      <c r="AB4764" s="284"/>
      <c r="AC4764" s="284"/>
      <c r="AD4764" s="284"/>
      <c r="AE4764" s="284"/>
      <c r="AF4764" s="284"/>
      <c r="AG4764" s="284"/>
      <c r="AH4764" s="284"/>
      <c r="AI4764" s="284"/>
      <c r="AJ4764" s="284"/>
      <c r="AK4764" s="284"/>
      <c r="AL4764" s="284"/>
    </row>
    <row r="4765" ht="15.75" customHeight="1">
      <c r="A4765" s="394"/>
      <c r="B4765" s="395"/>
      <c r="C4765" s="395"/>
      <c r="D4765" s="396"/>
      <c r="E4765" s="397"/>
      <c r="F4765" s="395"/>
      <c r="G4765" s="395"/>
      <c r="H4765" s="397"/>
      <c r="I4765" s="395"/>
      <c r="J4765" s="395"/>
      <c r="K4765" s="397"/>
      <c r="L4765" s="395"/>
      <c r="M4765" s="395"/>
      <c r="N4765" s="395"/>
      <c r="O4765" s="397"/>
      <c r="P4765" s="395"/>
      <c r="Q4765" s="395"/>
      <c r="R4765" s="353"/>
      <c r="S4765" s="185"/>
      <c r="T4765" s="185"/>
      <c r="U4765" s="185"/>
      <c r="V4765" s="185"/>
      <c r="W4765" s="185"/>
      <c r="X4765" s="185"/>
      <c r="Y4765" s="284"/>
      <c r="Z4765" s="284"/>
      <c r="AA4765" s="284"/>
      <c r="AB4765" s="284"/>
      <c r="AC4765" s="284"/>
      <c r="AD4765" s="284"/>
      <c r="AE4765" s="284"/>
      <c r="AF4765" s="284"/>
      <c r="AG4765" s="284"/>
      <c r="AH4765" s="284"/>
      <c r="AI4765" s="284"/>
      <c r="AJ4765" s="284"/>
      <c r="AK4765" s="284"/>
      <c r="AL4765" s="284"/>
    </row>
    <row r="4766" ht="15.75" customHeight="1">
      <c r="A4766" s="394"/>
      <c r="B4766" s="395"/>
      <c r="C4766" s="395"/>
      <c r="D4766" s="396"/>
      <c r="E4766" s="397"/>
      <c r="F4766" s="395"/>
      <c r="G4766" s="395"/>
      <c r="H4766" s="397"/>
      <c r="I4766" s="395"/>
      <c r="J4766" s="395"/>
      <c r="K4766" s="397"/>
      <c r="L4766" s="395"/>
      <c r="M4766" s="395"/>
      <c r="N4766" s="395"/>
      <c r="O4766" s="397"/>
      <c r="P4766" s="395"/>
      <c r="Q4766" s="395"/>
      <c r="R4766" s="353"/>
      <c r="S4766" s="185"/>
      <c r="T4766" s="185"/>
      <c r="U4766" s="185"/>
      <c r="V4766" s="185"/>
      <c r="W4766" s="185"/>
      <c r="X4766" s="185"/>
      <c r="Y4766" s="284"/>
      <c r="Z4766" s="284"/>
      <c r="AA4766" s="284"/>
      <c r="AB4766" s="284"/>
      <c r="AC4766" s="284"/>
      <c r="AD4766" s="284"/>
      <c r="AE4766" s="284"/>
      <c r="AF4766" s="284"/>
      <c r="AG4766" s="284"/>
      <c r="AH4766" s="284"/>
      <c r="AI4766" s="284"/>
      <c r="AJ4766" s="284"/>
      <c r="AK4766" s="284"/>
      <c r="AL4766" s="284"/>
    </row>
    <row r="4767" ht="15.75" customHeight="1">
      <c r="A4767" s="394"/>
      <c r="B4767" s="395"/>
      <c r="C4767" s="395"/>
      <c r="D4767" s="396"/>
      <c r="E4767" s="397"/>
      <c r="F4767" s="395"/>
      <c r="G4767" s="395"/>
      <c r="H4767" s="397"/>
      <c r="I4767" s="395"/>
      <c r="J4767" s="395"/>
      <c r="K4767" s="397"/>
      <c r="L4767" s="395"/>
      <c r="M4767" s="395"/>
      <c r="N4767" s="395"/>
      <c r="O4767" s="397"/>
      <c r="P4767" s="395"/>
      <c r="Q4767" s="395"/>
      <c r="R4767" s="353"/>
      <c r="S4767" s="185"/>
      <c r="T4767" s="185"/>
      <c r="U4767" s="185"/>
      <c r="V4767" s="185"/>
      <c r="W4767" s="185"/>
      <c r="X4767" s="185"/>
      <c r="Y4767" s="284"/>
      <c r="Z4767" s="284"/>
      <c r="AA4767" s="284"/>
      <c r="AB4767" s="284"/>
      <c r="AC4767" s="284"/>
      <c r="AD4767" s="284"/>
      <c r="AE4767" s="284"/>
      <c r="AF4767" s="284"/>
      <c r="AG4767" s="284"/>
      <c r="AH4767" s="284"/>
      <c r="AI4767" s="284"/>
      <c r="AJ4767" s="284"/>
      <c r="AK4767" s="284"/>
      <c r="AL4767" s="284"/>
    </row>
    <row r="4768" ht="15.75" customHeight="1">
      <c r="A4768" s="394"/>
      <c r="B4768" s="395"/>
      <c r="C4768" s="395"/>
      <c r="D4768" s="396"/>
      <c r="E4768" s="397"/>
      <c r="F4768" s="395"/>
      <c r="G4768" s="395"/>
      <c r="H4768" s="397"/>
      <c r="I4768" s="395"/>
      <c r="J4768" s="395"/>
      <c r="K4768" s="397"/>
      <c r="L4768" s="395"/>
      <c r="M4768" s="395"/>
      <c r="N4768" s="395"/>
      <c r="O4768" s="397"/>
      <c r="P4768" s="395"/>
      <c r="Q4768" s="395"/>
      <c r="R4768" s="353"/>
      <c r="S4768" s="185"/>
      <c r="T4768" s="185"/>
      <c r="U4768" s="185"/>
      <c r="V4768" s="185"/>
      <c r="W4768" s="185"/>
      <c r="X4768" s="185"/>
      <c r="Y4768" s="284"/>
      <c r="Z4768" s="284"/>
      <c r="AA4768" s="284"/>
      <c r="AB4768" s="284"/>
      <c r="AC4768" s="284"/>
      <c r="AD4768" s="284"/>
      <c r="AE4768" s="284"/>
      <c r="AF4768" s="284"/>
      <c r="AG4768" s="284"/>
      <c r="AH4768" s="284"/>
      <c r="AI4768" s="284"/>
      <c r="AJ4768" s="284"/>
      <c r="AK4768" s="284"/>
      <c r="AL4768" s="284"/>
    </row>
    <row r="4769" ht="15.75" customHeight="1">
      <c r="A4769" s="394"/>
      <c r="B4769" s="395"/>
      <c r="C4769" s="395"/>
      <c r="D4769" s="396"/>
      <c r="E4769" s="397"/>
      <c r="F4769" s="395"/>
      <c r="G4769" s="395"/>
      <c r="H4769" s="397"/>
      <c r="I4769" s="395"/>
      <c r="J4769" s="395"/>
      <c r="K4769" s="397"/>
      <c r="L4769" s="395"/>
      <c r="M4769" s="395"/>
      <c r="N4769" s="395"/>
      <c r="O4769" s="397"/>
      <c r="P4769" s="395"/>
      <c r="Q4769" s="395"/>
      <c r="R4769" s="353"/>
      <c r="S4769" s="185"/>
      <c r="T4769" s="185"/>
      <c r="U4769" s="185"/>
      <c r="V4769" s="185"/>
      <c r="W4769" s="185"/>
      <c r="X4769" s="185"/>
      <c r="Y4769" s="284"/>
      <c r="Z4769" s="284"/>
      <c r="AA4769" s="284"/>
      <c r="AB4769" s="284"/>
      <c r="AC4769" s="284"/>
      <c r="AD4769" s="284"/>
      <c r="AE4769" s="284"/>
      <c r="AF4769" s="284"/>
      <c r="AG4769" s="284"/>
      <c r="AH4769" s="284"/>
      <c r="AI4769" s="284"/>
      <c r="AJ4769" s="284"/>
      <c r="AK4769" s="284"/>
      <c r="AL4769" s="284"/>
    </row>
    <row r="4770" ht="15.75" customHeight="1">
      <c r="A4770" s="394"/>
      <c r="B4770" s="395"/>
      <c r="C4770" s="395"/>
      <c r="D4770" s="396"/>
      <c r="E4770" s="397"/>
      <c r="F4770" s="395"/>
      <c r="G4770" s="395"/>
      <c r="H4770" s="397"/>
      <c r="I4770" s="395"/>
      <c r="J4770" s="395"/>
      <c r="K4770" s="397"/>
      <c r="L4770" s="395"/>
      <c r="M4770" s="395"/>
      <c r="N4770" s="395"/>
      <c r="O4770" s="397"/>
      <c r="P4770" s="395"/>
      <c r="Q4770" s="395"/>
      <c r="R4770" s="353"/>
      <c r="S4770" s="185"/>
      <c r="T4770" s="185"/>
      <c r="U4770" s="185"/>
      <c r="V4770" s="185"/>
      <c r="W4770" s="185"/>
      <c r="X4770" s="185"/>
      <c r="Y4770" s="284"/>
      <c r="Z4770" s="284"/>
      <c r="AA4770" s="284"/>
      <c r="AB4770" s="284"/>
      <c r="AC4770" s="284"/>
      <c r="AD4770" s="284"/>
      <c r="AE4770" s="284"/>
      <c r="AF4770" s="284"/>
      <c r="AG4770" s="284"/>
      <c r="AH4770" s="284"/>
      <c r="AI4770" s="284"/>
      <c r="AJ4770" s="284"/>
      <c r="AK4770" s="284"/>
      <c r="AL4770" s="284"/>
    </row>
    <row r="4771" ht="15.75" customHeight="1">
      <c r="A4771" s="394"/>
      <c r="B4771" s="395"/>
      <c r="C4771" s="395"/>
      <c r="D4771" s="396"/>
      <c r="E4771" s="397"/>
      <c r="F4771" s="395"/>
      <c r="G4771" s="395"/>
      <c r="H4771" s="397"/>
      <c r="I4771" s="395"/>
      <c r="J4771" s="395"/>
      <c r="K4771" s="397"/>
      <c r="L4771" s="395"/>
      <c r="M4771" s="395"/>
      <c r="N4771" s="395"/>
      <c r="O4771" s="397"/>
      <c r="P4771" s="395"/>
      <c r="Q4771" s="395"/>
      <c r="R4771" s="353"/>
      <c r="S4771" s="185"/>
      <c r="T4771" s="185"/>
      <c r="U4771" s="185"/>
      <c r="V4771" s="185"/>
      <c r="W4771" s="185"/>
      <c r="X4771" s="185"/>
      <c r="Y4771" s="284"/>
      <c r="Z4771" s="284"/>
      <c r="AA4771" s="284"/>
      <c r="AB4771" s="284"/>
      <c r="AC4771" s="284"/>
      <c r="AD4771" s="284"/>
      <c r="AE4771" s="284"/>
      <c r="AF4771" s="284"/>
      <c r="AG4771" s="284"/>
      <c r="AH4771" s="284"/>
      <c r="AI4771" s="284"/>
      <c r="AJ4771" s="284"/>
      <c r="AK4771" s="284"/>
      <c r="AL4771" s="284"/>
    </row>
    <row r="4772" ht="15.75" customHeight="1">
      <c r="A4772" s="394"/>
      <c r="B4772" s="395"/>
      <c r="C4772" s="395"/>
      <c r="D4772" s="396"/>
      <c r="E4772" s="397"/>
      <c r="F4772" s="395"/>
      <c r="G4772" s="395"/>
      <c r="H4772" s="397"/>
      <c r="I4772" s="395"/>
      <c r="J4772" s="395"/>
      <c r="K4772" s="397"/>
      <c r="L4772" s="395"/>
      <c r="M4772" s="395"/>
      <c r="N4772" s="395"/>
      <c r="O4772" s="397"/>
      <c r="P4772" s="395"/>
      <c r="Q4772" s="395"/>
      <c r="R4772" s="353"/>
      <c r="S4772" s="185"/>
      <c r="T4772" s="185"/>
      <c r="U4772" s="185"/>
      <c r="V4772" s="185"/>
      <c r="W4772" s="185"/>
      <c r="X4772" s="185"/>
      <c r="Y4772" s="284"/>
      <c r="Z4772" s="284"/>
      <c r="AA4772" s="284"/>
      <c r="AB4772" s="284"/>
      <c r="AC4772" s="284"/>
      <c r="AD4772" s="284"/>
      <c r="AE4772" s="284"/>
      <c r="AF4772" s="284"/>
      <c r="AG4772" s="284"/>
      <c r="AH4772" s="284"/>
      <c r="AI4772" s="284"/>
      <c r="AJ4772" s="284"/>
      <c r="AK4772" s="284"/>
      <c r="AL4772" s="284"/>
    </row>
    <row r="4773" ht="15.75" customHeight="1">
      <c r="A4773" s="394"/>
      <c r="B4773" s="395"/>
      <c r="C4773" s="395"/>
      <c r="D4773" s="396"/>
      <c r="E4773" s="397"/>
      <c r="F4773" s="395"/>
      <c r="G4773" s="395"/>
      <c r="H4773" s="397"/>
      <c r="I4773" s="395"/>
      <c r="J4773" s="395"/>
      <c r="K4773" s="397"/>
      <c r="L4773" s="395"/>
      <c r="M4773" s="395"/>
      <c r="N4773" s="395"/>
      <c r="O4773" s="397"/>
      <c r="P4773" s="395"/>
      <c r="Q4773" s="395"/>
      <c r="R4773" s="353"/>
      <c r="S4773" s="185"/>
      <c r="T4773" s="185"/>
      <c r="U4773" s="185"/>
      <c r="V4773" s="185"/>
      <c r="W4773" s="185"/>
      <c r="X4773" s="185"/>
      <c r="Y4773" s="284"/>
      <c r="Z4773" s="284"/>
      <c r="AA4773" s="284"/>
      <c r="AB4773" s="284"/>
      <c r="AC4773" s="284"/>
      <c r="AD4773" s="284"/>
      <c r="AE4773" s="284"/>
      <c r="AF4773" s="284"/>
      <c r="AG4773" s="284"/>
      <c r="AH4773" s="284"/>
      <c r="AI4773" s="284"/>
      <c r="AJ4773" s="284"/>
      <c r="AK4773" s="284"/>
      <c r="AL4773" s="284"/>
    </row>
    <row r="4774" ht="15.75" customHeight="1">
      <c r="A4774" s="394"/>
      <c r="B4774" s="395"/>
      <c r="C4774" s="395"/>
      <c r="D4774" s="396"/>
      <c r="E4774" s="397"/>
      <c r="F4774" s="395"/>
      <c r="G4774" s="395"/>
      <c r="H4774" s="397"/>
      <c r="I4774" s="395"/>
      <c r="J4774" s="395"/>
      <c r="K4774" s="397"/>
      <c r="L4774" s="395"/>
      <c r="M4774" s="395"/>
      <c r="N4774" s="395"/>
      <c r="O4774" s="397"/>
      <c r="P4774" s="395"/>
      <c r="Q4774" s="395"/>
      <c r="R4774" s="353"/>
      <c r="S4774" s="185"/>
      <c r="T4774" s="185"/>
      <c r="U4774" s="185"/>
      <c r="V4774" s="185"/>
      <c r="W4774" s="185"/>
      <c r="X4774" s="185"/>
      <c r="Y4774" s="284"/>
      <c r="Z4774" s="284"/>
      <c r="AA4774" s="284"/>
      <c r="AB4774" s="284"/>
      <c r="AC4774" s="284"/>
      <c r="AD4774" s="284"/>
      <c r="AE4774" s="284"/>
      <c r="AF4774" s="284"/>
      <c r="AG4774" s="284"/>
      <c r="AH4774" s="284"/>
      <c r="AI4774" s="284"/>
      <c r="AJ4774" s="284"/>
      <c r="AK4774" s="284"/>
      <c r="AL4774" s="284"/>
    </row>
    <row r="4775" ht="15.75" customHeight="1">
      <c r="A4775" s="394"/>
      <c r="B4775" s="395"/>
      <c r="C4775" s="395"/>
      <c r="D4775" s="396"/>
      <c r="E4775" s="397"/>
      <c r="F4775" s="395"/>
      <c r="G4775" s="395"/>
      <c r="H4775" s="397"/>
      <c r="I4775" s="395"/>
      <c r="J4775" s="395"/>
      <c r="K4775" s="397"/>
      <c r="L4775" s="395"/>
      <c r="M4775" s="395"/>
      <c r="N4775" s="395"/>
      <c r="O4775" s="397"/>
      <c r="P4775" s="395"/>
      <c r="Q4775" s="395"/>
      <c r="R4775" s="353"/>
      <c r="S4775" s="185"/>
      <c r="T4775" s="185"/>
      <c r="U4775" s="185"/>
      <c r="V4775" s="185"/>
      <c r="W4775" s="185"/>
      <c r="X4775" s="185"/>
      <c r="Y4775" s="284"/>
      <c r="Z4775" s="284"/>
      <c r="AA4775" s="284"/>
      <c r="AB4775" s="284"/>
      <c r="AC4775" s="284"/>
      <c r="AD4775" s="284"/>
      <c r="AE4775" s="284"/>
      <c r="AF4775" s="284"/>
      <c r="AG4775" s="284"/>
      <c r="AH4775" s="284"/>
      <c r="AI4775" s="284"/>
      <c r="AJ4775" s="284"/>
      <c r="AK4775" s="284"/>
      <c r="AL4775" s="284"/>
    </row>
    <row r="4776" ht="15.75" customHeight="1">
      <c r="A4776" s="394"/>
      <c r="B4776" s="395"/>
      <c r="C4776" s="395"/>
      <c r="D4776" s="396"/>
      <c r="E4776" s="397"/>
      <c r="F4776" s="395"/>
      <c r="G4776" s="395"/>
      <c r="H4776" s="397"/>
      <c r="I4776" s="395"/>
      <c r="J4776" s="395"/>
      <c r="K4776" s="397"/>
      <c r="L4776" s="395"/>
      <c r="M4776" s="395"/>
      <c r="N4776" s="395"/>
      <c r="O4776" s="397"/>
      <c r="P4776" s="395"/>
      <c r="Q4776" s="395"/>
      <c r="R4776" s="353"/>
      <c r="S4776" s="185"/>
      <c r="T4776" s="185"/>
      <c r="U4776" s="185"/>
      <c r="V4776" s="185"/>
      <c r="W4776" s="185"/>
      <c r="X4776" s="185"/>
      <c r="Y4776" s="284"/>
      <c r="Z4776" s="284"/>
      <c r="AA4776" s="284"/>
      <c r="AB4776" s="284"/>
      <c r="AC4776" s="284"/>
      <c r="AD4776" s="284"/>
      <c r="AE4776" s="284"/>
      <c r="AF4776" s="284"/>
      <c r="AG4776" s="284"/>
      <c r="AH4776" s="284"/>
      <c r="AI4776" s="284"/>
      <c r="AJ4776" s="284"/>
      <c r="AK4776" s="284"/>
      <c r="AL4776" s="284"/>
    </row>
    <row r="4777" ht="15.75" customHeight="1">
      <c r="A4777" s="394"/>
      <c r="B4777" s="395"/>
      <c r="C4777" s="395"/>
      <c r="D4777" s="396"/>
      <c r="E4777" s="397"/>
      <c r="F4777" s="395"/>
      <c r="G4777" s="395"/>
      <c r="H4777" s="397"/>
      <c r="I4777" s="395"/>
      <c r="J4777" s="395"/>
      <c r="K4777" s="397"/>
      <c r="L4777" s="395"/>
      <c r="M4777" s="395"/>
      <c r="N4777" s="395"/>
      <c r="O4777" s="397"/>
      <c r="P4777" s="395"/>
      <c r="Q4777" s="395"/>
      <c r="R4777" s="353"/>
      <c r="S4777" s="185"/>
      <c r="T4777" s="185"/>
      <c r="U4777" s="185"/>
      <c r="V4777" s="185"/>
      <c r="W4777" s="185"/>
      <c r="X4777" s="185"/>
      <c r="Y4777" s="284"/>
      <c r="Z4777" s="284"/>
      <c r="AA4777" s="284"/>
      <c r="AB4777" s="284"/>
      <c r="AC4777" s="284"/>
      <c r="AD4777" s="284"/>
      <c r="AE4777" s="284"/>
      <c r="AF4777" s="284"/>
      <c r="AG4777" s="284"/>
      <c r="AH4777" s="284"/>
      <c r="AI4777" s="284"/>
      <c r="AJ4777" s="284"/>
      <c r="AK4777" s="284"/>
      <c r="AL4777" s="284"/>
    </row>
    <row r="4778" ht="15.75" customHeight="1">
      <c r="A4778" s="394"/>
      <c r="B4778" s="395"/>
      <c r="C4778" s="395"/>
      <c r="D4778" s="396"/>
      <c r="E4778" s="397"/>
      <c r="F4778" s="395"/>
      <c r="G4778" s="395"/>
      <c r="H4778" s="397"/>
      <c r="I4778" s="395"/>
      <c r="J4778" s="395"/>
      <c r="K4778" s="397"/>
      <c r="L4778" s="395"/>
      <c r="M4778" s="395"/>
      <c r="N4778" s="395"/>
      <c r="O4778" s="397"/>
      <c r="P4778" s="395"/>
      <c r="Q4778" s="395"/>
      <c r="R4778" s="353"/>
      <c r="S4778" s="185"/>
      <c r="T4778" s="185"/>
      <c r="U4778" s="185"/>
      <c r="V4778" s="185"/>
      <c r="W4778" s="185"/>
      <c r="X4778" s="185"/>
      <c r="Y4778" s="284"/>
      <c r="Z4778" s="284"/>
      <c r="AA4778" s="284"/>
      <c r="AB4778" s="284"/>
      <c r="AC4778" s="284"/>
      <c r="AD4778" s="284"/>
      <c r="AE4778" s="284"/>
      <c r="AF4778" s="284"/>
      <c r="AG4778" s="284"/>
      <c r="AH4778" s="284"/>
      <c r="AI4778" s="284"/>
      <c r="AJ4778" s="284"/>
      <c r="AK4778" s="284"/>
      <c r="AL4778" s="284"/>
    </row>
    <row r="4779" ht="15.75" customHeight="1">
      <c r="A4779" s="394"/>
      <c r="B4779" s="395"/>
      <c r="C4779" s="395"/>
      <c r="D4779" s="396"/>
      <c r="E4779" s="397"/>
      <c r="F4779" s="395"/>
      <c r="G4779" s="395"/>
      <c r="H4779" s="397"/>
      <c r="I4779" s="395"/>
      <c r="J4779" s="395"/>
      <c r="K4779" s="397"/>
      <c r="L4779" s="395"/>
      <c r="M4779" s="395"/>
      <c r="N4779" s="395"/>
      <c r="O4779" s="397"/>
      <c r="P4779" s="395"/>
      <c r="Q4779" s="395"/>
      <c r="R4779" s="353"/>
      <c r="S4779" s="185"/>
      <c r="T4779" s="185"/>
      <c r="U4779" s="185"/>
      <c r="V4779" s="185"/>
      <c r="W4779" s="185"/>
      <c r="X4779" s="185"/>
      <c r="Y4779" s="284"/>
      <c r="Z4779" s="284"/>
      <c r="AA4779" s="284"/>
      <c r="AB4779" s="284"/>
      <c r="AC4779" s="284"/>
      <c r="AD4779" s="284"/>
      <c r="AE4779" s="284"/>
      <c r="AF4779" s="284"/>
      <c r="AG4779" s="284"/>
      <c r="AH4779" s="284"/>
      <c r="AI4779" s="284"/>
      <c r="AJ4779" s="284"/>
      <c r="AK4779" s="284"/>
      <c r="AL4779" s="284"/>
    </row>
    <row r="4780" ht="15.75" customHeight="1">
      <c r="A4780" s="394"/>
      <c r="B4780" s="395"/>
      <c r="C4780" s="395"/>
      <c r="D4780" s="396"/>
      <c r="E4780" s="397"/>
      <c r="F4780" s="395"/>
      <c r="G4780" s="395"/>
      <c r="H4780" s="397"/>
      <c r="I4780" s="395"/>
      <c r="J4780" s="395"/>
      <c r="K4780" s="397"/>
      <c r="L4780" s="395"/>
      <c r="M4780" s="395"/>
      <c r="N4780" s="395"/>
      <c r="O4780" s="397"/>
      <c r="P4780" s="395"/>
      <c r="Q4780" s="395"/>
      <c r="R4780" s="353"/>
      <c r="S4780" s="185"/>
      <c r="T4780" s="185"/>
      <c r="U4780" s="185"/>
      <c r="V4780" s="185"/>
      <c r="W4780" s="185"/>
      <c r="X4780" s="185"/>
      <c r="Y4780" s="284"/>
      <c r="Z4780" s="284"/>
      <c r="AA4780" s="284"/>
      <c r="AB4780" s="284"/>
      <c r="AC4780" s="284"/>
      <c r="AD4780" s="284"/>
      <c r="AE4780" s="284"/>
      <c r="AF4780" s="284"/>
      <c r="AG4780" s="284"/>
      <c r="AH4780" s="284"/>
      <c r="AI4780" s="284"/>
      <c r="AJ4780" s="284"/>
      <c r="AK4780" s="284"/>
      <c r="AL4780" s="284"/>
    </row>
    <row r="4781" ht="15.75" customHeight="1">
      <c r="A4781" s="394"/>
      <c r="B4781" s="395"/>
      <c r="C4781" s="395"/>
      <c r="D4781" s="396"/>
      <c r="E4781" s="397"/>
      <c r="F4781" s="395"/>
      <c r="G4781" s="395"/>
      <c r="H4781" s="397"/>
      <c r="I4781" s="395"/>
      <c r="J4781" s="395"/>
      <c r="K4781" s="397"/>
      <c r="L4781" s="395"/>
      <c r="M4781" s="395"/>
      <c r="N4781" s="395"/>
      <c r="O4781" s="397"/>
      <c r="P4781" s="395"/>
      <c r="Q4781" s="395"/>
      <c r="R4781" s="353"/>
      <c r="S4781" s="185"/>
      <c r="T4781" s="185"/>
      <c r="U4781" s="185"/>
      <c r="V4781" s="185"/>
      <c r="W4781" s="185"/>
      <c r="X4781" s="185"/>
      <c r="Y4781" s="284"/>
      <c r="Z4781" s="284"/>
      <c r="AA4781" s="284"/>
      <c r="AB4781" s="284"/>
      <c r="AC4781" s="284"/>
      <c r="AD4781" s="284"/>
      <c r="AE4781" s="284"/>
      <c r="AF4781" s="284"/>
      <c r="AG4781" s="284"/>
      <c r="AH4781" s="284"/>
      <c r="AI4781" s="284"/>
      <c r="AJ4781" s="284"/>
      <c r="AK4781" s="284"/>
      <c r="AL4781" s="284"/>
    </row>
    <row r="4782" ht="15.75" customHeight="1">
      <c r="A4782" s="394"/>
      <c r="B4782" s="395"/>
      <c r="C4782" s="395"/>
      <c r="D4782" s="396"/>
      <c r="E4782" s="397"/>
      <c r="F4782" s="395"/>
      <c r="G4782" s="395"/>
      <c r="H4782" s="397"/>
      <c r="I4782" s="395"/>
      <c r="J4782" s="395"/>
      <c r="K4782" s="397"/>
      <c r="L4782" s="395"/>
      <c r="M4782" s="395"/>
      <c r="N4782" s="395"/>
      <c r="O4782" s="397"/>
      <c r="P4782" s="395"/>
      <c r="Q4782" s="395"/>
      <c r="R4782" s="353"/>
      <c r="S4782" s="185"/>
      <c r="T4782" s="185"/>
      <c r="U4782" s="185"/>
      <c r="V4782" s="185"/>
      <c r="W4782" s="185"/>
      <c r="X4782" s="185"/>
      <c r="Y4782" s="284"/>
      <c r="Z4782" s="284"/>
      <c r="AA4782" s="284"/>
      <c r="AB4782" s="284"/>
      <c r="AC4782" s="284"/>
      <c r="AD4782" s="284"/>
      <c r="AE4782" s="284"/>
      <c r="AF4782" s="284"/>
      <c r="AG4782" s="284"/>
      <c r="AH4782" s="284"/>
      <c r="AI4782" s="284"/>
      <c r="AJ4782" s="284"/>
      <c r="AK4782" s="284"/>
      <c r="AL4782" s="284"/>
    </row>
    <row r="4783" ht="15.75" customHeight="1">
      <c r="A4783" s="394"/>
      <c r="B4783" s="395"/>
      <c r="C4783" s="395"/>
      <c r="D4783" s="396"/>
      <c r="E4783" s="397"/>
      <c r="F4783" s="395"/>
      <c r="G4783" s="395"/>
      <c r="H4783" s="397"/>
      <c r="I4783" s="395"/>
      <c r="J4783" s="395"/>
      <c r="K4783" s="397"/>
      <c r="L4783" s="395"/>
      <c r="M4783" s="395"/>
      <c r="N4783" s="395"/>
      <c r="O4783" s="397"/>
      <c r="P4783" s="395"/>
      <c r="Q4783" s="395"/>
      <c r="R4783" s="353"/>
      <c r="S4783" s="185"/>
      <c r="T4783" s="185"/>
      <c r="U4783" s="185"/>
      <c r="V4783" s="185"/>
      <c r="W4783" s="185"/>
      <c r="X4783" s="185"/>
      <c r="Y4783" s="284"/>
      <c r="Z4783" s="284"/>
      <c r="AA4783" s="284"/>
      <c r="AB4783" s="284"/>
      <c r="AC4783" s="284"/>
      <c r="AD4783" s="284"/>
      <c r="AE4783" s="284"/>
      <c r="AF4783" s="284"/>
      <c r="AG4783" s="284"/>
      <c r="AH4783" s="284"/>
      <c r="AI4783" s="284"/>
      <c r="AJ4783" s="284"/>
      <c r="AK4783" s="284"/>
      <c r="AL4783" s="284"/>
    </row>
    <row r="4784" ht="15.75" customHeight="1">
      <c r="A4784" s="394"/>
      <c r="B4784" s="395"/>
      <c r="C4784" s="395"/>
      <c r="D4784" s="396"/>
      <c r="E4784" s="397"/>
      <c r="F4784" s="395"/>
      <c r="G4784" s="395"/>
      <c r="H4784" s="397"/>
      <c r="I4784" s="395"/>
      <c r="J4784" s="395"/>
      <c r="K4784" s="397"/>
      <c r="L4784" s="395"/>
      <c r="M4784" s="395"/>
      <c r="N4784" s="395"/>
      <c r="O4784" s="397"/>
      <c r="P4784" s="395"/>
      <c r="Q4784" s="395"/>
      <c r="R4784" s="353"/>
      <c r="S4784" s="185"/>
      <c r="T4784" s="185"/>
      <c r="U4784" s="185"/>
      <c r="V4784" s="185"/>
      <c r="W4784" s="185"/>
      <c r="X4784" s="185"/>
      <c r="Y4784" s="284"/>
      <c r="Z4784" s="284"/>
      <c r="AA4784" s="284"/>
      <c r="AB4784" s="284"/>
      <c r="AC4784" s="284"/>
      <c r="AD4784" s="284"/>
      <c r="AE4784" s="284"/>
      <c r="AF4784" s="284"/>
      <c r="AG4784" s="284"/>
      <c r="AH4784" s="284"/>
      <c r="AI4784" s="284"/>
      <c r="AJ4784" s="284"/>
      <c r="AK4784" s="284"/>
      <c r="AL4784" s="284"/>
    </row>
    <row r="4785" ht="15.75" customHeight="1">
      <c r="A4785" s="394"/>
      <c r="B4785" s="395"/>
      <c r="C4785" s="395"/>
      <c r="D4785" s="396"/>
      <c r="E4785" s="397"/>
      <c r="F4785" s="395"/>
      <c r="G4785" s="395"/>
      <c r="H4785" s="397"/>
      <c r="I4785" s="395"/>
      <c r="J4785" s="395"/>
      <c r="K4785" s="397"/>
      <c r="L4785" s="395"/>
      <c r="M4785" s="395"/>
      <c r="N4785" s="395"/>
      <c r="O4785" s="397"/>
      <c r="P4785" s="395"/>
      <c r="Q4785" s="395"/>
      <c r="R4785" s="353"/>
      <c r="S4785" s="185"/>
      <c r="T4785" s="185"/>
      <c r="U4785" s="185"/>
      <c r="V4785" s="185"/>
      <c r="W4785" s="185"/>
      <c r="X4785" s="185"/>
      <c r="Y4785" s="284"/>
      <c r="Z4785" s="284"/>
      <c r="AA4785" s="284"/>
      <c r="AB4785" s="284"/>
      <c r="AC4785" s="284"/>
      <c r="AD4785" s="284"/>
      <c r="AE4785" s="284"/>
      <c r="AF4785" s="284"/>
      <c r="AG4785" s="284"/>
      <c r="AH4785" s="284"/>
      <c r="AI4785" s="284"/>
      <c r="AJ4785" s="284"/>
      <c r="AK4785" s="284"/>
      <c r="AL4785" s="284"/>
    </row>
    <row r="4786" ht="15.75" customHeight="1">
      <c r="A4786" s="394"/>
      <c r="B4786" s="395"/>
      <c r="C4786" s="395"/>
      <c r="D4786" s="396"/>
      <c r="E4786" s="397"/>
      <c r="F4786" s="395"/>
      <c r="G4786" s="395"/>
      <c r="H4786" s="397"/>
      <c r="I4786" s="395"/>
      <c r="J4786" s="395"/>
      <c r="K4786" s="397"/>
      <c r="L4786" s="395"/>
      <c r="M4786" s="395"/>
      <c r="N4786" s="395"/>
      <c r="O4786" s="397"/>
      <c r="P4786" s="395"/>
      <c r="Q4786" s="395"/>
      <c r="R4786" s="353"/>
      <c r="S4786" s="185"/>
      <c r="T4786" s="185"/>
      <c r="U4786" s="185"/>
      <c r="V4786" s="185"/>
      <c r="W4786" s="185"/>
      <c r="X4786" s="185"/>
      <c r="Y4786" s="284"/>
      <c r="Z4786" s="284"/>
      <c r="AA4786" s="284"/>
      <c r="AB4786" s="284"/>
      <c r="AC4786" s="284"/>
      <c r="AD4786" s="284"/>
      <c r="AE4786" s="284"/>
      <c r="AF4786" s="284"/>
      <c r="AG4786" s="284"/>
      <c r="AH4786" s="284"/>
      <c r="AI4786" s="284"/>
      <c r="AJ4786" s="284"/>
      <c r="AK4786" s="284"/>
      <c r="AL4786" s="284"/>
    </row>
    <row r="4787" ht="15.75" customHeight="1">
      <c r="A4787" s="394"/>
      <c r="B4787" s="395"/>
      <c r="C4787" s="395"/>
      <c r="D4787" s="396"/>
      <c r="E4787" s="397"/>
      <c r="F4787" s="395"/>
      <c r="G4787" s="395"/>
      <c r="H4787" s="397"/>
      <c r="I4787" s="395"/>
      <c r="J4787" s="395"/>
      <c r="K4787" s="397"/>
      <c r="L4787" s="395"/>
      <c r="M4787" s="395"/>
      <c r="N4787" s="395"/>
      <c r="O4787" s="397"/>
      <c r="P4787" s="395"/>
      <c r="Q4787" s="395"/>
      <c r="R4787" s="353"/>
      <c r="S4787" s="185"/>
      <c r="T4787" s="185"/>
      <c r="U4787" s="185"/>
      <c r="V4787" s="185"/>
      <c r="W4787" s="185"/>
      <c r="X4787" s="185"/>
      <c r="Y4787" s="284"/>
      <c r="Z4787" s="284"/>
      <c r="AA4787" s="284"/>
      <c r="AB4787" s="284"/>
      <c r="AC4787" s="284"/>
      <c r="AD4787" s="284"/>
      <c r="AE4787" s="284"/>
      <c r="AF4787" s="284"/>
      <c r="AG4787" s="284"/>
      <c r="AH4787" s="284"/>
      <c r="AI4787" s="284"/>
      <c r="AJ4787" s="284"/>
      <c r="AK4787" s="284"/>
      <c r="AL4787" s="284"/>
    </row>
    <row r="4788" ht="15.75" customHeight="1">
      <c r="A4788" s="394"/>
      <c r="B4788" s="395"/>
      <c r="C4788" s="395"/>
      <c r="D4788" s="396"/>
      <c r="E4788" s="397"/>
      <c r="F4788" s="395"/>
      <c r="G4788" s="395"/>
      <c r="H4788" s="397"/>
      <c r="I4788" s="395"/>
      <c r="J4788" s="395"/>
      <c r="K4788" s="397"/>
      <c r="L4788" s="395"/>
      <c r="M4788" s="395"/>
      <c r="N4788" s="395"/>
      <c r="O4788" s="397"/>
      <c r="P4788" s="395"/>
      <c r="Q4788" s="395"/>
      <c r="R4788" s="353"/>
      <c r="S4788" s="185"/>
      <c r="T4788" s="185"/>
      <c r="U4788" s="185"/>
      <c r="V4788" s="185"/>
      <c r="W4788" s="185"/>
      <c r="X4788" s="185"/>
      <c r="Y4788" s="284"/>
      <c r="Z4788" s="284"/>
      <c r="AA4788" s="284"/>
      <c r="AB4788" s="284"/>
      <c r="AC4788" s="284"/>
      <c r="AD4788" s="284"/>
      <c r="AE4788" s="284"/>
      <c r="AF4788" s="284"/>
      <c r="AG4788" s="284"/>
      <c r="AH4788" s="284"/>
      <c r="AI4788" s="284"/>
      <c r="AJ4788" s="284"/>
      <c r="AK4788" s="284"/>
      <c r="AL4788" s="284"/>
    </row>
    <row r="4789" ht="15.75" customHeight="1">
      <c r="A4789" s="394"/>
      <c r="B4789" s="395"/>
      <c r="C4789" s="395"/>
      <c r="D4789" s="396"/>
      <c r="E4789" s="397"/>
      <c r="F4789" s="395"/>
      <c r="G4789" s="395"/>
      <c r="H4789" s="397"/>
      <c r="I4789" s="395"/>
      <c r="J4789" s="395"/>
      <c r="K4789" s="397"/>
      <c r="L4789" s="395"/>
      <c r="M4789" s="395"/>
      <c r="N4789" s="395"/>
      <c r="O4789" s="397"/>
      <c r="P4789" s="395"/>
      <c r="Q4789" s="395"/>
      <c r="R4789" s="353"/>
      <c r="S4789" s="185"/>
      <c r="T4789" s="185"/>
      <c r="U4789" s="185"/>
      <c r="V4789" s="185"/>
      <c r="W4789" s="185"/>
      <c r="X4789" s="185"/>
      <c r="Y4789" s="284"/>
      <c r="Z4789" s="284"/>
      <c r="AA4789" s="284"/>
      <c r="AB4789" s="284"/>
      <c r="AC4789" s="284"/>
      <c r="AD4789" s="284"/>
      <c r="AE4789" s="284"/>
      <c r="AF4789" s="284"/>
      <c r="AG4789" s="284"/>
      <c r="AH4789" s="284"/>
      <c r="AI4789" s="284"/>
      <c r="AJ4789" s="284"/>
      <c r="AK4789" s="284"/>
      <c r="AL4789" s="284"/>
    </row>
    <row r="4790" ht="15.75" customHeight="1">
      <c r="A4790" s="394"/>
      <c r="B4790" s="395"/>
      <c r="C4790" s="395"/>
      <c r="D4790" s="396"/>
      <c r="E4790" s="397"/>
      <c r="F4790" s="395"/>
      <c r="G4790" s="395"/>
      <c r="H4790" s="397"/>
      <c r="I4790" s="395"/>
      <c r="J4790" s="395"/>
      <c r="K4790" s="397"/>
      <c r="L4790" s="395"/>
      <c r="M4790" s="395"/>
      <c r="N4790" s="395"/>
      <c r="O4790" s="397"/>
      <c r="P4790" s="395"/>
      <c r="Q4790" s="395"/>
      <c r="R4790" s="353"/>
      <c r="S4790" s="185"/>
      <c r="T4790" s="185"/>
      <c r="U4790" s="185"/>
      <c r="V4790" s="185"/>
      <c r="W4790" s="185"/>
      <c r="X4790" s="185"/>
      <c r="Y4790" s="284"/>
      <c r="Z4790" s="284"/>
      <c r="AA4790" s="284"/>
      <c r="AB4790" s="284"/>
      <c r="AC4790" s="284"/>
      <c r="AD4790" s="284"/>
      <c r="AE4790" s="284"/>
      <c r="AF4790" s="284"/>
      <c r="AG4790" s="284"/>
      <c r="AH4790" s="284"/>
      <c r="AI4790" s="284"/>
      <c r="AJ4790" s="284"/>
      <c r="AK4790" s="284"/>
      <c r="AL4790" s="284"/>
    </row>
    <row r="4791" ht="15.75" customHeight="1">
      <c r="A4791" s="394"/>
      <c r="B4791" s="395"/>
      <c r="C4791" s="395"/>
      <c r="D4791" s="396"/>
      <c r="E4791" s="397"/>
      <c r="F4791" s="395"/>
      <c r="G4791" s="395"/>
      <c r="H4791" s="397"/>
      <c r="I4791" s="395"/>
      <c r="J4791" s="395"/>
      <c r="K4791" s="397"/>
      <c r="L4791" s="395"/>
      <c r="M4791" s="395"/>
      <c r="N4791" s="395"/>
      <c r="O4791" s="397"/>
      <c r="P4791" s="395"/>
      <c r="Q4791" s="395"/>
      <c r="R4791" s="353"/>
      <c r="S4791" s="185"/>
      <c r="T4791" s="185"/>
      <c r="U4791" s="185"/>
      <c r="V4791" s="185"/>
      <c r="W4791" s="185"/>
      <c r="X4791" s="185"/>
      <c r="Y4791" s="284"/>
      <c r="Z4791" s="284"/>
      <c r="AA4791" s="284"/>
      <c r="AB4791" s="284"/>
      <c r="AC4791" s="284"/>
      <c r="AD4791" s="284"/>
      <c r="AE4791" s="284"/>
      <c r="AF4791" s="284"/>
      <c r="AG4791" s="284"/>
      <c r="AH4791" s="284"/>
      <c r="AI4791" s="284"/>
      <c r="AJ4791" s="284"/>
      <c r="AK4791" s="284"/>
      <c r="AL4791" s="284"/>
    </row>
    <row r="4792" ht="15.75" customHeight="1">
      <c r="A4792" s="394"/>
      <c r="B4792" s="395"/>
      <c r="C4792" s="395"/>
      <c r="D4792" s="396"/>
      <c r="E4792" s="397"/>
      <c r="F4792" s="395"/>
      <c r="G4792" s="395"/>
      <c r="H4792" s="397"/>
      <c r="I4792" s="395"/>
      <c r="J4792" s="395"/>
      <c r="K4792" s="397"/>
      <c r="L4792" s="395"/>
      <c r="M4792" s="395"/>
      <c r="N4792" s="395"/>
      <c r="O4792" s="397"/>
      <c r="P4792" s="395"/>
      <c r="Q4792" s="395"/>
      <c r="R4792" s="353"/>
      <c r="S4792" s="185"/>
      <c r="T4792" s="185"/>
      <c r="U4792" s="185"/>
      <c r="V4792" s="185"/>
      <c r="W4792" s="185"/>
      <c r="X4792" s="185"/>
      <c r="Y4792" s="284"/>
      <c r="Z4792" s="284"/>
      <c r="AA4792" s="284"/>
      <c r="AB4792" s="284"/>
      <c r="AC4792" s="284"/>
      <c r="AD4792" s="284"/>
      <c r="AE4792" s="284"/>
      <c r="AF4792" s="284"/>
      <c r="AG4792" s="284"/>
      <c r="AH4792" s="284"/>
      <c r="AI4792" s="284"/>
      <c r="AJ4792" s="284"/>
      <c r="AK4792" s="284"/>
      <c r="AL4792" s="284"/>
    </row>
    <row r="4793" ht="15.75" customHeight="1">
      <c r="A4793" s="394"/>
      <c r="B4793" s="395"/>
      <c r="C4793" s="395"/>
      <c r="D4793" s="396"/>
      <c r="E4793" s="397"/>
      <c r="F4793" s="395"/>
      <c r="G4793" s="395"/>
      <c r="H4793" s="397"/>
      <c r="I4793" s="395"/>
      <c r="J4793" s="395"/>
      <c r="K4793" s="397"/>
      <c r="L4793" s="395"/>
      <c r="M4793" s="395"/>
      <c r="N4793" s="395"/>
      <c r="O4793" s="397"/>
      <c r="P4793" s="395"/>
      <c r="Q4793" s="395"/>
      <c r="R4793" s="353"/>
      <c r="S4793" s="185"/>
      <c r="T4793" s="185"/>
      <c r="U4793" s="185"/>
      <c r="V4793" s="185"/>
      <c r="W4793" s="185"/>
      <c r="X4793" s="185"/>
      <c r="Y4793" s="284"/>
      <c r="Z4793" s="284"/>
      <c r="AA4793" s="284"/>
      <c r="AB4793" s="284"/>
      <c r="AC4793" s="284"/>
      <c r="AD4793" s="284"/>
      <c r="AE4793" s="284"/>
      <c r="AF4793" s="284"/>
      <c r="AG4793" s="284"/>
      <c r="AH4793" s="284"/>
      <c r="AI4793" s="284"/>
      <c r="AJ4793" s="284"/>
      <c r="AK4793" s="284"/>
      <c r="AL4793" s="284"/>
    </row>
    <row r="4794" ht="15.75" customHeight="1">
      <c r="A4794" s="394"/>
      <c r="B4794" s="395"/>
      <c r="C4794" s="395"/>
      <c r="D4794" s="396"/>
      <c r="E4794" s="397"/>
      <c r="F4794" s="395"/>
      <c r="G4794" s="395"/>
      <c r="H4794" s="397"/>
      <c r="I4794" s="395"/>
      <c r="J4794" s="395"/>
      <c r="K4794" s="397"/>
      <c r="L4794" s="395"/>
      <c r="M4794" s="395"/>
      <c r="N4794" s="395"/>
      <c r="O4794" s="397"/>
      <c r="P4794" s="395"/>
      <c r="Q4794" s="395"/>
      <c r="R4794" s="353"/>
      <c r="S4794" s="185"/>
      <c r="T4794" s="185"/>
      <c r="U4794" s="185"/>
      <c r="V4794" s="185"/>
      <c r="W4794" s="185"/>
      <c r="X4794" s="185"/>
      <c r="Y4794" s="284"/>
      <c r="Z4794" s="284"/>
      <c r="AA4794" s="284"/>
      <c r="AB4794" s="284"/>
      <c r="AC4794" s="284"/>
      <c r="AD4794" s="284"/>
      <c r="AE4794" s="284"/>
      <c r="AF4794" s="284"/>
      <c r="AG4794" s="284"/>
      <c r="AH4794" s="284"/>
      <c r="AI4794" s="284"/>
      <c r="AJ4794" s="284"/>
      <c r="AK4794" s="284"/>
      <c r="AL4794" s="284"/>
    </row>
    <row r="4795" ht="15.75" customHeight="1">
      <c r="A4795" s="394"/>
      <c r="B4795" s="395"/>
      <c r="C4795" s="395"/>
      <c r="D4795" s="396"/>
      <c r="E4795" s="397"/>
      <c r="F4795" s="395"/>
      <c r="G4795" s="395"/>
      <c r="H4795" s="397"/>
      <c r="I4795" s="395"/>
      <c r="J4795" s="395"/>
      <c r="K4795" s="397"/>
      <c r="L4795" s="395"/>
      <c r="M4795" s="395"/>
      <c r="N4795" s="395"/>
      <c r="O4795" s="397"/>
      <c r="P4795" s="395"/>
      <c r="Q4795" s="395"/>
      <c r="R4795" s="353"/>
      <c r="S4795" s="185"/>
      <c r="T4795" s="185"/>
      <c r="U4795" s="185"/>
      <c r="V4795" s="185"/>
      <c r="W4795" s="185"/>
      <c r="X4795" s="185"/>
      <c r="Y4795" s="284"/>
      <c r="Z4795" s="284"/>
      <c r="AA4795" s="284"/>
      <c r="AB4795" s="284"/>
      <c r="AC4795" s="284"/>
      <c r="AD4795" s="284"/>
      <c r="AE4795" s="284"/>
      <c r="AF4795" s="284"/>
      <c r="AG4795" s="284"/>
      <c r="AH4795" s="284"/>
      <c r="AI4795" s="284"/>
      <c r="AJ4795" s="284"/>
      <c r="AK4795" s="284"/>
      <c r="AL4795" s="284"/>
    </row>
    <row r="4796" ht="15.75" customHeight="1">
      <c r="A4796" s="394"/>
      <c r="B4796" s="395"/>
      <c r="C4796" s="395"/>
      <c r="D4796" s="396"/>
      <c r="E4796" s="397"/>
      <c r="F4796" s="395"/>
      <c r="G4796" s="395"/>
      <c r="H4796" s="397"/>
      <c r="I4796" s="395"/>
      <c r="J4796" s="395"/>
      <c r="K4796" s="397"/>
      <c r="L4796" s="395"/>
      <c r="M4796" s="395"/>
      <c r="N4796" s="395"/>
      <c r="O4796" s="397"/>
      <c r="P4796" s="395"/>
      <c r="Q4796" s="395"/>
      <c r="R4796" s="353"/>
      <c r="S4796" s="185"/>
      <c r="T4796" s="185"/>
      <c r="U4796" s="185"/>
      <c r="V4796" s="185"/>
      <c r="W4796" s="185"/>
      <c r="X4796" s="185"/>
      <c r="Y4796" s="284"/>
      <c r="Z4796" s="284"/>
      <c r="AA4796" s="284"/>
      <c r="AB4796" s="284"/>
      <c r="AC4796" s="284"/>
      <c r="AD4796" s="284"/>
      <c r="AE4796" s="284"/>
      <c r="AF4796" s="284"/>
      <c r="AG4796" s="284"/>
      <c r="AH4796" s="284"/>
      <c r="AI4796" s="284"/>
      <c r="AJ4796" s="284"/>
      <c r="AK4796" s="284"/>
      <c r="AL4796" s="284"/>
    </row>
    <row r="4797" ht="15.75" customHeight="1">
      <c r="A4797" s="394"/>
      <c r="B4797" s="395"/>
      <c r="C4797" s="395"/>
      <c r="D4797" s="396"/>
      <c r="E4797" s="397"/>
      <c r="F4797" s="395"/>
      <c r="G4797" s="395"/>
      <c r="H4797" s="397"/>
      <c r="I4797" s="395"/>
      <c r="J4797" s="395"/>
      <c r="K4797" s="397"/>
      <c r="L4797" s="395"/>
      <c r="M4797" s="395"/>
      <c r="N4797" s="395"/>
      <c r="O4797" s="397"/>
      <c r="P4797" s="395"/>
      <c r="Q4797" s="395"/>
      <c r="R4797" s="353"/>
      <c r="S4797" s="185"/>
      <c r="T4797" s="185"/>
      <c r="U4797" s="185"/>
      <c r="V4797" s="185"/>
      <c r="W4797" s="185"/>
      <c r="X4797" s="185"/>
      <c r="Y4797" s="284"/>
      <c r="Z4797" s="284"/>
      <c r="AA4797" s="284"/>
      <c r="AB4797" s="284"/>
      <c r="AC4797" s="284"/>
      <c r="AD4797" s="284"/>
      <c r="AE4797" s="284"/>
      <c r="AF4797" s="284"/>
      <c r="AG4797" s="284"/>
      <c r="AH4797" s="284"/>
      <c r="AI4797" s="284"/>
      <c r="AJ4797" s="284"/>
      <c r="AK4797" s="284"/>
      <c r="AL4797" s="284"/>
    </row>
    <row r="4798" ht="15.75" customHeight="1">
      <c r="A4798" s="394"/>
      <c r="B4798" s="395"/>
      <c r="C4798" s="395"/>
      <c r="D4798" s="396"/>
      <c r="E4798" s="397"/>
      <c r="F4798" s="395"/>
      <c r="G4798" s="395"/>
      <c r="H4798" s="397"/>
      <c r="I4798" s="395"/>
      <c r="J4798" s="395"/>
      <c r="K4798" s="397"/>
      <c r="L4798" s="395"/>
      <c r="M4798" s="395"/>
      <c r="N4798" s="395"/>
      <c r="O4798" s="397"/>
      <c r="P4798" s="395"/>
      <c r="Q4798" s="395"/>
      <c r="R4798" s="353"/>
      <c r="S4798" s="185"/>
      <c r="T4798" s="185"/>
      <c r="U4798" s="185"/>
      <c r="V4798" s="185"/>
      <c r="W4798" s="185"/>
      <c r="X4798" s="185"/>
      <c r="Y4798" s="284"/>
      <c r="Z4798" s="284"/>
      <c r="AA4798" s="284"/>
      <c r="AB4798" s="284"/>
      <c r="AC4798" s="284"/>
      <c r="AD4798" s="284"/>
      <c r="AE4798" s="284"/>
      <c r="AF4798" s="284"/>
      <c r="AG4798" s="284"/>
      <c r="AH4798" s="284"/>
      <c r="AI4798" s="284"/>
      <c r="AJ4798" s="284"/>
      <c r="AK4798" s="284"/>
      <c r="AL4798" s="284"/>
    </row>
    <row r="4799" ht="15.75" customHeight="1">
      <c r="A4799" s="394"/>
      <c r="B4799" s="395"/>
      <c r="C4799" s="395"/>
      <c r="D4799" s="396"/>
      <c r="E4799" s="397"/>
      <c r="F4799" s="395"/>
      <c r="G4799" s="395"/>
      <c r="H4799" s="397"/>
      <c r="I4799" s="395"/>
      <c r="J4799" s="395"/>
      <c r="K4799" s="397"/>
      <c r="L4799" s="395"/>
      <c r="M4799" s="395"/>
      <c r="N4799" s="395"/>
      <c r="O4799" s="397"/>
      <c r="P4799" s="395"/>
      <c r="Q4799" s="395"/>
      <c r="R4799" s="353"/>
      <c r="S4799" s="185"/>
      <c r="T4799" s="185"/>
      <c r="U4799" s="185"/>
      <c r="V4799" s="185"/>
      <c r="W4799" s="185"/>
      <c r="X4799" s="185"/>
      <c r="Y4799" s="284"/>
      <c r="Z4799" s="284"/>
      <c r="AA4799" s="284"/>
      <c r="AB4799" s="284"/>
      <c r="AC4799" s="284"/>
      <c r="AD4799" s="284"/>
      <c r="AE4799" s="284"/>
      <c r="AF4799" s="284"/>
      <c r="AG4799" s="284"/>
      <c r="AH4799" s="284"/>
      <c r="AI4799" s="284"/>
      <c r="AJ4799" s="284"/>
      <c r="AK4799" s="284"/>
      <c r="AL4799" s="284"/>
    </row>
    <row r="4800" ht="15.75" customHeight="1">
      <c r="A4800" s="394"/>
      <c r="B4800" s="395"/>
      <c r="C4800" s="395"/>
      <c r="D4800" s="396"/>
      <c r="E4800" s="397"/>
      <c r="F4800" s="395"/>
      <c r="G4800" s="395"/>
      <c r="H4800" s="397"/>
      <c r="I4800" s="395"/>
      <c r="J4800" s="395"/>
      <c r="K4800" s="397"/>
      <c r="L4800" s="395"/>
      <c r="M4800" s="395"/>
      <c r="N4800" s="395"/>
      <c r="O4800" s="397"/>
      <c r="P4800" s="395"/>
      <c r="Q4800" s="395"/>
      <c r="R4800" s="353"/>
      <c r="S4800" s="185"/>
      <c r="T4800" s="185"/>
      <c r="U4800" s="185"/>
      <c r="V4800" s="185"/>
      <c r="W4800" s="185"/>
      <c r="X4800" s="185"/>
      <c r="Y4800" s="284"/>
      <c r="Z4800" s="284"/>
      <c r="AA4800" s="284"/>
      <c r="AB4800" s="284"/>
      <c r="AC4800" s="284"/>
      <c r="AD4800" s="284"/>
      <c r="AE4800" s="284"/>
      <c r="AF4800" s="284"/>
      <c r="AG4800" s="284"/>
      <c r="AH4800" s="284"/>
      <c r="AI4800" s="284"/>
      <c r="AJ4800" s="284"/>
      <c r="AK4800" s="284"/>
      <c r="AL4800" s="284"/>
    </row>
    <row r="4801" ht="15.75" customHeight="1">
      <c r="A4801" s="394"/>
      <c r="B4801" s="395"/>
      <c r="C4801" s="395"/>
      <c r="D4801" s="396"/>
      <c r="E4801" s="397"/>
      <c r="F4801" s="395"/>
      <c r="G4801" s="395"/>
      <c r="H4801" s="397"/>
      <c r="I4801" s="395"/>
      <c r="J4801" s="395"/>
      <c r="K4801" s="397"/>
      <c r="L4801" s="395"/>
      <c r="M4801" s="395"/>
      <c r="N4801" s="395"/>
      <c r="O4801" s="397"/>
      <c r="P4801" s="395"/>
      <c r="Q4801" s="395"/>
      <c r="R4801" s="353"/>
      <c r="S4801" s="185"/>
      <c r="T4801" s="185"/>
      <c r="U4801" s="185"/>
      <c r="V4801" s="185"/>
      <c r="W4801" s="185"/>
      <c r="X4801" s="185"/>
      <c r="Y4801" s="284"/>
      <c r="Z4801" s="284"/>
      <c r="AA4801" s="284"/>
      <c r="AB4801" s="284"/>
      <c r="AC4801" s="284"/>
      <c r="AD4801" s="284"/>
      <c r="AE4801" s="284"/>
      <c r="AF4801" s="284"/>
      <c r="AG4801" s="284"/>
      <c r="AH4801" s="284"/>
      <c r="AI4801" s="284"/>
      <c r="AJ4801" s="284"/>
      <c r="AK4801" s="284"/>
      <c r="AL4801" s="284"/>
    </row>
    <row r="4802" ht="15.75" customHeight="1">
      <c r="A4802" s="394"/>
      <c r="B4802" s="395"/>
      <c r="C4802" s="395"/>
      <c r="D4802" s="396"/>
      <c r="E4802" s="397"/>
      <c r="F4802" s="395"/>
      <c r="G4802" s="395"/>
      <c r="H4802" s="397"/>
      <c r="I4802" s="395"/>
      <c r="J4802" s="395"/>
      <c r="K4802" s="397"/>
      <c r="L4802" s="395"/>
      <c r="M4802" s="395"/>
      <c r="N4802" s="395"/>
      <c r="O4802" s="397"/>
      <c r="P4802" s="395"/>
      <c r="Q4802" s="395"/>
      <c r="R4802" s="353"/>
      <c r="S4802" s="185"/>
      <c r="T4802" s="185"/>
      <c r="U4802" s="185"/>
      <c r="V4802" s="185"/>
      <c r="W4802" s="185"/>
      <c r="X4802" s="185"/>
      <c r="Y4802" s="284"/>
      <c r="Z4802" s="284"/>
      <c r="AA4802" s="284"/>
      <c r="AB4802" s="284"/>
      <c r="AC4802" s="284"/>
      <c r="AD4802" s="284"/>
      <c r="AE4802" s="284"/>
      <c r="AF4802" s="284"/>
      <c r="AG4802" s="284"/>
      <c r="AH4802" s="284"/>
      <c r="AI4802" s="284"/>
      <c r="AJ4802" s="284"/>
      <c r="AK4802" s="284"/>
      <c r="AL4802" s="284"/>
    </row>
    <row r="4803" ht="15.75" customHeight="1">
      <c r="A4803" s="394"/>
      <c r="B4803" s="395"/>
      <c r="C4803" s="395"/>
      <c r="D4803" s="396"/>
      <c r="E4803" s="397"/>
      <c r="F4803" s="395"/>
      <c r="G4803" s="395"/>
      <c r="H4803" s="397"/>
      <c r="I4803" s="395"/>
      <c r="J4803" s="395"/>
      <c r="K4803" s="397"/>
      <c r="L4803" s="395"/>
      <c r="M4803" s="395"/>
      <c r="N4803" s="395"/>
      <c r="O4803" s="397"/>
      <c r="P4803" s="395"/>
      <c r="Q4803" s="395"/>
      <c r="R4803" s="353"/>
      <c r="S4803" s="185"/>
      <c r="T4803" s="185"/>
      <c r="U4803" s="185"/>
      <c r="V4803" s="185"/>
      <c r="W4803" s="185"/>
      <c r="X4803" s="185"/>
      <c r="Y4803" s="284"/>
      <c r="Z4803" s="284"/>
      <c r="AA4803" s="284"/>
      <c r="AB4803" s="284"/>
      <c r="AC4803" s="284"/>
      <c r="AD4803" s="284"/>
      <c r="AE4803" s="284"/>
      <c r="AF4803" s="284"/>
      <c r="AG4803" s="284"/>
      <c r="AH4803" s="284"/>
      <c r="AI4803" s="284"/>
      <c r="AJ4803" s="284"/>
      <c r="AK4803" s="284"/>
      <c r="AL4803" s="284"/>
    </row>
    <row r="4804" ht="15.75" customHeight="1">
      <c r="A4804" s="394"/>
      <c r="B4804" s="395"/>
      <c r="C4804" s="395"/>
      <c r="D4804" s="396"/>
      <c r="E4804" s="397"/>
      <c r="F4804" s="395"/>
      <c r="G4804" s="395"/>
      <c r="H4804" s="397"/>
      <c r="I4804" s="395"/>
      <c r="J4804" s="395"/>
      <c r="K4804" s="397"/>
      <c r="L4804" s="395"/>
      <c r="M4804" s="395"/>
      <c r="N4804" s="395"/>
      <c r="O4804" s="397"/>
      <c r="P4804" s="395"/>
      <c r="Q4804" s="395"/>
      <c r="R4804" s="353"/>
      <c r="S4804" s="185"/>
      <c r="T4804" s="185"/>
      <c r="U4804" s="185"/>
      <c r="V4804" s="185"/>
      <c r="W4804" s="185"/>
      <c r="X4804" s="185"/>
      <c r="Y4804" s="284"/>
      <c r="Z4804" s="284"/>
      <c r="AA4804" s="284"/>
      <c r="AB4804" s="284"/>
      <c r="AC4804" s="284"/>
      <c r="AD4804" s="284"/>
      <c r="AE4804" s="284"/>
      <c r="AF4804" s="284"/>
      <c r="AG4804" s="284"/>
      <c r="AH4804" s="284"/>
      <c r="AI4804" s="284"/>
      <c r="AJ4804" s="284"/>
      <c r="AK4804" s="284"/>
      <c r="AL4804" s="284"/>
    </row>
    <row r="4805" ht="15.75" customHeight="1">
      <c r="A4805" s="394"/>
      <c r="B4805" s="395"/>
      <c r="C4805" s="395"/>
      <c r="D4805" s="396"/>
      <c r="E4805" s="397"/>
      <c r="F4805" s="395"/>
      <c r="G4805" s="395"/>
      <c r="H4805" s="397"/>
      <c r="I4805" s="395"/>
      <c r="J4805" s="395"/>
      <c r="K4805" s="397"/>
      <c r="L4805" s="395"/>
      <c r="M4805" s="395"/>
      <c r="N4805" s="395"/>
      <c r="O4805" s="397"/>
      <c r="P4805" s="395"/>
      <c r="Q4805" s="395"/>
      <c r="R4805" s="353"/>
      <c r="S4805" s="185"/>
      <c r="T4805" s="185"/>
      <c r="U4805" s="185"/>
      <c r="V4805" s="185"/>
      <c r="W4805" s="185"/>
      <c r="X4805" s="185"/>
      <c r="Y4805" s="284"/>
      <c r="Z4805" s="284"/>
      <c r="AA4805" s="284"/>
      <c r="AB4805" s="284"/>
      <c r="AC4805" s="284"/>
      <c r="AD4805" s="284"/>
      <c r="AE4805" s="284"/>
      <c r="AF4805" s="284"/>
      <c r="AG4805" s="284"/>
      <c r="AH4805" s="284"/>
      <c r="AI4805" s="284"/>
      <c r="AJ4805" s="284"/>
      <c r="AK4805" s="284"/>
      <c r="AL4805" s="284"/>
    </row>
    <row r="4806" ht="15.75" customHeight="1">
      <c r="A4806" s="394"/>
      <c r="B4806" s="395"/>
      <c r="C4806" s="395"/>
      <c r="D4806" s="396"/>
      <c r="E4806" s="397"/>
      <c r="F4806" s="395"/>
      <c r="G4806" s="395"/>
      <c r="H4806" s="397"/>
      <c r="I4806" s="395"/>
      <c r="J4806" s="395"/>
      <c r="K4806" s="397"/>
      <c r="L4806" s="395"/>
      <c r="M4806" s="395"/>
      <c r="N4806" s="395"/>
      <c r="O4806" s="397"/>
      <c r="P4806" s="395"/>
      <c r="Q4806" s="395"/>
      <c r="R4806" s="353"/>
      <c r="S4806" s="185"/>
      <c r="T4806" s="185"/>
      <c r="U4806" s="185"/>
      <c r="V4806" s="185"/>
      <c r="W4806" s="185"/>
      <c r="X4806" s="185"/>
      <c r="Y4806" s="284"/>
      <c r="Z4806" s="284"/>
      <c r="AA4806" s="284"/>
      <c r="AB4806" s="284"/>
      <c r="AC4806" s="284"/>
      <c r="AD4806" s="284"/>
      <c r="AE4806" s="284"/>
      <c r="AF4806" s="284"/>
      <c r="AG4806" s="284"/>
      <c r="AH4806" s="284"/>
      <c r="AI4806" s="284"/>
      <c r="AJ4806" s="284"/>
      <c r="AK4806" s="284"/>
      <c r="AL4806" s="284"/>
    </row>
    <row r="4807" ht="15.75" customHeight="1">
      <c r="A4807" s="394"/>
      <c r="B4807" s="395"/>
      <c r="C4807" s="395"/>
      <c r="D4807" s="396"/>
      <c r="E4807" s="397"/>
      <c r="F4807" s="395"/>
      <c r="G4807" s="395"/>
      <c r="H4807" s="397"/>
      <c r="I4807" s="395"/>
      <c r="J4807" s="395"/>
      <c r="K4807" s="397"/>
      <c r="L4807" s="395"/>
      <c r="M4807" s="395"/>
      <c r="N4807" s="395"/>
      <c r="O4807" s="397"/>
      <c r="P4807" s="395"/>
      <c r="Q4807" s="395"/>
      <c r="R4807" s="353"/>
      <c r="S4807" s="185"/>
      <c r="T4807" s="185"/>
      <c r="U4807" s="185"/>
      <c r="V4807" s="185"/>
      <c r="W4807" s="185"/>
      <c r="X4807" s="185"/>
      <c r="Y4807" s="284"/>
      <c r="Z4807" s="284"/>
      <c r="AA4807" s="284"/>
      <c r="AB4807" s="284"/>
      <c r="AC4807" s="284"/>
      <c r="AD4807" s="284"/>
      <c r="AE4807" s="284"/>
      <c r="AF4807" s="284"/>
      <c r="AG4807" s="284"/>
      <c r="AH4807" s="284"/>
      <c r="AI4807" s="284"/>
      <c r="AJ4807" s="284"/>
      <c r="AK4807" s="284"/>
      <c r="AL4807" s="284"/>
    </row>
    <row r="4808" ht="15.75" customHeight="1">
      <c r="A4808" s="394"/>
      <c r="B4808" s="395"/>
      <c r="C4808" s="395"/>
      <c r="D4808" s="396"/>
      <c r="E4808" s="397"/>
      <c r="F4808" s="395"/>
      <c r="G4808" s="395"/>
      <c r="H4808" s="397"/>
      <c r="I4808" s="395"/>
      <c r="J4808" s="395"/>
      <c r="K4808" s="397"/>
      <c r="L4808" s="395"/>
      <c r="M4808" s="395"/>
      <c r="N4808" s="395"/>
      <c r="O4808" s="397"/>
      <c r="P4808" s="395"/>
      <c r="Q4808" s="395"/>
      <c r="R4808" s="353"/>
      <c r="S4808" s="185"/>
      <c r="T4808" s="185"/>
      <c r="U4808" s="185"/>
      <c r="V4808" s="185"/>
      <c r="W4808" s="185"/>
      <c r="X4808" s="185"/>
      <c r="Y4808" s="284"/>
      <c r="Z4808" s="284"/>
      <c r="AA4808" s="284"/>
      <c r="AB4808" s="284"/>
      <c r="AC4808" s="284"/>
      <c r="AD4808" s="284"/>
      <c r="AE4808" s="284"/>
      <c r="AF4808" s="284"/>
      <c r="AG4808" s="284"/>
      <c r="AH4808" s="284"/>
      <c r="AI4808" s="284"/>
      <c r="AJ4808" s="284"/>
      <c r="AK4808" s="284"/>
      <c r="AL4808" s="284"/>
    </row>
    <row r="4809" ht="15.75" customHeight="1">
      <c r="A4809" s="394"/>
      <c r="B4809" s="395"/>
      <c r="C4809" s="395"/>
      <c r="D4809" s="396"/>
      <c r="E4809" s="397"/>
      <c r="F4809" s="395"/>
      <c r="G4809" s="395"/>
      <c r="H4809" s="397"/>
      <c r="I4809" s="395"/>
      <c r="J4809" s="395"/>
      <c r="K4809" s="397"/>
      <c r="L4809" s="395"/>
      <c r="M4809" s="395"/>
      <c r="N4809" s="395"/>
      <c r="O4809" s="397"/>
      <c r="P4809" s="395"/>
      <c r="Q4809" s="395"/>
      <c r="R4809" s="353"/>
      <c r="S4809" s="185"/>
      <c r="T4809" s="185"/>
      <c r="U4809" s="185"/>
      <c r="V4809" s="185"/>
      <c r="W4809" s="185"/>
      <c r="X4809" s="185"/>
      <c r="Y4809" s="284"/>
      <c r="Z4809" s="284"/>
      <c r="AA4809" s="284"/>
      <c r="AB4809" s="284"/>
      <c r="AC4809" s="284"/>
      <c r="AD4809" s="284"/>
      <c r="AE4809" s="284"/>
      <c r="AF4809" s="284"/>
      <c r="AG4809" s="284"/>
      <c r="AH4809" s="284"/>
      <c r="AI4809" s="284"/>
      <c r="AJ4809" s="284"/>
      <c r="AK4809" s="284"/>
      <c r="AL4809" s="284"/>
    </row>
    <row r="4810" ht="15.75" customHeight="1">
      <c r="A4810" s="394"/>
      <c r="B4810" s="395"/>
      <c r="C4810" s="395"/>
      <c r="D4810" s="396"/>
      <c r="E4810" s="397"/>
      <c r="F4810" s="395"/>
      <c r="G4810" s="395"/>
      <c r="H4810" s="397"/>
      <c r="I4810" s="395"/>
      <c r="J4810" s="395"/>
      <c r="K4810" s="397"/>
      <c r="L4810" s="395"/>
      <c r="M4810" s="395"/>
      <c r="N4810" s="395"/>
      <c r="O4810" s="397"/>
      <c r="P4810" s="395"/>
      <c r="Q4810" s="395"/>
      <c r="R4810" s="353"/>
      <c r="S4810" s="185"/>
      <c r="T4810" s="185"/>
      <c r="U4810" s="185"/>
      <c r="V4810" s="185"/>
      <c r="W4810" s="185"/>
      <c r="X4810" s="185"/>
      <c r="Y4810" s="284"/>
      <c r="Z4810" s="284"/>
      <c r="AA4810" s="284"/>
      <c r="AB4810" s="284"/>
      <c r="AC4810" s="284"/>
      <c r="AD4810" s="284"/>
      <c r="AE4810" s="284"/>
      <c r="AF4810" s="284"/>
      <c r="AG4810" s="284"/>
      <c r="AH4810" s="284"/>
      <c r="AI4810" s="284"/>
      <c r="AJ4810" s="284"/>
      <c r="AK4810" s="284"/>
      <c r="AL4810" s="284"/>
    </row>
    <row r="4811" ht="15.75" customHeight="1">
      <c r="A4811" s="394"/>
      <c r="B4811" s="395"/>
      <c r="C4811" s="395"/>
      <c r="D4811" s="396"/>
      <c r="E4811" s="397"/>
      <c r="F4811" s="395"/>
      <c r="G4811" s="395"/>
      <c r="H4811" s="397"/>
      <c r="I4811" s="395"/>
      <c r="J4811" s="395"/>
      <c r="K4811" s="397"/>
      <c r="L4811" s="395"/>
      <c r="M4811" s="395"/>
      <c r="N4811" s="395"/>
      <c r="O4811" s="397"/>
      <c r="P4811" s="395"/>
      <c r="Q4811" s="395"/>
      <c r="R4811" s="353"/>
      <c r="S4811" s="185"/>
      <c r="T4811" s="185"/>
      <c r="U4811" s="185"/>
      <c r="V4811" s="185"/>
      <c r="W4811" s="185"/>
      <c r="X4811" s="185"/>
      <c r="Y4811" s="284"/>
      <c r="Z4811" s="284"/>
      <c r="AA4811" s="284"/>
      <c r="AB4811" s="284"/>
      <c r="AC4811" s="284"/>
      <c r="AD4811" s="284"/>
      <c r="AE4811" s="284"/>
      <c r="AF4811" s="284"/>
      <c r="AG4811" s="284"/>
      <c r="AH4811" s="284"/>
      <c r="AI4811" s="284"/>
      <c r="AJ4811" s="284"/>
      <c r="AK4811" s="284"/>
      <c r="AL4811" s="284"/>
    </row>
    <row r="4812" ht="15.75" customHeight="1">
      <c r="A4812" s="394"/>
      <c r="B4812" s="395"/>
      <c r="C4812" s="395"/>
      <c r="D4812" s="396"/>
      <c r="E4812" s="397"/>
      <c r="F4812" s="395"/>
      <c r="G4812" s="395"/>
      <c r="H4812" s="397"/>
      <c r="I4812" s="395"/>
      <c r="J4812" s="395"/>
      <c r="K4812" s="397"/>
      <c r="L4812" s="395"/>
      <c r="M4812" s="395"/>
      <c r="N4812" s="395"/>
      <c r="O4812" s="397"/>
      <c r="P4812" s="395"/>
      <c r="Q4812" s="395"/>
      <c r="R4812" s="353"/>
      <c r="S4812" s="185"/>
      <c r="T4812" s="185"/>
      <c r="U4812" s="185"/>
      <c r="V4812" s="185"/>
      <c r="W4812" s="185"/>
      <c r="X4812" s="185"/>
      <c r="Y4812" s="284"/>
      <c r="Z4812" s="284"/>
      <c r="AA4812" s="284"/>
      <c r="AB4812" s="284"/>
      <c r="AC4812" s="284"/>
      <c r="AD4812" s="284"/>
      <c r="AE4812" s="284"/>
      <c r="AF4812" s="284"/>
      <c r="AG4812" s="284"/>
      <c r="AH4812" s="284"/>
      <c r="AI4812" s="284"/>
      <c r="AJ4812" s="284"/>
      <c r="AK4812" s="284"/>
      <c r="AL4812" s="284"/>
    </row>
    <row r="4813" ht="15.75" customHeight="1">
      <c r="A4813" s="394"/>
      <c r="B4813" s="395"/>
      <c r="C4813" s="395"/>
      <c r="D4813" s="396"/>
      <c r="E4813" s="397"/>
      <c r="F4813" s="395"/>
      <c r="G4813" s="395"/>
      <c r="H4813" s="397"/>
      <c r="I4813" s="395"/>
      <c r="J4813" s="395"/>
      <c r="K4813" s="397"/>
      <c r="L4813" s="395"/>
      <c r="M4813" s="395"/>
      <c r="N4813" s="395"/>
      <c r="O4813" s="397"/>
      <c r="P4813" s="395"/>
      <c r="Q4813" s="395"/>
      <c r="R4813" s="353"/>
      <c r="S4813" s="185"/>
      <c r="T4813" s="185"/>
      <c r="U4813" s="185"/>
      <c r="V4813" s="185"/>
      <c r="W4813" s="185"/>
      <c r="X4813" s="185"/>
      <c r="Y4813" s="284"/>
      <c r="Z4813" s="284"/>
      <c r="AA4813" s="284"/>
      <c r="AB4813" s="284"/>
      <c r="AC4813" s="284"/>
      <c r="AD4813" s="284"/>
      <c r="AE4813" s="284"/>
      <c r="AF4813" s="284"/>
      <c r="AG4813" s="284"/>
      <c r="AH4813" s="284"/>
      <c r="AI4813" s="284"/>
      <c r="AJ4813" s="284"/>
      <c r="AK4813" s="284"/>
      <c r="AL4813" s="284"/>
    </row>
    <row r="4814" ht="15.75" customHeight="1">
      <c r="A4814" s="394"/>
      <c r="B4814" s="395"/>
      <c r="C4814" s="395"/>
      <c r="D4814" s="396"/>
      <c r="E4814" s="397"/>
      <c r="F4814" s="395"/>
      <c r="G4814" s="395"/>
      <c r="H4814" s="397"/>
      <c r="I4814" s="395"/>
      <c r="J4814" s="395"/>
      <c r="K4814" s="397"/>
      <c r="L4814" s="395"/>
      <c r="M4814" s="395"/>
      <c r="N4814" s="395"/>
      <c r="O4814" s="397"/>
      <c r="P4814" s="395"/>
      <c r="Q4814" s="395"/>
      <c r="R4814" s="353"/>
      <c r="S4814" s="185"/>
      <c r="T4814" s="185"/>
      <c r="U4814" s="185"/>
      <c r="V4814" s="185"/>
      <c r="W4814" s="185"/>
      <c r="X4814" s="185"/>
      <c r="Y4814" s="284"/>
      <c r="Z4814" s="284"/>
      <c r="AA4814" s="284"/>
      <c r="AB4814" s="284"/>
      <c r="AC4814" s="284"/>
      <c r="AD4814" s="284"/>
      <c r="AE4814" s="284"/>
      <c r="AF4814" s="284"/>
      <c r="AG4814" s="284"/>
      <c r="AH4814" s="284"/>
      <c r="AI4814" s="284"/>
      <c r="AJ4814" s="284"/>
      <c r="AK4814" s="284"/>
      <c r="AL4814" s="284"/>
    </row>
    <row r="4815" ht="15.75" customHeight="1">
      <c r="A4815" s="394"/>
      <c r="B4815" s="395"/>
      <c r="C4815" s="395"/>
      <c r="D4815" s="396"/>
      <c r="E4815" s="397"/>
      <c r="F4815" s="395"/>
      <c r="G4815" s="395"/>
      <c r="H4815" s="397"/>
      <c r="I4815" s="395"/>
      <c r="J4815" s="395"/>
      <c r="K4815" s="397"/>
      <c r="L4815" s="395"/>
      <c r="M4815" s="395"/>
      <c r="N4815" s="395"/>
      <c r="O4815" s="397"/>
      <c r="P4815" s="395"/>
      <c r="Q4815" s="395"/>
      <c r="R4815" s="353"/>
      <c r="S4815" s="185"/>
      <c r="T4815" s="185"/>
      <c r="U4815" s="185"/>
      <c r="V4815" s="185"/>
      <c r="W4815" s="185"/>
      <c r="X4815" s="185"/>
      <c r="Y4815" s="284"/>
      <c r="Z4815" s="284"/>
      <c r="AA4815" s="284"/>
      <c r="AB4815" s="284"/>
      <c r="AC4815" s="284"/>
      <c r="AD4815" s="284"/>
      <c r="AE4815" s="284"/>
      <c r="AF4815" s="284"/>
      <c r="AG4815" s="284"/>
      <c r="AH4815" s="284"/>
      <c r="AI4815" s="284"/>
      <c r="AJ4815" s="284"/>
      <c r="AK4815" s="284"/>
      <c r="AL4815" s="284"/>
    </row>
    <row r="4816" ht="15.75" customHeight="1">
      <c r="A4816" s="394"/>
      <c r="B4816" s="395"/>
      <c r="C4816" s="395"/>
      <c r="D4816" s="396"/>
      <c r="E4816" s="397"/>
      <c r="F4816" s="395"/>
      <c r="G4816" s="395"/>
      <c r="H4816" s="397"/>
      <c r="I4816" s="395"/>
      <c r="J4816" s="395"/>
      <c r="K4816" s="397"/>
      <c r="L4816" s="395"/>
      <c r="M4816" s="395"/>
      <c r="N4816" s="395"/>
      <c r="O4816" s="397"/>
      <c r="P4816" s="395"/>
      <c r="Q4816" s="395"/>
      <c r="R4816" s="353"/>
      <c r="S4816" s="185"/>
      <c r="T4816" s="185"/>
      <c r="U4816" s="185"/>
      <c r="V4816" s="185"/>
      <c r="W4816" s="185"/>
      <c r="X4816" s="185"/>
      <c r="Y4816" s="284"/>
      <c r="Z4816" s="284"/>
      <c r="AA4816" s="284"/>
      <c r="AB4816" s="284"/>
      <c r="AC4816" s="284"/>
      <c r="AD4816" s="284"/>
      <c r="AE4816" s="284"/>
      <c r="AF4816" s="284"/>
      <c r="AG4816" s="284"/>
      <c r="AH4816" s="284"/>
      <c r="AI4816" s="284"/>
      <c r="AJ4816" s="284"/>
      <c r="AK4816" s="284"/>
      <c r="AL4816" s="284"/>
    </row>
    <row r="4817" ht="15.75" customHeight="1">
      <c r="A4817" s="394"/>
      <c r="B4817" s="395"/>
      <c r="C4817" s="395"/>
      <c r="D4817" s="396"/>
      <c r="E4817" s="397"/>
      <c r="F4817" s="395"/>
      <c r="G4817" s="395"/>
      <c r="H4817" s="397"/>
      <c r="I4817" s="395"/>
      <c r="J4817" s="395"/>
      <c r="K4817" s="397"/>
      <c r="L4817" s="395"/>
      <c r="M4817" s="395"/>
      <c r="N4817" s="395"/>
      <c r="O4817" s="397"/>
      <c r="P4817" s="395"/>
      <c r="Q4817" s="395"/>
      <c r="R4817" s="353"/>
      <c r="S4817" s="185"/>
      <c r="T4817" s="185"/>
      <c r="U4817" s="185"/>
      <c r="V4817" s="185"/>
      <c r="W4817" s="185"/>
      <c r="X4817" s="185"/>
      <c r="Y4817" s="284"/>
      <c r="Z4817" s="284"/>
      <c r="AA4817" s="284"/>
      <c r="AB4817" s="284"/>
      <c r="AC4817" s="284"/>
      <c r="AD4817" s="284"/>
      <c r="AE4817" s="284"/>
      <c r="AF4817" s="284"/>
      <c r="AG4817" s="284"/>
      <c r="AH4817" s="284"/>
      <c r="AI4817" s="284"/>
      <c r="AJ4817" s="284"/>
      <c r="AK4817" s="284"/>
      <c r="AL4817" s="284"/>
    </row>
    <row r="4818" ht="15.75" customHeight="1">
      <c r="A4818" s="394"/>
      <c r="B4818" s="395"/>
      <c r="C4818" s="395"/>
      <c r="D4818" s="396"/>
      <c r="E4818" s="397"/>
      <c r="F4818" s="395"/>
      <c r="G4818" s="395"/>
      <c r="H4818" s="397"/>
      <c r="I4818" s="395"/>
      <c r="J4818" s="395"/>
      <c r="K4818" s="397"/>
      <c r="L4818" s="395"/>
      <c r="M4818" s="395"/>
      <c r="N4818" s="395"/>
      <c r="O4818" s="397"/>
      <c r="P4818" s="395"/>
      <c r="Q4818" s="395"/>
      <c r="R4818" s="353"/>
      <c r="S4818" s="185"/>
      <c r="T4818" s="185"/>
      <c r="U4818" s="185"/>
      <c r="V4818" s="185"/>
      <c r="W4818" s="185"/>
      <c r="X4818" s="185"/>
      <c r="Y4818" s="284"/>
      <c r="Z4818" s="284"/>
      <c r="AA4818" s="284"/>
      <c r="AB4818" s="284"/>
      <c r="AC4818" s="284"/>
      <c r="AD4818" s="284"/>
      <c r="AE4818" s="284"/>
      <c r="AF4818" s="284"/>
      <c r="AG4818" s="284"/>
      <c r="AH4818" s="284"/>
      <c r="AI4818" s="284"/>
      <c r="AJ4818" s="284"/>
      <c r="AK4818" s="284"/>
      <c r="AL4818" s="284"/>
    </row>
    <row r="4819" ht="15.75" customHeight="1">
      <c r="A4819" s="394"/>
      <c r="B4819" s="395"/>
      <c r="C4819" s="395"/>
      <c r="D4819" s="396"/>
      <c r="E4819" s="397"/>
      <c r="F4819" s="395"/>
      <c r="G4819" s="395"/>
      <c r="H4819" s="397"/>
      <c r="I4819" s="395"/>
      <c r="J4819" s="395"/>
      <c r="K4819" s="397"/>
      <c r="L4819" s="395"/>
      <c r="M4819" s="395"/>
      <c r="N4819" s="395"/>
      <c r="O4819" s="397"/>
      <c r="P4819" s="395"/>
      <c r="Q4819" s="395"/>
      <c r="R4819" s="353"/>
      <c r="S4819" s="185"/>
      <c r="T4819" s="185"/>
      <c r="U4819" s="185"/>
      <c r="V4819" s="185"/>
      <c r="W4819" s="185"/>
      <c r="X4819" s="185"/>
      <c r="Y4819" s="284"/>
      <c r="Z4819" s="284"/>
      <c r="AA4819" s="284"/>
      <c r="AB4819" s="284"/>
      <c r="AC4819" s="284"/>
      <c r="AD4819" s="284"/>
      <c r="AE4819" s="284"/>
      <c r="AF4819" s="284"/>
      <c r="AG4819" s="284"/>
      <c r="AH4819" s="284"/>
      <c r="AI4819" s="284"/>
      <c r="AJ4819" s="284"/>
      <c r="AK4819" s="284"/>
      <c r="AL4819" s="284"/>
    </row>
    <row r="4820" ht="15.75" customHeight="1">
      <c r="A4820" s="394"/>
      <c r="B4820" s="395"/>
      <c r="C4820" s="395"/>
      <c r="D4820" s="396"/>
      <c r="E4820" s="397"/>
      <c r="F4820" s="395"/>
      <c r="G4820" s="395"/>
      <c r="H4820" s="397"/>
      <c r="I4820" s="395"/>
      <c r="J4820" s="395"/>
      <c r="K4820" s="397"/>
      <c r="L4820" s="395"/>
      <c r="M4820" s="395"/>
      <c r="N4820" s="395"/>
      <c r="O4820" s="397"/>
      <c r="P4820" s="395"/>
      <c r="Q4820" s="395"/>
      <c r="R4820" s="353"/>
      <c r="S4820" s="185"/>
      <c r="T4820" s="185"/>
      <c r="U4820" s="185"/>
      <c r="V4820" s="185"/>
      <c r="W4820" s="185"/>
      <c r="X4820" s="185"/>
      <c r="Y4820" s="284"/>
      <c r="Z4820" s="284"/>
      <c r="AA4820" s="284"/>
      <c r="AB4820" s="284"/>
      <c r="AC4820" s="284"/>
      <c r="AD4820" s="284"/>
      <c r="AE4820" s="284"/>
      <c r="AF4820" s="284"/>
      <c r="AG4820" s="284"/>
      <c r="AH4820" s="284"/>
      <c r="AI4820" s="284"/>
      <c r="AJ4820" s="284"/>
      <c r="AK4820" s="284"/>
      <c r="AL4820" s="284"/>
    </row>
    <row r="4821" ht="15.75" customHeight="1">
      <c r="A4821" s="394"/>
      <c r="B4821" s="395"/>
      <c r="C4821" s="395"/>
      <c r="D4821" s="396"/>
      <c r="E4821" s="397"/>
      <c r="F4821" s="395"/>
      <c r="G4821" s="395"/>
      <c r="H4821" s="397"/>
      <c r="I4821" s="395"/>
      <c r="J4821" s="395"/>
      <c r="K4821" s="397"/>
      <c r="L4821" s="395"/>
      <c r="M4821" s="395"/>
      <c r="N4821" s="395"/>
      <c r="O4821" s="397"/>
      <c r="P4821" s="395"/>
      <c r="Q4821" s="395"/>
      <c r="R4821" s="353"/>
      <c r="S4821" s="185"/>
      <c r="T4821" s="185"/>
      <c r="U4821" s="185"/>
      <c r="V4821" s="185"/>
      <c r="W4821" s="185"/>
      <c r="X4821" s="185"/>
      <c r="Y4821" s="284"/>
      <c r="Z4821" s="284"/>
      <c r="AA4821" s="284"/>
      <c r="AB4821" s="284"/>
      <c r="AC4821" s="284"/>
      <c r="AD4821" s="284"/>
      <c r="AE4821" s="284"/>
      <c r="AF4821" s="284"/>
      <c r="AG4821" s="284"/>
      <c r="AH4821" s="284"/>
      <c r="AI4821" s="284"/>
      <c r="AJ4821" s="284"/>
      <c r="AK4821" s="284"/>
      <c r="AL4821" s="284"/>
    </row>
    <row r="4822" ht="15.75" customHeight="1">
      <c r="A4822" s="394"/>
      <c r="B4822" s="395"/>
      <c r="C4822" s="395"/>
      <c r="D4822" s="396"/>
      <c r="E4822" s="397"/>
      <c r="F4822" s="395"/>
      <c r="G4822" s="395"/>
      <c r="H4822" s="397"/>
      <c r="I4822" s="395"/>
      <c r="J4822" s="395"/>
      <c r="K4822" s="397"/>
      <c r="L4822" s="395"/>
      <c r="M4822" s="395"/>
      <c r="N4822" s="395"/>
      <c r="O4822" s="397"/>
      <c r="P4822" s="395"/>
      <c r="Q4822" s="395"/>
      <c r="R4822" s="353"/>
      <c r="S4822" s="185"/>
      <c r="T4822" s="185"/>
      <c r="U4822" s="185"/>
      <c r="V4822" s="185"/>
      <c r="W4822" s="185"/>
      <c r="X4822" s="185"/>
      <c r="Y4822" s="284"/>
      <c r="Z4822" s="284"/>
      <c r="AA4822" s="284"/>
      <c r="AB4822" s="284"/>
      <c r="AC4822" s="284"/>
      <c r="AD4822" s="284"/>
      <c r="AE4822" s="284"/>
      <c r="AF4822" s="284"/>
      <c r="AG4822" s="284"/>
      <c r="AH4822" s="284"/>
      <c r="AI4822" s="284"/>
      <c r="AJ4822" s="284"/>
      <c r="AK4822" s="284"/>
      <c r="AL4822" s="284"/>
    </row>
    <row r="4823" ht="15.75" customHeight="1">
      <c r="A4823" s="394"/>
      <c r="B4823" s="395"/>
      <c r="C4823" s="395"/>
      <c r="D4823" s="396"/>
      <c r="E4823" s="397"/>
      <c r="F4823" s="395"/>
      <c r="G4823" s="395"/>
      <c r="H4823" s="397"/>
      <c r="I4823" s="395"/>
      <c r="J4823" s="395"/>
      <c r="K4823" s="397"/>
      <c r="L4823" s="395"/>
      <c r="M4823" s="395"/>
      <c r="N4823" s="395"/>
      <c r="O4823" s="397"/>
      <c r="P4823" s="395"/>
      <c r="Q4823" s="395"/>
      <c r="R4823" s="353"/>
      <c r="S4823" s="185"/>
      <c r="T4823" s="185"/>
      <c r="U4823" s="185"/>
      <c r="V4823" s="185"/>
      <c r="W4823" s="185"/>
      <c r="X4823" s="185"/>
      <c r="Y4823" s="284"/>
      <c r="Z4823" s="284"/>
      <c r="AA4823" s="284"/>
      <c r="AB4823" s="284"/>
      <c r="AC4823" s="284"/>
      <c r="AD4823" s="284"/>
      <c r="AE4823" s="284"/>
      <c r="AF4823" s="284"/>
      <c r="AG4823" s="284"/>
      <c r="AH4823" s="284"/>
      <c r="AI4823" s="284"/>
      <c r="AJ4823" s="284"/>
      <c r="AK4823" s="284"/>
      <c r="AL4823" s="284"/>
    </row>
    <row r="4824" ht="15.75" customHeight="1">
      <c r="A4824" s="394"/>
      <c r="B4824" s="395"/>
      <c r="C4824" s="395"/>
      <c r="D4824" s="396"/>
      <c r="E4824" s="397"/>
      <c r="F4824" s="395"/>
      <c r="G4824" s="395"/>
      <c r="H4824" s="397"/>
      <c r="I4824" s="395"/>
      <c r="J4824" s="395"/>
      <c r="K4824" s="397"/>
      <c r="L4824" s="395"/>
      <c r="M4824" s="395"/>
      <c r="N4824" s="395"/>
      <c r="O4824" s="397"/>
      <c r="P4824" s="395"/>
      <c r="Q4824" s="395"/>
      <c r="R4824" s="353"/>
      <c r="S4824" s="185"/>
      <c r="T4824" s="185"/>
      <c r="U4824" s="185"/>
      <c r="V4824" s="185"/>
      <c r="W4824" s="185"/>
      <c r="X4824" s="185"/>
      <c r="Y4824" s="284"/>
      <c r="Z4824" s="284"/>
      <c r="AA4824" s="284"/>
      <c r="AB4824" s="284"/>
      <c r="AC4824" s="284"/>
      <c r="AD4824" s="284"/>
      <c r="AE4824" s="284"/>
      <c r="AF4824" s="284"/>
      <c r="AG4824" s="284"/>
      <c r="AH4824" s="284"/>
      <c r="AI4824" s="284"/>
      <c r="AJ4824" s="284"/>
      <c r="AK4824" s="284"/>
      <c r="AL4824" s="284"/>
    </row>
    <row r="4825" ht="15.75" customHeight="1">
      <c r="A4825" s="394"/>
      <c r="B4825" s="395"/>
      <c r="C4825" s="395"/>
      <c r="D4825" s="396"/>
      <c r="E4825" s="397"/>
      <c r="F4825" s="395"/>
      <c r="G4825" s="395"/>
      <c r="H4825" s="397"/>
      <c r="I4825" s="395"/>
      <c r="J4825" s="395"/>
      <c r="K4825" s="397"/>
      <c r="L4825" s="395"/>
      <c r="M4825" s="395"/>
      <c r="N4825" s="395"/>
      <c r="O4825" s="397"/>
      <c r="P4825" s="395"/>
      <c r="Q4825" s="395"/>
      <c r="R4825" s="353"/>
      <c r="S4825" s="185"/>
      <c r="T4825" s="185"/>
      <c r="U4825" s="185"/>
      <c r="V4825" s="185"/>
      <c r="W4825" s="185"/>
      <c r="X4825" s="185"/>
      <c r="Y4825" s="284"/>
      <c r="Z4825" s="284"/>
      <c r="AA4825" s="284"/>
      <c r="AB4825" s="284"/>
      <c r="AC4825" s="284"/>
      <c r="AD4825" s="284"/>
      <c r="AE4825" s="284"/>
      <c r="AF4825" s="284"/>
      <c r="AG4825" s="284"/>
      <c r="AH4825" s="284"/>
      <c r="AI4825" s="284"/>
      <c r="AJ4825" s="284"/>
      <c r="AK4825" s="284"/>
      <c r="AL4825" s="284"/>
    </row>
    <row r="4826" ht="15.75" customHeight="1">
      <c r="A4826" s="394"/>
      <c r="B4826" s="395"/>
      <c r="C4826" s="395"/>
      <c r="D4826" s="396"/>
      <c r="E4826" s="397"/>
      <c r="F4826" s="395"/>
      <c r="G4826" s="395"/>
      <c r="H4826" s="397"/>
      <c r="I4826" s="395"/>
      <c r="J4826" s="395"/>
      <c r="K4826" s="397"/>
      <c r="L4826" s="395"/>
      <c r="M4826" s="395"/>
      <c r="N4826" s="395"/>
      <c r="O4826" s="397"/>
      <c r="P4826" s="395"/>
      <c r="Q4826" s="395"/>
      <c r="R4826" s="353"/>
      <c r="S4826" s="185"/>
      <c r="T4826" s="185"/>
      <c r="U4826" s="185"/>
      <c r="V4826" s="185"/>
      <c r="W4826" s="185"/>
      <c r="X4826" s="185"/>
      <c r="Y4826" s="284"/>
      <c r="Z4826" s="284"/>
      <c r="AA4826" s="284"/>
      <c r="AB4826" s="284"/>
      <c r="AC4826" s="284"/>
      <c r="AD4826" s="284"/>
      <c r="AE4826" s="284"/>
      <c r="AF4826" s="284"/>
      <c r="AG4826" s="284"/>
      <c r="AH4826" s="284"/>
      <c r="AI4826" s="284"/>
      <c r="AJ4826" s="284"/>
      <c r="AK4826" s="284"/>
      <c r="AL4826" s="284"/>
    </row>
    <row r="4827" ht="15.75" customHeight="1">
      <c r="A4827" s="394"/>
      <c r="B4827" s="395"/>
      <c r="C4827" s="395"/>
      <c r="D4827" s="396"/>
      <c r="E4827" s="397"/>
      <c r="F4827" s="395"/>
      <c r="G4827" s="395"/>
      <c r="H4827" s="397"/>
      <c r="I4827" s="395"/>
      <c r="J4827" s="395"/>
      <c r="K4827" s="397"/>
      <c r="L4827" s="395"/>
      <c r="M4827" s="395"/>
      <c r="N4827" s="395"/>
      <c r="O4827" s="397"/>
      <c r="P4827" s="395"/>
      <c r="Q4827" s="395"/>
      <c r="R4827" s="353"/>
      <c r="S4827" s="185"/>
      <c r="T4827" s="185"/>
      <c r="U4827" s="185"/>
      <c r="V4827" s="185"/>
      <c r="W4827" s="185"/>
      <c r="X4827" s="185"/>
      <c r="Y4827" s="284"/>
      <c r="Z4827" s="284"/>
      <c r="AA4827" s="284"/>
      <c r="AB4827" s="284"/>
      <c r="AC4827" s="284"/>
      <c r="AD4827" s="284"/>
      <c r="AE4827" s="284"/>
      <c r="AF4827" s="284"/>
      <c r="AG4827" s="284"/>
      <c r="AH4827" s="284"/>
      <c r="AI4827" s="284"/>
      <c r="AJ4827" s="284"/>
      <c r="AK4827" s="284"/>
      <c r="AL4827" s="284"/>
    </row>
    <row r="4828" ht="15.75" customHeight="1">
      <c r="A4828" s="394"/>
      <c r="B4828" s="395"/>
      <c r="C4828" s="395"/>
      <c r="D4828" s="396"/>
      <c r="E4828" s="397"/>
      <c r="F4828" s="395"/>
      <c r="G4828" s="395"/>
      <c r="H4828" s="397"/>
      <c r="I4828" s="395"/>
      <c r="J4828" s="395"/>
      <c r="K4828" s="397"/>
      <c r="L4828" s="395"/>
      <c r="M4828" s="395"/>
      <c r="N4828" s="395"/>
      <c r="O4828" s="397"/>
      <c r="P4828" s="395"/>
      <c r="Q4828" s="395"/>
      <c r="R4828" s="353"/>
      <c r="S4828" s="185"/>
      <c r="T4828" s="185"/>
      <c r="U4828" s="185"/>
      <c r="V4828" s="185"/>
      <c r="W4828" s="185"/>
      <c r="X4828" s="185"/>
      <c r="Y4828" s="284"/>
      <c r="Z4828" s="284"/>
      <c r="AA4828" s="284"/>
      <c r="AB4828" s="284"/>
      <c r="AC4828" s="284"/>
      <c r="AD4828" s="284"/>
      <c r="AE4828" s="284"/>
      <c r="AF4828" s="284"/>
      <c r="AG4828" s="284"/>
      <c r="AH4828" s="284"/>
      <c r="AI4828" s="284"/>
      <c r="AJ4828" s="284"/>
      <c r="AK4828" s="284"/>
      <c r="AL4828" s="284"/>
    </row>
    <row r="4829" ht="15.75" customHeight="1">
      <c r="A4829" s="394"/>
      <c r="B4829" s="395"/>
      <c r="C4829" s="395"/>
      <c r="D4829" s="396"/>
      <c r="E4829" s="397"/>
      <c r="F4829" s="395"/>
      <c r="G4829" s="395"/>
      <c r="H4829" s="397"/>
      <c r="I4829" s="395"/>
      <c r="J4829" s="395"/>
      <c r="K4829" s="397"/>
      <c r="L4829" s="395"/>
      <c r="M4829" s="395"/>
      <c r="N4829" s="395"/>
      <c r="O4829" s="397"/>
      <c r="P4829" s="395"/>
      <c r="Q4829" s="395"/>
      <c r="R4829" s="353"/>
      <c r="S4829" s="185"/>
      <c r="T4829" s="185"/>
      <c r="U4829" s="185"/>
      <c r="V4829" s="185"/>
      <c r="W4829" s="185"/>
      <c r="X4829" s="185"/>
      <c r="Y4829" s="284"/>
      <c r="Z4829" s="284"/>
      <c r="AA4829" s="284"/>
      <c r="AB4829" s="284"/>
      <c r="AC4829" s="284"/>
      <c r="AD4829" s="284"/>
      <c r="AE4829" s="284"/>
      <c r="AF4829" s="284"/>
      <c r="AG4829" s="284"/>
      <c r="AH4829" s="284"/>
      <c r="AI4829" s="284"/>
      <c r="AJ4829" s="284"/>
      <c r="AK4829" s="284"/>
      <c r="AL4829" s="284"/>
    </row>
    <row r="4830" ht="15.75" customHeight="1">
      <c r="A4830" s="394"/>
      <c r="B4830" s="395"/>
      <c r="C4830" s="395"/>
      <c r="D4830" s="396"/>
      <c r="E4830" s="397"/>
      <c r="F4830" s="395"/>
      <c r="G4830" s="395"/>
      <c r="H4830" s="397"/>
      <c r="I4830" s="395"/>
      <c r="J4830" s="395"/>
      <c r="K4830" s="397"/>
      <c r="L4830" s="395"/>
      <c r="M4830" s="395"/>
      <c r="N4830" s="395"/>
      <c r="O4830" s="397"/>
      <c r="P4830" s="395"/>
      <c r="Q4830" s="395"/>
      <c r="R4830" s="353"/>
      <c r="S4830" s="185"/>
      <c r="T4830" s="185"/>
      <c r="U4830" s="185"/>
      <c r="V4830" s="185"/>
      <c r="W4830" s="185"/>
      <c r="X4830" s="185"/>
      <c r="Y4830" s="284"/>
      <c r="Z4830" s="284"/>
      <c r="AA4830" s="284"/>
      <c r="AB4830" s="284"/>
      <c r="AC4830" s="284"/>
      <c r="AD4830" s="284"/>
      <c r="AE4830" s="284"/>
      <c r="AF4830" s="284"/>
      <c r="AG4830" s="284"/>
      <c r="AH4830" s="284"/>
      <c r="AI4830" s="284"/>
      <c r="AJ4830" s="284"/>
      <c r="AK4830" s="284"/>
      <c r="AL4830" s="284"/>
    </row>
    <row r="4831" ht="15.75" customHeight="1">
      <c r="A4831" s="394"/>
      <c r="B4831" s="395"/>
      <c r="C4831" s="395"/>
      <c r="D4831" s="396"/>
      <c r="E4831" s="397"/>
      <c r="F4831" s="395"/>
      <c r="G4831" s="395"/>
      <c r="H4831" s="397"/>
      <c r="I4831" s="395"/>
      <c r="J4831" s="395"/>
      <c r="K4831" s="397"/>
      <c r="L4831" s="395"/>
      <c r="M4831" s="395"/>
      <c r="N4831" s="395"/>
      <c r="O4831" s="397"/>
      <c r="P4831" s="395"/>
      <c r="Q4831" s="395"/>
      <c r="R4831" s="353"/>
      <c r="S4831" s="185"/>
      <c r="T4831" s="185"/>
      <c r="U4831" s="185"/>
      <c r="V4831" s="185"/>
      <c r="W4831" s="185"/>
      <c r="X4831" s="185"/>
      <c r="Y4831" s="284"/>
      <c r="Z4831" s="284"/>
      <c r="AA4831" s="284"/>
      <c r="AB4831" s="284"/>
      <c r="AC4831" s="284"/>
      <c r="AD4831" s="284"/>
      <c r="AE4831" s="284"/>
      <c r="AF4831" s="284"/>
      <c r="AG4831" s="284"/>
      <c r="AH4831" s="284"/>
      <c r="AI4831" s="284"/>
      <c r="AJ4831" s="284"/>
      <c r="AK4831" s="284"/>
      <c r="AL4831" s="284"/>
    </row>
    <row r="4832" ht="15.75" customHeight="1">
      <c r="A4832" s="394"/>
      <c r="B4832" s="395"/>
      <c r="C4832" s="395"/>
      <c r="D4832" s="396"/>
      <c r="E4832" s="397"/>
      <c r="F4832" s="395"/>
      <c r="G4832" s="395"/>
      <c r="H4832" s="397"/>
      <c r="I4832" s="395"/>
      <c r="J4832" s="395"/>
      <c r="K4832" s="397"/>
      <c r="L4832" s="395"/>
      <c r="M4832" s="395"/>
      <c r="N4832" s="395"/>
      <c r="O4832" s="397"/>
      <c r="P4832" s="395"/>
      <c r="Q4832" s="395"/>
      <c r="R4832" s="353"/>
      <c r="S4832" s="185"/>
      <c r="T4832" s="185"/>
      <c r="U4832" s="185"/>
      <c r="V4832" s="185"/>
      <c r="W4832" s="185"/>
      <c r="X4832" s="185"/>
      <c r="Y4832" s="284"/>
      <c r="Z4832" s="284"/>
      <c r="AA4832" s="284"/>
      <c r="AB4832" s="284"/>
      <c r="AC4832" s="284"/>
      <c r="AD4832" s="284"/>
      <c r="AE4832" s="284"/>
      <c r="AF4832" s="284"/>
      <c r="AG4832" s="284"/>
      <c r="AH4832" s="284"/>
      <c r="AI4832" s="284"/>
      <c r="AJ4832" s="284"/>
      <c r="AK4832" s="284"/>
      <c r="AL4832" s="284"/>
    </row>
    <row r="4833" ht="15.75" customHeight="1">
      <c r="A4833" s="394"/>
      <c r="B4833" s="395"/>
      <c r="C4833" s="395"/>
      <c r="D4833" s="396"/>
      <c r="E4833" s="397"/>
      <c r="F4833" s="395"/>
      <c r="G4833" s="395"/>
      <c r="H4833" s="397"/>
      <c r="I4833" s="395"/>
      <c r="J4833" s="395"/>
      <c r="K4833" s="397"/>
      <c r="L4833" s="395"/>
      <c r="M4833" s="395"/>
      <c r="N4833" s="395"/>
      <c r="O4833" s="397"/>
      <c r="P4833" s="395"/>
      <c r="Q4833" s="395"/>
      <c r="R4833" s="353"/>
      <c r="S4833" s="185"/>
      <c r="T4833" s="185"/>
      <c r="U4833" s="185"/>
      <c r="V4833" s="185"/>
      <c r="W4833" s="185"/>
      <c r="X4833" s="185"/>
      <c r="Y4833" s="284"/>
      <c r="Z4833" s="284"/>
      <c r="AA4833" s="284"/>
      <c r="AB4833" s="284"/>
      <c r="AC4833" s="284"/>
      <c r="AD4833" s="284"/>
      <c r="AE4833" s="284"/>
      <c r="AF4833" s="284"/>
      <c r="AG4833" s="284"/>
      <c r="AH4833" s="284"/>
      <c r="AI4833" s="284"/>
      <c r="AJ4833" s="284"/>
      <c r="AK4833" s="284"/>
      <c r="AL4833" s="284"/>
    </row>
    <row r="4834" ht="15.75" customHeight="1">
      <c r="A4834" s="394"/>
      <c r="B4834" s="395"/>
      <c r="C4834" s="395"/>
      <c r="D4834" s="396"/>
      <c r="E4834" s="397"/>
      <c r="F4834" s="395"/>
      <c r="G4834" s="395"/>
      <c r="H4834" s="397"/>
      <c r="I4834" s="395"/>
      <c r="J4834" s="395"/>
      <c r="K4834" s="397"/>
      <c r="L4834" s="395"/>
      <c r="M4834" s="395"/>
      <c r="N4834" s="395"/>
      <c r="O4834" s="397"/>
      <c r="P4834" s="395"/>
      <c r="Q4834" s="395"/>
      <c r="R4834" s="353"/>
      <c r="S4834" s="185"/>
      <c r="T4834" s="185"/>
      <c r="U4834" s="185"/>
      <c r="V4834" s="185"/>
      <c r="W4834" s="185"/>
      <c r="X4834" s="185"/>
      <c r="Y4834" s="284"/>
      <c r="Z4834" s="284"/>
      <c r="AA4834" s="284"/>
      <c r="AB4834" s="284"/>
      <c r="AC4834" s="284"/>
      <c r="AD4834" s="284"/>
      <c r="AE4834" s="284"/>
      <c r="AF4834" s="284"/>
      <c r="AG4834" s="284"/>
      <c r="AH4834" s="284"/>
      <c r="AI4834" s="284"/>
      <c r="AJ4834" s="284"/>
      <c r="AK4834" s="284"/>
      <c r="AL4834" s="284"/>
    </row>
    <row r="4835" ht="15.75" customHeight="1">
      <c r="A4835" s="394"/>
      <c r="B4835" s="395"/>
      <c r="C4835" s="395"/>
      <c r="D4835" s="396"/>
      <c r="E4835" s="397"/>
      <c r="F4835" s="395"/>
      <c r="G4835" s="395"/>
      <c r="H4835" s="397"/>
      <c r="I4835" s="395"/>
      <c r="J4835" s="395"/>
      <c r="K4835" s="397"/>
      <c r="L4835" s="395"/>
      <c r="M4835" s="395"/>
      <c r="N4835" s="395"/>
      <c r="O4835" s="397"/>
      <c r="P4835" s="395"/>
      <c r="Q4835" s="395"/>
      <c r="R4835" s="353"/>
      <c r="S4835" s="185"/>
      <c r="T4835" s="185"/>
      <c r="U4835" s="185"/>
      <c r="V4835" s="185"/>
      <c r="W4835" s="185"/>
      <c r="X4835" s="185"/>
      <c r="Y4835" s="284"/>
      <c r="Z4835" s="284"/>
      <c r="AA4835" s="284"/>
      <c r="AB4835" s="284"/>
      <c r="AC4835" s="284"/>
      <c r="AD4835" s="284"/>
      <c r="AE4835" s="284"/>
      <c r="AF4835" s="284"/>
      <c r="AG4835" s="284"/>
      <c r="AH4835" s="284"/>
      <c r="AI4835" s="284"/>
      <c r="AJ4835" s="284"/>
      <c r="AK4835" s="284"/>
      <c r="AL4835" s="284"/>
    </row>
    <row r="4836" ht="15.75" customHeight="1">
      <c r="A4836" s="394"/>
      <c r="B4836" s="395"/>
      <c r="C4836" s="395"/>
      <c r="D4836" s="396"/>
      <c r="E4836" s="397"/>
      <c r="F4836" s="395"/>
      <c r="G4836" s="395"/>
      <c r="H4836" s="397"/>
      <c r="I4836" s="395"/>
      <c r="J4836" s="395"/>
      <c r="K4836" s="397"/>
      <c r="L4836" s="395"/>
      <c r="M4836" s="395"/>
      <c r="N4836" s="395"/>
      <c r="O4836" s="397"/>
      <c r="P4836" s="395"/>
      <c r="Q4836" s="395"/>
      <c r="R4836" s="353"/>
      <c r="S4836" s="185"/>
      <c r="T4836" s="185"/>
      <c r="U4836" s="185"/>
      <c r="V4836" s="185"/>
      <c r="W4836" s="185"/>
      <c r="X4836" s="185"/>
      <c r="Y4836" s="284"/>
      <c r="Z4836" s="284"/>
      <c r="AA4836" s="284"/>
      <c r="AB4836" s="284"/>
      <c r="AC4836" s="284"/>
      <c r="AD4836" s="284"/>
      <c r="AE4836" s="284"/>
      <c r="AF4836" s="284"/>
      <c r="AG4836" s="284"/>
      <c r="AH4836" s="284"/>
      <c r="AI4836" s="284"/>
      <c r="AJ4836" s="284"/>
      <c r="AK4836" s="284"/>
      <c r="AL4836" s="284"/>
    </row>
    <row r="4837" ht="15.75" customHeight="1">
      <c r="A4837" s="394"/>
      <c r="B4837" s="395"/>
      <c r="C4837" s="395"/>
      <c r="D4837" s="396"/>
      <c r="E4837" s="397"/>
      <c r="F4837" s="395"/>
      <c r="G4837" s="395"/>
      <c r="H4837" s="397"/>
      <c r="I4837" s="395"/>
      <c r="J4837" s="395"/>
      <c r="K4837" s="397"/>
      <c r="L4837" s="395"/>
      <c r="M4837" s="395"/>
      <c r="N4837" s="395"/>
      <c r="O4837" s="397"/>
      <c r="P4837" s="395"/>
      <c r="Q4837" s="395"/>
      <c r="R4837" s="353"/>
      <c r="S4837" s="185"/>
      <c r="T4837" s="185"/>
      <c r="U4837" s="185"/>
      <c r="V4837" s="185"/>
      <c r="W4837" s="185"/>
      <c r="X4837" s="185"/>
      <c r="Y4837" s="284"/>
      <c r="Z4837" s="284"/>
      <c r="AA4837" s="284"/>
      <c r="AB4837" s="284"/>
      <c r="AC4837" s="284"/>
      <c r="AD4837" s="284"/>
      <c r="AE4837" s="284"/>
      <c r="AF4837" s="284"/>
      <c r="AG4837" s="284"/>
      <c r="AH4837" s="284"/>
      <c r="AI4837" s="284"/>
      <c r="AJ4837" s="284"/>
      <c r="AK4837" s="284"/>
      <c r="AL4837" s="284"/>
    </row>
    <row r="4838" ht="15.75" customHeight="1">
      <c r="A4838" s="394"/>
      <c r="B4838" s="395"/>
      <c r="C4838" s="395"/>
      <c r="D4838" s="396"/>
      <c r="E4838" s="397"/>
      <c r="F4838" s="395"/>
      <c r="G4838" s="395"/>
      <c r="H4838" s="397"/>
      <c r="I4838" s="395"/>
      <c r="J4838" s="395"/>
      <c r="K4838" s="397"/>
      <c r="L4838" s="395"/>
      <c r="M4838" s="395"/>
      <c r="N4838" s="395"/>
      <c r="O4838" s="397"/>
      <c r="P4838" s="395"/>
      <c r="Q4838" s="395"/>
      <c r="R4838" s="353"/>
      <c r="S4838" s="185"/>
      <c r="T4838" s="185"/>
      <c r="U4838" s="185"/>
      <c r="V4838" s="185"/>
      <c r="W4838" s="185"/>
      <c r="X4838" s="185"/>
      <c r="Y4838" s="284"/>
      <c r="Z4838" s="284"/>
      <c r="AA4838" s="284"/>
      <c r="AB4838" s="284"/>
      <c r="AC4838" s="284"/>
      <c r="AD4838" s="284"/>
      <c r="AE4838" s="284"/>
      <c r="AF4838" s="284"/>
      <c r="AG4838" s="284"/>
      <c r="AH4838" s="284"/>
      <c r="AI4838" s="284"/>
      <c r="AJ4838" s="284"/>
      <c r="AK4838" s="284"/>
      <c r="AL4838" s="284"/>
    </row>
    <row r="4839" ht="15.75" customHeight="1">
      <c r="A4839" s="394"/>
      <c r="B4839" s="395"/>
      <c r="C4839" s="395"/>
      <c r="D4839" s="396"/>
      <c r="E4839" s="397"/>
      <c r="F4839" s="395"/>
      <c r="G4839" s="395"/>
      <c r="H4839" s="397"/>
      <c r="I4839" s="395"/>
      <c r="J4839" s="395"/>
      <c r="K4839" s="397"/>
      <c r="L4839" s="395"/>
      <c r="M4839" s="395"/>
      <c r="N4839" s="395"/>
      <c r="O4839" s="397"/>
      <c r="P4839" s="395"/>
      <c r="Q4839" s="395"/>
      <c r="R4839" s="353"/>
      <c r="S4839" s="185"/>
      <c r="T4839" s="185"/>
      <c r="U4839" s="185"/>
      <c r="V4839" s="185"/>
      <c r="W4839" s="185"/>
      <c r="X4839" s="185"/>
      <c r="Y4839" s="284"/>
      <c r="Z4839" s="284"/>
      <c r="AA4839" s="284"/>
      <c r="AB4839" s="284"/>
      <c r="AC4839" s="284"/>
      <c r="AD4839" s="284"/>
      <c r="AE4839" s="284"/>
      <c r="AF4839" s="284"/>
      <c r="AG4839" s="284"/>
      <c r="AH4839" s="284"/>
      <c r="AI4839" s="284"/>
      <c r="AJ4839" s="284"/>
      <c r="AK4839" s="284"/>
      <c r="AL4839" s="284"/>
    </row>
    <row r="4840" ht="15.75" customHeight="1">
      <c r="A4840" s="394"/>
      <c r="B4840" s="395"/>
      <c r="C4840" s="395"/>
      <c r="D4840" s="396"/>
      <c r="E4840" s="397"/>
      <c r="F4840" s="395"/>
      <c r="G4840" s="395"/>
      <c r="H4840" s="397"/>
      <c r="I4840" s="395"/>
      <c r="J4840" s="395"/>
      <c r="K4840" s="397"/>
      <c r="L4840" s="395"/>
      <c r="M4840" s="395"/>
      <c r="N4840" s="395"/>
      <c r="O4840" s="397"/>
      <c r="P4840" s="395"/>
      <c r="Q4840" s="395"/>
      <c r="R4840" s="353"/>
      <c r="S4840" s="185"/>
      <c r="T4840" s="185"/>
      <c r="U4840" s="185"/>
      <c r="V4840" s="185"/>
      <c r="W4840" s="185"/>
      <c r="X4840" s="185"/>
      <c r="Y4840" s="284"/>
      <c r="Z4840" s="284"/>
      <c r="AA4840" s="284"/>
      <c r="AB4840" s="284"/>
      <c r="AC4840" s="284"/>
      <c r="AD4840" s="284"/>
      <c r="AE4840" s="284"/>
      <c r="AF4840" s="284"/>
      <c r="AG4840" s="284"/>
      <c r="AH4840" s="284"/>
      <c r="AI4840" s="284"/>
      <c r="AJ4840" s="284"/>
      <c r="AK4840" s="284"/>
      <c r="AL4840" s="284"/>
    </row>
    <row r="4841" ht="15.75" customHeight="1">
      <c r="A4841" s="394"/>
      <c r="B4841" s="395"/>
      <c r="C4841" s="395"/>
      <c r="D4841" s="396"/>
      <c r="E4841" s="397"/>
      <c r="F4841" s="395"/>
      <c r="G4841" s="395"/>
      <c r="H4841" s="397"/>
      <c r="I4841" s="395"/>
      <c r="J4841" s="395"/>
      <c r="K4841" s="397"/>
      <c r="L4841" s="395"/>
      <c r="M4841" s="395"/>
      <c r="N4841" s="395"/>
      <c r="O4841" s="397"/>
      <c r="P4841" s="395"/>
      <c r="Q4841" s="395"/>
      <c r="R4841" s="353"/>
      <c r="S4841" s="185"/>
      <c r="T4841" s="185"/>
      <c r="U4841" s="185"/>
      <c r="V4841" s="185"/>
      <c r="W4841" s="185"/>
      <c r="X4841" s="185"/>
      <c r="Y4841" s="284"/>
      <c r="Z4841" s="284"/>
      <c r="AA4841" s="284"/>
      <c r="AB4841" s="284"/>
      <c r="AC4841" s="284"/>
      <c r="AD4841" s="284"/>
      <c r="AE4841" s="284"/>
      <c r="AF4841" s="284"/>
      <c r="AG4841" s="284"/>
      <c r="AH4841" s="284"/>
      <c r="AI4841" s="284"/>
      <c r="AJ4841" s="284"/>
      <c r="AK4841" s="284"/>
      <c r="AL4841" s="284"/>
    </row>
    <row r="4842" ht="15.75" customHeight="1">
      <c r="A4842" s="394"/>
      <c r="B4842" s="395"/>
      <c r="C4842" s="395"/>
      <c r="D4842" s="396"/>
      <c r="E4842" s="397"/>
      <c r="F4842" s="395"/>
      <c r="G4842" s="395"/>
      <c r="H4842" s="397"/>
      <c r="I4842" s="395"/>
      <c r="J4842" s="395"/>
      <c r="K4842" s="397"/>
      <c r="L4842" s="395"/>
      <c r="M4842" s="395"/>
      <c r="N4842" s="395"/>
      <c r="O4842" s="397"/>
      <c r="P4842" s="395"/>
      <c r="Q4842" s="395"/>
      <c r="R4842" s="353"/>
      <c r="S4842" s="185"/>
      <c r="T4842" s="185"/>
      <c r="U4842" s="185"/>
      <c r="V4842" s="185"/>
      <c r="W4842" s="185"/>
      <c r="X4842" s="185"/>
      <c r="Y4842" s="284"/>
      <c r="Z4842" s="284"/>
      <c r="AA4842" s="284"/>
      <c r="AB4842" s="284"/>
      <c r="AC4842" s="284"/>
      <c r="AD4842" s="284"/>
      <c r="AE4842" s="284"/>
      <c r="AF4842" s="284"/>
      <c r="AG4842" s="284"/>
      <c r="AH4842" s="284"/>
      <c r="AI4842" s="284"/>
      <c r="AJ4842" s="284"/>
      <c r="AK4842" s="284"/>
      <c r="AL4842" s="284"/>
    </row>
    <row r="4843" ht="15.75" customHeight="1">
      <c r="A4843" s="394"/>
      <c r="B4843" s="395"/>
      <c r="C4843" s="395"/>
      <c r="D4843" s="396"/>
      <c r="E4843" s="397"/>
      <c r="F4843" s="395"/>
      <c r="G4843" s="395"/>
      <c r="H4843" s="397"/>
      <c r="I4843" s="395"/>
      <c r="J4843" s="395"/>
      <c r="K4843" s="397"/>
      <c r="L4843" s="395"/>
      <c r="M4843" s="395"/>
      <c r="N4843" s="395"/>
      <c r="O4843" s="397"/>
      <c r="P4843" s="395"/>
      <c r="Q4843" s="395"/>
      <c r="R4843" s="353"/>
      <c r="S4843" s="185"/>
      <c r="T4843" s="185"/>
      <c r="U4843" s="185"/>
      <c r="V4843" s="185"/>
      <c r="W4843" s="185"/>
      <c r="X4843" s="185"/>
      <c r="Y4843" s="284"/>
      <c r="Z4843" s="284"/>
      <c r="AA4843" s="284"/>
      <c r="AB4843" s="284"/>
      <c r="AC4843" s="284"/>
      <c r="AD4843" s="284"/>
      <c r="AE4843" s="284"/>
      <c r="AF4843" s="284"/>
      <c r="AG4843" s="284"/>
      <c r="AH4843" s="284"/>
      <c r="AI4843" s="284"/>
      <c r="AJ4843" s="284"/>
      <c r="AK4843" s="284"/>
      <c r="AL4843" s="284"/>
    </row>
    <row r="4844" ht="15.75" customHeight="1">
      <c r="A4844" s="394"/>
      <c r="B4844" s="395"/>
      <c r="C4844" s="395"/>
      <c r="D4844" s="396"/>
      <c r="E4844" s="397"/>
      <c r="F4844" s="395"/>
      <c r="G4844" s="395"/>
      <c r="H4844" s="397"/>
      <c r="I4844" s="395"/>
      <c r="J4844" s="395"/>
      <c r="K4844" s="397"/>
      <c r="L4844" s="395"/>
      <c r="M4844" s="395"/>
      <c r="N4844" s="395"/>
      <c r="O4844" s="397"/>
      <c r="P4844" s="395"/>
      <c r="Q4844" s="395"/>
      <c r="R4844" s="353"/>
      <c r="S4844" s="185"/>
      <c r="T4844" s="185"/>
      <c r="U4844" s="185"/>
      <c r="V4844" s="185"/>
      <c r="W4844" s="185"/>
      <c r="X4844" s="185"/>
      <c r="Y4844" s="284"/>
      <c r="Z4844" s="284"/>
      <c r="AA4844" s="284"/>
      <c r="AB4844" s="284"/>
      <c r="AC4844" s="284"/>
      <c r="AD4844" s="284"/>
      <c r="AE4844" s="284"/>
      <c r="AF4844" s="284"/>
      <c r="AG4844" s="284"/>
      <c r="AH4844" s="284"/>
      <c r="AI4844" s="284"/>
      <c r="AJ4844" s="284"/>
      <c r="AK4844" s="284"/>
      <c r="AL4844" s="284"/>
    </row>
    <row r="4845" ht="15.75" customHeight="1">
      <c r="A4845" s="394"/>
      <c r="B4845" s="395"/>
      <c r="C4845" s="395"/>
      <c r="D4845" s="396"/>
      <c r="E4845" s="397"/>
      <c r="F4845" s="395"/>
      <c r="G4845" s="395"/>
      <c r="H4845" s="397"/>
      <c r="I4845" s="395"/>
      <c r="J4845" s="395"/>
      <c r="K4845" s="397"/>
      <c r="L4845" s="395"/>
      <c r="M4845" s="395"/>
      <c r="N4845" s="395"/>
      <c r="O4845" s="397"/>
      <c r="P4845" s="395"/>
      <c r="Q4845" s="395"/>
      <c r="R4845" s="353"/>
      <c r="S4845" s="185"/>
      <c r="T4845" s="185"/>
      <c r="U4845" s="185"/>
      <c r="V4845" s="185"/>
      <c r="W4845" s="185"/>
      <c r="X4845" s="185"/>
      <c r="Y4845" s="284"/>
      <c r="Z4845" s="284"/>
      <c r="AA4845" s="284"/>
      <c r="AB4845" s="284"/>
      <c r="AC4845" s="284"/>
      <c r="AD4845" s="284"/>
      <c r="AE4845" s="284"/>
      <c r="AF4845" s="284"/>
      <c r="AG4845" s="284"/>
      <c r="AH4845" s="284"/>
      <c r="AI4845" s="284"/>
      <c r="AJ4845" s="284"/>
      <c r="AK4845" s="284"/>
      <c r="AL4845" s="284"/>
    </row>
    <row r="4846" ht="15.75" customHeight="1">
      <c r="A4846" s="394"/>
      <c r="B4846" s="395"/>
      <c r="C4846" s="395"/>
      <c r="D4846" s="396"/>
      <c r="E4846" s="397"/>
      <c r="F4846" s="395"/>
      <c r="G4846" s="395"/>
      <c r="H4846" s="397"/>
      <c r="I4846" s="395"/>
      <c r="J4846" s="395"/>
      <c r="K4846" s="397"/>
      <c r="L4846" s="395"/>
      <c r="M4846" s="395"/>
      <c r="N4846" s="395"/>
      <c r="O4846" s="397"/>
      <c r="P4846" s="395"/>
      <c r="Q4846" s="395"/>
      <c r="R4846" s="353"/>
      <c r="S4846" s="185"/>
      <c r="T4846" s="185"/>
      <c r="U4846" s="185"/>
      <c r="V4846" s="185"/>
      <c r="W4846" s="185"/>
      <c r="X4846" s="185"/>
      <c r="Y4846" s="284"/>
      <c r="Z4846" s="284"/>
      <c r="AA4846" s="284"/>
      <c r="AB4846" s="284"/>
      <c r="AC4846" s="284"/>
      <c r="AD4846" s="284"/>
      <c r="AE4846" s="284"/>
      <c r="AF4846" s="284"/>
      <c r="AG4846" s="284"/>
      <c r="AH4846" s="284"/>
      <c r="AI4846" s="284"/>
      <c r="AJ4846" s="284"/>
      <c r="AK4846" s="284"/>
      <c r="AL4846" s="284"/>
    </row>
    <row r="4847" ht="15.75" customHeight="1">
      <c r="A4847" s="394"/>
      <c r="B4847" s="395"/>
      <c r="C4847" s="395"/>
      <c r="D4847" s="396"/>
      <c r="E4847" s="397"/>
      <c r="F4847" s="395"/>
      <c r="G4847" s="395"/>
      <c r="H4847" s="397"/>
      <c r="I4847" s="395"/>
      <c r="J4847" s="395"/>
      <c r="K4847" s="397"/>
      <c r="L4847" s="395"/>
      <c r="M4847" s="395"/>
      <c r="N4847" s="395"/>
      <c r="O4847" s="397"/>
      <c r="P4847" s="395"/>
      <c r="Q4847" s="395"/>
      <c r="R4847" s="353"/>
      <c r="S4847" s="185"/>
      <c r="T4847" s="185"/>
      <c r="U4847" s="185"/>
      <c r="V4847" s="185"/>
      <c r="W4847" s="185"/>
      <c r="X4847" s="185"/>
      <c r="Y4847" s="284"/>
      <c r="Z4847" s="284"/>
      <c r="AA4847" s="284"/>
      <c r="AB4847" s="284"/>
      <c r="AC4847" s="284"/>
      <c r="AD4847" s="284"/>
      <c r="AE4847" s="284"/>
      <c r="AF4847" s="284"/>
      <c r="AG4847" s="284"/>
      <c r="AH4847" s="284"/>
      <c r="AI4847" s="284"/>
      <c r="AJ4847" s="284"/>
      <c r="AK4847" s="284"/>
      <c r="AL4847" s="284"/>
    </row>
    <row r="4848" ht="15.75" customHeight="1">
      <c r="A4848" s="394"/>
      <c r="B4848" s="395"/>
      <c r="C4848" s="395"/>
      <c r="D4848" s="396"/>
      <c r="E4848" s="397"/>
      <c r="F4848" s="395"/>
      <c r="G4848" s="395"/>
      <c r="H4848" s="397"/>
      <c r="I4848" s="395"/>
      <c r="J4848" s="395"/>
      <c r="K4848" s="397"/>
      <c r="L4848" s="395"/>
      <c r="M4848" s="395"/>
      <c r="N4848" s="395"/>
      <c r="O4848" s="397"/>
      <c r="P4848" s="395"/>
      <c r="Q4848" s="395"/>
      <c r="R4848" s="353"/>
      <c r="S4848" s="185"/>
      <c r="T4848" s="185"/>
      <c r="U4848" s="185"/>
      <c r="V4848" s="185"/>
      <c r="W4848" s="185"/>
      <c r="X4848" s="185"/>
      <c r="Y4848" s="284"/>
      <c r="Z4848" s="284"/>
      <c r="AA4848" s="284"/>
      <c r="AB4848" s="284"/>
      <c r="AC4848" s="284"/>
      <c r="AD4848" s="284"/>
      <c r="AE4848" s="284"/>
      <c r="AF4848" s="284"/>
      <c r="AG4848" s="284"/>
      <c r="AH4848" s="284"/>
      <c r="AI4848" s="284"/>
      <c r="AJ4848" s="284"/>
      <c r="AK4848" s="284"/>
      <c r="AL4848" s="284"/>
    </row>
    <row r="4849" ht="15.75" customHeight="1">
      <c r="A4849" s="394"/>
      <c r="B4849" s="395"/>
      <c r="C4849" s="395"/>
      <c r="D4849" s="396"/>
      <c r="E4849" s="397"/>
      <c r="F4849" s="395"/>
      <c r="G4849" s="395"/>
      <c r="H4849" s="397"/>
      <c r="I4849" s="395"/>
      <c r="J4849" s="395"/>
      <c r="K4849" s="397"/>
      <c r="L4849" s="395"/>
      <c r="M4849" s="395"/>
      <c r="N4849" s="395"/>
      <c r="O4849" s="397"/>
      <c r="P4849" s="395"/>
      <c r="Q4849" s="395"/>
      <c r="R4849" s="353"/>
      <c r="S4849" s="185"/>
      <c r="T4849" s="185"/>
      <c r="U4849" s="185"/>
      <c r="V4849" s="185"/>
      <c r="W4849" s="185"/>
      <c r="X4849" s="185"/>
      <c r="Y4849" s="284"/>
      <c r="Z4849" s="284"/>
      <c r="AA4849" s="284"/>
      <c r="AB4849" s="284"/>
      <c r="AC4849" s="284"/>
      <c r="AD4849" s="284"/>
      <c r="AE4849" s="284"/>
      <c r="AF4849" s="284"/>
      <c r="AG4849" s="284"/>
      <c r="AH4849" s="284"/>
      <c r="AI4849" s="284"/>
      <c r="AJ4849" s="284"/>
      <c r="AK4849" s="284"/>
      <c r="AL4849" s="284"/>
    </row>
    <row r="4850" ht="15.75" customHeight="1">
      <c r="A4850" s="394"/>
      <c r="B4850" s="395"/>
      <c r="C4850" s="395"/>
      <c r="D4850" s="396"/>
      <c r="E4850" s="397"/>
      <c r="F4850" s="395"/>
      <c r="G4850" s="395"/>
      <c r="H4850" s="397"/>
      <c r="I4850" s="395"/>
      <c r="J4850" s="395"/>
      <c r="K4850" s="397"/>
      <c r="L4850" s="395"/>
      <c r="M4850" s="395"/>
      <c r="N4850" s="395"/>
      <c r="O4850" s="397"/>
      <c r="P4850" s="395"/>
      <c r="Q4850" s="395"/>
      <c r="R4850" s="353"/>
      <c r="S4850" s="185"/>
      <c r="T4850" s="185"/>
      <c r="U4850" s="185"/>
      <c r="V4850" s="185"/>
      <c r="W4850" s="185"/>
      <c r="X4850" s="185"/>
      <c r="Y4850" s="284"/>
      <c r="Z4850" s="284"/>
      <c r="AA4850" s="284"/>
      <c r="AB4850" s="284"/>
      <c r="AC4850" s="284"/>
      <c r="AD4850" s="284"/>
      <c r="AE4850" s="284"/>
      <c r="AF4850" s="284"/>
      <c r="AG4850" s="284"/>
      <c r="AH4850" s="284"/>
      <c r="AI4850" s="284"/>
      <c r="AJ4850" s="284"/>
      <c r="AK4850" s="284"/>
      <c r="AL4850" s="284"/>
    </row>
    <row r="4851" ht="15.75" customHeight="1">
      <c r="A4851" s="394"/>
      <c r="B4851" s="395"/>
      <c r="C4851" s="395"/>
      <c r="D4851" s="396"/>
      <c r="E4851" s="397"/>
      <c r="F4851" s="395"/>
      <c r="G4851" s="395"/>
      <c r="H4851" s="397"/>
      <c r="I4851" s="395"/>
      <c r="J4851" s="395"/>
      <c r="K4851" s="397"/>
      <c r="L4851" s="395"/>
      <c r="M4851" s="395"/>
      <c r="N4851" s="395"/>
      <c r="O4851" s="397"/>
      <c r="P4851" s="395"/>
      <c r="Q4851" s="395"/>
      <c r="R4851" s="353"/>
      <c r="S4851" s="185"/>
      <c r="T4851" s="185"/>
      <c r="U4851" s="185"/>
      <c r="V4851" s="185"/>
      <c r="W4851" s="185"/>
      <c r="X4851" s="185"/>
      <c r="Y4851" s="284"/>
      <c r="Z4851" s="284"/>
      <c r="AA4851" s="284"/>
      <c r="AB4851" s="284"/>
      <c r="AC4851" s="284"/>
      <c r="AD4851" s="284"/>
      <c r="AE4851" s="284"/>
      <c r="AF4851" s="284"/>
      <c r="AG4851" s="284"/>
      <c r="AH4851" s="284"/>
      <c r="AI4851" s="284"/>
      <c r="AJ4851" s="284"/>
      <c r="AK4851" s="284"/>
      <c r="AL4851" s="284"/>
    </row>
    <row r="4852" ht="15.75" customHeight="1">
      <c r="A4852" s="394"/>
      <c r="B4852" s="395"/>
      <c r="C4852" s="395"/>
      <c r="D4852" s="396"/>
      <c r="E4852" s="397"/>
      <c r="F4852" s="395"/>
      <c r="G4852" s="395"/>
      <c r="H4852" s="397"/>
      <c r="I4852" s="395"/>
      <c r="J4852" s="395"/>
      <c r="K4852" s="397"/>
      <c r="L4852" s="395"/>
      <c r="M4852" s="395"/>
      <c r="N4852" s="395"/>
      <c r="O4852" s="397"/>
      <c r="P4852" s="395"/>
      <c r="Q4852" s="395"/>
      <c r="R4852" s="353"/>
      <c r="S4852" s="185"/>
      <c r="T4852" s="185"/>
      <c r="U4852" s="185"/>
      <c r="V4852" s="185"/>
      <c r="W4852" s="185"/>
      <c r="X4852" s="185"/>
      <c r="Y4852" s="284"/>
      <c r="Z4852" s="284"/>
      <c r="AA4852" s="284"/>
      <c r="AB4852" s="284"/>
      <c r="AC4852" s="284"/>
      <c r="AD4852" s="284"/>
      <c r="AE4852" s="284"/>
      <c r="AF4852" s="284"/>
      <c r="AG4852" s="284"/>
      <c r="AH4852" s="284"/>
      <c r="AI4852" s="284"/>
      <c r="AJ4852" s="284"/>
      <c r="AK4852" s="284"/>
      <c r="AL4852" s="284"/>
    </row>
    <row r="4853" ht="15.75" customHeight="1">
      <c r="A4853" s="394"/>
      <c r="B4853" s="395"/>
      <c r="C4853" s="395"/>
      <c r="D4853" s="396"/>
      <c r="E4853" s="397"/>
      <c r="F4853" s="395"/>
      <c r="G4853" s="395"/>
      <c r="H4853" s="397"/>
      <c r="I4853" s="395"/>
      <c r="J4853" s="395"/>
      <c r="K4853" s="397"/>
      <c r="L4853" s="395"/>
      <c r="M4853" s="395"/>
      <c r="N4853" s="395"/>
      <c r="O4853" s="397"/>
      <c r="P4853" s="395"/>
      <c r="Q4853" s="395"/>
      <c r="R4853" s="353"/>
      <c r="S4853" s="185"/>
      <c r="T4853" s="185"/>
      <c r="U4853" s="185"/>
      <c r="V4853" s="185"/>
      <c r="W4853" s="185"/>
      <c r="X4853" s="185"/>
      <c r="Y4853" s="284"/>
      <c r="Z4853" s="284"/>
      <c r="AA4853" s="284"/>
      <c r="AB4853" s="284"/>
      <c r="AC4853" s="284"/>
      <c r="AD4853" s="284"/>
      <c r="AE4853" s="284"/>
      <c r="AF4853" s="284"/>
      <c r="AG4853" s="284"/>
      <c r="AH4853" s="284"/>
      <c r="AI4853" s="284"/>
      <c r="AJ4853" s="284"/>
      <c r="AK4853" s="284"/>
      <c r="AL4853" s="284"/>
    </row>
    <row r="4854" ht="15.75" customHeight="1">
      <c r="A4854" s="394"/>
      <c r="B4854" s="395"/>
      <c r="C4854" s="395"/>
      <c r="D4854" s="396"/>
      <c r="E4854" s="397"/>
      <c r="F4854" s="395"/>
      <c r="G4854" s="395"/>
      <c r="H4854" s="397"/>
      <c r="I4854" s="395"/>
      <c r="J4854" s="395"/>
      <c r="K4854" s="397"/>
      <c r="L4854" s="395"/>
      <c r="M4854" s="395"/>
      <c r="N4854" s="395"/>
      <c r="O4854" s="397"/>
      <c r="P4854" s="395"/>
      <c r="Q4854" s="395"/>
      <c r="R4854" s="353"/>
      <c r="S4854" s="185"/>
      <c r="T4854" s="185"/>
      <c r="U4854" s="185"/>
      <c r="V4854" s="185"/>
      <c r="W4854" s="185"/>
      <c r="X4854" s="185"/>
      <c r="Y4854" s="284"/>
      <c r="Z4854" s="284"/>
      <c r="AA4854" s="284"/>
      <c r="AB4854" s="284"/>
      <c r="AC4854" s="284"/>
      <c r="AD4854" s="284"/>
      <c r="AE4854" s="284"/>
      <c r="AF4854" s="284"/>
      <c r="AG4854" s="284"/>
      <c r="AH4854" s="284"/>
      <c r="AI4854" s="284"/>
      <c r="AJ4854" s="284"/>
      <c r="AK4854" s="284"/>
      <c r="AL4854" s="284"/>
    </row>
    <row r="4855" ht="15.75" customHeight="1">
      <c r="A4855" s="394"/>
      <c r="B4855" s="395"/>
      <c r="C4855" s="395"/>
      <c r="D4855" s="396"/>
      <c r="E4855" s="397"/>
      <c r="F4855" s="395"/>
      <c r="G4855" s="395"/>
      <c r="H4855" s="397"/>
      <c r="I4855" s="395"/>
      <c r="J4855" s="395"/>
      <c r="K4855" s="397"/>
      <c r="L4855" s="395"/>
      <c r="M4855" s="395"/>
      <c r="N4855" s="395"/>
      <c r="O4855" s="397"/>
      <c r="P4855" s="395"/>
      <c r="Q4855" s="395"/>
      <c r="R4855" s="353"/>
      <c r="S4855" s="185"/>
      <c r="T4855" s="185"/>
      <c r="U4855" s="185"/>
      <c r="V4855" s="185"/>
      <c r="W4855" s="185"/>
      <c r="X4855" s="185"/>
      <c r="Y4855" s="284"/>
      <c r="Z4855" s="284"/>
      <c r="AA4855" s="284"/>
      <c r="AB4855" s="284"/>
      <c r="AC4855" s="284"/>
      <c r="AD4855" s="284"/>
      <c r="AE4855" s="284"/>
      <c r="AF4855" s="284"/>
      <c r="AG4855" s="284"/>
      <c r="AH4855" s="284"/>
      <c r="AI4855" s="284"/>
      <c r="AJ4855" s="284"/>
      <c r="AK4855" s="284"/>
      <c r="AL4855" s="284"/>
    </row>
    <row r="4856" ht="15.75" customHeight="1">
      <c r="A4856" s="394"/>
      <c r="B4856" s="395"/>
      <c r="C4856" s="395"/>
      <c r="D4856" s="396"/>
      <c r="E4856" s="397"/>
      <c r="F4856" s="395"/>
      <c r="G4856" s="395"/>
      <c r="H4856" s="397"/>
      <c r="I4856" s="395"/>
      <c r="J4856" s="395"/>
      <c r="K4856" s="397"/>
      <c r="L4856" s="395"/>
      <c r="M4856" s="395"/>
      <c r="N4856" s="395"/>
      <c r="O4856" s="397"/>
      <c r="P4856" s="395"/>
      <c r="Q4856" s="395"/>
      <c r="R4856" s="353"/>
      <c r="S4856" s="185"/>
      <c r="T4856" s="185"/>
      <c r="U4856" s="185"/>
      <c r="V4856" s="185"/>
      <c r="W4856" s="185"/>
      <c r="X4856" s="185"/>
      <c r="Y4856" s="284"/>
      <c r="Z4856" s="284"/>
      <c r="AA4856" s="284"/>
      <c r="AB4856" s="284"/>
      <c r="AC4856" s="284"/>
      <c r="AD4856" s="284"/>
      <c r="AE4856" s="284"/>
      <c r="AF4856" s="284"/>
      <c r="AG4856" s="284"/>
      <c r="AH4856" s="284"/>
      <c r="AI4856" s="284"/>
      <c r="AJ4856" s="284"/>
      <c r="AK4856" s="284"/>
      <c r="AL4856" s="284"/>
    </row>
    <row r="4857" ht="15.75" customHeight="1">
      <c r="A4857" s="394"/>
      <c r="B4857" s="395"/>
      <c r="C4857" s="395"/>
      <c r="D4857" s="396"/>
      <c r="E4857" s="397"/>
      <c r="F4857" s="395"/>
      <c r="G4857" s="395"/>
      <c r="H4857" s="397"/>
      <c r="I4857" s="395"/>
      <c r="J4857" s="395"/>
      <c r="K4857" s="397"/>
      <c r="L4857" s="395"/>
      <c r="M4857" s="395"/>
      <c r="N4857" s="395"/>
      <c r="O4857" s="397"/>
      <c r="P4857" s="395"/>
      <c r="Q4857" s="395"/>
      <c r="R4857" s="353"/>
      <c r="S4857" s="185"/>
      <c r="T4857" s="185"/>
      <c r="U4857" s="185"/>
      <c r="V4857" s="185"/>
      <c r="W4857" s="185"/>
      <c r="X4857" s="185"/>
      <c r="Y4857" s="284"/>
      <c r="Z4857" s="284"/>
      <c r="AA4857" s="284"/>
      <c r="AB4857" s="284"/>
      <c r="AC4857" s="284"/>
      <c r="AD4857" s="284"/>
      <c r="AE4857" s="284"/>
      <c r="AF4857" s="284"/>
      <c r="AG4857" s="284"/>
      <c r="AH4857" s="284"/>
      <c r="AI4857" s="284"/>
      <c r="AJ4857" s="284"/>
      <c r="AK4857" s="284"/>
      <c r="AL4857" s="284"/>
    </row>
    <row r="4858" ht="15.75" customHeight="1">
      <c r="A4858" s="394"/>
      <c r="B4858" s="395"/>
      <c r="C4858" s="395"/>
      <c r="D4858" s="396"/>
      <c r="E4858" s="397"/>
      <c r="F4858" s="395"/>
      <c r="G4858" s="395"/>
      <c r="H4858" s="397"/>
      <c r="I4858" s="395"/>
      <c r="J4858" s="395"/>
      <c r="K4858" s="397"/>
      <c r="L4858" s="395"/>
      <c r="M4858" s="395"/>
      <c r="N4858" s="395"/>
      <c r="O4858" s="397"/>
      <c r="P4858" s="395"/>
      <c r="Q4858" s="395"/>
      <c r="R4858" s="353"/>
      <c r="S4858" s="185"/>
      <c r="T4858" s="185"/>
      <c r="U4858" s="185"/>
      <c r="V4858" s="185"/>
      <c r="W4858" s="185"/>
      <c r="X4858" s="185"/>
      <c r="Y4858" s="284"/>
      <c r="Z4858" s="284"/>
      <c r="AA4858" s="284"/>
      <c r="AB4858" s="284"/>
      <c r="AC4858" s="284"/>
      <c r="AD4858" s="284"/>
      <c r="AE4858" s="284"/>
      <c r="AF4858" s="284"/>
      <c r="AG4858" s="284"/>
      <c r="AH4858" s="284"/>
      <c r="AI4858" s="284"/>
      <c r="AJ4858" s="284"/>
      <c r="AK4858" s="284"/>
      <c r="AL4858" s="284"/>
    </row>
    <row r="4859" ht="15.75" customHeight="1">
      <c r="A4859" s="394"/>
      <c r="B4859" s="395"/>
      <c r="C4859" s="395"/>
      <c r="D4859" s="396"/>
      <c r="E4859" s="397"/>
      <c r="F4859" s="395"/>
      <c r="G4859" s="395"/>
      <c r="H4859" s="397"/>
      <c r="I4859" s="395"/>
      <c r="J4859" s="395"/>
      <c r="K4859" s="397"/>
      <c r="L4859" s="395"/>
      <c r="M4859" s="395"/>
      <c r="N4859" s="395"/>
      <c r="O4859" s="397"/>
      <c r="P4859" s="395"/>
      <c r="Q4859" s="395"/>
      <c r="R4859" s="353"/>
      <c r="S4859" s="185"/>
      <c r="T4859" s="185"/>
      <c r="U4859" s="185"/>
      <c r="V4859" s="185"/>
      <c r="W4859" s="185"/>
      <c r="X4859" s="185"/>
      <c r="Y4859" s="284"/>
      <c r="Z4859" s="284"/>
      <c r="AA4859" s="284"/>
      <c r="AB4859" s="284"/>
      <c r="AC4859" s="284"/>
      <c r="AD4859" s="284"/>
      <c r="AE4859" s="284"/>
      <c r="AF4859" s="284"/>
      <c r="AG4859" s="284"/>
      <c r="AH4859" s="284"/>
      <c r="AI4859" s="284"/>
      <c r="AJ4859" s="284"/>
      <c r="AK4859" s="284"/>
      <c r="AL4859" s="284"/>
    </row>
    <row r="4860" ht="15.75" customHeight="1">
      <c r="A4860" s="394"/>
      <c r="B4860" s="395"/>
      <c r="C4860" s="395"/>
      <c r="D4860" s="396"/>
      <c r="E4860" s="397"/>
      <c r="F4860" s="395"/>
      <c r="G4860" s="395"/>
      <c r="H4860" s="397"/>
      <c r="I4860" s="395"/>
      <c r="J4860" s="395"/>
      <c r="K4860" s="397"/>
      <c r="L4860" s="395"/>
      <c r="M4860" s="395"/>
      <c r="N4860" s="395"/>
      <c r="O4860" s="397"/>
      <c r="P4860" s="395"/>
      <c r="Q4860" s="395"/>
      <c r="R4860" s="353"/>
      <c r="S4860" s="185"/>
      <c r="T4860" s="185"/>
      <c r="U4860" s="185"/>
      <c r="V4860" s="185"/>
      <c r="W4860" s="185"/>
      <c r="X4860" s="185"/>
      <c r="Y4860" s="284"/>
      <c r="Z4860" s="284"/>
      <c r="AA4860" s="284"/>
      <c r="AB4860" s="284"/>
      <c r="AC4860" s="284"/>
      <c r="AD4860" s="284"/>
      <c r="AE4860" s="284"/>
      <c r="AF4860" s="284"/>
      <c r="AG4860" s="284"/>
      <c r="AH4860" s="284"/>
      <c r="AI4860" s="284"/>
      <c r="AJ4860" s="284"/>
      <c r="AK4860" s="284"/>
      <c r="AL4860" s="284"/>
    </row>
    <row r="4861" ht="15.75" customHeight="1">
      <c r="A4861" s="394"/>
      <c r="B4861" s="395"/>
      <c r="C4861" s="395"/>
      <c r="D4861" s="396"/>
      <c r="E4861" s="397"/>
      <c r="F4861" s="395"/>
      <c r="G4861" s="395"/>
      <c r="H4861" s="397"/>
      <c r="I4861" s="395"/>
      <c r="J4861" s="395"/>
      <c r="K4861" s="397"/>
      <c r="L4861" s="395"/>
      <c r="M4861" s="395"/>
      <c r="N4861" s="395"/>
      <c r="O4861" s="397"/>
      <c r="P4861" s="395"/>
      <c r="Q4861" s="395"/>
      <c r="R4861" s="353"/>
      <c r="S4861" s="185"/>
      <c r="T4861" s="185"/>
      <c r="U4861" s="185"/>
      <c r="V4861" s="185"/>
      <c r="W4861" s="185"/>
      <c r="X4861" s="185"/>
      <c r="Y4861" s="284"/>
      <c r="Z4861" s="284"/>
      <c r="AA4861" s="284"/>
      <c r="AB4861" s="284"/>
      <c r="AC4861" s="284"/>
      <c r="AD4861" s="284"/>
      <c r="AE4861" s="284"/>
      <c r="AF4861" s="284"/>
      <c r="AG4861" s="284"/>
      <c r="AH4861" s="284"/>
      <c r="AI4861" s="284"/>
      <c r="AJ4861" s="284"/>
      <c r="AK4861" s="284"/>
      <c r="AL4861" s="284"/>
    </row>
    <row r="4862" ht="15.75" customHeight="1">
      <c r="A4862" s="394"/>
      <c r="B4862" s="395"/>
      <c r="C4862" s="395"/>
      <c r="D4862" s="396"/>
      <c r="E4862" s="397"/>
      <c r="F4862" s="395"/>
      <c r="G4862" s="395"/>
      <c r="H4862" s="397"/>
      <c r="I4862" s="395"/>
      <c r="J4862" s="395"/>
      <c r="K4862" s="397"/>
      <c r="L4862" s="395"/>
      <c r="M4862" s="395"/>
      <c r="N4862" s="395"/>
      <c r="O4862" s="397"/>
      <c r="P4862" s="395"/>
      <c r="Q4862" s="395"/>
      <c r="R4862" s="353"/>
      <c r="S4862" s="185"/>
      <c r="T4862" s="185"/>
      <c r="U4862" s="185"/>
      <c r="V4862" s="185"/>
      <c r="W4862" s="185"/>
      <c r="X4862" s="185"/>
      <c r="Y4862" s="284"/>
      <c r="Z4862" s="284"/>
      <c r="AA4862" s="284"/>
      <c r="AB4862" s="284"/>
      <c r="AC4862" s="284"/>
      <c r="AD4862" s="284"/>
      <c r="AE4862" s="284"/>
      <c r="AF4862" s="284"/>
      <c r="AG4862" s="284"/>
      <c r="AH4862" s="284"/>
      <c r="AI4862" s="284"/>
      <c r="AJ4862" s="284"/>
      <c r="AK4862" s="284"/>
      <c r="AL4862" s="284"/>
    </row>
    <row r="4863" ht="15.75" customHeight="1">
      <c r="A4863" s="394"/>
      <c r="B4863" s="395"/>
      <c r="C4863" s="395"/>
      <c r="D4863" s="396"/>
      <c r="E4863" s="397"/>
      <c r="F4863" s="395"/>
      <c r="G4863" s="395"/>
      <c r="H4863" s="397"/>
      <c r="I4863" s="395"/>
      <c r="J4863" s="395"/>
      <c r="K4863" s="397"/>
      <c r="L4863" s="395"/>
      <c r="M4863" s="395"/>
      <c r="N4863" s="395"/>
      <c r="O4863" s="397"/>
      <c r="P4863" s="395"/>
      <c r="Q4863" s="395"/>
      <c r="R4863" s="353"/>
      <c r="S4863" s="185"/>
      <c r="T4863" s="185"/>
      <c r="U4863" s="185"/>
      <c r="V4863" s="185"/>
      <c r="W4863" s="185"/>
      <c r="X4863" s="185"/>
      <c r="Y4863" s="284"/>
      <c r="Z4863" s="284"/>
      <c r="AA4863" s="284"/>
      <c r="AB4863" s="284"/>
      <c r="AC4863" s="284"/>
      <c r="AD4863" s="284"/>
      <c r="AE4863" s="284"/>
      <c r="AF4863" s="284"/>
      <c r="AG4863" s="284"/>
      <c r="AH4863" s="284"/>
      <c r="AI4863" s="284"/>
      <c r="AJ4863" s="284"/>
      <c r="AK4863" s="284"/>
      <c r="AL4863" s="284"/>
    </row>
    <row r="4864" ht="15.75" customHeight="1">
      <c r="A4864" s="394"/>
      <c r="B4864" s="395"/>
      <c r="C4864" s="395"/>
      <c r="D4864" s="396"/>
      <c r="E4864" s="397"/>
      <c r="F4864" s="395"/>
      <c r="G4864" s="395"/>
      <c r="H4864" s="397"/>
      <c r="I4864" s="395"/>
      <c r="J4864" s="395"/>
      <c r="K4864" s="397"/>
      <c r="L4864" s="395"/>
      <c r="M4864" s="395"/>
      <c r="N4864" s="395"/>
      <c r="O4864" s="397"/>
      <c r="P4864" s="395"/>
      <c r="Q4864" s="395"/>
      <c r="R4864" s="353"/>
      <c r="S4864" s="185"/>
      <c r="T4864" s="185"/>
      <c r="U4864" s="185"/>
      <c r="V4864" s="185"/>
      <c r="W4864" s="185"/>
      <c r="X4864" s="185"/>
      <c r="Y4864" s="284"/>
      <c r="Z4864" s="284"/>
      <c r="AA4864" s="284"/>
      <c r="AB4864" s="284"/>
      <c r="AC4864" s="284"/>
      <c r="AD4864" s="284"/>
      <c r="AE4864" s="284"/>
      <c r="AF4864" s="284"/>
      <c r="AG4864" s="284"/>
      <c r="AH4864" s="284"/>
      <c r="AI4864" s="284"/>
      <c r="AJ4864" s="284"/>
      <c r="AK4864" s="284"/>
      <c r="AL4864" s="284"/>
    </row>
    <row r="4865" ht="15.75" customHeight="1">
      <c r="A4865" s="394"/>
      <c r="B4865" s="395"/>
      <c r="C4865" s="395"/>
      <c r="D4865" s="396"/>
      <c r="E4865" s="397"/>
      <c r="F4865" s="395"/>
      <c r="G4865" s="395"/>
      <c r="H4865" s="397"/>
      <c r="I4865" s="395"/>
      <c r="J4865" s="395"/>
      <c r="K4865" s="397"/>
      <c r="L4865" s="395"/>
      <c r="M4865" s="395"/>
      <c r="N4865" s="395"/>
      <c r="O4865" s="397"/>
      <c r="P4865" s="395"/>
      <c r="Q4865" s="395"/>
      <c r="R4865" s="353"/>
      <c r="S4865" s="185"/>
      <c r="T4865" s="185"/>
      <c r="U4865" s="185"/>
      <c r="V4865" s="185"/>
      <c r="W4865" s="185"/>
      <c r="X4865" s="185"/>
      <c r="Y4865" s="284"/>
      <c r="Z4865" s="284"/>
      <c r="AA4865" s="284"/>
      <c r="AB4865" s="284"/>
      <c r="AC4865" s="284"/>
      <c r="AD4865" s="284"/>
      <c r="AE4865" s="284"/>
      <c r="AF4865" s="284"/>
      <c r="AG4865" s="284"/>
      <c r="AH4865" s="284"/>
      <c r="AI4865" s="284"/>
      <c r="AJ4865" s="284"/>
      <c r="AK4865" s="284"/>
      <c r="AL4865" s="284"/>
    </row>
    <row r="4866" ht="15.75" customHeight="1">
      <c r="A4866" s="394"/>
      <c r="B4866" s="395"/>
      <c r="C4866" s="395"/>
      <c r="D4866" s="396"/>
      <c r="E4866" s="397"/>
      <c r="F4866" s="395"/>
      <c r="G4866" s="395"/>
      <c r="H4866" s="397"/>
      <c r="I4866" s="395"/>
      <c r="J4866" s="395"/>
      <c r="K4866" s="397"/>
      <c r="L4866" s="395"/>
      <c r="M4866" s="395"/>
      <c r="N4866" s="395"/>
      <c r="O4866" s="397"/>
      <c r="P4866" s="395"/>
      <c r="Q4866" s="395"/>
      <c r="R4866" s="353"/>
      <c r="S4866" s="185"/>
      <c r="T4866" s="185"/>
      <c r="U4866" s="185"/>
      <c r="V4866" s="185"/>
      <c r="W4866" s="185"/>
      <c r="X4866" s="185"/>
      <c r="Y4866" s="284"/>
      <c r="Z4866" s="284"/>
      <c r="AA4866" s="284"/>
      <c r="AB4866" s="284"/>
      <c r="AC4866" s="284"/>
      <c r="AD4866" s="284"/>
      <c r="AE4866" s="284"/>
      <c r="AF4866" s="284"/>
      <c r="AG4866" s="284"/>
      <c r="AH4866" s="284"/>
      <c r="AI4866" s="284"/>
      <c r="AJ4866" s="284"/>
      <c r="AK4866" s="284"/>
      <c r="AL4866" s="284"/>
    </row>
    <row r="4867" ht="15.75" customHeight="1">
      <c r="A4867" s="394"/>
      <c r="B4867" s="395"/>
      <c r="C4867" s="395"/>
      <c r="D4867" s="396"/>
      <c r="E4867" s="397"/>
      <c r="F4867" s="395"/>
      <c r="G4867" s="395"/>
      <c r="H4867" s="397"/>
      <c r="I4867" s="395"/>
      <c r="J4867" s="395"/>
      <c r="K4867" s="397"/>
      <c r="L4867" s="395"/>
      <c r="M4867" s="395"/>
      <c r="N4867" s="395"/>
      <c r="O4867" s="397"/>
      <c r="P4867" s="395"/>
      <c r="Q4867" s="395"/>
      <c r="R4867" s="353"/>
      <c r="S4867" s="185"/>
      <c r="T4867" s="185"/>
      <c r="U4867" s="185"/>
      <c r="V4867" s="185"/>
      <c r="W4867" s="185"/>
      <c r="X4867" s="185"/>
      <c r="Y4867" s="284"/>
      <c r="Z4867" s="284"/>
      <c r="AA4867" s="284"/>
      <c r="AB4867" s="284"/>
      <c r="AC4867" s="284"/>
      <c r="AD4867" s="284"/>
      <c r="AE4867" s="284"/>
      <c r="AF4867" s="284"/>
      <c r="AG4867" s="284"/>
      <c r="AH4867" s="284"/>
      <c r="AI4867" s="284"/>
      <c r="AJ4867" s="284"/>
      <c r="AK4867" s="284"/>
      <c r="AL4867" s="284"/>
    </row>
    <row r="4868" ht="15.75" customHeight="1">
      <c r="A4868" s="394"/>
      <c r="B4868" s="395"/>
      <c r="C4868" s="395"/>
      <c r="D4868" s="396"/>
      <c r="E4868" s="397"/>
      <c r="F4868" s="395"/>
      <c r="G4868" s="395"/>
      <c r="H4868" s="397"/>
      <c r="I4868" s="395"/>
      <c r="J4868" s="395"/>
      <c r="K4868" s="397"/>
      <c r="L4868" s="395"/>
      <c r="M4868" s="395"/>
      <c r="N4868" s="395"/>
      <c r="O4868" s="397"/>
      <c r="P4868" s="395"/>
      <c r="Q4868" s="395"/>
      <c r="R4868" s="353"/>
      <c r="S4868" s="185"/>
      <c r="T4868" s="185"/>
      <c r="U4868" s="185"/>
      <c r="V4868" s="185"/>
      <c r="W4868" s="185"/>
      <c r="X4868" s="185"/>
      <c r="Y4868" s="284"/>
      <c r="Z4868" s="284"/>
      <c r="AA4868" s="284"/>
      <c r="AB4868" s="284"/>
      <c r="AC4868" s="284"/>
      <c r="AD4868" s="284"/>
      <c r="AE4868" s="284"/>
      <c r="AF4868" s="284"/>
      <c r="AG4868" s="284"/>
      <c r="AH4868" s="284"/>
      <c r="AI4868" s="284"/>
      <c r="AJ4868" s="284"/>
      <c r="AK4868" s="284"/>
      <c r="AL4868" s="284"/>
    </row>
    <row r="4869" ht="15.75" customHeight="1">
      <c r="A4869" s="394"/>
      <c r="B4869" s="395"/>
      <c r="C4869" s="395"/>
      <c r="D4869" s="396"/>
      <c r="E4869" s="397"/>
      <c r="F4869" s="395"/>
      <c r="G4869" s="395"/>
      <c r="H4869" s="397"/>
      <c r="I4869" s="395"/>
      <c r="J4869" s="395"/>
      <c r="K4869" s="397"/>
      <c r="L4869" s="395"/>
      <c r="M4869" s="395"/>
      <c r="N4869" s="395"/>
      <c r="O4869" s="397"/>
      <c r="P4869" s="395"/>
      <c r="Q4869" s="395"/>
      <c r="R4869" s="353"/>
      <c r="S4869" s="185"/>
      <c r="T4869" s="185"/>
      <c r="U4869" s="185"/>
      <c r="V4869" s="185"/>
      <c r="W4869" s="185"/>
      <c r="X4869" s="185"/>
      <c r="Y4869" s="284"/>
      <c r="Z4869" s="284"/>
      <c r="AA4869" s="284"/>
      <c r="AB4869" s="284"/>
      <c r="AC4869" s="284"/>
      <c r="AD4869" s="284"/>
      <c r="AE4869" s="284"/>
      <c r="AF4869" s="284"/>
      <c r="AG4869" s="284"/>
      <c r="AH4869" s="284"/>
      <c r="AI4869" s="284"/>
      <c r="AJ4869" s="284"/>
      <c r="AK4869" s="284"/>
      <c r="AL4869" s="284"/>
    </row>
    <row r="4870" ht="15.75" customHeight="1">
      <c r="A4870" s="394"/>
      <c r="B4870" s="395"/>
      <c r="C4870" s="395"/>
      <c r="D4870" s="396"/>
      <c r="E4870" s="397"/>
      <c r="F4870" s="395"/>
      <c r="G4870" s="395"/>
      <c r="H4870" s="397"/>
      <c r="I4870" s="395"/>
      <c r="J4870" s="395"/>
      <c r="K4870" s="397"/>
      <c r="L4870" s="395"/>
      <c r="M4870" s="395"/>
      <c r="N4870" s="395"/>
      <c r="O4870" s="397"/>
      <c r="P4870" s="395"/>
      <c r="Q4870" s="395"/>
      <c r="R4870" s="353"/>
      <c r="S4870" s="185"/>
      <c r="T4870" s="185"/>
      <c r="U4870" s="185"/>
      <c r="V4870" s="185"/>
      <c r="W4870" s="185"/>
      <c r="X4870" s="185"/>
      <c r="Y4870" s="284"/>
      <c r="Z4870" s="284"/>
      <c r="AA4870" s="284"/>
      <c r="AB4870" s="284"/>
      <c r="AC4870" s="284"/>
      <c r="AD4870" s="284"/>
      <c r="AE4870" s="284"/>
      <c r="AF4870" s="284"/>
      <c r="AG4870" s="284"/>
      <c r="AH4870" s="284"/>
      <c r="AI4870" s="284"/>
      <c r="AJ4870" s="284"/>
      <c r="AK4870" s="284"/>
      <c r="AL4870" s="284"/>
    </row>
    <row r="4871" ht="15.75" customHeight="1">
      <c r="A4871" s="394"/>
      <c r="B4871" s="395"/>
      <c r="C4871" s="395"/>
      <c r="D4871" s="396"/>
      <c r="E4871" s="397"/>
      <c r="F4871" s="395"/>
      <c r="G4871" s="395"/>
      <c r="H4871" s="397"/>
      <c r="I4871" s="395"/>
      <c r="J4871" s="395"/>
      <c r="K4871" s="397"/>
      <c r="L4871" s="395"/>
      <c r="M4871" s="395"/>
      <c r="N4871" s="395"/>
      <c r="O4871" s="397"/>
      <c r="P4871" s="395"/>
      <c r="Q4871" s="395"/>
      <c r="R4871" s="353"/>
      <c r="S4871" s="185"/>
      <c r="T4871" s="185"/>
      <c r="U4871" s="185"/>
      <c r="V4871" s="185"/>
      <c r="W4871" s="185"/>
      <c r="X4871" s="185"/>
      <c r="Y4871" s="284"/>
      <c r="Z4871" s="284"/>
      <c r="AA4871" s="284"/>
      <c r="AB4871" s="284"/>
      <c r="AC4871" s="284"/>
      <c r="AD4871" s="284"/>
      <c r="AE4871" s="284"/>
      <c r="AF4871" s="284"/>
      <c r="AG4871" s="284"/>
      <c r="AH4871" s="284"/>
      <c r="AI4871" s="284"/>
      <c r="AJ4871" s="284"/>
      <c r="AK4871" s="284"/>
      <c r="AL4871" s="284"/>
    </row>
    <row r="4872" ht="15.75" customHeight="1">
      <c r="A4872" s="394"/>
      <c r="B4872" s="395"/>
      <c r="C4872" s="395"/>
      <c r="D4872" s="396"/>
      <c r="E4872" s="397"/>
      <c r="F4872" s="395"/>
      <c r="G4872" s="395"/>
      <c r="H4872" s="397"/>
      <c r="I4872" s="395"/>
      <c r="J4872" s="395"/>
      <c r="K4872" s="397"/>
      <c r="L4872" s="395"/>
      <c r="M4872" s="395"/>
      <c r="N4872" s="395"/>
      <c r="O4872" s="397"/>
      <c r="P4872" s="395"/>
      <c r="Q4872" s="395"/>
      <c r="R4872" s="353"/>
      <c r="S4872" s="185"/>
      <c r="T4872" s="185"/>
      <c r="U4872" s="185"/>
      <c r="V4872" s="185"/>
      <c r="W4872" s="185"/>
      <c r="X4872" s="185"/>
      <c r="Y4872" s="284"/>
      <c r="Z4872" s="284"/>
      <c r="AA4872" s="284"/>
      <c r="AB4872" s="284"/>
      <c r="AC4872" s="284"/>
      <c r="AD4872" s="284"/>
      <c r="AE4872" s="284"/>
      <c r="AF4872" s="284"/>
      <c r="AG4872" s="284"/>
      <c r="AH4872" s="284"/>
      <c r="AI4872" s="284"/>
      <c r="AJ4872" s="284"/>
      <c r="AK4872" s="284"/>
      <c r="AL4872" s="284"/>
    </row>
    <row r="4873" ht="15.75" customHeight="1">
      <c r="A4873" s="394"/>
      <c r="B4873" s="395"/>
      <c r="C4873" s="395"/>
      <c r="D4873" s="396"/>
      <c r="E4873" s="397"/>
      <c r="F4873" s="395"/>
      <c r="G4873" s="395"/>
      <c r="H4873" s="397"/>
      <c r="I4873" s="395"/>
      <c r="J4873" s="395"/>
      <c r="K4873" s="397"/>
      <c r="L4873" s="395"/>
      <c r="M4873" s="395"/>
      <c r="N4873" s="395"/>
      <c r="O4873" s="397"/>
      <c r="P4873" s="395"/>
      <c r="Q4873" s="395"/>
      <c r="R4873" s="353"/>
      <c r="S4873" s="185"/>
      <c r="T4873" s="185"/>
      <c r="U4873" s="185"/>
      <c r="V4873" s="185"/>
      <c r="W4873" s="185"/>
      <c r="X4873" s="185"/>
      <c r="Y4873" s="284"/>
      <c r="Z4873" s="284"/>
      <c r="AA4873" s="284"/>
      <c r="AB4873" s="284"/>
      <c r="AC4873" s="284"/>
      <c r="AD4873" s="284"/>
      <c r="AE4873" s="284"/>
      <c r="AF4873" s="284"/>
      <c r="AG4873" s="284"/>
      <c r="AH4873" s="284"/>
      <c r="AI4873" s="284"/>
      <c r="AJ4873" s="284"/>
      <c r="AK4873" s="284"/>
      <c r="AL4873" s="284"/>
    </row>
    <row r="4874" ht="15.75" customHeight="1">
      <c r="A4874" s="394"/>
      <c r="B4874" s="395"/>
      <c r="C4874" s="395"/>
      <c r="D4874" s="396"/>
      <c r="E4874" s="397"/>
      <c r="F4874" s="395"/>
      <c r="G4874" s="395"/>
      <c r="H4874" s="397"/>
      <c r="I4874" s="395"/>
      <c r="J4874" s="395"/>
      <c r="K4874" s="397"/>
      <c r="L4874" s="395"/>
      <c r="M4874" s="395"/>
      <c r="N4874" s="395"/>
      <c r="O4874" s="397"/>
      <c r="P4874" s="395"/>
      <c r="Q4874" s="395"/>
      <c r="R4874" s="353"/>
      <c r="S4874" s="185"/>
      <c r="T4874" s="185"/>
      <c r="U4874" s="185"/>
      <c r="V4874" s="185"/>
      <c r="W4874" s="185"/>
      <c r="X4874" s="185"/>
      <c r="Y4874" s="284"/>
      <c r="Z4874" s="284"/>
      <c r="AA4874" s="284"/>
      <c r="AB4874" s="284"/>
      <c r="AC4874" s="284"/>
      <c r="AD4874" s="284"/>
      <c r="AE4874" s="284"/>
      <c r="AF4874" s="284"/>
      <c r="AG4874" s="284"/>
      <c r="AH4874" s="284"/>
      <c r="AI4874" s="284"/>
      <c r="AJ4874" s="284"/>
      <c r="AK4874" s="284"/>
      <c r="AL4874" s="284"/>
    </row>
    <row r="4875" ht="15.75" customHeight="1">
      <c r="A4875" s="394"/>
      <c r="B4875" s="395"/>
      <c r="C4875" s="395"/>
      <c r="D4875" s="396"/>
      <c r="E4875" s="397"/>
      <c r="F4875" s="395"/>
      <c r="G4875" s="395"/>
      <c r="H4875" s="397"/>
      <c r="I4875" s="395"/>
      <c r="J4875" s="395"/>
      <c r="K4875" s="397"/>
      <c r="L4875" s="395"/>
      <c r="M4875" s="395"/>
      <c r="N4875" s="395"/>
      <c r="O4875" s="397"/>
      <c r="P4875" s="395"/>
      <c r="Q4875" s="395"/>
      <c r="R4875" s="353"/>
      <c r="S4875" s="185"/>
      <c r="T4875" s="185"/>
      <c r="U4875" s="185"/>
      <c r="V4875" s="185"/>
      <c r="W4875" s="185"/>
      <c r="X4875" s="185"/>
      <c r="Y4875" s="284"/>
      <c r="Z4875" s="284"/>
      <c r="AA4875" s="284"/>
      <c r="AB4875" s="284"/>
      <c r="AC4875" s="284"/>
      <c r="AD4875" s="284"/>
      <c r="AE4875" s="284"/>
      <c r="AF4875" s="284"/>
      <c r="AG4875" s="284"/>
      <c r="AH4875" s="284"/>
      <c r="AI4875" s="284"/>
      <c r="AJ4875" s="284"/>
      <c r="AK4875" s="284"/>
      <c r="AL4875" s="284"/>
    </row>
    <row r="4876" ht="15.75" customHeight="1">
      <c r="A4876" s="394"/>
      <c r="B4876" s="395"/>
      <c r="C4876" s="395"/>
      <c r="D4876" s="396"/>
      <c r="E4876" s="397"/>
      <c r="F4876" s="395"/>
      <c r="G4876" s="395"/>
      <c r="H4876" s="397"/>
      <c r="I4876" s="395"/>
      <c r="J4876" s="395"/>
      <c r="K4876" s="397"/>
      <c r="L4876" s="395"/>
      <c r="M4876" s="395"/>
      <c r="N4876" s="395"/>
      <c r="O4876" s="397"/>
      <c r="P4876" s="395"/>
      <c r="Q4876" s="395"/>
      <c r="R4876" s="353"/>
      <c r="S4876" s="185"/>
      <c r="T4876" s="185"/>
      <c r="U4876" s="185"/>
      <c r="V4876" s="185"/>
      <c r="W4876" s="185"/>
      <c r="X4876" s="185"/>
      <c r="Y4876" s="284"/>
      <c r="Z4876" s="284"/>
      <c r="AA4876" s="284"/>
      <c r="AB4876" s="284"/>
      <c r="AC4876" s="284"/>
      <c r="AD4876" s="284"/>
      <c r="AE4876" s="284"/>
      <c r="AF4876" s="284"/>
      <c r="AG4876" s="284"/>
      <c r="AH4876" s="284"/>
      <c r="AI4876" s="284"/>
      <c r="AJ4876" s="284"/>
      <c r="AK4876" s="284"/>
      <c r="AL4876" s="284"/>
    </row>
    <row r="4877" ht="15.75" customHeight="1">
      <c r="A4877" s="394"/>
      <c r="B4877" s="395"/>
      <c r="C4877" s="395"/>
      <c r="D4877" s="396"/>
      <c r="E4877" s="397"/>
      <c r="F4877" s="395"/>
      <c r="G4877" s="395"/>
      <c r="H4877" s="397"/>
      <c r="I4877" s="395"/>
      <c r="J4877" s="395"/>
      <c r="K4877" s="397"/>
      <c r="L4877" s="395"/>
      <c r="M4877" s="395"/>
      <c r="N4877" s="395"/>
      <c r="O4877" s="397"/>
      <c r="P4877" s="395"/>
      <c r="Q4877" s="395"/>
      <c r="R4877" s="353"/>
      <c r="S4877" s="185"/>
      <c r="T4877" s="185"/>
      <c r="U4877" s="185"/>
      <c r="V4877" s="185"/>
      <c r="W4877" s="185"/>
      <c r="X4877" s="185"/>
      <c r="Y4877" s="284"/>
      <c r="Z4877" s="284"/>
      <c r="AA4877" s="284"/>
      <c r="AB4877" s="284"/>
      <c r="AC4877" s="284"/>
      <c r="AD4877" s="284"/>
      <c r="AE4877" s="284"/>
      <c r="AF4877" s="284"/>
      <c r="AG4877" s="284"/>
      <c r="AH4877" s="284"/>
      <c r="AI4877" s="284"/>
      <c r="AJ4877" s="284"/>
      <c r="AK4877" s="284"/>
      <c r="AL4877" s="284"/>
    </row>
    <row r="4878" ht="15.75" customHeight="1">
      <c r="A4878" s="394"/>
      <c r="B4878" s="395"/>
      <c r="C4878" s="395"/>
      <c r="D4878" s="396"/>
      <c r="E4878" s="397"/>
      <c r="F4878" s="395"/>
      <c r="G4878" s="395"/>
      <c r="H4878" s="397"/>
      <c r="I4878" s="395"/>
      <c r="J4878" s="395"/>
      <c r="K4878" s="397"/>
      <c r="L4878" s="395"/>
      <c r="M4878" s="395"/>
      <c r="N4878" s="395"/>
      <c r="O4878" s="397"/>
      <c r="P4878" s="395"/>
      <c r="Q4878" s="395"/>
      <c r="R4878" s="353"/>
      <c r="S4878" s="185"/>
      <c r="T4878" s="185"/>
      <c r="U4878" s="185"/>
      <c r="V4878" s="185"/>
      <c r="W4878" s="185"/>
      <c r="X4878" s="185"/>
      <c r="Y4878" s="284"/>
      <c r="Z4878" s="284"/>
      <c r="AA4878" s="284"/>
      <c r="AB4878" s="284"/>
      <c r="AC4878" s="284"/>
      <c r="AD4878" s="284"/>
      <c r="AE4878" s="284"/>
      <c r="AF4878" s="284"/>
      <c r="AG4878" s="284"/>
      <c r="AH4878" s="284"/>
      <c r="AI4878" s="284"/>
      <c r="AJ4878" s="284"/>
      <c r="AK4878" s="284"/>
      <c r="AL4878" s="284"/>
    </row>
    <row r="4879" ht="15.75" customHeight="1">
      <c r="A4879" s="394"/>
      <c r="B4879" s="395"/>
      <c r="C4879" s="395"/>
      <c r="D4879" s="396"/>
      <c r="E4879" s="397"/>
      <c r="F4879" s="395"/>
      <c r="G4879" s="395"/>
      <c r="H4879" s="397"/>
      <c r="I4879" s="395"/>
      <c r="J4879" s="395"/>
      <c r="K4879" s="397"/>
      <c r="L4879" s="395"/>
      <c r="M4879" s="395"/>
      <c r="N4879" s="395"/>
      <c r="O4879" s="397"/>
      <c r="P4879" s="395"/>
      <c r="Q4879" s="395"/>
      <c r="R4879" s="353"/>
      <c r="S4879" s="185"/>
      <c r="T4879" s="185"/>
      <c r="U4879" s="185"/>
      <c r="V4879" s="185"/>
      <c r="W4879" s="185"/>
      <c r="X4879" s="185"/>
      <c r="Y4879" s="284"/>
      <c r="Z4879" s="284"/>
      <c r="AA4879" s="284"/>
      <c r="AB4879" s="284"/>
      <c r="AC4879" s="284"/>
      <c r="AD4879" s="284"/>
      <c r="AE4879" s="284"/>
      <c r="AF4879" s="284"/>
      <c r="AG4879" s="284"/>
      <c r="AH4879" s="284"/>
      <c r="AI4879" s="284"/>
      <c r="AJ4879" s="284"/>
      <c r="AK4879" s="284"/>
      <c r="AL4879" s="284"/>
    </row>
    <row r="4880" ht="15.75" customHeight="1">
      <c r="A4880" s="394"/>
      <c r="B4880" s="395"/>
      <c r="C4880" s="395"/>
      <c r="D4880" s="396"/>
      <c r="E4880" s="397"/>
      <c r="F4880" s="395"/>
      <c r="G4880" s="395"/>
      <c r="H4880" s="397"/>
      <c r="I4880" s="395"/>
      <c r="J4880" s="395"/>
      <c r="K4880" s="397"/>
      <c r="L4880" s="395"/>
      <c r="M4880" s="395"/>
      <c r="N4880" s="395"/>
      <c r="O4880" s="397"/>
      <c r="P4880" s="395"/>
      <c r="Q4880" s="395"/>
      <c r="R4880" s="353"/>
      <c r="S4880" s="185"/>
      <c r="T4880" s="185"/>
      <c r="U4880" s="185"/>
      <c r="V4880" s="185"/>
      <c r="W4880" s="185"/>
      <c r="X4880" s="185"/>
      <c r="Y4880" s="284"/>
      <c r="Z4880" s="284"/>
      <c r="AA4880" s="284"/>
      <c r="AB4880" s="284"/>
      <c r="AC4880" s="284"/>
      <c r="AD4880" s="284"/>
      <c r="AE4880" s="284"/>
      <c r="AF4880" s="284"/>
      <c r="AG4880" s="284"/>
      <c r="AH4880" s="284"/>
      <c r="AI4880" s="284"/>
      <c r="AJ4880" s="284"/>
      <c r="AK4880" s="284"/>
      <c r="AL4880" s="284"/>
    </row>
    <row r="4881" ht="15.75" customHeight="1">
      <c r="A4881" s="394"/>
      <c r="B4881" s="395"/>
      <c r="C4881" s="395"/>
      <c r="D4881" s="396"/>
      <c r="E4881" s="397"/>
      <c r="F4881" s="395"/>
      <c r="G4881" s="395"/>
      <c r="H4881" s="397"/>
      <c r="I4881" s="395"/>
      <c r="J4881" s="395"/>
      <c r="K4881" s="397"/>
      <c r="L4881" s="395"/>
      <c r="M4881" s="395"/>
      <c r="N4881" s="395"/>
      <c r="O4881" s="397"/>
      <c r="P4881" s="395"/>
      <c r="Q4881" s="395"/>
      <c r="R4881" s="353"/>
      <c r="S4881" s="185"/>
      <c r="T4881" s="185"/>
      <c r="U4881" s="185"/>
      <c r="V4881" s="185"/>
      <c r="W4881" s="185"/>
      <c r="X4881" s="185"/>
      <c r="Y4881" s="284"/>
      <c r="Z4881" s="284"/>
      <c r="AA4881" s="284"/>
      <c r="AB4881" s="284"/>
      <c r="AC4881" s="284"/>
      <c r="AD4881" s="284"/>
      <c r="AE4881" s="284"/>
      <c r="AF4881" s="284"/>
      <c r="AG4881" s="284"/>
      <c r="AH4881" s="284"/>
      <c r="AI4881" s="284"/>
      <c r="AJ4881" s="284"/>
      <c r="AK4881" s="284"/>
      <c r="AL4881" s="284"/>
    </row>
    <row r="4882" ht="15.75" customHeight="1">
      <c r="A4882" s="394"/>
      <c r="B4882" s="395"/>
      <c r="C4882" s="395"/>
      <c r="D4882" s="396"/>
      <c r="E4882" s="397"/>
      <c r="F4882" s="395"/>
      <c r="G4882" s="395"/>
      <c r="H4882" s="397"/>
      <c r="I4882" s="395"/>
      <c r="J4882" s="395"/>
      <c r="K4882" s="397"/>
      <c r="L4882" s="395"/>
      <c r="M4882" s="395"/>
      <c r="N4882" s="395"/>
      <c r="O4882" s="397"/>
      <c r="P4882" s="395"/>
      <c r="Q4882" s="395"/>
      <c r="R4882" s="353"/>
      <c r="S4882" s="185"/>
      <c r="T4882" s="185"/>
      <c r="U4882" s="185"/>
      <c r="V4882" s="185"/>
      <c r="W4882" s="185"/>
      <c r="X4882" s="185"/>
      <c r="Y4882" s="284"/>
      <c r="Z4882" s="284"/>
      <c r="AA4882" s="284"/>
      <c r="AB4882" s="284"/>
      <c r="AC4882" s="284"/>
      <c r="AD4882" s="284"/>
      <c r="AE4882" s="284"/>
      <c r="AF4882" s="284"/>
      <c r="AG4882" s="284"/>
      <c r="AH4882" s="284"/>
      <c r="AI4882" s="284"/>
      <c r="AJ4882" s="284"/>
      <c r="AK4882" s="284"/>
      <c r="AL4882" s="284"/>
    </row>
    <row r="4883" ht="15.75" customHeight="1">
      <c r="A4883" s="394"/>
      <c r="B4883" s="395"/>
      <c r="C4883" s="395"/>
      <c r="D4883" s="396"/>
      <c r="E4883" s="397"/>
      <c r="F4883" s="395"/>
      <c r="G4883" s="395"/>
      <c r="H4883" s="397"/>
      <c r="I4883" s="395"/>
      <c r="J4883" s="395"/>
      <c r="K4883" s="397"/>
      <c r="L4883" s="395"/>
      <c r="M4883" s="395"/>
      <c r="N4883" s="395"/>
      <c r="O4883" s="397"/>
      <c r="P4883" s="395"/>
      <c r="Q4883" s="395"/>
      <c r="R4883" s="353"/>
      <c r="S4883" s="185"/>
      <c r="T4883" s="185"/>
      <c r="U4883" s="185"/>
      <c r="V4883" s="185"/>
      <c r="W4883" s="185"/>
      <c r="X4883" s="185"/>
      <c r="Y4883" s="284"/>
      <c r="Z4883" s="284"/>
      <c r="AA4883" s="284"/>
      <c r="AB4883" s="284"/>
      <c r="AC4883" s="284"/>
      <c r="AD4883" s="284"/>
      <c r="AE4883" s="284"/>
      <c r="AF4883" s="284"/>
      <c r="AG4883" s="284"/>
      <c r="AH4883" s="284"/>
      <c r="AI4883" s="284"/>
      <c r="AJ4883" s="284"/>
      <c r="AK4883" s="284"/>
      <c r="AL4883" s="284"/>
    </row>
    <row r="4884" ht="15.75" customHeight="1">
      <c r="A4884" s="394"/>
      <c r="B4884" s="395"/>
      <c r="C4884" s="395"/>
      <c r="D4884" s="396"/>
      <c r="E4884" s="397"/>
      <c r="F4884" s="395"/>
      <c r="G4884" s="395"/>
      <c r="H4884" s="397"/>
      <c r="I4884" s="395"/>
      <c r="J4884" s="395"/>
      <c r="K4884" s="397"/>
      <c r="L4884" s="395"/>
      <c r="M4884" s="395"/>
      <c r="N4884" s="395"/>
      <c r="O4884" s="397"/>
      <c r="P4884" s="395"/>
      <c r="Q4884" s="395"/>
      <c r="R4884" s="353"/>
      <c r="S4884" s="185"/>
      <c r="T4884" s="185"/>
      <c r="U4884" s="185"/>
      <c r="V4884" s="185"/>
      <c r="W4884" s="185"/>
      <c r="X4884" s="185"/>
      <c r="Y4884" s="284"/>
      <c r="Z4884" s="284"/>
      <c r="AA4884" s="284"/>
      <c r="AB4884" s="284"/>
      <c r="AC4884" s="284"/>
      <c r="AD4884" s="284"/>
      <c r="AE4884" s="284"/>
      <c r="AF4884" s="284"/>
      <c r="AG4884" s="284"/>
      <c r="AH4884" s="284"/>
      <c r="AI4884" s="284"/>
      <c r="AJ4884" s="284"/>
      <c r="AK4884" s="284"/>
      <c r="AL4884" s="284"/>
    </row>
    <row r="4885" ht="15.75" customHeight="1">
      <c r="A4885" s="394"/>
      <c r="B4885" s="395"/>
      <c r="C4885" s="395"/>
      <c r="D4885" s="396"/>
      <c r="E4885" s="397"/>
      <c r="F4885" s="395"/>
      <c r="G4885" s="395"/>
      <c r="H4885" s="397"/>
      <c r="I4885" s="395"/>
      <c r="J4885" s="395"/>
      <c r="K4885" s="397"/>
      <c r="L4885" s="395"/>
      <c r="M4885" s="395"/>
      <c r="N4885" s="395"/>
      <c r="O4885" s="397"/>
      <c r="P4885" s="395"/>
      <c r="Q4885" s="395"/>
      <c r="R4885" s="353"/>
      <c r="S4885" s="185"/>
      <c r="T4885" s="185"/>
      <c r="U4885" s="185"/>
      <c r="V4885" s="185"/>
      <c r="W4885" s="185"/>
      <c r="X4885" s="185"/>
      <c r="Y4885" s="284"/>
      <c r="Z4885" s="284"/>
      <c r="AA4885" s="284"/>
      <c r="AB4885" s="284"/>
      <c r="AC4885" s="284"/>
      <c r="AD4885" s="284"/>
      <c r="AE4885" s="284"/>
      <c r="AF4885" s="284"/>
      <c r="AG4885" s="284"/>
      <c r="AH4885" s="284"/>
      <c r="AI4885" s="284"/>
      <c r="AJ4885" s="284"/>
      <c r="AK4885" s="284"/>
      <c r="AL4885" s="284"/>
    </row>
    <row r="4886" ht="15.75" customHeight="1">
      <c r="A4886" s="394"/>
      <c r="B4886" s="395"/>
      <c r="C4886" s="395"/>
      <c r="D4886" s="396"/>
      <c r="E4886" s="397"/>
      <c r="F4886" s="395"/>
      <c r="G4886" s="395"/>
      <c r="H4886" s="397"/>
      <c r="I4886" s="395"/>
      <c r="J4886" s="395"/>
      <c r="K4886" s="397"/>
      <c r="L4886" s="395"/>
      <c r="M4886" s="395"/>
      <c r="N4886" s="395"/>
      <c r="O4886" s="397"/>
      <c r="P4886" s="395"/>
      <c r="Q4886" s="395"/>
      <c r="R4886" s="353"/>
      <c r="S4886" s="185"/>
      <c r="T4886" s="185"/>
      <c r="U4886" s="185"/>
      <c r="V4886" s="185"/>
      <c r="W4886" s="185"/>
      <c r="X4886" s="185"/>
      <c r="Y4886" s="284"/>
      <c r="Z4886" s="284"/>
      <c r="AA4886" s="284"/>
      <c r="AB4886" s="284"/>
      <c r="AC4886" s="284"/>
      <c r="AD4886" s="284"/>
      <c r="AE4886" s="284"/>
      <c r="AF4886" s="284"/>
      <c r="AG4886" s="284"/>
      <c r="AH4886" s="284"/>
      <c r="AI4886" s="284"/>
      <c r="AJ4886" s="284"/>
      <c r="AK4886" s="284"/>
      <c r="AL4886" s="284"/>
    </row>
    <row r="4887" ht="15.75" customHeight="1">
      <c r="A4887" s="394"/>
      <c r="B4887" s="395"/>
      <c r="C4887" s="395"/>
      <c r="D4887" s="396"/>
      <c r="E4887" s="397"/>
      <c r="F4887" s="395"/>
      <c r="G4887" s="395"/>
      <c r="H4887" s="397"/>
      <c r="I4887" s="395"/>
      <c r="J4887" s="395"/>
      <c r="K4887" s="397"/>
      <c r="L4887" s="395"/>
      <c r="M4887" s="395"/>
      <c r="N4887" s="395"/>
      <c r="O4887" s="397"/>
      <c r="P4887" s="395"/>
      <c r="Q4887" s="395"/>
      <c r="R4887" s="353"/>
      <c r="S4887" s="185"/>
      <c r="T4887" s="185"/>
      <c r="U4887" s="185"/>
      <c r="V4887" s="185"/>
      <c r="W4887" s="185"/>
      <c r="X4887" s="185"/>
      <c r="Y4887" s="284"/>
      <c r="Z4887" s="284"/>
      <c r="AA4887" s="284"/>
      <c r="AB4887" s="284"/>
      <c r="AC4887" s="284"/>
      <c r="AD4887" s="284"/>
      <c r="AE4887" s="284"/>
      <c r="AF4887" s="284"/>
      <c r="AG4887" s="284"/>
      <c r="AH4887" s="284"/>
      <c r="AI4887" s="284"/>
      <c r="AJ4887" s="284"/>
      <c r="AK4887" s="284"/>
      <c r="AL4887" s="284"/>
    </row>
    <row r="4888" ht="15.75" customHeight="1">
      <c r="A4888" s="394"/>
      <c r="B4888" s="395"/>
      <c r="C4888" s="395"/>
      <c r="D4888" s="396"/>
      <c r="E4888" s="397"/>
      <c r="F4888" s="395"/>
      <c r="G4888" s="395"/>
      <c r="H4888" s="397"/>
      <c r="I4888" s="395"/>
      <c r="J4888" s="395"/>
      <c r="K4888" s="397"/>
      <c r="L4888" s="395"/>
      <c r="M4888" s="395"/>
      <c r="N4888" s="395"/>
      <c r="O4888" s="397"/>
      <c r="P4888" s="395"/>
      <c r="Q4888" s="395"/>
      <c r="R4888" s="353"/>
      <c r="S4888" s="185"/>
      <c r="T4888" s="185"/>
      <c r="U4888" s="185"/>
      <c r="V4888" s="185"/>
      <c r="W4888" s="185"/>
      <c r="X4888" s="185"/>
      <c r="Y4888" s="284"/>
      <c r="Z4888" s="284"/>
      <c r="AA4888" s="284"/>
      <c r="AB4888" s="284"/>
      <c r="AC4888" s="284"/>
      <c r="AD4888" s="284"/>
      <c r="AE4888" s="284"/>
      <c r="AF4888" s="284"/>
      <c r="AG4888" s="284"/>
      <c r="AH4888" s="284"/>
      <c r="AI4888" s="284"/>
      <c r="AJ4888" s="284"/>
      <c r="AK4888" s="284"/>
      <c r="AL4888" s="284"/>
    </row>
    <row r="4889" ht="15.75" customHeight="1">
      <c r="A4889" s="394"/>
      <c r="B4889" s="395"/>
      <c r="C4889" s="395"/>
      <c r="D4889" s="396"/>
      <c r="E4889" s="397"/>
      <c r="F4889" s="395"/>
      <c r="G4889" s="395"/>
      <c r="H4889" s="397"/>
      <c r="I4889" s="395"/>
      <c r="J4889" s="395"/>
      <c r="K4889" s="397"/>
      <c r="L4889" s="395"/>
      <c r="M4889" s="395"/>
      <c r="N4889" s="395"/>
      <c r="O4889" s="397"/>
      <c r="P4889" s="395"/>
      <c r="Q4889" s="395"/>
      <c r="R4889" s="353"/>
      <c r="S4889" s="185"/>
      <c r="T4889" s="185"/>
      <c r="U4889" s="185"/>
      <c r="V4889" s="185"/>
      <c r="W4889" s="185"/>
      <c r="X4889" s="185"/>
      <c r="Y4889" s="284"/>
      <c r="Z4889" s="284"/>
      <c r="AA4889" s="284"/>
      <c r="AB4889" s="284"/>
      <c r="AC4889" s="284"/>
      <c r="AD4889" s="284"/>
      <c r="AE4889" s="284"/>
      <c r="AF4889" s="284"/>
      <c r="AG4889" s="284"/>
      <c r="AH4889" s="284"/>
      <c r="AI4889" s="284"/>
      <c r="AJ4889" s="284"/>
      <c r="AK4889" s="284"/>
      <c r="AL4889" s="284"/>
    </row>
    <row r="4890" ht="15.75" customHeight="1">
      <c r="A4890" s="394"/>
      <c r="B4890" s="395"/>
      <c r="C4890" s="395"/>
      <c r="D4890" s="396"/>
      <c r="E4890" s="397"/>
      <c r="F4890" s="395"/>
      <c r="G4890" s="395"/>
      <c r="H4890" s="397"/>
      <c r="I4890" s="395"/>
      <c r="J4890" s="395"/>
      <c r="K4890" s="397"/>
      <c r="L4890" s="395"/>
      <c r="M4890" s="395"/>
      <c r="N4890" s="395"/>
      <c r="O4890" s="397"/>
      <c r="P4890" s="395"/>
      <c r="Q4890" s="395"/>
      <c r="R4890" s="353"/>
      <c r="S4890" s="185"/>
      <c r="T4890" s="185"/>
      <c r="U4890" s="185"/>
      <c r="V4890" s="185"/>
      <c r="W4890" s="185"/>
      <c r="X4890" s="185"/>
      <c r="Y4890" s="284"/>
      <c r="Z4890" s="284"/>
      <c r="AA4890" s="284"/>
      <c r="AB4890" s="284"/>
      <c r="AC4890" s="284"/>
      <c r="AD4890" s="284"/>
      <c r="AE4890" s="284"/>
      <c r="AF4890" s="284"/>
      <c r="AG4890" s="284"/>
      <c r="AH4890" s="284"/>
      <c r="AI4890" s="284"/>
      <c r="AJ4890" s="284"/>
      <c r="AK4890" s="284"/>
      <c r="AL4890" s="284"/>
    </row>
    <row r="4891" ht="15.75" customHeight="1">
      <c r="A4891" s="394"/>
      <c r="B4891" s="395"/>
      <c r="C4891" s="395"/>
      <c r="D4891" s="396"/>
      <c r="E4891" s="397"/>
      <c r="F4891" s="395"/>
      <c r="G4891" s="395"/>
      <c r="H4891" s="397"/>
      <c r="I4891" s="395"/>
      <c r="J4891" s="395"/>
      <c r="K4891" s="397"/>
      <c r="L4891" s="395"/>
      <c r="M4891" s="395"/>
      <c r="N4891" s="395"/>
      <c r="O4891" s="397"/>
      <c r="P4891" s="395"/>
      <c r="Q4891" s="395"/>
      <c r="R4891" s="353"/>
      <c r="S4891" s="185"/>
      <c r="T4891" s="185"/>
      <c r="U4891" s="185"/>
      <c r="V4891" s="185"/>
      <c r="W4891" s="185"/>
      <c r="X4891" s="185"/>
      <c r="Y4891" s="284"/>
      <c r="Z4891" s="284"/>
      <c r="AA4891" s="284"/>
      <c r="AB4891" s="284"/>
      <c r="AC4891" s="284"/>
      <c r="AD4891" s="284"/>
      <c r="AE4891" s="284"/>
      <c r="AF4891" s="284"/>
      <c r="AG4891" s="284"/>
      <c r="AH4891" s="284"/>
      <c r="AI4891" s="284"/>
      <c r="AJ4891" s="284"/>
      <c r="AK4891" s="284"/>
      <c r="AL4891" s="284"/>
    </row>
    <row r="4892" ht="15.75" customHeight="1">
      <c r="A4892" s="394"/>
      <c r="B4892" s="395"/>
      <c r="C4892" s="395"/>
      <c r="D4892" s="396"/>
      <c r="E4892" s="397"/>
      <c r="F4892" s="395"/>
      <c r="G4892" s="395"/>
      <c r="H4892" s="397"/>
      <c r="I4892" s="395"/>
      <c r="J4892" s="395"/>
      <c r="K4892" s="397"/>
      <c r="L4892" s="395"/>
      <c r="M4892" s="395"/>
      <c r="N4892" s="395"/>
      <c r="O4892" s="397"/>
      <c r="P4892" s="395"/>
      <c r="Q4892" s="395"/>
      <c r="R4892" s="353"/>
      <c r="S4892" s="185"/>
      <c r="T4892" s="185"/>
      <c r="U4892" s="185"/>
      <c r="V4892" s="185"/>
      <c r="W4892" s="185"/>
      <c r="X4892" s="185"/>
      <c r="Y4892" s="284"/>
      <c r="Z4892" s="284"/>
      <c r="AA4892" s="284"/>
      <c r="AB4892" s="284"/>
      <c r="AC4892" s="284"/>
      <c r="AD4892" s="284"/>
      <c r="AE4892" s="284"/>
      <c r="AF4892" s="284"/>
      <c r="AG4892" s="284"/>
      <c r="AH4892" s="284"/>
      <c r="AI4892" s="284"/>
      <c r="AJ4892" s="284"/>
      <c r="AK4892" s="284"/>
      <c r="AL4892" s="284"/>
    </row>
    <row r="4893" ht="15.75" customHeight="1">
      <c r="A4893" s="394"/>
      <c r="B4893" s="395"/>
      <c r="C4893" s="395"/>
      <c r="D4893" s="396"/>
      <c r="E4893" s="397"/>
      <c r="F4893" s="395"/>
      <c r="G4893" s="395"/>
      <c r="H4893" s="397"/>
      <c r="I4893" s="395"/>
      <c r="J4893" s="395"/>
      <c r="K4893" s="397"/>
      <c r="L4893" s="395"/>
      <c r="M4893" s="395"/>
      <c r="N4893" s="395"/>
      <c r="O4893" s="397"/>
      <c r="P4893" s="395"/>
      <c r="Q4893" s="395"/>
      <c r="R4893" s="353"/>
      <c r="S4893" s="185"/>
      <c r="T4893" s="185"/>
      <c r="U4893" s="185"/>
      <c r="V4893" s="185"/>
      <c r="W4893" s="185"/>
      <c r="X4893" s="185"/>
      <c r="Y4893" s="284"/>
      <c r="Z4893" s="284"/>
      <c r="AA4893" s="284"/>
      <c r="AB4893" s="284"/>
      <c r="AC4893" s="284"/>
      <c r="AD4893" s="284"/>
      <c r="AE4893" s="284"/>
      <c r="AF4893" s="284"/>
      <c r="AG4893" s="284"/>
      <c r="AH4893" s="284"/>
      <c r="AI4893" s="284"/>
      <c r="AJ4893" s="284"/>
      <c r="AK4893" s="284"/>
      <c r="AL4893" s="284"/>
    </row>
    <row r="4894" ht="15.75" customHeight="1">
      <c r="A4894" s="394"/>
      <c r="B4894" s="395"/>
      <c r="C4894" s="395"/>
      <c r="D4894" s="396"/>
      <c r="E4894" s="397"/>
      <c r="F4894" s="395"/>
      <c r="G4894" s="395"/>
      <c r="H4894" s="397"/>
      <c r="I4894" s="395"/>
      <c r="J4894" s="395"/>
      <c r="K4894" s="397"/>
      <c r="L4894" s="395"/>
      <c r="M4894" s="395"/>
      <c r="N4894" s="395"/>
      <c r="O4894" s="397"/>
      <c r="P4894" s="395"/>
      <c r="Q4894" s="395"/>
      <c r="R4894" s="353"/>
      <c r="S4894" s="185"/>
      <c r="T4894" s="185"/>
      <c r="U4894" s="185"/>
      <c r="V4894" s="185"/>
      <c r="W4894" s="185"/>
      <c r="X4894" s="185"/>
      <c r="Y4894" s="284"/>
      <c r="Z4894" s="284"/>
      <c r="AA4894" s="284"/>
      <c r="AB4894" s="284"/>
      <c r="AC4894" s="284"/>
      <c r="AD4894" s="284"/>
      <c r="AE4894" s="284"/>
      <c r="AF4894" s="284"/>
      <c r="AG4894" s="284"/>
      <c r="AH4894" s="284"/>
      <c r="AI4894" s="284"/>
      <c r="AJ4894" s="284"/>
      <c r="AK4894" s="284"/>
      <c r="AL4894" s="284"/>
    </row>
    <row r="4895" ht="15.75" customHeight="1">
      <c r="A4895" s="394"/>
      <c r="B4895" s="395"/>
      <c r="C4895" s="395"/>
      <c r="D4895" s="396"/>
      <c r="E4895" s="397"/>
      <c r="F4895" s="395"/>
      <c r="G4895" s="395"/>
      <c r="H4895" s="397"/>
      <c r="I4895" s="395"/>
      <c r="J4895" s="395"/>
      <c r="K4895" s="397"/>
      <c r="L4895" s="395"/>
      <c r="M4895" s="395"/>
      <c r="N4895" s="395"/>
      <c r="O4895" s="397"/>
      <c r="P4895" s="395"/>
      <c r="Q4895" s="395"/>
      <c r="R4895" s="353"/>
      <c r="S4895" s="185"/>
      <c r="T4895" s="185"/>
      <c r="U4895" s="185"/>
      <c r="V4895" s="185"/>
      <c r="W4895" s="185"/>
      <c r="X4895" s="185"/>
      <c r="Y4895" s="284"/>
      <c r="Z4895" s="284"/>
      <c r="AA4895" s="284"/>
      <c r="AB4895" s="284"/>
      <c r="AC4895" s="284"/>
      <c r="AD4895" s="284"/>
      <c r="AE4895" s="284"/>
      <c r="AF4895" s="284"/>
      <c r="AG4895" s="284"/>
      <c r="AH4895" s="284"/>
      <c r="AI4895" s="284"/>
      <c r="AJ4895" s="284"/>
      <c r="AK4895" s="284"/>
      <c r="AL4895" s="284"/>
    </row>
    <row r="4896" ht="15.75" customHeight="1">
      <c r="A4896" s="394"/>
      <c r="B4896" s="395"/>
      <c r="C4896" s="395"/>
      <c r="D4896" s="396"/>
      <c r="E4896" s="397"/>
      <c r="F4896" s="395"/>
      <c r="G4896" s="395"/>
      <c r="H4896" s="397"/>
      <c r="I4896" s="395"/>
      <c r="J4896" s="395"/>
      <c r="K4896" s="397"/>
      <c r="L4896" s="395"/>
      <c r="M4896" s="395"/>
      <c r="N4896" s="395"/>
      <c r="O4896" s="397"/>
      <c r="P4896" s="395"/>
      <c r="Q4896" s="395"/>
      <c r="R4896" s="353"/>
      <c r="S4896" s="185"/>
      <c r="T4896" s="185"/>
      <c r="U4896" s="185"/>
      <c r="V4896" s="185"/>
      <c r="W4896" s="185"/>
      <c r="X4896" s="185"/>
      <c r="Y4896" s="284"/>
      <c r="Z4896" s="284"/>
      <c r="AA4896" s="284"/>
      <c r="AB4896" s="284"/>
      <c r="AC4896" s="284"/>
      <c r="AD4896" s="284"/>
      <c r="AE4896" s="284"/>
      <c r="AF4896" s="284"/>
      <c r="AG4896" s="284"/>
      <c r="AH4896" s="284"/>
      <c r="AI4896" s="284"/>
      <c r="AJ4896" s="284"/>
      <c r="AK4896" s="284"/>
      <c r="AL4896" s="284"/>
    </row>
    <row r="4897" ht="15.75" customHeight="1">
      <c r="A4897" s="394"/>
      <c r="B4897" s="395"/>
      <c r="C4897" s="395"/>
      <c r="D4897" s="396"/>
      <c r="E4897" s="397"/>
      <c r="F4897" s="395"/>
      <c r="G4897" s="395"/>
      <c r="H4897" s="397"/>
      <c r="I4897" s="395"/>
      <c r="J4897" s="395"/>
      <c r="K4897" s="397"/>
      <c r="L4897" s="395"/>
      <c r="M4897" s="395"/>
      <c r="N4897" s="395"/>
      <c r="O4897" s="397"/>
      <c r="P4897" s="395"/>
      <c r="Q4897" s="395"/>
      <c r="R4897" s="353"/>
      <c r="S4897" s="185"/>
      <c r="T4897" s="185"/>
      <c r="U4897" s="185"/>
      <c r="V4897" s="185"/>
      <c r="W4897" s="185"/>
      <c r="X4897" s="185"/>
      <c r="Y4897" s="284"/>
      <c r="Z4897" s="284"/>
      <c r="AA4897" s="284"/>
      <c r="AB4897" s="284"/>
      <c r="AC4897" s="284"/>
      <c r="AD4897" s="284"/>
      <c r="AE4897" s="284"/>
      <c r="AF4897" s="284"/>
      <c r="AG4897" s="284"/>
      <c r="AH4897" s="284"/>
      <c r="AI4897" s="284"/>
      <c r="AJ4897" s="284"/>
      <c r="AK4897" s="284"/>
      <c r="AL4897" s="284"/>
    </row>
    <row r="4898" ht="15.75" customHeight="1">
      <c r="A4898" s="394"/>
      <c r="B4898" s="395"/>
      <c r="C4898" s="395"/>
      <c r="D4898" s="396"/>
      <c r="E4898" s="397"/>
      <c r="F4898" s="395"/>
      <c r="G4898" s="395"/>
      <c r="H4898" s="397"/>
      <c r="I4898" s="395"/>
      <c r="J4898" s="395"/>
      <c r="K4898" s="397"/>
      <c r="L4898" s="395"/>
      <c r="M4898" s="395"/>
      <c r="N4898" s="395"/>
      <c r="O4898" s="397"/>
      <c r="P4898" s="395"/>
      <c r="Q4898" s="395"/>
      <c r="R4898" s="353"/>
      <c r="S4898" s="185"/>
      <c r="T4898" s="185"/>
      <c r="U4898" s="185"/>
      <c r="V4898" s="185"/>
      <c r="W4898" s="185"/>
      <c r="X4898" s="185"/>
      <c r="Y4898" s="284"/>
      <c r="Z4898" s="284"/>
      <c r="AA4898" s="284"/>
      <c r="AB4898" s="284"/>
      <c r="AC4898" s="284"/>
      <c r="AD4898" s="284"/>
      <c r="AE4898" s="284"/>
      <c r="AF4898" s="284"/>
      <c r="AG4898" s="284"/>
      <c r="AH4898" s="284"/>
      <c r="AI4898" s="284"/>
      <c r="AJ4898" s="284"/>
      <c r="AK4898" s="284"/>
      <c r="AL4898" s="284"/>
    </row>
    <row r="4899" ht="15.75" customHeight="1">
      <c r="A4899" s="394"/>
      <c r="B4899" s="395"/>
      <c r="C4899" s="395"/>
      <c r="D4899" s="396"/>
      <c r="E4899" s="397"/>
      <c r="F4899" s="395"/>
      <c r="G4899" s="395"/>
      <c r="H4899" s="397"/>
      <c r="I4899" s="395"/>
      <c r="J4899" s="395"/>
      <c r="K4899" s="397"/>
      <c r="L4899" s="395"/>
      <c r="M4899" s="395"/>
      <c r="N4899" s="395"/>
      <c r="O4899" s="397"/>
      <c r="P4899" s="395"/>
      <c r="Q4899" s="395"/>
      <c r="R4899" s="353"/>
      <c r="S4899" s="185"/>
      <c r="T4899" s="185"/>
      <c r="U4899" s="185"/>
      <c r="V4899" s="185"/>
      <c r="W4899" s="185"/>
      <c r="X4899" s="185"/>
      <c r="Y4899" s="284"/>
      <c r="Z4899" s="284"/>
      <c r="AA4899" s="284"/>
      <c r="AB4899" s="284"/>
      <c r="AC4899" s="284"/>
      <c r="AD4899" s="284"/>
      <c r="AE4899" s="284"/>
      <c r="AF4899" s="284"/>
      <c r="AG4899" s="284"/>
      <c r="AH4899" s="284"/>
      <c r="AI4899" s="284"/>
      <c r="AJ4899" s="284"/>
      <c r="AK4899" s="284"/>
      <c r="AL4899" s="284"/>
    </row>
    <row r="4900" ht="15.75" customHeight="1">
      <c r="A4900" s="394"/>
      <c r="B4900" s="395"/>
      <c r="C4900" s="395"/>
      <c r="D4900" s="396"/>
      <c r="E4900" s="397"/>
      <c r="F4900" s="395"/>
      <c r="G4900" s="395"/>
      <c r="H4900" s="397"/>
      <c r="I4900" s="395"/>
      <c r="J4900" s="395"/>
      <c r="K4900" s="397"/>
      <c r="L4900" s="395"/>
      <c r="M4900" s="395"/>
      <c r="N4900" s="395"/>
      <c r="O4900" s="397"/>
      <c r="P4900" s="395"/>
      <c r="Q4900" s="395"/>
      <c r="R4900" s="353"/>
      <c r="S4900" s="185"/>
      <c r="T4900" s="185"/>
      <c r="U4900" s="185"/>
      <c r="V4900" s="185"/>
      <c r="W4900" s="185"/>
      <c r="X4900" s="185"/>
      <c r="Y4900" s="284"/>
      <c r="Z4900" s="284"/>
      <c r="AA4900" s="284"/>
      <c r="AB4900" s="284"/>
      <c r="AC4900" s="284"/>
      <c r="AD4900" s="284"/>
      <c r="AE4900" s="284"/>
      <c r="AF4900" s="284"/>
      <c r="AG4900" s="284"/>
      <c r="AH4900" s="284"/>
      <c r="AI4900" s="284"/>
      <c r="AJ4900" s="284"/>
      <c r="AK4900" s="284"/>
      <c r="AL4900" s="284"/>
    </row>
    <row r="4901" ht="15.75" customHeight="1">
      <c r="A4901" s="394"/>
      <c r="B4901" s="395"/>
      <c r="C4901" s="395"/>
      <c r="D4901" s="396"/>
      <c r="E4901" s="397"/>
      <c r="F4901" s="395"/>
      <c r="G4901" s="395"/>
      <c r="H4901" s="397"/>
      <c r="I4901" s="395"/>
      <c r="J4901" s="395"/>
      <c r="K4901" s="397"/>
      <c r="L4901" s="395"/>
      <c r="M4901" s="395"/>
      <c r="N4901" s="395"/>
      <c r="O4901" s="397"/>
      <c r="P4901" s="395"/>
      <c r="Q4901" s="395"/>
      <c r="R4901" s="353"/>
      <c r="S4901" s="185"/>
      <c r="T4901" s="185"/>
      <c r="U4901" s="185"/>
      <c r="V4901" s="185"/>
      <c r="W4901" s="185"/>
      <c r="X4901" s="185"/>
      <c r="Y4901" s="284"/>
      <c r="Z4901" s="284"/>
      <c r="AA4901" s="284"/>
      <c r="AB4901" s="284"/>
      <c r="AC4901" s="284"/>
      <c r="AD4901" s="284"/>
      <c r="AE4901" s="284"/>
      <c r="AF4901" s="284"/>
      <c r="AG4901" s="284"/>
      <c r="AH4901" s="284"/>
      <c r="AI4901" s="284"/>
      <c r="AJ4901" s="284"/>
      <c r="AK4901" s="284"/>
      <c r="AL4901" s="284"/>
    </row>
    <row r="4902" ht="15.75" customHeight="1">
      <c r="A4902" s="394"/>
      <c r="B4902" s="395"/>
      <c r="C4902" s="395"/>
      <c r="D4902" s="396"/>
      <c r="E4902" s="397"/>
      <c r="F4902" s="395"/>
      <c r="G4902" s="395"/>
      <c r="H4902" s="397"/>
      <c r="I4902" s="395"/>
      <c r="J4902" s="395"/>
      <c r="K4902" s="397"/>
      <c r="L4902" s="395"/>
      <c r="M4902" s="395"/>
      <c r="N4902" s="395"/>
      <c r="O4902" s="397"/>
      <c r="P4902" s="395"/>
      <c r="Q4902" s="395"/>
      <c r="R4902" s="353"/>
      <c r="S4902" s="185"/>
      <c r="T4902" s="185"/>
      <c r="U4902" s="185"/>
      <c r="V4902" s="185"/>
      <c r="W4902" s="185"/>
      <c r="X4902" s="185"/>
      <c r="Y4902" s="284"/>
      <c r="Z4902" s="284"/>
      <c r="AA4902" s="284"/>
      <c r="AB4902" s="284"/>
      <c r="AC4902" s="284"/>
      <c r="AD4902" s="284"/>
      <c r="AE4902" s="284"/>
      <c r="AF4902" s="284"/>
      <c r="AG4902" s="284"/>
      <c r="AH4902" s="284"/>
      <c r="AI4902" s="284"/>
      <c r="AJ4902" s="284"/>
      <c r="AK4902" s="284"/>
      <c r="AL4902" s="284"/>
    </row>
    <row r="4903" ht="15.75" customHeight="1">
      <c r="A4903" s="394"/>
      <c r="B4903" s="395"/>
      <c r="C4903" s="395"/>
      <c r="D4903" s="396"/>
      <c r="E4903" s="397"/>
      <c r="F4903" s="395"/>
      <c r="G4903" s="395"/>
      <c r="H4903" s="397"/>
      <c r="I4903" s="395"/>
      <c r="J4903" s="395"/>
      <c r="K4903" s="397"/>
      <c r="L4903" s="395"/>
      <c r="M4903" s="395"/>
      <c r="N4903" s="395"/>
      <c r="O4903" s="397"/>
      <c r="P4903" s="395"/>
      <c r="Q4903" s="395"/>
      <c r="R4903" s="353"/>
      <c r="S4903" s="185"/>
      <c r="T4903" s="185"/>
      <c r="U4903" s="185"/>
      <c r="V4903" s="185"/>
      <c r="W4903" s="185"/>
      <c r="X4903" s="185"/>
      <c r="Y4903" s="284"/>
      <c r="Z4903" s="284"/>
      <c r="AA4903" s="284"/>
      <c r="AB4903" s="284"/>
      <c r="AC4903" s="284"/>
      <c r="AD4903" s="284"/>
      <c r="AE4903" s="284"/>
      <c r="AF4903" s="284"/>
      <c r="AG4903" s="284"/>
      <c r="AH4903" s="284"/>
      <c r="AI4903" s="284"/>
      <c r="AJ4903" s="284"/>
      <c r="AK4903" s="284"/>
      <c r="AL4903" s="284"/>
    </row>
    <row r="4904" ht="15.75" customHeight="1">
      <c r="A4904" s="394"/>
      <c r="B4904" s="395"/>
      <c r="C4904" s="395"/>
      <c r="D4904" s="396"/>
      <c r="E4904" s="397"/>
      <c r="F4904" s="395"/>
      <c r="G4904" s="395"/>
      <c r="H4904" s="397"/>
      <c r="I4904" s="395"/>
      <c r="J4904" s="395"/>
      <c r="K4904" s="397"/>
      <c r="L4904" s="395"/>
      <c r="M4904" s="395"/>
      <c r="N4904" s="395"/>
      <c r="O4904" s="397"/>
      <c r="P4904" s="395"/>
      <c r="Q4904" s="395"/>
      <c r="R4904" s="353"/>
      <c r="S4904" s="185"/>
      <c r="T4904" s="185"/>
      <c r="U4904" s="185"/>
      <c r="V4904" s="185"/>
      <c r="W4904" s="185"/>
      <c r="X4904" s="185"/>
      <c r="Y4904" s="284"/>
      <c r="Z4904" s="284"/>
      <c r="AA4904" s="284"/>
      <c r="AB4904" s="284"/>
      <c r="AC4904" s="284"/>
      <c r="AD4904" s="284"/>
      <c r="AE4904" s="284"/>
      <c r="AF4904" s="284"/>
      <c r="AG4904" s="284"/>
      <c r="AH4904" s="284"/>
      <c r="AI4904" s="284"/>
      <c r="AJ4904" s="284"/>
      <c r="AK4904" s="284"/>
      <c r="AL4904" s="284"/>
    </row>
    <row r="4905" ht="15.75" customHeight="1">
      <c r="A4905" s="394"/>
      <c r="B4905" s="395"/>
      <c r="C4905" s="395"/>
      <c r="D4905" s="396"/>
      <c r="E4905" s="397"/>
      <c r="F4905" s="395"/>
      <c r="G4905" s="395"/>
      <c r="H4905" s="397"/>
      <c r="I4905" s="395"/>
      <c r="J4905" s="395"/>
      <c r="K4905" s="397"/>
      <c r="L4905" s="395"/>
      <c r="M4905" s="395"/>
      <c r="N4905" s="395"/>
      <c r="O4905" s="397"/>
      <c r="P4905" s="395"/>
      <c r="Q4905" s="395"/>
      <c r="R4905" s="353"/>
      <c r="S4905" s="185"/>
      <c r="T4905" s="185"/>
      <c r="U4905" s="185"/>
      <c r="V4905" s="185"/>
      <c r="W4905" s="185"/>
      <c r="X4905" s="185"/>
      <c r="Y4905" s="284"/>
      <c r="Z4905" s="284"/>
      <c r="AA4905" s="284"/>
      <c r="AB4905" s="284"/>
      <c r="AC4905" s="284"/>
      <c r="AD4905" s="284"/>
      <c r="AE4905" s="284"/>
      <c r="AF4905" s="284"/>
      <c r="AG4905" s="284"/>
      <c r="AH4905" s="284"/>
      <c r="AI4905" s="284"/>
      <c r="AJ4905" s="284"/>
      <c r="AK4905" s="284"/>
      <c r="AL4905" s="284"/>
    </row>
    <row r="4906" ht="15.75" customHeight="1">
      <c r="A4906" s="394"/>
      <c r="B4906" s="395"/>
      <c r="C4906" s="395"/>
      <c r="D4906" s="396"/>
      <c r="E4906" s="397"/>
      <c r="F4906" s="395"/>
      <c r="G4906" s="395"/>
      <c r="H4906" s="397"/>
      <c r="I4906" s="395"/>
      <c r="J4906" s="395"/>
      <c r="K4906" s="397"/>
      <c r="L4906" s="395"/>
      <c r="M4906" s="395"/>
      <c r="N4906" s="395"/>
      <c r="O4906" s="397"/>
      <c r="P4906" s="395"/>
      <c r="Q4906" s="395"/>
      <c r="R4906" s="353"/>
      <c r="S4906" s="185"/>
      <c r="T4906" s="185"/>
      <c r="U4906" s="185"/>
      <c r="V4906" s="185"/>
      <c r="W4906" s="185"/>
      <c r="X4906" s="185"/>
      <c r="Y4906" s="284"/>
      <c r="Z4906" s="284"/>
      <c r="AA4906" s="284"/>
      <c r="AB4906" s="284"/>
      <c r="AC4906" s="284"/>
      <c r="AD4906" s="284"/>
      <c r="AE4906" s="284"/>
      <c r="AF4906" s="284"/>
      <c r="AG4906" s="284"/>
      <c r="AH4906" s="284"/>
      <c r="AI4906" s="284"/>
      <c r="AJ4906" s="284"/>
      <c r="AK4906" s="284"/>
      <c r="AL4906" s="284"/>
    </row>
    <row r="4907" ht="15.75" customHeight="1">
      <c r="A4907" s="394"/>
      <c r="B4907" s="395"/>
      <c r="C4907" s="395"/>
      <c r="D4907" s="396"/>
      <c r="E4907" s="397"/>
      <c r="F4907" s="395"/>
      <c r="G4907" s="395"/>
      <c r="H4907" s="397"/>
      <c r="I4907" s="395"/>
      <c r="J4907" s="395"/>
      <c r="K4907" s="397"/>
      <c r="L4907" s="395"/>
      <c r="M4907" s="395"/>
      <c r="N4907" s="395"/>
      <c r="O4907" s="397"/>
      <c r="P4907" s="395"/>
      <c r="Q4907" s="395"/>
      <c r="R4907" s="353"/>
      <c r="S4907" s="185"/>
      <c r="T4907" s="185"/>
      <c r="U4907" s="185"/>
      <c r="V4907" s="185"/>
      <c r="W4907" s="185"/>
      <c r="X4907" s="185"/>
      <c r="Y4907" s="284"/>
      <c r="Z4907" s="284"/>
      <c r="AA4907" s="284"/>
      <c r="AB4907" s="284"/>
      <c r="AC4907" s="284"/>
      <c r="AD4907" s="284"/>
      <c r="AE4907" s="284"/>
      <c r="AF4907" s="284"/>
      <c r="AG4907" s="284"/>
      <c r="AH4907" s="284"/>
      <c r="AI4907" s="284"/>
      <c r="AJ4907" s="284"/>
      <c r="AK4907" s="284"/>
      <c r="AL4907" s="284"/>
    </row>
    <row r="4908" ht="15.75" customHeight="1">
      <c r="A4908" s="394"/>
      <c r="B4908" s="395"/>
      <c r="C4908" s="395"/>
      <c r="D4908" s="396"/>
      <c r="E4908" s="397"/>
      <c r="F4908" s="395"/>
      <c r="G4908" s="395"/>
      <c r="H4908" s="397"/>
      <c r="I4908" s="395"/>
      <c r="J4908" s="395"/>
      <c r="K4908" s="397"/>
      <c r="L4908" s="395"/>
      <c r="M4908" s="395"/>
      <c r="N4908" s="395"/>
      <c r="O4908" s="397"/>
      <c r="P4908" s="395"/>
      <c r="Q4908" s="395"/>
      <c r="R4908" s="353"/>
      <c r="S4908" s="185"/>
      <c r="T4908" s="185"/>
      <c r="U4908" s="185"/>
      <c r="V4908" s="185"/>
      <c r="W4908" s="185"/>
      <c r="X4908" s="185"/>
      <c r="Y4908" s="284"/>
      <c r="Z4908" s="284"/>
      <c r="AA4908" s="284"/>
      <c r="AB4908" s="284"/>
      <c r="AC4908" s="284"/>
      <c r="AD4908" s="284"/>
      <c r="AE4908" s="284"/>
      <c r="AF4908" s="284"/>
      <c r="AG4908" s="284"/>
      <c r="AH4908" s="284"/>
      <c r="AI4908" s="284"/>
      <c r="AJ4908" s="284"/>
      <c r="AK4908" s="284"/>
      <c r="AL4908" s="284"/>
    </row>
    <row r="4909" ht="15.75" customHeight="1">
      <c r="A4909" s="394"/>
      <c r="B4909" s="395"/>
      <c r="C4909" s="395"/>
      <c r="D4909" s="396"/>
      <c r="E4909" s="397"/>
      <c r="F4909" s="395"/>
      <c r="G4909" s="395"/>
      <c r="H4909" s="397"/>
      <c r="I4909" s="395"/>
      <c r="J4909" s="395"/>
      <c r="K4909" s="397"/>
      <c r="L4909" s="395"/>
      <c r="M4909" s="395"/>
      <c r="N4909" s="395"/>
      <c r="O4909" s="397"/>
      <c r="P4909" s="395"/>
      <c r="Q4909" s="395"/>
      <c r="R4909" s="353"/>
      <c r="S4909" s="185"/>
      <c r="T4909" s="185"/>
      <c r="U4909" s="185"/>
      <c r="V4909" s="185"/>
      <c r="W4909" s="185"/>
      <c r="X4909" s="185"/>
      <c r="Y4909" s="284"/>
      <c r="Z4909" s="284"/>
      <c r="AA4909" s="284"/>
      <c r="AB4909" s="284"/>
      <c r="AC4909" s="284"/>
      <c r="AD4909" s="284"/>
      <c r="AE4909" s="284"/>
      <c r="AF4909" s="284"/>
      <c r="AG4909" s="284"/>
      <c r="AH4909" s="284"/>
      <c r="AI4909" s="284"/>
      <c r="AJ4909" s="284"/>
      <c r="AK4909" s="284"/>
      <c r="AL4909" s="284"/>
    </row>
    <row r="4910" ht="15.75" customHeight="1">
      <c r="A4910" s="394"/>
      <c r="B4910" s="395"/>
      <c r="C4910" s="395"/>
      <c r="D4910" s="396"/>
      <c r="E4910" s="397"/>
      <c r="F4910" s="395"/>
      <c r="G4910" s="395"/>
      <c r="H4910" s="397"/>
      <c r="I4910" s="395"/>
      <c r="J4910" s="395"/>
      <c r="K4910" s="397"/>
      <c r="L4910" s="395"/>
      <c r="M4910" s="395"/>
      <c r="N4910" s="395"/>
      <c r="O4910" s="397"/>
      <c r="P4910" s="395"/>
      <c r="Q4910" s="395"/>
      <c r="R4910" s="353"/>
      <c r="S4910" s="185"/>
      <c r="T4910" s="185"/>
      <c r="U4910" s="185"/>
      <c r="V4910" s="185"/>
      <c r="W4910" s="185"/>
      <c r="X4910" s="185"/>
      <c r="Y4910" s="284"/>
      <c r="Z4910" s="284"/>
      <c r="AA4910" s="284"/>
      <c r="AB4910" s="284"/>
      <c r="AC4910" s="284"/>
      <c r="AD4910" s="284"/>
      <c r="AE4910" s="284"/>
      <c r="AF4910" s="284"/>
      <c r="AG4910" s="284"/>
      <c r="AH4910" s="284"/>
      <c r="AI4910" s="284"/>
      <c r="AJ4910" s="284"/>
      <c r="AK4910" s="284"/>
      <c r="AL4910" s="284"/>
    </row>
    <row r="4911" ht="15.75" customHeight="1">
      <c r="A4911" s="394"/>
      <c r="B4911" s="395"/>
      <c r="C4911" s="395"/>
      <c r="D4911" s="396"/>
      <c r="E4911" s="397"/>
      <c r="F4911" s="395"/>
      <c r="G4911" s="395"/>
      <c r="H4911" s="397"/>
      <c r="I4911" s="395"/>
      <c r="J4911" s="395"/>
      <c r="K4911" s="397"/>
      <c r="L4911" s="395"/>
      <c r="M4911" s="395"/>
      <c r="N4911" s="395"/>
      <c r="O4911" s="397"/>
      <c r="P4911" s="395"/>
      <c r="Q4911" s="395"/>
      <c r="R4911" s="353"/>
      <c r="S4911" s="185"/>
      <c r="T4911" s="185"/>
      <c r="U4911" s="185"/>
      <c r="V4911" s="185"/>
      <c r="W4911" s="185"/>
      <c r="X4911" s="185"/>
      <c r="Y4911" s="284"/>
      <c r="Z4911" s="284"/>
      <c r="AA4911" s="284"/>
      <c r="AB4911" s="284"/>
      <c r="AC4911" s="284"/>
      <c r="AD4911" s="284"/>
      <c r="AE4911" s="284"/>
      <c r="AF4911" s="284"/>
      <c r="AG4911" s="284"/>
      <c r="AH4911" s="284"/>
      <c r="AI4911" s="284"/>
      <c r="AJ4911" s="284"/>
      <c r="AK4911" s="284"/>
      <c r="AL4911" s="284"/>
    </row>
    <row r="4912" ht="15.75" customHeight="1">
      <c r="A4912" s="394"/>
      <c r="B4912" s="395"/>
      <c r="C4912" s="395"/>
      <c r="D4912" s="396"/>
      <c r="E4912" s="397"/>
      <c r="F4912" s="395"/>
      <c r="G4912" s="395"/>
      <c r="H4912" s="397"/>
      <c r="I4912" s="395"/>
      <c r="J4912" s="395"/>
      <c r="K4912" s="397"/>
      <c r="L4912" s="395"/>
      <c r="M4912" s="395"/>
      <c r="N4912" s="395"/>
      <c r="O4912" s="397"/>
      <c r="P4912" s="395"/>
      <c r="Q4912" s="395"/>
      <c r="R4912" s="353"/>
      <c r="S4912" s="185"/>
      <c r="T4912" s="185"/>
      <c r="U4912" s="185"/>
      <c r="V4912" s="185"/>
      <c r="W4912" s="185"/>
      <c r="X4912" s="185"/>
      <c r="Y4912" s="284"/>
      <c r="Z4912" s="284"/>
      <c r="AA4912" s="284"/>
      <c r="AB4912" s="284"/>
      <c r="AC4912" s="284"/>
      <c r="AD4912" s="284"/>
      <c r="AE4912" s="284"/>
      <c r="AF4912" s="284"/>
      <c r="AG4912" s="284"/>
      <c r="AH4912" s="284"/>
      <c r="AI4912" s="284"/>
      <c r="AJ4912" s="284"/>
      <c r="AK4912" s="284"/>
      <c r="AL4912" s="284"/>
    </row>
    <row r="4913" ht="15.75" customHeight="1">
      <c r="A4913" s="394"/>
      <c r="B4913" s="395"/>
      <c r="C4913" s="395"/>
      <c r="D4913" s="396"/>
      <c r="E4913" s="397"/>
      <c r="F4913" s="395"/>
      <c r="G4913" s="395"/>
      <c r="H4913" s="397"/>
      <c r="I4913" s="395"/>
      <c r="J4913" s="395"/>
      <c r="K4913" s="397"/>
      <c r="L4913" s="395"/>
      <c r="M4913" s="395"/>
      <c r="N4913" s="395"/>
      <c r="O4913" s="397"/>
      <c r="P4913" s="395"/>
      <c r="Q4913" s="395"/>
      <c r="R4913" s="353"/>
      <c r="S4913" s="185"/>
      <c r="T4913" s="185"/>
      <c r="U4913" s="185"/>
      <c r="V4913" s="185"/>
      <c r="W4913" s="185"/>
      <c r="X4913" s="185"/>
      <c r="Y4913" s="284"/>
      <c r="Z4913" s="284"/>
      <c r="AA4913" s="284"/>
      <c r="AB4913" s="284"/>
      <c r="AC4913" s="284"/>
      <c r="AD4913" s="284"/>
      <c r="AE4913" s="284"/>
      <c r="AF4913" s="284"/>
      <c r="AG4913" s="284"/>
      <c r="AH4913" s="284"/>
      <c r="AI4913" s="284"/>
      <c r="AJ4913" s="284"/>
      <c r="AK4913" s="284"/>
      <c r="AL4913" s="284"/>
    </row>
    <row r="4914" ht="15.75" customHeight="1">
      <c r="A4914" s="394"/>
      <c r="B4914" s="395"/>
      <c r="C4914" s="395"/>
      <c r="D4914" s="396"/>
      <c r="E4914" s="397"/>
      <c r="F4914" s="395"/>
      <c r="G4914" s="395"/>
      <c r="H4914" s="397"/>
      <c r="I4914" s="395"/>
      <c r="J4914" s="395"/>
      <c r="K4914" s="397"/>
      <c r="L4914" s="395"/>
      <c r="M4914" s="395"/>
      <c r="N4914" s="395"/>
      <c r="O4914" s="397"/>
      <c r="P4914" s="395"/>
      <c r="Q4914" s="395"/>
      <c r="R4914" s="353"/>
      <c r="S4914" s="185"/>
      <c r="T4914" s="185"/>
      <c r="U4914" s="185"/>
      <c r="V4914" s="185"/>
      <c r="W4914" s="185"/>
      <c r="X4914" s="185"/>
      <c r="Y4914" s="284"/>
      <c r="Z4914" s="284"/>
      <c r="AA4914" s="284"/>
      <c r="AB4914" s="284"/>
      <c r="AC4914" s="284"/>
      <c r="AD4914" s="284"/>
      <c r="AE4914" s="284"/>
      <c r="AF4914" s="284"/>
      <c r="AG4914" s="284"/>
      <c r="AH4914" s="284"/>
      <c r="AI4914" s="284"/>
      <c r="AJ4914" s="284"/>
      <c r="AK4914" s="284"/>
      <c r="AL4914" s="284"/>
    </row>
    <row r="4915" ht="15.75" customHeight="1">
      <c r="A4915" s="394"/>
      <c r="B4915" s="395"/>
      <c r="C4915" s="395"/>
      <c r="D4915" s="396"/>
      <c r="E4915" s="397"/>
      <c r="F4915" s="395"/>
      <c r="G4915" s="395"/>
      <c r="H4915" s="397"/>
      <c r="I4915" s="395"/>
      <c r="J4915" s="395"/>
      <c r="K4915" s="397"/>
      <c r="L4915" s="395"/>
      <c r="M4915" s="395"/>
      <c r="N4915" s="395"/>
      <c r="O4915" s="397"/>
      <c r="P4915" s="395"/>
      <c r="Q4915" s="395"/>
      <c r="R4915" s="353"/>
      <c r="S4915" s="185"/>
      <c r="T4915" s="185"/>
      <c r="U4915" s="185"/>
      <c r="V4915" s="185"/>
      <c r="W4915" s="185"/>
      <c r="X4915" s="185"/>
      <c r="Y4915" s="284"/>
      <c r="Z4915" s="284"/>
      <c r="AA4915" s="284"/>
      <c r="AB4915" s="284"/>
      <c r="AC4915" s="284"/>
      <c r="AD4915" s="284"/>
      <c r="AE4915" s="284"/>
      <c r="AF4915" s="284"/>
      <c r="AG4915" s="284"/>
      <c r="AH4915" s="284"/>
      <c r="AI4915" s="284"/>
      <c r="AJ4915" s="284"/>
      <c r="AK4915" s="284"/>
      <c r="AL4915" s="284"/>
    </row>
    <row r="4916" ht="15.75" customHeight="1">
      <c r="A4916" s="394"/>
      <c r="B4916" s="395"/>
      <c r="C4916" s="395"/>
      <c r="D4916" s="396"/>
      <c r="E4916" s="397"/>
      <c r="F4916" s="395"/>
      <c r="G4916" s="395"/>
      <c r="H4916" s="397"/>
      <c r="I4916" s="395"/>
      <c r="J4916" s="395"/>
      <c r="K4916" s="397"/>
      <c r="L4916" s="395"/>
      <c r="M4916" s="395"/>
      <c r="N4916" s="395"/>
      <c r="O4916" s="397"/>
      <c r="P4916" s="395"/>
      <c r="Q4916" s="395"/>
      <c r="R4916" s="353"/>
      <c r="S4916" s="185"/>
      <c r="T4916" s="185"/>
      <c r="U4916" s="185"/>
      <c r="V4916" s="185"/>
      <c r="W4916" s="185"/>
      <c r="X4916" s="185"/>
      <c r="Y4916" s="284"/>
      <c r="Z4916" s="284"/>
      <c r="AA4916" s="284"/>
      <c r="AB4916" s="284"/>
      <c r="AC4916" s="284"/>
      <c r="AD4916" s="284"/>
      <c r="AE4916" s="284"/>
      <c r="AF4916" s="284"/>
      <c r="AG4916" s="284"/>
      <c r="AH4916" s="284"/>
      <c r="AI4916" s="284"/>
      <c r="AJ4916" s="284"/>
      <c r="AK4916" s="284"/>
      <c r="AL4916" s="284"/>
    </row>
    <row r="4917" ht="15.75" customHeight="1">
      <c r="A4917" s="394"/>
      <c r="B4917" s="395"/>
      <c r="C4917" s="395"/>
      <c r="D4917" s="396"/>
      <c r="E4917" s="397"/>
      <c r="F4917" s="395"/>
      <c r="G4917" s="395"/>
      <c r="H4917" s="397"/>
      <c r="I4917" s="395"/>
      <c r="J4917" s="395"/>
      <c r="K4917" s="397"/>
      <c r="L4917" s="395"/>
      <c r="M4917" s="395"/>
      <c r="N4917" s="395"/>
      <c r="O4917" s="397"/>
      <c r="P4917" s="395"/>
      <c r="Q4917" s="395"/>
      <c r="R4917" s="353"/>
      <c r="S4917" s="185"/>
      <c r="T4917" s="185"/>
      <c r="U4917" s="185"/>
      <c r="V4917" s="185"/>
      <c r="W4917" s="185"/>
      <c r="X4917" s="185"/>
      <c r="Y4917" s="284"/>
      <c r="Z4917" s="284"/>
      <c r="AA4917" s="284"/>
      <c r="AB4917" s="284"/>
      <c r="AC4917" s="284"/>
      <c r="AD4917" s="284"/>
      <c r="AE4917" s="284"/>
      <c r="AF4917" s="284"/>
      <c r="AG4917" s="284"/>
      <c r="AH4917" s="284"/>
      <c r="AI4917" s="284"/>
      <c r="AJ4917" s="284"/>
      <c r="AK4917" s="284"/>
      <c r="AL4917" s="284"/>
    </row>
    <row r="4918" ht="15.75" customHeight="1">
      <c r="A4918" s="394"/>
      <c r="B4918" s="395"/>
      <c r="C4918" s="395"/>
      <c r="D4918" s="396"/>
      <c r="E4918" s="397"/>
      <c r="F4918" s="395"/>
      <c r="G4918" s="395"/>
      <c r="H4918" s="397"/>
      <c r="I4918" s="395"/>
      <c r="J4918" s="395"/>
      <c r="K4918" s="397"/>
      <c r="L4918" s="395"/>
      <c r="M4918" s="395"/>
      <c r="N4918" s="395"/>
      <c r="O4918" s="397"/>
      <c r="P4918" s="395"/>
      <c r="Q4918" s="395"/>
      <c r="R4918" s="353"/>
      <c r="S4918" s="185"/>
      <c r="T4918" s="185"/>
      <c r="U4918" s="185"/>
      <c r="V4918" s="185"/>
      <c r="W4918" s="185"/>
      <c r="X4918" s="185"/>
      <c r="Y4918" s="284"/>
      <c r="Z4918" s="284"/>
      <c r="AA4918" s="284"/>
      <c r="AB4918" s="284"/>
      <c r="AC4918" s="284"/>
      <c r="AD4918" s="284"/>
      <c r="AE4918" s="284"/>
      <c r="AF4918" s="284"/>
      <c r="AG4918" s="284"/>
      <c r="AH4918" s="284"/>
      <c r="AI4918" s="284"/>
      <c r="AJ4918" s="284"/>
      <c r="AK4918" s="284"/>
      <c r="AL4918" s="284"/>
    </row>
    <row r="4919" ht="15.75" customHeight="1">
      <c r="A4919" s="394"/>
      <c r="B4919" s="395"/>
      <c r="C4919" s="395"/>
      <c r="D4919" s="396"/>
      <c r="E4919" s="397"/>
      <c r="F4919" s="395"/>
      <c r="G4919" s="395"/>
      <c r="H4919" s="397"/>
      <c r="I4919" s="395"/>
      <c r="J4919" s="395"/>
      <c r="K4919" s="397"/>
      <c r="L4919" s="395"/>
      <c r="M4919" s="395"/>
      <c r="N4919" s="395"/>
      <c r="O4919" s="397"/>
      <c r="P4919" s="395"/>
      <c r="Q4919" s="395"/>
      <c r="R4919" s="353"/>
      <c r="S4919" s="185"/>
      <c r="T4919" s="185"/>
      <c r="U4919" s="185"/>
      <c r="V4919" s="185"/>
      <c r="W4919" s="185"/>
      <c r="X4919" s="185"/>
      <c r="Y4919" s="284"/>
      <c r="Z4919" s="284"/>
      <c r="AA4919" s="284"/>
      <c r="AB4919" s="284"/>
      <c r="AC4919" s="284"/>
      <c r="AD4919" s="284"/>
      <c r="AE4919" s="284"/>
      <c r="AF4919" s="284"/>
      <c r="AG4919" s="284"/>
      <c r="AH4919" s="284"/>
      <c r="AI4919" s="284"/>
      <c r="AJ4919" s="284"/>
      <c r="AK4919" s="284"/>
      <c r="AL4919" s="284"/>
    </row>
    <row r="4920" ht="15.75" customHeight="1">
      <c r="A4920" s="394"/>
      <c r="B4920" s="395"/>
      <c r="C4920" s="395"/>
      <c r="D4920" s="396"/>
      <c r="E4920" s="397"/>
      <c r="F4920" s="395"/>
      <c r="G4920" s="395"/>
      <c r="H4920" s="397"/>
      <c r="I4920" s="395"/>
      <c r="J4920" s="395"/>
      <c r="K4920" s="397"/>
      <c r="L4920" s="395"/>
      <c r="M4920" s="395"/>
      <c r="N4920" s="395"/>
      <c r="O4920" s="397"/>
      <c r="P4920" s="395"/>
      <c r="Q4920" s="395"/>
      <c r="R4920" s="353"/>
      <c r="S4920" s="185"/>
      <c r="T4920" s="185"/>
      <c r="U4920" s="185"/>
      <c r="V4920" s="185"/>
      <c r="W4920" s="185"/>
      <c r="X4920" s="185"/>
      <c r="Y4920" s="284"/>
      <c r="Z4920" s="284"/>
      <c r="AA4920" s="284"/>
      <c r="AB4920" s="284"/>
      <c r="AC4920" s="284"/>
      <c r="AD4920" s="284"/>
      <c r="AE4920" s="284"/>
      <c r="AF4920" s="284"/>
      <c r="AG4920" s="284"/>
      <c r="AH4920" s="284"/>
      <c r="AI4920" s="284"/>
      <c r="AJ4920" s="284"/>
      <c r="AK4920" s="284"/>
      <c r="AL4920" s="284"/>
    </row>
    <row r="4921" ht="15.75" customHeight="1">
      <c r="A4921" s="394"/>
      <c r="B4921" s="395"/>
      <c r="C4921" s="395"/>
      <c r="D4921" s="396"/>
      <c r="E4921" s="397"/>
      <c r="F4921" s="395"/>
      <c r="G4921" s="395"/>
      <c r="H4921" s="397"/>
      <c r="I4921" s="395"/>
      <c r="J4921" s="395"/>
      <c r="K4921" s="397"/>
      <c r="L4921" s="395"/>
      <c r="M4921" s="395"/>
      <c r="N4921" s="395"/>
      <c r="O4921" s="397"/>
      <c r="P4921" s="395"/>
      <c r="Q4921" s="395"/>
      <c r="R4921" s="353"/>
      <c r="S4921" s="185"/>
      <c r="T4921" s="185"/>
      <c r="U4921" s="185"/>
      <c r="V4921" s="185"/>
      <c r="W4921" s="185"/>
      <c r="X4921" s="185"/>
      <c r="Y4921" s="284"/>
      <c r="Z4921" s="284"/>
      <c r="AA4921" s="284"/>
      <c r="AB4921" s="284"/>
      <c r="AC4921" s="284"/>
      <c r="AD4921" s="284"/>
      <c r="AE4921" s="284"/>
      <c r="AF4921" s="284"/>
      <c r="AG4921" s="284"/>
      <c r="AH4921" s="284"/>
      <c r="AI4921" s="284"/>
      <c r="AJ4921" s="284"/>
      <c r="AK4921" s="284"/>
      <c r="AL4921" s="284"/>
    </row>
    <row r="4922" ht="15.75" customHeight="1">
      <c r="A4922" s="394"/>
      <c r="B4922" s="395"/>
      <c r="C4922" s="395"/>
      <c r="D4922" s="396"/>
      <c r="E4922" s="397"/>
      <c r="F4922" s="395"/>
      <c r="G4922" s="395"/>
      <c r="H4922" s="397"/>
      <c r="I4922" s="395"/>
      <c r="J4922" s="395"/>
      <c r="K4922" s="397"/>
      <c r="L4922" s="395"/>
      <c r="M4922" s="395"/>
      <c r="N4922" s="395"/>
      <c r="O4922" s="397"/>
      <c r="P4922" s="395"/>
      <c r="Q4922" s="395"/>
      <c r="R4922" s="353"/>
      <c r="S4922" s="185"/>
      <c r="T4922" s="185"/>
      <c r="U4922" s="185"/>
      <c r="V4922" s="185"/>
      <c r="W4922" s="185"/>
      <c r="X4922" s="185"/>
      <c r="Y4922" s="284"/>
      <c r="Z4922" s="284"/>
      <c r="AA4922" s="284"/>
      <c r="AB4922" s="284"/>
      <c r="AC4922" s="284"/>
      <c r="AD4922" s="284"/>
      <c r="AE4922" s="284"/>
      <c r="AF4922" s="284"/>
      <c r="AG4922" s="284"/>
      <c r="AH4922" s="284"/>
      <c r="AI4922" s="284"/>
      <c r="AJ4922" s="284"/>
      <c r="AK4922" s="284"/>
      <c r="AL4922" s="284"/>
    </row>
    <row r="4923" ht="15.75" customHeight="1">
      <c r="A4923" s="394"/>
      <c r="B4923" s="395"/>
      <c r="C4923" s="395"/>
      <c r="D4923" s="396"/>
      <c r="E4923" s="397"/>
      <c r="F4923" s="395"/>
      <c r="G4923" s="395"/>
      <c r="H4923" s="397"/>
      <c r="I4923" s="395"/>
      <c r="J4923" s="395"/>
      <c r="K4923" s="397"/>
      <c r="L4923" s="395"/>
      <c r="M4923" s="395"/>
      <c r="N4923" s="395"/>
      <c r="O4923" s="397"/>
      <c r="P4923" s="395"/>
      <c r="Q4923" s="395"/>
      <c r="R4923" s="353"/>
      <c r="S4923" s="185"/>
      <c r="T4923" s="185"/>
      <c r="U4923" s="185"/>
      <c r="V4923" s="185"/>
      <c r="W4923" s="185"/>
      <c r="X4923" s="185"/>
      <c r="Y4923" s="284"/>
      <c r="Z4923" s="284"/>
      <c r="AA4923" s="284"/>
      <c r="AB4923" s="284"/>
      <c r="AC4923" s="284"/>
      <c r="AD4923" s="284"/>
      <c r="AE4923" s="284"/>
      <c r="AF4923" s="284"/>
      <c r="AG4923" s="284"/>
      <c r="AH4923" s="284"/>
      <c r="AI4923" s="284"/>
      <c r="AJ4923" s="284"/>
      <c r="AK4923" s="284"/>
      <c r="AL4923" s="284"/>
    </row>
    <row r="4924" ht="15.75" customHeight="1">
      <c r="A4924" s="394"/>
      <c r="B4924" s="395"/>
      <c r="C4924" s="395"/>
      <c r="D4924" s="396"/>
      <c r="E4924" s="397"/>
      <c r="F4924" s="395"/>
      <c r="G4924" s="395"/>
      <c r="H4924" s="397"/>
      <c r="I4924" s="395"/>
      <c r="J4924" s="395"/>
      <c r="K4924" s="397"/>
      <c r="L4924" s="395"/>
      <c r="M4924" s="395"/>
      <c r="N4924" s="395"/>
      <c r="O4924" s="397"/>
      <c r="P4924" s="395"/>
      <c r="Q4924" s="395"/>
      <c r="R4924" s="353"/>
      <c r="S4924" s="185"/>
      <c r="T4924" s="185"/>
      <c r="U4924" s="185"/>
      <c r="V4924" s="185"/>
      <c r="W4924" s="185"/>
      <c r="X4924" s="185"/>
      <c r="Y4924" s="284"/>
      <c r="Z4924" s="284"/>
      <c r="AA4924" s="284"/>
      <c r="AB4924" s="284"/>
      <c r="AC4924" s="284"/>
      <c r="AD4924" s="284"/>
      <c r="AE4924" s="284"/>
      <c r="AF4924" s="284"/>
      <c r="AG4924" s="284"/>
      <c r="AH4924" s="284"/>
      <c r="AI4924" s="284"/>
      <c r="AJ4924" s="284"/>
      <c r="AK4924" s="284"/>
      <c r="AL4924" s="284"/>
    </row>
    <row r="4925" ht="15.75" customHeight="1">
      <c r="A4925" s="394"/>
      <c r="B4925" s="395"/>
      <c r="C4925" s="395"/>
      <c r="D4925" s="396"/>
      <c r="E4925" s="397"/>
      <c r="F4925" s="395"/>
      <c r="G4925" s="395"/>
      <c r="H4925" s="397"/>
      <c r="I4925" s="395"/>
      <c r="J4925" s="395"/>
      <c r="K4925" s="397"/>
      <c r="L4925" s="395"/>
      <c r="M4925" s="395"/>
      <c r="N4925" s="395"/>
      <c r="O4925" s="397"/>
      <c r="P4925" s="395"/>
      <c r="Q4925" s="395"/>
      <c r="R4925" s="353"/>
      <c r="S4925" s="185"/>
      <c r="T4925" s="185"/>
      <c r="U4925" s="185"/>
      <c r="V4925" s="185"/>
      <c r="W4925" s="185"/>
      <c r="X4925" s="185"/>
      <c r="Y4925" s="284"/>
      <c r="Z4925" s="284"/>
      <c r="AA4925" s="284"/>
      <c r="AB4925" s="284"/>
      <c r="AC4925" s="284"/>
      <c r="AD4925" s="284"/>
      <c r="AE4925" s="284"/>
      <c r="AF4925" s="284"/>
      <c r="AG4925" s="284"/>
      <c r="AH4925" s="284"/>
      <c r="AI4925" s="284"/>
      <c r="AJ4925" s="284"/>
      <c r="AK4925" s="284"/>
      <c r="AL4925" s="284"/>
    </row>
    <row r="4926" ht="15.75" customHeight="1">
      <c r="A4926" s="394"/>
      <c r="B4926" s="395"/>
      <c r="C4926" s="395"/>
      <c r="D4926" s="396"/>
      <c r="E4926" s="397"/>
      <c r="F4926" s="395"/>
      <c r="G4926" s="395"/>
      <c r="H4926" s="397"/>
      <c r="I4926" s="395"/>
      <c r="J4926" s="395"/>
      <c r="K4926" s="397"/>
      <c r="L4926" s="395"/>
      <c r="M4926" s="395"/>
      <c r="N4926" s="395"/>
      <c r="O4926" s="397"/>
      <c r="P4926" s="395"/>
      <c r="Q4926" s="395"/>
      <c r="R4926" s="353"/>
      <c r="S4926" s="185"/>
      <c r="T4926" s="185"/>
      <c r="U4926" s="185"/>
      <c r="V4926" s="185"/>
      <c r="W4926" s="185"/>
      <c r="X4926" s="185"/>
      <c r="Y4926" s="284"/>
      <c r="Z4926" s="284"/>
      <c r="AA4926" s="284"/>
      <c r="AB4926" s="284"/>
      <c r="AC4926" s="284"/>
      <c r="AD4926" s="284"/>
      <c r="AE4926" s="284"/>
      <c r="AF4926" s="284"/>
      <c r="AG4926" s="284"/>
      <c r="AH4926" s="284"/>
      <c r="AI4926" s="284"/>
      <c r="AJ4926" s="284"/>
      <c r="AK4926" s="284"/>
      <c r="AL4926" s="284"/>
    </row>
    <row r="4927" ht="15.75" customHeight="1">
      <c r="A4927" s="394"/>
      <c r="B4927" s="395"/>
      <c r="C4927" s="395"/>
      <c r="D4927" s="396"/>
      <c r="E4927" s="397"/>
      <c r="F4927" s="395"/>
      <c r="G4927" s="395"/>
      <c r="H4927" s="397"/>
      <c r="I4927" s="395"/>
      <c r="J4927" s="395"/>
      <c r="K4927" s="397"/>
      <c r="L4927" s="395"/>
      <c r="M4927" s="395"/>
      <c r="N4927" s="395"/>
      <c r="O4927" s="397"/>
      <c r="P4927" s="395"/>
      <c r="Q4927" s="395"/>
      <c r="R4927" s="353"/>
      <c r="S4927" s="185"/>
      <c r="T4927" s="185"/>
      <c r="U4927" s="185"/>
      <c r="V4927" s="185"/>
      <c r="W4927" s="185"/>
      <c r="X4927" s="185"/>
      <c r="Y4927" s="284"/>
      <c r="Z4927" s="284"/>
      <c r="AA4927" s="284"/>
      <c r="AB4927" s="284"/>
      <c r="AC4927" s="284"/>
      <c r="AD4927" s="284"/>
      <c r="AE4927" s="284"/>
      <c r="AF4927" s="284"/>
      <c r="AG4927" s="284"/>
      <c r="AH4927" s="284"/>
      <c r="AI4927" s="284"/>
      <c r="AJ4927" s="284"/>
      <c r="AK4927" s="284"/>
      <c r="AL4927" s="284"/>
    </row>
    <row r="4928" ht="15.75" customHeight="1">
      <c r="A4928" s="394"/>
      <c r="B4928" s="395"/>
      <c r="C4928" s="395"/>
      <c r="D4928" s="396"/>
      <c r="E4928" s="397"/>
      <c r="F4928" s="395"/>
      <c r="G4928" s="395"/>
      <c r="H4928" s="397"/>
      <c r="I4928" s="395"/>
      <c r="J4928" s="395"/>
      <c r="K4928" s="397"/>
      <c r="L4928" s="395"/>
      <c r="M4928" s="395"/>
      <c r="N4928" s="395"/>
      <c r="O4928" s="397"/>
      <c r="P4928" s="395"/>
      <c r="Q4928" s="395"/>
      <c r="R4928" s="353"/>
      <c r="S4928" s="185"/>
      <c r="T4928" s="185"/>
      <c r="U4928" s="185"/>
      <c r="V4928" s="185"/>
      <c r="W4928" s="185"/>
      <c r="X4928" s="185"/>
      <c r="Y4928" s="284"/>
      <c r="Z4928" s="284"/>
      <c r="AA4928" s="284"/>
      <c r="AB4928" s="284"/>
      <c r="AC4928" s="284"/>
      <c r="AD4928" s="284"/>
      <c r="AE4928" s="284"/>
      <c r="AF4928" s="284"/>
      <c r="AG4928" s="284"/>
      <c r="AH4928" s="284"/>
      <c r="AI4928" s="284"/>
      <c r="AJ4928" s="284"/>
      <c r="AK4928" s="284"/>
      <c r="AL4928" s="284"/>
    </row>
    <row r="4929" ht="15.75" customHeight="1">
      <c r="A4929" s="394"/>
      <c r="B4929" s="395"/>
      <c r="C4929" s="395"/>
      <c r="D4929" s="396"/>
      <c r="E4929" s="397"/>
      <c r="F4929" s="395"/>
      <c r="G4929" s="395"/>
      <c r="H4929" s="397"/>
      <c r="I4929" s="395"/>
      <c r="J4929" s="395"/>
      <c r="K4929" s="397"/>
      <c r="L4929" s="395"/>
      <c r="M4929" s="395"/>
      <c r="N4929" s="395"/>
      <c r="O4929" s="397"/>
      <c r="P4929" s="395"/>
      <c r="Q4929" s="395"/>
      <c r="R4929" s="353"/>
      <c r="S4929" s="185"/>
      <c r="T4929" s="185"/>
      <c r="U4929" s="185"/>
      <c r="V4929" s="185"/>
      <c r="W4929" s="185"/>
      <c r="X4929" s="185"/>
      <c r="Y4929" s="284"/>
      <c r="Z4929" s="284"/>
      <c r="AA4929" s="284"/>
      <c r="AB4929" s="284"/>
      <c r="AC4929" s="284"/>
      <c r="AD4929" s="284"/>
      <c r="AE4929" s="284"/>
      <c r="AF4929" s="284"/>
      <c r="AG4929" s="284"/>
      <c r="AH4929" s="284"/>
      <c r="AI4929" s="284"/>
      <c r="AJ4929" s="284"/>
      <c r="AK4929" s="284"/>
      <c r="AL4929" s="284"/>
    </row>
    <row r="4930" ht="15.75" customHeight="1">
      <c r="A4930" s="394"/>
      <c r="B4930" s="395"/>
      <c r="C4930" s="395"/>
      <c r="D4930" s="396"/>
      <c r="E4930" s="397"/>
      <c r="F4930" s="395"/>
      <c r="G4930" s="395"/>
      <c r="H4930" s="397"/>
      <c r="I4930" s="395"/>
      <c r="J4930" s="395"/>
      <c r="K4930" s="397"/>
      <c r="L4930" s="395"/>
      <c r="M4930" s="395"/>
      <c r="N4930" s="395"/>
      <c r="O4930" s="397"/>
      <c r="P4930" s="395"/>
      <c r="Q4930" s="395"/>
      <c r="R4930" s="353"/>
      <c r="S4930" s="185"/>
      <c r="T4930" s="185"/>
      <c r="U4930" s="185"/>
      <c r="V4930" s="185"/>
      <c r="W4930" s="185"/>
      <c r="X4930" s="185"/>
      <c r="Y4930" s="284"/>
      <c r="Z4930" s="284"/>
      <c r="AA4930" s="284"/>
      <c r="AB4930" s="284"/>
      <c r="AC4930" s="284"/>
      <c r="AD4930" s="284"/>
      <c r="AE4930" s="284"/>
      <c r="AF4930" s="284"/>
      <c r="AG4930" s="284"/>
      <c r="AH4930" s="284"/>
      <c r="AI4930" s="284"/>
      <c r="AJ4930" s="284"/>
      <c r="AK4930" s="284"/>
      <c r="AL4930" s="284"/>
    </row>
    <row r="4931" ht="15.75" customHeight="1">
      <c r="A4931" s="394"/>
      <c r="B4931" s="395"/>
      <c r="C4931" s="395"/>
      <c r="D4931" s="396"/>
      <c r="E4931" s="397"/>
      <c r="F4931" s="395"/>
      <c r="G4931" s="395"/>
      <c r="H4931" s="397"/>
      <c r="I4931" s="395"/>
      <c r="J4931" s="395"/>
      <c r="K4931" s="397"/>
      <c r="L4931" s="395"/>
      <c r="M4931" s="395"/>
      <c r="N4931" s="395"/>
      <c r="O4931" s="397"/>
      <c r="P4931" s="395"/>
      <c r="Q4931" s="395"/>
      <c r="R4931" s="353"/>
      <c r="S4931" s="185"/>
      <c r="T4931" s="185"/>
      <c r="U4931" s="185"/>
      <c r="V4931" s="185"/>
      <c r="W4931" s="185"/>
      <c r="X4931" s="185"/>
      <c r="Y4931" s="284"/>
      <c r="Z4931" s="284"/>
      <c r="AA4931" s="284"/>
      <c r="AB4931" s="284"/>
      <c r="AC4931" s="284"/>
      <c r="AD4931" s="284"/>
      <c r="AE4931" s="284"/>
      <c r="AF4931" s="284"/>
      <c r="AG4931" s="284"/>
      <c r="AH4931" s="284"/>
      <c r="AI4931" s="284"/>
      <c r="AJ4931" s="284"/>
      <c r="AK4931" s="284"/>
      <c r="AL4931" s="284"/>
    </row>
    <row r="4932" ht="15.75" customHeight="1">
      <c r="A4932" s="394"/>
      <c r="B4932" s="395"/>
      <c r="C4932" s="395"/>
      <c r="D4932" s="396"/>
      <c r="E4932" s="397"/>
      <c r="F4932" s="395"/>
      <c r="G4932" s="395"/>
      <c r="H4932" s="397"/>
      <c r="I4932" s="395"/>
      <c r="J4932" s="395"/>
      <c r="K4932" s="397"/>
      <c r="L4932" s="395"/>
      <c r="M4932" s="395"/>
      <c r="N4932" s="395"/>
      <c r="O4932" s="397"/>
      <c r="P4932" s="395"/>
      <c r="Q4932" s="395"/>
      <c r="R4932" s="353"/>
      <c r="S4932" s="185"/>
      <c r="T4932" s="185"/>
      <c r="U4932" s="185"/>
      <c r="V4932" s="185"/>
      <c r="W4932" s="185"/>
      <c r="X4932" s="185"/>
      <c r="Y4932" s="284"/>
      <c r="Z4932" s="284"/>
      <c r="AA4932" s="284"/>
      <c r="AB4932" s="284"/>
      <c r="AC4932" s="284"/>
      <c r="AD4932" s="284"/>
      <c r="AE4932" s="284"/>
      <c r="AF4932" s="284"/>
      <c r="AG4932" s="284"/>
      <c r="AH4932" s="284"/>
      <c r="AI4932" s="284"/>
      <c r="AJ4932" s="284"/>
      <c r="AK4932" s="284"/>
      <c r="AL4932" s="284"/>
    </row>
    <row r="4933" ht="15.75" customHeight="1">
      <c r="A4933" s="394"/>
      <c r="B4933" s="395"/>
      <c r="C4933" s="395"/>
      <c r="D4933" s="396"/>
      <c r="E4933" s="397"/>
      <c r="F4933" s="395"/>
      <c r="G4933" s="395"/>
      <c r="H4933" s="397"/>
      <c r="I4933" s="395"/>
      <c r="J4933" s="395"/>
      <c r="K4933" s="397"/>
      <c r="L4933" s="395"/>
      <c r="M4933" s="395"/>
      <c r="N4933" s="395"/>
      <c r="O4933" s="397"/>
      <c r="P4933" s="395"/>
      <c r="Q4933" s="395"/>
      <c r="R4933" s="353"/>
      <c r="S4933" s="185"/>
      <c r="T4933" s="185"/>
      <c r="U4933" s="185"/>
      <c r="V4933" s="185"/>
      <c r="W4933" s="185"/>
      <c r="X4933" s="185"/>
      <c r="Y4933" s="284"/>
      <c r="Z4933" s="284"/>
      <c r="AA4933" s="284"/>
      <c r="AB4933" s="284"/>
      <c r="AC4933" s="284"/>
      <c r="AD4933" s="284"/>
      <c r="AE4933" s="284"/>
      <c r="AF4933" s="284"/>
      <c r="AG4933" s="284"/>
      <c r="AH4933" s="284"/>
      <c r="AI4933" s="284"/>
      <c r="AJ4933" s="284"/>
      <c r="AK4933" s="284"/>
      <c r="AL4933" s="284"/>
    </row>
    <row r="4934" ht="15.75" customHeight="1">
      <c r="A4934" s="394"/>
      <c r="B4934" s="395"/>
      <c r="C4934" s="395"/>
      <c r="D4934" s="396"/>
      <c r="E4934" s="397"/>
      <c r="F4934" s="395"/>
      <c r="G4934" s="395"/>
      <c r="H4934" s="397"/>
      <c r="I4934" s="395"/>
      <c r="J4934" s="395"/>
      <c r="K4934" s="397"/>
      <c r="L4934" s="395"/>
      <c r="M4934" s="395"/>
      <c r="N4934" s="395"/>
      <c r="O4934" s="397"/>
      <c r="P4934" s="395"/>
      <c r="Q4934" s="395"/>
      <c r="R4934" s="353"/>
      <c r="S4934" s="185"/>
      <c r="T4934" s="185"/>
      <c r="U4934" s="185"/>
      <c r="V4934" s="185"/>
      <c r="W4934" s="185"/>
      <c r="X4934" s="185"/>
      <c r="Y4934" s="284"/>
      <c r="Z4934" s="284"/>
      <c r="AA4934" s="284"/>
      <c r="AB4934" s="284"/>
      <c r="AC4934" s="284"/>
      <c r="AD4934" s="284"/>
      <c r="AE4934" s="284"/>
      <c r="AF4934" s="284"/>
      <c r="AG4934" s="284"/>
      <c r="AH4934" s="284"/>
      <c r="AI4934" s="284"/>
      <c r="AJ4934" s="284"/>
      <c r="AK4934" s="284"/>
      <c r="AL4934" s="284"/>
    </row>
    <row r="4935" ht="15.75" customHeight="1">
      <c r="A4935" s="394"/>
      <c r="B4935" s="395"/>
      <c r="C4935" s="395"/>
      <c r="D4935" s="396"/>
      <c r="E4935" s="397"/>
      <c r="F4935" s="395"/>
      <c r="G4935" s="395"/>
      <c r="H4935" s="397"/>
      <c r="I4935" s="395"/>
      <c r="J4935" s="395"/>
      <c r="K4935" s="397"/>
      <c r="L4935" s="395"/>
      <c r="M4935" s="395"/>
      <c r="N4935" s="395"/>
      <c r="O4935" s="397"/>
      <c r="P4935" s="395"/>
      <c r="Q4935" s="395"/>
      <c r="R4935" s="353"/>
      <c r="S4935" s="185"/>
      <c r="T4935" s="185"/>
      <c r="U4935" s="185"/>
      <c r="V4935" s="185"/>
      <c r="W4935" s="185"/>
      <c r="X4935" s="185"/>
      <c r="Y4935" s="284"/>
      <c r="Z4935" s="284"/>
      <c r="AA4935" s="284"/>
      <c r="AB4935" s="284"/>
      <c r="AC4935" s="284"/>
      <c r="AD4935" s="284"/>
      <c r="AE4935" s="284"/>
      <c r="AF4935" s="284"/>
      <c r="AG4935" s="284"/>
      <c r="AH4935" s="284"/>
      <c r="AI4935" s="284"/>
      <c r="AJ4935" s="284"/>
      <c r="AK4935" s="284"/>
      <c r="AL4935" s="284"/>
    </row>
    <row r="4936" ht="15.75" customHeight="1">
      <c r="A4936" s="394"/>
      <c r="B4936" s="395"/>
      <c r="C4936" s="395"/>
      <c r="D4936" s="396"/>
      <c r="E4936" s="397"/>
      <c r="F4936" s="395"/>
      <c r="G4936" s="395"/>
      <c r="H4936" s="397"/>
      <c r="I4936" s="395"/>
      <c r="J4936" s="395"/>
      <c r="K4936" s="397"/>
      <c r="L4936" s="395"/>
      <c r="M4936" s="395"/>
      <c r="N4936" s="395"/>
      <c r="O4936" s="397"/>
      <c r="P4936" s="395"/>
      <c r="Q4936" s="395"/>
      <c r="R4936" s="353"/>
      <c r="S4936" s="185"/>
      <c r="T4936" s="185"/>
      <c r="U4936" s="185"/>
      <c r="V4936" s="185"/>
      <c r="W4936" s="185"/>
      <c r="X4936" s="185"/>
      <c r="Y4936" s="284"/>
      <c r="Z4936" s="284"/>
      <c r="AA4936" s="284"/>
      <c r="AB4936" s="284"/>
      <c r="AC4936" s="284"/>
      <c r="AD4936" s="284"/>
      <c r="AE4936" s="284"/>
      <c r="AF4936" s="284"/>
      <c r="AG4936" s="284"/>
      <c r="AH4936" s="284"/>
      <c r="AI4936" s="284"/>
      <c r="AJ4936" s="284"/>
      <c r="AK4936" s="284"/>
      <c r="AL4936" s="284"/>
    </row>
    <row r="4937" ht="15.75" customHeight="1">
      <c r="A4937" s="394"/>
      <c r="B4937" s="395"/>
      <c r="C4937" s="395"/>
      <c r="D4937" s="396"/>
      <c r="E4937" s="397"/>
      <c r="F4937" s="395"/>
      <c r="G4937" s="395"/>
      <c r="H4937" s="397"/>
      <c r="I4937" s="395"/>
      <c r="J4937" s="395"/>
      <c r="K4937" s="397"/>
      <c r="L4937" s="395"/>
      <c r="M4937" s="395"/>
      <c r="N4937" s="395"/>
      <c r="O4937" s="397"/>
      <c r="P4937" s="395"/>
      <c r="Q4937" s="395"/>
      <c r="R4937" s="353"/>
      <c r="S4937" s="185"/>
      <c r="T4937" s="185"/>
      <c r="U4937" s="185"/>
      <c r="V4937" s="185"/>
      <c r="W4937" s="185"/>
      <c r="X4937" s="185"/>
      <c r="Y4937" s="284"/>
      <c r="Z4937" s="284"/>
      <c r="AA4937" s="284"/>
      <c r="AB4937" s="284"/>
      <c r="AC4937" s="284"/>
      <c r="AD4937" s="284"/>
      <c r="AE4937" s="284"/>
      <c r="AF4937" s="284"/>
      <c r="AG4937" s="284"/>
      <c r="AH4937" s="284"/>
      <c r="AI4937" s="284"/>
      <c r="AJ4937" s="284"/>
      <c r="AK4937" s="284"/>
      <c r="AL4937" s="284"/>
    </row>
    <row r="4938" ht="15.75" customHeight="1">
      <c r="A4938" s="394"/>
      <c r="B4938" s="395"/>
      <c r="C4938" s="395"/>
      <c r="D4938" s="396"/>
      <c r="E4938" s="397"/>
      <c r="F4938" s="395"/>
      <c r="G4938" s="395"/>
      <c r="H4938" s="397"/>
      <c r="I4938" s="395"/>
      <c r="J4938" s="395"/>
      <c r="K4938" s="397"/>
      <c r="L4938" s="395"/>
      <c r="M4938" s="395"/>
      <c r="N4938" s="395"/>
      <c r="O4938" s="397"/>
      <c r="P4938" s="395"/>
      <c r="Q4938" s="395"/>
      <c r="R4938" s="353"/>
      <c r="S4938" s="185"/>
      <c r="T4938" s="185"/>
      <c r="U4938" s="185"/>
      <c r="V4938" s="185"/>
      <c r="W4938" s="185"/>
      <c r="X4938" s="185"/>
      <c r="Y4938" s="284"/>
      <c r="Z4938" s="284"/>
      <c r="AA4938" s="284"/>
      <c r="AB4938" s="284"/>
      <c r="AC4938" s="284"/>
      <c r="AD4938" s="284"/>
      <c r="AE4938" s="284"/>
      <c r="AF4938" s="284"/>
      <c r="AG4938" s="284"/>
      <c r="AH4938" s="284"/>
      <c r="AI4938" s="284"/>
      <c r="AJ4938" s="284"/>
      <c r="AK4938" s="284"/>
      <c r="AL4938" s="284"/>
    </row>
    <row r="4939" ht="15.75" customHeight="1">
      <c r="A4939" s="394"/>
      <c r="B4939" s="395"/>
      <c r="C4939" s="395"/>
      <c r="D4939" s="396"/>
      <c r="E4939" s="397"/>
      <c r="F4939" s="395"/>
      <c r="G4939" s="395"/>
      <c r="H4939" s="397"/>
      <c r="I4939" s="395"/>
      <c r="J4939" s="395"/>
      <c r="K4939" s="397"/>
      <c r="L4939" s="395"/>
      <c r="M4939" s="395"/>
      <c r="N4939" s="395"/>
      <c r="O4939" s="397"/>
      <c r="P4939" s="395"/>
      <c r="Q4939" s="395"/>
      <c r="R4939" s="353"/>
      <c r="S4939" s="185"/>
      <c r="T4939" s="185"/>
      <c r="U4939" s="185"/>
      <c r="V4939" s="185"/>
      <c r="W4939" s="185"/>
      <c r="X4939" s="185"/>
      <c r="Y4939" s="284"/>
      <c r="Z4939" s="284"/>
      <c r="AA4939" s="284"/>
      <c r="AB4939" s="284"/>
      <c r="AC4939" s="284"/>
      <c r="AD4939" s="284"/>
      <c r="AE4939" s="284"/>
      <c r="AF4939" s="284"/>
      <c r="AG4939" s="284"/>
      <c r="AH4939" s="284"/>
      <c r="AI4939" s="284"/>
      <c r="AJ4939" s="284"/>
      <c r="AK4939" s="284"/>
      <c r="AL4939" s="284"/>
    </row>
    <row r="4940" ht="15.75" customHeight="1">
      <c r="A4940" s="394"/>
      <c r="B4940" s="395"/>
      <c r="C4940" s="395"/>
      <c r="D4940" s="396"/>
      <c r="E4940" s="397"/>
      <c r="F4940" s="395"/>
      <c r="G4940" s="395"/>
      <c r="H4940" s="397"/>
      <c r="I4940" s="395"/>
      <c r="J4940" s="395"/>
      <c r="K4940" s="397"/>
      <c r="L4940" s="395"/>
      <c r="M4940" s="395"/>
      <c r="N4940" s="395"/>
      <c r="O4940" s="397"/>
      <c r="P4940" s="395"/>
      <c r="Q4940" s="395"/>
      <c r="R4940" s="353"/>
      <c r="S4940" s="185"/>
      <c r="T4940" s="185"/>
      <c r="U4940" s="185"/>
      <c r="V4940" s="185"/>
      <c r="W4940" s="185"/>
      <c r="X4940" s="185"/>
      <c r="Y4940" s="284"/>
      <c r="Z4940" s="284"/>
      <c r="AA4940" s="284"/>
      <c r="AB4940" s="284"/>
      <c r="AC4940" s="284"/>
      <c r="AD4940" s="284"/>
      <c r="AE4940" s="284"/>
      <c r="AF4940" s="284"/>
      <c r="AG4940" s="284"/>
      <c r="AH4940" s="284"/>
      <c r="AI4940" s="284"/>
      <c r="AJ4940" s="284"/>
      <c r="AK4940" s="284"/>
      <c r="AL4940" s="284"/>
    </row>
    <row r="4941" ht="15.75" customHeight="1">
      <c r="A4941" s="394"/>
      <c r="B4941" s="395"/>
      <c r="C4941" s="395"/>
      <c r="D4941" s="396"/>
      <c r="E4941" s="397"/>
      <c r="F4941" s="395"/>
      <c r="G4941" s="395"/>
      <c r="H4941" s="397"/>
      <c r="I4941" s="395"/>
      <c r="J4941" s="395"/>
      <c r="K4941" s="397"/>
      <c r="L4941" s="395"/>
      <c r="M4941" s="395"/>
      <c r="N4941" s="395"/>
      <c r="O4941" s="397"/>
      <c r="P4941" s="395"/>
      <c r="Q4941" s="395"/>
      <c r="R4941" s="353"/>
      <c r="S4941" s="185"/>
      <c r="T4941" s="185"/>
      <c r="U4941" s="185"/>
      <c r="V4941" s="185"/>
      <c r="W4941" s="185"/>
      <c r="X4941" s="185"/>
      <c r="Y4941" s="284"/>
      <c r="Z4941" s="284"/>
      <c r="AA4941" s="284"/>
      <c r="AB4941" s="284"/>
      <c r="AC4941" s="284"/>
      <c r="AD4941" s="284"/>
      <c r="AE4941" s="284"/>
      <c r="AF4941" s="284"/>
      <c r="AG4941" s="284"/>
      <c r="AH4941" s="284"/>
      <c r="AI4941" s="284"/>
      <c r="AJ4941" s="284"/>
      <c r="AK4941" s="284"/>
      <c r="AL4941" s="284"/>
    </row>
    <row r="4942" ht="15.75" customHeight="1">
      <c r="A4942" s="394"/>
      <c r="B4942" s="395"/>
      <c r="C4942" s="395"/>
      <c r="D4942" s="396"/>
      <c r="E4942" s="397"/>
      <c r="F4942" s="395"/>
      <c r="G4942" s="395"/>
      <c r="H4942" s="397"/>
      <c r="I4942" s="395"/>
      <c r="J4942" s="395"/>
      <c r="K4942" s="397"/>
      <c r="L4942" s="395"/>
      <c r="M4942" s="395"/>
      <c r="N4942" s="395"/>
      <c r="O4942" s="397"/>
      <c r="P4942" s="395"/>
      <c r="Q4942" s="395"/>
      <c r="R4942" s="353"/>
      <c r="S4942" s="185"/>
      <c r="T4942" s="185"/>
      <c r="U4942" s="185"/>
      <c r="V4942" s="185"/>
      <c r="W4942" s="185"/>
      <c r="X4942" s="185"/>
      <c r="Y4942" s="284"/>
      <c r="Z4942" s="284"/>
      <c r="AA4942" s="284"/>
      <c r="AB4942" s="284"/>
      <c r="AC4942" s="284"/>
      <c r="AD4942" s="284"/>
      <c r="AE4942" s="284"/>
      <c r="AF4942" s="284"/>
      <c r="AG4942" s="284"/>
      <c r="AH4942" s="284"/>
      <c r="AI4942" s="284"/>
      <c r="AJ4942" s="284"/>
      <c r="AK4942" s="284"/>
      <c r="AL4942" s="284"/>
    </row>
    <row r="4943" ht="15.75" customHeight="1">
      <c r="A4943" s="394"/>
      <c r="B4943" s="395"/>
      <c r="C4943" s="395"/>
      <c r="D4943" s="396"/>
      <c r="E4943" s="397"/>
      <c r="F4943" s="395"/>
      <c r="G4943" s="395"/>
      <c r="H4943" s="397"/>
      <c r="I4943" s="395"/>
      <c r="J4943" s="395"/>
      <c r="K4943" s="397"/>
      <c r="L4943" s="395"/>
      <c r="M4943" s="395"/>
      <c r="N4943" s="395"/>
      <c r="O4943" s="397"/>
      <c r="P4943" s="395"/>
      <c r="Q4943" s="395"/>
      <c r="R4943" s="353"/>
      <c r="S4943" s="185"/>
      <c r="T4943" s="185"/>
      <c r="U4943" s="185"/>
      <c r="V4943" s="185"/>
      <c r="W4943" s="185"/>
      <c r="X4943" s="185"/>
      <c r="Y4943" s="284"/>
      <c r="Z4943" s="284"/>
      <c r="AA4943" s="284"/>
      <c r="AB4943" s="284"/>
      <c r="AC4943" s="284"/>
      <c r="AD4943" s="284"/>
      <c r="AE4943" s="284"/>
      <c r="AF4943" s="284"/>
      <c r="AG4943" s="284"/>
      <c r="AH4943" s="284"/>
      <c r="AI4943" s="284"/>
      <c r="AJ4943" s="284"/>
      <c r="AK4943" s="284"/>
      <c r="AL4943" s="284"/>
    </row>
    <row r="4944" ht="15.75" customHeight="1">
      <c r="A4944" s="394"/>
      <c r="B4944" s="395"/>
      <c r="C4944" s="395"/>
      <c r="D4944" s="396"/>
      <c r="E4944" s="397"/>
      <c r="F4944" s="395"/>
      <c r="G4944" s="395"/>
      <c r="H4944" s="397"/>
      <c r="I4944" s="395"/>
      <c r="J4944" s="395"/>
      <c r="K4944" s="397"/>
      <c r="L4944" s="395"/>
      <c r="M4944" s="395"/>
      <c r="N4944" s="395"/>
      <c r="O4944" s="397"/>
      <c r="P4944" s="395"/>
      <c r="Q4944" s="395"/>
      <c r="R4944" s="353"/>
      <c r="S4944" s="185"/>
      <c r="T4944" s="185"/>
      <c r="U4944" s="185"/>
      <c r="V4944" s="185"/>
      <c r="W4944" s="185"/>
      <c r="X4944" s="185"/>
      <c r="Y4944" s="284"/>
      <c r="Z4944" s="284"/>
      <c r="AA4944" s="284"/>
      <c r="AB4944" s="284"/>
      <c r="AC4944" s="284"/>
      <c r="AD4944" s="284"/>
      <c r="AE4944" s="284"/>
      <c r="AF4944" s="284"/>
      <c r="AG4944" s="284"/>
      <c r="AH4944" s="284"/>
      <c r="AI4944" s="284"/>
      <c r="AJ4944" s="284"/>
      <c r="AK4944" s="284"/>
      <c r="AL4944" s="284"/>
    </row>
    <row r="4945" ht="15.75" customHeight="1">
      <c r="A4945" s="394"/>
      <c r="B4945" s="395"/>
      <c r="C4945" s="395"/>
      <c r="D4945" s="396"/>
      <c r="E4945" s="397"/>
      <c r="F4945" s="395"/>
      <c r="G4945" s="395"/>
      <c r="H4945" s="397"/>
      <c r="I4945" s="395"/>
      <c r="J4945" s="395"/>
      <c r="K4945" s="397"/>
      <c r="L4945" s="395"/>
      <c r="M4945" s="395"/>
      <c r="N4945" s="395"/>
      <c r="O4945" s="397"/>
      <c r="P4945" s="395"/>
      <c r="Q4945" s="395"/>
      <c r="R4945" s="353"/>
      <c r="S4945" s="185"/>
      <c r="T4945" s="185"/>
      <c r="U4945" s="185"/>
      <c r="V4945" s="185"/>
      <c r="W4945" s="185"/>
      <c r="X4945" s="185"/>
      <c r="Y4945" s="284"/>
      <c r="Z4945" s="284"/>
      <c r="AA4945" s="284"/>
      <c r="AB4945" s="284"/>
      <c r="AC4945" s="284"/>
      <c r="AD4945" s="284"/>
      <c r="AE4945" s="284"/>
      <c r="AF4945" s="284"/>
      <c r="AG4945" s="284"/>
      <c r="AH4945" s="284"/>
      <c r="AI4945" s="284"/>
      <c r="AJ4945" s="284"/>
      <c r="AK4945" s="284"/>
      <c r="AL4945" s="284"/>
    </row>
    <row r="4946" ht="15.75" customHeight="1">
      <c r="A4946" s="394"/>
      <c r="B4946" s="395"/>
      <c r="C4946" s="395"/>
      <c r="D4946" s="396"/>
      <c r="E4946" s="397"/>
      <c r="F4946" s="395"/>
      <c r="G4946" s="395"/>
      <c r="H4946" s="397"/>
      <c r="I4946" s="395"/>
      <c r="J4946" s="395"/>
      <c r="K4946" s="397"/>
      <c r="L4946" s="395"/>
      <c r="M4946" s="395"/>
      <c r="N4946" s="395"/>
      <c r="O4946" s="397"/>
      <c r="P4946" s="395"/>
      <c r="Q4946" s="395"/>
      <c r="R4946" s="353"/>
      <c r="S4946" s="185"/>
      <c r="T4946" s="185"/>
      <c r="U4946" s="185"/>
      <c r="V4946" s="185"/>
      <c r="W4946" s="185"/>
      <c r="X4946" s="185"/>
      <c r="Y4946" s="284"/>
      <c r="Z4946" s="284"/>
      <c r="AA4946" s="284"/>
      <c r="AB4946" s="284"/>
      <c r="AC4946" s="284"/>
      <c r="AD4946" s="284"/>
      <c r="AE4946" s="284"/>
      <c r="AF4946" s="284"/>
      <c r="AG4946" s="284"/>
      <c r="AH4946" s="284"/>
      <c r="AI4946" s="284"/>
      <c r="AJ4946" s="284"/>
      <c r="AK4946" s="284"/>
      <c r="AL4946" s="284"/>
    </row>
    <row r="4947" ht="15.75" customHeight="1">
      <c r="A4947" s="394"/>
      <c r="B4947" s="395"/>
      <c r="C4947" s="395"/>
      <c r="D4947" s="396"/>
      <c r="E4947" s="397"/>
      <c r="F4947" s="395"/>
      <c r="G4947" s="395"/>
      <c r="H4947" s="397"/>
      <c r="I4947" s="395"/>
      <c r="J4947" s="395"/>
      <c r="K4947" s="397"/>
      <c r="L4947" s="395"/>
      <c r="M4947" s="395"/>
      <c r="N4947" s="395"/>
      <c r="O4947" s="397"/>
      <c r="P4947" s="395"/>
      <c r="Q4947" s="395"/>
      <c r="R4947" s="353"/>
      <c r="S4947" s="185"/>
      <c r="T4947" s="185"/>
      <c r="U4947" s="185"/>
      <c r="V4947" s="185"/>
      <c r="W4947" s="185"/>
      <c r="X4947" s="185"/>
      <c r="Y4947" s="284"/>
      <c r="Z4947" s="284"/>
      <c r="AA4947" s="284"/>
      <c r="AB4947" s="284"/>
      <c r="AC4947" s="284"/>
      <c r="AD4947" s="284"/>
      <c r="AE4947" s="284"/>
      <c r="AF4947" s="284"/>
      <c r="AG4947" s="284"/>
      <c r="AH4947" s="284"/>
      <c r="AI4947" s="284"/>
      <c r="AJ4947" s="284"/>
      <c r="AK4947" s="284"/>
      <c r="AL4947" s="284"/>
    </row>
    <row r="4948" ht="15.75" customHeight="1">
      <c r="A4948" s="394"/>
      <c r="B4948" s="395"/>
      <c r="C4948" s="395"/>
      <c r="D4948" s="396"/>
      <c r="E4948" s="397"/>
      <c r="F4948" s="395"/>
      <c r="G4948" s="395"/>
      <c r="H4948" s="397"/>
      <c r="I4948" s="395"/>
      <c r="J4948" s="395"/>
      <c r="K4948" s="397"/>
      <c r="L4948" s="395"/>
      <c r="M4948" s="395"/>
      <c r="N4948" s="395"/>
      <c r="O4948" s="397"/>
      <c r="P4948" s="395"/>
      <c r="Q4948" s="395"/>
      <c r="R4948" s="353"/>
      <c r="S4948" s="185"/>
      <c r="T4948" s="185"/>
      <c r="U4948" s="185"/>
      <c r="V4948" s="185"/>
      <c r="W4948" s="185"/>
      <c r="X4948" s="185"/>
      <c r="Y4948" s="284"/>
      <c r="Z4948" s="284"/>
      <c r="AA4948" s="284"/>
      <c r="AB4948" s="284"/>
      <c r="AC4948" s="284"/>
      <c r="AD4948" s="284"/>
      <c r="AE4948" s="284"/>
      <c r="AF4948" s="284"/>
      <c r="AG4948" s="284"/>
      <c r="AH4948" s="284"/>
      <c r="AI4948" s="284"/>
      <c r="AJ4948" s="284"/>
      <c r="AK4948" s="284"/>
      <c r="AL4948" s="284"/>
    </row>
    <row r="4949" ht="15.75" customHeight="1">
      <c r="A4949" s="394"/>
      <c r="B4949" s="395"/>
      <c r="C4949" s="395"/>
      <c r="D4949" s="396"/>
      <c r="E4949" s="397"/>
      <c r="F4949" s="395"/>
      <c r="G4949" s="395"/>
      <c r="H4949" s="397"/>
      <c r="I4949" s="395"/>
      <c r="J4949" s="395"/>
      <c r="K4949" s="397"/>
      <c r="L4949" s="395"/>
      <c r="M4949" s="395"/>
      <c r="N4949" s="395"/>
      <c r="O4949" s="397"/>
      <c r="P4949" s="395"/>
      <c r="Q4949" s="395"/>
      <c r="R4949" s="353"/>
      <c r="S4949" s="185"/>
      <c r="T4949" s="185"/>
      <c r="U4949" s="185"/>
      <c r="V4949" s="185"/>
      <c r="W4949" s="185"/>
      <c r="X4949" s="185"/>
      <c r="Y4949" s="284"/>
      <c r="Z4949" s="284"/>
      <c r="AA4949" s="284"/>
      <c r="AB4949" s="284"/>
      <c r="AC4949" s="284"/>
      <c r="AD4949" s="284"/>
      <c r="AE4949" s="284"/>
      <c r="AF4949" s="284"/>
      <c r="AG4949" s="284"/>
      <c r="AH4949" s="284"/>
      <c r="AI4949" s="284"/>
      <c r="AJ4949" s="284"/>
      <c r="AK4949" s="284"/>
      <c r="AL4949" s="284"/>
    </row>
    <row r="4950" ht="15.75" customHeight="1">
      <c r="A4950" s="394"/>
      <c r="B4950" s="395"/>
      <c r="C4950" s="395"/>
      <c r="D4950" s="396"/>
      <c r="E4950" s="397"/>
      <c r="F4950" s="395"/>
      <c r="G4950" s="395"/>
      <c r="H4950" s="397"/>
      <c r="I4950" s="395"/>
      <c r="J4950" s="395"/>
      <c r="K4950" s="397"/>
      <c r="L4950" s="395"/>
      <c r="M4950" s="395"/>
      <c r="N4950" s="395"/>
      <c r="O4950" s="397"/>
      <c r="P4950" s="395"/>
      <c r="Q4950" s="395"/>
      <c r="R4950" s="353"/>
      <c r="S4950" s="185"/>
      <c r="T4950" s="185"/>
      <c r="U4950" s="185"/>
      <c r="V4950" s="185"/>
      <c r="W4950" s="185"/>
      <c r="X4950" s="185"/>
      <c r="Y4950" s="284"/>
      <c r="Z4950" s="284"/>
      <c r="AA4950" s="284"/>
      <c r="AB4950" s="284"/>
      <c r="AC4950" s="284"/>
      <c r="AD4950" s="284"/>
      <c r="AE4950" s="284"/>
      <c r="AF4950" s="284"/>
      <c r="AG4950" s="284"/>
      <c r="AH4950" s="284"/>
      <c r="AI4950" s="284"/>
      <c r="AJ4950" s="284"/>
      <c r="AK4950" s="284"/>
      <c r="AL4950" s="284"/>
    </row>
    <row r="4951" ht="15.75" customHeight="1">
      <c r="A4951" s="394"/>
      <c r="B4951" s="395"/>
      <c r="C4951" s="395"/>
      <c r="D4951" s="396"/>
      <c r="E4951" s="397"/>
      <c r="F4951" s="395"/>
      <c r="G4951" s="395"/>
      <c r="H4951" s="397"/>
      <c r="I4951" s="395"/>
      <c r="J4951" s="395"/>
      <c r="K4951" s="397"/>
      <c r="L4951" s="395"/>
      <c r="M4951" s="395"/>
      <c r="N4951" s="395"/>
      <c r="O4951" s="397"/>
      <c r="P4951" s="395"/>
      <c r="Q4951" s="395"/>
      <c r="R4951" s="353"/>
      <c r="S4951" s="185"/>
      <c r="T4951" s="185"/>
      <c r="U4951" s="185"/>
      <c r="V4951" s="185"/>
      <c r="W4951" s="185"/>
      <c r="X4951" s="185"/>
      <c r="Y4951" s="284"/>
      <c r="Z4951" s="284"/>
      <c r="AA4951" s="284"/>
      <c r="AB4951" s="284"/>
      <c r="AC4951" s="284"/>
      <c r="AD4951" s="284"/>
      <c r="AE4951" s="284"/>
      <c r="AF4951" s="284"/>
      <c r="AG4951" s="284"/>
      <c r="AH4951" s="284"/>
      <c r="AI4951" s="284"/>
      <c r="AJ4951" s="284"/>
      <c r="AK4951" s="284"/>
      <c r="AL4951" s="284"/>
    </row>
    <row r="4952" ht="15.75" customHeight="1">
      <c r="A4952" s="394"/>
      <c r="B4952" s="395"/>
      <c r="C4952" s="395"/>
      <c r="D4952" s="396"/>
      <c r="E4952" s="397"/>
      <c r="F4952" s="395"/>
      <c r="G4952" s="395"/>
      <c r="H4952" s="397"/>
      <c r="I4952" s="395"/>
      <c r="J4952" s="395"/>
      <c r="K4952" s="397"/>
      <c r="L4952" s="395"/>
      <c r="M4952" s="395"/>
      <c r="N4952" s="395"/>
      <c r="O4952" s="397"/>
      <c r="P4952" s="395"/>
      <c r="Q4952" s="395"/>
      <c r="R4952" s="353"/>
      <c r="S4952" s="185"/>
      <c r="T4952" s="185"/>
      <c r="U4952" s="185"/>
      <c r="V4952" s="185"/>
      <c r="W4952" s="185"/>
      <c r="X4952" s="185"/>
      <c r="Y4952" s="284"/>
      <c r="Z4952" s="284"/>
      <c r="AA4952" s="284"/>
      <c r="AB4952" s="284"/>
      <c r="AC4952" s="284"/>
      <c r="AD4952" s="284"/>
      <c r="AE4952" s="284"/>
      <c r="AF4952" s="284"/>
      <c r="AG4952" s="284"/>
      <c r="AH4952" s="284"/>
      <c r="AI4952" s="284"/>
      <c r="AJ4952" s="284"/>
      <c r="AK4952" s="284"/>
      <c r="AL4952" s="284"/>
    </row>
    <row r="4953" ht="15.75" customHeight="1">
      <c r="A4953" s="394"/>
      <c r="B4953" s="395"/>
      <c r="C4953" s="395"/>
      <c r="D4953" s="396"/>
      <c r="E4953" s="397"/>
      <c r="F4953" s="395"/>
      <c r="G4953" s="395"/>
      <c r="H4953" s="397"/>
      <c r="I4953" s="395"/>
      <c r="J4953" s="395"/>
      <c r="K4953" s="397"/>
      <c r="L4953" s="395"/>
      <c r="M4953" s="395"/>
      <c r="N4953" s="395"/>
      <c r="O4953" s="397"/>
      <c r="P4953" s="395"/>
      <c r="Q4953" s="395"/>
      <c r="R4953" s="353"/>
      <c r="S4953" s="185"/>
      <c r="T4953" s="185"/>
      <c r="U4953" s="185"/>
      <c r="V4953" s="185"/>
      <c r="W4953" s="185"/>
      <c r="X4953" s="185"/>
      <c r="Y4953" s="284"/>
      <c r="Z4953" s="284"/>
      <c r="AA4953" s="284"/>
      <c r="AB4953" s="284"/>
      <c r="AC4953" s="284"/>
      <c r="AD4953" s="284"/>
      <c r="AE4953" s="284"/>
      <c r="AF4953" s="284"/>
      <c r="AG4953" s="284"/>
      <c r="AH4953" s="284"/>
      <c r="AI4953" s="284"/>
      <c r="AJ4953" s="284"/>
      <c r="AK4953" s="284"/>
      <c r="AL4953" s="284"/>
    </row>
    <row r="4954" ht="15.75" customHeight="1">
      <c r="A4954" s="394"/>
      <c r="B4954" s="395"/>
      <c r="C4954" s="395"/>
      <c r="D4954" s="396"/>
      <c r="E4954" s="397"/>
      <c r="F4954" s="395"/>
      <c r="G4954" s="395"/>
      <c r="H4954" s="397"/>
      <c r="I4954" s="395"/>
      <c r="J4954" s="395"/>
      <c r="K4954" s="397"/>
      <c r="L4954" s="395"/>
      <c r="M4954" s="395"/>
      <c r="N4954" s="395"/>
      <c r="O4954" s="397"/>
      <c r="P4954" s="395"/>
      <c r="Q4954" s="395"/>
      <c r="R4954" s="353"/>
      <c r="S4954" s="185"/>
      <c r="T4954" s="185"/>
      <c r="U4954" s="185"/>
      <c r="V4954" s="185"/>
      <c r="W4954" s="185"/>
      <c r="X4954" s="185"/>
      <c r="Y4954" s="284"/>
      <c r="Z4954" s="284"/>
      <c r="AA4954" s="284"/>
      <c r="AB4954" s="284"/>
      <c r="AC4954" s="284"/>
      <c r="AD4954" s="284"/>
      <c r="AE4954" s="284"/>
      <c r="AF4954" s="284"/>
      <c r="AG4954" s="284"/>
      <c r="AH4954" s="284"/>
      <c r="AI4954" s="284"/>
      <c r="AJ4954" s="284"/>
      <c r="AK4954" s="284"/>
      <c r="AL4954" s="284"/>
    </row>
    <row r="4955" ht="15.75" customHeight="1">
      <c r="A4955" s="394"/>
      <c r="B4955" s="395"/>
      <c r="C4955" s="395"/>
      <c r="D4955" s="396"/>
      <c r="E4955" s="397"/>
      <c r="F4955" s="395"/>
      <c r="G4955" s="395"/>
      <c r="H4955" s="397"/>
      <c r="I4955" s="395"/>
      <c r="J4955" s="395"/>
      <c r="K4955" s="397"/>
      <c r="L4955" s="395"/>
      <c r="M4955" s="395"/>
      <c r="N4955" s="395"/>
      <c r="O4955" s="397"/>
      <c r="P4955" s="395"/>
      <c r="Q4955" s="395"/>
      <c r="R4955" s="353"/>
      <c r="S4955" s="185"/>
      <c r="T4955" s="185"/>
      <c r="U4955" s="185"/>
      <c r="V4955" s="185"/>
      <c r="W4955" s="185"/>
      <c r="X4955" s="185"/>
      <c r="Y4955" s="284"/>
      <c r="Z4955" s="284"/>
      <c r="AA4955" s="284"/>
      <c r="AB4955" s="284"/>
      <c r="AC4955" s="284"/>
      <c r="AD4955" s="284"/>
      <c r="AE4955" s="284"/>
      <c r="AF4955" s="284"/>
      <c r="AG4955" s="284"/>
      <c r="AH4955" s="284"/>
      <c r="AI4955" s="284"/>
      <c r="AJ4955" s="284"/>
      <c r="AK4955" s="284"/>
      <c r="AL4955" s="284"/>
    </row>
    <row r="4956" ht="15.75" customHeight="1">
      <c r="A4956" s="394"/>
      <c r="B4956" s="395"/>
      <c r="C4956" s="395"/>
      <c r="D4956" s="396"/>
      <c r="E4956" s="397"/>
      <c r="F4956" s="395"/>
      <c r="G4956" s="395"/>
      <c r="H4956" s="397"/>
      <c r="I4956" s="395"/>
      <c r="J4956" s="395"/>
      <c r="K4956" s="397"/>
      <c r="L4956" s="395"/>
      <c r="M4956" s="395"/>
      <c r="N4956" s="395"/>
      <c r="O4956" s="397"/>
      <c r="P4956" s="395"/>
      <c r="Q4956" s="395"/>
      <c r="R4956" s="353"/>
      <c r="S4956" s="185"/>
      <c r="T4956" s="185"/>
      <c r="U4956" s="185"/>
      <c r="V4956" s="185"/>
      <c r="W4956" s="185"/>
      <c r="X4956" s="185"/>
      <c r="Y4956" s="284"/>
      <c r="Z4956" s="284"/>
      <c r="AA4956" s="284"/>
      <c r="AB4956" s="284"/>
      <c r="AC4956" s="284"/>
      <c r="AD4956" s="284"/>
      <c r="AE4956" s="284"/>
      <c r="AF4956" s="284"/>
      <c r="AG4956" s="284"/>
      <c r="AH4956" s="284"/>
      <c r="AI4956" s="284"/>
      <c r="AJ4956" s="284"/>
      <c r="AK4956" s="284"/>
      <c r="AL4956" s="284"/>
    </row>
    <row r="4957" ht="15.75" customHeight="1">
      <c r="A4957" s="394"/>
      <c r="B4957" s="395"/>
      <c r="C4957" s="395"/>
      <c r="D4957" s="396"/>
      <c r="E4957" s="397"/>
      <c r="F4957" s="395"/>
      <c r="G4957" s="395"/>
      <c r="H4957" s="397"/>
      <c r="I4957" s="395"/>
      <c r="J4957" s="395"/>
      <c r="K4957" s="397"/>
      <c r="L4957" s="395"/>
      <c r="M4957" s="395"/>
      <c r="N4957" s="395"/>
      <c r="O4957" s="397"/>
      <c r="P4957" s="395"/>
      <c r="Q4957" s="395"/>
      <c r="R4957" s="353"/>
      <c r="S4957" s="185"/>
      <c r="T4957" s="185"/>
      <c r="U4957" s="185"/>
      <c r="V4957" s="185"/>
      <c r="W4957" s="185"/>
      <c r="X4957" s="185"/>
      <c r="Y4957" s="284"/>
      <c r="Z4957" s="284"/>
      <c r="AA4957" s="284"/>
      <c r="AB4957" s="284"/>
      <c r="AC4957" s="284"/>
      <c r="AD4957" s="284"/>
      <c r="AE4957" s="284"/>
      <c r="AF4957" s="284"/>
      <c r="AG4957" s="284"/>
      <c r="AH4957" s="284"/>
      <c r="AI4957" s="284"/>
      <c r="AJ4957" s="284"/>
      <c r="AK4957" s="284"/>
      <c r="AL4957" s="284"/>
    </row>
    <row r="4958" ht="15.75" customHeight="1">
      <c r="A4958" s="394"/>
      <c r="B4958" s="395"/>
      <c r="C4958" s="395"/>
      <c r="D4958" s="396"/>
      <c r="E4958" s="397"/>
      <c r="F4958" s="395"/>
      <c r="G4958" s="395"/>
      <c r="H4958" s="397"/>
      <c r="I4958" s="395"/>
      <c r="J4958" s="395"/>
      <c r="K4958" s="397"/>
      <c r="L4958" s="395"/>
      <c r="M4958" s="395"/>
      <c r="N4958" s="395"/>
      <c r="O4958" s="397"/>
      <c r="P4958" s="395"/>
      <c r="Q4958" s="395"/>
      <c r="R4958" s="353"/>
      <c r="S4958" s="185"/>
      <c r="T4958" s="185"/>
      <c r="U4958" s="185"/>
      <c r="V4958" s="185"/>
      <c r="W4958" s="185"/>
      <c r="X4958" s="185"/>
      <c r="Y4958" s="284"/>
      <c r="Z4958" s="284"/>
      <c r="AA4958" s="284"/>
      <c r="AB4958" s="284"/>
      <c r="AC4958" s="284"/>
      <c r="AD4958" s="284"/>
      <c r="AE4958" s="284"/>
      <c r="AF4958" s="284"/>
      <c r="AG4958" s="284"/>
      <c r="AH4958" s="284"/>
      <c r="AI4958" s="284"/>
      <c r="AJ4958" s="284"/>
      <c r="AK4958" s="284"/>
      <c r="AL4958" s="284"/>
    </row>
    <row r="4959" ht="15.75" customHeight="1">
      <c r="A4959" s="394"/>
      <c r="B4959" s="395"/>
      <c r="C4959" s="395"/>
      <c r="D4959" s="396"/>
      <c r="E4959" s="397"/>
      <c r="F4959" s="395"/>
      <c r="G4959" s="395"/>
      <c r="H4959" s="397"/>
      <c r="I4959" s="395"/>
      <c r="J4959" s="395"/>
      <c r="K4959" s="397"/>
      <c r="L4959" s="395"/>
      <c r="M4959" s="395"/>
      <c r="N4959" s="395"/>
      <c r="O4959" s="397"/>
      <c r="P4959" s="395"/>
      <c r="Q4959" s="395"/>
      <c r="R4959" s="353"/>
      <c r="S4959" s="185"/>
      <c r="T4959" s="185"/>
      <c r="U4959" s="185"/>
      <c r="V4959" s="185"/>
      <c r="W4959" s="185"/>
      <c r="X4959" s="185"/>
      <c r="Y4959" s="284"/>
      <c r="Z4959" s="284"/>
      <c r="AA4959" s="284"/>
      <c r="AB4959" s="284"/>
      <c r="AC4959" s="284"/>
      <c r="AD4959" s="284"/>
      <c r="AE4959" s="284"/>
      <c r="AF4959" s="284"/>
      <c r="AG4959" s="284"/>
      <c r="AH4959" s="284"/>
      <c r="AI4959" s="284"/>
      <c r="AJ4959" s="284"/>
      <c r="AK4959" s="284"/>
      <c r="AL4959" s="284"/>
    </row>
    <row r="4960" ht="15.75" customHeight="1">
      <c r="A4960" s="394"/>
      <c r="B4960" s="395"/>
      <c r="C4960" s="395"/>
      <c r="D4960" s="396"/>
      <c r="E4960" s="397"/>
      <c r="F4960" s="395"/>
      <c r="G4960" s="395"/>
      <c r="H4960" s="397"/>
      <c r="I4960" s="395"/>
      <c r="J4960" s="395"/>
      <c r="K4960" s="397"/>
      <c r="L4960" s="395"/>
      <c r="M4960" s="395"/>
      <c r="N4960" s="395"/>
      <c r="O4960" s="397"/>
      <c r="P4960" s="395"/>
      <c r="Q4960" s="395"/>
      <c r="R4960" s="353"/>
      <c r="S4960" s="185"/>
      <c r="T4960" s="185"/>
      <c r="U4960" s="185"/>
      <c r="V4960" s="185"/>
      <c r="W4960" s="185"/>
      <c r="X4960" s="185"/>
      <c r="Y4960" s="284"/>
      <c r="Z4960" s="284"/>
      <c r="AA4960" s="284"/>
      <c r="AB4960" s="284"/>
      <c r="AC4960" s="284"/>
      <c r="AD4960" s="284"/>
      <c r="AE4960" s="284"/>
      <c r="AF4960" s="284"/>
      <c r="AG4960" s="284"/>
      <c r="AH4960" s="284"/>
      <c r="AI4960" s="284"/>
      <c r="AJ4960" s="284"/>
      <c r="AK4960" s="284"/>
      <c r="AL4960" s="284"/>
    </row>
    <row r="4961" ht="15.75" customHeight="1">
      <c r="A4961" s="394"/>
      <c r="B4961" s="395"/>
      <c r="C4961" s="395"/>
      <c r="D4961" s="396"/>
      <c r="E4961" s="397"/>
      <c r="F4961" s="395"/>
      <c r="G4961" s="395"/>
      <c r="H4961" s="397"/>
      <c r="I4961" s="395"/>
      <c r="J4961" s="395"/>
      <c r="K4961" s="397"/>
      <c r="L4961" s="395"/>
      <c r="M4961" s="395"/>
      <c r="N4961" s="395"/>
      <c r="O4961" s="397"/>
      <c r="P4961" s="395"/>
      <c r="Q4961" s="395"/>
      <c r="R4961" s="353"/>
      <c r="S4961" s="185"/>
      <c r="T4961" s="185"/>
      <c r="U4961" s="185"/>
      <c r="V4961" s="185"/>
      <c r="W4961" s="185"/>
      <c r="X4961" s="185"/>
      <c r="Y4961" s="284"/>
      <c r="Z4961" s="284"/>
      <c r="AA4961" s="284"/>
      <c r="AB4961" s="284"/>
      <c r="AC4961" s="284"/>
      <c r="AD4961" s="284"/>
      <c r="AE4961" s="284"/>
      <c r="AF4961" s="284"/>
      <c r="AG4961" s="284"/>
      <c r="AH4961" s="284"/>
      <c r="AI4961" s="284"/>
      <c r="AJ4961" s="284"/>
      <c r="AK4961" s="284"/>
      <c r="AL4961" s="284"/>
    </row>
    <row r="4962" ht="15.75" customHeight="1">
      <c r="A4962" s="394"/>
      <c r="B4962" s="395"/>
      <c r="C4962" s="395"/>
      <c r="D4962" s="396"/>
      <c r="E4962" s="397"/>
      <c r="F4962" s="395"/>
      <c r="G4962" s="395"/>
      <c r="H4962" s="397"/>
      <c r="I4962" s="395"/>
      <c r="J4962" s="395"/>
      <c r="K4962" s="397"/>
      <c r="L4962" s="395"/>
      <c r="M4962" s="395"/>
      <c r="N4962" s="395"/>
      <c r="O4962" s="397"/>
      <c r="P4962" s="395"/>
      <c r="Q4962" s="395"/>
      <c r="R4962" s="353"/>
      <c r="S4962" s="185"/>
      <c r="T4962" s="185"/>
      <c r="U4962" s="185"/>
      <c r="V4962" s="185"/>
      <c r="W4962" s="185"/>
      <c r="X4962" s="185"/>
      <c r="Y4962" s="284"/>
      <c r="Z4962" s="284"/>
      <c r="AA4962" s="284"/>
      <c r="AB4962" s="284"/>
      <c r="AC4962" s="284"/>
      <c r="AD4962" s="284"/>
      <c r="AE4962" s="284"/>
      <c r="AF4962" s="284"/>
      <c r="AG4962" s="284"/>
      <c r="AH4962" s="284"/>
      <c r="AI4962" s="284"/>
      <c r="AJ4962" s="284"/>
      <c r="AK4962" s="284"/>
      <c r="AL4962" s="284"/>
    </row>
    <row r="4963" ht="15.75" customHeight="1">
      <c r="A4963" s="394"/>
      <c r="B4963" s="395"/>
      <c r="C4963" s="395"/>
      <c r="D4963" s="396"/>
      <c r="E4963" s="397"/>
      <c r="F4963" s="395"/>
      <c r="G4963" s="395"/>
      <c r="H4963" s="397"/>
      <c r="I4963" s="395"/>
      <c r="J4963" s="395"/>
      <c r="K4963" s="397"/>
      <c r="L4963" s="395"/>
      <c r="M4963" s="395"/>
      <c r="N4963" s="395"/>
      <c r="O4963" s="397"/>
      <c r="P4963" s="395"/>
      <c r="Q4963" s="395"/>
      <c r="R4963" s="353"/>
      <c r="S4963" s="185"/>
      <c r="T4963" s="185"/>
      <c r="U4963" s="185"/>
      <c r="V4963" s="185"/>
      <c r="W4963" s="185"/>
      <c r="X4963" s="185"/>
      <c r="Y4963" s="284"/>
      <c r="Z4963" s="284"/>
      <c r="AA4963" s="284"/>
      <c r="AB4963" s="284"/>
      <c r="AC4963" s="284"/>
      <c r="AD4963" s="284"/>
      <c r="AE4963" s="284"/>
      <c r="AF4963" s="284"/>
      <c r="AG4963" s="284"/>
      <c r="AH4963" s="284"/>
      <c r="AI4963" s="284"/>
      <c r="AJ4963" s="284"/>
      <c r="AK4963" s="284"/>
      <c r="AL4963" s="284"/>
    </row>
    <row r="4964" ht="15.75" customHeight="1">
      <c r="A4964" s="394"/>
      <c r="B4964" s="395"/>
      <c r="C4964" s="395"/>
      <c r="D4964" s="396"/>
      <c r="E4964" s="397"/>
      <c r="F4964" s="395"/>
      <c r="G4964" s="395"/>
      <c r="H4964" s="397"/>
      <c r="I4964" s="395"/>
      <c r="J4964" s="395"/>
      <c r="K4964" s="397"/>
      <c r="L4964" s="395"/>
      <c r="M4964" s="395"/>
      <c r="N4964" s="395"/>
      <c r="O4964" s="397"/>
      <c r="P4964" s="395"/>
      <c r="Q4964" s="395"/>
      <c r="R4964" s="353"/>
      <c r="S4964" s="185"/>
      <c r="T4964" s="185"/>
      <c r="U4964" s="185"/>
      <c r="V4964" s="185"/>
      <c r="W4964" s="185"/>
      <c r="X4964" s="185"/>
      <c r="Y4964" s="284"/>
      <c r="Z4964" s="284"/>
      <c r="AA4964" s="284"/>
      <c r="AB4964" s="284"/>
      <c r="AC4964" s="284"/>
      <c r="AD4964" s="284"/>
      <c r="AE4964" s="284"/>
      <c r="AF4964" s="284"/>
      <c r="AG4964" s="284"/>
      <c r="AH4964" s="284"/>
      <c r="AI4964" s="284"/>
      <c r="AJ4964" s="284"/>
      <c r="AK4964" s="284"/>
      <c r="AL4964" s="284"/>
    </row>
    <row r="4965" ht="15.75" customHeight="1">
      <c r="A4965" s="394"/>
      <c r="B4965" s="395"/>
      <c r="C4965" s="395"/>
      <c r="D4965" s="396"/>
      <c r="E4965" s="397"/>
      <c r="F4965" s="395"/>
      <c r="G4965" s="395"/>
      <c r="H4965" s="397"/>
      <c r="I4965" s="395"/>
      <c r="J4965" s="395"/>
      <c r="K4965" s="397"/>
      <c r="L4965" s="395"/>
      <c r="M4965" s="395"/>
      <c r="N4965" s="395"/>
      <c r="O4965" s="397"/>
      <c r="P4965" s="395"/>
      <c r="Q4965" s="395"/>
      <c r="R4965" s="353"/>
      <c r="S4965" s="185"/>
      <c r="T4965" s="185"/>
      <c r="U4965" s="185"/>
      <c r="V4965" s="185"/>
      <c r="W4965" s="185"/>
      <c r="X4965" s="185"/>
      <c r="Y4965" s="284"/>
      <c r="Z4965" s="284"/>
      <c r="AA4965" s="284"/>
      <c r="AB4965" s="284"/>
      <c r="AC4965" s="284"/>
      <c r="AD4965" s="284"/>
      <c r="AE4965" s="284"/>
      <c r="AF4965" s="284"/>
      <c r="AG4965" s="284"/>
      <c r="AH4965" s="284"/>
      <c r="AI4965" s="284"/>
      <c r="AJ4965" s="284"/>
      <c r="AK4965" s="284"/>
      <c r="AL4965" s="284"/>
    </row>
    <row r="4966" ht="15.75" customHeight="1">
      <c r="A4966" s="394"/>
      <c r="B4966" s="395"/>
      <c r="C4966" s="395"/>
      <c r="D4966" s="396"/>
      <c r="E4966" s="397"/>
      <c r="F4966" s="395"/>
      <c r="G4966" s="395"/>
      <c r="H4966" s="397"/>
      <c r="I4966" s="395"/>
      <c r="J4966" s="395"/>
      <c r="K4966" s="397"/>
      <c r="L4966" s="395"/>
      <c r="M4966" s="395"/>
      <c r="N4966" s="395"/>
      <c r="O4966" s="397"/>
      <c r="P4966" s="395"/>
      <c r="Q4966" s="395"/>
      <c r="R4966" s="353"/>
      <c r="S4966" s="185"/>
      <c r="T4966" s="185"/>
      <c r="U4966" s="185"/>
      <c r="V4966" s="185"/>
      <c r="W4966" s="185"/>
      <c r="X4966" s="185"/>
      <c r="Y4966" s="284"/>
      <c r="Z4966" s="284"/>
      <c r="AA4966" s="284"/>
      <c r="AB4966" s="284"/>
      <c r="AC4966" s="284"/>
      <c r="AD4966" s="284"/>
      <c r="AE4966" s="284"/>
      <c r="AF4966" s="284"/>
      <c r="AG4966" s="284"/>
      <c r="AH4966" s="284"/>
      <c r="AI4966" s="284"/>
      <c r="AJ4966" s="284"/>
      <c r="AK4966" s="284"/>
      <c r="AL4966" s="284"/>
    </row>
    <row r="4967" ht="15.75" customHeight="1">
      <c r="A4967" s="394"/>
      <c r="B4967" s="395"/>
      <c r="C4967" s="395"/>
      <c r="D4967" s="396"/>
      <c r="E4967" s="397"/>
      <c r="F4967" s="395"/>
      <c r="G4967" s="395"/>
      <c r="H4967" s="397"/>
      <c r="I4967" s="395"/>
      <c r="J4967" s="395"/>
      <c r="K4967" s="397"/>
      <c r="L4967" s="395"/>
      <c r="M4967" s="395"/>
      <c r="N4967" s="395"/>
      <c r="O4967" s="397"/>
      <c r="P4967" s="395"/>
      <c r="Q4967" s="395"/>
      <c r="R4967" s="353"/>
      <c r="S4967" s="185"/>
      <c r="T4967" s="185"/>
      <c r="U4967" s="185"/>
      <c r="V4967" s="185"/>
      <c r="W4967" s="185"/>
      <c r="X4967" s="185"/>
      <c r="Y4967" s="284"/>
      <c r="Z4967" s="284"/>
      <c r="AA4967" s="284"/>
      <c r="AB4967" s="284"/>
      <c r="AC4967" s="284"/>
      <c r="AD4967" s="284"/>
      <c r="AE4967" s="284"/>
      <c r="AF4967" s="284"/>
      <c r="AG4967" s="284"/>
      <c r="AH4967" s="284"/>
      <c r="AI4967" s="284"/>
      <c r="AJ4967" s="284"/>
      <c r="AK4967" s="284"/>
      <c r="AL4967" s="284"/>
    </row>
    <row r="4968" ht="15.75" customHeight="1">
      <c r="A4968" s="394"/>
      <c r="B4968" s="395"/>
      <c r="C4968" s="395"/>
      <c r="D4968" s="396"/>
      <c r="E4968" s="397"/>
      <c r="F4968" s="395"/>
      <c r="G4968" s="395"/>
      <c r="H4968" s="397"/>
      <c r="I4968" s="395"/>
      <c r="J4968" s="395"/>
      <c r="K4968" s="397"/>
      <c r="L4968" s="395"/>
      <c r="M4968" s="395"/>
      <c r="N4968" s="395"/>
      <c r="O4968" s="397"/>
      <c r="P4968" s="395"/>
      <c r="Q4968" s="395"/>
      <c r="R4968" s="353"/>
      <c r="S4968" s="185"/>
      <c r="T4968" s="185"/>
      <c r="U4968" s="185"/>
      <c r="V4968" s="185"/>
      <c r="W4968" s="185"/>
      <c r="X4968" s="185"/>
      <c r="Y4968" s="284"/>
      <c r="Z4968" s="284"/>
      <c r="AA4968" s="284"/>
      <c r="AB4968" s="284"/>
      <c r="AC4968" s="284"/>
      <c r="AD4968" s="284"/>
      <c r="AE4968" s="284"/>
      <c r="AF4968" s="284"/>
      <c r="AG4968" s="284"/>
      <c r="AH4968" s="284"/>
      <c r="AI4968" s="284"/>
      <c r="AJ4968" s="284"/>
      <c r="AK4968" s="284"/>
      <c r="AL4968" s="284"/>
    </row>
    <row r="4969" ht="15.75" customHeight="1">
      <c r="A4969" s="394"/>
      <c r="B4969" s="395"/>
      <c r="C4969" s="395"/>
      <c r="D4969" s="396"/>
      <c r="E4969" s="397"/>
      <c r="F4969" s="395"/>
      <c r="G4969" s="395"/>
      <c r="H4969" s="397"/>
      <c r="I4969" s="395"/>
      <c r="J4969" s="395"/>
      <c r="K4969" s="397"/>
      <c r="L4969" s="395"/>
      <c r="M4969" s="395"/>
      <c r="N4969" s="395"/>
      <c r="O4969" s="397"/>
      <c r="P4969" s="395"/>
      <c r="Q4969" s="395"/>
      <c r="R4969" s="353"/>
      <c r="S4969" s="185"/>
      <c r="T4969" s="185"/>
      <c r="U4969" s="185"/>
      <c r="V4969" s="185"/>
      <c r="W4969" s="185"/>
      <c r="X4969" s="185"/>
      <c r="Y4969" s="284"/>
      <c r="Z4969" s="284"/>
      <c r="AA4969" s="284"/>
      <c r="AB4969" s="284"/>
      <c r="AC4969" s="284"/>
      <c r="AD4969" s="284"/>
      <c r="AE4969" s="284"/>
      <c r="AF4969" s="284"/>
      <c r="AG4969" s="284"/>
      <c r="AH4969" s="284"/>
      <c r="AI4969" s="284"/>
      <c r="AJ4969" s="284"/>
      <c r="AK4969" s="284"/>
      <c r="AL4969" s="284"/>
    </row>
    <row r="4970" ht="15.75" customHeight="1">
      <c r="A4970" s="394"/>
      <c r="B4970" s="395"/>
      <c r="C4970" s="395"/>
      <c r="D4970" s="396"/>
      <c r="E4970" s="397"/>
      <c r="F4970" s="395"/>
      <c r="G4970" s="395"/>
      <c r="H4970" s="397"/>
      <c r="I4970" s="395"/>
      <c r="J4970" s="395"/>
      <c r="K4970" s="397"/>
      <c r="L4970" s="395"/>
      <c r="M4970" s="395"/>
      <c r="N4970" s="395"/>
      <c r="O4970" s="397"/>
      <c r="P4970" s="395"/>
      <c r="Q4970" s="395"/>
      <c r="R4970" s="353"/>
      <c r="S4970" s="185"/>
      <c r="T4970" s="185"/>
      <c r="U4970" s="185"/>
      <c r="V4970" s="185"/>
      <c r="W4970" s="185"/>
      <c r="X4970" s="185"/>
      <c r="Y4970" s="284"/>
      <c r="Z4970" s="284"/>
      <c r="AA4970" s="284"/>
      <c r="AB4970" s="284"/>
      <c r="AC4970" s="284"/>
      <c r="AD4970" s="284"/>
      <c r="AE4970" s="284"/>
      <c r="AF4970" s="284"/>
      <c r="AG4970" s="284"/>
      <c r="AH4970" s="284"/>
      <c r="AI4970" s="284"/>
      <c r="AJ4970" s="284"/>
      <c r="AK4970" s="284"/>
      <c r="AL4970" s="284"/>
    </row>
    <row r="4971" ht="15.75" customHeight="1">
      <c r="A4971" s="394"/>
      <c r="B4971" s="395"/>
      <c r="C4971" s="395"/>
      <c r="D4971" s="396"/>
      <c r="E4971" s="397"/>
      <c r="F4971" s="395"/>
      <c r="G4971" s="395"/>
      <c r="H4971" s="397"/>
      <c r="I4971" s="395"/>
      <c r="J4971" s="395"/>
      <c r="K4971" s="397"/>
      <c r="L4971" s="395"/>
      <c r="M4971" s="395"/>
      <c r="N4971" s="395"/>
      <c r="O4971" s="397"/>
      <c r="P4971" s="395"/>
      <c r="Q4971" s="395"/>
      <c r="R4971" s="353"/>
      <c r="S4971" s="185"/>
      <c r="T4971" s="185"/>
      <c r="U4971" s="185"/>
      <c r="V4971" s="185"/>
      <c r="W4971" s="185"/>
      <c r="X4971" s="185"/>
      <c r="Y4971" s="284"/>
      <c r="Z4971" s="284"/>
      <c r="AA4971" s="284"/>
      <c r="AB4971" s="284"/>
      <c r="AC4971" s="284"/>
      <c r="AD4971" s="284"/>
      <c r="AE4971" s="284"/>
      <c r="AF4971" s="284"/>
      <c r="AG4971" s="284"/>
      <c r="AH4971" s="284"/>
      <c r="AI4971" s="284"/>
      <c r="AJ4971" s="284"/>
      <c r="AK4971" s="284"/>
      <c r="AL4971" s="284"/>
    </row>
    <row r="4972" ht="15.75" customHeight="1">
      <c r="A4972" s="394"/>
      <c r="B4972" s="395"/>
      <c r="C4972" s="395"/>
      <c r="D4972" s="396"/>
      <c r="E4972" s="397"/>
      <c r="F4972" s="395"/>
      <c r="G4972" s="395"/>
      <c r="H4972" s="397"/>
      <c r="I4972" s="395"/>
      <c r="J4972" s="395"/>
      <c r="K4972" s="397"/>
      <c r="L4972" s="395"/>
      <c r="M4972" s="395"/>
      <c r="N4972" s="395"/>
      <c r="O4972" s="397"/>
      <c r="P4972" s="395"/>
      <c r="Q4972" s="395"/>
      <c r="R4972" s="353"/>
      <c r="S4972" s="185"/>
      <c r="T4972" s="185"/>
      <c r="U4972" s="185"/>
      <c r="V4972" s="185"/>
      <c r="W4972" s="185"/>
      <c r="X4972" s="185"/>
      <c r="Y4972" s="284"/>
      <c r="Z4972" s="284"/>
      <c r="AA4972" s="284"/>
      <c r="AB4972" s="284"/>
      <c r="AC4972" s="284"/>
      <c r="AD4972" s="284"/>
      <c r="AE4972" s="284"/>
      <c r="AF4972" s="284"/>
      <c r="AG4972" s="284"/>
      <c r="AH4972" s="284"/>
      <c r="AI4972" s="284"/>
      <c r="AJ4972" s="284"/>
      <c r="AK4972" s="284"/>
      <c r="AL4972" s="284"/>
    </row>
    <row r="4973" ht="15.75" customHeight="1">
      <c r="A4973" s="394"/>
      <c r="B4973" s="395"/>
      <c r="C4973" s="395"/>
      <c r="D4973" s="396"/>
      <c r="E4973" s="397"/>
      <c r="F4973" s="395"/>
      <c r="G4973" s="395"/>
      <c r="H4973" s="397"/>
      <c r="I4973" s="395"/>
      <c r="J4973" s="395"/>
      <c r="K4973" s="397"/>
      <c r="L4973" s="395"/>
      <c r="M4973" s="395"/>
      <c r="N4973" s="395"/>
      <c r="O4973" s="397"/>
      <c r="P4973" s="395"/>
      <c r="Q4973" s="395"/>
      <c r="R4973" s="353"/>
      <c r="S4973" s="185"/>
      <c r="T4973" s="185"/>
      <c r="U4973" s="185"/>
      <c r="V4973" s="185"/>
      <c r="W4973" s="185"/>
      <c r="X4973" s="185"/>
      <c r="Y4973" s="284"/>
      <c r="Z4973" s="284"/>
      <c r="AA4973" s="284"/>
      <c r="AB4973" s="284"/>
      <c r="AC4973" s="284"/>
      <c r="AD4973" s="284"/>
      <c r="AE4973" s="284"/>
      <c r="AF4973" s="284"/>
      <c r="AG4973" s="284"/>
      <c r="AH4973" s="284"/>
      <c r="AI4973" s="284"/>
      <c r="AJ4973" s="284"/>
      <c r="AK4973" s="284"/>
      <c r="AL4973" s="284"/>
    </row>
    <row r="4974" ht="15.75" customHeight="1">
      <c r="A4974" s="394"/>
      <c r="B4974" s="395"/>
      <c r="C4974" s="395"/>
      <c r="D4974" s="396"/>
      <c r="E4974" s="397"/>
      <c r="F4974" s="395"/>
      <c r="G4974" s="395"/>
      <c r="H4974" s="397"/>
      <c r="I4974" s="395"/>
      <c r="J4974" s="395"/>
      <c r="K4974" s="397"/>
      <c r="L4974" s="395"/>
      <c r="M4974" s="395"/>
      <c r="N4974" s="395"/>
      <c r="O4974" s="397"/>
      <c r="P4974" s="395"/>
      <c r="Q4974" s="395"/>
      <c r="R4974" s="353"/>
      <c r="S4974" s="185"/>
      <c r="T4974" s="185"/>
      <c r="U4974" s="185"/>
      <c r="V4974" s="185"/>
      <c r="W4974" s="185"/>
      <c r="X4974" s="185"/>
      <c r="Y4974" s="284"/>
      <c r="Z4974" s="284"/>
      <c r="AA4974" s="284"/>
      <c r="AB4974" s="284"/>
      <c r="AC4974" s="284"/>
      <c r="AD4974" s="284"/>
      <c r="AE4974" s="284"/>
      <c r="AF4974" s="284"/>
      <c r="AG4974" s="284"/>
      <c r="AH4974" s="284"/>
      <c r="AI4974" s="284"/>
      <c r="AJ4974" s="284"/>
      <c r="AK4974" s="284"/>
      <c r="AL4974" s="284"/>
    </row>
    <row r="4975" ht="15.75" customHeight="1">
      <c r="A4975" s="394"/>
      <c r="B4975" s="395"/>
      <c r="C4975" s="395"/>
      <c r="D4975" s="396"/>
      <c r="E4975" s="397"/>
      <c r="F4975" s="395"/>
      <c r="G4975" s="395"/>
      <c r="H4975" s="397"/>
      <c r="I4975" s="395"/>
      <c r="J4975" s="395"/>
      <c r="K4975" s="397"/>
      <c r="L4975" s="395"/>
      <c r="M4975" s="395"/>
      <c r="N4975" s="395"/>
      <c r="O4975" s="397"/>
      <c r="P4975" s="395"/>
      <c r="Q4975" s="395"/>
      <c r="R4975" s="353"/>
      <c r="S4975" s="185"/>
      <c r="T4975" s="185"/>
      <c r="U4975" s="185"/>
      <c r="V4975" s="185"/>
      <c r="W4975" s="185"/>
      <c r="X4975" s="185"/>
      <c r="Y4975" s="284"/>
      <c r="Z4975" s="284"/>
      <c r="AA4975" s="284"/>
      <c r="AB4975" s="284"/>
      <c r="AC4975" s="284"/>
      <c r="AD4975" s="284"/>
      <c r="AE4975" s="284"/>
      <c r="AF4975" s="284"/>
      <c r="AG4975" s="284"/>
      <c r="AH4975" s="284"/>
      <c r="AI4975" s="284"/>
      <c r="AJ4975" s="284"/>
      <c r="AK4975" s="284"/>
      <c r="AL4975" s="284"/>
    </row>
    <row r="4976" ht="15.75" customHeight="1">
      <c r="A4976" s="394"/>
      <c r="B4976" s="395"/>
      <c r="C4976" s="395"/>
      <c r="D4976" s="396"/>
      <c r="E4976" s="397"/>
      <c r="F4976" s="395"/>
      <c r="G4976" s="395"/>
      <c r="H4976" s="397"/>
      <c r="I4976" s="395"/>
      <c r="J4976" s="395"/>
      <c r="K4976" s="397"/>
      <c r="L4976" s="395"/>
      <c r="M4976" s="395"/>
      <c r="N4976" s="395"/>
      <c r="O4976" s="397"/>
      <c r="P4976" s="395"/>
      <c r="Q4976" s="395"/>
      <c r="R4976" s="353"/>
      <c r="S4976" s="185"/>
      <c r="T4976" s="185"/>
      <c r="U4976" s="185"/>
      <c r="V4976" s="185"/>
      <c r="W4976" s="185"/>
      <c r="X4976" s="185"/>
      <c r="Y4976" s="284"/>
      <c r="Z4976" s="284"/>
      <c r="AA4976" s="284"/>
      <c r="AB4976" s="284"/>
      <c r="AC4976" s="284"/>
      <c r="AD4976" s="284"/>
      <c r="AE4976" s="284"/>
      <c r="AF4976" s="284"/>
      <c r="AG4976" s="284"/>
      <c r="AH4976" s="284"/>
      <c r="AI4976" s="284"/>
      <c r="AJ4976" s="284"/>
      <c r="AK4976" s="284"/>
      <c r="AL4976" s="284"/>
    </row>
    <row r="4977" ht="15.75" customHeight="1">
      <c r="A4977" s="394"/>
      <c r="B4977" s="395"/>
      <c r="C4977" s="395"/>
      <c r="D4977" s="396"/>
      <c r="E4977" s="397"/>
      <c r="F4977" s="395"/>
      <c r="G4977" s="395"/>
      <c r="H4977" s="397"/>
      <c r="I4977" s="395"/>
      <c r="J4977" s="395"/>
      <c r="K4977" s="397"/>
      <c r="L4977" s="395"/>
      <c r="M4977" s="395"/>
      <c r="N4977" s="395"/>
      <c r="O4977" s="397"/>
      <c r="P4977" s="395"/>
      <c r="Q4977" s="395"/>
      <c r="R4977" s="353"/>
      <c r="S4977" s="185"/>
      <c r="T4977" s="185"/>
      <c r="U4977" s="185"/>
      <c r="V4977" s="185"/>
      <c r="W4977" s="185"/>
      <c r="X4977" s="185"/>
      <c r="Y4977" s="284"/>
      <c r="Z4977" s="284"/>
      <c r="AA4977" s="284"/>
      <c r="AB4977" s="284"/>
      <c r="AC4977" s="284"/>
      <c r="AD4977" s="284"/>
      <c r="AE4977" s="284"/>
      <c r="AF4977" s="284"/>
      <c r="AG4977" s="284"/>
      <c r="AH4977" s="284"/>
      <c r="AI4977" s="284"/>
      <c r="AJ4977" s="284"/>
      <c r="AK4977" s="284"/>
      <c r="AL4977" s="284"/>
    </row>
    <row r="4978" ht="15.75" customHeight="1">
      <c r="A4978" s="394"/>
      <c r="B4978" s="395"/>
      <c r="C4978" s="395"/>
      <c r="D4978" s="396"/>
      <c r="E4978" s="397"/>
      <c r="F4978" s="395"/>
      <c r="G4978" s="395"/>
      <c r="H4978" s="397"/>
      <c r="I4978" s="395"/>
      <c r="J4978" s="395"/>
      <c r="K4978" s="397"/>
      <c r="L4978" s="395"/>
      <c r="M4978" s="395"/>
      <c r="N4978" s="395"/>
      <c r="O4978" s="397"/>
      <c r="P4978" s="395"/>
      <c r="Q4978" s="395"/>
      <c r="R4978" s="353"/>
      <c r="S4978" s="185"/>
      <c r="T4978" s="185"/>
      <c r="U4978" s="185"/>
      <c r="V4978" s="185"/>
      <c r="W4978" s="185"/>
      <c r="X4978" s="185"/>
      <c r="Y4978" s="284"/>
      <c r="Z4978" s="284"/>
      <c r="AA4978" s="284"/>
      <c r="AB4978" s="284"/>
      <c r="AC4978" s="284"/>
      <c r="AD4978" s="284"/>
      <c r="AE4978" s="284"/>
      <c r="AF4978" s="284"/>
      <c r="AG4978" s="284"/>
      <c r="AH4978" s="284"/>
      <c r="AI4978" s="284"/>
      <c r="AJ4978" s="284"/>
      <c r="AK4978" s="284"/>
      <c r="AL4978" s="284"/>
    </row>
    <row r="4979" ht="15.75" customHeight="1">
      <c r="A4979" s="394"/>
      <c r="B4979" s="395"/>
      <c r="C4979" s="395"/>
      <c r="D4979" s="396"/>
      <c r="E4979" s="397"/>
      <c r="F4979" s="395"/>
      <c r="G4979" s="395"/>
      <c r="H4979" s="397"/>
      <c r="I4979" s="395"/>
      <c r="J4979" s="395"/>
      <c r="K4979" s="397"/>
      <c r="L4979" s="395"/>
      <c r="M4979" s="395"/>
      <c r="N4979" s="395"/>
      <c r="O4979" s="397"/>
      <c r="P4979" s="395"/>
      <c r="Q4979" s="395"/>
      <c r="R4979" s="353"/>
      <c r="S4979" s="185"/>
      <c r="T4979" s="185"/>
      <c r="U4979" s="185"/>
      <c r="V4979" s="185"/>
      <c r="W4979" s="185"/>
      <c r="X4979" s="185"/>
      <c r="Y4979" s="284"/>
      <c r="Z4979" s="284"/>
      <c r="AA4979" s="284"/>
      <c r="AB4979" s="284"/>
      <c r="AC4979" s="284"/>
      <c r="AD4979" s="284"/>
      <c r="AE4979" s="284"/>
      <c r="AF4979" s="284"/>
      <c r="AG4979" s="284"/>
      <c r="AH4979" s="284"/>
      <c r="AI4979" s="284"/>
      <c r="AJ4979" s="284"/>
      <c r="AK4979" s="284"/>
      <c r="AL4979" s="284"/>
    </row>
    <row r="4980" ht="15.75" customHeight="1">
      <c r="A4980" s="394"/>
      <c r="B4980" s="395"/>
      <c r="C4980" s="395"/>
      <c r="D4980" s="396"/>
      <c r="E4980" s="397"/>
      <c r="F4980" s="395"/>
      <c r="G4980" s="395"/>
      <c r="H4980" s="397"/>
      <c r="I4980" s="395"/>
      <c r="J4980" s="395"/>
      <c r="K4980" s="397"/>
      <c r="L4980" s="395"/>
      <c r="M4980" s="395"/>
      <c r="N4980" s="395"/>
      <c r="O4980" s="397"/>
      <c r="P4980" s="395"/>
      <c r="Q4980" s="395"/>
      <c r="R4980" s="353"/>
      <c r="S4980" s="185"/>
      <c r="T4980" s="185"/>
      <c r="U4980" s="185"/>
      <c r="V4980" s="185"/>
      <c r="W4980" s="185"/>
      <c r="X4980" s="185"/>
      <c r="Y4980" s="284"/>
      <c r="Z4980" s="284"/>
      <c r="AA4980" s="284"/>
      <c r="AB4980" s="284"/>
      <c r="AC4980" s="284"/>
      <c r="AD4980" s="284"/>
      <c r="AE4980" s="284"/>
      <c r="AF4980" s="284"/>
      <c r="AG4980" s="284"/>
      <c r="AH4980" s="284"/>
      <c r="AI4980" s="284"/>
      <c r="AJ4980" s="284"/>
      <c r="AK4980" s="284"/>
      <c r="AL4980" s="284"/>
    </row>
    <row r="4981" ht="15.75" customHeight="1">
      <c r="A4981" s="394"/>
      <c r="B4981" s="395"/>
      <c r="C4981" s="395"/>
      <c r="D4981" s="396"/>
      <c r="E4981" s="397"/>
      <c r="F4981" s="395"/>
      <c r="G4981" s="395"/>
      <c r="H4981" s="397"/>
      <c r="I4981" s="395"/>
      <c r="J4981" s="395"/>
      <c r="K4981" s="397"/>
      <c r="L4981" s="395"/>
      <c r="M4981" s="395"/>
      <c r="N4981" s="395"/>
      <c r="O4981" s="397"/>
      <c r="P4981" s="395"/>
      <c r="Q4981" s="395"/>
      <c r="R4981" s="353"/>
      <c r="S4981" s="185"/>
      <c r="T4981" s="185"/>
      <c r="U4981" s="185"/>
      <c r="V4981" s="185"/>
      <c r="W4981" s="185"/>
      <c r="X4981" s="185"/>
      <c r="Y4981" s="284"/>
      <c r="Z4981" s="284"/>
      <c r="AA4981" s="284"/>
      <c r="AB4981" s="284"/>
      <c r="AC4981" s="284"/>
      <c r="AD4981" s="284"/>
      <c r="AE4981" s="284"/>
      <c r="AF4981" s="284"/>
      <c r="AG4981" s="284"/>
      <c r="AH4981" s="284"/>
      <c r="AI4981" s="284"/>
      <c r="AJ4981" s="284"/>
      <c r="AK4981" s="284"/>
      <c r="AL4981" s="284"/>
    </row>
    <row r="4982" ht="15.75" customHeight="1">
      <c r="A4982" s="394"/>
      <c r="B4982" s="395"/>
      <c r="C4982" s="395"/>
      <c r="D4982" s="396"/>
      <c r="E4982" s="397"/>
      <c r="F4982" s="395"/>
      <c r="G4982" s="395"/>
      <c r="H4982" s="397"/>
      <c r="I4982" s="395"/>
      <c r="J4982" s="395"/>
      <c r="K4982" s="397"/>
      <c r="L4982" s="395"/>
      <c r="M4982" s="395"/>
      <c r="N4982" s="395"/>
      <c r="O4982" s="397"/>
      <c r="P4982" s="395"/>
      <c r="Q4982" s="395"/>
      <c r="R4982" s="353"/>
      <c r="S4982" s="185"/>
      <c r="T4982" s="185"/>
      <c r="U4982" s="185"/>
      <c r="V4982" s="185"/>
      <c r="W4982" s="185"/>
      <c r="X4982" s="185"/>
      <c r="Y4982" s="284"/>
      <c r="Z4982" s="284"/>
      <c r="AA4982" s="284"/>
      <c r="AB4982" s="284"/>
      <c r="AC4982" s="284"/>
      <c r="AD4982" s="284"/>
      <c r="AE4982" s="284"/>
      <c r="AF4982" s="284"/>
      <c r="AG4982" s="284"/>
      <c r="AH4982" s="284"/>
      <c r="AI4982" s="284"/>
      <c r="AJ4982" s="284"/>
      <c r="AK4982" s="284"/>
      <c r="AL4982" s="284"/>
    </row>
    <row r="4983" ht="15.75" customHeight="1">
      <c r="A4983" s="394"/>
      <c r="B4983" s="395"/>
      <c r="C4983" s="395"/>
      <c r="D4983" s="396"/>
      <c r="E4983" s="397"/>
      <c r="F4983" s="395"/>
      <c r="G4983" s="395"/>
      <c r="H4983" s="397"/>
      <c r="I4983" s="395"/>
      <c r="J4983" s="395"/>
      <c r="K4983" s="397"/>
      <c r="L4983" s="395"/>
      <c r="M4983" s="395"/>
      <c r="N4983" s="395"/>
      <c r="O4983" s="397"/>
      <c r="P4983" s="395"/>
      <c r="Q4983" s="395"/>
      <c r="R4983" s="353"/>
      <c r="S4983" s="185"/>
      <c r="T4983" s="185"/>
      <c r="U4983" s="185"/>
      <c r="V4983" s="185"/>
      <c r="W4983" s="185"/>
      <c r="X4983" s="185"/>
      <c r="Y4983" s="284"/>
      <c r="Z4983" s="284"/>
      <c r="AA4983" s="284"/>
      <c r="AB4983" s="284"/>
      <c r="AC4983" s="284"/>
      <c r="AD4983" s="284"/>
      <c r="AE4983" s="284"/>
      <c r="AF4983" s="284"/>
      <c r="AG4983" s="284"/>
      <c r="AH4983" s="284"/>
      <c r="AI4983" s="284"/>
      <c r="AJ4983" s="284"/>
      <c r="AK4983" s="284"/>
      <c r="AL4983" s="284"/>
    </row>
    <row r="4984" ht="15.75" customHeight="1">
      <c r="A4984" s="394"/>
      <c r="B4984" s="395"/>
      <c r="C4984" s="395"/>
      <c r="D4984" s="396"/>
      <c r="E4984" s="397"/>
      <c r="F4984" s="395"/>
      <c r="G4984" s="395"/>
      <c r="H4984" s="397"/>
      <c r="I4984" s="395"/>
      <c r="J4984" s="395"/>
      <c r="K4984" s="397"/>
      <c r="L4984" s="395"/>
      <c r="M4984" s="395"/>
      <c r="N4984" s="395"/>
      <c r="O4984" s="397"/>
      <c r="P4984" s="395"/>
      <c r="Q4984" s="395"/>
      <c r="R4984" s="353"/>
      <c r="S4984" s="185"/>
      <c r="T4984" s="185"/>
      <c r="U4984" s="185"/>
      <c r="V4984" s="185"/>
      <c r="W4984" s="185"/>
      <c r="X4984" s="185"/>
      <c r="Y4984" s="284"/>
      <c r="Z4984" s="284"/>
      <c r="AA4984" s="284"/>
      <c r="AB4984" s="284"/>
      <c r="AC4984" s="284"/>
      <c r="AD4984" s="284"/>
      <c r="AE4984" s="284"/>
      <c r="AF4984" s="284"/>
      <c r="AG4984" s="284"/>
      <c r="AH4984" s="284"/>
      <c r="AI4984" s="284"/>
      <c r="AJ4984" s="284"/>
      <c r="AK4984" s="284"/>
      <c r="AL4984" s="284"/>
    </row>
    <row r="4985" ht="15.75" customHeight="1">
      <c r="A4985" s="394"/>
      <c r="B4985" s="395"/>
      <c r="C4985" s="395"/>
      <c r="D4985" s="396"/>
      <c r="E4985" s="397"/>
      <c r="F4985" s="395"/>
      <c r="G4985" s="395"/>
      <c r="H4985" s="397"/>
      <c r="I4985" s="395"/>
      <c r="J4985" s="395"/>
      <c r="K4985" s="397"/>
      <c r="L4985" s="395"/>
      <c r="M4985" s="395"/>
      <c r="N4985" s="395"/>
      <c r="O4985" s="397"/>
      <c r="P4985" s="395"/>
      <c r="Q4985" s="395"/>
      <c r="R4985" s="353"/>
      <c r="S4985" s="185"/>
      <c r="T4985" s="185"/>
      <c r="U4985" s="185"/>
      <c r="V4985" s="185"/>
      <c r="W4985" s="185"/>
      <c r="X4985" s="185"/>
      <c r="Y4985" s="284"/>
      <c r="Z4985" s="284"/>
      <c r="AA4985" s="284"/>
      <c r="AB4985" s="284"/>
      <c r="AC4985" s="284"/>
      <c r="AD4985" s="284"/>
      <c r="AE4985" s="284"/>
      <c r="AF4985" s="284"/>
      <c r="AG4985" s="284"/>
      <c r="AH4985" s="284"/>
      <c r="AI4985" s="284"/>
      <c r="AJ4985" s="284"/>
      <c r="AK4985" s="284"/>
      <c r="AL4985" s="284"/>
    </row>
    <row r="4986" ht="15.75" customHeight="1">
      <c r="A4986" s="394"/>
      <c r="B4986" s="395"/>
      <c r="C4986" s="395"/>
      <c r="D4986" s="396"/>
      <c r="E4986" s="397"/>
      <c r="F4986" s="395"/>
      <c r="G4986" s="395"/>
      <c r="H4986" s="397"/>
      <c r="I4986" s="395"/>
      <c r="J4986" s="395"/>
      <c r="K4986" s="397"/>
      <c r="L4986" s="395"/>
      <c r="M4986" s="395"/>
      <c r="N4986" s="395"/>
      <c r="O4986" s="397"/>
      <c r="P4986" s="395"/>
      <c r="Q4986" s="395"/>
      <c r="R4986" s="353"/>
      <c r="S4986" s="185"/>
      <c r="T4986" s="185"/>
      <c r="U4986" s="185"/>
      <c r="V4986" s="185"/>
      <c r="W4986" s="185"/>
      <c r="X4986" s="185"/>
      <c r="Y4986" s="284"/>
      <c r="Z4986" s="284"/>
      <c r="AA4986" s="284"/>
      <c r="AB4986" s="284"/>
      <c r="AC4986" s="284"/>
      <c r="AD4986" s="284"/>
      <c r="AE4986" s="284"/>
      <c r="AF4986" s="284"/>
      <c r="AG4986" s="284"/>
      <c r="AH4986" s="284"/>
      <c r="AI4986" s="284"/>
      <c r="AJ4986" s="284"/>
      <c r="AK4986" s="284"/>
      <c r="AL4986" s="284"/>
    </row>
    <row r="4987" ht="15.75" customHeight="1">
      <c r="A4987" s="394"/>
      <c r="B4987" s="395"/>
      <c r="C4987" s="395"/>
      <c r="D4987" s="396"/>
      <c r="E4987" s="397"/>
      <c r="F4987" s="395"/>
      <c r="G4987" s="395"/>
      <c r="H4987" s="397"/>
      <c r="I4987" s="395"/>
      <c r="J4987" s="395"/>
      <c r="K4987" s="397"/>
      <c r="L4987" s="395"/>
      <c r="M4987" s="395"/>
      <c r="N4987" s="395"/>
      <c r="O4987" s="397"/>
      <c r="P4987" s="395"/>
      <c r="Q4987" s="395"/>
      <c r="R4987" s="353"/>
      <c r="S4987" s="185"/>
      <c r="T4987" s="185"/>
      <c r="U4987" s="185"/>
      <c r="V4987" s="185"/>
      <c r="W4987" s="185"/>
      <c r="X4987" s="185"/>
      <c r="Y4987" s="284"/>
      <c r="Z4987" s="284"/>
      <c r="AA4987" s="284"/>
      <c r="AB4987" s="284"/>
      <c r="AC4987" s="284"/>
      <c r="AD4987" s="284"/>
      <c r="AE4987" s="284"/>
      <c r="AF4987" s="284"/>
      <c r="AG4987" s="284"/>
      <c r="AH4987" s="284"/>
      <c r="AI4987" s="284"/>
      <c r="AJ4987" s="284"/>
      <c r="AK4987" s="284"/>
      <c r="AL4987" s="284"/>
    </row>
    <row r="4988" ht="15.75" customHeight="1">
      <c r="A4988" s="394"/>
      <c r="B4988" s="395"/>
      <c r="C4988" s="395"/>
      <c r="D4988" s="396"/>
      <c r="E4988" s="397"/>
      <c r="F4988" s="395"/>
      <c r="G4988" s="395"/>
      <c r="H4988" s="397"/>
      <c r="I4988" s="395"/>
      <c r="J4988" s="395"/>
      <c r="K4988" s="397"/>
      <c r="L4988" s="395"/>
      <c r="M4988" s="395"/>
      <c r="N4988" s="395"/>
      <c r="O4988" s="397"/>
      <c r="P4988" s="395"/>
      <c r="Q4988" s="395"/>
      <c r="R4988" s="353"/>
      <c r="S4988" s="185"/>
      <c r="T4988" s="185"/>
      <c r="U4988" s="185"/>
      <c r="V4988" s="185"/>
      <c r="W4988" s="185"/>
      <c r="X4988" s="185"/>
      <c r="Y4988" s="284"/>
      <c r="Z4988" s="284"/>
      <c r="AA4988" s="284"/>
      <c r="AB4988" s="284"/>
      <c r="AC4988" s="284"/>
      <c r="AD4988" s="284"/>
      <c r="AE4988" s="284"/>
      <c r="AF4988" s="284"/>
      <c r="AG4988" s="284"/>
      <c r="AH4988" s="284"/>
      <c r="AI4988" s="284"/>
      <c r="AJ4988" s="284"/>
      <c r="AK4988" s="284"/>
      <c r="AL4988" s="284"/>
    </row>
    <row r="4989" ht="15.75" customHeight="1">
      <c r="A4989" s="394"/>
      <c r="B4989" s="395"/>
      <c r="C4989" s="395"/>
      <c r="D4989" s="396"/>
      <c r="E4989" s="397"/>
      <c r="F4989" s="395"/>
      <c r="G4989" s="395"/>
      <c r="H4989" s="397"/>
      <c r="I4989" s="395"/>
      <c r="J4989" s="395"/>
      <c r="K4989" s="397"/>
      <c r="L4989" s="395"/>
      <c r="M4989" s="395"/>
      <c r="N4989" s="395"/>
      <c r="O4989" s="397"/>
      <c r="P4989" s="395"/>
      <c r="Q4989" s="395"/>
      <c r="R4989" s="353"/>
      <c r="S4989" s="185"/>
      <c r="T4989" s="185"/>
      <c r="U4989" s="185"/>
      <c r="V4989" s="185"/>
      <c r="W4989" s="185"/>
      <c r="X4989" s="185"/>
      <c r="Y4989" s="284"/>
      <c r="Z4989" s="284"/>
      <c r="AA4989" s="284"/>
      <c r="AB4989" s="284"/>
      <c r="AC4989" s="284"/>
      <c r="AD4989" s="284"/>
      <c r="AE4989" s="284"/>
      <c r="AF4989" s="284"/>
      <c r="AG4989" s="284"/>
      <c r="AH4989" s="284"/>
      <c r="AI4989" s="284"/>
      <c r="AJ4989" s="284"/>
      <c r="AK4989" s="284"/>
      <c r="AL4989" s="284"/>
    </row>
    <row r="4990" ht="15.75" customHeight="1">
      <c r="A4990" s="394"/>
      <c r="B4990" s="395"/>
      <c r="C4990" s="395"/>
      <c r="D4990" s="396"/>
      <c r="E4990" s="397"/>
      <c r="F4990" s="395"/>
      <c r="G4990" s="395"/>
      <c r="H4990" s="397"/>
      <c r="I4990" s="395"/>
      <c r="J4990" s="395"/>
      <c r="K4990" s="397"/>
      <c r="L4990" s="395"/>
      <c r="M4990" s="395"/>
      <c r="N4990" s="395"/>
      <c r="O4990" s="397"/>
      <c r="P4990" s="395"/>
      <c r="Q4990" s="395"/>
      <c r="R4990" s="353"/>
      <c r="S4990" s="185"/>
      <c r="T4990" s="185"/>
      <c r="U4990" s="185"/>
      <c r="V4990" s="185"/>
      <c r="W4990" s="185"/>
      <c r="X4990" s="185"/>
      <c r="Y4990" s="284"/>
      <c r="Z4990" s="284"/>
      <c r="AA4990" s="284"/>
      <c r="AB4990" s="284"/>
      <c r="AC4990" s="284"/>
      <c r="AD4990" s="284"/>
      <c r="AE4990" s="284"/>
      <c r="AF4990" s="284"/>
      <c r="AG4990" s="284"/>
      <c r="AH4990" s="284"/>
      <c r="AI4990" s="284"/>
      <c r="AJ4990" s="284"/>
      <c r="AK4990" s="284"/>
      <c r="AL4990" s="284"/>
    </row>
    <row r="4991" ht="15.75" customHeight="1">
      <c r="A4991" s="394"/>
      <c r="B4991" s="395"/>
      <c r="C4991" s="395"/>
      <c r="D4991" s="396"/>
      <c r="E4991" s="397"/>
      <c r="F4991" s="395"/>
      <c r="G4991" s="395"/>
      <c r="H4991" s="397"/>
      <c r="I4991" s="395"/>
      <c r="J4991" s="395"/>
      <c r="K4991" s="397"/>
      <c r="L4991" s="395"/>
      <c r="M4991" s="395"/>
      <c r="N4991" s="395"/>
      <c r="O4991" s="397"/>
      <c r="P4991" s="395"/>
      <c r="Q4991" s="395"/>
      <c r="R4991" s="353"/>
      <c r="S4991" s="185"/>
      <c r="T4991" s="185"/>
      <c r="U4991" s="185"/>
      <c r="V4991" s="185"/>
      <c r="W4991" s="185"/>
      <c r="X4991" s="185"/>
      <c r="Y4991" s="284"/>
      <c r="Z4991" s="284"/>
      <c r="AA4991" s="284"/>
      <c r="AB4991" s="284"/>
      <c r="AC4991" s="284"/>
      <c r="AD4991" s="284"/>
      <c r="AE4991" s="284"/>
      <c r="AF4991" s="284"/>
      <c r="AG4991" s="284"/>
      <c r="AH4991" s="284"/>
      <c r="AI4991" s="284"/>
      <c r="AJ4991" s="284"/>
      <c r="AK4991" s="284"/>
      <c r="AL4991" s="284"/>
    </row>
    <row r="4992" ht="15.75" customHeight="1">
      <c r="A4992" s="394"/>
      <c r="B4992" s="395"/>
      <c r="C4992" s="395"/>
      <c r="D4992" s="396"/>
      <c r="E4992" s="397"/>
      <c r="F4992" s="395"/>
      <c r="G4992" s="395"/>
      <c r="H4992" s="397"/>
      <c r="I4992" s="395"/>
      <c r="J4992" s="395"/>
      <c r="K4992" s="397"/>
      <c r="L4992" s="395"/>
      <c r="M4992" s="395"/>
      <c r="N4992" s="395"/>
      <c r="O4992" s="397"/>
      <c r="P4992" s="395"/>
      <c r="Q4992" s="395"/>
      <c r="R4992" s="353"/>
      <c r="S4992" s="185"/>
      <c r="T4992" s="185"/>
      <c r="U4992" s="185"/>
      <c r="V4992" s="185"/>
      <c r="W4992" s="185"/>
      <c r="X4992" s="185"/>
      <c r="Y4992" s="284"/>
      <c r="Z4992" s="284"/>
      <c r="AA4992" s="284"/>
      <c r="AB4992" s="284"/>
      <c r="AC4992" s="284"/>
      <c r="AD4992" s="284"/>
      <c r="AE4992" s="284"/>
      <c r="AF4992" s="284"/>
      <c r="AG4992" s="284"/>
      <c r="AH4992" s="284"/>
      <c r="AI4992" s="284"/>
      <c r="AJ4992" s="284"/>
      <c r="AK4992" s="284"/>
      <c r="AL4992" s="284"/>
    </row>
    <row r="4993" ht="15.75" customHeight="1">
      <c r="A4993" s="394"/>
      <c r="B4993" s="395"/>
      <c r="C4993" s="395"/>
      <c r="D4993" s="396"/>
      <c r="E4993" s="397"/>
      <c r="F4993" s="395"/>
      <c r="G4993" s="395"/>
      <c r="H4993" s="397"/>
      <c r="I4993" s="395"/>
      <c r="J4993" s="395"/>
      <c r="K4993" s="397"/>
      <c r="L4993" s="395"/>
      <c r="M4993" s="395"/>
      <c r="N4993" s="395"/>
      <c r="O4993" s="397"/>
      <c r="P4993" s="395"/>
      <c r="Q4993" s="395"/>
      <c r="R4993" s="353"/>
      <c r="S4993" s="185"/>
      <c r="T4993" s="185"/>
      <c r="U4993" s="185"/>
      <c r="V4993" s="185"/>
      <c r="W4993" s="185"/>
      <c r="X4993" s="185"/>
      <c r="Y4993" s="284"/>
      <c r="Z4993" s="284"/>
      <c r="AA4993" s="284"/>
      <c r="AB4993" s="284"/>
      <c r="AC4993" s="284"/>
      <c r="AD4993" s="284"/>
      <c r="AE4993" s="284"/>
      <c r="AF4993" s="284"/>
      <c r="AG4993" s="284"/>
      <c r="AH4993" s="284"/>
      <c r="AI4993" s="284"/>
      <c r="AJ4993" s="284"/>
      <c r="AK4993" s="284"/>
      <c r="AL4993" s="284"/>
    </row>
    <row r="4994" ht="15.75" customHeight="1">
      <c r="A4994" s="394"/>
      <c r="B4994" s="395"/>
      <c r="C4994" s="395"/>
      <c r="D4994" s="396"/>
      <c r="E4994" s="397"/>
      <c r="F4994" s="395"/>
      <c r="G4994" s="395"/>
      <c r="H4994" s="397"/>
      <c r="I4994" s="395"/>
      <c r="J4994" s="395"/>
      <c r="K4994" s="397"/>
      <c r="L4994" s="395"/>
      <c r="M4994" s="395"/>
      <c r="N4994" s="395"/>
      <c r="O4994" s="397"/>
      <c r="P4994" s="395"/>
      <c r="Q4994" s="395"/>
      <c r="R4994" s="353"/>
      <c r="S4994" s="185"/>
      <c r="T4994" s="185"/>
      <c r="U4994" s="185"/>
      <c r="V4994" s="185"/>
      <c r="W4994" s="185"/>
      <c r="X4994" s="185"/>
      <c r="Y4994" s="284"/>
      <c r="Z4994" s="284"/>
      <c r="AA4994" s="284"/>
      <c r="AB4994" s="284"/>
      <c r="AC4994" s="284"/>
      <c r="AD4994" s="284"/>
      <c r="AE4994" s="284"/>
      <c r="AF4994" s="284"/>
      <c r="AG4994" s="284"/>
      <c r="AH4994" s="284"/>
      <c r="AI4994" s="284"/>
      <c r="AJ4994" s="284"/>
      <c r="AK4994" s="284"/>
      <c r="AL4994" s="284"/>
    </row>
    <row r="4995" ht="15.75" customHeight="1">
      <c r="A4995" s="394"/>
      <c r="B4995" s="395"/>
      <c r="C4995" s="395"/>
      <c r="D4995" s="396"/>
      <c r="E4995" s="397"/>
      <c r="F4995" s="395"/>
      <c r="G4995" s="395"/>
      <c r="H4995" s="397"/>
      <c r="I4995" s="395"/>
      <c r="J4995" s="395"/>
      <c r="K4995" s="397"/>
      <c r="L4995" s="395"/>
      <c r="M4995" s="395"/>
      <c r="N4995" s="395"/>
      <c r="O4995" s="397"/>
      <c r="P4995" s="395"/>
      <c r="Q4995" s="395"/>
      <c r="R4995" s="353"/>
      <c r="S4995" s="185"/>
      <c r="T4995" s="185"/>
      <c r="U4995" s="185"/>
      <c r="V4995" s="185"/>
      <c r="W4995" s="185"/>
      <c r="X4995" s="185"/>
      <c r="Y4995" s="284"/>
      <c r="Z4995" s="284"/>
      <c r="AA4995" s="284"/>
      <c r="AB4995" s="284"/>
      <c r="AC4995" s="284"/>
      <c r="AD4995" s="284"/>
      <c r="AE4995" s="284"/>
      <c r="AF4995" s="284"/>
      <c r="AG4995" s="284"/>
      <c r="AH4995" s="284"/>
      <c r="AI4995" s="284"/>
      <c r="AJ4995" s="284"/>
      <c r="AK4995" s="284"/>
      <c r="AL4995" s="284"/>
    </row>
    <row r="4996" ht="15.75" customHeight="1">
      <c r="A4996" s="394"/>
      <c r="B4996" s="395"/>
      <c r="C4996" s="395"/>
      <c r="D4996" s="396"/>
      <c r="E4996" s="397"/>
      <c r="F4996" s="395"/>
      <c r="G4996" s="395"/>
      <c r="H4996" s="397"/>
      <c r="I4996" s="395"/>
      <c r="J4996" s="395"/>
      <c r="K4996" s="397"/>
      <c r="L4996" s="395"/>
      <c r="M4996" s="395"/>
      <c r="N4996" s="395"/>
      <c r="O4996" s="397"/>
      <c r="P4996" s="395"/>
      <c r="Q4996" s="395"/>
      <c r="R4996" s="353"/>
      <c r="S4996" s="185"/>
      <c r="T4996" s="185"/>
      <c r="U4996" s="185"/>
      <c r="V4996" s="185"/>
      <c r="W4996" s="185"/>
      <c r="X4996" s="185"/>
      <c r="Y4996" s="284"/>
      <c r="Z4996" s="284"/>
      <c r="AA4996" s="284"/>
      <c r="AB4996" s="284"/>
      <c r="AC4996" s="284"/>
      <c r="AD4996" s="284"/>
      <c r="AE4996" s="284"/>
      <c r="AF4996" s="284"/>
      <c r="AG4996" s="284"/>
      <c r="AH4996" s="284"/>
      <c r="AI4996" s="284"/>
      <c r="AJ4996" s="284"/>
      <c r="AK4996" s="284"/>
      <c r="AL4996" s="284"/>
    </row>
    <row r="4997" ht="15.75" customHeight="1">
      <c r="A4997" s="394"/>
      <c r="B4997" s="395"/>
      <c r="C4997" s="395"/>
      <c r="D4997" s="396"/>
      <c r="E4997" s="397"/>
      <c r="F4997" s="395"/>
      <c r="G4997" s="395"/>
      <c r="H4997" s="397"/>
      <c r="I4997" s="395"/>
      <c r="J4997" s="395"/>
      <c r="K4997" s="397"/>
      <c r="L4997" s="395"/>
      <c r="M4997" s="395"/>
      <c r="N4997" s="395"/>
      <c r="O4997" s="397"/>
      <c r="P4997" s="395"/>
      <c r="Q4997" s="395"/>
      <c r="R4997" s="353"/>
      <c r="S4997" s="185"/>
      <c r="T4997" s="185"/>
      <c r="U4997" s="185"/>
      <c r="V4997" s="185"/>
      <c r="W4997" s="185"/>
      <c r="X4997" s="185"/>
      <c r="Y4997" s="284"/>
      <c r="Z4997" s="284"/>
      <c r="AA4997" s="284"/>
      <c r="AB4997" s="284"/>
      <c r="AC4997" s="284"/>
      <c r="AD4997" s="284"/>
      <c r="AE4997" s="284"/>
      <c r="AF4997" s="284"/>
      <c r="AG4997" s="284"/>
      <c r="AH4997" s="284"/>
      <c r="AI4997" s="284"/>
      <c r="AJ4997" s="284"/>
      <c r="AK4997" s="284"/>
      <c r="AL4997" s="284"/>
    </row>
    <row r="4998" ht="15.75" customHeight="1">
      <c r="A4998" s="394"/>
      <c r="B4998" s="395"/>
      <c r="C4998" s="395"/>
      <c r="D4998" s="396"/>
      <c r="E4998" s="397"/>
      <c r="F4998" s="395"/>
      <c r="G4998" s="395"/>
      <c r="H4998" s="397"/>
      <c r="I4998" s="395"/>
      <c r="J4998" s="395"/>
      <c r="K4998" s="397"/>
      <c r="L4998" s="395"/>
      <c r="M4998" s="395"/>
      <c r="N4998" s="395"/>
      <c r="O4998" s="397"/>
      <c r="P4998" s="395"/>
      <c r="Q4998" s="395"/>
      <c r="R4998" s="353"/>
      <c r="S4998" s="185"/>
      <c r="T4998" s="185"/>
      <c r="U4998" s="185"/>
      <c r="V4998" s="185"/>
      <c r="W4998" s="185"/>
      <c r="X4998" s="185"/>
      <c r="Y4998" s="284"/>
      <c r="Z4998" s="284"/>
      <c r="AA4998" s="284"/>
      <c r="AB4998" s="284"/>
      <c r="AC4998" s="284"/>
      <c r="AD4998" s="284"/>
      <c r="AE4998" s="284"/>
      <c r="AF4998" s="284"/>
      <c r="AG4998" s="284"/>
      <c r="AH4998" s="284"/>
      <c r="AI4998" s="284"/>
      <c r="AJ4998" s="284"/>
      <c r="AK4998" s="284"/>
      <c r="AL4998" s="284"/>
    </row>
    <row r="4999" ht="15.75" customHeight="1">
      <c r="A4999" s="394"/>
      <c r="B4999" s="395"/>
      <c r="C4999" s="395"/>
      <c r="D4999" s="396"/>
      <c r="E4999" s="397"/>
      <c r="F4999" s="395"/>
      <c r="G4999" s="395"/>
      <c r="H4999" s="397"/>
      <c r="I4999" s="395"/>
      <c r="J4999" s="395"/>
      <c r="K4999" s="397"/>
      <c r="L4999" s="395"/>
      <c r="M4999" s="395"/>
      <c r="N4999" s="395"/>
      <c r="O4999" s="397"/>
      <c r="P4999" s="395"/>
      <c r="Q4999" s="395"/>
      <c r="R4999" s="353"/>
      <c r="S4999" s="185"/>
      <c r="T4999" s="185"/>
      <c r="U4999" s="185"/>
      <c r="V4999" s="185"/>
      <c r="W4999" s="185"/>
      <c r="X4999" s="185"/>
      <c r="Y4999" s="284"/>
      <c r="Z4999" s="284"/>
      <c r="AA4999" s="284"/>
      <c r="AB4999" s="284"/>
      <c r="AC4999" s="284"/>
      <c r="AD4999" s="284"/>
      <c r="AE4999" s="284"/>
      <c r="AF4999" s="284"/>
      <c r="AG4999" s="284"/>
      <c r="AH4999" s="284"/>
      <c r="AI4999" s="284"/>
      <c r="AJ4999" s="284"/>
      <c r="AK4999" s="284"/>
      <c r="AL4999" s="284"/>
    </row>
    <row r="5000" ht="15.75" customHeight="1">
      <c r="A5000" s="394"/>
      <c r="B5000" s="395"/>
      <c r="C5000" s="395"/>
      <c r="D5000" s="396"/>
      <c r="E5000" s="397"/>
      <c r="F5000" s="395"/>
      <c r="G5000" s="395"/>
      <c r="H5000" s="397"/>
      <c r="I5000" s="395"/>
      <c r="J5000" s="395"/>
      <c r="K5000" s="397"/>
      <c r="L5000" s="395"/>
      <c r="M5000" s="395"/>
      <c r="N5000" s="395"/>
      <c r="O5000" s="397"/>
      <c r="P5000" s="395"/>
      <c r="Q5000" s="395"/>
      <c r="R5000" s="353"/>
      <c r="S5000" s="185"/>
      <c r="T5000" s="185"/>
      <c r="U5000" s="185"/>
      <c r="V5000" s="185"/>
      <c r="W5000" s="185"/>
      <c r="X5000" s="185"/>
      <c r="Y5000" s="284"/>
      <c r="Z5000" s="284"/>
      <c r="AA5000" s="284"/>
      <c r="AB5000" s="284"/>
      <c r="AC5000" s="284"/>
      <c r="AD5000" s="284"/>
      <c r="AE5000" s="284"/>
      <c r="AF5000" s="284"/>
      <c r="AG5000" s="284"/>
      <c r="AH5000" s="284"/>
      <c r="AI5000" s="284"/>
      <c r="AJ5000" s="284"/>
      <c r="AK5000" s="284"/>
      <c r="AL5000" s="284"/>
    </row>
    <row r="5001" ht="15.75" customHeight="1">
      <c r="A5001" s="394"/>
      <c r="B5001" s="395"/>
      <c r="C5001" s="395"/>
      <c r="D5001" s="396"/>
      <c r="E5001" s="397"/>
      <c r="F5001" s="395"/>
      <c r="G5001" s="395"/>
      <c r="H5001" s="397"/>
      <c r="I5001" s="395"/>
      <c r="J5001" s="395"/>
      <c r="K5001" s="397"/>
      <c r="L5001" s="395"/>
      <c r="M5001" s="395"/>
      <c r="N5001" s="395"/>
      <c r="O5001" s="397"/>
      <c r="P5001" s="395"/>
      <c r="Q5001" s="395"/>
      <c r="R5001" s="353"/>
      <c r="S5001" s="185"/>
      <c r="T5001" s="185"/>
      <c r="U5001" s="185"/>
      <c r="V5001" s="185"/>
      <c r="W5001" s="185"/>
      <c r="X5001" s="185"/>
      <c r="Y5001" s="284"/>
      <c r="Z5001" s="284"/>
      <c r="AA5001" s="284"/>
      <c r="AB5001" s="284"/>
      <c r="AC5001" s="284"/>
      <c r="AD5001" s="284"/>
      <c r="AE5001" s="284"/>
      <c r="AF5001" s="284"/>
      <c r="AG5001" s="284"/>
      <c r="AH5001" s="284"/>
      <c r="AI5001" s="284"/>
      <c r="AJ5001" s="284"/>
      <c r="AK5001" s="284"/>
      <c r="AL5001" s="284"/>
    </row>
    <row r="5002" ht="15.75" customHeight="1">
      <c r="A5002" s="394"/>
      <c r="B5002" s="395"/>
      <c r="C5002" s="395"/>
      <c r="D5002" s="396"/>
      <c r="E5002" s="397"/>
      <c r="F5002" s="395"/>
      <c r="G5002" s="395"/>
      <c r="H5002" s="397"/>
      <c r="I5002" s="395"/>
      <c r="J5002" s="395"/>
      <c r="K5002" s="397"/>
      <c r="L5002" s="395"/>
      <c r="M5002" s="395"/>
      <c r="N5002" s="395"/>
      <c r="O5002" s="397"/>
      <c r="P5002" s="395"/>
      <c r="Q5002" s="395"/>
      <c r="R5002" s="353"/>
      <c r="S5002" s="185"/>
      <c r="T5002" s="185"/>
      <c r="U5002" s="185"/>
      <c r="V5002" s="185"/>
      <c r="W5002" s="185"/>
      <c r="X5002" s="185"/>
      <c r="Y5002" s="284"/>
      <c r="Z5002" s="284"/>
      <c r="AA5002" s="284"/>
      <c r="AB5002" s="284"/>
      <c r="AC5002" s="284"/>
      <c r="AD5002" s="284"/>
      <c r="AE5002" s="284"/>
      <c r="AF5002" s="284"/>
      <c r="AG5002" s="284"/>
      <c r="AH5002" s="284"/>
      <c r="AI5002" s="284"/>
      <c r="AJ5002" s="284"/>
      <c r="AK5002" s="284"/>
      <c r="AL5002" s="284"/>
    </row>
    <row r="5003" ht="15.75" customHeight="1">
      <c r="A5003" s="394"/>
      <c r="B5003" s="395"/>
      <c r="C5003" s="395"/>
      <c r="D5003" s="396"/>
      <c r="E5003" s="397"/>
      <c r="F5003" s="395"/>
      <c r="G5003" s="395"/>
      <c r="H5003" s="397"/>
      <c r="I5003" s="395"/>
      <c r="J5003" s="395"/>
      <c r="K5003" s="397"/>
      <c r="L5003" s="395"/>
      <c r="M5003" s="395"/>
      <c r="N5003" s="395"/>
      <c r="O5003" s="397"/>
      <c r="P5003" s="395"/>
      <c r="Q5003" s="395"/>
      <c r="R5003" s="353"/>
      <c r="S5003" s="185"/>
      <c r="T5003" s="185"/>
      <c r="U5003" s="185"/>
      <c r="V5003" s="185"/>
      <c r="W5003" s="185"/>
      <c r="X5003" s="185"/>
      <c r="Y5003" s="284"/>
      <c r="Z5003" s="284"/>
      <c r="AA5003" s="284"/>
      <c r="AB5003" s="284"/>
      <c r="AC5003" s="284"/>
      <c r="AD5003" s="284"/>
      <c r="AE5003" s="284"/>
      <c r="AF5003" s="284"/>
      <c r="AG5003" s="284"/>
      <c r="AH5003" s="284"/>
      <c r="AI5003" s="284"/>
      <c r="AJ5003" s="284"/>
      <c r="AK5003" s="284"/>
      <c r="AL5003" s="284"/>
    </row>
    <row r="5004" ht="15.75" customHeight="1">
      <c r="A5004" s="394"/>
      <c r="B5004" s="395"/>
      <c r="C5004" s="395"/>
      <c r="D5004" s="396"/>
      <c r="E5004" s="397"/>
      <c r="F5004" s="395"/>
      <c r="G5004" s="395"/>
      <c r="H5004" s="397"/>
      <c r="I5004" s="395"/>
      <c r="J5004" s="395"/>
      <c r="K5004" s="397"/>
      <c r="L5004" s="395"/>
      <c r="M5004" s="395"/>
      <c r="N5004" s="395"/>
      <c r="O5004" s="397"/>
      <c r="P5004" s="395"/>
      <c r="Q5004" s="395"/>
      <c r="R5004" s="353"/>
      <c r="S5004" s="185"/>
      <c r="T5004" s="185"/>
      <c r="U5004" s="185"/>
      <c r="V5004" s="185"/>
      <c r="W5004" s="185"/>
      <c r="X5004" s="185"/>
      <c r="Y5004" s="284"/>
      <c r="Z5004" s="284"/>
      <c r="AA5004" s="284"/>
      <c r="AB5004" s="284"/>
      <c r="AC5004" s="284"/>
      <c r="AD5004" s="284"/>
      <c r="AE5004" s="284"/>
      <c r="AF5004" s="284"/>
      <c r="AG5004" s="284"/>
      <c r="AH5004" s="284"/>
      <c r="AI5004" s="284"/>
      <c r="AJ5004" s="284"/>
      <c r="AK5004" s="284"/>
      <c r="AL5004" s="284"/>
    </row>
    <row r="5005" ht="15.75" customHeight="1">
      <c r="A5005" s="394"/>
      <c r="B5005" s="395"/>
      <c r="C5005" s="395"/>
      <c r="D5005" s="396"/>
      <c r="E5005" s="397"/>
      <c r="F5005" s="395"/>
      <c r="G5005" s="395"/>
      <c r="H5005" s="397"/>
      <c r="I5005" s="395"/>
      <c r="J5005" s="395"/>
      <c r="K5005" s="397"/>
      <c r="L5005" s="395"/>
      <c r="M5005" s="395"/>
      <c r="N5005" s="395"/>
      <c r="O5005" s="397"/>
      <c r="P5005" s="395"/>
      <c r="Q5005" s="395"/>
      <c r="R5005" s="353"/>
      <c r="S5005" s="185"/>
      <c r="T5005" s="185"/>
      <c r="U5005" s="185"/>
      <c r="V5005" s="185"/>
      <c r="W5005" s="185"/>
      <c r="X5005" s="185"/>
      <c r="Y5005" s="284"/>
      <c r="Z5005" s="284"/>
      <c r="AA5005" s="284"/>
      <c r="AB5005" s="284"/>
      <c r="AC5005" s="284"/>
      <c r="AD5005" s="284"/>
      <c r="AE5005" s="284"/>
      <c r="AF5005" s="284"/>
      <c r="AG5005" s="284"/>
      <c r="AH5005" s="284"/>
      <c r="AI5005" s="284"/>
      <c r="AJ5005" s="284"/>
      <c r="AK5005" s="284"/>
      <c r="AL5005" s="284"/>
    </row>
    <row r="5006" ht="15.75" customHeight="1">
      <c r="A5006" s="394"/>
      <c r="B5006" s="395"/>
      <c r="C5006" s="395"/>
      <c r="D5006" s="396"/>
      <c r="E5006" s="397"/>
      <c r="F5006" s="395"/>
      <c r="G5006" s="395"/>
      <c r="H5006" s="397"/>
      <c r="I5006" s="395"/>
      <c r="J5006" s="395"/>
      <c r="K5006" s="397"/>
      <c r="L5006" s="395"/>
      <c r="M5006" s="395"/>
      <c r="N5006" s="395"/>
      <c r="O5006" s="397"/>
      <c r="P5006" s="395"/>
      <c r="Q5006" s="395"/>
      <c r="R5006" s="353"/>
      <c r="S5006" s="185"/>
      <c r="T5006" s="185"/>
      <c r="U5006" s="185"/>
      <c r="V5006" s="185"/>
      <c r="W5006" s="185"/>
      <c r="X5006" s="185"/>
      <c r="Y5006" s="284"/>
      <c r="Z5006" s="284"/>
      <c r="AA5006" s="284"/>
      <c r="AB5006" s="284"/>
      <c r="AC5006" s="284"/>
      <c r="AD5006" s="284"/>
      <c r="AE5006" s="284"/>
      <c r="AF5006" s="284"/>
      <c r="AG5006" s="284"/>
      <c r="AH5006" s="284"/>
      <c r="AI5006" s="284"/>
      <c r="AJ5006" s="284"/>
      <c r="AK5006" s="284"/>
      <c r="AL5006" s="284"/>
    </row>
    <row r="5007" ht="15.75" customHeight="1">
      <c r="A5007" s="394"/>
      <c r="B5007" s="395"/>
      <c r="C5007" s="395"/>
      <c r="D5007" s="396"/>
      <c r="E5007" s="397"/>
      <c r="F5007" s="395"/>
      <c r="G5007" s="395"/>
      <c r="H5007" s="397"/>
      <c r="I5007" s="395"/>
      <c r="J5007" s="395"/>
      <c r="K5007" s="397"/>
      <c r="L5007" s="395"/>
      <c r="M5007" s="395"/>
      <c r="N5007" s="395"/>
      <c r="O5007" s="397"/>
      <c r="P5007" s="395"/>
      <c r="Q5007" s="395"/>
      <c r="R5007" s="353"/>
      <c r="S5007" s="185"/>
      <c r="T5007" s="185"/>
      <c r="U5007" s="185"/>
      <c r="V5007" s="185"/>
      <c r="W5007" s="185"/>
      <c r="X5007" s="185"/>
      <c r="Y5007" s="284"/>
      <c r="Z5007" s="284"/>
      <c r="AA5007" s="284"/>
      <c r="AB5007" s="284"/>
      <c r="AC5007" s="284"/>
      <c r="AD5007" s="284"/>
      <c r="AE5007" s="284"/>
      <c r="AF5007" s="284"/>
      <c r="AG5007" s="284"/>
      <c r="AH5007" s="284"/>
      <c r="AI5007" s="284"/>
      <c r="AJ5007" s="284"/>
      <c r="AK5007" s="284"/>
      <c r="AL5007" s="284"/>
    </row>
    <row r="5008" ht="15.75" customHeight="1">
      <c r="A5008" s="394"/>
      <c r="B5008" s="395"/>
      <c r="C5008" s="395"/>
      <c r="D5008" s="396"/>
      <c r="E5008" s="397"/>
      <c r="F5008" s="395"/>
      <c r="G5008" s="395"/>
      <c r="H5008" s="397"/>
      <c r="I5008" s="395"/>
      <c r="J5008" s="395"/>
      <c r="K5008" s="397"/>
      <c r="L5008" s="395"/>
      <c r="M5008" s="395"/>
      <c r="N5008" s="395"/>
      <c r="O5008" s="397"/>
      <c r="P5008" s="395"/>
      <c r="Q5008" s="395"/>
      <c r="R5008" s="353"/>
      <c r="S5008" s="185"/>
      <c r="T5008" s="185"/>
      <c r="U5008" s="185"/>
      <c r="V5008" s="185"/>
      <c r="W5008" s="185"/>
      <c r="X5008" s="185"/>
      <c r="Y5008" s="284"/>
      <c r="Z5008" s="284"/>
      <c r="AA5008" s="284"/>
      <c r="AB5008" s="284"/>
      <c r="AC5008" s="284"/>
      <c r="AD5008" s="284"/>
      <c r="AE5008" s="284"/>
      <c r="AF5008" s="284"/>
      <c r="AG5008" s="284"/>
      <c r="AH5008" s="284"/>
      <c r="AI5008" s="284"/>
      <c r="AJ5008" s="284"/>
      <c r="AK5008" s="284"/>
      <c r="AL5008" s="284"/>
    </row>
    <row r="5009" ht="15.75" customHeight="1">
      <c r="A5009" s="394"/>
      <c r="B5009" s="395"/>
      <c r="C5009" s="395"/>
      <c r="D5009" s="396"/>
      <c r="E5009" s="397"/>
      <c r="F5009" s="395"/>
      <c r="G5009" s="395"/>
      <c r="H5009" s="397"/>
      <c r="I5009" s="395"/>
      <c r="J5009" s="395"/>
      <c r="K5009" s="397"/>
      <c r="L5009" s="395"/>
      <c r="M5009" s="395"/>
      <c r="N5009" s="395"/>
      <c r="O5009" s="397"/>
      <c r="P5009" s="395"/>
      <c r="Q5009" s="395"/>
      <c r="R5009" s="353"/>
      <c r="S5009" s="185"/>
      <c r="T5009" s="185"/>
      <c r="U5009" s="185"/>
      <c r="V5009" s="185"/>
      <c r="W5009" s="185"/>
      <c r="X5009" s="185"/>
      <c r="Y5009" s="284"/>
      <c r="Z5009" s="284"/>
      <c r="AA5009" s="284"/>
      <c r="AB5009" s="284"/>
      <c r="AC5009" s="284"/>
      <c r="AD5009" s="284"/>
      <c r="AE5009" s="284"/>
      <c r="AF5009" s="284"/>
      <c r="AG5009" s="284"/>
      <c r="AH5009" s="284"/>
      <c r="AI5009" s="284"/>
      <c r="AJ5009" s="284"/>
      <c r="AK5009" s="284"/>
      <c r="AL5009" s="284"/>
    </row>
    <row r="5010" ht="15.75" customHeight="1">
      <c r="A5010" s="394"/>
      <c r="B5010" s="395"/>
      <c r="C5010" s="395"/>
      <c r="D5010" s="396"/>
      <c r="E5010" s="397"/>
      <c r="F5010" s="395"/>
      <c r="G5010" s="395"/>
      <c r="H5010" s="397"/>
      <c r="I5010" s="395"/>
      <c r="J5010" s="395"/>
      <c r="K5010" s="397"/>
      <c r="L5010" s="395"/>
      <c r="M5010" s="395"/>
      <c r="N5010" s="395"/>
      <c r="O5010" s="397"/>
      <c r="P5010" s="395"/>
      <c r="Q5010" s="395"/>
      <c r="R5010" s="353"/>
      <c r="S5010" s="185"/>
      <c r="T5010" s="185"/>
      <c r="U5010" s="185"/>
      <c r="V5010" s="185"/>
      <c r="W5010" s="185"/>
      <c r="X5010" s="185"/>
      <c r="Y5010" s="284"/>
      <c r="Z5010" s="284"/>
      <c r="AA5010" s="284"/>
      <c r="AB5010" s="284"/>
      <c r="AC5010" s="284"/>
      <c r="AD5010" s="284"/>
      <c r="AE5010" s="284"/>
      <c r="AF5010" s="284"/>
      <c r="AG5010" s="284"/>
      <c r="AH5010" s="284"/>
      <c r="AI5010" s="284"/>
      <c r="AJ5010" s="284"/>
      <c r="AK5010" s="284"/>
      <c r="AL5010" s="284"/>
    </row>
    <row r="5011" ht="15.75" customHeight="1">
      <c r="A5011" s="394"/>
      <c r="B5011" s="395"/>
      <c r="C5011" s="395"/>
      <c r="D5011" s="396"/>
      <c r="E5011" s="397"/>
      <c r="F5011" s="395"/>
      <c r="G5011" s="395"/>
      <c r="H5011" s="397"/>
      <c r="I5011" s="395"/>
      <c r="J5011" s="395"/>
      <c r="K5011" s="397"/>
      <c r="L5011" s="395"/>
      <c r="M5011" s="395"/>
      <c r="N5011" s="395"/>
      <c r="O5011" s="397"/>
      <c r="P5011" s="395"/>
      <c r="Q5011" s="395"/>
      <c r="R5011" s="353"/>
      <c r="S5011" s="185"/>
      <c r="T5011" s="185"/>
      <c r="U5011" s="185"/>
      <c r="V5011" s="185"/>
      <c r="W5011" s="185"/>
      <c r="X5011" s="185"/>
      <c r="Y5011" s="284"/>
      <c r="Z5011" s="284"/>
      <c r="AA5011" s="284"/>
      <c r="AB5011" s="284"/>
      <c r="AC5011" s="284"/>
      <c r="AD5011" s="284"/>
      <c r="AE5011" s="284"/>
      <c r="AF5011" s="284"/>
      <c r="AG5011" s="284"/>
      <c r="AH5011" s="284"/>
      <c r="AI5011" s="284"/>
      <c r="AJ5011" s="284"/>
      <c r="AK5011" s="284"/>
      <c r="AL5011" s="284"/>
    </row>
    <row r="5012" ht="15.75" customHeight="1">
      <c r="A5012" s="394"/>
      <c r="B5012" s="395"/>
      <c r="C5012" s="395"/>
      <c r="D5012" s="396"/>
      <c r="E5012" s="397"/>
      <c r="F5012" s="395"/>
      <c r="G5012" s="395"/>
      <c r="H5012" s="397"/>
      <c r="I5012" s="395"/>
      <c r="J5012" s="395"/>
      <c r="K5012" s="397"/>
      <c r="L5012" s="395"/>
      <c r="M5012" s="395"/>
      <c r="N5012" s="395"/>
      <c r="O5012" s="397"/>
      <c r="P5012" s="395"/>
      <c r="Q5012" s="395"/>
      <c r="R5012" s="353"/>
      <c r="S5012" s="185"/>
      <c r="T5012" s="185"/>
      <c r="U5012" s="185"/>
      <c r="V5012" s="185"/>
      <c r="W5012" s="185"/>
      <c r="X5012" s="185"/>
      <c r="Y5012" s="284"/>
      <c r="Z5012" s="284"/>
      <c r="AA5012" s="284"/>
      <c r="AB5012" s="284"/>
      <c r="AC5012" s="284"/>
      <c r="AD5012" s="284"/>
      <c r="AE5012" s="284"/>
      <c r="AF5012" s="284"/>
      <c r="AG5012" s="284"/>
      <c r="AH5012" s="284"/>
      <c r="AI5012" s="284"/>
      <c r="AJ5012" s="284"/>
      <c r="AK5012" s="284"/>
      <c r="AL5012" s="284"/>
    </row>
    <row r="5013" ht="15.75" customHeight="1">
      <c r="A5013" s="394"/>
      <c r="B5013" s="395"/>
      <c r="C5013" s="395"/>
      <c r="D5013" s="396"/>
      <c r="E5013" s="397"/>
      <c r="F5013" s="395"/>
      <c r="G5013" s="395"/>
      <c r="H5013" s="397"/>
      <c r="I5013" s="395"/>
      <c r="J5013" s="395"/>
      <c r="K5013" s="397"/>
      <c r="L5013" s="395"/>
      <c r="M5013" s="395"/>
      <c r="N5013" s="395"/>
      <c r="O5013" s="397"/>
      <c r="P5013" s="395"/>
      <c r="Q5013" s="395"/>
      <c r="R5013" s="353"/>
      <c r="S5013" s="185"/>
      <c r="T5013" s="185"/>
      <c r="U5013" s="185"/>
      <c r="V5013" s="185"/>
      <c r="W5013" s="185"/>
      <c r="X5013" s="185"/>
      <c r="Y5013" s="284"/>
      <c r="Z5013" s="284"/>
      <c r="AA5013" s="284"/>
      <c r="AB5013" s="284"/>
      <c r="AC5013" s="284"/>
      <c r="AD5013" s="284"/>
      <c r="AE5013" s="284"/>
      <c r="AF5013" s="284"/>
      <c r="AG5013" s="284"/>
      <c r="AH5013" s="284"/>
      <c r="AI5013" s="284"/>
      <c r="AJ5013" s="284"/>
      <c r="AK5013" s="284"/>
      <c r="AL5013" s="284"/>
    </row>
    <row r="5014" ht="15.75" customHeight="1">
      <c r="A5014" s="394"/>
      <c r="B5014" s="395"/>
      <c r="C5014" s="395"/>
      <c r="D5014" s="396"/>
      <c r="E5014" s="397"/>
      <c r="F5014" s="395"/>
      <c r="G5014" s="395"/>
      <c r="H5014" s="397"/>
      <c r="I5014" s="395"/>
      <c r="J5014" s="395"/>
      <c r="K5014" s="397"/>
      <c r="L5014" s="395"/>
      <c r="M5014" s="395"/>
      <c r="N5014" s="395"/>
      <c r="O5014" s="397"/>
      <c r="P5014" s="395"/>
      <c r="Q5014" s="395"/>
      <c r="R5014" s="353"/>
      <c r="S5014" s="185"/>
      <c r="T5014" s="185"/>
      <c r="U5014" s="185"/>
      <c r="V5014" s="185"/>
      <c r="W5014" s="185"/>
      <c r="X5014" s="185"/>
      <c r="Y5014" s="284"/>
      <c r="Z5014" s="284"/>
      <c r="AA5014" s="284"/>
      <c r="AB5014" s="284"/>
      <c r="AC5014" s="284"/>
      <c r="AD5014" s="284"/>
      <c r="AE5014" s="284"/>
      <c r="AF5014" s="284"/>
      <c r="AG5014" s="284"/>
      <c r="AH5014" s="284"/>
      <c r="AI5014" s="284"/>
      <c r="AJ5014" s="284"/>
      <c r="AK5014" s="284"/>
      <c r="AL5014" s="284"/>
    </row>
    <row r="5015" ht="15.75" customHeight="1">
      <c r="A5015" s="394"/>
      <c r="B5015" s="395"/>
      <c r="C5015" s="395"/>
      <c r="D5015" s="396"/>
      <c r="E5015" s="397"/>
      <c r="F5015" s="395"/>
      <c r="G5015" s="395"/>
      <c r="H5015" s="397"/>
      <c r="I5015" s="395"/>
      <c r="J5015" s="395"/>
      <c r="K5015" s="397"/>
      <c r="L5015" s="395"/>
      <c r="M5015" s="395"/>
      <c r="N5015" s="395"/>
      <c r="O5015" s="397"/>
      <c r="P5015" s="395"/>
      <c r="Q5015" s="395"/>
      <c r="R5015" s="353"/>
      <c r="S5015" s="185"/>
      <c r="T5015" s="185"/>
      <c r="U5015" s="185"/>
      <c r="V5015" s="185"/>
      <c r="W5015" s="185"/>
      <c r="X5015" s="185"/>
      <c r="Y5015" s="284"/>
      <c r="Z5015" s="284"/>
      <c r="AA5015" s="284"/>
      <c r="AB5015" s="284"/>
      <c r="AC5015" s="284"/>
      <c r="AD5015" s="284"/>
      <c r="AE5015" s="284"/>
      <c r="AF5015" s="284"/>
      <c r="AG5015" s="284"/>
      <c r="AH5015" s="284"/>
      <c r="AI5015" s="284"/>
      <c r="AJ5015" s="284"/>
      <c r="AK5015" s="284"/>
      <c r="AL5015" s="284"/>
    </row>
    <row r="5016" ht="15.75" customHeight="1">
      <c r="A5016" s="394"/>
      <c r="B5016" s="395"/>
      <c r="C5016" s="395"/>
      <c r="D5016" s="396"/>
      <c r="E5016" s="397"/>
      <c r="F5016" s="395"/>
      <c r="G5016" s="395"/>
      <c r="H5016" s="397"/>
      <c r="I5016" s="395"/>
      <c r="J5016" s="395"/>
      <c r="K5016" s="397"/>
      <c r="L5016" s="395"/>
      <c r="M5016" s="395"/>
      <c r="N5016" s="395"/>
      <c r="O5016" s="397"/>
      <c r="P5016" s="395"/>
      <c r="Q5016" s="395"/>
      <c r="R5016" s="353"/>
      <c r="S5016" s="185"/>
      <c r="T5016" s="185"/>
      <c r="U5016" s="185"/>
      <c r="V5016" s="185"/>
      <c r="W5016" s="185"/>
      <c r="X5016" s="185"/>
      <c r="Y5016" s="284"/>
      <c r="Z5016" s="284"/>
      <c r="AA5016" s="284"/>
      <c r="AB5016" s="284"/>
      <c r="AC5016" s="284"/>
      <c r="AD5016" s="284"/>
      <c r="AE5016" s="284"/>
      <c r="AF5016" s="284"/>
      <c r="AG5016" s="284"/>
      <c r="AH5016" s="284"/>
      <c r="AI5016" s="284"/>
      <c r="AJ5016" s="284"/>
      <c r="AK5016" s="284"/>
      <c r="AL5016" s="284"/>
    </row>
    <row r="5017" ht="15.75" customHeight="1">
      <c r="A5017" s="394"/>
      <c r="B5017" s="395"/>
      <c r="C5017" s="395"/>
      <c r="D5017" s="396"/>
      <c r="E5017" s="397"/>
      <c r="F5017" s="395"/>
      <c r="G5017" s="395"/>
      <c r="H5017" s="397"/>
      <c r="I5017" s="395"/>
      <c r="J5017" s="395"/>
      <c r="K5017" s="397"/>
      <c r="L5017" s="395"/>
      <c r="M5017" s="395"/>
      <c r="N5017" s="395"/>
      <c r="O5017" s="397"/>
      <c r="P5017" s="395"/>
      <c r="Q5017" s="395"/>
      <c r="R5017" s="353"/>
      <c r="S5017" s="185"/>
      <c r="T5017" s="185"/>
      <c r="U5017" s="185"/>
      <c r="V5017" s="185"/>
      <c r="W5017" s="185"/>
      <c r="X5017" s="185"/>
      <c r="Y5017" s="284"/>
      <c r="Z5017" s="284"/>
      <c r="AA5017" s="284"/>
      <c r="AB5017" s="284"/>
      <c r="AC5017" s="284"/>
      <c r="AD5017" s="284"/>
      <c r="AE5017" s="284"/>
      <c r="AF5017" s="284"/>
      <c r="AG5017" s="284"/>
      <c r="AH5017" s="284"/>
      <c r="AI5017" s="284"/>
      <c r="AJ5017" s="284"/>
      <c r="AK5017" s="284"/>
      <c r="AL5017" s="284"/>
    </row>
    <row r="5018" ht="15.75" customHeight="1">
      <c r="A5018" s="394"/>
      <c r="B5018" s="395"/>
      <c r="C5018" s="395"/>
      <c r="D5018" s="396"/>
      <c r="E5018" s="397"/>
      <c r="F5018" s="395"/>
      <c r="G5018" s="395"/>
      <c r="H5018" s="397"/>
      <c r="I5018" s="395"/>
      <c r="J5018" s="395"/>
      <c r="K5018" s="397"/>
      <c r="L5018" s="395"/>
      <c r="M5018" s="395"/>
      <c r="N5018" s="395"/>
      <c r="O5018" s="397"/>
      <c r="P5018" s="395"/>
      <c r="Q5018" s="395"/>
      <c r="R5018" s="353"/>
      <c r="S5018" s="185"/>
      <c r="T5018" s="185"/>
      <c r="U5018" s="185"/>
      <c r="V5018" s="185"/>
      <c r="W5018" s="185"/>
      <c r="X5018" s="185"/>
      <c r="Y5018" s="284"/>
      <c r="Z5018" s="284"/>
      <c r="AA5018" s="284"/>
      <c r="AB5018" s="284"/>
      <c r="AC5018" s="284"/>
      <c r="AD5018" s="284"/>
      <c r="AE5018" s="284"/>
      <c r="AF5018" s="284"/>
      <c r="AG5018" s="284"/>
      <c r="AH5018" s="284"/>
      <c r="AI5018" s="284"/>
      <c r="AJ5018" s="284"/>
      <c r="AK5018" s="284"/>
      <c r="AL5018" s="284"/>
    </row>
    <row r="5019" ht="15.75" customHeight="1">
      <c r="A5019" s="394"/>
      <c r="B5019" s="395"/>
      <c r="C5019" s="395"/>
      <c r="D5019" s="396"/>
      <c r="E5019" s="397"/>
      <c r="F5019" s="395"/>
      <c r="G5019" s="395"/>
      <c r="H5019" s="397"/>
      <c r="I5019" s="395"/>
      <c r="J5019" s="395"/>
      <c r="K5019" s="397"/>
      <c r="L5019" s="395"/>
      <c r="M5019" s="395"/>
      <c r="N5019" s="395"/>
      <c r="O5019" s="397"/>
      <c r="P5019" s="395"/>
      <c r="Q5019" s="395"/>
      <c r="R5019" s="353"/>
      <c r="S5019" s="185"/>
      <c r="T5019" s="185"/>
      <c r="U5019" s="185"/>
      <c r="V5019" s="185"/>
      <c r="W5019" s="185"/>
      <c r="X5019" s="185"/>
      <c r="Y5019" s="284"/>
      <c r="Z5019" s="284"/>
      <c r="AA5019" s="284"/>
      <c r="AB5019" s="284"/>
      <c r="AC5019" s="284"/>
      <c r="AD5019" s="284"/>
      <c r="AE5019" s="284"/>
      <c r="AF5019" s="284"/>
      <c r="AG5019" s="284"/>
      <c r="AH5019" s="284"/>
      <c r="AI5019" s="284"/>
      <c r="AJ5019" s="284"/>
      <c r="AK5019" s="284"/>
      <c r="AL5019" s="284"/>
    </row>
    <row r="5020" ht="15.75" customHeight="1">
      <c r="A5020" s="394"/>
      <c r="B5020" s="395"/>
      <c r="C5020" s="395"/>
      <c r="D5020" s="396"/>
      <c r="E5020" s="397"/>
      <c r="F5020" s="395"/>
      <c r="G5020" s="395"/>
      <c r="H5020" s="397"/>
      <c r="I5020" s="395"/>
      <c r="J5020" s="395"/>
      <c r="K5020" s="397"/>
      <c r="L5020" s="395"/>
      <c r="M5020" s="395"/>
      <c r="N5020" s="395"/>
      <c r="O5020" s="397"/>
      <c r="P5020" s="395"/>
      <c r="Q5020" s="395"/>
      <c r="R5020" s="353"/>
      <c r="S5020" s="185"/>
      <c r="T5020" s="185"/>
      <c r="U5020" s="185"/>
      <c r="V5020" s="185"/>
      <c r="W5020" s="185"/>
      <c r="X5020" s="185"/>
      <c r="Y5020" s="284"/>
      <c r="Z5020" s="284"/>
      <c r="AA5020" s="284"/>
      <c r="AB5020" s="284"/>
      <c r="AC5020" s="284"/>
      <c r="AD5020" s="284"/>
      <c r="AE5020" s="284"/>
      <c r="AF5020" s="284"/>
      <c r="AG5020" s="284"/>
      <c r="AH5020" s="284"/>
      <c r="AI5020" s="284"/>
      <c r="AJ5020" s="284"/>
      <c r="AK5020" s="284"/>
      <c r="AL5020" s="284"/>
    </row>
    <row r="5021" ht="15.75" customHeight="1">
      <c r="A5021" s="394"/>
      <c r="B5021" s="395"/>
      <c r="C5021" s="395"/>
      <c r="D5021" s="396"/>
      <c r="E5021" s="397"/>
      <c r="F5021" s="395"/>
      <c r="G5021" s="395"/>
      <c r="H5021" s="397"/>
      <c r="I5021" s="395"/>
      <c r="J5021" s="395"/>
      <c r="K5021" s="397"/>
      <c r="L5021" s="395"/>
      <c r="M5021" s="395"/>
      <c r="N5021" s="395"/>
      <c r="O5021" s="397"/>
      <c r="P5021" s="395"/>
      <c r="Q5021" s="395"/>
      <c r="R5021" s="353"/>
      <c r="S5021" s="185"/>
      <c r="T5021" s="185"/>
      <c r="U5021" s="185"/>
      <c r="V5021" s="185"/>
      <c r="W5021" s="185"/>
      <c r="X5021" s="185"/>
      <c r="Y5021" s="284"/>
      <c r="Z5021" s="284"/>
      <c r="AA5021" s="284"/>
      <c r="AB5021" s="284"/>
      <c r="AC5021" s="284"/>
      <c r="AD5021" s="284"/>
      <c r="AE5021" s="284"/>
      <c r="AF5021" s="284"/>
      <c r="AG5021" s="284"/>
      <c r="AH5021" s="284"/>
      <c r="AI5021" s="284"/>
      <c r="AJ5021" s="284"/>
      <c r="AK5021" s="284"/>
      <c r="AL5021" s="284"/>
    </row>
    <row r="5022" ht="15.75" customHeight="1">
      <c r="A5022" s="394"/>
      <c r="B5022" s="395"/>
      <c r="C5022" s="395"/>
      <c r="D5022" s="396"/>
      <c r="E5022" s="397"/>
      <c r="F5022" s="395"/>
      <c r="G5022" s="395"/>
      <c r="H5022" s="397"/>
      <c r="I5022" s="395"/>
      <c r="J5022" s="395"/>
      <c r="K5022" s="397"/>
      <c r="L5022" s="395"/>
      <c r="M5022" s="395"/>
      <c r="N5022" s="395"/>
      <c r="O5022" s="397"/>
      <c r="P5022" s="395"/>
      <c r="Q5022" s="395"/>
      <c r="R5022" s="353"/>
      <c r="S5022" s="185"/>
      <c r="T5022" s="185"/>
      <c r="U5022" s="185"/>
      <c r="V5022" s="185"/>
      <c r="W5022" s="185"/>
      <c r="X5022" s="185"/>
      <c r="Y5022" s="284"/>
      <c r="Z5022" s="284"/>
      <c r="AA5022" s="284"/>
      <c r="AB5022" s="284"/>
      <c r="AC5022" s="284"/>
      <c r="AD5022" s="284"/>
      <c r="AE5022" s="284"/>
      <c r="AF5022" s="284"/>
      <c r="AG5022" s="284"/>
      <c r="AH5022" s="284"/>
      <c r="AI5022" s="284"/>
      <c r="AJ5022" s="284"/>
      <c r="AK5022" s="284"/>
      <c r="AL5022" s="284"/>
    </row>
    <row r="5023" ht="15.75" customHeight="1">
      <c r="A5023" s="394"/>
      <c r="B5023" s="395"/>
      <c r="C5023" s="395"/>
      <c r="D5023" s="396"/>
      <c r="E5023" s="397"/>
      <c r="F5023" s="395"/>
      <c r="G5023" s="395"/>
      <c r="H5023" s="397"/>
      <c r="I5023" s="395"/>
      <c r="J5023" s="395"/>
      <c r="K5023" s="397"/>
      <c r="L5023" s="395"/>
      <c r="M5023" s="395"/>
      <c r="N5023" s="395"/>
      <c r="O5023" s="397"/>
      <c r="P5023" s="395"/>
      <c r="Q5023" s="395"/>
      <c r="R5023" s="353"/>
      <c r="S5023" s="185"/>
      <c r="T5023" s="185"/>
      <c r="U5023" s="185"/>
      <c r="V5023" s="185"/>
      <c r="W5023" s="185"/>
      <c r="X5023" s="185"/>
      <c r="Y5023" s="284"/>
      <c r="Z5023" s="284"/>
      <c r="AA5023" s="284"/>
      <c r="AB5023" s="284"/>
      <c r="AC5023" s="284"/>
      <c r="AD5023" s="284"/>
      <c r="AE5023" s="284"/>
      <c r="AF5023" s="284"/>
      <c r="AG5023" s="284"/>
      <c r="AH5023" s="284"/>
      <c r="AI5023" s="284"/>
      <c r="AJ5023" s="284"/>
      <c r="AK5023" s="284"/>
      <c r="AL5023" s="284"/>
    </row>
    <row r="5024" ht="15.75" customHeight="1">
      <c r="A5024" s="394"/>
      <c r="B5024" s="395"/>
      <c r="C5024" s="395"/>
      <c r="D5024" s="396"/>
      <c r="E5024" s="397"/>
      <c r="F5024" s="395"/>
      <c r="G5024" s="395"/>
      <c r="H5024" s="397"/>
      <c r="I5024" s="395"/>
      <c r="J5024" s="395"/>
      <c r="K5024" s="397"/>
      <c r="L5024" s="395"/>
      <c r="M5024" s="395"/>
      <c r="N5024" s="395"/>
      <c r="O5024" s="397"/>
      <c r="P5024" s="395"/>
      <c r="Q5024" s="395"/>
      <c r="R5024" s="353"/>
      <c r="S5024" s="185"/>
      <c r="T5024" s="185"/>
      <c r="U5024" s="185"/>
      <c r="V5024" s="185"/>
      <c r="W5024" s="185"/>
      <c r="X5024" s="185"/>
      <c r="Y5024" s="284"/>
      <c r="Z5024" s="284"/>
      <c r="AA5024" s="284"/>
      <c r="AB5024" s="284"/>
      <c r="AC5024" s="284"/>
      <c r="AD5024" s="284"/>
      <c r="AE5024" s="284"/>
      <c r="AF5024" s="284"/>
      <c r="AG5024" s="284"/>
      <c r="AH5024" s="284"/>
      <c r="AI5024" s="284"/>
      <c r="AJ5024" s="284"/>
      <c r="AK5024" s="284"/>
      <c r="AL5024" s="284"/>
    </row>
    <row r="5025" ht="15.75" customHeight="1">
      <c r="A5025" s="394"/>
      <c r="B5025" s="395"/>
      <c r="C5025" s="395"/>
      <c r="D5025" s="396"/>
      <c r="E5025" s="397"/>
      <c r="F5025" s="395"/>
      <c r="G5025" s="395"/>
      <c r="H5025" s="397"/>
      <c r="I5025" s="395"/>
      <c r="J5025" s="395"/>
      <c r="K5025" s="397"/>
      <c r="L5025" s="395"/>
      <c r="M5025" s="395"/>
      <c r="N5025" s="395"/>
      <c r="O5025" s="397"/>
      <c r="P5025" s="395"/>
      <c r="Q5025" s="395"/>
      <c r="R5025" s="353"/>
      <c r="S5025" s="185"/>
      <c r="T5025" s="185"/>
      <c r="U5025" s="185"/>
      <c r="V5025" s="185"/>
      <c r="W5025" s="185"/>
      <c r="X5025" s="185"/>
      <c r="Y5025" s="284"/>
      <c r="Z5025" s="284"/>
      <c r="AA5025" s="284"/>
      <c r="AB5025" s="284"/>
      <c r="AC5025" s="284"/>
      <c r="AD5025" s="284"/>
      <c r="AE5025" s="284"/>
      <c r="AF5025" s="284"/>
      <c r="AG5025" s="284"/>
      <c r="AH5025" s="284"/>
      <c r="AI5025" s="284"/>
      <c r="AJ5025" s="284"/>
      <c r="AK5025" s="284"/>
      <c r="AL5025" s="284"/>
    </row>
    <row r="5026" ht="15.75" customHeight="1">
      <c r="A5026" s="394"/>
      <c r="B5026" s="395"/>
      <c r="C5026" s="395"/>
      <c r="D5026" s="396"/>
      <c r="E5026" s="397"/>
      <c r="F5026" s="395"/>
      <c r="G5026" s="395"/>
      <c r="H5026" s="397"/>
      <c r="I5026" s="395"/>
      <c r="J5026" s="395"/>
      <c r="K5026" s="397"/>
      <c r="L5026" s="395"/>
      <c r="M5026" s="395"/>
      <c r="N5026" s="395"/>
      <c r="O5026" s="397"/>
      <c r="P5026" s="395"/>
      <c r="Q5026" s="395"/>
      <c r="R5026" s="353"/>
      <c r="S5026" s="185"/>
      <c r="T5026" s="185"/>
      <c r="U5026" s="185"/>
      <c r="V5026" s="185"/>
      <c r="W5026" s="185"/>
      <c r="X5026" s="185"/>
      <c r="Y5026" s="284"/>
      <c r="Z5026" s="284"/>
      <c r="AA5026" s="284"/>
      <c r="AB5026" s="284"/>
      <c r="AC5026" s="284"/>
      <c r="AD5026" s="284"/>
      <c r="AE5026" s="284"/>
      <c r="AF5026" s="284"/>
      <c r="AG5026" s="284"/>
      <c r="AH5026" s="284"/>
      <c r="AI5026" s="284"/>
      <c r="AJ5026" s="284"/>
      <c r="AK5026" s="284"/>
      <c r="AL5026" s="284"/>
    </row>
    <row r="5027" ht="15.75" customHeight="1">
      <c r="A5027" s="394"/>
      <c r="B5027" s="395"/>
      <c r="C5027" s="395"/>
      <c r="D5027" s="396"/>
      <c r="E5027" s="397"/>
      <c r="F5027" s="395"/>
      <c r="G5027" s="395"/>
      <c r="H5027" s="397"/>
      <c r="I5027" s="395"/>
      <c r="J5027" s="395"/>
      <c r="K5027" s="397"/>
      <c r="L5027" s="395"/>
      <c r="M5027" s="395"/>
      <c r="N5027" s="395"/>
      <c r="O5027" s="397"/>
      <c r="P5027" s="395"/>
      <c r="Q5027" s="395"/>
      <c r="R5027" s="353"/>
      <c r="S5027" s="185"/>
      <c r="T5027" s="185"/>
      <c r="U5027" s="185"/>
      <c r="V5027" s="185"/>
      <c r="W5027" s="185"/>
      <c r="X5027" s="185"/>
      <c r="Y5027" s="284"/>
      <c r="Z5027" s="284"/>
      <c r="AA5027" s="284"/>
      <c r="AB5027" s="284"/>
      <c r="AC5027" s="284"/>
      <c r="AD5027" s="284"/>
      <c r="AE5027" s="284"/>
      <c r="AF5027" s="284"/>
      <c r="AG5027" s="284"/>
      <c r="AH5027" s="284"/>
      <c r="AI5027" s="284"/>
      <c r="AJ5027" s="284"/>
      <c r="AK5027" s="284"/>
      <c r="AL5027" s="284"/>
    </row>
    <row r="5028" ht="15.75" customHeight="1">
      <c r="A5028" s="394"/>
      <c r="B5028" s="395"/>
      <c r="C5028" s="395"/>
      <c r="D5028" s="396"/>
      <c r="E5028" s="397"/>
      <c r="F5028" s="395"/>
      <c r="G5028" s="395"/>
      <c r="H5028" s="397"/>
      <c r="I5028" s="395"/>
      <c r="J5028" s="395"/>
      <c r="K5028" s="397"/>
      <c r="L5028" s="395"/>
      <c r="M5028" s="395"/>
      <c r="N5028" s="395"/>
      <c r="O5028" s="397"/>
      <c r="P5028" s="395"/>
      <c r="Q5028" s="395"/>
      <c r="R5028" s="353"/>
      <c r="S5028" s="185"/>
      <c r="T5028" s="185"/>
      <c r="U5028" s="185"/>
      <c r="V5028" s="185"/>
      <c r="W5028" s="185"/>
      <c r="X5028" s="185"/>
      <c r="Y5028" s="284"/>
      <c r="Z5028" s="284"/>
      <c r="AA5028" s="284"/>
      <c r="AB5028" s="284"/>
      <c r="AC5028" s="284"/>
      <c r="AD5028" s="284"/>
      <c r="AE5028" s="284"/>
      <c r="AF5028" s="284"/>
      <c r="AG5028" s="284"/>
      <c r="AH5028" s="284"/>
      <c r="AI5028" s="284"/>
      <c r="AJ5028" s="284"/>
      <c r="AK5028" s="284"/>
      <c r="AL5028" s="284"/>
    </row>
    <row r="5029" ht="15.75" customHeight="1">
      <c r="A5029" s="394"/>
      <c r="B5029" s="395"/>
      <c r="C5029" s="395"/>
      <c r="D5029" s="396"/>
      <c r="E5029" s="397"/>
      <c r="F5029" s="395"/>
      <c r="G5029" s="395"/>
      <c r="H5029" s="397"/>
      <c r="I5029" s="395"/>
      <c r="J5029" s="395"/>
      <c r="K5029" s="397"/>
      <c r="L5029" s="395"/>
      <c r="M5029" s="395"/>
      <c r="N5029" s="395"/>
      <c r="O5029" s="397"/>
      <c r="P5029" s="395"/>
      <c r="Q5029" s="395"/>
      <c r="R5029" s="353"/>
      <c r="S5029" s="185"/>
      <c r="T5029" s="185"/>
      <c r="U5029" s="185"/>
      <c r="V5029" s="185"/>
      <c r="W5029" s="185"/>
      <c r="X5029" s="185"/>
      <c r="Y5029" s="284"/>
      <c r="Z5029" s="284"/>
      <c r="AA5029" s="284"/>
      <c r="AB5029" s="284"/>
      <c r="AC5029" s="284"/>
      <c r="AD5029" s="284"/>
      <c r="AE5029" s="284"/>
      <c r="AF5029" s="284"/>
      <c r="AG5029" s="284"/>
      <c r="AH5029" s="284"/>
      <c r="AI5029" s="284"/>
      <c r="AJ5029" s="284"/>
      <c r="AK5029" s="284"/>
      <c r="AL5029" s="284"/>
    </row>
    <row r="5030" ht="15.75" customHeight="1">
      <c r="A5030" s="394"/>
      <c r="B5030" s="395"/>
      <c r="C5030" s="395"/>
      <c r="D5030" s="396"/>
      <c r="E5030" s="397"/>
      <c r="F5030" s="395"/>
      <c r="G5030" s="395"/>
      <c r="H5030" s="397"/>
      <c r="I5030" s="395"/>
      <c r="J5030" s="395"/>
      <c r="K5030" s="397"/>
      <c r="L5030" s="395"/>
      <c r="M5030" s="395"/>
      <c r="N5030" s="395"/>
      <c r="O5030" s="397"/>
      <c r="P5030" s="395"/>
      <c r="Q5030" s="395"/>
      <c r="R5030" s="353"/>
      <c r="S5030" s="185"/>
      <c r="T5030" s="185"/>
      <c r="U5030" s="185"/>
      <c r="V5030" s="185"/>
      <c r="W5030" s="185"/>
      <c r="X5030" s="185"/>
      <c r="Y5030" s="284"/>
      <c r="Z5030" s="284"/>
      <c r="AA5030" s="284"/>
      <c r="AB5030" s="284"/>
      <c r="AC5030" s="284"/>
      <c r="AD5030" s="284"/>
      <c r="AE5030" s="284"/>
      <c r="AF5030" s="284"/>
      <c r="AG5030" s="284"/>
      <c r="AH5030" s="284"/>
      <c r="AI5030" s="284"/>
      <c r="AJ5030" s="284"/>
      <c r="AK5030" s="284"/>
      <c r="AL5030" s="284"/>
    </row>
    <row r="5031" ht="15.75" customHeight="1">
      <c r="A5031" s="394"/>
      <c r="B5031" s="395"/>
      <c r="C5031" s="395"/>
      <c r="D5031" s="396"/>
      <c r="E5031" s="397"/>
      <c r="F5031" s="395"/>
      <c r="G5031" s="395"/>
      <c r="H5031" s="397"/>
      <c r="I5031" s="395"/>
      <c r="J5031" s="395"/>
      <c r="K5031" s="397"/>
      <c r="L5031" s="395"/>
      <c r="M5031" s="395"/>
      <c r="N5031" s="395"/>
      <c r="O5031" s="397"/>
      <c r="P5031" s="395"/>
      <c r="Q5031" s="395"/>
      <c r="R5031" s="353"/>
      <c r="S5031" s="185"/>
      <c r="T5031" s="185"/>
      <c r="U5031" s="185"/>
      <c r="V5031" s="185"/>
      <c r="W5031" s="185"/>
      <c r="X5031" s="185"/>
      <c r="Y5031" s="284"/>
      <c r="Z5031" s="284"/>
      <c r="AA5031" s="284"/>
      <c r="AB5031" s="284"/>
      <c r="AC5031" s="284"/>
      <c r="AD5031" s="284"/>
      <c r="AE5031" s="284"/>
      <c r="AF5031" s="284"/>
      <c r="AG5031" s="284"/>
      <c r="AH5031" s="284"/>
      <c r="AI5031" s="284"/>
      <c r="AJ5031" s="284"/>
      <c r="AK5031" s="284"/>
      <c r="AL5031" s="284"/>
    </row>
    <row r="5032" ht="15.75" customHeight="1">
      <c r="A5032" s="394"/>
      <c r="B5032" s="395"/>
      <c r="C5032" s="395"/>
      <c r="D5032" s="396"/>
      <c r="E5032" s="397"/>
      <c r="F5032" s="395"/>
      <c r="G5032" s="395"/>
      <c r="H5032" s="397"/>
      <c r="I5032" s="395"/>
      <c r="J5032" s="395"/>
      <c r="K5032" s="397"/>
      <c r="L5032" s="395"/>
      <c r="M5032" s="395"/>
      <c r="N5032" s="395"/>
      <c r="O5032" s="397"/>
      <c r="P5032" s="395"/>
      <c r="Q5032" s="395"/>
      <c r="R5032" s="353"/>
      <c r="S5032" s="185"/>
      <c r="T5032" s="185"/>
      <c r="U5032" s="185"/>
      <c r="V5032" s="185"/>
      <c r="W5032" s="185"/>
      <c r="X5032" s="185"/>
      <c r="Y5032" s="284"/>
      <c r="Z5032" s="284"/>
      <c r="AA5032" s="284"/>
      <c r="AB5032" s="284"/>
      <c r="AC5032" s="284"/>
      <c r="AD5032" s="284"/>
      <c r="AE5032" s="284"/>
      <c r="AF5032" s="284"/>
      <c r="AG5032" s="284"/>
      <c r="AH5032" s="284"/>
      <c r="AI5032" s="284"/>
      <c r="AJ5032" s="284"/>
      <c r="AK5032" s="284"/>
      <c r="AL5032" s="284"/>
    </row>
    <row r="5033" ht="15.75" customHeight="1">
      <c r="A5033" s="394"/>
      <c r="B5033" s="395"/>
      <c r="C5033" s="395"/>
      <c r="D5033" s="396"/>
      <c r="E5033" s="397"/>
      <c r="F5033" s="395"/>
      <c r="G5033" s="395"/>
      <c r="H5033" s="397"/>
      <c r="I5033" s="395"/>
      <c r="J5033" s="395"/>
      <c r="K5033" s="397"/>
      <c r="L5033" s="395"/>
      <c r="M5033" s="395"/>
      <c r="N5033" s="395"/>
      <c r="O5033" s="397"/>
      <c r="P5033" s="395"/>
      <c r="Q5033" s="395"/>
      <c r="R5033" s="353"/>
      <c r="S5033" s="185"/>
      <c r="T5033" s="185"/>
      <c r="U5033" s="185"/>
      <c r="V5033" s="185"/>
      <c r="W5033" s="185"/>
      <c r="X5033" s="185"/>
      <c r="Y5033" s="284"/>
      <c r="Z5033" s="284"/>
      <c r="AA5033" s="284"/>
      <c r="AB5033" s="284"/>
      <c r="AC5033" s="284"/>
      <c r="AD5033" s="284"/>
      <c r="AE5033" s="284"/>
      <c r="AF5033" s="284"/>
      <c r="AG5033" s="284"/>
      <c r="AH5033" s="284"/>
      <c r="AI5033" s="284"/>
      <c r="AJ5033" s="284"/>
      <c r="AK5033" s="284"/>
      <c r="AL5033" s="284"/>
    </row>
    <row r="5034" ht="15.75" customHeight="1">
      <c r="A5034" s="394"/>
      <c r="B5034" s="395"/>
      <c r="C5034" s="395"/>
      <c r="D5034" s="396"/>
      <c r="E5034" s="397"/>
      <c r="F5034" s="395"/>
      <c r="G5034" s="395"/>
      <c r="H5034" s="397"/>
      <c r="I5034" s="395"/>
      <c r="J5034" s="395"/>
      <c r="K5034" s="397"/>
      <c r="L5034" s="395"/>
      <c r="M5034" s="395"/>
      <c r="N5034" s="395"/>
      <c r="O5034" s="397"/>
      <c r="P5034" s="395"/>
      <c r="Q5034" s="395"/>
      <c r="R5034" s="353"/>
      <c r="S5034" s="185"/>
      <c r="T5034" s="185"/>
      <c r="U5034" s="185"/>
      <c r="V5034" s="185"/>
      <c r="W5034" s="185"/>
      <c r="X5034" s="185"/>
      <c r="Y5034" s="284"/>
      <c r="Z5034" s="284"/>
      <c r="AA5034" s="284"/>
      <c r="AB5034" s="284"/>
      <c r="AC5034" s="284"/>
      <c r="AD5034" s="284"/>
      <c r="AE5034" s="284"/>
      <c r="AF5034" s="284"/>
      <c r="AG5034" s="284"/>
      <c r="AH5034" s="284"/>
      <c r="AI5034" s="284"/>
      <c r="AJ5034" s="284"/>
      <c r="AK5034" s="284"/>
      <c r="AL5034" s="284"/>
    </row>
    <row r="5035" ht="15.75" customHeight="1">
      <c r="A5035" s="394"/>
      <c r="B5035" s="395"/>
      <c r="C5035" s="395"/>
      <c r="D5035" s="396"/>
      <c r="E5035" s="397"/>
      <c r="F5035" s="395"/>
      <c r="G5035" s="395"/>
      <c r="H5035" s="397"/>
      <c r="I5035" s="395"/>
      <c r="J5035" s="395"/>
      <c r="K5035" s="397"/>
      <c r="L5035" s="395"/>
      <c r="M5035" s="395"/>
      <c r="N5035" s="395"/>
      <c r="O5035" s="397"/>
      <c r="P5035" s="395"/>
      <c r="Q5035" s="395"/>
      <c r="R5035" s="353"/>
      <c r="S5035" s="185"/>
      <c r="T5035" s="185"/>
      <c r="U5035" s="185"/>
      <c r="V5035" s="185"/>
      <c r="W5035" s="185"/>
      <c r="X5035" s="185"/>
      <c r="Y5035" s="284"/>
      <c r="Z5035" s="284"/>
      <c r="AA5035" s="284"/>
      <c r="AB5035" s="284"/>
      <c r="AC5035" s="284"/>
      <c r="AD5035" s="284"/>
      <c r="AE5035" s="284"/>
      <c r="AF5035" s="284"/>
      <c r="AG5035" s="284"/>
      <c r="AH5035" s="284"/>
      <c r="AI5035" s="284"/>
      <c r="AJ5035" s="284"/>
      <c r="AK5035" s="284"/>
      <c r="AL5035" s="284"/>
    </row>
    <row r="5036" ht="15.75" customHeight="1">
      <c r="A5036" s="394"/>
      <c r="B5036" s="395"/>
      <c r="C5036" s="395"/>
      <c r="D5036" s="396"/>
      <c r="E5036" s="397"/>
      <c r="F5036" s="395"/>
      <c r="G5036" s="395"/>
      <c r="H5036" s="397"/>
      <c r="I5036" s="395"/>
      <c r="J5036" s="395"/>
      <c r="K5036" s="397"/>
      <c r="L5036" s="395"/>
      <c r="M5036" s="395"/>
      <c r="N5036" s="395"/>
      <c r="O5036" s="397"/>
      <c r="P5036" s="395"/>
      <c r="Q5036" s="395"/>
      <c r="R5036" s="353"/>
      <c r="S5036" s="185"/>
      <c r="T5036" s="185"/>
      <c r="U5036" s="185"/>
      <c r="V5036" s="185"/>
      <c r="W5036" s="185"/>
      <c r="X5036" s="185"/>
      <c r="Y5036" s="284"/>
      <c r="Z5036" s="284"/>
      <c r="AA5036" s="284"/>
      <c r="AB5036" s="284"/>
      <c r="AC5036" s="284"/>
      <c r="AD5036" s="284"/>
      <c r="AE5036" s="284"/>
      <c r="AF5036" s="284"/>
      <c r="AG5036" s="284"/>
      <c r="AH5036" s="284"/>
      <c r="AI5036" s="284"/>
      <c r="AJ5036" s="284"/>
      <c r="AK5036" s="284"/>
      <c r="AL5036" s="284"/>
    </row>
    <row r="5037" ht="15.75" customHeight="1">
      <c r="A5037" s="394"/>
      <c r="B5037" s="395"/>
      <c r="C5037" s="395"/>
      <c r="D5037" s="396"/>
      <c r="E5037" s="397"/>
      <c r="F5037" s="395"/>
      <c r="G5037" s="395"/>
      <c r="H5037" s="397"/>
      <c r="I5037" s="395"/>
      <c r="J5037" s="395"/>
      <c r="K5037" s="397"/>
      <c r="L5037" s="395"/>
      <c r="M5037" s="395"/>
      <c r="N5037" s="395"/>
      <c r="O5037" s="397"/>
      <c r="P5037" s="395"/>
      <c r="Q5037" s="395"/>
      <c r="R5037" s="353"/>
      <c r="S5037" s="185"/>
      <c r="T5037" s="185"/>
      <c r="U5037" s="185"/>
      <c r="V5037" s="185"/>
      <c r="W5037" s="185"/>
      <c r="X5037" s="185"/>
      <c r="Y5037" s="284"/>
      <c r="Z5037" s="284"/>
      <c r="AA5037" s="284"/>
      <c r="AB5037" s="284"/>
      <c r="AC5037" s="284"/>
      <c r="AD5037" s="284"/>
      <c r="AE5037" s="284"/>
      <c r="AF5037" s="284"/>
      <c r="AG5037" s="284"/>
      <c r="AH5037" s="284"/>
      <c r="AI5037" s="284"/>
      <c r="AJ5037" s="284"/>
      <c r="AK5037" s="284"/>
      <c r="AL5037" s="284"/>
    </row>
    <row r="5038" ht="15.75" customHeight="1">
      <c r="A5038" s="394"/>
      <c r="B5038" s="395"/>
      <c r="C5038" s="395"/>
      <c r="D5038" s="396"/>
      <c r="E5038" s="397"/>
      <c r="F5038" s="395"/>
      <c r="G5038" s="395"/>
      <c r="H5038" s="397"/>
      <c r="I5038" s="395"/>
      <c r="J5038" s="395"/>
      <c r="K5038" s="397"/>
      <c r="L5038" s="395"/>
      <c r="M5038" s="395"/>
      <c r="N5038" s="395"/>
      <c r="O5038" s="397"/>
      <c r="P5038" s="395"/>
      <c r="Q5038" s="395"/>
      <c r="R5038" s="353"/>
      <c r="S5038" s="185"/>
      <c r="T5038" s="185"/>
      <c r="U5038" s="185"/>
      <c r="V5038" s="185"/>
      <c r="W5038" s="185"/>
      <c r="X5038" s="185"/>
      <c r="Y5038" s="284"/>
      <c r="Z5038" s="284"/>
      <c r="AA5038" s="284"/>
      <c r="AB5038" s="284"/>
      <c r="AC5038" s="284"/>
      <c r="AD5038" s="284"/>
      <c r="AE5038" s="284"/>
      <c r="AF5038" s="284"/>
      <c r="AG5038" s="284"/>
      <c r="AH5038" s="284"/>
      <c r="AI5038" s="284"/>
      <c r="AJ5038" s="284"/>
      <c r="AK5038" s="284"/>
      <c r="AL5038" s="284"/>
    </row>
    <row r="5039" ht="15.75" customHeight="1">
      <c r="A5039" s="394"/>
      <c r="B5039" s="395"/>
      <c r="C5039" s="395"/>
      <c r="D5039" s="396"/>
      <c r="E5039" s="397"/>
      <c r="F5039" s="395"/>
      <c r="G5039" s="395"/>
      <c r="H5039" s="397"/>
      <c r="I5039" s="395"/>
      <c r="J5039" s="395"/>
      <c r="K5039" s="397"/>
      <c r="L5039" s="395"/>
      <c r="M5039" s="395"/>
      <c r="N5039" s="395"/>
      <c r="O5039" s="397"/>
      <c r="P5039" s="395"/>
      <c r="Q5039" s="395"/>
      <c r="R5039" s="353"/>
      <c r="S5039" s="185"/>
      <c r="T5039" s="185"/>
      <c r="U5039" s="185"/>
      <c r="V5039" s="185"/>
      <c r="W5039" s="185"/>
      <c r="X5039" s="185"/>
      <c r="Y5039" s="284"/>
      <c r="Z5039" s="284"/>
      <c r="AA5039" s="284"/>
      <c r="AB5039" s="284"/>
      <c r="AC5039" s="284"/>
      <c r="AD5039" s="284"/>
      <c r="AE5039" s="284"/>
      <c r="AF5039" s="284"/>
      <c r="AG5039" s="284"/>
      <c r="AH5039" s="284"/>
      <c r="AI5039" s="284"/>
      <c r="AJ5039" s="284"/>
      <c r="AK5039" s="284"/>
      <c r="AL5039" s="284"/>
    </row>
    <row r="5040" ht="15.75" customHeight="1">
      <c r="A5040" s="394"/>
      <c r="B5040" s="395"/>
      <c r="C5040" s="395"/>
      <c r="D5040" s="396"/>
      <c r="E5040" s="397"/>
      <c r="F5040" s="395"/>
      <c r="G5040" s="395"/>
      <c r="H5040" s="397"/>
      <c r="I5040" s="395"/>
      <c r="J5040" s="395"/>
      <c r="K5040" s="397"/>
      <c r="L5040" s="395"/>
      <c r="M5040" s="395"/>
      <c r="N5040" s="395"/>
      <c r="O5040" s="397"/>
      <c r="P5040" s="395"/>
      <c r="Q5040" s="395"/>
      <c r="R5040" s="353"/>
      <c r="S5040" s="185"/>
      <c r="T5040" s="185"/>
      <c r="U5040" s="185"/>
      <c r="V5040" s="185"/>
      <c r="W5040" s="185"/>
      <c r="X5040" s="185"/>
      <c r="Y5040" s="284"/>
      <c r="Z5040" s="284"/>
      <c r="AA5040" s="284"/>
      <c r="AB5040" s="284"/>
      <c r="AC5040" s="284"/>
      <c r="AD5040" s="284"/>
      <c r="AE5040" s="284"/>
      <c r="AF5040" s="284"/>
      <c r="AG5040" s="284"/>
      <c r="AH5040" s="284"/>
      <c r="AI5040" s="284"/>
      <c r="AJ5040" s="284"/>
      <c r="AK5040" s="284"/>
      <c r="AL5040" s="284"/>
    </row>
    <row r="5041" ht="15.75" customHeight="1">
      <c r="A5041" s="394"/>
      <c r="B5041" s="395"/>
      <c r="C5041" s="395"/>
      <c r="D5041" s="396"/>
      <c r="E5041" s="397"/>
      <c r="F5041" s="395"/>
      <c r="G5041" s="395"/>
      <c r="H5041" s="397"/>
      <c r="I5041" s="395"/>
      <c r="J5041" s="395"/>
      <c r="K5041" s="397"/>
      <c r="L5041" s="395"/>
      <c r="M5041" s="395"/>
      <c r="N5041" s="395"/>
      <c r="O5041" s="397"/>
      <c r="P5041" s="395"/>
      <c r="Q5041" s="395"/>
      <c r="R5041" s="353"/>
      <c r="S5041" s="185"/>
      <c r="T5041" s="185"/>
      <c r="U5041" s="185"/>
      <c r="V5041" s="185"/>
      <c r="W5041" s="185"/>
      <c r="X5041" s="185"/>
      <c r="Y5041" s="284"/>
      <c r="Z5041" s="284"/>
      <c r="AA5041" s="284"/>
      <c r="AB5041" s="284"/>
      <c r="AC5041" s="284"/>
      <c r="AD5041" s="284"/>
      <c r="AE5041" s="284"/>
      <c r="AF5041" s="284"/>
      <c r="AG5041" s="284"/>
      <c r="AH5041" s="284"/>
      <c r="AI5041" s="284"/>
      <c r="AJ5041" s="284"/>
      <c r="AK5041" s="284"/>
      <c r="AL5041" s="284"/>
    </row>
    <row r="5042" ht="15.75" customHeight="1">
      <c r="A5042" s="394"/>
      <c r="B5042" s="395"/>
      <c r="C5042" s="395"/>
      <c r="D5042" s="396"/>
      <c r="E5042" s="397"/>
      <c r="F5042" s="395"/>
      <c r="G5042" s="395"/>
      <c r="H5042" s="397"/>
      <c r="I5042" s="395"/>
      <c r="J5042" s="395"/>
      <c r="K5042" s="397"/>
      <c r="L5042" s="395"/>
      <c r="M5042" s="395"/>
      <c r="N5042" s="395"/>
      <c r="O5042" s="397"/>
      <c r="P5042" s="395"/>
      <c r="Q5042" s="395"/>
      <c r="R5042" s="353"/>
      <c r="S5042" s="185"/>
      <c r="T5042" s="185"/>
      <c r="U5042" s="185"/>
      <c r="V5042" s="185"/>
      <c r="W5042" s="185"/>
      <c r="X5042" s="185"/>
      <c r="Y5042" s="284"/>
      <c r="Z5042" s="284"/>
      <c r="AA5042" s="284"/>
      <c r="AB5042" s="284"/>
      <c r="AC5042" s="284"/>
      <c r="AD5042" s="284"/>
      <c r="AE5042" s="284"/>
      <c r="AF5042" s="284"/>
      <c r="AG5042" s="284"/>
      <c r="AH5042" s="284"/>
      <c r="AI5042" s="284"/>
      <c r="AJ5042" s="284"/>
      <c r="AK5042" s="284"/>
      <c r="AL5042" s="284"/>
    </row>
    <row r="5043" ht="15.75" customHeight="1">
      <c r="A5043" s="394"/>
      <c r="B5043" s="395"/>
      <c r="C5043" s="395"/>
      <c r="D5043" s="396"/>
      <c r="E5043" s="397"/>
      <c r="F5043" s="395"/>
      <c r="G5043" s="395"/>
      <c r="H5043" s="397"/>
      <c r="I5043" s="395"/>
      <c r="J5043" s="395"/>
      <c r="K5043" s="397"/>
      <c r="L5043" s="395"/>
      <c r="M5043" s="395"/>
      <c r="N5043" s="395"/>
      <c r="O5043" s="397"/>
      <c r="P5043" s="395"/>
      <c r="Q5043" s="395"/>
      <c r="R5043" s="353"/>
      <c r="S5043" s="185"/>
      <c r="T5043" s="185"/>
      <c r="U5043" s="185"/>
      <c r="V5043" s="185"/>
      <c r="W5043" s="185"/>
      <c r="X5043" s="185"/>
      <c r="Y5043" s="284"/>
      <c r="Z5043" s="284"/>
      <c r="AA5043" s="284"/>
      <c r="AB5043" s="284"/>
      <c r="AC5043" s="284"/>
      <c r="AD5043" s="284"/>
      <c r="AE5043" s="284"/>
      <c r="AF5043" s="284"/>
      <c r="AG5043" s="284"/>
      <c r="AH5043" s="284"/>
      <c r="AI5043" s="284"/>
      <c r="AJ5043" s="284"/>
      <c r="AK5043" s="284"/>
      <c r="AL5043" s="284"/>
    </row>
    <row r="5044" ht="15.75" customHeight="1">
      <c r="A5044" s="394"/>
      <c r="B5044" s="395"/>
      <c r="C5044" s="395"/>
      <c r="D5044" s="396"/>
      <c r="E5044" s="397"/>
      <c r="F5044" s="395"/>
      <c r="G5044" s="395"/>
      <c r="H5044" s="397"/>
      <c r="I5044" s="395"/>
      <c r="J5044" s="395"/>
      <c r="K5044" s="397"/>
      <c r="L5044" s="395"/>
      <c r="M5044" s="395"/>
      <c r="N5044" s="395"/>
      <c r="O5044" s="397"/>
      <c r="P5044" s="395"/>
      <c r="Q5044" s="395"/>
      <c r="R5044" s="353"/>
      <c r="S5044" s="185"/>
      <c r="T5044" s="185"/>
      <c r="U5044" s="185"/>
      <c r="V5044" s="185"/>
      <c r="W5044" s="185"/>
      <c r="X5044" s="185"/>
      <c r="Y5044" s="284"/>
      <c r="Z5044" s="284"/>
      <c r="AA5044" s="284"/>
      <c r="AB5044" s="284"/>
      <c r="AC5044" s="284"/>
      <c r="AD5044" s="284"/>
      <c r="AE5044" s="284"/>
      <c r="AF5044" s="284"/>
      <c r="AG5044" s="284"/>
      <c r="AH5044" s="284"/>
      <c r="AI5044" s="284"/>
      <c r="AJ5044" s="284"/>
      <c r="AK5044" s="284"/>
      <c r="AL5044" s="284"/>
    </row>
    <row r="5045" ht="15.75" customHeight="1">
      <c r="A5045" s="394"/>
      <c r="B5045" s="395"/>
      <c r="C5045" s="395"/>
      <c r="D5045" s="396"/>
      <c r="E5045" s="397"/>
      <c r="F5045" s="395"/>
      <c r="G5045" s="395"/>
      <c r="H5045" s="397"/>
      <c r="I5045" s="395"/>
      <c r="J5045" s="395"/>
      <c r="K5045" s="397"/>
      <c r="L5045" s="395"/>
      <c r="M5045" s="395"/>
      <c r="N5045" s="395"/>
      <c r="O5045" s="397"/>
      <c r="P5045" s="395"/>
      <c r="Q5045" s="395"/>
      <c r="R5045" s="353"/>
      <c r="S5045" s="185"/>
      <c r="T5045" s="185"/>
      <c r="U5045" s="185"/>
      <c r="V5045" s="185"/>
      <c r="W5045" s="185"/>
      <c r="X5045" s="185"/>
      <c r="Y5045" s="284"/>
      <c r="Z5045" s="284"/>
      <c r="AA5045" s="284"/>
      <c r="AB5045" s="284"/>
      <c r="AC5045" s="284"/>
      <c r="AD5045" s="284"/>
      <c r="AE5045" s="284"/>
      <c r="AF5045" s="284"/>
      <c r="AG5045" s="284"/>
      <c r="AH5045" s="284"/>
      <c r="AI5045" s="284"/>
      <c r="AJ5045" s="284"/>
      <c r="AK5045" s="284"/>
      <c r="AL5045" s="284"/>
    </row>
    <row r="5046" ht="15.75" customHeight="1">
      <c r="A5046" s="394"/>
      <c r="B5046" s="395"/>
      <c r="C5046" s="395"/>
      <c r="D5046" s="396"/>
      <c r="E5046" s="397"/>
      <c r="F5046" s="395"/>
      <c r="G5046" s="395"/>
      <c r="H5046" s="397"/>
      <c r="I5046" s="395"/>
      <c r="J5046" s="395"/>
      <c r="K5046" s="397"/>
      <c r="L5046" s="395"/>
      <c r="M5046" s="395"/>
      <c r="N5046" s="395"/>
      <c r="O5046" s="397"/>
      <c r="P5046" s="395"/>
      <c r="Q5046" s="395"/>
      <c r="R5046" s="353"/>
      <c r="S5046" s="185"/>
      <c r="T5046" s="185"/>
      <c r="U5046" s="185"/>
      <c r="V5046" s="185"/>
      <c r="W5046" s="185"/>
      <c r="X5046" s="185"/>
      <c r="Y5046" s="284"/>
      <c r="Z5046" s="284"/>
      <c r="AA5046" s="284"/>
      <c r="AB5046" s="284"/>
      <c r="AC5046" s="284"/>
      <c r="AD5046" s="284"/>
      <c r="AE5046" s="284"/>
      <c r="AF5046" s="284"/>
      <c r="AG5046" s="284"/>
      <c r="AH5046" s="284"/>
      <c r="AI5046" s="284"/>
      <c r="AJ5046" s="284"/>
      <c r="AK5046" s="284"/>
      <c r="AL5046" s="284"/>
    </row>
    <row r="5047" ht="15.75" customHeight="1">
      <c r="A5047" s="394"/>
      <c r="B5047" s="395"/>
      <c r="C5047" s="395"/>
      <c r="D5047" s="396"/>
      <c r="E5047" s="397"/>
      <c r="F5047" s="395"/>
      <c r="G5047" s="395"/>
      <c r="H5047" s="397"/>
      <c r="I5047" s="395"/>
      <c r="J5047" s="395"/>
      <c r="K5047" s="397"/>
      <c r="L5047" s="395"/>
      <c r="M5047" s="395"/>
      <c r="N5047" s="395"/>
      <c r="O5047" s="397"/>
      <c r="P5047" s="395"/>
      <c r="Q5047" s="395"/>
      <c r="R5047" s="353"/>
      <c r="S5047" s="185"/>
      <c r="T5047" s="185"/>
      <c r="U5047" s="185"/>
      <c r="V5047" s="185"/>
      <c r="W5047" s="185"/>
      <c r="X5047" s="185"/>
      <c r="Y5047" s="284"/>
      <c r="Z5047" s="284"/>
      <c r="AA5047" s="284"/>
      <c r="AB5047" s="284"/>
      <c r="AC5047" s="284"/>
      <c r="AD5047" s="284"/>
      <c r="AE5047" s="284"/>
      <c r="AF5047" s="284"/>
      <c r="AG5047" s="284"/>
      <c r="AH5047" s="284"/>
      <c r="AI5047" s="284"/>
      <c r="AJ5047" s="284"/>
      <c r="AK5047" s="284"/>
      <c r="AL5047" s="284"/>
    </row>
    <row r="5048" ht="15.75" customHeight="1">
      <c r="A5048" s="394"/>
      <c r="B5048" s="395"/>
      <c r="C5048" s="395"/>
      <c r="D5048" s="396"/>
      <c r="E5048" s="397"/>
      <c r="F5048" s="395"/>
      <c r="G5048" s="395"/>
      <c r="H5048" s="397"/>
      <c r="I5048" s="395"/>
      <c r="J5048" s="395"/>
      <c r="K5048" s="397"/>
      <c r="L5048" s="395"/>
      <c r="M5048" s="395"/>
      <c r="N5048" s="395"/>
      <c r="O5048" s="397"/>
      <c r="P5048" s="395"/>
      <c r="Q5048" s="395"/>
      <c r="R5048" s="353"/>
      <c r="S5048" s="185"/>
      <c r="T5048" s="185"/>
      <c r="U5048" s="185"/>
      <c r="V5048" s="185"/>
      <c r="W5048" s="185"/>
      <c r="X5048" s="185"/>
      <c r="Y5048" s="284"/>
      <c r="Z5048" s="284"/>
      <c r="AA5048" s="284"/>
      <c r="AB5048" s="284"/>
      <c r="AC5048" s="284"/>
      <c r="AD5048" s="284"/>
      <c r="AE5048" s="284"/>
      <c r="AF5048" s="284"/>
      <c r="AG5048" s="284"/>
      <c r="AH5048" s="284"/>
      <c r="AI5048" s="284"/>
      <c r="AJ5048" s="284"/>
      <c r="AK5048" s="284"/>
      <c r="AL5048" s="284"/>
    </row>
    <row r="5049" ht="15.75" customHeight="1">
      <c r="A5049" s="394"/>
      <c r="B5049" s="395"/>
      <c r="C5049" s="395"/>
      <c r="D5049" s="396"/>
      <c r="E5049" s="397"/>
      <c r="F5049" s="395"/>
      <c r="G5049" s="395"/>
      <c r="H5049" s="397"/>
      <c r="I5049" s="395"/>
      <c r="J5049" s="395"/>
      <c r="K5049" s="397"/>
      <c r="L5049" s="395"/>
      <c r="M5049" s="395"/>
      <c r="N5049" s="395"/>
      <c r="O5049" s="397"/>
      <c r="P5049" s="395"/>
      <c r="Q5049" s="395"/>
      <c r="R5049" s="353"/>
      <c r="S5049" s="185"/>
      <c r="T5049" s="185"/>
      <c r="U5049" s="185"/>
      <c r="V5049" s="185"/>
      <c r="W5049" s="185"/>
      <c r="X5049" s="185"/>
      <c r="Y5049" s="284"/>
      <c r="Z5049" s="284"/>
      <c r="AA5049" s="284"/>
      <c r="AB5049" s="284"/>
      <c r="AC5049" s="284"/>
      <c r="AD5049" s="284"/>
      <c r="AE5049" s="284"/>
      <c r="AF5049" s="284"/>
      <c r="AG5049" s="284"/>
      <c r="AH5049" s="284"/>
      <c r="AI5049" s="284"/>
      <c r="AJ5049" s="284"/>
      <c r="AK5049" s="284"/>
      <c r="AL5049" s="284"/>
    </row>
    <row r="5050" ht="15.75" customHeight="1">
      <c r="A5050" s="394"/>
      <c r="B5050" s="395"/>
      <c r="C5050" s="395"/>
      <c r="D5050" s="396"/>
      <c r="E5050" s="397"/>
      <c r="F5050" s="395"/>
      <c r="G5050" s="395"/>
      <c r="H5050" s="397"/>
      <c r="I5050" s="395"/>
      <c r="J5050" s="395"/>
      <c r="K5050" s="397"/>
      <c r="L5050" s="395"/>
      <c r="M5050" s="395"/>
      <c r="N5050" s="395"/>
      <c r="O5050" s="397"/>
      <c r="P5050" s="395"/>
      <c r="Q5050" s="395"/>
      <c r="R5050" s="353"/>
      <c r="S5050" s="185"/>
      <c r="T5050" s="185"/>
      <c r="U5050" s="185"/>
      <c r="V5050" s="185"/>
      <c r="W5050" s="185"/>
      <c r="X5050" s="185"/>
      <c r="Y5050" s="284"/>
      <c r="Z5050" s="284"/>
      <c r="AA5050" s="284"/>
      <c r="AB5050" s="284"/>
      <c r="AC5050" s="284"/>
      <c r="AD5050" s="284"/>
      <c r="AE5050" s="284"/>
      <c r="AF5050" s="284"/>
      <c r="AG5050" s="284"/>
      <c r="AH5050" s="284"/>
      <c r="AI5050" s="284"/>
      <c r="AJ5050" s="284"/>
      <c r="AK5050" s="284"/>
      <c r="AL5050" s="284"/>
    </row>
    <row r="5051" ht="15.75" customHeight="1">
      <c r="A5051" s="394"/>
      <c r="B5051" s="395"/>
      <c r="C5051" s="395"/>
      <c r="D5051" s="396"/>
      <c r="E5051" s="397"/>
      <c r="F5051" s="395"/>
      <c r="G5051" s="395"/>
      <c r="H5051" s="397"/>
      <c r="I5051" s="395"/>
      <c r="J5051" s="395"/>
      <c r="K5051" s="397"/>
      <c r="L5051" s="395"/>
      <c r="M5051" s="395"/>
      <c r="N5051" s="395"/>
      <c r="O5051" s="397"/>
      <c r="P5051" s="395"/>
      <c r="Q5051" s="395"/>
      <c r="R5051" s="353"/>
      <c r="S5051" s="185"/>
      <c r="T5051" s="185"/>
      <c r="U5051" s="185"/>
      <c r="V5051" s="185"/>
      <c r="W5051" s="185"/>
      <c r="X5051" s="185"/>
      <c r="Y5051" s="284"/>
      <c r="Z5051" s="284"/>
      <c r="AA5051" s="284"/>
      <c r="AB5051" s="284"/>
      <c r="AC5051" s="284"/>
      <c r="AD5051" s="284"/>
      <c r="AE5051" s="284"/>
      <c r="AF5051" s="284"/>
      <c r="AG5051" s="284"/>
      <c r="AH5051" s="284"/>
      <c r="AI5051" s="284"/>
      <c r="AJ5051" s="284"/>
      <c r="AK5051" s="284"/>
      <c r="AL5051" s="284"/>
    </row>
    <row r="5052" ht="15.75" customHeight="1">
      <c r="A5052" s="394"/>
      <c r="B5052" s="395"/>
      <c r="C5052" s="395"/>
      <c r="D5052" s="396"/>
      <c r="E5052" s="397"/>
      <c r="F5052" s="395"/>
      <c r="G5052" s="395"/>
      <c r="H5052" s="397"/>
      <c r="I5052" s="395"/>
      <c r="J5052" s="395"/>
      <c r="K5052" s="397"/>
      <c r="L5052" s="395"/>
      <c r="M5052" s="395"/>
      <c r="N5052" s="395"/>
      <c r="O5052" s="397"/>
      <c r="P5052" s="395"/>
      <c r="Q5052" s="395"/>
      <c r="R5052" s="353"/>
      <c r="S5052" s="185"/>
      <c r="T5052" s="185"/>
      <c r="U5052" s="185"/>
      <c r="V5052" s="185"/>
      <c r="W5052" s="185"/>
      <c r="X5052" s="185"/>
      <c r="Y5052" s="284"/>
      <c r="Z5052" s="284"/>
      <c r="AA5052" s="284"/>
      <c r="AB5052" s="284"/>
      <c r="AC5052" s="284"/>
      <c r="AD5052" s="284"/>
      <c r="AE5052" s="284"/>
      <c r="AF5052" s="284"/>
      <c r="AG5052" s="284"/>
      <c r="AH5052" s="284"/>
      <c r="AI5052" s="284"/>
      <c r="AJ5052" s="284"/>
      <c r="AK5052" s="284"/>
      <c r="AL5052" s="284"/>
    </row>
    <row r="5053" ht="15.75" customHeight="1">
      <c r="A5053" s="394"/>
      <c r="B5053" s="395"/>
      <c r="C5053" s="395"/>
      <c r="D5053" s="396"/>
      <c r="E5053" s="397"/>
      <c r="F5053" s="395"/>
      <c r="G5053" s="395"/>
      <c r="H5053" s="397"/>
      <c r="I5053" s="395"/>
      <c r="J5053" s="395"/>
      <c r="K5053" s="397"/>
      <c r="L5053" s="395"/>
      <c r="M5053" s="395"/>
      <c r="N5053" s="395"/>
      <c r="O5053" s="397"/>
      <c r="P5053" s="395"/>
      <c r="Q5053" s="395"/>
      <c r="R5053" s="353"/>
      <c r="S5053" s="185"/>
      <c r="T5053" s="185"/>
      <c r="U5053" s="185"/>
      <c r="V5053" s="185"/>
      <c r="W5053" s="185"/>
      <c r="X5053" s="185"/>
      <c r="Y5053" s="284"/>
      <c r="Z5053" s="284"/>
      <c r="AA5053" s="284"/>
      <c r="AB5053" s="284"/>
      <c r="AC5053" s="284"/>
      <c r="AD5053" s="284"/>
      <c r="AE5053" s="284"/>
      <c r="AF5053" s="284"/>
      <c r="AG5053" s="284"/>
      <c r="AH5053" s="284"/>
      <c r="AI5053" s="284"/>
      <c r="AJ5053" s="284"/>
      <c r="AK5053" s="284"/>
      <c r="AL5053" s="284"/>
    </row>
    <row r="5054" ht="15.75" customHeight="1">
      <c r="A5054" s="394"/>
      <c r="B5054" s="395"/>
      <c r="C5054" s="395"/>
      <c r="D5054" s="396"/>
      <c r="E5054" s="397"/>
      <c r="F5054" s="395"/>
      <c r="G5054" s="395"/>
      <c r="H5054" s="397"/>
      <c r="I5054" s="395"/>
      <c r="J5054" s="395"/>
      <c r="K5054" s="397"/>
      <c r="L5054" s="395"/>
      <c r="M5054" s="395"/>
      <c r="N5054" s="395"/>
      <c r="O5054" s="397"/>
      <c r="P5054" s="395"/>
      <c r="Q5054" s="395"/>
      <c r="R5054" s="353"/>
      <c r="S5054" s="185"/>
      <c r="T5054" s="185"/>
      <c r="U5054" s="185"/>
      <c r="V5054" s="185"/>
      <c r="W5054" s="185"/>
      <c r="X5054" s="185"/>
      <c r="Y5054" s="284"/>
      <c r="Z5054" s="284"/>
      <c r="AA5054" s="284"/>
      <c r="AB5054" s="284"/>
      <c r="AC5054" s="284"/>
      <c r="AD5054" s="284"/>
      <c r="AE5054" s="284"/>
      <c r="AF5054" s="284"/>
      <c r="AG5054" s="284"/>
      <c r="AH5054" s="284"/>
      <c r="AI5054" s="284"/>
      <c r="AJ5054" s="284"/>
      <c r="AK5054" s="284"/>
      <c r="AL5054" s="284"/>
    </row>
    <row r="5055" ht="15.75" customHeight="1">
      <c r="A5055" s="394"/>
      <c r="B5055" s="395"/>
      <c r="C5055" s="395"/>
      <c r="D5055" s="396"/>
      <c r="E5055" s="397"/>
      <c r="F5055" s="395"/>
      <c r="G5055" s="395"/>
      <c r="H5055" s="397"/>
      <c r="I5055" s="395"/>
      <c r="J5055" s="395"/>
      <c r="K5055" s="397"/>
      <c r="L5055" s="395"/>
      <c r="M5055" s="395"/>
      <c r="N5055" s="395"/>
      <c r="O5055" s="397"/>
      <c r="P5055" s="395"/>
      <c r="Q5055" s="395"/>
      <c r="R5055" s="353"/>
      <c r="S5055" s="185"/>
      <c r="T5055" s="185"/>
      <c r="U5055" s="185"/>
      <c r="V5055" s="185"/>
      <c r="W5055" s="185"/>
      <c r="X5055" s="185"/>
      <c r="Y5055" s="284"/>
      <c r="Z5055" s="284"/>
      <c r="AA5055" s="284"/>
      <c r="AB5055" s="284"/>
      <c r="AC5055" s="284"/>
      <c r="AD5055" s="284"/>
      <c r="AE5055" s="284"/>
      <c r="AF5055" s="284"/>
      <c r="AG5055" s="284"/>
      <c r="AH5055" s="284"/>
      <c r="AI5055" s="284"/>
      <c r="AJ5055" s="284"/>
      <c r="AK5055" s="284"/>
      <c r="AL5055" s="284"/>
    </row>
    <row r="5056" ht="15.75" customHeight="1">
      <c r="A5056" s="394"/>
      <c r="B5056" s="395"/>
      <c r="C5056" s="395"/>
      <c r="D5056" s="396"/>
      <c r="E5056" s="397"/>
      <c r="F5056" s="395"/>
      <c r="G5056" s="395"/>
      <c r="H5056" s="397"/>
      <c r="I5056" s="395"/>
      <c r="J5056" s="395"/>
      <c r="K5056" s="397"/>
      <c r="L5056" s="395"/>
      <c r="M5056" s="395"/>
      <c r="N5056" s="395"/>
      <c r="O5056" s="397"/>
      <c r="P5056" s="395"/>
      <c r="Q5056" s="395"/>
      <c r="R5056" s="353"/>
      <c r="S5056" s="185"/>
      <c r="T5056" s="185"/>
      <c r="U5056" s="185"/>
      <c r="V5056" s="185"/>
      <c r="W5056" s="185"/>
      <c r="X5056" s="185"/>
      <c r="Y5056" s="284"/>
      <c r="Z5056" s="284"/>
      <c r="AA5056" s="284"/>
      <c r="AB5056" s="284"/>
      <c r="AC5056" s="284"/>
      <c r="AD5056" s="284"/>
      <c r="AE5056" s="284"/>
      <c r="AF5056" s="284"/>
      <c r="AG5056" s="284"/>
      <c r="AH5056" s="284"/>
      <c r="AI5056" s="284"/>
      <c r="AJ5056" s="284"/>
      <c r="AK5056" s="284"/>
      <c r="AL5056" s="284"/>
    </row>
    <row r="5057" ht="15.75" customHeight="1">
      <c r="A5057" s="394"/>
      <c r="B5057" s="395"/>
      <c r="C5057" s="395"/>
      <c r="D5057" s="396"/>
      <c r="E5057" s="397"/>
      <c r="F5057" s="395"/>
      <c r="G5057" s="395"/>
      <c r="H5057" s="397"/>
      <c r="I5057" s="395"/>
      <c r="J5057" s="395"/>
      <c r="K5057" s="397"/>
      <c r="L5057" s="395"/>
      <c r="M5057" s="395"/>
      <c r="N5057" s="395"/>
      <c r="O5057" s="397"/>
      <c r="P5057" s="395"/>
      <c r="Q5057" s="395"/>
      <c r="R5057" s="353"/>
      <c r="S5057" s="185"/>
      <c r="T5057" s="185"/>
      <c r="U5057" s="185"/>
      <c r="V5057" s="185"/>
      <c r="W5057" s="185"/>
      <c r="X5057" s="185"/>
      <c r="Y5057" s="284"/>
      <c r="Z5057" s="284"/>
      <c r="AA5057" s="284"/>
      <c r="AB5057" s="284"/>
      <c r="AC5057" s="284"/>
      <c r="AD5057" s="284"/>
      <c r="AE5057" s="284"/>
      <c r="AF5057" s="284"/>
      <c r="AG5057" s="284"/>
      <c r="AH5057" s="284"/>
      <c r="AI5057" s="284"/>
      <c r="AJ5057" s="284"/>
      <c r="AK5057" s="284"/>
      <c r="AL5057" s="284"/>
    </row>
    <row r="5058" ht="15.75" customHeight="1">
      <c r="A5058" s="394"/>
      <c r="B5058" s="395"/>
      <c r="C5058" s="395"/>
      <c r="D5058" s="396"/>
      <c r="E5058" s="397"/>
      <c r="F5058" s="395"/>
      <c r="G5058" s="395"/>
      <c r="H5058" s="397"/>
      <c r="I5058" s="395"/>
      <c r="J5058" s="395"/>
      <c r="K5058" s="397"/>
      <c r="L5058" s="395"/>
      <c r="M5058" s="395"/>
      <c r="N5058" s="395"/>
      <c r="O5058" s="397"/>
      <c r="P5058" s="395"/>
      <c r="Q5058" s="395"/>
      <c r="R5058" s="353"/>
      <c r="S5058" s="185"/>
      <c r="T5058" s="185"/>
      <c r="U5058" s="185"/>
      <c r="V5058" s="185"/>
      <c r="W5058" s="185"/>
      <c r="X5058" s="185"/>
      <c r="Y5058" s="284"/>
      <c r="Z5058" s="284"/>
      <c r="AA5058" s="284"/>
      <c r="AB5058" s="284"/>
      <c r="AC5058" s="284"/>
      <c r="AD5058" s="284"/>
      <c r="AE5058" s="284"/>
      <c r="AF5058" s="284"/>
      <c r="AG5058" s="284"/>
      <c r="AH5058" s="284"/>
      <c r="AI5058" s="284"/>
      <c r="AJ5058" s="284"/>
      <c r="AK5058" s="284"/>
      <c r="AL5058" s="284"/>
    </row>
    <row r="5059" ht="15.75" customHeight="1">
      <c r="A5059" s="394"/>
      <c r="B5059" s="395"/>
      <c r="C5059" s="395"/>
      <c r="D5059" s="396"/>
      <c r="E5059" s="397"/>
      <c r="F5059" s="395"/>
      <c r="G5059" s="395"/>
      <c r="H5059" s="397"/>
      <c r="I5059" s="395"/>
      <c r="J5059" s="395"/>
      <c r="K5059" s="397"/>
      <c r="L5059" s="395"/>
      <c r="M5059" s="395"/>
      <c r="N5059" s="395"/>
      <c r="O5059" s="397"/>
      <c r="P5059" s="395"/>
      <c r="Q5059" s="395"/>
      <c r="R5059" s="353"/>
      <c r="S5059" s="185"/>
      <c r="T5059" s="185"/>
      <c r="U5059" s="185"/>
      <c r="V5059" s="185"/>
      <c r="W5059" s="185"/>
      <c r="X5059" s="185"/>
      <c r="Y5059" s="284"/>
      <c r="Z5059" s="284"/>
      <c r="AA5059" s="284"/>
      <c r="AB5059" s="284"/>
      <c r="AC5059" s="284"/>
      <c r="AD5059" s="284"/>
      <c r="AE5059" s="284"/>
      <c r="AF5059" s="284"/>
      <c r="AG5059" s="284"/>
      <c r="AH5059" s="284"/>
      <c r="AI5059" s="284"/>
      <c r="AJ5059" s="284"/>
      <c r="AK5059" s="284"/>
      <c r="AL5059" s="284"/>
    </row>
    <row r="5060" ht="15.75" customHeight="1">
      <c r="A5060" s="394"/>
      <c r="B5060" s="395"/>
      <c r="C5060" s="395"/>
      <c r="D5060" s="396"/>
      <c r="E5060" s="397"/>
      <c r="F5060" s="395"/>
      <c r="G5060" s="395"/>
      <c r="H5060" s="397"/>
      <c r="I5060" s="395"/>
      <c r="J5060" s="395"/>
      <c r="K5060" s="397"/>
      <c r="L5060" s="395"/>
      <c r="M5060" s="395"/>
      <c r="N5060" s="395"/>
      <c r="O5060" s="397"/>
      <c r="P5060" s="395"/>
      <c r="Q5060" s="395"/>
      <c r="R5060" s="353"/>
      <c r="S5060" s="185"/>
      <c r="T5060" s="185"/>
      <c r="U5060" s="185"/>
      <c r="V5060" s="185"/>
      <c r="W5060" s="185"/>
      <c r="X5060" s="185"/>
      <c r="Y5060" s="284"/>
      <c r="Z5060" s="284"/>
      <c r="AA5060" s="284"/>
      <c r="AB5060" s="284"/>
      <c r="AC5060" s="284"/>
      <c r="AD5060" s="284"/>
      <c r="AE5060" s="284"/>
      <c r="AF5060" s="284"/>
      <c r="AG5060" s="284"/>
      <c r="AH5060" s="284"/>
      <c r="AI5060" s="284"/>
      <c r="AJ5060" s="284"/>
      <c r="AK5060" s="284"/>
      <c r="AL5060" s="284"/>
    </row>
    <row r="5061" ht="15.75" customHeight="1">
      <c r="A5061" s="394"/>
      <c r="B5061" s="395"/>
      <c r="C5061" s="395"/>
      <c r="D5061" s="396"/>
      <c r="E5061" s="397"/>
      <c r="F5061" s="395"/>
      <c r="G5061" s="395"/>
      <c r="H5061" s="397"/>
      <c r="I5061" s="395"/>
      <c r="J5061" s="395"/>
      <c r="K5061" s="397"/>
      <c r="L5061" s="395"/>
      <c r="M5061" s="395"/>
      <c r="N5061" s="395"/>
      <c r="O5061" s="397"/>
      <c r="P5061" s="395"/>
      <c r="Q5061" s="395"/>
      <c r="R5061" s="353"/>
      <c r="S5061" s="185"/>
      <c r="T5061" s="185"/>
      <c r="U5061" s="185"/>
      <c r="V5061" s="185"/>
      <c r="W5061" s="185"/>
      <c r="X5061" s="185"/>
      <c r="Y5061" s="284"/>
      <c r="Z5061" s="284"/>
      <c r="AA5061" s="284"/>
      <c r="AB5061" s="284"/>
      <c r="AC5061" s="284"/>
      <c r="AD5061" s="284"/>
      <c r="AE5061" s="284"/>
      <c r="AF5061" s="284"/>
      <c r="AG5061" s="284"/>
      <c r="AH5061" s="284"/>
      <c r="AI5061" s="284"/>
      <c r="AJ5061" s="284"/>
      <c r="AK5061" s="284"/>
      <c r="AL5061" s="284"/>
    </row>
    <row r="5062" ht="15.75" customHeight="1">
      <c r="A5062" s="394"/>
      <c r="B5062" s="395"/>
      <c r="C5062" s="395"/>
      <c r="D5062" s="396"/>
      <c r="E5062" s="397"/>
      <c r="F5062" s="395"/>
      <c r="G5062" s="395"/>
      <c r="H5062" s="397"/>
      <c r="I5062" s="395"/>
      <c r="J5062" s="395"/>
      <c r="K5062" s="397"/>
      <c r="L5062" s="395"/>
      <c r="M5062" s="395"/>
      <c r="N5062" s="395"/>
      <c r="O5062" s="397"/>
      <c r="P5062" s="395"/>
      <c r="Q5062" s="395"/>
      <c r="R5062" s="353"/>
      <c r="S5062" s="185"/>
      <c r="T5062" s="185"/>
      <c r="U5062" s="185"/>
      <c r="V5062" s="185"/>
      <c r="W5062" s="185"/>
      <c r="X5062" s="185"/>
      <c r="Y5062" s="284"/>
      <c r="Z5062" s="284"/>
      <c r="AA5062" s="284"/>
      <c r="AB5062" s="284"/>
      <c r="AC5062" s="284"/>
      <c r="AD5062" s="284"/>
      <c r="AE5062" s="284"/>
      <c r="AF5062" s="284"/>
      <c r="AG5062" s="284"/>
      <c r="AH5062" s="284"/>
      <c r="AI5062" s="284"/>
      <c r="AJ5062" s="284"/>
      <c r="AK5062" s="284"/>
      <c r="AL5062" s="284"/>
    </row>
    <row r="5063" ht="15.75" customHeight="1">
      <c r="A5063" s="394"/>
      <c r="B5063" s="395"/>
      <c r="C5063" s="395"/>
      <c r="D5063" s="396"/>
      <c r="E5063" s="397"/>
      <c r="F5063" s="395"/>
      <c r="G5063" s="395"/>
      <c r="H5063" s="397"/>
      <c r="I5063" s="395"/>
      <c r="J5063" s="395"/>
      <c r="K5063" s="397"/>
      <c r="L5063" s="395"/>
      <c r="M5063" s="395"/>
      <c r="N5063" s="395"/>
      <c r="O5063" s="397"/>
      <c r="P5063" s="395"/>
      <c r="Q5063" s="395"/>
      <c r="R5063" s="353"/>
      <c r="S5063" s="185"/>
      <c r="T5063" s="185"/>
      <c r="U5063" s="185"/>
      <c r="V5063" s="185"/>
      <c r="W5063" s="185"/>
      <c r="X5063" s="185"/>
      <c r="Y5063" s="284"/>
      <c r="Z5063" s="284"/>
      <c r="AA5063" s="284"/>
      <c r="AB5063" s="284"/>
      <c r="AC5063" s="284"/>
      <c r="AD5063" s="284"/>
      <c r="AE5063" s="284"/>
      <c r="AF5063" s="284"/>
      <c r="AG5063" s="284"/>
      <c r="AH5063" s="284"/>
      <c r="AI5063" s="284"/>
      <c r="AJ5063" s="284"/>
      <c r="AK5063" s="284"/>
      <c r="AL5063" s="284"/>
    </row>
    <row r="5064" ht="15.75" customHeight="1">
      <c r="A5064" s="394"/>
      <c r="B5064" s="395"/>
      <c r="C5064" s="395"/>
      <c r="D5064" s="396"/>
      <c r="E5064" s="397"/>
      <c r="F5064" s="395"/>
      <c r="G5064" s="395"/>
      <c r="H5064" s="397"/>
      <c r="I5064" s="395"/>
      <c r="J5064" s="395"/>
      <c r="K5064" s="397"/>
      <c r="L5064" s="395"/>
      <c r="M5064" s="395"/>
      <c r="N5064" s="395"/>
      <c r="O5064" s="397"/>
      <c r="P5064" s="395"/>
      <c r="Q5064" s="395"/>
      <c r="R5064" s="353"/>
      <c r="S5064" s="185"/>
      <c r="T5064" s="185"/>
      <c r="U5064" s="185"/>
      <c r="V5064" s="185"/>
      <c r="W5064" s="185"/>
      <c r="X5064" s="185"/>
      <c r="Y5064" s="284"/>
      <c r="Z5064" s="284"/>
      <c r="AA5064" s="284"/>
      <c r="AB5064" s="284"/>
      <c r="AC5064" s="284"/>
      <c r="AD5064" s="284"/>
      <c r="AE5064" s="284"/>
      <c r="AF5064" s="284"/>
      <c r="AG5064" s="284"/>
      <c r="AH5064" s="284"/>
      <c r="AI5064" s="284"/>
      <c r="AJ5064" s="284"/>
      <c r="AK5064" s="284"/>
      <c r="AL5064" s="284"/>
    </row>
    <row r="5065" ht="15.75" customHeight="1">
      <c r="A5065" s="394"/>
      <c r="B5065" s="395"/>
      <c r="C5065" s="395"/>
      <c r="D5065" s="396"/>
      <c r="E5065" s="397"/>
      <c r="F5065" s="395"/>
      <c r="G5065" s="395"/>
      <c r="H5065" s="397"/>
      <c r="I5065" s="395"/>
      <c r="J5065" s="395"/>
      <c r="K5065" s="397"/>
      <c r="L5065" s="395"/>
      <c r="M5065" s="395"/>
      <c r="N5065" s="395"/>
      <c r="O5065" s="397"/>
      <c r="P5065" s="395"/>
      <c r="Q5065" s="395"/>
      <c r="R5065" s="353"/>
      <c r="S5065" s="185"/>
      <c r="T5065" s="185"/>
      <c r="U5065" s="185"/>
      <c r="V5065" s="185"/>
      <c r="W5065" s="185"/>
      <c r="X5065" s="185"/>
      <c r="Y5065" s="284"/>
      <c r="Z5065" s="284"/>
      <c r="AA5065" s="284"/>
      <c r="AB5065" s="284"/>
      <c r="AC5065" s="284"/>
      <c r="AD5065" s="284"/>
      <c r="AE5065" s="284"/>
      <c r="AF5065" s="284"/>
      <c r="AG5065" s="284"/>
      <c r="AH5065" s="284"/>
      <c r="AI5065" s="284"/>
      <c r="AJ5065" s="284"/>
      <c r="AK5065" s="284"/>
      <c r="AL5065" s="284"/>
    </row>
    <row r="5066" ht="15.75" customHeight="1">
      <c r="A5066" s="394"/>
      <c r="B5066" s="395"/>
      <c r="C5066" s="395"/>
      <c r="D5066" s="396"/>
      <c r="E5066" s="397"/>
      <c r="F5066" s="395"/>
      <c r="G5066" s="395"/>
      <c r="H5066" s="397"/>
      <c r="I5066" s="395"/>
      <c r="J5066" s="395"/>
      <c r="K5066" s="397"/>
      <c r="L5066" s="395"/>
      <c r="M5066" s="395"/>
      <c r="N5066" s="395"/>
      <c r="O5066" s="397"/>
      <c r="P5066" s="395"/>
      <c r="Q5066" s="395"/>
      <c r="R5066" s="353"/>
      <c r="S5066" s="185"/>
      <c r="T5066" s="185"/>
      <c r="U5066" s="185"/>
      <c r="V5066" s="185"/>
      <c r="W5066" s="185"/>
      <c r="X5066" s="185"/>
      <c r="Y5066" s="284"/>
      <c r="Z5066" s="284"/>
      <c r="AA5066" s="284"/>
      <c r="AB5066" s="284"/>
      <c r="AC5066" s="284"/>
      <c r="AD5066" s="284"/>
      <c r="AE5066" s="284"/>
      <c r="AF5066" s="284"/>
      <c r="AG5066" s="284"/>
      <c r="AH5066" s="284"/>
      <c r="AI5066" s="284"/>
      <c r="AJ5066" s="284"/>
      <c r="AK5066" s="284"/>
      <c r="AL5066" s="284"/>
    </row>
    <row r="5067" ht="15.75" customHeight="1">
      <c r="A5067" s="394"/>
      <c r="B5067" s="395"/>
      <c r="C5067" s="395"/>
      <c r="D5067" s="396"/>
      <c r="E5067" s="397"/>
      <c r="F5067" s="395"/>
      <c r="G5067" s="395"/>
      <c r="H5067" s="397"/>
      <c r="I5067" s="395"/>
      <c r="J5067" s="395"/>
      <c r="K5067" s="397"/>
      <c r="L5067" s="395"/>
      <c r="M5067" s="395"/>
      <c r="N5067" s="395"/>
      <c r="O5067" s="397"/>
      <c r="P5067" s="395"/>
      <c r="Q5067" s="395"/>
      <c r="R5067" s="353"/>
      <c r="S5067" s="185"/>
      <c r="T5067" s="185"/>
      <c r="U5067" s="185"/>
      <c r="V5067" s="185"/>
      <c r="W5067" s="185"/>
      <c r="X5067" s="185"/>
      <c r="Y5067" s="284"/>
      <c r="Z5067" s="284"/>
      <c r="AA5067" s="284"/>
      <c r="AB5067" s="284"/>
      <c r="AC5067" s="284"/>
      <c r="AD5067" s="284"/>
      <c r="AE5067" s="284"/>
      <c r="AF5067" s="284"/>
      <c r="AG5067" s="284"/>
      <c r="AH5067" s="284"/>
      <c r="AI5067" s="284"/>
      <c r="AJ5067" s="284"/>
      <c r="AK5067" s="284"/>
      <c r="AL5067" s="284"/>
    </row>
    <row r="5068" ht="15.75" customHeight="1">
      <c r="A5068" s="394"/>
      <c r="B5068" s="395"/>
      <c r="C5068" s="395"/>
      <c r="D5068" s="396"/>
      <c r="E5068" s="397"/>
      <c r="F5068" s="395"/>
      <c r="G5068" s="395"/>
      <c r="H5068" s="397"/>
      <c r="I5068" s="395"/>
      <c r="J5068" s="395"/>
      <c r="K5068" s="397"/>
      <c r="L5068" s="395"/>
      <c r="M5068" s="395"/>
      <c r="N5068" s="395"/>
      <c r="O5068" s="397"/>
      <c r="P5068" s="395"/>
      <c r="Q5068" s="395"/>
      <c r="R5068" s="353"/>
      <c r="S5068" s="185"/>
      <c r="T5068" s="185"/>
      <c r="U5068" s="185"/>
      <c r="V5068" s="185"/>
      <c r="W5068" s="185"/>
      <c r="X5068" s="185"/>
      <c r="Y5068" s="284"/>
      <c r="Z5068" s="284"/>
      <c r="AA5068" s="284"/>
      <c r="AB5068" s="284"/>
      <c r="AC5068" s="284"/>
      <c r="AD5068" s="284"/>
      <c r="AE5068" s="284"/>
      <c r="AF5068" s="284"/>
      <c r="AG5068" s="284"/>
      <c r="AH5068" s="284"/>
      <c r="AI5068" s="284"/>
      <c r="AJ5068" s="284"/>
      <c r="AK5068" s="284"/>
      <c r="AL5068" s="284"/>
    </row>
    <row r="5069" ht="15.75" customHeight="1">
      <c r="A5069" s="394"/>
      <c r="B5069" s="395"/>
      <c r="C5069" s="395"/>
      <c r="D5069" s="396"/>
      <c r="E5069" s="397"/>
      <c r="F5069" s="395"/>
      <c r="G5069" s="395"/>
      <c r="H5069" s="397"/>
      <c r="I5069" s="395"/>
      <c r="J5069" s="395"/>
      <c r="K5069" s="397"/>
      <c r="L5069" s="395"/>
      <c r="M5069" s="395"/>
      <c r="N5069" s="395"/>
      <c r="O5069" s="397"/>
      <c r="P5069" s="395"/>
      <c r="Q5069" s="395"/>
      <c r="R5069" s="353"/>
      <c r="S5069" s="185"/>
      <c r="T5069" s="185"/>
      <c r="U5069" s="185"/>
      <c r="V5069" s="185"/>
      <c r="W5069" s="185"/>
      <c r="X5069" s="185"/>
      <c r="Y5069" s="284"/>
      <c r="Z5069" s="284"/>
      <c r="AA5069" s="284"/>
      <c r="AB5069" s="284"/>
      <c r="AC5069" s="284"/>
      <c r="AD5069" s="284"/>
      <c r="AE5069" s="284"/>
      <c r="AF5069" s="284"/>
      <c r="AG5069" s="284"/>
      <c r="AH5069" s="284"/>
      <c r="AI5069" s="284"/>
      <c r="AJ5069" s="284"/>
      <c r="AK5069" s="284"/>
      <c r="AL5069" s="284"/>
    </row>
    <row r="5070" ht="15.75" customHeight="1">
      <c r="A5070" s="394"/>
      <c r="B5070" s="395"/>
      <c r="C5070" s="395"/>
      <c r="D5070" s="396"/>
      <c r="E5070" s="397"/>
      <c r="F5070" s="395"/>
      <c r="G5070" s="395"/>
      <c r="H5070" s="397"/>
      <c r="I5070" s="395"/>
      <c r="J5070" s="395"/>
      <c r="K5070" s="397"/>
      <c r="L5070" s="395"/>
      <c r="M5070" s="395"/>
      <c r="N5070" s="395"/>
      <c r="O5070" s="397"/>
      <c r="P5070" s="395"/>
      <c r="Q5070" s="395"/>
      <c r="R5070" s="353"/>
      <c r="S5070" s="185"/>
      <c r="T5070" s="185"/>
      <c r="U5070" s="185"/>
      <c r="V5070" s="185"/>
      <c r="W5070" s="185"/>
      <c r="X5070" s="185"/>
      <c r="Y5070" s="284"/>
      <c r="Z5070" s="284"/>
      <c r="AA5070" s="284"/>
      <c r="AB5070" s="284"/>
      <c r="AC5070" s="284"/>
      <c r="AD5070" s="284"/>
      <c r="AE5070" s="284"/>
      <c r="AF5070" s="284"/>
      <c r="AG5070" s="284"/>
      <c r="AH5070" s="284"/>
      <c r="AI5070" s="284"/>
      <c r="AJ5070" s="284"/>
      <c r="AK5070" s="284"/>
      <c r="AL5070" s="284"/>
    </row>
    <row r="5071" ht="15.75" customHeight="1">
      <c r="A5071" s="394"/>
      <c r="B5071" s="395"/>
      <c r="C5071" s="395"/>
      <c r="D5071" s="396"/>
      <c r="E5071" s="397"/>
      <c r="F5071" s="395"/>
      <c r="G5071" s="395"/>
      <c r="H5071" s="397"/>
      <c r="I5071" s="395"/>
      <c r="J5071" s="395"/>
      <c r="K5071" s="397"/>
      <c r="L5071" s="395"/>
      <c r="M5071" s="395"/>
      <c r="N5071" s="395"/>
      <c r="O5071" s="397"/>
      <c r="P5071" s="395"/>
      <c r="Q5071" s="395"/>
      <c r="R5071" s="353"/>
      <c r="S5071" s="185"/>
      <c r="T5071" s="185"/>
      <c r="U5071" s="185"/>
      <c r="V5071" s="185"/>
      <c r="W5071" s="185"/>
      <c r="X5071" s="185"/>
      <c r="Y5071" s="284"/>
      <c r="Z5071" s="284"/>
      <c r="AA5071" s="284"/>
      <c r="AB5071" s="284"/>
      <c r="AC5071" s="284"/>
      <c r="AD5071" s="284"/>
      <c r="AE5071" s="284"/>
      <c r="AF5071" s="284"/>
      <c r="AG5071" s="284"/>
      <c r="AH5071" s="284"/>
      <c r="AI5071" s="284"/>
      <c r="AJ5071" s="284"/>
      <c r="AK5071" s="284"/>
      <c r="AL5071" s="284"/>
    </row>
    <row r="5072" ht="15.75" customHeight="1">
      <c r="A5072" s="394"/>
      <c r="B5072" s="395"/>
      <c r="C5072" s="395"/>
      <c r="D5072" s="396"/>
      <c r="E5072" s="397"/>
      <c r="F5072" s="395"/>
      <c r="G5072" s="395"/>
      <c r="H5072" s="397"/>
      <c r="I5072" s="395"/>
      <c r="J5072" s="395"/>
      <c r="K5072" s="397"/>
      <c r="L5072" s="395"/>
      <c r="M5072" s="395"/>
      <c r="N5072" s="395"/>
      <c r="O5072" s="397"/>
      <c r="P5072" s="395"/>
      <c r="Q5072" s="395"/>
      <c r="R5072" s="353"/>
      <c r="S5072" s="185"/>
      <c r="T5072" s="185"/>
      <c r="U5072" s="185"/>
      <c r="V5072" s="185"/>
      <c r="W5072" s="185"/>
      <c r="X5072" s="185"/>
      <c r="Y5072" s="284"/>
      <c r="Z5072" s="284"/>
      <c r="AA5072" s="284"/>
      <c r="AB5072" s="284"/>
      <c r="AC5072" s="284"/>
      <c r="AD5072" s="284"/>
      <c r="AE5072" s="284"/>
      <c r="AF5072" s="284"/>
      <c r="AG5072" s="284"/>
      <c r="AH5072" s="284"/>
      <c r="AI5072" s="284"/>
      <c r="AJ5072" s="284"/>
      <c r="AK5072" s="284"/>
      <c r="AL5072" s="284"/>
    </row>
    <row r="5073" ht="15.75" customHeight="1">
      <c r="A5073" s="394"/>
      <c r="B5073" s="395"/>
      <c r="C5073" s="395"/>
      <c r="D5073" s="396"/>
      <c r="E5073" s="397"/>
      <c r="F5073" s="395"/>
      <c r="G5073" s="395"/>
      <c r="H5073" s="397"/>
      <c r="I5073" s="395"/>
      <c r="J5073" s="395"/>
      <c r="K5073" s="397"/>
      <c r="L5073" s="395"/>
      <c r="M5073" s="395"/>
      <c r="N5073" s="395"/>
      <c r="O5073" s="397"/>
      <c r="P5073" s="395"/>
      <c r="Q5073" s="395"/>
      <c r="R5073" s="353"/>
      <c r="S5073" s="185"/>
      <c r="T5073" s="185"/>
      <c r="U5073" s="185"/>
      <c r="V5073" s="185"/>
      <c r="W5073" s="185"/>
      <c r="X5073" s="185"/>
      <c r="Y5073" s="284"/>
      <c r="Z5073" s="284"/>
      <c r="AA5073" s="284"/>
      <c r="AB5073" s="284"/>
      <c r="AC5073" s="284"/>
      <c r="AD5073" s="284"/>
      <c r="AE5073" s="284"/>
      <c r="AF5073" s="284"/>
      <c r="AG5073" s="284"/>
      <c r="AH5073" s="284"/>
      <c r="AI5073" s="284"/>
      <c r="AJ5073" s="284"/>
      <c r="AK5073" s="284"/>
      <c r="AL5073" s="284"/>
    </row>
    <row r="5074" ht="15.75" customHeight="1">
      <c r="A5074" s="394"/>
      <c r="B5074" s="395"/>
      <c r="C5074" s="395"/>
      <c r="D5074" s="396"/>
      <c r="E5074" s="397"/>
      <c r="F5074" s="395"/>
      <c r="G5074" s="395"/>
      <c r="H5074" s="397"/>
      <c r="I5074" s="395"/>
      <c r="J5074" s="395"/>
      <c r="K5074" s="397"/>
      <c r="L5074" s="395"/>
      <c r="M5074" s="395"/>
      <c r="N5074" s="395"/>
      <c r="O5074" s="397"/>
      <c r="P5074" s="395"/>
      <c r="Q5074" s="395"/>
      <c r="R5074" s="353"/>
      <c r="S5074" s="185"/>
      <c r="T5074" s="185"/>
      <c r="U5074" s="185"/>
      <c r="V5074" s="185"/>
      <c r="W5074" s="185"/>
      <c r="X5074" s="185"/>
      <c r="Y5074" s="284"/>
      <c r="Z5074" s="284"/>
      <c r="AA5074" s="284"/>
      <c r="AB5074" s="284"/>
      <c r="AC5074" s="284"/>
      <c r="AD5074" s="284"/>
      <c r="AE5074" s="284"/>
      <c r="AF5074" s="284"/>
      <c r="AG5074" s="284"/>
      <c r="AH5074" s="284"/>
      <c r="AI5074" s="284"/>
      <c r="AJ5074" s="284"/>
      <c r="AK5074" s="284"/>
      <c r="AL5074" s="284"/>
    </row>
    <row r="5075" ht="15.75" customHeight="1">
      <c r="A5075" s="394"/>
      <c r="B5075" s="395"/>
      <c r="C5075" s="395"/>
      <c r="D5075" s="396"/>
      <c r="E5075" s="397"/>
      <c r="F5075" s="395"/>
      <c r="G5075" s="395"/>
      <c r="H5075" s="397"/>
      <c r="I5075" s="395"/>
      <c r="J5075" s="395"/>
      <c r="K5075" s="397"/>
      <c r="L5075" s="395"/>
      <c r="M5075" s="395"/>
      <c r="N5075" s="395"/>
      <c r="O5075" s="397"/>
      <c r="P5075" s="395"/>
      <c r="Q5075" s="395"/>
      <c r="R5075" s="353"/>
      <c r="S5075" s="185"/>
      <c r="T5075" s="185"/>
      <c r="U5075" s="185"/>
      <c r="V5075" s="185"/>
      <c r="W5075" s="185"/>
      <c r="X5075" s="185"/>
      <c r="Y5075" s="284"/>
      <c r="Z5075" s="284"/>
      <c r="AA5075" s="284"/>
      <c r="AB5075" s="284"/>
      <c r="AC5075" s="284"/>
      <c r="AD5075" s="284"/>
      <c r="AE5075" s="284"/>
      <c r="AF5075" s="284"/>
      <c r="AG5075" s="284"/>
      <c r="AH5075" s="284"/>
      <c r="AI5075" s="284"/>
      <c r="AJ5075" s="284"/>
      <c r="AK5075" s="284"/>
      <c r="AL5075" s="284"/>
    </row>
    <row r="5076" ht="15.75" customHeight="1">
      <c r="A5076" s="394"/>
      <c r="B5076" s="395"/>
      <c r="C5076" s="395"/>
      <c r="D5076" s="396"/>
      <c r="E5076" s="397"/>
      <c r="F5076" s="395"/>
      <c r="G5076" s="395"/>
      <c r="H5076" s="397"/>
      <c r="I5076" s="395"/>
      <c r="J5076" s="395"/>
      <c r="K5076" s="397"/>
      <c r="L5076" s="395"/>
      <c r="M5076" s="395"/>
      <c r="N5076" s="395"/>
      <c r="O5076" s="397"/>
      <c r="P5076" s="395"/>
      <c r="Q5076" s="395"/>
      <c r="R5076" s="353"/>
      <c r="S5076" s="185"/>
      <c r="T5076" s="185"/>
      <c r="U5076" s="185"/>
      <c r="V5076" s="185"/>
      <c r="W5076" s="185"/>
      <c r="X5076" s="185"/>
      <c r="Y5076" s="284"/>
      <c r="Z5076" s="284"/>
      <c r="AA5076" s="284"/>
      <c r="AB5076" s="284"/>
      <c r="AC5076" s="284"/>
      <c r="AD5076" s="284"/>
      <c r="AE5076" s="284"/>
      <c r="AF5076" s="284"/>
      <c r="AG5076" s="284"/>
      <c r="AH5076" s="284"/>
      <c r="AI5076" s="284"/>
      <c r="AJ5076" s="284"/>
      <c r="AK5076" s="284"/>
      <c r="AL5076" s="284"/>
    </row>
    <row r="5077" ht="15.75" customHeight="1">
      <c r="A5077" s="394"/>
      <c r="B5077" s="395"/>
      <c r="C5077" s="395"/>
      <c r="D5077" s="396"/>
      <c r="E5077" s="397"/>
      <c r="F5077" s="395"/>
      <c r="G5077" s="395"/>
      <c r="H5077" s="397"/>
      <c r="I5077" s="395"/>
      <c r="J5077" s="395"/>
      <c r="K5077" s="397"/>
      <c r="L5077" s="395"/>
      <c r="M5077" s="395"/>
      <c r="N5077" s="395"/>
      <c r="O5077" s="397"/>
      <c r="P5077" s="395"/>
      <c r="Q5077" s="395"/>
      <c r="R5077" s="353"/>
      <c r="S5077" s="185"/>
      <c r="T5077" s="185"/>
      <c r="U5077" s="185"/>
      <c r="V5077" s="185"/>
      <c r="W5077" s="185"/>
      <c r="X5077" s="185"/>
      <c r="Y5077" s="284"/>
      <c r="Z5077" s="284"/>
      <c r="AA5077" s="284"/>
      <c r="AB5077" s="284"/>
      <c r="AC5077" s="284"/>
      <c r="AD5077" s="284"/>
      <c r="AE5077" s="284"/>
      <c r="AF5077" s="284"/>
      <c r="AG5077" s="284"/>
      <c r="AH5077" s="284"/>
      <c r="AI5077" s="284"/>
      <c r="AJ5077" s="284"/>
      <c r="AK5077" s="284"/>
      <c r="AL5077" s="284"/>
    </row>
    <row r="5078" ht="15.75" customHeight="1">
      <c r="A5078" s="394"/>
      <c r="B5078" s="395"/>
      <c r="C5078" s="395"/>
      <c r="D5078" s="396"/>
      <c r="E5078" s="397"/>
      <c r="F5078" s="395"/>
      <c r="G5078" s="395"/>
      <c r="H5078" s="397"/>
      <c r="I5078" s="395"/>
      <c r="J5078" s="395"/>
      <c r="K5078" s="397"/>
      <c r="L5078" s="395"/>
      <c r="M5078" s="395"/>
      <c r="N5078" s="395"/>
      <c r="O5078" s="397"/>
      <c r="P5078" s="395"/>
      <c r="Q5078" s="395"/>
      <c r="R5078" s="353"/>
      <c r="S5078" s="185"/>
      <c r="T5078" s="185"/>
      <c r="U5078" s="185"/>
      <c r="V5078" s="185"/>
      <c r="W5078" s="185"/>
      <c r="X5078" s="185"/>
      <c r="Y5078" s="284"/>
      <c r="Z5078" s="284"/>
      <c r="AA5078" s="284"/>
      <c r="AB5078" s="284"/>
      <c r="AC5078" s="284"/>
      <c r="AD5078" s="284"/>
      <c r="AE5078" s="284"/>
      <c r="AF5078" s="284"/>
      <c r="AG5078" s="284"/>
      <c r="AH5078" s="284"/>
      <c r="AI5078" s="284"/>
      <c r="AJ5078" s="284"/>
      <c r="AK5078" s="284"/>
      <c r="AL5078" s="284"/>
    </row>
    <row r="5079" ht="15.75" customHeight="1">
      <c r="A5079" s="394"/>
      <c r="B5079" s="395"/>
      <c r="C5079" s="395"/>
      <c r="D5079" s="396"/>
      <c r="E5079" s="397"/>
      <c r="F5079" s="395"/>
      <c r="G5079" s="395"/>
      <c r="H5079" s="397"/>
      <c r="I5079" s="395"/>
      <c r="J5079" s="395"/>
      <c r="K5079" s="397"/>
      <c r="L5079" s="395"/>
      <c r="M5079" s="395"/>
      <c r="N5079" s="395"/>
      <c r="O5079" s="397"/>
      <c r="P5079" s="395"/>
      <c r="Q5079" s="395"/>
      <c r="R5079" s="353"/>
      <c r="S5079" s="185"/>
      <c r="T5079" s="185"/>
      <c r="U5079" s="185"/>
      <c r="V5079" s="185"/>
      <c r="W5079" s="185"/>
      <c r="X5079" s="185"/>
      <c r="Y5079" s="284"/>
      <c r="Z5079" s="284"/>
      <c r="AA5079" s="284"/>
      <c r="AB5079" s="284"/>
      <c r="AC5079" s="284"/>
      <c r="AD5079" s="284"/>
      <c r="AE5079" s="284"/>
      <c r="AF5079" s="284"/>
      <c r="AG5079" s="284"/>
      <c r="AH5079" s="284"/>
      <c r="AI5079" s="284"/>
      <c r="AJ5079" s="284"/>
      <c r="AK5079" s="284"/>
      <c r="AL5079" s="284"/>
    </row>
    <row r="5080" ht="15.75" customHeight="1">
      <c r="A5080" s="394"/>
      <c r="B5080" s="395"/>
      <c r="C5080" s="395"/>
      <c r="D5080" s="396"/>
      <c r="E5080" s="397"/>
      <c r="F5080" s="395"/>
      <c r="G5080" s="395"/>
      <c r="H5080" s="397"/>
      <c r="I5080" s="395"/>
      <c r="J5080" s="395"/>
      <c r="K5080" s="397"/>
      <c r="L5080" s="395"/>
      <c r="M5080" s="395"/>
      <c r="N5080" s="395"/>
      <c r="O5080" s="397"/>
      <c r="P5080" s="395"/>
      <c r="Q5080" s="395"/>
      <c r="R5080" s="353"/>
      <c r="S5080" s="185"/>
      <c r="T5080" s="185"/>
      <c r="U5080" s="185"/>
      <c r="V5080" s="185"/>
      <c r="W5080" s="185"/>
      <c r="X5080" s="185"/>
      <c r="Y5080" s="284"/>
      <c r="Z5080" s="284"/>
      <c r="AA5080" s="284"/>
      <c r="AB5080" s="284"/>
      <c r="AC5080" s="284"/>
      <c r="AD5080" s="284"/>
      <c r="AE5080" s="284"/>
      <c r="AF5080" s="284"/>
      <c r="AG5080" s="284"/>
      <c r="AH5080" s="284"/>
      <c r="AI5080" s="284"/>
      <c r="AJ5080" s="284"/>
      <c r="AK5080" s="284"/>
      <c r="AL5080" s="284"/>
    </row>
    <row r="5081" ht="15.75" customHeight="1">
      <c r="A5081" s="394"/>
      <c r="B5081" s="395"/>
      <c r="C5081" s="395"/>
      <c r="D5081" s="396"/>
      <c r="E5081" s="397"/>
      <c r="F5081" s="395"/>
      <c r="G5081" s="395"/>
      <c r="H5081" s="397"/>
      <c r="I5081" s="395"/>
      <c r="J5081" s="395"/>
      <c r="K5081" s="397"/>
      <c r="L5081" s="395"/>
      <c r="M5081" s="395"/>
      <c r="N5081" s="395"/>
      <c r="O5081" s="397"/>
      <c r="P5081" s="395"/>
      <c r="Q5081" s="395"/>
      <c r="R5081" s="353"/>
      <c r="S5081" s="185"/>
      <c r="T5081" s="185"/>
      <c r="U5081" s="185"/>
      <c r="V5081" s="185"/>
      <c r="W5081" s="185"/>
      <c r="X5081" s="185"/>
      <c r="Y5081" s="284"/>
      <c r="Z5081" s="284"/>
      <c r="AA5081" s="284"/>
      <c r="AB5081" s="284"/>
      <c r="AC5081" s="284"/>
      <c r="AD5081" s="284"/>
      <c r="AE5081" s="284"/>
      <c r="AF5081" s="284"/>
      <c r="AG5081" s="284"/>
      <c r="AH5081" s="284"/>
      <c r="AI5081" s="284"/>
      <c r="AJ5081" s="284"/>
      <c r="AK5081" s="284"/>
      <c r="AL5081" s="284"/>
    </row>
    <row r="5082" ht="15.75" customHeight="1">
      <c r="A5082" s="394"/>
      <c r="B5082" s="395"/>
      <c r="C5082" s="395"/>
      <c r="D5082" s="396"/>
      <c r="E5082" s="397"/>
      <c r="F5082" s="395"/>
      <c r="G5082" s="395"/>
      <c r="H5082" s="397"/>
      <c r="I5082" s="395"/>
      <c r="J5082" s="395"/>
      <c r="K5082" s="397"/>
      <c r="L5082" s="395"/>
      <c r="M5082" s="395"/>
      <c r="N5082" s="395"/>
      <c r="O5082" s="397"/>
      <c r="P5082" s="395"/>
      <c r="Q5082" s="395"/>
      <c r="R5082" s="353"/>
      <c r="S5082" s="185"/>
      <c r="T5082" s="185"/>
      <c r="U5082" s="185"/>
      <c r="V5082" s="185"/>
      <c r="W5082" s="185"/>
      <c r="X5082" s="185"/>
      <c r="Y5082" s="284"/>
      <c r="Z5082" s="284"/>
      <c r="AA5082" s="284"/>
      <c r="AB5082" s="284"/>
      <c r="AC5082" s="284"/>
      <c r="AD5082" s="284"/>
      <c r="AE5082" s="284"/>
      <c r="AF5082" s="284"/>
      <c r="AG5082" s="284"/>
      <c r="AH5082" s="284"/>
      <c r="AI5082" s="284"/>
      <c r="AJ5082" s="284"/>
      <c r="AK5082" s="284"/>
      <c r="AL5082" s="284"/>
    </row>
    <row r="5083" ht="15.75" customHeight="1">
      <c r="A5083" s="394"/>
      <c r="B5083" s="395"/>
      <c r="C5083" s="395"/>
      <c r="D5083" s="396"/>
      <c r="E5083" s="397"/>
      <c r="F5083" s="395"/>
      <c r="G5083" s="395"/>
      <c r="H5083" s="397"/>
      <c r="I5083" s="395"/>
      <c r="J5083" s="395"/>
      <c r="K5083" s="397"/>
      <c r="L5083" s="395"/>
      <c r="M5083" s="395"/>
      <c r="N5083" s="395"/>
      <c r="O5083" s="397"/>
      <c r="P5083" s="395"/>
      <c r="Q5083" s="395"/>
      <c r="R5083" s="353"/>
      <c r="S5083" s="185"/>
      <c r="T5083" s="185"/>
      <c r="U5083" s="185"/>
      <c r="V5083" s="185"/>
      <c r="W5083" s="185"/>
      <c r="X5083" s="185"/>
      <c r="Y5083" s="284"/>
      <c r="Z5083" s="284"/>
      <c r="AA5083" s="284"/>
      <c r="AB5083" s="284"/>
      <c r="AC5083" s="284"/>
      <c r="AD5083" s="284"/>
      <c r="AE5083" s="284"/>
      <c r="AF5083" s="284"/>
      <c r="AG5083" s="284"/>
      <c r="AH5083" s="284"/>
      <c r="AI5083" s="284"/>
      <c r="AJ5083" s="284"/>
      <c r="AK5083" s="284"/>
      <c r="AL5083" s="284"/>
    </row>
    <row r="5084" ht="15.75" customHeight="1">
      <c r="A5084" s="394"/>
      <c r="B5084" s="395"/>
      <c r="C5084" s="395"/>
      <c r="D5084" s="396"/>
      <c r="E5084" s="397"/>
      <c r="F5084" s="395"/>
      <c r="G5084" s="395"/>
      <c r="H5084" s="397"/>
      <c r="I5084" s="395"/>
      <c r="J5084" s="395"/>
      <c r="K5084" s="397"/>
      <c r="L5084" s="395"/>
      <c r="M5084" s="395"/>
      <c r="N5084" s="395"/>
      <c r="O5084" s="397"/>
      <c r="P5084" s="395"/>
      <c r="Q5084" s="395"/>
      <c r="R5084" s="353"/>
      <c r="S5084" s="185"/>
      <c r="T5084" s="185"/>
      <c r="U5084" s="185"/>
      <c r="V5084" s="185"/>
      <c r="W5084" s="185"/>
      <c r="X5084" s="185"/>
      <c r="Y5084" s="284"/>
      <c r="Z5084" s="284"/>
      <c r="AA5084" s="284"/>
      <c r="AB5084" s="284"/>
      <c r="AC5084" s="284"/>
      <c r="AD5084" s="284"/>
      <c r="AE5084" s="284"/>
      <c r="AF5084" s="284"/>
      <c r="AG5084" s="284"/>
      <c r="AH5084" s="284"/>
      <c r="AI5084" s="284"/>
      <c r="AJ5084" s="284"/>
      <c r="AK5084" s="284"/>
      <c r="AL5084" s="284"/>
    </row>
    <row r="5085" ht="15.75" customHeight="1">
      <c r="A5085" s="394"/>
      <c r="B5085" s="395"/>
      <c r="C5085" s="395"/>
      <c r="D5085" s="396"/>
      <c r="E5085" s="397"/>
      <c r="F5085" s="395"/>
      <c r="G5085" s="395"/>
      <c r="H5085" s="397"/>
      <c r="I5085" s="395"/>
      <c r="J5085" s="395"/>
      <c r="K5085" s="397"/>
      <c r="L5085" s="395"/>
      <c r="M5085" s="395"/>
      <c r="N5085" s="395"/>
      <c r="O5085" s="397"/>
      <c r="P5085" s="395"/>
      <c r="Q5085" s="395"/>
      <c r="R5085" s="353"/>
      <c r="S5085" s="185"/>
      <c r="T5085" s="185"/>
      <c r="U5085" s="185"/>
      <c r="V5085" s="185"/>
      <c r="W5085" s="185"/>
      <c r="X5085" s="185"/>
      <c r="Y5085" s="284"/>
      <c r="Z5085" s="284"/>
      <c r="AA5085" s="284"/>
      <c r="AB5085" s="284"/>
      <c r="AC5085" s="284"/>
      <c r="AD5085" s="284"/>
      <c r="AE5085" s="284"/>
      <c r="AF5085" s="284"/>
      <c r="AG5085" s="284"/>
      <c r="AH5085" s="284"/>
      <c r="AI5085" s="284"/>
      <c r="AJ5085" s="284"/>
      <c r="AK5085" s="284"/>
      <c r="AL5085" s="284"/>
    </row>
    <row r="5086" ht="15.75" customHeight="1">
      <c r="A5086" s="394"/>
      <c r="B5086" s="395"/>
      <c r="C5086" s="395"/>
      <c r="D5086" s="396"/>
      <c r="E5086" s="397"/>
      <c r="F5086" s="395"/>
      <c r="G5086" s="395"/>
      <c r="H5086" s="397"/>
      <c r="I5086" s="395"/>
      <c r="J5086" s="395"/>
      <c r="K5086" s="397"/>
      <c r="L5086" s="395"/>
      <c r="M5086" s="395"/>
      <c r="N5086" s="395"/>
      <c r="O5086" s="397"/>
      <c r="P5086" s="395"/>
      <c r="Q5086" s="395"/>
      <c r="R5086" s="353"/>
      <c r="S5086" s="185"/>
      <c r="T5086" s="185"/>
      <c r="U5086" s="185"/>
      <c r="V5086" s="185"/>
      <c r="W5086" s="185"/>
      <c r="X5086" s="185"/>
      <c r="Y5086" s="284"/>
      <c r="Z5086" s="284"/>
      <c r="AA5086" s="284"/>
      <c r="AB5086" s="284"/>
      <c r="AC5086" s="284"/>
      <c r="AD5086" s="284"/>
      <c r="AE5086" s="284"/>
      <c r="AF5086" s="284"/>
      <c r="AG5086" s="284"/>
      <c r="AH5086" s="284"/>
      <c r="AI5086" s="284"/>
      <c r="AJ5086" s="284"/>
      <c r="AK5086" s="284"/>
      <c r="AL5086" s="284"/>
    </row>
    <row r="5087" ht="15.75" customHeight="1">
      <c r="A5087" s="394"/>
      <c r="B5087" s="395"/>
      <c r="C5087" s="395"/>
      <c r="D5087" s="396"/>
      <c r="E5087" s="397"/>
      <c r="F5087" s="395"/>
      <c r="G5087" s="395"/>
      <c r="H5087" s="397"/>
      <c r="I5087" s="395"/>
      <c r="J5087" s="395"/>
      <c r="K5087" s="397"/>
      <c r="L5087" s="395"/>
      <c r="M5087" s="395"/>
      <c r="N5087" s="395"/>
      <c r="O5087" s="397"/>
      <c r="P5087" s="395"/>
      <c r="Q5087" s="395"/>
      <c r="R5087" s="353"/>
      <c r="S5087" s="185"/>
      <c r="T5087" s="185"/>
      <c r="U5087" s="185"/>
      <c r="V5087" s="185"/>
      <c r="W5087" s="185"/>
      <c r="X5087" s="185"/>
      <c r="Y5087" s="284"/>
      <c r="Z5087" s="284"/>
      <c r="AA5087" s="284"/>
      <c r="AB5087" s="284"/>
      <c r="AC5087" s="284"/>
      <c r="AD5087" s="284"/>
      <c r="AE5087" s="284"/>
      <c r="AF5087" s="284"/>
      <c r="AG5087" s="284"/>
      <c r="AH5087" s="284"/>
      <c r="AI5087" s="284"/>
      <c r="AJ5087" s="284"/>
      <c r="AK5087" s="284"/>
      <c r="AL5087" s="284"/>
    </row>
    <row r="5088" ht="15.75" customHeight="1">
      <c r="A5088" s="394"/>
      <c r="B5088" s="395"/>
      <c r="C5088" s="395"/>
      <c r="D5088" s="396"/>
      <c r="E5088" s="397"/>
      <c r="F5088" s="395"/>
      <c r="G5088" s="395"/>
      <c r="H5088" s="397"/>
      <c r="I5088" s="395"/>
      <c r="J5088" s="395"/>
      <c r="K5088" s="397"/>
      <c r="L5088" s="395"/>
      <c r="M5088" s="395"/>
      <c r="N5088" s="395"/>
      <c r="O5088" s="397"/>
      <c r="P5088" s="395"/>
      <c r="Q5088" s="395"/>
      <c r="R5088" s="353"/>
      <c r="S5088" s="185"/>
      <c r="T5088" s="185"/>
      <c r="U5088" s="185"/>
      <c r="V5088" s="185"/>
      <c r="W5088" s="185"/>
      <c r="X5088" s="185"/>
      <c r="Y5088" s="284"/>
      <c r="Z5088" s="284"/>
      <c r="AA5088" s="284"/>
      <c r="AB5088" s="284"/>
      <c r="AC5088" s="284"/>
      <c r="AD5088" s="284"/>
      <c r="AE5088" s="284"/>
      <c r="AF5088" s="284"/>
      <c r="AG5088" s="284"/>
      <c r="AH5088" s="284"/>
      <c r="AI5088" s="284"/>
      <c r="AJ5088" s="284"/>
      <c r="AK5088" s="284"/>
      <c r="AL5088" s="284"/>
    </row>
    <row r="5089" ht="15.75" customHeight="1">
      <c r="A5089" s="394"/>
      <c r="B5089" s="395"/>
      <c r="C5089" s="395"/>
      <c r="D5089" s="396"/>
      <c r="E5089" s="397"/>
      <c r="F5089" s="395"/>
      <c r="G5089" s="395"/>
      <c r="H5089" s="397"/>
      <c r="I5089" s="395"/>
      <c r="J5089" s="395"/>
      <c r="K5089" s="397"/>
      <c r="L5089" s="395"/>
      <c r="M5089" s="395"/>
      <c r="N5089" s="395"/>
      <c r="O5089" s="397"/>
      <c r="P5089" s="395"/>
      <c r="Q5089" s="395"/>
      <c r="R5089" s="353"/>
      <c r="S5089" s="185"/>
      <c r="T5089" s="185"/>
      <c r="U5089" s="185"/>
      <c r="V5089" s="185"/>
      <c r="W5089" s="185"/>
      <c r="X5089" s="185"/>
      <c r="Y5089" s="284"/>
      <c r="Z5089" s="284"/>
      <c r="AA5089" s="284"/>
      <c r="AB5089" s="284"/>
      <c r="AC5089" s="284"/>
      <c r="AD5089" s="284"/>
      <c r="AE5089" s="284"/>
      <c r="AF5089" s="284"/>
      <c r="AG5089" s="284"/>
      <c r="AH5089" s="284"/>
      <c r="AI5089" s="284"/>
      <c r="AJ5089" s="284"/>
      <c r="AK5089" s="284"/>
      <c r="AL5089" s="284"/>
    </row>
    <row r="5090" ht="15.75" customHeight="1">
      <c r="A5090" s="394"/>
      <c r="B5090" s="395"/>
      <c r="C5090" s="395"/>
      <c r="D5090" s="396"/>
      <c r="E5090" s="397"/>
      <c r="F5090" s="395"/>
      <c r="G5090" s="395"/>
      <c r="H5090" s="397"/>
      <c r="I5090" s="395"/>
      <c r="J5090" s="395"/>
      <c r="K5090" s="397"/>
      <c r="L5090" s="395"/>
      <c r="M5090" s="395"/>
      <c r="N5090" s="395"/>
      <c r="O5090" s="397"/>
      <c r="P5090" s="395"/>
      <c r="Q5090" s="395"/>
      <c r="R5090" s="353"/>
      <c r="S5090" s="185"/>
      <c r="T5090" s="185"/>
      <c r="U5090" s="185"/>
      <c r="V5090" s="185"/>
      <c r="W5090" s="185"/>
      <c r="X5090" s="185"/>
      <c r="Y5090" s="284"/>
      <c r="Z5090" s="284"/>
      <c r="AA5090" s="284"/>
      <c r="AB5090" s="284"/>
      <c r="AC5090" s="284"/>
      <c r="AD5090" s="284"/>
      <c r="AE5090" s="284"/>
      <c r="AF5090" s="284"/>
      <c r="AG5090" s="284"/>
      <c r="AH5090" s="284"/>
      <c r="AI5090" s="284"/>
      <c r="AJ5090" s="284"/>
      <c r="AK5090" s="284"/>
      <c r="AL5090" s="284"/>
    </row>
    <row r="5091" ht="15.75" customHeight="1">
      <c r="A5091" s="394"/>
      <c r="B5091" s="395"/>
      <c r="C5091" s="395"/>
      <c r="D5091" s="396"/>
      <c r="E5091" s="397"/>
      <c r="F5091" s="395"/>
      <c r="G5091" s="395"/>
      <c r="H5091" s="397"/>
      <c r="I5091" s="395"/>
      <c r="J5091" s="395"/>
      <c r="K5091" s="397"/>
      <c r="L5091" s="395"/>
      <c r="M5091" s="395"/>
      <c r="N5091" s="395"/>
      <c r="O5091" s="397"/>
      <c r="P5091" s="395"/>
      <c r="Q5091" s="395"/>
      <c r="R5091" s="353"/>
      <c r="S5091" s="185"/>
      <c r="T5091" s="185"/>
      <c r="U5091" s="185"/>
      <c r="V5091" s="185"/>
      <c r="W5091" s="185"/>
      <c r="X5091" s="185"/>
      <c r="Y5091" s="284"/>
      <c r="Z5091" s="284"/>
      <c r="AA5091" s="284"/>
      <c r="AB5091" s="284"/>
      <c r="AC5091" s="284"/>
      <c r="AD5091" s="284"/>
      <c r="AE5091" s="284"/>
      <c r="AF5091" s="284"/>
      <c r="AG5091" s="284"/>
      <c r="AH5091" s="284"/>
      <c r="AI5091" s="284"/>
      <c r="AJ5091" s="284"/>
      <c r="AK5091" s="284"/>
      <c r="AL5091" s="284"/>
    </row>
    <row r="5092" ht="15.75" customHeight="1">
      <c r="A5092" s="394"/>
      <c r="B5092" s="395"/>
      <c r="C5092" s="395"/>
      <c r="D5092" s="396"/>
      <c r="E5092" s="397"/>
      <c r="F5092" s="395"/>
      <c r="G5092" s="395"/>
      <c r="H5092" s="397"/>
      <c r="I5092" s="395"/>
      <c r="J5092" s="395"/>
      <c r="K5092" s="397"/>
      <c r="L5092" s="395"/>
      <c r="M5092" s="395"/>
      <c r="N5092" s="395"/>
      <c r="O5092" s="397"/>
      <c r="P5092" s="395"/>
      <c r="Q5092" s="395"/>
      <c r="R5092" s="353"/>
      <c r="S5092" s="185"/>
      <c r="T5092" s="185"/>
      <c r="U5092" s="185"/>
      <c r="V5092" s="185"/>
      <c r="W5092" s="185"/>
      <c r="X5092" s="185"/>
      <c r="Y5092" s="284"/>
      <c r="Z5092" s="284"/>
      <c r="AA5092" s="284"/>
      <c r="AB5092" s="284"/>
      <c r="AC5092" s="284"/>
      <c r="AD5092" s="284"/>
      <c r="AE5092" s="284"/>
      <c r="AF5092" s="284"/>
      <c r="AG5092" s="284"/>
      <c r="AH5092" s="284"/>
      <c r="AI5092" s="284"/>
      <c r="AJ5092" s="284"/>
      <c r="AK5092" s="284"/>
      <c r="AL5092" s="284"/>
    </row>
    <row r="5093" ht="15.75" customHeight="1">
      <c r="A5093" s="394"/>
      <c r="B5093" s="395"/>
      <c r="C5093" s="395"/>
      <c r="D5093" s="396"/>
      <c r="E5093" s="397"/>
      <c r="F5093" s="395"/>
      <c r="G5093" s="395"/>
      <c r="H5093" s="397"/>
      <c r="I5093" s="395"/>
      <c r="J5093" s="395"/>
      <c r="K5093" s="397"/>
      <c r="L5093" s="395"/>
      <c r="M5093" s="395"/>
      <c r="N5093" s="395"/>
      <c r="O5093" s="397"/>
      <c r="P5093" s="395"/>
      <c r="Q5093" s="395"/>
      <c r="R5093" s="353"/>
      <c r="S5093" s="185"/>
      <c r="T5093" s="185"/>
      <c r="U5093" s="185"/>
      <c r="V5093" s="185"/>
      <c r="W5093" s="185"/>
      <c r="X5093" s="185"/>
      <c r="Y5093" s="284"/>
      <c r="Z5093" s="284"/>
      <c r="AA5093" s="284"/>
      <c r="AB5093" s="284"/>
      <c r="AC5093" s="284"/>
      <c r="AD5093" s="284"/>
      <c r="AE5093" s="284"/>
      <c r="AF5093" s="284"/>
      <c r="AG5093" s="284"/>
      <c r="AH5093" s="284"/>
      <c r="AI5093" s="284"/>
      <c r="AJ5093" s="284"/>
      <c r="AK5093" s="284"/>
      <c r="AL5093" s="284"/>
    </row>
    <row r="5094" ht="15.75" customHeight="1">
      <c r="A5094" s="394"/>
      <c r="B5094" s="395"/>
      <c r="C5094" s="395"/>
      <c r="D5094" s="396"/>
      <c r="E5094" s="397"/>
      <c r="F5094" s="395"/>
      <c r="G5094" s="395"/>
      <c r="H5094" s="397"/>
      <c r="I5094" s="395"/>
      <c r="J5094" s="395"/>
      <c r="K5094" s="397"/>
      <c r="L5094" s="395"/>
      <c r="M5094" s="395"/>
      <c r="N5094" s="395"/>
      <c r="O5094" s="397"/>
      <c r="P5094" s="395"/>
      <c r="Q5094" s="395"/>
      <c r="R5094" s="353"/>
      <c r="S5094" s="185"/>
      <c r="T5094" s="185"/>
      <c r="U5094" s="185"/>
      <c r="V5094" s="185"/>
      <c r="W5094" s="185"/>
      <c r="X5094" s="185"/>
      <c r="Y5094" s="284"/>
      <c r="Z5094" s="284"/>
      <c r="AA5094" s="284"/>
      <c r="AB5094" s="284"/>
      <c r="AC5094" s="284"/>
      <c r="AD5094" s="284"/>
      <c r="AE5094" s="284"/>
      <c r="AF5094" s="284"/>
      <c r="AG5094" s="284"/>
      <c r="AH5094" s="284"/>
      <c r="AI5094" s="284"/>
      <c r="AJ5094" s="284"/>
      <c r="AK5094" s="284"/>
      <c r="AL5094" s="284"/>
    </row>
    <row r="5095" ht="15.75" customHeight="1">
      <c r="A5095" s="394"/>
      <c r="B5095" s="395"/>
      <c r="C5095" s="395"/>
      <c r="D5095" s="396"/>
      <c r="E5095" s="397"/>
      <c r="F5095" s="395"/>
      <c r="G5095" s="395"/>
      <c r="H5095" s="397"/>
      <c r="I5095" s="395"/>
      <c r="J5095" s="395"/>
      <c r="K5095" s="397"/>
      <c r="L5095" s="395"/>
      <c r="M5095" s="395"/>
      <c r="N5095" s="395"/>
      <c r="O5095" s="397"/>
      <c r="P5095" s="395"/>
      <c r="Q5095" s="395"/>
      <c r="R5095" s="353"/>
      <c r="S5095" s="185"/>
      <c r="T5095" s="185"/>
      <c r="U5095" s="185"/>
      <c r="V5095" s="185"/>
      <c r="W5095" s="185"/>
      <c r="X5095" s="185"/>
      <c r="Y5095" s="284"/>
      <c r="Z5095" s="284"/>
      <c r="AA5095" s="284"/>
      <c r="AB5095" s="284"/>
      <c r="AC5095" s="284"/>
      <c r="AD5095" s="284"/>
      <c r="AE5095" s="284"/>
      <c r="AF5095" s="284"/>
      <c r="AG5095" s="284"/>
      <c r="AH5095" s="284"/>
      <c r="AI5095" s="284"/>
      <c r="AJ5095" s="284"/>
      <c r="AK5095" s="284"/>
      <c r="AL5095" s="284"/>
    </row>
    <row r="5096" ht="15.75" customHeight="1">
      <c r="A5096" s="394"/>
      <c r="B5096" s="395"/>
      <c r="C5096" s="395"/>
      <c r="D5096" s="396"/>
      <c r="E5096" s="397"/>
      <c r="F5096" s="395"/>
      <c r="G5096" s="395"/>
      <c r="H5096" s="397"/>
      <c r="I5096" s="395"/>
      <c r="J5096" s="395"/>
      <c r="K5096" s="397"/>
      <c r="L5096" s="395"/>
      <c r="M5096" s="395"/>
      <c r="N5096" s="395"/>
      <c r="O5096" s="397"/>
      <c r="P5096" s="395"/>
      <c r="Q5096" s="395"/>
      <c r="R5096" s="353"/>
      <c r="S5096" s="185"/>
      <c r="T5096" s="185"/>
      <c r="U5096" s="185"/>
      <c r="V5096" s="185"/>
      <c r="W5096" s="185"/>
      <c r="X5096" s="185"/>
      <c r="Y5096" s="284"/>
      <c r="Z5096" s="284"/>
      <c r="AA5096" s="284"/>
      <c r="AB5096" s="284"/>
      <c r="AC5096" s="284"/>
      <c r="AD5096" s="284"/>
      <c r="AE5096" s="284"/>
      <c r="AF5096" s="284"/>
      <c r="AG5096" s="284"/>
      <c r="AH5096" s="284"/>
      <c r="AI5096" s="284"/>
      <c r="AJ5096" s="284"/>
      <c r="AK5096" s="284"/>
      <c r="AL5096" s="284"/>
    </row>
    <row r="5097" ht="15.75" customHeight="1">
      <c r="A5097" s="394"/>
      <c r="B5097" s="395"/>
      <c r="C5097" s="395"/>
      <c r="D5097" s="396"/>
      <c r="E5097" s="397"/>
      <c r="F5097" s="395"/>
      <c r="G5097" s="395"/>
      <c r="H5097" s="397"/>
      <c r="I5097" s="395"/>
      <c r="J5097" s="395"/>
      <c r="K5097" s="397"/>
      <c r="L5097" s="395"/>
      <c r="M5097" s="395"/>
      <c r="N5097" s="395"/>
      <c r="O5097" s="397"/>
      <c r="P5097" s="395"/>
      <c r="Q5097" s="395"/>
      <c r="R5097" s="353"/>
      <c r="S5097" s="185"/>
      <c r="T5097" s="185"/>
      <c r="U5097" s="185"/>
      <c r="V5097" s="185"/>
      <c r="W5097" s="185"/>
      <c r="X5097" s="185"/>
      <c r="Y5097" s="284"/>
      <c r="Z5097" s="284"/>
      <c r="AA5097" s="284"/>
      <c r="AB5097" s="284"/>
      <c r="AC5097" s="284"/>
      <c r="AD5097" s="284"/>
      <c r="AE5097" s="284"/>
      <c r="AF5097" s="284"/>
      <c r="AG5097" s="284"/>
      <c r="AH5097" s="284"/>
      <c r="AI5097" s="284"/>
      <c r="AJ5097" s="284"/>
      <c r="AK5097" s="284"/>
      <c r="AL5097" s="284"/>
    </row>
    <row r="5098" ht="15.75" customHeight="1">
      <c r="A5098" s="394"/>
      <c r="B5098" s="395"/>
      <c r="C5098" s="395"/>
      <c r="D5098" s="396"/>
      <c r="E5098" s="397"/>
      <c r="F5098" s="395"/>
      <c r="G5098" s="395"/>
      <c r="H5098" s="397"/>
      <c r="I5098" s="395"/>
      <c r="J5098" s="395"/>
      <c r="K5098" s="397"/>
      <c r="L5098" s="395"/>
      <c r="M5098" s="395"/>
      <c r="N5098" s="395"/>
      <c r="O5098" s="397"/>
      <c r="P5098" s="395"/>
      <c r="Q5098" s="395"/>
      <c r="R5098" s="353"/>
      <c r="S5098" s="185"/>
      <c r="T5098" s="185"/>
      <c r="U5098" s="185"/>
      <c r="V5098" s="185"/>
      <c r="W5098" s="185"/>
      <c r="X5098" s="185"/>
      <c r="Y5098" s="284"/>
      <c r="Z5098" s="284"/>
      <c r="AA5098" s="284"/>
      <c r="AB5098" s="284"/>
      <c r="AC5098" s="284"/>
      <c r="AD5098" s="284"/>
      <c r="AE5098" s="284"/>
      <c r="AF5098" s="284"/>
      <c r="AG5098" s="284"/>
      <c r="AH5098" s="284"/>
      <c r="AI5098" s="284"/>
      <c r="AJ5098" s="284"/>
      <c r="AK5098" s="284"/>
      <c r="AL5098" s="284"/>
    </row>
    <row r="5099" ht="15.75" customHeight="1">
      <c r="A5099" s="394"/>
      <c r="B5099" s="395"/>
      <c r="C5099" s="395"/>
      <c r="D5099" s="396"/>
      <c r="E5099" s="397"/>
      <c r="F5099" s="395"/>
      <c r="G5099" s="395"/>
      <c r="H5099" s="397"/>
      <c r="I5099" s="395"/>
      <c r="J5099" s="395"/>
      <c r="K5099" s="397"/>
      <c r="L5099" s="395"/>
      <c r="M5099" s="395"/>
      <c r="N5099" s="395"/>
      <c r="O5099" s="397"/>
      <c r="P5099" s="395"/>
      <c r="Q5099" s="395"/>
      <c r="R5099" s="353"/>
      <c r="S5099" s="185"/>
      <c r="T5099" s="185"/>
      <c r="U5099" s="185"/>
      <c r="V5099" s="185"/>
      <c r="W5099" s="185"/>
      <c r="X5099" s="185"/>
      <c r="Y5099" s="284"/>
      <c r="Z5099" s="284"/>
      <c r="AA5099" s="284"/>
      <c r="AB5099" s="284"/>
      <c r="AC5099" s="284"/>
      <c r="AD5099" s="284"/>
      <c r="AE5099" s="284"/>
      <c r="AF5099" s="284"/>
      <c r="AG5099" s="284"/>
      <c r="AH5099" s="284"/>
      <c r="AI5099" s="284"/>
      <c r="AJ5099" s="284"/>
      <c r="AK5099" s="284"/>
      <c r="AL5099" s="284"/>
    </row>
    <row r="5100" ht="15.75" customHeight="1">
      <c r="A5100" s="394"/>
      <c r="B5100" s="395"/>
      <c r="C5100" s="395"/>
      <c r="D5100" s="396"/>
      <c r="E5100" s="397"/>
      <c r="F5100" s="395"/>
      <c r="G5100" s="395"/>
      <c r="H5100" s="397"/>
      <c r="I5100" s="395"/>
      <c r="J5100" s="395"/>
      <c r="K5100" s="397"/>
      <c r="L5100" s="395"/>
      <c r="M5100" s="395"/>
      <c r="N5100" s="395"/>
      <c r="O5100" s="397"/>
      <c r="P5100" s="395"/>
      <c r="Q5100" s="395"/>
      <c r="R5100" s="353"/>
      <c r="S5100" s="185"/>
      <c r="T5100" s="185"/>
      <c r="U5100" s="185"/>
      <c r="V5100" s="185"/>
      <c r="W5100" s="185"/>
      <c r="X5100" s="185"/>
      <c r="Y5100" s="284"/>
      <c r="Z5100" s="284"/>
      <c r="AA5100" s="284"/>
      <c r="AB5100" s="284"/>
      <c r="AC5100" s="284"/>
      <c r="AD5100" s="284"/>
      <c r="AE5100" s="284"/>
      <c r="AF5100" s="284"/>
      <c r="AG5100" s="284"/>
      <c r="AH5100" s="284"/>
      <c r="AI5100" s="284"/>
      <c r="AJ5100" s="284"/>
      <c r="AK5100" s="284"/>
      <c r="AL5100" s="284"/>
    </row>
    <row r="5101" ht="15.75" customHeight="1">
      <c r="A5101" s="394"/>
      <c r="B5101" s="395"/>
      <c r="C5101" s="395"/>
      <c r="D5101" s="396"/>
      <c r="E5101" s="397"/>
      <c r="F5101" s="395"/>
      <c r="G5101" s="395"/>
      <c r="H5101" s="397"/>
      <c r="I5101" s="395"/>
      <c r="J5101" s="395"/>
      <c r="K5101" s="397"/>
      <c r="L5101" s="395"/>
      <c r="M5101" s="395"/>
      <c r="N5101" s="395"/>
      <c r="O5101" s="397"/>
      <c r="P5101" s="395"/>
      <c r="Q5101" s="395"/>
      <c r="R5101" s="353"/>
      <c r="S5101" s="185"/>
      <c r="T5101" s="185"/>
      <c r="U5101" s="185"/>
      <c r="V5101" s="185"/>
      <c r="W5101" s="185"/>
      <c r="X5101" s="185"/>
      <c r="Y5101" s="284"/>
      <c r="Z5101" s="284"/>
      <c r="AA5101" s="284"/>
      <c r="AB5101" s="284"/>
      <c r="AC5101" s="284"/>
      <c r="AD5101" s="284"/>
      <c r="AE5101" s="284"/>
      <c r="AF5101" s="284"/>
      <c r="AG5101" s="284"/>
      <c r="AH5101" s="284"/>
      <c r="AI5101" s="284"/>
      <c r="AJ5101" s="284"/>
      <c r="AK5101" s="284"/>
      <c r="AL5101" s="284"/>
    </row>
    <row r="5102" ht="15.75" customHeight="1">
      <c r="A5102" s="394"/>
      <c r="B5102" s="395"/>
      <c r="C5102" s="395"/>
      <c r="D5102" s="396"/>
      <c r="E5102" s="397"/>
      <c r="F5102" s="395"/>
      <c r="G5102" s="395"/>
      <c r="H5102" s="397"/>
      <c r="I5102" s="395"/>
      <c r="J5102" s="395"/>
      <c r="K5102" s="397"/>
      <c r="L5102" s="395"/>
      <c r="M5102" s="395"/>
      <c r="N5102" s="395"/>
      <c r="O5102" s="397"/>
      <c r="P5102" s="395"/>
      <c r="Q5102" s="395"/>
      <c r="R5102" s="353"/>
      <c r="S5102" s="185"/>
      <c r="T5102" s="185"/>
      <c r="U5102" s="185"/>
      <c r="V5102" s="185"/>
      <c r="W5102" s="185"/>
      <c r="X5102" s="185"/>
      <c r="Y5102" s="284"/>
      <c r="Z5102" s="284"/>
      <c r="AA5102" s="284"/>
      <c r="AB5102" s="284"/>
      <c r="AC5102" s="284"/>
      <c r="AD5102" s="284"/>
      <c r="AE5102" s="284"/>
      <c r="AF5102" s="284"/>
      <c r="AG5102" s="284"/>
      <c r="AH5102" s="284"/>
      <c r="AI5102" s="284"/>
      <c r="AJ5102" s="284"/>
      <c r="AK5102" s="284"/>
      <c r="AL5102" s="284"/>
    </row>
    <row r="5103" ht="15.75" customHeight="1">
      <c r="A5103" s="394"/>
      <c r="B5103" s="395"/>
      <c r="C5103" s="395"/>
      <c r="D5103" s="396"/>
      <c r="E5103" s="397"/>
      <c r="F5103" s="395"/>
      <c r="G5103" s="395"/>
      <c r="H5103" s="397"/>
      <c r="I5103" s="395"/>
      <c r="J5103" s="395"/>
      <c r="K5103" s="397"/>
      <c r="L5103" s="395"/>
      <c r="M5103" s="395"/>
      <c r="N5103" s="395"/>
      <c r="O5103" s="397"/>
      <c r="P5103" s="395"/>
      <c r="Q5103" s="395"/>
      <c r="R5103" s="353"/>
      <c r="S5103" s="185"/>
      <c r="T5103" s="185"/>
      <c r="U5103" s="185"/>
      <c r="V5103" s="185"/>
      <c r="W5103" s="185"/>
      <c r="X5103" s="185"/>
      <c r="Y5103" s="284"/>
      <c r="Z5103" s="284"/>
      <c r="AA5103" s="284"/>
      <c r="AB5103" s="284"/>
      <c r="AC5103" s="284"/>
      <c r="AD5103" s="284"/>
      <c r="AE5103" s="284"/>
      <c r="AF5103" s="284"/>
      <c r="AG5103" s="284"/>
      <c r="AH5103" s="284"/>
      <c r="AI5103" s="284"/>
      <c r="AJ5103" s="284"/>
      <c r="AK5103" s="284"/>
      <c r="AL5103" s="284"/>
    </row>
    <row r="5104" ht="15.75" customHeight="1">
      <c r="A5104" s="394"/>
      <c r="B5104" s="395"/>
      <c r="C5104" s="395"/>
      <c r="D5104" s="396"/>
      <c r="E5104" s="397"/>
      <c r="F5104" s="395"/>
      <c r="G5104" s="395"/>
      <c r="H5104" s="397"/>
      <c r="I5104" s="395"/>
      <c r="J5104" s="395"/>
      <c r="K5104" s="397"/>
      <c r="L5104" s="395"/>
      <c r="M5104" s="395"/>
      <c r="N5104" s="395"/>
      <c r="O5104" s="397"/>
      <c r="P5104" s="395"/>
      <c r="Q5104" s="395"/>
      <c r="R5104" s="353"/>
      <c r="S5104" s="185"/>
      <c r="T5104" s="185"/>
      <c r="U5104" s="185"/>
      <c r="V5104" s="185"/>
      <c r="W5104" s="185"/>
      <c r="X5104" s="185"/>
      <c r="Y5104" s="284"/>
      <c r="Z5104" s="284"/>
      <c r="AA5104" s="284"/>
      <c r="AB5104" s="284"/>
      <c r="AC5104" s="284"/>
      <c r="AD5104" s="284"/>
      <c r="AE5104" s="284"/>
      <c r="AF5104" s="284"/>
      <c r="AG5104" s="284"/>
      <c r="AH5104" s="284"/>
      <c r="AI5104" s="284"/>
      <c r="AJ5104" s="284"/>
      <c r="AK5104" s="284"/>
      <c r="AL5104" s="284"/>
    </row>
    <row r="5105" ht="15.75" customHeight="1">
      <c r="A5105" s="394"/>
      <c r="B5105" s="395"/>
      <c r="C5105" s="395"/>
      <c r="D5105" s="396"/>
      <c r="E5105" s="397"/>
      <c r="F5105" s="395"/>
      <c r="G5105" s="395"/>
      <c r="H5105" s="397"/>
      <c r="I5105" s="395"/>
      <c r="J5105" s="395"/>
      <c r="K5105" s="397"/>
      <c r="L5105" s="395"/>
      <c r="M5105" s="395"/>
      <c r="N5105" s="395"/>
      <c r="O5105" s="397"/>
      <c r="P5105" s="395"/>
      <c r="Q5105" s="395"/>
      <c r="R5105" s="353"/>
      <c r="S5105" s="185"/>
      <c r="T5105" s="185"/>
      <c r="U5105" s="185"/>
      <c r="V5105" s="185"/>
      <c r="W5105" s="185"/>
      <c r="X5105" s="185"/>
      <c r="Y5105" s="284"/>
      <c r="Z5105" s="284"/>
      <c r="AA5105" s="284"/>
      <c r="AB5105" s="284"/>
      <c r="AC5105" s="284"/>
      <c r="AD5105" s="284"/>
      <c r="AE5105" s="284"/>
      <c r="AF5105" s="284"/>
      <c r="AG5105" s="284"/>
      <c r="AH5105" s="284"/>
      <c r="AI5105" s="284"/>
      <c r="AJ5105" s="284"/>
      <c r="AK5105" s="284"/>
      <c r="AL5105" s="284"/>
    </row>
    <row r="5106" ht="15.75" customHeight="1">
      <c r="A5106" s="394"/>
      <c r="B5106" s="395"/>
      <c r="C5106" s="395"/>
      <c r="D5106" s="396"/>
      <c r="E5106" s="397"/>
      <c r="F5106" s="395"/>
      <c r="G5106" s="395"/>
      <c r="H5106" s="397"/>
      <c r="I5106" s="395"/>
      <c r="J5106" s="395"/>
      <c r="K5106" s="397"/>
      <c r="L5106" s="395"/>
      <c r="M5106" s="395"/>
      <c r="N5106" s="395"/>
      <c r="O5106" s="397"/>
      <c r="P5106" s="395"/>
      <c r="Q5106" s="395"/>
      <c r="R5106" s="353"/>
      <c r="S5106" s="185"/>
      <c r="T5106" s="185"/>
      <c r="U5106" s="185"/>
      <c r="V5106" s="185"/>
      <c r="W5106" s="185"/>
      <c r="X5106" s="185"/>
      <c r="Y5106" s="284"/>
      <c r="Z5106" s="284"/>
      <c r="AA5106" s="284"/>
      <c r="AB5106" s="284"/>
      <c r="AC5106" s="284"/>
      <c r="AD5106" s="284"/>
      <c r="AE5106" s="284"/>
      <c r="AF5106" s="284"/>
      <c r="AG5106" s="284"/>
      <c r="AH5106" s="284"/>
      <c r="AI5106" s="284"/>
      <c r="AJ5106" s="284"/>
      <c r="AK5106" s="284"/>
      <c r="AL5106" s="284"/>
    </row>
    <row r="5107" ht="15.75" customHeight="1">
      <c r="A5107" s="394"/>
      <c r="B5107" s="395"/>
      <c r="C5107" s="395"/>
      <c r="D5107" s="396"/>
      <c r="E5107" s="397"/>
      <c r="F5107" s="395"/>
      <c r="G5107" s="395"/>
      <c r="H5107" s="397"/>
      <c r="I5107" s="395"/>
      <c r="J5107" s="395"/>
      <c r="K5107" s="397"/>
      <c r="L5107" s="395"/>
      <c r="M5107" s="395"/>
      <c r="N5107" s="395"/>
      <c r="O5107" s="397"/>
      <c r="P5107" s="395"/>
      <c r="Q5107" s="395"/>
      <c r="R5107" s="353"/>
      <c r="S5107" s="185"/>
      <c r="T5107" s="185"/>
      <c r="U5107" s="185"/>
      <c r="V5107" s="185"/>
      <c r="W5107" s="185"/>
      <c r="X5107" s="185"/>
      <c r="Y5107" s="284"/>
      <c r="Z5107" s="284"/>
      <c r="AA5107" s="284"/>
      <c r="AB5107" s="284"/>
      <c r="AC5107" s="284"/>
      <c r="AD5107" s="284"/>
      <c r="AE5107" s="284"/>
      <c r="AF5107" s="284"/>
      <c r="AG5107" s="284"/>
      <c r="AH5107" s="284"/>
      <c r="AI5107" s="284"/>
      <c r="AJ5107" s="284"/>
      <c r="AK5107" s="284"/>
      <c r="AL5107" s="284"/>
    </row>
    <row r="5108" ht="15.75" customHeight="1">
      <c r="A5108" s="394"/>
      <c r="B5108" s="395"/>
      <c r="C5108" s="395"/>
      <c r="D5108" s="396"/>
      <c r="E5108" s="397"/>
      <c r="F5108" s="395"/>
      <c r="G5108" s="395"/>
      <c r="H5108" s="397"/>
      <c r="I5108" s="395"/>
      <c r="J5108" s="395"/>
      <c r="K5108" s="397"/>
      <c r="L5108" s="395"/>
      <c r="M5108" s="395"/>
      <c r="N5108" s="395"/>
      <c r="O5108" s="397"/>
      <c r="P5108" s="395"/>
      <c r="Q5108" s="395"/>
      <c r="R5108" s="353"/>
      <c r="S5108" s="185"/>
      <c r="T5108" s="185"/>
      <c r="U5108" s="185"/>
      <c r="V5108" s="185"/>
      <c r="W5108" s="185"/>
      <c r="X5108" s="185"/>
      <c r="Y5108" s="284"/>
      <c r="Z5108" s="284"/>
      <c r="AA5108" s="284"/>
      <c r="AB5108" s="284"/>
      <c r="AC5108" s="284"/>
      <c r="AD5108" s="284"/>
      <c r="AE5108" s="284"/>
      <c r="AF5108" s="284"/>
      <c r="AG5108" s="284"/>
      <c r="AH5108" s="284"/>
      <c r="AI5108" s="284"/>
      <c r="AJ5108" s="284"/>
      <c r="AK5108" s="284"/>
      <c r="AL5108" s="284"/>
    </row>
    <row r="5109" ht="15.75" customHeight="1">
      <c r="A5109" s="394"/>
      <c r="B5109" s="395"/>
      <c r="C5109" s="395"/>
      <c r="D5109" s="396"/>
      <c r="E5109" s="397"/>
      <c r="F5109" s="395"/>
      <c r="G5109" s="395"/>
      <c r="H5109" s="397"/>
      <c r="I5109" s="395"/>
      <c r="J5109" s="395"/>
      <c r="K5109" s="397"/>
      <c r="L5109" s="395"/>
      <c r="M5109" s="395"/>
      <c r="N5109" s="395"/>
      <c r="O5109" s="397"/>
      <c r="P5109" s="395"/>
      <c r="Q5109" s="395"/>
      <c r="R5109" s="353"/>
      <c r="S5109" s="185"/>
      <c r="T5109" s="185"/>
      <c r="U5109" s="185"/>
      <c r="V5109" s="185"/>
      <c r="W5109" s="185"/>
      <c r="X5109" s="185"/>
      <c r="Y5109" s="284"/>
      <c r="Z5109" s="284"/>
      <c r="AA5109" s="284"/>
      <c r="AB5109" s="284"/>
      <c r="AC5109" s="284"/>
      <c r="AD5109" s="284"/>
      <c r="AE5109" s="284"/>
      <c r="AF5109" s="284"/>
      <c r="AG5109" s="284"/>
      <c r="AH5109" s="284"/>
      <c r="AI5109" s="284"/>
      <c r="AJ5109" s="284"/>
      <c r="AK5109" s="284"/>
      <c r="AL5109" s="284"/>
    </row>
    <row r="5110" ht="15.75" customHeight="1">
      <c r="A5110" s="394"/>
      <c r="B5110" s="395"/>
      <c r="C5110" s="395"/>
      <c r="D5110" s="396"/>
      <c r="E5110" s="397"/>
      <c r="F5110" s="395"/>
      <c r="G5110" s="395"/>
      <c r="H5110" s="397"/>
      <c r="I5110" s="395"/>
      <c r="J5110" s="395"/>
      <c r="K5110" s="397"/>
      <c r="L5110" s="395"/>
      <c r="M5110" s="395"/>
      <c r="N5110" s="395"/>
      <c r="O5110" s="397"/>
      <c r="P5110" s="395"/>
      <c r="Q5110" s="395"/>
      <c r="R5110" s="353"/>
      <c r="S5110" s="185"/>
      <c r="T5110" s="185"/>
      <c r="U5110" s="185"/>
      <c r="V5110" s="185"/>
      <c r="W5110" s="185"/>
      <c r="X5110" s="185"/>
      <c r="Y5110" s="284"/>
      <c r="Z5110" s="284"/>
      <c r="AA5110" s="284"/>
      <c r="AB5110" s="284"/>
      <c r="AC5110" s="284"/>
      <c r="AD5110" s="284"/>
      <c r="AE5110" s="284"/>
      <c r="AF5110" s="284"/>
      <c r="AG5110" s="284"/>
      <c r="AH5110" s="284"/>
      <c r="AI5110" s="284"/>
      <c r="AJ5110" s="284"/>
      <c r="AK5110" s="284"/>
      <c r="AL5110" s="284"/>
    </row>
    <row r="5111" ht="15.75" customHeight="1">
      <c r="A5111" s="394"/>
      <c r="B5111" s="395"/>
      <c r="C5111" s="395"/>
      <c r="D5111" s="396"/>
      <c r="E5111" s="397"/>
      <c r="F5111" s="395"/>
      <c r="G5111" s="395"/>
      <c r="H5111" s="397"/>
      <c r="I5111" s="395"/>
      <c r="J5111" s="395"/>
      <c r="K5111" s="397"/>
      <c r="L5111" s="395"/>
      <c r="M5111" s="395"/>
      <c r="N5111" s="395"/>
      <c r="O5111" s="397"/>
      <c r="P5111" s="395"/>
      <c r="Q5111" s="395"/>
      <c r="R5111" s="353"/>
      <c r="S5111" s="185"/>
      <c r="T5111" s="185"/>
      <c r="U5111" s="185"/>
      <c r="V5111" s="185"/>
      <c r="W5111" s="185"/>
      <c r="X5111" s="185"/>
      <c r="Y5111" s="284"/>
      <c r="Z5111" s="284"/>
      <c r="AA5111" s="284"/>
      <c r="AB5111" s="284"/>
      <c r="AC5111" s="284"/>
      <c r="AD5111" s="284"/>
      <c r="AE5111" s="284"/>
      <c r="AF5111" s="284"/>
      <c r="AG5111" s="284"/>
      <c r="AH5111" s="284"/>
      <c r="AI5111" s="284"/>
      <c r="AJ5111" s="284"/>
      <c r="AK5111" s="284"/>
      <c r="AL5111" s="284"/>
    </row>
    <row r="5112" ht="15.75" customHeight="1">
      <c r="A5112" s="394"/>
      <c r="B5112" s="395"/>
      <c r="C5112" s="395"/>
      <c r="D5112" s="396"/>
      <c r="E5112" s="397"/>
      <c r="F5112" s="395"/>
      <c r="G5112" s="395"/>
      <c r="H5112" s="397"/>
      <c r="I5112" s="395"/>
      <c r="J5112" s="395"/>
      <c r="K5112" s="397"/>
      <c r="L5112" s="395"/>
      <c r="M5112" s="395"/>
      <c r="N5112" s="395"/>
      <c r="O5112" s="397"/>
      <c r="P5112" s="395"/>
      <c r="Q5112" s="395"/>
      <c r="R5112" s="353"/>
      <c r="S5112" s="185"/>
      <c r="T5112" s="185"/>
      <c r="U5112" s="185"/>
      <c r="V5112" s="185"/>
      <c r="W5112" s="185"/>
      <c r="X5112" s="185"/>
      <c r="Y5112" s="284"/>
      <c r="Z5112" s="284"/>
      <c r="AA5112" s="284"/>
      <c r="AB5112" s="284"/>
      <c r="AC5112" s="284"/>
      <c r="AD5112" s="284"/>
      <c r="AE5112" s="284"/>
      <c r="AF5112" s="284"/>
      <c r="AG5112" s="284"/>
      <c r="AH5112" s="284"/>
      <c r="AI5112" s="284"/>
      <c r="AJ5112" s="284"/>
      <c r="AK5112" s="284"/>
      <c r="AL5112" s="284"/>
    </row>
    <row r="5113" ht="15.75" customHeight="1">
      <c r="A5113" s="394"/>
      <c r="B5113" s="395"/>
      <c r="C5113" s="395"/>
      <c r="D5113" s="396"/>
      <c r="E5113" s="397"/>
      <c r="F5113" s="395"/>
      <c r="G5113" s="395"/>
      <c r="H5113" s="397"/>
      <c r="I5113" s="395"/>
      <c r="J5113" s="395"/>
      <c r="K5113" s="397"/>
      <c r="L5113" s="395"/>
      <c r="M5113" s="395"/>
      <c r="N5113" s="395"/>
      <c r="O5113" s="397"/>
      <c r="P5113" s="395"/>
      <c r="Q5113" s="395"/>
      <c r="R5113" s="353"/>
      <c r="S5113" s="185"/>
      <c r="T5113" s="185"/>
      <c r="U5113" s="185"/>
      <c r="V5113" s="185"/>
      <c r="W5113" s="185"/>
      <c r="X5113" s="185"/>
      <c r="Y5113" s="284"/>
      <c r="Z5113" s="284"/>
      <c r="AA5113" s="284"/>
      <c r="AB5113" s="284"/>
      <c r="AC5113" s="284"/>
      <c r="AD5113" s="284"/>
      <c r="AE5113" s="284"/>
      <c r="AF5113" s="284"/>
      <c r="AG5113" s="284"/>
      <c r="AH5113" s="284"/>
      <c r="AI5113" s="284"/>
      <c r="AJ5113" s="284"/>
      <c r="AK5113" s="284"/>
      <c r="AL5113" s="284"/>
    </row>
    <row r="5114" ht="15.75" customHeight="1">
      <c r="A5114" s="394"/>
      <c r="B5114" s="395"/>
      <c r="C5114" s="395"/>
      <c r="D5114" s="396"/>
      <c r="E5114" s="397"/>
      <c r="F5114" s="395"/>
      <c r="G5114" s="395"/>
      <c r="H5114" s="397"/>
      <c r="I5114" s="395"/>
      <c r="J5114" s="395"/>
      <c r="K5114" s="397"/>
      <c r="L5114" s="395"/>
      <c r="M5114" s="395"/>
      <c r="N5114" s="395"/>
      <c r="O5114" s="397"/>
      <c r="P5114" s="395"/>
      <c r="Q5114" s="395"/>
      <c r="R5114" s="353"/>
      <c r="S5114" s="185"/>
      <c r="T5114" s="185"/>
      <c r="U5114" s="185"/>
      <c r="V5114" s="185"/>
      <c r="W5114" s="185"/>
      <c r="X5114" s="185"/>
      <c r="Y5114" s="284"/>
      <c r="Z5114" s="284"/>
      <c r="AA5114" s="284"/>
      <c r="AB5114" s="284"/>
      <c r="AC5114" s="284"/>
      <c r="AD5114" s="284"/>
      <c r="AE5114" s="284"/>
      <c r="AF5114" s="284"/>
      <c r="AG5114" s="284"/>
      <c r="AH5114" s="284"/>
      <c r="AI5114" s="284"/>
      <c r="AJ5114" s="284"/>
      <c r="AK5114" s="284"/>
      <c r="AL5114" s="284"/>
    </row>
    <row r="5115" ht="15.75" customHeight="1">
      <c r="A5115" s="394"/>
      <c r="B5115" s="395"/>
      <c r="C5115" s="395"/>
      <c r="D5115" s="396"/>
      <c r="E5115" s="397"/>
      <c r="F5115" s="395"/>
      <c r="G5115" s="395"/>
      <c r="H5115" s="397"/>
      <c r="I5115" s="395"/>
      <c r="J5115" s="395"/>
      <c r="K5115" s="397"/>
      <c r="L5115" s="395"/>
      <c r="M5115" s="395"/>
      <c r="N5115" s="395"/>
      <c r="O5115" s="397"/>
      <c r="P5115" s="395"/>
      <c r="Q5115" s="395"/>
      <c r="R5115" s="353"/>
      <c r="S5115" s="185"/>
      <c r="T5115" s="185"/>
      <c r="U5115" s="185"/>
      <c r="V5115" s="185"/>
      <c r="W5115" s="185"/>
      <c r="X5115" s="185"/>
      <c r="Y5115" s="284"/>
      <c r="Z5115" s="284"/>
      <c r="AA5115" s="284"/>
      <c r="AB5115" s="284"/>
      <c r="AC5115" s="284"/>
      <c r="AD5115" s="284"/>
      <c r="AE5115" s="284"/>
      <c r="AF5115" s="284"/>
      <c r="AG5115" s="284"/>
      <c r="AH5115" s="284"/>
      <c r="AI5115" s="284"/>
      <c r="AJ5115" s="284"/>
      <c r="AK5115" s="284"/>
      <c r="AL5115" s="284"/>
    </row>
    <row r="5116" ht="15.75" customHeight="1">
      <c r="A5116" s="394"/>
      <c r="B5116" s="395"/>
      <c r="C5116" s="395"/>
      <c r="D5116" s="396"/>
      <c r="E5116" s="397"/>
      <c r="F5116" s="395"/>
      <c r="G5116" s="395"/>
      <c r="H5116" s="397"/>
      <c r="I5116" s="395"/>
      <c r="J5116" s="395"/>
      <c r="K5116" s="397"/>
      <c r="L5116" s="395"/>
      <c r="M5116" s="395"/>
      <c r="N5116" s="395"/>
      <c r="O5116" s="397"/>
      <c r="P5116" s="395"/>
      <c r="Q5116" s="395"/>
      <c r="R5116" s="353"/>
      <c r="S5116" s="185"/>
      <c r="T5116" s="185"/>
      <c r="U5116" s="185"/>
      <c r="V5116" s="185"/>
      <c r="W5116" s="185"/>
      <c r="X5116" s="185"/>
      <c r="Y5116" s="284"/>
      <c r="Z5116" s="284"/>
      <c r="AA5116" s="284"/>
      <c r="AB5116" s="284"/>
      <c r="AC5116" s="284"/>
      <c r="AD5116" s="284"/>
      <c r="AE5116" s="284"/>
      <c r="AF5116" s="284"/>
      <c r="AG5116" s="284"/>
      <c r="AH5116" s="284"/>
      <c r="AI5116" s="284"/>
      <c r="AJ5116" s="284"/>
      <c r="AK5116" s="284"/>
      <c r="AL5116" s="284"/>
    </row>
    <row r="5117" ht="15.75" customHeight="1">
      <c r="A5117" s="394"/>
      <c r="B5117" s="395"/>
      <c r="C5117" s="395"/>
      <c r="D5117" s="396"/>
      <c r="E5117" s="397"/>
      <c r="F5117" s="395"/>
      <c r="G5117" s="395"/>
      <c r="H5117" s="397"/>
      <c r="I5117" s="395"/>
      <c r="J5117" s="395"/>
      <c r="K5117" s="397"/>
      <c r="L5117" s="395"/>
      <c r="M5117" s="395"/>
      <c r="N5117" s="395"/>
      <c r="O5117" s="397"/>
      <c r="P5117" s="395"/>
      <c r="Q5117" s="395"/>
      <c r="R5117" s="353"/>
      <c r="S5117" s="185"/>
      <c r="T5117" s="185"/>
      <c r="U5117" s="185"/>
      <c r="V5117" s="185"/>
      <c r="W5117" s="185"/>
      <c r="X5117" s="185"/>
      <c r="Y5117" s="284"/>
      <c r="Z5117" s="284"/>
      <c r="AA5117" s="284"/>
      <c r="AB5117" s="284"/>
      <c r="AC5117" s="284"/>
      <c r="AD5117" s="284"/>
      <c r="AE5117" s="284"/>
      <c r="AF5117" s="284"/>
      <c r="AG5117" s="284"/>
      <c r="AH5117" s="284"/>
      <c r="AI5117" s="284"/>
      <c r="AJ5117" s="284"/>
      <c r="AK5117" s="284"/>
      <c r="AL5117" s="284"/>
    </row>
    <row r="5118" ht="15.75" customHeight="1">
      <c r="A5118" s="394"/>
      <c r="B5118" s="395"/>
      <c r="C5118" s="395"/>
      <c r="D5118" s="396"/>
      <c r="E5118" s="397"/>
      <c r="F5118" s="395"/>
      <c r="G5118" s="395"/>
      <c r="H5118" s="397"/>
      <c r="I5118" s="395"/>
      <c r="J5118" s="395"/>
      <c r="K5118" s="397"/>
      <c r="L5118" s="395"/>
      <c r="M5118" s="395"/>
      <c r="N5118" s="395"/>
      <c r="O5118" s="397"/>
      <c r="P5118" s="395"/>
      <c r="Q5118" s="395"/>
      <c r="R5118" s="353"/>
      <c r="S5118" s="185"/>
      <c r="T5118" s="185"/>
      <c r="U5118" s="185"/>
      <c r="V5118" s="185"/>
      <c r="W5118" s="185"/>
      <c r="X5118" s="185"/>
      <c r="Y5118" s="284"/>
      <c r="Z5118" s="284"/>
      <c r="AA5118" s="284"/>
      <c r="AB5118" s="284"/>
      <c r="AC5118" s="284"/>
      <c r="AD5118" s="284"/>
      <c r="AE5118" s="284"/>
      <c r="AF5118" s="284"/>
      <c r="AG5118" s="284"/>
      <c r="AH5118" s="284"/>
      <c r="AI5118" s="284"/>
      <c r="AJ5118" s="284"/>
      <c r="AK5118" s="284"/>
      <c r="AL5118" s="284"/>
    </row>
    <row r="5119" ht="15.75" customHeight="1">
      <c r="A5119" s="394"/>
      <c r="B5119" s="395"/>
      <c r="C5119" s="395"/>
      <c r="D5119" s="396"/>
      <c r="E5119" s="397"/>
      <c r="F5119" s="395"/>
      <c r="G5119" s="395"/>
      <c r="H5119" s="397"/>
      <c r="I5119" s="395"/>
      <c r="J5119" s="395"/>
      <c r="K5119" s="397"/>
      <c r="L5119" s="395"/>
      <c r="M5119" s="395"/>
      <c r="N5119" s="395"/>
      <c r="O5119" s="397"/>
      <c r="P5119" s="395"/>
      <c r="Q5119" s="395"/>
      <c r="R5119" s="353"/>
      <c r="S5119" s="185"/>
      <c r="T5119" s="185"/>
      <c r="U5119" s="185"/>
      <c r="V5119" s="185"/>
      <c r="W5119" s="185"/>
      <c r="X5119" s="185"/>
      <c r="Y5119" s="284"/>
      <c r="Z5119" s="284"/>
      <c r="AA5119" s="284"/>
      <c r="AB5119" s="284"/>
      <c r="AC5119" s="284"/>
      <c r="AD5119" s="284"/>
      <c r="AE5119" s="284"/>
      <c r="AF5119" s="284"/>
      <c r="AG5119" s="284"/>
      <c r="AH5119" s="284"/>
      <c r="AI5119" s="284"/>
      <c r="AJ5119" s="284"/>
      <c r="AK5119" s="284"/>
      <c r="AL5119" s="284"/>
    </row>
    <row r="5120" ht="15.75" customHeight="1">
      <c r="A5120" s="394"/>
      <c r="B5120" s="395"/>
      <c r="C5120" s="395"/>
      <c r="D5120" s="396"/>
      <c r="E5120" s="397"/>
      <c r="F5120" s="395"/>
      <c r="G5120" s="395"/>
      <c r="H5120" s="397"/>
      <c r="I5120" s="395"/>
      <c r="J5120" s="395"/>
      <c r="K5120" s="397"/>
      <c r="L5120" s="395"/>
      <c r="M5120" s="395"/>
      <c r="N5120" s="395"/>
      <c r="O5120" s="397"/>
      <c r="P5120" s="395"/>
      <c r="Q5120" s="395"/>
      <c r="R5120" s="353"/>
      <c r="S5120" s="185"/>
      <c r="T5120" s="185"/>
      <c r="U5120" s="185"/>
      <c r="V5120" s="185"/>
      <c r="W5120" s="185"/>
      <c r="X5120" s="185"/>
      <c r="Y5120" s="284"/>
      <c r="Z5120" s="284"/>
      <c r="AA5120" s="284"/>
      <c r="AB5120" s="284"/>
      <c r="AC5120" s="284"/>
      <c r="AD5120" s="284"/>
      <c r="AE5120" s="284"/>
      <c r="AF5120" s="284"/>
      <c r="AG5120" s="284"/>
      <c r="AH5120" s="284"/>
      <c r="AI5120" s="284"/>
      <c r="AJ5120" s="284"/>
      <c r="AK5120" s="284"/>
      <c r="AL5120" s="284"/>
    </row>
    <row r="5121" ht="15.75" customHeight="1">
      <c r="A5121" s="394"/>
      <c r="B5121" s="395"/>
      <c r="C5121" s="395"/>
      <c r="D5121" s="396"/>
      <c r="E5121" s="397"/>
      <c r="F5121" s="395"/>
      <c r="G5121" s="395"/>
      <c r="H5121" s="397"/>
      <c r="I5121" s="395"/>
      <c r="J5121" s="395"/>
      <c r="K5121" s="397"/>
      <c r="L5121" s="395"/>
      <c r="M5121" s="395"/>
      <c r="N5121" s="395"/>
      <c r="O5121" s="397"/>
      <c r="P5121" s="395"/>
      <c r="Q5121" s="395"/>
      <c r="R5121" s="353"/>
      <c r="S5121" s="185"/>
      <c r="T5121" s="185"/>
      <c r="U5121" s="185"/>
      <c r="V5121" s="185"/>
      <c r="W5121" s="185"/>
      <c r="X5121" s="185"/>
      <c r="Y5121" s="284"/>
      <c r="Z5121" s="284"/>
      <c r="AA5121" s="284"/>
      <c r="AB5121" s="284"/>
      <c r="AC5121" s="284"/>
      <c r="AD5121" s="284"/>
      <c r="AE5121" s="284"/>
      <c r="AF5121" s="284"/>
      <c r="AG5121" s="284"/>
      <c r="AH5121" s="284"/>
      <c r="AI5121" s="284"/>
      <c r="AJ5121" s="284"/>
      <c r="AK5121" s="284"/>
      <c r="AL5121" s="284"/>
    </row>
    <row r="5122" ht="15.75" customHeight="1">
      <c r="A5122" s="394"/>
      <c r="B5122" s="395"/>
      <c r="C5122" s="395"/>
      <c r="D5122" s="396"/>
      <c r="E5122" s="397"/>
      <c r="F5122" s="395"/>
      <c r="G5122" s="395"/>
      <c r="H5122" s="397"/>
      <c r="I5122" s="395"/>
      <c r="J5122" s="395"/>
      <c r="K5122" s="397"/>
      <c r="L5122" s="395"/>
      <c r="M5122" s="395"/>
      <c r="N5122" s="395"/>
      <c r="O5122" s="397"/>
      <c r="P5122" s="395"/>
      <c r="Q5122" s="395"/>
      <c r="R5122" s="353"/>
      <c r="S5122" s="185"/>
      <c r="T5122" s="185"/>
      <c r="U5122" s="185"/>
      <c r="V5122" s="185"/>
      <c r="W5122" s="185"/>
      <c r="X5122" s="185"/>
      <c r="Y5122" s="284"/>
      <c r="Z5122" s="284"/>
      <c r="AA5122" s="284"/>
      <c r="AB5122" s="284"/>
      <c r="AC5122" s="284"/>
      <c r="AD5122" s="284"/>
      <c r="AE5122" s="284"/>
      <c r="AF5122" s="284"/>
      <c r="AG5122" s="284"/>
      <c r="AH5122" s="284"/>
      <c r="AI5122" s="284"/>
      <c r="AJ5122" s="284"/>
      <c r="AK5122" s="284"/>
      <c r="AL5122" s="284"/>
    </row>
    <row r="5123" ht="15.75" customHeight="1">
      <c r="A5123" s="394"/>
      <c r="B5123" s="395"/>
      <c r="C5123" s="395"/>
      <c r="D5123" s="396"/>
      <c r="E5123" s="397"/>
      <c r="F5123" s="395"/>
      <c r="G5123" s="395"/>
      <c r="H5123" s="397"/>
      <c r="I5123" s="395"/>
      <c r="J5123" s="395"/>
      <c r="K5123" s="397"/>
      <c r="L5123" s="395"/>
      <c r="M5123" s="395"/>
      <c r="N5123" s="395"/>
      <c r="O5123" s="397"/>
      <c r="P5123" s="395"/>
      <c r="Q5123" s="395"/>
      <c r="R5123" s="353"/>
      <c r="S5123" s="185"/>
      <c r="T5123" s="185"/>
      <c r="U5123" s="185"/>
      <c r="V5123" s="185"/>
      <c r="W5123" s="185"/>
      <c r="X5123" s="185"/>
      <c r="Y5123" s="284"/>
      <c r="Z5123" s="284"/>
      <c r="AA5123" s="284"/>
      <c r="AB5123" s="284"/>
      <c r="AC5123" s="284"/>
      <c r="AD5123" s="284"/>
      <c r="AE5123" s="284"/>
      <c r="AF5123" s="284"/>
      <c r="AG5123" s="284"/>
      <c r="AH5123" s="284"/>
      <c r="AI5123" s="284"/>
      <c r="AJ5123" s="284"/>
      <c r="AK5123" s="284"/>
      <c r="AL5123" s="284"/>
    </row>
    <row r="5124" ht="15.75" customHeight="1">
      <c r="A5124" s="394"/>
      <c r="B5124" s="395"/>
      <c r="C5124" s="395"/>
      <c r="D5124" s="396"/>
      <c r="E5124" s="397"/>
      <c r="F5124" s="395"/>
      <c r="G5124" s="395"/>
      <c r="H5124" s="397"/>
      <c r="I5124" s="395"/>
      <c r="J5124" s="395"/>
      <c r="K5124" s="397"/>
      <c r="L5124" s="395"/>
      <c r="M5124" s="395"/>
      <c r="N5124" s="395"/>
      <c r="O5124" s="397"/>
      <c r="P5124" s="395"/>
      <c r="Q5124" s="395"/>
      <c r="R5124" s="353"/>
      <c r="S5124" s="185"/>
      <c r="T5124" s="185"/>
      <c r="U5124" s="185"/>
      <c r="V5124" s="185"/>
      <c r="W5124" s="185"/>
      <c r="X5124" s="185"/>
      <c r="Y5124" s="284"/>
      <c r="Z5124" s="284"/>
      <c r="AA5124" s="284"/>
      <c r="AB5124" s="284"/>
      <c r="AC5124" s="284"/>
      <c r="AD5124" s="284"/>
      <c r="AE5124" s="284"/>
      <c r="AF5124" s="284"/>
      <c r="AG5124" s="284"/>
      <c r="AH5124" s="284"/>
      <c r="AI5124" s="284"/>
      <c r="AJ5124" s="284"/>
      <c r="AK5124" s="284"/>
      <c r="AL5124" s="284"/>
    </row>
    <row r="5125" ht="15.75" customHeight="1">
      <c r="A5125" s="394"/>
      <c r="B5125" s="395"/>
      <c r="C5125" s="395"/>
      <c r="D5125" s="396"/>
      <c r="E5125" s="397"/>
      <c r="F5125" s="395"/>
      <c r="G5125" s="395"/>
      <c r="H5125" s="397"/>
      <c r="I5125" s="395"/>
      <c r="J5125" s="395"/>
      <c r="K5125" s="397"/>
      <c r="L5125" s="395"/>
      <c r="M5125" s="395"/>
      <c r="N5125" s="395"/>
      <c r="O5125" s="397"/>
      <c r="P5125" s="395"/>
      <c r="Q5125" s="395"/>
      <c r="R5125" s="353"/>
      <c r="S5125" s="185"/>
      <c r="T5125" s="185"/>
      <c r="U5125" s="185"/>
      <c r="V5125" s="185"/>
      <c r="W5125" s="185"/>
      <c r="X5125" s="185"/>
      <c r="Y5125" s="284"/>
      <c r="Z5125" s="284"/>
      <c r="AA5125" s="284"/>
      <c r="AB5125" s="284"/>
      <c r="AC5125" s="284"/>
      <c r="AD5125" s="284"/>
      <c r="AE5125" s="284"/>
      <c r="AF5125" s="284"/>
      <c r="AG5125" s="284"/>
      <c r="AH5125" s="284"/>
      <c r="AI5125" s="284"/>
      <c r="AJ5125" s="284"/>
      <c r="AK5125" s="284"/>
      <c r="AL5125" s="284"/>
    </row>
    <row r="5126" ht="15.75" customHeight="1">
      <c r="A5126" s="394"/>
      <c r="B5126" s="395"/>
      <c r="C5126" s="395"/>
      <c r="D5126" s="396"/>
      <c r="E5126" s="397"/>
      <c r="F5126" s="395"/>
      <c r="G5126" s="395"/>
      <c r="H5126" s="397"/>
      <c r="I5126" s="395"/>
      <c r="J5126" s="395"/>
      <c r="K5126" s="397"/>
      <c r="L5126" s="395"/>
      <c r="M5126" s="395"/>
      <c r="N5126" s="395"/>
      <c r="O5126" s="397"/>
      <c r="P5126" s="395"/>
      <c r="Q5126" s="395"/>
      <c r="R5126" s="353"/>
      <c r="S5126" s="185"/>
      <c r="T5126" s="185"/>
      <c r="U5126" s="185"/>
      <c r="V5126" s="185"/>
      <c r="W5126" s="185"/>
      <c r="X5126" s="185"/>
      <c r="Y5126" s="284"/>
      <c r="Z5126" s="284"/>
      <c r="AA5126" s="284"/>
      <c r="AB5126" s="284"/>
      <c r="AC5126" s="284"/>
      <c r="AD5126" s="284"/>
      <c r="AE5126" s="284"/>
      <c r="AF5126" s="284"/>
      <c r="AG5126" s="284"/>
      <c r="AH5126" s="284"/>
      <c r="AI5126" s="284"/>
      <c r="AJ5126" s="284"/>
      <c r="AK5126" s="284"/>
      <c r="AL5126" s="284"/>
    </row>
    <row r="5127" ht="15.75" customHeight="1">
      <c r="A5127" s="394"/>
      <c r="B5127" s="395"/>
      <c r="C5127" s="395"/>
      <c r="D5127" s="396"/>
      <c r="E5127" s="397"/>
      <c r="F5127" s="395"/>
      <c r="G5127" s="395"/>
      <c r="H5127" s="397"/>
      <c r="I5127" s="395"/>
      <c r="J5127" s="395"/>
      <c r="K5127" s="397"/>
      <c r="L5127" s="395"/>
      <c r="M5127" s="395"/>
      <c r="N5127" s="395"/>
      <c r="O5127" s="397"/>
      <c r="P5127" s="395"/>
      <c r="Q5127" s="395"/>
      <c r="R5127" s="353"/>
      <c r="S5127" s="185"/>
      <c r="T5127" s="185"/>
      <c r="U5127" s="185"/>
      <c r="V5127" s="185"/>
      <c r="W5127" s="185"/>
      <c r="X5127" s="185"/>
      <c r="Y5127" s="284"/>
      <c r="Z5127" s="284"/>
      <c r="AA5127" s="284"/>
      <c r="AB5127" s="284"/>
      <c r="AC5127" s="284"/>
      <c r="AD5127" s="284"/>
      <c r="AE5127" s="284"/>
      <c r="AF5127" s="284"/>
      <c r="AG5127" s="284"/>
      <c r="AH5127" s="284"/>
      <c r="AI5127" s="284"/>
      <c r="AJ5127" s="284"/>
      <c r="AK5127" s="284"/>
      <c r="AL5127" s="284"/>
    </row>
    <row r="5128" ht="15.75" customHeight="1">
      <c r="A5128" s="394"/>
      <c r="B5128" s="395"/>
      <c r="C5128" s="395"/>
      <c r="D5128" s="396"/>
      <c r="E5128" s="397"/>
      <c r="F5128" s="395"/>
      <c r="G5128" s="395"/>
      <c r="H5128" s="397"/>
      <c r="I5128" s="395"/>
      <c r="J5128" s="395"/>
      <c r="K5128" s="397"/>
      <c r="L5128" s="395"/>
      <c r="M5128" s="395"/>
      <c r="N5128" s="395"/>
      <c r="O5128" s="397"/>
      <c r="P5128" s="395"/>
      <c r="Q5128" s="395"/>
      <c r="R5128" s="353"/>
      <c r="S5128" s="185"/>
      <c r="T5128" s="185"/>
      <c r="U5128" s="185"/>
      <c r="V5128" s="185"/>
      <c r="W5128" s="185"/>
      <c r="X5128" s="185"/>
      <c r="Y5128" s="284"/>
      <c r="Z5128" s="284"/>
      <c r="AA5128" s="284"/>
      <c r="AB5128" s="284"/>
      <c r="AC5128" s="284"/>
      <c r="AD5128" s="284"/>
      <c r="AE5128" s="284"/>
      <c r="AF5128" s="284"/>
      <c r="AG5128" s="284"/>
      <c r="AH5128" s="284"/>
      <c r="AI5128" s="284"/>
      <c r="AJ5128" s="284"/>
      <c r="AK5128" s="284"/>
      <c r="AL5128" s="284"/>
    </row>
    <row r="5129" ht="15.75" customHeight="1">
      <c r="A5129" s="394"/>
      <c r="B5129" s="395"/>
      <c r="C5129" s="395"/>
      <c r="D5129" s="396"/>
      <c r="E5129" s="397"/>
      <c r="F5129" s="395"/>
      <c r="G5129" s="395"/>
      <c r="H5129" s="397"/>
      <c r="I5129" s="395"/>
      <c r="J5129" s="395"/>
      <c r="K5129" s="397"/>
      <c r="L5129" s="395"/>
      <c r="M5129" s="395"/>
      <c r="N5129" s="395"/>
      <c r="O5129" s="397"/>
      <c r="P5129" s="395"/>
      <c r="Q5129" s="395"/>
      <c r="R5129" s="353"/>
      <c r="S5129" s="185"/>
      <c r="T5129" s="185"/>
      <c r="U5129" s="185"/>
      <c r="V5129" s="185"/>
      <c r="W5129" s="185"/>
      <c r="X5129" s="185"/>
      <c r="Y5129" s="284"/>
      <c r="Z5129" s="284"/>
      <c r="AA5129" s="284"/>
      <c r="AB5129" s="284"/>
      <c r="AC5129" s="284"/>
      <c r="AD5129" s="284"/>
      <c r="AE5129" s="284"/>
      <c r="AF5129" s="284"/>
      <c r="AG5129" s="284"/>
      <c r="AH5129" s="284"/>
      <c r="AI5129" s="284"/>
      <c r="AJ5129" s="284"/>
      <c r="AK5129" s="284"/>
      <c r="AL5129" s="284"/>
    </row>
    <row r="5130" ht="15.75" customHeight="1">
      <c r="A5130" s="394"/>
      <c r="B5130" s="395"/>
      <c r="C5130" s="395"/>
      <c r="D5130" s="396"/>
      <c r="E5130" s="397"/>
      <c r="F5130" s="395"/>
      <c r="G5130" s="395"/>
      <c r="H5130" s="397"/>
      <c r="I5130" s="395"/>
      <c r="J5130" s="395"/>
      <c r="K5130" s="397"/>
      <c r="L5130" s="395"/>
      <c r="M5130" s="395"/>
      <c r="N5130" s="395"/>
      <c r="O5130" s="397"/>
      <c r="P5130" s="395"/>
      <c r="Q5130" s="395"/>
      <c r="R5130" s="353"/>
      <c r="S5130" s="185"/>
      <c r="T5130" s="185"/>
      <c r="U5130" s="185"/>
      <c r="V5130" s="185"/>
      <c r="W5130" s="185"/>
      <c r="X5130" s="185"/>
      <c r="Y5130" s="284"/>
      <c r="Z5130" s="284"/>
      <c r="AA5130" s="284"/>
      <c r="AB5130" s="284"/>
      <c r="AC5130" s="284"/>
      <c r="AD5130" s="284"/>
      <c r="AE5130" s="284"/>
      <c r="AF5130" s="284"/>
      <c r="AG5130" s="284"/>
      <c r="AH5130" s="284"/>
      <c r="AI5130" s="284"/>
      <c r="AJ5130" s="284"/>
      <c r="AK5130" s="284"/>
      <c r="AL5130" s="284"/>
    </row>
    <row r="5131" ht="15.75" customHeight="1">
      <c r="A5131" s="394"/>
      <c r="B5131" s="395"/>
      <c r="C5131" s="395"/>
      <c r="D5131" s="396"/>
      <c r="E5131" s="397"/>
      <c r="F5131" s="395"/>
      <c r="G5131" s="395"/>
      <c r="H5131" s="397"/>
      <c r="I5131" s="395"/>
      <c r="J5131" s="395"/>
      <c r="K5131" s="397"/>
      <c r="L5131" s="395"/>
      <c r="M5131" s="395"/>
      <c r="N5131" s="395"/>
      <c r="O5131" s="397"/>
      <c r="P5131" s="395"/>
      <c r="Q5131" s="395"/>
      <c r="R5131" s="353"/>
      <c r="S5131" s="185"/>
      <c r="T5131" s="185"/>
      <c r="U5131" s="185"/>
      <c r="V5131" s="185"/>
      <c r="W5131" s="185"/>
      <c r="X5131" s="185"/>
      <c r="Y5131" s="284"/>
      <c r="Z5131" s="284"/>
      <c r="AA5131" s="284"/>
      <c r="AB5131" s="284"/>
      <c r="AC5131" s="284"/>
      <c r="AD5131" s="284"/>
      <c r="AE5131" s="284"/>
      <c r="AF5131" s="284"/>
      <c r="AG5131" s="284"/>
      <c r="AH5131" s="284"/>
      <c r="AI5131" s="284"/>
      <c r="AJ5131" s="284"/>
      <c r="AK5131" s="284"/>
      <c r="AL5131" s="284"/>
    </row>
    <row r="5132" ht="15.75" customHeight="1">
      <c r="A5132" s="394"/>
      <c r="B5132" s="395"/>
      <c r="C5132" s="395"/>
      <c r="D5132" s="396"/>
      <c r="E5132" s="397"/>
      <c r="F5132" s="395"/>
      <c r="G5132" s="395"/>
      <c r="H5132" s="397"/>
      <c r="I5132" s="395"/>
      <c r="J5132" s="395"/>
      <c r="K5132" s="397"/>
      <c r="L5132" s="395"/>
      <c r="M5132" s="395"/>
      <c r="N5132" s="395"/>
      <c r="O5132" s="397"/>
      <c r="P5132" s="395"/>
      <c r="Q5132" s="395"/>
      <c r="R5132" s="353"/>
      <c r="S5132" s="185"/>
      <c r="T5132" s="185"/>
      <c r="U5132" s="185"/>
      <c r="V5132" s="185"/>
      <c r="W5132" s="185"/>
      <c r="X5132" s="185"/>
      <c r="Y5132" s="284"/>
      <c r="Z5132" s="284"/>
      <c r="AA5132" s="284"/>
      <c r="AB5132" s="284"/>
      <c r="AC5132" s="284"/>
      <c r="AD5132" s="284"/>
      <c r="AE5132" s="284"/>
      <c r="AF5132" s="284"/>
      <c r="AG5132" s="284"/>
      <c r="AH5132" s="284"/>
      <c r="AI5132" s="284"/>
      <c r="AJ5132" s="284"/>
      <c r="AK5132" s="284"/>
      <c r="AL5132" s="284"/>
    </row>
    <row r="5133" ht="15.75" customHeight="1">
      <c r="A5133" s="394"/>
      <c r="B5133" s="395"/>
      <c r="C5133" s="395"/>
      <c r="D5133" s="396"/>
      <c r="E5133" s="397"/>
      <c r="F5133" s="395"/>
      <c r="G5133" s="395"/>
      <c r="H5133" s="397"/>
      <c r="I5133" s="395"/>
      <c r="J5133" s="395"/>
      <c r="K5133" s="397"/>
      <c r="L5133" s="395"/>
      <c r="M5133" s="395"/>
      <c r="N5133" s="395"/>
      <c r="O5133" s="397"/>
      <c r="P5133" s="395"/>
      <c r="Q5133" s="395"/>
      <c r="R5133" s="353"/>
      <c r="S5133" s="185"/>
      <c r="T5133" s="185"/>
      <c r="U5133" s="185"/>
      <c r="V5133" s="185"/>
      <c r="W5133" s="185"/>
      <c r="X5133" s="185"/>
      <c r="Y5133" s="284"/>
      <c r="Z5133" s="284"/>
      <c r="AA5133" s="284"/>
      <c r="AB5133" s="284"/>
      <c r="AC5133" s="284"/>
      <c r="AD5133" s="284"/>
      <c r="AE5133" s="284"/>
      <c r="AF5133" s="284"/>
      <c r="AG5133" s="284"/>
      <c r="AH5133" s="284"/>
      <c r="AI5133" s="284"/>
      <c r="AJ5133" s="284"/>
      <c r="AK5133" s="284"/>
      <c r="AL5133" s="284"/>
    </row>
    <row r="5134" ht="15.75" customHeight="1">
      <c r="A5134" s="394"/>
      <c r="B5134" s="395"/>
      <c r="C5134" s="395"/>
      <c r="D5134" s="396"/>
      <c r="E5134" s="397"/>
      <c r="F5134" s="395"/>
      <c r="G5134" s="395"/>
      <c r="H5134" s="397"/>
      <c r="I5134" s="395"/>
      <c r="J5134" s="395"/>
      <c r="K5134" s="397"/>
      <c r="L5134" s="395"/>
      <c r="M5134" s="395"/>
      <c r="N5134" s="395"/>
      <c r="O5134" s="397"/>
      <c r="P5134" s="395"/>
      <c r="Q5134" s="395"/>
      <c r="R5134" s="353"/>
      <c r="S5134" s="185"/>
      <c r="T5134" s="185"/>
      <c r="U5134" s="185"/>
      <c r="V5134" s="185"/>
      <c r="W5134" s="185"/>
      <c r="X5134" s="185"/>
      <c r="Y5134" s="284"/>
      <c r="Z5134" s="284"/>
      <c r="AA5134" s="284"/>
      <c r="AB5134" s="284"/>
      <c r="AC5134" s="284"/>
      <c r="AD5134" s="284"/>
      <c r="AE5134" s="284"/>
      <c r="AF5134" s="284"/>
      <c r="AG5134" s="284"/>
      <c r="AH5134" s="284"/>
      <c r="AI5134" s="284"/>
      <c r="AJ5134" s="284"/>
      <c r="AK5134" s="284"/>
      <c r="AL5134" s="284"/>
    </row>
    <row r="5135" ht="15.75" customHeight="1">
      <c r="A5135" s="394"/>
      <c r="B5135" s="395"/>
      <c r="C5135" s="395"/>
      <c r="D5135" s="396"/>
      <c r="E5135" s="397"/>
      <c r="F5135" s="395"/>
      <c r="G5135" s="395"/>
      <c r="H5135" s="397"/>
      <c r="I5135" s="395"/>
      <c r="J5135" s="395"/>
      <c r="K5135" s="397"/>
      <c r="L5135" s="395"/>
      <c r="M5135" s="395"/>
      <c r="N5135" s="395"/>
      <c r="O5135" s="397"/>
      <c r="P5135" s="395"/>
      <c r="Q5135" s="395"/>
      <c r="R5135" s="353"/>
      <c r="S5135" s="185"/>
      <c r="T5135" s="185"/>
      <c r="U5135" s="185"/>
      <c r="V5135" s="185"/>
      <c r="W5135" s="185"/>
      <c r="X5135" s="185"/>
      <c r="Y5135" s="284"/>
      <c r="Z5135" s="284"/>
      <c r="AA5135" s="284"/>
      <c r="AB5135" s="284"/>
      <c r="AC5135" s="284"/>
      <c r="AD5135" s="284"/>
      <c r="AE5135" s="284"/>
      <c r="AF5135" s="284"/>
      <c r="AG5135" s="284"/>
      <c r="AH5135" s="284"/>
      <c r="AI5135" s="284"/>
      <c r="AJ5135" s="284"/>
      <c r="AK5135" s="284"/>
      <c r="AL5135" s="284"/>
    </row>
    <row r="5136" ht="15.75" customHeight="1">
      <c r="A5136" s="394"/>
      <c r="B5136" s="395"/>
      <c r="C5136" s="395"/>
      <c r="D5136" s="396"/>
      <c r="E5136" s="397"/>
      <c r="F5136" s="395"/>
      <c r="G5136" s="395"/>
      <c r="H5136" s="397"/>
      <c r="I5136" s="395"/>
      <c r="J5136" s="395"/>
      <c r="K5136" s="397"/>
      <c r="L5136" s="395"/>
      <c r="M5136" s="395"/>
      <c r="N5136" s="395"/>
      <c r="O5136" s="397"/>
      <c r="P5136" s="395"/>
      <c r="Q5136" s="395"/>
      <c r="R5136" s="353"/>
      <c r="S5136" s="185"/>
      <c r="T5136" s="185"/>
      <c r="U5136" s="185"/>
      <c r="V5136" s="185"/>
      <c r="W5136" s="185"/>
      <c r="X5136" s="185"/>
      <c r="Y5136" s="284"/>
      <c r="Z5136" s="284"/>
      <c r="AA5136" s="284"/>
      <c r="AB5136" s="284"/>
      <c r="AC5136" s="284"/>
      <c r="AD5136" s="284"/>
      <c r="AE5136" s="284"/>
      <c r="AF5136" s="284"/>
      <c r="AG5136" s="284"/>
      <c r="AH5136" s="284"/>
      <c r="AI5136" s="284"/>
      <c r="AJ5136" s="284"/>
      <c r="AK5136" s="284"/>
      <c r="AL5136" s="284"/>
    </row>
    <row r="5137" ht="15.75" customHeight="1">
      <c r="A5137" s="394"/>
      <c r="B5137" s="395"/>
      <c r="C5137" s="395"/>
      <c r="D5137" s="396"/>
      <c r="E5137" s="397"/>
      <c r="F5137" s="395"/>
      <c r="G5137" s="395"/>
      <c r="H5137" s="397"/>
      <c r="I5137" s="395"/>
      <c r="J5137" s="395"/>
      <c r="K5137" s="397"/>
      <c r="L5137" s="395"/>
      <c r="M5137" s="395"/>
      <c r="N5137" s="395"/>
      <c r="O5137" s="397"/>
      <c r="P5137" s="395"/>
      <c r="Q5137" s="395"/>
      <c r="R5137" s="353"/>
      <c r="S5137" s="185"/>
      <c r="T5137" s="185"/>
      <c r="U5137" s="185"/>
      <c r="V5137" s="185"/>
      <c r="W5137" s="185"/>
      <c r="X5137" s="185"/>
      <c r="Y5137" s="284"/>
      <c r="Z5137" s="284"/>
      <c r="AA5137" s="284"/>
      <c r="AB5137" s="284"/>
      <c r="AC5137" s="284"/>
      <c r="AD5137" s="284"/>
      <c r="AE5137" s="284"/>
      <c r="AF5137" s="284"/>
      <c r="AG5137" s="284"/>
      <c r="AH5137" s="284"/>
      <c r="AI5137" s="284"/>
      <c r="AJ5137" s="284"/>
      <c r="AK5137" s="284"/>
      <c r="AL5137" s="284"/>
    </row>
    <row r="5138" ht="15.75" customHeight="1">
      <c r="A5138" s="394"/>
      <c r="B5138" s="395"/>
      <c r="C5138" s="395"/>
      <c r="D5138" s="396"/>
      <c r="E5138" s="397"/>
      <c r="F5138" s="395"/>
      <c r="G5138" s="395"/>
      <c r="H5138" s="397"/>
      <c r="I5138" s="395"/>
      <c r="J5138" s="395"/>
      <c r="K5138" s="397"/>
      <c r="L5138" s="395"/>
      <c r="M5138" s="395"/>
      <c r="N5138" s="395"/>
      <c r="O5138" s="397"/>
      <c r="P5138" s="395"/>
      <c r="Q5138" s="395"/>
      <c r="R5138" s="353"/>
      <c r="S5138" s="185"/>
      <c r="T5138" s="185"/>
      <c r="U5138" s="185"/>
      <c r="V5138" s="185"/>
      <c r="W5138" s="185"/>
      <c r="X5138" s="185"/>
      <c r="Y5138" s="284"/>
      <c r="Z5138" s="284"/>
      <c r="AA5138" s="284"/>
      <c r="AB5138" s="284"/>
      <c r="AC5138" s="284"/>
      <c r="AD5138" s="284"/>
      <c r="AE5138" s="284"/>
      <c r="AF5138" s="284"/>
      <c r="AG5138" s="284"/>
      <c r="AH5138" s="284"/>
      <c r="AI5138" s="284"/>
      <c r="AJ5138" s="284"/>
      <c r="AK5138" s="284"/>
      <c r="AL5138" s="284"/>
    </row>
    <row r="5139" ht="15.75" customHeight="1">
      <c r="A5139" s="394"/>
      <c r="B5139" s="395"/>
      <c r="C5139" s="395"/>
      <c r="D5139" s="396"/>
      <c r="E5139" s="397"/>
      <c r="F5139" s="395"/>
      <c r="G5139" s="395"/>
      <c r="H5139" s="397"/>
      <c r="I5139" s="395"/>
      <c r="J5139" s="395"/>
      <c r="K5139" s="397"/>
      <c r="L5139" s="395"/>
      <c r="M5139" s="395"/>
      <c r="N5139" s="395"/>
      <c r="O5139" s="397"/>
      <c r="P5139" s="395"/>
      <c r="Q5139" s="395"/>
      <c r="R5139" s="353"/>
      <c r="S5139" s="185"/>
      <c r="T5139" s="185"/>
      <c r="U5139" s="185"/>
      <c r="V5139" s="185"/>
      <c r="W5139" s="185"/>
      <c r="X5139" s="185"/>
      <c r="Y5139" s="284"/>
      <c r="Z5139" s="284"/>
      <c r="AA5139" s="284"/>
      <c r="AB5139" s="284"/>
      <c r="AC5139" s="284"/>
      <c r="AD5139" s="284"/>
      <c r="AE5139" s="284"/>
      <c r="AF5139" s="284"/>
      <c r="AG5139" s="284"/>
      <c r="AH5139" s="284"/>
      <c r="AI5139" s="284"/>
      <c r="AJ5139" s="284"/>
      <c r="AK5139" s="284"/>
      <c r="AL5139" s="284"/>
    </row>
    <row r="5140" ht="15.75" customHeight="1">
      <c r="A5140" s="394"/>
      <c r="B5140" s="395"/>
      <c r="C5140" s="395"/>
      <c r="D5140" s="396"/>
      <c r="E5140" s="397"/>
      <c r="F5140" s="395"/>
      <c r="G5140" s="395"/>
      <c r="H5140" s="397"/>
      <c r="I5140" s="395"/>
      <c r="J5140" s="395"/>
      <c r="K5140" s="397"/>
      <c r="L5140" s="395"/>
      <c r="M5140" s="395"/>
      <c r="N5140" s="395"/>
      <c r="O5140" s="397"/>
      <c r="P5140" s="395"/>
      <c r="Q5140" s="395"/>
      <c r="R5140" s="353"/>
      <c r="S5140" s="185"/>
      <c r="T5140" s="185"/>
      <c r="U5140" s="185"/>
      <c r="V5140" s="185"/>
      <c r="W5140" s="185"/>
      <c r="X5140" s="185"/>
      <c r="Y5140" s="284"/>
      <c r="Z5140" s="284"/>
      <c r="AA5140" s="284"/>
      <c r="AB5140" s="284"/>
      <c r="AC5140" s="284"/>
      <c r="AD5140" s="284"/>
      <c r="AE5140" s="284"/>
      <c r="AF5140" s="284"/>
      <c r="AG5140" s="284"/>
      <c r="AH5140" s="284"/>
      <c r="AI5140" s="284"/>
      <c r="AJ5140" s="284"/>
      <c r="AK5140" s="284"/>
      <c r="AL5140" s="284"/>
    </row>
    <row r="5141" ht="15.75" customHeight="1">
      <c r="A5141" s="394"/>
      <c r="B5141" s="395"/>
      <c r="C5141" s="395"/>
      <c r="D5141" s="396"/>
      <c r="E5141" s="397"/>
      <c r="F5141" s="395"/>
      <c r="G5141" s="395"/>
      <c r="H5141" s="397"/>
      <c r="I5141" s="395"/>
      <c r="J5141" s="395"/>
      <c r="K5141" s="397"/>
      <c r="L5141" s="395"/>
      <c r="M5141" s="395"/>
      <c r="N5141" s="395"/>
      <c r="O5141" s="397"/>
      <c r="P5141" s="395"/>
      <c r="Q5141" s="395"/>
      <c r="R5141" s="353"/>
      <c r="S5141" s="185"/>
      <c r="T5141" s="185"/>
      <c r="U5141" s="185"/>
      <c r="V5141" s="185"/>
      <c r="W5141" s="185"/>
      <c r="X5141" s="185"/>
      <c r="Y5141" s="284"/>
      <c r="Z5141" s="284"/>
      <c r="AA5141" s="284"/>
      <c r="AB5141" s="284"/>
      <c r="AC5141" s="284"/>
      <c r="AD5141" s="284"/>
      <c r="AE5141" s="284"/>
      <c r="AF5141" s="284"/>
      <c r="AG5141" s="284"/>
      <c r="AH5141" s="284"/>
      <c r="AI5141" s="284"/>
      <c r="AJ5141" s="284"/>
      <c r="AK5141" s="284"/>
      <c r="AL5141" s="284"/>
    </row>
    <row r="5142" ht="15.75" customHeight="1">
      <c r="A5142" s="394"/>
      <c r="B5142" s="395"/>
      <c r="C5142" s="395"/>
      <c r="D5142" s="396"/>
      <c r="E5142" s="397"/>
      <c r="F5142" s="395"/>
      <c r="G5142" s="395"/>
      <c r="H5142" s="397"/>
      <c r="I5142" s="395"/>
      <c r="J5142" s="395"/>
      <c r="K5142" s="397"/>
      <c r="L5142" s="395"/>
      <c r="M5142" s="395"/>
      <c r="N5142" s="395"/>
      <c r="O5142" s="397"/>
      <c r="P5142" s="395"/>
      <c r="Q5142" s="395"/>
      <c r="R5142" s="353"/>
      <c r="S5142" s="185"/>
      <c r="T5142" s="185"/>
      <c r="U5142" s="185"/>
      <c r="V5142" s="185"/>
      <c r="W5142" s="185"/>
      <c r="X5142" s="185"/>
      <c r="Y5142" s="284"/>
      <c r="Z5142" s="284"/>
      <c r="AA5142" s="284"/>
      <c r="AB5142" s="284"/>
      <c r="AC5142" s="284"/>
      <c r="AD5142" s="284"/>
      <c r="AE5142" s="284"/>
      <c r="AF5142" s="284"/>
      <c r="AG5142" s="284"/>
      <c r="AH5142" s="284"/>
      <c r="AI5142" s="284"/>
      <c r="AJ5142" s="284"/>
      <c r="AK5142" s="284"/>
      <c r="AL5142" s="284"/>
    </row>
    <row r="5143" ht="15.75" customHeight="1">
      <c r="A5143" s="394"/>
      <c r="B5143" s="395"/>
      <c r="C5143" s="395"/>
      <c r="D5143" s="396"/>
      <c r="E5143" s="397"/>
      <c r="F5143" s="395"/>
      <c r="G5143" s="395"/>
      <c r="H5143" s="397"/>
      <c r="I5143" s="395"/>
      <c r="J5143" s="395"/>
      <c r="K5143" s="397"/>
      <c r="L5143" s="395"/>
      <c r="M5143" s="395"/>
      <c r="N5143" s="395"/>
      <c r="O5143" s="397"/>
      <c r="P5143" s="395"/>
      <c r="Q5143" s="395"/>
      <c r="R5143" s="353"/>
      <c r="S5143" s="185"/>
      <c r="T5143" s="185"/>
      <c r="U5143" s="185"/>
      <c r="V5143" s="185"/>
      <c r="W5143" s="185"/>
      <c r="X5143" s="185"/>
      <c r="Y5143" s="284"/>
      <c r="Z5143" s="284"/>
      <c r="AA5143" s="284"/>
      <c r="AB5143" s="284"/>
      <c r="AC5143" s="284"/>
      <c r="AD5143" s="284"/>
      <c r="AE5143" s="284"/>
      <c r="AF5143" s="284"/>
      <c r="AG5143" s="284"/>
      <c r="AH5143" s="284"/>
      <c r="AI5143" s="284"/>
      <c r="AJ5143" s="284"/>
      <c r="AK5143" s="284"/>
      <c r="AL5143" s="284"/>
    </row>
    <row r="5144" ht="15.75" customHeight="1">
      <c r="A5144" s="394"/>
      <c r="B5144" s="395"/>
      <c r="C5144" s="395"/>
      <c r="D5144" s="396"/>
      <c r="E5144" s="397"/>
      <c r="F5144" s="395"/>
      <c r="G5144" s="395"/>
      <c r="H5144" s="397"/>
      <c r="I5144" s="395"/>
      <c r="J5144" s="395"/>
      <c r="K5144" s="397"/>
      <c r="L5144" s="395"/>
      <c r="M5144" s="395"/>
      <c r="N5144" s="395"/>
      <c r="O5144" s="397"/>
      <c r="P5144" s="395"/>
      <c r="Q5144" s="395"/>
      <c r="R5144" s="353"/>
      <c r="S5144" s="185"/>
      <c r="T5144" s="185"/>
      <c r="U5144" s="185"/>
      <c r="V5144" s="185"/>
      <c r="W5144" s="185"/>
      <c r="X5144" s="185"/>
      <c r="Y5144" s="284"/>
      <c r="Z5144" s="284"/>
      <c r="AA5144" s="284"/>
      <c r="AB5144" s="284"/>
      <c r="AC5144" s="284"/>
      <c r="AD5144" s="284"/>
      <c r="AE5144" s="284"/>
      <c r="AF5144" s="284"/>
      <c r="AG5144" s="284"/>
      <c r="AH5144" s="284"/>
      <c r="AI5144" s="284"/>
      <c r="AJ5144" s="284"/>
      <c r="AK5144" s="284"/>
      <c r="AL5144" s="284"/>
    </row>
    <row r="5145" ht="15.75" customHeight="1">
      <c r="A5145" s="394"/>
      <c r="B5145" s="395"/>
      <c r="C5145" s="395"/>
      <c r="D5145" s="396"/>
      <c r="E5145" s="397"/>
      <c r="F5145" s="395"/>
      <c r="G5145" s="395"/>
      <c r="H5145" s="397"/>
      <c r="I5145" s="395"/>
      <c r="J5145" s="395"/>
      <c r="K5145" s="397"/>
      <c r="L5145" s="395"/>
      <c r="M5145" s="395"/>
      <c r="N5145" s="395"/>
      <c r="O5145" s="397"/>
      <c r="P5145" s="395"/>
      <c r="Q5145" s="395"/>
      <c r="R5145" s="353"/>
      <c r="S5145" s="185"/>
      <c r="T5145" s="185"/>
      <c r="U5145" s="185"/>
      <c r="V5145" s="185"/>
      <c r="W5145" s="185"/>
      <c r="X5145" s="185"/>
      <c r="Y5145" s="284"/>
      <c r="Z5145" s="284"/>
      <c r="AA5145" s="284"/>
      <c r="AB5145" s="284"/>
      <c r="AC5145" s="284"/>
      <c r="AD5145" s="284"/>
      <c r="AE5145" s="284"/>
      <c r="AF5145" s="284"/>
      <c r="AG5145" s="284"/>
      <c r="AH5145" s="284"/>
      <c r="AI5145" s="284"/>
      <c r="AJ5145" s="284"/>
      <c r="AK5145" s="284"/>
      <c r="AL5145" s="284"/>
    </row>
    <row r="5146" ht="15.75" customHeight="1">
      <c r="A5146" s="394"/>
      <c r="B5146" s="395"/>
      <c r="C5146" s="395"/>
      <c r="D5146" s="396"/>
      <c r="E5146" s="397"/>
      <c r="F5146" s="395"/>
      <c r="G5146" s="395"/>
      <c r="H5146" s="397"/>
      <c r="I5146" s="395"/>
      <c r="J5146" s="395"/>
      <c r="K5146" s="397"/>
      <c r="L5146" s="395"/>
      <c r="M5146" s="395"/>
      <c r="N5146" s="395"/>
      <c r="O5146" s="397"/>
      <c r="P5146" s="395"/>
      <c r="Q5146" s="395"/>
      <c r="R5146" s="353"/>
      <c r="S5146" s="185"/>
      <c r="T5146" s="185"/>
      <c r="U5146" s="185"/>
      <c r="V5146" s="185"/>
      <c r="W5146" s="185"/>
      <c r="X5146" s="185"/>
      <c r="Y5146" s="284"/>
      <c r="Z5146" s="284"/>
      <c r="AA5146" s="284"/>
      <c r="AB5146" s="284"/>
      <c r="AC5146" s="284"/>
      <c r="AD5146" s="284"/>
      <c r="AE5146" s="284"/>
      <c r="AF5146" s="284"/>
      <c r="AG5146" s="284"/>
      <c r="AH5146" s="284"/>
      <c r="AI5146" s="284"/>
      <c r="AJ5146" s="284"/>
      <c r="AK5146" s="284"/>
      <c r="AL5146" s="284"/>
    </row>
    <row r="5147" ht="15.75" customHeight="1">
      <c r="A5147" s="394"/>
      <c r="B5147" s="395"/>
      <c r="C5147" s="395"/>
      <c r="D5147" s="396"/>
      <c r="E5147" s="397"/>
      <c r="F5147" s="395"/>
      <c r="G5147" s="395"/>
      <c r="H5147" s="397"/>
      <c r="I5147" s="395"/>
      <c r="J5147" s="395"/>
      <c r="K5147" s="397"/>
      <c r="L5147" s="395"/>
      <c r="M5147" s="395"/>
      <c r="N5147" s="395"/>
      <c r="O5147" s="397"/>
      <c r="P5147" s="395"/>
      <c r="Q5147" s="395"/>
      <c r="R5147" s="353"/>
      <c r="S5147" s="185"/>
      <c r="T5147" s="185"/>
      <c r="U5147" s="185"/>
      <c r="V5147" s="185"/>
      <c r="W5147" s="185"/>
      <c r="X5147" s="185"/>
      <c r="Y5147" s="284"/>
      <c r="Z5147" s="284"/>
      <c r="AA5147" s="284"/>
      <c r="AB5147" s="284"/>
      <c r="AC5147" s="284"/>
      <c r="AD5147" s="284"/>
      <c r="AE5147" s="284"/>
      <c r="AF5147" s="284"/>
      <c r="AG5147" s="284"/>
      <c r="AH5147" s="284"/>
      <c r="AI5147" s="284"/>
      <c r="AJ5147" s="284"/>
      <c r="AK5147" s="284"/>
      <c r="AL5147" s="284"/>
    </row>
    <row r="5148" ht="15.75" customHeight="1">
      <c r="A5148" s="394"/>
      <c r="B5148" s="395"/>
      <c r="C5148" s="395"/>
      <c r="D5148" s="396"/>
      <c r="E5148" s="397"/>
      <c r="F5148" s="395"/>
      <c r="G5148" s="395"/>
      <c r="H5148" s="397"/>
      <c r="I5148" s="395"/>
      <c r="J5148" s="395"/>
      <c r="K5148" s="397"/>
      <c r="L5148" s="395"/>
      <c r="M5148" s="395"/>
      <c r="N5148" s="395"/>
      <c r="O5148" s="397"/>
      <c r="P5148" s="395"/>
      <c r="Q5148" s="395"/>
      <c r="R5148" s="353"/>
      <c r="S5148" s="185"/>
      <c r="T5148" s="185"/>
      <c r="U5148" s="185"/>
      <c r="V5148" s="185"/>
      <c r="W5148" s="185"/>
      <c r="X5148" s="185"/>
      <c r="Y5148" s="284"/>
      <c r="Z5148" s="284"/>
      <c r="AA5148" s="284"/>
      <c r="AB5148" s="284"/>
      <c r="AC5148" s="284"/>
      <c r="AD5148" s="284"/>
      <c r="AE5148" s="284"/>
      <c r="AF5148" s="284"/>
      <c r="AG5148" s="284"/>
      <c r="AH5148" s="284"/>
      <c r="AI5148" s="284"/>
      <c r="AJ5148" s="284"/>
      <c r="AK5148" s="284"/>
      <c r="AL5148" s="284"/>
    </row>
    <row r="5149" ht="15.75" customHeight="1">
      <c r="A5149" s="394"/>
      <c r="B5149" s="395"/>
      <c r="C5149" s="395"/>
      <c r="D5149" s="396"/>
      <c r="E5149" s="397"/>
      <c r="F5149" s="395"/>
      <c r="G5149" s="395"/>
      <c r="H5149" s="397"/>
      <c r="I5149" s="395"/>
      <c r="J5149" s="395"/>
      <c r="K5149" s="397"/>
      <c r="L5149" s="395"/>
      <c r="M5149" s="395"/>
      <c r="N5149" s="395"/>
      <c r="O5149" s="397"/>
      <c r="P5149" s="395"/>
      <c r="Q5149" s="395"/>
      <c r="R5149" s="353"/>
      <c r="S5149" s="185"/>
      <c r="T5149" s="185"/>
      <c r="U5149" s="185"/>
      <c r="V5149" s="185"/>
      <c r="W5149" s="185"/>
      <c r="X5149" s="185"/>
      <c r="Y5149" s="284"/>
      <c r="Z5149" s="284"/>
      <c r="AA5149" s="284"/>
      <c r="AB5149" s="284"/>
      <c r="AC5149" s="284"/>
      <c r="AD5149" s="284"/>
      <c r="AE5149" s="284"/>
      <c r="AF5149" s="284"/>
      <c r="AG5149" s="284"/>
      <c r="AH5149" s="284"/>
      <c r="AI5149" s="284"/>
      <c r="AJ5149" s="284"/>
      <c r="AK5149" s="284"/>
      <c r="AL5149" s="284"/>
    </row>
    <row r="5150" ht="15.75" customHeight="1">
      <c r="A5150" s="394"/>
      <c r="B5150" s="395"/>
      <c r="C5150" s="395"/>
      <c r="D5150" s="396"/>
      <c r="E5150" s="397"/>
      <c r="F5150" s="395"/>
      <c r="G5150" s="395"/>
      <c r="H5150" s="397"/>
      <c r="I5150" s="395"/>
      <c r="J5150" s="395"/>
      <c r="K5150" s="397"/>
      <c r="L5150" s="395"/>
      <c r="M5150" s="395"/>
      <c r="N5150" s="395"/>
      <c r="O5150" s="397"/>
      <c r="P5150" s="395"/>
      <c r="Q5150" s="395"/>
      <c r="R5150" s="353"/>
      <c r="S5150" s="185"/>
      <c r="T5150" s="185"/>
      <c r="U5150" s="185"/>
      <c r="V5150" s="185"/>
      <c r="W5150" s="185"/>
      <c r="X5150" s="185"/>
      <c r="Y5150" s="284"/>
      <c r="Z5150" s="284"/>
      <c r="AA5150" s="284"/>
      <c r="AB5150" s="284"/>
      <c r="AC5150" s="284"/>
      <c r="AD5150" s="284"/>
      <c r="AE5150" s="284"/>
      <c r="AF5150" s="284"/>
      <c r="AG5150" s="284"/>
      <c r="AH5150" s="284"/>
      <c r="AI5150" s="284"/>
      <c r="AJ5150" s="284"/>
      <c r="AK5150" s="284"/>
      <c r="AL5150" s="284"/>
    </row>
    <row r="5151" ht="15.75" customHeight="1">
      <c r="A5151" s="394"/>
      <c r="B5151" s="395"/>
      <c r="C5151" s="395"/>
      <c r="D5151" s="396"/>
      <c r="E5151" s="397"/>
      <c r="F5151" s="395"/>
      <c r="G5151" s="395"/>
      <c r="H5151" s="397"/>
      <c r="I5151" s="395"/>
      <c r="J5151" s="395"/>
      <c r="K5151" s="397"/>
      <c r="L5151" s="395"/>
      <c r="M5151" s="395"/>
      <c r="N5151" s="395"/>
      <c r="O5151" s="397"/>
      <c r="P5151" s="395"/>
      <c r="Q5151" s="395"/>
      <c r="R5151" s="353"/>
      <c r="S5151" s="185"/>
      <c r="T5151" s="185"/>
      <c r="U5151" s="185"/>
      <c r="V5151" s="185"/>
      <c r="W5151" s="185"/>
      <c r="X5151" s="185"/>
      <c r="Y5151" s="284"/>
      <c r="Z5151" s="284"/>
      <c r="AA5151" s="284"/>
      <c r="AB5151" s="284"/>
      <c r="AC5151" s="284"/>
      <c r="AD5151" s="284"/>
      <c r="AE5151" s="284"/>
      <c r="AF5151" s="284"/>
      <c r="AG5151" s="284"/>
      <c r="AH5151" s="284"/>
      <c r="AI5151" s="284"/>
      <c r="AJ5151" s="284"/>
      <c r="AK5151" s="284"/>
      <c r="AL5151" s="284"/>
    </row>
    <row r="5152" ht="15.75" customHeight="1">
      <c r="A5152" s="394"/>
      <c r="B5152" s="395"/>
      <c r="C5152" s="395"/>
      <c r="D5152" s="396"/>
      <c r="E5152" s="397"/>
      <c r="F5152" s="395"/>
      <c r="G5152" s="395"/>
      <c r="H5152" s="397"/>
      <c r="I5152" s="395"/>
      <c r="J5152" s="395"/>
      <c r="K5152" s="397"/>
      <c r="L5152" s="395"/>
      <c r="M5152" s="395"/>
      <c r="N5152" s="395"/>
      <c r="O5152" s="397"/>
      <c r="P5152" s="395"/>
      <c r="Q5152" s="395"/>
      <c r="R5152" s="353"/>
      <c r="S5152" s="185"/>
      <c r="T5152" s="185"/>
      <c r="U5152" s="185"/>
      <c r="V5152" s="185"/>
      <c r="W5152" s="185"/>
      <c r="X5152" s="185"/>
      <c r="Y5152" s="284"/>
      <c r="Z5152" s="284"/>
      <c r="AA5152" s="284"/>
      <c r="AB5152" s="284"/>
      <c r="AC5152" s="284"/>
      <c r="AD5152" s="284"/>
      <c r="AE5152" s="284"/>
      <c r="AF5152" s="284"/>
      <c r="AG5152" s="284"/>
      <c r="AH5152" s="284"/>
      <c r="AI5152" s="284"/>
      <c r="AJ5152" s="284"/>
      <c r="AK5152" s="284"/>
      <c r="AL5152" s="284"/>
    </row>
    <row r="5153" ht="15.75" customHeight="1">
      <c r="A5153" s="394"/>
      <c r="B5153" s="395"/>
      <c r="C5153" s="395"/>
      <c r="D5153" s="396"/>
      <c r="E5153" s="397"/>
      <c r="F5153" s="395"/>
      <c r="G5153" s="395"/>
      <c r="H5153" s="397"/>
      <c r="I5153" s="395"/>
      <c r="J5153" s="395"/>
      <c r="K5153" s="397"/>
      <c r="L5153" s="395"/>
      <c r="M5153" s="395"/>
      <c r="N5153" s="395"/>
      <c r="O5153" s="397"/>
      <c r="P5153" s="395"/>
      <c r="Q5153" s="395"/>
      <c r="R5153" s="353"/>
      <c r="S5153" s="185"/>
      <c r="T5153" s="185"/>
      <c r="U5153" s="185"/>
      <c r="V5153" s="185"/>
      <c r="W5153" s="185"/>
      <c r="X5153" s="185"/>
      <c r="Y5153" s="284"/>
      <c r="Z5153" s="284"/>
      <c r="AA5153" s="284"/>
      <c r="AB5153" s="284"/>
      <c r="AC5153" s="284"/>
      <c r="AD5153" s="284"/>
      <c r="AE5153" s="284"/>
      <c r="AF5153" s="284"/>
      <c r="AG5153" s="284"/>
      <c r="AH5153" s="284"/>
      <c r="AI5153" s="284"/>
      <c r="AJ5153" s="284"/>
      <c r="AK5153" s="284"/>
      <c r="AL5153" s="284"/>
    </row>
    <row r="5154" ht="15.75" customHeight="1">
      <c r="A5154" s="394"/>
      <c r="B5154" s="395"/>
      <c r="C5154" s="395"/>
      <c r="D5154" s="396"/>
      <c r="E5154" s="397"/>
      <c r="F5154" s="395"/>
      <c r="G5154" s="395"/>
      <c r="H5154" s="397"/>
      <c r="I5154" s="395"/>
      <c r="J5154" s="395"/>
      <c r="K5154" s="397"/>
      <c r="L5154" s="395"/>
      <c r="M5154" s="395"/>
      <c r="N5154" s="395"/>
      <c r="O5154" s="397"/>
      <c r="P5154" s="395"/>
      <c r="Q5154" s="395"/>
      <c r="R5154" s="353"/>
      <c r="S5154" s="185"/>
      <c r="T5154" s="185"/>
      <c r="U5154" s="185"/>
      <c r="V5154" s="185"/>
      <c r="W5154" s="185"/>
      <c r="X5154" s="185"/>
      <c r="Y5154" s="284"/>
      <c r="Z5154" s="284"/>
      <c r="AA5154" s="284"/>
      <c r="AB5154" s="284"/>
      <c r="AC5154" s="284"/>
      <c r="AD5154" s="284"/>
      <c r="AE5154" s="284"/>
      <c r="AF5154" s="284"/>
      <c r="AG5154" s="284"/>
      <c r="AH5154" s="284"/>
      <c r="AI5154" s="284"/>
      <c r="AJ5154" s="284"/>
      <c r="AK5154" s="284"/>
      <c r="AL5154" s="284"/>
    </row>
    <row r="5155" ht="15.75" customHeight="1">
      <c r="A5155" s="394"/>
      <c r="B5155" s="395"/>
      <c r="C5155" s="395"/>
      <c r="D5155" s="396"/>
      <c r="E5155" s="397"/>
      <c r="F5155" s="395"/>
      <c r="G5155" s="395"/>
      <c r="H5155" s="397"/>
      <c r="I5155" s="395"/>
      <c r="J5155" s="395"/>
      <c r="K5155" s="397"/>
      <c r="L5155" s="395"/>
      <c r="M5155" s="395"/>
      <c r="N5155" s="395"/>
      <c r="O5155" s="397"/>
      <c r="P5155" s="395"/>
      <c r="Q5155" s="395"/>
      <c r="R5155" s="353"/>
      <c r="S5155" s="185"/>
      <c r="T5155" s="185"/>
      <c r="U5155" s="185"/>
      <c r="V5155" s="185"/>
      <c r="W5155" s="185"/>
      <c r="X5155" s="185"/>
      <c r="Y5155" s="284"/>
      <c r="Z5155" s="284"/>
      <c r="AA5155" s="284"/>
      <c r="AB5155" s="284"/>
      <c r="AC5155" s="284"/>
      <c r="AD5155" s="284"/>
      <c r="AE5155" s="284"/>
      <c r="AF5155" s="284"/>
      <c r="AG5155" s="284"/>
      <c r="AH5155" s="284"/>
      <c r="AI5155" s="284"/>
      <c r="AJ5155" s="284"/>
      <c r="AK5155" s="284"/>
      <c r="AL5155" s="284"/>
    </row>
    <row r="5156" ht="15.75" customHeight="1">
      <c r="A5156" s="394"/>
      <c r="B5156" s="395"/>
      <c r="C5156" s="395"/>
      <c r="D5156" s="396"/>
      <c r="E5156" s="397"/>
      <c r="F5156" s="395"/>
      <c r="G5156" s="395"/>
      <c r="H5156" s="397"/>
      <c r="I5156" s="395"/>
      <c r="J5156" s="395"/>
      <c r="K5156" s="397"/>
      <c r="L5156" s="395"/>
      <c r="M5156" s="395"/>
      <c r="N5156" s="395"/>
      <c r="O5156" s="397"/>
      <c r="P5156" s="395"/>
      <c r="Q5156" s="395"/>
      <c r="R5156" s="353"/>
      <c r="S5156" s="185"/>
      <c r="T5156" s="185"/>
      <c r="U5156" s="185"/>
      <c r="V5156" s="185"/>
      <c r="W5156" s="185"/>
      <c r="X5156" s="185"/>
      <c r="Y5156" s="284"/>
      <c r="Z5156" s="284"/>
      <c r="AA5156" s="284"/>
      <c r="AB5156" s="284"/>
      <c r="AC5156" s="284"/>
      <c r="AD5156" s="284"/>
      <c r="AE5156" s="284"/>
      <c r="AF5156" s="284"/>
      <c r="AG5156" s="284"/>
      <c r="AH5156" s="284"/>
      <c r="AI5156" s="284"/>
      <c r="AJ5156" s="284"/>
      <c r="AK5156" s="284"/>
      <c r="AL5156" s="284"/>
    </row>
    <row r="5157" ht="15.75" customHeight="1">
      <c r="A5157" s="394"/>
      <c r="B5157" s="395"/>
      <c r="C5157" s="395"/>
      <c r="D5157" s="396"/>
      <c r="E5157" s="397"/>
      <c r="F5157" s="395"/>
      <c r="G5157" s="395"/>
      <c r="H5157" s="397"/>
      <c r="I5157" s="395"/>
      <c r="J5157" s="395"/>
      <c r="K5157" s="397"/>
      <c r="L5157" s="395"/>
      <c r="M5157" s="395"/>
      <c r="N5157" s="395"/>
      <c r="O5157" s="397"/>
      <c r="P5157" s="395"/>
      <c r="Q5157" s="395"/>
      <c r="R5157" s="353"/>
      <c r="S5157" s="185"/>
      <c r="T5157" s="185"/>
      <c r="U5157" s="185"/>
      <c r="V5157" s="185"/>
      <c r="W5157" s="185"/>
      <c r="X5157" s="185"/>
      <c r="Y5157" s="284"/>
      <c r="Z5157" s="284"/>
      <c r="AA5157" s="284"/>
      <c r="AB5157" s="284"/>
      <c r="AC5157" s="284"/>
      <c r="AD5157" s="284"/>
      <c r="AE5157" s="284"/>
      <c r="AF5157" s="284"/>
      <c r="AG5157" s="284"/>
      <c r="AH5157" s="284"/>
      <c r="AI5157" s="284"/>
      <c r="AJ5157" s="284"/>
      <c r="AK5157" s="284"/>
      <c r="AL5157" s="284"/>
    </row>
    <row r="5158" ht="15.75" customHeight="1">
      <c r="A5158" s="394"/>
      <c r="B5158" s="395"/>
      <c r="C5158" s="395"/>
      <c r="D5158" s="396"/>
      <c r="E5158" s="397"/>
      <c r="F5158" s="395"/>
      <c r="G5158" s="395"/>
      <c r="H5158" s="397"/>
      <c r="I5158" s="395"/>
      <c r="J5158" s="395"/>
      <c r="K5158" s="397"/>
      <c r="L5158" s="395"/>
      <c r="M5158" s="395"/>
      <c r="N5158" s="395"/>
      <c r="O5158" s="397"/>
      <c r="P5158" s="395"/>
      <c r="Q5158" s="395"/>
      <c r="R5158" s="353"/>
      <c r="S5158" s="185"/>
      <c r="T5158" s="185"/>
      <c r="U5158" s="185"/>
      <c r="V5158" s="185"/>
      <c r="W5158" s="185"/>
      <c r="X5158" s="185"/>
      <c r="Y5158" s="284"/>
      <c r="Z5158" s="284"/>
      <c r="AA5158" s="284"/>
      <c r="AB5158" s="284"/>
      <c r="AC5158" s="284"/>
      <c r="AD5158" s="284"/>
      <c r="AE5158" s="284"/>
      <c r="AF5158" s="284"/>
      <c r="AG5158" s="284"/>
      <c r="AH5158" s="284"/>
      <c r="AI5158" s="284"/>
      <c r="AJ5158" s="284"/>
      <c r="AK5158" s="284"/>
      <c r="AL5158" s="284"/>
    </row>
    <row r="5159" ht="15.75" customHeight="1">
      <c r="A5159" s="394"/>
      <c r="B5159" s="395"/>
      <c r="C5159" s="395"/>
      <c r="D5159" s="396"/>
      <c r="E5159" s="397"/>
      <c r="F5159" s="395"/>
      <c r="G5159" s="395"/>
      <c r="H5159" s="397"/>
      <c r="I5159" s="395"/>
      <c r="J5159" s="395"/>
      <c r="K5159" s="397"/>
      <c r="L5159" s="395"/>
      <c r="M5159" s="395"/>
      <c r="N5159" s="395"/>
      <c r="O5159" s="397"/>
      <c r="P5159" s="395"/>
      <c r="Q5159" s="395"/>
      <c r="R5159" s="353"/>
      <c r="S5159" s="185"/>
      <c r="T5159" s="185"/>
      <c r="U5159" s="185"/>
      <c r="V5159" s="185"/>
      <c r="W5159" s="185"/>
      <c r="X5159" s="185"/>
      <c r="Y5159" s="284"/>
      <c r="Z5159" s="284"/>
      <c r="AA5159" s="284"/>
      <c r="AB5159" s="284"/>
      <c r="AC5159" s="284"/>
      <c r="AD5159" s="284"/>
      <c r="AE5159" s="284"/>
      <c r="AF5159" s="284"/>
      <c r="AG5159" s="284"/>
      <c r="AH5159" s="284"/>
      <c r="AI5159" s="284"/>
      <c r="AJ5159" s="284"/>
      <c r="AK5159" s="284"/>
      <c r="AL5159" s="284"/>
    </row>
    <row r="5160" ht="15.75" customHeight="1">
      <c r="A5160" s="394"/>
      <c r="B5160" s="395"/>
      <c r="C5160" s="395"/>
      <c r="D5160" s="396"/>
      <c r="E5160" s="397"/>
      <c r="F5160" s="395"/>
      <c r="G5160" s="395"/>
      <c r="H5160" s="397"/>
      <c r="I5160" s="395"/>
      <c r="J5160" s="395"/>
      <c r="K5160" s="397"/>
      <c r="L5160" s="395"/>
      <c r="M5160" s="395"/>
      <c r="N5160" s="395"/>
      <c r="O5160" s="397"/>
      <c r="P5160" s="395"/>
      <c r="Q5160" s="395"/>
      <c r="R5160" s="353"/>
      <c r="S5160" s="185"/>
      <c r="T5160" s="185"/>
      <c r="U5160" s="185"/>
      <c r="V5160" s="185"/>
      <c r="W5160" s="185"/>
      <c r="X5160" s="185"/>
      <c r="Y5160" s="284"/>
      <c r="Z5160" s="284"/>
      <c r="AA5160" s="284"/>
      <c r="AB5160" s="284"/>
      <c r="AC5160" s="284"/>
      <c r="AD5160" s="284"/>
      <c r="AE5160" s="284"/>
      <c r="AF5160" s="284"/>
      <c r="AG5160" s="284"/>
      <c r="AH5160" s="284"/>
      <c r="AI5160" s="284"/>
      <c r="AJ5160" s="284"/>
      <c r="AK5160" s="284"/>
      <c r="AL5160" s="284"/>
    </row>
    <row r="5161" ht="15.75" customHeight="1">
      <c r="A5161" s="394"/>
      <c r="B5161" s="395"/>
      <c r="C5161" s="395"/>
      <c r="D5161" s="396"/>
      <c r="E5161" s="397"/>
      <c r="F5161" s="395"/>
      <c r="G5161" s="395"/>
      <c r="H5161" s="397"/>
      <c r="I5161" s="395"/>
      <c r="J5161" s="395"/>
      <c r="K5161" s="397"/>
      <c r="L5161" s="395"/>
      <c r="M5161" s="395"/>
      <c r="N5161" s="395"/>
      <c r="O5161" s="397"/>
      <c r="P5161" s="395"/>
      <c r="Q5161" s="395"/>
      <c r="R5161" s="353"/>
      <c r="S5161" s="185"/>
      <c r="T5161" s="185"/>
      <c r="U5161" s="185"/>
      <c r="V5161" s="185"/>
      <c r="W5161" s="185"/>
      <c r="X5161" s="185"/>
      <c r="Y5161" s="284"/>
      <c r="Z5161" s="284"/>
      <c r="AA5161" s="284"/>
      <c r="AB5161" s="284"/>
      <c r="AC5161" s="284"/>
      <c r="AD5161" s="284"/>
      <c r="AE5161" s="284"/>
      <c r="AF5161" s="284"/>
      <c r="AG5161" s="284"/>
      <c r="AH5161" s="284"/>
      <c r="AI5161" s="284"/>
      <c r="AJ5161" s="284"/>
      <c r="AK5161" s="284"/>
      <c r="AL5161" s="284"/>
    </row>
    <row r="5162" ht="15.75" customHeight="1">
      <c r="A5162" s="394"/>
      <c r="B5162" s="395"/>
      <c r="C5162" s="395"/>
      <c r="D5162" s="396"/>
      <c r="E5162" s="397"/>
      <c r="F5162" s="395"/>
      <c r="G5162" s="395"/>
      <c r="H5162" s="397"/>
      <c r="I5162" s="395"/>
      <c r="J5162" s="395"/>
      <c r="K5162" s="397"/>
      <c r="L5162" s="395"/>
      <c r="M5162" s="395"/>
      <c r="N5162" s="395"/>
      <c r="O5162" s="397"/>
      <c r="P5162" s="395"/>
      <c r="Q5162" s="395"/>
      <c r="R5162" s="353"/>
      <c r="S5162" s="185"/>
      <c r="T5162" s="185"/>
      <c r="U5162" s="185"/>
      <c r="V5162" s="185"/>
      <c r="W5162" s="185"/>
      <c r="X5162" s="185"/>
      <c r="Y5162" s="284"/>
      <c r="Z5162" s="284"/>
      <c r="AA5162" s="284"/>
      <c r="AB5162" s="284"/>
      <c r="AC5162" s="284"/>
      <c r="AD5162" s="284"/>
      <c r="AE5162" s="284"/>
      <c r="AF5162" s="284"/>
      <c r="AG5162" s="284"/>
      <c r="AH5162" s="284"/>
      <c r="AI5162" s="284"/>
      <c r="AJ5162" s="284"/>
      <c r="AK5162" s="284"/>
      <c r="AL5162" s="284"/>
    </row>
    <row r="5163" ht="15.75" customHeight="1">
      <c r="A5163" s="394"/>
      <c r="B5163" s="395"/>
      <c r="C5163" s="395"/>
      <c r="D5163" s="396"/>
      <c r="E5163" s="397"/>
      <c r="F5163" s="395"/>
      <c r="G5163" s="395"/>
      <c r="H5163" s="397"/>
      <c r="I5163" s="395"/>
      <c r="J5163" s="395"/>
      <c r="K5163" s="397"/>
      <c r="L5163" s="395"/>
      <c r="M5163" s="395"/>
      <c r="N5163" s="395"/>
      <c r="O5163" s="397"/>
      <c r="P5163" s="395"/>
      <c r="Q5163" s="395"/>
      <c r="R5163" s="353"/>
      <c r="S5163" s="185"/>
      <c r="T5163" s="185"/>
      <c r="U5163" s="185"/>
      <c r="V5163" s="185"/>
      <c r="W5163" s="185"/>
      <c r="X5163" s="185"/>
      <c r="Y5163" s="284"/>
      <c r="Z5163" s="284"/>
      <c r="AA5163" s="284"/>
      <c r="AB5163" s="284"/>
      <c r="AC5163" s="284"/>
      <c r="AD5163" s="284"/>
      <c r="AE5163" s="284"/>
      <c r="AF5163" s="284"/>
      <c r="AG5163" s="284"/>
      <c r="AH5163" s="284"/>
      <c r="AI5163" s="284"/>
      <c r="AJ5163" s="284"/>
      <c r="AK5163" s="284"/>
      <c r="AL5163" s="284"/>
    </row>
    <row r="5164" ht="15.75" customHeight="1">
      <c r="A5164" s="394"/>
      <c r="B5164" s="395"/>
      <c r="C5164" s="395"/>
      <c r="D5164" s="396"/>
      <c r="E5164" s="397"/>
      <c r="F5164" s="395"/>
      <c r="G5164" s="395"/>
      <c r="H5164" s="397"/>
      <c r="I5164" s="395"/>
      <c r="J5164" s="395"/>
      <c r="K5164" s="397"/>
      <c r="L5164" s="395"/>
      <c r="M5164" s="395"/>
      <c r="N5164" s="395"/>
      <c r="O5164" s="397"/>
      <c r="P5164" s="395"/>
      <c r="Q5164" s="395"/>
      <c r="R5164" s="353"/>
      <c r="S5164" s="185"/>
      <c r="T5164" s="185"/>
      <c r="U5164" s="185"/>
      <c r="V5164" s="185"/>
      <c r="W5164" s="185"/>
      <c r="X5164" s="185"/>
      <c r="Y5164" s="284"/>
      <c r="Z5164" s="284"/>
      <c r="AA5164" s="284"/>
      <c r="AB5164" s="284"/>
      <c r="AC5164" s="284"/>
      <c r="AD5164" s="284"/>
      <c r="AE5164" s="284"/>
      <c r="AF5164" s="284"/>
      <c r="AG5164" s="284"/>
      <c r="AH5164" s="284"/>
      <c r="AI5164" s="284"/>
      <c r="AJ5164" s="284"/>
      <c r="AK5164" s="284"/>
      <c r="AL5164" s="284"/>
    </row>
    <row r="5165" ht="15.75" customHeight="1">
      <c r="A5165" s="394"/>
      <c r="B5165" s="395"/>
      <c r="C5165" s="395"/>
      <c r="D5165" s="396"/>
      <c r="E5165" s="397"/>
      <c r="F5165" s="395"/>
      <c r="G5165" s="395"/>
      <c r="H5165" s="397"/>
      <c r="I5165" s="395"/>
      <c r="J5165" s="395"/>
      <c r="K5165" s="397"/>
      <c r="L5165" s="395"/>
      <c r="M5165" s="395"/>
      <c r="N5165" s="395"/>
      <c r="O5165" s="397"/>
      <c r="P5165" s="395"/>
      <c r="Q5165" s="395"/>
      <c r="R5165" s="353"/>
      <c r="S5165" s="185"/>
      <c r="T5165" s="185"/>
      <c r="U5165" s="185"/>
      <c r="V5165" s="185"/>
      <c r="W5165" s="185"/>
      <c r="X5165" s="185"/>
      <c r="Y5165" s="284"/>
      <c r="Z5165" s="284"/>
      <c r="AA5165" s="284"/>
      <c r="AB5165" s="284"/>
      <c r="AC5165" s="284"/>
      <c r="AD5165" s="284"/>
      <c r="AE5165" s="284"/>
      <c r="AF5165" s="284"/>
      <c r="AG5165" s="284"/>
      <c r="AH5165" s="284"/>
      <c r="AI5165" s="284"/>
      <c r="AJ5165" s="284"/>
      <c r="AK5165" s="284"/>
      <c r="AL5165" s="284"/>
    </row>
    <row r="5166" ht="15.75" customHeight="1">
      <c r="A5166" s="394"/>
      <c r="B5166" s="395"/>
      <c r="C5166" s="395"/>
      <c r="D5166" s="396"/>
      <c r="E5166" s="397"/>
      <c r="F5166" s="395"/>
      <c r="G5166" s="395"/>
      <c r="H5166" s="397"/>
      <c r="I5166" s="395"/>
      <c r="J5166" s="395"/>
      <c r="K5166" s="397"/>
      <c r="L5166" s="395"/>
      <c r="M5166" s="395"/>
      <c r="N5166" s="395"/>
      <c r="O5166" s="397"/>
      <c r="P5166" s="395"/>
      <c r="Q5166" s="395"/>
      <c r="R5166" s="353"/>
      <c r="S5166" s="185"/>
      <c r="T5166" s="185"/>
      <c r="U5166" s="185"/>
      <c r="V5166" s="185"/>
      <c r="W5166" s="185"/>
      <c r="X5166" s="185"/>
      <c r="Y5166" s="284"/>
      <c r="Z5166" s="284"/>
      <c r="AA5166" s="284"/>
      <c r="AB5166" s="284"/>
      <c r="AC5166" s="284"/>
      <c r="AD5166" s="284"/>
      <c r="AE5166" s="284"/>
      <c r="AF5166" s="284"/>
      <c r="AG5166" s="284"/>
      <c r="AH5166" s="284"/>
      <c r="AI5166" s="284"/>
      <c r="AJ5166" s="284"/>
      <c r="AK5166" s="284"/>
      <c r="AL5166" s="284"/>
    </row>
    <row r="5167" ht="15.75" customHeight="1">
      <c r="A5167" s="394"/>
      <c r="B5167" s="395"/>
      <c r="C5167" s="395"/>
      <c r="D5167" s="396"/>
      <c r="E5167" s="397"/>
      <c r="F5167" s="395"/>
      <c r="G5167" s="395"/>
      <c r="H5167" s="397"/>
      <c r="I5167" s="395"/>
      <c r="J5167" s="395"/>
      <c r="K5167" s="397"/>
      <c r="L5167" s="395"/>
      <c r="M5167" s="395"/>
      <c r="N5167" s="395"/>
      <c r="O5167" s="397"/>
      <c r="P5167" s="395"/>
      <c r="Q5167" s="395"/>
      <c r="R5167" s="353"/>
      <c r="S5167" s="185"/>
      <c r="T5167" s="185"/>
      <c r="U5167" s="185"/>
      <c r="V5167" s="185"/>
      <c r="W5167" s="185"/>
      <c r="X5167" s="185"/>
      <c r="Y5167" s="284"/>
      <c r="Z5167" s="284"/>
      <c r="AA5167" s="284"/>
      <c r="AB5167" s="284"/>
      <c r="AC5167" s="284"/>
      <c r="AD5167" s="284"/>
      <c r="AE5167" s="284"/>
      <c r="AF5167" s="284"/>
      <c r="AG5167" s="284"/>
      <c r="AH5167" s="284"/>
      <c r="AI5167" s="284"/>
      <c r="AJ5167" s="284"/>
      <c r="AK5167" s="284"/>
      <c r="AL5167" s="284"/>
    </row>
    <row r="5168" ht="15.75" customHeight="1">
      <c r="A5168" s="394"/>
      <c r="B5168" s="395"/>
      <c r="C5168" s="395"/>
      <c r="D5168" s="396"/>
      <c r="E5168" s="397"/>
      <c r="F5168" s="395"/>
      <c r="G5168" s="395"/>
      <c r="H5168" s="397"/>
      <c r="I5168" s="395"/>
      <c r="J5168" s="395"/>
      <c r="K5168" s="397"/>
      <c r="L5168" s="395"/>
      <c r="M5168" s="395"/>
      <c r="N5168" s="395"/>
      <c r="O5168" s="397"/>
      <c r="P5168" s="395"/>
      <c r="Q5168" s="395"/>
      <c r="R5168" s="353"/>
      <c r="S5168" s="185"/>
      <c r="T5168" s="185"/>
      <c r="U5168" s="185"/>
      <c r="V5168" s="185"/>
      <c r="W5168" s="185"/>
      <c r="X5168" s="185"/>
      <c r="Y5168" s="284"/>
      <c r="Z5168" s="284"/>
      <c r="AA5168" s="284"/>
      <c r="AB5168" s="284"/>
      <c r="AC5168" s="284"/>
      <c r="AD5168" s="284"/>
      <c r="AE5168" s="284"/>
      <c r="AF5168" s="284"/>
      <c r="AG5168" s="284"/>
      <c r="AH5168" s="284"/>
      <c r="AI5168" s="284"/>
      <c r="AJ5168" s="284"/>
      <c r="AK5168" s="284"/>
      <c r="AL5168" s="284"/>
    </row>
    <row r="5169" ht="15.75" customHeight="1">
      <c r="A5169" s="394"/>
      <c r="B5169" s="395"/>
      <c r="C5169" s="395"/>
      <c r="D5169" s="396"/>
      <c r="E5169" s="397"/>
      <c r="F5169" s="395"/>
      <c r="G5169" s="395"/>
      <c r="H5169" s="397"/>
      <c r="I5169" s="395"/>
      <c r="J5169" s="395"/>
      <c r="K5169" s="397"/>
      <c r="L5169" s="395"/>
      <c r="M5169" s="395"/>
      <c r="N5169" s="395"/>
      <c r="O5169" s="397"/>
      <c r="P5169" s="395"/>
      <c r="Q5169" s="395"/>
      <c r="R5169" s="353"/>
      <c r="S5169" s="185"/>
      <c r="T5169" s="185"/>
      <c r="U5169" s="185"/>
      <c r="V5169" s="185"/>
      <c r="W5169" s="185"/>
      <c r="X5169" s="185"/>
      <c r="Y5169" s="284"/>
      <c r="Z5169" s="284"/>
      <c r="AA5169" s="284"/>
      <c r="AB5169" s="284"/>
      <c r="AC5169" s="284"/>
      <c r="AD5169" s="284"/>
      <c r="AE5169" s="284"/>
      <c r="AF5169" s="284"/>
      <c r="AG5169" s="284"/>
      <c r="AH5169" s="284"/>
      <c r="AI5169" s="284"/>
      <c r="AJ5169" s="284"/>
      <c r="AK5169" s="284"/>
      <c r="AL5169" s="284"/>
    </row>
    <row r="5170" ht="15.75" customHeight="1">
      <c r="A5170" s="394"/>
      <c r="B5170" s="395"/>
      <c r="C5170" s="395"/>
      <c r="D5170" s="396"/>
      <c r="E5170" s="397"/>
      <c r="F5170" s="395"/>
      <c r="G5170" s="395"/>
      <c r="H5170" s="397"/>
      <c r="I5170" s="395"/>
      <c r="J5170" s="395"/>
      <c r="K5170" s="397"/>
      <c r="L5170" s="395"/>
      <c r="M5170" s="395"/>
      <c r="N5170" s="395"/>
      <c r="O5170" s="397"/>
      <c r="P5170" s="395"/>
      <c r="Q5170" s="395"/>
      <c r="R5170" s="353"/>
      <c r="S5170" s="185"/>
      <c r="T5170" s="185"/>
      <c r="U5170" s="185"/>
      <c r="V5170" s="185"/>
      <c r="W5170" s="185"/>
      <c r="X5170" s="185"/>
      <c r="Y5170" s="284"/>
      <c r="Z5170" s="284"/>
      <c r="AA5170" s="284"/>
      <c r="AB5170" s="284"/>
      <c r="AC5170" s="284"/>
      <c r="AD5170" s="284"/>
      <c r="AE5170" s="284"/>
      <c r="AF5170" s="284"/>
      <c r="AG5170" s="284"/>
      <c r="AH5170" s="284"/>
      <c r="AI5170" s="284"/>
      <c r="AJ5170" s="284"/>
      <c r="AK5170" s="284"/>
      <c r="AL5170" s="284"/>
    </row>
    <row r="5171" ht="15.75" customHeight="1">
      <c r="A5171" s="394"/>
      <c r="B5171" s="395"/>
      <c r="C5171" s="395"/>
      <c r="D5171" s="396"/>
      <c r="E5171" s="397"/>
      <c r="F5171" s="395"/>
      <c r="G5171" s="395"/>
      <c r="H5171" s="397"/>
      <c r="I5171" s="395"/>
      <c r="J5171" s="395"/>
      <c r="K5171" s="397"/>
      <c r="L5171" s="395"/>
      <c r="M5171" s="395"/>
      <c r="N5171" s="395"/>
      <c r="O5171" s="397"/>
      <c r="P5171" s="395"/>
      <c r="Q5171" s="395"/>
      <c r="R5171" s="353"/>
      <c r="S5171" s="185"/>
      <c r="T5171" s="185"/>
      <c r="U5171" s="185"/>
      <c r="V5171" s="185"/>
      <c r="W5171" s="185"/>
      <c r="X5171" s="185"/>
      <c r="Y5171" s="284"/>
      <c r="Z5171" s="284"/>
      <c r="AA5171" s="284"/>
      <c r="AB5171" s="284"/>
      <c r="AC5171" s="284"/>
      <c r="AD5171" s="284"/>
      <c r="AE5171" s="284"/>
      <c r="AF5171" s="284"/>
      <c r="AG5171" s="284"/>
      <c r="AH5171" s="284"/>
      <c r="AI5171" s="284"/>
      <c r="AJ5171" s="284"/>
      <c r="AK5171" s="284"/>
      <c r="AL5171" s="284"/>
    </row>
    <row r="5172" ht="15.75" customHeight="1">
      <c r="A5172" s="394"/>
      <c r="B5172" s="395"/>
      <c r="C5172" s="395"/>
      <c r="D5172" s="396"/>
      <c r="E5172" s="397"/>
      <c r="F5172" s="395"/>
      <c r="G5172" s="395"/>
      <c r="H5172" s="397"/>
      <c r="I5172" s="395"/>
      <c r="J5172" s="395"/>
      <c r="K5172" s="397"/>
      <c r="L5172" s="395"/>
      <c r="M5172" s="395"/>
      <c r="N5172" s="395"/>
      <c r="O5172" s="397"/>
      <c r="P5172" s="395"/>
      <c r="Q5172" s="395"/>
      <c r="R5172" s="353"/>
      <c r="S5172" s="185"/>
      <c r="T5172" s="185"/>
      <c r="U5172" s="185"/>
      <c r="V5172" s="185"/>
      <c r="W5172" s="185"/>
      <c r="X5172" s="185"/>
      <c r="Y5172" s="284"/>
      <c r="Z5172" s="284"/>
      <c r="AA5172" s="284"/>
      <c r="AB5172" s="284"/>
      <c r="AC5172" s="284"/>
      <c r="AD5172" s="284"/>
      <c r="AE5172" s="284"/>
      <c r="AF5172" s="284"/>
      <c r="AG5172" s="284"/>
      <c r="AH5172" s="284"/>
      <c r="AI5172" s="284"/>
      <c r="AJ5172" s="284"/>
      <c r="AK5172" s="284"/>
      <c r="AL5172" s="284"/>
    </row>
    <row r="5173" ht="15.75" customHeight="1">
      <c r="A5173" s="394"/>
      <c r="B5173" s="395"/>
      <c r="C5173" s="395"/>
      <c r="D5173" s="396"/>
      <c r="E5173" s="397"/>
      <c r="F5173" s="395"/>
      <c r="G5173" s="395"/>
      <c r="H5173" s="397"/>
      <c r="I5173" s="395"/>
      <c r="J5173" s="395"/>
      <c r="K5173" s="397"/>
      <c r="L5173" s="395"/>
      <c r="M5173" s="395"/>
      <c r="N5173" s="395"/>
      <c r="O5173" s="397"/>
      <c r="P5173" s="395"/>
      <c r="Q5173" s="395"/>
      <c r="R5173" s="353"/>
      <c r="S5173" s="185"/>
      <c r="T5173" s="185"/>
      <c r="U5173" s="185"/>
      <c r="V5173" s="185"/>
      <c r="W5173" s="185"/>
      <c r="X5173" s="185"/>
      <c r="Y5173" s="284"/>
      <c r="Z5173" s="284"/>
      <c r="AA5173" s="284"/>
      <c r="AB5173" s="284"/>
      <c r="AC5173" s="284"/>
      <c r="AD5173" s="284"/>
      <c r="AE5173" s="284"/>
      <c r="AF5173" s="284"/>
      <c r="AG5173" s="284"/>
      <c r="AH5173" s="284"/>
      <c r="AI5173" s="284"/>
      <c r="AJ5173" s="284"/>
      <c r="AK5173" s="284"/>
      <c r="AL5173" s="284"/>
    </row>
    <row r="5174" ht="15.75" customHeight="1">
      <c r="A5174" s="394"/>
      <c r="B5174" s="395"/>
      <c r="C5174" s="395"/>
      <c r="D5174" s="396"/>
      <c r="E5174" s="397"/>
      <c r="F5174" s="395"/>
      <c r="G5174" s="395"/>
      <c r="H5174" s="397"/>
      <c r="I5174" s="395"/>
      <c r="J5174" s="395"/>
      <c r="K5174" s="397"/>
      <c r="L5174" s="395"/>
      <c r="M5174" s="395"/>
      <c r="N5174" s="395"/>
      <c r="O5174" s="397"/>
      <c r="P5174" s="395"/>
      <c r="Q5174" s="395"/>
      <c r="R5174" s="353"/>
      <c r="S5174" s="185"/>
      <c r="T5174" s="185"/>
      <c r="U5174" s="185"/>
      <c r="V5174" s="185"/>
      <c r="W5174" s="185"/>
      <c r="X5174" s="185"/>
      <c r="Y5174" s="284"/>
      <c r="Z5174" s="284"/>
      <c r="AA5174" s="284"/>
      <c r="AB5174" s="284"/>
      <c r="AC5174" s="284"/>
      <c r="AD5174" s="284"/>
      <c r="AE5174" s="284"/>
      <c r="AF5174" s="284"/>
      <c r="AG5174" s="284"/>
      <c r="AH5174" s="284"/>
      <c r="AI5174" s="284"/>
      <c r="AJ5174" s="284"/>
      <c r="AK5174" s="284"/>
      <c r="AL5174" s="284"/>
    </row>
    <row r="5175" ht="15.75" customHeight="1">
      <c r="A5175" s="394"/>
      <c r="B5175" s="395"/>
      <c r="C5175" s="395"/>
      <c r="D5175" s="396"/>
      <c r="E5175" s="397"/>
      <c r="F5175" s="395"/>
      <c r="G5175" s="395"/>
      <c r="H5175" s="397"/>
      <c r="I5175" s="395"/>
      <c r="J5175" s="395"/>
      <c r="K5175" s="397"/>
      <c r="L5175" s="395"/>
      <c r="M5175" s="395"/>
      <c r="N5175" s="395"/>
      <c r="O5175" s="397"/>
      <c r="P5175" s="395"/>
      <c r="Q5175" s="395"/>
      <c r="R5175" s="353"/>
      <c r="S5175" s="185"/>
      <c r="T5175" s="185"/>
      <c r="U5175" s="185"/>
      <c r="V5175" s="185"/>
      <c r="W5175" s="185"/>
      <c r="X5175" s="185"/>
      <c r="Y5175" s="284"/>
      <c r="Z5175" s="284"/>
      <c r="AA5175" s="284"/>
      <c r="AB5175" s="284"/>
      <c r="AC5175" s="284"/>
      <c r="AD5175" s="284"/>
      <c r="AE5175" s="284"/>
      <c r="AF5175" s="284"/>
      <c r="AG5175" s="284"/>
      <c r="AH5175" s="284"/>
      <c r="AI5175" s="284"/>
      <c r="AJ5175" s="284"/>
      <c r="AK5175" s="284"/>
      <c r="AL5175" s="284"/>
    </row>
    <row r="5176" ht="15.75" customHeight="1">
      <c r="A5176" s="394"/>
      <c r="B5176" s="395"/>
      <c r="C5176" s="395"/>
      <c r="D5176" s="396"/>
      <c r="E5176" s="397"/>
      <c r="F5176" s="395"/>
      <c r="G5176" s="395"/>
      <c r="H5176" s="397"/>
      <c r="I5176" s="395"/>
      <c r="J5176" s="395"/>
      <c r="K5176" s="397"/>
      <c r="L5176" s="395"/>
      <c r="M5176" s="395"/>
      <c r="N5176" s="395"/>
      <c r="O5176" s="397"/>
      <c r="P5176" s="395"/>
      <c r="Q5176" s="395"/>
      <c r="R5176" s="353"/>
      <c r="S5176" s="185"/>
      <c r="T5176" s="185"/>
      <c r="U5176" s="185"/>
      <c r="V5176" s="185"/>
      <c r="W5176" s="185"/>
      <c r="X5176" s="185"/>
      <c r="Y5176" s="284"/>
      <c r="Z5176" s="284"/>
      <c r="AA5176" s="284"/>
      <c r="AB5176" s="284"/>
      <c r="AC5176" s="284"/>
      <c r="AD5176" s="284"/>
      <c r="AE5176" s="284"/>
      <c r="AF5176" s="284"/>
      <c r="AG5176" s="284"/>
      <c r="AH5176" s="284"/>
      <c r="AI5176" s="284"/>
      <c r="AJ5176" s="284"/>
      <c r="AK5176" s="284"/>
      <c r="AL5176" s="284"/>
    </row>
    <row r="5177" ht="15.75" customHeight="1">
      <c r="A5177" s="394"/>
      <c r="B5177" s="395"/>
      <c r="C5177" s="395"/>
      <c r="D5177" s="396"/>
      <c r="E5177" s="397"/>
      <c r="F5177" s="395"/>
      <c r="G5177" s="395"/>
      <c r="H5177" s="397"/>
      <c r="I5177" s="395"/>
      <c r="J5177" s="395"/>
      <c r="K5177" s="397"/>
      <c r="L5177" s="395"/>
      <c r="M5177" s="395"/>
      <c r="N5177" s="395"/>
      <c r="O5177" s="397"/>
      <c r="P5177" s="395"/>
      <c r="Q5177" s="395"/>
      <c r="R5177" s="353"/>
      <c r="S5177" s="185"/>
      <c r="T5177" s="185"/>
      <c r="U5177" s="185"/>
      <c r="V5177" s="185"/>
      <c r="W5177" s="185"/>
      <c r="X5177" s="185"/>
      <c r="Y5177" s="284"/>
      <c r="Z5177" s="284"/>
      <c r="AA5177" s="284"/>
      <c r="AB5177" s="284"/>
      <c r="AC5177" s="284"/>
      <c r="AD5177" s="284"/>
      <c r="AE5177" s="284"/>
      <c r="AF5177" s="284"/>
      <c r="AG5177" s="284"/>
      <c r="AH5177" s="284"/>
      <c r="AI5177" s="284"/>
      <c r="AJ5177" s="284"/>
      <c r="AK5177" s="284"/>
      <c r="AL5177" s="284"/>
    </row>
    <row r="5178" ht="15.75" customHeight="1">
      <c r="A5178" s="394"/>
      <c r="B5178" s="395"/>
      <c r="C5178" s="395"/>
      <c r="D5178" s="396"/>
      <c r="E5178" s="397"/>
      <c r="F5178" s="395"/>
      <c r="G5178" s="395"/>
      <c r="H5178" s="397"/>
      <c r="I5178" s="395"/>
      <c r="J5178" s="395"/>
      <c r="K5178" s="397"/>
      <c r="L5178" s="395"/>
      <c r="M5178" s="395"/>
      <c r="N5178" s="395"/>
      <c r="O5178" s="397"/>
      <c r="P5178" s="395"/>
      <c r="Q5178" s="395"/>
      <c r="R5178" s="353"/>
      <c r="S5178" s="185"/>
      <c r="T5178" s="185"/>
      <c r="U5178" s="185"/>
      <c r="V5178" s="185"/>
      <c r="W5178" s="185"/>
      <c r="X5178" s="185"/>
      <c r="Y5178" s="284"/>
      <c r="Z5178" s="284"/>
      <c r="AA5178" s="284"/>
      <c r="AB5178" s="284"/>
      <c r="AC5178" s="284"/>
      <c r="AD5178" s="284"/>
      <c r="AE5178" s="284"/>
      <c r="AF5178" s="284"/>
      <c r="AG5178" s="284"/>
      <c r="AH5178" s="284"/>
      <c r="AI5178" s="284"/>
      <c r="AJ5178" s="284"/>
      <c r="AK5178" s="284"/>
      <c r="AL5178" s="284"/>
    </row>
    <row r="5179" ht="15.75" customHeight="1">
      <c r="A5179" s="394"/>
      <c r="B5179" s="395"/>
      <c r="C5179" s="395"/>
      <c r="D5179" s="396"/>
      <c r="E5179" s="397"/>
      <c r="F5179" s="395"/>
      <c r="G5179" s="395"/>
      <c r="H5179" s="397"/>
      <c r="I5179" s="395"/>
      <c r="J5179" s="395"/>
      <c r="K5179" s="397"/>
      <c r="L5179" s="395"/>
      <c r="M5179" s="395"/>
      <c r="N5179" s="395"/>
      <c r="O5179" s="397"/>
      <c r="P5179" s="395"/>
      <c r="Q5179" s="395"/>
      <c r="R5179" s="353"/>
      <c r="S5179" s="185"/>
      <c r="T5179" s="185"/>
      <c r="U5179" s="185"/>
      <c r="V5179" s="185"/>
      <c r="W5179" s="185"/>
      <c r="X5179" s="185"/>
      <c r="Y5179" s="284"/>
      <c r="Z5179" s="284"/>
      <c r="AA5179" s="284"/>
      <c r="AB5179" s="284"/>
      <c r="AC5179" s="284"/>
      <c r="AD5179" s="284"/>
      <c r="AE5179" s="284"/>
      <c r="AF5179" s="284"/>
      <c r="AG5179" s="284"/>
      <c r="AH5179" s="284"/>
      <c r="AI5179" s="284"/>
      <c r="AJ5179" s="284"/>
      <c r="AK5179" s="284"/>
      <c r="AL5179" s="284"/>
    </row>
    <row r="5180" ht="15.75" customHeight="1">
      <c r="A5180" s="394"/>
      <c r="B5180" s="395"/>
      <c r="C5180" s="395"/>
      <c r="D5180" s="396"/>
      <c r="E5180" s="397"/>
      <c r="F5180" s="395"/>
      <c r="G5180" s="395"/>
      <c r="H5180" s="397"/>
      <c r="I5180" s="395"/>
      <c r="J5180" s="395"/>
      <c r="K5180" s="397"/>
      <c r="L5180" s="395"/>
      <c r="M5180" s="395"/>
      <c r="N5180" s="395"/>
      <c r="O5180" s="397"/>
      <c r="P5180" s="395"/>
      <c r="Q5180" s="395"/>
      <c r="R5180" s="353"/>
      <c r="S5180" s="185"/>
      <c r="T5180" s="185"/>
      <c r="U5180" s="185"/>
      <c r="V5180" s="185"/>
      <c r="W5180" s="185"/>
      <c r="X5180" s="185"/>
      <c r="Y5180" s="284"/>
      <c r="Z5180" s="284"/>
      <c r="AA5180" s="284"/>
      <c r="AB5180" s="284"/>
      <c r="AC5180" s="284"/>
      <c r="AD5180" s="284"/>
      <c r="AE5180" s="284"/>
      <c r="AF5180" s="284"/>
      <c r="AG5180" s="284"/>
      <c r="AH5180" s="284"/>
      <c r="AI5180" s="284"/>
      <c r="AJ5180" s="284"/>
      <c r="AK5180" s="284"/>
      <c r="AL5180" s="284"/>
    </row>
    <row r="5181" ht="15.75" customHeight="1">
      <c r="A5181" s="394"/>
      <c r="B5181" s="395"/>
      <c r="C5181" s="395"/>
      <c r="D5181" s="396"/>
      <c r="E5181" s="397"/>
      <c r="F5181" s="395"/>
      <c r="G5181" s="395"/>
      <c r="H5181" s="397"/>
      <c r="I5181" s="395"/>
      <c r="J5181" s="395"/>
      <c r="K5181" s="397"/>
      <c r="L5181" s="395"/>
      <c r="M5181" s="395"/>
      <c r="N5181" s="395"/>
      <c r="O5181" s="397"/>
      <c r="P5181" s="395"/>
      <c r="Q5181" s="395"/>
      <c r="R5181" s="353"/>
      <c r="S5181" s="185"/>
      <c r="T5181" s="185"/>
      <c r="U5181" s="185"/>
      <c r="V5181" s="185"/>
      <c r="W5181" s="185"/>
      <c r="X5181" s="185"/>
      <c r="Y5181" s="284"/>
      <c r="Z5181" s="284"/>
      <c r="AA5181" s="284"/>
      <c r="AB5181" s="284"/>
      <c r="AC5181" s="284"/>
      <c r="AD5181" s="284"/>
      <c r="AE5181" s="284"/>
      <c r="AF5181" s="284"/>
      <c r="AG5181" s="284"/>
      <c r="AH5181" s="284"/>
      <c r="AI5181" s="284"/>
      <c r="AJ5181" s="284"/>
      <c r="AK5181" s="284"/>
      <c r="AL5181" s="284"/>
    </row>
    <row r="5182" ht="15.75" customHeight="1">
      <c r="A5182" s="394"/>
      <c r="B5182" s="395"/>
      <c r="C5182" s="395"/>
      <c r="D5182" s="396"/>
      <c r="E5182" s="397"/>
      <c r="F5182" s="395"/>
      <c r="G5182" s="395"/>
      <c r="H5182" s="397"/>
      <c r="I5182" s="395"/>
      <c r="J5182" s="395"/>
      <c r="K5182" s="397"/>
      <c r="L5182" s="395"/>
      <c r="M5182" s="395"/>
      <c r="N5182" s="395"/>
      <c r="O5182" s="397"/>
      <c r="P5182" s="395"/>
      <c r="Q5182" s="395"/>
      <c r="R5182" s="353"/>
      <c r="S5182" s="185"/>
      <c r="T5182" s="185"/>
      <c r="U5182" s="185"/>
      <c r="V5182" s="185"/>
      <c r="W5182" s="185"/>
      <c r="X5182" s="185"/>
      <c r="Y5182" s="284"/>
      <c r="Z5182" s="284"/>
      <c r="AA5182" s="284"/>
      <c r="AB5182" s="284"/>
      <c r="AC5182" s="284"/>
      <c r="AD5182" s="284"/>
      <c r="AE5182" s="284"/>
      <c r="AF5182" s="284"/>
      <c r="AG5182" s="284"/>
      <c r="AH5182" s="284"/>
      <c r="AI5182" s="284"/>
      <c r="AJ5182" s="284"/>
      <c r="AK5182" s="284"/>
      <c r="AL5182" s="284"/>
    </row>
    <row r="5183" ht="15.75" customHeight="1">
      <c r="A5183" s="394"/>
      <c r="B5183" s="395"/>
      <c r="C5183" s="395"/>
      <c r="D5183" s="396"/>
      <c r="E5183" s="397"/>
      <c r="F5183" s="395"/>
      <c r="G5183" s="395"/>
      <c r="H5183" s="397"/>
      <c r="I5183" s="395"/>
      <c r="J5183" s="395"/>
      <c r="K5183" s="397"/>
      <c r="L5183" s="395"/>
      <c r="M5183" s="395"/>
      <c r="N5183" s="395"/>
      <c r="O5183" s="397"/>
      <c r="P5183" s="395"/>
      <c r="Q5183" s="395"/>
      <c r="R5183" s="353"/>
      <c r="S5183" s="185"/>
      <c r="T5183" s="185"/>
      <c r="U5183" s="185"/>
      <c r="V5183" s="185"/>
      <c r="W5183" s="185"/>
      <c r="X5183" s="185"/>
      <c r="Y5183" s="284"/>
      <c r="Z5183" s="284"/>
      <c r="AA5183" s="284"/>
      <c r="AB5183" s="284"/>
      <c r="AC5183" s="284"/>
      <c r="AD5183" s="284"/>
      <c r="AE5183" s="284"/>
      <c r="AF5183" s="284"/>
      <c r="AG5183" s="284"/>
      <c r="AH5183" s="284"/>
      <c r="AI5183" s="284"/>
      <c r="AJ5183" s="284"/>
      <c r="AK5183" s="284"/>
      <c r="AL5183" s="284"/>
    </row>
    <row r="5184" ht="15.75" customHeight="1">
      <c r="A5184" s="394"/>
      <c r="B5184" s="395"/>
      <c r="C5184" s="395"/>
      <c r="D5184" s="396"/>
      <c r="E5184" s="397"/>
      <c r="F5184" s="395"/>
      <c r="G5184" s="395"/>
      <c r="H5184" s="397"/>
      <c r="I5184" s="395"/>
      <c r="J5184" s="395"/>
      <c r="K5184" s="397"/>
      <c r="L5184" s="395"/>
      <c r="M5184" s="395"/>
      <c r="N5184" s="395"/>
      <c r="O5184" s="397"/>
      <c r="P5184" s="395"/>
      <c r="Q5184" s="395"/>
      <c r="R5184" s="353"/>
      <c r="S5184" s="185"/>
      <c r="T5184" s="185"/>
      <c r="U5184" s="185"/>
      <c r="V5184" s="185"/>
      <c r="W5184" s="185"/>
      <c r="X5184" s="185"/>
      <c r="Y5184" s="284"/>
      <c r="Z5184" s="284"/>
      <c r="AA5184" s="284"/>
      <c r="AB5184" s="284"/>
      <c r="AC5184" s="284"/>
      <c r="AD5184" s="284"/>
      <c r="AE5184" s="284"/>
      <c r="AF5184" s="284"/>
      <c r="AG5184" s="284"/>
      <c r="AH5184" s="284"/>
      <c r="AI5184" s="284"/>
      <c r="AJ5184" s="284"/>
      <c r="AK5184" s="284"/>
      <c r="AL5184" s="284"/>
    </row>
    <row r="5185" ht="15.75" customHeight="1">
      <c r="A5185" s="394"/>
      <c r="B5185" s="395"/>
      <c r="C5185" s="395"/>
      <c r="D5185" s="396"/>
      <c r="E5185" s="397"/>
      <c r="F5185" s="395"/>
      <c r="G5185" s="395"/>
      <c r="H5185" s="397"/>
      <c r="I5185" s="395"/>
      <c r="J5185" s="395"/>
      <c r="K5185" s="397"/>
      <c r="L5185" s="395"/>
      <c r="M5185" s="395"/>
      <c r="N5185" s="395"/>
      <c r="O5185" s="397"/>
      <c r="P5185" s="395"/>
      <c r="Q5185" s="395"/>
      <c r="R5185" s="353"/>
      <c r="S5185" s="185"/>
      <c r="T5185" s="185"/>
      <c r="U5185" s="185"/>
      <c r="V5185" s="185"/>
      <c r="W5185" s="185"/>
      <c r="X5185" s="185"/>
      <c r="Y5185" s="284"/>
      <c r="Z5185" s="284"/>
      <c r="AA5185" s="284"/>
      <c r="AB5185" s="284"/>
      <c r="AC5185" s="284"/>
      <c r="AD5185" s="284"/>
      <c r="AE5185" s="284"/>
      <c r="AF5185" s="284"/>
      <c r="AG5185" s="284"/>
      <c r="AH5185" s="284"/>
      <c r="AI5185" s="284"/>
      <c r="AJ5185" s="284"/>
      <c r="AK5185" s="284"/>
      <c r="AL5185" s="284"/>
    </row>
    <row r="5186" ht="15.75" customHeight="1">
      <c r="A5186" s="394"/>
      <c r="B5186" s="395"/>
      <c r="C5186" s="395"/>
      <c r="D5186" s="396"/>
      <c r="E5186" s="397"/>
      <c r="F5186" s="395"/>
      <c r="G5186" s="395"/>
      <c r="H5186" s="397"/>
      <c r="I5186" s="395"/>
      <c r="J5186" s="395"/>
      <c r="K5186" s="397"/>
      <c r="L5186" s="395"/>
      <c r="M5186" s="395"/>
      <c r="N5186" s="395"/>
      <c r="O5186" s="397"/>
      <c r="P5186" s="395"/>
      <c r="Q5186" s="395"/>
      <c r="R5186" s="353"/>
      <c r="S5186" s="185"/>
      <c r="T5186" s="185"/>
      <c r="U5186" s="185"/>
      <c r="V5186" s="185"/>
      <c r="W5186" s="185"/>
      <c r="X5186" s="185"/>
      <c r="Y5186" s="284"/>
      <c r="Z5186" s="284"/>
      <c r="AA5186" s="284"/>
      <c r="AB5186" s="284"/>
      <c r="AC5186" s="284"/>
      <c r="AD5186" s="284"/>
      <c r="AE5186" s="284"/>
      <c r="AF5186" s="284"/>
      <c r="AG5186" s="284"/>
      <c r="AH5186" s="284"/>
      <c r="AI5186" s="284"/>
      <c r="AJ5186" s="284"/>
      <c r="AK5186" s="284"/>
      <c r="AL5186" s="284"/>
    </row>
    <row r="5187" ht="15.75" customHeight="1">
      <c r="A5187" s="394"/>
      <c r="B5187" s="395"/>
      <c r="C5187" s="395"/>
      <c r="D5187" s="396"/>
      <c r="E5187" s="397"/>
      <c r="F5187" s="395"/>
      <c r="G5187" s="395"/>
      <c r="H5187" s="397"/>
      <c r="I5187" s="395"/>
      <c r="J5187" s="395"/>
      <c r="K5187" s="397"/>
      <c r="L5187" s="395"/>
      <c r="M5187" s="395"/>
      <c r="N5187" s="395"/>
      <c r="O5187" s="397"/>
      <c r="P5187" s="395"/>
      <c r="Q5187" s="395"/>
      <c r="R5187" s="353"/>
      <c r="S5187" s="185"/>
      <c r="T5187" s="185"/>
      <c r="U5187" s="185"/>
      <c r="V5187" s="185"/>
      <c r="W5187" s="185"/>
      <c r="X5187" s="185"/>
      <c r="Y5187" s="284"/>
      <c r="Z5187" s="284"/>
      <c r="AA5187" s="284"/>
      <c r="AB5187" s="284"/>
      <c r="AC5187" s="284"/>
      <c r="AD5187" s="284"/>
      <c r="AE5187" s="284"/>
      <c r="AF5187" s="284"/>
      <c r="AG5187" s="284"/>
      <c r="AH5187" s="284"/>
      <c r="AI5187" s="284"/>
      <c r="AJ5187" s="284"/>
      <c r="AK5187" s="284"/>
      <c r="AL5187" s="284"/>
    </row>
    <row r="5188" ht="15.75" customHeight="1">
      <c r="A5188" s="394"/>
      <c r="B5188" s="395"/>
      <c r="C5188" s="395"/>
      <c r="D5188" s="396"/>
      <c r="E5188" s="397"/>
      <c r="F5188" s="395"/>
      <c r="G5188" s="395"/>
      <c r="H5188" s="397"/>
      <c r="I5188" s="395"/>
      <c r="J5188" s="395"/>
      <c r="K5188" s="397"/>
      <c r="L5188" s="395"/>
      <c r="M5188" s="395"/>
      <c r="N5188" s="395"/>
      <c r="O5188" s="397"/>
      <c r="P5188" s="395"/>
      <c r="Q5188" s="395"/>
      <c r="R5188" s="353"/>
      <c r="S5188" s="185"/>
      <c r="T5188" s="185"/>
      <c r="U5188" s="185"/>
      <c r="V5188" s="185"/>
      <c r="W5188" s="185"/>
      <c r="X5188" s="185"/>
      <c r="Y5188" s="284"/>
      <c r="Z5188" s="284"/>
      <c r="AA5188" s="284"/>
      <c r="AB5188" s="284"/>
      <c r="AC5188" s="284"/>
      <c r="AD5188" s="284"/>
      <c r="AE5188" s="284"/>
      <c r="AF5188" s="284"/>
      <c r="AG5188" s="284"/>
      <c r="AH5188" s="284"/>
      <c r="AI5188" s="284"/>
      <c r="AJ5188" s="284"/>
      <c r="AK5188" s="284"/>
      <c r="AL5188" s="284"/>
    </row>
    <row r="5189" ht="15.75" customHeight="1">
      <c r="A5189" s="394"/>
      <c r="B5189" s="395"/>
      <c r="C5189" s="395"/>
      <c r="D5189" s="396"/>
      <c r="E5189" s="397"/>
      <c r="F5189" s="395"/>
      <c r="G5189" s="395"/>
      <c r="H5189" s="397"/>
      <c r="I5189" s="395"/>
      <c r="J5189" s="395"/>
      <c r="K5189" s="397"/>
      <c r="L5189" s="395"/>
      <c r="M5189" s="395"/>
      <c r="N5189" s="395"/>
      <c r="O5189" s="397"/>
      <c r="P5189" s="395"/>
      <c r="Q5189" s="395"/>
      <c r="R5189" s="353"/>
      <c r="S5189" s="185"/>
      <c r="T5189" s="185"/>
      <c r="U5189" s="185"/>
      <c r="V5189" s="185"/>
      <c r="W5189" s="185"/>
      <c r="X5189" s="185"/>
      <c r="Y5189" s="284"/>
      <c r="Z5189" s="284"/>
      <c r="AA5189" s="284"/>
      <c r="AB5189" s="284"/>
      <c r="AC5189" s="284"/>
      <c r="AD5189" s="284"/>
      <c r="AE5189" s="284"/>
      <c r="AF5189" s="284"/>
      <c r="AG5189" s="284"/>
      <c r="AH5189" s="284"/>
      <c r="AI5189" s="284"/>
      <c r="AJ5189" s="284"/>
      <c r="AK5189" s="284"/>
      <c r="AL5189" s="284"/>
    </row>
    <row r="5190" ht="15.75" customHeight="1">
      <c r="A5190" s="394"/>
      <c r="B5190" s="395"/>
      <c r="C5190" s="395"/>
      <c r="D5190" s="396"/>
      <c r="E5190" s="397"/>
      <c r="F5190" s="395"/>
      <c r="G5190" s="395"/>
      <c r="H5190" s="397"/>
      <c r="I5190" s="395"/>
      <c r="J5190" s="395"/>
      <c r="K5190" s="397"/>
      <c r="L5190" s="395"/>
      <c r="M5190" s="395"/>
      <c r="N5190" s="395"/>
      <c r="O5190" s="397"/>
      <c r="P5190" s="395"/>
      <c r="Q5190" s="395"/>
      <c r="R5190" s="353"/>
      <c r="S5190" s="185"/>
      <c r="T5190" s="185"/>
      <c r="U5190" s="185"/>
      <c r="V5190" s="185"/>
      <c r="W5190" s="185"/>
      <c r="X5190" s="185"/>
      <c r="Y5190" s="284"/>
      <c r="Z5190" s="284"/>
      <c r="AA5190" s="284"/>
      <c r="AB5190" s="284"/>
      <c r="AC5190" s="284"/>
      <c r="AD5190" s="284"/>
      <c r="AE5190" s="284"/>
      <c r="AF5190" s="284"/>
      <c r="AG5190" s="284"/>
      <c r="AH5190" s="284"/>
      <c r="AI5190" s="284"/>
      <c r="AJ5190" s="284"/>
      <c r="AK5190" s="284"/>
      <c r="AL5190" s="284"/>
    </row>
    <row r="5191" ht="15.75" customHeight="1">
      <c r="A5191" s="394"/>
      <c r="B5191" s="395"/>
      <c r="C5191" s="395"/>
      <c r="D5191" s="396"/>
      <c r="E5191" s="397"/>
      <c r="F5191" s="395"/>
      <c r="G5191" s="395"/>
      <c r="H5191" s="397"/>
      <c r="I5191" s="395"/>
      <c r="J5191" s="395"/>
      <c r="K5191" s="397"/>
      <c r="L5191" s="395"/>
      <c r="M5191" s="395"/>
      <c r="N5191" s="395"/>
      <c r="O5191" s="397"/>
      <c r="P5191" s="395"/>
      <c r="Q5191" s="395"/>
      <c r="R5191" s="353"/>
      <c r="S5191" s="185"/>
      <c r="T5191" s="185"/>
      <c r="U5191" s="185"/>
      <c r="V5191" s="185"/>
      <c r="W5191" s="185"/>
      <c r="X5191" s="185"/>
      <c r="Y5191" s="284"/>
      <c r="Z5191" s="284"/>
      <c r="AA5191" s="284"/>
      <c r="AB5191" s="284"/>
      <c r="AC5191" s="284"/>
      <c r="AD5191" s="284"/>
      <c r="AE5191" s="284"/>
      <c r="AF5191" s="284"/>
      <c r="AG5191" s="284"/>
      <c r="AH5191" s="284"/>
      <c r="AI5191" s="284"/>
      <c r="AJ5191" s="284"/>
      <c r="AK5191" s="284"/>
      <c r="AL5191" s="284"/>
    </row>
    <row r="5192" ht="15.75" customHeight="1">
      <c r="A5192" s="394"/>
      <c r="B5192" s="395"/>
      <c r="C5192" s="395"/>
      <c r="D5192" s="396"/>
      <c r="E5192" s="397"/>
      <c r="F5192" s="395"/>
      <c r="G5192" s="395"/>
      <c r="H5192" s="397"/>
      <c r="I5192" s="395"/>
      <c r="J5192" s="395"/>
      <c r="K5192" s="397"/>
      <c r="L5192" s="395"/>
      <c r="M5192" s="395"/>
      <c r="N5192" s="395"/>
      <c r="O5192" s="397"/>
      <c r="P5192" s="395"/>
      <c r="Q5192" s="395"/>
      <c r="R5192" s="353"/>
      <c r="S5192" s="185"/>
      <c r="T5192" s="185"/>
      <c r="U5192" s="185"/>
      <c r="V5192" s="185"/>
      <c r="W5192" s="185"/>
      <c r="X5192" s="185"/>
      <c r="Y5192" s="284"/>
      <c r="Z5192" s="284"/>
      <c r="AA5192" s="284"/>
      <c r="AB5192" s="284"/>
      <c r="AC5192" s="284"/>
      <c r="AD5192" s="284"/>
      <c r="AE5192" s="284"/>
      <c r="AF5192" s="284"/>
      <c r="AG5192" s="284"/>
      <c r="AH5192" s="284"/>
      <c r="AI5192" s="284"/>
      <c r="AJ5192" s="284"/>
      <c r="AK5192" s="284"/>
      <c r="AL5192" s="284"/>
    </row>
    <row r="5193" ht="15.75" customHeight="1">
      <c r="A5193" s="394"/>
      <c r="B5193" s="395"/>
      <c r="C5193" s="395"/>
      <c r="D5193" s="396"/>
      <c r="E5193" s="397"/>
      <c r="F5193" s="395"/>
      <c r="G5193" s="395"/>
      <c r="H5193" s="397"/>
      <c r="I5193" s="395"/>
      <c r="J5193" s="395"/>
      <c r="K5193" s="397"/>
      <c r="L5193" s="395"/>
      <c r="M5193" s="395"/>
      <c r="N5193" s="395"/>
      <c r="O5193" s="397"/>
      <c r="P5193" s="395"/>
      <c r="Q5193" s="395"/>
      <c r="R5193" s="353"/>
      <c r="S5193" s="185"/>
      <c r="T5193" s="185"/>
      <c r="U5193" s="185"/>
      <c r="V5193" s="185"/>
      <c r="W5193" s="185"/>
      <c r="X5193" s="185"/>
      <c r="Y5193" s="284"/>
      <c r="Z5193" s="284"/>
      <c r="AA5193" s="284"/>
      <c r="AB5193" s="284"/>
      <c r="AC5193" s="284"/>
      <c r="AD5193" s="284"/>
      <c r="AE5193" s="284"/>
      <c r="AF5193" s="284"/>
      <c r="AG5193" s="284"/>
      <c r="AH5193" s="284"/>
      <c r="AI5193" s="284"/>
      <c r="AJ5193" s="284"/>
      <c r="AK5193" s="284"/>
      <c r="AL5193" s="284"/>
    </row>
    <row r="5194" ht="15.75" customHeight="1">
      <c r="A5194" s="394"/>
      <c r="B5194" s="395"/>
      <c r="C5194" s="395"/>
      <c r="D5194" s="396"/>
      <c r="E5194" s="397"/>
      <c r="F5194" s="395"/>
      <c r="G5194" s="395"/>
      <c r="H5194" s="397"/>
      <c r="I5194" s="395"/>
      <c r="J5194" s="395"/>
      <c r="K5194" s="397"/>
      <c r="L5194" s="395"/>
      <c r="M5194" s="395"/>
      <c r="N5194" s="395"/>
      <c r="O5194" s="397"/>
      <c r="P5194" s="395"/>
      <c r="Q5194" s="395"/>
      <c r="R5194" s="353"/>
      <c r="S5194" s="185"/>
      <c r="T5194" s="185"/>
      <c r="U5194" s="185"/>
      <c r="V5194" s="185"/>
      <c r="W5194" s="185"/>
      <c r="X5194" s="185"/>
      <c r="Y5194" s="284"/>
      <c r="Z5194" s="284"/>
      <c r="AA5194" s="284"/>
      <c r="AB5194" s="284"/>
      <c r="AC5194" s="284"/>
      <c r="AD5194" s="284"/>
      <c r="AE5194" s="284"/>
      <c r="AF5194" s="284"/>
      <c r="AG5194" s="284"/>
      <c r="AH5194" s="284"/>
      <c r="AI5194" s="284"/>
      <c r="AJ5194" s="284"/>
      <c r="AK5194" s="284"/>
      <c r="AL5194" s="284"/>
    </row>
    <row r="5195" ht="15.75" customHeight="1">
      <c r="A5195" s="394"/>
      <c r="B5195" s="395"/>
      <c r="C5195" s="395"/>
      <c r="D5195" s="396"/>
      <c r="E5195" s="397"/>
      <c r="F5195" s="395"/>
      <c r="G5195" s="395"/>
      <c r="H5195" s="397"/>
      <c r="I5195" s="395"/>
      <c r="J5195" s="395"/>
      <c r="K5195" s="397"/>
      <c r="L5195" s="395"/>
      <c r="M5195" s="395"/>
      <c r="N5195" s="395"/>
      <c r="O5195" s="397"/>
      <c r="P5195" s="395"/>
      <c r="Q5195" s="395"/>
      <c r="R5195" s="353"/>
      <c r="S5195" s="185"/>
      <c r="T5195" s="185"/>
      <c r="U5195" s="185"/>
      <c r="V5195" s="185"/>
      <c r="W5195" s="185"/>
      <c r="X5195" s="185"/>
      <c r="Y5195" s="284"/>
      <c r="Z5195" s="284"/>
      <c r="AA5195" s="284"/>
      <c r="AB5195" s="284"/>
      <c r="AC5195" s="284"/>
      <c r="AD5195" s="284"/>
      <c r="AE5195" s="284"/>
      <c r="AF5195" s="284"/>
      <c r="AG5195" s="284"/>
      <c r="AH5195" s="284"/>
      <c r="AI5195" s="284"/>
      <c r="AJ5195" s="284"/>
      <c r="AK5195" s="284"/>
      <c r="AL5195" s="284"/>
    </row>
    <row r="5196" ht="15.75" customHeight="1">
      <c r="A5196" s="394"/>
      <c r="B5196" s="395"/>
      <c r="C5196" s="395"/>
      <c r="D5196" s="396"/>
      <c r="E5196" s="397"/>
      <c r="F5196" s="395"/>
      <c r="G5196" s="395"/>
      <c r="H5196" s="397"/>
      <c r="I5196" s="395"/>
      <c r="J5196" s="395"/>
      <c r="K5196" s="397"/>
      <c r="L5196" s="395"/>
      <c r="M5196" s="395"/>
      <c r="N5196" s="395"/>
      <c r="O5196" s="397"/>
      <c r="P5196" s="395"/>
      <c r="Q5196" s="395"/>
      <c r="R5196" s="353"/>
      <c r="S5196" s="185"/>
      <c r="T5196" s="185"/>
      <c r="U5196" s="185"/>
      <c r="V5196" s="185"/>
      <c r="W5196" s="185"/>
      <c r="X5196" s="185"/>
      <c r="Y5196" s="284"/>
      <c r="Z5196" s="284"/>
      <c r="AA5196" s="284"/>
      <c r="AB5196" s="284"/>
      <c r="AC5196" s="284"/>
      <c r="AD5196" s="284"/>
      <c r="AE5196" s="284"/>
      <c r="AF5196" s="284"/>
      <c r="AG5196" s="284"/>
      <c r="AH5196" s="284"/>
      <c r="AI5196" s="284"/>
      <c r="AJ5196" s="284"/>
      <c r="AK5196" s="284"/>
      <c r="AL5196" s="284"/>
    </row>
    <row r="5197" ht="15.75" customHeight="1">
      <c r="A5197" s="394"/>
      <c r="B5197" s="395"/>
      <c r="C5197" s="395"/>
      <c r="D5197" s="396"/>
      <c r="E5197" s="397"/>
      <c r="F5197" s="395"/>
      <c r="G5197" s="395"/>
      <c r="H5197" s="397"/>
      <c r="I5197" s="395"/>
      <c r="J5197" s="395"/>
      <c r="K5197" s="397"/>
      <c r="L5197" s="395"/>
      <c r="M5197" s="395"/>
      <c r="N5197" s="395"/>
      <c r="O5197" s="397"/>
      <c r="P5197" s="395"/>
      <c r="Q5197" s="395"/>
      <c r="R5197" s="353"/>
      <c r="S5197" s="185"/>
      <c r="T5197" s="185"/>
      <c r="U5197" s="185"/>
      <c r="V5197" s="185"/>
      <c r="W5197" s="185"/>
      <c r="X5197" s="185"/>
      <c r="Y5197" s="284"/>
      <c r="Z5197" s="284"/>
      <c r="AA5197" s="284"/>
      <c r="AB5197" s="284"/>
      <c r="AC5197" s="284"/>
      <c r="AD5197" s="284"/>
      <c r="AE5197" s="284"/>
      <c r="AF5197" s="284"/>
      <c r="AG5197" s="284"/>
      <c r="AH5197" s="284"/>
      <c r="AI5197" s="284"/>
      <c r="AJ5197" s="284"/>
      <c r="AK5197" s="284"/>
      <c r="AL5197" s="284"/>
    </row>
    <row r="5198" ht="15.75" customHeight="1">
      <c r="A5198" s="394"/>
      <c r="B5198" s="395"/>
      <c r="C5198" s="395"/>
      <c r="D5198" s="396"/>
      <c r="E5198" s="397"/>
      <c r="F5198" s="395"/>
      <c r="G5198" s="395"/>
      <c r="H5198" s="397"/>
      <c r="I5198" s="395"/>
      <c r="J5198" s="395"/>
      <c r="K5198" s="397"/>
      <c r="L5198" s="395"/>
      <c r="M5198" s="395"/>
      <c r="N5198" s="395"/>
      <c r="O5198" s="397"/>
      <c r="P5198" s="395"/>
      <c r="Q5198" s="395"/>
      <c r="R5198" s="353"/>
      <c r="S5198" s="185"/>
      <c r="T5198" s="185"/>
      <c r="U5198" s="185"/>
      <c r="V5198" s="185"/>
      <c r="W5198" s="185"/>
      <c r="X5198" s="185"/>
      <c r="Y5198" s="284"/>
      <c r="Z5198" s="284"/>
      <c r="AA5198" s="284"/>
      <c r="AB5198" s="284"/>
      <c r="AC5198" s="284"/>
      <c r="AD5198" s="284"/>
      <c r="AE5198" s="284"/>
      <c r="AF5198" s="284"/>
      <c r="AG5198" s="284"/>
      <c r="AH5198" s="284"/>
      <c r="AI5198" s="284"/>
      <c r="AJ5198" s="284"/>
      <c r="AK5198" s="284"/>
      <c r="AL5198" s="284"/>
    </row>
    <row r="5199" ht="15.75" customHeight="1">
      <c r="A5199" s="394"/>
      <c r="B5199" s="395"/>
      <c r="C5199" s="395"/>
      <c r="D5199" s="396"/>
      <c r="E5199" s="397"/>
      <c r="F5199" s="395"/>
      <c r="G5199" s="395"/>
      <c r="H5199" s="397"/>
      <c r="I5199" s="395"/>
      <c r="J5199" s="395"/>
      <c r="K5199" s="397"/>
      <c r="L5199" s="395"/>
      <c r="M5199" s="395"/>
      <c r="N5199" s="395"/>
      <c r="O5199" s="397"/>
      <c r="P5199" s="395"/>
      <c r="Q5199" s="395"/>
      <c r="R5199" s="353"/>
      <c r="S5199" s="185"/>
      <c r="T5199" s="185"/>
      <c r="U5199" s="185"/>
      <c r="V5199" s="185"/>
      <c r="W5199" s="185"/>
      <c r="X5199" s="185"/>
      <c r="Y5199" s="284"/>
      <c r="Z5199" s="284"/>
      <c r="AA5199" s="284"/>
      <c r="AB5199" s="284"/>
      <c r="AC5199" s="284"/>
      <c r="AD5199" s="284"/>
      <c r="AE5199" s="284"/>
      <c r="AF5199" s="284"/>
      <c r="AG5199" s="284"/>
      <c r="AH5199" s="284"/>
      <c r="AI5199" s="284"/>
      <c r="AJ5199" s="284"/>
      <c r="AK5199" s="284"/>
      <c r="AL5199" s="284"/>
    </row>
    <row r="5200" ht="15.75" customHeight="1">
      <c r="A5200" s="394"/>
      <c r="B5200" s="395"/>
      <c r="C5200" s="395"/>
      <c r="D5200" s="396"/>
      <c r="E5200" s="397"/>
      <c r="F5200" s="395"/>
      <c r="G5200" s="395"/>
      <c r="H5200" s="397"/>
      <c r="I5200" s="395"/>
      <c r="J5200" s="395"/>
      <c r="K5200" s="397"/>
      <c r="L5200" s="395"/>
      <c r="M5200" s="395"/>
      <c r="N5200" s="395"/>
      <c r="O5200" s="397"/>
      <c r="P5200" s="395"/>
      <c r="Q5200" s="395"/>
      <c r="R5200" s="353"/>
      <c r="S5200" s="185"/>
      <c r="T5200" s="185"/>
      <c r="U5200" s="185"/>
      <c r="V5200" s="185"/>
      <c r="W5200" s="185"/>
      <c r="X5200" s="185"/>
      <c r="Y5200" s="284"/>
      <c r="Z5200" s="284"/>
      <c r="AA5200" s="284"/>
      <c r="AB5200" s="284"/>
      <c r="AC5200" s="284"/>
      <c r="AD5200" s="284"/>
      <c r="AE5200" s="284"/>
      <c r="AF5200" s="284"/>
      <c r="AG5200" s="284"/>
      <c r="AH5200" s="284"/>
      <c r="AI5200" s="284"/>
      <c r="AJ5200" s="284"/>
      <c r="AK5200" s="284"/>
      <c r="AL5200" s="284"/>
    </row>
    <row r="5201" ht="15.75" customHeight="1">
      <c r="A5201" s="394"/>
      <c r="B5201" s="395"/>
      <c r="C5201" s="395"/>
      <c r="D5201" s="396"/>
      <c r="E5201" s="397"/>
      <c r="F5201" s="395"/>
      <c r="G5201" s="395"/>
      <c r="H5201" s="397"/>
      <c r="I5201" s="395"/>
      <c r="J5201" s="395"/>
      <c r="K5201" s="397"/>
      <c r="L5201" s="395"/>
      <c r="M5201" s="395"/>
      <c r="N5201" s="395"/>
      <c r="O5201" s="397"/>
      <c r="P5201" s="395"/>
      <c r="Q5201" s="395"/>
      <c r="R5201" s="353"/>
      <c r="S5201" s="185"/>
      <c r="T5201" s="185"/>
      <c r="U5201" s="185"/>
      <c r="V5201" s="185"/>
      <c r="W5201" s="185"/>
      <c r="X5201" s="185"/>
      <c r="Y5201" s="284"/>
      <c r="Z5201" s="284"/>
      <c r="AA5201" s="284"/>
      <c r="AB5201" s="284"/>
      <c r="AC5201" s="284"/>
      <c r="AD5201" s="284"/>
      <c r="AE5201" s="284"/>
      <c r="AF5201" s="284"/>
      <c r="AG5201" s="284"/>
      <c r="AH5201" s="284"/>
      <c r="AI5201" s="284"/>
      <c r="AJ5201" s="284"/>
      <c r="AK5201" s="284"/>
      <c r="AL5201" s="284"/>
    </row>
    <row r="5202" ht="15.75" customHeight="1">
      <c r="A5202" s="394"/>
      <c r="B5202" s="395"/>
      <c r="C5202" s="395"/>
      <c r="D5202" s="396"/>
      <c r="E5202" s="397"/>
      <c r="F5202" s="395"/>
      <c r="G5202" s="395"/>
      <c r="H5202" s="397"/>
      <c r="I5202" s="395"/>
      <c r="J5202" s="395"/>
      <c r="K5202" s="397"/>
      <c r="L5202" s="395"/>
      <c r="M5202" s="395"/>
      <c r="N5202" s="395"/>
      <c r="O5202" s="397"/>
      <c r="P5202" s="395"/>
      <c r="Q5202" s="395"/>
      <c r="R5202" s="353"/>
      <c r="S5202" s="185"/>
      <c r="T5202" s="185"/>
      <c r="U5202" s="185"/>
      <c r="V5202" s="185"/>
      <c r="W5202" s="185"/>
      <c r="X5202" s="185"/>
      <c r="Y5202" s="284"/>
      <c r="Z5202" s="284"/>
      <c r="AA5202" s="284"/>
      <c r="AB5202" s="284"/>
      <c r="AC5202" s="284"/>
      <c r="AD5202" s="284"/>
      <c r="AE5202" s="284"/>
      <c r="AF5202" s="284"/>
      <c r="AG5202" s="284"/>
      <c r="AH5202" s="284"/>
      <c r="AI5202" s="284"/>
      <c r="AJ5202" s="284"/>
      <c r="AK5202" s="284"/>
      <c r="AL5202" s="284"/>
    </row>
    <row r="5203" ht="15.75" customHeight="1">
      <c r="A5203" s="394"/>
      <c r="B5203" s="395"/>
      <c r="C5203" s="395"/>
      <c r="D5203" s="396"/>
      <c r="E5203" s="397"/>
      <c r="F5203" s="395"/>
      <c r="G5203" s="395"/>
      <c r="H5203" s="397"/>
      <c r="I5203" s="395"/>
      <c r="J5203" s="395"/>
      <c r="K5203" s="397"/>
      <c r="L5203" s="395"/>
      <c r="M5203" s="395"/>
      <c r="N5203" s="395"/>
      <c r="O5203" s="397"/>
      <c r="P5203" s="395"/>
      <c r="Q5203" s="395"/>
      <c r="R5203" s="353"/>
      <c r="S5203" s="185"/>
      <c r="T5203" s="185"/>
      <c r="U5203" s="185"/>
      <c r="V5203" s="185"/>
      <c r="W5203" s="185"/>
      <c r="X5203" s="185"/>
      <c r="Y5203" s="284"/>
      <c r="Z5203" s="284"/>
      <c r="AA5203" s="284"/>
      <c r="AB5203" s="284"/>
      <c r="AC5203" s="284"/>
      <c r="AD5203" s="284"/>
      <c r="AE5203" s="284"/>
      <c r="AF5203" s="284"/>
      <c r="AG5203" s="284"/>
      <c r="AH5203" s="284"/>
      <c r="AI5203" s="284"/>
      <c r="AJ5203" s="284"/>
      <c r="AK5203" s="284"/>
      <c r="AL5203" s="284"/>
    </row>
    <row r="5204" ht="15.75" customHeight="1">
      <c r="A5204" s="394"/>
      <c r="B5204" s="395"/>
      <c r="C5204" s="395"/>
      <c r="D5204" s="396"/>
      <c r="E5204" s="397"/>
      <c r="F5204" s="395"/>
      <c r="G5204" s="395"/>
      <c r="H5204" s="397"/>
      <c r="I5204" s="395"/>
      <c r="J5204" s="395"/>
      <c r="K5204" s="397"/>
      <c r="L5204" s="395"/>
      <c r="M5204" s="395"/>
      <c r="N5204" s="395"/>
      <c r="O5204" s="397"/>
      <c r="P5204" s="395"/>
      <c r="Q5204" s="395"/>
      <c r="R5204" s="353"/>
      <c r="S5204" s="185"/>
      <c r="T5204" s="185"/>
      <c r="U5204" s="185"/>
      <c r="V5204" s="185"/>
      <c r="W5204" s="185"/>
      <c r="X5204" s="185"/>
      <c r="Y5204" s="284"/>
      <c r="Z5204" s="284"/>
      <c r="AA5204" s="284"/>
      <c r="AB5204" s="284"/>
      <c r="AC5204" s="284"/>
      <c r="AD5204" s="284"/>
      <c r="AE5204" s="284"/>
      <c r="AF5204" s="284"/>
      <c r="AG5204" s="284"/>
      <c r="AH5204" s="284"/>
      <c r="AI5204" s="284"/>
      <c r="AJ5204" s="284"/>
      <c r="AK5204" s="284"/>
      <c r="AL5204" s="284"/>
    </row>
    <row r="5205" ht="15.75" customHeight="1">
      <c r="A5205" s="394"/>
      <c r="B5205" s="395"/>
      <c r="C5205" s="395"/>
      <c r="D5205" s="396"/>
      <c r="E5205" s="397"/>
      <c r="F5205" s="395"/>
      <c r="G5205" s="395"/>
      <c r="H5205" s="397"/>
      <c r="I5205" s="395"/>
      <c r="J5205" s="395"/>
      <c r="K5205" s="397"/>
      <c r="L5205" s="395"/>
      <c r="M5205" s="395"/>
      <c r="N5205" s="395"/>
      <c r="O5205" s="397"/>
      <c r="P5205" s="395"/>
      <c r="Q5205" s="395"/>
      <c r="R5205" s="353"/>
      <c r="S5205" s="185"/>
      <c r="T5205" s="185"/>
      <c r="U5205" s="185"/>
      <c r="V5205" s="185"/>
      <c r="W5205" s="185"/>
      <c r="X5205" s="185"/>
      <c r="Y5205" s="284"/>
      <c r="Z5205" s="284"/>
      <c r="AA5205" s="284"/>
      <c r="AB5205" s="284"/>
      <c r="AC5205" s="284"/>
      <c r="AD5205" s="284"/>
      <c r="AE5205" s="284"/>
      <c r="AF5205" s="284"/>
      <c r="AG5205" s="284"/>
      <c r="AH5205" s="284"/>
      <c r="AI5205" s="284"/>
      <c r="AJ5205" s="284"/>
      <c r="AK5205" s="284"/>
      <c r="AL5205" s="284"/>
    </row>
    <row r="5206" ht="15.75" customHeight="1">
      <c r="A5206" s="394"/>
      <c r="B5206" s="395"/>
      <c r="C5206" s="395"/>
      <c r="D5206" s="396"/>
      <c r="E5206" s="397"/>
      <c r="F5206" s="395"/>
      <c r="G5206" s="395"/>
      <c r="H5206" s="397"/>
      <c r="I5206" s="395"/>
      <c r="J5206" s="395"/>
      <c r="K5206" s="397"/>
      <c r="L5206" s="395"/>
      <c r="M5206" s="395"/>
      <c r="N5206" s="395"/>
      <c r="O5206" s="397"/>
      <c r="P5206" s="395"/>
      <c r="Q5206" s="395"/>
      <c r="R5206" s="353"/>
      <c r="S5206" s="185"/>
      <c r="T5206" s="185"/>
      <c r="U5206" s="185"/>
      <c r="V5206" s="185"/>
      <c r="W5206" s="185"/>
      <c r="X5206" s="185"/>
      <c r="Y5206" s="284"/>
      <c r="Z5206" s="284"/>
      <c r="AA5206" s="284"/>
      <c r="AB5206" s="284"/>
      <c r="AC5206" s="284"/>
      <c r="AD5206" s="284"/>
      <c r="AE5206" s="284"/>
      <c r="AF5206" s="284"/>
      <c r="AG5206" s="284"/>
      <c r="AH5206" s="284"/>
      <c r="AI5206" s="284"/>
      <c r="AJ5206" s="284"/>
      <c r="AK5206" s="284"/>
      <c r="AL5206" s="284"/>
    </row>
    <row r="5207" ht="15.75" customHeight="1">
      <c r="A5207" s="394"/>
      <c r="B5207" s="395"/>
      <c r="C5207" s="395"/>
      <c r="D5207" s="396"/>
      <c r="E5207" s="397"/>
      <c r="F5207" s="395"/>
      <c r="G5207" s="395"/>
      <c r="H5207" s="397"/>
      <c r="I5207" s="395"/>
      <c r="J5207" s="395"/>
      <c r="K5207" s="397"/>
      <c r="L5207" s="395"/>
      <c r="M5207" s="395"/>
      <c r="N5207" s="395"/>
      <c r="O5207" s="397"/>
      <c r="P5207" s="395"/>
      <c r="Q5207" s="395"/>
      <c r="R5207" s="353"/>
      <c r="S5207" s="185"/>
      <c r="T5207" s="185"/>
      <c r="U5207" s="185"/>
      <c r="V5207" s="185"/>
      <c r="W5207" s="185"/>
      <c r="X5207" s="185"/>
      <c r="Y5207" s="284"/>
      <c r="Z5207" s="284"/>
      <c r="AA5207" s="284"/>
      <c r="AB5207" s="284"/>
      <c r="AC5207" s="284"/>
      <c r="AD5207" s="284"/>
      <c r="AE5207" s="284"/>
      <c r="AF5207" s="284"/>
      <c r="AG5207" s="284"/>
      <c r="AH5207" s="284"/>
      <c r="AI5207" s="284"/>
      <c r="AJ5207" s="284"/>
      <c r="AK5207" s="284"/>
      <c r="AL5207" s="284"/>
    </row>
    <row r="5208" ht="15.75" customHeight="1">
      <c r="A5208" s="394"/>
      <c r="B5208" s="395"/>
      <c r="C5208" s="395"/>
      <c r="D5208" s="396"/>
      <c r="E5208" s="397"/>
      <c r="F5208" s="395"/>
      <c r="G5208" s="395"/>
      <c r="H5208" s="397"/>
      <c r="I5208" s="395"/>
      <c r="J5208" s="395"/>
      <c r="K5208" s="397"/>
      <c r="L5208" s="395"/>
      <c r="M5208" s="395"/>
      <c r="N5208" s="395"/>
      <c r="O5208" s="397"/>
      <c r="P5208" s="395"/>
      <c r="Q5208" s="395"/>
      <c r="R5208" s="353"/>
      <c r="S5208" s="185"/>
      <c r="T5208" s="185"/>
      <c r="U5208" s="185"/>
      <c r="V5208" s="185"/>
      <c r="W5208" s="185"/>
      <c r="X5208" s="185"/>
      <c r="Y5208" s="284"/>
      <c r="Z5208" s="284"/>
      <c r="AA5208" s="284"/>
      <c r="AB5208" s="284"/>
      <c r="AC5208" s="284"/>
      <c r="AD5208" s="284"/>
      <c r="AE5208" s="284"/>
      <c r="AF5208" s="284"/>
      <c r="AG5208" s="284"/>
      <c r="AH5208" s="284"/>
      <c r="AI5208" s="284"/>
      <c r="AJ5208" s="284"/>
      <c r="AK5208" s="284"/>
      <c r="AL5208" s="284"/>
    </row>
    <row r="5209" ht="15.75" customHeight="1">
      <c r="A5209" s="394"/>
      <c r="B5209" s="395"/>
      <c r="C5209" s="395"/>
      <c r="D5209" s="396"/>
      <c r="E5209" s="397"/>
      <c r="F5209" s="395"/>
      <c r="G5209" s="395"/>
      <c r="H5209" s="397"/>
      <c r="I5209" s="395"/>
      <c r="J5209" s="395"/>
      <c r="K5209" s="397"/>
      <c r="L5209" s="395"/>
      <c r="M5209" s="395"/>
      <c r="N5209" s="395"/>
      <c r="O5209" s="397"/>
      <c r="P5209" s="395"/>
      <c r="Q5209" s="395"/>
      <c r="R5209" s="353"/>
      <c r="S5209" s="185"/>
      <c r="T5209" s="185"/>
      <c r="U5209" s="185"/>
      <c r="V5209" s="185"/>
      <c r="W5209" s="185"/>
      <c r="X5209" s="185"/>
      <c r="Y5209" s="284"/>
      <c r="Z5209" s="284"/>
      <c r="AA5209" s="284"/>
      <c r="AB5209" s="284"/>
      <c r="AC5209" s="284"/>
      <c r="AD5209" s="284"/>
      <c r="AE5209" s="284"/>
      <c r="AF5209" s="284"/>
      <c r="AG5209" s="284"/>
      <c r="AH5209" s="284"/>
      <c r="AI5209" s="284"/>
      <c r="AJ5209" s="284"/>
      <c r="AK5209" s="284"/>
      <c r="AL5209" s="284"/>
    </row>
    <row r="5210" ht="15.75" customHeight="1">
      <c r="A5210" s="394"/>
      <c r="B5210" s="395"/>
      <c r="C5210" s="395"/>
      <c r="D5210" s="396"/>
      <c r="E5210" s="397"/>
      <c r="F5210" s="395"/>
      <c r="G5210" s="395"/>
      <c r="H5210" s="397"/>
      <c r="I5210" s="395"/>
      <c r="J5210" s="395"/>
      <c r="K5210" s="397"/>
      <c r="L5210" s="395"/>
      <c r="M5210" s="395"/>
      <c r="N5210" s="395"/>
      <c r="O5210" s="397"/>
      <c r="P5210" s="395"/>
      <c r="Q5210" s="395"/>
      <c r="R5210" s="353"/>
      <c r="S5210" s="185"/>
      <c r="T5210" s="185"/>
      <c r="U5210" s="185"/>
      <c r="V5210" s="185"/>
      <c r="W5210" s="185"/>
      <c r="X5210" s="185"/>
      <c r="Y5210" s="284"/>
      <c r="Z5210" s="284"/>
      <c r="AA5210" s="284"/>
      <c r="AB5210" s="284"/>
      <c r="AC5210" s="284"/>
      <c r="AD5210" s="284"/>
      <c r="AE5210" s="284"/>
      <c r="AF5210" s="284"/>
      <c r="AG5210" s="284"/>
      <c r="AH5210" s="284"/>
      <c r="AI5210" s="284"/>
      <c r="AJ5210" s="284"/>
      <c r="AK5210" s="284"/>
      <c r="AL5210" s="284"/>
    </row>
    <row r="5211" ht="15.75" customHeight="1">
      <c r="A5211" s="394"/>
      <c r="B5211" s="395"/>
      <c r="C5211" s="395"/>
      <c r="D5211" s="396"/>
      <c r="E5211" s="397"/>
      <c r="F5211" s="395"/>
      <c r="G5211" s="395"/>
      <c r="H5211" s="397"/>
      <c r="I5211" s="395"/>
      <c r="J5211" s="395"/>
      <c r="K5211" s="397"/>
      <c r="L5211" s="395"/>
      <c r="M5211" s="395"/>
      <c r="N5211" s="395"/>
      <c r="O5211" s="397"/>
      <c r="P5211" s="395"/>
      <c r="Q5211" s="395"/>
      <c r="R5211" s="353"/>
      <c r="S5211" s="185"/>
      <c r="T5211" s="185"/>
      <c r="U5211" s="185"/>
      <c r="V5211" s="185"/>
      <c r="W5211" s="185"/>
      <c r="X5211" s="185"/>
      <c r="Y5211" s="284"/>
      <c r="Z5211" s="284"/>
      <c r="AA5211" s="284"/>
      <c r="AB5211" s="284"/>
      <c r="AC5211" s="284"/>
      <c r="AD5211" s="284"/>
      <c r="AE5211" s="284"/>
      <c r="AF5211" s="284"/>
      <c r="AG5211" s="284"/>
      <c r="AH5211" s="284"/>
      <c r="AI5211" s="284"/>
      <c r="AJ5211" s="284"/>
      <c r="AK5211" s="284"/>
      <c r="AL5211" s="284"/>
    </row>
    <row r="5212" ht="15.75" customHeight="1">
      <c r="A5212" s="394"/>
      <c r="B5212" s="395"/>
      <c r="C5212" s="395"/>
      <c r="D5212" s="396"/>
      <c r="E5212" s="397"/>
      <c r="F5212" s="395"/>
      <c r="G5212" s="395"/>
      <c r="H5212" s="397"/>
      <c r="I5212" s="395"/>
      <c r="J5212" s="395"/>
      <c r="K5212" s="397"/>
      <c r="L5212" s="395"/>
      <c r="M5212" s="395"/>
      <c r="N5212" s="395"/>
      <c r="O5212" s="397"/>
      <c r="P5212" s="395"/>
      <c r="Q5212" s="395"/>
      <c r="R5212" s="353"/>
      <c r="S5212" s="185"/>
      <c r="T5212" s="185"/>
      <c r="U5212" s="185"/>
      <c r="V5212" s="185"/>
      <c r="W5212" s="185"/>
      <c r="X5212" s="185"/>
      <c r="Y5212" s="284"/>
      <c r="Z5212" s="284"/>
      <c r="AA5212" s="284"/>
      <c r="AB5212" s="284"/>
      <c r="AC5212" s="284"/>
      <c r="AD5212" s="284"/>
      <c r="AE5212" s="284"/>
      <c r="AF5212" s="284"/>
      <c r="AG5212" s="284"/>
      <c r="AH5212" s="284"/>
      <c r="AI5212" s="284"/>
      <c r="AJ5212" s="284"/>
      <c r="AK5212" s="284"/>
      <c r="AL5212" s="284"/>
    </row>
    <row r="5213" ht="15.75" customHeight="1">
      <c r="A5213" s="394"/>
      <c r="B5213" s="395"/>
      <c r="C5213" s="395"/>
      <c r="D5213" s="396"/>
      <c r="E5213" s="397"/>
      <c r="F5213" s="395"/>
      <c r="G5213" s="395"/>
      <c r="H5213" s="397"/>
      <c r="I5213" s="395"/>
      <c r="J5213" s="395"/>
      <c r="K5213" s="397"/>
      <c r="L5213" s="395"/>
      <c r="M5213" s="395"/>
      <c r="N5213" s="395"/>
      <c r="O5213" s="397"/>
      <c r="P5213" s="395"/>
      <c r="Q5213" s="395"/>
      <c r="R5213" s="353"/>
      <c r="S5213" s="185"/>
      <c r="T5213" s="185"/>
      <c r="U5213" s="185"/>
      <c r="V5213" s="185"/>
      <c r="W5213" s="185"/>
      <c r="X5213" s="185"/>
      <c r="Y5213" s="284"/>
      <c r="Z5213" s="284"/>
      <c r="AA5213" s="284"/>
      <c r="AB5213" s="284"/>
      <c r="AC5213" s="284"/>
      <c r="AD5213" s="284"/>
      <c r="AE5213" s="284"/>
      <c r="AF5213" s="284"/>
      <c r="AG5213" s="284"/>
      <c r="AH5213" s="284"/>
      <c r="AI5213" s="284"/>
      <c r="AJ5213" s="284"/>
      <c r="AK5213" s="284"/>
      <c r="AL5213" s="284"/>
    </row>
    <row r="5214" ht="15.75" customHeight="1">
      <c r="A5214" s="394"/>
      <c r="B5214" s="395"/>
      <c r="C5214" s="395"/>
      <c r="D5214" s="396"/>
      <c r="E5214" s="397"/>
      <c r="F5214" s="395"/>
      <c r="G5214" s="395"/>
      <c r="H5214" s="397"/>
      <c r="I5214" s="395"/>
      <c r="J5214" s="395"/>
      <c r="K5214" s="397"/>
      <c r="L5214" s="395"/>
      <c r="M5214" s="395"/>
      <c r="N5214" s="395"/>
      <c r="O5214" s="397"/>
      <c r="P5214" s="395"/>
      <c r="Q5214" s="395"/>
      <c r="R5214" s="353"/>
      <c r="S5214" s="185"/>
      <c r="T5214" s="185"/>
      <c r="U5214" s="185"/>
      <c r="V5214" s="185"/>
      <c r="W5214" s="185"/>
      <c r="X5214" s="185"/>
      <c r="Y5214" s="284"/>
      <c r="Z5214" s="284"/>
      <c r="AA5214" s="284"/>
      <c r="AB5214" s="284"/>
      <c r="AC5214" s="284"/>
      <c r="AD5214" s="284"/>
      <c r="AE5214" s="284"/>
      <c r="AF5214" s="284"/>
      <c r="AG5214" s="284"/>
      <c r="AH5214" s="284"/>
      <c r="AI5214" s="284"/>
      <c r="AJ5214" s="284"/>
      <c r="AK5214" s="284"/>
      <c r="AL5214" s="284"/>
    </row>
    <row r="5215" ht="15.75" customHeight="1">
      <c r="A5215" s="394"/>
      <c r="B5215" s="395"/>
      <c r="C5215" s="395"/>
      <c r="D5215" s="396"/>
      <c r="E5215" s="397"/>
      <c r="F5215" s="395"/>
      <c r="G5215" s="395"/>
      <c r="H5215" s="397"/>
      <c r="I5215" s="395"/>
      <c r="J5215" s="395"/>
      <c r="K5215" s="397"/>
      <c r="L5215" s="395"/>
      <c r="M5215" s="395"/>
      <c r="N5215" s="395"/>
      <c r="O5215" s="397"/>
      <c r="P5215" s="395"/>
      <c r="Q5215" s="395"/>
      <c r="R5215" s="353"/>
      <c r="S5215" s="185"/>
      <c r="T5215" s="185"/>
      <c r="U5215" s="185"/>
      <c r="V5215" s="185"/>
      <c r="W5215" s="185"/>
      <c r="X5215" s="185"/>
      <c r="Y5215" s="284"/>
      <c r="Z5215" s="284"/>
      <c r="AA5215" s="284"/>
      <c r="AB5215" s="284"/>
      <c r="AC5215" s="284"/>
      <c r="AD5215" s="284"/>
      <c r="AE5215" s="284"/>
      <c r="AF5215" s="284"/>
      <c r="AG5215" s="284"/>
      <c r="AH5215" s="284"/>
      <c r="AI5215" s="284"/>
      <c r="AJ5215" s="284"/>
      <c r="AK5215" s="284"/>
      <c r="AL5215" s="284"/>
    </row>
    <row r="5216" ht="15.75" customHeight="1">
      <c r="A5216" s="394"/>
      <c r="B5216" s="395"/>
      <c r="C5216" s="395"/>
      <c r="D5216" s="396"/>
      <c r="E5216" s="397"/>
      <c r="F5216" s="395"/>
      <c r="G5216" s="395"/>
      <c r="H5216" s="397"/>
      <c r="I5216" s="395"/>
      <c r="J5216" s="395"/>
      <c r="K5216" s="397"/>
      <c r="L5216" s="395"/>
      <c r="M5216" s="395"/>
      <c r="N5216" s="395"/>
      <c r="O5216" s="397"/>
      <c r="P5216" s="395"/>
      <c r="Q5216" s="395"/>
      <c r="R5216" s="353"/>
      <c r="S5216" s="185"/>
      <c r="T5216" s="185"/>
      <c r="U5216" s="185"/>
      <c r="V5216" s="185"/>
      <c r="W5216" s="185"/>
      <c r="X5216" s="185"/>
      <c r="Y5216" s="284"/>
      <c r="Z5216" s="284"/>
      <c r="AA5216" s="284"/>
      <c r="AB5216" s="284"/>
      <c r="AC5216" s="284"/>
      <c r="AD5216" s="284"/>
      <c r="AE5216" s="284"/>
      <c r="AF5216" s="284"/>
      <c r="AG5216" s="284"/>
      <c r="AH5216" s="284"/>
      <c r="AI5216" s="284"/>
      <c r="AJ5216" s="284"/>
      <c r="AK5216" s="284"/>
      <c r="AL5216" s="284"/>
    </row>
    <row r="5217" ht="15.75" customHeight="1">
      <c r="A5217" s="394"/>
      <c r="B5217" s="395"/>
      <c r="C5217" s="395"/>
      <c r="D5217" s="396"/>
      <c r="E5217" s="397"/>
      <c r="F5217" s="395"/>
      <c r="G5217" s="395"/>
      <c r="H5217" s="397"/>
      <c r="I5217" s="395"/>
      <c r="J5217" s="395"/>
      <c r="K5217" s="397"/>
      <c r="L5217" s="395"/>
      <c r="M5217" s="395"/>
      <c r="N5217" s="395"/>
      <c r="O5217" s="397"/>
      <c r="P5217" s="395"/>
      <c r="Q5217" s="395"/>
      <c r="R5217" s="353"/>
      <c r="S5217" s="185"/>
      <c r="T5217" s="185"/>
      <c r="U5217" s="185"/>
      <c r="V5217" s="185"/>
      <c r="W5217" s="185"/>
      <c r="X5217" s="185"/>
      <c r="Y5217" s="284"/>
      <c r="Z5217" s="284"/>
      <c r="AA5217" s="284"/>
      <c r="AB5217" s="284"/>
      <c r="AC5217" s="284"/>
      <c r="AD5217" s="284"/>
      <c r="AE5217" s="284"/>
      <c r="AF5217" s="284"/>
      <c r="AG5217" s="284"/>
      <c r="AH5217" s="284"/>
      <c r="AI5217" s="284"/>
      <c r="AJ5217" s="284"/>
      <c r="AK5217" s="284"/>
      <c r="AL5217" s="284"/>
    </row>
    <row r="5218" ht="15.75" customHeight="1">
      <c r="A5218" s="394"/>
      <c r="B5218" s="395"/>
      <c r="C5218" s="395"/>
      <c r="D5218" s="396"/>
      <c r="E5218" s="397"/>
      <c r="F5218" s="395"/>
      <c r="G5218" s="395"/>
      <c r="H5218" s="397"/>
      <c r="I5218" s="395"/>
      <c r="J5218" s="395"/>
      <c r="K5218" s="397"/>
      <c r="L5218" s="395"/>
      <c r="M5218" s="395"/>
      <c r="N5218" s="395"/>
      <c r="O5218" s="397"/>
      <c r="P5218" s="395"/>
      <c r="Q5218" s="395"/>
      <c r="R5218" s="353"/>
      <c r="S5218" s="185"/>
      <c r="T5218" s="185"/>
      <c r="U5218" s="185"/>
      <c r="V5218" s="185"/>
      <c r="W5218" s="185"/>
      <c r="X5218" s="185"/>
      <c r="Y5218" s="284"/>
      <c r="Z5218" s="284"/>
      <c r="AA5218" s="284"/>
      <c r="AB5218" s="284"/>
      <c r="AC5218" s="284"/>
      <c r="AD5218" s="284"/>
      <c r="AE5218" s="284"/>
      <c r="AF5218" s="284"/>
      <c r="AG5218" s="284"/>
      <c r="AH5218" s="284"/>
      <c r="AI5218" s="284"/>
      <c r="AJ5218" s="284"/>
      <c r="AK5218" s="284"/>
      <c r="AL5218" s="284"/>
    </row>
    <row r="5219" ht="15.75" customHeight="1">
      <c r="A5219" s="394"/>
      <c r="B5219" s="395"/>
      <c r="C5219" s="395"/>
      <c r="D5219" s="396"/>
      <c r="E5219" s="397"/>
      <c r="F5219" s="395"/>
      <c r="G5219" s="395"/>
      <c r="H5219" s="397"/>
      <c r="I5219" s="395"/>
      <c r="J5219" s="395"/>
      <c r="K5219" s="397"/>
      <c r="L5219" s="395"/>
      <c r="M5219" s="395"/>
      <c r="N5219" s="395"/>
      <c r="O5219" s="397"/>
      <c r="P5219" s="395"/>
      <c r="Q5219" s="395"/>
      <c r="R5219" s="353"/>
      <c r="S5219" s="185"/>
      <c r="T5219" s="185"/>
      <c r="U5219" s="185"/>
      <c r="V5219" s="185"/>
      <c r="W5219" s="185"/>
      <c r="X5219" s="185"/>
      <c r="Y5219" s="284"/>
      <c r="Z5219" s="284"/>
      <c r="AA5219" s="284"/>
      <c r="AB5219" s="284"/>
      <c r="AC5219" s="284"/>
      <c r="AD5219" s="284"/>
      <c r="AE5219" s="284"/>
      <c r="AF5219" s="284"/>
      <c r="AG5219" s="284"/>
      <c r="AH5219" s="284"/>
      <c r="AI5219" s="284"/>
      <c r="AJ5219" s="284"/>
      <c r="AK5219" s="284"/>
      <c r="AL5219" s="284"/>
    </row>
    <row r="5220" ht="15.75" customHeight="1">
      <c r="A5220" s="394"/>
      <c r="B5220" s="395"/>
      <c r="C5220" s="395"/>
      <c r="D5220" s="396"/>
      <c r="E5220" s="397"/>
      <c r="F5220" s="395"/>
      <c r="G5220" s="395"/>
      <c r="H5220" s="397"/>
      <c r="I5220" s="395"/>
      <c r="J5220" s="395"/>
      <c r="K5220" s="397"/>
      <c r="L5220" s="395"/>
      <c r="M5220" s="395"/>
      <c r="N5220" s="395"/>
      <c r="O5220" s="397"/>
      <c r="P5220" s="395"/>
      <c r="Q5220" s="395"/>
      <c r="R5220" s="353"/>
      <c r="S5220" s="185"/>
      <c r="T5220" s="185"/>
      <c r="U5220" s="185"/>
      <c r="V5220" s="185"/>
      <c r="W5220" s="185"/>
      <c r="X5220" s="185"/>
      <c r="Y5220" s="284"/>
      <c r="Z5220" s="284"/>
      <c r="AA5220" s="284"/>
      <c r="AB5220" s="284"/>
      <c r="AC5220" s="284"/>
      <c r="AD5220" s="284"/>
      <c r="AE5220" s="284"/>
      <c r="AF5220" s="284"/>
      <c r="AG5220" s="284"/>
      <c r="AH5220" s="284"/>
      <c r="AI5220" s="284"/>
      <c r="AJ5220" s="284"/>
      <c r="AK5220" s="284"/>
      <c r="AL5220" s="284"/>
    </row>
    <row r="5221" ht="15.75" customHeight="1">
      <c r="A5221" s="394"/>
      <c r="B5221" s="395"/>
      <c r="C5221" s="395"/>
      <c r="D5221" s="396"/>
      <c r="E5221" s="397"/>
      <c r="F5221" s="395"/>
      <c r="G5221" s="395"/>
      <c r="H5221" s="397"/>
      <c r="I5221" s="395"/>
      <c r="J5221" s="395"/>
      <c r="K5221" s="397"/>
      <c r="L5221" s="395"/>
      <c r="M5221" s="395"/>
      <c r="N5221" s="395"/>
      <c r="O5221" s="397"/>
      <c r="P5221" s="395"/>
      <c r="Q5221" s="395"/>
      <c r="R5221" s="353"/>
      <c r="S5221" s="185"/>
      <c r="T5221" s="185"/>
      <c r="U5221" s="185"/>
      <c r="V5221" s="185"/>
      <c r="W5221" s="185"/>
      <c r="X5221" s="185"/>
      <c r="Y5221" s="284"/>
      <c r="Z5221" s="284"/>
      <c r="AA5221" s="284"/>
      <c r="AB5221" s="284"/>
      <c r="AC5221" s="284"/>
      <c r="AD5221" s="284"/>
      <c r="AE5221" s="284"/>
      <c r="AF5221" s="284"/>
      <c r="AG5221" s="284"/>
      <c r="AH5221" s="284"/>
      <c r="AI5221" s="284"/>
      <c r="AJ5221" s="284"/>
      <c r="AK5221" s="284"/>
      <c r="AL5221" s="284"/>
    </row>
    <row r="5222" ht="15.75" customHeight="1">
      <c r="A5222" s="394"/>
      <c r="B5222" s="395"/>
      <c r="C5222" s="395"/>
      <c r="D5222" s="396"/>
      <c r="E5222" s="397"/>
      <c r="F5222" s="395"/>
      <c r="G5222" s="395"/>
      <c r="H5222" s="397"/>
      <c r="I5222" s="395"/>
      <c r="J5222" s="395"/>
      <c r="K5222" s="397"/>
      <c r="L5222" s="395"/>
      <c r="M5222" s="395"/>
      <c r="N5222" s="395"/>
      <c r="O5222" s="397"/>
      <c r="P5222" s="395"/>
      <c r="Q5222" s="395"/>
      <c r="R5222" s="353"/>
      <c r="S5222" s="185"/>
      <c r="T5222" s="185"/>
      <c r="U5222" s="185"/>
      <c r="V5222" s="185"/>
      <c r="W5222" s="185"/>
      <c r="X5222" s="185"/>
      <c r="Y5222" s="284"/>
      <c r="Z5222" s="284"/>
      <c r="AA5222" s="284"/>
      <c r="AB5222" s="284"/>
      <c r="AC5222" s="284"/>
      <c r="AD5222" s="284"/>
      <c r="AE5222" s="284"/>
      <c r="AF5222" s="284"/>
      <c r="AG5222" s="284"/>
      <c r="AH5222" s="284"/>
      <c r="AI5222" s="284"/>
      <c r="AJ5222" s="284"/>
      <c r="AK5222" s="284"/>
      <c r="AL5222" s="284"/>
    </row>
    <row r="5223" ht="15.75" customHeight="1">
      <c r="A5223" s="394"/>
      <c r="B5223" s="395"/>
      <c r="C5223" s="395"/>
      <c r="D5223" s="396"/>
      <c r="E5223" s="397"/>
      <c r="F5223" s="395"/>
      <c r="G5223" s="395"/>
      <c r="H5223" s="397"/>
      <c r="I5223" s="395"/>
      <c r="J5223" s="395"/>
      <c r="K5223" s="397"/>
      <c r="L5223" s="395"/>
      <c r="M5223" s="395"/>
      <c r="N5223" s="395"/>
      <c r="O5223" s="397"/>
      <c r="P5223" s="395"/>
      <c r="Q5223" s="395"/>
      <c r="R5223" s="353"/>
      <c r="S5223" s="185"/>
      <c r="T5223" s="185"/>
      <c r="U5223" s="185"/>
      <c r="V5223" s="185"/>
      <c r="W5223" s="185"/>
      <c r="X5223" s="185"/>
      <c r="Y5223" s="284"/>
      <c r="Z5223" s="284"/>
      <c r="AA5223" s="284"/>
      <c r="AB5223" s="284"/>
      <c r="AC5223" s="284"/>
      <c r="AD5223" s="284"/>
      <c r="AE5223" s="284"/>
      <c r="AF5223" s="284"/>
      <c r="AG5223" s="284"/>
      <c r="AH5223" s="284"/>
      <c r="AI5223" s="284"/>
      <c r="AJ5223" s="284"/>
      <c r="AK5223" s="284"/>
      <c r="AL5223" s="284"/>
    </row>
    <row r="5224" ht="15.75" customHeight="1">
      <c r="A5224" s="394"/>
      <c r="B5224" s="395"/>
      <c r="C5224" s="395"/>
      <c r="D5224" s="396"/>
      <c r="E5224" s="397"/>
      <c r="F5224" s="395"/>
      <c r="G5224" s="395"/>
      <c r="H5224" s="397"/>
      <c r="I5224" s="395"/>
      <c r="J5224" s="395"/>
      <c r="K5224" s="397"/>
      <c r="L5224" s="395"/>
      <c r="M5224" s="395"/>
      <c r="N5224" s="395"/>
      <c r="O5224" s="397"/>
      <c r="P5224" s="395"/>
      <c r="Q5224" s="395"/>
      <c r="R5224" s="353"/>
      <c r="S5224" s="185"/>
      <c r="T5224" s="185"/>
      <c r="U5224" s="185"/>
      <c r="V5224" s="185"/>
      <c r="W5224" s="185"/>
      <c r="X5224" s="185"/>
      <c r="Y5224" s="284"/>
      <c r="Z5224" s="284"/>
      <c r="AA5224" s="284"/>
      <c r="AB5224" s="284"/>
      <c r="AC5224" s="284"/>
      <c r="AD5224" s="284"/>
      <c r="AE5224" s="284"/>
      <c r="AF5224" s="284"/>
      <c r="AG5224" s="284"/>
      <c r="AH5224" s="284"/>
      <c r="AI5224" s="284"/>
      <c r="AJ5224" s="284"/>
      <c r="AK5224" s="284"/>
      <c r="AL5224" s="284"/>
    </row>
    <row r="5225" ht="15.75" customHeight="1">
      <c r="A5225" s="394"/>
      <c r="B5225" s="395"/>
      <c r="C5225" s="395"/>
      <c r="D5225" s="396"/>
      <c r="E5225" s="397"/>
      <c r="F5225" s="395"/>
      <c r="G5225" s="395"/>
      <c r="H5225" s="397"/>
      <c r="I5225" s="395"/>
      <c r="J5225" s="395"/>
      <c r="K5225" s="397"/>
      <c r="L5225" s="395"/>
      <c r="M5225" s="395"/>
      <c r="N5225" s="395"/>
      <c r="O5225" s="397"/>
      <c r="P5225" s="395"/>
      <c r="Q5225" s="395"/>
      <c r="R5225" s="353"/>
      <c r="S5225" s="185"/>
      <c r="T5225" s="185"/>
      <c r="U5225" s="185"/>
      <c r="V5225" s="185"/>
      <c r="W5225" s="185"/>
      <c r="X5225" s="185"/>
      <c r="Y5225" s="284"/>
      <c r="Z5225" s="284"/>
      <c r="AA5225" s="284"/>
      <c r="AB5225" s="284"/>
      <c r="AC5225" s="284"/>
      <c r="AD5225" s="284"/>
      <c r="AE5225" s="284"/>
      <c r="AF5225" s="284"/>
      <c r="AG5225" s="284"/>
      <c r="AH5225" s="284"/>
      <c r="AI5225" s="284"/>
      <c r="AJ5225" s="284"/>
      <c r="AK5225" s="284"/>
      <c r="AL5225" s="284"/>
    </row>
    <row r="5226" ht="15.75" customHeight="1">
      <c r="A5226" s="394"/>
      <c r="B5226" s="395"/>
      <c r="C5226" s="395"/>
      <c r="D5226" s="396"/>
      <c r="E5226" s="397"/>
      <c r="F5226" s="395"/>
      <c r="G5226" s="395"/>
      <c r="H5226" s="397"/>
      <c r="I5226" s="395"/>
      <c r="J5226" s="395"/>
      <c r="K5226" s="397"/>
      <c r="L5226" s="395"/>
      <c r="M5226" s="395"/>
      <c r="N5226" s="395"/>
      <c r="O5226" s="397"/>
      <c r="P5226" s="395"/>
      <c r="Q5226" s="395"/>
      <c r="R5226" s="353"/>
      <c r="S5226" s="185"/>
      <c r="T5226" s="185"/>
      <c r="U5226" s="185"/>
      <c r="V5226" s="185"/>
      <c r="W5226" s="185"/>
      <c r="X5226" s="185"/>
      <c r="Y5226" s="284"/>
      <c r="Z5226" s="284"/>
      <c r="AA5226" s="284"/>
      <c r="AB5226" s="284"/>
      <c r="AC5226" s="284"/>
      <c r="AD5226" s="284"/>
      <c r="AE5226" s="284"/>
      <c r="AF5226" s="284"/>
      <c r="AG5226" s="284"/>
      <c r="AH5226" s="284"/>
      <c r="AI5226" s="284"/>
      <c r="AJ5226" s="284"/>
      <c r="AK5226" s="284"/>
      <c r="AL5226" s="284"/>
    </row>
    <row r="5227" ht="15.75" customHeight="1">
      <c r="A5227" s="394"/>
      <c r="B5227" s="395"/>
      <c r="C5227" s="395"/>
      <c r="D5227" s="396"/>
      <c r="E5227" s="397"/>
      <c r="F5227" s="395"/>
      <c r="G5227" s="395"/>
      <c r="H5227" s="397"/>
      <c r="I5227" s="395"/>
      <c r="J5227" s="395"/>
      <c r="K5227" s="397"/>
      <c r="L5227" s="395"/>
      <c r="M5227" s="395"/>
      <c r="N5227" s="395"/>
      <c r="O5227" s="397"/>
      <c r="P5227" s="395"/>
      <c r="Q5227" s="395"/>
      <c r="R5227" s="353"/>
      <c r="S5227" s="185"/>
      <c r="T5227" s="185"/>
      <c r="U5227" s="185"/>
      <c r="V5227" s="185"/>
      <c r="W5227" s="185"/>
      <c r="X5227" s="185"/>
      <c r="Y5227" s="284"/>
      <c r="Z5227" s="284"/>
      <c r="AA5227" s="284"/>
      <c r="AB5227" s="284"/>
      <c r="AC5227" s="284"/>
      <c r="AD5227" s="284"/>
      <c r="AE5227" s="284"/>
      <c r="AF5227" s="284"/>
      <c r="AG5227" s="284"/>
      <c r="AH5227" s="284"/>
      <c r="AI5227" s="284"/>
      <c r="AJ5227" s="284"/>
      <c r="AK5227" s="284"/>
      <c r="AL5227" s="284"/>
    </row>
    <row r="5228" ht="15.75" customHeight="1">
      <c r="A5228" s="394"/>
      <c r="B5228" s="395"/>
      <c r="C5228" s="395"/>
      <c r="D5228" s="396"/>
      <c r="E5228" s="397"/>
      <c r="F5228" s="395"/>
      <c r="G5228" s="395"/>
      <c r="H5228" s="397"/>
      <c r="I5228" s="395"/>
      <c r="J5228" s="395"/>
      <c r="K5228" s="397"/>
      <c r="L5228" s="395"/>
      <c r="M5228" s="395"/>
      <c r="N5228" s="395"/>
      <c r="O5228" s="397"/>
      <c r="P5228" s="395"/>
      <c r="Q5228" s="395"/>
      <c r="R5228" s="353"/>
      <c r="S5228" s="185"/>
      <c r="T5228" s="185"/>
      <c r="U5228" s="185"/>
      <c r="V5228" s="185"/>
      <c r="W5228" s="185"/>
      <c r="X5228" s="185"/>
      <c r="Y5228" s="284"/>
      <c r="Z5228" s="284"/>
      <c r="AA5228" s="284"/>
      <c r="AB5228" s="284"/>
      <c r="AC5228" s="284"/>
      <c r="AD5228" s="284"/>
      <c r="AE5228" s="284"/>
      <c r="AF5228" s="284"/>
      <c r="AG5228" s="284"/>
      <c r="AH5228" s="284"/>
      <c r="AI5228" s="284"/>
      <c r="AJ5228" s="284"/>
      <c r="AK5228" s="284"/>
      <c r="AL5228" s="284"/>
    </row>
    <row r="5229" ht="15.75" customHeight="1">
      <c r="A5229" s="394"/>
      <c r="B5229" s="395"/>
      <c r="C5229" s="395"/>
      <c r="D5229" s="396"/>
      <c r="E5229" s="397"/>
      <c r="F5229" s="395"/>
      <c r="G5229" s="395"/>
      <c r="H5229" s="397"/>
      <c r="I5229" s="395"/>
      <c r="J5229" s="395"/>
      <c r="K5229" s="397"/>
      <c r="L5229" s="395"/>
      <c r="M5229" s="395"/>
      <c r="N5229" s="395"/>
      <c r="O5229" s="397"/>
      <c r="P5229" s="395"/>
      <c r="Q5229" s="395"/>
      <c r="R5229" s="353"/>
      <c r="S5229" s="185"/>
      <c r="T5229" s="185"/>
      <c r="U5229" s="185"/>
      <c r="V5229" s="185"/>
      <c r="W5229" s="185"/>
      <c r="X5229" s="185"/>
      <c r="Y5229" s="284"/>
      <c r="Z5229" s="284"/>
      <c r="AA5229" s="284"/>
      <c r="AB5229" s="284"/>
      <c r="AC5229" s="284"/>
      <c r="AD5229" s="284"/>
      <c r="AE5229" s="284"/>
      <c r="AF5229" s="284"/>
      <c r="AG5229" s="284"/>
      <c r="AH5229" s="284"/>
      <c r="AI5229" s="284"/>
      <c r="AJ5229" s="284"/>
      <c r="AK5229" s="284"/>
      <c r="AL5229" s="284"/>
    </row>
    <row r="5230" ht="15.75" customHeight="1">
      <c r="A5230" s="394"/>
      <c r="B5230" s="395"/>
      <c r="C5230" s="395"/>
      <c r="D5230" s="396"/>
      <c r="E5230" s="397"/>
      <c r="F5230" s="395"/>
      <c r="G5230" s="395"/>
      <c r="H5230" s="397"/>
      <c r="I5230" s="395"/>
      <c r="J5230" s="395"/>
      <c r="K5230" s="397"/>
      <c r="L5230" s="395"/>
      <c r="M5230" s="395"/>
      <c r="N5230" s="395"/>
      <c r="O5230" s="397"/>
      <c r="P5230" s="395"/>
      <c r="Q5230" s="395"/>
      <c r="R5230" s="353"/>
      <c r="S5230" s="185"/>
      <c r="T5230" s="185"/>
      <c r="U5230" s="185"/>
      <c r="V5230" s="185"/>
      <c r="W5230" s="185"/>
      <c r="X5230" s="185"/>
      <c r="Y5230" s="284"/>
      <c r="Z5230" s="284"/>
      <c r="AA5230" s="284"/>
      <c r="AB5230" s="284"/>
      <c r="AC5230" s="284"/>
      <c r="AD5230" s="284"/>
      <c r="AE5230" s="284"/>
      <c r="AF5230" s="284"/>
      <c r="AG5230" s="284"/>
      <c r="AH5230" s="284"/>
      <c r="AI5230" s="284"/>
      <c r="AJ5230" s="284"/>
      <c r="AK5230" s="284"/>
      <c r="AL5230" s="284"/>
    </row>
    <row r="5231" ht="15.75" customHeight="1">
      <c r="A5231" s="394"/>
      <c r="B5231" s="395"/>
      <c r="C5231" s="395"/>
      <c r="D5231" s="396"/>
      <c r="E5231" s="397"/>
      <c r="F5231" s="395"/>
      <c r="G5231" s="395"/>
      <c r="H5231" s="397"/>
      <c r="I5231" s="395"/>
      <c r="J5231" s="395"/>
      <c r="K5231" s="397"/>
      <c r="L5231" s="395"/>
      <c r="M5231" s="395"/>
      <c r="N5231" s="395"/>
      <c r="O5231" s="397"/>
      <c r="P5231" s="395"/>
      <c r="Q5231" s="395"/>
      <c r="R5231" s="353"/>
      <c r="S5231" s="185"/>
      <c r="T5231" s="185"/>
      <c r="U5231" s="185"/>
      <c r="V5231" s="185"/>
      <c r="W5231" s="185"/>
      <c r="X5231" s="185"/>
      <c r="Y5231" s="284"/>
      <c r="Z5231" s="284"/>
      <c r="AA5231" s="284"/>
      <c r="AB5231" s="284"/>
      <c r="AC5231" s="284"/>
      <c r="AD5231" s="284"/>
      <c r="AE5231" s="284"/>
      <c r="AF5231" s="284"/>
      <c r="AG5231" s="284"/>
      <c r="AH5231" s="284"/>
      <c r="AI5231" s="284"/>
      <c r="AJ5231" s="284"/>
      <c r="AK5231" s="284"/>
      <c r="AL5231" s="284"/>
    </row>
  </sheetData>
  <autoFilter ref="$A$5:$R$4243">
    <filterColumn colId="14">
      <filters>
        <filter val="11a"/>
        <filter val="11b"/>
        <filter val="R. Perpus"/>
        <filter val="11:a"/>
        <filter val="10:a"/>
        <filter val="R. Perpustakaan"/>
        <filter val="R. Perpustakaam"/>
        <filter val="4:a"/>
        <filter val="4:b"/>
        <filter val="30"/>
        <filter val="11:b"/>
        <filter val="10"/>
        <filter val="11"/>
        <filter val="12"/>
        <filter val="5/10"/>
        <filter val="13"/>
        <filter val="10a"/>
        <filter val="14"/>
        <filter val="15"/>
        <filter val="16"/>
        <filter val="17"/>
        <filter val="18"/>
        <filter val="4a"/>
        <filter val="4b"/>
        <filter val="11:A"/>
        <filter val="121"/>
        <filter val="10:A"/>
        <filter val="Lokasi"/>
        <filter val="2"/>
        <filter val="3"/>
        <filter val="4"/>
        <filter val="5"/>
        <filter val="6"/>
        <filter val="v"/>
        <filter val="7"/>
        <filter val="R.Perpustakaan"/>
        <filter val="8"/>
        <filter val="9"/>
        <filter val="4:A"/>
        <filter val="4: A"/>
        <filter val="11:B"/>
      </filters>
    </filterColumn>
    <sortState ref="A5:R4243">
      <sortCondition descending="1" sortBy="cellColor" ref="B5:B4243" dxfId="1"/>
    </sortState>
  </autoFilter>
  <mergeCells count="6">
    <mergeCell ref="A1:P1"/>
    <mergeCell ref="B2:P2"/>
    <mergeCell ref="J3:L3"/>
    <mergeCell ref="N3:P3"/>
    <mergeCell ref="K5:L5"/>
    <mergeCell ref="A4245:O4245"/>
  </mergeCells>
  <hyperlinks>
    <hyperlink r:id="rId2" ref="L3162"/>
    <hyperlink r:id="rId3" ref="L3163"/>
    <hyperlink r:id="rId4" ref="L3172"/>
    <hyperlink r:id="rId5" ref="L3184"/>
  </hyperlinks>
  <printOptions/>
  <pageMargins bottom="0.7480314960629921" footer="0.0" header="0.0" left="0.7086614173228347" right="0.7086614173228347" top="0.7480314960629921"/>
  <pageSetup paperSize="5" scale="80" orientation="landscape"/>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F497A"/>
    <pageSetUpPr/>
  </sheetPr>
  <sheetViews>
    <sheetView workbookViewId="0"/>
  </sheetViews>
  <sheetFormatPr customHeight="1" defaultColWidth="14.43" defaultRowHeight="15.0"/>
  <cols>
    <col customWidth="1" min="1" max="1" width="4.71"/>
    <col customWidth="1" min="2" max="2" width="13.29"/>
    <col customWidth="1" min="3" max="3" width="9.57"/>
    <col customWidth="1" min="4" max="4" width="18.57"/>
    <col customWidth="1" min="5" max="5" width="8.86"/>
    <col customWidth="1" min="6" max="6" width="7.86"/>
    <col customWidth="1" min="7" max="7" width="8.71"/>
    <col customWidth="1" min="8" max="8" width="7.57"/>
    <col customWidth="1" min="9" max="9" width="9.0"/>
    <col customWidth="1" min="10" max="10" width="7.29"/>
    <col customWidth="1" min="11" max="11" width="12.43"/>
    <col customWidth="1" min="12" max="12" width="10.57"/>
    <col customWidth="1" min="13" max="13" width="16.71"/>
    <col customWidth="1" min="14" max="14" width="5.29"/>
    <col customWidth="1" min="15" max="15" width="11.43"/>
    <col customWidth="1" min="16" max="16" width="6.14"/>
    <col customWidth="1" min="17" max="18" width="8.71"/>
    <col customWidth="1" min="19" max="19" width="18.29"/>
    <col customWidth="1" min="20" max="26" width="8.71"/>
  </cols>
  <sheetData>
    <row r="1">
      <c r="A1" s="398" t="s">
        <v>0</v>
      </c>
      <c r="R1" s="3"/>
      <c r="S1" s="3"/>
      <c r="T1" s="3"/>
      <c r="U1" s="3"/>
      <c r="V1" s="3"/>
      <c r="W1" s="3"/>
      <c r="X1" s="3"/>
      <c r="Y1" s="3"/>
      <c r="Z1" s="3"/>
    </row>
    <row r="2">
      <c r="A2" s="399"/>
      <c r="B2" s="400" t="s">
        <v>1</v>
      </c>
      <c r="C2" s="6"/>
      <c r="D2" s="6"/>
      <c r="E2" s="6"/>
      <c r="F2" s="6"/>
      <c r="G2" s="6"/>
      <c r="H2" s="6"/>
      <c r="I2" s="6"/>
      <c r="J2" s="6"/>
      <c r="K2" s="6"/>
      <c r="L2" s="6"/>
      <c r="M2" s="6"/>
      <c r="N2" s="6"/>
      <c r="O2" s="6"/>
      <c r="P2" s="7"/>
      <c r="R2" s="3"/>
      <c r="S2" s="8" t="s">
        <v>2</v>
      </c>
      <c r="T2" s="3">
        <f>sum(Q6:Q122)</f>
        <v>112</v>
      </c>
      <c r="U2" s="3"/>
      <c r="V2" s="3"/>
      <c r="W2" s="3"/>
      <c r="X2" s="3"/>
      <c r="Y2" s="3"/>
      <c r="Z2" s="3"/>
    </row>
    <row r="3">
      <c r="A3" s="399"/>
      <c r="B3" s="401"/>
      <c r="C3" s="9"/>
      <c r="D3" s="402"/>
      <c r="E3" s="9"/>
      <c r="F3" s="403"/>
      <c r="G3" s="403"/>
      <c r="H3" s="403"/>
      <c r="I3" s="9"/>
      <c r="J3" s="12"/>
      <c r="L3" s="13"/>
      <c r="M3" s="14" t="s">
        <v>3</v>
      </c>
      <c r="N3" s="404" t="s">
        <v>13863</v>
      </c>
      <c r="O3" s="16"/>
      <c r="P3" s="17"/>
      <c r="R3" s="3"/>
      <c r="S3" s="3"/>
      <c r="T3" s="3"/>
      <c r="U3" s="3"/>
      <c r="V3" s="3"/>
      <c r="W3" s="3"/>
      <c r="X3" s="3"/>
      <c r="Y3" s="3"/>
      <c r="Z3" s="3"/>
    </row>
    <row r="4">
      <c r="A4" s="399"/>
      <c r="B4" s="405"/>
      <c r="C4" s="9"/>
      <c r="D4" s="402"/>
      <c r="E4" s="9"/>
      <c r="F4" s="403"/>
      <c r="G4" s="321"/>
      <c r="H4" s="403"/>
      <c r="I4" s="9"/>
      <c r="J4" s="403"/>
      <c r="K4" s="406"/>
      <c r="L4" s="407"/>
      <c r="M4" s="9"/>
      <c r="N4" s="403"/>
      <c r="O4" s="403"/>
      <c r="P4" s="408"/>
      <c r="R4" s="3"/>
      <c r="S4" s="3"/>
      <c r="T4" s="3"/>
      <c r="U4" s="3"/>
      <c r="V4" s="3"/>
      <c r="W4" s="3"/>
      <c r="X4" s="3"/>
      <c r="Y4" s="3"/>
      <c r="Z4" s="3"/>
    </row>
    <row r="5">
      <c r="A5" s="409" t="s">
        <v>13864</v>
      </c>
      <c r="B5" s="295" t="s">
        <v>13834</v>
      </c>
      <c r="C5" s="409" t="s">
        <v>10</v>
      </c>
      <c r="D5" s="409" t="s">
        <v>11</v>
      </c>
      <c r="E5" s="409" t="s">
        <v>12</v>
      </c>
      <c r="F5" s="409" t="s">
        <v>13</v>
      </c>
      <c r="G5" s="409" t="s">
        <v>14</v>
      </c>
      <c r="H5" s="409" t="s">
        <v>13835</v>
      </c>
      <c r="I5" s="409" t="s">
        <v>13865</v>
      </c>
      <c r="J5" s="409" t="s">
        <v>16</v>
      </c>
      <c r="K5" s="410" t="s">
        <v>13836</v>
      </c>
      <c r="L5" s="410" t="s">
        <v>13837</v>
      </c>
      <c r="M5" s="409" t="s">
        <v>18</v>
      </c>
      <c r="N5" s="409" t="s">
        <v>19</v>
      </c>
      <c r="O5" s="409" t="s">
        <v>20</v>
      </c>
      <c r="P5" s="409" t="s">
        <v>21</v>
      </c>
      <c r="Q5" s="411" t="s">
        <v>22</v>
      </c>
      <c r="R5" s="3"/>
      <c r="S5" s="3"/>
      <c r="T5" s="3"/>
      <c r="U5" s="3"/>
      <c r="V5" s="3"/>
      <c r="W5" s="3"/>
      <c r="X5" s="3"/>
      <c r="Y5" s="3"/>
      <c r="Z5" s="3"/>
    </row>
    <row r="6">
      <c r="A6" s="186"/>
      <c r="B6" s="31" t="s">
        <v>13866</v>
      </c>
      <c r="C6" s="191" t="s">
        <v>13867</v>
      </c>
      <c r="D6" s="191" t="s">
        <v>13868</v>
      </c>
      <c r="E6" s="186" t="s">
        <v>13869</v>
      </c>
      <c r="F6" s="186" t="s">
        <v>29</v>
      </c>
      <c r="G6" s="186" t="s">
        <v>30</v>
      </c>
      <c r="H6" s="186"/>
      <c r="I6" s="186" t="s">
        <v>7799</v>
      </c>
      <c r="J6" s="186">
        <v>227.0</v>
      </c>
      <c r="K6" s="412"/>
      <c r="L6" s="412" t="s">
        <v>13870</v>
      </c>
      <c r="M6" s="191" t="s">
        <v>544</v>
      </c>
      <c r="N6" s="186">
        <v>2018.0</v>
      </c>
      <c r="O6" s="191">
        <v>1.0</v>
      </c>
      <c r="P6" s="186">
        <v>1.0</v>
      </c>
      <c r="Q6" s="37">
        <v>1.0</v>
      </c>
      <c r="R6" s="149"/>
      <c r="S6" s="45"/>
      <c r="T6" s="45"/>
      <c r="U6" s="45"/>
      <c r="V6" s="45"/>
      <c r="W6" s="45"/>
      <c r="X6" s="45"/>
      <c r="Y6" s="45"/>
      <c r="Z6" s="45"/>
    </row>
    <row r="7" ht="82.5" customHeight="1">
      <c r="A7" s="413"/>
      <c r="B7" s="186" t="s">
        <v>13871</v>
      </c>
      <c r="C7" s="187" t="s">
        <v>13872</v>
      </c>
      <c r="D7" s="188" t="s">
        <v>13873</v>
      </c>
      <c r="E7" s="186" t="s">
        <v>13869</v>
      </c>
      <c r="F7" s="186" t="s">
        <v>29</v>
      </c>
      <c r="G7" s="186" t="s">
        <v>37</v>
      </c>
      <c r="H7" s="186"/>
      <c r="I7" s="186" t="s">
        <v>38</v>
      </c>
      <c r="J7" s="191">
        <v>704.0</v>
      </c>
      <c r="K7" s="186"/>
      <c r="L7" s="414" t="s">
        <v>31</v>
      </c>
      <c r="M7" s="186" t="s">
        <v>13874</v>
      </c>
      <c r="N7" s="191">
        <v>2004.0</v>
      </c>
      <c r="O7" s="191">
        <v>1.0</v>
      </c>
      <c r="P7" s="186">
        <v>1.0</v>
      </c>
      <c r="Q7" s="415">
        <v>1.0</v>
      </c>
      <c r="R7" s="416"/>
      <c r="S7" s="41"/>
      <c r="T7" s="41"/>
      <c r="U7" s="41"/>
      <c r="V7" s="41"/>
      <c r="W7" s="41"/>
      <c r="X7" s="41"/>
      <c r="Y7" s="41"/>
      <c r="Z7" s="41"/>
    </row>
    <row r="8">
      <c r="A8" s="413"/>
      <c r="B8" s="186" t="s">
        <v>13871</v>
      </c>
      <c r="C8" s="187" t="s">
        <v>13872</v>
      </c>
      <c r="D8" s="188" t="s">
        <v>13875</v>
      </c>
      <c r="E8" s="186" t="s">
        <v>13869</v>
      </c>
      <c r="F8" s="186" t="s">
        <v>29</v>
      </c>
      <c r="G8" s="186" t="s">
        <v>37</v>
      </c>
      <c r="H8" s="186"/>
      <c r="I8" s="186" t="s">
        <v>38</v>
      </c>
      <c r="J8" s="186">
        <v>649.0</v>
      </c>
      <c r="K8" s="186"/>
      <c r="L8" s="414" t="s">
        <v>31</v>
      </c>
      <c r="M8" s="186" t="s">
        <v>13874</v>
      </c>
      <c r="N8" s="186">
        <v>2004.0</v>
      </c>
      <c r="O8" s="191">
        <v>1.0</v>
      </c>
      <c r="P8" s="186">
        <v>1.0</v>
      </c>
      <c r="Q8" s="415">
        <v>1.0</v>
      </c>
      <c r="R8" s="416"/>
      <c r="S8" s="41"/>
      <c r="T8" s="41"/>
      <c r="U8" s="41"/>
      <c r="V8" s="41"/>
      <c r="W8" s="41"/>
      <c r="X8" s="41"/>
      <c r="Y8" s="41"/>
      <c r="Z8" s="41"/>
    </row>
    <row r="9">
      <c r="A9" s="186">
        <v>1.0</v>
      </c>
      <c r="B9" s="186" t="s">
        <v>13876</v>
      </c>
      <c r="C9" s="191" t="s">
        <v>13877</v>
      </c>
      <c r="D9" s="188" t="s">
        <v>13878</v>
      </c>
      <c r="E9" s="186" t="s">
        <v>13869</v>
      </c>
      <c r="F9" s="186" t="s">
        <v>29</v>
      </c>
      <c r="G9" s="186" t="s">
        <v>37</v>
      </c>
      <c r="H9" s="186"/>
      <c r="I9" s="186" t="s">
        <v>166</v>
      </c>
      <c r="J9" s="186">
        <v>1010.0</v>
      </c>
      <c r="K9" s="186"/>
      <c r="L9" s="186" t="s">
        <v>13879</v>
      </c>
      <c r="M9" s="186" t="s">
        <v>13880</v>
      </c>
      <c r="N9" s="186">
        <v>1982.0</v>
      </c>
      <c r="O9" s="191">
        <v>1.0</v>
      </c>
      <c r="P9" s="186">
        <v>3.0</v>
      </c>
      <c r="Q9" s="37">
        <v>3.0</v>
      </c>
      <c r="R9" s="149"/>
      <c r="S9" s="45"/>
      <c r="T9" s="45"/>
      <c r="U9" s="45"/>
      <c r="V9" s="45"/>
      <c r="W9" s="45"/>
      <c r="X9" s="45"/>
      <c r="Y9" s="45"/>
      <c r="Z9" s="45"/>
    </row>
    <row r="10">
      <c r="A10" s="186">
        <v>2.0</v>
      </c>
      <c r="B10" s="186" t="s">
        <v>13881</v>
      </c>
      <c r="C10" s="191" t="s">
        <v>13882</v>
      </c>
      <c r="D10" s="188" t="s">
        <v>13883</v>
      </c>
      <c r="E10" s="186" t="s">
        <v>13869</v>
      </c>
      <c r="F10" s="186" t="s">
        <v>29</v>
      </c>
      <c r="G10" s="186" t="s">
        <v>127</v>
      </c>
      <c r="H10" s="186"/>
      <c r="I10" s="186" t="s">
        <v>38</v>
      </c>
      <c r="J10" s="186">
        <v>1.199</v>
      </c>
      <c r="K10" s="186"/>
      <c r="L10" s="186" t="s">
        <v>13884</v>
      </c>
      <c r="M10" s="186" t="s">
        <v>13885</v>
      </c>
      <c r="N10" s="186">
        <v>1999.0</v>
      </c>
      <c r="O10" s="191">
        <v>1.0</v>
      </c>
      <c r="P10" s="186">
        <v>1.0</v>
      </c>
      <c r="Q10" s="37">
        <v>1.0</v>
      </c>
      <c r="R10" s="149"/>
      <c r="S10" s="45"/>
      <c r="T10" s="45"/>
      <c r="U10" s="45"/>
      <c r="V10" s="45"/>
      <c r="W10" s="45"/>
      <c r="X10" s="45"/>
      <c r="Y10" s="45"/>
      <c r="Z10" s="45"/>
    </row>
    <row r="11">
      <c r="A11" s="186">
        <v>3.0</v>
      </c>
      <c r="B11" s="186" t="s">
        <v>13886</v>
      </c>
      <c r="C11" s="191" t="s">
        <v>13887</v>
      </c>
      <c r="D11" s="188" t="s">
        <v>13888</v>
      </c>
      <c r="E11" s="186" t="s">
        <v>13869</v>
      </c>
      <c r="F11" s="186" t="s">
        <v>29</v>
      </c>
      <c r="G11" s="186" t="s">
        <v>37</v>
      </c>
      <c r="H11" s="186"/>
      <c r="I11" s="186" t="s">
        <v>38</v>
      </c>
      <c r="J11" s="186">
        <v>960.0</v>
      </c>
      <c r="K11" s="186"/>
      <c r="L11" s="186" t="s">
        <v>13889</v>
      </c>
      <c r="M11" s="186" t="s">
        <v>13890</v>
      </c>
      <c r="N11" s="186" t="s">
        <v>31</v>
      </c>
      <c r="O11" s="191">
        <v>1.0</v>
      </c>
      <c r="P11" s="186">
        <v>1.0</v>
      </c>
      <c r="Q11" s="37">
        <v>1.0</v>
      </c>
      <c r="R11" s="149"/>
      <c r="S11" s="45"/>
      <c r="T11" s="45"/>
      <c r="U11" s="45"/>
      <c r="V11" s="45"/>
      <c r="W11" s="45"/>
      <c r="X11" s="45"/>
      <c r="Y11" s="45"/>
      <c r="Z11" s="45"/>
    </row>
    <row r="12">
      <c r="A12" s="186">
        <v>14.0</v>
      </c>
      <c r="B12" s="186" t="s">
        <v>13891</v>
      </c>
      <c r="C12" s="191" t="s">
        <v>13892</v>
      </c>
      <c r="D12" s="188" t="s">
        <v>13893</v>
      </c>
      <c r="E12" s="186" t="s">
        <v>13869</v>
      </c>
      <c r="F12" s="186" t="s">
        <v>29</v>
      </c>
      <c r="G12" s="186" t="s">
        <v>37</v>
      </c>
      <c r="H12" s="186"/>
      <c r="I12" s="186" t="s">
        <v>38</v>
      </c>
      <c r="J12" s="186">
        <v>893.0</v>
      </c>
      <c r="K12" s="186"/>
      <c r="L12" s="186" t="s">
        <v>13894</v>
      </c>
      <c r="M12" s="186" t="s">
        <v>49</v>
      </c>
      <c r="N12" s="186">
        <v>1999.0</v>
      </c>
      <c r="O12" s="191">
        <v>1.0</v>
      </c>
      <c r="P12" s="186">
        <v>1.0</v>
      </c>
      <c r="Q12" s="37">
        <v>1.0</v>
      </c>
      <c r="R12" s="149"/>
      <c r="S12" s="45"/>
      <c r="T12" s="45"/>
      <c r="U12" s="45"/>
      <c r="V12" s="45"/>
      <c r="W12" s="45"/>
      <c r="X12" s="45"/>
      <c r="Y12" s="45"/>
      <c r="Z12" s="45"/>
    </row>
    <row r="13">
      <c r="A13" s="186">
        <v>15.0</v>
      </c>
      <c r="B13" s="186" t="s">
        <v>13895</v>
      </c>
      <c r="C13" s="186" t="s">
        <v>13896</v>
      </c>
      <c r="D13" s="188" t="s">
        <v>13897</v>
      </c>
      <c r="E13" s="186" t="s">
        <v>13869</v>
      </c>
      <c r="F13" s="186" t="s">
        <v>29</v>
      </c>
      <c r="G13" s="186" t="s">
        <v>37</v>
      </c>
      <c r="H13" s="186"/>
      <c r="I13" s="186" t="s">
        <v>38</v>
      </c>
      <c r="J13" s="186">
        <v>787.0</v>
      </c>
      <c r="K13" s="186"/>
      <c r="L13" s="186" t="s">
        <v>13894</v>
      </c>
      <c r="M13" s="186" t="s">
        <v>49</v>
      </c>
      <c r="N13" s="186">
        <v>2001.0</v>
      </c>
      <c r="O13" s="191">
        <v>1.0</v>
      </c>
      <c r="P13" s="186">
        <v>1.0</v>
      </c>
      <c r="Q13" s="37">
        <v>1.0</v>
      </c>
      <c r="R13" s="149"/>
      <c r="S13" s="45"/>
      <c r="T13" s="45"/>
      <c r="U13" s="45"/>
      <c r="V13" s="45"/>
      <c r="W13" s="45"/>
      <c r="X13" s="45"/>
      <c r="Y13" s="45"/>
      <c r="Z13" s="45"/>
    </row>
    <row r="14">
      <c r="A14" s="186">
        <v>16.0</v>
      </c>
      <c r="B14" s="186" t="s">
        <v>13898</v>
      </c>
      <c r="C14" s="186" t="s">
        <v>13896</v>
      </c>
      <c r="D14" s="188" t="s">
        <v>13899</v>
      </c>
      <c r="E14" s="186" t="s">
        <v>13869</v>
      </c>
      <c r="F14" s="186" t="s">
        <v>29</v>
      </c>
      <c r="G14" s="186" t="s">
        <v>37</v>
      </c>
      <c r="H14" s="186"/>
      <c r="I14" s="186" t="s">
        <v>38</v>
      </c>
      <c r="J14" s="186">
        <v>884.0</v>
      </c>
      <c r="K14" s="186"/>
      <c r="L14" s="186" t="s">
        <v>13894</v>
      </c>
      <c r="M14" s="186" t="s">
        <v>49</v>
      </c>
      <c r="N14" s="186">
        <v>2003.0</v>
      </c>
      <c r="O14" s="191">
        <v>1.0</v>
      </c>
      <c r="P14" s="186">
        <v>1.0</v>
      </c>
      <c r="Q14" s="37">
        <v>1.0</v>
      </c>
      <c r="R14" s="149"/>
      <c r="S14" s="45"/>
      <c r="T14" s="45"/>
      <c r="U14" s="45"/>
      <c r="V14" s="45"/>
      <c r="W14" s="45"/>
      <c r="X14" s="45"/>
      <c r="Y14" s="45"/>
      <c r="Z14" s="45"/>
    </row>
    <row r="15">
      <c r="A15" s="186">
        <v>17.0</v>
      </c>
      <c r="B15" s="186" t="s">
        <v>13900</v>
      </c>
      <c r="C15" s="186" t="s">
        <v>13901</v>
      </c>
      <c r="D15" s="188" t="s">
        <v>13902</v>
      </c>
      <c r="E15" s="186" t="s">
        <v>13869</v>
      </c>
      <c r="F15" s="186" t="s">
        <v>29</v>
      </c>
      <c r="G15" s="186" t="s">
        <v>37</v>
      </c>
      <c r="H15" s="186"/>
      <c r="I15" s="186" t="s">
        <v>38</v>
      </c>
      <c r="J15" s="186">
        <v>952.0</v>
      </c>
      <c r="K15" s="186"/>
      <c r="L15" s="186" t="s">
        <v>13894</v>
      </c>
      <c r="M15" s="186" t="s">
        <v>49</v>
      </c>
      <c r="N15" s="186">
        <v>2005.0</v>
      </c>
      <c r="O15" s="191">
        <v>1.0</v>
      </c>
      <c r="P15" s="186">
        <v>1.0</v>
      </c>
      <c r="Q15" s="37">
        <v>1.0</v>
      </c>
      <c r="R15" s="149"/>
      <c r="S15" s="45"/>
      <c r="T15" s="45"/>
      <c r="U15" s="45"/>
      <c r="V15" s="45"/>
      <c r="W15" s="45"/>
      <c r="X15" s="45"/>
      <c r="Y15" s="45"/>
      <c r="Z15" s="45"/>
    </row>
    <row r="16">
      <c r="A16" s="186">
        <v>18.0</v>
      </c>
      <c r="B16" s="186" t="s">
        <v>13903</v>
      </c>
      <c r="C16" s="186" t="s">
        <v>13904</v>
      </c>
      <c r="D16" s="188" t="s">
        <v>13905</v>
      </c>
      <c r="E16" s="186" t="s">
        <v>13869</v>
      </c>
      <c r="F16" s="186" t="s">
        <v>29</v>
      </c>
      <c r="G16" s="186" t="s">
        <v>37</v>
      </c>
      <c r="H16" s="186"/>
      <c r="I16" s="186" t="s">
        <v>38</v>
      </c>
      <c r="J16" s="186">
        <v>866.0</v>
      </c>
      <c r="K16" s="186"/>
      <c r="L16" s="186" t="s">
        <v>13894</v>
      </c>
      <c r="M16" s="186" t="s">
        <v>49</v>
      </c>
      <c r="N16" s="186">
        <v>2008.0</v>
      </c>
      <c r="O16" s="191">
        <v>1.0</v>
      </c>
      <c r="P16" s="186">
        <v>1.0</v>
      </c>
      <c r="Q16" s="37">
        <v>1.0</v>
      </c>
      <c r="R16" s="149"/>
      <c r="S16" s="45"/>
      <c r="T16" s="45"/>
      <c r="U16" s="45"/>
      <c r="V16" s="45"/>
      <c r="W16" s="45"/>
      <c r="X16" s="45"/>
      <c r="Y16" s="45"/>
      <c r="Z16" s="45"/>
    </row>
    <row r="17">
      <c r="A17" s="417"/>
      <c r="B17" s="417" t="s">
        <v>13906</v>
      </c>
      <c r="C17" s="417" t="s">
        <v>13907</v>
      </c>
      <c r="D17" s="418" t="s">
        <v>13908</v>
      </c>
      <c r="E17" s="417" t="s">
        <v>13869</v>
      </c>
      <c r="F17" s="417" t="s">
        <v>29</v>
      </c>
      <c r="G17" s="417" t="s">
        <v>30</v>
      </c>
      <c r="H17" s="417"/>
      <c r="I17" s="417" t="s">
        <v>30</v>
      </c>
      <c r="J17" s="417">
        <v>666.0</v>
      </c>
      <c r="K17" s="417"/>
      <c r="L17" s="417" t="s">
        <v>13909</v>
      </c>
      <c r="M17" s="417" t="s">
        <v>544</v>
      </c>
      <c r="N17" s="417">
        <v>1999.0</v>
      </c>
      <c r="O17" s="417" t="s">
        <v>388</v>
      </c>
      <c r="P17" s="417">
        <v>2.0</v>
      </c>
      <c r="Q17" s="419"/>
      <c r="R17" s="149"/>
      <c r="S17" s="45"/>
      <c r="T17" s="45"/>
      <c r="U17" s="45"/>
      <c r="V17" s="45"/>
      <c r="W17" s="45"/>
      <c r="X17" s="45"/>
      <c r="Y17" s="45"/>
      <c r="Z17" s="45"/>
    </row>
    <row r="18">
      <c r="A18" s="417"/>
      <c r="B18" s="417" t="s">
        <v>13906</v>
      </c>
      <c r="C18" s="417" t="s">
        <v>13907</v>
      </c>
      <c r="D18" s="418" t="s">
        <v>13910</v>
      </c>
      <c r="E18" s="417" t="s">
        <v>13869</v>
      </c>
      <c r="F18" s="417" t="s">
        <v>29</v>
      </c>
      <c r="G18" s="417" t="s">
        <v>30</v>
      </c>
      <c r="H18" s="417"/>
      <c r="I18" s="417" t="s">
        <v>30</v>
      </c>
      <c r="J18" s="417">
        <v>666.0</v>
      </c>
      <c r="K18" s="417"/>
      <c r="L18" s="417" t="s">
        <v>13909</v>
      </c>
      <c r="M18" s="417" t="s">
        <v>544</v>
      </c>
      <c r="N18" s="417">
        <v>1999.0</v>
      </c>
      <c r="O18" s="417" t="s">
        <v>388</v>
      </c>
      <c r="P18" s="417">
        <v>2.0</v>
      </c>
      <c r="Q18" s="419"/>
      <c r="R18" s="149"/>
      <c r="S18" s="45"/>
      <c r="T18" s="45"/>
      <c r="U18" s="45"/>
      <c r="V18" s="45"/>
      <c r="W18" s="45"/>
      <c r="X18" s="45"/>
      <c r="Y18" s="45"/>
      <c r="Z18" s="45"/>
    </row>
    <row r="19">
      <c r="A19" s="186"/>
      <c r="B19" s="186"/>
      <c r="C19" s="191" t="s">
        <v>13911</v>
      </c>
      <c r="D19" s="188" t="s">
        <v>13912</v>
      </c>
      <c r="E19" s="186" t="s">
        <v>13869</v>
      </c>
      <c r="F19" s="186" t="s">
        <v>29</v>
      </c>
      <c r="G19" s="186" t="s">
        <v>131</v>
      </c>
      <c r="H19" s="186"/>
      <c r="I19" s="186" t="s">
        <v>131</v>
      </c>
      <c r="J19" s="186">
        <v>844.0</v>
      </c>
      <c r="K19" s="186"/>
      <c r="L19" s="186" t="s">
        <v>13913</v>
      </c>
      <c r="M19" s="186" t="s">
        <v>13914</v>
      </c>
      <c r="N19" s="186"/>
      <c r="O19" s="191">
        <v>1.0</v>
      </c>
      <c r="P19" s="186">
        <v>1.0</v>
      </c>
      <c r="Q19" s="37">
        <v>1.0</v>
      </c>
      <c r="R19" s="149"/>
      <c r="S19" s="45"/>
      <c r="T19" s="45"/>
      <c r="U19" s="45"/>
      <c r="V19" s="45"/>
      <c r="W19" s="45"/>
      <c r="X19" s="45"/>
      <c r="Y19" s="45"/>
      <c r="Z19" s="45"/>
    </row>
    <row r="20">
      <c r="A20" s="322"/>
      <c r="B20" s="322" t="s">
        <v>13915</v>
      </c>
      <c r="C20" s="322" t="s">
        <v>13916</v>
      </c>
      <c r="D20" s="420" t="s">
        <v>13917</v>
      </c>
      <c r="E20" s="322" t="s">
        <v>13869</v>
      </c>
      <c r="F20" s="322" t="s">
        <v>29</v>
      </c>
      <c r="G20" s="322" t="s">
        <v>30</v>
      </c>
      <c r="H20" s="322"/>
      <c r="I20" s="322" t="s">
        <v>30</v>
      </c>
      <c r="J20" s="322">
        <v>684.0</v>
      </c>
      <c r="K20" s="322"/>
      <c r="L20" s="322" t="s">
        <v>8626</v>
      </c>
      <c r="M20" s="322" t="s">
        <v>161</v>
      </c>
      <c r="N20" s="322">
        <v>1990.0</v>
      </c>
      <c r="O20" s="322" t="s">
        <v>388</v>
      </c>
      <c r="P20" s="322">
        <v>1.0</v>
      </c>
      <c r="Q20" s="307"/>
      <c r="R20" s="149"/>
      <c r="S20" s="45"/>
      <c r="T20" s="45"/>
      <c r="U20" s="45"/>
      <c r="V20" s="45"/>
      <c r="W20" s="45"/>
      <c r="X20" s="45"/>
      <c r="Y20" s="45"/>
      <c r="Z20" s="45"/>
    </row>
    <row r="21" ht="15.75" customHeight="1">
      <c r="A21" s="186">
        <v>5.0</v>
      </c>
      <c r="B21" s="186" t="s">
        <v>31</v>
      </c>
      <c r="C21" s="191" t="s">
        <v>13918</v>
      </c>
      <c r="D21" s="188" t="s">
        <v>13919</v>
      </c>
      <c r="E21" s="186" t="s">
        <v>13869</v>
      </c>
      <c r="F21" s="186" t="s">
        <v>29</v>
      </c>
      <c r="G21" s="186" t="s">
        <v>30</v>
      </c>
      <c r="H21" s="186"/>
      <c r="I21" s="186" t="s">
        <v>30</v>
      </c>
      <c r="J21" s="186">
        <v>156.0</v>
      </c>
      <c r="K21" s="186"/>
      <c r="L21" s="186" t="s">
        <v>13920</v>
      </c>
      <c r="M21" s="186" t="s">
        <v>4877</v>
      </c>
      <c r="N21" s="186">
        <v>2000.0</v>
      </c>
      <c r="O21" s="191">
        <v>1.0</v>
      </c>
      <c r="P21" s="186">
        <v>2.0</v>
      </c>
      <c r="Q21" s="37">
        <v>2.0</v>
      </c>
      <c r="R21" s="149"/>
      <c r="S21" s="45"/>
      <c r="T21" s="45"/>
      <c r="U21" s="45"/>
      <c r="V21" s="45"/>
      <c r="W21" s="45"/>
      <c r="X21" s="45"/>
      <c r="Y21" s="45"/>
      <c r="Z21" s="45"/>
    </row>
    <row r="22" ht="15.75" customHeight="1">
      <c r="A22" s="186">
        <v>6.0</v>
      </c>
      <c r="B22" s="186" t="s">
        <v>13552</v>
      </c>
      <c r="C22" s="191" t="s">
        <v>13918</v>
      </c>
      <c r="D22" s="188" t="s">
        <v>13921</v>
      </c>
      <c r="E22" s="186" t="s">
        <v>13869</v>
      </c>
      <c r="F22" s="186" t="s">
        <v>29</v>
      </c>
      <c r="G22" s="186" t="s">
        <v>30</v>
      </c>
      <c r="H22" s="186"/>
      <c r="I22" s="186" t="s">
        <v>30</v>
      </c>
      <c r="J22" s="186">
        <v>168.0</v>
      </c>
      <c r="K22" s="186"/>
      <c r="L22" s="186" t="s">
        <v>13920</v>
      </c>
      <c r="M22" s="186" t="s">
        <v>4877</v>
      </c>
      <c r="N22" s="186">
        <v>2003.0</v>
      </c>
      <c r="O22" s="191">
        <v>1.0</v>
      </c>
      <c r="P22" s="186">
        <v>1.0</v>
      </c>
      <c r="Q22" s="37">
        <v>1.0</v>
      </c>
      <c r="R22" s="149"/>
      <c r="S22" s="45"/>
      <c r="T22" s="45"/>
      <c r="U22" s="45"/>
      <c r="V22" s="45"/>
      <c r="W22" s="45"/>
      <c r="X22" s="45"/>
      <c r="Y22" s="45"/>
      <c r="Z22" s="45"/>
    </row>
    <row r="23" ht="15.75" customHeight="1">
      <c r="A23" s="421">
        <v>7.0</v>
      </c>
      <c r="B23" s="421" t="s">
        <v>13922</v>
      </c>
      <c r="C23" s="422" t="s">
        <v>13923</v>
      </c>
      <c r="D23" s="423" t="s">
        <v>13924</v>
      </c>
      <c r="E23" s="421" t="s">
        <v>13869</v>
      </c>
      <c r="F23" s="421" t="s">
        <v>29</v>
      </c>
      <c r="G23" s="421" t="s">
        <v>38</v>
      </c>
      <c r="H23" s="421"/>
      <c r="I23" s="421" t="s">
        <v>30</v>
      </c>
      <c r="J23" s="421">
        <v>128.0</v>
      </c>
      <c r="K23" s="421"/>
      <c r="L23" s="421" t="s">
        <v>13925</v>
      </c>
      <c r="M23" s="421" t="s">
        <v>161</v>
      </c>
      <c r="N23" s="421">
        <v>2009.0</v>
      </c>
      <c r="O23" s="422">
        <v>1.0</v>
      </c>
      <c r="P23" s="421">
        <v>1.0</v>
      </c>
      <c r="Q23" s="112">
        <v>1.0</v>
      </c>
      <c r="R23" s="424"/>
      <c r="S23" s="425"/>
      <c r="T23" s="425"/>
      <c r="U23" s="425"/>
      <c r="V23" s="425"/>
      <c r="W23" s="425"/>
      <c r="X23" s="425"/>
      <c r="Y23" s="425"/>
      <c r="Z23" s="425"/>
    </row>
    <row r="24" ht="15.75" customHeight="1">
      <c r="A24" s="186">
        <v>8.0</v>
      </c>
      <c r="B24" s="186" t="s">
        <v>31</v>
      </c>
      <c r="C24" s="186" t="s">
        <v>13926</v>
      </c>
      <c r="D24" s="35" t="s">
        <v>13927</v>
      </c>
      <c r="E24" s="186" t="s">
        <v>13869</v>
      </c>
      <c r="F24" s="186" t="s">
        <v>29</v>
      </c>
      <c r="G24" s="186" t="s">
        <v>30</v>
      </c>
      <c r="H24" s="186"/>
      <c r="I24" s="186" t="s">
        <v>30</v>
      </c>
      <c r="J24" s="186">
        <v>864.0</v>
      </c>
      <c r="K24" s="186"/>
      <c r="L24" s="186" t="s">
        <v>13928</v>
      </c>
      <c r="M24" s="186" t="s">
        <v>13929</v>
      </c>
      <c r="N24" s="186">
        <v>2001.0</v>
      </c>
      <c r="O24" s="191">
        <v>1.0</v>
      </c>
      <c r="P24" s="186">
        <v>1.0</v>
      </c>
      <c r="Q24" s="37">
        <v>1.0</v>
      </c>
      <c r="R24" s="149"/>
      <c r="S24" s="45"/>
      <c r="T24" s="45"/>
      <c r="U24" s="45"/>
      <c r="V24" s="45"/>
      <c r="W24" s="45"/>
      <c r="X24" s="45"/>
      <c r="Y24" s="45"/>
      <c r="Z24" s="45"/>
    </row>
    <row r="25" ht="15.75" customHeight="1">
      <c r="A25" s="186">
        <v>9.0</v>
      </c>
      <c r="B25" s="186" t="s">
        <v>31</v>
      </c>
      <c r="C25" s="186" t="s">
        <v>13926</v>
      </c>
      <c r="D25" s="35" t="s">
        <v>13930</v>
      </c>
      <c r="E25" s="186" t="s">
        <v>13869</v>
      </c>
      <c r="F25" s="186" t="s">
        <v>29</v>
      </c>
      <c r="G25" s="186" t="s">
        <v>30</v>
      </c>
      <c r="H25" s="186"/>
      <c r="I25" s="186" t="s">
        <v>30</v>
      </c>
      <c r="J25" s="186">
        <v>761.0</v>
      </c>
      <c r="K25" s="186"/>
      <c r="L25" s="186" t="s">
        <v>13931</v>
      </c>
      <c r="M25" s="186" t="s">
        <v>13929</v>
      </c>
      <c r="N25" s="186">
        <v>2004.0</v>
      </c>
      <c r="O25" s="191">
        <v>1.0</v>
      </c>
      <c r="P25" s="191">
        <v>3.0</v>
      </c>
      <c r="Q25" s="37">
        <v>3.0</v>
      </c>
      <c r="R25" s="149"/>
      <c r="S25" s="45"/>
      <c r="T25" s="45"/>
      <c r="U25" s="45"/>
      <c r="V25" s="45"/>
      <c r="W25" s="45"/>
      <c r="X25" s="45"/>
      <c r="Y25" s="45"/>
      <c r="Z25" s="45"/>
    </row>
    <row r="26" ht="15.75" customHeight="1">
      <c r="A26" s="186">
        <v>10.0</v>
      </c>
      <c r="B26" s="186" t="s">
        <v>31</v>
      </c>
      <c r="C26" s="191" t="s">
        <v>13932</v>
      </c>
      <c r="D26" s="188" t="s">
        <v>13933</v>
      </c>
      <c r="E26" s="186" t="s">
        <v>13869</v>
      </c>
      <c r="F26" s="186" t="s">
        <v>29</v>
      </c>
      <c r="G26" s="186" t="s">
        <v>30</v>
      </c>
      <c r="H26" s="186"/>
      <c r="I26" s="186" t="s">
        <v>30</v>
      </c>
      <c r="J26" s="186">
        <v>355.0</v>
      </c>
      <c r="K26" s="186"/>
      <c r="L26" s="186" t="s">
        <v>13934</v>
      </c>
      <c r="M26" s="426" t="s">
        <v>11894</v>
      </c>
      <c r="N26" s="186">
        <v>2002.0</v>
      </c>
      <c r="O26" s="191">
        <v>1.0</v>
      </c>
      <c r="P26" s="186">
        <v>1.0</v>
      </c>
      <c r="Q26" s="37">
        <v>1.0</v>
      </c>
      <c r="R26" s="149"/>
      <c r="S26" s="45"/>
      <c r="T26" s="45"/>
      <c r="U26" s="45"/>
      <c r="V26" s="45"/>
      <c r="W26" s="45"/>
      <c r="X26" s="45"/>
      <c r="Y26" s="45"/>
      <c r="Z26" s="45"/>
    </row>
    <row r="27" ht="15.75" customHeight="1">
      <c r="A27" s="417">
        <v>11.0</v>
      </c>
      <c r="B27" s="417" t="s">
        <v>13915</v>
      </c>
      <c r="C27" s="427" t="s">
        <v>13935</v>
      </c>
      <c r="D27" s="418" t="s">
        <v>13936</v>
      </c>
      <c r="E27" s="417" t="s">
        <v>13869</v>
      </c>
      <c r="F27" s="417" t="s">
        <v>29</v>
      </c>
      <c r="G27" s="417" t="s">
        <v>30</v>
      </c>
      <c r="H27" s="417"/>
      <c r="I27" s="417" t="s">
        <v>30</v>
      </c>
      <c r="J27" s="417">
        <v>684.0</v>
      </c>
      <c r="K27" s="417"/>
      <c r="L27" s="417" t="s">
        <v>8626</v>
      </c>
      <c r="M27" s="417" t="s">
        <v>161</v>
      </c>
      <c r="N27" s="417">
        <v>2006.0</v>
      </c>
      <c r="O27" s="427"/>
      <c r="P27" s="417">
        <v>1.0</v>
      </c>
      <c r="Q27" s="428"/>
      <c r="R27" s="149"/>
      <c r="S27" s="45"/>
      <c r="T27" s="45"/>
      <c r="U27" s="45"/>
      <c r="V27" s="45"/>
      <c r="W27" s="45"/>
      <c r="X27" s="45"/>
      <c r="Y27" s="45"/>
      <c r="Z27" s="45"/>
    </row>
    <row r="28" ht="15.75" customHeight="1">
      <c r="A28" s="417">
        <v>12.0</v>
      </c>
      <c r="B28" s="417" t="s">
        <v>13937</v>
      </c>
      <c r="C28" s="417" t="s">
        <v>13907</v>
      </c>
      <c r="D28" s="418" t="s">
        <v>13938</v>
      </c>
      <c r="E28" s="417" t="s">
        <v>13869</v>
      </c>
      <c r="F28" s="417" t="s">
        <v>29</v>
      </c>
      <c r="G28" s="417" t="s">
        <v>38</v>
      </c>
      <c r="H28" s="417"/>
      <c r="I28" s="417" t="s">
        <v>30</v>
      </c>
      <c r="J28" s="417">
        <v>718.0</v>
      </c>
      <c r="K28" s="417"/>
      <c r="L28" s="417" t="s">
        <v>13909</v>
      </c>
      <c r="M28" s="417" t="s">
        <v>544</v>
      </c>
      <c r="N28" s="417">
        <v>1988.0</v>
      </c>
      <c r="O28" s="417" t="s">
        <v>388</v>
      </c>
      <c r="P28" s="417">
        <v>2.0</v>
      </c>
      <c r="Q28" s="419"/>
      <c r="R28" s="149"/>
      <c r="S28" s="45"/>
      <c r="T28" s="45"/>
      <c r="U28" s="45"/>
      <c r="V28" s="45"/>
      <c r="W28" s="45"/>
      <c r="X28" s="45"/>
      <c r="Y28" s="45"/>
      <c r="Z28" s="45"/>
    </row>
    <row r="29" ht="15.75" customHeight="1">
      <c r="A29" s="417">
        <v>13.0</v>
      </c>
      <c r="B29" s="417" t="s">
        <v>13939</v>
      </c>
      <c r="C29" s="417" t="s">
        <v>13907</v>
      </c>
      <c r="D29" s="418" t="s">
        <v>13940</v>
      </c>
      <c r="E29" s="417" t="s">
        <v>13869</v>
      </c>
      <c r="F29" s="417" t="s">
        <v>29</v>
      </c>
      <c r="G29" s="417" t="s">
        <v>38</v>
      </c>
      <c r="H29" s="417"/>
      <c r="I29" s="417" t="s">
        <v>30</v>
      </c>
      <c r="J29" s="417">
        <v>722.0</v>
      </c>
      <c r="K29" s="417"/>
      <c r="L29" s="417" t="s">
        <v>13909</v>
      </c>
      <c r="M29" s="417" t="s">
        <v>544</v>
      </c>
      <c r="N29" s="417">
        <v>1988.0</v>
      </c>
      <c r="O29" s="417" t="s">
        <v>388</v>
      </c>
      <c r="P29" s="417">
        <v>2.0</v>
      </c>
      <c r="Q29" s="419"/>
      <c r="R29" s="149"/>
      <c r="S29" s="45"/>
      <c r="T29" s="45"/>
      <c r="U29" s="45"/>
      <c r="V29" s="45"/>
      <c r="W29" s="45"/>
      <c r="X29" s="45"/>
      <c r="Y29" s="45"/>
      <c r="Z29" s="45"/>
    </row>
    <row r="30" ht="15.75" customHeight="1">
      <c r="A30" s="186"/>
      <c r="B30" s="186" t="s">
        <v>31</v>
      </c>
      <c r="C30" s="191" t="s">
        <v>13941</v>
      </c>
      <c r="D30" s="188" t="s">
        <v>13942</v>
      </c>
      <c r="E30" s="186" t="s">
        <v>13869</v>
      </c>
      <c r="F30" s="186" t="s">
        <v>29</v>
      </c>
      <c r="G30" s="186" t="s">
        <v>38</v>
      </c>
      <c r="H30" s="186"/>
      <c r="I30" s="186" t="s">
        <v>38</v>
      </c>
      <c r="J30" s="186">
        <v>652.0</v>
      </c>
      <c r="K30" s="186"/>
      <c r="L30" s="186" t="s">
        <v>13943</v>
      </c>
      <c r="M30" s="186" t="s">
        <v>7340</v>
      </c>
      <c r="N30" s="186">
        <v>1962.0</v>
      </c>
      <c r="O30" s="191">
        <v>1.0</v>
      </c>
      <c r="P30" s="186">
        <v>1.0</v>
      </c>
      <c r="Q30" s="37">
        <v>1.0</v>
      </c>
      <c r="R30" s="149"/>
      <c r="S30" s="45"/>
      <c r="T30" s="45"/>
      <c r="U30" s="45"/>
      <c r="V30" s="45"/>
      <c r="W30" s="45"/>
      <c r="X30" s="45"/>
      <c r="Y30" s="45"/>
      <c r="Z30" s="45"/>
    </row>
    <row r="31" ht="15.75" customHeight="1">
      <c r="A31" s="186"/>
      <c r="B31" s="186" t="s">
        <v>31</v>
      </c>
      <c r="C31" s="191" t="s">
        <v>13941</v>
      </c>
      <c r="D31" s="188" t="s">
        <v>13944</v>
      </c>
      <c r="E31" s="186" t="s">
        <v>13869</v>
      </c>
      <c r="F31" s="186" t="s">
        <v>29</v>
      </c>
      <c r="G31" s="186" t="s">
        <v>38</v>
      </c>
      <c r="H31" s="186"/>
      <c r="I31" s="186" t="s">
        <v>38</v>
      </c>
      <c r="J31" s="186">
        <v>716.0</v>
      </c>
      <c r="K31" s="186"/>
      <c r="L31" s="186" t="s">
        <v>13943</v>
      </c>
      <c r="M31" s="186" t="s">
        <v>7340</v>
      </c>
      <c r="N31" s="186">
        <v>1962.0</v>
      </c>
      <c r="O31" s="191">
        <v>1.0</v>
      </c>
      <c r="P31" s="186">
        <v>1.0</v>
      </c>
      <c r="Q31" s="37">
        <v>1.0</v>
      </c>
      <c r="R31" s="149"/>
      <c r="S31" s="45"/>
      <c r="T31" s="45"/>
      <c r="U31" s="45"/>
      <c r="V31" s="45"/>
      <c r="W31" s="45"/>
      <c r="X31" s="45"/>
      <c r="Y31" s="45"/>
      <c r="Z31" s="45"/>
    </row>
    <row r="32" ht="15.75" customHeight="1">
      <c r="A32" s="429"/>
      <c r="B32" s="186" t="s">
        <v>31</v>
      </c>
      <c r="C32" s="191" t="s">
        <v>13941</v>
      </c>
      <c r="D32" s="188" t="s">
        <v>13945</v>
      </c>
      <c r="E32" s="429" t="s">
        <v>13869</v>
      </c>
      <c r="F32" s="186" t="s">
        <v>29</v>
      </c>
      <c r="G32" s="186" t="s">
        <v>38</v>
      </c>
      <c r="H32" s="429"/>
      <c r="I32" s="186" t="s">
        <v>38</v>
      </c>
      <c r="J32" s="429">
        <v>676.0</v>
      </c>
      <c r="K32" s="429"/>
      <c r="L32" s="186" t="s">
        <v>13943</v>
      </c>
      <c r="M32" s="186" t="s">
        <v>7340</v>
      </c>
      <c r="N32" s="186">
        <v>1962.0</v>
      </c>
      <c r="O32" s="191">
        <v>1.0</v>
      </c>
      <c r="P32" s="186">
        <v>1.0</v>
      </c>
      <c r="Q32" s="37">
        <v>1.0</v>
      </c>
      <c r="R32" s="149"/>
      <c r="S32" s="45"/>
      <c r="T32" s="45"/>
      <c r="U32" s="45"/>
      <c r="V32" s="45"/>
      <c r="W32" s="45"/>
      <c r="X32" s="45"/>
      <c r="Y32" s="45"/>
      <c r="Z32" s="45"/>
    </row>
    <row r="33" ht="15.75" customHeight="1">
      <c r="A33" s="101"/>
      <c r="B33" s="186" t="s">
        <v>31</v>
      </c>
      <c r="C33" s="191" t="s">
        <v>13941</v>
      </c>
      <c r="D33" s="188" t="s">
        <v>13946</v>
      </c>
      <c r="E33" s="186" t="s">
        <v>13869</v>
      </c>
      <c r="F33" s="186" t="s">
        <v>29</v>
      </c>
      <c r="G33" s="186" t="s">
        <v>38</v>
      </c>
      <c r="H33" s="101"/>
      <c r="I33" s="186" t="s">
        <v>38</v>
      </c>
      <c r="J33" s="28">
        <v>714.0</v>
      </c>
      <c r="K33" s="101"/>
      <c r="L33" s="186" t="s">
        <v>13943</v>
      </c>
      <c r="M33" s="186" t="s">
        <v>7340</v>
      </c>
      <c r="N33" s="186">
        <v>1962.0</v>
      </c>
      <c r="O33" s="191">
        <v>1.0</v>
      </c>
      <c r="P33" s="186">
        <v>1.0</v>
      </c>
      <c r="Q33" s="37">
        <v>1.0</v>
      </c>
      <c r="R33" s="140"/>
      <c r="S33" s="140"/>
      <c r="T33" s="140"/>
      <c r="U33" s="140"/>
      <c r="V33" s="140"/>
      <c r="W33" s="140"/>
      <c r="X33" s="140"/>
      <c r="Y33" s="140"/>
      <c r="Z33" s="140"/>
    </row>
    <row r="34" ht="15.75" customHeight="1">
      <c r="A34" s="140"/>
      <c r="B34" s="322"/>
      <c r="C34" s="322" t="s">
        <v>13947</v>
      </c>
      <c r="D34" s="420" t="s">
        <v>13948</v>
      </c>
      <c r="E34" s="322" t="s">
        <v>13869</v>
      </c>
      <c r="F34" s="322" t="s">
        <v>29</v>
      </c>
      <c r="G34" s="322" t="s">
        <v>30</v>
      </c>
      <c r="H34" s="140"/>
      <c r="I34" s="322" t="s">
        <v>30</v>
      </c>
      <c r="J34" s="303">
        <v>355.0</v>
      </c>
      <c r="K34" s="140"/>
      <c r="L34" s="322" t="s">
        <v>13934</v>
      </c>
      <c r="M34" s="322" t="s">
        <v>11894</v>
      </c>
      <c r="N34" s="322">
        <v>2002.0</v>
      </c>
      <c r="O34" s="322" t="s">
        <v>388</v>
      </c>
      <c r="P34" s="322">
        <v>1.0</v>
      </c>
      <c r="Q34" s="307"/>
      <c r="R34" s="140"/>
      <c r="S34" s="140"/>
      <c r="T34" s="140"/>
      <c r="U34" s="140"/>
      <c r="V34" s="140"/>
      <c r="W34" s="140"/>
      <c r="X34" s="140"/>
      <c r="Y34" s="140"/>
      <c r="Z34" s="140"/>
    </row>
    <row r="35" ht="15.75" customHeight="1">
      <c r="A35" s="101"/>
      <c r="B35" s="191" t="s">
        <v>31</v>
      </c>
      <c r="C35" s="191" t="s">
        <v>13949</v>
      </c>
      <c r="D35" s="188" t="s">
        <v>13950</v>
      </c>
      <c r="E35" s="186" t="s">
        <v>13869</v>
      </c>
      <c r="F35" s="186" t="s">
        <v>29</v>
      </c>
      <c r="G35" s="186" t="s">
        <v>98</v>
      </c>
      <c r="H35" s="101"/>
      <c r="I35" s="186" t="s">
        <v>98</v>
      </c>
      <c r="J35" s="28">
        <v>1138.0</v>
      </c>
      <c r="K35" s="101"/>
      <c r="L35" s="186" t="s">
        <v>13951</v>
      </c>
      <c r="M35" s="186" t="s">
        <v>13952</v>
      </c>
      <c r="N35" s="191">
        <v>1953.0</v>
      </c>
      <c r="O35" s="191" t="s">
        <v>1415</v>
      </c>
      <c r="P35" s="186">
        <v>1.0</v>
      </c>
      <c r="Q35" s="37">
        <v>1.0</v>
      </c>
      <c r="R35" s="140"/>
      <c r="S35" s="140"/>
      <c r="T35" s="140"/>
      <c r="U35" s="140"/>
      <c r="V35" s="140"/>
      <c r="W35" s="140"/>
      <c r="X35" s="140"/>
      <c r="Y35" s="140"/>
      <c r="Z35" s="140"/>
    </row>
    <row r="36" ht="15.75" customHeight="1">
      <c r="A36" s="140"/>
      <c r="B36" s="430" t="s">
        <v>13953</v>
      </c>
      <c r="C36" s="431" t="s">
        <v>13954</v>
      </c>
      <c r="D36" s="432" t="s">
        <v>13955</v>
      </c>
      <c r="E36" s="430" t="s">
        <v>13956</v>
      </c>
      <c r="F36" s="430" t="s">
        <v>29</v>
      </c>
      <c r="G36" s="430" t="s">
        <v>30</v>
      </c>
      <c r="H36" s="430"/>
      <c r="I36" s="430" t="s">
        <v>30</v>
      </c>
      <c r="J36" s="430">
        <f>498+22</f>
        <v>520</v>
      </c>
      <c r="K36" s="430"/>
      <c r="L36" s="430" t="s">
        <v>13957</v>
      </c>
      <c r="M36" s="430" t="s">
        <v>13958</v>
      </c>
      <c r="N36" s="430">
        <v>2003.0</v>
      </c>
      <c r="O36" s="430" t="s">
        <v>388</v>
      </c>
      <c r="P36" s="430">
        <v>1.0</v>
      </c>
      <c r="Q36" s="307"/>
      <c r="R36" s="140"/>
      <c r="S36" s="140"/>
      <c r="T36" s="140"/>
      <c r="U36" s="140"/>
      <c r="V36" s="140"/>
      <c r="W36" s="140"/>
      <c r="X36" s="140"/>
      <c r="Y36" s="140"/>
      <c r="Z36" s="140"/>
    </row>
    <row r="37" ht="15.75" customHeight="1">
      <c r="A37" s="101"/>
      <c r="B37" s="186"/>
      <c r="C37" s="192" t="s">
        <v>13959</v>
      </c>
      <c r="D37" s="188" t="s">
        <v>13960</v>
      </c>
      <c r="E37" s="186" t="s">
        <v>13956</v>
      </c>
      <c r="F37" s="186" t="s">
        <v>29</v>
      </c>
      <c r="G37" s="186" t="s">
        <v>37</v>
      </c>
      <c r="H37" s="186"/>
      <c r="I37" s="186" t="s">
        <v>38</v>
      </c>
      <c r="J37" s="186">
        <f>630</f>
        <v>630</v>
      </c>
      <c r="K37" s="186"/>
      <c r="L37" s="186" t="s">
        <v>13961</v>
      </c>
      <c r="M37" s="186" t="s">
        <v>365</v>
      </c>
      <c r="N37" s="186">
        <v>1955.0</v>
      </c>
      <c r="O37" s="191">
        <v>1.0</v>
      </c>
      <c r="P37" s="186">
        <v>1.0</v>
      </c>
      <c r="Q37" s="37">
        <v>1.0</v>
      </c>
      <c r="R37" s="140"/>
      <c r="S37" s="140"/>
      <c r="T37" s="140"/>
      <c r="U37" s="140"/>
      <c r="V37" s="140"/>
      <c r="W37" s="140"/>
      <c r="X37" s="140"/>
      <c r="Y37" s="140"/>
      <c r="Z37" s="140"/>
    </row>
    <row r="38" ht="15.75" customHeight="1">
      <c r="A38" s="186">
        <v>19.0</v>
      </c>
      <c r="B38" s="186" t="s">
        <v>31</v>
      </c>
      <c r="C38" s="191" t="s">
        <v>13962</v>
      </c>
      <c r="D38" s="188" t="s">
        <v>13963</v>
      </c>
      <c r="E38" s="186" t="s">
        <v>13869</v>
      </c>
      <c r="F38" s="186" t="s">
        <v>29</v>
      </c>
      <c r="G38" s="186" t="s">
        <v>131</v>
      </c>
      <c r="H38" s="186"/>
      <c r="I38" s="186" t="s">
        <v>131</v>
      </c>
      <c r="J38" s="186">
        <v>844.0</v>
      </c>
      <c r="K38" s="186"/>
      <c r="L38" s="186" t="s">
        <v>13964</v>
      </c>
      <c r="M38" s="186" t="s">
        <v>13965</v>
      </c>
      <c r="N38" s="186" t="s">
        <v>31</v>
      </c>
      <c r="O38" s="191">
        <v>1.0</v>
      </c>
      <c r="P38" s="186">
        <v>1.0</v>
      </c>
      <c r="Q38" s="37">
        <v>1.0</v>
      </c>
      <c r="R38" s="149"/>
      <c r="S38" s="45"/>
      <c r="T38" s="45"/>
      <c r="U38" s="45"/>
      <c r="V38" s="45"/>
      <c r="W38" s="45"/>
      <c r="X38" s="45"/>
      <c r="Y38" s="45"/>
      <c r="Z38" s="45"/>
    </row>
    <row r="39" ht="15.75" customHeight="1">
      <c r="A39" s="433">
        <v>21.0</v>
      </c>
      <c r="B39" s="433" t="s">
        <v>4820</v>
      </c>
      <c r="C39" s="433" t="s">
        <v>13966</v>
      </c>
      <c r="D39" s="434" t="s">
        <v>13967</v>
      </c>
      <c r="E39" s="433" t="s">
        <v>13869</v>
      </c>
      <c r="F39" s="433" t="s">
        <v>29</v>
      </c>
      <c r="G39" s="433" t="s">
        <v>58</v>
      </c>
      <c r="H39" s="433"/>
      <c r="I39" s="433" t="s">
        <v>38</v>
      </c>
      <c r="J39" s="433">
        <v>270.0</v>
      </c>
      <c r="K39" s="433"/>
      <c r="L39" s="433" t="s">
        <v>13968</v>
      </c>
      <c r="M39" s="433" t="s">
        <v>4873</v>
      </c>
      <c r="N39" s="433">
        <v>2005.0</v>
      </c>
      <c r="O39" s="433" t="s">
        <v>388</v>
      </c>
      <c r="P39" s="433">
        <v>1.0</v>
      </c>
      <c r="Q39" s="435"/>
      <c r="R39" s="3"/>
      <c r="S39" s="3"/>
      <c r="T39" s="3"/>
      <c r="U39" s="3"/>
      <c r="V39" s="3"/>
      <c r="W39" s="3"/>
      <c r="X39" s="3"/>
      <c r="Y39" s="3"/>
      <c r="Z39" s="3"/>
    </row>
    <row r="40" ht="22.5" customHeight="1">
      <c r="A40" s="186">
        <v>22.0</v>
      </c>
      <c r="B40" s="186" t="s">
        <v>13969</v>
      </c>
      <c r="C40" s="186" t="s">
        <v>13970</v>
      </c>
      <c r="D40" s="188" t="s">
        <v>13971</v>
      </c>
      <c r="E40" s="186" t="s">
        <v>13869</v>
      </c>
      <c r="F40" s="186" t="s">
        <v>29</v>
      </c>
      <c r="G40" s="186" t="s">
        <v>37</v>
      </c>
      <c r="H40" s="186"/>
      <c r="I40" s="186" t="s">
        <v>38</v>
      </c>
      <c r="J40" s="186">
        <v>888.0</v>
      </c>
      <c r="K40" s="186"/>
      <c r="L40" s="186" t="s">
        <v>31</v>
      </c>
      <c r="M40" s="186" t="s">
        <v>13972</v>
      </c>
      <c r="N40" s="186">
        <v>2002.0</v>
      </c>
      <c r="O40" s="191">
        <v>1.0</v>
      </c>
      <c r="P40" s="186">
        <v>1.0</v>
      </c>
      <c r="Q40" s="436">
        <v>1.0</v>
      </c>
      <c r="R40" s="3"/>
      <c r="S40" s="3"/>
      <c r="T40" s="3"/>
      <c r="U40" s="3"/>
      <c r="V40" s="3"/>
      <c r="W40" s="3"/>
      <c r="X40" s="3"/>
      <c r="Y40" s="3"/>
      <c r="Z40" s="3"/>
    </row>
    <row r="41" ht="21.75" customHeight="1">
      <c r="A41" s="186">
        <v>23.0</v>
      </c>
      <c r="B41" s="186" t="s">
        <v>13969</v>
      </c>
      <c r="C41" s="191" t="s">
        <v>13970</v>
      </c>
      <c r="D41" s="188" t="s">
        <v>13973</v>
      </c>
      <c r="E41" s="186" t="s">
        <v>13869</v>
      </c>
      <c r="F41" s="186" t="s">
        <v>29</v>
      </c>
      <c r="G41" s="186" t="s">
        <v>37</v>
      </c>
      <c r="H41" s="186"/>
      <c r="I41" s="186" t="s">
        <v>38</v>
      </c>
      <c r="J41" s="186">
        <v>898.0</v>
      </c>
      <c r="K41" s="186"/>
      <c r="L41" s="186" t="s">
        <v>31</v>
      </c>
      <c r="M41" s="186" t="s">
        <v>13972</v>
      </c>
      <c r="N41" s="186">
        <v>2002.0</v>
      </c>
      <c r="O41" s="191">
        <v>1.0</v>
      </c>
      <c r="P41" s="186">
        <v>1.0</v>
      </c>
      <c r="Q41" s="436">
        <v>1.0</v>
      </c>
      <c r="R41" s="3"/>
      <c r="S41" s="3"/>
      <c r="T41" s="3"/>
      <c r="U41" s="3"/>
      <c r="V41" s="3"/>
      <c r="W41" s="3"/>
      <c r="X41" s="3"/>
      <c r="Y41" s="3"/>
      <c r="Z41" s="3"/>
    </row>
    <row r="42" ht="21.75" customHeight="1">
      <c r="A42" s="186">
        <v>24.0</v>
      </c>
      <c r="B42" s="186" t="s">
        <v>13969</v>
      </c>
      <c r="C42" s="191" t="s">
        <v>13970</v>
      </c>
      <c r="D42" s="188" t="s">
        <v>13974</v>
      </c>
      <c r="E42" s="186" t="s">
        <v>13869</v>
      </c>
      <c r="F42" s="186" t="s">
        <v>29</v>
      </c>
      <c r="G42" s="186" t="s">
        <v>37</v>
      </c>
      <c r="H42" s="186"/>
      <c r="I42" s="186" t="s">
        <v>38</v>
      </c>
      <c r="J42" s="186">
        <v>802.0</v>
      </c>
      <c r="K42" s="186"/>
      <c r="L42" s="186" t="s">
        <v>31</v>
      </c>
      <c r="M42" s="186" t="s">
        <v>13972</v>
      </c>
      <c r="N42" s="186">
        <v>2002.0</v>
      </c>
      <c r="O42" s="191">
        <v>1.0</v>
      </c>
      <c r="P42" s="186">
        <v>1.0</v>
      </c>
      <c r="Q42" s="436">
        <v>1.0</v>
      </c>
      <c r="R42" s="3"/>
      <c r="S42" s="3"/>
      <c r="T42" s="3"/>
      <c r="U42" s="3"/>
      <c r="V42" s="3"/>
      <c r="W42" s="3"/>
      <c r="X42" s="3"/>
      <c r="Y42" s="3"/>
      <c r="Z42" s="3"/>
    </row>
    <row r="43" ht="24.0" customHeight="1">
      <c r="A43" s="186">
        <v>25.0</v>
      </c>
      <c r="B43" s="186" t="s">
        <v>13969</v>
      </c>
      <c r="C43" s="191" t="s">
        <v>13970</v>
      </c>
      <c r="D43" s="188" t="s">
        <v>13975</v>
      </c>
      <c r="E43" s="186" t="s">
        <v>13869</v>
      </c>
      <c r="F43" s="186" t="s">
        <v>29</v>
      </c>
      <c r="G43" s="186" t="s">
        <v>37</v>
      </c>
      <c r="H43" s="186"/>
      <c r="I43" s="186" t="s">
        <v>38</v>
      </c>
      <c r="J43" s="186">
        <v>802.0</v>
      </c>
      <c r="K43" s="186"/>
      <c r="L43" s="186" t="s">
        <v>31</v>
      </c>
      <c r="M43" s="186" t="s">
        <v>13972</v>
      </c>
      <c r="N43" s="186">
        <v>2002.0</v>
      </c>
      <c r="O43" s="191">
        <v>1.0</v>
      </c>
      <c r="P43" s="186">
        <v>1.0</v>
      </c>
      <c r="Q43" s="436">
        <v>1.0</v>
      </c>
      <c r="R43" s="3"/>
      <c r="S43" s="3"/>
      <c r="T43" s="3"/>
      <c r="U43" s="3"/>
      <c r="V43" s="3"/>
      <c r="W43" s="3"/>
      <c r="X43" s="3"/>
      <c r="Y43" s="3"/>
      <c r="Z43" s="3"/>
    </row>
    <row r="44" ht="23.25" customHeight="1">
      <c r="A44" s="186">
        <v>26.0</v>
      </c>
      <c r="B44" s="186" t="s">
        <v>13969</v>
      </c>
      <c r="C44" s="191" t="s">
        <v>13970</v>
      </c>
      <c r="D44" s="188" t="s">
        <v>13976</v>
      </c>
      <c r="E44" s="186" t="s">
        <v>13869</v>
      </c>
      <c r="F44" s="186" t="s">
        <v>29</v>
      </c>
      <c r="G44" s="186" t="s">
        <v>37</v>
      </c>
      <c r="H44" s="186"/>
      <c r="I44" s="186" t="s">
        <v>38</v>
      </c>
      <c r="J44" s="186">
        <v>830.0</v>
      </c>
      <c r="K44" s="186"/>
      <c r="L44" s="186" t="s">
        <v>31</v>
      </c>
      <c r="M44" s="186" t="s">
        <v>13972</v>
      </c>
      <c r="N44" s="186">
        <v>2002.0</v>
      </c>
      <c r="O44" s="191">
        <v>1.0</v>
      </c>
      <c r="P44" s="186">
        <v>1.0</v>
      </c>
      <c r="Q44" s="436">
        <v>1.0</v>
      </c>
      <c r="R44" s="3"/>
      <c r="S44" s="3"/>
      <c r="T44" s="3"/>
      <c r="U44" s="3"/>
      <c r="V44" s="3"/>
      <c r="W44" s="3"/>
      <c r="X44" s="3"/>
      <c r="Y44" s="3"/>
      <c r="Z44" s="3"/>
    </row>
    <row r="45" ht="24.0" customHeight="1">
      <c r="A45" s="186">
        <v>27.0</v>
      </c>
      <c r="B45" s="186" t="s">
        <v>13969</v>
      </c>
      <c r="C45" s="191" t="s">
        <v>13970</v>
      </c>
      <c r="D45" s="188" t="s">
        <v>13977</v>
      </c>
      <c r="E45" s="186" t="s">
        <v>13869</v>
      </c>
      <c r="F45" s="186" t="s">
        <v>29</v>
      </c>
      <c r="G45" s="186" t="s">
        <v>37</v>
      </c>
      <c r="H45" s="186"/>
      <c r="I45" s="186" t="s">
        <v>38</v>
      </c>
      <c r="J45" s="186">
        <v>822.0</v>
      </c>
      <c r="K45" s="186"/>
      <c r="L45" s="186" t="s">
        <v>13978</v>
      </c>
      <c r="M45" s="186" t="s">
        <v>13972</v>
      </c>
      <c r="N45" s="186">
        <v>2002.0</v>
      </c>
      <c r="O45" s="191">
        <v>1.0</v>
      </c>
      <c r="P45" s="186">
        <v>1.0</v>
      </c>
      <c r="Q45" s="436">
        <v>1.0</v>
      </c>
      <c r="R45" s="3"/>
      <c r="S45" s="3"/>
      <c r="T45" s="3"/>
      <c r="U45" s="3"/>
      <c r="V45" s="3"/>
      <c r="W45" s="3"/>
      <c r="X45" s="3"/>
      <c r="Y45" s="3"/>
      <c r="Z45" s="3"/>
    </row>
    <row r="46" ht="21.0" customHeight="1">
      <c r="A46" s="186">
        <v>28.0</v>
      </c>
      <c r="B46" s="186" t="s">
        <v>13969</v>
      </c>
      <c r="C46" s="191" t="s">
        <v>13970</v>
      </c>
      <c r="D46" s="188" t="s">
        <v>13979</v>
      </c>
      <c r="E46" s="186" t="s">
        <v>13869</v>
      </c>
      <c r="F46" s="186" t="s">
        <v>29</v>
      </c>
      <c r="G46" s="186" t="s">
        <v>37</v>
      </c>
      <c r="H46" s="186"/>
      <c r="I46" s="186" t="s">
        <v>38</v>
      </c>
      <c r="J46" s="186">
        <v>822.0</v>
      </c>
      <c r="K46" s="437"/>
      <c r="L46" s="437" t="s">
        <v>13980</v>
      </c>
      <c r="M46" s="186" t="s">
        <v>13972</v>
      </c>
      <c r="N46" s="186">
        <v>2002.0</v>
      </c>
      <c r="O46" s="191">
        <v>1.0</v>
      </c>
      <c r="P46" s="186">
        <v>1.0</v>
      </c>
      <c r="Q46" s="436">
        <v>1.0</v>
      </c>
      <c r="R46" s="3"/>
      <c r="S46" s="3"/>
      <c r="T46" s="3"/>
      <c r="U46" s="3"/>
      <c r="V46" s="3"/>
      <c r="W46" s="3"/>
      <c r="X46" s="3"/>
      <c r="Y46" s="3"/>
      <c r="Z46" s="3"/>
    </row>
    <row r="47" ht="22.5" customHeight="1">
      <c r="A47" s="186">
        <v>29.0</v>
      </c>
      <c r="B47" s="186" t="s">
        <v>13969</v>
      </c>
      <c r="C47" s="191" t="s">
        <v>13970</v>
      </c>
      <c r="D47" s="188" t="s">
        <v>13981</v>
      </c>
      <c r="E47" s="186" t="s">
        <v>13869</v>
      </c>
      <c r="F47" s="186" t="s">
        <v>29</v>
      </c>
      <c r="G47" s="186" t="s">
        <v>37</v>
      </c>
      <c r="H47" s="186"/>
      <c r="I47" s="186" t="s">
        <v>38</v>
      </c>
      <c r="J47" s="186">
        <v>762.0</v>
      </c>
      <c r="K47" s="186"/>
      <c r="L47" s="186" t="s">
        <v>13982</v>
      </c>
      <c r="M47" s="186" t="s">
        <v>13972</v>
      </c>
      <c r="N47" s="186">
        <v>2002.0</v>
      </c>
      <c r="O47" s="191">
        <v>1.0</v>
      </c>
      <c r="P47" s="186">
        <v>1.0</v>
      </c>
      <c r="Q47" s="436">
        <v>1.0</v>
      </c>
      <c r="R47" s="3"/>
      <c r="S47" s="3"/>
      <c r="T47" s="3"/>
      <c r="U47" s="3"/>
      <c r="V47" s="3"/>
      <c r="W47" s="3"/>
      <c r="X47" s="3"/>
      <c r="Y47" s="3"/>
      <c r="Z47" s="3"/>
    </row>
    <row r="48" ht="21.75" customHeight="1">
      <c r="A48" s="186">
        <v>30.0</v>
      </c>
      <c r="B48" s="186" t="s">
        <v>13969</v>
      </c>
      <c r="C48" s="191" t="s">
        <v>13983</v>
      </c>
      <c r="D48" s="188" t="s">
        <v>13984</v>
      </c>
      <c r="E48" s="186" t="s">
        <v>13869</v>
      </c>
      <c r="F48" s="186" t="s">
        <v>29</v>
      </c>
      <c r="G48" s="186" t="s">
        <v>37</v>
      </c>
      <c r="H48" s="186"/>
      <c r="I48" s="186" t="s">
        <v>38</v>
      </c>
      <c r="J48" s="186">
        <v>761.0</v>
      </c>
      <c r="K48" s="186"/>
      <c r="L48" s="186" t="s">
        <v>13985</v>
      </c>
      <c r="M48" s="186" t="s">
        <v>13972</v>
      </c>
      <c r="N48" s="186">
        <v>2002.0</v>
      </c>
      <c r="O48" s="191">
        <v>1.0</v>
      </c>
      <c r="P48" s="186">
        <v>1.0</v>
      </c>
      <c r="Q48" s="436">
        <v>1.0</v>
      </c>
      <c r="R48" s="3"/>
      <c r="S48" s="3"/>
      <c r="T48" s="3"/>
      <c r="U48" s="3"/>
      <c r="V48" s="3"/>
      <c r="W48" s="3"/>
      <c r="X48" s="3"/>
      <c r="Y48" s="3"/>
      <c r="Z48" s="3"/>
    </row>
    <row r="49" ht="21.0" customHeight="1">
      <c r="A49" s="186">
        <v>31.0</v>
      </c>
      <c r="B49" s="186" t="s">
        <v>13969</v>
      </c>
      <c r="C49" s="191" t="s">
        <v>13986</v>
      </c>
      <c r="D49" s="188" t="s">
        <v>13987</v>
      </c>
      <c r="E49" s="186" t="s">
        <v>13869</v>
      </c>
      <c r="F49" s="186" t="s">
        <v>29</v>
      </c>
      <c r="G49" s="186" t="s">
        <v>37</v>
      </c>
      <c r="H49" s="186"/>
      <c r="I49" s="186" t="s">
        <v>38</v>
      </c>
      <c r="J49" s="186">
        <v>862.0</v>
      </c>
      <c r="K49" s="186"/>
      <c r="L49" s="186" t="s">
        <v>13988</v>
      </c>
      <c r="M49" s="186" t="s">
        <v>13972</v>
      </c>
      <c r="N49" s="186">
        <v>2002.0</v>
      </c>
      <c r="O49" s="191">
        <v>1.0</v>
      </c>
      <c r="P49" s="186">
        <v>1.0</v>
      </c>
      <c r="Q49" s="436">
        <v>1.0</v>
      </c>
      <c r="R49" s="3"/>
      <c r="S49" s="3"/>
      <c r="T49" s="3"/>
      <c r="U49" s="3"/>
      <c r="V49" s="3"/>
      <c r="W49" s="3"/>
      <c r="X49" s="3"/>
      <c r="Y49" s="3"/>
      <c r="Z49" s="3"/>
    </row>
    <row r="50" ht="23.25" customHeight="1">
      <c r="A50" s="186">
        <v>32.0</v>
      </c>
      <c r="B50" s="186" t="s">
        <v>13969</v>
      </c>
      <c r="C50" s="191" t="s">
        <v>13989</v>
      </c>
      <c r="D50" s="188" t="s">
        <v>13990</v>
      </c>
      <c r="E50" s="186" t="s">
        <v>13869</v>
      </c>
      <c r="F50" s="186" t="s">
        <v>29</v>
      </c>
      <c r="G50" s="186" t="s">
        <v>37</v>
      </c>
      <c r="H50" s="186"/>
      <c r="I50" s="186" t="s">
        <v>38</v>
      </c>
      <c r="J50" s="186">
        <v>857.0</v>
      </c>
      <c r="K50" s="186"/>
      <c r="L50" s="186" t="s">
        <v>13991</v>
      </c>
      <c r="M50" s="186" t="s">
        <v>13972</v>
      </c>
      <c r="N50" s="186">
        <v>2002.0</v>
      </c>
      <c r="O50" s="191">
        <v>1.0</v>
      </c>
      <c r="P50" s="186">
        <v>1.0</v>
      </c>
      <c r="Q50" s="436">
        <v>1.0</v>
      </c>
      <c r="R50" s="3"/>
      <c r="S50" s="3"/>
      <c r="T50" s="3"/>
      <c r="U50" s="3"/>
      <c r="V50" s="3"/>
      <c r="W50" s="3"/>
      <c r="X50" s="3"/>
      <c r="Y50" s="3"/>
      <c r="Z50" s="3"/>
    </row>
    <row r="51" ht="22.5" customHeight="1">
      <c r="A51" s="186">
        <v>33.0</v>
      </c>
      <c r="B51" s="186" t="s">
        <v>13969</v>
      </c>
      <c r="C51" s="191" t="s">
        <v>13992</v>
      </c>
      <c r="D51" s="188" t="s">
        <v>13993</v>
      </c>
      <c r="E51" s="186" t="s">
        <v>13869</v>
      </c>
      <c r="F51" s="186" t="s">
        <v>29</v>
      </c>
      <c r="G51" s="186" t="s">
        <v>37</v>
      </c>
      <c r="H51" s="186"/>
      <c r="I51" s="186" t="s">
        <v>38</v>
      </c>
      <c r="J51" s="186">
        <v>848.0</v>
      </c>
      <c r="K51" s="186"/>
      <c r="L51" s="186" t="s">
        <v>13994</v>
      </c>
      <c r="M51" s="186" t="s">
        <v>13972</v>
      </c>
      <c r="N51" s="186">
        <v>2002.0</v>
      </c>
      <c r="O51" s="191">
        <v>1.0</v>
      </c>
      <c r="P51" s="186">
        <v>1.0</v>
      </c>
      <c r="Q51" s="436">
        <v>1.0</v>
      </c>
      <c r="R51" s="3"/>
      <c r="S51" s="3"/>
      <c r="T51" s="3"/>
      <c r="U51" s="3"/>
      <c r="V51" s="3"/>
      <c r="W51" s="3"/>
      <c r="X51" s="3"/>
      <c r="Y51" s="3"/>
      <c r="Z51" s="3"/>
    </row>
    <row r="52" ht="23.25" customHeight="1">
      <c r="A52" s="186">
        <v>34.0</v>
      </c>
      <c r="B52" s="186" t="s">
        <v>13969</v>
      </c>
      <c r="C52" s="191" t="s">
        <v>13995</v>
      </c>
      <c r="D52" s="188" t="s">
        <v>13996</v>
      </c>
      <c r="E52" s="186" t="s">
        <v>13869</v>
      </c>
      <c r="F52" s="186" t="s">
        <v>29</v>
      </c>
      <c r="G52" s="186" t="s">
        <v>37</v>
      </c>
      <c r="H52" s="186"/>
      <c r="I52" s="186" t="s">
        <v>38</v>
      </c>
      <c r="J52" s="186">
        <v>922.0</v>
      </c>
      <c r="K52" s="186"/>
      <c r="L52" s="186" t="s">
        <v>13997</v>
      </c>
      <c r="M52" s="186" t="s">
        <v>13972</v>
      </c>
      <c r="N52" s="186">
        <v>2002.0</v>
      </c>
      <c r="O52" s="191">
        <v>1.0</v>
      </c>
      <c r="P52" s="186">
        <v>1.0</v>
      </c>
      <c r="Q52" s="436">
        <v>1.0</v>
      </c>
      <c r="R52" s="3"/>
      <c r="S52" s="3"/>
      <c r="T52" s="3"/>
      <c r="U52" s="3"/>
      <c r="V52" s="3"/>
      <c r="W52" s="3"/>
      <c r="X52" s="3"/>
      <c r="Y52" s="3"/>
      <c r="Z52" s="3"/>
    </row>
    <row r="53" ht="23.25" customHeight="1">
      <c r="A53" s="186">
        <v>35.0</v>
      </c>
      <c r="B53" s="186" t="s">
        <v>13969</v>
      </c>
      <c r="C53" s="191" t="s">
        <v>13998</v>
      </c>
      <c r="D53" s="188" t="s">
        <v>13999</v>
      </c>
      <c r="E53" s="186" t="s">
        <v>13869</v>
      </c>
      <c r="F53" s="186" t="s">
        <v>29</v>
      </c>
      <c r="G53" s="186" t="s">
        <v>37</v>
      </c>
      <c r="H53" s="186"/>
      <c r="I53" s="186" t="s">
        <v>38</v>
      </c>
      <c r="J53" s="186">
        <v>965.0</v>
      </c>
      <c r="K53" s="186"/>
      <c r="L53" s="186" t="s">
        <v>14000</v>
      </c>
      <c r="M53" s="186" t="s">
        <v>13972</v>
      </c>
      <c r="N53" s="186">
        <v>2002.0</v>
      </c>
      <c r="O53" s="191">
        <v>1.0</v>
      </c>
      <c r="P53" s="186">
        <v>1.0</v>
      </c>
      <c r="Q53" s="436">
        <v>1.0</v>
      </c>
      <c r="R53" s="3"/>
      <c r="S53" s="3"/>
      <c r="T53" s="3"/>
      <c r="U53" s="3"/>
      <c r="V53" s="3"/>
      <c r="W53" s="3"/>
      <c r="X53" s="3"/>
      <c r="Y53" s="3"/>
      <c r="Z53" s="3"/>
    </row>
    <row r="54" ht="20.25" customHeight="1">
      <c r="A54" s="186">
        <v>36.0</v>
      </c>
      <c r="B54" s="186" t="s">
        <v>13969</v>
      </c>
      <c r="C54" s="191" t="s">
        <v>14001</v>
      </c>
      <c r="D54" s="188" t="s">
        <v>14002</v>
      </c>
      <c r="E54" s="186" t="s">
        <v>13869</v>
      </c>
      <c r="F54" s="186" t="s">
        <v>29</v>
      </c>
      <c r="G54" s="186" t="s">
        <v>37</v>
      </c>
      <c r="H54" s="186"/>
      <c r="I54" s="186" t="s">
        <v>38</v>
      </c>
      <c r="J54" s="186">
        <v>863.0</v>
      </c>
      <c r="K54" s="186"/>
      <c r="L54" s="186" t="s">
        <v>14003</v>
      </c>
      <c r="M54" s="186" t="s">
        <v>13972</v>
      </c>
      <c r="N54" s="186">
        <v>2002.0</v>
      </c>
      <c r="O54" s="191">
        <v>1.0</v>
      </c>
      <c r="P54" s="186">
        <v>1.0</v>
      </c>
      <c r="Q54" s="436">
        <v>1.0</v>
      </c>
      <c r="R54" s="3"/>
      <c r="S54" s="3"/>
      <c r="T54" s="3"/>
      <c r="U54" s="3"/>
      <c r="V54" s="3"/>
      <c r="W54" s="3"/>
      <c r="X54" s="3"/>
      <c r="Y54" s="3"/>
      <c r="Z54" s="3"/>
    </row>
    <row r="55" ht="21.0" customHeight="1">
      <c r="A55" s="186">
        <v>37.0</v>
      </c>
      <c r="B55" s="186" t="s">
        <v>13969</v>
      </c>
      <c r="C55" s="191" t="s">
        <v>14004</v>
      </c>
      <c r="D55" s="188" t="s">
        <v>14005</v>
      </c>
      <c r="E55" s="186" t="s">
        <v>13869</v>
      </c>
      <c r="F55" s="186" t="s">
        <v>29</v>
      </c>
      <c r="G55" s="186" t="s">
        <v>37</v>
      </c>
      <c r="H55" s="186"/>
      <c r="I55" s="186" t="s">
        <v>38</v>
      </c>
      <c r="J55" s="186">
        <v>798.0</v>
      </c>
      <c r="K55" s="186"/>
      <c r="L55" s="186" t="s">
        <v>14006</v>
      </c>
      <c r="M55" s="186" t="s">
        <v>13972</v>
      </c>
      <c r="N55" s="186">
        <v>2002.0</v>
      </c>
      <c r="O55" s="191">
        <v>1.0</v>
      </c>
      <c r="P55" s="186">
        <v>1.0</v>
      </c>
      <c r="Q55" s="436">
        <v>1.0</v>
      </c>
      <c r="R55" s="3"/>
      <c r="S55" s="3"/>
      <c r="T55" s="3"/>
      <c r="U55" s="3"/>
      <c r="V55" s="3"/>
      <c r="W55" s="3"/>
      <c r="X55" s="3"/>
      <c r="Y55" s="3"/>
      <c r="Z55" s="3"/>
    </row>
    <row r="56" ht="24.0" customHeight="1">
      <c r="A56" s="186">
        <v>38.0</v>
      </c>
      <c r="B56" s="186" t="s">
        <v>13969</v>
      </c>
      <c r="C56" s="191" t="s">
        <v>14007</v>
      </c>
      <c r="D56" s="188" t="s">
        <v>14008</v>
      </c>
      <c r="E56" s="186" t="s">
        <v>13869</v>
      </c>
      <c r="F56" s="186" t="s">
        <v>29</v>
      </c>
      <c r="G56" s="186" t="s">
        <v>37</v>
      </c>
      <c r="H56" s="186"/>
      <c r="I56" s="186" t="s">
        <v>38</v>
      </c>
      <c r="J56" s="186">
        <v>894.0</v>
      </c>
      <c r="K56" s="186"/>
      <c r="L56" s="186" t="s">
        <v>14009</v>
      </c>
      <c r="M56" s="186" t="s">
        <v>13972</v>
      </c>
      <c r="N56" s="186">
        <v>2002.0</v>
      </c>
      <c r="O56" s="191">
        <v>1.0</v>
      </c>
      <c r="P56" s="186">
        <v>1.0</v>
      </c>
      <c r="Q56" s="436">
        <v>1.0</v>
      </c>
      <c r="R56" s="3"/>
      <c r="S56" s="3"/>
      <c r="T56" s="3"/>
      <c r="U56" s="3"/>
      <c r="V56" s="3"/>
      <c r="W56" s="3"/>
      <c r="X56" s="3"/>
      <c r="Y56" s="3"/>
      <c r="Z56" s="3"/>
    </row>
    <row r="57" ht="20.25" customHeight="1">
      <c r="A57" s="186">
        <v>39.0</v>
      </c>
      <c r="B57" s="186" t="s">
        <v>13969</v>
      </c>
      <c r="C57" s="191" t="s">
        <v>13970</v>
      </c>
      <c r="D57" s="188" t="s">
        <v>14010</v>
      </c>
      <c r="E57" s="186" t="s">
        <v>13869</v>
      </c>
      <c r="F57" s="186" t="s">
        <v>29</v>
      </c>
      <c r="G57" s="186" t="s">
        <v>37</v>
      </c>
      <c r="H57" s="186"/>
      <c r="I57" s="186" t="s">
        <v>38</v>
      </c>
      <c r="J57" s="186">
        <v>878.0</v>
      </c>
      <c r="K57" s="186"/>
      <c r="L57" s="186" t="s">
        <v>14011</v>
      </c>
      <c r="M57" s="186" t="s">
        <v>13972</v>
      </c>
      <c r="N57" s="186">
        <v>2002.0</v>
      </c>
      <c r="O57" s="191">
        <v>1.0</v>
      </c>
      <c r="P57" s="186">
        <v>1.0</v>
      </c>
      <c r="Q57" s="436">
        <v>1.0</v>
      </c>
      <c r="R57" s="3"/>
      <c r="S57" s="3"/>
      <c r="T57" s="3"/>
      <c r="U57" s="3"/>
      <c r="V57" s="3"/>
      <c r="W57" s="3"/>
      <c r="X57" s="3"/>
      <c r="Y57" s="3"/>
      <c r="Z57" s="3"/>
    </row>
    <row r="58" ht="21.75" customHeight="1">
      <c r="A58" s="186">
        <v>40.0</v>
      </c>
      <c r="B58" s="186" t="s">
        <v>13969</v>
      </c>
      <c r="C58" s="191" t="s">
        <v>14012</v>
      </c>
      <c r="D58" s="188" t="s">
        <v>14013</v>
      </c>
      <c r="E58" s="186" t="s">
        <v>13869</v>
      </c>
      <c r="F58" s="186" t="s">
        <v>29</v>
      </c>
      <c r="G58" s="186" t="s">
        <v>37</v>
      </c>
      <c r="H58" s="186"/>
      <c r="I58" s="186" t="s">
        <v>38</v>
      </c>
      <c r="J58" s="186">
        <v>798.0</v>
      </c>
      <c r="K58" s="186"/>
      <c r="L58" s="191" t="s">
        <v>14014</v>
      </c>
      <c r="M58" s="186" t="s">
        <v>13972</v>
      </c>
      <c r="N58" s="186">
        <v>2002.0</v>
      </c>
      <c r="O58" s="191">
        <v>1.0</v>
      </c>
      <c r="P58" s="186">
        <v>1.0</v>
      </c>
      <c r="Q58" s="436">
        <v>1.0</v>
      </c>
      <c r="R58" s="3"/>
      <c r="S58" s="3"/>
      <c r="T58" s="3"/>
      <c r="U58" s="3"/>
      <c r="V58" s="3"/>
      <c r="W58" s="3"/>
      <c r="X58" s="3"/>
      <c r="Y58" s="3"/>
      <c r="Z58" s="3"/>
    </row>
    <row r="59" ht="22.5" customHeight="1">
      <c r="A59" s="186">
        <v>41.0</v>
      </c>
      <c r="B59" s="186" t="s">
        <v>13969</v>
      </c>
      <c r="C59" s="191" t="s">
        <v>14015</v>
      </c>
      <c r="D59" s="188" t="s">
        <v>14016</v>
      </c>
      <c r="E59" s="186" t="s">
        <v>13869</v>
      </c>
      <c r="F59" s="186" t="s">
        <v>29</v>
      </c>
      <c r="G59" s="186" t="s">
        <v>37</v>
      </c>
      <c r="H59" s="186"/>
      <c r="I59" s="186" t="s">
        <v>38</v>
      </c>
      <c r="J59" s="186">
        <v>776.0</v>
      </c>
      <c r="K59" s="186"/>
      <c r="L59" s="191" t="s">
        <v>14017</v>
      </c>
      <c r="M59" s="186" t="s">
        <v>13972</v>
      </c>
      <c r="N59" s="186">
        <v>2002.0</v>
      </c>
      <c r="O59" s="191">
        <v>1.0</v>
      </c>
      <c r="P59" s="186">
        <v>1.0</v>
      </c>
      <c r="Q59" s="436">
        <v>1.0</v>
      </c>
      <c r="R59" s="3"/>
      <c r="S59" s="3"/>
      <c r="T59" s="3"/>
      <c r="U59" s="3"/>
      <c r="V59" s="3"/>
      <c r="W59" s="3"/>
      <c r="X59" s="3"/>
      <c r="Y59" s="3"/>
      <c r="Z59" s="3"/>
    </row>
    <row r="60" ht="23.25" customHeight="1">
      <c r="A60" s="186">
        <v>42.0</v>
      </c>
      <c r="B60" s="186" t="s">
        <v>13969</v>
      </c>
      <c r="C60" s="191" t="s">
        <v>14018</v>
      </c>
      <c r="D60" s="188" t="s">
        <v>14019</v>
      </c>
      <c r="E60" s="186" t="s">
        <v>13869</v>
      </c>
      <c r="F60" s="186" t="s">
        <v>29</v>
      </c>
      <c r="G60" s="186" t="s">
        <v>37</v>
      </c>
      <c r="H60" s="186"/>
      <c r="I60" s="186" t="s">
        <v>38</v>
      </c>
      <c r="J60" s="186">
        <v>974.0</v>
      </c>
      <c r="K60" s="186"/>
      <c r="L60" s="438" t="s">
        <v>14020</v>
      </c>
      <c r="M60" s="186" t="s">
        <v>13972</v>
      </c>
      <c r="N60" s="186">
        <v>2002.0</v>
      </c>
      <c r="O60" s="191">
        <v>1.0</v>
      </c>
      <c r="P60" s="186">
        <v>1.0</v>
      </c>
      <c r="Q60" s="436">
        <v>1.0</v>
      </c>
      <c r="R60" s="3"/>
      <c r="S60" s="3"/>
      <c r="T60" s="3"/>
      <c r="U60" s="3"/>
      <c r="V60" s="3"/>
      <c r="W60" s="3"/>
      <c r="X60" s="3"/>
      <c r="Y60" s="3"/>
      <c r="Z60" s="3"/>
    </row>
    <row r="61" ht="21.0" customHeight="1">
      <c r="A61" s="186">
        <v>43.0</v>
      </c>
      <c r="B61" s="186" t="s">
        <v>13969</v>
      </c>
      <c r="C61" s="191" t="s">
        <v>14021</v>
      </c>
      <c r="D61" s="188" t="s">
        <v>14022</v>
      </c>
      <c r="E61" s="186" t="s">
        <v>13869</v>
      </c>
      <c r="F61" s="186" t="s">
        <v>29</v>
      </c>
      <c r="G61" s="186" t="s">
        <v>37</v>
      </c>
      <c r="H61" s="186"/>
      <c r="I61" s="186" t="s">
        <v>38</v>
      </c>
      <c r="J61" s="186">
        <v>798.0</v>
      </c>
      <c r="K61" s="186"/>
      <c r="L61" s="438" t="s">
        <v>14023</v>
      </c>
      <c r="M61" s="186" t="s">
        <v>13972</v>
      </c>
      <c r="N61" s="186">
        <v>2002.0</v>
      </c>
      <c r="O61" s="191">
        <v>1.0</v>
      </c>
      <c r="P61" s="186">
        <v>1.0</v>
      </c>
      <c r="Q61" s="436">
        <v>1.0</v>
      </c>
      <c r="R61" s="3"/>
      <c r="S61" s="3"/>
      <c r="T61" s="3"/>
      <c r="U61" s="3"/>
      <c r="V61" s="3"/>
      <c r="W61" s="3"/>
      <c r="X61" s="3"/>
      <c r="Y61" s="3"/>
      <c r="Z61" s="3"/>
    </row>
    <row r="62" ht="22.5" customHeight="1">
      <c r="A62" s="186">
        <v>44.0</v>
      </c>
      <c r="B62" s="186" t="s">
        <v>13969</v>
      </c>
      <c r="C62" s="191" t="s">
        <v>14024</v>
      </c>
      <c r="D62" s="188" t="s">
        <v>14025</v>
      </c>
      <c r="E62" s="186" t="s">
        <v>13869</v>
      </c>
      <c r="F62" s="186" t="s">
        <v>29</v>
      </c>
      <c r="G62" s="186" t="s">
        <v>37</v>
      </c>
      <c r="H62" s="186"/>
      <c r="I62" s="186" t="s">
        <v>38</v>
      </c>
      <c r="J62" s="186">
        <v>879.0</v>
      </c>
      <c r="K62" s="186"/>
      <c r="L62" s="438" t="s">
        <v>14026</v>
      </c>
      <c r="M62" s="186" t="s">
        <v>13972</v>
      </c>
      <c r="N62" s="186">
        <v>2002.0</v>
      </c>
      <c r="O62" s="191">
        <v>1.0</v>
      </c>
      <c r="P62" s="186">
        <v>1.0</v>
      </c>
      <c r="Q62" s="436">
        <v>1.0</v>
      </c>
      <c r="R62" s="3"/>
      <c r="S62" s="3"/>
      <c r="T62" s="3"/>
      <c r="U62" s="3"/>
      <c r="V62" s="3"/>
      <c r="W62" s="3"/>
      <c r="X62" s="3"/>
      <c r="Y62" s="3"/>
      <c r="Z62" s="3"/>
    </row>
    <row r="63" ht="22.5" customHeight="1">
      <c r="A63" s="186">
        <v>45.0</v>
      </c>
      <c r="B63" s="186" t="s">
        <v>13969</v>
      </c>
      <c r="C63" s="191" t="s">
        <v>14027</v>
      </c>
      <c r="D63" s="188" t="s">
        <v>14028</v>
      </c>
      <c r="E63" s="186" t="s">
        <v>13869</v>
      </c>
      <c r="F63" s="186" t="s">
        <v>29</v>
      </c>
      <c r="G63" s="186" t="s">
        <v>37</v>
      </c>
      <c r="H63" s="186"/>
      <c r="I63" s="186" t="s">
        <v>38</v>
      </c>
      <c r="J63" s="186">
        <v>892.0</v>
      </c>
      <c r="K63" s="186"/>
      <c r="L63" s="438" t="s">
        <v>14029</v>
      </c>
      <c r="M63" s="186" t="s">
        <v>13972</v>
      </c>
      <c r="N63" s="186">
        <v>2002.0</v>
      </c>
      <c r="O63" s="191">
        <v>1.0</v>
      </c>
      <c r="P63" s="186">
        <v>1.0</v>
      </c>
      <c r="Q63" s="436">
        <v>1.0</v>
      </c>
      <c r="R63" s="3"/>
      <c r="S63" s="3"/>
      <c r="T63" s="3"/>
      <c r="U63" s="3"/>
      <c r="V63" s="3"/>
      <c r="W63" s="3"/>
      <c r="X63" s="3"/>
      <c r="Y63" s="3"/>
      <c r="Z63" s="3"/>
    </row>
    <row r="64" ht="24.75" customHeight="1">
      <c r="A64" s="186">
        <v>46.0</v>
      </c>
      <c r="B64" s="186" t="s">
        <v>13969</v>
      </c>
      <c r="C64" s="191" t="s">
        <v>14030</v>
      </c>
      <c r="D64" s="188" t="s">
        <v>14031</v>
      </c>
      <c r="E64" s="186" t="s">
        <v>13869</v>
      </c>
      <c r="F64" s="186" t="s">
        <v>29</v>
      </c>
      <c r="G64" s="186" t="s">
        <v>37</v>
      </c>
      <c r="H64" s="186"/>
      <c r="I64" s="186" t="s">
        <v>38</v>
      </c>
      <c r="J64" s="186">
        <v>878.0</v>
      </c>
      <c r="K64" s="186"/>
      <c r="L64" s="438" t="s">
        <v>14032</v>
      </c>
      <c r="M64" s="186" t="s">
        <v>13972</v>
      </c>
      <c r="N64" s="186">
        <v>2002.0</v>
      </c>
      <c r="O64" s="191">
        <v>1.0</v>
      </c>
      <c r="P64" s="186">
        <v>1.0</v>
      </c>
      <c r="Q64" s="436">
        <v>1.0</v>
      </c>
      <c r="R64" s="3"/>
      <c r="S64" s="3"/>
      <c r="T64" s="3"/>
      <c r="U64" s="3"/>
      <c r="V64" s="3"/>
      <c r="W64" s="3"/>
      <c r="X64" s="3"/>
      <c r="Y64" s="3"/>
      <c r="Z64" s="3"/>
    </row>
    <row r="65" ht="23.25" customHeight="1">
      <c r="A65" s="186">
        <v>47.0</v>
      </c>
      <c r="B65" s="186" t="s">
        <v>13969</v>
      </c>
      <c r="C65" s="191" t="s">
        <v>14033</v>
      </c>
      <c r="D65" s="188" t="s">
        <v>14034</v>
      </c>
      <c r="E65" s="186" t="s">
        <v>13869</v>
      </c>
      <c r="F65" s="186" t="s">
        <v>29</v>
      </c>
      <c r="G65" s="186" t="s">
        <v>37</v>
      </c>
      <c r="H65" s="186"/>
      <c r="I65" s="186" t="s">
        <v>38</v>
      </c>
      <c r="J65" s="186">
        <v>926.0</v>
      </c>
      <c r="K65" s="186"/>
      <c r="L65" s="438" t="s">
        <v>14035</v>
      </c>
      <c r="M65" s="186" t="s">
        <v>13972</v>
      </c>
      <c r="N65" s="186">
        <v>2002.0</v>
      </c>
      <c r="O65" s="191">
        <v>1.0</v>
      </c>
      <c r="P65" s="186">
        <v>1.0</v>
      </c>
      <c r="Q65" s="436">
        <v>1.0</v>
      </c>
      <c r="R65" s="3"/>
      <c r="S65" s="3"/>
      <c r="T65" s="3"/>
      <c r="U65" s="3"/>
      <c r="V65" s="3"/>
      <c r="W65" s="3"/>
      <c r="X65" s="3"/>
      <c r="Y65" s="3"/>
      <c r="Z65" s="3"/>
    </row>
    <row r="66" ht="24.75" customHeight="1">
      <c r="A66" s="186">
        <v>48.0</v>
      </c>
      <c r="B66" s="186" t="s">
        <v>13969</v>
      </c>
      <c r="C66" s="191" t="s">
        <v>14036</v>
      </c>
      <c r="D66" s="188" t="s">
        <v>14037</v>
      </c>
      <c r="E66" s="186" t="s">
        <v>13869</v>
      </c>
      <c r="F66" s="186" t="s">
        <v>29</v>
      </c>
      <c r="G66" s="186" t="s">
        <v>37</v>
      </c>
      <c r="H66" s="186"/>
      <c r="I66" s="186" t="s">
        <v>38</v>
      </c>
      <c r="J66" s="186">
        <v>958.0</v>
      </c>
      <c r="K66" s="186"/>
      <c r="L66" s="438" t="s">
        <v>14038</v>
      </c>
      <c r="M66" s="186" t="s">
        <v>13972</v>
      </c>
      <c r="N66" s="186">
        <v>2002.0</v>
      </c>
      <c r="O66" s="191">
        <v>1.0</v>
      </c>
      <c r="P66" s="186">
        <v>1.0</v>
      </c>
      <c r="Q66" s="436">
        <v>1.0</v>
      </c>
      <c r="R66" s="3"/>
      <c r="S66" s="3"/>
      <c r="T66" s="3"/>
      <c r="U66" s="3"/>
      <c r="V66" s="3"/>
      <c r="W66" s="3"/>
      <c r="X66" s="3"/>
      <c r="Y66" s="3"/>
      <c r="Z66" s="3"/>
    </row>
    <row r="67" ht="21.0" customHeight="1">
      <c r="A67" s="186">
        <v>49.0</v>
      </c>
      <c r="B67" s="186" t="s">
        <v>13969</v>
      </c>
      <c r="C67" s="191" t="s">
        <v>14039</v>
      </c>
      <c r="D67" s="188" t="s">
        <v>14040</v>
      </c>
      <c r="E67" s="186" t="s">
        <v>13869</v>
      </c>
      <c r="F67" s="186" t="s">
        <v>29</v>
      </c>
      <c r="G67" s="186" t="s">
        <v>37</v>
      </c>
      <c r="H67" s="186"/>
      <c r="I67" s="186" t="s">
        <v>38</v>
      </c>
      <c r="J67" s="186">
        <v>808.0</v>
      </c>
      <c r="K67" s="186"/>
      <c r="L67" s="438" t="s">
        <v>14041</v>
      </c>
      <c r="M67" s="186" t="s">
        <v>13972</v>
      </c>
      <c r="N67" s="186">
        <v>2002.0</v>
      </c>
      <c r="O67" s="191">
        <v>1.0</v>
      </c>
      <c r="P67" s="186">
        <v>1.0</v>
      </c>
      <c r="Q67" s="436">
        <v>1.0</v>
      </c>
      <c r="R67" s="3"/>
      <c r="S67" s="3"/>
      <c r="T67" s="3"/>
      <c r="U67" s="3"/>
      <c r="V67" s="3"/>
      <c r="W67" s="3"/>
      <c r="X67" s="3"/>
      <c r="Y67" s="3"/>
      <c r="Z67" s="3"/>
    </row>
    <row r="68" ht="21.0" customHeight="1">
      <c r="A68" s="186">
        <v>50.0</v>
      </c>
      <c r="B68" s="186" t="s">
        <v>13969</v>
      </c>
      <c r="C68" s="191" t="s">
        <v>14042</v>
      </c>
      <c r="D68" s="188" t="s">
        <v>14043</v>
      </c>
      <c r="E68" s="186" t="s">
        <v>13869</v>
      </c>
      <c r="F68" s="186" t="s">
        <v>29</v>
      </c>
      <c r="G68" s="186" t="s">
        <v>37</v>
      </c>
      <c r="H68" s="186"/>
      <c r="I68" s="186" t="s">
        <v>38</v>
      </c>
      <c r="J68" s="186">
        <v>828.0</v>
      </c>
      <c r="K68" s="186"/>
      <c r="L68" s="438" t="s">
        <v>14044</v>
      </c>
      <c r="M68" s="186" t="s">
        <v>13972</v>
      </c>
      <c r="N68" s="186">
        <v>2002.0</v>
      </c>
      <c r="O68" s="191">
        <v>1.0</v>
      </c>
      <c r="P68" s="186">
        <v>1.0</v>
      </c>
      <c r="Q68" s="439">
        <v>1.0</v>
      </c>
      <c r="R68" s="3"/>
      <c r="S68" s="3"/>
      <c r="T68" s="3"/>
      <c r="U68" s="3"/>
      <c r="V68" s="3"/>
      <c r="W68" s="3"/>
      <c r="X68" s="3"/>
      <c r="Y68" s="3"/>
      <c r="Z68" s="3"/>
    </row>
    <row r="69" ht="22.5" customHeight="1">
      <c r="A69" s="186">
        <v>51.0</v>
      </c>
      <c r="B69" s="186" t="s">
        <v>13969</v>
      </c>
      <c r="C69" s="186" t="s">
        <v>13970</v>
      </c>
      <c r="D69" s="188" t="s">
        <v>14045</v>
      </c>
      <c r="E69" s="186" t="s">
        <v>13869</v>
      </c>
      <c r="F69" s="186" t="s">
        <v>29</v>
      </c>
      <c r="G69" s="186" t="s">
        <v>37</v>
      </c>
      <c r="H69" s="186"/>
      <c r="I69" s="186" t="s">
        <v>38</v>
      </c>
      <c r="J69" s="186">
        <v>820.0</v>
      </c>
      <c r="K69" s="186"/>
      <c r="L69" s="440"/>
      <c r="M69" s="186" t="s">
        <v>13972</v>
      </c>
      <c r="N69" s="186">
        <v>2002.0</v>
      </c>
      <c r="O69" s="191">
        <v>1.0</v>
      </c>
      <c r="P69" s="186">
        <v>1.0</v>
      </c>
      <c r="Q69" s="439">
        <v>1.0</v>
      </c>
      <c r="R69" s="3"/>
      <c r="S69" s="3"/>
      <c r="T69" s="3"/>
      <c r="U69" s="3"/>
      <c r="V69" s="3"/>
      <c r="W69" s="3"/>
      <c r="X69" s="3"/>
      <c r="Y69" s="3"/>
      <c r="Z69" s="3"/>
    </row>
    <row r="70" ht="15.75" customHeight="1">
      <c r="A70" s="186">
        <v>52.0</v>
      </c>
      <c r="B70" s="186" t="s">
        <v>14046</v>
      </c>
      <c r="C70" s="191" t="s">
        <v>14047</v>
      </c>
      <c r="D70" s="188" t="s">
        <v>14048</v>
      </c>
      <c r="E70" s="186" t="s">
        <v>13869</v>
      </c>
      <c r="F70" s="186" t="s">
        <v>29</v>
      </c>
      <c r="G70" s="186" t="s">
        <v>30</v>
      </c>
      <c r="H70" s="186"/>
      <c r="I70" s="186" t="s">
        <v>30</v>
      </c>
      <c r="J70" s="186">
        <v>222.0</v>
      </c>
      <c r="K70" s="186"/>
      <c r="L70" s="186" t="s">
        <v>14049</v>
      </c>
      <c r="M70" s="186" t="s">
        <v>11894</v>
      </c>
      <c r="N70" s="186">
        <v>2004.0</v>
      </c>
      <c r="O70" s="191">
        <v>1.0</v>
      </c>
      <c r="P70" s="186">
        <v>1.0</v>
      </c>
      <c r="Q70" s="439">
        <v>1.0</v>
      </c>
      <c r="R70" s="149"/>
      <c r="S70" s="45"/>
      <c r="T70" s="45"/>
      <c r="U70" s="45"/>
      <c r="V70" s="45"/>
      <c r="W70" s="45"/>
      <c r="X70" s="45"/>
      <c r="Y70" s="45"/>
      <c r="Z70" s="45"/>
    </row>
    <row r="71" ht="15.75" customHeight="1">
      <c r="A71" s="186">
        <v>53.0</v>
      </c>
      <c r="B71" s="186" t="s">
        <v>14050</v>
      </c>
      <c r="C71" s="191" t="s">
        <v>14047</v>
      </c>
      <c r="D71" s="188" t="s">
        <v>14051</v>
      </c>
      <c r="E71" s="186" t="s">
        <v>13869</v>
      </c>
      <c r="F71" s="186" t="s">
        <v>29</v>
      </c>
      <c r="G71" s="186" t="s">
        <v>30</v>
      </c>
      <c r="H71" s="186"/>
      <c r="I71" s="186" t="s">
        <v>30</v>
      </c>
      <c r="J71" s="186">
        <v>254.0</v>
      </c>
      <c r="K71" s="186"/>
      <c r="L71" s="186" t="s">
        <v>14049</v>
      </c>
      <c r="M71" s="186" t="s">
        <v>11894</v>
      </c>
      <c r="N71" s="186">
        <v>2004.0</v>
      </c>
      <c r="O71" s="191">
        <v>1.0</v>
      </c>
      <c r="P71" s="186">
        <v>1.0</v>
      </c>
      <c r="Q71" s="439">
        <v>1.0</v>
      </c>
      <c r="R71" s="149"/>
      <c r="S71" s="45"/>
      <c r="T71" s="45"/>
      <c r="U71" s="45"/>
      <c r="V71" s="45"/>
      <c r="W71" s="45"/>
      <c r="X71" s="45"/>
      <c r="Y71" s="45"/>
      <c r="Z71" s="45"/>
    </row>
    <row r="72" ht="15.75" customHeight="1">
      <c r="A72" s="186">
        <v>54.0</v>
      </c>
      <c r="B72" s="186" t="s">
        <v>14052</v>
      </c>
      <c r="C72" s="191" t="s">
        <v>14047</v>
      </c>
      <c r="D72" s="188" t="s">
        <v>14053</v>
      </c>
      <c r="E72" s="186" t="s">
        <v>13869</v>
      </c>
      <c r="F72" s="186" t="s">
        <v>29</v>
      </c>
      <c r="G72" s="186" t="s">
        <v>30</v>
      </c>
      <c r="H72" s="186"/>
      <c r="I72" s="186" t="s">
        <v>30</v>
      </c>
      <c r="J72" s="186">
        <v>208.0</v>
      </c>
      <c r="K72" s="186"/>
      <c r="L72" s="186" t="s">
        <v>14049</v>
      </c>
      <c r="M72" s="186" t="s">
        <v>11894</v>
      </c>
      <c r="N72" s="186">
        <v>2004.0</v>
      </c>
      <c r="O72" s="191">
        <v>1.0</v>
      </c>
      <c r="P72" s="186">
        <v>1.0</v>
      </c>
      <c r="Q72" s="439">
        <v>1.0</v>
      </c>
      <c r="R72" s="149"/>
      <c r="S72" s="45"/>
      <c r="T72" s="45"/>
      <c r="U72" s="45"/>
      <c r="V72" s="45"/>
      <c r="W72" s="45"/>
      <c r="X72" s="45"/>
      <c r="Y72" s="45"/>
      <c r="Z72" s="45"/>
    </row>
    <row r="73" ht="15.75" customHeight="1">
      <c r="A73" s="186">
        <v>55.0</v>
      </c>
      <c r="B73" s="186" t="s">
        <v>14054</v>
      </c>
      <c r="C73" s="191" t="s">
        <v>14047</v>
      </c>
      <c r="D73" s="188" t="s">
        <v>14055</v>
      </c>
      <c r="E73" s="186" t="s">
        <v>13869</v>
      </c>
      <c r="F73" s="186" t="s">
        <v>29</v>
      </c>
      <c r="G73" s="186" t="s">
        <v>30</v>
      </c>
      <c r="H73" s="186"/>
      <c r="I73" s="186" t="s">
        <v>30</v>
      </c>
      <c r="J73" s="186">
        <v>240.0</v>
      </c>
      <c r="K73" s="186"/>
      <c r="L73" s="186" t="s">
        <v>14049</v>
      </c>
      <c r="M73" s="186" t="s">
        <v>11894</v>
      </c>
      <c r="N73" s="186">
        <v>2005.0</v>
      </c>
      <c r="O73" s="191">
        <v>1.0</v>
      </c>
      <c r="P73" s="186">
        <v>1.0</v>
      </c>
      <c r="Q73" s="439">
        <v>1.0</v>
      </c>
      <c r="R73" s="149"/>
      <c r="S73" s="45"/>
      <c r="T73" s="45"/>
      <c r="U73" s="45"/>
      <c r="V73" s="45"/>
      <c r="W73" s="45"/>
      <c r="X73" s="45"/>
      <c r="Y73" s="45"/>
      <c r="Z73" s="45"/>
    </row>
    <row r="74" ht="15.75" customHeight="1">
      <c r="A74" s="186">
        <v>56.0</v>
      </c>
      <c r="B74" s="186" t="s">
        <v>14056</v>
      </c>
      <c r="C74" s="191" t="s">
        <v>14047</v>
      </c>
      <c r="D74" s="188" t="s">
        <v>14057</v>
      </c>
      <c r="E74" s="186" t="s">
        <v>13869</v>
      </c>
      <c r="F74" s="186" t="s">
        <v>29</v>
      </c>
      <c r="G74" s="186" t="s">
        <v>30</v>
      </c>
      <c r="H74" s="186"/>
      <c r="I74" s="186" t="s">
        <v>30</v>
      </c>
      <c r="J74" s="186">
        <v>272.0</v>
      </c>
      <c r="K74" s="186"/>
      <c r="L74" s="186" t="s">
        <v>14049</v>
      </c>
      <c r="M74" s="186" t="s">
        <v>11894</v>
      </c>
      <c r="N74" s="186">
        <v>2005.0</v>
      </c>
      <c r="O74" s="191">
        <v>1.0</v>
      </c>
      <c r="P74" s="186">
        <v>1.0</v>
      </c>
      <c r="Q74" s="439">
        <v>1.0</v>
      </c>
      <c r="R74" s="149"/>
      <c r="S74" s="45"/>
      <c r="T74" s="45"/>
      <c r="U74" s="45"/>
      <c r="V74" s="45"/>
      <c r="W74" s="45"/>
      <c r="X74" s="45"/>
      <c r="Y74" s="45"/>
      <c r="Z74" s="45"/>
    </row>
    <row r="75" ht="15.75" customHeight="1">
      <c r="A75" s="186">
        <v>57.0</v>
      </c>
      <c r="B75" s="186" t="s">
        <v>14056</v>
      </c>
      <c r="C75" s="191" t="s">
        <v>14047</v>
      </c>
      <c r="D75" s="188" t="s">
        <v>14058</v>
      </c>
      <c r="E75" s="186" t="s">
        <v>13869</v>
      </c>
      <c r="F75" s="186" t="s">
        <v>29</v>
      </c>
      <c r="G75" s="186" t="s">
        <v>30</v>
      </c>
      <c r="H75" s="186"/>
      <c r="I75" s="186" t="s">
        <v>30</v>
      </c>
      <c r="J75" s="186">
        <v>271.0</v>
      </c>
      <c r="K75" s="186"/>
      <c r="L75" s="186" t="s">
        <v>14049</v>
      </c>
      <c r="M75" s="186" t="s">
        <v>11894</v>
      </c>
      <c r="N75" s="186">
        <v>2005.0</v>
      </c>
      <c r="O75" s="191">
        <v>1.0</v>
      </c>
      <c r="P75" s="186">
        <v>1.0</v>
      </c>
      <c r="Q75" s="439">
        <v>1.0</v>
      </c>
      <c r="R75" s="149"/>
      <c r="S75" s="45"/>
      <c r="T75" s="45"/>
      <c r="U75" s="45"/>
      <c r="V75" s="45"/>
      <c r="W75" s="45"/>
      <c r="X75" s="45"/>
      <c r="Y75" s="45"/>
      <c r="Z75" s="45"/>
    </row>
    <row r="76" ht="15.75" customHeight="1">
      <c r="A76" s="186">
        <v>58.0</v>
      </c>
      <c r="B76" s="186" t="s">
        <v>14056</v>
      </c>
      <c r="C76" s="191" t="s">
        <v>14047</v>
      </c>
      <c r="D76" s="188" t="s">
        <v>14059</v>
      </c>
      <c r="E76" s="186" t="s">
        <v>13869</v>
      </c>
      <c r="F76" s="186" t="s">
        <v>29</v>
      </c>
      <c r="G76" s="186" t="s">
        <v>30</v>
      </c>
      <c r="H76" s="186"/>
      <c r="I76" s="186" t="s">
        <v>30</v>
      </c>
      <c r="J76" s="186">
        <v>270.0</v>
      </c>
      <c r="K76" s="186"/>
      <c r="L76" s="186" t="s">
        <v>14049</v>
      </c>
      <c r="M76" s="186" t="s">
        <v>11894</v>
      </c>
      <c r="N76" s="186">
        <v>2005.0</v>
      </c>
      <c r="O76" s="191">
        <v>1.0</v>
      </c>
      <c r="P76" s="186">
        <v>1.0</v>
      </c>
      <c r="Q76" s="439">
        <v>1.0</v>
      </c>
      <c r="R76" s="149"/>
      <c r="S76" s="45"/>
      <c r="T76" s="45"/>
      <c r="U76" s="45"/>
      <c r="V76" s="45"/>
      <c r="W76" s="45"/>
      <c r="X76" s="45"/>
      <c r="Y76" s="45"/>
      <c r="Z76" s="45"/>
    </row>
    <row r="77" ht="15.75" customHeight="1">
      <c r="A77" s="186">
        <v>59.0</v>
      </c>
      <c r="B77" s="186" t="s">
        <v>14056</v>
      </c>
      <c r="C77" s="191" t="s">
        <v>14047</v>
      </c>
      <c r="D77" s="188" t="s">
        <v>14060</v>
      </c>
      <c r="E77" s="186" t="s">
        <v>13869</v>
      </c>
      <c r="F77" s="186" t="s">
        <v>29</v>
      </c>
      <c r="G77" s="186" t="s">
        <v>30</v>
      </c>
      <c r="H77" s="186"/>
      <c r="I77" s="186" t="s">
        <v>30</v>
      </c>
      <c r="J77" s="186">
        <v>264.0</v>
      </c>
      <c r="K77" s="186"/>
      <c r="L77" s="186" t="s">
        <v>14049</v>
      </c>
      <c r="M77" s="186" t="s">
        <v>11894</v>
      </c>
      <c r="N77" s="186">
        <v>2005.0</v>
      </c>
      <c r="O77" s="191">
        <v>1.0</v>
      </c>
      <c r="P77" s="186">
        <v>1.0</v>
      </c>
      <c r="Q77" s="439">
        <v>1.0</v>
      </c>
      <c r="R77" s="149"/>
      <c r="S77" s="45"/>
      <c r="T77" s="45"/>
      <c r="U77" s="45"/>
      <c r="V77" s="45"/>
      <c r="W77" s="45"/>
      <c r="X77" s="45"/>
      <c r="Y77" s="45"/>
      <c r="Z77" s="45"/>
    </row>
    <row r="78" ht="15.75" customHeight="1">
      <c r="A78" s="186">
        <v>60.0</v>
      </c>
      <c r="B78" s="186" t="s">
        <v>14056</v>
      </c>
      <c r="C78" s="191" t="s">
        <v>14047</v>
      </c>
      <c r="D78" s="188" t="s">
        <v>14061</v>
      </c>
      <c r="E78" s="186" t="s">
        <v>13869</v>
      </c>
      <c r="F78" s="186" t="s">
        <v>29</v>
      </c>
      <c r="G78" s="186" t="s">
        <v>30</v>
      </c>
      <c r="H78" s="186"/>
      <c r="I78" s="186" t="s">
        <v>30</v>
      </c>
      <c r="J78" s="186">
        <v>216.0</v>
      </c>
      <c r="K78" s="186"/>
      <c r="L78" s="186" t="s">
        <v>14049</v>
      </c>
      <c r="M78" s="186" t="s">
        <v>11894</v>
      </c>
      <c r="N78" s="186"/>
      <c r="O78" s="191">
        <v>1.0</v>
      </c>
      <c r="P78" s="186">
        <v>1.0</v>
      </c>
      <c r="Q78" s="439">
        <v>1.0</v>
      </c>
      <c r="R78" s="149"/>
      <c r="S78" s="45"/>
      <c r="T78" s="45"/>
      <c r="U78" s="45"/>
      <c r="V78" s="45"/>
      <c r="W78" s="45"/>
      <c r="X78" s="45"/>
      <c r="Y78" s="45"/>
      <c r="Z78" s="45"/>
    </row>
    <row r="79" ht="15.75" customHeight="1">
      <c r="A79" s="186">
        <v>61.0</v>
      </c>
      <c r="B79" s="186" t="s">
        <v>31</v>
      </c>
      <c r="C79" s="186" t="s">
        <v>14062</v>
      </c>
      <c r="D79" s="188" t="s">
        <v>14063</v>
      </c>
      <c r="E79" s="186" t="s">
        <v>13869</v>
      </c>
      <c r="F79" s="186" t="s">
        <v>29</v>
      </c>
      <c r="G79" s="186" t="s">
        <v>30</v>
      </c>
      <c r="H79" s="186"/>
      <c r="I79" s="186" t="s">
        <v>30</v>
      </c>
      <c r="J79" s="186">
        <v>603.0</v>
      </c>
      <c r="K79" s="186"/>
      <c r="L79" s="186" t="s">
        <v>31</v>
      </c>
      <c r="M79" s="186" t="s">
        <v>14064</v>
      </c>
      <c r="N79" s="186">
        <v>1980.0</v>
      </c>
      <c r="O79" s="191">
        <v>1.0</v>
      </c>
      <c r="P79" s="186">
        <v>1.0</v>
      </c>
      <c r="Q79" s="439">
        <v>1.0</v>
      </c>
      <c r="R79" s="149"/>
      <c r="S79" s="45"/>
      <c r="T79" s="45"/>
      <c r="U79" s="45"/>
      <c r="V79" s="45"/>
      <c r="W79" s="45"/>
      <c r="X79" s="45"/>
      <c r="Y79" s="45"/>
      <c r="Z79" s="45"/>
    </row>
    <row r="80" ht="15.75" customHeight="1">
      <c r="A80" s="186">
        <v>62.0</v>
      </c>
      <c r="B80" s="186" t="s">
        <v>31</v>
      </c>
      <c r="C80" s="186" t="s">
        <v>14062</v>
      </c>
      <c r="D80" s="188" t="s">
        <v>14065</v>
      </c>
      <c r="E80" s="186" t="s">
        <v>13869</v>
      </c>
      <c r="F80" s="186" t="s">
        <v>29</v>
      </c>
      <c r="G80" s="186" t="s">
        <v>30</v>
      </c>
      <c r="H80" s="186"/>
      <c r="I80" s="186" t="s">
        <v>30</v>
      </c>
      <c r="J80" s="186">
        <v>593.0</v>
      </c>
      <c r="K80" s="186"/>
      <c r="L80" s="186" t="s">
        <v>31</v>
      </c>
      <c r="M80" s="186" t="s">
        <v>14064</v>
      </c>
      <c r="N80" s="186">
        <v>1982.0</v>
      </c>
      <c r="O80" s="191">
        <v>1.0</v>
      </c>
      <c r="P80" s="186">
        <v>1.0</v>
      </c>
      <c r="Q80" s="439">
        <v>1.0</v>
      </c>
      <c r="R80" s="149"/>
      <c r="S80" s="45"/>
      <c r="T80" s="45"/>
      <c r="U80" s="45"/>
      <c r="V80" s="45"/>
      <c r="W80" s="45"/>
      <c r="X80" s="45"/>
      <c r="Y80" s="45"/>
      <c r="Z80" s="45"/>
    </row>
    <row r="81" ht="15.75" customHeight="1">
      <c r="A81" s="186">
        <v>63.0</v>
      </c>
      <c r="B81" s="186" t="s">
        <v>31</v>
      </c>
      <c r="C81" s="186" t="s">
        <v>14062</v>
      </c>
      <c r="D81" s="188" t="s">
        <v>14066</v>
      </c>
      <c r="E81" s="186" t="s">
        <v>13869</v>
      </c>
      <c r="F81" s="186" t="s">
        <v>29</v>
      </c>
      <c r="G81" s="186" t="s">
        <v>30</v>
      </c>
      <c r="H81" s="186"/>
      <c r="I81" s="186" t="s">
        <v>30</v>
      </c>
      <c r="J81" s="186">
        <v>621.0</v>
      </c>
      <c r="K81" s="186"/>
      <c r="L81" s="186" t="s">
        <v>31</v>
      </c>
      <c r="M81" s="186" t="s">
        <v>14064</v>
      </c>
      <c r="N81" s="186">
        <v>1984.0</v>
      </c>
      <c r="O81" s="191">
        <v>1.0</v>
      </c>
      <c r="P81" s="186">
        <v>1.0</v>
      </c>
      <c r="Q81" s="439">
        <v>1.0</v>
      </c>
      <c r="R81" s="149"/>
      <c r="S81" s="45"/>
      <c r="T81" s="45"/>
      <c r="U81" s="45"/>
      <c r="V81" s="45"/>
      <c r="W81" s="45"/>
      <c r="X81" s="45"/>
      <c r="Y81" s="45"/>
      <c r="Z81" s="45"/>
    </row>
    <row r="82" ht="15.75" customHeight="1">
      <c r="A82" s="186">
        <v>64.0</v>
      </c>
      <c r="B82" s="186" t="s">
        <v>31</v>
      </c>
      <c r="C82" s="186" t="s">
        <v>14062</v>
      </c>
      <c r="D82" s="188" t="s">
        <v>14067</v>
      </c>
      <c r="E82" s="186" t="s">
        <v>13869</v>
      </c>
      <c r="F82" s="186" t="s">
        <v>29</v>
      </c>
      <c r="G82" s="186" t="s">
        <v>30</v>
      </c>
      <c r="H82" s="186"/>
      <c r="I82" s="186" t="s">
        <v>30</v>
      </c>
      <c r="J82" s="186">
        <v>628.0</v>
      </c>
      <c r="K82" s="186"/>
      <c r="L82" s="186" t="s">
        <v>31</v>
      </c>
      <c r="M82" s="186" t="s">
        <v>14064</v>
      </c>
      <c r="N82" s="186">
        <v>1984.0</v>
      </c>
      <c r="O82" s="191">
        <v>1.0</v>
      </c>
      <c r="P82" s="186">
        <v>1.0</v>
      </c>
      <c r="Q82" s="439">
        <v>1.0</v>
      </c>
      <c r="R82" s="149"/>
      <c r="S82" s="45"/>
      <c r="T82" s="45"/>
      <c r="U82" s="45"/>
      <c r="V82" s="45"/>
      <c r="W82" s="45"/>
      <c r="X82" s="45"/>
      <c r="Y82" s="45"/>
      <c r="Z82" s="45"/>
    </row>
    <row r="83" ht="15.75" customHeight="1">
      <c r="A83" s="186">
        <v>65.0</v>
      </c>
      <c r="B83" s="186" t="s">
        <v>31</v>
      </c>
      <c r="C83" s="186" t="s">
        <v>14062</v>
      </c>
      <c r="D83" s="188" t="s">
        <v>14068</v>
      </c>
      <c r="E83" s="186" t="s">
        <v>13869</v>
      </c>
      <c r="F83" s="186" t="s">
        <v>29</v>
      </c>
      <c r="G83" s="186" t="s">
        <v>30</v>
      </c>
      <c r="H83" s="186"/>
      <c r="I83" s="186" t="s">
        <v>30</v>
      </c>
      <c r="J83" s="186">
        <v>641.0</v>
      </c>
      <c r="K83" s="186"/>
      <c r="L83" s="186" t="s">
        <v>31</v>
      </c>
      <c r="M83" s="186" t="s">
        <v>14064</v>
      </c>
      <c r="N83" s="186">
        <v>1984.0</v>
      </c>
      <c r="O83" s="191">
        <v>1.0</v>
      </c>
      <c r="P83" s="186">
        <v>1.0</v>
      </c>
      <c r="Q83" s="439">
        <v>1.0</v>
      </c>
      <c r="R83" s="149"/>
      <c r="S83" s="45"/>
      <c r="T83" s="45"/>
      <c r="U83" s="45"/>
      <c r="V83" s="45"/>
      <c r="W83" s="45"/>
      <c r="X83" s="45"/>
      <c r="Y83" s="45"/>
      <c r="Z83" s="45"/>
    </row>
    <row r="84" ht="15.75" customHeight="1">
      <c r="A84" s="186">
        <v>66.0</v>
      </c>
      <c r="B84" s="186" t="s">
        <v>14069</v>
      </c>
      <c r="C84" s="186" t="s">
        <v>14070</v>
      </c>
      <c r="D84" s="188" t="s">
        <v>14071</v>
      </c>
      <c r="E84" s="186" t="s">
        <v>13869</v>
      </c>
      <c r="F84" s="186" t="s">
        <v>29</v>
      </c>
      <c r="G84" s="186" t="s">
        <v>37</v>
      </c>
      <c r="H84" s="186"/>
      <c r="I84" s="186" t="s">
        <v>38</v>
      </c>
      <c r="J84" s="186">
        <v>495.0</v>
      </c>
      <c r="K84" s="186"/>
      <c r="L84" s="186" t="s">
        <v>31</v>
      </c>
      <c r="M84" s="186" t="s">
        <v>13972</v>
      </c>
      <c r="N84" s="186">
        <v>2004.0</v>
      </c>
      <c r="O84" s="191">
        <v>1.0</v>
      </c>
      <c r="P84" s="186">
        <v>1.0</v>
      </c>
      <c r="Q84" s="439">
        <v>1.0</v>
      </c>
      <c r="R84" s="149"/>
      <c r="S84" s="45"/>
      <c r="T84" s="45"/>
      <c r="U84" s="45"/>
      <c r="V84" s="45"/>
      <c r="W84" s="45"/>
      <c r="X84" s="45"/>
      <c r="Y84" s="45"/>
      <c r="Z84" s="45"/>
    </row>
    <row r="85" ht="15.75" customHeight="1">
      <c r="A85" s="186">
        <v>67.0</v>
      </c>
      <c r="B85" s="186" t="s">
        <v>14072</v>
      </c>
      <c r="C85" s="186" t="s">
        <v>14070</v>
      </c>
      <c r="D85" s="188" t="s">
        <v>14071</v>
      </c>
      <c r="E85" s="186" t="s">
        <v>13869</v>
      </c>
      <c r="F85" s="186" t="s">
        <v>29</v>
      </c>
      <c r="G85" s="186" t="s">
        <v>37</v>
      </c>
      <c r="H85" s="186"/>
      <c r="I85" s="186" t="s">
        <v>38</v>
      </c>
      <c r="J85" s="186">
        <v>1310.0</v>
      </c>
      <c r="K85" s="186"/>
      <c r="L85" s="186" t="s">
        <v>31</v>
      </c>
      <c r="M85" s="186" t="s">
        <v>13972</v>
      </c>
      <c r="N85" s="186">
        <v>2005.0</v>
      </c>
      <c r="O85" s="191">
        <v>1.0</v>
      </c>
      <c r="P85" s="186">
        <v>1.0</v>
      </c>
      <c r="Q85" s="439">
        <v>1.0</v>
      </c>
      <c r="R85" s="149"/>
      <c r="S85" s="45"/>
      <c r="T85" s="45"/>
      <c r="U85" s="45"/>
      <c r="V85" s="45"/>
      <c r="W85" s="45"/>
      <c r="X85" s="45"/>
      <c r="Y85" s="45"/>
      <c r="Z85" s="45"/>
    </row>
    <row r="86" ht="15.75" customHeight="1">
      <c r="A86" s="186">
        <v>68.0</v>
      </c>
      <c r="B86" s="186" t="s">
        <v>14073</v>
      </c>
      <c r="C86" s="186" t="s">
        <v>14074</v>
      </c>
      <c r="D86" s="188" t="s">
        <v>14071</v>
      </c>
      <c r="E86" s="186" t="s">
        <v>13869</v>
      </c>
      <c r="F86" s="186" t="s">
        <v>29</v>
      </c>
      <c r="G86" s="186" t="s">
        <v>37</v>
      </c>
      <c r="H86" s="186"/>
      <c r="I86" s="186" t="s">
        <v>38</v>
      </c>
      <c r="J86" s="186">
        <v>495.0</v>
      </c>
      <c r="K86" s="186"/>
      <c r="L86" s="186" t="s">
        <v>31</v>
      </c>
      <c r="M86" s="186" t="s">
        <v>13972</v>
      </c>
      <c r="N86" s="186">
        <v>2007.0</v>
      </c>
      <c r="O86" s="191">
        <v>1.0</v>
      </c>
      <c r="P86" s="186">
        <v>1.0</v>
      </c>
      <c r="Q86" s="439">
        <v>1.0</v>
      </c>
      <c r="R86" s="149"/>
      <c r="S86" s="45"/>
      <c r="T86" s="45"/>
      <c r="U86" s="45"/>
      <c r="V86" s="45"/>
      <c r="W86" s="45"/>
      <c r="X86" s="45"/>
      <c r="Y86" s="45"/>
      <c r="Z86" s="45"/>
    </row>
    <row r="87" ht="15.75" customHeight="1">
      <c r="A87" s="186">
        <v>69.0</v>
      </c>
      <c r="B87" s="186" t="s">
        <v>14075</v>
      </c>
      <c r="C87" s="186" t="s">
        <v>14074</v>
      </c>
      <c r="D87" s="188" t="s">
        <v>14071</v>
      </c>
      <c r="E87" s="186" t="s">
        <v>13869</v>
      </c>
      <c r="F87" s="186" t="s">
        <v>29</v>
      </c>
      <c r="G87" s="186" t="s">
        <v>37</v>
      </c>
      <c r="H87" s="186"/>
      <c r="I87" s="186" t="s">
        <v>38</v>
      </c>
      <c r="J87" s="186">
        <v>495.0</v>
      </c>
      <c r="K87" s="186"/>
      <c r="L87" s="186" t="s">
        <v>31</v>
      </c>
      <c r="M87" s="186" t="s">
        <v>13972</v>
      </c>
      <c r="N87" s="186">
        <v>2008.0</v>
      </c>
      <c r="O87" s="191">
        <v>1.0</v>
      </c>
      <c r="P87" s="186">
        <v>1.0</v>
      </c>
      <c r="Q87" s="439">
        <v>1.0</v>
      </c>
      <c r="R87" s="149"/>
      <c r="S87" s="45"/>
      <c r="T87" s="45"/>
      <c r="U87" s="45"/>
      <c r="V87" s="45"/>
      <c r="W87" s="45"/>
      <c r="X87" s="45"/>
      <c r="Y87" s="45"/>
      <c r="Z87" s="45"/>
    </row>
    <row r="88" ht="15.75" customHeight="1">
      <c r="A88" s="186">
        <v>70.0</v>
      </c>
      <c r="B88" s="186" t="s">
        <v>14076</v>
      </c>
      <c r="C88" s="186" t="s">
        <v>14074</v>
      </c>
      <c r="D88" s="188" t="s">
        <v>14071</v>
      </c>
      <c r="E88" s="186" t="s">
        <v>13869</v>
      </c>
      <c r="F88" s="186" t="s">
        <v>29</v>
      </c>
      <c r="G88" s="186" t="s">
        <v>37</v>
      </c>
      <c r="H88" s="186"/>
      <c r="I88" s="186" t="s">
        <v>38</v>
      </c>
      <c r="J88" s="186">
        <v>495.0</v>
      </c>
      <c r="K88" s="186"/>
      <c r="L88" s="186" t="s">
        <v>31</v>
      </c>
      <c r="M88" s="186" t="s">
        <v>13972</v>
      </c>
      <c r="N88" s="186">
        <v>2009.0</v>
      </c>
      <c r="O88" s="191">
        <v>1.0</v>
      </c>
      <c r="P88" s="186">
        <v>1.0</v>
      </c>
      <c r="Q88" s="439">
        <v>1.0</v>
      </c>
      <c r="R88" s="149"/>
      <c r="S88" s="45"/>
      <c r="T88" s="45"/>
      <c r="U88" s="45"/>
      <c r="V88" s="45"/>
      <c r="W88" s="45"/>
      <c r="X88" s="45"/>
      <c r="Y88" s="45"/>
      <c r="Z88" s="45"/>
    </row>
    <row r="89" ht="15.75" customHeight="1">
      <c r="A89" s="186">
        <v>71.0</v>
      </c>
      <c r="B89" s="186" t="s">
        <v>14077</v>
      </c>
      <c r="C89" s="191" t="s">
        <v>14078</v>
      </c>
      <c r="D89" s="188" t="s">
        <v>14079</v>
      </c>
      <c r="E89" s="186" t="s">
        <v>13869</v>
      </c>
      <c r="F89" s="186" t="s">
        <v>29</v>
      </c>
      <c r="G89" s="186" t="s">
        <v>30</v>
      </c>
      <c r="H89" s="186"/>
      <c r="I89" s="186" t="s">
        <v>30</v>
      </c>
      <c r="J89" s="186">
        <v>224.0</v>
      </c>
      <c r="K89" s="186"/>
      <c r="L89" s="186" t="s">
        <v>14080</v>
      </c>
      <c r="M89" s="186" t="s">
        <v>139</v>
      </c>
      <c r="N89" s="186">
        <v>2005.0</v>
      </c>
      <c r="O89" s="191">
        <v>1.0</v>
      </c>
      <c r="P89" s="186">
        <v>1.0</v>
      </c>
      <c r="Q89" s="37">
        <v>1.0</v>
      </c>
      <c r="R89" s="149"/>
      <c r="S89" s="45"/>
      <c r="T89" s="45"/>
      <c r="U89" s="45"/>
      <c r="V89" s="45"/>
      <c r="W89" s="45"/>
      <c r="X89" s="45"/>
      <c r="Y89" s="45"/>
      <c r="Z89" s="45"/>
    </row>
    <row r="90" ht="15.75" customHeight="1">
      <c r="A90" s="186">
        <v>72.0</v>
      </c>
      <c r="B90" s="186" t="s">
        <v>14077</v>
      </c>
      <c r="C90" s="191" t="s">
        <v>14078</v>
      </c>
      <c r="D90" s="188" t="s">
        <v>14081</v>
      </c>
      <c r="E90" s="186" t="s">
        <v>13869</v>
      </c>
      <c r="F90" s="186" t="s">
        <v>29</v>
      </c>
      <c r="G90" s="186" t="s">
        <v>30</v>
      </c>
      <c r="H90" s="186"/>
      <c r="I90" s="186" t="s">
        <v>30</v>
      </c>
      <c r="J90" s="186">
        <v>196.0</v>
      </c>
      <c r="K90" s="186"/>
      <c r="L90" s="186" t="s">
        <v>14080</v>
      </c>
      <c r="M90" s="186" t="s">
        <v>139</v>
      </c>
      <c r="N90" s="186">
        <v>2005.0</v>
      </c>
      <c r="O90" s="191">
        <v>1.0</v>
      </c>
      <c r="P90" s="186">
        <v>1.0</v>
      </c>
      <c r="Q90" s="37">
        <v>1.0</v>
      </c>
      <c r="R90" s="149"/>
      <c r="S90" s="45"/>
      <c r="T90" s="45"/>
      <c r="U90" s="45"/>
      <c r="V90" s="45"/>
      <c r="W90" s="45"/>
      <c r="X90" s="45"/>
      <c r="Y90" s="45"/>
      <c r="Z90" s="45"/>
    </row>
    <row r="91" ht="15.75" customHeight="1">
      <c r="A91" s="186">
        <v>73.0</v>
      </c>
      <c r="B91" s="186" t="s">
        <v>14077</v>
      </c>
      <c r="C91" s="191" t="s">
        <v>14078</v>
      </c>
      <c r="D91" s="188" t="s">
        <v>14082</v>
      </c>
      <c r="E91" s="186" t="s">
        <v>13869</v>
      </c>
      <c r="F91" s="186" t="s">
        <v>29</v>
      </c>
      <c r="G91" s="186" t="s">
        <v>30</v>
      </c>
      <c r="H91" s="186"/>
      <c r="I91" s="186" t="s">
        <v>30</v>
      </c>
      <c r="J91" s="186">
        <v>160.0</v>
      </c>
      <c r="K91" s="186"/>
      <c r="L91" s="186" t="s">
        <v>14080</v>
      </c>
      <c r="M91" s="186" t="s">
        <v>139</v>
      </c>
      <c r="N91" s="186">
        <v>2005.0</v>
      </c>
      <c r="O91" s="191">
        <v>1.0</v>
      </c>
      <c r="P91" s="186">
        <v>1.0</v>
      </c>
      <c r="Q91" s="37">
        <v>1.0</v>
      </c>
      <c r="R91" s="149"/>
      <c r="S91" s="45"/>
      <c r="T91" s="45"/>
      <c r="U91" s="45"/>
      <c r="V91" s="45"/>
      <c r="W91" s="45"/>
      <c r="X91" s="45"/>
      <c r="Y91" s="45"/>
      <c r="Z91" s="45"/>
    </row>
    <row r="92" ht="15.75" customHeight="1">
      <c r="A92" s="186">
        <v>74.0</v>
      </c>
      <c r="B92" s="186" t="s">
        <v>14077</v>
      </c>
      <c r="C92" s="191" t="s">
        <v>14078</v>
      </c>
      <c r="D92" s="188" t="s">
        <v>14083</v>
      </c>
      <c r="E92" s="186" t="s">
        <v>13869</v>
      </c>
      <c r="F92" s="186" t="s">
        <v>29</v>
      </c>
      <c r="G92" s="186" t="s">
        <v>30</v>
      </c>
      <c r="H92" s="186"/>
      <c r="I92" s="186" t="s">
        <v>30</v>
      </c>
      <c r="J92" s="186">
        <v>196.0</v>
      </c>
      <c r="K92" s="186"/>
      <c r="L92" s="186" t="s">
        <v>14080</v>
      </c>
      <c r="M92" s="186" t="s">
        <v>139</v>
      </c>
      <c r="N92" s="186">
        <v>2005.0</v>
      </c>
      <c r="O92" s="191">
        <v>1.0</v>
      </c>
      <c r="P92" s="186">
        <v>1.0</v>
      </c>
      <c r="Q92" s="37">
        <v>1.0</v>
      </c>
      <c r="R92" s="149"/>
      <c r="S92" s="45"/>
      <c r="T92" s="45"/>
      <c r="U92" s="45"/>
      <c r="V92" s="45"/>
      <c r="W92" s="45"/>
      <c r="X92" s="45"/>
      <c r="Y92" s="45"/>
      <c r="Z92" s="45"/>
    </row>
    <row r="93" ht="15.75" customHeight="1">
      <c r="A93" s="186">
        <v>75.0</v>
      </c>
      <c r="B93" s="186" t="s">
        <v>14077</v>
      </c>
      <c r="C93" s="191" t="s">
        <v>14078</v>
      </c>
      <c r="D93" s="188" t="s">
        <v>14084</v>
      </c>
      <c r="E93" s="186" t="s">
        <v>13869</v>
      </c>
      <c r="F93" s="186" t="s">
        <v>29</v>
      </c>
      <c r="G93" s="186" t="s">
        <v>30</v>
      </c>
      <c r="H93" s="186"/>
      <c r="I93" s="186" t="s">
        <v>30</v>
      </c>
      <c r="J93" s="186">
        <v>208.0</v>
      </c>
      <c r="K93" s="186"/>
      <c r="L93" s="186" t="s">
        <v>14080</v>
      </c>
      <c r="M93" s="186" t="s">
        <v>139</v>
      </c>
      <c r="N93" s="186">
        <v>2005.0</v>
      </c>
      <c r="O93" s="191">
        <v>1.0</v>
      </c>
      <c r="P93" s="186">
        <v>1.0</v>
      </c>
      <c r="Q93" s="37">
        <v>1.0</v>
      </c>
      <c r="R93" s="149"/>
      <c r="S93" s="45"/>
      <c r="T93" s="45"/>
      <c r="U93" s="45"/>
      <c r="V93" s="45"/>
      <c r="W93" s="45"/>
      <c r="X93" s="45"/>
      <c r="Y93" s="45"/>
      <c r="Z93" s="45"/>
    </row>
    <row r="94" ht="15.75" customHeight="1">
      <c r="A94" s="186">
        <v>76.0</v>
      </c>
      <c r="B94" s="186" t="s">
        <v>14077</v>
      </c>
      <c r="C94" s="191" t="s">
        <v>14078</v>
      </c>
      <c r="D94" s="188" t="s">
        <v>14085</v>
      </c>
      <c r="E94" s="186" t="s">
        <v>13869</v>
      </c>
      <c r="F94" s="186" t="s">
        <v>29</v>
      </c>
      <c r="G94" s="186" t="s">
        <v>30</v>
      </c>
      <c r="H94" s="186"/>
      <c r="I94" s="186" t="s">
        <v>30</v>
      </c>
      <c r="J94" s="186">
        <v>128.0</v>
      </c>
      <c r="K94" s="186"/>
      <c r="L94" s="186" t="s">
        <v>14080</v>
      </c>
      <c r="M94" s="186" t="s">
        <v>139</v>
      </c>
      <c r="N94" s="186">
        <v>2005.0</v>
      </c>
      <c r="O94" s="191">
        <v>1.0</v>
      </c>
      <c r="P94" s="186">
        <v>1.0</v>
      </c>
      <c r="Q94" s="37">
        <v>1.0</v>
      </c>
      <c r="R94" s="149"/>
      <c r="S94" s="45"/>
      <c r="T94" s="45"/>
      <c r="U94" s="45"/>
      <c r="V94" s="45"/>
      <c r="W94" s="45"/>
      <c r="X94" s="45"/>
      <c r="Y94" s="45"/>
      <c r="Z94" s="45"/>
    </row>
    <row r="95" ht="15.75" customHeight="1">
      <c r="A95" s="322">
        <v>77.0</v>
      </c>
      <c r="B95" s="322" t="s">
        <v>14086</v>
      </c>
      <c r="C95" s="322" t="s">
        <v>31</v>
      </c>
      <c r="D95" s="420" t="s">
        <v>14087</v>
      </c>
      <c r="E95" s="322" t="s">
        <v>13869</v>
      </c>
      <c r="F95" s="322" t="s">
        <v>29</v>
      </c>
      <c r="G95" s="322" t="s">
        <v>30</v>
      </c>
      <c r="H95" s="322"/>
      <c r="I95" s="322" t="s">
        <v>30</v>
      </c>
      <c r="J95" s="322">
        <v>213.0</v>
      </c>
      <c r="K95" s="322"/>
      <c r="L95" s="322" t="s">
        <v>5473</v>
      </c>
      <c r="M95" s="322" t="s">
        <v>5412</v>
      </c>
      <c r="N95" s="322">
        <v>2001.0</v>
      </c>
      <c r="O95" s="322" t="s">
        <v>388</v>
      </c>
      <c r="P95" s="322">
        <v>1.0</v>
      </c>
      <c r="Q95" s="307"/>
      <c r="R95" s="149"/>
      <c r="S95" s="45"/>
      <c r="T95" s="45"/>
      <c r="U95" s="45"/>
      <c r="V95" s="45"/>
      <c r="W95" s="45"/>
      <c r="X95" s="45"/>
      <c r="Y95" s="45"/>
      <c r="Z95" s="45"/>
    </row>
    <row r="96" ht="15.75" customHeight="1">
      <c r="A96" s="417">
        <v>78.0</v>
      </c>
      <c r="B96" s="417" t="s">
        <v>31</v>
      </c>
      <c r="C96" s="427" t="s">
        <v>14088</v>
      </c>
      <c r="D96" s="418" t="s">
        <v>14089</v>
      </c>
      <c r="E96" s="417" t="s">
        <v>13869</v>
      </c>
      <c r="F96" s="417" t="s">
        <v>29</v>
      </c>
      <c r="G96" s="417" t="s">
        <v>30</v>
      </c>
      <c r="H96" s="417" t="s">
        <v>31</v>
      </c>
      <c r="I96" s="417" t="s">
        <v>30</v>
      </c>
      <c r="J96" s="417">
        <v>799.0</v>
      </c>
      <c r="K96" s="417"/>
      <c r="L96" s="417" t="s">
        <v>14090</v>
      </c>
      <c r="M96" s="417" t="s">
        <v>14091</v>
      </c>
      <c r="N96" s="417">
        <v>1989.0</v>
      </c>
      <c r="O96" s="427" t="s">
        <v>14092</v>
      </c>
      <c r="P96" s="417">
        <v>1.0</v>
      </c>
      <c r="Q96" s="428">
        <v>1.0</v>
      </c>
      <c r="R96" s="149"/>
      <c r="S96" s="45"/>
      <c r="T96" s="45"/>
      <c r="U96" s="45"/>
      <c r="V96" s="45"/>
      <c r="W96" s="45"/>
      <c r="X96" s="45"/>
      <c r="Y96" s="45"/>
      <c r="Z96" s="45"/>
    </row>
    <row r="97" ht="15.75" customHeight="1">
      <c r="A97" s="186">
        <v>79.0</v>
      </c>
      <c r="B97" s="186"/>
      <c r="C97" s="191" t="s">
        <v>14093</v>
      </c>
      <c r="D97" s="188" t="s">
        <v>14094</v>
      </c>
      <c r="E97" s="186" t="s">
        <v>13869</v>
      </c>
      <c r="F97" s="186" t="s">
        <v>29</v>
      </c>
      <c r="G97" s="186" t="s">
        <v>30</v>
      </c>
      <c r="H97" s="186" t="s">
        <v>31</v>
      </c>
      <c r="I97" s="186" t="s">
        <v>30</v>
      </c>
      <c r="J97" s="186">
        <v>714.0</v>
      </c>
      <c r="K97" s="186"/>
      <c r="L97" s="191" t="s">
        <v>14095</v>
      </c>
      <c r="M97" s="186" t="s">
        <v>14096</v>
      </c>
      <c r="N97" s="186">
        <v>1962.0</v>
      </c>
      <c r="O97" s="191">
        <v>1.0</v>
      </c>
      <c r="P97" s="191">
        <v>2.0</v>
      </c>
      <c r="Q97" s="37">
        <v>2.0</v>
      </c>
      <c r="R97" s="149"/>
      <c r="S97" s="45"/>
      <c r="T97" s="45"/>
      <c r="U97" s="45"/>
      <c r="V97" s="45"/>
      <c r="W97" s="45"/>
      <c r="X97" s="45"/>
      <c r="Y97" s="45"/>
      <c r="Z97" s="45"/>
    </row>
    <row r="98" ht="15.75" customHeight="1">
      <c r="A98" s="186">
        <v>80.0</v>
      </c>
      <c r="B98" s="186" t="s">
        <v>13906</v>
      </c>
      <c r="C98" s="191" t="s">
        <v>14093</v>
      </c>
      <c r="D98" s="188" t="s">
        <v>14097</v>
      </c>
      <c r="E98" s="186" t="s">
        <v>13869</v>
      </c>
      <c r="F98" s="186" t="s">
        <v>29</v>
      </c>
      <c r="G98" s="186" t="s">
        <v>30</v>
      </c>
      <c r="H98" s="186" t="s">
        <v>31</v>
      </c>
      <c r="I98" s="186" t="s">
        <v>30</v>
      </c>
      <c r="J98" s="186">
        <v>717.0</v>
      </c>
      <c r="K98" s="186"/>
      <c r="L98" s="191" t="s">
        <v>14095</v>
      </c>
      <c r="M98" s="186" t="s">
        <v>14096</v>
      </c>
      <c r="N98" s="186">
        <v>2003.0</v>
      </c>
      <c r="O98" s="191">
        <v>1.0</v>
      </c>
      <c r="P98" s="186">
        <v>1.0</v>
      </c>
      <c r="Q98" s="37">
        <v>1.0</v>
      </c>
      <c r="R98" s="149"/>
      <c r="S98" s="45"/>
      <c r="T98" s="45"/>
      <c r="U98" s="45"/>
      <c r="V98" s="45"/>
      <c r="W98" s="45"/>
      <c r="X98" s="45"/>
      <c r="Y98" s="45"/>
      <c r="Z98" s="45"/>
    </row>
    <row r="99" ht="15.75" customHeight="1">
      <c r="A99" s="433">
        <v>81.0</v>
      </c>
      <c r="B99" s="433" t="s">
        <v>14098</v>
      </c>
      <c r="C99" s="433" t="s">
        <v>14099</v>
      </c>
      <c r="D99" s="434" t="s">
        <v>14100</v>
      </c>
      <c r="E99" s="433" t="s">
        <v>13869</v>
      </c>
      <c r="F99" s="433" t="s">
        <v>29</v>
      </c>
      <c r="G99" s="433" t="s">
        <v>30</v>
      </c>
      <c r="H99" s="433"/>
      <c r="I99" s="433" t="s">
        <v>30</v>
      </c>
      <c r="J99" s="433">
        <v>130.0</v>
      </c>
      <c r="K99" s="433"/>
      <c r="L99" s="433" t="s">
        <v>14101</v>
      </c>
      <c r="M99" s="433" t="s">
        <v>161</v>
      </c>
      <c r="N99" s="433">
        <v>2011.0</v>
      </c>
      <c r="O99" s="433" t="s">
        <v>388</v>
      </c>
      <c r="P99" s="433">
        <v>1.0</v>
      </c>
      <c r="Q99" s="342"/>
      <c r="R99" s="441"/>
      <c r="S99" s="441"/>
      <c r="T99" s="441"/>
      <c r="U99" s="441"/>
      <c r="V99" s="441"/>
      <c r="W99" s="441"/>
      <c r="X99" s="441"/>
      <c r="Y99" s="441"/>
      <c r="Z99" s="441"/>
    </row>
    <row r="100" ht="15.75" customHeight="1">
      <c r="A100" s="186"/>
      <c r="B100" s="186" t="s">
        <v>14102</v>
      </c>
      <c r="C100" s="191" t="s">
        <v>14103</v>
      </c>
      <c r="D100" s="188" t="s">
        <v>14104</v>
      </c>
      <c r="E100" s="186" t="s">
        <v>13869</v>
      </c>
      <c r="F100" s="186" t="s">
        <v>29</v>
      </c>
      <c r="G100" s="186" t="s">
        <v>37</v>
      </c>
      <c r="H100" s="186"/>
      <c r="I100" s="186" t="s">
        <v>38</v>
      </c>
      <c r="J100" s="186">
        <v>498.0</v>
      </c>
      <c r="K100" s="186"/>
      <c r="L100" s="186" t="s">
        <v>14105</v>
      </c>
      <c r="M100" s="186" t="s">
        <v>14106</v>
      </c>
      <c r="N100" s="186">
        <v>2006.0</v>
      </c>
      <c r="O100" s="191">
        <v>1.0</v>
      </c>
      <c r="P100" s="186">
        <v>2.0</v>
      </c>
      <c r="Q100" s="37">
        <v>1.0</v>
      </c>
      <c r="R100" s="149"/>
      <c r="S100" s="45"/>
      <c r="T100" s="45"/>
      <c r="U100" s="45"/>
      <c r="V100" s="45"/>
      <c r="W100" s="45"/>
      <c r="X100" s="45"/>
      <c r="Y100" s="45"/>
      <c r="Z100" s="45"/>
    </row>
    <row r="101" ht="15.75" customHeight="1">
      <c r="A101" s="186"/>
      <c r="B101" s="186" t="s">
        <v>14107</v>
      </c>
      <c r="C101" s="191" t="s">
        <v>14108</v>
      </c>
      <c r="D101" s="188" t="s">
        <v>14109</v>
      </c>
      <c r="E101" s="186" t="s">
        <v>13869</v>
      </c>
      <c r="F101" s="186" t="s">
        <v>29</v>
      </c>
      <c r="G101" s="186" t="s">
        <v>37</v>
      </c>
      <c r="H101" s="186"/>
      <c r="I101" s="186" t="s">
        <v>38</v>
      </c>
      <c r="J101" s="186">
        <v>524.0</v>
      </c>
      <c r="K101" s="186"/>
      <c r="L101" s="186" t="s">
        <v>14110</v>
      </c>
      <c r="M101" s="186" t="s">
        <v>14106</v>
      </c>
      <c r="N101" s="186">
        <v>2000.0</v>
      </c>
      <c r="O101" s="191">
        <v>1.0</v>
      </c>
      <c r="P101" s="186">
        <v>1.0</v>
      </c>
      <c r="Q101" s="37">
        <v>1.0</v>
      </c>
      <c r="R101" s="149"/>
      <c r="S101" s="45"/>
      <c r="T101" s="45"/>
      <c r="U101" s="45"/>
      <c r="V101" s="45"/>
      <c r="W101" s="45"/>
      <c r="X101" s="45"/>
      <c r="Y101" s="45"/>
      <c r="Z101" s="45"/>
    </row>
    <row r="102" ht="15.75" customHeight="1">
      <c r="A102" s="186"/>
      <c r="B102" s="421" t="s">
        <v>14111</v>
      </c>
      <c r="C102" s="191" t="s">
        <v>14112</v>
      </c>
      <c r="D102" s="188" t="s">
        <v>14113</v>
      </c>
      <c r="E102" s="186" t="s">
        <v>13869</v>
      </c>
      <c r="F102" s="186" t="s">
        <v>29</v>
      </c>
      <c r="G102" s="186" t="s">
        <v>37</v>
      </c>
      <c r="H102" s="186"/>
      <c r="I102" s="186" t="s">
        <v>38</v>
      </c>
      <c r="J102" s="186">
        <v>498.0</v>
      </c>
      <c r="K102" s="186"/>
      <c r="L102" s="421" t="s">
        <v>14114</v>
      </c>
      <c r="M102" s="186" t="s">
        <v>14106</v>
      </c>
      <c r="N102" s="186">
        <v>2001.0</v>
      </c>
      <c r="O102" s="191">
        <v>1.0</v>
      </c>
      <c r="P102" s="186">
        <v>2.0</v>
      </c>
      <c r="Q102" s="37">
        <v>1.0</v>
      </c>
      <c r="R102" s="149"/>
      <c r="S102" s="45"/>
      <c r="T102" s="45"/>
      <c r="U102" s="45"/>
      <c r="V102" s="45"/>
      <c r="W102" s="45"/>
      <c r="X102" s="45"/>
      <c r="Y102" s="45"/>
      <c r="Z102" s="45"/>
    </row>
    <row r="103" ht="15.75" customHeight="1">
      <c r="A103" s="186"/>
      <c r="B103" s="421"/>
      <c r="C103" s="421" t="s">
        <v>14115</v>
      </c>
      <c r="D103" s="423" t="s">
        <v>14116</v>
      </c>
      <c r="E103" s="186" t="s">
        <v>13869</v>
      </c>
      <c r="F103" s="421" t="s">
        <v>47</v>
      </c>
      <c r="G103" s="421" t="s">
        <v>30</v>
      </c>
      <c r="H103" s="421"/>
      <c r="I103" s="421" t="s">
        <v>30</v>
      </c>
      <c r="J103" s="421">
        <v>838.0</v>
      </c>
      <c r="K103" s="421"/>
      <c r="L103" s="421" t="s">
        <v>14117</v>
      </c>
      <c r="M103" s="186" t="s">
        <v>8397</v>
      </c>
      <c r="N103" s="421">
        <v>2009.0</v>
      </c>
      <c r="O103" s="191">
        <v>1.0</v>
      </c>
      <c r="P103" s="421">
        <v>1.0</v>
      </c>
      <c r="Q103" s="37">
        <v>1.0</v>
      </c>
      <c r="R103" s="149"/>
      <c r="S103" s="45"/>
      <c r="T103" s="45"/>
      <c r="U103" s="45"/>
      <c r="V103" s="45"/>
      <c r="W103" s="45"/>
      <c r="X103" s="45"/>
      <c r="Y103" s="45"/>
      <c r="Z103" s="45"/>
    </row>
    <row r="104" ht="15.75" customHeight="1">
      <c r="A104" s="70"/>
      <c r="B104" s="186" t="s">
        <v>14118</v>
      </c>
      <c r="C104" s="191" t="s">
        <v>14119</v>
      </c>
      <c r="D104" s="188" t="s">
        <v>14120</v>
      </c>
      <c r="E104" s="186" t="s">
        <v>13869</v>
      </c>
      <c r="F104" s="186" t="s">
        <v>29</v>
      </c>
      <c r="G104" s="186" t="s">
        <v>37</v>
      </c>
      <c r="H104" s="186"/>
      <c r="I104" s="186" t="s">
        <v>38</v>
      </c>
      <c r="J104" s="191">
        <v>2152.0</v>
      </c>
      <c r="K104" s="186"/>
      <c r="L104" s="186" t="s">
        <v>14121</v>
      </c>
      <c r="M104" s="186" t="s">
        <v>272</v>
      </c>
      <c r="N104" s="186">
        <v>2008.0</v>
      </c>
      <c r="O104" s="191">
        <v>1.0</v>
      </c>
      <c r="P104" s="186">
        <v>1.0</v>
      </c>
      <c r="Q104" s="37">
        <v>1.0</v>
      </c>
      <c r="R104" s="149"/>
      <c r="S104" s="45"/>
      <c r="T104" s="45"/>
      <c r="U104" s="45"/>
      <c r="V104" s="45"/>
      <c r="W104" s="45"/>
      <c r="X104" s="45"/>
      <c r="Y104" s="45"/>
      <c r="Z104" s="45"/>
    </row>
    <row r="105" ht="15.75" customHeight="1">
      <c r="A105" s="186"/>
      <c r="B105" s="421" t="s">
        <v>14122</v>
      </c>
      <c r="C105" s="421" t="s">
        <v>14123</v>
      </c>
      <c r="D105" s="423" t="s">
        <v>14124</v>
      </c>
      <c r="E105" s="186" t="s">
        <v>13869</v>
      </c>
      <c r="F105" s="186" t="s">
        <v>29</v>
      </c>
      <c r="G105" s="421" t="s">
        <v>30</v>
      </c>
      <c r="H105" s="421"/>
      <c r="I105" s="421" t="s">
        <v>30</v>
      </c>
      <c r="J105" s="421">
        <v>398.0</v>
      </c>
      <c r="K105" s="421"/>
      <c r="L105" s="421"/>
      <c r="M105" s="186" t="s">
        <v>14125</v>
      </c>
      <c r="N105" s="421">
        <v>2004.0</v>
      </c>
      <c r="O105" s="191">
        <v>1.0</v>
      </c>
      <c r="P105" s="421">
        <v>1.0</v>
      </c>
      <c r="Q105" s="37">
        <v>1.0</v>
      </c>
      <c r="R105" s="3"/>
      <c r="S105" s="3"/>
      <c r="T105" s="3"/>
      <c r="U105" s="3"/>
      <c r="V105" s="3"/>
      <c r="W105" s="3"/>
      <c r="X105" s="3"/>
      <c r="Y105" s="3"/>
      <c r="Z105" s="3"/>
    </row>
    <row r="106" ht="15.75" customHeight="1">
      <c r="A106" s="186"/>
      <c r="B106" s="421" t="s">
        <v>14122</v>
      </c>
      <c r="C106" s="421" t="s">
        <v>14123</v>
      </c>
      <c r="D106" s="423" t="s">
        <v>14126</v>
      </c>
      <c r="E106" s="186" t="s">
        <v>13869</v>
      </c>
      <c r="F106" s="186" t="s">
        <v>29</v>
      </c>
      <c r="G106" s="421" t="s">
        <v>30</v>
      </c>
      <c r="H106" s="421"/>
      <c r="I106" s="421" t="s">
        <v>30</v>
      </c>
      <c r="J106" s="421">
        <v>460.0</v>
      </c>
      <c r="K106" s="421"/>
      <c r="L106" s="421"/>
      <c r="M106" s="186" t="s">
        <v>14125</v>
      </c>
      <c r="N106" s="421">
        <v>2004.0</v>
      </c>
      <c r="O106" s="191">
        <v>1.0</v>
      </c>
      <c r="P106" s="421">
        <v>1.0</v>
      </c>
      <c r="Q106" s="37">
        <v>1.0</v>
      </c>
      <c r="R106" s="3"/>
      <c r="S106" s="3"/>
      <c r="T106" s="3"/>
      <c r="U106" s="3"/>
      <c r="V106" s="3"/>
      <c r="W106" s="3"/>
      <c r="X106" s="3"/>
      <c r="Y106" s="3"/>
      <c r="Z106" s="3"/>
    </row>
    <row r="107" ht="15.75" customHeight="1">
      <c r="A107" s="186"/>
      <c r="B107" s="421" t="s">
        <v>14122</v>
      </c>
      <c r="C107" s="421" t="s">
        <v>14123</v>
      </c>
      <c r="D107" s="423" t="s">
        <v>14127</v>
      </c>
      <c r="E107" s="186" t="s">
        <v>13869</v>
      </c>
      <c r="F107" s="186" t="s">
        <v>29</v>
      </c>
      <c r="G107" s="421" t="s">
        <v>30</v>
      </c>
      <c r="H107" s="421"/>
      <c r="I107" s="421" t="s">
        <v>30</v>
      </c>
      <c r="J107" s="421">
        <v>592.0</v>
      </c>
      <c r="K107" s="421"/>
      <c r="L107" s="421"/>
      <c r="M107" s="186" t="s">
        <v>14125</v>
      </c>
      <c r="N107" s="421">
        <v>2004.0</v>
      </c>
      <c r="O107" s="191">
        <v>1.0</v>
      </c>
      <c r="P107" s="421">
        <v>1.0</v>
      </c>
      <c r="Q107" s="37">
        <v>1.0</v>
      </c>
      <c r="R107" s="3"/>
      <c r="S107" s="3"/>
      <c r="T107" s="3"/>
      <c r="U107" s="3"/>
      <c r="V107" s="3"/>
      <c r="W107" s="3"/>
      <c r="X107" s="3"/>
      <c r="Y107" s="3"/>
      <c r="Z107" s="3"/>
    </row>
    <row r="108" ht="15.75" customHeight="1">
      <c r="A108" s="186"/>
      <c r="B108" s="421" t="s">
        <v>14122</v>
      </c>
      <c r="C108" s="421" t="s">
        <v>14123</v>
      </c>
      <c r="D108" s="423" t="s">
        <v>14128</v>
      </c>
      <c r="E108" s="186" t="s">
        <v>13869</v>
      </c>
      <c r="F108" s="186" t="s">
        <v>29</v>
      </c>
      <c r="G108" s="421" t="s">
        <v>30</v>
      </c>
      <c r="H108" s="421"/>
      <c r="I108" s="421" t="s">
        <v>30</v>
      </c>
      <c r="J108" s="421">
        <v>436.0</v>
      </c>
      <c r="K108" s="421"/>
      <c r="L108" s="421"/>
      <c r="M108" s="186" t="s">
        <v>14125</v>
      </c>
      <c r="N108" s="421">
        <v>2004.0</v>
      </c>
      <c r="O108" s="191">
        <v>1.0</v>
      </c>
      <c r="P108" s="421">
        <v>1.0</v>
      </c>
      <c r="Q108" s="37">
        <v>1.0</v>
      </c>
      <c r="R108" s="3"/>
      <c r="S108" s="3"/>
      <c r="T108" s="3"/>
      <c r="U108" s="3"/>
      <c r="V108" s="3"/>
      <c r="W108" s="3"/>
      <c r="X108" s="3"/>
      <c r="Y108" s="3"/>
      <c r="Z108" s="3"/>
    </row>
    <row r="109" ht="15.75" customHeight="1">
      <c r="A109" s="186"/>
      <c r="B109" s="421" t="s">
        <v>14122</v>
      </c>
      <c r="C109" s="421" t="s">
        <v>14123</v>
      </c>
      <c r="D109" s="423" t="s">
        <v>14129</v>
      </c>
      <c r="E109" s="186" t="s">
        <v>13869</v>
      </c>
      <c r="F109" s="186" t="s">
        <v>29</v>
      </c>
      <c r="G109" s="421" t="s">
        <v>30</v>
      </c>
      <c r="H109" s="421"/>
      <c r="I109" s="421" t="s">
        <v>30</v>
      </c>
      <c r="J109" s="421">
        <v>418.0</v>
      </c>
      <c r="K109" s="421"/>
      <c r="L109" s="421"/>
      <c r="M109" s="186" t="s">
        <v>14125</v>
      </c>
      <c r="N109" s="421">
        <v>2004.0</v>
      </c>
      <c r="O109" s="191">
        <v>1.0</v>
      </c>
      <c r="P109" s="421">
        <v>1.0</v>
      </c>
      <c r="Q109" s="37">
        <v>1.0</v>
      </c>
      <c r="R109" s="3"/>
      <c r="S109" s="3"/>
      <c r="T109" s="3"/>
      <c r="U109" s="3"/>
      <c r="V109" s="3"/>
      <c r="W109" s="3"/>
      <c r="X109" s="3"/>
      <c r="Y109" s="3"/>
      <c r="Z109" s="3"/>
    </row>
    <row r="110" ht="15.75" customHeight="1">
      <c r="A110" s="186"/>
      <c r="B110" s="421" t="s">
        <v>14122</v>
      </c>
      <c r="C110" s="421" t="s">
        <v>14123</v>
      </c>
      <c r="D110" s="423" t="s">
        <v>14130</v>
      </c>
      <c r="E110" s="186" t="s">
        <v>13869</v>
      </c>
      <c r="F110" s="186" t="s">
        <v>29</v>
      </c>
      <c r="G110" s="421" t="s">
        <v>30</v>
      </c>
      <c r="H110" s="421"/>
      <c r="I110" s="421" t="s">
        <v>30</v>
      </c>
      <c r="J110" s="421">
        <v>520.0</v>
      </c>
      <c r="K110" s="421"/>
      <c r="L110" s="421"/>
      <c r="M110" s="186" t="s">
        <v>14125</v>
      </c>
      <c r="N110" s="421">
        <v>2004.0</v>
      </c>
      <c r="O110" s="191">
        <v>1.0</v>
      </c>
      <c r="P110" s="421">
        <v>1.0</v>
      </c>
      <c r="Q110" s="37">
        <v>1.0</v>
      </c>
      <c r="R110" s="3"/>
      <c r="S110" s="3"/>
      <c r="T110" s="3"/>
      <c r="U110" s="3"/>
      <c r="V110" s="3"/>
      <c r="W110" s="3"/>
      <c r="X110" s="3"/>
      <c r="Y110" s="3"/>
      <c r="Z110" s="3"/>
    </row>
    <row r="111" ht="15.75" customHeight="1">
      <c r="A111" s="186"/>
      <c r="B111" s="421" t="s">
        <v>14122</v>
      </c>
      <c r="C111" s="421" t="s">
        <v>14123</v>
      </c>
      <c r="D111" s="423" t="s">
        <v>14131</v>
      </c>
      <c r="E111" s="186" t="s">
        <v>13869</v>
      </c>
      <c r="F111" s="186" t="s">
        <v>29</v>
      </c>
      <c r="G111" s="421" t="s">
        <v>30</v>
      </c>
      <c r="H111" s="421"/>
      <c r="I111" s="421" t="s">
        <v>30</v>
      </c>
      <c r="J111" s="421">
        <v>486.0</v>
      </c>
      <c r="K111" s="421"/>
      <c r="L111" s="421"/>
      <c r="M111" s="186" t="s">
        <v>14125</v>
      </c>
      <c r="N111" s="421">
        <v>2004.0</v>
      </c>
      <c r="O111" s="191">
        <v>1.0</v>
      </c>
      <c r="P111" s="421">
        <v>1.0</v>
      </c>
      <c r="Q111" s="37">
        <v>1.0</v>
      </c>
      <c r="R111" s="3"/>
      <c r="S111" s="3"/>
      <c r="T111" s="3"/>
      <c r="U111" s="3"/>
      <c r="V111" s="3"/>
      <c r="W111" s="3"/>
      <c r="X111" s="3"/>
      <c r="Y111" s="3"/>
      <c r="Z111" s="3"/>
    </row>
    <row r="112" ht="15.75" customHeight="1">
      <c r="A112" s="186"/>
      <c r="B112" s="421" t="s">
        <v>14122</v>
      </c>
      <c r="C112" s="421" t="s">
        <v>14123</v>
      </c>
      <c r="D112" s="423" t="s">
        <v>14132</v>
      </c>
      <c r="E112" s="186" t="s">
        <v>13869</v>
      </c>
      <c r="F112" s="186" t="s">
        <v>29</v>
      </c>
      <c r="G112" s="421" t="s">
        <v>30</v>
      </c>
      <c r="H112" s="421"/>
      <c r="I112" s="421" t="s">
        <v>30</v>
      </c>
      <c r="J112" s="421">
        <v>488.0</v>
      </c>
      <c r="K112" s="421"/>
      <c r="L112" s="421"/>
      <c r="M112" s="186" t="s">
        <v>14125</v>
      </c>
      <c r="N112" s="421">
        <v>2004.0</v>
      </c>
      <c r="O112" s="191">
        <v>1.0</v>
      </c>
      <c r="P112" s="421">
        <v>1.0</v>
      </c>
      <c r="Q112" s="37">
        <v>1.0</v>
      </c>
      <c r="R112" s="3"/>
      <c r="S112" s="3"/>
      <c r="T112" s="3"/>
      <c r="U112" s="3"/>
      <c r="V112" s="3"/>
      <c r="W112" s="3"/>
      <c r="X112" s="3"/>
      <c r="Y112" s="3"/>
      <c r="Z112" s="3"/>
    </row>
    <row r="113" ht="15.75" customHeight="1">
      <c r="A113" s="186"/>
      <c r="B113" s="421" t="s">
        <v>14122</v>
      </c>
      <c r="C113" s="421" t="s">
        <v>14123</v>
      </c>
      <c r="D113" s="423" t="s">
        <v>14133</v>
      </c>
      <c r="E113" s="186" t="s">
        <v>13869</v>
      </c>
      <c r="F113" s="186" t="s">
        <v>29</v>
      </c>
      <c r="G113" s="421" t="s">
        <v>30</v>
      </c>
      <c r="H113" s="421"/>
      <c r="I113" s="421" t="s">
        <v>30</v>
      </c>
      <c r="J113" s="421">
        <v>456.0</v>
      </c>
      <c r="K113" s="421"/>
      <c r="L113" s="421"/>
      <c r="M113" s="186" t="s">
        <v>14125</v>
      </c>
      <c r="N113" s="421">
        <v>2004.0</v>
      </c>
      <c r="O113" s="191">
        <v>1.0</v>
      </c>
      <c r="P113" s="421">
        <v>1.0</v>
      </c>
      <c r="Q113" s="37">
        <v>1.0</v>
      </c>
      <c r="R113" s="3"/>
      <c r="S113" s="3"/>
      <c r="T113" s="3"/>
      <c r="U113" s="3"/>
      <c r="V113" s="3"/>
      <c r="W113" s="3"/>
      <c r="X113" s="3"/>
      <c r="Y113" s="3"/>
      <c r="Z113" s="3"/>
    </row>
    <row r="114" ht="15.75" customHeight="1">
      <c r="A114" s="186"/>
      <c r="B114" s="421" t="s">
        <v>14122</v>
      </c>
      <c r="C114" s="421" t="s">
        <v>14123</v>
      </c>
      <c r="D114" s="423" t="s">
        <v>14134</v>
      </c>
      <c r="E114" s="186" t="s">
        <v>13869</v>
      </c>
      <c r="F114" s="186" t="s">
        <v>29</v>
      </c>
      <c r="G114" s="421" t="s">
        <v>30</v>
      </c>
      <c r="H114" s="421"/>
      <c r="I114" s="421" t="s">
        <v>30</v>
      </c>
      <c r="J114" s="421">
        <v>422.0</v>
      </c>
      <c r="K114" s="421"/>
      <c r="L114" s="421"/>
      <c r="M114" s="186" t="s">
        <v>14125</v>
      </c>
      <c r="N114" s="421">
        <v>2004.0</v>
      </c>
      <c r="O114" s="191">
        <v>1.0</v>
      </c>
      <c r="P114" s="421">
        <v>1.0</v>
      </c>
      <c r="Q114" s="37">
        <v>1.0</v>
      </c>
      <c r="R114" s="3"/>
      <c r="S114" s="3"/>
      <c r="T114" s="3"/>
      <c r="U114" s="3"/>
      <c r="V114" s="3"/>
      <c r="W114" s="3"/>
      <c r="X114" s="3"/>
      <c r="Y114" s="3"/>
      <c r="Z114" s="3"/>
    </row>
    <row r="115" ht="15.75" customHeight="1">
      <c r="A115" s="186"/>
      <c r="B115" s="421" t="s">
        <v>14122</v>
      </c>
      <c r="C115" s="421" t="s">
        <v>14123</v>
      </c>
      <c r="D115" s="423" t="s">
        <v>14135</v>
      </c>
      <c r="E115" s="186" t="s">
        <v>13869</v>
      </c>
      <c r="F115" s="186" t="s">
        <v>29</v>
      </c>
      <c r="G115" s="421" t="s">
        <v>30</v>
      </c>
      <c r="H115" s="421"/>
      <c r="I115" s="421" t="s">
        <v>30</v>
      </c>
      <c r="J115" s="421">
        <v>340.0</v>
      </c>
      <c r="K115" s="421"/>
      <c r="L115" s="421"/>
      <c r="M115" s="186" t="s">
        <v>14125</v>
      </c>
      <c r="N115" s="421">
        <v>2004.0</v>
      </c>
      <c r="O115" s="191">
        <v>1.0</v>
      </c>
      <c r="P115" s="421">
        <v>1.0</v>
      </c>
      <c r="Q115" s="37">
        <v>1.0</v>
      </c>
      <c r="R115" s="3"/>
      <c r="S115" s="3"/>
      <c r="T115" s="3"/>
      <c r="U115" s="3"/>
      <c r="V115" s="3"/>
      <c r="W115" s="3"/>
      <c r="X115" s="3"/>
      <c r="Y115" s="3"/>
      <c r="Z115" s="3"/>
    </row>
    <row r="116" ht="15.75" customHeight="1">
      <c r="A116" s="186"/>
      <c r="B116" s="421" t="s">
        <v>14122</v>
      </c>
      <c r="C116" s="421" t="s">
        <v>14123</v>
      </c>
      <c r="D116" s="423" t="s">
        <v>14136</v>
      </c>
      <c r="E116" s="186" t="s">
        <v>13869</v>
      </c>
      <c r="F116" s="186" t="s">
        <v>29</v>
      </c>
      <c r="G116" s="421" t="s">
        <v>30</v>
      </c>
      <c r="H116" s="421"/>
      <c r="I116" s="421" t="s">
        <v>30</v>
      </c>
      <c r="J116" s="421">
        <v>432.0</v>
      </c>
      <c r="K116" s="421"/>
      <c r="L116" s="421"/>
      <c r="M116" s="186" t="s">
        <v>14125</v>
      </c>
      <c r="N116" s="421">
        <v>2004.0</v>
      </c>
      <c r="O116" s="191">
        <v>1.0</v>
      </c>
      <c r="P116" s="421">
        <v>1.0</v>
      </c>
      <c r="Q116" s="37">
        <v>1.0</v>
      </c>
      <c r="R116" s="3"/>
      <c r="S116" s="3"/>
      <c r="T116" s="3"/>
      <c r="U116" s="3"/>
      <c r="V116" s="3"/>
      <c r="W116" s="3"/>
      <c r="X116" s="3"/>
      <c r="Y116" s="3"/>
      <c r="Z116" s="3"/>
    </row>
    <row r="117" ht="15.75" customHeight="1">
      <c r="A117" s="186"/>
      <c r="B117" s="421" t="s">
        <v>14122</v>
      </c>
      <c r="C117" s="421" t="s">
        <v>14123</v>
      </c>
      <c r="D117" s="423" t="s">
        <v>14137</v>
      </c>
      <c r="E117" s="186" t="s">
        <v>13869</v>
      </c>
      <c r="F117" s="186" t="s">
        <v>29</v>
      </c>
      <c r="G117" s="421" t="s">
        <v>30</v>
      </c>
      <c r="H117" s="421"/>
      <c r="I117" s="421" t="s">
        <v>30</v>
      </c>
      <c r="J117" s="421">
        <v>484.0</v>
      </c>
      <c r="K117" s="421"/>
      <c r="L117" s="421"/>
      <c r="M117" s="186" t="s">
        <v>14125</v>
      </c>
      <c r="N117" s="421">
        <v>2004.0</v>
      </c>
      <c r="O117" s="191">
        <v>1.0</v>
      </c>
      <c r="P117" s="421">
        <v>1.0</v>
      </c>
      <c r="Q117" s="37">
        <v>1.0</v>
      </c>
      <c r="R117" s="3"/>
      <c r="S117" s="3"/>
      <c r="T117" s="3"/>
      <c r="U117" s="3"/>
      <c r="V117" s="3"/>
      <c r="W117" s="3"/>
      <c r="X117" s="3"/>
      <c r="Y117" s="3"/>
      <c r="Z117" s="3"/>
    </row>
    <row r="118" ht="15.75" customHeight="1">
      <c r="A118" s="186"/>
      <c r="B118" s="421" t="s">
        <v>14138</v>
      </c>
      <c r="C118" s="421" t="s">
        <v>14123</v>
      </c>
      <c r="D118" s="423" t="s">
        <v>14139</v>
      </c>
      <c r="E118" s="186" t="s">
        <v>13869</v>
      </c>
      <c r="F118" s="186" t="s">
        <v>29</v>
      </c>
      <c r="G118" s="421" t="s">
        <v>30</v>
      </c>
      <c r="H118" s="421"/>
      <c r="I118" s="421" t="s">
        <v>30</v>
      </c>
      <c r="J118" s="421">
        <v>576.0</v>
      </c>
      <c r="K118" s="421"/>
      <c r="L118" s="421"/>
      <c r="M118" s="186" t="s">
        <v>14125</v>
      </c>
      <c r="N118" s="421">
        <v>2004.0</v>
      </c>
      <c r="O118" s="191">
        <v>1.0</v>
      </c>
      <c r="P118" s="421">
        <v>1.0</v>
      </c>
      <c r="Q118" s="37">
        <v>1.0</v>
      </c>
      <c r="R118" s="3"/>
      <c r="S118" s="3"/>
      <c r="T118" s="3"/>
      <c r="U118" s="3"/>
      <c r="V118" s="3"/>
      <c r="W118" s="3"/>
      <c r="X118" s="3"/>
      <c r="Y118" s="3"/>
      <c r="Z118" s="3"/>
    </row>
    <row r="119" ht="15.75" customHeight="1">
      <c r="A119" s="186"/>
      <c r="B119" s="421" t="s">
        <v>14140</v>
      </c>
      <c r="C119" s="421" t="s">
        <v>14123</v>
      </c>
      <c r="D119" s="423" t="s">
        <v>14141</v>
      </c>
      <c r="E119" s="186" t="s">
        <v>13869</v>
      </c>
      <c r="F119" s="186" t="s">
        <v>29</v>
      </c>
      <c r="G119" s="421" t="s">
        <v>30</v>
      </c>
      <c r="H119" s="421"/>
      <c r="I119" s="421" t="s">
        <v>30</v>
      </c>
      <c r="J119" s="421">
        <v>490.0</v>
      </c>
      <c r="K119" s="421"/>
      <c r="L119" s="421"/>
      <c r="M119" s="186" t="s">
        <v>14125</v>
      </c>
      <c r="N119" s="421">
        <v>2004.0</v>
      </c>
      <c r="O119" s="191">
        <v>1.0</v>
      </c>
      <c r="P119" s="421">
        <v>1.0</v>
      </c>
      <c r="Q119" s="37">
        <v>1.0</v>
      </c>
      <c r="R119" s="3"/>
      <c r="S119" s="3"/>
      <c r="T119" s="3"/>
      <c r="U119" s="3"/>
      <c r="V119" s="3"/>
      <c r="W119" s="3"/>
      <c r="X119" s="3"/>
      <c r="Y119" s="3"/>
      <c r="Z119" s="3"/>
    </row>
    <row r="120" ht="15.75" customHeight="1">
      <c r="A120" s="186"/>
      <c r="B120" s="421" t="s">
        <v>14142</v>
      </c>
      <c r="C120" s="421" t="s">
        <v>14123</v>
      </c>
      <c r="D120" s="423" t="s">
        <v>14143</v>
      </c>
      <c r="E120" s="186" t="s">
        <v>13869</v>
      </c>
      <c r="F120" s="186" t="s">
        <v>29</v>
      </c>
      <c r="G120" s="421" t="s">
        <v>30</v>
      </c>
      <c r="H120" s="421"/>
      <c r="I120" s="421" t="s">
        <v>30</v>
      </c>
      <c r="J120" s="421">
        <v>516.0</v>
      </c>
      <c r="K120" s="421"/>
      <c r="L120" s="421"/>
      <c r="M120" s="186" t="s">
        <v>14125</v>
      </c>
      <c r="N120" s="421">
        <v>2004.0</v>
      </c>
      <c r="O120" s="191">
        <v>1.0</v>
      </c>
      <c r="P120" s="421">
        <v>1.0</v>
      </c>
      <c r="Q120" s="37">
        <v>1.0</v>
      </c>
      <c r="R120" s="3"/>
      <c r="S120" s="3"/>
      <c r="T120" s="3"/>
      <c r="U120" s="3"/>
      <c r="V120" s="3"/>
      <c r="W120" s="3"/>
      <c r="X120" s="3"/>
      <c r="Y120" s="3"/>
      <c r="Z120" s="3"/>
    </row>
    <row r="121" ht="15.75" customHeight="1">
      <c r="A121" s="186"/>
      <c r="B121" s="421" t="s">
        <v>14144</v>
      </c>
      <c r="C121" s="421" t="s">
        <v>14123</v>
      </c>
      <c r="D121" s="423" t="s">
        <v>14145</v>
      </c>
      <c r="E121" s="186" t="s">
        <v>13869</v>
      </c>
      <c r="F121" s="186" t="s">
        <v>29</v>
      </c>
      <c r="G121" s="421" t="s">
        <v>30</v>
      </c>
      <c r="H121" s="421"/>
      <c r="I121" s="421" t="s">
        <v>30</v>
      </c>
      <c r="J121" s="421">
        <v>466.0</v>
      </c>
      <c r="K121" s="421"/>
      <c r="L121" s="421"/>
      <c r="M121" s="186" t="s">
        <v>14125</v>
      </c>
      <c r="N121" s="421">
        <v>2004.0</v>
      </c>
      <c r="O121" s="191">
        <v>1.0</v>
      </c>
      <c r="P121" s="421">
        <v>1.0</v>
      </c>
      <c r="Q121" s="37">
        <v>1.0</v>
      </c>
      <c r="R121" s="3"/>
      <c r="S121" s="3"/>
      <c r="T121" s="3"/>
      <c r="U121" s="3"/>
      <c r="V121" s="3"/>
      <c r="W121" s="3"/>
      <c r="X121" s="3"/>
      <c r="Y121" s="3"/>
      <c r="Z121" s="3"/>
    </row>
    <row r="122" ht="15.75" customHeight="1">
      <c r="A122" s="186">
        <v>25.0</v>
      </c>
      <c r="B122" s="421" t="s">
        <v>14146</v>
      </c>
      <c r="C122" s="421" t="s">
        <v>14123</v>
      </c>
      <c r="D122" s="423" t="s">
        <v>14147</v>
      </c>
      <c r="E122" s="186" t="s">
        <v>13869</v>
      </c>
      <c r="F122" s="186" t="s">
        <v>29</v>
      </c>
      <c r="G122" s="421" t="s">
        <v>30</v>
      </c>
      <c r="H122" s="421"/>
      <c r="I122" s="421" t="s">
        <v>30</v>
      </c>
      <c r="J122" s="421">
        <v>757.0</v>
      </c>
      <c r="K122" s="421"/>
      <c r="L122" s="421"/>
      <c r="M122" s="186" t="s">
        <v>14125</v>
      </c>
      <c r="N122" s="421">
        <v>2004.0</v>
      </c>
      <c r="O122" s="191">
        <v>1.0</v>
      </c>
      <c r="P122" s="421">
        <v>1.0</v>
      </c>
      <c r="Q122" s="37">
        <v>1.0</v>
      </c>
      <c r="R122" s="3"/>
      <c r="S122" s="3"/>
      <c r="T122" s="3"/>
      <c r="U122" s="3"/>
      <c r="V122" s="3"/>
      <c r="W122" s="3"/>
      <c r="X122" s="3"/>
      <c r="Y122" s="3"/>
      <c r="Z122" s="3"/>
    </row>
    <row r="123" ht="15.75" customHeight="1">
      <c r="A123" s="433">
        <v>26.0</v>
      </c>
      <c r="B123" s="442" t="s">
        <v>13915</v>
      </c>
      <c r="C123" s="442" t="s">
        <v>14148</v>
      </c>
      <c r="D123" s="443" t="s">
        <v>13917</v>
      </c>
      <c r="E123" s="444" t="s">
        <v>13869</v>
      </c>
      <c r="F123" s="442" t="s">
        <v>29</v>
      </c>
      <c r="G123" s="442" t="s">
        <v>30</v>
      </c>
      <c r="H123" s="445"/>
      <c r="I123" s="442" t="s">
        <v>30</v>
      </c>
      <c r="J123" s="442">
        <v>684.0</v>
      </c>
      <c r="K123" s="445"/>
      <c r="L123" s="445"/>
      <c r="M123" s="442" t="s">
        <v>161</v>
      </c>
      <c r="N123" s="442">
        <v>1990.0</v>
      </c>
      <c r="O123" s="444">
        <v>1.0</v>
      </c>
      <c r="P123" s="442">
        <v>1.0</v>
      </c>
      <c r="Q123" s="446">
        <v>1.0</v>
      </c>
      <c r="R123" s="3"/>
      <c r="S123" s="3"/>
      <c r="T123" s="3"/>
      <c r="U123" s="3"/>
      <c r="V123" s="3"/>
      <c r="W123" s="3"/>
      <c r="X123" s="3"/>
      <c r="Y123" s="3"/>
      <c r="Z123" s="3"/>
    </row>
    <row r="124" ht="15.75" customHeight="1">
      <c r="A124" s="433">
        <v>27.0</v>
      </c>
      <c r="B124" s="445"/>
      <c r="C124" s="445"/>
      <c r="D124" s="447"/>
      <c r="E124" s="433"/>
      <c r="F124" s="445"/>
      <c r="G124" s="445"/>
      <c r="H124" s="445"/>
      <c r="I124" s="445"/>
      <c r="J124" s="445"/>
      <c r="K124" s="445"/>
      <c r="L124" s="445"/>
      <c r="M124" s="445"/>
      <c r="N124" s="445"/>
      <c r="O124" s="433"/>
      <c r="P124" s="445"/>
      <c r="Q124" s="435"/>
      <c r="R124" s="3"/>
      <c r="S124" s="3"/>
      <c r="T124" s="3"/>
      <c r="U124" s="3"/>
      <c r="V124" s="3"/>
      <c r="W124" s="3"/>
      <c r="X124" s="3"/>
      <c r="Y124" s="3"/>
      <c r="Z124" s="3"/>
    </row>
    <row r="125" ht="15.75" customHeight="1">
      <c r="A125" s="433">
        <v>28.0</v>
      </c>
      <c r="B125" s="445"/>
      <c r="C125" s="445"/>
      <c r="D125" s="447"/>
      <c r="E125" s="433"/>
      <c r="F125" s="445"/>
      <c r="G125" s="445"/>
      <c r="H125" s="445"/>
      <c r="I125" s="445"/>
      <c r="J125" s="445"/>
      <c r="K125" s="445"/>
      <c r="L125" s="445"/>
      <c r="M125" s="445"/>
      <c r="N125" s="445"/>
      <c r="O125" s="433"/>
      <c r="P125" s="445"/>
      <c r="Q125" s="435"/>
      <c r="R125" s="3"/>
      <c r="S125" s="3"/>
      <c r="T125" s="3"/>
      <c r="U125" s="3"/>
      <c r="V125" s="3"/>
      <c r="W125" s="3"/>
      <c r="X125" s="3"/>
      <c r="Y125" s="3"/>
      <c r="Z125" s="3"/>
    </row>
    <row r="126" ht="15.75" customHeight="1">
      <c r="A126" s="433">
        <v>29.0</v>
      </c>
      <c r="B126" s="445"/>
      <c r="C126" s="445"/>
      <c r="D126" s="447"/>
      <c r="E126" s="433"/>
      <c r="F126" s="445"/>
      <c r="G126" s="445"/>
      <c r="H126" s="445"/>
      <c r="I126" s="445"/>
      <c r="J126" s="445"/>
      <c r="K126" s="445"/>
      <c r="L126" s="445"/>
      <c r="M126" s="445"/>
      <c r="N126" s="445"/>
      <c r="O126" s="433"/>
      <c r="P126" s="445"/>
      <c r="Q126" s="435"/>
      <c r="R126" s="3"/>
      <c r="S126" s="3"/>
      <c r="T126" s="3"/>
      <c r="U126" s="3"/>
      <c r="V126" s="3"/>
      <c r="W126" s="3"/>
      <c r="X126" s="3"/>
      <c r="Y126" s="3"/>
      <c r="Z126" s="3"/>
    </row>
    <row r="127" ht="15.75" customHeight="1">
      <c r="A127" s="433"/>
      <c r="B127" s="445"/>
      <c r="C127" s="445"/>
      <c r="D127" s="447"/>
      <c r="E127" s="433"/>
      <c r="F127" s="445"/>
      <c r="G127" s="445"/>
      <c r="H127" s="445"/>
      <c r="I127" s="445"/>
      <c r="J127" s="445"/>
      <c r="K127" s="445"/>
      <c r="L127" s="445"/>
      <c r="M127" s="445"/>
      <c r="N127" s="448"/>
      <c r="O127" s="433"/>
      <c r="P127" s="445"/>
      <c r="Q127" s="435"/>
      <c r="R127" s="3"/>
      <c r="S127" s="3"/>
      <c r="T127" s="3"/>
      <c r="U127" s="3"/>
      <c r="V127" s="3"/>
      <c r="W127" s="3"/>
      <c r="X127" s="3"/>
      <c r="Y127" s="3"/>
      <c r="Z127" s="3"/>
    </row>
    <row r="128" ht="15.75" customHeight="1">
      <c r="A128" s="433"/>
      <c r="B128" s="445"/>
      <c r="C128" s="445"/>
      <c r="D128" s="447"/>
      <c r="E128" s="433"/>
      <c r="F128" s="445"/>
      <c r="G128" s="445"/>
      <c r="H128" s="445"/>
      <c r="I128" s="445"/>
      <c r="J128" s="445"/>
      <c r="K128" s="445"/>
      <c r="L128" s="445"/>
      <c r="M128" s="445"/>
      <c r="N128" s="448"/>
      <c r="O128" s="433"/>
      <c r="P128" s="445"/>
      <c r="Q128" s="435"/>
      <c r="R128" s="3"/>
      <c r="S128" s="3"/>
      <c r="T128" s="3"/>
      <c r="U128" s="3"/>
      <c r="V128" s="3"/>
      <c r="W128" s="3"/>
      <c r="X128" s="3"/>
      <c r="Y128" s="3"/>
      <c r="Z128" s="3"/>
    </row>
    <row r="129" ht="15.75" customHeight="1">
      <c r="A129" s="433"/>
      <c r="B129" s="445"/>
      <c r="C129" s="445"/>
      <c r="D129" s="447"/>
      <c r="E129" s="433"/>
      <c r="F129" s="445"/>
      <c r="G129" s="445"/>
      <c r="H129" s="445"/>
      <c r="I129" s="445"/>
      <c r="J129" s="445"/>
      <c r="K129" s="445"/>
      <c r="L129" s="445"/>
      <c r="M129" s="445"/>
      <c r="N129" s="448"/>
      <c r="O129" s="433"/>
      <c r="P129" s="445"/>
      <c r="Q129" s="435"/>
      <c r="R129" s="3"/>
      <c r="S129" s="3"/>
      <c r="T129" s="3"/>
      <c r="U129" s="3"/>
      <c r="V129" s="3"/>
      <c r="W129" s="3"/>
      <c r="X129" s="3"/>
      <c r="Y129" s="3"/>
      <c r="Z129" s="3"/>
    </row>
    <row r="130" ht="15.75" customHeight="1">
      <c r="A130" s="433"/>
      <c r="B130" s="445"/>
      <c r="C130" s="445"/>
      <c r="D130" s="447"/>
      <c r="E130" s="433"/>
      <c r="F130" s="445"/>
      <c r="G130" s="445"/>
      <c r="H130" s="445"/>
      <c r="I130" s="445"/>
      <c r="J130" s="445"/>
      <c r="K130" s="445"/>
      <c r="L130" s="445"/>
      <c r="M130" s="445"/>
      <c r="N130" s="448"/>
      <c r="O130" s="433"/>
      <c r="P130" s="445"/>
      <c r="Q130" s="435"/>
      <c r="R130" s="3"/>
      <c r="S130" s="3"/>
      <c r="T130" s="3"/>
      <c r="U130" s="3"/>
      <c r="V130" s="3"/>
      <c r="W130" s="3"/>
      <c r="X130" s="3"/>
      <c r="Y130" s="3"/>
      <c r="Z130" s="3"/>
    </row>
    <row r="131" ht="15.75" customHeight="1">
      <c r="A131" s="433"/>
      <c r="B131" s="445"/>
      <c r="C131" s="445"/>
      <c r="D131" s="447"/>
      <c r="E131" s="433"/>
      <c r="F131" s="445"/>
      <c r="G131" s="445"/>
      <c r="H131" s="445"/>
      <c r="I131" s="445"/>
      <c r="J131" s="445"/>
      <c r="K131" s="445"/>
      <c r="L131" s="445"/>
      <c r="M131" s="445"/>
      <c r="N131" s="448"/>
      <c r="O131" s="433"/>
      <c r="P131" s="445"/>
      <c r="Q131" s="435"/>
      <c r="R131" s="3"/>
      <c r="S131" s="3"/>
      <c r="T131" s="3"/>
      <c r="U131" s="3"/>
      <c r="V131" s="3"/>
      <c r="W131" s="3"/>
      <c r="X131" s="3"/>
      <c r="Y131" s="3"/>
      <c r="Z131" s="3"/>
    </row>
    <row r="132" ht="15.75" customHeight="1">
      <c r="A132" s="433"/>
      <c r="B132" s="445"/>
      <c r="C132" s="445"/>
      <c r="D132" s="447"/>
      <c r="E132" s="433"/>
      <c r="F132" s="445"/>
      <c r="G132" s="445"/>
      <c r="H132" s="445"/>
      <c r="I132" s="445"/>
      <c r="J132" s="445"/>
      <c r="K132" s="445"/>
      <c r="L132" s="445"/>
      <c r="M132" s="445"/>
      <c r="N132" s="448"/>
      <c r="O132" s="433"/>
      <c r="P132" s="445"/>
      <c r="Q132" s="435"/>
      <c r="R132" s="3"/>
      <c r="S132" s="3"/>
      <c r="T132" s="3"/>
      <c r="U132" s="3"/>
      <c r="V132" s="3"/>
      <c r="W132" s="3"/>
      <c r="X132" s="3"/>
      <c r="Y132" s="3"/>
      <c r="Z132" s="3"/>
    </row>
    <row r="133" ht="15.75" customHeight="1">
      <c r="A133" s="449"/>
      <c r="B133" s="433"/>
      <c r="C133" s="433"/>
      <c r="D133" s="447"/>
      <c r="E133" s="433"/>
      <c r="F133" s="433"/>
      <c r="G133" s="433"/>
      <c r="H133" s="433"/>
      <c r="I133" s="433"/>
      <c r="J133" s="433"/>
      <c r="K133" s="433"/>
      <c r="L133" s="450"/>
      <c r="M133" s="433"/>
      <c r="N133" s="451"/>
      <c r="O133" s="433"/>
      <c r="P133" s="342"/>
      <c r="Q133" s="435"/>
      <c r="R133" s="3"/>
      <c r="S133" s="3"/>
      <c r="T133" s="3"/>
      <c r="U133" s="3"/>
      <c r="V133" s="3"/>
      <c r="W133" s="3"/>
      <c r="X133" s="3"/>
      <c r="Y133" s="3"/>
      <c r="Z133" s="3"/>
    </row>
    <row r="134" ht="15.75" customHeight="1">
      <c r="A134" s="449"/>
      <c r="B134" s="449"/>
      <c r="C134" s="450"/>
      <c r="D134" s="447"/>
      <c r="E134" s="450"/>
      <c r="F134" s="450"/>
      <c r="G134" s="450"/>
      <c r="H134" s="450"/>
      <c r="I134" s="450"/>
      <c r="J134" s="450"/>
      <c r="K134" s="450"/>
      <c r="L134" s="450"/>
      <c r="M134" s="15" t="s">
        <v>13862</v>
      </c>
      <c r="N134" s="16"/>
      <c r="O134" s="17"/>
      <c r="P134" s="452">
        <f>SUM(P6:P133)</f>
        <v>130</v>
      </c>
      <c r="Q134" s="453">
        <f>SUM(Q6:Q122)</f>
        <v>112</v>
      </c>
      <c r="R134" s="3"/>
      <c r="S134" s="3"/>
      <c r="T134" s="3"/>
      <c r="U134" s="3"/>
      <c r="V134" s="3"/>
      <c r="W134" s="3"/>
      <c r="X134" s="3"/>
      <c r="Y134" s="3"/>
      <c r="Z134" s="3"/>
    </row>
    <row r="135" ht="15.75" customHeight="1">
      <c r="A135" s="454"/>
      <c r="B135" s="455"/>
      <c r="C135" s="455"/>
      <c r="D135" s="455"/>
      <c r="E135" s="455"/>
      <c r="F135" s="455"/>
      <c r="G135" s="455"/>
      <c r="H135" s="455"/>
      <c r="I135" s="455"/>
      <c r="J135" s="455"/>
      <c r="K135" s="455"/>
      <c r="L135" s="455"/>
      <c r="M135" s="455"/>
      <c r="N135" s="455"/>
      <c r="O135" s="455"/>
      <c r="P135" s="456"/>
      <c r="R135" s="3"/>
      <c r="S135" s="3"/>
      <c r="T135" s="3"/>
      <c r="U135" s="3"/>
      <c r="V135" s="3"/>
      <c r="W135" s="3"/>
      <c r="X135" s="3"/>
      <c r="Y135" s="3"/>
      <c r="Z135" s="3"/>
    </row>
    <row r="136" ht="15.75" customHeight="1">
      <c r="A136" s="457" t="s">
        <v>14149</v>
      </c>
      <c r="B136" s="6"/>
      <c r="C136" s="6"/>
      <c r="D136" s="6"/>
      <c r="E136" s="6"/>
      <c r="F136" s="6"/>
      <c r="G136" s="6"/>
      <c r="H136" s="6"/>
      <c r="I136" s="6"/>
      <c r="J136" s="6"/>
      <c r="K136" s="6"/>
      <c r="L136" s="6"/>
      <c r="M136" s="6"/>
      <c r="N136" s="6"/>
      <c r="O136" s="6"/>
      <c r="P136" s="7"/>
      <c r="R136" s="3"/>
      <c r="S136" s="3"/>
      <c r="T136" s="3"/>
      <c r="U136" s="3"/>
      <c r="V136" s="3"/>
      <c r="W136" s="3"/>
      <c r="X136" s="3"/>
      <c r="Y136" s="3"/>
      <c r="Z136" s="3"/>
    </row>
    <row r="137" ht="15.75" customHeight="1">
      <c r="A137" s="327" t="s">
        <v>14150</v>
      </c>
      <c r="B137" s="457" t="s">
        <v>14151</v>
      </c>
      <c r="C137" s="6"/>
      <c r="D137" s="7"/>
      <c r="E137" s="458"/>
      <c r="F137" s="459"/>
      <c r="G137" s="7"/>
      <c r="H137" s="459"/>
      <c r="I137" s="6"/>
      <c r="J137" s="6"/>
      <c r="K137" s="7"/>
      <c r="L137" s="460"/>
      <c r="M137" s="461" t="s">
        <v>14152</v>
      </c>
      <c r="N137" s="461"/>
      <c r="O137" s="461"/>
      <c r="P137" s="461"/>
      <c r="R137" s="3"/>
      <c r="S137" s="3"/>
      <c r="T137" s="3"/>
      <c r="U137" s="3"/>
      <c r="V137" s="3"/>
      <c r="W137" s="3"/>
      <c r="X137" s="3"/>
      <c r="Y137" s="3"/>
      <c r="Z137" s="3"/>
    </row>
    <row r="138" ht="15.75" customHeight="1">
      <c r="A138" s="321"/>
      <c r="B138" s="399"/>
      <c r="C138" s="458"/>
      <c r="D138" s="462"/>
      <c r="E138" s="458"/>
      <c r="F138" s="463"/>
      <c r="G138" s="7"/>
      <c r="H138" s="321"/>
      <c r="I138" s="321"/>
      <c r="J138" s="463"/>
      <c r="K138" s="7"/>
      <c r="L138" s="321"/>
      <c r="M138" s="321"/>
      <c r="N138" s="321"/>
      <c r="O138" s="321"/>
      <c r="P138" s="321"/>
      <c r="R138" s="3"/>
      <c r="S138" s="3"/>
      <c r="T138" s="3"/>
      <c r="U138" s="3"/>
      <c r="V138" s="3"/>
      <c r="W138" s="3"/>
      <c r="X138" s="3"/>
      <c r="Y138" s="3"/>
      <c r="Z138" s="3"/>
    </row>
    <row r="139" ht="15.75" customHeight="1">
      <c r="A139" s="463"/>
      <c r="B139" s="7"/>
      <c r="C139" s="458"/>
      <c r="D139" s="463"/>
      <c r="E139" s="7"/>
      <c r="F139" s="321"/>
      <c r="G139" s="321"/>
      <c r="H139" s="321"/>
      <c r="I139" s="321"/>
      <c r="J139" s="321"/>
      <c r="K139" s="321"/>
      <c r="L139" s="321"/>
      <c r="M139" s="321"/>
      <c r="N139" s="321"/>
      <c r="O139" s="321"/>
      <c r="P139" s="321"/>
      <c r="R139" s="3"/>
      <c r="S139" s="3"/>
      <c r="T139" s="3"/>
      <c r="U139" s="3"/>
      <c r="V139" s="3"/>
      <c r="W139" s="3"/>
      <c r="X139" s="3"/>
      <c r="Y139" s="3"/>
      <c r="Z139" s="3"/>
    </row>
    <row r="140" ht="15.75" customHeight="1">
      <c r="A140" s="321"/>
      <c r="B140" s="457" t="s">
        <v>14153</v>
      </c>
      <c r="C140" s="6"/>
      <c r="D140" s="7"/>
      <c r="E140" s="458"/>
      <c r="F140" s="457"/>
      <c r="G140" s="7"/>
      <c r="H140" s="457"/>
      <c r="I140" s="6"/>
      <c r="J140" s="6"/>
      <c r="K140" s="7"/>
      <c r="L140" s="457" t="s">
        <v>14154</v>
      </c>
      <c r="M140" s="6"/>
      <c r="N140" s="6"/>
      <c r="O140" s="6"/>
      <c r="P140" s="7"/>
      <c r="R140" s="3"/>
      <c r="S140" s="3"/>
      <c r="T140" s="3"/>
      <c r="U140" s="3"/>
      <c r="V140" s="3"/>
      <c r="W140" s="3"/>
      <c r="X140" s="3"/>
      <c r="Y140" s="3"/>
      <c r="Z140" s="3"/>
    </row>
    <row r="141" ht="15.75" customHeight="1">
      <c r="A141" s="321"/>
      <c r="B141" s="457" t="s">
        <v>14155</v>
      </c>
      <c r="C141" s="6"/>
      <c r="D141" s="7"/>
      <c r="E141" s="458"/>
      <c r="F141" s="457"/>
      <c r="G141" s="7"/>
      <c r="H141" s="327"/>
      <c r="I141" s="457"/>
      <c r="J141" s="6"/>
      <c r="K141" s="7"/>
      <c r="L141" s="457" t="s">
        <v>14156</v>
      </c>
      <c r="M141" s="6"/>
      <c r="N141" s="6"/>
      <c r="O141" s="6"/>
      <c r="P141" s="7"/>
      <c r="R141" s="3"/>
      <c r="S141" s="3"/>
      <c r="T141" s="3"/>
      <c r="U141" s="3"/>
      <c r="V141" s="3"/>
      <c r="W141" s="3"/>
      <c r="X141" s="3"/>
      <c r="Y141" s="3"/>
      <c r="Z141" s="3"/>
    </row>
    <row r="142" ht="15.75" customHeight="1">
      <c r="A142" s="2"/>
      <c r="B142" s="2"/>
      <c r="C142" s="2"/>
      <c r="D142" s="464"/>
      <c r="E142" s="2"/>
      <c r="F142" s="2"/>
      <c r="G142" s="2"/>
      <c r="H142" s="2"/>
      <c r="I142" s="2"/>
      <c r="J142" s="2"/>
      <c r="K142" s="2"/>
      <c r="L142" s="2"/>
      <c r="M142" s="2"/>
      <c r="N142" s="2"/>
      <c r="O142" s="2"/>
      <c r="P142" s="2"/>
      <c r="R142" s="3"/>
      <c r="S142" s="3"/>
      <c r="T142" s="3"/>
      <c r="U142" s="3"/>
      <c r="V142" s="3"/>
      <c r="W142" s="3"/>
      <c r="X142" s="3"/>
      <c r="Y142" s="3"/>
      <c r="Z142" s="3"/>
    </row>
    <row r="143" ht="15.75" customHeight="1">
      <c r="A143" s="2"/>
      <c r="B143" s="2"/>
      <c r="C143" s="2"/>
      <c r="D143" s="464"/>
      <c r="E143" s="2"/>
      <c r="F143" s="2"/>
      <c r="G143" s="2"/>
      <c r="H143" s="2"/>
      <c r="I143" s="2"/>
      <c r="J143" s="2"/>
      <c r="K143" s="2"/>
      <c r="L143" s="2"/>
      <c r="M143" s="2"/>
      <c r="N143" s="2"/>
      <c r="O143" s="2"/>
      <c r="P143" s="2"/>
      <c r="R143" s="3"/>
      <c r="S143" s="3"/>
      <c r="T143" s="3"/>
      <c r="U143" s="3"/>
      <c r="V143" s="3"/>
      <c r="W143" s="3"/>
      <c r="X143" s="3"/>
      <c r="Y143" s="3"/>
      <c r="Z143" s="3"/>
    </row>
    <row r="144" ht="15.75" customHeight="1">
      <c r="A144" s="2"/>
      <c r="B144" s="2"/>
      <c r="C144" s="2"/>
      <c r="D144" s="464"/>
      <c r="E144" s="2"/>
      <c r="F144" s="2"/>
      <c r="G144" s="2"/>
      <c r="H144" s="2"/>
      <c r="I144" s="2"/>
      <c r="J144" s="2"/>
      <c r="K144" s="2"/>
      <c r="L144" s="2"/>
      <c r="M144" s="2"/>
      <c r="N144" s="2"/>
      <c r="O144" s="2"/>
      <c r="P144" s="2"/>
      <c r="R144" s="3"/>
      <c r="S144" s="3"/>
      <c r="T144" s="3"/>
      <c r="U144" s="3"/>
      <c r="V144" s="3"/>
      <c r="W144" s="3"/>
      <c r="X144" s="3"/>
      <c r="Y144" s="3"/>
      <c r="Z144" s="3"/>
    </row>
    <row r="145" ht="15.75" customHeight="1">
      <c r="A145" s="2"/>
      <c r="B145" s="2"/>
      <c r="C145" s="2"/>
      <c r="D145" s="464"/>
      <c r="E145" s="2"/>
      <c r="F145" s="2"/>
      <c r="G145" s="2"/>
      <c r="H145" s="2"/>
      <c r="I145" s="2"/>
      <c r="J145" s="2"/>
      <c r="K145" s="2"/>
      <c r="L145" s="2"/>
      <c r="M145" s="2"/>
      <c r="N145" s="2"/>
      <c r="O145" s="2"/>
      <c r="P145" s="2"/>
      <c r="R145" s="3"/>
      <c r="S145" s="3"/>
      <c r="T145" s="3"/>
      <c r="U145" s="3"/>
      <c r="V145" s="3"/>
      <c r="W145" s="3"/>
      <c r="X145" s="3"/>
      <c r="Y145" s="3"/>
      <c r="Z145" s="3"/>
    </row>
    <row r="146" ht="15.75" customHeight="1">
      <c r="A146" s="2"/>
      <c r="B146" s="2"/>
      <c r="C146" s="2"/>
      <c r="D146" s="464"/>
      <c r="E146" s="2"/>
      <c r="F146" s="2"/>
      <c r="G146" s="2"/>
      <c r="H146" s="2"/>
      <c r="I146" s="2"/>
      <c r="J146" s="2"/>
      <c r="K146" s="2"/>
      <c r="L146" s="2"/>
      <c r="M146" s="2"/>
      <c r="N146" s="2"/>
      <c r="O146" s="2"/>
      <c r="P146" s="2"/>
      <c r="R146" s="3"/>
      <c r="S146" s="3"/>
      <c r="T146" s="3"/>
      <c r="U146" s="3"/>
      <c r="V146" s="3"/>
      <c r="W146" s="3"/>
      <c r="X146" s="3"/>
      <c r="Y146" s="3"/>
      <c r="Z146" s="3"/>
    </row>
    <row r="147" ht="15.75" customHeight="1">
      <c r="A147" s="2"/>
      <c r="B147" s="2"/>
      <c r="C147" s="2"/>
      <c r="D147" s="464"/>
      <c r="E147" s="2"/>
      <c r="F147" s="2"/>
      <c r="G147" s="2"/>
      <c r="H147" s="2"/>
      <c r="I147" s="2"/>
      <c r="J147" s="2"/>
      <c r="K147" s="2"/>
      <c r="L147" s="2"/>
      <c r="M147" s="2"/>
      <c r="N147" s="2"/>
      <c r="O147" s="2"/>
      <c r="P147" s="2"/>
      <c r="R147" s="3"/>
      <c r="S147" s="3"/>
      <c r="T147" s="3"/>
      <c r="U147" s="3"/>
      <c r="V147" s="3"/>
      <c r="W147" s="3"/>
      <c r="X147" s="3"/>
      <c r="Y147" s="3"/>
      <c r="Z147" s="3"/>
    </row>
    <row r="148" ht="15.75" customHeight="1">
      <c r="A148" s="2"/>
      <c r="B148" s="2"/>
      <c r="C148" s="2"/>
      <c r="D148" s="464"/>
      <c r="E148" s="2"/>
      <c r="F148" s="2"/>
      <c r="G148" s="2"/>
      <c r="H148" s="2"/>
      <c r="I148" s="2"/>
      <c r="J148" s="2"/>
      <c r="K148" s="2"/>
      <c r="L148" s="2"/>
      <c r="M148" s="2"/>
      <c r="N148" s="2"/>
      <c r="O148" s="2"/>
      <c r="P148" s="2"/>
      <c r="R148" s="3"/>
      <c r="S148" s="3"/>
      <c r="T148" s="3"/>
      <c r="U148" s="3"/>
      <c r="V148" s="3"/>
      <c r="W148" s="3"/>
      <c r="X148" s="3"/>
      <c r="Y148" s="3"/>
      <c r="Z148" s="3"/>
    </row>
    <row r="149" ht="15.75" customHeight="1">
      <c r="A149" s="2"/>
      <c r="B149" s="2"/>
      <c r="C149" s="2"/>
      <c r="D149" s="464"/>
      <c r="E149" s="2"/>
      <c r="F149" s="2"/>
      <c r="G149" s="2"/>
      <c r="H149" s="2"/>
      <c r="I149" s="2"/>
      <c r="J149" s="2"/>
      <c r="K149" s="2"/>
      <c r="L149" s="2"/>
      <c r="M149" s="2"/>
      <c r="N149" s="2"/>
      <c r="O149" s="2"/>
      <c r="P149" s="2"/>
      <c r="R149" s="3"/>
      <c r="S149" s="3"/>
      <c r="T149" s="3"/>
      <c r="U149" s="3"/>
      <c r="V149" s="3"/>
      <c r="W149" s="3"/>
      <c r="X149" s="3"/>
      <c r="Y149" s="3"/>
      <c r="Z149" s="3"/>
    </row>
    <row r="150" ht="15.75" customHeight="1">
      <c r="A150" s="2"/>
      <c r="B150" s="2"/>
      <c r="C150" s="2"/>
      <c r="D150" s="464"/>
      <c r="E150" s="2"/>
      <c r="F150" s="2"/>
      <c r="G150" s="2"/>
      <c r="H150" s="2"/>
      <c r="I150" s="2"/>
      <c r="J150" s="2"/>
      <c r="K150" s="2"/>
      <c r="L150" s="2"/>
      <c r="M150" s="2"/>
      <c r="N150" s="2"/>
      <c r="O150" s="2"/>
      <c r="P150" s="2"/>
      <c r="R150" s="3"/>
      <c r="S150" s="3"/>
      <c r="T150" s="3"/>
      <c r="U150" s="3"/>
      <c r="V150" s="3"/>
      <c r="W150" s="3"/>
      <c r="X150" s="3"/>
      <c r="Y150" s="3"/>
      <c r="Z150" s="3"/>
    </row>
    <row r="151" ht="15.75" customHeight="1">
      <c r="A151" s="2"/>
      <c r="B151" s="2"/>
      <c r="C151" s="2"/>
      <c r="D151" s="464"/>
      <c r="E151" s="2"/>
      <c r="F151" s="2"/>
      <c r="G151" s="2"/>
      <c r="H151" s="2"/>
      <c r="I151" s="2"/>
      <c r="J151" s="2"/>
      <c r="K151" s="2"/>
      <c r="L151" s="2"/>
      <c r="M151" s="2"/>
      <c r="N151" s="2"/>
      <c r="O151" s="2"/>
      <c r="P151" s="2"/>
      <c r="R151" s="3"/>
      <c r="S151" s="3"/>
      <c r="T151" s="3"/>
      <c r="U151" s="3"/>
      <c r="V151" s="3"/>
      <c r="W151" s="3"/>
      <c r="X151" s="3"/>
      <c r="Y151" s="3"/>
      <c r="Z151" s="3"/>
    </row>
    <row r="152" ht="15.75" customHeight="1">
      <c r="A152" s="2"/>
      <c r="B152" s="2"/>
      <c r="C152" s="2"/>
      <c r="D152" s="464"/>
      <c r="E152" s="2"/>
      <c r="F152" s="2"/>
      <c r="G152" s="2"/>
      <c r="H152" s="2"/>
      <c r="I152" s="2"/>
      <c r="J152" s="2"/>
      <c r="K152" s="2"/>
      <c r="L152" s="2"/>
      <c r="M152" s="2"/>
      <c r="N152" s="2"/>
      <c r="O152" s="2"/>
      <c r="P152" s="2"/>
      <c r="R152" s="3"/>
      <c r="S152" s="3"/>
      <c r="T152" s="3"/>
      <c r="U152" s="3"/>
      <c r="V152" s="3"/>
      <c r="W152" s="3"/>
      <c r="X152" s="3"/>
      <c r="Y152" s="3"/>
      <c r="Z152" s="3"/>
    </row>
    <row r="153" ht="15.75" customHeight="1">
      <c r="C153" s="2"/>
      <c r="R153" s="3"/>
      <c r="S153" s="3"/>
      <c r="T153" s="3"/>
      <c r="U153" s="3"/>
      <c r="V153" s="3"/>
      <c r="W153" s="3"/>
      <c r="X153" s="3"/>
      <c r="Y153" s="3"/>
      <c r="Z153" s="3"/>
    </row>
    <row r="154" ht="15.75" customHeight="1">
      <c r="C154" s="2"/>
      <c r="R154" s="3"/>
      <c r="S154" s="3"/>
      <c r="T154" s="3"/>
      <c r="U154" s="3"/>
      <c r="V154" s="3"/>
      <c r="W154" s="3"/>
      <c r="X154" s="3"/>
      <c r="Y154" s="3"/>
      <c r="Z154" s="3"/>
    </row>
    <row r="155" ht="15.75" customHeight="1">
      <c r="C155" s="2"/>
      <c r="R155" s="3"/>
      <c r="S155" s="3"/>
      <c r="T155" s="3"/>
      <c r="U155" s="3"/>
      <c r="V155" s="3"/>
      <c r="W155" s="3"/>
      <c r="X155" s="3"/>
      <c r="Y155" s="3"/>
      <c r="Z155" s="3"/>
    </row>
    <row r="156" ht="15.75" customHeight="1">
      <c r="C156" s="2"/>
      <c r="R156" s="3"/>
      <c r="S156" s="3"/>
      <c r="T156" s="3"/>
      <c r="U156" s="3"/>
      <c r="V156" s="3"/>
      <c r="W156" s="3"/>
      <c r="X156" s="3"/>
      <c r="Y156" s="3"/>
      <c r="Z156" s="3"/>
    </row>
    <row r="157" ht="15.75" customHeight="1">
      <c r="C157" s="2"/>
      <c r="R157" s="3"/>
      <c r="S157" s="3"/>
      <c r="T157" s="3"/>
      <c r="U157" s="3"/>
      <c r="V157" s="3"/>
      <c r="W157" s="3"/>
      <c r="X157" s="3"/>
      <c r="Y157" s="3"/>
      <c r="Z157" s="3"/>
    </row>
    <row r="158" ht="15.75" customHeight="1">
      <c r="C158" s="2"/>
      <c r="R158" s="3"/>
      <c r="S158" s="3"/>
      <c r="T158" s="3"/>
      <c r="U158" s="3"/>
      <c r="V158" s="3"/>
      <c r="W158" s="3"/>
      <c r="X158" s="3"/>
      <c r="Y158" s="3"/>
      <c r="Z158" s="3"/>
    </row>
    <row r="159" ht="15.75" customHeight="1">
      <c r="C159" s="2"/>
      <c r="R159" s="3"/>
      <c r="S159" s="3"/>
      <c r="T159" s="3"/>
      <c r="U159" s="3"/>
      <c r="V159" s="3"/>
      <c r="W159" s="3"/>
      <c r="X159" s="3"/>
      <c r="Y159" s="3"/>
      <c r="Z159" s="3"/>
    </row>
    <row r="160" ht="15.75" customHeight="1">
      <c r="C160" s="2"/>
      <c r="R160" s="3"/>
      <c r="S160" s="3"/>
      <c r="T160" s="3"/>
      <c r="U160" s="3"/>
      <c r="V160" s="3"/>
      <c r="W160" s="3"/>
      <c r="X160" s="3"/>
      <c r="Y160" s="3"/>
      <c r="Z160" s="3"/>
    </row>
    <row r="161" ht="15.75" customHeight="1">
      <c r="C161" s="2"/>
      <c r="R161" s="3"/>
      <c r="S161" s="3"/>
      <c r="T161" s="3"/>
      <c r="U161" s="3"/>
      <c r="V161" s="3"/>
      <c r="W161" s="3"/>
      <c r="X161" s="3"/>
      <c r="Y161" s="3"/>
      <c r="Z161" s="3"/>
    </row>
    <row r="162" ht="15.75" customHeight="1">
      <c r="C162" s="2"/>
      <c r="R162" s="3"/>
      <c r="S162" s="3"/>
      <c r="T162" s="3"/>
      <c r="U162" s="3"/>
      <c r="V162" s="3"/>
      <c r="W162" s="3"/>
      <c r="X162" s="3"/>
      <c r="Y162" s="3"/>
      <c r="Z162" s="3"/>
    </row>
    <row r="163" ht="15.75" customHeight="1">
      <c r="C163" s="2"/>
      <c r="R163" s="3"/>
      <c r="S163" s="3"/>
      <c r="T163" s="3"/>
      <c r="U163" s="3"/>
      <c r="V163" s="3"/>
      <c r="W163" s="3"/>
      <c r="X163" s="3"/>
      <c r="Y163" s="3"/>
      <c r="Z163" s="3"/>
    </row>
    <row r="164" ht="15.75" customHeight="1">
      <c r="C164" s="2"/>
      <c r="R164" s="3"/>
      <c r="S164" s="3"/>
      <c r="T164" s="3"/>
      <c r="U164" s="3"/>
      <c r="V164" s="3"/>
      <c r="W164" s="3"/>
      <c r="X164" s="3"/>
      <c r="Y164" s="3"/>
      <c r="Z164" s="3"/>
    </row>
    <row r="165" ht="15.75" customHeight="1">
      <c r="C165" s="2"/>
      <c r="R165" s="3"/>
      <c r="S165" s="3"/>
      <c r="T165" s="3"/>
      <c r="U165" s="3"/>
      <c r="V165" s="3"/>
      <c r="W165" s="3"/>
      <c r="X165" s="3"/>
      <c r="Y165" s="3"/>
      <c r="Z165" s="3"/>
    </row>
    <row r="166" ht="15.75" customHeight="1">
      <c r="C166" s="2"/>
      <c r="R166" s="3"/>
      <c r="S166" s="3"/>
      <c r="T166" s="3"/>
      <c r="U166" s="3"/>
      <c r="V166" s="3"/>
      <c r="W166" s="3"/>
      <c r="X166" s="3"/>
      <c r="Y166" s="3"/>
      <c r="Z166" s="3"/>
    </row>
    <row r="167" ht="15.75" customHeight="1">
      <c r="C167" s="2"/>
      <c r="R167" s="3"/>
      <c r="S167" s="3"/>
      <c r="T167" s="3"/>
      <c r="U167" s="3"/>
      <c r="V167" s="3"/>
      <c r="W167" s="3"/>
      <c r="X167" s="3"/>
      <c r="Y167" s="3"/>
      <c r="Z167" s="3"/>
    </row>
    <row r="168" ht="15.75" customHeight="1">
      <c r="C168" s="2"/>
      <c r="R168" s="3"/>
      <c r="S168" s="3"/>
      <c r="T168" s="3"/>
      <c r="U168" s="3"/>
      <c r="V168" s="3"/>
      <c r="W168" s="3"/>
      <c r="X168" s="3"/>
      <c r="Y168" s="3"/>
      <c r="Z168" s="3"/>
    </row>
    <row r="169" ht="15.75" customHeight="1">
      <c r="C169" s="2"/>
      <c r="R169" s="3"/>
      <c r="S169" s="3"/>
      <c r="T169" s="3"/>
      <c r="U169" s="3"/>
      <c r="V169" s="3"/>
      <c r="W169" s="3"/>
      <c r="X169" s="3"/>
      <c r="Y169" s="3"/>
      <c r="Z169" s="3"/>
    </row>
    <row r="170" ht="15.75" customHeight="1">
      <c r="C170" s="2"/>
      <c r="R170" s="3"/>
      <c r="S170" s="3"/>
      <c r="T170" s="3"/>
      <c r="U170" s="3"/>
      <c r="V170" s="3"/>
      <c r="W170" s="3"/>
      <c r="X170" s="3"/>
      <c r="Y170" s="3"/>
      <c r="Z170" s="3"/>
    </row>
    <row r="171" ht="15.75" customHeight="1">
      <c r="C171" s="2"/>
      <c r="R171" s="3"/>
      <c r="S171" s="3"/>
      <c r="T171" s="3"/>
      <c r="U171" s="3"/>
      <c r="V171" s="3"/>
      <c r="W171" s="3"/>
      <c r="X171" s="3"/>
      <c r="Y171" s="3"/>
      <c r="Z171" s="3"/>
    </row>
    <row r="172" ht="15.75" customHeight="1">
      <c r="C172" s="2"/>
      <c r="R172" s="3"/>
      <c r="S172" s="3"/>
      <c r="T172" s="3"/>
      <c r="U172" s="3"/>
      <c r="V172" s="3"/>
      <c r="W172" s="3"/>
      <c r="X172" s="3"/>
      <c r="Y172" s="3"/>
      <c r="Z172" s="3"/>
    </row>
    <row r="173" ht="15.75" customHeight="1">
      <c r="C173" s="2"/>
      <c r="R173" s="3"/>
      <c r="S173" s="3"/>
      <c r="T173" s="3"/>
      <c r="U173" s="3"/>
      <c r="V173" s="3"/>
      <c r="W173" s="3"/>
      <c r="X173" s="3"/>
      <c r="Y173" s="3"/>
      <c r="Z173" s="3"/>
    </row>
    <row r="174" ht="15.75" customHeight="1">
      <c r="C174" s="2"/>
      <c r="R174" s="3"/>
      <c r="S174" s="3"/>
      <c r="T174" s="3"/>
      <c r="U174" s="3"/>
      <c r="V174" s="3"/>
      <c r="W174" s="3"/>
      <c r="X174" s="3"/>
      <c r="Y174" s="3"/>
      <c r="Z174" s="3"/>
    </row>
    <row r="175" ht="15.75" customHeight="1">
      <c r="C175" s="2"/>
      <c r="R175" s="3"/>
      <c r="S175" s="3"/>
      <c r="T175" s="3"/>
      <c r="U175" s="3"/>
      <c r="V175" s="3"/>
      <c r="W175" s="3"/>
      <c r="X175" s="3"/>
      <c r="Y175" s="3"/>
      <c r="Z175" s="3"/>
    </row>
    <row r="176" ht="15.75" customHeight="1">
      <c r="C176" s="2"/>
      <c r="R176" s="3"/>
      <c r="S176" s="3"/>
      <c r="T176" s="3"/>
      <c r="U176" s="3"/>
      <c r="V176" s="3"/>
      <c r="W176" s="3"/>
      <c r="X176" s="3"/>
      <c r="Y176" s="3"/>
      <c r="Z176" s="3"/>
    </row>
    <row r="177" ht="15.75" customHeight="1">
      <c r="C177" s="2"/>
      <c r="R177" s="3"/>
      <c r="S177" s="3"/>
      <c r="T177" s="3"/>
      <c r="U177" s="3"/>
      <c r="V177" s="3"/>
      <c r="W177" s="3"/>
      <c r="X177" s="3"/>
      <c r="Y177" s="3"/>
      <c r="Z177" s="3"/>
    </row>
    <row r="178" ht="15.75" customHeight="1">
      <c r="C178" s="2"/>
      <c r="R178" s="3"/>
      <c r="S178" s="3"/>
      <c r="T178" s="3"/>
      <c r="U178" s="3"/>
      <c r="V178" s="3"/>
      <c r="W178" s="3"/>
      <c r="X178" s="3"/>
      <c r="Y178" s="3"/>
      <c r="Z178" s="3"/>
    </row>
    <row r="179" ht="15.75" customHeight="1">
      <c r="C179" s="2"/>
      <c r="R179" s="3"/>
      <c r="S179" s="3"/>
      <c r="T179" s="3"/>
      <c r="U179" s="3"/>
      <c r="V179" s="3"/>
      <c r="W179" s="3"/>
      <c r="X179" s="3"/>
      <c r="Y179" s="3"/>
      <c r="Z179" s="3"/>
    </row>
    <row r="180" ht="15.75" customHeight="1">
      <c r="C180" s="2"/>
      <c r="R180" s="3"/>
      <c r="S180" s="3"/>
      <c r="T180" s="3"/>
      <c r="U180" s="3"/>
      <c r="V180" s="3"/>
      <c r="W180" s="3"/>
      <c r="X180" s="3"/>
      <c r="Y180" s="3"/>
      <c r="Z180" s="3"/>
    </row>
    <row r="181" ht="15.75" customHeight="1">
      <c r="C181" s="2"/>
      <c r="R181" s="3"/>
      <c r="S181" s="3"/>
      <c r="T181" s="3"/>
      <c r="U181" s="3"/>
      <c r="V181" s="3"/>
      <c r="W181" s="3"/>
      <c r="X181" s="3"/>
      <c r="Y181" s="3"/>
      <c r="Z181" s="3"/>
    </row>
    <row r="182" ht="15.75" customHeight="1">
      <c r="C182" s="2"/>
      <c r="R182" s="3"/>
      <c r="S182" s="3"/>
      <c r="T182" s="3"/>
      <c r="U182" s="3"/>
      <c r="V182" s="3"/>
      <c r="W182" s="3"/>
      <c r="X182" s="3"/>
      <c r="Y182" s="3"/>
      <c r="Z182" s="3"/>
    </row>
    <row r="183" ht="15.75" customHeight="1">
      <c r="C183" s="2"/>
      <c r="R183" s="3"/>
      <c r="S183" s="3"/>
      <c r="T183" s="3"/>
      <c r="U183" s="3"/>
      <c r="V183" s="3"/>
      <c r="W183" s="3"/>
      <c r="X183" s="3"/>
      <c r="Y183" s="3"/>
      <c r="Z183" s="3"/>
    </row>
    <row r="184" ht="15.75" customHeight="1">
      <c r="C184" s="2"/>
      <c r="R184" s="3"/>
      <c r="S184" s="3"/>
      <c r="T184" s="3"/>
      <c r="U184" s="3"/>
      <c r="V184" s="3"/>
      <c r="W184" s="3"/>
      <c r="X184" s="3"/>
      <c r="Y184" s="3"/>
      <c r="Z184" s="3"/>
    </row>
    <row r="185" ht="15.75" customHeight="1">
      <c r="C185" s="2"/>
      <c r="R185" s="3"/>
      <c r="S185" s="3"/>
      <c r="T185" s="3"/>
      <c r="U185" s="3"/>
      <c r="V185" s="3"/>
      <c r="W185" s="3"/>
      <c r="X185" s="3"/>
      <c r="Y185" s="3"/>
      <c r="Z185" s="3"/>
    </row>
    <row r="186" ht="15.75" customHeight="1">
      <c r="C186" s="2"/>
      <c r="R186" s="3"/>
      <c r="S186" s="3"/>
      <c r="T186" s="3"/>
      <c r="U186" s="3"/>
      <c r="V186" s="3"/>
      <c r="W186" s="3"/>
      <c r="X186" s="3"/>
      <c r="Y186" s="3"/>
      <c r="Z186" s="3"/>
    </row>
    <row r="187" ht="15.75" customHeight="1">
      <c r="C187" s="2"/>
      <c r="R187" s="3"/>
      <c r="S187" s="3"/>
      <c r="T187" s="3"/>
      <c r="U187" s="3"/>
      <c r="V187" s="3"/>
      <c r="W187" s="3"/>
      <c r="X187" s="3"/>
      <c r="Y187" s="3"/>
      <c r="Z187" s="3"/>
    </row>
    <row r="188" ht="15.75" customHeight="1">
      <c r="C188" s="2"/>
      <c r="R188" s="3"/>
      <c r="S188" s="3"/>
      <c r="T188" s="3"/>
      <c r="U188" s="3"/>
      <c r="V188" s="3"/>
      <c r="W188" s="3"/>
      <c r="X188" s="3"/>
      <c r="Y188" s="3"/>
      <c r="Z188" s="3"/>
    </row>
    <row r="189" ht="15.75" customHeight="1">
      <c r="C189" s="2"/>
      <c r="R189" s="3"/>
      <c r="S189" s="3"/>
      <c r="T189" s="3"/>
      <c r="U189" s="3"/>
      <c r="V189" s="3"/>
      <c r="W189" s="3"/>
      <c r="X189" s="3"/>
      <c r="Y189" s="3"/>
      <c r="Z189" s="3"/>
    </row>
    <row r="190" ht="15.75" customHeight="1">
      <c r="C190" s="2"/>
      <c r="R190" s="3"/>
      <c r="S190" s="3"/>
      <c r="T190" s="3"/>
      <c r="U190" s="3"/>
      <c r="V190" s="3"/>
      <c r="W190" s="3"/>
      <c r="X190" s="3"/>
      <c r="Y190" s="3"/>
      <c r="Z190" s="3"/>
    </row>
    <row r="191" ht="15.75" customHeight="1">
      <c r="C191" s="2"/>
      <c r="R191" s="3"/>
      <c r="S191" s="3"/>
      <c r="T191" s="3"/>
      <c r="U191" s="3"/>
      <c r="V191" s="3"/>
      <c r="W191" s="3"/>
      <c r="X191" s="3"/>
      <c r="Y191" s="3"/>
      <c r="Z191" s="3"/>
    </row>
    <row r="192" ht="15.75" customHeight="1">
      <c r="C192" s="2"/>
      <c r="R192" s="3"/>
      <c r="S192" s="3"/>
      <c r="T192" s="3"/>
      <c r="U192" s="3"/>
      <c r="V192" s="3"/>
      <c r="W192" s="3"/>
      <c r="X192" s="3"/>
      <c r="Y192" s="3"/>
      <c r="Z192" s="3"/>
    </row>
    <row r="193" ht="15.75" customHeight="1">
      <c r="C193" s="2"/>
      <c r="R193" s="3"/>
      <c r="S193" s="3"/>
      <c r="T193" s="3"/>
      <c r="U193" s="3"/>
      <c r="V193" s="3"/>
      <c r="W193" s="3"/>
      <c r="X193" s="3"/>
      <c r="Y193" s="3"/>
      <c r="Z193" s="3"/>
    </row>
    <row r="194" ht="15.75" customHeight="1">
      <c r="C194" s="2"/>
      <c r="R194" s="3"/>
      <c r="S194" s="3"/>
      <c r="T194" s="3"/>
      <c r="U194" s="3"/>
      <c r="V194" s="3"/>
      <c r="W194" s="3"/>
      <c r="X194" s="3"/>
      <c r="Y194" s="3"/>
      <c r="Z194" s="3"/>
    </row>
    <row r="195" ht="15.75" customHeight="1">
      <c r="C195" s="2"/>
      <c r="R195" s="3"/>
      <c r="S195" s="3"/>
      <c r="T195" s="3"/>
      <c r="U195" s="3"/>
      <c r="V195" s="3"/>
      <c r="W195" s="3"/>
      <c r="X195" s="3"/>
      <c r="Y195" s="3"/>
      <c r="Z195" s="3"/>
    </row>
    <row r="196" ht="15.75" customHeight="1">
      <c r="C196" s="2"/>
      <c r="R196" s="3"/>
      <c r="S196" s="3"/>
      <c r="T196" s="3"/>
      <c r="U196" s="3"/>
      <c r="V196" s="3"/>
      <c r="W196" s="3"/>
      <c r="X196" s="3"/>
      <c r="Y196" s="3"/>
      <c r="Z196" s="3"/>
    </row>
    <row r="197" ht="15.75" customHeight="1">
      <c r="C197" s="2"/>
      <c r="R197" s="3"/>
      <c r="S197" s="3"/>
      <c r="T197" s="3"/>
      <c r="U197" s="3"/>
      <c r="V197" s="3"/>
      <c r="W197" s="3"/>
      <c r="X197" s="3"/>
      <c r="Y197" s="3"/>
      <c r="Z197" s="3"/>
    </row>
    <row r="198" ht="15.75" customHeight="1">
      <c r="C198" s="2"/>
      <c r="R198" s="3"/>
      <c r="S198" s="3"/>
      <c r="T198" s="3"/>
      <c r="U198" s="3"/>
      <c r="V198" s="3"/>
      <c r="W198" s="3"/>
      <c r="X198" s="3"/>
      <c r="Y198" s="3"/>
      <c r="Z198" s="3"/>
    </row>
    <row r="199" ht="15.75" customHeight="1">
      <c r="C199" s="2"/>
      <c r="R199" s="3"/>
      <c r="S199" s="3"/>
      <c r="T199" s="3"/>
      <c r="U199" s="3"/>
      <c r="V199" s="3"/>
      <c r="W199" s="3"/>
      <c r="X199" s="3"/>
      <c r="Y199" s="3"/>
      <c r="Z199" s="3"/>
    </row>
    <row r="200" ht="15.75" customHeight="1">
      <c r="C200" s="2"/>
      <c r="R200" s="3"/>
      <c r="S200" s="3"/>
      <c r="T200" s="3"/>
      <c r="U200" s="3"/>
      <c r="V200" s="3"/>
      <c r="W200" s="3"/>
      <c r="X200" s="3"/>
      <c r="Y200" s="3"/>
      <c r="Z200" s="3"/>
    </row>
    <row r="201" ht="15.75" customHeight="1">
      <c r="C201" s="2"/>
      <c r="R201" s="3"/>
      <c r="S201" s="3"/>
      <c r="T201" s="3"/>
      <c r="U201" s="3"/>
      <c r="V201" s="3"/>
      <c r="W201" s="3"/>
      <c r="X201" s="3"/>
      <c r="Y201" s="3"/>
      <c r="Z201" s="3"/>
    </row>
    <row r="202" ht="15.75" customHeight="1">
      <c r="C202" s="2"/>
      <c r="R202" s="3"/>
      <c r="S202" s="3"/>
      <c r="T202" s="3"/>
      <c r="U202" s="3"/>
      <c r="V202" s="3"/>
      <c r="W202" s="3"/>
      <c r="X202" s="3"/>
      <c r="Y202" s="3"/>
      <c r="Z202" s="3"/>
    </row>
    <row r="203" ht="15.75" customHeight="1">
      <c r="C203" s="2"/>
      <c r="R203" s="3"/>
      <c r="S203" s="3"/>
      <c r="T203" s="3"/>
      <c r="U203" s="3"/>
      <c r="V203" s="3"/>
      <c r="W203" s="3"/>
      <c r="X203" s="3"/>
      <c r="Y203" s="3"/>
      <c r="Z203" s="3"/>
    </row>
    <row r="204" ht="15.75" customHeight="1">
      <c r="C204" s="2"/>
      <c r="R204" s="3"/>
      <c r="S204" s="3"/>
      <c r="T204" s="3"/>
      <c r="U204" s="3"/>
      <c r="V204" s="3"/>
      <c r="W204" s="3"/>
      <c r="X204" s="3"/>
      <c r="Y204" s="3"/>
      <c r="Z204" s="3"/>
    </row>
    <row r="205" ht="15.75" customHeight="1">
      <c r="C205" s="2"/>
      <c r="R205" s="3"/>
      <c r="S205" s="3"/>
      <c r="T205" s="3"/>
      <c r="U205" s="3"/>
      <c r="V205" s="3"/>
      <c r="W205" s="3"/>
      <c r="X205" s="3"/>
      <c r="Y205" s="3"/>
      <c r="Z205" s="3"/>
    </row>
    <row r="206" ht="15.75" customHeight="1">
      <c r="C206" s="2"/>
      <c r="R206" s="3"/>
      <c r="S206" s="3"/>
      <c r="T206" s="3"/>
      <c r="U206" s="3"/>
      <c r="V206" s="3"/>
      <c r="W206" s="3"/>
      <c r="X206" s="3"/>
      <c r="Y206" s="3"/>
      <c r="Z206" s="3"/>
    </row>
    <row r="207" ht="15.75" customHeight="1">
      <c r="C207" s="2"/>
      <c r="R207" s="3"/>
      <c r="S207" s="3"/>
      <c r="T207" s="3"/>
      <c r="U207" s="3"/>
      <c r="V207" s="3"/>
      <c r="W207" s="3"/>
      <c r="X207" s="3"/>
      <c r="Y207" s="3"/>
      <c r="Z207" s="3"/>
    </row>
    <row r="208" ht="15.75" customHeight="1">
      <c r="C208" s="2"/>
      <c r="R208" s="3"/>
      <c r="S208" s="3"/>
      <c r="T208" s="3"/>
      <c r="U208" s="3"/>
      <c r="V208" s="3"/>
      <c r="W208" s="3"/>
      <c r="X208" s="3"/>
      <c r="Y208" s="3"/>
      <c r="Z208" s="3"/>
    </row>
    <row r="209" ht="15.75" customHeight="1">
      <c r="C209" s="2"/>
      <c r="R209" s="3"/>
      <c r="S209" s="3"/>
      <c r="T209" s="3"/>
      <c r="U209" s="3"/>
      <c r="V209" s="3"/>
      <c r="W209" s="3"/>
      <c r="X209" s="3"/>
      <c r="Y209" s="3"/>
      <c r="Z209" s="3"/>
    </row>
    <row r="210" ht="15.75" customHeight="1">
      <c r="C210" s="2"/>
      <c r="R210" s="3"/>
      <c r="S210" s="3"/>
      <c r="T210" s="3"/>
      <c r="U210" s="3"/>
      <c r="V210" s="3"/>
      <c r="W210" s="3"/>
      <c r="X210" s="3"/>
      <c r="Y210" s="3"/>
      <c r="Z210" s="3"/>
    </row>
    <row r="211" ht="15.75" customHeight="1">
      <c r="C211" s="2"/>
      <c r="R211" s="3"/>
      <c r="S211" s="3"/>
      <c r="T211" s="3"/>
      <c r="U211" s="3"/>
      <c r="V211" s="3"/>
      <c r="W211" s="3"/>
      <c r="X211" s="3"/>
      <c r="Y211" s="3"/>
      <c r="Z211" s="3"/>
    </row>
    <row r="212" ht="15.75" customHeight="1">
      <c r="C212" s="2"/>
      <c r="R212" s="3"/>
      <c r="S212" s="3"/>
      <c r="T212" s="3"/>
      <c r="U212" s="3"/>
      <c r="V212" s="3"/>
      <c r="W212" s="3"/>
      <c r="X212" s="3"/>
      <c r="Y212" s="3"/>
      <c r="Z212" s="3"/>
    </row>
    <row r="213" ht="15.75" customHeight="1">
      <c r="C213" s="2"/>
      <c r="R213" s="3"/>
      <c r="S213" s="3"/>
      <c r="T213" s="3"/>
      <c r="U213" s="3"/>
      <c r="V213" s="3"/>
      <c r="W213" s="3"/>
      <c r="X213" s="3"/>
      <c r="Y213" s="3"/>
      <c r="Z213" s="3"/>
    </row>
    <row r="214" ht="15.75" customHeight="1">
      <c r="C214" s="2"/>
      <c r="R214" s="3"/>
      <c r="S214" s="3"/>
      <c r="T214" s="3"/>
      <c r="U214" s="3"/>
      <c r="V214" s="3"/>
      <c r="W214" s="3"/>
      <c r="X214" s="3"/>
      <c r="Y214" s="3"/>
      <c r="Z214" s="3"/>
    </row>
    <row r="215" ht="15.75" customHeight="1">
      <c r="C215" s="2"/>
      <c r="R215" s="3"/>
      <c r="S215" s="3"/>
      <c r="T215" s="3"/>
      <c r="U215" s="3"/>
      <c r="V215" s="3"/>
      <c r="W215" s="3"/>
      <c r="X215" s="3"/>
      <c r="Y215" s="3"/>
      <c r="Z215" s="3"/>
    </row>
    <row r="216" ht="15.75" customHeight="1">
      <c r="C216" s="2"/>
      <c r="R216" s="3"/>
      <c r="S216" s="3"/>
      <c r="T216" s="3"/>
      <c r="U216" s="3"/>
      <c r="V216" s="3"/>
      <c r="W216" s="3"/>
      <c r="X216" s="3"/>
      <c r="Y216" s="3"/>
      <c r="Z216" s="3"/>
    </row>
    <row r="217" ht="15.75" customHeight="1">
      <c r="C217" s="2"/>
      <c r="R217" s="3"/>
      <c r="S217" s="3"/>
      <c r="T217" s="3"/>
      <c r="U217" s="3"/>
      <c r="V217" s="3"/>
      <c r="W217" s="3"/>
      <c r="X217" s="3"/>
      <c r="Y217" s="3"/>
      <c r="Z217" s="3"/>
    </row>
    <row r="218" ht="15.75" customHeight="1">
      <c r="C218" s="2"/>
      <c r="R218" s="3"/>
      <c r="S218" s="3"/>
      <c r="T218" s="3"/>
      <c r="U218" s="3"/>
      <c r="V218" s="3"/>
      <c r="W218" s="3"/>
      <c r="X218" s="3"/>
      <c r="Y218" s="3"/>
      <c r="Z218" s="3"/>
    </row>
    <row r="219" ht="15.75" customHeight="1">
      <c r="C219" s="2"/>
      <c r="R219" s="3"/>
      <c r="S219" s="3"/>
      <c r="T219" s="3"/>
      <c r="U219" s="3"/>
      <c r="V219" s="3"/>
      <c r="W219" s="3"/>
      <c r="X219" s="3"/>
      <c r="Y219" s="3"/>
      <c r="Z219" s="3"/>
    </row>
    <row r="220" ht="15.75" customHeight="1">
      <c r="C220" s="2"/>
      <c r="R220" s="3"/>
      <c r="S220" s="3"/>
      <c r="T220" s="3"/>
      <c r="U220" s="3"/>
      <c r="V220" s="3"/>
      <c r="W220" s="3"/>
      <c r="X220" s="3"/>
      <c r="Y220" s="3"/>
      <c r="Z220" s="3"/>
    </row>
    <row r="221" ht="15.75" customHeight="1">
      <c r="C221" s="2"/>
      <c r="R221" s="3"/>
      <c r="S221" s="3"/>
      <c r="T221" s="3"/>
      <c r="U221" s="3"/>
      <c r="V221" s="3"/>
      <c r="W221" s="3"/>
      <c r="X221" s="3"/>
      <c r="Y221" s="3"/>
      <c r="Z221" s="3"/>
    </row>
    <row r="222" ht="15.75" customHeight="1">
      <c r="C222" s="2"/>
      <c r="R222" s="3"/>
      <c r="S222" s="3"/>
      <c r="T222" s="3"/>
      <c r="U222" s="3"/>
      <c r="V222" s="3"/>
      <c r="W222" s="3"/>
      <c r="X222" s="3"/>
      <c r="Y222" s="3"/>
      <c r="Z222" s="3"/>
    </row>
    <row r="223" ht="15.75" customHeight="1">
      <c r="C223" s="2"/>
      <c r="R223" s="3"/>
      <c r="S223" s="3"/>
      <c r="T223" s="3"/>
      <c r="U223" s="3"/>
      <c r="V223" s="3"/>
      <c r="W223" s="3"/>
      <c r="X223" s="3"/>
      <c r="Y223" s="3"/>
      <c r="Z223" s="3"/>
    </row>
    <row r="224" ht="15.75" customHeight="1">
      <c r="C224" s="2"/>
      <c r="R224" s="3"/>
      <c r="S224" s="3"/>
      <c r="T224" s="3"/>
      <c r="U224" s="3"/>
      <c r="V224" s="3"/>
      <c r="W224" s="3"/>
      <c r="X224" s="3"/>
      <c r="Y224" s="3"/>
      <c r="Z224" s="3"/>
    </row>
    <row r="225" ht="15.75" customHeight="1">
      <c r="C225" s="2"/>
      <c r="R225" s="3"/>
      <c r="S225" s="3"/>
      <c r="T225" s="3"/>
      <c r="U225" s="3"/>
      <c r="V225" s="3"/>
      <c r="W225" s="3"/>
      <c r="X225" s="3"/>
      <c r="Y225" s="3"/>
      <c r="Z225" s="3"/>
    </row>
    <row r="226" ht="15.75" customHeight="1">
      <c r="C226" s="2"/>
      <c r="R226" s="3"/>
      <c r="S226" s="3"/>
      <c r="T226" s="3"/>
      <c r="U226" s="3"/>
      <c r="V226" s="3"/>
      <c r="W226" s="3"/>
      <c r="X226" s="3"/>
      <c r="Y226" s="3"/>
      <c r="Z226" s="3"/>
    </row>
    <row r="227" ht="15.75" customHeight="1">
      <c r="C227" s="2"/>
      <c r="R227" s="3"/>
      <c r="S227" s="3"/>
      <c r="T227" s="3"/>
      <c r="U227" s="3"/>
      <c r="V227" s="3"/>
      <c r="W227" s="3"/>
      <c r="X227" s="3"/>
      <c r="Y227" s="3"/>
      <c r="Z227" s="3"/>
    </row>
    <row r="228" ht="15.75" customHeight="1">
      <c r="C228" s="2"/>
      <c r="R228" s="3"/>
      <c r="S228" s="3"/>
      <c r="T228" s="3"/>
      <c r="U228" s="3"/>
      <c r="V228" s="3"/>
      <c r="W228" s="3"/>
      <c r="X228" s="3"/>
      <c r="Y228" s="3"/>
      <c r="Z228" s="3"/>
    </row>
    <row r="229" ht="15.75" customHeight="1">
      <c r="C229" s="2"/>
      <c r="R229" s="3"/>
      <c r="S229" s="3"/>
      <c r="T229" s="3"/>
      <c r="U229" s="3"/>
      <c r="V229" s="3"/>
      <c r="W229" s="3"/>
      <c r="X229" s="3"/>
      <c r="Y229" s="3"/>
      <c r="Z229" s="3"/>
    </row>
    <row r="230" ht="15.75" customHeight="1">
      <c r="C230" s="2"/>
      <c r="R230" s="3"/>
      <c r="S230" s="3"/>
      <c r="T230" s="3"/>
      <c r="U230" s="3"/>
      <c r="V230" s="3"/>
      <c r="W230" s="3"/>
      <c r="X230" s="3"/>
      <c r="Y230" s="3"/>
      <c r="Z230" s="3"/>
    </row>
    <row r="231" ht="15.75" customHeight="1">
      <c r="C231" s="2"/>
      <c r="R231" s="3"/>
      <c r="S231" s="3"/>
      <c r="T231" s="3"/>
      <c r="U231" s="3"/>
      <c r="V231" s="3"/>
      <c r="W231" s="3"/>
      <c r="X231" s="3"/>
      <c r="Y231" s="3"/>
      <c r="Z231" s="3"/>
    </row>
    <row r="232" ht="15.75" customHeight="1">
      <c r="C232" s="2"/>
      <c r="R232" s="3"/>
      <c r="S232" s="3"/>
      <c r="T232" s="3"/>
      <c r="U232" s="3"/>
      <c r="V232" s="3"/>
      <c r="W232" s="3"/>
      <c r="X232" s="3"/>
      <c r="Y232" s="3"/>
      <c r="Z232" s="3"/>
    </row>
    <row r="233" ht="15.75" customHeight="1">
      <c r="C233" s="2"/>
      <c r="R233" s="3"/>
      <c r="S233" s="3"/>
      <c r="T233" s="3"/>
      <c r="U233" s="3"/>
      <c r="V233" s="3"/>
      <c r="W233" s="3"/>
      <c r="X233" s="3"/>
      <c r="Y233" s="3"/>
      <c r="Z233" s="3"/>
    </row>
    <row r="234" ht="15.75" customHeight="1">
      <c r="C234" s="2"/>
      <c r="R234" s="3"/>
      <c r="S234" s="3"/>
      <c r="T234" s="3"/>
      <c r="U234" s="3"/>
      <c r="V234" s="3"/>
      <c r="W234" s="3"/>
      <c r="X234" s="3"/>
      <c r="Y234" s="3"/>
      <c r="Z234" s="3"/>
    </row>
    <row r="235" ht="15.75" customHeight="1">
      <c r="C235" s="2"/>
      <c r="R235" s="3"/>
      <c r="S235" s="3"/>
      <c r="T235" s="3"/>
      <c r="U235" s="3"/>
      <c r="V235" s="3"/>
      <c r="W235" s="3"/>
      <c r="X235" s="3"/>
      <c r="Y235" s="3"/>
      <c r="Z235" s="3"/>
    </row>
    <row r="236" ht="15.75" customHeight="1">
      <c r="C236" s="2"/>
      <c r="R236" s="3"/>
      <c r="S236" s="3"/>
      <c r="T236" s="3"/>
      <c r="U236" s="3"/>
      <c r="V236" s="3"/>
      <c r="W236" s="3"/>
      <c r="X236" s="3"/>
      <c r="Y236" s="3"/>
      <c r="Z236" s="3"/>
    </row>
    <row r="237" ht="15.75" customHeight="1">
      <c r="C237" s="2"/>
      <c r="R237" s="3"/>
      <c r="S237" s="3"/>
      <c r="T237" s="3"/>
      <c r="U237" s="3"/>
      <c r="V237" s="3"/>
      <c r="W237" s="3"/>
      <c r="X237" s="3"/>
      <c r="Y237" s="3"/>
      <c r="Z237" s="3"/>
    </row>
    <row r="238" ht="15.75" customHeight="1">
      <c r="C238" s="2"/>
      <c r="R238" s="3"/>
      <c r="S238" s="3"/>
      <c r="T238" s="3"/>
      <c r="U238" s="3"/>
      <c r="V238" s="3"/>
      <c r="W238" s="3"/>
      <c r="X238" s="3"/>
      <c r="Y238" s="3"/>
      <c r="Z238" s="3"/>
    </row>
    <row r="239" ht="15.75" customHeight="1">
      <c r="C239" s="2"/>
      <c r="R239" s="3"/>
      <c r="S239" s="3"/>
      <c r="T239" s="3"/>
      <c r="U239" s="3"/>
      <c r="V239" s="3"/>
      <c r="W239" s="3"/>
      <c r="X239" s="3"/>
      <c r="Y239" s="3"/>
      <c r="Z239" s="3"/>
    </row>
    <row r="240" ht="15.75" customHeight="1">
      <c r="C240" s="2"/>
      <c r="R240" s="3"/>
      <c r="S240" s="3"/>
      <c r="T240" s="3"/>
      <c r="U240" s="3"/>
      <c r="V240" s="3"/>
      <c r="W240" s="3"/>
      <c r="X240" s="3"/>
      <c r="Y240" s="3"/>
      <c r="Z240" s="3"/>
    </row>
    <row r="241" ht="15.75" customHeight="1">
      <c r="C241" s="2"/>
      <c r="R241" s="3"/>
      <c r="S241" s="3"/>
      <c r="T241" s="3"/>
      <c r="U241" s="3"/>
      <c r="V241" s="3"/>
      <c r="W241" s="3"/>
      <c r="X241" s="3"/>
      <c r="Y241" s="3"/>
      <c r="Z241" s="3"/>
    </row>
    <row r="242" ht="15.75" customHeight="1">
      <c r="C242" s="2"/>
      <c r="R242" s="3"/>
      <c r="S242" s="3"/>
      <c r="T242" s="3"/>
      <c r="U242" s="3"/>
      <c r="V242" s="3"/>
      <c r="W242" s="3"/>
      <c r="X242" s="3"/>
      <c r="Y242" s="3"/>
      <c r="Z242" s="3"/>
    </row>
    <row r="243" ht="15.75" customHeight="1">
      <c r="C243" s="2"/>
      <c r="R243" s="3"/>
      <c r="S243" s="3"/>
      <c r="T243" s="3"/>
      <c r="U243" s="3"/>
      <c r="V243" s="3"/>
      <c r="W243" s="3"/>
      <c r="X243" s="3"/>
      <c r="Y243" s="3"/>
      <c r="Z243" s="3"/>
    </row>
    <row r="244" ht="15.75" customHeight="1">
      <c r="C244" s="2"/>
      <c r="R244" s="3"/>
      <c r="S244" s="3"/>
      <c r="T244" s="3"/>
      <c r="U244" s="3"/>
      <c r="V244" s="3"/>
      <c r="W244" s="3"/>
      <c r="X244" s="3"/>
      <c r="Y244" s="3"/>
      <c r="Z244" s="3"/>
    </row>
    <row r="245" ht="15.75" customHeight="1">
      <c r="C245" s="2"/>
      <c r="R245" s="3"/>
      <c r="S245" s="3"/>
      <c r="T245" s="3"/>
      <c r="U245" s="3"/>
      <c r="V245" s="3"/>
      <c r="W245" s="3"/>
      <c r="X245" s="3"/>
      <c r="Y245" s="3"/>
      <c r="Z245" s="3"/>
    </row>
    <row r="246" ht="15.75" customHeight="1">
      <c r="C246" s="2"/>
      <c r="R246" s="3"/>
      <c r="S246" s="3"/>
      <c r="T246" s="3"/>
      <c r="U246" s="3"/>
      <c r="V246" s="3"/>
      <c r="W246" s="3"/>
      <c r="X246" s="3"/>
      <c r="Y246" s="3"/>
      <c r="Z246" s="3"/>
    </row>
    <row r="247" ht="15.75" customHeight="1">
      <c r="C247" s="2"/>
      <c r="R247" s="3"/>
      <c r="S247" s="3"/>
      <c r="T247" s="3"/>
      <c r="U247" s="3"/>
      <c r="V247" s="3"/>
      <c r="W247" s="3"/>
      <c r="X247" s="3"/>
      <c r="Y247" s="3"/>
      <c r="Z247" s="3"/>
    </row>
    <row r="248" ht="15.75" customHeight="1">
      <c r="C248" s="2"/>
      <c r="R248" s="3"/>
      <c r="S248" s="3"/>
      <c r="T248" s="3"/>
      <c r="U248" s="3"/>
      <c r="V248" s="3"/>
      <c r="W248" s="3"/>
      <c r="X248" s="3"/>
      <c r="Y248" s="3"/>
      <c r="Z248" s="3"/>
    </row>
    <row r="249" ht="15.75" customHeight="1">
      <c r="C249" s="2"/>
      <c r="R249" s="3"/>
      <c r="S249" s="3"/>
      <c r="T249" s="3"/>
      <c r="U249" s="3"/>
      <c r="V249" s="3"/>
      <c r="W249" s="3"/>
      <c r="X249" s="3"/>
      <c r="Y249" s="3"/>
      <c r="Z249" s="3"/>
    </row>
    <row r="250" ht="15.75" customHeight="1">
      <c r="C250" s="2"/>
      <c r="R250" s="3"/>
      <c r="S250" s="3"/>
      <c r="T250" s="3"/>
      <c r="U250" s="3"/>
      <c r="V250" s="3"/>
      <c r="W250" s="3"/>
      <c r="X250" s="3"/>
      <c r="Y250" s="3"/>
      <c r="Z250" s="3"/>
    </row>
    <row r="251" ht="15.75" customHeight="1">
      <c r="C251" s="2"/>
      <c r="R251" s="3"/>
      <c r="S251" s="3"/>
      <c r="T251" s="3"/>
      <c r="U251" s="3"/>
      <c r="V251" s="3"/>
      <c r="W251" s="3"/>
      <c r="X251" s="3"/>
      <c r="Y251" s="3"/>
      <c r="Z251" s="3"/>
    </row>
    <row r="252" ht="15.75" customHeight="1">
      <c r="C252" s="2"/>
      <c r="R252" s="3"/>
      <c r="S252" s="3"/>
      <c r="T252" s="3"/>
      <c r="U252" s="3"/>
      <c r="V252" s="3"/>
      <c r="W252" s="3"/>
      <c r="X252" s="3"/>
      <c r="Y252" s="3"/>
      <c r="Z252" s="3"/>
    </row>
    <row r="253" ht="15.75" customHeight="1">
      <c r="C253" s="2"/>
      <c r="R253" s="3"/>
      <c r="S253" s="3"/>
      <c r="T253" s="3"/>
      <c r="U253" s="3"/>
      <c r="V253" s="3"/>
      <c r="W253" s="3"/>
      <c r="X253" s="3"/>
      <c r="Y253" s="3"/>
      <c r="Z253" s="3"/>
    </row>
    <row r="254" ht="15.75" customHeight="1">
      <c r="C254" s="2"/>
      <c r="R254" s="3"/>
      <c r="S254" s="3"/>
      <c r="T254" s="3"/>
      <c r="U254" s="3"/>
      <c r="V254" s="3"/>
      <c r="W254" s="3"/>
      <c r="X254" s="3"/>
      <c r="Y254" s="3"/>
      <c r="Z254" s="3"/>
    </row>
    <row r="255" ht="15.75" customHeight="1">
      <c r="C255" s="2"/>
      <c r="R255" s="3"/>
      <c r="S255" s="3"/>
      <c r="T255" s="3"/>
      <c r="U255" s="3"/>
      <c r="V255" s="3"/>
      <c r="W255" s="3"/>
      <c r="X255" s="3"/>
      <c r="Y255" s="3"/>
      <c r="Z255" s="3"/>
    </row>
    <row r="256" ht="15.75" customHeight="1">
      <c r="C256" s="2"/>
      <c r="R256" s="3"/>
      <c r="S256" s="3"/>
      <c r="T256" s="3"/>
      <c r="U256" s="3"/>
      <c r="V256" s="3"/>
      <c r="W256" s="3"/>
      <c r="X256" s="3"/>
      <c r="Y256" s="3"/>
      <c r="Z256" s="3"/>
    </row>
    <row r="257" ht="15.75" customHeight="1">
      <c r="C257" s="2"/>
      <c r="R257" s="3"/>
      <c r="S257" s="3"/>
      <c r="T257" s="3"/>
      <c r="U257" s="3"/>
      <c r="V257" s="3"/>
      <c r="W257" s="3"/>
      <c r="X257" s="3"/>
      <c r="Y257" s="3"/>
      <c r="Z257" s="3"/>
    </row>
    <row r="258" ht="15.75" customHeight="1">
      <c r="C258" s="2"/>
      <c r="R258" s="3"/>
      <c r="S258" s="3"/>
      <c r="T258" s="3"/>
      <c r="U258" s="3"/>
      <c r="V258" s="3"/>
      <c r="W258" s="3"/>
      <c r="X258" s="3"/>
      <c r="Y258" s="3"/>
      <c r="Z258" s="3"/>
    </row>
    <row r="259" ht="15.75" customHeight="1">
      <c r="C259" s="2"/>
      <c r="R259" s="3"/>
      <c r="S259" s="3"/>
      <c r="T259" s="3"/>
      <c r="U259" s="3"/>
      <c r="V259" s="3"/>
      <c r="W259" s="3"/>
      <c r="X259" s="3"/>
      <c r="Y259" s="3"/>
      <c r="Z259" s="3"/>
    </row>
    <row r="260" ht="15.75" customHeight="1">
      <c r="C260" s="2"/>
      <c r="R260" s="3"/>
      <c r="S260" s="3"/>
      <c r="T260" s="3"/>
      <c r="U260" s="3"/>
      <c r="V260" s="3"/>
      <c r="W260" s="3"/>
      <c r="X260" s="3"/>
      <c r="Y260" s="3"/>
      <c r="Z260" s="3"/>
    </row>
    <row r="261" ht="15.75" customHeight="1">
      <c r="C261" s="2"/>
      <c r="R261" s="3"/>
      <c r="S261" s="3"/>
      <c r="T261" s="3"/>
      <c r="U261" s="3"/>
      <c r="V261" s="3"/>
      <c r="W261" s="3"/>
      <c r="X261" s="3"/>
      <c r="Y261" s="3"/>
      <c r="Z261" s="3"/>
    </row>
    <row r="262" ht="15.75" customHeight="1">
      <c r="C262" s="2"/>
      <c r="R262" s="3"/>
      <c r="S262" s="3"/>
      <c r="T262" s="3"/>
      <c r="U262" s="3"/>
      <c r="V262" s="3"/>
      <c r="W262" s="3"/>
      <c r="X262" s="3"/>
      <c r="Y262" s="3"/>
      <c r="Z262" s="3"/>
    </row>
    <row r="263" ht="15.75" customHeight="1">
      <c r="C263" s="2"/>
      <c r="R263" s="3"/>
      <c r="S263" s="3"/>
      <c r="T263" s="3"/>
      <c r="U263" s="3"/>
      <c r="V263" s="3"/>
      <c r="W263" s="3"/>
      <c r="X263" s="3"/>
      <c r="Y263" s="3"/>
      <c r="Z263" s="3"/>
    </row>
    <row r="264" ht="15.75" customHeight="1">
      <c r="C264" s="2"/>
      <c r="R264" s="3"/>
      <c r="S264" s="3"/>
      <c r="T264" s="3"/>
      <c r="U264" s="3"/>
      <c r="V264" s="3"/>
      <c r="W264" s="3"/>
      <c r="X264" s="3"/>
      <c r="Y264" s="3"/>
      <c r="Z264" s="3"/>
    </row>
    <row r="265" ht="15.75" customHeight="1">
      <c r="C265" s="2"/>
      <c r="R265" s="3"/>
      <c r="S265" s="3"/>
      <c r="T265" s="3"/>
      <c r="U265" s="3"/>
      <c r="V265" s="3"/>
      <c r="W265" s="3"/>
      <c r="X265" s="3"/>
      <c r="Y265" s="3"/>
      <c r="Z265" s="3"/>
    </row>
    <row r="266" ht="15.75" customHeight="1">
      <c r="C266" s="2"/>
      <c r="R266" s="3"/>
      <c r="S266" s="3"/>
      <c r="T266" s="3"/>
      <c r="U266" s="3"/>
      <c r="V266" s="3"/>
      <c r="W266" s="3"/>
      <c r="X266" s="3"/>
      <c r="Y266" s="3"/>
      <c r="Z266" s="3"/>
    </row>
    <row r="267" ht="15.75" customHeight="1">
      <c r="C267" s="2"/>
      <c r="R267" s="3"/>
      <c r="S267" s="3"/>
      <c r="T267" s="3"/>
      <c r="U267" s="3"/>
      <c r="V267" s="3"/>
      <c r="W267" s="3"/>
      <c r="X267" s="3"/>
      <c r="Y267" s="3"/>
      <c r="Z267" s="3"/>
    </row>
    <row r="268" ht="15.75" customHeight="1">
      <c r="C268" s="2"/>
      <c r="R268" s="3"/>
      <c r="S268" s="3"/>
      <c r="T268" s="3"/>
      <c r="U268" s="3"/>
      <c r="V268" s="3"/>
      <c r="W268" s="3"/>
      <c r="X268" s="3"/>
      <c r="Y268" s="3"/>
      <c r="Z268" s="3"/>
    </row>
    <row r="269" ht="15.75" customHeight="1">
      <c r="C269" s="2"/>
      <c r="R269" s="3"/>
      <c r="S269" s="3"/>
      <c r="T269" s="3"/>
      <c r="U269" s="3"/>
      <c r="V269" s="3"/>
      <c r="W269" s="3"/>
      <c r="X269" s="3"/>
      <c r="Y269" s="3"/>
      <c r="Z269" s="3"/>
    </row>
    <row r="270" ht="15.75" customHeight="1">
      <c r="C270" s="2"/>
      <c r="R270" s="3"/>
      <c r="S270" s="3"/>
      <c r="T270" s="3"/>
      <c r="U270" s="3"/>
      <c r="V270" s="3"/>
      <c r="W270" s="3"/>
      <c r="X270" s="3"/>
      <c r="Y270" s="3"/>
      <c r="Z270" s="3"/>
    </row>
    <row r="271" ht="15.75" customHeight="1">
      <c r="C271" s="2"/>
      <c r="R271" s="3"/>
      <c r="S271" s="3"/>
      <c r="T271" s="3"/>
      <c r="U271" s="3"/>
      <c r="V271" s="3"/>
      <c r="W271" s="3"/>
      <c r="X271" s="3"/>
      <c r="Y271" s="3"/>
      <c r="Z271" s="3"/>
    </row>
    <row r="272" ht="15.75" customHeight="1">
      <c r="C272" s="2"/>
      <c r="R272" s="3"/>
      <c r="S272" s="3"/>
      <c r="T272" s="3"/>
      <c r="U272" s="3"/>
      <c r="V272" s="3"/>
      <c r="W272" s="3"/>
      <c r="X272" s="3"/>
      <c r="Y272" s="3"/>
      <c r="Z272" s="3"/>
    </row>
    <row r="273" ht="15.75" customHeight="1">
      <c r="C273" s="2"/>
      <c r="R273" s="3"/>
      <c r="S273" s="3"/>
      <c r="T273" s="3"/>
      <c r="U273" s="3"/>
      <c r="V273" s="3"/>
      <c r="W273" s="3"/>
      <c r="X273" s="3"/>
      <c r="Y273" s="3"/>
      <c r="Z273" s="3"/>
    </row>
    <row r="274" ht="15.75" customHeight="1">
      <c r="C274" s="2"/>
      <c r="R274" s="3"/>
      <c r="S274" s="3"/>
      <c r="T274" s="3"/>
      <c r="U274" s="3"/>
      <c r="V274" s="3"/>
      <c r="W274" s="3"/>
      <c r="X274" s="3"/>
      <c r="Y274" s="3"/>
      <c r="Z274" s="3"/>
    </row>
    <row r="275" ht="15.75" customHeight="1">
      <c r="C275" s="2"/>
      <c r="R275" s="3"/>
      <c r="S275" s="3"/>
      <c r="T275" s="3"/>
      <c r="U275" s="3"/>
      <c r="V275" s="3"/>
      <c r="W275" s="3"/>
      <c r="X275" s="3"/>
      <c r="Y275" s="3"/>
      <c r="Z275" s="3"/>
    </row>
    <row r="276" ht="15.75" customHeight="1">
      <c r="C276" s="2"/>
      <c r="R276" s="3"/>
      <c r="S276" s="3"/>
      <c r="T276" s="3"/>
      <c r="U276" s="3"/>
      <c r="V276" s="3"/>
      <c r="W276" s="3"/>
      <c r="X276" s="3"/>
      <c r="Y276" s="3"/>
      <c r="Z276" s="3"/>
    </row>
    <row r="277" ht="15.75" customHeight="1">
      <c r="C277" s="2"/>
      <c r="R277" s="3"/>
      <c r="S277" s="3"/>
      <c r="T277" s="3"/>
      <c r="U277" s="3"/>
      <c r="V277" s="3"/>
      <c r="W277" s="3"/>
      <c r="X277" s="3"/>
      <c r="Y277" s="3"/>
      <c r="Z277" s="3"/>
    </row>
    <row r="278" ht="15.75" customHeight="1">
      <c r="C278" s="2"/>
      <c r="R278" s="3"/>
      <c r="S278" s="3"/>
      <c r="T278" s="3"/>
      <c r="U278" s="3"/>
      <c r="V278" s="3"/>
      <c r="W278" s="3"/>
      <c r="X278" s="3"/>
      <c r="Y278" s="3"/>
      <c r="Z278" s="3"/>
    </row>
    <row r="279" ht="15.75" customHeight="1">
      <c r="C279" s="2"/>
      <c r="R279" s="3"/>
      <c r="S279" s="3"/>
      <c r="T279" s="3"/>
      <c r="U279" s="3"/>
      <c r="V279" s="3"/>
      <c r="W279" s="3"/>
      <c r="X279" s="3"/>
      <c r="Y279" s="3"/>
      <c r="Z279" s="3"/>
    </row>
    <row r="280" ht="15.75" customHeight="1">
      <c r="C280" s="2"/>
      <c r="R280" s="3"/>
      <c r="S280" s="3"/>
      <c r="T280" s="3"/>
      <c r="U280" s="3"/>
      <c r="V280" s="3"/>
      <c r="W280" s="3"/>
      <c r="X280" s="3"/>
      <c r="Y280" s="3"/>
      <c r="Z280" s="3"/>
    </row>
    <row r="281" ht="15.75" customHeight="1">
      <c r="C281" s="2"/>
      <c r="R281" s="3"/>
      <c r="S281" s="3"/>
      <c r="T281" s="3"/>
      <c r="U281" s="3"/>
      <c r="V281" s="3"/>
      <c r="W281" s="3"/>
      <c r="X281" s="3"/>
      <c r="Y281" s="3"/>
      <c r="Z281" s="3"/>
    </row>
    <row r="282" ht="15.75" customHeight="1">
      <c r="C282" s="2"/>
      <c r="R282" s="3"/>
      <c r="S282" s="3"/>
      <c r="T282" s="3"/>
      <c r="U282" s="3"/>
      <c r="V282" s="3"/>
      <c r="W282" s="3"/>
      <c r="X282" s="3"/>
      <c r="Y282" s="3"/>
      <c r="Z282" s="3"/>
    </row>
    <row r="283" ht="15.75" customHeight="1">
      <c r="C283" s="2"/>
      <c r="R283" s="3"/>
      <c r="S283" s="3"/>
      <c r="T283" s="3"/>
      <c r="U283" s="3"/>
      <c r="V283" s="3"/>
      <c r="W283" s="3"/>
      <c r="X283" s="3"/>
      <c r="Y283" s="3"/>
      <c r="Z283" s="3"/>
    </row>
    <row r="284" ht="15.75" customHeight="1">
      <c r="C284" s="2"/>
      <c r="R284" s="3"/>
      <c r="S284" s="3"/>
      <c r="T284" s="3"/>
      <c r="U284" s="3"/>
      <c r="V284" s="3"/>
      <c r="W284" s="3"/>
      <c r="X284" s="3"/>
      <c r="Y284" s="3"/>
      <c r="Z284" s="3"/>
    </row>
    <row r="285" ht="15.75" customHeight="1">
      <c r="C285" s="2"/>
      <c r="R285" s="3"/>
      <c r="S285" s="3"/>
      <c r="T285" s="3"/>
      <c r="U285" s="3"/>
      <c r="V285" s="3"/>
      <c r="W285" s="3"/>
      <c r="X285" s="3"/>
      <c r="Y285" s="3"/>
      <c r="Z285" s="3"/>
    </row>
    <row r="286" ht="15.75" customHeight="1">
      <c r="C286" s="2"/>
      <c r="R286" s="3"/>
      <c r="S286" s="3"/>
      <c r="T286" s="3"/>
      <c r="U286" s="3"/>
      <c r="V286" s="3"/>
      <c r="W286" s="3"/>
      <c r="X286" s="3"/>
      <c r="Y286" s="3"/>
      <c r="Z286" s="3"/>
    </row>
    <row r="287" ht="15.75" customHeight="1">
      <c r="C287" s="2"/>
      <c r="R287" s="3"/>
      <c r="S287" s="3"/>
      <c r="T287" s="3"/>
      <c r="U287" s="3"/>
      <c r="V287" s="3"/>
      <c r="W287" s="3"/>
      <c r="X287" s="3"/>
      <c r="Y287" s="3"/>
      <c r="Z287" s="3"/>
    </row>
    <row r="288" ht="15.75" customHeight="1">
      <c r="C288" s="2"/>
      <c r="R288" s="3"/>
      <c r="S288" s="3"/>
      <c r="T288" s="3"/>
      <c r="U288" s="3"/>
      <c r="V288" s="3"/>
      <c r="W288" s="3"/>
      <c r="X288" s="3"/>
      <c r="Y288" s="3"/>
      <c r="Z288" s="3"/>
    </row>
    <row r="289" ht="15.75" customHeight="1">
      <c r="C289" s="2"/>
      <c r="R289" s="3"/>
      <c r="S289" s="3"/>
      <c r="T289" s="3"/>
      <c r="U289" s="3"/>
      <c r="V289" s="3"/>
      <c r="W289" s="3"/>
      <c r="X289" s="3"/>
      <c r="Y289" s="3"/>
      <c r="Z289" s="3"/>
    </row>
    <row r="290" ht="15.75" customHeight="1">
      <c r="C290" s="2"/>
      <c r="R290" s="3"/>
      <c r="S290" s="3"/>
      <c r="T290" s="3"/>
      <c r="U290" s="3"/>
      <c r="V290" s="3"/>
      <c r="W290" s="3"/>
      <c r="X290" s="3"/>
      <c r="Y290" s="3"/>
      <c r="Z290" s="3"/>
    </row>
    <row r="291" ht="15.75" customHeight="1">
      <c r="C291" s="2"/>
      <c r="R291" s="3"/>
      <c r="S291" s="3"/>
      <c r="T291" s="3"/>
      <c r="U291" s="3"/>
      <c r="V291" s="3"/>
      <c r="W291" s="3"/>
      <c r="X291" s="3"/>
      <c r="Y291" s="3"/>
      <c r="Z291" s="3"/>
    </row>
    <row r="292" ht="15.75" customHeight="1">
      <c r="C292" s="2"/>
      <c r="R292" s="3"/>
      <c r="S292" s="3"/>
      <c r="T292" s="3"/>
      <c r="U292" s="3"/>
      <c r="V292" s="3"/>
      <c r="W292" s="3"/>
      <c r="X292" s="3"/>
      <c r="Y292" s="3"/>
      <c r="Z292" s="3"/>
    </row>
    <row r="293" ht="15.75" customHeight="1">
      <c r="C293" s="2"/>
      <c r="R293" s="3"/>
      <c r="S293" s="3"/>
      <c r="T293" s="3"/>
      <c r="U293" s="3"/>
      <c r="V293" s="3"/>
      <c r="W293" s="3"/>
      <c r="X293" s="3"/>
      <c r="Y293" s="3"/>
      <c r="Z293" s="3"/>
    </row>
    <row r="294" ht="15.75" customHeight="1">
      <c r="C294" s="2"/>
      <c r="R294" s="3"/>
      <c r="S294" s="3"/>
      <c r="T294" s="3"/>
      <c r="U294" s="3"/>
      <c r="V294" s="3"/>
      <c r="W294" s="3"/>
      <c r="X294" s="3"/>
      <c r="Y294" s="3"/>
      <c r="Z294" s="3"/>
    </row>
    <row r="295" ht="15.75" customHeight="1">
      <c r="C295" s="2"/>
      <c r="R295" s="3"/>
      <c r="S295" s="3"/>
      <c r="T295" s="3"/>
      <c r="U295" s="3"/>
      <c r="V295" s="3"/>
      <c r="W295" s="3"/>
      <c r="X295" s="3"/>
      <c r="Y295" s="3"/>
      <c r="Z295" s="3"/>
    </row>
    <row r="296" ht="15.75" customHeight="1">
      <c r="C296" s="2"/>
      <c r="R296" s="3"/>
      <c r="S296" s="3"/>
      <c r="T296" s="3"/>
      <c r="U296" s="3"/>
      <c r="V296" s="3"/>
      <c r="W296" s="3"/>
      <c r="X296" s="3"/>
      <c r="Y296" s="3"/>
      <c r="Z296" s="3"/>
    </row>
    <row r="297" ht="15.75" customHeight="1">
      <c r="C297" s="2"/>
      <c r="R297" s="3"/>
      <c r="S297" s="3"/>
      <c r="T297" s="3"/>
      <c r="U297" s="3"/>
      <c r="V297" s="3"/>
      <c r="W297" s="3"/>
      <c r="X297" s="3"/>
      <c r="Y297" s="3"/>
      <c r="Z297" s="3"/>
    </row>
    <row r="298" ht="15.75" customHeight="1">
      <c r="C298" s="2"/>
      <c r="R298" s="3"/>
      <c r="S298" s="3"/>
      <c r="T298" s="3"/>
      <c r="U298" s="3"/>
      <c r="V298" s="3"/>
      <c r="W298" s="3"/>
      <c r="X298" s="3"/>
      <c r="Y298" s="3"/>
      <c r="Z298" s="3"/>
    </row>
    <row r="299" ht="15.75" customHeight="1">
      <c r="C299" s="2"/>
      <c r="R299" s="3"/>
      <c r="S299" s="3"/>
      <c r="T299" s="3"/>
      <c r="U299" s="3"/>
      <c r="V299" s="3"/>
      <c r="W299" s="3"/>
      <c r="X299" s="3"/>
      <c r="Y299" s="3"/>
      <c r="Z299" s="3"/>
    </row>
    <row r="300" ht="15.75" customHeight="1">
      <c r="C300" s="2"/>
      <c r="R300" s="3"/>
      <c r="S300" s="3"/>
      <c r="T300" s="3"/>
      <c r="U300" s="3"/>
      <c r="V300" s="3"/>
      <c r="W300" s="3"/>
      <c r="X300" s="3"/>
      <c r="Y300" s="3"/>
      <c r="Z300" s="3"/>
    </row>
    <row r="301" ht="15.75" customHeight="1">
      <c r="C301" s="2"/>
      <c r="R301" s="3"/>
      <c r="S301" s="3"/>
      <c r="T301" s="3"/>
      <c r="U301" s="3"/>
      <c r="V301" s="3"/>
      <c r="W301" s="3"/>
      <c r="X301" s="3"/>
      <c r="Y301" s="3"/>
      <c r="Z301" s="3"/>
    </row>
    <row r="302" ht="15.75" customHeight="1">
      <c r="C302" s="2"/>
      <c r="R302" s="3"/>
      <c r="S302" s="3"/>
      <c r="T302" s="3"/>
      <c r="U302" s="3"/>
      <c r="V302" s="3"/>
      <c r="W302" s="3"/>
      <c r="X302" s="3"/>
      <c r="Y302" s="3"/>
      <c r="Z302" s="3"/>
    </row>
    <row r="303" ht="15.75" customHeight="1">
      <c r="C303" s="2"/>
      <c r="R303" s="3"/>
      <c r="S303" s="3"/>
      <c r="T303" s="3"/>
      <c r="U303" s="3"/>
      <c r="V303" s="3"/>
      <c r="W303" s="3"/>
      <c r="X303" s="3"/>
      <c r="Y303" s="3"/>
      <c r="Z303" s="3"/>
    </row>
    <row r="304" ht="15.75" customHeight="1">
      <c r="C304" s="2"/>
      <c r="R304" s="3"/>
      <c r="S304" s="3"/>
      <c r="T304" s="3"/>
      <c r="U304" s="3"/>
      <c r="V304" s="3"/>
      <c r="W304" s="3"/>
      <c r="X304" s="3"/>
      <c r="Y304" s="3"/>
      <c r="Z304" s="3"/>
    </row>
    <row r="305" ht="15.75" customHeight="1">
      <c r="C305" s="2"/>
      <c r="R305" s="3"/>
      <c r="S305" s="3"/>
      <c r="T305" s="3"/>
      <c r="U305" s="3"/>
      <c r="V305" s="3"/>
      <c r="W305" s="3"/>
      <c r="X305" s="3"/>
      <c r="Y305" s="3"/>
      <c r="Z305" s="3"/>
    </row>
    <row r="306" ht="15.75" customHeight="1">
      <c r="C306" s="2"/>
      <c r="R306" s="3"/>
      <c r="S306" s="3"/>
      <c r="T306" s="3"/>
      <c r="U306" s="3"/>
      <c r="V306" s="3"/>
      <c r="W306" s="3"/>
      <c r="X306" s="3"/>
      <c r="Y306" s="3"/>
      <c r="Z306" s="3"/>
    </row>
    <row r="307" ht="15.75" customHeight="1">
      <c r="C307" s="2"/>
      <c r="R307" s="3"/>
      <c r="S307" s="3"/>
      <c r="T307" s="3"/>
      <c r="U307" s="3"/>
      <c r="V307" s="3"/>
      <c r="W307" s="3"/>
      <c r="X307" s="3"/>
      <c r="Y307" s="3"/>
      <c r="Z307" s="3"/>
    </row>
    <row r="308" ht="15.75" customHeight="1">
      <c r="C308" s="2"/>
      <c r="R308" s="3"/>
      <c r="S308" s="3"/>
      <c r="T308" s="3"/>
      <c r="U308" s="3"/>
      <c r="V308" s="3"/>
      <c r="W308" s="3"/>
      <c r="X308" s="3"/>
      <c r="Y308" s="3"/>
      <c r="Z308" s="3"/>
    </row>
    <row r="309" ht="15.75" customHeight="1">
      <c r="C309" s="2"/>
      <c r="R309" s="3"/>
      <c r="S309" s="3"/>
      <c r="T309" s="3"/>
      <c r="U309" s="3"/>
      <c r="V309" s="3"/>
      <c r="W309" s="3"/>
      <c r="X309" s="3"/>
      <c r="Y309" s="3"/>
      <c r="Z309" s="3"/>
    </row>
    <row r="310" ht="15.75" customHeight="1">
      <c r="C310" s="2"/>
      <c r="R310" s="3"/>
      <c r="S310" s="3"/>
      <c r="T310" s="3"/>
      <c r="U310" s="3"/>
      <c r="V310" s="3"/>
      <c r="W310" s="3"/>
      <c r="X310" s="3"/>
      <c r="Y310" s="3"/>
      <c r="Z310" s="3"/>
    </row>
    <row r="311" ht="15.75" customHeight="1">
      <c r="C311" s="2"/>
      <c r="R311" s="3"/>
      <c r="S311" s="3"/>
      <c r="T311" s="3"/>
      <c r="U311" s="3"/>
      <c r="V311" s="3"/>
      <c r="W311" s="3"/>
      <c r="X311" s="3"/>
      <c r="Y311" s="3"/>
      <c r="Z311" s="3"/>
    </row>
    <row r="312" ht="15.75" customHeight="1">
      <c r="C312" s="2"/>
      <c r="R312" s="3"/>
      <c r="S312" s="3"/>
      <c r="T312" s="3"/>
      <c r="U312" s="3"/>
      <c r="V312" s="3"/>
      <c r="W312" s="3"/>
      <c r="X312" s="3"/>
      <c r="Y312" s="3"/>
      <c r="Z312" s="3"/>
    </row>
    <row r="313" ht="15.75" customHeight="1">
      <c r="C313" s="2"/>
      <c r="R313" s="3"/>
      <c r="S313" s="3"/>
      <c r="T313" s="3"/>
      <c r="U313" s="3"/>
      <c r="V313" s="3"/>
      <c r="W313" s="3"/>
      <c r="X313" s="3"/>
      <c r="Y313" s="3"/>
      <c r="Z313" s="3"/>
    </row>
    <row r="314" ht="15.75" customHeight="1">
      <c r="C314" s="2"/>
      <c r="R314" s="3"/>
      <c r="S314" s="3"/>
      <c r="T314" s="3"/>
      <c r="U314" s="3"/>
      <c r="V314" s="3"/>
      <c r="W314" s="3"/>
      <c r="X314" s="3"/>
      <c r="Y314" s="3"/>
      <c r="Z314" s="3"/>
    </row>
    <row r="315" ht="15.75" customHeight="1">
      <c r="C315" s="2"/>
      <c r="R315" s="3"/>
      <c r="S315" s="3"/>
      <c r="T315" s="3"/>
      <c r="U315" s="3"/>
      <c r="V315" s="3"/>
      <c r="W315" s="3"/>
      <c r="X315" s="3"/>
      <c r="Y315" s="3"/>
      <c r="Z315" s="3"/>
    </row>
    <row r="316" ht="15.75" customHeight="1">
      <c r="C316" s="2"/>
      <c r="R316" s="3"/>
      <c r="S316" s="3"/>
      <c r="T316" s="3"/>
      <c r="U316" s="3"/>
      <c r="V316" s="3"/>
      <c r="W316" s="3"/>
      <c r="X316" s="3"/>
      <c r="Y316" s="3"/>
      <c r="Z316" s="3"/>
    </row>
    <row r="317" ht="15.75" customHeight="1">
      <c r="C317" s="2"/>
      <c r="R317" s="3"/>
      <c r="S317" s="3"/>
      <c r="T317" s="3"/>
      <c r="U317" s="3"/>
      <c r="V317" s="3"/>
      <c r="W317" s="3"/>
      <c r="X317" s="3"/>
      <c r="Y317" s="3"/>
      <c r="Z317" s="3"/>
    </row>
    <row r="318" ht="15.75" customHeight="1">
      <c r="C318" s="2"/>
      <c r="R318" s="3"/>
      <c r="S318" s="3"/>
      <c r="T318" s="3"/>
      <c r="U318" s="3"/>
      <c r="V318" s="3"/>
      <c r="W318" s="3"/>
      <c r="X318" s="3"/>
      <c r="Y318" s="3"/>
      <c r="Z318" s="3"/>
    </row>
    <row r="319" ht="15.75" customHeight="1">
      <c r="C319" s="2"/>
      <c r="R319" s="3"/>
      <c r="S319" s="3"/>
      <c r="T319" s="3"/>
      <c r="U319" s="3"/>
      <c r="V319" s="3"/>
      <c r="W319" s="3"/>
      <c r="X319" s="3"/>
      <c r="Y319" s="3"/>
      <c r="Z319" s="3"/>
    </row>
    <row r="320" ht="15.75" customHeight="1">
      <c r="C320" s="2"/>
      <c r="R320" s="3"/>
      <c r="S320" s="3"/>
      <c r="T320" s="3"/>
      <c r="U320" s="3"/>
      <c r="V320" s="3"/>
      <c r="W320" s="3"/>
      <c r="X320" s="3"/>
      <c r="Y320" s="3"/>
      <c r="Z320" s="3"/>
    </row>
    <row r="321" ht="15.75" customHeight="1">
      <c r="C321" s="2"/>
      <c r="R321" s="3"/>
      <c r="S321" s="3"/>
      <c r="T321" s="3"/>
      <c r="U321" s="3"/>
      <c r="V321" s="3"/>
      <c r="W321" s="3"/>
      <c r="X321" s="3"/>
      <c r="Y321" s="3"/>
      <c r="Z321" s="3"/>
    </row>
    <row r="322" ht="15.75" customHeight="1">
      <c r="C322" s="2"/>
      <c r="R322" s="3"/>
      <c r="S322" s="3"/>
      <c r="T322" s="3"/>
      <c r="U322" s="3"/>
      <c r="V322" s="3"/>
      <c r="W322" s="3"/>
      <c r="X322" s="3"/>
      <c r="Y322" s="3"/>
      <c r="Z322" s="3"/>
    </row>
    <row r="323" ht="15.75" customHeight="1">
      <c r="C323" s="2"/>
      <c r="R323" s="3"/>
      <c r="S323" s="3"/>
      <c r="T323" s="3"/>
      <c r="U323" s="3"/>
      <c r="V323" s="3"/>
      <c r="W323" s="3"/>
      <c r="X323" s="3"/>
      <c r="Y323" s="3"/>
      <c r="Z323" s="3"/>
    </row>
    <row r="324" ht="15.75" customHeight="1">
      <c r="C324" s="2"/>
      <c r="R324" s="3"/>
      <c r="S324" s="3"/>
      <c r="T324" s="3"/>
      <c r="U324" s="3"/>
      <c r="V324" s="3"/>
      <c r="W324" s="3"/>
      <c r="X324" s="3"/>
      <c r="Y324" s="3"/>
      <c r="Z324" s="3"/>
    </row>
    <row r="325" ht="15.75" customHeight="1">
      <c r="C325" s="2"/>
      <c r="R325" s="3"/>
      <c r="S325" s="3"/>
      <c r="T325" s="3"/>
      <c r="U325" s="3"/>
      <c r="V325" s="3"/>
      <c r="W325" s="3"/>
      <c r="X325" s="3"/>
      <c r="Y325" s="3"/>
      <c r="Z325" s="3"/>
    </row>
    <row r="326" ht="15.75" customHeight="1">
      <c r="C326" s="2"/>
      <c r="R326" s="3"/>
      <c r="S326" s="3"/>
      <c r="T326" s="3"/>
      <c r="U326" s="3"/>
      <c r="V326" s="3"/>
      <c r="W326" s="3"/>
      <c r="X326" s="3"/>
      <c r="Y326" s="3"/>
      <c r="Z326" s="3"/>
    </row>
    <row r="327" ht="15.75" customHeight="1">
      <c r="C327" s="2"/>
      <c r="R327" s="3"/>
      <c r="S327" s="3"/>
      <c r="T327" s="3"/>
      <c r="U327" s="3"/>
      <c r="V327" s="3"/>
      <c r="W327" s="3"/>
      <c r="X327" s="3"/>
      <c r="Y327" s="3"/>
      <c r="Z327" s="3"/>
    </row>
    <row r="328" ht="15.75" customHeight="1">
      <c r="C328" s="2"/>
      <c r="R328" s="3"/>
      <c r="S328" s="3"/>
      <c r="T328" s="3"/>
      <c r="U328" s="3"/>
      <c r="V328" s="3"/>
      <c r="W328" s="3"/>
      <c r="X328" s="3"/>
      <c r="Y328" s="3"/>
      <c r="Z328" s="3"/>
    </row>
    <row r="329" ht="15.75" customHeight="1">
      <c r="C329" s="2"/>
      <c r="R329" s="3"/>
      <c r="S329" s="3"/>
      <c r="T329" s="3"/>
      <c r="U329" s="3"/>
      <c r="V329" s="3"/>
      <c r="W329" s="3"/>
      <c r="X329" s="3"/>
      <c r="Y329" s="3"/>
      <c r="Z329" s="3"/>
    </row>
    <row r="330" ht="15.75" customHeight="1">
      <c r="C330" s="2"/>
      <c r="R330" s="3"/>
      <c r="S330" s="3"/>
      <c r="T330" s="3"/>
      <c r="U330" s="3"/>
      <c r="V330" s="3"/>
      <c r="W330" s="3"/>
      <c r="X330" s="3"/>
      <c r="Y330" s="3"/>
      <c r="Z330" s="3"/>
    </row>
    <row r="331" ht="15.75" customHeight="1">
      <c r="C331" s="2"/>
      <c r="R331" s="3"/>
      <c r="S331" s="3"/>
      <c r="T331" s="3"/>
      <c r="U331" s="3"/>
      <c r="V331" s="3"/>
      <c r="W331" s="3"/>
      <c r="X331" s="3"/>
      <c r="Y331" s="3"/>
      <c r="Z331" s="3"/>
    </row>
    <row r="332" ht="15.75" customHeight="1">
      <c r="C332" s="2"/>
      <c r="R332" s="3"/>
      <c r="S332" s="3"/>
      <c r="T332" s="3"/>
      <c r="U332" s="3"/>
      <c r="V332" s="3"/>
      <c r="W332" s="3"/>
      <c r="X332" s="3"/>
      <c r="Y332" s="3"/>
      <c r="Z332" s="3"/>
    </row>
    <row r="333" ht="15.75" customHeight="1">
      <c r="C333" s="2"/>
      <c r="R333" s="3"/>
      <c r="S333" s="3"/>
      <c r="T333" s="3"/>
      <c r="U333" s="3"/>
      <c r="V333" s="3"/>
      <c r="W333" s="3"/>
      <c r="X333" s="3"/>
      <c r="Y333" s="3"/>
      <c r="Z333" s="3"/>
    </row>
    <row r="334" ht="15.75" customHeight="1">
      <c r="C334" s="2"/>
      <c r="R334" s="3"/>
      <c r="S334" s="3"/>
      <c r="T334" s="3"/>
      <c r="U334" s="3"/>
      <c r="V334" s="3"/>
      <c r="W334" s="3"/>
      <c r="X334" s="3"/>
      <c r="Y334" s="3"/>
      <c r="Z334" s="3"/>
    </row>
    <row r="335" ht="15.75" customHeight="1">
      <c r="C335" s="2"/>
      <c r="R335" s="3"/>
      <c r="S335" s="3"/>
      <c r="T335" s="3"/>
      <c r="U335" s="3"/>
      <c r="V335" s="3"/>
      <c r="W335" s="3"/>
      <c r="X335" s="3"/>
      <c r="Y335" s="3"/>
      <c r="Z335" s="3"/>
    </row>
    <row r="336" ht="15.75" customHeight="1">
      <c r="C336" s="2"/>
      <c r="R336" s="3"/>
      <c r="S336" s="3"/>
      <c r="T336" s="3"/>
      <c r="U336" s="3"/>
      <c r="V336" s="3"/>
      <c r="W336" s="3"/>
      <c r="X336" s="3"/>
      <c r="Y336" s="3"/>
      <c r="Z336" s="3"/>
    </row>
    <row r="337" ht="15.75" customHeight="1">
      <c r="C337" s="2"/>
      <c r="R337" s="3"/>
      <c r="S337" s="3"/>
      <c r="T337" s="3"/>
      <c r="U337" s="3"/>
      <c r="V337" s="3"/>
      <c r="W337" s="3"/>
      <c r="X337" s="3"/>
      <c r="Y337" s="3"/>
      <c r="Z337" s="3"/>
    </row>
    <row r="338" ht="15.75" customHeight="1">
      <c r="C338" s="2"/>
      <c r="R338" s="3"/>
      <c r="S338" s="3"/>
      <c r="T338" s="3"/>
      <c r="U338" s="3"/>
      <c r="V338" s="3"/>
      <c r="W338" s="3"/>
      <c r="X338" s="3"/>
      <c r="Y338" s="3"/>
      <c r="Z338" s="3"/>
    </row>
    <row r="339" ht="15.75" customHeight="1">
      <c r="C339" s="2"/>
      <c r="R339" s="3"/>
      <c r="S339" s="3"/>
      <c r="T339" s="3"/>
      <c r="U339" s="3"/>
      <c r="V339" s="3"/>
      <c r="W339" s="3"/>
      <c r="X339" s="3"/>
      <c r="Y339" s="3"/>
      <c r="Z339" s="3"/>
    </row>
    <row r="340" ht="15.75" customHeight="1">
      <c r="C340" s="2"/>
      <c r="R340" s="3"/>
      <c r="S340" s="3"/>
      <c r="T340" s="3"/>
      <c r="U340" s="3"/>
      <c r="V340" s="3"/>
      <c r="W340" s="3"/>
      <c r="X340" s="3"/>
      <c r="Y340" s="3"/>
      <c r="Z340" s="3"/>
    </row>
    <row r="341" ht="15.75" customHeight="1">
      <c r="C341" s="2"/>
      <c r="R341" s="3"/>
      <c r="S341" s="3"/>
      <c r="T341" s="3"/>
      <c r="U341" s="3"/>
      <c r="V341" s="3"/>
      <c r="W341" s="3"/>
      <c r="X341" s="3"/>
      <c r="Y341" s="3"/>
      <c r="Z341" s="3"/>
    </row>
    <row r="342" ht="15.75" customHeight="1">
      <c r="C342" s="2"/>
      <c r="R342" s="3"/>
      <c r="S342" s="3"/>
      <c r="T342" s="3"/>
      <c r="U342" s="3"/>
      <c r="V342" s="3"/>
      <c r="W342" s="3"/>
      <c r="X342" s="3"/>
      <c r="Y342" s="3"/>
      <c r="Z342" s="3"/>
    </row>
    <row r="343" ht="15.75" customHeight="1">
      <c r="C343" s="2"/>
      <c r="R343" s="3"/>
      <c r="S343" s="3"/>
      <c r="T343" s="3"/>
      <c r="U343" s="3"/>
      <c r="V343" s="3"/>
      <c r="W343" s="3"/>
      <c r="X343" s="3"/>
      <c r="Y343" s="3"/>
      <c r="Z343" s="3"/>
    </row>
    <row r="344" ht="15.75" customHeight="1">
      <c r="C344" s="2"/>
      <c r="R344" s="3"/>
      <c r="S344" s="3"/>
      <c r="T344" s="3"/>
      <c r="U344" s="3"/>
      <c r="V344" s="3"/>
      <c r="W344" s="3"/>
      <c r="X344" s="3"/>
      <c r="Y344" s="3"/>
      <c r="Z344" s="3"/>
    </row>
    <row r="345" ht="15.75" customHeight="1">
      <c r="C345" s="2"/>
      <c r="R345" s="3"/>
      <c r="S345" s="3"/>
      <c r="T345" s="3"/>
      <c r="U345" s="3"/>
      <c r="V345" s="3"/>
      <c r="W345" s="3"/>
      <c r="X345" s="3"/>
      <c r="Y345" s="3"/>
      <c r="Z345" s="3"/>
    </row>
    <row r="346" ht="15.75" customHeight="1">
      <c r="C346" s="2"/>
      <c r="R346" s="3"/>
      <c r="S346" s="3"/>
      <c r="T346" s="3"/>
      <c r="U346" s="3"/>
      <c r="V346" s="3"/>
      <c r="W346" s="3"/>
      <c r="X346" s="3"/>
      <c r="Y346" s="3"/>
      <c r="Z346" s="3"/>
    </row>
    <row r="347" ht="15.75" customHeight="1">
      <c r="C347" s="2"/>
      <c r="R347" s="3"/>
      <c r="S347" s="3"/>
      <c r="T347" s="3"/>
      <c r="U347" s="3"/>
      <c r="V347" s="3"/>
      <c r="W347" s="3"/>
      <c r="X347" s="3"/>
      <c r="Y347" s="3"/>
      <c r="Z347" s="3"/>
    </row>
    <row r="348" ht="15.75" customHeight="1">
      <c r="C348" s="2"/>
      <c r="R348" s="3"/>
      <c r="S348" s="3"/>
      <c r="T348" s="3"/>
      <c r="U348" s="3"/>
      <c r="V348" s="3"/>
      <c r="W348" s="3"/>
      <c r="X348" s="3"/>
      <c r="Y348" s="3"/>
      <c r="Z348" s="3"/>
    </row>
    <row r="349" ht="15.75" customHeight="1">
      <c r="C349" s="2"/>
      <c r="R349" s="3"/>
      <c r="S349" s="3"/>
      <c r="T349" s="3"/>
      <c r="U349" s="3"/>
      <c r="V349" s="3"/>
      <c r="W349" s="3"/>
      <c r="X349" s="3"/>
      <c r="Y349" s="3"/>
      <c r="Z349" s="3"/>
    </row>
    <row r="350" ht="15.75" customHeight="1">
      <c r="C350" s="2"/>
      <c r="R350" s="3"/>
      <c r="S350" s="3"/>
      <c r="T350" s="3"/>
      <c r="U350" s="3"/>
      <c r="V350" s="3"/>
      <c r="W350" s="3"/>
      <c r="X350" s="3"/>
      <c r="Y350" s="3"/>
      <c r="Z350" s="3"/>
    </row>
    <row r="351" ht="15.75" customHeight="1">
      <c r="C351" s="2"/>
      <c r="R351" s="3"/>
      <c r="S351" s="3"/>
      <c r="T351" s="3"/>
      <c r="U351" s="3"/>
      <c r="V351" s="3"/>
      <c r="W351" s="3"/>
      <c r="X351" s="3"/>
      <c r="Y351" s="3"/>
      <c r="Z351" s="3"/>
    </row>
    <row r="352" ht="15.75" customHeight="1">
      <c r="C352" s="2"/>
      <c r="R352" s="3"/>
      <c r="S352" s="3"/>
      <c r="T352" s="3"/>
      <c r="U352" s="3"/>
      <c r="V352" s="3"/>
      <c r="W352" s="3"/>
      <c r="X352" s="3"/>
      <c r="Y352" s="3"/>
      <c r="Z352" s="3"/>
    </row>
    <row r="353" ht="15.75" customHeight="1">
      <c r="C353" s="2"/>
      <c r="R353" s="3"/>
      <c r="S353" s="3"/>
      <c r="T353" s="3"/>
      <c r="U353" s="3"/>
      <c r="V353" s="3"/>
      <c r="W353" s="3"/>
      <c r="X353" s="3"/>
      <c r="Y353" s="3"/>
      <c r="Z353" s="3"/>
    </row>
    <row r="354" ht="15.75" customHeight="1">
      <c r="C354" s="2"/>
      <c r="R354" s="3"/>
      <c r="S354" s="3"/>
      <c r="T354" s="3"/>
      <c r="U354" s="3"/>
      <c r="V354" s="3"/>
      <c r="W354" s="3"/>
      <c r="X354" s="3"/>
      <c r="Y354" s="3"/>
      <c r="Z354" s="3"/>
    </row>
    <row r="355" ht="15.75" customHeight="1">
      <c r="C355" s="2"/>
      <c r="R355" s="3"/>
      <c r="S355" s="3"/>
      <c r="T355" s="3"/>
      <c r="U355" s="3"/>
      <c r="V355" s="3"/>
      <c r="W355" s="3"/>
      <c r="X355" s="3"/>
      <c r="Y355" s="3"/>
      <c r="Z355" s="3"/>
    </row>
    <row r="356" ht="15.75" customHeight="1">
      <c r="C356" s="2"/>
      <c r="R356" s="3"/>
      <c r="S356" s="3"/>
      <c r="T356" s="3"/>
      <c r="U356" s="3"/>
      <c r="V356" s="3"/>
      <c r="W356" s="3"/>
      <c r="X356" s="3"/>
      <c r="Y356" s="3"/>
      <c r="Z356" s="3"/>
    </row>
    <row r="357" ht="15.75" customHeight="1">
      <c r="C357" s="2"/>
      <c r="R357" s="3"/>
      <c r="S357" s="3"/>
      <c r="T357" s="3"/>
      <c r="U357" s="3"/>
      <c r="V357" s="3"/>
      <c r="W357" s="3"/>
      <c r="X357" s="3"/>
      <c r="Y357" s="3"/>
      <c r="Z357" s="3"/>
    </row>
    <row r="358" ht="15.75" customHeight="1">
      <c r="C358" s="2"/>
      <c r="R358" s="3"/>
      <c r="S358" s="3"/>
      <c r="T358" s="3"/>
      <c r="U358" s="3"/>
      <c r="V358" s="3"/>
      <c r="W358" s="3"/>
      <c r="X358" s="3"/>
      <c r="Y358" s="3"/>
      <c r="Z358" s="3"/>
    </row>
    <row r="359" ht="15.75" customHeight="1">
      <c r="C359" s="2"/>
      <c r="R359" s="3"/>
      <c r="S359" s="3"/>
      <c r="T359" s="3"/>
      <c r="U359" s="3"/>
      <c r="V359" s="3"/>
      <c r="W359" s="3"/>
      <c r="X359" s="3"/>
      <c r="Y359" s="3"/>
      <c r="Z359" s="3"/>
    </row>
    <row r="360" ht="15.75" customHeight="1">
      <c r="C360" s="2"/>
      <c r="R360" s="3"/>
      <c r="S360" s="3"/>
      <c r="T360" s="3"/>
      <c r="U360" s="3"/>
      <c r="V360" s="3"/>
      <c r="W360" s="3"/>
      <c r="X360" s="3"/>
      <c r="Y360" s="3"/>
      <c r="Z360" s="3"/>
    </row>
    <row r="361" ht="15.75" customHeight="1">
      <c r="C361" s="2"/>
      <c r="R361" s="3"/>
      <c r="S361" s="3"/>
      <c r="T361" s="3"/>
      <c r="U361" s="3"/>
      <c r="V361" s="3"/>
      <c r="W361" s="3"/>
      <c r="X361" s="3"/>
      <c r="Y361" s="3"/>
      <c r="Z361" s="3"/>
    </row>
    <row r="362" ht="15.75" customHeight="1">
      <c r="C362" s="2"/>
      <c r="R362" s="3"/>
      <c r="S362" s="3"/>
      <c r="T362" s="3"/>
      <c r="U362" s="3"/>
      <c r="V362" s="3"/>
      <c r="W362" s="3"/>
      <c r="X362" s="3"/>
      <c r="Y362" s="3"/>
      <c r="Z362" s="3"/>
    </row>
    <row r="363" ht="15.75" customHeight="1">
      <c r="C363" s="2"/>
      <c r="R363" s="3"/>
      <c r="S363" s="3"/>
      <c r="T363" s="3"/>
      <c r="U363" s="3"/>
      <c r="V363" s="3"/>
      <c r="W363" s="3"/>
      <c r="X363" s="3"/>
      <c r="Y363" s="3"/>
      <c r="Z363" s="3"/>
    </row>
    <row r="364" ht="15.75" customHeight="1">
      <c r="C364" s="2"/>
      <c r="R364" s="3"/>
      <c r="S364" s="3"/>
      <c r="T364" s="3"/>
      <c r="U364" s="3"/>
      <c r="V364" s="3"/>
      <c r="W364" s="3"/>
      <c r="X364" s="3"/>
      <c r="Y364" s="3"/>
      <c r="Z364" s="3"/>
    </row>
    <row r="365" ht="15.75" customHeight="1">
      <c r="C365" s="2"/>
      <c r="R365" s="3"/>
      <c r="S365" s="3"/>
      <c r="T365" s="3"/>
      <c r="U365" s="3"/>
      <c r="V365" s="3"/>
      <c r="W365" s="3"/>
      <c r="X365" s="3"/>
      <c r="Y365" s="3"/>
      <c r="Z365" s="3"/>
    </row>
    <row r="366" ht="15.75" customHeight="1">
      <c r="C366" s="2"/>
      <c r="R366" s="3"/>
      <c r="S366" s="3"/>
      <c r="T366" s="3"/>
      <c r="U366" s="3"/>
      <c r="V366" s="3"/>
      <c r="W366" s="3"/>
      <c r="X366" s="3"/>
      <c r="Y366" s="3"/>
      <c r="Z366" s="3"/>
    </row>
    <row r="367" ht="15.75" customHeight="1">
      <c r="C367" s="2"/>
      <c r="R367" s="3"/>
      <c r="S367" s="3"/>
      <c r="T367" s="3"/>
      <c r="U367" s="3"/>
      <c r="V367" s="3"/>
      <c r="W367" s="3"/>
      <c r="X367" s="3"/>
      <c r="Y367" s="3"/>
      <c r="Z367" s="3"/>
    </row>
    <row r="368" ht="15.75" customHeight="1">
      <c r="C368" s="2"/>
      <c r="R368" s="3"/>
      <c r="S368" s="3"/>
      <c r="T368" s="3"/>
      <c r="U368" s="3"/>
      <c r="V368" s="3"/>
      <c r="W368" s="3"/>
      <c r="X368" s="3"/>
      <c r="Y368" s="3"/>
      <c r="Z368" s="3"/>
    </row>
    <row r="369" ht="15.75" customHeight="1">
      <c r="C369" s="2"/>
      <c r="R369" s="3"/>
      <c r="S369" s="3"/>
      <c r="T369" s="3"/>
      <c r="U369" s="3"/>
      <c r="V369" s="3"/>
      <c r="W369" s="3"/>
      <c r="X369" s="3"/>
      <c r="Y369" s="3"/>
      <c r="Z369" s="3"/>
    </row>
    <row r="370" ht="15.75" customHeight="1">
      <c r="C370" s="2"/>
      <c r="R370" s="3"/>
      <c r="S370" s="3"/>
      <c r="T370" s="3"/>
      <c r="U370" s="3"/>
      <c r="V370" s="3"/>
      <c r="W370" s="3"/>
      <c r="X370" s="3"/>
      <c r="Y370" s="3"/>
      <c r="Z370" s="3"/>
    </row>
    <row r="371" ht="15.75" customHeight="1">
      <c r="C371" s="2"/>
      <c r="R371" s="3"/>
      <c r="S371" s="3"/>
      <c r="T371" s="3"/>
      <c r="U371" s="3"/>
      <c r="V371" s="3"/>
      <c r="W371" s="3"/>
      <c r="X371" s="3"/>
      <c r="Y371" s="3"/>
      <c r="Z371" s="3"/>
    </row>
    <row r="372" ht="15.75" customHeight="1">
      <c r="C372" s="2"/>
      <c r="R372" s="3"/>
      <c r="S372" s="3"/>
      <c r="T372" s="3"/>
      <c r="U372" s="3"/>
      <c r="V372" s="3"/>
      <c r="W372" s="3"/>
      <c r="X372" s="3"/>
      <c r="Y372" s="3"/>
      <c r="Z372" s="3"/>
    </row>
    <row r="373" ht="15.75" customHeight="1">
      <c r="C373" s="2"/>
      <c r="R373" s="3"/>
      <c r="S373" s="3"/>
      <c r="T373" s="3"/>
      <c r="U373" s="3"/>
      <c r="V373" s="3"/>
      <c r="W373" s="3"/>
      <c r="X373" s="3"/>
      <c r="Y373" s="3"/>
      <c r="Z373" s="3"/>
    </row>
    <row r="374" ht="15.75" customHeight="1">
      <c r="C374" s="2"/>
      <c r="R374" s="3"/>
      <c r="S374" s="3"/>
      <c r="T374" s="3"/>
      <c r="U374" s="3"/>
      <c r="V374" s="3"/>
      <c r="W374" s="3"/>
      <c r="X374" s="3"/>
      <c r="Y374" s="3"/>
      <c r="Z374" s="3"/>
    </row>
    <row r="375" ht="15.75" customHeight="1">
      <c r="C375" s="2"/>
      <c r="R375" s="3"/>
      <c r="S375" s="3"/>
      <c r="T375" s="3"/>
      <c r="U375" s="3"/>
      <c r="V375" s="3"/>
      <c r="W375" s="3"/>
      <c r="X375" s="3"/>
      <c r="Y375" s="3"/>
      <c r="Z375" s="3"/>
    </row>
    <row r="376" ht="15.75" customHeight="1">
      <c r="C376" s="2"/>
      <c r="R376" s="3"/>
      <c r="S376" s="3"/>
      <c r="T376" s="3"/>
      <c r="U376" s="3"/>
      <c r="V376" s="3"/>
      <c r="W376" s="3"/>
      <c r="X376" s="3"/>
      <c r="Y376" s="3"/>
      <c r="Z376" s="3"/>
    </row>
    <row r="377" ht="15.75" customHeight="1">
      <c r="C377" s="2"/>
      <c r="R377" s="3"/>
      <c r="S377" s="3"/>
      <c r="T377" s="3"/>
      <c r="U377" s="3"/>
      <c r="V377" s="3"/>
      <c r="W377" s="3"/>
      <c r="X377" s="3"/>
      <c r="Y377" s="3"/>
      <c r="Z377" s="3"/>
    </row>
    <row r="378" ht="15.75" customHeight="1">
      <c r="C378" s="2"/>
      <c r="R378" s="3"/>
      <c r="S378" s="3"/>
      <c r="T378" s="3"/>
      <c r="U378" s="3"/>
      <c r="V378" s="3"/>
      <c r="W378" s="3"/>
      <c r="X378" s="3"/>
      <c r="Y378" s="3"/>
      <c r="Z378" s="3"/>
    </row>
    <row r="379" ht="15.75" customHeight="1">
      <c r="C379" s="2"/>
      <c r="R379" s="3"/>
      <c r="S379" s="3"/>
      <c r="T379" s="3"/>
      <c r="U379" s="3"/>
      <c r="V379" s="3"/>
      <c r="W379" s="3"/>
      <c r="X379" s="3"/>
      <c r="Y379" s="3"/>
      <c r="Z379" s="3"/>
    </row>
    <row r="380" ht="15.75" customHeight="1">
      <c r="C380" s="2"/>
      <c r="R380" s="3"/>
      <c r="S380" s="3"/>
      <c r="T380" s="3"/>
      <c r="U380" s="3"/>
      <c r="V380" s="3"/>
      <c r="W380" s="3"/>
      <c r="X380" s="3"/>
      <c r="Y380" s="3"/>
      <c r="Z380" s="3"/>
    </row>
    <row r="381" ht="15.75" customHeight="1">
      <c r="C381" s="2"/>
      <c r="R381" s="3"/>
      <c r="S381" s="3"/>
      <c r="T381" s="3"/>
      <c r="U381" s="3"/>
      <c r="V381" s="3"/>
      <c r="W381" s="3"/>
      <c r="X381" s="3"/>
      <c r="Y381" s="3"/>
      <c r="Z381" s="3"/>
    </row>
    <row r="382" ht="15.75" customHeight="1">
      <c r="C382" s="2"/>
      <c r="R382" s="3"/>
      <c r="S382" s="3"/>
      <c r="T382" s="3"/>
      <c r="U382" s="3"/>
      <c r="V382" s="3"/>
      <c r="W382" s="3"/>
      <c r="X382" s="3"/>
      <c r="Y382" s="3"/>
      <c r="Z382" s="3"/>
    </row>
    <row r="383" ht="15.75" customHeight="1">
      <c r="C383" s="2"/>
      <c r="R383" s="3"/>
      <c r="S383" s="3"/>
      <c r="T383" s="3"/>
      <c r="U383" s="3"/>
      <c r="V383" s="3"/>
      <c r="W383" s="3"/>
      <c r="X383" s="3"/>
      <c r="Y383" s="3"/>
      <c r="Z383" s="3"/>
    </row>
    <row r="384" ht="15.75" customHeight="1">
      <c r="C384" s="2"/>
      <c r="R384" s="3"/>
      <c r="S384" s="3"/>
      <c r="T384" s="3"/>
      <c r="U384" s="3"/>
      <c r="V384" s="3"/>
      <c r="W384" s="3"/>
      <c r="X384" s="3"/>
      <c r="Y384" s="3"/>
      <c r="Z384" s="3"/>
    </row>
    <row r="385" ht="15.75" customHeight="1">
      <c r="C385" s="2"/>
      <c r="R385" s="3"/>
      <c r="S385" s="3"/>
      <c r="T385" s="3"/>
      <c r="U385" s="3"/>
      <c r="V385" s="3"/>
      <c r="W385" s="3"/>
      <c r="X385" s="3"/>
      <c r="Y385" s="3"/>
      <c r="Z385" s="3"/>
    </row>
    <row r="386" ht="15.75" customHeight="1">
      <c r="C386" s="2"/>
      <c r="R386" s="3"/>
      <c r="S386" s="3"/>
      <c r="T386" s="3"/>
      <c r="U386" s="3"/>
      <c r="V386" s="3"/>
      <c r="W386" s="3"/>
      <c r="X386" s="3"/>
      <c r="Y386" s="3"/>
      <c r="Z386" s="3"/>
    </row>
    <row r="387" ht="15.75" customHeight="1">
      <c r="C387" s="2"/>
      <c r="R387" s="3"/>
      <c r="S387" s="3"/>
      <c r="T387" s="3"/>
      <c r="U387" s="3"/>
      <c r="V387" s="3"/>
      <c r="W387" s="3"/>
      <c r="X387" s="3"/>
      <c r="Y387" s="3"/>
      <c r="Z387" s="3"/>
    </row>
    <row r="388" ht="15.75" customHeight="1">
      <c r="C388" s="2"/>
      <c r="R388" s="3"/>
      <c r="S388" s="3"/>
      <c r="T388" s="3"/>
      <c r="U388" s="3"/>
      <c r="V388" s="3"/>
      <c r="W388" s="3"/>
      <c r="X388" s="3"/>
      <c r="Y388" s="3"/>
      <c r="Z388" s="3"/>
    </row>
    <row r="389" ht="15.75" customHeight="1">
      <c r="C389" s="2"/>
      <c r="R389" s="3"/>
      <c r="S389" s="3"/>
      <c r="T389" s="3"/>
      <c r="U389" s="3"/>
      <c r="V389" s="3"/>
      <c r="W389" s="3"/>
      <c r="X389" s="3"/>
      <c r="Y389" s="3"/>
      <c r="Z389" s="3"/>
    </row>
    <row r="390" ht="15.75" customHeight="1">
      <c r="C390" s="2"/>
      <c r="R390" s="3"/>
      <c r="S390" s="3"/>
      <c r="T390" s="3"/>
      <c r="U390" s="3"/>
      <c r="V390" s="3"/>
      <c r="W390" s="3"/>
      <c r="X390" s="3"/>
      <c r="Y390" s="3"/>
      <c r="Z390" s="3"/>
    </row>
    <row r="391" ht="15.75" customHeight="1">
      <c r="C391" s="2"/>
      <c r="R391" s="3"/>
      <c r="S391" s="3"/>
      <c r="T391" s="3"/>
      <c r="U391" s="3"/>
      <c r="V391" s="3"/>
      <c r="W391" s="3"/>
      <c r="X391" s="3"/>
      <c r="Y391" s="3"/>
      <c r="Z391" s="3"/>
    </row>
    <row r="392" ht="15.75" customHeight="1">
      <c r="C392" s="2"/>
      <c r="R392" s="3"/>
      <c r="S392" s="3"/>
      <c r="T392" s="3"/>
      <c r="U392" s="3"/>
      <c r="V392" s="3"/>
      <c r="W392" s="3"/>
      <c r="X392" s="3"/>
      <c r="Y392" s="3"/>
      <c r="Z392" s="3"/>
    </row>
    <row r="393" ht="15.75" customHeight="1">
      <c r="C393" s="2"/>
      <c r="R393" s="3"/>
      <c r="S393" s="3"/>
      <c r="T393" s="3"/>
      <c r="U393" s="3"/>
      <c r="V393" s="3"/>
      <c r="W393" s="3"/>
      <c r="X393" s="3"/>
      <c r="Y393" s="3"/>
      <c r="Z393" s="3"/>
    </row>
    <row r="394" ht="15.75" customHeight="1">
      <c r="C394" s="2"/>
      <c r="R394" s="3"/>
      <c r="S394" s="3"/>
      <c r="T394" s="3"/>
      <c r="U394" s="3"/>
      <c r="V394" s="3"/>
      <c r="W394" s="3"/>
      <c r="X394" s="3"/>
      <c r="Y394" s="3"/>
      <c r="Z394" s="3"/>
    </row>
    <row r="395" ht="15.75" customHeight="1">
      <c r="C395" s="2"/>
      <c r="R395" s="3"/>
      <c r="S395" s="3"/>
      <c r="T395" s="3"/>
      <c r="U395" s="3"/>
      <c r="V395" s="3"/>
      <c r="W395" s="3"/>
      <c r="X395" s="3"/>
      <c r="Y395" s="3"/>
      <c r="Z395" s="3"/>
    </row>
    <row r="396" ht="15.75" customHeight="1">
      <c r="C396" s="2"/>
      <c r="R396" s="3"/>
      <c r="S396" s="3"/>
      <c r="T396" s="3"/>
      <c r="U396" s="3"/>
      <c r="V396" s="3"/>
      <c r="W396" s="3"/>
      <c r="X396" s="3"/>
      <c r="Y396" s="3"/>
      <c r="Z396" s="3"/>
    </row>
    <row r="397" ht="15.75" customHeight="1">
      <c r="C397" s="2"/>
      <c r="R397" s="3"/>
      <c r="S397" s="3"/>
      <c r="T397" s="3"/>
      <c r="U397" s="3"/>
      <c r="V397" s="3"/>
      <c r="W397" s="3"/>
      <c r="X397" s="3"/>
      <c r="Y397" s="3"/>
      <c r="Z397" s="3"/>
    </row>
    <row r="398" ht="15.75" customHeight="1">
      <c r="C398" s="2"/>
      <c r="R398" s="3"/>
      <c r="S398" s="3"/>
      <c r="T398" s="3"/>
      <c r="U398" s="3"/>
      <c r="V398" s="3"/>
      <c r="W398" s="3"/>
      <c r="X398" s="3"/>
      <c r="Y398" s="3"/>
      <c r="Z398" s="3"/>
    </row>
    <row r="399" ht="15.75" customHeight="1">
      <c r="C399" s="2"/>
      <c r="R399" s="3"/>
      <c r="S399" s="3"/>
      <c r="T399" s="3"/>
      <c r="U399" s="3"/>
      <c r="V399" s="3"/>
      <c r="W399" s="3"/>
      <c r="X399" s="3"/>
      <c r="Y399" s="3"/>
      <c r="Z399" s="3"/>
    </row>
    <row r="400" ht="15.75" customHeight="1">
      <c r="C400" s="2"/>
      <c r="R400" s="3"/>
      <c r="S400" s="3"/>
      <c r="T400" s="3"/>
      <c r="U400" s="3"/>
      <c r="V400" s="3"/>
      <c r="W400" s="3"/>
      <c r="X400" s="3"/>
      <c r="Y400" s="3"/>
      <c r="Z400" s="3"/>
    </row>
    <row r="401" ht="15.75" customHeight="1">
      <c r="C401" s="2"/>
      <c r="R401" s="3"/>
      <c r="S401" s="3"/>
      <c r="T401" s="3"/>
      <c r="U401" s="3"/>
      <c r="V401" s="3"/>
      <c r="W401" s="3"/>
      <c r="X401" s="3"/>
      <c r="Y401" s="3"/>
      <c r="Z401" s="3"/>
    </row>
    <row r="402" ht="15.75" customHeight="1">
      <c r="C402" s="2"/>
      <c r="R402" s="3"/>
      <c r="S402" s="3"/>
      <c r="T402" s="3"/>
      <c r="U402" s="3"/>
      <c r="V402" s="3"/>
      <c r="W402" s="3"/>
      <c r="X402" s="3"/>
      <c r="Y402" s="3"/>
      <c r="Z402" s="3"/>
    </row>
    <row r="403" ht="15.75" customHeight="1">
      <c r="C403" s="2"/>
      <c r="R403" s="3"/>
      <c r="S403" s="3"/>
      <c r="T403" s="3"/>
      <c r="U403" s="3"/>
      <c r="V403" s="3"/>
      <c r="W403" s="3"/>
      <c r="X403" s="3"/>
      <c r="Y403" s="3"/>
      <c r="Z403" s="3"/>
    </row>
    <row r="404" ht="15.75" customHeight="1">
      <c r="C404" s="2"/>
      <c r="R404" s="3"/>
      <c r="S404" s="3"/>
      <c r="T404" s="3"/>
      <c r="U404" s="3"/>
      <c r="V404" s="3"/>
      <c r="W404" s="3"/>
      <c r="X404" s="3"/>
      <c r="Y404" s="3"/>
      <c r="Z404" s="3"/>
    </row>
    <row r="405" ht="15.75" customHeight="1">
      <c r="C405" s="2"/>
      <c r="R405" s="3"/>
      <c r="S405" s="3"/>
      <c r="T405" s="3"/>
      <c r="U405" s="3"/>
      <c r="V405" s="3"/>
      <c r="W405" s="3"/>
      <c r="X405" s="3"/>
      <c r="Y405" s="3"/>
      <c r="Z405" s="3"/>
    </row>
    <row r="406" ht="15.75" customHeight="1">
      <c r="C406" s="2"/>
      <c r="R406" s="3"/>
      <c r="S406" s="3"/>
      <c r="T406" s="3"/>
      <c r="U406" s="3"/>
      <c r="V406" s="3"/>
      <c r="W406" s="3"/>
      <c r="X406" s="3"/>
      <c r="Y406" s="3"/>
      <c r="Z406" s="3"/>
    </row>
    <row r="407" ht="15.75" customHeight="1">
      <c r="C407" s="2"/>
      <c r="R407" s="3"/>
      <c r="S407" s="3"/>
      <c r="T407" s="3"/>
      <c r="U407" s="3"/>
      <c r="V407" s="3"/>
      <c r="W407" s="3"/>
      <c r="X407" s="3"/>
      <c r="Y407" s="3"/>
      <c r="Z407" s="3"/>
    </row>
    <row r="408" ht="15.75" customHeight="1">
      <c r="C408" s="2"/>
      <c r="R408" s="3"/>
      <c r="S408" s="3"/>
      <c r="T408" s="3"/>
      <c r="U408" s="3"/>
      <c r="V408" s="3"/>
      <c r="W408" s="3"/>
      <c r="X408" s="3"/>
      <c r="Y408" s="3"/>
      <c r="Z408" s="3"/>
    </row>
    <row r="409" ht="15.75" customHeight="1">
      <c r="C409" s="2"/>
      <c r="R409" s="3"/>
      <c r="S409" s="3"/>
      <c r="T409" s="3"/>
      <c r="U409" s="3"/>
      <c r="V409" s="3"/>
      <c r="W409" s="3"/>
      <c r="X409" s="3"/>
      <c r="Y409" s="3"/>
      <c r="Z409" s="3"/>
    </row>
    <row r="410" ht="15.75" customHeight="1">
      <c r="C410" s="2"/>
      <c r="R410" s="3"/>
      <c r="S410" s="3"/>
      <c r="T410" s="3"/>
      <c r="U410" s="3"/>
      <c r="V410" s="3"/>
      <c r="W410" s="3"/>
      <c r="X410" s="3"/>
      <c r="Y410" s="3"/>
      <c r="Z410" s="3"/>
    </row>
    <row r="411" ht="15.75" customHeight="1">
      <c r="C411" s="2"/>
      <c r="R411" s="3"/>
      <c r="S411" s="3"/>
      <c r="T411" s="3"/>
      <c r="U411" s="3"/>
      <c r="V411" s="3"/>
      <c r="W411" s="3"/>
      <c r="X411" s="3"/>
      <c r="Y411" s="3"/>
      <c r="Z411" s="3"/>
    </row>
    <row r="412" ht="15.75" customHeight="1">
      <c r="C412" s="2"/>
      <c r="R412" s="3"/>
      <c r="S412" s="3"/>
      <c r="T412" s="3"/>
      <c r="U412" s="3"/>
      <c r="V412" s="3"/>
      <c r="W412" s="3"/>
      <c r="X412" s="3"/>
      <c r="Y412" s="3"/>
      <c r="Z412" s="3"/>
    </row>
    <row r="413" ht="15.75" customHeight="1">
      <c r="C413" s="2"/>
      <c r="R413" s="3"/>
      <c r="S413" s="3"/>
      <c r="T413" s="3"/>
      <c r="U413" s="3"/>
      <c r="V413" s="3"/>
      <c r="W413" s="3"/>
      <c r="X413" s="3"/>
      <c r="Y413" s="3"/>
      <c r="Z413" s="3"/>
    </row>
    <row r="414" ht="15.75" customHeight="1">
      <c r="C414" s="2"/>
      <c r="R414" s="3"/>
      <c r="S414" s="3"/>
      <c r="T414" s="3"/>
      <c r="U414" s="3"/>
      <c r="V414" s="3"/>
      <c r="W414" s="3"/>
      <c r="X414" s="3"/>
      <c r="Y414" s="3"/>
      <c r="Z414" s="3"/>
    </row>
    <row r="415" ht="15.75" customHeight="1">
      <c r="C415" s="2"/>
      <c r="R415" s="3"/>
      <c r="S415" s="3"/>
      <c r="T415" s="3"/>
      <c r="U415" s="3"/>
      <c r="V415" s="3"/>
      <c r="W415" s="3"/>
      <c r="X415" s="3"/>
      <c r="Y415" s="3"/>
      <c r="Z415" s="3"/>
    </row>
    <row r="416" ht="15.75" customHeight="1">
      <c r="C416" s="2"/>
      <c r="R416" s="3"/>
      <c r="S416" s="3"/>
      <c r="T416" s="3"/>
      <c r="U416" s="3"/>
      <c r="V416" s="3"/>
      <c r="W416" s="3"/>
      <c r="X416" s="3"/>
      <c r="Y416" s="3"/>
      <c r="Z416" s="3"/>
    </row>
    <row r="417" ht="15.75" customHeight="1">
      <c r="C417" s="2"/>
      <c r="R417" s="3"/>
      <c r="S417" s="3"/>
      <c r="T417" s="3"/>
      <c r="U417" s="3"/>
      <c r="V417" s="3"/>
      <c r="W417" s="3"/>
      <c r="X417" s="3"/>
      <c r="Y417" s="3"/>
      <c r="Z417" s="3"/>
    </row>
    <row r="418" ht="15.75" customHeight="1">
      <c r="C418" s="2"/>
      <c r="R418" s="3"/>
      <c r="S418" s="3"/>
      <c r="T418" s="3"/>
      <c r="U418" s="3"/>
      <c r="V418" s="3"/>
      <c r="W418" s="3"/>
      <c r="X418" s="3"/>
      <c r="Y418" s="3"/>
      <c r="Z418" s="3"/>
    </row>
    <row r="419" ht="15.75" customHeight="1">
      <c r="C419" s="2"/>
      <c r="R419" s="3"/>
      <c r="S419" s="3"/>
      <c r="T419" s="3"/>
      <c r="U419" s="3"/>
      <c r="V419" s="3"/>
      <c r="W419" s="3"/>
      <c r="X419" s="3"/>
      <c r="Y419" s="3"/>
      <c r="Z419" s="3"/>
    </row>
    <row r="420" ht="15.75" customHeight="1">
      <c r="C420" s="2"/>
      <c r="R420" s="3"/>
      <c r="S420" s="3"/>
      <c r="T420" s="3"/>
      <c r="U420" s="3"/>
      <c r="V420" s="3"/>
      <c r="W420" s="3"/>
      <c r="X420" s="3"/>
      <c r="Y420" s="3"/>
      <c r="Z420" s="3"/>
    </row>
    <row r="421" ht="15.75" customHeight="1">
      <c r="C421" s="2"/>
      <c r="R421" s="3"/>
      <c r="S421" s="3"/>
      <c r="T421" s="3"/>
      <c r="U421" s="3"/>
      <c r="V421" s="3"/>
      <c r="W421" s="3"/>
      <c r="X421" s="3"/>
      <c r="Y421" s="3"/>
      <c r="Z421" s="3"/>
    </row>
    <row r="422" ht="15.75" customHeight="1">
      <c r="C422" s="2"/>
      <c r="R422" s="3"/>
      <c r="S422" s="3"/>
      <c r="T422" s="3"/>
      <c r="U422" s="3"/>
      <c r="V422" s="3"/>
      <c r="W422" s="3"/>
      <c r="X422" s="3"/>
      <c r="Y422" s="3"/>
      <c r="Z422" s="3"/>
    </row>
    <row r="423" ht="15.75" customHeight="1">
      <c r="C423" s="2"/>
      <c r="R423" s="3"/>
      <c r="S423" s="3"/>
      <c r="T423" s="3"/>
      <c r="U423" s="3"/>
      <c r="V423" s="3"/>
      <c r="W423" s="3"/>
      <c r="X423" s="3"/>
      <c r="Y423" s="3"/>
      <c r="Z423" s="3"/>
    </row>
    <row r="424" ht="15.75" customHeight="1">
      <c r="C424" s="2"/>
      <c r="R424" s="3"/>
      <c r="S424" s="3"/>
      <c r="T424" s="3"/>
      <c r="U424" s="3"/>
      <c r="V424" s="3"/>
      <c r="W424" s="3"/>
      <c r="X424" s="3"/>
      <c r="Y424" s="3"/>
      <c r="Z424" s="3"/>
    </row>
    <row r="425" ht="15.75" customHeight="1">
      <c r="C425" s="2"/>
      <c r="R425" s="3"/>
      <c r="S425" s="3"/>
      <c r="T425" s="3"/>
      <c r="U425" s="3"/>
      <c r="V425" s="3"/>
      <c r="W425" s="3"/>
      <c r="X425" s="3"/>
      <c r="Y425" s="3"/>
      <c r="Z425" s="3"/>
    </row>
    <row r="426" ht="15.75" customHeight="1">
      <c r="C426" s="2"/>
      <c r="R426" s="3"/>
      <c r="S426" s="3"/>
      <c r="T426" s="3"/>
      <c r="U426" s="3"/>
      <c r="V426" s="3"/>
      <c r="W426" s="3"/>
      <c r="X426" s="3"/>
      <c r="Y426" s="3"/>
      <c r="Z426" s="3"/>
    </row>
    <row r="427" ht="15.75" customHeight="1">
      <c r="C427" s="2"/>
      <c r="R427" s="3"/>
      <c r="S427" s="3"/>
      <c r="T427" s="3"/>
      <c r="U427" s="3"/>
      <c r="V427" s="3"/>
      <c r="W427" s="3"/>
      <c r="X427" s="3"/>
      <c r="Y427" s="3"/>
      <c r="Z427" s="3"/>
    </row>
    <row r="428" ht="15.75" customHeight="1">
      <c r="C428" s="2"/>
      <c r="R428" s="3"/>
      <c r="S428" s="3"/>
      <c r="T428" s="3"/>
      <c r="U428" s="3"/>
      <c r="V428" s="3"/>
      <c r="W428" s="3"/>
      <c r="X428" s="3"/>
      <c r="Y428" s="3"/>
      <c r="Z428" s="3"/>
    </row>
    <row r="429" ht="15.75" customHeight="1">
      <c r="C429" s="2"/>
      <c r="R429" s="3"/>
      <c r="S429" s="3"/>
      <c r="T429" s="3"/>
      <c r="U429" s="3"/>
      <c r="V429" s="3"/>
      <c r="W429" s="3"/>
      <c r="X429" s="3"/>
      <c r="Y429" s="3"/>
      <c r="Z429" s="3"/>
    </row>
    <row r="430" ht="15.75" customHeight="1">
      <c r="C430" s="2"/>
      <c r="R430" s="3"/>
      <c r="S430" s="3"/>
      <c r="T430" s="3"/>
      <c r="U430" s="3"/>
      <c r="V430" s="3"/>
      <c r="W430" s="3"/>
      <c r="X430" s="3"/>
      <c r="Y430" s="3"/>
      <c r="Z430" s="3"/>
    </row>
    <row r="431" ht="15.75" customHeight="1">
      <c r="C431" s="2"/>
      <c r="R431" s="3"/>
      <c r="S431" s="3"/>
      <c r="T431" s="3"/>
      <c r="U431" s="3"/>
      <c r="V431" s="3"/>
      <c r="W431" s="3"/>
      <c r="X431" s="3"/>
      <c r="Y431" s="3"/>
      <c r="Z431" s="3"/>
    </row>
    <row r="432" ht="15.75" customHeight="1">
      <c r="C432" s="2"/>
      <c r="R432" s="3"/>
      <c r="S432" s="3"/>
      <c r="T432" s="3"/>
      <c r="U432" s="3"/>
      <c r="V432" s="3"/>
      <c r="W432" s="3"/>
      <c r="X432" s="3"/>
      <c r="Y432" s="3"/>
      <c r="Z432" s="3"/>
    </row>
    <row r="433" ht="15.75" customHeight="1">
      <c r="C433" s="2"/>
      <c r="R433" s="3"/>
      <c r="S433" s="3"/>
      <c r="T433" s="3"/>
      <c r="U433" s="3"/>
      <c r="V433" s="3"/>
      <c r="W433" s="3"/>
      <c r="X433" s="3"/>
      <c r="Y433" s="3"/>
      <c r="Z433" s="3"/>
    </row>
    <row r="434" ht="15.75" customHeight="1">
      <c r="C434" s="2"/>
      <c r="R434" s="3"/>
      <c r="S434" s="3"/>
      <c r="T434" s="3"/>
      <c r="U434" s="3"/>
      <c r="V434" s="3"/>
      <c r="W434" s="3"/>
      <c r="X434" s="3"/>
      <c r="Y434" s="3"/>
      <c r="Z434" s="3"/>
    </row>
    <row r="435" ht="15.75" customHeight="1">
      <c r="C435" s="2"/>
      <c r="R435" s="3"/>
      <c r="S435" s="3"/>
      <c r="T435" s="3"/>
      <c r="U435" s="3"/>
      <c r="V435" s="3"/>
      <c r="W435" s="3"/>
      <c r="X435" s="3"/>
      <c r="Y435" s="3"/>
      <c r="Z435" s="3"/>
    </row>
    <row r="436" ht="15.75" customHeight="1">
      <c r="C436" s="2"/>
      <c r="R436" s="3"/>
      <c r="S436" s="3"/>
      <c r="T436" s="3"/>
      <c r="U436" s="3"/>
      <c r="V436" s="3"/>
      <c r="W436" s="3"/>
      <c r="X436" s="3"/>
      <c r="Y436" s="3"/>
      <c r="Z436" s="3"/>
    </row>
    <row r="437" ht="15.75" customHeight="1">
      <c r="C437" s="2"/>
      <c r="R437" s="3"/>
      <c r="S437" s="3"/>
      <c r="T437" s="3"/>
      <c r="U437" s="3"/>
      <c r="V437" s="3"/>
      <c r="W437" s="3"/>
      <c r="X437" s="3"/>
      <c r="Y437" s="3"/>
      <c r="Z437" s="3"/>
    </row>
    <row r="438" ht="15.75" customHeight="1">
      <c r="C438" s="2"/>
      <c r="R438" s="3"/>
      <c r="S438" s="3"/>
      <c r="T438" s="3"/>
      <c r="U438" s="3"/>
      <c r="V438" s="3"/>
      <c r="W438" s="3"/>
      <c r="X438" s="3"/>
      <c r="Y438" s="3"/>
      <c r="Z438" s="3"/>
    </row>
    <row r="439" ht="15.75" customHeight="1">
      <c r="C439" s="2"/>
      <c r="R439" s="3"/>
      <c r="S439" s="3"/>
      <c r="T439" s="3"/>
      <c r="U439" s="3"/>
      <c r="V439" s="3"/>
      <c r="W439" s="3"/>
      <c r="X439" s="3"/>
      <c r="Y439" s="3"/>
      <c r="Z439" s="3"/>
    </row>
    <row r="440" ht="15.75" customHeight="1">
      <c r="C440" s="2"/>
      <c r="R440" s="3"/>
      <c r="S440" s="3"/>
      <c r="T440" s="3"/>
      <c r="U440" s="3"/>
      <c r="V440" s="3"/>
      <c r="W440" s="3"/>
      <c r="X440" s="3"/>
      <c r="Y440" s="3"/>
      <c r="Z440" s="3"/>
    </row>
    <row r="441" ht="15.75" customHeight="1">
      <c r="C441" s="2"/>
      <c r="R441" s="3"/>
      <c r="S441" s="3"/>
      <c r="T441" s="3"/>
      <c r="U441" s="3"/>
      <c r="V441" s="3"/>
      <c r="W441" s="3"/>
      <c r="X441" s="3"/>
      <c r="Y441" s="3"/>
      <c r="Z441" s="3"/>
    </row>
    <row r="442" ht="15.75" customHeight="1">
      <c r="C442" s="2"/>
      <c r="R442" s="3"/>
      <c r="S442" s="3"/>
      <c r="T442" s="3"/>
      <c r="U442" s="3"/>
      <c r="V442" s="3"/>
      <c r="W442" s="3"/>
      <c r="X442" s="3"/>
      <c r="Y442" s="3"/>
      <c r="Z442" s="3"/>
    </row>
    <row r="443" ht="15.75" customHeight="1">
      <c r="C443" s="2"/>
      <c r="R443" s="3"/>
      <c r="S443" s="3"/>
      <c r="T443" s="3"/>
      <c r="U443" s="3"/>
      <c r="V443" s="3"/>
      <c r="W443" s="3"/>
      <c r="X443" s="3"/>
      <c r="Y443" s="3"/>
      <c r="Z443" s="3"/>
    </row>
    <row r="444" ht="15.75" customHeight="1">
      <c r="C444" s="2"/>
      <c r="R444" s="3"/>
      <c r="S444" s="3"/>
      <c r="T444" s="3"/>
      <c r="U444" s="3"/>
      <c r="V444" s="3"/>
      <c r="W444" s="3"/>
      <c r="X444" s="3"/>
      <c r="Y444" s="3"/>
      <c r="Z444" s="3"/>
    </row>
    <row r="445" ht="15.75" customHeight="1">
      <c r="C445" s="2"/>
      <c r="R445" s="3"/>
      <c r="S445" s="3"/>
      <c r="T445" s="3"/>
      <c r="U445" s="3"/>
      <c r="V445" s="3"/>
      <c r="W445" s="3"/>
      <c r="X445" s="3"/>
      <c r="Y445" s="3"/>
      <c r="Z445" s="3"/>
    </row>
    <row r="446" ht="15.75" customHeight="1">
      <c r="C446" s="2"/>
      <c r="R446" s="3"/>
      <c r="S446" s="3"/>
      <c r="T446" s="3"/>
      <c r="U446" s="3"/>
      <c r="V446" s="3"/>
      <c r="W446" s="3"/>
      <c r="X446" s="3"/>
      <c r="Y446" s="3"/>
      <c r="Z446" s="3"/>
    </row>
    <row r="447" ht="15.75" customHeight="1">
      <c r="C447" s="2"/>
      <c r="R447" s="3"/>
      <c r="S447" s="3"/>
      <c r="T447" s="3"/>
      <c r="U447" s="3"/>
      <c r="V447" s="3"/>
      <c r="W447" s="3"/>
      <c r="X447" s="3"/>
      <c r="Y447" s="3"/>
      <c r="Z447" s="3"/>
    </row>
    <row r="448" ht="15.75" customHeight="1">
      <c r="C448" s="2"/>
      <c r="R448" s="3"/>
      <c r="S448" s="3"/>
      <c r="T448" s="3"/>
      <c r="U448" s="3"/>
      <c r="V448" s="3"/>
      <c r="W448" s="3"/>
      <c r="X448" s="3"/>
      <c r="Y448" s="3"/>
      <c r="Z448" s="3"/>
    </row>
    <row r="449" ht="15.75" customHeight="1">
      <c r="C449" s="2"/>
      <c r="R449" s="3"/>
      <c r="S449" s="3"/>
      <c r="T449" s="3"/>
      <c r="U449" s="3"/>
      <c r="V449" s="3"/>
      <c r="W449" s="3"/>
      <c r="X449" s="3"/>
      <c r="Y449" s="3"/>
      <c r="Z449" s="3"/>
    </row>
    <row r="450" ht="15.75" customHeight="1">
      <c r="C450" s="2"/>
      <c r="R450" s="3"/>
      <c r="S450" s="3"/>
      <c r="T450" s="3"/>
      <c r="U450" s="3"/>
      <c r="V450" s="3"/>
      <c r="W450" s="3"/>
      <c r="X450" s="3"/>
      <c r="Y450" s="3"/>
      <c r="Z450" s="3"/>
    </row>
    <row r="451" ht="15.75" customHeight="1">
      <c r="C451" s="2"/>
      <c r="R451" s="3"/>
      <c r="S451" s="3"/>
      <c r="T451" s="3"/>
      <c r="U451" s="3"/>
      <c r="V451" s="3"/>
      <c r="W451" s="3"/>
      <c r="X451" s="3"/>
      <c r="Y451" s="3"/>
      <c r="Z451" s="3"/>
    </row>
    <row r="452" ht="15.75" customHeight="1">
      <c r="C452" s="2"/>
      <c r="R452" s="3"/>
      <c r="S452" s="3"/>
      <c r="T452" s="3"/>
      <c r="U452" s="3"/>
      <c r="V452" s="3"/>
      <c r="W452" s="3"/>
      <c r="X452" s="3"/>
      <c r="Y452" s="3"/>
      <c r="Z452" s="3"/>
    </row>
    <row r="453" ht="15.75" customHeight="1">
      <c r="C453" s="2"/>
      <c r="R453" s="3"/>
      <c r="S453" s="3"/>
      <c r="T453" s="3"/>
      <c r="U453" s="3"/>
      <c r="V453" s="3"/>
      <c r="W453" s="3"/>
      <c r="X453" s="3"/>
      <c r="Y453" s="3"/>
      <c r="Z453" s="3"/>
    </row>
    <row r="454" ht="15.75" customHeight="1">
      <c r="C454" s="2"/>
      <c r="R454" s="3"/>
      <c r="S454" s="3"/>
      <c r="T454" s="3"/>
      <c r="U454" s="3"/>
      <c r="V454" s="3"/>
      <c r="W454" s="3"/>
      <c r="X454" s="3"/>
      <c r="Y454" s="3"/>
      <c r="Z454" s="3"/>
    </row>
    <row r="455" ht="15.75" customHeight="1">
      <c r="C455" s="2"/>
      <c r="R455" s="3"/>
      <c r="S455" s="3"/>
      <c r="T455" s="3"/>
      <c r="U455" s="3"/>
      <c r="V455" s="3"/>
      <c r="W455" s="3"/>
      <c r="X455" s="3"/>
      <c r="Y455" s="3"/>
      <c r="Z455" s="3"/>
    </row>
    <row r="456" ht="15.75" customHeight="1">
      <c r="C456" s="2"/>
      <c r="R456" s="3"/>
      <c r="S456" s="3"/>
      <c r="T456" s="3"/>
      <c r="U456" s="3"/>
      <c r="V456" s="3"/>
      <c r="W456" s="3"/>
      <c r="X456" s="3"/>
      <c r="Y456" s="3"/>
      <c r="Z456" s="3"/>
    </row>
    <row r="457" ht="15.75" customHeight="1">
      <c r="C457" s="2"/>
      <c r="R457" s="3"/>
      <c r="S457" s="3"/>
      <c r="T457" s="3"/>
      <c r="U457" s="3"/>
      <c r="V457" s="3"/>
      <c r="W457" s="3"/>
      <c r="X457" s="3"/>
      <c r="Y457" s="3"/>
      <c r="Z457" s="3"/>
    </row>
    <row r="458" ht="15.75" customHeight="1">
      <c r="C458" s="2"/>
      <c r="R458" s="3"/>
      <c r="S458" s="3"/>
      <c r="T458" s="3"/>
      <c r="U458" s="3"/>
      <c r="V458" s="3"/>
      <c r="W458" s="3"/>
      <c r="X458" s="3"/>
      <c r="Y458" s="3"/>
      <c r="Z458" s="3"/>
    </row>
    <row r="459" ht="15.75" customHeight="1">
      <c r="C459" s="2"/>
      <c r="R459" s="3"/>
      <c r="S459" s="3"/>
      <c r="T459" s="3"/>
      <c r="U459" s="3"/>
      <c r="V459" s="3"/>
      <c r="W459" s="3"/>
      <c r="X459" s="3"/>
      <c r="Y459" s="3"/>
      <c r="Z459" s="3"/>
    </row>
    <row r="460" ht="15.75" customHeight="1">
      <c r="C460" s="2"/>
      <c r="R460" s="3"/>
      <c r="S460" s="3"/>
      <c r="T460" s="3"/>
      <c r="U460" s="3"/>
      <c r="V460" s="3"/>
      <c r="W460" s="3"/>
      <c r="X460" s="3"/>
      <c r="Y460" s="3"/>
      <c r="Z460" s="3"/>
    </row>
    <row r="461" ht="15.75" customHeight="1">
      <c r="C461" s="2"/>
      <c r="R461" s="3"/>
      <c r="S461" s="3"/>
      <c r="T461" s="3"/>
      <c r="U461" s="3"/>
      <c r="V461" s="3"/>
      <c r="W461" s="3"/>
      <c r="X461" s="3"/>
      <c r="Y461" s="3"/>
      <c r="Z461" s="3"/>
    </row>
    <row r="462" ht="15.75" customHeight="1">
      <c r="C462" s="2"/>
      <c r="R462" s="3"/>
      <c r="S462" s="3"/>
      <c r="T462" s="3"/>
      <c r="U462" s="3"/>
      <c r="V462" s="3"/>
      <c r="W462" s="3"/>
      <c r="X462" s="3"/>
      <c r="Y462" s="3"/>
      <c r="Z462" s="3"/>
    </row>
    <row r="463" ht="15.75" customHeight="1">
      <c r="C463" s="2"/>
      <c r="R463" s="3"/>
      <c r="S463" s="3"/>
      <c r="T463" s="3"/>
      <c r="U463" s="3"/>
      <c r="V463" s="3"/>
      <c r="W463" s="3"/>
      <c r="X463" s="3"/>
      <c r="Y463" s="3"/>
      <c r="Z463" s="3"/>
    </row>
    <row r="464" ht="15.75" customHeight="1">
      <c r="C464" s="2"/>
      <c r="R464" s="3"/>
      <c r="S464" s="3"/>
      <c r="T464" s="3"/>
      <c r="U464" s="3"/>
      <c r="V464" s="3"/>
      <c r="W464" s="3"/>
      <c r="X464" s="3"/>
      <c r="Y464" s="3"/>
      <c r="Z464" s="3"/>
    </row>
    <row r="465" ht="15.75" customHeight="1">
      <c r="C465" s="2"/>
      <c r="R465" s="3"/>
      <c r="S465" s="3"/>
      <c r="T465" s="3"/>
      <c r="U465" s="3"/>
      <c r="V465" s="3"/>
      <c r="W465" s="3"/>
      <c r="X465" s="3"/>
      <c r="Y465" s="3"/>
      <c r="Z465" s="3"/>
    </row>
    <row r="466" ht="15.75" customHeight="1">
      <c r="C466" s="2"/>
      <c r="R466" s="3"/>
      <c r="S466" s="3"/>
      <c r="T466" s="3"/>
      <c r="U466" s="3"/>
      <c r="V466" s="3"/>
      <c r="W466" s="3"/>
      <c r="X466" s="3"/>
      <c r="Y466" s="3"/>
      <c r="Z466" s="3"/>
    </row>
    <row r="467" ht="15.75" customHeight="1">
      <c r="C467" s="2"/>
      <c r="R467" s="3"/>
      <c r="S467" s="3"/>
      <c r="T467" s="3"/>
      <c r="U467" s="3"/>
      <c r="V467" s="3"/>
      <c r="W467" s="3"/>
      <c r="X467" s="3"/>
      <c r="Y467" s="3"/>
      <c r="Z467" s="3"/>
    </row>
    <row r="468" ht="15.75" customHeight="1">
      <c r="C468" s="2"/>
      <c r="R468" s="3"/>
      <c r="S468" s="3"/>
      <c r="T468" s="3"/>
      <c r="U468" s="3"/>
      <c r="V468" s="3"/>
      <c r="W468" s="3"/>
      <c r="X468" s="3"/>
      <c r="Y468" s="3"/>
      <c r="Z468" s="3"/>
    </row>
    <row r="469" ht="15.75" customHeight="1">
      <c r="C469" s="2"/>
      <c r="R469" s="3"/>
      <c r="S469" s="3"/>
      <c r="T469" s="3"/>
      <c r="U469" s="3"/>
      <c r="V469" s="3"/>
      <c r="W469" s="3"/>
      <c r="X469" s="3"/>
      <c r="Y469" s="3"/>
      <c r="Z469" s="3"/>
    </row>
    <row r="470" ht="15.75" customHeight="1">
      <c r="C470" s="2"/>
      <c r="R470" s="3"/>
      <c r="S470" s="3"/>
      <c r="T470" s="3"/>
      <c r="U470" s="3"/>
      <c r="V470" s="3"/>
      <c r="W470" s="3"/>
      <c r="X470" s="3"/>
      <c r="Y470" s="3"/>
      <c r="Z470" s="3"/>
    </row>
    <row r="471" ht="15.75" customHeight="1">
      <c r="C471" s="2"/>
      <c r="R471" s="3"/>
      <c r="S471" s="3"/>
      <c r="T471" s="3"/>
      <c r="U471" s="3"/>
      <c r="V471" s="3"/>
      <c r="W471" s="3"/>
      <c r="X471" s="3"/>
      <c r="Y471" s="3"/>
      <c r="Z471" s="3"/>
    </row>
    <row r="472" ht="15.75" customHeight="1">
      <c r="C472" s="2"/>
      <c r="R472" s="3"/>
      <c r="S472" s="3"/>
      <c r="T472" s="3"/>
      <c r="U472" s="3"/>
      <c r="V472" s="3"/>
      <c r="W472" s="3"/>
      <c r="X472" s="3"/>
      <c r="Y472" s="3"/>
      <c r="Z472" s="3"/>
    </row>
    <row r="473" ht="15.75" customHeight="1">
      <c r="C473" s="2"/>
      <c r="R473" s="3"/>
      <c r="S473" s="3"/>
      <c r="T473" s="3"/>
      <c r="U473" s="3"/>
      <c r="V473" s="3"/>
      <c r="W473" s="3"/>
      <c r="X473" s="3"/>
      <c r="Y473" s="3"/>
      <c r="Z473" s="3"/>
    </row>
    <row r="474" ht="15.75" customHeight="1">
      <c r="C474" s="2"/>
      <c r="R474" s="3"/>
      <c r="S474" s="3"/>
      <c r="T474" s="3"/>
      <c r="U474" s="3"/>
      <c r="V474" s="3"/>
      <c r="W474" s="3"/>
      <c r="X474" s="3"/>
      <c r="Y474" s="3"/>
      <c r="Z474" s="3"/>
    </row>
    <row r="475" ht="15.75" customHeight="1">
      <c r="C475" s="2"/>
      <c r="R475" s="3"/>
      <c r="S475" s="3"/>
      <c r="T475" s="3"/>
      <c r="U475" s="3"/>
      <c r="V475" s="3"/>
      <c r="W475" s="3"/>
      <c r="X475" s="3"/>
      <c r="Y475" s="3"/>
      <c r="Z475" s="3"/>
    </row>
    <row r="476" ht="15.75" customHeight="1">
      <c r="C476" s="2"/>
      <c r="R476" s="3"/>
      <c r="S476" s="3"/>
      <c r="T476" s="3"/>
      <c r="U476" s="3"/>
      <c r="V476" s="3"/>
      <c r="W476" s="3"/>
      <c r="X476" s="3"/>
      <c r="Y476" s="3"/>
      <c r="Z476" s="3"/>
    </row>
    <row r="477" ht="15.75" customHeight="1">
      <c r="C477" s="2"/>
      <c r="R477" s="3"/>
      <c r="S477" s="3"/>
      <c r="T477" s="3"/>
      <c r="U477" s="3"/>
      <c r="V477" s="3"/>
      <c r="W477" s="3"/>
      <c r="X477" s="3"/>
      <c r="Y477" s="3"/>
      <c r="Z477" s="3"/>
    </row>
    <row r="478" ht="15.75" customHeight="1">
      <c r="C478" s="2"/>
      <c r="R478" s="3"/>
      <c r="S478" s="3"/>
      <c r="T478" s="3"/>
      <c r="U478" s="3"/>
      <c r="V478" s="3"/>
      <c r="W478" s="3"/>
      <c r="X478" s="3"/>
      <c r="Y478" s="3"/>
      <c r="Z478" s="3"/>
    </row>
    <row r="479" ht="15.75" customHeight="1">
      <c r="C479" s="2"/>
      <c r="R479" s="3"/>
      <c r="S479" s="3"/>
      <c r="T479" s="3"/>
      <c r="U479" s="3"/>
      <c r="V479" s="3"/>
      <c r="W479" s="3"/>
      <c r="X479" s="3"/>
      <c r="Y479" s="3"/>
      <c r="Z479" s="3"/>
    </row>
    <row r="480" ht="15.75" customHeight="1">
      <c r="C480" s="2"/>
      <c r="R480" s="3"/>
      <c r="S480" s="3"/>
      <c r="T480" s="3"/>
      <c r="U480" s="3"/>
      <c r="V480" s="3"/>
      <c r="W480" s="3"/>
      <c r="X480" s="3"/>
      <c r="Y480" s="3"/>
      <c r="Z480" s="3"/>
    </row>
    <row r="481" ht="15.75" customHeight="1">
      <c r="C481" s="2"/>
      <c r="R481" s="3"/>
      <c r="S481" s="3"/>
      <c r="T481" s="3"/>
      <c r="U481" s="3"/>
      <c r="V481" s="3"/>
      <c r="W481" s="3"/>
      <c r="X481" s="3"/>
      <c r="Y481" s="3"/>
      <c r="Z481" s="3"/>
    </row>
    <row r="482" ht="15.75" customHeight="1">
      <c r="C482" s="2"/>
      <c r="R482" s="3"/>
      <c r="S482" s="3"/>
      <c r="T482" s="3"/>
      <c r="U482" s="3"/>
      <c r="V482" s="3"/>
      <c r="W482" s="3"/>
      <c r="X482" s="3"/>
      <c r="Y482" s="3"/>
      <c r="Z482" s="3"/>
    </row>
    <row r="483" ht="15.75" customHeight="1">
      <c r="C483" s="2"/>
      <c r="R483" s="3"/>
      <c r="S483" s="3"/>
      <c r="T483" s="3"/>
      <c r="U483" s="3"/>
      <c r="V483" s="3"/>
      <c r="W483" s="3"/>
      <c r="X483" s="3"/>
      <c r="Y483" s="3"/>
      <c r="Z483" s="3"/>
    </row>
    <row r="484" ht="15.75" customHeight="1">
      <c r="C484" s="2"/>
      <c r="R484" s="3"/>
      <c r="S484" s="3"/>
      <c r="T484" s="3"/>
      <c r="U484" s="3"/>
      <c r="V484" s="3"/>
      <c r="W484" s="3"/>
      <c r="X484" s="3"/>
      <c r="Y484" s="3"/>
      <c r="Z484" s="3"/>
    </row>
    <row r="485" ht="15.75" customHeight="1">
      <c r="C485" s="2"/>
      <c r="R485" s="3"/>
      <c r="S485" s="3"/>
      <c r="T485" s="3"/>
      <c r="U485" s="3"/>
      <c r="V485" s="3"/>
      <c r="W485" s="3"/>
      <c r="X485" s="3"/>
      <c r="Y485" s="3"/>
      <c r="Z485" s="3"/>
    </row>
    <row r="486" ht="15.75" customHeight="1">
      <c r="C486" s="2"/>
      <c r="R486" s="3"/>
      <c r="S486" s="3"/>
      <c r="T486" s="3"/>
      <c r="U486" s="3"/>
      <c r="V486" s="3"/>
      <c r="W486" s="3"/>
      <c r="X486" s="3"/>
      <c r="Y486" s="3"/>
      <c r="Z486" s="3"/>
    </row>
    <row r="487" ht="15.75" customHeight="1">
      <c r="C487" s="2"/>
      <c r="R487" s="3"/>
      <c r="S487" s="3"/>
      <c r="T487" s="3"/>
      <c r="U487" s="3"/>
      <c r="V487" s="3"/>
      <c r="W487" s="3"/>
      <c r="X487" s="3"/>
      <c r="Y487" s="3"/>
      <c r="Z487" s="3"/>
    </row>
    <row r="488" ht="15.75" customHeight="1">
      <c r="C488" s="2"/>
      <c r="R488" s="3"/>
      <c r="S488" s="3"/>
      <c r="T488" s="3"/>
      <c r="U488" s="3"/>
      <c r="V488" s="3"/>
      <c r="W488" s="3"/>
      <c r="X488" s="3"/>
      <c r="Y488" s="3"/>
      <c r="Z488" s="3"/>
    </row>
    <row r="489" ht="15.75" customHeight="1">
      <c r="C489" s="2"/>
      <c r="R489" s="3"/>
      <c r="S489" s="3"/>
      <c r="T489" s="3"/>
      <c r="U489" s="3"/>
      <c r="V489" s="3"/>
      <c r="W489" s="3"/>
      <c r="X489" s="3"/>
      <c r="Y489" s="3"/>
      <c r="Z489" s="3"/>
    </row>
    <row r="490" ht="15.75" customHeight="1">
      <c r="C490" s="2"/>
      <c r="R490" s="3"/>
      <c r="S490" s="3"/>
      <c r="T490" s="3"/>
      <c r="U490" s="3"/>
      <c r="V490" s="3"/>
      <c r="W490" s="3"/>
      <c r="X490" s="3"/>
      <c r="Y490" s="3"/>
      <c r="Z490" s="3"/>
    </row>
    <row r="491" ht="15.75" customHeight="1">
      <c r="C491" s="2"/>
      <c r="R491" s="3"/>
      <c r="S491" s="3"/>
      <c r="T491" s="3"/>
      <c r="U491" s="3"/>
      <c r="V491" s="3"/>
      <c r="W491" s="3"/>
      <c r="X491" s="3"/>
      <c r="Y491" s="3"/>
      <c r="Z491" s="3"/>
    </row>
    <row r="492" ht="15.75" customHeight="1">
      <c r="C492" s="2"/>
      <c r="R492" s="3"/>
      <c r="S492" s="3"/>
      <c r="T492" s="3"/>
      <c r="U492" s="3"/>
      <c r="V492" s="3"/>
      <c r="W492" s="3"/>
      <c r="X492" s="3"/>
      <c r="Y492" s="3"/>
      <c r="Z492" s="3"/>
    </row>
    <row r="493" ht="15.75" customHeight="1">
      <c r="C493" s="2"/>
      <c r="R493" s="3"/>
      <c r="S493" s="3"/>
      <c r="T493" s="3"/>
      <c r="U493" s="3"/>
      <c r="V493" s="3"/>
      <c r="W493" s="3"/>
      <c r="X493" s="3"/>
      <c r="Y493" s="3"/>
      <c r="Z493" s="3"/>
    </row>
    <row r="494" ht="15.75" customHeight="1">
      <c r="C494" s="2"/>
      <c r="R494" s="3"/>
      <c r="S494" s="3"/>
      <c r="T494" s="3"/>
      <c r="U494" s="3"/>
      <c r="V494" s="3"/>
      <c r="W494" s="3"/>
      <c r="X494" s="3"/>
      <c r="Y494" s="3"/>
      <c r="Z494" s="3"/>
    </row>
    <row r="495" ht="15.75" customHeight="1">
      <c r="C495" s="2"/>
      <c r="R495" s="3"/>
      <c r="S495" s="3"/>
      <c r="T495" s="3"/>
      <c r="U495" s="3"/>
      <c r="V495" s="3"/>
      <c r="W495" s="3"/>
      <c r="X495" s="3"/>
      <c r="Y495" s="3"/>
      <c r="Z495" s="3"/>
    </row>
    <row r="496" ht="15.75" customHeight="1">
      <c r="C496" s="2"/>
      <c r="R496" s="3"/>
      <c r="S496" s="3"/>
      <c r="T496" s="3"/>
      <c r="U496" s="3"/>
      <c r="V496" s="3"/>
      <c r="W496" s="3"/>
      <c r="X496" s="3"/>
      <c r="Y496" s="3"/>
      <c r="Z496" s="3"/>
    </row>
    <row r="497" ht="15.75" customHeight="1">
      <c r="C497" s="2"/>
      <c r="R497" s="3"/>
      <c r="S497" s="3"/>
      <c r="T497" s="3"/>
      <c r="U497" s="3"/>
      <c r="V497" s="3"/>
      <c r="W497" s="3"/>
      <c r="X497" s="3"/>
      <c r="Y497" s="3"/>
      <c r="Z497" s="3"/>
    </row>
    <row r="498" ht="15.75" customHeight="1">
      <c r="C498" s="2"/>
      <c r="R498" s="3"/>
      <c r="S498" s="3"/>
      <c r="T498" s="3"/>
      <c r="U498" s="3"/>
      <c r="V498" s="3"/>
      <c r="W498" s="3"/>
      <c r="X498" s="3"/>
      <c r="Y498" s="3"/>
      <c r="Z498" s="3"/>
    </row>
    <row r="499" ht="15.75" customHeight="1">
      <c r="C499" s="2"/>
      <c r="R499" s="3"/>
      <c r="S499" s="3"/>
      <c r="T499" s="3"/>
      <c r="U499" s="3"/>
      <c r="V499" s="3"/>
      <c r="W499" s="3"/>
      <c r="X499" s="3"/>
      <c r="Y499" s="3"/>
      <c r="Z499" s="3"/>
    </row>
    <row r="500" ht="15.75" customHeight="1">
      <c r="C500" s="2"/>
      <c r="R500" s="3"/>
      <c r="S500" s="3"/>
      <c r="T500" s="3"/>
      <c r="U500" s="3"/>
      <c r="V500" s="3"/>
      <c r="W500" s="3"/>
      <c r="X500" s="3"/>
      <c r="Y500" s="3"/>
      <c r="Z500" s="3"/>
    </row>
    <row r="501" ht="15.75" customHeight="1">
      <c r="C501" s="2"/>
      <c r="R501" s="3"/>
      <c r="S501" s="3"/>
      <c r="T501" s="3"/>
      <c r="U501" s="3"/>
      <c r="V501" s="3"/>
      <c r="W501" s="3"/>
      <c r="X501" s="3"/>
      <c r="Y501" s="3"/>
      <c r="Z501" s="3"/>
    </row>
    <row r="502" ht="15.75" customHeight="1">
      <c r="C502" s="2"/>
      <c r="R502" s="3"/>
      <c r="S502" s="3"/>
      <c r="T502" s="3"/>
      <c r="U502" s="3"/>
      <c r="V502" s="3"/>
      <c r="W502" s="3"/>
      <c r="X502" s="3"/>
      <c r="Y502" s="3"/>
      <c r="Z502" s="3"/>
    </row>
    <row r="503" ht="15.75" customHeight="1">
      <c r="C503" s="2"/>
      <c r="R503" s="3"/>
      <c r="S503" s="3"/>
      <c r="T503" s="3"/>
      <c r="U503" s="3"/>
      <c r="V503" s="3"/>
      <c r="W503" s="3"/>
      <c r="X503" s="3"/>
      <c r="Y503" s="3"/>
      <c r="Z503" s="3"/>
    </row>
    <row r="504" ht="15.75" customHeight="1">
      <c r="C504" s="2"/>
      <c r="R504" s="3"/>
      <c r="S504" s="3"/>
      <c r="T504" s="3"/>
      <c r="U504" s="3"/>
      <c r="V504" s="3"/>
      <c r="W504" s="3"/>
      <c r="X504" s="3"/>
      <c r="Y504" s="3"/>
      <c r="Z504" s="3"/>
    </row>
    <row r="505" ht="15.75" customHeight="1">
      <c r="C505" s="2"/>
      <c r="R505" s="3"/>
      <c r="S505" s="3"/>
      <c r="T505" s="3"/>
      <c r="U505" s="3"/>
      <c r="V505" s="3"/>
      <c r="W505" s="3"/>
      <c r="X505" s="3"/>
      <c r="Y505" s="3"/>
      <c r="Z505" s="3"/>
    </row>
    <row r="506" ht="15.75" customHeight="1">
      <c r="C506" s="2"/>
      <c r="R506" s="3"/>
      <c r="S506" s="3"/>
      <c r="T506" s="3"/>
      <c r="U506" s="3"/>
      <c r="V506" s="3"/>
      <c r="W506" s="3"/>
      <c r="X506" s="3"/>
      <c r="Y506" s="3"/>
      <c r="Z506" s="3"/>
    </row>
    <row r="507" ht="15.75" customHeight="1">
      <c r="C507" s="2"/>
      <c r="R507" s="3"/>
      <c r="S507" s="3"/>
      <c r="T507" s="3"/>
      <c r="U507" s="3"/>
      <c r="V507" s="3"/>
      <c r="W507" s="3"/>
      <c r="X507" s="3"/>
      <c r="Y507" s="3"/>
      <c r="Z507" s="3"/>
    </row>
    <row r="508" ht="15.75" customHeight="1">
      <c r="C508" s="2"/>
      <c r="R508" s="3"/>
      <c r="S508" s="3"/>
      <c r="T508" s="3"/>
      <c r="U508" s="3"/>
      <c r="V508" s="3"/>
      <c r="W508" s="3"/>
      <c r="X508" s="3"/>
      <c r="Y508" s="3"/>
      <c r="Z508" s="3"/>
    </row>
    <row r="509" ht="15.75" customHeight="1">
      <c r="C509" s="2"/>
      <c r="R509" s="3"/>
      <c r="S509" s="3"/>
      <c r="T509" s="3"/>
      <c r="U509" s="3"/>
      <c r="V509" s="3"/>
      <c r="W509" s="3"/>
      <c r="X509" s="3"/>
      <c r="Y509" s="3"/>
      <c r="Z509" s="3"/>
    </row>
    <row r="510" ht="15.75" customHeight="1">
      <c r="C510" s="2"/>
      <c r="R510" s="3"/>
      <c r="S510" s="3"/>
      <c r="T510" s="3"/>
      <c r="U510" s="3"/>
      <c r="V510" s="3"/>
      <c r="W510" s="3"/>
      <c r="X510" s="3"/>
      <c r="Y510" s="3"/>
      <c r="Z510" s="3"/>
    </row>
    <row r="511" ht="15.75" customHeight="1">
      <c r="C511" s="2"/>
      <c r="R511" s="3"/>
      <c r="S511" s="3"/>
      <c r="T511" s="3"/>
      <c r="U511" s="3"/>
      <c r="V511" s="3"/>
      <c r="W511" s="3"/>
      <c r="X511" s="3"/>
      <c r="Y511" s="3"/>
      <c r="Z511" s="3"/>
    </row>
    <row r="512" ht="15.75" customHeight="1">
      <c r="C512" s="2"/>
      <c r="R512" s="3"/>
      <c r="S512" s="3"/>
      <c r="T512" s="3"/>
      <c r="U512" s="3"/>
      <c r="V512" s="3"/>
      <c r="W512" s="3"/>
      <c r="X512" s="3"/>
      <c r="Y512" s="3"/>
      <c r="Z512" s="3"/>
    </row>
    <row r="513" ht="15.75" customHeight="1">
      <c r="C513" s="2"/>
      <c r="R513" s="3"/>
      <c r="S513" s="3"/>
      <c r="T513" s="3"/>
      <c r="U513" s="3"/>
      <c r="V513" s="3"/>
      <c r="W513" s="3"/>
      <c r="X513" s="3"/>
      <c r="Y513" s="3"/>
      <c r="Z513" s="3"/>
    </row>
    <row r="514" ht="15.75" customHeight="1">
      <c r="C514" s="2"/>
      <c r="R514" s="3"/>
      <c r="S514" s="3"/>
      <c r="T514" s="3"/>
      <c r="U514" s="3"/>
      <c r="V514" s="3"/>
      <c r="W514" s="3"/>
      <c r="X514" s="3"/>
      <c r="Y514" s="3"/>
      <c r="Z514" s="3"/>
    </row>
    <row r="515" ht="15.75" customHeight="1">
      <c r="C515" s="2"/>
      <c r="R515" s="3"/>
      <c r="S515" s="3"/>
      <c r="T515" s="3"/>
      <c r="U515" s="3"/>
      <c r="V515" s="3"/>
      <c r="W515" s="3"/>
      <c r="X515" s="3"/>
      <c r="Y515" s="3"/>
      <c r="Z515" s="3"/>
    </row>
    <row r="516" ht="15.75" customHeight="1">
      <c r="C516" s="2"/>
      <c r="R516" s="3"/>
      <c r="S516" s="3"/>
      <c r="T516" s="3"/>
      <c r="U516" s="3"/>
      <c r="V516" s="3"/>
      <c r="W516" s="3"/>
      <c r="X516" s="3"/>
      <c r="Y516" s="3"/>
      <c r="Z516" s="3"/>
    </row>
    <row r="517" ht="15.75" customHeight="1">
      <c r="C517" s="2"/>
      <c r="R517" s="3"/>
      <c r="S517" s="3"/>
      <c r="T517" s="3"/>
      <c r="U517" s="3"/>
      <c r="V517" s="3"/>
      <c r="W517" s="3"/>
      <c r="X517" s="3"/>
      <c r="Y517" s="3"/>
      <c r="Z517" s="3"/>
    </row>
    <row r="518" ht="15.75" customHeight="1">
      <c r="C518" s="2"/>
      <c r="R518" s="3"/>
      <c r="S518" s="3"/>
      <c r="T518" s="3"/>
      <c r="U518" s="3"/>
      <c r="V518" s="3"/>
      <c r="W518" s="3"/>
      <c r="X518" s="3"/>
      <c r="Y518" s="3"/>
      <c r="Z518" s="3"/>
    </row>
    <row r="519" ht="15.75" customHeight="1">
      <c r="C519" s="2"/>
      <c r="R519" s="3"/>
      <c r="S519" s="3"/>
      <c r="T519" s="3"/>
      <c r="U519" s="3"/>
      <c r="V519" s="3"/>
      <c r="W519" s="3"/>
      <c r="X519" s="3"/>
      <c r="Y519" s="3"/>
      <c r="Z519" s="3"/>
    </row>
    <row r="520" ht="15.75" customHeight="1">
      <c r="C520" s="2"/>
      <c r="R520" s="3"/>
      <c r="S520" s="3"/>
      <c r="T520" s="3"/>
      <c r="U520" s="3"/>
      <c r="V520" s="3"/>
      <c r="W520" s="3"/>
      <c r="X520" s="3"/>
      <c r="Y520" s="3"/>
      <c r="Z520" s="3"/>
    </row>
    <row r="521" ht="15.75" customHeight="1">
      <c r="C521" s="2"/>
      <c r="R521" s="3"/>
      <c r="S521" s="3"/>
      <c r="T521" s="3"/>
      <c r="U521" s="3"/>
      <c r="V521" s="3"/>
      <c r="W521" s="3"/>
      <c r="X521" s="3"/>
      <c r="Y521" s="3"/>
      <c r="Z521" s="3"/>
    </row>
    <row r="522" ht="15.75" customHeight="1">
      <c r="C522" s="2"/>
      <c r="R522" s="3"/>
      <c r="S522" s="3"/>
      <c r="T522" s="3"/>
      <c r="U522" s="3"/>
      <c r="V522" s="3"/>
      <c r="W522" s="3"/>
      <c r="X522" s="3"/>
      <c r="Y522" s="3"/>
      <c r="Z522" s="3"/>
    </row>
    <row r="523" ht="15.75" customHeight="1">
      <c r="C523" s="2"/>
      <c r="R523" s="3"/>
      <c r="S523" s="3"/>
      <c r="T523" s="3"/>
      <c r="U523" s="3"/>
      <c r="V523" s="3"/>
      <c r="W523" s="3"/>
      <c r="X523" s="3"/>
      <c r="Y523" s="3"/>
      <c r="Z523" s="3"/>
    </row>
    <row r="524" ht="15.75" customHeight="1">
      <c r="C524" s="2"/>
      <c r="R524" s="3"/>
      <c r="S524" s="3"/>
      <c r="T524" s="3"/>
      <c r="U524" s="3"/>
      <c r="V524" s="3"/>
      <c r="W524" s="3"/>
      <c r="X524" s="3"/>
      <c r="Y524" s="3"/>
      <c r="Z524" s="3"/>
    </row>
    <row r="525" ht="15.75" customHeight="1">
      <c r="C525" s="2"/>
      <c r="R525" s="3"/>
      <c r="S525" s="3"/>
      <c r="T525" s="3"/>
      <c r="U525" s="3"/>
      <c r="V525" s="3"/>
      <c r="W525" s="3"/>
      <c r="X525" s="3"/>
      <c r="Y525" s="3"/>
      <c r="Z525" s="3"/>
    </row>
    <row r="526" ht="15.75" customHeight="1">
      <c r="C526" s="2"/>
      <c r="R526" s="3"/>
      <c r="S526" s="3"/>
      <c r="T526" s="3"/>
      <c r="U526" s="3"/>
      <c r="V526" s="3"/>
      <c r="W526" s="3"/>
      <c r="X526" s="3"/>
      <c r="Y526" s="3"/>
      <c r="Z526" s="3"/>
    </row>
    <row r="527" ht="15.75" customHeight="1">
      <c r="C527" s="2"/>
      <c r="R527" s="3"/>
      <c r="S527" s="3"/>
      <c r="T527" s="3"/>
      <c r="U527" s="3"/>
      <c r="V527" s="3"/>
      <c r="W527" s="3"/>
      <c r="X527" s="3"/>
      <c r="Y527" s="3"/>
      <c r="Z527" s="3"/>
    </row>
    <row r="528" ht="15.75" customHeight="1">
      <c r="C528" s="2"/>
      <c r="R528" s="3"/>
      <c r="S528" s="3"/>
      <c r="T528" s="3"/>
      <c r="U528" s="3"/>
      <c r="V528" s="3"/>
      <c r="W528" s="3"/>
      <c r="X528" s="3"/>
      <c r="Y528" s="3"/>
      <c r="Z528" s="3"/>
    </row>
    <row r="529" ht="15.75" customHeight="1">
      <c r="C529" s="2"/>
      <c r="R529" s="3"/>
      <c r="S529" s="3"/>
      <c r="T529" s="3"/>
      <c r="U529" s="3"/>
      <c r="V529" s="3"/>
      <c r="W529" s="3"/>
      <c r="X529" s="3"/>
      <c r="Y529" s="3"/>
      <c r="Z529" s="3"/>
    </row>
    <row r="530" ht="15.75" customHeight="1">
      <c r="C530" s="2"/>
      <c r="R530" s="3"/>
      <c r="S530" s="3"/>
      <c r="T530" s="3"/>
      <c r="U530" s="3"/>
      <c r="V530" s="3"/>
      <c r="W530" s="3"/>
      <c r="X530" s="3"/>
      <c r="Y530" s="3"/>
      <c r="Z530" s="3"/>
    </row>
    <row r="531" ht="15.75" customHeight="1">
      <c r="C531" s="2"/>
      <c r="R531" s="3"/>
      <c r="S531" s="3"/>
      <c r="T531" s="3"/>
      <c r="U531" s="3"/>
      <c r="V531" s="3"/>
      <c r="W531" s="3"/>
      <c r="X531" s="3"/>
      <c r="Y531" s="3"/>
      <c r="Z531" s="3"/>
    </row>
    <row r="532" ht="15.75" customHeight="1">
      <c r="C532" s="2"/>
      <c r="R532" s="3"/>
      <c r="S532" s="3"/>
      <c r="T532" s="3"/>
      <c r="U532" s="3"/>
      <c r="V532" s="3"/>
      <c r="W532" s="3"/>
      <c r="X532" s="3"/>
      <c r="Y532" s="3"/>
      <c r="Z532" s="3"/>
    </row>
    <row r="533" ht="15.75" customHeight="1">
      <c r="C533" s="2"/>
      <c r="R533" s="3"/>
      <c r="S533" s="3"/>
      <c r="T533" s="3"/>
      <c r="U533" s="3"/>
      <c r="V533" s="3"/>
      <c r="W533" s="3"/>
      <c r="X533" s="3"/>
      <c r="Y533" s="3"/>
      <c r="Z533" s="3"/>
    </row>
    <row r="534" ht="15.75" customHeight="1">
      <c r="C534" s="2"/>
      <c r="R534" s="3"/>
      <c r="S534" s="3"/>
      <c r="T534" s="3"/>
      <c r="U534" s="3"/>
      <c r="V534" s="3"/>
      <c r="W534" s="3"/>
      <c r="X534" s="3"/>
      <c r="Y534" s="3"/>
      <c r="Z534" s="3"/>
    </row>
    <row r="535" ht="15.75" customHeight="1">
      <c r="C535" s="2"/>
      <c r="R535" s="3"/>
      <c r="S535" s="3"/>
      <c r="T535" s="3"/>
      <c r="U535" s="3"/>
      <c r="V535" s="3"/>
      <c r="W535" s="3"/>
      <c r="X535" s="3"/>
      <c r="Y535" s="3"/>
      <c r="Z535" s="3"/>
    </row>
    <row r="536" ht="15.75" customHeight="1">
      <c r="C536" s="2"/>
      <c r="R536" s="3"/>
      <c r="S536" s="3"/>
      <c r="T536" s="3"/>
      <c r="U536" s="3"/>
      <c r="V536" s="3"/>
      <c r="W536" s="3"/>
      <c r="X536" s="3"/>
      <c r="Y536" s="3"/>
      <c r="Z536" s="3"/>
    </row>
    <row r="537" ht="15.75" customHeight="1">
      <c r="C537" s="2"/>
      <c r="R537" s="3"/>
      <c r="S537" s="3"/>
      <c r="T537" s="3"/>
      <c r="U537" s="3"/>
      <c r="V537" s="3"/>
      <c r="W537" s="3"/>
      <c r="X537" s="3"/>
      <c r="Y537" s="3"/>
      <c r="Z537" s="3"/>
    </row>
    <row r="538" ht="15.75" customHeight="1">
      <c r="C538" s="2"/>
      <c r="R538" s="3"/>
      <c r="S538" s="3"/>
      <c r="T538" s="3"/>
      <c r="U538" s="3"/>
      <c r="V538" s="3"/>
      <c r="W538" s="3"/>
      <c r="X538" s="3"/>
      <c r="Y538" s="3"/>
      <c r="Z538" s="3"/>
    </row>
    <row r="539" ht="15.75" customHeight="1">
      <c r="C539" s="2"/>
      <c r="R539" s="3"/>
      <c r="S539" s="3"/>
      <c r="T539" s="3"/>
      <c r="U539" s="3"/>
      <c r="V539" s="3"/>
      <c r="W539" s="3"/>
      <c r="X539" s="3"/>
      <c r="Y539" s="3"/>
      <c r="Z539" s="3"/>
    </row>
    <row r="540" ht="15.75" customHeight="1">
      <c r="C540" s="2"/>
      <c r="R540" s="3"/>
      <c r="S540" s="3"/>
      <c r="T540" s="3"/>
      <c r="U540" s="3"/>
      <c r="V540" s="3"/>
      <c r="W540" s="3"/>
      <c r="X540" s="3"/>
      <c r="Y540" s="3"/>
      <c r="Z540" s="3"/>
    </row>
    <row r="541" ht="15.75" customHeight="1">
      <c r="C541" s="2"/>
      <c r="R541" s="3"/>
      <c r="S541" s="3"/>
      <c r="T541" s="3"/>
      <c r="U541" s="3"/>
      <c r="V541" s="3"/>
      <c r="W541" s="3"/>
      <c r="X541" s="3"/>
      <c r="Y541" s="3"/>
      <c r="Z541" s="3"/>
    </row>
    <row r="542" ht="15.75" customHeight="1">
      <c r="C542" s="2"/>
      <c r="R542" s="3"/>
      <c r="S542" s="3"/>
      <c r="T542" s="3"/>
      <c r="U542" s="3"/>
      <c r="V542" s="3"/>
      <c r="W542" s="3"/>
      <c r="X542" s="3"/>
      <c r="Y542" s="3"/>
      <c r="Z542" s="3"/>
    </row>
    <row r="543" ht="15.75" customHeight="1">
      <c r="C543" s="2"/>
      <c r="R543" s="3"/>
      <c r="S543" s="3"/>
      <c r="T543" s="3"/>
      <c r="U543" s="3"/>
      <c r="V543" s="3"/>
      <c r="W543" s="3"/>
      <c r="X543" s="3"/>
      <c r="Y543" s="3"/>
      <c r="Z543" s="3"/>
    </row>
    <row r="544" ht="15.75" customHeight="1">
      <c r="C544" s="2"/>
      <c r="R544" s="3"/>
      <c r="S544" s="3"/>
      <c r="T544" s="3"/>
      <c r="U544" s="3"/>
      <c r="V544" s="3"/>
      <c r="W544" s="3"/>
      <c r="X544" s="3"/>
      <c r="Y544" s="3"/>
      <c r="Z544" s="3"/>
    </row>
    <row r="545" ht="15.75" customHeight="1">
      <c r="C545" s="2"/>
      <c r="R545" s="3"/>
      <c r="S545" s="3"/>
      <c r="T545" s="3"/>
      <c r="U545" s="3"/>
      <c r="V545" s="3"/>
      <c r="W545" s="3"/>
      <c r="X545" s="3"/>
      <c r="Y545" s="3"/>
      <c r="Z545" s="3"/>
    </row>
    <row r="546" ht="15.75" customHeight="1">
      <c r="C546" s="2"/>
      <c r="R546" s="3"/>
      <c r="S546" s="3"/>
      <c r="T546" s="3"/>
      <c r="U546" s="3"/>
      <c r="V546" s="3"/>
      <c r="W546" s="3"/>
      <c r="X546" s="3"/>
      <c r="Y546" s="3"/>
      <c r="Z546" s="3"/>
    </row>
    <row r="547" ht="15.75" customHeight="1">
      <c r="C547" s="2"/>
      <c r="R547" s="3"/>
      <c r="S547" s="3"/>
      <c r="T547" s="3"/>
      <c r="U547" s="3"/>
      <c r="V547" s="3"/>
      <c r="W547" s="3"/>
      <c r="X547" s="3"/>
      <c r="Y547" s="3"/>
      <c r="Z547" s="3"/>
    </row>
    <row r="548" ht="15.75" customHeight="1">
      <c r="C548" s="2"/>
      <c r="R548" s="3"/>
      <c r="S548" s="3"/>
      <c r="T548" s="3"/>
      <c r="U548" s="3"/>
      <c r="V548" s="3"/>
      <c r="W548" s="3"/>
      <c r="X548" s="3"/>
      <c r="Y548" s="3"/>
      <c r="Z548" s="3"/>
    </row>
    <row r="549" ht="15.75" customHeight="1">
      <c r="C549" s="2"/>
      <c r="R549" s="3"/>
      <c r="S549" s="3"/>
      <c r="T549" s="3"/>
      <c r="U549" s="3"/>
      <c r="V549" s="3"/>
      <c r="W549" s="3"/>
      <c r="X549" s="3"/>
      <c r="Y549" s="3"/>
      <c r="Z549" s="3"/>
    </row>
    <row r="550" ht="15.75" customHeight="1">
      <c r="C550" s="2"/>
      <c r="R550" s="3"/>
      <c r="S550" s="3"/>
      <c r="T550" s="3"/>
      <c r="U550" s="3"/>
      <c r="V550" s="3"/>
      <c r="W550" s="3"/>
      <c r="X550" s="3"/>
      <c r="Y550" s="3"/>
      <c r="Z550" s="3"/>
    </row>
    <row r="551" ht="15.75" customHeight="1">
      <c r="C551" s="2"/>
      <c r="R551" s="3"/>
      <c r="S551" s="3"/>
      <c r="T551" s="3"/>
      <c r="U551" s="3"/>
      <c r="V551" s="3"/>
      <c r="W551" s="3"/>
      <c r="X551" s="3"/>
      <c r="Y551" s="3"/>
      <c r="Z551" s="3"/>
    </row>
    <row r="552" ht="15.75" customHeight="1">
      <c r="C552" s="2"/>
      <c r="R552" s="3"/>
      <c r="S552" s="3"/>
      <c r="T552" s="3"/>
      <c r="U552" s="3"/>
      <c r="V552" s="3"/>
      <c r="W552" s="3"/>
      <c r="X552" s="3"/>
      <c r="Y552" s="3"/>
      <c r="Z552" s="3"/>
    </row>
    <row r="553" ht="15.75" customHeight="1">
      <c r="C553" s="2"/>
      <c r="R553" s="3"/>
      <c r="S553" s="3"/>
      <c r="T553" s="3"/>
      <c r="U553" s="3"/>
      <c r="V553" s="3"/>
      <c r="W553" s="3"/>
      <c r="X553" s="3"/>
      <c r="Y553" s="3"/>
      <c r="Z553" s="3"/>
    </row>
    <row r="554" ht="15.75" customHeight="1">
      <c r="C554" s="2"/>
      <c r="R554" s="3"/>
      <c r="S554" s="3"/>
      <c r="T554" s="3"/>
      <c r="U554" s="3"/>
      <c r="V554" s="3"/>
      <c r="W554" s="3"/>
      <c r="X554" s="3"/>
      <c r="Y554" s="3"/>
      <c r="Z554" s="3"/>
    </row>
    <row r="555" ht="15.75" customHeight="1">
      <c r="C555" s="2"/>
      <c r="R555" s="3"/>
      <c r="S555" s="3"/>
      <c r="T555" s="3"/>
      <c r="U555" s="3"/>
      <c r="V555" s="3"/>
      <c r="W555" s="3"/>
      <c r="X555" s="3"/>
      <c r="Y555" s="3"/>
      <c r="Z555" s="3"/>
    </row>
    <row r="556" ht="15.75" customHeight="1">
      <c r="C556" s="2"/>
      <c r="R556" s="3"/>
      <c r="S556" s="3"/>
      <c r="T556" s="3"/>
      <c r="U556" s="3"/>
      <c r="V556" s="3"/>
      <c r="W556" s="3"/>
      <c r="X556" s="3"/>
      <c r="Y556" s="3"/>
      <c r="Z556" s="3"/>
    </row>
    <row r="557" ht="15.75" customHeight="1">
      <c r="C557" s="2"/>
      <c r="R557" s="3"/>
      <c r="S557" s="3"/>
      <c r="T557" s="3"/>
      <c r="U557" s="3"/>
      <c r="V557" s="3"/>
      <c r="W557" s="3"/>
      <c r="X557" s="3"/>
      <c r="Y557" s="3"/>
      <c r="Z557" s="3"/>
    </row>
    <row r="558" ht="15.75" customHeight="1">
      <c r="C558" s="2"/>
      <c r="R558" s="3"/>
      <c r="S558" s="3"/>
      <c r="T558" s="3"/>
      <c r="U558" s="3"/>
      <c r="V558" s="3"/>
      <c r="W558" s="3"/>
      <c r="X558" s="3"/>
      <c r="Y558" s="3"/>
      <c r="Z558" s="3"/>
    </row>
    <row r="559" ht="15.75" customHeight="1">
      <c r="C559" s="2"/>
      <c r="R559" s="3"/>
      <c r="S559" s="3"/>
      <c r="T559" s="3"/>
      <c r="U559" s="3"/>
      <c r="V559" s="3"/>
      <c r="W559" s="3"/>
      <c r="X559" s="3"/>
      <c r="Y559" s="3"/>
      <c r="Z559" s="3"/>
    </row>
    <row r="560" ht="15.75" customHeight="1">
      <c r="C560" s="2"/>
      <c r="R560" s="3"/>
      <c r="S560" s="3"/>
      <c r="T560" s="3"/>
      <c r="U560" s="3"/>
      <c r="V560" s="3"/>
      <c r="W560" s="3"/>
      <c r="X560" s="3"/>
      <c r="Y560" s="3"/>
      <c r="Z560" s="3"/>
    </row>
    <row r="561" ht="15.75" customHeight="1">
      <c r="C561" s="2"/>
      <c r="R561" s="3"/>
      <c r="S561" s="3"/>
      <c r="T561" s="3"/>
      <c r="U561" s="3"/>
      <c r="V561" s="3"/>
      <c r="W561" s="3"/>
      <c r="X561" s="3"/>
      <c r="Y561" s="3"/>
      <c r="Z561" s="3"/>
    </row>
    <row r="562" ht="15.75" customHeight="1">
      <c r="C562" s="2"/>
      <c r="R562" s="3"/>
      <c r="S562" s="3"/>
      <c r="T562" s="3"/>
      <c r="U562" s="3"/>
      <c r="V562" s="3"/>
      <c r="W562" s="3"/>
      <c r="X562" s="3"/>
      <c r="Y562" s="3"/>
      <c r="Z562" s="3"/>
    </row>
    <row r="563" ht="15.75" customHeight="1">
      <c r="C563" s="2"/>
      <c r="R563" s="3"/>
      <c r="S563" s="3"/>
      <c r="T563" s="3"/>
      <c r="U563" s="3"/>
      <c r="V563" s="3"/>
      <c r="W563" s="3"/>
      <c r="X563" s="3"/>
      <c r="Y563" s="3"/>
      <c r="Z563" s="3"/>
    </row>
    <row r="564" ht="15.75" customHeight="1">
      <c r="C564" s="2"/>
      <c r="R564" s="3"/>
      <c r="S564" s="3"/>
      <c r="T564" s="3"/>
      <c r="U564" s="3"/>
      <c r="V564" s="3"/>
      <c r="W564" s="3"/>
      <c r="X564" s="3"/>
      <c r="Y564" s="3"/>
      <c r="Z564" s="3"/>
    </row>
    <row r="565" ht="15.75" customHeight="1">
      <c r="C565" s="2"/>
      <c r="R565" s="3"/>
      <c r="S565" s="3"/>
      <c r="T565" s="3"/>
      <c r="U565" s="3"/>
      <c r="V565" s="3"/>
      <c r="W565" s="3"/>
      <c r="X565" s="3"/>
      <c r="Y565" s="3"/>
      <c r="Z565" s="3"/>
    </row>
    <row r="566" ht="15.75" customHeight="1">
      <c r="C566" s="2"/>
      <c r="R566" s="3"/>
      <c r="S566" s="3"/>
      <c r="T566" s="3"/>
      <c r="U566" s="3"/>
      <c r="V566" s="3"/>
      <c r="W566" s="3"/>
      <c r="X566" s="3"/>
      <c r="Y566" s="3"/>
      <c r="Z566" s="3"/>
    </row>
    <row r="567" ht="15.75" customHeight="1">
      <c r="C567" s="2"/>
      <c r="R567" s="3"/>
      <c r="S567" s="3"/>
      <c r="T567" s="3"/>
      <c r="U567" s="3"/>
      <c r="V567" s="3"/>
      <c r="W567" s="3"/>
      <c r="X567" s="3"/>
      <c r="Y567" s="3"/>
      <c r="Z567" s="3"/>
    </row>
    <row r="568" ht="15.75" customHeight="1">
      <c r="C568" s="2"/>
      <c r="R568" s="3"/>
      <c r="S568" s="3"/>
      <c r="T568" s="3"/>
      <c r="U568" s="3"/>
      <c r="V568" s="3"/>
      <c r="W568" s="3"/>
      <c r="X568" s="3"/>
      <c r="Y568" s="3"/>
      <c r="Z568" s="3"/>
    </row>
    <row r="569" ht="15.75" customHeight="1">
      <c r="C569" s="2"/>
      <c r="R569" s="3"/>
      <c r="S569" s="3"/>
      <c r="T569" s="3"/>
      <c r="U569" s="3"/>
      <c r="V569" s="3"/>
      <c r="W569" s="3"/>
      <c r="X569" s="3"/>
      <c r="Y569" s="3"/>
      <c r="Z569" s="3"/>
    </row>
    <row r="570" ht="15.75" customHeight="1">
      <c r="C570" s="2"/>
      <c r="R570" s="3"/>
      <c r="S570" s="3"/>
      <c r="T570" s="3"/>
      <c r="U570" s="3"/>
      <c r="V570" s="3"/>
      <c r="W570" s="3"/>
      <c r="X570" s="3"/>
      <c r="Y570" s="3"/>
      <c r="Z570" s="3"/>
    </row>
    <row r="571" ht="15.75" customHeight="1">
      <c r="C571" s="2"/>
      <c r="R571" s="3"/>
      <c r="S571" s="3"/>
      <c r="T571" s="3"/>
      <c r="U571" s="3"/>
      <c r="V571" s="3"/>
      <c r="W571" s="3"/>
      <c r="X571" s="3"/>
      <c r="Y571" s="3"/>
      <c r="Z571" s="3"/>
    </row>
    <row r="572" ht="15.75" customHeight="1">
      <c r="C572" s="2"/>
      <c r="R572" s="3"/>
      <c r="S572" s="3"/>
      <c r="T572" s="3"/>
      <c r="U572" s="3"/>
      <c r="V572" s="3"/>
      <c r="W572" s="3"/>
      <c r="X572" s="3"/>
      <c r="Y572" s="3"/>
      <c r="Z572" s="3"/>
    </row>
    <row r="573" ht="15.75" customHeight="1">
      <c r="C573" s="2"/>
      <c r="R573" s="3"/>
      <c r="S573" s="3"/>
      <c r="T573" s="3"/>
      <c r="U573" s="3"/>
      <c r="V573" s="3"/>
      <c r="W573" s="3"/>
      <c r="X573" s="3"/>
      <c r="Y573" s="3"/>
      <c r="Z573" s="3"/>
    </row>
    <row r="574" ht="15.75" customHeight="1">
      <c r="C574" s="2"/>
      <c r="R574" s="3"/>
      <c r="S574" s="3"/>
      <c r="T574" s="3"/>
      <c r="U574" s="3"/>
      <c r="V574" s="3"/>
      <c r="W574" s="3"/>
      <c r="X574" s="3"/>
      <c r="Y574" s="3"/>
      <c r="Z574" s="3"/>
    </row>
    <row r="575" ht="15.75" customHeight="1">
      <c r="C575" s="2"/>
      <c r="R575" s="3"/>
      <c r="S575" s="3"/>
      <c r="T575" s="3"/>
      <c r="U575" s="3"/>
      <c r="V575" s="3"/>
      <c r="W575" s="3"/>
      <c r="X575" s="3"/>
      <c r="Y575" s="3"/>
      <c r="Z575" s="3"/>
    </row>
    <row r="576" ht="15.75" customHeight="1">
      <c r="C576" s="2"/>
      <c r="R576" s="3"/>
      <c r="S576" s="3"/>
      <c r="T576" s="3"/>
      <c r="U576" s="3"/>
      <c r="V576" s="3"/>
      <c r="W576" s="3"/>
      <c r="X576" s="3"/>
      <c r="Y576" s="3"/>
      <c r="Z576" s="3"/>
    </row>
    <row r="577" ht="15.75" customHeight="1">
      <c r="C577" s="2"/>
      <c r="R577" s="3"/>
      <c r="S577" s="3"/>
      <c r="T577" s="3"/>
      <c r="U577" s="3"/>
      <c r="V577" s="3"/>
      <c r="W577" s="3"/>
      <c r="X577" s="3"/>
      <c r="Y577" s="3"/>
      <c r="Z577" s="3"/>
    </row>
    <row r="578" ht="15.75" customHeight="1">
      <c r="C578" s="2"/>
      <c r="R578" s="3"/>
      <c r="S578" s="3"/>
      <c r="T578" s="3"/>
      <c r="U578" s="3"/>
      <c r="V578" s="3"/>
      <c r="W578" s="3"/>
      <c r="X578" s="3"/>
      <c r="Y578" s="3"/>
      <c r="Z578" s="3"/>
    </row>
    <row r="579" ht="15.75" customHeight="1">
      <c r="C579" s="2"/>
      <c r="R579" s="3"/>
      <c r="S579" s="3"/>
      <c r="T579" s="3"/>
      <c r="U579" s="3"/>
      <c r="V579" s="3"/>
      <c r="W579" s="3"/>
      <c r="X579" s="3"/>
      <c r="Y579" s="3"/>
      <c r="Z579" s="3"/>
    </row>
    <row r="580" ht="15.75" customHeight="1">
      <c r="C580" s="2"/>
      <c r="R580" s="3"/>
      <c r="S580" s="3"/>
      <c r="T580" s="3"/>
      <c r="U580" s="3"/>
      <c r="V580" s="3"/>
      <c r="W580" s="3"/>
      <c r="X580" s="3"/>
      <c r="Y580" s="3"/>
      <c r="Z580" s="3"/>
    </row>
    <row r="581" ht="15.75" customHeight="1">
      <c r="C581" s="2"/>
      <c r="R581" s="3"/>
      <c r="S581" s="3"/>
      <c r="T581" s="3"/>
      <c r="U581" s="3"/>
      <c r="V581" s="3"/>
      <c r="W581" s="3"/>
      <c r="X581" s="3"/>
      <c r="Y581" s="3"/>
      <c r="Z581" s="3"/>
    </row>
    <row r="582" ht="15.75" customHeight="1">
      <c r="C582" s="2"/>
      <c r="R582" s="3"/>
      <c r="S582" s="3"/>
      <c r="T582" s="3"/>
      <c r="U582" s="3"/>
      <c r="V582" s="3"/>
      <c r="W582" s="3"/>
      <c r="X582" s="3"/>
      <c r="Y582" s="3"/>
      <c r="Z582" s="3"/>
    </row>
    <row r="583" ht="15.75" customHeight="1">
      <c r="C583" s="2"/>
      <c r="R583" s="3"/>
      <c r="S583" s="3"/>
      <c r="T583" s="3"/>
      <c r="U583" s="3"/>
      <c r="V583" s="3"/>
      <c r="W583" s="3"/>
      <c r="X583" s="3"/>
      <c r="Y583" s="3"/>
      <c r="Z583" s="3"/>
    </row>
    <row r="584" ht="15.75" customHeight="1">
      <c r="C584" s="2"/>
      <c r="R584" s="3"/>
      <c r="S584" s="3"/>
      <c r="T584" s="3"/>
      <c r="U584" s="3"/>
      <c r="V584" s="3"/>
      <c r="W584" s="3"/>
      <c r="X584" s="3"/>
      <c r="Y584" s="3"/>
      <c r="Z584" s="3"/>
    </row>
    <row r="585" ht="15.75" customHeight="1">
      <c r="C585" s="2"/>
      <c r="R585" s="3"/>
      <c r="S585" s="3"/>
      <c r="T585" s="3"/>
      <c r="U585" s="3"/>
      <c r="V585" s="3"/>
      <c r="W585" s="3"/>
      <c r="X585" s="3"/>
      <c r="Y585" s="3"/>
      <c r="Z585" s="3"/>
    </row>
    <row r="586" ht="15.75" customHeight="1">
      <c r="C586" s="2"/>
      <c r="R586" s="3"/>
      <c r="S586" s="3"/>
      <c r="T586" s="3"/>
      <c r="U586" s="3"/>
      <c r="V586" s="3"/>
      <c r="W586" s="3"/>
      <c r="X586" s="3"/>
      <c r="Y586" s="3"/>
      <c r="Z586" s="3"/>
    </row>
    <row r="587" ht="15.75" customHeight="1">
      <c r="C587" s="2"/>
      <c r="R587" s="3"/>
      <c r="S587" s="3"/>
      <c r="T587" s="3"/>
      <c r="U587" s="3"/>
      <c r="V587" s="3"/>
      <c r="W587" s="3"/>
      <c r="X587" s="3"/>
      <c r="Y587" s="3"/>
      <c r="Z587" s="3"/>
    </row>
    <row r="588" ht="15.75" customHeight="1">
      <c r="C588" s="2"/>
      <c r="R588" s="3"/>
      <c r="S588" s="3"/>
      <c r="T588" s="3"/>
      <c r="U588" s="3"/>
      <c r="V588" s="3"/>
      <c r="W588" s="3"/>
      <c r="X588" s="3"/>
      <c r="Y588" s="3"/>
      <c r="Z588" s="3"/>
    </row>
    <row r="589" ht="15.75" customHeight="1">
      <c r="C589" s="2"/>
      <c r="R589" s="3"/>
      <c r="S589" s="3"/>
      <c r="T589" s="3"/>
      <c r="U589" s="3"/>
      <c r="V589" s="3"/>
      <c r="W589" s="3"/>
      <c r="X589" s="3"/>
      <c r="Y589" s="3"/>
      <c r="Z589" s="3"/>
    </row>
    <row r="590" ht="15.75" customHeight="1">
      <c r="C590" s="2"/>
      <c r="R590" s="3"/>
      <c r="S590" s="3"/>
      <c r="T590" s="3"/>
      <c r="U590" s="3"/>
      <c r="V590" s="3"/>
      <c r="W590" s="3"/>
      <c r="X590" s="3"/>
      <c r="Y590" s="3"/>
      <c r="Z590" s="3"/>
    </row>
    <row r="591" ht="15.75" customHeight="1">
      <c r="C591" s="2"/>
      <c r="R591" s="3"/>
      <c r="S591" s="3"/>
      <c r="T591" s="3"/>
      <c r="U591" s="3"/>
      <c r="V591" s="3"/>
      <c r="W591" s="3"/>
      <c r="X591" s="3"/>
      <c r="Y591" s="3"/>
      <c r="Z591" s="3"/>
    </row>
    <row r="592" ht="15.75" customHeight="1">
      <c r="C592" s="2"/>
      <c r="R592" s="3"/>
      <c r="S592" s="3"/>
      <c r="T592" s="3"/>
      <c r="U592" s="3"/>
      <c r="V592" s="3"/>
      <c r="W592" s="3"/>
      <c r="X592" s="3"/>
      <c r="Y592" s="3"/>
      <c r="Z592" s="3"/>
    </row>
    <row r="593" ht="15.75" customHeight="1">
      <c r="C593" s="2"/>
      <c r="R593" s="3"/>
      <c r="S593" s="3"/>
      <c r="T593" s="3"/>
      <c r="U593" s="3"/>
      <c r="V593" s="3"/>
      <c r="W593" s="3"/>
      <c r="X593" s="3"/>
      <c r="Y593" s="3"/>
      <c r="Z593" s="3"/>
    </row>
    <row r="594" ht="15.75" customHeight="1">
      <c r="C594" s="2"/>
      <c r="R594" s="3"/>
      <c r="S594" s="3"/>
      <c r="T594" s="3"/>
      <c r="U594" s="3"/>
      <c r="V594" s="3"/>
      <c r="W594" s="3"/>
      <c r="X594" s="3"/>
      <c r="Y594" s="3"/>
      <c r="Z594" s="3"/>
    </row>
    <row r="595" ht="15.75" customHeight="1">
      <c r="C595" s="2"/>
      <c r="R595" s="3"/>
      <c r="S595" s="3"/>
      <c r="T595" s="3"/>
      <c r="U595" s="3"/>
      <c r="V595" s="3"/>
      <c r="W595" s="3"/>
      <c r="X595" s="3"/>
      <c r="Y595" s="3"/>
      <c r="Z595" s="3"/>
    </row>
    <row r="596" ht="15.75" customHeight="1">
      <c r="C596" s="2"/>
      <c r="R596" s="3"/>
      <c r="S596" s="3"/>
      <c r="T596" s="3"/>
      <c r="U596" s="3"/>
      <c r="V596" s="3"/>
      <c r="W596" s="3"/>
      <c r="X596" s="3"/>
      <c r="Y596" s="3"/>
      <c r="Z596" s="3"/>
    </row>
    <row r="597" ht="15.75" customHeight="1">
      <c r="C597" s="2"/>
      <c r="R597" s="3"/>
      <c r="S597" s="3"/>
      <c r="T597" s="3"/>
      <c r="U597" s="3"/>
      <c r="V597" s="3"/>
      <c r="W597" s="3"/>
      <c r="X597" s="3"/>
      <c r="Y597" s="3"/>
      <c r="Z597" s="3"/>
    </row>
    <row r="598" ht="15.75" customHeight="1">
      <c r="C598" s="2"/>
      <c r="R598" s="3"/>
      <c r="S598" s="3"/>
      <c r="T598" s="3"/>
      <c r="U598" s="3"/>
      <c r="V598" s="3"/>
      <c r="W598" s="3"/>
      <c r="X598" s="3"/>
      <c r="Y598" s="3"/>
      <c r="Z598" s="3"/>
    </row>
    <row r="599" ht="15.75" customHeight="1">
      <c r="C599" s="2"/>
      <c r="R599" s="3"/>
      <c r="S599" s="3"/>
      <c r="T599" s="3"/>
      <c r="U599" s="3"/>
      <c r="V599" s="3"/>
      <c r="W599" s="3"/>
      <c r="X599" s="3"/>
      <c r="Y599" s="3"/>
      <c r="Z599" s="3"/>
    </row>
    <row r="600" ht="15.75" customHeight="1">
      <c r="C600" s="2"/>
      <c r="R600" s="3"/>
      <c r="S600" s="3"/>
      <c r="T600" s="3"/>
      <c r="U600" s="3"/>
      <c r="V600" s="3"/>
      <c r="W600" s="3"/>
      <c r="X600" s="3"/>
      <c r="Y600" s="3"/>
      <c r="Z600" s="3"/>
    </row>
    <row r="601" ht="15.75" customHeight="1">
      <c r="C601" s="2"/>
      <c r="R601" s="3"/>
      <c r="S601" s="3"/>
      <c r="T601" s="3"/>
      <c r="U601" s="3"/>
      <c r="V601" s="3"/>
      <c r="W601" s="3"/>
      <c r="X601" s="3"/>
      <c r="Y601" s="3"/>
      <c r="Z601" s="3"/>
    </row>
    <row r="602" ht="15.75" customHeight="1">
      <c r="C602" s="2"/>
      <c r="R602" s="3"/>
      <c r="S602" s="3"/>
      <c r="T602" s="3"/>
      <c r="U602" s="3"/>
      <c r="V602" s="3"/>
      <c r="W602" s="3"/>
      <c r="X602" s="3"/>
      <c r="Y602" s="3"/>
      <c r="Z602" s="3"/>
    </row>
    <row r="603" ht="15.75" customHeight="1">
      <c r="C603" s="2"/>
      <c r="R603" s="3"/>
      <c r="S603" s="3"/>
      <c r="T603" s="3"/>
      <c r="U603" s="3"/>
      <c r="V603" s="3"/>
      <c r="W603" s="3"/>
      <c r="X603" s="3"/>
      <c r="Y603" s="3"/>
      <c r="Z603" s="3"/>
    </row>
    <row r="604" ht="15.75" customHeight="1">
      <c r="C604" s="2"/>
      <c r="R604" s="3"/>
      <c r="S604" s="3"/>
      <c r="T604" s="3"/>
      <c r="U604" s="3"/>
      <c r="V604" s="3"/>
      <c r="W604" s="3"/>
      <c r="X604" s="3"/>
      <c r="Y604" s="3"/>
      <c r="Z604" s="3"/>
    </row>
    <row r="605" ht="15.75" customHeight="1">
      <c r="C605" s="2"/>
      <c r="R605" s="3"/>
      <c r="S605" s="3"/>
      <c r="T605" s="3"/>
      <c r="U605" s="3"/>
      <c r="V605" s="3"/>
      <c r="W605" s="3"/>
      <c r="X605" s="3"/>
      <c r="Y605" s="3"/>
      <c r="Z605" s="3"/>
    </row>
    <row r="606" ht="15.75" customHeight="1">
      <c r="C606" s="2"/>
      <c r="R606" s="3"/>
      <c r="S606" s="3"/>
      <c r="T606" s="3"/>
      <c r="U606" s="3"/>
      <c r="V606" s="3"/>
      <c r="W606" s="3"/>
      <c r="X606" s="3"/>
      <c r="Y606" s="3"/>
      <c r="Z606" s="3"/>
    </row>
    <row r="607" ht="15.75" customHeight="1">
      <c r="C607" s="2"/>
      <c r="R607" s="3"/>
      <c r="S607" s="3"/>
      <c r="T607" s="3"/>
      <c r="U607" s="3"/>
      <c r="V607" s="3"/>
      <c r="W607" s="3"/>
      <c r="X607" s="3"/>
      <c r="Y607" s="3"/>
      <c r="Z607" s="3"/>
    </row>
    <row r="608" ht="15.75" customHeight="1">
      <c r="C608" s="2"/>
      <c r="R608" s="3"/>
      <c r="S608" s="3"/>
      <c r="T608" s="3"/>
      <c r="U608" s="3"/>
      <c r="V608" s="3"/>
      <c r="W608" s="3"/>
      <c r="X608" s="3"/>
      <c r="Y608" s="3"/>
      <c r="Z608" s="3"/>
    </row>
    <row r="609" ht="15.75" customHeight="1">
      <c r="C609" s="2"/>
      <c r="R609" s="3"/>
      <c r="S609" s="3"/>
      <c r="T609" s="3"/>
      <c r="U609" s="3"/>
      <c r="V609" s="3"/>
      <c r="W609" s="3"/>
      <c r="X609" s="3"/>
      <c r="Y609" s="3"/>
      <c r="Z609" s="3"/>
    </row>
    <row r="610" ht="15.75" customHeight="1">
      <c r="C610" s="2"/>
      <c r="R610" s="3"/>
      <c r="S610" s="3"/>
      <c r="T610" s="3"/>
      <c r="U610" s="3"/>
      <c r="V610" s="3"/>
      <c r="W610" s="3"/>
      <c r="X610" s="3"/>
      <c r="Y610" s="3"/>
      <c r="Z610" s="3"/>
    </row>
    <row r="611" ht="15.75" customHeight="1">
      <c r="C611" s="2"/>
      <c r="R611" s="3"/>
      <c r="S611" s="3"/>
      <c r="T611" s="3"/>
      <c r="U611" s="3"/>
      <c r="V611" s="3"/>
      <c r="W611" s="3"/>
      <c r="X611" s="3"/>
      <c r="Y611" s="3"/>
      <c r="Z611" s="3"/>
    </row>
    <row r="612" ht="15.75" customHeight="1">
      <c r="C612" s="2"/>
      <c r="R612" s="3"/>
      <c r="S612" s="3"/>
      <c r="T612" s="3"/>
      <c r="U612" s="3"/>
      <c r="V612" s="3"/>
      <c r="W612" s="3"/>
      <c r="X612" s="3"/>
      <c r="Y612" s="3"/>
      <c r="Z612" s="3"/>
    </row>
    <row r="613" ht="15.75" customHeight="1">
      <c r="C613" s="2"/>
      <c r="R613" s="3"/>
      <c r="S613" s="3"/>
      <c r="T613" s="3"/>
      <c r="U613" s="3"/>
      <c r="V613" s="3"/>
      <c r="W613" s="3"/>
      <c r="X613" s="3"/>
      <c r="Y613" s="3"/>
      <c r="Z613" s="3"/>
    </row>
    <row r="614" ht="15.75" customHeight="1">
      <c r="C614" s="2"/>
      <c r="R614" s="3"/>
      <c r="S614" s="3"/>
      <c r="T614" s="3"/>
      <c r="U614" s="3"/>
      <c r="V614" s="3"/>
      <c r="W614" s="3"/>
      <c r="X614" s="3"/>
      <c r="Y614" s="3"/>
      <c r="Z614" s="3"/>
    </row>
    <row r="615" ht="15.75" customHeight="1">
      <c r="C615" s="2"/>
      <c r="R615" s="3"/>
      <c r="S615" s="3"/>
      <c r="T615" s="3"/>
      <c r="U615" s="3"/>
      <c r="V615" s="3"/>
      <c r="W615" s="3"/>
      <c r="X615" s="3"/>
      <c r="Y615" s="3"/>
      <c r="Z615" s="3"/>
    </row>
    <row r="616" ht="15.75" customHeight="1">
      <c r="C616" s="2"/>
      <c r="R616" s="3"/>
      <c r="S616" s="3"/>
      <c r="T616" s="3"/>
      <c r="U616" s="3"/>
      <c r="V616" s="3"/>
      <c r="W616" s="3"/>
      <c r="X616" s="3"/>
      <c r="Y616" s="3"/>
      <c r="Z616" s="3"/>
    </row>
    <row r="617" ht="15.75" customHeight="1">
      <c r="C617" s="2"/>
      <c r="R617" s="3"/>
      <c r="S617" s="3"/>
      <c r="T617" s="3"/>
      <c r="U617" s="3"/>
      <c r="V617" s="3"/>
      <c r="W617" s="3"/>
      <c r="X617" s="3"/>
      <c r="Y617" s="3"/>
      <c r="Z617" s="3"/>
    </row>
    <row r="618" ht="15.75" customHeight="1">
      <c r="C618" s="2"/>
      <c r="R618" s="3"/>
      <c r="S618" s="3"/>
      <c r="T618" s="3"/>
      <c r="U618" s="3"/>
      <c r="V618" s="3"/>
      <c r="W618" s="3"/>
      <c r="X618" s="3"/>
      <c r="Y618" s="3"/>
      <c r="Z618" s="3"/>
    </row>
    <row r="619" ht="15.75" customHeight="1">
      <c r="C619" s="2"/>
      <c r="R619" s="3"/>
      <c r="S619" s="3"/>
      <c r="T619" s="3"/>
      <c r="U619" s="3"/>
      <c r="V619" s="3"/>
      <c r="W619" s="3"/>
      <c r="X619" s="3"/>
      <c r="Y619" s="3"/>
      <c r="Z619" s="3"/>
    </row>
    <row r="620" ht="15.75" customHeight="1">
      <c r="C620" s="2"/>
      <c r="R620" s="3"/>
      <c r="S620" s="3"/>
      <c r="T620" s="3"/>
      <c r="U620" s="3"/>
      <c r="V620" s="3"/>
      <c r="W620" s="3"/>
      <c r="X620" s="3"/>
      <c r="Y620" s="3"/>
      <c r="Z620" s="3"/>
    </row>
    <row r="621" ht="15.75" customHeight="1">
      <c r="C621" s="2"/>
      <c r="R621" s="3"/>
      <c r="S621" s="3"/>
      <c r="T621" s="3"/>
      <c r="U621" s="3"/>
      <c r="V621" s="3"/>
      <c r="W621" s="3"/>
      <c r="X621" s="3"/>
      <c r="Y621" s="3"/>
      <c r="Z621" s="3"/>
    </row>
    <row r="622" ht="15.75" customHeight="1">
      <c r="C622" s="2"/>
      <c r="R622" s="3"/>
      <c r="S622" s="3"/>
      <c r="T622" s="3"/>
      <c r="U622" s="3"/>
      <c r="V622" s="3"/>
      <c r="W622" s="3"/>
      <c r="X622" s="3"/>
      <c r="Y622" s="3"/>
      <c r="Z622" s="3"/>
    </row>
    <row r="623" ht="15.75" customHeight="1">
      <c r="C623" s="2"/>
      <c r="R623" s="3"/>
      <c r="S623" s="3"/>
      <c r="T623" s="3"/>
      <c r="U623" s="3"/>
      <c r="V623" s="3"/>
      <c r="W623" s="3"/>
      <c r="X623" s="3"/>
      <c r="Y623" s="3"/>
      <c r="Z623" s="3"/>
    </row>
    <row r="624" ht="15.75" customHeight="1">
      <c r="C624" s="2"/>
      <c r="R624" s="3"/>
      <c r="S624" s="3"/>
      <c r="T624" s="3"/>
      <c r="U624" s="3"/>
      <c r="V624" s="3"/>
      <c r="W624" s="3"/>
      <c r="X624" s="3"/>
      <c r="Y624" s="3"/>
      <c r="Z624" s="3"/>
    </row>
    <row r="625" ht="15.75" customHeight="1">
      <c r="C625" s="2"/>
      <c r="R625" s="3"/>
      <c r="S625" s="3"/>
      <c r="T625" s="3"/>
      <c r="U625" s="3"/>
      <c r="V625" s="3"/>
      <c r="W625" s="3"/>
      <c r="X625" s="3"/>
      <c r="Y625" s="3"/>
      <c r="Z625" s="3"/>
    </row>
    <row r="626" ht="15.75" customHeight="1">
      <c r="C626" s="2"/>
      <c r="R626" s="3"/>
      <c r="S626" s="3"/>
      <c r="T626" s="3"/>
      <c r="U626" s="3"/>
      <c r="V626" s="3"/>
      <c r="W626" s="3"/>
      <c r="X626" s="3"/>
      <c r="Y626" s="3"/>
      <c r="Z626" s="3"/>
    </row>
    <row r="627" ht="15.75" customHeight="1">
      <c r="C627" s="2"/>
      <c r="R627" s="3"/>
      <c r="S627" s="3"/>
      <c r="T627" s="3"/>
      <c r="U627" s="3"/>
      <c r="V627" s="3"/>
      <c r="W627" s="3"/>
      <c r="X627" s="3"/>
      <c r="Y627" s="3"/>
      <c r="Z627" s="3"/>
    </row>
    <row r="628" ht="15.75" customHeight="1">
      <c r="C628" s="2"/>
      <c r="R628" s="3"/>
      <c r="S628" s="3"/>
      <c r="T628" s="3"/>
      <c r="U628" s="3"/>
      <c r="V628" s="3"/>
      <c r="W628" s="3"/>
      <c r="X628" s="3"/>
      <c r="Y628" s="3"/>
      <c r="Z628" s="3"/>
    </row>
    <row r="629" ht="15.75" customHeight="1">
      <c r="C629" s="2"/>
      <c r="R629" s="3"/>
      <c r="S629" s="3"/>
      <c r="T629" s="3"/>
      <c r="U629" s="3"/>
      <c r="V629" s="3"/>
      <c r="W629" s="3"/>
      <c r="X629" s="3"/>
      <c r="Y629" s="3"/>
      <c r="Z629" s="3"/>
    </row>
    <row r="630" ht="15.75" customHeight="1">
      <c r="C630" s="2"/>
      <c r="R630" s="3"/>
      <c r="S630" s="3"/>
      <c r="T630" s="3"/>
      <c r="U630" s="3"/>
      <c r="V630" s="3"/>
      <c r="W630" s="3"/>
      <c r="X630" s="3"/>
      <c r="Y630" s="3"/>
      <c r="Z630" s="3"/>
    </row>
    <row r="631" ht="15.75" customHeight="1">
      <c r="C631" s="2"/>
      <c r="R631" s="3"/>
      <c r="S631" s="3"/>
      <c r="T631" s="3"/>
      <c r="U631" s="3"/>
      <c r="V631" s="3"/>
      <c r="W631" s="3"/>
      <c r="X631" s="3"/>
      <c r="Y631" s="3"/>
      <c r="Z631" s="3"/>
    </row>
    <row r="632" ht="15.75" customHeight="1">
      <c r="C632" s="2"/>
      <c r="R632" s="3"/>
      <c r="S632" s="3"/>
      <c r="T632" s="3"/>
      <c r="U632" s="3"/>
      <c r="V632" s="3"/>
      <c r="W632" s="3"/>
      <c r="X632" s="3"/>
      <c r="Y632" s="3"/>
      <c r="Z632" s="3"/>
    </row>
    <row r="633" ht="15.75" customHeight="1">
      <c r="C633" s="2"/>
      <c r="R633" s="3"/>
      <c r="S633" s="3"/>
      <c r="T633" s="3"/>
      <c r="U633" s="3"/>
      <c r="V633" s="3"/>
      <c r="W633" s="3"/>
      <c r="X633" s="3"/>
      <c r="Y633" s="3"/>
      <c r="Z633" s="3"/>
    </row>
    <row r="634" ht="15.75" customHeight="1">
      <c r="C634" s="2"/>
      <c r="R634" s="3"/>
      <c r="S634" s="3"/>
      <c r="T634" s="3"/>
      <c r="U634" s="3"/>
      <c r="V634" s="3"/>
      <c r="W634" s="3"/>
      <c r="X634" s="3"/>
      <c r="Y634" s="3"/>
      <c r="Z634" s="3"/>
    </row>
    <row r="635" ht="15.75" customHeight="1">
      <c r="C635" s="2"/>
      <c r="R635" s="3"/>
      <c r="S635" s="3"/>
      <c r="T635" s="3"/>
      <c r="U635" s="3"/>
      <c r="V635" s="3"/>
      <c r="W635" s="3"/>
      <c r="X635" s="3"/>
      <c r="Y635" s="3"/>
      <c r="Z635" s="3"/>
    </row>
    <row r="636" ht="15.75" customHeight="1">
      <c r="C636" s="2"/>
      <c r="R636" s="3"/>
      <c r="S636" s="3"/>
      <c r="T636" s="3"/>
      <c r="U636" s="3"/>
      <c r="V636" s="3"/>
      <c r="W636" s="3"/>
      <c r="X636" s="3"/>
      <c r="Y636" s="3"/>
      <c r="Z636" s="3"/>
    </row>
    <row r="637" ht="15.75" customHeight="1">
      <c r="C637" s="2"/>
      <c r="R637" s="3"/>
      <c r="S637" s="3"/>
      <c r="T637" s="3"/>
      <c r="U637" s="3"/>
      <c r="V637" s="3"/>
      <c r="W637" s="3"/>
      <c r="X637" s="3"/>
      <c r="Y637" s="3"/>
      <c r="Z637" s="3"/>
    </row>
    <row r="638" ht="15.75" customHeight="1">
      <c r="C638" s="2"/>
      <c r="R638" s="3"/>
      <c r="S638" s="3"/>
      <c r="T638" s="3"/>
      <c r="U638" s="3"/>
      <c r="V638" s="3"/>
      <c r="W638" s="3"/>
      <c r="X638" s="3"/>
      <c r="Y638" s="3"/>
      <c r="Z638" s="3"/>
    </row>
    <row r="639" ht="15.75" customHeight="1">
      <c r="C639" s="2"/>
      <c r="R639" s="3"/>
      <c r="S639" s="3"/>
      <c r="T639" s="3"/>
      <c r="U639" s="3"/>
      <c r="V639" s="3"/>
      <c r="W639" s="3"/>
      <c r="X639" s="3"/>
      <c r="Y639" s="3"/>
      <c r="Z639" s="3"/>
    </row>
    <row r="640" ht="15.75" customHeight="1">
      <c r="C640" s="2"/>
      <c r="R640" s="3"/>
      <c r="S640" s="3"/>
      <c r="T640" s="3"/>
      <c r="U640" s="3"/>
      <c r="V640" s="3"/>
      <c r="W640" s="3"/>
      <c r="X640" s="3"/>
      <c r="Y640" s="3"/>
      <c r="Z640" s="3"/>
    </row>
    <row r="641" ht="15.75" customHeight="1">
      <c r="C641" s="2"/>
      <c r="R641" s="3"/>
      <c r="S641" s="3"/>
      <c r="T641" s="3"/>
      <c r="U641" s="3"/>
      <c r="V641" s="3"/>
      <c r="W641" s="3"/>
      <c r="X641" s="3"/>
      <c r="Y641" s="3"/>
      <c r="Z641" s="3"/>
    </row>
    <row r="642" ht="15.75" customHeight="1">
      <c r="C642" s="2"/>
      <c r="R642" s="3"/>
      <c r="S642" s="3"/>
      <c r="T642" s="3"/>
      <c r="U642" s="3"/>
      <c r="V642" s="3"/>
      <c r="W642" s="3"/>
      <c r="X642" s="3"/>
      <c r="Y642" s="3"/>
      <c r="Z642" s="3"/>
    </row>
    <row r="643" ht="15.75" customHeight="1">
      <c r="C643" s="2"/>
      <c r="R643" s="3"/>
      <c r="S643" s="3"/>
      <c r="T643" s="3"/>
      <c r="U643" s="3"/>
      <c r="V643" s="3"/>
      <c r="W643" s="3"/>
      <c r="X643" s="3"/>
      <c r="Y643" s="3"/>
      <c r="Z643" s="3"/>
    </row>
    <row r="644" ht="15.75" customHeight="1">
      <c r="C644" s="2"/>
      <c r="R644" s="3"/>
      <c r="S644" s="3"/>
      <c r="T644" s="3"/>
      <c r="U644" s="3"/>
      <c r="V644" s="3"/>
      <c r="W644" s="3"/>
      <c r="X644" s="3"/>
      <c r="Y644" s="3"/>
      <c r="Z644" s="3"/>
    </row>
    <row r="645" ht="15.75" customHeight="1">
      <c r="C645" s="2"/>
      <c r="R645" s="3"/>
      <c r="S645" s="3"/>
      <c r="T645" s="3"/>
      <c r="U645" s="3"/>
      <c r="V645" s="3"/>
      <c r="W645" s="3"/>
      <c r="X645" s="3"/>
      <c r="Y645" s="3"/>
      <c r="Z645" s="3"/>
    </row>
    <row r="646" ht="15.75" customHeight="1">
      <c r="C646" s="2"/>
      <c r="R646" s="3"/>
      <c r="S646" s="3"/>
      <c r="T646" s="3"/>
      <c r="U646" s="3"/>
      <c r="V646" s="3"/>
      <c r="W646" s="3"/>
      <c r="X646" s="3"/>
      <c r="Y646" s="3"/>
      <c r="Z646" s="3"/>
    </row>
    <row r="647" ht="15.75" customHeight="1">
      <c r="C647" s="2"/>
      <c r="R647" s="3"/>
      <c r="S647" s="3"/>
      <c r="T647" s="3"/>
      <c r="U647" s="3"/>
      <c r="V647" s="3"/>
      <c r="W647" s="3"/>
      <c r="X647" s="3"/>
      <c r="Y647" s="3"/>
      <c r="Z647" s="3"/>
    </row>
    <row r="648" ht="15.75" customHeight="1">
      <c r="C648" s="2"/>
      <c r="R648" s="3"/>
      <c r="S648" s="3"/>
      <c r="T648" s="3"/>
      <c r="U648" s="3"/>
      <c r="V648" s="3"/>
      <c r="W648" s="3"/>
      <c r="X648" s="3"/>
      <c r="Y648" s="3"/>
      <c r="Z648" s="3"/>
    </row>
    <row r="649" ht="15.75" customHeight="1">
      <c r="C649" s="2"/>
      <c r="R649" s="3"/>
      <c r="S649" s="3"/>
      <c r="T649" s="3"/>
      <c r="U649" s="3"/>
      <c r="V649" s="3"/>
      <c r="W649" s="3"/>
      <c r="X649" s="3"/>
      <c r="Y649" s="3"/>
      <c r="Z649" s="3"/>
    </row>
    <row r="650" ht="15.75" customHeight="1">
      <c r="C650" s="2"/>
      <c r="R650" s="3"/>
      <c r="S650" s="3"/>
      <c r="T650" s="3"/>
      <c r="U650" s="3"/>
      <c r="V650" s="3"/>
      <c r="W650" s="3"/>
      <c r="X650" s="3"/>
      <c r="Y650" s="3"/>
      <c r="Z650" s="3"/>
    </row>
    <row r="651" ht="15.75" customHeight="1">
      <c r="C651" s="2"/>
      <c r="R651" s="3"/>
      <c r="S651" s="3"/>
      <c r="T651" s="3"/>
      <c r="U651" s="3"/>
      <c r="V651" s="3"/>
      <c r="W651" s="3"/>
      <c r="X651" s="3"/>
      <c r="Y651" s="3"/>
      <c r="Z651" s="3"/>
    </row>
    <row r="652" ht="15.75" customHeight="1">
      <c r="C652" s="2"/>
      <c r="R652" s="3"/>
      <c r="S652" s="3"/>
      <c r="T652" s="3"/>
      <c r="U652" s="3"/>
      <c r="V652" s="3"/>
      <c r="W652" s="3"/>
      <c r="X652" s="3"/>
      <c r="Y652" s="3"/>
      <c r="Z652" s="3"/>
    </row>
    <row r="653" ht="15.75" customHeight="1">
      <c r="C653" s="2"/>
      <c r="R653" s="3"/>
      <c r="S653" s="3"/>
      <c r="T653" s="3"/>
      <c r="U653" s="3"/>
      <c r="V653" s="3"/>
      <c r="W653" s="3"/>
      <c r="X653" s="3"/>
      <c r="Y653" s="3"/>
      <c r="Z653" s="3"/>
    </row>
    <row r="654" ht="15.75" customHeight="1">
      <c r="C654" s="2"/>
      <c r="R654" s="3"/>
      <c r="S654" s="3"/>
      <c r="T654" s="3"/>
      <c r="U654" s="3"/>
      <c r="V654" s="3"/>
      <c r="W654" s="3"/>
      <c r="X654" s="3"/>
      <c r="Y654" s="3"/>
      <c r="Z654" s="3"/>
    </row>
    <row r="655" ht="15.75" customHeight="1">
      <c r="C655" s="2"/>
      <c r="R655" s="3"/>
      <c r="S655" s="3"/>
      <c r="T655" s="3"/>
      <c r="U655" s="3"/>
      <c r="V655" s="3"/>
      <c r="W655" s="3"/>
      <c r="X655" s="3"/>
      <c r="Y655" s="3"/>
      <c r="Z655" s="3"/>
    </row>
    <row r="656" ht="15.75" customHeight="1">
      <c r="C656" s="2"/>
      <c r="R656" s="3"/>
      <c r="S656" s="3"/>
      <c r="T656" s="3"/>
      <c r="U656" s="3"/>
      <c r="V656" s="3"/>
      <c r="W656" s="3"/>
      <c r="X656" s="3"/>
      <c r="Y656" s="3"/>
      <c r="Z656" s="3"/>
    </row>
    <row r="657" ht="15.75" customHeight="1">
      <c r="C657" s="2"/>
      <c r="R657" s="3"/>
      <c r="S657" s="3"/>
      <c r="T657" s="3"/>
      <c r="U657" s="3"/>
      <c r="V657" s="3"/>
      <c r="W657" s="3"/>
      <c r="X657" s="3"/>
      <c r="Y657" s="3"/>
      <c r="Z657" s="3"/>
    </row>
    <row r="658" ht="15.75" customHeight="1">
      <c r="C658" s="2"/>
      <c r="R658" s="3"/>
      <c r="S658" s="3"/>
      <c r="T658" s="3"/>
      <c r="U658" s="3"/>
      <c r="V658" s="3"/>
      <c r="W658" s="3"/>
      <c r="X658" s="3"/>
      <c r="Y658" s="3"/>
      <c r="Z658" s="3"/>
    </row>
    <row r="659" ht="15.75" customHeight="1">
      <c r="C659" s="2"/>
      <c r="R659" s="3"/>
      <c r="S659" s="3"/>
      <c r="T659" s="3"/>
      <c r="U659" s="3"/>
      <c r="V659" s="3"/>
      <c r="W659" s="3"/>
      <c r="X659" s="3"/>
      <c r="Y659" s="3"/>
      <c r="Z659" s="3"/>
    </row>
    <row r="660" ht="15.75" customHeight="1">
      <c r="C660" s="2"/>
      <c r="R660" s="3"/>
      <c r="S660" s="3"/>
      <c r="T660" s="3"/>
      <c r="U660" s="3"/>
      <c r="V660" s="3"/>
      <c r="W660" s="3"/>
      <c r="X660" s="3"/>
      <c r="Y660" s="3"/>
      <c r="Z660" s="3"/>
    </row>
    <row r="661" ht="15.75" customHeight="1">
      <c r="C661" s="2"/>
      <c r="R661" s="3"/>
      <c r="S661" s="3"/>
      <c r="T661" s="3"/>
      <c r="U661" s="3"/>
      <c r="V661" s="3"/>
      <c r="W661" s="3"/>
      <c r="X661" s="3"/>
      <c r="Y661" s="3"/>
      <c r="Z661" s="3"/>
    </row>
    <row r="662" ht="15.75" customHeight="1">
      <c r="C662" s="2"/>
      <c r="R662" s="3"/>
      <c r="S662" s="3"/>
      <c r="T662" s="3"/>
      <c r="U662" s="3"/>
      <c r="V662" s="3"/>
      <c r="W662" s="3"/>
      <c r="X662" s="3"/>
      <c r="Y662" s="3"/>
      <c r="Z662" s="3"/>
    </row>
    <row r="663" ht="15.75" customHeight="1">
      <c r="C663" s="2"/>
      <c r="R663" s="3"/>
      <c r="S663" s="3"/>
      <c r="T663" s="3"/>
      <c r="U663" s="3"/>
      <c r="V663" s="3"/>
      <c r="W663" s="3"/>
      <c r="X663" s="3"/>
      <c r="Y663" s="3"/>
      <c r="Z663" s="3"/>
    </row>
    <row r="664" ht="15.75" customHeight="1">
      <c r="C664" s="2"/>
      <c r="R664" s="3"/>
      <c r="S664" s="3"/>
      <c r="T664" s="3"/>
      <c r="U664" s="3"/>
      <c r="V664" s="3"/>
      <c r="W664" s="3"/>
      <c r="X664" s="3"/>
      <c r="Y664" s="3"/>
      <c r="Z664" s="3"/>
    </row>
    <row r="665" ht="15.75" customHeight="1">
      <c r="C665" s="2"/>
      <c r="R665" s="3"/>
      <c r="S665" s="3"/>
      <c r="T665" s="3"/>
      <c r="U665" s="3"/>
      <c r="V665" s="3"/>
      <c r="W665" s="3"/>
      <c r="X665" s="3"/>
      <c r="Y665" s="3"/>
      <c r="Z665" s="3"/>
    </row>
    <row r="666" ht="15.75" customHeight="1">
      <c r="C666" s="2"/>
      <c r="R666" s="3"/>
      <c r="S666" s="3"/>
      <c r="T666" s="3"/>
      <c r="U666" s="3"/>
      <c r="V666" s="3"/>
      <c r="W666" s="3"/>
      <c r="X666" s="3"/>
      <c r="Y666" s="3"/>
      <c r="Z666" s="3"/>
    </row>
    <row r="667" ht="15.75" customHeight="1">
      <c r="C667" s="2"/>
      <c r="R667" s="3"/>
      <c r="S667" s="3"/>
      <c r="T667" s="3"/>
      <c r="U667" s="3"/>
      <c r="V667" s="3"/>
      <c r="W667" s="3"/>
      <c r="X667" s="3"/>
      <c r="Y667" s="3"/>
      <c r="Z667" s="3"/>
    </row>
    <row r="668" ht="15.75" customHeight="1">
      <c r="C668" s="2"/>
      <c r="R668" s="3"/>
      <c r="S668" s="3"/>
      <c r="T668" s="3"/>
      <c r="U668" s="3"/>
      <c r="V668" s="3"/>
      <c r="W668" s="3"/>
      <c r="X668" s="3"/>
      <c r="Y668" s="3"/>
      <c r="Z668" s="3"/>
    </row>
    <row r="669" ht="15.75" customHeight="1">
      <c r="C669" s="2"/>
      <c r="R669" s="3"/>
      <c r="S669" s="3"/>
      <c r="T669" s="3"/>
      <c r="U669" s="3"/>
      <c r="V669" s="3"/>
      <c r="W669" s="3"/>
      <c r="X669" s="3"/>
      <c r="Y669" s="3"/>
      <c r="Z669" s="3"/>
    </row>
    <row r="670" ht="15.75" customHeight="1">
      <c r="C670" s="2"/>
      <c r="R670" s="3"/>
      <c r="S670" s="3"/>
      <c r="T670" s="3"/>
      <c r="U670" s="3"/>
      <c r="V670" s="3"/>
      <c r="W670" s="3"/>
      <c r="X670" s="3"/>
      <c r="Y670" s="3"/>
      <c r="Z670" s="3"/>
    </row>
    <row r="671" ht="15.75" customHeight="1">
      <c r="C671" s="2"/>
      <c r="R671" s="3"/>
      <c r="S671" s="3"/>
      <c r="T671" s="3"/>
      <c r="U671" s="3"/>
      <c r="V671" s="3"/>
      <c r="W671" s="3"/>
      <c r="X671" s="3"/>
      <c r="Y671" s="3"/>
      <c r="Z671" s="3"/>
    </row>
    <row r="672" ht="15.75" customHeight="1">
      <c r="C672" s="2"/>
      <c r="R672" s="3"/>
      <c r="S672" s="3"/>
      <c r="T672" s="3"/>
      <c r="U672" s="3"/>
      <c r="V672" s="3"/>
      <c r="W672" s="3"/>
      <c r="X672" s="3"/>
      <c r="Y672" s="3"/>
      <c r="Z672" s="3"/>
    </row>
    <row r="673" ht="15.75" customHeight="1">
      <c r="C673" s="2"/>
      <c r="R673" s="3"/>
      <c r="S673" s="3"/>
      <c r="T673" s="3"/>
      <c r="U673" s="3"/>
      <c r="V673" s="3"/>
      <c r="W673" s="3"/>
      <c r="X673" s="3"/>
      <c r="Y673" s="3"/>
      <c r="Z673" s="3"/>
    </row>
    <row r="674" ht="15.75" customHeight="1">
      <c r="C674" s="2"/>
      <c r="R674" s="3"/>
      <c r="S674" s="3"/>
      <c r="T674" s="3"/>
      <c r="U674" s="3"/>
      <c r="V674" s="3"/>
      <c r="W674" s="3"/>
      <c r="X674" s="3"/>
      <c r="Y674" s="3"/>
      <c r="Z674" s="3"/>
    </row>
    <row r="675" ht="15.75" customHeight="1">
      <c r="C675" s="2"/>
      <c r="R675" s="3"/>
      <c r="S675" s="3"/>
      <c r="T675" s="3"/>
      <c r="U675" s="3"/>
      <c r="V675" s="3"/>
      <c r="W675" s="3"/>
      <c r="X675" s="3"/>
      <c r="Y675" s="3"/>
      <c r="Z675" s="3"/>
    </row>
    <row r="676" ht="15.75" customHeight="1">
      <c r="C676" s="2"/>
      <c r="R676" s="3"/>
      <c r="S676" s="3"/>
      <c r="T676" s="3"/>
      <c r="U676" s="3"/>
      <c r="V676" s="3"/>
      <c r="W676" s="3"/>
      <c r="X676" s="3"/>
      <c r="Y676" s="3"/>
      <c r="Z676" s="3"/>
    </row>
    <row r="677" ht="15.75" customHeight="1">
      <c r="C677" s="2"/>
      <c r="R677" s="3"/>
      <c r="S677" s="3"/>
      <c r="T677" s="3"/>
      <c r="U677" s="3"/>
      <c r="V677" s="3"/>
      <c r="W677" s="3"/>
      <c r="X677" s="3"/>
      <c r="Y677" s="3"/>
      <c r="Z677" s="3"/>
    </row>
    <row r="678" ht="15.75" customHeight="1">
      <c r="C678" s="2"/>
      <c r="R678" s="3"/>
      <c r="S678" s="3"/>
      <c r="T678" s="3"/>
      <c r="U678" s="3"/>
      <c r="V678" s="3"/>
      <c r="W678" s="3"/>
      <c r="X678" s="3"/>
      <c r="Y678" s="3"/>
      <c r="Z678" s="3"/>
    </row>
    <row r="679" ht="15.75" customHeight="1">
      <c r="C679" s="2"/>
      <c r="R679" s="3"/>
      <c r="S679" s="3"/>
      <c r="T679" s="3"/>
      <c r="U679" s="3"/>
      <c r="V679" s="3"/>
      <c r="W679" s="3"/>
      <c r="X679" s="3"/>
      <c r="Y679" s="3"/>
      <c r="Z679" s="3"/>
    </row>
    <row r="680" ht="15.75" customHeight="1">
      <c r="C680" s="2"/>
      <c r="R680" s="3"/>
      <c r="S680" s="3"/>
      <c r="T680" s="3"/>
      <c r="U680" s="3"/>
      <c r="V680" s="3"/>
      <c r="W680" s="3"/>
      <c r="X680" s="3"/>
      <c r="Y680" s="3"/>
      <c r="Z680" s="3"/>
    </row>
    <row r="681" ht="15.75" customHeight="1">
      <c r="C681" s="2"/>
      <c r="R681" s="3"/>
      <c r="S681" s="3"/>
      <c r="T681" s="3"/>
      <c r="U681" s="3"/>
      <c r="V681" s="3"/>
      <c r="W681" s="3"/>
      <c r="X681" s="3"/>
      <c r="Y681" s="3"/>
      <c r="Z681" s="3"/>
    </row>
    <row r="682" ht="15.75" customHeight="1">
      <c r="C682" s="2"/>
      <c r="R682" s="3"/>
      <c r="S682" s="3"/>
      <c r="T682" s="3"/>
      <c r="U682" s="3"/>
      <c r="V682" s="3"/>
      <c r="W682" s="3"/>
      <c r="X682" s="3"/>
      <c r="Y682" s="3"/>
      <c r="Z682" s="3"/>
    </row>
    <row r="683" ht="15.75" customHeight="1">
      <c r="C683" s="2"/>
      <c r="R683" s="3"/>
      <c r="S683" s="3"/>
      <c r="T683" s="3"/>
      <c r="U683" s="3"/>
      <c r="V683" s="3"/>
      <c r="W683" s="3"/>
      <c r="X683" s="3"/>
      <c r="Y683" s="3"/>
      <c r="Z683" s="3"/>
    </row>
    <row r="684" ht="15.75" customHeight="1">
      <c r="C684" s="2"/>
      <c r="R684" s="3"/>
      <c r="S684" s="3"/>
      <c r="T684" s="3"/>
      <c r="U684" s="3"/>
      <c r="V684" s="3"/>
      <c r="W684" s="3"/>
      <c r="X684" s="3"/>
      <c r="Y684" s="3"/>
      <c r="Z684" s="3"/>
    </row>
    <row r="685" ht="15.75" customHeight="1">
      <c r="C685" s="2"/>
      <c r="R685" s="3"/>
      <c r="S685" s="3"/>
      <c r="T685" s="3"/>
      <c r="U685" s="3"/>
      <c r="V685" s="3"/>
      <c r="W685" s="3"/>
      <c r="X685" s="3"/>
      <c r="Y685" s="3"/>
      <c r="Z685" s="3"/>
    </row>
    <row r="686" ht="15.75" customHeight="1">
      <c r="C686" s="2"/>
      <c r="R686" s="3"/>
      <c r="S686" s="3"/>
      <c r="T686" s="3"/>
      <c r="U686" s="3"/>
      <c r="V686" s="3"/>
      <c r="W686" s="3"/>
      <c r="X686" s="3"/>
      <c r="Y686" s="3"/>
      <c r="Z686" s="3"/>
    </row>
    <row r="687" ht="15.75" customHeight="1">
      <c r="C687" s="2"/>
      <c r="R687" s="3"/>
      <c r="S687" s="3"/>
      <c r="T687" s="3"/>
      <c r="U687" s="3"/>
      <c r="V687" s="3"/>
      <c r="W687" s="3"/>
      <c r="X687" s="3"/>
      <c r="Y687" s="3"/>
      <c r="Z687" s="3"/>
    </row>
    <row r="688" ht="15.75" customHeight="1">
      <c r="C688" s="2"/>
      <c r="R688" s="3"/>
      <c r="S688" s="3"/>
      <c r="T688" s="3"/>
      <c r="U688" s="3"/>
      <c r="V688" s="3"/>
      <c r="W688" s="3"/>
      <c r="X688" s="3"/>
      <c r="Y688" s="3"/>
      <c r="Z688" s="3"/>
    </row>
    <row r="689" ht="15.75" customHeight="1">
      <c r="C689" s="2"/>
      <c r="R689" s="3"/>
      <c r="S689" s="3"/>
      <c r="T689" s="3"/>
      <c r="U689" s="3"/>
      <c r="V689" s="3"/>
      <c r="W689" s="3"/>
      <c r="X689" s="3"/>
      <c r="Y689" s="3"/>
      <c r="Z689" s="3"/>
    </row>
    <row r="690" ht="15.75" customHeight="1">
      <c r="C690" s="2"/>
      <c r="R690" s="3"/>
      <c r="S690" s="3"/>
      <c r="T690" s="3"/>
      <c r="U690" s="3"/>
      <c r="V690" s="3"/>
      <c r="W690" s="3"/>
      <c r="X690" s="3"/>
      <c r="Y690" s="3"/>
      <c r="Z690" s="3"/>
    </row>
    <row r="691" ht="15.75" customHeight="1">
      <c r="C691" s="2"/>
      <c r="R691" s="3"/>
      <c r="S691" s="3"/>
      <c r="T691" s="3"/>
      <c r="U691" s="3"/>
      <c r="V691" s="3"/>
      <c r="W691" s="3"/>
      <c r="X691" s="3"/>
      <c r="Y691" s="3"/>
      <c r="Z691" s="3"/>
    </row>
    <row r="692" ht="15.75" customHeight="1">
      <c r="C692" s="2"/>
      <c r="R692" s="3"/>
      <c r="S692" s="3"/>
      <c r="T692" s="3"/>
      <c r="U692" s="3"/>
      <c r="V692" s="3"/>
      <c r="W692" s="3"/>
      <c r="X692" s="3"/>
      <c r="Y692" s="3"/>
      <c r="Z692" s="3"/>
    </row>
    <row r="693" ht="15.75" customHeight="1">
      <c r="C693" s="2"/>
      <c r="R693" s="3"/>
      <c r="S693" s="3"/>
      <c r="T693" s="3"/>
      <c r="U693" s="3"/>
      <c r="V693" s="3"/>
      <c r="W693" s="3"/>
      <c r="X693" s="3"/>
      <c r="Y693" s="3"/>
      <c r="Z693" s="3"/>
    </row>
    <row r="694" ht="15.75" customHeight="1">
      <c r="C694" s="2"/>
      <c r="R694" s="3"/>
      <c r="S694" s="3"/>
      <c r="T694" s="3"/>
      <c r="U694" s="3"/>
      <c r="V694" s="3"/>
      <c r="W694" s="3"/>
      <c r="X694" s="3"/>
      <c r="Y694" s="3"/>
      <c r="Z694" s="3"/>
    </row>
    <row r="695" ht="15.75" customHeight="1">
      <c r="C695" s="2"/>
      <c r="R695" s="3"/>
      <c r="S695" s="3"/>
      <c r="T695" s="3"/>
      <c r="U695" s="3"/>
      <c r="V695" s="3"/>
      <c r="W695" s="3"/>
      <c r="X695" s="3"/>
      <c r="Y695" s="3"/>
      <c r="Z695" s="3"/>
    </row>
    <row r="696" ht="15.75" customHeight="1">
      <c r="C696" s="2"/>
      <c r="R696" s="3"/>
      <c r="S696" s="3"/>
      <c r="T696" s="3"/>
      <c r="U696" s="3"/>
      <c r="V696" s="3"/>
      <c r="W696" s="3"/>
      <c r="X696" s="3"/>
      <c r="Y696" s="3"/>
      <c r="Z696" s="3"/>
    </row>
    <row r="697" ht="15.75" customHeight="1">
      <c r="C697" s="2"/>
      <c r="R697" s="3"/>
      <c r="S697" s="3"/>
      <c r="T697" s="3"/>
      <c r="U697" s="3"/>
      <c r="V697" s="3"/>
      <c r="W697" s="3"/>
      <c r="X697" s="3"/>
      <c r="Y697" s="3"/>
      <c r="Z697" s="3"/>
    </row>
    <row r="698" ht="15.75" customHeight="1">
      <c r="C698" s="2"/>
      <c r="R698" s="3"/>
      <c r="S698" s="3"/>
      <c r="T698" s="3"/>
      <c r="U698" s="3"/>
      <c r="V698" s="3"/>
      <c r="W698" s="3"/>
      <c r="X698" s="3"/>
      <c r="Y698" s="3"/>
      <c r="Z698" s="3"/>
    </row>
    <row r="699" ht="15.75" customHeight="1">
      <c r="C699" s="2"/>
      <c r="R699" s="3"/>
      <c r="S699" s="3"/>
      <c r="T699" s="3"/>
      <c r="U699" s="3"/>
      <c r="V699" s="3"/>
      <c r="W699" s="3"/>
      <c r="X699" s="3"/>
      <c r="Y699" s="3"/>
      <c r="Z699" s="3"/>
    </row>
    <row r="700" ht="15.75" customHeight="1">
      <c r="C700" s="2"/>
      <c r="R700" s="3"/>
      <c r="S700" s="3"/>
      <c r="T700" s="3"/>
      <c r="U700" s="3"/>
      <c r="V700" s="3"/>
      <c r="W700" s="3"/>
      <c r="X700" s="3"/>
      <c r="Y700" s="3"/>
      <c r="Z700" s="3"/>
    </row>
    <row r="701" ht="15.75" customHeight="1">
      <c r="C701" s="2"/>
      <c r="R701" s="3"/>
      <c r="S701" s="3"/>
      <c r="T701" s="3"/>
      <c r="U701" s="3"/>
      <c r="V701" s="3"/>
      <c r="W701" s="3"/>
      <c r="X701" s="3"/>
      <c r="Y701" s="3"/>
      <c r="Z701" s="3"/>
    </row>
    <row r="702" ht="15.75" customHeight="1">
      <c r="C702" s="2"/>
      <c r="R702" s="3"/>
      <c r="S702" s="3"/>
      <c r="T702" s="3"/>
      <c r="U702" s="3"/>
      <c r="V702" s="3"/>
      <c r="W702" s="3"/>
      <c r="X702" s="3"/>
      <c r="Y702" s="3"/>
      <c r="Z702" s="3"/>
    </row>
    <row r="703" ht="15.75" customHeight="1">
      <c r="C703" s="2"/>
      <c r="R703" s="3"/>
      <c r="S703" s="3"/>
      <c r="T703" s="3"/>
      <c r="U703" s="3"/>
      <c r="V703" s="3"/>
      <c r="W703" s="3"/>
      <c r="X703" s="3"/>
      <c r="Y703" s="3"/>
      <c r="Z703" s="3"/>
    </row>
    <row r="704" ht="15.75" customHeight="1">
      <c r="C704" s="2"/>
      <c r="R704" s="3"/>
      <c r="S704" s="3"/>
      <c r="T704" s="3"/>
      <c r="U704" s="3"/>
      <c r="V704" s="3"/>
      <c r="W704" s="3"/>
      <c r="X704" s="3"/>
      <c r="Y704" s="3"/>
      <c r="Z704" s="3"/>
    </row>
    <row r="705" ht="15.75" customHeight="1">
      <c r="C705" s="2"/>
      <c r="R705" s="3"/>
      <c r="S705" s="3"/>
      <c r="T705" s="3"/>
      <c r="U705" s="3"/>
      <c r="V705" s="3"/>
      <c r="W705" s="3"/>
      <c r="X705" s="3"/>
      <c r="Y705" s="3"/>
      <c r="Z705" s="3"/>
    </row>
    <row r="706" ht="15.75" customHeight="1">
      <c r="C706" s="2"/>
      <c r="R706" s="3"/>
      <c r="S706" s="3"/>
      <c r="T706" s="3"/>
      <c r="U706" s="3"/>
      <c r="V706" s="3"/>
      <c r="W706" s="3"/>
      <c r="X706" s="3"/>
      <c r="Y706" s="3"/>
      <c r="Z706" s="3"/>
    </row>
    <row r="707" ht="15.75" customHeight="1">
      <c r="C707" s="2"/>
      <c r="R707" s="3"/>
      <c r="S707" s="3"/>
      <c r="T707" s="3"/>
      <c r="U707" s="3"/>
      <c r="V707" s="3"/>
      <c r="W707" s="3"/>
      <c r="X707" s="3"/>
      <c r="Y707" s="3"/>
      <c r="Z707" s="3"/>
    </row>
    <row r="708" ht="15.75" customHeight="1">
      <c r="C708" s="2"/>
      <c r="R708" s="3"/>
      <c r="S708" s="3"/>
      <c r="T708" s="3"/>
      <c r="U708" s="3"/>
      <c r="V708" s="3"/>
      <c r="W708" s="3"/>
      <c r="X708" s="3"/>
      <c r="Y708" s="3"/>
      <c r="Z708" s="3"/>
    </row>
    <row r="709" ht="15.75" customHeight="1">
      <c r="C709" s="2"/>
      <c r="R709" s="3"/>
      <c r="S709" s="3"/>
      <c r="T709" s="3"/>
      <c r="U709" s="3"/>
      <c r="V709" s="3"/>
      <c r="W709" s="3"/>
      <c r="X709" s="3"/>
      <c r="Y709" s="3"/>
      <c r="Z709" s="3"/>
    </row>
    <row r="710" ht="15.75" customHeight="1">
      <c r="C710" s="2"/>
      <c r="R710" s="3"/>
      <c r="S710" s="3"/>
      <c r="T710" s="3"/>
      <c r="U710" s="3"/>
      <c r="V710" s="3"/>
      <c r="W710" s="3"/>
      <c r="X710" s="3"/>
      <c r="Y710" s="3"/>
      <c r="Z710" s="3"/>
    </row>
    <row r="711" ht="15.75" customHeight="1">
      <c r="C711" s="2"/>
      <c r="R711" s="3"/>
      <c r="S711" s="3"/>
      <c r="T711" s="3"/>
      <c r="U711" s="3"/>
      <c r="V711" s="3"/>
      <c r="W711" s="3"/>
      <c r="X711" s="3"/>
      <c r="Y711" s="3"/>
      <c r="Z711" s="3"/>
    </row>
    <row r="712" ht="15.75" customHeight="1">
      <c r="C712" s="2"/>
      <c r="R712" s="3"/>
      <c r="S712" s="3"/>
      <c r="T712" s="3"/>
      <c r="U712" s="3"/>
      <c r="V712" s="3"/>
      <c r="W712" s="3"/>
      <c r="X712" s="3"/>
      <c r="Y712" s="3"/>
      <c r="Z712" s="3"/>
    </row>
    <row r="713" ht="15.75" customHeight="1">
      <c r="C713" s="2"/>
      <c r="R713" s="3"/>
      <c r="S713" s="3"/>
      <c r="T713" s="3"/>
      <c r="U713" s="3"/>
      <c r="V713" s="3"/>
      <c r="W713" s="3"/>
      <c r="X713" s="3"/>
      <c r="Y713" s="3"/>
      <c r="Z713" s="3"/>
    </row>
    <row r="714" ht="15.75" customHeight="1">
      <c r="C714" s="2"/>
      <c r="R714" s="3"/>
      <c r="S714" s="3"/>
      <c r="T714" s="3"/>
      <c r="U714" s="3"/>
      <c r="V714" s="3"/>
      <c r="W714" s="3"/>
      <c r="X714" s="3"/>
      <c r="Y714" s="3"/>
      <c r="Z714" s="3"/>
    </row>
    <row r="715" ht="15.75" customHeight="1">
      <c r="C715" s="2"/>
      <c r="R715" s="3"/>
      <c r="S715" s="3"/>
      <c r="T715" s="3"/>
      <c r="U715" s="3"/>
      <c r="V715" s="3"/>
      <c r="W715" s="3"/>
      <c r="X715" s="3"/>
      <c r="Y715" s="3"/>
      <c r="Z715" s="3"/>
    </row>
    <row r="716" ht="15.75" customHeight="1">
      <c r="C716" s="2"/>
      <c r="R716" s="3"/>
      <c r="S716" s="3"/>
      <c r="T716" s="3"/>
      <c r="U716" s="3"/>
      <c r="V716" s="3"/>
      <c r="W716" s="3"/>
      <c r="X716" s="3"/>
      <c r="Y716" s="3"/>
      <c r="Z716" s="3"/>
    </row>
    <row r="717" ht="15.75" customHeight="1">
      <c r="C717" s="2"/>
      <c r="R717" s="3"/>
      <c r="S717" s="3"/>
      <c r="T717" s="3"/>
      <c r="U717" s="3"/>
      <c r="V717" s="3"/>
      <c r="W717" s="3"/>
      <c r="X717" s="3"/>
      <c r="Y717" s="3"/>
      <c r="Z717" s="3"/>
    </row>
    <row r="718" ht="15.75" customHeight="1">
      <c r="C718" s="2"/>
      <c r="R718" s="3"/>
      <c r="S718" s="3"/>
      <c r="T718" s="3"/>
      <c r="U718" s="3"/>
      <c r="V718" s="3"/>
      <c r="W718" s="3"/>
      <c r="X718" s="3"/>
      <c r="Y718" s="3"/>
      <c r="Z718" s="3"/>
    </row>
    <row r="719" ht="15.75" customHeight="1">
      <c r="C719" s="2"/>
      <c r="R719" s="3"/>
      <c r="S719" s="3"/>
      <c r="T719" s="3"/>
      <c r="U719" s="3"/>
      <c r="V719" s="3"/>
      <c r="W719" s="3"/>
      <c r="X719" s="3"/>
      <c r="Y719" s="3"/>
      <c r="Z719" s="3"/>
    </row>
    <row r="720" ht="15.75" customHeight="1">
      <c r="C720" s="2"/>
      <c r="R720" s="3"/>
      <c r="S720" s="3"/>
      <c r="T720" s="3"/>
      <c r="U720" s="3"/>
      <c r="V720" s="3"/>
      <c r="W720" s="3"/>
      <c r="X720" s="3"/>
      <c r="Y720" s="3"/>
      <c r="Z720" s="3"/>
    </row>
    <row r="721" ht="15.75" customHeight="1">
      <c r="C721" s="2"/>
      <c r="R721" s="3"/>
      <c r="S721" s="3"/>
      <c r="T721" s="3"/>
      <c r="U721" s="3"/>
      <c r="V721" s="3"/>
      <c r="W721" s="3"/>
      <c r="X721" s="3"/>
      <c r="Y721" s="3"/>
      <c r="Z721" s="3"/>
    </row>
    <row r="722" ht="15.75" customHeight="1">
      <c r="C722" s="2"/>
      <c r="R722" s="3"/>
      <c r="S722" s="3"/>
      <c r="T722" s="3"/>
      <c r="U722" s="3"/>
      <c r="V722" s="3"/>
      <c r="W722" s="3"/>
      <c r="X722" s="3"/>
      <c r="Y722" s="3"/>
      <c r="Z722" s="3"/>
    </row>
    <row r="723" ht="15.75" customHeight="1">
      <c r="C723" s="2"/>
      <c r="R723" s="3"/>
      <c r="S723" s="3"/>
      <c r="T723" s="3"/>
      <c r="U723" s="3"/>
      <c r="V723" s="3"/>
      <c r="W723" s="3"/>
      <c r="X723" s="3"/>
      <c r="Y723" s="3"/>
      <c r="Z723" s="3"/>
    </row>
    <row r="724" ht="15.75" customHeight="1">
      <c r="C724" s="2"/>
      <c r="R724" s="3"/>
      <c r="S724" s="3"/>
      <c r="T724" s="3"/>
      <c r="U724" s="3"/>
      <c r="V724" s="3"/>
      <c r="W724" s="3"/>
      <c r="X724" s="3"/>
      <c r="Y724" s="3"/>
      <c r="Z724" s="3"/>
    </row>
    <row r="725" ht="15.75" customHeight="1">
      <c r="C725" s="2"/>
      <c r="R725" s="3"/>
      <c r="S725" s="3"/>
      <c r="T725" s="3"/>
      <c r="U725" s="3"/>
      <c r="V725" s="3"/>
      <c r="W725" s="3"/>
      <c r="X725" s="3"/>
      <c r="Y725" s="3"/>
      <c r="Z725" s="3"/>
    </row>
    <row r="726" ht="15.75" customHeight="1">
      <c r="C726" s="2"/>
      <c r="R726" s="3"/>
      <c r="S726" s="3"/>
      <c r="T726" s="3"/>
      <c r="U726" s="3"/>
      <c r="V726" s="3"/>
      <c r="W726" s="3"/>
      <c r="X726" s="3"/>
      <c r="Y726" s="3"/>
      <c r="Z726" s="3"/>
    </row>
    <row r="727" ht="15.75" customHeight="1">
      <c r="C727" s="2"/>
      <c r="R727" s="3"/>
      <c r="S727" s="3"/>
      <c r="T727" s="3"/>
      <c r="U727" s="3"/>
      <c r="V727" s="3"/>
      <c r="W727" s="3"/>
      <c r="X727" s="3"/>
      <c r="Y727" s="3"/>
      <c r="Z727" s="3"/>
    </row>
    <row r="728" ht="15.75" customHeight="1">
      <c r="C728" s="2"/>
      <c r="R728" s="3"/>
      <c r="S728" s="3"/>
      <c r="T728" s="3"/>
      <c r="U728" s="3"/>
      <c r="V728" s="3"/>
      <c r="W728" s="3"/>
      <c r="X728" s="3"/>
      <c r="Y728" s="3"/>
      <c r="Z728" s="3"/>
    </row>
    <row r="729" ht="15.75" customHeight="1">
      <c r="C729" s="2"/>
      <c r="R729" s="3"/>
      <c r="S729" s="3"/>
      <c r="T729" s="3"/>
      <c r="U729" s="3"/>
      <c r="V729" s="3"/>
      <c r="W729" s="3"/>
      <c r="X729" s="3"/>
      <c r="Y729" s="3"/>
      <c r="Z729" s="3"/>
    </row>
    <row r="730" ht="15.75" customHeight="1">
      <c r="C730" s="2"/>
      <c r="R730" s="3"/>
      <c r="S730" s="3"/>
      <c r="T730" s="3"/>
      <c r="U730" s="3"/>
      <c r="V730" s="3"/>
      <c r="W730" s="3"/>
      <c r="X730" s="3"/>
      <c r="Y730" s="3"/>
      <c r="Z730" s="3"/>
    </row>
    <row r="731" ht="15.75" customHeight="1">
      <c r="C731" s="2"/>
      <c r="R731" s="3"/>
      <c r="S731" s="3"/>
      <c r="T731" s="3"/>
      <c r="U731" s="3"/>
      <c r="V731" s="3"/>
      <c r="W731" s="3"/>
      <c r="X731" s="3"/>
      <c r="Y731" s="3"/>
      <c r="Z731" s="3"/>
    </row>
    <row r="732" ht="15.75" customHeight="1">
      <c r="C732" s="2"/>
      <c r="R732" s="3"/>
      <c r="S732" s="3"/>
      <c r="T732" s="3"/>
      <c r="U732" s="3"/>
      <c r="V732" s="3"/>
      <c r="W732" s="3"/>
      <c r="X732" s="3"/>
      <c r="Y732" s="3"/>
      <c r="Z732" s="3"/>
    </row>
    <row r="733" ht="15.75" customHeight="1">
      <c r="C733" s="2"/>
      <c r="R733" s="3"/>
      <c r="S733" s="3"/>
      <c r="T733" s="3"/>
      <c r="U733" s="3"/>
      <c r="V733" s="3"/>
      <c r="W733" s="3"/>
      <c r="X733" s="3"/>
      <c r="Y733" s="3"/>
      <c r="Z733" s="3"/>
    </row>
    <row r="734" ht="15.75" customHeight="1">
      <c r="C734" s="2"/>
      <c r="R734" s="3"/>
      <c r="S734" s="3"/>
      <c r="T734" s="3"/>
      <c r="U734" s="3"/>
      <c r="V734" s="3"/>
      <c r="W734" s="3"/>
      <c r="X734" s="3"/>
      <c r="Y734" s="3"/>
      <c r="Z734" s="3"/>
    </row>
    <row r="735" ht="15.75" customHeight="1">
      <c r="C735" s="2"/>
      <c r="R735" s="3"/>
      <c r="S735" s="3"/>
      <c r="T735" s="3"/>
      <c r="U735" s="3"/>
      <c r="V735" s="3"/>
      <c r="W735" s="3"/>
      <c r="X735" s="3"/>
      <c r="Y735" s="3"/>
      <c r="Z735" s="3"/>
    </row>
    <row r="736" ht="15.75" customHeight="1">
      <c r="C736" s="2"/>
      <c r="R736" s="3"/>
      <c r="S736" s="3"/>
      <c r="T736" s="3"/>
      <c r="U736" s="3"/>
      <c r="V736" s="3"/>
      <c r="W736" s="3"/>
      <c r="X736" s="3"/>
      <c r="Y736" s="3"/>
      <c r="Z736" s="3"/>
    </row>
    <row r="737" ht="15.75" customHeight="1">
      <c r="C737" s="2"/>
      <c r="R737" s="3"/>
      <c r="S737" s="3"/>
      <c r="T737" s="3"/>
      <c r="U737" s="3"/>
      <c r="V737" s="3"/>
      <c r="W737" s="3"/>
      <c r="X737" s="3"/>
      <c r="Y737" s="3"/>
      <c r="Z737" s="3"/>
    </row>
    <row r="738" ht="15.75" customHeight="1">
      <c r="C738" s="2"/>
      <c r="R738" s="3"/>
      <c r="S738" s="3"/>
      <c r="T738" s="3"/>
      <c r="U738" s="3"/>
      <c r="V738" s="3"/>
      <c r="W738" s="3"/>
      <c r="X738" s="3"/>
      <c r="Y738" s="3"/>
      <c r="Z738" s="3"/>
    </row>
    <row r="739" ht="15.75" customHeight="1">
      <c r="C739" s="2"/>
      <c r="R739" s="3"/>
      <c r="S739" s="3"/>
      <c r="T739" s="3"/>
      <c r="U739" s="3"/>
      <c r="V739" s="3"/>
      <c r="W739" s="3"/>
      <c r="X739" s="3"/>
      <c r="Y739" s="3"/>
      <c r="Z739" s="3"/>
    </row>
    <row r="740" ht="15.75" customHeight="1">
      <c r="C740" s="2"/>
      <c r="R740" s="3"/>
      <c r="S740" s="3"/>
      <c r="T740" s="3"/>
      <c r="U740" s="3"/>
      <c r="V740" s="3"/>
      <c r="W740" s="3"/>
      <c r="X740" s="3"/>
      <c r="Y740" s="3"/>
      <c r="Z740" s="3"/>
    </row>
    <row r="741" ht="15.75" customHeight="1">
      <c r="C741" s="2"/>
      <c r="R741" s="3"/>
      <c r="S741" s="3"/>
      <c r="T741" s="3"/>
      <c r="U741" s="3"/>
      <c r="V741" s="3"/>
      <c r="W741" s="3"/>
      <c r="X741" s="3"/>
      <c r="Y741" s="3"/>
      <c r="Z741" s="3"/>
    </row>
    <row r="742" ht="15.75" customHeight="1">
      <c r="C742" s="2"/>
      <c r="R742" s="3"/>
      <c r="S742" s="3"/>
      <c r="T742" s="3"/>
      <c r="U742" s="3"/>
      <c r="V742" s="3"/>
      <c r="W742" s="3"/>
      <c r="X742" s="3"/>
      <c r="Y742" s="3"/>
      <c r="Z742" s="3"/>
    </row>
    <row r="743" ht="15.75" customHeight="1">
      <c r="C743" s="2"/>
      <c r="R743" s="3"/>
      <c r="S743" s="3"/>
      <c r="T743" s="3"/>
      <c r="U743" s="3"/>
      <c r="V743" s="3"/>
      <c r="W743" s="3"/>
      <c r="X743" s="3"/>
      <c r="Y743" s="3"/>
      <c r="Z743" s="3"/>
    </row>
    <row r="744" ht="15.75" customHeight="1">
      <c r="C744" s="2"/>
      <c r="R744" s="3"/>
      <c r="S744" s="3"/>
      <c r="T744" s="3"/>
      <c r="U744" s="3"/>
      <c r="V744" s="3"/>
      <c r="W744" s="3"/>
      <c r="X744" s="3"/>
      <c r="Y744" s="3"/>
      <c r="Z744" s="3"/>
    </row>
    <row r="745" ht="15.75" customHeight="1">
      <c r="C745" s="2"/>
      <c r="R745" s="3"/>
      <c r="S745" s="3"/>
      <c r="T745" s="3"/>
      <c r="U745" s="3"/>
      <c r="V745" s="3"/>
      <c r="W745" s="3"/>
      <c r="X745" s="3"/>
      <c r="Y745" s="3"/>
      <c r="Z745" s="3"/>
    </row>
    <row r="746" ht="15.75" customHeight="1">
      <c r="C746" s="2"/>
      <c r="R746" s="3"/>
      <c r="S746" s="3"/>
      <c r="T746" s="3"/>
      <c r="U746" s="3"/>
      <c r="V746" s="3"/>
      <c r="W746" s="3"/>
      <c r="X746" s="3"/>
      <c r="Y746" s="3"/>
      <c r="Z746" s="3"/>
    </row>
    <row r="747" ht="15.75" customHeight="1">
      <c r="C747" s="2"/>
      <c r="R747" s="3"/>
      <c r="S747" s="3"/>
      <c r="T747" s="3"/>
      <c r="U747" s="3"/>
      <c r="V747" s="3"/>
      <c r="W747" s="3"/>
      <c r="X747" s="3"/>
      <c r="Y747" s="3"/>
      <c r="Z747" s="3"/>
    </row>
    <row r="748" ht="15.75" customHeight="1">
      <c r="C748" s="2"/>
      <c r="R748" s="3"/>
      <c r="S748" s="3"/>
      <c r="T748" s="3"/>
      <c r="U748" s="3"/>
      <c r="V748" s="3"/>
      <c r="W748" s="3"/>
      <c r="X748" s="3"/>
      <c r="Y748" s="3"/>
      <c r="Z748" s="3"/>
    </row>
    <row r="749" ht="15.75" customHeight="1">
      <c r="C749" s="2"/>
      <c r="R749" s="3"/>
      <c r="S749" s="3"/>
      <c r="T749" s="3"/>
      <c r="U749" s="3"/>
      <c r="V749" s="3"/>
      <c r="W749" s="3"/>
      <c r="X749" s="3"/>
      <c r="Y749" s="3"/>
      <c r="Z749" s="3"/>
    </row>
    <row r="750" ht="15.75" customHeight="1">
      <c r="C750" s="2"/>
      <c r="R750" s="3"/>
      <c r="S750" s="3"/>
      <c r="T750" s="3"/>
      <c r="U750" s="3"/>
      <c r="V750" s="3"/>
      <c r="W750" s="3"/>
      <c r="X750" s="3"/>
      <c r="Y750" s="3"/>
      <c r="Z750" s="3"/>
    </row>
    <row r="751" ht="15.75" customHeight="1">
      <c r="C751" s="2"/>
      <c r="R751" s="3"/>
      <c r="S751" s="3"/>
      <c r="T751" s="3"/>
      <c r="U751" s="3"/>
      <c r="V751" s="3"/>
      <c r="W751" s="3"/>
      <c r="X751" s="3"/>
      <c r="Y751" s="3"/>
      <c r="Z751" s="3"/>
    </row>
    <row r="752" ht="15.75" customHeight="1">
      <c r="C752" s="2"/>
      <c r="R752" s="3"/>
      <c r="S752" s="3"/>
      <c r="T752" s="3"/>
      <c r="U752" s="3"/>
      <c r="V752" s="3"/>
      <c r="W752" s="3"/>
      <c r="X752" s="3"/>
      <c r="Y752" s="3"/>
      <c r="Z752" s="3"/>
    </row>
    <row r="753" ht="15.75" customHeight="1">
      <c r="C753" s="2"/>
      <c r="R753" s="3"/>
      <c r="S753" s="3"/>
      <c r="T753" s="3"/>
      <c r="U753" s="3"/>
      <c r="V753" s="3"/>
      <c r="W753" s="3"/>
      <c r="X753" s="3"/>
      <c r="Y753" s="3"/>
      <c r="Z753" s="3"/>
    </row>
    <row r="754" ht="15.75" customHeight="1">
      <c r="C754" s="2"/>
      <c r="R754" s="3"/>
      <c r="S754" s="3"/>
      <c r="T754" s="3"/>
      <c r="U754" s="3"/>
      <c r="V754" s="3"/>
      <c r="W754" s="3"/>
      <c r="X754" s="3"/>
      <c r="Y754" s="3"/>
      <c r="Z754" s="3"/>
    </row>
    <row r="755" ht="15.75" customHeight="1">
      <c r="C755" s="2"/>
      <c r="R755" s="3"/>
      <c r="S755" s="3"/>
      <c r="T755" s="3"/>
      <c r="U755" s="3"/>
      <c r="V755" s="3"/>
      <c r="W755" s="3"/>
      <c r="X755" s="3"/>
      <c r="Y755" s="3"/>
      <c r="Z755" s="3"/>
    </row>
    <row r="756" ht="15.75" customHeight="1">
      <c r="C756" s="2"/>
      <c r="R756" s="3"/>
      <c r="S756" s="3"/>
      <c r="T756" s="3"/>
      <c r="U756" s="3"/>
      <c r="V756" s="3"/>
      <c r="W756" s="3"/>
      <c r="X756" s="3"/>
      <c r="Y756" s="3"/>
      <c r="Z756" s="3"/>
    </row>
    <row r="757" ht="15.75" customHeight="1">
      <c r="C757" s="2"/>
      <c r="R757" s="3"/>
      <c r="S757" s="3"/>
      <c r="T757" s="3"/>
      <c r="U757" s="3"/>
      <c r="V757" s="3"/>
      <c r="W757" s="3"/>
      <c r="X757" s="3"/>
      <c r="Y757" s="3"/>
      <c r="Z757" s="3"/>
    </row>
    <row r="758" ht="15.75" customHeight="1">
      <c r="C758" s="2"/>
      <c r="R758" s="3"/>
      <c r="S758" s="3"/>
      <c r="T758" s="3"/>
      <c r="U758" s="3"/>
      <c r="V758" s="3"/>
      <c r="W758" s="3"/>
      <c r="X758" s="3"/>
      <c r="Y758" s="3"/>
      <c r="Z758" s="3"/>
    </row>
    <row r="759" ht="15.75" customHeight="1">
      <c r="C759" s="2"/>
      <c r="R759" s="3"/>
      <c r="S759" s="3"/>
      <c r="T759" s="3"/>
      <c r="U759" s="3"/>
      <c r="V759" s="3"/>
      <c r="W759" s="3"/>
      <c r="X759" s="3"/>
      <c r="Y759" s="3"/>
      <c r="Z759" s="3"/>
    </row>
    <row r="760" ht="15.75" customHeight="1">
      <c r="C760" s="2"/>
      <c r="R760" s="3"/>
      <c r="S760" s="3"/>
      <c r="T760" s="3"/>
      <c r="U760" s="3"/>
      <c r="V760" s="3"/>
      <c r="W760" s="3"/>
      <c r="X760" s="3"/>
      <c r="Y760" s="3"/>
      <c r="Z760" s="3"/>
    </row>
    <row r="761" ht="15.75" customHeight="1">
      <c r="C761" s="2"/>
      <c r="R761" s="3"/>
      <c r="S761" s="3"/>
      <c r="T761" s="3"/>
      <c r="U761" s="3"/>
      <c r="V761" s="3"/>
      <c r="W761" s="3"/>
      <c r="X761" s="3"/>
      <c r="Y761" s="3"/>
      <c r="Z761" s="3"/>
    </row>
    <row r="762" ht="15.75" customHeight="1">
      <c r="C762" s="2"/>
      <c r="R762" s="3"/>
      <c r="S762" s="3"/>
      <c r="T762" s="3"/>
      <c r="U762" s="3"/>
      <c r="V762" s="3"/>
      <c r="W762" s="3"/>
      <c r="X762" s="3"/>
      <c r="Y762" s="3"/>
      <c r="Z762" s="3"/>
    </row>
    <row r="763" ht="15.75" customHeight="1">
      <c r="C763" s="2"/>
      <c r="R763" s="3"/>
      <c r="S763" s="3"/>
      <c r="T763" s="3"/>
      <c r="U763" s="3"/>
      <c r="V763" s="3"/>
      <c r="W763" s="3"/>
      <c r="X763" s="3"/>
      <c r="Y763" s="3"/>
      <c r="Z763" s="3"/>
    </row>
    <row r="764" ht="15.75" customHeight="1">
      <c r="C764" s="2"/>
      <c r="R764" s="3"/>
      <c r="S764" s="3"/>
      <c r="T764" s="3"/>
      <c r="U764" s="3"/>
      <c r="V764" s="3"/>
      <c r="W764" s="3"/>
      <c r="X764" s="3"/>
      <c r="Y764" s="3"/>
      <c r="Z764" s="3"/>
    </row>
    <row r="765" ht="15.75" customHeight="1">
      <c r="C765" s="2"/>
      <c r="R765" s="3"/>
      <c r="S765" s="3"/>
      <c r="T765" s="3"/>
      <c r="U765" s="3"/>
      <c r="V765" s="3"/>
      <c r="W765" s="3"/>
      <c r="X765" s="3"/>
      <c r="Y765" s="3"/>
      <c r="Z765" s="3"/>
    </row>
    <row r="766" ht="15.75" customHeight="1">
      <c r="C766" s="2"/>
      <c r="R766" s="3"/>
      <c r="S766" s="3"/>
      <c r="T766" s="3"/>
      <c r="U766" s="3"/>
      <c r="V766" s="3"/>
      <c r="W766" s="3"/>
      <c r="X766" s="3"/>
      <c r="Y766" s="3"/>
      <c r="Z766" s="3"/>
    </row>
    <row r="767" ht="15.75" customHeight="1">
      <c r="C767" s="2"/>
      <c r="R767" s="3"/>
      <c r="S767" s="3"/>
      <c r="T767" s="3"/>
      <c r="U767" s="3"/>
      <c r="V767" s="3"/>
      <c r="W767" s="3"/>
      <c r="X767" s="3"/>
      <c r="Y767" s="3"/>
      <c r="Z767" s="3"/>
    </row>
    <row r="768" ht="15.75" customHeight="1">
      <c r="C768" s="2"/>
      <c r="R768" s="3"/>
      <c r="S768" s="3"/>
      <c r="T768" s="3"/>
      <c r="U768" s="3"/>
      <c r="V768" s="3"/>
      <c r="W768" s="3"/>
      <c r="X768" s="3"/>
      <c r="Y768" s="3"/>
      <c r="Z768" s="3"/>
    </row>
    <row r="769" ht="15.75" customHeight="1">
      <c r="C769" s="2"/>
      <c r="R769" s="3"/>
      <c r="S769" s="3"/>
      <c r="T769" s="3"/>
      <c r="U769" s="3"/>
      <c r="V769" s="3"/>
      <c r="W769" s="3"/>
      <c r="X769" s="3"/>
      <c r="Y769" s="3"/>
      <c r="Z769" s="3"/>
    </row>
    <row r="770" ht="15.75" customHeight="1">
      <c r="C770" s="2"/>
      <c r="R770" s="3"/>
      <c r="S770" s="3"/>
      <c r="T770" s="3"/>
      <c r="U770" s="3"/>
      <c r="V770" s="3"/>
      <c r="W770" s="3"/>
      <c r="X770" s="3"/>
      <c r="Y770" s="3"/>
      <c r="Z770" s="3"/>
    </row>
    <row r="771" ht="15.75" customHeight="1">
      <c r="C771" s="2"/>
      <c r="R771" s="3"/>
      <c r="S771" s="3"/>
      <c r="T771" s="3"/>
      <c r="U771" s="3"/>
      <c r="V771" s="3"/>
      <c r="W771" s="3"/>
      <c r="X771" s="3"/>
      <c r="Y771" s="3"/>
      <c r="Z771" s="3"/>
    </row>
    <row r="772" ht="15.75" customHeight="1">
      <c r="C772" s="2"/>
      <c r="R772" s="3"/>
      <c r="S772" s="3"/>
      <c r="T772" s="3"/>
      <c r="U772" s="3"/>
      <c r="V772" s="3"/>
      <c r="W772" s="3"/>
      <c r="X772" s="3"/>
      <c r="Y772" s="3"/>
      <c r="Z772" s="3"/>
    </row>
    <row r="773" ht="15.75" customHeight="1">
      <c r="C773" s="2"/>
      <c r="R773" s="3"/>
      <c r="S773" s="3"/>
      <c r="T773" s="3"/>
      <c r="U773" s="3"/>
      <c r="V773" s="3"/>
      <c r="W773" s="3"/>
      <c r="X773" s="3"/>
      <c r="Y773" s="3"/>
      <c r="Z773" s="3"/>
    </row>
    <row r="774" ht="15.75" customHeight="1">
      <c r="C774" s="2"/>
      <c r="R774" s="3"/>
      <c r="S774" s="3"/>
      <c r="T774" s="3"/>
      <c r="U774" s="3"/>
      <c r="V774" s="3"/>
      <c r="W774" s="3"/>
      <c r="X774" s="3"/>
      <c r="Y774" s="3"/>
      <c r="Z774" s="3"/>
    </row>
    <row r="775" ht="15.75" customHeight="1">
      <c r="C775" s="2"/>
      <c r="R775" s="3"/>
      <c r="S775" s="3"/>
      <c r="T775" s="3"/>
      <c r="U775" s="3"/>
      <c r="V775" s="3"/>
      <c r="W775" s="3"/>
      <c r="X775" s="3"/>
      <c r="Y775" s="3"/>
      <c r="Z775" s="3"/>
    </row>
    <row r="776" ht="15.75" customHeight="1">
      <c r="C776" s="2"/>
      <c r="R776" s="3"/>
      <c r="S776" s="3"/>
      <c r="T776" s="3"/>
      <c r="U776" s="3"/>
      <c r="V776" s="3"/>
      <c r="W776" s="3"/>
      <c r="X776" s="3"/>
      <c r="Y776" s="3"/>
      <c r="Z776" s="3"/>
    </row>
    <row r="777" ht="15.75" customHeight="1">
      <c r="C777" s="2"/>
      <c r="R777" s="3"/>
      <c r="S777" s="3"/>
      <c r="T777" s="3"/>
      <c r="U777" s="3"/>
      <c r="V777" s="3"/>
      <c r="W777" s="3"/>
      <c r="X777" s="3"/>
      <c r="Y777" s="3"/>
      <c r="Z777" s="3"/>
    </row>
    <row r="778" ht="15.75" customHeight="1">
      <c r="C778" s="2"/>
      <c r="R778" s="3"/>
      <c r="S778" s="3"/>
      <c r="T778" s="3"/>
      <c r="U778" s="3"/>
      <c r="V778" s="3"/>
      <c r="W778" s="3"/>
      <c r="X778" s="3"/>
      <c r="Y778" s="3"/>
      <c r="Z778" s="3"/>
    </row>
    <row r="779" ht="15.75" customHeight="1">
      <c r="C779" s="2"/>
      <c r="R779" s="3"/>
      <c r="S779" s="3"/>
      <c r="T779" s="3"/>
      <c r="U779" s="3"/>
      <c r="V779" s="3"/>
      <c r="W779" s="3"/>
      <c r="X779" s="3"/>
      <c r="Y779" s="3"/>
      <c r="Z779" s="3"/>
    </row>
    <row r="780" ht="15.75" customHeight="1">
      <c r="C780" s="2"/>
      <c r="R780" s="3"/>
      <c r="S780" s="3"/>
      <c r="T780" s="3"/>
      <c r="U780" s="3"/>
      <c r="V780" s="3"/>
      <c r="W780" s="3"/>
      <c r="X780" s="3"/>
      <c r="Y780" s="3"/>
      <c r="Z780" s="3"/>
    </row>
    <row r="781" ht="15.75" customHeight="1">
      <c r="C781" s="2"/>
      <c r="R781" s="3"/>
      <c r="S781" s="3"/>
      <c r="T781" s="3"/>
      <c r="U781" s="3"/>
      <c r="V781" s="3"/>
      <c r="W781" s="3"/>
      <c r="X781" s="3"/>
      <c r="Y781" s="3"/>
      <c r="Z781" s="3"/>
    </row>
    <row r="782" ht="15.75" customHeight="1">
      <c r="C782" s="2"/>
      <c r="R782" s="3"/>
      <c r="S782" s="3"/>
      <c r="T782" s="3"/>
      <c r="U782" s="3"/>
      <c r="V782" s="3"/>
      <c r="W782" s="3"/>
      <c r="X782" s="3"/>
      <c r="Y782" s="3"/>
      <c r="Z782" s="3"/>
    </row>
    <row r="783" ht="15.75" customHeight="1">
      <c r="C783" s="2"/>
      <c r="R783" s="3"/>
      <c r="S783" s="3"/>
      <c r="T783" s="3"/>
      <c r="U783" s="3"/>
      <c r="V783" s="3"/>
      <c r="W783" s="3"/>
      <c r="X783" s="3"/>
      <c r="Y783" s="3"/>
      <c r="Z783" s="3"/>
    </row>
    <row r="784" ht="15.75" customHeight="1">
      <c r="C784" s="2"/>
      <c r="R784" s="3"/>
      <c r="S784" s="3"/>
      <c r="T784" s="3"/>
      <c r="U784" s="3"/>
      <c r="V784" s="3"/>
      <c r="W784" s="3"/>
      <c r="X784" s="3"/>
      <c r="Y784" s="3"/>
      <c r="Z784" s="3"/>
    </row>
    <row r="785" ht="15.75" customHeight="1">
      <c r="C785" s="2"/>
      <c r="R785" s="3"/>
      <c r="S785" s="3"/>
      <c r="T785" s="3"/>
      <c r="U785" s="3"/>
      <c r="V785" s="3"/>
      <c r="W785" s="3"/>
      <c r="X785" s="3"/>
      <c r="Y785" s="3"/>
      <c r="Z785" s="3"/>
    </row>
    <row r="786" ht="15.75" customHeight="1">
      <c r="C786" s="2"/>
      <c r="R786" s="3"/>
      <c r="S786" s="3"/>
      <c r="T786" s="3"/>
      <c r="U786" s="3"/>
      <c r="V786" s="3"/>
      <c r="W786" s="3"/>
      <c r="X786" s="3"/>
      <c r="Y786" s="3"/>
      <c r="Z786" s="3"/>
    </row>
    <row r="787" ht="15.75" customHeight="1">
      <c r="C787" s="2"/>
      <c r="R787" s="3"/>
      <c r="S787" s="3"/>
      <c r="T787" s="3"/>
      <c r="U787" s="3"/>
      <c r="V787" s="3"/>
      <c r="W787" s="3"/>
      <c r="X787" s="3"/>
      <c r="Y787" s="3"/>
      <c r="Z787" s="3"/>
    </row>
    <row r="788" ht="15.75" customHeight="1">
      <c r="C788" s="2"/>
      <c r="R788" s="3"/>
      <c r="S788" s="3"/>
      <c r="T788" s="3"/>
      <c r="U788" s="3"/>
      <c r="V788" s="3"/>
      <c r="W788" s="3"/>
      <c r="X788" s="3"/>
      <c r="Y788" s="3"/>
      <c r="Z788" s="3"/>
    </row>
    <row r="789" ht="15.75" customHeight="1">
      <c r="C789" s="2"/>
      <c r="R789" s="3"/>
      <c r="S789" s="3"/>
      <c r="T789" s="3"/>
      <c r="U789" s="3"/>
      <c r="V789" s="3"/>
      <c r="W789" s="3"/>
      <c r="X789" s="3"/>
      <c r="Y789" s="3"/>
      <c r="Z789" s="3"/>
    </row>
    <row r="790" ht="15.75" customHeight="1">
      <c r="C790" s="2"/>
      <c r="R790" s="3"/>
      <c r="S790" s="3"/>
      <c r="T790" s="3"/>
      <c r="U790" s="3"/>
      <c r="V790" s="3"/>
      <c r="W790" s="3"/>
      <c r="X790" s="3"/>
      <c r="Y790" s="3"/>
      <c r="Z790" s="3"/>
    </row>
    <row r="791" ht="15.75" customHeight="1">
      <c r="C791" s="2"/>
      <c r="R791" s="3"/>
      <c r="S791" s="3"/>
      <c r="T791" s="3"/>
      <c r="U791" s="3"/>
      <c r="V791" s="3"/>
      <c r="W791" s="3"/>
      <c r="X791" s="3"/>
      <c r="Y791" s="3"/>
      <c r="Z791" s="3"/>
    </row>
    <row r="792" ht="15.75" customHeight="1">
      <c r="C792" s="2"/>
      <c r="R792" s="3"/>
      <c r="S792" s="3"/>
      <c r="T792" s="3"/>
      <c r="U792" s="3"/>
      <c r="V792" s="3"/>
      <c r="W792" s="3"/>
      <c r="X792" s="3"/>
      <c r="Y792" s="3"/>
      <c r="Z792" s="3"/>
    </row>
    <row r="793" ht="15.75" customHeight="1">
      <c r="C793" s="2"/>
      <c r="R793" s="3"/>
      <c r="S793" s="3"/>
      <c r="T793" s="3"/>
      <c r="U793" s="3"/>
      <c r="V793" s="3"/>
      <c r="W793" s="3"/>
      <c r="X793" s="3"/>
      <c r="Y793" s="3"/>
      <c r="Z793" s="3"/>
    </row>
    <row r="794" ht="15.75" customHeight="1">
      <c r="C794" s="2"/>
      <c r="R794" s="3"/>
      <c r="S794" s="3"/>
      <c r="T794" s="3"/>
      <c r="U794" s="3"/>
      <c r="V794" s="3"/>
      <c r="W794" s="3"/>
      <c r="X794" s="3"/>
      <c r="Y794" s="3"/>
      <c r="Z794" s="3"/>
    </row>
    <row r="795" ht="15.75" customHeight="1">
      <c r="C795" s="2"/>
      <c r="R795" s="3"/>
      <c r="S795" s="3"/>
      <c r="T795" s="3"/>
      <c r="U795" s="3"/>
      <c r="V795" s="3"/>
      <c r="W795" s="3"/>
      <c r="X795" s="3"/>
      <c r="Y795" s="3"/>
      <c r="Z795" s="3"/>
    </row>
    <row r="796" ht="15.75" customHeight="1">
      <c r="C796" s="2"/>
      <c r="R796" s="3"/>
      <c r="S796" s="3"/>
      <c r="T796" s="3"/>
      <c r="U796" s="3"/>
      <c r="V796" s="3"/>
      <c r="W796" s="3"/>
      <c r="X796" s="3"/>
      <c r="Y796" s="3"/>
      <c r="Z796" s="3"/>
    </row>
    <row r="797" ht="15.75" customHeight="1">
      <c r="C797" s="2"/>
      <c r="R797" s="3"/>
      <c r="S797" s="3"/>
      <c r="T797" s="3"/>
      <c r="U797" s="3"/>
      <c r="V797" s="3"/>
      <c r="W797" s="3"/>
      <c r="X797" s="3"/>
      <c r="Y797" s="3"/>
      <c r="Z797" s="3"/>
    </row>
    <row r="798" ht="15.75" customHeight="1">
      <c r="C798" s="2"/>
      <c r="R798" s="3"/>
      <c r="S798" s="3"/>
      <c r="T798" s="3"/>
      <c r="U798" s="3"/>
      <c r="V798" s="3"/>
      <c r="W798" s="3"/>
      <c r="X798" s="3"/>
      <c r="Y798" s="3"/>
      <c r="Z798" s="3"/>
    </row>
    <row r="799" ht="15.75" customHeight="1">
      <c r="C799" s="2"/>
      <c r="R799" s="3"/>
      <c r="S799" s="3"/>
      <c r="T799" s="3"/>
      <c r="U799" s="3"/>
      <c r="V799" s="3"/>
      <c r="W799" s="3"/>
      <c r="X799" s="3"/>
      <c r="Y799" s="3"/>
      <c r="Z799" s="3"/>
    </row>
    <row r="800" ht="15.75" customHeight="1">
      <c r="C800" s="2"/>
      <c r="R800" s="3"/>
      <c r="S800" s="3"/>
      <c r="T800" s="3"/>
      <c r="U800" s="3"/>
      <c r="V800" s="3"/>
      <c r="W800" s="3"/>
      <c r="X800" s="3"/>
      <c r="Y800" s="3"/>
      <c r="Z800" s="3"/>
    </row>
    <row r="801" ht="15.75" customHeight="1">
      <c r="C801" s="2"/>
      <c r="R801" s="3"/>
      <c r="S801" s="3"/>
      <c r="T801" s="3"/>
      <c r="U801" s="3"/>
      <c r="V801" s="3"/>
      <c r="W801" s="3"/>
      <c r="X801" s="3"/>
      <c r="Y801" s="3"/>
      <c r="Z801" s="3"/>
    </row>
    <row r="802" ht="15.75" customHeight="1">
      <c r="C802" s="2"/>
      <c r="R802" s="3"/>
      <c r="S802" s="3"/>
      <c r="T802" s="3"/>
      <c r="U802" s="3"/>
      <c r="V802" s="3"/>
      <c r="W802" s="3"/>
      <c r="X802" s="3"/>
      <c r="Y802" s="3"/>
      <c r="Z802" s="3"/>
    </row>
    <row r="803" ht="15.75" customHeight="1">
      <c r="C803" s="2"/>
      <c r="R803" s="3"/>
      <c r="S803" s="3"/>
      <c r="T803" s="3"/>
      <c r="U803" s="3"/>
      <c r="V803" s="3"/>
      <c r="W803" s="3"/>
      <c r="X803" s="3"/>
      <c r="Y803" s="3"/>
      <c r="Z803" s="3"/>
    </row>
    <row r="804" ht="15.75" customHeight="1">
      <c r="C804" s="2"/>
      <c r="R804" s="3"/>
      <c r="S804" s="3"/>
      <c r="T804" s="3"/>
      <c r="U804" s="3"/>
      <c r="V804" s="3"/>
      <c r="W804" s="3"/>
      <c r="X804" s="3"/>
      <c r="Y804" s="3"/>
      <c r="Z804" s="3"/>
    </row>
    <row r="805" ht="15.75" customHeight="1">
      <c r="C805" s="2"/>
      <c r="R805" s="3"/>
      <c r="S805" s="3"/>
      <c r="T805" s="3"/>
      <c r="U805" s="3"/>
      <c r="V805" s="3"/>
      <c r="W805" s="3"/>
      <c r="X805" s="3"/>
      <c r="Y805" s="3"/>
      <c r="Z805" s="3"/>
    </row>
    <row r="806" ht="15.75" customHeight="1">
      <c r="C806" s="2"/>
      <c r="R806" s="3"/>
      <c r="S806" s="3"/>
      <c r="T806" s="3"/>
      <c r="U806" s="3"/>
      <c r="V806" s="3"/>
      <c r="W806" s="3"/>
      <c r="X806" s="3"/>
      <c r="Y806" s="3"/>
      <c r="Z806" s="3"/>
    </row>
    <row r="807" ht="15.75" customHeight="1">
      <c r="C807" s="2"/>
      <c r="R807" s="3"/>
      <c r="S807" s="3"/>
      <c r="T807" s="3"/>
      <c r="U807" s="3"/>
      <c r="V807" s="3"/>
      <c r="W807" s="3"/>
      <c r="X807" s="3"/>
      <c r="Y807" s="3"/>
      <c r="Z807" s="3"/>
    </row>
    <row r="808" ht="15.75" customHeight="1">
      <c r="C808" s="2"/>
      <c r="R808" s="3"/>
      <c r="S808" s="3"/>
      <c r="T808" s="3"/>
      <c r="U808" s="3"/>
      <c r="V808" s="3"/>
      <c r="W808" s="3"/>
      <c r="X808" s="3"/>
      <c r="Y808" s="3"/>
      <c r="Z808" s="3"/>
    </row>
    <row r="809" ht="15.75" customHeight="1">
      <c r="C809" s="2"/>
      <c r="R809" s="3"/>
      <c r="S809" s="3"/>
      <c r="T809" s="3"/>
      <c r="U809" s="3"/>
      <c r="V809" s="3"/>
      <c r="W809" s="3"/>
      <c r="X809" s="3"/>
      <c r="Y809" s="3"/>
      <c r="Z809" s="3"/>
    </row>
    <row r="810" ht="15.75" customHeight="1">
      <c r="C810" s="2"/>
      <c r="R810" s="3"/>
      <c r="S810" s="3"/>
      <c r="T810" s="3"/>
      <c r="U810" s="3"/>
      <c r="V810" s="3"/>
      <c r="W810" s="3"/>
      <c r="X810" s="3"/>
      <c r="Y810" s="3"/>
      <c r="Z810" s="3"/>
    </row>
    <row r="811" ht="15.75" customHeight="1">
      <c r="C811" s="2"/>
      <c r="R811" s="3"/>
      <c r="S811" s="3"/>
      <c r="T811" s="3"/>
      <c r="U811" s="3"/>
      <c r="V811" s="3"/>
      <c r="W811" s="3"/>
      <c r="X811" s="3"/>
      <c r="Y811" s="3"/>
      <c r="Z811" s="3"/>
    </row>
    <row r="812" ht="15.75" customHeight="1">
      <c r="C812" s="2"/>
      <c r="R812" s="3"/>
      <c r="S812" s="3"/>
      <c r="T812" s="3"/>
      <c r="U812" s="3"/>
      <c r="V812" s="3"/>
      <c r="W812" s="3"/>
      <c r="X812" s="3"/>
      <c r="Y812" s="3"/>
      <c r="Z812" s="3"/>
    </row>
    <row r="813" ht="15.75" customHeight="1">
      <c r="C813" s="2"/>
      <c r="R813" s="3"/>
      <c r="S813" s="3"/>
      <c r="T813" s="3"/>
      <c r="U813" s="3"/>
      <c r="V813" s="3"/>
      <c r="W813" s="3"/>
      <c r="X813" s="3"/>
      <c r="Y813" s="3"/>
      <c r="Z813" s="3"/>
    </row>
    <row r="814" ht="15.75" customHeight="1">
      <c r="C814" s="2"/>
      <c r="R814" s="3"/>
      <c r="S814" s="3"/>
      <c r="T814" s="3"/>
      <c r="U814" s="3"/>
      <c r="V814" s="3"/>
      <c r="W814" s="3"/>
      <c r="X814" s="3"/>
      <c r="Y814" s="3"/>
      <c r="Z814" s="3"/>
    </row>
    <row r="815" ht="15.75" customHeight="1">
      <c r="C815" s="2"/>
      <c r="R815" s="3"/>
      <c r="S815" s="3"/>
      <c r="T815" s="3"/>
      <c r="U815" s="3"/>
      <c r="V815" s="3"/>
      <c r="W815" s="3"/>
      <c r="X815" s="3"/>
      <c r="Y815" s="3"/>
      <c r="Z815" s="3"/>
    </row>
    <row r="816" ht="15.75" customHeight="1">
      <c r="C816" s="2"/>
      <c r="R816" s="3"/>
      <c r="S816" s="3"/>
      <c r="T816" s="3"/>
      <c r="U816" s="3"/>
      <c r="V816" s="3"/>
      <c r="W816" s="3"/>
      <c r="X816" s="3"/>
      <c r="Y816" s="3"/>
      <c r="Z816" s="3"/>
    </row>
    <row r="817" ht="15.75" customHeight="1">
      <c r="C817" s="2"/>
      <c r="R817" s="3"/>
      <c r="S817" s="3"/>
      <c r="T817" s="3"/>
      <c r="U817" s="3"/>
      <c r="V817" s="3"/>
      <c r="W817" s="3"/>
      <c r="X817" s="3"/>
      <c r="Y817" s="3"/>
      <c r="Z817" s="3"/>
    </row>
    <row r="818" ht="15.75" customHeight="1">
      <c r="C818" s="2"/>
      <c r="R818" s="3"/>
      <c r="S818" s="3"/>
      <c r="T818" s="3"/>
      <c r="U818" s="3"/>
      <c r="V818" s="3"/>
      <c r="W818" s="3"/>
      <c r="X818" s="3"/>
      <c r="Y818" s="3"/>
      <c r="Z818" s="3"/>
    </row>
    <row r="819" ht="15.75" customHeight="1">
      <c r="C819" s="2"/>
      <c r="R819" s="3"/>
      <c r="S819" s="3"/>
      <c r="T819" s="3"/>
      <c r="U819" s="3"/>
      <c r="V819" s="3"/>
      <c r="W819" s="3"/>
      <c r="X819" s="3"/>
      <c r="Y819" s="3"/>
      <c r="Z819" s="3"/>
    </row>
    <row r="820" ht="15.75" customHeight="1">
      <c r="C820" s="2"/>
      <c r="R820" s="3"/>
      <c r="S820" s="3"/>
      <c r="T820" s="3"/>
      <c r="U820" s="3"/>
      <c r="V820" s="3"/>
      <c r="W820" s="3"/>
      <c r="X820" s="3"/>
      <c r="Y820" s="3"/>
      <c r="Z820" s="3"/>
    </row>
    <row r="821" ht="15.75" customHeight="1">
      <c r="C821" s="2"/>
      <c r="R821" s="3"/>
      <c r="S821" s="3"/>
      <c r="T821" s="3"/>
      <c r="U821" s="3"/>
      <c r="V821" s="3"/>
      <c r="W821" s="3"/>
      <c r="X821" s="3"/>
      <c r="Y821" s="3"/>
      <c r="Z821" s="3"/>
    </row>
    <row r="822" ht="15.75" customHeight="1">
      <c r="C822" s="2"/>
      <c r="R822" s="3"/>
      <c r="S822" s="3"/>
      <c r="T822" s="3"/>
      <c r="U822" s="3"/>
      <c r="V822" s="3"/>
      <c r="W822" s="3"/>
      <c r="X822" s="3"/>
      <c r="Y822" s="3"/>
      <c r="Z822" s="3"/>
    </row>
    <row r="823" ht="15.75" customHeight="1">
      <c r="C823" s="2"/>
      <c r="R823" s="3"/>
      <c r="S823" s="3"/>
      <c r="T823" s="3"/>
      <c r="U823" s="3"/>
      <c r="V823" s="3"/>
      <c r="W823" s="3"/>
      <c r="X823" s="3"/>
      <c r="Y823" s="3"/>
      <c r="Z823" s="3"/>
    </row>
    <row r="824" ht="15.75" customHeight="1">
      <c r="C824" s="2"/>
      <c r="R824" s="3"/>
      <c r="S824" s="3"/>
      <c r="T824" s="3"/>
      <c r="U824" s="3"/>
      <c r="V824" s="3"/>
      <c r="W824" s="3"/>
      <c r="X824" s="3"/>
      <c r="Y824" s="3"/>
      <c r="Z824" s="3"/>
    </row>
    <row r="825" ht="15.75" customHeight="1">
      <c r="C825" s="2"/>
      <c r="R825" s="3"/>
      <c r="S825" s="3"/>
      <c r="T825" s="3"/>
      <c r="U825" s="3"/>
      <c r="V825" s="3"/>
      <c r="W825" s="3"/>
      <c r="X825" s="3"/>
      <c r="Y825" s="3"/>
      <c r="Z825" s="3"/>
    </row>
    <row r="826" ht="15.75" customHeight="1">
      <c r="C826" s="2"/>
      <c r="R826" s="3"/>
      <c r="S826" s="3"/>
      <c r="T826" s="3"/>
      <c r="U826" s="3"/>
      <c r="V826" s="3"/>
      <c r="W826" s="3"/>
      <c r="X826" s="3"/>
      <c r="Y826" s="3"/>
      <c r="Z826" s="3"/>
    </row>
    <row r="827" ht="15.75" customHeight="1">
      <c r="C827" s="2"/>
      <c r="R827" s="3"/>
      <c r="S827" s="3"/>
      <c r="T827" s="3"/>
      <c r="U827" s="3"/>
      <c r="V827" s="3"/>
      <c r="W827" s="3"/>
      <c r="X827" s="3"/>
      <c r="Y827" s="3"/>
      <c r="Z827" s="3"/>
    </row>
    <row r="828" ht="15.75" customHeight="1">
      <c r="C828" s="2"/>
      <c r="R828" s="3"/>
      <c r="S828" s="3"/>
      <c r="T828" s="3"/>
      <c r="U828" s="3"/>
      <c r="V828" s="3"/>
      <c r="W828" s="3"/>
      <c r="X828" s="3"/>
      <c r="Y828" s="3"/>
      <c r="Z828" s="3"/>
    </row>
    <row r="829" ht="15.75" customHeight="1">
      <c r="C829" s="2"/>
      <c r="R829" s="3"/>
      <c r="S829" s="3"/>
      <c r="T829" s="3"/>
      <c r="U829" s="3"/>
      <c r="V829" s="3"/>
      <c r="W829" s="3"/>
      <c r="X829" s="3"/>
      <c r="Y829" s="3"/>
      <c r="Z829" s="3"/>
    </row>
    <row r="830" ht="15.75" customHeight="1">
      <c r="C830" s="2"/>
      <c r="R830" s="3"/>
      <c r="S830" s="3"/>
      <c r="T830" s="3"/>
      <c r="U830" s="3"/>
      <c r="V830" s="3"/>
      <c r="W830" s="3"/>
      <c r="X830" s="3"/>
      <c r="Y830" s="3"/>
      <c r="Z830" s="3"/>
    </row>
    <row r="831" ht="15.75" customHeight="1">
      <c r="C831" s="2"/>
      <c r="R831" s="3"/>
      <c r="S831" s="3"/>
      <c r="T831" s="3"/>
      <c r="U831" s="3"/>
      <c r="V831" s="3"/>
      <c r="W831" s="3"/>
      <c r="X831" s="3"/>
      <c r="Y831" s="3"/>
      <c r="Z831" s="3"/>
    </row>
    <row r="832" ht="15.75" customHeight="1">
      <c r="C832" s="2"/>
      <c r="R832" s="3"/>
      <c r="S832" s="3"/>
      <c r="T832" s="3"/>
      <c r="U832" s="3"/>
      <c r="V832" s="3"/>
      <c r="W832" s="3"/>
      <c r="X832" s="3"/>
      <c r="Y832" s="3"/>
      <c r="Z832" s="3"/>
    </row>
    <row r="833" ht="15.75" customHeight="1">
      <c r="C833" s="2"/>
      <c r="R833" s="3"/>
      <c r="S833" s="3"/>
      <c r="T833" s="3"/>
      <c r="U833" s="3"/>
      <c r="V833" s="3"/>
      <c r="W833" s="3"/>
      <c r="X833" s="3"/>
      <c r="Y833" s="3"/>
      <c r="Z833" s="3"/>
    </row>
    <row r="834" ht="15.75" customHeight="1">
      <c r="C834" s="2"/>
      <c r="R834" s="3"/>
      <c r="S834" s="3"/>
      <c r="T834" s="3"/>
      <c r="U834" s="3"/>
      <c r="V834" s="3"/>
      <c r="W834" s="3"/>
      <c r="X834" s="3"/>
      <c r="Y834" s="3"/>
      <c r="Z834" s="3"/>
    </row>
    <row r="835" ht="15.75" customHeight="1">
      <c r="C835" s="2"/>
      <c r="R835" s="3"/>
      <c r="S835" s="3"/>
      <c r="T835" s="3"/>
      <c r="U835" s="3"/>
      <c r="V835" s="3"/>
      <c r="W835" s="3"/>
      <c r="X835" s="3"/>
      <c r="Y835" s="3"/>
      <c r="Z835" s="3"/>
    </row>
    <row r="836" ht="15.75" customHeight="1">
      <c r="C836" s="2"/>
      <c r="R836" s="3"/>
      <c r="S836" s="3"/>
      <c r="T836" s="3"/>
      <c r="U836" s="3"/>
      <c r="V836" s="3"/>
      <c r="W836" s="3"/>
      <c r="X836" s="3"/>
      <c r="Y836" s="3"/>
      <c r="Z836" s="3"/>
    </row>
    <row r="837" ht="15.75" customHeight="1">
      <c r="C837" s="2"/>
      <c r="R837" s="3"/>
      <c r="S837" s="3"/>
      <c r="T837" s="3"/>
      <c r="U837" s="3"/>
      <c r="V837" s="3"/>
      <c r="W837" s="3"/>
      <c r="X837" s="3"/>
      <c r="Y837" s="3"/>
      <c r="Z837" s="3"/>
    </row>
    <row r="838" ht="15.75" customHeight="1">
      <c r="C838" s="2"/>
      <c r="R838" s="3"/>
      <c r="S838" s="3"/>
      <c r="T838" s="3"/>
      <c r="U838" s="3"/>
      <c r="V838" s="3"/>
      <c r="W838" s="3"/>
      <c r="X838" s="3"/>
      <c r="Y838" s="3"/>
      <c r="Z838" s="3"/>
    </row>
    <row r="839" ht="15.75" customHeight="1">
      <c r="C839" s="2"/>
      <c r="R839" s="3"/>
      <c r="S839" s="3"/>
      <c r="T839" s="3"/>
      <c r="U839" s="3"/>
      <c r="V839" s="3"/>
      <c r="W839" s="3"/>
      <c r="X839" s="3"/>
      <c r="Y839" s="3"/>
      <c r="Z839" s="3"/>
    </row>
    <row r="840" ht="15.75" customHeight="1">
      <c r="C840" s="2"/>
      <c r="R840" s="3"/>
      <c r="S840" s="3"/>
      <c r="T840" s="3"/>
      <c r="U840" s="3"/>
      <c r="V840" s="3"/>
      <c r="W840" s="3"/>
      <c r="X840" s="3"/>
      <c r="Y840" s="3"/>
      <c r="Z840" s="3"/>
    </row>
    <row r="841" ht="15.75" customHeight="1">
      <c r="C841" s="2"/>
      <c r="R841" s="3"/>
      <c r="S841" s="3"/>
      <c r="T841" s="3"/>
      <c r="U841" s="3"/>
      <c r="V841" s="3"/>
      <c r="W841" s="3"/>
      <c r="X841" s="3"/>
      <c r="Y841" s="3"/>
      <c r="Z841" s="3"/>
    </row>
    <row r="842" ht="15.75" customHeight="1">
      <c r="C842" s="2"/>
      <c r="R842" s="3"/>
      <c r="S842" s="3"/>
      <c r="T842" s="3"/>
      <c r="U842" s="3"/>
      <c r="V842" s="3"/>
      <c r="W842" s="3"/>
      <c r="X842" s="3"/>
      <c r="Y842" s="3"/>
      <c r="Z842" s="3"/>
    </row>
    <row r="843" ht="15.75" customHeight="1">
      <c r="C843" s="2"/>
      <c r="R843" s="3"/>
      <c r="S843" s="3"/>
      <c r="T843" s="3"/>
      <c r="U843" s="3"/>
      <c r="V843" s="3"/>
      <c r="W843" s="3"/>
      <c r="X843" s="3"/>
      <c r="Y843" s="3"/>
      <c r="Z843" s="3"/>
    </row>
    <row r="844" ht="15.75" customHeight="1">
      <c r="C844" s="2"/>
      <c r="R844" s="3"/>
      <c r="S844" s="3"/>
      <c r="T844" s="3"/>
      <c r="U844" s="3"/>
      <c r="V844" s="3"/>
      <c r="W844" s="3"/>
      <c r="X844" s="3"/>
      <c r="Y844" s="3"/>
      <c r="Z844" s="3"/>
    </row>
    <row r="845" ht="15.75" customHeight="1">
      <c r="C845" s="2"/>
      <c r="R845" s="3"/>
      <c r="S845" s="3"/>
      <c r="T845" s="3"/>
      <c r="U845" s="3"/>
      <c r="V845" s="3"/>
      <c r="W845" s="3"/>
      <c r="X845" s="3"/>
      <c r="Y845" s="3"/>
      <c r="Z845" s="3"/>
    </row>
    <row r="846" ht="15.75" customHeight="1">
      <c r="C846" s="2"/>
      <c r="R846" s="3"/>
      <c r="S846" s="3"/>
      <c r="T846" s="3"/>
      <c r="U846" s="3"/>
      <c r="V846" s="3"/>
      <c r="W846" s="3"/>
      <c r="X846" s="3"/>
      <c r="Y846" s="3"/>
      <c r="Z846" s="3"/>
    </row>
    <row r="847" ht="15.75" customHeight="1">
      <c r="C847" s="2"/>
      <c r="R847" s="3"/>
      <c r="S847" s="3"/>
      <c r="T847" s="3"/>
      <c r="U847" s="3"/>
      <c r="V847" s="3"/>
      <c r="W847" s="3"/>
      <c r="X847" s="3"/>
      <c r="Y847" s="3"/>
      <c r="Z847" s="3"/>
    </row>
    <row r="848" ht="15.75" customHeight="1">
      <c r="C848" s="2"/>
      <c r="R848" s="3"/>
      <c r="S848" s="3"/>
      <c r="T848" s="3"/>
      <c r="U848" s="3"/>
      <c r="V848" s="3"/>
      <c r="W848" s="3"/>
      <c r="X848" s="3"/>
      <c r="Y848" s="3"/>
      <c r="Z848" s="3"/>
    </row>
    <row r="849" ht="15.75" customHeight="1">
      <c r="C849" s="2"/>
      <c r="R849" s="3"/>
      <c r="S849" s="3"/>
      <c r="T849" s="3"/>
      <c r="U849" s="3"/>
      <c r="V849" s="3"/>
      <c r="W849" s="3"/>
      <c r="X849" s="3"/>
      <c r="Y849" s="3"/>
      <c r="Z849" s="3"/>
    </row>
    <row r="850" ht="15.75" customHeight="1">
      <c r="C850" s="2"/>
      <c r="R850" s="3"/>
      <c r="S850" s="3"/>
      <c r="T850" s="3"/>
      <c r="U850" s="3"/>
      <c r="V850" s="3"/>
      <c r="W850" s="3"/>
      <c r="X850" s="3"/>
      <c r="Y850" s="3"/>
      <c r="Z850" s="3"/>
    </row>
    <row r="851" ht="15.75" customHeight="1">
      <c r="C851" s="2"/>
      <c r="R851" s="3"/>
      <c r="S851" s="3"/>
      <c r="T851" s="3"/>
      <c r="U851" s="3"/>
      <c r="V851" s="3"/>
      <c r="W851" s="3"/>
      <c r="X851" s="3"/>
      <c r="Y851" s="3"/>
      <c r="Z851" s="3"/>
    </row>
    <row r="852" ht="15.75" customHeight="1">
      <c r="C852" s="2"/>
      <c r="R852" s="3"/>
      <c r="S852" s="3"/>
      <c r="T852" s="3"/>
      <c r="U852" s="3"/>
      <c r="V852" s="3"/>
      <c r="W852" s="3"/>
      <c r="X852" s="3"/>
      <c r="Y852" s="3"/>
      <c r="Z852" s="3"/>
    </row>
    <row r="853" ht="15.75" customHeight="1">
      <c r="C853" s="2"/>
      <c r="R853" s="3"/>
      <c r="S853" s="3"/>
      <c r="T853" s="3"/>
      <c r="U853" s="3"/>
      <c r="V853" s="3"/>
      <c r="W853" s="3"/>
      <c r="X853" s="3"/>
      <c r="Y853" s="3"/>
      <c r="Z853" s="3"/>
    </row>
    <row r="854" ht="15.75" customHeight="1">
      <c r="C854" s="2"/>
      <c r="R854" s="3"/>
      <c r="S854" s="3"/>
      <c r="T854" s="3"/>
      <c r="U854" s="3"/>
      <c r="V854" s="3"/>
      <c r="W854" s="3"/>
      <c r="X854" s="3"/>
      <c r="Y854" s="3"/>
      <c r="Z854" s="3"/>
    </row>
    <row r="855" ht="15.75" customHeight="1">
      <c r="C855" s="2"/>
      <c r="R855" s="3"/>
      <c r="S855" s="3"/>
      <c r="T855" s="3"/>
      <c r="U855" s="3"/>
      <c r="V855" s="3"/>
      <c r="W855" s="3"/>
      <c r="X855" s="3"/>
      <c r="Y855" s="3"/>
      <c r="Z855" s="3"/>
    </row>
    <row r="856" ht="15.75" customHeight="1">
      <c r="C856" s="2"/>
      <c r="R856" s="3"/>
      <c r="S856" s="3"/>
      <c r="T856" s="3"/>
      <c r="U856" s="3"/>
      <c r="V856" s="3"/>
      <c r="W856" s="3"/>
      <c r="X856" s="3"/>
      <c r="Y856" s="3"/>
      <c r="Z856" s="3"/>
    </row>
    <row r="857" ht="15.75" customHeight="1">
      <c r="C857" s="2"/>
      <c r="R857" s="3"/>
      <c r="S857" s="3"/>
      <c r="T857" s="3"/>
      <c r="U857" s="3"/>
      <c r="V857" s="3"/>
      <c r="W857" s="3"/>
      <c r="X857" s="3"/>
      <c r="Y857" s="3"/>
      <c r="Z857" s="3"/>
    </row>
    <row r="858" ht="15.75" customHeight="1">
      <c r="C858" s="2"/>
      <c r="R858" s="3"/>
      <c r="S858" s="3"/>
      <c r="T858" s="3"/>
      <c r="U858" s="3"/>
      <c r="V858" s="3"/>
      <c r="W858" s="3"/>
      <c r="X858" s="3"/>
      <c r="Y858" s="3"/>
      <c r="Z858" s="3"/>
    </row>
    <row r="859" ht="15.75" customHeight="1">
      <c r="C859" s="2"/>
      <c r="R859" s="3"/>
      <c r="S859" s="3"/>
      <c r="T859" s="3"/>
      <c r="U859" s="3"/>
      <c r="V859" s="3"/>
      <c r="W859" s="3"/>
      <c r="X859" s="3"/>
      <c r="Y859" s="3"/>
      <c r="Z859" s="3"/>
    </row>
    <row r="860" ht="15.75" customHeight="1">
      <c r="C860" s="2"/>
      <c r="R860" s="3"/>
      <c r="S860" s="3"/>
      <c r="T860" s="3"/>
      <c r="U860" s="3"/>
      <c r="V860" s="3"/>
      <c r="W860" s="3"/>
      <c r="X860" s="3"/>
      <c r="Y860" s="3"/>
      <c r="Z860" s="3"/>
    </row>
    <row r="861" ht="15.75" customHeight="1">
      <c r="C861" s="2"/>
      <c r="R861" s="3"/>
      <c r="S861" s="3"/>
      <c r="T861" s="3"/>
      <c r="U861" s="3"/>
      <c r="V861" s="3"/>
      <c r="W861" s="3"/>
      <c r="X861" s="3"/>
      <c r="Y861" s="3"/>
      <c r="Z861" s="3"/>
    </row>
    <row r="862" ht="15.75" customHeight="1">
      <c r="C862" s="2"/>
      <c r="R862" s="3"/>
      <c r="S862" s="3"/>
      <c r="T862" s="3"/>
      <c r="U862" s="3"/>
      <c r="V862" s="3"/>
      <c r="W862" s="3"/>
      <c r="X862" s="3"/>
      <c r="Y862" s="3"/>
      <c r="Z862" s="3"/>
    </row>
    <row r="863" ht="15.75" customHeight="1">
      <c r="C863" s="2"/>
      <c r="R863" s="3"/>
      <c r="S863" s="3"/>
      <c r="T863" s="3"/>
      <c r="U863" s="3"/>
      <c r="V863" s="3"/>
      <c r="W863" s="3"/>
      <c r="X863" s="3"/>
      <c r="Y863" s="3"/>
      <c r="Z863" s="3"/>
    </row>
    <row r="864" ht="15.75" customHeight="1">
      <c r="C864" s="2"/>
      <c r="R864" s="3"/>
      <c r="S864" s="3"/>
      <c r="T864" s="3"/>
      <c r="U864" s="3"/>
      <c r="V864" s="3"/>
      <c r="W864" s="3"/>
      <c r="X864" s="3"/>
      <c r="Y864" s="3"/>
      <c r="Z864" s="3"/>
    </row>
    <row r="865" ht="15.75" customHeight="1">
      <c r="C865" s="2"/>
      <c r="R865" s="3"/>
      <c r="S865" s="3"/>
      <c r="T865" s="3"/>
      <c r="U865" s="3"/>
      <c r="V865" s="3"/>
      <c r="W865" s="3"/>
      <c r="X865" s="3"/>
      <c r="Y865" s="3"/>
      <c r="Z865" s="3"/>
    </row>
    <row r="866" ht="15.75" customHeight="1">
      <c r="C866" s="2"/>
      <c r="R866" s="3"/>
      <c r="S866" s="3"/>
      <c r="T866" s="3"/>
      <c r="U866" s="3"/>
      <c r="V866" s="3"/>
      <c r="W866" s="3"/>
      <c r="X866" s="3"/>
      <c r="Y866" s="3"/>
      <c r="Z866" s="3"/>
    </row>
    <row r="867" ht="15.75" customHeight="1">
      <c r="C867" s="2"/>
      <c r="R867" s="3"/>
      <c r="S867" s="3"/>
      <c r="T867" s="3"/>
      <c r="U867" s="3"/>
      <c r="V867" s="3"/>
      <c r="W867" s="3"/>
      <c r="X867" s="3"/>
      <c r="Y867" s="3"/>
      <c r="Z867" s="3"/>
    </row>
    <row r="868" ht="15.75" customHeight="1">
      <c r="C868" s="2"/>
      <c r="R868" s="3"/>
      <c r="S868" s="3"/>
      <c r="T868" s="3"/>
      <c r="U868" s="3"/>
      <c r="V868" s="3"/>
      <c r="W868" s="3"/>
      <c r="X868" s="3"/>
      <c r="Y868" s="3"/>
      <c r="Z868" s="3"/>
    </row>
    <row r="869" ht="15.75" customHeight="1">
      <c r="C869" s="2"/>
      <c r="R869" s="3"/>
      <c r="S869" s="3"/>
      <c r="T869" s="3"/>
      <c r="U869" s="3"/>
      <c r="V869" s="3"/>
      <c r="W869" s="3"/>
      <c r="X869" s="3"/>
      <c r="Y869" s="3"/>
      <c r="Z869" s="3"/>
    </row>
    <row r="870" ht="15.75" customHeight="1">
      <c r="C870" s="2"/>
      <c r="R870" s="3"/>
      <c r="S870" s="3"/>
      <c r="T870" s="3"/>
      <c r="U870" s="3"/>
      <c r="V870" s="3"/>
      <c r="W870" s="3"/>
      <c r="X870" s="3"/>
      <c r="Y870" s="3"/>
      <c r="Z870" s="3"/>
    </row>
    <row r="871" ht="15.75" customHeight="1">
      <c r="C871" s="2"/>
      <c r="R871" s="3"/>
      <c r="S871" s="3"/>
      <c r="T871" s="3"/>
      <c r="U871" s="3"/>
      <c r="V871" s="3"/>
      <c r="W871" s="3"/>
      <c r="X871" s="3"/>
      <c r="Y871" s="3"/>
      <c r="Z871" s="3"/>
    </row>
    <row r="872" ht="15.75" customHeight="1">
      <c r="C872" s="2"/>
      <c r="R872" s="3"/>
      <c r="S872" s="3"/>
      <c r="T872" s="3"/>
      <c r="U872" s="3"/>
      <c r="V872" s="3"/>
      <c r="W872" s="3"/>
      <c r="X872" s="3"/>
      <c r="Y872" s="3"/>
      <c r="Z872" s="3"/>
    </row>
    <row r="873" ht="15.75" customHeight="1">
      <c r="C873" s="2"/>
      <c r="R873" s="3"/>
      <c r="S873" s="3"/>
      <c r="T873" s="3"/>
      <c r="U873" s="3"/>
      <c r="V873" s="3"/>
      <c r="W873" s="3"/>
      <c r="X873" s="3"/>
      <c r="Y873" s="3"/>
      <c r="Z873" s="3"/>
    </row>
    <row r="874" ht="15.75" customHeight="1">
      <c r="C874" s="2"/>
      <c r="R874" s="3"/>
      <c r="S874" s="3"/>
      <c r="T874" s="3"/>
      <c r="U874" s="3"/>
      <c r="V874" s="3"/>
      <c r="W874" s="3"/>
      <c r="X874" s="3"/>
      <c r="Y874" s="3"/>
      <c r="Z874" s="3"/>
    </row>
    <row r="875" ht="15.75" customHeight="1">
      <c r="C875" s="2"/>
      <c r="R875" s="3"/>
      <c r="S875" s="3"/>
      <c r="T875" s="3"/>
      <c r="U875" s="3"/>
      <c r="V875" s="3"/>
      <c r="W875" s="3"/>
      <c r="X875" s="3"/>
      <c r="Y875" s="3"/>
      <c r="Z875" s="3"/>
    </row>
    <row r="876" ht="15.75" customHeight="1">
      <c r="C876" s="2"/>
      <c r="R876" s="3"/>
      <c r="S876" s="3"/>
      <c r="T876" s="3"/>
      <c r="U876" s="3"/>
      <c r="V876" s="3"/>
      <c r="W876" s="3"/>
      <c r="X876" s="3"/>
      <c r="Y876" s="3"/>
      <c r="Z876" s="3"/>
    </row>
    <row r="877" ht="15.75" customHeight="1">
      <c r="C877" s="2"/>
      <c r="R877" s="3"/>
      <c r="S877" s="3"/>
      <c r="T877" s="3"/>
      <c r="U877" s="3"/>
      <c r="V877" s="3"/>
      <c r="W877" s="3"/>
      <c r="X877" s="3"/>
      <c r="Y877" s="3"/>
      <c r="Z877" s="3"/>
    </row>
    <row r="878" ht="15.75" customHeight="1">
      <c r="C878" s="2"/>
      <c r="R878" s="3"/>
      <c r="S878" s="3"/>
      <c r="T878" s="3"/>
      <c r="U878" s="3"/>
      <c r="V878" s="3"/>
      <c r="W878" s="3"/>
      <c r="X878" s="3"/>
      <c r="Y878" s="3"/>
      <c r="Z878" s="3"/>
    </row>
    <row r="879" ht="15.75" customHeight="1">
      <c r="C879" s="2"/>
      <c r="R879" s="3"/>
      <c r="S879" s="3"/>
      <c r="T879" s="3"/>
      <c r="U879" s="3"/>
      <c r="V879" s="3"/>
      <c r="W879" s="3"/>
      <c r="X879" s="3"/>
      <c r="Y879" s="3"/>
      <c r="Z879" s="3"/>
    </row>
    <row r="880" ht="15.75" customHeight="1">
      <c r="C880" s="2"/>
      <c r="R880" s="3"/>
      <c r="S880" s="3"/>
      <c r="T880" s="3"/>
      <c r="U880" s="3"/>
      <c r="V880" s="3"/>
      <c r="W880" s="3"/>
      <c r="X880" s="3"/>
      <c r="Y880" s="3"/>
      <c r="Z880" s="3"/>
    </row>
    <row r="881" ht="15.75" customHeight="1">
      <c r="C881" s="2"/>
      <c r="R881" s="3"/>
      <c r="S881" s="3"/>
      <c r="T881" s="3"/>
      <c r="U881" s="3"/>
      <c r="V881" s="3"/>
      <c r="W881" s="3"/>
      <c r="X881" s="3"/>
      <c r="Y881" s="3"/>
      <c r="Z881" s="3"/>
    </row>
    <row r="882" ht="15.75" customHeight="1">
      <c r="C882" s="2"/>
      <c r="R882" s="3"/>
      <c r="S882" s="3"/>
      <c r="T882" s="3"/>
      <c r="U882" s="3"/>
      <c r="V882" s="3"/>
      <c r="W882" s="3"/>
      <c r="X882" s="3"/>
      <c r="Y882" s="3"/>
      <c r="Z882" s="3"/>
    </row>
    <row r="883" ht="15.75" customHeight="1">
      <c r="C883" s="2"/>
      <c r="R883" s="3"/>
      <c r="S883" s="3"/>
      <c r="T883" s="3"/>
      <c r="U883" s="3"/>
      <c r="V883" s="3"/>
      <c r="W883" s="3"/>
      <c r="X883" s="3"/>
      <c r="Y883" s="3"/>
      <c r="Z883" s="3"/>
    </row>
    <row r="884" ht="15.75" customHeight="1">
      <c r="C884" s="2"/>
      <c r="R884" s="3"/>
      <c r="S884" s="3"/>
      <c r="T884" s="3"/>
      <c r="U884" s="3"/>
      <c r="V884" s="3"/>
      <c r="W884" s="3"/>
      <c r="X884" s="3"/>
      <c r="Y884" s="3"/>
      <c r="Z884" s="3"/>
    </row>
    <row r="885" ht="15.75" customHeight="1">
      <c r="C885" s="2"/>
      <c r="R885" s="3"/>
      <c r="S885" s="3"/>
      <c r="T885" s="3"/>
      <c r="U885" s="3"/>
      <c r="V885" s="3"/>
      <c r="W885" s="3"/>
      <c r="X885" s="3"/>
      <c r="Y885" s="3"/>
      <c r="Z885" s="3"/>
    </row>
    <row r="886" ht="15.75" customHeight="1">
      <c r="C886" s="2"/>
      <c r="R886" s="3"/>
      <c r="S886" s="3"/>
      <c r="T886" s="3"/>
      <c r="U886" s="3"/>
      <c r="V886" s="3"/>
      <c r="W886" s="3"/>
      <c r="X886" s="3"/>
      <c r="Y886" s="3"/>
      <c r="Z886" s="3"/>
    </row>
    <row r="887" ht="15.75" customHeight="1">
      <c r="C887" s="2"/>
      <c r="R887" s="3"/>
      <c r="S887" s="3"/>
      <c r="T887" s="3"/>
      <c r="U887" s="3"/>
      <c r="V887" s="3"/>
      <c r="W887" s="3"/>
      <c r="X887" s="3"/>
      <c r="Y887" s="3"/>
      <c r="Z887" s="3"/>
    </row>
    <row r="888" ht="15.75" customHeight="1">
      <c r="C888" s="2"/>
      <c r="R888" s="3"/>
      <c r="S888" s="3"/>
      <c r="T888" s="3"/>
      <c r="U888" s="3"/>
      <c r="V888" s="3"/>
      <c r="W888" s="3"/>
      <c r="X888" s="3"/>
      <c r="Y888" s="3"/>
      <c r="Z888" s="3"/>
    </row>
    <row r="889" ht="15.75" customHeight="1">
      <c r="C889" s="2"/>
      <c r="R889" s="3"/>
      <c r="S889" s="3"/>
      <c r="T889" s="3"/>
      <c r="U889" s="3"/>
      <c r="V889" s="3"/>
      <c r="W889" s="3"/>
      <c r="X889" s="3"/>
      <c r="Y889" s="3"/>
      <c r="Z889" s="3"/>
    </row>
    <row r="890" ht="15.75" customHeight="1">
      <c r="C890" s="2"/>
      <c r="R890" s="3"/>
      <c r="S890" s="3"/>
      <c r="T890" s="3"/>
      <c r="U890" s="3"/>
      <c r="V890" s="3"/>
      <c r="W890" s="3"/>
      <c r="X890" s="3"/>
      <c r="Y890" s="3"/>
      <c r="Z890" s="3"/>
    </row>
    <row r="891" ht="15.75" customHeight="1">
      <c r="C891" s="2"/>
      <c r="R891" s="3"/>
      <c r="S891" s="3"/>
      <c r="T891" s="3"/>
      <c r="U891" s="3"/>
      <c r="V891" s="3"/>
      <c r="W891" s="3"/>
      <c r="X891" s="3"/>
      <c r="Y891" s="3"/>
      <c r="Z891" s="3"/>
    </row>
    <row r="892" ht="15.75" customHeight="1">
      <c r="C892" s="2"/>
      <c r="R892" s="3"/>
      <c r="S892" s="3"/>
      <c r="T892" s="3"/>
      <c r="U892" s="3"/>
      <c r="V892" s="3"/>
      <c r="W892" s="3"/>
      <c r="X892" s="3"/>
      <c r="Y892" s="3"/>
      <c r="Z892" s="3"/>
    </row>
    <row r="893" ht="15.75" customHeight="1">
      <c r="C893" s="2"/>
      <c r="R893" s="3"/>
      <c r="S893" s="3"/>
      <c r="T893" s="3"/>
      <c r="U893" s="3"/>
      <c r="V893" s="3"/>
      <c r="W893" s="3"/>
      <c r="X893" s="3"/>
      <c r="Y893" s="3"/>
      <c r="Z893" s="3"/>
    </row>
    <row r="894" ht="15.75" customHeight="1">
      <c r="C894" s="2"/>
      <c r="R894" s="3"/>
      <c r="S894" s="3"/>
      <c r="T894" s="3"/>
      <c r="U894" s="3"/>
      <c r="V894" s="3"/>
      <c r="W894" s="3"/>
      <c r="X894" s="3"/>
      <c r="Y894" s="3"/>
      <c r="Z894" s="3"/>
    </row>
    <row r="895" ht="15.75" customHeight="1">
      <c r="C895" s="2"/>
      <c r="R895" s="3"/>
      <c r="S895" s="3"/>
      <c r="T895" s="3"/>
      <c r="U895" s="3"/>
      <c r="V895" s="3"/>
      <c r="W895" s="3"/>
      <c r="X895" s="3"/>
      <c r="Y895" s="3"/>
      <c r="Z895" s="3"/>
    </row>
    <row r="896" ht="15.75" customHeight="1">
      <c r="C896" s="2"/>
      <c r="R896" s="3"/>
      <c r="S896" s="3"/>
      <c r="T896" s="3"/>
      <c r="U896" s="3"/>
      <c r="V896" s="3"/>
      <c r="W896" s="3"/>
      <c r="X896" s="3"/>
      <c r="Y896" s="3"/>
      <c r="Z896" s="3"/>
    </row>
    <row r="897" ht="15.75" customHeight="1">
      <c r="C897" s="2"/>
      <c r="R897" s="3"/>
      <c r="S897" s="3"/>
      <c r="T897" s="3"/>
      <c r="U897" s="3"/>
      <c r="V897" s="3"/>
      <c r="W897" s="3"/>
      <c r="X897" s="3"/>
      <c r="Y897" s="3"/>
      <c r="Z897" s="3"/>
    </row>
    <row r="898" ht="15.75" customHeight="1">
      <c r="C898" s="2"/>
      <c r="R898" s="3"/>
      <c r="S898" s="3"/>
      <c r="T898" s="3"/>
      <c r="U898" s="3"/>
      <c r="V898" s="3"/>
      <c r="W898" s="3"/>
      <c r="X898" s="3"/>
      <c r="Y898" s="3"/>
      <c r="Z898" s="3"/>
    </row>
    <row r="899" ht="15.75" customHeight="1">
      <c r="C899" s="2"/>
      <c r="R899" s="3"/>
      <c r="S899" s="3"/>
      <c r="T899" s="3"/>
      <c r="U899" s="3"/>
      <c r="V899" s="3"/>
      <c r="W899" s="3"/>
      <c r="X899" s="3"/>
      <c r="Y899" s="3"/>
      <c r="Z899" s="3"/>
    </row>
    <row r="900" ht="15.75" customHeight="1">
      <c r="C900" s="2"/>
      <c r="R900" s="3"/>
      <c r="S900" s="3"/>
      <c r="T900" s="3"/>
      <c r="U900" s="3"/>
      <c r="V900" s="3"/>
      <c r="W900" s="3"/>
      <c r="X900" s="3"/>
      <c r="Y900" s="3"/>
      <c r="Z900" s="3"/>
    </row>
    <row r="901" ht="15.75" customHeight="1">
      <c r="C901" s="2"/>
      <c r="R901" s="3"/>
      <c r="S901" s="3"/>
      <c r="T901" s="3"/>
      <c r="U901" s="3"/>
      <c r="V901" s="3"/>
      <c r="W901" s="3"/>
      <c r="X901" s="3"/>
      <c r="Y901" s="3"/>
      <c r="Z901" s="3"/>
    </row>
    <row r="902" ht="15.75" customHeight="1">
      <c r="C902" s="2"/>
      <c r="R902" s="3"/>
      <c r="S902" s="3"/>
      <c r="T902" s="3"/>
      <c r="U902" s="3"/>
      <c r="V902" s="3"/>
      <c r="W902" s="3"/>
      <c r="X902" s="3"/>
      <c r="Y902" s="3"/>
      <c r="Z902" s="3"/>
    </row>
    <row r="903" ht="15.75" customHeight="1">
      <c r="C903" s="2"/>
      <c r="R903" s="3"/>
      <c r="S903" s="3"/>
      <c r="T903" s="3"/>
      <c r="U903" s="3"/>
      <c r="V903" s="3"/>
      <c r="W903" s="3"/>
      <c r="X903" s="3"/>
      <c r="Y903" s="3"/>
      <c r="Z903" s="3"/>
    </row>
    <row r="904" ht="15.75" customHeight="1">
      <c r="C904" s="2"/>
      <c r="R904" s="3"/>
      <c r="S904" s="3"/>
      <c r="T904" s="3"/>
      <c r="U904" s="3"/>
      <c r="V904" s="3"/>
      <c r="W904" s="3"/>
      <c r="X904" s="3"/>
      <c r="Y904" s="3"/>
      <c r="Z904" s="3"/>
    </row>
    <row r="905" ht="15.75" customHeight="1">
      <c r="C905" s="2"/>
      <c r="R905" s="3"/>
      <c r="S905" s="3"/>
      <c r="T905" s="3"/>
      <c r="U905" s="3"/>
      <c r="V905" s="3"/>
      <c r="W905" s="3"/>
      <c r="X905" s="3"/>
      <c r="Y905" s="3"/>
      <c r="Z905" s="3"/>
    </row>
    <row r="906" ht="15.75" customHeight="1">
      <c r="C906" s="2"/>
      <c r="R906" s="3"/>
      <c r="S906" s="3"/>
      <c r="T906" s="3"/>
      <c r="U906" s="3"/>
      <c r="V906" s="3"/>
      <c r="W906" s="3"/>
      <c r="X906" s="3"/>
      <c r="Y906" s="3"/>
      <c r="Z906" s="3"/>
    </row>
    <row r="907" ht="15.75" customHeight="1">
      <c r="C907" s="2"/>
      <c r="R907" s="3"/>
      <c r="S907" s="3"/>
      <c r="T907" s="3"/>
      <c r="U907" s="3"/>
      <c r="V907" s="3"/>
      <c r="W907" s="3"/>
      <c r="X907" s="3"/>
      <c r="Y907" s="3"/>
      <c r="Z907" s="3"/>
    </row>
    <row r="908" ht="15.75" customHeight="1">
      <c r="C908" s="2"/>
      <c r="R908" s="3"/>
      <c r="S908" s="3"/>
      <c r="T908" s="3"/>
      <c r="U908" s="3"/>
      <c r="V908" s="3"/>
      <c r="W908" s="3"/>
      <c r="X908" s="3"/>
      <c r="Y908" s="3"/>
      <c r="Z908" s="3"/>
    </row>
    <row r="909" ht="15.75" customHeight="1">
      <c r="C909" s="2"/>
      <c r="R909" s="3"/>
      <c r="S909" s="3"/>
      <c r="T909" s="3"/>
      <c r="U909" s="3"/>
      <c r="V909" s="3"/>
      <c r="W909" s="3"/>
      <c r="X909" s="3"/>
      <c r="Y909" s="3"/>
      <c r="Z909" s="3"/>
    </row>
    <row r="910" ht="15.75" customHeight="1">
      <c r="C910" s="2"/>
      <c r="R910" s="3"/>
      <c r="S910" s="3"/>
      <c r="T910" s="3"/>
      <c r="U910" s="3"/>
      <c r="V910" s="3"/>
      <c r="W910" s="3"/>
      <c r="X910" s="3"/>
      <c r="Y910" s="3"/>
      <c r="Z910" s="3"/>
    </row>
    <row r="911" ht="15.75" customHeight="1">
      <c r="C911" s="2"/>
      <c r="R911" s="3"/>
      <c r="S911" s="3"/>
      <c r="T911" s="3"/>
      <c r="U911" s="3"/>
      <c r="V911" s="3"/>
      <c r="W911" s="3"/>
      <c r="X911" s="3"/>
      <c r="Y911" s="3"/>
      <c r="Z911" s="3"/>
    </row>
    <row r="912" ht="15.75" customHeight="1">
      <c r="C912" s="2"/>
      <c r="R912" s="3"/>
      <c r="S912" s="3"/>
      <c r="T912" s="3"/>
      <c r="U912" s="3"/>
      <c r="V912" s="3"/>
      <c r="W912" s="3"/>
      <c r="X912" s="3"/>
      <c r="Y912" s="3"/>
      <c r="Z912" s="3"/>
    </row>
    <row r="913" ht="15.75" customHeight="1">
      <c r="C913" s="2"/>
      <c r="R913" s="3"/>
      <c r="S913" s="3"/>
      <c r="T913" s="3"/>
      <c r="U913" s="3"/>
      <c r="V913" s="3"/>
      <c r="W913" s="3"/>
      <c r="X913" s="3"/>
      <c r="Y913" s="3"/>
      <c r="Z913" s="3"/>
    </row>
    <row r="914" ht="15.75" customHeight="1">
      <c r="C914" s="2"/>
      <c r="R914" s="3"/>
      <c r="S914" s="3"/>
      <c r="T914" s="3"/>
      <c r="U914" s="3"/>
      <c r="V914" s="3"/>
      <c r="W914" s="3"/>
      <c r="X914" s="3"/>
      <c r="Y914" s="3"/>
      <c r="Z914" s="3"/>
    </row>
    <row r="915" ht="15.75" customHeight="1">
      <c r="C915" s="2"/>
      <c r="R915" s="3"/>
      <c r="S915" s="3"/>
      <c r="T915" s="3"/>
      <c r="U915" s="3"/>
      <c r="V915" s="3"/>
      <c r="W915" s="3"/>
      <c r="X915" s="3"/>
      <c r="Y915" s="3"/>
      <c r="Z915" s="3"/>
    </row>
    <row r="916" ht="15.75" customHeight="1">
      <c r="C916" s="2"/>
      <c r="R916" s="3"/>
      <c r="S916" s="3"/>
      <c r="T916" s="3"/>
      <c r="U916" s="3"/>
      <c r="V916" s="3"/>
      <c r="W916" s="3"/>
      <c r="X916" s="3"/>
      <c r="Y916" s="3"/>
      <c r="Z916" s="3"/>
    </row>
    <row r="917" ht="15.75" customHeight="1">
      <c r="C917" s="2"/>
      <c r="R917" s="3"/>
      <c r="S917" s="3"/>
      <c r="T917" s="3"/>
      <c r="U917" s="3"/>
      <c r="V917" s="3"/>
      <c r="W917" s="3"/>
      <c r="X917" s="3"/>
      <c r="Y917" s="3"/>
      <c r="Z917" s="3"/>
    </row>
    <row r="918" ht="15.75" customHeight="1">
      <c r="C918" s="2"/>
      <c r="R918" s="3"/>
      <c r="S918" s="3"/>
      <c r="T918" s="3"/>
      <c r="U918" s="3"/>
      <c r="V918" s="3"/>
      <c r="W918" s="3"/>
      <c r="X918" s="3"/>
      <c r="Y918" s="3"/>
      <c r="Z918" s="3"/>
    </row>
    <row r="919" ht="15.75" customHeight="1">
      <c r="C919" s="2"/>
      <c r="R919" s="3"/>
      <c r="S919" s="3"/>
      <c r="T919" s="3"/>
      <c r="U919" s="3"/>
      <c r="V919" s="3"/>
      <c r="W919" s="3"/>
      <c r="X919" s="3"/>
      <c r="Y919" s="3"/>
      <c r="Z919" s="3"/>
    </row>
    <row r="920" ht="15.75" customHeight="1">
      <c r="C920" s="2"/>
      <c r="R920" s="3"/>
      <c r="S920" s="3"/>
      <c r="T920" s="3"/>
      <c r="U920" s="3"/>
      <c r="V920" s="3"/>
      <c r="W920" s="3"/>
      <c r="X920" s="3"/>
      <c r="Y920" s="3"/>
      <c r="Z920" s="3"/>
    </row>
    <row r="921" ht="15.75" customHeight="1">
      <c r="C921" s="2"/>
      <c r="R921" s="3"/>
      <c r="S921" s="3"/>
      <c r="T921" s="3"/>
      <c r="U921" s="3"/>
      <c r="V921" s="3"/>
      <c r="W921" s="3"/>
      <c r="X921" s="3"/>
      <c r="Y921" s="3"/>
      <c r="Z921" s="3"/>
    </row>
    <row r="922" ht="15.75" customHeight="1">
      <c r="C922" s="2"/>
      <c r="R922" s="3"/>
      <c r="S922" s="3"/>
      <c r="T922" s="3"/>
      <c r="U922" s="3"/>
      <c r="V922" s="3"/>
      <c r="W922" s="3"/>
      <c r="X922" s="3"/>
      <c r="Y922" s="3"/>
      <c r="Z922" s="3"/>
    </row>
    <row r="923" ht="15.75" customHeight="1">
      <c r="C923" s="2"/>
      <c r="R923" s="3"/>
      <c r="S923" s="3"/>
      <c r="T923" s="3"/>
      <c r="U923" s="3"/>
      <c r="V923" s="3"/>
      <c r="W923" s="3"/>
      <c r="X923" s="3"/>
      <c r="Y923" s="3"/>
      <c r="Z923" s="3"/>
    </row>
    <row r="924" ht="15.75" customHeight="1">
      <c r="C924" s="2"/>
      <c r="R924" s="3"/>
      <c r="S924" s="3"/>
      <c r="T924" s="3"/>
      <c r="U924" s="3"/>
      <c r="V924" s="3"/>
      <c r="W924" s="3"/>
      <c r="X924" s="3"/>
      <c r="Y924" s="3"/>
      <c r="Z924" s="3"/>
    </row>
    <row r="925" ht="15.75" customHeight="1">
      <c r="C925" s="2"/>
      <c r="R925" s="3"/>
      <c r="S925" s="3"/>
      <c r="T925" s="3"/>
      <c r="U925" s="3"/>
      <c r="V925" s="3"/>
      <c r="W925" s="3"/>
      <c r="X925" s="3"/>
      <c r="Y925" s="3"/>
      <c r="Z925" s="3"/>
    </row>
    <row r="926" ht="15.75" customHeight="1">
      <c r="C926" s="2"/>
      <c r="R926" s="3"/>
      <c r="S926" s="3"/>
      <c r="T926" s="3"/>
      <c r="U926" s="3"/>
      <c r="V926" s="3"/>
      <c r="W926" s="3"/>
      <c r="X926" s="3"/>
      <c r="Y926" s="3"/>
      <c r="Z926" s="3"/>
    </row>
    <row r="927" ht="15.75" customHeight="1">
      <c r="C927" s="2"/>
      <c r="R927" s="3"/>
      <c r="S927" s="3"/>
      <c r="T927" s="3"/>
      <c r="U927" s="3"/>
      <c r="V927" s="3"/>
      <c r="W927" s="3"/>
      <c r="X927" s="3"/>
      <c r="Y927" s="3"/>
      <c r="Z927" s="3"/>
    </row>
    <row r="928" ht="15.75" customHeight="1">
      <c r="C928" s="2"/>
      <c r="R928" s="3"/>
      <c r="S928" s="3"/>
      <c r="T928" s="3"/>
      <c r="U928" s="3"/>
      <c r="V928" s="3"/>
      <c r="W928" s="3"/>
      <c r="X928" s="3"/>
      <c r="Y928" s="3"/>
      <c r="Z928" s="3"/>
    </row>
    <row r="929" ht="15.75" customHeight="1">
      <c r="C929" s="2"/>
      <c r="R929" s="3"/>
      <c r="S929" s="3"/>
      <c r="T929" s="3"/>
      <c r="U929" s="3"/>
      <c r="V929" s="3"/>
      <c r="W929" s="3"/>
      <c r="X929" s="3"/>
      <c r="Y929" s="3"/>
      <c r="Z929" s="3"/>
    </row>
    <row r="930" ht="15.75" customHeight="1">
      <c r="C930" s="2"/>
      <c r="R930" s="3"/>
      <c r="S930" s="3"/>
      <c r="T930" s="3"/>
      <c r="U930" s="3"/>
      <c r="V930" s="3"/>
      <c r="W930" s="3"/>
      <c r="X930" s="3"/>
      <c r="Y930" s="3"/>
      <c r="Z930" s="3"/>
    </row>
    <row r="931" ht="15.75" customHeight="1">
      <c r="C931" s="2"/>
      <c r="R931" s="3"/>
      <c r="S931" s="3"/>
      <c r="T931" s="3"/>
      <c r="U931" s="3"/>
      <c r="V931" s="3"/>
      <c r="W931" s="3"/>
      <c r="X931" s="3"/>
      <c r="Y931" s="3"/>
      <c r="Z931" s="3"/>
    </row>
    <row r="932" ht="15.75" customHeight="1">
      <c r="C932" s="2"/>
      <c r="R932" s="3"/>
      <c r="S932" s="3"/>
      <c r="T932" s="3"/>
      <c r="U932" s="3"/>
      <c r="V932" s="3"/>
      <c r="W932" s="3"/>
      <c r="X932" s="3"/>
      <c r="Y932" s="3"/>
      <c r="Z932" s="3"/>
    </row>
    <row r="933" ht="15.75" customHeight="1">
      <c r="C933" s="2"/>
      <c r="R933" s="3"/>
      <c r="S933" s="3"/>
      <c r="T933" s="3"/>
      <c r="U933" s="3"/>
      <c r="V933" s="3"/>
      <c r="W933" s="3"/>
      <c r="X933" s="3"/>
      <c r="Y933" s="3"/>
      <c r="Z933" s="3"/>
    </row>
    <row r="934" ht="15.75" customHeight="1">
      <c r="C934" s="2"/>
      <c r="R934" s="3"/>
      <c r="S934" s="3"/>
      <c r="T934" s="3"/>
      <c r="U934" s="3"/>
      <c r="V934" s="3"/>
      <c r="W934" s="3"/>
      <c r="X934" s="3"/>
      <c r="Y934" s="3"/>
      <c r="Z934" s="3"/>
    </row>
    <row r="935" ht="15.75" customHeight="1">
      <c r="C935" s="2"/>
      <c r="R935" s="3"/>
      <c r="S935" s="3"/>
      <c r="T935" s="3"/>
      <c r="U935" s="3"/>
      <c r="V935" s="3"/>
      <c r="W935" s="3"/>
      <c r="X935" s="3"/>
      <c r="Y935" s="3"/>
      <c r="Z935" s="3"/>
    </row>
    <row r="936" ht="15.75" customHeight="1">
      <c r="C936" s="2"/>
      <c r="R936" s="3"/>
      <c r="S936" s="3"/>
      <c r="T936" s="3"/>
      <c r="U936" s="3"/>
      <c r="V936" s="3"/>
      <c r="W936" s="3"/>
      <c r="X936" s="3"/>
      <c r="Y936" s="3"/>
      <c r="Z936" s="3"/>
    </row>
    <row r="937" ht="15.75" customHeight="1">
      <c r="C937" s="2"/>
      <c r="R937" s="3"/>
      <c r="S937" s="3"/>
      <c r="T937" s="3"/>
      <c r="U937" s="3"/>
      <c r="V937" s="3"/>
      <c r="W937" s="3"/>
      <c r="X937" s="3"/>
      <c r="Y937" s="3"/>
      <c r="Z937" s="3"/>
    </row>
    <row r="938" ht="15.75" customHeight="1">
      <c r="C938" s="2"/>
      <c r="R938" s="3"/>
      <c r="S938" s="3"/>
      <c r="T938" s="3"/>
      <c r="U938" s="3"/>
      <c r="V938" s="3"/>
      <c r="W938" s="3"/>
      <c r="X938" s="3"/>
      <c r="Y938" s="3"/>
      <c r="Z938" s="3"/>
    </row>
    <row r="939" ht="15.75" customHeight="1">
      <c r="C939" s="2"/>
      <c r="R939" s="3"/>
      <c r="S939" s="3"/>
      <c r="T939" s="3"/>
      <c r="U939" s="3"/>
      <c r="V939" s="3"/>
      <c r="W939" s="3"/>
      <c r="X939" s="3"/>
      <c r="Y939" s="3"/>
      <c r="Z939" s="3"/>
    </row>
    <row r="940" ht="15.75" customHeight="1">
      <c r="C940" s="2"/>
      <c r="R940" s="3"/>
      <c r="S940" s="3"/>
      <c r="T940" s="3"/>
      <c r="U940" s="3"/>
      <c r="V940" s="3"/>
      <c r="W940" s="3"/>
      <c r="X940" s="3"/>
      <c r="Y940" s="3"/>
      <c r="Z940" s="3"/>
    </row>
    <row r="941" ht="15.75" customHeight="1">
      <c r="C941" s="2"/>
      <c r="R941" s="3"/>
      <c r="S941" s="3"/>
      <c r="T941" s="3"/>
      <c r="U941" s="3"/>
      <c r="V941" s="3"/>
      <c r="W941" s="3"/>
      <c r="X941" s="3"/>
      <c r="Y941" s="3"/>
      <c r="Z941" s="3"/>
    </row>
    <row r="942" ht="15.75" customHeight="1">
      <c r="C942" s="2"/>
      <c r="R942" s="3"/>
      <c r="S942" s="3"/>
      <c r="T942" s="3"/>
      <c r="U942" s="3"/>
      <c r="V942" s="3"/>
      <c r="W942" s="3"/>
      <c r="X942" s="3"/>
      <c r="Y942" s="3"/>
      <c r="Z942" s="3"/>
    </row>
    <row r="943" ht="15.75" customHeight="1">
      <c r="C943" s="2"/>
      <c r="R943" s="3"/>
      <c r="S943" s="3"/>
      <c r="T943" s="3"/>
      <c r="U943" s="3"/>
      <c r="V943" s="3"/>
      <c r="W943" s="3"/>
      <c r="X943" s="3"/>
      <c r="Y943" s="3"/>
      <c r="Z943" s="3"/>
    </row>
    <row r="944" ht="15.75" customHeight="1">
      <c r="C944" s="2"/>
      <c r="R944" s="3"/>
      <c r="S944" s="3"/>
      <c r="T944" s="3"/>
      <c r="U944" s="3"/>
      <c r="V944" s="3"/>
      <c r="W944" s="3"/>
      <c r="X944" s="3"/>
      <c r="Y944" s="3"/>
      <c r="Z944" s="3"/>
    </row>
    <row r="945" ht="15.75" customHeight="1">
      <c r="C945" s="2"/>
      <c r="R945" s="3"/>
      <c r="S945" s="3"/>
      <c r="T945" s="3"/>
      <c r="U945" s="3"/>
      <c r="V945" s="3"/>
      <c r="W945" s="3"/>
      <c r="X945" s="3"/>
      <c r="Y945" s="3"/>
      <c r="Z945" s="3"/>
    </row>
    <row r="946" ht="15.75" customHeight="1">
      <c r="C946" s="2"/>
      <c r="R946" s="3"/>
      <c r="S946" s="3"/>
      <c r="T946" s="3"/>
      <c r="U946" s="3"/>
      <c r="V946" s="3"/>
      <c r="W946" s="3"/>
      <c r="X946" s="3"/>
      <c r="Y946" s="3"/>
      <c r="Z946" s="3"/>
    </row>
    <row r="947" ht="15.75" customHeight="1">
      <c r="C947" s="2"/>
      <c r="R947" s="3"/>
      <c r="S947" s="3"/>
      <c r="T947" s="3"/>
      <c r="U947" s="3"/>
      <c r="V947" s="3"/>
      <c r="W947" s="3"/>
      <c r="X947" s="3"/>
      <c r="Y947" s="3"/>
      <c r="Z947" s="3"/>
    </row>
    <row r="948" ht="15.75" customHeight="1">
      <c r="C948" s="2"/>
      <c r="R948" s="3"/>
      <c r="S948" s="3"/>
      <c r="T948" s="3"/>
      <c r="U948" s="3"/>
      <c r="V948" s="3"/>
      <c r="W948" s="3"/>
      <c r="X948" s="3"/>
      <c r="Y948" s="3"/>
      <c r="Z948" s="3"/>
    </row>
    <row r="949" ht="15.75" customHeight="1">
      <c r="C949" s="2"/>
      <c r="R949" s="3"/>
      <c r="S949" s="3"/>
      <c r="T949" s="3"/>
      <c r="U949" s="3"/>
      <c r="V949" s="3"/>
      <c r="W949" s="3"/>
      <c r="X949" s="3"/>
      <c r="Y949" s="3"/>
      <c r="Z949" s="3"/>
    </row>
    <row r="950" ht="15.75" customHeight="1">
      <c r="C950" s="2"/>
      <c r="R950" s="3"/>
      <c r="S950" s="3"/>
      <c r="T950" s="3"/>
      <c r="U950" s="3"/>
      <c r="V950" s="3"/>
      <c r="W950" s="3"/>
      <c r="X950" s="3"/>
      <c r="Y950" s="3"/>
      <c r="Z950" s="3"/>
    </row>
    <row r="951" ht="15.75" customHeight="1">
      <c r="C951" s="2"/>
      <c r="R951" s="3"/>
      <c r="S951" s="3"/>
      <c r="T951" s="3"/>
      <c r="U951" s="3"/>
      <c r="V951" s="3"/>
      <c r="W951" s="3"/>
      <c r="X951" s="3"/>
      <c r="Y951" s="3"/>
      <c r="Z951" s="3"/>
    </row>
    <row r="952" ht="15.75" customHeight="1">
      <c r="C952" s="2"/>
      <c r="R952" s="3"/>
      <c r="S952" s="3"/>
      <c r="T952" s="3"/>
      <c r="U952" s="3"/>
      <c r="V952" s="3"/>
      <c r="W952" s="3"/>
      <c r="X952" s="3"/>
      <c r="Y952" s="3"/>
      <c r="Z952" s="3"/>
    </row>
    <row r="953" ht="15.75" customHeight="1">
      <c r="C953" s="2"/>
      <c r="R953" s="3"/>
      <c r="S953" s="3"/>
      <c r="T953" s="3"/>
      <c r="U953" s="3"/>
      <c r="V953" s="3"/>
      <c r="W953" s="3"/>
      <c r="X953" s="3"/>
      <c r="Y953" s="3"/>
      <c r="Z953" s="3"/>
    </row>
    <row r="954" ht="15.75" customHeight="1">
      <c r="C954" s="2"/>
      <c r="R954" s="3"/>
      <c r="S954" s="3"/>
      <c r="T954" s="3"/>
      <c r="U954" s="3"/>
      <c r="V954" s="3"/>
      <c r="W954" s="3"/>
      <c r="X954" s="3"/>
      <c r="Y954" s="3"/>
      <c r="Z954" s="3"/>
    </row>
    <row r="955" ht="15.75" customHeight="1">
      <c r="C955" s="2"/>
      <c r="R955" s="3"/>
      <c r="S955" s="3"/>
      <c r="T955" s="3"/>
      <c r="U955" s="3"/>
      <c r="V955" s="3"/>
      <c r="W955" s="3"/>
      <c r="X955" s="3"/>
      <c r="Y955" s="3"/>
      <c r="Z955" s="3"/>
    </row>
    <row r="956" ht="15.75" customHeight="1">
      <c r="C956" s="2"/>
      <c r="R956" s="3"/>
      <c r="S956" s="3"/>
      <c r="T956" s="3"/>
      <c r="U956" s="3"/>
      <c r="V956" s="3"/>
      <c r="W956" s="3"/>
      <c r="X956" s="3"/>
      <c r="Y956" s="3"/>
      <c r="Z956" s="3"/>
    </row>
    <row r="957" ht="15.75" customHeight="1">
      <c r="C957" s="2"/>
      <c r="R957" s="3"/>
      <c r="S957" s="3"/>
      <c r="T957" s="3"/>
      <c r="U957" s="3"/>
      <c r="V957" s="3"/>
      <c r="W957" s="3"/>
      <c r="X957" s="3"/>
      <c r="Y957" s="3"/>
      <c r="Z957" s="3"/>
    </row>
    <row r="958" ht="15.75" customHeight="1">
      <c r="C958" s="2"/>
      <c r="R958" s="3"/>
      <c r="S958" s="3"/>
      <c r="T958" s="3"/>
      <c r="U958" s="3"/>
      <c r="V958" s="3"/>
      <c r="W958" s="3"/>
      <c r="X958" s="3"/>
      <c r="Y958" s="3"/>
      <c r="Z958" s="3"/>
    </row>
    <row r="959" ht="15.75" customHeight="1">
      <c r="C959" s="2"/>
      <c r="R959" s="3"/>
      <c r="S959" s="3"/>
      <c r="T959" s="3"/>
      <c r="U959" s="3"/>
      <c r="V959" s="3"/>
      <c r="W959" s="3"/>
      <c r="X959" s="3"/>
      <c r="Y959" s="3"/>
      <c r="Z959" s="3"/>
    </row>
    <row r="960" ht="15.75" customHeight="1">
      <c r="C960" s="2"/>
      <c r="R960" s="3"/>
      <c r="S960" s="3"/>
      <c r="T960" s="3"/>
      <c r="U960" s="3"/>
      <c r="V960" s="3"/>
      <c r="W960" s="3"/>
      <c r="X960" s="3"/>
      <c r="Y960" s="3"/>
      <c r="Z960" s="3"/>
    </row>
    <row r="961" ht="15.75" customHeight="1">
      <c r="C961" s="2"/>
      <c r="R961" s="3"/>
      <c r="S961" s="3"/>
      <c r="T961" s="3"/>
      <c r="U961" s="3"/>
      <c r="V961" s="3"/>
      <c r="W961" s="3"/>
      <c r="X961" s="3"/>
      <c r="Y961" s="3"/>
      <c r="Z961" s="3"/>
    </row>
    <row r="962" ht="15.75" customHeight="1">
      <c r="C962" s="2"/>
      <c r="R962" s="3"/>
      <c r="S962" s="3"/>
      <c r="T962" s="3"/>
      <c r="U962" s="3"/>
      <c r="V962" s="3"/>
      <c r="W962" s="3"/>
      <c r="X962" s="3"/>
      <c r="Y962" s="3"/>
      <c r="Z962" s="3"/>
    </row>
    <row r="963" ht="15.75" customHeight="1">
      <c r="C963" s="2"/>
      <c r="R963" s="3"/>
      <c r="S963" s="3"/>
      <c r="T963" s="3"/>
      <c r="U963" s="3"/>
      <c r="V963" s="3"/>
      <c r="W963" s="3"/>
      <c r="X963" s="3"/>
      <c r="Y963" s="3"/>
      <c r="Z963" s="3"/>
    </row>
    <row r="964" ht="15.75" customHeight="1">
      <c r="C964" s="2"/>
      <c r="R964" s="3"/>
      <c r="S964" s="3"/>
      <c r="T964" s="3"/>
      <c r="U964" s="3"/>
      <c r="V964" s="3"/>
      <c r="W964" s="3"/>
      <c r="X964" s="3"/>
      <c r="Y964" s="3"/>
      <c r="Z964" s="3"/>
    </row>
    <row r="965" ht="15.75" customHeight="1">
      <c r="C965" s="2"/>
      <c r="R965" s="3"/>
      <c r="S965" s="3"/>
      <c r="T965" s="3"/>
      <c r="U965" s="3"/>
      <c r="V965" s="3"/>
      <c r="W965" s="3"/>
      <c r="X965" s="3"/>
      <c r="Y965" s="3"/>
      <c r="Z965" s="3"/>
    </row>
    <row r="966" ht="15.75" customHeight="1">
      <c r="C966" s="2"/>
      <c r="R966" s="3"/>
      <c r="S966" s="3"/>
      <c r="T966" s="3"/>
      <c r="U966" s="3"/>
      <c r="V966" s="3"/>
      <c r="W966" s="3"/>
      <c r="X966" s="3"/>
      <c r="Y966" s="3"/>
      <c r="Z966" s="3"/>
    </row>
    <row r="967" ht="15.75" customHeight="1">
      <c r="C967" s="2"/>
      <c r="R967" s="3"/>
      <c r="S967" s="3"/>
      <c r="T967" s="3"/>
      <c r="U967" s="3"/>
      <c r="V967" s="3"/>
      <c r="W967" s="3"/>
      <c r="X967" s="3"/>
      <c r="Y967" s="3"/>
      <c r="Z967" s="3"/>
    </row>
    <row r="968" ht="15.75" customHeight="1">
      <c r="C968" s="2"/>
      <c r="R968" s="3"/>
      <c r="S968" s="3"/>
      <c r="T968" s="3"/>
      <c r="U968" s="3"/>
      <c r="V968" s="3"/>
      <c r="W968" s="3"/>
      <c r="X968" s="3"/>
      <c r="Y968" s="3"/>
      <c r="Z968" s="3"/>
    </row>
    <row r="969" ht="15.75" customHeight="1">
      <c r="C969" s="2"/>
      <c r="R969" s="3"/>
      <c r="S969" s="3"/>
      <c r="T969" s="3"/>
      <c r="U969" s="3"/>
      <c r="V969" s="3"/>
      <c r="W969" s="3"/>
      <c r="X969" s="3"/>
      <c r="Y969" s="3"/>
      <c r="Z969" s="3"/>
    </row>
    <row r="970" ht="15.75" customHeight="1">
      <c r="C970" s="2"/>
      <c r="R970" s="3"/>
      <c r="S970" s="3"/>
      <c r="T970" s="3"/>
      <c r="U970" s="3"/>
      <c r="V970" s="3"/>
      <c r="W970" s="3"/>
      <c r="X970" s="3"/>
      <c r="Y970" s="3"/>
      <c r="Z970" s="3"/>
    </row>
    <row r="971" ht="15.75" customHeight="1">
      <c r="C971" s="2"/>
      <c r="R971" s="3"/>
      <c r="S971" s="3"/>
      <c r="T971" s="3"/>
      <c r="U971" s="3"/>
      <c r="V971" s="3"/>
      <c r="W971" s="3"/>
      <c r="X971" s="3"/>
      <c r="Y971" s="3"/>
      <c r="Z971" s="3"/>
    </row>
    <row r="972" ht="15.75" customHeight="1">
      <c r="C972" s="2"/>
      <c r="R972" s="3"/>
      <c r="S972" s="3"/>
      <c r="T972" s="3"/>
      <c r="U972" s="3"/>
      <c r="V972" s="3"/>
      <c r="W972" s="3"/>
      <c r="X972" s="3"/>
      <c r="Y972" s="3"/>
      <c r="Z972" s="3"/>
    </row>
    <row r="973" ht="15.75" customHeight="1">
      <c r="C973" s="2"/>
      <c r="R973" s="3"/>
      <c r="S973" s="3"/>
      <c r="T973" s="3"/>
      <c r="U973" s="3"/>
      <c r="V973" s="3"/>
      <c r="W973" s="3"/>
      <c r="X973" s="3"/>
      <c r="Y973" s="3"/>
      <c r="Z973" s="3"/>
    </row>
    <row r="974" ht="15.75" customHeight="1">
      <c r="C974" s="2"/>
      <c r="R974" s="3"/>
      <c r="S974" s="3"/>
      <c r="T974" s="3"/>
      <c r="U974" s="3"/>
      <c r="V974" s="3"/>
      <c r="W974" s="3"/>
      <c r="X974" s="3"/>
      <c r="Y974" s="3"/>
      <c r="Z974" s="3"/>
    </row>
    <row r="975" ht="15.75" customHeight="1">
      <c r="C975" s="2"/>
      <c r="R975" s="3"/>
      <c r="S975" s="3"/>
      <c r="T975" s="3"/>
      <c r="U975" s="3"/>
      <c r="V975" s="3"/>
      <c r="W975" s="3"/>
      <c r="X975" s="3"/>
      <c r="Y975" s="3"/>
      <c r="Z975" s="3"/>
    </row>
    <row r="976" ht="15.75" customHeight="1">
      <c r="C976" s="2"/>
      <c r="R976" s="3"/>
      <c r="S976" s="3"/>
      <c r="T976" s="3"/>
      <c r="U976" s="3"/>
      <c r="V976" s="3"/>
      <c r="W976" s="3"/>
      <c r="X976" s="3"/>
      <c r="Y976" s="3"/>
      <c r="Z976" s="3"/>
    </row>
    <row r="977" ht="15.75" customHeight="1">
      <c r="C977" s="2"/>
      <c r="R977" s="3"/>
      <c r="S977" s="3"/>
      <c r="T977" s="3"/>
      <c r="U977" s="3"/>
      <c r="V977" s="3"/>
      <c r="W977" s="3"/>
      <c r="X977" s="3"/>
      <c r="Y977" s="3"/>
      <c r="Z977" s="3"/>
    </row>
    <row r="978" ht="15.75" customHeight="1">
      <c r="C978" s="2"/>
      <c r="R978" s="3"/>
      <c r="S978" s="3"/>
      <c r="T978" s="3"/>
      <c r="U978" s="3"/>
      <c r="V978" s="3"/>
      <c r="W978" s="3"/>
      <c r="X978" s="3"/>
      <c r="Y978" s="3"/>
      <c r="Z978" s="3"/>
    </row>
    <row r="979" ht="15.75" customHeight="1">
      <c r="C979" s="2"/>
      <c r="R979" s="3"/>
      <c r="S979" s="3"/>
      <c r="T979" s="3"/>
      <c r="U979" s="3"/>
      <c r="V979" s="3"/>
      <c r="W979" s="3"/>
      <c r="X979" s="3"/>
      <c r="Y979" s="3"/>
      <c r="Z979" s="3"/>
    </row>
    <row r="980" ht="15.75" customHeight="1">
      <c r="C980" s="2"/>
      <c r="R980" s="3"/>
      <c r="S980" s="3"/>
      <c r="T980" s="3"/>
      <c r="U980" s="3"/>
      <c r="V980" s="3"/>
      <c r="W980" s="3"/>
      <c r="X980" s="3"/>
      <c r="Y980" s="3"/>
      <c r="Z980" s="3"/>
    </row>
    <row r="981" ht="15.75" customHeight="1">
      <c r="C981" s="2"/>
      <c r="R981" s="3"/>
      <c r="S981" s="3"/>
      <c r="T981" s="3"/>
      <c r="U981" s="3"/>
      <c r="V981" s="3"/>
      <c r="W981" s="3"/>
      <c r="X981" s="3"/>
      <c r="Y981" s="3"/>
      <c r="Z981" s="3"/>
    </row>
    <row r="982" ht="15.75" customHeight="1">
      <c r="C982" s="2"/>
      <c r="R982" s="3"/>
      <c r="S982" s="3"/>
      <c r="T982" s="3"/>
      <c r="U982" s="3"/>
      <c r="V982" s="3"/>
      <c r="W982" s="3"/>
      <c r="X982" s="3"/>
      <c r="Y982" s="3"/>
      <c r="Z982" s="3"/>
    </row>
    <row r="983" ht="15.75" customHeight="1">
      <c r="C983" s="2"/>
      <c r="R983" s="3"/>
      <c r="S983" s="3"/>
      <c r="T983" s="3"/>
      <c r="U983" s="3"/>
      <c r="V983" s="3"/>
      <c r="W983" s="3"/>
      <c r="X983" s="3"/>
      <c r="Y983" s="3"/>
      <c r="Z983" s="3"/>
    </row>
    <row r="984" ht="15.75" customHeight="1">
      <c r="C984" s="2"/>
      <c r="R984" s="3"/>
      <c r="S984" s="3"/>
      <c r="T984" s="3"/>
      <c r="U984" s="3"/>
      <c r="V984" s="3"/>
      <c r="W984" s="3"/>
      <c r="X984" s="3"/>
      <c r="Y984" s="3"/>
      <c r="Z984" s="3"/>
    </row>
    <row r="985" ht="15.75" customHeight="1">
      <c r="C985" s="2"/>
      <c r="R985" s="3"/>
      <c r="S985" s="3"/>
      <c r="T985" s="3"/>
      <c r="U985" s="3"/>
      <c r="V985" s="3"/>
      <c r="W985" s="3"/>
      <c r="X985" s="3"/>
      <c r="Y985" s="3"/>
      <c r="Z985" s="3"/>
    </row>
    <row r="986" ht="15.75" customHeight="1">
      <c r="C986" s="2"/>
      <c r="R986" s="3"/>
      <c r="S986" s="3"/>
      <c r="T986" s="3"/>
      <c r="U986" s="3"/>
      <c r="V986" s="3"/>
      <c r="W986" s="3"/>
      <c r="X986" s="3"/>
      <c r="Y986" s="3"/>
      <c r="Z986" s="3"/>
    </row>
    <row r="987" ht="15.75" customHeight="1">
      <c r="C987" s="2"/>
      <c r="R987" s="3"/>
      <c r="S987" s="3"/>
      <c r="T987" s="3"/>
      <c r="U987" s="3"/>
      <c r="V987" s="3"/>
      <c r="W987" s="3"/>
      <c r="X987" s="3"/>
      <c r="Y987" s="3"/>
      <c r="Z987" s="3"/>
    </row>
    <row r="988" ht="15.75" customHeight="1">
      <c r="C988" s="2"/>
      <c r="R988" s="3"/>
      <c r="S988" s="3"/>
      <c r="T988" s="3"/>
      <c r="U988" s="3"/>
      <c r="V988" s="3"/>
      <c r="W988" s="3"/>
      <c r="X988" s="3"/>
      <c r="Y988" s="3"/>
      <c r="Z988" s="3"/>
    </row>
    <row r="989" ht="15.75" customHeight="1">
      <c r="C989" s="2"/>
      <c r="R989" s="3"/>
      <c r="S989" s="3"/>
      <c r="T989" s="3"/>
      <c r="U989" s="3"/>
      <c r="V989" s="3"/>
      <c r="W989" s="3"/>
      <c r="X989" s="3"/>
      <c r="Y989" s="3"/>
      <c r="Z989" s="3"/>
    </row>
    <row r="990" ht="15.75" customHeight="1">
      <c r="C990" s="2"/>
      <c r="R990" s="3"/>
      <c r="S990" s="3"/>
      <c r="T990" s="3"/>
      <c r="U990" s="3"/>
      <c r="V990" s="3"/>
      <c r="W990" s="3"/>
      <c r="X990" s="3"/>
      <c r="Y990" s="3"/>
      <c r="Z990" s="3"/>
    </row>
    <row r="991" ht="15.75" customHeight="1">
      <c r="C991" s="2"/>
      <c r="R991" s="3"/>
      <c r="S991" s="3"/>
      <c r="T991" s="3"/>
      <c r="U991" s="3"/>
      <c r="V991" s="3"/>
      <c r="W991" s="3"/>
      <c r="X991" s="3"/>
      <c r="Y991" s="3"/>
      <c r="Z991" s="3"/>
    </row>
    <row r="992" ht="15.75" customHeight="1">
      <c r="C992" s="2"/>
      <c r="R992" s="3"/>
      <c r="S992" s="3"/>
      <c r="T992" s="3"/>
      <c r="U992" s="3"/>
      <c r="V992" s="3"/>
      <c r="W992" s="3"/>
      <c r="X992" s="3"/>
      <c r="Y992" s="3"/>
      <c r="Z992" s="3"/>
    </row>
    <row r="993" ht="15.75" customHeight="1">
      <c r="C993" s="2"/>
      <c r="R993" s="3"/>
      <c r="S993" s="3"/>
      <c r="T993" s="3"/>
      <c r="U993" s="3"/>
      <c r="V993" s="3"/>
      <c r="W993" s="3"/>
      <c r="X993" s="3"/>
      <c r="Y993" s="3"/>
      <c r="Z993" s="3"/>
    </row>
    <row r="994" ht="15.75" customHeight="1">
      <c r="C994" s="2"/>
      <c r="R994" s="3"/>
      <c r="S994" s="3"/>
      <c r="T994" s="3"/>
      <c r="U994" s="3"/>
      <c r="V994" s="3"/>
      <c r="W994" s="3"/>
      <c r="X994" s="3"/>
      <c r="Y994" s="3"/>
      <c r="Z994" s="3"/>
    </row>
    <row r="995" ht="15.75" customHeight="1">
      <c r="C995" s="2"/>
      <c r="R995" s="3"/>
      <c r="S995" s="3"/>
      <c r="T995" s="3"/>
      <c r="U995" s="3"/>
      <c r="V995" s="3"/>
      <c r="W995" s="3"/>
      <c r="X995" s="3"/>
      <c r="Y995" s="3"/>
      <c r="Z995" s="3"/>
    </row>
    <row r="996" ht="15.75" customHeight="1">
      <c r="C996" s="2"/>
      <c r="R996" s="3"/>
      <c r="S996" s="3"/>
      <c r="T996" s="3"/>
      <c r="U996" s="3"/>
      <c r="V996" s="3"/>
      <c r="W996" s="3"/>
      <c r="X996" s="3"/>
      <c r="Y996" s="3"/>
      <c r="Z996" s="3"/>
    </row>
    <row r="997" ht="15.75" customHeight="1">
      <c r="C997" s="2"/>
      <c r="R997" s="3"/>
      <c r="S997" s="3"/>
      <c r="T997" s="3"/>
      <c r="U997" s="3"/>
      <c r="V997" s="3"/>
      <c r="W997" s="3"/>
      <c r="X997" s="3"/>
      <c r="Y997" s="3"/>
      <c r="Z997" s="3"/>
    </row>
    <row r="998" ht="15.75" customHeight="1">
      <c r="C998" s="2"/>
      <c r="R998" s="3"/>
      <c r="S998" s="3"/>
      <c r="T998" s="3"/>
      <c r="U998" s="3"/>
      <c r="V998" s="3"/>
      <c r="W998" s="3"/>
      <c r="X998" s="3"/>
      <c r="Y998" s="3"/>
      <c r="Z998" s="3"/>
    </row>
    <row r="999" ht="15.75" customHeight="1">
      <c r="C999" s="2"/>
      <c r="R999" s="3"/>
      <c r="S999" s="3"/>
      <c r="T999" s="3"/>
      <c r="U999" s="3"/>
      <c r="V999" s="3"/>
      <c r="W999" s="3"/>
      <c r="X999" s="3"/>
      <c r="Y999" s="3"/>
      <c r="Z999" s="3"/>
    </row>
    <row r="1000" ht="15.75" customHeight="1">
      <c r="C1000" s="2"/>
      <c r="R1000" s="3"/>
      <c r="S1000" s="3"/>
      <c r="T1000" s="3"/>
      <c r="U1000" s="3"/>
      <c r="V1000" s="3"/>
      <c r="W1000" s="3"/>
      <c r="X1000" s="3"/>
      <c r="Y1000" s="3"/>
      <c r="Z1000" s="3"/>
    </row>
  </sheetData>
  <mergeCells count="23">
    <mergeCell ref="A1:P1"/>
    <mergeCell ref="B2:P2"/>
    <mergeCell ref="J3:L3"/>
    <mergeCell ref="N3:P3"/>
    <mergeCell ref="K4:L4"/>
    <mergeCell ref="M134:O134"/>
    <mergeCell ref="A135:P135"/>
    <mergeCell ref="A136:P136"/>
    <mergeCell ref="B137:D137"/>
    <mergeCell ref="F137:G137"/>
    <mergeCell ref="H137:K137"/>
    <mergeCell ref="F138:G138"/>
    <mergeCell ref="J138:K138"/>
    <mergeCell ref="A139:B139"/>
    <mergeCell ref="I141:K141"/>
    <mergeCell ref="L141:P141"/>
    <mergeCell ref="D139:E139"/>
    <mergeCell ref="B140:D140"/>
    <mergeCell ref="F140:G140"/>
    <mergeCell ref="H140:K140"/>
    <mergeCell ref="L140:P140"/>
    <mergeCell ref="B141:D141"/>
    <mergeCell ref="F141:G141"/>
  </mergeCells>
  <printOptions/>
  <pageMargins bottom="0.75" footer="0.0" header="0.0" left="0.7" right="0.7" top="0.75"/>
  <pageSetup paperSize="5"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74806"/>
    <pageSetUpPr/>
  </sheetPr>
  <sheetViews>
    <sheetView workbookViewId="0"/>
  </sheetViews>
  <sheetFormatPr customHeight="1" defaultColWidth="14.43" defaultRowHeight="15.0"/>
  <cols>
    <col customWidth="1" min="1" max="1" width="13.29"/>
    <col customWidth="1" min="2" max="2" width="4.71"/>
    <col customWidth="1" min="3" max="3" width="11.43"/>
    <col customWidth="1" min="4" max="4" width="9.57"/>
    <col customWidth="1" min="5" max="5" width="16.71"/>
    <col customWidth="1" min="6" max="6" width="11.14"/>
    <col customWidth="1" min="7" max="7" width="7.86"/>
    <col customWidth="1" min="8" max="8" width="8.71"/>
    <col customWidth="1" min="9" max="9" width="8.43"/>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A1" s="3"/>
      <c r="B1" s="465" t="s">
        <v>14157</v>
      </c>
      <c r="S1" s="3"/>
      <c r="T1" s="3"/>
      <c r="U1" s="3"/>
      <c r="V1" s="3"/>
      <c r="W1" s="3"/>
      <c r="X1" s="3"/>
      <c r="Y1" s="3"/>
      <c r="Z1" s="3"/>
    </row>
    <row r="2">
      <c r="A2" s="3"/>
      <c r="B2" s="400" t="s">
        <v>1</v>
      </c>
      <c r="C2" s="6"/>
      <c r="D2" s="6"/>
      <c r="E2" s="6"/>
      <c r="F2" s="6"/>
      <c r="G2" s="6"/>
      <c r="H2" s="6"/>
      <c r="I2" s="6"/>
      <c r="J2" s="6"/>
      <c r="K2" s="6"/>
      <c r="L2" s="6"/>
      <c r="M2" s="6"/>
      <c r="N2" s="6"/>
      <c r="O2" s="6"/>
      <c r="P2" s="6"/>
      <c r="Q2" s="7"/>
      <c r="S2" s="3"/>
      <c r="T2" s="3"/>
      <c r="U2" s="3"/>
      <c r="V2" s="3"/>
      <c r="W2" s="3"/>
      <c r="X2" s="3"/>
      <c r="Y2" s="3"/>
      <c r="Z2" s="3"/>
    </row>
    <row r="3">
      <c r="A3" s="3"/>
      <c r="B3" s="321"/>
      <c r="C3" s="403"/>
      <c r="D3" s="9"/>
      <c r="E3" s="402"/>
      <c r="F3" s="9"/>
      <c r="G3" s="403"/>
      <c r="H3" s="403"/>
      <c r="I3" s="403"/>
      <c r="J3" s="9"/>
      <c r="K3" s="466"/>
      <c r="M3" s="13"/>
      <c r="N3" s="14" t="s">
        <v>3</v>
      </c>
      <c r="O3" s="15" t="s">
        <v>14158</v>
      </c>
      <c r="P3" s="16"/>
      <c r="Q3" s="17"/>
      <c r="S3" s="3"/>
      <c r="T3" s="3"/>
      <c r="U3" s="3"/>
      <c r="V3" s="3"/>
      <c r="W3" s="3"/>
      <c r="X3" s="3"/>
      <c r="Y3" s="3"/>
      <c r="Z3" s="3"/>
    </row>
    <row r="4">
      <c r="A4" s="3"/>
      <c r="B4" s="321"/>
      <c r="C4" s="403"/>
      <c r="D4" s="9"/>
      <c r="E4" s="402"/>
      <c r="F4" s="9"/>
      <c r="G4" s="403"/>
      <c r="H4" s="321"/>
      <c r="I4" s="403"/>
      <c r="J4" s="9"/>
      <c r="K4" s="403"/>
      <c r="L4" s="467"/>
      <c r="M4" s="407"/>
      <c r="N4" s="9"/>
      <c r="O4" s="403"/>
      <c r="P4" s="403"/>
      <c r="Q4" s="408"/>
      <c r="S4" s="3"/>
      <c r="T4" s="3"/>
      <c r="U4" s="3"/>
      <c r="V4" s="3"/>
      <c r="W4" s="3"/>
      <c r="X4" s="3"/>
      <c r="Y4" s="3"/>
      <c r="Z4" s="3"/>
    </row>
    <row r="5">
      <c r="A5" s="3"/>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411" t="s">
        <v>22</v>
      </c>
      <c r="S5" s="3"/>
      <c r="T5" s="3"/>
      <c r="U5" s="3"/>
      <c r="V5" s="3"/>
      <c r="W5" s="3"/>
      <c r="X5" s="3"/>
      <c r="Y5" s="3"/>
      <c r="Z5" s="3"/>
    </row>
    <row r="6">
      <c r="A6" s="41"/>
      <c r="B6" s="413"/>
      <c r="C6" s="186" t="s">
        <v>14159</v>
      </c>
      <c r="D6" s="192" t="s">
        <v>14160</v>
      </c>
      <c r="E6" s="35" t="s">
        <v>14161</v>
      </c>
      <c r="F6" s="186" t="s">
        <v>92</v>
      </c>
      <c r="G6" s="186" t="s">
        <v>29</v>
      </c>
      <c r="H6" s="186" t="s">
        <v>37</v>
      </c>
      <c r="I6" s="186"/>
      <c r="J6" s="186" t="s">
        <v>2184</v>
      </c>
      <c r="K6" s="186">
        <v>704.0</v>
      </c>
      <c r="L6" s="186"/>
      <c r="M6" s="186" t="s">
        <v>14162</v>
      </c>
      <c r="N6" s="186" t="s">
        <v>365</v>
      </c>
      <c r="O6" s="186">
        <v>1983.0</v>
      </c>
      <c r="P6" s="191">
        <v>2.0</v>
      </c>
      <c r="Q6" s="186">
        <v>1.0</v>
      </c>
      <c r="R6" s="415">
        <v>1.0</v>
      </c>
      <c r="S6" s="416"/>
      <c r="T6" s="41"/>
      <c r="U6" s="41"/>
      <c r="V6" s="41"/>
      <c r="W6" s="41"/>
      <c r="X6" s="41"/>
      <c r="Y6" s="41"/>
      <c r="Z6" s="41"/>
    </row>
    <row r="7">
      <c r="A7" s="41"/>
      <c r="B7" s="413"/>
      <c r="C7" s="186" t="s">
        <v>14159</v>
      </c>
      <c r="D7" s="192" t="s">
        <v>14160</v>
      </c>
      <c r="E7" s="35" t="s">
        <v>14163</v>
      </c>
      <c r="F7" s="186" t="s">
        <v>92</v>
      </c>
      <c r="G7" s="186" t="s">
        <v>29</v>
      </c>
      <c r="H7" s="186" t="s">
        <v>37</v>
      </c>
      <c r="I7" s="186"/>
      <c r="J7" s="186" t="s">
        <v>2184</v>
      </c>
      <c r="K7" s="186">
        <v>1084.0</v>
      </c>
      <c r="L7" s="186"/>
      <c r="M7" s="186" t="s">
        <v>14162</v>
      </c>
      <c r="N7" s="186" t="s">
        <v>365</v>
      </c>
      <c r="O7" s="186">
        <v>1983.0</v>
      </c>
      <c r="P7" s="191">
        <v>2.0</v>
      </c>
      <c r="Q7" s="186">
        <v>1.0</v>
      </c>
      <c r="R7" s="415">
        <v>1.0</v>
      </c>
      <c r="S7" s="416"/>
      <c r="T7" s="41"/>
      <c r="U7" s="41"/>
      <c r="V7" s="41"/>
      <c r="W7" s="41"/>
      <c r="X7" s="41"/>
      <c r="Y7" s="41"/>
      <c r="Z7" s="41"/>
    </row>
    <row r="8">
      <c r="A8" s="3"/>
      <c r="B8" s="342">
        <v>3.0</v>
      </c>
      <c r="C8" s="433" t="s">
        <v>14164</v>
      </c>
      <c r="D8" s="14" t="s">
        <v>14165</v>
      </c>
      <c r="E8" s="434" t="s">
        <v>14166</v>
      </c>
      <c r="F8" s="433" t="s">
        <v>92</v>
      </c>
      <c r="G8" s="433" t="s">
        <v>29</v>
      </c>
      <c r="H8" s="433" t="s">
        <v>37</v>
      </c>
      <c r="I8" s="433"/>
      <c r="J8" s="433" t="s">
        <v>38</v>
      </c>
      <c r="K8" s="433">
        <v>1347.0</v>
      </c>
      <c r="L8" s="433"/>
      <c r="M8" s="433" t="s">
        <v>14167</v>
      </c>
      <c r="N8" s="433" t="s">
        <v>14168</v>
      </c>
      <c r="O8" s="433">
        <v>1983.0</v>
      </c>
      <c r="P8" s="433" t="s">
        <v>388</v>
      </c>
      <c r="Q8" s="433">
        <v>2.0</v>
      </c>
      <c r="R8" s="435"/>
      <c r="S8" s="3"/>
      <c r="T8" s="3"/>
      <c r="U8" s="3"/>
      <c r="V8" s="3"/>
      <c r="W8" s="3"/>
      <c r="X8" s="3"/>
      <c r="Y8" s="3"/>
      <c r="Z8" s="3"/>
    </row>
    <row r="9">
      <c r="A9" s="45"/>
      <c r="B9" s="468">
        <v>5.0</v>
      </c>
      <c r="C9" s="417" t="s">
        <v>31</v>
      </c>
      <c r="D9" s="417" t="s">
        <v>14169</v>
      </c>
      <c r="E9" s="418" t="s">
        <v>14170</v>
      </c>
      <c r="F9" s="417" t="s">
        <v>92</v>
      </c>
      <c r="G9" s="417" t="s">
        <v>29</v>
      </c>
      <c r="H9" s="417" t="s">
        <v>37</v>
      </c>
      <c r="I9" s="417"/>
      <c r="J9" s="417" t="s">
        <v>38</v>
      </c>
      <c r="K9" s="417">
        <v>2157.0</v>
      </c>
      <c r="L9" s="417"/>
      <c r="M9" s="417" t="s">
        <v>14171</v>
      </c>
      <c r="N9" s="417" t="s">
        <v>14172</v>
      </c>
      <c r="O9" s="417" t="s">
        <v>31</v>
      </c>
      <c r="P9" s="417" t="s">
        <v>388</v>
      </c>
      <c r="Q9" s="417">
        <v>1.0</v>
      </c>
      <c r="R9" s="419"/>
      <c r="S9" s="149"/>
      <c r="T9" s="45"/>
      <c r="U9" s="45"/>
      <c r="V9" s="45"/>
      <c r="W9" s="45"/>
      <c r="X9" s="45"/>
      <c r="Y9" s="45"/>
      <c r="Z9" s="45"/>
    </row>
    <row r="10">
      <c r="A10" s="45"/>
      <c r="B10" s="28">
        <v>6.0</v>
      </c>
      <c r="C10" s="186" t="s">
        <v>14173</v>
      </c>
      <c r="D10" s="192" t="s">
        <v>14174</v>
      </c>
      <c r="E10" s="188" t="s">
        <v>14175</v>
      </c>
      <c r="F10" s="186" t="s">
        <v>92</v>
      </c>
      <c r="G10" s="186" t="s">
        <v>29</v>
      </c>
      <c r="H10" s="186" t="s">
        <v>37</v>
      </c>
      <c r="I10" s="186"/>
      <c r="J10" s="186" t="s">
        <v>38</v>
      </c>
      <c r="K10" s="191">
        <v>1297.0</v>
      </c>
      <c r="L10" s="186"/>
      <c r="M10" s="191" t="s">
        <v>14176</v>
      </c>
      <c r="N10" s="186" t="s">
        <v>14172</v>
      </c>
      <c r="O10" s="191">
        <v>1979.0</v>
      </c>
      <c r="P10" s="191">
        <v>2.0</v>
      </c>
      <c r="Q10" s="186">
        <v>1.0</v>
      </c>
      <c r="R10" s="37">
        <v>1.0</v>
      </c>
      <c r="S10" s="149"/>
      <c r="T10" s="45"/>
      <c r="U10" s="45"/>
      <c r="V10" s="45"/>
      <c r="W10" s="45"/>
      <c r="X10" s="45"/>
      <c r="Y10" s="45"/>
      <c r="Z10" s="45"/>
    </row>
    <row r="11">
      <c r="A11" s="45"/>
      <c r="B11" s="28">
        <v>7.0</v>
      </c>
      <c r="C11" s="186" t="s">
        <v>31</v>
      </c>
      <c r="D11" s="192" t="s">
        <v>14177</v>
      </c>
      <c r="E11" s="188" t="s">
        <v>13498</v>
      </c>
      <c r="F11" s="186" t="s">
        <v>92</v>
      </c>
      <c r="G11" s="186" t="s">
        <v>29</v>
      </c>
      <c r="H11" s="186" t="s">
        <v>37</v>
      </c>
      <c r="I11" s="186"/>
      <c r="J11" s="186" t="s">
        <v>38</v>
      </c>
      <c r="K11" s="186">
        <v>1090.0</v>
      </c>
      <c r="L11" s="186"/>
      <c r="M11" s="191" t="s">
        <v>14178</v>
      </c>
      <c r="N11" s="186" t="s">
        <v>14179</v>
      </c>
      <c r="O11" s="186" t="s">
        <v>31</v>
      </c>
      <c r="P11" s="191">
        <v>2.0</v>
      </c>
      <c r="Q11" s="186">
        <v>1.0</v>
      </c>
      <c r="R11" s="37">
        <v>1.0</v>
      </c>
      <c r="S11" s="149"/>
      <c r="T11" s="45"/>
      <c r="U11" s="45"/>
      <c r="V11" s="45"/>
      <c r="W11" s="45"/>
      <c r="X11" s="45"/>
      <c r="Y11" s="45"/>
      <c r="Z11" s="45"/>
    </row>
    <row r="12">
      <c r="A12" s="45"/>
      <c r="B12" s="28"/>
      <c r="C12" s="186" t="s">
        <v>13550</v>
      </c>
      <c r="D12" s="192" t="s">
        <v>14180</v>
      </c>
      <c r="E12" s="188" t="s">
        <v>14181</v>
      </c>
      <c r="F12" s="186" t="s">
        <v>92</v>
      </c>
      <c r="G12" s="186" t="s">
        <v>29</v>
      </c>
      <c r="H12" s="186" t="s">
        <v>37</v>
      </c>
      <c r="I12" s="186"/>
      <c r="J12" s="186" t="s">
        <v>38</v>
      </c>
      <c r="K12" s="186">
        <v>115.0</v>
      </c>
      <c r="L12" s="186"/>
      <c r="M12" s="191" t="s">
        <v>14178</v>
      </c>
      <c r="N12" s="186" t="s">
        <v>2903</v>
      </c>
      <c r="O12" s="186" t="s">
        <v>31</v>
      </c>
      <c r="P12" s="191">
        <v>2.0</v>
      </c>
      <c r="Q12" s="186">
        <v>1.0</v>
      </c>
      <c r="R12" s="37">
        <v>1.0</v>
      </c>
      <c r="S12" s="149"/>
      <c r="T12" s="45"/>
      <c r="U12" s="45"/>
      <c r="V12" s="45"/>
      <c r="W12" s="45"/>
      <c r="X12" s="45"/>
      <c r="Y12" s="45"/>
      <c r="Z12" s="45"/>
    </row>
    <row r="13">
      <c r="A13" s="45"/>
      <c r="B13" s="28"/>
      <c r="C13" s="186" t="s">
        <v>13497</v>
      </c>
      <c r="D13" s="192" t="s">
        <v>14180</v>
      </c>
      <c r="E13" s="188" t="s">
        <v>14181</v>
      </c>
      <c r="F13" s="186" t="s">
        <v>92</v>
      </c>
      <c r="G13" s="186" t="s">
        <v>29</v>
      </c>
      <c r="H13" s="186" t="s">
        <v>37</v>
      </c>
      <c r="I13" s="186"/>
      <c r="J13" s="186" t="s">
        <v>38</v>
      </c>
      <c r="K13" s="186">
        <f>1090+93+23+20</f>
        <v>1226</v>
      </c>
      <c r="L13" s="186"/>
      <c r="M13" s="191" t="s">
        <v>14178</v>
      </c>
      <c r="N13" s="186" t="s">
        <v>49</v>
      </c>
      <c r="O13" s="186">
        <v>1979.0</v>
      </c>
      <c r="P13" s="191">
        <v>2.0</v>
      </c>
      <c r="Q13" s="186">
        <v>1.0</v>
      </c>
      <c r="R13" s="37">
        <v>1.0</v>
      </c>
      <c r="S13" s="149"/>
      <c r="T13" s="45"/>
      <c r="U13" s="45"/>
      <c r="V13" s="45"/>
      <c r="W13" s="45"/>
      <c r="X13" s="45"/>
      <c r="Y13" s="45"/>
      <c r="Z13" s="45"/>
    </row>
    <row r="14">
      <c r="A14" s="45"/>
      <c r="B14" s="28"/>
      <c r="C14" s="186"/>
      <c r="D14" s="192" t="s">
        <v>14182</v>
      </c>
      <c r="E14" s="188" t="s">
        <v>14183</v>
      </c>
      <c r="F14" s="186" t="s">
        <v>92</v>
      </c>
      <c r="G14" s="186" t="s">
        <v>29</v>
      </c>
      <c r="H14" s="186" t="s">
        <v>37</v>
      </c>
      <c r="I14" s="186"/>
      <c r="J14" s="186" t="s">
        <v>166</v>
      </c>
      <c r="K14" s="186">
        <v>482.0</v>
      </c>
      <c r="L14" s="186"/>
      <c r="M14" s="191" t="s">
        <v>14184</v>
      </c>
      <c r="N14" s="186" t="s">
        <v>1203</v>
      </c>
      <c r="O14" s="186">
        <v>1960.0</v>
      </c>
      <c r="P14" s="191">
        <v>2.0</v>
      </c>
      <c r="Q14" s="186">
        <v>1.0</v>
      </c>
      <c r="R14" s="37">
        <v>1.0</v>
      </c>
      <c r="S14" s="149"/>
      <c r="T14" s="45"/>
      <c r="U14" s="45"/>
      <c r="V14" s="45"/>
      <c r="W14" s="45"/>
      <c r="X14" s="45"/>
      <c r="Y14" s="45"/>
      <c r="Z14" s="45"/>
    </row>
    <row r="15">
      <c r="A15" s="45"/>
      <c r="B15" s="28"/>
      <c r="C15" s="186"/>
      <c r="D15" s="192" t="s">
        <v>14185</v>
      </c>
      <c r="E15" s="188" t="s">
        <v>14186</v>
      </c>
      <c r="F15" s="186" t="s">
        <v>92</v>
      </c>
      <c r="G15" s="186" t="s">
        <v>29</v>
      </c>
      <c r="H15" s="186" t="s">
        <v>6151</v>
      </c>
      <c r="I15" s="186"/>
      <c r="J15" s="186" t="s">
        <v>13317</v>
      </c>
      <c r="K15" s="186">
        <v>569.0</v>
      </c>
      <c r="L15" s="186"/>
      <c r="M15" s="186" t="s">
        <v>31</v>
      </c>
      <c r="N15" s="186" t="s">
        <v>14187</v>
      </c>
      <c r="O15" s="186">
        <v>1964.0</v>
      </c>
      <c r="P15" s="191">
        <v>2.0</v>
      </c>
      <c r="Q15" s="186">
        <v>1.0</v>
      </c>
      <c r="R15" s="37">
        <v>1.0</v>
      </c>
      <c r="S15" s="149"/>
      <c r="T15" s="45"/>
      <c r="U15" s="45"/>
      <c r="V15" s="45"/>
      <c r="W15" s="45"/>
      <c r="X15" s="45"/>
      <c r="Y15" s="45"/>
      <c r="Z15" s="45"/>
    </row>
    <row r="16">
      <c r="A16" s="45"/>
      <c r="B16" s="28"/>
      <c r="C16" s="186"/>
      <c r="D16" s="192" t="s">
        <v>14188</v>
      </c>
      <c r="E16" s="35" t="s">
        <v>14189</v>
      </c>
      <c r="F16" s="186" t="s">
        <v>92</v>
      </c>
      <c r="G16" s="186" t="s">
        <v>29</v>
      </c>
      <c r="H16" s="186" t="s">
        <v>3746</v>
      </c>
      <c r="I16" s="186"/>
      <c r="J16" s="186" t="s">
        <v>3746</v>
      </c>
      <c r="K16" s="186">
        <v>534.0</v>
      </c>
      <c r="L16" s="186"/>
      <c r="M16" s="191" t="s">
        <v>14190</v>
      </c>
      <c r="N16" s="186" t="s">
        <v>14191</v>
      </c>
      <c r="O16" s="186">
        <v>1953.0</v>
      </c>
      <c r="P16" s="191">
        <v>2.0</v>
      </c>
      <c r="Q16" s="186">
        <v>2.0</v>
      </c>
      <c r="R16" s="37">
        <v>2.0</v>
      </c>
      <c r="S16" s="149"/>
      <c r="T16" s="45"/>
      <c r="U16" s="45"/>
      <c r="V16" s="45"/>
      <c r="W16" s="45"/>
      <c r="X16" s="45"/>
      <c r="Y16" s="45"/>
      <c r="Z16" s="45"/>
    </row>
    <row r="17">
      <c r="A17" s="45"/>
      <c r="B17" s="28"/>
      <c r="C17" s="186"/>
      <c r="D17" s="192" t="s">
        <v>14192</v>
      </c>
      <c r="E17" s="35" t="s">
        <v>14193</v>
      </c>
      <c r="F17" s="186" t="s">
        <v>92</v>
      </c>
      <c r="G17" s="186" t="s">
        <v>29</v>
      </c>
      <c r="H17" s="186" t="s">
        <v>37</v>
      </c>
      <c r="I17" s="186"/>
      <c r="J17" s="186" t="s">
        <v>38</v>
      </c>
      <c r="K17" s="186">
        <v>999.0</v>
      </c>
      <c r="L17" s="186"/>
      <c r="M17" s="186" t="s">
        <v>11832</v>
      </c>
      <c r="N17" s="186" t="s">
        <v>524</v>
      </c>
      <c r="O17" s="186">
        <v>1976.0</v>
      </c>
      <c r="P17" s="191">
        <v>2.0</v>
      </c>
      <c r="Q17" s="186">
        <v>1.0</v>
      </c>
      <c r="R17" s="37">
        <v>1.0</v>
      </c>
      <c r="S17" s="149"/>
      <c r="T17" s="45"/>
      <c r="U17" s="45"/>
      <c r="V17" s="45"/>
      <c r="W17" s="45"/>
      <c r="X17" s="45"/>
      <c r="Y17" s="45"/>
      <c r="Z17" s="45"/>
    </row>
    <row r="18">
      <c r="A18" s="45"/>
      <c r="B18" s="28"/>
      <c r="C18" s="186" t="s">
        <v>14194</v>
      </c>
      <c r="D18" s="192" t="s">
        <v>14195</v>
      </c>
      <c r="E18" s="35" t="s">
        <v>14196</v>
      </c>
      <c r="F18" s="186" t="s">
        <v>92</v>
      </c>
      <c r="G18" s="186" t="s">
        <v>29</v>
      </c>
      <c r="H18" s="186" t="s">
        <v>37</v>
      </c>
      <c r="I18" s="186"/>
      <c r="J18" s="186" t="s">
        <v>38</v>
      </c>
      <c r="K18" s="186">
        <v>2192.0</v>
      </c>
      <c r="L18" s="186"/>
      <c r="M18" s="191" t="s">
        <v>14197</v>
      </c>
      <c r="N18" s="186" t="s">
        <v>524</v>
      </c>
      <c r="O18" s="186">
        <v>1998.0</v>
      </c>
      <c r="P18" s="191">
        <v>2.0</v>
      </c>
      <c r="Q18" s="186">
        <v>1.0</v>
      </c>
      <c r="R18" s="37">
        <v>1.0</v>
      </c>
      <c r="S18" s="149"/>
      <c r="T18" s="45"/>
      <c r="U18" s="45"/>
      <c r="V18" s="45"/>
      <c r="W18" s="45"/>
      <c r="X18" s="45"/>
      <c r="Y18" s="45"/>
      <c r="Z18" s="45"/>
    </row>
    <row r="19">
      <c r="A19" s="45"/>
      <c r="B19" s="28"/>
      <c r="C19" s="186" t="s">
        <v>14198</v>
      </c>
      <c r="D19" s="192" t="s">
        <v>14199</v>
      </c>
      <c r="E19" s="35" t="s">
        <v>14200</v>
      </c>
      <c r="F19" s="186" t="s">
        <v>92</v>
      </c>
      <c r="G19" s="186" t="s">
        <v>29</v>
      </c>
      <c r="H19" s="186" t="s">
        <v>37</v>
      </c>
      <c r="I19" s="186"/>
      <c r="J19" s="186" t="s">
        <v>38</v>
      </c>
      <c r="K19" s="186">
        <v>1688.0</v>
      </c>
      <c r="L19" s="186"/>
      <c r="M19" s="186" t="s">
        <v>14201</v>
      </c>
      <c r="N19" s="186" t="s">
        <v>2903</v>
      </c>
      <c r="O19" s="186">
        <v>1999.0</v>
      </c>
      <c r="P19" s="191">
        <v>2.0</v>
      </c>
      <c r="Q19" s="186">
        <v>1.0</v>
      </c>
      <c r="R19" s="37">
        <v>1.0</v>
      </c>
      <c r="S19" s="149"/>
      <c r="T19" s="45"/>
      <c r="U19" s="45"/>
      <c r="V19" s="45"/>
      <c r="W19" s="45"/>
      <c r="X19" s="45"/>
      <c r="Y19" s="45"/>
      <c r="Z19" s="45"/>
    </row>
    <row r="20">
      <c r="A20" s="45"/>
      <c r="B20" s="28"/>
      <c r="C20" s="186"/>
      <c r="D20" s="192" t="s">
        <v>2686</v>
      </c>
      <c r="E20" s="35" t="s">
        <v>14202</v>
      </c>
      <c r="F20" s="186" t="s">
        <v>92</v>
      </c>
      <c r="G20" s="186" t="s">
        <v>29</v>
      </c>
      <c r="H20" s="186" t="s">
        <v>37</v>
      </c>
      <c r="I20" s="186"/>
      <c r="J20" s="186" t="s">
        <v>38</v>
      </c>
      <c r="K20" s="186">
        <v>2157.0</v>
      </c>
      <c r="L20" s="186"/>
      <c r="M20" s="186" t="s">
        <v>14203</v>
      </c>
      <c r="N20" s="186" t="s">
        <v>14172</v>
      </c>
      <c r="O20" s="191">
        <v>1957.0</v>
      </c>
      <c r="P20" s="191">
        <v>2.0</v>
      </c>
      <c r="Q20" s="186">
        <v>1.0</v>
      </c>
      <c r="R20" s="37">
        <v>1.0</v>
      </c>
      <c r="S20" s="149"/>
      <c r="T20" s="45"/>
      <c r="U20" s="45"/>
      <c r="V20" s="45"/>
      <c r="W20" s="45"/>
      <c r="X20" s="45"/>
      <c r="Y20" s="45"/>
      <c r="Z20" s="45"/>
    </row>
    <row r="21" ht="15.75" customHeight="1">
      <c r="A21" s="45"/>
      <c r="B21" s="28"/>
      <c r="C21" s="186" t="s">
        <v>14204</v>
      </c>
      <c r="D21" s="191" t="s">
        <v>14205</v>
      </c>
      <c r="E21" s="35" t="s">
        <v>14206</v>
      </c>
      <c r="F21" s="186" t="s">
        <v>92</v>
      </c>
      <c r="G21" s="186" t="s">
        <v>29</v>
      </c>
      <c r="H21" s="186" t="s">
        <v>37</v>
      </c>
      <c r="I21" s="186"/>
      <c r="J21" s="186" t="s">
        <v>38</v>
      </c>
      <c r="K21" s="186">
        <v>1653.0</v>
      </c>
      <c r="L21" s="186"/>
      <c r="M21" s="191" t="s">
        <v>14207</v>
      </c>
      <c r="N21" s="186" t="s">
        <v>236</v>
      </c>
      <c r="O21" s="186">
        <v>2010.0</v>
      </c>
      <c r="P21" s="191">
        <v>2.0</v>
      </c>
      <c r="Q21" s="186">
        <v>1.0</v>
      </c>
      <c r="R21" s="37">
        <v>1.0</v>
      </c>
      <c r="S21" s="149"/>
      <c r="T21" s="45"/>
      <c r="U21" s="45"/>
      <c r="V21" s="45"/>
      <c r="W21" s="45"/>
      <c r="X21" s="45"/>
      <c r="Y21" s="45"/>
      <c r="Z21" s="45"/>
    </row>
    <row r="22" ht="15.75" customHeight="1">
      <c r="A22" s="45"/>
      <c r="B22" s="186"/>
      <c r="C22" s="186" t="s">
        <v>14164</v>
      </c>
      <c r="D22" s="192" t="s">
        <v>14208</v>
      </c>
      <c r="E22" s="35" t="s">
        <v>13777</v>
      </c>
      <c r="F22" s="186" t="s">
        <v>92</v>
      </c>
      <c r="G22" s="186" t="s">
        <v>29</v>
      </c>
      <c r="H22" s="186" t="s">
        <v>37</v>
      </c>
      <c r="I22" s="186"/>
      <c r="J22" s="186" t="s">
        <v>38</v>
      </c>
      <c r="K22" s="186">
        <v>1347.0</v>
      </c>
      <c r="L22" s="186"/>
      <c r="M22" s="191" t="s">
        <v>14209</v>
      </c>
      <c r="N22" s="186" t="s">
        <v>14168</v>
      </c>
      <c r="O22" s="186">
        <v>1976.0</v>
      </c>
      <c r="P22" s="191">
        <v>2.0</v>
      </c>
      <c r="Q22" s="186">
        <v>2.0</v>
      </c>
      <c r="R22" s="37">
        <v>2.0</v>
      </c>
      <c r="S22" s="149"/>
      <c r="T22" s="45"/>
      <c r="U22" s="45"/>
      <c r="V22" s="45"/>
      <c r="W22" s="45"/>
      <c r="X22" s="45"/>
      <c r="Y22" s="45"/>
      <c r="Z22" s="45"/>
    </row>
    <row r="23" ht="15.75" customHeight="1">
      <c r="A23" s="45"/>
      <c r="B23" s="186"/>
      <c r="C23" s="186" t="s">
        <v>31</v>
      </c>
      <c r="D23" s="192" t="s">
        <v>14210</v>
      </c>
      <c r="E23" s="188" t="s">
        <v>14211</v>
      </c>
      <c r="F23" s="186" t="s">
        <v>92</v>
      </c>
      <c r="G23" s="186" t="s">
        <v>29</v>
      </c>
      <c r="H23" s="186" t="s">
        <v>98</v>
      </c>
      <c r="I23" s="186"/>
      <c r="J23" s="186" t="s">
        <v>98</v>
      </c>
      <c r="K23" s="186">
        <v>1672.0</v>
      </c>
      <c r="L23" s="186"/>
      <c r="M23" s="191" t="s">
        <v>14212</v>
      </c>
      <c r="N23" s="186" t="s">
        <v>13428</v>
      </c>
      <c r="O23" s="186">
        <v>1958.0</v>
      </c>
      <c r="P23" s="191">
        <v>2.0</v>
      </c>
      <c r="Q23" s="186">
        <v>1.0</v>
      </c>
      <c r="R23" s="37">
        <v>1.0</v>
      </c>
      <c r="S23" s="149"/>
      <c r="T23" s="45"/>
      <c r="U23" s="45"/>
      <c r="V23" s="45"/>
      <c r="W23" s="45"/>
      <c r="X23" s="45"/>
      <c r="Y23" s="45"/>
      <c r="Z23" s="45"/>
    </row>
    <row r="24" ht="15.75" customHeight="1">
      <c r="A24" s="45"/>
      <c r="B24" s="186"/>
      <c r="C24" s="186" t="s">
        <v>31</v>
      </c>
      <c r="D24" s="192" t="s">
        <v>14213</v>
      </c>
      <c r="E24" s="188" t="s">
        <v>14214</v>
      </c>
      <c r="F24" s="186" t="s">
        <v>92</v>
      </c>
      <c r="G24" s="186" t="s">
        <v>29</v>
      </c>
      <c r="H24" s="186" t="s">
        <v>31</v>
      </c>
      <c r="I24" s="186"/>
      <c r="J24" s="186" t="s">
        <v>31</v>
      </c>
      <c r="K24" s="186">
        <v>1010.0</v>
      </c>
      <c r="L24" s="186"/>
      <c r="M24" s="191" t="s">
        <v>14215</v>
      </c>
      <c r="N24" s="186" t="s">
        <v>14216</v>
      </c>
      <c r="O24" s="186">
        <v>1896.0</v>
      </c>
      <c r="P24" s="191">
        <v>2.0</v>
      </c>
      <c r="Q24" s="186">
        <v>1.0</v>
      </c>
      <c r="R24" s="37">
        <v>1.0</v>
      </c>
      <c r="S24" s="149"/>
      <c r="T24" s="45"/>
      <c r="U24" s="45"/>
      <c r="V24" s="45"/>
      <c r="W24" s="45"/>
      <c r="X24" s="45"/>
      <c r="Y24" s="45"/>
      <c r="Z24" s="45"/>
    </row>
    <row r="25" ht="15.75" customHeight="1">
      <c r="A25" s="45"/>
      <c r="B25" s="186"/>
      <c r="C25" s="186" t="s">
        <v>31</v>
      </c>
      <c r="D25" s="192" t="s">
        <v>14217</v>
      </c>
      <c r="E25" s="188" t="s">
        <v>14218</v>
      </c>
      <c r="F25" s="186" t="s">
        <v>92</v>
      </c>
      <c r="G25" s="186" t="s">
        <v>29</v>
      </c>
      <c r="H25" s="186" t="s">
        <v>30</v>
      </c>
      <c r="I25" s="186"/>
      <c r="J25" s="186" t="s">
        <v>30</v>
      </c>
      <c r="K25" s="186">
        <v>915.0</v>
      </c>
      <c r="L25" s="186"/>
      <c r="M25" s="191" t="s">
        <v>4687</v>
      </c>
      <c r="N25" s="186" t="s">
        <v>31</v>
      </c>
      <c r="O25" s="186" t="s">
        <v>31</v>
      </c>
      <c r="P25" s="191">
        <v>2.0</v>
      </c>
      <c r="Q25" s="186">
        <v>1.0</v>
      </c>
      <c r="R25" s="37">
        <v>1.0</v>
      </c>
      <c r="S25" s="149"/>
      <c r="T25" s="45"/>
      <c r="U25" s="45"/>
      <c r="V25" s="45"/>
      <c r="W25" s="45"/>
      <c r="X25" s="45"/>
      <c r="Y25" s="45"/>
      <c r="Z25" s="45"/>
    </row>
    <row r="26" ht="15.75" customHeight="1">
      <c r="A26" s="45"/>
      <c r="B26" s="186"/>
      <c r="C26" s="186" t="s">
        <v>31</v>
      </c>
      <c r="D26" s="192" t="s">
        <v>14219</v>
      </c>
      <c r="E26" s="35" t="s">
        <v>14220</v>
      </c>
      <c r="F26" s="186" t="s">
        <v>92</v>
      </c>
      <c r="G26" s="186" t="s">
        <v>29</v>
      </c>
      <c r="H26" s="186" t="s">
        <v>30</v>
      </c>
      <c r="I26" s="186" t="s">
        <v>14221</v>
      </c>
      <c r="J26" s="186" t="s">
        <v>14222</v>
      </c>
      <c r="K26" s="186">
        <v>1.156</v>
      </c>
      <c r="L26" s="186"/>
      <c r="M26" s="191" t="s">
        <v>14223</v>
      </c>
      <c r="N26" s="191" t="s">
        <v>14224</v>
      </c>
      <c r="O26" s="186">
        <v>1952.0</v>
      </c>
      <c r="P26" s="191">
        <v>2.0</v>
      </c>
      <c r="Q26" s="191">
        <v>2.0</v>
      </c>
      <c r="R26" s="37">
        <v>2.0</v>
      </c>
      <c r="S26" s="149"/>
      <c r="T26" s="45"/>
      <c r="U26" s="45"/>
      <c r="V26" s="45"/>
      <c r="W26" s="45"/>
      <c r="X26" s="45"/>
      <c r="Y26" s="45"/>
      <c r="Z26" s="45"/>
    </row>
    <row r="27" ht="15.75" customHeight="1">
      <c r="A27" s="45"/>
      <c r="B27" s="186"/>
      <c r="C27" s="186"/>
      <c r="D27" s="192" t="s">
        <v>14225</v>
      </c>
      <c r="E27" s="188" t="s">
        <v>14226</v>
      </c>
      <c r="F27" s="186" t="s">
        <v>92</v>
      </c>
      <c r="G27" s="186" t="s">
        <v>29</v>
      </c>
      <c r="H27" s="186" t="s">
        <v>30</v>
      </c>
      <c r="I27" s="186"/>
      <c r="J27" s="186" t="s">
        <v>30</v>
      </c>
      <c r="K27" s="186">
        <v>594.0</v>
      </c>
      <c r="L27" s="186"/>
      <c r="M27" s="186" t="s">
        <v>14227</v>
      </c>
      <c r="N27" s="186" t="s">
        <v>14228</v>
      </c>
      <c r="O27" s="186">
        <v>1994.0</v>
      </c>
      <c r="P27" s="191">
        <v>2.0</v>
      </c>
      <c r="Q27" s="186">
        <v>1.0</v>
      </c>
      <c r="R27" s="37">
        <v>1.0</v>
      </c>
      <c r="S27" s="149"/>
      <c r="T27" s="45"/>
      <c r="U27" s="45"/>
      <c r="V27" s="45"/>
      <c r="W27" s="45"/>
      <c r="X27" s="45"/>
      <c r="Y27" s="45"/>
      <c r="Z27" s="45"/>
    </row>
    <row r="28" ht="15.75" customHeight="1">
      <c r="A28" s="45"/>
      <c r="B28" s="186"/>
      <c r="C28" s="191" t="s">
        <v>31</v>
      </c>
      <c r="D28" s="192" t="s">
        <v>14229</v>
      </c>
      <c r="E28" s="35" t="s">
        <v>14230</v>
      </c>
      <c r="F28" s="186" t="s">
        <v>92</v>
      </c>
      <c r="G28" s="186" t="s">
        <v>29</v>
      </c>
      <c r="H28" s="186" t="s">
        <v>30</v>
      </c>
      <c r="I28" s="186"/>
      <c r="J28" s="186" t="s">
        <v>30</v>
      </c>
      <c r="K28" s="191">
        <v>421.0</v>
      </c>
      <c r="L28" s="186"/>
      <c r="M28" s="191" t="s">
        <v>14231</v>
      </c>
      <c r="N28" s="191" t="s">
        <v>14232</v>
      </c>
      <c r="O28" s="186">
        <v>1978.0</v>
      </c>
      <c r="P28" s="191">
        <v>2.0</v>
      </c>
      <c r="Q28" s="186">
        <v>3.0</v>
      </c>
      <c r="R28" s="37">
        <v>1.0</v>
      </c>
      <c r="S28" s="149"/>
      <c r="T28" s="45"/>
      <c r="U28" s="45"/>
      <c r="V28" s="45"/>
      <c r="W28" s="45"/>
      <c r="X28" s="45"/>
      <c r="Y28" s="45"/>
      <c r="Z28" s="45"/>
    </row>
    <row r="29" ht="15.75" customHeight="1">
      <c r="A29" s="45"/>
      <c r="B29" s="186"/>
      <c r="C29" s="186" t="s">
        <v>14233</v>
      </c>
      <c r="D29" s="192" t="s">
        <v>14234</v>
      </c>
      <c r="E29" s="35" t="s">
        <v>14235</v>
      </c>
      <c r="F29" s="186" t="s">
        <v>92</v>
      </c>
      <c r="G29" s="186" t="s">
        <v>29</v>
      </c>
      <c r="H29" s="186" t="s">
        <v>37</v>
      </c>
      <c r="I29" s="186"/>
      <c r="J29" s="186" t="s">
        <v>38</v>
      </c>
      <c r="K29" s="186">
        <v>274.0</v>
      </c>
      <c r="L29" s="186"/>
      <c r="M29" s="186" t="s">
        <v>14236</v>
      </c>
      <c r="N29" s="191" t="s">
        <v>14237</v>
      </c>
      <c r="O29" s="186">
        <v>1996.0</v>
      </c>
      <c r="P29" s="191">
        <v>2.0</v>
      </c>
      <c r="Q29" s="186">
        <v>1.0</v>
      </c>
      <c r="R29" s="37">
        <v>1.0</v>
      </c>
      <c r="S29" s="149"/>
      <c r="T29" s="45"/>
      <c r="U29" s="45"/>
      <c r="V29" s="45"/>
      <c r="W29" s="45"/>
      <c r="X29" s="45"/>
      <c r="Y29" s="45"/>
      <c r="Z29" s="45"/>
    </row>
    <row r="30" ht="15.75" customHeight="1">
      <c r="A30" s="45"/>
      <c r="B30" s="417"/>
      <c r="C30" s="417"/>
      <c r="D30" s="469" t="s">
        <v>14238</v>
      </c>
      <c r="E30" s="418" t="s">
        <v>14239</v>
      </c>
      <c r="F30" s="417"/>
      <c r="G30" s="417" t="s">
        <v>29</v>
      </c>
      <c r="H30" s="417" t="s">
        <v>37</v>
      </c>
      <c r="I30" s="417"/>
      <c r="J30" s="417" t="s">
        <v>10356</v>
      </c>
      <c r="K30" s="417">
        <v>843.0</v>
      </c>
      <c r="L30" s="417" t="s">
        <v>14240</v>
      </c>
      <c r="M30" s="417" t="s">
        <v>5979</v>
      </c>
      <c r="N30" s="417" t="s">
        <v>54</v>
      </c>
      <c r="O30" s="417">
        <v>1988.0</v>
      </c>
      <c r="P30" s="417" t="s">
        <v>388</v>
      </c>
      <c r="Q30" s="417">
        <v>3.0</v>
      </c>
      <c r="R30" s="419"/>
      <c r="S30" s="149"/>
      <c r="T30" s="45"/>
      <c r="U30" s="45"/>
      <c r="V30" s="45"/>
      <c r="W30" s="45"/>
      <c r="X30" s="45"/>
      <c r="Y30" s="45"/>
      <c r="Z30" s="45"/>
    </row>
    <row r="31" ht="15.75" customHeight="1">
      <c r="A31" s="45"/>
      <c r="B31" s="417"/>
      <c r="C31" s="417" t="s">
        <v>14241</v>
      </c>
      <c r="D31" s="469" t="s">
        <v>14238</v>
      </c>
      <c r="E31" s="418" t="s">
        <v>14242</v>
      </c>
      <c r="F31" s="417"/>
      <c r="G31" s="417" t="s">
        <v>740</v>
      </c>
      <c r="H31" s="417" t="s">
        <v>37</v>
      </c>
      <c r="I31" s="417"/>
      <c r="J31" s="417" t="s">
        <v>38</v>
      </c>
      <c r="K31" s="417">
        <v>375.0</v>
      </c>
      <c r="L31" s="417"/>
      <c r="M31" s="417" t="s">
        <v>14243</v>
      </c>
      <c r="N31" s="417" t="s">
        <v>54</v>
      </c>
      <c r="O31" s="417">
        <v>1988.0</v>
      </c>
      <c r="P31" s="417" t="s">
        <v>388</v>
      </c>
      <c r="Q31" s="417">
        <v>4.0</v>
      </c>
      <c r="R31" s="419"/>
      <c r="S31" s="149"/>
      <c r="T31" s="45"/>
      <c r="U31" s="45"/>
      <c r="V31" s="45"/>
      <c r="W31" s="45"/>
      <c r="X31" s="45"/>
      <c r="Y31" s="45"/>
      <c r="Z31" s="45"/>
    </row>
    <row r="32" ht="15.75" customHeight="1">
      <c r="A32" s="3"/>
      <c r="B32" s="413"/>
      <c r="C32" s="191" t="s">
        <v>11837</v>
      </c>
      <c r="D32" s="192" t="s">
        <v>14244</v>
      </c>
      <c r="E32" s="35" t="s">
        <v>14245</v>
      </c>
      <c r="F32" s="191" t="s">
        <v>92</v>
      </c>
      <c r="G32" s="191" t="s">
        <v>29</v>
      </c>
      <c r="H32" s="191" t="s">
        <v>37</v>
      </c>
      <c r="I32" s="186"/>
      <c r="J32" s="191" t="s">
        <v>38</v>
      </c>
      <c r="K32" s="191">
        <v>1118.0</v>
      </c>
      <c r="L32" s="186"/>
      <c r="M32" s="191" t="s">
        <v>14246</v>
      </c>
      <c r="N32" s="191" t="s">
        <v>2903</v>
      </c>
      <c r="O32" s="191">
        <v>1970.0</v>
      </c>
      <c r="P32" s="191">
        <v>3.0</v>
      </c>
      <c r="Q32" s="191">
        <v>1.0</v>
      </c>
      <c r="R32" s="436">
        <v>1.0</v>
      </c>
      <c r="S32" s="3"/>
      <c r="T32" s="3"/>
      <c r="U32" s="3"/>
      <c r="V32" s="3"/>
      <c r="W32" s="3"/>
      <c r="X32" s="3"/>
      <c r="Y32" s="3"/>
      <c r="Z32" s="3"/>
    </row>
    <row r="33" ht="15.75" customHeight="1">
      <c r="A33" s="3"/>
      <c r="B33" s="413"/>
      <c r="C33" s="191"/>
      <c r="D33" s="192" t="s">
        <v>14244</v>
      </c>
      <c r="E33" s="35" t="s">
        <v>14245</v>
      </c>
      <c r="F33" s="191" t="s">
        <v>92</v>
      </c>
      <c r="G33" s="191" t="s">
        <v>29</v>
      </c>
      <c r="H33" s="191" t="s">
        <v>37</v>
      </c>
      <c r="I33" s="186"/>
      <c r="J33" s="191" t="s">
        <v>38</v>
      </c>
      <c r="K33" s="191">
        <v>1127.0</v>
      </c>
      <c r="L33" s="186"/>
      <c r="M33" s="191" t="s">
        <v>14246</v>
      </c>
      <c r="N33" s="191" t="s">
        <v>14247</v>
      </c>
      <c r="O33" s="191">
        <v>1978.0</v>
      </c>
      <c r="P33" s="191">
        <v>3.0</v>
      </c>
      <c r="Q33" s="191">
        <v>1.0</v>
      </c>
      <c r="R33" s="436">
        <v>1.0</v>
      </c>
      <c r="S33" s="3"/>
      <c r="T33" s="3"/>
      <c r="U33" s="3"/>
      <c r="V33" s="3"/>
      <c r="W33" s="3"/>
      <c r="X33" s="3"/>
      <c r="Y33" s="3"/>
      <c r="Z33" s="3"/>
    </row>
    <row r="34" ht="15.75" customHeight="1">
      <c r="A34" s="3"/>
      <c r="B34" s="413"/>
      <c r="C34" s="186" t="s">
        <v>14248</v>
      </c>
      <c r="D34" s="192" t="s">
        <v>14249</v>
      </c>
      <c r="E34" s="35" t="s">
        <v>14250</v>
      </c>
      <c r="F34" s="186" t="s">
        <v>92</v>
      </c>
      <c r="G34" s="186" t="s">
        <v>29</v>
      </c>
      <c r="H34" s="186" t="s">
        <v>37</v>
      </c>
      <c r="I34" s="186"/>
      <c r="J34" s="186" t="s">
        <v>38</v>
      </c>
      <c r="K34" s="186">
        <v>1212.0</v>
      </c>
      <c r="L34" s="186"/>
      <c r="M34" s="191" t="s">
        <v>14246</v>
      </c>
      <c r="N34" s="186" t="s">
        <v>2903</v>
      </c>
      <c r="O34" s="186">
        <v>2010.0</v>
      </c>
      <c r="P34" s="191">
        <v>3.0</v>
      </c>
      <c r="Q34" s="186">
        <v>3.0</v>
      </c>
      <c r="R34" s="436">
        <v>3.0</v>
      </c>
      <c r="S34" s="3"/>
      <c r="T34" s="3"/>
      <c r="U34" s="3"/>
      <c r="V34" s="3"/>
      <c r="W34" s="3"/>
      <c r="X34" s="3"/>
      <c r="Y34" s="3"/>
      <c r="Z34" s="3"/>
    </row>
    <row r="35" ht="15.75" customHeight="1">
      <c r="A35" s="3"/>
      <c r="B35" s="186"/>
      <c r="C35" s="191" t="s">
        <v>14251</v>
      </c>
      <c r="D35" s="192" t="s">
        <v>14229</v>
      </c>
      <c r="E35" s="35" t="s">
        <v>14252</v>
      </c>
      <c r="F35" s="191" t="s">
        <v>92</v>
      </c>
      <c r="G35" s="191" t="s">
        <v>29</v>
      </c>
      <c r="H35" s="191" t="s">
        <v>30</v>
      </c>
      <c r="I35" s="186"/>
      <c r="J35" s="191" t="s">
        <v>30</v>
      </c>
      <c r="K35" s="191">
        <v>530.0</v>
      </c>
      <c r="L35" s="186"/>
      <c r="M35" s="191" t="s">
        <v>14231</v>
      </c>
      <c r="N35" s="191" t="s">
        <v>151</v>
      </c>
      <c r="O35" s="191">
        <v>2011.0</v>
      </c>
      <c r="P35" s="191">
        <v>2.0</v>
      </c>
      <c r="Q35" s="191">
        <v>1.0</v>
      </c>
      <c r="R35" s="436">
        <v>1.0</v>
      </c>
      <c r="S35" s="3"/>
      <c r="T35" s="3"/>
      <c r="U35" s="3"/>
      <c r="V35" s="3"/>
      <c r="W35" s="3"/>
      <c r="X35" s="3"/>
      <c r="Y35" s="3"/>
      <c r="Z35" s="3"/>
    </row>
    <row r="36" ht="15.75" customHeight="1">
      <c r="A36" s="3"/>
      <c r="B36" s="186"/>
      <c r="C36" s="191" t="s">
        <v>14253</v>
      </c>
      <c r="D36" s="192" t="s">
        <v>14229</v>
      </c>
      <c r="E36" s="35" t="s">
        <v>14254</v>
      </c>
      <c r="F36" s="191" t="s">
        <v>92</v>
      </c>
      <c r="G36" s="191" t="s">
        <v>29</v>
      </c>
      <c r="H36" s="191" t="s">
        <v>30</v>
      </c>
      <c r="I36" s="186"/>
      <c r="J36" s="191" t="s">
        <v>30</v>
      </c>
      <c r="K36" s="191">
        <v>510.0</v>
      </c>
      <c r="L36" s="186"/>
      <c r="M36" s="191" t="s">
        <v>14231</v>
      </c>
      <c r="N36" s="191" t="s">
        <v>151</v>
      </c>
      <c r="O36" s="191">
        <v>2000.0</v>
      </c>
      <c r="P36" s="191">
        <v>2.0</v>
      </c>
      <c r="Q36" s="191">
        <v>1.0</v>
      </c>
      <c r="R36" s="436">
        <v>1.0</v>
      </c>
      <c r="S36" s="3"/>
      <c r="T36" s="3"/>
      <c r="U36" s="3"/>
      <c r="V36" s="3"/>
      <c r="W36" s="3"/>
      <c r="X36" s="3"/>
      <c r="Y36" s="3"/>
      <c r="Z36" s="3"/>
    </row>
    <row r="37" ht="15.75" customHeight="1">
      <c r="A37" s="3"/>
      <c r="B37" s="186"/>
      <c r="C37" s="191" t="s">
        <v>14255</v>
      </c>
      <c r="D37" s="192" t="s">
        <v>14229</v>
      </c>
      <c r="E37" s="35" t="s">
        <v>14256</v>
      </c>
      <c r="F37" s="191" t="s">
        <v>92</v>
      </c>
      <c r="G37" s="191" t="s">
        <v>29</v>
      </c>
      <c r="H37" s="191" t="s">
        <v>30</v>
      </c>
      <c r="I37" s="186"/>
      <c r="J37" s="191" t="s">
        <v>30</v>
      </c>
      <c r="K37" s="191">
        <v>510.0</v>
      </c>
      <c r="L37" s="186"/>
      <c r="M37" s="191" t="s">
        <v>14231</v>
      </c>
      <c r="N37" s="191" t="s">
        <v>151</v>
      </c>
      <c r="O37" s="191">
        <v>2003.0</v>
      </c>
      <c r="P37" s="191">
        <v>2.0</v>
      </c>
      <c r="Q37" s="191">
        <v>1.0</v>
      </c>
      <c r="R37" s="436">
        <v>1.0</v>
      </c>
      <c r="S37" s="3"/>
      <c r="T37" s="3"/>
      <c r="U37" s="3"/>
      <c r="V37" s="3"/>
      <c r="W37" s="3"/>
      <c r="X37" s="3"/>
      <c r="Y37" s="3"/>
      <c r="Z37" s="3"/>
    </row>
    <row r="38" ht="15.75" customHeight="1">
      <c r="A38" s="3"/>
      <c r="B38" s="433"/>
      <c r="C38" s="433"/>
      <c r="D38" s="14"/>
      <c r="E38" s="434"/>
      <c r="F38" s="433"/>
      <c r="G38" s="433"/>
      <c r="H38" s="433"/>
      <c r="I38" s="433"/>
      <c r="J38" s="433"/>
      <c r="K38" s="433"/>
      <c r="L38" s="433"/>
      <c r="M38" s="433"/>
      <c r="N38" s="433"/>
      <c r="O38" s="433"/>
      <c r="P38" s="433"/>
      <c r="Q38" s="433"/>
      <c r="R38" s="435"/>
      <c r="S38" s="3"/>
      <c r="T38" s="3"/>
      <c r="U38" s="3"/>
      <c r="V38" s="3"/>
      <c r="W38" s="3"/>
      <c r="X38" s="3"/>
      <c r="Y38" s="3"/>
      <c r="Z38" s="3"/>
    </row>
    <row r="39" ht="15.75" customHeight="1">
      <c r="A39" s="3"/>
      <c r="B39" s="433"/>
      <c r="C39" s="433"/>
      <c r="D39" s="14"/>
      <c r="E39" s="434"/>
      <c r="F39" s="433"/>
      <c r="G39" s="433"/>
      <c r="H39" s="433"/>
      <c r="I39" s="433"/>
      <c r="J39" s="433"/>
      <c r="K39" s="433"/>
      <c r="L39" s="433"/>
      <c r="M39" s="433"/>
      <c r="N39" s="433"/>
      <c r="O39" s="433"/>
      <c r="P39" s="433"/>
      <c r="Q39" s="433"/>
      <c r="R39" s="435"/>
      <c r="S39" s="3"/>
      <c r="T39" s="3"/>
      <c r="U39" s="3"/>
      <c r="V39" s="3"/>
      <c r="W39" s="3"/>
      <c r="X39" s="3"/>
      <c r="Y39" s="3"/>
      <c r="Z39" s="3"/>
    </row>
    <row r="40" ht="15.75" customHeight="1">
      <c r="A40" s="3"/>
      <c r="B40" s="433"/>
      <c r="C40" s="433"/>
      <c r="D40" s="14"/>
      <c r="E40" s="434"/>
      <c r="F40" s="433"/>
      <c r="G40" s="433"/>
      <c r="H40" s="433"/>
      <c r="I40" s="433"/>
      <c r="J40" s="433"/>
      <c r="K40" s="433"/>
      <c r="L40" s="433"/>
      <c r="M40" s="433"/>
      <c r="N40" s="433"/>
      <c r="O40" s="433"/>
      <c r="P40" s="433"/>
      <c r="Q40" s="433"/>
      <c r="R40" s="435"/>
      <c r="S40" s="3"/>
      <c r="T40" s="3"/>
      <c r="U40" s="3"/>
      <c r="V40" s="3"/>
      <c r="W40" s="3"/>
      <c r="X40" s="3"/>
      <c r="Y40" s="3"/>
      <c r="Z40" s="3"/>
    </row>
    <row r="41" ht="15.75" customHeight="1">
      <c r="A41" s="3"/>
      <c r="B41" s="433"/>
      <c r="C41" s="433"/>
      <c r="D41" s="14"/>
      <c r="E41" s="434"/>
      <c r="F41" s="433"/>
      <c r="G41" s="433"/>
      <c r="H41" s="433"/>
      <c r="I41" s="433"/>
      <c r="J41" s="433"/>
      <c r="K41" s="433"/>
      <c r="L41" s="433"/>
      <c r="M41" s="433"/>
      <c r="N41" s="433"/>
      <c r="O41" s="433"/>
      <c r="P41" s="433"/>
      <c r="Q41" s="433"/>
      <c r="R41" s="435"/>
      <c r="S41" s="3"/>
      <c r="T41" s="3"/>
      <c r="U41" s="3"/>
      <c r="V41" s="3"/>
      <c r="W41" s="3"/>
      <c r="X41" s="3"/>
      <c r="Y41" s="3"/>
      <c r="Z41" s="3"/>
    </row>
    <row r="42" ht="15.75" customHeight="1">
      <c r="A42" s="3"/>
      <c r="B42" s="433"/>
      <c r="C42" s="433"/>
      <c r="D42" s="14"/>
      <c r="E42" s="434"/>
      <c r="F42" s="433"/>
      <c r="G42" s="433"/>
      <c r="H42" s="433"/>
      <c r="I42" s="433"/>
      <c r="J42" s="433"/>
      <c r="K42" s="433"/>
      <c r="L42" s="433"/>
      <c r="M42" s="433"/>
      <c r="N42" s="433"/>
      <c r="O42" s="433"/>
      <c r="P42" s="433"/>
      <c r="Q42" s="433"/>
      <c r="R42" s="435"/>
      <c r="S42" s="3"/>
      <c r="T42" s="3"/>
      <c r="U42" s="3"/>
      <c r="V42" s="3"/>
      <c r="W42" s="3"/>
      <c r="X42" s="3"/>
      <c r="Y42" s="3"/>
      <c r="Z42" s="3"/>
    </row>
    <row r="43" ht="15.75" customHeight="1">
      <c r="A43" s="3"/>
      <c r="B43" s="433"/>
      <c r="C43" s="433"/>
      <c r="D43" s="14"/>
      <c r="E43" s="434"/>
      <c r="F43" s="433"/>
      <c r="G43" s="433"/>
      <c r="H43" s="433"/>
      <c r="I43" s="433"/>
      <c r="J43" s="433"/>
      <c r="K43" s="433"/>
      <c r="L43" s="433"/>
      <c r="M43" s="433"/>
      <c r="N43" s="15" t="s">
        <v>13862</v>
      </c>
      <c r="O43" s="16"/>
      <c r="P43" s="17"/>
      <c r="Q43" s="470">
        <f t="shared" ref="Q43:R43" si="1">SUM(Q6:Q37)</f>
        <v>45</v>
      </c>
      <c r="R43" s="471">
        <f t="shared" si="1"/>
        <v>33</v>
      </c>
      <c r="S43" s="3"/>
      <c r="T43" s="3"/>
      <c r="U43" s="3"/>
      <c r="V43" s="3"/>
      <c r="W43" s="3"/>
      <c r="X43" s="3"/>
      <c r="Y43" s="3"/>
      <c r="Z43" s="3"/>
    </row>
    <row r="44" ht="15.75" customHeight="1">
      <c r="A44" s="3"/>
      <c r="B44" s="472"/>
      <c r="C44" s="455"/>
      <c r="D44" s="455"/>
      <c r="E44" s="455"/>
      <c r="F44" s="455"/>
      <c r="G44" s="455"/>
      <c r="H44" s="455"/>
      <c r="I44" s="455"/>
      <c r="J44" s="455"/>
      <c r="K44" s="455"/>
      <c r="L44" s="455"/>
      <c r="M44" s="455"/>
      <c r="N44" s="455"/>
      <c r="O44" s="455"/>
      <c r="P44" s="455"/>
      <c r="Q44" s="456"/>
      <c r="S44" s="3"/>
      <c r="T44" s="3"/>
      <c r="U44" s="3"/>
      <c r="V44" s="3"/>
      <c r="W44" s="3"/>
      <c r="X44" s="3"/>
      <c r="Y44" s="3"/>
      <c r="Z44" s="3"/>
    </row>
    <row r="45" ht="15.75" customHeight="1">
      <c r="A45" s="3"/>
      <c r="B45" s="457" t="s">
        <v>14257</v>
      </c>
      <c r="C45" s="6"/>
      <c r="D45" s="6"/>
      <c r="E45" s="6"/>
      <c r="F45" s="6"/>
      <c r="G45" s="6"/>
      <c r="H45" s="6"/>
      <c r="I45" s="6"/>
      <c r="J45" s="6"/>
      <c r="K45" s="6"/>
      <c r="L45" s="6"/>
      <c r="M45" s="6"/>
      <c r="N45" s="6"/>
      <c r="O45" s="6"/>
      <c r="P45" s="6"/>
      <c r="Q45" s="7"/>
      <c r="S45" s="3"/>
      <c r="T45" s="3"/>
      <c r="U45" s="3"/>
      <c r="V45" s="3"/>
      <c r="W45" s="3"/>
      <c r="X45" s="3"/>
      <c r="Y45" s="3"/>
      <c r="Z45" s="3"/>
    </row>
    <row r="46" ht="15.75" customHeight="1">
      <c r="A46" s="3"/>
      <c r="B46" s="327" t="s">
        <v>14150</v>
      </c>
      <c r="C46" s="457" t="s">
        <v>14151</v>
      </c>
      <c r="D46" s="6"/>
      <c r="E46" s="7"/>
      <c r="F46" s="458"/>
      <c r="G46" s="459"/>
      <c r="H46" s="7"/>
      <c r="I46" s="459"/>
      <c r="J46" s="6"/>
      <c r="K46" s="6"/>
      <c r="L46" s="7"/>
      <c r="M46" s="460"/>
      <c r="N46" s="461" t="s">
        <v>14152</v>
      </c>
      <c r="O46" s="461"/>
      <c r="P46" s="461"/>
      <c r="Q46" s="461"/>
      <c r="S46" s="3"/>
      <c r="T46" s="3"/>
      <c r="U46" s="3"/>
      <c r="V46" s="3"/>
      <c r="W46" s="3"/>
      <c r="X46" s="3"/>
      <c r="Y46" s="3"/>
      <c r="Z46" s="3"/>
    </row>
    <row r="47" ht="15.75" customHeight="1">
      <c r="A47" s="3"/>
      <c r="B47" s="321"/>
      <c r="C47" s="399"/>
      <c r="D47" s="473"/>
      <c r="E47" s="462"/>
      <c r="F47" s="458"/>
      <c r="G47" s="463"/>
      <c r="H47" s="7"/>
      <c r="I47" s="321"/>
      <c r="J47" s="321"/>
      <c r="K47" s="463"/>
      <c r="L47" s="7"/>
      <c r="M47" s="321"/>
      <c r="N47" s="321"/>
      <c r="O47" s="321"/>
      <c r="P47" s="321"/>
      <c r="Q47" s="321"/>
      <c r="S47" s="3"/>
      <c r="T47" s="3"/>
      <c r="U47" s="3"/>
      <c r="V47" s="3"/>
      <c r="W47" s="3"/>
      <c r="X47" s="3"/>
      <c r="Y47" s="3"/>
      <c r="Z47" s="3"/>
    </row>
    <row r="48" ht="15.75" customHeight="1">
      <c r="A48" s="3"/>
      <c r="B48" s="463"/>
      <c r="C48" s="7"/>
      <c r="D48" s="473"/>
      <c r="E48" s="463"/>
      <c r="F48" s="7"/>
      <c r="G48" s="321"/>
      <c r="H48" s="321"/>
      <c r="I48" s="321"/>
      <c r="J48" s="321"/>
      <c r="K48" s="321"/>
      <c r="L48" s="321"/>
      <c r="M48" s="321"/>
      <c r="N48" s="321"/>
      <c r="O48" s="321"/>
      <c r="P48" s="321"/>
      <c r="Q48" s="321"/>
      <c r="S48" s="3"/>
      <c r="T48" s="3"/>
      <c r="U48" s="3"/>
      <c r="V48" s="3"/>
      <c r="W48" s="3"/>
      <c r="X48" s="3"/>
      <c r="Y48" s="3"/>
      <c r="Z48" s="3"/>
    </row>
    <row r="49" ht="15.75" customHeight="1">
      <c r="A49" s="3"/>
      <c r="B49" s="321"/>
      <c r="C49" s="457" t="s">
        <v>14153</v>
      </c>
      <c r="D49" s="6"/>
      <c r="E49" s="7"/>
      <c r="F49" s="458"/>
      <c r="G49" s="457"/>
      <c r="H49" s="7"/>
      <c r="I49" s="457"/>
      <c r="J49" s="6"/>
      <c r="K49" s="6"/>
      <c r="L49" s="7"/>
      <c r="M49" s="457" t="s">
        <v>14154</v>
      </c>
      <c r="N49" s="6"/>
      <c r="O49" s="6"/>
      <c r="P49" s="6"/>
      <c r="Q49" s="7"/>
      <c r="S49" s="3"/>
      <c r="T49" s="3"/>
      <c r="U49" s="3"/>
      <c r="V49" s="3"/>
      <c r="W49" s="3"/>
      <c r="X49" s="3"/>
      <c r="Y49" s="3"/>
      <c r="Z49" s="3"/>
    </row>
    <row r="50" ht="15.75" customHeight="1">
      <c r="A50" s="3"/>
      <c r="B50" s="321"/>
      <c r="C50" s="457" t="s">
        <v>14155</v>
      </c>
      <c r="D50" s="6"/>
      <c r="E50" s="7"/>
      <c r="F50" s="458"/>
      <c r="G50" s="457"/>
      <c r="H50" s="7"/>
      <c r="I50" s="327"/>
      <c r="J50" s="457"/>
      <c r="K50" s="6"/>
      <c r="L50" s="7"/>
      <c r="M50" s="457" t="s">
        <v>14156</v>
      </c>
      <c r="N50" s="6"/>
      <c r="O50" s="6"/>
      <c r="P50" s="6"/>
      <c r="Q50" s="7"/>
      <c r="S50" s="3"/>
      <c r="T50" s="3"/>
      <c r="U50" s="3"/>
      <c r="V50" s="3"/>
      <c r="W50" s="3"/>
      <c r="X50" s="3"/>
      <c r="Y50" s="3"/>
      <c r="Z50" s="3"/>
    </row>
    <row r="51" ht="15.75" customHeight="1">
      <c r="A51" s="3"/>
      <c r="B51" s="2"/>
      <c r="C51" s="2"/>
      <c r="D51" s="474"/>
      <c r="E51" s="464"/>
      <c r="F51" s="2"/>
      <c r="G51" s="2"/>
      <c r="H51" s="2"/>
      <c r="I51" s="2"/>
      <c r="J51" s="2"/>
      <c r="K51" s="2"/>
      <c r="L51" s="2"/>
      <c r="M51" s="2"/>
      <c r="N51" s="2"/>
      <c r="O51" s="2"/>
      <c r="P51" s="2"/>
      <c r="Q51" s="2"/>
      <c r="S51" s="3"/>
      <c r="T51" s="3"/>
      <c r="U51" s="3"/>
      <c r="V51" s="3"/>
      <c r="W51" s="3"/>
      <c r="X51" s="3"/>
      <c r="Y51" s="3"/>
      <c r="Z51" s="3"/>
    </row>
    <row r="52" ht="15.75" customHeight="1">
      <c r="A52" s="3"/>
      <c r="B52" s="2"/>
      <c r="C52" s="2"/>
      <c r="D52" s="474"/>
      <c r="E52" s="464"/>
      <c r="F52" s="2"/>
      <c r="G52" s="2"/>
      <c r="H52" s="2"/>
      <c r="I52" s="2"/>
      <c r="J52" s="2"/>
      <c r="K52" s="2"/>
      <c r="L52" s="2"/>
      <c r="M52" s="2"/>
      <c r="N52" s="2"/>
      <c r="O52" s="2"/>
      <c r="P52" s="2"/>
      <c r="Q52" s="2"/>
      <c r="S52" s="3"/>
      <c r="T52" s="3"/>
      <c r="U52" s="3"/>
      <c r="V52" s="3"/>
      <c r="W52" s="3"/>
      <c r="X52" s="3"/>
      <c r="Y52" s="3"/>
      <c r="Z52" s="3"/>
    </row>
    <row r="53" ht="15.75" customHeight="1">
      <c r="A53" s="3"/>
      <c r="B53" s="2"/>
      <c r="C53" s="2"/>
      <c r="D53" s="474"/>
      <c r="E53" s="464"/>
      <c r="F53" s="2"/>
      <c r="G53" s="2"/>
      <c r="H53" s="2"/>
      <c r="I53" s="2"/>
      <c r="J53" s="2"/>
      <c r="K53" s="2"/>
      <c r="L53" s="2"/>
      <c r="M53" s="2"/>
      <c r="N53" s="2"/>
      <c r="O53" s="2"/>
      <c r="P53" s="2"/>
      <c r="Q53" s="2"/>
      <c r="S53" s="3"/>
      <c r="T53" s="3"/>
      <c r="U53" s="3"/>
      <c r="V53" s="3"/>
      <c r="W53" s="3"/>
      <c r="X53" s="3"/>
      <c r="Y53" s="3"/>
      <c r="Z53" s="3"/>
    </row>
    <row r="54" ht="15.75" customHeight="1">
      <c r="A54" s="3"/>
      <c r="B54" s="2"/>
      <c r="C54" s="2"/>
      <c r="D54" s="474"/>
      <c r="E54" s="464"/>
      <c r="F54" s="2"/>
      <c r="G54" s="2"/>
      <c r="H54" s="2"/>
      <c r="I54" s="2"/>
      <c r="J54" s="2"/>
      <c r="K54" s="2"/>
      <c r="L54" s="2"/>
      <c r="M54" s="2"/>
      <c r="N54" s="2"/>
      <c r="O54" s="2"/>
      <c r="P54" s="2"/>
      <c r="Q54" s="2"/>
      <c r="S54" s="3"/>
      <c r="T54" s="3"/>
      <c r="U54" s="3"/>
      <c r="V54" s="3"/>
      <c r="W54" s="3"/>
      <c r="X54" s="3"/>
      <c r="Y54" s="3"/>
      <c r="Z54" s="3"/>
    </row>
    <row r="55" ht="15.75" customHeight="1">
      <c r="A55" s="3"/>
      <c r="B55" s="2"/>
      <c r="C55" s="2"/>
      <c r="D55" s="474"/>
      <c r="E55" s="464"/>
      <c r="F55" s="2"/>
      <c r="G55" s="2"/>
      <c r="H55" s="2"/>
      <c r="I55" s="2"/>
      <c r="J55" s="2"/>
      <c r="K55" s="2"/>
      <c r="L55" s="2"/>
      <c r="M55" s="2"/>
      <c r="N55" s="2"/>
      <c r="O55" s="2"/>
      <c r="P55" s="2"/>
      <c r="Q55" s="2"/>
      <c r="S55" s="3"/>
      <c r="T55" s="3"/>
      <c r="U55" s="3"/>
      <c r="V55" s="3"/>
      <c r="W55" s="3"/>
      <c r="X55" s="3"/>
      <c r="Y55" s="3"/>
      <c r="Z55" s="3"/>
    </row>
    <row r="56" ht="15.75" customHeight="1">
      <c r="A56" s="3"/>
      <c r="B56" s="2"/>
      <c r="C56" s="2"/>
      <c r="D56" s="474"/>
      <c r="E56" s="464"/>
      <c r="F56" s="2"/>
      <c r="G56" s="2"/>
      <c r="H56" s="2"/>
      <c r="I56" s="2"/>
      <c r="J56" s="2"/>
      <c r="K56" s="2"/>
      <c r="L56" s="2"/>
      <c r="M56" s="2"/>
      <c r="N56" s="2"/>
      <c r="O56" s="2"/>
      <c r="P56" s="2"/>
      <c r="Q56" s="2"/>
      <c r="S56" s="3"/>
      <c r="T56" s="3"/>
      <c r="U56" s="3"/>
      <c r="V56" s="3"/>
      <c r="W56" s="3"/>
      <c r="X56" s="3"/>
      <c r="Y56" s="3"/>
      <c r="Z56" s="3"/>
    </row>
    <row r="57" ht="15.75" customHeight="1">
      <c r="A57" s="3"/>
      <c r="B57" s="2"/>
      <c r="C57" s="2"/>
      <c r="D57" s="474"/>
      <c r="E57" s="464"/>
      <c r="F57" s="2"/>
      <c r="G57" s="2"/>
      <c r="H57" s="2"/>
      <c r="I57" s="2"/>
      <c r="J57" s="2"/>
      <c r="K57" s="2"/>
      <c r="L57" s="2"/>
      <c r="M57" s="2"/>
      <c r="N57" s="2"/>
      <c r="O57" s="2"/>
      <c r="P57" s="2"/>
      <c r="Q57" s="2"/>
      <c r="S57" s="3"/>
      <c r="T57" s="3"/>
      <c r="U57" s="3"/>
      <c r="V57" s="3"/>
      <c r="W57" s="3"/>
      <c r="X57" s="3"/>
      <c r="Y57" s="3"/>
      <c r="Z57" s="3"/>
    </row>
    <row r="58" ht="15.75" customHeight="1">
      <c r="A58" s="3"/>
      <c r="B58" s="2"/>
      <c r="C58" s="2"/>
      <c r="D58" s="474"/>
      <c r="E58" s="464"/>
      <c r="F58" s="2"/>
      <c r="G58" s="2"/>
      <c r="H58" s="2"/>
      <c r="I58" s="2"/>
      <c r="J58" s="2"/>
      <c r="K58" s="2"/>
      <c r="L58" s="2"/>
      <c r="M58" s="2"/>
      <c r="N58" s="2"/>
      <c r="O58" s="2"/>
      <c r="P58" s="2"/>
      <c r="Q58" s="2"/>
      <c r="S58" s="3"/>
      <c r="T58" s="3"/>
      <c r="U58" s="3"/>
      <c r="V58" s="3"/>
      <c r="W58" s="3"/>
      <c r="X58" s="3"/>
      <c r="Y58" s="3"/>
      <c r="Z58" s="3"/>
    </row>
    <row r="59" ht="15.75" customHeight="1">
      <c r="A59" s="3"/>
      <c r="B59" s="2"/>
      <c r="C59" s="2"/>
      <c r="D59" s="474"/>
      <c r="E59" s="464"/>
      <c r="F59" s="2"/>
      <c r="G59" s="2"/>
      <c r="H59" s="2"/>
      <c r="I59" s="2"/>
      <c r="J59" s="2"/>
      <c r="K59" s="2"/>
      <c r="L59" s="2"/>
      <c r="M59" s="2"/>
      <c r="N59" s="2"/>
      <c r="O59" s="2"/>
      <c r="P59" s="2"/>
      <c r="Q59" s="2"/>
      <c r="S59" s="3"/>
      <c r="T59" s="3"/>
      <c r="U59" s="3"/>
      <c r="V59" s="3"/>
      <c r="W59" s="3"/>
      <c r="X59" s="3"/>
      <c r="Y59" s="3"/>
      <c r="Z59" s="3"/>
    </row>
    <row r="60" ht="15.75" customHeight="1">
      <c r="A60" s="3"/>
      <c r="B60" s="2"/>
      <c r="C60" s="2"/>
      <c r="D60" s="474"/>
      <c r="E60" s="464"/>
      <c r="F60" s="2"/>
      <c r="G60" s="2"/>
      <c r="H60" s="2"/>
      <c r="I60" s="2"/>
      <c r="J60" s="2"/>
      <c r="K60" s="2"/>
      <c r="L60" s="2"/>
      <c r="M60" s="2"/>
      <c r="N60" s="2"/>
      <c r="O60" s="2"/>
      <c r="P60" s="2"/>
      <c r="Q60" s="2"/>
      <c r="S60" s="3"/>
      <c r="T60" s="3"/>
      <c r="U60" s="3"/>
      <c r="V60" s="3"/>
      <c r="W60" s="3"/>
      <c r="X60" s="3"/>
      <c r="Y60" s="3"/>
      <c r="Z60" s="3"/>
    </row>
    <row r="61" ht="15.75" customHeight="1">
      <c r="A61" s="3"/>
      <c r="B61" s="2"/>
      <c r="C61" s="2"/>
      <c r="D61" s="474"/>
      <c r="E61" s="464"/>
      <c r="F61" s="2"/>
      <c r="G61" s="2"/>
      <c r="H61" s="2"/>
      <c r="I61" s="2"/>
      <c r="J61" s="2"/>
      <c r="K61" s="2"/>
      <c r="L61" s="2"/>
      <c r="M61" s="2"/>
      <c r="N61" s="2"/>
      <c r="O61" s="2"/>
      <c r="P61" s="2"/>
      <c r="Q61" s="2"/>
      <c r="S61" s="3"/>
      <c r="T61" s="3"/>
      <c r="U61" s="3"/>
      <c r="V61" s="3"/>
      <c r="W61" s="3"/>
      <c r="X61" s="3"/>
      <c r="Y61" s="3"/>
      <c r="Z61" s="3"/>
    </row>
    <row r="62" ht="15.75" customHeight="1">
      <c r="A62" s="3"/>
      <c r="B62" s="2"/>
      <c r="C62" s="2"/>
      <c r="D62" s="474"/>
      <c r="E62" s="464"/>
      <c r="F62" s="2"/>
      <c r="G62" s="2"/>
      <c r="H62" s="2"/>
      <c r="I62" s="2"/>
      <c r="J62" s="2"/>
      <c r="K62" s="2"/>
      <c r="L62" s="2"/>
      <c r="M62" s="2"/>
      <c r="N62" s="2"/>
      <c r="O62" s="2"/>
      <c r="P62" s="2"/>
      <c r="Q62" s="2"/>
      <c r="S62" s="3"/>
      <c r="T62" s="3"/>
      <c r="U62" s="3"/>
      <c r="V62" s="3"/>
      <c r="W62" s="3"/>
      <c r="X62" s="3"/>
      <c r="Y62" s="3"/>
      <c r="Z62" s="3"/>
    </row>
    <row r="63" ht="15.75" customHeight="1">
      <c r="A63" s="3"/>
      <c r="B63" s="2"/>
      <c r="C63" s="2"/>
      <c r="D63" s="474"/>
      <c r="E63" s="464"/>
      <c r="F63" s="2"/>
      <c r="G63" s="2"/>
      <c r="H63" s="2"/>
      <c r="I63" s="2"/>
      <c r="J63" s="2"/>
      <c r="K63" s="2"/>
      <c r="L63" s="2"/>
      <c r="M63" s="2"/>
      <c r="N63" s="2"/>
      <c r="O63" s="2"/>
      <c r="P63" s="2"/>
      <c r="Q63" s="2"/>
      <c r="S63" s="3"/>
      <c r="T63" s="3"/>
      <c r="U63" s="3"/>
      <c r="V63" s="3"/>
      <c r="W63" s="3"/>
      <c r="X63" s="3"/>
      <c r="Y63" s="3"/>
      <c r="Z63" s="3"/>
    </row>
    <row r="64" ht="15.75" customHeight="1">
      <c r="A64" s="3"/>
      <c r="B64" s="2"/>
      <c r="C64" s="2"/>
      <c r="D64" s="474"/>
      <c r="E64" s="464"/>
      <c r="F64" s="2"/>
      <c r="G64" s="2"/>
      <c r="H64" s="2"/>
      <c r="I64" s="2"/>
      <c r="J64" s="2"/>
      <c r="K64" s="2"/>
      <c r="L64" s="2"/>
      <c r="M64" s="2"/>
      <c r="N64" s="2"/>
      <c r="O64" s="2"/>
      <c r="P64" s="2"/>
      <c r="Q64" s="2"/>
      <c r="S64" s="3"/>
      <c r="T64" s="3"/>
      <c r="U64" s="3"/>
      <c r="V64" s="3"/>
      <c r="W64" s="3"/>
      <c r="X64" s="3"/>
      <c r="Y64" s="3"/>
      <c r="Z64" s="3"/>
    </row>
    <row r="65" ht="15.75" customHeight="1">
      <c r="A65" s="3"/>
      <c r="B65" s="2"/>
      <c r="C65" s="2"/>
      <c r="D65" s="474"/>
      <c r="E65" s="464"/>
      <c r="F65" s="2"/>
      <c r="G65" s="2"/>
      <c r="H65" s="2"/>
      <c r="I65" s="2"/>
      <c r="J65" s="2"/>
      <c r="K65" s="2"/>
      <c r="L65" s="2"/>
      <c r="M65" s="2"/>
      <c r="N65" s="2"/>
      <c r="O65" s="2"/>
      <c r="P65" s="2"/>
      <c r="Q65" s="2"/>
      <c r="S65" s="3"/>
      <c r="T65" s="3"/>
      <c r="U65" s="3"/>
      <c r="V65" s="3"/>
      <c r="W65" s="3"/>
      <c r="X65" s="3"/>
      <c r="Y65" s="3"/>
      <c r="Z65" s="3"/>
    </row>
    <row r="66" ht="15.75" customHeight="1">
      <c r="A66" s="3"/>
      <c r="B66" s="2"/>
      <c r="C66" s="2"/>
      <c r="D66" s="474"/>
      <c r="E66" s="464"/>
      <c r="F66" s="2"/>
      <c r="G66" s="2"/>
      <c r="H66" s="2"/>
      <c r="I66" s="2"/>
      <c r="J66" s="2"/>
      <c r="K66" s="2"/>
      <c r="L66" s="2"/>
      <c r="M66" s="2"/>
      <c r="N66" s="2"/>
      <c r="O66" s="2"/>
      <c r="P66" s="2"/>
      <c r="Q66" s="2"/>
      <c r="S66" s="3"/>
      <c r="T66" s="3"/>
      <c r="U66" s="3"/>
      <c r="V66" s="3"/>
      <c r="W66" s="3"/>
      <c r="X66" s="3"/>
      <c r="Y66" s="3"/>
      <c r="Z66" s="3"/>
    </row>
    <row r="67" ht="15.75" customHeight="1">
      <c r="A67" s="3"/>
      <c r="B67" s="2"/>
      <c r="C67" s="2"/>
      <c r="D67" s="474"/>
      <c r="E67" s="464"/>
      <c r="F67" s="2"/>
      <c r="G67" s="2"/>
      <c r="H67" s="2"/>
      <c r="I67" s="2"/>
      <c r="J67" s="2"/>
      <c r="K67" s="2"/>
      <c r="L67" s="2"/>
      <c r="M67" s="2"/>
      <c r="N67" s="2"/>
      <c r="O67" s="2"/>
      <c r="P67" s="2"/>
      <c r="Q67" s="2"/>
      <c r="S67" s="3"/>
      <c r="T67" s="3"/>
      <c r="U67" s="3"/>
      <c r="V67" s="3"/>
      <c r="W67" s="3"/>
      <c r="X67" s="3"/>
      <c r="Y67" s="3"/>
      <c r="Z67" s="3"/>
    </row>
    <row r="68" ht="15.75" customHeight="1">
      <c r="A68" s="3"/>
      <c r="B68" s="2"/>
      <c r="C68" s="2"/>
      <c r="D68" s="474"/>
      <c r="E68" s="464"/>
      <c r="F68" s="2"/>
      <c r="G68" s="2"/>
      <c r="H68" s="2"/>
      <c r="I68" s="2"/>
      <c r="J68" s="2"/>
      <c r="K68" s="2"/>
      <c r="L68" s="2"/>
      <c r="M68" s="2"/>
      <c r="N68" s="2"/>
      <c r="O68" s="2"/>
      <c r="P68" s="2"/>
      <c r="Q68" s="2"/>
      <c r="S68" s="3"/>
      <c r="T68" s="3"/>
      <c r="U68" s="3"/>
      <c r="V68" s="3"/>
      <c r="W68" s="3"/>
      <c r="X68" s="3"/>
      <c r="Y68" s="3"/>
      <c r="Z68" s="3"/>
    </row>
    <row r="69" ht="15.75" customHeight="1">
      <c r="A69" s="3"/>
      <c r="B69" s="2"/>
      <c r="C69" s="2"/>
      <c r="D69" s="474"/>
      <c r="E69" s="464"/>
      <c r="F69" s="2"/>
      <c r="G69" s="2"/>
      <c r="H69" s="2"/>
      <c r="I69" s="2"/>
      <c r="J69" s="2"/>
      <c r="K69" s="2"/>
      <c r="L69" s="2"/>
      <c r="M69" s="2"/>
      <c r="N69" s="2"/>
      <c r="O69" s="2"/>
      <c r="P69" s="2"/>
      <c r="Q69" s="2"/>
      <c r="S69" s="3"/>
      <c r="T69" s="3"/>
      <c r="U69" s="3"/>
      <c r="V69" s="3"/>
      <c r="W69" s="3"/>
      <c r="X69" s="3"/>
      <c r="Y69" s="3"/>
      <c r="Z69" s="3"/>
    </row>
    <row r="70" ht="15.75" customHeight="1">
      <c r="A70" s="3"/>
      <c r="B70" s="2"/>
      <c r="C70" s="2"/>
      <c r="D70" s="474"/>
      <c r="E70" s="464"/>
      <c r="F70" s="2"/>
      <c r="G70" s="2"/>
      <c r="H70" s="2"/>
      <c r="I70" s="2"/>
      <c r="J70" s="2"/>
      <c r="K70" s="2"/>
      <c r="L70" s="2"/>
      <c r="M70" s="2"/>
      <c r="N70" s="2"/>
      <c r="O70" s="2"/>
      <c r="P70" s="2"/>
      <c r="Q70" s="2"/>
      <c r="S70" s="3"/>
      <c r="T70" s="3"/>
      <c r="U70" s="3"/>
      <c r="V70" s="3"/>
      <c r="W70" s="3"/>
      <c r="X70" s="3"/>
      <c r="Y70" s="3"/>
      <c r="Z70" s="3"/>
    </row>
    <row r="71" ht="15.75" customHeight="1">
      <c r="A71" s="3"/>
      <c r="B71" s="2"/>
      <c r="C71" s="2"/>
      <c r="D71" s="474"/>
      <c r="E71" s="464"/>
      <c r="F71" s="2"/>
      <c r="G71" s="2"/>
      <c r="H71" s="2"/>
      <c r="I71" s="2"/>
      <c r="J71" s="2"/>
      <c r="K71" s="2"/>
      <c r="L71" s="2"/>
      <c r="M71" s="2"/>
      <c r="N71" s="2"/>
      <c r="O71" s="2"/>
      <c r="P71" s="2"/>
      <c r="Q71" s="2"/>
      <c r="S71" s="3"/>
      <c r="T71" s="3"/>
      <c r="U71" s="3"/>
      <c r="V71" s="3"/>
      <c r="W71" s="3"/>
      <c r="X71" s="3"/>
      <c r="Y71" s="3"/>
      <c r="Z71" s="3"/>
    </row>
    <row r="72" ht="15.75" customHeight="1">
      <c r="A72" s="3"/>
      <c r="B72" s="2"/>
      <c r="C72" s="2"/>
      <c r="D72" s="474"/>
      <c r="E72" s="464"/>
      <c r="F72" s="2"/>
      <c r="G72" s="2"/>
      <c r="H72" s="2"/>
      <c r="I72" s="2"/>
      <c r="J72" s="2"/>
      <c r="K72" s="2"/>
      <c r="L72" s="2"/>
      <c r="M72" s="2"/>
      <c r="N72" s="2"/>
      <c r="O72" s="2"/>
      <c r="P72" s="2"/>
      <c r="Q72" s="2"/>
      <c r="S72" s="3"/>
      <c r="T72" s="3"/>
      <c r="U72" s="3"/>
      <c r="V72" s="3"/>
      <c r="W72" s="3"/>
      <c r="X72" s="3"/>
      <c r="Y72" s="3"/>
      <c r="Z72" s="3"/>
    </row>
    <row r="73" ht="15.75" customHeight="1">
      <c r="A73" s="3"/>
      <c r="B73" s="2"/>
      <c r="C73" s="2"/>
      <c r="D73" s="474"/>
      <c r="E73" s="464"/>
      <c r="F73" s="2"/>
      <c r="G73" s="2"/>
      <c r="H73" s="2"/>
      <c r="I73" s="2"/>
      <c r="J73" s="2"/>
      <c r="K73" s="2"/>
      <c r="L73" s="2"/>
      <c r="M73" s="2"/>
      <c r="N73" s="2"/>
      <c r="O73" s="2"/>
      <c r="P73" s="2"/>
      <c r="Q73" s="2"/>
      <c r="S73" s="3"/>
      <c r="T73" s="3"/>
      <c r="U73" s="3"/>
      <c r="V73" s="3"/>
      <c r="W73" s="3"/>
      <c r="X73" s="3"/>
      <c r="Y73" s="3"/>
      <c r="Z73" s="3"/>
    </row>
    <row r="74" ht="15.75" customHeight="1">
      <c r="A74" s="3"/>
      <c r="B74" s="2"/>
      <c r="C74" s="2"/>
      <c r="D74" s="474"/>
      <c r="E74" s="464"/>
      <c r="F74" s="2"/>
      <c r="G74" s="2"/>
      <c r="H74" s="2"/>
      <c r="I74" s="2"/>
      <c r="J74" s="2"/>
      <c r="K74" s="2"/>
      <c r="L74" s="2"/>
      <c r="M74" s="2"/>
      <c r="N74" s="2"/>
      <c r="O74" s="2"/>
      <c r="P74" s="2"/>
      <c r="Q74" s="2"/>
      <c r="S74" s="3"/>
      <c r="T74" s="3"/>
      <c r="U74" s="3"/>
      <c r="V74" s="3"/>
      <c r="W74" s="3"/>
      <c r="X74" s="3"/>
      <c r="Y74" s="3"/>
      <c r="Z74" s="3"/>
    </row>
    <row r="75" ht="15.75" customHeight="1">
      <c r="A75" s="3"/>
      <c r="B75" s="2"/>
      <c r="C75" s="2"/>
      <c r="D75" s="474"/>
      <c r="E75" s="464"/>
      <c r="F75" s="2"/>
      <c r="G75" s="2"/>
      <c r="H75" s="2"/>
      <c r="I75" s="2"/>
      <c r="J75" s="2"/>
      <c r="K75" s="2"/>
      <c r="L75" s="2"/>
      <c r="M75" s="2"/>
      <c r="N75" s="2"/>
      <c r="O75" s="2"/>
      <c r="P75" s="2"/>
      <c r="Q75" s="2"/>
      <c r="S75" s="3"/>
      <c r="T75" s="3"/>
      <c r="U75" s="3"/>
      <c r="V75" s="3"/>
      <c r="W75" s="3"/>
      <c r="X75" s="3"/>
      <c r="Y75" s="3"/>
      <c r="Z75" s="3"/>
    </row>
    <row r="76" ht="15.75" customHeight="1">
      <c r="A76" s="3"/>
      <c r="B76" s="2"/>
      <c r="C76" s="2"/>
      <c r="D76" s="474"/>
      <c r="E76" s="464"/>
      <c r="F76" s="2"/>
      <c r="G76" s="2"/>
      <c r="H76" s="2"/>
      <c r="I76" s="2"/>
      <c r="J76" s="2"/>
      <c r="K76" s="2"/>
      <c r="L76" s="2"/>
      <c r="M76" s="2"/>
      <c r="N76" s="2"/>
      <c r="O76" s="2"/>
      <c r="P76" s="2"/>
      <c r="Q76" s="2"/>
      <c r="S76" s="3"/>
      <c r="T76" s="3"/>
      <c r="U76" s="3"/>
      <c r="V76" s="3"/>
      <c r="W76" s="3"/>
      <c r="X76" s="3"/>
      <c r="Y76" s="3"/>
      <c r="Z76" s="3"/>
    </row>
    <row r="77" ht="15.75" customHeight="1">
      <c r="A77" s="3"/>
      <c r="B77" s="2"/>
      <c r="C77" s="2"/>
      <c r="D77" s="474"/>
      <c r="E77" s="464"/>
      <c r="F77" s="2"/>
      <c r="G77" s="2"/>
      <c r="H77" s="2"/>
      <c r="I77" s="2"/>
      <c r="J77" s="2"/>
      <c r="K77" s="2"/>
      <c r="L77" s="2"/>
      <c r="M77" s="2"/>
      <c r="N77" s="2"/>
      <c r="O77" s="2"/>
      <c r="P77" s="2"/>
      <c r="Q77" s="2"/>
      <c r="S77" s="3"/>
      <c r="T77" s="3"/>
      <c r="U77" s="3"/>
      <c r="V77" s="3"/>
      <c r="W77" s="3"/>
      <c r="X77" s="3"/>
      <c r="Y77" s="3"/>
      <c r="Z77" s="3"/>
    </row>
    <row r="78" ht="15.75" customHeight="1">
      <c r="A78" s="3"/>
      <c r="B78" s="2"/>
      <c r="C78" s="2"/>
      <c r="D78" s="474"/>
      <c r="E78" s="464"/>
      <c r="F78" s="2"/>
      <c r="G78" s="2"/>
      <c r="H78" s="2"/>
      <c r="I78" s="2"/>
      <c r="J78" s="2"/>
      <c r="K78" s="2"/>
      <c r="L78" s="2"/>
      <c r="M78" s="2"/>
      <c r="N78" s="2"/>
      <c r="O78" s="2"/>
      <c r="P78" s="2"/>
      <c r="Q78" s="2"/>
      <c r="S78" s="3"/>
      <c r="T78" s="3"/>
      <c r="U78" s="3"/>
      <c r="V78" s="3"/>
      <c r="W78" s="3"/>
      <c r="X78" s="3"/>
      <c r="Y78" s="3"/>
      <c r="Z78" s="3"/>
    </row>
    <row r="79" ht="15.75" customHeight="1">
      <c r="A79" s="3"/>
      <c r="B79" s="2"/>
      <c r="C79" s="2"/>
      <c r="D79" s="474"/>
      <c r="E79" s="464"/>
      <c r="F79" s="2"/>
      <c r="G79" s="2"/>
      <c r="H79" s="2"/>
      <c r="I79" s="2"/>
      <c r="J79" s="2"/>
      <c r="K79" s="2"/>
      <c r="L79" s="2"/>
      <c r="M79" s="2"/>
      <c r="N79" s="2"/>
      <c r="O79" s="2"/>
      <c r="P79" s="2"/>
      <c r="Q79" s="2"/>
      <c r="S79" s="3"/>
      <c r="T79" s="3"/>
      <c r="U79" s="3"/>
      <c r="V79" s="3"/>
      <c r="W79" s="3"/>
      <c r="X79" s="3"/>
      <c r="Y79" s="3"/>
      <c r="Z79" s="3"/>
    </row>
    <row r="80" ht="15.75" customHeight="1">
      <c r="A80" s="3"/>
      <c r="B80" s="2"/>
      <c r="C80" s="2"/>
      <c r="D80" s="474"/>
      <c r="E80" s="464"/>
      <c r="F80" s="2"/>
      <c r="G80" s="2"/>
      <c r="H80" s="2"/>
      <c r="I80" s="2"/>
      <c r="J80" s="2"/>
      <c r="K80" s="2"/>
      <c r="L80" s="2"/>
      <c r="M80" s="2"/>
      <c r="N80" s="2"/>
      <c r="O80" s="2"/>
      <c r="P80" s="2"/>
      <c r="Q80" s="2"/>
      <c r="S80" s="3"/>
      <c r="T80" s="3"/>
      <c r="U80" s="3"/>
      <c r="V80" s="3"/>
      <c r="W80" s="3"/>
      <c r="X80" s="3"/>
      <c r="Y80" s="3"/>
      <c r="Z80" s="3"/>
    </row>
    <row r="81" ht="15.75" customHeight="1">
      <c r="A81" s="3"/>
      <c r="B81" s="2"/>
      <c r="C81" s="2"/>
      <c r="D81" s="474"/>
      <c r="E81" s="464"/>
      <c r="F81" s="2"/>
      <c r="G81" s="2"/>
      <c r="H81" s="2"/>
      <c r="I81" s="2"/>
      <c r="J81" s="2"/>
      <c r="K81" s="2"/>
      <c r="L81" s="2"/>
      <c r="M81" s="2"/>
      <c r="N81" s="2"/>
      <c r="O81" s="2"/>
      <c r="P81" s="2"/>
      <c r="Q81" s="2"/>
      <c r="S81" s="3"/>
      <c r="T81" s="3"/>
      <c r="U81" s="3"/>
      <c r="V81" s="3"/>
      <c r="W81" s="3"/>
      <c r="X81" s="3"/>
      <c r="Y81" s="3"/>
      <c r="Z81" s="3"/>
    </row>
    <row r="82" ht="15.75" customHeight="1">
      <c r="A82" s="3"/>
      <c r="B82" s="2"/>
      <c r="C82" s="2"/>
      <c r="D82" s="474"/>
      <c r="E82" s="464"/>
      <c r="F82" s="2"/>
      <c r="G82" s="2"/>
      <c r="H82" s="2"/>
      <c r="I82" s="2"/>
      <c r="J82" s="2"/>
      <c r="K82" s="2"/>
      <c r="L82" s="2"/>
      <c r="M82" s="2"/>
      <c r="N82" s="2"/>
      <c r="O82" s="2"/>
      <c r="P82" s="2"/>
      <c r="Q82" s="2"/>
      <c r="S82" s="3"/>
      <c r="T82" s="3"/>
      <c r="U82" s="3"/>
      <c r="V82" s="3"/>
      <c r="W82" s="3"/>
      <c r="X82" s="3"/>
      <c r="Y82" s="3"/>
      <c r="Z82" s="3"/>
    </row>
    <row r="83" ht="15.75" customHeight="1">
      <c r="A83" s="3"/>
      <c r="B83" s="2"/>
      <c r="C83" s="2"/>
      <c r="D83" s="474"/>
      <c r="E83" s="464"/>
      <c r="F83" s="2"/>
      <c r="G83" s="2"/>
      <c r="H83" s="2"/>
      <c r="I83" s="2"/>
      <c r="J83" s="2"/>
      <c r="K83" s="2"/>
      <c r="L83" s="2"/>
      <c r="M83" s="2"/>
      <c r="N83" s="2"/>
      <c r="O83" s="2"/>
      <c r="P83" s="2"/>
      <c r="Q83" s="2"/>
      <c r="S83" s="3"/>
      <c r="T83" s="3"/>
      <c r="U83" s="3"/>
      <c r="V83" s="3"/>
      <c r="W83" s="3"/>
      <c r="X83" s="3"/>
      <c r="Y83" s="3"/>
      <c r="Z83" s="3"/>
    </row>
    <row r="84" ht="15.75" customHeight="1">
      <c r="A84" s="3"/>
      <c r="B84" s="2"/>
      <c r="C84" s="2"/>
      <c r="D84" s="474"/>
      <c r="E84" s="464"/>
      <c r="F84" s="2"/>
      <c r="G84" s="2"/>
      <c r="H84" s="2"/>
      <c r="I84" s="2"/>
      <c r="J84" s="2"/>
      <c r="K84" s="2"/>
      <c r="L84" s="2"/>
      <c r="M84" s="2"/>
      <c r="N84" s="2"/>
      <c r="O84" s="2"/>
      <c r="P84" s="2"/>
      <c r="Q84" s="2"/>
      <c r="S84" s="3"/>
      <c r="T84" s="3"/>
      <c r="U84" s="3"/>
      <c r="V84" s="3"/>
      <c r="W84" s="3"/>
      <c r="X84" s="3"/>
      <c r="Y84" s="3"/>
      <c r="Z84" s="3"/>
    </row>
    <row r="85" ht="15.75" customHeight="1">
      <c r="A85" s="3"/>
      <c r="B85" s="2"/>
      <c r="C85" s="2"/>
      <c r="D85" s="474"/>
      <c r="E85" s="464"/>
      <c r="F85" s="2"/>
      <c r="G85" s="2"/>
      <c r="H85" s="2"/>
      <c r="I85" s="2"/>
      <c r="J85" s="2"/>
      <c r="K85" s="2"/>
      <c r="L85" s="2"/>
      <c r="M85" s="2"/>
      <c r="N85" s="2"/>
      <c r="O85" s="2"/>
      <c r="P85" s="2"/>
      <c r="Q85" s="2"/>
      <c r="S85" s="3"/>
      <c r="T85" s="3"/>
      <c r="U85" s="3"/>
      <c r="V85" s="3"/>
      <c r="W85" s="3"/>
      <c r="X85" s="3"/>
      <c r="Y85" s="3"/>
      <c r="Z85" s="3"/>
    </row>
    <row r="86" ht="15.75" customHeight="1">
      <c r="A86" s="3"/>
      <c r="B86" s="2"/>
      <c r="C86" s="2"/>
      <c r="D86" s="474"/>
      <c r="E86" s="464"/>
      <c r="F86" s="2"/>
      <c r="G86" s="2"/>
      <c r="H86" s="2"/>
      <c r="I86" s="2"/>
      <c r="J86" s="2"/>
      <c r="K86" s="2"/>
      <c r="L86" s="2"/>
      <c r="M86" s="2"/>
      <c r="N86" s="2"/>
      <c r="O86" s="2"/>
      <c r="P86" s="2"/>
      <c r="Q86" s="2"/>
      <c r="S86" s="3"/>
      <c r="T86" s="3"/>
      <c r="U86" s="3"/>
      <c r="V86" s="3"/>
      <c r="W86" s="3"/>
      <c r="X86" s="3"/>
      <c r="Y86" s="3"/>
      <c r="Z86" s="3"/>
    </row>
    <row r="87" ht="15.75" customHeight="1">
      <c r="A87" s="3"/>
      <c r="B87" s="2"/>
      <c r="C87" s="2"/>
      <c r="D87" s="474"/>
      <c r="E87" s="464"/>
      <c r="F87" s="2"/>
      <c r="G87" s="2"/>
      <c r="H87" s="2"/>
      <c r="I87" s="2"/>
      <c r="J87" s="2"/>
      <c r="K87" s="2"/>
      <c r="L87" s="2"/>
      <c r="M87" s="2"/>
      <c r="N87" s="2"/>
      <c r="O87" s="2"/>
      <c r="P87" s="2"/>
      <c r="Q87" s="2"/>
      <c r="S87" s="3"/>
      <c r="T87" s="3"/>
      <c r="U87" s="3"/>
      <c r="V87" s="3"/>
      <c r="W87" s="3"/>
      <c r="X87" s="3"/>
      <c r="Y87" s="3"/>
      <c r="Z87" s="3"/>
    </row>
    <row r="88" ht="15.75" customHeight="1">
      <c r="A88" s="3"/>
      <c r="B88" s="2"/>
      <c r="C88" s="2"/>
      <c r="D88" s="474"/>
      <c r="E88" s="464"/>
      <c r="F88" s="2"/>
      <c r="G88" s="2"/>
      <c r="H88" s="2"/>
      <c r="I88" s="2"/>
      <c r="J88" s="2"/>
      <c r="K88" s="2"/>
      <c r="L88" s="2"/>
      <c r="M88" s="2"/>
      <c r="N88" s="2"/>
      <c r="O88" s="2"/>
      <c r="P88" s="2"/>
      <c r="Q88" s="2"/>
      <c r="S88" s="3"/>
      <c r="T88" s="3"/>
      <c r="U88" s="3"/>
      <c r="V88" s="3"/>
      <c r="W88" s="3"/>
      <c r="X88" s="3"/>
      <c r="Y88" s="3"/>
      <c r="Z88" s="3"/>
    </row>
    <row r="89" ht="15.75" customHeight="1">
      <c r="A89" s="3"/>
      <c r="B89" s="2"/>
      <c r="C89" s="2"/>
      <c r="D89" s="474"/>
      <c r="E89" s="464"/>
      <c r="F89" s="2"/>
      <c r="G89" s="2"/>
      <c r="H89" s="2"/>
      <c r="I89" s="2"/>
      <c r="J89" s="2"/>
      <c r="K89" s="2"/>
      <c r="L89" s="2"/>
      <c r="M89" s="2"/>
      <c r="N89" s="2"/>
      <c r="O89" s="2"/>
      <c r="P89" s="2"/>
      <c r="Q89" s="2"/>
      <c r="S89" s="3"/>
      <c r="T89" s="3"/>
      <c r="U89" s="3"/>
      <c r="V89" s="3"/>
      <c r="W89" s="3"/>
      <c r="X89" s="3"/>
      <c r="Y89" s="3"/>
      <c r="Z89" s="3"/>
    </row>
    <row r="90" ht="15.75" customHeight="1">
      <c r="A90" s="3"/>
      <c r="B90" s="2"/>
      <c r="C90" s="2"/>
      <c r="D90" s="474"/>
      <c r="E90" s="464"/>
      <c r="F90" s="2"/>
      <c r="G90" s="2"/>
      <c r="H90" s="2"/>
      <c r="I90" s="2"/>
      <c r="J90" s="2"/>
      <c r="K90" s="2"/>
      <c r="L90" s="2"/>
      <c r="M90" s="2"/>
      <c r="N90" s="2"/>
      <c r="O90" s="2"/>
      <c r="P90" s="2"/>
      <c r="Q90" s="2"/>
      <c r="S90" s="3"/>
      <c r="T90" s="3"/>
      <c r="U90" s="3"/>
      <c r="V90" s="3"/>
      <c r="W90" s="3"/>
      <c r="X90" s="3"/>
      <c r="Y90" s="3"/>
      <c r="Z90" s="3"/>
    </row>
    <row r="91" ht="15.75" customHeight="1">
      <c r="A91" s="3"/>
      <c r="B91" s="2"/>
      <c r="C91" s="2"/>
      <c r="D91" s="474"/>
      <c r="E91" s="464"/>
      <c r="F91" s="2"/>
      <c r="G91" s="2"/>
      <c r="H91" s="2"/>
      <c r="I91" s="2"/>
      <c r="J91" s="2"/>
      <c r="K91" s="2"/>
      <c r="L91" s="2"/>
      <c r="M91" s="2"/>
      <c r="N91" s="2"/>
      <c r="O91" s="2"/>
      <c r="P91" s="2"/>
      <c r="Q91" s="2"/>
      <c r="S91" s="3"/>
      <c r="T91" s="3"/>
      <c r="U91" s="3"/>
      <c r="V91" s="3"/>
      <c r="W91" s="3"/>
      <c r="X91" s="3"/>
      <c r="Y91" s="3"/>
      <c r="Z91" s="3"/>
    </row>
    <row r="92" ht="15.75" customHeight="1">
      <c r="A92" s="3"/>
      <c r="B92" s="2"/>
      <c r="C92" s="2"/>
      <c r="D92" s="474"/>
      <c r="E92" s="464"/>
      <c r="F92" s="2"/>
      <c r="G92" s="2"/>
      <c r="H92" s="2"/>
      <c r="I92" s="2"/>
      <c r="J92" s="2"/>
      <c r="K92" s="2"/>
      <c r="L92" s="2"/>
      <c r="M92" s="2"/>
      <c r="N92" s="2"/>
      <c r="O92" s="2"/>
      <c r="P92" s="2"/>
      <c r="Q92" s="2"/>
      <c r="S92" s="3"/>
      <c r="T92" s="3"/>
      <c r="U92" s="3"/>
      <c r="V92" s="3"/>
      <c r="W92" s="3"/>
      <c r="X92" s="3"/>
      <c r="Y92" s="3"/>
      <c r="Z92" s="3"/>
    </row>
    <row r="93" ht="15.75" customHeight="1">
      <c r="A93" s="3"/>
      <c r="B93" s="2"/>
      <c r="C93" s="2"/>
      <c r="D93" s="474"/>
      <c r="E93" s="464"/>
      <c r="F93" s="2"/>
      <c r="G93" s="2"/>
      <c r="H93" s="2"/>
      <c r="I93" s="2"/>
      <c r="J93" s="2"/>
      <c r="K93" s="2"/>
      <c r="L93" s="2"/>
      <c r="M93" s="2"/>
      <c r="N93" s="2"/>
      <c r="O93" s="2"/>
      <c r="P93" s="2"/>
      <c r="Q93" s="2"/>
      <c r="S93" s="3"/>
      <c r="T93" s="3"/>
      <c r="U93" s="3"/>
      <c r="V93" s="3"/>
      <c r="W93" s="3"/>
      <c r="X93" s="3"/>
      <c r="Y93" s="3"/>
      <c r="Z93" s="3"/>
    </row>
    <row r="94" ht="15.75" customHeight="1">
      <c r="A94" s="3"/>
      <c r="B94" s="2"/>
      <c r="C94" s="2"/>
      <c r="D94" s="474"/>
      <c r="E94" s="464"/>
      <c r="F94" s="2"/>
      <c r="G94" s="2"/>
      <c r="H94" s="2"/>
      <c r="I94" s="2"/>
      <c r="J94" s="2"/>
      <c r="K94" s="2"/>
      <c r="L94" s="2"/>
      <c r="M94" s="2"/>
      <c r="N94" s="2"/>
      <c r="O94" s="2"/>
      <c r="P94" s="2"/>
      <c r="Q94" s="2"/>
      <c r="S94" s="3"/>
      <c r="T94" s="3"/>
      <c r="U94" s="3"/>
      <c r="V94" s="3"/>
      <c r="W94" s="3"/>
      <c r="X94" s="3"/>
      <c r="Y94" s="3"/>
      <c r="Z94" s="3"/>
    </row>
    <row r="95" ht="15.75" customHeight="1">
      <c r="A95" s="3"/>
      <c r="B95" s="2"/>
      <c r="C95" s="2"/>
      <c r="D95" s="474"/>
      <c r="E95" s="464"/>
      <c r="F95" s="2"/>
      <c r="G95" s="2"/>
      <c r="H95" s="2"/>
      <c r="I95" s="2"/>
      <c r="J95" s="2"/>
      <c r="K95" s="2"/>
      <c r="L95" s="2"/>
      <c r="M95" s="2"/>
      <c r="N95" s="2"/>
      <c r="O95" s="2"/>
      <c r="P95" s="2"/>
      <c r="Q95" s="2"/>
      <c r="S95" s="3"/>
      <c r="T95" s="3"/>
      <c r="U95" s="3"/>
      <c r="V95" s="3"/>
      <c r="W95" s="3"/>
      <c r="X95" s="3"/>
      <c r="Y95" s="3"/>
      <c r="Z95" s="3"/>
    </row>
    <row r="96" ht="15.75" customHeight="1">
      <c r="A96" s="3"/>
      <c r="B96" s="2"/>
      <c r="C96" s="2"/>
      <c r="D96" s="474"/>
      <c r="E96" s="464"/>
      <c r="F96" s="2"/>
      <c r="G96" s="2"/>
      <c r="H96" s="2"/>
      <c r="I96" s="2"/>
      <c r="J96" s="2"/>
      <c r="K96" s="2"/>
      <c r="L96" s="2"/>
      <c r="M96" s="2"/>
      <c r="N96" s="2"/>
      <c r="O96" s="2"/>
      <c r="P96" s="2"/>
      <c r="Q96" s="2"/>
      <c r="S96" s="3"/>
      <c r="T96" s="3"/>
      <c r="U96" s="3"/>
      <c r="V96" s="3"/>
      <c r="W96" s="3"/>
      <c r="X96" s="3"/>
      <c r="Y96" s="3"/>
      <c r="Z96" s="3"/>
    </row>
    <row r="97" ht="15.75" customHeight="1">
      <c r="A97" s="3"/>
      <c r="B97" s="2"/>
      <c r="C97" s="2"/>
      <c r="D97" s="474"/>
      <c r="E97" s="464"/>
      <c r="F97" s="2"/>
      <c r="G97" s="2"/>
      <c r="H97" s="2"/>
      <c r="I97" s="2"/>
      <c r="J97" s="2"/>
      <c r="K97" s="2"/>
      <c r="L97" s="2"/>
      <c r="M97" s="2"/>
      <c r="N97" s="2"/>
      <c r="O97" s="2"/>
      <c r="P97" s="2"/>
      <c r="Q97" s="2"/>
      <c r="S97" s="3"/>
      <c r="T97" s="3"/>
      <c r="U97" s="3"/>
      <c r="V97" s="3"/>
      <c r="W97" s="3"/>
      <c r="X97" s="3"/>
      <c r="Y97" s="3"/>
      <c r="Z97" s="3"/>
    </row>
    <row r="98" ht="15.75" customHeight="1">
      <c r="A98" s="3"/>
      <c r="B98" s="2"/>
      <c r="C98" s="2"/>
      <c r="D98" s="474"/>
      <c r="E98" s="464"/>
      <c r="F98" s="2"/>
      <c r="G98" s="2"/>
      <c r="H98" s="2"/>
      <c r="I98" s="2"/>
      <c r="J98" s="2"/>
      <c r="K98" s="2"/>
      <c r="L98" s="2"/>
      <c r="M98" s="2"/>
      <c r="N98" s="2"/>
      <c r="O98" s="2"/>
      <c r="P98" s="2"/>
      <c r="Q98" s="2"/>
      <c r="S98" s="3"/>
      <c r="T98" s="3"/>
      <c r="U98" s="3"/>
      <c r="V98" s="3"/>
      <c r="W98" s="3"/>
      <c r="X98" s="3"/>
      <c r="Y98" s="3"/>
      <c r="Z98" s="3"/>
    </row>
    <row r="99" ht="15.75" customHeight="1">
      <c r="A99" s="3"/>
      <c r="B99" s="2"/>
      <c r="C99" s="2"/>
      <c r="D99" s="474"/>
      <c r="E99" s="464"/>
      <c r="F99" s="2"/>
      <c r="G99" s="2"/>
      <c r="H99" s="2"/>
      <c r="I99" s="2"/>
      <c r="J99" s="2"/>
      <c r="K99" s="2"/>
      <c r="L99" s="2"/>
      <c r="M99" s="2"/>
      <c r="N99" s="2"/>
      <c r="O99" s="2"/>
      <c r="P99" s="2"/>
      <c r="Q99" s="2"/>
      <c r="S99" s="3"/>
      <c r="T99" s="3"/>
      <c r="U99" s="3"/>
      <c r="V99" s="3"/>
      <c r="W99" s="3"/>
      <c r="X99" s="3"/>
      <c r="Y99" s="3"/>
      <c r="Z99" s="3"/>
    </row>
    <row r="100" ht="15.75" customHeight="1">
      <c r="A100" s="3"/>
      <c r="B100" s="2"/>
      <c r="C100" s="2"/>
      <c r="D100" s="474"/>
      <c r="E100" s="464"/>
      <c r="F100" s="2"/>
      <c r="G100" s="2"/>
      <c r="H100" s="2"/>
      <c r="I100" s="2"/>
      <c r="J100" s="2"/>
      <c r="K100" s="2"/>
      <c r="L100" s="2"/>
      <c r="M100" s="2"/>
      <c r="N100" s="2"/>
      <c r="O100" s="2"/>
      <c r="P100" s="2"/>
      <c r="Q100" s="2"/>
      <c r="S100" s="3"/>
      <c r="T100" s="3"/>
      <c r="U100" s="3"/>
      <c r="V100" s="3"/>
      <c r="W100" s="3"/>
      <c r="X100" s="3"/>
      <c r="Y100" s="3"/>
      <c r="Z100" s="3"/>
    </row>
    <row r="101" ht="15.75" customHeight="1">
      <c r="A101" s="3"/>
      <c r="B101" s="2"/>
      <c r="C101" s="2"/>
      <c r="D101" s="474"/>
      <c r="E101" s="464"/>
      <c r="F101" s="2"/>
      <c r="G101" s="2"/>
      <c r="H101" s="2"/>
      <c r="I101" s="2"/>
      <c r="J101" s="2"/>
      <c r="K101" s="2"/>
      <c r="L101" s="2"/>
      <c r="M101" s="2"/>
      <c r="N101" s="2"/>
      <c r="O101" s="2"/>
      <c r="P101" s="2"/>
      <c r="Q101" s="2"/>
      <c r="S101" s="3"/>
      <c r="T101" s="3"/>
      <c r="U101" s="3"/>
      <c r="V101" s="3"/>
      <c r="W101" s="3"/>
      <c r="X101" s="3"/>
      <c r="Y101" s="3"/>
      <c r="Z101" s="3"/>
    </row>
    <row r="102" ht="15.75" customHeight="1">
      <c r="A102" s="3"/>
      <c r="B102" s="2"/>
      <c r="C102" s="2"/>
      <c r="D102" s="474"/>
      <c r="E102" s="464"/>
      <c r="F102" s="2"/>
      <c r="G102" s="2"/>
      <c r="H102" s="2"/>
      <c r="I102" s="2"/>
      <c r="J102" s="2"/>
      <c r="K102" s="2"/>
      <c r="L102" s="2"/>
      <c r="M102" s="2"/>
      <c r="N102" s="2"/>
      <c r="O102" s="2"/>
      <c r="P102" s="2"/>
      <c r="Q102" s="2"/>
      <c r="S102" s="3"/>
      <c r="T102" s="3"/>
      <c r="U102" s="3"/>
      <c r="V102" s="3"/>
      <c r="W102" s="3"/>
      <c r="X102" s="3"/>
      <c r="Y102" s="3"/>
      <c r="Z102" s="3"/>
    </row>
    <row r="103" ht="15.75" customHeight="1">
      <c r="A103" s="3"/>
      <c r="B103" s="2"/>
      <c r="C103" s="2"/>
      <c r="D103" s="474"/>
      <c r="E103" s="464"/>
      <c r="F103" s="2"/>
      <c r="G103" s="2"/>
      <c r="H103" s="2"/>
      <c r="I103" s="2"/>
      <c r="J103" s="2"/>
      <c r="K103" s="2"/>
      <c r="L103" s="2"/>
      <c r="M103" s="2"/>
      <c r="N103" s="2"/>
      <c r="O103" s="2"/>
      <c r="P103" s="2"/>
      <c r="Q103" s="2"/>
      <c r="S103" s="3"/>
      <c r="T103" s="3"/>
      <c r="U103" s="3"/>
      <c r="V103" s="3"/>
      <c r="W103" s="3"/>
      <c r="X103" s="3"/>
      <c r="Y103" s="3"/>
      <c r="Z103" s="3"/>
    </row>
    <row r="104" ht="15.75" customHeight="1">
      <c r="A104" s="3"/>
      <c r="B104" s="2"/>
      <c r="C104" s="2"/>
      <c r="D104" s="474"/>
      <c r="E104" s="464"/>
      <c r="F104" s="2"/>
      <c r="G104" s="2"/>
      <c r="H104" s="2"/>
      <c r="I104" s="2"/>
      <c r="J104" s="2"/>
      <c r="K104" s="2"/>
      <c r="L104" s="2"/>
      <c r="M104" s="2"/>
      <c r="N104" s="2"/>
      <c r="O104" s="2"/>
      <c r="P104" s="2"/>
      <c r="Q104" s="2"/>
      <c r="S104" s="3"/>
      <c r="T104" s="3"/>
      <c r="U104" s="3"/>
      <c r="V104" s="3"/>
      <c r="W104" s="3"/>
      <c r="X104" s="3"/>
      <c r="Y104" s="3"/>
      <c r="Z104" s="3"/>
    </row>
    <row r="105" ht="15.75" customHeight="1">
      <c r="A105" s="3"/>
      <c r="B105" s="2"/>
      <c r="C105" s="2"/>
      <c r="D105" s="474"/>
      <c r="E105" s="464"/>
      <c r="F105" s="2"/>
      <c r="G105" s="2"/>
      <c r="H105" s="2"/>
      <c r="I105" s="2"/>
      <c r="J105" s="2"/>
      <c r="K105" s="2"/>
      <c r="L105" s="2"/>
      <c r="M105" s="2"/>
      <c r="N105" s="2"/>
      <c r="O105" s="2"/>
      <c r="P105" s="2"/>
      <c r="Q105" s="2"/>
      <c r="S105" s="3"/>
      <c r="T105" s="3"/>
      <c r="U105" s="3"/>
      <c r="V105" s="3"/>
      <c r="W105" s="3"/>
      <c r="X105" s="3"/>
      <c r="Y105" s="3"/>
      <c r="Z105" s="3"/>
    </row>
    <row r="106" ht="15.75" customHeight="1">
      <c r="A106" s="3"/>
      <c r="B106" s="2"/>
      <c r="C106" s="2"/>
      <c r="D106" s="474"/>
      <c r="E106" s="464"/>
      <c r="F106" s="2"/>
      <c r="G106" s="2"/>
      <c r="H106" s="2"/>
      <c r="I106" s="2"/>
      <c r="J106" s="2"/>
      <c r="K106" s="2"/>
      <c r="L106" s="2"/>
      <c r="M106" s="2"/>
      <c r="N106" s="2"/>
      <c r="O106" s="2"/>
      <c r="P106" s="2"/>
      <c r="Q106" s="2"/>
      <c r="S106" s="3"/>
      <c r="T106" s="3"/>
      <c r="U106" s="3"/>
      <c r="V106" s="3"/>
      <c r="W106" s="3"/>
      <c r="X106" s="3"/>
      <c r="Y106" s="3"/>
      <c r="Z106" s="3"/>
    </row>
    <row r="107" ht="15.75" customHeight="1">
      <c r="A107" s="3"/>
      <c r="B107" s="2"/>
      <c r="C107" s="2"/>
      <c r="D107" s="474"/>
      <c r="E107" s="464"/>
      <c r="F107" s="2"/>
      <c r="G107" s="2"/>
      <c r="H107" s="2"/>
      <c r="I107" s="2"/>
      <c r="J107" s="2"/>
      <c r="K107" s="2"/>
      <c r="L107" s="2"/>
      <c r="M107" s="2"/>
      <c r="N107" s="2"/>
      <c r="O107" s="2"/>
      <c r="P107" s="2"/>
      <c r="Q107" s="2"/>
      <c r="S107" s="3"/>
      <c r="T107" s="3"/>
      <c r="U107" s="3"/>
      <c r="V107" s="3"/>
      <c r="W107" s="3"/>
      <c r="X107" s="3"/>
      <c r="Y107" s="3"/>
      <c r="Z107" s="3"/>
    </row>
    <row r="108" ht="15.75" customHeight="1">
      <c r="A108" s="3"/>
      <c r="B108" s="2"/>
      <c r="C108" s="2"/>
      <c r="D108" s="474"/>
      <c r="E108" s="464"/>
      <c r="F108" s="2"/>
      <c r="G108" s="2"/>
      <c r="H108" s="2"/>
      <c r="I108" s="2"/>
      <c r="J108" s="2"/>
      <c r="K108" s="2"/>
      <c r="L108" s="2"/>
      <c r="M108" s="2"/>
      <c r="N108" s="2"/>
      <c r="O108" s="2"/>
      <c r="P108" s="2"/>
      <c r="Q108" s="2"/>
      <c r="S108" s="3"/>
      <c r="T108" s="3"/>
      <c r="U108" s="3"/>
      <c r="V108" s="3"/>
      <c r="W108" s="3"/>
      <c r="X108" s="3"/>
      <c r="Y108" s="3"/>
      <c r="Z108" s="3"/>
    </row>
    <row r="109" ht="15.75" customHeight="1">
      <c r="A109" s="3"/>
      <c r="B109" s="2"/>
      <c r="C109" s="2"/>
      <c r="D109" s="474"/>
      <c r="E109" s="464"/>
      <c r="F109" s="2"/>
      <c r="G109" s="2"/>
      <c r="H109" s="2"/>
      <c r="I109" s="2"/>
      <c r="J109" s="2"/>
      <c r="K109" s="2"/>
      <c r="L109" s="2"/>
      <c r="M109" s="2"/>
      <c r="N109" s="2"/>
      <c r="O109" s="2"/>
      <c r="P109" s="2"/>
      <c r="Q109" s="2"/>
      <c r="S109" s="3"/>
      <c r="T109" s="3"/>
      <c r="U109" s="3"/>
      <c r="V109" s="3"/>
      <c r="W109" s="3"/>
      <c r="X109" s="3"/>
      <c r="Y109" s="3"/>
      <c r="Z109" s="3"/>
    </row>
    <row r="110" ht="15.75" customHeight="1">
      <c r="A110" s="3"/>
      <c r="B110" s="2"/>
      <c r="C110" s="2"/>
      <c r="D110" s="474"/>
      <c r="E110" s="464"/>
      <c r="F110" s="2"/>
      <c r="G110" s="2"/>
      <c r="H110" s="2"/>
      <c r="I110" s="2"/>
      <c r="J110" s="2"/>
      <c r="K110" s="2"/>
      <c r="L110" s="2"/>
      <c r="M110" s="2"/>
      <c r="N110" s="2"/>
      <c r="O110" s="2"/>
      <c r="P110" s="2"/>
      <c r="Q110" s="2"/>
      <c r="S110" s="3"/>
      <c r="T110" s="3"/>
      <c r="U110" s="3"/>
      <c r="V110" s="3"/>
      <c r="W110" s="3"/>
      <c r="X110" s="3"/>
      <c r="Y110" s="3"/>
      <c r="Z110" s="3"/>
    </row>
    <row r="111" ht="15.75" customHeight="1">
      <c r="A111" s="3"/>
      <c r="B111" s="2"/>
      <c r="C111" s="2"/>
      <c r="D111" s="474"/>
      <c r="E111" s="464"/>
      <c r="F111" s="2"/>
      <c r="G111" s="2"/>
      <c r="H111" s="2"/>
      <c r="I111" s="2"/>
      <c r="J111" s="2"/>
      <c r="K111" s="2"/>
      <c r="L111" s="2"/>
      <c r="M111" s="2"/>
      <c r="N111" s="2"/>
      <c r="O111" s="2"/>
      <c r="P111" s="2"/>
      <c r="Q111" s="2"/>
      <c r="S111" s="3"/>
      <c r="T111" s="3"/>
      <c r="U111" s="3"/>
      <c r="V111" s="3"/>
      <c r="W111" s="3"/>
      <c r="X111" s="3"/>
      <c r="Y111" s="3"/>
      <c r="Z111" s="3"/>
    </row>
    <row r="112" ht="15.75" customHeight="1">
      <c r="A112" s="3"/>
      <c r="B112" s="2"/>
      <c r="C112" s="2"/>
      <c r="D112" s="474"/>
      <c r="E112" s="464"/>
      <c r="F112" s="2"/>
      <c r="G112" s="2"/>
      <c r="H112" s="2"/>
      <c r="I112" s="2"/>
      <c r="J112" s="2"/>
      <c r="K112" s="2"/>
      <c r="L112" s="2"/>
      <c r="M112" s="2"/>
      <c r="N112" s="2"/>
      <c r="O112" s="2"/>
      <c r="P112" s="2"/>
      <c r="Q112" s="2"/>
      <c r="S112" s="3"/>
      <c r="T112" s="3"/>
      <c r="U112" s="3"/>
      <c r="V112" s="3"/>
      <c r="W112" s="3"/>
      <c r="X112" s="3"/>
      <c r="Y112" s="3"/>
      <c r="Z112" s="3"/>
    </row>
    <row r="113" ht="15.75" customHeight="1">
      <c r="A113" s="3"/>
      <c r="B113" s="2"/>
      <c r="C113" s="2"/>
      <c r="D113" s="474"/>
      <c r="E113" s="464"/>
      <c r="F113" s="2"/>
      <c r="G113" s="2"/>
      <c r="H113" s="2"/>
      <c r="I113" s="2"/>
      <c r="J113" s="2"/>
      <c r="K113" s="2"/>
      <c r="L113" s="2"/>
      <c r="M113" s="2"/>
      <c r="N113" s="2"/>
      <c r="O113" s="2"/>
      <c r="P113" s="2"/>
      <c r="Q113" s="2"/>
      <c r="S113" s="3"/>
      <c r="T113" s="3"/>
      <c r="U113" s="3"/>
      <c r="V113" s="3"/>
      <c r="W113" s="3"/>
      <c r="X113" s="3"/>
      <c r="Y113" s="3"/>
      <c r="Z113" s="3"/>
    </row>
    <row r="114" ht="15.75" customHeight="1">
      <c r="A114" s="3"/>
      <c r="B114" s="2"/>
      <c r="C114" s="2"/>
      <c r="D114" s="474"/>
      <c r="E114" s="464"/>
      <c r="F114" s="2"/>
      <c r="G114" s="2"/>
      <c r="H114" s="2"/>
      <c r="I114" s="2"/>
      <c r="J114" s="2"/>
      <c r="K114" s="2"/>
      <c r="L114" s="2"/>
      <c r="M114" s="2"/>
      <c r="N114" s="2"/>
      <c r="O114" s="2"/>
      <c r="P114" s="2"/>
      <c r="Q114" s="2"/>
      <c r="S114" s="3"/>
      <c r="T114" s="3"/>
      <c r="U114" s="3"/>
      <c r="V114" s="3"/>
      <c r="W114" s="3"/>
      <c r="X114" s="3"/>
      <c r="Y114" s="3"/>
      <c r="Z114" s="3"/>
    </row>
    <row r="115" ht="15.75" customHeight="1">
      <c r="A115" s="3"/>
      <c r="B115" s="2"/>
      <c r="C115" s="2"/>
      <c r="D115" s="474"/>
      <c r="E115" s="464"/>
      <c r="F115" s="2"/>
      <c r="G115" s="2"/>
      <c r="H115" s="2"/>
      <c r="I115" s="2"/>
      <c r="J115" s="2"/>
      <c r="K115" s="2"/>
      <c r="L115" s="2"/>
      <c r="M115" s="2"/>
      <c r="N115" s="2"/>
      <c r="O115" s="2"/>
      <c r="P115" s="2"/>
      <c r="Q115" s="2"/>
      <c r="S115" s="3"/>
      <c r="T115" s="3"/>
      <c r="U115" s="3"/>
      <c r="V115" s="3"/>
      <c r="W115" s="3"/>
      <c r="X115" s="3"/>
      <c r="Y115" s="3"/>
      <c r="Z115" s="3"/>
    </row>
    <row r="116" ht="15.75" customHeight="1">
      <c r="A116" s="3"/>
      <c r="B116" s="2"/>
      <c r="C116" s="2"/>
      <c r="D116" s="474"/>
      <c r="E116" s="464"/>
      <c r="F116" s="2"/>
      <c r="G116" s="2"/>
      <c r="H116" s="2"/>
      <c r="I116" s="2"/>
      <c r="J116" s="2"/>
      <c r="K116" s="2"/>
      <c r="L116" s="2"/>
      <c r="M116" s="2"/>
      <c r="N116" s="2"/>
      <c r="O116" s="2"/>
      <c r="P116" s="2"/>
      <c r="Q116" s="2"/>
      <c r="S116" s="3"/>
      <c r="T116" s="3"/>
      <c r="U116" s="3"/>
      <c r="V116" s="3"/>
      <c r="W116" s="3"/>
      <c r="X116" s="3"/>
      <c r="Y116" s="3"/>
      <c r="Z116" s="3"/>
    </row>
    <row r="117" ht="15.75" customHeight="1">
      <c r="A117" s="3"/>
      <c r="B117" s="2"/>
      <c r="C117" s="2"/>
      <c r="D117" s="474"/>
      <c r="E117" s="464"/>
      <c r="F117" s="2"/>
      <c r="G117" s="2"/>
      <c r="H117" s="2"/>
      <c r="I117" s="2"/>
      <c r="J117" s="2"/>
      <c r="K117" s="2"/>
      <c r="L117" s="2"/>
      <c r="M117" s="2"/>
      <c r="N117" s="2"/>
      <c r="O117" s="2"/>
      <c r="P117" s="2"/>
      <c r="Q117" s="2"/>
      <c r="S117" s="3"/>
      <c r="T117" s="3"/>
      <c r="U117" s="3"/>
      <c r="V117" s="3"/>
      <c r="W117" s="3"/>
      <c r="X117" s="3"/>
      <c r="Y117" s="3"/>
      <c r="Z117" s="3"/>
    </row>
    <row r="118" ht="15.75" customHeight="1">
      <c r="A118" s="3"/>
      <c r="B118" s="2"/>
      <c r="C118" s="2"/>
      <c r="D118" s="474"/>
      <c r="E118" s="464"/>
      <c r="F118" s="2"/>
      <c r="G118" s="2"/>
      <c r="H118" s="2"/>
      <c r="I118" s="2"/>
      <c r="J118" s="2"/>
      <c r="K118" s="2"/>
      <c r="L118" s="2"/>
      <c r="M118" s="2"/>
      <c r="N118" s="2"/>
      <c r="O118" s="2"/>
      <c r="P118" s="2"/>
      <c r="Q118" s="2"/>
      <c r="S118" s="3"/>
      <c r="T118" s="3"/>
      <c r="U118" s="3"/>
      <c r="V118" s="3"/>
      <c r="W118" s="3"/>
      <c r="X118" s="3"/>
      <c r="Y118" s="3"/>
      <c r="Z118" s="3"/>
    </row>
    <row r="119" ht="15.75" customHeight="1">
      <c r="A119" s="3"/>
      <c r="B119" s="2"/>
      <c r="C119" s="2"/>
      <c r="D119" s="474"/>
      <c r="E119" s="464"/>
      <c r="F119" s="2"/>
      <c r="G119" s="2"/>
      <c r="H119" s="2"/>
      <c r="I119" s="2"/>
      <c r="J119" s="2"/>
      <c r="K119" s="2"/>
      <c r="L119" s="2"/>
      <c r="M119" s="2"/>
      <c r="N119" s="2"/>
      <c r="O119" s="2"/>
      <c r="P119" s="2"/>
      <c r="Q119" s="2"/>
      <c r="S119" s="3"/>
      <c r="T119" s="3"/>
      <c r="U119" s="3"/>
      <c r="V119" s="3"/>
      <c r="W119" s="3"/>
      <c r="X119" s="3"/>
      <c r="Y119" s="3"/>
      <c r="Z119" s="3"/>
    </row>
    <row r="120" ht="15.75" customHeight="1">
      <c r="A120" s="3"/>
      <c r="B120" s="2"/>
      <c r="C120" s="2"/>
      <c r="D120" s="474"/>
      <c r="E120" s="464"/>
      <c r="F120" s="2"/>
      <c r="G120" s="2"/>
      <c r="H120" s="2"/>
      <c r="I120" s="2"/>
      <c r="J120" s="2"/>
      <c r="K120" s="2"/>
      <c r="L120" s="2"/>
      <c r="M120" s="2"/>
      <c r="N120" s="2"/>
      <c r="O120" s="2"/>
      <c r="P120" s="2"/>
      <c r="Q120" s="2"/>
      <c r="S120" s="3"/>
      <c r="T120" s="3"/>
      <c r="U120" s="3"/>
      <c r="V120" s="3"/>
      <c r="W120" s="3"/>
      <c r="X120" s="3"/>
      <c r="Y120" s="3"/>
      <c r="Z120" s="3"/>
    </row>
    <row r="121" ht="15.75" customHeight="1">
      <c r="A121" s="3"/>
      <c r="B121" s="2"/>
      <c r="C121" s="2"/>
      <c r="D121" s="474"/>
      <c r="E121" s="464"/>
      <c r="F121" s="2"/>
      <c r="G121" s="2"/>
      <c r="H121" s="2"/>
      <c r="I121" s="2"/>
      <c r="J121" s="2"/>
      <c r="K121" s="2"/>
      <c r="L121" s="2"/>
      <c r="M121" s="2"/>
      <c r="N121" s="2"/>
      <c r="O121" s="2"/>
      <c r="P121" s="2"/>
      <c r="Q121" s="2"/>
      <c r="S121" s="3"/>
      <c r="T121" s="3"/>
      <c r="U121" s="3"/>
      <c r="V121" s="3"/>
      <c r="W121" s="3"/>
      <c r="X121" s="3"/>
      <c r="Y121" s="3"/>
      <c r="Z121" s="3"/>
    </row>
    <row r="122" ht="15.75" customHeight="1">
      <c r="A122" s="3"/>
      <c r="B122" s="2"/>
      <c r="C122" s="2"/>
      <c r="D122" s="474"/>
      <c r="E122" s="464"/>
      <c r="F122" s="2"/>
      <c r="G122" s="2"/>
      <c r="H122" s="2"/>
      <c r="I122" s="2"/>
      <c r="J122" s="2"/>
      <c r="K122" s="2"/>
      <c r="L122" s="2"/>
      <c r="M122" s="2"/>
      <c r="N122" s="2"/>
      <c r="O122" s="2"/>
      <c r="P122" s="2"/>
      <c r="Q122" s="2"/>
      <c r="S122" s="3"/>
      <c r="T122" s="3"/>
      <c r="U122" s="3"/>
      <c r="V122" s="3"/>
      <c r="W122" s="3"/>
      <c r="X122" s="3"/>
      <c r="Y122" s="3"/>
      <c r="Z122" s="3"/>
    </row>
    <row r="123" ht="15.75" customHeight="1">
      <c r="A123" s="3"/>
      <c r="B123" s="2"/>
      <c r="C123" s="2"/>
      <c r="D123" s="474"/>
      <c r="E123" s="464"/>
      <c r="F123" s="2"/>
      <c r="G123" s="2"/>
      <c r="H123" s="2"/>
      <c r="I123" s="2"/>
      <c r="J123" s="2"/>
      <c r="K123" s="2"/>
      <c r="L123" s="2"/>
      <c r="M123" s="2"/>
      <c r="N123" s="2"/>
      <c r="O123" s="2"/>
      <c r="P123" s="2"/>
      <c r="Q123" s="2"/>
      <c r="S123" s="3"/>
      <c r="T123" s="3"/>
      <c r="U123" s="3"/>
      <c r="V123" s="3"/>
      <c r="W123" s="3"/>
      <c r="X123" s="3"/>
      <c r="Y123" s="3"/>
      <c r="Z123" s="3"/>
    </row>
    <row r="124" ht="15.75" customHeight="1">
      <c r="A124" s="3"/>
      <c r="B124" s="2"/>
      <c r="C124" s="2"/>
      <c r="D124" s="474"/>
      <c r="E124" s="464"/>
      <c r="F124" s="2"/>
      <c r="G124" s="2"/>
      <c r="H124" s="2"/>
      <c r="I124" s="2"/>
      <c r="J124" s="2"/>
      <c r="K124" s="2"/>
      <c r="L124" s="2"/>
      <c r="M124" s="2"/>
      <c r="N124" s="2"/>
      <c r="O124" s="2"/>
      <c r="P124" s="2"/>
      <c r="Q124" s="2"/>
      <c r="S124" s="3"/>
      <c r="T124" s="3"/>
      <c r="U124" s="3"/>
      <c r="V124" s="3"/>
      <c r="W124" s="3"/>
      <c r="X124" s="3"/>
      <c r="Y124" s="3"/>
      <c r="Z124" s="3"/>
    </row>
    <row r="125" ht="15.75" customHeight="1">
      <c r="A125" s="3"/>
      <c r="B125" s="2"/>
      <c r="C125" s="2"/>
      <c r="D125" s="474"/>
      <c r="E125" s="464"/>
      <c r="F125" s="2"/>
      <c r="G125" s="2"/>
      <c r="H125" s="2"/>
      <c r="I125" s="2"/>
      <c r="J125" s="2"/>
      <c r="K125" s="2"/>
      <c r="L125" s="2"/>
      <c r="M125" s="2"/>
      <c r="N125" s="2"/>
      <c r="O125" s="2"/>
      <c r="P125" s="2"/>
      <c r="Q125" s="2"/>
      <c r="S125" s="3"/>
      <c r="T125" s="3"/>
      <c r="U125" s="3"/>
      <c r="V125" s="3"/>
      <c r="W125" s="3"/>
      <c r="X125" s="3"/>
      <c r="Y125" s="3"/>
      <c r="Z125" s="3"/>
    </row>
    <row r="126" ht="15.75" customHeight="1">
      <c r="A126" s="3"/>
      <c r="B126" s="2"/>
      <c r="C126" s="2"/>
      <c r="D126" s="474"/>
      <c r="E126" s="464"/>
      <c r="F126" s="2"/>
      <c r="G126" s="2"/>
      <c r="H126" s="2"/>
      <c r="I126" s="2"/>
      <c r="J126" s="2"/>
      <c r="K126" s="2"/>
      <c r="L126" s="2"/>
      <c r="M126" s="2"/>
      <c r="N126" s="2"/>
      <c r="O126" s="2"/>
      <c r="P126" s="2"/>
      <c r="Q126" s="2"/>
      <c r="S126" s="3"/>
      <c r="T126" s="3"/>
      <c r="U126" s="3"/>
      <c r="V126" s="3"/>
      <c r="W126" s="3"/>
      <c r="X126" s="3"/>
      <c r="Y126" s="3"/>
      <c r="Z126" s="3"/>
    </row>
    <row r="127" ht="15.75" customHeight="1">
      <c r="A127" s="3"/>
      <c r="B127" s="2"/>
      <c r="C127" s="2"/>
      <c r="D127" s="474"/>
      <c r="E127" s="464"/>
      <c r="F127" s="2"/>
      <c r="G127" s="2"/>
      <c r="H127" s="2"/>
      <c r="I127" s="2"/>
      <c r="J127" s="2"/>
      <c r="K127" s="2"/>
      <c r="L127" s="2"/>
      <c r="M127" s="2"/>
      <c r="N127" s="2"/>
      <c r="O127" s="2"/>
      <c r="P127" s="2"/>
      <c r="Q127" s="2"/>
      <c r="S127" s="3"/>
      <c r="T127" s="3"/>
      <c r="U127" s="3"/>
      <c r="V127" s="3"/>
      <c r="W127" s="3"/>
      <c r="X127" s="3"/>
      <c r="Y127" s="3"/>
      <c r="Z127" s="3"/>
    </row>
    <row r="128" ht="15.75" customHeight="1">
      <c r="A128" s="3"/>
      <c r="B128" s="2"/>
      <c r="C128" s="2"/>
      <c r="D128" s="474"/>
      <c r="E128" s="464"/>
      <c r="F128" s="2"/>
      <c r="G128" s="2"/>
      <c r="H128" s="2"/>
      <c r="I128" s="2"/>
      <c r="J128" s="2"/>
      <c r="K128" s="2"/>
      <c r="L128" s="2"/>
      <c r="M128" s="2"/>
      <c r="N128" s="2"/>
      <c r="O128" s="2"/>
      <c r="P128" s="2"/>
      <c r="Q128" s="2"/>
      <c r="S128" s="3"/>
      <c r="T128" s="3"/>
      <c r="U128" s="3"/>
      <c r="V128" s="3"/>
      <c r="W128" s="3"/>
      <c r="X128" s="3"/>
      <c r="Y128" s="3"/>
      <c r="Z128" s="3"/>
    </row>
    <row r="129" ht="15.75" customHeight="1">
      <c r="A129" s="3"/>
      <c r="B129" s="2"/>
      <c r="C129" s="2"/>
      <c r="D129" s="474"/>
      <c r="E129" s="464"/>
      <c r="F129" s="2"/>
      <c r="G129" s="2"/>
      <c r="H129" s="2"/>
      <c r="I129" s="2"/>
      <c r="J129" s="2"/>
      <c r="K129" s="2"/>
      <c r="L129" s="2"/>
      <c r="M129" s="2"/>
      <c r="N129" s="2"/>
      <c r="O129" s="2"/>
      <c r="P129" s="2"/>
      <c r="Q129" s="2"/>
      <c r="S129" s="3"/>
      <c r="T129" s="3"/>
      <c r="U129" s="3"/>
      <c r="V129" s="3"/>
      <c r="W129" s="3"/>
      <c r="X129" s="3"/>
      <c r="Y129" s="3"/>
      <c r="Z129" s="3"/>
    </row>
    <row r="130" ht="15.75" customHeight="1">
      <c r="A130" s="3"/>
      <c r="B130" s="2"/>
      <c r="C130" s="2"/>
      <c r="D130" s="474"/>
      <c r="E130" s="464"/>
      <c r="F130" s="2"/>
      <c r="G130" s="2"/>
      <c r="H130" s="2"/>
      <c r="I130" s="2"/>
      <c r="J130" s="2"/>
      <c r="K130" s="2"/>
      <c r="L130" s="2"/>
      <c r="M130" s="2"/>
      <c r="N130" s="2"/>
      <c r="O130" s="2"/>
      <c r="P130" s="2"/>
      <c r="Q130" s="2"/>
      <c r="S130" s="3"/>
      <c r="T130" s="3"/>
      <c r="U130" s="3"/>
      <c r="V130" s="3"/>
      <c r="W130" s="3"/>
      <c r="X130" s="3"/>
      <c r="Y130" s="3"/>
      <c r="Z130" s="3"/>
    </row>
    <row r="131" ht="15.75" customHeight="1">
      <c r="A131" s="3"/>
      <c r="B131" s="2"/>
      <c r="C131" s="2"/>
      <c r="D131" s="474"/>
      <c r="E131" s="464"/>
      <c r="F131" s="2"/>
      <c r="G131" s="2"/>
      <c r="H131" s="2"/>
      <c r="I131" s="2"/>
      <c r="J131" s="2"/>
      <c r="K131" s="2"/>
      <c r="L131" s="2"/>
      <c r="M131" s="2"/>
      <c r="N131" s="2"/>
      <c r="O131" s="2"/>
      <c r="P131" s="2"/>
      <c r="Q131" s="2"/>
      <c r="S131" s="3"/>
      <c r="T131" s="3"/>
      <c r="U131" s="3"/>
      <c r="V131" s="3"/>
      <c r="W131" s="3"/>
      <c r="X131" s="3"/>
      <c r="Y131" s="3"/>
      <c r="Z131" s="3"/>
    </row>
    <row r="132" ht="15.75" customHeight="1">
      <c r="A132" s="3"/>
      <c r="B132" s="2"/>
      <c r="C132" s="2"/>
      <c r="D132" s="474"/>
      <c r="E132" s="464"/>
      <c r="F132" s="2"/>
      <c r="G132" s="2"/>
      <c r="H132" s="2"/>
      <c r="I132" s="2"/>
      <c r="J132" s="2"/>
      <c r="K132" s="2"/>
      <c r="L132" s="2"/>
      <c r="M132" s="2"/>
      <c r="N132" s="2"/>
      <c r="O132" s="2"/>
      <c r="P132" s="2"/>
      <c r="Q132" s="2"/>
      <c r="S132" s="3"/>
      <c r="T132" s="3"/>
      <c r="U132" s="3"/>
      <c r="V132" s="3"/>
      <c r="W132" s="3"/>
      <c r="X132" s="3"/>
      <c r="Y132" s="3"/>
      <c r="Z132" s="3"/>
    </row>
    <row r="133" ht="15.75" customHeight="1">
      <c r="A133" s="3"/>
      <c r="B133" s="2"/>
      <c r="C133" s="2"/>
      <c r="D133" s="474"/>
      <c r="E133" s="464"/>
      <c r="F133" s="2"/>
      <c r="G133" s="2"/>
      <c r="H133" s="2"/>
      <c r="I133" s="2"/>
      <c r="J133" s="2"/>
      <c r="K133" s="2"/>
      <c r="L133" s="2"/>
      <c r="M133" s="2"/>
      <c r="N133" s="2"/>
      <c r="O133" s="2"/>
      <c r="P133" s="2"/>
      <c r="Q133" s="2"/>
      <c r="S133" s="3"/>
      <c r="T133" s="3"/>
      <c r="U133" s="3"/>
      <c r="V133" s="3"/>
      <c r="W133" s="3"/>
      <c r="X133" s="3"/>
      <c r="Y133" s="3"/>
      <c r="Z133" s="3"/>
    </row>
    <row r="134" ht="15.75" customHeight="1">
      <c r="A134" s="3"/>
      <c r="B134" s="2"/>
      <c r="C134" s="2"/>
      <c r="D134" s="474"/>
      <c r="E134" s="464"/>
      <c r="F134" s="2"/>
      <c r="G134" s="2"/>
      <c r="H134" s="2"/>
      <c r="I134" s="2"/>
      <c r="J134" s="2"/>
      <c r="K134" s="2"/>
      <c r="L134" s="2"/>
      <c r="M134" s="2"/>
      <c r="N134" s="2"/>
      <c r="O134" s="2"/>
      <c r="P134" s="2"/>
      <c r="Q134" s="2"/>
      <c r="S134" s="3"/>
      <c r="T134" s="3"/>
      <c r="U134" s="3"/>
      <c r="V134" s="3"/>
      <c r="W134" s="3"/>
      <c r="X134" s="3"/>
      <c r="Y134" s="3"/>
      <c r="Z134" s="3"/>
    </row>
    <row r="135" ht="15.75" customHeight="1">
      <c r="A135" s="3"/>
      <c r="B135" s="2"/>
      <c r="C135" s="2"/>
      <c r="D135" s="474"/>
      <c r="E135" s="464"/>
      <c r="F135" s="2"/>
      <c r="G135" s="2"/>
      <c r="H135" s="2"/>
      <c r="I135" s="2"/>
      <c r="J135" s="2"/>
      <c r="K135" s="2"/>
      <c r="L135" s="2"/>
      <c r="M135" s="2"/>
      <c r="N135" s="2"/>
      <c r="O135" s="2"/>
      <c r="P135" s="2"/>
      <c r="Q135" s="2"/>
      <c r="S135" s="3"/>
      <c r="T135" s="3"/>
      <c r="U135" s="3"/>
      <c r="V135" s="3"/>
      <c r="W135" s="3"/>
      <c r="X135" s="3"/>
      <c r="Y135" s="3"/>
      <c r="Z135" s="3"/>
    </row>
    <row r="136" ht="15.75" customHeight="1">
      <c r="A136" s="3"/>
      <c r="B136" s="2"/>
      <c r="C136" s="2"/>
      <c r="D136" s="474"/>
      <c r="E136" s="464"/>
      <c r="F136" s="2"/>
      <c r="G136" s="2"/>
      <c r="H136" s="2"/>
      <c r="I136" s="2"/>
      <c r="J136" s="2"/>
      <c r="K136" s="2"/>
      <c r="L136" s="2"/>
      <c r="M136" s="2"/>
      <c r="N136" s="2"/>
      <c r="O136" s="2"/>
      <c r="P136" s="2"/>
      <c r="Q136" s="2"/>
      <c r="S136" s="3"/>
      <c r="T136" s="3"/>
      <c r="U136" s="3"/>
      <c r="V136" s="3"/>
      <c r="W136" s="3"/>
      <c r="X136" s="3"/>
      <c r="Y136" s="3"/>
      <c r="Z136" s="3"/>
    </row>
    <row r="137" ht="15.75" customHeight="1">
      <c r="A137" s="3"/>
      <c r="B137" s="2"/>
      <c r="C137" s="2"/>
      <c r="D137" s="474"/>
      <c r="E137" s="464"/>
      <c r="F137" s="2"/>
      <c r="G137" s="2"/>
      <c r="H137" s="2"/>
      <c r="I137" s="2"/>
      <c r="J137" s="2"/>
      <c r="K137" s="2"/>
      <c r="L137" s="2"/>
      <c r="M137" s="2"/>
      <c r="N137" s="2"/>
      <c r="O137" s="2"/>
      <c r="P137" s="2"/>
      <c r="Q137" s="2"/>
      <c r="S137" s="3"/>
      <c r="T137" s="3"/>
      <c r="U137" s="3"/>
      <c r="V137" s="3"/>
      <c r="W137" s="3"/>
      <c r="X137" s="3"/>
      <c r="Y137" s="3"/>
      <c r="Z137" s="3"/>
    </row>
    <row r="138" ht="15.75" customHeight="1">
      <c r="A138" s="3"/>
      <c r="B138" s="2"/>
      <c r="C138" s="2"/>
      <c r="D138" s="474"/>
      <c r="E138" s="464"/>
      <c r="F138" s="2"/>
      <c r="G138" s="2"/>
      <c r="H138" s="2"/>
      <c r="I138" s="2"/>
      <c r="J138" s="2"/>
      <c r="K138" s="2"/>
      <c r="L138" s="2"/>
      <c r="M138" s="2"/>
      <c r="N138" s="2"/>
      <c r="O138" s="2"/>
      <c r="P138" s="2"/>
      <c r="Q138" s="2"/>
      <c r="S138" s="3"/>
      <c r="T138" s="3"/>
      <c r="U138" s="3"/>
      <c r="V138" s="3"/>
      <c r="W138" s="3"/>
      <c r="X138" s="3"/>
      <c r="Y138" s="3"/>
      <c r="Z138" s="3"/>
    </row>
    <row r="139" ht="15.75" customHeight="1">
      <c r="A139" s="3"/>
      <c r="B139" s="2"/>
      <c r="C139" s="2"/>
      <c r="D139" s="474"/>
      <c r="E139" s="464"/>
      <c r="F139" s="2"/>
      <c r="G139" s="2"/>
      <c r="H139" s="2"/>
      <c r="I139" s="2"/>
      <c r="J139" s="2"/>
      <c r="K139" s="2"/>
      <c r="L139" s="2"/>
      <c r="M139" s="2"/>
      <c r="N139" s="2"/>
      <c r="O139" s="2"/>
      <c r="P139" s="2"/>
      <c r="Q139" s="2"/>
      <c r="S139" s="3"/>
      <c r="T139" s="3"/>
      <c r="U139" s="3"/>
      <c r="V139" s="3"/>
      <c r="W139" s="3"/>
      <c r="X139" s="3"/>
      <c r="Y139" s="3"/>
      <c r="Z139" s="3"/>
    </row>
    <row r="140" ht="15.75" customHeight="1">
      <c r="A140" s="3"/>
      <c r="B140" s="2"/>
      <c r="C140" s="2"/>
      <c r="D140" s="474"/>
      <c r="E140" s="464"/>
      <c r="F140" s="2"/>
      <c r="G140" s="2"/>
      <c r="H140" s="2"/>
      <c r="I140" s="2"/>
      <c r="J140" s="2"/>
      <c r="K140" s="2"/>
      <c r="L140" s="2"/>
      <c r="M140" s="2"/>
      <c r="N140" s="2"/>
      <c r="O140" s="2"/>
      <c r="P140" s="2"/>
      <c r="Q140" s="2"/>
      <c r="S140" s="3"/>
      <c r="T140" s="3"/>
      <c r="U140" s="3"/>
      <c r="V140" s="3"/>
      <c r="W140" s="3"/>
      <c r="X140" s="3"/>
      <c r="Y140" s="3"/>
      <c r="Z140" s="3"/>
    </row>
    <row r="141" ht="15.75" customHeight="1">
      <c r="A141" s="3"/>
      <c r="B141" s="2"/>
      <c r="C141" s="2"/>
      <c r="D141" s="474"/>
      <c r="E141" s="464"/>
      <c r="F141" s="2"/>
      <c r="G141" s="2"/>
      <c r="H141" s="2"/>
      <c r="I141" s="2"/>
      <c r="J141" s="2"/>
      <c r="K141" s="2"/>
      <c r="L141" s="2"/>
      <c r="M141" s="2"/>
      <c r="N141" s="2"/>
      <c r="O141" s="2"/>
      <c r="P141" s="2"/>
      <c r="Q141" s="2"/>
      <c r="S141" s="3"/>
      <c r="T141" s="3"/>
      <c r="U141" s="3"/>
      <c r="V141" s="3"/>
      <c r="W141" s="3"/>
      <c r="X141" s="3"/>
      <c r="Y141" s="3"/>
      <c r="Z141" s="3"/>
    </row>
    <row r="142" ht="15.75" customHeight="1">
      <c r="A142" s="3"/>
      <c r="B142" s="2"/>
      <c r="C142" s="2"/>
      <c r="D142" s="474"/>
      <c r="E142" s="464"/>
      <c r="F142" s="2"/>
      <c r="G142" s="2"/>
      <c r="H142" s="2"/>
      <c r="I142" s="2"/>
      <c r="J142" s="2"/>
      <c r="K142" s="2"/>
      <c r="L142" s="2"/>
      <c r="M142" s="2"/>
      <c r="N142" s="2"/>
      <c r="O142" s="2"/>
      <c r="P142" s="2"/>
      <c r="Q142" s="2"/>
      <c r="S142" s="3"/>
      <c r="T142" s="3"/>
      <c r="U142" s="3"/>
      <c r="V142" s="3"/>
      <c r="W142" s="3"/>
      <c r="X142" s="3"/>
      <c r="Y142" s="3"/>
      <c r="Z142" s="3"/>
    </row>
    <row r="143" ht="15.75" customHeight="1">
      <c r="A143" s="3"/>
      <c r="B143" s="2"/>
      <c r="C143" s="2"/>
      <c r="D143" s="474"/>
      <c r="E143" s="464"/>
      <c r="F143" s="2"/>
      <c r="G143" s="2"/>
      <c r="H143" s="2"/>
      <c r="I143" s="2"/>
      <c r="J143" s="2"/>
      <c r="K143" s="2"/>
      <c r="L143" s="2"/>
      <c r="M143" s="2"/>
      <c r="N143" s="2"/>
      <c r="O143" s="2"/>
      <c r="P143" s="2"/>
      <c r="Q143" s="2"/>
      <c r="S143" s="3"/>
      <c r="T143" s="3"/>
      <c r="U143" s="3"/>
      <c r="V143" s="3"/>
      <c r="W143" s="3"/>
      <c r="X143" s="3"/>
      <c r="Y143" s="3"/>
      <c r="Z143" s="3"/>
    </row>
    <row r="144" ht="15.75" customHeight="1">
      <c r="A144" s="3"/>
      <c r="B144" s="2"/>
      <c r="C144" s="2"/>
      <c r="D144" s="474"/>
      <c r="E144" s="464"/>
      <c r="F144" s="2"/>
      <c r="G144" s="2"/>
      <c r="H144" s="2"/>
      <c r="I144" s="2"/>
      <c r="J144" s="2"/>
      <c r="K144" s="2"/>
      <c r="L144" s="2"/>
      <c r="M144" s="2"/>
      <c r="N144" s="2"/>
      <c r="O144" s="2"/>
      <c r="P144" s="2"/>
      <c r="Q144" s="2"/>
      <c r="S144" s="3"/>
      <c r="T144" s="3"/>
      <c r="U144" s="3"/>
      <c r="V144" s="3"/>
      <c r="W144" s="3"/>
      <c r="X144" s="3"/>
      <c r="Y144" s="3"/>
      <c r="Z144" s="3"/>
    </row>
    <row r="145" ht="15.75" customHeight="1">
      <c r="A145" s="3"/>
      <c r="B145" s="2"/>
      <c r="C145" s="2"/>
      <c r="D145" s="474"/>
      <c r="E145" s="464"/>
      <c r="F145" s="2"/>
      <c r="G145" s="2"/>
      <c r="H145" s="2"/>
      <c r="I145" s="2"/>
      <c r="J145" s="2"/>
      <c r="K145" s="2"/>
      <c r="L145" s="2"/>
      <c r="M145" s="2"/>
      <c r="N145" s="2"/>
      <c r="O145" s="2"/>
      <c r="P145" s="2"/>
      <c r="Q145" s="2"/>
      <c r="S145" s="3"/>
      <c r="T145" s="3"/>
      <c r="U145" s="3"/>
      <c r="V145" s="3"/>
      <c r="W145" s="3"/>
      <c r="X145" s="3"/>
      <c r="Y145" s="3"/>
      <c r="Z145" s="3"/>
    </row>
    <row r="146" ht="15.75" customHeight="1">
      <c r="A146" s="3"/>
      <c r="B146" s="2"/>
      <c r="C146" s="2"/>
      <c r="D146" s="474"/>
      <c r="E146" s="464"/>
      <c r="F146" s="2"/>
      <c r="G146" s="2"/>
      <c r="H146" s="2"/>
      <c r="I146" s="2"/>
      <c r="J146" s="2"/>
      <c r="K146" s="2"/>
      <c r="L146" s="2"/>
      <c r="M146" s="2"/>
      <c r="N146" s="2"/>
      <c r="O146" s="2"/>
      <c r="P146" s="2"/>
      <c r="Q146" s="2"/>
      <c r="S146" s="3"/>
      <c r="T146" s="3"/>
      <c r="U146" s="3"/>
      <c r="V146" s="3"/>
      <c r="W146" s="3"/>
      <c r="X146" s="3"/>
      <c r="Y146" s="3"/>
      <c r="Z146" s="3"/>
    </row>
    <row r="147" ht="15.75" customHeight="1">
      <c r="A147" s="3"/>
      <c r="B147" s="2"/>
      <c r="C147" s="2"/>
      <c r="D147" s="474"/>
      <c r="E147" s="464"/>
      <c r="F147" s="2"/>
      <c r="G147" s="2"/>
      <c r="H147" s="2"/>
      <c r="I147" s="2"/>
      <c r="J147" s="2"/>
      <c r="K147" s="2"/>
      <c r="L147" s="2"/>
      <c r="M147" s="2"/>
      <c r="N147" s="2"/>
      <c r="O147" s="2"/>
      <c r="P147" s="2"/>
      <c r="Q147" s="2"/>
      <c r="S147" s="3"/>
      <c r="T147" s="3"/>
      <c r="U147" s="3"/>
      <c r="V147" s="3"/>
      <c r="W147" s="3"/>
      <c r="X147" s="3"/>
      <c r="Y147" s="3"/>
      <c r="Z147" s="3"/>
    </row>
    <row r="148" ht="15.75" customHeight="1">
      <c r="A148" s="3"/>
      <c r="B148" s="2"/>
      <c r="C148" s="2"/>
      <c r="D148" s="474"/>
      <c r="E148" s="464"/>
      <c r="F148" s="2"/>
      <c r="G148" s="2"/>
      <c r="H148" s="2"/>
      <c r="I148" s="2"/>
      <c r="J148" s="2"/>
      <c r="K148" s="2"/>
      <c r="L148" s="2"/>
      <c r="M148" s="2"/>
      <c r="N148" s="2"/>
      <c r="O148" s="2"/>
      <c r="P148" s="2"/>
      <c r="Q148" s="2"/>
      <c r="S148" s="3"/>
      <c r="T148" s="3"/>
      <c r="U148" s="3"/>
      <c r="V148" s="3"/>
      <c r="W148" s="3"/>
      <c r="X148" s="3"/>
      <c r="Y148" s="3"/>
      <c r="Z148" s="3"/>
    </row>
    <row r="149" ht="15.75" customHeight="1">
      <c r="A149" s="3"/>
      <c r="B149" s="2"/>
      <c r="C149" s="2"/>
      <c r="D149" s="474"/>
      <c r="E149" s="464"/>
      <c r="F149" s="2"/>
      <c r="G149" s="2"/>
      <c r="H149" s="2"/>
      <c r="I149" s="2"/>
      <c r="J149" s="2"/>
      <c r="K149" s="2"/>
      <c r="L149" s="2"/>
      <c r="M149" s="2"/>
      <c r="N149" s="2"/>
      <c r="O149" s="2"/>
      <c r="P149" s="2"/>
      <c r="Q149" s="2"/>
      <c r="S149" s="3"/>
      <c r="T149" s="3"/>
      <c r="U149" s="3"/>
      <c r="V149" s="3"/>
      <c r="W149" s="3"/>
      <c r="X149" s="3"/>
      <c r="Y149" s="3"/>
      <c r="Z149" s="3"/>
    </row>
    <row r="150" ht="15.75" customHeight="1">
      <c r="A150" s="3"/>
      <c r="B150" s="2"/>
      <c r="C150" s="2"/>
      <c r="D150" s="474"/>
      <c r="E150" s="464"/>
      <c r="F150" s="2"/>
      <c r="G150" s="2"/>
      <c r="H150" s="2"/>
      <c r="I150" s="2"/>
      <c r="J150" s="2"/>
      <c r="K150" s="2"/>
      <c r="L150" s="2"/>
      <c r="M150" s="2"/>
      <c r="N150" s="2"/>
      <c r="O150" s="2"/>
      <c r="P150" s="2"/>
      <c r="Q150" s="2"/>
      <c r="S150" s="3"/>
      <c r="T150" s="3"/>
      <c r="U150" s="3"/>
      <c r="V150" s="3"/>
      <c r="W150" s="3"/>
      <c r="X150" s="3"/>
      <c r="Y150" s="3"/>
      <c r="Z150" s="3"/>
    </row>
    <row r="151" ht="15.75" customHeight="1">
      <c r="A151" s="3"/>
      <c r="B151" s="2"/>
      <c r="C151" s="2"/>
      <c r="D151" s="474"/>
      <c r="E151" s="464"/>
      <c r="F151" s="2"/>
      <c r="G151" s="2"/>
      <c r="H151" s="2"/>
      <c r="I151" s="2"/>
      <c r="J151" s="2"/>
      <c r="K151" s="2"/>
      <c r="L151" s="2"/>
      <c r="M151" s="2"/>
      <c r="N151" s="2"/>
      <c r="O151" s="2"/>
      <c r="P151" s="2"/>
      <c r="Q151" s="2"/>
      <c r="S151" s="3"/>
      <c r="T151" s="3"/>
      <c r="U151" s="3"/>
      <c r="V151" s="3"/>
      <c r="W151" s="3"/>
      <c r="X151" s="3"/>
      <c r="Y151" s="3"/>
      <c r="Z151" s="3"/>
    </row>
    <row r="152" ht="15.75" customHeight="1">
      <c r="A152" s="3"/>
      <c r="B152" s="2"/>
      <c r="C152" s="2"/>
      <c r="D152" s="474"/>
      <c r="E152" s="464"/>
      <c r="F152" s="2"/>
      <c r="G152" s="2"/>
      <c r="H152" s="2"/>
      <c r="I152" s="2"/>
      <c r="J152" s="2"/>
      <c r="K152" s="2"/>
      <c r="L152" s="2"/>
      <c r="M152" s="2"/>
      <c r="N152" s="2"/>
      <c r="O152" s="2"/>
      <c r="P152" s="2"/>
      <c r="Q152" s="2"/>
      <c r="S152" s="3"/>
      <c r="T152" s="3"/>
      <c r="U152" s="3"/>
      <c r="V152" s="3"/>
      <c r="W152" s="3"/>
      <c r="X152" s="3"/>
      <c r="Y152" s="3"/>
      <c r="Z152" s="3"/>
    </row>
    <row r="153" ht="15.75" customHeight="1">
      <c r="A153" s="3"/>
      <c r="B153" s="2"/>
      <c r="C153" s="2"/>
      <c r="D153" s="474"/>
      <c r="E153" s="464"/>
      <c r="F153" s="2"/>
      <c r="G153" s="2"/>
      <c r="H153" s="2"/>
      <c r="I153" s="2"/>
      <c r="J153" s="2"/>
      <c r="K153" s="2"/>
      <c r="L153" s="2"/>
      <c r="M153" s="2"/>
      <c r="N153" s="2"/>
      <c r="O153" s="2"/>
      <c r="P153" s="2"/>
      <c r="Q153" s="2"/>
      <c r="S153" s="3"/>
      <c r="T153" s="3"/>
      <c r="U153" s="3"/>
      <c r="V153" s="3"/>
      <c r="W153" s="3"/>
      <c r="X153" s="3"/>
      <c r="Y153" s="3"/>
      <c r="Z153" s="3"/>
    </row>
    <row r="154" ht="15.75" customHeight="1">
      <c r="A154" s="3"/>
      <c r="B154" s="2"/>
      <c r="C154" s="2"/>
      <c r="D154" s="474"/>
      <c r="E154" s="464"/>
      <c r="F154" s="2"/>
      <c r="G154" s="2"/>
      <c r="H154" s="2"/>
      <c r="I154" s="2"/>
      <c r="J154" s="2"/>
      <c r="K154" s="2"/>
      <c r="L154" s="2"/>
      <c r="M154" s="2"/>
      <c r="N154" s="2"/>
      <c r="O154" s="2"/>
      <c r="P154" s="2"/>
      <c r="Q154" s="2"/>
      <c r="S154" s="3"/>
      <c r="T154" s="3"/>
      <c r="U154" s="3"/>
      <c r="V154" s="3"/>
      <c r="W154" s="3"/>
      <c r="X154" s="3"/>
      <c r="Y154" s="3"/>
      <c r="Z154" s="3"/>
    </row>
    <row r="155" ht="15.75" customHeight="1">
      <c r="A155" s="3"/>
      <c r="B155" s="2"/>
      <c r="C155" s="2"/>
      <c r="D155" s="474"/>
      <c r="E155" s="464"/>
      <c r="F155" s="2"/>
      <c r="G155" s="2"/>
      <c r="H155" s="2"/>
      <c r="I155" s="2"/>
      <c r="J155" s="2"/>
      <c r="K155" s="2"/>
      <c r="L155" s="2"/>
      <c r="M155" s="2"/>
      <c r="N155" s="2"/>
      <c r="O155" s="2"/>
      <c r="P155" s="2"/>
      <c r="Q155" s="2"/>
      <c r="S155" s="3"/>
      <c r="T155" s="3"/>
      <c r="U155" s="3"/>
      <c r="V155" s="3"/>
      <c r="W155" s="3"/>
      <c r="X155" s="3"/>
      <c r="Y155" s="3"/>
      <c r="Z155" s="3"/>
    </row>
    <row r="156" ht="15.75" customHeight="1">
      <c r="A156" s="3"/>
      <c r="B156" s="2"/>
      <c r="C156" s="2"/>
      <c r="D156" s="474"/>
      <c r="E156" s="464"/>
      <c r="F156" s="2"/>
      <c r="G156" s="2"/>
      <c r="H156" s="2"/>
      <c r="I156" s="2"/>
      <c r="J156" s="2"/>
      <c r="K156" s="2"/>
      <c r="L156" s="2"/>
      <c r="M156" s="2"/>
      <c r="N156" s="2"/>
      <c r="O156" s="2"/>
      <c r="P156" s="2"/>
      <c r="Q156" s="2"/>
      <c r="S156" s="3"/>
      <c r="T156" s="3"/>
      <c r="U156" s="3"/>
      <c r="V156" s="3"/>
      <c r="W156" s="3"/>
      <c r="X156" s="3"/>
      <c r="Y156" s="3"/>
      <c r="Z156" s="3"/>
    </row>
    <row r="157" ht="15.75" customHeight="1">
      <c r="A157" s="3"/>
      <c r="B157" s="2"/>
      <c r="C157" s="2"/>
      <c r="D157" s="474"/>
      <c r="E157" s="464"/>
      <c r="F157" s="2"/>
      <c r="G157" s="2"/>
      <c r="H157" s="2"/>
      <c r="I157" s="2"/>
      <c r="J157" s="2"/>
      <c r="K157" s="2"/>
      <c r="L157" s="2"/>
      <c r="M157" s="2"/>
      <c r="N157" s="2"/>
      <c r="O157" s="2"/>
      <c r="P157" s="2"/>
      <c r="Q157" s="2"/>
      <c r="S157" s="3"/>
      <c r="T157" s="3"/>
      <c r="U157" s="3"/>
      <c r="V157" s="3"/>
      <c r="W157" s="3"/>
      <c r="X157" s="3"/>
      <c r="Y157" s="3"/>
      <c r="Z157" s="3"/>
    </row>
    <row r="158" ht="15.75" customHeight="1">
      <c r="A158" s="3"/>
      <c r="B158" s="2"/>
      <c r="C158" s="2"/>
      <c r="D158" s="474"/>
      <c r="E158" s="464"/>
      <c r="F158" s="2"/>
      <c r="G158" s="2"/>
      <c r="H158" s="2"/>
      <c r="I158" s="2"/>
      <c r="J158" s="2"/>
      <c r="K158" s="2"/>
      <c r="L158" s="2"/>
      <c r="M158" s="2"/>
      <c r="N158" s="2"/>
      <c r="O158" s="2"/>
      <c r="P158" s="2"/>
      <c r="Q158" s="2"/>
      <c r="S158" s="3"/>
      <c r="T158" s="3"/>
      <c r="U158" s="3"/>
      <c r="V158" s="3"/>
      <c r="W158" s="3"/>
      <c r="X158" s="3"/>
      <c r="Y158" s="3"/>
      <c r="Z158" s="3"/>
    </row>
    <row r="159" ht="15.75" customHeight="1">
      <c r="A159" s="3"/>
      <c r="B159" s="2"/>
      <c r="C159" s="2"/>
      <c r="D159" s="474"/>
      <c r="E159" s="464"/>
      <c r="F159" s="2"/>
      <c r="G159" s="2"/>
      <c r="H159" s="2"/>
      <c r="I159" s="2"/>
      <c r="J159" s="2"/>
      <c r="K159" s="2"/>
      <c r="L159" s="2"/>
      <c r="M159" s="2"/>
      <c r="N159" s="2"/>
      <c r="O159" s="2"/>
      <c r="P159" s="2"/>
      <c r="Q159" s="2"/>
      <c r="S159" s="3"/>
      <c r="T159" s="3"/>
      <c r="U159" s="3"/>
      <c r="V159" s="3"/>
      <c r="W159" s="3"/>
      <c r="X159" s="3"/>
      <c r="Y159" s="3"/>
      <c r="Z159" s="3"/>
    </row>
    <row r="160" ht="15.75" customHeight="1">
      <c r="A160" s="3"/>
      <c r="B160" s="2"/>
      <c r="C160" s="2"/>
      <c r="D160" s="474"/>
      <c r="E160" s="464"/>
      <c r="F160" s="2"/>
      <c r="G160" s="2"/>
      <c r="H160" s="2"/>
      <c r="I160" s="2"/>
      <c r="J160" s="2"/>
      <c r="K160" s="2"/>
      <c r="L160" s="2"/>
      <c r="M160" s="2"/>
      <c r="N160" s="2"/>
      <c r="O160" s="2"/>
      <c r="P160" s="2"/>
      <c r="Q160" s="2"/>
      <c r="S160" s="3"/>
      <c r="T160" s="3"/>
      <c r="U160" s="3"/>
      <c r="V160" s="3"/>
      <c r="W160" s="3"/>
      <c r="X160" s="3"/>
      <c r="Y160" s="3"/>
      <c r="Z160" s="3"/>
    </row>
    <row r="161" ht="15.75" customHeight="1">
      <c r="A161" s="3"/>
      <c r="B161" s="2"/>
      <c r="C161" s="2"/>
      <c r="D161" s="474"/>
      <c r="E161" s="464"/>
      <c r="F161" s="2"/>
      <c r="G161" s="2"/>
      <c r="H161" s="2"/>
      <c r="I161" s="2"/>
      <c r="J161" s="2"/>
      <c r="K161" s="2"/>
      <c r="L161" s="2"/>
      <c r="M161" s="2"/>
      <c r="N161" s="2"/>
      <c r="O161" s="2"/>
      <c r="P161" s="2"/>
      <c r="Q161" s="2"/>
      <c r="S161" s="3"/>
      <c r="T161" s="3"/>
      <c r="U161" s="3"/>
      <c r="V161" s="3"/>
      <c r="W161" s="3"/>
      <c r="X161" s="3"/>
      <c r="Y161" s="3"/>
      <c r="Z161" s="3"/>
    </row>
    <row r="162" ht="15.75" customHeight="1">
      <c r="A162" s="3"/>
      <c r="B162" s="2"/>
      <c r="C162" s="2"/>
      <c r="D162" s="474"/>
      <c r="E162" s="464"/>
      <c r="F162" s="2"/>
      <c r="G162" s="2"/>
      <c r="H162" s="2"/>
      <c r="I162" s="2"/>
      <c r="J162" s="2"/>
      <c r="K162" s="2"/>
      <c r="L162" s="2"/>
      <c r="M162" s="2"/>
      <c r="N162" s="2"/>
      <c r="O162" s="2"/>
      <c r="P162" s="2"/>
      <c r="Q162" s="2"/>
      <c r="S162" s="3"/>
      <c r="T162" s="3"/>
      <c r="U162" s="3"/>
      <c r="V162" s="3"/>
      <c r="W162" s="3"/>
      <c r="X162" s="3"/>
      <c r="Y162" s="3"/>
      <c r="Z162" s="3"/>
    </row>
    <row r="163" ht="15.75" customHeight="1">
      <c r="A163" s="3"/>
      <c r="B163" s="2"/>
      <c r="C163" s="2"/>
      <c r="D163" s="474"/>
      <c r="E163" s="464"/>
      <c r="F163" s="2"/>
      <c r="G163" s="2"/>
      <c r="H163" s="2"/>
      <c r="I163" s="2"/>
      <c r="J163" s="2"/>
      <c r="K163" s="2"/>
      <c r="L163" s="2"/>
      <c r="M163" s="2"/>
      <c r="N163" s="2"/>
      <c r="O163" s="2"/>
      <c r="P163" s="2"/>
      <c r="Q163" s="2"/>
      <c r="S163" s="3"/>
      <c r="T163" s="3"/>
      <c r="U163" s="3"/>
      <c r="V163" s="3"/>
      <c r="W163" s="3"/>
      <c r="X163" s="3"/>
      <c r="Y163" s="3"/>
      <c r="Z163" s="3"/>
    </row>
    <row r="164" ht="15.75" customHeight="1">
      <c r="A164" s="3"/>
      <c r="B164" s="2"/>
      <c r="C164" s="2"/>
      <c r="D164" s="474"/>
      <c r="E164" s="464"/>
      <c r="F164" s="2"/>
      <c r="G164" s="2"/>
      <c r="H164" s="2"/>
      <c r="I164" s="2"/>
      <c r="J164" s="2"/>
      <c r="K164" s="2"/>
      <c r="L164" s="2"/>
      <c r="M164" s="2"/>
      <c r="N164" s="2"/>
      <c r="O164" s="2"/>
      <c r="P164" s="2"/>
      <c r="Q164" s="2"/>
      <c r="S164" s="3"/>
      <c r="T164" s="3"/>
      <c r="U164" s="3"/>
      <c r="V164" s="3"/>
      <c r="W164" s="3"/>
      <c r="X164" s="3"/>
      <c r="Y164" s="3"/>
      <c r="Z164" s="3"/>
    </row>
    <row r="165" ht="15.75" customHeight="1">
      <c r="A165" s="3"/>
      <c r="B165" s="2"/>
      <c r="C165" s="2"/>
      <c r="D165" s="474"/>
      <c r="E165" s="464"/>
      <c r="F165" s="2"/>
      <c r="G165" s="2"/>
      <c r="H165" s="2"/>
      <c r="I165" s="2"/>
      <c r="J165" s="2"/>
      <c r="K165" s="2"/>
      <c r="L165" s="2"/>
      <c r="M165" s="2"/>
      <c r="N165" s="2"/>
      <c r="O165" s="2"/>
      <c r="P165" s="2"/>
      <c r="Q165" s="2"/>
      <c r="S165" s="3"/>
      <c r="T165" s="3"/>
      <c r="U165" s="3"/>
      <c r="V165" s="3"/>
      <c r="W165" s="3"/>
      <c r="X165" s="3"/>
      <c r="Y165" s="3"/>
      <c r="Z165" s="3"/>
    </row>
    <row r="166" ht="15.75" customHeight="1">
      <c r="A166" s="3"/>
      <c r="B166" s="2"/>
      <c r="C166" s="2"/>
      <c r="D166" s="474"/>
      <c r="E166" s="464"/>
      <c r="F166" s="2"/>
      <c r="G166" s="2"/>
      <c r="H166" s="2"/>
      <c r="I166" s="2"/>
      <c r="J166" s="2"/>
      <c r="K166" s="2"/>
      <c r="L166" s="2"/>
      <c r="M166" s="2"/>
      <c r="N166" s="2"/>
      <c r="O166" s="2"/>
      <c r="P166" s="2"/>
      <c r="Q166" s="2"/>
      <c r="S166" s="3"/>
      <c r="T166" s="3"/>
      <c r="U166" s="3"/>
      <c r="V166" s="3"/>
      <c r="W166" s="3"/>
      <c r="X166" s="3"/>
      <c r="Y166" s="3"/>
      <c r="Z166" s="3"/>
    </row>
    <row r="167" ht="15.75" customHeight="1">
      <c r="A167" s="3"/>
      <c r="B167" s="2"/>
      <c r="C167" s="2"/>
      <c r="D167" s="474"/>
      <c r="E167" s="464"/>
      <c r="F167" s="2"/>
      <c r="G167" s="2"/>
      <c r="H167" s="2"/>
      <c r="I167" s="2"/>
      <c r="J167" s="2"/>
      <c r="K167" s="2"/>
      <c r="L167" s="2"/>
      <c r="M167" s="2"/>
      <c r="N167" s="2"/>
      <c r="O167" s="2"/>
      <c r="P167" s="2"/>
      <c r="Q167" s="2"/>
      <c r="S167" s="3"/>
      <c r="T167" s="3"/>
      <c r="U167" s="3"/>
      <c r="V167" s="3"/>
      <c r="W167" s="3"/>
      <c r="X167" s="3"/>
      <c r="Y167" s="3"/>
      <c r="Z167" s="3"/>
    </row>
    <row r="168" ht="15.75" customHeight="1">
      <c r="A168" s="3"/>
      <c r="B168" s="2"/>
      <c r="C168" s="2"/>
      <c r="D168" s="474"/>
      <c r="E168" s="464"/>
      <c r="F168" s="2"/>
      <c r="G168" s="2"/>
      <c r="H168" s="2"/>
      <c r="I168" s="2"/>
      <c r="J168" s="2"/>
      <c r="K168" s="2"/>
      <c r="L168" s="2"/>
      <c r="M168" s="2"/>
      <c r="N168" s="2"/>
      <c r="O168" s="2"/>
      <c r="P168" s="2"/>
      <c r="Q168" s="2"/>
      <c r="S168" s="3"/>
      <c r="T168" s="3"/>
      <c r="U168" s="3"/>
      <c r="V168" s="3"/>
      <c r="W168" s="3"/>
      <c r="X168" s="3"/>
      <c r="Y168" s="3"/>
      <c r="Z168" s="3"/>
    </row>
    <row r="169" ht="15.75" customHeight="1">
      <c r="A169" s="3"/>
      <c r="B169" s="2"/>
      <c r="C169" s="2"/>
      <c r="D169" s="474"/>
      <c r="E169" s="464"/>
      <c r="F169" s="2"/>
      <c r="G169" s="2"/>
      <c r="H169" s="2"/>
      <c r="I169" s="2"/>
      <c r="J169" s="2"/>
      <c r="K169" s="2"/>
      <c r="L169" s="2"/>
      <c r="M169" s="2"/>
      <c r="N169" s="2"/>
      <c r="O169" s="2"/>
      <c r="P169" s="2"/>
      <c r="Q169" s="2"/>
      <c r="S169" s="3"/>
      <c r="T169" s="3"/>
      <c r="U169" s="3"/>
      <c r="V169" s="3"/>
      <c r="W169" s="3"/>
      <c r="X169" s="3"/>
      <c r="Y169" s="3"/>
      <c r="Z169" s="3"/>
    </row>
    <row r="170" ht="15.75" customHeight="1">
      <c r="A170" s="3"/>
      <c r="B170" s="2"/>
      <c r="C170" s="2"/>
      <c r="D170" s="474"/>
      <c r="E170" s="464"/>
      <c r="F170" s="2"/>
      <c r="G170" s="2"/>
      <c r="H170" s="2"/>
      <c r="I170" s="2"/>
      <c r="J170" s="2"/>
      <c r="K170" s="2"/>
      <c r="L170" s="2"/>
      <c r="M170" s="2"/>
      <c r="N170" s="2"/>
      <c r="O170" s="2"/>
      <c r="P170" s="2"/>
      <c r="Q170" s="2"/>
      <c r="S170" s="3"/>
      <c r="T170" s="3"/>
      <c r="U170" s="3"/>
      <c r="V170" s="3"/>
      <c r="W170" s="3"/>
      <c r="X170" s="3"/>
      <c r="Y170" s="3"/>
      <c r="Z170" s="3"/>
    </row>
    <row r="171" ht="15.75" customHeight="1">
      <c r="A171" s="3"/>
      <c r="B171" s="2"/>
      <c r="C171" s="2"/>
      <c r="D171" s="474"/>
      <c r="E171" s="464"/>
      <c r="F171" s="2"/>
      <c r="G171" s="2"/>
      <c r="H171" s="2"/>
      <c r="I171" s="2"/>
      <c r="J171" s="2"/>
      <c r="K171" s="2"/>
      <c r="L171" s="2"/>
      <c r="M171" s="2"/>
      <c r="N171" s="2"/>
      <c r="O171" s="2"/>
      <c r="P171" s="2"/>
      <c r="Q171" s="2"/>
      <c r="S171" s="3"/>
      <c r="T171" s="3"/>
      <c r="U171" s="3"/>
      <c r="V171" s="3"/>
      <c r="W171" s="3"/>
      <c r="X171" s="3"/>
      <c r="Y171" s="3"/>
      <c r="Z171" s="3"/>
    </row>
    <row r="172" ht="15.75" customHeight="1">
      <c r="A172" s="3"/>
      <c r="B172" s="2"/>
      <c r="C172" s="2"/>
      <c r="D172" s="474"/>
      <c r="E172" s="464"/>
      <c r="F172" s="2"/>
      <c r="G172" s="2"/>
      <c r="H172" s="2"/>
      <c r="I172" s="2"/>
      <c r="J172" s="2"/>
      <c r="K172" s="2"/>
      <c r="L172" s="2"/>
      <c r="M172" s="2"/>
      <c r="N172" s="2"/>
      <c r="O172" s="2"/>
      <c r="P172" s="2"/>
      <c r="Q172" s="2"/>
      <c r="S172" s="3"/>
      <c r="T172" s="3"/>
      <c r="U172" s="3"/>
      <c r="V172" s="3"/>
      <c r="W172" s="3"/>
      <c r="X172" s="3"/>
      <c r="Y172" s="3"/>
      <c r="Z172" s="3"/>
    </row>
    <row r="173" ht="15.75" customHeight="1">
      <c r="A173" s="3"/>
      <c r="B173" s="2"/>
      <c r="C173" s="2"/>
      <c r="D173" s="474"/>
      <c r="E173" s="464"/>
      <c r="F173" s="2"/>
      <c r="G173" s="2"/>
      <c r="H173" s="2"/>
      <c r="I173" s="2"/>
      <c r="J173" s="2"/>
      <c r="K173" s="2"/>
      <c r="L173" s="2"/>
      <c r="M173" s="2"/>
      <c r="N173" s="2"/>
      <c r="O173" s="2"/>
      <c r="P173" s="2"/>
      <c r="Q173" s="2"/>
      <c r="S173" s="3"/>
      <c r="T173" s="3"/>
      <c r="U173" s="3"/>
      <c r="V173" s="3"/>
      <c r="W173" s="3"/>
      <c r="X173" s="3"/>
      <c r="Y173" s="3"/>
      <c r="Z173" s="3"/>
    </row>
    <row r="174" ht="15.75" customHeight="1">
      <c r="A174" s="3"/>
      <c r="B174" s="2"/>
      <c r="C174" s="2"/>
      <c r="D174" s="474"/>
      <c r="E174" s="464"/>
      <c r="F174" s="2"/>
      <c r="G174" s="2"/>
      <c r="H174" s="2"/>
      <c r="I174" s="2"/>
      <c r="J174" s="2"/>
      <c r="K174" s="2"/>
      <c r="L174" s="2"/>
      <c r="M174" s="2"/>
      <c r="N174" s="2"/>
      <c r="O174" s="2"/>
      <c r="P174" s="2"/>
      <c r="Q174" s="2"/>
      <c r="S174" s="3"/>
      <c r="T174" s="3"/>
      <c r="U174" s="3"/>
      <c r="V174" s="3"/>
      <c r="W174" s="3"/>
      <c r="X174" s="3"/>
      <c r="Y174" s="3"/>
      <c r="Z174" s="3"/>
    </row>
    <row r="175" ht="15.75" customHeight="1">
      <c r="A175" s="3"/>
      <c r="B175" s="2"/>
      <c r="C175" s="2"/>
      <c r="D175" s="474"/>
      <c r="E175" s="464"/>
      <c r="F175" s="2"/>
      <c r="G175" s="2"/>
      <c r="H175" s="2"/>
      <c r="I175" s="2"/>
      <c r="J175" s="2"/>
      <c r="K175" s="2"/>
      <c r="L175" s="2"/>
      <c r="M175" s="2"/>
      <c r="N175" s="2"/>
      <c r="O175" s="2"/>
      <c r="P175" s="2"/>
      <c r="Q175" s="2"/>
      <c r="S175" s="3"/>
      <c r="T175" s="3"/>
      <c r="U175" s="3"/>
      <c r="V175" s="3"/>
      <c r="W175" s="3"/>
      <c r="X175" s="3"/>
      <c r="Y175" s="3"/>
      <c r="Z175" s="3"/>
    </row>
    <row r="176" ht="15.75" customHeight="1">
      <c r="A176" s="3"/>
      <c r="B176" s="2"/>
      <c r="C176" s="2"/>
      <c r="D176" s="474"/>
      <c r="E176" s="464"/>
      <c r="F176" s="2"/>
      <c r="G176" s="2"/>
      <c r="H176" s="2"/>
      <c r="I176" s="2"/>
      <c r="J176" s="2"/>
      <c r="K176" s="2"/>
      <c r="L176" s="2"/>
      <c r="M176" s="2"/>
      <c r="N176" s="2"/>
      <c r="O176" s="2"/>
      <c r="P176" s="2"/>
      <c r="Q176" s="2"/>
      <c r="S176" s="3"/>
      <c r="T176" s="3"/>
      <c r="U176" s="3"/>
      <c r="V176" s="3"/>
      <c r="W176" s="3"/>
      <c r="X176" s="3"/>
      <c r="Y176" s="3"/>
      <c r="Z176" s="3"/>
    </row>
    <row r="177" ht="15.75" customHeight="1">
      <c r="A177" s="3"/>
      <c r="B177" s="2"/>
      <c r="C177" s="2"/>
      <c r="D177" s="474"/>
      <c r="E177" s="464"/>
      <c r="F177" s="2"/>
      <c r="G177" s="2"/>
      <c r="H177" s="2"/>
      <c r="I177" s="2"/>
      <c r="J177" s="2"/>
      <c r="K177" s="2"/>
      <c r="L177" s="2"/>
      <c r="M177" s="2"/>
      <c r="N177" s="2"/>
      <c r="O177" s="2"/>
      <c r="P177" s="2"/>
      <c r="Q177" s="2"/>
      <c r="S177" s="3"/>
      <c r="T177" s="3"/>
      <c r="U177" s="3"/>
      <c r="V177" s="3"/>
      <c r="W177" s="3"/>
      <c r="X177" s="3"/>
      <c r="Y177" s="3"/>
      <c r="Z177" s="3"/>
    </row>
    <row r="178" ht="15.75" customHeight="1">
      <c r="A178" s="3"/>
      <c r="B178" s="2"/>
      <c r="C178" s="2"/>
      <c r="D178" s="474"/>
      <c r="E178" s="464"/>
      <c r="F178" s="2"/>
      <c r="G178" s="2"/>
      <c r="H178" s="2"/>
      <c r="I178" s="2"/>
      <c r="J178" s="2"/>
      <c r="K178" s="2"/>
      <c r="L178" s="2"/>
      <c r="M178" s="2"/>
      <c r="N178" s="2"/>
      <c r="O178" s="2"/>
      <c r="P178" s="2"/>
      <c r="Q178" s="2"/>
      <c r="S178" s="3"/>
      <c r="T178" s="3"/>
      <c r="U178" s="3"/>
      <c r="V178" s="3"/>
      <c r="W178" s="3"/>
      <c r="X178" s="3"/>
      <c r="Y178" s="3"/>
      <c r="Z178" s="3"/>
    </row>
    <row r="179" ht="15.75" customHeight="1">
      <c r="A179" s="3"/>
      <c r="B179" s="2"/>
      <c r="C179" s="2"/>
      <c r="D179" s="474"/>
      <c r="E179" s="464"/>
      <c r="F179" s="2"/>
      <c r="G179" s="2"/>
      <c r="H179" s="2"/>
      <c r="I179" s="2"/>
      <c r="J179" s="2"/>
      <c r="K179" s="2"/>
      <c r="L179" s="2"/>
      <c r="M179" s="2"/>
      <c r="N179" s="2"/>
      <c r="O179" s="2"/>
      <c r="P179" s="2"/>
      <c r="Q179" s="2"/>
      <c r="S179" s="3"/>
      <c r="T179" s="3"/>
      <c r="U179" s="3"/>
      <c r="V179" s="3"/>
      <c r="W179" s="3"/>
      <c r="X179" s="3"/>
      <c r="Y179" s="3"/>
      <c r="Z179" s="3"/>
    </row>
    <row r="180" ht="15.75" customHeight="1">
      <c r="A180" s="3"/>
      <c r="B180" s="2"/>
      <c r="C180" s="2"/>
      <c r="D180" s="474"/>
      <c r="E180" s="464"/>
      <c r="F180" s="2"/>
      <c r="G180" s="2"/>
      <c r="H180" s="2"/>
      <c r="I180" s="2"/>
      <c r="J180" s="2"/>
      <c r="K180" s="2"/>
      <c r="L180" s="2"/>
      <c r="M180" s="2"/>
      <c r="N180" s="2"/>
      <c r="O180" s="2"/>
      <c r="P180" s="2"/>
      <c r="Q180" s="2"/>
      <c r="S180" s="3"/>
      <c r="T180" s="3"/>
      <c r="U180" s="3"/>
      <c r="V180" s="3"/>
      <c r="W180" s="3"/>
      <c r="X180" s="3"/>
      <c r="Y180" s="3"/>
      <c r="Z180" s="3"/>
    </row>
    <row r="181" ht="15.75" customHeight="1">
      <c r="A181" s="3"/>
      <c r="B181" s="2"/>
      <c r="C181" s="2"/>
      <c r="D181" s="474"/>
      <c r="E181" s="464"/>
      <c r="F181" s="2"/>
      <c r="G181" s="2"/>
      <c r="H181" s="2"/>
      <c r="I181" s="2"/>
      <c r="J181" s="2"/>
      <c r="K181" s="2"/>
      <c r="L181" s="2"/>
      <c r="M181" s="2"/>
      <c r="N181" s="2"/>
      <c r="O181" s="2"/>
      <c r="P181" s="2"/>
      <c r="Q181" s="2"/>
      <c r="S181" s="3"/>
      <c r="T181" s="3"/>
      <c r="U181" s="3"/>
      <c r="V181" s="3"/>
      <c r="W181" s="3"/>
      <c r="X181" s="3"/>
      <c r="Y181" s="3"/>
      <c r="Z181" s="3"/>
    </row>
    <row r="182" ht="15.75" customHeight="1">
      <c r="A182" s="3"/>
      <c r="B182" s="2"/>
      <c r="C182" s="2"/>
      <c r="D182" s="474"/>
      <c r="E182" s="464"/>
      <c r="F182" s="2"/>
      <c r="G182" s="2"/>
      <c r="H182" s="2"/>
      <c r="I182" s="2"/>
      <c r="J182" s="2"/>
      <c r="K182" s="2"/>
      <c r="L182" s="2"/>
      <c r="M182" s="2"/>
      <c r="N182" s="2"/>
      <c r="O182" s="2"/>
      <c r="P182" s="2"/>
      <c r="Q182" s="2"/>
      <c r="S182" s="3"/>
      <c r="T182" s="3"/>
      <c r="U182" s="3"/>
      <c r="V182" s="3"/>
      <c r="W182" s="3"/>
      <c r="X182" s="3"/>
      <c r="Y182" s="3"/>
      <c r="Z182" s="3"/>
    </row>
    <row r="183" ht="15.75" customHeight="1">
      <c r="A183" s="3"/>
      <c r="B183" s="2"/>
      <c r="C183" s="2"/>
      <c r="D183" s="474"/>
      <c r="E183" s="464"/>
      <c r="F183" s="2"/>
      <c r="G183" s="2"/>
      <c r="H183" s="2"/>
      <c r="I183" s="2"/>
      <c r="J183" s="2"/>
      <c r="K183" s="2"/>
      <c r="L183" s="2"/>
      <c r="M183" s="2"/>
      <c r="N183" s="2"/>
      <c r="O183" s="2"/>
      <c r="P183" s="2"/>
      <c r="Q183" s="2"/>
      <c r="S183" s="3"/>
      <c r="T183" s="3"/>
      <c r="U183" s="3"/>
      <c r="V183" s="3"/>
      <c r="W183" s="3"/>
      <c r="X183" s="3"/>
      <c r="Y183" s="3"/>
      <c r="Z183" s="3"/>
    </row>
    <row r="184" ht="15.75" customHeight="1">
      <c r="A184" s="3"/>
      <c r="B184" s="2"/>
      <c r="C184" s="2"/>
      <c r="D184" s="474"/>
      <c r="E184" s="464"/>
      <c r="F184" s="2"/>
      <c r="G184" s="2"/>
      <c r="H184" s="2"/>
      <c r="I184" s="2"/>
      <c r="J184" s="2"/>
      <c r="K184" s="2"/>
      <c r="L184" s="2"/>
      <c r="M184" s="2"/>
      <c r="N184" s="2"/>
      <c r="O184" s="2"/>
      <c r="P184" s="2"/>
      <c r="Q184" s="2"/>
      <c r="S184" s="3"/>
      <c r="T184" s="3"/>
      <c r="U184" s="3"/>
      <c r="V184" s="3"/>
      <c r="W184" s="3"/>
      <c r="X184" s="3"/>
      <c r="Y184" s="3"/>
      <c r="Z184" s="3"/>
    </row>
    <row r="185" ht="15.75" customHeight="1">
      <c r="A185" s="3"/>
      <c r="B185" s="2"/>
      <c r="C185" s="2"/>
      <c r="D185" s="474"/>
      <c r="E185" s="464"/>
      <c r="F185" s="2"/>
      <c r="G185" s="2"/>
      <c r="H185" s="2"/>
      <c r="I185" s="2"/>
      <c r="J185" s="2"/>
      <c r="K185" s="2"/>
      <c r="L185" s="2"/>
      <c r="M185" s="2"/>
      <c r="N185" s="2"/>
      <c r="O185" s="2"/>
      <c r="P185" s="2"/>
      <c r="Q185" s="2"/>
      <c r="S185" s="3"/>
      <c r="T185" s="3"/>
      <c r="U185" s="3"/>
      <c r="V185" s="3"/>
      <c r="W185" s="3"/>
      <c r="X185" s="3"/>
      <c r="Y185" s="3"/>
      <c r="Z185" s="3"/>
    </row>
    <row r="186" ht="15.75" customHeight="1">
      <c r="A186" s="3"/>
      <c r="B186" s="2"/>
      <c r="C186" s="2"/>
      <c r="D186" s="474"/>
      <c r="E186" s="464"/>
      <c r="F186" s="2"/>
      <c r="G186" s="2"/>
      <c r="H186" s="2"/>
      <c r="I186" s="2"/>
      <c r="J186" s="2"/>
      <c r="K186" s="2"/>
      <c r="L186" s="2"/>
      <c r="M186" s="2"/>
      <c r="N186" s="2"/>
      <c r="O186" s="2"/>
      <c r="P186" s="2"/>
      <c r="Q186" s="2"/>
      <c r="S186" s="3"/>
      <c r="T186" s="3"/>
      <c r="U186" s="3"/>
      <c r="V186" s="3"/>
      <c r="W186" s="3"/>
      <c r="X186" s="3"/>
      <c r="Y186" s="3"/>
      <c r="Z186" s="3"/>
    </row>
    <row r="187" ht="15.75" customHeight="1">
      <c r="A187" s="3"/>
      <c r="B187" s="2"/>
      <c r="C187" s="2"/>
      <c r="D187" s="474"/>
      <c r="E187" s="464"/>
      <c r="F187" s="2"/>
      <c r="G187" s="2"/>
      <c r="H187" s="2"/>
      <c r="I187" s="2"/>
      <c r="J187" s="2"/>
      <c r="K187" s="2"/>
      <c r="L187" s="2"/>
      <c r="M187" s="2"/>
      <c r="N187" s="2"/>
      <c r="O187" s="2"/>
      <c r="P187" s="2"/>
      <c r="Q187" s="2"/>
      <c r="S187" s="3"/>
      <c r="T187" s="3"/>
      <c r="U187" s="3"/>
      <c r="V187" s="3"/>
      <c r="W187" s="3"/>
      <c r="X187" s="3"/>
      <c r="Y187" s="3"/>
      <c r="Z187" s="3"/>
    </row>
    <row r="188" ht="15.75" customHeight="1">
      <c r="A188" s="3"/>
      <c r="B188" s="2"/>
      <c r="C188" s="2"/>
      <c r="D188" s="474"/>
      <c r="E188" s="464"/>
      <c r="F188" s="2"/>
      <c r="G188" s="2"/>
      <c r="H188" s="2"/>
      <c r="I188" s="2"/>
      <c r="J188" s="2"/>
      <c r="K188" s="2"/>
      <c r="L188" s="2"/>
      <c r="M188" s="2"/>
      <c r="N188" s="2"/>
      <c r="O188" s="2"/>
      <c r="P188" s="2"/>
      <c r="Q188" s="2"/>
      <c r="S188" s="3"/>
      <c r="T188" s="3"/>
      <c r="U188" s="3"/>
      <c r="V188" s="3"/>
      <c r="W188" s="3"/>
      <c r="X188" s="3"/>
      <c r="Y188" s="3"/>
      <c r="Z188" s="3"/>
    </row>
    <row r="189" ht="15.75" customHeight="1">
      <c r="A189" s="3"/>
      <c r="B189" s="2"/>
      <c r="C189" s="2"/>
      <c r="D189" s="474"/>
      <c r="E189" s="464"/>
      <c r="F189" s="2"/>
      <c r="G189" s="2"/>
      <c r="H189" s="2"/>
      <c r="I189" s="2"/>
      <c r="J189" s="2"/>
      <c r="K189" s="2"/>
      <c r="L189" s="2"/>
      <c r="M189" s="2"/>
      <c r="N189" s="2"/>
      <c r="O189" s="2"/>
      <c r="P189" s="2"/>
      <c r="Q189" s="2"/>
      <c r="S189" s="3"/>
      <c r="T189" s="3"/>
      <c r="U189" s="3"/>
      <c r="V189" s="3"/>
      <c r="W189" s="3"/>
      <c r="X189" s="3"/>
      <c r="Y189" s="3"/>
      <c r="Z189" s="3"/>
    </row>
    <row r="190" ht="15.75" customHeight="1">
      <c r="A190" s="3"/>
      <c r="B190" s="2"/>
      <c r="C190" s="2"/>
      <c r="D190" s="474"/>
      <c r="E190" s="464"/>
      <c r="F190" s="2"/>
      <c r="G190" s="2"/>
      <c r="H190" s="2"/>
      <c r="I190" s="2"/>
      <c r="J190" s="2"/>
      <c r="K190" s="2"/>
      <c r="L190" s="2"/>
      <c r="M190" s="2"/>
      <c r="N190" s="2"/>
      <c r="O190" s="2"/>
      <c r="P190" s="2"/>
      <c r="Q190" s="2"/>
      <c r="S190" s="3"/>
      <c r="T190" s="3"/>
      <c r="U190" s="3"/>
      <c r="V190" s="3"/>
      <c r="W190" s="3"/>
      <c r="X190" s="3"/>
      <c r="Y190" s="3"/>
      <c r="Z190" s="3"/>
    </row>
    <row r="191" ht="15.75" customHeight="1">
      <c r="A191" s="3"/>
      <c r="B191" s="2"/>
      <c r="C191" s="2"/>
      <c r="D191" s="474"/>
      <c r="E191" s="464"/>
      <c r="F191" s="2"/>
      <c r="G191" s="2"/>
      <c r="H191" s="2"/>
      <c r="I191" s="2"/>
      <c r="J191" s="2"/>
      <c r="K191" s="2"/>
      <c r="L191" s="2"/>
      <c r="M191" s="2"/>
      <c r="N191" s="2"/>
      <c r="O191" s="2"/>
      <c r="P191" s="2"/>
      <c r="Q191" s="2"/>
      <c r="S191" s="3"/>
      <c r="T191" s="3"/>
      <c r="U191" s="3"/>
      <c r="V191" s="3"/>
      <c r="W191" s="3"/>
      <c r="X191" s="3"/>
      <c r="Y191" s="3"/>
      <c r="Z191" s="3"/>
    </row>
    <row r="192" ht="15.75" customHeight="1">
      <c r="A192" s="3"/>
      <c r="B192" s="2"/>
      <c r="C192" s="2"/>
      <c r="D192" s="474"/>
      <c r="E192" s="464"/>
      <c r="F192" s="2"/>
      <c r="G192" s="2"/>
      <c r="H192" s="2"/>
      <c r="I192" s="2"/>
      <c r="J192" s="2"/>
      <c r="K192" s="2"/>
      <c r="L192" s="2"/>
      <c r="M192" s="2"/>
      <c r="N192" s="2"/>
      <c r="O192" s="2"/>
      <c r="P192" s="2"/>
      <c r="Q192" s="2"/>
      <c r="S192" s="3"/>
      <c r="T192" s="3"/>
      <c r="U192" s="3"/>
      <c r="V192" s="3"/>
      <c r="W192" s="3"/>
      <c r="X192" s="3"/>
      <c r="Y192" s="3"/>
      <c r="Z192" s="3"/>
    </row>
    <row r="193" ht="15.75" customHeight="1">
      <c r="A193" s="3"/>
      <c r="B193" s="2"/>
      <c r="C193" s="2"/>
      <c r="D193" s="474"/>
      <c r="E193" s="464"/>
      <c r="F193" s="2"/>
      <c r="G193" s="2"/>
      <c r="H193" s="2"/>
      <c r="I193" s="2"/>
      <c r="J193" s="2"/>
      <c r="K193" s="2"/>
      <c r="L193" s="2"/>
      <c r="M193" s="2"/>
      <c r="N193" s="2"/>
      <c r="O193" s="2"/>
      <c r="P193" s="2"/>
      <c r="Q193" s="2"/>
      <c r="S193" s="3"/>
      <c r="T193" s="3"/>
      <c r="U193" s="3"/>
      <c r="V193" s="3"/>
      <c r="W193" s="3"/>
      <c r="X193" s="3"/>
      <c r="Y193" s="3"/>
      <c r="Z193" s="3"/>
    </row>
    <row r="194" ht="15.75" customHeight="1">
      <c r="A194" s="3"/>
      <c r="B194" s="2"/>
      <c r="C194" s="2"/>
      <c r="D194" s="474"/>
      <c r="E194" s="464"/>
      <c r="F194" s="2"/>
      <c r="G194" s="2"/>
      <c r="H194" s="2"/>
      <c r="I194" s="2"/>
      <c r="J194" s="2"/>
      <c r="K194" s="2"/>
      <c r="L194" s="2"/>
      <c r="M194" s="2"/>
      <c r="N194" s="2"/>
      <c r="O194" s="2"/>
      <c r="P194" s="2"/>
      <c r="Q194" s="2"/>
      <c r="S194" s="3"/>
      <c r="T194" s="3"/>
      <c r="U194" s="3"/>
      <c r="V194" s="3"/>
      <c r="W194" s="3"/>
      <c r="X194" s="3"/>
      <c r="Y194" s="3"/>
      <c r="Z194" s="3"/>
    </row>
    <row r="195" ht="15.75" customHeight="1">
      <c r="A195" s="3"/>
      <c r="B195" s="2"/>
      <c r="C195" s="2"/>
      <c r="D195" s="474"/>
      <c r="E195" s="464"/>
      <c r="F195" s="2"/>
      <c r="G195" s="2"/>
      <c r="H195" s="2"/>
      <c r="I195" s="2"/>
      <c r="J195" s="2"/>
      <c r="K195" s="2"/>
      <c r="L195" s="2"/>
      <c r="M195" s="2"/>
      <c r="N195" s="2"/>
      <c r="O195" s="2"/>
      <c r="P195" s="2"/>
      <c r="Q195" s="2"/>
      <c r="S195" s="3"/>
      <c r="T195" s="3"/>
      <c r="U195" s="3"/>
      <c r="V195" s="3"/>
      <c r="W195" s="3"/>
      <c r="X195" s="3"/>
      <c r="Y195" s="3"/>
      <c r="Z195" s="3"/>
    </row>
    <row r="196" ht="15.75" customHeight="1">
      <c r="A196" s="3"/>
      <c r="B196" s="2"/>
      <c r="C196" s="2"/>
      <c r="D196" s="474"/>
      <c r="E196" s="464"/>
      <c r="F196" s="2"/>
      <c r="G196" s="2"/>
      <c r="H196" s="2"/>
      <c r="I196" s="2"/>
      <c r="J196" s="2"/>
      <c r="K196" s="2"/>
      <c r="L196" s="2"/>
      <c r="M196" s="2"/>
      <c r="N196" s="2"/>
      <c r="O196" s="2"/>
      <c r="P196" s="2"/>
      <c r="Q196" s="2"/>
      <c r="S196" s="3"/>
      <c r="T196" s="3"/>
      <c r="U196" s="3"/>
      <c r="V196" s="3"/>
      <c r="W196" s="3"/>
      <c r="X196" s="3"/>
      <c r="Y196" s="3"/>
      <c r="Z196" s="3"/>
    </row>
    <row r="197" ht="15.75" customHeight="1">
      <c r="A197" s="3"/>
      <c r="B197" s="2"/>
      <c r="C197" s="2"/>
      <c r="D197" s="474"/>
      <c r="E197" s="464"/>
      <c r="F197" s="2"/>
      <c r="G197" s="2"/>
      <c r="H197" s="2"/>
      <c r="I197" s="2"/>
      <c r="J197" s="2"/>
      <c r="K197" s="2"/>
      <c r="L197" s="2"/>
      <c r="M197" s="2"/>
      <c r="N197" s="2"/>
      <c r="O197" s="2"/>
      <c r="P197" s="2"/>
      <c r="Q197" s="2"/>
      <c r="S197" s="3"/>
      <c r="T197" s="3"/>
      <c r="U197" s="3"/>
      <c r="V197" s="3"/>
      <c r="W197" s="3"/>
      <c r="X197" s="3"/>
      <c r="Y197" s="3"/>
      <c r="Z197" s="3"/>
    </row>
    <row r="198" ht="15.75" customHeight="1">
      <c r="A198" s="3"/>
      <c r="B198" s="2"/>
      <c r="C198" s="2"/>
      <c r="D198" s="474"/>
      <c r="E198" s="464"/>
      <c r="F198" s="2"/>
      <c r="G198" s="2"/>
      <c r="H198" s="2"/>
      <c r="I198" s="2"/>
      <c r="J198" s="2"/>
      <c r="K198" s="2"/>
      <c r="L198" s="2"/>
      <c r="M198" s="2"/>
      <c r="N198" s="2"/>
      <c r="O198" s="2"/>
      <c r="P198" s="2"/>
      <c r="Q198" s="2"/>
      <c r="S198" s="3"/>
      <c r="T198" s="3"/>
      <c r="U198" s="3"/>
      <c r="V198" s="3"/>
      <c r="W198" s="3"/>
      <c r="X198" s="3"/>
      <c r="Y198" s="3"/>
      <c r="Z198" s="3"/>
    </row>
    <row r="199" ht="15.75" customHeight="1">
      <c r="A199" s="3"/>
      <c r="B199" s="2"/>
      <c r="C199" s="2"/>
      <c r="D199" s="474"/>
      <c r="E199" s="464"/>
      <c r="F199" s="2"/>
      <c r="G199" s="2"/>
      <c r="H199" s="2"/>
      <c r="I199" s="2"/>
      <c r="J199" s="2"/>
      <c r="K199" s="2"/>
      <c r="L199" s="2"/>
      <c r="M199" s="2"/>
      <c r="N199" s="2"/>
      <c r="O199" s="2"/>
      <c r="P199" s="2"/>
      <c r="Q199" s="2"/>
      <c r="S199" s="3"/>
      <c r="T199" s="3"/>
      <c r="U199" s="3"/>
      <c r="V199" s="3"/>
      <c r="W199" s="3"/>
      <c r="X199" s="3"/>
      <c r="Y199" s="3"/>
      <c r="Z199" s="3"/>
    </row>
    <row r="200" ht="15.75" customHeight="1">
      <c r="A200" s="3"/>
      <c r="B200" s="2"/>
      <c r="C200" s="2"/>
      <c r="D200" s="474"/>
      <c r="E200" s="464"/>
      <c r="F200" s="2"/>
      <c r="G200" s="2"/>
      <c r="H200" s="2"/>
      <c r="I200" s="2"/>
      <c r="J200" s="2"/>
      <c r="K200" s="2"/>
      <c r="L200" s="2"/>
      <c r="M200" s="2"/>
      <c r="N200" s="2"/>
      <c r="O200" s="2"/>
      <c r="P200" s="2"/>
      <c r="Q200" s="2"/>
      <c r="S200" s="3"/>
      <c r="T200" s="3"/>
      <c r="U200" s="3"/>
      <c r="V200" s="3"/>
      <c r="W200" s="3"/>
      <c r="X200" s="3"/>
      <c r="Y200" s="3"/>
      <c r="Z200" s="3"/>
    </row>
    <row r="201" ht="15.75" customHeight="1">
      <c r="A201" s="3"/>
      <c r="B201" s="2"/>
      <c r="C201" s="2"/>
      <c r="D201" s="474"/>
      <c r="E201" s="464"/>
      <c r="F201" s="2"/>
      <c r="G201" s="2"/>
      <c r="H201" s="2"/>
      <c r="I201" s="2"/>
      <c r="J201" s="2"/>
      <c r="K201" s="2"/>
      <c r="L201" s="2"/>
      <c r="M201" s="2"/>
      <c r="N201" s="2"/>
      <c r="O201" s="2"/>
      <c r="P201" s="2"/>
      <c r="Q201" s="2"/>
      <c r="S201" s="3"/>
      <c r="T201" s="3"/>
      <c r="U201" s="3"/>
      <c r="V201" s="3"/>
      <c r="W201" s="3"/>
      <c r="X201" s="3"/>
      <c r="Y201" s="3"/>
      <c r="Z201" s="3"/>
    </row>
    <row r="202" ht="15.75" customHeight="1">
      <c r="A202" s="3"/>
      <c r="B202" s="2"/>
      <c r="C202" s="2"/>
      <c r="D202" s="474"/>
      <c r="E202" s="464"/>
      <c r="F202" s="2"/>
      <c r="G202" s="2"/>
      <c r="H202" s="2"/>
      <c r="I202" s="2"/>
      <c r="J202" s="2"/>
      <c r="K202" s="2"/>
      <c r="L202" s="2"/>
      <c r="M202" s="2"/>
      <c r="N202" s="2"/>
      <c r="O202" s="2"/>
      <c r="P202" s="2"/>
      <c r="Q202" s="2"/>
      <c r="S202" s="3"/>
      <c r="T202" s="3"/>
      <c r="U202" s="3"/>
      <c r="V202" s="3"/>
      <c r="W202" s="3"/>
      <c r="X202" s="3"/>
      <c r="Y202" s="3"/>
      <c r="Z202" s="3"/>
    </row>
    <row r="203" ht="15.75" customHeight="1">
      <c r="A203" s="3"/>
      <c r="B203" s="2"/>
      <c r="C203" s="2"/>
      <c r="D203" s="474"/>
      <c r="E203" s="464"/>
      <c r="F203" s="2"/>
      <c r="G203" s="2"/>
      <c r="H203" s="2"/>
      <c r="I203" s="2"/>
      <c r="J203" s="2"/>
      <c r="K203" s="2"/>
      <c r="L203" s="2"/>
      <c r="M203" s="2"/>
      <c r="N203" s="2"/>
      <c r="O203" s="2"/>
      <c r="P203" s="2"/>
      <c r="Q203" s="2"/>
      <c r="S203" s="3"/>
      <c r="T203" s="3"/>
      <c r="U203" s="3"/>
      <c r="V203" s="3"/>
      <c r="W203" s="3"/>
      <c r="X203" s="3"/>
      <c r="Y203" s="3"/>
      <c r="Z203" s="3"/>
    </row>
    <row r="204" ht="15.75" customHeight="1">
      <c r="A204" s="3"/>
      <c r="B204" s="2"/>
      <c r="C204" s="2"/>
      <c r="D204" s="474"/>
      <c r="E204" s="464"/>
      <c r="F204" s="2"/>
      <c r="G204" s="2"/>
      <c r="H204" s="2"/>
      <c r="I204" s="2"/>
      <c r="J204" s="2"/>
      <c r="K204" s="2"/>
      <c r="L204" s="2"/>
      <c r="M204" s="2"/>
      <c r="N204" s="2"/>
      <c r="O204" s="2"/>
      <c r="P204" s="2"/>
      <c r="Q204" s="2"/>
      <c r="S204" s="3"/>
      <c r="T204" s="3"/>
      <c r="U204" s="3"/>
      <c r="V204" s="3"/>
      <c r="W204" s="3"/>
      <c r="X204" s="3"/>
      <c r="Y204" s="3"/>
      <c r="Z204" s="3"/>
    </row>
    <row r="205" ht="15.75" customHeight="1">
      <c r="A205" s="3"/>
      <c r="B205" s="2"/>
      <c r="C205" s="2"/>
      <c r="D205" s="474"/>
      <c r="E205" s="464"/>
      <c r="F205" s="2"/>
      <c r="G205" s="2"/>
      <c r="H205" s="2"/>
      <c r="I205" s="2"/>
      <c r="J205" s="2"/>
      <c r="K205" s="2"/>
      <c r="L205" s="2"/>
      <c r="M205" s="2"/>
      <c r="N205" s="2"/>
      <c r="O205" s="2"/>
      <c r="P205" s="2"/>
      <c r="Q205" s="2"/>
      <c r="S205" s="3"/>
      <c r="T205" s="3"/>
      <c r="U205" s="3"/>
      <c r="V205" s="3"/>
      <c r="W205" s="3"/>
      <c r="X205" s="3"/>
      <c r="Y205" s="3"/>
      <c r="Z205" s="3"/>
    </row>
    <row r="206" ht="15.75" customHeight="1">
      <c r="A206" s="3"/>
      <c r="B206" s="2"/>
      <c r="C206" s="2"/>
      <c r="D206" s="474"/>
      <c r="E206" s="464"/>
      <c r="F206" s="2"/>
      <c r="G206" s="2"/>
      <c r="H206" s="2"/>
      <c r="I206" s="2"/>
      <c r="J206" s="2"/>
      <c r="K206" s="2"/>
      <c r="L206" s="2"/>
      <c r="M206" s="2"/>
      <c r="N206" s="2"/>
      <c r="O206" s="2"/>
      <c r="P206" s="2"/>
      <c r="Q206" s="2"/>
      <c r="S206" s="3"/>
      <c r="T206" s="3"/>
      <c r="U206" s="3"/>
      <c r="V206" s="3"/>
      <c r="W206" s="3"/>
      <c r="X206" s="3"/>
      <c r="Y206" s="3"/>
      <c r="Z206" s="3"/>
    </row>
    <row r="207" ht="15.75" customHeight="1">
      <c r="A207" s="3"/>
      <c r="B207" s="2"/>
      <c r="C207" s="2"/>
      <c r="D207" s="474"/>
      <c r="E207" s="464"/>
      <c r="F207" s="2"/>
      <c r="G207" s="2"/>
      <c r="H207" s="2"/>
      <c r="I207" s="2"/>
      <c r="J207" s="2"/>
      <c r="K207" s="2"/>
      <c r="L207" s="2"/>
      <c r="M207" s="2"/>
      <c r="N207" s="2"/>
      <c r="O207" s="2"/>
      <c r="P207" s="2"/>
      <c r="Q207" s="2"/>
      <c r="S207" s="3"/>
      <c r="T207" s="3"/>
      <c r="U207" s="3"/>
      <c r="V207" s="3"/>
      <c r="W207" s="3"/>
      <c r="X207" s="3"/>
      <c r="Y207" s="3"/>
      <c r="Z207" s="3"/>
    </row>
    <row r="208" ht="15.75" customHeight="1">
      <c r="A208" s="3"/>
      <c r="B208" s="2"/>
      <c r="C208" s="2"/>
      <c r="D208" s="474"/>
      <c r="E208" s="464"/>
      <c r="F208" s="2"/>
      <c r="G208" s="2"/>
      <c r="H208" s="2"/>
      <c r="I208" s="2"/>
      <c r="J208" s="2"/>
      <c r="K208" s="2"/>
      <c r="L208" s="2"/>
      <c r="M208" s="2"/>
      <c r="N208" s="2"/>
      <c r="O208" s="2"/>
      <c r="P208" s="2"/>
      <c r="Q208" s="2"/>
      <c r="S208" s="3"/>
      <c r="T208" s="3"/>
      <c r="U208" s="3"/>
      <c r="V208" s="3"/>
      <c r="W208" s="3"/>
      <c r="X208" s="3"/>
      <c r="Y208" s="3"/>
      <c r="Z208" s="3"/>
    </row>
    <row r="209" ht="15.75" customHeight="1">
      <c r="A209" s="3"/>
      <c r="B209" s="2"/>
      <c r="C209" s="2"/>
      <c r="D209" s="474"/>
      <c r="E209" s="464"/>
      <c r="F209" s="2"/>
      <c r="G209" s="2"/>
      <c r="H209" s="2"/>
      <c r="I209" s="2"/>
      <c r="J209" s="2"/>
      <c r="K209" s="2"/>
      <c r="L209" s="2"/>
      <c r="M209" s="2"/>
      <c r="N209" s="2"/>
      <c r="O209" s="2"/>
      <c r="P209" s="2"/>
      <c r="Q209" s="2"/>
      <c r="S209" s="3"/>
      <c r="T209" s="3"/>
      <c r="U209" s="3"/>
      <c r="V209" s="3"/>
      <c r="W209" s="3"/>
      <c r="X209" s="3"/>
      <c r="Y209" s="3"/>
      <c r="Z209" s="3"/>
    </row>
    <row r="210" ht="15.75" customHeight="1">
      <c r="A210" s="3"/>
      <c r="B210" s="2"/>
      <c r="C210" s="2"/>
      <c r="D210" s="474"/>
      <c r="E210" s="464"/>
      <c r="F210" s="2"/>
      <c r="G210" s="2"/>
      <c r="H210" s="2"/>
      <c r="I210" s="2"/>
      <c r="J210" s="2"/>
      <c r="K210" s="2"/>
      <c r="L210" s="2"/>
      <c r="M210" s="2"/>
      <c r="N210" s="2"/>
      <c r="O210" s="2"/>
      <c r="P210" s="2"/>
      <c r="Q210" s="2"/>
      <c r="S210" s="3"/>
      <c r="T210" s="3"/>
      <c r="U210" s="3"/>
      <c r="V210" s="3"/>
      <c r="W210" s="3"/>
      <c r="X210" s="3"/>
      <c r="Y210" s="3"/>
      <c r="Z210" s="3"/>
    </row>
    <row r="211" ht="15.75" customHeight="1">
      <c r="A211" s="3"/>
      <c r="B211" s="2"/>
      <c r="C211" s="2"/>
      <c r="D211" s="474"/>
      <c r="E211" s="464"/>
      <c r="F211" s="2"/>
      <c r="G211" s="2"/>
      <c r="H211" s="2"/>
      <c r="I211" s="2"/>
      <c r="J211" s="2"/>
      <c r="K211" s="2"/>
      <c r="L211" s="2"/>
      <c r="M211" s="2"/>
      <c r="N211" s="2"/>
      <c r="O211" s="2"/>
      <c r="P211" s="2"/>
      <c r="Q211" s="2"/>
      <c r="S211" s="3"/>
      <c r="T211" s="3"/>
      <c r="U211" s="3"/>
      <c r="V211" s="3"/>
      <c r="W211" s="3"/>
      <c r="X211" s="3"/>
      <c r="Y211" s="3"/>
      <c r="Z211" s="3"/>
    </row>
    <row r="212" ht="15.75" customHeight="1">
      <c r="A212" s="3"/>
      <c r="B212" s="2"/>
      <c r="C212" s="2"/>
      <c r="D212" s="474"/>
      <c r="E212" s="464"/>
      <c r="F212" s="2"/>
      <c r="G212" s="2"/>
      <c r="H212" s="2"/>
      <c r="I212" s="2"/>
      <c r="J212" s="2"/>
      <c r="K212" s="2"/>
      <c r="L212" s="2"/>
      <c r="M212" s="2"/>
      <c r="N212" s="2"/>
      <c r="O212" s="2"/>
      <c r="P212" s="2"/>
      <c r="Q212" s="2"/>
      <c r="S212" s="3"/>
      <c r="T212" s="3"/>
      <c r="U212" s="3"/>
      <c r="V212" s="3"/>
      <c r="W212" s="3"/>
      <c r="X212" s="3"/>
      <c r="Y212" s="3"/>
      <c r="Z212" s="3"/>
    </row>
    <row r="213" ht="15.75" customHeight="1">
      <c r="A213" s="3"/>
      <c r="B213" s="2"/>
      <c r="C213" s="2"/>
      <c r="D213" s="474"/>
      <c r="E213" s="464"/>
      <c r="F213" s="2"/>
      <c r="G213" s="2"/>
      <c r="H213" s="2"/>
      <c r="I213" s="2"/>
      <c r="J213" s="2"/>
      <c r="K213" s="2"/>
      <c r="L213" s="2"/>
      <c r="M213" s="2"/>
      <c r="N213" s="2"/>
      <c r="O213" s="2"/>
      <c r="P213" s="2"/>
      <c r="Q213" s="2"/>
      <c r="S213" s="3"/>
      <c r="T213" s="3"/>
      <c r="U213" s="3"/>
      <c r="V213" s="3"/>
      <c r="W213" s="3"/>
      <c r="X213" s="3"/>
      <c r="Y213" s="3"/>
      <c r="Z213" s="3"/>
    </row>
    <row r="214" ht="15.75" customHeight="1">
      <c r="A214" s="3"/>
      <c r="B214" s="2"/>
      <c r="C214" s="2"/>
      <c r="D214" s="474"/>
      <c r="E214" s="464"/>
      <c r="F214" s="2"/>
      <c r="G214" s="2"/>
      <c r="H214" s="2"/>
      <c r="I214" s="2"/>
      <c r="J214" s="2"/>
      <c r="K214" s="2"/>
      <c r="L214" s="2"/>
      <c r="M214" s="2"/>
      <c r="N214" s="2"/>
      <c r="O214" s="2"/>
      <c r="P214" s="2"/>
      <c r="Q214" s="2"/>
      <c r="S214" s="3"/>
      <c r="T214" s="3"/>
      <c r="U214" s="3"/>
      <c r="V214" s="3"/>
      <c r="W214" s="3"/>
      <c r="X214" s="3"/>
      <c r="Y214" s="3"/>
      <c r="Z214" s="3"/>
    </row>
    <row r="215" ht="15.75" customHeight="1">
      <c r="A215" s="3"/>
      <c r="B215" s="2"/>
      <c r="C215" s="2"/>
      <c r="D215" s="474"/>
      <c r="E215" s="464"/>
      <c r="F215" s="2"/>
      <c r="G215" s="2"/>
      <c r="H215" s="2"/>
      <c r="I215" s="2"/>
      <c r="J215" s="2"/>
      <c r="K215" s="2"/>
      <c r="L215" s="2"/>
      <c r="M215" s="2"/>
      <c r="N215" s="2"/>
      <c r="O215" s="2"/>
      <c r="P215" s="2"/>
      <c r="Q215" s="2"/>
      <c r="S215" s="3"/>
      <c r="T215" s="3"/>
      <c r="U215" s="3"/>
      <c r="V215" s="3"/>
      <c r="W215" s="3"/>
      <c r="X215" s="3"/>
      <c r="Y215" s="3"/>
      <c r="Z215" s="3"/>
    </row>
    <row r="216" ht="15.75" customHeight="1">
      <c r="A216" s="3"/>
      <c r="B216" s="2"/>
      <c r="C216" s="2"/>
      <c r="D216" s="474"/>
      <c r="E216" s="464"/>
      <c r="F216" s="2"/>
      <c r="G216" s="2"/>
      <c r="H216" s="2"/>
      <c r="I216" s="2"/>
      <c r="J216" s="2"/>
      <c r="K216" s="2"/>
      <c r="L216" s="2"/>
      <c r="M216" s="2"/>
      <c r="N216" s="2"/>
      <c r="O216" s="2"/>
      <c r="P216" s="2"/>
      <c r="Q216" s="2"/>
      <c r="S216" s="3"/>
      <c r="T216" s="3"/>
      <c r="U216" s="3"/>
      <c r="V216" s="3"/>
      <c r="W216" s="3"/>
      <c r="X216" s="3"/>
      <c r="Y216" s="3"/>
      <c r="Z216" s="3"/>
    </row>
    <row r="217" ht="15.75" customHeight="1">
      <c r="A217" s="3"/>
      <c r="B217" s="2"/>
      <c r="C217" s="2"/>
      <c r="D217" s="474"/>
      <c r="E217" s="464"/>
      <c r="F217" s="2"/>
      <c r="G217" s="2"/>
      <c r="H217" s="2"/>
      <c r="I217" s="2"/>
      <c r="J217" s="2"/>
      <c r="K217" s="2"/>
      <c r="L217" s="2"/>
      <c r="M217" s="2"/>
      <c r="N217" s="2"/>
      <c r="O217" s="2"/>
      <c r="P217" s="2"/>
      <c r="Q217" s="2"/>
      <c r="S217" s="3"/>
      <c r="T217" s="3"/>
      <c r="U217" s="3"/>
      <c r="V217" s="3"/>
      <c r="W217" s="3"/>
      <c r="X217" s="3"/>
      <c r="Y217" s="3"/>
      <c r="Z217" s="3"/>
    </row>
    <row r="218" ht="15.75" customHeight="1">
      <c r="A218" s="3"/>
      <c r="B218" s="2"/>
      <c r="C218" s="2"/>
      <c r="D218" s="474"/>
      <c r="E218" s="464"/>
      <c r="F218" s="2"/>
      <c r="G218" s="2"/>
      <c r="H218" s="2"/>
      <c r="I218" s="2"/>
      <c r="J218" s="2"/>
      <c r="K218" s="2"/>
      <c r="L218" s="2"/>
      <c r="M218" s="2"/>
      <c r="N218" s="2"/>
      <c r="O218" s="2"/>
      <c r="P218" s="2"/>
      <c r="Q218" s="2"/>
      <c r="S218" s="3"/>
      <c r="T218" s="3"/>
      <c r="U218" s="3"/>
      <c r="V218" s="3"/>
      <c r="W218" s="3"/>
      <c r="X218" s="3"/>
      <c r="Y218" s="3"/>
      <c r="Z218" s="3"/>
    </row>
    <row r="219" ht="15.75" customHeight="1">
      <c r="A219" s="3"/>
      <c r="B219" s="2"/>
      <c r="C219" s="2"/>
      <c r="D219" s="474"/>
      <c r="E219" s="464"/>
      <c r="F219" s="2"/>
      <c r="G219" s="2"/>
      <c r="H219" s="2"/>
      <c r="I219" s="2"/>
      <c r="J219" s="2"/>
      <c r="K219" s="2"/>
      <c r="L219" s="2"/>
      <c r="M219" s="2"/>
      <c r="N219" s="2"/>
      <c r="O219" s="2"/>
      <c r="P219" s="2"/>
      <c r="Q219" s="2"/>
      <c r="S219" s="3"/>
      <c r="T219" s="3"/>
      <c r="U219" s="3"/>
      <c r="V219" s="3"/>
      <c r="W219" s="3"/>
      <c r="X219" s="3"/>
      <c r="Y219" s="3"/>
      <c r="Z219" s="3"/>
    </row>
    <row r="220" ht="15.75" customHeight="1">
      <c r="A220" s="3"/>
      <c r="B220" s="2"/>
      <c r="C220" s="2"/>
      <c r="D220" s="474"/>
      <c r="E220" s="464"/>
      <c r="F220" s="2"/>
      <c r="G220" s="2"/>
      <c r="H220" s="2"/>
      <c r="I220" s="2"/>
      <c r="J220" s="2"/>
      <c r="K220" s="2"/>
      <c r="L220" s="2"/>
      <c r="M220" s="2"/>
      <c r="N220" s="2"/>
      <c r="O220" s="2"/>
      <c r="P220" s="2"/>
      <c r="Q220" s="2"/>
      <c r="S220" s="3"/>
      <c r="T220" s="3"/>
      <c r="U220" s="3"/>
      <c r="V220" s="3"/>
      <c r="W220" s="3"/>
      <c r="X220" s="3"/>
      <c r="Y220" s="3"/>
      <c r="Z220" s="3"/>
    </row>
    <row r="221" ht="15.75" customHeight="1">
      <c r="A221" s="3"/>
      <c r="B221" s="2"/>
      <c r="C221" s="2"/>
      <c r="D221" s="474"/>
      <c r="E221" s="464"/>
      <c r="F221" s="2"/>
      <c r="G221" s="2"/>
      <c r="H221" s="2"/>
      <c r="I221" s="2"/>
      <c r="J221" s="2"/>
      <c r="K221" s="2"/>
      <c r="L221" s="2"/>
      <c r="M221" s="2"/>
      <c r="N221" s="2"/>
      <c r="O221" s="2"/>
      <c r="P221" s="2"/>
      <c r="Q221" s="2"/>
      <c r="S221" s="3"/>
      <c r="T221" s="3"/>
      <c r="U221" s="3"/>
      <c r="V221" s="3"/>
      <c r="W221" s="3"/>
      <c r="X221" s="3"/>
      <c r="Y221" s="3"/>
      <c r="Z221" s="3"/>
    </row>
    <row r="222" ht="15.75" customHeight="1">
      <c r="A222" s="3"/>
      <c r="B222" s="2"/>
      <c r="C222" s="2"/>
      <c r="D222" s="474"/>
      <c r="E222" s="464"/>
      <c r="F222" s="2"/>
      <c r="G222" s="2"/>
      <c r="H222" s="2"/>
      <c r="I222" s="2"/>
      <c r="J222" s="2"/>
      <c r="K222" s="2"/>
      <c r="L222" s="2"/>
      <c r="M222" s="2"/>
      <c r="N222" s="2"/>
      <c r="O222" s="2"/>
      <c r="P222" s="2"/>
      <c r="Q222" s="2"/>
      <c r="S222" s="3"/>
      <c r="T222" s="3"/>
      <c r="U222" s="3"/>
      <c r="V222" s="3"/>
      <c r="W222" s="3"/>
      <c r="X222" s="3"/>
      <c r="Y222" s="3"/>
      <c r="Z222" s="3"/>
    </row>
    <row r="223" ht="15.75" customHeight="1">
      <c r="A223" s="3"/>
      <c r="B223" s="2"/>
      <c r="C223" s="2"/>
      <c r="D223" s="474"/>
      <c r="E223" s="464"/>
      <c r="F223" s="2"/>
      <c r="G223" s="2"/>
      <c r="H223" s="2"/>
      <c r="I223" s="2"/>
      <c r="J223" s="2"/>
      <c r="K223" s="2"/>
      <c r="L223" s="2"/>
      <c r="M223" s="2"/>
      <c r="N223" s="2"/>
      <c r="O223" s="2"/>
      <c r="P223" s="2"/>
      <c r="Q223" s="2"/>
      <c r="S223" s="3"/>
      <c r="T223" s="3"/>
      <c r="U223" s="3"/>
      <c r="V223" s="3"/>
      <c r="W223" s="3"/>
      <c r="X223" s="3"/>
      <c r="Y223" s="3"/>
      <c r="Z223" s="3"/>
    </row>
    <row r="224" ht="15.75" customHeight="1">
      <c r="A224" s="3"/>
      <c r="B224" s="2"/>
      <c r="C224" s="2"/>
      <c r="D224" s="474"/>
      <c r="E224" s="464"/>
      <c r="F224" s="2"/>
      <c r="G224" s="2"/>
      <c r="H224" s="2"/>
      <c r="I224" s="2"/>
      <c r="J224" s="2"/>
      <c r="K224" s="2"/>
      <c r="L224" s="2"/>
      <c r="M224" s="2"/>
      <c r="N224" s="2"/>
      <c r="O224" s="2"/>
      <c r="P224" s="2"/>
      <c r="Q224" s="2"/>
      <c r="S224" s="3"/>
      <c r="T224" s="3"/>
      <c r="U224" s="3"/>
      <c r="V224" s="3"/>
      <c r="W224" s="3"/>
      <c r="X224" s="3"/>
      <c r="Y224" s="3"/>
      <c r="Z224" s="3"/>
    </row>
    <row r="225" ht="15.75" customHeight="1">
      <c r="A225" s="3"/>
      <c r="B225" s="2"/>
      <c r="C225" s="2"/>
      <c r="D225" s="474"/>
      <c r="E225" s="464"/>
      <c r="F225" s="2"/>
      <c r="G225" s="2"/>
      <c r="H225" s="2"/>
      <c r="I225" s="2"/>
      <c r="J225" s="2"/>
      <c r="K225" s="2"/>
      <c r="L225" s="2"/>
      <c r="M225" s="2"/>
      <c r="N225" s="2"/>
      <c r="O225" s="2"/>
      <c r="P225" s="2"/>
      <c r="Q225" s="2"/>
      <c r="S225" s="3"/>
      <c r="T225" s="3"/>
      <c r="U225" s="3"/>
      <c r="V225" s="3"/>
      <c r="W225" s="3"/>
      <c r="X225" s="3"/>
      <c r="Y225" s="3"/>
      <c r="Z225" s="3"/>
    </row>
    <row r="226" ht="15.75" customHeight="1">
      <c r="A226" s="3"/>
      <c r="B226" s="2"/>
      <c r="C226" s="2"/>
      <c r="D226" s="474"/>
      <c r="E226" s="464"/>
      <c r="F226" s="2"/>
      <c r="G226" s="2"/>
      <c r="H226" s="2"/>
      <c r="I226" s="2"/>
      <c r="J226" s="2"/>
      <c r="K226" s="2"/>
      <c r="L226" s="2"/>
      <c r="M226" s="2"/>
      <c r="N226" s="2"/>
      <c r="O226" s="2"/>
      <c r="P226" s="2"/>
      <c r="Q226" s="2"/>
      <c r="S226" s="3"/>
      <c r="T226" s="3"/>
      <c r="U226" s="3"/>
      <c r="V226" s="3"/>
      <c r="W226" s="3"/>
      <c r="X226" s="3"/>
      <c r="Y226" s="3"/>
      <c r="Z226" s="3"/>
    </row>
    <row r="227" ht="15.75" customHeight="1">
      <c r="A227" s="3"/>
      <c r="B227" s="2"/>
      <c r="C227" s="2"/>
      <c r="D227" s="474"/>
      <c r="E227" s="464"/>
      <c r="F227" s="2"/>
      <c r="G227" s="2"/>
      <c r="H227" s="2"/>
      <c r="I227" s="2"/>
      <c r="J227" s="2"/>
      <c r="K227" s="2"/>
      <c r="L227" s="2"/>
      <c r="M227" s="2"/>
      <c r="N227" s="2"/>
      <c r="O227" s="2"/>
      <c r="P227" s="2"/>
      <c r="Q227" s="2"/>
      <c r="S227" s="3"/>
      <c r="T227" s="3"/>
      <c r="U227" s="3"/>
      <c r="V227" s="3"/>
      <c r="W227" s="3"/>
      <c r="X227" s="3"/>
      <c r="Y227" s="3"/>
      <c r="Z227" s="3"/>
    </row>
    <row r="228" ht="15.75" customHeight="1">
      <c r="A228" s="3"/>
      <c r="B228" s="2"/>
      <c r="C228" s="2"/>
      <c r="D228" s="474"/>
      <c r="E228" s="464"/>
      <c r="F228" s="2"/>
      <c r="G228" s="2"/>
      <c r="H228" s="2"/>
      <c r="I228" s="2"/>
      <c r="J228" s="2"/>
      <c r="K228" s="2"/>
      <c r="L228" s="2"/>
      <c r="M228" s="2"/>
      <c r="N228" s="2"/>
      <c r="O228" s="2"/>
      <c r="P228" s="2"/>
      <c r="Q228" s="2"/>
      <c r="S228" s="3"/>
      <c r="T228" s="3"/>
      <c r="U228" s="3"/>
      <c r="V228" s="3"/>
      <c r="W228" s="3"/>
      <c r="X228" s="3"/>
      <c r="Y228" s="3"/>
      <c r="Z228" s="3"/>
    </row>
    <row r="229" ht="15.75" customHeight="1">
      <c r="A229" s="3"/>
      <c r="B229" s="2"/>
      <c r="C229" s="2"/>
      <c r="D229" s="474"/>
      <c r="E229" s="464"/>
      <c r="F229" s="2"/>
      <c r="G229" s="2"/>
      <c r="H229" s="2"/>
      <c r="I229" s="2"/>
      <c r="J229" s="2"/>
      <c r="K229" s="2"/>
      <c r="L229" s="2"/>
      <c r="M229" s="2"/>
      <c r="N229" s="2"/>
      <c r="O229" s="2"/>
      <c r="P229" s="2"/>
      <c r="Q229" s="2"/>
      <c r="S229" s="3"/>
      <c r="T229" s="3"/>
      <c r="U229" s="3"/>
      <c r="V229" s="3"/>
      <c r="W229" s="3"/>
      <c r="X229" s="3"/>
      <c r="Y229" s="3"/>
      <c r="Z229" s="3"/>
    </row>
    <row r="230" ht="15.75" customHeight="1">
      <c r="A230" s="3"/>
      <c r="B230" s="2"/>
      <c r="C230" s="2"/>
      <c r="D230" s="474"/>
      <c r="E230" s="464"/>
      <c r="F230" s="2"/>
      <c r="G230" s="2"/>
      <c r="H230" s="2"/>
      <c r="I230" s="2"/>
      <c r="J230" s="2"/>
      <c r="K230" s="2"/>
      <c r="L230" s="2"/>
      <c r="M230" s="2"/>
      <c r="N230" s="2"/>
      <c r="O230" s="2"/>
      <c r="P230" s="2"/>
      <c r="Q230" s="2"/>
      <c r="S230" s="3"/>
      <c r="T230" s="3"/>
      <c r="U230" s="3"/>
      <c r="V230" s="3"/>
      <c r="W230" s="3"/>
      <c r="X230" s="3"/>
      <c r="Y230" s="3"/>
      <c r="Z230" s="3"/>
    </row>
    <row r="231" ht="15.75" customHeight="1">
      <c r="A231" s="3"/>
      <c r="B231" s="2"/>
      <c r="C231" s="2"/>
      <c r="D231" s="474"/>
      <c r="E231" s="464"/>
      <c r="F231" s="2"/>
      <c r="G231" s="2"/>
      <c r="H231" s="2"/>
      <c r="I231" s="2"/>
      <c r="J231" s="2"/>
      <c r="K231" s="2"/>
      <c r="L231" s="2"/>
      <c r="M231" s="2"/>
      <c r="N231" s="2"/>
      <c r="O231" s="2"/>
      <c r="P231" s="2"/>
      <c r="Q231" s="2"/>
      <c r="S231" s="3"/>
      <c r="T231" s="3"/>
      <c r="U231" s="3"/>
      <c r="V231" s="3"/>
      <c r="W231" s="3"/>
      <c r="X231" s="3"/>
      <c r="Y231" s="3"/>
      <c r="Z231" s="3"/>
    </row>
    <row r="232" ht="15.75" customHeight="1">
      <c r="A232" s="3"/>
      <c r="B232" s="2"/>
      <c r="C232" s="2"/>
      <c r="D232" s="474"/>
      <c r="E232" s="464"/>
      <c r="F232" s="2"/>
      <c r="G232" s="2"/>
      <c r="H232" s="2"/>
      <c r="I232" s="2"/>
      <c r="J232" s="2"/>
      <c r="K232" s="2"/>
      <c r="L232" s="2"/>
      <c r="M232" s="2"/>
      <c r="N232" s="2"/>
      <c r="O232" s="2"/>
      <c r="P232" s="2"/>
      <c r="Q232" s="2"/>
      <c r="S232" s="3"/>
      <c r="T232" s="3"/>
      <c r="U232" s="3"/>
      <c r="V232" s="3"/>
      <c r="W232" s="3"/>
      <c r="X232" s="3"/>
      <c r="Y232" s="3"/>
      <c r="Z232" s="3"/>
    </row>
    <row r="233" ht="15.75" customHeight="1">
      <c r="A233" s="3"/>
      <c r="B233" s="2"/>
      <c r="C233" s="2"/>
      <c r="D233" s="474"/>
      <c r="E233" s="464"/>
      <c r="F233" s="2"/>
      <c r="G233" s="2"/>
      <c r="H233" s="2"/>
      <c r="I233" s="2"/>
      <c r="J233" s="2"/>
      <c r="K233" s="2"/>
      <c r="L233" s="2"/>
      <c r="M233" s="2"/>
      <c r="N233" s="2"/>
      <c r="O233" s="2"/>
      <c r="P233" s="2"/>
      <c r="Q233" s="2"/>
      <c r="S233" s="3"/>
      <c r="T233" s="3"/>
      <c r="U233" s="3"/>
      <c r="V233" s="3"/>
      <c r="W233" s="3"/>
      <c r="X233" s="3"/>
      <c r="Y233" s="3"/>
      <c r="Z233" s="3"/>
    </row>
    <row r="234" ht="15.75" customHeight="1">
      <c r="A234" s="3"/>
      <c r="B234" s="2"/>
      <c r="C234" s="2"/>
      <c r="D234" s="474"/>
      <c r="E234" s="464"/>
      <c r="F234" s="2"/>
      <c r="G234" s="2"/>
      <c r="H234" s="2"/>
      <c r="I234" s="2"/>
      <c r="J234" s="2"/>
      <c r="K234" s="2"/>
      <c r="L234" s="2"/>
      <c r="M234" s="2"/>
      <c r="N234" s="2"/>
      <c r="O234" s="2"/>
      <c r="P234" s="2"/>
      <c r="Q234" s="2"/>
      <c r="S234" s="3"/>
      <c r="T234" s="3"/>
      <c r="U234" s="3"/>
      <c r="V234" s="3"/>
      <c r="W234" s="3"/>
      <c r="X234" s="3"/>
      <c r="Y234" s="3"/>
      <c r="Z234" s="3"/>
    </row>
    <row r="235" ht="15.75" customHeight="1">
      <c r="A235" s="3"/>
      <c r="B235" s="2"/>
      <c r="C235" s="2"/>
      <c r="D235" s="474"/>
      <c r="E235" s="464"/>
      <c r="F235" s="2"/>
      <c r="G235" s="2"/>
      <c r="H235" s="2"/>
      <c r="I235" s="2"/>
      <c r="J235" s="2"/>
      <c r="K235" s="2"/>
      <c r="L235" s="2"/>
      <c r="M235" s="2"/>
      <c r="N235" s="2"/>
      <c r="O235" s="2"/>
      <c r="P235" s="2"/>
      <c r="Q235" s="2"/>
      <c r="S235" s="3"/>
      <c r="T235" s="3"/>
      <c r="U235" s="3"/>
      <c r="V235" s="3"/>
      <c r="W235" s="3"/>
      <c r="X235" s="3"/>
      <c r="Y235" s="3"/>
      <c r="Z235" s="3"/>
    </row>
    <row r="236" ht="15.75" customHeight="1">
      <c r="A236" s="3"/>
      <c r="B236" s="2"/>
      <c r="C236" s="2"/>
      <c r="D236" s="474"/>
      <c r="E236" s="464"/>
      <c r="F236" s="2"/>
      <c r="G236" s="2"/>
      <c r="H236" s="2"/>
      <c r="I236" s="2"/>
      <c r="J236" s="2"/>
      <c r="K236" s="2"/>
      <c r="L236" s="2"/>
      <c r="M236" s="2"/>
      <c r="N236" s="2"/>
      <c r="O236" s="2"/>
      <c r="P236" s="2"/>
      <c r="Q236" s="2"/>
      <c r="S236" s="3"/>
      <c r="T236" s="3"/>
      <c r="U236" s="3"/>
      <c r="V236" s="3"/>
      <c r="W236" s="3"/>
      <c r="X236" s="3"/>
      <c r="Y236" s="3"/>
      <c r="Z236" s="3"/>
    </row>
    <row r="237" ht="15.75" customHeight="1">
      <c r="A237" s="3"/>
      <c r="B237" s="2"/>
      <c r="C237" s="2"/>
      <c r="D237" s="474"/>
      <c r="E237" s="464"/>
      <c r="F237" s="2"/>
      <c r="G237" s="2"/>
      <c r="H237" s="2"/>
      <c r="I237" s="2"/>
      <c r="J237" s="2"/>
      <c r="K237" s="2"/>
      <c r="L237" s="2"/>
      <c r="M237" s="2"/>
      <c r="N237" s="2"/>
      <c r="O237" s="2"/>
      <c r="P237" s="2"/>
      <c r="Q237" s="2"/>
      <c r="S237" s="3"/>
      <c r="T237" s="3"/>
      <c r="U237" s="3"/>
      <c r="V237" s="3"/>
      <c r="W237" s="3"/>
      <c r="X237" s="3"/>
      <c r="Y237" s="3"/>
      <c r="Z237" s="3"/>
    </row>
    <row r="238" ht="15.75" customHeight="1">
      <c r="A238" s="3"/>
      <c r="B238" s="2"/>
      <c r="C238" s="2"/>
      <c r="D238" s="474"/>
      <c r="E238" s="464"/>
      <c r="F238" s="2"/>
      <c r="G238" s="2"/>
      <c r="H238" s="2"/>
      <c r="I238" s="2"/>
      <c r="J238" s="2"/>
      <c r="K238" s="2"/>
      <c r="L238" s="2"/>
      <c r="M238" s="2"/>
      <c r="N238" s="2"/>
      <c r="O238" s="2"/>
      <c r="P238" s="2"/>
      <c r="Q238" s="2"/>
      <c r="S238" s="3"/>
      <c r="T238" s="3"/>
      <c r="U238" s="3"/>
      <c r="V238" s="3"/>
      <c r="W238" s="3"/>
      <c r="X238" s="3"/>
      <c r="Y238" s="3"/>
      <c r="Z238" s="3"/>
    </row>
    <row r="239" ht="15.75" customHeight="1">
      <c r="A239" s="3"/>
      <c r="B239" s="2"/>
      <c r="C239" s="2"/>
      <c r="D239" s="474"/>
      <c r="E239" s="464"/>
      <c r="F239" s="2"/>
      <c r="G239" s="2"/>
      <c r="H239" s="2"/>
      <c r="I239" s="2"/>
      <c r="J239" s="2"/>
      <c r="K239" s="2"/>
      <c r="L239" s="2"/>
      <c r="M239" s="2"/>
      <c r="N239" s="2"/>
      <c r="O239" s="2"/>
      <c r="P239" s="2"/>
      <c r="Q239" s="2"/>
      <c r="S239" s="3"/>
      <c r="T239" s="3"/>
      <c r="U239" s="3"/>
      <c r="V239" s="3"/>
      <c r="W239" s="3"/>
      <c r="X239" s="3"/>
      <c r="Y239" s="3"/>
      <c r="Z239" s="3"/>
    </row>
    <row r="240" ht="15.75" customHeight="1">
      <c r="A240" s="3"/>
      <c r="B240" s="2"/>
      <c r="C240" s="2"/>
      <c r="D240" s="474"/>
      <c r="E240" s="464"/>
      <c r="F240" s="2"/>
      <c r="G240" s="2"/>
      <c r="H240" s="2"/>
      <c r="I240" s="2"/>
      <c r="J240" s="2"/>
      <c r="K240" s="2"/>
      <c r="L240" s="2"/>
      <c r="M240" s="2"/>
      <c r="N240" s="2"/>
      <c r="O240" s="2"/>
      <c r="P240" s="2"/>
      <c r="Q240" s="2"/>
      <c r="S240" s="3"/>
      <c r="T240" s="3"/>
      <c r="U240" s="3"/>
      <c r="V240" s="3"/>
      <c r="W240" s="3"/>
      <c r="X240" s="3"/>
      <c r="Y240" s="3"/>
      <c r="Z240" s="3"/>
    </row>
    <row r="241" ht="15.75" customHeight="1">
      <c r="A241" s="3"/>
      <c r="B241" s="2"/>
      <c r="C241" s="2"/>
      <c r="D241" s="474"/>
      <c r="E241" s="464"/>
      <c r="F241" s="2"/>
      <c r="G241" s="2"/>
      <c r="H241" s="2"/>
      <c r="I241" s="2"/>
      <c r="J241" s="2"/>
      <c r="K241" s="2"/>
      <c r="L241" s="2"/>
      <c r="M241" s="2"/>
      <c r="N241" s="2"/>
      <c r="O241" s="2"/>
      <c r="P241" s="2"/>
      <c r="Q241" s="2"/>
      <c r="S241" s="3"/>
      <c r="T241" s="3"/>
      <c r="U241" s="3"/>
      <c r="V241" s="3"/>
      <c r="W241" s="3"/>
      <c r="X241" s="3"/>
      <c r="Y241" s="3"/>
      <c r="Z241" s="3"/>
    </row>
    <row r="242" ht="15.75" customHeight="1">
      <c r="A242" s="3"/>
      <c r="B242" s="2"/>
      <c r="C242" s="2"/>
      <c r="D242" s="474"/>
      <c r="E242" s="464"/>
      <c r="F242" s="2"/>
      <c r="G242" s="2"/>
      <c r="H242" s="2"/>
      <c r="I242" s="2"/>
      <c r="J242" s="2"/>
      <c r="K242" s="2"/>
      <c r="L242" s="2"/>
      <c r="M242" s="2"/>
      <c r="N242" s="2"/>
      <c r="O242" s="2"/>
      <c r="P242" s="2"/>
      <c r="Q242" s="2"/>
      <c r="S242" s="3"/>
      <c r="T242" s="3"/>
      <c r="U242" s="3"/>
      <c r="V242" s="3"/>
      <c r="W242" s="3"/>
      <c r="X242" s="3"/>
      <c r="Y242" s="3"/>
      <c r="Z242" s="3"/>
    </row>
    <row r="243" ht="15.75" customHeight="1">
      <c r="A243" s="3"/>
      <c r="B243" s="2"/>
      <c r="C243" s="2"/>
      <c r="D243" s="474"/>
      <c r="E243" s="464"/>
      <c r="F243" s="2"/>
      <c r="G243" s="2"/>
      <c r="H243" s="2"/>
      <c r="I243" s="2"/>
      <c r="J243" s="2"/>
      <c r="K243" s="2"/>
      <c r="L243" s="2"/>
      <c r="M243" s="2"/>
      <c r="N243" s="2"/>
      <c r="O243" s="2"/>
      <c r="P243" s="2"/>
      <c r="Q243" s="2"/>
      <c r="S243" s="3"/>
      <c r="T243" s="3"/>
      <c r="U243" s="3"/>
      <c r="V243" s="3"/>
      <c r="W243" s="3"/>
      <c r="X243" s="3"/>
      <c r="Y243" s="3"/>
      <c r="Z243" s="3"/>
    </row>
    <row r="244" ht="15.75" customHeight="1">
      <c r="A244" s="3"/>
      <c r="B244" s="2"/>
      <c r="C244" s="2"/>
      <c r="D244" s="474"/>
      <c r="E244" s="464"/>
      <c r="F244" s="2"/>
      <c r="G244" s="2"/>
      <c r="H244" s="2"/>
      <c r="I244" s="2"/>
      <c r="J244" s="2"/>
      <c r="K244" s="2"/>
      <c r="L244" s="2"/>
      <c r="M244" s="2"/>
      <c r="N244" s="2"/>
      <c r="O244" s="2"/>
      <c r="P244" s="2"/>
      <c r="Q244" s="2"/>
      <c r="S244" s="3"/>
      <c r="T244" s="3"/>
      <c r="U244" s="3"/>
      <c r="V244" s="3"/>
      <c r="W244" s="3"/>
      <c r="X244" s="3"/>
      <c r="Y244" s="3"/>
      <c r="Z244" s="3"/>
    </row>
    <row r="245" ht="15.75" customHeight="1">
      <c r="A245" s="3"/>
      <c r="B245" s="2"/>
      <c r="C245" s="2"/>
      <c r="D245" s="474"/>
      <c r="E245" s="464"/>
      <c r="F245" s="2"/>
      <c r="G245" s="2"/>
      <c r="H245" s="2"/>
      <c r="I245" s="2"/>
      <c r="J245" s="2"/>
      <c r="K245" s="2"/>
      <c r="L245" s="2"/>
      <c r="M245" s="2"/>
      <c r="N245" s="2"/>
      <c r="O245" s="2"/>
      <c r="P245" s="2"/>
      <c r="Q245" s="2"/>
      <c r="S245" s="3"/>
      <c r="T245" s="3"/>
      <c r="U245" s="3"/>
      <c r="V245" s="3"/>
      <c r="W245" s="3"/>
      <c r="X245" s="3"/>
      <c r="Y245" s="3"/>
      <c r="Z245" s="3"/>
    </row>
    <row r="246" ht="15.75" customHeight="1">
      <c r="A246" s="3"/>
      <c r="B246" s="2"/>
      <c r="C246" s="2"/>
      <c r="D246" s="474"/>
      <c r="E246" s="464"/>
      <c r="F246" s="2"/>
      <c r="G246" s="2"/>
      <c r="H246" s="2"/>
      <c r="I246" s="2"/>
      <c r="J246" s="2"/>
      <c r="K246" s="2"/>
      <c r="L246" s="2"/>
      <c r="M246" s="2"/>
      <c r="N246" s="2"/>
      <c r="O246" s="2"/>
      <c r="P246" s="2"/>
      <c r="Q246" s="2"/>
      <c r="S246" s="3"/>
      <c r="T246" s="3"/>
      <c r="U246" s="3"/>
      <c r="V246" s="3"/>
      <c r="W246" s="3"/>
      <c r="X246" s="3"/>
      <c r="Y246" s="3"/>
      <c r="Z246" s="3"/>
    </row>
    <row r="247" ht="15.75" customHeight="1">
      <c r="A247" s="3"/>
      <c r="B247" s="2"/>
      <c r="C247" s="2"/>
      <c r="D247" s="474"/>
      <c r="E247" s="464"/>
      <c r="F247" s="2"/>
      <c r="G247" s="2"/>
      <c r="H247" s="2"/>
      <c r="I247" s="2"/>
      <c r="J247" s="2"/>
      <c r="K247" s="2"/>
      <c r="L247" s="2"/>
      <c r="M247" s="2"/>
      <c r="N247" s="2"/>
      <c r="O247" s="2"/>
      <c r="P247" s="2"/>
      <c r="Q247" s="2"/>
      <c r="S247" s="3"/>
      <c r="T247" s="3"/>
      <c r="U247" s="3"/>
      <c r="V247" s="3"/>
      <c r="W247" s="3"/>
      <c r="X247" s="3"/>
      <c r="Y247" s="3"/>
      <c r="Z247" s="3"/>
    </row>
    <row r="248" ht="15.75" customHeight="1">
      <c r="A248" s="3"/>
      <c r="B248" s="2"/>
      <c r="C248" s="2"/>
      <c r="D248" s="474"/>
      <c r="E248" s="464"/>
      <c r="F248" s="2"/>
      <c r="G248" s="2"/>
      <c r="H248" s="2"/>
      <c r="I248" s="2"/>
      <c r="J248" s="2"/>
      <c r="K248" s="2"/>
      <c r="L248" s="2"/>
      <c r="M248" s="2"/>
      <c r="N248" s="2"/>
      <c r="O248" s="2"/>
      <c r="P248" s="2"/>
      <c r="Q248" s="2"/>
      <c r="S248" s="3"/>
      <c r="T248" s="3"/>
      <c r="U248" s="3"/>
      <c r="V248" s="3"/>
      <c r="W248" s="3"/>
      <c r="X248" s="3"/>
      <c r="Y248" s="3"/>
      <c r="Z248" s="3"/>
    </row>
    <row r="249" ht="15.75" customHeight="1">
      <c r="A249" s="3"/>
      <c r="B249" s="2"/>
      <c r="C249" s="2"/>
      <c r="D249" s="474"/>
      <c r="E249" s="464"/>
      <c r="F249" s="2"/>
      <c r="G249" s="2"/>
      <c r="H249" s="2"/>
      <c r="I249" s="2"/>
      <c r="J249" s="2"/>
      <c r="K249" s="2"/>
      <c r="L249" s="2"/>
      <c r="M249" s="2"/>
      <c r="N249" s="2"/>
      <c r="O249" s="2"/>
      <c r="P249" s="2"/>
      <c r="Q249" s="2"/>
      <c r="S249" s="3"/>
      <c r="T249" s="3"/>
      <c r="U249" s="3"/>
      <c r="V249" s="3"/>
      <c r="W249" s="3"/>
      <c r="X249" s="3"/>
      <c r="Y249" s="3"/>
      <c r="Z249" s="3"/>
    </row>
    <row r="250" ht="15.75" customHeight="1">
      <c r="A250" s="3"/>
      <c r="B250" s="2"/>
      <c r="C250" s="2"/>
      <c r="D250" s="474"/>
      <c r="E250" s="464"/>
      <c r="F250" s="2"/>
      <c r="G250" s="2"/>
      <c r="H250" s="2"/>
      <c r="I250" s="2"/>
      <c r="J250" s="2"/>
      <c r="K250" s="2"/>
      <c r="L250" s="2"/>
      <c r="M250" s="2"/>
      <c r="N250" s="2"/>
      <c r="O250" s="2"/>
      <c r="P250" s="2"/>
      <c r="Q250" s="2"/>
      <c r="S250" s="3"/>
      <c r="T250" s="3"/>
      <c r="U250" s="3"/>
      <c r="V250" s="3"/>
      <c r="W250" s="3"/>
      <c r="X250" s="3"/>
      <c r="Y250" s="3"/>
      <c r="Z250" s="3"/>
    </row>
    <row r="251" ht="15.75" customHeight="1">
      <c r="A251" s="3"/>
      <c r="B251" s="2"/>
      <c r="C251" s="2"/>
      <c r="D251" s="474"/>
      <c r="E251" s="464"/>
      <c r="F251" s="2"/>
      <c r="G251" s="2"/>
      <c r="H251" s="2"/>
      <c r="I251" s="2"/>
      <c r="J251" s="2"/>
      <c r="K251" s="2"/>
      <c r="L251" s="2"/>
      <c r="M251" s="2"/>
      <c r="N251" s="2"/>
      <c r="O251" s="2"/>
      <c r="P251" s="2"/>
      <c r="Q251" s="2"/>
      <c r="S251" s="3"/>
      <c r="T251" s="3"/>
      <c r="U251" s="3"/>
      <c r="V251" s="3"/>
      <c r="W251" s="3"/>
      <c r="X251" s="3"/>
      <c r="Y251" s="3"/>
      <c r="Z251" s="3"/>
    </row>
    <row r="252" ht="15.75" customHeight="1">
      <c r="A252" s="3"/>
      <c r="B252" s="2"/>
      <c r="C252" s="2"/>
      <c r="D252" s="474"/>
      <c r="E252" s="464"/>
      <c r="F252" s="2"/>
      <c r="G252" s="2"/>
      <c r="H252" s="2"/>
      <c r="I252" s="2"/>
      <c r="J252" s="2"/>
      <c r="K252" s="2"/>
      <c r="L252" s="2"/>
      <c r="M252" s="2"/>
      <c r="N252" s="2"/>
      <c r="O252" s="2"/>
      <c r="P252" s="2"/>
      <c r="Q252" s="2"/>
      <c r="S252" s="3"/>
      <c r="T252" s="3"/>
      <c r="U252" s="3"/>
      <c r="V252" s="3"/>
      <c r="W252" s="3"/>
      <c r="X252" s="3"/>
      <c r="Y252" s="3"/>
      <c r="Z252" s="3"/>
    </row>
    <row r="253" ht="15.75" customHeight="1">
      <c r="A253" s="3"/>
      <c r="B253" s="2"/>
      <c r="C253" s="2"/>
      <c r="D253" s="474"/>
      <c r="E253" s="464"/>
      <c r="F253" s="2"/>
      <c r="G253" s="2"/>
      <c r="H253" s="2"/>
      <c r="I253" s="2"/>
      <c r="J253" s="2"/>
      <c r="K253" s="2"/>
      <c r="L253" s="2"/>
      <c r="M253" s="2"/>
      <c r="N253" s="2"/>
      <c r="O253" s="2"/>
      <c r="P253" s="2"/>
      <c r="Q253" s="2"/>
      <c r="S253" s="3"/>
      <c r="T253" s="3"/>
      <c r="U253" s="3"/>
      <c r="V253" s="3"/>
      <c r="W253" s="3"/>
      <c r="X253" s="3"/>
      <c r="Y253" s="3"/>
      <c r="Z253" s="3"/>
    </row>
    <row r="254" ht="15.75" customHeight="1">
      <c r="A254" s="3"/>
      <c r="B254" s="2"/>
      <c r="C254" s="2"/>
      <c r="D254" s="474"/>
      <c r="E254" s="464"/>
      <c r="F254" s="2"/>
      <c r="G254" s="2"/>
      <c r="H254" s="2"/>
      <c r="I254" s="2"/>
      <c r="J254" s="2"/>
      <c r="K254" s="2"/>
      <c r="L254" s="2"/>
      <c r="M254" s="2"/>
      <c r="N254" s="2"/>
      <c r="O254" s="2"/>
      <c r="P254" s="2"/>
      <c r="Q254" s="2"/>
      <c r="S254" s="3"/>
      <c r="T254" s="3"/>
      <c r="U254" s="3"/>
      <c r="V254" s="3"/>
      <c r="W254" s="3"/>
      <c r="X254" s="3"/>
      <c r="Y254" s="3"/>
      <c r="Z254" s="3"/>
    </row>
    <row r="255" ht="15.75" customHeight="1">
      <c r="A255" s="3"/>
      <c r="B255" s="2"/>
      <c r="C255" s="2"/>
      <c r="D255" s="474"/>
      <c r="E255" s="464"/>
      <c r="F255" s="2"/>
      <c r="G255" s="2"/>
      <c r="H255" s="2"/>
      <c r="I255" s="2"/>
      <c r="J255" s="2"/>
      <c r="K255" s="2"/>
      <c r="L255" s="2"/>
      <c r="M255" s="2"/>
      <c r="N255" s="2"/>
      <c r="O255" s="2"/>
      <c r="P255" s="2"/>
      <c r="Q255" s="2"/>
      <c r="S255" s="3"/>
      <c r="T255" s="3"/>
      <c r="U255" s="3"/>
      <c r="V255" s="3"/>
      <c r="W255" s="3"/>
      <c r="X255" s="3"/>
      <c r="Y255" s="3"/>
      <c r="Z255" s="3"/>
    </row>
    <row r="256" ht="15.75" customHeight="1">
      <c r="A256" s="3"/>
      <c r="B256" s="2"/>
      <c r="C256" s="2"/>
      <c r="D256" s="474"/>
      <c r="E256" s="464"/>
      <c r="F256" s="2"/>
      <c r="G256" s="2"/>
      <c r="H256" s="2"/>
      <c r="I256" s="2"/>
      <c r="J256" s="2"/>
      <c r="K256" s="2"/>
      <c r="L256" s="2"/>
      <c r="M256" s="2"/>
      <c r="N256" s="2"/>
      <c r="O256" s="2"/>
      <c r="P256" s="2"/>
      <c r="Q256" s="2"/>
      <c r="S256" s="3"/>
      <c r="T256" s="3"/>
      <c r="U256" s="3"/>
      <c r="V256" s="3"/>
      <c r="W256" s="3"/>
      <c r="X256" s="3"/>
      <c r="Y256" s="3"/>
      <c r="Z256" s="3"/>
    </row>
    <row r="257" ht="15.75" customHeight="1">
      <c r="A257" s="3"/>
      <c r="B257" s="2"/>
      <c r="C257" s="2"/>
      <c r="D257" s="474"/>
      <c r="E257" s="464"/>
      <c r="F257" s="2"/>
      <c r="G257" s="2"/>
      <c r="H257" s="2"/>
      <c r="I257" s="2"/>
      <c r="J257" s="2"/>
      <c r="K257" s="2"/>
      <c r="L257" s="2"/>
      <c r="M257" s="2"/>
      <c r="N257" s="2"/>
      <c r="O257" s="2"/>
      <c r="P257" s="2"/>
      <c r="Q257" s="2"/>
      <c r="S257" s="3"/>
      <c r="T257" s="3"/>
      <c r="U257" s="3"/>
      <c r="V257" s="3"/>
      <c r="W257" s="3"/>
      <c r="X257" s="3"/>
      <c r="Y257" s="3"/>
      <c r="Z257" s="3"/>
    </row>
    <row r="258" ht="15.75" customHeight="1">
      <c r="A258" s="3"/>
      <c r="B258" s="2"/>
      <c r="C258" s="2"/>
      <c r="D258" s="474"/>
      <c r="E258" s="464"/>
      <c r="F258" s="2"/>
      <c r="G258" s="2"/>
      <c r="H258" s="2"/>
      <c r="I258" s="2"/>
      <c r="J258" s="2"/>
      <c r="K258" s="2"/>
      <c r="L258" s="2"/>
      <c r="M258" s="2"/>
      <c r="N258" s="2"/>
      <c r="O258" s="2"/>
      <c r="P258" s="2"/>
      <c r="Q258" s="2"/>
      <c r="S258" s="3"/>
      <c r="T258" s="3"/>
      <c r="U258" s="3"/>
      <c r="V258" s="3"/>
      <c r="W258" s="3"/>
      <c r="X258" s="3"/>
      <c r="Y258" s="3"/>
      <c r="Z258" s="3"/>
    </row>
    <row r="259" ht="15.75" customHeight="1">
      <c r="A259" s="3"/>
      <c r="B259" s="2"/>
      <c r="C259" s="2"/>
      <c r="D259" s="474"/>
      <c r="E259" s="464"/>
      <c r="F259" s="2"/>
      <c r="G259" s="2"/>
      <c r="H259" s="2"/>
      <c r="I259" s="2"/>
      <c r="J259" s="2"/>
      <c r="K259" s="2"/>
      <c r="L259" s="2"/>
      <c r="M259" s="2"/>
      <c r="N259" s="2"/>
      <c r="O259" s="2"/>
      <c r="P259" s="2"/>
      <c r="Q259" s="2"/>
      <c r="S259" s="3"/>
      <c r="T259" s="3"/>
      <c r="U259" s="3"/>
      <c r="V259" s="3"/>
      <c r="W259" s="3"/>
      <c r="X259" s="3"/>
      <c r="Y259" s="3"/>
      <c r="Z259" s="3"/>
    </row>
    <row r="260" ht="15.75" customHeight="1">
      <c r="A260" s="3"/>
      <c r="B260" s="2"/>
      <c r="C260" s="2"/>
      <c r="D260" s="474"/>
      <c r="E260" s="464"/>
      <c r="F260" s="2"/>
      <c r="G260" s="2"/>
      <c r="H260" s="2"/>
      <c r="I260" s="2"/>
      <c r="J260" s="2"/>
      <c r="K260" s="2"/>
      <c r="L260" s="2"/>
      <c r="M260" s="2"/>
      <c r="N260" s="2"/>
      <c r="O260" s="2"/>
      <c r="P260" s="2"/>
      <c r="Q260" s="2"/>
      <c r="S260" s="3"/>
      <c r="T260" s="3"/>
      <c r="U260" s="3"/>
      <c r="V260" s="3"/>
      <c r="W260" s="3"/>
      <c r="X260" s="3"/>
      <c r="Y260" s="3"/>
      <c r="Z260" s="3"/>
    </row>
    <row r="261" ht="15.75" customHeight="1">
      <c r="A261" s="3"/>
      <c r="B261" s="2"/>
      <c r="C261" s="2"/>
      <c r="D261" s="474"/>
      <c r="E261" s="464"/>
      <c r="F261" s="2"/>
      <c r="G261" s="2"/>
      <c r="H261" s="2"/>
      <c r="I261" s="2"/>
      <c r="J261" s="2"/>
      <c r="K261" s="2"/>
      <c r="L261" s="2"/>
      <c r="M261" s="2"/>
      <c r="N261" s="2"/>
      <c r="O261" s="2"/>
      <c r="P261" s="2"/>
      <c r="Q261" s="2"/>
      <c r="S261" s="3"/>
      <c r="T261" s="3"/>
      <c r="U261" s="3"/>
      <c r="V261" s="3"/>
      <c r="W261" s="3"/>
      <c r="X261" s="3"/>
      <c r="Y261" s="3"/>
      <c r="Z261" s="3"/>
    </row>
    <row r="262" ht="15.75" customHeight="1">
      <c r="A262" s="3"/>
      <c r="B262" s="2"/>
      <c r="C262" s="2"/>
      <c r="D262" s="474"/>
      <c r="E262" s="464"/>
      <c r="F262" s="2"/>
      <c r="G262" s="2"/>
      <c r="H262" s="2"/>
      <c r="I262" s="2"/>
      <c r="J262" s="2"/>
      <c r="K262" s="2"/>
      <c r="L262" s="2"/>
      <c r="M262" s="2"/>
      <c r="N262" s="2"/>
      <c r="O262" s="2"/>
      <c r="P262" s="2"/>
      <c r="Q262" s="2"/>
      <c r="S262" s="3"/>
      <c r="T262" s="3"/>
      <c r="U262" s="3"/>
      <c r="V262" s="3"/>
      <c r="W262" s="3"/>
      <c r="X262" s="3"/>
      <c r="Y262" s="3"/>
      <c r="Z262" s="3"/>
    </row>
    <row r="263" ht="15.75" customHeight="1">
      <c r="A263" s="3"/>
      <c r="B263" s="2"/>
      <c r="C263" s="2"/>
      <c r="D263" s="474"/>
      <c r="E263" s="464"/>
      <c r="F263" s="2"/>
      <c r="G263" s="2"/>
      <c r="H263" s="2"/>
      <c r="I263" s="2"/>
      <c r="J263" s="2"/>
      <c r="K263" s="2"/>
      <c r="L263" s="2"/>
      <c r="M263" s="2"/>
      <c r="N263" s="2"/>
      <c r="O263" s="2"/>
      <c r="P263" s="2"/>
      <c r="Q263" s="2"/>
      <c r="S263" s="3"/>
      <c r="T263" s="3"/>
      <c r="U263" s="3"/>
      <c r="V263" s="3"/>
      <c r="W263" s="3"/>
      <c r="X263" s="3"/>
      <c r="Y263" s="3"/>
      <c r="Z263" s="3"/>
    </row>
    <row r="264" ht="15.75" customHeight="1">
      <c r="A264" s="3"/>
      <c r="B264" s="2"/>
      <c r="C264" s="2"/>
      <c r="D264" s="474"/>
      <c r="E264" s="464"/>
      <c r="F264" s="2"/>
      <c r="G264" s="2"/>
      <c r="H264" s="2"/>
      <c r="I264" s="2"/>
      <c r="J264" s="2"/>
      <c r="K264" s="2"/>
      <c r="L264" s="2"/>
      <c r="M264" s="2"/>
      <c r="N264" s="2"/>
      <c r="O264" s="2"/>
      <c r="P264" s="2"/>
      <c r="Q264" s="2"/>
      <c r="S264" s="3"/>
      <c r="T264" s="3"/>
      <c r="U264" s="3"/>
      <c r="V264" s="3"/>
      <c r="W264" s="3"/>
      <c r="X264" s="3"/>
      <c r="Y264" s="3"/>
      <c r="Z264" s="3"/>
    </row>
    <row r="265" ht="15.75" customHeight="1">
      <c r="A265" s="3"/>
      <c r="B265" s="2"/>
      <c r="C265" s="2"/>
      <c r="D265" s="474"/>
      <c r="E265" s="464"/>
      <c r="F265" s="2"/>
      <c r="G265" s="2"/>
      <c r="H265" s="2"/>
      <c r="I265" s="2"/>
      <c r="J265" s="2"/>
      <c r="K265" s="2"/>
      <c r="L265" s="2"/>
      <c r="M265" s="2"/>
      <c r="N265" s="2"/>
      <c r="O265" s="2"/>
      <c r="P265" s="2"/>
      <c r="Q265" s="2"/>
      <c r="S265" s="3"/>
      <c r="T265" s="3"/>
      <c r="U265" s="3"/>
      <c r="V265" s="3"/>
      <c r="W265" s="3"/>
      <c r="X265" s="3"/>
      <c r="Y265" s="3"/>
      <c r="Z265" s="3"/>
    </row>
    <row r="266" ht="15.75" customHeight="1">
      <c r="A266" s="3"/>
      <c r="B266" s="2"/>
      <c r="C266" s="2"/>
      <c r="D266" s="474"/>
      <c r="E266" s="464"/>
      <c r="F266" s="2"/>
      <c r="G266" s="2"/>
      <c r="H266" s="2"/>
      <c r="I266" s="2"/>
      <c r="J266" s="2"/>
      <c r="K266" s="2"/>
      <c r="L266" s="2"/>
      <c r="M266" s="2"/>
      <c r="N266" s="2"/>
      <c r="O266" s="2"/>
      <c r="P266" s="2"/>
      <c r="Q266" s="2"/>
      <c r="S266" s="3"/>
      <c r="T266" s="3"/>
      <c r="U266" s="3"/>
      <c r="V266" s="3"/>
      <c r="W266" s="3"/>
      <c r="X266" s="3"/>
      <c r="Y266" s="3"/>
      <c r="Z266" s="3"/>
    </row>
    <row r="267" ht="15.75" customHeight="1">
      <c r="A267" s="3"/>
      <c r="B267" s="2"/>
      <c r="C267" s="2"/>
      <c r="D267" s="474"/>
      <c r="E267" s="464"/>
      <c r="F267" s="2"/>
      <c r="G267" s="2"/>
      <c r="H267" s="2"/>
      <c r="I267" s="2"/>
      <c r="J267" s="2"/>
      <c r="K267" s="2"/>
      <c r="L267" s="2"/>
      <c r="M267" s="2"/>
      <c r="N267" s="2"/>
      <c r="O267" s="2"/>
      <c r="P267" s="2"/>
      <c r="Q267" s="2"/>
      <c r="S267" s="3"/>
      <c r="T267" s="3"/>
      <c r="U267" s="3"/>
      <c r="V267" s="3"/>
      <c r="W267" s="3"/>
      <c r="X267" s="3"/>
      <c r="Y267" s="3"/>
      <c r="Z267" s="3"/>
    </row>
    <row r="268" ht="15.75" customHeight="1">
      <c r="A268" s="3"/>
      <c r="B268" s="2"/>
      <c r="C268" s="2"/>
      <c r="D268" s="474"/>
      <c r="E268" s="464"/>
      <c r="F268" s="2"/>
      <c r="G268" s="2"/>
      <c r="H268" s="2"/>
      <c r="I268" s="2"/>
      <c r="J268" s="2"/>
      <c r="K268" s="2"/>
      <c r="L268" s="2"/>
      <c r="M268" s="2"/>
      <c r="N268" s="2"/>
      <c r="O268" s="2"/>
      <c r="P268" s="2"/>
      <c r="Q268" s="2"/>
      <c r="S268" s="3"/>
      <c r="T268" s="3"/>
      <c r="U268" s="3"/>
      <c r="V268" s="3"/>
      <c r="W268" s="3"/>
      <c r="X268" s="3"/>
      <c r="Y268" s="3"/>
      <c r="Z268" s="3"/>
    </row>
    <row r="269" ht="15.75" customHeight="1">
      <c r="A269" s="3"/>
      <c r="B269" s="2"/>
      <c r="C269" s="2"/>
      <c r="D269" s="474"/>
      <c r="E269" s="464"/>
      <c r="F269" s="2"/>
      <c r="G269" s="2"/>
      <c r="H269" s="2"/>
      <c r="I269" s="2"/>
      <c r="J269" s="2"/>
      <c r="K269" s="2"/>
      <c r="L269" s="2"/>
      <c r="M269" s="2"/>
      <c r="N269" s="2"/>
      <c r="O269" s="2"/>
      <c r="P269" s="2"/>
      <c r="Q269" s="2"/>
      <c r="S269" s="3"/>
      <c r="T269" s="3"/>
      <c r="U269" s="3"/>
      <c r="V269" s="3"/>
      <c r="W269" s="3"/>
      <c r="X269" s="3"/>
      <c r="Y269" s="3"/>
      <c r="Z269" s="3"/>
    </row>
    <row r="270" ht="15.75" customHeight="1">
      <c r="A270" s="3"/>
      <c r="B270" s="2"/>
      <c r="C270" s="2"/>
      <c r="D270" s="474"/>
      <c r="E270" s="464"/>
      <c r="F270" s="2"/>
      <c r="G270" s="2"/>
      <c r="H270" s="2"/>
      <c r="I270" s="2"/>
      <c r="J270" s="2"/>
      <c r="K270" s="2"/>
      <c r="L270" s="2"/>
      <c r="M270" s="2"/>
      <c r="N270" s="2"/>
      <c r="O270" s="2"/>
      <c r="P270" s="2"/>
      <c r="Q270" s="2"/>
      <c r="S270" s="3"/>
      <c r="T270" s="3"/>
      <c r="U270" s="3"/>
      <c r="V270" s="3"/>
      <c r="W270" s="3"/>
      <c r="X270" s="3"/>
      <c r="Y270" s="3"/>
      <c r="Z270" s="3"/>
    </row>
    <row r="271" ht="15.75" customHeight="1">
      <c r="A271" s="3"/>
      <c r="B271" s="2"/>
      <c r="C271" s="2"/>
      <c r="D271" s="474"/>
      <c r="E271" s="464"/>
      <c r="F271" s="2"/>
      <c r="G271" s="2"/>
      <c r="H271" s="2"/>
      <c r="I271" s="2"/>
      <c r="J271" s="2"/>
      <c r="K271" s="2"/>
      <c r="L271" s="2"/>
      <c r="M271" s="2"/>
      <c r="N271" s="2"/>
      <c r="O271" s="2"/>
      <c r="P271" s="2"/>
      <c r="Q271" s="2"/>
      <c r="S271" s="3"/>
      <c r="T271" s="3"/>
      <c r="U271" s="3"/>
      <c r="V271" s="3"/>
      <c r="W271" s="3"/>
      <c r="X271" s="3"/>
      <c r="Y271" s="3"/>
      <c r="Z271" s="3"/>
    </row>
    <row r="272" ht="15.75" customHeight="1">
      <c r="A272" s="3"/>
      <c r="B272" s="2"/>
      <c r="C272" s="2"/>
      <c r="D272" s="474"/>
      <c r="E272" s="464"/>
      <c r="F272" s="2"/>
      <c r="G272" s="2"/>
      <c r="H272" s="2"/>
      <c r="I272" s="2"/>
      <c r="J272" s="2"/>
      <c r="K272" s="2"/>
      <c r="L272" s="2"/>
      <c r="M272" s="2"/>
      <c r="N272" s="2"/>
      <c r="O272" s="2"/>
      <c r="P272" s="2"/>
      <c r="Q272" s="2"/>
      <c r="S272" s="3"/>
      <c r="T272" s="3"/>
      <c r="U272" s="3"/>
      <c r="V272" s="3"/>
      <c r="W272" s="3"/>
      <c r="X272" s="3"/>
      <c r="Y272" s="3"/>
      <c r="Z272" s="3"/>
    </row>
    <row r="273" ht="15.75" customHeight="1">
      <c r="A273" s="3"/>
      <c r="B273" s="2"/>
      <c r="C273" s="2"/>
      <c r="D273" s="474"/>
      <c r="E273" s="464"/>
      <c r="F273" s="2"/>
      <c r="G273" s="2"/>
      <c r="H273" s="2"/>
      <c r="I273" s="2"/>
      <c r="J273" s="2"/>
      <c r="K273" s="2"/>
      <c r="L273" s="2"/>
      <c r="M273" s="2"/>
      <c r="N273" s="2"/>
      <c r="O273" s="2"/>
      <c r="P273" s="2"/>
      <c r="Q273" s="2"/>
      <c r="S273" s="3"/>
      <c r="T273" s="3"/>
      <c r="U273" s="3"/>
      <c r="V273" s="3"/>
      <c r="W273" s="3"/>
      <c r="X273" s="3"/>
      <c r="Y273" s="3"/>
      <c r="Z273" s="3"/>
    </row>
    <row r="274" ht="15.75" customHeight="1">
      <c r="A274" s="3"/>
      <c r="B274" s="2"/>
      <c r="C274" s="2"/>
      <c r="D274" s="474"/>
      <c r="E274" s="464"/>
      <c r="F274" s="2"/>
      <c r="G274" s="2"/>
      <c r="H274" s="2"/>
      <c r="I274" s="2"/>
      <c r="J274" s="2"/>
      <c r="K274" s="2"/>
      <c r="L274" s="2"/>
      <c r="M274" s="2"/>
      <c r="N274" s="2"/>
      <c r="O274" s="2"/>
      <c r="P274" s="2"/>
      <c r="Q274" s="2"/>
      <c r="S274" s="3"/>
      <c r="T274" s="3"/>
      <c r="U274" s="3"/>
      <c r="V274" s="3"/>
      <c r="W274" s="3"/>
      <c r="X274" s="3"/>
      <c r="Y274" s="3"/>
      <c r="Z274" s="3"/>
    </row>
    <row r="275" ht="15.75" customHeight="1">
      <c r="A275" s="3"/>
      <c r="B275" s="2"/>
      <c r="C275" s="2"/>
      <c r="D275" s="474"/>
      <c r="E275" s="464"/>
      <c r="F275" s="2"/>
      <c r="G275" s="2"/>
      <c r="H275" s="2"/>
      <c r="I275" s="2"/>
      <c r="J275" s="2"/>
      <c r="K275" s="2"/>
      <c r="L275" s="2"/>
      <c r="M275" s="2"/>
      <c r="N275" s="2"/>
      <c r="O275" s="2"/>
      <c r="P275" s="2"/>
      <c r="Q275" s="2"/>
      <c r="S275" s="3"/>
      <c r="T275" s="3"/>
      <c r="U275" s="3"/>
      <c r="V275" s="3"/>
      <c r="W275" s="3"/>
      <c r="X275" s="3"/>
      <c r="Y275" s="3"/>
      <c r="Z275" s="3"/>
    </row>
    <row r="276" ht="15.75" customHeight="1">
      <c r="A276" s="3"/>
      <c r="B276" s="2"/>
      <c r="C276" s="2"/>
      <c r="D276" s="474"/>
      <c r="E276" s="464"/>
      <c r="F276" s="2"/>
      <c r="G276" s="2"/>
      <c r="H276" s="2"/>
      <c r="I276" s="2"/>
      <c r="J276" s="2"/>
      <c r="K276" s="2"/>
      <c r="L276" s="2"/>
      <c r="M276" s="2"/>
      <c r="N276" s="2"/>
      <c r="O276" s="2"/>
      <c r="P276" s="2"/>
      <c r="Q276" s="2"/>
      <c r="S276" s="3"/>
      <c r="T276" s="3"/>
      <c r="U276" s="3"/>
      <c r="V276" s="3"/>
      <c r="W276" s="3"/>
      <c r="X276" s="3"/>
      <c r="Y276" s="3"/>
      <c r="Z276" s="3"/>
    </row>
    <row r="277" ht="15.75" customHeight="1">
      <c r="A277" s="3"/>
      <c r="B277" s="2"/>
      <c r="C277" s="2"/>
      <c r="D277" s="474"/>
      <c r="E277" s="464"/>
      <c r="F277" s="2"/>
      <c r="G277" s="2"/>
      <c r="H277" s="2"/>
      <c r="I277" s="2"/>
      <c r="J277" s="2"/>
      <c r="K277" s="2"/>
      <c r="L277" s="2"/>
      <c r="M277" s="2"/>
      <c r="N277" s="2"/>
      <c r="O277" s="2"/>
      <c r="P277" s="2"/>
      <c r="Q277" s="2"/>
      <c r="S277" s="3"/>
      <c r="T277" s="3"/>
      <c r="U277" s="3"/>
      <c r="V277" s="3"/>
      <c r="W277" s="3"/>
      <c r="X277" s="3"/>
      <c r="Y277" s="3"/>
      <c r="Z277" s="3"/>
    </row>
    <row r="278" ht="15.75" customHeight="1">
      <c r="A278" s="3"/>
      <c r="B278" s="2"/>
      <c r="C278" s="2"/>
      <c r="D278" s="474"/>
      <c r="E278" s="464"/>
      <c r="F278" s="2"/>
      <c r="G278" s="2"/>
      <c r="H278" s="2"/>
      <c r="I278" s="2"/>
      <c r="J278" s="2"/>
      <c r="K278" s="2"/>
      <c r="L278" s="2"/>
      <c r="M278" s="2"/>
      <c r="N278" s="2"/>
      <c r="O278" s="2"/>
      <c r="P278" s="2"/>
      <c r="Q278" s="2"/>
      <c r="S278" s="3"/>
      <c r="T278" s="3"/>
      <c r="U278" s="3"/>
      <c r="V278" s="3"/>
      <c r="W278" s="3"/>
      <c r="X278" s="3"/>
      <c r="Y278" s="3"/>
      <c r="Z278" s="3"/>
    </row>
    <row r="279" ht="15.75" customHeight="1">
      <c r="A279" s="3"/>
      <c r="B279" s="2"/>
      <c r="C279" s="2"/>
      <c r="D279" s="474"/>
      <c r="E279" s="464"/>
      <c r="F279" s="2"/>
      <c r="G279" s="2"/>
      <c r="H279" s="2"/>
      <c r="I279" s="2"/>
      <c r="J279" s="2"/>
      <c r="K279" s="2"/>
      <c r="L279" s="2"/>
      <c r="M279" s="2"/>
      <c r="N279" s="2"/>
      <c r="O279" s="2"/>
      <c r="P279" s="2"/>
      <c r="Q279" s="2"/>
      <c r="S279" s="3"/>
      <c r="T279" s="3"/>
      <c r="U279" s="3"/>
      <c r="V279" s="3"/>
      <c r="W279" s="3"/>
      <c r="X279" s="3"/>
      <c r="Y279" s="3"/>
      <c r="Z279" s="3"/>
    </row>
    <row r="280" ht="15.75" customHeight="1">
      <c r="A280" s="3"/>
      <c r="B280" s="2"/>
      <c r="C280" s="2"/>
      <c r="D280" s="474"/>
      <c r="E280" s="464"/>
      <c r="F280" s="2"/>
      <c r="G280" s="2"/>
      <c r="H280" s="2"/>
      <c r="I280" s="2"/>
      <c r="J280" s="2"/>
      <c r="K280" s="2"/>
      <c r="L280" s="2"/>
      <c r="M280" s="2"/>
      <c r="N280" s="2"/>
      <c r="O280" s="2"/>
      <c r="P280" s="2"/>
      <c r="Q280" s="2"/>
      <c r="S280" s="3"/>
      <c r="T280" s="3"/>
      <c r="U280" s="3"/>
      <c r="V280" s="3"/>
      <c r="W280" s="3"/>
      <c r="X280" s="3"/>
      <c r="Y280" s="3"/>
      <c r="Z280" s="3"/>
    </row>
    <row r="281" ht="15.75" customHeight="1">
      <c r="A281" s="3"/>
      <c r="B281" s="2"/>
      <c r="C281" s="2"/>
      <c r="D281" s="474"/>
      <c r="E281" s="464"/>
      <c r="F281" s="2"/>
      <c r="G281" s="2"/>
      <c r="H281" s="2"/>
      <c r="I281" s="2"/>
      <c r="J281" s="2"/>
      <c r="K281" s="2"/>
      <c r="L281" s="2"/>
      <c r="M281" s="2"/>
      <c r="N281" s="2"/>
      <c r="O281" s="2"/>
      <c r="P281" s="2"/>
      <c r="Q281" s="2"/>
      <c r="S281" s="3"/>
      <c r="T281" s="3"/>
      <c r="U281" s="3"/>
      <c r="V281" s="3"/>
      <c r="W281" s="3"/>
      <c r="X281" s="3"/>
      <c r="Y281" s="3"/>
      <c r="Z281" s="3"/>
    </row>
    <row r="282" ht="15.75" customHeight="1">
      <c r="A282" s="3"/>
      <c r="B282" s="2"/>
      <c r="C282" s="2"/>
      <c r="D282" s="474"/>
      <c r="E282" s="464"/>
      <c r="F282" s="2"/>
      <c r="G282" s="2"/>
      <c r="H282" s="2"/>
      <c r="I282" s="2"/>
      <c r="J282" s="2"/>
      <c r="K282" s="2"/>
      <c r="L282" s="2"/>
      <c r="M282" s="2"/>
      <c r="N282" s="2"/>
      <c r="O282" s="2"/>
      <c r="P282" s="2"/>
      <c r="Q282" s="2"/>
      <c r="S282" s="3"/>
      <c r="T282" s="3"/>
      <c r="U282" s="3"/>
      <c r="V282" s="3"/>
      <c r="W282" s="3"/>
      <c r="X282" s="3"/>
      <c r="Y282" s="3"/>
      <c r="Z282" s="3"/>
    </row>
    <row r="283" ht="15.75" customHeight="1">
      <c r="A283" s="3"/>
      <c r="B283" s="2"/>
      <c r="C283" s="2"/>
      <c r="D283" s="474"/>
      <c r="E283" s="464"/>
      <c r="F283" s="2"/>
      <c r="G283" s="2"/>
      <c r="H283" s="2"/>
      <c r="I283" s="2"/>
      <c r="J283" s="2"/>
      <c r="K283" s="2"/>
      <c r="L283" s="2"/>
      <c r="M283" s="2"/>
      <c r="N283" s="2"/>
      <c r="O283" s="2"/>
      <c r="P283" s="2"/>
      <c r="Q283" s="2"/>
      <c r="S283" s="3"/>
      <c r="T283" s="3"/>
      <c r="U283" s="3"/>
      <c r="V283" s="3"/>
      <c r="W283" s="3"/>
      <c r="X283" s="3"/>
      <c r="Y283" s="3"/>
      <c r="Z283" s="3"/>
    </row>
    <row r="284" ht="15.75" customHeight="1">
      <c r="A284" s="3"/>
      <c r="B284" s="2"/>
      <c r="C284" s="2"/>
      <c r="D284" s="474"/>
      <c r="E284" s="464"/>
      <c r="F284" s="2"/>
      <c r="G284" s="2"/>
      <c r="H284" s="2"/>
      <c r="I284" s="2"/>
      <c r="J284" s="2"/>
      <c r="K284" s="2"/>
      <c r="L284" s="2"/>
      <c r="M284" s="2"/>
      <c r="N284" s="2"/>
      <c r="O284" s="2"/>
      <c r="P284" s="2"/>
      <c r="Q284" s="2"/>
      <c r="S284" s="3"/>
      <c r="T284" s="3"/>
      <c r="U284" s="3"/>
      <c r="V284" s="3"/>
      <c r="W284" s="3"/>
      <c r="X284" s="3"/>
      <c r="Y284" s="3"/>
      <c r="Z284" s="3"/>
    </row>
    <row r="285" ht="15.75" customHeight="1">
      <c r="A285" s="3"/>
      <c r="B285" s="2"/>
      <c r="C285" s="2"/>
      <c r="D285" s="474"/>
      <c r="E285" s="464"/>
      <c r="F285" s="2"/>
      <c r="G285" s="2"/>
      <c r="H285" s="2"/>
      <c r="I285" s="2"/>
      <c r="J285" s="2"/>
      <c r="K285" s="2"/>
      <c r="L285" s="2"/>
      <c r="M285" s="2"/>
      <c r="N285" s="2"/>
      <c r="O285" s="2"/>
      <c r="P285" s="2"/>
      <c r="Q285" s="2"/>
      <c r="S285" s="3"/>
      <c r="T285" s="3"/>
      <c r="U285" s="3"/>
      <c r="V285" s="3"/>
      <c r="W285" s="3"/>
      <c r="X285" s="3"/>
      <c r="Y285" s="3"/>
      <c r="Z285" s="3"/>
    </row>
    <row r="286" ht="15.75" customHeight="1">
      <c r="A286" s="3"/>
      <c r="B286" s="2"/>
      <c r="C286" s="2"/>
      <c r="D286" s="474"/>
      <c r="E286" s="464"/>
      <c r="F286" s="2"/>
      <c r="G286" s="2"/>
      <c r="H286" s="2"/>
      <c r="I286" s="2"/>
      <c r="J286" s="2"/>
      <c r="K286" s="2"/>
      <c r="L286" s="2"/>
      <c r="M286" s="2"/>
      <c r="N286" s="2"/>
      <c r="O286" s="2"/>
      <c r="P286" s="2"/>
      <c r="Q286" s="2"/>
      <c r="S286" s="3"/>
      <c r="T286" s="3"/>
      <c r="U286" s="3"/>
      <c r="V286" s="3"/>
      <c r="W286" s="3"/>
      <c r="X286" s="3"/>
      <c r="Y286" s="3"/>
      <c r="Z286" s="3"/>
    </row>
    <row r="287" ht="15.75" customHeight="1">
      <c r="A287" s="3"/>
      <c r="B287" s="2"/>
      <c r="C287" s="2"/>
      <c r="D287" s="474"/>
      <c r="E287" s="464"/>
      <c r="F287" s="2"/>
      <c r="G287" s="2"/>
      <c r="H287" s="2"/>
      <c r="I287" s="2"/>
      <c r="J287" s="2"/>
      <c r="K287" s="2"/>
      <c r="L287" s="2"/>
      <c r="M287" s="2"/>
      <c r="N287" s="2"/>
      <c r="O287" s="2"/>
      <c r="P287" s="2"/>
      <c r="Q287" s="2"/>
      <c r="S287" s="3"/>
      <c r="T287" s="3"/>
      <c r="U287" s="3"/>
      <c r="V287" s="3"/>
      <c r="W287" s="3"/>
      <c r="X287" s="3"/>
      <c r="Y287" s="3"/>
      <c r="Z287" s="3"/>
    </row>
    <row r="288" ht="15.75" customHeight="1">
      <c r="A288" s="3"/>
      <c r="B288" s="2"/>
      <c r="C288" s="2"/>
      <c r="D288" s="474"/>
      <c r="E288" s="464"/>
      <c r="F288" s="2"/>
      <c r="G288" s="2"/>
      <c r="H288" s="2"/>
      <c r="I288" s="2"/>
      <c r="J288" s="2"/>
      <c r="K288" s="2"/>
      <c r="L288" s="2"/>
      <c r="M288" s="2"/>
      <c r="N288" s="2"/>
      <c r="O288" s="2"/>
      <c r="P288" s="2"/>
      <c r="Q288" s="2"/>
      <c r="S288" s="3"/>
      <c r="T288" s="3"/>
      <c r="U288" s="3"/>
      <c r="V288" s="3"/>
      <c r="W288" s="3"/>
      <c r="X288" s="3"/>
      <c r="Y288" s="3"/>
      <c r="Z288" s="3"/>
    </row>
    <row r="289" ht="15.75" customHeight="1">
      <c r="A289" s="3"/>
      <c r="B289" s="2"/>
      <c r="C289" s="2"/>
      <c r="D289" s="474"/>
      <c r="E289" s="464"/>
      <c r="F289" s="2"/>
      <c r="G289" s="2"/>
      <c r="H289" s="2"/>
      <c r="I289" s="2"/>
      <c r="J289" s="2"/>
      <c r="K289" s="2"/>
      <c r="L289" s="2"/>
      <c r="M289" s="2"/>
      <c r="N289" s="2"/>
      <c r="O289" s="2"/>
      <c r="P289" s="2"/>
      <c r="Q289" s="2"/>
      <c r="S289" s="3"/>
      <c r="T289" s="3"/>
      <c r="U289" s="3"/>
      <c r="V289" s="3"/>
      <c r="W289" s="3"/>
      <c r="X289" s="3"/>
      <c r="Y289" s="3"/>
      <c r="Z289" s="3"/>
    </row>
    <row r="290" ht="15.75" customHeight="1">
      <c r="A290" s="3"/>
      <c r="B290" s="2"/>
      <c r="C290" s="2"/>
      <c r="D290" s="474"/>
      <c r="E290" s="464"/>
      <c r="F290" s="2"/>
      <c r="G290" s="2"/>
      <c r="H290" s="2"/>
      <c r="I290" s="2"/>
      <c r="J290" s="2"/>
      <c r="K290" s="2"/>
      <c r="L290" s="2"/>
      <c r="M290" s="2"/>
      <c r="N290" s="2"/>
      <c r="O290" s="2"/>
      <c r="P290" s="2"/>
      <c r="Q290" s="2"/>
      <c r="S290" s="3"/>
      <c r="T290" s="3"/>
      <c r="U290" s="3"/>
      <c r="V290" s="3"/>
      <c r="W290" s="3"/>
      <c r="X290" s="3"/>
      <c r="Y290" s="3"/>
      <c r="Z290" s="3"/>
    </row>
    <row r="291" ht="15.75" customHeight="1">
      <c r="A291" s="3"/>
      <c r="B291" s="2"/>
      <c r="C291" s="2"/>
      <c r="D291" s="474"/>
      <c r="E291" s="464"/>
      <c r="F291" s="2"/>
      <c r="G291" s="2"/>
      <c r="H291" s="2"/>
      <c r="I291" s="2"/>
      <c r="J291" s="2"/>
      <c r="K291" s="2"/>
      <c r="L291" s="2"/>
      <c r="M291" s="2"/>
      <c r="N291" s="2"/>
      <c r="O291" s="2"/>
      <c r="P291" s="2"/>
      <c r="Q291" s="2"/>
      <c r="S291" s="3"/>
      <c r="T291" s="3"/>
      <c r="U291" s="3"/>
      <c r="V291" s="3"/>
      <c r="W291" s="3"/>
      <c r="X291" s="3"/>
      <c r="Y291" s="3"/>
      <c r="Z291" s="3"/>
    </row>
    <row r="292" ht="15.75" customHeight="1">
      <c r="A292" s="3"/>
      <c r="B292" s="2"/>
      <c r="C292" s="2"/>
      <c r="D292" s="474"/>
      <c r="E292" s="464"/>
      <c r="F292" s="2"/>
      <c r="G292" s="2"/>
      <c r="H292" s="2"/>
      <c r="I292" s="2"/>
      <c r="J292" s="2"/>
      <c r="K292" s="2"/>
      <c r="L292" s="2"/>
      <c r="M292" s="2"/>
      <c r="N292" s="2"/>
      <c r="O292" s="2"/>
      <c r="P292" s="2"/>
      <c r="Q292" s="2"/>
      <c r="S292" s="3"/>
      <c r="T292" s="3"/>
      <c r="U292" s="3"/>
      <c r="V292" s="3"/>
      <c r="W292" s="3"/>
      <c r="X292" s="3"/>
      <c r="Y292" s="3"/>
      <c r="Z292" s="3"/>
    </row>
    <row r="293" ht="15.75" customHeight="1">
      <c r="A293" s="3"/>
      <c r="B293" s="2"/>
      <c r="C293" s="2"/>
      <c r="D293" s="474"/>
      <c r="E293" s="464"/>
      <c r="F293" s="2"/>
      <c r="G293" s="2"/>
      <c r="H293" s="2"/>
      <c r="I293" s="2"/>
      <c r="J293" s="2"/>
      <c r="K293" s="2"/>
      <c r="L293" s="2"/>
      <c r="M293" s="2"/>
      <c r="N293" s="2"/>
      <c r="O293" s="2"/>
      <c r="P293" s="2"/>
      <c r="Q293" s="2"/>
      <c r="S293" s="3"/>
      <c r="T293" s="3"/>
      <c r="U293" s="3"/>
      <c r="V293" s="3"/>
      <c r="W293" s="3"/>
      <c r="X293" s="3"/>
      <c r="Y293" s="3"/>
      <c r="Z293" s="3"/>
    </row>
    <row r="294" ht="15.75" customHeight="1">
      <c r="A294" s="3"/>
      <c r="B294" s="2"/>
      <c r="C294" s="2"/>
      <c r="D294" s="474"/>
      <c r="E294" s="464"/>
      <c r="F294" s="2"/>
      <c r="G294" s="2"/>
      <c r="H294" s="2"/>
      <c r="I294" s="2"/>
      <c r="J294" s="2"/>
      <c r="K294" s="2"/>
      <c r="L294" s="2"/>
      <c r="M294" s="2"/>
      <c r="N294" s="2"/>
      <c r="O294" s="2"/>
      <c r="P294" s="2"/>
      <c r="Q294" s="2"/>
      <c r="S294" s="3"/>
      <c r="T294" s="3"/>
      <c r="U294" s="3"/>
      <c r="V294" s="3"/>
      <c r="W294" s="3"/>
      <c r="X294" s="3"/>
      <c r="Y294" s="3"/>
      <c r="Z294" s="3"/>
    </row>
    <row r="295" ht="15.75" customHeight="1">
      <c r="A295" s="3"/>
      <c r="B295" s="2"/>
      <c r="C295" s="2"/>
      <c r="D295" s="474"/>
      <c r="E295" s="464"/>
      <c r="F295" s="2"/>
      <c r="G295" s="2"/>
      <c r="H295" s="2"/>
      <c r="I295" s="2"/>
      <c r="J295" s="2"/>
      <c r="K295" s="2"/>
      <c r="L295" s="2"/>
      <c r="M295" s="2"/>
      <c r="N295" s="2"/>
      <c r="O295" s="2"/>
      <c r="P295" s="2"/>
      <c r="Q295" s="2"/>
      <c r="S295" s="3"/>
      <c r="T295" s="3"/>
      <c r="U295" s="3"/>
      <c r="V295" s="3"/>
      <c r="W295" s="3"/>
      <c r="X295" s="3"/>
      <c r="Y295" s="3"/>
      <c r="Z295" s="3"/>
    </row>
    <row r="296" ht="15.75" customHeight="1">
      <c r="A296" s="3"/>
      <c r="B296" s="2"/>
      <c r="C296" s="2"/>
      <c r="D296" s="474"/>
      <c r="E296" s="464"/>
      <c r="F296" s="2"/>
      <c r="G296" s="2"/>
      <c r="H296" s="2"/>
      <c r="I296" s="2"/>
      <c r="J296" s="2"/>
      <c r="K296" s="2"/>
      <c r="L296" s="2"/>
      <c r="M296" s="2"/>
      <c r="N296" s="2"/>
      <c r="O296" s="2"/>
      <c r="P296" s="2"/>
      <c r="Q296" s="2"/>
      <c r="S296" s="3"/>
      <c r="T296" s="3"/>
      <c r="U296" s="3"/>
      <c r="V296" s="3"/>
      <c r="W296" s="3"/>
      <c r="X296" s="3"/>
      <c r="Y296" s="3"/>
      <c r="Z296" s="3"/>
    </row>
    <row r="297" ht="15.75" customHeight="1">
      <c r="A297" s="3"/>
      <c r="B297" s="2"/>
      <c r="C297" s="2"/>
      <c r="D297" s="474"/>
      <c r="E297" s="464"/>
      <c r="F297" s="2"/>
      <c r="G297" s="2"/>
      <c r="H297" s="2"/>
      <c r="I297" s="2"/>
      <c r="J297" s="2"/>
      <c r="K297" s="2"/>
      <c r="L297" s="2"/>
      <c r="M297" s="2"/>
      <c r="N297" s="2"/>
      <c r="O297" s="2"/>
      <c r="P297" s="2"/>
      <c r="Q297" s="2"/>
      <c r="S297" s="3"/>
      <c r="T297" s="3"/>
      <c r="U297" s="3"/>
      <c r="V297" s="3"/>
      <c r="W297" s="3"/>
      <c r="X297" s="3"/>
      <c r="Y297" s="3"/>
      <c r="Z297" s="3"/>
    </row>
    <row r="298" ht="15.75" customHeight="1">
      <c r="A298" s="3"/>
      <c r="B298" s="2"/>
      <c r="C298" s="2"/>
      <c r="D298" s="474"/>
      <c r="E298" s="464"/>
      <c r="F298" s="2"/>
      <c r="G298" s="2"/>
      <c r="H298" s="2"/>
      <c r="I298" s="2"/>
      <c r="J298" s="2"/>
      <c r="K298" s="2"/>
      <c r="L298" s="2"/>
      <c r="M298" s="2"/>
      <c r="N298" s="2"/>
      <c r="O298" s="2"/>
      <c r="P298" s="2"/>
      <c r="Q298" s="2"/>
      <c r="S298" s="3"/>
      <c r="T298" s="3"/>
      <c r="U298" s="3"/>
      <c r="V298" s="3"/>
      <c r="W298" s="3"/>
      <c r="X298" s="3"/>
      <c r="Y298" s="3"/>
      <c r="Z298" s="3"/>
    </row>
    <row r="299" ht="15.75" customHeight="1">
      <c r="A299" s="3"/>
      <c r="B299" s="2"/>
      <c r="C299" s="2"/>
      <c r="D299" s="474"/>
      <c r="E299" s="464"/>
      <c r="F299" s="2"/>
      <c r="G299" s="2"/>
      <c r="H299" s="2"/>
      <c r="I299" s="2"/>
      <c r="J299" s="2"/>
      <c r="K299" s="2"/>
      <c r="L299" s="2"/>
      <c r="M299" s="2"/>
      <c r="N299" s="2"/>
      <c r="O299" s="2"/>
      <c r="P299" s="2"/>
      <c r="Q299" s="2"/>
      <c r="S299" s="3"/>
      <c r="T299" s="3"/>
      <c r="U299" s="3"/>
      <c r="V299" s="3"/>
      <c r="W299" s="3"/>
      <c r="X299" s="3"/>
      <c r="Y299" s="3"/>
      <c r="Z299" s="3"/>
    </row>
    <row r="300" ht="15.75" customHeight="1">
      <c r="A300" s="3"/>
      <c r="B300" s="2"/>
      <c r="C300" s="2"/>
      <c r="D300" s="474"/>
      <c r="E300" s="464"/>
      <c r="F300" s="2"/>
      <c r="G300" s="2"/>
      <c r="H300" s="2"/>
      <c r="I300" s="2"/>
      <c r="J300" s="2"/>
      <c r="K300" s="2"/>
      <c r="L300" s="2"/>
      <c r="M300" s="2"/>
      <c r="N300" s="2"/>
      <c r="O300" s="2"/>
      <c r="P300" s="2"/>
      <c r="Q300" s="2"/>
      <c r="S300" s="3"/>
      <c r="T300" s="3"/>
      <c r="U300" s="3"/>
      <c r="V300" s="3"/>
      <c r="W300" s="3"/>
      <c r="X300" s="3"/>
      <c r="Y300" s="3"/>
      <c r="Z300" s="3"/>
    </row>
    <row r="301" ht="15.75" customHeight="1">
      <c r="A301" s="3"/>
      <c r="B301" s="2"/>
      <c r="C301" s="2"/>
      <c r="D301" s="474"/>
      <c r="E301" s="464"/>
      <c r="F301" s="2"/>
      <c r="G301" s="2"/>
      <c r="H301" s="2"/>
      <c r="I301" s="2"/>
      <c r="J301" s="2"/>
      <c r="K301" s="2"/>
      <c r="L301" s="2"/>
      <c r="M301" s="2"/>
      <c r="N301" s="2"/>
      <c r="O301" s="2"/>
      <c r="P301" s="2"/>
      <c r="Q301" s="2"/>
      <c r="S301" s="3"/>
      <c r="T301" s="3"/>
      <c r="U301" s="3"/>
      <c r="V301" s="3"/>
      <c r="W301" s="3"/>
      <c r="X301" s="3"/>
      <c r="Y301" s="3"/>
      <c r="Z301" s="3"/>
    </row>
    <row r="302" ht="15.75" customHeight="1">
      <c r="A302" s="3"/>
      <c r="B302" s="2"/>
      <c r="C302" s="2"/>
      <c r="D302" s="474"/>
      <c r="E302" s="464"/>
      <c r="F302" s="2"/>
      <c r="G302" s="2"/>
      <c r="H302" s="2"/>
      <c r="I302" s="2"/>
      <c r="J302" s="2"/>
      <c r="K302" s="2"/>
      <c r="L302" s="2"/>
      <c r="M302" s="2"/>
      <c r="N302" s="2"/>
      <c r="O302" s="2"/>
      <c r="P302" s="2"/>
      <c r="Q302" s="2"/>
      <c r="S302" s="3"/>
      <c r="T302" s="3"/>
      <c r="U302" s="3"/>
      <c r="V302" s="3"/>
      <c r="W302" s="3"/>
      <c r="X302" s="3"/>
      <c r="Y302" s="3"/>
      <c r="Z302" s="3"/>
    </row>
    <row r="303" ht="15.75" customHeight="1">
      <c r="A303" s="3"/>
      <c r="B303" s="2"/>
      <c r="C303" s="2"/>
      <c r="D303" s="474"/>
      <c r="E303" s="464"/>
      <c r="F303" s="2"/>
      <c r="G303" s="2"/>
      <c r="H303" s="2"/>
      <c r="I303" s="2"/>
      <c r="J303" s="2"/>
      <c r="K303" s="2"/>
      <c r="L303" s="2"/>
      <c r="M303" s="2"/>
      <c r="N303" s="2"/>
      <c r="O303" s="2"/>
      <c r="P303" s="2"/>
      <c r="Q303" s="2"/>
      <c r="S303" s="3"/>
      <c r="T303" s="3"/>
      <c r="U303" s="3"/>
      <c r="V303" s="3"/>
      <c r="W303" s="3"/>
      <c r="X303" s="3"/>
      <c r="Y303" s="3"/>
      <c r="Z303" s="3"/>
    </row>
    <row r="304" ht="15.75" customHeight="1">
      <c r="A304" s="3"/>
      <c r="B304" s="2"/>
      <c r="C304" s="2"/>
      <c r="D304" s="474"/>
      <c r="E304" s="464"/>
      <c r="F304" s="2"/>
      <c r="G304" s="2"/>
      <c r="H304" s="2"/>
      <c r="I304" s="2"/>
      <c r="J304" s="2"/>
      <c r="K304" s="2"/>
      <c r="L304" s="2"/>
      <c r="M304" s="2"/>
      <c r="N304" s="2"/>
      <c r="O304" s="2"/>
      <c r="P304" s="2"/>
      <c r="Q304" s="2"/>
      <c r="S304" s="3"/>
      <c r="T304" s="3"/>
      <c r="U304" s="3"/>
      <c r="V304" s="3"/>
      <c r="W304" s="3"/>
      <c r="X304" s="3"/>
      <c r="Y304" s="3"/>
      <c r="Z304" s="3"/>
    </row>
    <row r="305" ht="15.75" customHeight="1">
      <c r="A305" s="3"/>
      <c r="B305" s="2"/>
      <c r="C305" s="2"/>
      <c r="D305" s="474"/>
      <c r="E305" s="464"/>
      <c r="F305" s="2"/>
      <c r="G305" s="2"/>
      <c r="H305" s="2"/>
      <c r="I305" s="2"/>
      <c r="J305" s="2"/>
      <c r="K305" s="2"/>
      <c r="L305" s="2"/>
      <c r="M305" s="2"/>
      <c r="N305" s="2"/>
      <c r="O305" s="2"/>
      <c r="P305" s="2"/>
      <c r="Q305" s="2"/>
      <c r="S305" s="3"/>
      <c r="T305" s="3"/>
      <c r="U305" s="3"/>
      <c r="V305" s="3"/>
      <c r="W305" s="3"/>
      <c r="X305" s="3"/>
      <c r="Y305" s="3"/>
      <c r="Z305" s="3"/>
    </row>
    <row r="306" ht="15.75" customHeight="1">
      <c r="A306" s="3"/>
      <c r="B306" s="2"/>
      <c r="C306" s="2"/>
      <c r="D306" s="474"/>
      <c r="E306" s="464"/>
      <c r="F306" s="2"/>
      <c r="G306" s="2"/>
      <c r="H306" s="2"/>
      <c r="I306" s="2"/>
      <c r="J306" s="2"/>
      <c r="K306" s="2"/>
      <c r="L306" s="2"/>
      <c r="M306" s="2"/>
      <c r="N306" s="2"/>
      <c r="O306" s="2"/>
      <c r="P306" s="2"/>
      <c r="Q306" s="2"/>
      <c r="S306" s="3"/>
      <c r="T306" s="3"/>
      <c r="U306" s="3"/>
      <c r="V306" s="3"/>
      <c r="W306" s="3"/>
      <c r="X306" s="3"/>
      <c r="Y306" s="3"/>
      <c r="Z306" s="3"/>
    </row>
    <row r="307" ht="15.75" customHeight="1">
      <c r="A307" s="3"/>
      <c r="B307" s="2"/>
      <c r="C307" s="2"/>
      <c r="D307" s="474"/>
      <c r="E307" s="464"/>
      <c r="F307" s="2"/>
      <c r="G307" s="2"/>
      <c r="H307" s="2"/>
      <c r="I307" s="2"/>
      <c r="J307" s="2"/>
      <c r="K307" s="2"/>
      <c r="L307" s="2"/>
      <c r="M307" s="2"/>
      <c r="N307" s="2"/>
      <c r="O307" s="2"/>
      <c r="P307" s="2"/>
      <c r="Q307" s="2"/>
      <c r="S307" s="3"/>
      <c r="T307" s="3"/>
      <c r="U307" s="3"/>
      <c r="V307" s="3"/>
      <c r="W307" s="3"/>
      <c r="X307" s="3"/>
      <c r="Y307" s="3"/>
      <c r="Z307" s="3"/>
    </row>
    <row r="308" ht="15.75" customHeight="1">
      <c r="A308" s="3"/>
      <c r="B308" s="2"/>
      <c r="C308" s="2"/>
      <c r="D308" s="474"/>
      <c r="E308" s="464"/>
      <c r="F308" s="2"/>
      <c r="G308" s="2"/>
      <c r="H308" s="2"/>
      <c r="I308" s="2"/>
      <c r="J308" s="2"/>
      <c r="K308" s="2"/>
      <c r="L308" s="2"/>
      <c r="M308" s="2"/>
      <c r="N308" s="2"/>
      <c r="O308" s="2"/>
      <c r="P308" s="2"/>
      <c r="Q308" s="2"/>
      <c r="S308" s="3"/>
      <c r="T308" s="3"/>
      <c r="U308" s="3"/>
      <c r="V308" s="3"/>
      <c r="W308" s="3"/>
      <c r="X308" s="3"/>
      <c r="Y308" s="3"/>
      <c r="Z308" s="3"/>
    </row>
    <row r="309" ht="15.75" customHeight="1">
      <c r="A309" s="3"/>
      <c r="B309" s="2"/>
      <c r="C309" s="2"/>
      <c r="D309" s="474"/>
      <c r="E309" s="464"/>
      <c r="F309" s="2"/>
      <c r="G309" s="2"/>
      <c r="H309" s="2"/>
      <c r="I309" s="2"/>
      <c r="J309" s="2"/>
      <c r="K309" s="2"/>
      <c r="L309" s="2"/>
      <c r="M309" s="2"/>
      <c r="N309" s="2"/>
      <c r="O309" s="2"/>
      <c r="P309" s="2"/>
      <c r="Q309" s="2"/>
      <c r="S309" s="3"/>
      <c r="T309" s="3"/>
      <c r="U309" s="3"/>
      <c r="V309" s="3"/>
      <c r="W309" s="3"/>
      <c r="X309" s="3"/>
      <c r="Y309" s="3"/>
      <c r="Z309" s="3"/>
    </row>
    <row r="310" ht="15.75" customHeight="1">
      <c r="A310" s="3"/>
      <c r="B310" s="2"/>
      <c r="C310" s="2"/>
      <c r="D310" s="474"/>
      <c r="E310" s="464"/>
      <c r="F310" s="2"/>
      <c r="G310" s="2"/>
      <c r="H310" s="2"/>
      <c r="I310" s="2"/>
      <c r="J310" s="2"/>
      <c r="K310" s="2"/>
      <c r="L310" s="2"/>
      <c r="M310" s="2"/>
      <c r="N310" s="2"/>
      <c r="O310" s="2"/>
      <c r="P310" s="2"/>
      <c r="Q310" s="2"/>
      <c r="S310" s="3"/>
      <c r="T310" s="3"/>
      <c r="U310" s="3"/>
      <c r="V310" s="3"/>
      <c r="W310" s="3"/>
      <c r="X310" s="3"/>
      <c r="Y310" s="3"/>
      <c r="Z310" s="3"/>
    </row>
    <row r="311" ht="15.75" customHeight="1">
      <c r="A311" s="3"/>
      <c r="B311" s="2"/>
      <c r="C311" s="2"/>
      <c r="D311" s="474"/>
      <c r="E311" s="464"/>
      <c r="F311" s="2"/>
      <c r="G311" s="2"/>
      <c r="H311" s="2"/>
      <c r="I311" s="2"/>
      <c r="J311" s="2"/>
      <c r="K311" s="2"/>
      <c r="L311" s="2"/>
      <c r="M311" s="2"/>
      <c r="N311" s="2"/>
      <c r="O311" s="2"/>
      <c r="P311" s="2"/>
      <c r="Q311" s="2"/>
      <c r="S311" s="3"/>
      <c r="T311" s="3"/>
      <c r="U311" s="3"/>
      <c r="V311" s="3"/>
      <c r="W311" s="3"/>
      <c r="X311" s="3"/>
      <c r="Y311" s="3"/>
      <c r="Z311" s="3"/>
    </row>
    <row r="312" ht="15.75" customHeight="1">
      <c r="A312" s="3"/>
      <c r="B312" s="2"/>
      <c r="C312" s="2"/>
      <c r="D312" s="474"/>
      <c r="E312" s="464"/>
      <c r="F312" s="2"/>
      <c r="G312" s="2"/>
      <c r="H312" s="2"/>
      <c r="I312" s="2"/>
      <c r="J312" s="2"/>
      <c r="K312" s="2"/>
      <c r="L312" s="2"/>
      <c r="M312" s="2"/>
      <c r="N312" s="2"/>
      <c r="O312" s="2"/>
      <c r="P312" s="2"/>
      <c r="Q312" s="2"/>
      <c r="S312" s="3"/>
      <c r="T312" s="3"/>
      <c r="U312" s="3"/>
      <c r="V312" s="3"/>
      <c r="W312" s="3"/>
      <c r="X312" s="3"/>
      <c r="Y312" s="3"/>
      <c r="Z312" s="3"/>
    </row>
    <row r="313" ht="15.75" customHeight="1">
      <c r="A313" s="3"/>
      <c r="B313" s="2"/>
      <c r="C313" s="2"/>
      <c r="D313" s="474"/>
      <c r="E313" s="464"/>
      <c r="F313" s="2"/>
      <c r="G313" s="2"/>
      <c r="H313" s="2"/>
      <c r="I313" s="2"/>
      <c r="J313" s="2"/>
      <c r="K313" s="2"/>
      <c r="L313" s="2"/>
      <c r="M313" s="2"/>
      <c r="N313" s="2"/>
      <c r="O313" s="2"/>
      <c r="P313" s="2"/>
      <c r="Q313" s="2"/>
      <c r="S313" s="3"/>
      <c r="T313" s="3"/>
      <c r="U313" s="3"/>
      <c r="V313" s="3"/>
      <c r="W313" s="3"/>
      <c r="X313" s="3"/>
      <c r="Y313" s="3"/>
      <c r="Z313" s="3"/>
    </row>
    <row r="314" ht="15.75" customHeight="1">
      <c r="A314" s="3"/>
      <c r="B314" s="2"/>
      <c r="C314" s="2"/>
      <c r="D314" s="474"/>
      <c r="E314" s="464"/>
      <c r="F314" s="2"/>
      <c r="G314" s="2"/>
      <c r="H314" s="2"/>
      <c r="I314" s="2"/>
      <c r="J314" s="2"/>
      <c r="K314" s="2"/>
      <c r="L314" s="2"/>
      <c r="M314" s="2"/>
      <c r="N314" s="2"/>
      <c r="O314" s="2"/>
      <c r="P314" s="2"/>
      <c r="Q314" s="2"/>
      <c r="S314" s="3"/>
      <c r="T314" s="3"/>
      <c r="U314" s="3"/>
      <c r="V314" s="3"/>
      <c r="W314" s="3"/>
      <c r="X314" s="3"/>
      <c r="Y314" s="3"/>
      <c r="Z314" s="3"/>
    </row>
    <row r="315" ht="15.75" customHeight="1">
      <c r="A315" s="3"/>
      <c r="B315" s="2"/>
      <c r="C315" s="2"/>
      <c r="D315" s="474"/>
      <c r="E315" s="464"/>
      <c r="F315" s="2"/>
      <c r="G315" s="2"/>
      <c r="H315" s="2"/>
      <c r="I315" s="2"/>
      <c r="J315" s="2"/>
      <c r="K315" s="2"/>
      <c r="L315" s="2"/>
      <c r="M315" s="2"/>
      <c r="N315" s="2"/>
      <c r="O315" s="2"/>
      <c r="P315" s="2"/>
      <c r="Q315" s="2"/>
      <c r="S315" s="3"/>
      <c r="T315" s="3"/>
      <c r="U315" s="3"/>
      <c r="V315" s="3"/>
      <c r="W315" s="3"/>
      <c r="X315" s="3"/>
      <c r="Y315" s="3"/>
      <c r="Z315" s="3"/>
    </row>
    <row r="316" ht="15.75" customHeight="1">
      <c r="A316" s="3"/>
      <c r="B316" s="2"/>
      <c r="C316" s="2"/>
      <c r="D316" s="474"/>
      <c r="E316" s="464"/>
      <c r="F316" s="2"/>
      <c r="G316" s="2"/>
      <c r="H316" s="2"/>
      <c r="I316" s="2"/>
      <c r="J316" s="2"/>
      <c r="K316" s="2"/>
      <c r="L316" s="2"/>
      <c r="M316" s="2"/>
      <c r="N316" s="2"/>
      <c r="O316" s="2"/>
      <c r="P316" s="2"/>
      <c r="Q316" s="2"/>
      <c r="S316" s="3"/>
      <c r="T316" s="3"/>
      <c r="U316" s="3"/>
      <c r="V316" s="3"/>
      <c r="W316" s="3"/>
      <c r="X316" s="3"/>
      <c r="Y316" s="3"/>
      <c r="Z316" s="3"/>
    </row>
    <row r="317" ht="15.75" customHeight="1">
      <c r="A317" s="3"/>
      <c r="B317" s="2"/>
      <c r="C317" s="2"/>
      <c r="D317" s="474"/>
      <c r="E317" s="464"/>
      <c r="F317" s="2"/>
      <c r="G317" s="2"/>
      <c r="H317" s="2"/>
      <c r="I317" s="2"/>
      <c r="J317" s="2"/>
      <c r="K317" s="2"/>
      <c r="L317" s="2"/>
      <c r="M317" s="2"/>
      <c r="N317" s="2"/>
      <c r="O317" s="2"/>
      <c r="P317" s="2"/>
      <c r="Q317" s="2"/>
      <c r="S317" s="3"/>
      <c r="T317" s="3"/>
      <c r="U317" s="3"/>
      <c r="V317" s="3"/>
      <c r="W317" s="3"/>
      <c r="X317" s="3"/>
      <c r="Y317" s="3"/>
      <c r="Z317" s="3"/>
    </row>
    <row r="318" ht="15.75" customHeight="1">
      <c r="A318" s="3"/>
      <c r="B318" s="2"/>
      <c r="C318" s="2"/>
      <c r="D318" s="474"/>
      <c r="E318" s="464"/>
      <c r="F318" s="2"/>
      <c r="G318" s="2"/>
      <c r="H318" s="2"/>
      <c r="I318" s="2"/>
      <c r="J318" s="2"/>
      <c r="K318" s="2"/>
      <c r="L318" s="2"/>
      <c r="M318" s="2"/>
      <c r="N318" s="2"/>
      <c r="O318" s="2"/>
      <c r="P318" s="2"/>
      <c r="Q318" s="2"/>
      <c r="S318" s="3"/>
      <c r="T318" s="3"/>
      <c r="U318" s="3"/>
      <c r="V318" s="3"/>
      <c r="W318" s="3"/>
      <c r="X318" s="3"/>
      <c r="Y318" s="3"/>
      <c r="Z318" s="3"/>
    </row>
    <row r="319" ht="15.75" customHeight="1">
      <c r="A319" s="3"/>
      <c r="B319" s="2"/>
      <c r="C319" s="2"/>
      <c r="D319" s="474"/>
      <c r="E319" s="464"/>
      <c r="F319" s="2"/>
      <c r="G319" s="2"/>
      <c r="H319" s="2"/>
      <c r="I319" s="2"/>
      <c r="J319" s="2"/>
      <c r="K319" s="2"/>
      <c r="L319" s="2"/>
      <c r="M319" s="2"/>
      <c r="N319" s="2"/>
      <c r="O319" s="2"/>
      <c r="P319" s="2"/>
      <c r="Q319" s="2"/>
      <c r="S319" s="3"/>
      <c r="T319" s="3"/>
      <c r="U319" s="3"/>
      <c r="V319" s="3"/>
      <c r="W319" s="3"/>
      <c r="X319" s="3"/>
      <c r="Y319" s="3"/>
      <c r="Z319" s="3"/>
    </row>
    <row r="320" ht="15.75" customHeight="1">
      <c r="A320" s="3"/>
      <c r="B320" s="2"/>
      <c r="C320" s="2"/>
      <c r="D320" s="474"/>
      <c r="E320" s="464"/>
      <c r="F320" s="2"/>
      <c r="G320" s="2"/>
      <c r="H320" s="2"/>
      <c r="I320" s="2"/>
      <c r="J320" s="2"/>
      <c r="K320" s="2"/>
      <c r="L320" s="2"/>
      <c r="M320" s="2"/>
      <c r="N320" s="2"/>
      <c r="O320" s="2"/>
      <c r="P320" s="2"/>
      <c r="Q320" s="2"/>
      <c r="S320" s="3"/>
      <c r="T320" s="3"/>
      <c r="U320" s="3"/>
      <c r="V320" s="3"/>
      <c r="W320" s="3"/>
      <c r="X320" s="3"/>
      <c r="Y320" s="3"/>
      <c r="Z320" s="3"/>
    </row>
    <row r="321" ht="15.75" customHeight="1">
      <c r="A321" s="3"/>
      <c r="B321" s="2"/>
      <c r="C321" s="2"/>
      <c r="D321" s="474"/>
      <c r="E321" s="464"/>
      <c r="F321" s="2"/>
      <c r="G321" s="2"/>
      <c r="H321" s="2"/>
      <c r="I321" s="2"/>
      <c r="J321" s="2"/>
      <c r="K321" s="2"/>
      <c r="L321" s="2"/>
      <c r="M321" s="2"/>
      <c r="N321" s="2"/>
      <c r="O321" s="2"/>
      <c r="P321" s="2"/>
      <c r="Q321" s="2"/>
      <c r="S321" s="3"/>
      <c r="T321" s="3"/>
      <c r="U321" s="3"/>
      <c r="V321" s="3"/>
      <c r="W321" s="3"/>
      <c r="X321" s="3"/>
      <c r="Y321" s="3"/>
      <c r="Z321" s="3"/>
    </row>
    <row r="322" ht="15.75" customHeight="1">
      <c r="A322" s="3"/>
      <c r="B322" s="2"/>
      <c r="C322" s="2"/>
      <c r="D322" s="474"/>
      <c r="E322" s="464"/>
      <c r="F322" s="2"/>
      <c r="G322" s="2"/>
      <c r="H322" s="2"/>
      <c r="I322" s="2"/>
      <c r="J322" s="2"/>
      <c r="K322" s="2"/>
      <c r="L322" s="2"/>
      <c r="M322" s="2"/>
      <c r="N322" s="2"/>
      <c r="O322" s="2"/>
      <c r="P322" s="2"/>
      <c r="Q322" s="2"/>
      <c r="S322" s="3"/>
      <c r="T322" s="3"/>
      <c r="U322" s="3"/>
      <c r="V322" s="3"/>
      <c r="W322" s="3"/>
      <c r="X322" s="3"/>
      <c r="Y322" s="3"/>
      <c r="Z322" s="3"/>
    </row>
    <row r="323" ht="15.75" customHeight="1">
      <c r="A323" s="3"/>
      <c r="B323" s="2"/>
      <c r="C323" s="2"/>
      <c r="D323" s="474"/>
      <c r="E323" s="464"/>
      <c r="F323" s="2"/>
      <c r="G323" s="2"/>
      <c r="H323" s="2"/>
      <c r="I323" s="2"/>
      <c r="J323" s="2"/>
      <c r="K323" s="2"/>
      <c r="L323" s="2"/>
      <c r="M323" s="2"/>
      <c r="N323" s="2"/>
      <c r="O323" s="2"/>
      <c r="P323" s="2"/>
      <c r="Q323" s="2"/>
      <c r="S323" s="3"/>
      <c r="T323" s="3"/>
      <c r="U323" s="3"/>
      <c r="V323" s="3"/>
      <c r="W323" s="3"/>
      <c r="X323" s="3"/>
      <c r="Y323" s="3"/>
      <c r="Z323" s="3"/>
    </row>
    <row r="324" ht="15.75" customHeight="1">
      <c r="A324" s="3"/>
      <c r="B324" s="2"/>
      <c r="C324" s="2"/>
      <c r="D324" s="474"/>
      <c r="E324" s="464"/>
      <c r="F324" s="2"/>
      <c r="G324" s="2"/>
      <c r="H324" s="2"/>
      <c r="I324" s="2"/>
      <c r="J324" s="2"/>
      <c r="K324" s="2"/>
      <c r="L324" s="2"/>
      <c r="M324" s="2"/>
      <c r="N324" s="2"/>
      <c r="O324" s="2"/>
      <c r="P324" s="2"/>
      <c r="Q324" s="2"/>
      <c r="S324" s="3"/>
      <c r="T324" s="3"/>
      <c r="U324" s="3"/>
      <c r="V324" s="3"/>
      <c r="W324" s="3"/>
      <c r="X324" s="3"/>
      <c r="Y324" s="3"/>
      <c r="Z324" s="3"/>
    </row>
    <row r="325" ht="15.75" customHeight="1">
      <c r="A325" s="3"/>
      <c r="B325" s="2"/>
      <c r="C325" s="2"/>
      <c r="D325" s="474"/>
      <c r="E325" s="464"/>
      <c r="F325" s="2"/>
      <c r="G325" s="2"/>
      <c r="H325" s="2"/>
      <c r="I325" s="2"/>
      <c r="J325" s="2"/>
      <c r="K325" s="2"/>
      <c r="L325" s="2"/>
      <c r="M325" s="2"/>
      <c r="N325" s="2"/>
      <c r="O325" s="2"/>
      <c r="P325" s="2"/>
      <c r="Q325" s="2"/>
      <c r="S325" s="3"/>
      <c r="T325" s="3"/>
      <c r="U325" s="3"/>
      <c r="V325" s="3"/>
      <c r="W325" s="3"/>
      <c r="X325" s="3"/>
      <c r="Y325" s="3"/>
      <c r="Z325" s="3"/>
    </row>
    <row r="326" ht="15.75" customHeight="1">
      <c r="A326" s="3"/>
      <c r="B326" s="2"/>
      <c r="C326" s="2"/>
      <c r="D326" s="474"/>
      <c r="E326" s="464"/>
      <c r="F326" s="2"/>
      <c r="G326" s="2"/>
      <c r="H326" s="2"/>
      <c r="I326" s="2"/>
      <c r="J326" s="2"/>
      <c r="K326" s="2"/>
      <c r="L326" s="2"/>
      <c r="M326" s="2"/>
      <c r="N326" s="2"/>
      <c r="O326" s="2"/>
      <c r="P326" s="2"/>
      <c r="Q326" s="2"/>
      <c r="S326" s="3"/>
      <c r="T326" s="3"/>
      <c r="U326" s="3"/>
      <c r="V326" s="3"/>
      <c r="W326" s="3"/>
      <c r="X326" s="3"/>
      <c r="Y326" s="3"/>
      <c r="Z326" s="3"/>
    </row>
    <row r="327" ht="15.75" customHeight="1">
      <c r="A327" s="3"/>
      <c r="B327" s="2"/>
      <c r="C327" s="2"/>
      <c r="D327" s="474"/>
      <c r="E327" s="464"/>
      <c r="F327" s="2"/>
      <c r="G327" s="2"/>
      <c r="H327" s="2"/>
      <c r="I327" s="2"/>
      <c r="J327" s="2"/>
      <c r="K327" s="2"/>
      <c r="L327" s="2"/>
      <c r="M327" s="2"/>
      <c r="N327" s="2"/>
      <c r="O327" s="2"/>
      <c r="P327" s="2"/>
      <c r="Q327" s="2"/>
      <c r="S327" s="3"/>
      <c r="T327" s="3"/>
      <c r="U327" s="3"/>
      <c r="V327" s="3"/>
      <c r="W327" s="3"/>
      <c r="X327" s="3"/>
      <c r="Y327" s="3"/>
      <c r="Z327" s="3"/>
    </row>
    <row r="328" ht="15.75" customHeight="1">
      <c r="A328" s="3"/>
      <c r="B328" s="2"/>
      <c r="C328" s="2"/>
      <c r="D328" s="474"/>
      <c r="E328" s="464"/>
      <c r="F328" s="2"/>
      <c r="G328" s="2"/>
      <c r="H328" s="2"/>
      <c r="I328" s="2"/>
      <c r="J328" s="2"/>
      <c r="K328" s="2"/>
      <c r="L328" s="2"/>
      <c r="M328" s="2"/>
      <c r="N328" s="2"/>
      <c r="O328" s="2"/>
      <c r="P328" s="2"/>
      <c r="Q328" s="2"/>
      <c r="S328" s="3"/>
      <c r="T328" s="3"/>
      <c r="U328" s="3"/>
      <c r="V328" s="3"/>
      <c r="W328" s="3"/>
      <c r="X328" s="3"/>
      <c r="Y328" s="3"/>
      <c r="Z328" s="3"/>
    </row>
    <row r="329" ht="15.75" customHeight="1">
      <c r="A329" s="3"/>
      <c r="B329" s="2"/>
      <c r="C329" s="2"/>
      <c r="D329" s="474"/>
      <c r="E329" s="464"/>
      <c r="F329" s="2"/>
      <c r="G329" s="2"/>
      <c r="H329" s="2"/>
      <c r="I329" s="2"/>
      <c r="J329" s="2"/>
      <c r="K329" s="2"/>
      <c r="L329" s="2"/>
      <c r="M329" s="2"/>
      <c r="N329" s="2"/>
      <c r="O329" s="2"/>
      <c r="P329" s="2"/>
      <c r="Q329" s="2"/>
      <c r="S329" s="3"/>
      <c r="T329" s="3"/>
      <c r="U329" s="3"/>
      <c r="V329" s="3"/>
      <c r="W329" s="3"/>
      <c r="X329" s="3"/>
      <c r="Y329" s="3"/>
      <c r="Z329" s="3"/>
    </row>
    <row r="330" ht="15.75" customHeight="1">
      <c r="A330" s="3"/>
      <c r="B330" s="2"/>
      <c r="C330" s="2"/>
      <c r="D330" s="474"/>
      <c r="E330" s="464"/>
      <c r="F330" s="2"/>
      <c r="G330" s="2"/>
      <c r="H330" s="2"/>
      <c r="I330" s="2"/>
      <c r="J330" s="2"/>
      <c r="K330" s="2"/>
      <c r="L330" s="2"/>
      <c r="M330" s="2"/>
      <c r="N330" s="2"/>
      <c r="O330" s="2"/>
      <c r="P330" s="2"/>
      <c r="Q330" s="2"/>
      <c r="S330" s="3"/>
      <c r="T330" s="3"/>
      <c r="U330" s="3"/>
      <c r="V330" s="3"/>
      <c r="W330" s="3"/>
      <c r="X330" s="3"/>
      <c r="Y330" s="3"/>
      <c r="Z330" s="3"/>
    </row>
    <row r="331" ht="15.75" customHeight="1">
      <c r="A331" s="3"/>
      <c r="B331" s="2"/>
      <c r="C331" s="2"/>
      <c r="D331" s="474"/>
      <c r="E331" s="464"/>
      <c r="F331" s="2"/>
      <c r="G331" s="2"/>
      <c r="H331" s="2"/>
      <c r="I331" s="2"/>
      <c r="J331" s="2"/>
      <c r="K331" s="2"/>
      <c r="L331" s="2"/>
      <c r="M331" s="2"/>
      <c r="N331" s="2"/>
      <c r="O331" s="2"/>
      <c r="P331" s="2"/>
      <c r="Q331" s="2"/>
      <c r="S331" s="3"/>
      <c r="T331" s="3"/>
      <c r="U331" s="3"/>
      <c r="V331" s="3"/>
      <c r="W331" s="3"/>
      <c r="X331" s="3"/>
      <c r="Y331" s="3"/>
      <c r="Z331" s="3"/>
    </row>
    <row r="332" ht="15.75" customHeight="1">
      <c r="A332" s="3"/>
      <c r="B332" s="2"/>
      <c r="C332" s="2"/>
      <c r="D332" s="474"/>
      <c r="E332" s="464"/>
      <c r="F332" s="2"/>
      <c r="G332" s="2"/>
      <c r="H332" s="2"/>
      <c r="I332" s="2"/>
      <c r="J332" s="2"/>
      <c r="K332" s="2"/>
      <c r="L332" s="2"/>
      <c r="M332" s="2"/>
      <c r="N332" s="2"/>
      <c r="O332" s="2"/>
      <c r="P332" s="2"/>
      <c r="Q332" s="2"/>
      <c r="S332" s="3"/>
      <c r="T332" s="3"/>
      <c r="U332" s="3"/>
      <c r="V332" s="3"/>
      <c r="W332" s="3"/>
      <c r="X332" s="3"/>
      <c r="Y332" s="3"/>
      <c r="Z332" s="3"/>
    </row>
    <row r="333" ht="15.75" customHeight="1">
      <c r="A333" s="3"/>
      <c r="B333" s="2"/>
      <c r="C333" s="2"/>
      <c r="D333" s="474"/>
      <c r="E333" s="464"/>
      <c r="F333" s="2"/>
      <c r="G333" s="2"/>
      <c r="H333" s="2"/>
      <c r="I333" s="2"/>
      <c r="J333" s="2"/>
      <c r="K333" s="2"/>
      <c r="L333" s="2"/>
      <c r="M333" s="2"/>
      <c r="N333" s="2"/>
      <c r="O333" s="2"/>
      <c r="P333" s="2"/>
      <c r="Q333" s="2"/>
      <c r="S333" s="3"/>
      <c r="T333" s="3"/>
      <c r="U333" s="3"/>
      <c r="V333" s="3"/>
      <c r="W333" s="3"/>
      <c r="X333" s="3"/>
      <c r="Y333" s="3"/>
      <c r="Z333" s="3"/>
    </row>
    <row r="334" ht="15.75" customHeight="1">
      <c r="A334" s="3"/>
      <c r="B334" s="2"/>
      <c r="C334" s="2"/>
      <c r="D334" s="474"/>
      <c r="E334" s="464"/>
      <c r="F334" s="2"/>
      <c r="G334" s="2"/>
      <c r="H334" s="2"/>
      <c r="I334" s="2"/>
      <c r="J334" s="2"/>
      <c r="K334" s="2"/>
      <c r="L334" s="2"/>
      <c r="M334" s="2"/>
      <c r="N334" s="2"/>
      <c r="O334" s="2"/>
      <c r="P334" s="2"/>
      <c r="Q334" s="2"/>
      <c r="S334" s="3"/>
      <c r="T334" s="3"/>
      <c r="U334" s="3"/>
      <c r="V334" s="3"/>
      <c r="W334" s="3"/>
      <c r="X334" s="3"/>
      <c r="Y334" s="3"/>
      <c r="Z334" s="3"/>
    </row>
    <row r="335" ht="15.75" customHeight="1">
      <c r="A335" s="3"/>
      <c r="B335" s="2"/>
      <c r="C335" s="2"/>
      <c r="D335" s="474"/>
      <c r="E335" s="464"/>
      <c r="F335" s="2"/>
      <c r="G335" s="2"/>
      <c r="H335" s="2"/>
      <c r="I335" s="2"/>
      <c r="J335" s="2"/>
      <c r="K335" s="2"/>
      <c r="L335" s="2"/>
      <c r="M335" s="2"/>
      <c r="N335" s="2"/>
      <c r="O335" s="2"/>
      <c r="P335" s="2"/>
      <c r="Q335" s="2"/>
      <c r="S335" s="3"/>
      <c r="T335" s="3"/>
      <c r="U335" s="3"/>
      <c r="V335" s="3"/>
      <c r="W335" s="3"/>
      <c r="X335" s="3"/>
      <c r="Y335" s="3"/>
      <c r="Z335" s="3"/>
    </row>
    <row r="336" ht="15.75" customHeight="1">
      <c r="A336" s="3"/>
      <c r="B336" s="2"/>
      <c r="C336" s="2"/>
      <c r="D336" s="474"/>
      <c r="E336" s="464"/>
      <c r="F336" s="2"/>
      <c r="G336" s="2"/>
      <c r="H336" s="2"/>
      <c r="I336" s="2"/>
      <c r="J336" s="2"/>
      <c r="K336" s="2"/>
      <c r="L336" s="2"/>
      <c r="M336" s="2"/>
      <c r="N336" s="2"/>
      <c r="O336" s="2"/>
      <c r="P336" s="2"/>
      <c r="Q336" s="2"/>
      <c r="S336" s="3"/>
      <c r="T336" s="3"/>
      <c r="U336" s="3"/>
      <c r="V336" s="3"/>
      <c r="W336" s="3"/>
      <c r="X336" s="3"/>
      <c r="Y336" s="3"/>
      <c r="Z336" s="3"/>
    </row>
    <row r="337" ht="15.75" customHeight="1">
      <c r="A337" s="3"/>
      <c r="B337" s="2"/>
      <c r="C337" s="2"/>
      <c r="D337" s="474"/>
      <c r="E337" s="464"/>
      <c r="F337" s="2"/>
      <c r="G337" s="2"/>
      <c r="H337" s="2"/>
      <c r="I337" s="2"/>
      <c r="J337" s="2"/>
      <c r="K337" s="2"/>
      <c r="L337" s="2"/>
      <c r="M337" s="2"/>
      <c r="N337" s="2"/>
      <c r="O337" s="2"/>
      <c r="P337" s="2"/>
      <c r="Q337" s="2"/>
      <c r="S337" s="3"/>
      <c r="T337" s="3"/>
      <c r="U337" s="3"/>
      <c r="V337" s="3"/>
      <c r="W337" s="3"/>
      <c r="X337" s="3"/>
      <c r="Y337" s="3"/>
      <c r="Z337" s="3"/>
    </row>
    <row r="338" ht="15.75" customHeight="1">
      <c r="A338" s="3"/>
      <c r="B338" s="2"/>
      <c r="C338" s="2"/>
      <c r="D338" s="474"/>
      <c r="E338" s="464"/>
      <c r="F338" s="2"/>
      <c r="G338" s="2"/>
      <c r="H338" s="2"/>
      <c r="I338" s="2"/>
      <c r="J338" s="2"/>
      <c r="K338" s="2"/>
      <c r="L338" s="2"/>
      <c r="M338" s="2"/>
      <c r="N338" s="2"/>
      <c r="O338" s="2"/>
      <c r="P338" s="2"/>
      <c r="Q338" s="2"/>
      <c r="S338" s="3"/>
      <c r="T338" s="3"/>
      <c r="U338" s="3"/>
      <c r="V338" s="3"/>
      <c r="W338" s="3"/>
      <c r="X338" s="3"/>
      <c r="Y338" s="3"/>
      <c r="Z338" s="3"/>
    </row>
    <row r="339" ht="15.75" customHeight="1">
      <c r="A339" s="3"/>
      <c r="B339" s="2"/>
      <c r="C339" s="2"/>
      <c r="D339" s="474"/>
      <c r="E339" s="464"/>
      <c r="F339" s="2"/>
      <c r="G339" s="2"/>
      <c r="H339" s="2"/>
      <c r="I339" s="2"/>
      <c r="J339" s="2"/>
      <c r="K339" s="2"/>
      <c r="L339" s="2"/>
      <c r="M339" s="2"/>
      <c r="N339" s="2"/>
      <c r="O339" s="2"/>
      <c r="P339" s="2"/>
      <c r="Q339" s="2"/>
      <c r="S339" s="3"/>
      <c r="T339" s="3"/>
      <c r="U339" s="3"/>
      <c r="V339" s="3"/>
      <c r="W339" s="3"/>
      <c r="X339" s="3"/>
      <c r="Y339" s="3"/>
      <c r="Z339" s="3"/>
    </row>
    <row r="340" ht="15.75" customHeight="1">
      <c r="A340" s="3"/>
      <c r="B340" s="2"/>
      <c r="C340" s="2"/>
      <c r="D340" s="474"/>
      <c r="E340" s="464"/>
      <c r="F340" s="2"/>
      <c r="G340" s="2"/>
      <c r="H340" s="2"/>
      <c r="I340" s="2"/>
      <c r="J340" s="2"/>
      <c r="K340" s="2"/>
      <c r="L340" s="2"/>
      <c r="M340" s="2"/>
      <c r="N340" s="2"/>
      <c r="O340" s="2"/>
      <c r="P340" s="2"/>
      <c r="Q340" s="2"/>
      <c r="S340" s="3"/>
      <c r="T340" s="3"/>
      <c r="U340" s="3"/>
      <c r="V340" s="3"/>
      <c r="W340" s="3"/>
      <c r="X340" s="3"/>
      <c r="Y340" s="3"/>
      <c r="Z340" s="3"/>
    </row>
    <row r="341" ht="15.75" customHeight="1">
      <c r="A341" s="3"/>
      <c r="B341" s="2"/>
      <c r="C341" s="2"/>
      <c r="D341" s="474"/>
      <c r="E341" s="464"/>
      <c r="F341" s="2"/>
      <c r="G341" s="2"/>
      <c r="H341" s="2"/>
      <c r="I341" s="2"/>
      <c r="J341" s="2"/>
      <c r="K341" s="2"/>
      <c r="L341" s="2"/>
      <c r="M341" s="2"/>
      <c r="N341" s="2"/>
      <c r="O341" s="2"/>
      <c r="P341" s="2"/>
      <c r="Q341" s="2"/>
      <c r="S341" s="3"/>
      <c r="T341" s="3"/>
      <c r="U341" s="3"/>
      <c r="V341" s="3"/>
      <c r="W341" s="3"/>
      <c r="X341" s="3"/>
      <c r="Y341" s="3"/>
      <c r="Z341" s="3"/>
    </row>
    <row r="342" ht="15.75" customHeight="1">
      <c r="A342" s="3"/>
      <c r="B342" s="2"/>
      <c r="C342" s="2"/>
      <c r="D342" s="474"/>
      <c r="E342" s="464"/>
      <c r="F342" s="2"/>
      <c r="G342" s="2"/>
      <c r="H342" s="2"/>
      <c r="I342" s="2"/>
      <c r="J342" s="2"/>
      <c r="K342" s="2"/>
      <c r="L342" s="2"/>
      <c r="M342" s="2"/>
      <c r="N342" s="2"/>
      <c r="O342" s="2"/>
      <c r="P342" s="2"/>
      <c r="Q342" s="2"/>
      <c r="S342" s="3"/>
      <c r="T342" s="3"/>
      <c r="U342" s="3"/>
      <c r="V342" s="3"/>
      <c r="W342" s="3"/>
      <c r="X342" s="3"/>
      <c r="Y342" s="3"/>
      <c r="Z342" s="3"/>
    </row>
    <row r="343" ht="15.75" customHeight="1">
      <c r="A343" s="3"/>
      <c r="B343" s="2"/>
      <c r="C343" s="2"/>
      <c r="D343" s="474"/>
      <c r="E343" s="464"/>
      <c r="F343" s="2"/>
      <c r="G343" s="2"/>
      <c r="H343" s="2"/>
      <c r="I343" s="2"/>
      <c r="J343" s="2"/>
      <c r="K343" s="2"/>
      <c r="L343" s="2"/>
      <c r="M343" s="2"/>
      <c r="N343" s="2"/>
      <c r="O343" s="2"/>
      <c r="P343" s="2"/>
      <c r="Q343" s="2"/>
      <c r="S343" s="3"/>
      <c r="T343" s="3"/>
      <c r="U343" s="3"/>
      <c r="V343" s="3"/>
      <c r="W343" s="3"/>
      <c r="X343" s="3"/>
      <c r="Y343" s="3"/>
      <c r="Z343" s="3"/>
    </row>
    <row r="344" ht="15.75" customHeight="1">
      <c r="A344" s="3"/>
      <c r="B344" s="2"/>
      <c r="C344" s="2"/>
      <c r="D344" s="474"/>
      <c r="E344" s="464"/>
      <c r="F344" s="2"/>
      <c r="G344" s="2"/>
      <c r="H344" s="2"/>
      <c r="I344" s="2"/>
      <c r="J344" s="2"/>
      <c r="K344" s="2"/>
      <c r="L344" s="2"/>
      <c r="M344" s="2"/>
      <c r="N344" s="2"/>
      <c r="O344" s="2"/>
      <c r="P344" s="2"/>
      <c r="Q344" s="2"/>
      <c r="S344" s="3"/>
      <c r="T344" s="3"/>
      <c r="U344" s="3"/>
      <c r="V344" s="3"/>
      <c r="W344" s="3"/>
      <c r="X344" s="3"/>
      <c r="Y344" s="3"/>
      <c r="Z344" s="3"/>
    </row>
    <row r="345" ht="15.75" customHeight="1">
      <c r="A345" s="3"/>
      <c r="B345" s="2"/>
      <c r="C345" s="2"/>
      <c r="D345" s="474"/>
      <c r="E345" s="464"/>
      <c r="F345" s="2"/>
      <c r="G345" s="2"/>
      <c r="H345" s="2"/>
      <c r="I345" s="2"/>
      <c r="J345" s="2"/>
      <c r="K345" s="2"/>
      <c r="L345" s="2"/>
      <c r="M345" s="2"/>
      <c r="N345" s="2"/>
      <c r="O345" s="2"/>
      <c r="P345" s="2"/>
      <c r="Q345" s="2"/>
      <c r="S345" s="3"/>
      <c r="T345" s="3"/>
      <c r="U345" s="3"/>
      <c r="V345" s="3"/>
      <c r="W345" s="3"/>
      <c r="X345" s="3"/>
      <c r="Y345" s="3"/>
      <c r="Z345" s="3"/>
    </row>
    <row r="346" ht="15.75" customHeight="1">
      <c r="A346" s="3"/>
      <c r="B346" s="2"/>
      <c r="C346" s="2"/>
      <c r="D346" s="474"/>
      <c r="E346" s="464"/>
      <c r="F346" s="2"/>
      <c r="G346" s="2"/>
      <c r="H346" s="2"/>
      <c r="I346" s="2"/>
      <c r="J346" s="2"/>
      <c r="K346" s="2"/>
      <c r="L346" s="2"/>
      <c r="M346" s="2"/>
      <c r="N346" s="2"/>
      <c r="O346" s="2"/>
      <c r="P346" s="2"/>
      <c r="Q346" s="2"/>
      <c r="S346" s="3"/>
      <c r="T346" s="3"/>
      <c r="U346" s="3"/>
      <c r="V346" s="3"/>
      <c r="W346" s="3"/>
      <c r="X346" s="3"/>
      <c r="Y346" s="3"/>
      <c r="Z346" s="3"/>
    </row>
    <row r="347" ht="15.75" customHeight="1">
      <c r="A347" s="3"/>
      <c r="B347" s="2"/>
      <c r="C347" s="2"/>
      <c r="D347" s="474"/>
      <c r="E347" s="464"/>
      <c r="F347" s="2"/>
      <c r="G347" s="2"/>
      <c r="H347" s="2"/>
      <c r="I347" s="2"/>
      <c r="J347" s="2"/>
      <c r="K347" s="2"/>
      <c r="L347" s="2"/>
      <c r="M347" s="2"/>
      <c r="N347" s="2"/>
      <c r="O347" s="2"/>
      <c r="P347" s="2"/>
      <c r="Q347" s="2"/>
      <c r="S347" s="3"/>
      <c r="T347" s="3"/>
      <c r="U347" s="3"/>
      <c r="V347" s="3"/>
      <c r="W347" s="3"/>
      <c r="X347" s="3"/>
      <c r="Y347" s="3"/>
      <c r="Z347" s="3"/>
    </row>
    <row r="348" ht="15.75" customHeight="1">
      <c r="A348" s="3"/>
      <c r="B348" s="2"/>
      <c r="C348" s="2"/>
      <c r="D348" s="474"/>
      <c r="E348" s="464"/>
      <c r="F348" s="2"/>
      <c r="G348" s="2"/>
      <c r="H348" s="2"/>
      <c r="I348" s="2"/>
      <c r="J348" s="2"/>
      <c r="K348" s="2"/>
      <c r="L348" s="2"/>
      <c r="M348" s="2"/>
      <c r="N348" s="2"/>
      <c r="O348" s="2"/>
      <c r="P348" s="2"/>
      <c r="Q348" s="2"/>
      <c r="S348" s="3"/>
      <c r="T348" s="3"/>
      <c r="U348" s="3"/>
      <c r="V348" s="3"/>
      <c r="W348" s="3"/>
      <c r="X348" s="3"/>
      <c r="Y348" s="3"/>
      <c r="Z348" s="3"/>
    </row>
    <row r="349" ht="15.75" customHeight="1">
      <c r="A349" s="3"/>
      <c r="B349" s="2"/>
      <c r="C349" s="2"/>
      <c r="D349" s="474"/>
      <c r="E349" s="464"/>
      <c r="F349" s="2"/>
      <c r="G349" s="2"/>
      <c r="H349" s="2"/>
      <c r="I349" s="2"/>
      <c r="J349" s="2"/>
      <c r="K349" s="2"/>
      <c r="L349" s="2"/>
      <c r="M349" s="2"/>
      <c r="N349" s="2"/>
      <c r="O349" s="2"/>
      <c r="P349" s="2"/>
      <c r="Q349" s="2"/>
      <c r="S349" s="3"/>
      <c r="T349" s="3"/>
      <c r="U349" s="3"/>
      <c r="V349" s="3"/>
      <c r="W349" s="3"/>
      <c r="X349" s="3"/>
      <c r="Y349" s="3"/>
      <c r="Z349" s="3"/>
    </row>
    <row r="350" ht="15.75" customHeight="1">
      <c r="A350" s="3"/>
      <c r="B350" s="2"/>
      <c r="C350" s="2"/>
      <c r="D350" s="474"/>
      <c r="E350" s="464"/>
      <c r="F350" s="2"/>
      <c r="G350" s="2"/>
      <c r="H350" s="2"/>
      <c r="I350" s="2"/>
      <c r="J350" s="2"/>
      <c r="K350" s="2"/>
      <c r="L350" s="2"/>
      <c r="M350" s="2"/>
      <c r="N350" s="2"/>
      <c r="O350" s="2"/>
      <c r="P350" s="2"/>
      <c r="Q350" s="2"/>
      <c r="S350" s="3"/>
      <c r="T350" s="3"/>
      <c r="U350" s="3"/>
      <c r="V350" s="3"/>
      <c r="W350" s="3"/>
      <c r="X350" s="3"/>
      <c r="Y350" s="3"/>
      <c r="Z350" s="3"/>
    </row>
    <row r="351" ht="15.75" customHeight="1">
      <c r="A351" s="3"/>
      <c r="B351" s="2"/>
      <c r="C351" s="2"/>
      <c r="D351" s="474"/>
      <c r="E351" s="464"/>
      <c r="F351" s="2"/>
      <c r="G351" s="2"/>
      <c r="H351" s="2"/>
      <c r="I351" s="2"/>
      <c r="J351" s="2"/>
      <c r="K351" s="2"/>
      <c r="L351" s="2"/>
      <c r="M351" s="2"/>
      <c r="N351" s="2"/>
      <c r="O351" s="2"/>
      <c r="P351" s="2"/>
      <c r="Q351" s="2"/>
      <c r="S351" s="3"/>
      <c r="T351" s="3"/>
      <c r="U351" s="3"/>
      <c r="V351" s="3"/>
      <c r="W351" s="3"/>
      <c r="X351" s="3"/>
      <c r="Y351" s="3"/>
      <c r="Z351" s="3"/>
    </row>
    <row r="352" ht="15.75" customHeight="1">
      <c r="A352" s="3"/>
      <c r="B352" s="2"/>
      <c r="C352" s="2"/>
      <c r="D352" s="474"/>
      <c r="E352" s="464"/>
      <c r="F352" s="2"/>
      <c r="G352" s="2"/>
      <c r="H352" s="2"/>
      <c r="I352" s="2"/>
      <c r="J352" s="2"/>
      <c r="K352" s="2"/>
      <c r="L352" s="2"/>
      <c r="M352" s="2"/>
      <c r="N352" s="2"/>
      <c r="O352" s="2"/>
      <c r="P352" s="2"/>
      <c r="Q352" s="2"/>
      <c r="S352" s="3"/>
      <c r="T352" s="3"/>
      <c r="U352" s="3"/>
      <c r="V352" s="3"/>
      <c r="W352" s="3"/>
      <c r="X352" s="3"/>
      <c r="Y352" s="3"/>
      <c r="Z352" s="3"/>
    </row>
    <row r="353" ht="15.75" customHeight="1">
      <c r="A353" s="3"/>
      <c r="B353" s="2"/>
      <c r="C353" s="2"/>
      <c r="D353" s="474"/>
      <c r="E353" s="464"/>
      <c r="F353" s="2"/>
      <c r="G353" s="2"/>
      <c r="H353" s="2"/>
      <c r="I353" s="2"/>
      <c r="J353" s="2"/>
      <c r="K353" s="2"/>
      <c r="L353" s="2"/>
      <c r="M353" s="2"/>
      <c r="N353" s="2"/>
      <c r="O353" s="2"/>
      <c r="P353" s="2"/>
      <c r="Q353" s="2"/>
      <c r="S353" s="3"/>
      <c r="T353" s="3"/>
      <c r="U353" s="3"/>
      <c r="V353" s="3"/>
      <c r="W353" s="3"/>
      <c r="X353" s="3"/>
      <c r="Y353" s="3"/>
      <c r="Z353" s="3"/>
    </row>
    <row r="354" ht="15.75" customHeight="1">
      <c r="A354" s="3"/>
      <c r="B354" s="2"/>
      <c r="C354" s="2"/>
      <c r="D354" s="474"/>
      <c r="E354" s="464"/>
      <c r="F354" s="2"/>
      <c r="G354" s="2"/>
      <c r="H354" s="2"/>
      <c r="I354" s="2"/>
      <c r="J354" s="2"/>
      <c r="K354" s="2"/>
      <c r="L354" s="2"/>
      <c r="M354" s="2"/>
      <c r="N354" s="2"/>
      <c r="O354" s="2"/>
      <c r="P354" s="2"/>
      <c r="Q354" s="2"/>
      <c r="S354" s="3"/>
      <c r="T354" s="3"/>
      <c r="U354" s="3"/>
      <c r="V354" s="3"/>
      <c r="W354" s="3"/>
      <c r="X354" s="3"/>
      <c r="Y354" s="3"/>
      <c r="Z354" s="3"/>
    </row>
    <row r="355" ht="15.75" customHeight="1">
      <c r="A355" s="3"/>
      <c r="B355" s="2"/>
      <c r="C355" s="2"/>
      <c r="D355" s="474"/>
      <c r="E355" s="464"/>
      <c r="F355" s="2"/>
      <c r="G355" s="2"/>
      <c r="H355" s="2"/>
      <c r="I355" s="2"/>
      <c r="J355" s="2"/>
      <c r="K355" s="2"/>
      <c r="L355" s="2"/>
      <c r="M355" s="2"/>
      <c r="N355" s="2"/>
      <c r="O355" s="2"/>
      <c r="P355" s="2"/>
      <c r="Q355" s="2"/>
      <c r="S355" s="3"/>
      <c r="T355" s="3"/>
      <c r="U355" s="3"/>
      <c r="V355" s="3"/>
      <c r="W355" s="3"/>
      <c r="X355" s="3"/>
      <c r="Y355" s="3"/>
      <c r="Z355" s="3"/>
    </row>
    <row r="356" ht="15.75" customHeight="1">
      <c r="A356" s="3"/>
      <c r="B356" s="2"/>
      <c r="C356" s="2"/>
      <c r="D356" s="474"/>
      <c r="E356" s="464"/>
      <c r="F356" s="2"/>
      <c r="G356" s="2"/>
      <c r="H356" s="2"/>
      <c r="I356" s="2"/>
      <c r="J356" s="2"/>
      <c r="K356" s="2"/>
      <c r="L356" s="2"/>
      <c r="M356" s="2"/>
      <c r="N356" s="2"/>
      <c r="O356" s="2"/>
      <c r="P356" s="2"/>
      <c r="Q356" s="2"/>
      <c r="S356" s="3"/>
      <c r="T356" s="3"/>
      <c r="U356" s="3"/>
      <c r="V356" s="3"/>
      <c r="W356" s="3"/>
      <c r="X356" s="3"/>
      <c r="Y356" s="3"/>
      <c r="Z356" s="3"/>
    </row>
    <row r="357" ht="15.75" customHeight="1">
      <c r="A357" s="3"/>
      <c r="B357" s="2"/>
      <c r="C357" s="2"/>
      <c r="D357" s="474"/>
      <c r="E357" s="464"/>
      <c r="F357" s="2"/>
      <c r="G357" s="2"/>
      <c r="H357" s="2"/>
      <c r="I357" s="2"/>
      <c r="J357" s="2"/>
      <c r="K357" s="2"/>
      <c r="L357" s="2"/>
      <c r="M357" s="2"/>
      <c r="N357" s="2"/>
      <c r="O357" s="2"/>
      <c r="P357" s="2"/>
      <c r="Q357" s="2"/>
      <c r="S357" s="3"/>
      <c r="T357" s="3"/>
      <c r="U357" s="3"/>
      <c r="V357" s="3"/>
      <c r="W357" s="3"/>
      <c r="X357" s="3"/>
      <c r="Y357" s="3"/>
      <c r="Z357" s="3"/>
    </row>
    <row r="358" ht="15.75" customHeight="1">
      <c r="A358" s="3"/>
      <c r="B358" s="2"/>
      <c r="C358" s="2"/>
      <c r="D358" s="474"/>
      <c r="E358" s="464"/>
      <c r="F358" s="2"/>
      <c r="G358" s="2"/>
      <c r="H358" s="2"/>
      <c r="I358" s="2"/>
      <c r="J358" s="2"/>
      <c r="K358" s="2"/>
      <c r="L358" s="2"/>
      <c r="M358" s="2"/>
      <c r="N358" s="2"/>
      <c r="O358" s="2"/>
      <c r="P358" s="2"/>
      <c r="Q358" s="2"/>
      <c r="S358" s="3"/>
      <c r="T358" s="3"/>
      <c r="U358" s="3"/>
      <c r="V358" s="3"/>
      <c r="W358" s="3"/>
      <c r="X358" s="3"/>
      <c r="Y358" s="3"/>
      <c r="Z358" s="3"/>
    </row>
    <row r="359" ht="15.75" customHeight="1">
      <c r="A359" s="3"/>
      <c r="B359" s="2"/>
      <c r="C359" s="2"/>
      <c r="D359" s="474"/>
      <c r="E359" s="464"/>
      <c r="F359" s="2"/>
      <c r="G359" s="2"/>
      <c r="H359" s="2"/>
      <c r="I359" s="2"/>
      <c r="J359" s="2"/>
      <c r="K359" s="2"/>
      <c r="L359" s="2"/>
      <c r="M359" s="2"/>
      <c r="N359" s="2"/>
      <c r="O359" s="2"/>
      <c r="P359" s="2"/>
      <c r="Q359" s="2"/>
      <c r="S359" s="3"/>
      <c r="T359" s="3"/>
      <c r="U359" s="3"/>
      <c r="V359" s="3"/>
      <c r="W359" s="3"/>
      <c r="X359" s="3"/>
      <c r="Y359" s="3"/>
      <c r="Z359" s="3"/>
    </row>
    <row r="360" ht="15.75" customHeight="1">
      <c r="A360" s="3"/>
      <c r="B360" s="2"/>
      <c r="C360" s="2"/>
      <c r="D360" s="474"/>
      <c r="E360" s="464"/>
      <c r="F360" s="2"/>
      <c r="G360" s="2"/>
      <c r="H360" s="2"/>
      <c r="I360" s="2"/>
      <c r="J360" s="2"/>
      <c r="K360" s="2"/>
      <c r="L360" s="2"/>
      <c r="M360" s="2"/>
      <c r="N360" s="2"/>
      <c r="O360" s="2"/>
      <c r="P360" s="2"/>
      <c r="Q360" s="2"/>
      <c r="S360" s="3"/>
      <c r="T360" s="3"/>
      <c r="U360" s="3"/>
      <c r="V360" s="3"/>
      <c r="W360" s="3"/>
      <c r="X360" s="3"/>
      <c r="Y360" s="3"/>
      <c r="Z360" s="3"/>
    </row>
    <row r="361" ht="15.75" customHeight="1">
      <c r="A361" s="3"/>
      <c r="B361" s="2"/>
      <c r="C361" s="2"/>
      <c r="D361" s="474"/>
      <c r="E361" s="464"/>
      <c r="F361" s="2"/>
      <c r="G361" s="2"/>
      <c r="H361" s="2"/>
      <c r="I361" s="2"/>
      <c r="J361" s="2"/>
      <c r="K361" s="2"/>
      <c r="L361" s="2"/>
      <c r="M361" s="2"/>
      <c r="N361" s="2"/>
      <c r="O361" s="2"/>
      <c r="P361" s="2"/>
      <c r="Q361" s="2"/>
      <c r="S361" s="3"/>
      <c r="T361" s="3"/>
      <c r="U361" s="3"/>
      <c r="V361" s="3"/>
      <c r="W361" s="3"/>
      <c r="X361" s="3"/>
      <c r="Y361" s="3"/>
      <c r="Z361" s="3"/>
    </row>
    <row r="362" ht="15.75" customHeight="1">
      <c r="A362" s="3"/>
      <c r="B362" s="2"/>
      <c r="C362" s="2"/>
      <c r="D362" s="474"/>
      <c r="E362" s="464"/>
      <c r="F362" s="2"/>
      <c r="G362" s="2"/>
      <c r="H362" s="2"/>
      <c r="I362" s="2"/>
      <c r="J362" s="2"/>
      <c r="K362" s="2"/>
      <c r="L362" s="2"/>
      <c r="M362" s="2"/>
      <c r="N362" s="2"/>
      <c r="O362" s="2"/>
      <c r="P362" s="2"/>
      <c r="Q362" s="2"/>
      <c r="S362" s="3"/>
      <c r="T362" s="3"/>
      <c r="U362" s="3"/>
      <c r="V362" s="3"/>
      <c r="W362" s="3"/>
      <c r="X362" s="3"/>
      <c r="Y362" s="3"/>
      <c r="Z362" s="3"/>
    </row>
    <row r="363" ht="15.75" customHeight="1">
      <c r="A363" s="3"/>
      <c r="B363" s="2"/>
      <c r="C363" s="2"/>
      <c r="D363" s="474"/>
      <c r="E363" s="464"/>
      <c r="F363" s="2"/>
      <c r="G363" s="2"/>
      <c r="H363" s="2"/>
      <c r="I363" s="2"/>
      <c r="J363" s="2"/>
      <c r="K363" s="2"/>
      <c r="L363" s="2"/>
      <c r="M363" s="2"/>
      <c r="N363" s="2"/>
      <c r="O363" s="2"/>
      <c r="P363" s="2"/>
      <c r="Q363" s="2"/>
      <c r="S363" s="3"/>
      <c r="T363" s="3"/>
      <c r="U363" s="3"/>
      <c r="V363" s="3"/>
      <c r="W363" s="3"/>
      <c r="X363" s="3"/>
      <c r="Y363" s="3"/>
      <c r="Z363" s="3"/>
    </row>
    <row r="364" ht="15.75" customHeight="1">
      <c r="A364" s="3"/>
      <c r="B364" s="2"/>
      <c r="C364" s="2"/>
      <c r="D364" s="474"/>
      <c r="E364" s="464"/>
      <c r="F364" s="2"/>
      <c r="G364" s="2"/>
      <c r="H364" s="2"/>
      <c r="I364" s="2"/>
      <c r="J364" s="2"/>
      <c r="K364" s="2"/>
      <c r="L364" s="2"/>
      <c r="M364" s="2"/>
      <c r="N364" s="2"/>
      <c r="O364" s="2"/>
      <c r="P364" s="2"/>
      <c r="Q364" s="2"/>
      <c r="S364" s="3"/>
      <c r="T364" s="3"/>
      <c r="U364" s="3"/>
      <c r="V364" s="3"/>
      <c r="W364" s="3"/>
      <c r="X364" s="3"/>
      <c r="Y364" s="3"/>
      <c r="Z364" s="3"/>
    </row>
    <row r="365" ht="15.75" customHeight="1">
      <c r="A365" s="3"/>
      <c r="B365" s="2"/>
      <c r="C365" s="2"/>
      <c r="D365" s="474"/>
      <c r="E365" s="464"/>
      <c r="F365" s="2"/>
      <c r="G365" s="2"/>
      <c r="H365" s="2"/>
      <c r="I365" s="2"/>
      <c r="J365" s="2"/>
      <c r="K365" s="2"/>
      <c r="L365" s="2"/>
      <c r="M365" s="2"/>
      <c r="N365" s="2"/>
      <c r="O365" s="2"/>
      <c r="P365" s="2"/>
      <c r="Q365" s="2"/>
      <c r="S365" s="3"/>
      <c r="T365" s="3"/>
      <c r="U365" s="3"/>
      <c r="V365" s="3"/>
      <c r="W365" s="3"/>
      <c r="X365" s="3"/>
      <c r="Y365" s="3"/>
      <c r="Z365" s="3"/>
    </row>
    <row r="366" ht="15.75" customHeight="1">
      <c r="A366" s="3"/>
      <c r="B366" s="2"/>
      <c r="C366" s="2"/>
      <c r="D366" s="474"/>
      <c r="E366" s="464"/>
      <c r="F366" s="2"/>
      <c r="G366" s="2"/>
      <c r="H366" s="2"/>
      <c r="I366" s="2"/>
      <c r="J366" s="2"/>
      <c r="K366" s="2"/>
      <c r="L366" s="2"/>
      <c r="M366" s="2"/>
      <c r="N366" s="2"/>
      <c r="O366" s="2"/>
      <c r="P366" s="2"/>
      <c r="Q366" s="2"/>
      <c r="S366" s="3"/>
      <c r="T366" s="3"/>
      <c r="U366" s="3"/>
      <c r="V366" s="3"/>
      <c r="W366" s="3"/>
      <c r="X366" s="3"/>
      <c r="Y366" s="3"/>
      <c r="Z366" s="3"/>
    </row>
    <row r="367" ht="15.75" customHeight="1">
      <c r="A367" s="3"/>
      <c r="B367" s="2"/>
      <c r="C367" s="2"/>
      <c r="D367" s="474"/>
      <c r="E367" s="464"/>
      <c r="F367" s="2"/>
      <c r="G367" s="2"/>
      <c r="H367" s="2"/>
      <c r="I367" s="2"/>
      <c r="J367" s="2"/>
      <c r="K367" s="2"/>
      <c r="L367" s="2"/>
      <c r="M367" s="2"/>
      <c r="N367" s="2"/>
      <c r="O367" s="2"/>
      <c r="P367" s="2"/>
      <c r="Q367" s="2"/>
      <c r="S367" s="3"/>
      <c r="T367" s="3"/>
      <c r="U367" s="3"/>
      <c r="V367" s="3"/>
      <c r="W367" s="3"/>
      <c r="X367" s="3"/>
      <c r="Y367" s="3"/>
      <c r="Z367" s="3"/>
    </row>
    <row r="368" ht="15.75" customHeight="1">
      <c r="A368" s="3"/>
      <c r="B368" s="2"/>
      <c r="C368" s="2"/>
      <c r="D368" s="474"/>
      <c r="E368" s="464"/>
      <c r="F368" s="2"/>
      <c r="G368" s="2"/>
      <c r="H368" s="2"/>
      <c r="I368" s="2"/>
      <c r="J368" s="2"/>
      <c r="K368" s="2"/>
      <c r="L368" s="2"/>
      <c r="M368" s="2"/>
      <c r="N368" s="2"/>
      <c r="O368" s="2"/>
      <c r="P368" s="2"/>
      <c r="Q368" s="2"/>
      <c r="S368" s="3"/>
      <c r="T368" s="3"/>
      <c r="U368" s="3"/>
      <c r="V368" s="3"/>
      <c r="W368" s="3"/>
      <c r="X368" s="3"/>
      <c r="Y368" s="3"/>
      <c r="Z368" s="3"/>
    </row>
    <row r="369" ht="15.75" customHeight="1">
      <c r="A369" s="3"/>
      <c r="B369" s="2"/>
      <c r="C369" s="2"/>
      <c r="D369" s="474"/>
      <c r="E369" s="464"/>
      <c r="F369" s="2"/>
      <c r="G369" s="2"/>
      <c r="H369" s="2"/>
      <c r="I369" s="2"/>
      <c r="J369" s="2"/>
      <c r="K369" s="2"/>
      <c r="L369" s="2"/>
      <c r="M369" s="2"/>
      <c r="N369" s="2"/>
      <c r="O369" s="2"/>
      <c r="P369" s="2"/>
      <c r="Q369" s="2"/>
      <c r="S369" s="3"/>
      <c r="T369" s="3"/>
      <c r="U369" s="3"/>
      <c r="V369" s="3"/>
      <c r="W369" s="3"/>
      <c r="X369" s="3"/>
      <c r="Y369" s="3"/>
      <c r="Z369" s="3"/>
    </row>
    <row r="370" ht="15.75" customHeight="1">
      <c r="A370" s="3"/>
      <c r="B370" s="2"/>
      <c r="C370" s="2"/>
      <c r="D370" s="474"/>
      <c r="E370" s="464"/>
      <c r="F370" s="2"/>
      <c r="G370" s="2"/>
      <c r="H370" s="2"/>
      <c r="I370" s="2"/>
      <c r="J370" s="2"/>
      <c r="K370" s="2"/>
      <c r="L370" s="2"/>
      <c r="M370" s="2"/>
      <c r="N370" s="2"/>
      <c r="O370" s="2"/>
      <c r="P370" s="2"/>
      <c r="Q370" s="2"/>
      <c r="S370" s="3"/>
      <c r="T370" s="3"/>
      <c r="U370" s="3"/>
      <c r="V370" s="3"/>
      <c r="W370" s="3"/>
      <c r="X370" s="3"/>
      <c r="Y370" s="3"/>
      <c r="Z370" s="3"/>
    </row>
    <row r="371" ht="15.75" customHeight="1">
      <c r="A371" s="3"/>
      <c r="B371" s="2"/>
      <c r="C371" s="2"/>
      <c r="D371" s="474"/>
      <c r="E371" s="464"/>
      <c r="F371" s="2"/>
      <c r="G371" s="2"/>
      <c r="H371" s="2"/>
      <c r="I371" s="2"/>
      <c r="J371" s="2"/>
      <c r="K371" s="2"/>
      <c r="L371" s="2"/>
      <c r="M371" s="2"/>
      <c r="N371" s="2"/>
      <c r="O371" s="2"/>
      <c r="P371" s="2"/>
      <c r="Q371" s="2"/>
      <c r="S371" s="3"/>
      <c r="T371" s="3"/>
      <c r="U371" s="3"/>
      <c r="V371" s="3"/>
      <c r="W371" s="3"/>
      <c r="X371" s="3"/>
      <c r="Y371" s="3"/>
      <c r="Z371" s="3"/>
    </row>
    <row r="372" ht="15.75" customHeight="1">
      <c r="A372" s="3"/>
      <c r="B372" s="2"/>
      <c r="C372" s="2"/>
      <c r="D372" s="474"/>
      <c r="E372" s="464"/>
      <c r="F372" s="2"/>
      <c r="G372" s="2"/>
      <c r="H372" s="2"/>
      <c r="I372" s="2"/>
      <c r="J372" s="2"/>
      <c r="K372" s="2"/>
      <c r="L372" s="2"/>
      <c r="M372" s="2"/>
      <c r="N372" s="2"/>
      <c r="O372" s="2"/>
      <c r="P372" s="2"/>
      <c r="Q372" s="2"/>
      <c r="S372" s="3"/>
      <c r="T372" s="3"/>
      <c r="U372" s="3"/>
      <c r="V372" s="3"/>
      <c r="W372" s="3"/>
      <c r="X372" s="3"/>
      <c r="Y372" s="3"/>
      <c r="Z372" s="3"/>
    </row>
    <row r="373" ht="15.75" customHeight="1">
      <c r="A373" s="3"/>
      <c r="B373" s="2"/>
      <c r="C373" s="2"/>
      <c r="D373" s="474"/>
      <c r="E373" s="464"/>
      <c r="F373" s="2"/>
      <c r="G373" s="2"/>
      <c r="H373" s="2"/>
      <c r="I373" s="2"/>
      <c r="J373" s="2"/>
      <c r="K373" s="2"/>
      <c r="L373" s="2"/>
      <c r="M373" s="2"/>
      <c r="N373" s="2"/>
      <c r="O373" s="2"/>
      <c r="P373" s="2"/>
      <c r="Q373" s="2"/>
      <c r="S373" s="3"/>
      <c r="T373" s="3"/>
      <c r="U373" s="3"/>
      <c r="V373" s="3"/>
      <c r="W373" s="3"/>
      <c r="X373" s="3"/>
      <c r="Y373" s="3"/>
      <c r="Z373" s="3"/>
    </row>
    <row r="374" ht="15.75" customHeight="1">
      <c r="A374" s="3"/>
      <c r="B374" s="2"/>
      <c r="C374" s="2"/>
      <c r="D374" s="474"/>
      <c r="E374" s="464"/>
      <c r="F374" s="2"/>
      <c r="G374" s="2"/>
      <c r="H374" s="2"/>
      <c r="I374" s="2"/>
      <c r="J374" s="2"/>
      <c r="K374" s="2"/>
      <c r="L374" s="2"/>
      <c r="M374" s="2"/>
      <c r="N374" s="2"/>
      <c r="O374" s="2"/>
      <c r="P374" s="2"/>
      <c r="Q374" s="2"/>
      <c r="S374" s="3"/>
      <c r="T374" s="3"/>
      <c r="U374" s="3"/>
      <c r="V374" s="3"/>
      <c r="W374" s="3"/>
      <c r="X374" s="3"/>
      <c r="Y374" s="3"/>
      <c r="Z374" s="3"/>
    </row>
    <row r="375" ht="15.75" customHeight="1">
      <c r="A375" s="3"/>
      <c r="B375" s="2"/>
      <c r="C375" s="2"/>
      <c r="D375" s="474"/>
      <c r="E375" s="464"/>
      <c r="F375" s="2"/>
      <c r="G375" s="2"/>
      <c r="H375" s="2"/>
      <c r="I375" s="2"/>
      <c r="J375" s="2"/>
      <c r="K375" s="2"/>
      <c r="L375" s="2"/>
      <c r="M375" s="2"/>
      <c r="N375" s="2"/>
      <c r="O375" s="2"/>
      <c r="P375" s="2"/>
      <c r="Q375" s="2"/>
      <c r="S375" s="3"/>
      <c r="T375" s="3"/>
      <c r="U375" s="3"/>
      <c r="V375" s="3"/>
      <c r="W375" s="3"/>
      <c r="X375" s="3"/>
      <c r="Y375" s="3"/>
      <c r="Z375" s="3"/>
    </row>
    <row r="376" ht="15.75" customHeight="1">
      <c r="A376" s="3"/>
      <c r="B376" s="2"/>
      <c r="C376" s="2"/>
      <c r="D376" s="474"/>
      <c r="E376" s="464"/>
      <c r="F376" s="2"/>
      <c r="G376" s="2"/>
      <c r="H376" s="2"/>
      <c r="I376" s="2"/>
      <c r="J376" s="2"/>
      <c r="K376" s="2"/>
      <c r="L376" s="2"/>
      <c r="M376" s="2"/>
      <c r="N376" s="2"/>
      <c r="O376" s="2"/>
      <c r="P376" s="2"/>
      <c r="Q376" s="2"/>
      <c r="S376" s="3"/>
      <c r="T376" s="3"/>
      <c r="U376" s="3"/>
      <c r="V376" s="3"/>
      <c r="W376" s="3"/>
      <c r="X376" s="3"/>
      <c r="Y376" s="3"/>
      <c r="Z376" s="3"/>
    </row>
    <row r="377" ht="15.75" customHeight="1">
      <c r="A377" s="3"/>
      <c r="B377" s="2"/>
      <c r="C377" s="2"/>
      <c r="D377" s="474"/>
      <c r="E377" s="464"/>
      <c r="F377" s="2"/>
      <c r="G377" s="2"/>
      <c r="H377" s="2"/>
      <c r="I377" s="2"/>
      <c r="J377" s="2"/>
      <c r="K377" s="2"/>
      <c r="L377" s="2"/>
      <c r="M377" s="2"/>
      <c r="N377" s="2"/>
      <c r="O377" s="2"/>
      <c r="P377" s="2"/>
      <c r="Q377" s="2"/>
      <c r="S377" s="3"/>
      <c r="T377" s="3"/>
      <c r="U377" s="3"/>
      <c r="V377" s="3"/>
      <c r="W377" s="3"/>
      <c r="X377" s="3"/>
      <c r="Y377" s="3"/>
      <c r="Z377" s="3"/>
    </row>
    <row r="378" ht="15.75" customHeight="1">
      <c r="A378" s="3"/>
      <c r="B378" s="2"/>
      <c r="C378" s="2"/>
      <c r="D378" s="474"/>
      <c r="E378" s="464"/>
      <c r="F378" s="2"/>
      <c r="G378" s="2"/>
      <c r="H378" s="2"/>
      <c r="I378" s="2"/>
      <c r="J378" s="2"/>
      <c r="K378" s="2"/>
      <c r="L378" s="2"/>
      <c r="M378" s="2"/>
      <c r="N378" s="2"/>
      <c r="O378" s="2"/>
      <c r="P378" s="2"/>
      <c r="Q378" s="2"/>
      <c r="S378" s="3"/>
      <c r="T378" s="3"/>
      <c r="U378" s="3"/>
      <c r="V378" s="3"/>
      <c r="W378" s="3"/>
      <c r="X378" s="3"/>
      <c r="Y378" s="3"/>
      <c r="Z378" s="3"/>
    </row>
    <row r="379" ht="15.75" customHeight="1">
      <c r="A379" s="3"/>
      <c r="B379" s="2"/>
      <c r="C379" s="2"/>
      <c r="D379" s="474"/>
      <c r="E379" s="464"/>
      <c r="F379" s="2"/>
      <c r="G379" s="2"/>
      <c r="H379" s="2"/>
      <c r="I379" s="2"/>
      <c r="J379" s="2"/>
      <c r="K379" s="2"/>
      <c r="L379" s="2"/>
      <c r="M379" s="2"/>
      <c r="N379" s="2"/>
      <c r="O379" s="2"/>
      <c r="P379" s="2"/>
      <c r="Q379" s="2"/>
      <c r="S379" s="3"/>
      <c r="T379" s="3"/>
      <c r="U379" s="3"/>
      <c r="V379" s="3"/>
      <c r="W379" s="3"/>
      <c r="X379" s="3"/>
      <c r="Y379" s="3"/>
      <c r="Z379" s="3"/>
    </row>
    <row r="380" ht="15.75" customHeight="1">
      <c r="A380" s="3"/>
      <c r="B380" s="2"/>
      <c r="C380" s="2"/>
      <c r="D380" s="474"/>
      <c r="E380" s="464"/>
      <c r="F380" s="2"/>
      <c r="G380" s="2"/>
      <c r="H380" s="2"/>
      <c r="I380" s="2"/>
      <c r="J380" s="2"/>
      <c r="K380" s="2"/>
      <c r="L380" s="2"/>
      <c r="M380" s="2"/>
      <c r="N380" s="2"/>
      <c r="O380" s="2"/>
      <c r="P380" s="2"/>
      <c r="Q380" s="2"/>
      <c r="S380" s="3"/>
      <c r="T380" s="3"/>
      <c r="U380" s="3"/>
      <c r="V380" s="3"/>
      <c r="W380" s="3"/>
      <c r="X380" s="3"/>
      <c r="Y380" s="3"/>
      <c r="Z380" s="3"/>
    </row>
    <row r="381" ht="15.75" customHeight="1">
      <c r="A381" s="3"/>
      <c r="B381" s="2"/>
      <c r="C381" s="2"/>
      <c r="D381" s="474"/>
      <c r="E381" s="464"/>
      <c r="F381" s="2"/>
      <c r="G381" s="2"/>
      <c r="H381" s="2"/>
      <c r="I381" s="2"/>
      <c r="J381" s="2"/>
      <c r="K381" s="2"/>
      <c r="L381" s="2"/>
      <c r="M381" s="2"/>
      <c r="N381" s="2"/>
      <c r="O381" s="2"/>
      <c r="P381" s="2"/>
      <c r="Q381" s="2"/>
      <c r="S381" s="3"/>
      <c r="T381" s="3"/>
      <c r="U381" s="3"/>
      <c r="V381" s="3"/>
      <c r="W381" s="3"/>
      <c r="X381" s="3"/>
      <c r="Y381" s="3"/>
      <c r="Z381" s="3"/>
    </row>
    <row r="382" ht="15.75" customHeight="1">
      <c r="A382" s="3"/>
      <c r="B382" s="2"/>
      <c r="C382" s="2"/>
      <c r="D382" s="474"/>
      <c r="E382" s="464"/>
      <c r="F382" s="2"/>
      <c r="G382" s="2"/>
      <c r="H382" s="2"/>
      <c r="I382" s="2"/>
      <c r="J382" s="2"/>
      <c r="K382" s="2"/>
      <c r="L382" s="2"/>
      <c r="M382" s="2"/>
      <c r="N382" s="2"/>
      <c r="O382" s="2"/>
      <c r="P382" s="2"/>
      <c r="Q382" s="2"/>
      <c r="S382" s="3"/>
      <c r="T382" s="3"/>
      <c r="U382" s="3"/>
      <c r="V382" s="3"/>
      <c r="W382" s="3"/>
      <c r="X382" s="3"/>
      <c r="Y382" s="3"/>
      <c r="Z382" s="3"/>
    </row>
    <row r="383" ht="15.75" customHeight="1">
      <c r="A383" s="3"/>
      <c r="B383" s="2"/>
      <c r="C383" s="2"/>
      <c r="D383" s="474"/>
      <c r="E383" s="464"/>
      <c r="F383" s="2"/>
      <c r="G383" s="2"/>
      <c r="H383" s="2"/>
      <c r="I383" s="2"/>
      <c r="J383" s="2"/>
      <c r="K383" s="2"/>
      <c r="L383" s="2"/>
      <c r="M383" s="2"/>
      <c r="N383" s="2"/>
      <c r="O383" s="2"/>
      <c r="P383" s="2"/>
      <c r="Q383" s="2"/>
      <c r="S383" s="3"/>
      <c r="T383" s="3"/>
      <c r="U383" s="3"/>
      <c r="V383" s="3"/>
      <c r="W383" s="3"/>
      <c r="X383" s="3"/>
      <c r="Y383" s="3"/>
      <c r="Z383" s="3"/>
    </row>
    <row r="384" ht="15.75" customHeight="1">
      <c r="A384" s="3"/>
      <c r="B384" s="2"/>
      <c r="C384" s="2"/>
      <c r="D384" s="474"/>
      <c r="E384" s="464"/>
      <c r="F384" s="2"/>
      <c r="G384" s="2"/>
      <c r="H384" s="2"/>
      <c r="I384" s="2"/>
      <c r="J384" s="2"/>
      <c r="K384" s="2"/>
      <c r="L384" s="2"/>
      <c r="M384" s="2"/>
      <c r="N384" s="2"/>
      <c r="O384" s="2"/>
      <c r="P384" s="2"/>
      <c r="Q384" s="2"/>
      <c r="S384" s="3"/>
      <c r="T384" s="3"/>
      <c r="U384" s="3"/>
      <c r="V384" s="3"/>
      <c r="W384" s="3"/>
      <c r="X384" s="3"/>
      <c r="Y384" s="3"/>
      <c r="Z384" s="3"/>
    </row>
    <row r="385" ht="15.75" customHeight="1">
      <c r="A385" s="3"/>
      <c r="B385" s="2"/>
      <c r="C385" s="2"/>
      <c r="D385" s="474"/>
      <c r="E385" s="464"/>
      <c r="F385" s="2"/>
      <c r="G385" s="2"/>
      <c r="H385" s="2"/>
      <c r="I385" s="2"/>
      <c r="J385" s="2"/>
      <c r="K385" s="2"/>
      <c r="L385" s="2"/>
      <c r="M385" s="2"/>
      <c r="N385" s="2"/>
      <c r="O385" s="2"/>
      <c r="P385" s="2"/>
      <c r="Q385" s="2"/>
      <c r="S385" s="3"/>
      <c r="T385" s="3"/>
      <c r="U385" s="3"/>
      <c r="V385" s="3"/>
      <c r="W385" s="3"/>
      <c r="X385" s="3"/>
      <c r="Y385" s="3"/>
      <c r="Z385" s="3"/>
    </row>
    <row r="386" ht="15.75" customHeight="1">
      <c r="A386" s="3"/>
      <c r="B386" s="2"/>
      <c r="C386" s="2"/>
      <c r="D386" s="474"/>
      <c r="E386" s="464"/>
      <c r="F386" s="2"/>
      <c r="G386" s="2"/>
      <c r="H386" s="2"/>
      <c r="I386" s="2"/>
      <c r="J386" s="2"/>
      <c r="K386" s="2"/>
      <c r="L386" s="2"/>
      <c r="M386" s="2"/>
      <c r="N386" s="2"/>
      <c r="O386" s="2"/>
      <c r="P386" s="2"/>
      <c r="Q386" s="2"/>
      <c r="S386" s="3"/>
      <c r="T386" s="3"/>
      <c r="U386" s="3"/>
      <c r="V386" s="3"/>
      <c r="W386" s="3"/>
      <c r="X386" s="3"/>
      <c r="Y386" s="3"/>
      <c r="Z386" s="3"/>
    </row>
    <row r="387" ht="15.75" customHeight="1">
      <c r="A387" s="3"/>
      <c r="B387" s="2"/>
      <c r="C387" s="2"/>
      <c r="D387" s="474"/>
      <c r="E387" s="464"/>
      <c r="F387" s="2"/>
      <c r="G387" s="2"/>
      <c r="H387" s="2"/>
      <c r="I387" s="2"/>
      <c r="J387" s="2"/>
      <c r="K387" s="2"/>
      <c r="L387" s="2"/>
      <c r="M387" s="2"/>
      <c r="N387" s="2"/>
      <c r="O387" s="2"/>
      <c r="P387" s="2"/>
      <c r="Q387" s="2"/>
      <c r="S387" s="3"/>
      <c r="T387" s="3"/>
      <c r="U387" s="3"/>
      <c r="V387" s="3"/>
      <c r="W387" s="3"/>
      <c r="X387" s="3"/>
      <c r="Y387" s="3"/>
      <c r="Z387" s="3"/>
    </row>
    <row r="388" ht="15.75" customHeight="1">
      <c r="A388" s="3"/>
      <c r="B388" s="2"/>
      <c r="C388" s="2"/>
      <c r="D388" s="474"/>
      <c r="E388" s="464"/>
      <c r="F388" s="2"/>
      <c r="G388" s="2"/>
      <c r="H388" s="2"/>
      <c r="I388" s="2"/>
      <c r="J388" s="2"/>
      <c r="K388" s="2"/>
      <c r="L388" s="2"/>
      <c r="M388" s="2"/>
      <c r="N388" s="2"/>
      <c r="O388" s="2"/>
      <c r="P388" s="2"/>
      <c r="Q388" s="2"/>
      <c r="S388" s="3"/>
      <c r="T388" s="3"/>
      <c r="U388" s="3"/>
      <c r="V388" s="3"/>
      <c r="W388" s="3"/>
      <c r="X388" s="3"/>
      <c r="Y388" s="3"/>
      <c r="Z388" s="3"/>
    </row>
    <row r="389" ht="15.75" customHeight="1">
      <c r="A389" s="3"/>
      <c r="B389" s="2"/>
      <c r="C389" s="2"/>
      <c r="D389" s="474"/>
      <c r="E389" s="464"/>
      <c r="F389" s="2"/>
      <c r="G389" s="2"/>
      <c r="H389" s="2"/>
      <c r="I389" s="2"/>
      <c r="J389" s="2"/>
      <c r="K389" s="2"/>
      <c r="L389" s="2"/>
      <c r="M389" s="2"/>
      <c r="N389" s="2"/>
      <c r="O389" s="2"/>
      <c r="P389" s="2"/>
      <c r="Q389" s="2"/>
      <c r="S389" s="3"/>
      <c r="T389" s="3"/>
      <c r="U389" s="3"/>
      <c r="V389" s="3"/>
      <c r="W389" s="3"/>
      <c r="X389" s="3"/>
      <c r="Y389" s="3"/>
      <c r="Z389" s="3"/>
    </row>
    <row r="390" ht="15.75" customHeight="1">
      <c r="A390" s="3"/>
      <c r="B390" s="2"/>
      <c r="C390" s="2"/>
      <c r="D390" s="474"/>
      <c r="E390" s="464"/>
      <c r="F390" s="2"/>
      <c r="G390" s="2"/>
      <c r="H390" s="2"/>
      <c r="I390" s="2"/>
      <c r="J390" s="2"/>
      <c r="K390" s="2"/>
      <c r="L390" s="2"/>
      <c r="M390" s="2"/>
      <c r="N390" s="2"/>
      <c r="O390" s="2"/>
      <c r="P390" s="2"/>
      <c r="Q390" s="2"/>
      <c r="S390" s="3"/>
      <c r="T390" s="3"/>
      <c r="U390" s="3"/>
      <c r="V390" s="3"/>
      <c r="W390" s="3"/>
      <c r="X390" s="3"/>
      <c r="Y390" s="3"/>
      <c r="Z390" s="3"/>
    </row>
    <row r="391" ht="15.75" customHeight="1">
      <c r="A391" s="3"/>
      <c r="B391" s="2"/>
      <c r="C391" s="2"/>
      <c r="D391" s="474"/>
      <c r="E391" s="464"/>
      <c r="F391" s="2"/>
      <c r="G391" s="2"/>
      <c r="H391" s="2"/>
      <c r="I391" s="2"/>
      <c r="J391" s="2"/>
      <c r="K391" s="2"/>
      <c r="L391" s="2"/>
      <c r="M391" s="2"/>
      <c r="N391" s="2"/>
      <c r="O391" s="2"/>
      <c r="P391" s="2"/>
      <c r="Q391" s="2"/>
      <c r="S391" s="3"/>
      <c r="T391" s="3"/>
      <c r="U391" s="3"/>
      <c r="V391" s="3"/>
      <c r="W391" s="3"/>
      <c r="X391" s="3"/>
      <c r="Y391" s="3"/>
      <c r="Z391" s="3"/>
    </row>
    <row r="392" ht="15.75" customHeight="1">
      <c r="A392" s="3"/>
      <c r="B392" s="2"/>
      <c r="C392" s="2"/>
      <c r="D392" s="474"/>
      <c r="E392" s="464"/>
      <c r="F392" s="2"/>
      <c r="G392" s="2"/>
      <c r="H392" s="2"/>
      <c r="I392" s="2"/>
      <c r="J392" s="2"/>
      <c r="K392" s="2"/>
      <c r="L392" s="2"/>
      <c r="M392" s="2"/>
      <c r="N392" s="2"/>
      <c r="O392" s="2"/>
      <c r="P392" s="2"/>
      <c r="Q392" s="2"/>
      <c r="S392" s="3"/>
      <c r="T392" s="3"/>
      <c r="U392" s="3"/>
      <c r="V392" s="3"/>
      <c r="W392" s="3"/>
      <c r="X392" s="3"/>
      <c r="Y392" s="3"/>
      <c r="Z392" s="3"/>
    </row>
    <row r="393" ht="15.75" customHeight="1">
      <c r="A393" s="3"/>
      <c r="B393" s="2"/>
      <c r="C393" s="2"/>
      <c r="D393" s="474"/>
      <c r="E393" s="464"/>
      <c r="F393" s="2"/>
      <c r="G393" s="2"/>
      <c r="H393" s="2"/>
      <c r="I393" s="2"/>
      <c r="J393" s="2"/>
      <c r="K393" s="2"/>
      <c r="L393" s="2"/>
      <c r="M393" s="2"/>
      <c r="N393" s="2"/>
      <c r="O393" s="2"/>
      <c r="P393" s="2"/>
      <c r="Q393" s="2"/>
      <c r="S393" s="3"/>
      <c r="T393" s="3"/>
      <c r="U393" s="3"/>
      <c r="V393" s="3"/>
      <c r="W393" s="3"/>
      <c r="X393" s="3"/>
      <c r="Y393" s="3"/>
      <c r="Z393" s="3"/>
    </row>
    <row r="394" ht="15.75" customHeight="1">
      <c r="A394" s="3"/>
      <c r="B394" s="2"/>
      <c r="C394" s="2"/>
      <c r="D394" s="474"/>
      <c r="E394" s="464"/>
      <c r="F394" s="2"/>
      <c r="G394" s="2"/>
      <c r="H394" s="2"/>
      <c r="I394" s="2"/>
      <c r="J394" s="2"/>
      <c r="K394" s="2"/>
      <c r="L394" s="2"/>
      <c r="M394" s="2"/>
      <c r="N394" s="2"/>
      <c r="O394" s="2"/>
      <c r="P394" s="2"/>
      <c r="Q394" s="2"/>
      <c r="S394" s="3"/>
      <c r="T394" s="3"/>
      <c r="U394" s="3"/>
      <c r="V394" s="3"/>
      <c r="W394" s="3"/>
      <c r="X394" s="3"/>
      <c r="Y394" s="3"/>
      <c r="Z394" s="3"/>
    </row>
    <row r="395" ht="15.75" customHeight="1">
      <c r="A395" s="3"/>
      <c r="B395" s="2"/>
      <c r="C395" s="2"/>
      <c r="D395" s="474"/>
      <c r="E395" s="464"/>
      <c r="F395" s="2"/>
      <c r="G395" s="2"/>
      <c r="H395" s="2"/>
      <c r="I395" s="2"/>
      <c r="J395" s="2"/>
      <c r="K395" s="2"/>
      <c r="L395" s="2"/>
      <c r="M395" s="2"/>
      <c r="N395" s="2"/>
      <c r="O395" s="2"/>
      <c r="P395" s="2"/>
      <c r="Q395" s="2"/>
      <c r="S395" s="3"/>
      <c r="T395" s="3"/>
      <c r="U395" s="3"/>
      <c r="V395" s="3"/>
      <c r="W395" s="3"/>
      <c r="X395" s="3"/>
      <c r="Y395" s="3"/>
      <c r="Z395" s="3"/>
    </row>
    <row r="396" ht="15.75" customHeight="1">
      <c r="A396" s="3"/>
      <c r="B396" s="2"/>
      <c r="C396" s="2"/>
      <c r="D396" s="474"/>
      <c r="E396" s="464"/>
      <c r="F396" s="2"/>
      <c r="G396" s="2"/>
      <c r="H396" s="2"/>
      <c r="I396" s="2"/>
      <c r="J396" s="2"/>
      <c r="K396" s="2"/>
      <c r="L396" s="2"/>
      <c r="M396" s="2"/>
      <c r="N396" s="2"/>
      <c r="O396" s="2"/>
      <c r="P396" s="2"/>
      <c r="Q396" s="2"/>
      <c r="S396" s="3"/>
      <c r="T396" s="3"/>
      <c r="U396" s="3"/>
      <c r="V396" s="3"/>
      <c r="W396" s="3"/>
      <c r="X396" s="3"/>
      <c r="Y396" s="3"/>
      <c r="Z396" s="3"/>
    </row>
    <row r="397" ht="15.75" customHeight="1">
      <c r="A397" s="3"/>
      <c r="B397" s="2"/>
      <c r="C397" s="2"/>
      <c r="D397" s="474"/>
      <c r="E397" s="464"/>
      <c r="F397" s="2"/>
      <c r="G397" s="2"/>
      <c r="H397" s="2"/>
      <c r="I397" s="2"/>
      <c r="J397" s="2"/>
      <c r="K397" s="2"/>
      <c r="L397" s="2"/>
      <c r="M397" s="2"/>
      <c r="N397" s="2"/>
      <c r="O397" s="2"/>
      <c r="P397" s="2"/>
      <c r="Q397" s="2"/>
      <c r="S397" s="3"/>
      <c r="T397" s="3"/>
      <c r="U397" s="3"/>
      <c r="V397" s="3"/>
      <c r="W397" s="3"/>
      <c r="X397" s="3"/>
      <c r="Y397" s="3"/>
      <c r="Z397" s="3"/>
    </row>
    <row r="398" ht="15.75" customHeight="1">
      <c r="A398" s="3"/>
      <c r="B398" s="2"/>
      <c r="C398" s="2"/>
      <c r="D398" s="474"/>
      <c r="E398" s="464"/>
      <c r="F398" s="2"/>
      <c r="G398" s="2"/>
      <c r="H398" s="2"/>
      <c r="I398" s="2"/>
      <c r="J398" s="2"/>
      <c r="K398" s="2"/>
      <c r="L398" s="2"/>
      <c r="M398" s="2"/>
      <c r="N398" s="2"/>
      <c r="O398" s="2"/>
      <c r="P398" s="2"/>
      <c r="Q398" s="2"/>
      <c r="S398" s="3"/>
      <c r="T398" s="3"/>
      <c r="U398" s="3"/>
      <c r="V398" s="3"/>
      <c r="W398" s="3"/>
      <c r="X398" s="3"/>
      <c r="Y398" s="3"/>
      <c r="Z398" s="3"/>
    </row>
    <row r="399" ht="15.75" customHeight="1">
      <c r="A399" s="3"/>
      <c r="B399" s="2"/>
      <c r="C399" s="2"/>
      <c r="D399" s="474"/>
      <c r="E399" s="464"/>
      <c r="F399" s="2"/>
      <c r="G399" s="2"/>
      <c r="H399" s="2"/>
      <c r="I399" s="2"/>
      <c r="J399" s="2"/>
      <c r="K399" s="2"/>
      <c r="L399" s="2"/>
      <c r="M399" s="2"/>
      <c r="N399" s="2"/>
      <c r="O399" s="2"/>
      <c r="P399" s="2"/>
      <c r="Q399" s="2"/>
      <c r="S399" s="3"/>
      <c r="T399" s="3"/>
      <c r="U399" s="3"/>
      <c r="V399" s="3"/>
      <c r="W399" s="3"/>
      <c r="X399" s="3"/>
      <c r="Y399" s="3"/>
      <c r="Z399" s="3"/>
    </row>
    <row r="400" ht="15.75" customHeight="1">
      <c r="A400" s="3"/>
      <c r="B400" s="2"/>
      <c r="C400" s="2"/>
      <c r="D400" s="474"/>
      <c r="E400" s="464"/>
      <c r="F400" s="2"/>
      <c r="G400" s="2"/>
      <c r="H400" s="2"/>
      <c r="I400" s="2"/>
      <c r="J400" s="2"/>
      <c r="K400" s="2"/>
      <c r="L400" s="2"/>
      <c r="M400" s="2"/>
      <c r="N400" s="2"/>
      <c r="O400" s="2"/>
      <c r="P400" s="2"/>
      <c r="Q400" s="2"/>
      <c r="S400" s="3"/>
      <c r="T400" s="3"/>
      <c r="U400" s="3"/>
      <c r="V400" s="3"/>
      <c r="W400" s="3"/>
      <c r="X400" s="3"/>
      <c r="Y400" s="3"/>
      <c r="Z400" s="3"/>
    </row>
    <row r="401" ht="15.75" customHeight="1">
      <c r="A401" s="3"/>
      <c r="B401" s="2"/>
      <c r="C401" s="2"/>
      <c r="D401" s="474"/>
      <c r="E401" s="464"/>
      <c r="F401" s="2"/>
      <c r="G401" s="2"/>
      <c r="H401" s="2"/>
      <c r="I401" s="2"/>
      <c r="J401" s="2"/>
      <c r="K401" s="2"/>
      <c r="L401" s="2"/>
      <c r="M401" s="2"/>
      <c r="N401" s="2"/>
      <c r="O401" s="2"/>
      <c r="P401" s="2"/>
      <c r="Q401" s="2"/>
      <c r="S401" s="3"/>
      <c r="T401" s="3"/>
      <c r="U401" s="3"/>
      <c r="V401" s="3"/>
      <c r="W401" s="3"/>
      <c r="X401" s="3"/>
      <c r="Y401" s="3"/>
      <c r="Z401" s="3"/>
    </row>
    <row r="402" ht="15.75" customHeight="1">
      <c r="A402" s="3"/>
      <c r="B402" s="2"/>
      <c r="C402" s="2"/>
      <c r="D402" s="474"/>
      <c r="E402" s="464"/>
      <c r="F402" s="2"/>
      <c r="G402" s="2"/>
      <c r="H402" s="2"/>
      <c r="I402" s="2"/>
      <c r="J402" s="2"/>
      <c r="K402" s="2"/>
      <c r="L402" s="2"/>
      <c r="M402" s="2"/>
      <c r="N402" s="2"/>
      <c r="O402" s="2"/>
      <c r="P402" s="2"/>
      <c r="Q402" s="2"/>
      <c r="S402" s="3"/>
      <c r="T402" s="3"/>
      <c r="U402" s="3"/>
      <c r="V402" s="3"/>
      <c r="W402" s="3"/>
      <c r="X402" s="3"/>
      <c r="Y402" s="3"/>
      <c r="Z402" s="3"/>
    </row>
    <row r="403" ht="15.75" customHeight="1">
      <c r="A403" s="3"/>
      <c r="B403" s="2"/>
      <c r="C403" s="2"/>
      <c r="D403" s="474"/>
      <c r="E403" s="464"/>
      <c r="F403" s="2"/>
      <c r="G403" s="2"/>
      <c r="H403" s="2"/>
      <c r="I403" s="2"/>
      <c r="J403" s="2"/>
      <c r="K403" s="2"/>
      <c r="L403" s="2"/>
      <c r="M403" s="2"/>
      <c r="N403" s="2"/>
      <c r="O403" s="2"/>
      <c r="P403" s="2"/>
      <c r="Q403" s="2"/>
      <c r="S403" s="3"/>
      <c r="T403" s="3"/>
      <c r="U403" s="3"/>
      <c r="V403" s="3"/>
      <c r="W403" s="3"/>
      <c r="X403" s="3"/>
      <c r="Y403" s="3"/>
      <c r="Z403" s="3"/>
    </row>
    <row r="404" ht="15.75" customHeight="1">
      <c r="A404" s="3"/>
      <c r="B404" s="2"/>
      <c r="C404" s="2"/>
      <c r="D404" s="474"/>
      <c r="E404" s="464"/>
      <c r="F404" s="2"/>
      <c r="G404" s="2"/>
      <c r="H404" s="2"/>
      <c r="I404" s="2"/>
      <c r="J404" s="2"/>
      <c r="K404" s="2"/>
      <c r="L404" s="2"/>
      <c r="M404" s="2"/>
      <c r="N404" s="2"/>
      <c r="O404" s="2"/>
      <c r="P404" s="2"/>
      <c r="Q404" s="2"/>
      <c r="S404" s="3"/>
      <c r="T404" s="3"/>
      <c r="U404" s="3"/>
      <c r="V404" s="3"/>
      <c r="W404" s="3"/>
      <c r="X404" s="3"/>
      <c r="Y404" s="3"/>
      <c r="Z404" s="3"/>
    </row>
    <row r="405" ht="15.75" customHeight="1">
      <c r="A405" s="3"/>
      <c r="B405" s="2"/>
      <c r="C405" s="2"/>
      <c r="D405" s="474"/>
      <c r="E405" s="464"/>
      <c r="F405" s="2"/>
      <c r="G405" s="2"/>
      <c r="H405" s="2"/>
      <c r="I405" s="2"/>
      <c r="J405" s="2"/>
      <c r="K405" s="2"/>
      <c r="L405" s="2"/>
      <c r="M405" s="2"/>
      <c r="N405" s="2"/>
      <c r="O405" s="2"/>
      <c r="P405" s="2"/>
      <c r="Q405" s="2"/>
      <c r="S405" s="3"/>
      <c r="T405" s="3"/>
      <c r="U405" s="3"/>
      <c r="V405" s="3"/>
      <c r="W405" s="3"/>
      <c r="X405" s="3"/>
      <c r="Y405" s="3"/>
      <c r="Z405" s="3"/>
    </row>
    <row r="406" ht="15.75" customHeight="1">
      <c r="A406" s="3"/>
      <c r="B406" s="2"/>
      <c r="C406" s="2"/>
      <c r="D406" s="474"/>
      <c r="E406" s="464"/>
      <c r="F406" s="2"/>
      <c r="G406" s="2"/>
      <c r="H406" s="2"/>
      <c r="I406" s="2"/>
      <c r="J406" s="2"/>
      <c r="K406" s="2"/>
      <c r="L406" s="2"/>
      <c r="M406" s="2"/>
      <c r="N406" s="2"/>
      <c r="O406" s="2"/>
      <c r="P406" s="2"/>
      <c r="Q406" s="2"/>
      <c r="S406" s="3"/>
      <c r="T406" s="3"/>
      <c r="U406" s="3"/>
      <c r="V406" s="3"/>
      <c r="W406" s="3"/>
      <c r="X406" s="3"/>
      <c r="Y406" s="3"/>
      <c r="Z406" s="3"/>
    </row>
    <row r="407" ht="15.75" customHeight="1">
      <c r="A407" s="3"/>
      <c r="B407" s="2"/>
      <c r="C407" s="2"/>
      <c r="D407" s="474"/>
      <c r="E407" s="464"/>
      <c r="F407" s="2"/>
      <c r="G407" s="2"/>
      <c r="H407" s="2"/>
      <c r="I407" s="2"/>
      <c r="J407" s="2"/>
      <c r="K407" s="2"/>
      <c r="L407" s="2"/>
      <c r="M407" s="2"/>
      <c r="N407" s="2"/>
      <c r="O407" s="2"/>
      <c r="P407" s="2"/>
      <c r="Q407" s="2"/>
      <c r="S407" s="3"/>
      <c r="T407" s="3"/>
      <c r="U407" s="3"/>
      <c r="V407" s="3"/>
      <c r="W407" s="3"/>
      <c r="X407" s="3"/>
      <c r="Y407" s="3"/>
      <c r="Z407" s="3"/>
    </row>
    <row r="408" ht="15.75" customHeight="1">
      <c r="A408" s="3"/>
      <c r="B408" s="2"/>
      <c r="C408" s="2"/>
      <c r="D408" s="474"/>
      <c r="E408" s="464"/>
      <c r="F408" s="2"/>
      <c r="G408" s="2"/>
      <c r="H408" s="2"/>
      <c r="I408" s="2"/>
      <c r="J408" s="2"/>
      <c r="K408" s="2"/>
      <c r="L408" s="2"/>
      <c r="M408" s="2"/>
      <c r="N408" s="2"/>
      <c r="O408" s="2"/>
      <c r="P408" s="2"/>
      <c r="Q408" s="2"/>
      <c r="S408" s="3"/>
      <c r="T408" s="3"/>
      <c r="U408" s="3"/>
      <c r="V408" s="3"/>
      <c r="W408" s="3"/>
      <c r="X408" s="3"/>
      <c r="Y408" s="3"/>
      <c r="Z408" s="3"/>
    </row>
    <row r="409" ht="15.75" customHeight="1">
      <c r="A409" s="3"/>
      <c r="B409" s="2"/>
      <c r="C409" s="2"/>
      <c r="D409" s="474"/>
      <c r="E409" s="464"/>
      <c r="F409" s="2"/>
      <c r="G409" s="2"/>
      <c r="H409" s="2"/>
      <c r="I409" s="2"/>
      <c r="J409" s="2"/>
      <c r="K409" s="2"/>
      <c r="L409" s="2"/>
      <c r="M409" s="2"/>
      <c r="N409" s="2"/>
      <c r="O409" s="2"/>
      <c r="P409" s="2"/>
      <c r="Q409" s="2"/>
      <c r="S409" s="3"/>
      <c r="T409" s="3"/>
      <c r="U409" s="3"/>
      <c r="V409" s="3"/>
      <c r="W409" s="3"/>
      <c r="X409" s="3"/>
      <c r="Y409" s="3"/>
      <c r="Z409" s="3"/>
    </row>
    <row r="410" ht="15.75" customHeight="1">
      <c r="A410" s="3"/>
      <c r="B410" s="2"/>
      <c r="C410" s="2"/>
      <c r="D410" s="474"/>
      <c r="E410" s="464"/>
      <c r="F410" s="2"/>
      <c r="G410" s="2"/>
      <c r="H410" s="2"/>
      <c r="I410" s="2"/>
      <c r="J410" s="2"/>
      <c r="K410" s="2"/>
      <c r="L410" s="2"/>
      <c r="M410" s="2"/>
      <c r="N410" s="2"/>
      <c r="O410" s="2"/>
      <c r="P410" s="2"/>
      <c r="Q410" s="2"/>
      <c r="S410" s="3"/>
      <c r="T410" s="3"/>
      <c r="U410" s="3"/>
      <c r="V410" s="3"/>
      <c r="W410" s="3"/>
      <c r="X410" s="3"/>
      <c r="Y410" s="3"/>
      <c r="Z410" s="3"/>
    </row>
    <row r="411" ht="15.75" customHeight="1">
      <c r="A411" s="3"/>
      <c r="B411" s="2"/>
      <c r="C411" s="2"/>
      <c r="D411" s="474"/>
      <c r="E411" s="464"/>
      <c r="F411" s="2"/>
      <c r="G411" s="2"/>
      <c r="H411" s="2"/>
      <c r="I411" s="2"/>
      <c r="J411" s="2"/>
      <c r="K411" s="2"/>
      <c r="L411" s="2"/>
      <c r="M411" s="2"/>
      <c r="N411" s="2"/>
      <c r="O411" s="2"/>
      <c r="P411" s="2"/>
      <c r="Q411" s="2"/>
      <c r="S411" s="3"/>
      <c r="T411" s="3"/>
      <c r="U411" s="3"/>
      <c r="V411" s="3"/>
      <c r="W411" s="3"/>
      <c r="X411" s="3"/>
      <c r="Y411" s="3"/>
      <c r="Z411" s="3"/>
    </row>
    <row r="412" ht="15.75" customHeight="1">
      <c r="A412" s="3"/>
      <c r="B412" s="2"/>
      <c r="C412" s="2"/>
      <c r="D412" s="474"/>
      <c r="E412" s="464"/>
      <c r="F412" s="2"/>
      <c r="G412" s="2"/>
      <c r="H412" s="2"/>
      <c r="I412" s="2"/>
      <c r="J412" s="2"/>
      <c r="K412" s="2"/>
      <c r="L412" s="2"/>
      <c r="M412" s="2"/>
      <c r="N412" s="2"/>
      <c r="O412" s="2"/>
      <c r="P412" s="2"/>
      <c r="Q412" s="2"/>
      <c r="S412" s="3"/>
      <c r="T412" s="3"/>
      <c r="U412" s="3"/>
      <c r="V412" s="3"/>
      <c r="W412" s="3"/>
      <c r="X412" s="3"/>
      <c r="Y412" s="3"/>
      <c r="Z412" s="3"/>
    </row>
    <row r="413" ht="15.75" customHeight="1">
      <c r="A413" s="3"/>
      <c r="B413" s="2"/>
      <c r="C413" s="2"/>
      <c r="D413" s="474"/>
      <c r="E413" s="464"/>
      <c r="F413" s="2"/>
      <c r="G413" s="2"/>
      <c r="H413" s="2"/>
      <c r="I413" s="2"/>
      <c r="J413" s="2"/>
      <c r="K413" s="2"/>
      <c r="L413" s="2"/>
      <c r="M413" s="2"/>
      <c r="N413" s="2"/>
      <c r="O413" s="2"/>
      <c r="P413" s="2"/>
      <c r="Q413" s="2"/>
      <c r="S413" s="3"/>
      <c r="T413" s="3"/>
      <c r="U413" s="3"/>
      <c r="V413" s="3"/>
      <c r="W413" s="3"/>
      <c r="X413" s="3"/>
      <c r="Y413" s="3"/>
      <c r="Z413" s="3"/>
    </row>
    <row r="414" ht="15.75" customHeight="1">
      <c r="A414" s="3"/>
      <c r="B414" s="2"/>
      <c r="C414" s="2"/>
      <c r="D414" s="474"/>
      <c r="E414" s="464"/>
      <c r="F414" s="2"/>
      <c r="G414" s="2"/>
      <c r="H414" s="2"/>
      <c r="I414" s="2"/>
      <c r="J414" s="2"/>
      <c r="K414" s="2"/>
      <c r="L414" s="2"/>
      <c r="M414" s="2"/>
      <c r="N414" s="2"/>
      <c r="O414" s="2"/>
      <c r="P414" s="2"/>
      <c r="Q414" s="2"/>
      <c r="S414" s="3"/>
      <c r="T414" s="3"/>
      <c r="U414" s="3"/>
      <c r="V414" s="3"/>
      <c r="W414" s="3"/>
      <c r="X414" s="3"/>
      <c r="Y414" s="3"/>
      <c r="Z414" s="3"/>
    </row>
    <row r="415" ht="15.75" customHeight="1">
      <c r="A415" s="3"/>
      <c r="B415" s="2"/>
      <c r="C415" s="2"/>
      <c r="D415" s="474"/>
      <c r="E415" s="464"/>
      <c r="F415" s="2"/>
      <c r="G415" s="2"/>
      <c r="H415" s="2"/>
      <c r="I415" s="2"/>
      <c r="J415" s="2"/>
      <c r="K415" s="2"/>
      <c r="L415" s="2"/>
      <c r="M415" s="2"/>
      <c r="N415" s="2"/>
      <c r="O415" s="2"/>
      <c r="P415" s="2"/>
      <c r="Q415" s="2"/>
      <c r="S415" s="3"/>
      <c r="T415" s="3"/>
      <c r="U415" s="3"/>
      <c r="V415" s="3"/>
      <c r="W415" s="3"/>
      <c r="X415" s="3"/>
      <c r="Y415" s="3"/>
      <c r="Z415" s="3"/>
    </row>
    <row r="416" ht="15.75" customHeight="1">
      <c r="A416" s="3"/>
      <c r="B416" s="2"/>
      <c r="C416" s="2"/>
      <c r="D416" s="474"/>
      <c r="E416" s="464"/>
      <c r="F416" s="2"/>
      <c r="G416" s="2"/>
      <c r="H416" s="2"/>
      <c r="I416" s="2"/>
      <c r="J416" s="2"/>
      <c r="K416" s="2"/>
      <c r="L416" s="2"/>
      <c r="M416" s="2"/>
      <c r="N416" s="2"/>
      <c r="O416" s="2"/>
      <c r="P416" s="2"/>
      <c r="Q416" s="2"/>
      <c r="S416" s="3"/>
      <c r="T416" s="3"/>
      <c r="U416" s="3"/>
      <c r="V416" s="3"/>
      <c r="W416" s="3"/>
      <c r="X416" s="3"/>
      <c r="Y416" s="3"/>
      <c r="Z416" s="3"/>
    </row>
    <row r="417" ht="15.75" customHeight="1">
      <c r="A417" s="3"/>
      <c r="B417" s="2"/>
      <c r="C417" s="2"/>
      <c r="D417" s="474"/>
      <c r="E417" s="464"/>
      <c r="F417" s="2"/>
      <c r="G417" s="2"/>
      <c r="H417" s="2"/>
      <c r="I417" s="2"/>
      <c r="J417" s="2"/>
      <c r="K417" s="2"/>
      <c r="L417" s="2"/>
      <c r="M417" s="2"/>
      <c r="N417" s="2"/>
      <c r="O417" s="2"/>
      <c r="P417" s="2"/>
      <c r="Q417" s="2"/>
      <c r="S417" s="3"/>
      <c r="T417" s="3"/>
      <c r="U417" s="3"/>
      <c r="V417" s="3"/>
      <c r="W417" s="3"/>
      <c r="X417" s="3"/>
      <c r="Y417" s="3"/>
      <c r="Z417" s="3"/>
    </row>
    <row r="418" ht="15.75" customHeight="1">
      <c r="A418" s="3"/>
      <c r="B418" s="2"/>
      <c r="C418" s="2"/>
      <c r="D418" s="474"/>
      <c r="E418" s="464"/>
      <c r="F418" s="2"/>
      <c r="G418" s="2"/>
      <c r="H418" s="2"/>
      <c r="I418" s="2"/>
      <c r="J418" s="2"/>
      <c r="K418" s="2"/>
      <c r="L418" s="2"/>
      <c r="M418" s="2"/>
      <c r="N418" s="2"/>
      <c r="O418" s="2"/>
      <c r="P418" s="2"/>
      <c r="Q418" s="2"/>
      <c r="S418" s="3"/>
      <c r="T418" s="3"/>
      <c r="U418" s="3"/>
      <c r="V418" s="3"/>
      <c r="W418" s="3"/>
      <c r="X418" s="3"/>
      <c r="Y418" s="3"/>
      <c r="Z418" s="3"/>
    </row>
    <row r="419" ht="15.75" customHeight="1">
      <c r="A419" s="3"/>
      <c r="B419" s="2"/>
      <c r="C419" s="2"/>
      <c r="D419" s="474"/>
      <c r="E419" s="464"/>
      <c r="F419" s="2"/>
      <c r="G419" s="2"/>
      <c r="H419" s="2"/>
      <c r="I419" s="2"/>
      <c r="J419" s="2"/>
      <c r="K419" s="2"/>
      <c r="L419" s="2"/>
      <c r="M419" s="2"/>
      <c r="N419" s="2"/>
      <c r="O419" s="2"/>
      <c r="P419" s="2"/>
      <c r="Q419" s="2"/>
      <c r="S419" s="3"/>
      <c r="T419" s="3"/>
      <c r="U419" s="3"/>
      <c r="V419" s="3"/>
      <c r="W419" s="3"/>
      <c r="X419" s="3"/>
      <c r="Y419" s="3"/>
      <c r="Z419" s="3"/>
    </row>
    <row r="420" ht="15.75" customHeight="1">
      <c r="A420" s="3"/>
      <c r="B420" s="2"/>
      <c r="C420" s="2"/>
      <c r="D420" s="474"/>
      <c r="E420" s="464"/>
      <c r="F420" s="2"/>
      <c r="G420" s="2"/>
      <c r="H420" s="2"/>
      <c r="I420" s="2"/>
      <c r="J420" s="2"/>
      <c r="K420" s="2"/>
      <c r="L420" s="2"/>
      <c r="M420" s="2"/>
      <c r="N420" s="2"/>
      <c r="O420" s="2"/>
      <c r="P420" s="2"/>
      <c r="Q420" s="2"/>
      <c r="S420" s="3"/>
      <c r="T420" s="3"/>
      <c r="U420" s="3"/>
      <c r="V420" s="3"/>
      <c r="W420" s="3"/>
      <c r="X420" s="3"/>
      <c r="Y420" s="3"/>
      <c r="Z420" s="3"/>
    </row>
    <row r="421" ht="15.75" customHeight="1">
      <c r="A421" s="3"/>
      <c r="B421" s="2"/>
      <c r="C421" s="2"/>
      <c r="D421" s="474"/>
      <c r="E421" s="464"/>
      <c r="F421" s="2"/>
      <c r="G421" s="2"/>
      <c r="H421" s="2"/>
      <c r="I421" s="2"/>
      <c r="J421" s="2"/>
      <c r="K421" s="2"/>
      <c r="L421" s="2"/>
      <c r="M421" s="2"/>
      <c r="N421" s="2"/>
      <c r="O421" s="2"/>
      <c r="P421" s="2"/>
      <c r="Q421" s="2"/>
      <c r="S421" s="3"/>
      <c r="T421" s="3"/>
      <c r="U421" s="3"/>
      <c r="V421" s="3"/>
      <c r="W421" s="3"/>
      <c r="X421" s="3"/>
      <c r="Y421" s="3"/>
      <c r="Z421" s="3"/>
    </row>
    <row r="422" ht="15.75" customHeight="1">
      <c r="A422" s="3"/>
      <c r="B422" s="2"/>
      <c r="C422" s="2"/>
      <c r="D422" s="474"/>
      <c r="E422" s="464"/>
      <c r="F422" s="2"/>
      <c r="G422" s="2"/>
      <c r="H422" s="2"/>
      <c r="I422" s="2"/>
      <c r="J422" s="2"/>
      <c r="K422" s="2"/>
      <c r="L422" s="2"/>
      <c r="M422" s="2"/>
      <c r="N422" s="2"/>
      <c r="O422" s="2"/>
      <c r="P422" s="2"/>
      <c r="Q422" s="2"/>
      <c r="S422" s="3"/>
      <c r="T422" s="3"/>
      <c r="U422" s="3"/>
      <c r="V422" s="3"/>
      <c r="W422" s="3"/>
      <c r="X422" s="3"/>
      <c r="Y422" s="3"/>
      <c r="Z422" s="3"/>
    </row>
    <row r="423" ht="15.75" customHeight="1">
      <c r="A423" s="3"/>
      <c r="B423" s="2"/>
      <c r="C423" s="2"/>
      <c r="D423" s="474"/>
      <c r="E423" s="464"/>
      <c r="F423" s="2"/>
      <c r="G423" s="2"/>
      <c r="H423" s="2"/>
      <c r="I423" s="2"/>
      <c r="J423" s="2"/>
      <c r="K423" s="2"/>
      <c r="L423" s="2"/>
      <c r="M423" s="2"/>
      <c r="N423" s="2"/>
      <c r="O423" s="2"/>
      <c r="P423" s="2"/>
      <c r="Q423" s="2"/>
      <c r="S423" s="3"/>
      <c r="T423" s="3"/>
      <c r="U423" s="3"/>
      <c r="V423" s="3"/>
      <c r="W423" s="3"/>
      <c r="X423" s="3"/>
      <c r="Y423" s="3"/>
      <c r="Z423" s="3"/>
    </row>
    <row r="424" ht="15.75" customHeight="1">
      <c r="A424" s="3"/>
      <c r="B424" s="2"/>
      <c r="C424" s="2"/>
      <c r="D424" s="474"/>
      <c r="E424" s="464"/>
      <c r="F424" s="2"/>
      <c r="G424" s="2"/>
      <c r="H424" s="2"/>
      <c r="I424" s="2"/>
      <c r="J424" s="2"/>
      <c r="K424" s="2"/>
      <c r="L424" s="2"/>
      <c r="M424" s="2"/>
      <c r="N424" s="2"/>
      <c r="O424" s="2"/>
      <c r="P424" s="2"/>
      <c r="Q424" s="2"/>
      <c r="S424" s="3"/>
      <c r="T424" s="3"/>
      <c r="U424" s="3"/>
      <c r="V424" s="3"/>
      <c r="W424" s="3"/>
      <c r="X424" s="3"/>
      <c r="Y424" s="3"/>
      <c r="Z424" s="3"/>
    </row>
    <row r="425" ht="15.75" customHeight="1">
      <c r="A425" s="3"/>
      <c r="B425" s="2"/>
      <c r="C425" s="2"/>
      <c r="D425" s="474"/>
      <c r="E425" s="464"/>
      <c r="F425" s="2"/>
      <c r="G425" s="2"/>
      <c r="H425" s="2"/>
      <c r="I425" s="2"/>
      <c r="J425" s="2"/>
      <c r="K425" s="2"/>
      <c r="L425" s="2"/>
      <c r="M425" s="2"/>
      <c r="N425" s="2"/>
      <c r="O425" s="2"/>
      <c r="P425" s="2"/>
      <c r="Q425" s="2"/>
      <c r="S425" s="3"/>
      <c r="T425" s="3"/>
      <c r="U425" s="3"/>
      <c r="V425" s="3"/>
      <c r="W425" s="3"/>
      <c r="X425" s="3"/>
      <c r="Y425" s="3"/>
      <c r="Z425" s="3"/>
    </row>
    <row r="426" ht="15.75" customHeight="1">
      <c r="A426" s="3"/>
      <c r="B426" s="2"/>
      <c r="C426" s="2"/>
      <c r="D426" s="474"/>
      <c r="E426" s="464"/>
      <c r="F426" s="2"/>
      <c r="G426" s="2"/>
      <c r="H426" s="2"/>
      <c r="I426" s="2"/>
      <c r="J426" s="2"/>
      <c r="K426" s="2"/>
      <c r="L426" s="2"/>
      <c r="M426" s="2"/>
      <c r="N426" s="2"/>
      <c r="O426" s="2"/>
      <c r="P426" s="2"/>
      <c r="Q426" s="2"/>
      <c r="S426" s="3"/>
      <c r="T426" s="3"/>
      <c r="U426" s="3"/>
      <c r="V426" s="3"/>
      <c r="W426" s="3"/>
      <c r="X426" s="3"/>
      <c r="Y426" s="3"/>
      <c r="Z426" s="3"/>
    </row>
    <row r="427" ht="15.75" customHeight="1">
      <c r="A427" s="3"/>
      <c r="B427" s="2"/>
      <c r="C427" s="2"/>
      <c r="D427" s="474"/>
      <c r="E427" s="464"/>
      <c r="F427" s="2"/>
      <c r="G427" s="2"/>
      <c r="H427" s="2"/>
      <c r="I427" s="2"/>
      <c r="J427" s="2"/>
      <c r="K427" s="2"/>
      <c r="L427" s="2"/>
      <c r="M427" s="2"/>
      <c r="N427" s="2"/>
      <c r="O427" s="2"/>
      <c r="P427" s="2"/>
      <c r="Q427" s="2"/>
      <c r="S427" s="3"/>
      <c r="T427" s="3"/>
      <c r="U427" s="3"/>
      <c r="V427" s="3"/>
      <c r="W427" s="3"/>
      <c r="X427" s="3"/>
      <c r="Y427" s="3"/>
      <c r="Z427" s="3"/>
    </row>
    <row r="428" ht="15.75" customHeight="1">
      <c r="A428" s="3"/>
      <c r="B428" s="2"/>
      <c r="C428" s="2"/>
      <c r="D428" s="474"/>
      <c r="E428" s="464"/>
      <c r="F428" s="2"/>
      <c r="G428" s="2"/>
      <c r="H428" s="2"/>
      <c r="I428" s="2"/>
      <c r="J428" s="2"/>
      <c r="K428" s="2"/>
      <c r="L428" s="2"/>
      <c r="M428" s="2"/>
      <c r="N428" s="2"/>
      <c r="O428" s="2"/>
      <c r="P428" s="2"/>
      <c r="Q428" s="2"/>
      <c r="S428" s="3"/>
      <c r="T428" s="3"/>
      <c r="U428" s="3"/>
      <c r="V428" s="3"/>
      <c r="W428" s="3"/>
      <c r="X428" s="3"/>
      <c r="Y428" s="3"/>
      <c r="Z428" s="3"/>
    </row>
    <row r="429" ht="15.75" customHeight="1">
      <c r="A429" s="3"/>
      <c r="B429" s="2"/>
      <c r="C429" s="2"/>
      <c r="D429" s="474"/>
      <c r="E429" s="464"/>
      <c r="F429" s="2"/>
      <c r="G429" s="2"/>
      <c r="H429" s="2"/>
      <c r="I429" s="2"/>
      <c r="J429" s="2"/>
      <c r="K429" s="2"/>
      <c r="L429" s="2"/>
      <c r="M429" s="2"/>
      <c r="N429" s="2"/>
      <c r="O429" s="2"/>
      <c r="P429" s="2"/>
      <c r="Q429" s="2"/>
      <c r="S429" s="3"/>
      <c r="T429" s="3"/>
      <c r="U429" s="3"/>
      <c r="V429" s="3"/>
      <c r="W429" s="3"/>
      <c r="X429" s="3"/>
      <c r="Y429" s="3"/>
      <c r="Z429" s="3"/>
    </row>
    <row r="430" ht="15.75" customHeight="1">
      <c r="A430" s="3"/>
      <c r="B430" s="2"/>
      <c r="C430" s="2"/>
      <c r="D430" s="474"/>
      <c r="E430" s="464"/>
      <c r="F430" s="2"/>
      <c r="G430" s="2"/>
      <c r="H430" s="2"/>
      <c r="I430" s="2"/>
      <c r="J430" s="2"/>
      <c r="K430" s="2"/>
      <c r="L430" s="2"/>
      <c r="M430" s="2"/>
      <c r="N430" s="2"/>
      <c r="O430" s="2"/>
      <c r="P430" s="2"/>
      <c r="Q430" s="2"/>
      <c r="S430" s="3"/>
      <c r="T430" s="3"/>
      <c r="U430" s="3"/>
      <c r="V430" s="3"/>
      <c r="W430" s="3"/>
      <c r="X430" s="3"/>
      <c r="Y430" s="3"/>
      <c r="Z430" s="3"/>
    </row>
    <row r="431" ht="15.75" customHeight="1">
      <c r="A431" s="3"/>
      <c r="B431" s="2"/>
      <c r="C431" s="2"/>
      <c r="D431" s="474"/>
      <c r="E431" s="464"/>
      <c r="F431" s="2"/>
      <c r="G431" s="2"/>
      <c r="H431" s="2"/>
      <c r="I431" s="2"/>
      <c r="J431" s="2"/>
      <c r="K431" s="2"/>
      <c r="L431" s="2"/>
      <c r="M431" s="2"/>
      <c r="N431" s="2"/>
      <c r="O431" s="2"/>
      <c r="P431" s="2"/>
      <c r="Q431" s="2"/>
      <c r="S431" s="3"/>
      <c r="T431" s="3"/>
      <c r="U431" s="3"/>
      <c r="V431" s="3"/>
      <c r="W431" s="3"/>
      <c r="X431" s="3"/>
      <c r="Y431" s="3"/>
      <c r="Z431" s="3"/>
    </row>
    <row r="432" ht="15.75" customHeight="1">
      <c r="A432" s="3"/>
      <c r="B432" s="2"/>
      <c r="C432" s="2"/>
      <c r="D432" s="474"/>
      <c r="E432" s="464"/>
      <c r="F432" s="2"/>
      <c r="G432" s="2"/>
      <c r="H432" s="2"/>
      <c r="I432" s="2"/>
      <c r="J432" s="2"/>
      <c r="K432" s="2"/>
      <c r="L432" s="2"/>
      <c r="M432" s="2"/>
      <c r="N432" s="2"/>
      <c r="O432" s="2"/>
      <c r="P432" s="2"/>
      <c r="Q432" s="2"/>
      <c r="S432" s="3"/>
      <c r="T432" s="3"/>
      <c r="U432" s="3"/>
      <c r="V432" s="3"/>
      <c r="W432" s="3"/>
      <c r="X432" s="3"/>
      <c r="Y432" s="3"/>
      <c r="Z432" s="3"/>
    </row>
    <row r="433" ht="15.75" customHeight="1">
      <c r="A433" s="3"/>
      <c r="B433" s="2"/>
      <c r="C433" s="2"/>
      <c r="D433" s="474"/>
      <c r="E433" s="464"/>
      <c r="F433" s="2"/>
      <c r="G433" s="2"/>
      <c r="H433" s="2"/>
      <c r="I433" s="2"/>
      <c r="J433" s="2"/>
      <c r="K433" s="2"/>
      <c r="L433" s="2"/>
      <c r="M433" s="2"/>
      <c r="N433" s="2"/>
      <c r="O433" s="2"/>
      <c r="P433" s="2"/>
      <c r="Q433" s="2"/>
      <c r="S433" s="3"/>
      <c r="T433" s="3"/>
      <c r="U433" s="3"/>
      <c r="V433" s="3"/>
      <c r="W433" s="3"/>
      <c r="X433" s="3"/>
      <c r="Y433" s="3"/>
      <c r="Z433" s="3"/>
    </row>
    <row r="434" ht="15.75" customHeight="1">
      <c r="A434" s="3"/>
      <c r="B434" s="2"/>
      <c r="C434" s="2"/>
      <c r="D434" s="474"/>
      <c r="E434" s="464"/>
      <c r="F434" s="2"/>
      <c r="G434" s="2"/>
      <c r="H434" s="2"/>
      <c r="I434" s="2"/>
      <c r="J434" s="2"/>
      <c r="K434" s="2"/>
      <c r="L434" s="2"/>
      <c r="M434" s="2"/>
      <c r="N434" s="2"/>
      <c r="O434" s="2"/>
      <c r="P434" s="2"/>
      <c r="Q434" s="2"/>
      <c r="S434" s="3"/>
      <c r="T434" s="3"/>
      <c r="U434" s="3"/>
      <c r="V434" s="3"/>
      <c r="W434" s="3"/>
      <c r="X434" s="3"/>
      <c r="Y434" s="3"/>
      <c r="Z434" s="3"/>
    </row>
    <row r="435" ht="15.75" customHeight="1">
      <c r="A435" s="3"/>
      <c r="B435" s="2"/>
      <c r="C435" s="2"/>
      <c r="D435" s="474"/>
      <c r="E435" s="464"/>
      <c r="F435" s="2"/>
      <c r="G435" s="2"/>
      <c r="H435" s="2"/>
      <c r="I435" s="2"/>
      <c r="J435" s="2"/>
      <c r="K435" s="2"/>
      <c r="L435" s="2"/>
      <c r="M435" s="2"/>
      <c r="N435" s="2"/>
      <c r="O435" s="2"/>
      <c r="P435" s="2"/>
      <c r="Q435" s="2"/>
      <c r="S435" s="3"/>
      <c r="T435" s="3"/>
      <c r="U435" s="3"/>
      <c r="V435" s="3"/>
      <c r="W435" s="3"/>
      <c r="X435" s="3"/>
      <c r="Y435" s="3"/>
      <c r="Z435" s="3"/>
    </row>
    <row r="436" ht="15.75" customHeight="1">
      <c r="A436" s="3"/>
      <c r="B436" s="2"/>
      <c r="C436" s="2"/>
      <c r="D436" s="474"/>
      <c r="E436" s="464"/>
      <c r="F436" s="2"/>
      <c r="G436" s="2"/>
      <c r="H436" s="2"/>
      <c r="I436" s="2"/>
      <c r="J436" s="2"/>
      <c r="K436" s="2"/>
      <c r="L436" s="2"/>
      <c r="M436" s="2"/>
      <c r="N436" s="2"/>
      <c r="O436" s="2"/>
      <c r="P436" s="2"/>
      <c r="Q436" s="2"/>
      <c r="S436" s="3"/>
      <c r="T436" s="3"/>
      <c r="U436" s="3"/>
      <c r="V436" s="3"/>
      <c r="W436" s="3"/>
      <c r="X436" s="3"/>
      <c r="Y436" s="3"/>
      <c r="Z436" s="3"/>
    </row>
    <row r="437" ht="15.75" customHeight="1">
      <c r="A437" s="3"/>
      <c r="B437" s="2"/>
      <c r="C437" s="2"/>
      <c r="D437" s="474"/>
      <c r="E437" s="464"/>
      <c r="F437" s="2"/>
      <c r="G437" s="2"/>
      <c r="H437" s="2"/>
      <c r="I437" s="2"/>
      <c r="J437" s="2"/>
      <c r="K437" s="2"/>
      <c r="L437" s="2"/>
      <c r="M437" s="2"/>
      <c r="N437" s="2"/>
      <c r="O437" s="2"/>
      <c r="P437" s="2"/>
      <c r="Q437" s="2"/>
      <c r="S437" s="3"/>
      <c r="T437" s="3"/>
      <c r="U437" s="3"/>
      <c r="V437" s="3"/>
      <c r="W437" s="3"/>
      <c r="X437" s="3"/>
      <c r="Y437" s="3"/>
      <c r="Z437" s="3"/>
    </row>
    <row r="438" ht="15.75" customHeight="1">
      <c r="A438" s="3"/>
      <c r="B438" s="2"/>
      <c r="C438" s="2"/>
      <c r="D438" s="474"/>
      <c r="E438" s="464"/>
      <c r="F438" s="2"/>
      <c r="G438" s="2"/>
      <c r="H438" s="2"/>
      <c r="I438" s="2"/>
      <c r="J438" s="2"/>
      <c r="K438" s="2"/>
      <c r="L438" s="2"/>
      <c r="M438" s="2"/>
      <c r="N438" s="2"/>
      <c r="O438" s="2"/>
      <c r="P438" s="2"/>
      <c r="Q438" s="2"/>
      <c r="S438" s="3"/>
      <c r="T438" s="3"/>
      <c r="U438" s="3"/>
      <c r="V438" s="3"/>
      <c r="W438" s="3"/>
      <c r="X438" s="3"/>
      <c r="Y438" s="3"/>
      <c r="Z438" s="3"/>
    </row>
    <row r="439" ht="15.75" customHeight="1">
      <c r="A439" s="3"/>
      <c r="B439" s="2"/>
      <c r="C439" s="2"/>
      <c r="D439" s="474"/>
      <c r="E439" s="464"/>
      <c r="F439" s="2"/>
      <c r="G439" s="2"/>
      <c r="H439" s="2"/>
      <c r="I439" s="2"/>
      <c r="J439" s="2"/>
      <c r="K439" s="2"/>
      <c r="L439" s="2"/>
      <c r="M439" s="2"/>
      <c r="N439" s="2"/>
      <c r="O439" s="2"/>
      <c r="P439" s="2"/>
      <c r="Q439" s="2"/>
      <c r="S439" s="3"/>
      <c r="T439" s="3"/>
      <c r="U439" s="3"/>
      <c r="V439" s="3"/>
      <c r="W439" s="3"/>
      <c r="X439" s="3"/>
      <c r="Y439" s="3"/>
      <c r="Z439" s="3"/>
    </row>
    <row r="440" ht="15.75" customHeight="1">
      <c r="A440" s="3"/>
      <c r="B440" s="2"/>
      <c r="C440" s="2"/>
      <c r="D440" s="474"/>
      <c r="E440" s="464"/>
      <c r="F440" s="2"/>
      <c r="G440" s="2"/>
      <c r="H440" s="2"/>
      <c r="I440" s="2"/>
      <c r="J440" s="2"/>
      <c r="K440" s="2"/>
      <c r="L440" s="2"/>
      <c r="M440" s="2"/>
      <c r="N440" s="2"/>
      <c r="O440" s="2"/>
      <c r="P440" s="2"/>
      <c r="Q440" s="2"/>
      <c r="S440" s="3"/>
      <c r="T440" s="3"/>
      <c r="U440" s="3"/>
      <c r="V440" s="3"/>
      <c r="W440" s="3"/>
      <c r="X440" s="3"/>
      <c r="Y440" s="3"/>
      <c r="Z440" s="3"/>
    </row>
    <row r="441" ht="15.75" customHeight="1">
      <c r="A441" s="3"/>
      <c r="B441" s="2"/>
      <c r="C441" s="2"/>
      <c r="D441" s="474"/>
      <c r="E441" s="464"/>
      <c r="F441" s="2"/>
      <c r="G441" s="2"/>
      <c r="H441" s="2"/>
      <c r="I441" s="2"/>
      <c r="J441" s="2"/>
      <c r="K441" s="2"/>
      <c r="L441" s="2"/>
      <c r="M441" s="2"/>
      <c r="N441" s="2"/>
      <c r="O441" s="2"/>
      <c r="P441" s="2"/>
      <c r="Q441" s="2"/>
      <c r="S441" s="3"/>
      <c r="T441" s="3"/>
      <c r="U441" s="3"/>
      <c r="V441" s="3"/>
      <c r="W441" s="3"/>
      <c r="X441" s="3"/>
      <c r="Y441" s="3"/>
      <c r="Z441" s="3"/>
    </row>
    <row r="442" ht="15.75" customHeight="1">
      <c r="A442" s="3"/>
      <c r="B442" s="2"/>
      <c r="C442" s="2"/>
      <c r="D442" s="474"/>
      <c r="E442" s="464"/>
      <c r="F442" s="2"/>
      <c r="G442" s="2"/>
      <c r="H442" s="2"/>
      <c r="I442" s="2"/>
      <c r="J442" s="2"/>
      <c r="K442" s="2"/>
      <c r="L442" s="2"/>
      <c r="M442" s="2"/>
      <c r="N442" s="2"/>
      <c r="O442" s="2"/>
      <c r="P442" s="2"/>
      <c r="Q442" s="2"/>
      <c r="S442" s="3"/>
      <c r="T442" s="3"/>
      <c r="U442" s="3"/>
      <c r="V442" s="3"/>
      <c r="W442" s="3"/>
      <c r="X442" s="3"/>
      <c r="Y442" s="3"/>
      <c r="Z442" s="3"/>
    </row>
    <row r="443" ht="15.75" customHeight="1">
      <c r="A443" s="3"/>
      <c r="B443" s="2"/>
      <c r="C443" s="2"/>
      <c r="D443" s="474"/>
      <c r="E443" s="464"/>
      <c r="F443" s="2"/>
      <c r="G443" s="2"/>
      <c r="H443" s="2"/>
      <c r="I443" s="2"/>
      <c r="J443" s="2"/>
      <c r="K443" s="2"/>
      <c r="L443" s="2"/>
      <c r="M443" s="2"/>
      <c r="N443" s="2"/>
      <c r="O443" s="2"/>
      <c r="P443" s="2"/>
      <c r="Q443" s="2"/>
      <c r="S443" s="3"/>
      <c r="T443" s="3"/>
      <c r="U443" s="3"/>
      <c r="V443" s="3"/>
      <c r="W443" s="3"/>
      <c r="X443" s="3"/>
      <c r="Y443" s="3"/>
      <c r="Z443" s="3"/>
    </row>
    <row r="444" ht="15.75" customHeight="1">
      <c r="A444" s="3"/>
      <c r="B444" s="2"/>
      <c r="C444" s="2"/>
      <c r="D444" s="474"/>
      <c r="E444" s="464"/>
      <c r="F444" s="2"/>
      <c r="G444" s="2"/>
      <c r="H444" s="2"/>
      <c r="I444" s="2"/>
      <c r="J444" s="2"/>
      <c r="K444" s="2"/>
      <c r="L444" s="2"/>
      <c r="M444" s="2"/>
      <c r="N444" s="2"/>
      <c r="O444" s="2"/>
      <c r="P444" s="2"/>
      <c r="Q444" s="2"/>
      <c r="S444" s="3"/>
      <c r="T444" s="3"/>
      <c r="U444" s="3"/>
      <c r="V444" s="3"/>
      <c r="W444" s="3"/>
      <c r="X444" s="3"/>
      <c r="Y444" s="3"/>
      <c r="Z444" s="3"/>
    </row>
    <row r="445" ht="15.75" customHeight="1">
      <c r="A445" s="3"/>
      <c r="B445" s="2"/>
      <c r="C445" s="2"/>
      <c r="D445" s="474"/>
      <c r="E445" s="464"/>
      <c r="F445" s="2"/>
      <c r="G445" s="2"/>
      <c r="H445" s="2"/>
      <c r="I445" s="2"/>
      <c r="J445" s="2"/>
      <c r="K445" s="2"/>
      <c r="L445" s="2"/>
      <c r="M445" s="2"/>
      <c r="N445" s="2"/>
      <c r="O445" s="2"/>
      <c r="P445" s="2"/>
      <c r="Q445" s="2"/>
      <c r="S445" s="3"/>
      <c r="T445" s="3"/>
      <c r="U445" s="3"/>
      <c r="V445" s="3"/>
      <c r="W445" s="3"/>
      <c r="X445" s="3"/>
      <c r="Y445" s="3"/>
      <c r="Z445" s="3"/>
    </row>
    <row r="446" ht="15.75" customHeight="1">
      <c r="A446" s="3"/>
      <c r="B446" s="2"/>
      <c r="C446" s="2"/>
      <c r="D446" s="474"/>
      <c r="E446" s="464"/>
      <c r="F446" s="2"/>
      <c r="G446" s="2"/>
      <c r="H446" s="2"/>
      <c r="I446" s="2"/>
      <c r="J446" s="2"/>
      <c r="K446" s="2"/>
      <c r="L446" s="2"/>
      <c r="M446" s="2"/>
      <c r="N446" s="2"/>
      <c r="O446" s="2"/>
      <c r="P446" s="2"/>
      <c r="Q446" s="2"/>
      <c r="S446" s="3"/>
      <c r="T446" s="3"/>
      <c r="U446" s="3"/>
      <c r="V446" s="3"/>
      <c r="W446" s="3"/>
      <c r="X446" s="3"/>
      <c r="Y446" s="3"/>
      <c r="Z446" s="3"/>
    </row>
    <row r="447" ht="15.75" customHeight="1">
      <c r="A447" s="3"/>
      <c r="B447" s="2"/>
      <c r="C447" s="2"/>
      <c r="D447" s="474"/>
      <c r="E447" s="464"/>
      <c r="F447" s="2"/>
      <c r="G447" s="2"/>
      <c r="H447" s="2"/>
      <c r="I447" s="2"/>
      <c r="J447" s="2"/>
      <c r="K447" s="2"/>
      <c r="L447" s="2"/>
      <c r="M447" s="2"/>
      <c r="N447" s="2"/>
      <c r="O447" s="2"/>
      <c r="P447" s="2"/>
      <c r="Q447" s="2"/>
      <c r="S447" s="3"/>
      <c r="T447" s="3"/>
      <c r="U447" s="3"/>
      <c r="V447" s="3"/>
      <c r="W447" s="3"/>
      <c r="X447" s="3"/>
      <c r="Y447" s="3"/>
      <c r="Z447" s="3"/>
    </row>
    <row r="448" ht="15.75" customHeight="1">
      <c r="A448" s="3"/>
      <c r="B448" s="2"/>
      <c r="C448" s="2"/>
      <c r="D448" s="474"/>
      <c r="E448" s="464"/>
      <c r="F448" s="2"/>
      <c r="G448" s="2"/>
      <c r="H448" s="2"/>
      <c r="I448" s="2"/>
      <c r="J448" s="2"/>
      <c r="K448" s="2"/>
      <c r="L448" s="2"/>
      <c r="M448" s="2"/>
      <c r="N448" s="2"/>
      <c r="O448" s="2"/>
      <c r="P448" s="2"/>
      <c r="Q448" s="2"/>
      <c r="S448" s="3"/>
      <c r="T448" s="3"/>
      <c r="U448" s="3"/>
      <c r="V448" s="3"/>
      <c r="W448" s="3"/>
      <c r="X448" s="3"/>
      <c r="Y448" s="3"/>
      <c r="Z448" s="3"/>
    </row>
    <row r="449" ht="15.75" customHeight="1">
      <c r="A449" s="3"/>
      <c r="B449" s="2"/>
      <c r="C449" s="2"/>
      <c r="D449" s="474"/>
      <c r="E449" s="464"/>
      <c r="F449" s="2"/>
      <c r="G449" s="2"/>
      <c r="H449" s="2"/>
      <c r="I449" s="2"/>
      <c r="J449" s="2"/>
      <c r="K449" s="2"/>
      <c r="L449" s="2"/>
      <c r="M449" s="2"/>
      <c r="N449" s="2"/>
      <c r="O449" s="2"/>
      <c r="P449" s="2"/>
      <c r="Q449" s="2"/>
      <c r="S449" s="3"/>
      <c r="T449" s="3"/>
      <c r="U449" s="3"/>
      <c r="V449" s="3"/>
      <c r="W449" s="3"/>
      <c r="X449" s="3"/>
      <c r="Y449" s="3"/>
      <c r="Z449" s="3"/>
    </row>
    <row r="450" ht="15.75" customHeight="1">
      <c r="A450" s="3"/>
      <c r="B450" s="2"/>
      <c r="C450" s="2"/>
      <c r="D450" s="474"/>
      <c r="E450" s="464"/>
      <c r="F450" s="2"/>
      <c r="G450" s="2"/>
      <c r="H450" s="2"/>
      <c r="I450" s="2"/>
      <c r="J450" s="2"/>
      <c r="K450" s="2"/>
      <c r="L450" s="2"/>
      <c r="M450" s="2"/>
      <c r="N450" s="2"/>
      <c r="O450" s="2"/>
      <c r="P450" s="2"/>
      <c r="Q450" s="2"/>
      <c r="S450" s="3"/>
      <c r="T450" s="3"/>
      <c r="U450" s="3"/>
      <c r="V450" s="3"/>
      <c r="W450" s="3"/>
      <c r="X450" s="3"/>
      <c r="Y450" s="3"/>
      <c r="Z450" s="3"/>
    </row>
    <row r="451" ht="15.75" customHeight="1">
      <c r="A451" s="3"/>
      <c r="B451" s="2"/>
      <c r="C451" s="2"/>
      <c r="D451" s="474"/>
      <c r="E451" s="464"/>
      <c r="F451" s="2"/>
      <c r="G451" s="2"/>
      <c r="H451" s="2"/>
      <c r="I451" s="2"/>
      <c r="J451" s="2"/>
      <c r="K451" s="2"/>
      <c r="L451" s="2"/>
      <c r="M451" s="2"/>
      <c r="N451" s="2"/>
      <c r="O451" s="2"/>
      <c r="P451" s="2"/>
      <c r="Q451" s="2"/>
      <c r="S451" s="3"/>
      <c r="T451" s="3"/>
      <c r="U451" s="3"/>
      <c r="V451" s="3"/>
      <c r="W451" s="3"/>
      <c r="X451" s="3"/>
      <c r="Y451" s="3"/>
      <c r="Z451" s="3"/>
    </row>
    <row r="452" ht="15.75" customHeight="1">
      <c r="A452" s="3"/>
      <c r="B452" s="2"/>
      <c r="C452" s="2"/>
      <c r="D452" s="474"/>
      <c r="E452" s="464"/>
      <c r="F452" s="2"/>
      <c r="G452" s="2"/>
      <c r="H452" s="2"/>
      <c r="I452" s="2"/>
      <c r="J452" s="2"/>
      <c r="K452" s="2"/>
      <c r="L452" s="2"/>
      <c r="M452" s="2"/>
      <c r="N452" s="2"/>
      <c r="O452" s="2"/>
      <c r="P452" s="2"/>
      <c r="Q452" s="2"/>
      <c r="S452" s="3"/>
      <c r="T452" s="3"/>
      <c r="U452" s="3"/>
      <c r="V452" s="3"/>
      <c r="W452" s="3"/>
      <c r="X452" s="3"/>
      <c r="Y452" s="3"/>
      <c r="Z452" s="3"/>
    </row>
    <row r="453" ht="15.75" customHeight="1">
      <c r="A453" s="3"/>
      <c r="B453" s="2"/>
      <c r="C453" s="2"/>
      <c r="D453" s="474"/>
      <c r="E453" s="464"/>
      <c r="F453" s="2"/>
      <c r="G453" s="2"/>
      <c r="H453" s="2"/>
      <c r="I453" s="2"/>
      <c r="J453" s="2"/>
      <c r="K453" s="2"/>
      <c r="L453" s="2"/>
      <c r="M453" s="2"/>
      <c r="N453" s="2"/>
      <c r="O453" s="2"/>
      <c r="P453" s="2"/>
      <c r="Q453" s="2"/>
      <c r="S453" s="3"/>
      <c r="T453" s="3"/>
      <c r="U453" s="3"/>
      <c r="V453" s="3"/>
      <c r="W453" s="3"/>
      <c r="X453" s="3"/>
      <c r="Y453" s="3"/>
      <c r="Z453" s="3"/>
    </row>
    <row r="454" ht="15.75" customHeight="1">
      <c r="A454" s="3"/>
      <c r="B454" s="2"/>
      <c r="C454" s="2"/>
      <c r="D454" s="474"/>
      <c r="E454" s="464"/>
      <c r="F454" s="2"/>
      <c r="G454" s="2"/>
      <c r="H454" s="2"/>
      <c r="I454" s="2"/>
      <c r="J454" s="2"/>
      <c r="K454" s="2"/>
      <c r="L454" s="2"/>
      <c r="M454" s="2"/>
      <c r="N454" s="2"/>
      <c r="O454" s="2"/>
      <c r="P454" s="2"/>
      <c r="Q454" s="2"/>
      <c r="S454" s="3"/>
      <c r="T454" s="3"/>
      <c r="U454" s="3"/>
      <c r="V454" s="3"/>
      <c r="W454" s="3"/>
      <c r="X454" s="3"/>
      <c r="Y454" s="3"/>
      <c r="Z454" s="3"/>
    </row>
    <row r="455" ht="15.75" customHeight="1">
      <c r="A455" s="3"/>
      <c r="B455" s="2"/>
      <c r="C455" s="2"/>
      <c r="D455" s="474"/>
      <c r="E455" s="464"/>
      <c r="F455" s="2"/>
      <c r="G455" s="2"/>
      <c r="H455" s="2"/>
      <c r="I455" s="2"/>
      <c r="J455" s="2"/>
      <c r="K455" s="2"/>
      <c r="L455" s="2"/>
      <c r="M455" s="2"/>
      <c r="N455" s="2"/>
      <c r="O455" s="2"/>
      <c r="P455" s="2"/>
      <c r="Q455" s="2"/>
      <c r="S455" s="3"/>
      <c r="T455" s="3"/>
      <c r="U455" s="3"/>
      <c r="V455" s="3"/>
      <c r="W455" s="3"/>
      <c r="X455" s="3"/>
      <c r="Y455" s="3"/>
      <c r="Z455" s="3"/>
    </row>
    <row r="456" ht="15.75" customHeight="1">
      <c r="A456" s="3"/>
      <c r="B456" s="2"/>
      <c r="C456" s="2"/>
      <c r="D456" s="474"/>
      <c r="E456" s="464"/>
      <c r="F456" s="2"/>
      <c r="G456" s="2"/>
      <c r="H456" s="2"/>
      <c r="I456" s="2"/>
      <c r="J456" s="2"/>
      <c r="K456" s="2"/>
      <c r="L456" s="2"/>
      <c r="M456" s="2"/>
      <c r="N456" s="2"/>
      <c r="O456" s="2"/>
      <c r="P456" s="2"/>
      <c r="Q456" s="2"/>
      <c r="S456" s="3"/>
      <c r="T456" s="3"/>
      <c r="U456" s="3"/>
      <c r="V456" s="3"/>
      <c r="W456" s="3"/>
      <c r="X456" s="3"/>
      <c r="Y456" s="3"/>
      <c r="Z456" s="3"/>
    </row>
    <row r="457" ht="15.75" customHeight="1">
      <c r="A457" s="3"/>
      <c r="B457" s="2"/>
      <c r="C457" s="2"/>
      <c r="D457" s="474"/>
      <c r="E457" s="464"/>
      <c r="F457" s="2"/>
      <c r="G457" s="2"/>
      <c r="H457" s="2"/>
      <c r="I457" s="2"/>
      <c r="J457" s="2"/>
      <c r="K457" s="2"/>
      <c r="L457" s="2"/>
      <c r="M457" s="2"/>
      <c r="N457" s="2"/>
      <c r="O457" s="2"/>
      <c r="P457" s="2"/>
      <c r="Q457" s="2"/>
      <c r="S457" s="3"/>
      <c r="T457" s="3"/>
      <c r="U457" s="3"/>
      <c r="V457" s="3"/>
      <c r="W457" s="3"/>
      <c r="X457" s="3"/>
      <c r="Y457" s="3"/>
      <c r="Z457" s="3"/>
    </row>
    <row r="458" ht="15.75" customHeight="1">
      <c r="A458" s="3"/>
      <c r="B458" s="2"/>
      <c r="C458" s="2"/>
      <c r="D458" s="474"/>
      <c r="E458" s="464"/>
      <c r="F458" s="2"/>
      <c r="G458" s="2"/>
      <c r="H458" s="2"/>
      <c r="I458" s="2"/>
      <c r="J458" s="2"/>
      <c r="K458" s="2"/>
      <c r="L458" s="2"/>
      <c r="M458" s="2"/>
      <c r="N458" s="2"/>
      <c r="O458" s="2"/>
      <c r="P458" s="2"/>
      <c r="Q458" s="2"/>
      <c r="S458" s="3"/>
      <c r="T458" s="3"/>
      <c r="U458" s="3"/>
      <c r="V458" s="3"/>
      <c r="W458" s="3"/>
      <c r="X458" s="3"/>
      <c r="Y458" s="3"/>
      <c r="Z458" s="3"/>
    </row>
    <row r="459" ht="15.75" customHeight="1">
      <c r="A459" s="3"/>
      <c r="B459" s="2"/>
      <c r="C459" s="2"/>
      <c r="D459" s="474"/>
      <c r="E459" s="464"/>
      <c r="F459" s="2"/>
      <c r="G459" s="2"/>
      <c r="H459" s="2"/>
      <c r="I459" s="2"/>
      <c r="J459" s="2"/>
      <c r="K459" s="2"/>
      <c r="L459" s="2"/>
      <c r="M459" s="2"/>
      <c r="N459" s="2"/>
      <c r="O459" s="2"/>
      <c r="P459" s="2"/>
      <c r="Q459" s="2"/>
      <c r="S459" s="3"/>
      <c r="T459" s="3"/>
      <c r="U459" s="3"/>
      <c r="V459" s="3"/>
      <c r="W459" s="3"/>
      <c r="X459" s="3"/>
      <c r="Y459" s="3"/>
      <c r="Z459" s="3"/>
    </row>
    <row r="460" ht="15.75" customHeight="1">
      <c r="A460" s="3"/>
      <c r="B460" s="2"/>
      <c r="C460" s="2"/>
      <c r="D460" s="474"/>
      <c r="E460" s="464"/>
      <c r="F460" s="2"/>
      <c r="G460" s="2"/>
      <c r="H460" s="2"/>
      <c r="I460" s="2"/>
      <c r="J460" s="2"/>
      <c r="K460" s="2"/>
      <c r="L460" s="2"/>
      <c r="M460" s="2"/>
      <c r="N460" s="2"/>
      <c r="O460" s="2"/>
      <c r="P460" s="2"/>
      <c r="Q460" s="2"/>
      <c r="S460" s="3"/>
      <c r="T460" s="3"/>
      <c r="U460" s="3"/>
      <c r="V460" s="3"/>
      <c r="W460" s="3"/>
      <c r="X460" s="3"/>
      <c r="Y460" s="3"/>
      <c r="Z460" s="3"/>
    </row>
    <row r="461" ht="15.75" customHeight="1">
      <c r="A461" s="3"/>
      <c r="B461" s="2"/>
      <c r="C461" s="2"/>
      <c r="D461" s="474"/>
      <c r="E461" s="464"/>
      <c r="F461" s="2"/>
      <c r="G461" s="2"/>
      <c r="H461" s="2"/>
      <c r="I461" s="2"/>
      <c r="J461" s="2"/>
      <c r="K461" s="2"/>
      <c r="L461" s="2"/>
      <c r="M461" s="2"/>
      <c r="N461" s="2"/>
      <c r="O461" s="2"/>
      <c r="P461" s="2"/>
      <c r="Q461" s="2"/>
      <c r="S461" s="3"/>
      <c r="T461" s="3"/>
      <c r="U461" s="3"/>
      <c r="V461" s="3"/>
      <c r="W461" s="3"/>
      <c r="X461" s="3"/>
      <c r="Y461" s="3"/>
      <c r="Z461" s="3"/>
    </row>
    <row r="462" ht="15.75" customHeight="1">
      <c r="A462" s="3"/>
      <c r="B462" s="2"/>
      <c r="C462" s="2"/>
      <c r="D462" s="474"/>
      <c r="E462" s="464"/>
      <c r="F462" s="2"/>
      <c r="G462" s="2"/>
      <c r="H462" s="2"/>
      <c r="I462" s="2"/>
      <c r="J462" s="2"/>
      <c r="K462" s="2"/>
      <c r="L462" s="2"/>
      <c r="M462" s="2"/>
      <c r="N462" s="2"/>
      <c r="O462" s="2"/>
      <c r="P462" s="2"/>
      <c r="Q462" s="2"/>
      <c r="S462" s="3"/>
      <c r="T462" s="3"/>
      <c r="U462" s="3"/>
      <c r="V462" s="3"/>
      <c r="W462" s="3"/>
      <c r="X462" s="3"/>
      <c r="Y462" s="3"/>
      <c r="Z462" s="3"/>
    </row>
    <row r="463" ht="15.75" customHeight="1">
      <c r="A463" s="3"/>
      <c r="B463" s="2"/>
      <c r="C463" s="2"/>
      <c r="D463" s="474"/>
      <c r="E463" s="464"/>
      <c r="F463" s="2"/>
      <c r="G463" s="2"/>
      <c r="H463" s="2"/>
      <c r="I463" s="2"/>
      <c r="J463" s="2"/>
      <c r="K463" s="2"/>
      <c r="L463" s="2"/>
      <c r="M463" s="2"/>
      <c r="N463" s="2"/>
      <c r="O463" s="2"/>
      <c r="P463" s="2"/>
      <c r="Q463" s="2"/>
      <c r="S463" s="3"/>
      <c r="T463" s="3"/>
      <c r="U463" s="3"/>
      <c r="V463" s="3"/>
      <c r="W463" s="3"/>
      <c r="X463" s="3"/>
      <c r="Y463" s="3"/>
      <c r="Z463" s="3"/>
    </row>
    <row r="464" ht="15.75" customHeight="1">
      <c r="A464" s="3"/>
      <c r="B464" s="2"/>
      <c r="C464" s="2"/>
      <c r="D464" s="474"/>
      <c r="E464" s="464"/>
      <c r="F464" s="2"/>
      <c r="G464" s="2"/>
      <c r="H464" s="2"/>
      <c r="I464" s="2"/>
      <c r="J464" s="2"/>
      <c r="K464" s="2"/>
      <c r="L464" s="2"/>
      <c r="M464" s="2"/>
      <c r="N464" s="2"/>
      <c r="O464" s="2"/>
      <c r="P464" s="2"/>
      <c r="Q464" s="2"/>
      <c r="S464" s="3"/>
      <c r="T464" s="3"/>
      <c r="U464" s="3"/>
      <c r="V464" s="3"/>
      <c r="W464" s="3"/>
      <c r="X464" s="3"/>
      <c r="Y464" s="3"/>
      <c r="Z464" s="3"/>
    </row>
    <row r="465" ht="15.75" customHeight="1">
      <c r="A465" s="3"/>
      <c r="B465" s="2"/>
      <c r="C465" s="2"/>
      <c r="D465" s="474"/>
      <c r="E465" s="464"/>
      <c r="F465" s="2"/>
      <c r="G465" s="2"/>
      <c r="H465" s="2"/>
      <c r="I465" s="2"/>
      <c r="J465" s="2"/>
      <c r="K465" s="2"/>
      <c r="L465" s="2"/>
      <c r="M465" s="2"/>
      <c r="N465" s="2"/>
      <c r="O465" s="2"/>
      <c r="P465" s="2"/>
      <c r="Q465" s="2"/>
      <c r="S465" s="3"/>
      <c r="T465" s="3"/>
      <c r="U465" s="3"/>
      <c r="V465" s="3"/>
      <c r="W465" s="3"/>
      <c r="X465" s="3"/>
      <c r="Y465" s="3"/>
      <c r="Z465" s="3"/>
    </row>
    <row r="466" ht="15.75" customHeight="1">
      <c r="A466" s="3"/>
      <c r="B466" s="2"/>
      <c r="C466" s="2"/>
      <c r="D466" s="474"/>
      <c r="E466" s="464"/>
      <c r="F466" s="2"/>
      <c r="G466" s="2"/>
      <c r="H466" s="2"/>
      <c r="I466" s="2"/>
      <c r="J466" s="2"/>
      <c r="K466" s="2"/>
      <c r="L466" s="2"/>
      <c r="M466" s="2"/>
      <c r="N466" s="2"/>
      <c r="O466" s="2"/>
      <c r="P466" s="2"/>
      <c r="Q466" s="2"/>
      <c r="S466" s="3"/>
      <c r="T466" s="3"/>
      <c r="U466" s="3"/>
      <c r="V466" s="3"/>
      <c r="W466" s="3"/>
      <c r="X466" s="3"/>
      <c r="Y466" s="3"/>
      <c r="Z466" s="3"/>
    </row>
    <row r="467" ht="15.75" customHeight="1">
      <c r="A467" s="3"/>
      <c r="B467" s="2"/>
      <c r="C467" s="2"/>
      <c r="D467" s="474"/>
      <c r="E467" s="464"/>
      <c r="F467" s="2"/>
      <c r="G467" s="2"/>
      <c r="H467" s="2"/>
      <c r="I467" s="2"/>
      <c r="J467" s="2"/>
      <c r="K467" s="2"/>
      <c r="L467" s="2"/>
      <c r="M467" s="2"/>
      <c r="N467" s="2"/>
      <c r="O467" s="2"/>
      <c r="P467" s="2"/>
      <c r="Q467" s="2"/>
      <c r="S467" s="3"/>
      <c r="T467" s="3"/>
      <c r="U467" s="3"/>
      <c r="V467" s="3"/>
      <c r="W467" s="3"/>
      <c r="X467" s="3"/>
      <c r="Y467" s="3"/>
      <c r="Z467" s="3"/>
    </row>
    <row r="468" ht="15.75" customHeight="1">
      <c r="A468" s="3"/>
      <c r="B468" s="2"/>
      <c r="C468" s="2"/>
      <c r="D468" s="474"/>
      <c r="E468" s="464"/>
      <c r="F468" s="2"/>
      <c r="G468" s="2"/>
      <c r="H468" s="2"/>
      <c r="I468" s="2"/>
      <c r="J468" s="2"/>
      <c r="K468" s="2"/>
      <c r="L468" s="2"/>
      <c r="M468" s="2"/>
      <c r="N468" s="2"/>
      <c r="O468" s="2"/>
      <c r="P468" s="2"/>
      <c r="Q468" s="2"/>
      <c r="S468" s="3"/>
      <c r="T468" s="3"/>
      <c r="U468" s="3"/>
      <c r="V468" s="3"/>
      <c r="W468" s="3"/>
      <c r="X468" s="3"/>
      <c r="Y468" s="3"/>
      <c r="Z468" s="3"/>
    </row>
    <row r="469" ht="15.75" customHeight="1">
      <c r="A469" s="3"/>
      <c r="B469" s="2"/>
      <c r="C469" s="2"/>
      <c r="D469" s="474"/>
      <c r="E469" s="464"/>
      <c r="F469" s="2"/>
      <c r="G469" s="2"/>
      <c r="H469" s="2"/>
      <c r="I469" s="2"/>
      <c r="J469" s="2"/>
      <c r="K469" s="2"/>
      <c r="L469" s="2"/>
      <c r="M469" s="2"/>
      <c r="N469" s="2"/>
      <c r="O469" s="2"/>
      <c r="P469" s="2"/>
      <c r="Q469" s="2"/>
      <c r="S469" s="3"/>
      <c r="T469" s="3"/>
      <c r="U469" s="3"/>
      <c r="V469" s="3"/>
      <c r="W469" s="3"/>
      <c r="X469" s="3"/>
      <c r="Y469" s="3"/>
      <c r="Z469" s="3"/>
    </row>
    <row r="470" ht="15.75" customHeight="1">
      <c r="A470" s="3"/>
      <c r="B470" s="2"/>
      <c r="C470" s="2"/>
      <c r="D470" s="474"/>
      <c r="E470" s="464"/>
      <c r="F470" s="2"/>
      <c r="G470" s="2"/>
      <c r="H470" s="2"/>
      <c r="I470" s="2"/>
      <c r="J470" s="2"/>
      <c r="K470" s="2"/>
      <c r="L470" s="2"/>
      <c r="M470" s="2"/>
      <c r="N470" s="2"/>
      <c r="O470" s="2"/>
      <c r="P470" s="2"/>
      <c r="Q470" s="2"/>
      <c r="S470" s="3"/>
      <c r="T470" s="3"/>
      <c r="U470" s="3"/>
      <c r="V470" s="3"/>
      <c r="W470" s="3"/>
      <c r="X470" s="3"/>
      <c r="Y470" s="3"/>
      <c r="Z470" s="3"/>
    </row>
    <row r="471" ht="15.75" customHeight="1">
      <c r="A471" s="3"/>
      <c r="B471" s="2"/>
      <c r="C471" s="2"/>
      <c r="D471" s="474"/>
      <c r="E471" s="464"/>
      <c r="F471" s="2"/>
      <c r="G471" s="2"/>
      <c r="H471" s="2"/>
      <c r="I471" s="2"/>
      <c r="J471" s="2"/>
      <c r="K471" s="2"/>
      <c r="L471" s="2"/>
      <c r="M471" s="2"/>
      <c r="N471" s="2"/>
      <c r="O471" s="2"/>
      <c r="P471" s="2"/>
      <c r="Q471" s="2"/>
      <c r="S471" s="3"/>
      <c r="T471" s="3"/>
      <c r="U471" s="3"/>
      <c r="V471" s="3"/>
      <c r="W471" s="3"/>
      <c r="X471" s="3"/>
      <c r="Y471" s="3"/>
      <c r="Z471" s="3"/>
    </row>
    <row r="472" ht="15.75" customHeight="1">
      <c r="A472" s="3"/>
      <c r="B472" s="2"/>
      <c r="C472" s="2"/>
      <c r="D472" s="474"/>
      <c r="E472" s="464"/>
      <c r="F472" s="2"/>
      <c r="G472" s="2"/>
      <c r="H472" s="2"/>
      <c r="I472" s="2"/>
      <c r="J472" s="2"/>
      <c r="K472" s="2"/>
      <c r="L472" s="2"/>
      <c r="M472" s="2"/>
      <c r="N472" s="2"/>
      <c r="O472" s="2"/>
      <c r="P472" s="2"/>
      <c r="Q472" s="2"/>
      <c r="S472" s="3"/>
      <c r="T472" s="3"/>
      <c r="U472" s="3"/>
      <c r="V472" s="3"/>
      <c r="W472" s="3"/>
      <c r="X472" s="3"/>
      <c r="Y472" s="3"/>
      <c r="Z472" s="3"/>
    </row>
    <row r="473" ht="15.75" customHeight="1">
      <c r="A473" s="3"/>
      <c r="B473" s="2"/>
      <c r="C473" s="2"/>
      <c r="D473" s="474"/>
      <c r="E473" s="464"/>
      <c r="F473" s="2"/>
      <c r="G473" s="2"/>
      <c r="H473" s="2"/>
      <c r="I473" s="2"/>
      <c r="J473" s="2"/>
      <c r="K473" s="2"/>
      <c r="L473" s="2"/>
      <c r="M473" s="2"/>
      <c r="N473" s="2"/>
      <c r="O473" s="2"/>
      <c r="P473" s="2"/>
      <c r="Q473" s="2"/>
      <c r="S473" s="3"/>
      <c r="T473" s="3"/>
      <c r="U473" s="3"/>
      <c r="V473" s="3"/>
      <c r="W473" s="3"/>
      <c r="X473" s="3"/>
      <c r="Y473" s="3"/>
      <c r="Z473" s="3"/>
    </row>
    <row r="474" ht="15.75" customHeight="1">
      <c r="A474" s="3"/>
      <c r="B474" s="2"/>
      <c r="C474" s="2"/>
      <c r="D474" s="474"/>
      <c r="E474" s="464"/>
      <c r="F474" s="2"/>
      <c r="G474" s="2"/>
      <c r="H474" s="2"/>
      <c r="I474" s="2"/>
      <c r="J474" s="2"/>
      <c r="K474" s="2"/>
      <c r="L474" s="2"/>
      <c r="M474" s="2"/>
      <c r="N474" s="2"/>
      <c r="O474" s="2"/>
      <c r="P474" s="2"/>
      <c r="Q474" s="2"/>
      <c r="S474" s="3"/>
      <c r="T474" s="3"/>
      <c r="U474" s="3"/>
      <c r="V474" s="3"/>
      <c r="W474" s="3"/>
      <c r="X474" s="3"/>
      <c r="Y474" s="3"/>
      <c r="Z474" s="3"/>
    </row>
    <row r="475" ht="15.75" customHeight="1">
      <c r="A475" s="3"/>
      <c r="B475" s="2"/>
      <c r="C475" s="2"/>
      <c r="D475" s="474"/>
      <c r="E475" s="464"/>
      <c r="F475" s="2"/>
      <c r="G475" s="2"/>
      <c r="H475" s="2"/>
      <c r="I475" s="2"/>
      <c r="J475" s="2"/>
      <c r="K475" s="2"/>
      <c r="L475" s="2"/>
      <c r="M475" s="2"/>
      <c r="N475" s="2"/>
      <c r="O475" s="2"/>
      <c r="P475" s="2"/>
      <c r="Q475" s="2"/>
      <c r="S475" s="3"/>
      <c r="T475" s="3"/>
      <c r="U475" s="3"/>
      <c r="V475" s="3"/>
      <c r="W475" s="3"/>
      <c r="X475" s="3"/>
      <c r="Y475" s="3"/>
      <c r="Z475" s="3"/>
    </row>
    <row r="476" ht="15.75" customHeight="1">
      <c r="A476" s="3"/>
      <c r="B476" s="2"/>
      <c r="C476" s="2"/>
      <c r="D476" s="474"/>
      <c r="E476" s="464"/>
      <c r="F476" s="2"/>
      <c r="G476" s="2"/>
      <c r="H476" s="2"/>
      <c r="I476" s="2"/>
      <c r="J476" s="2"/>
      <c r="K476" s="2"/>
      <c r="L476" s="2"/>
      <c r="M476" s="2"/>
      <c r="N476" s="2"/>
      <c r="O476" s="2"/>
      <c r="P476" s="2"/>
      <c r="Q476" s="2"/>
      <c r="S476" s="3"/>
      <c r="T476" s="3"/>
      <c r="U476" s="3"/>
      <c r="V476" s="3"/>
      <c r="W476" s="3"/>
      <c r="X476" s="3"/>
      <c r="Y476" s="3"/>
      <c r="Z476" s="3"/>
    </row>
    <row r="477" ht="15.75" customHeight="1">
      <c r="A477" s="3"/>
      <c r="B477" s="2"/>
      <c r="C477" s="2"/>
      <c r="D477" s="474"/>
      <c r="E477" s="464"/>
      <c r="F477" s="2"/>
      <c r="G477" s="2"/>
      <c r="H477" s="2"/>
      <c r="I477" s="2"/>
      <c r="J477" s="2"/>
      <c r="K477" s="2"/>
      <c r="L477" s="2"/>
      <c r="M477" s="2"/>
      <c r="N477" s="2"/>
      <c r="O477" s="2"/>
      <c r="P477" s="2"/>
      <c r="Q477" s="2"/>
      <c r="S477" s="3"/>
      <c r="T477" s="3"/>
      <c r="U477" s="3"/>
      <c r="V477" s="3"/>
      <c r="W477" s="3"/>
      <c r="X477" s="3"/>
      <c r="Y477" s="3"/>
      <c r="Z477" s="3"/>
    </row>
    <row r="478" ht="15.75" customHeight="1">
      <c r="A478" s="3"/>
      <c r="B478" s="2"/>
      <c r="C478" s="2"/>
      <c r="D478" s="474"/>
      <c r="E478" s="464"/>
      <c r="F478" s="2"/>
      <c r="G478" s="2"/>
      <c r="H478" s="2"/>
      <c r="I478" s="2"/>
      <c r="J478" s="2"/>
      <c r="K478" s="2"/>
      <c r="L478" s="2"/>
      <c r="M478" s="2"/>
      <c r="N478" s="2"/>
      <c r="O478" s="2"/>
      <c r="P478" s="2"/>
      <c r="Q478" s="2"/>
      <c r="S478" s="3"/>
      <c r="T478" s="3"/>
      <c r="U478" s="3"/>
      <c r="V478" s="3"/>
      <c r="W478" s="3"/>
      <c r="X478" s="3"/>
      <c r="Y478" s="3"/>
      <c r="Z478" s="3"/>
    </row>
    <row r="479" ht="15.75" customHeight="1">
      <c r="A479" s="3"/>
      <c r="B479" s="2"/>
      <c r="C479" s="2"/>
      <c r="D479" s="474"/>
      <c r="E479" s="464"/>
      <c r="F479" s="2"/>
      <c r="G479" s="2"/>
      <c r="H479" s="2"/>
      <c r="I479" s="2"/>
      <c r="J479" s="2"/>
      <c r="K479" s="2"/>
      <c r="L479" s="2"/>
      <c r="M479" s="2"/>
      <c r="N479" s="2"/>
      <c r="O479" s="2"/>
      <c r="P479" s="2"/>
      <c r="Q479" s="2"/>
      <c r="S479" s="3"/>
      <c r="T479" s="3"/>
      <c r="U479" s="3"/>
      <c r="V479" s="3"/>
      <c r="W479" s="3"/>
      <c r="X479" s="3"/>
      <c r="Y479" s="3"/>
      <c r="Z479" s="3"/>
    </row>
    <row r="480" ht="15.75" customHeight="1">
      <c r="A480" s="3"/>
      <c r="B480" s="2"/>
      <c r="C480" s="2"/>
      <c r="D480" s="474"/>
      <c r="E480" s="464"/>
      <c r="F480" s="2"/>
      <c r="G480" s="2"/>
      <c r="H480" s="2"/>
      <c r="I480" s="2"/>
      <c r="J480" s="2"/>
      <c r="K480" s="2"/>
      <c r="L480" s="2"/>
      <c r="M480" s="2"/>
      <c r="N480" s="2"/>
      <c r="O480" s="2"/>
      <c r="P480" s="2"/>
      <c r="Q480" s="2"/>
      <c r="S480" s="3"/>
      <c r="T480" s="3"/>
      <c r="U480" s="3"/>
      <c r="V480" s="3"/>
      <c r="W480" s="3"/>
      <c r="X480" s="3"/>
      <c r="Y480" s="3"/>
      <c r="Z480" s="3"/>
    </row>
    <row r="481" ht="15.75" customHeight="1">
      <c r="A481" s="3"/>
      <c r="B481" s="2"/>
      <c r="C481" s="2"/>
      <c r="D481" s="474"/>
      <c r="E481" s="464"/>
      <c r="F481" s="2"/>
      <c r="G481" s="2"/>
      <c r="H481" s="2"/>
      <c r="I481" s="2"/>
      <c r="J481" s="2"/>
      <c r="K481" s="2"/>
      <c r="L481" s="2"/>
      <c r="M481" s="2"/>
      <c r="N481" s="2"/>
      <c r="O481" s="2"/>
      <c r="P481" s="2"/>
      <c r="Q481" s="2"/>
      <c r="S481" s="3"/>
      <c r="T481" s="3"/>
      <c r="U481" s="3"/>
      <c r="V481" s="3"/>
      <c r="W481" s="3"/>
      <c r="X481" s="3"/>
      <c r="Y481" s="3"/>
      <c r="Z481" s="3"/>
    </row>
    <row r="482" ht="15.75" customHeight="1">
      <c r="A482" s="3"/>
      <c r="B482" s="2"/>
      <c r="C482" s="2"/>
      <c r="D482" s="474"/>
      <c r="E482" s="464"/>
      <c r="F482" s="2"/>
      <c r="G482" s="2"/>
      <c r="H482" s="2"/>
      <c r="I482" s="2"/>
      <c r="J482" s="2"/>
      <c r="K482" s="2"/>
      <c r="L482" s="2"/>
      <c r="M482" s="2"/>
      <c r="N482" s="2"/>
      <c r="O482" s="2"/>
      <c r="P482" s="2"/>
      <c r="Q482" s="2"/>
      <c r="S482" s="3"/>
      <c r="T482" s="3"/>
      <c r="U482" s="3"/>
      <c r="V482" s="3"/>
      <c r="W482" s="3"/>
      <c r="X482" s="3"/>
      <c r="Y482" s="3"/>
      <c r="Z482" s="3"/>
    </row>
    <row r="483" ht="15.75" customHeight="1">
      <c r="A483" s="3"/>
      <c r="B483" s="2"/>
      <c r="C483" s="2"/>
      <c r="D483" s="474"/>
      <c r="E483" s="464"/>
      <c r="F483" s="2"/>
      <c r="G483" s="2"/>
      <c r="H483" s="2"/>
      <c r="I483" s="2"/>
      <c r="J483" s="2"/>
      <c r="K483" s="2"/>
      <c r="L483" s="2"/>
      <c r="M483" s="2"/>
      <c r="N483" s="2"/>
      <c r="O483" s="2"/>
      <c r="P483" s="2"/>
      <c r="Q483" s="2"/>
      <c r="S483" s="3"/>
      <c r="T483" s="3"/>
      <c r="U483" s="3"/>
      <c r="V483" s="3"/>
      <c r="W483" s="3"/>
      <c r="X483" s="3"/>
      <c r="Y483" s="3"/>
      <c r="Z483" s="3"/>
    </row>
    <row r="484" ht="15.75" customHeight="1">
      <c r="A484" s="3"/>
      <c r="B484" s="2"/>
      <c r="C484" s="2"/>
      <c r="D484" s="474"/>
      <c r="E484" s="464"/>
      <c r="F484" s="2"/>
      <c r="G484" s="2"/>
      <c r="H484" s="2"/>
      <c r="I484" s="2"/>
      <c r="J484" s="2"/>
      <c r="K484" s="2"/>
      <c r="L484" s="2"/>
      <c r="M484" s="2"/>
      <c r="N484" s="2"/>
      <c r="O484" s="2"/>
      <c r="P484" s="2"/>
      <c r="Q484" s="2"/>
      <c r="S484" s="3"/>
      <c r="T484" s="3"/>
      <c r="U484" s="3"/>
      <c r="V484" s="3"/>
      <c r="W484" s="3"/>
      <c r="X484" s="3"/>
      <c r="Y484" s="3"/>
      <c r="Z484" s="3"/>
    </row>
    <row r="485" ht="15.75" customHeight="1">
      <c r="A485" s="3"/>
      <c r="B485" s="2"/>
      <c r="C485" s="2"/>
      <c r="D485" s="474"/>
      <c r="E485" s="464"/>
      <c r="F485" s="2"/>
      <c r="G485" s="2"/>
      <c r="H485" s="2"/>
      <c r="I485" s="2"/>
      <c r="J485" s="2"/>
      <c r="K485" s="2"/>
      <c r="L485" s="2"/>
      <c r="M485" s="2"/>
      <c r="N485" s="2"/>
      <c r="O485" s="2"/>
      <c r="P485" s="2"/>
      <c r="Q485" s="2"/>
      <c r="S485" s="3"/>
      <c r="T485" s="3"/>
      <c r="U485" s="3"/>
      <c r="V485" s="3"/>
      <c r="W485" s="3"/>
      <c r="X485" s="3"/>
      <c r="Y485" s="3"/>
      <c r="Z485" s="3"/>
    </row>
    <row r="486" ht="15.75" customHeight="1">
      <c r="A486" s="3"/>
      <c r="B486" s="2"/>
      <c r="C486" s="2"/>
      <c r="D486" s="474"/>
      <c r="E486" s="464"/>
      <c r="F486" s="2"/>
      <c r="G486" s="2"/>
      <c r="H486" s="2"/>
      <c r="I486" s="2"/>
      <c r="J486" s="2"/>
      <c r="K486" s="2"/>
      <c r="L486" s="2"/>
      <c r="M486" s="2"/>
      <c r="N486" s="2"/>
      <c r="O486" s="2"/>
      <c r="P486" s="2"/>
      <c r="Q486" s="2"/>
      <c r="S486" s="3"/>
      <c r="T486" s="3"/>
      <c r="U486" s="3"/>
      <c r="V486" s="3"/>
      <c r="W486" s="3"/>
      <c r="X486" s="3"/>
      <c r="Y486" s="3"/>
      <c r="Z486" s="3"/>
    </row>
    <row r="487" ht="15.75" customHeight="1">
      <c r="A487" s="3"/>
      <c r="B487" s="2"/>
      <c r="C487" s="2"/>
      <c r="D487" s="474"/>
      <c r="E487" s="464"/>
      <c r="F487" s="2"/>
      <c r="G487" s="2"/>
      <c r="H487" s="2"/>
      <c r="I487" s="2"/>
      <c r="J487" s="2"/>
      <c r="K487" s="2"/>
      <c r="L487" s="2"/>
      <c r="M487" s="2"/>
      <c r="N487" s="2"/>
      <c r="O487" s="2"/>
      <c r="P487" s="2"/>
      <c r="Q487" s="2"/>
      <c r="S487" s="3"/>
      <c r="T487" s="3"/>
      <c r="U487" s="3"/>
      <c r="V487" s="3"/>
      <c r="W487" s="3"/>
      <c r="X487" s="3"/>
      <c r="Y487" s="3"/>
      <c r="Z487" s="3"/>
    </row>
    <row r="488" ht="15.75" customHeight="1">
      <c r="A488" s="3"/>
      <c r="B488" s="2"/>
      <c r="C488" s="2"/>
      <c r="D488" s="474"/>
      <c r="E488" s="464"/>
      <c r="F488" s="2"/>
      <c r="G488" s="2"/>
      <c r="H488" s="2"/>
      <c r="I488" s="2"/>
      <c r="J488" s="2"/>
      <c r="K488" s="2"/>
      <c r="L488" s="2"/>
      <c r="M488" s="2"/>
      <c r="N488" s="2"/>
      <c r="O488" s="2"/>
      <c r="P488" s="2"/>
      <c r="Q488" s="2"/>
      <c r="S488" s="3"/>
      <c r="T488" s="3"/>
      <c r="U488" s="3"/>
      <c r="V488" s="3"/>
      <c r="W488" s="3"/>
      <c r="X488" s="3"/>
      <c r="Y488" s="3"/>
      <c r="Z488" s="3"/>
    </row>
    <row r="489" ht="15.75" customHeight="1">
      <c r="A489" s="3"/>
      <c r="B489" s="2"/>
      <c r="C489" s="2"/>
      <c r="D489" s="474"/>
      <c r="E489" s="464"/>
      <c r="F489" s="2"/>
      <c r="G489" s="2"/>
      <c r="H489" s="2"/>
      <c r="I489" s="2"/>
      <c r="J489" s="2"/>
      <c r="K489" s="2"/>
      <c r="L489" s="2"/>
      <c r="M489" s="2"/>
      <c r="N489" s="2"/>
      <c r="O489" s="2"/>
      <c r="P489" s="2"/>
      <c r="Q489" s="2"/>
      <c r="S489" s="3"/>
      <c r="T489" s="3"/>
      <c r="U489" s="3"/>
      <c r="V489" s="3"/>
      <c r="W489" s="3"/>
      <c r="X489" s="3"/>
      <c r="Y489" s="3"/>
      <c r="Z489" s="3"/>
    </row>
    <row r="490" ht="15.75" customHeight="1">
      <c r="A490" s="3"/>
      <c r="B490" s="2"/>
      <c r="C490" s="2"/>
      <c r="D490" s="474"/>
      <c r="E490" s="464"/>
      <c r="F490" s="2"/>
      <c r="G490" s="2"/>
      <c r="H490" s="2"/>
      <c r="I490" s="2"/>
      <c r="J490" s="2"/>
      <c r="K490" s="2"/>
      <c r="L490" s="2"/>
      <c r="M490" s="2"/>
      <c r="N490" s="2"/>
      <c r="O490" s="2"/>
      <c r="P490" s="2"/>
      <c r="Q490" s="2"/>
      <c r="S490" s="3"/>
      <c r="T490" s="3"/>
      <c r="U490" s="3"/>
      <c r="V490" s="3"/>
      <c r="W490" s="3"/>
      <c r="X490" s="3"/>
      <c r="Y490" s="3"/>
      <c r="Z490" s="3"/>
    </row>
    <row r="491" ht="15.75" customHeight="1">
      <c r="A491" s="3"/>
      <c r="B491" s="2"/>
      <c r="C491" s="2"/>
      <c r="D491" s="474"/>
      <c r="E491" s="464"/>
      <c r="F491" s="2"/>
      <c r="G491" s="2"/>
      <c r="H491" s="2"/>
      <c r="I491" s="2"/>
      <c r="J491" s="2"/>
      <c r="K491" s="2"/>
      <c r="L491" s="2"/>
      <c r="M491" s="2"/>
      <c r="N491" s="2"/>
      <c r="O491" s="2"/>
      <c r="P491" s="2"/>
      <c r="Q491" s="2"/>
      <c r="S491" s="3"/>
      <c r="T491" s="3"/>
      <c r="U491" s="3"/>
      <c r="V491" s="3"/>
      <c r="W491" s="3"/>
      <c r="X491" s="3"/>
      <c r="Y491" s="3"/>
      <c r="Z491" s="3"/>
    </row>
    <row r="492" ht="15.75" customHeight="1">
      <c r="A492" s="3"/>
      <c r="B492" s="2"/>
      <c r="C492" s="2"/>
      <c r="D492" s="474"/>
      <c r="E492" s="464"/>
      <c r="F492" s="2"/>
      <c r="G492" s="2"/>
      <c r="H492" s="2"/>
      <c r="I492" s="2"/>
      <c r="J492" s="2"/>
      <c r="K492" s="2"/>
      <c r="L492" s="2"/>
      <c r="M492" s="2"/>
      <c r="N492" s="2"/>
      <c r="O492" s="2"/>
      <c r="P492" s="2"/>
      <c r="Q492" s="2"/>
      <c r="S492" s="3"/>
      <c r="T492" s="3"/>
      <c r="U492" s="3"/>
      <c r="V492" s="3"/>
      <c r="W492" s="3"/>
      <c r="X492" s="3"/>
      <c r="Y492" s="3"/>
      <c r="Z492" s="3"/>
    </row>
    <row r="493" ht="15.75" customHeight="1">
      <c r="A493" s="3"/>
      <c r="B493" s="2"/>
      <c r="C493" s="2"/>
      <c r="D493" s="474"/>
      <c r="E493" s="464"/>
      <c r="F493" s="2"/>
      <c r="G493" s="2"/>
      <c r="H493" s="2"/>
      <c r="I493" s="2"/>
      <c r="J493" s="2"/>
      <c r="K493" s="2"/>
      <c r="L493" s="2"/>
      <c r="M493" s="2"/>
      <c r="N493" s="2"/>
      <c r="O493" s="2"/>
      <c r="P493" s="2"/>
      <c r="Q493" s="2"/>
      <c r="S493" s="3"/>
      <c r="T493" s="3"/>
      <c r="U493" s="3"/>
      <c r="V493" s="3"/>
      <c r="W493" s="3"/>
      <c r="X493" s="3"/>
      <c r="Y493" s="3"/>
      <c r="Z493" s="3"/>
    </row>
    <row r="494" ht="15.75" customHeight="1">
      <c r="A494" s="3"/>
      <c r="B494" s="2"/>
      <c r="C494" s="2"/>
      <c r="D494" s="474"/>
      <c r="E494" s="464"/>
      <c r="F494" s="2"/>
      <c r="G494" s="2"/>
      <c r="H494" s="2"/>
      <c r="I494" s="2"/>
      <c r="J494" s="2"/>
      <c r="K494" s="2"/>
      <c r="L494" s="2"/>
      <c r="M494" s="2"/>
      <c r="N494" s="2"/>
      <c r="O494" s="2"/>
      <c r="P494" s="2"/>
      <c r="Q494" s="2"/>
      <c r="S494" s="3"/>
      <c r="T494" s="3"/>
      <c r="U494" s="3"/>
      <c r="V494" s="3"/>
      <c r="W494" s="3"/>
      <c r="X494" s="3"/>
      <c r="Y494" s="3"/>
      <c r="Z494" s="3"/>
    </row>
    <row r="495" ht="15.75" customHeight="1">
      <c r="A495" s="3"/>
      <c r="B495" s="2"/>
      <c r="C495" s="2"/>
      <c r="D495" s="474"/>
      <c r="E495" s="464"/>
      <c r="F495" s="2"/>
      <c r="G495" s="2"/>
      <c r="H495" s="2"/>
      <c r="I495" s="2"/>
      <c r="J495" s="2"/>
      <c r="K495" s="2"/>
      <c r="L495" s="2"/>
      <c r="M495" s="2"/>
      <c r="N495" s="2"/>
      <c r="O495" s="2"/>
      <c r="P495" s="2"/>
      <c r="Q495" s="2"/>
      <c r="S495" s="3"/>
      <c r="T495" s="3"/>
      <c r="U495" s="3"/>
      <c r="V495" s="3"/>
      <c r="W495" s="3"/>
      <c r="X495" s="3"/>
      <c r="Y495" s="3"/>
      <c r="Z495" s="3"/>
    </row>
    <row r="496" ht="15.75" customHeight="1">
      <c r="A496" s="3"/>
      <c r="B496" s="2"/>
      <c r="C496" s="2"/>
      <c r="D496" s="474"/>
      <c r="E496" s="464"/>
      <c r="F496" s="2"/>
      <c r="G496" s="2"/>
      <c r="H496" s="2"/>
      <c r="I496" s="2"/>
      <c r="J496" s="2"/>
      <c r="K496" s="2"/>
      <c r="L496" s="2"/>
      <c r="M496" s="2"/>
      <c r="N496" s="2"/>
      <c r="O496" s="2"/>
      <c r="P496" s="2"/>
      <c r="Q496" s="2"/>
      <c r="S496" s="3"/>
      <c r="T496" s="3"/>
      <c r="U496" s="3"/>
      <c r="V496" s="3"/>
      <c r="W496" s="3"/>
      <c r="X496" s="3"/>
      <c r="Y496" s="3"/>
      <c r="Z496" s="3"/>
    </row>
    <row r="497" ht="15.75" customHeight="1">
      <c r="A497" s="3"/>
      <c r="B497" s="2"/>
      <c r="C497" s="2"/>
      <c r="D497" s="474"/>
      <c r="E497" s="464"/>
      <c r="F497" s="2"/>
      <c r="G497" s="2"/>
      <c r="H497" s="2"/>
      <c r="I497" s="2"/>
      <c r="J497" s="2"/>
      <c r="K497" s="2"/>
      <c r="L497" s="2"/>
      <c r="M497" s="2"/>
      <c r="N497" s="2"/>
      <c r="O497" s="2"/>
      <c r="P497" s="2"/>
      <c r="Q497" s="2"/>
      <c r="S497" s="3"/>
      <c r="T497" s="3"/>
      <c r="U497" s="3"/>
      <c r="V497" s="3"/>
      <c r="W497" s="3"/>
      <c r="X497" s="3"/>
      <c r="Y497" s="3"/>
      <c r="Z497" s="3"/>
    </row>
    <row r="498" ht="15.75" customHeight="1">
      <c r="A498" s="3"/>
      <c r="B498" s="2"/>
      <c r="C498" s="2"/>
      <c r="D498" s="474"/>
      <c r="E498" s="464"/>
      <c r="F498" s="2"/>
      <c r="G498" s="2"/>
      <c r="H498" s="2"/>
      <c r="I498" s="2"/>
      <c r="J498" s="2"/>
      <c r="K498" s="2"/>
      <c r="L498" s="2"/>
      <c r="M498" s="2"/>
      <c r="N498" s="2"/>
      <c r="O498" s="2"/>
      <c r="P498" s="2"/>
      <c r="Q498" s="2"/>
      <c r="S498" s="3"/>
      <c r="T498" s="3"/>
      <c r="U498" s="3"/>
      <c r="V498" s="3"/>
      <c r="W498" s="3"/>
      <c r="X498" s="3"/>
      <c r="Y498" s="3"/>
      <c r="Z498" s="3"/>
    </row>
    <row r="499" ht="15.75" customHeight="1">
      <c r="A499" s="3"/>
      <c r="B499" s="2"/>
      <c r="C499" s="2"/>
      <c r="D499" s="474"/>
      <c r="E499" s="464"/>
      <c r="F499" s="2"/>
      <c r="G499" s="2"/>
      <c r="H499" s="2"/>
      <c r="I499" s="2"/>
      <c r="J499" s="2"/>
      <c r="K499" s="2"/>
      <c r="L499" s="2"/>
      <c r="M499" s="2"/>
      <c r="N499" s="2"/>
      <c r="O499" s="2"/>
      <c r="P499" s="2"/>
      <c r="Q499" s="2"/>
      <c r="S499" s="3"/>
      <c r="T499" s="3"/>
      <c r="U499" s="3"/>
      <c r="V499" s="3"/>
      <c r="W499" s="3"/>
      <c r="X499" s="3"/>
      <c r="Y499" s="3"/>
      <c r="Z499" s="3"/>
    </row>
    <row r="500" ht="15.75" customHeight="1">
      <c r="A500" s="3"/>
      <c r="B500" s="2"/>
      <c r="C500" s="2"/>
      <c r="D500" s="474"/>
      <c r="E500" s="464"/>
      <c r="F500" s="2"/>
      <c r="G500" s="2"/>
      <c r="H500" s="2"/>
      <c r="I500" s="2"/>
      <c r="J500" s="2"/>
      <c r="K500" s="2"/>
      <c r="L500" s="2"/>
      <c r="M500" s="2"/>
      <c r="N500" s="2"/>
      <c r="O500" s="2"/>
      <c r="P500" s="2"/>
      <c r="Q500" s="2"/>
      <c r="S500" s="3"/>
      <c r="T500" s="3"/>
      <c r="U500" s="3"/>
      <c r="V500" s="3"/>
      <c r="W500" s="3"/>
      <c r="X500" s="3"/>
      <c r="Y500" s="3"/>
      <c r="Z500" s="3"/>
    </row>
    <row r="501" ht="15.75" customHeight="1">
      <c r="A501" s="3"/>
      <c r="B501" s="2"/>
      <c r="C501" s="2"/>
      <c r="D501" s="474"/>
      <c r="E501" s="464"/>
      <c r="F501" s="2"/>
      <c r="G501" s="2"/>
      <c r="H501" s="2"/>
      <c r="I501" s="2"/>
      <c r="J501" s="2"/>
      <c r="K501" s="2"/>
      <c r="L501" s="2"/>
      <c r="M501" s="2"/>
      <c r="N501" s="2"/>
      <c r="O501" s="2"/>
      <c r="P501" s="2"/>
      <c r="Q501" s="2"/>
      <c r="S501" s="3"/>
      <c r="T501" s="3"/>
      <c r="U501" s="3"/>
      <c r="V501" s="3"/>
      <c r="W501" s="3"/>
      <c r="X501" s="3"/>
      <c r="Y501" s="3"/>
      <c r="Z501" s="3"/>
    </row>
    <row r="502" ht="15.75" customHeight="1">
      <c r="A502" s="3"/>
      <c r="B502" s="2"/>
      <c r="C502" s="2"/>
      <c r="D502" s="474"/>
      <c r="E502" s="464"/>
      <c r="F502" s="2"/>
      <c r="G502" s="2"/>
      <c r="H502" s="2"/>
      <c r="I502" s="2"/>
      <c r="J502" s="2"/>
      <c r="K502" s="2"/>
      <c r="L502" s="2"/>
      <c r="M502" s="2"/>
      <c r="N502" s="2"/>
      <c r="O502" s="2"/>
      <c r="P502" s="2"/>
      <c r="Q502" s="2"/>
      <c r="S502" s="3"/>
      <c r="T502" s="3"/>
      <c r="U502" s="3"/>
      <c r="V502" s="3"/>
      <c r="W502" s="3"/>
      <c r="X502" s="3"/>
      <c r="Y502" s="3"/>
      <c r="Z502" s="3"/>
    </row>
    <row r="503" ht="15.75" customHeight="1">
      <c r="A503" s="3"/>
      <c r="B503" s="2"/>
      <c r="C503" s="2"/>
      <c r="D503" s="474"/>
      <c r="E503" s="464"/>
      <c r="F503" s="2"/>
      <c r="G503" s="2"/>
      <c r="H503" s="2"/>
      <c r="I503" s="2"/>
      <c r="J503" s="2"/>
      <c r="K503" s="2"/>
      <c r="L503" s="2"/>
      <c r="M503" s="2"/>
      <c r="N503" s="2"/>
      <c r="O503" s="2"/>
      <c r="P503" s="2"/>
      <c r="Q503" s="2"/>
      <c r="S503" s="3"/>
      <c r="T503" s="3"/>
      <c r="U503" s="3"/>
      <c r="V503" s="3"/>
      <c r="W503" s="3"/>
      <c r="X503" s="3"/>
      <c r="Y503" s="3"/>
      <c r="Z503" s="3"/>
    </row>
    <row r="504" ht="15.75" customHeight="1">
      <c r="A504" s="3"/>
      <c r="B504" s="2"/>
      <c r="C504" s="2"/>
      <c r="D504" s="474"/>
      <c r="E504" s="464"/>
      <c r="F504" s="2"/>
      <c r="G504" s="2"/>
      <c r="H504" s="2"/>
      <c r="I504" s="2"/>
      <c r="J504" s="2"/>
      <c r="K504" s="2"/>
      <c r="L504" s="2"/>
      <c r="M504" s="2"/>
      <c r="N504" s="2"/>
      <c r="O504" s="2"/>
      <c r="P504" s="2"/>
      <c r="Q504" s="2"/>
      <c r="S504" s="3"/>
      <c r="T504" s="3"/>
      <c r="U504" s="3"/>
      <c r="V504" s="3"/>
      <c r="W504" s="3"/>
      <c r="X504" s="3"/>
      <c r="Y504" s="3"/>
      <c r="Z504" s="3"/>
    </row>
    <row r="505" ht="15.75" customHeight="1">
      <c r="A505" s="3"/>
      <c r="B505" s="2"/>
      <c r="C505" s="2"/>
      <c r="D505" s="474"/>
      <c r="E505" s="464"/>
      <c r="F505" s="2"/>
      <c r="G505" s="2"/>
      <c r="H505" s="2"/>
      <c r="I505" s="2"/>
      <c r="J505" s="2"/>
      <c r="K505" s="2"/>
      <c r="L505" s="2"/>
      <c r="M505" s="2"/>
      <c r="N505" s="2"/>
      <c r="O505" s="2"/>
      <c r="P505" s="2"/>
      <c r="Q505" s="2"/>
      <c r="S505" s="3"/>
      <c r="T505" s="3"/>
      <c r="U505" s="3"/>
      <c r="V505" s="3"/>
      <c r="W505" s="3"/>
      <c r="X505" s="3"/>
      <c r="Y505" s="3"/>
      <c r="Z505" s="3"/>
    </row>
    <row r="506" ht="15.75" customHeight="1">
      <c r="A506" s="3"/>
      <c r="B506" s="2"/>
      <c r="C506" s="2"/>
      <c r="D506" s="474"/>
      <c r="E506" s="464"/>
      <c r="F506" s="2"/>
      <c r="G506" s="2"/>
      <c r="H506" s="2"/>
      <c r="I506" s="2"/>
      <c r="J506" s="2"/>
      <c r="K506" s="2"/>
      <c r="L506" s="2"/>
      <c r="M506" s="2"/>
      <c r="N506" s="2"/>
      <c r="O506" s="2"/>
      <c r="P506" s="2"/>
      <c r="Q506" s="2"/>
      <c r="S506" s="3"/>
      <c r="T506" s="3"/>
      <c r="U506" s="3"/>
      <c r="V506" s="3"/>
      <c r="W506" s="3"/>
      <c r="X506" s="3"/>
      <c r="Y506" s="3"/>
      <c r="Z506" s="3"/>
    </row>
    <row r="507" ht="15.75" customHeight="1">
      <c r="A507" s="3"/>
      <c r="B507" s="2"/>
      <c r="C507" s="2"/>
      <c r="D507" s="474"/>
      <c r="E507" s="464"/>
      <c r="F507" s="2"/>
      <c r="G507" s="2"/>
      <c r="H507" s="2"/>
      <c r="I507" s="2"/>
      <c r="J507" s="2"/>
      <c r="K507" s="2"/>
      <c r="L507" s="2"/>
      <c r="M507" s="2"/>
      <c r="N507" s="2"/>
      <c r="O507" s="2"/>
      <c r="P507" s="2"/>
      <c r="Q507" s="2"/>
      <c r="S507" s="3"/>
      <c r="T507" s="3"/>
      <c r="U507" s="3"/>
      <c r="V507" s="3"/>
      <c r="W507" s="3"/>
      <c r="X507" s="3"/>
      <c r="Y507" s="3"/>
      <c r="Z507" s="3"/>
    </row>
    <row r="508" ht="15.75" customHeight="1">
      <c r="A508" s="3"/>
      <c r="B508" s="2"/>
      <c r="C508" s="2"/>
      <c r="D508" s="474"/>
      <c r="E508" s="464"/>
      <c r="F508" s="2"/>
      <c r="G508" s="2"/>
      <c r="H508" s="2"/>
      <c r="I508" s="2"/>
      <c r="J508" s="2"/>
      <c r="K508" s="2"/>
      <c r="L508" s="2"/>
      <c r="M508" s="2"/>
      <c r="N508" s="2"/>
      <c r="O508" s="2"/>
      <c r="P508" s="2"/>
      <c r="Q508" s="2"/>
      <c r="S508" s="3"/>
      <c r="T508" s="3"/>
      <c r="U508" s="3"/>
      <c r="V508" s="3"/>
      <c r="W508" s="3"/>
      <c r="X508" s="3"/>
      <c r="Y508" s="3"/>
      <c r="Z508" s="3"/>
    </row>
    <row r="509" ht="15.75" customHeight="1">
      <c r="A509" s="3"/>
      <c r="B509" s="2"/>
      <c r="C509" s="2"/>
      <c r="D509" s="474"/>
      <c r="E509" s="464"/>
      <c r="F509" s="2"/>
      <c r="G509" s="2"/>
      <c r="H509" s="2"/>
      <c r="I509" s="2"/>
      <c r="J509" s="2"/>
      <c r="K509" s="2"/>
      <c r="L509" s="2"/>
      <c r="M509" s="2"/>
      <c r="N509" s="2"/>
      <c r="O509" s="2"/>
      <c r="P509" s="2"/>
      <c r="Q509" s="2"/>
      <c r="S509" s="3"/>
      <c r="T509" s="3"/>
      <c r="U509" s="3"/>
      <c r="V509" s="3"/>
      <c r="W509" s="3"/>
      <c r="X509" s="3"/>
      <c r="Y509" s="3"/>
      <c r="Z509" s="3"/>
    </row>
    <row r="510" ht="15.75" customHeight="1">
      <c r="A510" s="3"/>
      <c r="B510" s="2"/>
      <c r="C510" s="2"/>
      <c r="D510" s="474"/>
      <c r="E510" s="464"/>
      <c r="F510" s="2"/>
      <c r="G510" s="2"/>
      <c r="H510" s="2"/>
      <c r="I510" s="2"/>
      <c r="J510" s="2"/>
      <c r="K510" s="2"/>
      <c r="L510" s="2"/>
      <c r="M510" s="2"/>
      <c r="N510" s="2"/>
      <c r="O510" s="2"/>
      <c r="P510" s="2"/>
      <c r="Q510" s="2"/>
      <c r="S510" s="3"/>
      <c r="T510" s="3"/>
      <c r="U510" s="3"/>
      <c r="V510" s="3"/>
      <c r="W510" s="3"/>
      <c r="X510" s="3"/>
      <c r="Y510" s="3"/>
      <c r="Z510" s="3"/>
    </row>
    <row r="511" ht="15.75" customHeight="1">
      <c r="A511" s="3"/>
      <c r="B511" s="2"/>
      <c r="C511" s="2"/>
      <c r="D511" s="474"/>
      <c r="E511" s="464"/>
      <c r="F511" s="2"/>
      <c r="G511" s="2"/>
      <c r="H511" s="2"/>
      <c r="I511" s="2"/>
      <c r="J511" s="2"/>
      <c r="K511" s="2"/>
      <c r="L511" s="2"/>
      <c r="M511" s="2"/>
      <c r="N511" s="2"/>
      <c r="O511" s="2"/>
      <c r="P511" s="2"/>
      <c r="Q511" s="2"/>
      <c r="S511" s="3"/>
      <c r="T511" s="3"/>
      <c r="U511" s="3"/>
      <c r="V511" s="3"/>
      <c r="W511" s="3"/>
      <c r="X511" s="3"/>
      <c r="Y511" s="3"/>
      <c r="Z511" s="3"/>
    </row>
    <row r="512" ht="15.75" customHeight="1">
      <c r="A512" s="3"/>
      <c r="B512" s="2"/>
      <c r="C512" s="2"/>
      <c r="D512" s="474"/>
      <c r="E512" s="464"/>
      <c r="F512" s="2"/>
      <c r="G512" s="2"/>
      <c r="H512" s="2"/>
      <c r="I512" s="2"/>
      <c r="J512" s="2"/>
      <c r="K512" s="2"/>
      <c r="L512" s="2"/>
      <c r="M512" s="2"/>
      <c r="N512" s="2"/>
      <c r="O512" s="2"/>
      <c r="P512" s="2"/>
      <c r="Q512" s="2"/>
      <c r="S512" s="3"/>
      <c r="T512" s="3"/>
      <c r="U512" s="3"/>
      <c r="V512" s="3"/>
      <c r="W512" s="3"/>
      <c r="X512" s="3"/>
      <c r="Y512" s="3"/>
      <c r="Z512" s="3"/>
    </row>
    <row r="513" ht="15.75" customHeight="1">
      <c r="A513" s="3"/>
      <c r="B513" s="2"/>
      <c r="C513" s="2"/>
      <c r="D513" s="474"/>
      <c r="E513" s="464"/>
      <c r="F513" s="2"/>
      <c r="G513" s="2"/>
      <c r="H513" s="2"/>
      <c r="I513" s="2"/>
      <c r="J513" s="2"/>
      <c r="K513" s="2"/>
      <c r="L513" s="2"/>
      <c r="M513" s="2"/>
      <c r="N513" s="2"/>
      <c r="O513" s="2"/>
      <c r="P513" s="2"/>
      <c r="Q513" s="2"/>
      <c r="S513" s="3"/>
      <c r="T513" s="3"/>
      <c r="U513" s="3"/>
      <c r="V513" s="3"/>
      <c r="W513" s="3"/>
      <c r="X513" s="3"/>
      <c r="Y513" s="3"/>
      <c r="Z513" s="3"/>
    </row>
    <row r="514" ht="15.75" customHeight="1">
      <c r="A514" s="3"/>
      <c r="B514" s="2"/>
      <c r="C514" s="2"/>
      <c r="D514" s="474"/>
      <c r="E514" s="464"/>
      <c r="F514" s="2"/>
      <c r="G514" s="2"/>
      <c r="H514" s="2"/>
      <c r="I514" s="2"/>
      <c r="J514" s="2"/>
      <c r="K514" s="2"/>
      <c r="L514" s="2"/>
      <c r="M514" s="2"/>
      <c r="N514" s="2"/>
      <c r="O514" s="2"/>
      <c r="P514" s="2"/>
      <c r="Q514" s="2"/>
      <c r="S514" s="3"/>
      <c r="T514" s="3"/>
      <c r="U514" s="3"/>
      <c r="V514" s="3"/>
      <c r="W514" s="3"/>
      <c r="X514" s="3"/>
      <c r="Y514" s="3"/>
      <c r="Z514" s="3"/>
    </row>
    <row r="515" ht="15.75" customHeight="1">
      <c r="A515" s="3"/>
      <c r="B515" s="2"/>
      <c r="C515" s="2"/>
      <c r="D515" s="474"/>
      <c r="E515" s="464"/>
      <c r="F515" s="2"/>
      <c r="G515" s="2"/>
      <c r="H515" s="2"/>
      <c r="I515" s="2"/>
      <c r="J515" s="2"/>
      <c r="K515" s="2"/>
      <c r="L515" s="2"/>
      <c r="M515" s="2"/>
      <c r="N515" s="2"/>
      <c r="O515" s="2"/>
      <c r="P515" s="2"/>
      <c r="Q515" s="2"/>
      <c r="S515" s="3"/>
      <c r="T515" s="3"/>
      <c r="U515" s="3"/>
      <c r="V515" s="3"/>
      <c r="W515" s="3"/>
      <c r="X515" s="3"/>
      <c r="Y515" s="3"/>
      <c r="Z515" s="3"/>
    </row>
    <row r="516" ht="15.75" customHeight="1">
      <c r="A516" s="3"/>
      <c r="B516" s="2"/>
      <c r="C516" s="2"/>
      <c r="D516" s="474"/>
      <c r="E516" s="464"/>
      <c r="F516" s="2"/>
      <c r="G516" s="2"/>
      <c r="H516" s="2"/>
      <c r="I516" s="2"/>
      <c r="J516" s="2"/>
      <c r="K516" s="2"/>
      <c r="L516" s="2"/>
      <c r="M516" s="2"/>
      <c r="N516" s="2"/>
      <c r="O516" s="2"/>
      <c r="P516" s="2"/>
      <c r="Q516" s="2"/>
      <c r="S516" s="3"/>
      <c r="T516" s="3"/>
      <c r="U516" s="3"/>
      <c r="V516" s="3"/>
      <c r="W516" s="3"/>
      <c r="X516" s="3"/>
      <c r="Y516" s="3"/>
      <c r="Z516" s="3"/>
    </row>
    <row r="517" ht="15.75" customHeight="1">
      <c r="A517" s="3"/>
      <c r="B517" s="2"/>
      <c r="C517" s="2"/>
      <c r="D517" s="474"/>
      <c r="E517" s="464"/>
      <c r="F517" s="2"/>
      <c r="G517" s="2"/>
      <c r="H517" s="2"/>
      <c r="I517" s="2"/>
      <c r="J517" s="2"/>
      <c r="K517" s="2"/>
      <c r="L517" s="2"/>
      <c r="M517" s="2"/>
      <c r="N517" s="2"/>
      <c r="O517" s="2"/>
      <c r="P517" s="2"/>
      <c r="Q517" s="2"/>
      <c r="S517" s="3"/>
      <c r="T517" s="3"/>
      <c r="U517" s="3"/>
      <c r="V517" s="3"/>
      <c r="W517" s="3"/>
      <c r="X517" s="3"/>
      <c r="Y517" s="3"/>
      <c r="Z517" s="3"/>
    </row>
    <row r="518" ht="15.75" customHeight="1">
      <c r="A518" s="3"/>
      <c r="B518" s="2"/>
      <c r="C518" s="2"/>
      <c r="D518" s="474"/>
      <c r="E518" s="464"/>
      <c r="F518" s="2"/>
      <c r="G518" s="2"/>
      <c r="H518" s="2"/>
      <c r="I518" s="2"/>
      <c r="J518" s="2"/>
      <c r="K518" s="2"/>
      <c r="L518" s="2"/>
      <c r="M518" s="2"/>
      <c r="N518" s="2"/>
      <c r="O518" s="2"/>
      <c r="P518" s="2"/>
      <c r="Q518" s="2"/>
      <c r="S518" s="3"/>
      <c r="T518" s="3"/>
      <c r="U518" s="3"/>
      <c r="V518" s="3"/>
      <c r="W518" s="3"/>
      <c r="X518" s="3"/>
      <c r="Y518" s="3"/>
      <c r="Z518" s="3"/>
    </row>
    <row r="519" ht="15.75" customHeight="1">
      <c r="A519" s="3"/>
      <c r="B519" s="2"/>
      <c r="C519" s="2"/>
      <c r="D519" s="474"/>
      <c r="E519" s="464"/>
      <c r="F519" s="2"/>
      <c r="G519" s="2"/>
      <c r="H519" s="2"/>
      <c r="I519" s="2"/>
      <c r="J519" s="2"/>
      <c r="K519" s="2"/>
      <c r="L519" s="2"/>
      <c r="M519" s="2"/>
      <c r="N519" s="2"/>
      <c r="O519" s="2"/>
      <c r="P519" s="2"/>
      <c r="Q519" s="2"/>
      <c r="S519" s="3"/>
      <c r="T519" s="3"/>
      <c r="U519" s="3"/>
      <c r="V519" s="3"/>
      <c r="W519" s="3"/>
      <c r="X519" s="3"/>
      <c r="Y519" s="3"/>
      <c r="Z519" s="3"/>
    </row>
    <row r="520" ht="15.75" customHeight="1">
      <c r="A520" s="3"/>
      <c r="B520" s="2"/>
      <c r="C520" s="2"/>
      <c r="D520" s="474"/>
      <c r="E520" s="464"/>
      <c r="F520" s="2"/>
      <c r="G520" s="2"/>
      <c r="H520" s="2"/>
      <c r="I520" s="2"/>
      <c r="J520" s="2"/>
      <c r="K520" s="2"/>
      <c r="L520" s="2"/>
      <c r="M520" s="2"/>
      <c r="N520" s="2"/>
      <c r="O520" s="2"/>
      <c r="P520" s="2"/>
      <c r="Q520" s="2"/>
      <c r="S520" s="3"/>
      <c r="T520" s="3"/>
      <c r="U520" s="3"/>
      <c r="V520" s="3"/>
      <c r="W520" s="3"/>
      <c r="X520" s="3"/>
      <c r="Y520" s="3"/>
      <c r="Z520" s="3"/>
    </row>
    <row r="521" ht="15.75" customHeight="1">
      <c r="A521" s="3"/>
      <c r="B521" s="2"/>
      <c r="C521" s="2"/>
      <c r="D521" s="474"/>
      <c r="E521" s="464"/>
      <c r="F521" s="2"/>
      <c r="G521" s="2"/>
      <c r="H521" s="2"/>
      <c r="I521" s="2"/>
      <c r="J521" s="2"/>
      <c r="K521" s="2"/>
      <c r="L521" s="2"/>
      <c r="M521" s="2"/>
      <c r="N521" s="2"/>
      <c r="O521" s="2"/>
      <c r="P521" s="2"/>
      <c r="Q521" s="2"/>
      <c r="S521" s="3"/>
      <c r="T521" s="3"/>
      <c r="U521" s="3"/>
      <c r="V521" s="3"/>
      <c r="W521" s="3"/>
      <c r="X521" s="3"/>
      <c r="Y521" s="3"/>
      <c r="Z521" s="3"/>
    </row>
    <row r="522" ht="15.75" customHeight="1">
      <c r="A522" s="3"/>
      <c r="B522" s="2"/>
      <c r="C522" s="2"/>
      <c r="D522" s="474"/>
      <c r="E522" s="464"/>
      <c r="F522" s="2"/>
      <c r="G522" s="2"/>
      <c r="H522" s="2"/>
      <c r="I522" s="2"/>
      <c r="J522" s="2"/>
      <c r="K522" s="2"/>
      <c r="L522" s="2"/>
      <c r="M522" s="2"/>
      <c r="N522" s="2"/>
      <c r="O522" s="2"/>
      <c r="P522" s="2"/>
      <c r="Q522" s="2"/>
      <c r="S522" s="3"/>
      <c r="T522" s="3"/>
      <c r="U522" s="3"/>
      <c r="V522" s="3"/>
      <c r="W522" s="3"/>
      <c r="X522" s="3"/>
      <c r="Y522" s="3"/>
      <c r="Z522" s="3"/>
    </row>
    <row r="523" ht="15.75" customHeight="1">
      <c r="A523" s="3"/>
      <c r="B523" s="2"/>
      <c r="C523" s="2"/>
      <c r="D523" s="474"/>
      <c r="E523" s="464"/>
      <c r="F523" s="2"/>
      <c r="G523" s="2"/>
      <c r="H523" s="2"/>
      <c r="I523" s="2"/>
      <c r="J523" s="2"/>
      <c r="K523" s="2"/>
      <c r="L523" s="2"/>
      <c r="M523" s="2"/>
      <c r="N523" s="2"/>
      <c r="O523" s="2"/>
      <c r="P523" s="2"/>
      <c r="Q523" s="2"/>
      <c r="S523" s="3"/>
      <c r="T523" s="3"/>
      <c r="U523" s="3"/>
      <c r="V523" s="3"/>
      <c r="W523" s="3"/>
      <c r="X523" s="3"/>
      <c r="Y523" s="3"/>
      <c r="Z523" s="3"/>
    </row>
    <row r="524" ht="15.75" customHeight="1">
      <c r="A524" s="3"/>
      <c r="B524" s="2"/>
      <c r="C524" s="2"/>
      <c r="D524" s="474"/>
      <c r="E524" s="464"/>
      <c r="F524" s="2"/>
      <c r="G524" s="2"/>
      <c r="H524" s="2"/>
      <c r="I524" s="2"/>
      <c r="J524" s="2"/>
      <c r="K524" s="2"/>
      <c r="L524" s="2"/>
      <c r="M524" s="2"/>
      <c r="N524" s="2"/>
      <c r="O524" s="2"/>
      <c r="P524" s="2"/>
      <c r="Q524" s="2"/>
      <c r="S524" s="3"/>
      <c r="T524" s="3"/>
      <c r="U524" s="3"/>
      <c r="V524" s="3"/>
      <c r="W524" s="3"/>
      <c r="X524" s="3"/>
      <c r="Y524" s="3"/>
      <c r="Z524" s="3"/>
    </row>
    <row r="525" ht="15.75" customHeight="1">
      <c r="A525" s="3"/>
      <c r="B525" s="2"/>
      <c r="C525" s="2"/>
      <c r="D525" s="474"/>
      <c r="E525" s="464"/>
      <c r="F525" s="2"/>
      <c r="G525" s="2"/>
      <c r="H525" s="2"/>
      <c r="I525" s="2"/>
      <c r="J525" s="2"/>
      <c r="K525" s="2"/>
      <c r="L525" s="2"/>
      <c r="M525" s="2"/>
      <c r="N525" s="2"/>
      <c r="O525" s="2"/>
      <c r="P525" s="2"/>
      <c r="Q525" s="2"/>
      <c r="S525" s="3"/>
      <c r="T525" s="3"/>
      <c r="U525" s="3"/>
      <c r="V525" s="3"/>
      <c r="W525" s="3"/>
      <c r="X525" s="3"/>
      <c r="Y525" s="3"/>
      <c r="Z525" s="3"/>
    </row>
    <row r="526" ht="15.75" customHeight="1">
      <c r="A526" s="3"/>
      <c r="B526" s="2"/>
      <c r="C526" s="2"/>
      <c r="D526" s="474"/>
      <c r="E526" s="464"/>
      <c r="F526" s="2"/>
      <c r="G526" s="2"/>
      <c r="H526" s="2"/>
      <c r="I526" s="2"/>
      <c r="J526" s="2"/>
      <c r="K526" s="2"/>
      <c r="L526" s="2"/>
      <c r="M526" s="2"/>
      <c r="N526" s="2"/>
      <c r="O526" s="2"/>
      <c r="P526" s="2"/>
      <c r="Q526" s="2"/>
      <c r="S526" s="3"/>
      <c r="T526" s="3"/>
      <c r="U526" s="3"/>
      <c r="V526" s="3"/>
      <c r="W526" s="3"/>
      <c r="X526" s="3"/>
      <c r="Y526" s="3"/>
      <c r="Z526" s="3"/>
    </row>
    <row r="527" ht="15.75" customHeight="1">
      <c r="A527" s="3"/>
      <c r="B527" s="2"/>
      <c r="C527" s="2"/>
      <c r="D527" s="474"/>
      <c r="E527" s="464"/>
      <c r="F527" s="2"/>
      <c r="G527" s="2"/>
      <c r="H527" s="2"/>
      <c r="I527" s="2"/>
      <c r="J527" s="2"/>
      <c r="K527" s="2"/>
      <c r="L527" s="2"/>
      <c r="M527" s="2"/>
      <c r="N527" s="2"/>
      <c r="O527" s="2"/>
      <c r="P527" s="2"/>
      <c r="Q527" s="2"/>
      <c r="S527" s="3"/>
      <c r="T527" s="3"/>
      <c r="U527" s="3"/>
      <c r="V527" s="3"/>
      <c r="W527" s="3"/>
      <c r="X527" s="3"/>
      <c r="Y527" s="3"/>
      <c r="Z527" s="3"/>
    </row>
    <row r="528" ht="15.75" customHeight="1">
      <c r="A528" s="3"/>
      <c r="B528" s="2"/>
      <c r="C528" s="2"/>
      <c r="D528" s="474"/>
      <c r="E528" s="464"/>
      <c r="F528" s="2"/>
      <c r="G528" s="2"/>
      <c r="H528" s="2"/>
      <c r="I528" s="2"/>
      <c r="J528" s="2"/>
      <c r="K528" s="2"/>
      <c r="L528" s="2"/>
      <c r="M528" s="2"/>
      <c r="N528" s="2"/>
      <c r="O528" s="2"/>
      <c r="P528" s="2"/>
      <c r="Q528" s="2"/>
      <c r="S528" s="3"/>
      <c r="T528" s="3"/>
      <c r="U528" s="3"/>
      <c r="V528" s="3"/>
      <c r="W528" s="3"/>
      <c r="X528" s="3"/>
      <c r="Y528" s="3"/>
      <c r="Z528" s="3"/>
    </row>
    <row r="529" ht="15.75" customHeight="1">
      <c r="A529" s="3"/>
      <c r="B529" s="2"/>
      <c r="C529" s="2"/>
      <c r="D529" s="474"/>
      <c r="E529" s="464"/>
      <c r="F529" s="2"/>
      <c r="G529" s="2"/>
      <c r="H529" s="2"/>
      <c r="I529" s="2"/>
      <c r="J529" s="2"/>
      <c r="K529" s="2"/>
      <c r="L529" s="2"/>
      <c r="M529" s="2"/>
      <c r="N529" s="2"/>
      <c r="O529" s="2"/>
      <c r="P529" s="2"/>
      <c r="Q529" s="2"/>
      <c r="S529" s="3"/>
      <c r="T529" s="3"/>
      <c r="U529" s="3"/>
      <c r="V529" s="3"/>
      <c r="W529" s="3"/>
      <c r="X529" s="3"/>
      <c r="Y529" s="3"/>
      <c r="Z529" s="3"/>
    </row>
    <row r="530" ht="15.75" customHeight="1">
      <c r="A530" s="3"/>
      <c r="B530" s="2"/>
      <c r="C530" s="2"/>
      <c r="D530" s="474"/>
      <c r="E530" s="464"/>
      <c r="F530" s="2"/>
      <c r="G530" s="2"/>
      <c r="H530" s="2"/>
      <c r="I530" s="2"/>
      <c r="J530" s="2"/>
      <c r="K530" s="2"/>
      <c r="L530" s="2"/>
      <c r="M530" s="2"/>
      <c r="N530" s="2"/>
      <c r="O530" s="2"/>
      <c r="P530" s="2"/>
      <c r="Q530" s="2"/>
      <c r="S530" s="3"/>
      <c r="T530" s="3"/>
      <c r="U530" s="3"/>
      <c r="V530" s="3"/>
      <c r="W530" s="3"/>
      <c r="X530" s="3"/>
      <c r="Y530" s="3"/>
      <c r="Z530" s="3"/>
    </row>
    <row r="531" ht="15.75" customHeight="1">
      <c r="A531" s="3"/>
      <c r="B531" s="2"/>
      <c r="C531" s="2"/>
      <c r="D531" s="474"/>
      <c r="E531" s="464"/>
      <c r="F531" s="2"/>
      <c r="G531" s="2"/>
      <c r="H531" s="2"/>
      <c r="I531" s="2"/>
      <c r="J531" s="2"/>
      <c r="K531" s="2"/>
      <c r="L531" s="2"/>
      <c r="M531" s="2"/>
      <c r="N531" s="2"/>
      <c r="O531" s="2"/>
      <c r="P531" s="2"/>
      <c r="Q531" s="2"/>
      <c r="S531" s="3"/>
      <c r="T531" s="3"/>
      <c r="U531" s="3"/>
      <c r="V531" s="3"/>
      <c r="W531" s="3"/>
      <c r="X531" s="3"/>
      <c r="Y531" s="3"/>
      <c r="Z531" s="3"/>
    </row>
    <row r="532" ht="15.75" customHeight="1">
      <c r="A532" s="3"/>
      <c r="B532" s="2"/>
      <c r="C532" s="2"/>
      <c r="D532" s="474"/>
      <c r="E532" s="464"/>
      <c r="F532" s="2"/>
      <c r="G532" s="2"/>
      <c r="H532" s="2"/>
      <c r="I532" s="2"/>
      <c r="J532" s="2"/>
      <c r="K532" s="2"/>
      <c r="L532" s="2"/>
      <c r="M532" s="2"/>
      <c r="N532" s="2"/>
      <c r="O532" s="2"/>
      <c r="P532" s="2"/>
      <c r="Q532" s="2"/>
      <c r="S532" s="3"/>
      <c r="T532" s="3"/>
      <c r="U532" s="3"/>
      <c r="V532" s="3"/>
      <c r="W532" s="3"/>
      <c r="X532" s="3"/>
      <c r="Y532" s="3"/>
      <c r="Z532" s="3"/>
    </row>
    <row r="533" ht="15.75" customHeight="1">
      <c r="A533" s="3"/>
      <c r="B533" s="2"/>
      <c r="C533" s="2"/>
      <c r="D533" s="474"/>
      <c r="E533" s="464"/>
      <c r="F533" s="2"/>
      <c r="G533" s="2"/>
      <c r="H533" s="2"/>
      <c r="I533" s="2"/>
      <c r="J533" s="2"/>
      <c r="K533" s="2"/>
      <c r="L533" s="2"/>
      <c r="M533" s="2"/>
      <c r="N533" s="2"/>
      <c r="O533" s="2"/>
      <c r="P533" s="2"/>
      <c r="Q533" s="2"/>
      <c r="S533" s="3"/>
      <c r="T533" s="3"/>
      <c r="U533" s="3"/>
      <c r="V533" s="3"/>
      <c r="W533" s="3"/>
      <c r="X533" s="3"/>
      <c r="Y533" s="3"/>
      <c r="Z533" s="3"/>
    </row>
    <row r="534" ht="15.75" customHeight="1">
      <c r="A534" s="3"/>
      <c r="B534" s="2"/>
      <c r="C534" s="2"/>
      <c r="D534" s="474"/>
      <c r="E534" s="464"/>
      <c r="F534" s="2"/>
      <c r="G534" s="2"/>
      <c r="H534" s="2"/>
      <c r="I534" s="2"/>
      <c r="J534" s="2"/>
      <c r="K534" s="2"/>
      <c r="L534" s="2"/>
      <c r="M534" s="2"/>
      <c r="N534" s="2"/>
      <c r="O534" s="2"/>
      <c r="P534" s="2"/>
      <c r="Q534" s="2"/>
      <c r="S534" s="3"/>
      <c r="T534" s="3"/>
      <c r="U534" s="3"/>
      <c r="V534" s="3"/>
      <c r="W534" s="3"/>
      <c r="X534" s="3"/>
      <c r="Y534" s="3"/>
      <c r="Z534" s="3"/>
    </row>
    <row r="535" ht="15.75" customHeight="1">
      <c r="A535" s="3"/>
      <c r="B535" s="2"/>
      <c r="C535" s="2"/>
      <c r="D535" s="474"/>
      <c r="E535" s="464"/>
      <c r="F535" s="2"/>
      <c r="G535" s="2"/>
      <c r="H535" s="2"/>
      <c r="I535" s="2"/>
      <c r="J535" s="2"/>
      <c r="K535" s="2"/>
      <c r="L535" s="2"/>
      <c r="M535" s="2"/>
      <c r="N535" s="2"/>
      <c r="O535" s="2"/>
      <c r="P535" s="2"/>
      <c r="Q535" s="2"/>
      <c r="S535" s="3"/>
      <c r="T535" s="3"/>
      <c r="U535" s="3"/>
      <c r="V535" s="3"/>
      <c r="W535" s="3"/>
      <c r="X535" s="3"/>
      <c r="Y535" s="3"/>
      <c r="Z535" s="3"/>
    </row>
    <row r="536" ht="15.75" customHeight="1">
      <c r="A536" s="3"/>
      <c r="B536" s="2"/>
      <c r="C536" s="2"/>
      <c r="D536" s="474"/>
      <c r="E536" s="464"/>
      <c r="F536" s="2"/>
      <c r="G536" s="2"/>
      <c r="H536" s="2"/>
      <c r="I536" s="2"/>
      <c r="J536" s="2"/>
      <c r="K536" s="2"/>
      <c r="L536" s="2"/>
      <c r="M536" s="2"/>
      <c r="N536" s="2"/>
      <c r="O536" s="2"/>
      <c r="P536" s="2"/>
      <c r="Q536" s="2"/>
      <c r="S536" s="3"/>
      <c r="T536" s="3"/>
      <c r="U536" s="3"/>
      <c r="V536" s="3"/>
      <c r="W536" s="3"/>
      <c r="X536" s="3"/>
      <c r="Y536" s="3"/>
      <c r="Z536" s="3"/>
    </row>
    <row r="537" ht="15.75" customHeight="1">
      <c r="A537" s="3"/>
      <c r="B537" s="2"/>
      <c r="C537" s="2"/>
      <c r="D537" s="474"/>
      <c r="E537" s="464"/>
      <c r="F537" s="2"/>
      <c r="G537" s="2"/>
      <c r="H537" s="2"/>
      <c r="I537" s="2"/>
      <c r="J537" s="2"/>
      <c r="K537" s="2"/>
      <c r="L537" s="2"/>
      <c r="M537" s="2"/>
      <c r="N537" s="2"/>
      <c r="O537" s="2"/>
      <c r="P537" s="2"/>
      <c r="Q537" s="2"/>
      <c r="S537" s="3"/>
      <c r="T537" s="3"/>
      <c r="U537" s="3"/>
      <c r="V537" s="3"/>
      <c r="W537" s="3"/>
      <c r="X537" s="3"/>
      <c r="Y537" s="3"/>
      <c r="Z537" s="3"/>
    </row>
    <row r="538" ht="15.75" customHeight="1">
      <c r="A538" s="3"/>
      <c r="B538" s="2"/>
      <c r="C538" s="2"/>
      <c r="D538" s="474"/>
      <c r="E538" s="464"/>
      <c r="F538" s="2"/>
      <c r="G538" s="2"/>
      <c r="H538" s="2"/>
      <c r="I538" s="2"/>
      <c r="J538" s="2"/>
      <c r="K538" s="2"/>
      <c r="L538" s="2"/>
      <c r="M538" s="2"/>
      <c r="N538" s="2"/>
      <c r="O538" s="2"/>
      <c r="P538" s="2"/>
      <c r="Q538" s="2"/>
      <c r="S538" s="3"/>
      <c r="T538" s="3"/>
      <c r="U538" s="3"/>
      <c r="V538" s="3"/>
      <c r="W538" s="3"/>
      <c r="X538" s="3"/>
      <c r="Y538" s="3"/>
      <c r="Z538" s="3"/>
    </row>
    <row r="539" ht="15.75" customHeight="1">
      <c r="A539" s="3"/>
      <c r="B539" s="2"/>
      <c r="C539" s="2"/>
      <c r="D539" s="474"/>
      <c r="E539" s="464"/>
      <c r="F539" s="2"/>
      <c r="G539" s="2"/>
      <c r="H539" s="2"/>
      <c r="I539" s="2"/>
      <c r="J539" s="2"/>
      <c r="K539" s="2"/>
      <c r="L539" s="2"/>
      <c r="M539" s="2"/>
      <c r="N539" s="2"/>
      <c r="O539" s="2"/>
      <c r="P539" s="2"/>
      <c r="Q539" s="2"/>
      <c r="S539" s="3"/>
      <c r="T539" s="3"/>
      <c r="U539" s="3"/>
      <c r="V539" s="3"/>
      <c r="W539" s="3"/>
      <c r="X539" s="3"/>
      <c r="Y539" s="3"/>
      <c r="Z539" s="3"/>
    </row>
    <row r="540" ht="15.75" customHeight="1">
      <c r="A540" s="3"/>
      <c r="B540" s="2"/>
      <c r="C540" s="2"/>
      <c r="D540" s="474"/>
      <c r="E540" s="464"/>
      <c r="F540" s="2"/>
      <c r="G540" s="2"/>
      <c r="H540" s="2"/>
      <c r="I540" s="2"/>
      <c r="J540" s="2"/>
      <c r="K540" s="2"/>
      <c r="L540" s="2"/>
      <c r="M540" s="2"/>
      <c r="N540" s="2"/>
      <c r="O540" s="2"/>
      <c r="P540" s="2"/>
      <c r="Q540" s="2"/>
      <c r="S540" s="3"/>
      <c r="T540" s="3"/>
      <c r="U540" s="3"/>
      <c r="V540" s="3"/>
      <c r="W540" s="3"/>
      <c r="X540" s="3"/>
      <c r="Y540" s="3"/>
      <c r="Z540" s="3"/>
    </row>
    <row r="541" ht="15.75" customHeight="1">
      <c r="A541" s="3"/>
      <c r="B541" s="2"/>
      <c r="C541" s="2"/>
      <c r="D541" s="474"/>
      <c r="E541" s="464"/>
      <c r="F541" s="2"/>
      <c r="G541" s="2"/>
      <c r="H541" s="2"/>
      <c r="I541" s="2"/>
      <c r="J541" s="2"/>
      <c r="K541" s="2"/>
      <c r="L541" s="2"/>
      <c r="M541" s="2"/>
      <c r="N541" s="2"/>
      <c r="O541" s="2"/>
      <c r="P541" s="2"/>
      <c r="Q541" s="2"/>
      <c r="S541" s="3"/>
      <c r="T541" s="3"/>
      <c r="U541" s="3"/>
      <c r="V541" s="3"/>
      <c r="W541" s="3"/>
      <c r="X541" s="3"/>
      <c r="Y541" s="3"/>
      <c r="Z541" s="3"/>
    </row>
    <row r="542" ht="15.75" customHeight="1">
      <c r="A542" s="3"/>
      <c r="B542" s="2"/>
      <c r="C542" s="2"/>
      <c r="D542" s="474"/>
      <c r="E542" s="464"/>
      <c r="F542" s="2"/>
      <c r="G542" s="2"/>
      <c r="H542" s="2"/>
      <c r="I542" s="2"/>
      <c r="J542" s="2"/>
      <c r="K542" s="2"/>
      <c r="L542" s="2"/>
      <c r="M542" s="2"/>
      <c r="N542" s="2"/>
      <c r="O542" s="2"/>
      <c r="P542" s="2"/>
      <c r="Q542" s="2"/>
      <c r="S542" s="3"/>
      <c r="T542" s="3"/>
      <c r="U542" s="3"/>
      <c r="V542" s="3"/>
      <c r="W542" s="3"/>
      <c r="X542" s="3"/>
      <c r="Y542" s="3"/>
      <c r="Z542" s="3"/>
    </row>
    <row r="543" ht="15.75" customHeight="1">
      <c r="A543" s="3"/>
      <c r="B543" s="2"/>
      <c r="C543" s="2"/>
      <c r="D543" s="474"/>
      <c r="E543" s="464"/>
      <c r="F543" s="2"/>
      <c r="G543" s="2"/>
      <c r="H543" s="2"/>
      <c r="I543" s="2"/>
      <c r="J543" s="2"/>
      <c r="K543" s="2"/>
      <c r="L543" s="2"/>
      <c r="M543" s="2"/>
      <c r="N543" s="2"/>
      <c r="O543" s="2"/>
      <c r="P543" s="2"/>
      <c r="Q543" s="2"/>
      <c r="S543" s="3"/>
      <c r="T543" s="3"/>
      <c r="U543" s="3"/>
      <c r="V543" s="3"/>
      <c r="W543" s="3"/>
      <c r="X543" s="3"/>
      <c r="Y543" s="3"/>
      <c r="Z543" s="3"/>
    </row>
    <row r="544" ht="15.75" customHeight="1">
      <c r="A544" s="3"/>
      <c r="B544" s="2"/>
      <c r="C544" s="2"/>
      <c r="D544" s="474"/>
      <c r="E544" s="464"/>
      <c r="F544" s="2"/>
      <c r="G544" s="2"/>
      <c r="H544" s="2"/>
      <c r="I544" s="2"/>
      <c r="J544" s="2"/>
      <c r="K544" s="2"/>
      <c r="L544" s="2"/>
      <c r="M544" s="2"/>
      <c r="N544" s="2"/>
      <c r="O544" s="2"/>
      <c r="P544" s="2"/>
      <c r="Q544" s="2"/>
      <c r="S544" s="3"/>
      <c r="T544" s="3"/>
      <c r="U544" s="3"/>
      <c r="V544" s="3"/>
      <c r="W544" s="3"/>
      <c r="X544" s="3"/>
      <c r="Y544" s="3"/>
      <c r="Z544" s="3"/>
    </row>
    <row r="545" ht="15.75" customHeight="1">
      <c r="A545" s="3"/>
      <c r="B545" s="2"/>
      <c r="C545" s="2"/>
      <c r="D545" s="474"/>
      <c r="E545" s="464"/>
      <c r="F545" s="2"/>
      <c r="G545" s="2"/>
      <c r="H545" s="2"/>
      <c r="I545" s="2"/>
      <c r="J545" s="2"/>
      <c r="K545" s="2"/>
      <c r="L545" s="2"/>
      <c r="M545" s="2"/>
      <c r="N545" s="2"/>
      <c r="O545" s="2"/>
      <c r="P545" s="2"/>
      <c r="Q545" s="2"/>
      <c r="S545" s="3"/>
      <c r="T545" s="3"/>
      <c r="U545" s="3"/>
      <c r="V545" s="3"/>
      <c r="W545" s="3"/>
      <c r="X545" s="3"/>
      <c r="Y545" s="3"/>
      <c r="Z545" s="3"/>
    </row>
    <row r="546" ht="15.75" customHeight="1">
      <c r="A546" s="3"/>
      <c r="B546" s="2"/>
      <c r="C546" s="2"/>
      <c r="D546" s="474"/>
      <c r="E546" s="464"/>
      <c r="F546" s="2"/>
      <c r="G546" s="2"/>
      <c r="H546" s="2"/>
      <c r="I546" s="2"/>
      <c r="J546" s="2"/>
      <c r="K546" s="2"/>
      <c r="L546" s="2"/>
      <c r="M546" s="2"/>
      <c r="N546" s="2"/>
      <c r="O546" s="2"/>
      <c r="P546" s="2"/>
      <c r="Q546" s="2"/>
      <c r="S546" s="3"/>
      <c r="T546" s="3"/>
      <c r="U546" s="3"/>
      <c r="V546" s="3"/>
      <c r="W546" s="3"/>
      <c r="X546" s="3"/>
      <c r="Y546" s="3"/>
      <c r="Z546" s="3"/>
    </row>
    <row r="547" ht="15.75" customHeight="1">
      <c r="A547" s="3"/>
      <c r="B547" s="2"/>
      <c r="C547" s="2"/>
      <c r="D547" s="474"/>
      <c r="E547" s="464"/>
      <c r="F547" s="2"/>
      <c r="G547" s="2"/>
      <c r="H547" s="2"/>
      <c r="I547" s="2"/>
      <c r="J547" s="2"/>
      <c r="K547" s="2"/>
      <c r="L547" s="2"/>
      <c r="M547" s="2"/>
      <c r="N547" s="2"/>
      <c r="O547" s="2"/>
      <c r="P547" s="2"/>
      <c r="Q547" s="2"/>
      <c r="S547" s="3"/>
      <c r="T547" s="3"/>
      <c r="U547" s="3"/>
      <c r="V547" s="3"/>
      <c r="W547" s="3"/>
      <c r="X547" s="3"/>
      <c r="Y547" s="3"/>
      <c r="Z547" s="3"/>
    </row>
    <row r="548" ht="15.75" customHeight="1">
      <c r="A548" s="3"/>
      <c r="B548" s="2"/>
      <c r="C548" s="2"/>
      <c r="D548" s="474"/>
      <c r="E548" s="464"/>
      <c r="F548" s="2"/>
      <c r="G548" s="2"/>
      <c r="H548" s="2"/>
      <c r="I548" s="2"/>
      <c r="J548" s="2"/>
      <c r="K548" s="2"/>
      <c r="L548" s="2"/>
      <c r="M548" s="2"/>
      <c r="N548" s="2"/>
      <c r="O548" s="2"/>
      <c r="P548" s="2"/>
      <c r="Q548" s="2"/>
      <c r="S548" s="3"/>
      <c r="T548" s="3"/>
      <c r="U548" s="3"/>
      <c r="V548" s="3"/>
      <c r="W548" s="3"/>
      <c r="X548" s="3"/>
      <c r="Y548" s="3"/>
      <c r="Z548" s="3"/>
    </row>
    <row r="549" ht="15.75" customHeight="1">
      <c r="A549" s="3"/>
      <c r="B549" s="2"/>
      <c r="C549" s="2"/>
      <c r="D549" s="474"/>
      <c r="E549" s="464"/>
      <c r="F549" s="2"/>
      <c r="G549" s="2"/>
      <c r="H549" s="2"/>
      <c r="I549" s="2"/>
      <c r="J549" s="2"/>
      <c r="K549" s="2"/>
      <c r="L549" s="2"/>
      <c r="M549" s="2"/>
      <c r="N549" s="2"/>
      <c r="O549" s="2"/>
      <c r="P549" s="2"/>
      <c r="Q549" s="2"/>
      <c r="S549" s="3"/>
      <c r="T549" s="3"/>
      <c r="U549" s="3"/>
      <c r="V549" s="3"/>
      <c r="W549" s="3"/>
      <c r="X549" s="3"/>
      <c r="Y549" s="3"/>
      <c r="Z549" s="3"/>
    </row>
    <row r="550" ht="15.75" customHeight="1">
      <c r="A550" s="3"/>
      <c r="B550" s="2"/>
      <c r="C550" s="2"/>
      <c r="D550" s="474"/>
      <c r="E550" s="464"/>
      <c r="F550" s="2"/>
      <c r="G550" s="2"/>
      <c r="H550" s="2"/>
      <c r="I550" s="2"/>
      <c r="J550" s="2"/>
      <c r="K550" s="2"/>
      <c r="L550" s="2"/>
      <c r="M550" s="2"/>
      <c r="N550" s="2"/>
      <c r="O550" s="2"/>
      <c r="P550" s="2"/>
      <c r="Q550" s="2"/>
      <c r="S550" s="3"/>
      <c r="T550" s="3"/>
      <c r="U550" s="3"/>
      <c r="V550" s="3"/>
      <c r="W550" s="3"/>
      <c r="X550" s="3"/>
      <c r="Y550" s="3"/>
      <c r="Z550" s="3"/>
    </row>
    <row r="551" ht="15.75" customHeight="1">
      <c r="A551" s="3"/>
      <c r="B551" s="2"/>
      <c r="C551" s="2"/>
      <c r="D551" s="474"/>
      <c r="E551" s="464"/>
      <c r="F551" s="2"/>
      <c r="G551" s="2"/>
      <c r="H551" s="2"/>
      <c r="I551" s="2"/>
      <c r="J551" s="2"/>
      <c r="K551" s="2"/>
      <c r="L551" s="2"/>
      <c r="M551" s="2"/>
      <c r="N551" s="2"/>
      <c r="O551" s="2"/>
      <c r="P551" s="2"/>
      <c r="Q551" s="2"/>
      <c r="S551" s="3"/>
      <c r="T551" s="3"/>
      <c r="U551" s="3"/>
      <c r="V551" s="3"/>
      <c r="W551" s="3"/>
      <c r="X551" s="3"/>
      <c r="Y551" s="3"/>
      <c r="Z551" s="3"/>
    </row>
    <row r="552" ht="15.75" customHeight="1">
      <c r="A552" s="3"/>
      <c r="B552" s="2"/>
      <c r="C552" s="2"/>
      <c r="D552" s="474"/>
      <c r="E552" s="464"/>
      <c r="F552" s="2"/>
      <c r="G552" s="2"/>
      <c r="H552" s="2"/>
      <c r="I552" s="2"/>
      <c r="J552" s="2"/>
      <c r="K552" s="2"/>
      <c r="L552" s="2"/>
      <c r="M552" s="2"/>
      <c r="N552" s="2"/>
      <c r="O552" s="2"/>
      <c r="P552" s="2"/>
      <c r="Q552" s="2"/>
      <c r="S552" s="3"/>
      <c r="T552" s="3"/>
      <c r="U552" s="3"/>
      <c r="V552" s="3"/>
      <c r="W552" s="3"/>
      <c r="X552" s="3"/>
      <c r="Y552" s="3"/>
      <c r="Z552" s="3"/>
    </row>
    <row r="553" ht="15.75" customHeight="1">
      <c r="A553" s="3"/>
      <c r="B553" s="2"/>
      <c r="C553" s="2"/>
      <c r="D553" s="474"/>
      <c r="E553" s="464"/>
      <c r="F553" s="2"/>
      <c r="G553" s="2"/>
      <c r="H553" s="2"/>
      <c r="I553" s="2"/>
      <c r="J553" s="2"/>
      <c r="K553" s="2"/>
      <c r="L553" s="2"/>
      <c r="M553" s="2"/>
      <c r="N553" s="2"/>
      <c r="O553" s="2"/>
      <c r="P553" s="2"/>
      <c r="Q553" s="2"/>
      <c r="S553" s="3"/>
      <c r="T553" s="3"/>
      <c r="U553" s="3"/>
      <c r="V553" s="3"/>
      <c r="W553" s="3"/>
      <c r="X553" s="3"/>
      <c r="Y553" s="3"/>
      <c r="Z553" s="3"/>
    </row>
    <row r="554" ht="15.75" customHeight="1">
      <c r="A554" s="3"/>
      <c r="B554" s="2"/>
      <c r="C554" s="2"/>
      <c r="D554" s="474"/>
      <c r="E554" s="464"/>
      <c r="F554" s="2"/>
      <c r="G554" s="2"/>
      <c r="H554" s="2"/>
      <c r="I554" s="2"/>
      <c r="J554" s="2"/>
      <c r="K554" s="2"/>
      <c r="L554" s="2"/>
      <c r="M554" s="2"/>
      <c r="N554" s="2"/>
      <c r="O554" s="2"/>
      <c r="P554" s="2"/>
      <c r="Q554" s="2"/>
      <c r="S554" s="3"/>
      <c r="T554" s="3"/>
      <c r="U554" s="3"/>
      <c r="V554" s="3"/>
      <c r="W554" s="3"/>
      <c r="X554" s="3"/>
      <c r="Y554" s="3"/>
      <c r="Z554" s="3"/>
    </row>
    <row r="555" ht="15.75" customHeight="1">
      <c r="A555" s="3"/>
      <c r="B555" s="2"/>
      <c r="C555" s="2"/>
      <c r="D555" s="474"/>
      <c r="E555" s="464"/>
      <c r="F555" s="2"/>
      <c r="G555" s="2"/>
      <c r="H555" s="2"/>
      <c r="I555" s="2"/>
      <c r="J555" s="2"/>
      <c r="K555" s="2"/>
      <c r="L555" s="2"/>
      <c r="M555" s="2"/>
      <c r="N555" s="2"/>
      <c r="O555" s="2"/>
      <c r="P555" s="2"/>
      <c r="Q555" s="2"/>
      <c r="S555" s="3"/>
      <c r="T555" s="3"/>
      <c r="U555" s="3"/>
      <c r="V555" s="3"/>
      <c r="W555" s="3"/>
      <c r="X555" s="3"/>
      <c r="Y555" s="3"/>
      <c r="Z555" s="3"/>
    </row>
    <row r="556" ht="15.75" customHeight="1">
      <c r="A556" s="3"/>
      <c r="B556" s="2"/>
      <c r="C556" s="2"/>
      <c r="D556" s="474"/>
      <c r="E556" s="464"/>
      <c r="F556" s="2"/>
      <c r="G556" s="2"/>
      <c r="H556" s="2"/>
      <c r="I556" s="2"/>
      <c r="J556" s="2"/>
      <c r="K556" s="2"/>
      <c r="L556" s="2"/>
      <c r="M556" s="2"/>
      <c r="N556" s="2"/>
      <c r="O556" s="2"/>
      <c r="P556" s="2"/>
      <c r="Q556" s="2"/>
      <c r="S556" s="3"/>
      <c r="T556" s="3"/>
      <c r="U556" s="3"/>
      <c r="V556" s="3"/>
      <c r="W556" s="3"/>
      <c r="X556" s="3"/>
      <c r="Y556" s="3"/>
      <c r="Z556" s="3"/>
    </row>
    <row r="557" ht="15.75" customHeight="1">
      <c r="A557" s="3"/>
      <c r="B557" s="2"/>
      <c r="C557" s="2"/>
      <c r="D557" s="474"/>
      <c r="E557" s="464"/>
      <c r="F557" s="2"/>
      <c r="G557" s="2"/>
      <c r="H557" s="2"/>
      <c r="I557" s="2"/>
      <c r="J557" s="2"/>
      <c r="K557" s="2"/>
      <c r="L557" s="2"/>
      <c r="M557" s="2"/>
      <c r="N557" s="2"/>
      <c r="O557" s="2"/>
      <c r="P557" s="2"/>
      <c r="Q557" s="2"/>
      <c r="S557" s="3"/>
      <c r="T557" s="3"/>
      <c r="U557" s="3"/>
      <c r="V557" s="3"/>
      <c r="W557" s="3"/>
      <c r="X557" s="3"/>
      <c r="Y557" s="3"/>
      <c r="Z557" s="3"/>
    </row>
    <row r="558" ht="15.75" customHeight="1">
      <c r="A558" s="3"/>
      <c r="B558" s="2"/>
      <c r="C558" s="2"/>
      <c r="D558" s="474"/>
      <c r="E558" s="464"/>
      <c r="F558" s="2"/>
      <c r="G558" s="2"/>
      <c r="H558" s="2"/>
      <c r="I558" s="2"/>
      <c r="J558" s="2"/>
      <c r="K558" s="2"/>
      <c r="L558" s="2"/>
      <c r="M558" s="2"/>
      <c r="N558" s="2"/>
      <c r="O558" s="2"/>
      <c r="P558" s="2"/>
      <c r="Q558" s="2"/>
      <c r="S558" s="3"/>
      <c r="T558" s="3"/>
      <c r="U558" s="3"/>
      <c r="V558" s="3"/>
      <c r="W558" s="3"/>
      <c r="X558" s="3"/>
      <c r="Y558" s="3"/>
      <c r="Z558" s="3"/>
    </row>
    <row r="559" ht="15.75" customHeight="1">
      <c r="A559" s="3"/>
      <c r="B559" s="2"/>
      <c r="C559" s="2"/>
      <c r="D559" s="474"/>
      <c r="E559" s="464"/>
      <c r="F559" s="2"/>
      <c r="G559" s="2"/>
      <c r="H559" s="2"/>
      <c r="I559" s="2"/>
      <c r="J559" s="2"/>
      <c r="K559" s="2"/>
      <c r="L559" s="2"/>
      <c r="M559" s="2"/>
      <c r="N559" s="2"/>
      <c r="O559" s="2"/>
      <c r="P559" s="2"/>
      <c r="Q559" s="2"/>
      <c r="S559" s="3"/>
      <c r="T559" s="3"/>
      <c r="U559" s="3"/>
      <c r="V559" s="3"/>
      <c r="W559" s="3"/>
      <c r="X559" s="3"/>
      <c r="Y559" s="3"/>
      <c r="Z559" s="3"/>
    </row>
    <row r="560" ht="15.75" customHeight="1">
      <c r="A560" s="3"/>
      <c r="B560" s="2"/>
      <c r="C560" s="2"/>
      <c r="D560" s="474"/>
      <c r="E560" s="464"/>
      <c r="F560" s="2"/>
      <c r="G560" s="2"/>
      <c r="H560" s="2"/>
      <c r="I560" s="2"/>
      <c r="J560" s="2"/>
      <c r="K560" s="2"/>
      <c r="L560" s="2"/>
      <c r="M560" s="2"/>
      <c r="N560" s="2"/>
      <c r="O560" s="2"/>
      <c r="P560" s="2"/>
      <c r="Q560" s="2"/>
      <c r="S560" s="3"/>
      <c r="T560" s="3"/>
      <c r="U560" s="3"/>
      <c r="V560" s="3"/>
      <c r="W560" s="3"/>
      <c r="X560" s="3"/>
      <c r="Y560" s="3"/>
      <c r="Z560" s="3"/>
    </row>
    <row r="561" ht="15.75" customHeight="1">
      <c r="A561" s="3"/>
      <c r="B561" s="2"/>
      <c r="C561" s="2"/>
      <c r="D561" s="474"/>
      <c r="E561" s="464"/>
      <c r="F561" s="2"/>
      <c r="G561" s="2"/>
      <c r="H561" s="2"/>
      <c r="I561" s="2"/>
      <c r="J561" s="2"/>
      <c r="K561" s="2"/>
      <c r="L561" s="2"/>
      <c r="M561" s="2"/>
      <c r="N561" s="2"/>
      <c r="O561" s="2"/>
      <c r="P561" s="2"/>
      <c r="Q561" s="2"/>
      <c r="S561" s="3"/>
      <c r="T561" s="3"/>
      <c r="U561" s="3"/>
      <c r="V561" s="3"/>
      <c r="W561" s="3"/>
      <c r="X561" s="3"/>
      <c r="Y561" s="3"/>
      <c r="Z561" s="3"/>
    </row>
    <row r="562" ht="15.75" customHeight="1">
      <c r="A562" s="3"/>
      <c r="B562" s="2"/>
      <c r="C562" s="2"/>
      <c r="D562" s="474"/>
      <c r="E562" s="464"/>
      <c r="F562" s="2"/>
      <c r="G562" s="2"/>
      <c r="H562" s="2"/>
      <c r="I562" s="2"/>
      <c r="J562" s="2"/>
      <c r="K562" s="2"/>
      <c r="L562" s="2"/>
      <c r="M562" s="2"/>
      <c r="N562" s="2"/>
      <c r="O562" s="2"/>
      <c r="P562" s="2"/>
      <c r="Q562" s="2"/>
      <c r="S562" s="3"/>
      <c r="T562" s="3"/>
      <c r="U562" s="3"/>
      <c r="V562" s="3"/>
      <c r="W562" s="3"/>
      <c r="X562" s="3"/>
      <c r="Y562" s="3"/>
      <c r="Z562" s="3"/>
    </row>
    <row r="563" ht="15.75" customHeight="1">
      <c r="A563" s="3"/>
      <c r="B563" s="2"/>
      <c r="C563" s="2"/>
      <c r="D563" s="474"/>
      <c r="E563" s="464"/>
      <c r="F563" s="2"/>
      <c r="G563" s="2"/>
      <c r="H563" s="2"/>
      <c r="I563" s="2"/>
      <c r="J563" s="2"/>
      <c r="K563" s="2"/>
      <c r="L563" s="2"/>
      <c r="M563" s="2"/>
      <c r="N563" s="2"/>
      <c r="O563" s="2"/>
      <c r="P563" s="2"/>
      <c r="Q563" s="2"/>
      <c r="S563" s="3"/>
      <c r="T563" s="3"/>
      <c r="U563" s="3"/>
      <c r="V563" s="3"/>
      <c r="W563" s="3"/>
      <c r="X563" s="3"/>
      <c r="Y563" s="3"/>
      <c r="Z563" s="3"/>
    </row>
    <row r="564" ht="15.75" customHeight="1">
      <c r="A564" s="3"/>
      <c r="B564" s="2"/>
      <c r="C564" s="2"/>
      <c r="D564" s="474"/>
      <c r="E564" s="464"/>
      <c r="F564" s="2"/>
      <c r="G564" s="2"/>
      <c r="H564" s="2"/>
      <c r="I564" s="2"/>
      <c r="J564" s="2"/>
      <c r="K564" s="2"/>
      <c r="L564" s="2"/>
      <c r="M564" s="2"/>
      <c r="N564" s="2"/>
      <c r="O564" s="2"/>
      <c r="P564" s="2"/>
      <c r="Q564" s="2"/>
      <c r="S564" s="3"/>
      <c r="T564" s="3"/>
      <c r="U564" s="3"/>
      <c r="V564" s="3"/>
      <c r="W564" s="3"/>
      <c r="X564" s="3"/>
      <c r="Y564" s="3"/>
      <c r="Z564" s="3"/>
    </row>
    <row r="565" ht="15.75" customHeight="1">
      <c r="A565" s="3"/>
      <c r="B565" s="2"/>
      <c r="C565" s="2"/>
      <c r="D565" s="474"/>
      <c r="E565" s="464"/>
      <c r="F565" s="2"/>
      <c r="G565" s="2"/>
      <c r="H565" s="2"/>
      <c r="I565" s="2"/>
      <c r="J565" s="2"/>
      <c r="K565" s="2"/>
      <c r="L565" s="2"/>
      <c r="M565" s="2"/>
      <c r="N565" s="2"/>
      <c r="O565" s="2"/>
      <c r="P565" s="2"/>
      <c r="Q565" s="2"/>
      <c r="S565" s="3"/>
      <c r="T565" s="3"/>
      <c r="U565" s="3"/>
      <c r="V565" s="3"/>
      <c r="W565" s="3"/>
      <c r="X565" s="3"/>
      <c r="Y565" s="3"/>
      <c r="Z565" s="3"/>
    </row>
    <row r="566" ht="15.75" customHeight="1">
      <c r="A566" s="3"/>
      <c r="B566" s="2"/>
      <c r="C566" s="2"/>
      <c r="D566" s="474"/>
      <c r="E566" s="464"/>
      <c r="F566" s="2"/>
      <c r="G566" s="2"/>
      <c r="H566" s="2"/>
      <c r="I566" s="2"/>
      <c r="J566" s="2"/>
      <c r="K566" s="2"/>
      <c r="L566" s="2"/>
      <c r="M566" s="2"/>
      <c r="N566" s="2"/>
      <c r="O566" s="2"/>
      <c r="P566" s="2"/>
      <c r="Q566" s="2"/>
      <c r="S566" s="3"/>
      <c r="T566" s="3"/>
      <c r="U566" s="3"/>
      <c r="V566" s="3"/>
      <c r="W566" s="3"/>
      <c r="X566" s="3"/>
      <c r="Y566" s="3"/>
      <c r="Z566" s="3"/>
    </row>
    <row r="567" ht="15.75" customHeight="1">
      <c r="A567" s="3"/>
      <c r="B567" s="2"/>
      <c r="C567" s="2"/>
      <c r="D567" s="474"/>
      <c r="E567" s="464"/>
      <c r="F567" s="2"/>
      <c r="G567" s="2"/>
      <c r="H567" s="2"/>
      <c r="I567" s="2"/>
      <c r="J567" s="2"/>
      <c r="K567" s="2"/>
      <c r="L567" s="2"/>
      <c r="M567" s="2"/>
      <c r="N567" s="2"/>
      <c r="O567" s="2"/>
      <c r="P567" s="2"/>
      <c r="Q567" s="2"/>
      <c r="S567" s="3"/>
      <c r="T567" s="3"/>
      <c r="U567" s="3"/>
      <c r="V567" s="3"/>
      <c r="W567" s="3"/>
      <c r="X567" s="3"/>
      <c r="Y567" s="3"/>
      <c r="Z567" s="3"/>
    </row>
    <row r="568" ht="15.75" customHeight="1">
      <c r="A568" s="3"/>
      <c r="B568" s="2"/>
      <c r="C568" s="2"/>
      <c r="D568" s="474"/>
      <c r="E568" s="464"/>
      <c r="F568" s="2"/>
      <c r="G568" s="2"/>
      <c r="H568" s="2"/>
      <c r="I568" s="2"/>
      <c r="J568" s="2"/>
      <c r="K568" s="2"/>
      <c r="L568" s="2"/>
      <c r="M568" s="2"/>
      <c r="N568" s="2"/>
      <c r="O568" s="2"/>
      <c r="P568" s="2"/>
      <c r="Q568" s="2"/>
      <c r="S568" s="3"/>
      <c r="T568" s="3"/>
      <c r="U568" s="3"/>
      <c r="V568" s="3"/>
      <c r="W568" s="3"/>
      <c r="X568" s="3"/>
      <c r="Y568" s="3"/>
      <c r="Z568" s="3"/>
    </row>
    <row r="569" ht="15.75" customHeight="1">
      <c r="A569" s="3"/>
      <c r="B569" s="2"/>
      <c r="C569" s="2"/>
      <c r="D569" s="474"/>
      <c r="E569" s="464"/>
      <c r="F569" s="2"/>
      <c r="G569" s="2"/>
      <c r="H569" s="2"/>
      <c r="I569" s="2"/>
      <c r="J569" s="2"/>
      <c r="K569" s="2"/>
      <c r="L569" s="2"/>
      <c r="M569" s="2"/>
      <c r="N569" s="2"/>
      <c r="O569" s="2"/>
      <c r="P569" s="2"/>
      <c r="Q569" s="2"/>
      <c r="S569" s="3"/>
      <c r="T569" s="3"/>
      <c r="U569" s="3"/>
      <c r="V569" s="3"/>
      <c r="W569" s="3"/>
      <c r="X569" s="3"/>
      <c r="Y569" s="3"/>
      <c r="Z569" s="3"/>
    </row>
    <row r="570" ht="15.75" customHeight="1">
      <c r="A570" s="3"/>
      <c r="B570" s="2"/>
      <c r="C570" s="2"/>
      <c r="D570" s="474"/>
      <c r="E570" s="464"/>
      <c r="F570" s="2"/>
      <c r="G570" s="2"/>
      <c r="H570" s="2"/>
      <c r="I570" s="2"/>
      <c r="J570" s="2"/>
      <c r="K570" s="2"/>
      <c r="L570" s="2"/>
      <c r="M570" s="2"/>
      <c r="N570" s="2"/>
      <c r="O570" s="2"/>
      <c r="P570" s="2"/>
      <c r="Q570" s="2"/>
      <c r="S570" s="3"/>
      <c r="T570" s="3"/>
      <c r="U570" s="3"/>
      <c r="V570" s="3"/>
      <c r="W570" s="3"/>
      <c r="X570" s="3"/>
      <c r="Y570" s="3"/>
      <c r="Z570" s="3"/>
    </row>
    <row r="571" ht="15.75" customHeight="1">
      <c r="A571" s="3"/>
      <c r="B571" s="2"/>
      <c r="C571" s="2"/>
      <c r="D571" s="474"/>
      <c r="E571" s="464"/>
      <c r="F571" s="2"/>
      <c r="G571" s="2"/>
      <c r="H571" s="2"/>
      <c r="I571" s="2"/>
      <c r="J571" s="2"/>
      <c r="K571" s="2"/>
      <c r="L571" s="2"/>
      <c r="M571" s="2"/>
      <c r="N571" s="2"/>
      <c r="O571" s="2"/>
      <c r="P571" s="2"/>
      <c r="Q571" s="2"/>
      <c r="S571" s="3"/>
      <c r="T571" s="3"/>
      <c r="U571" s="3"/>
      <c r="V571" s="3"/>
      <c r="W571" s="3"/>
      <c r="X571" s="3"/>
      <c r="Y571" s="3"/>
      <c r="Z571" s="3"/>
    </row>
    <row r="572" ht="15.75" customHeight="1">
      <c r="A572" s="3"/>
      <c r="B572" s="2"/>
      <c r="C572" s="2"/>
      <c r="D572" s="474"/>
      <c r="E572" s="464"/>
      <c r="F572" s="2"/>
      <c r="G572" s="2"/>
      <c r="H572" s="2"/>
      <c r="I572" s="2"/>
      <c r="J572" s="2"/>
      <c r="K572" s="2"/>
      <c r="L572" s="2"/>
      <c r="M572" s="2"/>
      <c r="N572" s="2"/>
      <c r="O572" s="2"/>
      <c r="P572" s="2"/>
      <c r="Q572" s="2"/>
      <c r="S572" s="3"/>
      <c r="T572" s="3"/>
      <c r="U572" s="3"/>
      <c r="V572" s="3"/>
      <c r="W572" s="3"/>
      <c r="X572" s="3"/>
      <c r="Y572" s="3"/>
      <c r="Z572" s="3"/>
    </row>
    <row r="573" ht="15.75" customHeight="1">
      <c r="A573" s="3"/>
      <c r="B573" s="2"/>
      <c r="C573" s="2"/>
      <c r="D573" s="474"/>
      <c r="E573" s="464"/>
      <c r="F573" s="2"/>
      <c r="G573" s="2"/>
      <c r="H573" s="2"/>
      <c r="I573" s="2"/>
      <c r="J573" s="2"/>
      <c r="K573" s="2"/>
      <c r="L573" s="2"/>
      <c r="M573" s="2"/>
      <c r="N573" s="2"/>
      <c r="O573" s="2"/>
      <c r="P573" s="2"/>
      <c r="Q573" s="2"/>
      <c r="S573" s="3"/>
      <c r="T573" s="3"/>
      <c r="U573" s="3"/>
      <c r="V573" s="3"/>
      <c r="W573" s="3"/>
      <c r="X573" s="3"/>
      <c r="Y573" s="3"/>
      <c r="Z573" s="3"/>
    </row>
    <row r="574" ht="15.75" customHeight="1">
      <c r="A574" s="3"/>
      <c r="B574" s="2"/>
      <c r="C574" s="2"/>
      <c r="D574" s="474"/>
      <c r="E574" s="464"/>
      <c r="F574" s="2"/>
      <c r="G574" s="2"/>
      <c r="H574" s="2"/>
      <c r="I574" s="2"/>
      <c r="J574" s="2"/>
      <c r="K574" s="2"/>
      <c r="L574" s="2"/>
      <c r="M574" s="2"/>
      <c r="N574" s="2"/>
      <c r="O574" s="2"/>
      <c r="P574" s="2"/>
      <c r="Q574" s="2"/>
      <c r="S574" s="3"/>
      <c r="T574" s="3"/>
      <c r="U574" s="3"/>
      <c r="V574" s="3"/>
      <c r="W574" s="3"/>
      <c r="X574" s="3"/>
      <c r="Y574" s="3"/>
      <c r="Z574" s="3"/>
    </row>
    <row r="575" ht="15.75" customHeight="1">
      <c r="A575" s="3"/>
      <c r="B575" s="2"/>
      <c r="C575" s="2"/>
      <c r="D575" s="474"/>
      <c r="E575" s="464"/>
      <c r="F575" s="2"/>
      <c r="G575" s="2"/>
      <c r="H575" s="2"/>
      <c r="I575" s="2"/>
      <c r="J575" s="2"/>
      <c r="K575" s="2"/>
      <c r="L575" s="2"/>
      <c r="M575" s="2"/>
      <c r="N575" s="2"/>
      <c r="O575" s="2"/>
      <c r="P575" s="2"/>
      <c r="Q575" s="2"/>
      <c r="S575" s="3"/>
      <c r="T575" s="3"/>
      <c r="U575" s="3"/>
      <c r="V575" s="3"/>
      <c r="W575" s="3"/>
      <c r="X575" s="3"/>
      <c r="Y575" s="3"/>
      <c r="Z575" s="3"/>
    </row>
    <row r="576" ht="15.75" customHeight="1">
      <c r="A576" s="3"/>
      <c r="B576" s="2"/>
      <c r="C576" s="2"/>
      <c r="D576" s="474"/>
      <c r="E576" s="464"/>
      <c r="F576" s="2"/>
      <c r="G576" s="2"/>
      <c r="H576" s="2"/>
      <c r="I576" s="2"/>
      <c r="J576" s="2"/>
      <c r="K576" s="2"/>
      <c r="L576" s="2"/>
      <c r="M576" s="2"/>
      <c r="N576" s="2"/>
      <c r="O576" s="2"/>
      <c r="P576" s="2"/>
      <c r="Q576" s="2"/>
      <c r="S576" s="3"/>
      <c r="T576" s="3"/>
      <c r="U576" s="3"/>
      <c r="V576" s="3"/>
      <c r="W576" s="3"/>
      <c r="X576" s="3"/>
      <c r="Y576" s="3"/>
      <c r="Z576" s="3"/>
    </row>
    <row r="577" ht="15.75" customHeight="1">
      <c r="A577" s="3"/>
      <c r="B577" s="2"/>
      <c r="C577" s="2"/>
      <c r="D577" s="474"/>
      <c r="E577" s="464"/>
      <c r="F577" s="2"/>
      <c r="G577" s="2"/>
      <c r="H577" s="2"/>
      <c r="I577" s="2"/>
      <c r="J577" s="2"/>
      <c r="K577" s="2"/>
      <c r="L577" s="2"/>
      <c r="M577" s="2"/>
      <c r="N577" s="2"/>
      <c r="O577" s="2"/>
      <c r="P577" s="2"/>
      <c r="Q577" s="2"/>
      <c r="S577" s="3"/>
      <c r="T577" s="3"/>
      <c r="U577" s="3"/>
      <c r="V577" s="3"/>
      <c r="W577" s="3"/>
      <c r="X577" s="3"/>
      <c r="Y577" s="3"/>
      <c r="Z577" s="3"/>
    </row>
    <row r="578" ht="15.75" customHeight="1">
      <c r="A578" s="3"/>
      <c r="B578" s="2"/>
      <c r="C578" s="2"/>
      <c r="D578" s="474"/>
      <c r="E578" s="464"/>
      <c r="F578" s="2"/>
      <c r="G578" s="2"/>
      <c r="H578" s="2"/>
      <c r="I578" s="2"/>
      <c r="J578" s="2"/>
      <c r="K578" s="2"/>
      <c r="L578" s="2"/>
      <c r="M578" s="2"/>
      <c r="N578" s="2"/>
      <c r="O578" s="2"/>
      <c r="P578" s="2"/>
      <c r="Q578" s="2"/>
      <c r="S578" s="3"/>
      <c r="T578" s="3"/>
      <c r="U578" s="3"/>
      <c r="V578" s="3"/>
      <c r="W578" s="3"/>
      <c r="X578" s="3"/>
      <c r="Y578" s="3"/>
      <c r="Z578" s="3"/>
    </row>
    <row r="579" ht="15.75" customHeight="1">
      <c r="A579" s="3"/>
      <c r="B579" s="2"/>
      <c r="C579" s="2"/>
      <c r="D579" s="474"/>
      <c r="E579" s="464"/>
      <c r="F579" s="2"/>
      <c r="G579" s="2"/>
      <c r="H579" s="2"/>
      <c r="I579" s="2"/>
      <c r="J579" s="2"/>
      <c r="K579" s="2"/>
      <c r="L579" s="2"/>
      <c r="M579" s="2"/>
      <c r="N579" s="2"/>
      <c r="O579" s="2"/>
      <c r="P579" s="2"/>
      <c r="Q579" s="2"/>
      <c r="S579" s="3"/>
      <c r="T579" s="3"/>
      <c r="U579" s="3"/>
      <c r="V579" s="3"/>
      <c r="W579" s="3"/>
      <c r="X579" s="3"/>
      <c r="Y579" s="3"/>
      <c r="Z579" s="3"/>
    </row>
    <row r="580" ht="15.75" customHeight="1">
      <c r="A580" s="3"/>
      <c r="B580" s="2"/>
      <c r="C580" s="2"/>
      <c r="D580" s="474"/>
      <c r="E580" s="464"/>
      <c r="F580" s="2"/>
      <c r="G580" s="2"/>
      <c r="H580" s="2"/>
      <c r="I580" s="2"/>
      <c r="J580" s="2"/>
      <c r="K580" s="2"/>
      <c r="L580" s="2"/>
      <c r="M580" s="2"/>
      <c r="N580" s="2"/>
      <c r="O580" s="2"/>
      <c r="P580" s="2"/>
      <c r="Q580" s="2"/>
      <c r="S580" s="3"/>
      <c r="T580" s="3"/>
      <c r="U580" s="3"/>
      <c r="V580" s="3"/>
      <c r="W580" s="3"/>
      <c r="X580" s="3"/>
      <c r="Y580" s="3"/>
      <c r="Z580" s="3"/>
    </row>
    <row r="581" ht="15.75" customHeight="1">
      <c r="A581" s="3"/>
      <c r="B581" s="2"/>
      <c r="C581" s="2"/>
      <c r="D581" s="474"/>
      <c r="E581" s="464"/>
      <c r="F581" s="2"/>
      <c r="G581" s="2"/>
      <c r="H581" s="2"/>
      <c r="I581" s="2"/>
      <c r="J581" s="2"/>
      <c r="K581" s="2"/>
      <c r="L581" s="2"/>
      <c r="M581" s="2"/>
      <c r="N581" s="2"/>
      <c r="O581" s="2"/>
      <c r="P581" s="2"/>
      <c r="Q581" s="2"/>
      <c r="S581" s="3"/>
      <c r="T581" s="3"/>
      <c r="U581" s="3"/>
      <c r="V581" s="3"/>
      <c r="W581" s="3"/>
      <c r="X581" s="3"/>
      <c r="Y581" s="3"/>
      <c r="Z581" s="3"/>
    </row>
    <row r="582" ht="15.75" customHeight="1">
      <c r="A582" s="3"/>
      <c r="B582" s="2"/>
      <c r="C582" s="2"/>
      <c r="D582" s="474"/>
      <c r="E582" s="464"/>
      <c r="F582" s="2"/>
      <c r="G582" s="2"/>
      <c r="H582" s="2"/>
      <c r="I582" s="2"/>
      <c r="J582" s="2"/>
      <c r="K582" s="2"/>
      <c r="L582" s="2"/>
      <c r="M582" s="2"/>
      <c r="N582" s="2"/>
      <c r="O582" s="2"/>
      <c r="P582" s="2"/>
      <c r="Q582" s="2"/>
      <c r="S582" s="3"/>
      <c r="T582" s="3"/>
      <c r="U582" s="3"/>
      <c r="V582" s="3"/>
      <c r="W582" s="3"/>
      <c r="X582" s="3"/>
      <c r="Y582" s="3"/>
      <c r="Z582" s="3"/>
    </row>
    <row r="583" ht="15.75" customHeight="1">
      <c r="A583" s="3"/>
      <c r="B583" s="2"/>
      <c r="C583" s="2"/>
      <c r="D583" s="474"/>
      <c r="E583" s="464"/>
      <c r="F583" s="2"/>
      <c r="G583" s="2"/>
      <c r="H583" s="2"/>
      <c r="I583" s="2"/>
      <c r="J583" s="2"/>
      <c r="K583" s="2"/>
      <c r="L583" s="2"/>
      <c r="M583" s="2"/>
      <c r="N583" s="2"/>
      <c r="O583" s="2"/>
      <c r="P583" s="2"/>
      <c r="Q583" s="2"/>
      <c r="S583" s="3"/>
      <c r="T583" s="3"/>
      <c r="U583" s="3"/>
      <c r="V583" s="3"/>
      <c r="W583" s="3"/>
      <c r="X583" s="3"/>
      <c r="Y583" s="3"/>
      <c r="Z583" s="3"/>
    </row>
    <row r="584" ht="15.75" customHeight="1">
      <c r="A584" s="3"/>
      <c r="B584" s="2"/>
      <c r="C584" s="2"/>
      <c r="D584" s="474"/>
      <c r="E584" s="464"/>
      <c r="F584" s="2"/>
      <c r="G584" s="2"/>
      <c r="H584" s="2"/>
      <c r="I584" s="2"/>
      <c r="J584" s="2"/>
      <c r="K584" s="2"/>
      <c r="L584" s="2"/>
      <c r="M584" s="2"/>
      <c r="N584" s="2"/>
      <c r="O584" s="2"/>
      <c r="P584" s="2"/>
      <c r="Q584" s="2"/>
      <c r="S584" s="3"/>
      <c r="T584" s="3"/>
      <c r="U584" s="3"/>
      <c r="V584" s="3"/>
      <c r="W584" s="3"/>
      <c r="X584" s="3"/>
      <c r="Y584" s="3"/>
      <c r="Z584" s="3"/>
    </row>
    <row r="585" ht="15.75" customHeight="1">
      <c r="A585" s="3"/>
      <c r="B585" s="2"/>
      <c r="C585" s="2"/>
      <c r="D585" s="474"/>
      <c r="E585" s="464"/>
      <c r="F585" s="2"/>
      <c r="G585" s="2"/>
      <c r="H585" s="2"/>
      <c r="I585" s="2"/>
      <c r="J585" s="2"/>
      <c r="K585" s="2"/>
      <c r="L585" s="2"/>
      <c r="M585" s="2"/>
      <c r="N585" s="2"/>
      <c r="O585" s="2"/>
      <c r="P585" s="2"/>
      <c r="Q585" s="2"/>
      <c r="S585" s="3"/>
      <c r="T585" s="3"/>
      <c r="U585" s="3"/>
      <c r="V585" s="3"/>
      <c r="W585" s="3"/>
      <c r="X585" s="3"/>
      <c r="Y585" s="3"/>
      <c r="Z585" s="3"/>
    </row>
    <row r="586" ht="15.75" customHeight="1">
      <c r="A586" s="3"/>
      <c r="B586" s="2"/>
      <c r="C586" s="2"/>
      <c r="D586" s="474"/>
      <c r="E586" s="464"/>
      <c r="F586" s="2"/>
      <c r="G586" s="2"/>
      <c r="H586" s="2"/>
      <c r="I586" s="2"/>
      <c r="J586" s="2"/>
      <c r="K586" s="2"/>
      <c r="L586" s="2"/>
      <c r="M586" s="2"/>
      <c r="N586" s="2"/>
      <c r="O586" s="2"/>
      <c r="P586" s="2"/>
      <c r="Q586" s="2"/>
      <c r="S586" s="3"/>
      <c r="T586" s="3"/>
      <c r="U586" s="3"/>
      <c r="V586" s="3"/>
      <c r="W586" s="3"/>
      <c r="X586" s="3"/>
      <c r="Y586" s="3"/>
      <c r="Z586" s="3"/>
    </row>
    <row r="587" ht="15.75" customHeight="1">
      <c r="A587" s="3"/>
      <c r="B587" s="2"/>
      <c r="C587" s="2"/>
      <c r="D587" s="474"/>
      <c r="E587" s="464"/>
      <c r="F587" s="2"/>
      <c r="G587" s="2"/>
      <c r="H587" s="2"/>
      <c r="I587" s="2"/>
      <c r="J587" s="2"/>
      <c r="K587" s="2"/>
      <c r="L587" s="2"/>
      <c r="M587" s="2"/>
      <c r="N587" s="2"/>
      <c r="O587" s="2"/>
      <c r="P587" s="2"/>
      <c r="Q587" s="2"/>
      <c r="S587" s="3"/>
      <c r="T587" s="3"/>
      <c r="U587" s="3"/>
      <c r="V587" s="3"/>
      <c r="W587" s="3"/>
      <c r="X587" s="3"/>
      <c r="Y587" s="3"/>
      <c r="Z587" s="3"/>
    </row>
    <row r="588" ht="15.75" customHeight="1">
      <c r="A588" s="3"/>
      <c r="B588" s="2"/>
      <c r="C588" s="2"/>
      <c r="D588" s="474"/>
      <c r="E588" s="464"/>
      <c r="F588" s="2"/>
      <c r="G588" s="2"/>
      <c r="H588" s="2"/>
      <c r="I588" s="2"/>
      <c r="J588" s="2"/>
      <c r="K588" s="2"/>
      <c r="L588" s="2"/>
      <c r="M588" s="2"/>
      <c r="N588" s="2"/>
      <c r="O588" s="2"/>
      <c r="P588" s="2"/>
      <c r="Q588" s="2"/>
      <c r="S588" s="3"/>
      <c r="T588" s="3"/>
      <c r="U588" s="3"/>
      <c r="V588" s="3"/>
      <c r="W588" s="3"/>
      <c r="X588" s="3"/>
      <c r="Y588" s="3"/>
      <c r="Z588" s="3"/>
    </row>
    <row r="589" ht="15.75" customHeight="1">
      <c r="A589" s="3"/>
      <c r="B589" s="2"/>
      <c r="C589" s="2"/>
      <c r="D589" s="474"/>
      <c r="E589" s="464"/>
      <c r="F589" s="2"/>
      <c r="G589" s="2"/>
      <c r="H589" s="2"/>
      <c r="I589" s="2"/>
      <c r="J589" s="2"/>
      <c r="K589" s="2"/>
      <c r="L589" s="2"/>
      <c r="M589" s="2"/>
      <c r="N589" s="2"/>
      <c r="O589" s="2"/>
      <c r="P589" s="2"/>
      <c r="Q589" s="2"/>
      <c r="S589" s="3"/>
      <c r="T589" s="3"/>
      <c r="U589" s="3"/>
      <c r="V589" s="3"/>
      <c r="W589" s="3"/>
      <c r="X589" s="3"/>
      <c r="Y589" s="3"/>
      <c r="Z589" s="3"/>
    </row>
    <row r="590" ht="15.75" customHeight="1">
      <c r="A590" s="3"/>
      <c r="B590" s="2"/>
      <c r="C590" s="2"/>
      <c r="D590" s="474"/>
      <c r="E590" s="464"/>
      <c r="F590" s="2"/>
      <c r="G590" s="2"/>
      <c r="H590" s="2"/>
      <c r="I590" s="2"/>
      <c r="J590" s="2"/>
      <c r="K590" s="2"/>
      <c r="L590" s="2"/>
      <c r="M590" s="2"/>
      <c r="N590" s="2"/>
      <c r="O590" s="2"/>
      <c r="P590" s="2"/>
      <c r="Q590" s="2"/>
      <c r="S590" s="3"/>
      <c r="T590" s="3"/>
      <c r="U590" s="3"/>
      <c r="V590" s="3"/>
      <c r="W590" s="3"/>
      <c r="X590" s="3"/>
      <c r="Y590" s="3"/>
      <c r="Z590" s="3"/>
    </row>
    <row r="591" ht="15.75" customHeight="1">
      <c r="A591" s="3"/>
      <c r="B591" s="2"/>
      <c r="C591" s="2"/>
      <c r="D591" s="474"/>
      <c r="E591" s="464"/>
      <c r="F591" s="2"/>
      <c r="G591" s="2"/>
      <c r="H591" s="2"/>
      <c r="I591" s="2"/>
      <c r="J591" s="2"/>
      <c r="K591" s="2"/>
      <c r="L591" s="2"/>
      <c r="M591" s="2"/>
      <c r="N591" s="2"/>
      <c r="O591" s="2"/>
      <c r="P591" s="2"/>
      <c r="Q591" s="2"/>
      <c r="S591" s="3"/>
      <c r="T591" s="3"/>
      <c r="U591" s="3"/>
      <c r="V591" s="3"/>
      <c r="W591" s="3"/>
      <c r="X591" s="3"/>
      <c r="Y591" s="3"/>
      <c r="Z591" s="3"/>
    </row>
    <row r="592" ht="15.75" customHeight="1">
      <c r="A592" s="3"/>
      <c r="B592" s="2"/>
      <c r="C592" s="2"/>
      <c r="D592" s="474"/>
      <c r="E592" s="464"/>
      <c r="F592" s="2"/>
      <c r="G592" s="2"/>
      <c r="H592" s="2"/>
      <c r="I592" s="2"/>
      <c r="J592" s="2"/>
      <c r="K592" s="2"/>
      <c r="L592" s="2"/>
      <c r="M592" s="2"/>
      <c r="N592" s="2"/>
      <c r="O592" s="2"/>
      <c r="P592" s="2"/>
      <c r="Q592" s="2"/>
      <c r="S592" s="3"/>
      <c r="T592" s="3"/>
      <c r="U592" s="3"/>
      <c r="V592" s="3"/>
      <c r="W592" s="3"/>
      <c r="X592" s="3"/>
      <c r="Y592" s="3"/>
      <c r="Z592" s="3"/>
    </row>
    <row r="593" ht="15.75" customHeight="1">
      <c r="A593" s="3"/>
      <c r="B593" s="2"/>
      <c r="C593" s="2"/>
      <c r="D593" s="474"/>
      <c r="E593" s="464"/>
      <c r="F593" s="2"/>
      <c r="G593" s="2"/>
      <c r="H593" s="2"/>
      <c r="I593" s="2"/>
      <c r="J593" s="2"/>
      <c r="K593" s="2"/>
      <c r="L593" s="2"/>
      <c r="M593" s="2"/>
      <c r="N593" s="2"/>
      <c r="O593" s="2"/>
      <c r="P593" s="2"/>
      <c r="Q593" s="2"/>
      <c r="S593" s="3"/>
      <c r="T593" s="3"/>
      <c r="U593" s="3"/>
      <c r="V593" s="3"/>
      <c r="W593" s="3"/>
      <c r="X593" s="3"/>
      <c r="Y593" s="3"/>
      <c r="Z593" s="3"/>
    </row>
    <row r="594" ht="15.75" customHeight="1">
      <c r="A594" s="3"/>
      <c r="B594" s="2"/>
      <c r="C594" s="2"/>
      <c r="D594" s="474"/>
      <c r="E594" s="464"/>
      <c r="F594" s="2"/>
      <c r="G594" s="2"/>
      <c r="H594" s="2"/>
      <c r="I594" s="2"/>
      <c r="J594" s="2"/>
      <c r="K594" s="2"/>
      <c r="L594" s="2"/>
      <c r="M594" s="2"/>
      <c r="N594" s="2"/>
      <c r="O594" s="2"/>
      <c r="P594" s="2"/>
      <c r="Q594" s="2"/>
      <c r="S594" s="3"/>
      <c r="T594" s="3"/>
      <c r="U594" s="3"/>
      <c r="V594" s="3"/>
      <c r="W594" s="3"/>
      <c r="X594" s="3"/>
      <c r="Y594" s="3"/>
      <c r="Z594" s="3"/>
    </row>
    <row r="595" ht="15.75" customHeight="1">
      <c r="A595" s="3"/>
      <c r="B595" s="2"/>
      <c r="C595" s="2"/>
      <c r="D595" s="474"/>
      <c r="E595" s="464"/>
      <c r="F595" s="2"/>
      <c r="G595" s="2"/>
      <c r="H595" s="2"/>
      <c r="I595" s="2"/>
      <c r="J595" s="2"/>
      <c r="K595" s="2"/>
      <c r="L595" s="2"/>
      <c r="M595" s="2"/>
      <c r="N595" s="2"/>
      <c r="O595" s="2"/>
      <c r="P595" s="2"/>
      <c r="Q595" s="2"/>
      <c r="S595" s="3"/>
      <c r="T595" s="3"/>
      <c r="U595" s="3"/>
      <c r="V595" s="3"/>
      <c r="W595" s="3"/>
      <c r="X595" s="3"/>
      <c r="Y595" s="3"/>
      <c r="Z595" s="3"/>
    </row>
    <row r="596" ht="15.75" customHeight="1">
      <c r="A596" s="3"/>
      <c r="B596" s="2"/>
      <c r="C596" s="2"/>
      <c r="D596" s="474"/>
      <c r="E596" s="464"/>
      <c r="F596" s="2"/>
      <c r="G596" s="2"/>
      <c r="H596" s="2"/>
      <c r="I596" s="2"/>
      <c r="J596" s="2"/>
      <c r="K596" s="2"/>
      <c r="L596" s="2"/>
      <c r="M596" s="2"/>
      <c r="N596" s="2"/>
      <c r="O596" s="2"/>
      <c r="P596" s="2"/>
      <c r="Q596" s="2"/>
      <c r="S596" s="3"/>
      <c r="T596" s="3"/>
      <c r="U596" s="3"/>
      <c r="V596" s="3"/>
      <c r="W596" s="3"/>
      <c r="X596" s="3"/>
      <c r="Y596" s="3"/>
      <c r="Z596" s="3"/>
    </row>
    <row r="597" ht="15.75" customHeight="1">
      <c r="A597" s="3"/>
      <c r="B597" s="2"/>
      <c r="C597" s="2"/>
      <c r="D597" s="474"/>
      <c r="E597" s="464"/>
      <c r="F597" s="2"/>
      <c r="G597" s="2"/>
      <c r="H597" s="2"/>
      <c r="I597" s="2"/>
      <c r="J597" s="2"/>
      <c r="K597" s="2"/>
      <c r="L597" s="2"/>
      <c r="M597" s="2"/>
      <c r="N597" s="2"/>
      <c r="O597" s="2"/>
      <c r="P597" s="2"/>
      <c r="Q597" s="2"/>
      <c r="S597" s="3"/>
      <c r="T597" s="3"/>
      <c r="U597" s="3"/>
      <c r="V597" s="3"/>
      <c r="W597" s="3"/>
      <c r="X597" s="3"/>
      <c r="Y597" s="3"/>
      <c r="Z597" s="3"/>
    </row>
    <row r="598" ht="15.75" customHeight="1">
      <c r="A598" s="3"/>
      <c r="B598" s="2"/>
      <c r="C598" s="2"/>
      <c r="D598" s="474"/>
      <c r="E598" s="464"/>
      <c r="F598" s="2"/>
      <c r="G598" s="2"/>
      <c r="H598" s="2"/>
      <c r="I598" s="2"/>
      <c r="J598" s="2"/>
      <c r="K598" s="2"/>
      <c r="L598" s="2"/>
      <c r="M598" s="2"/>
      <c r="N598" s="2"/>
      <c r="O598" s="2"/>
      <c r="P598" s="2"/>
      <c r="Q598" s="2"/>
      <c r="S598" s="3"/>
      <c r="T598" s="3"/>
      <c r="U598" s="3"/>
      <c r="V598" s="3"/>
      <c r="W598" s="3"/>
      <c r="X598" s="3"/>
      <c r="Y598" s="3"/>
      <c r="Z598" s="3"/>
    </row>
    <row r="599" ht="15.75" customHeight="1">
      <c r="A599" s="3"/>
      <c r="B599" s="2"/>
      <c r="C599" s="2"/>
      <c r="D599" s="474"/>
      <c r="E599" s="464"/>
      <c r="F599" s="2"/>
      <c r="G599" s="2"/>
      <c r="H599" s="2"/>
      <c r="I599" s="2"/>
      <c r="J599" s="2"/>
      <c r="K599" s="2"/>
      <c r="L599" s="2"/>
      <c r="M599" s="2"/>
      <c r="N599" s="2"/>
      <c r="O599" s="2"/>
      <c r="P599" s="2"/>
      <c r="Q599" s="2"/>
      <c r="S599" s="3"/>
      <c r="T599" s="3"/>
      <c r="U599" s="3"/>
      <c r="V599" s="3"/>
      <c r="W599" s="3"/>
      <c r="X599" s="3"/>
      <c r="Y599" s="3"/>
      <c r="Z599" s="3"/>
    </row>
    <row r="600" ht="15.75" customHeight="1">
      <c r="A600" s="3"/>
      <c r="B600" s="2"/>
      <c r="C600" s="2"/>
      <c r="D600" s="474"/>
      <c r="E600" s="464"/>
      <c r="F600" s="2"/>
      <c r="G600" s="2"/>
      <c r="H600" s="2"/>
      <c r="I600" s="2"/>
      <c r="J600" s="2"/>
      <c r="K600" s="2"/>
      <c r="L600" s="2"/>
      <c r="M600" s="2"/>
      <c r="N600" s="2"/>
      <c r="O600" s="2"/>
      <c r="P600" s="2"/>
      <c r="Q600" s="2"/>
      <c r="S600" s="3"/>
      <c r="T600" s="3"/>
      <c r="U600" s="3"/>
      <c r="V600" s="3"/>
      <c r="W600" s="3"/>
      <c r="X600" s="3"/>
      <c r="Y600" s="3"/>
      <c r="Z600" s="3"/>
    </row>
    <row r="601" ht="15.75" customHeight="1">
      <c r="A601" s="3"/>
      <c r="B601" s="2"/>
      <c r="C601" s="2"/>
      <c r="D601" s="474"/>
      <c r="E601" s="464"/>
      <c r="F601" s="2"/>
      <c r="G601" s="2"/>
      <c r="H601" s="2"/>
      <c r="I601" s="2"/>
      <c r="J601" s="2"/>
      <c r="K601" s="2"/>
      <c r="L601" s="2"/>
      <c r="M601" s="2"/>
      <c r="N601" s="2"/>
      <c r="O601" s="2"/>
      <c r="P601" s="2"/>
      <c r="Q601" s="2"/>
      <c r="S601" s="3"/>
      <c r="T601" s="3"/>
      <c r="U601" s="3"/>
      <c r="V601" s="3"/>
      <c r="W601" s="3"/>
      <c r="X601" s="3"/>
      <c r="Y601" s="3"/>
      <c r="Z601" s="3"/>
    </row>
    <row r="602" ht="15.75" customHeight="1">
      <c r="A602" s="3"/>
      <c r="B602" s="2"/>
      <c r="C602" s="2"/>
      <c r="D602" s="474"/>
      <c r="E602" s="464"/>
      <c r="F602" s="2"/>
      <c r="G602" s="2"/>
      <c r="H602" s="2"/>
      <c r="I602" s="2"/>
      <c r="J602" s="2"/>
      <c r="K602" s="2"/>
      <c r="L602" s="2"/>
      <c r="M602" s="2"/>
      <c r="N602" s="2"/>
      <c r="O602" s="2"/>
      <c r="P602" s="2"/>
      <c r="Q602" s="2"/>
      <c r="S602" s="3"/>
      <c r="T602" s="3"/>
      <c r="U602" s="3"/>
      <c r="V602" s="3"/>
      <c r="W602" s="3"/>
      <c r="X602" s="3"/>
      <c r="Y602" s="3"/>
      <c r="Z602" s="3"/>
    </row>
    <row r="603" ht="15.75" customHeight="1">
      <c r="A603" s="3"/>
      <c r="B603" s="2"/>
      <c r="C603" s="2"/>
      <c r="D603" s="474"/>
      <c r="E603" s="464"/>
      <c r="F603" s="2"/>
      <c r="G603" s="2"/>
      <c r="H603" s="2"/>
      <c r="I603" s="2"/>
      <c r="J603" s="2"/>
      <c r="K603" s="2"/>
      <c r="L603" s="2"/>
      <c r="M603" s="2"/>
      <c r="N603" s="2"/>
      <c r="O603" s="2"/>
      <c r="P603" s="2"/>
      <c r="Q603" s="2"/>
      <c r="S603" s="3"/>
      <c r="T603" s="3"/>
      <c r="U603" s="3"/>
      <c r="V603" s="3"/>
      <c r="W603" s="3"/>
      <c r="X603" s="3"/>
      <c r="Y603" s="3"/>
      <c r="Z603" s="3"/>
    </row>
    <row r="604" ht="15.75" customHeight="1">
      <c r="A604" s="3"/>
      <c r="B604" s="2"/>
      <c r="C604" s="2"/>
      <c r="D604" s="474"/>
      <c r="E604" s="464"/>
      <c r="F604" s="2"/>
      <c r="G604" s="2"/>
      <c r="H604" s="2"/>
      <c r="I604" s="2"/>
      <c r="J604" s="2"/>
      <c r="K604" s="2"/>
      <c r="L604" s="2"/>
      <c r="M604" s="2"/>
      <c r="N604" s="2"/>
      <c r="O604" s="2"/>
      <c r="P604" s="2"/>
      <c r="Q604" s="2"/>
      <c r="S604" s="3"/>
      <c r="T604" s="3"/>
      <c r="U604" s="3"/>
      <c r="V604" s="3"/>
      <c r="W604" s="3"/>
      <c r="X604" s="3"/>
      <c r="Y604" s="3"/>
      <c r="Z604" s="3"/>
    </row>
    <row r="605" ht="15.75" customHeight="1">
      <c r="A605" s="3"/>
      <c r="B605" s="2"/>
      <c r="C605" s="2"/>
      <c r="D605" s="474"/>
      <c r="E605" s="464"/>
      <c r="F605" s="2"/>
      <c r="G605" s="2"/>
      <c r="H605" s="2"/>
      <c r="I605" s="2"/>
      <c r="J605" s="2"/>
      <c r="K605" s="2"/>
      <c r="L605" s="2"/>
      <c r="M605" s="2"/>
      <c r="N605" s="2"/>
      <c r="O605" s="2"/>
      <c r="P605" s="2"/>
      <c r="Q605" s="2"/>
      <c r="S605" s="3"/>
      <c r="T605" s="3"/>
      <c r="U605" s="3"/>
      <c r="V605" s="3"/>
      <c r="W605" s="3"/>
      <c r="X605" s="3"/>
      <c r="Y605" s="3"/>
      <c r="Z605" s="3"/>
    </row>
    <row r="606" ht="15.75" customHeight="1">
      <c r="A606" s="3"/>
      <c r="B606" s="2"/>
      <c r="C606" s="2"/>
      <c r="D606" s="474"/>
      <c r="E606" s="464"/>
      <c r="F606" s="2"/>
      <c r="G606" s="2"/>
      <c r="H606" s="2"/>
      <c r="I606" s="2"/>
      <c r="J606" s="2"/>
      <c r="K606" s="2"/>
      <c r="L606" s="2"/>
      <c r="M606" s="2"/>
      <c r="N606" s="2"/>
      <c r="O606" s="2"/>
      <c r="P606" s="2"/>
      <c r="Q606" s="2"/>
      <c r="S606" s="3"/>
      <c r="T606" s="3"/>
      <c r="U606" s="3"/>
      <c r="V606" s="3"/>
      <c r="W606" s="3"/>
      <c r="X606" s="3"/>
      <c r="Y606" s="3"/>
      <c r="Z606" s="3"/>
    </row>
    <row r="607" ht="15.75" customHeight="1">
      <c r="A607" s="3"/>
      <c r="B607" s="2"/>
      <c r="C607" s="2"/>
      <c r="D607" s="474"/>
      <c r="E607" s="464"/>
      <c r="F607" s="2"/>
      <c r="G607" s="2"/>
      <c r="H607" s="2"/>
      <c r="I607" s="2"/>
      <c r="J607" s="2"/>
      <c r="K607" s="2"/>
      <c r="L607" s="2"/>
      <c r="M607" s="2"/>
      <c r="N607" s="2"/>
      <c r="O607" s="2"/>
      <c r="P607" s="2"/>
      <c r="Q607" s="2"/>
      <c r="S607" s="3"/>
      <c r="T607" s="3"/>
      <c r="U607" s="3"/>
      <c r="V607" s="3"/>
      <c r="W607" s="3"/>
      <c r="X607" s="3"/>
      <c r="Y607" s="3"/>
      <c r="Z607" s="3"/>
    </row>
    <row r="608" ht="15.75" customHeight="1">
      <c r="A608" s="3"/>
      <c r="B608" s="2"/>
      <c r="C608" s="2"/>
      <c r="D608" s="474"/>
      <c r="E608" s="464"/>
      <c r="F608" s="2"/>
      <c r="G608" s="2"/>
      <c r="H608" s="2"/>
      <c r="I608" s="2"/>
      <c r="J608" s="2"/>
      <c r="K608" s="2"/>
      <c r="L608" s="2"/>
      <c r="M608" s="2"/>
      <c r="N608" s="2"/>
      <c r="O608" s="2"/>
      <c r="P608" s="2"/>
      <c r="Q608" s="2"/>
      <c r="S608" s="3"/>
      <c r="T608" s="3"/>
      <c r="U608" s="3"/>
      <c r="V608" s="3"/>
      <c r="W608" s="3"/>
      <c r="X608" s="3"/>
      <c r="Y608" s="3"/>
      <c r="Z608" s="3"/>
    </row>
    <row r="609" ht="15.75" customHeight="1">
      <c r="A609" s="3"/>
      <c r="B609" s="2"/>
      <c r="C609" s="2"/>
      <c r="D609" s="474"/>
      <c r="E609" s="464"/>
      <c r="F609" s="2"/>
      <c r="G609" s="2"/>
      <c r="H609" s="2"/>
      <c r="I609" s="2"/>
      <c r="J609" s="2"/>
      <c r="K609" s="2"/>
      <c r="L609" s="2"/>
      <c r="M609" s="2"/>
      <c r="N609" s="2"/>
      <c r="O609" s="2"/>
      <c r="P609" s="2"/>
      <c r="Q609" s="2"/>
      <c r="S609" s="3"/>
      <c r="T609" s="3"/>
      <c r="U609" s="3"/>
      <c r="V609" s="3"/>
      <c r="W609" s="3"/>
      <c r="X609" s="3"/>
      <c r="Y609" s="3"/>
      <c r="Z609" s="3"/>
    </row>
    <row r="610" ht="15.75" customHeight="1">
      <c r="A610" s="3"/>
      <c r="B610" s="2"/>
      <c r="C610" s="2"/>
      <c r="D610" s="474"/>
      <c r="E610" s="464"/>
      <c r="F610" s="2"/>
      <c r="G610" s="2"/>
      <c r="H610" s="2"/>
      <c r="I610" s="2"/>
      <c r="J610" s="2"/>
      <c r="K610" s="2"/>
      <c r="L610" s="2"/>
      <c r="M610" s="2"/>
      <c r="N610" s="2"/>
      <c r="O610" s="2"/>
      <c r="P610" s="2"/>
      <c r="Q610" s="2"/>
      <c r="S610" s="3"/>
      <c r="T610" s="3"/>
      <c r="U610" s="3"/>
      <c r="V610" s="3"/>
      <c r="W610" s="3"/>
      <c r="X610" s="3"/>
      <c r="Y610" s="3"/>
      <c r="Z610" s="3"/>
    </row>
    <row r="611" ht="15.75" customHeight="1">
      <c r="A611" s="3"/>
      <c r="B611" s="2"/>
      <c r="C611" s="2"/>
      <c r="D611" s="474"/>
      <c r="E611" s="464"/>
      <c r="F611" s="2"/>
      <c r="G611" s="2"/>
      <c r="H611" s="2"/>
      <c r="I611" s="2"/>
      <c r="J611" s="2"/>
      <c r="K611" s="2"/>
      <c r="L611" s="2"/>
      <c r="M611" s="2"/>
      <c r="N611" s="2"/>
      <c r="O611" s="2"/>
      <c r="P611" s="2"/>
      <c r="Q611" s="2"/>
      <c r="S611" s="3"/>
      <c r="T611" s="3"/>
      <c r="U611" s="3"/>
      <c r="V611" s="3"/>
      <c r="W611" s="3"/>
      <c r="X611" s="3"/>
      <c r="Y611" s="3"/>
      <c r="Z611" s="3"/>
    </row>
    <row r="612" ht="15.75" customHeight="1">
      <c r="A612" s="3"/>
      <c r="B612" s="2"/>
      <c r="C612" s="2"/>
      <c r="D612" s="474"/>
      <c r="E612" s="464"/>
      <c r="F612" s="2"/>
      <c r="G612" s="2"/>
      <c r="H612" s="2"/>
      <c r="I612" s="2"/>
      <c r="J612" s="2"/>
      <c r="K612" s="2"/>
      <c r="L612" s="2"/>
      <c r="M612" s="2"/>
      <c r="N612" s="2"/>
      <c r="O612" s="2"/>
      <c r="P612" s="2"/>
      <c r="Q612" s="2"/>
      <c r="S612" s="3"/>
      <c r="T612" s="3"/>
      <c r="U612" s="3"/>
      <c r="V612" s="3"/>
      <c r="W612" s="3"/>
      <c r="X612" s="3"/>
      <c r="Y612" s="3"/>
      <c r="Z612" s="3"/>
    </row>
    <row r="613" ht="15.75" customHeight="1">
      <c r="A613" s="3"/>
      <c r="B613" s="2"/>
      <c r="C613" s="2"/>
      <c r="D613" s="474"/>
      <c r="E613" s="464"/>
      <c r="F613" s="2"/>
      <c r="G613" s="2"/>
      <c r="H613" s="2"/>
      <c r="I613" s="2"/>
      <c r="J613" s="2"/>
      <c r="K613" s="2"/>
      <c r="L613" s="2"/>
      <c r="M613" s="2"/>
      <c r="N613" s="2"/>
      <c r="O613" s="2"/>
      <c r="P613" s="2"/>
      <c r="Q613" s="2"/>
      <c r="S613" s="3"/>
      <c r="T613" s="3"/>
      <c r="U613" s="3"/>
      <c r="V613" s="3"/>
      <c r="W613" s="3"/>
      <c r="X613" s="3"/>
      <c r="Y613" s="3"/>
      <c r="Z613" s="3"/>
    </row>
    <row r="614" ht="15.75" customHeight="1">
      <c r="A614" s="3"/>
      <c r="B614" s="2"/>
      <c r="C614" s="2"/>
      <c r="D614" s="474"/>
      <c r="E614" s="464"/>
      <c r="F614" s="2"/>
      <c r="G614" s="2"/>
      <c r="H614" s="2"/>
      <c r="I614" s="2"/>
      <c r="J614" s="2"/>
      <c r="K614" s="2"/>
      <c r="L614" s="2"/>
      <c r="M614" s="2"/>
      <c r="N614" s="2"/>
      <c r="O614" s="2"/>
      <c r="P614" s="2"/>
      <c r="Q614" s="2"/>
      <c r="S614" s="3"/>
      <c r="T614" s="3"/>
      <c r="U614" s="3"/>
      <c r="V614" s="3"/>
      <c r="W614" s="3"/>
      <c r="X614" s="3"/>
      <c r="Y614" s="3"/>
      <c r="Z614" s="3"/>
    </row>
    <row r="615" ht="15.75" customHeight="1">
      <c r="A615" s="3"/>
      <c r="B615" s="2"/>
      <c r="C615" s="2"/>
      <c r="D615" s="474"/>
      <c r="E615" s="464"/>
      <c r="F615" s="2"/>
      <c r="G615" s="2"/>
      <c r="H615" s="2"/>
      <c r="I615" s="2"/>
      <c r="J615" s="2"/>
      <c r="K615" s="2"/>
      <c r="L615" s="2"/>
      <c r="M615" s="2"/>
      <c r="N615" s="2"/>
      <c r="O615" s="2"/>
      <c r="P615" s="2"/>
      <c r="Q615" s="2"/>
      <c r="S615" s="3"/>
      <c r="T615" s="3"/>
      <c r="U615" s="3"/>
      <c r="V615" s="3"/>
      <c r="W615" s="3"/>
      <c r="X615" s="3"/>
      <c r="Y615" s="3"/>
      <c r="Z615" s="3"/>
    </row>
    <row r="616" ht="15.75" customHeight="1">
      <c r="A616" s="3"/>
      <c r="B616" s="2"/>
      <c r="C616" s="2"/>
      <c r="D616" s="474"/>
      <c r="E616" s="464"/>
      <c r="F616" s="2"/>
      <c r="G616" s="2"/>
      <c r="H616" s="2"/>
      <c r="I616" s="2"/>
      <c r="J616" s="2"/>
      <c r="K616" s="2"/>
      <c r="L616" s="2"/>
      <c r="M616" s="2"/>
      <c r="N616" s="2"/>
      <c r="O616" s="2"/>
      <c r="P616" s="2"/>
      <c r="Q616" s="2"/>
      <c r="S616" s="3"/>
      <c r="T616" s="3"/>
      <c r="U616" s="3"/>
      <c r="V616" s="3"/>
      <c r="W616" s="3"/>
      <c r="X616" s="3"/>
      <c r="Y616" s="3"/>
      <c r="Z616" s="3"/>
    </row>
    <row r="617" ht="15.75" customHeight="1">
      <c r="A617" s="3"/>
      <c r="B617" s="2"/>
      <c r="C617" s="2"/>
      <c r="D617" s="474"/>
      <c r="E617" s="464"/>
      <c r="F617" s="2"/>
      <c r="G617" s="2"/>
      <c r="H617" s="2"/>
      <c r="I617" s="2"/>
      <c r="J617" s="2"/>
      <c r="K617" s="2"/>
      <c r="L617" s="2"/>
      <c r="M617" s="2"/>
      <c r="N617" s="2"/>
      <c r="O617" s="2"/>
      <c r="P617" s="2"/>
      <c r="Q617" s="2"/>
      <c r="S617" s="3"/>
      <c r="T617" s="3"/>
      <c r="U617" s="3"/>
      <c r="V617" s="3"/>
      <c r="W617" s="3"/>
      <c r="X617" s="3"/>
      <c r="Y617" s="3"/>
      <c r="Z617" s="3"/>
    </row>
    <row r="618" ht="15.75" customHeight="1">
      <c r="A618" s="3"/>
      <c r="B618" s="2"/>
      <c r="C618" s="2"/>
      <c r="D618" s="474"/>
      <c r="E618" s="464"/>
      <c r="F618" s="2"/>
      <c r="G618" s="2"/>
      <c r="H618" s="2"/>
      <c r="I618" s="2"/>
      <c r="J618" s="2"/>
      <c r="K618" s="2"/>
      <c r="L618" s="2"/>
      <c r="M618" s="2"/>
      <c r="N618" s="2"/>
      <c r="O618" s="2"/>
      <c r="P618" s="2"/>
      <c r="Q618" s="2"/>
      <c r="S618" s="3"/>
      <c r="T618" s="3"/>
      <c r="U618" s="3"/>
      <c r="V618" s="3"/>
      <c r="W618" s="3"/>
      <c r="X618" s="3"/>
      <c r="Y618" s="3"/>
      <c r="Z618" s="3"/>
    </row>
    <row r="619" ht="15.75" customHeight="1">
      <c r="A619" s="3"/>
      <c r="B619" s="2"/>
      <c r="C619" s="2"/>
      <c r="D619" s="474"/>
      <c r="E619" s="464"/>
      <c r="F619" s="2"/>
      <c r="G619" s="2"/>
      <c r="H619" s="2"/>
      <c r="I619" s="2"/>
      <c r="J619" s="2"/>
      <c r="K619" s="2"/>
      <c r="L619" s="2"/>
      <c r="M619" s="2"/>
      <c r="N619" s="2"/>
      <c r="O619" s="2"/>
      <c r="P619" s="2"/>
      <c r="Q619" s="2"/>
      <c r="S619" s="3"/>
      <c r="T619" s="3"/>
      <c r="U619" s="3"/>
      <c r="V619" s="3"/>
      <c r="W619" s="3"/>
      <c r="X619" s="3"/>
      <c r="Y619" s="3"/>
      <c r="Z619" s="3"/>
    </row>
    <row r="620" ht="15.75" customHeight="1">
      <c r="A620" s="3"/>
      <c r="B620" s="2"/>
      <c r="C620" s="2"/>
      <c r="D620" s="474"/>
      <c r="E620" s="464"/>
      <c r="F620" s="2"/>
      <c r="G620" s="2"/>
      <c r="H620" s="2"/>
      <c r="I620" s="2"/>
      <c r="J620" s="2"/>
      <c r="K620" s="2"/>
      <c r="L620" s="2"/>
      <c r="M620" s="2"/>
      <c r="N620" s="2"/>
      <c r="O620" s="2"/>
      <c r="P620" s="2"/>
      <c r="Q620" s="2"/>
      <c r="S620" s="3"/>
      <c r="T620" s="3"/>
      <c r="U620" s="3"/>
      <c r="V620" s="3"/>
      <c r="W620" s="3"/>
      <c r="X620" s="3"/>
      <c r="Y620" s="3"/>
      <c r="Z620" s="3"/>
    </row>
    <row r="621" ht="15.75" customHeight="1">
      <c r="A621" s="3"/>
      <c r="B621" s="2"/>
      <c r="C621" s="2"/>
      <c r="D621" s="474"/>
      <c r="E621" s="464"/>
      <c r="F621" s="2"/>
      <c r="G621" s="2"/>
      <c r="H621" s="2"/>
      <c r="I621" s="2"/>
      <c r="J621" s="2"/>
      <c r="K621" s="2"/>
      <c r="L621" s="2"/>
      <c r="M621" s="2"/>
      <c r="N621" s="2"/>
      <c r="O621" s="2"/>
      <c r="P621" s="2"/>
      <c r="Q621" s="2"/>
      <c r="S621" s="3"/>
      <c r="T621" s="3"/>
      <c r="U621" s="3"/>
      <c r="V621" s="3"/>
      <c r="W621" s="3"/>
      <c r="X621" s="3"/>
      <c r="Y621" s="3"/>
      <c r="Z621" s="3"/>
    </row>
    <row r="622" ht="15.75" customHeight="1">
      <c r="A622" s="3"/>
      <c r="B622" s="2"/>
      <c r="C622" s="2"/>
      <c r="D622" s="474"/>
      <c r="E622" s="464"/>
      <c r="F622" s="2"/>
      <c r="G622" s="2"/>
      <c r="H622" s="2"/>
      <c r="I622" s="2"/>
      <c r="J622" s="2"/>
      <c r="K622" s="2"/>
      <c r="L622" s="2"/>
      <c r="M622" s="2"/>
      <c r="N622" s="2"/>
      <c r="O622" s="2"/>
      <c r="P622" s="2"/>
      <c r="Q622" s="2"/>
      <c r="S622" s="3"/>
      <c r="T622" s="3"/>
      <c r="U622" s="3"/>
      <c r="V622" s="3"/>
      <c r="W622" s="3"/>
      <c r="X622" s="3"/>
      <c r="Y622" s="3"/>
      <c r="Z622" s="3"/>
    </row>
    <row r="623" ht="15.75" customHeight="1">
      <c r="A623" s="3"/>
      <c r="B623" s="2"/>
      <c r="C623" s="2"/>
      <c r="D623" s="474"/>
      <c r="E623" s="464"/>
      <c r="F623" s="2"/>
      <c r="G623" s="2"/>
      <c r="H623" s="2"/>
      <c r="I623" s="2"/>
      <c r="J623" s="2"/>
      <c r="K623" s="2"/>
      <c r="L623" s="2"/>
      <c r="M623" s="2"/>
      <c r="N623" s="2"/>
      <c r="O623" s="2"/>
      <c r="P623" s="2"/>
      <c r="Q623" s="2"/>
      <c r="S623" s="3"/>
      <c r="T623" s="3"/>
      <c r="U623" s="3"/>
      <c r="V623" s="3"/>
      <c r="W623" s="3"/>
      <c r="X623" s="3"/>
      <c r="Y623" s="3"/>
      <c r="Z623" s="3"/>
    </row>
    <row r="624" ht="15.75" customHeight="1">
      <c r="A624" s="3"/>
      <c r="B624" s="2"/>
      <c r="C624" s="2"/>
      <c r="D624" s="474"/>
      <c r="E624" s="464"/>
      <c r="F624" s="2"/>
      <c r="G624" s="2"/>
      <c r="H624" s="2"/>
      <c r="I624" s="2"/>
      <c r="J624" s="2"/>
      <c r="K624" s="2"/>
      <c r="L624" s="2"/>
      <c r="M624" s="2"/>
      <c r="N624" s="2"/>
      <c r="O624" s="2"/>
      <c r="P624" s="2"/>
      <c r="Q624" s="2"/>
      <c r="S624" s="3"/>
      <c r="T624" s="3"/>
      <c r="U624" s="3"/>
      <c r="V624" s="3"/>
      <c r="W624" s="3"/>
      <c r="X624" s="3"/>
      <c r="Y624" s="3"/>
      <c r="Z624" s="3"/>
    </row>
    <row r="625" ht="15.75" customHeight="1">
      <c r="A625" s="3"/>
      <c r="B625" s="2"/>
      <c r="C625" s="2"/>
      <c r="D625" s="474"/>
      <c r="E625" s="464"/>
      <c r="F625" s="2"/>
      <c r="G625" s="2"/>
      <c r="H625" s="2"/>
      <c r="I625" s="2"/>
      <c r="J625" s="2"/>
      <c r="K625" s="2"/>
      <c r="L625" s="2"/>
      <c r="M625" s="2"/>
      <c r="N625" s="2"/>
      <c r="O625" s="2"/>
      <c r="P625" s="2"/>
      <c r="Q625" s="2"/>
      <c r="S625" s="3"/>
      <c r="T625" s="3"/>
      <c r="U625" s="3"/>
      <c r="V625" s="3"/>
      <c r="W625" s="3"/>
      <c r="X625" s="3"/>
      <c r="Y625" s="3"/>
      <c r="Z625" s="3"/>
    </row>
    <row r="626" ht="15.75" customHeight="1">
      <c r="A626" s="3"/>
      <c r="B626" s="2"/>
      <c r="C626" s="2"/>
      <c r="D626" s="474"/>
      <c r="E626" s="464"/>
      <c r="F626" s="2"/>
      <c r="G626" s="2"/>
      <c r="H626" s="2"/>
      <c r="I626" s="2"/>
      <c r="J626" s="2"/>
      <c r="K626" s="2"/>
      <c r="L626" s="2"/>
      <c r="M626" s="2"/>
      <c r="N626" s="2"/>
      <c r="O626" s="2"/>
      <c r="P626" s="2"/>
      <c r="Q626" s="2"/>
      <c r="S626" s="3"/>
      <c r="T626" s="3"/>
      <c r="U626" s="3"/>
      <c r="V626" s="3"/>
      <c r="W626" s="3"/>
      <c r="X626" s="3"/>
      <c r="Y626" s="3"/>
      <c r="Z626" s="3"/>
    </row>
    <row r="627" ht="15.75" customHeight="1">
      <c r="A627" s="3"/>
      <c r="B627" s="2"/>
      <c r="C627" s="2"/>
      <c r="D627" s="474"/>
      <c r="E627" s="464"/>
      <c r="F627" s="2"/>
      <c r="G627" s="2"/>
      <c r="H627" s="2"/>
      <c r="I627" s="2"/>
      <c r="J627" s="2"/>
      <c r="K627" s="2"/>
      <c r="L627" s="2"/>
      <c r="M627" s="2"/>
      <c r="N627" s="2"/>
      <c r="O627" s="2"/>
      <c r="P627" s="2"/>
      <c r="Q627" s="2"/>
      <c r="S627" s="3"/>
      <c r="T627" s="3"/>
      <c r="U627" s="3"/>
      <c r="V627" s="3"/>
      <c r="W627" s="3"/>
      <c r="X627" s="3"/>
      <c r="Y627" s="3"/>
      <c r="Z627" s="3"/>
    </row>
    <row r="628" ht="15.75" customHeight="1">
      <c r="A628" s="3"/>
      <c r="B628" s="2"/>
      <c r="C628" s="2"/>
      <c r="D628" s="474"/>
      <c r="E628" s="464"/>
      <c r="F628" s="2"/>
      <c r="G628" s="2"/>
      <c r="H628" s="2"/>
      <c r="I628" s="2"/>
      <c r="J628" s="2"/>
      <c r="K628" s="2"/>
      <c r="L628" s="2"/>
      <c r="M628" s="2"/>
      <c r="N628" s="2"/>
      <c r="O628" s="2"/>
      <c r="P628" s="2"/>
      <c r="Q628" s="2"/>
      <c r="S628" s="3"/>
      <c r="T628" s="3"/>
      <c r="U628" s="3"/>
      <c r="V628" s="3"/>
      <c r="W628" s="3"/>
      <c r="X628" s="3"/>
      <c r="Y628" s="3"/>
      <c r="Z628" s="3"/>
    </row>
    <row r="629" ht="15.75" customHeight="1">
      <c r="A629" s="3"/>
      <c r="B629" s="2"/>
      <c r="C629" s="2"/>
      <c r="D629" s="474"/>
      <c r="E629" s="464"/>
      <c r="F629" s="2"/>
      <c r="G629" s="2"/>
      <c r="H629" s="2"/>
      <c r="I629" s="2"/>
      <c r="J629" s="2"/>
      <c r="K629" s="2"/>
      <c r="L629" s="2"/>
      <c r="M629" s="2"/>
      <c r="N629" s="2"/>
      <c r="O629" s="2"/>
      <c r="P629" s="2"/>
      <c r="Q629" s="2"/>
      <c r="S629" s="3"/>
      <c r="T629" s="3"/>
      <c r="U629" s="3"/>
      <c r="V629" s="3"/>
      <c r="W629" s="3"/>
      <c r="X629" s="3"/>
      <c r="Y629" s="3"/>
      <c r="Z629" s="3"/>
    </row>
    <row r="630" ht="15.75" customHeight="1">
      <c r="A630" s="3"/>
      <c r="B630" s="2"/>
      <c r="C630" s="2"/>
      <c r="D630" s="474"/>
      <c r="E630" s="464"/>
      <c r="F630" s="2"/>
      <c r="G630" s="2"/>
      <c r="H630" s="2"/>
      <c r="I630" s="2"/>
      <c r="J630" s="2"/>
      <c r="K630" s="2"/>
      <c r="L630" s="2"/>
      <c r="M630" s="2"/>
      <c r="N630" s="2"/>
      <c r="O630" s="2"/>
      <c r="P630" s="2"/>
      <c r="Q630" s="2"/>
      <c r="S630" s="3"/>
      <c r="T630" s="3"/>
      <c r="U630" s="3"/>
      <c r="V630" s="3"/>
      <c r="W630" s="3"/>
      <c r="X630" s="3"/>
      <c r="Y630" s="3"/>
      <c r="Z630" s="3"/>
    </row>
    <row r="631" ht="15.75" customHeight="1">
      <c r="A631" s="3"/>
      <c r="B631" s="2"/>
      <c r="C631" s="2"/>
      <c r="D631" s="474"/>
      <c r="E631" s="464"/>
      <c r="F631" s="2"/>
      <c r="G631" s="2"/>
      <c r="H631" s="2"/>
      <c r="I631" s="2"/>
      <c r="J631" s="2"/>
      <c r="K631" s="2"/>
      <c r="L631" s="2"/>
      <c r="M631" s="2"/>
      <c r="N631" s="2"/>
      <c r="O631" s="2"/>
      <c r="P631" s="2"/>
      <c r="Q631" s="2"/>
      <c r="S631" s="3"/>
      <c r="T631" s="3"/>
      <c r="U631" s="3"/>
      <c r="V631" s="3"/>
      <c r="W631" s="3"/>
      <c r="X631" s="3"/>
      <c r="Y631" s="3"/>
      <c r="Z631" s="3"/>
    </row>
    <row r="632" ht="15.75" customHeight="1">
      <c r="A632" s="3"/>
      <c r="B632" s="2"/>
      <c r="C632" s="2"/>
      <c r="D632" s="474"/>
      <c r="E632" s="464"/>
      <c r="F632" s="2"/>
      <c r="G632" s="2"/>
      <c r="H632" s="2"/>
      <c r="I632" s="2"/>
      <c r="J632" s="2"/>
      <c r="K632" s="2"/>
      <c r="L632" s="2"/>
      <c r="M632" s="2"/>
      <c r="N632" s="2"/>
      <c r="O632" s="2"/>
      <c r="P632" s="2"/>
      <c r="Q632" s="2"/>
      <c r="S632" s="3"/>
      <c r="T632" s="3"/>
      <c r="U632" s="3"/>
      <c r="V632" s="3"/>
      <c r="W632" s="3"/>
      <c r="X632" s="3"/>
      <c r="Y632" s="3"/>
      <c r="Z632" s="3"/>
    </row>
    <row r="633" ht="15.75" customHeight="1">
      <c r="A633" s="3"/>
      <c r="B633" s="2"/>
      <c r="C633" s="2"/>
      <c r="D633" s="474"/>
      <c r="E633" s="464"/>
      <c r="F633" s="2"/>
      <c r="G633" s="2"/>
      <c r="H633" s="2"/>
      <c r="I633" s="2"/>
      <c r="J633" s="2"/>
      <c r="K633" s="2"/>
      <c r="L633" s="2"/>
      <c r="M633" s="2"/>
      <c r="N633" s="2"/>
      <c r="O633" s="2"/>
      <c r="P633" s="2"/>
      <c r="Q633" s="2"/>
      <c r="S633" s="3"/>
      <c r="T633" s="3"/>
      <c r="U633" s="3"/>
      <c r="V633" s="3"/>
      <c r="W633" s="3"/>
      <c r="X633" s="3"/>
      <c r="Y633" s="3"/>
      <c r="Z633" s="3"/>
    </row>
    <row r="634" ht="15.75" customHeight="1">
      <c r="A634" s="3"/>
      <c r="B634" s="2"/>
      <c r="C634" s="2"/>
      <c r="D634" s="474"/>
      <c r="E634" s="464"/>
      <c r="F634" s="2"/>
      <c r="G634" s="2"/>
      <c r="H634" s="2"/>
      <c r="I634" s="2"/>
      <c r="J634" s="2"/>
      <c r="K634" s="2"/>
      <c r="L634" s="2"/>
      <c r="M634" s="2"/>
      <c r="N634" s="2"/>
      <c r="O634" s="2"/>
      <c r="P634" s="2"/>
      <c r="Q634" s="2"/>
      <c r="S634" s="3"/>
      <c r="T634" s="3"/>
      <c r="U634" s="3"/>
      <c r="V634" s="3"/>
      <c r="W634" s="3"/>
      <c r="X634" s="3"/>
      <c r="Y634" s="3"/>
      <c r="Z634" s="3"/>
    </row>
    <row r="635" ht="15.75" customHeight="1">
      <c r="A635" s="3"/>
      <c r="B635" s="2"/>
      <c r="C635" s="2"/>
      <c r="D635" s="474"/>
      <c r="E635" s="464"/>
      <c r="F635" s="2"/>
      <c r="G635" s="2"/>
      <c r="H635" s="2"/>
      <c r="I635" s="2"/>
      <c r="J635" s="2"/>
      <c r="K635" s="2"/>
      <c r="L635" s="2"/>
      <c r="M635" s="2"/>
      <c r="N635" s="2"/>
      <c r="O635" s="2"/>
      <c r="P635" s="2"/>
      <c r="Q635" s="2"/>
      <c r="S635" s="3"/>
      <c r="T635" s="3"/>
      <c r="U635" s="3"/>
      <c r="V635" s="3"/>
      <c r="W635" s="3"/>
      <c r="X635" s="3"/>
      <c r="Y635" s="3"/>
      <c r="Z635" s="3"/>
    </row>
    <row r="636" ht="15.75" customHeight="1">
      <c r="A636" s="3"/>
      <c r="B636" s="2"/>
      <c r="C636" s="2"/>
      <c r="D636" s="474"/>
      <c r="E636" s="464"/>
      <c r="F636" s="2"/>
      <c r="G636" s="2"/>
      <c r="H636" s="2"/>
      <c r="I636" s="2"/>
      <c r="J636" s="2"/>
      <c r="K636" s="2"/>
      <c r="L636" s="2"/>
      <c r="M636" s="2"/>
      <c r="N636" s="2"/>
      <c r="O636" s="2"/>
      <c r="P636" s="2"/>
      <c r="Q636" s="2"/>
      <c r="S636" s="3"/>
      <c r="T636" s="3"/>
      <c r="U636" s="3"/>
      <c r="V636" s="3"/>
      <c r="W636" s="3"/>
      <c r="X636" s="3"/>
      <c r="Y636" s="3"/>
      <c r="Z636" s="3"/>
    </row>
    <row r="637" ht="15.75" customHeight="1">
      <c r="A637" s="3"/>
      <c r="B637" s="2"/>
      <c r="C637" s="2"/>
      <c r="D637" s="474"/>
      <c r="E637" s="464"/>
      <c r="F637" s="2"/>
      <c r="G637" s="2"/>
      <c r="H637" s="2"/>
      <c r="I637" s="2"/>
      <c r="J637" s="2"/>
      <c r="K637" s="2"/>
      <c r="L637" s="2"/>
      <c r="M637" s="2"/>
      <c r="N637" s="2"/>
      <c r="O637" s="2"/>
      <c r="P637" s="2"/>
      <c r="Q637" s="2"/>
      <c r="S637" s="3"/>
      <c r="T637" s="3"/>
      <c r="U637" s="3"/>
      <c r="V637" s="3"/>
      <c r="W637" s="3"/>
      <c r="X637" s="3"/>
      <c r="Y637" s="3"/>
      <c r="Z637" s="3"/>
    </row>
    <row r="638" ht="15.75" customHeight="1">
      <c r="A638" s="3"/>
      <c r="B638" s="2"/>
      <c r="C638" s="2"/>
      <c r="D638" s="474"/>
      <c r="E638" s="464"/>
      <c r="F638" s="2"/>
      <c r="G638" s="2"/>
      <c r="H638" s="2"/>
      <c r="I638" s="2"/>
      <c r="J638" s="2"/>
      <c r="K638" s="2"/>
      <c r="L638" s="2"/>
      <c r="M638" s="2"/>
      <c r="N638" s="2"/>
      <c r="O638" s="2"/>
      <c r="P638" s="2"/>
      <c r="Q638" s="2"/>
      <c r="S638" s="3"/>
      <c r="T638" s="3"/>
      <c r="U638" s="3"/>
      <c r="V638" s="3"/>
      <c r="W638" s="3"/>
      <c r="X638" s="3"/>
      <c r="Y638" s="3"/>
      <c r="Z638" s="3"/>
    </row>
    <row r="639" ht="15.75" customHeight="1">
      <c r="A639" s="3"/>
      <c r="B639" s="2"/>
      <c r="C639" s="2"/>
      <c r="D639" s="474"/>
      <c r="E639" s="464"/>
      <c r="F639" s="2"/>
      <c r="G639" s="2"/>
      <c r="H639" s="2"/>
      <c r="I639" s="2"/>
      <c r="J639" s="2"/>
      <c r="K639" s="2"/>
      <c r="L639" s="2"/>
      <c r="M639" s="2"/>
      <c r="N639" s="2"/>
      <c r="O639" s="2"/>
      <c r="P639" s="2"/>
      <c r="Q639" s="2"/>
      <c r="S639" s="3"/>
      <c r="T639" s="3"/>
      <c r="U639" s="3"/>
      <c r="V639" s="3"/>
      <c r="W639" s="3"/>
      <c r="X639" s="3"/>
      <c r="Y639" s="3"/>
      <c r="Z639" s="3"/>
    </row>
    <row r="640" ht="15.75" customHeight="1">
      <c r="A640" s="3"/>
      <c r="B640" s="2"/>
      <c r="C640" s="2"/>
      <c r="D640" s="474"/>
      <c r="E640" s="464"/>
      <c r="F640" s="2"/>
      <c r="G640" s="2"/>
      <c r="H640" s="2"/>
      <c r="I640" s="2"/>
      <c r="J640" s="2"/>
      <c r="K640" s="2"/>
      <c r="L640" s="2"/>
      <c r="M640" s="2"/>
      <c r="N640" s="2"/>
      <c r="O640" s="2"/>
      <c r="P640" s="2"/>
      <c r="Q640" s="2"/>
      <c r="S640" s="3"/>
      <c r="T640" s="3"/>
      <c r="U640" s="3"/>
      <c r="V640" s="3"/>
      <c r="W640" s="3"/>
      <c r="X640" s="3"/>
      <c r="Y640" s="3"/>
      <c r="Z640" s="3"/>
    </row>
    <row r="641" ht="15.75" customHeight="1">
      <c r="A641" s="3"/>
      <c r="B641" s="2"/>
      <c r="C641" s="2"/>
      <c r="D641" s="474"/>
      <c r="E641" s="464"/>
      <c r="F641" s="2"/>
      <c r="G641" s="2"/>
      <c r="H641" s="2"/>
      <c r="I641" s="2"/>
      <c r="J641" s="2"/>
      <c r="K641" s="2"/>
      <c r="L641" s="2"/>
      <c r="M641" s="2"/>
      <c r="N641" s="2"/>
      <c r="O641" s="2"/>
      <c r="P641" s="2"/>
      <c r="Q641" s="2"/>
      <c r="S641" s="3"/>
      <c r="T641" s="3"/>
      <c r="U641" s="3"/>
      <c r="V641" s="3"/>
      <c r="W641" s="3"/>
      <c r="X641" s="3"/>
      <c r="Y641" s="3"/>
      <c r="Z641" s="3"/>
    </row>
    <row r="642" ht="15.75" customHeight="1">
      <c r="A642" s="3"/>
      <c r="B642" s="2"/>
      <c r="C642" s="2"/>
      <c r="D642" s="474"/>
      <c r="E642" s="464"/>
      <c r="F642" s="2"/>
      <c r="G642" s="2"/>
      <c r="H642" s="2"/>
      <c r="I642" s="2"/>
      <c r="J642" s="2"/>
      <c r="K642" s="2"/>
      <c r="L642" s="2"/>
      <c r="M642" s="2"/>
      <c r="N642" s="2"/>
      <c r="O642" s="2"/>
      <c r="P642" s="2"/>
      <c r="Q642" s="2"/>
      <c r="S642" s="3"/>
      <c r="T642" s="3"/>
      <c r="U642" s="3"/>
      <c r="V642" s="3"/>
      <c r="W642" s="3"/>
      <c r="X642" s="3"/>
      <c r="Y642" s="3"/>
      <c r="Z642" s="3"/>
    </row>
    <row r="643" ht="15.75" customHeight="1">
      <c r="A643" s="3"/>
      <c r="B643" s="2"/>
      <c r="C643" s="2"/>
      <c r="D643" s="474"/>
      <c r="E643" s="464"/>
      <c r="F643" s="2"/>
      <c r="G643" s="2"/>
      <c r="H643" s="2"/>
      <c r="I643" s="2"/>
      <c r="J643" s="2"/>
      <c r="K643" s="2"/>
      <c r="L643" s="2"/>
      <c r="M643" s="2"/>
      <c r="N643" s="2"/>
      <c r="O643" s="2"/>
      <c r="P643" s="2"/>
      <c r="Q643" s="2"/>
      <c r="S643" s="3"/>
      <c r="T643" s="3"/>
      <c r="U643" s="3"/>
      <c r="V643" s="3"/>
      <c r="W643" s="3"/>
      <c r="X643" s="3"/>
      <c r="Y643" s="3"/>
      <c r="Z643" s="3"/>
    </row>
    <row r="644" ht="15.75" customHeight="1">
      <c r="A644" s="3"/>
      <c r="B644" s="2"/>
      <c r="C644" s="2"/>
      <c r="D644" s="474"/>
      <c r="E644" s="464"/>
      <c r="F644" s="2"/>
      <c r="G644" s="2"/>
      <c r="H644" s="2"/>
      <c r="I644" s="2"/>
      <c r="J644" s="2"/>
      <c r="K644" s="2"/>
      <c r="L644" s="2"/>
      <c r="M644" s="2"/>
      <c r="N644" s="2"/>
      <c r="O644" s="2"/>
      <c r="P644" s="2"/>
      <c r="Q644" s="2"/>
      <c r="S644" s="3"/>
      <c r="T644" s="3"/>
      <c r="U644" s="3"/>
      <c r="V644" s="3"/>
      <c r="W644" s="3"/>
      <c r="X644" s="3"/>
      <c r="Y644" s="3"/>
      <c r="Z644" s="3"/>
    </row>
    <row r="645" ht="15.75" customHeight="1">
      <c r="A645" s="3"/>
      <c r="B645" s="2"/>
      <c r="C645" s="2"/>
      <c r="D645" s="474"/>
      <c r="E645" s="464"/>
      <c r="F645" s="2"/>
      <c r="G645" s="2"/>
      <c r="H645" s="2"/>
      <c r="I645" s="2"/>
      <c r="J645" s="2"/>
      <c r="K645" s="2"/>
      <c r="L645" s="2"/>
      <c r="M645" s="2"/>
      <c r="N645" s="2"/>
      <c r="O645" s="2"/>
      <c r="P645" s="2"/>
      <c r="Q645" s="2"/>
      <c r="S645" s="3"/>
      <c r="T645" s="3"/>
      <c r="U645" s="3"/>
      <c r="V645" s="3"/>
      <c r="W645" s="3"/>
      <c r="X645" s="3"/>
      <c r="Y645" s="3"/>
      <c r="Z645" s="3"/>
    </row>
    <row r="646" ht="15.75" customHeight="1">
      <c r="A646" s="3"/>
      <c r="B646" s="2"/>
      <c r="C646" s="2"/>
      <c r="D646" s="474"/>
      <c r="E646" s="464"/>
      <c r="F646" s="2"/>
      <c r="G646" s="2"/>
      <c r="H646" s="2"/>
      <c r="I646" s="2"/>
      <c r="J646" s="2"/>
      <c r="K646" s="2"/>
      <c r="L646" s="2"/>
      <c r="M646" s="2"/>
      <c r="N646" s="2"/>
      <c r="O646" s="2"/>
      <c r="P646" s="2"/>
      <c r="Q646" s="2"/>
      <c r="S646" s="3"/>
      <c r="T646" s="3"/>
      <c r="U646" s="3"/>
      <c r="V646" s="3"/>
      <c r="W646" s="3"/>
      <c r="X646" s="3"/>
      <c r="Y646" s="3"/>
      <c r="Z646" s="3"/>
    </row>
    <row r="647" ht="15.75" customHeight="1">
      <c r="A647" s="3"/>
      <c r="B647" s="2"/>
      <c r="C647" s="2"/>
      <c r="D647" s="474"/>
      <c r="E647" s="464"/>
      <c r="F647" s="2"/>
      <c r="G647" s="2"/>
      <c r="H647" s="2"/>
      <c r="I647" s="2"/>
      <c r="J647" s="2"/>
      <c r="K647" s="2"/>
      <c r="L647" s="2"/>
      <c r="M647" s="2"/>
      <c r="N647" s="2"/>
      <c r="O647" s="2"/>
      <c r="P647" s="2"/>
      <c r="Q647" s="2"/>
      <c r="S647" s="3"/>
      <c r="T647" s="3"/>
      <c r="U647" s="3"/>
      <c r="V647" s="3"/>
      <c r="W647" s="3"/>
      <c r="X647" s="3"/>
      <c r="Y647" s="3"/>
      <c r="Z647" s="3"/>
    </row>
    <row r="648" ht="15.75" customHeight="1">
      <c r="A648" s="3"/>
      <c r="B648" s="2"/>
      <c r="C648" s="2"/>
      <c r="D648" s="474"/>
      <c r="E648" s="464"/>
      <c r="F648" s="2"/>
      <c r="G648" s="2"/>
      <c r="H648" s="2"/>
      <c r="I648" s="2"/>
      <c r="J648" s="2"/>
      <c r="K648" s="2"/>
      <c r="L648" s="2"/>
      <c r="M648" s="2"/>
      <c r="N648" s="2"/>
      <c r="O648" s="2"/>
      <c r="P648" s="2"/>
      <c r="Q648" s="2"/>
      <c r="S648" s="3"/>
      <c r="T648" s="3"/>
      <c r="U648" s="3"/>
      <c r="V648" s="3"/>
      <c r="W648" s="3"/>
      <c r="X648" s="3"/>
      <c r="Y648" s="3"/>
      <c r="Z648" s="3"/>
    </row>
    <row r="649" ht="15.75" customHeight="1">
      <c r="A649" s="3"/>
      <c r="B649" s="2"/>
      <c r="C649" s="2"/>
      <c r="D649" s="474"/>
      <c r="E649" s="464"/>
      <c r="F649" s="2"/>
      <c r="G649" s="2"/>
      <c r="H649" s="2"/>
      <c r="I649" s="2"/>
      <c r="J649" s="2"/>
      <c r="K649" s="2"/>
      <c r="L649" s="2"/>
      <c r="M649" s="2"/>
      <c r="N649" s="2"/>
      <c r="O649" s="2"/>
      <c r="P649" s="2"/>
      <c r="Q649" s="2"/>
      <c r="S649" s="3"/>
      <c r="T649" s="3"/>
      <c r="U649" s="3"/>
      <c r="V649" s="3"/>
      <c r="W649" s="3"/>
      <c r="X649" s="3"/>
      <c r="Y649" s="3"/>
      <c r="Z649" s="3"/>
    </row>
    <row r="650" ht="15.75" customHeight="1">
      <c r="A650" s="3"/>
      <c r="B650" s="2"/>
      <c r="C650" s="2"/>
      <c r="D650" s="474"/>
      <c r="E650" s="464"/>
      <c r="F650" s="2"/>
      <c r="G650" s="2"/>
      <c r="H650" s="2"/>
      <c r="I650" s="2"/>
      <c r="J650" s="2"/>
      <c r="K650" s="2"/>
      <c r="L650" s="2"/>
      <c r="M650" s="2"/>
      <c r="N650" s="2"/>
      <c r="O650" s="2"/>
      <c r="P650" s="2"/>
      <c r="Q650" s="2"/>
      <c r="S650" s="3"/>
      <c r="T650" s="3"/>
      <c r="U650" s="3"/>
      <c r="V650" s="3"/>
      <c r="W650" s="3"/>
      <c r="X650" s="3"/>
      <c r="Y650" s="3"/>
      <c r="Z650" s="3"/>
    </row>
    <row r="651" ht="15.75" customHeight="1">
      <c r="A651" s="3"/>
      <c r="B651" s="2"/>
      <c r="C651" s="2"/>
      <c r="D651" s="474"/>
      <c r="E651" s="464"/>
      <c r="F651" s="2"/>
      <c r="G651" s="2"/>
      <c r="H651" s="2"/>
      <c r="I651" s="2"/>
      <c r="J651" s="2"/>
      <c r="K651" s="2"/>
      <c r="L651" s="2"/>
      <c r="M651" s="2"/>
      <c r="N651" s="2"/>
      <c r="O651" s="2"/>
      <c r="P651" s="2"/>
      <c r="Q651" s="2"/>
      <c r="S651" s="3"/>
      <c r="T651" s="3"/>
      <c r="U651" s="3"/>
      <c r="V651" s="3"/>
      <c r="W651" s="3"/>
      <c r="X651" s="3"/>
      <c r="Y651" s="3"/>
      <c r="Z651" s="3"/>
    </row>
    <row r="652" ht="15.75" customHeight="1">
      <c r="A652" s="3"/>
      <c r="B652" s="2"/>
      <c r="C652" s="2"/>
      <c r="D652" s="474"/>
      <c r="E652" s="464"/>
      <c r="F652" s="2"/>
      <c r="G652" s="2"/>
      <c r="H652" s="2"/>
      <c r="I652" s="2"/>
      <c r="J652" s="2"/>
      <c r="K652" s="2"/>
      <c r="L652" s="2"/>
      <c r="M652" s="2"/>
      <c r="N652" s="2"/>
      <c r="O652" s="2"/>
      <c r="P652" s="2"/>
      <c r="Q652" s="2"/>
      <c r="S652" s="3"/>
      <c r="T652" s="3"/>
      <c r="U652" s="3"/>
      <c r="V652" s="3"/>
      <c r="W652" s="3"/>
      <c r="X652" s="3"/>
      <c r="Y652" s="3"/>
      <c r="Z652" s="3"/>
    </row>
    <row r="653" ht="15.75" customHeight="1">
      <c r="A653" s="3"/>
      <c r="B653" s="2"/>
      <c r="C653" s="2"/>
      <c r="D653" s="474"/>
      <c r="E653" s="464"/>
      <c r="F653" s="2"/>
      <c r="G653" s="2"/>
      <c r="H653" s="2"/>
      <c r="I653" s="2"/>
      <c r="J653" s="2"/>
      <c r="K653" s="2"/>
      <c r="L653" s="2"/>
      <c r="M653" s="2"/>
      <c r="N653" s="2"/>
      <c r="O653" s="2"/>
      <c r="P653" s="2"/>
      <c r="Q653" s="2"/>
      <c r="S653" s="3"/>
      <c r="T653" s="3"/>
      <c r="U653" s="3"/>
      <c r="V653" s="3"/>
      <c r="W653" s="3"/>
      <c r="X653" s="3"/>
      <c r="Y653" s="3"/>
      <c r="Z653" s="3"/>
    </row>
    <row r="654" ht="15.75" customHeight="1">
      <c r="A654" s="3"/>
      <c r="B654" s="2"/>
      <c r="C654" s="2"/>
      <c r="D654" s="474"/>
      <c r="E654" s="464"/>
      <c r="F654" s="2"/>
      <c r="G654" s="2"/>
      <c r="H654" s="2"/>
      <c r="I654" s="2"/>
      <c r="J654" s="2"/>
      <c r="K654" s="2"/>
      <c r="L654" s="2"/>
      <c r="M654" s="2"/>
      <c r="N654" s="2"/>
      <c r="O654" s="2"/>
      <c r="P654" s="2"/>
      <c r="Q654" s="2"/>
      <c r="S654" s="3"/>
      <c r="T654" s="3"/>
      <c r="U654" s="3"/>
      <c r="V654" s="3"/>
      <c r="W654" s="3"/>
      <c r="X654" s="3"/>
      <c r="Y654" s="3"/>
      <c r="Z654" s="3"/>
    </row>
    <row r="655" ht="15.75" customHeight="1">
      <c r="A655" s="3"/>
      <c r="B655" s="2"/>
      <c r="C655" s="2"/>
      <c r="D655" s="474"/>
      <c r="E655" s="464"/>
      <c r="F655" s="2"/>
      <c r="G655" s="2"/>
      <c r="H655" s="2"/>
      <c r="I655" s="2"/>
      <c r="J655" s="2"/>
      <c r="K655" s="2"/>
      <c r="L655" s="2"/>
      <c r="M655" s="2"/>
      <c r="N655" s="2"/>
      <c r="O655" s="2"/>
      <c r="P655" s="2"/>
      <c r="Q655" s="2"/>
      <c r="S655" s="3"/>
      <c r="T655" s="3"/>
      <c r="U655" s="3"/>
      <c r="V655" s="3"/>
      <c r="W655" s="3"/>
      <c r="X655" s="3"/>
      <c r="Y655" s="3"/>
      <c r="Z655" s="3"/>
    </row>
    <row r="656" ht="15.75" customHeight="1">
      <c r="A656" s="3"/>
      <c r="B656" s="2"/>
      <c r="C656" s="2"/>
      <c r="D656" s="474"/>
      <c r="E656" s="464"/>
      <c r="F656" s="2"/>
      <c r="G656" s="2"/>
      <c r="H656" s="2"/>
      <c r="I656" s="2"/>
      <c r="J656" s="2"/>
      <c r="K656" s="2"/>
      <c r="L656" s="2"/>
      <c r="M656" s="2"/>
      <c r="N656" s="2"/>
      <c r="O656" s="2"/>
      <c r="P656" s="2"/>
      <c r="Q656" s="2"/>
      <c r="S656" s="3"/>
      <c r="T656" s="3"/>
      <c r="U656" s="3"/>
      <c r="V656" s="3"/>
      <c r="W656" s="3"/>
      <c r="X656" s="3"/>
      <c r="Y656" s="3"/>
      <c r="Z656" s="3"/>
    </row>
    <row r="657" ht="15.75" customHeight="1">
      <c r="A657" s="3"/>
      <c r="B657" s="2"/>
      <c r="C657" s="2"/>
      <c r="D657" s="474"/>
      <c r="E657" s="464"/>
      <c r="F657" s="2"/>
      <c r="G657" s="2"/>
      <c r="H657" s="2"/>
      <c r="I657" s="2"/>
      <c r="J657" s="2"/>
      <c r="K657" s="2"/>
      <c r="L657" s="2"/>
      <c r="M657" s="2"/>
      <c r="N657" s="2"/>
      <c r="O657" s="2"/>
      <c r="P657" s="2"/>
      <c r="Q657" s="2"/>
      <c r="S657" s="3"/>
      <c r="T657" s="3"/>
      <c r="U657" s="3"/>
      <c r="V657" s="3"/>
      <c r="W657" s="3"/>
      <c r="X657" s="3"/>
      <c r="Y657" s="3"/>
      <c r="Z657" s="3"/>
    </row>
    <row r="658" ht="15.75" customHeight="1">
      <c r="A658" s="3"/>
      <c r="B658" s="2"/>
      <c r="C658" s="2"/>
      <c r="D658" s="474"/>
      <c r="E658" s="464"/>
      <c r="F658" s="2"/>
      <c r="G658" s="2"/>
      <c r="H658" s="2"/>
      <c r="I658" s="2"/>
      <c r="J658" s="2"/>
      <c r="K658" s="2"/>
      <c r="L658" s="2"/>
      <c r="M658" s="2"/>
      <c r="N658" s="2"/>
      <c r="O658" s="2"/>
      <c r="P658" s="2"/>
      <c r="Q658" s="2"/>
      <c r="S658" s="3"/>
      <c r="T658" s="3"/>
      <c r="U658" s="3"/>
      <c r="V658" s="3"/>
      <c r="W658" s="3"/>
      <c r="X658" s="3"/>
      <c r="Y658" s="3"/>
      <c r="Z658" s="3"/>
    </row>
    <row r="659" ht="15.75" customHeight="1">
      <c r="A659" s="3"/>
      <c r="B659" s="2"/>
      <c r="C659" s="2"/>
      <c r="D659" s="474"/>
      <c r="E659" s="464"/>
      <c r="F659" s="2"/>
      <c r="G659" s="2"/>
      <c r="H659" s="2"/>
      <c r="I659" s="2"/>
      <c r="J659" s="2"/>
      <c r="K659" s="2"/>
      <c r="L659" s="2"/>
      <c r="M659" s="2"/>
      <c r="N659" s="2"/>
      <c r="O659" s="2"/>
      <c r="P659" s="2"/>
      <c r="Q659" s="2"/>
      <c r="S659" s="3"/>
      <c r="T659" s="3"/>
      <c r="U659" s="3"/>
      <c r="V659" s="3"/>
      <c r="W659" s="3"/>
      <c r="X659" s="3"/>
      <c r="Y659" s="3"/>
      <c r="Z659" s="3"/>
    </row>
    <row r="660" ht="15.75" customHeight="1">
      <c r="A660" s="3"/>
      <c r="B660" s="2"/>
      <c r="C660" s="2"/>
      <c r="D660" s="474"/>
      <c r="E660" s="464"/>
      <c r="F660" s="2"/>
      <c r="G660" s="2"/>
      <c r="H660" s="2"/>
      <c r="I660" s="2"/>
      <c r="J660" s="2"/>
      <c r="K660" s="2"/>
      <c r="L660" s="2"/>
      <c r="M660" s="2"/>
      <c r="N660" s="2"/>
      <c r="O660" s="2"/>
      <c r="P660" s="2"/>
      <c r="Q660" s="2"/>
      <c r="S660" s="3"/>
      <c r="T660" s="3"/>
      <c r="U660" s="3"/>
      <c r="V660" s="3"/>
      <c r="W660" s="3"/>
      <c r="X660" s="3"/>
      <c r="Y660" s="3"/>
      <c r="Z660" s="3"/>
    </row>
    <row r="661" ht="15.75" customHeight="1">
      <c r="A661" s="3"/>
      <c r="B661" s="2"/>
      <c r="C661" s="2"/>
      <c r="D661" s="474"/>
      <c r="E661" s="464"/>
      <c r="F661" s="2"/>
      <c r="G661" s="2"/>
      <c r="H661" s="2"/>
      <c r="I661" s="2"/>
      <c r="J661" s="2"/>
      <c r="K661" s="2"/>
      <c r="L661" s="2"/>
      <c r="M661" s="2"/>
      <c r="N661" s="2"/>
      <c r="O661" s="2"/>
      <c r="P661" s="2"/>
      <c r="Q661" s="2"/>
      <c r="S661" s="3"/>
      <c r="T661" s="3"/>
      <c r="U661" s="3"/>
      <c r="V661" s="3"/>
      <c r="W661" s="3"/>
      <c r="X661" s="3"/>
      <c r="Y661" s="3"/>
      <c r="Z661" s="3"/>
    </row>
    <row r="662" ht="15.75" customHeight="1">
      <c r="A662" s="3"/>
      <c r="B662" s="2"/>
      <c r="C662" s="2"/>
      <c r="D662" s="474"/>
      <c r="E662" s="464"/>
      <c r="F662" s="2"/>
      <c r="G662" s="2"/>
      <c r="H662" s="2"/>
      <c r="I662" s="2"/>
      <c r="J662" s="2"/>
      <c r="K662" s="2"/>
      <c r="L662" s="2"/>
      <c r="M662" s="2"/>
      <c r="N662" s="2"/>
      <c r="O662" s="2"/>
      <c r="P662" s="2"/>
      <c r="Q662" s="2"/>
      <c r="S662" s="3"/>
      <c r="T662" s="3"/>
      <c r="U662" s="3"/>
      <c r="V662" s="3"/>
      <c r="W662" s="3"/>
      <c r="X662" s="3"/>
      <c r="Y662" s="3"/>
      <c r="Z662" s="3"/>
    </row>
    <row r="663" ht="15.75" customHeight="1">
      <c r="A663" s="3"/>
      <c r="B663" s="2"/>
      <c r="C663" s="2"/>
      <c r="D663" s="474"/>
      <c r="E663" s="464"/>
      <c r="F663" s="2"/>
      <c r="G663" s="2"/>
      <c r="H663" s="2"/>
      <c r="I663" s="2"/>
      <c r="J663" s="2"/>
      <c r="K663" s="2"/>
      <c r="L663" s="2"/>
      <c r="M663" s="2"/>
      <c r="N663" s="2"/>
      <c r="O663" s="2"/>
      <c r="P663" s="2"/>
      <c r="Q663" s="2"/>
      <c r="S663" s="3"/>
      <c r="T663" s="3"/>
      <c r="U663" s="3"/>
      <c r="V663" s="3"/>
      <c r="W663" s="3"/>
      <c r="X663" s="3"/>
      <c r="Y663" s="3"/>
      <c r="Z663" s="3"/>
    </row>
    <row r="664" ht="15.75" customHeight="1">
      <c r="A664" s="3"/>
      <c r="B664" s="2"/>
      <c r="C664" s="2"/>
      <c r="D664" s="474"/>
      <c r="E664" s="464"/>
      <c r="F664" s="2"/>
      <c r="G664" s="2"/>
      <c r="H664" s="2"/>
      <c r="I664" s="2"/>
      <c r="J664" s="2"/>
      <c r="K664" s="2"/>
      <c r="L664" s="2"/>
      <c r="M664" s="2"/>
      <c r="N664" s="2"/>
      <c r="O664" s="2"/>
      <c r="P664" s="2"/>
      <c r="Q664" s="2"/>
      <c r="S664" s="3"/>
      <c r="T664" s="3"/>
      <c r="U664" s="3"/>
      <c r="V664" s="3"/>
      <c r="W664" s="3"/>
      <c r="X664" s="3"/>
      <c r="Y664" s="3"/>
      <c r="Z664" s="3"/>
    </row>
    <row r="665" ht="15.75" customHeight="1">
      <c r="A665" s="3"/>
      <c r="B665" s="2"/>
      <c r="C665" s="2"/>
      <c r="D665" s="474"/>
      <c r="E665" s="464"/>
      <c r="F665" s="2"/>
      <c r="G665" s="2"/>
      <c r="H665" s="2"/>
      <c r="I665" s="2"/>
      <c r="J665" s="2"/>
      <c r="K665" s="2"/>
      <c r="L665" s="2"/>
      <c r="M665" s="2"/>
      <c r="N665" s="2"/>
      <c r="O665" s="2"/>
      <c r="P665" s="2"/>
      <c r="Q665" s="2"/>
      <c r="S665" s="3"/>
      <c r="T665" s="3"/>
      <c r="U665" s="3"/>
      <c r="V665" s="3"/>
      <c r="W665" s="3"/>
      <c r="X665" s="3"/>
      <c r="Y665" s="3"/>
      <c r="Z665" s="3"/>
    </row>
    <row r="666" ht="15.75" customHeight="1">
      <c r="A666" s="3"/>
      <c r="B666" s="2"/>
      <c r="C666" s="2"/>
      <c r="D666" s="474"/>
      <c r="E666" s="464"/>
      <c r="F666" s="2"/>
      <c r="G666" s="2"/>
      <c r="H666" s="2"/>
      <c r="I666" s="2"/>
      <c r="J666" s="2"/>
      <c r="K666" s="2"/>
      <c r="L666" s="2"/>
      <c r="M666" s="2"/>
      <c r="N666" s="2"/>
      <c r="O666" s="2"/>
      <c r="P666" s="2"/>
      <c r="Q666" s="2"/>
      <c r="S666" s="3"/>
      <c r="T666" s="3"/>
      <c r="U666" s="3"/>
      <c r="V666" s="3"/>
      <c r="W666" s="3"/>
      <c r="X666" s="3"/>
      <c r="Y666" s="3"/>
      <c r="Z666" s="3"/>
    </row>
    <row r="667" ht="15.75" customHeight="1">
      <c r="A667" s="3"/>
      <c r="B667" s="2"/>
      <c r="C667" s="2"/>
      <c r="D667" s="474"/>
      <c r="E667" s="464"/>
      <c r="F667" s="2"/>
      <c r="G667" s="2"/>
      <c r="H667" s="2"/>
      <c r="I667" s="2"/>
      <c r="J667" s="2"/>
      <c r="K667" s="2"/>
      <c r="L667" s="2"/>
      <c r="M667" s="2"/>
      <c r="N667" s="2"/>
      <c r="O667" s="2"/>
      <c r="P667" s="2"/>
      <c r="Q667" s="2"/>
      <c r="S667" s="3"/>
      <c r="T667" s="3"/>
      <c r="U667" s="3"/>
      <c r="V667" s="3"/>
      <c r="W667" s="3"/>
      <c r="X667" s="3"/>
      <c r="Y667" s="3"/>
      <c r="Z667" s="3"/>
    </row>
    <row r="668" ht="15.75" customHeight="1">
      <c r="A668" s="3"/>
      <c r="B668" s="2"/>
      <c r="C668" s="2"/>
      <c r="D668" s="474"/>
      <c r="E668" s="464"/>
      <c r="F668" s="2"/>
      <c r="G668" s="2"/>
      <c r="H668" s="2"/>
      <c r="I668" s="2"/>
      <c r="J668" s="2"/>
      <c r="K668" s="2"/>
      <c r="L668" s="2"/>
      <c r="M668" s="2"/>
      <c r="N668" s="2"/>
      <c r="O668" s="2"/>
      <c r="P668" s="2"/>
      <c r="Q668" s="2"/>
      <c r="S668" s="3"/>
      <c r="T668" s="3"/>
      <c r="U668" s="3"/>
      <c r="V668" s="3"/>
      <c r="W668" s="3"/>
      <c r="X668" s="3"/>
      <c r="Y668" s="3"/>
      <c r="Z668" s="3"/>
    </row>
    <row r="669" ht="15.75" customHeight="1">
      <c r="A669" s="3"/>
      <c r="B669" s="2"/>
      <c r="C669" s="2"/>
      <c r="D669" s="474"/>
      <c r="E669" s="464"/>
      <c r="F669" s="2"/>
      <c r="G669" s="2"/>
      <c r="H669" s="2"/>
      <c r="I669" s="2"/>
      <c r="J669" s="2"/>
      <c r="K669" s="2"/>
      <c r="L669" s="2"/>
      <c r="M669" s="2"/>
      <c r="N669" s="2"/>
      <c r="O669" s="2"/>
      <c r="P669" s="2"/>
      <c r="Q669" s="2"/>
      <c r="S669" s="3"/>
      <c r="T669" s="3"/>
      <c r="U669" s="3"/>
      <c r="V669" s="3"/>
      <c r="W669" s="3"/>
      <c r="X669" s="3"/>
      <c r="Y669" s="3"/>
      <c r="Z669" s="3"/>
    </row>
    <row r="670" ht="15.75" customHeight="1">
      <c r="A670" s="3"/>
      <c r="B670" s="2"/>
      <c r="C670" s="2"/>
      <c r="D670" s="474"/>
      <c r="E670" s="464"/>
      <c r="F670" s="2"/>
      <c r="G670" s="2"/>
      <c r="H670" s="2"/>
      <c r="I670" s="2"/>
      <c r="J670" s="2"/>
      <c r="K670" s="2"/>
      <c r="L670" s="2"/>
      <c r="M670" s="2"/>
      <c r="N670" s="2"/>
      <c r="O670" s="2"/>
      <c r="P670" s="2"/>
      <c r="Q670" s="2"/>
      <c r="S670" s="3"/>
      <c r="T670" s="3"/>
      <c r="U670" s="3"/>
      <c r="V670" s="3"/>
      <c r="W670" s="3"/>
      <c r="X670" s="3"/>
      <c r="Y670" s="3"/>
      <c r="Z670" s="3"/>
    </row>
    <row r="671" ht="15.75" customHeight="1">
      <c r="A671" s="3"/>
      <c r="B671" s="2"/>
      <c r="C671" s="2"/>
      <c r="D671" s="474"/>
      <c r="E671" s="464"/>
      <c r="F671" s="2"/>
      <c r="G671" s="2"/>
      <c r="H671" s="2"/>
      <c r="I671" s="2"/>
      <c r="J671" s="2"/>
      <c r="K671" s="2"/>
      <c r="L671" s="2"/>
      <c r="M671" s="2"/>
      <c r="N671" s="2"/>
      <c r="O671" s="2"/>
      <c r="P671" s="2"/>
      <c r="Q671" s="2"/>
      <c r="S671" s="3"/>
      <c r="T671" s="3"/>
      <c r="U671" s="3"/>
      <c r="V671" s="3"/>
      <c r="W671" s="3"/>
      <c r="X671" s="3"/>
      <c r="Y671" s="3"/>
      <c r="Z671" s="3"/>
    </row>
    <row r="672" ht="15.75" customHeight="1">
      <c r="A672" s="3"/>
      <c r="B672" s="2"/>
      <c r="C672" s="2"/>
      <c r="D672" s="474"/>
      <c r="E672" s="464"/>
      <c r="F672" s="2"/>
      <c r="G672" s="2"/>
      <c r="H672" s="2"/>
      <c r="I672" s="2"/>
      <c r="J672" s="2"/>
      <c r="K672" s="2"/>
      <c r="L672" s="2"/>
      <c r="M672" s="2"/>
      <c r="N672" s="2"/>
      <c r="O672" s="2"/>
      <c r="P672" s="2"/>
      <c r="Q672" s="2"/>
      <c r="S672" s="3"/>
      <c r="T672" s="3"/>
      <c r="U672" s="3"/>
      <c r="V672" s="3"/>
      <c r="W672" s="3"/>
      <c r="X672" s="3"/>
      <c r="Y672" s="3"/>
      <c r="Z672" s="3"/>
    </row>
    <row r="673" ht="15.75" customHeight="1">
      <c r="A673" s="3"/>
      <c r="B673" s="2"/>
      <c r="C673" s="2"/>
      <c r="D673" s="474"/>
      <c r="E673" s="464"/>
      <c r="F673" s="2"/>
      <c r="G673" s="2"/>
      <c r="H673" s="2"/>
      <c r="I673" s="2"/>
      <c r="J673" s="2"/>
      <c r="K673" s="2"/>
      <c r="L673" s="2"/>
      <c r="M673" s="2"/>
      <c r="N673" s="2"/>
      <c r="O673" s="2"/>
      <c r="P673" s="2"/>
      <c r="Q673" s="2"/>
      <c r="S673" s="3"/>
      <c r="T673" s="3"/>
      <c r="U673" s="3"/>
      <c r="V673" s="3"/>
      <c r="W673" s="3"/>
      <c r="X673" s="3"/>
      <c r="Y673" s="3"/>
      <c r="Z673" s="3"/>
    </row>
    <row r="674" ht="15.75" customHeight="1">
      <c r="A674" s="3"/>
      <c r="B674" s="2"/>
      <c r="C674" s="2"/>
      <c r="D674" s="474"/>
      <c r="E674" s="464"/>
      <c r="F674" s="2"/>
      <c r="G674" s="2"/>
      <c r="H674" s="2"/>
      <c r="I674" s="2"/>
      <c r="J674" s="2"/>
      <c r="K674" s="2"/>
      <c r="L674" s="2"/>
      <c r="M674" s="2"/>
      <c r="N674" s="2"/>
      <c r="O674" s="2"/>
      <c r="P674" s="2"/>
      <c r="Q674" s="2"/>
      <c r="S674" s="3"/>
      <c r="T674" s="3"/>
      <c r="U674" s="3"/>
      <c r="V674" s="3"/>
      <c r="W674" s="3"/>
      <c r="X674" s="3"/>
      <c r="Y674" s="3"/>
      <c r="Z674" s="3"/>
    </row>
    <row r="675" ht="15.75" customHeight="1">
      <c r="A675" s="3"/>
      <c r="B675" s="2"/>
      <c r="C675" s="2"/>
      <c r="D675" s="474"/>
      <c r="E675" s="464"/>
      <c r="F675" s="2"/>
      <c r="G675" s="2"/>
      <c r="H675" s="2"/>
      <c r="I675" s="2"/>
      <c r="J675" s="2"/>
      <c r="K675" s="2"/>
      <c r="L675" s="2"/>
      <c r="M675" s="2"/>
      <c r="N675" s="2"/>
      <c r="O675" s="2"/>
      <c r="P675" s="2"/>
      <c r="Q675" s="2"/>
      <c r="S675" s="3"/>
      <c r="T675" s="3"/>
      <c r="U675" s="3"/>
      <c r="V675" s="3"/>
      <c r="W675" s="3"/>
      <c r="X675" s="3"/>
      <c r="Y675" s="3"/>
      <c r="Z675" s="3"/>
    </row>
    <row r="676" ht="15.75" customHeight="1">
      <c r="A676" s="3"/>
      <c r="B676" s="2"/>
      <c r="C676" s="2"/>
      <c r="D676" s="474"/>
      <c r="E676" s="464"/>
      <c r="F676" s="2"/>
      <c r="G676" s="2"/>
      <c r="H676" s="2"/>
      <c r="I676" s="2"/>
      <c r="J676" s="2"/>
      <c r="K676" s="2"/>
      <c r="L676" s="2"/>
      <c r="M676" s="2"/>
      <c r="N676" s="2"/>
      <c r="O676" s="2"/>
      <c r="P676" s="2"/>
      <c r="Q676" s="2"/>
      <c r="S676" s="3"/>
      <c r="T676" s="3"/>
      <c r="U676" s="3"/>
      <c r="V676" s="3"/>
      <c r="W676" s="3"/>
      <c r="X676" s="3"/>
      <c r="Y676" s="3"/>
      <c r="Z676" s="3"/>
    </row>
    <row r="677" ht="15.75" customHeight="1">
      <c r="A677" s="3"/>
      <c r="B677" s="2"/>
      <c r="C677" s="2"/>
      <c r="D677" s="474"/>
      <c r="E677" s="464"/>
      <c r="F677" s="2"/>
      <c r="G677" s="2"/>
      <c r="H677" s="2"/>
      <c r="I677" s="2"/>
      <c r="J677" s="2"/>
      <c r="K677" s="2"/>
      <c r="L677" s="2"/>
      <c r="M677" s="2"/>
      <c r="N677" s="2"/>
      <c r="O677" s="2"/>
      <c r="P677" s="2"/>
      <c r="Q677" s="2"/>
      <c r="S677" s="3"/>
      <c r="T677" s="3"/>
      <c r="U677" s="3"/>
      <c r="V677" s="3"/>
      <c r="W677" s="3"/>
      <c r="X677" s="3"/>
      <c r="Y677" s="3"/>
      <c r="Z677" s="3"/>
    </row>
    <row r="678" ht="15.75" customHeight="1">
      <c r="A678" s="3"/>
      <c r="B678" s="2"/>
      <c r="C678" s="2"/>
      <c r="D678" s="474"/>
      <c r="E678" s="464"/>
      <c r="F678" s="2"/>
      <c r="G678" s="2"/>
      <c r="H678" s="2"/>
      <c r="I678" s="2"/>
      <c r="J678" s="2"/>
      <c r="K678" s="2"/>
      <c r="L678" s="2"/>
      <c r="M678" s="2"/>
      <c r="N678" s="2"/>
      <c r="O678" s="2"/>
      <c r="P678" s="2"/>
      <c r="Q678" s="2"/>
      <c r="S678" s="3"/>
      <c r="T678" s="3"/>
      <c r="U678" s="3"/>
      <c r="V678" s="3"/>
      <c r="W678" s="3"/>
      <c r="X678" s="3"/>
      <c r="Y678" s="3"/>
      <c r="Z678" s="3"/>
    </row>
    <row r="679" ht="15.75" customHeight="1">
      <c r="A679" s="3"/>
      <c r="B679" s="2"/>
      <c r="C679" s="2"/>
      <c r="D679" s="474"/>
      <c r="E679" s="464"/>
      <c r="F679" s="2"/>
      <c r="G679" s="2"/>
      <c r="H679" s="2"/>
      <c r="I679" s="2"/>
      <c r="J679" s="2"/>
      <c r="K679" s="2"/>
      <c r="L679" s="2"/>
      <c r="M679" s="2"/>
      <c r="N679" s="2"/>
      <c r="O679" s="2"/>
      <c r="P679" s="2"/>
      <c r="Q679" s="2"/>
      <c r="S679" s="3"/>
      <c r="T679" s="3"/>
      <c r="U679" s="3"/>
      <c r="V679" s="3"/>
      <c r="W679" s="3"/>
      <c r="X679" s="3"/>
      <c r="Y679" s="3"/>
      <c r="Z679" s="3"/>
    </row>
    <row r="680" ht="15.75" customHeight="1">
      <c r="A680" s="3"/>
      <c r="B680" s="2"/>
      <c r="C680" s="2"/>
      <c r="D680" s="474"/>
      <c r="E680" s="464"/>
      <c r="F680" s="2"/>
      <c r="G680" s="2"/>
      <c r="H680" s="2"/>
      <c r="I680" s="2"/>
      <c r="J680" s="2"/>
      <c r="K680" s="2"/>
      <c r="L680" s="2"/>
      <c r="M680" s="2"/>
      <c r="N680" s="2"/>
      <c r="O680" s="2"/>
      <c r="P680" s="2"/>
      <c r="Q680" s="2"/>
      <c r="S680" s="3"/>
      <c r="T680" s="3"/>
      <c r="U680" s="3"/>
      <c r="V680" s="3"/>
      <c r="W680" s="3"/>
      <c r="X680" s="3"/>
      <c r="Y680" s="3"/>
      <c r="Z680" s="3"/>
    </row>
    <row r="681" ht="15.75" customHeight="1">
      <c r="A681" s="3"/>
      <c r="B681" s="2"/>
      <c r="C681" s="2"/>
      <c r="D681" s="474"/>
      <c r="E681" s="464"/>
      <c r="F681" s="2"/>
      <c r="G681" s="2"/>
      <c r="H681" s="2"/>
      <c r="I681" s="2"/>
      <c r="J681" s="2"/>
      <c r="K681" s="2"/>
      <c r="L681" s="2"/>
      <c r="M681" s="2"/>
      <c r="N681" s="2"/>
      <c r="O681" s="2"/>
      <c r="P681" s="2"/>
      <c r="Q681" s="2"/>
      <c r="S681" s="3"/>
      <c r="T681" s="3"/>
      <c r="U681" s="3"/>
      <c r="V681" s="3"/>
      <c r="W681" s="3"/>
      <c r="X681" s="3"/>
      <c r="Y681" s="3"/>
      <c r="Z681" s="3"/>
    </row>
    <row r="682" ht="15.75" customHeight="1">
      <c r="A682" s="3"/>
      <c r="B682" s="2"/>
      <c r="C682" s="2"/>
      <c r="D682" s="474"/>
      <c r="E682" s="464"/>
      <c r="F682" s="2"/>
      <c r="G682" s="2"/>
      <c r="H682" s="2"/>
      <c r="I682" s="2"/>
      <c r="J682" s="2"/>
      <c r="K682" s="2"/>
      <c r="L682" s="2"/>
      <c r="M682" s="2"/>
      <c r="N682" s="2"/>
      <c r="O682" s="2"/>
      <c r="P682" s="2"/>
      <c r="Q682" s="2"/>
      <c r="S682" s="3"/>
      <c r="T682" s="3"/>
      <c r="U682" s="3"/>
      <c r="V682" s="3"/>
      <c r="W682" s="3"/>
      <c r="X682" s="3"/>
      <c r="Y682" s="3"/>
      <c r="Z682" s="3"/>
    </row>
    <row r="683" ht="15.75" customHeight="1">
      <c r="A683" s="3"/>
      <c r="B683" s="2"/>
      <c r="C683" s="2"/>
      <c r="D683" s="474"/>
      <c r="E683" s="464"/>
      <c r="F683" s="2"/>
      <c r="G683" s="2"/>
      <c r="H683" s="2"/>
      <c r="I683" s="2"/>
      <c r="J683" s="2"/>
      <c r="K683" s="2"/>
      <c r="L683" s="2"/>
      <c r="M683" s="2"/>
      <c r="N683" s="2"/>
      <c r="O683" s="2"/>
      <c r="P683" s="2"/>
      <c r="Q683" s="2"/>
      <c r="S683" s="3"/>
      <c r="T683" s="3"/>
      <c r="U683" s="3"/>
      <c r="V683" s="3"/>
      <c r="W683" s="3"/>
      <c r="X683" s="3"/>
      <c r="Y683" s="3"/>
      <c r="Z683" s="3"/>
    </row>
    <row r="684" ht="15.75" customHeight="1">
      <c r="A684" s="3"/>
      <c r="B684" s="2"/>
      <c r="C684" s="2"/>
      <c r="D684" s="474"/>
      <c r="E684" s="464"/>
      <c r="F684" s="2"/>
      <c r="G684" s="2"/>
      <c r="H684" s="2"/>
      <c r="I684" s="2"/>
      <c r="J684" s="2"/>
      <c r="K684" s="2"/>
      <c r="L684" s="2"/>
      <c r="M684" s="2"/>
      <c r="N684" s="2"/>
      <c r="O684" s="2"/>
      <c r="P684" s="2"/>
      <c r="Q684" s="2"/>
      <c r="S684" s="3"/>
      <c r="T684" s="3"/>
      <c r="U684" s="3"/>
      <c r="V684" s="3"/>
      <c r="W684" s="3"/>
      <c r="X684" s="3"/>
      <c r="Y684" s="3"/>
      <c r="Z684" s="3"/>
    </row>
    <row r="685" ht="15.75" customHeight="1">
      <c r="A685" s="3"/>
      <c r="B685" s="2"/>
      <c r="C685" s="2"/>
      <c r="D685" s="474"/>
      <c r="E685" s="464"/>
      <c r="F685" s="2"/>
      <c r="G685" s="2"/>
      <c r="H685" s="2"/>
      <c r="I685" s="2"/>
      <c r="J685" s="2"/>
      <c r="K685" s="2"/>
      <c r="L685" s="2"/>
      <c r="M685" s="2"/>
      <c r="N685" s="2"/>
      <c r="O685" s="2"/>
      <c r="P685" s="2"/>
      <c r="Q685" s="2"/>
      <c r="S685" s="3"/>
      <c r="T685" s="3"/>
      <c r="U685" s="3"/>
      <c r="V685" s="3"/>
      <c r="W685" s="3"/>
      <c r="X685" s="3"/>
      <c r="Y685" s="3"/>
      <c r="Z685" s="3"/>
    </row>
    <row r="686" ht="15.75" customHeight="1">
      <c r="A686" s="3"/>
      <c r="B686" s="2"/>
      <c r="C686" s="2"/>
      <c r="D686" s="474"/>
      <c r="E686" s="464"/>
      <c r="F686" s="2"/>
      <c r="G686" s="2"/>
      <c r="H686" s="2"/>
      <c r="I686" s="2"/>
      <c r="J686" s="2"/>
      <c r="K686" s="2"/>
      <c r="L686" s="2"/>
      <c r="M686" s="2"/>
      <c r="N686" s="2"/>
      <c r="O686" s="2"/>
      <c r="P686" s="2"/>
      <c r="Q686" s="2"/>
      <c r="S686" s="3"/>
      <c r="T686" s="3"/>
      <c r="U686" s="3"/>
      <c r="V686" s="3"/>
      <c r="W686" s="3"/>
      <c r="X686" s="3"/>
      <c r="Y686" s="3"/>
      <c r="Z686" s="3"/>
    </row>
    <row r="687" ht="15.75" customHeight="1">
      <c r="A687" s="3"/>
      <c r="B687" s="2"/>
      <c r="C687" s="2"/>
      <c r="D687" s="474"/>
      <c r="E687" s="464"/>
      <c r="F687" s="2"/>
      <c r="G687" s="2"/>
      <c r="H687" s="2"/>
      <c r="I687" s="2"/>
      <c r="J687" s="2"/>
      <c r="K687" s="2"/>
      <c r="L687" s="2"/>
      <c r="M687" s="2"/>
      <c r="N687" s="2"/>
      <c r="O687" s="2"/>
      <c r="P687" s="2"/>
      <c r="Q687" s="2"/>
      <c r="S687" s="3"/>
      <c r="T687" s="3"/>
      <c r="U687" s="3"/>
      <c r="V687" s="3"/>
      <c r="W687" s="3"/>
      <c r="X687" s="3"/>
      <c r="Y687" s="3"/>
      <c r="Z687" s="3"/>
    </row>
    <row r="688" ht="15.75" customHeight="1">
      <c r="A688" s="3"/>
      <c r="B688" s="2"/>
      <c r="C688" s="2"/>
      <c r="D688" s="474"/>
      <c r="E688" s="464"/>
      <c r="F688" s="2"/>
      <c r="G688" s="2"/>
      <c r="H688" s="2"/>
      <c r="I688" s="2"/>
      <c r="J688" s="2"/>
      <c r="K688" s="2"/>
      <c r="L688" s="2"/>
      <c r="M688" s="2"/>
      <c r="N688" s="2"/>
      <c r="O688" s="2"/>
      <c r="P688" s="2"/>
      <c r="Q688" s="2"/>
      <c r="S688" s="3"/>
      <c r="T688" s="3"/>
      <c r="U688" s="3"/>
      <c r="V688" s="3"/>
      <c r="W688" s="3"/>
      <c r="X688" s="3"/>
      <c r="Y688" s="3"/>
      <c r="Z688" s="3"/>
    </row>
    <row r="689" ht="15.75" customHeight="1">
      <c r="A689" s="3"/>
      <c r="B689" s="2"/>
      <c r="C689" s="2"/>
      <c r="D689" s="474"/>
      <c r="E689" s="464"/>
      <c r="F689" s="2"/>
      <c r="G689" s="2"/>
      <c r="H689" s="2"/>
      <c r="I689" s="2"/>
      <c r="J689" s="2"/>
      <c r="K689" s="2"/>
      <c r="L689" s="2"/>
      <c r="M689" s="2"/>
      <c r="N689" s="2"/>
      <c r="O689" s="2"/>
      <c r="P689" s="2"/>
      <c r="Q689" s="2"/>
      <c r="S689" s="3"/>
      <c r="T689" s="3"/>
      <c r="U689" s="3"/>
      <c r="V689" s="3"/>
      <c r="W689" s="3"/>
      <c r="X689" s="3"/>
      <c r="Y689" s="3"/>
      <c r="Z689" s="3"/>
    </row>
    <row r="690" ht="15.75" customHeight="1">
      <c r="A690" s="3"/>
      <c r="B690" s="2"/>
      <c r="C690" s="2"/>
      <c r="D690" s="474"/>
      <c r="E690" s="464"/>
      <c r="F690" s="2"/>
      <c r="G690" s="2"/>
      <c r="H690" s="2"/>
      <c r="I690" s="2"/>
      <c r="J690" s="2"/>
      <c r="K690" s="2"/>
      <c r="L690" s="2"/>
      <c r="M690" s="2"/>
      <c r="N690" s="2"/>
      <c r="O690" s="2"/>
      <c r="P690" s="2"/>
      <c r="Q690" s="2"/>
      <c r="S690" s="3"/>
      <c r="T690" s="3"/>
      <c r="U690" s="3"/>
      <c r="V690" s="3"/>
      <c r="W690" s="3"/>
      <c r="X690" s="3"/>
      <c r="Y690" s="3"/>
      <c r="Z690" s="3"/>
    </row>
    <row r="691" ht="15.75" customHeight="1">
      <c r="A691" s="3"/>
      <c r="B691" s="2"/>
      <c r="C691" s="2"/>
      <c r="D691" s="474"/>
      <c r="E691" s="464"/>
      <c r="F691" s="2"/>
      <c r="G691" s="2"/>
      <c r="H691" s="2"/>
      <c r="I691" s="2"/>
      <c r="J691" s="2"/>
      <c r="K691" s="2"/>
      <c r="L691" s="2"/>
      <c r="M691" s="2"/>
      <c r="N691" s="2"/>
      <c r="O691" s="2"/>
      <c r="P691" s="2"/>
      <c r="Q691" s="2"/>
      <c r="S691" s="3"/>
      <c r="T691" s="3"/>
      <c r="U691" s="3"/>
      <c r="V691" s="3"/>
      <c r="W691" s="3"/>
      <c r="X691" s="3"/>
      <c r="Y691" s="3"/>
      <c r="Z691" s="3"/>
    </row>
    <row r="692" ht="15.75" customHeight="1">
      <c r="A692" s="3"/>
      <c r="B692" s="2"/>
      <c r="C692" s="2"/>
      <c r="D692" s="474"/>
      <c r="E692" s="464"/>
      <c r="F692" s="2"/>
      <c r="G692" s="2"/>
      <c r="H692" s="2"/>
      <c r="I692" s="2"/>
      <c r="J692" s="2"/>
      <c r="K692" s="2"/>
      <c r="L692" s="2"/>
      <c r="M692" s="2"/>
      <c r="N692" s="2"/>
      <c r="O692" s="2"/>
      <c r="P692" s="2"/>
      <c r="Q692" s="2"/>
      <c r="S692" s="3"/>
      <c r="T692" s="3"/>
      <c r="U692" s="3"/>
      <c r="V692" s="3"/>
      <c r="W692" s="3"/>
      <c r="X692" s="3"/>
      <c r="Y692" s="3"/>
      <c r="Z692" s="3"/>
    </row>
    <row r="693" ht="15.75" customHeight="1">
      <c r="A693" s="3"/>
      <c r="B693" s="2"/>
      <c r="C693" s="2"/>
      <c r="D693" s="474"/>
      <c r="E693" s="464"/>
      <c r="F693" s="2"/>
      <c r="G693" s="2"/>
      <c r="H693" s="2"/>
      <c r="I693" s="2"/>
      <c r="J693" s="2"/>
      <c r="K693" s="2"/>
      <c r="L693" s="2"/>
      <c r="M693" s="2"/>
      <c r="N693" s="2"/>
      <c r="O693" s="2"/>
      <c r="P693" s="2"/>
      <c r="Q693" s="2"/>
      <c r="S693" s="3"/>
      <c r="T693" s="3"/>
      <c r="U693" s="3"/>
      <c r="V693" s="3"/>
      <c r="W693" s="3"/>
      <c r="X693" s="3"/>
      <c r="Y693" s="3"/>
      <c r="Z693" s="3"/>
    </row>
    <row r="694" ht="15.75" customHeight="1">
      <c r="A694" s="3"/>
      <c r="B694" s="2"/>
      <c r="C694" s="2"/>
      <c r="D694" s="474"/>
      <c r="E694" s="464"/>
      <c r="F694" s="2"/>
      <c r="G694" s="2"/>
      <c r="H694" s="2"/>
      <c r="I694" s="2"/>
      <c r="J694" s="2"/>
      <c r="K694" s="2"/>
      <c r="L694" s="2"/>
      <c r="M694" s="2"/>
      <c r="N694" s="2"/>
      <c r="O694" s="2"/>
      <c r="P694" s="2"/>
      <c r="Q694" s="2"/>
      <c r="S694" s="3"/>
      <c r="T694" s="3"/>
      <c r="U694" s="3"/>
      <c r="V694" s="3"/>
      <c r="W694" s="3"/>
      <c r="X694" s="3"/>
      <c r="Y694" s="3"/>
      <c r="Z694" s="3"/>
    </row>
    <row r="695" ht="15.75" customHeight="1">
      <c r="A695" s="3"/>
      <c r="B695" s="2"/>
      <c r="C695" s="2"/>
      <c r="D695" s="474"/>
      <c r="E695" s="464"/>
      <c r="F695" s="2"/>
      <c r="G695" s="2"/>
      <c r="H695" s="2"/>
      <c r="I695" s="2"/>
      <c r="J695" s="2"/>
      <c r="K695" s="2"/>
      <c r="L695" s="2"/>
      <c r="M695" s="2"/>
      <c r="N695" s="2"/>
      <c r="O695" s="2"/>
      <c r="P695" s="2"/>
      <c r="Q695" s="2"/>
      <c r="S695" s="3"/>
      <c r="T695" s="3"/>
      <c r="U695" s="3"/>
      <c r="V695" s="3"/>
      <c r="W695" s="3"/>
      <c r="X695" s="3"/>
      <c r="Y695" s="3"/>
      <c r="Z695" s="3"/>
    </row>
    <row r="696" ht="15.75" customHeight="1">
      <c r="A696" s="3"/>
      <c r="B696" s="2"/>
      <c r="C696" s="2"/>
      <c r="D696" s="474"/>
      <c r="E696" s="464"/>
      <c r="F696" s="2"/>
      <c r="G696" s="2"/>
      <c r="H696" s="2"/>
      <c r="I696" s="2"/>
      <c r="J696" s="2"/>
      <c r="K696" s="2"/>
      <c r="L696" s="2"/>
      <c r="M696" s="2"/>
      <c r="N696" s="2"/>
      <c r="O696" s="2"/>
      <c r="P696" s="2"/>
      <c r="Q696" s="2"/>
      <c r="S696" s="3"/>
      <c r="T696" s="3"/>
      <c r="U696" s="3"/>
      <c r="V696" s="3"/>
      <c r="W696" s="3"/>
      <c r="X696" s="3"/>
      <c r="Y696" s="3"/>
      <c r="Z696" s="3"/>
    </row>
    <row r="697" ht="15.75" customHeight="1">
      <c r="A697" s="3"/>
      <c r="B697" s="2"/>
      <c r="C697" s="2"/>
      <c r="D697" s="474"/>
      <c r="E697" s="464"/>
      <c r="F697" s="2"/>
      <c r="G697" s="2"/>
      <c r="H697" s="2"/>
      <c r="I697" s="2"/>
      <c r="J697" s="2"/>
      <c r="K697" s="2"/>
      <c r="L697" s="2"/>
      <c r="M697" s="2"/>
      <c r="N697" s="2"/>
      <c r="O697" s="2"/>
      <c r="P697" s="2"/>
      <c r="Q697" s="2"/>
      <c r="S697" s="3"/>
      <c r="T697" s="3"/>
      <c r="U697" s="3"/>
      <c r="V697" s="3"/>
      <c r="W697" s="3"/>
      <c r="X697" s="3"/>
      <c r="Y697" s="3"/>
      <c r="Z697" s="3"/>
    </row>
    <row r="698" ht="15.75" customHeight="1">
      <c r="A698" s="3"/>
      <c r="B698" s="2"/>
      <c r="C698" s="2"/>
      <c r="D698" s="474"/>
      <c r="E698" s="464"/>
      <c r="F698" s="2"/>
      <c r="G698" s="2"/>
      <c r="H698" s="2"/>
      <c r="I698" s="2"/>
      <c r="J698" s="2"/>
      <c r="K698" s="2"/>
      <c r="L698" s="2"/>
      <c r="M698" s="2"/>
      <c r="N698" s="2"/>
      <c r="O698" s="2"/>
      <c r="P698" s="2"/>
      <c r="Q698" s="2"/>
      <c r="S698" s="3"/>
      <c r="T698" s="3"/>
      <c r="U698" s="3"/>
      <c r="V698" s="3"/>
      <c r="W698" s="3"/>
      <c r="X698" s="3"/>
      <c r="Y698" s="3"/>
      <c r="Z698" s="3"/>
    </row>
    <row r="699" ht="15.75" customHeight="1">
      <c r="A699" s="3"/>
      <c r="B699" s="2"/>
      <c r="C699" s="2"/>
      <c r="D699" s="474"/>
      <c r="E699" s="464"/>
      <c r="F699" s="2"/>
      <c r="G699" s="2"/>
      <c r="H699" s="2"/>
      <c r="I699" s="2"/>
      <c r="J699" s="2"/>
      <c r="K699" s="2"/>
      <c r="L699" s="2"/>
      <c r="M699" s="2"/>
      <c r="N699" s="2"/>
      <c r="O699" s="2"/>
      <c r="P699" s="2"/>
      <c r="Q699" s="2"/>
      <c r="S699" s="3"/>
      <c r="T699" s="3"/>
      <c r="U699" s="3"/>
      <c r="V699" s="3"/>
      <c r="W699" s="3"/>
      <c r="X699" s="3"/>
      <c r="Y699" s="3"/>
      <c r="Z699" s="3"/>
    </row>
    <row r="700" ht="15.75" customHeight="1">
      <c r="A700" s="3"/>
      <c r="B700" s="2"/>
      <c r="C700" s="2"/>
      <c r="D700" s="474"/>
      <c r="E700" s="464"/>
      <c r="F700" s="2"/>
      <c r="G700" s="2"/>
      <c r="H700" s="2"/>
      <c r="I700" s="2"/>
      <c r="J700" s="2"/>
      <c r="K700" s="2"/>
      <c r="L700" s="2"/>
      <c r="M700" s="2"/>
      <c r="N700" s="2"/>
      <c r="O700" s="2"/>
      <c r="P700" s="2"/>
      <c r="Q700" s="2"/>
      <c r="S700" s="3"/>
      <c r="T700" s="3"/>
      <c r="U700" s="3"/>
      <c r="V700" s="3"/>
      <c r="W700" s="3"/>
      <c r="X700" s="3"/>
      <c r="Y700" s="3"/>
      <c r="Z700" s="3"/>
    </row>
    <row r="701" ht="15.75" customHeight="1">
      <c r="A701" s="3"/>
      <c r="B701" s="2"/>
      <c r="C701" s="2"/>
      <c r="D701" s="474"/>
      <c r="E701" s="464"/>
      <c r="F701" s="2"/>
      <c r="G701" s="2"/>
      <c r="H701" s="2"/>
      <c r="I701" s="2"/>
      <c r="J701" s="2"/>
      <c r="K701" s="2"/>
      <c r="L701" s="2"/>
      <c r="M701" s="2"/>
      <c r="N701" s="2"/>
      <c r="O701" s="2"/>
      <c r="P701" s="2"/>
      <c r="Q701" s="2"/>
      <c r="S701" s="3"/>
      <c r="T701" s="3"/>
      <c r="U701" s="3"/>
      <c r="V701" s="3"/>
      <c r="W701" s="3"/>
      <c r="X701" s="3"/>
      <c r="Y701" s="3"/>
      <c r="Z701" s="3"/>
    </row>
    <row r="702" ht="15.75" customHeight="1">
      <c r="A702" s="3"/>
      <c r="B702" s="2"/>
      <c r="C702" s="2"/>
      <c r="D702" s="474"/>
      <c r="E702" s="464"/>
      <c r="F702" s="2"/>
      <c r="G702" s="2"/>
      <c r="H702" s="2"/>
      <c r="I702" s="2"/>
      <c r="J702" s="2"/>
      <c r="K702" s="2"/>
      <c r="L702" s="2"/>
      <c r="M702" s="2"/>
      <c r="N702" s="2"/>
      <c r="O702" s="2"/>
      <c r="P702" s="2"/>
      <c r="Q702" s="2"/>
      <c r="S702" s="3"/>
      <c r="T702" s="3"/>
      <c r="U702" s="3"/>
      <c r="V702" s="3"/>
      <c r="W702" s="3"/>
      <c r="X702" s="3"/>
      <c r="Y702" s="3"/>
      <c r="Z702" s="3"/>
    </row>
    <row r="703" ht="15.75" customHeight="1">
      <c r="A703" s="3"/>
      <c r="B703" s="2"/>
      <c r="C703" s="2"/>
      <c r="D703" s="474"/>
      <c r="E703" s="464"/>
      <c r="F703" s="2"/>
      <c r="G703" s="2"/>
      <c r="H703" s="2"/>
      <c r="I703" s="2"/>
      <c r="J703" s="2"/>
      <c r="K703" s="2"/>
      <c r="L703" s="2"/>
      <c r="M703" s="2"/>
      <c r="N703" s="2"/>
      <c r="O703" s="2"/>
      <c r="P703" s="2"/>
      <c r="Q703" s="2"/>
      <c r="S703" s="3"/>
      <c r="T703" s="3"/>
      <c r="U703" s="3"/>
      <c r="V703" s="3"/>
      <c r="W703" s="3"/>
      <c r="X703" s="3"/>
      <c r="Y703" s="3"/>
      <c r="Z703" s="3"/>
    </row>
    <row r="704" ht="15.75" customHeight="1">
      <c r="A704" s="3"/>
      <c r="B704" s="2"/>
      <c r="C704" s="2"/>
      <c r="D704" s="474"/>
      <c r="E704" s="464"/>
      <c r="F704" s="2"/>
      <c r="G704" s="2"/>
      <c r="H704" s="2"/>
      <c r="I704" s="2"/>
      <c r="J704" s="2"/>
      <c r="K704" s="2"/>
      <c r="L704" s="2"/>
      <c r="M704" s="2"/>
      <c r="N704" s="2"/>
      <c r="O704" s="2"/>
      <c r="P704" s="2"/>
      <c r="Q704" s="2"/>
      <c r="S704" s="3"/>
      <c r="T704" s="3"/>
      <c r="U704" s="3"/>
      <c r="V704" s="3"/>
      <c r="W704" s="3"/>
      <c r="X704" s="3"/>
      <c r="Y704" s="3"/>
      <c r="Z704" s="3"/>
    </row>
    <row r="705" ht="15.75" customHeight="1">
      <c r="A705" s="3"/>
      <c r="B705" s="2"/>
      <c r="C705" s="2"/>
      <c r="D705" s="474"/>
      <c r="E705" s="464"/>
      <c r="F705" s="2"/>
      <c r="G705" s="2"/>
      <c r="H705" s="2"/>
      <c r="I705" s="2"/>
      <c r="J705" s="2"/>
      <c r="K705" s="2"/>
      <c r="L705" s="2"/>
      <c r="M705" s="2"/>
      <c r="N705" s="2"/>
      <c r="O705" s="2"/>
      <c r="P705" s="2"/>
      <c r="Q705" s="2"/>
      <c r="S705" s="3"/>
      <c r="T705" s="3"/>
      <c r="U705" s="3"/>
      <c r="V705" s="3"/>
      <c r="W705" s="3"/>
      <c r="X705" s="3"/>
      <c r="Y705" s="3"/>
      <c r="Z705" s="3"/>
    </row>
    <row r="706" ht="15.75" customHeight="1">
      <c r="A706" s="3"/>
      <c r="B706" s="2"/>
      <c r="C706" s="2"/>
      <c r="D706" s="474"/>
      <c r="E706" s="464"/>
      <c r="F706" s="2"/>
      <c r="G706" s="2"/>
      <c r="H706" s="2"/>
      <c r="I706" s="2"/>
      <c r="J706" s="2"/>
      <c r="K706" s="2"/>
      <c r="L706" s="2"/>
      <c r="M706" s="2"/>
      <c r="N706" s="2"/>
      <c r="O706" s="2"/>
      <c r="P706" s="2"/>
      <c r="Q706" s="2"/>
      <c r="S706" s="3"/>
      <c r="T706" s="3"/>
      <c r="U706" s="3"/>
      <c r="V706" s="3"/>
      <c r="W706" s="3"/>
      <c r="X706" s="3"/>
      <c r="Y706" s="3"/>
      <c r="Z706" s="3"/>
    </row>
    <row r="707" ht="15.75" customHeight="1">
      <c r="A707" s="3"/>
      <c r="B707" s="2"/>
      <c r="C707" s="2"/>
      <c r="D707" s="474"/>
      <c r="E707" s="464"/>
      <c r="F707" s="2"/>
      <c r="G707" s="2"/>
      <c r="H707" s="2"/>
      <c r="I707" s="2"/>
      <c r="J707" s="2"/>
      <c r="K707" s="2"/>
      <c r="L707" s="2"/>
      <c r="M707" s="2"/>
      <c r="N707" s="2"/>
      <c r="O707" s="2"/>
      <c r="P707" s="2"/>
      <c r="Q707" s="2"/>
      <c r="S707" s="3"/>
      <c r="T707" s="3"/>
      <c r="U707" s="3"/>
      <c r="V707" s="3"/>
      <c r="W707" s="3"/>
      <c r="X707" s="3"/>
      <c r="Y707" s="3"/>
      <c r="Z707" s="3"/>
    </row>
    <row r="708" ht="15.75" customHeight="1">
      <c r="A708" s="3"/>
      <c r="B708" s="2"/>
      <c r="C708" s="2"/>
      <c r="D708" s="474"/>
      <c r="E708" s="464"/>
      <c r="F708" s="2"/>
      <c r="G708" s="2"/>
      <c r="H708" s="2"/>
      <c r="I708" s="2"/>
      <c r="J708" s="2"/>
      <c r="K708" s="2"/>
      <c r="L708" s="2"/>
      <c r="M708" s="2"/>
      <c r="N708" s="2"/>
      <c r="O708" s="2"/>
      <c r="P708" s="2"/>
      <c r="Q708" s="2"/>
      <c r="S708" s="3"/>
      <c r="T708" s="3"/>
      <c r="U708" s="3"/>
      <c r="V708" s="3"/>
      <c r="W708" s="3"/>
      <c r="X708" s="3"/>
      <c r="Y708" s="3"/>
      <c r="Z708" s="3"/>
    </row>
    <row r="709" ht="15.75" customHeight="1">
      <c r="A709" s="3"/>
      <c r="B709" s="2"/>
      <c r="C709" s="2"/>
      <c r="D709" s="474"/>
      <c r="E709" s="464"/>
      <c r="F709" s="2"/>
      <c r="G709" s="2"/>
      <c r="H709" s="2"/>
      <c r="I709" s="2"/>
      <c r="J709" s="2"/>
      <c r="K709" s="2"/>
      <c r="L709" s="2"/>
      <c r="M709" s="2"/>
      <c r="N709" s="2"/>
      <c r="O709" s="2"/>
      <c r="P709" s="2"/>
      <c r="Q709" s="2"/>
      <c r="S709" s="3"/>
      <c r="T709" s="3"/>
      <c r="U709" s="3"/>
      <c r="V709" s="3"/>
      <c r="W709" s="3"/>
      <c r="X709" s="3"/>
      <c r="Y709" s="3"/>
      <c r="Z709" s="3"/>
    </row>
    <row r="710" ht="15.75" customHeight="1">
      <c r="A710" s="3"/>
      <c r="B710" s="2"/>
      <c r="C710" s="2"/>
      <c r="D710" s="474"/>
      <c r="E710" s="464"/>
      <c r="F710" s="2"/>
      <c r="G710" s="2"/>
      <c r="H710" s="2"/>
      <c r="I710" s="2"/>
      <c r="J710" s="2"/>
      <c r="K710" s="2"/>
      <c r="L710" s="2"/>
      <c r="M710" s="2"/>
      <c r="N710" s="2"/>
      <c r="O710" s="2"/>
      <c r="P710" s="2"/>
      <c r="Q710" s="2"/>
      <c r="S710" s="3"/>
      <c r="T710" s="3"/>
      <c r="U710" s="3"/>
      <c r="V710" s="3"/>
      <c r="W710" s="3"/>
      <c r="X710" s="3"/>
      <c r="Y710" s="3"/>
      <c r="Z710" s="3"/>
    </row>
    <row r="711" ht="15.75" customHeight="1">
      <c r="A711" s="3"/>
      <c r="B711" s="2"/>
      <c r="C711" s="2"/>
      <c r="D711" s="474"/>
      <c r="E711" s="464"/>
      <c r="F711" s="2"/>
      <c r="G711" s="2"/>
      <c r="H711" s="2"/>
      <c r="I711" s="2"/>
      <c r="J711" s="2"/>
      <c r="K711" s="2"/>
      <c r="L711" s="2"/>
      <c r="M711" s="2"/>
      <c r="N711" s="2"/>
      <c r="O711" s="2"/>
      <c r="P711" s="2"/>
      <c r="Q711" s="2"/>
      <c r="S711" s="3"/>
      <c r="T711" s="3"/>
      <c r="U711" s="3"/>
      <c r="V711" s="3"/>
      <c r="W711" s="3"/>
      <c r="X711" s="3"/>
      <c r="Y711" s="3"/>
      <c r="Z711" s="3"/>
    </row>
    <row r="712" ht="15.75" customHeight="1">
      <c r="A712" s="3"/>
      <c r="B712" s="2"/>
      <c r="C712" s="2"/>
      <c r="D712" s="474"/>
      <c r="E712" s="464"/>
      <c r="F712" s="2"/>
      <c r="G712" s="2"/>
      <c r="H712" s="2"/>
      <c r="I712" s="2"/>
      <c r="J712" s="2"/>
      <c r="K712" s="2"/>
      <c r="L712" s="2"/>
      <c r="M712" s="2"/>
      <c r="N712" s="2"/>
      <c r="O712" s="2"/>
      <c r="P712" s="2"/>
      <c r="Q712" s="2"/>
      <c r="S712" s="3"/>
      <c r="T712" s="3"/>
      <c r="U712" s="3"/>
      <c r="V712" s="3"/>
      <c r="W712" s="3"/>
      <c r="X712" s="3"/>
      <c r="Y712" s="3"/>
      <c r="Z712" s="3"/>
    </row>
    <row r="713" ht="15.75" customHeight="1">
      <c r="A713" s="3"/>
      <c r="B713" s="2"/>
      <c r="C713" s="2"/>
      <c r="D713" s="474"/>
      <c r="E713" s="464"/>
      <c r="F713" s="2"/>
      <c r="G713" s="2"/>
      <c r="H713" s="2"/>
      <c r="I713" s="2"/>
      <c r="J713" s="2"/>
      <c r="K713" s="2"/>
      <c r="L713" s="2"/>
      <c r="M713" s="2"/>
      <c r="N713" s="2"/>
      <c r="O713" s="2"/>
      <c r="P713" s="2"/>
      <c r="Q713" s="2"/>
      <c r="S713" s="3"/>
      <c r="T713" s="3"/>
      <c r="U713" s="3"/>
      <c r="V713" s="3"/>
      <c r="W713" s="3"/>
      <c r="X713" s="3"/>
      <c r="Y713" s="3"/>
      <c r="Z713" s="3"/>
    </row>
    <row r="714" ht="15.75" customHeight="1">
      <c r="A714" s="3"/>
      <c r="B714" s="2"/>
      <c r="C714" s="2"/>
      <c r="D714" s="474"/>
      <c r="E714" s="464"/>
      <c r="F714" s="2"/>
      <c r="G714" s="2"/>
      <c r="H714" s="2"/>
      <c r="I714" s="2"/>
      <c r="J714" s="2"/>
      <c r="K714" s="2"/>
      <c r="L714" s="2"/>
      <c r="M714" s="2"/>
      <c r="N714" s="2"/>
      <c r="O714" s="2"/>
      <c r="P714" s="2"/>
      <c r="Q714" s="2"/>
      <c r="S714" s="3"/>
      <c r="T714" s="3"/>
      <c r="U714" s="3"/>
      <c r="V714" s="3"/>
      <c r="W714" s="3"/>
      <c r="X714" s="3"/>
      <c r="Y714" s="3"/>
      <c r="Z714" s="3"/>
    </row>
    <row r="715" ht="15.75" customHeight="1">
      <c r="A715" s="3"/>
      <c r="B715" s="2"/>
      <c r="C715" s="2"/>
      <c r="D715" s="474"/>
      <c r="E715" s="464"/>
      <c r="F715" s="2"/>
      <c r="G715" s="2"/>
      <c r="H715" s="2"/>
      <c r="I715" s="2"/>
      <c r="J715" s="2"/>
      <c r="K715" s="2"/>
      <c r="L715" s="2"/>
      <c r="M715" s="2"/>
      <c r="N715" s="2"/>
      <c r="O715" s="2"/>
      <c r="P715" s="2"/>
      <c r="Q715" s="2"/>
      <c r="S715" s="3"/>
      <c r="T715" s="3"/>
      <c r="U715" s="3"/>
      <c r="V715" s="3"/>
      <c r="W715" s="3"/>
      <c r="X715" s="3"/>
      <c r="Y715" s="3"/>
      <c r="Z715" s="3"/>
    </row>
    <row r="716" ht="15.75" customHeight="1">
      <c r="A716" s="3"/>
      <c r="B716" s="2"/>
      <c r="C716" s="2"/>
      <c r="D716" s="474"/>
      <c r="E716" s="464"/>
      <c r="F716" s="2"/>
      <c r="G716" s="2"/>
      <c r="H716" s="2"/>
      <c r="I716" s="2"/>
      <c r="J716" s="2"/>
      <c r="K716" s="2"/>
      <c r="L716" s="2"/>
      <c r="M716" s="2"/>
      <c r="N716" s="2"/>
      <c r="O716" s="2"/>
      <c r="P716" s="2"/>
      <c r="Q716" s="2"/>
      <c r="S716" s="3"/>
      <c r="T716" s="3"/>
      <c r="U716" s="3"/>
      <c r="V716" s="3"/>
      <c r="W716" s="3"/>
      <c r="X716" s="3"/>
      <c r="Y716" s="3"/>
      <c r="Z716" s="3"/>
    </row>
    <row r="717" ht="15.75" customHeight="1">
      <c r="A717" s="3"/>
      <c r="B717" s="2"/>
      <c r="C717" s="2"/>
      <c r="D717" s="474"/>
      <c r="E717" s="464"/>
      <c r="F717" s="2"/>
      <c r="G717" s="2"/>
      <c r="H717" s="2"/>
      <c r="I717" s="2"/>
      <c r="J717" s="2"/>
      <c r="K717" s="2"/>
      <c r="L717" s="2"/>
      <c r="M717" s="2"/>
      <c r="N717" s="2"/>
      <c r="O717" s="2"/>
      <c r="P717" s="2"/>
      <c r="Q717" s="2"/>
      <c r="S717" s="3"/>
      <c r="T717" s="3"/>
      <c r="U717" s="3"/>
      <c r="V717" s="3"/>
      <c r="W717" s="3"/>
      <c r="X717" s="3"/>
      <c r="Y717" s="3"/>
      <c r="Z717" s="3"/>
    </row>
    <row r="718" ht="15.75" customHeight="1">
      <c r="A718" s="3"/>
      <c r="B718" s="2"/>
      <c r="C718" s="2"/>
      <c r="D718" s="474"/>
      <c r="E718" s="464"/>
      <c r="F718" s="2"/>
      <c r="G718" s="2"/>
      <c r="H718" s="2"/>
      <c r="I718" s="2"/>
      <c r="J718" s="2"/>
      <c r="K718" s="2"/>
      <c r="L718" s="2"/>
      <c r="M718" s="2"/>
      <c r="N718" s="2"/>
      <c r="O718" s="2"/>
      <c r="P718" s="2"/>
      <c r="Q718" s="2"/>
      <c r="S718" s="3"/>
      <c r="T718" s="3"/>
      <c r="U718" s="3"/>
      <c r="V718" s="3"/>
      <c r="W718" s="3"/>
      <c r="X718" s="3"/>
      <c r="Y718" s="3"/>
      <c r="Z718" s="3"/>
    </row>
    <row r="719" ht="15.75" customHeight="1">
      <c r="A719" s="3"/>
      <c r="B719" s="2"/>
      <c r="C719" s="2"/>
      <c r="D719" s="474"/>
      <c r="E719" s="464"/>
      <c r="F719" s="2"/>
      <c r="G719" s="2"/>
      <c r="H719" s="2"/>
      <c r="I719" s="2"/>
      <c r="J719" s="2"/>
      <c r="K719" s="2"/>
      <c r="L719" s="2"/>
      <c r="M719" s="2"/>
      <c r="N719" s="2"/>
      <c r="O719" s="2"/>
      <c r="P719" s="2"/>
      <c r="Q719" s="2"/>
      <c r="S719" s="3"/>
      <c r="T719" s="3"/>
      <c r="U719" s="3"/>
      <c r="V719" s="3"/>
      <c r="W719" s="3"/>
      <c r="X719" s="3"/>
      <c r="Y719" s="3"/>
      <c r="Z719" s="3"/>
    </row>
    <row r="720" ht="15.75" customHeight="1">
      <c r="A720" s="3"/>
      <c r="B720" s="2"/>
      <c r="C720" s="2"/>
      <c r="D720" s="474"/>
      <c r="E720" s="464"/>
      <c r="F720" s="2"/>
      <c r="G720" s="2"/>
      <c r="H720" s="2"/>
      <c r="I720" s="2"/>
      <c r="J720" s="2"/>
      <c r="K720" s="2"/>
      <c r="L720" s="2"/>
      <c r="M720" s="2"/>
      <c r="N720" s="2"/>
      <c r="O720" s="2"/>
      <c r="P720" s="2"/>
      <c r="Q720" s="2"/>
      <c r="S720" s="3"/>
      <c r="T720" s="3"/>
      <c r="U720" s="3"/>
      <c r="V720" s="3"/>
      <c r="W720" s="3"/>
      <c r="X720" s="3"/>
      <c r="Y720" s="3"/>
      <c r="Z720" s="3"/>
    </row>
    <row r="721" ht="15.75" customHeight="1">
      <c r="A721" s="3"/>
      <c r="B721" s="2"/>
      <c r="C721" s="2"/>
      <c r="D721" s="474"/>
      <c r="E721" s="464"/>
      <c r="F721" s="2"/>
      <c r="G721" s="2"/>
      <c r="H721" s="2"/>
      <c r="I721" s="2"/>
      <c r="J721" s="2"/>
      <c r="K721" s="2"/>
      <c r="L721" s="2"/>
      <c r="M721" s="2"/>
      <c r="N721" s="2"/>
      <c r="O721" s="2"/>
      <c r="P721" s="2"/>
      <c r="Q721" s="2"/>
      <c r="S721" s="3"/>
      <c r="T721" s="3"/>
      <c r="U721" s="3"/>
      <c r="V721" s="3"/>
      <c r="W721" s="3"/>
      <c r="X721" s="3"/>
      <c r="Y721" s="3"/>
      <c r="Z721" s="3"/>
    </row>
    <row r="722" ht="15.75" customHeight="1">
      <c r="A722" s="3"/>
      <c r="B722" s="2"/>
      <c r="C722" s="2"/>
      <c r="D722" s="474"/>
      <c r="E722" s="464"/>
      <c r="F722" s="2"/>
      <c r="G722" s="2"/>
      <c r="H722" s="2"/>
      <c r="I722" s="2"/>
      <c r="J722" s="2"/>
      <c r="K722" s="2"/>
      <c r="L722" s="2"/>
      <c r="M722" s="2"/>
      <c r="N722" s="2"/>
      <c r="O722" s="2"/>
      <c r="P722" s="2"/>
      <c r="Q722" s="2"/>
      <c r="S722" s="3"/>
      <c r="T722" s="3"/>
      <c r="U722" s="3"/>
      <c r="V722" s="3"/>
      <c r="W722" s="3"/>
      <c r="X722" s="3"/>
      <c r="Y722" s="3"/>
      <c r="Z722" s="3"/>
    </row>
    <row r="723" ht="15.75" customHeight="1">
      <c r="A723" s="3"/>
      <c r="B723" s="2"/>
      <c r="C723" s="2"/>
      <c r="D723" s="474"/>
      <c r="E723" s="464"/>
      <c r="F723" s="2"/>
      <c r="G723" s="2"/>
      <c r="H723" s="2"/>
      <c r="I723" s="2"/>
      <c r="J723" s="2"/>
      <c r="K723" s="2"/>
      <c r="L723" s="2"/>
      <c r="M723" s="2"/>
      <c r="N723" s="2"/>
      <c r="O723" s="2"/>
      <c r="P723" s="2"/>
      <c r="Q723" s="2"/>
      <c r="S723" s="3"/>
      <c r="T723" s="3"/>
      <c r="U723" s="3"/>
      <c r="V723" s="3"/>
      <c r="W723" s="3"/>
      <c r="X723" s="3"/>
      <c r="Y723" s="3"/>
      <c r="Z723" s="3"/>
    </row>
    <row r="724" ht="15.75" customHeight="1">
      <c r="A724" s="3"/>
      <c r="B724" s="2"/>
      <c r="C724" s="2"/>
      <c r="D724" s="474"/>
      <c r="E724" s="464"/>
      <c r="F724" s="2"/>
      <c r="G724" s="2"/>
      <c r="H724" s="2"/>
      <c r="I724" s="2"/>
      <c r="J724" s="2"/>
      <c r="K724" s="2"/>
      <c r="L724" s="2"/>
      <c r="M724" s="2"/>
      <c r="N724" s="2"/>
      <c r="O724" s="2"/>
      <c r="P724" s="2"/>
      <c r="Q724" s="2"/>
      <c r="S724" s="3"/>
      <c r="T724" s="3"/>
      <c r="U724" s="3"/>
      <c r="V724" s="3"/>
      <c r="W724" s="3"/>
      <c r="X724" s="3"/>
      <c r="Y724" s="3"/>
      <c r="Z724" s="3"/>
    </row>
    <row r="725" ht="15.75" customHeight="1">
      <c r="A725" s="3"/>
      <c r="B725" s="2"/>
      <c r="C725" s="2"/>
      <c r="D725" s="474"/>
      <c r="E725" s="464"/>
      <c r="F725" s="2"/>
      <c r="G725" s="2"/>
      <c r="H725" s="2"/>
      <c r="I725" s="2"/>
      <c r="J725" s="2"/>
      <c r="K725" s="2"/>
      <c r="L725" s="2"/>
      <c r="M725" s="2"/>
      <c r="N725" s="2"/>
      <c r="O725" s="2"/>
      <c r="P725" s="2"/>
      <c r="Q725" s="2"/>
      <c r="S725" s="3"/>
      <c r="T725" s="3"/>
      <c r="U725" s="3"/>
      <c r="V725" s="3"/>
      <c r="W725" s="3"/>
      <c r="X725" s="3"/>
      <c r="Y725" s="3"/>
      <c r="Z725" s="3"/>
    </row>
    <row r="726" ht="15.75" customHeight="1">
      <c r="A726" s="3"/>
      <c r="B726" s="2"/>
      <c r="C726" s="2"/>
      <c r="D726" s="474"/>
      <c r="E726" s="464"/>
      <c r="F726" s="2"/>
      <c r="G726" s="2"/>
      <c r="H726" s="2"/>
      <c r="I726" s="2"/>
      <c r="J726" s="2"/>
      <c r="K726" s="2"/>
      <c r="L726" s="2"/>
      <c r="M726" s="2"/>
      <c r="N726" s="2"/>
      <c r="O726" s="2"/>
      <c r="P726" s="2"/>
      <c r="Q726" s="2"/>
      <c r="S726" s="3"/>
      <c r="T726" s="3"/>
      <c r="U726" s="3"/>
      <c r="V726" s="3"/>
      <c r="W726" s="3"/>
      <c r="X726" s="3"/>
      <c r="Y726" s="3"/>
      <c r="Z726" s="3"/>
    </row>
    <row r="727" ht="15.75" customHeight="1">
      <c r="A727" s="3"/>
      <c r="B727" s="2"/>
      <c r="C727" s="2"/>
      <c r="D727" s="474"/>
      <c r="E727" s="464"/>
      <c r="F727" s="2"/>
      <c r="G727" s="2"/>
      <c r="H727" s="2"/>
      <c r="I727" s="2"/>
      <c r="J727" s="2"/>
      <c r="K727" s="2"/>
      <c r="L727" s="2"/>
      <c r="M727" s="2"/>
      <c r="N727" s="2"/>
      <c r="O727" s="2"/>
      <c r="P727" s="2"/>
      <c r="Q727" s="2"/>
      <c r="S727" s="3"/>
      <c r="T727" s="3"/>
      <c r="U727" s="3"/>
      <c r="V727" s="3"/>
      <c r="W727" s="3"/>
      <c r="X727" s="3"/>
      <c r="Y727" s="3"/>
      <c r="Z727" s="3"/>
    </row>
    <row r="728" ht="15.75" customHeight="1">
      <c r="A728" s="3"/>
      <c r="B728" s="2"/>
      <c r="C728" s="2"/>
      <c r="D728" s="474"/>
      <c r="E728" s="464"/>
      <c r="F728" s="2"/>
      <c r="G728" s="2"/>
      <c r="H728" s="2"/>
      <c r="I728" s="2"/>
      <c r="J728" s="2"/>
      <c r="K728" s="2"/>
      <c r="L728" s="2"/>
      <c r="M728" s="2"/>
      <c r="N728" s="2"/>
      <c r="O728" s="2"/>
      <c r="P728" s="2"/>
      <c r="Q728" s="2"/>
      <c r="S728" s="3"/>
      <c r="T728" s="3"/>
      <c r="U728" s="3"/>
      <c r="V728" s="3"/>
      <c r="W728" s="3"/>
      <c r="X728" s="3"/>
      <c r="Y728" s="3"/>
      <c r="Z728" s="3"/>
    </row>
    <row r="729" ht="15.75" customHeight="1">
      <c r="A729" s="3"/>
      <c r="B729" s="2"/>
      <c r="C729" s="2"/>
      <c r="D729" s="474"/>
      <c r="E729" s="464"/>
      <c r="F729" s="2"/>
      <c r="G729" s="2"/>
      <c r="H729" s="2"/>
      <c r="I729" s="2"/>
      <c r="J729" s="2"/>
      <c r="K729" s="2"/>
      <c r="L729" s="2"/>
      <c r="M729" s="2"/>
      <c r="N729" s="2"/>
      <c r="O729" s="2"/>
      <c r="P729" s="2"/>
      <c r="Q729" s="2"/>
      <c r="S729" s="3"/>
      <c r="T729" s="3"/>
      <c r="U729" s="3"/>
      <c r="V729" s="3"/>
      <c r="W729" s="3"/>
      <c r="X729" s="3"/>
      <c r="Y729" s="3"/>
      <c r="Z729" s="3"/>
    </row>
    <row r="730" ht="15.75" customHeight="1">
      <c r="A730" s="3"/>
      <c r="B730" s="2"/>
      <c r="C730" s="2"/>
      <c r="D730" s="474"/>
      <c r="E730" s="464"/>
      <c r="F730" s="2"/>
      <c r="G730" s="2"/>
      <c r="H730" s="2"/>
      <c r="I730" s="2"/>
      <c r="J730" s="2"/>
      <c r="K730" s="2"/>
      <c r="L730" s="2"/>
      <c r="M730" s="2"/>
      <c r="N730" s="2"/>
      <c r="O730" s="2"/>
      <c r="P730" s="2"/>
      <c r="Q730" s="2"/>
      <c r="S730" s="3"/>
      <c r="T730" s="3"/>
      <c r="U730" s="3"/>
      <c r="V730" s="3"/>
      <c r="W730" s="3"/>
      <c r="X730" s="3"/>
      <c r="Y730" s="3"/>
      <c r="Z730" s="3"/>
    </row>
    <row r="731" ht="15.75" customHeight="1">
      <c r="A731" s="3"/>
      <c r="B731" s="2"/>
      <c r="C731" s="2"/>
      <c r="D731" s="474"/>
      <c r="E731" s="464"/>
      <c r="F731" s="2"/>
      <c r="G731" s="2"/>
      <c r="H731" s="2"/>
      <c r="I731" s="2"/>
      <c r="J731" s="2"/>
      <c r="K731" s="2"/>
      <c r="L731" s="2"/>
      <c r="M731" s="2"/>
      <c r="N731" s="2"/>
      <c r="O731" s="2"/>
      <c r="P731" s="2"/>
      <c r="Q731" s="2"/>
      <c r="S731" s="3"/>
      <c r="T731" s="3"/>
      <c r="U731" s="3"/>
      <c r="V731" s="3"/>
      <c r="W731" s="3"/>
      <c r="X731" s="3"/>
      <c r="Y731" s="3"/>
      <c r="Z731" s="3"/>
    </row>
    <row r="732" ht="15.75" customHeight="1">
      <c r="A732" s="3"/>
      <c r="B732" s="2"/>
      <c r="C732" s="2"/>
      <c r="D732" s="474"/>
      <c r="E732" s="464"/>
      <c r="F732" s="2"/>
      <c r="G732" s="2"/>
      <c r="H732" s="2"/>
      <c r="I732" s="2"/>
      <c r="J732" s="2"/>
      <c r="K732" s="2"/>
      <c r="L732" s="2"/>
      <c r="M732" s="2"/>
      <c r="N732" s="2"/>
      <c r="O732" s="2"/>
      <c r="P732" s="2"/>
      <c r="Q732" s="2"/>
      <c r="S732" s="3"/>
      <c r="T732" s="3"/>
      <c r="U732" s="3"/>
      <c r="V732" s="3"/>
      <c r="W732" s="3"/>
      <c r="X732" s="3"/>
      <c r="Y732" s="3"/>
      <c r="Z732" s="3"/>
    </row>
    <row r="733" ht="15.75" customHeight="1">
      <c r="A733" s="3"/>
      <c r="B733" s="2"/>
      <c r="C733" s="2"/>
      <c r="D733" s="474"/>
      <c r="E733" s="464"/>
      <c r="F733" s="2"/>
      <c r="G733" s="2"/>
      <c r="H733" s="2"/>
      <c r="I733" s="2"/>
      <c r="J733" s="2"/>
      <c r="K733" s="2"/>
      <c r="L733" s="2"/>
      <c r="M733" s="2"/>
      <c r="N733" s="2"/>
      <c r="O733" s="2"/>
      <c r="P733" s="2"/>
      <c r="Q733" s="2"/>
      <c r="S733" s="3"/>
      <c r="T733" s="3"/>
      <c r="U733" s="3"/>
      <c r="V733" s="3"/>
      <c r="W733" s="3"/>
      <c r="X733" s="3"/>
      <c r="Y733" s="3"/>
      <c r="Z733" s="3"/>
    </row>
    <row r="734" ht="15.75" customHeight="1">
      <c r="A734" s="3"/>
      <c r="B734" s="2"/>
      <c r="C734" s="2"/>
      <c r="D734" s="474"/>
      <c r="E734" s="464"/>
      <c r="F734" s="2"/>
      <c r="G734" s="2"/>
      <c r="H734" s="2"/>
      <c r="I734" s="2"/>
      <c r="J734" s="2"/>
      <c r="K734" s="2"/>
      <c r="L734" s="2"/>
      <c r="M734" s="2"/>
      <c r="N734" s="2"/>
      <c r="O734" s="2"/>
      <c r="P734" s="2"/>
      <c r="Q734" s="2"/>
      <c r="S734" s="3"/>
      <c r="T734" s="3"/>
      <c r="U734" s="3"/>
      <c r="V734" s="3"/>
      <c r="W734" s="3"/>
      <c r="X734" s="3"/>
      <c r="Y734" s="3"/>
      <c r="Z734" s="3"/>
    </row>
    <row r="735" ht="15.75" customHeight="1">
      <c r="A735" s="3"/>
      <c r="B735" s="2"/>
      <c r="C735" s="2"/>
      <c r="D735" s="474"/>
      <c r="E735" s="464"/>
      <c r="F735" s="2"/>
      <c r="G735" s="2"/>
      <c r="H735" s="2"/>
      <c r="I735" s="2"/>
      <c r="J735" s="2"/>
      <c r="K735" s="2"/>
      <c r="L735" s="2"/>
      <c r="M735" s="2"/>
      <c r="N735" s="2"/>
      <c r="O735" s="2"/>
      <c r="P735" s="2"/>
      <c r="Q735" s="2"/>
      <c r="S735" s="3"/>
      <c r="T735" s="3"/>
      <c r="U735" s="3"/>
      <c r="V735" s="3"/>
      <c r="W735" s="3"/>
      <c r="X735" s="3"/>
      <c r="Y735" s="3"/>
      <c r="Z735" s="3"/>
    </row>
    <row r="736" ht="15.75" customHeight="1">
      <c r="A736" s="3"/>
      <c r="B736" s="2"/>
      <c r="C736" s="2"/>
      <c r="D736" s="474"/>
      <c r="E736" s="464"/>
      <c r="F736" s="2"/>
      <c r="G736" s="2"/>
      <c r="H736" s="2"/>
      <c r="I736" s="2"/>
      <c r="J736" s="2"/>
      <c r="K736" s="2"/>
      <c r="L736" s="2"/>
      <c r="M736" s="2"/>
      <c r="N736" s="2"/>
      <c r="O736" s="2"/>
      <c r="P736" s="2"/>
      <c r="Q736" s="2"/>
      <c r="S736" s="3"/>
      <c r="T736" s="3"/>
      <c r="U736" s="3"/>
      <c r="V736" s="3"/>
      <c r="W736" s="3"/>
      <c r="X736" s="3"/>
      <c r="Y736" s="3"/>
      <c r="Z736" s="3"/>
    </row>
    <row r="737" ht="15.75" customHeight="1">
      <c r="A737" s="3"/>
      <c r="B737" s="2"/>
      <c r="C737" s="2"/>
      <c r="D737" s="474"/>
      <c r="E737" s="464"/>
      <c r="F737" s="2"/>
      <c r="G737" s="2"/>
      <c r="H737" s="2"/>
      <c r="I737" s="2"/>
      <c r="J737" s="2"/>
      <c r="K737" s="2"/>
      <c r="L737" s="2"/>
      <c r="M737" s="2"/>
      <c r="N737" s="2"/>
      <c r="O737" s="2"/>
      <c r="P737" s="2"/>
      <c r="Q737" s="2"/>
      <c r="S737" s="3"/>
      <c r="T737" s="3"/>
      <c r="U737" s="3"/>
      <c r="V737" s="3"/>
      <c r="W737" s="3"/>
      <c r="X737" s="3"/>
      <c r="Y737" s="3"/>
      <c r="Z737" s="3"/>
    </row>
    <row r="738" ht="15.75" customHeight="1">
      <c r="A738" s="3"/>
      <c r="B738" s="2"/>
      <c r="C738" s="2"/>
      <c r="D738" s="474"/>
      <c r="E738" s="464"/>
      <c r="F738" s="2"/>
      <c r="G738" s="2"/>
      <c r="H738" s="2"/>
      <c r="I738" s="2"/>
      <c r="J738" s="2"/>
      <c r="K738" s="2"/>
      <c r="L738" s="2"/>
      <c r="M738" s="2"/>
      <c r="N738" s="2"/>
      <c r="O738" s="2"/>
      <c r="P738" s="2"/>
      <c r="Q738" s="2"/>
      <c r="S738" s="3"/>
      <c r="T738" s="3"/>
      <c r="U738" s="3"/>
      <c r="V738" s="3"/>
      <c r="W738" s="3"/>
      <c r="X738" s="3"/>
      <c r="Y738" s="3"/>
      <c r="Z738" s="3"/>
    </row>
    <row r="739" ht="15.75" customHeight="1">
      <c r="A739" s="3"/>
      <c r="B739" s="2"/>
      <c r="C739" s="2"/>
      <c r="D739" s="474"/>
      <c r="E739" s="464"/>
      <c r="F739" s="2"/>
      <c r="G739" s="2"/>
      <c r="H739" s="2"/>
      <c r="I739" s="2"/>
      <c r="J739" s="2"/>
      <c r="K739" s="2"/>
      <c r="L739" s="2"/>
      <c r="M739" s="2"/>
      <c r="N739" s="2"/>
      <c r="O739" s="2"/>
      <c r="P739" s="2"/>
      <c r="Q739" s="2"/>
      <c r="S739" s="3"/>
      <c r="T739" s="3"/>
      <c r="U739" s="3"/>
      <c r="V739" s="3"/>
      <c r="W739" s="3"/>
      <c r="X739" s="3"/>
      <c r="Y739" s="3"/>
      <c r="Z739" s="3"/>
    </row>
    <row r="740" ht="15.75" customHeight="1">
      <c r="A740" s="3"/>
      <c r="B740" s="2"/>
      <c r="C740" s="2"/>
      <c r="D740" s="474"/>
      <c r="E740" s="464"/>
      <c r="F740" s="2"/>
      <c r="G740" s="2"/>
      <c r="H740" s="2"/>
      <c r="I740" s="2"/>
      <c r="J740" s="2"/>
      <c r="K740" s="2"/>
      <c r="L740" s="2"/>
      <c r="M740" s="2"/>
      <c r="N740" s="2"/>
      <c r="O740" s="2"/>
      <c r="P740" s="2"/>
      <c r="Q740" s="2"/>
      <c r="S740" s="3"/>
      <c r="T740" s="3"/>
      <c r="U740" s="3"/>
      <c r="V740" s="3"/>
      <c r="W740" s="3"/>
      <c r="X740" s="3"/>
      <c r="Y740" s="3"/>
      <c r="Z740" s="3"/>
    </row>
    <row r="741" ht="15.75" customHeight="1">
      <c r="A741" s="3"/>
      <c r="B741" s="2"/>
      <c r="C741" s="2"/>
      <c r="D741" s="474"/>
      <c r="E741" s="464"/>
      <c r="F741" s="2"/>
      <c r="G741" s="2"/>
      <c r="H741" s="2"/>
      <c r="I741" s="2"/>
      <c r="J741" s="2"/>
      <c r="K741" s="2"/>
      <c r="L741" s="2"/>
      <c r="M741" s="2"/>
      <c r="N741" s="2"/>
      <c r="O741" s="2"/>
      <c r="P741" s="2"/>
      <c r="Q741" s="2"/>
      <c r="S741" s="3"/>
      <c r="T741" s="3"/>
      <c r="U741" s="3"/>
      <c r="V741" s="3"/>
      <c r="W741" s="3"/>
      <c r="X741" s="3"/>
      <c r="Y741" s="3"/>
      <c r="Z741" s="3"/>
    </row>
    <row r="742" ht="15.75" customHeight="1">
      <c r="A742" s="3"/>
      <c r="B742" s="2"/>
      <c r="C742" s="2"/>
      <c r="D742" s="474"/>
      <c r="E742" s="464"/>
      <c r="F742" s="2"/>
      <c r="G742" s="2"/>
      <c r="H742" s="2"/>
      <c r="I742" s="2"/>
      <c r="J742" s="2"/>
      <c r="K742" s="2"/>
      <c r="L742" s="2"/>
      <c r="M742" s="2"/>
      <c r="N742" s="2"/>
      <c r="O742" s="2"/>
      <c r="P742" s="2"/>
      <c r="Q742" s="2"/>
      <c r="S742" s="3"/>
      <c r="T742" s="3"/>
      <c r="U742" s="3"/>
      <c r="V742" s="3"/>
      <c r="W742" s="3"/>
      <c r="X742" s="3"/>
      <c r="Y742" s="3"/>
      <c r="Z742" s="3"/>
    </row>
    <row r="743" ht="15.75" customHeight="1">
      <c r="A743" s="3"/>
      <c r="B743" s="2"/>
      <c r="C743" s="2"/>
      <c r="D743" s="474"/>
      <c r="E743" s="464"/>
      <c r="F743" s="2"/>
      <c r="G743" s="2"/>
      <c r="H743" s="2"/>
      <c r="I743" s="2"/>
      <c r="J743" s="2"/>
      <c r="K743" s="2"/>
      <c r="L743" s="2"/>
      <c r="M743" s="2"/>
      <c r="N743" s="2"/>
      <c r="O743" s="2"/>
      <c r="P743" s="2"/>
      <c r="Q743" s="2"/>
      <c r="S743" s="3"/>
      <c r="T743" s="3"/>
      <c r="U743" s="3"/>
      <c r="V743" s="3"/>
      <c r="W743" s="3"/>
      <c r="X743" s="3"/>
      <c r="Y743" s="3"/>
      <c r="Z743" s="3"/>
    </row>
    <row r="744" ht="15.75" customHeight="1">
      <c r="A744" s="3"/>
      <c r="B744" s="2"/>
      <c r="C744" s="2"/>
      <c r="D744" s="474"/>
      <c r="E744" s="464"/>
      <c r="F744" s="2"/>
      <c r="G744" s="2"/>
      <c r="H744" s="2"/>
      <c r="I744" s="2"/>
      <c r="J744" s="2"/>
      <c r="K744" s="2"/>
      <c r="L744" s="2"/>
      <c r="M744" s="2"/>
      <c r="N744" s="2"/>
      <c r="O744" s="2"/>
      <c r="P744" s="2"/>
      <c r="Q744" s="2"/>
      <c r="S744" s="3"/>
      <c r="T744" s="3"/>
      <c r="U744" s="3"/>
      <c r="V744" s="3"/>
      <c r="W744" s="3"/>
      <c r="X744" s="3"/>
      <c r="Y744" s="3"/>
      <c r="Z744" s="3"/>
    </row>
    <row r="745" ht="15.75" customHeight="1">
      <c r="A745" s="3"/>
      <c r="B745" s="2"/>
      <c r="C745" s="2"/>
      <c r="D745" s="474"/>
      <c r="E745" s="464"/>
      <c r="F745" s="2"/>
      <c r="G745" s="2"/>
      <c r="H745" s="2"/>
      <c r="I745" s="2"/>
      <c r="J745" s="2"/>
      <c r="K745" s="2"/>
      <c r="L745" s="2"/>
      <c r="M745" s="2"/>
      <c r="N745" s="2"/>
      <c r="O745" s="2"/>
      <c r="P745" s="2"/>
      <c r="Q745" s="2"/>
      <c r="S745" s="3"/>
      <c r="T745" s="3"/>
      <c r="U745" s="3"/>
      <c r="V745" s="3"/>
      <c r="W745" s="3"/>
      <c r="X745" s="3"/>
      <c r="Y745" s="3"/>
      <c r="Z745" s="3"/>
    </row>
    <row r="746" ht="15.75" customHeight="1">
      <c r="A746" s="3"/>
      <c r="B746" s="2"/>
      <c r="C746" s="2"/>
      <c r="D746" s="474"/>
      <c r="E746" s="464"/>
      <c r="F746" s="2"/>
      <c r="G746" s="2"/>
      <c r="H746" s="2"/>
      <c r="I746" s="2"/>
      <c r="J746" s="2"/>
      <c r="K746" s="2"/>
      <c r="L746" s="2"/>
      <c r="M746" s="2"/>
      <c r="N746" s="2"/>
      <c r="O746" s="2"/>
      <c r="P746" s="2"/>
      <c r="Q746" s="2"/>
      <c r="S746" s="3"/>
      <c r="T746" s="3"/>
      <c r="U746" s="3"/>
      <c r="V746" s="3"/>
      <c r="W746" s="3"/>
      <c r="X746" s="3"/>
      <c r="Y746" s="3"/>
      <c r="Z746" s="3"/>
    </row>
    <row r="747" ht="15.75" customHeight="1">
      <c r="A747" s="3"/>
      <c r="B747" s="2"/>
      <c r="C747" s="2"/>
      <c r="D747" s="474"/>
      <c r="E747" s="464"/>
      <c r="F747" s="2"/>
      <c r="G747" s="2"/>
      <c r="H747" s="2"/>
      <c r="I747" s="2"/>
      <c r="J747" s="2"/>
      <c r="K747" s="2"/>
      <c r="L747" s="2"/>
      <c r="M747" s="2"/>
      <c r="N747" s="2"/>
      <c r="O747" s="2"/>
      <c r="P747" s="2"/>
      <c r="Q747" s="2"/>
      <c r="S747" s="3"/>
      <c r="T747" s="3"/>
      <c r="U747" s="3"/>
      <c r="V747" s="3"/>
      <c r="W747" s="3"/>
      <c r="X747" s="3"/>
      <c r="Y747" s="3"/>
      <c r="Z747" s="3"/>
    </row>
    <row r="748" ht="15.75" customHeight="1">
      <c r="A748" s="3"/>
      <c r="B748" s="2"/>
      <c r="C748" s="2"/>
      <c r="D748" s="474"/>
      <c r="E748" s="464"/>
      <c r="F748" s="2"/>
      <c r="G748" s="2"/>
      <c r="H748" s="2"/>
      <c r="I748" s="2"/>
      <c r="J748" s="2"/>
      <c r="K748" s="2"/>
      <c r="L748" s="2"/>
      <c r="M748" s="2"/>
      <c r="N748" s="2"/>
      <c r="O748" s="2"/>
      <c r="P748" s="2"/>
      <c r="Q748" s="2"/>
      <c r="S748" s="3"/>
      <c r="T748" s="3"/>
      <c r="U748" s="3"/>
      <c r="V748" s="3"/>
      <c r="W748" s="3"/>
      <c r="X748" s="3"/>
      <c r="Y748" s="3"/>
      <c r="Z748" s="3"/>
    </row>
    <row r="749" ht="15.75" customHeight="1">
      <c r="A749" s="3"/>
      <c r="B749" s="2"/>
      <c r="C749" s="2"/>
      <c r="D749" s="474"/>
      <c r="E749" s="464"/>
      <c r="F749" s="2"/>
      <c r="G749" s="2"/>
      <c r="H749" s="2"/>
      <c r="I749" s="2"/>
      <c r="J749" s="2"/>
      <c r="K749" s="2"/>
      <c r="L749" s="2"/>
      <c r="M749" s="2"/>
      <c r="N749" s="2"/>
      <c r="O749" s="2"/>
      <c r="P749" s="2"/>
      <c r="Q749" s="2"/>
      <c r="S749" s="3"/>
      <c r="T749" s="3"/>
      <c r="U749" s="3"/>
      <c r="V749" s="3"/>
      <c r="W749" s="3"/>
      <c r="X749" s="3"/>
      <c r="Y749" s="3"/>
      <c r="Z749" s="3"/>
    </row>
    <row r="750" ht="15.75" customHeight="1">
      <c r="A750" s="3"/>
      <c r="B750" s="2"/>
      <c r="C750" s="2"/>
      <c r="D750" s="474"/>
      <c r="E750" s="464"/>
      <c r="F750" s="2"/>
      <c r="G750" s="2"/>
      <c r="H750" s="2"/>
      <c r="I750" s="2"/>
      <c r="J750" s="2"/>
      <c r="K750" s="2"/>
      <c r="L750" s="2"/>
      <c r="M750" s="2"/>
      <c r="N750" s="2"/>
      <c r="O750" s="2"/>
      <c r="P750" s="2"/>
      <c r="Q750" s="2"/>
      <c r="S750" s="3"/>
      <c r="T750" s="3"/>
      <c r="U750" s="3"/>
      <c r="V750" s="3"/>
      <c r="W750" s="3"/>
      <c r="X750" s="3"/>
      <c r="Y750" s="3"/>
      <c r="Z750" s="3"/>
    </row>
    <row r="751" ht="15.75" customHeight="1">
      <c r="A751" s="3"/>
      <c r="B751" s="2"/>
      <c r="C751" s="2"/>
      <c r="D751" s="474"/>
      <c r="E751" s="464"/>
      <c r="F751" s="2"/>
      <c r="G751" s="2"/>
      <c r="H751" s="2"/>
      <c r="I751" s="2"/>
      <c r="J751" s="2"/>
      <c r="K751" s="2"/>
      <c r="L751" s="2"/>
      <c r="M751" s="2"/>
      <c r="N751" s="2"/>
      <c r="O751" s="2"/>
      <c r="P751" s="2"/>
      <c r="Q751" s="2"/>
      <c r="S751" s="3"/>
      <c r="T751" s="3"/>
      <c r="U751" s="3"/>
      <c r="V751" s="3"/>
      <c r="W751" s="3"/>
      <c r="X751" s="3"/>
      <c r="Y751" s="3"/>
      <c r="Z751" s="3"/>
    </row>
    <row r="752" ht="15.75" customHeight="1">
      <c r="A752" s="3"/>
      <c r="B752" s="2"/>
      <c r="C752" s="2"/>
      <c r="D752" s="474"/>
      <c r="E752" s="464"/>
      <c r="F752" s="2"/>
      <c r="G752" s="2"/>
      <c r="H752" s="2"/>
      <c r="I752" s="2"/>
      <c r="J752" s="2"/>
      <c r="K752" s="2"/>
      <c r="L752" s="2"/>
      <c r="M752" s="2"/>
      <c r="N752" s="2"/>
      <c r="O752" s="2"/>
      <c r="P752" s="2"/>
      <c r="Q752" s="2"/>
      <c r="S752" s="3"/>
      <c r="T752" s="3"/>
      <c r="U752" s="3"/>
      <c r="V752" s="3"/>
      <c r="W752" s="3"/>
      <c r="X752" s="3"/>
      <c r="Y752" s="3"/>
      <c r="Z752" s="3"/>
    </row>
    <row r="753" ht="15.75" customHeight="1">
      <c r="A753" s="3"/>
      <c r="B753" s="2"/>
      <c r="C753" s="2"/>
      <c r="D753" s="474"/>
      <c r="E753" s="464"/>
      <c r="F753" s="2"/>
      <c r="G753" s="2"/>
      <c r="H753" s="2"/>
      <c r="I753" s="2"/>
      <c r="J753" s="2"/>
      <c r="K753" s="2"/>
      <c r="L753" s="2"/>
      <c r="M753" s="2"/>
      <c r="N753" s="2"/>
      <c r="O753" s="2"/>
      <c r="P753" s="2"/>
      <c r="Q753" s="2"/>
      <c r="S753" s="3"/>
      <c r="T753" s="3"/>
      <c r="U753" s="3"/>
      <c r="V753" s="3"/>
      <c r="W753" s="3"/>
      <c r="X753" s="3"/>
      <c r="Y753" s="3"/>
      <c r="Z753" s="3"/>
    </row>
    <row r="754" ht="15.75" customHeight="1">
      <c r="A754" s="3"/>
      <c r="B754" s="2"/>
      <c r="C754" s="2"/>
      <c r="D754" s="474"/>
      <c r="E754" s="464"/>
      <c r="F754" s="2"/>
      <c r="G754" s="2"/>
      <c r="H754" s="2"/>
      <c r="I754" s="2"/>
      <c r="J754" s="2"/>
      <c r="K754" s="2"/>
      <c r="L754" s="2"/>
      <c r="M754" s="2"/>
      <c r="N754" s="2"/>
      <c r="O754" s="2"/>
      <c r="P754" s="2"/>
      <c r="Q754" s="2"/>
      <c r="S754" s="3"/>
      <c r="T754" s="3"/>
      <c r="U754" s="3"/>
      <c r="V754" s="3"/>
      <c r="W754" s="3"/>
      <c r="X754" s="3"/>
      <c r="Y754" s="3"/>
      <c r="Z754" s="3"/>
    </row>
    <row r="755" ht="15.75" customHeight="1">
      <c r="A755" s="3"/>
      <c r="B755" s="2"/>
      <c r="C755" s="2"/>
      <c r="D755" s="474"/>
      <c r="E755" s="464"/>
      <c r="F755" s="2"/>
      <c r="G755" s="2"/>
      <c r="H755" s="2"/>
      <c r="I755" s="2"/>
      <c r="J755" s="2"/>
      <c r="K755" s="2"/>
      <c r="L755" s="2"/>
      <c r="M755" s="2"/>
      <c r="N755" s="2"/>
      <c r="O755" s="2"/>
      <c r="P755" s="2"/>
      <c r="Q755" s="2"/>
      <c r="S755" s="3"/>
      <c r="T755" s="3"/>
      <c r="U755" s="3"/>
      <c r="V755" s="3"/>
      <c r="W755" s="3"/>
      <c r="X755" s="3"/>
      <c r="Y755" s="3"/>
      <c r="Z755" s="3"/>
    </row>
    <row r="756" ht="15.75" customHeight="1">
      <c r="A756" s="3"/>
      <c r="B756" s="2"/>
      <c r="C756" s="2"/>
      <c r="D756" s="474"/>
      <c r="E756" s="464"/>
      <c r="F756" s="2"/>
      <c r="G756" s="2"/>
      <c r="H756" s="2"/>
      <c r="I756" s="2"/>
      <c r="J756" s="2"/>
      <c r="K756" s="2"/>
      <c r="L756" s="2"/>
      <c r="M756" s="2"/>
      <c r="N756" s="2"/>
      <c r="O756" s="2"/>
      <c r="P756" s="2"/>
      <c r="Q756" s="2"/>
      <c r="S756" s="3"/>
      <c r="T756" s="3"/>
      <c r="U756" s="3"/>
      <c r="V756" s="3"/>
      <c r="W756" s="3"/>
      <c r="X756" s="3"/>
      <c r="Y756" s="3"/>
      <c r="Z756" s="3"/>
    </row>
    <row r="757" ht="15.75" customHeight="1">
      <c r="A757" s="3"/>
      <c r="B757" s="2"/>
      <c r="C757" s="2"/>
      <c r="D757" s="474"/>
      <c r="E757" s="464"/>
      <c r="F757" s="2"/>
      <c r="G757" s="2"/>
      <c r="H757" s="2"/>
      <c r="I757" s="2"/>
      <c r="J757" s="2"/>
      <c r="K757" s="2"/>
      <c r="L757" s="2"/>
      <c r="M757" s="2"/>
      <c r="N757" s="2"/>
      <c r="O757" s="2"/>
      <c r="P757" s="2"/>
      <c r="Q757" s="2"/>
      <c r="S757" s="3"/>
      <c r="T757" s="3"/>
      <c r="U757" s="3"/>
      <c r="V757" s="3"/>
      <c r="W757" s="3"/>
      <c r="X757" s="3"/>
      <c r="Y757" s="3"/>
      <c r="Z757" s="3"/>
    </row>
    <row r="758" ht="15.75" customHeight="1">
      <c r="A758" s="3"/>
      <c r="B758" s="2"/>
      <c r="C758" s="2"/>
      <c r="D758" s="474"/>
      <c r="E758" s="464"/>
      <c r="F758" s="2"/>
      <c r="G758" s="2"/>
      <c r="H758" s="2"/>
      <c r="I758" s="2"/>
      <c r="J758" s="2"/>
      <c r="K758" s="2"/>
      <c r="L758" s="2"/>
      <c r="M758" s="2"/>
      <c r="N758" s="2"/>
      <c r="O758" s="2"/>
      <c r="P758" s="2"/>
      <c r="Q758" s="2"/>
      <c r="S758" s="3"/>
      <c r="T758" s="3"/>
      <c r="U758" s="3"/>
      <c r="V758" s="3"/>
      <c r="W758" s="3"/>
      <c r="X758" s="3"/>
      <c r="Y758" s="3"/>
      <c r="Z758" s="3"/>
    </row>
    <row r="759" ht="15.75" customHeight="1">
      <c r="A759" s="3"/>
      <c r="B759" s="2"/>
      <c r="C759" s="2"/>
      <c r="D759" s="474"/>
      <c r="E759" s="464"/>
      <c r="F759" s="2"/>
      <c r="G759" s="2"/>
      <c r="H759" s="2"/>
      <c r="I759" s="2"/>
      <c r="J759" s="2"/>
      <c r="K759" s="2"/>
      <c r="L759" s="2"/>
      <c r="M759" s="2"/>
      <c r="N759" s="2"/>
      <c r="O759" s="2"/>
      <c r="P759" s="2"/>
      <c r="Q759" s="2"/>
      <c r="S759" s="3"/>
      <c r="T759" s="3"/>
      <c r="U759" s="3"/>
      <c r="V759" s="3"/>
      <c r="W759" s="3"/>
      <c r="X759" s="3"/>
      <c r="Y759" s="3"/>
      <c r="Z759" s="3"/>
    </row>
    <row r="760" ht="15.75" customHeight="1">
      <c r="A760" s="3"/>
      <c r="B760" s="2"/>
      <c r="C760" s="2"/>
      <c r="D760" s="474"/>
      <c r="E760" s="464"/>
      <c r="F760" s="2"/>
      <c r="G760" s="2"/>
      <c r="H760" s="2"/>
      <c r="I760" s="2"/>
      <c r="J760" s="2"/>
      <c r="K760" s="2"/>
      <c r="L760" s="2"/>
      <c r="M760" s="2"/>
      <c r="N760" s="2"/>
      <c r="O760" s="2"/>
      <c r="P760" s="2"/>
      <c r="Q760" s="2"/>
      <c r="S760" s="3"/>
      <c r="T760" s="3"/>
      <c r="U760" s="3"/>
      <c r="V760" s="3"/>
      <c r="W760" s="3"/>
      <c r="X760" s="3"/>
      <c r="Y760" s="3"/>
      <c r="Z760" s="3"/>
    </row>
    <row r="761" ht="15.75" customHeight="1">
      <c r="A761" s="3"/>
      <c r="B761" s="2"/>
      <c r="C761" s="2"/>
      <c r="D761" s="474"/>
      <c r="E761" s="464"/>
      <c r="F761" s="2"/>
      <c r="G761" s="2"/>
      <c r="H761" s="2"/>
      <c r="I761" s="2"/>
      <c r="J761" s="2"/>
      <c r="K761" s="2"/>
      <c r="L761" s="2"/>
      <c r="M761" s="2"/>
      <c r="N761" s="2"/>
      <c r="O761" s="2"/>
      <c r="P761" s="2"/>
      <c r="Q761" s="2"/>
      <c r="S761" s="3"/>
      <c r="T761" s="3"/>
      <c r="U761" s="3"/>
      <c r="V761" s="3"/>
      <c r="W761" s="3"/>
      <c r="X761" s="3"/>
      <c r="Y761" s="3"/>
      <c r="Z761" s="3"/>
    </row>
    <row r="762" ht="15.75" customHeight="1">
      <c r="A762" s="3"/>
      <c r="B762" s="2"/>
      <c r="C762" s="2"/>
      <c r="D762" s="474"/>
      <c r="E762" s="464"/>
      <c r="F762" s="2"/>
      <c r="G762" s="2"/>
      <c r="H762" s="2"/>
      <c r="I762" s="2"/>
      <c r="J762" s="2"/>
      <c r="K762" s="2"/>
      <c r="L762" s="2"/>
      <c r="M762" s="2"/>
      <c r="N762" s="2"/>
      <c r="O762" s="2"/>
      <c r="P762" s="2"/>
      <c r="Q762" s="2"/>
      <c r="S762" s="3"/>
      <c r="T762" s="3"/>
      <c r="U762" s="3"/>
      <c r="V762" s="3"/>
      <c r="W762" s="3"/>
      <c r="X762" s="3"/>
      <c r="Y762" s="3"/>
      <c r="Z762" s="3"/>
    </row>
    <row r="763" ht="15.75" customHeight="1">
      <c r="A763" s="3"/>
      <c r="B763" s="2"/>
      <c r="C763" s="2"/>
      <c r="D763" s="474"/>
      <c r="E763" s="464"/>
      <c r="F763" s="2"/>
      <c r="G763" s="2"/>
      <c r="H763" s="2"/>
      <c r="I763" s="2"/>
      <c r="J763" s="2"/>
      <c r="K763" s="2"/>
      <c r="L763" s="2"/>
      <c r="M763" s="2"/>
      <c r="N763" s="2"/>
      <c r="O763" s="2"/>
      <c r="P763" s="2"/>
      <c r="Q763" s="2"/>
      <c r="S763" s="3"/>
      <c r="T763" s="3"/>
      <c r="U763" s="3"/>
      <c r="V763" s="3"/>
      <c r="W763" s="3"/>
      <c r="X763" s="3"/>
      <c r="Y763" s="3"/>
      <c r="Z763" s="3"/>
    </row>
    <row r="764" ht="15.75" customHeight="1">
      <c r="A764" s="3"/>
      <c r="B764" s="2"/>
      <c r="C764" s="2"/>
      <c r="D764" s="474"/>
      <c r="E764" s="464"/>
      <c r="F764" s="2"/>
      <c r="G764" s="2"/>
      <c r="H764" s="2"/>
      <c r="I764" s="2"/>
      <c r="J764" s="2"/>
      <c r="K764" s="2"/>
      <c r="L764" s="2"/>
      <c r="M764" s="2"/>
      <c r="N764" s="2"/>
      <c r="O764" s="2"/>
      <c r="P764" s="2"/>
      <c r="Q764" s="2"/>
      <c r="S764" s="3"/>
      <c r="T764" s="3"/>
      <c r="U764" s="3"/>
      <c r="V764" s="3"/>
      <c r="W764" s="3"/>
      <c r="X764" s="3"/>
      <c r="Y764" s="3"/>
      <c r="Z764" s="3"/>
    </row>
    <row r="765" ht="15.75" customHeight="1">
      <c r="A765" s="3"/>
      <c r="B765" s="2"/>
      <c r="C765" s="2"/>
      <c r="D765" s="474"/>
      <c r="E765" s="464"/>
      <c r="F765" s="2"/>
      <c r="G765" s="2"/>
      <c r="H765" s="2"/>
      <c r="I765" s="2"/>
      <c r="J765" s="2"/>
      <c r="K765" s="2"/>
      <c r="L765" s="2"/>
      <c r="M765" s="2"/>
      <c r="N765" s="2"/>
      <c r="O765" s="2"/>
      <c r="P765" s="2"/>
      <c r="Q765" s="2"/>
      <c r="S765" s="3"/>
      <c r="T765" s="3"/>
      <c r="U765" s="3"/>
      <c r="V765" s="3"/>
      <c r="W765" s="3"/>
      <c r="X765" s="3"/>
      <c r="Y765" s="3"/>
      <c r="Z765" s="3"/>
    </row>
    <row r="766" ht="15.75" customHeight="1">
      <c r="A766" s="3"/>
      <c r="B766" s="2"/>
      <c r="C766" s="2"/>
      <c r="D766" s="474"/>
      <c r="E766" s="464"/>
      <c r="F766" s="2"/>
      <c r="G766" s="2"/>
      <c r="H766" s="2"/>
      <c r="I766" s="2"/>
      <c r="J766" s="2"/>
      <c r="K766" s="2"/>
      <c r="L766" s="2"/>
      <c r="M766" s="2"/>
      <c r="N766" s="2"/>
      <c r="O766" s="2"/>
      <c r="P766" s="2"/>
      <c r="Q766" s="2"/>
      <c r="S766" s="3"/>
      <c r="T766" s="3"/>
      <c r="U766" s="3"/>
      <c r="V766" s="3"/>
      <c r="W766" s="3"/>
      <c r="X766" s="3"/>
      <c r="Y766" s="3"/>
      <c r="Z766" s="3"/>
    </row>
    <row r="767" ht="15.75" customHeight="1">
      <c r="A767" s="3"/>
      <c r="B767" s="2"/>
      <c r="C767" s="2"/>
      <c r="D767" s="474"/>
      <c r="E767" s="464"/>
      <c r="F767" s="2"/>
      <c r="G767" s="2"/>
      <c r="H767" s="2"/>
      <c r="I767" s="2"/>
      <c r="J767" s="2"/>
      <c r="K767" s="2"/>
      <c r="L767" s="2"/>
      <c r="M767" s="2"/>
      <c r="N767" s="2"/>
      <c r="O767" s="2"/>
      <c r="P767" s="2"/>
      <c r="Q767" s="2"/>
      <c r="S767" s="3"/>
      <c r="T767" s="3"/>
      <c r="U767" s="3"/>
      <c r="V767" s="3"/>
      <c r="W767" s="3"/>
      <c r="X767" s="3"/>
      <c r="Y767" s="3"/>
      <c r="Z767" s="3"/>
    </row>
    <row r="768" ht="15.75" customHeight="1">
      <c r="A768" s="3"/>
      <c r="B768" s="2"/>
      <c r="C768" s="2"/>
      <c r="D768" s="474"/>
      <c r="E768" s="464"/>
      <c r="F768" s="2"/>
      <c r="G768" s="2"/>
      <c r="H768" s="2"/>
      <c r="I768" s="2"/>
      <c r="J768" s="2"/>
      <c r="K768" s="2"/>
      <c r="L768" s="2"/>
      <c r="M768" s="2"/>
      <c r="N768" s="2"/>
      <c r="O768" s="2"/>
      <c r="P768" s="2"/>
      <c r="Q768" s="2"/>
      <c r="S768" s="3"/>
      <c r="T768" s="3"/>
      <c r="U768" s="3"/>
      <c r="V768" s="3"/>
      <c r="W768" s="3"/>
      <c r="X768" s="3"/>
      <c r="Y768" s="3"/>
      <c r="Z768" s="3"/>
    </row>
    <row r="769" ht="15.75" customHeight="1">
      <c r="A769" s="3"/>
      <c r="B769" s="2"/>
      <c r="C769" s="2"/>
      <c r="D769" s="474"/>
      <c r="E769" s="464"/>
      <c r="F769" s="2"/>
      <c r="G769" s="2"/>
      <c r="H769" s="2"/>
      <c r="I769" s="2"/>
      <c r="J769" s="2"/>
      <c r="K769" s="2"/>
      <c r="L769" s="2"/>
      <c r="M769" s="2"/>
      <c r="N769" s="2"/>
      <c r="O769" s="2"/>
      <c r="P769" s="2"/>
      <c r="Q769" s="2"/>
      <c r="S769" s="3"/>
      <c r="T769" s="3"/>
      <c r="U769" s="3"/>
      <c r="V769" s="3"/>
      <c r="W769" s="3"/>
      <c r="X769" s="3"/>
      <c r="Y769" s="3"/>
      <c r="Z769" s="3"/>
    </row>
    <row r="770" ht="15.75" customHeight="1">
      <c r="A770" s="3"/>
      <c r="B770" s="2"/>
      <c r="C770" s="2"/>
      <c r="D770" s="474"/>
      <c r="E770" s="464"/>
      <c r="F770" s="2"/>
      <c r="G770" s="2"/>
      <c r="H770" s="2"/>
      <c r="I770" s="2"/>
      <c r="J770" s="2"/>
      <c r="K770" s="2"/>
      <c r="L770" s="2"/>
      <c r="M770" s="2"/>
      <c r="N770" s="2"/>
      <c r="O770" s="2"/>
      <c r="P770" s="2"/>
      <c r="Q770" s="2"/>
      <c r="S770" s="3"/>
      <c r="T770" s="3"/>
      <c r="U770" s="3"/>
      <c r="V770" s="3"/>
      <c r="W770" s="3"/>
      <c r="X770" s="3"/>
      <c r="Y770" s="3"/>
      <c r="Z770" s="3"/>
    </row>
    <row r="771" ht="15.75" customHeight="1">
      <c r="A771" s="3"/>
      <c r="B771" s="2"/>
      <c r="C771" s="2"/>
      <c r="D771" s="474"/>
      <c r="E771" s="464"/>
      <c r="F771" s="2"/>
      <c r="G771" s="2"/>
      <c r="H771" s="2"/>
      <c r="I771" s="2"/>
      <c r="J771" s="2"/>
      <c r="K771" s="2"/>
      <c r="L771" s="2"/>
      <c r="M771" s="2"/>
      <c r="N771" s="2"/>
      <c r="O771" s="2"/>
      <c r="P771" s="2"/>
      <c r="Q771" s="2"/>
      <c r="S771" s="3"/>
      <c r="T771" s="3"/>
      <c r="U771" s="3"/>
      <c r="V771" s="3"/>
      <c r="W771" s="3"/>
      <c r="X771" s="3"/>
      <c r="Y771" s="3"/>
      <c r="Z771" s="3"/>
    </row>
    <row r="772" ht="15.75" customHeight="1">
      <c r="A772" s="3"/>
      <c r="B772" s="2"/>
      <c r="C772" s="2"/>
      <c r="D772" s="474"/>
      <c r="E772" s="464"/>
      <c r="F772" s="2"/>
      <c r="G772" s="2"/>
      <c r="H772" s="2"/>
      <c r="I772" s="2"/>
      <c r="J772" s="2"/>
      <c r="K772" s="2"/>
      <c r="L772" s="2"/>
      <c r="M772" s="2"/>
      <c r="N772" s="2"/>
      <c r="O772" s="2"/>
      <c r="P772" s="2"/>
      <c r="Q772" s="2"/>
      <c r="S772" s="3"/>
      <c r="T772" s="3"/>
      <c r="U772" s="3"/>
      <c r="V772" s="3"/>
      <c r="W772" s="3"/>
      <c r="X772" s="3"/>
      <c r="Y772" s="3"/>
      <c r="Z772" s="3"/>
    </row>
    <row r="773" ht="15.75" customHeight="1">
      <c r="A773" s="3"/>
      <c r="B773" s="2"/>
      <c r="C773" s="2"/>
      <c r="D773" s="474"/>
      <c r="E773" s="464"/>
      <c r="F773" s="2"/>
      <c r="G773" s="2"/>
      <c r="H773" s="2"/>
      <c r="I773" s="2"/>
      <c r="J773" s="2"/>
      <c r="K773" s="2"/>
      <c r="L773" s="2"/>
      <c r="M773" s="2"/>
      <c r="N773" s="2"/>
      <c r="O773" s="2"/>
      <c r="P773" s="2"/>
      <c r="Q773" s="2"/>
      <c r="S773" s="3"/>
      <c r="T773" s="3"/>
      <c r="U773" s="3"/>
      <c r="V773" s="3"/>
      <c r="W773" s="3"/>
      <c r="X773" s="3"/>
      <c r="Y773" s="3"/>
      <c r="Z773" s="3"/>
    </row>
    <row r="774" ht="15.75" customHeight="1">
      <c r="A774" s="3"/>
      <c r="B774" s="2"/>
      <c r="C774" s="2"/>
      <c r="D774" s="474"/>
      <c r="E774" s="464"/>
      <c r="F774" s="2"/>
      <c r="G774" s="2"/>
      <c r="H774" s="2"/>
      <c r="I774" s="2"/>
      <c r="J774" s="2"/>
      <c r="K774" s="2"/>
      <c r="L774" s="2"/>
      <c r="M774" s="2"/>
      <c r="N774" s="2"/>
      <c r="O774" s="2"/>
      <c r="P774" s="2"/>
      <c r="Q774" s="2"/>
      <c r="S774" s="3"/>
      <c r="T774" s="3"/>
      <c r="U774" s="3"/>
      <c r="V774" s="3"/>
      <c r="W774" s="3"/>
      <c r="X774" s="3"/>
      <c r="Y774" s="3"/>
      <c r="Z774" s="3"/>
    </row>
    <row r="775" ht="15.75" customHeight="1">
      <c r="A775" s="3"/>
      <c r="B775" s="2"/>
      <c r="C775" s="2"/>
      <c r="D775" s="474"/>
      <c r="E775" s="464"/>
      <c r="F775" s="2"/>
      <c r="G775" s="2"/>
      <c r="H775" s="2"/>
      <c r="I775" s="2"/>
      <c r="J775" s="2"/>
      <c r="K775" s="2"/>
      <c r="L775" s="2"/>
      <c r="M775" s="2"/>
      <c r="N775" s="2"/>
      <c r="O775" s="2"/>
      <c r="P775" s="2"/>
      <c r="Q775" s="2"/>
      <c r="S775" s="3"/>
      <c r="T775" s="3"/>
      <c r="U775" s="3"/>
      <c r="V775" s="3"/>
      <c r="W775" s="3"/>
      <c r="X775" s="3"/>
      <c r="Y775" s="3"/>
      <c r="Z775" s="3"/>
    </row>
    <row r="776" ht="15.75" customHeight="1">
      <c r="A776" s="3"/>
      <c r="B776" s="2"/>
      <c r="C776" s="2"/>
      <c r="D776" s="474"/>
      <c r="E776" s="464"/>
      <c r="F776" s="2"/>
      <c r="G776" s="2"/>
      <c r="H776" s="2"/>
      <c r="I776" s="2"/>
      <c r="J776" s="2"/>
      <c r="K776" s="2"/>
      <c r="L776" s="2"/>
      <c r="M776" s="2"/>
      <c r="N776" s="2"/>
      <c r="O776" s="2"/>
      <c r="P776" s="2"/>
      <c r="Q776" s="2"/>
      <c r="S776" s="3"/>
      <c r="T776" s="3"/>
      <c r="U776" s="3"/>
      <c r="V776" s="3"/>
      <c r="W776" s="3"/>
      <c r="X776" s="3"/>
      <c r="Y776" s="3"/>
      <c r="Z776" s="3"/>
    </row>
    <row r="777" ht="15.75" customHeight="1">
      <c r="A777" s="3"/>
      <c r="B777" s="2"/>
      <c r="C777" s="2"/>
      <c r="D777" s="474"/>
      <c r="E777" s="464"/>
      <c r="F777" s="2"/>
      <c r="G777" s="2"/>
      <c r="H777" s="2"/>
      <c r="I777" s="2"/>
      <c r="J777" s="2"/>
      <c r="K777" s="2"/>
      <c r="L777" s="2"/>
      <c r="M777" s="2"/>
      <c r="N777" s="2"/>
      <c r="O777" s="2"/>
      <c r="P777" s="2"/>
      <c r="Q777" s="2"/>
      <c r="S777" s="3"/>
      <c r="T777" s="3"/>
      <c r="U777" s="3"/>
      <c r="V777" s="3"/>
      <c r="W777" s="3"/>
      <c r="X777" s="3"/>
      <c r="Y777" s="3"/>
      <c r="Z777" s="3"/>
    </row>
    <row r="778" ht="15.75" customHeight="1">
      <c r="A778" s="3"/>
      <c r="B778" s="2"/>
      <c r="C778" s="2"/>
      <c r="D778" s="474"/>
      <c r="E778" s="464"/>
      <c r="F778" s="2"/>
      <c r="G778" s="2"/>
      <c r="H778" s="2"/>
      <c r="I778" s="2"/>
      <c r="J778" s="2"/>
      <c r="K778" s="2"/>
      <c r="L778" s="2"/>
      <c r="M778" s="2"/>
      <c r="N778" s="2"/>
      <c r="O778" s="2"/>
      <c r="P778" s="2"/>
      <c r="Q778" s="2"/>
      <c r="S778" s="3"/>
      <c r="T778" s="3"/>
      <c r="U778" s="3"/>
      <c r="V778" s="3"/>
      <c r="W778" s="3"/>
      <c r="X778" s="3"/>
      <c r="Y778" s="3"/>
      <c r="Z778" s="3"/>
    </row>
    <row r="779" ht="15.75" customHeight="1">
      <c r="A779" s="3"/>
      <c r="B779" s="2"/>
      <c r="C779" s="2"/>
      <c r="D779" s="474"/>
      <c r="E779" s="464"/>
      <c r="F779" s="2"/>
      <c r="G779" s="2"/>
      <c r="H779" s="2"/>
      <c r="I779" s="2"/>
      <c r="J779" s="2"/>
      <c r="K779" s="2"/>
      <c r="L779" s="2"/>
      <c r="M779" s="2"/>
      <c r="N779" s="2"/>
      <c r="O779" s="2"/>
      <c r="P779" s="2"/>
      <c r="Q779" s="2"/>
      <c r="S779" s="3"/>
      <c r="T779" s="3"/>
      <c r="U779" s="3"/>
      <c r="V779" s="3"/>
      <c r="W779" s="3"/>
      <c r="X779" s="3"/>
      <c r="Y779" s="3"/>
      <c r="Z779" s="3"/>
    </row>
    <row r="780" ht="15.75" customHeight="1">
      <c r="A780" s="3"/>
      <c r="B780" s="2"/>
      <c r="C780" s="2"/>
      <c r="D780" s="474"/>
      <c r="E780" s="464"/>
      <c r="F780" s="2"/>
      <c r="G780" s="2"/>
      <c r="H780" s="2"/>
      <c r="I780" s="2"/>
      <c r="J780" s="2"/>
      <c r="K780" s="2"/>
      <c r="L780" s="2"/>
      <c r="M780" s="2"/>
      <c r="N780" s="2"/>
      <c r="O780" s="2"/>
      <c r="P780" s="2"/>
      <c r="Q780" s="2"/>
      <c r="S780" s="3"/>
      <c r="T780" s="3"/>
      <c r="U780" s="3"/>
      <c r="V780" s="3"/>
      <c r="W780" s="3"/>
      <c r="X780" s="3"/>
      <c r="Y780" s="3"/>
      <c r="Z780" s="3"/>
    </row>
    <row r="781" ht="15.75" customHeight="1">
      <c r="A781" s="3"/>
      <c r="B781" s="2"/>
      <c r="C781" s="2"/>
      <c r="D781" s="474"/>
      <c r="E781" s="464"/>
      <c r="F781" s="2"/>
      <c r="G781" s="2"/>
      <c r="H781" s="2"/>
      <c r="I781" s="2"/>
      <c r="J781" s="2"/>
      <c r="K781" s="2"/>
      <c r="L781" s="2"/>
      <c r="M781" s="2"/>
      <c r="N781" s="2"/>
      <c r="O781" s="2"/>
      <c r="P781" s="2"/>
      <c r="Q781" s="2"/>
      <c r="S781" s="3"/>
      <c r="T781" s="3"/>
      <c r="U781" s="3"/>
      <c r="V781" s="3"/>
      <c r="W781" s="3"/>
      <c r="X781" s="3"/>
      <c r="Y781" s="3"/>
      <c r="Z781" s="3"/>
    </row>
    <row r="782" ht="15.75" customHeight="1">
      <c r="A782" s="3"/>
      <c r="B782" s="2"/>
      <c r="C782" s="2"/>
      <c r="D782" s="474"/>
      <c r="E782" s="464"/>
      <c r="F782" s="2"/>
      <c r="G782" s="2"/>
      <c r="H782" s="2"/>
      <c r="I782" s="2"/>
      <c r="J782" s="2"/>
      <c r="K782" s="2"/>
      <c r="L782" s="2"/>
      <c r="M782" s="2"/>
      <c r="N782" s="2"/>
      <c r="O782" s="2"/>
      <c r="P782" s="2"/>
      <c r="Q782" s="2"/>
      <c r="S782" s="3"/>
      <c r="T782" s="3"/>
      <c r="U782" s="3"/>
      <c r="V782" s="3"/>
      <c r="W782" s="3"/>
      <c r="X782" s="3"/>
      <c r="Y782" s="3"/>
      <c r="Z782" s="3"/>
    </row>
    <row r="783" ht="15.75" customHeight="1">
      <c r="A783" s="3"/>
      <c r="B783" s="2"/>
      <c r="C783" s="2"/>
      <c r="D783" s="474"/>
      <c r="E783" s="464"/>
      <c r="F783" s="2"/>
      <c r="G783" s="2"/>
      <c r="H783" s="2"/>
      <c r="I783" s="2"/>
      <c r="J783" s="2"/>
      <c r="K783" s="2"/>
      <c r="L783" s="2"/>
      <c r="M783" s="2"/>
      <c r="N783" s="2"/>
      <c r="O783" s="2"/>
      <c r="P783" s="2"/>
      <c r="Q783" s="2"/>
      <c r="S783" s="3"/>
      <c r="T783" s="3"/>
      <c r="U783" s="3"/>
      <c r="V783" s="3"/>
      <c r="W783" s="3"/>
      <c r="X783" s="3"/>
      <c r="Y783" s="3"/>
      <c r="Z783" s="3"/>
    </row>
    <row r="784" ht="15.75" customHeight="1">
      <c r="A784" s="3"/>
      <c r="B784" s="2"/>
      <c r="C784" s="2"/>
      <c r="D784" s="474"/>
      <c r="E784" s="464"/>
      <c r="F784" s="2"/>
      <c r="G784" s="2"/>
      <c r="H784" s="2"/>
      <c r="I784" s="2"/>
      <c r="J784" s="2"/>
      <c r="K784" s="2"/>
      <c r="L784" s="2"/>
      <c r="M784" s="2"/>
      <c r="N784" s="2"/>
      <c r="O784" s="2"/>
      <c r="P784" s="2"/>
      <c r="Q784" s="2"/>
      <c r="S784" s="3"/>
      <c r="T784" s="3"/>
      <c r="U784" s="3"/>
      <c r="V784" s="3"/>
      <c r="W784" s="3"/>
      <c r="X784" s="3"/>
      <c r="Y784" s="3"/>
      <c r="Z784" s="3"/>
    </row>
    <row r="785" ht="15.75" customHeight="1">
      <c r="A785" s="3"/>
      <c r="B785" s="2"/>
      <c r="C785" s="2"/>
      <c r="D785" s="474"/>
      <c r="E785" s="464"/>
      <c r="F785" s="2"/>
      <c r="G785" s="2"/>
      <c r="H785" s="2"/>
      <c r="I785" s="2"/>
      <c r="J785" s="2"/>
      <c r="K785" s="2"/>
      <c r="L785" s="2"/>
      <c r="M785" s="2"/>
      <c r="N785" s="2"/>
      <c r="O785" s="2"/>
      <c r="P785" s="2"/>
      <c r="Q785" s="2"/>
      <c r="S785" s="3"/>
      <c r="T785" s="3"/>
      <c r="U785" s="3"/>
      <c r="V785" s="3"/>
      <c r="W785" s="3"/>
      <c r="X785" s="3"/>
      <c r="Y785" s="3"/>
      <c r="Z785" s="3"/>
    </row>
    <row r="786" ht="15.75" customHeight="1">
      <c r="A786" s="3"/>
      <c r="B786" s="2"/>
      <c r="C786" s="2"/>
      <c r="D786" s="474"/>
      <c r="E786" s="464"/>
      <c r="F786" s="2"/>
      <c r="G786" s="2"/>
      <c r="H786" s="2"/>
      <c r="I786" s="2"/>
      <c r="J786" s="2"/>
      <c r="K786" s="2"/>
      <c r="L786" s="2"/>
      <c r="M786" s="2"/>
      <c r="N786" s="2"/>
      <c r="O786" s="2"/>
      <c r="P786" s="2"/>
      <c r="Q786" s="2"/>
      <c r="S786" s="3"/>
      <c r="T786" s="3"/>
      <c r="U786" s="3"/>
      <c r="V786" s="3"/>
      <c r="W786" s="3"/>
      <c r="X786" s="3"/>
      <c r="Y786" s="3"/>
      <c r="Z786" s="3"/>
    </row>
    <row r="787" ht="15.75" customHeight="1">
      <c r="A787" s="3"/>
      <c r="B787" s="2"/>
      <c r="C787" s="2"/>
      <c r="D787" s="474"/>
      <c r="E787" s="464"/>
      <c r="F787" s="2"/>
      <c r="G787" s="2"/>
      <c r="H787" s="2"/>
      <c r="I787" s="2"/>
      <c r="J787" s="2"/>
      <c r="K787" s="2"/>
      <c r="L787" s="2"/>
      <c r="M787" s="2"/>
      <c r="N787" s="2"/>
      <c r="O787" s="2"/>
      <c r="P787" s="2"/>
      <c r="Q787" s="2"/>
      <c r="S787" s="3"/>
      <c r="T787" s="3"/>
      <c r="U787" s="3"/>
      <c r="V787" s="3"/>
      <c r="W787" s="3"/>
      <c r="X787" s="3"/>
      <c r="Y787" s="3"/>
      <c r="Z787" s="3"/>
    </row>
    <row r="788" ht="15.75" customHeight="1">
      <c r="A788" s="3"/>
      <c r="B788" s="2"/>
      <c r="C788" s="2"/>
      <c r="D788" s="474"/>
      <c r="E788" s="464"/>
      <c r="F788" s="2"/>
      <c r="G788" s="2"/>
      <c r="H788" s="2"/>
      <c r="I788" s="2"/>
      <c r="J788" s="2"/>
      <c r="K788" s="2"/>
      <c r="L788" s="2"/>
      <c r="M788" s="2"/>
      <c r="N788" s="2"/>
      <c r="O788" s="2"/>
      <c r="P788" s="2"/>
      <c r="Q788" s="2"/>
      <c r="S788" s="3"/>
      <c r="T788" s="3"/>
      <c r="U788" s="3"/>
      <c r="V788" s="3"/>
      <c r="W788" s="3"/>
      <c r="X788" s="3"/>
      <c r="Y788" s="3"/>
      <c r="Z788" s="3"/>
    </row>
    <row r="789" ht="15.75" customHeight="1">
      <c r="A789" s="3"/>
      <c r="B789" s="2"/>
      <c r="C789" s="2"/>
      <c r="D789" s="474"/>
      <c r="E789" s="464"/>
      <c r="F789" s="2"/>
      <c r="G789" s="2"/>
      <c r="H789" s="2"/>
      <c r="I789" s="2"/>
      <c r="J789" s="2"/>
      <c r="K789" s="2"/>
      <c r="L789" s="2"/>
      <c r="M789" s="2"/>
      <c r="N789" s="2"/>
      <c r="O789" s="2"/>
      <c r="P789" s="2"/>
      <c r="Q789" s="2"/>
      <c r="S789" s="3"/>
      <c r="T789" s="3"/>
      <c r="U789" s="3"/>
      <c r="V789" s="3"/>
      <c r="W789" s="3"/>
      <c r="X789" s="3"/>
      <c r="Y789" s="3"/>
      <c r="Z789" s="3"/>
    </row>
    <row r="790" ht="15.75" customHeight="1">
      <c r="A790" s="3"/>
      <c r="B790" s="2"/>
      <c r="C790" s="2"/>
      <c r="D790" s="474"/>
      <c r="E790" s="464"/>
      <c r="F790" s="2"/>
      <c r="G790" s="2"/>
      <c r="H790" s="2"/>
      <c r="I790" s="2"/>
      <c r="J790" s="2"/>
      <c r="K790" s="2"/>
      <c r="L790" s="2"/>
      <c r="M790" s="2"/>
      <c r="N790" s="2"/>
      <c r="O790" s="2"/>
      <c r="P790" s="2"/>
      <c r="Q790" s="2"/>
      <c r="S790" s="3"/>
      <c r="T790" s="3"/>
      <c r="U790" s="3"/>
      <c r="V790" s="3"/>
      <c r="W790" s="3"/>
      <c r="X790" s="3"/>
      <c r="Y790" s="3"/>
      <c r="Z790" s="3"/>
    </row>
    <row r="791" ht="15.75" customHeight="1">
      <c r="A791" s="3"/>
      <c r="B791" s="2"/>
      <c r="C791" s="2"/>
      <c r="D791" s="474"/>
      <c r="E791" s="464"/>
      <c r="F791" s="2"/>
      <c r="G791" s="2"/>
      <c r="H791" s="2"/>
      <c r="I791" s="2"/>
      <c r="J791" s="2"/>
      <c r="K791" s="2"/>
      <c r="L791" s="2"/>
      <c r="M791" s="2"/>
      <c r="N791" s="2"/>
      <c r="O791" s="2"/>
      <c r="P791" s="2"/>
      <c r="Q791" s="2"/>
      <c r="S791" s="3"/>
      <c r="T791" s="3"/>
      <c r="U791" s="3"/>
      <c r="V791" s="3"/>
      <c r="W791" s="3"/>
      <c r="X791" s="3"/>
      <c r="Y791" s="3"/>
      <c r="Z791" s="3"/>
    </row>
    <row r="792" ht="15.75" customHeight="1">
      <c r="A792" s="3"/>
      <c r="B792" s="2"/>
      <c r="C792" s="2"/>
      <c r="D792" s="474"/>
      <c r="E792" s="464"/>
      <c r="F792" s="2"/>
      <c r="G792" s="2"/>
      <c r="H792" s="2"/>
      <c r="I792" s="2"/>
      <c r="J792" s="2"/>
      <c r="K792" s="2"/>
      <c r="L792" s="2"/>
      <c r="M792" s="2"/>
      <c r="N792" s="2"/>
      <c r="O792" s="2"/>
      <c r="P792" s="2"/>
      <c r="Q792" s="2"/>
      <c r="S792" s="3"/>
      <c r="T792" s="3"/>
      <c r="U792" s="3"/>
      <c r="V792" s="3"/>
      <c r="W792" s="3"/>
      <c r="X792" s="3"/>
      <c r="Y792" s="3"/>
      <c r="Z792" s="3"/>
    </row>
    <row r="793" ht="15.75" customHeight="1">
      <c r="A793" s="3"/>
      <c r="B793" s="2"/>
      <c r="C793" s="2"/>
      <c r="D793" s="474"/>
      <c r="E793" s="464"/>
      <c r="F793" s="2"/>
      <c r="G793" s="2"/>
      <c r="H793" s="2"/>
      <c r="I793" s="2"/>
      <c r="J793" s="2"/>
      <c r="K793" s="2"/>
      <c r="L793" s="2"/>
      <c r="M793" s="2"/>
      <c r="N793" s="2"/>
      <c r="O793" s="2"/>
      <c r="P793" s="2"/>
      <c r="Q793" s="2"/>
      <c r="S793" s="3"/>
      <c r="T793" s="3"/>
      <c r="U793" s="3"/>
      <c r="V793" s="3"/>
      <c r="W793" s="3"/>
      <c r="X793" s="3"/>
      <c r="Y793" s="3"/>
      <c r="Z793" s="3"/>
    </row>
    <row r="794" ht="15.75" customHeight="1">
      <c r="A794" s="3"/>
      <c r="B794" s="2"/>
      <c r="C794" s="2"/>
      <c r="D794" s="474"/>
      <c r="E794" s="464"/>
      <c r="F794" s="2"/>
      <c r="G794" s="2"/>
      <c r="H794" s="2"/>
      <c r="I794" s="2"/>
      <c r="J794" s="2"/>
      <c r="K794" s="2"/>
      <c r="L794" s="2"/>
      <c r="M794" s="2"/>
      <c r="N794" s="2"/>
      <c r="O794" s="2"/>
      <c r="P794" s="2"/>
      <c r="Q794" s="2"/>
      <c r="S794" s="3"/>
      <c r="T794" s="3"/>
      <c r="U794" s="3"/>
      <c r="V794" s="3"/>
      <c r="W794" s="3"/>
      <c r="X794" s="3"/>
      <c r="Y794" s="3"/>
      <c r="Z794" s="3"/>
    </row>
    <row r="795" ht="15.75" customHeight="1">
      <c r="A795" s="3"/>
      <c r="B795" s="2"/>
      <c r="C795" s="2"/>
      <c r="D795" s="474"/>
      <c r="E795" s="464"/>
      <c r="F795" s="2"/>
      <c r="G795" s="2"/>
      <c r="H795" s="2"/>
      <c r="I795" s="2"/>
      <c r="J795" s="2"/>
      <c r="K795" s="2"/>
      <c r="L795" s="2"/>
      <c r="M795" s="2"/>
      <c r="N795" s="2"/>
      <c r="O795" s="2"/>
      <c r="P795" s="2"/>
      <c r="Q795" s="2"/>
      <c r="S795" s="3"/>
      <c r="T795" s="3"/>
      <c r="U795" s="3"/>
      <c r="V795" s="3"/>
      <c r="W795" s="3"/>
      <c r="X795" s="3"/>
      <c r="Y795" s="3"/>
      <c r="Z795" s="3"/>
    </row>
    <row r="796" ht="15.75" customHeight="1">
      <c r="A796" s="3"/>
      <c r="B796" s="2"/>
      <c r="C796" s="2"/>
      <c r="D796" s="474"/>
      <c r="E796" s="464"/>
      <c r="F796" s="2"/>
      <c r="G796" s="2"/>
      <c r="H796" s="2"/>
      <c r="I796" s="2"/>
      <c r="J796" s="2"/>
      <c r="K796" s="2"/>
      <c r="L796" s="2"/>
      <c r="M796" s="2"/>
      <c r="N796" s="2"/>
      <c r="O796" s="2"/>
      <c r="P796" s="2"/>
      <c r="Q796" s="2"/>
      <c r="S796" s="3"/>
      <c r="T796" s="3"/>
      <c r="U796" s="3"/>
      <c r="V796" s="3"/>
      <c r="W796" s="3"/>
      <c r="X796" s="3"/>
      <c r="Y796" s="3"/>
      <c r="Z796" s="3"/>
    </row>
    <row r="797" ht="15.75" customHeight="1">
      <c r="A797" s="3"/>
      <c r="B797" s="2"/>
      <c r="C797" s="2"/>
      <c r="D797" s="474"/>
      <c r="E797" s="464"/>
      <c r="F797" s="2"/>
      <c r="G797" s="2"/>
      <c r="H797" s="2"/>
      <c r="I797" s="2"/>
      <c r="J797" s="2"/>
      <c r="K797" s="2"/>
      <c r="L797" s="2"/>
      <c r="M797" s="2"/>
      <c r="N797" s="2"/>
      <c r="O797" s="2"/>
      <c r="P797" s="2"/>
      <c r="Q797" s="2"/>
      <c r="S797" s="3"/>
      <c r="T797" s="3"/>
      <c r="U797" s="3"/>
      <c r="V797" s="3"/>
      <c r="W797" s="3"/>
      <c r="X797" s="3"/>
      <c r="Y797" s="3"/>
      <c r="Z797" s="3"/>
    </row>
    <row r="798" ht="15.75" customHeight="1">
      <c r="A798" s="3"/>
      <c r="B798" s="2"/>
      <c r="C798" s="2"/>
      <c r="D798" s="474"/>
      <c r="E798" s="464"/>
      <c r="F798" s="2"/>
      <c r="G798" s="2"/>
      <c r="H798" s="2"/>
      <c r="I798" s="2"/>
      <c r="J798" s="2"/>
      <c r="K798" s="2"/>
      <c r="L798" s="2"/>
      <c r="M798" s="2"/>
      <c r="N798" s="2"/>
      <c r="O798" s="2"/>
      <c r="P798" s="2"/>
      <c r="Q798" s="2"/>
      <c r="S798" s="3"/>
      <c r="T798" s="3"/>
      <c r="U798" s="3"/>
      <c r="V798" s="3"/>
      <c r="W798" s="3"/>
      <c r="X798" s="3"/>
      <c r="Y798" s="3"/>
      <c r="Z798" s="3"/>
    </row>
    <row r="799" ht="15.75" customHeight="1">
      <c r="A799" s="3"/>
      <c r="B799" s="2"/>
      <c r="C799" s="2"/>
      <c r="D799" s="474"/>
      <c r="E799" s="464"/>
      <c r="F799" s="2"/>
      <c r="G799" s="2"/>
      <c r="H799" s="2"/>
      <c r="I799" s="2"/>
      <c r="J799" s="2"/>
      <c r="K799" s="2"/>
      <c r="L799" s="2"/>
      <c r="M799" s="2"/>
      <c r="N799" s="2"/>
      <c r="O799" s="2"/>
      <c r="P799" s="2"/>
      <c r="Q799" s="2"/>
      <c r="S799" s="3"/>
      <c r="T799" s="3"/>
      <c r="U799" s="3"/>
      <c r="V799" s="3"/>
      <c r="W799" s="3"/>
      <c r="X799" s="3"/>
      <c r="Y799" s="3"/>
      <c r="Z799" s="3"/>
    </row>
    <row r="800" ht="15.75" customHeight="1">
      <c r="A800" s="3"/>
      <c r="B800" s="2"/>
      <c r="C800" s="2"/>
      <c r="D800" s="474"/>
      <c r="E800" s="464"/>
      <c r="F800" s="2"/>
      <c r="G800" s="2"/>
      <c r="H800" s="2"/>
      <c r="I800" s="2"/>
      <c r="J800" s="2"/>
      <c r="K800" s="2"/>
      <c r="L800" s="2"/>
      <c r="M800" s="2"/>
      <c r="N800" s="2"/>
      <c r="O800" s="2"/>
      <c r="P800" s="2"/>
      <c r="Q800" s="2"/>
      <c r="S800" s="3"/>
      <c r="T800" s="3"/>
      <c r="U800" s="3"/>
      <c r="V800" s="3"/>
      <c r="W800" s="3"/>
      <c r="X800" s="3"/>
      <c r="Y800" s="3"/>
      <c r="Z800" s="3"/>
    </row>
    <row r="801" ht="15.75" customHeight="1">
      <c r="A801" s="3"/>
      <c r="B801" s="2"/>
      <c r="C801" s="2"/>
      <c r="D801" s="474"/>
      <c r="E801" s="464"/>
      <c r="F801" s="2"/>
      <c r="G801" s="2"/>
      <c r="H801" s="2"/>
      <c r="I801" s="2"/>
      <c r="J801" s="2"/>
      <c r="K801" s="2"/>
      <c r="L801" s="2"/>
      <c r="M801" s="2"/>
      <c r="N801" s="2"/>
      <c r="O801" s="2"/>
      <c r="P801" s="2"/>
      <c r="Q801" s="2"/>
      <c r="S801" s="3"/>
      <c r="T801" s="3"/>
      <c r="U801" s="3"/>
      <c r="V801" s="3"/>
      <c r="W801" s="3"/>
      <c r="X801" s="3"/>
      <c r="Y801" s="3"/>
      <c r="Z801" s="3"/>
    </row>
    <row r="802" ht="15.75" customHeight="1">
      <c r="A802" s="3"/>
      <c r="B802" s="2"/>
      <c r="C802" s="2"/>
      <c r="D802" s="474"/>
      <c r="E802" s="464"/>
      <c r="F802" s="2"/>
      <c r="G802" s="2"/>
      <c r="H802" s="2"/>
      <c r="I802" s="2"/>
      <c r="J802" s="2"/>
      <c r="K802" s="2"/>
      <c r="L802" s="2"/>
      <c r="M802" s="2"/>
      <c r="N802" s="2"/>
      <c r="O802" s="2"/>
      <c r="P802" s="2"/>
      <c r="Q802" s="2"/>
      <c r="S802" s="3"/>
      <c r="T802" s="3"/>
      <c r="U802" s="3"/>
      <c r="V802" s="3"/>
      <c r="W802" s="3"/>
      <c r="X802" s="3"/>
      <c r="Y802" s="3"/>
      <c r="Z802" s="3"/>
    </row>
    <row r="803" ht="15.75" customHeight="1">
      <c r="A803" s="3"/>
      <c r="B803" s="2"/>
      <c r="C803" s="2"/>
      <c r="D803" s="474"/>
      <c r="E803" s="464"/>
      <c r="F803" s="2"/>
      <c r="G803" s="2"/>
      <c r="H803" s="2"/>
      <c r="I803" s="2"/>
      <c r="J803" s="2"/>
      <c r="K803" s="2"/>
      <c r="L803" s="2"/>
      <c r="M803" s="2"/>
      <c r="N803" s="2"/>
      <c r="O803" s="2"/>
      <c r="P803" s="2"/>
      <c r="Q803" s="2"/>
      <c r="S803" s="3"/>
      <c r="T803" s="3"/>
      <c r="U803" s="3"/>
      <c r="V803" s="3"/>
      <c r="W803" s="3"/>
      <c r="X803" s="3"/>
      <c r="Y803" s="3"/>
      <c r="Z803" s="3"/>
    </row>
    <row r="804" ht="15.75" customHeight="1">
      <c r="A804" s="3"/>
      <c r="B804" s="2"/>
      <c r="C804" s="2"/>
      <c r="D804" s="474"/>
      <c r="E804" s="464"/>
      <c r="F804" s="2"/>
      <c r="G804" s="2"/>
      <c r="H804" s="2"/>
      <c r="I804" s="2"/>
      <c r="J804" s="2"/>
      <c r="K804" s="2"/>
      <c r="L804" s="2"/>
      <c r="M804" s="2"/>
      <c r="N804" s="2"/>
      <c r="O804" s="2"/>
      <c r="P804" s="2"/>
      <c r="Q804" s="2"/>
      <c r="S804" s="3"/>
      <c r="T804" s="3"/>
      <c r="U804" s="3"/>
      <c r="V804" s="3"/>
      <c r="W804" s="3"/>
      <c r="X804" s="3"/>
      <c r="Y804" s="3"/>
      <c r="Z804" s="3"/>
    </row>
    <row r="805" ht="15.75" customHeight="1">
      <c r="A805" s="3"/>
      <c r="B805" s="2"/>
      <c r="C805" s="2"/>
      <c r="D805" s="474"/>
      <c r="E805" s="464"/>
      <c r="F805" s="2"/>
      <c r="G805" s="2"/>
      <c r="H805" s="2"/>
      <c r="I805" s="2"/>
      <c r="J805" s="2"/>
      <c r="K805" s="2"/>
      <c r="L805" s="2"/>
      <c r="M805" s="2"/>
      <c r="N805" s="2"/>
      <c r="O805" s="2"/>
      <c r="P805" s="2"/>
      <c r="Q805" s="2"/>
      <c r="S805" s="3"/>
      <c r="T805" s="3"/>
      <c r="U805" s="3"/>
      <c r="V805" s="3"/>
      <c r="W805" s="3"/>
      <c r="X805" s="3"/>
      <c r="Y805" s="3"/>
      <c r="Z805" s="3"/>
    </row>
    <row r="806" ht="15.75" customHeight="1">
      <c r="A806" s="3"/>
      <c r="B806" s="2"/>
      <c r="C806" s="2"/>
      <c r="D806" s="474"/>
      <c r="E806" s="464"/>
      <c r="F806" s="2"/>
      <c r="G806" s="2"/>
      <c r="H806" s="2"/>
      <c r="I806" s="2"/>
      <c r="J806" s="2"/>
      <c r="K806" s="2"/>
      <c r="L806" s="2"/>
      <c r="M806" s="2"/>
      <c r="N806" s="2"/>
      <c r="O806" s="2"/>
      <c r="P806" s="2"/>
      <c r="Q806" s="2"/>
      <c r="S806" s="3"/>
      <c r="T806" s="3"/>
      <c r="U806" s="3"/>
      <c r="V806" s="3"/>
      <c r="W806" s="3"/>
      <c r="X806" s="3"/>
      <c r="Y806" s="3"/>
      <c r="Z806" s="3"/>
    </row>
    <row r="807" ht="15.75" customHeight="1">
      <c r="A807" s="3"/>
      <c r="B807" s="2"/>
      <c r="C807" s="2"/>
      <c r="D807" s="474"/>
      <c r="E807" s="464"/>
      <c r="F807" s="2"/>
      <c r="G807" s="2"/>
      <c r="H807" s="2"/>
      <c r="I807" s="2"/>
      <c r="J807" s="2"/>
      <c r="K807" s="2"/>
      <c r="L807" s="2"/>
      <c r="M807" s="2"/>
      <c r="N807" s="2"/>
      <c r="O807" s="2"/>
      <c r="P807" s="2"/>
      <c r="Q807" s="2"/>
      <c r="S807" s="3"/>
      <c r="T807" s="3"/>
      <c r="U807" s="3"/>
      <c r="V807" s="3"/>
      <c r="W807" s="3"/>
      <c r="X807" s="3"/>
      <c r="Y807" s="3"/>
      <c r="Z807" s="3"/>
    </row>
    <row r="808" ht="15.75" customHeight="1">
      <c r="A808" s="3"/>
      <c r="B808" s="2"/>
      <c r="C808" s="2"/>
      <c r="D808" s="474"/>
      <c r="E808" s="464"/>
      <c r="F808" s="2"/>
      <c r="G808" s="2"/>
      <c r="H808" s="2"/>
      <c r="I808" s="2"/>
      <c r="J808" s="2"/>
      <c r="K808" s="2"/>
      <c r="L808" s="2"/>
      <c r="M808" s="2"/>
      <c r="N808" s="2"/>
      <c r="O808" s="2"/>
      <c r="P808" s="2"/>
      <c r="Q808" s="2"/>
      <c r="S808" s="3"/>
      <c r="T808" s="3"/>
      <c r="U808" s="3"/>
      <c r="V808" s="3"/>
      <c r="W808" s="3"/>
      <c r="X808" s="3"/>
      <c r="Y808" s="3"/>
      <c r="Z808" s="3"/>
    </row>
    <row r="809" ht="15.75" customHeight="1">
      <c r="A809" s="3"/>
      <c r="B809" s="2"/>
      <c r="C809" s="2"/>
      <c r="D809" s="474"/>
      <c r="E809" s="464"/>
      <c r="F809" s="2"/>
      <c r="G809" s="2"/>
      <c r="H809" s="2"/>
      <c r="I809" s="2"/>
      <c r="J809" s="2"/>
      <c r="K809" s="2"/>
      <c r="L809" s="2"/>
      <c r="M809" s="2"/>
      <c r="N809" s="2"/>
      <c r="O809" s="2"/>
      <c r="P809" s="2"/>
      <c r="Q809" s="2"/>
      <c r="S809" s="3"/>
      <c r="T809" s="3"/>
      <c r="U809" s="3"/>
      <c r="V809" s="3"/>
      <c r="W809" s="3"/>
      <c r="X809" s="3"/>
      <c r="Y809" s="3"/>
      <c r="Z809" s="3"/>
    </row>
    <row r="810" ht="15.75" customHeight="1">
      <c r="A810" s="3"/>
      <c r="B810" s="2"/>
      <c r="C810" s="2"/>
      <c r="D810" s="474"/>
      <c r="E810" s="464"/>
      <c r="F810" s="2"/>
      <c r="G810" s="2"/>
      <c r="H810" s="2"/>
      <c r="I810" s="2"/>
      <c r="J810" s="2"/>
      <c r="K810" s="2"/>
      <c r="L810" s="2"/>
      <c r="M810" s="2"/>
      <c r="N810" s="2"/>
      <c r="O810" s="2"/>
      <c r="P810" s="2"/>
      <c r="Q810" s="2"/>
      <c r="S810" s="3"/>
      <c r="T810" s="3"/>
      <c r="U810" s="3"/>
      <c r="V810" s="3"/>
      <c r="W810" s="3"/>
      <c r="X810" s="3"/>
      <c r="Y810" s="3"/>
      <c r="Z810" s="3"/>
    </row>
    <row r="811" ht="15.75" customHeight="1">
      <c r="A811" s="3"/>
      <c r="B811" s="2"/>
      <c r="C811" s="2"/>
      <c r="D811" s="474"/>
      <c r="E811" s="464"/>
      <c r="F811" s="2"/>
      <c r="G811" s="2"/>
      <c r="H811" s="2"/>
      <c r="I811" s="2"/>
      <c r="J811" s="2"/>
      <c r="K811" s="2"/>
      <c r="L811" s="2"/>
      <c r="M811" s="2"/>
      <c r="N811" s="2"/>
      <c r="O811" s="2"/>
      <c r="P811" s="2"/>
      <c r="Q811" s="2"/>
      <c r="S811" s="3"/>
      <c r="T811" s="3"/>
      <c r="U811" s="3"/>
      <c r="V811" s="3"/>
      <c r="W811" s="3"/>
      <c r="X811" s="3"/>
      <c r="Y811" s="3"/>
      <c r="Z811" s="3"/>
    </row>
    <row r="812" ht="15.75" customHeight="1">
      <c r="A812" s="3"/>
      <c r="B812" s="2"/>
      <c r="C812" s="2"/>
      <c r="D812" s="474"/>
      <c r="E812" s="464"/>
      <c r="F812" s="2"/>
      <c r="G812" s="2"/>
      <c r="H812" s="2"/>
      <c r="I812" s="2"/>
      <c r="J812" s="2"/>
      <c r="K812" s="2"/>
      <c r="L812" s="2"/>
      <c r="M812" s="2"/>
      <c r="N812" s="2"/>
      <c r="O812" s="2"/>
      <c r="P812" s="2"/>
      <c r="Q812" s="2"/>
      <c r="S812" s="3"/>
      <c r="T812" s="3"/>
      <c r="U812" s="3"/>
      <c r="V812" s="3"/>
      <c r="W812" s="3"/>
      <c r="X812" s="3"/>
      <c r="Y812" s="3"/>
      <c r="Z812" s="3"/>
    </row>
    <row r="813" ht="15.75" customHeight="1">
      <c r="A813" s="3"/>
      <c r="B813" s="2"/>
      <c r="C813" s="2"/>
      <c r="D813" s="474"/>
      <c r="E813" s="464"/>
      <c r="F813" s="2"/>
      <c r="G813" s="2"/>
      <c r="H813" s="2"/>
      <c r="I813" s="2"/>
      <c r="J813" s="2"/>
      <c r="K813" s="2"/>
      <c r="L813" s="2"/>
      <c r="M813" s="2"/>
      <c r="N813" s="2"/>
      <c r="O813" s="2"/>
      <c r="P813" s="2"/>
      <c r="Q813" s="2"/>
      <c r="S813" s="3"/>
      <c r="T813" s="3"/>
      <c r="U813" s="3"/>
      <c r="V813" s="3"/>
      <c r="W813" s="3"/>
      <c r="X813" s="3"/>
      <c r="Y813" s="3"/>
      <c r="Z813" s="3"/>
    </row>
    <row r="814" ht="15.75" customHeight="1">
      <c r="A814" s="3"/>
      <c r="B814" s="2"/>
      <c r="C814" s="2"/>
      <c r="D814" s="474"/>
      <c r="E814" s="464"/>
      <c r="F814" s="2"/>
      <c r="G814" s="2"/>
      <c r="H814" s="2"/>
      <c r="I814" s="2"/>
      <c r="J814" s="2"/>
      <c r="K814" s="2"/>
      <c r="L814" s="2"/>
      <c r="M814" s="2"/>
      <c r="N814" s="2"/>
      <c r="O814" s="2"/>
      <c r="P814" s="2"/>
      <c r="Q814" s="2"/>
      <c r="S814" s="3"/>
      <c r="T814" s="3"/>
      <c r="U814" s="3"/>
      <c r="V814" s="3"/>
      <c r="W814" s="3"/>
      <c r="X814" s="3"/>
      <c r="Y814" s="3"/>
      <c r="Z814" s="3"/>
    </row>
    <row r="815" ht="15.75" customHeight="1">
      <c r="A815" s="3"/>
      <c r="B815" s="2"/>
      <c r="C815" s="2"/>
      <c r="D815" s="474"/>
      <c r="E815" s="464"/>
      <c r="F815" s="2"/>
      <c r="G815" s="2"/>
      <c r="H815" s="2"/>
      <c r="I815" s="2"/>
      <c r="J815" s="2"/>
      <c r="K815" s="2"/>
      <c r="L815" s="2"/>
      <c r="M815" s="2"/>
      <c r="N815" s="2"/>
      <c r="O815" s="2"/>
      <c r="P815" s="2"/>
      <c r="Q815" s="2"/>
      <c r="S815" s="3"/>
      <c r="T815" s="3"/>
      <c r="U815" s="3"/>
      <c r="V815" s="3"/>
      <c r="W815" s="3"/>
      <c r="X815" s="3"/>
      <c r="Y815" s="3"/>
      <c r="Z815" s="3"/>
    </row>
    <row r="816" ht="15.75" customHeight="1">
      <c r="A816" s="3"/>
      <c r="B816" s="2"/>
      <c r="C816" s="2"/>
      <c r="D816" s="474"/>
      <c r="E816" s="464"/>
      <c r="F816" s="2"/>
      <c r="G816" s="2"/>
      <c r="H816" s="2"/>
      <c r="I816" s="2"/>
      <c r="J816" s="2"/>
      <c r="K816" s="2"/>
      <c r="L816" s="2"/>
      <c r="M816" s="2"/>
      <c r="N816" s="2"/>
      <c r="O816" s="2"/>
      <c r="P816" s="2"/>
      <c r="Q816" s="2"/>
      <c r="S816" s="3"/>
      <c r="T816" s="3"/>
      <c r="U816" s="3"/>
      <c r="V816" s="3"/>
      <c r="W816" s="3"/>
      <c r="X816" s="3"/>
      <c r="Y816" s="3"/>
      <c r="Z816" s="3"/>
    </row>
    <row r="817" ht="15.75" customHeight="1">
      <c r="A817" s="3"/>
      <c r="B817" s="2"/>
      <c r="C817" s="2"/>
      <c r="D817" s="474"/>
      <c r="E817" s="464"/>
      <c r="F817" s="2"/>
      <c r="G817" s="2"/>
      <c r="H817" s="2"/>
      <c r="I817" s="2"/>
      <c r="J817" s="2"/>
      <c r="K817" s="2"/>
      <c r="L817" s="2"/>
      <c r="M817" s="2"/>
      <c r="N817" s="2"/>
      <c r="O817" s="2"/>
      <c r="P817" s="2"/>
      <c r="Q817" s="2"/>
      <c r="S817" s="3"/>
      <c r="T817" s="3"/>
      <c r="U817" s="3"/>
      <c r="V817" s="3"/>
      <c r="W817" s="3"/>
      <c r="X817" s="3"/>
      <c r="Y817" s="3"/>
      <c r="Z817" s="3"/>
    </row>
    <row r="818" ht="15.75" customHeight="1">
      <c r="A818" s="3"/>
      <c r="B818" s="2"/>
      <c r="C818" s="2"/>
      <c r="D818" s="474"/>
      <c r="E818" s="464"/>
      <c r="F818" s="2"/>
      <c r="G818" s="2"/>
      <c r="H818" s="2"/>
      <c r="I818" s="2"/>
      <c r="J818" s="2"/>
      <c r="K818" s="2"/>
      <c r="L818" s="2"/>
      <c r="M818" s="2"/>
      <c r="N818" s="2"/>
      <c r="O818" s="2"/>
      <c r="P818" s="2"/>
      <c r="Q818" s="2"/>
      <c r="S818" s="3"/>
      <c r="T818" s="3"/>
      <c r="U818" s="3"/>
      <c r="V818" s="3"/>
      <c r="W818" s="3"/>
      <c r="X818" s="3"/>
      <c r="Y818" s="3"/>
      <c r="Z818" s="3"/>
    </row>
    <row r="819" ht="15.75" customHeight="1">
      <c r="A819" s="3"/>
      <c r="B819" s="2"/>
      <c r="C819" s="2"/>
      <c r="D819" s="474"/>
      <c r="E819" s="464"/>
      <c r="F819" s="2"/>
      <c r="G819" s="2"/>
      <c r="H819" s="2"/>
      <c r="I819" s="2"/>
      <c r="J819" s="2"/>
      <c r="K819" s="2"/>
      <c r="L819" s="2"/>
      <c r="M819" s="2"/>
      <c r="N819" s="2"/>
      <c r="O819" s="2"/>
      <c r="P819" s="2"/>
      <c r="Q819" s="2"/>
      <c r="S819" s="3"/>
      <c r="T819" s="3"/>
      <c r="U819" s="3"/>
      <c r="V819" s="3"/>
      <c r="W819" s="3"/>
      <c r="X819" s="3"/>
      <c r="Y819" s="3"/>
      <c r="Z819" s="3"/>
    </row>
    <row r="820" ht="15.75" customHeight="1">
      <c r="A820" s="3"/>
      <c r="B820" s="2"/>
      <c r="C820" s="2"/>
      <c r="D820" s="474"/>
      <c r="E820" s="464"/>
      <c r="F820" s="2"/>
      <c r="G820" s="2"/>
      <c r="H820" s="2"/>
      <c r="I820" s="2"/>
      <c r="J820" s="2"/>
      <c r="K820" s="2"/>
      <c r="L820" s="2"/>
      <c r="M820" s="2"/>
      <c r="N820" s="2"/>
      <c r="O820" s="2"/>
      <c r="P820" s="2"/>
      <c r="Q820" s="2"/>
      <c r="S820" s="3"/>
      <c r="T820" s="3"/>
      <c r="U820" s="3"/>
      <c r="V820" s="3"/>
      <c r="W820" s="3"/>
      <c r="X820" s="3"/>
      <c r="Y820" s="3"/>
      <c r="Z820" s="3"/>
    </row>
    <row r="821" ht="15.75" customHeight="1">
      <c r="A821" s="3"/>
      <c r="B821" s="2"/>
      <c r="C821" s="2"/>
      <c r="D821" s="474"/>
      <c r="E821" s="464"/>
      <c r="F821" s="2"/>
      <c r="G821" s="2"/>
      <c r="H821" s="2"/>
      <c r="I821" s="2"/>
      <c r="J821" s="2"/>
      <c r="K821" s="2"/>
      <c r="L821" s="2"/>
      <c r="M821" s="2"/>
      <c r="N821" s="2"/>
      <c r="O821" s="2"/>
      <c r="P821" s="2"/>
      <c r="Q821" s="2"/>
      <c r="S821" s="3"/>
      <c r="T821" s="3"/>
      <c r="U821" s="3"/>
      <c r="V821" s="3"/>
      <c r="W821" s="3"/>
      <c r="X821" s="3"/>
      <c r="Y821" s="3"/>
      <c r="Z821" s="3"/>
    </row>
    <row r="822" ht="15.75" customHeight="1">
      <c r="A822" s="3"/>
      <c r="B822" s="2"/>
      <c r="C822" s="2"/>
      <c r="D822" s="474"/>
      <c r="E822" s="464"/>
      <c r="F822" s="2"/>
      <c r="G822" s="2"/>
      <c r="H822" s="2"/>
      <c r="I822" s="2"/>
      <c r="J822" s="2"/>
      <c r="K822" s="2"/>
      <c r="L822" s="2"/>
      <c r="M822" s="2"/>
      <c r="N822" s="2"/>
      <c r="O822" s="2"/>
      <c r="P822" s="2"/>
      <c r="Q822" s="2"/>
      <c r="S822" s="3"/>
      <c r="T822" s="3"/>
      <c r="U822" s="3"/>
      <c r="V822" s="3"/>
      <c r="W822" s="3"/>
      <c r="X822" s="3"/>
      <c r="Y822" s="3"/>
      <c r="Z822" s="3"/>
    </row>
    <row r="823" ht="15.75" customHeight="1">
      <c r="A823" s="3"/>
      <c r="B823" s="2"/>
      <c r="C823" s="2"/>
      <c r="D823" s="474"/>
      <c r="E823" s="464"/>
      <c r="F823" s="2"/>
      <c r="G823" s="2"/>
      <c r="H823" s="2"/>
      <c r="I823" s="2"/>
      <c r="J823" s="2"/>
      <c r="K823" s="2"/>
      <c r="L823" s="2"/>
      <c r="M823" s="2"/>
      <c r="N823" s="2"/>
      <c r="O823" s="2"/>
      <c r="P823" s="2"/>
      <c r="Q823" s="2"/>
      <c r="S823" s="3"/>
      <c r="T823" s="3"/>
      <c r="U823" s="3"/>
      <c r="V823" s="3"/>
      <c r="W823" s="3"/>
      <c r="X823" s="3"/>
      <c r="Y823" s="3"/>
      <c r="Z823" s="3"/>
    </row>
    <row r="824" ht="15.75" customHeight="1">
      <c r="A824" s="3"/>
      <c r="B824" s="2"/>
      <c r="C824" s="2"/>
      <c r="D824" s="474"/>
      <c r="E824" s="464"/>
      <c r="F824" s="2"/>
      <c r="G824" s="2"/>
      <c r="H824" s="2"/>
      <c r="I824" s="2"/>
      <c r="J824" s="2"/>
      <c r="K824" s="2"/>
      <c r="L824" s="2"/>
      <c r="M824" s="2"/>
      <c r="N824" s="2"/>
      <c r="O824" s="2"/>
      <c r="P824" s="2"/>
      <c r="Q824" s="2"/>
      <c r="S824" s="3"/>
      <c r="T824" s="3"/>
      <c r="U824" s="3"/>
      <c r="V824" s="3"/>
      <c r="W824" s="3"/>
      <c r="X824" s="3"/>
      <c r="Y824" s="3"/>
      <c r="Z824" s="3"/>
    </row>
    <row r="825" ht="15.75" customHeight="1">
      <c r="A825" s="3"/>
      <c r="B825" s="2"/>
      <c r="C825" s="2"/>
      <c r="D825" s="474"/>
      <c r="E825" s="464"/>
      <c r="F825" s="2"/>
      <c r="G825" s="2"/>
      <c r="H825" s="2"/>
      <c r="I825" s="2"/>
      <c r="J825" s="2"/>
      <c r="K825" s="2"/>
      <c r="L825" s="2"/>
      <c r="M825" s="2"/>
      <c r="N825" s="2"/>
      <c r="O825" s="2"/>
      <c r="P825" s="2"/>
      <c r="Q825" s="2"/>
      <c r="S825" s="3"/>
      <c r="T825" s="3"/>
      <c r="U825" s="3"/>
      <c r="V825" s="3"/>
      <c r="W825" s="3"/>
      <c r="X825" s="3"/>
      <c r="Y825" s="3"/>
      <c r="Z825" s="3"/>
    </row>
    <row r="826" ht="15.75" customHeight="1">
      <c r="A826" s="3"/>
      <c r="B826" s="2"/>
      <c r="C826" s="2"/>
      <c r="D826" s="474"/>
      <c r="E826" s="464"/>
      <c r="F826" s="2"/>
      <c r="G826" s="2"/>
      <c r="H826" s="2"/>
      <c r="I826" s="2"/>
      <c r="J826" s="2"/>
      <c r="K826" s="2"/>
      <c r="L826" s="2"/>
      <c r="M826" s="2"/>
      <c r="N826" s="2"/>
      <c r="O826" s="2"/>
      <c r="P826" s="2"/>
      <c r="Q826" s="2"/>
      <c r="S826" s="3"/>
      <c r="T826" s="3"/>
      <c r="U826" s="3"/>
      <c r="V826" s="3"/>
      <c r="W826" s="3"/>
      <c r="X826" s="3"/>
      <c r="Y826" s="3"/>
      <c r="Z826" s="3"/>
    </row>
    <row r="827" ht="15.75" customHeight="1">
      <c r="A827" s="3"/>
      <c r="B827" s="2"/>
      <c r="C827" s="2"/>
      <c r="D827" s="474"/>
      <c r="E827" s="464"/>
      <c r="F827" s="2"/>
      <c r="G827" s="2"/>
      <c r="H827" s="2"/>
      <c r="I827" s="2"/>
      <c r="J827" s="2"/>
      <c r="K827" s="2"/>
      <c r="L827" s="2"/>
      <c r="M827" s="2"/>
      <c r="N827" s="2"/>
      <c r="O827" s="2"/>
      <c r="P827" s="2"/>
      <c r="Q827" s="2"/>
      <c r="S827" s="3"/>
      <c r="T827" s="3"/>
      <c r="U827" s="3"/>
      <c r="V827" s="3"/>
      <c r="W827" s="3"/>
      <c r="X827" s="3"/>
      <c r="Y827" s="3"/>
      <c r="Z827" s="3"/>
    </row>
    <row r="828" ht="15.75" customHeight="1">
      <c r="A828" s="3"/>
      <c r="B828" s="2"/>
      <c r="C828" s="2"/>
      <c r="D828" s="474"/>
      <c r="E828" s="464"/>
      <c r="F828" s="2"/>
      <c r="G828" s="2"/>
      <c r="H828" s="2"/>
      <c r="I828" s="2"/>
      <c r="J828" s="2"/>
      <c r="K828" s="2"/>
      <c r="L828" s="2"/>
      <c r="M828" s="2"/>
      <c r="N828" s="2"/>
      <c r="O828" s="2"/>
      <c r="P828" s="2"/>
      <c r="Q828" s="2"/>
      <c r="S828" s="3"/>
      <c r="T828" s="3"/>
      <c r="U828" s="3"/>
      <c r="V828" s="3"/>
      <c r="W828" s="3"/>
      <c r="X828" s="3"/>
      <c r="Y828" s="3"/>
      <c r="Z828" s="3"/>
    </row>
    <row r="829" ht="15.75" customHeight="1">
      <c r="A829" s="3"/>
      <c r="B829" s="2"/>
      <c r="C829" s="2"/>
      <c r="D829" s="474"/>
      <c r="E829" s="464"/>
      <c r="F829" s="2"/>
      <c r="G829" s="2"/>
      <c r="H829" s="2"/>
      <c r="I829" s="2"/>
      <c r="J829" s="2"/>
      <c r="K829" s="2"/>
      <c r="L829" s="2"/>
      <c r="M829" s="2"/>
      <c r="N829" s="2"/>
      <c r="O829" s="2"/>
      <c r="P829" s="2"/>
      <c r="Q829" s="2"/>
      <c r="S829" s="3"/>
      <c r="T829" s="3"/>
      <c r="U829" s="3"/>
      <c r="V829" s="3"/>
      <c r="W829" s="3"/>
      <c r="X829" s="3"/>
      <c r="Y829" s="3"/>
      <c r="Z829" s="3"/>
    </row>
    <row r="830" ht="15.75" customHeight="1">
      <c r="A830" s="3"/>
      <c r="B830" s="2"/>
      <c r="C830" s="2"/>
      <c r="D830" s="474"/>
      <c r="E830" s="464"/>
      <c r="F830" s="2"/>
      <c r="G830" s="2"/>
      <c r="H830" s="2"/>
      <c r="I830" s="2"/>
      <c r="J830" s="2"/>
      <c r="K830" s="2"/>
      <c r="L830" s="2"/>
      <c r="M830" s="2"/>
      <c r="N830" s="2"/>
      <c r="O830" s="2"/>
      <c r="P830" s="2"/>
      <c r="Q830" s="2"/>
      <c r="S830" s="3"/>
      <c r="T830" s="3"/>
      <c r="U830" s="3"/>
      <c r="V830" s="3"/>
      <c r="W830" s="3"/>
      <c r="X830" s="3"/>
      <c r="Y830" s="3"/>
      <c r="Z830" s="3"/>
    </row>
    <row r="831" ht="15.75" customHeight="1">
      <c r="A831" s="3"/>
      <c r="B831" s="2"/>
      <c r="C831" s="2"/>
      <c r="D831" s="474"/>
      <c r="E831" s="464"/>
      <c r="F831" s="2"/>
      <c r="G831" s="2"/>
      <c r="H831" s="2"/>
      <c r="I831" s="2"/>
      <c r="J831" s="2"/>
      <c r="K831" s="2"/>
      <c r="L831" s="2"/>
      <c r="M831" s="2"/>
      <c r="N831" s="2"/>
      <c r="O831" s="2"/>
      <c r="P831" s="2"/>
      <c r="Q831" s="2"/>
      <c r="S831" s="3"/>
      <c r="T831" s="3"/>
      <c r="U831" s="3"/>
      <c r="V831" s="3"/>
      <c r="W831" s="3"/>
      <c r="X831" s="3"/>
      <c r="Y831" s="3"/>
      <c r="Z831" s="3"/>
    </row>
    <row r="832" ht="15.75" customHeight="1">
      <c r="A832" s="3"/>
      <c r="B832" s="2"/>
      <c r="C832" s="2"/>
      <c r="D832" s="474"/>
      <c r="E832" s="464"/>
      <c r="F832" s="2"/>
      <c r="G832" s="2"/>
      <c r="H832" s="2"/>
      <c r="I832" s="2"/>
      <c r="J832" s="2"/>
      <c r="K832" s="2"/>
      <c r="L832" s="2"/>
      <c r="M832" s="2"/>
      <c r="N832" s="2"/>
      <c r="O832" s="2"/>
      <c r="P832" s="2"/>
      <c r="Q832" s="2"/>
      <c r="S832" s="3"/>
      <c r="T832" s="3"/>
      <c r="U832" s="3"/>
      <c r="V832" s="3"/>
      <c r="W832" s="3"/>
      <c r="X832" s="3"/>
      <c r="Y832" s="3"/>
      <c r="Z832" s="3"/>
    </row>
    <row r="833" ht="15.75" customHeight="1">
      <c r="A833" s="3"/>
      <c r="B833" s="2"/>
      <c r="C833" s="2"/>
      <c r="D833" s="474"/>
      <c r="E833" s="464"/>
      <c r="F833" s="2"/>
      <c r="G833" s="2"/>
      <c r="H833" s="2"/>
      <c r="I833" s="2"/>
      <c r="J833" s="2"/>
      <c r="K833" s="2"/>
      <c r="L833" s="2"/>
      <c r="M833" s="2"/>
      <c r="N833" s="2"/>
      <c r="O833" s="2"/>
      <c r="P833" s="2"/>
      <c r="Q833" s="2"/>
      <c r="S833" s="3"/>
      <c r="T833" s="3"/>
      <c r="U833" s="3"/>
      <c r="V833" s="3"/>
      <c r="W833" s="3"/>
      <c r="X833" s="3"/>
      <c r="Y833" s="3"/>
      <c r="Z833" s="3"/>
    </row>
    <row r="834" ht="15.75" customHeight="1">
      <c r="A834" s="3"/>
      <c r="B834" s="2"/>
      <c r="C834" s="2"/>
      <c r="D834" s="474"/>
      <c r="E834" s="464"/>
      <c r="F834" s="2"/>
      <c r="G834" s="2"/>
      <c r="H834" s="2"/>
      <c r="I834" s="2"/>
      <c r="J834" s="2"/>
      <c r="K834" s="2"/>
      <c r="L834" s="2"/>
      <c r="M834" s="2"/>
      <c r="N834" s="2"/>
      <c r="O834" s="2"/>
      <c r="P834" s="2"/>
      <c r="Q834" s="2"/>
      <c r="S834" s="3"/>
      <c r="T834" s="3"/>
      <c r="U834" s="3"/>
      <c r="V834" s="3"/>
      <c r="W834" s="3"/>
      <c r="X834" s="3"/>
      <c r="Y834" s="3"/>
      <c r="Z834" s="3"/>
    </row>
    <row r="835" ht="15.75" customHeight="1">
      <c r="A835" s="3"/>
      <c r="B835" s="2"/>
      <c r="C835" s="2"/>
      <c r="D835" s="474"/>
      <c r="E835" s="464"/>
      <c r="F835" s="2"/>
      <c r="G835" s="2"/>
      <c r="H835" s="2"/>
      <c r="I835" s="2"/>
      <c r="J835" s="2"/>
      <c r="K835" s="2"/>
      <c r="L835" s="2"/>
      <c r="M835" s="2"/>
      <c r="N835" s="2"/>
      <c r="O835" s="2"/>
      <c r="P835" s="2"/>
      <c r="Q835" s="2"/>
      <c r="S835" s="3"/>
      <c r="T835" s="3"/>
      <c r="U835" s="3"/>
      <c r="V835" s="3"/>
      <c r="W835" s="3"/>
      <c r="X835" s="3"/>
      <c r="Y835" s="3"/>
      <c r="Z835" s="3"/>
    </row>
    <row r="836" ht="15.75" customHeight="1">
      <c r="A836" s="3"/>
      <c r="B836" s="2"/>
      <c r="C836" s="2"/>
      <c r="D836" s="474"/>
      <c r="E836" s="464"/>
      <c r="F836" s="2"/>
      <c r="G836" s="2"/>
      <c r="H836" s="2"/>
      <c r="I836" s="2"/>
      <c r="J836" s="2"/>
      <c r="K836" s="2"/>
      <c r="L836" s="2"/>
      <c r="M836" s="2"/>
      <c r="N836" s="2"/>
      <c r="O836" s="2"/>
      <c r="P836" s="2"/>
      <c r="Q836" s="2"/>
      <c r="S836" s="3"/>
      <c r="T836" s="3"/>
      <c r="U836" s="3"/>
      <c r="V836" s="3"/>
      <c r="W836" s="3"/>
      <c r="X836" s="3"/>
      <c r="Y836" s="3"/>
      <c r="Z836" s="3"/>
    </row>
    <row r="837" ht="15.75" customHeight="1">
      <c r="A837" s="3"/>
      <c r="B837" s="2"/>
      <c r="C837" s="2"/>
      <c r="D837" s="474"/>
      <c r="E837" s="464"/>
      <c r="F837" s="2"/>
      <c r="G837" s="2"/>
      <c r="H837" s="2"/>
      <c r="I837" s="2"/>
      <c r="J837" s="2"/>
      <c r="K837" s="2"/>
      <c r="L837" s="2"/>
      <c r="M837" s="2"/>
      <c r="N837" s="2"/>
      <c r="O837" s="2"/>
      <c r="P837" s="2"/>
      <c r="Q837" s="2"/>
      <c r="S837" s="3"/>
      <c r="T837" s="3"/>
      <c r="U837" s="3"/>
      <c r="V837" s="3"/>
      <c r="W837" s="3"/>
      <c r="X837" s="3"/>
      <c r="Y837" s="3"/>
      <c r="Z837" s="3"/>
    </row>
    <row r="838" ht="15.75" customHeight="1">
      <c r="A838" s="3"/>
      <c r="B838" s="2"/>
      <c r="C838" s="2"/>
      <c r="D838" s="474"/>
      <c r="E838" s="464"/>
      <c r="F838" s="2"/>
      <c r="G838" s="2"/>
      <c r="H838" s="2"/>
      <c r="I838" s="2"/>
      <c r="J838" s="2"/>
      <c r="K838" s="2"/>
      <c r="L838" s="2"/>
      <c r="M838" s="2"/>
      <c r="N838" s="2"/>
      <c r="O838" s="2"/>
      <c r="P838" s="2"/>
      <c r="Q838" s="2"/>
      <c r="S838" s="3"/>
      <c r="T838" s="3"/>
      <c r="U838" s="3"/>
      <c r="V838" s="3"/>
      <c r="W838" s="3"/>
      <c r="X838" s="3"/>
      <c r="Y838" s="3"/>
      <c r="Z838" s="3"/>
    </row>
    <row r="839" ht="15.75" customHeight="1">
      <c r="A839" s="3"/>
      <c r="B839" s="2"/>
      <c r="C839" s="2"/>
      <c r="D839" s="474"/>
      <c r="E839" s="464"/>
      <c r="F839" s="2"/>
      <c r="G839" s="2"/>
      <c r="H839" s="2"/>
      <c r="I839" s="2"/>
      <c r="J839" s="2"/>
      <c r="K839" s="2"/>
      <c r="L839" s="2"/>
      <c r="M839" s="2"/>
      <c r="N839" s="2"/>
      <c r="O839" s="2"/>
      <c r="P839" s="2"/>
      <c r="Q839" s="2"/>
      <c r="S839" s="3"/>
      <c r="T839" s="3"/>
      <c r="U839" s="3"/>
      <c r="V839" s="3"/>
      <c r="W839" s="3"/>
      <c r="X839" s="3"/>
      <c r="Y839" s="3"/>
      <c r="Z839" s="3"/>
    </row>
    <row r="840" ht="15.75" customHeight="1">
      <c r="A840" s="3"/>
      <c r="B840" s="2"/>
      <c r="C840" s="2"/>
      <c r="D840" s="474"/>
      <c r="E840" s="464"/>
      <c r="F840" s="2"/>
      <c r="G840" s="2"/>
      <c r="H840" s="2"/>
      <c r="I840" s="2"/>
      <c r="J840" s="2"/>
      <c r="K840" s="2"/>
      <c r="L840" s="2"/>
      <c r="M840" s="2"/>
      <c r="N840" s="2"/>
      <c r="O840" s="2"/>
      <c r="P840" s="2"/>
      <c r="Q840" s="2"/>
      <c r="S840" s="3"/>
      <c r="T840" s="3"/>
      <c r="U840" s="3"/>
      <c r="V840" s="3"/>
      <c r="W840" s="3"/>
      <c r="X840" s="3"/>
      <c r="Y840" s="3"/>
      <c r="Z840" s="3"/>
    </row>
    <row r="841" ht="15.75" customHeight="1">
      <c r="A841" s="3"/>
      <c r="B841" s="2"/>
      <c r="C841" s="2"/>
      <c r="D841" s="474"/>
      <c r="E841" s="464"/>
      <c r="F841" s="2"/>
      <c r="G841" s="2"/>
      <c r="H841" s="2"/>
      <c r="I841" s="2"/>
      <c r="J841" s="2"/>
      <c r="K841" s="2"/>
      <c r="L841" s="2"/>
      <c r="M841" s="2"/>
      <c r="N841" s="2"/>
      <c r="O841" s="2"/>
      <c r="P841" s="2"/>
      <c r="Q841" s="2"/>
      <c r="S841" s="3"/>
      <c r="T841" s="3"/>
      <c r="U841" s="3"/>
      <c r="V841" s="3"/>
      <c r="W841" s="3"/>
      <c r="X841" s="3"/>
      <c r="Y841" s="3"/>
      <c r="Z841" s="3"/>
    </row>
    <row r="842" ht="15.75" customHeight="1">
      <c r="A842" s="3"/>
      <c r="B842" s="2"/>
      <c r="C842" s="2"/>
      <c r="D842" s="474"/>
      <c r="E842" s="464"/>
      <c r="F842" s="2"/>
      <c r="G842" s="2"/>
      <c r="H842" s="2"/>
      <c r="I842" s="2"/>
      <c r="J842" s="2"/>
      <c r="K842" s="2"/>
      <c r="L842" s="2"/>
      <c r="M842" s="2"/>
      <c r="N842" s="2"/>
      <c r="O842" s="2"/>
      <c r="P842" s="2"/>
      <c r="Q842" s="2"/>
      <c r="S842" s="3"/>
      <c r="T842" s="3"/>
      <c r="U842" s="3"/>
      <c r="V842" s="3"/>
      <c r="W842" s="3"/>
      <c r="X842" s="3"/>
      <c r="Y842" s="3"/>
      <c r="Z842" s="3"/>
    </row>
    <row r="843" ht="15.75" customHeight="1">
      <c r="A843" s="3"/>
      <c r="B843" s="2"/>
      <c r="C843" s="2"/>
      <c r="D843" s="474"/>
      <c r="E843" s="464"/>
      <c r="F843" s="2"/>
      <c r="G843" s="2"/>
      <c r="H843" s="2"/>
      <c r="I843" s="2"/>
      <c r="J843" s="2"/>
      <c r="K843" s="2"/>
      <c r="L843" s="2"/>
      <c r="M843" s="2"/>
      <c r="N843" s="2"/>
      <c r="O843" s="2"/>
      <c r="P843" s="2"/>
      <c r="Q843" s="2"/>
      <c r="S843" s="3"/>
      <c r="T843" s="3"/>
      <c r="U843" s="3"/>
      <c r="V843" s="3"/>
      <c r="W843" s="3"/>
      <c r="X843" s="3"/>
      <c r="Y843" s="3"/>
      <c r="Z843" s="3"/>
    </row>
    <row r="844" ht="15.75" customHeight="1">
      <c r="A844" s="3"/>
      <c r="B844" s="2"/>
      <c r="C844" s="2"/>
      <c r="D844" s="474"/>
      <c r="E844" s="464"/>
      <c r="F844" s="2"/>
      <c r="G844" s="2"/>
      <c r="H844" s="2"/>
      <c r="I844" s="2"/>
      <c r="J844" s="2"/>
      <c r="K844" s="2"/>
      <c r="L844" s="2"/>
      <c r="M844" s="2"/>
      <c r="N844" s="2"/>
      <c r="O844" s="2"/>
      <c r="P844" s="2"/>
      <c r="Q844" s="2"/>
      <c r="S844" s="3"/>
      <c r="T844" s="3"/>
      <c r="U844" s="3"/>
      <c r="V844" s="3"/>
      <c r="W844" s="3"/>
      <c r="X844" s="3"/>
      <c r="Y844" s="3"/>
      <c r="Z844" s="3"/>
    </row>
    <row r="845" ht="15.75" customHeight="1">
      <c r="A845" s="3"/>
      <c r="B845" s="2"/>
      <c r="C845" s="2"/>
      <c r="D845" s="474"/>
      <c r="E845" s="464"/>
      <c r="F845" s="2"/>
      <c r="G845" s="2"/>
      <c r="H845" s="2"/>
      <c r="I845" s="2"/>
      <c r="J845" s="2"/>
      <c r="K845" s="2"/>
      <c r="L845" s="2"/>
      <c r="M845" s="2"/>
      <c r="N845" s="2"/>
      <c r="O845" s="2"/>
      <c r="P845" s="2"/>
      <c r="Q845" s="2"/>
      <c r="S845" s="3"/>
      <c r="T845" s="3"/>
      <c r="U845" s="3"/>
      <c r="V845" s="3"/>
      <c r="W845" s="3"/>
      <c r="X845" s="3"/>
      <c r="Y845" s="3"/>
      <c r="Z845" s="3"/>
    </row>
    <row r="846" ht="15.75" customHeight="1">
      <c r="A846" s="3"/>
      <c r="B846" s="2"/>
      <c r="C846" s="2"/>
      <c r="D846" s="474"/>
      <c r="E846" s="464"/>
      <c r="F846" s="2"/>
      <c r="G846" s="2"/>
      <c r="H846" s="2"/>
      <c r="I846" s="2"/>
      <c r="J846" s="2"/>
      <c r="K846" s="2"/>
      <c r="L846" s="2"/>
      <c r="M846" s="2"/>
      <c r="N846" s="2"/>
      <c r="O846" s="2"/>
      <c r="P846" s="2"/>
      <c r="Q846" s="2"/>
      <c r="S846" s="3"/>
      <c r="T846" s="3"/>
      <c r="U846" s="3"/>
      <c r="V846" s="3"/>
      <c r="W846" s="3"/>
      <c r="X846" s="3"/>
      <c r="Y846" s="3"/>
      <c r="Z846" s="3"/>
    </row>
    <row r="847" ht="15.75" customHeight="1">
      <c r="A847" s="3"/>
      <c r="B847" s="2"/>
      <c r="C847" s="2"/>
      <c r="D847" s="474"/>
      <c r="E847" s="464"/>
      <c r="F847" s="2"/>
      <c r="G847" s="2"/>
      <c r="H847" s="2"/>
      <c r="I847" s="2"/>
      <c r="J847" s="2"/>
      <c r="K847" s="2"/>
      <c r="L847" s="2"/>
      <c r="M847" s="2"/>
      <c r="N847" s="2"/>
      <c r="O847" s="2"/>
      <c r="P847" s="2"/>
      <c r="Q847" s="2"/>
      <c r="S847" s="3"/>
      <c r="T847" s="3"/>
      <c r="U847" s="3"/>
      <c r="V847" s="3"/>
      <c r="W847" s="3"/>
      <c r="X847" s="3"/>
      <c r="Y847" s="3"/>
      <c r="Z847" s="3"/>
    </row>
    <row r="848" ht="15.75" customHeight="1">
      <c r="A848" s="3"/>
      <c r="B848" s="2"/>
      <c r="C848" s="2"/>
      <c r="D848" s="474"/>
      <c r="E848" s="464"/>
      <c r="F848" s="2"/>
      <c r="G848" s="2"/>
      <c r="H848" s="2"/>
      <c r="I848" s="2"/>
      <c r="J848" s="2"/>
      <c r="K848" s="2"/>
      <c r="L848" s="2"/>
      <c r="M848" s="2"/>
      <c r="N848" s="2"/>
      <c r="O848" s="2"/>
      <c r="P848" s="2"/>
      <c r="Q848" s="2"/>
      <c r="S848" s="3"/>
      <c r="T848" s="3"/>
      <c r="U848" s="3"/>
      <c r="V848" s="3"/>
      <c r="W848" s="3"/>
      <c r="X848" s="3"/>
      <c r="Y848" s="3"/>
      <c r="Z848" s="3"/>
    </row>
    <row r="849" ht="15.75" customHeight="1">
      <c r="A849" s="3"/>
      <c r="B849" s="2"/>
      <c r="C849" s="2"/>
      <c r="D849" s="474"/>
      <c r="E849" s="464"/>
      <c r="F849" s="2"/>
      <c r="G849" s="2"/>
      <c r="H849" s="2"/>
      <c r="I849" s="2"/>
      <c r="J849" s="2"/>
      <c r="K849" s="2"/>
      <c r="L849" s="2"/>
      <c r="M849" s="2"/>
      <c r="N849" s="2"/>
      <c r="O849" s="2"/>
      <c r="P849" s="2"/>
      <c r="Q849" s="2"/>
      <c r="S849" s="3"/>
      <c r="T849" s="3"/>
      <c r="U849" s="3"/>
      <c r="V849" s="3"/>
      <c r="W849" s="3"/>
      <c r="X849" s="3"/>
      <c r="Y849" s="3"/>
      <c r="Z849" s="3"/>
    </row>
    <row r="850" ht="15.75" customHeight="1">
      <c r="A850" s="3"/>
      <c r="B850" s="2"/>
      <c r="C850" s="2"/>
      <c r="D850" s="474"/>
      <c r="E850" s="464"/>
      <c r="F850" s="2"/>
      <c r="G850" s="2"/>
      <c r="H850" s="2"/>
      <c r="I850" s="2"/>
      <c r="J850" s="2"/>
      <c r="K850" s="2"/>
      <c r="L850" s="2"/>
      <c r="M850" s="2"/>
      <c r="N850" s="2"/>
      <c r="O850" s="2"/>
      <c r="P850" s="2"/>
      <c r="Q850" s="2"/>
      <c r="S850" s="3"/>
      <c r="T850" s="3"/>
      <c r="U850" s="3"/>
      <c r="V850" s="3"/>
      <c r="W850" s="3"/>
      <c r="X850" s="3"/>
      <c r="Y850" s="3"/>
      <c r="Z850" s="3"/>
    </row>
    <row r="851" ht="15.75" customHeight="1">
      <c r="A851" s="3"/>
      <c r="B851" s="2"/>
      <c r="C851" s="2"/>
      <c r="D851" s="474"/>
      <c r="E851" s="464"/>
      <c r="F851" s="2"/>
      <c r="G851" s="2"/>
      <c r="H851" s="2"/>
      <c r="I851" s="2"/>
      <c r="J851" s="2"/>
      <c r="K851" s="2"/>
      <c r="L851" s="2"/>
      <c r="M851" s="2"/>
      <c r="N851" s="2"/>
      <c r="O851" s="2"/>
      <c r="P851" s="2"/>
      <c r="Q851" s="2"/>
      <c r="S851" s="3"/>
      <c r="T851" s="3"/>
      <c r="U851" s="3"/>
      <c r="V851" s="3"/>
      <c r="W851" s="3"/>
      <c r="X851" s="3"/>
      <c r="Y851" s="3"/>
      <c r="Z851" s="3"/>
    </row>
    <row r="852" ht="15.75" customHeight="1">
      <c r="A852" s="3"/>
      <c r="B852" s="2"/>
      <c r="C852" s="2"/>
      <c r="D852" s="474"/>
      <c r="E852" s="464"/>
      <c r="F852" s="2"/>
      <c r="G852" s="2"/>
      <c r="H852" s="2"/>
      <c r="I852" s="2"/>
      <c r="J852" s="2"/>
      <c r="K852" s="2"/>
      <c r="L852" s="2"/>
      <c r="M852" s="2"/>
      <c r="N852" s="2"/>
      <c r="O852" s="2"/>
      <c r="P852" s="2"/>
      <c r="Q852" s="2"/>
      <c r="S852" s="3"/>
      <c r="T852" s="3"/>
      <c r="U852" s="3"/>
      <c r="V852" s="3"/>
      <c r="W852" s="3"/>
      <c r="X852" s="3"/>
      <c r="Y852" s="3"/>
      <c r="Z852" s="3"/>
    </row>
    <row r="853" ht="15.75" customHeight="1">
      <c r="A853" s="3"/>
      <c r="B853" s="2"/>
      <c r="C853" s="2"/>
      <c r="D853" s="474"/>
      <c r="E853" s="464"/>
      <c r="F853" s="2"/>
      <c r="G853" s="2"/>
      <c r="H853" s="2"/>
      <c r="I853" s="2"/>
      <c r="J853" s="2"/>
      <c r="K853" s="2"/>
      <c r="L853" s="2"/>
      <c r="M853" s="2"/>
      <c r="N853" s="2"/>
      <c r="O853" s="2"/>
      <c r="P853" s="2"/>
      <c r="Q853" s="2"/>
      <c r="S853" s="3"/>
      <c r="T853" s="3"/>
      <c r="U853" s="3"/>
      <c r="V853" s="3"/>
      <c r="W853" s="3"/>
      <c r="X853" s="3"/>
      <c r="Y853" s="3"/>
      <c r="Z853" s="3"/>
    </row>
    <row r="854" ht="15.75" customHeight="1">
      <c r="A854" s="3"/>
      <c r="B854" s="2"/>
      <c r="C854" s="2"/>
      <c r="D854" s="474"/>
      <c r="E854" s="464"/>
      <c r="F854" s="2"/>
      <c r="G854" s="2"/>
      <c r="H854" s="2"/>
      <c r="I854" s="2"/>
      <c r="J854" s="2"/>
      <c r="K854" s="2"/>
      <c r="L854" s="2"/>
      <c r="M854" s="2"/>
      <c r="N854" s="2"/>
      <c r="O854" s="2"/>
      <c r="P854" s="2"/>
      <c r="Q854" s="2"/>
      <c r="S854" s="3"/>
      <c r="T854" s="3"/>
      <c r="U854" s="3"/>
      <c r="V854" s="3"/>
      <c r="W854" s="3"/>
      <c r="X854" s="3"/>
      <c r="Y854" s="3"/>
      <c r="Z854" s="3"/>
    </row>
    <row r="855" ht="15.75" customHeight="1">
      <c r="A855" s="3"/>
      <c r="B855" s="2"/>
      <c r="C855" s="2"/>
      <c r="D855" s="474"/>
      <c r="E855" s="464"/>
      <c r="F855" s="2"/>
      <c r="G855" s="2"/>
      <c r="H855" s="2"/>
      <c r="I855" s="2"/>
      <c r="J855" s="2"/>
      <c r="K855" s="2"/>
      <c r="L855" s="2"/>
      <c r="M855" s="2"/>
      <c r="N855" s="2"/>
      <c r="O855" s="2"/>
      <c r="P855" s="2"/>
      <c r="Q855" s="2"/>
      <c r="S855" s="3"/>
      <c r="T855" s="3"/>
      <c r="U855" s="3"/>
      <c r="V855" s="3"/>
      <c r="W855" s="3"/>
      <c r="X855" s="3"/>
      <c r="Y855" s="3"/>
      <c r="Z855" s="3"/>
    </row>
    <row r="856" ht="15.75" customHeight="1">
      <c r="A856" s="3"/>
      <c r="B856" s="2"/>
      <c r="C856" s="2"/>
      <c r="D856" s="474"/>
      <c r="E856" s="464"/>
      <c r="F856" s="2"/>
      <c r="G856" s="2"/>
      <c r="H856" s="2"/>
      <c r="I856" s="2"/>
      <c r="J856" s="2"/>
      <c r="K856" s="2"/>
      <c r="L856" s="2"/>
      <c r="M856" s="2"/>
      <c r="N856" s="2"/>
      <c r="O856" s="2"/>
      <c r="P856" s="2"/>
      <c r="Q856" s="2"/>
      <c r="S856" s="3"/>
      <c r="T856" s="3"/>
      <c r="U856" s="3"/>
      <c r="V856" s="3"/>
      <c r="W856" s="3"/>
      <c r="X856" s="3"/>
      <c r="Y856" s="3"/>
      <c r="Z856" s="3"/>
    </row>
    <row r="857" ht="15.75" customHeight="1">
      <c r="A857" s="3"/>
      <c r="B857" s="2"/>
      <c r="C857" s="2"/>
      <c r="D857" s="474"/>
      <c r="E857" s="464"/>
      <c r="F857" s="2"/>
      <c r="G857" s="2"/>
      <c r="H857" s="2"/>
      <c r="I857" s="2"/>
      <c r="J857" s="2"/>
      <c r="K857" s="2"/>
      <c r="L857" s="2"/>
      <c r="M857" s="2"/>
      <c r="N857" s="2"/>
      <c r="O857" s="2"/>
      <c r="P857" s="2"/>
      <c r="Q857" s="2"/>
      <c r="S857" s="3"/>
      <c r="T857" s="3"/>
      <c r="U857" s="3"/>
      <c r="V857" s="3"/>
      <c r="W857" s="3"/>
      <c r="X857" s="3"/>
      <c r="Y857" s="3"/>
      <c r="Z857" s="3"/>
    </row>
    <row r="858" ht="15.75" customHeight="1">
      <c r="A858" s="3"/>
      <c r="B858" s="2"/>
      <c r="C858" s="2"/>
      <c r="D858" s="474"/>
      <c r="E858" s="464"/>
      <c r="F858" s="2"/>
      <c r="G858" s="2"/>
      <c r="H858" s="2"/>
      <c r="I858" s="2"/>
      <c r="J858" s="2"/>
      <c r="K858" s="2"/>
      <c r="L858" s="2"/>
      <c r="M858" s="2"/>
      <c r="N858" s="2"/>
      <c r="O858" s="2"/>
      <c r="P858" s="2"/>
      <c r="Q858" s="2"/>
      <c r="S858" s="3"/>
      <c r="T858" s="3"/>
      <c r="U858" s="3"/>
      <c r="V858" s="3"/>
      <c r="W858" s="3"/>
      <c r="X858" s="3"/>
      <c r="Y858" s="3"/>
      <c r="Z858" s="3"/>
    </row>
    <row r="859" ht="15.75" customHeight="1">
      <c r="A859" s="3"/>
      <c r="B859" s="2"/>
      <c r="C859" s="2"/>
      <c r="D859" s="474"/>
      <c r="E859" s="464"/>
      <c r="F859" s="2"/>
      <c r="G859" s="2"/>
      <c r="H859" s="2"/>
      <c r="I859" s="2"/>
      <c r="J859" s="2"/>
      <c r="K859" s="2"/>
      <c r="L859" s="2"/>
      <c r="M859" s="2"/>
      <c r="N859" s="2"/>
      <c r="O859" s="2"/>
      <c r="P859" s="2"/>
      <c r="Q859" s="2"/>
      <c r="S859" s="3"/>
      <c r="T859" s="3"/>
      <c r="U859" s="3"/>
      <c r="V859" s="3"/>
      <c r="W859" s="3"/>
      <c r="X859" s="3"/>
      <c r="Y859" s="3"/>
      <c r="Z859" s="3"/>
    </row>
    <row r="860" ht="15.75" customHeight="1">
      <c r="A860" s="3"/>
      <c r="B860" s="2"/>
      <c r="C860" s="2"/>
      <c r="D860" s="474"/>
      <c r="E860" s="464"/>
      <c r="F860" s="2"/>
      <c r="G860" s="2"/>
      <c r="H860" s="2"/>
      <c r="I860" s="2"/>
      <c r="J860" s="2"/>
      <c r="K860" s="2"/>
      <c r="L860" s="2"/>
      <c r="M860" s="2"/>
      <c r="N860" s="2"/>
      <c r="O860" s="2"/>
      <c r="P860" s="2"/>
      <c r="Q860" s="2"/>
      <c r="S860" s="3"/>
      <c r="T860" s="3"/>
      <c r="U860" s="3"/>
      <c r="V860" s="3"/>
      <c r="W860" s="3"/>
      <c r="X860" s="3"/>
      <c r="Y860" s="3"/>
      <c r="Z860" s="3"/>
    </row>
    <row r="861" ht="15.75" customHeight="1">
      <c r="A861" s="3"/>
      <c r="B861" s="2"/>
      <c r="C861" s="2"/>
      <c r="D861" s="474"/>
      <c r="E861" s="464"/>
      <c r="F861" s="2"/>
      <c r="G861" s="2"/>
      <c r="H861" s="2"/>
      <c r="I861" s="2"/>
      <c r="J861" s="2"/>
      <c r="K861" s="2"/>
      <c r="L861" s="2"/>
      <c r="M861" s="2"/>
      <c r="N861" s="2"/>
      <c r="O861" s="2"/>
      <c r="P861" s="2"/>
      <c r="Q861" s="2"/>
      <c r="S861" s="3"/>
      <c r="T861" s="3"/>
      <c r="U861" s="3"/>
      <c r="V861" s="3"/>
      <c r="W861" s="3"/>
      <c r="X861" s="3"/>
      <c r="Y861" s="3"/>
      <c r="Z861" s="3"/>
    </row>
    <row r="862" ht="15.75" customHeight="1">
      <c r="A862" s="3"/>
      <c r="B862" s="2"/>
      <c r="C862" s="2"/>
      <c r="D862" s="474"/>
      <c r="E862" s="464"/>
      <c r="F862" s="2"/>
      <c r="G862" s="2"/>
      <c r="H862" s="2"/>
      <c r="I862" s="2"/>
      <c r="J862" s="2"/>
      <c r="K862" s="2"/>
      <c r="L862" s="2"/>
      <c r="M862" s="2"/>
      <c r="N862" s="2"/>
      <c r="O862" s="2"/>
      <c r="P862" s="2"/>
      <c r="Q862" s="2"/>
      <c r="S862" s="3"/>
      <c r="T862" s="3"/>
      <c r="U862" s="3"/>
      <c r="V862" s="3"/>
      <c r="W862" s="3"/>
      <c r="X862" s="3"/>
      <c r="Y862" s="3"/>
      <c r="Z862" s="3"/>
    </row>
    <row r="863" ht="15.75" customHeight="1">
      <c r="A863" s="3"/>
      <c r="B863" s="2"/>
      <c r="C863" s="2"/>
      <c r="D863" s="474"/>
      <c r="E863" s="464"/>
      <c r="F863" s="2"/>
      <c r="G863" s="2"/>
      <c r="H863" s="2"/>
      <c r="I863" s="2"/>
      <c r="J863" s="2"/>
      <c r="K863" s="2"/>
      <c r="L863" s="2"/>
      <c r="M863" s="2"/>
      <c r="N863" s="2"/>
      <c r="O863" s="2"/>
      <c r="P863" s="2"/>
      <c r="Q863" s="2"/>
      <c r="S863" s="3"/>
      <c r="T863" s="3"/>
      <c r="U863" s="3"/>
      <c r="V863" s="3"/>
      <c r="W863" s="3"/>
      <c r="X863" s="3"/>
      <c r="Y863" s="3"/>
      <c r="Z863" s="3"/>
    </row>
    <row r="864" ht="15.75" customHeight="1">
      <c r="A864" s="3"/>
      <c r="B864" s="2"/>
      <c r="C864" s="2"/>
      <c r="D864" s="474"/>
      <c r="E864" s="464"/>
      <c r="F864" s="2"/>
      <c r="G864" s="2"/>
      <c r="H864" s="2"/>
      <c r="I864" s="2"/>
      <c r="J864" s="2"/>
      <c r="K864" s="2"/>
      <c r="L864" s="2"/>
      <c r="M864" s="2"/>
      <c r="N864" s="2"/>
      <c r="O864" s="2"/>
      <c r="P864" s="2"/>
      <c r="Q864" s="2"/>
      <c r="S864" s="3"/>
      <c r="T864" s="3"/>
      <c r="U864" s="3"/>
      <c r="V864" s="3"/>
      <c r="W864" s="3"/>
      <c r="X864" s="3"/>
      <c r="Y864" s="3"/>
      <c r="Z864" s="3"/>
    </row>
    <row r="865" ht="15.75" customHeight="1">
      <c r="A865" s="3"/>
      <c r="B865" s="2"/>
      <c r="C865" s="2"/>
      <c r="D865" s="474"/>
      <c r="E865" s="464"/>
      <c r="F865" s="2"/>
      <c r="G865" s="2"/>
      <c r="H865" s="2"/>
      <c r="I865" s="2"/>
      <c r="J865" s="2"/>
      <c r="K865" s="2"/>
      <c r="L865" s="2"/>
      <c r="M865" s="2"/>
      <c r="N865" s="2"/>
      <c r="O865" s="2"/>
      <c r="P865" s="2"/>
      <c r="Q865" s="2"/>
      <c r="S865" s="3"/>
      <c r="T865" s="3"/>
      <c r="U865" s="3"/>
      <c r="V865" s="3"/>
      <c r="W865" s="3"/>
      <c r="X865" s="3"/>
      <c r="Y865" s="3"/>
      <c r="Z865" s="3"/>
    </row>
    <row r="866" ht="15.75" customHeight="1">
      <c r="A866" s="3"/>
      <c r="B866" s="2"/>
      <c r="C866" s="2"/>
      <c r="D866" s="474"/>
      <c r="E866" s="464"/>
      <c r="F866" s="2"/>
      <c r="G866" s="2"/>
      <c r="H866" s="2"/>
      <c r="I866" s="2"/>
      <c r="J866" s="2"/>
      <c r="K866" s="2"/>
      <c r="L866" s="2"/>
      <c r="M866" s="2"/>
      <c r="N866" s="2"/>
      <c r="O866" s="2"/>
      <c r="P866" s="2"/>
      <c r="Q866" s="2"/>
      <c r="S866" s="3"/>
      <c r="T866" s="3"/>
      <c r="U866" s="3"/>
      <c r="V866" s="3"/>
      <c r="W866" s="3"/>
      <c r="X866" s="3"/>
      <c r="Y866" s="3"/>
      <c r="Z866" s="3"/>
    </row>
    <row r="867" ht="15.75" customHeight="1">
      <c r="A867" s="3"/>
      <c r="B867" s="2"/>
      <c r="C867" s="2"/>
      <c r="D867" s="474"/>
      <c r="E867" s="464"/>
      <c r="F867" s="2"/>
      <c r="G867" s="2"/>
      <c r="H867" s="2"/>
      <c r="I867" s="2"/>
      <c r="J867" s="2"/>
      <c r="K867" s="2"/>
      <c r="L867" s="2"/>
      <c r="M867" s="2"/>
      <c r="N867" s="2"/>
      <c r="O867" s="2"/>
      <c r="P867" s="2"/>
      <c r="Q867" s="2"/>
      <c r="S867" s="3"/>
      <c r="T867" s="3"/>
      <c r="U867" s="3"/>
      <c r="V867" s="3"/>
      <c r="W867" s="3"/>
      <c r="X867" s="3"/>
      <c r="Y867" s="3"/>
      <c r="Z867" s="3"/>
    </row>
    <row r="868" ht="15.75" customHeight="1">
      <c r="A868" s="3"/>
      <c r="B868" s="2"/>
      <c r="C868" s="2"/>
      <c r="D868" s="474"/>
      <c r="E868" s="464"/>
      <c r="F868" s="2"/>
      <c r="G868" s="2"/>
      <c r="H868" s="2"/>
      <c r="I868" s="2"/>
      <c r="J868" s="2"/>
      <c r="K868" s="2"/>
      <c r="L868" s="2"/>
      <c r="M868" s="2"/>
      <c r="N868" s="2"/>
      <c r="O868" s="2"/>
      <c r="P868" s="2"/>
      <c r="Q868" s="2"/>
      <c r="S868" s="3"/>
      <c r="T868" s="3"/>
      <c r="U868" s="3"/>
      <c r="V868" s="3"/>
      <c r="W868" s="3"/>
      <c r="X868" s="3"/>
      <c r="Y868" s="3"/>
      <c r="Z868" s="3"/>
    </row>
    <row r="869" ht="15.75" customHeight="1">
      <c r="A869" s="3"/>
      <c r="B869" s="2"/>
      <c r="C869" s="2"/>
      <c r="D869" s="474"/>
      <c r="E869" s="464"/>
      <c r="F869" s="2"/>
      <c r="G869" s="2"/>
      <c r="H869" s="2"/>
      <c r="I869" s="2"/>
      <c r="J869" s="2"/>
      <c r="K869" s="2"/>
      <c r="L869" s="2"/>
      <c r="M869" s="2"/>
      <c r="N869" s="2"/>
      <c r="O869" s="2"/>
      <c r="P869" s="2"/>
      <c r="Q869" s="2"/>
      <c r="S869" s="3"/>
      <c r="T869" s="3"/>
      <c r="U869" s="3"/>
      <c r="V869" s="3"/>
      <c r="W869" s="3"/>
      <c r="X869" s="3"/>
      <c r="Y869" s="3"/>
      <c r="Z869" s="3"/>
    </row>
    <row r="870" ht="15.75" customHeight="1">
      <c r="A870" s="3"/>
      <c r="B870" s="2"/>
      <c r="C870" s="2"/>
      <c r="D870" s="474"/>
      <c r="E870" s="464"/>
      <c r="F870" s="2"/>
      <c r="G870" s="2"/>
      <c r="H870" s="2"/>
      <c r="I870" s="2"/>
      <c r="J870" s="2"/>
      <c r="K870" s="2"/>
      <c r="L870" s="2"/>
      <c r="M870" s="2"/>
      <c r="N870" s="2"/>
      <c r="O870" s="2"/>
      <c r="P870" s="2"/>
      <c r="Q870" s="2"/>
      <c r="S870" s="3"/>
      <c r="T870" s="3"/>
      <c r="U870" s="3"/>
      <c r="V870" s="3"/>
      <c r="W870" s="3"/>
      <c r="X870" s="3"/>
      <c r="Y870" s="3"/>
      <c r="Z870" s="3"/>
    </row>
    <row r="871" ht="15.75" customHeight="1">
      <c r="A871" s="3"/>
      <c r="B871" s="2"/>
      <c r="C871" s="2"/>
      <c r="D871" s="474"/>
      <c r="E871" s="464"/>
      <c r="F871" s="2"/>
      <c r="G871" s="2"/>
      <c r="H871" s="2"/>
      <c r="I871" s="2"/>
      <c r="J871" s="2"/>
      <c r="K871" s="2"/>
      <c r="L871" s="2"/>
      <c r="M871" s="2"/>
      <c r="N871" s="2"/>
      <c r="O871" s="2"/>
      <c r="P871" s="2"/>
      <c r="Q871" s="2"/>
      <c r="S871" s="3"/>
      <c r="T871" s="3"/>
      <c r="U871" s="3"/>
      <c r="V871" s="3"/>
      <c r="W871" s="3"/>
      <c r="X871" s="3"/>
      <c r="Y871" s="3"/>
      <c r="Z871" s="3"/>
    </row>
    <row r="872" ht="15.75" customHeight="1">
      <c r="A872" s="3"/>
      <c r="B872" s="2"/>
      <c r="C872" s="2"/>
      <c r="D872" s="474"/>
      <c r="E872" s="464"/>
      <c r="F872" s="2"/>
      <c r="G872" s="2"/>
      <c r="H872" s="2"/>
      <c r="I872" s="2"/>
      <c r="J872" s="2"/>
      <c r="K872" s="2"/>
      <c r="L872" s="2"/>
      <c r="M872" s="2"/>
      <c r="N872" s="2"/>
      <c r="O872" s="2"/>
      <c r="P872" s="2"/>
      <c r="Q872" s="2"/>
      <c r="S872" s="3"/>
      <c r="T872" s="3"/>
      <c r="U872" s="3"/>
      <c r="V872" s="3"/>
      <c r="W872" s="3"/>
      <c r="X872" s="3"/>
      <c r="Y872" s="3"/>
      <c r="Z872" s="3"/>
    </row>
    <row r="873" ht="15.75" customHeight="1">
      <c r="A873" s="3"/>
      <c r="B873" s="2"/>
      <c r="C873" s="2"/>
      <c r="D873" s="474"/>
      <c r="E873" s="464"/>
      <c r="F873" s="2"/>
      <c r="G873" s="2"/>
      <c r="H873" s="2"/>
      <c r="I873" s="2"/>
      <c r="J873" s="2"/>
      <c r="K873" s="2"/>
      <c r="L873" s="2"/>
      <c r="M873" s="2"/>
      <c r="N873" s="2"/>
      <c r="O873" s="2"/>
      <c r="P873" s="2"/>
      <c r="Q873" s="2"/>
      <c r="S873" s="3"/>
      <c r="T873" s="3"/>
      <c r="U873" s="3"/>
      <c r="V873" s="3"/>
      <c r="W873" s="3"/>
      <c r="X873" s="3"/>
      <c r="Y873" s="3"/>
      <c r="Z873" s="3"/>
    </row>
    <row r="874" ht="15.75" customHeight="1">
      <c r="A874" s="3"/>
      <c r="B874" s="2"/>
      <c r="C874" s="2"/>
      <c r="D874" s="474"/>
      <c r="E874" s="464"/>
      <c r="F874" s="2"/>
      <c r="G874" s="2"/>
      <c r="H874" s="2"/>
      <c r="I874" s="2"/>
      <c r="J874" s="2"/>
      <c r="K874" s="2"/>
      <c r="L874" s="2"/>
      <c r="M874" s="2"/>
      <c r="N874" s="2"/>
      <c r="O874" s="2"/>
      <c r="P874" s="2"/>
      <c r="Q874" s="2"/>
      <c r="S874" s="3"/>
      <c r="T874" s="3"/>
      <c r="U874" s="3"/>
      <c r="V874" s="3"/>
      <c r="W874" s="3"/>
      <c r="X874" s="3"/>
      <c r="Y874" s="3"/>
      <c r="Z874" s="3"/>
    </row>
    <row r="875" ht="15.75" customHeight="1">
      <c r="A875" s="3"/>
      <c r="B875" s="2"/>
      <c r="C875" s="2"/>
      <c r="D875" s="474"/>
      <c r="E875" s="464"/>
      <c r="F875" s="2"/>
      <c r="G875" s="2"/>
      <c r="H875" s="2"/>
      <c r="I875" s="2"/>
      <c r="J875" s="2"/>
      <c r="K875" s="2"/>
      <c r="L875" s="2"/>
      <c r="M875" s="2"/>
      <c r="N875" s="2"/>
      <c r="O875" s="2"/>
      <c r="P875" s="2"/>
      <c r="Q875" s="2"/>
      <c r="S875" s="3"/>
      <c r="T875" s="3"/>
      <c r="U875" s="3"/>
      <c r="V875" s="3"/>
      <c r="W875" s="3"/>
      <c r="X875" s="3"/>
      <c r="Y875" s="3"/>
      <c r="Z875" s="3"/>
    </row>
    <row r="876" ht="15.75" customHeight="1">
      <c r="A876" s="3"/>
      <c r="B876" s="2"/>
      <c r="C876" s="2"/>
      <c r="D876" s="474"/>
      <c r="E876" s="464"/>
      <c r="F876" s="2"/>
      <c r="G876" s="2"/>
      <c r="H876" s="2"/>
      <c r="I876" s="2"/>
      <c r="J876" s="2"/>
      <c r="K876" s="2"/>
      <c r="L876" s="2"/>
      <c r="M876" s="2"/>
      <c r="N876" s="2"/>
      <c r="O876" s="2"/>
      <c r="P876" s="2"/>
      <c r="Q876" s="2"/>
      <c r="S876" s="3"/>
      <c r="T876" s="3"/>
      <c r="U876" s="3"/>
      <c r="V876" s="3"/>
      <c r="W876" s="3"/>
      <c r="X876" s="3"/>
      <c r="Y876" s="3"/>
      <c r="Z876" s="3"/>
    </row>
    <row r="877" ht="15.75" customHeight="1">
      <c r="A877" s="3"/>
      <c r="B877" s="2"/>
      <c r="C877" s="2"/>
      <c r="D877" s="474"/>
      <c r="E877" s="464"/>
      <c r="F877" s="2"/>
      <c r="G877" s="2"/>
      <c r="H877" s="2"/>
      <c r="I877" s="2"/>
      <c r="J877" s="2"/>
      <c r="K877" s="2"/>
      <c r="L877" s="2"/>
      <c r="M877" s="2"/>
      <c r="N877" s="2"/>
      <c r="O877" s="2"/>
      <c r="P877" s="2"/>
      <c r="Q877" s="2"/>
      <c r="S877" s="3"/>
      <c r="T877" s="3"/>
      <c r="U877" s="3"/>
      <c r="V877" s="3"/>
      <c r="W877" s="3"/>
      <c r="X877" s="3"/>
      <c r="Y877" s="3"/>
      <c r="Z877" s="3"/>
    </row>
    <row r="878" ht="15.75" customHeight="1">
      <c r="A878" s="3"/>
      <c r="B878" s="2"/>
      <c r="C878" s="2"/>
      <c r="D878" s="474"/>
      <c r="E878" s="464"/>
      <c r="F878" s="2"/>
      <c r="G878" s="2"/>
      <c r="H878" s="2"/>
      <c r="I878" s="2"/>
      <c r="J878" s="2"/>
      <c r="K878" s="2"/>
      <c r="L878" s="2"/>
      <c r="M878" s="2"/>
      <c r="N878" s="2"/>
      <c r="O878" s="2"/>
      <c r="P878" s="2"/>
      <c r="Q878" s="2"/>
      <c r="S878" s="3"/>
      <c r="T878" s="3"/>
      <c r="U878" s="3"/>
      <c r="V878" s="3"/>
      <c r="W878" s="3"/>
      <c r="X878" s="3"/>
      <c r="Y878" s="3"/>
      <c r="Z878" s="3"/>
    </row>
    <row r="879" ht="15.75" customHeight="1">
      <c r="A879" s="3"/>
      <c r="B879" s="2"/>
      <c r="C879" s="2"/>
      <c r="D879" s="474"/>
      <c r="E879" s="464"/>
      <c r="F879" s="2"/>
      <c r="G879" s="2"/>
      <c r="H879" s="2"/>
      <c r="I879" s="2"/>
      <c r="J879" s="2"/>
      <c r="K879" s="2"/>
      <c r="L879" s="2"/>
      <c r="M879" s="2"/>
      <c r="N879" s="2"/>
      <c r="O879" s="2"/>
      <c r="P879" s="2"/>
      <c r="Q879" s="2"/>
      <c r="S879" s="3"/>
      <c r="T879" s="3"/>
      <c r="U879" s="3"/>
      <c r="V879" s="3"/>
      <c r="W879" s="3"/>
      <c r="X879" s="3"/>
      <c r="Y879" s="3"/>
      <c r="Z879" s="3"/>
    </row>
    <row r="880" ht="15.75" customHeight="1">
      <c r="A880" s="3"/>
      <c r="B880" s="2"/>
      <c r="C880" s="2"/>
      <c r="D880" s="474"/>
      <c r="E880" s="464"/>
      <c r="F880" s="2"/>
      <c r="G880" s="2"/>
      <c r="H880" s="2"/>
      <c r="I880" s="2"/>
      <c r="J880" s="2"/>
      <c r="K880" s="2"/>
      <c r="L880" s="2"/>
      <c r="M880" s="2"/>
      <c r="N880" s="2"/>
      <c r="O880" s="2"/>
      <c r="P880" s="2"/>
      <c r="Q880" s="2"/>
      <c r="S880" s="3"/>
      <c r="T880" s="3"/>
      <c r="U880" s="3"/>
      <c r="V880" s="3"/>
      <c r="W880" s="3"/>
      <c r="X880" s="3"/>
      <c r="Y880" s="3"/>
      <c r="Z880" s="3"/>
    </row>
    <row r="881" ht="15.75" customHeight="1">
      <c r="A881" s="3"/>
      <c r="B881" s="2"/>
      <c r="C881" s="2"/>
      <c r="D881" s="474"/>
      <c r="E881" s="464"/>
      <c r="F881" s="2"/>
      <c r="G881" s="2"/>
      <c r="H881" s="2"/>
      <c r="I881" s="2"/>
      <c r="J881" s="2"/>
      <c r="K881" s="2"/>
      <c r="L881" s="2"/>
      <c r="M881" s="2"/>
      <c r="N881" s="2"/>
      <c r="O881" s="2"/>
      <c r="P881" s="2"/>
      <c r="Q881" s="2"/>
      <c r="S881" s="3"/>
      <c r="T881" s="3"/>
      <c r="U881" s="3"/>
      <c r="V881" s="3"/>
      <c r="W881" s="3"/>
      <c r="X881" s="3"/>
      <c r="Y881" s="3"/>
      <c r="Z881" s="3"/>
    </row>
    <row r="882" ht="15.75" customHeight="1">
      <c r="A882" s="3"/>
      <c r="B882" s="2"/>
      <c r="C882" s="2"/>
      <c r="D882" s="474"/>
      <c r="E882" s="464"/>
      <c r="F882" s="2"/>
      <c r="G882" s="2"/>
      <c r="H882" s="2"/>
      <c r="I882" s="2"/>
      <c r="J882" s="2"/>
      <c r="K882" s="2"/>
      <c r="L882" s="2"/>
      <c r="M882" s="2"/>
      <c r="N882" s="2"/>
      <c r="O882" s="2"/>
      <c r="P882" s="2"/>
      <c r="Q882" s="2"/>
      <c r="S882" s="3"/>
      <c r="T882" s="3"/>
      <c r="U882" s="3"/>
      <c r="V882" s="3"/>
      <c r="W882" s="3"/>
      <c r="X882" s="3"/>
      <c r="Y882" s="3"/>
      <c r="Z882" s="3"/>
    </row>
    <row r="883" ht="15.75" customHeight="1">
      <c r="A883" s="3"/>
      <c r="B883" s="2"/>
      <c r="C883" s="2"/>
      <c r="D883" s="474"/>
      <c r="E883" s="464"/>
      <c r="F883" s="2"/>
      <c r="G883" s="2"/>
      <c r="H883" s="2"/>
      <c r="I883" s="2"/>
      <c r="J883" s="2"/>
      <c r="K883" s="2"/>
      <c r="L883" s="2"/>
      <c r="M883" s="2"/>
      <c r="N883" s="2"/>
      <c r="O883" s="2"/>
      <c r="P883" s="2"/>
      <c r="Q883" s="2"/>
      <c r="S883" s="3"/>
      <c r="T883" s="3"/>
      <c r="U883" s="3"/>
      <c r="V883" s="3"/>
      <c r="W883" s="3"/>
      <c r="X883" s="3"/>
      <c r="Y883" s="3"/>
      <c r="Z883" s="3"/>
    </row>
    <row r="884" ht="15.75" customHeight="1">
      <c r="A884" s="3"/>
      <c r="B884" s="2"/>
      <c r="C884" s="2"/>
      <c r="D884" s="474"/>
      <c r="E884" s="464"/>
      <c r="F884" s="2"/>
      <c r="G884" s="2"/>
      <c r="H884" s="2"/>
      <c r="I884" s="2"/>
      <c r="J884" s="2"/>
      <c r="K884" s="2"/>
      <c r="L884" s="2"/>
      <c r="M884" s="2"/>
      <c r="N884" s="2"/>
      <c r="O884" s="2"/>
      <c r="P884" s="2"/>
      <c r="Q884" s="2"/>
      <c r="S884" s="3"/>
      <c r="T884" s="3"/>
      <c r="U884" s="3"/>
      <c r="V884" s="3"/>
      <c r="W884" s="3"/>
      <c r="X884" s="3"/>
      <c r="Y884" s="3"/>
      <c r="Z884" s="3"/>
    </row>
    <row r="885" ht="15.75" customHeight="1">
      <c r="A885" s="3"/>
      <c r="B885" s="2"/>
      <c r="C885" s="2"/>
      <c r="D885" s="474"/>
      <c r="E885" s="464"/>
      <c r="F885" s="2"/>
      <c r="G885" s="2"/>
      <c r="H885" s="2"/>
      <c r="I885" s="2"/>
      <c r="J885" s="2"/>
      <c r="K885" s="2"/>
      <c r="L885" s="2"/>
      <c r="M885" s="2"/>
      <c r="N885" s="2"/>
      <c r="O885" s="2"/>
      <c r="P885" s="2"/>
      <c r="Q885" s="2"/>
      <c r="S885" s="3"/>
      <c r="T885" s="3"/>
      <c r="U885" s="3"/>
      <c r="V885" s="3"/>
      <c r="W885" s="3"/>
      <c r="X885" s="3"/>
      <c r="Y885" s="3"/>
      <c r="Z885" s="3"/>
    </row>
    <row r="886" ht="15.75" customHeight="1">
      <c r="A886" s="3"/>
      <c r="B886" s="2"/>
      <c r="C886" s="2"/>
      <c r="D886" s="474"/>
      <c r="E886" s="464"/>
      <c r="F886" s="2"/>
      <c r="G886" s="2"/>
      <c r="H886" s="2"/>
      <c r="I886" s="2"/>
      <c r="J886" s="2"/>
      <c r="K886" s="2"/>
      <c r="L886" s="2"/>
      <c r="M886" s="2"/>
      <c r="N886" s="2"/>
      <c r="O886" s="2"/>
      <c r="P886" s="2"/>
      <c r="Q886" s="2"/>
      <c r="S886" s="3"/>
      <c r="T886" s="3"/>
      <c r="U886" s="3"/>
      <c r="V886" s="3"/>
      <c r="W886" s="3"/>
      <c r="X886" s="3"/>
      <c r="Y886" s="3"/>
      <c r="Z886" s="3"/>
    </row>
    <row r="887" ht="15.75" customHeight="1">
      <c r="A887" s="3"/>
      <c r="B887" s="2"/>
      <c r="C887" s="2"/>
      <c r="D887" s="474"/>
      <c r="E887" s="464"/>
      <c r="F887" s="2"/>
      <c r="G887" s="2"/>
      <c r="H887" s="2"/>
      <c r="I887" s="2"/>
      <c r="J887" s="2"/>
      <c r="K887" s="2"/>
      <c r="L887" s="2"/>
      <c r="M887" s="2"/>
      <c r="N887" s="2"/>
      <c r="O887" s="2"/>
      <c r="P887" s="2"/>
      <c r="Q887" s="2"/>
      <c r="S887" s="3"/>
      <c r="T887" s="3"/>
      <c r="U887" s="3"/>
      <c r="V887" s="3"/>
      <c r="W887" s="3"/>
      <c r="X887" s="3"/>
      <c r="Y887" s="3"/>
      <c r="Z887" s="3"/>
    </row>
    <row r="888" ht="15.75" customHeight="1">
      <c r="A888" s="3"/>
      <c r="B888" s="2"/>
      <c r="C888" s="2"/>
      <c r="D888" s="474"/>
      <c r="E888" s="464"/>
      <c r="F888" s="2"/>
      <c r="G888" s="2"/>
      <c r="H888" s="2"/>
      <c r="I888" s="2"/>
      <c r="J888" s="2"/>
      <c r="K888" s="2"/>
      <c r="L888" s="2"/>
      <c r="M888" s="2"/>
      <c r="N888" s="2"/>
      <c r="O888" s="2"/>
      <c r="P888" s="2"/>
      <c r="Q888" s="2"/>
      <c r="S888" s="3"/>
      <c r="T888" s="3"/>
      <c r="U888" s="3"/>
      <c r="V888" s="3"/>
      <c r="W888" s="3"/>
      <c r="X888" s="3"/>
      <c r="Y888" s="3"/>
      <c r="Z888" s="3"/>
    </row>
    <row r="889" ht="15.75" customHeight="1">
      <c r="A889" s="3"/>
      <c r="B889" s="2"/>
      <c r="C889" s="2"/>
      <c r="D889" s="474"/>
      <c r="E889" s="464"/>
      <c r="F889" s="2"/>
      <c r="G889" s="2"/>
      <c r="H889" s="2"/>
      <c r="I889" s="2"/>
      <c r="J889" s="2"/>
      <c r="K889" s="2"/>
      <c r="L889" s="2"/>
      <c r="M889" s="2"/>
      <c r="N889" s="2"/>
      <c r="O889" s="2"/>
      <c r="P889" s="2"/>
      <c r="Q889" s="2"/>
      <c r="S889" s="3"/>
      <c r="T889" s="3"/>
      <c r="U889" s="3"/>
      <c r="V889" s="3"/>
      <c r="W889" s="3"/>
      <c r="X889" s="3"/>
      <c r="Y889" s="3"/>
      <c r="Z889" s="3"/>
    </row>
    <row r="890" ht="15.75" customHeight="1">
      <c r="A890" s="3"/>
      <c r="B890" s="2"/>
      <c r="C890" s="2"/>
      <c r="D890" s="474"/>
      <c r="E890" s="464"/>
      <c r="F890" s="2"/>
      <c r="G890" s="2"/>
      <c r="H890" s="2"/>
      <c r="I890" s="2"/>
      <c r="J890" s="2"/>
      <c r="K890" s="2"/>
      <c r="L890" s="2"/>
      <c r="M890" s="2"/>
      <c r="N890" s="2"/>
      <c r="O890" s="2"/>
      <c r="P890" s="2"/>
      <c r="Q890" s="2"/>
      <c r="S890" s="3"/>
      <c r="T890" s="3"/>
      <c r="U890" s="3"/>
      <c r="V890" s="3"/>
      <c r="W890" s="3"/>
      <c r="X890" s="3"/>
      <c r="Y890" s="3"/>
      <c r="Z890" s="3"/>
    </row>
    <row r="891" ht="15.75" customHeight="1">
      <c r="A891" s="3"/>
      <c r="B891" s="2"/>
      <c r="C891" s="2"/>
      <c r="D891" s="474"/>
      <c r="E891" s="464"/>
      <c r="F891" s="2"/>
      <c r="G891" s="2"/>
      <c r="H891" s="2"/>
      <c r="I891" s="2"/>
      <c r="J891" s="2"/>
      <c r="K891" s="2"/>
      <c r="L891" s="2"/>
      <c r="M891" s="2"/>
      <c r="N891" s="2"/>
      <c r="O891" s="2"/>
      <c r="P891" s="2"/>
      <c r="Q891" s="2"/>
      <c r="S891" s="3"/>
      <c r="T891" s="3"/>
      <c r="U891" s="3"/>
      <c r="V891" s="3"/>
      <c r="W891" s="3"/>
      <c r="X891" s="3"/>
      <c r="Y891" s="3"/>
      <c r="Z891" s="3"/>
    </row>
    <row r="892" ht="15.75" customHeight="1">
      <c r="A892" s="3"/>
      <c r="B892" s="2"/>
      <c r="C892" s="2"/>
      <c r="D892" s="474"/>
      <c r="E892" s="464"/>
      <c r="F892" s="2"/>
      <c r="G892" s="2"/>
      <c r="H892" s="2"/>
      <c r="I892" s="2"/>
      <c r="J892" s="2"/>
      <c r="K892" s="2"/>
      <c r="L892" s="2"/>
      <c r="M892" s="2"/>
      <c r="N892" s="2"/>
      <c r="O892" s="2"/>
      <c r="P892" s="2"/>
      <c r="Q892" s="2"/>
      <c r="S892" s="3"/>
      <c r="T892" s="3"/>
      <c r="U892" s="3"/>
      <c r="V892" s="3"/>
      <c r="W892" s="3"/>
      <c r="X892" s="3"/>
      <c r="Y892" s="3"/>
      <c r="Z892" s="3"/>
    </row>
    <row r="893" ht="15.75" customHeight="1">
      <c r="A893" s="3"/>
      <c r="B893" s="2"/>
      <c r="C893" s="2"/>
      <c r="D893" s="474"/>
      <c r="E893" s="464"/>
      <c r="F893" s="2"/>
      <c r="G893" s="2"/>
      <c r="H893" s="2"/>
      <c r="I893" s="2"/>
      <c r="J893" s="2"/>
      <c r="K893" s="2"/>
      <c r="L893" s="2"/>
      <c r="M893" s="2"/>
      <c r="N893" s="2"/>
      <c r="O893" s="2"/>
      <c r="P893" s="2"/>
      <c r="Q893" s="2"/>
      <c r="S893" s="3"/>
      <c r="T893" s="3"/>
      <c r="U893" s="3"/>
      <c r="V893" s="3"/>
      <c r="W893" s="3"/>
      <c r="X893" s="3"/>
      <c r="Y893" s="3"/>
      <c r="Z893" s="3"/>
    </row>
    <row r="894" ht="15.75" customHeight="1">
      <c r="A894" s="3"/>
      <c r="B894" s="2"/>
      <c r="C894" s="2"/>
      <c r="D894" s="474"/>
      <c r="E894" s="464"/>
      <c r="F894" s="2"/>
      <c r="G894" s="2"/>
      <c r="H894" s="2"/>
      <c r="I894" s="2"/>
      <c r="J894" s="2"/>
      <c r="K894" s="2"/>
      <c r="L894" s="2"/>
      <c r="M894" s="2"/>
      <c r="N894" s="2"/>
      <c r="O894" s="2"/>
      <c r="P894" s="2"/>
      <c r="Q894" s="2"/>
      <c r="S894" s="3"/>
      <c r="T894" s="3"/>
      <c r="U894" s="3"/>
      <c r="V894" s="3"/>
      <c r="W894" s="3"/>
      <c r="X894" s="3"/>
      <c r="Y894" s="3"/>
      <c r="Z894" s="3"/>
    </row>
    <row r="895" ht="15.75" customHeight="1">
      <c r="A895" s="3"/>
      <c r="B895" s="2"/>
      <c r="C895" s="2"/>
      <c r="D895" s="474"/>
      <c r="E895" s="464"/>
      <c r="F895" s="2"/>
      <c r="G895" s="2"/>
      <c r="H895" s="2"/>
      <c r="I895" s="2"/>
      <c r="J895" s="2"/>
      <c r="K895" s="2"/>
      <c r="L895" s="2"/>
      <c r="M895" s="2"/>
      <c r="N895" s="2"/>
      <c r="O895" s="2"/>
      <c r="P895" s="2"/>
      <c r="Q895" s="2"/>
      <c r="S895" s="3"/>
      <c r="T895" s="3"/>
      <c r="U895" s="3"/>
      <c r="V895" s="3"/>
      <c r="W895" s="3"/>
      <c r="X895" s="3"/>
      <c r="Y895" s="3"/>
      <c r="Z895" s="3"/>
    </row>
    <row r="896" ht="15.75" customHeight="1">
      <c r="A896" s="3"/>
      <c r="B896" s="2"/>
      <c r="C896" s="2"/>
      <c r="D896" s="474"/>
      <c r="E896" s="464"/>
      <c r="F896" s="2"/>
      <c r="G896" s="2"/>
      <c r="H896" s="2"/>
      <c r="I896" s="2"/>
      <c r="J896" s="2"/>
      <c r="K896" s="2"/>
      <c r="L896" s="2"/>
      <c r="M896" s="2"/>
      <c r="N896" s="2"/>
      <c r="O896" s="2"/>
      <c r="P896" s="2"/>
      <c r="Q896" s="2"/>
      <c r="S896" s="3"/>
      <c r="T896" s="3"/>
      <c r="U896" s="3"/>
      <c r="V896" s="3"/>
      <c r="W896" s="3"/>
      <c r="X896" s="3"/>
      <c r="Y896" s="3"/>
      <c r="Z896" s="3"/>
    </row>
    <row r="897" ht="15.75" customHeight="1">
      <c r="A897" s="3"/>
      <c r="B897" s="2"/>
      <c r="C897" s="2"/>
      <c r="D897" s="474"/>
      <c r="E897" s="464"/>
      <c r="F897" s="2"/>
      <c r="G897" s="2"/>
      <c r="H897" s="2"/>
      <c r="I897" s="2"/>
      <c r="J897" s="2"/>
      <c r="K897" s="2"/>
      <c r="L897" s="2"/>
      <c r="M897" s="2"/>
      <c r="N897" s="2"/>
      <c r="O897" s="2"/>
      <c r="P897" s="2"/>
      <c r="Q897" s="2"/>
      <c r="S897" s="3"/>
      <c r="T897" s="3"/>
      <c r="U897" s="3"/>
      <c r="V897" s="3"/>
      <c r="W897" s="3"/>
      <c r="X897" s="3"/>
      <c r="Y897" s="3"/>
      <c r="Z897" s="3"/>
    </row>
    <row r="898" ht="15.75" customHeight="1">
      <c r="A898" s="3"/>
      <c r="B898" s="2"/>
      <c r="C898" s="2"/>
      <c r="D898" s="474"/>
      <c r="E898" s="464"/>
      <c r="F898" s="2"/>
      <c r="G898" s="2"/>
      <c r="H898" s="2"/>
      <c r="I898" s="2"/>
      <c r="J898" s="2"/>
      <c r="K898" s="2"/>
      <c r="L898" s="2"/>
      <c r="M898" s="2"/>
      <c r="N898" s="2"/>
      <c r="O898" s="2"/>
      <c r="P898" s="2"/>
      <c r="Q898" s="2"/>
      <c r="S898" s="3"/>
      <c r="T898" s="3"/>
      <c r="U898" s="3"/>
      <c r="V898" s="3"/>
      <c r="W898" s="3"/>
      <c r="X898" s="3"/>
      <c r="Y898" s="3"/>
      <c r="Z898" s="3"/>
    </row>
    <row r="899" ht="15.75" customHeight="1">
      <c r="A899" s="3"/>
      <c r="B899" s="2"/>
      <c r="C899" s="2"/>
      <c r="D899" s="474"/>
      <c r="E899" s="464"/>
      <c r="F899" s="2"/>
      <c r="G899" s="2"/>
      <c r="H899" s="2"/>
      <c r="I899" s="2"/>
      <c r="J899" s="2"/>
      <c r="K899" s="2"/>
      <c r="L899" s="2"/>
      <c r="M899" s="2"/>
      <c r="N899" s="2"/>
      <c r="O899" s="2"/>
      <c r="P899" s="2"/>
      <c r="Q899" s="2"/>
      <c r="S899" s="3"/>
      <c r="T899" s="3"/>
      <c r="U899" s="3"/>
      <c r="V899" s="3"/>
      <c r="W899" s="3"/>
      <c r="X899" s="3"/>
      <c r="Y899" s="3"/>
      <c r="Z899" s="3"/>
    </row>
    <row r="900" ht="15.75" customHeight="1">
      <c r="A900" s="3"/>
      <c r="B900" s="2"/>
      <c r="C900" s="2"/>
      <c r="D900" s="474"/>
      <c r="E900" s="464"/>
      <c r="F900" s="2"/>
      <c r="G900" s="2"/>
      <c r="H900" s="2"/>
      <c r="I900" s="2"/>
      <c r="J900" s="2"/>
      <c r="K900" s="2"/>
      <c r="L900" s="2"/>
      <c r="M900" s="2"/>
      <c r="N900" s="2"/>
      <c r="O900" s="2"/>
      <c r="P900" s="2"/>
      <c r="Q900" s="2"/>
      <c r="S900" s="3"/>
      <c r="T900" s="3"/>
      <c r="U900" s="3"/>
      <c r="V900" s="3"/>
      <c r="W900" s="3"/>
      <c r="X900" s="3"/>
      <c r="Y900" s="3"/>
      <c r="Z900" s="3"/>
    </row>
    <row r="901" ht="15.75" customHeight="1">
      <c r="A901" s="3"/>
      <c r="B901" s="2"/>
      <c r="C901" s="2"/>
      <c r="D901" s="474"/>
      <c r="E901" s="464"/>
      <c r="F901" s="2"/>
      <c r="G901" s="2"/>
      <c r="H901" s="2"/>
      <c r="I901" s="2"/>
      <c r="J901" s="2"/>
      <c r="K901" s="2"/>
      <c r="L901" s="2"/>
      <c r="M901" s="2"/>
      <c r="N901" s="2"/>
      <c r="O901" s="2"/>
      <c r="P901" s="2"/>
      <c r="Q901" s="2"/>
      <c r="S901" s="3"/>
      <c r="T901" s="3"/>
      <c r="U901" s="3"/>
      <c r="V901" s="3"/>
      <c r="W901" s="3"/>
      <c r="X901" s="3"/>
      <c r="Y901" s="3"/>
      <c r="Z901" s="3"/>
    </row>
    <row r="902" ht="15.75" customHeight="1">
      <c r="A902" s="3"/>
      <c r="B902" s="2"/>
      <c r="C902" s="2"/>
      <c r="D902" s="474"/>
      <c r="E902" s="464"/>
      <c r="F902" s="2"/>
      <c r="G902" s="2"/>
      <c r="H902" s="2"/>
      <c r="I902" s="2"/>
      <c r="J902" s="2"/>
      <c r="K902" s="2"/>
      <c r="L902" s="2"/>
      <c r="M902" s="2"/>
      <c r="N902" s="2"/>
      <c r="O902" s="2"/>
      <c r="P902" s="2"/>
      <c r="Q902" s="2"/>
      <c r="S902" s="3"/>
      <c r="T902" s="3"/>
      <c r="U902" s="3"/>
      <c r="V902" s="3"/>
      <c r="W902" s="3"/>
      <c r="X902" s="3"/>
      <c r="Y902" s="3"/>
      <c r="Z902" s="3"/>
    </row>
    <row r="903" ht="15.75" customHeight="1">
      <c r="A903" s="3"/>
      <c r="B903" s="2"/>
      <c r="C903" s="2"/>
      <c r="D903" s="474"/>
      <c r="E903" s="464"/>
      <c r="F903" s="2"/>
      <c r="G903" s="2"/>
      <c r="H903" s="2"/>
      <c r="I903" s="2"/>
      <c r="J903" s="2"/>
      <c r="K903" s="2"/>
      <c r="L903" s="2"/>
      <c r="M903" s="2"/>
      <c r="N903" s="2"/>
      <c r="O903" s="2"/>
      <c r="P903" s="2"/>
      <c r="Q903" s="2"/>
      <c r="S903" s="3"/>
      <c r="T903" s="3"/>
      <c r="U903" s="3"/>
      <c r="V903" s="3"/>
      <c r="W903" s="3"/>
      <c r="X903" s="3"/>
      <c r="Y903" s="3"/>
      <c r="Z903" s="3"/>
    </row>
    <row r="904" ht="15.75" customHeight="1">
      <c r="A904" s="3"/>
      <c r="B904" s="2"/>
      <c r="C904" s="2"/>
      <c r="D904" s="474"/>
      <c r="E904" s="464"/>
      <c r="F904" s="2"/>
      <c r="G904" s="2"/>
      <c r="H904" s="2"/>
      <c r="I904" s="2"/>
      <c r="J904" s="2"/>
      <c r="K904" s="2"/>
      <c r="L904" s="2"/>
      <c r="M904" s="2"/>
      <c r="N904" s="2"/>
      <c r="O904" s="2"/>
      <c r="P904" s="2"/>
      <c r="Q904" s="2"/>
      <c r="S904" s="3"/>
      <c r="T904" s="3"/>
      <c r="U904" s="3"/>
      <c r="V904" s="3"/>
      <c r="W904" s="3"/>
      <c r="X904" s="3"/>
      <c r="Y904" s="3"/>
      <c r="Z904" s="3"/>
    </row>
    <row r="905" ht="15.75" customHeight="1">
      <c r="A905" s="3"/>
      <c r="B905" s="2"/>
      <c r="C905" s="2"/>
      <c r="D905" s="474"/>
      <c r="E905" s="464"/>
      <c r="F905" s="2"/>
      <c r="G905" s="2"/>
      <c r="H905" s="2"/>
      <c r="I905" s="2"/>
      <c r="J905" s="2"/>
      <c r="K905" s="2"/>
      <c r="L905" s="2"/>
      <c r="M905" s="2"/>
      <c r="N905" s="2"/>
      <c r="O905" s="2"/>
      <c r="P905" s="2"/>
      <c r="Q905" s="2"/>
      <c r="S905" s="3"/>
      <c r="T905" s="3"/>
      <c r="U905" s="3"/>
      <c r="V905" s="3"/>
      <c r="W905" s="3"/>
      <c r="X905" s="3"/>
      <c r="Y905" s="3"/>
      <c r="Z905" s="3"/>
    </row>
    <row r="906" ht="15.75" customHeight="1">
      <c r="A906" s="3"/>
      <c r="B906" s="2"/>
      <c r="C906" s="2"/>
      <c r="D906" s="474"/>
      <c r="E906" s="464"/>
      <c r="F906" s="2"/>
      <c r="G906" s="2"/>
      <c r="H906" s="2"/>
      <c r="I906" s="2"/>
      <c r="J906" s="2"/>
      <c r="K906" s="2"/>
      <c r="L906" s="2"/>
      <c r="M906" s="2"/>
      <c r="N906" s="2"/>
      <c r="O906" s="2"/>
      <c r="P906" s="2"/>
      <c r="Q906" s="2"/>
      <c r="S906" s="3"/>
      <c r="T906" s="3"/>
      <c r="U906" s="3"/>
      <c r="V906" s="3"/>
      <c r="W906" s="3"/>
      <c r="X906" s="3"/>
      <c r="Y906" s="3"/>
      <c r="Z906" s="3"/>
    </row>
    <row r="907" ht="15.75" customHeight="1">
      <c r="A907" s="3"/>
      <c r="B907" s="2"/>
      <c r="C907" s="2"/>
      <c r="D907" s="474"/>
      <c r="E907" s="464"/>
      <c r="F907" s="2"/>
      <c r="G907" s="2"/>
      <c r="H907" s="2"/>
      <c r="I907" s="2"/>
      <c r="J907" s="2"/>
      <c r="K907" s="2"/>
      <c r="L907" s="2"/>
      <c r="M907" s="2"/>
      <c r="N907" s="2"/>
      <c r="O907" s="2"/>
      <c r="P907" s="2"/>
      <c r="Q907" s="2"/>
      <c r="S907" s="3"/>
      <c r="T907" s="3"/>
      <c r="U907" s="3"/>
      <c r="V907" s="3"/>
      <c r="W907" s="3"/>
      <c r="X907" s="3"/>
      <c r="Y907" s="3"/>
      <c r="Z907" s="3"/>
    </row>
    <row r="908" ht="15.75" customHeight="1">
      <c r="A908" s="3"/>
      <c r="B908" s="2"/>
      <c r="C908" s="2"/>
      <c r="D908" s="474"/>
      <c r="E908" s="464"/>
      <c r="F908" s="2"/>
      <c r="G908" s="2"/>
      <c r="H908" s="2"/>
      <c r="I908" s="2"/>
      <c r="J908" s="2"/>
      <c r="K908" s="2"/>
      <c r="L908" s="2"/>
      <c r="M908" s="2"/>
      <c r="N908" s="2"/>
      <c r="O908" s="2"/>
      <c r="P908" s="2"/>
      <c r="Q908" s="2"/>
      <c r="S908" s="3"/>
      <c r="T908" s="3"/>
      <c r="U908" s="3"/>
      <c r="V908" s="3"/>
      <c r="W908" s="3"/>
      <c r="X908" s="3"/>
      <c r="Y908" s="3"/>
      <c r="Z908" s="3"/>
    </row>
    <row r="909" ht="15.75" customHeight="1">
      <c r="A909" s="3"/>
      <c r="B909" s="2"/>
      <c r="C909" s="2"/>
      <c r="D909" s="474"/>
      <c r="E909" s="464"/>
      <c r="F909" s="2"/>
      <c r="G909" s="2"/>
      <c r="H909" s="2"/>
      <c r="I909" s="2"/>
      <c r="J909" s="2"/>
      <c r="K909" s="2"/>
      <c r="L909" s="2"/>
      <c r="M909" s="2"/>
      <c r="N909" s="2"/>
      <c r="O909" s="2"/>
      <c r="P909" s="2"/>
      <c r="Q909" s="2"/>
      <c r="S909" s="3"/>
      <c r="T909" s="3"/>
      <c r="U909" s="3"/>
      <c r="V909" s="3"/>
      <c r="W909" s="3"/>
      <c r="X909" s="3"/>
      <c r="Y909" s="3"/>
      <c r="Z909" s="3"/>
    </row>
    <row r="910" ht="15.75" customHeight="1">
      <c r="A910" s="3"/>
      <c r="B910" s="2"/>
      <c r="C910" s="2"/>
      <c r="D910" s="474"/>
      <c r="E910" s="464"/>
      <c r="F910" s="2"/>
      <c r="G910" s="2"/>
      <c r="H910" s="2"/>
      <c r="I910" s="2"/>
      <c r="J910" s="2"/>
      <c r="K910" s="2"/>
      <c r="L910" s="2"/>
      <c r="M910" s="2"/>
      <c r="N910" s="2"/>
      <c r="O910" s="2"/>
      <c r="P910" s="2"/>
      <c r="Q910" s="2"/>
      <c r="S910" s="3"/>
      <c r="T910" s="3"/>
      <c r="U910" s="3"/>
      <c r="V910" s="3"/>
      <c r="W910" s="3"/>
      <c r="X910" s="3"/>
      <c r="Y910" s="3"/>
      <c r="Z910" s="3"/>
    </row>
    <row r="911" ht="15.75" customHeight="1">
      <c r="A911" s="3"/>
      <c r="B911" s="2"/>
      <c r="C911" s="2"/>
      <c r="D911" s="474"/>
      <c r="E911" s="464"/>
      <c r="F911" s="2"/>
      <c r="G911" s="2"/>
      <c r="H911" s="2"/>
      <c r="I911" s="2"/>
      <c r="J911" s="2"/>
      <c r="K911" s="2"/>
      <c r="L911" s="2"/>
      <c r="M911" s="2"/>
      <c r="N911" s="2"/>
      <c r="O911" s="2"/>
      <c r="P911" s="2"/>
      <c r="Q911" s="2"/>
      <c r="S911" s="3"/>
      <c r="T911" s="3"/>
      <c r="U911" s="3"/>
      <c r="V911" s="3"/>
      <c r="W911" s="3"/>
      <c r="X911" s="3"/>
      <c r="Y911" s="3"/>
      <c r="Z911" s="3"/>
    </row>
    <row r="912" ht="15.75" customHeight="1">
      <c r="A912" s="3"/>
      <c r="B912" s="2"/>
      <c r="C912" s="2"/>
      <c r="D912" s="474"/>
      <c r="E912" s="464"/>
      <c r="F912" s="2"/>
      <c r="G912" s="2"/>
      <c r="H912" s="2"/>
      <c r="I912" s="2"/>
      <c r="J912" s="2"/>
      <c r="K912" s="2"/>
      <c r="L912" s="2"/>
      <c r="M912" s="2"/>
      <c r="N912" s="2"/>
      <c r="O912" s="2"/>
      <c r="P912" s="2"/>
      <c r="Q912" s="2"/>
      <c r="S912" s="3"/>
      <c r="T912" s="3"/>
      <c r="U912" s="3"/>
      <c r="V912" s="3"/>
      <c r="W912" s="3"/>
      <c r="X912" s="3"/>
      <c r="Y912" s="3"/>
      <c r="Z912" s="3"/>
    </row>
    <row r="913" ht="15.75" customHeight="1">
      <c r="A913" s="3"/>
      <c r="B913" s="2"/>
      <c r="C913" s="2"/>
      <c r="D913" s="474"/>
      <c r="E913" s="464"/>
      <c r="F913" s="2"/>
      <c r="G913" s="2"/>
      <c r="H913" s="2"/>
      <c r="I913" s="2"/>
      <c r="J913" s="2"/>
      <c r="K913" s="2"/>
      <c r="L913" s="2"/>
      <c r="M913" s="2"/>
      <c r="N913" s="2"/>
      <c r="O913" s="2"/>
      <c r="P913" s="2"/>
      <c r="Q913" s="2"/>
      <c r="S913" s="3"/>
      <c r="T913" s="3"/>
      <c r="U913" s="3"/>
      <c r="V913" s="3"/>
      <c r="W913" s="3"/>
      <c r="X913" s="3"/>
      <c r="Y913" s="3"/>
      <c r="Z913" s="3"/>
    </row>
    <row r="914" ht="15.75" customHeight="1">
      <c r="A914" s="3"/>
      <c r="B914" s="2"/>
      <c r="C914" s="2"/>
      <c r="D914" s="474"/>
      <c r="E914" s="464"/>
      <c r="F914" s="2"/>
      <c r="G914" s="2"/>
      <c r="H914" s="2"/>
      <c r="I914" s="2"/>
      <c r="J914" s="2"/>
      <c r="K914" s="2"/>
      <c r="L914" s="2"/>
      <c r="M914" s="2"/>
      <c r="N914" s="2"/>
      <c r="O914" s="2"/>
      <c r="P914" s="2"/>
      <c r="Q914" s="2"/>
      <c r="S914" s="3"/>
      <c r="T914" s="3"/>
      <c r="U914" s="3"/>
      <c r="V914" s="3"/>
      <c r="W914" s="3"/>
      <c r="X914" s="3"/>
      <c r="Y914" s="3"/>
      <c r="Z914" s="3"/>
    </row>
    <row r="915" ht="15.75" customHeight="1">
      <c r="A915" s="3"/>
      <c r="B915" s="2"/>
      <c r="C915" s="2"/>
      <c r="D915" s="474"/>
      <c r="E915" s="464"/>
      <c r="F915" s="2"/>
      <c r="G915" s="2"/>
      <c r="H915" s="2"/>
      <c r="I915" s="2"/>
      <c r="J915" s="2"/>
      <c r="K915" s="2"/>
      <c r="L915" s="2"/>
      <c r="M915" s="2"/>
      <c r="N915" s="2"/>
      <c r="O915" s="2"/>
      <c r="P915" s="2"/>
      <c r="Q915" s="2"/>
      <c r="S915" s="3"/>
      <c r="T915" s="3"/>
      <c r="U915" s="3"/>
      <c r="V915" s="3"/>
      <c r="W915" s="3"/>
      <c r="X915" s="3"/>
      <c r="Y915" s="3"/>
      <c r="Z915" s="3"/>
    </row>
    <row r="916" ht="15.75" customHeight="1">
      <c r="A916" s="3"/>
      <c r="B916" s="2"/>
      <c r="C916" s="2"/>
      <c r="D916" s="474"/>
      <c r="E916" s="464"/>
      <c r="F916" s="2"/>
      <c r="G916" s="2"/>
      <c r="H916" s="2"/>
      <c r="I916" s="2"/>
      <c r="J916" s="2"/>
      <c r="K916" s="2"/>
      <c r="L916" s="2"/>
      <c r="M916" s="2"/>
      <c r="N916" s="2"/>
      <c r="O916" s="2"/>
      <c r="P916" s="2"/>
      <c r="Q916" s="2"/>
      <c r="S916" s="3"/>
      <c r="T916" s="3"/>
      <c r="U916" s="3"/>
      <c r="V916" s="3"/>
      <c r="W916" s="3"/>
      <c r="X916" s="3"/>
      <c r="Y916" s="3"/>
      <c r="Z916" s="3"/>
    </row>
    <row r="917" ht="15.75" customHeight="1">
      <c r="A917" s="3"/>
      <c r="B917" s="2"/>
      <c r="C917" s="2"/>
      <c r="D917" s="474"/>
      <c r="E917" s="464"/>
      <c r="F917" s="2"/>
      <c r="G917" s="2"/>
      <c r="H917" s="2"/>
      <c r="I917" s="2"/>
      <c r="J917" s="2"/>
      <c r="K917" s="2"/>
      <c r="L917" s="2"/>
      <c r="M917" s="2"/>
      <c r="N917" s="2"/>
      <c r="O917" s="2"/>
      <c r="P917" s="2"/>
      <c r="Q917" s="2"/>
      <c r="S917" s="3"/>
      <c r="T917" s="3"/>
      <c r="U917" s="3"/>
      <c r="V917" s="3"/>
      <c r="W917" s="3"/>
      <c r="X917" s="3"/>
      <c r="Y917" s="3"/>
      <c r="Z917" s="3"/>
    </row>
    <row r="918" ht="15.75" customHeight="1">
      <c r="A918" s="3"/>
      <c r="B918" s="2"/>
      <c r="C918" s="2"/>
      <c r="D918" s="474"/>
      <c r="E918" s="464"/>
      <c r="F918" s="2"/>
      <c r="G918" s="2"/>
      <c r="H918" s="2"/>
      <c r="I918" s="2"/>
      <c r="J918" s="2"/>
      <c r="K918" s="2"/>
      <c r="L918" s="2"/>
      <c r="M918" s="2"/>
      <c r="N918" s="2"/>
      <c r="O918" s="2"/>
      <c r="P918" s="2"/>
      <c r="Q918" s="2"/>
      <c r="S918" s="3"/>
      <c r="T918" s="3"/>
      <c r="U918" s="3"/>
      <c r="V918" s="3"/>
      <c r="W918" s="3"/>
      <c r="X918" s="3"/>
      <c r="Y918" s="3"/>
      <c r="Z918" s="3"/>
    </row>
    <row r="919" ht="15.75" customHeight="1">
      <c r="A919" s="3"/>
      <c r="B919" s="2"/>
      <c r="C919" s="2"/>
      <c r="D919" s="474"/>
      <c r="E919" s="464"/>
      <c r="F919" s="2"/>
      <c r="G919" s="2"/>
      <c r="H919" s="2"/>
      <c r="I919" s="2"/>
      <c r="J919" s="2"/>
      <c r="K919" s="2"/>
      <c r="L919" s="2"/>
      <c r="M919" s="2"/>
      <c r="N919" s="2"/>
      <c r="O919" s="2"/>
      <c r="P919" s="2"/>
      <c r="Q919" s="2"/>
      <c r="S919" s="3"/>
      <c r="T919" s="3"/>
      <c r="U919" s="3"/>
      <c r="V919" s="3"/>
      <c r="W919" s="3"/>
      <c r="X919" s="3"/>
      <c r="Y919" s="3"/>
      <c r="Z919" s="3"/>
    </row>
    <row r="920" ht="15.75" customHeight="1">
      <c r="A920" s="3"/>
      <c r="B920" s="2"/>
      <c r="C920" s="2"/>
      <c r="D920" s="474"/>
      <c r="E920" s="464"/>
      <c r="F920" s="2"/>
      <c r="G920" s="2"/>
      <c r="H920" s="2"/>
      <c r="I920" s="2"/>
      <c r="J920" s="2"/>
      <c r="K920" s="2"/>
      <c r="L920" s="2"/>
      <c r="M920" s="2"/>
      <c r="N920" s="2"/>
      <c r="O920" s="2"/>
      <c r="P920" s="2"/>
      <c r="Q920" s="2"/>
      <c r="S920" s="3"/>
      <c r="T920" s="3"/>
      <c r="U920" s="3"/>
      <c r="V920" s="3"/>
      <c r="W920" s="3"/>
      <c r="X920" s="3"/>
      <c r="Y920" s="3"/>
      <c r="Z920" s="3"/>
    </row>
    <row r="921" ht="15.75" customHeight="1">
      <c r="A921" s="3"/>
      <c r="B921" s="2"/>
      <c r="C921" s="2"/>
      <c r="D921" s="474"/>
      <c r="E921" s="464"/>
      <c r="F921" s="2"/>
      <c r="G921" s="2"/>
      <c r="H921" s="2"/>
      <c r="I921" s="2"/>
      <c r="J921" s="2"/>
      <c r="K921" s="2"/>
      <c r="L921" s="2"/>
      <c r="M921" s="2"/>
      <c r="N921" s="2"/>
      <c r="O921" s="2"/>
      <c r="P921" s="2"/>
      <c r="Q921" s="2"/>
      <c r="S921" s="3"/>
      <c r="T921" s="3"/>
      <c r="U921" s="3"/>
      <c r="V921" s="3"/>
      <c r="W921" s="3"/>
      <c r="X921" s="3"/>
      <c r="Y921" s="3"/>
      <c r="Z921" s="3"/>
    </row>
    <row r="922" ht="15.75" customHeight="1">
      <c r="A922" s="3"/>
      <c r="B922" s="2"/>
      <c r="C922" s="2"/>
      <c r="D922" s="474"/>
      <c r="E922" s="464"/>
      <c r="F922" s="2"/>
      <c r="G922" s="2"/>
      <c r="H922" s="2"/>
      <c r="I922" s="2"/>
      <c r="J922" s="2"/>
      <c r="K922" s="2"/>
      <c r="L922" s="2"/>
      <c r="M922" s="2"/>
      <c r="N922" s="2"/>
      <c r="O922" s="2"/>
      <c r="P922" s="2"/>
      <c r="Q922" s="2"/>
      <c r="S922" s="3"/>
      <c r="T922" s="3"/>
      <c r="U922" s="3"/>
      <c r="V922" s="3"/>
      <c r="W922" s="3"/>
      <c r="X922" s="3"/>
      <c r="Y922" s="3"/>
      <c r="Z922" s="3"/>
    </row>
    <row r="923" ht="15.75" customHeight="1">
      <c r="A923" s="3"/>
      <c r="B923" s="2"/>
      <c r="C923" s="2"/>
      <c r="D923" s="474"/>
      <c r="E923" s="464"/>
      <c r="F923" s="2"/>
      <c r="G923" s="2"/>
      <c r="H923" s="2"/>
      <c r="I923" s="2"/>
      <c r="J923" s="2"/>
      <c r="K923" s="2"/>
      <c r="L923" s="2"/>
      <c r="M923" s="2"/>
      <c r="N923" s="2"/>
      <c r="O923" s="2"/>
      <c r="P923" s="2"/>
      <c r="Q923" s="2"/>
      <c r="S923" s="3"/>
      <c r="T923" s="3"/>
      <c r="U923" s="3"/>
      <c r="V923" s="3"/>
      <c r="W923" s="3"/>
      <c r="X923" s="3"/>
      <c r="Y923" s="3"/>
      <c r="Z923" s="3"/>
    </row>
    <row r="924" ht="15.75" customHeight="1">
      <c r="A924" s="3"/>
      <c r="B924" s="2"/>
      <c r="C924" s="2"/>
      <c r="D924" s="474"/>
      <c r="E924" s="464"/>
      <c r="F924" s="2"/>
      <c r="G924" s="2"/>
      <c r="H924" s="2"/>
      <c r="I924" s="2"/>
      <c r="J924" s="2"/>
      <c r="K924" s="2"/>
      <c r="L924" s="2"/>
      <c r="M924" s="2"/>
      <c r="N924" s="2"/>
      <c r="O924" s="2"/>
      <c r="P924" s="2"/>
      <c r="Q924" s="2"/>
      <c r="S924" s="3"/>
      <c r="T924" s="3"/>
      <c r="U924" s="3"/>
      <c r="V924" s="3"/>
      <c r="W924" s="3"/>
      <c r="X924" s="3"/>
      <c r="Y924" s="3"/>
      <c r="Z924" s="3"/>
    </row>
    <row r="925" ht="15.75" customHeight="1">
      <c r="A925" s="3"/>
      <c r="B925" s="2"/>
      <c r="C925" s="2"/>
      <c r="D925" s="474"/>
      <c r="E925" s="464"/>
      <c r="F925" s="2"/>
      <c r="G925" s="2"/>
      <c r="H925" s="2"/>
      <c r="I925" s="2"/>
      <c r="J925" s="2"/>
      <c r="K925" s="2"/>
      <c r="L925" s="2"/>
      <c r="M925" s="2"/>
      <c r="N925" s="2"/>
      <c r="O925" s="2"/>
      <c r="P925" s="2"/>
      <c r="Q925" s="2"/>
      <c r="S925" s="3"/>
      <c r="T925" s="3"/>
      <c r="U925" s="3"/>
      <c r="V925" s="3"/>
      <c r="W925" s="3"/>
      <c r="X925" s="3"/>
      <c r="Y925" s="3"/>
      <c r="Z925" s="3"/>
    </row>
    <row r="926" ht="15.75" customHeight="1">
      <c r="A926" s="3"/>
      <c r="B926" s="2"/>
      <c r="C926" s="2"/>
      <c r="D926" s="474"/>
      <c r="E926" s="464"/>
      <c r="F926" s="2"/>
      <c r="G926" s="2"/>
      <c r="H926" s="2"/>
      <c r="I926" s="2"/>
      <c r="J926" s="2"/>
      <c r="K926" s="2"/>
      <c r="L926" s="2"/>
      <c r="M926" s="2"/>
      <c r="N926" s="2"/>
      <c r="O926" s="2"/>
      <c r="P926" s="2"/>
      <c r="Q926" s="2"/>
      <c r="S926" s="3"/>
      <c r="T926" s="3"/>
      <c r="U926" s="3"/>
      <c r="V926" s="3"/>
      <c r="W926" s="3"/>
      <c r="X926" s="3"/>
      <c r="Y926" s="3"/>
      <c r="Z926" s="3"/>
    </row>
    <row r="927" ht="15.75" customHeight="1">
      <c r="A927" s="3"/>
      <c r="B927" s="2"/>
      <c r="C927" s="2"/>
      <c r="D927" s="474"/>
      <c r="E927" s="464"/>
      <c r="F927" s="2"/>
      <c r="G927" s="2"/>
      <c r="H927" s="2"/>
      <c r="I927" s="2"/>
      <c r="J927" s="2"/>
      <c r="K927" s="2"/>
      <c r="L927" s="2"/>
      <c r="M927" s="2"/>
      <c r="N927" s="2"/>
      <c r="O927" s="2"/>
      <c r="P927" s="2"/>
      <c r="Q927" s="2"/>
      <c r="S927" s="3"/>
      <c r="T927" s="3"/>
      <c r="U927" s="3"/>
      <c r="V927" s="3"/>
      <c r="W927" s="3"/>
      <c r="X927" s="3"/>
      <c r="Y927" s="3"/>
      <c r="Z927" s="3"/>
    </row>
    <row r="928" ht="15.75" customHeight="1">
      <c r="A928" s="3"/>
      <c r="B928" s="2"/>
      <c r="C928" s="2"/>
      <c r="D928" s="474"/>
      <c r="E928" s="464"/>
      <c r="F928" s="2"/>
      <c r="G928" s="2"/>
      <c r="H928" s="2"/>
      <c r="I928" s="2"/>
      <c r="J928" s="2"/>
      <c r="K928" s="2"/>
      <c r="L928" s="2"/>
      <c r="M928" s="2"/>
      <c r="N928" s="2"/>
      <c r="O928" s="2"/>
      <c r="P928" s="2"/>
      <c r="Q928" s="2"/>
      <c r="S928" s="3"/>
      <c r="T928" s="3"/>
      <c r="U928" s="3"/>
      <c r="V928" s="3"/>
      <c r="W928" s="3"/>
      <c r="X928" s="3"/>
      <c r="Y928" s="3"/>
      <c r="Z928" s="3"/>
    </row>
    <row r="929" ht="15.75" customHeight="1">
      <c r="A929" s="3"/>
      <c r="B929" s="2"/>
      <c r="C929" s="2"/>
      <c r="D929" s="474"/>
      <c r="E929" s="464"/>
      <c r="F929" s="2"/>
      <c r="G929" s="2"/>
      <c r="H929" s="2"/>
      <c r="I929" s="2"/>
      <c r="J929" s="2"/>
      <c r="K929" s="2"/>
      <c r="L929" s="2"/>
      <c r="M929" s="2"/>
      <c r="N929" s="2"/>
      <c r="O929" s="2"/>
      <c r="P929" s="2"/>
      <c r="Q929" s="2"/>
      <c r="S929" s="3"/>
      <c r="T929" s="3"/>
      <c r="U929" s="3"/>
      <c r="V929" s="3"/>
      <c r="W929" s="3"/>
      <c r="X929" s="3"/>
      <c r="Y929" s="3"/>
      <c r="Z929" s="3"/>
    </row>
    <row r="930" ht="15.75" customHeight="1">
      <c r="A930" s="3"/>
      <c r="B930" s="2"/>
      <c r="C930" s="2"/>
      <c r="D930" s="474"/>
      <c r="E930" s="464"/>
      <c r="F930" s="2"/>
      <c r="G930" s="2"/>
      <c r="H930" s="2"/>
      <c r="I930" s="2"/>
      <c r="J930" s="2"/>
      <c r="K930" s="2"/>
      <c r="L930" s="2"/>
      <c r="M930" s="2"/>
      <c r="N930" s="2"/>
      <c r="O930" s="2"/>
      <c r="P930" s="2"/>
      <c r="Q930" s="2"/>
      <c r="S930" s="3"/>
      <c r="T930" s="3"/>
      <c r="U930" s="3"/>
      <c r="V930" s="3"/>
      <c r="W930" s="3"/>
      <c r="X930" s="3"/>
      <c r="Y930" s="3"/>
      <c r="Z930" s="3"/>
    </row>
    <row r="931" ht="15.75" customHeight="1">
      <c r="A931" s="3"/>
      <c r="B931" s="2"/>
      <c r="C931" s="2"/>
      <c r="D931" s="474"/>
      <c r="E931" s="464"/>
      <c r="F931" s="2"/>
      <c r="G931" s="2"/>
      <c r="H931" s="2"/>
      <c r="I931" s="2"/>
      <c r="J931" s="2"/>
      <c r="K931" s="2"/>
      <c r="L931" s="2"/>
      <c r="M931" s="2"/>
      <c r="N931" s="2"/>
      <c r="O931" s="2"/>
      <c r="P931" s="2"/>
      <c r="Q931" s="2"/>
      <c r="S931" s="3"/>
      <c r="T931" s="3"/>
      <c r="U931" s="3"/>
      <c r="V931" s="3"/>
      <c r="W931" s="3"/>
      <c r="X931" s="3"/>
      <c r="Y931" s="3"/>
      <c r="Z931" s="3"/>
    </row>
    <row r="932" ht="15.75" customHeight="1">
      <c r="A932" s="3"/>
      <c r="B932" s="2"/>
      <c r="C932" s="2"/>
      <c r="D932" s="474"/>
      <c r="E932" s="464"/>
      <c r="F932" s="2"/>
      <c r="G932" s="2"/>
      <c r="H932" s="2"/>
      <c r="I932" s="2"/>
      <c r="J932" s="2"/>
      <c r="K932" s="2"/>
      <c r="L932" s="2"/>
      <c r="M932" s="2"/>
      <c r="N932" s="2"/>
      <c r="O932" s="2"/>
      <c r="P932" s="2"/>
      <c r="Q932" s="2"/>
      <c r="S932" s="3"/>
      <c r="T932" s="3"/>
      <c r="U932" s="3"/>
      <c r="V932" s="3"/>
      <c r="W932" s="3"/>
      <c r="X932" s="3"/>
      <c r="Y932" s="3"/>
      <c r="Z932" s="3"/>
    </row>
    <row r="933" ht="15.75" customHeight="1">
      <c r="A933" s="3"/>
      <c r="B933" s="2"/>
      <c r="C933" s="2"/>
      <c r="D933" s="474"/>
      <c r="E933" s="464"/>
      <c r="F933" s="2"/>
      <c r="G933" s="2"/>
      <c r="H933" s="2"/>
      <c r="I933" s="2"/>
      <c r="J933" s="2"/>
      <c r="K933" s="2"/>
      <c r="L933" s="2"/>
      <c r="M933" s="2"/>
      <c r="N933" s="2"/>
      <c r="O933" s="2"/>
      <c r="P933" s="2"/>
      <c r="Q933" s="2"/>
      <c r="S933" s="3"/>
      <c r="T933" s="3"/>
      <c r="U933" s="3"/>
      <c r="V933" s="3"/>
      <c r="W933" s="3"/>
      <c r="X933" s="3"/>
      <c r="Y933" s="3"/>
      <c r="Z933" s="3"/>
    </row>
    <row r="934" ht="15.75" customHeight="1">
      <c r="A934" s="3"/>
      <c r="B934" s="2"/>
      <c r="C934" s="2"/>
      <c r="D934" s="474"/>
      <c r="E934" s="464"/>
      <c r="F934" s="2"/>
      <c r="G934" s="2"/>
      <c r="H934" s="2"/>
      <c r="I934" s="2"/>
      <c r="J934" s="2"/>
      <c r="K934" s="2"/>
      <c r="L934" s="2"/>
      <c r="M934" s="2"/>
      <c r="N934" s="2"/>
      <c r="O934" s="2"/>
      <c r="P934" s="2"/>
      <c r="Q934" s="2"/>
      <c r="S934" s="3"/>
      <c r="T934" s="3"/>
      <c r="U934" s="3"/>
      <c r="V934" s="3"/>
      <c r="W934" s="3"/>
      <c r="X934" s="3"/>
      <c r="Y934" s="3"/>
      <c r="Z934" s="3"/>
    </row>
    <row r="935" ht="15.75" customHeight="1">
      <c r="A935" s="3"/>
      <c r="B935" s="2"/>
      <c r="C935" s="2"/>
      <c r="D935" s="474"/>
      <c r="E935" s="464"/>
      <c r="F935" s="2"/>
      <c r="G935" s="2"/>
      <c r="H935" s="2"/>
      <c r="I935" s="2"/>
      <c r="J935" s="2"/>
      <c r="K935" s="2"/>
      <c r="L935" s="2"/>
      <c r="M935" s="2"/>
      <c r="N935" s="2"/>
      <c r="O935" s="2"/>
      <c r="P935" s="2"/>
      <c r="Q935" s="2"/>
      <c r="S935" s="3"/>
      <c r="T935" s="3"/>
      <c r="U935" s="3"/>
      <c r="V935" s="3"/>
      <c r="W935" s="3"/>
      <c r="X935" s="3"/>
      <c r="Y935" s="3"/>
      <c r="Z935" s="3"/>
    </row>
    <row r="936" ht="15.75" customHeight="1">
      <c r="A936" s="3"/>
      <c r="B936" s="2"/>
      <c r="C936" s="2"/>
      <c r="D936" s="474"/>
      <c r="E936" s="464"/>
      <c r="F936" s="2"/>
      <c r="G936" s="2"/>
      <c r="H936" s="2"/>
      <c r="I936" s="2"/>
      <c r="J936" s="2"/>
      <c r="K936" s="2"/>
      <c r="L936" s="2"/>
      <c r="M936" s="2"/>
      <c r="N936" s="2"/>
      <c r="O936" s="2"/>
      <c r="P936" s="2"/>
      <c r="Q936" s="2"/>
      <c r="S936" s="3"/>
      <c r="T936" s="3"/>
      <c r="U936" s="3"/>
      <c r="V936" s="3"/>
      <c r="W936" s="3"/>
      <c r="X936" s="3"/>
      <c r="Y936" s="3"/>
      <c r="Z936" s="3"/>
    </row>
    <row r="937" ht="15.75" customHeight="1">
      <c r="A937" s="3"/>
      <c r="B937" s="2"/>
      <c r="C937" s="2"/>
      <c r="D937" s="474"/>
      <c r="E937" s="464"/>
      <c r="F937" s="2"/>
      <c r="G937" s="2"/>
      <c r="H937" s="2"/>
      <c r="I937" s="2"/>
      <c r="J937" s="2"/>
      <c r="K937" s="2"/>
      <c r="L937" s="2"/>
      <c r="M937" s="2"/>
      <c r="N937" s="2"/>
      <c r="O937" s="2"/>
      <c r="P937" s="2"/>
      <c r="Q937" s="2"/>
      <c r="S937" s="3"/>
      <c r="T937" s="3"/>
      <c r="U937" s="3"/>
      <c r="V937" s="3"/>
      <c r="W937" s="3"/>
      <c r="X937" s="3"/>
      <c r="Y937" s="3"/>
      <c r="Z937" s="3"/>
    </row>
    <row r="938" ht="15.75" customHeight="1">
      <c r="A938" s="3"/>
      <c r="B938" s="2"/>
      <c r="C938" s="2"/>
      <c r="D938" s="474"/>
      <c r="E938" s="464"/>
      <c r="F938" s="2"/>
      <c r="G938" s="2"/>
      <c r="H938" s="2"/>
      <c r="I938" s="2"/>
      <c r="J938" s="2"/>
      <c r="K938" s="2"/>
      <c r="L938" s="2"/>
      <c r="M938" s="2"/>
      <c r="N938" s="2"/>
      <c r="O938" s="2"/>
      <c r="P938" s="2"/>
      <c r="Q938" s="2"/>
      <c r="S938" s="3"/>
      <c r="T938" s="3"/>
      <c r="U938" s="3"/>
      <c r="V938" s="3"/>
      <c r="W938" s="3"/>
      <c r="X938" s="3"/>
      <c r="Y938" s="3"/>
      <c r="Z938" s="3"/>
    </row>
    <row r="939" ht="15.75" customHeight="1">
      <c r="A939" s="3"/>
      <c r="B939" s="2"/>
      <c r="C939" s="2"/>
      <c r="D939" s="474"/>
      <c r="E939" s="464"/>
      <c r="F939" s="2"/>
      <c r="G939" s="2"/>
      <c r="H939" s="2"/>
      <c r="I939" s="2"/>
      <c r="J939" s="2"/>
      <c r="K939" s="2"/>
      <c r="L939" s="2"/>
      <c r="M939" s="2"/>
      <c r="N939" s="2"/>
      <c r="O939" s="2"/>
      <c r="P939" s="2"/>
      <c r="Q939" s="2"/>
      <c r="S939" s="3"/>
      <c r="T939" s="3"/>
      <c r="U939" s="3"/>
      <c r="V939" s="3"/>
      <c r="W939" s="3"/>
      <c r="X939" s="3"/>
      <c r="Y939" s="3"/>
      <c r="Z939" s="3"/>
    </row>
    <row r="940" ht="15.75" customHeight="1">
      <c r="A940" s="3"/>
      <c r="B940" s="2"/>
      <c r="C940" s="2"/>
      <c r="D940" s="474"/>
      <c r="E940" s="464"/>
      <c r="F940" s="2"/>
      <c r="G940" s="2"/>
      <c r="H940" s="2"/>
      <c r="I940" s="2"/>
      <c r="J940" s="2"/>
      <c r="K940" s="2"/>
      <c r="L940" s="2"/>
      <c r="M940" s="2"/>
      <c r="N940" s="2"/>
      <c r="O940" s="2"/>
      <c r="P940" s="2"/>
      <c r="Q940" s="2"/>
      <c r="S940" s="3"/>
      <c r="T940" s="3"/>
      <c r="U940" s="3"/>
      <c r="V940" s="3"/>
      <c r="W940" s="3"/>
      <c r="X940" s="3"/>
      <c r="Y940" s="3"/>
      <c r="Z940" s="3"/>
    </row>
    <row r="941" ht="15.75" customHeight="1">
      <c r="A941" s="3"/>
      <c r="B941" s="2"/>
      <c r="C941" s="2"/>
      <c r="D941" s="474"/>
      <c r="E941" s="464"/>
      <c r="F941" s="2"/>
      <c r="G941" s="2"/>
      <c r="H941" s="2"/>
      <c r="I941" s="2"/>
      <c r="J941" s="2"/>
      <c r="K941" s="2"/>
      <c r="L941" s="2"/>
      <c r="M941" s="2"/>
      <c r="N941" s="2"/>
      <c r="O941" s="2"/>
      <c r="P941" s="2"/>
      <c r="Q941" s="2"/>
      <c r="S941" s="3"/>
      <c r="T941" s="3"/>
      <c r="U941" s="3"/>
      <c r="V941" s="3"/>
      <c r="W941" s="3"/>
      <c r="X941" s="3"/>
      <c r="Y941" s="3"/>
      <c r="Z941" s="3"/>
    </row>
    <row r="942" ht="15.75" customHeight="1">
      <c r="A942" s="3"/>
      <c r="B942" s="2"/>
      <c r="C942" s="2"/>
      <c r="D942" s="474"/>
      <c r="E942" s="464"/>
      <c r="F942" s="2"/>
      <c r="G942" s="2"/>
      <c r="H942" s="2"/>
      <c r="I942" s="2"/>
      <c r="J942" s="2"/>
      <c r="K942" s="2"/>
      <c r="L942" s="2"/>
      <c r="M942" s="2"/>
      <c r="N942" s="2"/>
      <c r="O942" s="2"/>
      <c r="P942" s="2"/>
      <c r="Q942" s="2"/>
      <c r="S942" s="3"/>
      <c r="T942" s="3"/>
      <c r="U942" s="3"/>
      <c r="V942" s="3"/>
      <c r="W942" s="3"/>
      <c r="X942" s="3"/>
      <c r="Y942" s="3"/>
      <c r="Z942" s="3"/>
    </row>
    <row r="943" ht="15.75" customHeight="1">
      <c r="A943" s="3"/>
      <c r="B943" s="2"/>
      <c r="C943" s="2"/>
      <c r="D943" s="474"/>
      <c r="E943" s="464"/>
      <c r="F943" s="2"/>
      <c r="G943" s="2"/>
      <c r="H943" s="2"/>
      <c r="I943" s="2"/>
      <c r="J943" s="2"/>
      <c r="K943" s="2"/>
      <c r="L943" s="2"/>
      <c r="M943" s="2"/>
      <c r="N943" s="2"/>
      <c r="O943" s="2"/>
      <c r="P943" s="2"/>
      <c r="Q943" s="2"/>
      <c r="S943" s="3"/>
      <c r="T943" s="3"/>
      <c r="U943" s="3"/>
      <c r="V943" s="3"/>
      <c r="W943" s="3"/>
      <c r="X943" s="3"/>
      <c r="Y943" s="3"/>
      <c r="Z943" s="3"/>
    </row>
    <row r="944" ht="15.75" customHeight="1">
      <c r="A944" s="3"/>
      <c r="B944" s="2"/>
      <c r="C944" s="2"/>
      <c r="D944" s="474"/>
      <c r="E944" s="464"/>
      <c r="F944" s="2"/>
      <c r="G944" s="2"/>
      <c r="H944" s="2"/>
      <c r="I944" s="2"/>
      <c r="J944" s="2"/>
      <c r="K944" s="2"/>
      <c r="L944" s="2"/>
      <c r="M944" s="2"/>
      <c r="N944" s="2"/>
      <c r="O944" s="2"/>
      <c r="P944" s="2"/>
      <c r="Q944" s="2"/>
      <c r="S944" s="3"/>
      <c r="T944" s="3"/>
      <c r="U944" s="3"/>
      <c r="V944" s="3"/>
      <c r="W944" s="3"/>
      <c r="X944" s="3"/>
      <c r="Y944" s="3"/>
      <c r="Z944" s="3"/>
    </row>
    <row r="945" ht="15.75" customHeight="1">
      <c r="A945" s="3"/>
      <c r="B945" s="2"/>
      <c r="C945" s="2"/>
      <c r="D945" s="474"/>
      <c r="E945" s="464"/>
      <c r="F945" s="2"/>
      <c r="G945" s="2"/>
      <c r="H945" s="2"/>
      <c r="I945" s="2"/>
      <c r="J945" s="2"/>
      <c r="K945" s="2"/>
      <c r="L945" s="2"/>
      <c r="M945" s="2"/>
      <c r="N945" s="2"/>
      <c r="O945" s="2"/>
      <c r="P945" s="2"/>
      <c r="Q945" s="2"/>
      <c r="S945" s="3"/>
      <c r="T945" s="3"/>
      <c r="U945" s="3"/>
      <c r="V945" s="3"/>
      <c r="W945" s="3"/>
      <c r="X945" s="3"/>
      <c r="Y945" s="3"/>
      <c r="Z945" s="3"/>
    </row>
    <row r="946" ht="15.75" customHeight="1">
      <c r="A946" s="3"/>
      <c r="B946" s="2"/>
      <c r="C946" s="2"/>
      <c r="D946" s="474"/>
      <c r="E946" s="464"/>
      <c r="F946" s="2"/>
      <c r="G946" s="2"/>
      <c r="H946" s="2"/>
      <c r="I946" s="2"/>
      <c r="J946" s="2"/>
      <c r="K946" s="2"/>
      <c r="L946" s="2"/>
      <c r="M946" s="2"/>
      <c r="N946" s="2"/>
      <c r="O946" s="2"/>
      <c r="P946" s="2"/>
      <c r="Q946" s="2"/>
      <c r="S946" s="3"/>
      <c r="T946" s="3"/>
      <c r="U946" s="3"/>
      <c r="V946" s="3"/>
      <c r="W946" s="3"/>
      <c r="X946" s="3"/>
      <c r="Y946" s="3"/>
      <c r="Z946" s="3"/>
    </row>
    <row r="947" ht="15.75" customHeight="1">
      <c r="A947" s="3"/>
      <c r="B947" s="2"/>
      <c r="C947" s="2"/>
      <c r="D947" s="474"/>
      <c r="E947" s="464"/>
      <c r="F947" s="2"/>
      <c r="G947" s="2"/>
      <c r="H947" s="2"/>
      <c r="I947" s="2"/>
      <c r="J947" s="2"/>
      <c r="K947" s="2"/>
      <c r="L947" s="2"/>
      <c r="M947" s="2"/>
      <c r="N947" s="2"/>
      <c r="O947" s="2"/>
      <c r="P947" s="2"/>
      <c r="Q947" s="2"/>
      <c r="S947" s="3"/>
      <c r="T947" s="3"/>
      <c r="U947" s="3"/>
      <c r="V947" s="3"/>
      <c r="W947" s="3"/>
      <c r="X947" s="3"/>
      <c r="Y947" s="3"/>
      <c r="Z947" s="3"/>
    </row>
    <row r="948" ht="15.75" customHeight="1">
      <c r="A948" s="3"/>
      <c r="B948" s="2"/>
      <c r="C948" s="2"/>
      <c r="D948" s="474"/>
      <c r="E948" s="464"/>
      <c r="F948" s="2"/>
      <c r="G948" s="2"/>
      <c r="H948" s="2"/>
      <c r="I948" s="2"/>
      <c r="J948" s="2"/>
      <c r="K948" s="2"/>
      <c r="L948" s="2"/>
      <c r="M948" s="2"/>
      <c r="N948" s="2"/>
      <c r="O948" s="2"/>
      <c r="P948" s="2"/>
      <c r="Q948" s="2"/>
      <c r="S948" s="3"/>
      <c r="T948" s="3"/>
      <c r="U948" s="3"/>
      <c r="V948" s="3"/>
      <c r="W948" s="3"/>
      <c r="X948" s="3"/>
      <c r="Y948" s="3"/>
      <c r="Z948" s="3"/>
    </row>
    <row r="949" ht="15.75" customHeight="1">
      <c r="A949" s="3"/>
      <c r="B949" s="2"/>
      <c r="C949" s="2"/>
      <c r="D949" s="474"/>
      <c r="E949" s="464"/>
      <c r="F949" s="2"/>
      <c r="G949" s="2"/>
      <c r="H949" s="2"/>
      <c r="I949" s="2"/>
      <c r="J949" s="2"/>
      <c r="K949" s="2"/>
      <c r="L949" s="2"/>
      <c r="M949" s="2"/>
      <c r="N949" s="2"/>
      <c r="O949" s="2"/>
      <c r="P949" s="2"/>
      <c r="Q949" s="2"/>
      <c r="S949" s="3"/>
      <c r="T949" s="3"/>
      <c r="U949" s="3"/>
      <c r="V949" s="3"/>
      <c r="W949" s="3"/>
      <c r="X949" s="3"/>
      <c r="Y949" s="3"/>
      <c r="Z949" s="3"/>
    </row>
    <row r="950" ht="15.75" customHeight="1">
      <c r="A950" s="3"/>
      <c r="B950" s="2"/>
      <c r="C950" s="2"/>
      <c r="D950" s="474"/>
      <c r="E950" s="464"/>
      <c r="F950" s="2"/>
      <c r="G950" s="2"/>
      <c r="H950" s="2"/>
      <c r="I950" s="2"/>
      <c r="J950" s="2"/>
      <c r="K950" s="2"/>
      <c r="L950" s="2"/>
      <c r="M950" s="2"/>
      <c r="N950" s="2"/>
      <c r="O950" s="2"/>
      <c r="P950" s="2"/>
      <c r="Q950" s="2"/>
      <c r="S950" s="3"/>
      <c r="T950" s="3"/>
      <c r="U950" s="3"/>
      <c r="V950" s="3"/>
      <c r="W950" s="3"/>
      <c r="X950" s="3"/>
      <c r="Y950" s="3"/>
      <c r="Z950" s="3"/>
    </row>
    <row r="951" ht="15.75" customHeight="1">
      <c r="A951" s="3"/>
      <c r="B951" s="2"/>
      <c r="C951" s="2"/>
      <c r="D951" s="474"/>
      <c r="E951" s="464"/>
      <c r="F951" s="2"/>
      <c r="G951" s="2"/>
      <c r="H951" s="2"/>
      <c r="I951" s="2"/>
      <c r="J951" s="2"/>
      <c r="K951" s="2"/>
      <c r="L951" s="2"/>
      <c r="M951" s="2"/>
      <c r="N951" s="2"/>
      <c r="O951" s="2"/>
      <c r="P951" s="2"/>
      <c r="Q951" s="2"/>
      <c r="S951" s="3"/>
      <c r="T951" s="3"/>
      <c r="U951" s="3"/>
      <c r="V951" s="3"/>
      <c r="W951" s="3"/>
      <c r="X951" s="3"/>
      <c r="Y951" s="3"/>
      <c r="Z951" s="3"/>
    </row>
    <row r="952" ht="15.75" customHeight="1">
      <c r="A952" s="3"/>
      <c r="B952" s="2"/>
      <c r="C952" s="2"/>
      <c r="D952" s="474"/>
      <c r="E952" s="464"/>
      <c r="F952" s="2"/>
      <c r="G952" s="2"/>
      <c r="H952" s="2"/>
      <c r="I952" s="2"/>
      <c r="J952" s="2"/>
      <c r="K952" s="2"/>
      <c r="L952" s="2"/>
      <c r="M952" s="2"/>
      <c r="N952" s="2"/>
      <c r="O952" s="2"/>
      <c r="P952" s="2"/>
      <c r="Q952" s="2"/>
      <c r="S952" s="3"/>
      <c r="T952" s="3"/>
      <c r="U952" s="3"/>
      <c r="V952" s="3"/>
      <c r="W952" s="3"/>
      <c r="X952" s="3"/>
      <c r="Y952" s="3"/>
      <c r="Z952" s="3"/>
    </row>
    <row r="953" ht="15.75" customHeight="1">
      <c r="A953" s="3"/>
      <c r="B953" s="2"/>
      <c r="C953" s="2"/>
      <c r="D953" s="474"/>
      <c r="E953" s="464"/>
      <c r="F953" s="2"/>
      <c r="G953" s="2"/>
      <c r="H953" s="2"/>
      <c r="I953" s="2"/>
      <c r="J953" s="2"/>
      <c r="K953" s="2"/>
      <c r="L953" s="2"/>
      <c r="M953" s="2"/>
      <c r="N953" s="2"/>
      <c r="O953" s="2"/>
      <c r="P953" s="2"/>
      <c r="Q953" s="2"/>
      <c r="S953" s="3"/>
      <c r="T953" s="3"/>
      <c r="U953" s="3"/>
      <c r="V953" s="3"/>
      <c r="W953" s="3"/>
      <c r="X953" s="3"/>
      <c r="Y953" s="3"/>
      <c r="Z953" s="3"/>
    </row>
    <row r="954" ht="15.75" customHeight="1">
      <c r="A954" s="3"/>
      <c r="B954" s="2"/>
      <c r="C954" s="2"/>
      <c r="D954" s="474"/>
      <c r="E954" s="464"/>
      <c r="F954" s="2"/>
      <c r="G954" s="2"/>
      <c r="H954" s="2"/>
      <c r="I954" s="2"/>
      <c r="J954" s="2"/>
      <c r="K954" s="2"/>
      <c r="L954" s="2"/>
      <c r="M954" s="2"/>
      <c r="N954" s="2"/>
      <c r="O954" s="2"/>
      <c r="P954" s="2"/>
      <c r="Q954" s="2"/>
      <c r="S954" s="3"/>
      <c r="T954" s="3"/>
      <c r="U954" s="3"/>
      <c r="V954" s="3"/>
      <c r="W954" s="3"/>
      <c r="X954" s="3"/>
      <c r="Y954" s="3"/>
      <c r="Z954" s="3"/>
    </row>
    <row r="955" ht="15.75" customHeight="1">
      <c r="A955" s="3"/>
      <c r="B955" s="2"/>
      <c r="C955" s="2"/>
      <c r="D955" s="474"/>
      <c r="E955" s="464"/>
      <c r="F955" s="2"/>
      <c r="G955" s="2"/>
      <c r="H955" s="2"/>
      <c r="I955" s="2"/>
      <c r="J955" s="2"/>
      <c r="K955" s="2"/>
      <c r="L955" s="2"/>
      <c r="M955" s="2"/>
      <c r="N955" s="2"/>
      <c r="O955" s="2"/>
      <c r="P955" s="2"/>
      <c r="Q955" s="2"/>
      <c r="S955" s="3"/>
      <c r="T955" s="3"/>
      <c r="U955" s="3"/>
      <c r="V955" s="3"/>
      <c r="W955" s="3"/>
      <c r="X955" s="3"/>
      <c r="Y955" s="3"/>
      <c r="Z955" s="3"/>
    </row>
    <row r="956" ht="15.75" customHeight="1">
      <c r="A956" s="3"/>
      <c r="B956" s="2"/>
      <c r="C956" s="2"/>
      <c r="D956" s="474"/>
      <c r="E956" s="464"/>
      <c r="F956" s="2"/>
      <c r="G956" s="2"/>
      <c r="H956" s="2"/>
      <c r="I956" s="2"/>
      <c r="J956" s="2"/>
      <c r="K956" s="2"/>
      <c r="L956" s="2"/>
      <c r="M956" s="2"/>
      <c r="N956" s="2"/>
      <c r="O956" s="2"/>
      <c r="P956" s="2"/>
      <c r="Q956" s="2"/>
      <c r="S956" s="3"/>
      <c r="T956" s="3"/>
      <c r="U956" s="3"/>
      <c r="V956" s="3"/>
      <c r="W956" s="3"/>
      <c r="X956" s="3"/>
      <c r="Y956" s="3"/>
      <c r="Z956" s="3"/>
    </row>
    <row r="957" ht="15.75" customHeight="1">
      <c r="A957" s="3"/>
      <c r="B957" s="2"/>
      <c r="C957" s="2"/>
      <c r="D957" s="474"/>
      <c r="E957" s="464"/>
      <c r="F957" s="2"/>
      <c r="G957" s="2"/>
      <c r="H957" s="2"/>
      <c r="I957" s="2"/>
      <c r="J957" s="2"/>
      <c r="K957" s="2"/>
      <c r="L957" s="2"/>
      <c r="M957" s="2"/>
      <c r="N957" s="2"/>
      <c r="O957" s="2"/>
      <c r="P957" s="2"/>
      <c r="Q957" s="2"/>
      <c r="S957" s="3"/>
      <c r="T957" s="3"/>
      <c r="U957" s="3"/>
      <c r="V957" s="3"/>
      <c r="W957" s="3"/>
      <c r="X957" s="3"/>
      <c r="Y957" s="3"/>
      <c r="Z957" s="3"/>
    </row>
    <row r="958" ht="15.75" customHeight="1">
      <c r="A958" s="3"/>
      <c r="B958" s="2"/>
      <c r="C958" s="2"/>
      <c r="D958" s="474"/>
      <c r="E958" s="464"/>
      <c r="F958" s="2"/>
      <c r="G958" s="2"/>
      <c r="H958" s="2"/>
      <c r="I958" s="2"/>
      <c r="J958" s="2"/>
      <c r="K958" s="2"/>
      <c r="L958" s="2"/>
      <c r="M958" s="2"/>
      <c r="N958" s="2"/>
      <c r="O958" s="2"/>
      <c r="P958" s="2"/>
      <c r="Q958" s="2"/>
      <c r="S958" s="3"/>
      <c r="T958" s="3"/>
      <c r="U958" s="3"/>
      <c r="V958" s="3"/>
      <c r="W958" s="3"/>
      <c r="X958" s="3"/>
      <c r="Y958" s="3"/>
      <c r="Z958" s="3"/>
    </row>
    <row r="959" ht="15.75" customHeight="1">
      <c r="A959" s="3"/>
      <c r="B959" s="2"/>
      <c r="C959" s="2"/>
      <c r="D959" s="474"/>
      <c r="E959" s="464"/>
      <c r="F959" s="2"/>
      <c r="G959" s="2"/>
      <c r="H959" s="2"/>
      <c r="I959" s="2"/>
      <c r="J959" s="2"/>
      <c r="K959" s="2"/>
      <c r="L959" s="2"/>
      <c r="M959" s="2"/>
      <c r="N959" s="2"/>
      <c r="O959" s="2"/>
      <c r="P959" s="2"/>
      <c r="Q959" s="2"/>
      <c r="S959" s="3"/>
      <c r="T959" s="3"/>
      <c r="U959" s="3"/>
      <c r="V959" s="3"/>
      <c r="W959" s="3"/>
      <c r="X959" s="3"/>
      <c r="Y959" s="3"/>
      <c r="Z959" s="3"/>
    </row>
    <row r="960" ht="15.75" customHeight="1">
      <c r="A960" s="3"/>
      <c r="B960" s="2"/>
      <c r="C960" s="2"/>
      <c r="D960" s="474"/>
      <c r="E960" s="464"/>
      <c r="F960" s="2"/>
      <c r="G960" s="2"/>
      <c r="H960" s="2"/>
      <c r="I960" s="2"/>
      <c r="J960" s="2"/>
      <c r="K960" s="2"/>
      <c r="L960" s="2"/>
      <c r="M960" s="2"/>
      <c r="N960" s="2"/>
      <c r="O960" s="2"/>
      <c r="P960" s="2"/>
      <c r="Q960" s="2"/>
      <c r="S960" s="3"/>
      <c r="T960" s="3"/>
      <c r="U960" s="3"/>
      <c r="V960" s="3"/>
      <c r="W960" s="3"/>
      <c r="X960" s="3"/>
      <c r="Y960" s="3"/>
      <c r="Z960" s="3"/>
    </row>
    <row r="961" ht="15.75" customHeight="1">
      <c r="A961" s="3"/>
      <c r="B961" s="2"/>
      <c r="C961" s="2"/>
      <c r="D961" s="474"/>
      <c r="E961" s="464"/>
      <c r="F961" s="2"/>
      <c r="G961" s="2"/>
      <c r="H961" s="2"/>
      <c r="I961" s="2"/>
      <c r="J961" s="2"/>
      <c r="K961" s="2"/>
      <c r="L961" s="2"/>
      <c r="M961" s="2"/>
      <c r="N961" s="2"/>
      <c r="O961" s="2"/>
      <c r="P961" s="2"/>
      <c r="Q961" s="2"/>
      <c r="S961" s="3"/>
      <c r="T961" s="3"/>
      <c r="U961" s="3"/>
      <c r="V961" s="3"/>
      <c r="W961" s="3"/>
      <c r="X961" s="3"/>
      <c r="Y961" s="3"/>
      <c r="Z961" s="3"/>
    </row>
    <row r="962" ht="15.75" customHeight="1">
      <c r="A962" s="3"/>
      <c r="B962" s="2"/>
      <c r="C962" s="2"/>
      <c r="D962" s="474"/>
      <c r="E962" s="464"/>
      <c r="F962" s="2"/>
      <c r="G962" s="2"/>
      <c r="H962" s="2"/>
      <c r="I962" s="2"/>
      <c r="J962" s="2"/>
      <c r="K962" s="2"/>
      <c r="L962" s="2"/>
      <c r="M962" s="2"/>
      <c r="N962" s="2"/>
      <c r="O962" s="2"/>
      <c r="P962" s="2"/>
      <c r="Q962" s="2"/>
      <c r="S962" s="3"/>
      <c r="T962" s="3"/>
      <c r="U962" s="3"/>
      <c r="V962" s="3"/>
      <c r="W962" s="3"/>
      <c r="X962" s="3"/>
      <c r="Y962" s="3"/>
      <c r="Z962" s="3"/>
    </row>
    <row r="963" ht="15.75" customHeight="1">
      <c r="A963" s="3"/>
      <c r="B963" s="2"/>
      <c r="C963" s="2"/>
      <c r="D963" s="474"/>
      <c r="E963" s="464"/>
      <c r="F963" s="2"/>
      <c r="G963" s="2"/>
      <c r="H963" s="2"/>
      <c r="I963" s="2"/>
      <c r="J963" s="2"/>
      <c r="K963" s="2"/>
      <c r="L963" s="2"/>
      <c r="M963" s="2"/>
      <c r="N963" s="2"/>
      <c r="O963" s="2"/>
      <c r="P963" s="2"/>
      <c r="Q963" s="2"/>
      <c r="S963" s="3"/>
      <c r="T963" s="3"/>
      <c r="U963" s="3"/>
      <c r="V963" s="3"/>
      <c r="W963" s="3"/>
      <c r="X963" s="3"/>
      <c r="Y963" s="3"/>
      <c r="Z963" s="3"/>
    </row>
    <row r="964" ht="15.75" customHeight="1">
      <c r="A964" s="3"/>
      <c r="B964" s="2"/>
      <c r="C964" s="2"/>
      <c r="D964" s="474"/>
      <c r="E964" s="464"/>
      <c r="F964" s="2"/>
      <c r="G964" s="2"/>
      <c r="H964" s="2"/>
      <c r="I964" s="2"/>
      <c r="J964" s="2"/>
      <c r="K964" s="2"/>
      <c r="L964" s="2"/>
      <c r="M964" s="2"/>
      <c r="N964" s="2"/>
      <c r="O964" s="2"/>
      <c r="P964" s="2"/>
      <c r="Q964" s="2"/>
      <c r="S964" s="3"/>
      <c r="T964" s="3"/>
      <c r="U964" s="3"/>
      <c r="V964" s="3"/>
      <c r="W964" s="3"/>
      <c r="X964" s="3"/>
      <c r="Y964" s="3"/>
      <c r="Z964" s="3"/>
    </row>
    <row r="965" ht="15.75" customHeight="1">
      <c r="A965" s="3"/>
      <c r="B965" s="2"/>
      <c r="C965" s="2"/>
      <c r="D965" s="474"/>
      <c r="E965" s="464"/>
      <c r="F965" s="2"/>
      <c r="G965" s="2"/>
      <c r="H965" s="2"/>
      <c r="I965" s="2"/>
      <c r="J965" s="2"/>
      <c r="K965" s="2"/>
      <c r="L965" s="2"/>
      <c r="M965" s="2"/>
      <c r="N965" s="2"/>
      <c r="O965" s="2"/>
      <c r="P965" s="2"/>
      <c r="Q965" s="2"/>
      <c r="S965" s="3"/>
      <c r="T965" s="3"/>
      <c r="U965" s="3"/>
      <c r="V965" s="3"/>
      <c r="W965" s="3"/>
      <c r="X965" s="3"/>
      <c r="Y965" s="3"/>
      <c r="Z965" s="3"/>
    </row>
    <row r="966" ht="15.75" customHeight="1">
      <c r="A966" s="3"/>
      <c r="B966" s="2"/>
      <c r="C966" s="2"/>
      <c r="D966" s="474"/>
      <c r="E966" s="464"/>
      <c r="F966" s="2"/>
      <c r="G966" s="2"/>
      <c r="H966" s="2"/>
      <c r="I966" s="2"/>
      <c r="J966" s="2"/>
      <c r="K966" s="2"/>
      <c r="L966" s="2"/>
      <c r="M966" s="2"/>
      <c r="N966" s="2"/>
      <c r="O966" s="2"/>
      <c r="P966" s="2"/>
      <c r="Q966" s="2"/>
      <c r="S966" s="3"/>
      <c r="T966" s="3"/>
      <c r="U966" s="3"/>
      <c r="V966" s="3"/>
      <c r="W966" s="3"/>
      <c r="X966" s="3"/>
      <c r="Y966" s="3"/>
      <c r="Z966" s="3"/>
    </row>
    <row r="967" ht="15.75" customHeight="1">
      <c r="A967" s="3"/>
      <c r="B967" s="2"/>
      <c r="C967" s="2"/>
      <c r="D967" s="474"/>
      <c r="E967" s="464"/>
      <c r="F967" s="2"/>
      <c r="G967" s="2"/>
      <c r="H967" s="2"/>
      <c r="I967" s="2"/>
      <c r="J967" s="2"/>
      <c r="K967" s="2"/>
      <c r="L967" s="2"/>
      <c r="M967" s="2"/>
      <c r="N967" s="2"/>
      <c r="O967" s="2"/>
      <c r="P967" s="2"/>
      <c r="Q967" s="2"/>
      <c r="S967" s="3"/>
      <c r="T967" s="3"/>
      <c r="U967" s="3"/>
      <c r="V967" s="3"/>
      <c r="W967" s="3"/>
      <c r="X967" s="3"/>
      <c r="Y967" s="3"/>
      <c r="Z967" s="3"/>
    </row>
    <row r="968" ht="15.75" customHeight="1">
      <c r="A968" s="3"/>
      <c r="B968" s="2"/>
      <c r="C968" s="2"/>
      <c r="D968" s="474"/>
      <c r="E968" s="464"/>
      <c r="F968" s="2"/>
      <c r="G968" s="2"/>
      <c r="H968" s="2"/>
      <c r="I968" s="2"/>
      <c r="J968" s="2"/>
      <c r="K968" s="2"/>
      <c r="L968" s="2"/>
      <c r="M968" s="2"/>
      <c r="N968" s="2"/>
      <c r="O968" s="2"/>
      <c r="P968" s="2"/>
      <c r="Q968" s="2"/>
      <c r="S968" s="3"/>
      <c r="T968" s="3"/>
      <c r="U968" s="3"/>
      <c r="V968" s="3"/>
      <c r="W968" s="3"/>
      <c r="X968" s="3"/>
      <c r="Y968" s="3"/>
      <c r="Z968" s="3"/>
    </row>
    <row r="969" ht="15.75" customHeight="1">
      <c r="A969" s="3"/>
      <c r="B969" s="2"/>
      <c r="C969" s="2"/>
      <c r="D969" s="474"/>
      <c r="E969" s="464"/>
      <c r="F969" s="2"/>
      <c r="G969" s="2"/>
      <c r="H969" s="2"/>
      <c r="I969" s="2"/>
      <c r="J969" s="2"/>
      <c r="K969" s="2"/>
      <c r="L969" s="2"/>
      <c r="M969" s="2"/>
      <c r="N969" s="2"/>
      <c r="O969" s="2"/>
      <c r="P969" s="2"/>
      <c r="Q969" s="2"/>
      <c r="S969" s="3"/>
      <c r="T969" s="3"/>
      <c r="U969" s="3"/>
      <c r="V969" s="3"/>
      <c r="W969" s="3"/>
      <c r="X969" s="3"/>
      <c r="Y969" s="3"/>
      <c r="Z969" s="3"/>
    </row>
    <row r="970" ht="15.75" customHeight="1">
      <c r="A970" s="3"/>
      <c r="B970" s="2"/>
      <c r="C970" s="2"/>
      <c r="D970" s="474"/>
      <c r="E970" s="464"/>
      <c r="F970" s="2"/>
      <c r="G970" s="2"/>
      <c r="H970" s="2"/>
      <c r="I970" s="2"/>
      <c r="J970" s="2"/>
      <c r="K970" s="2"/>
      <c r="L970" s="2"/>
      <c r="M970" s="2"/>
      <c r="N970" s="2"/>
      <c r="O970" s="2"/>
      <c r="P970" s="2"/>
      <c r="Q970" s="2"/>
      <c r="S970" s="3"/>
      <c r="T970" s="3"/>
      <c r="U970" s="3"/>
      <c r="V970" s="3"/>
      <c r="W970" s="3"/>
      <c r="X970" s="3"/>
      <c r="Y970" s="3"/>
      <c r="Z970" s="3"/>
    </row>
    <row r="971" ht="15.75" customHeight="1">
      <c r="A971" s="3"/>
      <c r="B971" s="2"/>
      <c r="C971" s="2"/>
      <c r="D971" s="474"/>
      <c r="E971" s="464"/>
      <c r="F971" s="2"/>
      <c r="G971" s="2"/>
      <c r="H971" s="2"/>
      <c r="I971" s="2"/>
      <c r="J971" s="2"/>
      <c r="K971" s="2"/>
      <c r="L971" s="2"/>
      <c r="M971" s="2"/>
      <c r="N971" s="2"/>
      <c r="O971" s="2"/>
      <c r="P971" s="2"/>
      <c r="Q971" s="2"/>
      <c r="S971" s="3"/>
      <c r="T971" s="3"/>
      <c r="U971" s="3"/>
      <c r="V971" s="3"/>
      <c r="W971" s="3"/>
      <c r="X971" s="3"/>
      <c r="Y971" s="3"/>
      <c r="Z971" s="3"/>
    </row>
    <row r="972" ht="15.75" customHeight="1">
      <c r="A972" s="3"/>
      <c r="B972" s="2"/>
      <c r="C972" s="2"/>
      <c r="D972" s="474"/>
      <c r="E972" s="464"/>
      <c r="F972" s="2"/>
      <c r="G972" s="2"/>
      <c r="H972" s="2"/>
      <c r="I972" s="2"/>
      <c r="J972" s="2"/>
      <c r="K972" s="2"/>
      <c r="L972" s="2"/>
      <c r="M972" s="2"/>
      <c r="N972" s="2"/>
      <c r="O972" s="2"/>
      <c r="P972" s="2"/>
      <c r="Q972" s="2"/>
      <c r="S972" s="3"/>
      <c r="T972" s="3"/>
      <c r="U972" s="3"/>
      <c r="V972" s="3"/>
      <c r="W972" s="3"/>
      <c r="X972" s="3"/>
      <c r="Y972" s="3"/>
      <c r="Z972" s="3"/>
    </row>
    <row r="973" ht="15.75" customHeight="1">
      <c r="A973" s="3"/>
      <c r="B973" s="2"/>
      <c r="C973" s="2"/>
      <c r="D973" s="474"/>
      <c r="E973" s="464"/>
      <c r="F973" s="2"/>
      <c r="G973" s="2"/>
      <c r="H973" s="2"/>
      <c r="I973" s="2"/>
      <c r="J973" s="2"/>
      <c r="K973" s="2"/>
      <c r="L973" s="2"/>
      <c r="M973" s="2"/>
      <c r="N973" s="2"/>
      <c r="O973" s="2"/>
      <c r="P973" s="2"/>
      <c r="Q973" s="2"/>
      <c r="S973" s="3"/>
      <c r="T973" s="3"/>
      <c r="U973" s="3"/>
      <c r="V973" s="3"/>
      <c r="W973" s="3"/>
      <c r="X973" s="3"/>
      <c r="Y973" s="3"/>
      <c r="Z973" s="3"/>
    </row>
    <row r="974" ht="15.75" customHeight="1">
      <c r="A974" s="3"/>
      <c r="B974" s="2"/>
      <c r="C974" s="2"/>
      <c r="D974" s="474"/>
      <c r="E974" s="464"/>
      <c r="F974" s="2"/>
      <c r="G974" s="2"/>
      <c r="H974" s="2"/>
      <c r="I974" s="2"/>
      <c r="J974" s="2"/>
      <c r="K974" s="2"/>
      <c r="L974" s="2"/>
      <c r="M974" s="2"/>
      <c r="N974" s="2"/>
      <c r="O974" s="2"/>
      <c r="P974" s="2"/>
      <c r="Q974" s="2"/>
      <c r="S974" s="3"/>
      <c r="T974" s="3"/>
      <c r="U974" s="3"/>
      <c r="V974" s="3"/>
      <c r="W974" s="3"/>
      <c r="X974" s="3"/>
      <c r="Y974" s="3"/>
      <c r="Z974" s="3"/>
    </row>
    <row r="975" ht="15.75" customHeight="1">
      <c r="A975" s="3"/>
      <c r="B975" s="2"/>
      <c r="C975" s="2"/>
      <c r="D975" s="474"/>
      <c r="E975" s="464"/>
      <c r="F975" s="2"/>
      <c r="G975" s="2"/>
      <c r="H975" s="2"/>
      <c r="I975" s="2"/>
      <c r="J975" s="2"/>
      <c r="K975" s="2"/>
      <c r="L975" s="2"/>
      <c r="M975" s="2"/>
      <c r="N975" s="2"/>
      <c r="O975" s="2"/>
      <c r="P975" s="2"/>
      <c r="Q975" s="2"/>
      <c r="S975" s="3"/>
      <c r="T975" s="3"/>
      <c r="U975" s="3"/>
      <c r="V975" s="3"/>
      <c r="W975" s="3"/>
      <c r="X975" s="3"/>
      <c r="Y975" s="3"/>
      <c r="Z975" s="3"/>
    </row>
    <row r="976" ht="15.75" customHeight="1">
      <c r="A976" s="3"/>
      <c r="B976" s="2"/>
      <c r="C976" s="2"/>
      <c r="D976" s="474"/>
      <c r="E976" s="464"/>
      <c r="F976" s="2"/>
      <c r="G976" s="2"/>
      <c r="H976" s="2"/>
      <c r="I976" s="2"/>
      <c r="J976" s="2"/>
      <c r="K976" s="2"/>
      <c r="L976" s="2"/>
      <c r="M976" s="2"/>
      <c r="N976" s="2"/>
      <c r="O976" s="2"/>
      <c r="P976" s="2"/>
      <c r="Q976" s="2"/>
      <c r="S976" s="3"/>
      <c r="T976" s="3"/>
      <c r="U976" s="3"/>
      <c r="V976" s="3"/>
      <c r="W976" s="3"/>
      <c r="X976" s="3"/>
      <c r="Y976" s="3"/>
      <c r="Z976" s="3"/>
    </row>
    <row r="977" ht="15.75" customHeight="1">
      <c r="A977" s="3"/>
      <c r="B977" s="2"/>
      <c r="C977" s="2"/>
      <c r="D977" s="474"/>
      <c r="E977" s="464"/>
      <c r="F977" s="2"/>
      <c r="G977" s="2"/>
      <c r="H977" s="2"/>
      <c r="I977" s="2"/>
      <c r="J977" s="2"/>
      <c r="K977" s="2"/>
      <c r="L977" s="2"/>
      <c r="M977" s="2"/>
      <c r="N977" s="2"/>
      <c r="O977" s="2"/>
      <c r="P977" s="2"/>
      <c r="Q977" s="2"/>
      <c r="S977" s="3"/>
      <c r="T977" s="3"/>
      <c r="U977" s="3"/>
      <c r="V977" s="3"/>
      <c r="W977" s="3"/>
      <c r="X977" s="3"/>
      <c r="Y977" s="3"/>
      <c r="Z977" s="3"/>
    </row>
    <row r="978" ht="15.75" customHeight="1">
      <c r="A978" s="3"/>
      <c r="B978" s="2"/>
      <c r="C978" s="2"/>
      <c r="D978" s="474"/>
      <c r="E978" s="464"/>
      <c r="F978" s="2"/>
      <c r="G978" s="2"/>
      <c r="H978" s="2"/>
      <c r="I978" s="2"/>
      <c r="J978" s="2"/>
      <c r="K978" s="2"/>
      <c r="L978" s="2"/>
      <c r="M978" s="2"/>
      <c r="N978" s="2"/>
      <c r="O978" s="2"/>
      <c r="P978" s="2"/>
      <c r="Q978" s="2"/>
      <c r="S978" s="3"/>
      <c r="T978" s="3"/>
      <c r="U978" s="3"/>
      <c r="V978" s="3"/>
      <c r="W978" s="3"/>
      <c r="X978" s="3"/>
      <c r="Y978" s="3"/>
      <c r="Z978" s="3"/>
    </row>
    <row r="979" ht="15.75" customHeight="1">
      <c r="A979" s="3"/>
      <c r="B979" s="2"/>
      <c r="C979" s="2"/>
      <c r="D979" s="474"/>
      <c r="E979" s="464"/>
      <c r="F979" s="2"/>
      <c r="G979" s="2"/>
      <c r="H979" s="2"/>
      <c r="I979" s="2"/>
      <c r="J979" s="2"/>
      <c r="K979" s="2"/>
      <c r="L979" s="2"/>
      <c r="M979" s="2"/>
      <c r="N979" s="2"/>
      <c r="O979" s="2"/>
      <c r="P979" s="2"/>
      <c r="Q979" s="2"/>
      <c r="S979" s="3"/>
      <c r="T979" s="3"/>
      <c r="U979" s="3"/>
      <c r="V979" s="3"/>
      <c r="W979" s="3"/>
      <c r="X979" s="3"/>
      <c r="Y979" s="3"/>
      <c r="Z979" s="3"/>
    </row>
    <row r="980" ht="15.75" customHeight="1">
      <c r="A980" s="3"/>
      <c r="B980" s="2"/>
      <c r="C980" s="2"/>
      <c r="D980" s="474"/>
      <c r="E980" s="464"/>
      <c r="F980" s="2"/>
      <c r="G980" s="2"/>
      <c r="H980" s="2"/>
      <c r="I980" s="2"/>
      <c r="J980" s="2"/>
      <c r="K980" s="2"/>
      <c r="L980" s="2"/>
      <c r="M980" s="2"/>
      <c r="N980" s="2"/>
      <c r="O980" s="2"/>
      <c r="P980" s="2"/>
      <c r="Q980" s="2"/>
      <c r="S980" s="3"/>
      <c r="T980" s="3"/>
      <c r="U980" s="3"/>
      <c r="V980" s="3"/>
      <c r="W980" s="3"/>
      <c r="X980" s="3"/>
      <c r="Y980" s="3"/>
      <c r="Z980" s="3"/>
    </row>
    <row r="981" ht="15.75" customHeight="1">
      <c r="A981" s="3"/>
      <c r="B981" s="2"/>
      <c r="C981" s="2"/>
      <c r="D981" s="474"/>
      <c r="E981" s="464"/>
      <c r="F981" s="2"/>
      <c r="G981" s="2"/>
      <c r="H981" s="2"/>
      <c r="I981" s="2"/>
      <c r="J981" s="2"/>
      <c r="K981" s="2"/>
      <c r="L981" s="2"/>
      <c r="M981" s="2"/>
      <c r="N981" s="2"/>
      <c r="O981" s="2"/>
      <c r="P981" s="2"/>
      <c r="Q981" s="2"/>
      <c r="S981" s="3"/>
      <c r="T981" s="3"/>
      <c r="U981" s="3"/>
      <c r="V981" s="3"/>
      <c r="W981" s="3"/>
      <c r="X981" s="3"/>
      <c r="Y981" s="3"/>
      <c r="Z981" s="3"/>
    </row>
    <row r="982" ht="15.75" customHeight="1">
      <c r="A982" s="3"/>
      <c r="B982" s="2"/>
      <c r="C982" s="2"/>
      <c r="D982" s="474"/>
      <c r="E982" s="464"/>
      <c r="F982" s="2"/>
      <c r="G982" s="2"/>
      <c r="H982" s="2"/>
      <c r="I982" s="2"/>
      <c r="J982" s="2"/>
      <c r="K982" s="2"/>
      <c r="L982" s="2"/>
      <c r="M982" s="2"/>
      <c r="N982" s="2"/>
      <c r="O982" s="2"/>
      <c r="P982" s="2"/>
      <c r="Q982" s="2"/>
      <c r="S982" s="3"/>
      <c r="T982" s="3"/>
      <c r="U982" s="3"/>
      <c r="V982" s="3"/>
      <c r="W982" s="3"/>
      <c r="X982" s="3"/>
      <c r="Y982" s="3"/>
      <c r="Z982" s="3"/>
    </row>
    <row r="983" ht="15.75" customHeight="1">
      <c r="A983" s="3"/>
      <c r="B983" s="2"/>
      <c r="C983" s="2"/>
      <c r="D983" s="474"/>
      <c r="E983" s="464"/>
      <c r="F983" s="2"/>
      <c r="G983" s="2"/>
      <c r="H983" s="2"/>
      <c r="I983" s="2"/>
      <c r="J983" s="2"/>
      <c r="K983" s="2"/>
      <c r="L983" s="2"/>
      <c r="M983" s="2"/>
      <c r="N983" s="2"/>
      <c r="O983" s="2"/>
      <c r="P983" s="2"/>
      <c r="Q983" s="2"/>
      <c r="S983" s="3"/>
      <c r="T983" s="3"/>
      <c r="U983" s="3"/>
      <c r="V983" s="3"/>
      <c r="W983" s="3"/>
      <c r="X983" s="3"/>
      <c r="Y983" s="3"/>
      <c r="Z983" s="3"/>
    </row>
    <row r="984" ht="15.75" customHeight="1">
      <c r="A984" s="3"/>
      <c r="B984" s="2"/>
      <c r="C984" s="2"/>
      <c r="D984" s="474"/>
      <c r="E984" s="464"/>
      <c r="F984" s="2"/>
      <c r="G984" s="2"/>
      <c r="H984" s="2"/>
      <c r="I984" s="2"/>
      <c r="J984" s="2"/>
      <c r="K984" s="2"/>
      <c r="L984" s="2"/>
      <c r="M984" s="2"/>
      <c r="N984" s="2"/>
      <c r="O984" s="2"/>
      <c r="P984" s="2"/>
      <c r="Q984" s="2"/>
      <c r="S984" s="3"/>
      <c r="T984" s="3"/>
      <c r="U984" s="3"/>
      <c r="V984" s="3"/>
      <c r="W984" s="3"/>
      <c r="X984" s="3"/>
      <c r="Y984" s="3"/>
      <c r="Z984" s="3"/>
    </row>
    <row r="985" ht="15.75" customHeight="1">
      <c r="A985" s="3"/>
      <c r="B985" s="2"/>
      <c r="C985" s="2"/>
      <c r="D985" s="474"/>
      <c r="E985" s="464"/>
      <c r="F985" s="2"/>
      <c r="G985" s="2"/>
      <c r="H985" s="2"/>
      <c r="I985" s="2"/>
      <c r="J985" s="2"/>
      <c r="K985" s="2"/>
      <c r="L985" s="2"/>
      <c r="M985" s="2"/>
      <c r="N985" s="2"/>
      <c r="O985" s="2"/>
      <c r="P985" s="2"/>
      <c r="Q985" s="2"/>
      <c r="S985" s="3"/>
      <c r="T985" s="3"/>
      <c r="U985" s="3"/>
      <c r="V985" s="3"/>
      <c r="W985" s="3"/>
      <c r="X985" s="3"/>
      <c r="Y985" s="3"/>
      <c r="Z985" s="3"/>
    </row>
    <row r="986" ht="15.75" customHeight="1">
      <c r="A986" s="3"/>
      <c r="B986" s="2"/>
      <c r="C986" s="2"/>
      <c r="D986" s="474"/>
      <c r="E986" s="464"/>
      <c r="F986" s="2"/>
      <c r="G986" s="2"/>
      <c r="H986" s="2"/>
      <c r="I986" s="2"/>
      <c r="J986" s="2"/>
      <c r="K986" s="2"/>
      <c r="L986" s="2"/>
      <c r="M986" s="2"/>
      <c r="N986" s="2"/>
      <c r="O986" s="2"/>
      <c r="P986" s="2"/>
      <c r="Q986" s="2"/>
      <c r="S986" s="3"/>
      <c r="T986" s="3"/>
      <c r="U986" s="3"/>
      <c r="V986" s="3"/>
      <c r="W986" s="3"/>
      <c r="X986" s="3"/>
      <c r="Y986" s="3"/>
      <c r="Z986" s="3"/>
    </row>
    <row r="987" ht="15.75" customHeight="1">
      <c r="A987" s="3"/>
      <c r="B987" s="2"/>
      <c r="C987" s="2"/>
      <c r="D987" s="474"/>
      <c r="E987" s="464"/>
      <c r="F987" s="2"/>
      <c r="G987" s="2"/>
      <c r="H987" s="2"/>
      <c r="I987" s="2"/>
      <c r="J987" s="2"/>
      <c r="K987" s="2"/>
      <c r="L987" s="2"/>
      <c r="M987" s="2"/>
      <c r="N987" s="2"/>
      <c r="O987" s="2"/>
      <c r="P987" s="2"/>
      <c r="Q987" s="2"/>
      <c r="S987" s="3"/>
      <c r="T987" s="3"/>
      <c r="U987" s="3"/>
      <c r="V987" s="3"/>
      <c r="W987" s="3"/>
      <c r="X987" s="3"/>
      <c r="Y987" s="3"/>
      <c r="Z987" s="3"/>
    </row>
    <row r="988" ht="15.75" customHeight="1">
      <c r="A988" s="3"/>
      <c r="B988" s="2"/>
      <c r="C988" s="2"/>
      <c r="D988" s="474"/>
      <c r="E988" s="464"/>
      <c r="F988" s="2"/>
      <c r="G988" s="2"/>
      <c r="H988" s="2"/>
      <c r="I988" s="2"/>
      <c r="J988" s="2"/>
      <c r="K988" s="2"/>
      <c r="L988" s="2"/>
      <c r="M988" s="2"/>
      <c r="N988" s="2"/>
      <c r="O988" s="2"/>
      <c r="P988" s="2"/>
      <c r="Q988" s="2"/>
      <c r="S988" s="3"/>
      <c r="T988" s="3"/>
      <c r="U988" s="3"/>
      <c r="V988" s="3"/>
      <c r="W988" s="3"/>
      <c r="X988" s="3"/>
      <c r="Y988" s="3"/>
      <c r="Z988" s="3"/>
    </row>
    <row r="989" ht="15.75" customHeight="1">
      <c r="A989" s="3"/>
      <c r="B989" s="2"/>
      <c r="C989" s="2"/>
      <c r="D989" s="474"/>
      <c r="E989" s="464"/>
      <c r="F989" s="2"/>
      <c r="G989" s="2"/>
      <c r="H989" s="2"/>
      <c r="I989" s="2"/>
      <c r="J989" s="2"/>
      <c r="K989" s="2"/>
      <c r="L989" s="2"/>
      <c r="M989" s="2"/>
      <c r="N989" s="2"/>
      <c r="O989" s="2"/>
      <c r="P989" s="2"/>
      <c r="Q989" s="2"/>
      <c r="S989" s="3"/>
      <c r="T989" s="3"/>
      <c r="U989" s="3"/>
      <c r="V989" s="3"/>
      <c r="W989" s="3"/>
      <c r="X989" s="3"/>
      <c r="Y989" s="3"/>
      <c r="Z989" s="3"/>
    </row>
    <row r="990" ht="15.75" customHeight="1">
      <c r="A990" s="3"/>
      <c r="B990" s="2"/>
      <c r="C990" s="2"/>
      <c r="D990" s="474"/>
      <c r="E990" s="464"/>
      <c r="F990" s="2"/>
      <c r="G990" s="2"/>
      <c r="H990" s="2"/>
      <c r="I990" s="2"/>
      <c r="J990" s="2"/>
      <c r="K990" s="2"/>
      <c r="L990" s="2"/>
      <c r="M990" s="2"/>
      <c r="N990" s="2"/>
      <c r="O990" s="2"/>
      <c r="P990" s="2"/>
      <c r="Q990" s="2"/>
      <c r="S990" s="3"/>
      <c r="T990" s="3"/>
      <c r="U990" s="3"/>
      <c r="V990" s="3"/>
      <c r="W990" s="3"/>
      <c r="X990" s="3"/>
      <c r="Y990" s="3"/>
      <c r="Z990" s="3"/>
    </row>
    <row r="991" ht="15.75" customHeight="1">
      <c r="A991" s="3"/>
      <c r="B991" s="2"/>
      <c r="C991" s="2"/>
      <c r="D991" s="474"/>
      <c r="E991" s="464"/>
      <c r="F991" s="2"/>
      <c r="G991" s="2"/>
      <c r="H991" s="2"/>
      <c r="I991" s="2"/>
      <c r="J991" s="2"/>
      <c r="K991" s="2"/>
      <c r="L991" s="2"/>
      <c r="M991" s="2"/>
      <c r="N991" s="2"/>
      <c r="O991" s="2"/>
      <c r="P991" s="2"/>
      <c r="Q991" s="2"/>
      <c r="S991" s="3"/>
      <c r="T991" s="3"/>
      <c r="U991" s="3"/>
      <c r="V991" s="3"/>
      <c r="W991" s="3"/>
      <c r="X991" s="3"/>
      <c r="Y991" s="3"/>
      <c r="Z991" s="3"/>
    </row>
    <row r="992" ht="15.75" customHeight="1">
      <c r="A992" s="3"/>
      <c r="B992" s="2"/>
      <c r="C992" s="2"/>
      <c r="D992" s="474"/>
      <c r="E992" s="464"/>
      <c r="F992" s="2"/>
      <c r="G992" s="2"/>
      <c r="H992" s="2"/>
      <c r="I992" s="2"/>
      <c r="J992" s="2"/>
      <c r="K992" s="2"/>
      <c r="L992" s="2"/>
      <c r="M992" s="2"/>
      <c r="N992" s="2"/>
      <c r="O992" s="2"/>
      <c r="P992" s="2"/>
      <c r="Q992" s="2"/>
      <c r="S992" s="3"/>
      <c r="T992" s="3"/>
      <c r="U992" s="3"/>
      <c r="V992" s="3"/>
      <c r="W992" s="3"/>
      <c r="X992" s="3"/>
      <c r="Y992" s="3"/>
      <c r="Z992" s="3"/>
    </row>
    <row r="993" ht="15.75" customHeight="1">
      <c r="A993" s="3"/>
      <c r="B993" s="2"/>
      <c r="C993" s="2"/>
      <c r="D993" s="474"/>
      <c r="E993" s="464"/>
      <c r="F993" s="2"/>
      <c r="G993" s="2"/>
      <c r="H993" s="2"/>
      <c r="I993" s="2"/>
      <c r="J993" s="2"/>
      <c r="K993" s="2"/>
      <c r="L993" s="2"/>
      <c r="M993" s="2"/>
      <c r="N993" s="2"/>
      <c r="O993" s="2"/>
      <c r="P993" s="2"/>
      <c r="Q993" s="2"/>
      <c r="S993" s="3"/>
      <c r="T993" s="3"/>
      <c r="U993" s="3"/>
      <c r="V993" s="3"/>
      <c r="W993" s="3"/>
      <c r="X993" s="3"/>
      <c r="Y993" s="3"/>
      <c r="Z993" s="3"/>
    </row>
    <row r="994" ht="15.75" customHeight="1">
      <c r="A994" s="3"/>
      <c r="B994" s="2"/>
      <c r="C994" s="2"/>
      <c r="D994" s="474"/>
      <c r="E994" s="464"/>
      <c r="F994" s="2"/>
      <c r="G994" s="2"/>
      <c r="H994" s="2"/>
      <c r="I994" s="2"/>
      <c r="J994" s="2"/>
      <c r="K994" s="2"/>
      <c r="L994" s="2"/>
      <c r="M994" s="2"/>
      <c r="N994" s="2"/>
      <c r="O994" s="2"/>
      <c r="P994" s="2"/>
      <c r="Q994" s="2"/>
      <c r="S994" s="3"/>
      <c r="T994" s="3"/>
      <c r="U994" s="3"/>
      <c r="V994" s="3"/>
      <c r="W994" s="3"/>
      <c r="X994" s="3"/>
      <c r="Y994" s="3"/>
      <c r="Z994" s="3"/>
    </row>
    <row r="995" ht="15.75" customHeight="1">
      <c r="A995" s="3"/>
      <c r="B995" s="2"/>
      <c r="C995" s="2"/>
      <c r="D995" s="474"/>
      <c r="E995" s="464"/>
      <c r="F995" s="2"/>
      <c r="G995" s="2"/>
      <c r="H995" s="2"/>
      <c r="I995" s="2"/>
      <c r="J995" s="2"/>
      <c r="K995" s="2"/>
      <c r="L995" s="2"/>
      <c r="M995" s="2"/>
      <c r="N995" s="2"/>
      <c r="O995" s="2"/>
      <c r="P995" s="2"/>
      <c r="Q995" s="2"/>
      <c r="S995" s="3"/>
      <c r="T995" s="3"/>
      <c r="U995" s="3"/>
      <c r="V995" s="3"/>
      <c r="W995" s="3"/>
      <c r="X995" s="3"/>
      <c r="Y995" s="3"/>
      <c r="Z995" s="3"/>
    </row>
    <row r="996" ht="15.75" customHeight="1">
      <c r="A996" s="3"/>
      <c r="B996" s="2"/>
      <c r="C996" s="2"/>
      <c r="D996" s="474"/>
      <c r="E996" s="464"/>
      <c r="F996" s="2"/>
      <c r="G996" s="2"/>
      <c r="H996" s="2"/>
      <c r="I996" s="2"/>
      <c r="J996" s="2"/>
      <c r="K996" s="2"/>
      <c r="L996" s="2"/>
      <c r="M996" s="2"/>
      <c r="N996" s="2"/>
      <c r="O996" s="2"/>
      <c r="P996" s="2"/>
      <c r="Q996" s="2"/>
      <c r="S996" s="3"/>
      <c r="T996" s="3"/>
      <c r="U996" s="3"/>
      <c r="V996" s="3"/>
      <c r="W996" s="3"/>
      <c r="X996" s="3"/>
      <c r="Y996" s="3"/>
      <c r="Z996" s="3"/>
    </row>
    <row r="997" ht="15.75" customHeight="1">
      <c r="A997" s="3"/>
      <c r="B997" s="2"/>
      <c r="C997" s="2"/>
      <c r="D997" s="474"/>
      <c r="E997" s="464"/>
      <c r="F997" s="2"/>
      <c r="G997" s="2"/>
      <c r="H997" s="2"/>
      <c r="I997" s="2"/>
      <c r="J997" s="2"/>
      <c r="K997" s="2"/>
      <c r="L997" s="2"/>
      <c r="M997" s="2"/>
      <c r="N997" s="2"/>
      <c r="O997" s="2"/>
      <c r="P997" s="2"/>
      <c r="Q997" s="2"/>
      <c r="S997" s="3"/>
      <c r="T997" s="3"/>
      <c r="U997" s="3"/>
      <c r="V997" s="3"/>
      <c r="W997" s="3"/>
      <c r="X997" s="3"/>
      <c r="Y997" s="3"/>
      <c r="Z997" s="3"/>
    </row>
    <row r="998" ht="15.75" customHeight="1">
      <c r="A998" s="3"/>
      <c r="B998" s="2"/>
      <c r="C998" s="2"/>
      <c r="D998" s="474"/>
      <c r="E998" s="464"/>
      <c r="F998" s="2"/>
      <c r="G998" s="2"/>
      <c r="H998" s="2"/>
      <c r="I998" s="2"/>
      <c r="J998" s="2"/>
      <c r="K998" s="2"/>
      <c r="L998" s="2"/>
      <c r="M998" s="2"/>
      <c r="N998" s="2"/>
      <c r="O998" s="2"/>
      <c r="P998" s="2"/>
      <c r="Q998" s="2"/>
      <c r="S998" s="3"/>
      <c r="T998" s="3"/>
      <c r="U998" s="3"/>
      <c r="V998" s="3"/>
      <c r="W998" s="3"/>
      <c r="X998" s="3"/>
      <c r="Y998" s="3"/>
      <c r="Z998" s="3"/>
    </row>
    <row r="999" ht="15.75" customHeight="1">
      <c r="A999" s="3"/>
      <c r="B999" s="2"/>
      <c r="C999" s="2"/>
      <c r="D999" s="474"/>
      <c r="E999" s="464"/>
      <c r="F999" s="2"/>
      <c r="G999" s="2"/>
      <c r="H999" s="2"/>
      <c r="I999" s="2"/>
      <c r="J999" s="2"/>
      <c r="K999" s="2"/>
      <c r="L999" s="2"/>
      <c r="M999" s="2"/>
      <c r="N999" s="2"/>
      <c r="O999" s="2"/>
      <c r="P999" s="2"/>
      <c r="Q999" s="2"/>
      <c r="S999" s="3"/>
      <c r="T999" s="3"/>
      <c r="U999" s="3"/>
      <c r="V999" s="3"/>
      <c r="W999" s="3"/>
      <c r="X999" s="3"/>
      <c r="Y999" s="3"/>
      <c r="Z999" s="3"/>
    </row>
    <row r="1000" ht="15.75" customHeight="1">
      <c r="A1000" s="3"/>
      <c r="B1000" s="2"/>
      <c r="C1000" s="2"/>
      <c r="D1000" s="474"/>
      <c r="E1000" s="464"/>
      <c r="F1000" s="2"/>
      <c r="G1000" s="2"/>
      <c r="H1000" s="2"/>
      <c r="I1000" s="2"/>
      <c r="J1000" s="2"/>
      <c r="K1000" s="2"/>
      <c r="L1000" s="2"/>
      <c r="M1000" s="2"/>
      <c r="N1000" s="2"/>
      <c r="O1000" s="2"/>
      <c r="P1000" s="2"/>
      <c r="Q1000" s="2"/>
      <c r="S1000" s="3"/>
      <c r="T1000" s="3"/>
      <c r="U1000" s="3"/>
      <c r="V1000" s="3"/>
      <c r="W1000" s="3"/>
      <c r="X1000" s="3"/>
      <c r="Y1000" s="3"/>
      <c r="Z1000" s="3"/>
    </row>
    <row r="1001" ht="15.75" customHeight="1">
      <c r="A1001" s="3"/>
      <c r="B1001" s="2"/>
      <c r="C1001" s="2"/>
      <c r="D1001" s="474"/>
      <c r="E1001" s="464"/>
      <c r="F1001" s="2"/>
      <c r="G1001" s="2"/>
      <c r="H1001" s="2"/>
      <c r="I1001" s="2"/>
      <c r="J1001" s="2"/>
      <c r="K1001" s="2"/>
      <c r="L1001" s="2"/>
      <c r="M1001" s="2"/>
      <c r="N1001" s="2"/>
      <c r="O1001" s="2"/>
      <c r="P1001" s="2"/>
      <c r="Q1001" s="2"/>
      <c r="S1001" s="3"/>
      <c r="T1001" s="3"/>
      <c r="U1001" s="3"/>
      <c r="V1001" s="3"/>
      <c r="W1001" s="3"/>
      <c r="X1001" s="3"/>
      <c r="Y1001" s="3"/>
      <c r="Z1001" s="3"/>
    </row>
    <row r="1002" ht="15.75" customHeight="1">
      <c r="A1002" s="3"/>
      <c r="B1002" s="2"/>
      <c r="C1002" s="2"/>
      <c r="D1002" s="474"/>
      <c r="E1002" s="464"/>
      <c r="F1002" s="2"/>
      <c r="G1002" s="2"/>
      <c r="H1002" s="2"/>
      <c r="I1002" s="2"/>
      <c r="J1002" s="2"/>
      <c r="K1002" s="2"/>
      <c r="L1002" s="2"/>
      <c r="M1002" s="2"/>
      <c r="N1002" s="2"/>
      <c r="O1002" s="2"/>
      <c r="P1002" s="2"/>
      <c r="Q1002" s="2"/>
      <c r="S1002" s="3"/>
      <c r="T1002" s="3"/>
      <c r="U1002" s="3"/>
      <c r="V1002" s="3"/>
      <c r="W1002" s="3"/>
      <c r="X1002" s="3"/>
      <c r="Y1002" s="3"/>
      <c r="Z1002" s="3"/>
    </row>
  </sheetData>
  <mergeCells count="23">
    <mergeCell ref="B1:Q1"/>
    <mergeCell ref="B2:Q2"/>
    <mergeCell ref="K3:M3"/>
    <mergeCell ref="O3:Q3"/>
    <mergeCell ref="L4:M4"/>
    <mergeCell ref="N43:P43"/>
    <mergeCell ref="B44:Q44"/>
    <mergeCell ref="B45:Q45"/>
    <mergeCell ref="C46:E46"/>
    <mergeCell ref="G46:H46"/>
    <mergeCell ref="I46:L46"/>
    <mergeCell ref="G47:H47"/>
    <mergeCell ref="K47:L47"/>
    <mergeCell ref="B48:C48"/>
    <mergeCell ref="J50:L50"/>
    <mergeCell ref="M50:Q50"/>
    <mergeCell ref="E48:F48"/>
    <mergeCell ref="C49:E49"/>
    <mergeCell ref="G49:H49"/>
    <mergeCell ref="I49:L49"/>
    <mergeCell ref="M49:Q49"/>
    <mergeCell ref="C50:E50"/>
    <mergeCell ref="G50:H50"/>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71"/>
    <col customWidth="1" min="2" max="2" width="15.43"/>
    <col customWidth="1" min="3" max="3" width="9.57"/>
    <col customWidth="1" min="4" max="4" width="16.71"/>
    <col customWidth="1" min="5" max="5" width="8.86"/>
    <col customWidth="1" min="6" max="6" width="7.86"/>
    <col customWidth="1" min="7" max="7" width="8.71"/>
    <col customWidth="1" min="8" max="8" width="7.57"/>
    <col customWidth="1" min="9" max="9" width="9.0"/>
    <col customWidth="1" min="10" max="10" width="7.29"/>
    <col customWidth="1" min="11" max="11" width="12.43"/>
    <col customWidth="1" min="12" max="12" width="11.71"/>
    <col customWidth="1" min="13" max="13" width="16.71"/>
    <col customWidth="1" min="14" max="14" width="5.29"/>
    <col customWidth="1" min="15" max="15" width="11.43"/>
    <col customWidth="1" min="16" max="16" width="6.14"/>
    <col customWidth="1" min="17" max="36" width="8.71"/>
  </cols>
  <sheetData>
    <row r="1">
      <c r="A1" s="475"/>
      <c r="R1" s="3"/>
      <c r="S1" s="3"/>
      <c r="T1" s="3"/>
      <c r="U1" s="3"/>
      <c r="V1" s="3"/>
      <c r="W1" s="3"/>
      <c r="X1" s="3"/>
      <c r="Y1" s="3"/>
      <c r="Z1" s="3"/>
      <c r="AA1" s="3"/>
      <c r="AB1" s="3"/>
      <c r="AC1" s="3"/>
      <c r="AD1" s="3"/>
      <c r="AE1" s="3"/>
      <c r="AF1" s="3"/>
      <c r="AG1" s="3"/>
      <c r="AH1" s="3"/>
      <c r="AI1" s="3"/>
      <c r="AJ1" s="3"/>
    </row>
    <row r="2">
      <c r="A2" s="399"/>
      <c r="B2" s="400" t="s">
        <v>1</v>
      </c>
      <c r="C2" s="6"/>
      <c r="D2" s="6"/>
      <c r="E2" s="6"/>
      <c r="F2" s="6"/>
      <c r="G2" s="6"/>
      <c r="H2" s="6"/>
      <c r="I2" s="6"/>
      <c r="J2" s="6"/>
      <c r="K2" s="6"/>
      <c r="L2" s="6"/>
      <c r="M2" s="6"/>
      <c r="N2" s="6"/>
      <c r="O2" s="6"/>
      <c r="P2" s="7"/>
      <c r="R2" s="3"/>
      <c r="S2" s="3"/>
      <c r="T2" s="3"/>
      <c r="U2" s="3"/>
      <c r="V2" s="3"/>
      <c r="W2" s="3"/>
      <c r="X2" s="3"/>
      <c r="Y2" s="3"/>
      <c r="Z2" s="3"/>
      <c r="AA2" s="3"/>
      <c r="AB2" s="3"/>
      <c r="AC2" s="3"/>
      <c r="AD2" s="3"/>
      <c r="AE2" s="3"/>
      <c r="AF2" s="3"/>
      <c r="AG2" s="3"/>
      <c r="AH2" s="3"/>
      <c r="AI2" s="3"/>
      <c r="AJ2" s="3"/>
    </row>
    <row r="3">
      <c r="A3" s="399"/>
      <c r="B3" s="401"/>
      <c r="C3" s="9"/>
      <c r="D3" s="402"/>
      <c r="E3" s="9"/>
      <c r="F3" s="403"/>
      <c r="G3" s="403"/>
      <c r="H3" s="403"/>
      <c r="I3" s="9"/>
      <c r="J3" s="12"/>
      <c r="L3" s="13"/>
      <c r="M3" s="14" t="s">
        <v>3</v>
      </c>
      <c r="N3" s="404" t="s">
        <v>14258</v>
      </c>
      <c r="O3" s="16"/>
      <c r="P3" s="17"/>
      <c r="R3" s="3"/>
      <c r="S3" s="3"/>
      <c r="T3" s="3"/>
      <c r="U3" s="3"/>
      <c r="V3" s="3"/>
      <c r="W3" s="3"/>
      <c r="X3" s="3"/>
      <c r="Y3" s="3"/>
      <c r="Z3" s="3"/>
      <c r="AA3" s="3"/>
      <c r="AB3" s="3"/>
      <c r="AC3" s="3"/>
      <c r="AD3" s="3"/>
      <c r="AE3" s="3"/>
      <c r="AF3" s="3"/>
      <c r="AG3" s="3"/>
      <c r="AH3" s="3"/>
      <c r="AI3" s="3"/>
      <c r="AJ3" s="3"/>
    </row>
    <row r="4">
      <c r="A4" s="399"/>
      <c r="B4" s="405"/>
      <c r="C4" s="9"/>
      <c r="D4" s="402"/>
      <c r="E4" s="9"/>
      <c r="F4" s="403"/>
      <c r="G4" s="321"/>
      <c r="H4" s="403"/>
      <c r="I4" s="9"/>
      <c r="J4" s="403"/>
      <c r="K4" s="406"/>
      <c r="L4" s="407"/>
      <c r="M4" s="9"/>
      <c r="N4" s="403"/>
      <c r="O4" s="403"/>
      <c r="P4" s="403"/>
      <c r="R4" s="3"/>
      <c r="S4" s="3"/>
      <c r="T4" s="3"/>
      <c r="U4" s="3"/>
      <c r="V4" s="3"/>
      <c r="W4" s="3"/>
      <c r="X4" s="3"/>
      <c r="Y4" s="3"/>
      <c r="Z4" s="3"/>
      <c r="AA4" s="3"/>
      <c r="AB4" s="3"/>
      <c r="AC4" s="3"/>
      <c r="AD4" s="3"/>
      <c r="AE4" s="3"/>
      <c r="AF4" s="3"/>
      <c r="AG4" s="3"/>
      <c r="AH4" s="3"/>
      <c r="AI4" s="3"/>
      <c r="AJ4" s="3"/>
    </row>
    <row r="5">
      <c r="A5" s="409" t="s">
        <v>13864</v>
      </c>
      <c r="B5" s="295" t="s">
        <v>13834</v>
      </c>
      <c r="C5" s="409" t="s">
        <v>10</v>
      </c>
      <c r="D5" s="409" t="s">
        <v>11</v>
      </c>
      <c r="E5" s="409" t="s">
        <v>12</v>
      </c>
      <c r="F5" s="409" t="s">
        <v>13</v>
      </c>
      <c r="G5" s="409" t="s">
        <v>14</v>
      </c>
      <c r="H5" s="409" t="s">
        <v>13835</v>
      </c>
      <c r="I5" s="409" t="s">
        <v>13865</v>
      </c>
      <c r="J5" s="409" t="s">
        <v>16</v>
      </c>
      <c r="K5" s="410" t="s">
        <v>13836</v>
      </c>
      <c r="L5" s="410" t="s">
        <v>13837</v>
      </c>
      <c r="M5" s="409" t="s">
        <v>18</v>
      </c>
      <c r="N5" s="409" t="s">
        <v>19</v>
      </c>
      <c r="O5" s="409" t="s">
        <v>20</v>
      </c>
      <c r="P5" s="409" t="s">
        <v>21</v>
      </c>
      <c r="Q5" s="411" t="s">
        <v>22</v>
      </c>
      <c r="R5" s="3"/>
      <c r="S5" s="8" t="s">
        <v>2</v>
      </c>
      <c r="T5" s="3"/>
      <c r="U5" s="3">
        <f>sum(Q6:Q237)</f>
        <v>254</v>
      </c>
      <c r="V5" s="3"/>
      <c r="W5" s="3"/>
      <c r="X5" s="3"/>
      <c r="Y5" s="3"/>
      <c r="Z5" s="3"/>
      <c r="AA5" s="3"/>
      <c r="AB5" s="3"/>
      <c r="AC5" s="3"/>
      <c r="AD5" s="3"/>
      <c r="AE5" s="3"/>
      <c r="AF5" s="3"/>
      <c r="AG5" s="3"/>
      <c r="AH5" s="3"/>
      <c r="AI5" s="3"/>
      <c r="AJ5" s="3"/>
    </row>
    <row r="6">
      <c r="A6" s="476">
        <v>1.0</v>
      </c>
      <c r="B6" s="477" t="s">
        <v>6231</v>
      </c>
      <c r="C6" s="478" t="s">
        <v>14259</v>
      </c>
      <c r="D6" s="476" t="s">
        <v>6233</v>
      </c>
      <c r="E6" s="476" t="s">
        <v>4612</v>
      </c>
      <c r="F6" s="476" t="s">
        <v>29</v>
      </c>
      <c r="G6" s="476" t="s">
        <v>38</v>
      </c>
      <c r="H6" s="476"/>
      <c r="I6" s="476" t="s">
        <v>167</v>
      </c>
      <c r="J6" s="476">
        <v>134.0</v>
      </c>
      <c r="K6" s="479"/>
      <c r="L6" s="480" t="s">
        <v>14260</v>
      </c>
      <c r="M6" s="478" t="s">
        <v>544</v>
      </c>
      <c r="N6" s="478">
        <v>2014.0</v>
      </c>
      <c r="O6" s="478">
        <v>3.0</v>
      </c>
      <c r="P6" s="476">
        <v>1.0</v>
      </c>
      <c r="Q6" s="481">
        <v>1.0</v>
      </c>
      <c r="R6" s="149"/>
      <c r="S6" s="45"/>
      <c r="T6" s="45"/>
      <c r="U6" s="45"/>
      <c r="V6" s="45"/>
      <c r="W6" s="45"/>
      <c r="X6" s="45"/>
      <c r="Y6" s="45"/>
      <c r="Z6" s="45"/>
      <c r="AA6" s="45"/>
      <c r="AB6" s="45"/>
      <c r="AC6" s="45"/>
      <c r="AD6" s="45"/>
      <c r="AE6" s="45"/>
      <c r="AF6" s="45"/>
      <c r="AG6" s="45"/>
      <c r="AH6" s="45"/>
      <c r="AI6" s="45"/>
      <c r="AJ6" s="45"/>
    </row>
    <row r="7">
      <c r="A7" s="476">
        <v>2.0</v>
      </c>
      <c r="B7" s="476" t="s">
        <v>14261</v>
      </c>
      <c r="C7" s="476" t="s">
        <v>14262</v>
      </c>
      <c r="D7" s="482" t="s">
        <v>14263</v>
      </c>
      <c r="E7" s="476" t="s">
        <v>4612</v>
      </c>
      <c r="F7" s="476" t="s">
        <v>29</v>
      </c>
      <c r="G7" s="476" t="s">
        <v>37</v>
      </c>
      <c r="H7" s="476"/>
      <c r="I7" s="476" t="s">
        <v>38</v>
      </c>
      <c r="J7" s="476">
        <v>1232.0</v>
      </c>
      <c r="K7" s="476"/>
      <c r="L7" s="476" t="s">
        <v>14264</v>
      </c>
      <c r="M7" s="476" t="s">
        <v>156</v>
      </c>
      <c r="N7" s="476">
        <v>1992.0</v>
      </c>
      <c r="O7" s="478">
        <v>2.0</v>
      </c>
      <c r="P7" s="476">
        <v>2.0</v>
      </c>
      <c r="Q7" s="481">
        <v>2.0</v>
      </c>
      <c r="R7" s="149"/>
      <c r="S7" s="45"/>
      <c r="T7" s="45"/>
      <c r="U7" s="45"/>
      <c r="V7" s="45"/>
      <c r="W7" s="45"/>
      <c r="X7" s="45"/>
      <c r="Y7" s="45"/>
      <c r="Z7" s="45"/>
      <c r="AA7" s="45"/>
      <c r="AB7" s="45"/>
      <c r="AC7" s="45"/>
      <c r="AD7" s="45"/>
      <c r="AE7" s="45"/>
      <c r="AF7" s="45"/>
      <c r="AG7" s="45"/>
      <c r="AH7" s="45"/>
      <c r="AI7" s="45"/>
      <c r="AJ7" s="45"/>
    </row>
    <row r="8">
      <c r="A8" s="476">
        <v>3.0</v>
      </c>
      <c r="B8" s="476" t="s">
        <v>14261</v>
      </c>
      <c r="C8" s="476" t="s">
        <v>14262</v>
      </c>
      <c r="D8" s="482" t="s">
        <v>14265</v>
      </c>
      <c r="E8" s="476" t="s">
        <v>4612</v>
      </c>
      <c r="F8" s="476" t="s">
        <v>29</v>
      </c>
      <c r="G8" s="476" t="s">
        <v>37</v>
      </c>
      <c r="H8" s="476"/>
      <c r="I8" s="476" t="s">
        <v>38</v>
      </c>
      <c r="J8" s="476">
        <v>1100.0</v>
      </c>
      <c r="K8" s="476"/>
      <c r="L8" s="476" t="s">
        <v>14264</v>
      </c>
      <c r="M8" s="476" t="s">
        <v>156</v>
      </c>
      <c r="N8" s="476">
        <v>1992.0</v>
      </c>
      <c r="O8" s="478">
        <v>2.0</v>
      </c>
      <c r="P8" s="476">
        <v>2.0</v>
      </c>
      <c r="Q8" s="481">
        <v>2.0</v>
      </c>
      <c r="R8" s="149"/>
      <c r="S8" s="45"/>
      <c r="T8" s="45"/>
      <c r="U8" s="45"/>
      <c r="V8" s="45"/>
      <c r="W8" s="45"/>
      <c r="X8" s="45"/>
      <c r="Y8" s="45"/>
      <c r="Z8" s="45"/>
      <c r="AA8" s="45"/>
      <c r="AB8" s="45"/>
      <c r="AC8" s="45"/>
      <c r="AD8" s="45"/>
      <c r="AE8" s="45"/>
      <c r="AF8" s="45"/>
      <c r="AG8" s="45"/>
      <c r="AH8" s="45"/>
      <c r="AI8" s="45"/>
      <c r="AJ8" s="45"/>
    </row>
    <row r="9">
      <c r="A9" s="476">
        <v>4.0</v>
      </c>
      <c r="B9" s="476" t="s">
        <v>14266</v>
      </c>
      <c r="C9" s="476" t="s">
        <v>14262</v>
      </c>
      <c r="D9" s="482" t="s">
        <v>14267</v>
      </c>
      <c r="E9" s="476" t="s">
        <v>4612</v>
      </c>
      <c r="F9" s="476" t="s">
        <v>29</v>
      </c>
      <c r="G9" s="476" t="s">
        <v>37</v>
      </c>
      <c r="H9" s="476"/>
      <c r="I9" s="476" t="s">
        <v>38</v>
      </c>
      <c r="J9" s="476">
        <v>1135.0</v>
      </c>
      <c r="K9" s="476"/>
      <c r="L9" s="476" t="s">
        <v>14264</v>
      </c>
      <c r="M9" s="476" t="s">
        <v>156</v>
      </c>
      <c r="N9" s="476">
        <v>1992.0</v>
      </c>
      <c r="O9" s="478">
        <v>2.0</v>
      </c>
      <c r="P9" s="476">
        <v>2.0</v>
      </c>
      <c r="Q9" s="481">
        <v>2.0</v>
      </c>
      <c r="R9" s="149"/>
      <c r="S9" s="45"/>
      <c r="T9" s="45"/>
      <c r="U9" s="45"/>
      <c r="V9" s="45"/>
      <c r="W9" s="45"/>
      <c r="X9" s="45"/>
      <c r="Y9" s="45"/>
      <c r="Z9" s="45"/>
      <c r="AA9" s="45"/>
      <c r="AB9" s="45"/>
      <c r="AC9" s="45"/>
      <c r="AD9" s="45"/>
      <c r="AE9" s="45"/>
      <c r="AF9" s="45"/>
      <c r="AG9" s="45"/>
      <c r="AH9" s="45"/>
      <c r="AI9" s="45"/>
      <c r="AJ9" s="45"/>
    </row>
    <row r="10">
      <c r="A10" s="476">
        <v>5.0</v>
      </c>
      <c r="B10" s="476" t="s">
        <v>14268</v>
      </c>
      <c r="C10" s="476" t="s">
        <v>14262</v>
      </c>
      <c r="D10" s="482" t="s">
        <v>14269</v>
      </c>
      <c r="E10" s="476" t="s">
        <v>4612</v>
      </c>
      <c r="F10" s="476" t="s">
        <v>29</v>
      </c>
      <c r="G10" s="476" t="s">
        <v>37</v>
      </c>
      <c r="H10" s="476"/>
      <c r="I10" s="476" t="s">
        <v>38</v>
      </c>
      <c r="J10" s="476">
        <v>1162.0</v>
      </c>
      <c r="K10" s="476"/>
      <c r="L10" s="476" t="s">
        <v>14264</v>
      </c>
      <c r="M10" s="476" t="s">
        <v>156</v>
      </c>
      <c r="N10" s="476">
        <v>1992.0</v>
      </c>
      <c r="O10" s="478">
        <v>2.0</v>
      </c>
      <c r="P10" s="476">
        <v>2.0</v>
      </c>
      <c r="Q10" s="481">
        <v>2.0</v>
      </c>
      <c r="R10" s="149"/>
      <c r="S10" s="45"/>
      <c r="T10" s="45"/>
      <c r="U10" s="45"/>
      <c r="V10" s="45"/>
      <c r="W10" s="45"/>
      <c r="X10" s="45"/>
      <c r="Y10" s="45"/>
      <c r="Z10" s="45"/>
      <c r="AA10" s="45"/>
      <c r="AB10" s="45"/>
      <c r="AC10" s="45"/>
      <c r="AD10" s="45"/>
      <c r="AE10" s="45"/>
      <c r="AF10" s="45"/>
      <c r="AG10" s="45"/>
      <c r="AH10" s="45"/>
      <c r="AI10" s="45"/>
      <c r="AJ10" s="45"/>
    </row>
    <row r="11">
      <c r="A11" s="476">
        <v>6.0</v>
      </c>
      <c r="B11" s="476" t="s">
        <v>14270</v>
      </c>
      <c r="C11" s="476" t="s">
        <v>14262</v>
      </c>
      <c r="D11" s="482" t="s">
        <v>14271</v>
      </c>
      <c r="E11" s="476" t="s">
        <v>4612</v>
      </c>
      <c r="F11" s="476" t="s">
        <v>29</v>
      </c>
      <c r="G11" s="476" t="s">
        <v>37</v>
      </c>
      <c r="H11" s="476"/>
      <c r="I11" s="476" t="s">
        <v>38</v>
      </c>
      <c r="J11" s="476">
        <v>1230.0</v>
      </c>
      <c r="K11" s="476"/>
      <c r="L11" s="476" t="s">
        <v>14264</v>
      </c>
      <c r="M11" s="476" t="s">
        <v>156</v>
      </c>
      <c r="N11" s="476">
        <v>1992.0</v>
      </c>
      <c r="O11" s="478">
        <v>2.0</v>
      </c>
      <c r="P11" s="476">
        <v>2.0</v>
      </c>
      <c r="Q11" s="481">
        <v>2.0</v>
      </c>
      <c r="R11" s="149"/>
      <c r="S11" s="45"/>
      <c r="T11" s="45"/>
      <c r="U11" s="45"/>
      <c r="V11" s="45"/>
      <c r="W11" s="45"/>
      <c r="X11" s="45"/>
      <c r="Y11" s="45"/>
      <c r="Z11" s="45"/>
      <c r="AA11" s="45"/>
      <c r="AB11" s="45"/>
      <c r="AC11" s="45"/>
      <c r="AD11" s="45"/>
      <c r="AE11" s="45"/>
      <c r="AF11" s="45"/>
      <c r="AG11" s="45"/>
      <c r="AH11" s="45"/>
      <c r="AI11" s="45"/>
      <c r="AJ11" s="45"/>
    </row>
    <row r="12">
      <c r="A12" s="476">
        <v>7.0</v>
      </c>
      <c r="B12" s="476" t="s">
        <v>12862</v>
      </c>
      <c r="C12" s="476" t="s">
        <v>14262</v>
      </c>
      <c r="D12" s="482" t="s">
        <v>14272</v>
      </c>
      <c r="E12" s="476" t="s">
        <v>4612</v>
      </c>
      <c r="F12" s="476" t="s">
        <v>29</v>
      </c>
      <c r="G12" s="476" t="s">
        <v>37</v>
      </c>
      <c r="H12" s="476"/>
      <c r="I12" s="476" t="s">
        <v>38</v>
      </c>
      <c r="J12" s="476">
        <v>1.112</v>
      </c>
      <c r="K12" s="476"/>
      <c r="L12" s="476" t="s">
        <v>14264</v>
      </c>
      <c r="M12" s="476" t="s">
        <v>156</v>
      </c>
      <c r="N12" s="476">
        <v>1992.0</v>
      </c>
      <c r="O12" s="478">
        <v>2.0</v>
      </c>
      <c r="P12" s="476">
        <v>2.0</v>
      </c>
      <c r="Q12" s="481">
        <v>2.0</v>
      </c>
      <c r="R12" s="149"/>
      <c r="S12" s="45"/>
      <c r="T12" s="45"/>
      <c r="U12" s="45"/>
      <c r="V12" s="45"/>
      <c r="W12" s="45"/>
      <c r="X12" s="45"/>
      <c r="Y12" s="45"/>
      <c r="Z12" s="45"/>
      <c r="AA12" s="45"/>
      <c r="AB12" s="45"/>
      <c r="AC12" s="45"/>
      <c r="AD12" s="45"/>
      <c r="AE12" s="45"/>
      <c r="AF12" s="45"/>
      <c r="AG12" s="45"/>
      <c r="AH12" s="45"/>
      <c r="AI12" s="45"/>
      <c r="AJ12" s="45"/>
    </row>
    <row r="13">
      <c r="A13" s="476">
        <v>8.0</v>
      </c>
      <c r="B13" s="476" t="s">
        <v>14273</v>
      </c>
      <c r="C13" s="478" t="s">
        <v>14274</v>
      </c>
      <c r="D13" s="482" t="s">
        <v>14275</v>
      </c>
      <c r="E13" s="476" t="s">
        <v>4612</v>
      </c>
      <c r="F13" s="476" t="s">
        <v>29</v>
      </c>
      <c r="G13" s="476" t="s">
        <v>37</v>
      </c>
      <c r="H13" s="476"/>
      <c r="I13" s="476" t="s">
        <v>38</v>
      </c>
      <c r="J13" s="476">
        <v>876.0</v>
      </c>
      <c r="K13" s="478"/>
      <c r="L13" s="476" t="s">
        <v>14276</v>
      </c>
      <c r="M13" s="476" t="s">
        <v>14277</v>
      </c>
      <c r="N13" s="476">
        <v>1962.0</v>
      </c>
      <c r="O13" s="478">
        <v>1.0</v>
      </c>
      <c r="P13" s="476">
        <v>2.0</v>
      </c>
      <c r="Q13" s="481">
        <v>2.0</v>
      </c>
      <c r="R13" s="149"/>
      <c r="S13" s="45"/>
      <c r="T13" s="45"/>
      <c r="U13" s="45"/>
      <c r="V13" s="45"/>
      <c r="W13" s="45"/>
      <c r="X13" s="45"/>
      <c r="Y13" s="45"/>
      <c r="Z13" s="45"/>
      <c r="AA13" s="45"/>
      <c r="AB13" s="45"/>
      <c r="AC13" s="45"/>
      <c r="AD13" s="45"/>
      <c r="AE13" s="45"/>
      <c r="AF13" s="45"/>
      <c r="AG13" s="45"/>
      <c r="AH13" s="45"/>
      <c r="AI13" s="45"/>
      <c r="AJ13" s="45"/>
    </row>
    <row r="14">
      <c r="A14" s="476">
        <v>9.0</v>
      </c>
      <c r="B14" s="477" t="s">
        <v>12809</v>
      </c>
      <c r="C14" s="478" t="s">
        <v>14278</v>
      </c>
      <c r="D14" s="476" t="s">
        <v>14279</v>
      </c>
      <c r="E14" s="476" t="s">
        <v>4612</v>
      </c>
      <c r="F14" s="476" t="s">
        <v>29</v>
      </c>
      <c r="G14" s="476" t="s">
        <v>38</v>
      </c>
      <c r="H14" s="476"/>
      <c r="I14" s="476" t="s">
        <v>166</v>
      </c>
      <c r="J14" s="476">
        <v>998.0</v>
      </c>
      <c r="K14" s="478" t="s">
        <v>14280</v>
      </c>
      <c r="L14" s="479"/>
      <c r="M14" s="476" t="s">
        <v>14281</v>
      </c>
      <c r="N14" s="476">
        <v>1976.0</v>
      </c>
      <c r="O14" s="478">
        <v>2.0</v>
      </c>
      <c r="P14" s="476">
        <v>1.0</v>
      </c>
      <c r="Q14" s="481">
        <v>1.0</v>
      </c>
      <c r="R14" s="149"/>
      <c r="S14" s="45"/>
      <c r="T14" s="45"/>
      <c r="U14" s="45"/>
      <c r="V14" s="45"/>
      <c r="W14" s="45"/>
      <c r="X14" s="45"/>
      <c r="Y14" s="45"/>
      <c r="Z14" s="45"/>
      <c r="AA14" s="45"/>
      <c r="AB14" s="45"/>
      <c r="AC14" s="45"/>
      <c r="AD14" s="45"/>
      <c r="AE14" s="45"/>
      <c r="AF14" s="45"/>
      <c r="AG14" s="45"/>
      <c r="AH14" s="45"/>
      <c r="AI14" s="45"/>
      <c r="AJ14" s="45"/>
    </row>
    <row r="15">
      <c r="A15" s="476">
        <v>10.0</v>
      </c>
      <c r="B15" s="476" t="s">
        <v>14282</v>
      </c>
      <c r="C15" s="478" t="s">
        <v>14283</v>
      </c>
      <c r="D15" s="482" t="s">
        <v>14284</v>
      </c>
      <c r="E15" s="476" t="s">
        <v>4612</v>
      </c>
      <c r="F15" s="476" t="s">
        <v>29</v>
      </c>
      <c r="G15" s="476" t="s">
        <v>37</v>
      </c>
      <c r="H15" s="476"/>
      <c r="I15" s="476" t="s">
        <v>38</v>
      </c>
      <c r="J15" s="478">
        <v>1396.0</v>
      </c>
      <c r="K15" s="476"/>
      <c r="L15" s="476" t="s">
        <v>14285</v>
      </c>
      <c r="M15" s="476" t="s">
        <v>245</v>
      </c>
      <c r="N15" s="476">
        <v>1952.0</v>
      </c>
      <c r="O15" s="478">
        <v>2.0</v>
      </c>
      <c r="P15" s="476">
        <v>1.0</v>
      </c>
      <c r="Q15" s="483">
        <v>1.0</v>
      </c>
      <c r="R15" s="3"/>
      <c r="S15" s="3"/>
      <c r="T15" s="3"/>
      <c r="U15" s="3"/>
      <c r="V15" s="3"/>
      <c r="W15" s="3"/>
      <c r="X15" s="3"/>
      <c r="Y15" s="3"/>
      <c r="Z15" s="3"/>
      <c r="AA15" s="3"/>
      <c r="AB15" s="3"/>
      <c r="AC15" s="3"/>
      <c r="AD15" s="3"/>
      <c r="AE15" s="3"/>
      <c r="AF15" s="3"/>
      <c r="AG15" s="3"/>
      <c r="AH15" s="3"/>
      <c r="AI15" s="3"/>
      <c r="AJ15" s="3"/>
    </row>
    <row r="16">
      <c r="A16" s="476">
        <v>11.0</v>
      </c>
      <c r="B16" s="476" t="s">
        <v>14286</v>
      </c>
      <c r="C16" s="478" t="s">
        <v>14287</v>
      </c>
      <c r="D16" s="482" t="s">
        <v>14288</v>
      </c>
      <c r="E16" s="476" t="s">
        <v>4612</v>
      </c>
      <c r="F16" s="476" t="s">
        <v>29</v>
      </c>
      <c r="G16" s="476" t="s">
        <v>38</v>
      </c>
      <c r="H16" s="476"/>
      <c r="I16" s="476" t="s">
        <v>38</v>
      </c>
      <c r="J16" s="476">
        <v>641.0</v>
      </c>
      <c r="K16" s="484"/>
      <c r="L16" s="484" t="s">
        <v>14289</v>
      </c>
      <c r="M16" s="476" t="s">
        <v>14290</v>
      </c>
      <c r="N16" s="476">
        <v>1985.0</v>
      </c>
      <c r="O16" s="478">
        <v>2.0</v>
      </c>
      <c r="P16" s="476">
        <v>1.0</v>
      </c>
      <c r="Q16" s="483">
        <v>1.0</v>
      </c>
      <c r="R16" s="3"/>
      <c r="S16" s="3"/>
      <c r="T16" s="3"/>
      <c r="U16" s="3"/>
      <c r="V16" s="3"/>
      <c r="W16" s="3"/>
      <c r="X16" s="3"/>
      <c r="Y16" s="3"/>
      <c r="Z16" s="3"/>
      <c r="AA16" s="3"/>
      <c r="AB16" s="3"/>
      <c r="AC16" s="3"/>
      <c r="AD16" s="3"/>
      <c r="AE16" s="3"/>
      <c r="AF16" s="3"/>
      <c r="AG16" s="3"/>
      <c r="AH16" s="3"/>
      <c r="AI16" s="3"/>
      <c r="AJ16" s="3"/>
    </row>
    <row r="17">
      <c r="A17" s="476">
        <v>12.0</v>
      </c>
      <c r="B17" s="476" t="s">
        <v>14291</v>
      </c>
      <c r="C17" s="476" t="s">
        <v>14292</v>
      </c>
      <c r="D17" s="482" t="s">
        <v>14293</v>
      </c>
      <c r="E17" s="476" t="s">
        <v>4612</v>
      </c>
      <c r="F17" s="476" t="s">
        <v>29</v>
      </c>
      <c r="G17" s="476" t="s">
        <v>37</v>
      </c>
      <c r="H17" s="476"/>
      <c r="I17" s="476" t="s">
        <v>38</v>
      </c>
      <c r="J17" s="476">
        <v>1481.0</v>
      </c>
      <c r="K17" s="476"/>
      <c r="L17" s="476" t="s">
        <v>14294</v>
      </c>
      <c r="M17" s="476" t="s">
        <v>524</v>
      </c>
      <c r="N17" s="476">
        <v>1978.0</v>
      </c>
      <c r="O17" s="478">
        <v>1.0</v>
      </c>
      <c r="P17" s="476">
        <v>1.0</v>
      </c>
      <c r="Q17" s="483">
        <v>1.0</v>
      </c>
      <c r="R17" s="3"/>
      <c r="S17" s="3"/>
      <c r="T17" s="3"/>
      <c r="U17" s="3"/>
      <c r="V17" s="3"/>
      <c r="W17" s="3"/>
      <c r="X17" s="3"/>
      <c r="Y17" s="3"/>
      <c r="Z17" s="3"/>
      <c r="AA17" s="3"/>
      <c r="AB17" s="3"/>
      <c r="AC17" s="3"/>
      <c r="AD17" s="3"/>
      <c r="AE17" s="3"/>
      <c r="AF17" s="3"/>
      <c r="AG17" s="3"/>
      <c r="AH17" s="3"/>
      <c r="AI17" s="3"/>
      <c r="AJ17" s="3"/>
    </row>
    <row r="18">
      <c r="A18" s="476">
        <v>13.0</v>
      </c>
      <c r="B18" s="476" t="s">
        <v>14295</v>
      </c>
      <c r="C18" s="476" t="s">
        <v>14292</v>
      </c>
      <c r="D18" s="482" t="s">
        <v>14296</v>
      </c>
      <c r="E18" s="476" t="s">
        <v>4612</v>
      </c>
      <c r="F18" s="476" t="s">
        <v>29</v>
      </c>
      <c r="G18" s="476" t="s">
        <v>37</v>
      </c>
      <c r="H18" s="476"/>
      <c r="I18" s="476" t="s">
        <v>38</v>
      </c>
      <c r="J18" s="476">
        <v>1023.0</v>
      </c>
      <c r="K18" s="476"/>
      <c r="L18" s="476" t="s">
        <v>14294</v>
      </c>
      <c r="M18" s="476" t="s">
        <v>524</v>
      </c>
      <c r="N18" s="476">
        <v>1970.0</v>
      </c>
      <c r="O18" s="478">
        <v>1.0</v>
      </c>
      <c r="P18" s="476">
        <v>1.0</v>
      </c>
      <c r="Q18" s="483">
        <v>1.0</v>
      </c>
      <c r="R18" s="3"/>
      <c r="S18" s="3"/>
      <c r="T18" s="3"/>
      <c r="U18" s="3"/>
      <c r="V18" s="3"/>
      <c r="W18" s="3"/>
      <c r="X18" s="3"/>
      <c r="Y18" s="3"/>
      <c r="Z18" s="3"/>
      <c r="AA18" s="3"/>
      <c r="AB18" s="3"/>
      <c r="AC18" s="3"/>
      <c r="AD18" s="3"/>
      <c r="AE18" s="3"/>
      <c r="AF18" s="3"/>
      <c r="AG18" s="3"/>
      <c r="AH18" s="3"/>
      <c r="AI18" s="3"/>
      <c r="AJ18" s="3"/>
    </row>
    <row r="19">
      <c r="A19" s="476">
        <v>14.0</v>
      </c>
      <c r="B19" s="476" t="s">
        <v>31</v>
      </c>
      <c r="C19" s="476" t="s">
        <v>14292</v>
      </c>
      <c r="D19" s="482" t="s">
        <v>14297</v>
      </c>
      <c r="E19" s="476" t="s">
        <v>4612</v>
      </c>
      <c r="F19" s="476" t="s">
        <v>29</v>
      </c>
      <c r="G19" s="476" t="s">
        <v>37</v>
      </c>
      <c r="H19" s="476"/>
      <c r="I19" s="476" t="s">
        <v>38</v>
      </c>
      <c r="J19" s="476">
        <v>822.0</v>
      </c>
      <c r="K19" s="476"/>
      <c r="L19" s="476" t="s">
        <v>14294</v>
      </c>
      <c r="M19" s="476" t="s">
        <v>524</v>
      </c>
      <c r="N19" s="476">
        <v>1975.0</v>
      </c>
      <c r="O19" s="478">
        <v>2.0</v>
      </c>
      <c r="P19" s="476">
        <v>1.0</v>
      </c>
      <c r="Q19" s="483">
        <v>1.0</v>
      </c>
      <c r="R19" s="3"/>
      <c r="S19" s="3"/>
      <c r="T19" s="3"/>
      <c r="U19" s="3"/>
      <c r="V19" s="3"/>
      <c r="W19" s="3"/>
      <c r="X19" s="3"/>
      <c r="Y19" s="3"/>
      <c r="Z19" s="3"/>
      <c r="AA19" s="3"/>
      <c r="AB19" s="3"/>
      <c r="AC19" s="3"/>
      <c r="AD19" s="3"/>
      <c r="AE19" s="3"/>
      <c r="AF19" s="3"/>
      <c r="AG19" s="3"/>
      <c r="AH19" s="3"/>
      <c r="AI19" s="3"/>
      <c r="AJ19" s="3"/>
    </row>
    <row r="20">
      <c r="A20" s="322">
        <v>15.0</v>
      </c>
      <c r="B20" s="417" t="s">
        <v>14298</v>
      </c>
      <c r="C20" s="417" t="s">
        <v>14299</v>
      </c>
      <c r="D20" s="418" t="s">
        <v>14300</v>
      </c>
      <c r="E20" s="417" t="s">
        <v>4612</v>
      </c>
      <c r="F20" s="417" t="s">
        <v>29</v>
      </c>
      <c r="G20" s="417" t="s">
        <v>37</v>
      </c>
      <c r="H20" s="417"/>
      <c r="I20" s="417" t="s">
        <v>38</v>
      </c>
      <c r="J20" s="417">
        <v>2663.0</v>
      </c>
      <c r="K20" s="417"/>
      <c r="L20" s="417" t="s">
        <v>14301</v>
      </c>
      <c r="M20" s="417" t="s">
        <v>14302</v>
      </c>
      <c r="N20" s="417">
        <v>1981.0</v>
      </c>
      <c r="O20" s="417" t="s">
        <v>388</v>
      </c>
      <c r="P20" s="417">
        <v>1.0</v>
      </c>
      <c r="Q20" s="419"/>
      <c r="R20" s="149"/>
      <c r="S20" s="45"/>
      <c r="T20" s="45"/>
      <c r="U20" s="45"/>
      <c r="V20" s="45"/>
      <c r="W20" s="45"/>
      <c r="X20" s="45"/>
      <c r="Y20" s="45"/>
      <c r="Z20" s="45"/>
      <c r="AA20" s="45"/>
      <c r="AB20" s="45"/>
      <c r="AC20" s="45"/>
      <c r="AD20" s="45"/>
      <c r="AE20" s="45"/>
      <c r="AF20" s="45"/>
      <c r="AG20" s="45"/>
      <c r="AH20" s="45"/>
      <c r="AI20" s="45"/>
      <c r="AJ20" s="45"/>
    </row>
    <row r="21" ht="15.75" customHeight="1">
      <c r="A21" s="476">
        <v>16.0</v>
      </c>
      <c r="B21" s="476" t="s">
        <v>14303</v>
      </c>
      <c r="C21" s="478" t="s">
        <v>14304</v>
      </c>
      <c r="D21" s="482" t="s">
        <v>14305</v>
      </c>
      <c r="E21" s="476" t="s">
        <v>4612</v>
      </c>
      <c r="F21" s="476" t="s">
        <v>29</v>
      </c>
      <c r="G21" s="476" t="s">
        <v>38</v>
      </c>
      <c r="H21" s="476"/>
      <c r="I21" s="476" t="s">
        <v>2184</v>
      </c>
      <c r="J21" s="476">
        <v>475.0</v>
      </c>
      <c r="K21" s="476"/>
      <c r="L21" s="476" t="s">
        <v>14306</v>
      </c>
      <c r="M21" s="476" t="s">
        <v>3364</v>
      </c>
      <c r="N21" s="476">
        <v>1993.0</v>
      </c>
      <c r="O21" s="478">
        <v>1.0</v>
      </c>
      <c r="P21" s="476">
        <v>1.0</v>
      </c>
      <c r="Q21" s="481">
        <v>1.0</v>
      </c>
      <c r="R21" s="149"/>
      <c r="S21" s="45"/>
      <c r="T21" s="45"/>
      <c r="U21" s="45"/>
      <c r="V21" s="45"/>
      <c r="W21" s="45"/>
      <c r="X21" s="45"/>
      <c r="Y21" s="45"/>
      <c r="Z21" s="45"/>
      <c r="AA21" s="45"/>
      <c r="AB21" s="45"/>
      <c r="AC21" s="45"/>
      <c r="AD21" s="45"/>
      <c r="AE21" s="45"/>
      <c r="AF21" s="45"/>
      <c r="AG21" s="45"/>
      <c r="AH21" s="45"/>
      <c r="AI21" s="45"/>
      <c r="AJ21" s="45"/>
    </row>
    <row r="22" ht="15.75" customHeight="1">
      <c r="A22" s="476">
        <v>17.0</v>
      </c>
      <c r="B22" s="476" t="s">
        <v>14307</v>
      </c>
      <c r="C22" s="478" t="s">
        <v>14304</v>
      </c>
      <c r="D22" s="482" t="s">
        <v>14308</v>
      </c>
      <c r="E22" s="476" t="s">
        <v>4612</v>
      </c>
      <c r="F22" s="476" t="s">
        <v>29</v>
      </c>
      <c r="G22" s="476" t="s">
        <v>38</v>
      </c>
      <c r="H22" s="476"/>
      <c r="I22" s="476" t="s">
        <v>2184</v>
      </c>
      <c r="J22" s="476">
        <v>660.0</v>
      </c>
      <c r="K22" s="476"/>
      <c r="L22" s="476" t="s">
        <v>14306</v>
      </c>
      <c r="M22" s="476" t="s">
        <v>3364</v>
      </c>
      <c r="N22" s="476">
        <v>1995.0</v>
      </c>
      <c r="O22" s="478">
        <v>1.0</v>
      </c>
      <c r="P22" s="476">
        <v>1.0</v>
      </c>
      <c r="Q22" s="481">
        <v>1.0</v>
      </c>
      <c r="R22" s="149"/>
      <c r="S22" s="45"/>
      <c r="T22" s="45"/>
      <c r="U22" s="45"/>
      <c r="V22" s="45"/>
      <c r="W22" s="45"/>
      <c r="X22" s="45"/>
      <c r="Y22" s="45"/>
      <c r="Z22" s="45"/>
      <c r="AA22" s="45"/>
      <c r="AB22" s="45"/>
      <c r="AC22" s="45"/>
      <c r="AD22" s="45"/>
      <c r="AE22" s="45"/>
      <c r="AF22" s="45"/>
      <c r="AG22" s="45"/>
      <c r="AH22" s="45"/>
      <c r="AI22" s="45"/>
      <c r="AJ22" s="45"/>
    </row>
    <row r="23" ht="15.75" customHeight="1">
      <c r="A23" s="476">
        <v>18.0</v>
      </c>
      <c r="B23" s="476" t="s">
        <v>14309</v>
      </c>
      <c r="C23" s="478" t="s">
        <v>14304</v>
      </c>
      <c r="D23" s="482" t="s">
        <v>14310</v>
      </c>
      <c r="E23" s="476" t="s">
        <v>4612</v>
      </c>
      <c r="F23" s="476" t="s">
        <v>29</v>
      </c>
      <c r="G23" s="476" t="s">
        <v>38</v>
      </c>
      <c r="H23" s="476"/>
      <c r="I23" s="476" t="s">
        <v>2184</v>
      </c>
      <c r="J23" s="476">
        <v>424.0</v>
      </c>
      <c r="K23" s="476"/>
      <c r="L23" s="476" t="s">
        <v>14306</v>
      </c>
      <c r="M23" s="476" t="s">
        <v>3364</v>
      </c>
      <c r="N23" s="476">
        <v>1996.0</v>
      </c>
      <c r="O23" s="478">
        <v>1.0</v>
      </c>
      <c r="P23" s="476">
        <v>1.0</v>
      </c>
      <c r="Q23" s="481">
        <v>1.0</v>
      </c>
      <c r="R23" s="149"/>
      <c r="S23" s="45"/>
      <c r="T23" s="45"/>
      <c r="U23" s="45"/>
      <c r="V23" s="45"/>
      <c r="W23" s="45"/>
      <c r="X23" s="45"/>
      <c r="Y23" s="45"/>
      <c r="Z23" s="45"/>
      <c r="AA23" s="45"/>
      <c r="AB23" s="45"/>
      <c r="AC23" s="45"/>
      <c r="AD23" s="45"/>
      <c r="AE23" s="45"/>
      <c r="AF23" s="45"/>
      <c r="AG23" s="45"/>
      <c r="AH23" s="45"/>
      <c r="AI23" s="45"/>
      <c r="AJ23" s="45"/>
    </row>
    <row r="24" ht="15.75" customHeight="1">
      <c r="A24" s="476">
        <v>19.0</v>
      </c>
      <c r="B24" s="476" t="s">
        <v>14311</v>
      </c>
      <c r="C24" s="478" t="s">
        <v>14304</v>
      </c>
      <c r="D24" s="482" t="s">
        <v>14312</v>
      </c>
      <c r="E24" s="476" t="s">
        <v>4612</v>
      </c>
      <c r="F24" s="476" t="s">
        <v>29</v>
      </c>
      <c r="G24" s="476" t="s">
        <v>38</v>
      </c>
      <c r="H24" s="476"/>
      <c r="I24" s="476" t="s">
        <v>2184</v>
      </c>
      <c r="J24" s="476">
        <v>642.0</v>
      </c>
      <c r="K24" s="476"/>
      <c r="L24" s="476" t="s">
        <v>14306</v>
      </c>
      <c r="M24" s="476" t="s">
        <v>3364</v>
      </c>
      <c r="N24" s="476">
        <v>1998.0</v>
      </c>
      <c r="O24" s="478">
        <v>1.0</v>
      </c>
      <c r="P24" s="476">
        <v>1.0</v>
      </c>
      <c r="Q24" s="481">
        <v>1.0</v>
      </c>
      <c r="R24" s="149"/>
      <c r="S24" s="45"/>
      <c r="T24" s="45"/>
      <c r="U24" s="45"/>
      <c r="V24" s="45"/>
      <c r="W24" s="45"/>
      <c r="X24" s="45"/>
      <c r="Y24" s="45"/>
      <c r="Z24" s="45"/>
      <c r="AA24" s="45"/>
      <c r="AB24" s="45"/>
      <c r="AC24" s="45"/>
      <c r="AD24" s="45"/>
      <c r="AE24" s="45"/>
      <c r="AF24" s="45"/>
      <c r="AG24" s="45"/>
      <c r="AH24" s="45"/>
      <c r="AI24" s="45"/>
      <c r="AJ24" s="45"/>
    </row>
    <row r="25" ht="15.75" customHeight="1">
      <c r="A25" s="322">
        <v>20.0</v>
      </c>
      <c r="B25" s="433" t="s">
        <v>14313</v>
      </c>
      <c r="C25" s="433" t="s">
        <v>14314</v>
      </c>
      <c r="D25" s="434" t="s">
        <v>14315</v>
      </c>
      <c r="E25" s="433" t="s">
        <v>4612</v>
      </c>
      <c r="F25" s="433" t="s">
        <v>29</v>
      </c>
      <c r="G25" s="433" t="s">
        <v>38</v>
      </c>
      <c r="H25" s="433" t="s">
        <v>31</v>
      </c>
      <c r="I25" s="433" t="s">
        <v>38</v>
      </c>
      <c r="J25" s="433">
        <v>96.0</v>
      </c>
      <c r="K25" s="433"/>
      <c r="L25" s="433" t="s">
        <v>14316</v>
      </c>
      <c r="M25" s="433" t="s">
        <v>3233</v>
      </c>
      <c r="N25" s="433">
        <v>1990.0</v>
      </c>
      <c r="O25" s="433" t="s">
        <v>388</v>
      </c>
      <c r="P25" s="433">
        <v>1.0</v>
      </c>
      <c r="Q25" s="435"/>
      <c r="R25" s="3"/>
      <c r="S25" s="3"/>
      <c r="T25" s="3"/>
      <c r="U25" s="3"/>
      <c r="V25" s="3"/>
      <c r="W25" s="3"/>
      <c r="X25" s="3"/>
      <c r="Y25" s="3"/>
      <c r="Z25" s="3"/>
      <c r="AA25" s="3"/>
      <c r="AB25" s="3"/>
      <c r="AC25" s="3"/>
      <c r="AD25" s="3"/>
      <c r="AE25" s="3"/>
      <c r="AF25" s="3"/>
      <c r="AG25" s="3"/>
      <c r="AH25" s="3"/>
      <c r="AI25" s="3"/>
      <c r="AJ25" s="3"/>
    </row>
    <row r="26" ht="15.75" customHeight="1">
      <c r="A26" s="476">
        <v>21.0</v>
      </c>
      <c r="B26" s="476" t="s">
        <v>14317</v>
      </c>
      <c r="C26" s="478" t="s">
        <v>14318</v>
      </c>
      <c r="D26" s="482" t="s">
        <v>14319</v>
      </c>
      <c r="E26" s="476" t="s">
        <v>4612</v>
      </c>
      <c r="F26" s="476" t="s">
        <v>29</v>
      </c>
      <c r="G26" s="476" t="s">
        <v>37</v>
      </c>
      <c r="H26" s="476"/>
      <c r="I26" s="476" t="s">
        <v>38</v>
      </c>
      <c r="J26" s="476">
        <v>978.0</v>
      </c>
      <c r="K26" s="476"/>
      <c r="L26" s="476" t="s">
        <v>14276</v>
      </c>
      <c r="M26" s="476" t="s">
        <v>14277</v>
      </c>
      <c r="N26" s="476">
        <v>1962.0</v>
      </c>
      <c r="O26" s="478">
        <v>1.0</v>
      </c>
      <c r="P26" s="478">
        <v>1.0</v>
      </c>
      <c r="Q26" s="481">
        <v>1.0</v>
      </c>
      <c r="R26" s="149"/>
      <c r="S26" s="45"/>
      <c r="T26" s="45"/>
      <c r="U26" s="45"/>
      <c r="V26" s="45"/>
      <c r="W26" s="45"/>
      <c r="X26" s="45"/>
      <c r="Y26" s="45"/>
      <c r="Z26" s="45"/>
      <c r="AA26" s="45"/>
      <c r="AB26" s="45"/>
      <c r="AC26" s="45"/>
      <c r="AD26" s="45"/>
      <c r="AE26" s="45"/>
      <c r="AF26" s="45"/>
      <c r="AG26" s="45"/>
      <c r="AH26" s="45"/>
      <c r="AI26" s="45"/>
      <c r="AJ26" s="45"/>
    </row>
    <row r="27" ht="15.75" customHeight="1">
      <c r="A27" s="476">
        <v>22.0</v>
      </c>
      <c r="B27" s="476" t="s">
        <v>14320</v>
      </c>
      <c r="C27" s="478" t="s">
        <v>14318</v>
      </c>
      <c r="D27" s="482" t="s">
        <v>14321</v>
      </c>
      <c r="E27" s="476" t="s">
        <v>4612</v>
      </c>
      <c r="F27" s="476" t="s">
        <v>29</v>
      </c>
      <c r="G27" s="476" t="s">
        <v>37</v>
      </c>
      <c r="H27" s="476"/>
      <c r="I27" s="476" t="s">
        <v>38</v>
      </c>
      <c r="J27" s="476">
        <v>964.0</v>
      </c>
      <c r="K27" s="476"/>
      <c r="L27" s="476" t="s">
        <v>14276</v>
      </c>
      <c r="M27" s="476" t="s">
        <v>14277</v>
      </c>
      <c r="N27" s="476">
        <v>1962.0</v>
      </c>
      <c r="O27" s="478">
        <v>1.0</v>
      </c>
      <c r="P27" s="476">
        <v>2.0</v>
      </c>
      <c r="Q27" s="481">
        <v>2.0</v>
      </c>
      <c r="R27" s="149"/>
      <c r="S27" s="45"/>
      <c r="T27" s="45"/>
      <c r="U27" s="45"/>
      <c r="V27" s="45"/>
      <c r="W27" s="45"/>
      <c r="X27" s="45"/>
      <c r="Y27" s="45"/>
      <c r="Z27" s="45"/>
      <c r="AA27" s="45"/>
      <c r="AB27" s="45"/>
      <c r="AC27" s="45"/>
      <c r="AD27" s="45"/>
      <c r="AE27" s="45"/>
      <c r="AF27" s="45"/>
      <c r="AG27" s="45"/>
      <c r="AH27" s="45"/>
      <c r="AI27" s="45"/>
      <c r="AJ27" s="45"/>
    </row>
    <row r="28" ht="15.75" customHeight="1">
      <c r="A28" s="476">
        <v>23.0</v>
      </c>
      <c r="B28" s="476" t="s">
        <v>14322</v>
      </c>
      <c r="C28" s="478" t="s">
        <v>14318</v>
      </c>
      <c r="D28" s="482" t="s">
        <v>14323</v>
      </c>
      <c r="E28" s="476" t="s">
        <v>4612</v>
      </c>
      <c r="F28" s="476" t="s">
        <v>29</v>
      </c>
      <c r="G28" s="476" t="s">
        <v>37</v>
      </c>
      <c r="H28" s="476"/>
      <c r="I28" s="476" t="s">
        <v>38</v>
      </c>
      <c r="J28" s="476">
        <v>1030.0</v>
      </c>
      <c r="K28" s="476"/>
      <c r="L28" s="476" t="s">
        <v>14276</v>
      </c>
      <c r="M28" s="476" t="s">
        <v>14277</v>
      </c>
      <c r="N28" s="476">
        <v>1962.0</v>
      </c>
      <c r="O28" s="478">
        <v>1.0</v>
      </c>
      <c r="P28" s="478">
        <v>2.0</v>
      </c>
      <c r="Q28" s="481">
        <v>2.0</v>
      </c>
      <c r="R28" s="149"/>
      <c r="S28" s="45"/>
      <c r="T28" s="45"/>
      <c r="U28" s="45"/>
      <c r="V28" s="45"/>
      <c r="W28" s="45"/>
      <c r="X28" s="45"/>
      <c r="Y28" s="45"/>
      <c r="Z28" s="45"/>
      <c r="AA28" s="45"/>
      <c r="AB28" s="45"/>
      <c r="AC28" s="45"/>
      <c r="AD28" s="45"/>
      <c r="AE28" s="45"/>
      <c r="AF28" s="45"/>
      <c r="AG28" s="45"/>
      <c r="AH28" s="45"/>
      <c r="AI28" s="45"/>
      <c r="AJ28" s="45"/>
    </row>
    <row r="29" ht="15.75" customHeight="1">
      <c r="A29" s="186">
        <v>24.0</v>
      </c>
      <c r="B29" s="186" t="s">
        <v>14324</v>
      </c>
      <c r="C29" s="186" t="s">
        <v>14325</v>
      </c>
      <c r="D29" s="188" t="s">
        <v>14326</v>
      </c>
      <c r="E29" s="186" t="s">
        <v>4612</v>
      </c>
      <c r="F29" s="186" t="s">
        <v>29</v>
      </c>
      <c r="G29" s="186" t="s">
        <v>37</v>
      </c>
      <c r="H29" s="186"/>
      <c r="I29" s="186" t="s">
        <v>38</v>
      </c>
      <c r="J29" s="186">
        <v>843.0</v>
      </c>
      <c r="K29" s="412"/>
      <c r="L29" s="412" t="s">
        <v>2013</v>
      </c>
      <c r="M29" s="186" t="s">
        <v>14327</v>
      </c>
      <c r="N29" s="186">
        <v>2006.0</v>
      </c>
      <c r="O29" s="191">
        <v>1.0</v>
      </c>
      <c r="P29" s="186">
        <v>1.0</v>
      </c>
      <c r="Q29" s="186">
        <v>1.0</v>
      </c>
      <c r="R29" s="149"/>
      <c r="S29" s="45"/>
      <c r="T29" s="45"/>
      <c r="U29" s="45"/>
      <c r="V29" s="45"/>
      <c r="W29" s="45"/>
      <c r="X29" s="45"/>
      <c r="Y29" s="45"/>
      <c r="Z29" s="45"/>
      <c r="AA29" s="45"/>
      <c r="AB29" s="45"/>
      <c r="AC29" s="45"/>
      <c r="AD29" s="45"/>
      <c r="AE29" s="45"/>
      <c r="AF29" s="45"/>
      <c r="AG29" s="45"/>
      <c r="AH29" s="45"/>
      <c r="AI29" s="45"/>
      <c r="AJ29" s="485"/>
    </row>
    <row r="30" ht="15.75" customHeight="1">
      <c r="A30" s="186">
        <v>25.0</v>
      </c>
      <c r="B30" s="186" t="s">
        <v>14328</v>
      </c>
      <c r="C30" s="186" t="s">
        <v>14325</v>
      </c>
      <c r="D30" s="188" t="s">
        <v>14329</v>
      </c>
      <c r="E30" s="186" t="s">
        <v>4612</v>
      </c>
      <c r="F30" s="186" t="s">
        <v>29</v>
      </c>
      <c r="G30" s="186" t="s">
        <v>37</v>
      </c>
      <c r="H30" s="186"/>
      <c r="I30" s="186" t="s">
        <v>38</v>
      </c>
      <c r="J30" s="186">
        <v>1012.0</v>
      </c>
      <c r="K30" s="412"/>
      <c r="L30" s="412" t="s">
        <v>2013</v>
      </c>
      <c r="M30" s="186" t="s">
        <v>14327</v>
      </c>
      <c r="N30" s="186">
        <v>2007.0</v>
      </c>
      <c r="O30" s="191">
        <v>1.0</v>
      </c>
      <c r="P30" s="186">
        <v>1.0</v>
      </c>
      <c r="Q30" s="186">
        <v>1.0</v>
      </c>
      <c r="R30" s="149"/>
      <c r="S30" s="45"/>
      <c r="T30" s="45"/>
      <c r="U30" s="45"/>
      <c r="V30" s="45"/>
      <c r="W30" s="45"/>
      <c r="X30" s="45"/>
      <c r="Y30" s="45"/>
      <c r="Z30" s="45"/>
      <c r="AA30" s="45"/>
      <c r="AB30" s="45"/>
      <c r="AC30" s="45"/>
      <c r="AD30" s="45"/>
      <c r="AE30" s="45"/>
      <c r="AF30" s="45"/>
      <c r="AG30" s="45"/>
      <c r="AH30" s="45"/>
      <c r="AI30" s="45"/>
      <c r="AJ30" s="45"/>
    </row>
    <row r="31" ht="15.75" customHeight="1">
      <c r="A31" s="186">
        <v>26.0</v>
      </c>
      <c r="B31" s="186" t="s">
        <v>14330</v>
      </c>
      <c r="C31" s="186" t="s">
        <v>14325</v>
      </c>
      <c r="D31" s="188" t="s">
        <v>14331</v>
      </c>
      <c r="E31" s="186" t="s">
        <v>4612</v>
      </c>
      <c r="F31" s="186" t="s">
        <v>29</v>
      </c>
      <c r="G31" s="186" t="s">
        <v>37</v>
      </c>
      <c r="H31" s="186"/>
      <c r="I31" s="186" t="s">
        <v>38</v>
      </c>
      <c r="J31" s="186">
        <v>936.0</v>
      </c>
      <c r="K31" s="412"/>
      <c r="L31" s="412" t="s">
        <v>2013</v>
      </c>
      <c r="M31" s="186" t="s">
        <v>14327</v>
      </c>
      <c r="N31" s="186">
        <v>2008.0</v>
      </c>
      <c r="O31" s="191">
        <v>1.0</v>
      </c>
      <c r="P31" s="186">
        <v>1.0</v>
      </c>
      <c r="Q31" s="186">
        <v>1.0</v>
      </c>
      <c r="R31" s="149"/>
      <c r="S31" s="45"/>
      <c r="T31" s="45"/>
      <c r="U31" s="45"/>
      <c r="V31" s="45"/>
      <c r="W31" s="45"/>
      <c r="X31" s="45"/>
      <c r="Y31" s="45"/>
      <c r="Z31" s="45"/>
      <c r="AA31" s="45"/>
      <c r="AB31" s="45"/>
      <c r="AC31" s="45"/>
      <c r="AD31" s="45"/>
      <c r="AE31" s="45"/>
      <c r="AF31" s="45"/>
      <c r="AG31" s="45"/>
      <c r="AH31" s="45"/>
      <c r="AI31" s="45"/>
      <c r="AJ31" s="45"/>
    </row>
    <row r="32" ht="15.75" customHeight="1">
      <c r="A32" s="186">
        <v>27.0</v>
      </c>
      <c r="B32" s="186" t="s">
        <v>14332</v>
      </c>
      <c r="C32" s="186" t="s">
        <v>14325</v>
      </c>
      <c r="D32" s="188" t="s">
        <v>14333</v>
      </c>
      <c r="E32" s="186" t="s">
        <v>4612</v>
      </c>
      <c r="F32" s="186" t="s">
        <v>29</v>
      </c>
      <c r="G32" s="186" t="s">
        <v>37</v>
      </c>
      <c r="H32" s="186"/>
      <c r="I32" s="186" t="s">
        <v>38</v>
      </c>
      <c r="J32" s="186">
        <v>950.0</v>
      </c>
      <c r="K32" s="412"/>
      <c r="L32" s="412" t="s">
        <v>2013</v>
      </c>
      <c r="M32" s="186" t="s">
        <v>14327</v>
      </c>
      <c r="N32" s="186">
        <v>2009.0</v>
      </c>
      <c r="O32" s="191">
        <v>1.0</v>
      </c>
      <c r="P32" s="186">
        <v>1.0</v>
      </c>
      <c r="Q32" s="186">
        <v>1.0</v>
      </c>
      <c r="R32" s="149"/>
      <c r="S32" s="45"/>
      <c r="T32" s="45"/>
      <c r="U32" s="45"/>
      <c r="V32" s="45"/>
      <c r="W32" s="45"/>
      <c r="X32" s="45"/>
      <c r="Y32" s="45"/>
      <c r="Z32" s="45"/>
      <c r="AA32" s="45"/>
      <c r="AB32" s="45"/>
      <c r="AC32" s="45"/>
      <c r="AD32" s="45"/>
      <c r="AE32" s="45"/>
      <c r="AF32" s="45"/>
      <c r="AG32" s="45"/>
      <c r="AH32" s="45"/>
      <c r="AI32" s="45"/>
      <c r="AJ32" s="45"/>
    </row>
    <row r="33" ht="15.75" customHeight="1">
      <c r="A33" s="186">
        <v>28.0</v>
      </c>
      <c r="B33" s="186" t="s">
        <v>14334</v>
      </c>
      <c r="C33" s="186" t="s">
        <v>14325</v>
      </c>
      <c r="D33" s="188" t="s">
        <v>14335</v>
      </c>
      <c r="E33" s="186" t="s">
        <v>4612</v>
      </c>
      <c r="F33" s="186" t="s">
        <v>29</v>
      </c>
      <c r="G33" s="186" t="s">
        <v>37</v>
      </c>
      <c r="H33" s="186"/>
      <c r="I33" s="186" t="s">
        <v>38</v>
      </c>
      <c r="J33" s="186">
        <v>1075.0</v>
      </c>
      <c r="K33" s="412"/>
      <c r="L33" s="412" t="s">
        <v>2013</v>
      </c>
      <c r="M33" s="186" t="s">
        <v>14327</v>
      </c>
      <c r="N33" s="186">
        <v>2009.0</v>
      </c>
      <c r="O33" s="191">
        <v>1.0</v>
      </c>
      <c r="P33" s="186">
        <v>1.0</v>
      </c>
      <c r="Q33" s="186">
        <v>1.0</v>
      </c>
      <c r="R33" s="149"/>
      <c r="S33" s="45"/>
      <c r="T33" s="45"/>
      <c r="U33" s="45"/>
      <c r="V33" s="45"/>
      <c r="W33" s="45"/>
      <c r="X33" s="45"/>
      <c r="Y33" s="45"/>
      <c r="Z33" s="45"/>
      <c r="AA33" s="45"/>
      <c r="AB33" s="45"/>
      <c r="AC33" s="45"/>
      <c r="AD33" s="45"/>
      <c r="AE33" s="45"/>
      <c r="AF33" s="45"/>
      <c r="AG33" s="45"/>
      <c r="AH33" s="45"/>
      <c r="AI33" s="45"/>
      <c r="AJ33" s="45"/>
    </row>
    <row r="34" ht="15.75" customHeight="1">
      <c r="A34" s="476">
        <v>29.0</v>
      </c>
      <c r="B34" s="476" t="s">
        <v>14336</v>
      </c>
      <c r="C34" s="476" t="s">
        <v>11825</v>
      </c>
      <c r="D34" s="482" t="s">
        <v>14337</v>
      </c>
      <c r="E34" s="476" t="s">
        <v>4612</v>
      </c>
      <c r="F34" s="476" t="s">
        <v>29</v>
      </c>
      <c r="G34" s="476" t="s">
        <v>37</v>
      </c>
      <c r="H34" s="476"/>
      <c r="I34" s="476" t="s">
        <v>38</v>
      </c>
      <c r="J34" s="476">
        <v>1108.0</v>
      </c>
      <c r="K34" s="476"/>
      <c r="L34" s="476" t="s">
        <v>14338</v>
      </c>
      <c r="M34" s="476" t="s">
        <v>2693</v>
      </c>
      <c r="N34" s="476">
        <v>2000.0</v>
      </c>
      <c r="O34" s="478">
        <v>1.0</v>
      </c>
      <c r="P34" s="476">
        <v>1.0</v>
      </c>
      <c r="Q34" s="481">
        <v>1.0</v>
      </c>
      <c r="R34" s="149"/>
      <c r="S34" s="45"/>
      <c r="T34" s="45"/>
      <c r="U34" s="45"/>
      <c r="V34" s="45"/>
      <c r="W34" s="45"/>
      <c r="X34" s="45"/>
      <c r="Y34" s="45"/>
      <c r="Z34" s="45"/>
      <c r="AA34" s="45"/>
      <c r="AB34" s="45"/>
      <c r="AC34" s="45"/>
      <c r="AD34" s="45"/>
      <c r="AE34" s="45"/>
      <c r="AF34" s="45"/>
      <c r="AG34" s="45"/>
      <c r="AH34" s="45"/>
      <c r="AI34" s="45"/>
      <c r="AJ34" s="45"/>
    </row>
    <row r="35" ht="15.75" customHeight="1">
      <c r="A35" s="476">
        <v>30.0</v>
      </c>
      <c r="B35" s="476" t="s">
        <v>14339</v>
      </c>
      <c r="C35" s="478" t="s">
        <v>14340</v>
      </c>
      <c r="D35" s="482" t="s">
        <v>14341</v>
      </c>
      <c r="E35" s="476" t="s">
        <v>4612</v>
      </c>
      <c r="F35" s="476" t="s">
        <v>29</v>
      </c>
      <c r="G35" s="476" t="s">
        <v>37</v>
      </c>
      <c r="H35" s="476"/>
      <c r="I35" s="476" t="s">
        <v>38</v>
      </c>
      <c r="J35" s="476">
        <v>653.0</v>
      </c>
      <c r="K35" s="476"/>
      <c r="L35" s="476" t="s">
        <v>14342</v>
      </c>
      <c r="M35" s="476" t="s">
        <v>49</v>
      </c>
      <c r="N35" s="476">
        <v>2004.0</v>
      </c>
      <c r="O35" s="478">
        <v>1.0</v>
      </c>
      <c r="P35" s="476">
        <v>1.0</v>
      </c>
      <c r="Q35" s="481">
        <v>1.0</v>
      </c>
      <c r="R35" s="149"/>
      <c r="S35" s="45"/>
      <c r="T35" s="45"/>
      <c r="U35" s="45"/>
      <c r="V35" s="45"/>
      <c r="W35" s="45"/>
      <c r="X35" s="45"/>
      <c r="Y35" s="45"/>
      <c r="Z35" s="45"/>
      <c r="AA35" s="45"/>
      <c r="AB35" s="45"/>
      <c r="AC35" s="45"/>
      <c r="AD35" s="45"/>
      <c r="AE35" s="45"/>
      <c r="AF35" s="45"/>
      <c r="AG35" s="45"/>
      <c r="AH35" s="45"/>
      <c r="AI35" s="45"/>
      <c r="AJ35" s="45"/>
    </row>
    <row r="36" ht="15.75" customHeight="1">
      <c r="A36" s="186">
        <v>31.0</v>
      </c>
      <c r="B36" s="186" t="s">
        <v>31</v>
      </c>
      <c r="C36" s="191" t="s">
        <v>14343</v>
      </c>
      <c r="D36" s="188" t="s">
        <v>14344</v>
      </c>
      <c r="E36" s="186" t="s">
        <v>4612</v>
      </c>
      <c r="F36" s="186" t="s">
        <v>29</v>
      </c>
      <c r="G36" s="186" t="s">
        <v>37</v>
      </c>
      <c r="H36" s="186"/>
      <c r="I36" s="186" t="s">
        <v>38</v>
      </c>
      <c r="J36" s="186">
        <v>168.0</v>
      </c>
      <c r="K36" s="412"/>
      <c r="L36" s="486" t="s">
        <v>1765</v>
      </c>
      <c r="M36" s="186" t="s">
        <v>14171</v>
      </c>
      <c r="N36" s="186">
        <v>1968.0</v>
      </c>
      <c r="O36" s="191">
        <v>2.0</v>
      </c>
      <c r="P36" s="186">
        <v>1.0</v>
      </c>
      <c r="Q36" s="37">
        <v>1.0</v>
      </c>
      <c r="R36" s="149"/>
      <c r="S36" s="45"/>
      <c r="T36" s="45"/>
      <c r="U36" s="45"/>
      <c r="V36" s="45"/>
      <c r="W36" s="45"/>
      <c r="X36" s="45"/>
      <c r="Y36" s="45"/>
      <c r="Z36" s="45"/>
      <c r="AA36" s="45"/>
      <c r="AB36" s="45"/>
      <c r="AC36" s="45"/>
      <c r="AD36" s="45"/>
      <c r="AE36" s="45"/>
      <c r="AF36" s="45"/>
      <c r="AG36" s="45"/>
      <c r="AH36" s="45"/>
      <c r="AI36" s="45"/>
      <c r="AJ36" s="45"/>
    </row>
    <row r="37" ht="15.75" customHeight="1">
      <c r="A37" s="476">
        <v>32.0</v>
      </c>
      <c r="B37" s="476" t="s">
        <v>31</v>
      </c>
      <c r="C37" s="478" t="s">
        <v>14345</v>
      </c>
      <c r="D37" s="482" t="s">
        <v>14346</v>
      </c>
      <c r="E37" s="476" t="s">
        <v>4612</v>
      </c>
      <c r="F37" s="476" t="s">
        <v>29</v>
      </c>
      <c r="G37" s="476" t="s">
        <v>37</v>
      </c>
      <c r="H37" s="476"/>
      <c r="I37" s="476" t="s">
        <v>38</v>
      </c>
      <c r="J37" s="476">
        <v>621.0</v>
      </c>
      <c r="K37" s="476"/>
      <c r="L37" s="478" t="s">
        <v>14347</v>
      </c>
      <c r="M37" s="476" t="s">
        <v>14348</v>
      </c>
      <c r="N37" s="476">
        <v>1967.0</v>
      </c>
      <c r="O37" s="478">
        <v>2.0</v>
      </c>
      <c r="P37" s="476">
        <v>1.0</v>
      </c>
      <c r="Q37" s="481">
        <v>1.0</v>
      </c>
      <c r="R37" s="149"/>
      <c r="S37" s="45"/>
      <c r="T37" s="45"/>
      <c r="U37" s="45"/>
      <c r="V37" s="45"/>
      <c r="W37" s="45"/>
      <c r="X37" s="45"/>
      <c r="Y37" s="45"/>
      <c r="Z37" s="45"/>
      <c r="AA37" s="45"/>
      <c r="AB37" s="45"/>
      <c r="AC37" s="45"/>
      <c r="AD37" s="45"/>
      <c r="AE37" s="45"/>
      <c r="AF37" s="45"/>
      <c r="AG37" s="45"/>
      <c r="AH37" s="45"/>
      <c r="AI37" s="45"/>
      <c r="AJ37" s="45"/>
    </row>
    <row r="38" ht="15.75" customHeight="1">
      <c r="A38" s="186">
        <v>33.0</v>
      </c>
      <c r="B38" s="186" t="s">
        <v>31</v>
      </c>
      <c r="C38" s="191" t="s">
        <v>14349</v>
      </c>
      <c r="D38" s="188" t="s">
        <v>14350</v>
      </c>
      <c r="E38" s="186" t="s">
        <v>4612</v>
      </c>
      <c r="F38" s="186" t="s">
        <v>29</v>
      </c>
      <c r="G38" s="186" t="s">
        <v>131</v>
      </c>
      <c r="H38" s="186"/>
      <c r="I38" s="186" t="s">
        <v>131</v>
      </c>
      <c r="J38" s="186">
        <v>144.0</v>
      </c>
      <c r="K38" s="186"/>
      <c r="L38" s="186" t="s">
        <v>14351</v>
      </c>
      <c r="M38" s="186" t="s">
        <v>31</v>
      </c>
      <c r="N38" s="186">
        <v>1951.0</v>
      </c>
      <c r="O38" s="191">
        <v>3.0</v>
      </c>
      <c r="P38" s="186">
        <v>1.0</v>
      </c>
      <c r="Q38" s="37">
        <v>1.0</v>
      </c>
      <c r="R38" s="149"/>
      <c r="S38" s="45"/>
      <c r="T38" s="45"/>
      <c r="U38" s="45"/>
      <c r="V38" s="45"/>
      <c r="W38" s="45"/>
      <c r="X38" s="45"/>
      <c r="Y38" s="45"/>
      <c r="Z38" s="45"/>
      <c r="AA38" s="45"/>
      <c r="AB38" s="45"/>
      <c r="AC38" s="45"/>
      <c r="AD38" s="45"/>
      <c r="AE38" s="45"/>
      <c r="AF38" s="45"/>
      <c r="AG38" s="45"/>
      <c r="AH38" s="45"/>
      <c r="AI38" s="45"/>
      <c r="AJ38" s="45"/>
    </row>
    <row r="39" ht="15.75" customHeight="1">
      <c r="A39" s="476">
        <v>34.0</v>
      </c>
      <c r="B39" s="476" t="s">
        <v>14352</v>
      </c>
      <c r="C39" s="478" t="s">
        <v>14353</v>
      </c>
      <c r="D39" s="482" t="s">
        <v>14354</v>
      </c>
      <c r="E39" s="476" t="s">
        <v>4612</v>
      </c>
      <c r="F39" s="476" t="s">
        <v>29</v>
      </c>
      <c r="G39" s="476" t="s">
        <v>30</v>
      </c>
      <c r="H39" s="476"/>
      <c r="I39" s="476" t="s">
        <v>30</v>
      </c>
      <c r="J39" s="476">
        <v>121.0</v>
      </c>
      <c r="K39" s="479"/>
      <c r="L39" s="480" t="s">
        <v>14355</v>
      </c>
      <c r="M39" s="478" t="s">
        <v>2463</v>
      </c>
      <c r="N39" s="476">
        <v>2006.0</v>
      </c>
      <c r="O39" s="478">
        <v>3.0</v>
      </c>
      <c r="P39" s="476">
        <v>2.0</v>
      </c>
      <c r="Q39" s="481">
        <v>2.0</v>
      </c>
      <c r="R39" s="149"/>
      <c r="S39" s="45"/>
      <c r="T39" s="45"/>
      <c r="U39" s="45"/>
      <c r="V39" s="45"/>
      <c r="W39" s="45"/>
      <c r="X39" s="45"/>
      <c r="Y39" s="45"/>
      <c r="Z39" s="45"/>
      <c r="AA39" s="45"/>
      <c r="AB39" s="45"/>
      <c r="AC39" s="45"/>
      <c r="AD39" s="45"/>
      <c r="AE39" s="45"/>
      <c r="AF39" s="45"/>
      <c r="AG39" s="45"/>
      <c r="AH39" s="45"/>
      <c r="AI39" s="45"/>
      <c r="AJ39" s="45"/>
    </row>
    <row r="40" ht="15.75" customHeight="1">
      <c r="A40" s="476">
        <v>35.0</v>
      </c>
      <c r="B40" s="476" t="s">
        <v>31</v>
      </c>
      <c r="C40" s="478" t="s">
        <v>14356</v>
      </c>
      <c r="D40" s="482" t="s">
        <v>14357</v>
      </c>
      <c r="E40" s="476" t="s">
        <v>4612</v>
      </c>
      <c r="F40" s="476" t="s">
        <v>29</v>
      </c>
      <c r="G40" s="476" t="s">
        <v>30</v>
      </c>
      <c r="H40" s="476"/>
      <c r="I40" s="476" t="s">
        <v>30</v>
      </c>
      <c r="J40" s="476">
        <v>229.0</v>
      </c>
      <c r="K40" s="476"/>
      <c r="L40" s="476" t="s">
        <v>9963</v>
      </c>
      <c r="M40" s="476" t="s">
        <v>3426</v>
      </c>
      <c r="N40" s="476">
        <v>1951.0</v>
      </c>
      <c r="O40" s="478">
        <v>1.0</v>
      </c>
      <c r="P40" s="476">
        <v>1.0</v>
      </c>
      <c r="Q40" s="481">
        <v>1.0</v>
      </c>
      <c r="R40" s="149"/>
      <c r="S40" s="45"/>
      <c r="T40" s="45"/>
      <c r="U40" s="45"/>
      <c r="V40" s="45"/>
      <c r="W40" s="45"/>
      <c r="X40" s="45"/>
      <c r="Y40" s="45"/>
      <c r="Z40" s="45"/>
      <c r="AA40" s="45"/>
      <c r="AB40" s="45"/>
      <c r="AC40" s="45"/>
      <c r="AD40" s="45"/>
      <c r="AE40" s="45"/>
      <c r="AF40" s="45"/>
      <c r="AG40" s="45"/>
      <c r="AH40" s="45"/>
      <c r="AI40" s="45"/>
      <c r="AJ40" s="45"/>
    </row>
    <row r="41" ht="15.75" customHeight="1">
      <c r="A41" s="476">
        <v>36.0</v>
      </c>
      <c r="B41" s="476" t="s">
        <v>14358</v>
      </c>
      <c r="C41" s="487" t="s">
        <v>14359</v>
      </c>
      <c r="D41" s="482" t="s">
        <v>14360</v>
      </c>
      <c r="E41" s="476" t="s">
        <v>4612</v>
      </c>
      <c r="F41" s="476" t="s">
        <v>740</v>
      </c>
      <c r="G41" s="476" t="s">
        <v>13593</v>
      </c>
      <c r="H41" s="476"/>
      <c r="I41" s="476" t="s">
        <v>38</v>
      </c>
      <c r="J41" s="476">
        <v>340.0</v>
      </c>
      <c r="K41" s="476"/>
      <c r="L41" s="476" t="s">
        <v>14361</v>
      </c>
      <c r="M41" s="476" t="s">
        <v>365</v>
      </c>
      <c r="N41" s="476">
        <v>1985.0</v>
      </c>
      <c r="O41" s="478">
        <v>2.0</v>
      </c>
      <c r="P41" s="476">
        <v>1.0</v>
      </c>
      <c r="Q41" s="481">
        <v>1.0</v>
      </c>
      <c r="R41" s="149"/>
      <c r="S41" s="45"/>
      <c r="T41" s="45"/>
      <c r="U41" s="45"/>
      <c r="V41" s="45"/>
      <c r="W41" s="45"/>
      <c r="X41" s="45"/>
      <c r="Y41" s="45"/>
      <c r="Z41" s="45"/>
      <c r="AA41" s="45"/>
      <c r="AB41" s="45"/>
      <c r="AC41" s="45"/>
      <c r="AD41" s="45"/>
      <c r="AE41" s="45"/>
      <c r="AF41" s="45"/>
      <c r="AG41" s="45"/>
      <c r="AH41" s="45"/>
      <c r="AI41" s="45"/>
      <c r="AJ41" s="45"/>
    </row>
    <row r="42" ht="15.75" customHeight="1">
      <c r="A42" s="476">
        <v>37.0</v>
      </c>
      <c r="B42" s="476" t="s">
        <v>31</v>
      </c>
      <c r="C42" s="488" t="s">
        <v>14362</v>
      </c>
      <c r="D42" s="482" t="s">
        <v>14363</v>
      </c>
      <c r="E42" s="482" t="s">
        <v>14363</v>
      </c>
      <c r="F42" s="476" t="s">
        <v>29</v>
      </c>
      <c r="G42" s="476" t="s">
        <v>38</v>
      </c>
      <c r="H42" s="476"/>
      <c r="I42" s="476" t="s">
        <v>38</v>
      </c>
      <c r="J42" s="476">
        <v>1375.0</v>
      </c>
      <c r="K42" s="476"/>
      <c r="L42" s="476" t="s">
        <v>14364</v>
      </c>
      <c r="M42" s="476" t="s">
        <v>49</v>
      </c>
      <c r="N42" s="476">
        <v>1962.0</v>
      </c>
      <c r="O42" s="478">
        <v>2.0</v>
      </c>
      <c r="P42" s="476">
        <v>1.0</v>
      </c>
      <c r="Q42" s="481">
        <v>1.0</v>
      </c>
      <c r="R42" s="149"/>
      <c r="S42" s="45"/>
      <c r="T42" s="45"/>
      <c r="U42" s="45"/>
      <c r="V42" s="45"/>
      <c r="W42" s="45"/>
      <c r="X42" s="45"/>
      <c r="Y42" s="45"/>
      <c r="Z42" s="45"/>
      <c r="AA42" s="45"/>
      <c r="AB42" s="45"/>
      <c r="AC42" s="45"/>
      <c r="AD42" s="45"/>
      <c r="AE42" s="45"/>
      <c r="AF42" s="45"/>
      <c r="AG42" s="45"/>
      <c r="AH42" s="45"/>
      <c r="AI42" s="45"/>
      <c r="AJ42" s="45"/>
    </row>
    <row r="43" ht="15.75" customHeight="1">
      <c r="A43" s="476">
        <v>38.0</v>
      </c>
      <c r="B43" s="476" t="s">
        <v>14365</v>
      </c>
      <c r="C43" s="476" t="s">
        <v>14366</v>
      </c>
      <c r="D43" s="482" t="s">
        <v>14367</v>
      </c>
      <c r="E43" s="476" t="s">
        <v>4612</v>
      </c>
      <c r="F43" s="476" t="s">
        <v>29</v>
      </c>
      <c r="G43" s="476" t="s">
        <v>38</v>
      </c>
      <c r="H43" s="476"/>
      <c r="I43" s="476" t="s">
        <v>38</v>
      </c>
      <c r="J43" s="476">
        <v>818.0</v>
      </c>
      <c r="K43" s="479"/>
      <c r="L43" s="479" t="s">
        <v>14368</v>
      </c>
      <c r="M43" s="476" t="s">
        <v>14369</v>
      </c>
      <c r="N43" s="476">
        <v>1962.0</v>
      </c>
      <c r="O43" s="478">
        <v>2.0</v>
      </c>
      <c r="P43" s="476">
        <v>1.0</v>
      </c>
      <c r="Q43" s="481">
        <v>1.0</v>
      </c>
      <c r="R43" s="149"/>
      <c r="S43" s="45"/>
      <c r="T43" s="45"/>
      <c r="U43" s="45"/>
      <c r="V43" s="45"/>
      <c r="W43" s="45"/>
      <c r="X43" s="45"/>
      <c r="Y43" s="45"/>
      <c r="Z43" s="45"/>
      <c r="AA43" s="45"/>
      <c r="AB43" s="45"/>
      <c r="AC43" s="45"/>
      <c r="AD43" s="45"/>
      <c r="AE43" s="45"/>
      <c r="AF43" s="45"/>
      <c r="AG43" s="45"/>
      <c r="AH43" s="45"/>
      <c r="AI43" s="45"/>
      <c r="AJ43" s="45"/>
    </row>
    <row r="44" ht="15.75" customHeight="1">
      <c r="A44" s="476">
        <v>39.0</v>
      </c>
      <c r="B44" s="476" t="s">
        <v>13799</v>
      </c>
      <c r="C44" s="478" t="s">
        <v>14370</v>
      </c>
      <c r="D44" s="482" t="s">
        <v>14371</v>
      </c>
      <c r="E44" s="476" t="s">
        <v>4612</v>
      </c>
      <c r="F44" s="476" t="s">
        <v>29</v>
      </c>
      <c r="G44" s="476" t="s">
        <v>38</v>
      </c>
      <c r="H44" s="476"/>
      <c r="I44" s="476" t="s">
        <v>38</v>
      </c>
      <c r="J44" s="476">
        <v>1532.0</v>
      </c>
      <c r="K44" s="479"/>
      <c r="L44" s="480" t="s">
        <v>14372</v>
      </c>
      <c r="M44" s="476" t="s">
        <v>14373</v>
      </c>
      <c r="N44" s="476">
        <v>1981.0</v>
      </c>
      <c r="O44" s="478">
        <v>2.0</v>
      </c>
      <c r="P44" s="478">
        <v>1.0</v>
      </c>
      <c r="Q44" s="481">
        <v>1.0</v>
      </c>
      <c r="R44" s="149"/>
      <c r="S44" s="45"/>
      <c r="T44" s="45"/>
      <c r="U44" s="45"/>
      <c r="V44" s="45"/>
      <c r="W44" s="45"/>
      <c r="X44" s="45"/>
      <c r="Y44" s="45"/>
      <c r="Z44" s="45"/>
      <c r="AA44" s="45"/>
      <c r="AB44" s="45"/>
      <c r="AC44" s="45"/>
      <c r="AD44" s="45"/>
      <c r="AE44" s="45"/>
      <c r="AF44" s="45"/>
      <c r="AG44" s="45"/>
      <c r="AH44" s="45"/>
      <c r="AI44" s="45"/>
      <c r="AJ44" s="45"/>
    </row>
    <row r="45" ht="15.75" customHeight="1">
      <c r="A45" s="476">
        <v>40.0</v>
      </c>
      <c r="B45" s="476" t="s">
        <v>14374</v>
      </c>
      <c r="C45" s="478" t="s">
        <v>14375</v>
      </c>
      <c r="D45" s="489" t="s">
        <v>14376</v>
      </c>
      <c r="E45" s="476" t="s">
        <v>4612</v>
      </c>
      <c r="F45" s="476" t="s">
        <v>29</v>
      </c>
      <c r="G45" s="476" t="s">
        <v>38</v>
      </c>
      <c r="H45" s="476"/>
      <c r="I45" s="476" t="s">
        <v>38</v>
      </c>
      <c r="J45" s="476">
        <v>933.0</v>
      </c>
      <c r="K45" s="479"/>
      <c r="L45" s="480" t="s">
        <v>2597</v>
      </c>
      <c r="M45" s="476" t="s">
        <v>14377</v>
      </c>
      <c r="N45" s="476">
        <v>1992.0</v>
      </c>
      <c r="O45" s="478">
        <v>2.0</v>
      </c>
      <c r="P45" s="476">
        <v>1.0</v>
      </c>
      <c r="Q45" s="481">
        <v>1.0</v>
      </c>
      <c r="R45" s="149"/>
      <c r="S45" s="45"/>
      <c r="T45" s="45"/>
      <c r="U45" s="45"/>
      <c r="V45" s="45"/>
      <c r="W45" s="45"/>
      <c r="X45" s="45"/>
      <c r="Y45" s="45"/>
      <c r="Z45" s="45"/>
      <c r="AA45" s="45"/>
      <c r="AB45" s="45"/>
      <c r="AC45" s="45"/>
      <c r="AD45" s="45"/>
      <c r="AE45" s="45"/>
      <c r="AF45" s="45"/>
      <c r="AG45" s="45"/>
      <c r="AH45" s="45"/>
      <c r="AI45" s="45"/>
      <c r="AJ45" s="45"/>
    </row>
    <row r="46" ht="15.75" customHeight="1">
      <c r="A46" s="476">
        <v>41.0</v>
      </c>
      <c r="B46" s="476" t="s">
        <v>14378</v>
      </c>
      <c r="C46" s="476" t="s">
        <v>14379</v>
      </c>
      <c r="D46" s="482" t="s">
        <v>14380</v>
      </c>
      <c r="E46" s="476" t="s">
        <v>4612</v>
      </c>
      <c r="F46" s="476" t="s">
        <v>29</v>
      </c>
      <c r="G46" s="476" t="s">
        <v>13504</v>
      </c>
      <c r="H46" s="476"/>
      <c r="I46" s="476" t="s">
        <v>38</v>
      </c>
      <c r="J46" s="476">
        <v>721.0</v>
      </c>
      <c r="K46" s="479"/>
      <c r="L46" s="479" t="s">
        <v>14381</v>
      </c>
      <c r="M46" s="476" t="s">
        <v>14382</v>
      </c>
      <c r="N46" s="476">
        <v>1987.0</v>
      </c>
      <c r="O46" s="478">
        <v>2.0</v>
      </c>
      <c r="P46" s="476">
        <v>1.0</v>
      </c>
      <c r="Q46" s="481">
        <v>1.0</v>
      </c>
      <c r="R46" s="149"/>
      <c r="S46" s="45"/>
      <c r="T46" s="45"/>
      <c r="U46" s="45"/>
      <c r="V46" s="45"/>
      <c r="W46" s="45"/>
      <c r="X46" s="45"/>
      <c r="Y46" s="45"/>
      <c r="Z46" s="45"/>
      <c r="AA46" s="45"/>
      <c r="AB46" s="45"/>
      <c r="AC46" s="45"/>
      <c r="AD46" s="45"/>
      <c r="AE46" s="45"/>
      <c r="AF46" s="45"/>
      <c r="AG46" s="45"/>
      <c r="AH46" s="45"/>
      <c r="AI46" s="45"/>
      <c r="AJ46" s="45"/>
    </row>
    <row r="47" ht="15.75" customHeight="1">
      <c r="A47" s="476">
        <v>42.0</v>
      </c>
      <c r="B47" s="476" t="s">
        <v>14383</v>
      </c>
      <c r="C47" s="478" t="s">
        <v>14384</v>
      </c>
      <c r="D47" s="482" t="s">
        <v>14385</v>
      </c>
      <c r="E47" s="476" t="s">
        <v>4612</v>
      </c>
      <c r="F47" s="476" t="s">
        <v>29</v>
      </c>
      <c r="G47" s="476" t="s">
        <v>37</v>
      </c>
      <c r="H47" s="476"/>
      <c r="I47" s="476" t="s">
        <v>38</v>
      </c>
      <c r="J47" s="476">
        <v>872.0</v>
      </c>
      <c r="K47" s="476"/>
      <c r="L47" s="476" t="s">
        <v>14386</v>
      </c>
      <c r="M47" s="476" t="s">
        <v>49</v>
      </c>
      <c r="N47" s="476">
        <v>1998.0</v>
      </c>
      <c r="O47" s="478">
        <v>2.0</v>
      </c>
      <c r="P47" s="476">
        <v>1.0</v>
      </c>
      <c r="Q47" s="483">
        <v>1.0</v>
      </c>
      <c r="R47" s="3"/>
      <c r="S47" s="3"/>
      <c r="T47" s="3"/>
      <c r="U47" s="3"/>
      <c r="V47" s="3"/>
      <c r="W47" s="3"/>
      <c r="X47" s="3"/>
      <c r="Y47" s="3"/>
      <c r="Z47" s="3"/>
      <c r="AA47" s="3"/>
      <c r="AB47" s="3"/>
      <c r="AC47" s="3"/>
      <c r="AD47" s="3"/>
      <c r="AE47" s="3"/>
      <c r="AF47" s="3"/>
      <c r="AG47" s="3"/>
      <c r="AH47" s="3"/>
      <c r="AI47" s="3"/>
      <c r="AJ47" s="3"/>
    </row>
    <row r="48" ht="15.75" customHeight="1">
      <c r="A48" s="322">
        <v>43.0</v>
      </c>
      <c r="B48" s="433" t="s">
        <v>14378</v>
      </c>
      <c r="C48" s="433" t="s">
        <v>31</v>
      </c>
      <c r="D48" s="434" t="s">
        <v>14387</v>
      </c>
      <c r="E48" s="433" t="s">
        <v>4612</v>
      </c>
      <c r="F48" s="433" t="s">
        <v>29</v>
      </c>
      <c r="G48" s="433" t="s">
        <v>37</v>
      </c>
      <c r="H48" s="433"/>
      <c r="I48" s="433" t="s">
        <v>14388</v>
      </c>
      <c r="J48" s="433">
        <v>740.0</v>
      </c>
      <c r="K48" s="433"/>
      <c r="L48" s="433" t="s">
        <v>14389</v>
      </c>
      <c r="M48" s="433" t="s">
        <v>4873</v>
      </c>
      <c r="N48" s="433">
        <v>1987.0</v>
      </c>
      <c r="O48" s="433" t="s">
        <v>388</v>
      </c>
      <c r="P48" s="433">
        <v>1.0</v>
      </c>
      <c r="Q48" s="435"/>
      <c r="R48" s="3"/>
      <c r="S48" s="3"/>
      <c r="T48" s="3"/>
      <c r="U48" s="3"/>
      <c r="V48" s="3"/>
      <c r="W48" s="3"/>
      <c r="X48" s="3"/>
      <c r="Y48" s="3"/>
      <c r="Z48" s="3"/>
      <c r="AA48" s="3"/>
      <c r="AB48" s="3"/>
      <c r="AC48" s="3"/>
      <c r="AD48" s="3"/>
      <c r="AE48" s="3"/>
      <c r="AF48" s="3"/>
      <c r="AG48" s="3"/>
      <c r="AH48" s="3"/>
      <c r="AI48" s="3"/>
      <c r="AJ48" s="3"/>
    </row>
    <row r="49" ht="15.75" customHeight="1">
      <c r="A49" s="322">
        <v>44.0</v>
      </c>
      <c r="B49" s="433" t="s">
        <v>31</v>
      </c>
      <c r="C49" s="433" t="s">
        <v>31</v>
      </c>
      <c r="D49" s="434" t="s">
        <v>14363</v>
      </c>
      <c r="E49" s="433" t="s">
        <v>4612</v>
      </c>
      <c r="F49" s="433" t="s">
        <v>29</v>
      </c>
      <c r="G49" s="433" t="s">
        <v>38</v>
      </c>
      <c r="H49" s="433"/>
      <c r="I49" s="433" t="s">
        <v>38</v>
      </c>
      <c r="J49" s="433">
        <v>1.421</v>
      </c>
      <c r="K49" s="433"/>
      <c r="L49" s="433" t="s">
        <v>14364</v>
      </c>
      <c r="M49" s="433" t="s">
        <v>49</v>
      </c>
      <c r="N49" s="433">
        <v>1962.0</v>
      </c>
      <c r="O49" s="433" t="s">
        <v>388</v>
      </c>
      <c r="P49" s="433">
        <v>1.0</v>
      </c>
      <c r="Q49" s="435"/>
      <c r="R49" s="3"/>
      <c r="S49" s="3"/>
      <c r="T49" s="3"/>
      <c r="U49" s="3"/>
      <c r="V49" s="3"/>
      <c r="W49" s="3"/>
      <c r="X49" s="3"/>
      <c r="Y49" s="3"/>
      <c r="Z49" s="3"/>
      <c r="AA49" s="3"/>
      <c r="AB49" s="3"/>
      <c r="AC49" s="3"/>
      <c r="AD49" s="3"/>
      <c r="AE49" s="3"/>
      <c r="AF49" s="3"/>
      <c r="AG49" s="3"/>
      <c r="AH49" s="3"/>
      <c r="AI49" s="3"/>
      <c r="AJ49" s="3"/>
    </row>
    <row r="50" ht="15.75" customHeight="1">
      <c r="A50" s="322">
        <v>45.0</v>
      </c>
      <c r="B50" s="490" t="s">
        <v>14390</v>
      </c>
      <c r="C50" s="490" t="s">
        <v>14391</v>
      </c>
      <c r="D50" s="491" t="s">
        <v>14392</v>
      </c>
      <c r="E50" s="490" t="s">
        <v>4612</v>
      </c>
      <c r="F50" s="490" t="s">
        <v>29</v>
      </c>
      <c r="G50" s="490" t="s">
        <v>30</v>
      </c>
      <c r="H50" s="490"/>
      <c r="I50" s="490" t="s">
        <v>30</v>
      </c>
      <c r="J50" s="490">
        <v>507.0</v>
      </c>
      <c r="K50" s="490"/>
      <c r="L50" s="490" t="s">
        <v>7723</v>
      </c>
      <c r="M50" s="490" t="s">
        <v>151</v>
      </c>
      <c r="N50" s="490">
        <v>2004.0</v>
      </c>
      <c r="O50" s="490" t="s">
        <v>388</v>
      </c>
      <c r="P50" s="490">
        <v>1.0</v>
      </c>
      <c r="Q50" s="492"/>
      <c r="R50" s="149"/>
      <c r="S50" s="45"/>
      <c r="T50" s="45"/>
      <c r="U50" s="45"/>
      <c r="V50" s="45"/>
      <c r="W50" s="45"/>
      <c r="X50" s="45"/>
      <c r="Y50" s="45"/>
      <c r="Z50" s="45"/>
      <c r="AA50" s="45"/>
      <c r="AB50" s="45"/>
      <c r="AC50" s="45"/>
      <c r="AD50" s="45"/>
      <c r="AE50" s="45"/>
      <c r="AF50" s="45"/>
      <c r="AG50" s="45"/>
      <c r="AH50" s="45"/>
      <c r="AI50" s="45"/>
      <c r="AJ50" s="45"/>
    </row>
    <row r="51" ht="15.75" customHeight="1">
      <c r="A51" s="322">
        <v>46.0</v>
      </c>
      <c r="B51" s="433" t="s">
        <v>14393</v>
      </c>
      <c r="C51" s="433" t="s">
        <v>14394</v>
      </c>
      <c r="D51" s="434" t="s">
        <v>14344</v>
      </c>
      <c r="E51" s="433" t="s">
        <v>4612</v>
      </c>
      <c r="F51" s="433" t="s">
        <v>29</v>
      </c>
      <c r="G51" s="433" t="s">
        <v>38</v>
      </c>
      <c r="H51" s="433"/>
      <c r="I51" s="433" t="s">
        <v>30</v>
      </c>
      <c r="J51" s="433">
        <v>180.0</v>
      </c>
      <c r="K51" s="433"/>
      <c r="L51" s="433" t="s">
        <v>14395</v>
      </c>
      <c r="M51" s="433" t="s">
        <v>236</v>
      </c>
      <c r="N51" s="433">
        <v>1968.0</v>
      </c>
      <c r="O51" s="433" t="s">
        <v>388</v>
      </c>
      <c r="P51" s="433">
        <v>1.0</v>
      </c>
      <c r="Q51" s="435"/>
      <c r="R51" s="3"/>
      <c r="S51" s="3"/>
      <c r="T51" s="3"/>
      <c r="U51" s="3"/>
      <c r="V51" s="3"/>
      <c r="W51" s="3"/>
      <c r="X51" s="3"/>
      <c r="Y51" s="3"/>
      <c r="Z51" s="3"/>
      <c r="AA51" s="3"/>
      <c r="AB51" s="3"/>
      <c r="AC51" s="3"/>
      <c r="AD51" s="3"/>
      <c r="AE51" s="3"/>
      <c r="AF51" s="3"/>
      <c r="AG51" s="3"/>
      <c r="AH51" s="3"/>
      <c r="AI51" s="3"/>
      <c r="AJ51" s="3"/>
    </row>
    <row r="52" ht="15.75" customHeight="1">
      <c r="A52" s="476">
        <v>47.0</v>
      </c>
      <c r="B52" s="476" t="s">
        <v>14396</v>
      </c>
      <c r="C52" s="478" t="s">
        <v>14397</v>
      </c>
      <c r="D52" s="493" t="s">
        <v>14398</v>
      </c>
      <c r="E52" s="476" t="s">
        <v>4612</v>
      </c>
      <c r="F52" s="476" t="s">
        <v>29</v>
      </c>
      <c r="G52" s="476" t="s">
        <v>37</v>
      </c>
      <c r="H52" s="476"/>
      <c r="I52" s="476" t="s">
        <v>38</v>
      </c>
      <c r="J52" s="478">
        <v>866.0</v>
      </c>
      <c r="K52" s="476"/>
      <c r="L52" s="476" t="s">
        <v>2097</v>
      </c>
      <c r="M52" s="478" t="s">
        <v>14377</v>
      </c>
      <c r="N52" s="476">
        <v>2000.0</v>
      </c>
      <c r="O52" s="478">
        <v>2.0</v>
      </c>
      <c r="P52" s="476">
        <v>1.0</v>
      </c>
      <c r="Q52" s="483">
        <v>1.0</v>
      </c>
      <c r="R52" s="3"/>
      <c r="S52" s="3"/>
      <c r="T52" s="3"/>
      <c r="U52" s="3"/>
      <c r="V52" s="3"/>
      <c r="W52" s="3"/>
      <c r="X52" s="3"/>
      <c r="Y52" s="3"/>
      <c r="Z52" s="3"/>
      <c r="AA52" s="3"/>
      <c r="AB52" s="3"/>
      <c r="AC52" s="3"/>
      <c r="AD52" s="3"/>
      <c r="AE52" s="3"/>
      <c r="AF52" s="3"/>
      <c r="AG52" s="3"/>
      <c r="AH52" s="3"/>
      <c r="AI52" s="3"/>
      <c r="AJ52" s="3"/>
    </row>
    <row r="53" ht="15.75" customHeight="1">
      <c r="A53" s="476">
        <v>48.0</v>
      </c>
      <c r="B53" s="476" t="s">
        <v>14399</v>
      </c>
      <c r="C53" s="478" t="s">
        <v>14400</v>
      </c>
      <c r="D53" s="482" t="s">
        <v>14401</v>
      </c>
      <c r="E53" s="476" t="s">
        <v>4612</v>
      </c>
      <c r="F53" s="476" t="s">
        <v>29</v>
      </c>
      <c r="G53" s="476" t="s">
        <v>37</v>
      </c>
      <c r="H53" s="476"/>
      <c r="I53" s="476" t="s">
        <v>38</v>
      </c>
      <c r="J53" s="478">
        <v>463.0</v>
      </c>
      <c r="K53" s="476"/>
      <c r="L53" s="476" t="s">
        <v>14402</v>
      </c>
      <c r="M53" s="476" t="s">
        <v>49</v>
      </c>
      <c r="N53" s="476">
        <v>1990.0</v>
      </c>
      <c r="O53" s="478">
        <v>2.0</v>
      </c>
      <c r="P53" s="476">
        <v>1.0</v>
      </c>
      <c r="Q53" s="481">
        <v>1.0</v>
      </c>
      <c r="R53" s="149"/>
      <c r="S53" s="45"/>
      <c r="T53" s="45"/>
      <c r="U53" s="45"/>
      <c r="V53" s="45"/>
      <c r="W53" s="45"/>
      <c r="X53" s="45"/>
      <c r="Y53" s="45"/>
      <c r="Z53" s="45"/>
      <c r="AA53" s="45"/>
      <c r="AB53" s="45"/>
      <c r="AC53" s="45"/>
      <c r="AD53" s="45"/>
      <c r="AE53" s="45"/>
      <c r="AF53" s="45"/>
      <c r="AG53" s="45"/>
      <c r="AH53" s="45"/>
      <c r="AI53" s="45"/>
      <c r="AJ53" s="45"/>
    </row>
    <row r="54" ht="15.75" customHeight="1">
      <c r="A54" s="186">
        <v>49.0</v>
      </c>
      <c r="B54" s="186" t="s">
        <v>14403</v>
      </c>
      <c r="C54" s="191" t="s">
        <v>14404</v>
      </c>
      <c r="D54" s="35" t="s">
        <v>14405</v>
      </c>
      <c r="E54" s="186" t="s">
        <v>4612</v>
      </c>
      <c r="F54" s="186" t="s">
        <v>29</v>
      </c>
      <c r="G54" s="186" t="s">
        <v>37</v>
      </c>
      <c r="H54" s="186"/>
      <c r="I54" s="186" t="s">
        <v>38</v>
      </c>
      <c r="J54" s="191">
        <v>1425.0</v>
      </c>
      <c r="K54" s="186"/>
      <c r="L54" s="191" t="s">
        <v>14406</v>
      </c>
      <c r="M54" s="186" t="s">
        <v>3485</v>
      </c>
      <c r="N54" s="186">
        <v>2000.0</v>
      </c>
      <c r="O54" s="191">
        <v>2.0</v>
      </c>
      <c r="P54" s="186">
        <v>1.0</v>
      </c>
      <c r="Q54" s="436">
        <v>1.0</v>
      </c>
      <c r="R54" s="3"/>
      <c r="S54" s="3"/>
      <c r="T54" s="3"/>
      <c r="U54" s="3"/>
      <c r="V54" s="3"/>
      <c r="W54" s="3"/>
      <c r="X54" s="3"/>
      <c r="Y54" s="3"/>
      <c r="Z54" s="3"/>
      <c r="AA54" s="3"/>
      <c r="AB54" s="3"/>
      <c r="AC54" s="3"/>
      <c r="AD54" s="3"/>
      <c r="AE54" s="3"/>
      <c r="AF54" s="3"/>
      <c r="AG54" s="3"/>
      <c r="AH54" s="3"/>
      <c r="AI54" s="3"/>
      <c r="AJ54" s="3"/>
    </row>
    <row r="55" ht="15.75" customHeight="1">
      <c r="A55" s="476">
        <v>50.0</v>
      </c>
      <c r="B55" s="476" t="s">
        <v>14407</v>
      </c>
      <c r="C55" s="478" t="s">
        <v>14408</v>
      </c>
      <c r="D55" s="489" t="s">
        <v>14409</v>
      </c>
      <c r="E55" s="476" t="s">
        <v>4612</v>
      </c>
      <c r="F55" s="476" t="s">
        <v>29</v>
      </c>
      <c r="G55" s="476" t="s">
        <v>37</v>
      </c>
      <c r="H55" s="476"/>
      <c r="I55" s="476" t="s">
        <v>14410</v>
      </c>
      <c r="J55" s="478">
        <v>1.736</v>
      </c>
      <c r="K55" s="476"/>
      <c r="L55" s="476" t="s">
        <v>14411</v>
      </c>
      <c r="M55" s="476" t="s">
        <v>14412</v>
      </c>
      <c r="N55" s="476">
        <v>2004.0</v>
      </c>
      <c r="O55" s="478">
        <v>2.0</v>
      </c>
      <c r="P55" s="476">
        <v>1.0</v>
      </c>
      <c r="Q55" s="483">
        <v>1.0</v>
      </c>
      <c r="R55" s="3"/>
      <c r="S55" s="3"/>
      <c r="T55" s="3"/>
      <c r="U55" s="3"/>
      <c r="V55" s="3"/>
      <c r="W55" s="3"/>
      <c r="X55" s="3"/>
      <c r="Y55" s="3"/>
      <c r="Z55" s="3"/>
      <c r="AA55" s="3"/>
      <c r="AB55" s="3"/>
      <c r="AC55" s="3"/>
      <c r="AD55" s="3"/>
      <c r="AE55" s="3"/>
      <c r="AF55" s="3"/>
      <c r="AG55" s="3"/>
      <c r="AH55" s="3"/>
      <c r="AI55" s="3"/>
      <c r="AJ55" s="3"/>
    </row>
    <row r="56" ht="15.75" customHeight="1">
      <c r="A56" s="476">
        <v>51.0</v>
      </c>
      <c r="B56" s="476" t="s">
        <v>14413</v>
      </c>
      <c r="C56" s="478" t="s">
        <v>14414</v>
      </c>
      <c r="D56" s="482" t="s">
        <v>14415</v>
      </c>
      <c r="E56" s="476" t="s">
        <v>4612</v>
      </c>
      <c r="F56" s="476" t="s">
        <v>29</v>
      </c>
      <c r="G56" s="476" t="s">
        <v>37</v>
      </c>
      <c r="H56" s="476"/>
      <c r="I56" s="476" t="s">
        <v>38</v>
      </c>
      <c r="J56" s="476">
        <v>1.397</v>
      </c>
      <c r="K56" s="476"/>
      <c r="L56" s="476" t="s">
        <v>1429</v>
      </c>
      <c r="M56" s="476" t="s">
        <v>49</v>
      </c>
      <c r="N56" s="476">
        <v>2010.0</v>
      </c>
      <c r="O56" s="478">
        <v>2.0</v>
      </c>
      <c r="P56" s="476">
        <v>1.0</v>
      </c>
      <c r="Q56" s="483">
        <v>1.0</v>
      </c>
      <c r="R56" s="3"/>
      <c r="S56" s="3"/>
      <c r="T56" s="3"/>
      <c r="U56" s="3"/>
      <c r="V56" s="3"/>
      <c r="W56" s="3"/>
      <c r="X56" s="3"/>
      <c r="Y56" s="3"/>
      <c r="Z56" s="3"/>
      <c r="AA56" s="3"/>
      <c r="AB56" s="3"/>
      <c r="AC56" s="3"/>
      <c r="AD56" s="3"/>
      <c r="AE56" s="3"/>
      <c r="AF56" s="3"/>
      <c r="AG56" s="3"/>
      <c r="AH56" s="3"/>
      <c r="AI56" s="3"/>
      <c r="AJ56" s="3"/>
    </row>
    <row r="57" ht="15.75" customHeight="1">
      <c r="A57" s="476">
        <v>52.0</v>
      </c>
      <c r="B57" s="476">
        <v>9.004103139E9</v>
      </c>
      <c r="C57" s="478" t="s">
        <v>14416</v>
      </c>
      <c r="D57" s="482" t="s">
        <v>14417</v>
      </c>
      <c r="E57" s="476" t="s">
        <v>4612</v>
      </c>
      <c r="F57" s="476" t="s">
        <v>29</v>
      </c>
      <c r="G57" s="476" t="s">
        <v>37</v>
      </c>
      <c r="H57" s="476"/>
      <c r="I57" s="476" t="s">
        <v>38</v>
      </c>
      <c r="J57" s="478">
        <v>1774.0</v>
      </c>
      <c r="K57" s="476"/>
      <c r="L57" s="476" t="s">
        <v>14418</v>
      </c>
      <c r="M57" s="476" t="s">
        <v>3465</v>
      </c>
      <c r="N57" s="476">
        <v>1995.0</v>
      </c>
      <c r="O57" s="478">
        <v>2.0</v>
      </c>
      <c r="P57" s="476">
        <v>1.0</v>
      </c>
      <c r="Q57" s="483">
        <v>1.0</v>
      </c>
      <c r="R57" s="3"/>
      <c r="S57" s="3"/>
      <c r="T57" s="3"/>
      <c r="U57" s="3"/>
      <c r="V57" s="3"/>
      <c r="W57" s="3"/>
      <c r="X57" s="3"/>
      <c r="Y57" s="3"/>
      <c r="Z57" s="3"/>
      <c r="AA57" s="3"/>
      <c r="AB57" s="3"/>
      <c r="AC57" s="3"/>
      <c r="AD57" s="3"/>
      <c r="AE57" s="3"/>
      <c r="AF57" s="3"/>
      <c r="AG57" s="3"/>
      <c r="AH57" s="3"/>
      <c r="AI57" s="3"/>
      <c r="AJ57" s="3"/>
    </row>
    <row r="58" ht="15.75" customHeight="1">
      <c r="A58" s="476">
        <v>53.0</v>
      </c>
      <c r="B58" s="476" t="s">
        <v>12858</v>
      </c>
      <c r="C58" s="478" t="s">
        <v>14419</v>
      </c>
      <c r="D58" s="482" t="s">
        <v>14420</v>
      </c>
      <c r="E58" s="476" t="s">
        <v>4612</v>
      </c>
      <c r="F58" s="476" t="s">
        <v>29</v>
      </c>
      <c r="G58" s="476" t="s">
        <v>37</v>
      </c>
      <c r="H58" s="476"/>
      <c r="I58" s="476" t="s">
        <v>38</v>
      </c>
      <c r="J58" s="478">
        <v>1.346</v>
      </c>
      <c r="K58" s="476"/>
      <c r="L58" s="478" t="s">
        <v>14421</v>
      </c>
      <c r="M58" s="478" t="s">
        <v>2217</v>
      </c>
      <c r="N58" s="476">
        <v>1995.0</v>
      </c>
      <c r="O58" s="478">
        <v>2.0</v>
      </c>
      <c r="P58" s="478">
        <v>1.0</v>
      </c>
      <c r="Q58" s="483">
        <v>1.0</v>
      </c>
      <c r="R58" s="3"/>
      <c r="S58" s="3"/>
      <c r="T58" s="3"/>
      <c r="U58" s="3"/>
      <c r="V58" s="3"/>
      <c r="W58" s="3"/>
      <c r="X58" s="3"/>
      <c r="Y58" s="3"/>
      <c r="Z58" s="3"/>
      <c r="AA58" s="3"/>
      <c r="AB58" s="3"/>
      <c r="AC58" s="3"/>
      <c r="AD58" s="3"/>
      <c r="AE58" s="3"/>
      <c r="AF58" s="3"/>
      <c r="AG58" s="3"/>
      <c r="AH58" s="3"/>
      <c r="AI58" s="3"/>
      <c r="AJ58" s="3"/>
    </row>
    <row r="59" ht="15.75" customHeight="1">
      <c r="A59" s="476">
        <v>54.0</v>
      </c>
      <c r="B59" s="476" t="s">
        <v>14422</v>
      </c>
      <c r="C59" s="478" t="s">
        <v>14423</v>
      </c>
      <c r="D59" s="482" t="s">
        <v>13752</v>
      </c>
      <c r="E59" s="476" t="s">
        <v>4612</v>
      </c>
      <c r="F59" s="476" t="s">
        <v>29</v>
      </c>
      <c r="G59" s="476" t="s">
        <v>37</v>
      </c>
      <c r="H59" s="476"/>
      <c r="I59" s="476" t="s">
        <v>38</v>
      </c>
      <c r="J59" s="476">
        <v>1.218</v>
      </c>
      <c r="K59" s="476"/>
      <c r="L59" s="476" t="s">
        <v>14424</v>
      </c>
      <c r="M59" s="476" t="s">
        <v>219</v>
      </c>
      <c r="N59" s="476">
        <v>1985.0</v>
      </c>
      <c r="O59" s="478">
        <v>2.0</v>
      </c>
      <c r="P59" s="476">
        <v>4.0</v>
      </c>
      <c r="Q59" s="481">
        <v>4.0</v>
      </c>
      <c r="R59" s="149"/>
      <c r="S59" s="45"/>
      <c r="T59" s="45"/>
      <c r="U59" s="45"/>
      <c r="V59" s="45"/>
      <c r="W59" s="45"/>
      <c r="X59" s="45"/>
      <c r="Y59" s="45"/>
      <c r="Z59" s="45"/>
      <c r="AA59" s="45"/>
      <c r="AB59" s="45"/>
      <c r="AC59" s="45"/>
      <c r="AD59" s="45"/>
      <c r="AE59" s="45"/>
      <c r="AF59" s="45"/>
      <c r="AG59" s="45"/>
      <c r="AH59" s="45"/>
      <c r="AI59" s="45"/>
      <c r="AJ59" s="45"/>
    </row>
    <row r="60" ht="15.75" customHeight="1">
      <c r="A60" s="476">
        <v>55.0</v>
      </c>
      <c r="B60" s="476" t="s">
        <v>14425</v>
      </c>
      <c r="C60" s="478" t="s">
        <v>14426</v>
      </c>
      <c r="D60" s="482" t="s">
        <v>14427</v>
      </c>
      <c r="E60" s="476" t="s">
        <v>4612</v>
      </c>
      <c r="F60" s="476" t="s">
        <v>29</v>
      </c>
      <c r="G60" s="476" t="s">
        <v>81</v>
      </c>
      <c r="H60" s="476"/>
      <c r="I60" s="476" t="s">
        <v>38</v>
      </c>
      <c r="J60" s="476"/>
      <c r="K60" s="476"/>
      <c r="L60" s="478" t="s">
        <v>14428</v>
      </c>
      <c r="M60" s="476" t="s">
        <v>4744</v>
      </c>
      <c r="N60" s="476">
        <v>1980.0</v>
      </c>
      <c r="O60" s="478">
        <v>2.0</v>
      </c>
      <c r="P60" s="476">
        <v>1.0</v>
      </c>
      <c r="Q60" s="481">
        <v>1.0</v>
      </c>
      <c r="R60" s="149"/>
      <c r="S60" s="45"/>
      <c r="T60" s="45"/>
      <c r="U60" s="45"/>
      <c r="V60" s="45"/>
      <c r="W60" s="45"/>
      <c r="X60" s="45"/>
      <c r="Y60" s="45"/>
      <c r="Z60" s="45"/>
      <c r="AA60" s="45"/>
      <c r="AB60" s="45"/>
      <c r="AC60" s="45"/>
      <c r="AD60" s="45"/>
      <c r="AE60" s="45"/>
      <c r="AF60" s="45"/>
      <c r="AG60" s="45"/>
      <c r="AH60" s="45"/>
      <c r="AI60" s="45"/>
      <c r="AJ60" s="45"/>
    </row>
    <row r="61" ht="15.75" customHeight="1">
      <c r="A61" s="476">
        <v>56.0</v>
      </c>
      <c r="B61" s="476" t="s">
        <v>14429</v>
      </c>
      <c r="C61" s="478" t="s">
        <v>14426</v>
      </c>
      <c r="D61" s="482" t="s">
        <v>14430</v>
      </c>
      <c r="E61" s="476" t="s">
        <v>4612</v>
      </c>
      <c r="F61" s="476" t="s">
        <v>29</v>
      </c>
      <c r="G61" s="476" t="s">
        <v>81</v>
      </c>
      <c r="H61" s="476"/>
      <c r="I61" s="476" t="s">
        <v>38</v>
      </c>
      <c r="J61" s="476"/>
      <c r="K61" s="476"/>
      <c r="L61" s="478" t="s">
        <v>14428</v>
      </c>
      <c r="M61" s="476" t="s">
        <v>4744</v>
      </c>
      <c r="N61" s="476" t="s">
        <v>31</v>
      </c>
      <c r="O61" s="478">
        <v>2.0</v>
      </c>
      <c r="P61" s="476">
        <v>1.0</v>
      </c>
      <c r="Q61" s="481">
        <v>1.0</v>
      </c>
      <c r="R61" s="149"/>
      <c r="S61" s="45"/>
      <c r="T61" s="45"/>
      <c r="U61" s="45"/>
      <c r="V61" s="45"/>
      <c r="W61" s="45"/>
      <c r="X61" s="45"/>
      <c r="Y61" s="45"/>
      <c r="Z61" s="45"/>
      <c r="AA61" s="45"/>
      <c r="AB61" s="45"/>
      <c r="AC61" s="45"/>
      <c r="AD61" s="45"/>
      <c r="AE61" s="45"/>
      <c r="AF61" s="45"/>
      <c r="AG61" s="45"/>
      <c r="AH61" s="45"/>
      <c r="AI61" s="45"/>
      <c r="AJ61" s="45"/>
    </row>
    <row r="62" ht="15.75" customHeight="1">
      <c r="A62" s="476">
        <v>57.0</v>
      </c>
      <c r="B62" s="476" t="s">
        <v>14431</v>
      </c>
      <c r="C62" s="478" t="s">
        <v>14426</v>
      </c>
      <c r="D62" s="482" t="s">
        <v>14432</v>
      </c>
      <c r="E62" s="476" t="s">
        <v>4612</v>
      </c>
      <c r="F62" s="476" t="s">
        <v>29</v>
      </c>
      <c r="G62" s="476" t="s">
        <v>81</v>
      </c>
      <c r="H62" s="476"/>
      <c r="I62" s="476" t="s">
        <v>38</v>
      </c>
      <c r="J62" s="476"/>
      <c r="K62" s="476"/>
      <c r="L62" s="478" t="s">
        <v>14428</v>
      </c>
      <c r="M62" s="476" t="s">
        <v>4744</v>
      </c>
      <c r="N62" s="476" t="s">
        <v>31</v>
      </c>
      <c r="O62" s="478">
        <v>2.0</v>
      </c>
      <c r="P62" s="476">
        <v>1.0</v>
      </c>
      <c r="Q62" s="481">
        <v>1.0</v>
      </c>
      <c r="R62" s="149"/>
      <c r="S62" s="45"/>
      <c r="T62" s="45"/>
      <c r="U62" s="45"/>
      <c r="V62" s="45"/>
      <c r="W62" s="45"/>
      <c r="X62" s="45"/>
      <c r="Y62" s="45"/>
      <c r="Z62" s="45"/>
      <c r="AA62" s="45"/>
      <c r="AB62" s="45"/>
      <c r="AC62" s="45"/>
      <c r="AD62" s="45"/>
      <c r="AE62" s="45"/>
      <c r="AF62" s="45"/>
      <c r="AG62" s="45"/>
      <c r="AH62" s="45"/>
      <c r="AI62" s="45"/>
      <c r="AJ62" s="45"/>
    </row>
    <row r="63" ht="15.75" customHeight="1">
      <c r="A63" s="322">
        <v>58.0</v>
      </c>
      <c r="B63" s="417" t="s">
        <v>31</v>
      </c>
      <c r="C63" s="417" t="s">
        <v>14292</v>
      </c>
      <c r="D63" s="418" t="s">
        <v>14433</v>
      </c>
      <c r="E63" s="417" t="s">
        <v>4612</v>
      </c>
      <c r="F63" s="417" t="s">
        <v>29</v>
      </c>
      <c r="G63" s="417" t="s">
        <v>37</v>
      </c>
      <c r="H63" s="417"/>
      <c r="I63" s="417" t="s">
        <v>38</v>
      </c>
      <c r="J63" s="417">
        <v>822.0</v>
      </c>
      <c r="K63" s="417"/>
      <c r="L63" s="417" t="s">
        <v>14294</v>
      </c>
      <c r="M63" s="417" t="s">
        <v>524</v>
      </c>
      <c r="N63" s="417">
        <v>1975.0</v>
      </c>
      <c r="O63" s="417" t="s">
        <v>388</v>
      </c>
      <c r="P63" s="417">
        <v>1.0</v>
      </c>
      <c r="Q63" s="419"/>
      <c r="R63" s="149"/>
      <c r="S63" s="45"/>
      <c r="T63" s="45"/>
      <c r="U63" s="45"/>
      <c r="V63" s="45"/>
      <c r="W63" s="45"/>
      <c r="X63" s="45"/>
      <c r="Y63" s="45"/>
      <c r="Z63" s="45"/>
      <c r="AA63" s="45"/>
      <c r="AB63" s="45"/>
      <c r="AC63" s="45"/>
      <c r="AD63" s="45"/>
      <c r="AE63" s="45"/>
      <c r="AF63" s="45"/>
      <c r="AG63" s="45"/>
      <c r="AH63" s="45"/>
      <c r="AI63" s="45"/>
      <c r="AJ63" s="45"/>
    </row>
    <row r="64" ht="15.75" customHeight="1">
      <c r="A64" s="322">
        <v>59.0</v>
      </c>
      <c r="B64" s="417" t="s">
        <v>14295</v>
      </c>
      <c r="C64" s="417" t="s">
        <v>14292</v>
      </c>
      <c r="D64" s="418" t="s">
        <v>14433</v>
      </c>
      <c r="E64" s="417" t="s">
        <v>4612</v>
      </c>
      <c r="F64" s="417" t="s">
        <v>29</v>
      </c>
      <c r="G64" s="417" t="s">
        <v>37</v>
      </c>
      <c r="H64" s="417"/>
      <c r="I64" s="417" t="s">
        <v>38</v>
      </c>
      <c r="J64" s="417">
        <v>1.023</v>
      </c>
      <c r="K64" s="417"/>
      <c r="L64" s="417" t="s">
        <v>14294</v>
      </c>
      <c r="M64" s="417" t="s">
        <v>524</v>
      </c>
      <c r="N64" s="417">
        <v>1970.0</v>
      </c>
      <c r="O64" s="417" t="s">
        <v>388</v>
      </c>
      <c r="P64" s="417">
        <v>1.0</v>
      </c>
      <c r="Q64" s="419"/>
      <c r="R64" s="149"/>
      <c r="S64" s="45"/>
      <c r="T64" s="45"/>
      <c r="U64" s="45"/>
      <c r="V64" s="45"/>
      <c r="W64" s="45"/>
      <c r="X64" s="45"/>
      <c r="Y64" s="45"/>
      <c r="Z64" s="45"/>
      <c r="AA64" s="45"/>
      <c r="AB64" s="45"/>
      <c r="AC64" s="45"/>
      <c r="AD64" s="45"/>
      <c r="AE64" s="45"/>
      <c r="AF64" s="45"/>
      <c r="AG64" s="45"/>
      <c r="AH64" s="45"/>
      <c r="AI64" s="45"/>
      <c r="AJ64" s="45"/>
    </row>
    <row r="65" ht="15.75" customHeight="1">
      <c r="A65" s="322">
        <v>60.0</v>
      </c>
      <c r="B65" s="417" t="s">
        <v>14291</v>
      </c>
      <c r="C65" s="417" t="s">
        <v>14292</v>
      </c>
      <c r="D65" s="418" t="s">
        <v>14433</v>
      </c>
      <c r="E65" s="417" t="s">
        <v>4612</v>
      </c>
      <c r="F65" s="417" t="s">
        <v>29</v>
      </c>
      <c r="G65" s="417" t="s">
        <v>37</v>
      </c>
      <c r="H65" s="417"/>
      <c r="I65" s="417" t="s">
        <v>38</v>
      </c>
      <c r="J65" s="417">
        <v>1.481</v>
      </c>
      <c r="K65" s="417"/>
      <c r="L65" s="417" t="s">
        <v>14294</v>
      </c>
      <c r="M65" s="417" t="s">
        <v>524</v>
      </c>
      <c r="N65" s="417">
        <v>1978.0</v>
      </c>
      <c r="O65" s="417" t="s">
        <v>388</v>
      </c>
      <c r="P65" s="417">
        <v>1.0</v>
      </c>
      <c r="Q65" s="419"/>
      <c r="R65" s="149"/>
      <c r="S65" s="45"/>
      <c r="T65" s="45"/>
      <c r="U65" s="45"/>
      <c r="V65" s="45"/>
      <c r="W65" s="45"/>
      <c r="X65" s="45"/>
      <c r="Y65" s="45"/>
      <c r="Z65" s="45"/>
      <c r="AA65" s="45"/>
      <c r="AB65" s="45"/>
      <c r="AC65" s="45"/>
      <c r="AD65" s="45"/>
      <c r="AE65" s="45"/>
      <c r="AF65" s="45"/>
      <c r="AG65" s="45"/>
      <c r="AH65" s="45"/>
      <c r="AI65" s="45"/>
      <c r="AJ65" s="45"/>
    </row>
    <row r="66" ht="15.75" customHeight="1">
      <c r="A66" s="322">
        <v>61.0</v>
      </c>
      <c r="B66" s="417" t="s">
        <v>14282</v>
      </c>
      <c r="C66" s="417" t="s">
        <v>14434</v>
      </c>
      <c r="D66" s="418" t="s">
        <v>14284</v>
      </c>
      <c r="E66" s="417" t="s">
        <v>4612</v>
      </c>
      <c r="F66" s="417" t="s">
        <v>29</v>
      </c>
      <c r="G66" s="417" t="s">
        <v>37</v>
      </c>
      <c r="H66" s="417"/>
      <c r="I66" s="417" t="s">
        <v>38</v>
      </c>
      <c r="J66" s="417">
        <v>351.0</v>
      </c>
      <c r="K66" s="417"/>
      <c r="L66" s="417" t="s">
        <v>14285</v>
      </c>
      <c r="M66" s="417" t="s">
        <v>245</v>
      </c>
      <c r="N66" s="417">
        <v>1952.0</v>
      </c>
      <c r="O66" s="417" t="s">
        <v>388</v>
      </c>
      <c r="P66" s="417">
        <v>1.0</v>
      </c>
      <c r="Q66" s="419"/>
      <c r="R66" s="149"/>
      <c r="S66" s="45"/>
      <c r="T66" s="45"/>
      <c r="U66" s="45"/>
      <c r="V66" s="45"/>
      <c r="W66" s="45"/>
      <c r="X66" s="45"/>
      <c r="Y66" s="45"/>
      <c r="Z66" s="45"/>
      <c r="AA66" s="45"/>
      <c r="AB66" s="45"/>
      <c r="AC66" s="45"/>
      <c r="AD66" s="45"/>
      <c r="AE66" s="45"/>
      <c r="AF66" s="45"/>
      <c r="AG66" s="45"/>
      <c r="AH66" s="45"/>
      <c r="AI66" s="45"/>
      <c r="AJ66" s="45"/>
    </row>
    <row r="67" ht="15.75" customHeight="1">
      <c r="A67" s="322">
        <v>62.0</v>
      </c>
      <c r="B67" s="417" t="s">
        <v>14352</v>
      </c>
      <c r="C67" s="417" t="s">
        <v>14435</v>
      </c>
      <c r="D67" s="418" t="s">
        <v>14354</v>
      </c>
      <c r="E67" s="417" t="s">
        <v>4612</v>
      </c>
      <c r="F67" s="417" t="s">
        <v>29</v>
      </c>
      <c r="G67" s="417" t="s">
        <v>30</v>
      </c>
      <c r="H67" s="417"/>
      <c r="I67" s="417" t="s">
        <v>30</v>
      </c>
      <c r="J67" s="417">
        <v>121.0</v>
      </c>
      <c r="K67" s="417"/>
      <c r="L67" s="417" t="s">
        <v>14355</v>
      </c>
      <c r="M67" s="417" t="s">
        <v>2463</v>
      </c>
      <c r="N67" s="417" t="s">
        <v>31</v>
      </c>
      <c r="O67" s="417" t="s">
        <v>388</v>
      </c>
      <c r="P67" s="417">
        <v>1.0</v>
      </c>
      <c r="Q67" s="419"/>
      <c r="R67" s="149"/>
      <c r="S67" s="45"/>
      <c r="T67" s="45"/>
      <c r="U67" s="45"/>
      <c r="V67" s="45"/>
      <c r="W67" s="45"/>
      <c r="X67" s="45"/>
      <c r="Y67" s="45"/>
      <c r="Z67" s="45"/>
      <c r="AA67" s="45"/>
      <c r="AB67" s="45"/>
      <c r="AC67" s="45"/>
      <c r="AD67" s="45"/>
      <c r="AE67" s="45"/>
      <c r="AF67" s="45"/>
      <c r="AG67" s="45"/>
      <c r="AH67" s="45"/>
      <c r="AI67" s="45"/>
      <c r="AJ67" s="45"/>
    </row>
    <row r="68" ht="15.75" customHeight="1">
      <c r="A68" s="322">
        <v>63.0</v>
      </c>
      <c r="B68" s="433" t="s">
        <v>14422</v>
      </c>
      <c r="C68" s="433" t="s">
        <v>31</v>
      </c>
      <c r="D68" s="434" t="s">
        <v>14436</v>
      </c>
      <c r="E68" s="433" t="s">
        <v>4612</v>
      </c>
      <c r="F68" s="433" t="s">
        <v>29</v>
      </c>
      <c r="G68" s="433" t="s">
        <v>37</v>
      </c>
      <c r="H68" s="433"/>
      <c r="I68" s="433" t="s">
        <v>38</v>
      </c>
      <c r="J68" s="433">
        <v>1196.0</v>
      </c>
      <c r="K68" s="433"/>
      <c r="L68" s="433" t="s">
        <v>14437</v>
      </c>
      <c r="M68" s="433" t="s">
        <v>219</v>
      </c>
      <c r="N68" s="433">
        <v>1985.0</v>
      </c>
      <c r="O68" s="433" t="s">
        <v>388</v>
      </c>
      <c r="P68" s="433">
        <v>1.0</v>
      </c>
      <c r="Q68" s="435"/>
      <c r="R68" s="3"/>
      <c r="S68" s="3"/>
      <c r="T68" s="3"/>
      <c r="U68" s="3"/>
      <c r="V68" s="3"/>
      <c r="W68" s="3"/>
      <c r="X68" s="3"/>
      <c r="Y68" s="3"/>
      <c r="Z68" s="3"/>
      <c r="AA68" s="3"/>
      <c r="AB68" s="3"/>
      <c r="AC68" s="3"/>
      <c r="AD68" s="3"/>
      <c r="AE68" s="3"/>
      <c r="AF68" s="3"/>
      <c r="AG68" s="3"/>
      <c r="AH68" s="3"/>
      <c r="AI68" s="3"/>
      <c r="AJ68" s="3"/>
    </row>
    <row r="69" ht="15.75" customHeight="1">
      <c r="A69" s="186">
        <v>64.0</v>
      </c>
      <c r="B69" s="186" t="s">
        <v>13225</v>
      </c>
      <c r="C69" s="191" t="s">
        <v>14438</v>
      </c>
      <c r="D69" s="188" t="s">
        <v>14439</v>
      </c>
      <c r="E69" s="186" t="s">
        <v>4612</v>
      </c>
      <c r="F69" s="186" t="s">
        <v>29</v>
      </c>
      <c r="G69" s="186" t="s">
        <v>37</v>
      </c>
      <c r="H69" s="186"/>
      <c r="I69" s="186" t="s">
        <v>38</v>
      </c>
      <c r="J69" s="191">
        <v>843.0</v>
      </c>
      <c r="K69" s="186"/>
      <c r="L69" s="191" t="s">
        <v>14440</v>
      </c>
      <c r="M69" s="186" t="s">
        <v>54</v>
      </c>
      <c r="N69" s="186">
        <v>1988.0</v>
      </c>
      <c r="O69" s="191">
        <v>3.0</v>
      </c>
      <c r="P69" s="191">
        <v>3.0</v>
      </c>
      <c r="Q69" s="436">
        <v>3.0</v>
      </c>
      <c r="R69" s="3"/>
      <c r="S69" s="3"/>
      <c r="T69" s="3"/>
      <c r="U69" s="3"/>
      <c r="V69" s="3"/>
      <c r="W69" s="3"/>
      <c r="X69" s="3"/>
      <c r="Y69" s="3"/>
      <c r="Z69" s="3"/>
      <c r="AA69" s="3"/>
      <c r="AB69" s="3"/>
      <c r="AC69" s="3"/>
      <c r="AD69" s="3"/>
      <c r="AE69" s="3"/>
      <c r="AF69" s="3"/>
      <c r="AG69" s="3"/>
      <c r="AH69" s="3"/>
      <c r="AI69" s="3"/>
      <c r="AJ69" s="3"/>
    </row>
    <row r="70" ht="15.75" customHeight="1">
      <c r="A70" s="186">
        <v>65.0</v>
      </c>
      <c r="B70" s="186" t="s">
        <v>14441</v>
      </c>
      <c r="C70" s="191" t="s">
        <v>14438</v>
      </c>
      <c r="D70" s="188" t="s">
        <v>14442</v>
      </c>
      <c r="E70" s="186" t="s">
        <v>4612</v>
      </c>
      <c r="F70" s="186" t="s">
        <v>29</v>
      </c>
      <c r="G70" s="186" t="s">
        <v>37</v>
      </c>
      <c r="H70" s="186"/>
      <c r="I70" s="186" t="s">
        <v>38</v>
      </c>
      <c r="J70" s="191">
        <v>375.0</v>
      </c>
      <c r="K70" s="186"/>
      <c r="L70" s="191" t="s">
        <v>14440</v>
      </c>
      <c r="M70" s="186" t="s">
        <v>54</v>
      </c>
      <c r="N70" s="186">
        <v>1988.0</v>
      </c>
      <c r="O70" s="186" t="s">
        <v>388</v>
      </c>
      <c r="P70" s="186">
        <v>2.0</v>
      </c>
      <c r="Q70" s="436">
        <v>2.0</v>
      </c>
      <c r="R70" s="3"/>
      <c r="S70" s="3"/>
      <c r="T70" s="3"/>
      <c r="U70" s="3"/>
      <c r="V70" s="3"/>
      <c r="W70" s="3"/>
      <c r="X70" s="3"/>
      <c r="Y70" s="3"/>
      <c r="Z70" s="3"/>
      <c r="AA70" s="3"/>
      <c r="AB70" s="3"/>
      <c r="AC70" s="3"/>
      <c r="AD70" s="3"/>
      <c r="AE70" s="3"/>
      <c r="AF70" s="3"/>
      <c r="AG70" s="3"/>
      <c r="AH70" s="3"/>
      <c r="AI70" s="3"/>
      <c r="AJ70" s="3"/>
    </row>
    <row r="71" ht="15.75" customHeight="1">
      <c r="A71" s="322">
        <v>66.0</v>
      </c>
      <c r="B71" s="430" t="s">
        <v>14443</v>
      </c>
      <c r="C71" s="430" t="s">
        <v>14444</v>
      </c>
      <c r="D71" s="432" t="s">
        <v>14445</v>
      </c>
      <c r="E71" s="430" t="s">
        <v>4612</v>
      </c>
      <c r="F71" s="430" t="s">
        <v>29</v>
      </c>
      <c r="G71" s="430" t="s">
        <v>98</v>
      </c>
      <c r="H71" s="430"/>
      <c r="I71" s="430" t="s">
        <v>38</v>
      </c>
      <c r="J71" s="430">
        <v>206.0</v>
      </c>
      <c r="K71" s="430"/>
      <c r="L71" s="430" t="s">
        <v>14446</v>
      </c>
      <c r="M71" s="430" t="s">
        <v>100</v>
      </c>
      <c r="N71" s="430">
        <v>1993.0</v>
      </c>
      <c r="O71" s="430" t="s">
        <v>388</v>
      </c>
      <c r="P71" s="430">
        <v>1.0</v>
      </c>
      <c r="Q71" s="494"/>
      <c r="R71" s="149"/>
      <c r="S71" s="45"/>
      <c r="T71" s="45"/>
      <c r="U71" s="45"/>
      <c r="V71" s="45"/>
      <c r="W71" s="45"/>
      <c r="X71" s="45"/>
      <c r="Y71" s="45"/>
      <c r="Z71" s="45"/>
      <c r="AA71" s="45"/>
      <c r="AB71" s="45"/>
      <c r="AC71" s="45"/>
      <c r="AD71" s="45"/>
      <c r="AE71" s="45"/>
      <c r="AF71" s="45"/>
      <c r="AG71" s="45"/>
      <c r="AH71" s="45"/>
      <c r="AI71" s="45"/>
      <c r="AJ71" s="45"/>
    </row>
    <row r="72" ht="15.75" customHeight="1">
      <c r="A72" s="322">
        <v>67.0</v>
      </c>
      <c r="B72" s="433" t="s">
        <v>10495</v>
      </c>
      <c r="C72" s="433" t="s">
        <v>14447</v>
      </c>
      <c r="D72" s="434" t="s">
        <v>14448</v>
      </c>
      <c r="E72" s="433" t="s">
        <v>4612</v>
      </c>
      <c r="F72" s="433" t="s">
        <v>29</v>
      </c>
      <c r="G72" s="433" t="s">
        <v>31</v>
      </c>
      <c r="H72" s="433"/>
      <c r="I72" s="433" t="s">
        <v>38</v>
      </c>
      <c r="J72" s="433">
        <v>438.0</v>
      </c>
      <c r="K72" s="433"/>
      <c r="L72" s="433" t="s">
        <v>10499</v>
      </c>
      <c r="M72" s="433" t="s">
        <v>10500</v>
      </c>
      <c r="N72" s="433">
        <v>1986.0</v>
      </c>
      <c r="O72" s="433" t="s">
        <v>388</v>
      </c>
      <c r="P72" s="433">
        <v>1.0</v>
      </c>
      <c r="Q72" s="435"/>
      <c r="R72" s="3"/>
      <c r="S72" s="3"/>
      <c r="T72" s="3"/>
      <c r="U72" s="3"/>
      <c r="V72" s="3"/>
      <c r="W72" s="3"/>
      <c r="X72" s="3"/>
      <c r="Y72" s="3"/>
      <c r="Z72" s="3"/>
      <c r="AA72" s="3"/>
      <c r="AB72" s="3"/>
      <c r="AC72" s="3"/>
      <c r="AD72" s="3"/>
      <c r="AE72" s="3"/>
      <c r="AF72" s="3"/>
      <c r="AG72" s="3"/>
      <c r="AH72" s="3"/>
      <c r="AI72" s="3"/>
      <c r="AJ72" s="3"/>
    </row>
    <row r="73" ht="15.75" customHeight="1">
      <c r="A73" s="186"/>
      <c r="B73" s="191" t="s">
        <v>13759</v>
      </c>
      <c r="C73" s="191" t="s">
        <v>14449</v>
      </c>
      <c r="D73" s="35" t="s">
        <v>14450</v>
      </c>
      <c r="E73" s="186"/>
      <c r="F73" s="191" t="s">
        <v>29</v>
      </c>
      <c r="G73" s="191" t="s">
        <v>37</v>
      </c>
      <c r="H73" s="186"/>
      <c r="I73" s="495" t="s">
        <v>38</v>
      </c>
      <c r="J73" s="191">
        <v>900.0</v>
      </c>
      <c r="K73" s="186"/>
      <c r="L73" s="191" t="s">
        <v>14451</v>
      </c>
      <c r="M73" s="191" t="s">
        <v>14452</v>
      </c>
      <c r="N73" s="191">
        <v>1979.0</v>
      </c>
      <c r="O73" s="191">
        <v>3.0</v>
      </c>
      <c r="P73" s="191">
        <v>2.0</v>
      </c>
      <c r="Q73" s="436">
        <v>2.0</v>
      </c>
      <c r="R73" s="3"/>
      <c r="S73" s="3"/>
      <c r="T73" s="3"/>
      <c r="U73" s="3"/>
      <c r="V73" s="3"/>
      <c r="W73" s="3"/>
      <c r="X73" s="3"/>
      <c r="Y73" s="3"/>
      <c r="Z73" s="3"/>
      <c r="AA73" s="3"/>
      <c r="AB73" s="3"/>
      <c r="AC73" s="3"/>
      <c r="AD73" s="3"/>
      <c r="AE73" s="3"/>
      <c r="AF73" s="3"/>
      <c r="AG73" s="3"/>
      <c r="AH73" s="3"/>
      <c r="AI73" s="3"/>
      <c r="AJ73" s="3"/>
    </row>
    <row r="74" ht="15.75" customHeight="1">
      <c r="A74" s="186"/>
      <c r="B74" s="191" t="s">
        <v>14336</v>
      </c>
      <c r="C74" s="191" t="s">
        <v>14449</v>
      </c>
      <c r="D74" s="35" t="s">
        <v>14453</v>
      </c>
      <c r="E74" s="186"/>
      <c r="F74" s="191" t="s">
        <v>29</v>
      </c>
      <c r="G74" s="191" t="s">
        <v>37</v>
      </c>
      <c r="H74" s="186"/>
      <c r="I74" s="495" t="s">
        <v>38</v>
      </c>
      <c r="J74" s="191">
        <v>1108.0</v>
      </c>
      <c r="K74" s="186"/>
      <c r="L74" s="191" t="s">
        <v>14454</v>
      </c>
      <c r="M74" s="191" t="s">
        <v>14452</v>
      </c>
      <c r="N74" s="191">
        <v>2000.0</v>
      </c>
      <c r="O74" s="191">
        <v>3.0</v>
      </c>
      <c r="P74" s="191">
        <v>1.0</v>
      </c>
      <c r="Q74" s="436">
        <v>1.0</v>
      </c>
      <c r="R74" s="3"/>
      <c r="S74" s="3"/>
      <c r="T74" s="3"/>
      <c r="U74" s="3"/>
      <c r="V74" s="3"/>
      <c r="W74" s="3"/>
      <c r="X74" s="3"/>
      <c r="Y74" s="3"/>
      <c r="Z74" s="3"/>
      <c r="AA74" s="3"/>
      <c r="AB74" s="3"/>
      <c r="AC74" s="3"/>
      <c r="AD74" s="3"/>
      <c r="AE74" s="3"/>
      <c r="AF74" s="3"/>
      <c r="AG74" s="3"/>
      <c r="AH74" s="3"/>
      <c r="AI74" s="3"/>
      <c r="AJ74" s="3"/>
    </row>
    <row r="75" ht="15.75" customHeight="1">
      <c r="A75" s="186">
        <v>68.0</v>
      </c>
      <c r="B75" s="186" t="s">
        <v>14455</v>
      </c>
      <c r="C75" s="191" t="s">
        <v>14456</v>
      </c>
      <c r="D75" s="35" t="s">
        <v>11754</v>
      </c>
      <c r="E75" s="186" t="s">
        <v>4612</v>
      </c>
      <c r="F75" s="186" t="s">
        <v>29</v>
      </c>
      <c r="G75" s="186" t="s">
        <v>37</v>
      </c>
      <c r="H75" s="186"/>
      <c r="I75" s="437" t="s">
        <v>14457</v>
      </c>
      <c r="J75" s="191">
        <v>449.0</v>
      </c>
      <c r="K75" s="186"/>
      <c r="L75" s="191" t="s">
        <v>14458</v>
      </c>
      <c r="M75" s="186" t="s">
        <v>2903</v>
      </c>
      <c r="N75" s="186">
        <v>1990.0</v>
      </c>
      <c r="O75" s="191">
        <v>3.0</v>
      </c>
      <c r="P75" s="186">
        <v>1.0</v>
      </c>
      <c r="Q75" s="436">
        <v>1.0</v>
      </c>
      <c r="R75" s="3"/>
      <c r="S75" s="3"/>
      <c r="T75" s="3"/>
      <c r="U75" s="3"/>
      <c r="V75" s="3"/>
      <c r="W75" s="3"/>
      <c r="X75" s="3"/>
      <c r="Y75" s="3"/>
      <c r="Z75" s="3"/>
      <c r="AA75" s="3"/>
      <c r="AB75" s="3"/>
      <c r="AC75" s="3"/>
      <c r="AD75" s="3"/>
      <c r="AE75" s="3"/>
      <c r="AF75" s="3"/>
      <c r="AG75" s="3"/>
      <c r="AH75" s="3"/>
      <c r="AI75" s="3"/>
      <c r="AJ75" s="3"/>
    </row>
    <row r="76" ht="15.75" customHeight="1">
      <c r="A76" s="322">
        <v>69.0</v>
      </c>
      <c r="B76" s="433" t="s">
        <v>31</v>
      </c>
      <c r="C76" s="433" t="s">
        <v>14459</v>
      </c>
      <c r="D76" s="434" t="s">
        <v>14460</v>
      </c>
      <c r="E76" s="433" t="s">
        <v>4612</v>
      </c>
      <c r="F76" s="433" t="s">
        <v>29</v>
      </c>
      <c r="G76" s="433" t="s">
        <v>37</v>
      </c>
      <c r="H76" s="433"/>
      <c r="I76" s="433" t="s">
        <v>2184</v>
      </c>
      <c r="J76" s="433">
        <v>514.0</v>
      </c>
      <c r="K76" s="433"/>
      <c r="L76" s="433" t="s">
        <v>14461</v>
      </c>
      <c r="M76" s="433" t="s">
        <v>14462</v>
      </c>
      <c r="N76" s="433">
        <v>1956.0</v>
      </c>
      <c r="O76" s="433" t="s">
        <v>388</v>
      </c>
      <c r="P76" s="433">
        <v>1.0</v>
      </c>
      <c r="Q76" s="435"/>
      <c r="R76" s="3"/>
      <c r="S76" s="3"/>
      <c r="T76" s="3"/>
      <c r="U76" s="3"/>
      <c r="V76" s="3"/>
      <c r="W76" s="3"/>
      <c r="X76" s="3"/>
      <c r="Y76" s="3"/>
      <c r="Z76" s="3"/>
      <c r="AA76" s="3"/>
      <c r="AB76" s="3"/>
      <c r="AC76" s="3"/>
      <c r="AD76" s="3"/>
      <c r="AE76" s="3"/>
      <c r="AF76" s="3"/>
      <c r="AG76" s="3"/>
      <c r="AH76" s="3"/>
      <c r="AI76" s="3"/>
      <c r="AJ76" s="3"/>
    </row>
    <row r="77" ht="15.75" customHeight="1">
      <c r="A77" s="322">
        <v>70.0</v>
      </c>
      <c r="B77" s="433" t="s">
        <v>1252</v>
      </c>
      <c r="C77" s="433" t="s">
        <v>14463</v>
      </c>
      <c r="D77" s="434" t="s">
        <v>14464</v>
      </c>
      <c r="E77" s="433" t="s">
        <v>4612</v>
      </c>
      <c r="F77" s="433" t="s">
        <v>29</v>
      </c>
      <c r="G77" s="433" t="s">
        <v>37</v>
      </c>
      <c r="H77" s="433"/>
      <c r="I77" s="433" t="s">
        <v>38</v>
      </c>
      <c r="J77" s="433">
        <v>858.0</v>
      </c>
      <c r="K77" s="433"/>
      <c r="L77" s="433" t="s">
        <v>14465</v>
      </c>
      <c r="M77" s="433" t="s">
        <v>365</v>
      </c>
      <c r="N77" s="433">
        <v>1988.0</v>
      </c>
      <c r="O77" s="433" t="s">
        <v>388</v>
      </c>
      <c r="P77" s="433">
        <v>1.0</v>
      </c>
      <c r="Q77" s="435"/>
      <c r="R77" s="3"/>
      <c r="S77" s="3"/>
      <c r="T77" s="3"/>
      <c r="U77" s="3"/>
      <c r="V77" s="3"/>
      <c r="W77" s="3"/>
      <c r="X77" s="3"/>
      <c r="Y77" s="3"/>
      <c r="Z77" s="3"/>
      <c r="AA77" s="3"/>
      <c r="AB77" s="3"/>
      <c r="AC77" s="3"/>
      <c r="AD77" s="3"/>
      <c r="AE77" s="3"/>
      <c r="AF77" s="3"/>
      <c r="AG77" s="3"/>
      <c r="AH77" s="3"/>
      <c r="AI77" s="3"/>
      <c r="AJ77" s="3"/>
    </row>
    <row r="78" ht="15.75" customHeight="1">
      <c r="A78" s="186">
        <v>71.0</v>
      </c>
      <c r="B78" s="186" t="s">
        <v>14466</v>
      </c>
      <c r="C78" s="191" t="s">
        <v>14467</v>
      </c>
      <c r="D78" s="188" t="s">
        <v>14468</v>
      </c>
      <c r="E78" s="186" t="s">
        <v>4612</v>
      </c>
      <c r="F78" s="186" t="s">
        <v>29</v>
      </c>
      <c r="G78" s="186" t="s">
        <v>37</v>
      </c>
      <c r="H78" s="186"/>
      <c r="I78" s="186" t="s">
        <v>38</v>
      </c>
      <c r="J78" s="186">
        <v>786.0</v>
      </c>
      <c r="K78" s="186"/>
      <c r="L78" s="186" t="s">
        <v>11823</v>
      </c>
      <c r="M78" s="186" t="s">
        <v>245</v>
      </c>
      <c r="N78" s="186">
        <v>1850.0</v>
      </c>
      <c r="O78" s="191">
        <v>3.0</v>
      </c>
      <c r="P78" s="186">
        <v>1.0</v>
      </c>
      <c r="Q78" s="436">
        <v>1.0</v>
      </c>
      <c r="R78" s="3"/>
      <c r="S78" s="3"/>
      <c r="T78" s="3"/>
      <c r="U78" s="3"/>
      <c r="V78" s="3"/>
      <c r="W78" s="3"/>
      <c r="X78" s="3"/>
      <c r="Y78" s="3"/>
      <c r="Z78" s="3"/>
      <c r="AA78" s="3"/>
      <c r="AB78" s="3"/>
      <c r="AC78" s="3"/>
      <c r="AD78" s="3"/>
      <c r="AE78" s="3"/>
      <c r="AF78" s="3"/>
      <c r="AG78" s="3"/>
      <c r="AH78" s="3"/>
      <c r="AI78" s="3"/>
      <c r="AJ78" s="3"/>
    </row>
    <row r="79" ht="15.75" customHeight="1">
      <c r="A79" s="186"/>
      <c r="B79" s="191" t="s">
        <v>11820</v>
      </c>
      <c r="C79" s="191" t="s">
        <v>14467</v>
      </c>
      <c r="D79" s="35" t="s">
        <v>11822</v>
      </c>
      <c r="E79" s="186" t="s">
        <v>4612</v>
      </c>
      <c r="F79" s="186" t="s">
        <v>29</v>
      </c>
      <c r="G79" s="186" t="s">
        <v>37</v>
      </c>
      <c r="H79" s="186"/>
      <c r="I79" s="186" t="s">
        <v>38</v>
      </c>
      <c r="J79" s="191">
        <v>781.0</v>
      </c>
      <c r="K79" s="186"/>
      <c r="L79" s="186" t="s">
        <v>11823</v>
      </c>
      <c r="M79" s="191" t="s">
        <v>2903</v>
      </c>
      <c r="N79" s="191">
        <v>2011.0</v>
      </c>
      <c r="O79" s="191">
        <v>3.0</v>
      </c>
      <c r="P79" s="191">
        <v>1.0</v>
      </c>
      <c r="Q79" s="436">
        <v>1.0</v>
      </c>
      <c r="R79" s="3"/>
      <c r="S79" s="3"/>
      <c r="T79" s="3"/>
      <c r="U79" s="3"/>
      <c r="V79" s="3"/>
      <c r="W79" s="3"/>
      <c r="X79" s="3"/>
      <c r="Y79" s="3"/>
      <c r="Z79" s="3"/>
      <c r="AA79" s="3"/>
      <c r="AB79" s="3"/>
      <c r="AC79" s="3"/>
      <c r="AD79" s="3"/>
      <c r="AE79" s="3"/>
      <c r="AF79" s="3"/>
      <c r="AG79" s="3"/>
      <c r="AH79" s="3"/>
      <c r="AI79" s="3"/>
      <c r="AJ79" s="3"/>
    </row>
    <row r="80" ht="15.75" customHeight="1">
      <c r="A80" s="186">
        <v>72.0</v>
      </c>
      <c r="B80" s="186" t="s">
        <v>31</v>
      </c>
      <c r="C80" s="191" t="s">
        <v>14469</v>
      </c>
      <c r="D80" s="188" t="s">
        <v>14470</v>
      </c>
      <c r="E80" s="186" t="s">
        <v>4612</v>
      </c>
      <c r="F80" s="186" t="s">
        <v>29</v>
      </c>
      <c r="G80" s="186" t="s">
        <v>37</v>
      </c>
      <c r="H80" s="186"/>
      <c r="I80" s="186" t="s">
        <v>38</v>
      </c>
      <c r="J80" s="191">
        <v>909.0</v>
      </c>
      <c r="K80" s="186"/>
      <c r="L80" s="191" t="s">
        <v>14451</v>
      </c>
      <c r="M80" s="186" t="s">
        <v>83</v>
      </c>
      <c r="N80" s="186">
        <v>1957.0</v>
      </c>
      <c r="O80" s="191">
        <v>3.0</v>
      </c>
      <c r="P80" s="186">
        <v>2.0</v>
      </c>
      <c r="Q80" s="37">
        <v>2.0</v>
      </c>
      <c r="R80" s="149"/>
      <c r="S80" s="45"/>
      <c r="T80" s="45"/>
      <c r="U80" s="45"/>
      <c r="V80" s="45"/>
      <c r="W80" s="45"/>
      <c r="X80" s="45"/>
      <c r="Y80" s="45"/>
      <c r="Z80" s="45"/>
      <c r="AA80" s="45"/>
      <c r="AB80" s="45"/>
      <c r="AC80" s="45"/>
      <c r="AD80" s="45"/>
      <c r="AE80" s="45"/>
      <c r="AF80" s="45"/>
      <c r="AG80" s="45"/>
      <c r="AH80" s="45"/>
      <c r="AI80" s="45"/>
      <c r="AJ80" s="45"/>
    </row>
    <row r="81" ht="15.75" customHeight="1">
      <c r="A81" s="186">
        <v>73.0</v>
      </c>
      <c r="B81" s="186">
        <v>1.565639839E9</v>
      </c>
      <c r="C81" s="191" t="s">
        <v>14471</v>
      </c>
      <c r="D81" s="188" t="s">
        <v>14472</v>
      </c>
      <c r="E81" s="186" t="s">
        <v>4612</v>
      </c>
      <c r="F81" s="186" t="s">
        <v>29</v>
      </c>
      <c r="G81" s="186" t="s">
        <v>37</v>
      </c>
      <c r="H81" s="186"/>
      <c r="I81" s="186" t="s">
        <v>38</v>
      </c>
      <c r="J81" s="186">
        <v>721.0</v>
      </c>
      <c r="K81" s="186"/>
      <c r="L81" s="191" t="s">
        <v>14473</v>
      </c>
      <c r="M81" s="186" t="s">
        <v>2903</v>
      </c>
      <c r="N81" s="186">
        <v>2005.0</v>
      </c>
      <c r="O81" s="191">
        <v>4.0</v>
      </c>
      <c r="P81" s="186">
        <v>1.0</v>
      </c>
      <c r="Q81" s="37">
        <v>1.0</v>
      </c>
      <c r="R81" s="149"/>
      <c r="S81" s="45"/>
      <c r="T81" s="45"/>
      <c r="U81" s="45"/>
      <c r="V81" s="45"/>
      <c r="W81" s="45"/>
      <c r="X81" s="45"/>
      <c r="Y81" s="45"/>
      <c r="Z81" s="45"/>
      <c r="AA81" s="45"/>
      <c r="AB81" s="45"/>
      <c r="AC81" s="45"/>
      <c r="AD81" s="45"/>
      <c r="AE81" s="45"/>
      <c r="AF81" s="45"/>
      <c r="AG81" s="45"/>
      <c r="AH81" s="45"/>
      <c r="AI81" s="45"/>
      <c r="AJ81" s="45"/>
    </row>
    <row r="82" ht="15.75" customHeight="1">
      <c r="A82" s="186">
        <v>74.0</v>
      </c>
      <c r="B82" s="186">
        <v>1.565639839E9</v>
      </c>
      <c r="C82" s="191" t="s">
        <v>14471</v>
      </c>
      <c r="D82" s="35" t="s">
        <v>14474</v>
      </c>
      <c r="E82" s="186" t="s">
        <v>4612</v>
      </c>
      <c r="F82" s="186" t="s">
        <v>29</v>
      </c>
      <c r="G82" s="186" t="s">
        <v>37</v>
      </c>
      <c r="H82" s="186"/>
      <c r="I82" s="186" t="s">
        <v>38</v>
      </c>
      <c r="J82" s="186">
        <v>727.0</v>
      </c>
      <c r="K82" s="186"/>
      <c r="L82" s="191" t="s">
        <v>14473</v>
      </c>
      <c r="M82" s="186" t="s">
        <v>2903</v>
      </c>
      <c r="N82" s="186">
        <v>2005.0</v>
      </c>
      <c r="O82" s="191">
        <v>4.0</v>
      </c>
      <c r="P82" s="186">
        <v>1.0</v>
      </c>
      <c r="Q82" s="37">
        <v>1.0</v>
      </c>
      <c r="R82" s="149"/>
      <c r="S82" s="45"/>
      <c r="T82" s="45"/>
      <c r="U82" s="45"/>
      <c r="V82" s="45"/>
      <c r="W82" s="45"/>
      <c r="X82" s="45"/>
      <c r="Y82" s="45"/>
      <c r="Z82" s="45"/>
      <c r="AA82" s="45"/>
      <c r="AB82" s="45"/>
      <c r="AC82" s="45"/>
      <c r="AD82" s="45"/>
      <c r="AE82" s="45"/>
      <c r="AF82" s="45"/>
      <c r="AG82" s="45"/>
      <c r="AH82" s="45"/>
      <c r="AI82" s="45"/>
      <c r="AJ82" s="45"/>
    </row>
    <row r="83" ht="15.75" customHeight="1">
      <c r="A83" s="186">
        <v>75.0</v>
      </c>
      <c r="B83" s="186">
        <v>1.565639839E9</v>
      </c>
      <c r="C83" s="191" t="s">
        <v>14471</v>
      </c>
      <c r="D83" s="35" t="s">
        <v>14475</v>
      </c>
      <c r="E83" s="186" t="s">
        <v>4612</v>
      </c>
      <c r="F83" s="186" t="s">
        <v>29</v>
      </c>
      <c r="G83" s="186" t="s">
        <v>37</v>
      </c>
      <c r="H83" s="186"/>
      <c r="I83" s="186" t="s">
        <v>38</v>
      </c>
      <c r="J83" s="186">
        <v>749.0</v>
      </c>
      <c r="K83" s="186"/>
      <c r="L83" s="191" t="s">
        <v>14473</v>
      </c>
      <c r="M83" s="186" t="s">
        <v>2903</v>
      </c>
      <c r="N83" s="186">
        <v>2005.0</v>
      </c>
      <c r="O83" s="191">
        <v>4.0</v>
      </c>
      <c r="P83" s="186">
        <v>1.0</v>
      </c>
      <c r="Q83" s="37">
        <v>1.0</v>
      </c>
      <c r="R83" s="149"/>
      <c r="S83" s="45"/>
      <c r="T83" s="45"/>
      <c r="U83" s="45"/>
      <c r="V83" s="45"/>
      <c r="W83" s="45"/>
      <c r="X83" s="45"/>
      <c r="Y83" s="45"/>
      <c r="Z83" s="45"/>
      <c r="AA83" s="45"/>
      <c r="AB83" s="45"/>
      <c r="AC83" s="45"/>
      <c r="AD83" s="45"/>
      <c r="AE83" s="45"/>
      <c r="AF83" s="45"/>
      <c r="AG83" s="45"/>
      <c r="AH83" s="45"/>
      <c r="AI83" s="45"/>
      <c r="AJ83" s="45"/>
    </row>
    <row r="84" ht="15.75" customHeight="1">
      <c r="A84" s="186">
        <v>76.0</v>
      </c>
      <c r="B84" s="186">
        <v>1.56563979E9</v>
      </c>
      <c r="C84" s="191" t="s">
        <v>14471</v>
      </c>
      <c r="D84" s="35" t="s">
        <v>14476</v>
      </c>
      <c r="E84" s="186" t="s">
        <v>4612</v>
      </c>
      <c r="F84" s="186" t="s">
        <v>29</v>
      </c>
      <c r="G84" s="186" t="s">
        <v>37</v>
      </c>
      <c r="H84" s="186"/>
      <c r="I84" s="186" t="s">
        <v>38</v>
      </c>
      <c r="J84" s="186">
        <v>702.0</v>
      </c>
      <c r="K84" s="186"/>
      <c r="L84" s="191" t="s">
        <v>14473</v>
      </c>
      <c r="M84" s="186" t="s">
        <v>2903</v>
      </c>
      <c r="N84" s="186">
        <v>2005.0</v>
      </c>
      <c r="O84" s="191">
        <v>9.0</v>
      </c>
      <c r="P84" s="186">
        <v>1.0</v>
      </c>
      <c r="Q84" s="37">
        <v>1.0</v>
      </c>
      <c r="R84" s="149"/>
      <c r="S84" s="45"/>
      <c r="T84" s="45"/>
      <c r="U84" s="45"/>
      <c r="V84" s="45"/>
      <c r="W84" s="45"/>
      <c r="X84" s="45"/>
      <c r="Y84" s="45"/>
      <c r="Z84" s="45"/>
      <c r="AA84" s="45"/>
      <c r="AB84" s="45"/>
      <c r="AC84" s="45"/>
      <c r="AD84" s="45"/>
      <c r="AE84" s="45"/>
      <c r="AF84" s="45"/>
      <c r="AG84" s="45"/>
      <c r="AH84" s="45"/>
      <c r="AI84" s="45"/>
      <c r="AJ84" s="45"/>
    </row>
    <row r="85" ht="15.75" customHeight="1">
      <c r="A85" s="186">
        <v>77.0</v>
      </c>
      <c r="B85" s="186" t="s">
        <v>14477</v>
      </c>
      <c r="C85" s="191" t="s">
        <v>14471</v>
      </c>
      <c r="D85" s="35" t="s">
        <v>14478</v>
      </c>
      <c r="E85" s="186" t="s">
        <v>4612</v>
      </c>
      <c r="F85" s="186" t="s">
        <v>29</v>
      </c>
      <c r="G85" s="186" t="s">
        <v>37</v>
      </c>
      <c r="H85" s="186"/>
      <c r="I85" s="186" t="s">
        <v>38</v>
      </c>
      <c r="J85" s="186">
        <v>976.0</v>
      </c>
      <c r="K85" s="186"/>
      <c r="L85" s="191" t="s">
        <v>14473</v>
      </c>
      <c r="M85" s="186" t="s">
        <v>2903</v>
      </c>
      <c r="N85" s="186">
        <v>2011.0</v>
      </c>
      <c r="O85" s="191">
        <v>3.0</v>
      </c>
      <c r="P85" s="186">
        <v>3.0</v>
      </c>
      <c r="Q85" s="37">
        <v>3.0</v>
      </c>
      <c r="R85" s="149"/>
      <c r="S85" s="45"/>
      <c r="T85" s="45"/>
      <c r="U85" s="45"/>
      <c r="V85" s="45"/>
      <c r="W85" s="45"/>
      <c r="X85" s="45"/>
      <c r="Y85" s="45"/>
      <c r="Z85" s="45"/>
      <c r="AA85" s="45"/>
      <c r="AB85" s="45"/>
      <c r="AC85" s="45"/>
      <c r="AD85" s="45"/>
      <c r="AE85" s="45"/>
      <c r="AF85" s="45"/>
      <c r="AG85" s="45"/>
      <c r="AH85" s="45"/>
      <c r="AI85" s="45"/>
      <c r="AJ85" s="45"/>
    </row>
    <row r="86" ht="15.75" customHeight="1">
      <c r="A86" s="186">
        <v>78.0</v>
      </c>
      <c r="B86" s="186" t="s">
        <v>31</v>
      </c>
      <c r="C86" s="191" t="s">
        <v>14479</v>
      </c>
      <c r="D86" s="35" t="s">
        <v>14480</v>
      </c>
      <c r="E86" s="186" t="s">
        <v>4612</v>
      </c>
      <c r="F86" s="186" t="s">
        <v>29</v>
      </c>
      <c r="G86" s="186" t="s">
        <v>37</v>
      </c>
      <c r="H86" s="186"/>
      <c r="I86" s="186" t="s">
        <v>38</v>
      </c>
      <c r="J86" s="186">
        <v>241.0</v>
      </c>
      <c r="K86" s="186"/>
      <c r="L86" s="186" t="s">
        <v>14481</v>
      </c>
      <c r="M86" s="186" t="s">
        <v>2693</v>
      </c>
      <c r="N86" s="186">
        <v>1965.0</v>
      </c>
      <c r="O86" s="191">
        <v>10.0</v>
      </c>
      <c r="P86" s="186">
        <v>1.0</v>
      </c>
      <c r="Q86" s="436">
        <v>1.0</v>
      </c>
      <c r="R86" s="3"/>
      <c r="S86" s="3"/>
      <c r="T86" s="3"/>
      <c r="U86" s="3"/>
      <c r="V86" s="3"/>
      <c r="W86" s="3"/>
      <c r="X86" s="3"/>
      <c r="Y86" s="3"/>
      <c r="Z86" s="3"/>
      <c r="AA86" s="3"/>
      <c r="AB86" s="3"/>
      <c r="AC86" s="3"/>
      <c r="AD86" s="3"/>
      <c r="AE86" s="3"/>
      <c r="AF86" s="3"/>
      <c r="AG86" s="3"/>
      <c r="AH86" s="3"/>
      <c r="AI86" s="3"/>
      <c r="AJ86" s="3"/>
    </row>
    <row r="87" ht="15.75" customHeight="1">
      <c r="A87" s="476">
        <v>79.0</v>
      </c>
      <c r="B87" s="476" t="s">
        <v>14482</v>
      </c>
      <c r="C87" s="478" t="s">
        <v>14483</v>
      </c>
      <c r="D87" s="482" t="s">
        <v>14484</v>
      </c>
      <c r="E87" s="476" t="s">
        <v>4612</v>
      </c>
      <c r="F87" s="476" t="s">
        <v>29</v>
      </c>
      <c r="G87" s="476" t="s">
        <v>37</v>
      </c>
      <c r="H87" s="476"/>
      <c r="I87" s="476" t="s">
        <v>38</v>
      </c>
      <c r="J87" s="476">
        <v>479.0</v>
      </c>
      <c r="K87" s="476"/>
      <c r="L87" s="476" t="s">
        <v>14485</v>
      </c>
      <c r="M87" s="476" t="s">
        <v>3485</v>
      </c>
      <c r="N87" s="476">
        <v>1974.0</v>
      </c>
      <c r="O87" s="478">
        <v>1.0</v>
      </c>
      <c r="P87" s="476">
        <v>2.0</v>
      </c>
      <c r="Q87" s="481">
        <v>2.0</v>
      </c>
      <c r="R87" s="149"/>
      <c r="S87" s="45"/>
      <c r="T87" s="45"/>
      <c r="U87" s="45"/>
      <c r="V87" s="45"/>
      <c r="W87" s="45"/>
      <c r="X87" s="45"/>
      <c r="Y87" s="45"/>
      <c r="Z87" s="45"/>
      <c r="AA87" s="45"/>
      <c r="AB87" s="45"/>
      <c r="AC87" s="45"/>
      <c r="AD87" s="45"/>
      <c r="AE87" s="45"/>
      <c r="AF87" s="45"/>
      <c r="AG87" s="45"/>
      <c r="AH87" s="45"/>
      <c r="AI87" s="45"/>
      <c r="AJ87" s="45"/>
    </row>
    <row r="88" ht="15.75" customHeight="1">
      <c r="A88" s="476">
        <v>80.0</v>
      </c>
      <c r="B88" s="476" t="s">
        <v>14339</v>
      </c>
      <c r="C88" s="478" t="s">
        <v>14483</v>
      </c>
      <c r="D88" s="482" t="s">
        <v>14486</v>
      </c>
      <c r="E88" s="476" t="s">
        <v>4612</v>
      </c>
      <c r="F88" s="476" t="s">
        <v>29</v>
      </c>
      <c r="G88" s="476" t="s">
        <v>37</v>
      </c>
      <c r="H88" s="476"/>
      <c r="I88" s="476" t="s">
        <v>38</v>
      </c>
      <c r="J88" s="476">
        <v>488.0</v>
      </c>
      <c r="K88" s="476"/>
      <c r="L88" s="476" t="s">
        <v>14485</v>
      </c>
      <c r="M88" s="476" t="s">
        <v>3485</v>
      </c>
      <c r="N88" s="476">
        <v>1975.0</v>
      </c>
      <c r="O88" s="478">
        <v>1.0</v>
      </c>
      <c r="P88" s="476">
        <v>2.0</v>
      </c>
      <c r="Q88" s="481">
        <v>2.0</v>
      </c>
      <c r="R88" s="149"/>
      <c r="S88" s="45"/>
      <c r="T88" s="45"/>
      <c r="U88" s="45"/>
      <c r="V88" s="45"/>
      <c r="W88" s="45"/>
      <c r="X88" s="45"/>
      <c r="Y88" s="45"/>
      <c r="Z88" s="45"/>
      <c r="AA88" s="45"/>
      <c r="AB88" s="45"/>
      <c r="AC88" s="45"/>
      <c r="AD88" s="45"/>
      <c r="AE88" s="45"/>
      <c r="AF88" s="45"/>
      <c r="AG88" s="45"/>
      <c r="AH88" s="45"/>
      <c r="AI88" s="45"/>
      <c r="AJ88" s="45"/>
    </row>
    <row r="89" ht="15.75" customHeight="1">
      <c r="A89" s="476">
        <v>81.0</v>
      </c>
      <c r="B89" s="476" t="s">
        <v>14339</v>
      </c>
      <c r="C89" s="478" t="s">
        <v>14483</v>
      </c>
      <c r="D89" s="482" t="s">
        <v>14487</v>
      </c>
      <c r="E89" s="476" t="s">
        <v>4612</v>
      </c>
      <c r="F89" s="476" t="s">
        <v>29</v>
      </c>
      <c r="G89" s="476" t="s">
        <v>37</v>
      </c>
      <c r="H89" s="476"/>
      <c r="I89" s="476" t="s">
        <v>38</v>
      </c>
      <c r="J89" s="476">
        <v>463.0</v>
      </c>
      <c r="K89" s="476"/>
      <c r="L89" s="476" t="s">
        <v>14485</v>
      </c>
      <c r="M89" s="476" t="s">
        <v>3485</v>
      </c>
      <c r="N89" s="476">
        <v>1978.0</v>
      </c>
      <c r="O89" s="478">
        <v>1.0</v>
      </c>
      <c r="P89" s="476">
        <v>2.0</v>
      </c>
      <c r="Q89" s="481">
        <v>2.0</v>
      </c>
      <c r="R89" s="149"/>
      <c r="S89" s="45"/>
      <c r="T89" s="45"/>
      <c r="U89" s="45"/>
      <c r="V89" s="45"/>
      <c r="W89" s="45"/>
      <c r="X89" s="45"/>
      <c r="Y89" s="45"/>
      <c r="Z89" s="45"/>
      <c r="AA89" s="45"/>
      <c r="AB89" s="45"/>
      <c r="AC89" s="45"/>
      <c r="AD89" s="45"/>
      <c r="AE89" s="45"/>
      <c r="AF89" s="45"/>
      <c r="AG89" s="45"/>
      <c r="AH89" s="45"/>
      <c r="AI89" s="45"/>
      <c r="AJ89" s="45"/>
    </row>
    <row r="90" ht="15.75" customHeight="1">
      <c r="A90" s="476">
        <v>82.0</v>
      </c>
      <c r="B90" s="476" t="s">
        <v>14339</v>
      </c>
      <c r="C90" s="478" t="s">
        <v>14483</v>
      </c>
      <c r="D90" s="482" t="s">
        <v>14488</v>
      </c>
      <c r="E90" s="476" t="s">
        <v>4612</v>
      </c>
      <c r="F90" s="476" t="s">
        <v>29</v>
      </c>
      <c r="G90" s="476" t="s">
        <v>37</v>
      </c>
      <c r="H90" s="476"/>
      <c r="I90" s="476" t="s">
        <v>38</v>
      </c>
      <c r="J90" s="476">
        <v>493.0</v>
      </c>
      <c r="K90" s="476"/>
      <c r="L90" s="476" t="s">
        <v>14485</v>
      </c>
      <c r="M90" s="476" t="s">
        <v>3485</v>
      </c>
      <c r="N90" s="476">
        <v>1980.0</v>
      </c>
      <c r="O90" s="478">
        <v>1.0</v>
      </c>
      <c r="P90" s="476">
        <v>2.0</v>
      </c>
      <c r="Q90" s="481">
        <v>2.0</v>
      </c>
      <c r="R90" s="149"/>
      <c r="S90" s="45"/>
      <c r="T90" s="45"/>
      <c r="U90" s="45"/>
      <c r="V90" s="45"/>
      <c r="W90" s="45"/>
      <c r="X90" s="45"/>
      <c r="Y90" s="45"/>
      <c r="Z90" s="45"/>
      <c r="AA90" s="45"/>
      <c r="AB90" s="45"/>
      <c r="AC90" s="45"/>
      <c r="AD90" s="45"/>
      <c r="AE90" s="45"/>
      <c r="AF90" s="45"/>
      <c r="AG90" s="45"/>
      <c r="AH90" s="45"/>
      <c r="AI90" s="45"/>
      <c r="AJ90" s="45"/>
    </row>
    <row r="91" ht="15.75" customHeight="1">
      <c r="A91" s="476">
        <v>83.0</v>
      </c>
      <c r="B91" s="476" t="s">
        <v>14339</v>
      </c>
      <c r="C91" s="478" t="s">
        <v>14483</v>
      </c>
      <c r="D91" s="482" t="s">
        <v>14489</v>
      </c>
      <c r="E91" s="476" t="s">
        <v>4612</v>
      </c>
      <c r="F91" s="476" t="s">
        <v>29</v>
      </c>
      <c r="G91" s="476" t="s">
        <v>37</v>
      </c>
      <c r="H91" s="476"/>
      <c r="I91" s="476" t="s">
        <v>38</v>
      </c>
      <c r="J91" s="476">
        <v>521.0</v>
      </c>
      <c r="K91" s="476"/>
      <c r="L91" s="476" t="s">
        <v>14485</v>
      </c>
      <c r="M91" s="476" t="s">
        <v>3485</v>
      </c>
      <c r="N91" s="476">
        <v>1986.0</v>
      </c>
      <c r="O91" s="478">
        <v>1.0</v>
      </c>
      <c r="P91" s="476">
        <v>2.0</v>
      </c>
      <c r="Q91" s="481">
        <v>2.0</v>
      </c>
      <c r="R91" s="149"/>
      <c r="S91" s="45"/>
      <c r="T91" s="45"/>
      <c r="U91" s="45"/>
      <c r="V91" s="45"/>
      <c r="W91" s="45"/>
      <c r="X91" s="45"/>
      <c r="Y91" s="45"/>
      <c r="Z91" s="45"/>
      <c r="AA91" s="45"/>
      <c r="AB91" s="45"/>
      <c r="AC91" s="45"/>
      <c r="AD91" s="45"/>
      <c r="AE91" s="45"/>
      <c r="AF91" s="45"/>
      <c r="AG91" s="45"/>
      <c r="AH91" s="45"/>
      <c r="AI91" s="45"/>
      <c r="AJ91" s="45"/>
    </row>
    <row r="92" ht="15.75" customHeight="1">
      <c r="A92" s="476">
        <v>84.0</v>
      </c>
      <c r="B92" s="476" t="s">
        <v>14490</v>
      </c>
      <c r="C92" s="478" t="s">
        <v>14491</v>
      </c>
      <c r="D92" s="482" t="s">
        <v>14492</v>
      </c>
      <c r="E92" s="476" t="s">
        <v>4612</v>
      </c>
      <c r="F92" s="476" t="s">
        <v>29</v>
      </c>
      <c r="G92" s="476" t="s">
        <v>37</v>
      </c>
      <c r="H92" s="476"/>
      <c r="I92" s="476" t="s">
        <v>38</v>
      </c>
      <c r="J92" s="476">
        <v>793.0</v>
      </c>
      <c r="K92" s="476"/>
      <c r="L92" s="476" t="s">
        <v>14493</v>
      </c>
      <c r="M92" s="476" t="s">
        <v>3485</v>
      </c>
      <c r="N92" s="476">
        <v>1966.0</v>
      </c>
      <c r="O92" s="478">
        <v>1.0</v>
      </c>
      <c r="P92" s="476">
        <v>1.0</v>
      </c>
      <c r="Q92" s="481">
        <v>1.0</v>
      </c>
      <c r="R92" s="149"/>
      <c r="S92" s="45"/>
      <c r="T92" s="45"/>
      <c r="U92" s="45"/>
      <c r="V92" s="45"/>
      <c r="W92" s="45"/>
      <c r="X92" s="45"/>
      <c r="Y92" s="45"/>
      <c r="Z92" s="45"/>
      <c r="AA92" s="45"/>
      <c r="AB92" s="45"/>
      <c r="AC92" s="45"/>
      <c r="AD92" s="45"/>
      <c r="AE92" s="45"/>
      <c r="AF92" s="45"/>
      <c r="AG92" s="45"/>
      <c r="AH92" s="45"/>
      <c r="AI92" s="45"/>
      <c r="AJ92" s="45"/>
    </row>
    <row r="93" ht="15.75" customHeight="1">
      <c r="A93" s="476">
        <v>85.0</v>
      </c>
      <c r="B93" s="476" t="s">
        <v>14494</v>
      </c>
      <c r="C93" s="478" t="s">
        <v>14491</v>
      </c>
      <c r="D93" s="482" t="s">
        <v>14495</v>
      </c>
      <c r="E93" s="476" t="s">
        <v>4612</v>
      </c>
      <c r="F93" s="476" t="s">
        <v>29</v>
      </c>
      <c r="G93" s="476" t="s">
        <v>37</v>
      </c>
      <c r="H93" s="476"/>
      <c r="I93" s="476" t="s">
        <v>38</v>
      </c>
      <c r="J93" s="476">
        <v>955.0</v>
      </c>
      <c r="K93" s="476"/>
      <c r="L93" s="476" t="s">
        <v>14493</v>
      </c>
      <c r="M93" s="476" t="s">
        <v>3485</v>
      </c>
      <c r="N93" s="476">
        <v>1967.0</v>
      </c>
      <c r="O93" s="478">
        <v>1.0</v>
      </c>
      <c r="P93" s="476">
        <v>1.0</v>
      </c>
      <c r="Q93" s="481">
        <v>1.0</v>
      </c>
      <c r="R93" s="149"/>
      <c r="S93" s="45"/>
      <c r="T93" s="45"/>
      <c r="U93" s="45"/>
      <c r="V93" s="45"/>
      <c r="W93" s="45"/>
      <c r="X93" s="45"/>
      <c r="Y93" s="45"/>
      <c r="Z93" s="45"/>
      <c r="AA93" s="45"/>
      <c r="AB93" s="45"/>
      <c r="AC93" s="45"/>
      <c r="AD93" s="45"/>
      <c r="AE93" s="45"/>
      <c r="AF93" s="45"/>
      <c r="AG93" s="45"/>
      <c r="AH93" s="45"/>
      <c r="AI93" s="45"/>
      <c r="AJ93" s="45"/>
    </row>
    <row r="94" ht="15.75" customHeight="1">
      <c r="A94" s="476">
        <v>86.0</v>
      </c>
      <c r="B94" s="476" t="s">
        <v>14496</v>
      </c>
      <c r="C94" s="478" t="s">
        <v>14491</v>
      </c>
      <c r="D94" s="482" t="s">
        <v>14497</v>
      </c>
      <c r="E94" s="476" t="s">
        <v>4612</v>
      </c>
      <c r="F94" s="476" t="s">
        <v>29</v>
      </c>
      <c r="G94" s="476" t="s">
        <v>37</v>
      </c>
      <c r="H94" s="476"/>
      <c r="I94" s="476" t="s">
        <v>38</v>
      </c>
      <c r="J94" s="476">
        <v>1104.0</v>
      </c>
      <c r="K94" s="476"/>
      <c r="L94" s="476" t="s">
        <v>14493</v>
      </c>
      <c r="M94" s="476" t="s">
        <v>3485</v>
      </c>
      <c r="N94" s="476">
        <v>1968.0</v>
      </c>
      <c r="O94" s="478">
        <v>1.0</v>
      </c>
      <c r="P94" s="476">
        <v>1.0</v>
      </c>
      <c r="Q94" s="481">
        <v>1.0</v>
      </c>
      <c r="R94" s="149"/>
      <c r="S94" s="45"/>
      <c r="T94" s="45"/>
      <c r="U94" s="45"/>
      <c r="V94" s="45"/>
      <c r="W94" s="45"/>
      <c r="X94" s="45"/>
      <c r="Y94" s="45"/>
      <c r="Z94" s="45"/>
      <c r="AA94" s="45"/>
      <c r="AB94" s="45"/>
      <c r="AC94" s="45"/>
      <c r="AD94" s="45"/>
      <c r="AE94" s="45"/>
      <c r="AF94" s="45"/>
      <c r="AG94" s="45"/>
      <c r="AH94" s="45"/>
      <c r="AI94" s="45"/>
      <c r="AJ94" s="45"/>
    </row>
    <row r="95" ht="15.75" customHeight="1">
      <c r="A95" s="476">
        <v>87.0</v>
      </c>
      <c r="B95" s="476" t="s">
        <v>14498</v>
      </c>
      <c r="C95" s="478" t="s">
        <v>14491</v>
      </c>
      <c r="D95" s="482" t="s">
        <v>14499</v>
      </c>
      <c r="E95" s="476" t="s">
        <v>4612</v>
      </c>
      <c r="F95" s="476" t="s">
        <v>29</v>
      </c>
      <c r="G95" s="476" t="s">
        <v>37</v>
      </c>
      <c r="H95" s="476"/>
      <c r="I95" s="476" t="s">
        <v>38</v>
      </c>
      <c r="J95" s="476">
        <v>1126.0</v>
      </c>
      <c r="K95" s="476"/>
      <c r="L95" s="476" t="s">
        <v>14493</v>
      </c>
      <c r="M95" s="476" t="s">
        <v>3485</v>
      </c>
      <c r="N95" s="476">
        <v>1981.0</v>
      </c>
      <c r="O95" s="478">
        <v>1.0</v>
      </c>
      <c r="P95" s="476">
        <v>1.0</v>
      </c>
      <c r="Q95" s="481">
        <v>1.0</v>
      </c>
      <c r="R95" s="149"/>
      <c r="S95" s="45"/>
      <c r="T95" s="45"/>
      <c r="U95" s="45"/>
      <c r="V95" s="45"/>
      <c r="W95" s="45"/>
      <c r="X95" s="45"/>
      <c r="Y95" s="45"/>
      <c r="Z95" s="45"/>
      <c r="AA95" s="45"/>
      <c r="AB95" s="45"/>
      <c r="AC95" s="45"/>
      <c r="AD95" s="45"/>
      <c r="AE95" s="45"/>
      <c r="AF95" s="45"/>
      <c r="AG95" s="45"/>
      <c r="AH95" s="45"/>
      <c r="AI95" s="45"/>
      <c r="AJ95" s="45"/>
    </row>
    <row r="96" ht="15.75" customHeight="1">
      <c r="A96" s="476">
        <v>88.0</v>
      </c>
      <c r="B96" s="476" t="s">
        <v>14500</v>
      </c>
      <c r="C96" s="478" t="s">
        <v>14491</v>
      </c>
      <c r="D96" s="482" t="s">
        <v>14501</v>
      </c>
      <c r="E96" s="476" t="s">
        <v>4612</v>
      </c>
      <c r="F96" s="476" t="s">
        <v>29</v>
      </c>
      <c r="G96" s="476" t="s">
        <v>37</v>
      </c>
      <c r="H96" s="476"/>
      <c r="I96" s="476" t="s">
        <v>38</v>
      </c>
      <c r="J96" s="476">
        <v>1031.0</v>
      </c>
      <c r="K96" s="476"/>
      <c r="L96" s="476" t="s">
        <v>14493</v>
      </c>
      <c r="M96" s="476" t="s">
        <v>3485</v>
      </c>
      <c r="N96" s="476">
        <v>1981.0</v>
      </c>
      <c r="O96" s="478">
        <v>1.0</v>
      </c>
      <c r="P96" s="476">
        <v>1.0</v>
      </c>
      <c r="Q96" s="481">
        <v>1.0</v>
      </c>
      <c r="R96" s="149"/>
      <c r="S96" s="45"/>
      <c r="T96" s="45"/>
      <c r="U96" s="45"/>
      <c r="V96" s="45"/>
      <c r="W96" s="45"/>
      <c r="X96" s="45"/>
      <c r="Y96" s="45"/>
      <c r="Z96" s="45"/>
      <c r="AA96" s="45"/>
      <c r="AB96" s="45"/>
      <c r="AC96" s="45"/>
      <c r="AD96" s="45"/>
      <c r="AE96" s="45"/>
      <c r="AF96" s="45"/>
      <c r="AG96" s="45"/>
      <c r="AH96" s="45"/>
      <c r="AI96" s="45"/>
      <c r="AJ96" s="45"/>
    </row>
    <row r="97" ht="15.75" customHeight="1">
      <c r="A97" s="476">
        <v>89.0</v>
      </c>
      <c r="B97" s="476" t="s">
        <v>14502</v>
      </c>
      <c r="C97" s="478" t="s">
        <v>14491</v>
      </c>
      <c r="D97" s="482" t="s">
        <v>14503</v>
      </c>
      <c r="E97" s="476" t="s">
        <v>4612</v>
      </c>
      <c r="F97" s="476" t="s">
        <v>29</v>
      </c>
      <c r="G97" s="476" t="s">
        <v>37</v>
      </c>
      <c r="H97" s="476"/>
      <c r="I97" s="476" t="s">
        <v>38</v>
      </c>
      <c r="J97" s="476">
        <v>1003.0</v>
      </c>
      <c r="K97" s="476"/>
      <c r="L97" s="476" t="s">
        <v>14493</v>
      </c>
      <c r="M97" s="476" t="s">
        <v>3485</v>
      </c>
      <c r="N97" s="476">
        <v>1982.0</v>
      </c>
      <c r="O97" s="478">
        <v>1.0</v>
      </c>
      <c r="P97" s="476">
        <v>1.0</v>
      </c>
      <c r="Q97" s="481">
        <v>1.0</v>
      </c>
      <c r="R97" s="149"/>
      <c r="S97" s="45"/>
      <c r="T97" s="45"/>
      <c r="U97" s="45"/>
      <c r="V97" s="45"/>
      <c r="W97" s="45"/>
      <c r="X97" s="45"/>
      <c r="Y97" s="45"/>
      <c r="Z97" s="45"/>
      <c r="AA97" s="45"/>
      <c r="AB97" s="45"/>
      <c r="AC97" s="45"/>
      <c r="AD97" s="45"/>
      <c r="AE97" s="45"/>
      <c r="AF97" s="45"/>
      <c r="AG97" s="45"/>
      <c r="AH97" s="45"/>
      <c r="AI97" s="45"/>
      <c r="AJ97" s="45"/>
    </row>
    <row r="98" ht="15.75" customHeight="1">
      <c r="A98" s="476">
        <v>90.0</v>
      </c>
      <c r="B98" s="476" t="s">
        <v>14504</v>
      </c>
      <c r="C98" s="478" t="s">
        <v>14491</v>
      </c>
      <c r="D98" s="482" t="s">
        <v>14505</v>
      </c>
      <c r="E98" s="476" t="s">
        <v>4612</v>
      </c>
      <c r="F98" s="476" t="s">
        <v>29</v>
      </c>
      <c r="G98" s="476" t="s">
        <v>37</v>
      </c>
      <c r="H98" s="476"/>
      <c r="I98" s="476" t="s">
        <v>38</v>
      </c>
      <c r="J98" s="476">
        <v>1104.0</v>
      </c>
      <c r="K98" s="476"/>
      <c r="L98" s="476" t="s">
        <v>14493</v>
      </c>
      <c r="M98" s="476" t="s">
        <v>3485</v>
      </c>
      <c r="N98" s="476">
        <v>1982.0</v>
      </c>
      <c r="O98" s="478">
        <v>1.0</v>
      </c>
      <c r="P98" s="476">
        <v>1.0</v>
      </c>
      <c r="Q98" s="481">
        <v>1.0</v>
      </c>
      <c r="R98" s="149"/>
      <c r="S98" s="45"/>
      <c r="T98" s="45"/>
      <c r="U98" s="45"/>
      <c r="V98" s="45"/>
      <c r="W98" s="45"/>
      <c r="X98" s="45"/>
      <c r="Y98" s="45"/>
      <c r="Z98" s="45"/>
      <c r="AA98" s="45"/>
      <c r="AB98" s="45"/>
      <c r="AC98" s="45"/>
      <c r="AD98" s="45"/>
      <c r="AE98" s="45"/>
      <c r="AF98" s="45"/>
      <c r="AG98" s="45"/>
      <c r="AH98" s="45"/>
      <c r="AI98" s="45"/>
      <c r="AJ98" s="45"/>
    </row>
    <row r="99" ht="15.75" customHeight="1">
      <c r="A99" s="476">
        <v>91.0</v>
      </c>
      <c r="B99" s="476" t="s">
        <v>14506</v>
      </c>
      <c r="C99" s="478" t="s">
        <v>14491</v>
      </c>
      <c r="D99" s="482" t="s">
        <v>14507</v>
      </c>
      <c r="E99" s="476" t="s">
        <v>4612</v>
      </c>
      <c r="F99" s="476" t="s">
        <v>29</v>
      </c>
      <c r="G99" s="476" t="s">
        <v>37</v>
      </c>
      <c r="H99" s="476"/>
      <c r="I99" s="476" t="s">
        <v>38</v>
      </c>
      <c r="J99" s="476">
        <v>620.0</v>
      </c>
      <c r="K99" s="476"/>
      <c r="L99" s="476" t="s">
        <v>14493</v>
      </c>
      <c r="M99" s="476" t="s">
        <v>3485</v>
      </c>
      <c r="N99" s="476">
        <v>1982.0</v>
      </c>
      <c r="O99" s="478">
        <v>1.0</v>
      </c>
      <c r="P99" s="476">
        <v>1.0</v>
      </c>
      <c r="Q99" s="481">
        <v>1.0</v>
      </c>
      <c r="R99" s="149"/>
      <c r="S99" s="45"/>
      <c r="T99" s="45"/>
      <c r="U99" s="45"/>
      <c r="V99" s="45"/>
      <c r="W99" s="45"/>
      <c r="X99" s="45"/>
      <c r="Y99" s="45"/>
      <c r="Z99" s="45"/>
      <c r="AA99" s="45"/>
      <c r="AB99" s="45"/>
      <c r="AC99" s="45"/>
      <c r="AD99" s="45"/>
      <c r="AE99" s="45"/>
      <c r="AF99" s="45"/>
      <c r="AG99" s="45"/>
      <c r="AH99" s="45"/>
      <c r="AI99" s="45"/>
      <c r="AJ99" s="45"/>
    </row>
    <row r="100" ht="15.75" customHeight="1">
      <c r="A100" s="476">
        <v>92.0</v>
      </c>
      <c r="B100" s="476" t="s">
        <v>14508</v>
      </c>
      <c r="C100" s="478" t="s">
        <v>14491</v>
      </c>
      <c r="D100" s="489" t="s">
        <v>14509</v>
      </c>
      <c r="E100" s="476" t="s">
        <v>4612</v>
      </c>
      <c r="F100" s="476" t="s">
        <v>29</v>
      </c>
      <c r="G100" s="476" t="s">
        <v>37</v>
      </c>
      <c r="H100" s="476"/>
      <c r="I100" s="476" t="s">
        <v>38</v>
      </c>
      <c r="J100" s="476">
        <v>684.0</v>
      </c>
      <c r="K100" s="476"/>
      <c r="L100" s="476" t="s">
        <v>14493</v>
      </c>
      <c r="M100" s="476" t="s">
        <v>3485</v>
      </c>
      <c r="N100" s="476">
        <v>1982.0</v>
      </c>
      <c r="O100" s="478">
        <v>1.0</v>
      </c>
      <c r="P100" s="476">
        <v>1.0</v>
      </c>
      <c r="Q100" s="481">
        <v>1.0</v>
      </c>
      <c r="R100" s="149"/>
      <c r="S100" s="45"/>
      <c r="T100" s="45"/>
      <c r="U100" s="45"/>
      <c r="V100" s="45"/>
      <c r="W100" s="45"/>
      <c r="X100" s="45"/>
      <c r="Y100" s="45"/>
      <c r="Z100" s="45"/>
      <c r="AA100" s="45"/>
      <c r="AB100" s="45"/>
      <c r="AC100" s="45"/>
      <c r="AD100" s="45"/>
      <c r="AE100" s="45"/>
      <c r="AF100" s="45"/>
      <c r="AG100" s="45"/>
      <c r="AH100" s="45"/>
      <c r="AI100" s="45"/>
      <c r="AJ100" s="45"/>
    </row>
    <row r="101" ht="15.75" customHeight="1">
      <c r="A101" s="476">
        <v>93.0</v>
      </c>
      <c r="B101" s="478" t="s">
        <v>14510</v>
      </c>
      <c r="C101" s="478" t="s">
        <v>14491</v>
      </c>
      <c r="D101" s="489" t="s">
        <v>14511</v>
      </c>
      <c r="E101" s="476" t="s">
        <v>4612</v>
      </c>
      <c r="F101" s="476" t="s">
        <v>29</v>
      </c>
      <c r="G101" s="476" t="s">
        <v>37</v>
      </c>
      <c r="H101" s="476"/>
      <c r="I101" s="476" t="s">
        <v>38</v>
      </c>
      <c r="J101" s="478">
        <v>661.0</v>
      </c>
      <c r="K101" s="476"/>
      <c r="L101" s="476" t="s">
        <v>14493</v>
      </c>
      <c r="M101" s="476" t="s">
        <v>3485</v>
      </c>
      <c r="N101" s="478">
        <v>1982.0</v>
      </c>
      <c r="O101" s="478">
        <v>1.0</v>
      </c>
      <c r="P101" s="476">
        <v>1.0</v>
      </c>
      <c r="Q101" s="481">
        <v>1.0</v>
      </c>
      <c r="R101" s="149"/>
      <c r="S101" s="45"/>
      <c r="T101" s="45"/>
      <c r="U101" s="45"/>
      <c r="V101" s="45"/>
      <c r="W101" s="45"/>
      <c r="X101" s="45"/>
      <c r="Y101" s="45"/>
      <c r="Z101" s="45"/>
      <c r="AA101" s="45"/>
      <c r="AB101" s="45"/>
      <c r="AC101" s="45"/>
      <c r="AD101" s="45"/>
      <c r="AE101" s="45"/>
      <c r="AF101" s="45"/>
      <c r="AG101" s="45"/>
      <c r="AH101" s="45"/>
      <c r="AI101" s="45"/>
      <c r="AJ101" s="45"/>
    </row>
    <row r="102" ht="15.75" customHeight="1">
      <c r="A102" s="186">
        <v>94.0</v>
      </c>
      <c r="B102" s="186" t="s">
        <v>14512</v>
      </c>
      <c r="C102" s="191" t="s">
        <v>14513</v>
      </c>
      <c r="D102" s="35" t="s">
        <v>14514</v>
      </c>
      <c r="E102" s="186" t="s">
        <v>4612</v>
      </c>
      <c r="F102" s="186" t="s">
        <v>29</v>
      </c>
      <c r="G102" s="186" t="s">
        <v>30</v>
      </c>
      <c r="H102" s="186"/>
      <c r="I102" s="186" t="s">
        <v>30</v>
      </c>
      <c r="J102" s="186">
        <v>889.0</v>
      </c>
      <c r="K102" s="186"/>
      <c r="L102" s="186" t="s">
        <v>14515</v>
      </c>
      <c r="M102" s="186" t="s">
        <v>14516</v>
      </c>
      <c r="N102" s="186">
        <v>2000.0</v>
      </c>
      <c r="O102" s="191">
        <v>3.0</v>
      </c>
      <c r="P102" s="186">
        <v>1.0</v>
      </c>
      <c r="Q102" s="37">
        <v>1.0</v>
      </c>
      <c r="R102" s="149"/>
      <c r="S102" s="45"/>
      <c r="T102" s="45"/>
      <c r="U102" s="45"/>
      <c r="V102" s="45"/>
      <c r="W102" s="45"/>
      <c r="X102" s="45"/>
      <c r="Y102" s="45"/>
      <c r="Z102" s="45"/>
      <c r="AA102" s="45"/>
      <c r="AB102" s="45"/>
      <c r="AC102" s="45"/>
      <c r="AD102" s="45"/>
      <c r="AE102" s="45"/>
      <c r="AF102" s="45"/>
      <c r="AG102" s="45"/>
      <c r="AH102" s="45"/>
      <c r="AI102" s="45"/>
      <c r="AJ102" s="45"/>
    </row>
    <row r="103" ht="15.75" customHeight="1">
      <c r="A103" s="186">
        <v>95.0</v>
      </c>
      <c r="B103" s="186" t="s">
        <v>14517</v>
      </c>
      <c r="C103" s="191" t="s">
        <v>14518</v>
      </c>
      <c r="D103" s="35" t="s">
        <v>14519</v>
      </c>
      <c r="E103" s="186" t="s">
        <v>4612</v>
      </c>
      <c r="F103" s="186" t="s">
        <v>29</v>
      </c>
      <c r="G103" s="186" t="s">
        <v>30</v>
      </c>
      <c r="H103" s="186"/>
      <c r="I103" s="191" t="s">
        <v>14520</v>
      </c>
      <c r="J103" s="186">
        <v>426.0</v>
      </c>
      <c r="K103" s="186"/>
      <c r="L103" s="186" t="s">
        <v>14521</v>
      </c>
      <c r="M103" s="186" t="s">
        <v>14522</v>
      </c>
      <c r="N103" s="191">
        <v>2006.0</v>
      </c>
      <c r="O103" s="191">
        <v>3.0</v>
      </c>
      <c r="P103" s="186">
        <v>1.0</v>
      </c>
      <c r="Q103" s="37">
        <v>1.0</v>
      </c>
      <c r="R103" s="149"/>
      <c r="S103" s="45"/>
      <c r="T103" s="45"/>
      <c r="U103" s="45"/>
      <c r="V103" s="45"/>
      <c r="W103" s="45"/>
      <c r="X103" s="45"/>
      <c r="Y103" s="45"/>
      <c r="Z103" s="45"/>
      <c r="AA103" s="45"/>
      <c r="AB103" s="45"/>
      <c r="AC103" s="45"/>
      <c r="AD103" s="45"/>
      <c r="AE103" s="45"/>
      <c r="AF103" s="45"/>
      <c r="AG103" s="45"/>
      <c r="AH103" s="45"/>
      <c r="AI103" s="45"/>
      <c r="AJ103" s="45"/>
    </row>
    <row r="104" ht="15.75" customHeight="1">
      <c r="A104" s="186">
        <v>96.0</v>
      </c>
      <c r="B104" s="186" t="s">
        <v>14523</v>
      </c>
      <c r="C104" s="191" t="s">
        <v>14524</v>
      </c>
      <c r="D104" s="35" t="s">
        <v>14525</v>
      </c>
      <c r="E104" s="186" t="s">
        <v>4612</v>
      </c>
      <c r="F104" s="186" t="s">
        <v>29</v>
      </c>
      <c r="G104" s="186" t="s">
        <v>30</v>
      </c>
      <c r="H104" s="186"/>
      <c r="I104" s="191" t="s">
        <v>14526</v>
      </c>
      <c r="J104" s="186">
        <v>1109.0</v>
      </c>
      <c r="K104" s="186"/>
      <c r="L104" s="191" t="s">
        <v>14527</v>
      </c>
      <c r="M104" s="186" t="s">
        <v>14528</v>
      </c>
      <c r="N104" s="186">
        <v>2003.0</v>
      </c>
      <c r="O104" s="191">
        <v>3.0</v>
      </c>
      <c r="P104" s="186">
        <v>1.0</v>
      </c>
      <c r="Q104" s="37">
        <v>1.0</v>
      </c>
      <c r="R104" s="149"/>
      <c r="S104" s="45"/>
      <c r="T104" s="45"/>
      <c r="U104" s="45"/>
      <c r="V104" s="45"/>
      <c r="W104" s="45"/>
      <c r="X104" s="45"/>
      <c r="Y104" s="45"/>
      <c r="Z104" s="45"/>
      <c r="AA104" s="45"/>
      <c r="AB104" s="45"/>
      <c r="AC104" s="45"/>
      <c r="AD104" s="45"/>
      <c r="AE104" s="45"/>
      <c r="AF104" s="45"/>
      <c r="AG104" s="45"/>
      <c r="AH104" s="45"/>
      <c r="AI104" s="45"/>
      <c r="AJ104" s="45"/>
    </row>
    <row r="105" ht="15.75" customHeight="1">
      <c r="A105" s="476">
        <v>97.0</v>
      </c>
      <c r="B105" s="476" t="s">
        <v>14529</v>
      </c>
      <c r="C105" s="478" t="s">
        <v>14530</v>
      </c>
      <c r="D105" s="496" t="s">
        <v>14531</v>
      </c>
      <c r="E105" s="476" t="s">
        <v>4612</v>
      </c>
      <c r="F105" s="476" t="s">
        <v>29</v>
      </c>
      <c r="G105" s="476" t="s">
        <v>30</v>
      </c>
      <c r="H105" s="476"/>
      <c r="I105" s="476" t="s">
        <v>14532</v>
      </c>
      <c r="J105" s="476">
        <v>1233.0</v>
      </c>
      <c r="K105" s="476"/>
      <c r="L105" s="478" t="s">
        <v>14533</v>
      </c>
      <c r="M105" s="476" t="s">
        <v>14534</v>
      </c>
      <c r="N105" s="478">
        <v>1995.0</v>
      </c>
      <c r="O105" s="478">
        <v>3.0</v>
      </c>
      <c r="P105" s="476">
        <v>1.0</v>
      </c>
      <c r="Q105" s="481">
        <v>1.0</v>
      </c>
      <c r="R105" s="149"/>
      <c r="S105" s="45"/>
      <c r="T105" s="45"/>
      <c r="U105" s="45"/>
      <c r="V105" s="45"/>
      <c r="W105" s="45"/>
      <c r="X105" s="45"/>
      <c r="Y105" s="45"/>
      <c r="Z105" s="45"/>
      <c r="AA105" s="45"/>
      <c r="AB105" s="45"/>
      <c r="AC105" s="45"/>
      <c r="AD105" s="45"/>
      <c r="AE105" s="45"/>
      <c r="AF105" s="45"/>
      <c r="AG105" s="45"/>
      <c r="AH105" s="45"/>
      <c r="AI105" s="45"/>
      <c r="AJ105" s="45"/>
    </row>
    <row r="106" ht="15.75" customHeight="1">
      <c r="A106" s="186">
        <v>98.0</v>
      </c>
      <c r="B106" s="186" t="s">
        <v>14535</v>
      </c>
      <c r="C106" s="191" t="s">
        <v>14536</v>
      </c>
      <c r="D106" s="35" t="s">
        <v>14537</v>
      </c>
      <c r="E106" s="186" t="s">
        <v>4612</v>
      </c>
      <c r="F106" s="186" t="s">
        <v>29</v>
      </c>
      <c r="G106" s="186" t="s">
        <v>131</v>
      </c>
      <c r="H106" s="186"/>
      <c r="I106" s="186" t="s">
        <v>131</v>
      </c>
      <c r="J106" s="186">
        <v>989.0</v>
      </c>
      <c r="K106" s="186"/>
      <c r="L106" s="186" t="s">
        <v>14538</v>
      </c>
      <c r="M106" s="191" t="s">
        <v>14539</v>
      </c>
      <c r="N106" s="186">
        <v>1979.0</v>
      </c>
      <c r="O106" s="186"/>
      <c r="P106" s="186">
        <v>1.0</v>
      </c>
      <c r="Q106" s="436">
        <v>1.0</v>
      </c>
      <c r="R106" s="3"/>
      <c r="S106" s="3"/>
      <c r="T106" s="3"/>
      <c r="U106" s="3"/>
      <c r="V106" s="3"/>
      <c r="W106" s="3"/>
      <c r="X106" s="3"/>
      <c r="Y106" s="3"/>
      <c r="Z106" s="3"/>
      <c r="AA106" s="3"/>
      <c r="AB106" s="3"/>
      <c r="AC106" s="3"/>
      <c r="AD106" s="3"/>
      <c r="AE106" s="3"/>
      <c r="AF106" s="3"/>
      <c r="AG106" s="3"/>
      <c r="AH106" s="3"/>
      <c r="AI106" s="3"/>
      <c r="AJ106" s="3"/>
    </row>
    <row r="107" ht="15.75" customHeight="1">
      <c r="A107" s="476">
        <v>99.0</v>
      </c>
      <c r="B107" s="476" t="s">
        <v>11720</v>
      </c>
      <c r="C107" s="478" t="s">
        <v>14540</v>
      </c>
      <c r="D107" s="489" t="s">
        <v>14541</v>
      </c>
      <c r="E107" s="476" t="s">
        <v>4612</v>
      </c>
      <c r="F107" s="476" t="s">
        <v>29</v>
      </c>
      <c r="G107" s="476" t="s">
        <v>30</v>
      </c>
      <c r="H107" s="476"/>
      <c r="I107" s="476" t="s">
        <v>30</v>
      </c>
      <c r="J107" s="476">
        <v>71.0</v>
      </c>
      <c r="K107" s="476"/>
      <c r="L107" s="476" t="s">
        <v>31</v>
      </c>
      <c r="M107" s="478" t="s">
        <v>14542</v>
      </c>
      <c r="N107" s="478">
        <v>1976.0</v>
      </c>
      <c r="O107" s="478">
        <v>3.0</v>
      </c>
      <c r="P107" s="476">
        <v>2.0</v>
      </c>
      <c r="Q107" s="481">
        <v>2.0</v>
      </c>
      <c r="R107" s="149"/>
      <c r="S107" s="45"/>
      <c r="T107" s="45"/>
      <c r="U107" s="45"/>
      <c r="V107" s="45"/>
      <c r="W107" s="45"/>
      <c r="X107" s="45"/>
      <c r="Y107" s="45"/>
      <c r="Z107" s="45"/>
      <c r="AA107" s="45"/>
      <c r="AB107" s="45"/>
      <c r="AC107" s="45"/>
      <c r="AD107" s="45"/>
      <c r="AE107" s="45"/>
      <c r="AF107" s="45"/>
      <c r="AG107" s="45"/>
      <c r="AH107" s="45"/>
      <c r="AI107" s="45"/>
      <c r="AJ107" s="45"/>
    </row>
    <row r="108" ht="15.75" customHeight="1">
      <c r="A108" s="417">
        <v>100.0</v>
      </c>
      <c r="B108" s="417" t="s">
        <v>11720</v>
      </c>
      <c r="C108" s="417" t="s">
        <v>14543</v>
      </c>
      <c r="D108" s="418" t="s">
        <v>14544</v>
      </c>
      <c r="E108" s="417" t="s">
        <v>4612</v>
      </c>
      <c r="F108" s="417" t="s">
        <v>29</v>
      </c>
      <c r="G108" s="417" t="s">
        <v>30</v>
      </c>
      <c r="H108" s="417"/>
      <c r="I108" s="417" t="s">
        <v>14545</v>
      </c>
      <c r="J108" s="417">
        <v>194.0</v>
      </c>
      <c r="K108" s="417"/>
      <c r="L108" s="417" t="s">
        <v>14546</v>
      </c>
      <c r="M108" s="417" t="s">
        <v>151</v>
      </c>
      <c r="N108" s="417">
        <v>1991.0</v>
      </c>
      <c r="O108" s="417" t="s">
        <v>388</v>
      </c>
      <c r="P108" s="417">
        <v>1.0</v>
      </c>
      <c r="Q108" s="419"/>
      <c r="R108" s="149"/>
      <c r="S108" s="45"/>
      <c r="T108" s="45"/>
      <c r="U108" s="45"/>
      <c r="V108" s="45"/>
      <c r="W108" s="45"/>
      <c r="X108" s="45"/>
      <c r="Y108" s="45"/>
      <c r="Z108" s="45"/>
      <c r="AA108" s="45"/>
      <c r="AB108" s="45"/>
      <c r="AC108" s="45"/>
      <c r="AD108" s="45"/>
      <c r="AE108" s="45"/>
      <c r="AF108" s="45"/>
      <c r="AG108" s="45"/>
      <c r="AH108" s="45"/>
      <c r="AI108" s="45"/>
      <c r="AJ108" s="45"/>
    </row>
    <row r="109" ht="15.75" customHeight="1">
      <c r="A109" s="186">
        <v>101.0</v>
      </c>
      <c r="B109" s="186" t="s">
        <v>11720</v>
      </c>
      <c r="C109" s="191" t="s">
        <v>14547</v>
      </c>
      <c r="D109" s="188" t="s">
        <v>14548</v>
      </c>
      <c r="E109" s="186" t="s">
        <v>4612</v>
      </c>
      <c r="F109" s="186" t="s">
        <v>29</v>
      </c>
      <c r="G109" s="186" t="s">
        <v>131</v>
      </c>
      <c r="H109" s="186"/>
      <c r="I109" s="186" t="s">
        <v>131</v>
      </c>
      <c r="J109" s="186">
        <v>1354.0</v>
      </c>
      <c r="K109" s="186"/>
      <c r="L109" s="186" t="s">
        <v>14549</v>
      </c>
      <c r="M109" s="191" t="s">
        <v>14550</v>
      </c>
      <c r="N109" s="186">
        <v>1964.0</v>
      </c>
      <c r="O109" s="191">
        <v>3.0</v>
      </c>
      <c r="P109" s="186">
        <v>1.0</v>
      </c>
      <c r="Q109" s="37">
        <v>1.0</v>
      </c>
      <c r="R109" s="149"/>
      <c r="S109" s="45"/>
      <c r="T109" s="45"/>
      <c r="U109" s="45"/>
      <c r="V109" s="45"/>
      <c r="W109" s="45"/>
      <c r="X109" s="45"/>
      <c r="Y109" s="45"/>
      <c r="Z109" s="45"/>
      <c r="AA109" s="45"/>
      <c r="AB109" s="45"/>
      <c r="AC109" s="45"/>
      <c r="AD109" s="45"/>
      <c r="AE109" s="45"/>
      <c r="AF109" s="45"/>
      <c r="AG109" s="45"/>
      <c r="AH109" s="45"/>
      <c r="AI109" s="45"/>
      <c r="AJ109" s="45"/>
    </row>
    <row r="110" ht="15.75" customHeight="1">
      <c r="A110" s="186">
        <v>102.0</v>
      </c>
      <c r="B110" s="186" t="s">
        <v>14551</v>
      </c>
      <c r="C110" s="191" t="s">
        <v>14552</v>
      </c>
      <c r="D110" s="35" t="s">
        <v>14553</v>
      </c>
      <c r="E110" s="186" t="s">
        <v>4612</v>
      </c>
      <c r="F110" s="186" t="s">
        <v>29</v>
      </c>
      <c r="G110" s="186" t="s">
        <v>131</v>
      </c>
      <c r="H110" s="186"/>
      <c r="I110" s="186" t="s">
        <v>131</v>
      </c>
      <c r="J110" s="186">
        <v>848.0</v>
      </c>
      <c r="K110" s="186"/>
      <c r="L110" s="191" t="s">
        <v>14554</v>
      </c>
      <c r="M110" s="186" t="s">
        <v>14064</v>
      </c>
      <c r="N110" s="186">
        <v>2003.0</v>
      </c>
      <c r="O110" s="191">
        <v>3.0</v>
      </c>
      <c r="P110" s="186">
        <v>1.0</v>
      </c>
      <c r="Q110" s="37">
        <v>1.0</v>
      </c>
      <c r="R110" s="149"/>
      <c r="S110" s="45"/>
      <c r="T110" s="45"/>
      <c r="U110" s="45"/>
      <c r="V110" s="45"/>
      <c r="W110" s="45"/>
      <c r="X110" s="45"/>
      <c r="Y110" s="45"/>
      <c r="Z110" s="45"/>
      <c r="AA110" s="45"/>
      <c r="AB110" s="45"/>
      <c r="AC110" s="45"/>
      <c r="AD110" s="45"/>
      <c r="AE110" s="45"/>
      <c r="AF110" s="45"/>
      <c r="AG110" s="45"/>
      <c r="AH110" s="45"/>
      <c r="AI110" s="45"/>
      <c r="AJ110" s="45"/>
    </row>
    <row r="111" ht="15.75" customHeight="1">
      <c r="A111" s="186">
        <v>103.0</v>
      </c>
      <c r="B111" s="186" t="s">
        <v>13732</v>
      </c>
      <c r="C111" s="191" t="s">
        <v>14555</v>
      </c>
      <c r="D111" s="35" t="s">
        <v>14556</v>
      </c>
      <c r="E111" s="186" t="s">
        <v>4612</v>
      </c>
      <c r="F111" s="186" t="s">
        <v>29</v>
      </c>
      <c r="G111" s="186" t="s">
        <v>30</v>
      </c>
      <c r="H111" s="186"/>
      <c r="I111" s="186" t="s">
        <v>14557</v>
      </c>
      <c r="J111" s="186">
        <v>943.0</v>
      </c>
      <c r="K111" s="186"/>
      <c r="L111" s="191" t="s">
        <v>14558</v>
      </c>
      <c r="M111" s="186" t="s">
        <v>161</v>
      </c>
      <c r="N111" s="191">
        <v>1969.0</v>
      </c>
      <c r="O111" s="191">
        <v>3.0</v>
      </c>
      <c r="P111" s="186">
        <v>2.0</v>
      </c>
      <c r="Q111" s="37">
        <v>1.0</v>
      </c>
      <c r="R111" s="149"/>
      <c r="S111" s="45"/>
      <c r="T111" s="45"/>
      <c r="U111" s="45"/>
      <c r="V111" s="45"/>
      <c r="W111" s="45"/>
      <c r="X111" s="45"/>
      <c r="Y111" s="45"/>
      <c r="Z111" s="45"/>
      <c r="AA111" s="45"/>
      <c r="AB111" s="45"/>
      <c r="AC111" s="45"/>
      <c r="AD111" s="45"/>
      <c r="AE111" s="45"/>
      <c r="AF111" s="45"/>
      <c r="AG111" s="45"/>
      <c r="AH111" s="45"/>
      <c r="AI111" s="45"/>
      <c r="AJ111" s="45"/>
    </row>
    <row r="112" ht="15.75" customHeight="1">
      <c r="A112" s="186">
        <v>104.0</v>
      </c>
      <c r="B112" s="186" t="s">
        <v>14559</v>
      </c>
      <c r="C112" s="191" t="s">
        <v>14560</v>
      </c>
      <c r="D112" s="35" t="s">
        <v>14561</v>
      </c>
      <c r="E112" s="186" t="s">
        <v>4612</v>
      </c>
      <c r="F112" s="186" t="s">
        <v>29</v>
      </c>
      <c r="G112" s="186" t="s">
        <v>37</v>
      </c>
      <c r="H112" s="186"/>
      <c r="I112" s="186" t="s">
        <v>38</v>
      </c>
      <c r="J112" s="186">
        <v>1310.0</v>
      </c>
      <c r="K112" s="186"/>
      <c r="L112" s="186" t="s">
        <v>14562</v>
      </c>
      <c r="M112" s="186" t="s">
        <v>14563</v>
      </c>
      <c r="N112" s="186">
        <v>2006.0</v>
      </c>
      <c r="O112" s="191">
        <v>3.0</v>
      </c>
      <c r="P112" s="186">
        <v>1.0</v>
      </c>
      <c r="Q112" s="37">
        <v>1.0</v>
      </c>
      <c r="R112" s="149"/>
      <c r="S112" s="45"/>
      <c r="T112" s="45"/>
      <c r="U112" s="45"/>
      <c r="V112" s="45"/>
      <c r="W112" s="45"/>
      <c r="X112" s="45"/>
      <c r="Y112" s="45"/>
      <c r="Z112" s="45"/>
      <c r="AA112" s="45"/>
      <c r="AB112" s="45"/>
      <c r="AC112" s="45"/>
      <c r="AD112" s="45"/>
      <c r="AE112" s="45"/>
      <c r="AF112" s="45"/>
      <c r="AG112" s="45"/>
      <c r="AH112" s="45"/>
      <c r="AI112" s="45"/>
      <c r="AJ112" s="45"/>
    </row>
    <row r="113" ht="15.75" customHeight="1">
      <c r="A113" s="186">
        <v>105.0</v>
      </c>
      <c r="B113" s="186" t="s">
        <v>14559</v>
      </c>
      <c r="C113" s="191" t="s">
        <v>14560</v>
      </c>
      <c r="D113" s="35" t="s">
        <v>14564</v>
      </c>
      <c r="E113" s="186" t="s">
        <v>4612</v>
      </c>
      <c r="F113" s="186" t="s">
        <v>29</v>
      </c>
      <c r="G113" s="186" t="s">
        <v>37</v>
      </c>
      <c r="H113" s="186"/>
      <c r="I113" s="186" t="s">
        <v>38</v>
      </c>
      <c r="J113" s="191">
        <v>1352.0</v>
      </c>
      <c r="K113" s="186"/>
      <c r="L113" s="186" t="s">
        <v>14562</v>
      </c>
      <c r="M113" s="186" t="s">
        <v>14563</v>
      </c>
      <c r="N113" s="186">
        <v>2006.0</v>
      </c>
      <c r="O113" s="191">
        <v>3.0</v>
      </c>
      <c r="P113" s="186">
        <v>1.0</v>
      </c>
      <c r="Q113" s="37">
        <v>1.0</v>
      </c>
      <c r="R113" s="149"/>
      <c r="S113" s="45"/>
      <c r="T113" s="45"/>
      <c r="U113" s="45"/>
      <c r="V113" s="45"/>
      <c r="W113" s="45"/>
      <c r="X113" s="45"/>
      <c r="Y113" s="45"/>
      <c r="Z113" s="45"/>
      <c r="AA113" s="45"/>
      <c r="AB113" s="45"/>
      <c r="AC113" s="45"/>
      <c r="AD113" s="45"/>
      <c r="AE113" s="45"/>
      <c r="AF113" s="45"/>
      <c r="AG113" s="45"/>
      <c r="AH113" s="45"/>
      <c r="AI113" s="45"/>
      <c r="AJ113" s="45"/>
    </row>
    <row r="114" ht="15.75" customHeight="1">
      <c r="A114" s="186">
        <v>106.0</v>
      </c>
      <c r="B114" s="186" t="s">
        <v>14565</v>
      </c>
      <c r="C114" s="191" t="s">
        <v>14566</v>
      </c>
      <c r="D114" s="188" t="s">
        <v>14567</v>
      </c>
      <c r="E114" s="186" t="s">
        <v>4612</v>
      </c>
      <c r="F114" s="186" t="s">
        <v>29</v>
      </c>
      <c r="G114" s="186" t="s">
        <v>37</v>
      </c>
      <c r="H114" s="186"/>
      <c r="I114" s="186" t="s">
        <v>38</v>
      </c>
      <c r="J114" s="186">
        <v>1528.0</v>
      </c>
      <c r="K114" s="186"/>
      <c r="L114" s="191" t="s">
        <v>14568</v>
      </c>
      <c r="M114" s="186" t="s">
        <v>14569</v>
      </c>
      <c r="N114" s="186">
        <v>1992.0</v>
      </c>
      <c r="O114" s="191">
        <v>3.0</v>
      </c>
      <c r="P114" s="186">
        <v>1.0</v>
      </c>
      <c r="Q114" s="37">
        <v>1.0</v>
      </c>
      <c r="R114" s="149"/>
      <c r="S114" s="45"/>
      <c r="T114" s="45"/>
      <c r="U114" s="45"/>
      <c r="V114" s="45"/>
      <c r="W114" s="45"/>
      <c r="X114" s="45"/>
      <c r="Y114" s="45"/>
      <c r="Z114" s="45"/>
      <c r="AA114" s="45"/>
      <c r="AB114" s="45"/>
      <c r="AC114" s="45"/>
      <c r="AD114" s="45"/>
      <c r="AE114" s="45"/>
      <c r="AF114" s="45"/>
      <c r="AG114" s="45"/>
      <c r="AH114" s="45"/>
      <c r="AI114" s="45"/>
      <c r="AJ114" s="45"/>
    </row>
    <row r="115" ht="15.75" customHeight="1">
      <c r="A115" s="186">
        <v>107.0</v>
      </c>
      <c r="B115" s="186" t="s">
        <v>14570</v>
      </c>
      <c r="C115" s="191" t="s">
        <v>14571</v>
      </c>
      <c r="D115" s="188" t="s">
        <v>14572</v>
      </c>
      <c r="E115" s="186" t="s">
        <v>4612</v>
      </c>
      <c r="F115" s="186" t="s">
        <v>29</v>
      </c>
      <c r="G115" s="186" t="s">
        <v>30</v>
      </c>
      <c r="H115" s="186"/>
      <c r="I115" s="186" t="s">
        <v>30</v>
      </c>
      <c r="J115" s="186">
        <v>195.0</v>
      </c>
      <c r="K115" s="186"/>
      <c r="L115" s="191" t="s">
        <v>14573</v>
      </c>
      <c r="M115" s="186" t="s">
        <v>11692</v>
      </c>
      <c r="N115" s="186">
        <v>2009.0</v>
      </c>
      <c r="O115" s="191">
        <v>3.0</v>
      </c>
      <c r="P115" s="186">
        <v>1.0</v>
      </c>
      <c r="Q115" s="37">
        <v>1.0</v>
      </c>
      <c r="R115" s="149"/>
      <c r="S115" s="45"/>
      <c r="T115" s="45"/>
      <c r="U115" s="45"/>
      <c r="V115" s="45"/>
      <c r="W115" s="45"/>
      <c r="X115" s="45"/>
      <c r="Y115" s="45"/>
      <c r="Z115" s="45"/>
      <c r="AA115" s="45"/>
      <c r="AB115" s="45"/>
      <c r="AC115" s="45"/>
      <c r="AD115" s="45"/>
      <c r="AE115" s="45"/>
      <c r="AF115" s="45"/>
      <c r="AG115" s="45"/>
      <c r="AH115" s="45"/>
      <c r="AI115" s="45"/>
      <c r="AJ115" s="45"/>
    </row>
    <row r="116" ht="15.75" customHeight="1">
      <c r="A116" s="186">
        <v>108.0</v>
      </c>
      <c r="B116" s="186" t="s">
        <v>14570</v>
      </c>
      <c r="C116" s="191" t="s">
        <v>14571</v>
      </c>
      <c r="D116" s="188" t="s">
        <v>14574</v>
      </c>
      <c r="E116" s="186" t="s">
        <v>4612</v>
      </c>
      <c r="F116" s="186" t="s">
        <v>29</v>
      </c>
      <c r="G116" s="186" t="s">
        <v>30</v>
      </c>
      <c r="H116" s="429"/>
      <c r="I116" s="186" t="s">
        <v>30</v>
      </c>
      <c r="J116" s="186">
        <v>267.0</v>
      </c>
      <c r="K116" s="186"/>
      <c r="L116" s="191" t="s">
        <v>14573</v>
      </c>
      <c r="M116" s="186" t="s">
        <v>11692</v>
      </c>
      <c r="N116" s="429">
        <v>2009.0</v>
      </c>
      <c r="O116" s="191">
        <v>3.0</v>
      </c>
      <c r="P116" s="186">
        <v>1.0</v>
      </c>
      <c r="Q116" s="37">
        <v>1.0</v>
      </c>
      <c r="R116" s="149"/>
      <c r="S116" s="45"/>
      <c r="T116" s="45"/>
      <c r="U116" s="45"/>
      <c r="V116" s="45"/>
      <c r="W116" s="45"/>
      <c r="X116" s="45"/>
      <c r="Y116" s="45"/>
      <c r="Z116" s="45"/>
      <c r="AA116" s="45"/>
      <c r="AB116" s="45"/>
      <c r="AC116" s="45"/>
      <c r="AD116" s="45"/>
      <c r="AE116" s="45"/>
      <c r="AF116" s="45"/>
      <c r="AG116" s="45"/>
      <c r="AH116" s="45"/>
      <c r="AI116" s="45"/>
      <c r="AJ116" s="45"/>
    </row>
    <row r="117" ht="15.75" customHeight="1">
      <c r="A117" s="186">
        <v>109.0</v>
      </c>
      <c r="B117" s="429" t="s">
        <v>14570</v>
      </c>
      <c r="C117" s="191" t="s">
        <v>14571</v>
      </c>
      <c r="D117" s="188" t="s">
        <v>14575</v>
      </c>
      <c r="E117" s="186" t="s">
        <v>4612</v>
      </c>
      <c r="F117" s="186" t="s">
        <v>29</v>
      </c>
      <c r="G117" s="186" t="s">
        <v>30</v>
      </c>
      <c r="H117" s="186"/>
      <c r="I117" s="186" t="s">
        <v>30</v>
      </c>
      <c r="J117" s="186">
        <v>173.0</v>
      </c>
      <c r="K117" s="186"/>
      <c r="L117" s="191" t="s">
        <v>14573</v>
      </c>
      <c r="M117" s="186" t="s">
        <v>11692</v>
      </c>
      <c r="N117" s="186">
        <v>2008.0</v>
      </c>
      <c r="O117" s="191">
        <v>3.0</v>
      </c>
      <c r="P117" s="186">
        <v>1.0</v>
      </c>
      <c r="Q117" s="37">
        <v>1.0</v>
      </c>
      <c r="R117" s="149"/>
      <c r="S117" s="45"/>
      <c r="T117" s="45"/>
      <c r="U117" s="45"/>
      <c r="V117" s="45"/>
      <c r="W117" s="45"/>
      <c r="X117" s="45"/>
      <c r="Y117" s="45"/>
      <c r="Z117" s="45"/>
      <c r="AA117" s="45"/>
      <c r="AB117" s="45"/>
      <c r="AC117" s="45"/>
      <c r="AD117" s="45"/>
      <c r="AE117" s="45"/>
      <c r="AF117" s="45"/>
      <c r="AG117" s="45"/>
      <c r="AH117" s="45"/>
      <c r="AI117" s="45"/>
      <c r="AJ117" s="45"/>
    </row>
    <row r="118" ht="15.75" customHeight="1">
      <c r="A118" s="186">
        <v>110.0</v>
      </c>
      <c r="B118" s="186" t="s">
        <v>14570</v>
      </c>
      <c r="C118" s="191" t="s">
        <v>14571</v>
      </c>
      <c r="D118" s="188" t="s">
        <v>14576</v>
      </c>
      <c r="E118" s="186" t="s">
        <v>4612</v>
      </c>
      <c r="F118" s="186" t="s">
        <v>29</v>
      </c>
      <c r="G118" s="186" t="s">
        <v>30</v>
      </c>
      <c r="H118" s="186"/>
      <c r="I118" s="186" t="s">
        <v>30</v>
      </c>
      <c r="J118" s="186">
        <v>213.0</v>
      </c>
      <c r="K118" s="186"/>
      <c r="L118" s="191" t="s">
        <v>14573</v>
      </c>
      <c r="M118" s="186" t="s">
        <v>11692</v>
      </c>
      <c r="N118" s="186">
        <v>2009.0</v>
      </c>
      <c r="O118" s="191">
        <v>3.0</v>
      </c>
      <c r="P118" s="186">
        <v>1.0</v>
      </c>
      <c r="Q118" s="37">
        <v>1.0</v>
      </c>
      <c r="R118" s="149"/>
      <c r="S118" s="45"/>
      <c r="T118" s="45"/>
      <c r="U118" s="45"/>
      <c r="V118" s="45"/>
      <c r="W118" s="45"/>
      <c r="X118" s="45"/>
      <c r="Y118" s="45"/>
      <c r="Z118" s="45"/>
      <c r="AA118" s="45"/>
      <c r="AB118" s="45"/>
      <c r="AC118" s="45"/>
      <c r="AD118" s="45"/>
      <c r="AE118" s="45"/>
      <c r="AF118" s="45"/>
      <c r="AG118" s="45"/>
      <c r="AH118" s="45"/>
      <c r="AI118" s="45"/>
      <c r="AJ118" s="45"/>
    </row>
    <row r="119" ht="15.75" customHeight="1">
      <c r="A119" s="186">
        <v>111.0</v>
      </c>
      <c r="B119" s="186" t="s">
        <v>14570</v>
      </c>
      <c r="C119" s="191" t="s">
        <v>14571</v>
      </c>
      <c r="D119" s="188" t="s">
        <v>14577</v>
      </c>
      <c r="E119" s="186" t="s">
        <v>4612</v>
      </c>
      <c r="F119" s="186" t="s">
        <v>29</v>
      </c>
      <c r="G119" s="186" t="s">
        <v>30</v>
      </c>
      <c r="H119" s="186"/>
      <c r="I119" s="186" t="s">
        <v>30</v>
      </c>
      <c r="J119" s="186">
        <v>227.0</v>
      </c>
      <c r="K119" s="186"/>
      <c r="L119" s="191" t="s">
        <v>14573</v>
      </c>
      <c r="M119" s="186" t="s">
        <v>11692</v>
      </c>
      <c r="N119" s="186">
        <v>2009.0</v>
      </c>
      <c r="O119" s="191">
        <v>3.0</v>
      </c>
      <c r="P119" s="186">
        <v>1.0</v>
      </c>
      <c r="Q119" s="37">
        <v>1.0</v>
      </c>
      <c r="R119" s="149"/>
      <c r="S119" s="45"/>
      <c r="T119" s="45"/>
      <c r="U119" s="45"/>
      <c r="V119" s="45"/>
      <c r="W119" s="45"/>
      <c r="X119" s="45"/>
      <c r="Y119" s="45"/>
      <c r="Z119" s="45"/>
      <c r="AA119" s="45"/>
      <c r="AB119" s="45"/>
      <c r="AC119" s="45"/>
      <c r="AD119" s="45"/>
      <c r="AE119" s="45"/>
      <c r="AF119" s="45"/>
      <c r="AG119" s="45"/>
      <c r="AH119" s="45"/>
      <c r="AI119" s="45"/>
      <c r="AJ119" s="45"/>
    </row>
    <row r="120" ht="15.75" customHeight="1">
      <c r="A120" s="186">
        <v>112.0</v>
      </c>
      <c r="B120" s="186" t="s">
        <v>14570</v>
      </c>
      <c r="C120" s="191" t="s">
        <v>14571</v>
      </c>
      <c r="D120" s="188" t="s">
        <v>14578</v>
      </c>
      <c r="E120" s="186" t="s">
        <v>4612</v>
      </c>
      <c r="F120" s="186" t="s">
        <v>29</v>
      </c>
      <c r="G120" s="186" t="s">
        <v>30</v>
      </c>
      <c r="H120" s="186"/>
      <c r="I120" s="186" t="s">
        <v>30</v>
      </c>
      <c r="J120" s="186">
        <v>217.0</v>
      </c>
      <c r="K120" s="186"/>
      <c r="L120" s="191" t="s">
        <v>14573</v>
      </c>
      <c r="M120" s="186" t="s">
        <v>11692</v>
      </c>
      <c r="N120" s="186">
        <v>2009.0</v>
      </c>
      <c r="O120" s="191">
        <v>3.0</v>
      </c>
      <c r="P120" s="186">
        <v>1.0</v>
      </c>
      <c r="Q120" s="37">
        <v>1.0</v>
      </c>
      <c r="R120" s="149"/>
      <c r="S120" s="45"/>
      <c r="T120" s="45"/>
      <c r="U120" s="45"/>
      <c r="V120" s="45"/>
      <c r="W120" s="45"/>
      <c r="X120" s="45"/>
      <c r="Y120" s="45"/>
      <c r="Z120" s="45"/>
      <c r="AA120" s="45"/>
      <c r="AB120" s="45"/>
      <c r="AC120" s="45"/>
      <c r="AD120" s="45"/>
      <c r="AE120" s="45"/>
      <c r="AF120" s="45"/>
      <c r="AG120" s="45"/>
      <c r="AH120" s="45"/>
      <c r="AI120" s="45"/>
      <c r="AJ120" s="45"/>
    </row>
    <row r="121" ht="15.75" customHeight="1">
      <c r="A121" s="186">
        <v>113.0</v>
      </c>
      <c r="B121" s="186" t="s">
        <v>14570</v>
      </c>
      <c r="C121" s="191" t="s">
        <v>14571</v>
      </c>
      <c r="D121" s="188" t="s">
        <v>14579</v>
      </c>
      <c r="E121" s="186" t="s">
        <v>4612</v>
      </c>
      <c r="F121" s="186" t="s">
        <v>29</v>
      </c>
      <c r="G121" s="186" t="s">
        <v>30</v>
      </c>
      <c r="H121" s="186"/>
      <c r="I121" s="186" t="s">
        <v>30</v>
      </c>
      <c r="J121" s="186">
        <v>237.0</v>
      </c>
      <c r="K121" s="186"/>
      <c r="L121" s="191" t="s">
        <v>14573</v>
      </c>
      <c r="M121" s="186" t="s">
        <v>11692</v>
      </c>
      <c r="N121" s="186">
        <v>2009.0</v>
      </c>
      <c r="O121" s="191">
        <v>3.0</v>
      </c>
      <c r="P121" s="186">
        <v>1.0</v>
      </c>
      <c r="Q121" s="37">
        <v>1.0</v>
      </c>
      <c r="R121" s="149"/>
      <c r="S121" s="45"/>
      <c r="T121" s="45"/>
      <c r="U121" s="45"/>
      <c r="V121" s="45"/>
      <c r="W121" s="45"/>
      <c r="X121" s="45"/>
      <c r="Y121" s="45"/>
      <c r="Z121" s="45"/>
      <c r="AA121" s="45"/>
      <c r="AB121" s="45"/>
      <c r="AC121" s="45"/>
      <c r="AD121" s="45"/>
      <c r="AE121" s="45"/>
      <c r="AF121" s="45"/>
      <c r="AG121" s="45"/>
      <c r="AH121" s="45"/>
      <c r="AI121" s="45"/>
      <c r="AJ121" s="45"/>
    </row>
    <row r="122" ht="15.75" customHeight="1">
      <c r="A122" s="186">
        <v>114.0</v>
      </c>
      <c r="B122" s="186" t="s">
        <v>14570</v>
      </c>
      <c r="C122" s="191" t="s">
        <v>14571</v>
      </c>
      <c r="D122" s="188" t="s">
        <v>14580</v>
      </c>
      <c r="E122" s="186" t="s">
        <v>4612</v>
      </c>
      <c r="F122" s="186" t="s">
        <v>29</v>
      </c>
      <c r="G122" s="186" t="s">
        <v>30</v>
      </c>
      <c r="H122" s="186"/>
      <c r="I122" s="186" t="s">
        <v>30</v>
      </c>
      <c r="J122" s="186">
        <v>199.0</v>
      </c>
      <c r="K122" s="186"/>
      <c r="L122" s="191" t="s">
        <v>14573</v>
      </c>
      <c r="M122" s="186" t="s">
        <v>11692</v>
      </c>
      <c r="N122" s="186">
        <v>2009.0</v>
      </c>
      <c r="O122" s="191">
        <v>3.0</v>
      </c>
      <c r="P122" s="186">
        <v>1.0</v>
      </c>
      <c r="Q122" s="37">
        <v>1.0</v>
      </c>
      <c r="R122" s="149"/>
      <c r="S122" s="45"/>
      <c r="T122" s="45"/>
      <c r="U122" s="45"/>
      <c r="V122" s="45"/>
      <c r="W122" s="45"/>
      <c r="X122" s="45"/>
      <c r="Y122" s="45"/>
      <c r="Z122" s="45"/>
      <c r="AA122" s="45"/>
      <c r="AB122" s="45"/>
      <c r="AC122" s="45"/>
      <c r="AD122" s="45"/>
      <c r="AE122" s="45"/>
      <c r="AF122" s="45"/>
      <c r="AG122" s="45"/>
      <c r="AH122" s="45"/>
      <c r="AI122" s="45"/>
      <c r="AJ122" s="45"/>
    </row>
    <row r="123" ht="15.75" customHeight="1">
      <c r="A123" s="186">
        <v>115.0</v>
      </c>
      <c r="B123" s="186" t="s">
        <v>14570</v>
      </c>
      <c r="C123" s="191" t="s">
        <v>14571</v>
      </c>
      <c r="D123" s="188" t="s">
        <v>14581</v>
      </c>
      <c r="E123" s="186" t="s">
        <v>4612</v>
      </c>
      <c r="F123" s="186" t="s">
        <v>29</v>
      </c>
      <c r="G123" s="186" t="s">
        <v>30</v>
      </c>
      <c r="H123" s="186"/>
      <c r="I123" s="186" t="s">
        <v>30</v>
      </c>
      <c r="J123" s="186">
        <v>223.0</v>
      </c>
      <c r="K123" s="186"/>
      <c r="L123" s="191" t="s">
        <v>14573</v>
      </c>
      <c r="M123" s="186" t="s">
        <v>11692</v>
      </c>
      <c r="N123" s="186">
        <v>2009.0</v>
      </c>
      <c r="O123" s="191">
        <v>3.0</v>
      </c>
      <c r="P123" s="186">
        <v>1.0</v>
      </c>
      <c r="Q123" s="37">
        <v>1.0</v>
      </c>
      <c r="R123" s="149"/>
      <c r="S123" s="45"/>
      <c r="T123" s="45"/>
      <c r="U123" s="45"/>
      <c r="V123" s="45"/>
      <c r="W123" s="45"/>
      <c r="X123" s="45"/>
      <c r="Y123" s="45"/>
      <c r="Z123" s="45"/>
      <c r="AA123" s="45"/>
      <c r="AB123" s="45"/>
      <c r="AC123" s="45"/>
      <c r="AD123" s="45"/>
      <c r="AE123" s="45"/>
      <c r="AF123" s="45"/>
      <c r="AG123" s="45"/>
      <c r="AH123" s="45"/>
      <c r="AI123" s="45"/>
      <c r="AJ123" s="45"/>
    </row>
    <row r="124" ht="15.75" customHeight="1">
      <c r="A124" s="186">
        <v>116.0</v>
      </c>
      <c r="B124" s="186" t="s">
        <v>14570</v>
      </c>
      <c r="C124" s="191" t="s">
        <v>14571</v>
      </c>
      <c r="D124" s="188" t="s">
        <v>14582</v>
      </c>
      <c r="E124" s="186" t="s">
        <v>4612</v>
      </c>
      <c r="F124" s="186" t="s">
        <v>29</v>
      </c>
      <c r="G124" s="186" t="s">
        <v>30</v>
      </c>
      <c r="H124" s="186"/>
      <c r="I124" s="186" t="s">
        <v>30</v>
      </c>
      <c r="J124" s="186">
        <v>207.0</v>
      </c>
      <c r="K124" s="186"/>
      <c r="L124" s="191" t="s">
        <v>14573</v>
      </c>
      <c r="M124" s="186" t="s">
        <v>11692</v>
      </c>
      <c r="N124" s="186">
        <v>2009.0</v>
      </c>
      <c r="O124" s="191">
        <v>3.0</v>
      </c>
      <c r="P124" s="186">
        <v>1.0</v>
      </c>
      <c r="Q124" s="37">
        <v>1.0</v>
      </c>
      <c r="R124" s="149"/>
      <c r="S124" s="45"/>
      <c r="T124" s="45"/>
      <c r="U124" s="45"/>
      <c r="V124" s="45"/>
      <c r="W124" s="45"/>
      <c r="X124" s="45"/>
      <c r="Y124" s="45"/>
      <c r="Z124" s="45"/>
      <c r="AA124" s="45"/>
      <c r="AB124" s="45"/>
      <c r="AC124" s="45"/>
      <c r="AD124" s="45"/>
      <c r="AE124" s="45"/>
      <c r="AF124" s="45"/>
      <c r="AG124" s="45"/>
      <c r="AH124" s="45"/>
      <c r="AI124" s="45"/>
      <c r="AJ124" s="45"/>
    </row>
    <row r="125" ht="15.75" customHeight="1">
      <c r="A125" s="476">
        <v>117.0</v>
      </c>
      <c r="B125" s="476" t="s">
        <v>31</v>
      </c>
      <c r="C125" s="478" t="s">
        <v>14583</v>
      </c>
      <c r="D125" s="489" t="s">
        <v>14584</v>
      </c>
      <c r="E125" s="476" t="s">
        <v>4612</v>
      </c>
      <c r="F125" s="476" t="s">
        <v>29</v>
      </c>
      <c r="G125" s="476" t="s">
        <v>30</v>
      </c>
      <c r="H125" s="476"/>
      <c r="I125" s="476" t="s">
        <v>30</v>
      </c>
      <c r="J125" s="476">
        <v>493.0</v>
      </c>
      <c r="K125" s="476"/>
      <c r="L125" s="476" t="s">
        <v>14585</v>
      </c>
      <c r="M125" s="478" t="s">
        <v>14586</v>
      </c>
      <c r="N125" s="476">
        <v>1948.0</v>
      </c>
      <c r="O125" s="478">
        <v>3.0</v>
      </c>
      <c r="P125" s="476">
        <v>1.0</v>
      </c>
      <c r="Q125" s="481">
        <v>1.0</v>
      </c>
      <c r="R125" s="149"/>
      <c r="S125" s="45"/>
      <c r="T125" s="45"/>
      <c r="U125" s="45"/>
      <c r="V125" s="45"/>
      <c r="W125" s="45"/>
      <c r="X125" s="45"/>
      <c r="Y125" s="45"/>
      <c r="Z125" s="45"/>
      <c r="AA125" s="45"/>
      <c r="AB125" s="45"/>
      <c r="AC125" s="45"/>
      <c r="AD125" s="45"/>
      <c r="AE125" s="45"/>
      <c r="AF125" s="45"/>
      <c r="AG125" s="45"/>
      <c r="AH125" s="45"/>
      <c r="AI125" s="45"/>
      <c r="AJ125" s="45"/>
    </row>
    <row r="126" ht="15.75" customHeight="1">
      <c r="A126" s="476">
        <v>118.0</v>
      </c>
      <c r="B126" s="476" t="s">
        <v>14587</v>
      </c>
      <c r="C126" s="478" t="s">
        <v>14588</v>
      </c>
      <c r="D126" s="482" t="s">
        <v>14589</v>
      </c>
      <c r="E126" s="476" t="s">
        <v>4612</v>
      </c>
      <c r="F126" s="476" t="s">
        <v>29</v>
      </c>
      <c r="G126" s="476" t="s">
        <v>30</v>
      </c>
      <c r="H126" s="476"/>
      <c r="I126" s="476" t="s">
        <v>30</v>
      </c>
      <c r="J126" s="476">
        <v>1381.0</v>
      </c>
      <c r="K126" s="476"/>
      <c r="L126" s="478" t="s">
        <v>14590</v>
      </c>
      <c r="M126" s="476" t="s">
        <v>13283</v>
      </c>
      <c r="N126" s="476">
        <v>2002.0</v>
      </c>
      <c r="O126" s="478">
        <v>3.0</v>
      </c>
      <c r="P126" s="476">
        <v>4.0</v>
      </c>
      <c r="Q126" s="481">
        <v>3.0</v>
      </c>
      <c r="R126" s="149"/>
      <c r="S126" s="45"/>
      <c r="T126" s="45"/>
      <c r="U126" s="45"/>
      <c r="V126" s="45"/>
      <c r="W126" s="45"/>
      <c r="X126" s="45"/>
      <c r="Y126" s="45"/>
      <c r="Z126" s="45"/>
      <c r="AA126" s="45"/>
      <c r="AB126" s="45"/>
      <c r="AC126" s="45"/>
      <c r="AD126" s="45"/>
      <c r="AE126" s="45"/>
      <c r="AF126" s="45"/>
      <c r="AG126" s="45"/>
      <c r="AH126" s="45"/>
      <c r="AI126" s="45"/>
      <c r="AJ126" s="45"/>
    </row>
    <row r="127" ht="15.75" customHeight="1">
      <c r="A127" s="476">
        <v>119.0</v>
      </c>
      <c r="B127" s="476" t="s">
        <v>14591</v>
      </c>
      <c r="C127" s="478" t="s">
        <v>14592</v>
      </c>
      <c r="D127" s="489" t="s">
        <v>14593</v>
      </c>
      <c r="E127" s="476" t="s">
        <v>4612</v>
      </c>
      <c r="F127" s="476" t="s">
        <v>29</v>
      </c>
      <c r="G127" s="476" t="s">
        <v>30</v>
      </c>
      <c r="H127" s="476"/>
      <c r="I127" s="476" t="s">
        <v>30</v>
      </c>
      <c r="J127" s="476">
        <v>1701.0</v>
      </c>
      <c r="K127" s="476"/>
      <c r="L127" s="478" t="s">
        <v>14594</v>
      </c>
      <c r="M127" s="476" t="s">
        <v>2698</v>
      </c>
      <c r="N127" s="476">
        <v>2008.0</v>
      </c>
      <c r="O127" s="478">
        <v>3.0</v>
      </c>
      <c r="P127" s="476">
        <v>2.0</v>
      </c>
      <c r="Q127" s="481">
        <v>2.0</v>
      </c>
      <c r="R127" s="149"/>
      <c r="S127" s="45"/>
      <c r="T127" s="45"/>
      <c r="U127" s="45"/>
      <c r="V127" s="45"/>
      <c r="W127" s="45"/>
      <c r="X127" s="45"/>
      <c r="Y127" s="45"/>
      <c r="Z127" s="45"/>
      <c r="AA127" s="45"/>
      <c r="AB127" s="45"/>
      <c r="AC127" s="45"/>
      <c r="AD127" s="45"/>
      <c r="AE127" s="45"/>
      <c r="AF127" s="45"/>
      <c r="AG127" s="45"/>
      <c r="AH127" s="45"/>
      <c r="AI127" s="45"/>
      <c r="AJ127" s="45"/>
    </row>
    <row r="128" ht="15.75" customHeight="1">
      <c r="A128" s="476"/>
      <c r="B128" s="478" t="s">
        <v>14595</v>
      </c>
      <c r="C128" s="478" t="s">
        <v>14596</v>
      </c>
      <c r="D128" s="482" t="s">
        <v>14597</v>
      </c>
      <c r="E128" s="476" t="s">
        <v>4612</v>
      </c>
      <c r="F128" s="476" t="s">
        <v>29</v>
      </c>
      <c r="G128" s="476" t="s">
        <v>30</v>
      </c>
      <c r="H128" s="476"/>
      <c r="I128" s="476" t="s">
        <v>30</v>
      </c>
      <c r="J128" s="476">
        <v>1964.0</v>
      </c>
      <c r="K128" s="476"/>
      <c r="L128" s="478" t="s">
        <v>14598</v>
      </c>
      <c r="M128" s="478" t="s">
        <v>14599</v>
      </c>
      <c r="N128" s="476">
        <v>2017.0</v>
      </c>
      <c r="O128" s="478">
        <v>3.0</v>
      </c>
      <c r="P128" s="476">
        <v>1.0</v>
      </c>
      <c r="Q128" s="481">
        <v>1.0</v>
      </c>
      <c r="R128" s="149"/>
      <c r="S128" s="45"/>
      <c r="T128" s="45"/>
      <c r="U128" s="45"/>
      <c r="V128" s="45"/>
      <c r="W128" s="45"/>
      <c r="X128" s="45"/>
      <c r="Y128" s="45"/>
      <c r="Z128" s="45"/>
      <c r="AA128" s="45"/>
      <c r="AB128" s="45"/>
      <c r="AC128" s="45"/>
      <c r="AD128" s="45"/>
      <c r="AE128" s="45"/>
      <c r="AF128" s="45"/>
      <c r="AG128" s="45"/>
      <c r="AH128" s="45"/>
      <c r="AI128" s="45"/>
      <c r="AJ128" s="45"/>
    </row>
    <row r="129" ht="15.75" customHeight="1">
      <c r="A129" s="476">
        <v>120.0</v>
      </c>
      <c r="B129" s="476" t="s">
        <v>31</v>
      </c>
      <c r="C129" s="478" t="s">
        <v>14600</v>
      </c>
      <c r="D129" s="482" t="s">
        <v>14601</v>
      </c>
      <c r="E129" s="476" t="s">
        <v>4612</v>
      </c>
      <c r="F129" s="476" t="s">
        <v>29</v>
      </c>
      <c r="G129" s="476" t="s">
        <v>30</v>
      </c>
      <c r="H129" s="476"/>
      <c r="I129" s="476" t="s">
        <v>30</v>
      </c>
      <c r="J129" s="476">
        <v>341.0</v>
      </c>
      <c r="K129" s="476"/>
      <c r="L129" s="476" t="s">
        <v>14602</v>
      </c>
      <c r="M129" s="478" t="s">
        <v>14603</v>
      </c>
      <c r="N129" s="476">
        <v>1978.0</v>
      </c>
      <c r="O129" s="478">
        <v>3.0</v>
      </c>
      <c r="P129" s="476">
        <v>1.0</v>
      </c>
      <c r="Q129" s="481">
        <v>1.0</v>
      </c>
      <c r="R129" s="149"/>
      <c r="S129" s="45"/>
      <c r="T129" s="45"/>
      <c r="U129" s="45"/>
      <c r="V129" s="45"/>
      <c r="W129" s="45"/>
      <c r="X129" s="45"/>
      <c r="Y129" s="45"/>
      <c r="Z129" s="45"/>
      <c r="AA129" s="45"/>
      <c r="AB129" s="45"/>
      <c r="AC129" s="45"/>
      <c r="AD129" s="45"/>
      <c r="AE129" s="45"/>
      <c r="AF129" s="45"/>
      <c r="AG129" s="45"/>
      <c r="AH129" s="45"/>
      <c r="AI129" s="45"/>
      <c r="AJ129" s="45"/>
    </row>
    <row r="130" ht="15.75" customHeight="1">
      <c r="A130" s="186">
        <v>121.0</v>
      </c>
      <c r="B130" s="186" t="s">
        <v>14604</v>
      </c>
      <c r="C130" s="191" t="s">
        <v>14605</v>
      </c>
      <c r="D130" s="497" t="s">
        <v>14606</v>
      </c>
      <c r="E130" s="186" t="s">
        <v>4612</v>
      </c>
      <c r="F130" s="186" t="s">
        <v>29</v>
      </c>
      <c r="G130" s="186" t="s">
        <v>30</v>
      </c>
      <c r="H130" s="186"/>
      <c r="I130" s="186" t="s">
        <v>30</v>
      </c>
      <c r="J130" s="186">
        <v>700.0</v>
      </c>
      <c r="K130" s="186"/>
      <c r="L130" s="191" t="s">
        <v>14607</v>
      </c>
      <c r="M130" s="186" t="s">
        <v>2698</v>
      </c>
      <c r="N130" s="191">
        <v>2014.0</v>
      </c>
      <c r="O130" s="191">
        <v>3.0</v>
      </c>
      <c r="P130" s="186">
        <v>1.0</v>
      </c>
      <c r="Q130" s="37">
        <v>1.0</v>
      </c>
      <c r="R130" s="149"/>
      <c r="S130" s="45"/>
      <c r="T130" s="45"/>
      <c r="U130" s="45"/>
      <c r="V130" s="45"/>
      <c r="W130" s="45"/>
      <c r="X130" s="45"/>
      <c r="Y130" s="45"/>
      <c r="Z130" s="45"/>
      <c r="AA130" s="45"/>
      <c r="AB130" s="45"/>
      <c r="AC130" s="45"/>
      <c r="AD130" s="45"/>
      <c r="AE130" s="45"/>
      <c r="AF130" s="45"/>
      <c r="AG130" s="45"/>
      <c r="AH130" s="45"/>
      <c r="AI130" s="45"/>
      <c r="AJ130" s="45"/>
    </row>
    <row r="131" ht="15.75" customHeight="1">
      <c r="A131" s="186">
        <v>122.0</v>
      </c>
      <c r="B131" s="186" t="s">
        <v>14608</v>
      </c>
      <c r="C131" s="191" t="s">
        <v>14605</v>
      </c>
      <c r="D131" s="35" t="s">
        <v>14609</v>
      </c>
      <c r="E131" s="186" t="s">
        <v>4612</v>
      </c>
      <c r="F131" s="186" t="s">
        <v>29</v>
      </c>
      <c r="G131" s="186" t="s">
        <v>30</v>
      </c>
      <c r="H131" s="186"/>
      <c r="I131" s="186" t="s">
        <v>30</v>
      </c>
      <c r="J131" s="191">
        <v>618.0</v>
      </c>
      <c r="K131" s="186"/>
      <c r="L131" s="191" t="s">
        <v>14607</v>
      </c>
      <c r="M131" s="186" t="s">
        <v>2698</v>
      </c>
      <c r="N131" s="186">
        <v>2003.0</v>
      </c>
      <c r="O131" s="191">
        <v>3.0</v>
      </c>
      <c r="P131" s="186">
        <v>1.0</v>
      </c>
      <c r="Q131" s="37">
        <v>1.0</v>
      </c>
      <c r="R131" s="149"/>
      <c r="S131" s="45"/>
      <c r="T131" s="45"/>
      <c r="U131" s="45"/>
      <c r="V131" s="45"/>
      <c r="W131" s="45"/>
      <c r="X131" s="45"/>
      <c r="Y131" s="45"/>
      <c r="Z131" s="45"/>
      <c r="AA131" s="45"/>
      <c r="AB131" s="45"/>
      <c r="AC131" s="45"/>
      <c r="AD131" s="45"/>
      <c r="AE131" s="45"/>
      <c r="AF131" s="45"/>
      <c r="AG131" s="45"/>
      <c r="AH131" s="45"/>
      <c r="AI131" s="45"/>
      <c r="AJ131" s="45"/>
    </row>
    <row r="132" ht="15.75" customHeight="1">
      <c r="A132" s="476">
        <v>123.0</v>
      </c>
      <c r="B132" s="476" t="s">
        <v>13728</v>
      </c>
      <c r="C132" s="478" t="s">
        <v>14610</v>
      </c>
      <c r="D132" s="482" t="s">
        <v>14611</v>
      </c>
      <c r="E132" s="476" t="s">
        <v>4612</v>
      </c>
      <c r="F132" s="476" t="s">
        <v>29</v>
      </c>
      <c r="G132" s="476" t="s">
        <v>30</v>
      </c>
      <c r="H132" s="476"/>
      <c r="I132" s="476" t="s">
        <v>30</v>
      </c>
      <c r="J132" s="476">
        <v>1646.0</v>
      </c>
      <c r="K132" s="476"/>
      <c r="L132" s="478" t="s">
        <v>14612</v>
      </c>
      <c r="M132" s="476" t="s">
        <v>2494</v>
      </c>
      <c r="N132" s="476">
        <v>1996.0</v>
      </c>
      <c r="O132" s="478">
        <v>3.0</v>
      </c>
      <c r="P132" s="476">
        <v>4.0</v>
      </c>
      <c r="Q132" s="481">
        <v>3.0</v>
      </c>
      <c r="R132" s="149"/>
      <c r="S132" s="45"/>
      <c r="T132" s="45"/>
      <c r="U132" s="45"/>
      <c r="V132" s="45"/>
      <c r="W132" s="45"/>
      <c r="X132" s="45"/>
      <c r="Y132" s="45"/>
      <c r="Z132" s="45"/>
      <c r="AA132" s="45"/>
      <c r="AB132" s="45"/>
      <c r="AC132" s="45"/>
      <c r="AD132" s="45"/>
      <c r="AE132" s="45"/>
      <c r="AF132" s="45"/>
      <c r="AG132" s="45"/>
      <c r="AH132" s="45"/>
      <c r="AI132" s="45"/>
      <c r="AJ132" s="45"/>
    </row>
    <row r="133" ht="15.75" customHeight="1">
      <c r="A133" s="186">
        <v>124.0</v>
      </c>
      <c r="B133" s="186" t="s">
        <v>14613</v>
      </c>
      <c r="C133" s="191" t="s">
        <v>14614</v>
      </c>
      <c r="D133" s="35" t="s">
        <v>14615</v>
      </c>
      <c r="E133" s="186" t="s">
        <v>4612</v>
      </c>
      <c r="F133" s="186" t="s">
        <v>29</v>
      </c>
      <c r="G133" s="186" t="s">
        <v>30</v>
      </c>
      <c r="H133" s="186"/>
      <c r="I133" s="186" t="s">
        <v>30</v>
      </c>
      <c r="J133" s="186">
        <v>336.0</v>
      </c>
      <c r="K133" s="186"/>
      <c r="L133" s="191" t="s">
        <v>14616</v>
      </c>
      <c r="M133" s="186" t="s">
        <v>2698</v>
      </c>
      <c r="N133" s="186">
        <v>2003.0</v>
      </c>
      <c r="O133" s="191">
        <v>3.0</v>
      </c>
      <c r="P133" s="186">
        <v>1.0</v>
      </c>
      <c r="Q133" s="37">
        <v>1.0</v>
      </c>
      <c r="R133" s="149"/>
      <c r="S133" s="45"/>
      <c r="T133" s="45"/>
      <c r="U133" s="45"/>
      <c r="V133" s="45"/>
      <c r="W133" s="45"/>
      <c r="X133" s="45"/>
      <c r="Y133" s="45"/>
      <c r="Z133" s="45"/>
      <c r="AA133" s="45"/>
      <c r="AB133" s="45"/>
      <c r="AC133" s="45"/>
      <c r="AD133" s="45"/>
      <c r="AE133" s="45"/>
      <c r="AF133" s="45"/>
      <c r="AG133" s="45"/>
      <c r="AH133" s="45"/>
      <c r="AI133" s="45"/>
      <c r="AJ133" s="45"/>
    </row>
    <row r="134" ht="15.75" customHeight="1">
      <c r="A134" s="476">
        <v>125.0</v>
      </c>
      <c r="B134" s="476" t="s">
        <v>14617</v>
      </c>
      <c r="C134" s="478" t="s">
        <v>14618</v>
      </c>
      <c r="D134" s="482" t="s">
        <v>14619</v>
      </c>
      <c r="E134" s="476" t="s">
        <v>4612</v>
      </c>
      <c r="F134" s="476" t="s">
        <v>29</v>
      </c>
      <c r="G134" s="476" t="s">
        <v>30</v>
      </c>
      <c r="H134" s="476"/>
      <c r="I134" s="476" t="s">
        <v>30</v>
      </c>
      <c r="J134" s="476">
        <v>295.0</v>
      </c>
      <c r="K134" s="476"/>
      <c r="L134" s="476" t="s">
        <v>6275</v>
      </c>
      <c r="M134" s="476" t="s">
        <v>2698</v>
      </c>
      <c r="N134" s="476">
        <v>1993.0</v>
      </c>
      <c r="O134" s="478">
        <v>3.0</v>
      </c>
      <c r="P134" s="476">
        <v>1.0</v>
      </c>
      <c r="Q134" s="481">
        <v>1.0</v>
      </c>
      <c r="R134" s="149"/>
      <c r="S134" s="45"/>
      <c r="T134" s="45"/>
      <c r="U134" s="45"/>
      <c r="V134" s="45"/>
      <c r="W134" s="45"/>
      <c r="X134" s="45"/>
      <c r="Y134" s="45"/>
      <c r="Z134" s="45"/>
      <c r="AA134" s="45"/>
      <c r="AB134" s="45"/>
      <c r="AC134" s="45"/>
      <c r="AD134" s="45"/>
      <c r="AE134" s="45"/>
      <c r="AF134" s="45"/>
      <c r="AG134" s="45"/>
      <c r="AH134" s="45"/>
      <c r="AI134" s="45"/>
      <c r="AJ134" s="45"/>
    </row>
    <row r="135" ht="15.75" customHeight="1">
      <c r="A135" s="476">
        <v>126.0</v>
      </c>
      <c r="B135" s="476" t="s">
        <v>14620</v>
      </c>
      <c r="C135" s="478" t="s">
        <v>14600</v>
      </c>
      <c r="D135" s="489" t="s">
        <v>14621</v>
      </c>
      <c r="E135" s="476" t="s">
        <v>4612</v>
      </c>
      <c r="F135" s="476" t="s">
        <v>29</v>
      </c>
      <c r="G135" s="476" t="s">
        <v>30</v>
      </c>
      <c r="H135" s="476"/>
      <c r="I135" s="476" t="s">
        <v>30</v>
      </c>
      <c r="J135" s="476">
        <v>377.0</v>
      </c>
      <c r="K135" s="476"/>
      <c r="L135" s="476" t="s">
        <v>6199</v>
      </c>
      <c r="M135" s="476" t="s">
        <v>14622</v>
      </c>
      <c r="N135" s="476">
        <v>2005.0</v>
      </c>
      <c r="O135" s="478">
        <v>3.0</v>
      </c>
      <c r="P135" s="476">
        <v>1.0</v>
      </c>
      <c r="Q135" s="481">
        <v>1.0</v>
      </c>
      <c r="R135" s="149"/>
      <c r="S135" s="45"/>
      <c r="T135" s="45"/>
      <c r="U135" s="45"/>
      <c r="V135" s="45"/>
      <c r="W135" s="45"/>
      <c r="X135" s="45"/>
      <c r="Y135" s="45"/>
      <c r="Z135" s="45"/>
      <c r="AA135" s="45"/>
      <c r="AB135" s="45"/>
      <c r="AC135" s="45"/>
      <c r="AD135" s="45"/>
      <c r="AE135" s="45"/>
      <c r="AF135" s="45"/>
      <c r="AG135" s="45"/>
      <c r="AH135" s="45"/>
      <c r="AI135" s="45"/>
      <c r="AJ135" s="45"/>
    </row>
    <row r="136" ht="15.75" customHeight="1">
      <c r="A136" s="476">
        <v>127.0</v>
      </c>
      <c r="B136" s="476" t="s">
        <v>31</v>
      </c>
      <c r="C136" s="498" t="s">
        <v>14623</v>
      </c>
      <c r="D136" s="482" t="s">
        <v>14624</v>
      </c>
      <c r="E136" s="476" t="s">
        <v>4612</v>
      </c>
      <c r="F136" s="476" t="s">
        <v>29</v>
      </c>
      <c r="G136" s="476" t="s">
        <v>30</v>
      </c>
      <c r="H136" s="476"/>
      <c r="I136" s="476" t="s">
        <v>30</v>
      </c>
      <c r="J136" s="476">
        <v>230.0</v>
      </c>
      <c r="K136" s="476"/>
      <c r="L136" s="476" t="s">
        <v>6275</v>
      </c>
      <c r="M136" s="476" t="s">
        <v>2698</v>
      </c>
      <c r="N136" s="476">
        <v>1983.0</v>
      </c>
      <c r="O136" s="478">
        <v>3.0</v>
      </c>
      <c r="P136" s="476">
        <v>1.0</v>
      </c>
      <c r="Q136" s="481">
        <v>1.0</v>
      </c>
      <c r="R136" s="149"/>
      <c r="S136" s="45"/>
      <c r="T136" s="45"/>
      <c r="U136" s="45"/>
      <c r="V136" s="45"/>
      <c r="W136" s="45"/>
      <c r="X136" s="45"/>
      <c r="Y136" s="45"/>
      <c r="Z136" s="45"/>
      <c r="AA136" s="45"/>
      <c r="AB136" s="45"/>
      <c r="AC136" s="45"/>
      <c r="AD136" s="45"/>
      <c r="AE136" s="45"/>
      <c r="AF136" s="45"/>
      <c r="AG136" s="45"/>
      <c r="AH136" s="45"/>
      <c r="AI136" s="45"/>
      <c r="AJ136" s="45"/>
    </row>
    <row r="137" ht="15.75" customHeight="1">
      <c r="A137" s="186">
        <v>128.0</v>
      </c>
      <c r="B137" s="186" t="s">
        <v>14625</v>
      </c>
      <c r="C137" s="191" t="s">
        <v>14626</v>
      </c>
      <c r="D137" s="35" t="s">
        <v>14627</v>
      </c>
      <c r="E137" s="186" t="s">
        <v>4612</v>
      </c>
      <c r="F137" s="186" t="s">
        <v>29</v>
      </c>
      <c r="G137" s="186" t="s">
        <v>30</v>
      </c>
      <c r="H137" s="186"/>
      <c r="I137" s="186" t="s">
        <v>30</v>
      </c>
      <c r="J137" s="186">
        <v>194.0</v>
      </c>
      <c r="K137" s="186"/>
      <c r="L137" s="186" t="s">
        <v>14446</v>
      </c>
      <c r="M137" s="186" t="s">
        <v>151</v>
      </c>
      <c r="N137" s="186">
        <v>2012.0</v>
      </c>
      <c r="O137" s="191">
        <v>3.0</v>
      </c>
      <c r="P137" s="186">
        <v>1.0</v>
      </c>
      <c r="Q137" s="37">
        <v>1.0</v>
      </c>
      <c r="R137" s="149"/>
      <c r="S137" s="45"/>
      <c r="T137" s="45"/>
      <c r="U137" s="45"/>
      <c r="V137" s="45"/>
      <c r="W137" s="45"/>
      <c r="X137" s="45"/>
      <c r="Y137" s="45"/>
      <c r="Z137" s="45"/>
      <c r="AA137" s="45"/>
      <c r="AB137" s="45"/>
      <c r="AC137" s="45"/>
      <c r="AD137" s="45"/>
      <c r="AE137" s="45"/>
      <c r="AF137" s="45"/>
      <c r="AG137" s="45"/>
      <c r="AH137" s="45"/>
      <c r="AI137" s="45"/>
      <c r="AJ137" s="45"/>
    </row>
    <row r="138" ht="15.75" customHeight="1">
      <c r="A138" s="476">
        <v>129.0</v>
      </c>
      <c r="B138" s="476" t="s">
        <v>14628</v>
      </c>
      <c r="C138" s="478" t="s">
        <v>14592</v>
      </c>
      <c r="D138" s="489" t="s">
        <v>14629</v>
      </c>
      <c r="E138" s="476" t="s">
        <v>4612</v>
      </c>
      <c r="F138" s="476" t="s">
        <v>29</v>
      </c>
      <c r="G138" s="476" t="s">
        <v>30</v>
      </c>
      <c r="H138" s="476"/>
      <c r="I138" s="476" t="s">
        <v>30</v>
      </c>
      <c r="J138" s="478">
        <v>654.0</v>
      </c>
      <c r="K138" s="476"/>
      <c r="L138" s="478" t="s">
        <v>14594</v>
      </c>
      <c r="M138" s="476" t="s">
        <v>6821</v>
      </c>
      <c r="N138" s="476">
        <v>2009.0</v>
      </c>
      <c r="O138" s="478">
        <v>3.0</v>
      </c>
      <c r="P138" s="476">
        <v>2.0</v>
      </c>
      <c r="Q138" s="481">
        <v>2.0</v>
      </c>
      <c r="R138" s="149"/>
      <c r="S138" s="45"/>
      <c r="T138" s="45"/>
      <c r="U138" s="45"/>
      <c r="V138" s="45"/>
      <c r="W138" s="45"/>
      <c r="X138" s="45"/>
      <c r="Y138" s="45"/>
      <c r="Z138" s="45"/>
      <c r="AA138" s="45"/>
      <c r="AB138" s="45"/>
      <c r="AC138" s="45"/>
      <c r="AD138" s="45"/>
      <c r="AE138" s="45"/>
      <c r="AF138" s="45"/>
      <c r="AG138" s="45"/>
      <c r="AH138" s="45"/>
      <c r="AI138" s="45"/>
      <c r="AJ138" s="45"/>
    </row>
    <row r="139" ht="15.75" customHeight="1">
      <c r="A139" s="186">
        <v>130.0</v>
      </c>
      <c r="B139" s="186" t="s">
        <v>14630</v>
      </c>
      <c r="C139" s="191" t="s">
        <v>14631</v>
      </c>
      <c r="D139" s="188" t="s">
        <v>14632</v>
      </c>
      <c r="E139" s="186" t="s">
        <v>4612</v>
      </c>
      <c r="F139" s="186" t="s">
        <v>29</v>
      </c>
      <c r="G139" s="186" t="s">
        <v>14633</v>
      </c>
      <c r="H139" s="186"/>
      <c r="I139" s="186" t="s">
        <v>38</v>
      </c>
      <c r="J139" s="186">
        <v>947.0</v>
      </c>
      <c r="K139" s="186"/>
      <c r="L139" s="191" t="s">
        <v>14634</v>
      </c>
      <c r="M139" s="186" t="s">
        <v>14635</v>
      </c>
      <c r="N139" s="186">
        <v>2005.0</v>
      </c>
      <c r="O139" s="191">
        <v>3.0</v>
      </c>
      <c r="P139" s="186">
        <v>1.0</v>
      </c>
      <c r="Q139" s="37">
        <v>1.0</v>
      </c>
      <c r="R139" s="149"/>
      <c r="S139" s="45"/>
      <c r="T139" s="45"/>
      <c r="U139" s="45"/>
      <c r="V139" s="45"/>
      <c r="W139" s="45"/>
      <c r="X139" s="45"/>
      <c r="Y139" s="45"/>
      <c r="Z139" s="45"/>
      <c r="AA139" s="45"/>
      <c r="AB139" s="45"/>
      <c r="AC139" s="45"/>
      <c r="AD139" s="45"/>
      <c r="AE139" s="45"/>
      <c r="AF139" s="45"/>
      <c r="AG139" s="45"/>
      <c r="AH139" s="45"/>
      <c r="AI139" s="45"/>
      <c r="AJ139" s="45"/>
    </row>
    <row r="140" ht="15.75" customHeight="1">
      <c r="A140" s="476">
        <v>131.0</v>
      </c>
      <c r="B140" s="476" t="s">
        <v>14587</v>
      </c>
      <c r="C140" s="478" t="s">
        <v>14636</v>
      </c>
      <c r="D140" s="482" t="s">
        <v>14637</v>
      </c>
      <c r="E140" s="476" t="s">
        <v>4612</v>
      </c>
      <c r="F140" s="476" t="s">
        <v>29</v>
      </c>
      <c r="G140" s="476" t="s">
        <v>30</v>
      </c>
      <c r="H140" s="476"/>
      <c r="I140" s="476" t="s">
        <v>30</v>
      </c>
      <c r="J140" s="476">
        <v>1277.0</v>
      </c>
      <c r="K140" s="476"/>
      <c r="L140" s="478" t="s">
        <v>14638</v>
      </c>
      <c r="M140" s="476" t="s">
        <v>13283</v>
      </c>
      <c r="N140" s="476">
        <v>1988.0</v>
      </c>
      <c r="O140" s="478">
        <v>3.0</v>
      </c>
      <c r="P140" s="476">
        <v>1.0</v>
      </c>
      <c r="Q140" s="481">
        <v>2.0</v>
      </c>
      <c r="R140" s="149"/>
      <c r="S140" s="45"/>
      <c r="T140" s="45"/>
      <c r="U140" s="45"/>
      <c r="V140" s="45"/>
      <c r="W140" s="45"/>
      <c r="X140" s="45"/>
      <c r="Y140" s="45"/>
      <c r="Z140" s="45"/>
      <c r="AA140" s="45"/>
      <c r="AB140" s="45"/>
      <c r="AC140" s="45"/>
      <c r="AD140" s="45"/>
      <c r="AE140" s="45"/>
      <c r="AF140" s="45"/>
      <c r="AG140" s="45"/>
      <c r="AH140" s="45"/>
      <c r="AI140" s="45"/>
      <c r="AJ140" s="45"/>
    </row>
    <row r="141" ht="15.75" customHeight="1">
      <c r="A141" s="186">
        <v>132.0</v>
      </c>
      <c r="B141" s="186" t="s">
        <v>31</v>
      </c>
      <c r="C141" s="191" t="s">
        <v>14639</v>
      </c>
      <c r="D141" s="497" t="s">
        <v>14640</v>
      </c>
      <c r="E141" s="186" t="s">
        <v>4612</v>
      </c>
      <c r="F141" s="186" t="s">
        <v>29</v>
      </c>
      <c r="G141" s="186" t="s">
        <v>37</v>
      </c>
      <c r="H141" s="186"/>
      <c r="I141" s="186" t="s">
        <v>38</v>
      </c>
      <c r="J141" s="186">
        <v>658.0</v>
      </c>
      <c r="K141" s="186"/>
      <c r="L141" s="186" t="s">
        <v>14641</v>
      </c>
      <c r="M141" s="186" t="s">
        <v>2893</v>
      </c>
      <c r="N141" s="186">
        <v>1944.0</v>
      </c>
      <c r="O141" s="191">
        <v>2.0</v>
      </c>
      <c r="P141" s="186">
        <v>1.0</v>
      </c>
      <c r="Q141" s="37">
        <v>1.0</v>
      </c>
      <c r="R141" s="149"/>
      <c r="S141" s="45"/>
      <c r="T141" s="45"/>
      <c r="U141" s="45"/>
      <c r="V141" s="45"/>
      <c r="W141" s="45"/>
      <c r="X141" s="45"/>
      <c r="Y141" s="45"/>
      <c r="Z141" s="45"/>
      <c r="AA141" s="45"/>
      <c r="AB141" s="45"/>
      <c r="AC141" s="45"/>
      <c r="AD141" s="45"/>
      <c r="AE141" s="45"/>
      <c r="AF141" s="45"/>
      <c r="AG141" s="45"/>
      <c r="AH141" s="45"/>
      <c r="AI141" s="45"/>
      <c r="AJ141" s="45"/>
    </row>
    <row r="142" ht="15.75" customHeight="1">
      <c r="A142" s="191" t="s">
        <v>0</v>
      </c>
      <c r="B142" s="186" t="s">
        <v>31</v>
      </c>
      <c r="C142" s="191" t="s">
        <v>14642</v>
      </c>
      <c r="D142" s="188" t="s">
        <v>14643</v>
      </c>
      <c r="E142" s="186" t="s">
        <v>4612</v>
      </c>
      <c r="F142" s="186" t="s">
        <v>29</v>
      </c>
      <c r="G142" s="186" t="s">
        <v>30</v>
      </c>
      <c r="H142" s="440"/>
      <c r="I142" s="186" t="s">
        <v>30</v>
      </c>
      <c r="J142" s="186">
        <v>34.0</v>
      </c>
      <c r="K142" s="186"/>
      <c r="L142" s="191" t="s">
        <v>14644</v>
      </c>
      <c r="M142" s="191" t="s">
        <v>14645</v>
      </c>
      <c r="N142" s="186">
        <v>2005.0</v>
      </c>
      <c r="O142" s="186"/>
      <c r="P142" s="186">
        <v>1.0</v>
      </c>
      <c r="Q142" s="436">
        <v>1.0</v>
      </c>
      <c r="R142" s="3"/>
      <c r="S142" s="3"/>
      <c r="T142" s="3"/>
      <c r="U142" s="3"/>
      <c r="V142" s="3"/>
      <c r="W142" s="3"/>
      <c r="X142" s="3"/>
      <c r="Y142" s="3"/>
      <c r="Z142" s="3"/>
      <c r="AA142" s="3"/>
      <c r="AB142" s="3"/>
      <c r="AC142" s="3"/>
      <c r="AD142" s="3"/>
      <c r="AE142" s="3"/>
      <c r="AF142" s="3"/>
      <c r="AG142" s="3"/>
      <c r="AH142" s="3"/>
      <c r="AI142" s="3"/>
      <c r="AJ142" s="3"/>
    </row>
    <row r="143" ht="15.75" customHeight="1">
      <c r="A143" s="476">
        <v>134.0</v>
      </c>
      <c r="B143" s="478" t="s">
        <v>14646</v>
      </c>
      <c r="C143" s="478" t="s">
        <v>14647</v>
      </c>
      <c r="D143" s="489" t="s">
        <v>14648</v>
      </c>
      <c r="E143" s="476" t="s">
        <v>4612</v>
      </c>
      <c r="F143" s="476" t="s">
        <v>29</v>
      </c>
      <c r="G143" s="476" t="s">
        <v>30</v>
      </c>
      <c r="H143" s="476" t="s">
        <v>14221</v>
      </c>
      <c r="I143" s="476" t="s">
        <v>14221</v>
      </c>
      <c r="J143" s="476">
        <v>885.0</v>
      </c>
      <c r="K143" s="476"/>
      <c r="L143" s="478" t="s">
        <v>14649</v>
      </c>
      <c r="M143" s="476" t="s">
        <v>161</v>
      </c>
      <c r="N143" s="478">
        <v>2001.0</v>
      </c>
      <c r="O143" s="478">
        <v>3.0</v>
      </c>
      <c r="P143" s="476">
        <v>1.0</v>
      </c>
      <c r="Q143" s="481">
        <v>1.0</v>
      </c>
      <c r="R143" s="149"/>
      <c r="S143" s="45"/>
      <c r="T143" s="45"/>
      <c r="U143" s="45"/>
      <c r="V143" s="45"/>
      <c r="W143" s="45"/>
      <c r="X143" s="45"/>
      <c r="Y143" s="45"/>
      <c r="Z143" s="45"/>
      <c r="AA143" s="45"/>
      <c r="AB143" s="45"/>
      <c r="AC143" s="45"/>
      <c r="AD143" s="45"/>
      <c r="AE143" s="45"/>
      <c r="AF143" s="45"/>
      <c r="AG143" s="45"/>
      <c r="AH143" s="45"/>
      <c r="AI143" s="45"/>
      <c r="AJ143" s="45"/>
    </row>
    <row r="144" ht="15.75" customHeight="1">
      <c r="A144" s="476">
        <v>135.0</v>
      </c>
      <c r="B144" s="476" t="s">
        <v>31</v>
      </c>
      <c r="C144" s="478" t="s">
        <v>14650</v>
      </c>
      <c r="D144" s="482" t="s">
        <v>14651</v>
      </c>
      <c r="E144" s="476" t="s">
        <v>4612</v>
      </c>
      <c r="F144" s="476" t="s">
        <v>29</v>
      </c>
      <c r="G144" s="476" t="s">
        <v>30</v>
      </c>
      <c r="H144" s="476" t="s">
        <v>14221</v>
      </c>
      <c r="I144" s="476" t="s">
        <v>14221</v>
      </c>
      <c r="J144" s="476">
        <v>756.0</v>
      </c>
      <c r="K144" s="476"/>
      <c r="L144" s="478" t="s">
        <v>14652</v>
      </c>
      <c r="M144" s="478" t="s">
        <v>14653</v>
      </c>
      <c r="N144" s="476">
        <v>1957.0</v>
      </c>
      <c r="O144" s="478">
        <v>3.0</v>
      </c>
      <c r="P144" s="476">
        <v>1.0</v>
      </c>
      <c r="Q144" s="481">
        <v>1.0</v>
      </c>
      <c r="R144" s="149"/>
      <c r="S144" s="45"/>
      <c r="T144" s="45"/>
      <c r="U144" s="45"/>
      <c r="V144" s="45"/>
      <c r="W144" s="45"/>
      <c r="X144" s="45"/>
      <c r="Y144" s="45"/>
      <c r="Z144" s="45"/>
      <c r="AA144" s="45"/>
      <c r="AB144" s="45"/>
      <c r="AC144" s="45"/>
      <c r="AD144" s="45"/>
      <c r="AE144" s="45"/>
      <c r="AF144" s="45"/>
      <c r="AG144" s="45"/>
      <c r="AH144" s="45"/>
      <c r="AI144" s="45"/>
      <c r="AJ144" s="45"/>
    </row>
    <row r="145" ht="15.75" customHeight="1">
      <c r="A145" s="186">
        <v>136.0</v>
      </c>
      <c r="B145" s="186" t="s">
        <v>31</v>
      </c>
      <c r="C145" s="191" t="s">
        <v>14654</v>
      </c>
      <c r="D145" s="35" t="s">
        <v>14655</v>
      </c>
      <c r="E145" s="186" t="s">
        <v>4612</v>
      </c>
      <c r="F145" s="186" t="s">
        <v>29</v>
      </c>
      <c r="G145" s="186" t="s">
        <v>30</v>
      </c>
      <c r="H145" s="186" t="s">
        <v>7269</v>
      </c>
      <c r="I145" s="186" t="s">
        <v>14656</v>
      </c>
      <c r="J145" s="186">
        <v>237.0</v>
      </c>
      <c r="K145" s="186"/>
      <c r="L145" s="186" t="s">
        <v>14657</v>
      </c>
      <c r="M145" s="186" t="s">
        <v>14658</v>
      </c>
      <c r="N145" s="191">
        <v>1986.0</v>
      </c>
      <c r="O145" s="191">
        <v>3.0</v>
      </c>
      <c r="P145" s="186">
        <v>1.0</v>
      </c>
      <c r="Q145" s="37">
        <v>1.0</v>
      </c>
      <c r="R145" s="149"/>
      <c r="S145" s="45"/>
      <c r="T145" s="45"/>
      <c r="U145" s="45"/>
      <c r="V145" s="45"/>
      <c r="W145" s="45"/>
      <c r="X145" s="45"/>
      <c r="Y145" s="45"/>
      <c r="Z145" s="45"/>
      <c r="AA145" s="45"/>
      <c r="AB145" s="45"/>
      <c r="AC145" s="45"/>
      <c r="AD145" s="45"/>
      <c r="AE145" s="45"/>
      <c r="AF145" s="45"/>
      <c r="AG145" s="45"/>
      <c r="AH145" s="45"/>
      <c r="AI145" s="45"/>
      <c r="AJ145" s="45"/>
    </row>
    <row r="146" ht="15.75" customHeight="1">
      <c r="A146" s="476">
        <v>137.0</v>
      </c>
      <c r="B146" s="478" t="s">
        <v>14659</v>
      </c>
      <c r="C146" s="478" t="s">
        <v>14660</v>
      </c>
      <c r="D146" s="489" t="s">
        <v>14661</v>
      </c>
      <c r="E146" s="476" t="s">
        <v>4612</v>
      </c>
      <c r="F146" s="476" t="s">
        <v>29</v>
      </c>
      <c r="G146" s="476" t="s">
        <v>30</v>
      </c>
      <c r="H146" s="476" t="s">
        <v>7269</v>
      </c>
      <c r="I146" s="476" t="s">
        <v>14662</v>
      </c>
      <c r="J146" s="476">
        <v>752.0</v>
      </c>
      <c r="K146" s="476"/>
      <c r="L146" s="476" t="s">
        <v>14663</v>
      </c>
      <c r="M146" s="476" t="s">
        <v>14664</v>
      </c>
      <c r="N146" s="476">
        <v>1996.0</v>
      </c>
      <c r="O146" s="478">
        <v>3.0</v>
      </c>
      <c r="P146" s="476">
        <v>1.0</v>
      </c>
      <c r="Q146" s="481">
        <v>1.0</v>
      </c>
      <c r="R146" s="149"/>
      <c r="S146" s="45"/>
      <c r="T146" s="45"/>
      <c r="U146" s="45"/>
      <c r="V146" s="45"/>
      <c r="W146" s="45"/>
      <c r="X146" s="45"/>
      <c r="Y146" s="45"/>
      <c r="Z146" s="45"/>
      <c r="AA146" s="45"/>
      <c r="AB146" s="45"/>
      <c r="AC146" s="45"/>
      <c r="AD146" s="45"/>
      <c r="AE146" s="45"/>
      <c r="AF146" s="45"/>
      <c r="AG146" s="45"/>
      <c r="AH146" s="45"/>
      <c r="AI146" s="45"/>
      <c r="AJ146" s="45"/>
    </row>
    <row r="147" ht="15.75" customHeight="1">
      <c r="A147" s="476">
        <v>138.0</v>
      </c>
      <c r="B147" s="476" t="s">
        <v>14665</v>
      </c>
      <c r="C147" s="478" t="s">
        <v>14666</v>
      </c>
      <c r="D147" s="482" t="s">
        <v>14667</v>
      </c>
      <c r="E147" s="476" t="s">
        <v>4612</v>
      </c>
      <c r="F147" s="476" t="s">
        <v>29</v>
      </c>
      <c r="G147" s="476" t="s">
        <v>30</v>
      </c>
      <c r="H147" s="476" t="s">
        <v>14668</v>
      </c>
      <c r="I147" s="476" t="s">
        <v>14669</v>
      </c>
      <c r="J147" s="476">
        <v>743.0</v>
      </c>
      <c r="K147" s="476"/>
      <c r="L147" s="476" t="s">
        <v>14670</v>
      </c>
      <c r="M147" s="476" t="s">
        <v>14671</v>
      </c>
      <c r="N147" s="476">
        <v>2009.0</v>
      </c>
      <c r="O147" s="478">
        <v>3.0</v>
      </c>
      <c r="P147" s="476">
        <v>1.0</v>
      </c>
      <c r="Q147" s="483">
        <v>1.0</v>
      </c>
      <c r="R147" s="3"/>
      <c r="S147" s="3"/>
      <c r="T147" s="3"/>
      <c r="U147" s="3"/>
      <c r="V147" s="3"/>
      <c r="W147" s="3"/>
      <c r="X147" s="3"/>
      <c r="Y147" s="3"/>
      <c r="Z147" s="3"/>
      <c r="AA147" s="3"/>
      <c r="AB147" s="3"/>
      <c r="AC147" s="3"/>
      <c r="AD147" s="3"/>
      <c r="AE147" s="3"/>
      <c r="AF147" s="3"/>
      <c r="AG147" s="3"/>
      <c r="AH147" s="3"/>
      <c r="AI147" s="3"/>
      <c r="AJ147" s="3"/>
    </row>
    <row r="148" ht="15.75" customHeight="1">
      <c r="A148" s="476">
        <v>139.0</v>
      </c>
      <c r="B148" s="476" t="s">
        <v>31</v>
      </c>
      <c r="C148" s="478" t="s">
        <v>14672</v>
      </c>
      <c r="D148" s="482" t="s">
        <v>14673</v>
      </c>
      <c r="E148" s="476" t="s">
        <v>4612</v>
      </c>
      <c r="F148" s="476" t="s">
        <v>29</v>
      </c>
      <c r="G148" s="476" t="s">
        <v>30</v>
      </c>
      <c r="H148" s="476" t="s">
        <v>14668</v>
      </c>
      <c r="I148" s="476" t="s">
        <v>14669</v>
      </c>
      <c r="J148" s="476">
        <v>246.0</v>
      </c>
      <c r="K148" s="476"/>
      <c r="L148" s="476" t="s">
        <v>14674</v>
      </c>
      <c r="M148" s="476" t="s">
        <v>14675</v>
      </c>
      <c r="N148" s="476">
        <v>2000.0</v>
      </c>
      <c r="O148" s="478">
        <v>3.0</v>
      </c>
      <c r="P148" s="476">
        <v>2.0</v>
      </c>
      <c r="Q148" s="481">
        <v>2.0</v>
      </c>
      <c r="R148" s="149"/>
      <c r="S148" s="45"/>
      <c r="T148" s="45"/>
      <c r="U148" s="45"/>
      <c r="V148" s="45"/>
      <c r="W148" s="45"/>
      <c r="X148" s="45"/>
      <c r="Y148" s="45"/>
      <c r="Z148" s="45"/>
      <c r="AA148" s="45"/>
      <c r="AB148" s="45"/>
      <c r="AC148" s="45"/>
      <c r="AD148" s="45"/>
      <c r="AE148" s="45"/>
      <c r="AF148" s="45"/>
      <c r="AG148" s="45"/>
      <c r="AH148" s="45"/>
      <c r="AI148" s="45"/>
      <c r="AJ148" s="45"/>
    </row>
    <row r="149" ht="15.75" customHeight="1">
      <c r="A149" s="476">
        <v>140.0</v>
      </c>
      <c r="B149" s="476" t="s">
        <v>31</v>
      </c>
      <c r="C149" s="478" t="s">
        <v>14676</v>
      </c>
      <c r="D149" s="482" t="s">
        <v>14677</v>
      </c>
      <c r="E149" s="476" t="s">
        <v>4612</v>
      </c>
      <c r="F149" s="476" t="s">
        <v>29</v>
      </c>
      <c r="G149" s="476" t="s">
        <v>30</v>
      </c>
      <c r="H149" s="476" t="s">
        <v>6662</v>
      </c>
      <c r="I149" s="476" t="s">
        <v>14678</v>
      </c>
      <c r="J149" s="476">
        <v>451.0</v>
      </c>
      <c r="K149" s="476"/>
      <c r="L149" s="478" t="s">
        <v>14679</v>
      </c>
      <c r="M149" s="476" t="s">
        <v>4212</v>
      </c>
      <c r="N149" s="478">
        <v>2000.0</v>
      </c>
      <c r="O149" s="478">
        <v>3.0</v>
      </c>
      <c r="P149" s="476">
        <v>1.0</v>
      </c>
      <c r="Q149" s="483">
        <v>1.0</v>
      </c>
      <c r="R149" s="3"/>
      <c r="S149" s="3"/>
      <c r="T149" s="3"/>
      <c r="U149" s="3"/>
      <c r="V149" s="3"/>
      <c r="W149" s="3"/>
      <c r="X149" s="3"/>
      <c r="Y149" s="3"/>
      <c r="Z149" s="3"/>
      <c r="AA149" s="3"/>
      <c r="AB149" s="3"/>
      <c r="AC149" s="3"/>
      <c r="AD149" s="3"/>
      <c r="AE149" s="3"/>
      <c r="AF149" s="3"/>
      <c r="AG149" s="3"/>
      <c r="AH149" s="3"/>
      <c r="AI149" s="3"/>
      <c r="AJ149" s="3"/>
    </row>
    <row r="150" ht="15.75" customHeight="1">
      <c r="A150" s="476">
        <v>141.0</v>
      </c>
      <c r="B150" s="476" t="s">
        <v>31</v>
      </c>
      <c r="C150" s="478" t="s">
        <v>14680</v>
      </c>
      <c r="D150" s="489" t="s">
        <v>14681</v>
      </c>
      <c r="E150" s="476" t="s">
        <v>4612</v>
      </c>
      <c r="F150" s="476" t="s">
        <v>29</v>
      </c>
      <c r="G150" s="476" t="s">
        <v>131</v>
      </c>
      <c r="H150" s="476" t="s">
        <v>14668</v>
      </c>
      <c r="I150" s="476" t="s">
        <v>14682</v>
      </c>
      <c r="J150" s="476">
        <v>355.0</v>
      </c>
      <c r="K150" s="476"/>
      <c r="L150" s="476" t="s">
        <v>14683</v>
      </c>
      <c r="M150" s="476" t="s">
        <v>14684</v>
      </c>
      <c r="N150" s="476">
        <v>1975.0</v>
      </c>
      <c r="O150" s="478">
        <v>4.0</v>
      </c>
      <c r="P150" s="476">
        <v>1.0</v>
      </c>
      <c r="Q150" s="483">
        <v>1.0</v>
      </c>
      <c r="R150" s="3"/>
      <c r="S150" s="3"/>
      <c r="T150" s="3"/>
      <c r="U150" s="3"/>
      <c r="V150" s="3"/>
      <c r="W150" s="3"/>
      <c r="X150" s="3"/>
      <c r="Y150" s="3"/>
      <c r="Z150" s="3"/>
      <c r="AA150" s="3"/>
      <c r="AB150" s="3"/>
      <c r="AC150" s="3"/>
      <c r="AD150" s="3"/>
      <c r="AE150" s="3"/>
      <c r="AF150" s="3"/>
      <c r="AG150" s="3"/>
      <c r="AH150" s="3"/>
      <c r="AI150" s="3"/>
      <c r="AJ150" s="3"/>
    </row>
    <row r="151" ht="15.75" customHeight="1">
      <c r="A151" s="476">
        <v>142.0</v>
      </c>
      <c r="B151" s="476" t="s">
        <v>31</v>
      </c>
      <c r="C151" s="478" t="s">
        <v>14685</v>
      </c>
      <c r="D151" s="482" t="s">
        <v>14686</v>
      </c>
      <c r="E151" s="476" t="s">
        <v>4612</v>
      </c>
      <c r="F151" s="476" t="s">
        <v>29</v>
      </c>
      <c r="G151" s="476" t="s">
        <v>30</v>
      </c>
      <c r="H151" s="476" t="s">
        <v>14687</v>
      </c>
      <c r="I151" s="476" t="s">
        <v>14688</v>
      </c>
      <c r="J151" s="476">
        <v>221.0</v>
      </c>
      <c r="K151" s="476"/>
      <c r="L151" s="478" t="s">
        <v>14689</v>
      </c>
      <c r="M151" s="478" t="s">
        <v>14690</v>
      </c>
      <c r="N151" s="476">
        <v>1975.0</v>
      </c>
      <c r="O151" s="478">
        <v>3.0</v>
      </c>
      <c r="P151" s="476">
        <v>1.0</v>
      </c>
      <c r="Q151" s="481">
        <v>1.0</v>
      </c>
      <c r="R151" s="149"/>
      <c r="S151" s="45"/>
      <c r="T151" s="45"/>
      <c r="U151" s="45"/>
      <c r="V151" s="45"/>
      <c r="W151" s="45"/>
      <c r="X151" s="45"/>
      <c r="Y151" s="45"/>
      <c r="Z151" s="45"/>
      <c r="AA151" s="45"/>
      <c r="AB151" s="45"/>
      <c r="AC151" s="45"/>
      <c r="AD151" s="45"/>
      <c r="AE151" s="45"/>
      <c r="AF151" s="45"/>
      <c r="AG151" s="45"/>
      <c r="AH151" s="45"/>
      <c r="AI151" s="45"/>
      <c r="AJ151" s="45"/>
    </row>
    <row r="152" ht="15.75" customHeight="1">
      <c r="A152" s="476">
        <v>143.0</v>
      </c>
      <c r="B152" s="476" t="s">
        <v>31</v>
      </c>
      <c r="C152" s="478" t="s">
        <v>14691</v>
      </c>
      <c r="D152" s="482" t="s">
        <v>14692</v>
      </c>
      <c r="E152" s="476" t="s">
        <v>4612</v>
      </c>
      <c r="F152" s="476" t="s">
        <v>29</v>
      </c>
      <c r="G152" s="476" t="s">
        <v>30</v>
      </c>
      <c r="H152" s="476" t="s">
        <v>14693</v>
      </c>
      <c r="I152" s="476" t="s">
        <v>14694</v>
      </c>
      <c r="J152" s="476">
        <v>422.0</v>
      </c>
      <c r="K152" s="476"/>
      <c r="L152" s="478" t="s">
        <v>14695</v>
      </c>
      <c r="M152" s="478" t="s">
        <v>14690</v>
      </c>
      <c r="N152" s="478">
        <v>1985.0</v>
      </c>
      <c r="O152" s="478">
        <v>3.0</v>
      </c>
      <c r="P152" s="476">
        <v>1.0</v>
      </c>
      <c r="Q152" s="481">
        <v>1.0</v>
      </c>
      <c r="R152" s="149"/>
      <c r="S152" s="45"/>
      <c r="T152" s="45"/>
      <c r="U152" s="45"/>
      <c r="V152" s="45"/>
      <c r="W152" s="45"/>
      <c r="X152" s="45"/>
      <c r="Y152" s="45"/>
      <c r="Z152" s="45"/>
      <c r="AA152" s="45"/>
      <c r="AB152" s="45"/>
      <c r="AC152" s="45"/>
      <c r="AD152" s="45"/>
      <c r="AE152" s="45"/>
      <c r="AF152" s="45"/>
      <c r="AG152" s="45"/>
      <c r="AH152" s="45"/>
      <c r="AI152" s="45"/>
      <c r="AJ152" s="45"/>
    </row>
    <row r="153" ht="15.75" customHeight="1">
      <c r="A153" s="476">
        <v>144.0</v>
      </c>
      <c r="B153" s="476" t="s">
        <v>31</v>
      </c>
      <c r="C153" s="478" t="s">
        <v>14696</v>
      </c>
      <c r="D153" s="482" t="s">
        <v>14697</v>
      </c>
      <c r="E153" s="476" t="s">
        <v>4612</v>
      </c>
      <c r="F153" s="476" t="s">
        <v>29</v>
      </c>
      <c r="G153" s="476" t="s">
        <v>30</v>
      </c>
      <c r="H153" s="476" t="s">
        <v>14698</v>
      </c>
      <c r="I153" s="476" t="s">
        <v>14699</v>
      </c>
      <c r="J153" s="476">
        <v>409.0</v>
      </c>
      <c r="K153" s="476"/>
      <c r="L153" s="476" t="s">
        <v>14700</v>
      </c>
      <c r="M153" s="476" t="s">
        <v>4767</v>
      </c>
      <c r="N153" s="476">
        <v>1978.0</v>
      </c>
      <c r="O153" s="478">
        <v>3.0</v>
      </c>
      <c r="P153" s="476">
        <v>2.0</v>
      </c>
      <c r="Q153" s="481">
        <v>2.0</v>
      </c>
      <c r="R153" s="149"/>
      <c r="S153" s="45"/>
      <c r="T153" s="45"/>
      <c r="U153" s="45"/>
      <c r="V153" s="45"/>
      <c r="W153" s="45"/>
      <c r="X153" s="45"/>
      <c r="Y153" s="45"/>
      <c r="Z153" s="45"/>
      <c r="AA153" s="45"/>
      <c r="AB153" s="45"/>
      <c r="AC153" s="45"/>
      <c r="AD153" s="45"/>
      <c r="AE153" s="45"/>
      <c r="AF153" s="45"/>
      <c r="AG153" s="45"/>
      <c r="AH153" s="45"/>
      <c r="AI153" s="45"/>
      <c r="AJ153" s="45"/>
    </row>
    <row r="154" ht="15.75" customHeight="1">
      <c r="A154" s="476">
        <v>145.0</v>
      </c>
      <c r="B154" s="476" t="s">
        <v>31</v>
      </c>
      <c r="C154" s="478" t="s">
        <v>14701</v>
      </c>
      <c r="D154" s="482" t="s">
        <v>5429</v>
      </c>
      <c r="E154" s="476" t="s">
        <v>4612</v>
      </c>
      <c r="F154" s="476" t="s">
        <v>29</v>
      </c>
      <c r="G154" s="476" t="s">
        <v>30</v>
      </c>
      <c r="H154" s="476" t="s">
        <v>14702</v>
      </c>
      <c r="I154" s="476" t="s">
        <v>14703</v>
      </c>
      <c r="J154" s="476">
        <v>227.0</v>
      </c>
      <c r="K154" s="476"/>
      <c r="L154" s="476" t="s">
        <v>14704</v>
      </c>
      <c r="M154" s="478" t="s">
        <v>14690</v>
      </c>
      <c r="N154" s="478">
        <v>1977.0</v>
      </c>
      <c r="O154" s="478">
        <v>3.0</v>
      </c>
      <c r="P154" s="476">
        <v>1.0</v>
      </c>
      <c r="Q154" s="481">
        <v>1.0</v>
      </c>
      <c r="R154" s="149"/>
      <c r="S154" s="45"/>
      <c r="T154" s="45"/>
      <c r="U154" s="45"/>
      <c r="V154" s="45"/>
      <c r="W154" s="45"/>
      <c r="X154" s="45"/>
      <c r="Y154" s="45"/>
      <c r="Z154" s="45"/>
      <c r="AA154" s="45"/>
      <c r="AB154" s="45"/>
      <c r="AC154" s="45"/>
      <c r="AD154" s="45"/>
      <c r="AE154" s="45"/>
      <c r="AF154" s="45"/>
      <c r="AG154" s="45"/>
      <c r="AH154" s="45"/>
      <c r="AI154" s="45"/>
      <c r="AJ154" s="45"/>
    </row>
    <row r="155" ht="15.75" customHeight="1">
      <c r="A155" s="476">
        <v>146.0</v>
      </c>
      <c r="B155" s="476" t="s">
        <v>31</v>
      </c>
      <c r="C155" s="478" t="s">
        <v>14705</v>
      </c>
      <c r="D155" s="482" t="s">
        <v>14706</v>
      </c>
      <c r="E155" s="476" t="s">
        <v>4612</v>
      </c>
      <c r="F155" s="476" t="s">
        <v>29</v>
      </c>
      <c r="G155" s="476" t="s">
        <v>30</v>
      </c>
      <c r="H155" s="476" t="s">
        <v>14702</v>
      </c>
      <c r="I155" s="476" t="s">
        <v>14707</v>
      </c>
      <c r="J155" s="476">
        <v>692.0</v>
      </c>
      <c r="K155" s="476"/>
      <c r="L155" s="478" t="s">
        <v>14708</v>
      </c>
      <c r="M155" s="478" t="s">
        <v>14709</v>
      </c>
      <c r="N155" s="478">
        <v>1972.0</v>
      </c>
      <c r="O155" s="478">
        <v>3.0</v>
      </c>
      <c r="P155" s="476">
        <v>2.0</v>
      </c>
      <c r="Q155" s="483">
        <v>2.0</v>
      </c>
      <c r="R155" s="3"/>
      <c r="S155" s="3"/>
      <c r="T155" s="3"/>
      <c r="U155" s="3"/>
      <c r="V155" s="3"/>
      <c r="W155" s="3"/>
      <c r="X155" s="3"/>
      <c r="Y155" s="3"/>
      <c r="Z155" s="3"/>
      <c r="AA155" s="3"/>
      <c r="AB155" s="3"/>
      <c r="AC155" s="3"/>
      <c r="AD155" s="3"/>
      <c r="AE155" s="3"/>
      <c r="AF155" s="3"/>
      <c r="AG155" s="3"/>
      <c r="AH155" s="3"/>
      <c r="AI155" s="3"/>
      <c r="AJ155" s="3"/>
    </row>
    <row r="156" ht="15.75" customHeight="1">
      <c r="A156" s="476">
        <v>147.0</v>
      </c>
      <c r="B156" s="476" t="s">
        <v>31</v>
      </c>
      <c r="C156" s="478" t="s">
        <v>14710</v>
      </c>
      <c r="D156" s="482" t="s">
        <v>14711</v>
      </c>
      <c r="E156" s="476" t="s">
        <v>4612</v>
      </c>
      <c r="F156" s="476" t="s">
        <v>29</v>
      </c>
      <c r="G156" s="476" t="s">
        <v>30</v>
      </c>
      <c r="H156" s="476" t="s">
        <v>14712</v>
      </c>
      <c r="I156" s="476" t="s">
        <v>14713</v>
      </c>
      <c r="J156" s="476">
        <v>296.0</v>
      </c>
      <c r="K156" s="476"/>
      <c r="L156" s="476" t="s">
        <v>14714</v>
      </c>
      <c r="M156" s="476" t="s">
        <v>14715</v>
      </c>
      <c r="N156" s="478">
        <v>1982.0</v>
      </c>
      <c r="O156" s="478">
        <v>3.0</v>
      </c>
      <c r="P156" s="476">
        <v>1.0</v>
      </c>
      <c r="Q156" s="481">
        <v>1.0</v>
      </c>
      <c r="R156" s="149"/>
      <c r="S156" s="45"/>
      <c r="T156" s="45"/>
      <c r="U156" s="45"/>
      <c r="V156" s="45"/>
      <c r="W156" s="45"/>
      <c r="X156" s="45"/>
      <c r="Y156" s="45"/>
      <c r="Z156" s="45"/>
      <c r="AA156" s="45"/>
      <c r="AB156" s="45"/>
      <c r="AC156" s="45"/>
      <c r="AD156" s="45"/>
      <c r="AE156" s="45"/>
      <c r="AF156" s="45"/>
      <c r="AG156" s="45"/>
      <c r="AH156" s="45"/>
      <c r="AI156" s="45"/>
      <c r="AJ156" s="45"/>
    </row>
    <row r="157" ht="15.75" customHeight="1">
      <c r="A157" s="476">
        <v>148.0</v>
      </c>
      <c r="B157" s="476" t="s">
        <v>14716</v>
      </c>
      <c r="C157" s="478" t="s">
        <v>14717</v>
      </c>
      <c r="D157" s="482" t="s">
        <v>14718</v>
      </c>
      <c r="E157" s="476" t="s">
        <v>4612</v>
      </c>
      <c r="F157" s="476" t="s">
        <v>29</v>
      </c>
      <c r="G157" s="476" t="s">
        <v>30</v>
      </c>
      <c r="H157" s="476" t="s">
        <v>14719</v>
      </c>
      <c r="I157" s="476" t="s">
        <v>14720</v>
      </c>
      <c r="J157" s="478">
        <v>403.0</v>
      </c>
      <c r="K157" s="476"/>
      <c r="L157" s="476" t="s">
        <v>14721</v>
      </c>
      <c r="M157" s="476" t="s">
        <v>14722</v>
      </c>
      <c r="N157" s="478">
        <v>2006.0</v>
      </c>
      <c r="O157" s="478">
        <v>3.0</v>
      </c>
      <c r="P157" s="476">
        <v>2.0</v>
      </c>
      <c r="Q157" s="483">
        <v>2.0</v>
      </c>
      <c r="R157" s="3"/>
      <c r="S157" s="3"/>
      <c r="T157" s="3"/>
      <c r="U157" s="3"/>
      <c r="V157" s="3"/>
      <c r="W157" s="3"/>
      <c r="X157" s="3"/>
      <c r="Y157" s="3"/>
      <c r="Z157" s="3"/>
      <c r="AA157" s="3"/>
      <c r="AB157" s="3"/>
      <c r="AC157" s="3"/>
      <c r="AD157" s="3"/>
      <c r="AE157" s="3"/>
      <c r="AF157" s="3"/>
      <c r="AG157" s="3"/>
      <c r="AH157" s="3"/>
      <c r="AI157" s="3"/>
      <c r="AJ157" s="3"/>
    </row>
    <row r="158" ht="15.75" customHeight="1">
      <c r="A158" s="476">
        <v>149.0</v>
      </c>
      <c r="B158" s="476" t="s">
        <v>14723</v>
      </c>
      <c r="C158" s="478" t="s">
        <v>14724</v>
      </c>
      <c r="D158" s="482" t="s">
        <v>14725</v>
      </c>
      <c r="E158" s="476" t="s">
        <v>4612</v>
      </c>
      <c r="F158" s="476" t="s">
        <v>29</v>
      </c>
      <c r="G158" s="476" t="s">
        <v>30</v>
      </c>
      <c r="H158" s="476" t="s">
        <v>14726</v>
      </c>
      <c r="I158" s="476" t="s">
        <v>14727</v>
      </c>
      <c r="J158" s="476">
        <v>330.0</v>
      </c>
      <c r="K158" s="476"/>
      <c r="L158" s="476" t="s">
        <v>14728</v>
      </c>
      <c r="M158" s="476" t="s">
        <v>14622</v>
      </c>
      <c r="N158" s="476">
        <v>1977.0</v>
      </c>
      <c r="O158" s="478">
        <v>3.0</v>
      </c>
      <c r="P158" s="476">
        <v>1.0</v>
      </c>
      <c r="Q158" s="481">
        <v>1.0</v>
      </c>
      <c r="R158" s="149"/>
      <c r="S158" s="45"/>
      <c r="T158" s="45"/>
      <c r="U158" s="45"/>
      <c r="V158" s="45"/>
      <c r="W158" s="45"/>
      <c r="X158" s="45"/>
      <c r="Y158" s="45"/>
      <c r="Z158" s="45"/>
      <c r="AA158" s="45"/>
      <c r="AB158" s="45"/>
      <c r="AC158" s="45"/>
      <c r="AD158" s="45"/>
      <c r="AE158" s="45"/>
      <c r="AF158" s="45"/>
      <c r="AG158" s="45"/>
      <c r="AH158" s="45"/>
      <c r="AI158" s="45"/>
      <c r="AJ158" s="45"/>
    </row>
    <row r="159" ht="15.75" customHeight="1">
      <c r="A159" s="476">
        <v>150.0</v>
      </c>
      <c r="B159" s="476" t="s">
        <v>31</v>
      </c>
      <c r="C159" s="478" t="s">
        <v>14729</v>
      </c>
      <c r="D159" s="482" t="s">
        <v>14730</v>
      </c>
      <c r="E159" s="476" t="s">
        <v>4612</v>
      </c>
      <c r="F159" s="476" t="s">
        <v>29</v>
      </c>
      <c r="G159" s="476" t="s">
        <v>30</v>
      </c>
      <c r="H159" s="476" t="s">
        <v>14731</v>
      </c>
      <c r="I159" s="476" t="s">
        <v>14732</v>
      </c>
      <c r="J159" s="476">
        <v>191.0</v>
      </c>
      <c r="K159" s="476"/>
      <c r="L159" s="476" t="s">
        <v>14733</v>
      </c>
      <c r="M159" s="478" t="s">
        <v>14690</v>
      </c>
      <c r="N159" s="478">
        <v>1977.0</v>
      </c>
      <c r="O159" s="478">
        <v>3.0</v>
      </c>
      <c r="P159" s="476">
        <v>1.0</v>
      </c>
      <c r="Q159" s="481">
        <v>1.0</v>
      </c>
      <c r="R159" s="149"/>
      <c r="S159" s="45"/>
      <c r="T159" s="45"/>
      <c r="U159" s="45"/>
      <c r="V159" s="45"/>
      <c r="W159" s="45"/>
      <c r="X159" s="45"/>
      <c r="Y159" s="45"/>
      <c r="Z159" s="45"/>
      <c r="AA159" s="45"/>
      <c r="AB159" s="45"/>
      <c r="AC159" s="45"/>
      <c r="AD159" s="45"/>
      <c r="AE159" s="45"/>
      <c r="AF159" s="45"/>
      <c r="AG159" s="45"/>
      <c r="AH159" s="45"/>
      <c r="AI159" s="45"/>
      <c r="AJ159" s="45"/>
    </row>
    <row r="160" ht="15.75" customHeight="1">
      <c r="A160" s="476">
        <v>151.0</v>
      </c>
      <c r="B160" s="476" t="s">
        <v>31</v>
      </c>
      <c r="C160" s="478" t="s">
        <v>14734</v>
      </c>
      <c r="D160" s="482" t="s">
        <v>14735</v>
      </c>
      <c r="E160" s="476" t="s">
        <v>4612</v>
      </c>
      <c r="F160" s="476" t="s">
        <v>29</v>
      </c>
      <c r="G160" s="476" t="s">
        <v>30</v>
      </c>
      <c r="H160" s="476" t="s">
        <v>14726</v>
      </c>
      <c r="I160" s="476" t="s">
        <v>14736</v>
      </c>
      <c r="J160" s="476">
        <v>144.0</v>
      </c>
      <c r="K160" s="476"/>
      <c r="L160" s="476" t="s">
        <v>14737</v>
      </c>
      <c r="M160" s="478" t="s">
        <v>14690</v>
      </c>
      <c r="N160" s="476">
        <v>1977.0</v>
      </c>
      <c r="O160" s="478">
        <v>3.0</v>
      </c>
      <c r="P160" s="476">
        <v>2.0</v>
      </c>
      <c r="Q160" s="481">
        <v>2.0</v>
      </c>
      <c r="R160" s="149"/>
      <c r="S160" s="45"/>
      <c r="T160" s="45"/>
      <c r="U160" s="45"/>
      <c r="V160" s="45"/>
      <c r="W160" s="45"/>
      <c r="X160" s="45"/>
      <c r="Y160" s="45"/>
      <c r="Z160" s="45"/>
      <c r="AA160" s="45"/>
      <c r="AB160" s="45"/>
      <c r="AC160" s="45"/>
      <c r="AD160" s="45"/>
      <c r="AE160" s="45"/>
      <c r="AF160" s="45"/>
      <c r="AG160" s="45"/>
      <c r="AH160" s="45"/>
      <c r="AI160" s="45"/>
      <c r="AJ160" s="45"/>
    </row>
    <row r="161" ht="15.75" customHeight="1">
      <c r="A161" s="476">
        <v>152.0</v>
      </c>
      <c r="B161" s="476" t="s">
        <v>31</v>
      </c>
      <c r="C161" s="478" t="s">
        <v>14705</v>
      </c>
      <c r="D161" s="482" t="s">
        <v>14730</v>
      </c>
      <c r="E161" s="476" t="s">
        <v>4612</v>
      </c>
      <c r="F161" s="476" t="s">
        <v>29</v>
      </c>
      <c r="G161" s="476" t="s">
        <v>30</v>
      </c>
      <c r="H161" s="476" t="s">
        <v>14726</v>
      </c>
      <c r="I161" s="476" t="s">
        <v>14738</v>
      </c>
      <c r="J161" s="476">
        <v>192.0</v>
      </c>
      <c r="K161" s="476"/>
      <c r="L161" s="476" t="s">
        <v>14739</v>
      </c>
      <c r="M161" s="478" t="s">
        <v>14690</v>
      </c>
      <c r="N161" s="476">
        <v>1977.0</v>
      </c>
      <c r="O161" s="478">
        <v>3.0</v>
      </c>
      <c r="P161" s="476">
        <v>2.0</v>
      </c>
      <c r="Q161" s="483">
        <v>2.0</v>
      </c>
      <c r="R161" s="3"/>
      <c r="S161" s="3"/>
      <c r="T161" s="3"/>
      <c r="U161" s="3"/>
      <c r="V161" s="3"/>
      <c r="W161" s="3"/>
      <c r="X161" s="3"/>
      <c r="Y161" s="3"/>
      <c r="Z161" s="3"/>
      <c r="AA161" s="3"/>
      <c r="AB161" s="3"/>
      <c r="AC161" s="3"/>
      <c r="AD161" s="3"/>
      <c r="AE161" s="3"/>
      <c r="AF161" s="3"/>
      <c r="AG161" s="3"/>
      <c r="AH161" s="3"/>
      <c r="AI161" s="3"/>
      <c r="AJ161" s="3"/>
    </row>
    <row r="162" ht="15.75" customHeight="1">
      <c r="A162" s="476">
        <v>153.0</v>
      </c>
      <c r="B162" s="476" t="s">
        <v>31</v>
      </c>
      <c r="C162" s="478" t="s">
        <v>14740</v>
      </c>
      <c r="D162" s="482" t="s">
        <v>14741</v>
      </c>
      <c r="E162" s="476" t="s">
        <v>4612</v>
      </c>
      <c r="F162" s="476" t="s">
        <v>29</v>
      </c>
      <c r="G162" s="476" t="s">
        <v>30</v>
      </c>
      <c r="H162" s="476" t="s">
        <v>14726</v>
      </c>
      <c r="I162" s="476" t="s">
        <v>14727</v>
      </c>
      <c r="J162" s="476">
        <v>310.0</v>
      </c>
      <c r="K162" s="476"/>
      <c r="L162" s="478" t="s">
        <v>14742</v>
      </c>
      <c r="M162" s="478" t="s">
        <v>14690</v>
      </c>
      <c r="N162" s="476">
        <v>1985.0</v>
      </c>
      <c r="O162" s="478">
        <v>3.0</v>
      </c>
      <c r="P162" s="476">
        <v>1.0</v>
      </c>
      <c r="Q162" s="483">
        <v>1.0</v>
      </c>
      <c r="R162" s="3"/>
      <c r="S162" s="3"/>
      <c r="T162" s="3"/>
      <c r="U162" s="3"/>
      <c r="V162" s="3"/>
      <c r="W162" s="3"/>
      <c r="X162" s="3"/>
      <c r="Y162" s="3"/>
      <c r="Z162" s="3"/>
      <c r="AA162" s="3"/>
      <c r="AB162" s="3"/>
      <c r="AC162" s="3"/>
      <c r="AD162" s="3"/>
      <c r="AE162" s="3"/>
      <c r="AF162" s="3"/>
      <c r="AG162" s="3"/>
      <c r="AH162" s="3"/>
      <c r="AI162" s="3"/>
      <c r="AJ162" s="3"/>
    </row>
    <row r="163" ht="15.75" customHeight="1">
      <c r="A163" s="476">
        <v>154.0</v>
      </c>
      <c r="B163" s="476" t="s">
        <v>31</v>
      </c>
      <c r="C163" s="478" t="s">
        <v>14743</v>
      </c>
      <c r="D163" s="482" t="s">
        <v>14744</v>
      </c>
      <c r="E163" s="476" t="s">
        <v>4612</v>
      </c>
      <c r="F163" s="476" t="s">
        <v>29</v>
      </c>
      <c r="G163" s="476" t="s">
        <v>30</v>
      </c>
      <c r="H163" s="476" t="s">
        <v>14726</v>
      </c>
      <c r="I163" s="476" t="s">
        <v>14745</v>
      </c>
      <c r="J163" s="476">
        <v>264.0</v>
      </c>
      <c r="K163" s="476"/>
      <c r="L163" s="478" t="s">
        <v>14746</v>
      </c>
      <c r="M163" s="478" t="s">
        <v>14690</v>
      </c>
      <c r="N163" s="476">
        <v>1985.0</v>
      </c>
      <c r="O163" s="478">
        <v>3.0</v>
      </c>
      <c r="P163" s="476">
        <v>1.0</v>
      </c>
      <c r="Q163" s="481">
        <v>1.0</v>
      </c>
      <c r="R163" s="149"/>
      <c r="S163" s="45"/>
      <c r="T163" s="45"/>
      <c r="U163" s="45"/>
      <c r="V163" s="45"/>
      <c r="W163" s="45"/>
      <c r="X163" s="45"/>
      <c r="Y163" s="45"/>
      <c r="Z163" s="45"/>
      <c r="AA163" s="45"/>
      <c r="AB163" s="45"/>
      <c r="AC163" s="45"/>
      <c r="AD163" s="45"/>
      <c r="AE163" s="45"/>
      <c r="AF163" s="45"/>
      <c r="AG163" s="45"/>
      <c r="AH163" s="45"/>
      <c r="AI163" s="45"/>
      <c r="AJ163" s="45"/>
    </row>
    <row r="164" ht="15.75" customHeight="1">
      <c r="A164" s="186">
        <v>155.0</v>
      </c>
      <c r="B164" s="186" t="s">
        <v>31</v>
      </c>
      <c r="C164" s="191" t="s">
        <v>14747</v>
      </c>
      <c r="D164" s="35" t="s">
        <v>14748</v>
      </c>
      <c r="E164" s="186" t="s">
        <v>4612</v>
      </c>
      <c r="F164" s="186" t="s">
        <v>29</v>
      </c>
      <c r="G164" s="186" t="s">
        <v>30</v>
      </c>
      <c r="H164" s="186"/>
      <c r="I164" s="186" t="s">
        <v>14545</v>
      </c>
      <c r="J164" s="186">
        <v>225.0</v>
      </c>
      <c r="K164" s="186"/>
      <c r="L164" s="186" t="s">
        <v>14749</v>
      </c>
      <c r="M164" s="186" t="s">
        <v>31</v>
      </c>
      <c r="N164" s="186">
        <v>2005.0</v>
      </c>
      <c r="O164" s="191">
        <v>3.0</v>
      </c>
      <c r="P164" s="186">
        <v>1.0</v>
      </c>
      <c r="Q164" s="436">
        <v>1.0</v>
      </c>
      <c r="R164" s="3"/>
      <c r="S164" s="3"/>
      <c r="T164" s="3"/>
      <c r="U164" s="3"/>
      <c r="V164" s="3"/>
      <c r="W164" s="3"/>
      <c r="X164" s="3"/>
      <c r="Y164" s="3"/>
      <c r="Z164" s="3"/>
      <c r="AA164" s="3"/>
      <c r="AB164" s="3"/>
      <c r="AC164" s="3"/>
      <c r="AD164" s="3"/>
      <c r="AE164" s="3"/>
      <c r="AF164" s="3"/>
      <c r="AG164" s="3"/>
      <c r="AH164" s="3"/>
      <c r="AI164" s="3"/>
      <c r="AJ164" s="3"/>
    </row>
    <row r="165" ht="15.75" customHeight="1">
      <c r="A165" s="476">
        <v>156.0</v>
      </c>
      <c r="B165" s="476" t="s">
        <v>31</v>
      </c>
      <c r="C165" s="478" t="s">
        <v>14750</v>
      </c>
      <c r="D165" s="489" t="s">
        <v>6227</v>
      </c>
      <c r="E165" s="476" t="s">
        <v>4612</v>
      </c>
      <c r="F165" s="476" t="s">
        <v>29</v>
      </c>
      <c r="G165" s="476" t="s">
        <v>30</v>
      </c>
      <c r="H165" s="476" t="s">
        <v>14726</v>
      </c>
      <c r="I165" s="476" t="s">
        <v>14751</v>
      </c>
      <c r="J165" s="476">
        <v>333.0</v>
      </c>
      <c r="K165" s="476"/>
      <c r="L165" s="476" t="s">
        <v>6229</v>
      </c>
      <c r="M165" s="476" t="s">
        <v>5198</v>
      </c>
      <c r="N165" s="476">
        <v>1977.0</v>
      </c>
      <c r="O165" s="478">
        <v>3.0</v>
      </c>
      <c r="P165" s="476">
        <v>2.0</v>
      </c>
      <c r="Q165" s="481">
        <v>1.0</v>
      </c>
      <c r="R165" s="149"/>
      <c r="S165" s="45"/>
      <c r="T165" s="45"/>
      <c r="U165" s="45"/>
      <c r="V165" s="45"/>
      <c r="W165" s="45"/>
      <c r="X165" s="45"/>
      <c r="Y165" s="45"/>
      <c r="Z165" s="45"/>
      <c r="AA165" s="45"/>
      <c r="AB165" s="45"/>
      <c r="AC165" s="45"/>
      <c r="AD165" s="45"/>
      <c r="AE165" s="45"/>
      <c r="AF165" s="45"/>
      <c r="AG165" s="45"/>
      <c r="AH165" s="45"/>
      <c r="AI165" s="45"/>
      <c r="AJ165" s="45"/>
    </row>
    <row r="166" ht="15.75" customHeight="1">
      <c r="A166" s="476">
        <v>157.0</v>
      </c>
      <c r="B166" s="476" t="s">
        <v>31</v>
      </c>
      <c r="C166" s="478" t="s">
        <v>14752</v>
      </c>
      <c r="D166" s="482" t="s">
        <v>14753</v>
      </c>
      <c r="E166" s="476" t="s">
        <v>4612</v>
      </c>
      <c r="F166" s="476" t="s">
        <v>29</v>
      </c>
      <c r="G166" s="476" t="s">
        <v>30</v>
      </c>
      <c r="H166" s="476" t="s">
        <v>14754</v>
      </c>
      <c r="I166" s="476" t="s">
        <v>14755</v>
      </c>
      <c r="J166" s="476">
        <v>89.0</v>
      </c>
      <c r="K166" s="476"/>
      <c r="L166" s="478" t="s">
        <v>14756</v>
      </c>
      <c r="M166" s="476" t="s">
        <v>5198</v>
      </c>
      <c r="N166" s="476">
        <v>1985.0</v>
      </c>
      <c r="O166" s="478">
        <v>3.0</v>
      </c>
      <c r="P166" s="476">
        <v>1.0</v>
      </c>
      <c r="Q166" s="481">
        <v>1.0</v>
      </c>
      <c r="R166" s="149"/>
      <c r="S166" s="45"/>
      <c r="T166" s="45"/>
      <c r="U166" s="45"/>
      <c r="V166" s="45"/>
      <c r="W166" s="45"/>
      <c r="X166" s="45"/>
      <c r="Y166" s="45"/>
      <c r="Z166" s="45"/>
      <c r="AA166" s="45"/>
      <c r="AB166" s="45"/>
      <c r="AC166" s="45"/>
      <c r="AD166" s="45"/>
      <c r="AE166" s="45"/>
      <c r="AF166" s="45"/>
      <c r="AG166" s="45"/>
      <c r="AH166" s="45"/>
      <c r="AI166" s="45"/>
      <c r="AJ166" s="45"/>
    </row>
    <row r="167" ht="15.75" customHeight="1">
      <c r="A167" s="476">
        <v>158.0</v>
      </c>
      <c r="B167" s="476" t="s">
        <v>31</v>
      </c>
      <c r="C167" s="478" t="s">
        <v>14757</v>
      </c>
      <c r="D167" s="482" t="s">
        <v>14758</v>
      </c>
      <c r="E167" s="476" t="s">
        <v>4612</v>
      </c>
      <c r="F167" s="476" t="s">
        <v>29</v>
      </c>
      <c r="G167" s="476" t="s">
        <v>30</v>
      </c>
      <c r="H167" s="476" t="s">
        <v>14759</v>
      </c>
      <c r="I167" s="476" t="s">
        <v>14760</v>
      </c>
      <c r="J167" s="476">
        <v>55.0</v>
      </c>
      <c r="K167" s="476"/>
      <c r="L167" s="478" t="s">
        <v>14761</v>
      </c>
      <c r="M167" s="476" t="s">
        <v>14762</v>
      </c>
      <c r="N167" s="476">
        <v>1994.0</v>
      </c>
      <c r="O167" s="478">
        <v>3.0</v>
      </c>
      <c r="P167" s="476">
        <v>1.0</v>
      </c>
      <c r="Q167" s="481">
        <v>1.0</v>
      </c>
      <c r="R167" s="149"/>
      <c r="S167" s="45"/>
      <c r="T167" s="45"/>
      <c r="U167" s="45"/>
      <c r="V167" s="45"/>
      <c r="W167" s="45"/>
      <c r="X167" s="45"/>
      <c r="Y167" s="45"/>
      <c r="Z167" s="45"/>
      <c r="AA167" s="45"/>
      <c r="AB167" s="45"/>
      <c r="AC167" s="45"/>
      <c r="AD167" s="45"/>
      <c r="AE167" s="45"/>
      <c r="AF167" s="45"/>
      <c r="AG167" s="45"/>
      <c r="AH167" s="45"/>
      <c r="AI167" s="45"/>
      <c r="AJ167" s="45"/>
    </row>
    <row r="168" ht="15.75" customHeight="1">
      <c r="A168" s="476">
        <v>159.0</v>
      </c>
      <c r="B168" s="476" t="s">
        <v>31</v>
      </c>
      <c r="C168" s="478" t="s">
        <v>14763</v>
      </c>
      <c r="D168" s="482" t="s">
        <v>14764</v>
      </c>
      <c r="E168" s="476" t="s">
        <v>4612</v>
      </c>
      <c r="F168" s="476" t="s">
        <v>29</v>
      </c>
      <c r="G168" s="476" t="s">
        <v>30</v>
      </c>
      <c r="H168" s="476" t="s">
        <v>14765</v>
      </c>
      <c r="I168" s="476" t="s">
        <v>14766</v>
      </c>
      <c r="J168" s="476">
        <v>81.0</v>
      </c>
      <c r="K168" s="476"/>
      <c r="L168" s="476" t="s">
        <v>14767</v>
      </c>
      <c r="M168" s="476" t="s">
        <v>5198</v>
      </c>
      <c r="N168" s="476">
        <v>1977.0</v>
      </c>
      <c r="O168" s="478">
        <v>3.0</v>
      </c>
      <c r="P168" s="476">
        <v>2.0</v>
      </c>
      <c r="Q168" s="481">
        <v>2.0</v>
      </c>
      <c r="R168" s="149"/>
      <c r="S168" s="45"/>
      <c r="T168" s="45"/>
      <c r="U168" s="45"/>
      <c r="V168" s="45"/>
      <c r="W168" s="45"/>
      <c r="X168" s="45"/>
      <c r="Y168" s="45"/>
      <c r="Z168" s="45"/>
      <c r="AA168" s="45"/>
      <c r="AB168" s="45"/>
      <c r="AC168" s="45"/>
      <c r="AD168" s="45"/>
      <c r="AE168" s="45"/>
      <c r="AF168" s="45"/>
      <c r="AG168" s="45"/>
      <c r="AH168" s="45"/>
      <c r="AI168" s="45"/>
      <c r="AJ168" s="45"/>
    </row>
    <row r="169" ht="15.75" customHeight="1">
      <c r="A169" s="476">
        <v>160.0</v>
      </c>
      <c r="B169" s="476" t="s">
        <v>31</v>
      </c>
      <c r="C169" s="478" t="s">
        <v>14768</v>
      </c>
      <c r="D169" s="482" t="s">
        <v>14769</v>
      </c>
      <c r="E169" s="476" t="s">
        <v>4612</v>
      </c>
      <c r="F169" s="476" t="s">
        <v>29</v>
      </c>
      <c r="G169" s="476" t="s">
        <v>30</v>
      </c>
      <c r="H169" s="476" t="s">
        <v>14712</v>
      </c>
      <c r="I169" s="476" t="s">
        <v>14770</v>
      </c>
      <c r="J169" s="476">
        <v>44.0</v>
      </c>
      <c r="K169" s="476"/>
      <c r="L169" s="476" t="s">
        <v>14771</v>
      </c>
      <c r="M169" s="476" t="s">
        <v>11727</v>
      </c>
      <c r="N169" s="476">
        <v>1976.0</v>
      </c>
      <c r="O169" s="478">
        <v>3.0</v>
      </c>
      <c r="P169" s="476">
        <v>1.0</v>
      </c>
      <c r="Q169" s="483">
        <v>1.0</v>
      </c>
      <c r="R169" s="3"/>
      <c r="S169" s="3"/>
      <c r="T169" s="3"/>
      <c r="U169" s="3"/>
      <c r="V169" s="3"/>
      <c r="W169" s="3"/>
      <c r="X169" s="3"/>
      <c r="Y169" s="3"/>
      <c r="Z169" s="3"/>
      <c r="AA169" s="3"/>
      <c r="AB169" s="3"/>
      <c r="AC169" s="3"/>
      <c r="AD169" s="3"/>
      <c r="AE169" s="3"/>
      <c r="AF169" s="3"/>
      <c r="AG169" s="3"/>
      <c r="AH169" s="3"/>
      <c r="AI169" s="3"/>
      <c r="AJ169" s="3"/>
    </row>
    <row r="170" ht="15.75" customHeight="1">
      <c r="A170" s="476">
        <v>161.0</v>
      </c>
      <c r="B170" s="476" t="s">
        <v>31</v>
      </c>
      <c r="C170" s="478" t="s">
        <v>14772</v>
      </c>
      <c r="D170" s="482" t="s">
        <v>14773</v>
      </c>
      <c r="E170" s="476" t="s">
        <v>4612</v>
      </c>
      <c r="F170" s="476" t="s">
        <v>29</v>
      </c>
      <c r="G170" s="476" t="s">
        <v>30</v>
      </c>
      <c r="H170" s="476" t="s">
        <v>14774</v>
      </c>
      <c r="I170" s="476" t="s">
        <v>14775</v>
      </c>
      <c r="J170" s="476">
        <v>359.0</v>
      </c>
      <c r="K170" s="476"/>
      <c r="L170" s="476" t="s">
        <v>14776</v>
      </c>
      <c r="M170" s="476" t="s">
        <v>2698</v>
      </c>
      <c r="N170" s="476">
        <v>2006.0</v>
      </c>
      <c r="O170" s="478">
        <v>3.0</v>
      </c>
      <c r="P170" s="476">
        <v>1.0</v>
      </c>
      <c r="Q170" s="481">
        <v>1.0</v>
      </c>
      <c r="R170" s="149"/>
      <c r="S170" s="45"/>
      <c r="T170" s="45"/>
      <c r="U170" s="45"/>
      <c r="V170" s="45"/>
      <c r="W170" s="45"/>
      <c r="X170" s="45"/>
      <c r="Y170" s="45"/>
      <c r="Z170" s="45"/>
      <c r="AA170" s="45"/>
      <c r="AB170" s="45"/>
      <c r="AC170" s="45"/>
      <c r="AD170" s="45"/>
      <c r="AE170" s="45"/>
      <c r="AF170" s="45"/>
      <c r="AG170" s="45"/>
      <c r="AH170" s="45"/>
      <c r="AI170" s="45"/>
      <c r="AJ170" s="45"/>
    </row>
    <row r="171" ht="15.75" customHeight="1">
      <c r="A171" s="476">
        <v>162.0</v>
      </c>
      <c r="B171" s="478" t="s">
        <v>14777</v>
      </c>
      <c r="C171" s="478" t="s">
        <v>14778</v>
      </c>
      <c r="D171" s="482" t="s">
        <v>14779</v>
      </c>
      <c r="E171" s="476" t="s">
        <v>4612</v>
      </c>
      <c r="F171" s="476" t="s">
        <v>29</v>
      </c>
      <c r="G171" s="476" t="s">
        <v>30</v>
      </c>
      <c r="H171" s="476" t="s">
        <v>14712</v>
      </c>
      <c r="I171" s="476" t="s">
        <v>14770</v>
      </c>
      <c r="J171" s="476">
        <v>487.0</v>
      </c>
      <c r="K171" s="476"/>
      <c r="L171" s="476" t="s">
        <v>14780</v>
      </c>
      <c r="M171" s="476" t="s">
        <v>2698</v>
      </c>
      <c r="N171" s="476">
        <v>2007.0</v>
      </c>
      <c r="O171" s="478">
        <v>3.0</v>
      </c>
      <c r="P171" s="476">
        <v>1.0</v>
      </c>
      <c r="Q171" s="483">
        <v>1.0</v>
      </c>
      <c r="R171" s="3"/>
      <c r="S171" s="3"/>
      <c r="T171" s="3"/>
      <c r="U171" s="3"/>
      <c r="V171" s="3"/>
      <c r="W171" s="3"/>
      <c r="X171" s="3"/>
      <c r="Y171" s="3"/>
      <c r="Z171" s="3"/>
      <c r="AA171" s="3"/>
      <c r="AB171" s="3"/>
      <c r="AC171" s="3"/>
      <c r="AD171" s="3"/>
      <c r="AE171" s="3"/>
      <c r="AF171" s="3"/>
      <c r="AG171" s="3"/>
      <c r="AH171" s="3"/>
      <c r="AI171" s="3"/>
      <c r="AJ171" s="3"/>
    </row>
    <row r="172" ht="15.75" customHeight="1">
      <c r="A172" s="476">
        <v>163.0</v>
      </c>
      <c r="B172" s="476" t="s">
        <v>31</v>
      </c>
      <c r="C172" s="478" t="s">
        <v>14781</v>
      </c>
      <c r="D172" s="482" t="s">
        <v>14782</v>
      </c>
      <c r="E172" s="476" t="s">
        <v>4612</v>
      </c>
      <c r="F172" s="476" t="s">
        <v>29</v>
      </c>
      <c r="G172" s="476" t="s">
        <v>30</v>
      </c>
      <c r="H172" s="476" t="s">
        <v>14783</v>
      </c>
      <c r="I172" s="476" t="s">
        <v>14784</v>
      </c>
      <c r="J172" s="476">
        <v>203.0</v>
      </c>
      <c r="K172" s="476"/>
      <c r="L172" s="476" t="s">
        <v>14785</v>
      </c>
      <c r="M172" s="478" t="s">
        <v>14786</v>
      </c>
      <c r="N172" s="476">
        <v>2005.0</v>
      </c>
      <c r="O172" s="478">
        <v>3.0</v>
      </c>
      <c r="P172" s="476">
        <v>1.0</v>
      </c>
      <c r="Q172" s="483">
        <v>1.0</v>
      </c>
      <c r="R172" s="3"/>
      <c r="S172" s="3"/>
      <c r="T172" s="3"/>
      <c r="U172" s="3"/>
      <c r="V172" s="3"/>
      <c r="W172" s="3"/>
      <c r="X172" s="3"/>
      <c r="Y172" s="3"/>
      <c r="Z172" s="3"/>
      <c r="AA172" s="3"/>
      <c r="AB172" s="3"/>
      <c r="AC172" s="3"/>
      <c r="AD172" s="3"/>
      <c r="AE172" s="3"/>
      <c r="AF172" s="3"/>
      <c r="AG172" s="3"/>
      <c r="AH172" s="3"/>
      <c r="AI172" s="3"/>
      <c r="AJ172" s="3"/>
    </row>
    <row r="173" ht="15.75" customHeight="1">
      <c r="A173" s="417">
        <v>164.0</v>
      </c>
      <c r="B173" s="417" t="s">
        <v>14787</v>
      </c>
      <c r="C173" s="417" t="s">
        <v>14788</v>
      </c>
      <c r="D173" s="418" t="s">
        <v>14544</v>
      </c>
      <c r="E173" s="417" t="s">
        <v>4612</v>
      </c>
      <c r="F173" s="417" t="s">
        <v>29</v>
      </c>
      <c r="G173" s="417" t="s">
        <v>30</v>
      </c>
      <c r="H173" s="417"/>
      <c r="I173" s="417" t="s">
        <v>14545</v>
      </c>
      <c r="J173" s="417">
        <v>194.0</v>
      </c>
      <c r="K173" s="417"/>
      <c r="L173" s="417" t="s">
        <v>14789</v>
      </c>
      <c r="M173" s="417" t="s">
        <v>151</v>
      </c>
      <c r="N173" s="417">
        <v>2002.0</v>
      </c>
      <c r="O173" s="417" t="s">
        <v>388</v>
      </c>
      <c r="P173" s="417">
        <v>1.0</v>
      </c>
      <c r="Q173" s="419"/>
      <c r="R173" s="149"/>
      <c r="S173" s="45"/>
      <c r="T173" s="45"/>
      <c r="U173" s="45"/>
      <c r="V173" s="45"/>
      <c r="W173" s="45"/>
      <c r="X173" s="45"/>
      <c r="Y173" s="45"/>
      <c r="Z173" s="45"/>
      <c r="AA173" s="45"/>
      <c r="AB173" s="45"/>
      <c r="AC173" s="45"/>
      <c r="AD173" s="45"/>
      <c r="AE173" s="45"/>
      <c r="AF173" s="45"/>
      <c r="AG173" s="45"/>
      <c r="AH173" s="45"/>
      <c r="AI173" s="45"/>
      <c r="AJ173" s="45"/>
    </row>
    <row r="174" ht="15.75" customHeight="1">
      <c r="A174" s="476">
        <v>165.0</v>
      </c>
      <c r="B174" s="476" t="s">
        <v>31</v>
      </c>
      <c r="C174" s="478" t="s">
        <v>14790</v>
      </c>
      <c r="D174" s="482" t="s">
        <v>14791</v>
      </c>
      <c r="E174" s="476" t="s">
        <v>4612</v>
      </c>
      <c r="F174" s="476" t="s">
        <v>29</v>
      </c>
      <c r="G174" s="476" t="s">
        <v>30</v>
      </c>
      <c r="H174" s="476" t="s">
        <v>14792</v>
      </c>
      <c r="I174" s="476" t="s">
        <v>14793</v>
      </c>
      <c r="J174" s="476">
        <v>435.0</v>
      </c>
      <c r="K174" s="476"/>
      <c r="L174" s="478" t="s">
        <v>14794</v>
      </c>
      <c r="M174" s="476" t="s">
        <v>14795</v>
      </c>
      <c r="N174" s="499">
        <v>2005.0</v>
      </c>
      <c r="O174" s="478">
        <v>3.0</v>
      </c>
      <c r="P174" s="476">
        <v>1.0</v>
      </c>
      <c r="Q174" s="483">
        <v>1.0</v>
      </c>
      <c r="R174" s="3"/>
      <c r="S174" s="3"/>
      <c r="T174" s="3"/>
      <c r="U174" s="3"/>
      <c r="V174" s="3"/>
      <c r="W174" s="3"/>
      <c r="X174" s="3"/>
      <c r="Y174" s="3"/>
      <c r="Z174" s="3"/>
      <c r="AA174" s="3"/>
      <c r="AB174" s="3"/>
      <c r="AC174" s="3"/>
      <c r="AD174" s="3"/>
      <c r="AE174" s="3"/>
      <c r="AF174" s="3"/>
      <c r="AG174" s="3"/>
      <c r="AH174" s="3"/>
      <c r="AI174" s="3"/>
      <c r="AJ174" s="3"/>
    </row>
    <row r="175" ht="15.75" customHeight="1">
      <c r="A175" s="476">
        <v>166.0</v>
      </c>
      <c r="B175" s="476" t="s">
        <v>31</v>
      </c>
      <c r="C175" s="478" t="s">
        <v>14796</v>
      </c>
      <c r="D175" s="489" t="s">
        <v>14797</v>
      </c>
      <c r="E175" s="476" t="s">
        <v>4612</v>
      </c>
      <c r="F175" s="476" t="s">
        <v>29</v>
      </c>
      <c r="G175" s="476" t="s">
        <v>30</v>
      </c>
      <c r="H175" s="476" t="s">
        <v>14792</v>
      </c>
      <c r="I175" s="476" t="s">
        <v>14798</v>
      </c>
      <c r="J175" s="476">
        <v>151.0</v>
      </c>
      <c r="K175" s="476"/>
      <c r="L175" s="478" t="s">
        <v>14794</v>
      </c>
      <c r="M175" s="478" t="s">
        <v>14799</v>
      </c>
      <c r="N175" s="476">
        <v>2001.0</v>
      </c>
      <c r="O175" s="478">
        <v>3.0</v>
      </c>
      <c r="P175" s="476">
        <v>1.0</v>
      </c>
      <c r="Q175" s="481">
        <v>1.0</v>
      </c>
      <c r="R175" s="149"/>
      <c r="S175" s="45"/>
      <c r="T175" s="45"/>
      <c r="U175" s="45"/>
      <c r="V175" s="45"/>
      <c r="W175" s="45"/>
      <c r="X175" s="45"/>
      <c r="Y175" s="45"/>
      <c r="Z175" s="45"/>
      <c r="AA175" s="45"/>
      <c r="AB175" s="45"/>
      <c r="AC175" s="45"/>
      <c r="AD175" s="45"/>
      <c r="AE175" s="45"/>
      <c r="AF175" s="45"/>
      <c r="AG175" s="45"/>
      <c r="AH175" s="45"/>
      <c r="AI175" s="45"/>
      <c r="AJ175" s="45"/>
    </row>
    <row r="176" ht="15.75" customHeight="1">
      <c r="A176" s="476">
        <v>167.0</v>
      </c>
      <c r="B176" s="476" t="s">
        <v>31</v>
      </c>
      <c r="C176" s="478" t="s">
        <v>14800</v>
      </c>
      <c r="D176" s="482" t="s">
        <v>14801</v>
      </c>
      <c r="E176" s="476" t="s">
        <v>4612</v>
      </c>
      <c r="F176" s="476" t="s">
        <v>29</v>
      </c>
      <c r="G176" s="476" t="s">
        <v>30</v>
      </c>
      <c r="H176" s="476" t="s">
        <v>14719</v>
      </c>
      <c r="I176" s="476" t="s">
        <v>30</v>
      </c>
      <c r="J176" s="476">
        <v>325.0</v>
      </c>
      <c r="K176" s="500"/>
      <c r="L176" s="501" t="s">
        <v>14802</v>
      </c>
      <c r="M176" s="476" t="s">
        <v>5198</v>
      </c>
      <c r="N176" s="476">
        <v>1985.0</v>
      </c>
      <c r="O176" s="478">
        <v>3.0</v>
      </c>
      <c r="P176" s="476">
        <v>1.0</v>
      </c>
      <c r="Q176" s="481">
        <v>1.0</v>
      </c>
      <c r="R176" s="149"/>
      <c r="S176" s="45"/>
      <c r="T176" s="45"/>
      <c r="U176" s="45"/>
      <c r="V176" s="45"/>
      <c r="W176" s="45"/>
      <c r="X176" s="45"/>
      <c r="Y176" s="45"/>
      <c r="Z176" s="45"/>
      <c r="AA176" s="45"/>
      <c r="AB176" s="45"/>
      <c r="AC176" s="45"/>
      <c r="AD176" s="45"/>
      <c r="AE176" s="45"/>
      <c r="AF176" s="45"/>
      <c r="AG176" s="45"/>
      <c r="AH176" s="45"/>
      <c r="AI176" s="45"/>
      <c r="AJ176" s="45"/>
    </row>
    <row r="177" ht="15.75" customHeight="1">
      <c r="A177" s="476">
        <v>168.0</v>
      </c>
      <c r="B177" s="476" t="s">
        <v>14803</v>
      </c>
      <c r="C177" s="478" t="s">
        <v>14705</v>
      </c>
      <c r="D177" s="482" t="s">
        <v>14804</v>
      </c>
      <c r="E177" s="476" t="s">
        <v>4612</v>
      </c>
      <c r="F177" s="476" t="s">
        <v>29</v>
      </c>
      <c r="G177" s="476" t="s">
        <v>30</v>
      </c>
      <c r="H177" s="476" t="s">
        <v>14719</v>
      </c>
      <c r="I177" s="476" t="s">
        <v>30</v>
      </c>
      <c r="J177" s="476">
        <v>389.0</v>
      </c>
      <c r="K177" s="476"/>
      <c r="L177" s="476" t="s">
        <v>14805</v>
      </c>
      <c r="M177" s="476" t="s">
        <v>2698</v>
      </c>
      <c r="N177" s="476">
        <v>2007.0</v>
      </c>
      <c r="O177" s="478">
        <v>3.0</v>
      </c>
      <c r="P177" s="476">
        <v>1.0</v>
      </c>
      <c r="Q177" s="481">
        <v>1.0</v>
      </c>
      <c r="R177" s="149"/>
      <c r="S177" s="45"/>
      <c r="T177" s="45"/>
      <c r="U177" s="45"/>
      <c r="V177" s="45"/>
      <c r="W177" s="45"/>
      <c r="X177" s="45"/>
      <c r="Y177" s="45"/>
      <c r="Z177" s="45"/>
      <c r="AA177" s="45"/>
      <c r="AB177" s="45"/>
      <c r="AC177" s="45"/>
      <c r="AD177" s="45"/>
      <c r="AE177" s="45"/>
      <c r="AF177" s="45"/>
      <c r="AG177" s="45"/>
      <c r="AH177" s="45"/>
      <c r="AI177" s="45"/>
      <c r="AJ177" s="45"/>
    </row>
    <row r="178" ht="15.75" customHeight="1">
      <c r="A178" s="186">
        <v>169.0</v>
      </c>
      <c r="B178" s="186" t="s">
        <v>31</v>
      </c>
      <c r="C178" s="191" t="s">
        <v>14806</v>
      </c>
      <c r="D178" s="35" t="s">
        <v>14807</v>
      </c>
      <c r="E178" s="186" t="s">
        <v>4612</v>
      </c>
      <c r="F178" s="186" t="s">
        <v>29</v>
      </c>
      <c r="G178" s="186" t="s">
        <v>31</v>
      </c>
      <c r="H178" s="186" t="s">
        <v>31</v>
      </c>
      <c r="I178" s="186" t="s">
        <v>38</v>
      </c>
      <c r="J178" s="186">
        <v>241.0</v>
      </c>
      <c r="K178" s="186"/>
      <c r="L178" s="186" t="s">
        <v>14808</v>
      </c>
      <c r="M178" s="186" t="s">
        <v>14809</v>
      </c>
      <c r="N178" s="186">
        <v>1957.0</v>
      </c>
      <c r="O178" s="191">
        <v>3.0</v>
      </c>
      <c r="P178" s="186">
        <v>1.0</v>
      </c>
      <c r="Q178" s="37">
        <v>1.0</v>
      </c>
      <c r="R178" s="149"/>
      <c r="S178" s="45"/>
      <c r="T178" s="45"/>
      <c r="U178" s="45"/>
      <c r="V178" s="45"/>
      <c r="W178" s="45"/>
      <c r="X178" s="45"/>
      <c r="Y178" s="45"/>
      <c r="Z178" s="45"/>
      <c r="AA178" s="45"/>
      <c r="AB178" s="45"/>
      <c r="AC178" s="45"/>
      <c r="AD178" s="45"/>
      <c r="AE178" s="45"/>
      <c r="AF178" s="45"/>
      <c r="AG178" s="45"/>
      <c r="AH178" s="45"/>
      <c r="AI178" s="45"/>
      <c r="AJ178" s="45"/>
    </row>
    <row r="179" ht="15.75" customHeight="1">
      <c r="A179" s="476">
        <v>170.0</v>
      </c>
      <c r="B179" s="476" t="s">
        <v>31</v>
      </c>
      <c r="C179" s="478" t="s">
        <v>14810</v>
      </c>
      <c r="D179" s="489" t="s">
        <v>14811</v>
      </c>
      <c r="E179" s="476" t="s">
        <v>4612</v>
      </c>
      <c r="F179" s="476" t="s">
        <v>29</v>
      </c>
      <c r="G179" s="476" t="s">
        <v>30</v>
      </c>
      <c r="H179" s="476" t="s">
        <v>14812</v>
      </c>
      <c r="I179" s="476" t="s">
        <v>13464</v>
      </c>
      <c r="J179" s="478">
        <v>34.0</v>
      </c>
      <c r="K179" s="476"/>
      <c r="L179" s="478" t="s">
        <v>14813</v>
      </c>
      <c r="M179" s="478" t="s">
        <v>14814</v>
      </c>
      <c r="N179" s="476">
        <v>2005.0</v>
      </c>
      <c r="O179" s="478">
        <v>4.0</v>
      </c>
      <c r="P179" s="476">
        <v>1.0</v>
      </c>
      <c r="Q179" s="481">
        <v>1.0</v>
      </c>
      <c r="R179" s="149"/>
      <c r="S179" s="45"/>
      <c r="T179" s="45"/>
      <c r="U179" s="45"/>
      <c r="V179" s="45"/>
      <c r="W179" s="45"/>
      <c r="X179" s="45"/>
      <c r="Y179" s="45"/>
      <c r="Z179" s="45"/>
      <c r="AA179" s="45"/>
      <c r="AB179" s="45"/>
      <c r="AC179" s="45"/>
      <c r="AD179" s="45"/>
      <c r="AE179" s="45"/>
      <c r="AF179" s="45"/>
      <c r="AG179" s="45"/>
      <c r="AH179" s="45"/>
      <c r="AI179" s="45"/>
      <c r="AJ179" s="45"/>
    </row>
    <row r="180" ht="15.75" customHeight="1">
      <c r="A180" s="322">
        <v>171.0</v>
      </c>
      <c r="B180" s="433" t="s">
        <v>14313</v>
      </c>
      <c r="C180" s="433" t="s">
        <v>14314</v>
      </c>
      <c r="D180" s="434" t="s">
        <v>14315</v>
      </c>
      <c r="E180" s="433" t="s">
        <v>4612</v>
      </c>
      <c r="F180" s="433" t="s">
        <v>29</v>
      </c>
      <c r="G180" s="433" t="s">
        <v>38</v>
      </c>
      <c r="H180" s="433" t="s">
        <v>31</v>
      </c>
      <c r="I180" s="433" t="s">
        <v>38</v>
      </c>
      <c r="J180" s="433">
        <v>96.0</v>
      </c>
      <c r="K180" s="433"/>
      <c r="L180" s="433" t="s">
        <v>14316</v>
      </c>
      <c r="M180" s="433" t="s">
        <v>3233</v>
      </c>
      <c r="N180" s="433">
        <v>1990.0</v>
      </c>
      <c r="O180" s="433" t="s">
        <v>388</v>
      </c>
      <c r="P180" s="433">
        <v>1.0</v>
      </c>
      <c r="Q180" s="435"/>
      <c r="R180" s="3"/>
      <c r="S180" s="3"/>
      <c r="T180" s="3"/>
      <c r="U180" s="3"/>
      <c r="V180" s="3"/>
      <c r="W180" s="3"/>
      <c r="X180" s="3"/>
      <c r="Y180" s="3"/>
      <c r="Z180" s="3"/>
      <c r="AA180" s="3"/>
      <c r="AB180" s="3"/>
      <c r="AC180" s="3"/>
      <c r="AD180" s="3"/>
      <c r="AE180" s="3"/>
      <c r="AF180" s="3"/>
      <c r="AG180" s="3"/>
      <c r="AH180" s="3"/>
      <c r="AI180" s="3"/>
      <c r="AJ180" s="3"/>
    </row>
    <row r="181" ht="15.75" customHeight="1">
      <c r="A181" s="476">
        <v>172.0</v>
      </c>
      <c r="B181" s="476" t="s">
        <v>14815</v>
      </c>
      <c r="C181" s="478" t="s">
        <v>14816</v>
      </c>
      <c r="D181" s="482" t="s">
        <v>14357</v>
      </c>
      <c r="E181" s="476" t="s">
        <v>4612</v>
      </c>
      <c r="F181" s="476" t="s">
        <v>29</v>
      </c>
      <c r="G181" s="476" t="s">
        <v>30</v>
      </c>
      <c r="H181" s="476" t="s">
        <v>31</v>
      </c>
      <c r="I181" s="476" t="s">
        <v>30</v>
      </c>
      <c r="J181" s="476">
        <v>127.0</v>
      </c>
      <c r="K181" s="476"/>
      <c r="L181" s="476" t="s">
        <v>10413</v>
      </c>
      <c r="M181" s="476" t="s">
        <v>151</v>
      </c>
      <c r="N181" s="476">
        <v>1988.0</v>
      </c>
      <c r="O181" s="478">
        <v>3.0</v>
      </c>
      <c r="P181" s="476">
        <v>2.0</v>
      </c>
      <c r="Q181" s="481">
        <v>2.0</v>
      </c>
      <c r="R181" s="149"/>
      <c r="S181" s="45"/>
      <c r="T181" s="45"/>
      <c r="U181" s="45"/>
      <c r="V181" s="45"/>
      <c r="W181" s="45"/>
      <c r="X181" s="45"/>
      <c r="Y181" s="45"/>
      <c r="Z181" s="45"/>
      <c r="AA181" s="45"/>
      <c r="AB181" s="45"/>
      <c r="AC181" s="45"/>
      <c r="AD181" s="45"/>
      <c r="AE181" s="45"/>
      <c r="AF181" s="45"/>
      <c r="AG181" s="45"/>
      <c r="AH181" s="45"/>
      <c r="AI181" s="45"/>
      <c r="AJ181" s="45"/>
    </row>
    <row r="182" ht="15.75" customHeight="1">
      <c r="A182" s="186">
        <v>173.0</v>
      </c>
      <c r="B182" s="186" t="s">
        <v>31</v>
      </c>
      <c r="C182" s="191" t="s">
        <v>14817</v>
      </c>
      <c r="D182" s="35" t="s">
        <v>14818</v>
      </c>
      <c r="E182" s="186" t="s">
        <v>4612</v>
      </c>
      <c r="F182" s="186" t="s">
        <v>29</v>
      </c>
      <c r="G182" s="186" t="s">
        <v>30</v>
      </c>
      <c r="H182" s="186" t="s">
        <v>31</v>
      </c>
      <c r="I182" s="186" t="s">
        <v>14545</v>
      </c>
      <c r="J182" s="186">
        <f>53+13</f>
        <v>66</v>
      </c>
      <c r="K182" s="191" t="s">
        <v>14819</v>
      </c>
      <c r="L182" s="186" t="s">
        <v>14231</v>
      </c>
      <c r="M182" s="186" t="s">
        <v>151</v>
      </c>
      <c r="N182" s="186">
        <v>1986.0</v>
      </c>
      <c r="O182" s="191">
        <v>3.0</v>
      </c>
      <c r="P182" s="186">
        <v>1.0</v>
      </c>
      <c r="Q182" s="37">
        <v>1.0</v>
      </c>
      <c r="R182" s="149"/>
      <c r="S182" s="45"/>
      <c r="T182" s="45"/>
      <c r="U182" s="45"/>
      <c r="V182" s="45"/>
      <c r="W182" s="45"/>
      <c r="X182" s="45"/>
      <c r="Y182" s="45"/>
      <c r="Z182" s="45"/>
      <c r="AA182" s="45"/>
      <c r="AB182" s="45"/>
      <c r="AC182" s="45"/>
      <c r="AD182" s="45"/>
      <c r="AE182" s="45"/>
      <c r="AF182" s="45"/>
      <c r="AG182" s="45"/>
      <c r="AH182" s="45"/>
      <c r="AI182" s="45"/>
      <c r="AJ182" s="45"/>
    </row>
    <row r="183" ht="15.75" customHeight="1">
      <c r="A183" s="186">
        <v>174.0</v>
      </c>
      <c r="B183" s="186" t="s">
        <v>14820</v>
      </c>
      <c r="C183" s="191" t="s">
        <v>14821</v>
      </c>
      <c r="D183" s="188" t="s">
        <v>14822</v>
      </c>
      <c r="E183" s="186" t="s">
        <v>4612</v>
      </c>
      <c r="F183" s="186" t="s">
        <v>29</v>
      </c>
      <c r="G183" s="186" t="s">
        <v>30</v>
      </c>
      <c r="H183" s="186" t="s">
        <v>31</v>
      </c>
      <c r="I183" s="186" t="s">
        <v>14823</v>
      </c>
      <c r="J183" s="186">
        <v>338.0</v>
      </c>
      <c r="K183" s="186"/>
      <c r="L183" s="186" t="s">
        <v>14824</v>
      </c>
      <c r="M183" s="186" t="s">
        <v>151</v>
      </c>
      <c r="N183" s="186">
        <v>2011.0</v>
      </c>
      <c r="O183" s="191">
        <v>3.0</v>
      </c>
      <c r="P183" s="186">
        <v>2.0</v>
      </c>
      <c r="Q183" s="37">
        <v>2.0</v>
      </c>
      <c r="R183" s="149"/>
      <c r="S183" s="45"/>
      <c r="T183" s="45"/>
      <c r="U183" s="45"/>
      <c r="V183" s="45"/>
      <c r="W183" s="45"/>
      <c r="X183" s="45"/>
      <c r="Y183" s="45"/>
      <c r="Z183" s="45"/>
      <c r="AA183" s="45"/>
      <c r="AB183" s="45"/>
      <c r="AC183" s="45"/>
      <c r="AD183" s="45"/>
      <c r="AE183" s="45"/>
      <c r="AF183" s="45"/>
      <c r="AG183" s="45"/>
      <c r="AH183" s="45"/>
      <c r="AI183" s="45"/>
      <c r="AJ183" s="45"/>
    </row>
    <row r="184" ht="15.75" customHeight="1">
      <c r="A184" s="476">
        <v>175.0</v>
      </c>
      <c r="B184" s="476" t="s">
        <v>14825</v>
      </c>
      <c r="C184" s="478" t="s">
        <v>14826</v>
      </c>
      <c r="D184" s="489" t="s">
        <v>14827</v>
      </c>
      <c r="E184" s="476" t="s">
        <v>4612</v>
      </c>
      <c r="F184" s="476" t="s">
        <v>29</v>
      </c>
      <c r="G184" s="476" t="s">
        <v>30</v>
      </c>
      <c r="H184" s="476" t="s">
        <v>31</v>
      </c>
      <c r="I184" s="476" t="s">
        <v>30</v>
      </c>
      <c r="J184" s="476">
        <v>515.0</v>
      </c>
      <c r="K184" s="476"/>
      <c r="L184" s="478" t="s">
        <v>14828</v>
      </c>
      <c r="M184" s="476" t="s">
        <v>151</v>
      </c>
      <c r="N184" s="476">
        <v>2011.0</v>
      </c>
      <c r="O184" s="478">
        <v>3.0</v>
      </c>
      <c r="P184" s="476">
        <v>1.0</v>
      </c>
      <c r="Q184" s="483">
        <v>1.0</v>
      </c>
      <c r="R184" s="3"/>
      <c r="S184" s="3"/>
      <c r="T184" s="3"/>
      <c r="U184" s="3"/>
      <c r="V184" s="3"/>
      <c r="W184" s="3"/>
      <c r="X184" s="3"/>
      <c r="Y184" s="3"/>
      <c r="Z184" s="3"/>
      <c r="AA184" s="3"/>
      <c r="AB184" s="3"/>
      <c r="AC184" s="3"/>
      <c r="AD184" s="3"/>
      <c r="AE184" s="3"/>
      <c r="AF184" s="3"/>
      <c r="AG184" s="3"/>
      <c r="AH184" s="3"/>
      <c r="AI184" s="3"/>
      <c r="AJ184" s="3"/>
    </row>
    <row r="185" ht="15.75" customHeight="1">
      <c r="A185" s="186">
        <v>176.0</v>
      </c>
      <c r="B185" s="186" t="s">
        <v>14829</v>
      </c>
      <c r="C185" s="191" t="s">
        <v>14830</v>
      </c>
      <c r="D185" s="35" t="s">
        <v>14831</v>
      </c>
      <c r="E185" s="186" t="s">
        <v>4612</v>
      </c>
      <c r="F185" s="186" t="s">
        <v>29</v>
      </c>
      <c r="G185" s="186" t="s">
        <v>30</v>
      </c>
      <c r="H185" s="186" t="s">
        <v>31</v>
      </c>
      <c r="I185" s="186" t="s">
        <v>14832</v>
      </c>
      <c r="J185" s="186">
        <v>369.0</v>
      </c>
      <c r="K185" s="186"/>
      <c r="L185" s="186" t="s">
        <v>14833</v>
      </c>
      <c r="M185" s="186" t="s">
        <v>14834</v>
      </c>
      <c r="N185" s="186">
        <v>2012.0</v>
      </c>
      <c r="O185" s="191">
        <v>3.0</v>
      </c>
      <c r="P185" s="186">
        <v>2.0</v>
      </c>
      <c r="Q185" s="436">
        <v>2.0</v>
      </c>
      <c r="R185" s="3"/>
      <c r="S185" s="3"/>
      <c r="T185" s="3"/>
      <c r="U185" s="3"/>
      <c r="V185" s="3"/>
      <c r="W185" s="3"/>
      <c r="X185" s="3"/>
      <c r="Y185" s="3"/>
      <c r="Z185" s="3"/>
      <c r="AA185" s="3"/>
      <c r="AB185" s="3"/>
      <c r="AC185" s="3"/>
      <c r="AD185" s="3"/>
      <c r="AE185" s="3"/>
      <c r="AF185" s="3"/>
      <c r="AG185" s="3"/>
      <c r="AH185" s="3"/>
      <c r="AI185" s="3"/>
      <c r="AJ185" s="3"/>
    </row>
    <row r="186" ht="15.75" customHeight="1">
      <c r="A186" s="476">
        <v>177.0</v>
      </c>
      <c r="B186" s="476" t="s">
        <v>14390</v>
      </c>
      <c r="C186" s="478" t="s">
        <v>14835</v>
      </c>
      <c r="D186" s="482" t="s">
        <v>14392</v>
      </c>
      <c r="E186" s="476" t="s">
        <v>4612</v>
      </c>
      <c r="F186" s="476" t="s">
        <v>29</v>
      </c>
      <c r="G186" s="476" t="s">
        <v>30</v>
      </c>
      <c r="H186" s="476" t="s">
        <v>31</v>
      </c>
      <c r="I186" s="476" t="s">
        <v>30</v>
      </c>
      <c r="J186" s="476">
        <v>501.0</v>
      </c>
      <c r="K186" s="476"/>
      <c r="L186" s="478" t="s">
        <v>14836</v>
      </c>
      <c r="M186" s="476" t="s">
        <v>151</v>
      </c>
      <c r="N186" s="476">
        <v>2004.0</v>
      </c>
      <c r="O186" s="478">
        <v>3.0</v>
      </c>
      <c r="P186" s="476">
        <v>1.0</v>
      </c>
      <c r="Q186" s="483">
        <v>2.0</v>
      </c>
      <c r="R186" s="3"/>
      <c r="S186" s="3"/>
      <c r="T186" s="3"/>
      <c r="U186" s="3"/>
      <c r="V186" s="3"/>
      <c r="W186" s="3"/>
      <c r="X186" s="3"/>
      <c r="Y186" s="3"/>
      <c r="Z186" s="3"/>
      <c r="AA186" s="3"/>
      <c r="AB186" s="3"/>
      <c r="AC186" s="3"/>
      <c r="AD186" s="3"/>
      <c r="AE186" s="3"/>
      <c r="AF186" s="3"/>
      <c r="AG186" s="3"/>
      <c r="AH186" s="3"/>
      <c r="AI186" s="3"/>
      <c r="AJ186" s="3"/>
    </row>
    <row r="187" ht="15.75" customHeight="1">
      <c r="A187" s="476">
        <v>178.0</v>
      </c>
      <c r="B187" s="476" t="s">
        <v>14837</v>
      </c>
      <c r="C187" s="478" t="s">
        <v>14838</v>
      </c>
      <c r="D187" s="482" t="s">
        <v>14354</v>
      </c>
      <c r="E187" s="476" t="s">
        <v>4612</v>
      </c>
      <c r="F187" s="476" t="s">
        <v>29</v>
      </c>
      <c r="G187" s="476" t="s">
        <v>30</v>
      </c>
      <c r="H187" s="476" t="s">
        <v>31</v>
      </c>
      <c r="I187" s="476" t="s">
        <v>30</v>
      </c>
      <c r="J187" s="476">
        <v>514.0</v>
      </c>
      <c r="K187" s="476"/>
      <c r="L187" s="476" t="s">
        <v>14839</v>
      </c>
      <c r="M187" s="476" t="s">
        <v>4767</v>
      </c>
      <c r="N187" s="476">
        <v>2002.0</v>
      </c>
      <c r="O187" s="478">
        <v>3.0</v>
      </c>
      <c r="P187" s="476">
        <v>1.0</v>
      </c>
      <c r="Q187" s="483">
        <v>1.0</v>
      </c>
      <c r="R187" s="3"/>
      <c r="S187" s="3"/>
      <c r="T187" s="3"/>
      <c r="U187" s="3"/>
      <c r="V187" s="3"/>
      <c r="W187" s="3"/>
      <c r="X187" s="3"/>
      <c r="Y187" s="3"/>
      <c r="Z187" s="3"/>
      <c r="AA187" s="3"/>
      <c r="AB187" s="3"/>
      <c r="AC187" s="3"/>
      <c r="AD187" s="3"/>
      <c r="AE187" s="3"/>
      <c r="AF187" s="3"/>
      <c r="AG187" s="3"/>
      <c r="AH187" s="3"/>
      <c r="AI187" s="3"/>
      <c r="AJ187" s="3"/>
    </row>
    <row r="188" ht="15.75" customHeight="1">
      <c r="A188" s="186"/>
      <c r="B188" s="191" t="s">
        <v>14840</v>
      </c>
      <c r="C188" s="191" t="s">
        <v>14841</v>
      </c>
      <c r="D188" s="35" t="s">
        <v>14842</v>
      </c>
      <c r="E188" s="186"/>
      <c r="F188" s="191" t="s">
        <v>29</v>
      </c>
      <c r="G188" s="191" t="s">
        <v>38</v>
      </c>
      <c r="H188" s="186"/>
      <c r="I188" s="191" t="s">
        <v>38</v>
      </c>
      <c r="J188" s="191">
        <v>1248.0</v>
      </c>
      <c r="K188" s="186"/>
      <c r="L188" s="191" t="s">
        <v>14843</v>
      </c>
      <c r="M188" s="191" t="s">
        <v>14844</v>
      </c>
      <c r="N188" s="191">
        <v>2009.0</v>
      </c>
      <c r="O188" s="191">
        <v>3.0</v>
      </c>
      <c r="P188" s="191">
        <v>1.0</v>
      </c>
      <c r="Q188" s="37">
        <v>1.0</v>
      </c>
      <c r="R188" s="149"/>
      <c r="S188" s="45"/>
      <c r="T188" s="45"/>
      <c r="U188" s="45"/>
      <c r="V188" s="45"/>
      <c r="W188" s="45"/>
      <c r="X188" s="45"/>
      <c r="Y188" s="45"/>
      <c r="Z188" s="45"/>
      <c r="AA188" s="45"/>
      <c r="AB188" s="45"/>
      <c r="AC188" s="45"/>
      <c r="AD188" s="45"/>
      <c r="AE188" s="45"/>
      <c r="AF188" s="45"/>
      <c r="AG188" s="45"/>
      <c r="AH188" s="45"/>
      <c r="AI188" s="45"/>
      <c r="AJ188" s="45"/>
    </row>
    <row r="189" ht="15.75" customHeight="1">
      <c r="A189" s="322">
        <v>181.0</v>
      </c>
      <c r="B189" s="433" t="s">
        <v>31</v>
      </c>
      <c r="C189" s="433" t="s">
        <v>14845</v>
      </c>
      <c r="D189" s="434" t="s">
        <v>14846</v>
      </c>
      <c r="E189" s="433" t="s">
        <v>4612</v>
      </c>
      <c r="F189" s="433" t="s">
        <v>29</v>
      </c>
      <c r="G189" s="433" t="s">
        <v>30</v>
      </c>
      <c r="H189" s="433"/>
      <c r="I189" s="433" t="s">
        <v>30</v>
      </c>
      <c r="J189" s="433">
        <v>421.0</v>
      </c>
      <c r="K189" s="433"/>
      <c r="L189" s="433" t="s">
        <v>14231</v>
      </c>
      <c r="M189" s="433" t="s">
        <v>151</v>
      </c>
      <c r="N189" s="433">
        <v>1978.0</v>
      </c>
      <c r="O189" s="433" t="s">
        <v>388</v>
      </c>
      <c r="P189" s="433">
        <v>1.0</v>
      </c>
      <c r="Q189" s="435"/>
      <c r="R189" s="3"/>
      <c r="S189" s="3"/>
      <c r="T189" s="3"/>
      <c r="U189" s="3"/>
      <c r="V189" s="3"/>
      <c r="W189" s="3"/>
      <c r="X189" s="3"/>
      <c r="Y189" s="3"/>
      <c r="Z189" s="3"/>
      <c r="AA189" s="3"/>
      <c r="AB189" s="3"/>
      <c r="AC189" s="3"/>
      <c r="AD189" s="3"/>
      <c r="AE189" s="3"/>
      <c r="AF189" s="3"/>
      <c r="AG189" s="3"/>
      <c r="AH189" s="3"/>
      <c r="AI189" s="3"/>
      <c r="AJ189" s="3"/>
    </row>
    <row r="190" ht="15.75" customHeight="1">
      <c r="A190" s="476">
        <v>182.0</v>
      </c>
      <c r="B190" s="476" t="s">
        <v>14847</v>
      </c>
      <c r="C190" s="478" t="s">
        <v>14848</v>
      </c>
      <c r="D190" s="482" t="s">
        <v>14822</v>
      </c>
      <c r="E190" s="476" t="s">
        <v>4612</v>
      </c>
      <c r="F190" s="476" t="s">
        <v>29</v>
      </c>
      <c r="G190" s="476" t="s">
        <v>30</v>
      </c>
      <c r="H190" s="476" t="s">
        <v>31</v>
      </c>
      <c r="I190" s="476" t="s">
        <v>14849</v>
      </c>
      <c r="J190" s="476">
        <v>185.0</v>
      </c>
      <c r="K190" s="476"/>
      <c r="L190" s="476" t="s">
        <v>14824</v>
      </c>
      <c r="M190" s="476" t="s">
        <v>151</v>
      </c>
      <c r="N190" s="476">
        <v>1989.0</v>
      </c>
      <c r="O190" s="478">
        <v>3.0</v>
      </c>
      <c r="P190" s="476">
        <v>1.0</v>
      </c>
      <c r="Q190" s="481">
        <v>1.0</v>
      </c>
      <c r="R190" s="149"/>
      <c r="S190" s="45"/>
      <c r="T190" s="45"/>
      <c r="U190" s="45"/>
      <c r="V190" s="45"/>
      <c r="W190" s="45"/>
      <c r="X190" s="45"/>
      <c r="Y190" s="45"/>
      <c r="Z190" s="45"/>
      <c r="AA190" s="45"/>
      <c r="AB190" s="45"/>
      <c r="AC190" s="45"/>
      <c r="AD190" s="45"/>
      <c r="AE190" s="45"/>
      <c r="AF190" s="45"/>
      <c r="AG190" s="45"/>
      <c r="AH190" s="45"/>
      <c r="AI190" s="45"/>
      <c r="AJ190" s="45"/>
    </row>
    <row r="191" ht="15.75" customHeight="1">
      <c r="A191" s="186">
        <v>183.0</v>
      </c>
      <c r="B191" s="186" t="s">
        <v>14850</v>
      </c>
      <c r="C191" s="191" t="s">
        <v>14851</v>
      </c>
      <c r="D191" s="35" t="s">
        <v>14852</v>
      </c>
      <c r="E191" s="186" t="s">
        <v>4612</v>
      </c>
      <c r="F191" s="186" t="s">
        <v>29</v>
      </c>
      <c r="G191" s="186" t="s">
        <v>30</v>
      </c>
      <c r="H191" s="186" t="s">
        <v>31</v>
      </c>
      <c r="I191" s="186" t="s">
        <v>14853</v>
      </c>
      <c r="J191" s="186">
        <v>541.0</v>
      </c>
      <c r="K191" s="186"/>
      <c r="L191" s="191" t="s">
        <v>14854</v>
      </c>
      <c r="M191" s="186" t="s">
        <v>2698</v>
      </c>
      <c r="N191" s="186">
        <v>2005.0</v>
      </c>
      <c r="O191" s="191">
        <v>3.0</v>
      </c>
      <c r="P191" s="186">
        <v>1.0</v>
      </c>
      <c r="Q191" s="37">
        <v>1.0</v>
      </c>
      <c r="R191" s="149"/>
      <c r="S191" s="45"/>
      <c r="T191" s="45"/>
      <c r="U191" s="45"/>
      <c r="V191" s="45"/>
      <c r="W191" s="45"/>
      <c r="X191" s="45"/>
      <c r="Y191" s="45"/>
      <c r="Z191" s="45"/>
      <c r="AA191" s="45"/>
      <c r="AB191" s="45"/>
      <c r="AC191" s="45"/>
      <c r="AD191" s="45"/>
      <c r="AE191" s="45"/>
      <c r="AF191" s="45"/>
      <c r="AG191" s="45"/>
      <c r="AH191" s="45"/>
      <c r="AI191" s="45"/>
      <c r="AJ191" s="45"/>
    </row>
    <row r="192" ht="15.75" customHeight="1">
      <c r="A192" s="186">
        <v>184.0</v>
      </c>
      <c r="B192" s="186" t="s">
        <v>14855</v>
      </c>
      <c r="C192" s="191" t="s">
        <v>14856</v>
      </c>
      <c r="D192" s="35" t="s">
        <v>14857</v>
      </c>
      <c r="E192" s="186" t="s">
        <v>4612</v>
      </c>
      <c r="F192" s="186" t="s">
        <v>29</v>
      </c>
      <c r="G192" s="186" t="s">
        <v>30</v>
      </c>
      <c r="H192" s="186" t="s">
        <v>31</v>
      </c>
      <c r="I192" s="186" t="s">
        <v>14832</v>
      </c>
      <c r="J192" s="186">
        <v>72.0</v>
      </c>
      <c r="K192" s="186"/>
      <c r="L192" s="191" t="s">
        <v>14858</v>
      </c>
      <c r="M192" s="186" t="s">
        <v>151</v>
      </c>
      <c r="N192" s="186">
        <v>2002.0</v>
      </c>
      <c r="O192" s="191">
        <v>3.0</v>
      </c>
      <c r="P192" s="186">
        <v>1.0</v>
      </c>
      <c r="Q192" s="37">
        <v>1.0</v>
      </c>
      <c r="R192" s="149"/>
      <c r="S192" s="45"/>
      <c r="T192" s="45"/>
      <c r="U192" s="45"/>
      <c r="V192" s="45"/>
      <c r="W192" s="45"/>
      <c r="X192" s="45"/>
      <c r="Y192" s="45"/>
      <c r="Z192" s="45"/>
      <c r="AA192" s="45"/>
      <c r="AB192" s="45"/>
      <c r="AC192" s="45"/>
      <c r="AD192" s="45"/>
      <c r="AE192" s="45"/>
      <c r="AF192" s="45"/>
      <c r="AG192" s="45"/>
      <c r="AH192" s="45"/>
      <c r="AI192" s="45"/>
      <c r="AJ192" s="45"/>
    </row>
    <row r="193" ht="15.75" customHeight="1">
      <c r="A193" s="476">
        <v>185.0</v>
      </c>
      <c r="B193" s="476" t="s">
        <v>31</v>
      </c>
      <c r="C193" s="478" t="s">
        <v>14859</v>
      </c>
      <c r="D193" s="482" t="s">
        <v>14544</v>
      </c>
      <c r="E193" s="476" t="s">
        <v>4612</v>
      </c>
      <c r="F193" s="476" t="s">
        <v>29</v>
      </c>
      <c r="G193" s="476" t="s">
        <v>30</v>
      </c>
      <c r="H193" s="476" t="s">
        <v>31</v>
      </c>
      <c r="I193" s="476" t="s">
        <v>14860</v>
      </c>
      <c r="J193" s="478">
        <v>194.0</v>
      </c>
      <c r="K193" s="476"/>
      <c r="L193" s="476" t="s">
        <v>14789</v>
      </c>
      <c r="M193" s="478" t="s">
        <v>151</v>
      </c>
      <c r="N193" s="478">
        <v>2002.0</v>
      </c>
      <c r="O193" s="478">
        <v>4.0</v>
      </c>
      <c r="P193" s="478">
        <v>1.0</v>
      </c>
      <c r="Q193" s="481">
        <v>1.0</v>
      </c>
      <c r="R193" s="149"/>
      <c r="S193" s="45"/>
      <c r="T193" s="45"/>
      <c r="U193" s="45"/>
      <c r="V193" s="45"/>
      <c r="W193" s="45"/>
      <c r="X193" s="45"/>
      <c r="Y193" s="45"/>
      <c r="Z193" s="45"/>
      <c r="AA193" s="45"/>
      <c r="AB193" s="45"/>
      <c r="AC193" s="45"/>
      <c r="AD193" s="45"/>
      <c r="AE193" s="45"/>
      <c r="AF193" s="45"/>
      <c r="AG193" s="45"/>
      <c r="AH193" s="45"/>
      <c r="AI193" s="45"/>
      <c r="AJ193" s="45"/>
    </row>
    <row r="194" ht="15.75" customHeight="1">
      <c r="A194" s="322">
        <v>186.0</v>
      </c>
      <c r="B194" s="433" t="s">
        <v>31</v>
      </c>
      <c r="C194" s="433" t="s">
        <v>14861</v>
      </c>
      <c r="D194" s="434" t="s">
        <v>14862</v>
      </c>
      <c r="E194" s="433" t="s">
        <v>4612</v>
      </c>
      <c r="F194" s="433" t="s">
        <v>29</v>
      </c>
      <c r="G194" s="433" t="s">
        <v>131</v>
      </c>
      <c r="H194" s="433" t="s">
        <v>31</v>
      </c>
      <c r="I194" s="433" t="s">
        <v>131</v>
      </c>
      <c r="J194" s="433">
        <v>682.0</v>
      </c>
      <c r="K194" s="433"/>
      <c r="L194" s="433" t="s">
        <v>14863</v>
      </c>
      <c r="M194" s="433" t="s">
        <v>3465</v>
      </c>
      <c r="N194" s="433">
        <v>1926.0</v>
      </c>
      <c r="O194" s="433" t="s">
        <v>388</v>
      </c>
      <c r="P194" s="433">
        <v>1.0</v>
      </c>
      <c r="Q194" s="435"/>
      <c r="R194" s="3"/>
      <c r="S194" s="3"/>
      <c r="T194" s="3"/>
      <c r="U194" s="3"/>
      <c r="V194" s="3"/>
      <c r="W194" s="3"/>
      <c r="X194" s="3"/>
      <c r="Y194" s="3"/>
      <c r="Z194" s="3"/>
      <c r="AA194" s="3"/>
      <c r="AB194" s="3"/>
      <c r="AC194" s="3"/>
      <c r="AD194" s="3"/>
      <c r="AE194" s="3"/>
      <c r="AF194" s="3"/>
      <c r="AG194" s="3"/>
      <c r="AH194" s="3"/>
      <c r="AI194" s="3"/>
      <c r="AJ194" s="3"/>
    </row>
    <row r="195" ht="15.75" customHeight="1">
      <c r="A195" s="186">
        <v>187.0</v>
      </c>
      <c r="B195" s="186" t="s">
        <v>31</v>
      </c>
      <c r="C195" s="191" t="s">
        <v>14864</v>
      </c>
      <c r="D195" s="35" t="s">
        <v>14865</v>
      </c>
      <c r="E195" s="186" t="s">
        <v>4612</v>
      </c>
      <c r="F195" s="186" t="s">
        <v>29</v>
      </c>
      <c r="G195" s="186" t="s">
        <v>30</v>
      </c>
      <c r="H195" s="186" t="s">
        <v>31</v>
      </c>
      <c r="I195" s="186" t="s">
        <v>14866</v>
      </c>
      <c r="J195" s="186">
        <v>682.0</v>
      </c>
      <c r="K195" s="186"/>
      <c r="L195" s="191" t="s">
        <v>14867</v>
      </c>
      <c r="M195" s="186" t="s">
        <v>14867</v>
      </c>
      <c r="N195" s="186">
        <v>2000.0</v>
      </c>
      <c r="O195" s="191">
        <v>3.0</v>
      </c>
      <c r="P195" s="186">
        <v>1.0</v>
      </c>
      <c r="Q195" s="37">
        <v>1.0</v>
      </c>
      <c r="R195" s="149"/>
      <c r="S195" s="45"/>
      <c r="T195" s="45"/>
      <c r="U195" s="45"/>
      <c r="V195" s="45"/>
      <c r="W195" s="45"/>
      <c r="X195" s="45"/>
      <c r="Y195" s="45"/>
      <c r="Z195" s="45"/>
      <c r="AA195" s="45"/>
      <c r="AB195" s="45"/>
      <c r="AC195" s="45"/>
      <c r="AD195" s="45"/>
      <c r="AE195" s="45"/>
      <c r="AF195" s="45"/>
      <c r="AG195" s="45"/>
      <c r="AH195" s="45"/>
      <c r="AI195" s="45"/>
      <c r="AJ195" s="45"/>
    </row>
    <row r="196" ht="15.75" customHeight="1">
      <c r="A196" s="186">
        <v>188.0</v>
      </c>
      <c r="B196" s="186" t="s">
        <v>14868</v>
      </c>
      <c r="C196" s="191" t="s">
        <v>14701</v>
      </c>
      <c r="D196" s="188" t="s">
        <v>14869</v>
      </c>
      <c r="E196" s="186" t="s">
        <v>4612</v>
      </c>
      <c r="F196" s="186" t="s">
        <v>29</v>
      </c>
      <c r="G196" s="186" t="s">
        <v>30</v>
      </c>
      <c r="H196" s="186" t="s">
        <v>31</v>
      </c>
      <c r="I196" s="191" t="s">
        <v>14866</v>
      </c>
      <c r="J196" s="191">
        <v>600.0</v>
      </c>
      <c r="K196" s="186"/>
      <c r="L196" s="186" t="s">
        <v>14870</v>
      </c>
      <c r="M196" s="186" t="s">
        <v>13482</v>
      </c>
      <c r="N196" s="186" t="s">
        <v>31</v>
      </c>
      <c r="O196" s="191">
        <v>3.0</v>
      </c>
      <c r="P196" s="186">
        <v>1.0</v>
      </c>
      <c r="Q196" s="436">
        <v>1.0</v>
      </c>
      <c r="R196" s="3"/>
      <c r="S196" s="3"/>
      <c r="T196" s="3"/>
      <c r="U196" s="3"/>
      <c r="V196" s="3"/>
      <c r="W196" s="3"/>
      <c r="X196" s="3"/>
      <c r="Y196" s="3"/>
      <c r="Z196" s="3"/>
      <c r="AA196" s="3"/>
      <c r="AB196" s="3"/>
      <c r="AC196" s="3"/>
      <c r="AD196" s="3"/>
      <c r="AE196" s="3"/>
      <c r="AF196" s="3"/>
      <c r="AG196" s="3"/>
      <c r="AH196" s="3"/>
      <c r="AI196" s="3"/>
      <c r="AJ196" s="3"/>
    </row>
    <row r="197" ht="15.75" customHeight="1">
      <c r="A197" s="476">
        <v>189.0</v>
      </c>
      <c r="B197" s="476"/>
      <c r="C197" s="478" t="s">
        <v>14871</v>
      </c>
      <c r="D197" s="482" t="s">
        <v>14872</v>
      </c>
      <c r="E197" s="476" t="s">
        <v>4612</v>
      </c>
      <c r="F197" s="476" t="s">
        <v>29</v>
      </c>
      <c r="G197" s="476" t="s">
        <v>30</v>
      </c>
      <c r="H197" s="476" t="s">
        <v>31</v>
      </c>
      <c r="I197" s="476" t="s">
        <v>30</v>
      </c>
      <c r="J197" s="478">
        <v>367.0</v>
      </c>
      <c r="K197" s="476"/>
      <c r="L197" s="478" t="s">
        <v>14873</v>
      </c>
      <c r="M197" s="476" t="s">
        <v>14874</v>
      </c>
      <c r="N197" s="476">
        <v>2013.0</v>
      </c>
      <c r="O197" s="478">
        <v>3.0</v>
      </c>
      <c r="P197" s="476">
        <v>1.0</v>
      </c>
      <c r="Q197" s="483">
        <v>1.0</v>
      </c>
      <c r="R197" s="3"/>
      <c r="S197" s="3"/>
      <c r="T197" s="3"/>
      <c r="U197" s="3"/>
      <c r="V197" s="3"/>
      <c r="W197" s="3"/>
      <c r="X197" s="3"/>
      <c r="Y197" s="3"/>
      <c r="Z197" s="3"/>
      <c r="AA197" s="3"/>
      <c r="AB197" s="3"/>
      <c r="AC197" s="3"/>
      <c r="AD197" s="3"/>
      <c r="AE197" s="3"/>
      <c r="AF197" s="3"/>
      <c r="AG197" s="3"/>
      <c r="AH197" s="3"/>
      <c r="AI197" s="3"/>
      <c r="AJ197" s="3"/>
    </row>
    <row r="198" ht="15.75" customHeight="1">
      <c r="A198" s="476">
        <v>190.0</v>
      </c>
      <c r="B198" s="478" t="s">
        <v>14875</v>
      </c>
      <c r="C198" s="478" t="s">
        <v>14876</v>
      </c>
      <c r="D198" s="482" t="s">
        <v>14877</v>
      </c>
      <c r="E198" s="476" t="s">
        <v>4612</v>
      </c>
      <c r="F198" s="476" t="s">
        <v>29</v>
      </c>
      <c r="G198" s="476" t="s">
        <v>30</v>
      </c>
      <c r="H198" s="476" t="s">
        <v>31</v>
      </c>
      <c r="I198" s="476" t="s">
        <v>30</v>
      </c>
      <c r="J198" s="478">
        <v>237.0</v>
      </c>
      <c r="K198" s="476"/>
      <c r="L198" s="478" t="s">
        <v>14878</v>
      </c>
      <c r="M198" s="476" t="s">
        <v>14879</v>
      </c>
      <c r="N198" s="476">
        <v>2012.0</v>
      </c>
      <c r="O198" s="478">
        <v>3.0</v>
      </c>
      <c r="P198" s="476">
        <v>1.0</v>
      </c>
      <c r="Q198" s="481">
        <v>1.0</v>
      </c>
      <c r="R198" s="149"/>
      <c r="S198" s="45"/>
      <c r="T198" s="45"/>
      <c r="U198" s="45"/>
      <c r="V198" s="45"/>
      <c r="W198" s="45"/>
      <c r="X198" s="45"/>
      <c r="Y198" s="45"/>
      <c r="Z198" s="45"/>
      <c r="AA198" s="45"/>
      <c r="AB198" s="45"/>
      <c r="AC198" s="45"/>
      <c r="AD198" s="45"/>
      <c r="AE198" s="45"/>
      <c r="AF198" s="45"/>
      <c r="AG198" s="45"/>
      <c r="AH198" s="45"/>
      <c r="AI198" s="45"/>
      <c r="AJ198" s="45"/>
    </row>
    <row r="199" ht="15.75" customHeight="1">
      <c r="A199" s="186">
        <v>191.0</v>
      </c>
      <c r="B199" s="186" t="s">
        <v>14880</v>
      </c>
      <c r="C199" s="191" t="s">
        <v>14881</v>
      </c>
      <c r="D199" s="35" t="s">
        <v>14882</v>
      </c>
      <c r="E199" s="186" t="s">
        <v>4612</v>
      </c>
      <c r="F199" s="186" t="s">
        <v>29</v>
      </c>
      <c r="G199" s="186" t="s">
        <v>8203</v>
      </c>
      <c r="H199" s="186" t="s">
        <v>31</v>
      </c>
      <c r="I199" s="186" t="s">
        <v>38</v>
      </c>
      <c r="J199" s="186">
        <v>2096.0</v>
      </c>
      <c r="K199" s="186"/>
      <c r="L199" s="186" t="s">
        <v>31</v>
      </c>
      <c r="M199" s="191" t="s">
        <v>14883</v>
      </c>
      <c r="N199" s="186">
        <v>2011.0</v>
      </c>
      <c r="O199" s="191">
        <v>3.0</v>
      </c>
      <c r="P199" s="186">
        <v>1.0</v>
      </c>
      <c r="Q199" s="37">
        <v>1.0</v>
      </c>
      <c r="R199" s="149"/>
      <c r="S199" s="45"/>
      <c r="T199" s="45"/>
      <c r="U199" s="45"/>
      <c r="V199" s="45"/>
      <c r="W199" s="45"/>
      <c r="X199" s="45"/>
      <c r="Y199" s="45"/>
      <c r="Z199" s="45"/>
      <c r="AA199" s="45"/>
      <c r="AB199" s="45"/>
      <c r="AC199" s="45"/>
      <c r="AD199" s="45"/>
      <c r="AE199" s="45"/>
      <c r="AF199" s="45"/>
      <c r="AG199" s="45"/>
      <c r="AH199" s="45"/>
      <c r="AI199" s="45"/>
      <c r="AJ199" s="45"/>
    </row>
    <row r="200" ht="15.75" customHeight="1">
      <c r="A200" s="186">
        <v>192.0</v>
      </c>
      <c r="B200" s="186" t="s">
        <v>14884</v>
      </c>
      <c r="C200" s="191" t="s">
        <v>14885</v>
      </c>
      <c r="D200" s="188" t="s">
        <v>14886</v>
      </c>
      <c r="E200" s="186" t="s">
        <v>4612</v>
      </c>
      <c r="F200" s="186" t="s">
        <v>29</v>
      </c>
      <c r="G200" s="186" t="s">
        <v>37</v>
      </c>
      <c r="H200" s="186" t="s">
        <v>31</v>
      </c>
      <c r="I200" s="186" t="s">
        <v>38</v>
      </c>
      <c r="J200" s="191">
        <v>1732.0</v>
      </c>
      <c r="K200" s="186"/>
      <c r="L200" s="191" t="s">
        <v>14887</v>
      </c>
      <c r="M200" s="186" t="s">
        <v>72</v>
      </c>
      <c r="N200" s="186">
        <v>2010.0</v>
      </c>
      <c r="O200" s="191">
        <v>3.0</v>
      </c>
      <c r="P200" s="186">
        <v>1.0</v>
      </c>
      <c r="Q200" s="37">
        <v>1.0</v>
      </c>
      <c r="R200" s="149"/>
      <c r="S200" s="45"/>
      <c r="T200" s="45"/>
      <c r="U200" s="45"/>
      <c r="V200" s="45"/>
      <c r="W200" s="45"/>
      <c r="X200" s="45"/>
      <c r="Y200" s="45"/>
      <c r="Z200" s="45"/>
      <c r="AA200" s="45"/>
      <c r="AB200" s="45"/>
      <c r="AC200" s="45"/>
      <c r="AD200" s="45"/>
      <c r="AE200" s="45"/>
      <c r="AF200" s="45"/>
      <c r="AG200" s="45"/>
      <c r="AH200" s="45"/>
      <c r="AI200" s="45"/>
      <c r="AJ200" s="45"/>
    </row>
    <row r="201" ht="15.75" customHeight="1">
      <c r="A201" s="186">
        <v>193.0</v>
      </c>
      <c r="B201" s="186" t="s">
        <v>14888</v>
      </c>
      <c r="C201" s="191" t="s">
        <v>14889</v>
      </c>
      <c r="D201" s="35" t="s">
        <v>14890</v>
      </c>
      <c r="E201" s="186" t="s">
        <v>4612</v>
      </c>
      <c r="F201" s="186" t="s">
        <v>29</v>
      </c>
      <c r="G201" s="186" t="s">
        <v>11144</v>
      </c>
      <c r="H201" s="186" t="s">
        <v>31</v>
      </c>
      <c r="I201" s="186" t="s">
        <v>38</v>
      </c>
      <c r="J201" s="191">
        <v>1844.0</v>
      </c>
      <c r="K201" s="186"/>
      <c r="L201" s="191" t="s">
        <v>14891</v>
      </c>
      <c r="M201" s="186" t="s">
        <v>83</v>
      </c>
      <c r="N201" s="186">
        <v>2013.0</v>
      </c>
      <c r="O201" s="191">
        <v>3.0</v>
      </c>
      <c r="P201" s="186">
        <v>1.0</v>
      </c>
      <c r="Q201" s="37">
        <v>1.0</v>
      </c>
      <c r="R201" s="149"/>
      <c r="S201" s="45"/>
      <c r="T201" s="45"/>
      <c r="U201" s="45"/>
      <c r="V201" s="45"/>
      <c r="W201" s="45"/>
      <c r="X201" s="45"/>
      <c r="Y201" s="45"/>
      <c r="Z201" s="45"/>
      <c r="AA201" s="45"/>
      <c r="AB201" s="45"/>
      <c r="AC201" s="45"/>
      <c r="AD201" s="45"/>
      <c r="AE201" s="45"/>
      <c r="AF201" s="45"/>
      <c r="AG201" s="45"/>
      <c r="AH201" s="45"/>
      <c r="AI201" s="45"/>
      <c r="AJ201" s="45"/>
    </row>
    <row r="202" ht="15.75" customHeight="1">
      <c r="A202" s="476">
        <v>194.0</v>
      </c>
      <c r="B202" s="476" t="s">
        <v>14892</v>
      </c>
      <c r="C202" s="502" t="s">
        <v>14893</v>
      </c>
      <c r="D202" s="482" t="s">
        <v>14894</v>
      </c>
      <c r="E202" s="476" t="s">
        <v>4612</v>
      </c>
      <c r="F202" s="476" t="s">
        <v>29</v>
      </c>
      <c r="G202" s="476" t="s">
        <v>30</v>
      </c>
      <c r="H202" s="476" t="s">
        <v>31</v>
      </c>
      <c r="I202" s="478" t="s">
        <v>14895</v>
      </c>
      <c r="J202" s="478">
        <v>745.0</v>
      </c>
      <c r="K202" s="476" t="s">
        <v>31</v>
      </c>
      <c r="L202" s="478" t="s">
        <v>14896</v>
      </c>
      <c r="M202" s="478" t="s">
        <v>14897</v>
      </c>
      <c r="N202" s="476">
        <v>2014.0</v>
      </c>
      <c r="O202" s="478">
        <v>4.0</v>
      </c>
      <c r="P202" s="476">
        <v>1.0</v>
      </c>
      <c r="Q202" s="481">
        <v>1.0</v>
      </c>
      <c r="R202" s="149"/>
      <c r="S202" s="45"/>
      <c r="T202" s="45"/>
      <c r="U202" s="45"/>
      <c r="V202" s="45"/>
      <c r="W202" s="45"/>
      <c r="X202" s="45"/>
      <c r="Y202" s="45"/>
      <c r="Z202" s="45"/>
      <c r="AA202" s="45"/>
      <c r="AB202" s="45"/>
      <c r="AC202" s="45"/>
      <c r="AD202" s="45"/>
      <c r="AE202" s="45"/>
      <c r="AF202" s="45"/>
      <c r="AG202" s="45"/>
      <c r="AH202" s="45"/>
      <c r="AI202" s="45"/>
      <c r="AJ202" s="45"/>
    </row>
    <row r="203" ht="15.75" customHeight="1">
      <c r="A203" s="186">
        <v>195.0</v>
      </c>
      <c r="B203" s="186" t="s">
        <v>14898</v>
      </c>
      <c r="C203" s="503" t="s">
        <v>14899</v>
      </c>
      <c r="D203" s="35" t="s">
        <v>14900</v>
      </c>
      <c r="E203" s="186" t="s">
        <v>4612</v>
      </c>
      <c r="F203" s="186" t="s">
        <v>29</v>
      </c>
      <c r="G203" s="186" t="s">
        <v>30</v>
      </c>
      <c r="H203" s="186"/>
      <c r="I203" s="186" t="s">
        <v>14901</v>
      </c>
      <c r="J203" s="186">
        <v>1103.0</v>
      </c>
      <c r="K203" s="186"/>
      <c r="L203" s="191" t="s">
        <v>14902</v>
      </c>
      <c r="M203" s="191" t="s">
        <v>6821</v>
      </c>
      <c r="N203" s="186">
        <v>2014.0</v>
      </c>
      <c r="O203" s="191">
        <v>3.0</v>
      </c>
      <c r="P203" s="186">
        <v>1.0</v>
      </c>
      <c r="Q203" s="37">
        <v>1.0</v>
      </c>
      <c r="R203" s="149"/>
      <c r="S203" s="45"/>
      <c r="T203" s="45"/>
      <c r="U203" s="45"/>
      <c r="V203" s="45"/>
      <c r="W203" s="45"/>
      <c r="X203" s="45"/>
      <c r="Y203" s="45"/>
      <c r="Z203" s="45"/>
      <c r="AA203" s="45"/>
      <c r="AB203" s="45"/>
      <c r="AC203" s="45"/>
      <c r="AD203" s="45"/>
      <c r="AE203" s="45"/>
      <c r="AF203" s="45"/>
      <c r="AG203" s="45"/>
      <c r="AH203" s="45"/>
      <c r="AI203" s="45"/>
      <c r="AJ203" s="45"/>
    </row>
    <row r="204" ht="15.75" customHeight="1">
      <c r="A204" s="186">
        <v>196.0</v>
      </c>
      <c r="B204" s="421" t="s">
        <v>31</v>
      </c>
      <c r="C204" s="422" t="s">
        <v>90</v>
      </c>
      <c r="D204" s="504" t="s">
        <v>91</v>
      </c>
      <c r="E204" s="186" t="s">
        <v>4612</v>
      </c>
      <c r="F204" s="186" t="s">
        <v>29</v>
      </c>
      <c r="G204" s="421" t="s">
        <v>37</v>
      </c>
      <c r="H204" s="421"/>
      <c r="I204" s="421" t="s">
        <v>14903</v>
      </c>
      <c r="J204" s="422">
        <v>284.0</v>
      </c>
      <c r="K204" s="421" t="s">
        <v>31</v>
      </c>
      <c r="L204" s="422" t="s">
        <v>93</v>
      </c>
      <c r="M204" s="186" t="s">
        <v>14904</v>
      </c>
      <c r="N204" s="421">
        <v>1973.0</v>
      </c>
      <c r="O204" s="191">
        <v>3.0</v>
      </c>
      <c r="P204" s="421">
        <v>1.0</v>
      </c>
      <c r="Q204" s="436">
        <v>1.0</v>
      </c>
      <c r="R204" s="3"/>
      <c r="S204" s="3"/>
      <c r="T204" s="3"/>
      <c r="U204" s="3"/>
      <c r="V204" s="3"/>
      <c r="W204" s="3"/>
      <c r="X204" s="3"/>
      <c r="Y204" s="3"/>
      <c r="Z204" s="3"/>
      <c r="AA204" s="3"/>
      <c r="AB204" s="3"/>
      <c r="AC204" s="3"/>
      <c r="AD204" s="3"/>
      <c r="AE204" s="3"/>
      <c r="AF204" s="3"/>
      <c r="AG204" s="3"/>
      <c r="AH204" s="3"/>
      <c r="AI204" s="3"/>
      <c r="AJ204" s="3"/>
    </row>
    <row r="205" ht="15.75" customHeight="1">
      <c r="A205" s="186"/>
      <c r="B205" s="421" t="s">
        <v>31</v>
      </c>
      <c r="C205" s="422" t="s">
        <v>90</v>
      </c>
      <c r="D205" s="504" t="s">
        <v>91</v>
      </c>
      <c r="E205" s="186" t="s">
        <v>4612</v>
      </c>
      <c r="F205" s="186" t="s">
        <v>29</v>
      </c>
      <c r="G205" s="421" t="s">
        <v>37</v>
      </c>
      <c r="H205" s="421"/>
      <c r="I205" s="421" t="s">
        <v>14903</v>
      </c>
      <c r="J205" s="422">
        <v>327.0</v>
      </c>
      <c r="K205" s="421" t="s">
        <v>31</v>
      </c>
      <c r="L205" s="422" t="s">
        <v>93</v>
      </c>
      <c r="M205" s="186" t="s">
        <v>14904</v>
      </c>
      <c r="N205" s="422">
        <v>1975.0</v>
      </c>
      <c r="O205" s="191">
        <v>3.0</v>
      </c>
      <c r="P205" s="421">
        <v>1.0</v>
      </c>
      <c r="Q205" s="436">
        <v>1.0</v>
      </c>
      <c r="R205" s="3"/>
      <c r="S205" s="3"/>
      <c r="T205" s="3"/>
      <c r="U205" s="3"/>
      <c r="V205" s="3"/>
      <c r="W205" s="3"/>
      <c r="X205" s="3"/>
      <c r="Y205" s="3"/>
      <c r="Z205" s="3"/>
      <c r="AA205" s="3"/>
      <c r="AB205" s="3"/>
      <c r="AC205" s="3"/>
      <c r="AD205" s="3"/>
      <c r="AE205" s="3"/>
      <c r="AF205" s="3"/>
      <c r="AG205" s="3"/>
      <c r="AH205" s="3"/>
      <c r="AI205" s="3"/>
      <c r="AJ205" s="3"/>
    </row>
    <row r="206" ht="15.75" customHeight="1">
      <c r="A206" s="476">
        <v>197.0</v>
      </c>
      <c r="B206" s="505" t="s">
        <v>14905</v>
      </c>
      <c r="C206" s="506" t="s">
        <v>14906</v>
      </c>
      <c r="D206" s="507" t="s">
        <v>14907</v>
      </c>
      <c r="E206" s="476" t="s">
        <v>4612</v>
      </c>
      <c r="F206" s="476" t="s">
        <v>29</v>
      </c>
      <c r="G206" s="476" t="s">
        <v>30</v>
      </c>
      <c r="H206" s="505"/>
      <c r="I206" s="505" t="s">
        <v>30</v>
      </c>
      <c r="J206" s="505">
        <v>497.0</v>
      </c>
      <c r="K206" s="505"/>
      <c r="L206" s="505" t="s">
        <v>10455</v>
      </c>
      <c r="M206" s="476" t="s">
        <v>4166</v>
      </c>
      <c r="N206" s="505">
        <v>2016.0</v>
      </c>
      <c r="O206" s="478">
        <v>3.0</v>
      </c>
      <c r="P206" s="505">
        <v>1.0</v>
      </c>
      <c r="Q206" s="508">
        <v>1.0</v>
      </c>
      <c r="R206" s="149"/>
      <c r="S206" s="45"/>
      <c r="T206" s="45"/>
      <c r="U206" s="45"/>
      <c r="V206" s="45"/>
      <c r="W206" s="45"/>
      <c r="X206" s="45"/>
      <c r="Y206" s="45"/>
      <c r="Z206" s="45"/>
      <c r="AA206" s="45"/>
      <c r="AB206" s="45"/>
      <c r="AC206" s="45"/>
      <c r="AD206" s="45"/>
      <c r="AE206" s="45"/>
      <c r="AF206" s="45"/>
      <c r="AG206" s="45"/>
      <c r="AH206" s="45"/>
      <c r="AI206" s="45"/>
      <c r="AJ206" s="45"/>
    </row>
    <row r="207" ht="15.75" customHeight="1">
      <c r="A207" s="322">
        <v>198.0</v>
      </c>
      <c r="B207" s="509" t="s">
        <v>6231</v>
      </c>
      <c r="C207" s="509" t="s">
        <v>14908</v>
      </c>
      <c r="D207" s="510" t="s">
        <v>14909</v>
      </c>
      <c r="E207" s="490" t="s">
        <v>4612</v>
      </c>
      <c r="F207" s="490" t="s">
        <v>29</v>
      </c>
      <c r="G207" s="490" t="s">
        <v>30</v>
      </c>
      <c r="H207" s="509"/>
      <c r="I207" s="509" t="s">
        <v>30</v>
      </c>
      <c r="J207" s="509">
        <v>136.0</v>
      </c>
      <c r="K207" s="509"/>
      <c r="L207" s="509" t="s">
        <v>6234</v>
      </c>
      <c r="M207" s="490" t="s">
        <v>544</v>
      </c>
      <c r="N207" s="509">
        <v>2014.0</v>
      </c>
      <c r="O207" s="490" t="s">
        <v>388</v>
      </c>
      <c r="P207" s="509">
        <v>1.0</v>
      </c>
      <c r="Q207" s="492"/>
      <c r="R207" s="149"/>
      <c r="S207" s="45"/>
      <c r="T207" s="45"/>
      <c r="U207" s="45"/>
      <c r="V207" s="45"/>
      <c r="W207" s="45"/>
      <c r="X207" s="45"/>
      <c r="Y207" s="45"/>
      <c r="Z207" s="45"/>
      <c r="AA207" s="45"/>
      <c r="AB207" s="45"/>
      <c r="AC207" s="45"/>
      <c r="AD207" s="45"/>
      <c r="AE207" s="45"/>
      <c r="AF207" s="45"/>
      <c r="AG207" s="45"/>
      <c r="AH207" s="45"/>
      <c r="AI207" s="45"/>
      <c r="AJ207" s="45"/>
    </row>
    <row r="208" ht="15.75" customHeight="1">
      <c r="A208" s="322">
        <v>199.0</v>
      </c>
      <c r="B208" s="509" t="s">
        <v>5648</v>
      </c>
      <c r="C208" s="509" t="s">
        <v>14910</v>
      </c>
      <c r="D208" s="510" t="s">
        <v>14911</v>
      </c>
      <c r="E208" s="490" t="s">
        <v>4612</v>
      </c>
      <c r="F208" s="490" t="s">
        <v>29</v>
      </c>
      <c r="G208" s="490" t="s">
        <v>30</v>
      </c>
      <c r="H208" s="509"/>
      <c r="I208" s="509" t="s">
        <v>30</v>
      </c>
      <c r="J208" s="509">
        <v>458.0</v>
      </c>
      <c r="K208" s="509"/>
      <c r="L208" s="509" t="s">
        <v>5651</v>
      </c>
      <c r="M208" s="490" t="s">
        <v>151</v>
      </c>
      <c r="N208" s="509">
        <v>2011.0</v>
      </c>
      <c r="O208" s="490" t="s">
        <v>388</v>
      </c>
      <c r="P208" s="509">
        <v>1.0</v>
      </c>
      <c r="Q208" s="492"/>
      <c r="R208" s="149"/>
      <c r="S208" s="45"/>
      <c r="T208" s="45"/>
      <c r="U208" s="45"/>
      <c r="V208" s="45"/>
      <c r="W208" s="45"/>
      <c r="X208" s="45"/>
      <c r="Y208" s="45"/>
      <c r="Z208" s="45"/>
      <c r="AA208" s="45"/>
      <c r="AB208" s="45"/>
      <c r="AC208" s="45"/>
      <c r="AD208" s="45"/>
      <c r="AE208" s="45"/>
      <c r="AF208" s="45"/>
      <c r="AG208" s="45"/>
      <c r="AH208" s="45"/>
      <c r="AI208" s="45"/>
      <c r="AJ208" s="45"/>
    </row>
    <row r="209" ht="15.75" customHeight="1">
      <c r="A209" s="186">
        <v>200.0</v>
      </c>
      <c r="B209" s="421" t="s">
        <v>14912</v>
      </c>
      <c r="C209" s="422" t="s">
        <v>14913</v>
      </c>
      <c r="D209" s="423" t="s">
        <v>14914</v>
      </c>
      <c r="E209" s="186" t="s">
        <v>4612</v>
      </c>
      <c r="F209" s="421" t="s">
        <v>29</v>
      </c>
      <c r="G209" s="421" t="s">
        <v>38</v>
      </c>
      <c r="H209" s="421"/>
      <c r="I209" s="421" t="s">
        <v>38</v>
      </c>
      <c r="J209" s="422">
        <v>1019.0</v>
      </c>
      <c r="K209" s="421"/>
      <c r="L209" s="421" t="s">
        <v>14915</v>
      </c>
      <c r="M209" s="186" t="s">
        <v>72</v>
      </c>
      <c r="N209" s="421">
        <v>2015.0</v>
      </c>
      <c r="O209" s="191">
        <v>3.0</v>
      </c>
      <c r="P209" s="421">
        <v>1.0</v>
      </c>
      <c r="Q209" s="37">
        <v>1.0</v>
      </c>
      <c r="R209" s="149"/>
      <c r="S209" s="45"/>
      <c r="T209" s="45"/>
      <c r="U209" s="45"/>
      <c r="V209" s="45"/>
      <c r="W209" s="45"/>
      <c r="X209" s="45"/>
      <c r="Y209" s="45"/>
      <c r="Z209" s="45"/>
      <c r="AA209" s="45"/>
      <c r="AB209" s="45"/>
      <c r="AC209" s="45"/>
      <c r="AD209" s="45"/>
      <c r="AE209" s="45"/>
      <c r="AF209" s="45"/>
      <c r="AG209" s="45"/>
      <c r="AH209" s="45"/>
      <c r="AI209" s="45"/>
      <c r="AJ209" s="45"/>
    </row>
    <row r="210" ht="15.75" customHeight="1">
      <c r="A210" s="186">
        <v>201.0</v>
      </c>
      <c r="B210" s="421" t="s">
        <v>14916</v>
      </c>
      <c r="C210" s="422" t="s">
        <v>14917</v>
      </c>
      <c r="D210" s="423" t="s">
        <v>14918</v>
      </c>
      <c r="E210" s="186" t="s">
        <v>4612</v>
      </c>
      <c r="F210" s="421" t="s">
        <v>29</v>
      </c>
      <c r="G210" s="421" t="s">
        <v>38</v>
      </c>
      <c r="H210" s="421"/>
      <c r="I210" s="421" t="s">
        <v>38</v>
      </c>
      <c r="J210" s="421">
        <v>1091.0</v>
      </c>
      <c r="K210" s="421"/>
      <c r="L210" s="422" t="s">
        <v>14919</v>
      </c>
      <c r="M210" s="186" t="s">
        <v>72</v>
      </c>
      <c r="N210" s="421">
        <v>1998.0</v>
      </c>
      <c r="O210" s="191">
        <v>3.0</v>
      </c>
      <c r="P210" s="421">
        <v>1.0</v>
      </c>
      <c r="Q210" s="37">
        <v>1.0</v>
      </c>
      <c r="R210" s="149"/>
      <c r="S210" s="45"/>
      <c r="T210" s="45"/>
      <c r="U210" s="45"/>
      <c r="V210" s="45"/>
      <c r="W210" s="45"/>
      <c r="X210" s="45"/>
      <c r="Y210" s="45"/>
      <c r="Z210" s="45"/>
      <c r="AA210" s="45"/>
      <c r="AB210" s="45"/>
      <c r="AC210" s="45"/>
      <c r="AD210" s="45"/>
      <c r="AE210" s="45"/>
      <c r="AF210" s="45"/>
      <c r="AG210" s="45"/>
      <c r="AH210" s="45"/>
      <c r="AI210" s="45"/>
      <c r="AJ210" s="45"/>
    </row>
    <row r="211" ht="15.75" customHeight="1">
      <c r="A211" s="322">
        <v>202.0</v>
      </c>
      <c r="B211" s="509" t="s">
        <v>6249</v>
      </c>
      <c r="C211" s="509" t="s">
        <v>14920</v>
      </c>
      <c r="D211" s="510" t="s">
        <v>14921</v>
      </c>
      <c r="E211" s="490" t="s">
        <v>4612</v>
      </c>
      <c r="F211" s="509" t="s">
        <v>29</v>
      </c>
      <c r="G211" s="509" t="s">
        <v>37</v>
      </c>
      <c r="H211" s="509"/>
      <c r="I211" s="509" t="s">
        <v>38</v>
      </c>
      <c r="J211" s="509">
        <v>200.0</v>
      </c>
      <c r="K211" s="509"/>
      <c r="L211" s="509" t="s">
        <v>14922</v>
      </c>
      <c r="M211" s="490" t="s">
        <v>14923</v>
      </c>
      <c r="N211" s="509">
        <v>2007.0</v>
      </c>
      <c r="O211" s="490" t="s">
        <v>388</v>
      </c>
      <c r="P211" s="509">
        <v>1.0</v>
      </c>
      <c r="Q211" s="492"/>
      <c r="R211" s="149"/>
      <c r="S211" s="45"/>
      <c r="T211" s="45"/>
      <c r="U211" s="45"/>
      <c r="V211" s="45"/>
      <c r="W211" s="45"/>
      <c r="X211" s="45"/>
      <c r="Y211" s="45"/>
      <c r="Z211" s="45"/>
      <c r="AA211" s="45"/>
      <c r="AB211" s="45"/>
      <c r="AC211" s="45"/>
      <c r="AD211" s="45"/>
      <c r="AE211" s="45"/>
      <c r="AF211" s="45"/>
      <c r="AG211" s="45"/>
      <c r="AH211" s="45"/>
      <c r="AI211" s="45"/>
      <c r="AJ211" s="45"/>
    </row>
    <row r="212" ht="15.75" customHeight="1">
      <c r="A212" s="322">
        <v>203.0</v>
      </c>
      <c r="B212" s="511"/>
      <c r="C212" s="511" t="s">
        <v>14924</v>
      </c>
      <c r="D212" s="512" t="s">
        <v>14925</v>
      </c>
      <c r="E212" s="417" t="s">
        <v>4612</v>
      </c>
      <c r="F212" s="511" t="s">
        <v>29</v>
      </c>
      <c r="G212" s="511" t="s">
        <v>30</v>
      </c>
      <c r="H212" s="511"/>
      <c r="I212" s="511" t="s">
        <v>30</v>
      </c>
      <c r="J212" s="511">
        <v>915.0</v>
      </c>
      <c r="K212" s="511"/>
      <c r="L212" s="511" t="s">
        <v>14926</v>
      </c>
      <c r="M212" s="417"/>
      <c r="N212" s="511"/>
      <c r="O212" s="417" t="s">
        <v>388</v>
      </c>
      <c r="P212" s="511">
        <v>1.0</v>
      </c>
      <c r="Q212" s="419"/>
      <c r="R212" s="149"/>
      <c r="S212" s="45"/>
      <c r="T212" s="45"/>
      <c r="U212" s="45"/>
      <c r="V212" s="45"/>
      <c r="W212" s="45"/>
      <c r="X212" s="45"/>
      <c r="Y212" s="45"/>
      <c r="Z212" s="45"/>
      <c r="AA212" s="45"/>
      <c r="AB212" s="45"/>
      <c r="AC212" s="45"/>
      <c r="AD212" s="45"/>
      <c r="AE212" s="45"/>
      <c r="AF212" s="45"/>
      <c r="AG212" s="45"/>
      <c r="AH212" s="45"/>
      <c r="AI212" s="45"/>
      <c r="AJ212" s="45"/>
    </row>
    <row r="213" ht="15.75" customHeight="1">
      <c r="A213" s="476">
        <v>204.0</v>
      </c>
      <c r="B213" s="476" t="s">
        <v>14927</v>
      </c>
      <c r="C213" s="488" t="s">
        <v>14928</v>
      </c>
      <c r="D213" s="482" t="s">
        <v>14929</v>
      </c>
      <c r="E213" s="476"/>
      <c r="F213" s="476" t="s">
        <v>29</v>
      </c>
      <c r="G213" s="476" t="s">
        <v>2179</v>
      </c>
      <c r="H213" s="476"/>
      <c r="I213" s="476" t="s">
        <v>38</v>
      </c>
      <c r="J213" s="476">
        <v>1324.0</v>
      </c>
      <c r="K213" s="476"/>
      <c r="L213" s="476" t="s">
        <v>14930</v>
      </c>
      <c r="M213" s="476" t="s">
        <v>236</v>
      </c>
      <c r="N213" s="476">
        <v>1956.0</v>
      </c>
      <c r="O213" s="478">
        <v>2.0</v>
      </c>
      <c r="P213" s="476">
        <v>1.0</v>
      </c>
      <c r="Q213" s="481">
        <v>1.0</v>
      </c>
      <c r="R213" s="149"/>
      <c r="S213" s="45"/>
      <c r="T213" s="45"/>
      <c r="U213" s="45"/>
      <c r="V213" s="45"/>
      <c r="W213" s="45"/>
      <c r="X213" s="45"/>
      <c r="Y213" s="45"/>
      <c r="Z213" s="45"/>
      <c r="AA213" s="45"/>
      <c r="AB213" s="45"/>
      <c r="AC213" s="45"/>
      <c r="AD213" s="45"/>
      <c r="AE213" s="45"/>
      <c r="AF213" s="45"/>
      <c r="AG213" s="45"/>
      <c r="AH213" s="45"/>
      <c r="AI213" s="45"/>
      <c r="AJ213" s="45"/>
    </row>
    <row r="214" ht="15.75" customHeight="1">
      <c r="A214" s="186">
        <v>205.0</v>
      </c>
      <c r="B214" s="421" t="s">
        <v>14604</v>
      </c>
      <c r="C214" s="422" t="s">
        <v>14931</v>
      </c>
      <c r="D214" s="504" t="s">
        <v>14932</v>
      </c>
      <c r="E214" s="191" t="s">
        <v>4612</v>
      </c>
      <c r="F214" s="421" t="s">
        <v>29</v>
      </c>
      <c r="G214" s="421" t="s">
        <v>30</v>
      </c>
      <c r="H214" s="421"/>
      <c r="I214" s="421" t="s">
        <v>14933</v>
      </c>
      <c r="J214" s="421">
        <v>660.0</v>
      </c>
      <c r="K214" s="421"/>
      <c r="L214" s="422" t="s">
        <v>14607</v>
      </c>
      <c r="M214" s="186" t="s">
        <v>2698</v>
      </c>
      <c r="N214" s="421">
        <v>2000.0</v>
      </c>
      <c r="O214" s="191">
        <v>3.0</v>
      </c>
      <c r="P214" s="421">
        <v>1.0</v>
      </c>
      <c r="Q214" s="37">
        <v>1.0</v>
      </c>
      <c r="R214" s="149"/>
      <c r="S214" s="45"/>
      <c r="T214" s="45"/>
      <c r="U214" s="45"/>
      <c r="V214" s="45"/>
      <c r="W214" s="45"/>
      <c r="X214" s="45"/>
      <c r="Y214" s="45"/>
      <c r="Z214" s="45"/>
      <c r="AA214" s="45"/>
      <c r="AB214" s="45"/>
      <c r="AC214" s="45"/>
      <c r="AD214" s="45"/>
      <c r="AE214" s="45"/>
      <c r="AF214" s="45"/>
      <c r="AG214" s="45"/>
      <c r="AH214" s="45"/>
      <c r="AI214" s="45"/>
      <c r="AJ214" s="45"/>
    </row>
    <row r="215" ht="15.75" customHeight="1">
      <c r="A215" s="186">
        <v>206.0</v>
      </c>
      <c r="B215" s="421" t="s">
        <v>14604</v>
      </c>
      <c r="C215" s="422" t="s">
        <v>14931</v>
      </c>
      <c r="D215" s="504" t="s">
        <v>14934</v>
      </c>
      <c r="E215" s="191" t="s">
        <v>4612</v>
      </c>
      <c r="F215" s="421" t="s">
        <v>29</v>
      </c>
      <c r="G215" s="421" t="s">
        <v>30</v>
      </c>
      <c r="H215" s="421"/>
      <c r="I215" s="421" t="s">
        <v>14933</v>
      </c>
      <c r="J215" s="421">
        <v>660.0</v>
      </c>
      <c r="K215" s="421"/>
      <c r="L215" s="422" t="s">
        <v>14607</v>
      </c>
      <c r="M215" s="186" t="s">
        <v>2698</v>
      </c>
      <c r="N215" s="422">
        <v>2007.0</v>
      </c>
      <c r="O215" s="191">
        <v>3.0</v>
      </c>
      <c r="P215" s="421">
        <v>1.0</v>
      </c>
      <c r="Q215" s="37">
        <v>1.0</v>
      </c>
      <c r="R215" s="149"/>
      <c r="S215" s="45"/>
      <c r="T215" s="45"/>
      <c r="U215" s="45"/>
      <c r="V215" s="45"/>
      <c r="W215" s="45"/>
      <c r="X215" s="45"/>
      <c r="Y215" s="45"/>
      <c r="Z215" s="45"/>
      <c r="AA215" s="45"/>
      <c r="AB215" s="45"/>
      <c r="AC215" s="45"/>
      <c r="AD215" s="45"/>
      <c r="AE215" s="45"/>
      <c r="AF215" s="45"/>
      <c r="AG215" s="45"/>
      <c r="AH215" s="45"/>
      <c r="AI215" s="45"/>
      <c r="AJ215" s="45"/>
    </row>
    <row r="216" ht="15.75" customHeight="1">
      <c r="A216" s="186">
        <v>207.0</v>
      </c>
      <c r="B216" s="421" t="s">
        <v>14935</v>
      </c>
      <c r="C216" s="422" t="s">
        <v>14936</v>
      </c>
      <c r="D216" s="504" t="s">
        <v>14937</v>
      </c>
      <c r="E216" s="191" t="s">
        <v>4612</v>
      </c>
      <c r="F216" s="421" t="s">
        <v>29</v>
      </c>
      <c r="G216" s="421" t="s">
        <v>30</v>
      </c>
      <c r="H216" s="421"/>
      <c r="I216" s="421" t="s">
        <v>14933</v>
      </c>
      <c r="J216" s="421">
        <v>830.0</v>
      </c>
      <c r="K216" s="421"/>
      <c r="L216" s="421" t="s">
        <v>14938</v>
      </c>
      <c r="M216" s="191" t="s">
        <v>14939</v>
      </c>
      <c r="N216" s="421">
        <v>2002.0</v>
      </c>
      <c r="O216" s="191">
        <v>3.0</v>
      </c>
      <c r="P216" s="421">
        <v>1.0</v>
      </c>
      <c r="Q216" s="37">
        <v>1.0</v>
      </c>
      <c r="R216" s="149"/>
      <c r="S216" s="45"/>
      <c r="T216" s="45"/>
      <c r="U216" s="45"/>
      <c r="V216" s="45"/>
      <c r="W216" s="45"/>
      <c r="X216" s="45"/>
      <c r="Y216" s="45"/>
      <c r="Z216" s="45"/>
      <c r="AA216" s="45"/>
      <c r="AB216" s="45"/>
      <c r="AC216" s="45"/>
      <c r="AD216" s="45"/>
      <c r="AE216" s="45"/>
      <c r="AF216" s="45"/>
      <c r="AG216" s="45"/>
      <c r="AH216" s="45"/>
      <c r="AI216" s="45"/>
      <c r="AJ216" s="45"/>
    </row>
    <row r="217" ht="15.75" customHeight="1">
      <c r="A217" s="476">
        <v>208.0</v>
      </c>
      <c r="B217" s="505"/>
      <c r="C217" s="506" t="s">
        <v>14940</v>
      </c>
      <c r="D217" s="513" t="s">
        <v>14941</v>
      </c>
      <c r="E217" s="476"/>
      <c r="F217" s="505" t="s">
        <v>29</v>
      </c>
      <c r="G217" s="505" t="s">
        <v>30</v>
      </c>
      <c r="H217" s="505"/>
      <c r="I217" s="505" t="s">
        <v>14933</v>
      </c>
      <c r="J217" s="505">
        <v>431.0</v>
      </c>
      <c r="K217" s="505"/>
      <c r="L217" s="505" t="s">
        <v>14942</v>
      </c>
      <c r="M217" s="478" t="s">
        <v>14943</v>
      </c>
      <c r="N217" s="505">
        <v>1963.0</v>
      </c>
      <c r="O217" s="478">
        <v>2.0</v>
      </c>
      <c r="P217" s="505">
        <v>1.0</v>
      </c>
      <c r="Q217" s="481">
        <v>1.0</v>
      </c>
      <c r="R217" s="149"/>
      <c r="S217" s="45"/>
      <c r="T217" s="45"/>
      <c r="U217" s="45"/>
      <c r="V217" s="45"/>
      <c r="W217" s="45"/>
      <c r="X217" s="45"/>
      <c r="Y217" s="45"/>
      <c r="Z217" s="45"/>
      <c r="AA217" s="45"/>
      <c r="AB217" s="45"/>
      <c r="AC217" s="45"/>
      <c r="AD217" s="45"/>
      <c r="AE217" s="45"/>
      <c r="AF217" s="45"/>
      <c r="AG217" s="45"/>
      <c r="AH217" s="45"/>
      <c r="AI217" s="45"/>
      <c r="AJ217" s="45"/>
    </row>
    <row r="218" ht="15.75" customHeight="1">
      <c r="A218" s="186">
        <v>209.0</v>
      </c>
      <c r="B218" s="191" t="s">
        <v>14944</v>
      </c>
      <c r="C218" s="422" t="s">
        <v>14945</v>
      </c>
      <c r="D218" s="35" t="s">
        <v>14946</v>
      </c>
      <c r="E218" s="186" t="s">
        <v>4612</v>
      </c>
      <c r="F218" s="186" t="s">
        <v>29</v>
      </c>
      <c r="G218" s="186" t="s">
        <v>30</v>
      </c>
      <c r="H218" s="186" t="s">
        <v>31</v>
      </c>
      <c r="I218" s="191" t="s">
        <v>14947</v>
      </c>
      <c r="J218" s="191">
        <v>820.0</v>
      </c>
      <c r="K218" s="186"/>
      <c r="L218" s="186" t="s">
        <v>14948</v>
      </c>
      <c r="M218" s="191" t="s">
        <v>14949</v>
      </c>
      <c r="N218" s="186">
        <v>2010.0</v>
      </c>
      <c r="O218" s="191">
        <v>3.0</v>
      </c>
      <c r="P218" s="186">
        <v>1.0</v>
      </c>
      <c r="Q218" s="37">
        <v>1.0</v>
      </c>
      <c r="R218" s="149"/>
      <c r="S218" s="45"/>
      <c r="T218" s="45"/>
      <c r="U218" s="45"/>
      <c r="V218" s="45"/>
      <c r="W218" s="45"/>
      <c r="X218" s="45"/>
      <c r="Y218" s="45"/>
      <c r="Z218" s="45"/>
      <c r="AA218" s="45"/>
      <c r="AB218" s="45"/>
      <c r="AC218" s="45"/>
      <c r="AD218" s="45"/>
      <c r="AE218" s="45"/>
      <c r="AF218" s="45"/>
      <c r="AG218" s="45"/>
      <c r="AH218" s="45"/>
      <c r="AI218" s="45"/>
      <c r="AJ218" s="45"/>
    </row>
    <row r="219" ht="15.75" customHeight="1">
      <c r="A219" s="186">
        <v>210.0</v>
      </c>
      <c r="B219" s="421"/>
      <c r="C219" s="422" t="s">
        <v>14950</v>
      </c>
      <c r="D219" s="504" t="s">
        <v>14951</v>
      </c>
      <c r="E219" s="186" t="s">
        <v>4612</v>
      </c>
      <c r="F219" s="186" t="s">
        <v>29</v>
      </c>
      <c r="G219" s="186" t="s">
        <v>30</v>
      </c>
      <c r="H219" s="421"/>
      <c r="I219" s="421" t="s">
        <v>14933</v>
      </c>
      <c r="J219" s="421">
        <v>329.0</v>
      </c>
      <c r="K219" s="421"/>
      <c r="L219" s="422" t="s">
        <v>14952</v>
      </c>
      <c r="M219" s="191" t="s">
        <v>14953</v>
      </c>
      <c r="N219" s="421">
        <v>1982.0</v>
      </c>
      <c r="O219" s="191">
        <v>3.0</v>
      </c>
      <c r="P219" s="421">
        <v>1.0</v>
      </c>
      <c r="Q219" s="37">
        <v>1.0</v>
      </c>
      <c r="R219" s="149"/>
      <c r="S219" s="45"/>
      <c r="T219" s="45"/>
      <c r="U219" s="45"/>
      <c r="V219" s="45"/>
      <c r="W219" s="45"/>
      <c r="X219" s="45"/>
      <c r="Y219" s="45"/>
      <c r="Z219" s="45"/>
      <c r="AA219" s="45"/>
      <c r="AB219" s="45"/>
      <c r="AC219" s="45"/>
      <c r="AD219" s="45"/>
      <c r="AE219" s="45"/>
      <c r="AF219" s="45"/>
      <c r="AG219" s="45"/>
      <c r="AH219" s="45"/>
      <c r="AI219" s="45"/>
      <c r="AJ219" s="45"/>
    </row>
    <row r="220" ht="15.75" customHeight="1">
      <c r="A220" s="186">
        <v>211.0</v>
      </c>
      <c r="B220" s="186" t="s">
        <v>3093</v>
      </c>
      <c r="C220" s="187" t="s">
        <v>14954</v>
      </c>
      <c r="D220" s="188" t="s">
        <v>14955</v>
      </c>
      <c r="E220" s="186" t="s">
        <v>4612</v>
      </c>
      <c r="F220" s="186" t="s">
        <v>29</v>
      </c>
      <c r="G220" s="186" t="s">
        <v>30</v>
      </c>
      <c r="H220" s="186"/>
      <c r="I220" s="186" t="s">
        <v>30</v>
      </c>
      <c r="J220" s="186">
        <v>528.0</v>
      </c>
      <c r="K220" s="186"/>
      <c r="L220" s="186" t="s">
        <v>14956</v>
      </c>
      <c r="M220" s="186" t="s">
        <v>151</v>
      </c>
      <c r="N220" s="186">
        <v>2011.0</v>
      </c>
      <c r="O220" s="186" t="s">
        <v>388</v>
      </c>
      <c r="P220" s="186">
        <v>2.0</v>
      </c>
      <c r="Q220" s="37">
        <v>2.0</v>
      </c>
      <c r="R220" s="149"/>
      <c r="S220" s="45"/>
      <c r="T220" s="45"/>
      <c r="U220" s="45"/>
      <c r="V220" s="45"/>
      <c r="W220" s="45"/>
      <c r="X220" s="45"/>
      <c r="Y220" s="45"/>
      <c r="Z220" s="45"/>
      <c r="AA220" s="45"/>
      <c r="AB220" s="45"/>
      <c r="AC220" s="45"/>
      <c r="AD220" s="45"/>
      <c r="AE220" s="45"/>
      <c r="AF220" s="45"/>
      <c r="AG220" s="45"/>
      <c r="AH220" s="45"/>
      <c r="AI220" s="45"/>
      <c r="AJ220" s="45"/>
    </row>
    <row r="221" ht="15.75" customHeight="1">
      <c r="A221" s="186">
        <v>212.0</v>
      </c>
      <c r="B221" s="422" t="s">
        <v>31</v>
      </c>
      <c r="C221" s="422" t="s">
        <v>14957</v>
      </c>
      <c r="D221" s="504" t="s">
        <v>14958</v>
      </c>
      <c r="E221" s="186" t="s">
        <v>4612</v>
      </c>
      <c r="F221" s="421" t="s">
        <v>29</v>
      </c>
      <c r="G221" s="421" t="s">
        <v>30</v>
      </c>
      <c r="H221" s="421"/>
      <c r="I221" s="421" t="s">
        <v>14959</v>
      </c>
      <c r="J221" s="421">
        <v>208.0</v>
      </c>
      <c r="K221" s="421"/>
      <c r="L221" s="421" t="s">
        <v>14960</v>
      </c>
      <c r="M221" s="191" t="s">
        <v>14961</v>
      </c>
      <c r="N221" s="421">
        <v>1973.0</v>
      </c>
      <c r="O221" s="191">
        <v>3.0</v>
      </c>
      <c r="P221" s="421">
        <v>1.0</v>
      </c>
      <c r="Q221" s="37">
        <v>1.0</v>
      </c>
      <c r="R221" s="149"/>
      <c r="S221" s="45"/>
      <c r="T221" s="45"/>
      <c r="U221" s="45"/>
      <c r="V221" s="45"/>
      <c r="W221" s="45"/>
      <c r="X221" s="45"/>
      <c r="Y221" s="45"/>
      <c r="Z221" s="45"/>
      <c r="AA221" s="45"/>
      <c r="AB221" s="45"/>
      <c r="AC221" s="45"/>
      <c r="AD221" s="45"/>
      <c r="AE221" s="45"/>
      <c r="AF221" s="45"/>
      <c r="AG221" s="45"/>
      <c r="AH221" s="45"/>
      <c r="AI221" s="45"/>
      <c r="AJ221" s="45"/>
    </row>
    <row r="222" ht="15.75" customHeight="1">
      <c r="A222" s="476">
        <v>213.0</v>
      </c>
      <c r="B222" s="505" t="s">
        <v>14962</v>
      </c>
      <c r="C222" s="506" t="s">
        <v>14963</v>
      </c>
      <c r="D222" s="513" t="s">
        <v>14964</v>
      </c>
      <c r="E222" s="476" t="s">
        <v>4612</v>
      </c>
      <c r="F222" s="505" t="s">
        <v>29</v>
      </c>
      <c r="G222" s="505" t="s">
        <v>30</v>
      </c>
      <c r="H222" s="505"/>
      <c r="I222" s="505" t="s">
        <v>30</v>
      </c>
      <c r="J222" s="505">
        <v>713.0</v>
      </c>
      <c r="K222" s="505"/>
      <c r="L222" s="505" t="s">
        <v>14965</v>
      </c>
      <c r="M222" s="478" t="s">
        <v>14966</v>
      </c>
      <c r="N222" s="505">
        <v>2006.0</v>
      </c>
      <c r="O222" s="478">
        <v>3.0</v>
      </c>
      <c r="P222" s="505">
        <v>1.0</v>
      </c>
      <c r="Q222" s="481">
        <v>1.0</v>
      </c>
      <c r="R222" s="149"/>
      <c r="S222" s="45"/>
      <c r="T222" s="45"/>
      <c r="U222" s="45"/>
      <c r="V222" s="45"/>
      <c r="W222" s="45"/>
      <c r="X222" s="45"/>
      <c r="Y222" s="45"/>
      <c r="Z222" s="45"/>
      <c r="AA222" s="45"/>
      <c r="AB222" s="45"/>
      <c r="AC222" s="45"/>
      <c r="AD222" s="45"/>
      <c r="AE222" s="45"/>
      <c r="AF222" s="45"/>
      <c r="AG222" s="45"/>
      <c r="AH222" s="45"/>
      <c r="AI222" s="45"/>
      <c r="AJ222" s="45"/>
    </row>
    <row r="223" ht="15.75" customHeight="1">
      <c r="A223" s="476">
        <v>214.0</v>
      </c>
      <c r="B223" s="476"/>
      <c r="C223" s="488" t="s">
        <v>14967</v>
      </c>
      <c r="D223" s="482" t="s">
        <v>14968</v>
      </c>
      <c r="E223" s="476" t="s">
        <v>4612</v>
      </c>
      <c r="F223" s="476" t="s">
        <v>29</v>
      </c>
      <c r="G223" s="476" t="s">
        <v>30</v>
      </c>
      <c r="H223" s="476" t="s">
        <v>14726</v>
      </c>
      <c r="I223" s="476" t="s">
        <v>14969</v>
      </c>
      <c r="J223" s="476">
        <v>158.0</v>
      </c>
      <c r="K223" s="476"/>
      <c r="L223" s="478" t="s">
        <v>14970</v>
      </c>
      <c r="M223" s="478" t="s">
        <v>14690</v>
      </c>
      <c r="N223" s="476">
        <v>1987.0</v>
      </c>
      <c r="O223" s="478">
        <v>3.0</v>
      </c>
      <c r="P223" s="476">
        <v>1.0</v>
      </c>
      <c r="Q223" s="481">
        <v>1.0</v>
      </c>
      <c r="R223" s="149"/>
      <c r="S223" s="45"/>
      <c r="T223" s="45"/>
      <c r="U223" s="45"/>
      <c r="V223" s="45"/>
      <c r="W223" s="45"/>
      <c r="X223" s="45"/>
      <c r="Y223" s="45"/>
      <c r="Z223" s="45"/>
      <c r="AA223" s="45"/>
      <c r="AB223" s="45"/>
      <c r="AC223" s="45"/>
      <c r="AD223" s="45"/>
      <c r="AE223" s="45"/>
      <c r="AF223" s="45"/>
      <c r="AG223" s="45"/>
      <c r="AH223" s="45"/>
      <c r="AI223" s="45"/>
      <c r="AJ223" s="45"/>
    </row>
    <row r="224" ht="15.75" customHeight="1">
      <c r="A224" s="476">
        <v>215.0</v>
      </c>
      <c r="B224" s="505" t="s">
        <v>14971</v>
      </c>
      <c r="C224" s="506" t="s">
        <v>14972</v>
      </c>
      <c r="D224" s="513" t="s">
        <v>14973</v>
      </c>
      <c r="E224" s="476" t="s">
        <v>4612</v>
      </c>
      <c r="F224" s="505"/>
      <c r="G224" s="505"/>
      <c r="H224" s="505"/>
      <c r="I224" s="505"/>
      <c r="J224" s="505">
        <v>453.0</v>
      </c>
      <c r="K224" s="505"/>
      <c r="L224" s="505" t="s">
        <v>14974</v>
      </c>
      <c r="M224" s="476" t="s">
        <v>2494</v>
      </c>
      <c r="N224" s="505">
        <v>2010.0</v>
      </c>
      <c r="O224" s="478">
        <v>3.0</v>
      </c>
      <c r="P224" s="505">
        <v>1.0</v>
      </c>
      <c r="Q224" s="481">
        <v>1.0</v>
      </c>
      <c r="R224" s="149"/>
      <c r="S224" s="45"/>
      <c r="T224" s="45"/>
      <c r="U224" s="45"/>
      <c r="V224" s="45"/>
      <c r="W224" s="45"/>
      <c r="X224" s="45"/>
      <c r="Y224" s="45"/>
      <c r="Z224" s="45"/>
      <c r="AA224" s="45"/>
      <c r="AB224" s="45"/>
      <c r="AC224" s="45"/>
      <c r="AD224" s="45"/>
      <c r="AE224" s="45"/>
      <c r="AF224" s="45"/>
      <c r="AG224" s="45"/>
      <c r="AH224" s="45"/>
      <c r="AI224" s="45"/>
      <c r="AJ224" s="45"/>
    </row>
    <row r="225" ht="15.75" customHeight="1">
      <c r="A225" s="476">
        <v>216.0</v>
      </c>
      <c r="B225" s="506" t="s">
        <v>14975</v>
      </c>
      <c r="C225" s="506" t="s">
        <v>14976</v>
      </c>
      <c r="D225" s="514" t="s">
        <v>14977</v>
      </c>
      <c r="E225" s="478" t="s">
        <v>4612</v>
      </c>
      <c r="F225" s="506" t="s">
        <v>29</v>
      </c>
      <c r="G225" s="506" t="s">
        <v>159</v>
      </c>
      <c r="H225" s="505"/>
      <c r="I225" s="506" t="s">
        <v>159</v>
      </c>
      <c r="J225" s="506">
        <v>1264.0</v>
      </c>
      <c r="K225" s="505"/>
      <c r="L225" s="506" t="s">
        <v>14978</v>
      </c>
      <c r="M225" s="478" t="s">
        <v>14979</v>
      </c>
      <c r="N225" s="506">
        <v>2011.0</v>
      </c>
      <c r="O225" s="478">
        <v>2.0</v>
      </c>
      <c r="P225" s="506">
        <v>1.0</v>
      </c>
      <c r="Q225" s="483">
        <v>1.0</v>
      </c>
      <c r="R225" s="3"/>
      <c r="S225" s="3"/>
      <c r="T225" s="3"/>
      <c r="U225" s="3"/>
      <c r="V225" s="3"/>
      <c r="W225" s="3"/>
      <c r="X225" s="3"/>
      <c r="Y225" s="3"/>
      <c r="Z225" s="3"/>
      <c r="AA225" s="3"/>
      <c r="AB225" s="3"/>
      <c r="AC225" s="3"/>
      <c r="AD225" s="3"/>
      <c r="AE225" s="3"/>
      <c r="AF225" s="3"/>
      <c r="AG225" s="3"/>
      <c r="AH225" s="3"/>
      <c r="AI225" s="3"/>
      <c r="AJ225" s="3"/>
    </row>
    <row r="226" ht="15.75" customHeight="1">
      <c r="A226" s="476">
        <v>217.0</v>
      </c>
      <c r="B226" s="506" t="s">
        <v>14980</v>
      </c>
      <c r="C226" s="506" t="s">
        <v>14981</v>
      </c>
      <c r="D226" s="507" t="s">
        <v>14982</v>
      </c>
      <c r="E226" s="478" t="s">
        <v>4612</v>
      </c>
      <c r="F226" s="506" t="s">
        <v>3578</v>
      </c>
      <c r="G226" s="506" t="s">
        <v>38</v>
      </c>
      <c r="H226" s="505"/>
      <c r="I226" s="506" t="s">
        <v>38</v>
      </c>
      <c r="J226" s="506">
        <v>1038.0</v>
      </c>
      <c r="K226" s="505"/>
      <c r="L226" s="506" t="s">
        <v>528</v>
      </c>
      <c r="M226" s="506" t="s">
        <v>2567</v>
      </c>
      <c r="N226" s="506">
        <v>1993.0</v>
      </c>
      <c r="O226" s="478">
        <v>2.0</v>
      </c>
      <c r="P226" s="506">
        <v>1.0</v>
      </c>
      <c r="Q226" s="483">
        <v>1.0</v>
      </c>
      <c r="R226" s="3"/>
      <c r="S226" s="3"/>
      <c r="T226" s="3"/>
      <c r="U226" s="3"/>
      <c r="V226" s="3"/>
      <c r="W226" s="3"/>
      <c r="X226" s="3"/>
      <c r="Y226" s="3"/>
      <c r="Z226" s="3"/>
      <c r="AA226" s="3"/>
      <c r="AB226" s="3"/>
      <c r="AC226" s="3"/>
      <c r="AD226" s="3"/>
      <c r="AE226" s="3"/>
      <c r="AF226" s="3"/>
      <c r="AG226" s="3"/>
      <c r="AH226" s="3"/>
      <c r="AI226" s="3"/>
      <c r="AJ226" s="3"/>
    </row>
    <row r="227" ht="15.75" customHeight="1">
      <c r="A227" s="476">
        <v>218.0</v>
      </c>
      <c r="B227" s="506" t="s">
        <v>14587</v>
      </c>
      <c r="C227" s="506" t="s">
        <v>14983</v>
      </c>
      <c r="D227" s="507" t="s">
        <v>14984</v>
      </c>
      <c r="E227" s="478" t="s">
        <v>4612</v>
      </c>
      <c r="F227" s="506" t="s">
        <v>29</v>
      </c>
      <c r="G227" s="506" t="s">
        <v>159</v>
      </c>
      <c r="H227" s="505"/>
      <c r="I227" s="506" t="s">
        <v>159</v>
      </c>
      <c r="J227" s="506">
        <v>1090.0</v>
      </c>
      <c r="K227" s="505"/>
      <c r="L227" s="506" t="s">
        <v>14985</v>
      </c>
      <c r="M227" s="506" t="s">
        <v>13283</v>
      </c>
      <c r="N227" s="506">
        <v>1988.0</v>
      </c>
      <c r="O227" s="478">
        <v>3.0</v>
      </c>
      <c r="P227" s="506">
        <v>2.0</v>
      </c>
      <c r="Q227" s="483">
        <v>2.0</v>
      </c>
      <c r="R227" s="3"/>
      <c r="S227" s="3"/>
      <c r="T227" s="3"/>
      <c r="U227" s="3"/>
      <c r="V227" s="3"/>
      <c r="W227" s="3"/>
      <c r="X227" s="3"/>
      <c r="Y227" s="3"/>
      <c r="Z227" s="3"/>
      <c r="AA227" s="3"/>
      <c r="AB227" s="3"/>
      <c r="AC227" s="3"/>
      <c r="AD227" s="3"/>
      <c r="AE227" s="3"/>
      <c r="AF227" s="3"/>
      <c r="AG227" s="3"/>
      <c r="AH227" s="3"/>
      <c r="AI227" s="3"/>
      <c r="AJ227" s="3"/>
    </row>
    <row r="228" ht="15.75" customHeight="1">
      <c r="A228" s="476">
        <v>219.0</v>
      </c>
      <c r="B228" s="506" t="s">
        <v>31</v>
      </c>
      <c r="C228" s="506" t="s">
        <v>14986</v>
      </c>
      <c r="D228" s="507" t="s">
        <v>14611</v>
      </c>
      <c r="E228" s="478" t="s">
        <v>4612</v>
      </c>
      <c r="F228" s="506" t="s">
        <v>29</v>
      </c>
      <c r="G228" s="506" t="s">
        <v>159</v>
      </c>
      <c r="H228" s="505"/>
      <c r="I228" s="506" t="s">
        <v>159</v>
      </c>
      <c r="J228" s="506">
        <v>903.0</v>
      </c>
      <c r="K228" s="505"/>
      <c r="L228" s="506" t="s">
        <v>14987</v>
      </c>
      <c r="M228" s="506" t="s">
        <v>14988</v>
      </c>
      <c r="N228" s="506">
        <v>1954.0</v>
      </c>
      <c r="O228" s="478">
        <v>3.0</v>
      </c>
      <c r="P228" s="506">
        <v>1.0</v>
      </c>
      <c r="Q228" s="483">
        <v>1.0</v>
      </c>
      <c r="R228" s="3"/>
      <c r="S228" s="3"/>
      <c r="T228" s="3"/>
      <c r="U228" s="3"/>
      <c r="V228" s="3"/>
      <c r="W228" s="3"/>
      <c r="X228" s="3"/>
      <c r="Y228" s="3"/>
      <c r="Z228" s="3"/>
      <c r="AA228" s="3"/>
      <c r="AB228" s="3"/>
      <c r="AC228" s="3"/>
      <c r="AD228" s="3"/>
      <c r="AE228" s="3"/>
      <c r="AF228" s="3"/>
      <c r="AG228" s="3"/>
      <c r="AH228" s="3"/>
      <c r="AI228" s="3"/>
      <c r="AJ228" s="3"/>
    </row>
    <row r="229" ht="15.75" customHeight="1">
      <c r="A229" s="476">
        <v>220.0</v>
      </c>
      <c r="B229" s="506" t="s">
        <v>31</v>
      </c>
      <c r="C229" s="506" t="s">
        <v>14986</v>
      </c>
      <c r="D229" s="507" t="s">
        <v>14611</v>
      </c>
      <c r="E229" s="478" t="s">
        <v>4612</v>
      </c>
      <c r="F229" s="506" t="s">
        <v>29</v>
      </c>
      <c r="G229" s="506" t="s">
        <v>159</v>
      </c>
      <c r="H229" s="505"/>
      <c r="I229" s="506" t="s">
        <v>159</v>
      </c>
      <c r="J229" s="506">
        <v>1156.0</v>
      </c>
      <c r="K229" s="505"/>
      <c r="L229" s="506" t="s">
        <v>14987</v>
      </c>
      <c r="M229" s="506" t="s">
        <v>13283</v>
      </c>
      <c r="N229" s="506">
        <v>1983.0</v>
      </c>
      <c r="O229" s="478">
        <v>3.0</v>
      </c>
      <c r="P229" s="506">
        <v>1.0</v>
      </c>
      <c r="Q229" s="483">
        <v>1.0</v>
      </c>
      <c r="R229" s="3"/>
      <c r="S229" s="3"/>
      <c r="T229" s="3"/>
      <c r="U229" s="3"/>
      <c r="V229" s="3"/>
      <c r="W229" s="3"/>
      <c r="X229" s="3"/>
      <c r="Y229" s="3"/>
      <c r="Z229" s="3"/>
      <c r="AA229" s="3"/>
      <c r="AB229" s="3"/>
      <c r="AC229" s="3"/>
      <c r="AD229" s="3"/>
      <c r="AE229" s="3"/>
      <c r="AF229" s="3"/>
      <c r="AG229" s="3"/>
      <c r="AH229" s="3"/>
      <c r="AI229" s="3"/>
      <c r="AJ229" s="3"/>
    </row>
    <row r="230" ht="15.75" customHeight="1">
      <c r="A230" s="186">
        <v>221.0</v>
      </c>
      <c r="B230" s="422" t="s">
        <v>31</v>
      </c>
      <c r="C230" s="422" t="s">
        <v>14989</v>
      </c>
      <c r="D230" s="504" t="s">
        <v>14990</v>
      </c>
      <c r="E230" s="191" t="s">
        <v>4612</v>
      </c>
      <c r="F230" s="422" t="s">
        <v>29</v>
      </c>
      <c r="G230" s="422" t="s">
        <v>159</v>
      </c>
      <c r="H230" s="191" t="s">
        <v>14812</v>
      </c>
      <c r="I230" s="422" t="s">
        <v>14991</v>
      </c>
      <c r="J230" s="422">
        <v>70.0</v>
      </c>
      <c r="K230" s="421"/>
      <c r="L230" s="422" t="s">
        <v>14992</v>
      </c>
      <c r="M230" s="422" t="s">
        <v>14814</v>
      </c>
      <c r="N230" s="422">
        <v>2004.0</v>
      </c>
      <c r="O230" s="191">
        <v>3.0</v>
      </c>
      <c r="P230" s="422">
        <v>1.0</v>
      </c>
      <c r="Q230" s="436">
        <v>1.0</v>
      </c>
      <c r="R230" s="3"/>
      <c r="S230" s="3"/>
      <c r="T230" s="3"/>
      <c r="U230" s="3"/>
      <c r="V230" s="3"/>
      <c r="W230" s="3"/>
      <c r="X230" s="3"/>
      <c r="Y230" s="3"/>
      <c r="Z230" s="3"/>
      <c r="AA230" s="3"/>
      <c r="AB230" s="3"/>
      <c r="AC230" s="3"/>
      <c r="AD230" s="3"/>
      <c r="AE230" s="3"/>
      <c r="AF230" s="3"/>
      <c r="AG230" s="3"/>
      <c r="AH230" s="3"/>
      <c r="AI230" s="3"/>
      <c r="AJ230" s="3"/>
    </row>
    <row r="231" ht="15.75" customHeight="1">
      <c r="A231" s="191">
        <v>222.0</v>
      </c>
      <c r="B231" s="191" t="s">
        <v>31</v>
      </c>
      <c r="C231" s="191" t="s">
        <v>14993</v>
      </c>
      <c r="D231" s="35" t="s">
        <v>14994</v>
      </c>
      <c r="E231" s="191" t="s">
        <v>4612</v>
      </c>
      <c r="F231" s="191" t="s">
        <v>29</v>
      </c>
      <c r="G231" s="191" t="s">
        <v>159</v>
      </c>
      <c r="H231" s="186"/>
      <c r="I231" s="191" t="s">
        <v>14995</v>
      </c>
      <c r="J231" s="191">
        <v>270.0</v>
      </c>
      <c r="K231" s="186"/>
      <c r="L231" s="503" t="s">
        <v>14952</v>
      </c>
      <c r="M231" s="191" t="s">
        <v>14996</v>
      </c>
      <c r="N231" s="515" t="s">
        <v>31</v>
      </c>
      <c r="O231" s="191">
        <v>3.0</v>
      </c>
      <c r="P231" s="31">
        <v>1.0</v>
      </c>
      <c r="Q231" s="436">
        <v>1.0</v>
      </c>
      <c r="R231" s="3"/>
      <c r="S231" s="3"/>
      <c r="T231" s="3"/>
      <c r="U231" s="3"/>
      <c r="V231" s="3"/>
      <c r="W231" s="3"/>
      <c r="X231" s="3"/>
      <c r="Y231" s="3"/>
      <c r="Z231" s="3"/>
      <c r="AA231" s="3"/>
      <c r="AB231" s="3"/>
      <c r="AC231" s="3"/>
      <c r="AD231" s="3"/>
      <c r="AE231" s="3"/>
      <c r="AF231" s="3"/>
      <c r="AG231" s="3"/>
      <c r="AH231" s="3"/>
      <c r="AI231" s="3"/>
      <c r="AJ231" s="3"/>
    </row>
    <row r="232" ht="15.75" customHeight="1">
      <c r="A232" s="191">
        <v>223.0</v>
      </c>
      <c r="B232" s="191" t="s">
        <v>31</v>
      </c>
      <c r="C232" s="191" t="s">
        <v>14810</v>
      </c>
      <c r="D232" s="35" t="s">
        <v>14997</v>
      </c>
      <c r="E232" s="191" t="s">
        <v>4612</v>
      </c>
      <c r="F232" s="191" t="s">
        <v>29</v>
      </c>
      <c r="G232" s="191" t="s">
        <v>159</v>
      </c>
      <c r="H232" s="186" t="s">
        <v>14812</v>
      </c>
      <c r="I232" s="191" t="s">
        <v>14998</v>
      </c>
      <c r="J232" s="191">
        <v>32.0</v>
      </c>
      <c r="K232" s="186"/>
      <c r="L232" s="503" t="s">
        <v>14813</v>
      </c>
      <c r="M232" s="191" t="s">
        <v>14814</v>
      </c>
      <c r="N232" s="515">
        <v>2005.0</v>
      </c>
      <c r="O232" s="191">
        <v>3.0</v>
      </c>
      <c r="P232" s="31">
        <v>1.0</v>
      </c>
      <c r="Q232" s="436">
        <v>1.0</v>
      </c>
      <c r="R232" s="3"/>
      <c r="S232" s="3"/>
      <c r="T232" s="3"/>
      <c r="U232" s="3"/>
      <c r="V232" s="3"/>
      <c r="W232" s="3"/>
      <c r="X232" s="3"/>
      <c r="Y232" s="3"/>
      <c r="Z232" s="3"/>
      <c r="AA232" s="3"/>
      <c r="AB232" s="3"/>
      <c r="AC232" s="3"/>
      <c r="AD232" s="3"/>
      <c r="AE232" s="3"/>
      <c r="AF232" s="3"/>
      <c r="AG232" s="3"/>
      <c r="AH232" s="3"/>
      <c r="AI232" s="3"/>
      <c r="AJ232" s="3"/>
    </row>
    <row r="233" ht="15.75" customHeight="1">
      <c r="A233" s="516">
        <v>224.0</v>
      </c>
      <c r="B233" s="517" t="s">
        <v>31</v>
      </c>
      <c r="C233" s="145" t="s">
        <v>14626</v>
      </c>
      <c r="D233" s="518" t="s">
        <v>14627</v>
      </c>
      <c r="E233" s="145" t="s">
        <v>4612</v>
      </c>
      <c r="F233" s="145" t="s">
        <v>29</v>
      </c>
      <c r="G233" s="145" t="s">
        <v>30</v>
      </c>
      <c r="H233" s="519"/>
      <c r="I233" s="517" t="s">
        <v>14860</v>
      </c>
      <c r="J233" s="145">
        <v>194.0</v>
      </c>
      <c r="K233" s="519"/>
      <c r="L233" s="517" t="s">
        <v>14999</v>
      </c>
      <c r="M233" s="145" t="s">
        <v>151</v>
      </c>
      <c r="N233" s="517">
        <v>1991.0</v>
      </c>
      <c r="O233" s="145">
        <v>3.0</v>
      </c>
      <c r="P233" s="145">
        <v>1.0</v>
      </c>
      <c r="Q233" s="520">
        <v>1.0</v>
      </c>
      <c r="R233" s="150"/>
      <c r="S233" s="150"/>
      <c r="T233" s="150"/>
      <c r="U233" s="150"/>
      <c r="V233" s="150"/>
      <c r="W233" s="150"/>
      <c r="X233" s="150"/>
      <c r="Y233" s="150"/>
      <c r="Z233" s="150"/>
      <c r="AA233" s="150"/>
      <c r="AB233" s="150"/>
      <c r="AC233" s="150"/>
      <c r="AD233" s="150"/>
      <c r="AE233" s="150"/>
      <c r="AF233" s="150"/>
      <c r="AG233" s="150"/>
      <c r="AH233" s="150"/>
      <c r="AI233" s="150"/>
      <c r="AJ233" s="150"/>
    </row>
    <row r="234" ht="15.75" customHeight="1">
      <c r="A234" s="191">
        <v>225.0</v>
      </c>
      <c r="B234" s="186"/>
      <c r="C234" s="191" t="s">
        <v>14626</v>
      </c>
      <c r="D234" s="35" t="s">
        <v>15000</v>
      </c>
      <c r="E234" s="191" t="s">
        <v>4612</v>
      </c>
      <c r="F234" s="191" t="s">
        <v>29</v>
      </c>
      <c r="G234" s="191" t="s">
        <v>30</v>
      </c>
      <c r="H234" s="186"/>
      <c r="I234" s="191" t="s">
        <v>14860</v>
      </c>
      <c r="J234" s="191">
        <v>155.0</v>
      </c>
      <c r="K234" s="186"/>
      <c r="L234" s="503" t="s">
        <v>14999</v>
      </c>
      <c r="M234" s="191" t="s">
        <v>15001</v>
      </c>
      <c r="N234" s="515">
        <v>1988.0</v>
      </c>
      <c r="O234" s="191">
        <v>3.0</v>
      </c>
      <c r="P234" s="31">
        <v>2.0</v>
      </c>
      <c r="Q234" s="436">
        <v>2.0</v>
      </c>
      <c r="R234" s="3"/>
      <c r="S234" s="3"/>
      <c r="T234" s="3"/>
      <c r="U234" s="3"/>
      <c r="V234" s="3"/>
      <c r="W234" s="3"/>
      <c r="X234" s="3"/>
      <c r="Y234" s="3"/>
      <c r="Z234" s="3"/>
      <c r="AA234" s="3"/>
      <c r="AB234" s="3"/>
      <c r="AC234" s="3"/>
      <c r="AD234" s="3"/>
      <c r="AE234" s="3"/>
      <c r="AF234" s="3"/>
      <c r="AG234" s="3"/>
      <c r="AH234" s="3"/>
      <c r="AI234" s="3"/>
      <c r="AJ234" s="3"/>
    </row>
    <row r="235" ht="15.75" customHeight="1">
      <c r="A235" s="191">
        <v>226.0</v>
      </c>
      <c r="B235" s="191" t="s">
        <v>31</v>
      </c>
      <c r="C235" s="191" t="s">
        <v>14936</v>
      </c>
      <c r="D235" s="35" t="s">
        <v>15002</v>
      </c>
      <c r="E235" s="191" t="s">
        <v>4612</v>
      </c>
      <c r="F235" s="191" t="s">
        <v>29</v>
      </c>
      <c r="G235" s="191" t="s">
        <v>30</v>
      </c>
      <c r="H235" s="186"/>
      <c r="I235" s="191" t="s">
        <v>13242</v>
      </c>
      <c r="J235" s="191">
        <v>508.0</v>
      </c>
      <c r="K235" s="186"/>
      <c r="L235" s="503" t="s">
        <v>15003</v>
      </c>
      <c r="M235" s="191" t="s">
        <v>15004</v>
      </c>
      <c r="N235" s="515">
        <v>1951.0</v>
      </c>
      <c r="O235" s="191">
        <v>3.0</v>
      </c>
      <c r="P235" s="31">
        <v>1.0</v>
      </c>
      <c r="Q235" s="436">
        <v>1.0</v>
      </c>
      <c r="R235" s="3"/>
      <c r="S235" s="3"/>
      <c r="T235" s="3"/>
      <c r="U235" s="3"/>
      <c r="V235" s="3"/>
      <c r="W235" s="3"/>
      <c r="X235" s="3"/>
      <c r="Y235" s="3"/>
      <c r="Z235" s="3"/>
      <c r="AA235" s="3"/>
      <c r="AB235" s="3"/>
      <c r="AC235" s="3"/>
      <c r="AD235" s="3"/>
      <c r="AE235" s="3"/>
      <c r="AF235" s="3"/>
      <c r="AG235" s="3"/>
      <c r="AH235" s="3"/>
      <c r="AI235" s="3"/>
      <c r="AJ235" s="3"/>
    </row>
    <row r="236" ht="15.75" customHeight="1">
      <c r="A236" s="191">
        <v>227.0</v>
      </c>
      <c r="B236" s="191" t="s">
        <v>31</v>
      </c>
      <c r="C236" s="191" t="s">
        <v>15005</v>
      </c>
      <c r="D236" s="35" t="s">
        <v>15006</v>
      </c>
      <c r="E236" s="186" t="s">
        <v>4612</v>
      </c>
      <c r="F236" s="186" t="s">
        <v>29</v>
      </c>
      <c r="G236" s="186" t="s">
        <v>131</v>
      </c>
      <c r="H236" s="186"/>
      <c r="I236" s="186" t="s">
        <v>131</v>
      </c>
      <c r="J236" s="191">
        <v>1298.0</v>
      </c>
      <c r="K236" s="186"/>
      <c r="L236" s="503" t="s">
        <v>15007</v>
      </c>
      <c r="M236" s="191" t="s">
        <v>15008</v>
      </c>
      <c r="N236" s="515">
        <v>1929.0</v>
      </c>
      <c r="O236" s="191">
        <v>3.0</v>
      </c>
      <c r="P236" s="31">
        <v>1.0</v>
      </c>
      <c r="Q236" s="521">
        <v>1.0</v>
      </c>
      <c r="R236" s="3"/>
      <c r="S236" s="3"/>
      <c r="T236" s="3"/>
      <c r="U236" s="3"/>
      <c r="V236" s="3"/>
      <c r="W236" s="3"/>
      <c r="X236" s="3"/>
      <c r="Y236" s="3"/>
      <c r="Z236" s="3"/>
      <c r="AA236" s="3"/>
      <c r="AB236" s="3"/>
      <c r="AC236" s="3"/>
      <c r="AD236" s="3"/>
      <c r="AE236" s="3"/>
      <c r="AF236" s="3"/>
      <c r="AG236" s="3"/>
      <c r="AH236" s="3"/>
      <c r="AI236" s="3"/>
      <c r="AJ236" s="3"/>
    </row>
    <row r="237" ht="15.75" customHeight="1">
      <c r="A237" s="191">
        <v>228.0</v>
      </c>
      <c r="B237" s="191" t="s">
        <v>31</v>
      </c>
      <c r="C237" s="191" t="s">
        <v>15005</v>
      </c>
      <c r="D237" s="35" t="s">
        <v>15009</v>
      </c>
      <c r="E237" s="186" t="s">
        <v>4612</v>
      </c>
      <c r="F237" s="186" t="s">
        <v>29</v>
      </c>
      <c r="G237" s="186" t="s">
        <v>131</v>
      </c>
      <c r="H237" s="186"/>
      <c r="I237" s="186" t="s">
        <v>131</v>
      </c>
      <c r="J237" s="191">
        <v>1298.0</v>
      </c>
      <c r="K237" s="186"/>
      <c r="L237" s="503" t="s">
        <v>15007</v>
      </c>
      <c r="M237" s="191" t="s">
        <v>15010</v>
      </c>
      <c r="N237" s="515" t="s">
        <v>31</v>
      </c>
      <c r="O237" s="191">
        <v>3.0</v>
      </c>
      <c r="P237" s="31">
        <v>1.0</v>
      </c>
      <c r="Q237" s="521">
        <v>1.0</v>
      </c>
      <c r="R237" s="3"/>
      <c r="S237" s="3"/>
      <c r="T237" s="3"/>
      <c r="U237" s="3"/>
      <c r="V237" s="3"/>
      <c r="W237" s="3"/>
      <c r="X237" s="3"/>
      <c r="Y237" s="3"/>
      <c r="Z237" s="3"/>
      <c r="AA237" s="3"/>
      <c r="AB237" s="3"/>
      <c r="AC237" s="3"/>
      <c r="AD237" s="3"/>
      <c r="AE237" s="3"/>
      <c r="AF237" s="3"/>
      <c r="AG237" s="3"/>
      <c r="AH237" s="3"/>
      <c r="AI237" s="3"/>
      <c r="AJ237" s="3"/>
    </row>
    <row r="238" ht="15.75" customHeight="1">
      <c r="A238" s="522">
        <v>229.0</v>
      </c>
      <c r="B238" s="433"/>
      <c r="C238" s="433"/>
      <c r="D238" s="434"/>
      <c r="E238" s="433"/>
      <c r="F238" s="433"/>
      <c r="G238" s="433"/>
      <c r="H238" s="433"/>
      <c r="I238" s="433"/>
      <c r="J238" s="433"/>
      <c r="K238" s="433"/>
      <c r="L238" s="450"/>
      <c r="M238" s="433"/>
      <c r="N238" s="451"/>
      <c r="O238" s="433"/>
      <c r="P238" s="342"/>
      <c r="Q238" s="471"/>
      <c r="R238" s="3"/>
      <c r="S238" s="3"/>
      <c r="T238" s="3"/>
      <c r="U238" s="3"/>
      <c r="V238" s="3"/>
      <c r="W238" s="3"/>
      <c r="X238" s="3"/>
      <c r="Y238" s="3"/>
      <c r="Z238" s="3"/>
      <c r="AA238" s="3"/>
      <c r="AB238" s="3"/>
      <c r="AC238" s="3"/>
      <c r="AD238" s="3"/>
      <c r="AE238" s="3"/>
      <c r="AF238" s="3"/>
      <c r="AG238" s="3"/>
      <c r="AH238" s="3"/>
      <c r="AI238" s="3"/>
      <c r="AJ238" s="3"/>
    </row>
    <row r="239" ht="15.75" customHeight="1">
      <c r="A239" s="522">
        <v>230.0</v>
      </c>
      <c r="B239" s="433"/>
      <c r="C239" s="433"/>
      <c r="D239" s="434"/>
      <c r="E239" s="433"/>
      <c r="F239" s="433"/>
      <c r="G239" s="433"/>
      <c r="H239" s="433"/>
      <c r="I239" s="433"/>
      <c r="J239" s="433"/>
      <c r="K239" s="433"/>
      <c r="L239" s="450"/>
      <c r="M239" s="433"/>
      <c r="N239" s="451"/>
      <c r="O239" s="433"/>
      <c r="P239" s="342"/>
      <c r="Q239" s="471"/>
      <c r="R239" s="3"/>
      <c r="S239" s="3"/>
      <c r="T239" s="3"/>
      <c r="U239" s="3"/>
      <c r="V239" s="3"/>
      <c r="W239" s="3"/>
      <c r="X239" s="3"/>
      <c r="Y239" s="3"/>
      <c r="Z239" s="3"/>
      <c r="AA239" s="3"/>
      <c r="AB239" s="3"/>
      <c r="AC239" s="3"/>
      <c r="AD239" s="3"/>
      <c r="AE239" s="3"/>
      <c r="AF239" s="3"/>
      <c r="AG239" s="3"/>
      <c r="AH239" s="3"/>
      <c r="AI239" s="3"/>
      <c r="AJ239" s="3"/>
    </row>
    <row r="240" ht="15.75" customHeight="1">
      <c r="A240" s="522">
        <v>231.0</v>
      </c>
      <c r="B240" s="433"/>
      <c r="C240" s="433"/>
      <c r="D240" s="434"/>
      <c r="E240" s="433"/>
      <c r="F240" s="433"/>
      <c r="G240" s="433"/>
      <c r="H240" s="433"/>
      <c r="I240" s="433"/>
      <c r="J240" s="433"/>
      <c r="K240" s="433"/>
      <c r="L240" s="450"/>
      <c r="M240" s="433"/>
      <c r="N240" s="451"/>
      <c r="O240" s="433"/>
      <c r="P240" s="342"/>
      <c r="Q240" s="471"/>
      <c r="R240" s="3"/>
      <c r="S240" s="3"/>
      <c r="T240" s="3"/>
      <c r="U240" s="3"/>
      <c r="V240" s="3"/>
      <c r="W240" s="3"/>
      <c r="X240" s="3"/>
      <c r="Y240" s="3"/>
      <c r="Z240" s="3"/>
      <c r="AA240" s="3"/>
      <c r="AB240" s="3"/>
      <c r="AC240" s="3"/>
      <c r="AD240" s="3"/>
      <c r="AE240" s="3"/>
      <c r="AF240" s="3"/>
      <c r="AG240" s="3"/>
      <c r="AH240" s="3"/>
      <c r="AI240" s="3"/>
      <c r="AJ240" s="3"/>
    </row>
    <row r="241" ht="15.75" customHeight="1">
      <c r="A241" s="522">
        <v>232.0</v>
      </c>
      <c r="B241" s="433"/>
      <c r="C241" s="433"/>
      <c r="D241" s="434"/>
      <c r="E241" s="433"/>
      <c r="F241" s="433"/>
      <c r="G241" s="433"/>
      <c r="H241" s="433"/>
      <c r="I241" s="433"/>
      <c r="J241" s="433"/>
      <c r="K241" s="433"/>
      <c r="L241" s="450"/>
      <c r="M241" s="433"/>
      <c r="N241" s="451"/>
      <c r="O241" s="433"/>
      <c r="P241" s="342"/>
      <c r="Q241" s="471"/>
      <c r="R241" s="3"/>
      <c r="S241" s="3"/>
      <c r="T241" s="3"/>
      <c r="U241" s="3"/>
      <c r="V241" s="3"/>
      <c r="W241" s="3"/>
      <c r="X241" s="3"/>
      <c r="Y241" s="3"/>
      <c r="Z241" s="3"/>
      <c r="AA241" s="3"/>
      <c r="AB241" s="3"/>
      <c r="AC241" s="3"/>
      <c r="AD241" s="3"/>
      <c r="AE241" s="3"/>
      <c r="AF241" s="3"/>
      <c r="AG241" s="3"/>
      <c r="AH241" s="3"/>
      <c r="AI241" s="3"/>
      <c r="AJ241" s="3"/>
    </row>
    <row r="242" ht="15.75" customHeight="1">
      <c r="A242" s="522">
        <v>233.0</v>
      </c>
      <c r="B242" s="433"/>
      <c r="C242" s="433"/>
      <c r="D242" s="434"/>
      <c r="E242" s="433"/>
      <c r="F242" s="433"/>
      <c r="G242" s="433"/>
      <c r="H242" s="433"/>
      <c r="I242" s="433"/>
      <c r="J242" s="433"/>
      <c r="K242" s="433"/>
      <c r="L242" s="450"/>
      <c r="M242" s="433"/>
      <c r="N242" s="451"/>
      <c r="O242" s="433"/>
      <c r="P242" s="342"/>
      <c r="Q242" s="471"/>
      <c r="R242" s="3"/>
      <c r="S242" s="3"/>
      <c r="T242" s="3"/>
      <c r="U242" s="3"/>
      <c r="V242" s="3"/>
      <c r="W242" s="3"/>
      <c r="X242" s="3"/>
      <c r="Y242" s="3"/>
      <c r="Z242" s="3"/>
      <c r="AA242" s="3"/>
      <c r="AB242" s="3"/>
      <c r="AC242" s="3"/>
      <c r="AD242" s="3"/>
      <c r="AE242" s="3"/>
      <c r="AF242" s="3"/>
      <c r="AG242" s="3"/>
      <c r="AH242" s="3"/>
      <c r="AI242" s="3"/>
      <c r="AJ242" s="3"/>
    </row>
    <row r="243" ht="15.75" customHeight="1">
      <c r="A243" s="522">
        <v>234.0</v>
      </c>
      <c r="B243" s="433"/>
      <c r="C243" s="433"/>
      <c r="D243" s="434"/>
      <c r="E243" s="433"/>
      <c r="F243" s="433"/>
      <c r="G243" s="433"/>
      <c r="H243" s="433"/>
      <c r="I243" s="433"/>
      <c r="J243" s="433"/>
      <c r="K243" s="433"/>
      <c r="L243" s="450"/>
      <c r="M243" s="433"/>
      <c r="N243" s="451"/>
      <c r="O243" s="433"/>
      <c r="P243" s="342"/>
      <c r="Q243" s="471"/>
      <c r="R243" s="3"/>
      <c r="S243" s="3"/>
      <c r="T243" s="3"/>
      <c r="U243" s="3"/>
      <c r="V243" s="3"/>
      <c r="W243" s="3"/>
      <c r="X243" s="3"/>
      <c r="Y243" s="3"/>
      <c r="Z243" s="3"/>
      <c r="AA243" s="3"/>
      <c r="AB243" s="3"/>
      <c r="AC243" s="3"/>
      <c r="AD243" s="3"/>
      <c r="AE243" s="3"/>
      <c r="AF243" s="3"/>
      <c r="AG243" s="3"/>
      <c r="AH243" s="3"/>
      <c r="AI243" s="3"/>
      <c r="AJ243" s="3"/>
    </row>
    <row r="244" ht="15.75" customHeight="1">
      <c r="A244" s="522">
        <v>235.0</v>
      </c>
      <c r="B244" s="433"/>
      <c r="C244" s="433"/>
      <c r="D244" s="434"/>
      <c r="E244" s="433"/>
      <c r="F244" s="433"/>
      <c r="G244" s="433"/>
      <c r="H244" s="433"/>
      <c r="I244" s="433"/>
      <c r="J244" s="433"/>
      <c r="K244" s="433"/>
      <c r="L244" s="450"/>
      <c r="M244" s="433"/>
      <c r="N244" s="451"/>
      <c r="O244" s="433"/>
      <c r="P244" s="342"/>
      <c r="Q244" s="471"/>
      <c r="R244" s="3"/>
      <c r="S244" s="3"/>
      <c r="T244" s="3"/>
      <c r="U244" s="3"/>
      <c r="V244" s="3"/>
      <c r="W244" s="3"/>
      <c r="X244" s="3"/>
      <c r="Y244" s="3"/>
      <c r="Z244" s="3"/>
      <c r="AA244" s="3"/>
      <c r="AB244" s="3"/>
      <c r="AC244" s="3"/>
      <c r="AD244" s="3"/>
      <c r="AE244" s="3"/>
      <c r="AF244" s="3"/>
      <c r="AG244" s="3"/>
      <c r="AH244" s="3"/>
      <c r="AI244" s="3"/>
      <c r="AJ244" s="3"/>
    </row>
    <row r="245" ht="15.75" customHeight="1">
      <c r="A245" s="522">
        <v>236.0</v>
      </c>
      <c r="B245" s="433"/>
      <c r="C245" s="433"/>
      <c r="D245" s="434"/>
      <c r="E245" s="433"/>
      <c r="F245" s="433"/>
      <c r="G245" s="433"/>
      <c r="H245" s="433"/>
      <c r="I245" s="433"/>
      <c r="J245" s="433"/>
      <c r="K245" s="433"/>
      <c r="L245" s="450"/>
      <c r="M245" s="433"/>
      <c r="N245" s="451"/>
      <c r="O245" s="433"/>
      <c r="P245" s="342"/>
      <c r="Q245" s="471"/>
      <c r="R245" s="3"/>
      <c r="S245" s="3"/>
      <c r="T245" s="3"/>
      <c r="U245" s="3"/>
      <c r="V245" s="3"/>
      <c r="W245" s="3"/>
      <c r="X245" s="3"/>
      <c r="Y245" s="3"/>
      <c r="Z245" s="3"/>
      <c r="AA245" s="3"/>
      <c r="AB245" s="3"/>
      <c r="AC245" s="3"/>
      <c r="AD245" s="3"/>
      <c r="AE245" s="3"/>
      <c r="AF245" s="3"/>
      <c r="AG245" s="3"/>
      <c r="AH245" s="3"/>
      <c r="AI245" s="3"/>
      <c r="AJ245" s="3"/>
    </row>
    <row r="246" ht="15.75" customHeight="1">
      <c r="A246" s="322"/>
      <c r="B246" s="449"/>
      <c r="C246" s="450"/>
      <c r="D246" s="523"/>
      <c r="E246" s="450"/>
      <c r="F246" s="450"/>
      <c r="G246" s="450"/>
      <c r="H246" s="450"/>
      <c r="I246" s="450"/>
      <c r="J246" s="450"/>
      <c r="K246" s="450"/>
      <c r="L246" s="450"/>
      <c r="M246" s="15" t="s">
        <v>13862</v>
      </c>
      <c r="N246" s="16"/>
      <c r="O246" s="17"/>
      <c r="P246" s="452">
        <f t="shared" ref="P246:Q246" si="1">SUM(P6:P237)</f>
        <v>281</v>
      </c>
      <c r="Q246" s="453">
        <f t="shared" si="1"/>
        <v>254</v>
      </c>
      <c r="R246" s="3"/>
      <c r="S246" s="3"/>
      <c r="T246" s="3"/>
      <c r="U246" s="3"/>
      <c r="V246" s="3"/>
      <c r="W246" s="3"/>
      <c r="X246" s="3"/>
      <c r="Y246" s="3"/>
      <c r="Z246" s="3"/>
      <c r="AA246" s="3"/>
      <c r="AB246" s="3"/>
      <c r="AC246" s="3"/>
      <c r="AD246" s="3"/>
      <c r="AE246" s="3"/>
      <c r="AF246" s="3"/>
      <c r="AG246" s="3"/>
      <c r="AH246" s="3"/>
      <c r="AI246" s="3"/>
      <c r="AJ246" s="3"/>
    </row>
    <row r="247" ht="15.75" customHeight="1">
      <c r="A247" s="454"/>
      <c r="B247" s="455"/>
      <c r="C247" s="455"/>
      <c r="D247" s="455"/>
      <c r="E247" s="455"/>
      <c r="F247" s="455"/>
      <c r="G247" s="455"/>
      <c r="H247" s="455"/>
      <c r="I247" s="455"/>
      <c r="J247" s="455"/>
      <c r="K247" s="455"/>
      <c r="L247" s="455"/>
      <c r="M247" s="455"/>
      <c r="N247" s="455"/>
      <c r="O247" s="455"/>
      <c r="P247" s="456"/>
      <c r="R247" s="3"/>
      <c r="S247" s="3"/>
      <c r="T247" s="3"/>
      <c r="U247" s="3"/>
      <c r="V247" s="3"/>
      <c r="W247" s="3"/>
      <c r="X247" s="3"/>
      <c r="Y247" s="3"/>
      <c r="Z247" s="3"/>
      <c r="AA247" s="3"/>
      <c r="AB247" s="3"/>
      <c r="AC247" s="3"/>
      <c r="AD247" s="3"/>
      <c r="AE247" s="3"/>
      <c r="AF247" s="3"/>
      <c r="AG247" s="3"/>
      <c r="AH247" s="3"/>
      <c r="AI247" s="3"/>
      <c r="AJ247" s="3"/>
    </row>
    <row r="248" ht="15.75" customHeight="1">
      <c r="A248" s="457" t="s">
        <v>14149</v>
      </c>
      <c r="B248" s="6"/>
      <c r="C248" s="6"/>
      <c r="D248" s="6"/>
      <c r="E248" s="6"/>
      <c r="F248" s="6"/>
      <c r="G248" s="6"/>
      <c r="H248" s="6"/>
      <c r="I248" s="6"/>
      <c r="J248" s="6"/>
      <c r="K248" s="6"/>
      <c r="L248" s="6"/>
      <c r="M248" s="6"/>
      <c r="N248" s="6"/>
      <c r="O248" s="6"/>
      <c r="P248" s="7"/>
      <c r="R248" s="3"/>
      <c r="S248" s="3"/>
      <c r="T248" s="3"/>
      <c r="U248" s="3"/>
      <c r="V248" s="3"/>
      <c r="W248" s="3"/>
      <c r="X248" s="3"/>
      <c r="Y248" s="3"/>
      <c r="Z248" s="3"/>
      <c r="AA248" s="3"/>
      <c r="AB248" s="3"/>
      <c r="AC248" s="3"/>
      <c r="AD248" s="3"/>
      <c r="AE248" s="3"/>
      <c r="AF248" s="3"/>
      <c r="AG248" s="3"/>
      <c r="AH248" s="3"/>
      <c r="AI248" s="3"/>
      <c r="AJ248" s="3"/>
    </row>
    <row r="249" ht="15.75" customHeight="1">
      <c r="A249" s="327" t="s">
        <v>14150</v>
      </c>
      <c r="B249" s="457" t="s">
        <v>14151</v>
      </c>
      <c r="C249" s="6"/>
      <c r="D249" s="7"/>
      <c r="E249" s="458"/>
      <c r="F249" s="459"/>
      <c r="G249" s="7"/>
      <c r="H249" s="459"/>
      <c r="I249" s="6"/>
      <c r="J249" s="6"/>
      <c r="K249" s="7"/>
      <c r="L249" s="460"/>
      <c r="M249" s="461" t="s">
        <v>14152</v>
      </c>
      <c r="N249" s="461"/>
      <c r="O249" s="461"/>
      <c r="P249" s="461"/>
      <c r="R249" s="3"/>
      <c r="S249" s="3"/>
      <c r="T249" s="3"/>
      <c r="U249" s="3"/>
      <c r="V249" s="3"/>
      <c r="W249" s="3"/>
      <c r="X249" s="3"/>
      <c r="Y249" s="3"/>
      <c r="Z249" s="3"/>
      <c r="AA249" s="3"/>
      <c r="AB249" s="3"/>
      <c r="AC249" s="3"/>
      <c r="AD249" s="3"/>
      <c r="AE249" s="3"/>
      <c r="AF249" s="3"/>
      <c r="AG249" s="3"/>
      <c r="AH249" s="3"/>
      <c r="AI249" s="3"/>
      <c r="AJ249" s="3"/>
    </row>
    <row r="250" ht="15.75" customHeight="1">
      <c r="A250" s="321"/>
      <c r="B250" s="399"/>
      <c r="C250" s="458"/>
      <c r="D250" s="462"/>
      <c r="E250" s="458"/>
      <c r="F250" s="463"/>
      <c r="G250" s="7"/>
      <c r="H250" s="321"/>
      <c r="I250" s="321"/>
      <c r="J250" s="463"/>
      <c r="K250" s="7"/>
      <c r="L250" s="321"/>
      <c r="M250" s="321"/>
      <c r="N250" s="321"/>
      <c r="O250" s="321"/>
      <c r="P250" s="321"/>
      <c r="R250" s="3"/>
      <c r="S250" s="3"/>
      <c r="T250" s="3"/>
      <c r="U250" s="3"/>
      <c r="V250" s="3"/>
      <c r="W250" s="3"/>
      <c r="X250" s="3"/>
      <c r="Y250" s="3"/>
      <c r="Z250" s="3"/>
      <c r="AA250" s="3"/>
      <c r="AB250" s="3"/>
      <c r="AC250" s="3"/>
      <c r="AD250" s="3"/>
      <c r="AE250" s="3"/>
      <c r="AF250" s="3"/>
      <c r="AG250" s="3"/>
      <c r="AH250" s="3"/>
      <c r="AI250" s="3"/>
      <c r="AJ250" s="3"/>
    </row>
    <row r="251" ht="15.75" customHeight="1">
      <c r="A251" s="463"/>
      <c r="B251" s="7"/>
      <c r="C251" s="458"/>
      <c r="D251" s="463"/>
      <c r="E251" s="7"/>
      <c r="F251" s="321"/>
      <c r="G251" s="321"/>
      <c r="H251" s="321"/>
      <c r="I251" s="321"/>
      <c r="J251" s="321"/>
      <c r="K251" s="321"/>
      <c r="L251" s="321"/>
      <c r="M251" s="321"/>
      <c r="N251" s="321"/>
      <c r="O251" s="321"/>
      <c r="P251" s="321"/>
      <c r="R251" s="3"/>
      <c r="S251" s="3"/>
      <c r="T251" s="3"/>
      <c r="U251" s="3"/>
      <c r="V251" s="3"/>
      <c r="W251" s="3"/>
      <c r="X251" s="3"/>
      <c r="Y251" s="3"/>
      <c r="Z251" s="3"/>
      <c r="AA251" s="3"/>
      <c r="AB251" s="3"/>
      <c r="AC251" s="3"/>
      <c r="AD251" s="3"/>
      <c r="AE251" s="3"/>
      <c r="AF251" s="3"/>
      <c r="AG251" s="3"/>
      <c r="AH251" s="3"/>
      <c r="AI251" s="3"/>
      <c r="AJ251" s="3"/>
    </row>
    <row r="252" ht="15.75" customHeight="1">
      <c r="A252" s="321"/>
      <c r="B252" s="457" t="s">
        <v>14153</v>
      </c>
      <c r="C252" s="6"/>
      <c r="D252" s="7"/>
      <c r="E252" s="458"/>
      <c r="F252" s="457"/>
      <c r="G252" s="7"/>
      <c r="H252" s="457"/>
      <c r="I252" s="6"/>
      <c r="J252" s="6"/>
      <c r="K252" s="7"/>
      <c r="L252" s="457" t="s">
        <v>14154</v>
      </c>
      <c r="M252" s="6"/>
      <c r="N252" s="6"/>
      <c r="O252" s="6"/>
      <c r="P252" s="7"/>
      <c r="R252" s="3"/>
      <c r="S252" s="3"/>
      <c r="T252" s="3"/>
      <c r="U252" s="3"/>
      <c r="V252" s="3"/>
      <c r="W252" s="3"/>
      <c r="X252" s="3"/>
      <c r="Y252" s="3"/>
      <c r="Z252" s="3"/>
      <c r="AA252" s="3"/>
      <c r="AB252" s="3"/>
      <c r="AC252" s="3"/>
      <c r="AD252" s="3"/>
      <c r="AE252" s="3"/>
      <c r="AF252" s="3"/>
      <c r="AG252" s="3"/>
      <c r="AH252" s="3"/>
      <c r="AI252" s="3"/>
      <c r="AJ252" s="3"/>
    </row>
    <row r="253" ht="15.75" customHeight="1">
      <c r="A253" s="321"/>
      <c r="B253" s="457" t="s">
        <v>14155</v>
      </c>
      <c r="C253" s="6"/>
      <c r="D253" s="7"/>
      <c r="E253" s="458"/>
      <c r="F253" s="457"/>
      <c r="G253" s="7"/>
      <c r="H253" s="327"/>
      <c r="I253" s="457"/>
      <c r="J253" s="6"/>
      <c r="K253" s="7"/>
      <c r="L253" s="457" t="s">
        <v>14156</v>
      </c>
      <c r="M253" s="6"/>
      <c r="N253" s="6"/>
      <c r="O253" s="6"/>
      <c r="P253" s="7"/>
      <c r="R253" s="3"/>
      <c r="S253" s="3"/>
      <c r="T253" s="3"/>
      <c r="U253" s="3"/>
      <c r="V253" s="3"/>
      <c r="W253" s="3"/>
      <c r="X253" s="3"/>
      <c r="Y253" s="3"/>
      <c r="Z253" s="3"/>
      <c r="AA253" s="3"/>
      <c r="AB253" s="3"/>
      <c r="AC253" s="3"/>
      <c r="AD253" s="3"/>
      <c r="AE253" s="3"/>
      <c r="AF253" s="3"/>
      <c r="AG253" s="3"/>
      <c r="AH253" s="3"/>
      <c r="AI253" s="3"/>
      <c r="AJ253" s="3"/>
    </row>
    <row r="254" ht="15.75" customHeight="1">
      <c r="A254" s="2"/>
      <c r="B254" s="2"/>
      <c r="C254" s="2"/>
      <c r="D254" s="464"/>
      <c r="E254" s="2"/>
      <c r="F254" s="2"/>
      <c r="G254" s="2"/>
      <c r="H254" s="2"/>
      <c r="I254" s="2"/>
      <c r="J254" s="2"/>
      <c r="K254" s="2"/>
      <c r="L254" s="2"/>
      <c r="M254" s="2"/>
      <c r="N254" s="2"/>
      <c r="O254" s="2"/>
      <c r="P254" s="2"/>
      <c r="R254" s="3"/>
      <c r="S254" s="3"/>
      <c r="T254" s="3"/>
      <c r="U254" s="3"/>
      <c r="V254" s="3"/>
      <c r="W254" s="3"/>
      <c r="X254" s="3"/>
      <c r="Y254" s="3"/>
      <c r="Z254" s="3"/>
      <c r="AA254" s="3"/>
      <c r="AB254" s="3"/>
      <c r="AC254" s="3"/>
      <c r="AD254" s="3"/>
      <c r="AE254" s="3"/>
      <c r="AF254" s="3"/>
      <c r="AG254" s="3"/>
      <c r="AH254" s="3"/>
      <c r="AI254" s="3"/>
      <c r="AJ254" s="3"/>
    </row>
    <row r="255" ht="15.75" customHeight="1">
      <c r="A255" s="2"/>
      <c r="B255" s="2"/>
      <c r="C255" s="2"/>
      <c r="D255" s="464"/>
      <c r="E255" s="2"/>
      <c r="F255" s="2"/>
      <c r="G255" s="2"/>
      <c r="H255" s="2"/>
      <c r="I255" s="2"/>
      <c r="J255" s="2"/>
      <c r="K255" s="2"/>
      <c r="L255" s="2"/>
      <c r="M255" s="2"/>
      <c r="N255" s="2"/>
      <c r="O255" s="2"/>
      <c r="P255" s="2"/>
      <c r="R255" s="3"/>
      <c r="S255" s="3"/>
      <c r="T255" s="3"/>
      <c r="U255" s="3"/>
      <c r="V255" s="3"/>
      <c r="W255" s="3"/>
      <c r="X255" s="3"/>
      <c r="Y255" s="3"/>
      <c r="Z255" s="3"/>
      <c r="AA255" s="3"/>
      <c r="AB255" s="3"/>
      <c r="AC255" s="3"/>
      <c r="AD255" s="3"/>
      <c r="AE255" s="3"/>
      <c r="AF255" s="3"/>
      <c r="AG255" s="3"/>
      <c r="AH255" s="3"/>
      <c r="AI255" s="3"/>
      <c r="AJ255" s="3"/>
    </row>
    <row r="256" ht="15.75" customHeight="1">
      <c r="A256" s="2"/>
      <c r="B256" s="2"/>
      <c r="C256" s="2"/>
      <c r="D256" s="464"/>
      <c r="E256" s="2"/>
      <c r="F256" s="2"/>
      <c r="G256" s="2"/>
      <c r="H256" s="2"/>
      <c r="I256" s="2"/>
      <c r="J256" s="2"/>
      <c r="K256" s="2"/>
      <c r="L256" s="2"/>
      <c r="M256" s="2"/>
      <c r="N256" s="2"/>
      <c r="O256" s="2"/>
      <c r="P256" s="2"/>
      <c r="R256" s="3"/>
      <c r="S256" s="3"/>
      <c r="T256" s="3"/>
      <c r="U256" s="3"/>
      <c r="V256" s="3"/>
      <c r="W256" s="3"/>
      <c r="X256" s="3"/>
      <c r="Y256" s="3"/>
      <c r="Z256" s="3"/>
      <c r="AA256" s="3"/>
      <c r="AB256" s="3"/>
      <c r="AC256" s="3"/>
      <c r="AD256" s="3"/>
      <c r="AE256" s="3"/>
      <c r="AF256" s="3"/>
      <c r="AG256" s="3"/>
      <c r="AH256" s="3"/>
      <c r="AI256" s="3"/>
      <c r="AJ256" s="3"/>
    </row>
    <row r="257" ht="15.75" customHeight="1">
      <c r="A257" s="2"/>
      <c r="B257" s="2"/>
      <c r="C257" s="2"/>
      <c r="D257" s="464"/>
      <c r="E257" s="2"/>
      <c r="F257" s="2"/>
      <c r="G257" s="2"/>
      <c r="H257" s="2"/>
      <c r="I257" s="2"/>
      <c r="J257" s="2"/>
      <c r="K257" s="2"/>
      <c r="L257" s="2"/>
      <c r="M257" s="2"/>
      <c r="N257" s="2"/>
      <c r="O257" s="2"/>
      <c r="P257" s="2"/>
      <c r="R257" s="3"/>
      <c r="S257" s="3"/>
      <c r="T257" s="3"/>
      <c r="U257" s="3"/>
      <c r="V257" s="3"/>
      <c r="W257" s="3"/>
      <c r="X257" s="3"/>
      <c r="Y257" s="3"/>
      <c r="Z257" s="3"/>
      <c r="AA257" s="3"/>
      <c r="AB257" s="3"/>
      <c r="AC257" s="3"/>
      <c r="AD257" s="3"/>
      <c r="AE257" s="3"/>
      <c r="AF257" s="3"/>
      <c r="AG257" s="3"/>
      <c r="AH257" s="3"/>
      <c r="AI257" s="3"/>
      <c r="AJ257" s="3"/>
    </row>
    <row r="258" ht="15.75" customHeight="1">
      <c r="A258" s="2"/>
      <c r="B258" s="2"/>
      <c r="C258" s="2"/>
      <c r="D258" s="464"/>
      <c r="E258" s="2"/>
      <c r="F258" s="2"/>
      <c r="G258" s="2"/>
      <c r="H258" s="2"/>
      <c r="I258" s="2"/>
      <c r="J258" s="2"/>
      <c r="K258" s="2"/>
      <c r="L258" s="2"/>
      <c r="M258" s="2"/>
      <c r="N258" s="2"/>
      <c r="O258" s="2"/>
      <c r="P258" s="2"/>
      <c r="R258" s="3"/>
      <c r="S258" s="3"/>
      <c r="T258" s="3"/>
      <c r="U258" s="3"/>
      <c r="V258" s="3"/>
      <c r="W258" s="3"/>
      <c r="X258" s="3"/>
      <c r="Y258" s="3"/>
      <c r="Z258" s="3"/>
      <c r="AA258" s="3"/>
      <c r="AB258" s="3"/>
      <c r="AC258" s="3"/>
      <c r="AD258" s="3"/>
      <c r="AE258" s="3"/>
      <c r="AF258" s="3"/>
      <c r="AG258" s="3"/>
      <c r="AH258" s="3"/>
      <c r="AI258" s="3"/>
      <c r="AJ258" s="3"/>
    </row>
    <row r="259" ht="15.75" customHeight="1">
      <c r="C259" s="2"/>
      <c r="R259" s="3"/>
      <c r="S259" s="3"/>
      <c r="T259" s="3"/>
      <c r="U259" s="3"/>
      <c r="V259" s="3"/>
      <c r="W259" s="3"/>
      <c r="X259" s="3"/>
      <c r="Y259" s="3"/>
      <c r="Z259" s="3"/>
      <c r="AA259" s="3"/>
      <c r="AB259" s="3"/>
      <c r="AC259" s="3"/>
      <c r="AD259" s="3"/>
      <c r="AE259" s="3"/>
      <c r="AF259" s="3"/>
      <c r="AG259" s="3"/>
      <c r="AH259" s="3"/>
      <c r="AI259" s="3"/>
      <c r="AJ259" s="3"/>
    </row>
    <row r="260" ht="15.75" customHeight="1">
      <c r="C260" s="2"/>
      <c r="R260" s="3"/>
      <c r="S260" s="3"/>
      <c r="T260" s="3"/>
      <c r="U260" s="3"/>
      <c r="V260" s="3"/>
      <c r="W260" s="3"/>
      <c r="X260" s="3"/>
      <c r="Y260" s="3"/>
      <c r="Z260" s="3"/>
      <c r="AA260" s="3"/>
      <c r="AB260" s="3"/>
      <c r="AC260" s="3"/>
      <c r="AD260" s="3"/>
      <c r="AE260" s="3"/>
      <c r="AF260" s="3"/>
      <c r="AG260" s="3"/>
      <c r="AH260" s="3"/>
      <c r="AI260" s="3"/>
      <c r="AJ260" s="3"/>
    </row>
    <row r="261" ht="15.75" customHeight="1">
      <c r="C261" s="2"/>
      <c r="R261" s="3"/>
      <c r="S261" s="3"/>
      <c r="T261" s="3"/>
      <c r="U261" s="3"/>
      <c r="V261" s="3"/>
      <c r="W261" s="3"/>
      <c r="X261" s="3"/>
      <c r="Y261" s="3"/>
      <c r="Z261" s="3"/>
      <c r="AA261" s="3"/>
      <c r="AB261" s="3"/>
      <c r="AC261" s="3"/>
      <c r="AD261" s="3"/>
      <c r="AE261" s="3"/>
      <c r="AF261" s="3"/>
      <c r="AG261" s="3"/>
      <c r="AH261" s="3"/>
      <c r="AI261" s="3"/>
      <c r="AJ261" s="3"/>
    </row>
    <row r="262" ht="15.75" customHeight="1">
      <c r="C262" s="2"/>
      <c r="R262" s="3"/>
      <c r="S262" s="3"/>
      <c r="T262" s="3"/>
      <c r="U262" s="3"/>
      <c r="V262" s="3"/>
      <c r="W262" s="3"/>
      <c r="X262" s="3"/>
      <c r="Y262" s="3"/>
      <c r="Z262" s="3"/>
      <c r="AA262" s="3"/>
      <c r="AB262" s="3"/>
      <c r="AC262" s="3"/>
      <c r="AD262" s="3"/>
      <c r="AE262" s="3"/>
      <c r="AF262" s="3"/>
      <c r="AG262" s="3"/>
      <c r="AH262" s="3"/>
      <c r="AI262" s="3"/>
      <c r="AJ262" s="3"/>
    </row>
    <row r="263" ht="15.75" customHeight="1">
      <c r="C263" s="2"/>
      <c r="R263" s="3"/>
      <c r="S263" s="3"/>
      <c r="T263" s="3"/>
      <c r="U263" s="3"/>
      <c r="V263" s="3"/>
      <c r="W263" s="3"/>
      <c r="X263" s="3"/>
      <c r="Y263" s="3"/>
      <c r="Z263" s="3"/>
      <c r="AA263" s="3"/>
      <c r="AB263" s="3"/>
      <c r="AC263" s="3"/>
      <c r="AD263" s="3"/>
      <c r="AE263" s="3"/>
      <c r="AF263" s="3"/>
      <c r="AG263" s="3"/>
      <c r="AH263" s="3"/>
      <c r="AI263" s="3"/>
      <c r="AJ263" s="3"/>
    </row>
    <row r="264" ht="15.75" customHeight="1">
      <c r="C264" s="2"/>
      <c r="R264" s="3"/>
      <c r="S264" s="3"/>
      <c r="T264" s="3"/>
      <c r="U264" s="3"/>
      <c r="V264" s="3"/>
      <c r="W264" s="3"/>
      <c r="X264" s="3"/>
      <c r="Y264" s="3"/>
      <c r="Z264" s="3"/>
      <c r="AA264" s="3"/>
      <c r="AB264" s="3"/>
      <c r="AC264" s="3"/>
      <c r="AD264" s="3"/>
      <c r="AE264" s="3"/>
      <c r="AF264" s="3"/>
      <c r="AG264" s="3"/>
      <c r="AH264" s="3"/>
      <c r="AI264" s="3"/>
      <c r="AJ264" s="3"/>
    </row>
    <row r="265" ht="15.75" customHeight="1">
      <c r="C265" s="2"/>
      <c r="R265" s="3"/>
      <c r="S265" s="3"/>
      <c r="T265" s="3"/>
      <c r="U265" s="3"/>
      <c r="V265" s="3"/>
      <c r="W265" s="3"/>
      <c r="X265" s="3"/>
      <c r="Y265" s="3"/>
      <c r="Z265" s="3"/>
      <c r="AA265" s="3"/>
      <c r="AB265" s="3"/>
      <c r="AC265" s="3"/>
      <c r="AD265" s="3"/>
      <c r="AE265" s="3"/>
      <c r="AF265" s="3"/>
      <c r="AG265" s="3"/>
      <c r="AH265" s="3"/>
      <c r="AI265" s="3"/>
      <c r="AJ265" s="3"/>
    </row>
    <row r="266" ht="15.75" customHeight="1">
      <c r="C266" s="2"/>
      <c r="R266" s="3"/>
      <c r="S266" s="3"/>
      <c r="T266" s="3"/>
      <c r="U266" s="3"/>
      <c r="V266" s="3"/>
      <c r="W266" s="3"/>
      <c r="X266" s="3"/>
      <c r="Y266" s="3"/>
      <c r="Z266" s="3"/>
      <c r="AA266" s="3"/>
      <c r="AB266" s="3"/>
      <c r="AC266" s="3"/>
      <c r="AD266" s="3"/>
      <c r="AE266" s="3"/>
      <c r="AF266" s="3"/>
      <c r="AG266" s="3"/>
      <c r="AH266" s="3"/>
      <c r="AI266" s="3"/>
      <c r="AJ266" s="3"/>
    </row>
    <row r="267" ht="15.75" customHeight="1">
      <c r="C267" s="2"/>
      <c r="R267" s="3"/>
      <c r="S267" s="3"/>
      <c r="T267" s="3"/>
      <c r="U267" s="3"/>
      <c r="V267" s="3"/>
      <c r="W267" s="3"/>
      <c r="X267" s="3"/>
      <c r="Y267" s="3"/>
      <c r="Z267" s="3"/>
      <c r="AA267" s="3"/>
      <c r="AB267" s="3"/>
      <c r="AC267" s="3"/>
      <c r="AD267" s="3"/>
      <c r="AE267" s="3"/>
      <c r="AF267" s="3"/>
      <c r="AG267" s="3"/>
      <c r="AH267" s="3"/>
      <c r="AI267" s="3"/>
      <c r="AJ267" s="3"/>
    </row>
    <row r="268" ht="15.75" customHeight="1">
      <c r="C268" s="2"/>
      <c r="R268" s="3"/>
      <c r="S268" s="3"/>
      <c r="T268" s="3"/>
      <c r="U268" s="3"/>
      <c r="V268" s="3"/>
      <c r="W268" s="3"/>
      <c r="X268" s="3"/>
      <c r="Y268" s="3"/>
      <c r="Z268" s="3"/>
      <c r="AA268" s="3"/>
      <c r="AB268" s="3"/>
      <c r="AC268" s="3"/>
      <c r="AD268" s="3"/>
      <c r="AE268" s="3"/>
      <c r="AF268" s="3"/>
      <c r="AG268" s="3"/>
      <c r="AH268" s="3"/>
      <c r="AI268" s="3"/>
      <c r="AJ268" s="3"/>
    </row>
    <row r="269" ht="15.75" customHeight="1">
      <c r="C269" s="2"/>
      <c r="R269" s="3"/>
      <c r="S269" s="3"/>
      <c r="T269" s="3"/>
      <c r="U269" s="3"/>
      <c r="V269" s="3"/>
      <c r="W269" s="3"/>
      <c r="X269" s="3"/>
      <c r="Y269" s="3"/>
      <c r="Z269" s="3"/>
      <c r="AA269" s="3"/>
      <c r="AB269" s="3"/>
      <c r="AC269" s="3"/>
      <c r="AD269" s="3"/>
      <c r="AE269" s="3"/>
      <c r="AF269" s="3"/>
      <c r="AG269" s="3"/>
      <c r="AH269" s="3"/>
      <c r="AI269" s="3"/>
      <c r="AJ269" s="3"/>
    </row>
    <row r="270" ht="15.75" customHeight="1">
      <c r="C270" s="2"/>
      <c r="R270" s="3"/>
      <c r="S270" s="3"/>
      <c r="T270" s="3"/>
      <c r="U270" s="3"/>
      <c r="V270" s="3"/>
      <c r="W270" s="3"/>
      <c r="X270" s="3"/>
      <c r="Y270" s="3"/>
      <c r="Z270" s="3"/>
      <c r="AA270" s="3"/>
      <c r="AB270" s="3"/>
      <c r="AC270" s="3"/>
      <c r="AD270" s="3"/>
      <c r="AE270" s="3"/>
      <c r="AF270" s="3"/>
      <c r="AG270" s="3"/>
      <c r="AH270" s="3"/>
      <c r="AI270" s="3"/>
      <c r="AJ270" s="3"/>
    </row>
    <row r="271" ht="15.75" customHeight="1">
      <c r="C271" s="2"/>
      <c r="R271" s="3"/>
      <c r="S271" s="3"/>
      <c r="T271" s="3"/>
      <c r="U271" s="3"/>
      <c r="V271" s="3"/>
      <c r="W271" s="3"/>
      <c r="X271" s="3"/>
      <c r="Y271" s="3"/>
      <c r="Z271" s="3"/>
      <c r="AA271" s="3"/>
      <c r="AB271" s="3"/>
      <c r="AC271" s="3"/>
      <c r="AD271" s="3"/>
      <c r="AE271" s="3"/>
      <c r="AF271" s="3"/>
      <c r="AG271" s="3"/>
      <c r="AH271" s="3"/>
      <c r="AI271" s="3"/>
      <c r="AJ271" s="3"/>
    </row>
    <row r="272" ht="15.75" customHeight="1">
      <c r="C272" s="2"/>
      <c r="R272" s="3"/>
      <c r="S272" s="3"/>
      <c r="T272" s="3"/>
      <c r="U272" s="3"/>
      <c r="V272" s="3"/>
      <c r="W272" s="3"/>
      <c r="X272" s="3"/>
      <c r="Y272" s="3"/>
      <c r="Z272" s="3"/>
      <c r="AA272" s="3"/>
      <c r="AB272" s="3"/>
      <c r="AC272" s="3"/>
      <c r="AD272" s="3"/>
      <c r="AE272" s="3"/>
      <c r="AF272" s="3"/>
      <c r="AG272" s="3"/>
      <c r="AH272" s="3"/>
      <c r="AI272" s="3"/>
      <c r="AJ272" s="3"/>
    </row>
    <row r="273" ht="15.75" customHeight="1">
      <c r="C273" s="2"/>
      <c r="R273" s="3"/>
      <c r="S273" s="3"/>
      <c r="T273" s="3"/>
      <c r="U273" s="3"/>
      <c r="V273" s="3"/>
      <c r="W273" s="3"/>
      <c r="X273" s="3"/>
      <c r="Y273" s="3"/>
      <c r="Z273" s="3"/>
      <c r="AA273" s="3"/>
      <c r="AB273" s="3"/>
      <c r="AC273" s="3"/>
      <c r="AD273" s="3"/>
      <c r="AE273" s="3"/>
      <c r="AF273" s="3"/>
      <c r="AG273" s="3"/>
      <c r="AH273" s="3"/>
      <c r="AI273" s="3"/>
      <c r="AJ273" s="3"/>
    </row>
    <row r="274" ht="15.75" customHeight="1">
      <c r="C274" s="2"/>
      <c r="R274" s="3"/>
      <c r="S274" s="3"/>
      <c r="T274" s="3"/>
      <c r="U274" s="3"/>
      <c r="V274" s="3"/>
      <c r="W274" s="3"/>
      <c r="X274" s="3"/>
      <c r="Y274" s="3"/>
      <c r="Z274" s="3"/>
      <c r="AA274" s="3"/>
      <c r="AB274" s="3"/>
      <c r="AC274" s="3"/>
      <c r="AD274" s="3"/>
      <c r="AE274" s="3"/>
      <c r="AF274" s="3"/>
      <c r="AG274" s="3"/>
      <c r="AH274" s="3"/>
      <c r="AI274" s="3"/>
      <c r="AJ274" s="3"/>
    </row>
    <row r="275" ht="15.75" customHeight="1">
      <c r="C275" s="2"/>
      <c r="R275" s="3"/>
      <c r="S275" s="3"/>
      <c r="T275" s="3"/>
      <c r="U275" s="3"/>
      <c r="V275" s="3"/>
      <c r="W275" s="3"/>
      <c r="X275" s="3"/>
      <c r="Y275" s="3"/>
      <c r="Z275" s="3"/>
      <c r="AA275" s="3"/>
      <c r="AB275" s="3"/>
      <c r="AC275" s="3"/>
      <c r="AD275" s="3"/>
      <c r="AE275" s="3"/>
      <c r="AF275" s="3"/>
      <c r="AG275" s="3"/>
      <c r="AH275" s="3"/>
      <c r="AI275" s="3"/>
      <c r="AJ275" s="3"/>
    </row>
    <row r="276" ht="15.75" customHeight="1">
      <c r="C276" s="2"/>
      <c r="R276" s="3"/>
      <c r="S276" s="3"/>
      <c r="T276" s="3"/>
      <c r="U276" s="3"/>
      <c r="V276" s="3"/>
      <c r="W276" s="3"/>
      <c r="X276" s="3"/>
      <c r="Y276" s="3"/>
      <c r="Z276" s="3"/>
      <c r="AA276" s="3"/>
      <c r="AB276" s="3"/>
      <c r="AC276" s="3"/>
      <c r="AD276" s="3"/>
      <c r="AE276" s="3"/>
      <c r="AF276" s="3"/>
      <c r="AG276" s="3"/>
      <c r="AH276" s="3"/>
      <c r="AI276" s="3"/>
      <c r="AJ276" s="3"/>
    </row>
    <row r="277" ht="15.75" customHeight="1">
      <c r="C277" s="2"/>
      <c r="R277" s="3"/>
      <c r="S277" s="3"/>
      <c r="T277" s="3"/>
      <c r="U277" s="3"/>
      <c r="V277" s="3"/>
      <c r="W277" s="3"/>
      <c r="X277" s="3"/>
      <c r="Y277" s="3"/>
      <c r="Z277" s="3"/>
      <c r="AA277" s="3"/>
      <c r="AB277" s="3"/>
      <c r="AC277" s="3"/>
      <c r="AD277" s="3"/>
      <c r="AE277" s="3"/>
      <c r="AF277" s="3"/>
      <c r="AG277" s="3"/>
      <c r="AH277" s="3"/>
      <c r="AI277" s="3"/>
      <c r="AJ277" s="3"/>
    </row>
    <row r="278" ht="15.75" customHeight="1">
      <c r="C278" s="2"/>
      <c r="R278" s="3"/>
      <c r="S278" s="3"/>
      <c r="T278" s="3"/>
      <c r="U278" s="3"/>
      <c r="V278" s="3"/>
      <c r="W278" s="3"/>
      <c r="X278" s="3"/>
      <c r="Y278" s="3"/>
      <c r="Z278" s="3"/>
      <c r="AA278" s="3"/>
      <c r="AB278" s="3"/>
      <c r="AC278" s="3"/>
      <c r="AD278" s="3"/>
      <c r="AE278" s="3"/>
      <c r="AF278" s="3"/>
      <c r="AG278" s="3"/>
      <c r="AH278" s="3"/>
      <c r="AI278" s="3"/>
      <c r="AJ278" s="3"/>
    </row>
    <row r="279" ht="15.75" customHeight="1">
      <c r="C279" s="2"/>
      <c r="R279" s="3"/>
      <c r="S279" s="3"/>
      <c r="T279" s="3"/>
      <c r="U279" s="3"/>
      <c r="V279" s="3"/>
      <c r="W279" s="3"/>
      <c r="X279" s="3"/>
      <c r="Y279" s="3"/>
      <c r="Z279" s="3"/>
      <c r="AA279" s="3"/>
      <c r="AB279" s="3"/>
      <c r="AC279" s="3"/>
      <c r="AD279" s="3"/>
      <c r="AE279" s="3"/>
      <c r="AF279" s="3"/>
      <c r="AG279" s="3"/>
      <c r="AH279" s="3"/>
      <c r="AI279" s="3"/>
      <c r="AJ279" s="3"/>
    </row>
    <row r="280" ht="15.75" customHeight="1">
      <c r="C280" s="2"/>
      <c r="R280" s="3"/>
      <c r="S280" s="3"/>
      <c r="T280" s="3"/>
      <c r="U280" s="3"/>
      <c r="V280" s="3"/>
      <c r="W280" s="3"/>
      <c r="X280" s="3"/>
      <c r="Y280" s="3"/>
      <c r="Z280" s="3"/>
      <c r="AA280" s="3"/>
      <c r="AB280" s="3"/>
      <c r="AC280" s="3"/>
      <c r="AD280" s="3"/>
      <c r="AE280" s="3"/>
      <c r="AF280" s="3"/>
      <c r="AG280" s="3"/>
      <c r="AH280" s="3"/>
      <c r="AI280" s="3"/>
      <c r="AJ280" s="3"/>
    </row>
    <row r="281" ht="15.75" customHeight="1">
      <c r="C281" s="2"/>
      <c r="R281" s="3"/>
      <c r="S281" s="3"/>
      <c r="T281" s="3"/>
      <c r="U281" s="3"/>
      <c r="V281" s="3"/>
      <c r="W281" s="3"/>
      <c r="X281" s="3"/>
      <c r="Y281" s="3"/>
      <c r="Z281" s="3"/>
      <c r="AA281" s="3"/>
      <c r="AB281" s="3"/>
      <c r="AC281" s="3"/>
      <c r="AD281" s="3"/>
      <c r="AE281" s="3"/>
      <c r="AF281" s="3"/>
      <c r="AG281" s="3"/>
      <c r="AH281" s="3"/>
      <c r="AI281" s="3"/>
      <c r="AJ281" s="3"/>
    </row>
    <row r="282" ht="15.75" customHeight="1">
      <c r="C282" s="2"/>
      <c r="R282" s="3"/>
      <c r="S282" s="3"/>
      <c r="T282" s="3"/>
      <c r="U282" s="3"/>
      <c r="V282" s="3"/>
      <c r="W282" s="3"/>
      <c r="X282" s="3"/>
      <c r="Y282" s="3"/>
      <c r="Z282" s="3"/>
      <c r="AA282" s="3"/>
      <c r="AB282" s="3"/>
      <c r="AC282" s="3"/>
      <c r="AD282" s="3"/>
      <c r="AE282" s="3"/>
      <c r="AF282" s="3"/>
      <c r="AG282" s="3"/>
      <c r="AH282" s="3"/>
      <c r="AI282" s="3"/>
      <c r="AJ282" s="3"/>
    </row>
    <row r="283" ht="15.75" customHeight="1">
      <c r="C283" s="2"/>
      <c r="R283" s="3"/>
      <c r="S283" s="3"/>
      <c r="T283" s="3"/>
      <c r="U283" s="3"/>
      <c r="V283" s="3"/>
      <c r="W283" s="3"/>
      <c r="X283" s="3"/>
      <c r="Y283" s="3"/>
      <c r="Z283" s="3"/>
      <c r="AA283" s="3"/>
      <c r="AB283" s="3"/>
      <c r="AC283" s="3"/>
      <c r="AD283" s="3"/>
      <c r="AE283" s="3"/>
      <c r="AF283" s="3"/>
      <c r="AG283" s="3"/>
      <c r="AH283" s="3"/>
      <c r="AI283" s="3"/>
      <c r="AJ283" s="3"/>
    </row>
    <row r="284" ht="15.75" customHeight="1">
      <c r="C284" s="2"/>
      <c r="R284" s="3"/>
      <c r="S284" s="3"/>
      <c r="T284" s="3"/>
      <c r="U284" s="3"/>
      <c r="V284" s="3"/>
      <c r="W284" s="3"/>
      <c r="X284" s="3"/>
      <c r="Y284" s="3"/>
      <c r="Z284" s="3"/>
      <c r="AA284" s="3"/>
      <c r="AB284" s="3"/>
      <c r="AC284" s="3"/>
      <c r="AD284" s="3"/>
      <c r="AE284" s="3"/>
      <c r="AF284" s="3"/>
      <c r="AG284" s="3"/>
      <c r="AH284" s="3"/>
      <c r="AI284" s="3"/>
      <c r="AJ284" s="3"/>
    </row>
    <row r="285" ht="15.75" customHeight="1">
      <c r="C285" s="2"/>
      <c r="R285" s="3"/>
      <c r="S285" s="3"/>
      <c r="T285" s="3"/>
      <c r="U285" s="3"/>
      <c r="V285" s="3"/>
      <c r="W285" s="3"/>
      <c r="X285" s="3"/>
      <c r="Y285" s="3"/>
      <c r="Z285" s="3"/>
      <c r="AA285" s="3"/>
      <c r="AB285" s="3"/>
      <c r="AC285" s="3"/>
      <c r="AD285" s="3"/>
      <c r="AE285" s="3"/>
      <c r="AF285" s="3"/>
      <c r="AG285" s="3"/>
      <c r="AH285" s="3"/>
      <c r="AI285" s="3"/>
      <c r="AJ285" s="3"/>
    </row>
    <row r="286" ht="15.75" customHeight="1">
      <c r="C286" s="2"/>
      <c r="R286" s="3"/>
      <c r="S286" s="3"/>
      <c r="T286" s="3"/>
      <c r="U286" s="3"/>
      <c r="V286" s="3"/>
      <c r="W286" s="3"/>
      <c r="X286" s="3"/>
      <c r="Y286" s="3"/>
      <c r="Z286" s="3"/>
      <c r="AA286" s="3"/>
      <c r="AB286" s="3"/>
      <c r="AC286" s="3"/>
      <c r="AD286" s="3"/>
      <c r="AE286" s="3"/>
      <c r="AF286" s="3"/>
      <c r="AG286" s="3"/>
      <c r="AH286" s="3"/>
      <c r="AI286" s="3"/>
      <c r="AJ286" s="3"/>
    </row>
    <row r="287" ht="15.75" customHeight="1">
      <c r="C287" s="2"/>
      <c r="R287" s="3"/>
      <c r="S287" s="3"/>
      <c r="T287" s="3"/>
      <c r="U287" s="3"/>
      <c r="V287" s="3"/>
      <c r="W287" s="3"/>
      <c r="X287" s="3"/>
      <c r="Y287" s="3"/>
      <c r="Z287" s="3"/>
      <c r="AA287" s="3"/>
      <c r="AB287" s="3"/>
      <c r="AC287" s="3"/>
      <c r="AD287" s="3"/>
      <c r="AE287" s="3"/>
      <c r="AF287" s="3"/>
      <c r="AG287" s="3"/>
      <c r="AH287" s="3"/>
      <c r="AI287" s="3"/>
      <c r="AJ287" s="3"/>
    </row>
    <row r="288" ht="15.75" customHeight="1">
      <c r="C288" s="2"/>
      <c r="R288" s="3"/>
      <c r="S288" s="3"/>
      <c r="T288" s="3"/>
      <c r="U288" s="3"/>
      <c r="V288" s="3"/>
      <c r="W288" s="3"/>
      <c r="X288" s="3"/>
      <c r="Y288" s="3"/>
      <c r="Z288" s="3"/>
      <c r="AA288" s="3"/>
      <c r="AB288" s="3"/>
      <c r="AC288" s="3"/>
      <c r="AD288" s="3"/>
      <c r="AE288" s="3"/>
      <c r="AF288" s="3"/>
      <c r="AG288" s="3"/>
      <c r="AH288" s="3"/>
      <c r="AI288" s="3"/>
      <c r="AJ288" s="3"/>
    </row>
    <row r="289" ht="15.75" customHeight="1">
      <c r="C289" s="2"/>
      <c r="R289" s="3"/>
      <c r="S289" s="3"/>
      <c r="T289" s="3"/>
      <c r="U289" s="3"/>
      <c r="V289" s="3"/>
      <c r="W289" s="3"/>
      <c r="X289" s="3"/>
      <c r="Y289" s="3"/>
      <c r="Z289" s="3"/>
      <c r="AA289" s="3"/>
      <c r="AB289" s="3"/>
      <c r="AC289" s="3"/>
      <c r="AD289" s="3"/>
      <c r="AE289" s="3"/>
      <c r="AF289" s="3"/>
      <c r="AG289" s="3"/>
      <c r="AH289" s="3"/>
      <c r="AI289" s="3"/>
      <c r="AJ289" s="3"/>
    </row>
    <row r="290" ht="15.75" customHeight="1">
      <c r="C290" s="2"/>
      <c r="R290" s="3"/>
      <c r="S290" s="3"/>
      <c r="T290" s="3"/>
      <c r="U290" s="3"/>
      <c r="V290" s="3"/>
      <c r="W290" s="3"/>
      <c r="X290" s="3"/>
      <c r="Y290" s="3"/>
      <c r="Z290" s="3"/>
      <c r="AA290" s="3"/>
      <c r="AB290" s="3"/>
      <c r="AC290" s="3"/>
      <c r="AD290" s="3"/>
      <c r="AE290" s="3"/>
      <c r="AF290" s="3"/>
      <c r="AG290" s="3"/>
      <c r="AH290" s="3"/>
      <c r="AI290" s="3"/>
      <c r="AJ290" s="3"/>
    </row>
    <row r="291" ht="15.75" customHeight="1">
      <c r="C291" s="2"/>
      <c r="R291" s="3"/>
      <c r="S291" s="3"/>
      <c r="T291" s="3"/>
      <c r="U291" s="3"/>
      <c r="V291" s="3"/>
      <c r="W291" s="3"/>
      <c r="X291" s="3"/>
      <c r="Y291" s="3"/>
      <c r="Z291" s="3"/>
      <c r="AA291" s="3"/>
      <c r="AB291" s="3"/>
      <c r="AC291" s="3"/>
      <c r="AD291" s="3"/>
      <c r="AE291" s="3"/>
      <c r="AF291" s="3"/>
      <c r="AG291" s="3"/>
      <c r="AH291" s="3"/>
      <c r="AI291" s="3"/>
      <c r="AJ291" s="3"/>
    </row>
    <row r="292" ht="15.75" customHeight="1">
      <c r="C292" s="2"/>
      <c r="R292" s="3"/>
      <c r="S292" s="3"/>
      <c r="T292" s="3"/>
      <c r="U292" s="3"/>
      <c r="V292" s="3"/>
      <c r="W292" s="3"/>
      <c r="X292" s="3"/>
      <c r="Y292" s="3"/>
      <c r="Z292" s="3"/>
      <c r="AA292" s="3"/>
      <c r="AB292" s="3"/>
      <c r="AC292" s="3"/>
      <c r="AD292" s="3"/>
      <c r="AE292" s="3"/>
      <c r="AF292" s="3"/>
      <c r="AG292" s="3"/>
      <c r="AH292" s="3"/>
      <c r="AI292" s="3"/>
      <c r="AJ292" s="3"/>
    </row>
    <row r="293" ht="15.75" customHeight="1">
      <c r="C293" s="2"/>
      <c r="R293" s="3"/>
      <c r="S293" s="3"/>
      <c r="T293" s="3"/>
      <c r="U293" s="3"/>
      <c r="V293" s="3"/>
      <c r="W293" s="3"/>
      <c r="X293" s="3"/>
      <c r="Y293" s="3"/>
      <c r="Z293" s="3"/>
      <c r="AA293" s="3"/>
      <c r="AB293" s="3"/>
      <c r="AC293" s="3"/>
      <c r="AD293" s="3"/>
      <c r="AE293" s="3"/>
      <c r="AF293" s="3"/>
      <c r="AG293" s="3"/>
      <c r="AH293" s="3"/>
      <c r="AI293" s="3"/>
      <c r="AJ293" s="3"/>
    </row>
    <row r="294" ht="15.75" customHeight="1">
      <c r="C294" s="2"/>
      <c r="R294" s="3"/>
      <c r="S294" s="3"/>
      <c r="T294" s="3"/>
      <c r="U294" s="3"/>
      <c r="V294" s="3"/>
      <c r="W294" s="3"/>
      <c r="X294" s="3"/>
      <c r="Y294" s="3"/>
      <c r="Z294" s="3"/>
      <c r="AA294" s="3"/>
      <c r="AB294" s="3"/>
      <c r="AC294" s="3"/>
      <c r="AD294" s="3"/>
      <c r="AE294" s="3"/>
      <c r="AF294" s="3"/>
      <c r="AG294" s="3"/>
      <c r="AH294" s="3"/>
      <c r="AI294" s="3"/>
      <c r="AJ294" s="3"/>
    </row>
    <row r="295" ht="15.75" customHeight="1">
      <c r="C295" s="2"/>
      <c r="R295" s="3"/>
      <c r="S295" s="3"/>
      <c r="T295" s="3"/>
      <c r="U295" s="3"/>
      <c r="V295" s="3"/>
      <c r="W295" s="3"/>
      <c r="X295" s="3"/>
      <c r="Y295" s="3"/>
      <c r="Z295" s="3"/>
      <c r="AA295" s="3"/>
      <c r="AB295" s="3"/>
      <c r="AC295" s="3"/>
      <c r="AD295" s="3"/>
      <c r="AE295" s="3"/>
      <c r="AF295" s="3"/>
      <c r="AG295" s="3"/>
      <c r="AH295" s="3"/>
      <c r="AI295" s="3"/>
      <c r="AJ295" s="3"/>
    </row>
    <row r="296" ht="15.75" customHeight="1">
      <c r="C296" s="2"/>
      <c r="R296" s="3"/>
      <c r="S296" s="3"/>
      <c r="T296" s="3"/>
      <c r="U296" s="3"/>
      <c r="V296" s="3"/>
      <c r="W296" s="3"/>
      <c r="X296" s="3"/>
      <c r="Y296" s="3"/>
      <c r="Z296" s="3"/>
      <c r="AA296" s="3"/>
      <c r="AB296" s="3"/>
      <c r="AC296" s="3"/>
      <c r="AD296" s="3"/>
      <c r="AE296" s="3"/>
      <c r="AF296" s="3"/>
      <c r="AG296" s="3"/>
      <c r="AH296" s="3"/>
      <c r="AI296" s="3"/>
      <c r="AJ296" s="3"/>
    </row>
    <row r="297" ht="15.75" customHeight="1">
      <c r="C297" s="2"/>
      <c r="R297" s="3"/>
      <c r="S297" s="3"/>
      <c r="T297" s="3"/>
      <c r="U297" s="3"/>
      <c r="V297" s="3"/>
      <c r="W297" s="3"/>
      <c r="X297" s="3"/>
      <c r="Y297" s="3"/>
      <c r="Z297" s="3"/>
      <c r="AA297" s="3"/>
      <c r="AB297" s="3"/>
      <c r="AC297" s="3"/>
      <c r="AD297" s="3"/>
      <c r="AE297" s="3"/>
      <c r="AF297" s="3"/>
      <c r="AG297" s="3"/>
      <c r="AH297" s="3"/>
      <c r="AI297" s="3"/>
      <c r="AJ297" s="3"/>
    </row>
    <row r="298" ht="15.75" customHeight="1">
      <c r="C298" s="2"/>
      <c r="R298" s="3"/>
      <c r="S298" s="3"/>
      <c r="T298" s="3"/>
      <c r="U298" s="3"/>
      <c r="V298" s="3"/>
      <c r="W298" s="3"/>
      <c r="X298" s="3"/>
      <c r="Y298" s="3"/>
      <c r="Z298" s="3"/>
      <c r="AA298" s="3"/>
      <c r="AB298" s="3"/>
      <c r="AC298" s="3"/>
      <c r="AD298" s="3"/>
      <c r="AE298" s="3"/>
      <c r="AF298" s="3"/>
      <c r="AG298" s="3"/>
      <c r="AH298" s="3"/>
      <c r="AI298" s="3"/>
      <c r="AJ298" s="3"/>
    </row>
    <row r="299" ht="15.75" customHeight="1">
      <c r="C299" s="2"/>
      <c r="R299" s="3"/>
      <c r="S299" s="3"/>
      <c r="T299" s="3"/>
      <c r="U299" s="3"/>
      <c r="V299" s="3"/>
      <c r="W299" s="3"/>
      <c r="X299" s="3"/>
      <c r="Y299" s="3"/>
      <c r="Z299" s="3"/>
      <c r="AA299" s="3"/>
      <c r="AB299" s="3"/>
      <c r="AC299" s="3"/>
      <c r="AD299" s="3"/>
      <c r="AE299" s="3"/>
      <c r="AF299" s="3"/>
      <c r="AG299" s="3"/>
      <c r="AH299" s="3"/>
      <c r="AI299" s="3"/>
      <c r="AJ299" s="3"/>
    </row>
    <row r="300" ht="15.75" customHeight="1">
      <c r="C300" s="2"/>
      <c r="R300" s="3"/>
      <c r="S300" s="3"/>
      <c r="T300" s="3"/>
      <c r="U300" s="3"/>
      <c r="V300" s="3"/>
      <c r="W300" s="3"/>
      <c r="X300" s="3"/>
      <c r="Y300" s="3"/>
      <c r="Z300" s="3"/>
      <c r="AA300" s="3"/>
      <c r="AB300" s="3"/>
      <c r="AC300" s="3"/>
      <c r="AD300" s="3"/>
      <c r="AE300" s="3"/>
      <c r="AF300" s="3"/>
      <c r="AG300" s="3"/>
      <c r="AH300" s="3"/>
      <c r="AI300" s="3"/>
      <c r="AJ300" s="3"/>
    </row>
    <row r="301" ht="15.75" customHeight="1">
      <c r="C301" s="2"/>
      <c r="R301" s="3"/>
      <c r="S301" s="3"/>
      <c r="T301" s="3"/>
      <c r="U301" s="3"/>
      <c r="V301" s="3"/>
      <c r="W301" s="3"/>
      <c r="X301" s="3"/>
      <c r="Y301" s="3"/>
      <c r="Z301" s="3"/>
      <c r="AA301" s="3"/>
      <c r="AB301" s="3"/>
      <c r="AC301" s="3"/>
      <c r="AD301" s="3"/>
      <c r="AE301" s="3"/>
      <c r="AF301" s="3"/>
      <c r="AG301" s="3"/>
      <c r="AH301" s="3"/>
      <c r="AI301" s="3"/>
      <c r="AJ301" s="3"/>
    </row>
    <row r="302" ht="15.75" customHeight="1">
      <c r="C302" s="2"/>
      <c r="R302" s="3"/>
      <c r="S302" s="3"/>
      <c r="T302" s="3"/>
      <c r="U302" s="3"/>
      <c r="V302" s="3"/>
      <c r="W302" s="3"/>
      <c r="X302" s="3"/>
      <c r="Y302" s="3"/>
      <c r="Z302" s="3"/>
      <c r="AA302" s="3"/>
      <c r="AB302" s="3"/>
      <c r="AC302" s="3"/>
      <c r="AD302" s="3"/>
      <c r="AE302" s="3"/>
      <c r="AF302" s="3"/>
      <c r="AG302" s="3"/>
      <c r="AH302" s="3"/>
      <c r="AI302" s="3"/>
      <c r="AJ302" s="3"/>
    </row>
    <row r="303" ht="15.75" customHeight="1">
      <c r="C303" s="2"/>
      <c r="R303" s="3"/>
      <c r="S303" s="3"/>
      <c r="T303" s="3"/>
      <c r="U303" s="3"/>
      <c r="V303" s="3"/>
      <c r="W303" s="3"/>
      <c r="X303" s="3"/>
      <c r="Y303" s="3"/>
      <c r="Z303" s="3"/>
      <c r="AA303" s="3"/>
      <c r="AB303" s="3"/>
      <c r="AC303" s="3"/>
      <c r="AD303" s="3"/>
      <c r="AE303" s="3"/>
      <c r="AF303" s="3"/>
      <c r="AG303" s="3"/>
      <c r="AH303" s="3"/>
      <c r="AI303" s="3"/>
      <c r="AJ303" s="3"/>
    </row>
    <row r="304" ht="15.75" customHeight="1">
      <c r="C304" s="2"/>
      <c r="R304" s="3"/>
      <c r="S304" s="3"/>
      <c r="T304" s="3"/>
      <c r="U304" s="3"/>
      <c r="V304" s="3"/>
      <c r="W304" s="3"/>
      <c r="X304" s="3"/>
      <c r="Y304" s="3"/>
      <c r="Z304" s="3"/>
      <c r="AA304" s="3"/>
      <c r="AB304" s="3"/>
      <c r="AC304" s="3"/>
      <c r="AD304" s="3"/>
      <c r="AE304" s="3"/>
      <c r="AF304" s="3"/>
      <c r="AG304" s="3"/>
      <c r="AH304" s="3"/>
      <c r="AI304" s="3"/>
      <c r="AJ304" s="3"/>
    </row>
    <row r="305" ht="15.75" customHeight="1">
      <c r="C305" s="2"/>
      <c r="R305" s="3"/>
      <c r="S305" s="3"/>
      <c r="T305" s="3"/>
      <c r="U305" s="3"/>
      <c r="V305" s="3"/>
      <c r="W305" s="3"/>
      <c r="X305" s="3"/>
      <c r="Y305" s="3"/>
      <c r="Z305" s="3"/>
      <c r="AA305" s="3"/>
      <c r="AB305" s="3"/>
      <c r="AC305" s="3"/>
      <c r="AD305" s="3"/>
      <c r="AE305" s="3"/>
      <c r="AF305" s="3"/>
      <c r="AG305" s="3"/>
      <c r="AH305" s="3"/>
      <c r="AI305" s="3"/>
      <c r="AJ305" s="3"/>
    </row>
    <row r="306" ht="15.75" customHeight="1">
      <c r="C306" s="2"/>
      <c r="R306" s="3"/>
      <c r="S306" s="3"/>
      <c r="T306" s="3"/>
      <c r="U306" s="3"/>
      <c r="V306" s="3"/>
      <c r="W306" s="3"/>
      <c r="X306" s="3"/>
      <c r="Y306" s="3"/>
      <c r="Z306" s="3"/>
      <c r="AA306" s="3"/>
      <c r="AB306" s="3"/>
      <c r="AC306" s="3"/>
      <c r="AD306" s="3"/>
      <c r="AE306" s="3"/>
      <c r="AF306" s="3"/>
      <c r="AG306" s="3"/>
      <c r="AH306" s="3"/>
      <c r="AI306" s="3"/>
      <c r="AJ306" s="3"/>
    </row>
    <row r="307" ht="15.75" customHeight="1">
      <c r="C307" s="2"/>
      <c r="R307" s="3"/>
      <c r="S307" s="3"/>
      <c r="T307" s="3"/>
      <c r="U307" s="3"/>
      <c r="V307" s="3"/>
      <c r="W307" s="3"/>
      <c r="X307" s="3"/>
      <c r="Y307" s="3"/>
      <c r="Z307" s="3"/>
      <c r="AA307" s="3"/>
      <c r="AB307" s="3"/>
      <c r="AC307" s="3"/>
      <c r="AD307" s="3"/>
      <c r="AE307" s="3"/>
      <c r="AF307" s="3"/>
      <c r="AG307" s="3"/>
      <c r="AH307" s="3"/>
      <c r="AI307" s="3"/>
      <c r="AJ307" s="3"/>
    </row>
    <row r="308" ht="15.75" customHeight="1">
      <c r="C308" s="2"/>
      <c r="R308" s="3"/>
      <c r="S308" s="3"/>
      <c r="T308" s="3"/>
      <c r="U308" s="3"/>
      <c r="V308" s="3"/>
      <c r="W308" s="3"/>
      <c r="X308" s="3"/>
      <c r="Y308" s="3"/>
      <c r="Z308" s="3"/>
      <c r="AA308" s="3"/>
      <c r="AB308" s="3"/>
      <c r="AC308" s="3"/>
      <c r="AD308" s="3"/>
      <c r="AE308" s="3"/>
      <c r="AF308" s="3"/>
      <c r="AG308" s="3"/>
      <c r="AH308" s="3"/>
      <c r="AI308" s="3"/>
      <c r="AJ308" s="3"/>
    </row>
    <row r="309" ht="15.75" customHeight="1">
      <c r="C309" s="2"/>
      <c r="R309" s="3"/>
      <c r="S309" s="3"/>
      <c r="T309" s="3"/>
      <c r="U309" s="3"/>
      <c r="V309" s="3"/>
      <c r="W309" s="3"/>
      <c r="X309" s="3"/>
      <c r="Y309" s="3"/>
      <c r="Z309" s="3"/>
      <c r="AA309" s="3"/>
      <c r="AB309" s="3"/>
      <c r="AC309" s="3"/>
      <c r="AD309" s="3"/>
      <c r="AE309" s="3"/>
      <c r="AF309" s="3"/>
      <c r="AG309" s="3"/>
      <c r="AH309" s="3"/>
      <c r="AI309" s="3"/>
      <c r="AJ309" s="3"/>
    </row>
    <row r="310" ht="15.75" customHeight="1">
      <c r="C310" s="2"/>
      <c r="R310" s="3"/>
      <c r="S310" s="3"/>
      <c r="T310" s="3"/>
      <c r="U310" s="3"/>
      <c r="V310" s="3"/>
      <c r="W310" s="3"/>
      <c r="X310" s="3"/>
      <c r="Y310" s="3"/>
      <c r="Z310" s="3"/>
      <c r="AA310" s="3"/>
      <c r="AB310" s="3"/>
      <c r="AC310" s="3"/>
      <c r="AD310" s="3"/>
      <c r="AE310" s="3"/>
      <c r="AF310" s="3"/>
      <c r="AG310" s="3"/>
      <c r="AH310" s="3"/>
      <c r="AI310" s="3"/>
      <c r="AJ310" s="3"/>
    </row>
    <row r="311" ht="15.75" customHeight="1">
      <c r="C311" s="2"/>
      <c r="R311" s="3"/>
      <c r="S311" s="3"/>
      <c r="T311" s="3"/>
      <c r="U311" s="3"/>
      <c r="V311" s="3"/>
      <c r="W311" s="3"/>
      <c r="X311" s="3"/>
      <c r="Y311" s="3"/>
      <c r="Z311" s="3"/>
      <c r="AA311" s="3"/>
      <c r="AB311" s="3"/>
      <c r="AC311" s="3"/>
      <c r="AD311" s="3"/>
      <c r="AE311" s="3"/>
      <c r="AF311" s="3"/>
      <c r="AG311" s="3"/>
      <c r="AH311" s="3"/>
      <c r="AI311" s="3"/>
      <c r="AJ311" s="3"/>
    </row>
    <row r="312" ht="15.75" customHeight="1">
      <c r="C312" s="2"/>
      <c r="R312" s="3"/>
      <c r="S312" s="3"/>
      <c r="T312" s="3"/>
      <c r="U312" s="3"/>
      <c r="V312" s="3"/>
      <c r="W312" s="3"/>
      <c r="X312" s="3"/>
      <c r="Y312" s="3"/>
      <c r="Z312" s="3"/>
      <c r="AA312" s="3"/>
      <c r="AB312" s="3"/>
      <c r="AC312" s="3"/>
      <c r="AD312" s="3"/>
      <c r="AE312" s="3"/>
      <c r="AF312" s="3"/>
      <c r="AG312" s="3"/>
      <c r="AH312" s="3"/>
      <c r="AI312" s="3"/>
      <c r="AJ312" s="3"/>
    </row>
    <row r="313" ht="15.75" customHeight="1">
      <c r="C313" s="2"/>
      <c r="R313" s="3"/>
      <c r="S313" s="3"/>
      <c r="T313" s="3"/>
      <c r="U313" s="3"/>
      <c r="V313" s="3"/>
      <c r="W313" s="3"/>
      <c r="X313" s="3"/>
      <c r="Y313" s="3"/>
      <c r="Z313" s="3"/>
      <c r="AA313" s="3"/>
      <c r="AB313" s="3"/>
      <c r="AC313" s="3"/>
      <c r="AD313" s="3"/>
      <c r="AE313" s="3"/>
      <c r="AF313" s="3"/>
      <c r="AG313" s="3"/>
      <c r="AH313" s="3"/>
      <c r="AI313" s="3"/>
      <c r="AJ313" s="3"/>
    </row>
    <row r="314" ht="15.75" customHeight="1">
      <c r="C314" s="2"/>
      <c r="R314" s="3"/>
      <c r="S314" s="3"/>
      <c r="T314" s="3"/>
      <c r="U314" s="3"/>
      <c r="V314" s="3"/>
      <c r="W314" s="3"/>
      <c r="X314" s="3"/>
      <c r="Y314" s="3"/>
      <c r="Z314" s="3"/>
      <c r="AA314" s="3"/>
      <c r="AB314" s="3"/>
      <c r="AC314" s="3"/>
      <c r="AD314" s="3"/>
      <c r="AE314" s="3"/>
      <c r="AF314" s="3"/>
      <c r="AG314" s="3"/>
      <c r="AH314" s="3"/>
      <c r="AI314" s="3"/>
      <c r="AJ314" s="3"/>
    </row>
    <row r="315" ht="15.75" customHeight="1">
      <c r="C315" s="2"/>
      <c r="R315" s="3"/>
      <c r="S315" s="3"/>
      <c r="T315" s="3"/>
      <c r="U315" s="3"/>
      <c r="V315" s="3"/>
      <c r="W315" s="3"/>
      <c r="X315" s="3"/>
      <c r="Y315" s="3"/>
      <c r="Z315" s="3"/>
      <c r="AA315" s="3"/>
      <c r="AB315" s="3"/>
      <c r="AC315" s="3"/>
      <c r="AD315" s="3"/>
      <c r="AE315" s="3"/>
      <c r="AF315" s="3"/>
      <c r="AG315" s="3"/>
      <c r="AH315" s="3"/>
      <c r="AI315" s="3"/>
      <c r="AJ315" s="3"/>
    </row>
    <row r="316" ht="15.75" customHeight="1">
      <c r="C316" s="2"/>
      <c r="R316" s="3"/>
      <c r="S316" s="3"/>
      <c r="T316" s="3"/>
      <c r="U316" s="3"/>
      <c r="V316" s="3"/>
      <c r="W316" s="3"/>
      <c r="X316" s="3"/>
      <c r="Y316" s="3"/>
      <c r="Z316" s="3"/>
      <c r="AA316" s="3"/>
      <c r="AB316" s="3"/>
      <c r="AC316" s="3"/>
      <c r="AD316" s="3"/>
      <c r="AE316" s="3"/>
      <c r="AF316" s="3"/>
      <c r="AG316" s="3"/>
      <c r="AH316" s="3"/>
      <c r="AI316" s="3"/>
      <c r="AJ316" s="3"/>
    </row>
    <row r="317" ht="15.75" customHeight="1">
      <c r="C317" s="2"/>
      <c r="R317" s="3"/>
      <c r="S317" s="3"/>
      <c r="T317" s="3"/>
      <c r="U317" s="3"/>
      <c r="V317" s="3"/>
      <c r="W317" s="3"/>
      <c r="X317" s="3"/>
      <c r="Y317" s="3"/>
      <c r="Z317" s="3"/>
      <c r="AA317" s="3"/>
      <c r="AB317" s="3"/>
      <c r="AC317" s="3"/>
      <c r="AD317" s="3"/>
      <c r="AE317" s="3"/>
      <c r="AF317" s="3"/>
      <c r="AG317" s="3"/>
      <c r="AH317" s="3"/>
      <c r="AI317" s="3"/>
      <c r="AJ317" s="3"/>
    </row>
    <row r="318" ht="15.75" customHeight="1">
      <c r="C318" s="2"/>
      <c r="R318" s="3"/>
      <c r="S318" s="3"/>
      <c r="T318" s="3"/>
      <c r="U318" s="3"/>
      <c r="V318" s="3"/>
      <c r="W318" s="3"/>
      <c r="X318" s="3"/>
      <c r="Y318" s="3"/>
      <c r="Z318" s="3"/>
      <c r="AA318" s="3"/>
      <c r="AB318" s="3"/>
      <c r="AC318" s="3"/>
      <c r="AD318" s="3"/>
      <c r="AE318" s="3"/>
      <c r="AF318" s="3"/>
      <c r="AG318" s="3"/>
      <c r="AH318" s="3"/>
      <c r="AI318" s="3"/>
      <c r="AJ318" s="3"/>
    </row>
    <row r="319" ht="15.75" customHeight="1">
      <c r="C319" s="2"/>
      <c r="R319" s="3"/>
      <c r="S319" s="3"/>
      <c r="T319" s="3"/>
      <c r="U319" s="3"/>
      <c r="V319" s="3"/>
      <c r="W319" s="3"/>
      <c r="X319" s="3"/>
      <c r="Y319" s="3"/>
      <c r="Z319" s="3"/>
      <c r="AA319" s="3"/>
      <c r="AB319" s="3"/>
      <c r="AC319" s="3"/>
      <c r="AD319" s="3"/>
      <c r="AE319" s="3"/>
      <c r="AF319" s="3"/>
      <c r="AG319" s="3"/>
      <c r="AH319" s="3"/>
      <c r="AI319" s="3"/>
      <c r="AJ319" s="3"/>
    </row>
    <row r="320" ht="15.75" customHeight="1">
      <c r="C320" s="2"/>
      <c r="R320" s="3"/>
      <c r="S320" s="3"/>
      <c r="T320" s="3"/>
      <c r="U320" s="3"/>
      <c r="V320" s="3"/>
      <c r="W320" s="3"/>
      <c r="X320" s="3"/>
      <c r="Y320" s="3"/>
      <c r="Z320" s="3"/>
      <c r="AA320" s="3"/>
      <c r="AB320" s="3"/>
      <c r="AC320" s="3"/>
      <c r="AD320" s="3"/>
      <c r="AE320" s="3"/>
      <c r="AF320" s="3"/>
      <c r="AG320" s="3"/>
      <c r="AH320" s="3"/>
      <c r="AI320" s="3"/>
      <c r="AJ320" s="3"/>
    </row>
    <row r="321" ht="15.75" customHeight="1">
      <c r="C321" s="2"/>
      <c r="R321" s="3"/>
      <c r="S321" s="3"/>
      <c r="T321" s="3"/>
      <c r="U321" s="3"/>
      <c r="V321" s="3"/>
      <c r="W321" s="3"/>
      <c r="X321" s="3"/>
      <c r="Y321" s="3"/>
      <c r="Z321" s="3"/>
      <c r="AA321" s="3"/>
      <c r="AB321" s="3"/>
      <c r="AC321" s="3"/>
      <c r="AD321" s="3"/>
      <c r="AE321" s="3"/>
      <c r="AF321" s="3"/>
      <c r="AG321" s="3"/>
      <c r="AH321" s="3"/>
      <c r="AI321" s="3"/>
      <c r="AJ321" s="3"/>
    </row>
    <row r="322" ht="15.75" customHeight="1">
      <c r="C322" s="2"/>
      <c r="R322" s="3"/>
      <c r="S322" s="3"/>
      <c r="T322" s="3"/>
      <c r="U322" s="3"/>
      <c r="V322" s="3"/>
      <c r="W322" s="3"/>
      <c r="X322" s="3"/>
      <c r="Y322" s="3"/>
      <c r="Z322" s="3"/>
      <c r="AA322" s="3"/>
      <c r="AB322" s="3"/>
      <c r="AC322" s="3"/>
      <c r="AD322" s="3"/>
      <c r="AE322" s="3"/>
      <c r="AF322" s="3"/>
      <c r="AG322" s="3"/>
      <c r="AH322" s="3"/>
      <c r="AI322" s="3"/>
      <c r="AJ322" s="3"/>
    </row>
    <row r="323" ht="15.75" customHeight="1">
      <c r="C323" s="2"/>
      <c r="R323" s="3"/>
      <c r="S323" s="3"/>
      <c r="T323" s="3"/>
      <c r="U323" s="3"/>
      <c r="V323" s="3"/>
      <c r="W323" s="3"/>
      <c r="X323" s="3"/>
      <c r="Y323" s="3"/>
      <c r="Z323" s="3"/>
      <c r="AA323" s="3"/>
      <c r="AB323" s="3"/>
      <c r="AC323" s="3"/>
      <c r="AD323" s="3"/>
      <c r="AE323" s="3"/>
      <c r="AF323" s="3"/>
      <c r="AG323" s="3"/>
      <c r="AH323" s="3"/>
      <c r="AI323" s="3"/>
      <c r="AJ323" s="3"/>
    </row>
    <row r="324" ht="15.75" customHeight="1">
      <c r="C324" s="2"/>
      <c r="R324" s="3"/>
      <c r="S324" s="3"/>
      <c r="T324" s="3"/>
      <c r="U324" s="3"/>
      <c r="V324" s="3"/>
      <c r="W324" s="3"/>
      <c r="X324" s="3"/>
      <c r="Y324" s="3"/>
      <c r="Z324" s="3"/>
      <c r="AA324" s="3"/>
      <c r="AB324" s="3"/>
      <c r="AC324" s="3"/>
      <c r="AD324" s="3"/>
      <c r="AE324" s="3"/>
      <c r="AF324" s="3"/>
      <c r="AG324" s="3"/>
      <c r="AH324" s="3"/>
      <c r="AI324" s="3"/>
      <c r="AJ324" s="3"/>
    </row>
    <row r="325" ht="15.75" customHeight="1">
      <c r="C325" s="2"/>
      <c r="R325" s="3"/>
      <c r="S325" s="3"/>
      <c r="T325" s="3"/>
      <c r="U325" s="3"/>
      <c r="V325" s="3"/>
      <c r="W325" s="3"/>
      <c r="X325" s="3"/>
      <c r="Y325" s="3"/>
      <c r="Z325" s="3"/>
      <c r="AA325" s="3"/>
      <c r="AB325" s="3"/>
      <c r="AC325" s="3"/>
      <c r="AD325" s="3"/>
      <c r="AE325" s="3"/>
      <c r="AF325" s="3"/>
      <c r="AG325" s="3"/>
      <c r="AH325" s="3"/>
      <c r="AI325" s="3"/>
      <c r="AJ325" s="3"/>
    </row>
    <row r="326" ht="15.75" customHeight="1">
      <c r="C326" s="2"/>
      <c r="R326" s="3"/>
      <c r="S326" s="3"/>
      <c r="T326" s="3"/>
      <c r="U326" s="3"/>
      <c r="V326" s="3"/>
      <c r="W326" s="3"/>
      <c r="X326" s="3"/>
      <c r="Y326" s="3"/>
      <c r="Z326" s="3"/>
      <c r="AA326" s="3"/>
      <c r="AB326" s="3"/>
      <c r="AC326" s="3"/>
      <c r="AD326" s="3"/>
      <c r="AE326" s="3"/>
      <c r="AF326" s="3"/>
      <c r="AG326" s="3"/>
      <c r="AH326" s="3"/>
      <c r="AI326" s="3"/>
      <c r="AJ326" s="3"/>
    </row>
    <row r="327" ht="15.75" customHeight="1">
      <c r="C327" s="2"/>
      <c r="R327" s="3"/>
      <c r="S327" s="3"/>
      <c r="T327" s="3"/>
      <c r="U327" s="3"/>
      <c r="V327" s="3"/>
      <c r="W327" s="3"/>
      <c r="X327" s="3"/>
      <c r="Y327" s="3"/>
      <c r="Z327" s="3"/>
      <c r="AA327" s="3"/>
      <c r="AB327" s="3"/>
      <c r="AC327" s="3"/>
      <c r="AD327" s="3"/>
      <c r="AE327" s="3"/>
      <c r="AF327" s="3"/>
      <c r="AG327" s="3"/>
      <c r="AH327" s="3"/>
      <c r="AI327" s="3"/>
      <c r="AJ327" s="3"/>
    </row>
    <row r="328" ht="15.75" customHeight="1">
      <c r="C328" s="2"/>
      <c r="R328" s="3"/>
      <c r="S328" s="3"/>
      <c r="T328" s="3"/>
      <c r="U328" s="3"/>
      <c r="V328" s="3"/>
      <c r="W328" s="3"/>
      <c r="X328" s="3"/>
      <c r="Y328" s="3"/>
      <c r="Z328" s="3"/>
      <c r="AA328" s="3"/>
      <c r="AB328" s="3"/>
      <c r="AC328" s="3"/>
      <c r="AD328" s="3"/>
      <c r="AE328" s="3"/>
      <c r="AF328" s="3"/>
      <c r="AG328" s="3"/>
      <c r="AH328" s="3"/>
      <c r="AI328" s="3"/>
      <c r="AJ328" s="3"/>
    </row>
    <row r="329" ht="15.75" customHeight="1">
      <c r="C329" s="2"/>
      <c r="R329" s="3"/>
      <c r="S329" s="3"/>
      <c r="T329" s="3"/>
      <c r="U329" s="3"/>
      <c r="V329" s="3"/>
      <c r="W329" s="3"/>
      <c r="X329" s="3"/>
      <c r="Y329" s="3"/>
      <c r="Z329" s="3"/>
      <c r="AA329" s="3"/>
      <c r="AB329" s="3"/>
      <c r="AC329" s="3"/>
      <c r="AD329" s="3"/>
      <c r="AE329" s="3"/>
      <c r="AF329" s="3"/>
      <c r="AG329" s="3"/>
      <c r="AH329" s="3"/>
      <c r="AI329" s="3"/>
      <c r="AJ329" s="3"/>
    </row>
    <row r="330" ht="15.75" customHeight="1">
      <c r="C330" s="2"/>
      <c r="R330" s="3"/>
      <c r="S330" s="3"/>
      <c r="T330" s="3"/>
      <c r="U330" s="3"/>
      <c r="V330" s="3"/>
      <c r="W330" s="3"/>
      <c r="X330" s="3"/>
      <c r="Y330" s="3"/>
      <c r="Z330" s="3"/>
      <c r="AA330" s="3"/>
      <c r="AB330" s="3"/>
      <c r="AC330" s="3"/>
      <c r="AD330" s="3"/>
      <c r="AE330" s="3"/>
      <c r="AF330" s="3"/>
      <c r="AG330" s="3"/>
      <c r="AH330" s="3"/>
      <c r="AI330" s="3"/>
      <c r="AJ330" s="3"/>
    </row>
    <row r="331" ht="15.75" customHeight="1">
      <c r="C331" s="2"/>
      <c r="R331" s="3"/>
      <c r="S331" s="3"/>
      <c r="T331" s="3"/>
      <c r="U331" s="3"/>
      <c r="V331" s="3"/>
      <c r="W331" s="3"/>
      <c r="X331" s="3"/>
      <c r="Y331" s="3"/>
      <c r="Z331" s="3"/>
      <c r="AA331" s="3"/>
      <c r="AB331" s="3"/>
      <c r="AC331" s="3"/>
      <c r="AD331" s="3"/>
      <c r="AE331" s="3"/>
      <c r="AF331" s="3"/>
      <c r="AG331" s="3"/>
      <c r="AH331" s="3"/>
      <c r="AI331" s="3"/>
      <c r="AJ331" s="3"/>
    </row>
    <row r="332" ht="15.75" customHeight="1">
      <c r="C332" s="2"/>
      <c r="R332" s="3"/>
      <c r="S332" s="3"/>
      <c r="T332" s="3"/>
      <c r="U332" s="3"/>
      <c r="V332" s="3"/>
      <c r="W332" s="3"/>
      <c r="X332" s="3"/>
      <c r="Y332" s="3"/>
      <c r="Z332" s="3"/>
      <c r="AA332" s="3"/>
      <c r="AB332" s="3"/>
      <c r="AC332" s="3"/>
      <c r="AD332" s="3"/>
      <c r="AE332" s="3"/>
      <c r="AF332" s="3"/>
      <c r="AG332" s="3"/>
      <c r="AH332" s="3"/>
      <c r="AI332" s="3"/>
      <c r="AJ332" s="3"/>
    </row>
    <row r="333" ht="15.75" customHeight="1">
      <c r="C333" s="2"/>
      <c r="R333" s="3"/>
      <c r="S333" s="3"/>
      <c r="T333" s="3"/>
      <c r="U333" s="3"/>
      <c r="V333" s="3"/>
      <c r="W333" s="3"/>
      <c r="X333" s="3"/>
      <c r="Y333" s="3"/>
      <c r="Z333" s="3"/>
      <c r="AA333" s="3"/>
      <c r="AB333" s="3"/>
      <c r="AC333" s="3"/>
      <c r="AD333" s="3"/>
      <c r="AE333" s="3"/>
      <c r="AF333" s="3"/>
      <c r="AG333" s="3"/>
      <c r="AH333" s="3"/>
      <c r="AI333" s="3"/>
      <c r="AJ333" s="3"/>
    </row>
    <row r="334" ht="15.75" customHeight="1">
      <c r="C334" s="2"/>
      <c r="R334" s="3"/>
      <c r="S334" s="3"/>
      <c r="T334" s="3"/>
      <c r="U334" s="3"/>
      <c r="V334" s="3"/>
      <c r="W334" s="3"/>
      <c r="X334" s="3"/>
      <c r="Y334" s="3"/>
      <c r="Z334" s="3"/>
      <c r="AA334" s="3"/>
      <c r="AB334" s="3"/>
      <c r="AC334" s="3"/>
      <c r="AD334" s="3"/>
      <c r="AE334" s="3"/>
      <c r="AF334" s="3"/>
      <c r="AG334" s="3"/>
      <c r="AH334" s="3"/>
      <c r="AI334" s="3"/>
      <c r="AJ334" s="3"/>
    </row>
    <row r="335" ht="15.75" customHeight="1">
      <c r="C335" s="2"/>
      <c r="R335" s="3"/>
      <c r="S335" s="3"/>
      <c r="T335" s="3"/>
      <c r="U335" s="3"/>
      <c r="V335" s="3"/>
      <c r="W335" s="3"/>
      <c r="X335" s="3"/>
      <c r="Y335" s="3"/>
      <c r="Z335" s="3"/>
      <c r="AA335" s="3"/>
      <c r="AB335" s="3"/>
      <c r="AC335" s="3"/>
      <c r="AD335" s="3"/>
      <c r="AE335" s="3"/>
      <c r="AF335" s="3"/>
      <c r="AG335" s="3"/>
      <c r="AH335" s="3"/>
      <c r="AI335" s="3"/>
      <c r="AJ335" s="3"/>
    </row>
    <row r="336" ht="15.75" customHeight="1">
      <c r="C336" s="2"/>
      <c r="R336" s="3"/>
      <c r="S336" s="3"/>
      <c r="T336" s="3"/>
      <c r="U336" s="3"/>
      <c r="V336" s="3"/>
      <c r="W336" s="3"/>
      <c r="X336" s="3"/>
      <c r="Y336" s="3"/>
      <c r="Z336" s="3"/>
      <c r="AA336" s="3"/>
      <c r="AB336" s="3"/>
      <c r="AC336" s="3"/>
      <c r="AD336" s="3"/>
      <c r="AE336" s="3"/>
      <c r="AF336" s="3"/>
      <c r="AG336" s="3"/>
      <c r="AH336" s="3"/>
      <c r="AI336" s="3"/>
      <c r="AJ336" s="3"/>
    </row>
    <row r="337" ht="15.75" customHeight="1">
      <c r="C337" s="2"/>
      <c r="R337" s="3"/>
      <c r="S337" s="3"/>
      <c r="T337" s="3"/>
      <c r="U337" s="3"/>
      <c r="V337" s="3"/>
      <c r="W337" s="3"/>
      <c r="X337" s="3"/>
      <c r="Y337" s="3"/>
      <c r="Z337" s="3"/>
      <c r="AA337" s="3"/>
      <c r="AB337" s="3"/>
      <c r="AC337" s="3"/>
      <c r="AD337" s="3"/>
      <c r="AE337" s="3"/>
      <c r="AF337" s="3"/>
      <c r="AG337" s="3"/>
      <c r="AH337" s="3"/>
      <c r="AI337" s="3"/>
      <c r="AJ337" s="3"/>
    </row>
    <row r="338" ht="15.75" customHeight="1">
      <c r="C338" s="2"/>
      <c r="R338" s="3"/>
      <c r="S338" s="3"/>
      <c r="T338" s="3"/>
      <c r="U338" s="3"/>
      <c r="V338" s="3"/>
      <c r="W338" s="3"/>
      <c r="X338" s="3"/>
      <c r="Y338" s="3"/>
      <c r="Z338" s="3"/>
      <c r="AA338" s="3"/>
      <c r="AB338" s="3"/>
      <c r="AC338" s="3"/>
      <c r="AD338" s="3"/>
      <c r="AE338" s="3"/>
      <c r="AF338" s="3"/>
      <c r="AG338" s="3"/>
      <c r="AH338" s="3"/>
      <c r="AI338" s="3"/>
      <c r="AJ338" s="3"/>
    </row>
    <row r="339" ht="15.75" customHeight="1">
      <c r="C339" s="2"/>
      <c r="R339" s="3"/>
      <c r="S339" s="3"/>
      <c r="T339" s="3"/>
      <c r="U339" s="3"/>
      <c r="V339" s="3"/>
      <c r="W339" s="3"/>
      <c r="X339" s="3"/>
      <c r="Y339" s="3"/>
      <c r="Z339" s="3"/>
      <c r="AA339" s="3"/>
      <c r="AB339" s="3"/>
      <c r="AC339" s="3"/>
      <c r="AD339" s="3"/>
      <c r="AE339" s="3"/>
      <c r="AF339" s="3"/>
      <c r="AG339" s="3"/>
      <c r="AH339" s="3"/>
      <c r="AI339" s="3"/>
      <c r="AJ339" s="3"/>
    </row>
    <row r="340" ht="15.75" customHeight="1">
      <c r="C340" s="2"/>
      <c r="R340" s="3"/>
      <c r="S340" s="3"/>
      <c r="T340" s="3"/>
      <c r="U340" s="3"/>
      <c r="V340" s="3"/>
      <c r="W340" s="3"/>
      <c r="X340" s="3"/>
      <c r="Y340" s="3"/>
      <c r="Z340" s="3"/>
      <c r="AA340" s="3"/>
      <c r="AB340" s="3"/>
      <c r="AC340" s="3"/>
      <c r="AD340" s="3"/>
      <c r="AE340" s="3"/>
      <c r="AF340" s="3"/>
      <c r="AG340" s="3"/>
      <c r="AH340" s="3"/>
      <c r="AI340" s="3"/>
      <c r="AJ340" s="3"/>
    </row>
    <row r="341" ht="15.75" customHeight="1">
      <c r="C341" s="2"/>
      <c r="R341" s="3"/>
      <c r="S341" s="3"/>
      <c r="T341" s="3"/>
      <c r="U341" s="3"/>
      <c r="V341" s="3"/>
      <c r="W341" s="3"/>
      <c r="X341" s="3"/>
      <c r="Y341" s="3"/>
      <c r="Z341" s="3"/>
      <c r="AA341" s="3"/>
      <c r="AB341" s="3"/>
      <c r="AC341" s="3"/>
      <c r="AD341" s="3"/>
      <c r="AE341" s="3"/>
      <c r="AF341" s="3"/>
      <c r="AG341" s="3"/>
      <c r="AH341" s="3"/>
      <c r="AI341" s="3"/>
      <c r="AJ341" s="3"/>
    </row>
    <row r="342" ht="15.75" customHeight="1">
      <c r="C342" s="2"/>
      <c r="R342" s="3"/>
      <c r="S342" s="3"/>
      <c r="T342" s="3"/>
      <c r="U342" s="3"/>
      <c r="V342" s="3"/>
      <c r="W342" s="3"/>
      <c r="X342" s="3"/>
      <c r="Y342" s="3"/>
      <c r="Z342" s="3"/>
      <c r="AA342" s="3"/>
      <c r="AB342" s="3"/>
      <c r="AC342" s="3"/>
      <c r="AD342" s="3"/>
      <c r="AE342" s="3"/>
      <c r="AF342" s="3"/>
      <c r="AG342" s="3"/>
      <c r="AH342" s="3"/>
      <c r="AI342" s="3"/>
      <c r="AJ342" s="3"/>
    </row>
    <row r="343" ht="15.75" customHeight="1">
      <c r="C343" s="2"/>
      <c r="R343" s="3"/>
      <c r="S343" s="3"/>
      <c r="T343" s="3"/>
      <c r="U343" s="3"/>
      <c r="V343" s="3"/>
      <c r="W343" s="3"/>
      <c r="X343" s="3"/>
      <c r="Y343" s="3"/>
      <c r="Z343" s="3"/>
      <c r="AA343" s="3"/>
      <c r="AB343" s="3"/>
      <c r="AC343" s="3"/>
      <c r="AD343" s="3"/>
      <c r="AE343" s="3"/>
      <c r="AF343" s="3"/>
      <c r="AG343" s="3"/>
      <c r="AH343" s="3"/>
      <c r="AI343" s="3"/>
      <c r="AJ343" s="3"/>
    </row>
    <row r="344" ht="15.75" customHeight="1">
      <c r="C344" s="2"/>
      <c r="R344" s="3"/>
      <c r="S344" s="3"/>
      <c r="T344" s="3"/>
      <c r="U344" s="3"/>
      <c r="V344" s="3"/>
      <c r="W344" s="3"/>
      <c r="X344" s="3"/>
      <c r="Y344" s="3"/>
      <c r="Z344" s="3"/>
      <c r="AA344" s="3"/>
      <c r="AB344" s="3"/>
      <c r="AC344" s="3"/>
      <c r="AD344" s="3"/>
      <c r="AE344" s="3"/>
      <c r="AF344" s="3"/>
      <c r="AG344" s="3"/>
      <c r="AH344" s="3"/>
      <c r="AI344" s="3"/>
      <c r="AJ344" s="3"/>
    </row>
    <row r="345" ht="15.75" customHeight="1">
      <c r="C345" s="2"/>
      <c r="R345" s="3"/>
      <c r="S345" s="3"/>
      <c r="T345" s="3"/>
      <c r="U345" s="3"/>
      <c r="V345" s="3"/>
      <c r="W345" s="3"/>
      <c r="X345" s="3"/>
      <c r="Y345" s="3"/>
      <c r="Z345" s="3"/>
      <c r="AA345" s="3"/>
      <c r="AB345" s="3"/>
      <c r="AC345" s="3"/>
      <c r="AD345" s="3"/>
      <c r="AE345" s="3"/>
      <c r="AF345" s="3"/>
      <c r="AG345" s="3"/>
      <c r="AH345" s="3"/>
      <c r="AI345" s="3"/>
      <c r="AJ345" s="3"/>
    </row>
    <row r="346" ht="15.75" customHeight="1">
      <c r="C346" s="2"/>
      <c r="R346" s="3"/>
      <c r="S346" s="3"/>
      <c r="T346" s="3"/>
      <c r="U346" s="3"/>
      <c r="V346" s="3"/>
      <c r="W346" s="3"/>
      <c r="X346" s="3"/>
      <c r="Y346" s="3"/>
      <c r="Z346" s="3"/>
      <c r="AA346" s="3"/>
      <c r="AB346" s="3"/>
      <c r="AC346" s="3"/>
      <c r="AD346" s="3"/>
      <c r="AE346" s="3"/>
      <c r="AF346" s="3"/>
      <c r="AG346" s="3"/>
      <c r="AH346" s="3"/>
      <c r="AI346" s="3"/>
      <c r="AJ346" s="3"/>
    </row>
    <row r="347" ht="15.75" customHeight="1">
      <c r="C347" s="2"/>
      <c r="R347" s="3"/>
      <c r="S347" s="3"/>
      <c r="T347" s="3"/>
      <c r="U347" s="3"/>
      <c r="V347" s="3"/>
      <c r="W347" s="3"/>
      <c r="X347" s="3"/>
      <c r="Y347" s="3"/>
      <c r="Z347" s="3"/>
      <c r="AA347" s="3"/>
      <c r="AB347" s="3"/>
      <c r="AC347" s="3"/>
      <c r="AD347" s="3"/>
      <c r="AE347" s="3"/>
      <c r="AF347" s="3"/>
      <c r="AG347" s="3"/>
      <c r="AH347" s="3"/>
      <c r="AI347" s="3"/>
      <c r="AJ347" s="3"/>
    </row>
    <row r="348" ht="15.75" customHeight="1">
      <c r="C348" s="2"/>
      <c r="R348" s="3"/>
      <c r="S348" s="3"/>
      <c r="T348" s="3"/>
      <c r="U348" s="3"/>
      <c r="V348" s="3"/>
      <c r="W348" s="3"/>
      <c r="X348" s="3"/>
      <c r="Y348" s="3"/>
      <c r="Z348" s="3"/>
      <c r="AA348" s="3"/>
      <c r="AB348" s="3"/>
      <c r="AC348" s="3"/>
      <c r="AD348" s="3"/>
      <c r="AE348" s="3"/>
      <c r="AF348" s="3"/>
      <c r="AG348" s="3"/>
      <c r="AH348" s="3"/>
      <c r="AI348" s="3"/>
      <c r="AJ348" s="3"/>
    </row>
    <row r="349" ht="15.75" customHeight="1">
      <c r="C349" s="2"/>
      <c r="R349" s="3"/>
      <c r="S349" s="3"/>
      <c r="T349" s="3"/>
      <c r="U349" s="3"/>
      <c r="V349" s="3"/>
      <c r="W349" s="3"/>
      <c r="X349" s="3"/>
      <c r="Y349" s="3"/>
      <c r="Z349" s="3"/>
      <c r="AA349" s="3"/>
      <c r="AB349" s="3"/>
      <c r="AC349" s="3"/>
      <c r="AD349" s="3"/>
      <c r="AE349" s="3"/>
      <c r="AF349" s="3"/>
      <c r="AG349" s="3"/>
      <c r="AH349" s="3"/>
      <c r="AI349" s="3"/>
      <c r="AJ349" s="3"/>
    </row>
    <row r="350" ht="15.75" customHeight="1">
      <c r="C350" s="2"/>
      <c r="R350" s="3"/>
      <c r="S350" s="3"/>
      <c r="T350" s="3"/>
      <c r="U350" s="3"/>
      <c r="V350" s="3"/>
      <c r="W350" s="3"/>
      <c r="X350" s="3"/>
      <c r="Y350" s="3"/>
      <c r="Z350" s="3"/>
      <c r="AA350" s="3"/>
      <c r="AB350" s="3"/>
      <c r="AC350" s="3"/>
      <c r="AD350" s="3"/>
      <c r="AE350" s="3"/>
      <c r="AF350" s="3"/>
      <c r="AG350" s="3"/>
      <c r="AH350" s="3"/>
      <c r="AI350" s="3"/>
      <c r="AJ350" s="3"/>
    </row>
    <row r="351" ht="15.75" customHeight="1">
      <c r="C351" s="2"/>
      <c r="R351" s="3"/>
      <c r="S351" s="3"/>
      <c r="T351" s="3"/>
      <c r="U351" s="3"/>
      <c r="V351" s="3"/>
      <c r="W351" s="3"/>
      <c r="X351" s="3"/>
      <c r="Y351" s="3"/>
      <c r="Z351" s="3"/>
      <c r="AA351" s="3"/>
      <c r="AB351" s="3"/>
      <c r="AC351" s="3"/>
      <c r="AD351" s="3"/>
      <c r="AE351" s="3"/>
      <c r="AF351" s="3"/>
      <c r="AG351" s="3"/>
      <c r="AH351" s="3"/>
      <c r="AI351" s="3"/>
      <c r="AJ351" s="3"/>
    </row>
    <row r="352" ht="15.75" customHeight="1">
      <c r="C352" s="2"/>
      <c r="R352" s="3"/>
      <c r="S352" s="3"/>
      <c r="T352" s="3"/>
      <c r="U352" s="3"/>
      <c r="V352" s="3"/>
      <c r="W352" s="3"/>
      <c r="X352" s="3"/>
      <c r="Y352" s="3"/>
      <c r="Z352" s="3"/>
      <c r="AA352" s="3"/>
      <c r="AB352" s="3"/>
      <c r="AC352" s="3"/>
      <c r="AD352" s="3"/>
      <c r="AE352" s="3"/>
      <c r="AF352" s="3"/>
      <c r="AG352" s="3"/>
      <c r="AH352" s="3"/>
      <c r="AI352" s="3"/>
      <c r="AJ352" s="3"/>
    </row>
    <row r="353" ht="15.75" customHeight="1">
      <c r="C353" s="2"/>
      <c r="R353" s="3"/>
      <c r="S353" s="3"/>
      <c r="T353" s="3"/>
      <c r="U353" s="3"/>
      <c r="V353" s="3"/>
      <c r="W353" s="3"/>
      <c r="X353" s="3"/>
      <c r="Y353" s="3"/>
      <c r="Z353" s="3"/>
      <c r="AA353" s="3"/>
      <c r="AB353" s="3"/>
      <c r="AC353" s="3"/>
      <c r="AD353" s="3"/>
      <c r="AE353" s="3"/>
      <c r="AF353" s="3"/>
      <c r="AG353" s="3"/>
      <c r="AH353" s="3"/>
      <c r="AI353" s="3"/>
      <c r="AJ353" s="3"/>
    </row>
    <row r="354" ht="15.75" customHeight="1">
      <c r="C354" s="2"/>
      <c r="R354" s="3"/>
      <c r="S354" s="3"/>
      <c r="T354" s="3"/>
      <c r="U354" s="3"/>
      <c r="V354" s="3"/>
      <c r="W354" s="3"/>
      <c r="X354" s="3"/>
      <c r="Y354" s="3"/>
      <c r="Z354" s="3"/>
      <c r="AA354" s="3"/>
      <c r="AB354" s="3"/>
      <c r="AC354" s="3"/>
      <c r="AD354" s="3"/>
      <c r="AE354" s="3"/>
      <c r="AF354" s="3"/>
      <c r="AG354" s="3"/>
      <c r="AH354" s="3"/>
      <c r="AI354" s="3"/>
      <c r="AJ354" s="3"/>
    </row>
    <row r="355" ht="15.75" customHeight="1">
      <c r="C355" s="2"/>
      <c r="R355" s="3"/>
      <c r="S355" s="3"/>
      <c r="T355" s="3"/>
      <c r="U355" s="3"/>
      <c r="V355" s="3"/>
      <c r="W355" s="3"/>
      <c r="X355" s="3"/>
      <c r="Y355" s="3"/>
      <c r="Z355" s="3"/>
      <c r="AA355" s="3"/>
      <c r="AB355" s="3"/>
      <c r="AC355" s="3"/>
      <c r="AD355" s="3"/>
      <c r="AE355" s="3"/>
      <c r="AF355" s="3"/>
      <c r="AG355" s="3"/>
      <c r="AH355" s="3"/>
      <c r="AI355" s="3"/>
      <c r="AJ355" s="3"/>
    </row>
    <row r="356" ht="15.75" customHeight="1">
      <c r="C356" s="2"/>
      <c r="R356" s="3"/>
      <c r="S356" s="3"/>
      <c r="T356" s="3"/>
      <c r="U356" s="3"/>
      <c r="V356" s="3"/>
      <c r="W356" s="3"/>
      <c r="X356" s="3"/>
      <c r="Y356" s="3"/>
      <c r="Z356" s="3"/>
      <c r="AA356" s="3"/>
      <c r="AB356" s="3"/>
      <c r="AC356" s="3"/>
      <c r="AD356" s="3"/>
      <c r="AE356" s="3"/>
      <c r="AF356" s="3"/>
      <c r="AG356" s="3"/>
      <c r="AH356" s="3"/>
      <c r="AI356" s="3"/>
      <c r="AJ356" s="3"/>
    </row>
    <row r="357" ht="15.75" customHeight="1">
      <c r="C357" s="2"/>
      <c r="R357" s="3"/>
      <c r="S357" s="3"/>
      <c r="T357" s="3"/>
      <c r="U357" s="3"/>
      <c r="V357" s="3"/>
      <c r="W357" s="3"/>
      <c r="X357" s="3"/>
      <c r="Y357" s="3"/>
      <c r="Z357" s="3"/>
      <c r="AA357" s="3"/>
      <c r="AB357" s="3"/>
      <c r="AC357" s="3"/>
      <c r="AD357" s="3"/>
      <c r="AE357" s="3"/>
      <c r="AF357" s="3"/>
      <c r="AG357" s="3"/>
      <c r="AH357" s="3"/>
      <c r="AI357" s="3"/>
      <c r="AJ357" s="3"/>
    </row>
    <row r="358" ht="15.75" customHeight="1">
      <c r="C358" s="2"/>
      <c r="R358" s="3"/>
      <c r="S358" s="3"/>
      <c r="T358" s="3"/>
      <c r="U358" s="3"/>
      <c r="V358" s="3"/>
      <c r="W358" s="3"/>
      <c r="X358" s="3"/>
      <c r="Y358" s="3"/>
      <c r="Z358" s="3"/>
      <c r="AA358" s="3"/>
      <c r="AB358" s="3"/>
      <c r="AC358" s="3"/>
      <c r="AD358" s="3"/>
      <c r="AE358" s="3"/>
      <c r="AF358" s="3"/>
      <c r="AG358" s="3"/>
      <c r="AH358" s="3"/>
      <c r="AI358" s="3"/>
      <c r="AJ358" s="3"/>
    </row>
    <row r="359" ht="15.75" customHeight="1">
      <c r="C359" s="2"/>
      <c r="R359" s="3"/>
      <c r="S359" s="3"/>
      <c r="T359" s="3"/>
      <c r="U359" s="3"/>
      <c r="V359" s="3"/>
      <c r="W359" s="3"/>
      <c r="X359" s="3"/>
      <c r="Y359" s="3"/>
      <c r="Z359" s="3"/>
      <c r="AA359" s="3"/>
      <c r="AB359" s="3"/>
      <c r="AC359" s="3"/>
      <c r="AD359" s="3"/>
      <c r="AE359" s="3"/>
      <c r="AF359" s="3"/>
      <c r="AG359" s="3"/>
      <c r="AH359" s="3"/>
      <c r="AI359" s="3"/>
      <c r="AJ359" s="3"/>
    </row>
    <row r="360" ht="15.75" customHeight="1">
      <c r="C360" s="2"/>
      <c r="R360" s="3"/>
      <c r="S360" s="3"/>
      <c r="T360" s="3"/>
      <c r="U360" s="3"/>
      <c r="V360" s="3"/>
      <c r="W360" s="3"/>
      <c r="X360" s="3"/>
      <c r="Y360" s="3"/>
      <c r="Z360" s="3"/>
      <c r="AA360" s="3"/>
      <c r="AB360" s="3"/>
      <c r="AC360" s="3"/>
      <c r="AD360" s="3"/>
      <c r="AE360" s="3"/>
      <c r="AF360" s="3"/>
      <c r="AG360" s="3"/>
      <c r="AH360" s="3"/>
      <c r="AI360" s="3"/>
      <c r="AJ360" s="3"/>
    </row>
    <row r="361" ht="15.75" customHeight="1">
      <c r="C361" s="2"/>
      <c r="R361" s="3"/>
      <c r="S361" s="3"/>
      <c r="T361" s="3"/>
      <c r="U361" s="3"/>
      <c r="V361" s="3"/>
      <c r="W361" s="3"/>
      <c r="X361" s="3"/>
      <c r="Y361" s="3"/>
      <c r="Z361" s="3"/>
      <c r="AA361" s="3"/>
      <c r="AB361" s="3"/>
      <c r="AC361" s="3"/>
      <c r="AD361" s="3"/>
      <c r="AE361" s="3"/>
      <c r="AF361" s="3"/>
      <c r="AG361" s="3"/>
      <c r="AH361" s="3"/>
      <c r="AI361" s="3"/>
      <c r="AJ361" s="3"/>
    </row>
    <row r="362" ht="15.75" customHeight="1">
      <c r="C362" s="2"/>
      <c r="R362" s="3"/>
      <c r="S362" s="3"/>
      <c r="T362" s="3"/>
      <c r="U362" s="3"/>
      <c r="V362" s="3"/>
      <c r="W362" s="3"/>
      <c r="X362" s="3"/>
      <c r="Y362" s="3"/>
      <c r="Z362" s="3"/>
      <c r="AA362" s="3"/>
      <c r="AB362" s="3"/>
      <c r="AC362" s="3"/>
      <c r="AD362" s="3"/>
      <c r="AE362" s="3"/>
      <c r="AF362" s="3"/>
      <c r="AG362" s="3"/>
      <c r="AH362" s="3"/>
      <c r="AI362" s="3"/>
      <c r="AJ362" s="3"/>
    </row>
    <row r="363" ht="15.75" customHeight="1">
      <c r="C363" s="2"/>
      <c r="R363" s="3"/>
      <c r="S363" s="3"/>
      <c r="T363" s="3"/>
      <c r="U363" s="3"/>
      <c r="V363" s="3"/>
      <c r="W363" s="3"/>
      <c r="X363" s="3"/>
      <c r="Y363" s="3"/>
      <c r="Z363" s="3"/>
      <c r="AA363" s="3"/>
      <c r="AB363" s="3"/>
      <c r="AC363" s="3"/>
      <c r="AD363" s="3"/>
      <c r="AE363" s="3"/>
      <c r="AF363" s="3"/>
      <c r="AG363" s="3"/>
      <c r="AH363" s="3"/>
      <c r="AI363" s="3"/>
      <c r="AJ363" s="3"/>
    </row>
    <row r="364" ht="15.75" customHeight="1">
      <c r="C364" s="2"/>
      <c r="R364" s="3"/>
      <c r="S364" s="3"/>
      <c r="T364" s="3"/>
      <c r="U364" s="3"/>
      <c r="V364" s="3"/>
      <c r="W364" s="3"/>
      <c r="X364" s="3"/>
      <c r="Y364" s="3"/>
      <c r="Z364" s="3"/>
      <c r="AA364" s="3"/>
      <c r="AB364" s="3"/>
      <c r="AC364" s="3"/>
      <c r="AD364" s="3"/>
      <c r="AE364" s="3"/>
      <c r="AF364" s="3"/>
      <c r="AG364" s="3"/>
      <c r="AH364" s="3"/>
      <c r="AI364" s="3"/>
      <c r="AJ364" s="3"/>
    </row>
    <row r="365" ht="15.75" customHeight="1">
      <c r="C365" s="2"/>
      <c r="R365" s="3"/>
      <c r="S365" s="3"/>
      <c r="T365" s="3"/>
      <c r="U365" s="3"/>
      <c r="V365" s="3"/>
      <c r="W365" s="3"/>
      <c r="X365" s="3"/>
      <c r="Y365" s="3"/>
      <c r="Z365" s="3"/>
      <c r="AA365" s="3"/>
      <c r="AB365" s="3"/>
      <c r="AC365" s="3"/>
      <c r="AD365" s="3"/>
      <c r="AE365" s="3"/>
      <c r="AF365" s="3"/>
      <c r="AG365" s="3"/>
      <c r="AH365" s="3"/>
      <c r="AI365" s="3"/>
      <c r="AJ365" s="3"/>
    </row>
    <row r="366" ht="15.75" customHeight="1">
      <c r="C366" s="2"/>
      <c r="R366" s="3"/>
      <c r="S366" s="3"/>
      <c r="T366" s="3"/>
      <c r="U366" s="3"/>
      <c r="V366" s="3"/>
      <c r="W366" s="3"/>
      <c r="X366" s="3"/>
      <c r="Y366" s="3"/>
      <c r="Z366" s="3"/>
      <c r="AA366" s="3"/>
      <c r="AB366" s="3"/>
      <c r="AC366" s="3"/>
      <c r="AD366" s="3"/>
      <c r="AE366" s="3"/>
      <c r="AF366" s="3"/>
      <c r="AG366" s="3"/>
      <c r="AH366" s="3"/>
      <c r="AI366" s="3"/>
      <c r="AJ366" s="3"/>
    </row>
    <row r="367" ht="15.75" customHeight="1">
      <c r="C367" s="2"/>
      <c r="R367" s="3"/>
      <c r="S367" s="3"/>
      <c r="T367" s="3"/>
      <c r="U367" s="3"/>
      <c r="V367" s="3"/>
      <c r="W367" s="3"/>
      <c r="X367" s="3"/>
      <c r="Y367" s="3"/>
      <c r="Z367" s="3"/>
      <c r="AA367" s="3"/>
      <c r="AB367" s="3"/>
      <c r="AC367" s="3"/>
      <c r="AD367" s="3"/>
      <c r="AE367" s="3"/>
      <c r="AF367" s="3"/>
      <c r="AG367" s="3"/>
      <c r="AH367" s="3"/>
      <c r="AI367" s="3"/>
      <c r="AJ367" s="3"/>
    </row>
    <row r="368" ht="15.75" customHeight="1">
      <c r="C368" s="2"/>
      <c r="R368" s="3"/>
      <c r="S368" s="3"/>
      <c r="T368" s="3"/>
      <c r="U368" s="3"/>
      <c r="V368" s="3"/>
      <c r="W368" s="3"/>
      <c r="X368" s="3"/>
      <c r="Y368" s="3"/>
      <c r="Z368" s="3"/>
      <c r="AA368" s="3"/>
      <c r="AB368" s="3"/>
      <c r="AC368" s="3"/>
      <c r="AD368" s="3"/>
      <c r="AE368" s="3"/>
      <c r="AF368" s="3"/>
      <c r="AG368" s="3"/>
      <c r="AH368" s="3"/>
      <c r="AI368" s="3"/>
      <c r="AJ368" s="3"/>
    </row>
    <row r="369" ht="15.75" customHeight="1">
      <c r="C369" s="2"/>
      <c r="R369" s="3"/>
      <c r="S369" s="3"/>
      <c r="T369" s="3"/>
      <c r="U369" s="3"/>
      <c r="V369" s="3"/>
      <c r="W369" s="3"/>
      <c r="X369" s="3"/>
      <c r="Y369" s="3"/>
      <c r="Z369" s="3"/>
      <c r="AA369" s="3"/>
      <c r="AB369" s="3"/>
      <c r="AC369" s="3"/>
      <c r="AD369" s="3"/>
      <c r="AE369" s="3"/>
      <c r="AF369" s="3"/>
      <c r="AG369" s="3"/>
      <c r="AH369" s="3"/>
      <c r="AI369" s="3"/>
      <c r="AJ369" s="3"/>
    </row>
    <row r="370" ht="15.75" customHeight="1">
      <c r="C370" s="2"/>
      <c r="R370" s="3"/>
      <c r="S370" s="3"/>
      <c r="T370" s="3"/>
      <c r="U370" s="3"/>
      <c r="V370" s="3"/>
      <c r="W370" s="3"/>
      <c r="X370" s="3"/>
      <c r="Y370" s="3"/>
      <c r="Z370" s="3"/>
      <c r="AA370" s="3"/>
      <c r="AB370" s="3"/>
      <c r="AC370" s="3"/>
      <c r="AD370" s="3"/>
      <c r="AE370" s="3"/>
      <c r="AF370" s="3"/>
      <c r="AG370" s="3"/>
      <c r="AH370" s="3"/>
      <c r="AI370" s="3"/>
      <c r="AJ370" s="3"/>
    </row>
    <row r="371" ht="15.75" customHeight="1">
      <c r="C371" s="2"/>
      <c r="R371" s="3"/>
      <c r="S371" s="3"/>
      <c r="T371" s="3"/>
      <c r="U371" s="3"/>
      <c r="V371" s="3"/>
      <c r="W371" s="3"/>
      <c r="X371" s="3"/>
      <c r="Y371" s="3"/>
      <c r="Z371" s="3"/>
      <c r="AA371" s="3"/>
      <c r="AB371" s="3"/>
      <c r="AC371" s="3"/>
      <c r="AD371" s="3"/>
      <c r="AE371" s="3"/>
      <c r="AF371" s="3"/>
      <c r="AG371" s="3"/>
      <c r="AH371" s="3"/>
      <c r="AI371" s="3"/>
      <c r="AJ371" s="3"/>
    </row>
    <row r="372" ht="15.75" customHeight="1">
      <c r="C372" s="2"/>
      <c r="R372" s="3"/>
      <c r="S372" s="3"/>
      <c r="T372" s="3"/>
      <c r="U372" s="3"/>
      <c r="V372" s="3"/>
      <c r="W372" s="3"/>
      <c r="X372" s="3"/>
      <c r="Y372" s="3"/>
      <c r="Z372" s="3"/>
      <c r="AA372" s="3"/>
      <c r="AB372" s="3"/>
      <c r="AC372" s="3"/>
      <c r="AD372" s="3"/>
      <c r="AE372" s="3"/>
      <c r="AF372" s="3"/>
      <c r="AG372" s="3"/>
      <c r="AH372" s="3"/>
      <c r="AI372" s="3"/>
      <c r="AJ372" s="3"/>
    </row>
    <row r="373" ht="15.75" customHeight="1">
      <c r="C373" s="2"/>
      <c r="R373" s="3"/>
      <c r="S373" s="3"/>
      <c r="T373" s="3"/>
      <c r="U373" s="3"/>
      <c r="V373" s="3"/>
      <c r="W373" s="3"/>
      <c r="X373" s="3"/>
      <c r="Y373" s="3"/>
      <c r="Z373" s="3"/>
      <c r="AA373" s="3"/>
      <c r="AB373" s="3"/>
      <c r="AC373" s="3"/>
      <c r="AD373" s="3"/>
      <c r="AE373" s="3"/>
      <c r="AF373" s="3"/>
      <c r="AG373" s="3"/>
      <c r="AH373" s="3"/>
      <c r="AI373" s="3"/>
      <c r="AJ373" s="3"/>
    </row>
    <row r="374" ht="15.75" customHeight="1">
      <c r="C374" s="2"/>
      <c r="R374" s="3"/>
      <c r="S374" s="3"/>
      <c r="T374" s="3"/>
      <c r="U374" s="3"/>
      <c r="V374" s="3"/>
      <c r="W374" s="3"/>
      <c r="X374" s="3"/>
      <c r="Y374" s="3"/>
      <c r="Z374" s="3"/>
      <c r="AA374" s="3"/>
      <c r="AB374" s="3"/>
      <c r="AC374" s="3"/>
      <c r="AD374" s="3"/>
      <c r="AE374" s="3"/>
      <c r="AF374" s="3"/>
      <c r="AG374" s="3"/>
      <c r="AH374" s="3"/>
      <c r="AI374" s="3"/>
      <c r="AJ374" s="3"/>
    </row>
    <row r="375" ht="15.75" customHeight="1">
      <c r="C375" s="2"/>
      <c r="R375" s="3"/>
      <c r="S375" s="3"/>
      <c r="T375" s="3"/>
      <c r="U375" s="3"/>
      <c r="V375" s="3"/>
      <c r="W375" s="3"/>
      <c r="X375" s="3"/>
      <c r="Y375" s="3"/>
      <c r="Z375" s="3"/>
      <c r="AA375" s="3"/>
      <c r="AB375" s="3"/>
      <c r="AC375" s="3"/>
      <c r="AD375" s="3"/>
      <c r="AE375" s="3"/>
      <c r="AF375" s="3"/>
      <c r="AG375" s="3"/>
      <c r="AH375" s="3"/>
      <c r="AI375" s="3"/>
      <c r="AJ375" s="3"/>
    </row>
    <row r="376" ht="15.75" customHeight="1">
      <c r="C376" s="2"/>
      <c r="R376" s="3"/>
      <c r="S376" s="3"/>
      <c r="T376" s="3"/>
      <c r="U376" s="3"/>
      <c r="V376" s="3"/>
      <c r="W376" s="3"/>
      <c r="X376" s="3"/>
      <c r="Y376" s="3"/>
      <c r="Z376" s="3"/>
      <c r="AA376" s="3"/>
      <c r="AB376" s="3"/>
      <c r="AC376" s="3"/>
      <c r="AD376" s="3"/>
      <c r="AE376" s="3"/>
      <c r="AF376" s="3"/>
      <c r="AG376" s="3"/>
      <c r="AH376" s="3"/>
      <c r="AI376" s="3"/>
      <c r="AJ376" s="3"/>
    </row>
    <row r="377" ht="15.75" customHeight="1">
      <c r="C377" s="2"/>
      <c r="R377" s="3"/>
      <c r="S377" s="3"/>
      <c r="T377" s="3"/>
      <c r="U377" s="3"/>
      <c r="V377" s="3"/>
      <c r="W377" s="3"/>
      <c r="X377" s="3"/>
      <c r="Y377" s="3"/>
      <c r="Z377" s="3"/>
      <c r="AA377" s="3"/>
      <c r="AB377" s="3"/>
      <c r="AC377" s="3"/>
      <c r="AD377" s="3"/>
      <c r="AE377" s="3"/>
      <c r="AF377" s="3"/>
      <c r="AG377" s="3"/>
      <c r="AH377" s="3"/>
      <c r="AI377" s="3"/>
      <c r="AJ377" s="3"/>
    </row>
    <row r="378" ht="15.75" customHeight="1">
      <c r="C378" s="2"/>
      <c r="R378" s="3"/>
      <c r="S378" s="3"/>
      <c r="T378" s="3"/>
      <c r="U378" s="3"/>
      <c r="V378" s="3"/>
      <c r="W378" s="3"/>
      <c r="X378" s="3"/>
      <c r="Y378" s="3"/>
      <c r="Z378" s="3"/>
      <c r="AA378" s="3"/>
      <c r="AB378" s="3"/>
      <c r="AC378" s="3"/>
      <c r="AD378" s="3"/>
      <c r="AE378" s="3"/>
      <c r="AF378" s="3"/>
      <c r="AG378" s="3"/>
      <c r="AH378" s="3"/>
      <c r="AI378" s="3"/>
      <c r="AJ378" s="3"/>
    </row>
    <row r="379" ht="15.75" customHeight="1">
      <c r="C379" s="2"/>
      <c r="R379" s="3"/>
      <c r="S379" s="3"/>
      <c r="T379" s="3"/>
      <c r="U379" s="3"/>
      <c r="V379" s="3"/>
      <c r="W379" s="3"/>
      <c r="X379" s="3"/>
      <c r="Y379" s="3"/>
      <c r="Z379" s="3"/>
      <c r="AA379" s="3"/>
      <c r="AB379" s="3"/>
      <c r="AC379" s="3"/>
      <c r="AD379" s="3"/>
      <c r="AE379" s="3"/>
      <c r="AF379" s="3"/>
      <c r="AG379" s="3"/>
      <c r="AH379" s="3"/>
      <c r="AI379" s="3"/>
      <c r="AJ379" s="3"/>
    </row>
    <row r="380" ht="15.75" customHeight="1">
      <c r="C380" s="2"/>
      <c r="R380" s="3"/>
      <c r="S380" s="3"/>
      <c r="T380" s="3"/>
      <c r="U380" s="3"/>
      <c r="V380" s="3"/>
      <c r="W380" s="3"/>
      <c r="X380" s="3"/>
      <c r="Y380" s="3"/>
      <c r="Z380" s="3"/>
      <c r="AA380" s="3"/>
      <c r="AB380" s="3"/>
      <c r="AC380" s="3"/>
      <c r="AD380" s="3"/>
      <c r="AE380" s="3"/>
      <c r="AF380" s="3"/>
      <c r="AG380" s="3"/>
      <c r="AH380" s="3"/>
      <c r="AI380" s="3"/>
      <c r="AJ380" s="3"/>
    </row>
    <row r="381" ht="15.75" customHeight="1">
      <c r="C381" s="2"/>
      <c r="R381" s="3"/>
      <c r="S381" s="3"/>
      <c r="T381" s="3"/>
      <c r="U381" s="3"/>
      <c r="V381" s="3"/>
      <c r="W381" s="3"/>
      <c r="X381" s="3"/>
      <c r="Y381" s="3"/>
      <c r="Z381" s="3"/>
      <c r="AA381" s="3"/>
      <c r="AB381" s="3"/>
      <c r="AC381" s="3"/>
      <c r="AD381" s="3"/>
      <c r="AE381" s="3"/>
      <c r="AF381" s="3"/>
      <c r="AG381" s="3"/>
      <c r="AH381" s="3"/>
      <c r="AI381" s="3"/>
      <c r="AJ381" s="3"/>
    </row>
    <row r="382" ht="15.75" customHeight="1">
      <c r="C382" s="2"/>
      <c r="R382" s="3"/>
      <c r="S382" s="3"/>
      <c r="T382" s="3"/>
      <c r="U382" s="3"/>
      <c r="V382" s="3"/>
      <c r="W382" s="3"/>
      <c r="X382" s="3"/>
      <c r="Y382" s="3"/>
      <c r="Z382" s="3"/>
      <c r="AA382" s="3"/>
      <c r="AB382" s="3"/>
      <c r="AC382" s="3"/>
      <c r="AD382" s="3"/>
      <c r="AE382" s="3"/>
      <c r="AF382" s="3"/>
      <c r="AG382" s="3"/>
      <c r="AH382" s="3"/>
      <c r="AI382" s="3"/>
      <c r="AJ382" s="3"/>
    </row>
    <row r="383" ht="15.75" customHeight="1">
      <c r="C383" s="2"/>
      <c r="R383" s="3"/>
      <c r="S383" s="3"/>
      <c r="T383" s="3"/>
      <c r="U383" s="3"/>
      <c r="V383" s="3"/>
      <c r="W383" s="3"/>
      <c r="X383" s="3"/>
      <c r="Y383" s="3"/>
      <c r="Z383" s="3"/>
      <c r="AA383" s="3"/>
      <c r="AB383" s="3"/>
      <c r="AC383" s="3"/>
      <c r="AD383" s="3"/>
      <c r="AE383" s="3"/>
      <c r="AF383" s="3"/>
      <c r="AG383" s="3"/>
      <c r="AH383" s="3"/>
      <c r="AI383" s="3"/>
      <c r="AJ383" s="3"/>
    </row>
    <row r="384" ht="15.75" customHeight="1">
      <c r="C384" s="2"/>
      <c r="R384" s="3"/>
      <c r="S384" s="3"/>
      <c r="T384" s="3"/>
      <c r="U384" s="3"/>
      <c r="V384" s="3"/>
      <c r="W384" s="3"/>
      <c r="X384" s="3"/>
      <c r="Y384" s="3"/>
      <c r="Z384" s="3"/>
      <c r="AA384" s="3"/>
      <c r="AB384" s="3"/>
      <c r="AC384" s="3"/>
      <c r="AD384" s="3"/>
      <c r="AE384" s="3"/>
      <c r="AF384" s="3"/>
      <c r="AG384" s="3"/>
      <c r="AH384" s="3"/>
      <c r="AI384" s="3"/>
      <c r="AJ384" s="3"/>
    </row>
    <row r="385" ht="15.75" customHeight="1">
      <c r="C385" s="2"/>
      <c r="R385" s="3"/>
      <c r="S385" s="3"/>
      <c r="T385" s="3"/>
      <c r="U385" s="3"/>
      <c r="V385" s="3"/>
      <c r="W385" s="3"/>
      <c r="X385" s="3"/>
      <c r="Y385" s="3"/>
      <c r="Z385" s="3"/>
      <c r="AA385" s="3"/>
      <c r="AB385" s="3"/>
      <c r="AC385" s="3"/>
      <c r="AD385" s="3"/>
      <c r="AE385" s="3"/>
      <c r="AF385" s="3"/>
      <c r="AG385" s="3"/>
      <c r="AH385" s="3"/>
      <c r="AI385" s="3"/>
      <c r="AJ385" s="3"/>
    </row>
    <row r="386" ht="15.75" customHeight="1">
      <c r="C386" s="2"/>
      <c r="R386" s="3"/>
      <c r="S386" s="3"/>
      <c r="T386" s="3"/>
      <c r="U386" s="3"/>
      <c r="V386" s="3"/>
      <c r="W386" s="3"/>
      <c r="X386" s="3"/>
      <c r="Y386" s="3"/>
      <c r="Z386" s="3"/>
      <c r="AA386" s="3"/>
      <c r="AB386" s="3"/>
      <c r="AC386" s="3"/>
      <c r="AD386" s="3"/>
      <c r="AE386" s="3"/>
      <c r="AF386" s="3"/>
      <c r="AG386" s="3"/>
      <c r="AH386" s="3"/>
      <c r="AI386" s="3"/>
      <c r="AJ386" s="3"/>
    </row>
    <row r="387" ht="15.75" customHeight="1">
      <c r="C387" s="2"/>
      <c r="R387" s="3"/>
      <c r="S387" s="3"/>
      <c r="T387" s="3"/>
      <c r="U387" s="3"/>
      <c r="V387" s="3"/>
      <c r="W387" s="3"/>
      <c r="X387" s="3"/>
      <c r="Y387" s="3"/>
      <c r="Z387" s="3"/>
      <c r="AA387" s="3"/>
      <c r="AB387" s="3"/>
      <c r="AC387" s="3"/>
      <c r="AD387" s="3"/>
      <c r="AE387" s="3"/>
      <c r="AF387" s="3"/>
      <c r="AG387" s="3"/>
      <c r="AH387" s="3"/>
      <c r="AI387" s="3"/>
      <c r="AJ387" s="3"/>
    </row>
    <row r="388" ht="15.75" customHeight="1">
      <c r="C388" s="2"/>
      <c r="R388" s="3"/>
      <c r="S388" s="3"/>
      <c r="T388" s="3"/>
      <c r="U388" s="3"/>
      <c r="V388" s="3"/>
      <c r="W388" s="3"/>
      <c r="X388" s="3"/>
      <c r="Y388" s="3"/>
      <c r="Z388" s="3"/>
      <c r="AA388" s="3"/>
      <c r="AB388" s="3"/>
      <c r="AC388" s="3"/>
      <c r="AD388" s="3"/>
      <c r="AE388" s="3"/>
      <c r="AF388" s="3"/>
      <c r="AG388" s="3"/>
      <c r="AH388" s="3"/>
      <c r="AI388" s="3"/>
      <c r="AJ388" s="3"/>
    </row>
    <row r="389" ht="15.75" customHeight="1">
      <c r="C389" s="2"/>
      <c r="R389" s="3"/>
      <c r="S389" s="3"/>
      <c r="T389" s="3"/>
      <c r="U389" s="3"/>
      <c r="V389" s="3"/>
      <c r="W389" s="3"/>
      <c r="X389" s="3"/>
      <c r="Y389" s="3"/>
      <c r="Z389" s="3"/>
      <c r="AA389" s="3"/>
      <c r="AB389" s="3"/>
      <c r="AC389" s="3"/>
      <c r="AD389" s="3"/>
      <c r="AE389" s="3"/>
      <c r="AF389" s="3"/>
      <c r="AG389" s="3"/>
      <c r="AH389" s="3"/>
      <c r="AI389" s="3"/>
      <c r="AJ389" s="3"/>
    </row>
    <row r="390" ht="15.75" customHeight="1">
      <c r="C390" s="2"/>
      <c r="R390" s="3"/>
      <c r="S390" s="3"/>
      <c r="T390" s="3"/>
      <c r="U390" s="3"/>
      <c r="V390" s="3"/>
      <c r="W390" s="3"/>
      <c r="X390" s="3"/>
      <c r="Y390" s="3"/>
      <c r="Z390" s="3"/>
      <c r="AA390" s="3"/>
      <c r="AB390" s="3"/>
      <c r="AC390" s="3"/>
      <c r="AD390" s="3"/>
      <c r="AE390" s="3"/>
      <c r="AF390" s="3"/>
      <c r="AG390" s="3"/>
      <c r="AH390" s="3"/>
      <c r="AI390" s="3"/>
      <c r="AJ390" s="3"/>
    </row>
    <row r="391" ht="15.75" customHeight="1">
      <c r="C391" s="2"/>
      <c r="R391" s="3"/>
      <c r="S391" s="3"/>
      <c r="T391" s="3"/>
      <c r="U391" s="3"/>
      <c r="V391" s="3"/>
      <c r="W391" s="3"/>
      <c r="X391" s="3"/>
      <c r="Y391" s="3"/>
      <c r="Z391" s="3"/>
      <c r="AA391" s="3"/>
      <c r="AB391" s="3"/>
      <c r="AC391" s="3"/>
      <c r="AD391" s="3"/>
      <c r="AE391" s="3"/>
      <c r="AF391" s="3"/>
      <c r="AG391" s="3"/>
      <c r="AH391" s="3"/>
      <c r="AI391" s="3"/>
      <c r="AJ391" s="3"/>
    </row>
    <row r="392" ht="15.75" customHeight="1">
      <c r="C392" s="2"/>
      <c r="R392" s="3"/>
      <c r="S392" s="3"/>
      <c r="T392" s="3"/>
      <c r="U392" s="3"/>
      <c r="V392" s="3"/>
      <c r="W392" s="3"/>
      <c r="X392" s="3"/>
      <c r="Y392" s="3"/>
      <c r="Z392" s="3"/>
      <c r="AA392" s="3"/>
      <c r="AB392" s="3"/>
      <c r="AC392" s="3"/>
      <c r="AD392" s="3"/>
      <c r="AE392" s="3"/>
      <c r="AF392" s="3"/>
      <c r="AG392" s="3"/>
      <c r="AH392" s="3"/>
      <c r="AI392" s="3"/>
      <c r="AJ392" s="3"/>
    </row>
    <row r="393" ht="15.75" customHeight="1">
      <c r="C393" s="2"/>
      <c r="R393" s="3"/>
      <c r="S393" s="3"/>
      <c r="T393" s="3"/>
      <c r="U393" s="3"/>
      <c r="V393" s="3"/>
      <c r="W393" s="3"/>
      <c r="X393" s="3"/>
      <c r="Y393" s="3"/>
      <c r="Z393" s="3"/>
      <c r="AA393" s="3"/>
      <c r="AB393" s="3"/>
      <c r="AC393" s="3"/>
      <c r="AD393" s="3"/>
      <c r="AE393" s="3"/>
      <c r="AF393" s="3"/>
      <c r="AG393" s="3"/>
      <c r="AH393" s="3"/>
      <c r="AI393" s="3"/>
      <c r="AJ393" s="3"/>
    </row>
    <row r="394" ht="15.75" customHeight="1">
      <c r="C394" s="2"/>
      <c r="R394" s="3"/>
      <c r="S394" s="3"/>
      <c r="T394" s="3"/>
      <c r="U394" s="3"/>
      <c r="V394" s="3"/>
      <c r="W394" s="3"/>
      <c r="X394" s="3"/>
      <c r="Y394" s="3"/>
      <c r="Z394" s="3"/>
      <c r="AA394" s="3"/>
      <c r="AB394" s="3"/>
      <c r="AC394" s="3"/>
      <c r="AD394" s="3"/>
      <c r="AE394" s="3"/>
      <c r="AF394" s="3"/>
      <c r="AG394" s="3"/>
      <c r="AH394" s="3"/>
      <c r="AI394" s="3"/>
      <c r="AJ394" s="3"/>
    </row>
    <row r="395" ht="15.75" customHeight="1">
      <c r="C395" s="2"/>
      <c r="R395" s="3"/>
      <c r="S395" s="3"/>
      <c r="T395" s="3"/>
      <c r="U395" s="3"/>
      <c r="V395" s="3"/>
      <c r="W395" s="3"/>
      <c r="X395" s="3"/>
      <c r="Y395" s="3"/>
      <c r="Z395" s="3"/>
      <c r="AA395" s="3"/>
      <c r="AB395" s="3"/>
      <c r="AC395" s="3"/>
      <c r="AD395" s="3"/>
      <c r="AE395" s="3"/>
      <c r="AF395" s="3"/>
      <c r="AG395" s="3"/>
      <c r="AH395" s="3"/>
      <c r="AI395" s="3"/>
      <c r="AJ395" s="3"/>
    </row>
    <row r="396" ht="15.75" customHeight="1">
      <c r="C396" s="2"/>
      <c r="R396" s="3"/>
      <c r="S396" s="3"/>
      <c r="T396" s="3"/>
      <c r="U396" s="3"/>
      <c r="V396" s="3"/>
      <c r="W396" s="3"/>
      <c r="X396" s="3"/>
      <c r="Y396" s="3"/>
      <c r="Z396" s="3"/>
      <c r="AA396" s="3"/>
      <c r="AB396" s="3"/>
      <c r="AC396" s="3"/>
      <c r="AD396" s="3"/>
      <c r="AE396" s="3"/>
      <c r="AF396" s="3"/>
      <c r="AG396" s="3"/>
      <c r="AH396" s="3"/>
      <c r="AI396" s="3"/>
      <c r="AJ396" s="3"/>
    </row>
    <row r="397" ht="15.75" customHeight="1">
      <c r="C397" s="2"/>
      <c r="R397" s="3"/>
      <c r="S397" s="3"/>
      <c r="T397" s="3"/>
      <c r="U397" s="3"/>
      <c r="V397" s="3"/>
      <c r="W397" s="3"/>
      <c r="X397" s="3"/>
      <c r="Y397" s="3"/>
      <c r="Z397" s="3"/>
      <c r="AA397" s="3"/>
      <c r="AB397" s="3"/>
      <c r="AC397" s="3"/>
      <c r="AD397" s="3"/>
      <c r="AE397" s="3"/>
      <c r="AF397" s="3"/>
      <c r="AG397" s="3"/>
      <c r="AH397" s="3"/>
      <c r="AI397" s="3"/>
      <c r="AJ397" s="3"/>
    </row>
    <row r="398" ht="15.75" customHeight="1">
      <c r="C398" s="2"/>
      <c r="R398" s="3"/>
      <c r="S398" s="3"/>
      <c r="T398" s="3"/>
      <c r="U398" s="3"/>
      <c r="V398" s="3"/>
      <c r="W398" s="3"/>
      <c r="X398" s="3"/>
      <c r="Y398" s="3"/>
      <c r="Z398" s="3"/>
      <c r="AA398" s="3"/>
      <c r="AB398" s="3"/>
      <c r="AC398" s="3"/>
      <c r="AD398" s="3"/>
      <c r="AE398" s="3"/>
      <c r="AF398" s="3"/>
      <c r="AG398" s="3"/>
      <c r="AH398" s="3"/>
      <c r="AI398" s="3"/>
      <c r="AJ398" s="3"/>
    </row>
    <row r="399" ht="15.75" customHeight="1">
      <c r="C399" s="2"/>
      <c r="R399" s="3"/>
      <c r="S399" s="3"/>
      <c r="T399" s="3"/>
      <c r="U399" s="3"/>
      <c r="V399" s="3"/>
      <c r="W399" s="3"/>
      <c r="X399" s="3"/>
      <c r="Y399" s="3"/>
      <c r="Z399" s="3"/>
      <c r="AA399" s="3"/>
      <c r="AB399" s="3"/>
      <c r="AC399" s="3"/>
      <c r="AD399" s="3"/>
      <c r="AE399" s="3"/>
      <c r="AF399" s="3"/>
      <c r="AG399" s="3"/>
      <c r="AH399" s="3"/>
      <c r="AI399" s="3"/>
      <c r="AJ399" s="3"/>
    </row>
    <row r="400" ht="15.75" customHeight="1">
      <c r="C400" s="2"/>
      <c r="R400" s="3"/>
      <c r="S400" s="3"/>
      <c r="T400" s="3"/>
      <c r="U400" s="3"/>
      <c r="V400" s="3"/>
      <c r="W400" s="3"/>
      <c r="X400" s="3"/>
      <c r="Y400" s="3"/>
      <c r="Z400" s="3"/>
      <c r="AA400" s="3"/>
      <c r="AB400" s="3"/>
      <c r="AC400" s="3"/>
      <c r="AD400" s="3"/>
      <c r="AE400" s="3"/>
      <c r="AF400" s="3"/>
      <c r="AG400" s="3"/>
      <c r="AH400" s="3"/>
      <c r="AI400" s="3"/>
      <c r="AJ400" s="3"/>
    </row>
    <row r="401" ht="15.75" customHeight="1">
      <c r="C401" s="2"/>
      <c r="R401" s="3"/>
      <c r="S401" s="3"/>
      <c r="T401" s="3"/>
      <c r="U401" s="3"/>
      <c r="V401" s="3"/>
      <c r="W401" s="3"/>
      <c r="X401" s="3"/>
      <c r="Y401" s="3"/>
      <c r="Z401" s="3"/>
      <c r="AA401" s="3"/>
      <c r="AB401" s="3"/>
      <c r="AC401" s="3"/>
      <c r="AD401" s="3"/>
      <c r="AE401" s="3"/>
      <c r="AF401" s="3"/>
      <c r="AG401" s="3"/>
      <c r="AH401" s="3"/>
      <c r="AI401" s="3"/>
      <c r="AJ401" s="3"/>
    </row>
    <row r="402" ht="15.75" customHeight="1">
      <c r="C402" s="2"/>
      <c r="R402" s="3"/>
      <c r="S402" s="3"/>
      <c r="T402" s="3"/>
      <c r="U402" s="3"/>
      <c r="V402" s="3"/>
      <c r="W402" s="3"/>
      <c r="X402" s="3"/>
      <c r="Y402" s="3"/>
      <c r="Z402" s="3"/>
      <c r="AA402" s="3"/>
      <c r="AB402" s="3"/>
      <c r="AC402" s="3"/>
      <c r="AD402" s="3"/>
      <c r="AE402" s="3"/>
      <c r="AF402" s="3"/>
      <c r="AG402" s="3"/>
      <c r="AH402" s="3"/>
      <c r="AI402" s="3"/>
      <c r="AJ402" s="3"/>
    </row>
    <row r="403" ht="15.75" customHeight="1">
      <c r="C403" s="2"/>
      <c r="R403" s="3"/>
      <c r="S403" s="3"/>
      <c r="T403" s="3"/>
      <c r="U403" s="3"/>
      <c r="V403" s="3"/>
      <c r="W403" s="3"/>
      <c r="X403" s="3"/>
      <c r="Y403" s="3"/>
      <c r="Z403" s="3"/>
      <c r="AA403" s="3"/>
      <c r="AB403" s="3"/>
      <c r="AC403" s="3"/>
      <c r="AD403" s="3"/>
      <c r="AE403" s="3"/>
      <c r="AF403" s="3"/>
      <c r="AG403" s="3"/>
      <c r="AH403" s="3"/>
      <c r="AI403" s="3"/>
      <c r="AJ403" s="3"/>
    </row>
    <row r="404" ht="15.75" customHeight="1">
      <c r="C404" s="2"/>
      <c r="R404" s="3"/>
      <c r="S404" s="3"/>
      <c r="T404" s="3"/>
      <c r="U404" s="3"/>
      <c r="V404" s="3"/>
      <c r="W404" s="3"/>
      <c r="X404" s="3"/>
      <c r="Y404" s="3"/>
      <c r="Z404" s="3"/>
      <c r="AA404" s="3"/>
      <c r="AB404" s="3"/>
      <c r="AC404" s="3"/>
      <c r="AD404" s="3"/>
      <c r="AE404" s="3"/>
      <c r="AF404" s="3"/>
      <c r="AG404" s="3"/>
      <c r="AH404" s="3"/>
      <c r="AI404" s="3"/>
      <c r="AJ404" s="3"/>
    </row>
    <row r="405" ht="15.75" customHeight="1">
      <c r="C405" s="2"/>
      <c r="R405" s="3"/>
      <c r="S405" s="3"/>
      <c r="T405" s="3"/>
      <c r="U405" s="3"/>
      <c r="V405" s="3"/>
      <c r="W405" s="3"/>
      <c r="X405" s="3"/>
      <c r="Y405" s="3"/>
      <c r="Z405" s="3"/>
      <c r="AA405" s="3"/>
      <c r="AB405" s="3"/>
      <c r="AC405" s="3"/>
      <c r="AD405" s="3"/>
      <c r="AE405" s="3"/>
      <c r="AF405" s="3"/>
      <c r="AG405" s="3"/>
      <c r="AH405" s="3"/>
      <c r="AI405" s="3"/>
      <c r="AJ405" s="3"/>
    </row>
    <row r="406" ht="15.75" customHeight="1">
      <c r="C406" s="2"/>
      <c r="R406" s="3"/>
      <c r="S406" s="3"/>
      <c r="T406" s="3"/>
      <c r="U406" s="3"/>
      <c r="V406" s="3"/>
      <c r="W406" s="3"/>
      <c r="X406" s="3"/>
      <c r="Y406" s="3"/>
      <c r="Z406" s="3"/>
      <c r="AA406" s="3"/>
      <c r="AB406" s="3"/>
      <c r="AC406" s="3"/>
      <c r="AD406" s="3"/>
      <c r="AE406" s="3"/>
      <c r="AF406" s="3"/>
      <c r="AG406" s="3"/>
      <c r="AH406" s="3"/>
      <c r="AI406" s="3"/>
      <c r="AJ406" s="3"/>
    </row>
    <row r="407" ht="15.75" customHeight="1">
      <c r="C407" s="2"/>
      <c r="R407" s="3"/>
      <c r="S407" s="3"/>
      <c r="T407" s="3"/>
      <c r="U407" s="3"/>
      <c r="V407" s="3"/>
      <c r="W407" s="3"/>
      <c r="X407" s="3"/>
      <c r="Y407" s="3"/>
      <c r="Z407" s="3"/>
      <c r="AA407" s="3"/>
      <c r="AB407" s="3"/>
      <c r="AC407" s="3"/>
      <c r="AD407" s="3"/>
      <c r="AE407" s="3"/>
      <c r="AF407" s="3"/>
      <c r="AG407" s="3"/>
      <c r="AH407" s="3"/>
      <c r="AI407" s="3"/>
      <c r="AJ407" s="3"/>
    </row>
    <row r="408" ht="15.75" customHeight="1">
      <c r="C408" s="2"/>
      <c r="R408" s="3"/>
      <c r="S408" s="3"/>
      <c r="T408" s="3"/>
      <c r="U408" s="3"/>
      <c r="V408" s="3"/>
      <c r="W408" s="3"/>
      <c r="X408" s="3"/>
      <c r="Y408" s="3"/>
      <c r="Z408" s="3"/>
      <c r="AA408" s="3"/>
      <c r="AB408" s="3"/>
      <c r="AC408" s="3"/>
      <c r="AD408" s="3"/>
      <c r="AE408" s="3"/>
      <c r="AF408" s="3"/>
      <c r="AG408" s="3"/>
      <c r="AH408" s="3"/>
      <c r="AI408" s="3"/>
      <c r="AJ408" s="3"/>
    </row>
    <row r="409" ht="15.75" customHeight="1">
      <c r="C409" s="2"/>
      <c r="R409" s="3"/>
      <c r="S409" s="3"/>
      <c r="T409" s="3"/>
      <c r="U409" s="3"/>
      <c r="V409" s="3"/>
      <c r="W409" s="3"/>
      <c r="X409" s="3"/>
      <c r="Y409" s="3"/>
      <c r="Z409" s="3"/>
      <c r="AA409" s="3"/>
      <c r="AB409" s="3"/>
      <c r="AC409" s="3"/>
      <c r="AD409" s="3"/>
      <c r="AE409" s="3"/>
      <c r="AF409" s="3"/>
      <c r="AG409" s="3"/>
      <c r="AH409" s="3"/>
      <c r="AI409" s="3"/>
      <c r="AJ409" s="3"/>
    </row>
    <row r="410" ht="15.75" customHeight="1">
      <c r="C410" s="2"/>
      <c r="R410" s="3"/>
      <c r="S410" s="3"/>
      <c r="T410" s="3"/>
      <c r="U410" s="3"/>
      <c r="V410" s="3"/>
      <c r="W410" s="3"/>
      <c r="X410" s="3"/>
      <c r="Y410" s="3"/>
      <c r="Z410" s="3"/>
      <c r="AA410" s="3"/>
      <c r="AB410" s="3"/>
      <c r="AC410" s="3"/>
      <c r="AD410" s="3"/>
      <c r="AE410" s="3"/>
      <c r="AF410" s="3"/>
      <c r="AG410" s="3"/>
      <c r="AH410" s="3"/>
      <c r="AI410" s="3"/>
      <c r="AJ410" s="3"/>
    </row>
    <row r="411" ht="15.75" customHeight="1">
      <c r="C411" s="2"/>
      <c r="R411" s="3"/>
      <c r="S411" s="3"/>
      <c r="T411" s="3"/>
      <c r="U411" s="3"/>
      <c r="V411" s="3"/>
      <c r="W411" s="3"/>
      <c r="X411" s="3"/>
      <c r="Y411" s="3"/>
      <c r="Z411" s="3"/>
      <c r="AA411" s="3"/>
      <c r="AB411" s="3"/>
      <c r="AC411" s="3"/>
      <c r="AD411" s="3"/>
      <c r="AE411" s="3"/>
      <c r="AF411" s="3"/>
      <c r="AG411" s="3"/>
      <c r="AH411" s="3"/>
      <c r="AI411" s="3"/>
      <c r="AJ411" s="3"/>
    </row>
    <row r="412" ht="15.75" customHeight="1">
      <c r="C412" s="2"/>
      <c r="R412" s="3"/>
      <c r="S412" s="3"/>
      <c r="T412" s="3"/>
      <c r="U412" s="3"/>
      <c r="V412" s="3"/>
      <c r="W412" s="3"/>
      <c r="X412" s="3"/>
      <c r="Y412" s="3"/>
      <c r="Z412" s="3"/>
      <c r="AA412" s="3"/>
      <c r="AB412" s="3"/>
      <c r="AC412" s="3"/>
      <c r="AD412" s="3"/>
      <c r="AE412" s="3"/>
      <c r="AF412" s="3"/>
      <c r="AG412" s="3"/>
      <c r="AH412" s="3"/>
      <c r="AI412" s="3"/>
      <c r="AJ412" s="3"/>
    </row>
    <row r="413" ht="15.75" customHeight="1">
      <c r="C413" s="2"/>
      <c r="R413" s="3"/>
      <c r="S413" s="3"/>
      <c r="T413" s="3"/>
      <c r="U413" s="3"/>
      <c r="V413" s="3"/>
      <c r="W413" s="3"/>
      <c r="X413" s="3"/>
      <c r="Y413" s="3"/>
      <c r="Z413" s="3"/>
      <c r="AA413" s="3"/>
      <c r="AB413" s="3"/>
      <c r="AC413" s="3"/>
      <c r="AD413" s="3"/>
      <c r="AE413" s="3"/>
      <c r="AF413" s="3"/>
      <c r="AG413" s="3"/>
      <c r="AH413" s="3"/>
      <c r="AI413" s="3"/>
      <c r="AJ413" s="3"/>
    </row>
    <row r="414" ht="15.75" customHeight="1">
      <c r="C414" s="2"/>
      <c r="R414" s="3"/>
      <c r="S414" s="3"/>
      <c r="T414" s="3"/>
      <c r="U414" s="3"/>
      <c r="V414" s="3"/>
      <c r="W414" s="3"/>
      <c r="X414" s="3"/>
      <c r="Y414" s="3"/>
      <c r="Z414" s="3"/>
      <c r="AA414" s="3"/>
      <c r="AB414" s="3"/>
      <c r="AC414" s="3"/>
      <c r="AD414" s="3"/>
      <c r="AE414" s="3"/>
      <c r="AF414" s="3"/>
      <c r="AG414" s="3"/>
      <c r="AH414" s="3"/>
      <c r="AI414" s="3"/>
      <c r="AJ414" s="3"/>
    </row>
    <row r="415" ht="15.75" customHeight="1">
      <c r="C415" s="2"/>
      <c r="R415" s="3"/>
      <c r="S415" s="3"/>
      <c r="T415" s="3"/>
      <c r="U415" s="3"/>
      <c r="V415" s="3"/>
      <c r="W415" s="3"/>
      <c r="X415" s="3"/>
      <c r="Y415" s="3"/>
      <c r="Z415" s="3"/>
      <c r="AA415" s="3"/>
      <c r="AB415" s="3"/>
      <c r="AC415" s="3"/>
      <c r="AD415" s="3"/>
      <c r="AE415" s="3"/>
      <c r="AF415" s="3"/>
      <c r="AG415" s="3"/>
      <c r="AH415" s="3"/>
      <c r="AI415" s="3"/>
      <c r="AJ415" s="3"/>
    </row>
    <row r="416" ht="15.75" customHeight="1">
      <c r="C416" s="2"/>
      <c r="R416" s="3"/>
      <c r="S416" s="3"/>
      <c r="T416" s="3"/>
      <c r="U416" s="3"/>
      <c r="V416" s="3"/>
      <c r="W416" s="3"/>
      <c r="X416" s="3"/>
      <c r="Y416" s="3"/>
      <c r="Z416" s="3"/>
      <c r="AA416" s="3"/>
      <c r="AB416" s="3"/>
      <c r="AC416" s="3"/>
      <c r="AD416" s="3"/>
      <c r="AE416" s="3"/>
      <c r="AF416" s="3"/>
      <c r="AG416" s="3"/>
      <c r="AH416" s="3"/>
      <c r="AI416" s="3"/>
      <c r="AJ416" s="3"/>
    </row>
    <row r="417" ht="15.75" customHeight="1">
      <c r="C417" s="2"/>
      <c r="R417" s="3"/>
      <c r="S417" s="3"/>
      <c r="T417" s="3"/>
      <c r="U417" s="3"/>
      <c r="V417" s="3"/>
      <c r="W417" s="3"/>
      <c r="X417" s="3"/>
      <c r="Y417" s="3"/>
      <c r="Z417" s="3"/>
      <c r="AA417" s="3"/>
      <c r="AB417" s="3"/>
      <c r="AC417" s="3"/>
      <c r="AD417" s="3"/>
      <c r="AE417" s="3"/>
      <c r="AF417" s="3"/>
      <c r="AG417" s="3"/>
      <c r="AH417" s="3"/>
      <c r="AI417" s="3"/>
      <c r="AJ417" s="3"/>
    </row>
    <row r="418" ht="15.75" customHeight="1">
      <c r="C418" s="2"/>
      <c r="R418" s="3"/>
      <c r="S418" s="3"/>
      <c r="T418" s="3"/>
      <c r="U418" s="3"/>
      <c r="V418" s="3"/>
      <c r="W418" s="3"/>
      <c r="X418" s="3"/>
      <c r="Y418" s="3"/>
      <c r="Z418" s="3"/>
      <c r="AA418" s="3"/>
      <c r="AB418" s="3"/>
      <c r="AC418" s="3"/>
      <c r="AD418" s="3"/>
      <c r="AE418" s="3"/>
      <c r="AF418" s="3"/>
      <c r="AG418" s="3"/>
      <c r="AH418" s="3"/>
      <c r="AI418" s="3"/>
      <c r="AJ418" s="3"/>
    </row>
    <row r="419" ht="15.75" customHeight="1">
      <c r="C419" s="2"/>
      <c r="R419" s="3"/>
      <c r="S419" s="3"/>
      <c r="T419" s="3"/>
      <c r="U419" s="3"/>
      <c r="V419" s="3"/>
      <c r="W419" s="3"/>
      <c r="X419" s="3"/>
      <c r="Y419" s="3"/>
      <c r="Z419" s="3"/>
      <c r="AA419" s="3"/>
      <c r="AB419" s="3"/>
      <c r="AC419" s="3"/>
      <c r="AD419" s="3"/>
      <c r="AE419" s="3"/>
      <c r="AF419" s="3"/>
      <c r="AG419" s="3"/>
      <c r="AH419" s="3"/>
      <c r="AI419" s="3"/>
      <c r="AJ419" s="3"/>
    </row>
    <row r="420" ht="15.75" customHeight="1">
      <c r="C420" s="2"/>
      <c r="R420" s="3"/>
      <c r="S420" s="3"/>
      <c r="T420" s="3"/>
      <c r="U420" s="3"/>
      <c r="V420" s="3"/>
      <c r="W420" s="3"/>
      <c r="X420" s="3"/>
      <c r="Y420" s="3"/>
      <c r="Z420" s="3"/>
      <c r="AA420" s="3"/>
      <c r="AB420" s="3"/>
      <c r="AC420" s="3"/>
      <c r="AD420" s="3"/>
      <c r="AE420" s="3"/>
      <c r="AF420" s="3"/>
      <c r="AG420" s="3"/>
      <c r="AH420" s="3"/>
      <c r="AI420" s="3"/>
      <c r="AJ420" s="3"/>
    </row>
    <row r="421" ht="15.75" customHeight="1">
      <c r="C421" s="2"/>
      <c r="R421" s="3"/>
      <c r="S421" s="3"/>
      <c r="T421" s="3"/>
      <c r="U421" s="3"/>
      <c r="V421" s="3"/>
      <c r="W421" s="3"/>
      <c r="X421" s="3"/>
      <c r="Y421" s="3"/>
      <c r="Z421" s="3"/>
      <c r="AA421" s="3"/>
      <c r="AB421" s="3"/>
      <c r="AC421" s="3"/>
      <c r="AD421" s="3"/>
      <c r="AE421" s="3"/>
      <c r="AF421" s="3"/>
      <c r="AG421" s="3"/>
      <c r="AH421" s="3"/>
      <c r="AI421" s="3"/>
      <c r="AJ421" s="3"/>
    </row>
    <row r="422" ht="15.75" customHeight="1">
      <c r="C422" s="2"/>
      <c r="R422" s="3"/>
      <c r="S422" s="3"/>
      <c r="T422" s="3"/>
      <c r="U422" s="3"/>
      <c r="V422" s="3"/>
      <c r="W422" s="3"/>
      <c r="X422" s="3"/>
      <c r="Y422" s="3"/>
      <c r="Z422" s="3"/>
      <c r="AA422" s="3"/>
      <c r="AB422" s="3"/>
      <c r="AC422" s="3"/>
      <c r="AD422" s="3"/>
      <c r="AE422" s="3"/>
      <c r="AF422" s="3"/>
      <c r="AG422" s="3"/>
      <c r="AH422" s="3"/>
      <c r="AI422" s="3"/>
      <c r="AJ422" s="3"/>
    </row>
    <row r="423" ht="15.75" customHeight="1">
      <c r="C423" s="2"/>
      <c r="R423" s="3"/>
      <c r="S423" s="3"/>
      <c r="T423" s="3"/>
      <c r="U423" s="3"/>
      <c r="V423" s="3"/>
      <c r="W423" s="3"/>
      <c r="X423" s="3"/>
      <c r="Y423" s="3"/>
      <c r="Z423" s="3"/>
      <c r="AA423" s="3"/>
      <c r="AB423" s="3"/>
      <c r="AC423" s="3"/>
      <c r="AD423" s="3"/>
      <c r="AE423" s="3"/>
      <c r="AF423" s="3"/>
      <c r="AG423" s="3"/>
      <c r="AH423" s="3"/>
      <c r="AI423" s="3"/>
      <c r="AJ423" s="3"/>
    </row>
    <row r="424" ht="15.75" customHeight="1">
      <c r="C424" s="2"/>
      <c r="R424" s="3"/>
      <c r="S424" s="3"/>
      <c r="T424" s="3"/>
      <c r="U424" s="3"/>
      <c r="V424" s="3"/>
      <c r="W424" s="3"/>
      <c r="X424" s="3"/>
      <c r="Y424" s="3"/>
      <c r="Z424" s="3"/>
      <c r="AA424" s="3"/>
      <c r="AB424" s="3"/>
      <c r="AC424" s="3"/>
      <c r="AD424" s="3"/>
      <c r="AE424" s="3"/>
      <c r="AF424" s="3"/>
      <c r="AG424" s="3"/>
      <c r="AH424" s="3"/>
      <c r="AI424" s="3"/>
      <c r="AJ424" s="3"/>
    </row>
    <row r="425" ht="15.75" customHeight="1">
      <c r="C425" s="2"/>
      <c r="R425" s="3"/>
      <c r="S425" s="3"/>
      <c r="T425" s="3"/>
      <c r="U425" s="3"/>
      <c r="V425" s="3"/>
      <c r="W425" s="3"/>
      <c r="X425" s="3"/>
      <c r="Y425" s="3"/>
      <c r="Z425" s="3"/>
      <c r="AA425" s="3"/>
      <c r="AB425" s="3"/>
      <c r="AC425" s="3"/>
      <c r="AD425" s="3"/>
      <c r="AE425" s="3"/>
      <c r="AF425" s="3"/>
      <c r="AG425" s="3"/>
      <c r="AH425" s="3"/>
      <c r="AI425" s="3"/>
      <c r="AJ425" s="3"/>
    </row>
    <row r="426" ht="15.75" customHeight="1">
      <c r="C426" s="2"/>
      <c r="R426" s="3"/>
      <c r="S426" s="3"/>
      <c r="T426" s="3"/>
      <c r="U426" s="3"/>
      <c r="V426" s="3"/>
      <c r="W426" s="3"/>
      <c r="X426" s="3"/>
      <c r="Y426" s="3"/>
      <c r="Z426" s="3"/>
      <c r="AA426" s="3"/>
      <c r="AB426" s="3"/>
      <c r="AC426" s="3"/>
      <c r="AD426" s="3"/>
      <c r="AE426" s="3"/>
      <c r="AF426" s="3"/>
      <c r="AG426" s="3"/>
      <c r="AH426" s="3"/>
      <c r="AI426" s="3"/>
      <c r="AJ426" s="3"/>
    </row>
    <row r="427" ht="15.75" customHeight="1">
      <c r="C427" s="2"/>
      <c r="R427" s="3"/>
      <c r="S427" s="3"/>
      <c r="T427" s="3"/>
      <c r="U427" s="3"/>
      <c r="V427" s="3"/>
      <c r="W427" s="3"/>
      <c r="X427" s="3"/>
      <c r="Y427" s="3"/>
      <c r="Z427" s="3"/>
      <c r="AA427" s="3"/>
      <c r="AB427" s="3"/>
      <c r="AC427" s="3"/>
      <c r="AD427" s="3"/>
      <c r="AE427" s="3"/>
      <c r="AF427" s="3"/>
      <c r="AG427" s="3"/>
      <c r="AH427" s="3"/>
      <c r="AI427" s="3"/>
      <c r="AJ427" s="3"/>
    </row>
    <row r="428" ht="15.75" customHeight="1">
      <c r="C428" s="2"/>
      <c r="R428" s="3"/>
      <c r="S428" s="3"/>
      <c r="T428" s="3"/>
      <c r="U428" s="3"/>
      <c r="V428" s="3"/>
      <c r="W428" s="3"/>
      <c r="X428" s="3"/>
      <c r="Y428" s="3"/>
      <c r="Z428" s="3"/>
      <c r="AA428" s="3"/>
      <c r="AB428" s="3"/>
      <c r="AC428" s="3"/>
      <c r="AD428" s="3"/>
      <c r="AE428" s="3"/>
      <c r="AF428" s="3"/>
      <c r="AG428" s="3"/>
      <c r="AH428" s="3"/>
      <c r="AI428" s="3"/>
      <c r="AJ428" s="3"/>
    </row>
    <row r="429" ht="15.75" customHeight="1">
      <c r="C429" s="2"/>
      <c r="R429" s="3"/>
      <c r="S429" s="3"/>
      <c r="T429" s="3"/>
      <c r="U429" s="3"/>
      <c r="V429" s="3"/>
      <c r="W429" s="3"/>
      <c r="X429" s="3"/>
      <c r="Y429" s="3"/>
      <c r="Z429" s="3"/>
      <c r="AA429" s="3"/>
      <c r="AB429" s="3"/>
      <c r="AC429" s="3"/>
      <c r="AD429" s="3"/>
      <c r="AE429" s="3"/>
      <c r="AF429" s="3"/>
      <c r="AG429" s="3"/>
      <c r="AH429" s="3"/>
      <c r="AI429" s="3"/>
      <c r="AJ429" s="3"/>
    </row>
    <row r="430" ht="15.75" customHeight="1">
      <c r="C430" s="2"/>
      <c r="R430" s="3"/>
      <c r="S430" s="3"/>
      <c r="T430" s="3"/>
      <c r="U430" s="3"/>
      <c r="V430" s="3"/>
      <c r="W430" s="3"/>
      <c r="X430" s="3"/>
      <c r="Y430" s="3"/>
      <c r="Z430" s="3"/>
      <c r="AA430" s="3"/>
      <c r="AB430" s="3"/>
      <c r="AC430" s="3"/>
      <c r="AD430" s="3"/>
      <c r="AE430" s="3"/>
      <c r="AF430" s="3"/>
      <c r="AG430" s="3"/>
      <c r="AH430" s="3"/>
      <c r="AI430" s="3"/>
      <c r="AJ430" s="3"/>
    </row>
    <row r="431" ht="15.75" customHeight="1">
      <c r="C431" s="2"/>
      <c r="R431" s="3"/>
      <c r="S431" s="3"/>
      <c r="T431" s="3"/>
      <c r="U431" s="3"/>
      <c r="V431" s="3"/>
      <c r="W431" s="3"/>
      <c r="X431" s="3"/>
      <c r="Y431" s="3"/>
      <c r="Z431" s="3"/>
      <c r="AA431" s="3"/>
      <c r="AB431" s="3"/>
      <c r="AC431" s="3"/>
      <c r="AD431" s="3"/>
      <c r="AE431" s="3"/>
      <c r="AF431" s="3"/>
      <c r="AG431" s="3"/>
      <c r="AH431" s="3"/>
      <c r="AI431" s="3"/>
      <c r="AJ431" s="3"/>
    </row>
    <row r="432" ht="15.75" customHeight="1">
      <c r="C432" s="2"/>
      <c r="R432" s="3"/>
      <c r="S432" s="3"/>
      <c r="T432" s="3"/>
      <c r="U432" s="3"/>
      <c r="V432" s="3"/>
      <c r="W432" s="3"/>
      <c r="X432" s="3"/>
      <c r="Y432" s="3"/>
      <c r="Z432" s="3"/>
      <c r="AA432" s="3"/>
      <c r="AB432" s="3"/>
      <c r="AC432" s="3"/>
      <c r="AD432" s="3"/>
      <c r="AE432" s="3"/>
      <c r="AF432" s="3"/>
      <c r="AG432" s="3"/>
      <c r="AH432" s="3"/>
      <c r="AI432" s="3"/>
      <c r="AJ432" s="3"/>
    </row>
    <row r="433" ht="15.75" customHeight="1">
      <c r="C433" s="2"/>
      <c r="R433" s="3"/>
      <c r="S433" s="3"/>
      <c r="T433" s="3"/>
      <c r="U433" s="3"/>
      <c r="V433" s="3"/>
      <c r="W433" s="3"/>
      <c r="X433" s="3"/>
      <c r="Y433" s="3"/>
      <c r="Z433" s="3"/>
      <c r="AA433" s="3"/>
      <c r="AB433" s="3"/>
      <c r="AC433" s="3"/>
      <c r="AD433" s="3"/>
      <c r="AE433" s="3"/>
      <c r="AF433" s="3"/>
      <c r="AG433" s="3"/>
      <c r="AH433" s="3"/>
      <c r="AI433" s="3"/>
      <c r="AJ433" s="3"/>
    </row>
    <row r="434" ht="15.75" customHeight="1">
      <c r="C434" s="2"/>
      <c r="R434" s="3"/>
      <c r="S434" s="3"/>
      <c r="T434" s="3"/>
      <c r="U434" s="3"/>
      <c r="V434" s="3"/>
      <c r="W434" s="3"/>
      <c r="X434" s="3"/>
      <c r="Y434" s="3"/>
      <c r="Z434" s="3"/>
      <c r="AA434" s="3"/>
      <c r="AB434" s="3"/>
      <c r="AC434" s="3"/>
      <c r="AD434" s="3"/>
      <c r="AE434" s="3"/>
      <c r="AF434" s="3"/>
      <c r="AG434" s="3"/>
      <c r="AH434" s="3"/>
      <c r="AI434" s="3"/>
      <c r="AJ434" s="3"/>
    </row>
    <row r="435" ht="15.75" customHeight="1">
      <c r="C435" s="2"/>
      <c r="R435" s="3"/>
      <c r="S435" s="3"/>
      <c r="T435" s="3"/>
      <c r="U435" s="3"/>
      <c r="V435" s="3"/>
      <c r="W435" s="3"/>
      <c r="X435" s="3"/>
      <c r="Y435" s="3"/>
      <c r="Z435" s="3"/>
      <c r="AA435" s="3"/>
      <c r="AB435" s="3"/>
      <c r="AC435" s="3"/>
      <c r="AD435" s="3"/>
      <c r="AE435" s="3"/>
      <c r="AF435" s="3"/>
      <c r="AG435" s="3"/>
      <c r="AH435" s="3"/>
      <c r="AI435" s="3"/>
      <c r="AJ435" s="3"/>
    </row>
    <row r="436" ht="15.75" customHeight="1">
      <c r="C436" s="2"/>
      <c r="R436" s="3"/>
      <c r="S436" s="3"/>
      <c r="T436" s="3"/>
      <c r="U436" s="3"/>
      <c r="V436" s="3"/>
      <c r="W436" s="3"/>
      <c r="X436" s="3"/>
      <c r="Y436" s="3"/>
      <c r="Z436" s="3"/>
      <c r="AA436" s="3"/>
      <c r="AB436" s="3"/>
      <c r="AC436" s="3"/>
      <c r="AD436" s="3"/>
      <c r="AE436" s="3"/>
      <c r="AF436" s="3"/>
      <c r="AG436" s="3"/>
      <c r="AH436" s="3"/>
      <c r="AI436" s="3"/>
      <c r="AJ436" s="3"/>
    </row>
    <row r="437" ht="15.75" customHeight="1">
      <c r="C437" s="2"/>
      <c r="R437" s="3"/>
      <c r="S437" s="3"/>
      <c r="T437" s="3"/>
      <c r="U437" s="3"/>
      <c r="V437" s="3"/>
      <c r="W437" s="3"/>
      <c r="X437" s="3"/>
      <c r="Y437" s="3"/>
      <c r="Z437" s="3"/>
      <c r="AA437" s="3"/>
      <c r="AB437" s="3"/>
      <c r="AC437" s="3"/>
      <c r="AD437" s="3"/>
      <c r="AE437" s="3"/>
      <c r="AF437" s="3"/>
      <c r="AG437" s="3"/>
      <c r="AH437" s="3"/>
      <c r="AI437" s="3"/>
      <c r="AJ437" s="3"/>
    </row>
    <row r="438" ht="15.75" customHeight="1">
      <c r="C438" s="2"/>
      <c r="R438" s="3"/>
      <c r="S438" s="3"/>
      <c r="T438" s="3"/>
      <c r="U438" s="3"/>
      <c r="V438" s="3"/>
      <c r="W438" s="3"/>
      <c r="X438" s="3"/>
      <c r="Y438" s="3"/>
      <c r="Z438" s="3"/>
      <c r="AA438" s="3"/>
      <c r="AB438" s="3"/>
      <c r="AC438" s="3"/>
      <c r="AD438" s="3"/>
      <c r="AE438" s="3"/>
      <c r="AF438" s="3"/>
      <c r="AG438" s="3"/>
      <c r="AH438" s="3"/>
      <c r="AI438" s="3"/>
      <c r="AJ438" s="3"/>
    </row>
    <row r="439" ht="15.75" customHeight="1">
      <c r="C439" s="2"/>
      <c r="R439" s="3"/>
      <c r="S439" s="3"/>
      <c r="T439" s="3"/>
      <c r="U439" s="3"/>
      <c r="V439" s="3"/>
      <c r="W439" s="3"/>
      <c r="X439" s="3"/>
      <c r="Y439" s="3"/>
      <c r="Z439" s="3"/>
      <c r="AA439" s="3"/>
      <c r="AB439" s="3"/>
      <c r="AC439" s="3"/>
      <c r="AD439" s="3"/>
      <c r="AE439" s="3"/>
      <c r="AF439" s="3"/>
      <c r="AG439" s="3"/>
      <c r="AH439" s="3"/>
      <c r="AI439" s="3"/>
      <c r="AJ439" s="3"/>
    </row>
    <row r="440" ht="15.75" customHeight="1">
      <c r="C440" s="2"/>
      <c r="R440" s="3"/>
      <c r="S440" s="3"/>
      <c r="T440" s="3"/>
      <c r="U440" s="3"/>
      <c r="V440" s="3"/>
      <c r="W440" s="3"/>
      <c r="X440" s="3"/>
      <c r="Y440" s="3"/>
      <c r="Z440" s="3"/>
      <c r="AA440" s="3"/>
      <c r="AB440" s="3"/>
      <c r="AC440" s="3"/>
      <c r="AD440" s="3"/>
      <c r="AE440" s="3"/>
      <c r="AF440" s="3"/>
      <c r="AG440" s="3"/>
      <c r="AH440" s="3"/>
      <c r="AI440" s="3"/>
      <c r="AJ440" s="3"/>
    </row>
    <row r="441" ht="15.75" customHeight="1">
      <c r="C441" s="2"/>
      <c r="R441" s="3"/>
      <c r="S441" s="3"/>
      <c r="T441" s="3"/>
      <c r="U441" s="3"/>
      <c r="V441" s="3"/>
      <c r="W441" s="3"/>
      <c r="X441" s="3"/>
      <c r="Y441" s="3"/>
      <c r="Z441" s="3"/>
      <c r="AA441" s="3"/>
      <c r="AB441" s="3"/>
      <c r="AC441" s="3"/>
      <c r="AD441" s="3"/>
      <c r="AE441" s="3"/>
      <c r="AF441" s="3"/>
      <c r="AG441" s="3"/>
      <c r="AH441" s="3"/>
      <c r="AI441" s="3"/>
      <c r="AJ441" s="3"/>
    </row>
    <row r="442" ht="15.75" customHeight="1">
      <c r="C442" s="2"/>
      <c r="R442" s="3"/>
      <c r="S442" s="3"/>
      <c r="T442" s="3"/>
      <c r="U442" s="3"/>
      <c r="V442" s="3"/>
      <c r="W442" s="3"/>
      <c r="X442" s="3"/>
      <c r="Y442" s="3"/>
      <c r="Z442" s="3"/>
      <c r="AA442" s="3"/>
      <c r="AB442" s="3"/>
      <c r="AC442" s="3"/>
      <c r="AD442" s="3"/>
      <c r="AE442" s="3"/>
      <c r="AF442" s="3"/>
      <c r="AG442" s="3"/>
      <c r="AH442" s="3"/>
      <c r="AI442" s="3"/>
      <c r="AJ442" s="3"/>
    </row>
    <row r="443" ht="15.75" customHeight="1">
      <c r="C443" s="2"/>
      <c r="R443" s="3"/>
      <c r="S443" s="3"/>
      <c r="T443" s="3"/>
      <c r="U443" s="3"/>
      <c r="V443" s="3"/>
      <c r="W443" s="3"/>
      <c r="X443" s="3"/>
      <c r="Y443" s="3"/>
      <c r="Z443" s="3"/>
      <c r="AA443" s="3"/>
      <c r="AB443" s="3"/>
      <c r="AC443" s="3"/>
      <c r="AD443" s="3"/>
      <c r="AE443" s="3"/>
      <c r="AF443" s="3"/>
      <c r="AG443" s="3"/>
      <c r="AH443" s="3"/>
      <c r="AI443" s="3"/>
      <c r="AJ443" s="3"/>
    </row>
    <row r="444" ht="15.75" customHeight="1">
      <c r="C444" s="2"/>
      <c r="R444" s="3"/>
      <c r="S444" s="3"/>
      <c r="T444" s="3"/>
      <c r="U444" s="3"/>
      <c r="V444" s="3"/>
      <c r="W444" s="3"/>
      <c r="X444" s="3"/>
      <c r="Y444" s="3"/>
      <c r="Z444" s="3"/>
      <c r="AA444" s="3"/>
      <c r="AB444" s="3"/>
      <c r="AC444" s="3"/>
      <c r="AD444" s="3"/>
      <c r="AE444" s="3"/>
      <c r="AF444" s="3"/>
      <c r="AG444" s="3"/>
      <c r="AH444" s="3"/>
      <c r="AI444" s="3"/>
      <c r="AJ444" s="3"/>
    </row>
    <row r="445" ht="15.75" customHeight="1">
      <c r="C445" s="2"/>
      <c r="R445" s="3"/>
      <c r="S445" s="3"/>
      <c r="T445" s="3"/>
      <c r="U445" s="3"/>
      <c r="V445" s="3"/>
      <c r="W445" s="3"/>
      <c r="X445" s="3"/>
      <c r="Y445" s="3"/>
      <c r="Z445" s="3"/>
      <c r="AA445" s="3"/>
      <c r="AB445" s="3"/>
      <c r="AC445" s="3"/>
      <c r="AD445" s="3"/>
      <c r="AE445" s="3"/>
      <c r="AF445" s="3"/>
      <c r="AG445" s="3"/>
      <c r="AH445" s="3"/>
      <c r="AI445" s="3"/>
      <c r="AJ445" s="3"/>
    </row>
    <row r="446" ht="15.75" customHeight="1">
      <c r="C446" s="2"/>
      <c r="R446" s="3"/>
      <c r="S446" s="3"/>
      <c r="T446" s="3"/>
      <c r="U446" s="3"/>
      <c r="V446" s="3"/>
      <c r="W446" s="3"/>
      <c r="X446" s="3"/>
      <c r="Y446" s="3"/>
      <c r="Z446" s="3"/>
      <c r="AA446" s="3"/>
      <c r="AB446" s="3"/>
      <c r="AC446" s="3"/>
      <c r="AD446" s="3"/>
      <c r="AE446" s="3"/>
      <c r="AF446" s="3"/>
      <c r="AG446" s="3"/>
      <c r="AH446" s="3"/>
      <c r="AI446" s="3"/>
      <c r="AJ446" s="3"/>
    </row>
    <row r="447" ht="15.75" customHeight="1">
      <c r="C447" s="2"/>
      <c r="R447" s="3"/>
      <c r="S447" s="3"/>
      <c r="T447" s="3"/>
      <c r="U447" s="3"/>
      <c r="V447" s="3"/>
      <c r="W447" s="3"/>
      <c r="X447" s="3"/>
      <c r="Y447" s="3"/>
      <c r="Z447" s="3"/>
      <c r="AA447" s="3"/>
      <c r="AB447" s="3"/>
      <c r="AC447" s="3"/>
      <c r="AD447" s="3"/>
      <c r="AE447" s="3"/>
      <c r="AF447" s="3"/>
      <c r="AG447" s="3"/>
      <c r="AH447" s="3"/>
      <c r="AI447" s="3"/>
      <c r="AJ447" s="3"/>
    </row>
    <row r="448" ht="15.75" customHeight="1">
      <c r="C448" s="2"/>
      <c r="R448" s="3"/>
      <c r="S448" s="3"/>
      <c r="T448" s="3"/>
      <c r="U448" s="3"/>
      <c r="V448" s="3"/>
      <c r="W448" s="3"/>
      <c r="X448" s="3"/>
      <c r="Y448" s="3"/>
      <c r="Z448" s="3"/>
      <c r="AA448" s="3"/>
      <c r="AB448" s="3"/>
      <c r="AC448" s="3"/>
      <c r="AD448" s="3"/>
      <c r="AE448" s="3"/>
      <c r="AF448" s="3"/>
      <c r="AG448" s="3"/>
      <c r="AH448" s="3"/>
      <c r="AI448" s="3"/>
      <c r="AJ448" s="3"/>
    </row>
    <row r="449" ht="15.75" customHeight="1">
      <c r="C449" s="2"/>
      <c r="R449" s="3"/>
      <c r="S449" s="3"/>
      <c r="T449" s="3"/>
      <c r="U449" s="3"/>
      <c r="V449" s="3"/>
      <c r="W449" s="3"/>
      <c r="X449" s="3"/>
      <c r="Y449" s="3"/>
      <c r="Z449" s="3"/>
      <c r="AA449" s="3"/>
      <c r="AB449" s="3"/>
      <c r="AC449" s="3"/>
      <c r="AD449" s="3"/>
      <c r="AE449" s="3"/>
      <c r="AF449" s="3"/>
      <c r="AG449" s="3"/>
      <c r="AH449" s="3"/>
      <c r="AI449" s="3"/>
      <c r="AJ449" s="3"/>
    </row>
    <row r="450" ht="15.75" customHeight="1">
      <c r="C450" s="2"/>
      <c r="R450" s="3"/>
      <c r="S450" s="3"/>
      <c r="T450" s="3"/>
      <c r="U450" s="3"/>
      <c r="V450" s="3"/>
      <c r="W450" s="3"/>
      <c r="X450" s="3"/>
      <c r="Y450" s="3"/>
      <c r="Z450" s="3"/>
      <c r="AA450" s="3"/>
      <c r="AB450" s="3"/>
      <c r="AC450" s="3"/>
      <c r="AD450" s="3"/>
      <c r="AE450" s="3"/>
      <c r="AF450" s="3"/>
      <c r="AG450" s="3"/>
      <c r="AH450" s="3"/>
      <c r="AI450" s="3"/>
      <c r="AJ450" s="3"/>
    </row>
    <row r="451" ht="15.75" customHeight="1">
      <c r="C451" s="2"/>
      <c r="R451" s="3"/>
      <c r="S451" s="3"/>
      <c r="T451" s="3"/>
      <c r="U451" s="3"/>
      <c r="V451" s="3"/>
      <c r="W451" s="3"/>
      <c r="X451" s="3"/>
      <c r="Y451" s="3"/>
      <c r="Z451" s="3"/>
      <c r="AA451" s="3"/>
      <c r="AB451" s="3"/>
      <c r="AC451" s="3"/>
      <c r="AD451" s="3"/>
      <c r="AE451" s="3"/>
      <c r="AF451" s="3"/>
      <c r="AG451" s="3"/>
      <c r="AH451" s="3"/>
      <c r="AI451" s="3"/>
      <c r="AJ451" s="3"/>
    </row>
    <row r="452" ht="15.75" customHeight="1">
      <c r="C452" s="2"/>
      <c r="R452" s="3"/>
      <c r="S452" s="3"/>
      <c r="T452" s="3"/>
      <c r="U452" s="3"/>
      <c r="V452" s="3"/>
      <c r="W452" s="3"/>
      <c r="X452" s="3"/>
      <c r="Y452" s="3"/>
      <c r="Z452" s="3"/>
      <c r="AA452" s="3"/>
      <c r="AB452" s="3"/>
      <c r="AC452" s="3"/>
      <c r="AD452" s="3"/>
      <c r="AE452" s="3"/>
      <c r="AF452" s="3"/>
      <c r="AG452" s="3"/>
      <c r="AH452" s="3"/>
      <c r="AI452" s="3"/>
      <c r="AJ452" s="3"/>
    </row>
    <row r="453" ht="15.75" customHeight="1">
      <c r="C453" s="2"/>
      <c r="R453" s="3"/>
      <c r="S453" s="3"/>
      <c r="T453" s="3"/>
      <c r="U453" s="3"/>
      <c r="V453" s="3"/>
      <c r="W453" s="3"/>
      <c r="X453" s="3"/>
      <c r="Y453" s="3"/>
      <c r="Z453" s="3"/>
      <c r="AA453" s="3"/>
      <c r="AB453" s="3"/>
      <c r="AC453" s="3"/>
      <c r="AD453" s="3"/>
      <c r="AE453" s="3"/>
      <c r="AF453" s="3"/>
      <c r="AG453" s="3"/>
      <c r="AH453" s="3"/>
      <c r="AI453" s="3"/>
      <c r="AJ453" s="3"/>
    </row>
    <row r="454" ht="15.75" customHeight="1">
      <c r="C454" s="2"/>
      <c r="R454" s="3"/>
      <c r="S454" s="3"/>
      <c r="T454" s="3"/>
      <c r="U454" s="3"/>
      <c r="V454" s="3"/>
      <c r="W454" s="3"/>
      <c r="X454" s="3"/>
      <c r="Y454" s="3"/>
      <c r="Z454" s="3"/>
      <c r="AA454" s="3"/>
      <c r="AB454" s="3"/>
      <c r="AC454" s="3"/>
      <c r="AD454" s="3"/>
      <c r="AE454" s="3"/>
      <c r="AF454" s="3"/>
      <c r="AG454" s="3"/>
      <c r="AH454" s="3"/>
      <c r="AI454" s="3"/>
      <c r="AJ454" s="3"/>
    </row>
    <row r="455" ht="15.75" customHeight="1">
      <c r="C455" s="2"/>
      <c r="R455" s="3"/>
      <c r="S455" s="3"/>
      <c r="T455" s="3"/>
      <c r="U455" s="3"/>
      <c r="V455" s="3"/>
      <c r="W455" s="3"/>
      <c r="X455" s="3"/>
      <c r="Y455" s="3"/>
      <c r="Z455" s="3"/>
      <c r="AA455" s="3"/>
      <c r="AB455" s="3"/>
      <c r="AC455" s="3"/>
      <c r="AD455" s="3"/>
      <c r="AE455" s="3"/>
      <c r="AF455" s="3"/>
      <c r="AG455" s="3"/>
      <c r="AH455" s="3"/>
      <c r="AI455" s="3"/>
      <c r="AJ455" s="3"/>
    </row>
    <row r="456" ht="15.75" customHeight="1">
      <c r="C456" s="2"/>
      <c r="R456" s="3"/>
      <c r="S456" s="3"/>
      <c r="T456" s="3"/>
      <c r="U456" s="3"/>
      <c r="V456" s="3"/>
      <c r="W456" s="3"/>
      <c r="X456" s="3"/>
      <c r="Y456" s="3"/>
      <c r="Z456" s="3"/>
      <c r="AA456" s="3"/>
      <c r="AB456" s="3"/>
      <c r="AC456" s="3"/>
      <c r="AD456" s="3"/>
      <c r="AE456" s="3"/>
      <c r="AF456" s="3"/>
      <c r="AG456" s="3"/>
      <c r="AH456" s="3"/>
      <c r="AI456" s="3"/>
      <c r="AJ456" s="3"/>
    </row>
    <row r="457" ht="15.75" customHeight="1">
      <c r="C457" s="2"/>
      <c r="R457" s="3"/>
      <c r="S457" s="3"/>
      <c r="T457" s="3"/>
      <c r="U457" s="3"/>
      <c r="V457" s="3"/>
      <c r="W457" s="3"/>
      <c r="X457" s="3"/>
      <c r="Y457" s="3"/>
      <c r="Z457" s="3"/>
      <c r="AA457" s="3"/>
      <c r="AB457" s="3"/>
      <c r="AC457" s="3"/>
      <c r="AD457" s="3"/>
      <c r="AE457" s="3"/>
      <c r="AF457" s="3"/>
      <c r="AG457" s="3"/>
      <c r="AH457" s="3"/>
      <c r="AI457" s="3"/>
      <c r="AJ457" s="3"/>
    </row>
    <row r="458" ht="15.75" customHeight="1">
      <c r="C458" s="2"/>
      <c r="R458" s="3"/>
      <c r="S458" s="3"/>
      <c r="T458" s="3"/>
      <c r="U458" s="3"/>
      <c r="V458" s="3"/>
      <c r="W458" s="3"/>
      <c r="X458" s="3"/>
      <c r="Y458" s="3"/>
      <c r="Z458" s="3"/>
      <c r="AA458" s="3"/>
      <c r="AB458" s="3"/>
      <c r="AC458" s="3"/>
      <c r="AD458" s="3"/>
      <c r="AE458" s="3"/>
      <c r="AF458" s="3"/>
      <c r="AG458" s="3"/>
      <c r="AH458" s="3"/>
      <c r="AI458" s="3"/>
      <c r="AJ458" s="3"/>
    </row>
    <row r="459" ht="15.75" customHeight="1">
      <c r="C459" s="2"/>
      <c r="R459" s="3"/>
      <c r="S459" s="3"/>
      <c r="T459" s="3"/>
      <c r="U459" s="3"/>
      <c r="V459" s="3"/>
      <c r="W459" s="3"/>
      <c r="X459" s="3"/>
      <c r="Y459" s="3"/>
      <c r="Z459" s="3"/>
      <c r="AA459" s="3"/>
      <c r="AB459" s="3"/>
      <c r="AC459" s="3"/>
      <c r="AD459" s="3"/>
      <c r="AE459" s="3"/>
      <c r="AF459" s="3"/>
      <c r="AG459" s="3"/>
      <c r="AH459" s="3"/>
      <c r="AI459" s="3"/>
      <c r="AJ459" s="3"/>
    </row>
    <row r="460" ht="15.75" customHeight="1">
      <c r="C460" s="2"/>
      <c r="R460" s="3"/>
      <c r="S460" s="3"/>
      <c r="T460" s="3"/>
      <c r="U460" s="3"/>
      <c r="V460" s="3"/>
      <c r="W460" s="3"/>
      <c r="X460" s="3"/>
      <c r="Y460" s="3"/>
      <c r="Z460" s="3"/>
      <c r="AA460" s="3"/>
      <c r="AB460" s="3"/>
      <c r="AC460" s="3"/>
      <c r="AD460" s="3"/>
      <c r="AE460" s="3"/>
      <c r="AF460" s="3"/>
      <c r="AG460" s="3"/>
      <c r="AH460" s="3"/>
      <c r="AI460" s="3"/>
      <c r="AJ460" s="3"/>
    </row>
    <row r="461" ht="15.75" customHeight="1">
      <c r="C461" s="2"/>
      <c r="R461" s="3"/>
      <c r="S461" s="3"/>
      <c r="T461" s="3"/>
      <c r="U461" s="3"/>
      <c r="V461" s="3"/>
      <c r="W461" s="3"/>
      <c r="X461" s="3"/>
      <c r="Y461" s="3"/>
      <c r="Z461" s="3"/>
      <c r="AA461" s="3"/>
      <c r="AB461" s="3"/>
      <c r="AC461" s="3"/>
      <c r="AD461" s="3"/>
      <c r="AE461" s="3"/>
      <c r="AF461" s="3"/>
      <c r="AG461" s="3"/>
      <c r="AH461" s="3"/>
      <c r="AI461" s="3"/>
      <c r="AJ461" s="3"/>
    </row>
    <row r="462" ht="15.75" customHeight="1">
      <c r="C462" s="2"/>
      <c r="R462" s="3"/>
      <c r="S462" s="3"/>
      <c r="T462" s="3"/>
      <c r="U462" s="3"/>
      <c r="V462" s="3"/>
      <c r="W462" s="3"/>
      <c r="X462" s="3"/>
      <c r="Y462" s="3"/>
      <c r="Z462" s="3"/>
      <c r="AA462" s="3"/>
      <c r="AB462" s="3"/>
      <c r="AC462" s="3"/>
      <c r="AD462" s="3"/>
      <c r="AE462" s="3"/>
      <c r="AF462" s="3"/>
      <c r="AG462" s="3"/>
      <c r="AH462" s="3"/>
      <c r="AI462" s="3"/>
      <c r="AJ462" s="3"/>
    </row>
    <row r="463" ht="15.75" customHeight="1">
      <c r="C463" s="2"/>
      <c r="R463" s="3"/>
      <c r="S463" s="3"/>
      <c r="T463" s="3"/>
      <c r="U463" s="3"/>
      <c r="V463" s="3"/>
      <c r="W463" s="3"/>
      <c r="X463" s="3"/>
      <c r="Y463" s="3"/>
      <c r="Z463" s="3"/>
      <c r="AA463" s="3"/>
      <c r="AB463" s="3"/>
      <c r="AC463" s="3"/>
      <c r="AD463" s="3"/>
      <c r="AE463" s="3"/>
      <c r="AF463" s="3"/>
      <c r="AG463" s="3"/>
      <c r="AH463" s="3"/>
      <c r="AI463" s="3"/>
      <c r="AJ463" s="3"/>
    </row>
    <row r="464" ht="15.75" customHeight="1">
      <c r="C464" s="2"/>
      <c r="R464" s="3"/>
      <c r="S464" s="3"/>
      <c r="T464" s="3"/>
      <c r="U464" s="3"/>
      <c r="V464" s="3"/>
      <c r="W464" s="3"/>
      <c r="X464" s="3"/>
      <c r="Y464" s="3"/>
      <c r="Z464" s="3"/>
      <c r="AA464" s="3"/>
      <c r="AB464" s="3"/>
      <c r="AC464" s="3"/>
      <c r="AD464" s="3"/>
      <c r="AE464" s="3"/>
      <c r="AF464" s="3"/>
      <c r="AG464" s="3"/>
      <c r="AH464" s="3"/>
      <c r="AI464" s="3"/>
      <c r="AJ464" s="3"/>
    </row>
    <row r="465" ht="15.75" customHeight="1">
      <c r="C465" s="2"/>
      <c r="R465" s="3"/>
      <c r="S465" s="3"/>
      <c r="T465" s="3"/>
      <c r="U465" s="3"/>
      <c r="V465" s="3"/>
      <c r="W465" s="3"/>
      <c r="X465" s="3"/>
      <c r="Y465" s="3"/>
      <c r="Z465" s="3"/>
      <c r="AA465" s="3"/>
      <c r="AB465" s="3"/>
      <c r="AC465" s="3"/>
      <c r="AD465" s="3"/>
      <c r="AE465" s="3"/>
      <c r="AF465" s="3"/>
      <c r="AG465" s="3"/>
      <c r="AH465" s="3"/>
      <c r="AI465" s="3"/>
      <c r="AJ465" s="3"/>
    </row>
    <row r="466" ht="15.75" customHeight="1">
      <c r="C466" s="2"/>
      <c r="R466" s="3"/>
      <c r="S466" s="3"/>
      <c r="T466" s="3"/>
      <c r="U466" s="3"/>
      <c r="V466" s="3"/>
      <c r="W466" s="3"/>
      <c r="X466" s="3"/>
      <c r="Y466" s="3"/>
      <c r="Z466" s="3"/>
      <c r="AA466" s="3"/>
      <c r="AB466" s="3"/>
      <c r="AC466" s="3"/>
      <c r="AD466" s="3"/>
      <c r="AE466" s="3"/>
      <c r="AF466" s="3"/>
      <c r="AG466" s="3"/>
      <c r="AH466" s="3"/>
      <c r="AI466" s="3"/>
      <c r="AJ466" s="3"/>
    </row>
    <row r="467" ht="15.75" customHeight="1">
      <c r="C467" s="2"/>
      <c r="R467" s="3"/>
      <c r="S467" s="3"/>
      <c r="T467" s="3"/>
      <c r="U467" s="3"/>
      <c r="V467" s="3"/>
      <c r="W467" s="3"/>
      <c r="X467" s="3"/>
      <c r="Y467" s="3"/>
      <c r="Z467" s="3"/>
      <c r="AA467" s="3"/>
      <c r="AB467" s="3"/>
      <c r="AC467" s="3"/>
      <c r="AD467" s="3"/>
      <c r="AE467" s="3"/>
      <c r="AF467" s="3"/>
      <c r="AG467" s="3"/>
      <c r="AH467" s="3"/>
      <c r="AI467" s="3"/>
      <c r="AJ467" s="3"/>
    </row>
    <row r="468" ht="15.75" customHeight="1">
      <c r="C468" s="2"/>
      <c r="R468" s="3"/>
      <c r="S468" s="3"/>
      <c r="T468" s="3"/>
      <c r="U468" s="3"/>
      <c r="V468" s="3"/>
      <c r="W468" s="3"/>
      <c r="X468" s="3"/>
      <c r="Y468" s="3"/>
      <c r="Z468" s="3"/>
      <c r="AA468" s="3"/>
      <c r="AB468" s="3"/>
      <c r="AC468" s="3"/>
      <c r="AD468" s="3"/>
      <c r="AE468" s="3"/>
      <c r="AF468" s="3"/>
      <c r="AG468" s="3"/>
      <c r="AH468" s="3"/>
      <c r="AI468" s="3"/>
      <c r="AJ468" s="3"/>
    </row>
    <row r="469" ht="15.75" customHeight="1">
      <c r="C469" s="2"/>
      <c r="R469" s="3"/>
      <c r="S469" s="3"/>
      <c r="T469" s="3"/>
      <c r="U469" s="3"/>
      <c r="V469" s="3"/>
      <c r="W469" s="3"/>
      <c r="X469" s="3"/>
      <c r="Y469" s="3"/>
      <c r="Z469" s="3"/>
      <c r="AA469" s="3"/>
      <c r="AB469" s="3"/>
      <c r="AC469" s="3"/>
      <c r="AD469" s="3"/>
      <c r="AE469" s="3"/>
      <c r="AF469" s="3"/>
      <c r="AG469" s="3"/>
      <c r="AH469" s="3"/>
      <c r="AI469" s="3"/>
      <c r="AJ469" s="3"/>
    </row>
    <row r="470" ht="15.75" customHeight="1">
      <c r="C470" s="2"/>
      <c r="R470" s="3"/>
      <c r="S470" s="3"/>
      <c r="T470" s="3"/>
      <c r="U470" s="3"/>
      <c r="V470" s="3"/>
      <c r="W470" s="3"/>
      <c r="X470" s="3"/>
      <c r="Y470" s="3"/>
      <c r="Z470" s="3"/>
      <c r="AA470" s="3"/>
      <c r="AB470" s="3"/>
      <c r="AC470" s="3"/>
      <c r="AD470" s="3"/>
      <c r="AE470" s="3"/>
      <c r="AF470" s="3"/>
      <c r="AG470" s="3"/>
      <c r="AH470" s="3"/>
      <c r="AI470" s="3"/>
      <c r="AJ470" s="3"/>
    </row>
    <row r="471" ht="15.75" customHeight="1">
      <c r="C471" s="2"/>
      <c r="R471" s="3"/>
      <c r="S471" s="3"/>
      <c r="T471" s="3"/>
      <c r="U471" s="3"/>
      <c r="V471" s="3"/>
      <c r="W471" s="3"/>
      <c r="X471" s="3"/>
      <c r="Y471" s="3"/>
      <c r="Z471" s="3"/>
      <c r="AA471" s="3"/>
      <c r="AB471" s="3"/>
      <c r="AC471" s="3"/>
      <c r="AD471" s="3"/>
      <c r="AE471" s="3"/>
      <c r="AF471" s="3"/>
      <c r="AG471" s="3"/>
      <c r="AH471" s="3"/>
      <c r="AI471" s="3"/>
      <c r="AJ471" s="3"/>
    </row>
    <row r="472" ht="15.75" customHeight="1">
      <c r="C472" s="2"/>
      <c r="R472" s="3"/>
      <c r="S472" s="3"/>
      <c r="T472" s="3"/>
      <c r="U472" s="3"/>
      <c r="V472" s="3"/>
      <c r="W472" s="3"/>
      <c r="X472" s="3"/>
      <c r="Y472" s="3"/>
      <c r="Z472" s="3"/>
      <c r="AA472" s="3"/>
      <c r="AB472" s="3"/>
      <c r="AC472" s="3"/>
      <c r="AD472" s="3"/>
      <c r="AE472" s="3"/>
      <c r="AF472" s="3"/>
      <c r="AG472" s="3"/>
      <c r="AH472" s="3"/>
      <c r="AI472" s="3"/>
      <c r="AJ472" s="3"/>
    </row>
    <row r="473" ht="15.75" customHeight="1">
      <c r="C473" s="2"/>
      <c r="R473" s="3"/>
      <c r="S473" s="3"/>
      <c r="T473" s="3"/>
      <c r="U473" s="3"/>
      <c r="V473" s="3"/>
      <c r="W473" s="3"/>
      <c r="X473" s="3"/>
      <c r="Y473" s="3"/>
      <c r="Z473" s="3"/>
      <c r="AA473" s="3"/>
      <c r="AB473" s="3"/>
      <c r="AC473" s="3"/>
      <c r="AD473" s="3"/>
      <c r="AE473" s="3"/>
      <c r="AF473" s="3"/>
      <c r="AG473" s="3"/>
      <c r="AH473" s="3"/>
      <c r="AI473" s="3"/>
      <c r="AJ473" s="3"/>
    </row>
    <row r="474" ht="15.75" customHeight="1">
      <c r="C474" s="2"/>
      <c r="R474" s="3"/>
      <c r="S474" s="3"/>
      <c r="T474" s="3"/>
      <c r="U474" s="3"/>
      <c r="V474" s="3"/>
      <c r="W474" s="3"/>
      <c r="X474" s="3"/>
      <c r="Y474" s="3"/>
      <c r="Z474" s="3"/>
      <c r="AA474" s="3"/>
      <c r="AB474" s="3"/>
      <c r="AC474" s="3"/>
      <c r="AD474" s="3"/>
      <c r="AE474" s="3"/>
      <c r="AF474" s="3"/>
      <c r="AG474" s="3"/>
      <c r="AH474" s="3"/>
      <c r="AI474" s="3"/>
      <c r="AJ474" s="3"/>
    </row>
    <row r="475" ht="15.75" customHeight="1">
      <c r="C475" s="2"/>
      <c r="R475" s="3"/>
      <c r="S475" s="3"/>
      <c r="T475" s="3"/>
      <c r="U475" s="3"/>
      <c r="V475" s="3"/>
      <c r="W475" s="3"/>
      <c r="X475" s="3"/>
      <c r="Y475" s="3"/>
      <c r="Z475" s="3"/>
      <c r="AA475" s="3"/>
      <c r="AB475" s="3"/>
      <c r="AC475" s="3"/>
      <c r="AD475" s="3"/>
      <c r="AE475" s="3"/>
      <c r="AF475" s="3"/>
      <c r="AG475" s="3"/>
      <c r="AH475" s="3"/>
      <c r="AI475" s="3"/>
      <c r="AJ475" s="3"/>
    </row>
    <row r="476" ht="15.75" customHeight="1">
      <c r="C476" s="2"/>
      <c r="R476" s="3"/>
      <c r="S476" s="3"/>
      <c r="T476" s="3"/>
      <c r="U476" s="3"/>
      <c r="V476" s="3"/>
      <c r="W476" s="3"/>
      <c r="X476" s="3"/>
      <c r="Y476" s="3"/>
      <c r="Z476" s="3"/>
      <c r="AA476" s="3"/>
      <c r="AB476" s="3"/>
      <c r="AC476" s="3"/>
      <c r="AD476" s="3"/>
      <c r="AE476" s="3"/>
      <c r="AF476" s="3"/>
      <c r="AG476" s="3"/>
      <c r="AH476" s="3"/>
      <c r="AI476" s="3"/>
      <c r="AJ476" s="3"/>
    </row>
    <row r="477" ht="15.75" customHeight="1">
      <c r="C477" s="2"/>
      <c r="R477" s="3"/>
      <c r="S477" s="3"/>
      <c r="T477" s="3"/>
      <c r="U477" s="3"/>
      <c r="V477" s="3"/>
      <c r="W477" s="3"/>
      <c r="X477" s="3"/>
      <c r="Y477" s="3"/>
      <c r="Z477" s="3"/>
      <c r="AA477" s="3"/>
      <c r="AB477" s="3"/>
      <c r="AC477" s="3"/>
      <c r="AD477" s="3"/>
      <c r="AE477" s="3"/>
      <c r="AF477" s="3"/>
      <c r="AG477" s="3"/>
      <c r="AH477" s="3"/>
      <c r="AI477" s="3"/>
      <c r="AJ477" s="3"/>
    </row>
    <row r="478" ht="15.75" customHeight="1">
      <c r="C478" s="2"/>
      <c r="R478" s="3"/>
      <c r="S478" s="3"/>
      <c r="T478" s="3"/>
      <c r="U478" s="3"/>
      <c r="V478" s="3"/>
      <c r="W478" s="3"/>
      <c r="X478" s="3"/>
      <c r="Y478" s="3"/>
      <c r="Z478" s="3"/>
      <c r="AA478" s="3"/>
      <c r="AB478" s="3"/>
      <c r="AC478" s="3"/>
      <c r="AD478" s="3"/>
      <c r="AE478" s="3"/>
      <c r="AF478" s="3"/>
      <c r="AG478" s="3"/>
      <c r="AH478" s="3"/>
      <c r="AI478" s="3"/>
      <c r="AJ478" s="3"/>
    </row>
    <row r="479" ht="15.75" customHeight="1">
      <c r="C479" s="2"/>
      <c r="R479" s="3"/>
      <c r="S479" s="3"/>
      <c r="T479" s="3"/>
      <c r="U479" s="3"/>
      <c r="V479" s="3"/>
      <c r="W479" s="3"/>
      <c r="X479" s="3"/>
      <c r="Y479" s="3"/>
      <c r="Z479" s="3"/>
      <c r="AA479" s="3"/>
      <c r="AB479" s="3"/>
      <c r="AC479" s="3"/>
      <c r="AD479" s="3"/>
      <c r="AE479" s="3"/>
      <c r="AF479" s="3"/>
      <c r="AG479" s="3"/>
      <c r="AH479" s="3"/>
      <c r="AI479" s="3"/>
      <c r="AJ479" s="3"/>
    </row>
    <row r="480" ht="15.75" customHeight="1">
      <c r="C480" s="2"/>
      <c r="R480" s="3"/>
      <c r="S480" s="3"/>
      <c r="T480" s="3"/>
      <c r="U480" s="3"/>
      <c r="V480" s="3"/>
      <c r="W480" s="3"/>
      <c r="X480" s="3"/>
      <c r="Y480" s="3"/>
      <c r="Z480" s="3"/>
      <c r="AA480" s="3"/>
      <c r="AB480" s="3"/>
      <c r="AC480" s="3"/>
      <c r="AD480" s="3"/>
      <c r="AE480" s="3"/>
      <c r="AF480" s="3"/>
      <c r="AG480" s="3"/>
      <c r="AH480" s="3"/>
      <c r="AI480" s="3"/>
      <c r="AJ480" s="3"/>
    </row>
    <row r="481" ht="15.75" customHeight="1">
      <c r="C481" s="2"/>
      <c r="R481" s="3"/>
      <c r="S481" s="3"/>
      <c r="T481" s="3"/>
      <c r="U481" s="3"/>
      <c r="V481" s="3"/>
      <c r="W481" s="3"/>
      <c r="X481" s="3"/>
      <c r="Y481" s="3"/>
      <c r="Z481" s="3"/>
      <c r="AA481" s="3"/>
      <c r="AB481" s="3"/>
      <c r="AC481" s="3"/>
      <c r="AD481" s="3"/>
      <c r="AE481" s="3"/>
      <c r="AF481" s="3"/>
      <c r="AG481" s="3"/>
      <c r="AH481" s="3"/>
      <c r="AI481" s="3"/>
      <c r="AJ481" s="3"/>
    </row>
    <row r="482" ht="15.75" customHeight="1">
      <c r="C482" s="2"/>
      <c r="R482" s="3"/>
      <c r="S482" s="3"/>
      <c r="T482" s="3"/>
      <c r="U482" s="3"/>
      <c r="V482" s="3"/>
      <c r="W482" s="3"/>
      <c r="X482" s="3"/>
      <c r="Y482" s="3"/>
      <c r="Z482" s="3"/>
      <c r="AA482" s="3"/>
      <c r="AB482" s="3"/>
      <c r="AC482" s="3"/>
      <c r="AD482" s="3"/>
      <c r="AE482" s="3"/>
      <c r="AF482" s="3"/>
      <c r="AG482" s="3"/>
      <c r="AH482" s="3"/>
      <c r="AI482" s="3"/>
      <c r="AJ482" s="3"/>
    </row>
    <row r="483" ht="15.75" customHeight="1">
      <c r="C483" s="2"/>
      <c r="R483" s="3"/>
      <c r="S483" s="3"/>
      <c r="T483" s="3"/>
      <c r="U483" s="3"/>
      <c r="V483" s="3"/>
      <c r="W483" s="3"/>
      <c r="X483" s="3"/>
      <c r="Y483" s="3"/>
      <c r="Z483" s="3"/>
      <c r="AA483" s="3"/>
      <c r="AB483" s="3"/>
      <c r="AC483" s="3"/>
      <c r="AD483" s="3"/>
      <c r="AE483" s="3"/>
      <c r="AF483" s="3"/>
      <c r="AG483" s="3"/>
      <c r="AH483" s="3"/>
      <c r="AI483" s="3"/>
      <c r="AJ483" s="3"/>
    </row>
    <row r="484" ht="15.75" customHeight="1">
      <c r="C484" s="2"/>
      <c r="R484" s="3"/>
      <c r="S484" s="3"/>
      <c r="T484" s="3"/>
      <c r="U484" s="3"/>
      <c r="V484" s="3"/>
      <c r="W484" s="3"/>
      <c r="X484" s="3"/>
      <c r="Y484" s="3"/>
      <c r="Z484" s="3"/>
      <c r="AA484" s="3"/>
      <c r="AB484" s="3"/>
      <c r="AC484" s="3"/>
      <c r="AD484" s="3"/>
      <c r="AE484" s="3"/>
      <c r="AF484" s="3"/>
      <c r="AG484" s="3"/>
      <c r="AH484" s="3"/>
      <c r="AI484" s="3"/>
      <c r="AJ484" s="3"/>
    </row>
    <row r="485" ht="15.75" customHeight="1">
      <c r="C485" s="2"/>
      <c r="R485" s="3"/>
      <c r="S485" s="3"/>
      <c r="T485" s="3"/>
      <c r="U485" s="3"/>
      <c r="V485" s="3"/>
      <c r="W485" s="3"/>
      <c r="X485" s="3"/>
      <c r="Y485" s="3"/>
      <c r="Z485" s="3"/>
      <c r="AA485" s="3"/>
      <c r="AB485" s="3"/>
      <c r="AC485" s="3"/>
      <c r="AD485" s="3"/>
      <c r="AE485" s="3"/>
      <c r="AF485" s="3"/>
      <c r="AG485" s="3"/>
      <c r="AH485" s="3"/>
      <c r="AI485" s="3"/>
      <c r="AJ485" s="3"/>
    </row>
    <row r="486" ht="15.75" customHeight="1">
      <c r="C486" s="2"/>
      <c r="R486" s="3"/>
      <c r="S486" s="3"/>
      <c r="T486" s="3"/>
      <c r="U486" s="3"/>
      <c r="V486" s="3"/>
      <c r="W486" s="3"/>
      <c r="X486" s="3"/>
      <c r="Y486" s="3"/>
      <c r="Z486" s="3"/>
      <c r="AA486" s="3"/>
      <c r="AB486" s="3"/>
      <c r="AC486" s="3"/>
      <c r="AD486" s="3"/>
      <c r="AE486" s="3"/>
      <c r="AF486" s="3"/>
      <c r="AG486" s="3"/>
      <c r="AH486" s="3"/>
      <c r="AI486" s="3"/>
      <c r="AJ486" s="3"/>
    </row>
    <row r="487" ht="15.75" customHeight="1">
      <c r="C487" s="2"/>
      <c r="R487" s="3"/>
      <c r="S487" s="3"/>
      <c r="T487" s="3"/>
      <c r="U487" s="3"/>
      <c r="V487" s="3"/>
      <c r="W487" s="3"/>
      <c r="X487" s="3"/>
      <c r="Y487" s="3"/>
      <c r="Z487" s="3"/>
      <c r="AA487" s="3"/>
      <c r="AB487" s="3"/>
      <c r="AC487" s="3"/>
      <c r="AD487" s="3"/>
      <c r="AE487" s="3"/>
      <c r="AF487" s="3"/>
      <c r="AG487" s="3"/>
      <c r="AH487" s="3"/>
      <c r="AI487" s="3"/>
      <c r="AJ487" s="3"/>
    </row>
    <row r="488" ht="15.75" customHeight="1">
      <c r="C488" s="2"/>
      <c r="R488" s="3"/>
      <c r="S488" s="3"/>
      <c r="T488" s="3"/>
      <c r="U488" s="3"/>
      <c r="V488" s="3"/>
      <c r="W488" s="3"/>
      <c r="X488" s="3"/>
      <c r="Y488" s="3"/>
      <c r="Z488" s="3"/>
      <c r="AA488" s="3"/>
      <c r="AB488" s="3"/>
      <c r="AC488" s="3"/>
      <c r="AD488" s="3"/>
      <c r="AE488" s="3"/>
      <c r="AF488" s="3"/>
      <c r="AG488" s="3"/>
      <c r="AH488" s="3"/>
      <c r="AI488" s="3"/>
      <c r="AJ488" s="3"/>
    </row>
    <row r="489" ht="15.75" customHeight="1">
      <c r="C489" s="2"/>
      <c r="R489" s="3"/>
      <c r="S489" s="3"/>
      <c r="T489" s="3"/>
      <c r="U489" s="3"/>
      <c r="V489" s="3"/>
      <c r="W489" s="3"/>
      <c r="X489" s="3"/>
      <c r="Y489" s="3"/>
      <c r="Z489" s="3"/>
      <c r="AA489" s="3"/>
      <c r="AB489" s="3"/>
      <c r="AC489" s="3"/>
      <c r="AD489" s="3"/>
      <c r="AE489" s="3"/>
      <c r="AF489" s="3"/>
      <c r="AG489" s="3"/>
      <c r="AH489" s="3"/>
      <c r="AI489" s="3"/>
      <c r="AJ489" s="3"/>
    </row>
    <row r="490" ht="15.75" customHeight="1">
      <c r="C490" s="2"/>
      <c r="R490" s="3"/>
      <c r="S490" s="3"/>
      <c r="T490" s="3"/>
      <c r="U490" s="3"/>
      <c r="V490" s="3"/>
      <c r="W490" s="3"/>
      <c r="X490" s="3"/>
      <c r="Y490" s="3"/>
      <c r="Z490" s="3"/>
      <c r="AA490" s="3"/>
      <c r="AB490" s="3"/>
      <c r="AC490" s="3"/>
      <c r="AD490" s="3"/>
      <c r="AE490" s="3"/>
      <c r="AF490" s="3"/>
      <c r="AG490" s="3"/>
      <c r="AH490" s="3"/>
      <c r="AI490" s="3"/>
      <c r="AJ490" s="3"/>
    </row>
    <row r="491" ht="15.75" customHeight="1">
      <c r="C491" s="2"/>
      <c r="R491" s="3"/>
      <c r="S491" s="3"/>
      <c r="T491" s="3"/>
      <c r="U491" s="3"/>
      <c r="V491" s="3"/>
      <c r="W491" s="3"/>
      <c r="X491" s="3"/>
      <c r="Y491" s="3"/>
      <c r="Z491" s="3"/>
      <c r="AA491" s="3"/>
      <c r="AB491" s="3"/>
      <c r="AC491" s="3"/>
      <c r="AD491" s="3"/>
      <c r="AE491" s="3"/>
      <c r="AF491" s="3"/>
      <c r="AG491" s="3"/>
      <c r="AH491" s="3"/>
      <c r="AI491" s="3"/>
      <c r="AJ491" s="3"/>
    </row>
    <row r="492" ht="15.75" customHeight="1">
      <c r="C492" s="2"/>
      <c r="R492" s="3"/>
      <c r="S492" s="3"/>
      <c r="T492" s="3"/>
      <c r="U492" s="3"/>
      <c r="V492" s="3"/>
      <c r="W492" s="3"/>
      <c r="X492" s="3"/>
      <c r="Y492" s="3"/>
      <c r="Z492" s="3"/>
      <c r="AA492" s="3"/>
      <c r="AB492" s="3"/>
      <c r="AC492" s="3"/>
      <c r="AD492" s="3"/>
      <c r="AE492" s="3"/>
      <c r="AF492" s="3"/>
      <c r="AG492" s="3"/>
      <c r="AH492" s="3"/>
      <c r="AI492" s="3"/>
      <c r="AJ492" s="3"/>
    </row>
    <row r="493" ht="15.75" customHeight="1">
      <c r="C493" s="2"/>
      <c r="R493" s="3"/>
      <c r="S493" s="3"/>
      <c r="T493" s="3"/>
      <c r="U493" s="3"/>
      <c r="V493" s="3"/>
      <c r="W493" s="3"/>
      <c r="X493" s="3"/>
      <c r="Y493" s="3"/>
      <c r="Z493" s="3"/>
      <c r="AA493" s="3"/>
      <c r="AB493" s="3"/>
      <c r="AC493" s="3"/>
      <c r="AD493" s="3"/>
      <c r="AE493" s="3"/>
      <c r="AF493" s="3"/>
      <c r="AG493" s="3"/>
      <c r="AH493" s="3"/>
      <c r="AI493" s="3"/>
      <c r="AJ493" s="3"/>
    </row>
    <row r="494" ht="15.75" customHeight="1">
      <c r="C494" s="2"/>
      <c r="R494" s="3"/>
      <c r="S494" s="3"/>
      <c r="T494" s="3"/>
      <c r="U494" s="3"/>
      <c r="V494" s="3"/>
      <c r="W494" s="3"/>
      <c r="X494" s="3"/>
      <c r="Y494" s="3"/>
      <c r="Z494" s="3"/>
      <c r="AA494" s="3"/>
      <c r="AB494" s="3"/>
      <c r="AC494" s="3"/>
      <c r="AD494" s="3"/>
      <c r="AE494" s="3"/>
      <c r="AF494" s="3"/>
      <c r="AG494" s="3"/>
      <c r="AH494" s="3"/>
      <c r="AI494" s="3"/>
      <c r="AJ494" s="3"/>
    </row>
    <row r="495" ht="15.75" customHeight="1">
      <c r="C495" s="2"/>
      <c r="R495" s="3"/>
      <c r="S495" s="3"/>
      <c r="T495" s="3"/>
      <c r="U495" s="3"/>
      <c r="V495" s="3"/>
      <c r="W495" s="3"/>
      <c r="X495" s="3"/>
      <c r="Y495" s="3"/>
      <c r="Z495" s="3"/>
      <c r="AA495" s="3"/>
      <c r="AB495" s="3"/>
      <c r="AC495" s="3"/>
      <c r="AD495" s="3"/>
      <c r="AE495" s="3"/>
      <c r="AF495" s="3"/>
      <c r="AG495" s="3"/>
      <c r="AH495" s="3"/>
      <c r="AI495" s="3"/>
      <c r="AJ495" s="3"/>
    </row>
    <row r="496" ht="15.75" customHeight="1">
      <c r="C496" s="2"/>
      <c r="R496" s="3"/>
      <c r="S496" s="3"/>
      <c r="T496" s="3"/>
      <c r="U496" s="3"/>
      <c r="V496" s="3"/>
      <c r="W496" s="3"/>
      <c r="X496" s="3"/>
      <c r="Y496" s="3"/>
      <c r="Z496" s="3"/>
      <c r="AA496" s="3"/>
      <c r="AB496" s="3"/>
      <c r="AC496" s="3"/>
      <c r="AD496" s="3"/>
      <c r="AE496" s="3"/>
      <c r="AF496" s="3"/>
      <c r="AG496" s="3"/>
      <c r="AH496" s="3"/>
      <c r="AI496" s="3"/>
      <c r="AJ496" s="3"/>
    </row>
    <row r="497" ht="15.75" customHeight="1">
      <c r="C497" s="2"/>
      <c r="R497" s="3"/>
      <c r="S497" s="3"/>
      <c r="T497" s="3"/>
      <c r="U497" s="3"/>
      <c r="V497" s="3"/>
      <c r="W497" s="3"/>
      <c r="X497" s="3"/>
      <c r="Y497" s="3"/>
      <c r="Z497" s="3"/>
      <c r="AA497" s="3"/>
      <c r="AB497" s="3"/>
      <c r="AC497" s="3"/>
      <c r="AD497" s="3"/>
      <c r="AE497" s="3"/>
      <c r="AF497" s="3"/>
      <c r="AG497" s="3"/>
      <c r="AH497" s="3"/>
      <c r="AI497" s="3"/>
      <c r="AJ497" s="3"/>
    </row>
    <row r="498" ht="15.75" customHeight="1">
      <c r="C498" s="2"/>
      <c r="R498" s="3"/>
      <c r="S498" s="3"/>
      <c r="T498" s="3"/>
      <c r="U498" s="3"/>
      <c r="V498" s="3"/>
      <c r="W498" s="3"/>
      <c r="X498" s="3"/>
      <c r="Y498" s="3"/>
      <c r="Z498" s="3"/>
      <c r="AA498" s="3"/>
      <c r="AB498" s="3"/>
      <c r="AC498" s="3"/>
      <c r="AD498" s="3"/>
      <c r="AE498" s="3"/>
      <c r="AF498" s="3"/>
      <c r="AG498" s="3"/>
      <c r="AH498" s="3"/>
      <c r="AI498" s="3"/>
      <c r="AJ498" s="3"/>
    </row>
    <row r="499" ht="15.75" customHeight="1">
      <c r="C499" s="2"/>
      <c r="R499" s="3"/>
      <c r="S499" s="3"/>
      <c r="T499" s="3"/>
      <c r="U499" s="3"/>
      <c r="V499" s="3"/>
      <c r="W499" s="3"/>
      <c r="X499" s="3"/>
      <c r="Y499" s="3"/>
      <c r="Z499" s="3"/>
      <c r="AA499" s="3"/>
      <c r="AB499" s="3"/>
      <c r="AC499" s="3"/>
      <c r="AD499" s="3"/>
      <c r="AE499" s="3"/>
      <c r="AF499" s="3"/>
      <c r="AG499" s="3"/>
      <c r="AH499" s="3"/>
      <c r="AI499" s="3"/>
      <c r="AJ499" s="3"/>
    </row>
    <row r="500" ht="15.75" customHeight="1">
      <c r="C500" s="2"/>
      <c r="R500" s="3"/>
      <c r="S500" s="3"/>
      <c r="T500" s="3"/>
      <c r="U500" s="3"/>
      <c r="V500" s="3"/>
      <c r="W500" s="3"/>
      <c r="X500" s="3"/>
      <c r="Y500" s="3"/>
      <c r="Z500" s="3"/>
      <c r="AA500" s="3"/>
      <c r="AB500" s="3"/>
      <c r="AC500" s="3"/>
      <c r="AD500" s="3"/>
      <c r="AE500" s="3"/>
      <c r="AF500" s="3"/>
      <c r="AG500" s="3"/>
      <c r="AH500" s="3"/>
      <c r="AI500" s="3"/>
      <c r="AJ500" s="3"/>
    </row>
    <row r="501" ht="15.75" customHeight="1">
      <c r="C501" s="2"/>
      <c r="R501" s="3"/>
      <c r="S501" s="3"/>
      <c r="T501" s="3"/>
      <c r="U501" s="3"/>
      <c r="V501" s="3"/>
      <c r="W501" s="3"/>
      <c r="X501" s="3"/>
      <c r="Y501" s="3"/>
      <c r="Z501" s="3"/>
      <c r="AA501" s="3"/>
      <c r="AB501" s="3"/>
      <c r="AC501" s="3"/>
      <c r="AD501" s="3"/>
      <c r="AE501" s="3"/>
      <c r="AF501" s="3"/>
      <c r="AG501" s="3"/>
      <c r="AH501" s="3"/>
      <c r="AI501" s="3"/>
      <c r="AJ501" s="3"/>
    </row>
    <row r="502" ht="15.75" customHeight="1">
      <c r="C502" s="2"/>
      <c r="R502" s="3"/>
      <c r="S502" s="3"/>
      <c r="T502" s="3"/>
      <c r="U502" s="3"/>
      <c r="V502" s="3"/>
      <c r="W502" s="3"/>
      <c r="X502" s="3"/>
      <c r="Y502" s="3"/>
      <c r="Z502" s="3"/>
      <c r="AA502" s="3"/>
      <c r="AB502" s="3"/>
      <c r="AC502" s="3"/>
      <c r="AD502" s="3"/>
      <c r="AE502" s="3"/>
      <c r="AF502" s="3"/>
      <c r="AG502" s="3"/>
      <c r="AH502" s="3"/>
      <c r="AI502" s="3"/>
      <c r="AJ502" s="3"/>
    </row>
    <row r="503" ht="15.75" customHeight="1">
      <c r="C503" s="2"/>
      <c r="R503" s="3"/>
      <c r="S503" s="3"/>
      <c r="T503" s="3"/>
      <c r="U503" s="3"/>
      <c r="V503" s="3"/>
      <c r="W503" s="3"/>
      <c r="X503" s="3"/>
      <c r="Y503" s="3"/>
      <c r="Z503" s="3"/>
      <c r="AA503" s="3"/>
      <c r="AB503" s="3"/>
      <c r="AC503" s="3"/>
      <c r="AD503" s="3"/>
      <c r="AE503" s="3"/>
      <c r="AF503" s="3"/>
      <c r="AG503" s="3"/>
      <c r="AH503" s="3"/>
      <c r="AI503" s="3"/>
      <c r="AJ503" s="3"/>
    </row>
    <row r="504" ht="15.75" customHeight="1">
      <c r="C504" s="2"/>
      <c r="R504" s="3"/>
      <c r="S504" s="3"/>
      <c r="T504" s="3"/>
      <c r="U504" s="3"/>
      <c r="V504" s="3"/>
      <c r="W504" s="3"/>
      <c r="X504" s="3"/>
      <c r="Y504" s="3"/>
      <c r="Z504" s="3"/>
      <c r="AA504" s="3"/>
      <c r="AB504" s="3"/>
      <c r="AC504" s="3"/>
      <c r="AD504" s="3"/>
      <c r="AE504" s="3"/>
      <c r="AF504" s="3"/>
      <c r="AG504" s="3"/>
      <c r="AH504" s="3"/>
      <c r="AI504" s="3"/>
      <c r="AJ504" s="3"/>
    </row>
    <row r="505" ht="15.75" customHeight="1">
      <c r="C505" s="2"/>
      <c r="R505" s="3"/>
      <c r="S505" s="3"/>
      <c r="T505" s="3"/>
      <c r="U505" s="3"/>
      <c r="V505" s="3"/>
      <c r="W505" s="3"/>
      <c r="X505" s="3"/>
      <c r="Y505" s="3"/>
      <c r="Z505" s="3"/>
      <c r="AA505" s="3"/>
      <c r="AB505" s="3"/>
      <c r="AC505" s="3"/>
      <c r="AD505" s="3"/>
      <c r="AE505" s="3"/>
      <c r="AF505" s="3"/>
      <c r="AG505" s="3"/>
      <c r="AH505" s="3"/>
      <c r="AI505" s="3"/>
      <c r="AJ505" s="3"/>
    </row>
    <row r="506" ht="15.75" customHeight="1">
      <c r="C506" s="2"/>
      <c r="R506" s="3"/>
      <c r="S506" s="3"/>
      <c r="T506" s="3"/>
      <c r="U506" s="3"/>
      <c r="V506" s="3"/>
      <c r="W506" s="3"/>
      <c r="X506" s="3"/>
      <c r="Y506" s="3"/>
      <c r="Z506" s="3"/>
      <c r="AA506" s="3"/>
      <c r="AB506" s="3"/>
      <c r="AC506" s="3"/>
      <c r="AD506" s="3"/>
      <c r="AE506" s="3"/>
      <c r="AF506" s="3"/>
      <c r="AG506" s="3"/>
      <c r="AH506" s="3"/>
      <c r="AI506" s="3"/>
      <c r="AJ506" s="3"/>
    </row>
    <row r="507" ht="15.75" customHeight="1">
      <c r="C507" s="2"/>
      <c r="R507" s="3"/>
      <c r="S507" s="3"/>
      <c r="T507" s="3"/>
      <c r="U507" s="3"/>
      <c r="V507" s="3"/>
      <c r="W507" s="3"/>
      <c r="X507" s="3"/>
      <c r="Y507" s="3"/>
      <c r="Z507" s="3"/>
      <c r="AA507" s="3"/>
      <c r="AB507" s="3"/>
      <c r="AC507" s="3"/>
      <c r="AD507" s="3"/>
      <c r="AE507" s="3"/>
      <c r="AF507" s="3"/>
      <c r="AG507" s="3"/>
      <c r="AH507" s="3"/>
      <c r="AI507" s="3"/>
      <c r="AJ507" s="3"/>
    </row>
    <row r="508" ht="15.75" customHeight="1">
      <c r="C508" s="2"/>
      <c r="R508" s="3"/>
      <c r="S508" s="3"/>
      <c r="T508" s="3"/>
      <c r="U508" s="3"/>
      <c r="V508" s="3"/>
      <c r="W508" s="3"/>
      <c r="X508" s="3"/>
      <c r="Y508" s="3"/>
      <c r="Z508" s="3"/>
      <c r="AA508" s="3"/>
      <c r="AB508" s="3"/>
      <c r="AC508" s="3"/>
      <c r="AD508" s="3"/>
      <c r="AE508" s="3"/>
      <c r="AF508" s="3"/>
      <c r="AG508" s="3"/>
      <c r="AH508" s="3"/>
      <c r="AI508" s="3"/>
      <c r="AJ508" s="3"/>
    </row>
    <row r="509" ht="15.75" customHeight="1">
      <c r="C509" s="2"/>
      <c r="R509" s="3"/>
      <c r="S509" s="3"/>
      <c r="T509" s="3"/>
      <c r="U509" s="3"/>
      <c r="V509" s="3"/>
      <c r="W509" s="3"/>
      <c r="X509" s="3"/>
      <c r="Y509" s="3"/>
      <c r="Z509" s="3"/>
      <c r="AA509" s="3"/>
      <c r="AB509" s="3"/>
      <c r="AC509" s="3"/>
      <c r="AD509" s="3"/>
      <c r="AE509" s="3"/>
      <c r="AF509" s="3"/>
      <c r="AG509" s="3"/>
      <c r="AH509" s="3"/>
      <c r="AI509" s="3"/>
      <c r="AJ509" s="3"/>
    </row>
    <row r="510" ht="15.75" customHeight="1">
      <c r="C510" s="2"/>
      <c r="R510" s="3"/>
      <c r="S510" s="3"/>
      <c r="T510" s="3"/>
      <c r="U510" s="3"/>
      <c r="V510" s="3"/>
      <c r="W510" s="3"/>
      <c r="X510" s="3"/>
      <c r="Y510" s="3"/>
      <c r="Z510" s="3"/>
      <c r="AA510" s="3"/>
      <c r="AB510" s="3"/>
      <c r="AC510" s="3"/>
      <c r="AD510" s="3"/>
      <c r="AE510" s="3"/>
      <c r="AF510" s="3"/>
      <c r="AG510" s="3"/>
      <c r="AH510" s="3"/>
      <c r="AI510" s="3"/>
      <c r="AJ510" s="3"/>
    </row>
    <row r="511" ht="15.75" customHeight="1">
      <c r="C511" s="2"/>
      <c r="R511" s="3"/>
      <c r="S511" s="3"/>
      <c r="T511" s="3"/>
      <c r="U511" s="3"/>
      <c r="V511" s="3"/>
      <c r="W511" s="3"/>
      <c r="X511" s="3"/>
      <c r="Y511" s="3"/>
      <c r="Z511" s="3"/>
      <c r="AA511" s="3"/>
      <c r="AB511" s="3"/>
      <c r="AC511" s="3"/>
      <c r="AD511" s="3"/>
      <c r="AE511" s="3"/>
      <c r="AF511" s="3"/>
      <c r="AG511" s="3"/>
      <c r="AH511" s="3"/>
      <c r="AI511" s="3"/>
      <c r="AJ511" s="3"/>
    </row>
    <row r="512" ht="15.75" customHeight="1">
      <c r="C512" s="2"/>
      <c r="R512" s="3"/>
      <c r="S512" s="3"/>
      <c r="T512" s="3"/>
      <c r="U512" s="3"/>
      <c r="V512" s="3"/>
      <c r="W512" s="3"/>
      <c r="X512" s="3"/>
      <c r="Y512" s="3"/>
      <c r="Z512" s="3"/>
      <c r="AA512" s="3"/>
      <c r="AB512" s="3"/>
      <c r="AC512" s="3"/>
      <c r="AD512" s="3"/>
      <c r="AE512" s="3"/>
      <c r="AF512" s="3"/>
      <c r="AG512" s="3"/>
      <c r="AH512" s="3"/>
      <c r="AI512" s="3"/>
      <c r="AJ512" s="3"/>
    </row>
    <row r="513" ht="15.75" customHeight="1">
      <c r="C513" s="2"/>
      <c r="R513" s="3"/>
      <c r="S513" s="3"/>
      <c r="T513" s="3"/>
      <c r="U513" s="3"/>
      <c r="V513" s="3"/>
      <c r="W513" s="3"/>
      <c r="X513" s="3"/>
      <c r="Y513" s="3"/>
      <c r="Z513" s="3"/>
      <c r="AA513" s="3"/>
      <c r="AB513" s="3"/>
      <c r="AC513" s="3"/>
      <c r="AD513" s="3"/>
      <c r="AE513" s="3"/>
      <c r="AF513" s="3"/>
      <c r="AG513" s="3"/>
      <c r="AH513" s="3"/>
      <c r="AI513" s="3"/>
      <c r="AJ513" s="3"/>
    </row>
    <row r="514" ht="15.75" customHeight="1">
      <c r="C514" s="2"/>
      <c r="R514" s="3"/>
      <c r="S514" s="3"/>
      <c r="T514" s="3"/>
      <c r="U514" s="3"/>
      <c r="V514" s="3"/>
      <c r="W514" s="3"/>
      <c r="X514" s="3"/>
      <c r="Y514" s="3"/>
      <c r="Z514" s="3"/>
      <c r="AA514" s="3"/>
      <c r="AB514" s="3"/>
      <c r="AC514" s="3"/>
      <c r="AD514" s="3"/>
      <c r="AE514" s="3"/>
      <c r="AF514" s="3"/>
      <c r="AG514" s="3"/>
      <c r="AH514" s="3"/>
      <c r="AI514" s="3"/>
      <c r="AJ514" s="3"/>
    </row>
    <row r="515" ht="15.75" customHeight="1">
      <c r="C515" s="2"/>
      <c r="R515" s="3"/>
      <c r="S515" s="3"/>
      <c r="T515" s="3"/>
      <c r="U515" s="3"/>
      <c r="V515" s="3"/>
      <c r="W515" s="3"/>
      <c r="X515" s="3"/>
      <c r="Y515" s="3"/>
      <c r="Z515" s="3"/>
      <c r="AA515" s="3"/>
      <c r="AB515" s="3"/>
      <c r="AC515" s="3"/>
      <c r="AD515" s="3"/>
      <c r="AE515" s="3"/>
      <c r="AF515" s="3"/>
      <c r="AG515" s="3"/>
      <c r="AH515" s="3"/>
      <c r="AI515" s="3"/>
      <c r="AJ515" s="3"/>
    </row>
    <row r="516" ht="15.75" customHeight="1">
      <c r="C516" s="2"/>
      <c r="R516" s="3"/>
      <c r="S516" s="3"/>
      <c r="T516" s="3"/>
      <c r="U516" s="3"/>
      <c r="V516" s="3"/>
      <c r="W516" s="3"/>
      <c r="X516" s="3"/>
      <c r="Y516" s="3"/>
      <c r="Z516" s="3"/>
      <c r="AA516" s="3"/>
      <c r="AB516" s="3"/>
      <c r="AC516" s="3"/>
      <c r="AD516" s="3"/>
      <c r="AE516" s="3"/>
      <c r="AF516" s="3"/>
      <c r="AG516" s="3"/>
      <c r="AH516" s="3"/>
      <c r="AI516" s="3"/>
      <c r="AJ516" s="3"/>
    </row>
    <row r="517" ht="15.75" customHeight="1">
      <c r="C517" s="2"/>
      <c r="R517" s="3"/>
      <c r="S517" s="3"/>
      <c r="T517" s="3"/>
      <c r="U517" s="3"/>
      <c r="V517" s="3"/>
      <c r="W517" s="3"/>
      <c r="X517" s="3"/>
      <c r="Y517" s="3"/>
      <c r="Z517" s="3"/>
      <c r="AA517" s="3"/>
      <c r="AB517" s="3"/>
      <c r="AC517" s="3"/>
      <c r="AD517" s="3"/>
      <c r="AE517" s="3"/>
      <c r="AF517" s="3"/>
      <c r="AG517" s="3"/>
      <c r="AH517" s="3"/>
      <c r="AI517" s="3"/>
      <c r="AJ517" s="3"/>
    </row>
    <row r="518" ht="15.75" customHeight="1">
      <c r="C518" s="2"/>
      <c r="R518" s="3"/>
      <c r="S518" s="3"/>
      <c r="T518" s="3"/>
      <c r="U518" s="3"/>
      <c r="V518" s="3"/>
      <c r="W518" s="3"/>
      <c r="X518" s="3"/>
      <c r="Y518" s="3"/>
      <c r="Z518" s="3"/>
      <c r="AA518" s="3"/>
      <c r="AB518" s="3"/>
      <c r="AC518" s="3"/>
      <c r="AD518" s="3"/>
      <c r="AE518" s="3"/>
      <c r="AF518" s="3"/>
      <c r="AG518" s="3"/>
      <c r="AH518" s="3"/>
      <c r="AI518" s="3"/>
      <c r="AJ518" s="3"/>
    </row>
    <row r="519" ht="15.75" customHeight="1">
      <c r="C519" s="2"/>
      <c r="R519" s="3"/>
      <c r="S519" s="3"/>
      <c r="T519" s="3"/>
      <c r="U519" s="3"/>
      <c r="V519" s="3"/>
      <c r="W519" s="3"/>
      <c r="X519" s="3"/>
      <c r="Y519" s="3"/>
      <c r="Z519" s="3"/>
      <c r="AA519" s="3"/>
      <c r="AB519" s="3"/>
      <c r="AC519" s="3"/>
      <c r="AD519" s="3"/>
      <c r="AE519" s="3"/>
      <c r="AF519" s="3"/>
      <c r="AG519" s="3"/>
      <c r="AH519" s="3"/>
      <c r="AI519" s="3"/>
      <c r="AJ519" s="3"/>
    </row>
    <row r="520" ht="15.75" customHeight="1">
      <c r="C520" s="2"/>
      <c r="R520" s="3"/>
      <c r="S520" s="3"/>
      <c r="T520" s="3"/>
      <c r="U520" s="3"/>
      <c r="V520" s="3"/>
      <c r="W520" s="3"/>
      <c r="X520" s="3"/>
      <c r="Y520" s="3"/>
      <c r="Z520" s="3"/>
      <c r="AA520" s="3"/>
      <c r="AB520" s="3"/>
      <c r="AC520" s="3"/>
      <c r="AD520" s="3"/>
      <c r="AE520" s="3"/>
      <c r="AF520" s="3"/>
      <c r="AG520" s="3"/>
      <c r="AH520" s="3"/>
      <c r="AI520" s="3"/>
      <c r="AJ520" s="3"/>
    </row>
    <row r="521" ht="15.75" customHeight="1">
      <c r="C521" s="2"/>
      <c r="R521" s="3"/>
      <c r="S521" s="3"/>
      <c r="T521" s="3"/>
      <c r="U521" s="3"/>
      <c r="V521" s="3"/>
      <c r="W521" s="3"/>
      <c r="X521" s="3"/>
      <c r="Y521" s="3"/>
      <c r="Z521" s="3"/>
      <c r="AA521" s="3"/>
      <c r="AB521" s="3"/>
      <c r="AC521" s="3"/>
      <c r="AD521" s="3"/>
      <c r="AE521" s="3"/>
      <c r="AF521" s="3"/>
      <c r="AG521" s="3"/>
      <c r="AH521" s="3"/>
      <c r="AI521" s="3"/>
      <c r="AJ521" s="3"/>
    </row>
    <row r="522" ht="15.75" customHeight="1">
      <c r="C522" s="2"/>
      <c r="R522" s="3"/>
      <c r="S522" s="3"/>
      <c r="T522" s="3"/>
      <c r="U522" s="3"/>
      <c r="V522" s="3"/>
      <c r="W522" s="3"/>
      <c r="X522" s="3"/>
      <c r="Y522" s="3"/>
      <c r="Z522" s="3"/>
      <c r="AA522" s="3"/>
      <c r="AB522" s="3"/>
      <c r="AC522" s="3"/>
      <c r="AD522" s="3"/>
      <c r="AE522" s="3"/>
      <c r="AF522" s="3"/>
      <c r="AG522" s="3"/>
      <c r="AH522" s="3"/>
      <c r="AI522" s="3"/>
      <c r="AJ522" s="3"/>
    </row>
    <row r="523" ht="15.75" customHeight="1">
      <c r="C523" s="2"/>
      <c r="R523" s="3"/>
      <c r="S523" s="3"/>
      <c r="T523" s="3"/>
      <c r="U523" s="3"/>
      <c r="V523" s="3"/>
      <c r="W523" s="3"/>
      <c r="X523" s="3"/>
      <c r="Y523" s="3"/>
      <c r="Z523" s="3"/>
      <c r="AA523" s="3"/>
      <c r="AB523" s="3"/>
      <c r="AC523" s="3"/>
      <c r="AD523" s="3"/>
      <c r="AE523" s="3"/>
      <c r="AF523" s="3"/>
      <c r="AG523" s="3"/>
      <c r="AH523" s="3"/>
      <c r="AI523" s="3"/>
      <c r="AJ523" s="3"/>
    </row>
    <row r="524" ht="15.75" customHeight="1">
      <c r="C524" s="2"/>
      <c r="R524" s="3"/>
      <c r="S524" s="3"/>
      <c r="T524" s="3"/>
      <c r="U524" s="3"/>
      <c r="V524" s="3"/>
      <c r="W524" s="3"/>
      <c r="X524" s="3"/>
      <c r="Y524" s="3"/>
      <c r="Z524" s="3"/>
      <c r="AA524" s="3"/>
      <c r="AB524" s="3"/>
      <c r="AC524" s="3"/>
      <c r="AD524" s="3"/>
      <c r="AE524" s="3"/>
      <c r="AF524" s="3"/>
      <c r="AG524" s="3"/>
      <c r="AH524" s="3"/>
      <c r="AI524" s="3"/>
      <c r="AJ524" s="3"/>
    </row>
    <row r="525" ht="15.75" customHeight="1">
      <c r="C525" s="2"/>
      <c r="R525" s="3"/>
      <c r="S525" s="3"/>
      <c r="T525" s="3"/>
      <c r="U525" s="3"/>
      <c r="V525" s="3"/>
      <c r="W525" s="3"/>
      <c r="X525" s="3"/>
      <c r="Y525" s="3"/>
      <c r="Z525" s="3"/>
      <c r="AA525" s="3"/>
      <c r="AB525" s="3"/>
      <c r="AC525" s="3"/>
      <c r="AD525" s="3"/>
      <c r="AE525" s="3"/>
      <c r="AF525" s="3"/>
      <c r="AG525" s="3"/>
      <c r="AH525" s="3"/>
      <c r="AI525" s="3"/>
      <c r="AJ525" s="3"/>
    </row>
    <row r="526" ht="15.75" customHeight="1">
      <c r="C526" s="2"/>
      <c r="R526" s="3"/>
      <c r="S526" s="3"/>
      <c r="T526" s="3"/>
      <c r="U526" s="3"/>
      <c r="V526" s="3"/>
      <c r="W526" s="3"/>
      <c r="X526" s="3"/>
      <c r="Y526" s="3"/>
      <c r="Z526" s="3"/>
      <c r="AA526" s="3"/>
      <c r="AB526" s="3"/>
      <c r="AC526" s="3"/>
      <c r="AD526" s="3"/>
      <c r="AE526" s="3"/>
      <c r="AF526" s="3"/>
      <c r="AG526" s="3"/>
      <c r="AH526" s="3"/>
      <c r="AI526" s="3"/>
      <c r="AJ526" s="3"/>
    </row>
    <row r="527" ht="15.75" customHeight="1">
      <c r="C527" s="2"/>
      <c r="R527" s="3"/>
      <c r="S527" s="3"/>
      <c r="T527" s="3"/>
      <c r="U527" s="3"/>
      <c r="V527" s="3"/>
      <c r="W527" s="3"/>
      <c r="X527" s="3"/>
      <c r="Y527" s="3"/>
      <c r="Z527" s="3"/>
      <c r="AA527" s="3"/>
      <c r="AB527" s="3"/>
      <c r="AC527" s="3"/>
      <c r="AD527" s="3"/>
      <c r="AE527" s="3"/>
      <c r="AF527" s="3"/>
      <c r="AG527" s="3"/>
      <c r="AH527" s="3"/>
      <c r="AI527" s="3"/>
      <c r="AJ527" s="3"/>
    </row>
    <row r="528" ht="15.75" customHeight="1">
      <c r="C528" s="2"/>
      <c r="R528" s="3"/>
      <c r="S528" s="3"/>
      <c r="T528" s="3"/>
      <c r="U528" s="3"/>
      <c r="V528" s="3"/>
      <c r="W528" s="3"/>
      <c r="X528" s="3"/>
      <c r="Y528" s="3"/>
      <c r="Z528" s="3"/>
      <c r="AA528" s="3"/>
      <c r="AB528" s="3"/>
      <c r="AC528" s="3"/>
      <c r="AD528" s="3"/>
      <c r="AE528" s="3"/>
      <c r="AF528" s="3"/>
      <c r="AG528" s="3"/>
      <c r="AH528" s="3"/>
      <c r="AI528" s="3"/>
      <c r="AJ528" s="3"/>
    </row>
    <row r="529" ht="15.75" customHeight="1">
      <c r="C529" s="2"/>
      <c r="R529" s="3"/>
      <c r="S529" s="3"/>
      <c r="T529" s="3"/>
      <c r="U529" s="3"/>
      <c r="V529" s="3"/>
      <c r="W529" s="3"/>
      <c r="X529" s="3"/>
      <c r="Y529" s="3"/>
      <c r="Z529" s="3"/>
      <c r="AA529" s="3"/>
      <c r="AB529" s="3"/>
      <c r="AC529" s="3"/>
      <c r="AD529" s="3"/>
      <c r="AE529" s="3"/>
      <c r="AF529" s="3"/>
      <c r="AG529" s="3"/>
      <c r="AH529" s="3"/>
      <c r="AI529" s="3"/>
      <c r="AJ529" s="3"/>
    </row>
    <row r="530" ht="15.75" customHeight="1">
      <c r="C530" s="2"/>
      <c r="R530" s="3"/>
      <c r="S530" s="3"/>
      <c r="T530" s="3"/>
      <c r="U530" s="3"/>
      <c r="V530" s="3"/>
      <c r="W530" s="3"/>
      <c r="X530" s="3"/>
      <c r="Y530" s="3"/>
      <c r="Z530" s="3"/>
      <c r="AA530" s="3"/>
      <c r="AB530" s="3"/>
      <c r="AC530" s="3"/>
      <c r="AD530" s="3"/>
      <c r="AE530" s="3"/>
      <c r="AF530" s="3"/>
      <c r="AG530" s="3"/>
      <c r="AH530" s="3"/>
      <c r="AI530" s="3"/>
      <c r="AJ530" s="3"/>
    </row>
    <row r="531" ht="15.75" customHeight="1">
      <c r="C531" s="2"/>
      <c r="R531" s="3"/>
      <c r="S531" s="3"/>
      <c r="T531" s="3"/>
      <c r="U531" s="3"/>
      <c r="V531" s="3"/>
      <c r="W531" s="3"/>
      <c r="X531" s="3"/>
      <c r="Y531" s="3"/>
      <c r="Z531" s="3"/>
      <c r="AA531" s="3"/>
      <c r="AB531" s="3"/>
      <c r="AC531" s="3"/>
      <c r="AD531" s="3"/>
      <c r="AE531" s="3"/>
      <c r="AF531" s="3"/>
      <c r="AG531" s="3"/>
      <c r="AH531" s="3"/>
      <c r="AI531" s="3"/>
      <c r="AJ531" s="3"/>
    </row>
    <row r="532" ht="15.75" customHeight="1">
      <c r="C532" s="2"/>
      <c r="R532" s="3"/>
      <c r="S532" s="3"/>
      <c r="T532" s="3"/>
      <c r="U532" s="3"/>
      <c r="V532" s="3"/>
      <c r="W532" s="3"/>
      <c r="X532" s="3"/>
      <c r="Y532" s="3"/>
      <c r="Z532" s="3"/>
      <c r="AA532" s="3"/>
      <c r="AB532" s="3"/>
      <c r="AC532" s="3"/>
      <c r="AD532" s="3"/>
      <c r="AE532" s="3"/>
      <c r="AF532" s="3"/>
      <c r="AG532" s="3"/>
      <c r="AH532" s="3"/>
      <c r="AI532" s="3"/>
      <c r="AJ532" s="3"/>
    </row>
    <row r="533" ht="15.75" customHeight="1">
      <c r="C533" s="2"/>
      <c r="R533" s="3"/>
      <c r="S533" s="3"/>
      <c r="T533" s="3"/>
      <c r="U533" s="3"/>
      <c r="V533" s="3"/>
      <c r="W533" s="3"/>
      <c r="X533" s="3"/>
      <c r="Y533" s="3"/>
      <c r="Z533" s="3"/>
      <c r="AA533" s="3"/>
      <c r="AB533" s="3"/>
      <c r="AC533" s="3"/>
      <c r="AD533" s="3"/>
      <c r="AE533" s="3"/>
      <c r="AF533" s="3"/>
      <c r="AG533" s="3"/>
      <c r="AH533" s="3"/>
      <c r="AI533" s="3"/>
      <c r="AJ533" s="3"/>
    </row>
    <row r="534" ht="15.75" customHeight="1">
      <c r="C534" s="2"/>
      <c r="R534" s="3"/>
      <c r="S534" s="3"/>
      <c r="T534" s="3"/>
      <c r="U534" s="3"/>
      <c r="V534" s="3"/>
      <c r="W534" s="3"/>
      <c r="X534" s="3"/>
      <c r="Y534" s="3"/>
      <c r="Z534" s="3"/>
      <c r="AA534" s="3"/>
      <c r="AB534" s="3"/>
      <c r="AC534" s="3"/>
      <c r="AD534" s="3"/>
      <c r="AE534" s="3"/>
      <c r="AF534" s="3"/>
      <c r="AG534" s="3"/>
      <c r="AH534" s="3"/>
      <c r="AI534" s="3"/>
      <c r="AJ534" s="3"/>
    </row>
    <row r="535" ht="15.75" customHeight="1">
      <c r="C535" s="2"/>
      <c r="R535" s="3"/>
      <c r="S535" s="3"/>
      <c r="T535" s="3"/>
      <c r="U535" s="3"/>
      <c r="V535" s="3"/>
      <c r="W535" s="3"/>
      <c r="X535" s="3"/>
      <c r="Y535" s="3"/>
      <c r="Z535" s="3"/>
      <c r="AA535" s="3"/>
      <c r="AB535" s="3"/>
      <c r="AC535" s="3"/>
      <c r="AD535" s="3"/>
      <c r="AE535" s="3"/>
      <c r="AF535" s="3"/>
      <c r="AG535" s="3"/>
      <c r="AH535" s="3"/>
      <c r="AI535" s="3"/>
      <c r="AJ535" s="3"/>
    </row>
    <row r="536" ht="15.75" customHeight="1">
      <c r="C536" s="2"/>
      <c r="R536" s="3"/>
      <c r="S536" s="3"/>
      <c r="T536" s="3"/>
      <c r="U536" s="3"/>
      <c r="V536" s="3"/>
      <c r="W536" s="3"/>
      <c r="X536" s="3"/>
      <c r="Y536" s="3"/>
      <c r="Z536" s="3"/>
      <c r="AA536" s="3"/>
      <c r="AB536" s="3"/>
      <c r="AC536" s="3"/>
      <c r="AD536" s="3"/>
      <c r="AE536" s="3"/>
      <c r="AF536" s="3"/>
      <c r="AG536" s="3"/>
      <c r="AH536" s="3"/>
      <c r="AI536" s="3"/>
      <c r="AJ536" s="3"/>
    </row>
    <row r="537" ht="15.75" customHeight="1">
      <c r="C537" s="2"/>
      <c r="R537" s="3"/>
      <c r="S537" s="3"/>
      <c r="T537" s="3"/>
      <c r="U537" s="3"/>
      <c r="V537" s="3"/>
      <c r="W537" s="3"/>
      <c r="X537" s="3"/>
      <c r="Y537" s="3"/>
      <c r="Z537" s="3"/>
      <c r="AA537" s="3"/>
      <c r="AB537" s="3"/>
      <c r="AC537" s="3"/>
      <c r="AD537" s="3"/>
      <c r="AE537" s="3"/>
      <c r="AF537" s="3"/>
      <c r="AG537" s="3"/>
      <c r="AH537" s="3"/>
      <c r="AI537" s="3"/>
      <c r="AJ537" s="3"/>
    </row>
    <row r="538" ht="15.75" customHeight="1">
      <c r="C538" s="2"/>
      <c r="R538" s="3"/>
      <c r="S538" s="3"/>
      <c r="T538" s="3"/>
      <c r="U538" s="3"/>
      <c r="V538" s="3"/>
      <c r="W538" s="3"/>
      <c r="X538" s="3"/>
      <c r="Y538" s="3"/>
      <c r="Z538" s="3"/>
      <c r="AA538" s="3"/>
      <c r="AB538" s="3"/>
      <c r="AC538" s="3"/>
      <c r="AD538" s="3"/>
      <c r="AE538" s="3"/>
      <c r="AF538" s="3"/>
      <c r="AG538" s="3"/>
      <c r="AH538" s="3"/>
      <c r="AI538" s="3"/>
      <c r="AJ538" s="3"/>
    </row>
    <row r="539" ht="15.75" customHeight="1">
      <c r="C539" s="2"/>
      <c r="R539" s="3"/>
      <c r="S539" s="3"/>
      <c r="T539" s="3"/>
      <c r="U539" s="3"/>
      <c r="V539" s="3"/>
      <c r="W539" s="3"/>
      <c r="X539" s="3"/>
      <c r="Y539" s="3"/>
      <c r="Z539" s="3"/>
      <c r="AA539" s="3"/>
      <c r="AB539" s="3"/>
      <c r="AC539" s="3"/>
      <c r="AD539" s="3"/>
      <c r="AE539" s="3"/>
      <c r="AF539" s="3"/>
      <c r="AG539" s="3"/>
      <c r="AH539" s="3"/>
      <c r="AI539" s="3"/>
      <c r="AJ539" s="3"/>
    </row>
    <row r="540" ht="15.75" customHeight="1">
      <c r="C540" s="2"/>
      <c r="R540" s="3"/>
      <c r="S540" s="3"/>
      <c r="T540" s="3"/>
      <c r="U540" s="3"/>
      <c r="V540" s="3"/>
      <c r="W540" s="3"/>
      <c r="X540" s="3"/>
      <c r="Y540" s="3"/>
      <c r="Z540" s="3"/>
      <c r="AA540" s="3"/>
      <c r="AB540" s="3"/>
      <c r="AC540" s="3"/>
      <c r="AD540" s="3"/>
      <c r="AE540" s="3"/>
      <c r="AF540" s="3"/>
      <c r="AG540" s="3"/>
      <c r="AH540" s="3"/>
      <c r="AI540" s="3"/>
      <c r="AJ540" s="3"/>
    </row>
    <row r="541" ht="15.75" customHeight="1">
      <c r="C541" s="2"/>
      <c r="R541" s="3"/>
      <c r="S541" s="3"/>
      <c r="T541" s="3"/>
      <c r="U541" s="3"/>
      <c r="V541" s="3"/>
      <c r="W541" s="3"/>
      <c r="X541" s="3"/>
      <c r="Y541" s="3"/>
      <c r="Z541" s="3"/>
      <c r="AA541" s="3"/>
      <c r="AB541" s="3"/>
      <c r="AC541" s="3"/>
      <c r="AD541" s="3"/>
      <c r="AE541" s="3"/>
      <c r="AF541" s="3"/>
      <c r="AG541" s="3"/>
      <c r="AH541" s="3"/>
      <c r="AI541" s="3"/>
      <c r="AJ541" s="3"/>
    </row>
    <row r="542" ht="15.75" customHeight="1">
      <c r="C542" s="2"/>
      <c r="R542" s="3"/>
      <c r="S542" s="3"/>
      <c r="T542" s="3"/>
      <c r="U542" s="3"/>
      <c r="V542" s="3"/>
      <c r="W542" s="3"/>
      <c r="X542" s="3"/>
      <c r="Y542" s="3"/>
      <c r="Z542" s="3"/>
      <c r="AA542" s="3"/>
      <c r="AB542" s="3"/>
      <c r="AC542" s="3"/>
      <c r="AD542" s="3"/>
      <c r="AE542" s="3"/>
      <c r="AF542" s="3"/>
      <c r="AG542" s="3"/>
      <c r="AH542" s="3"/>
      <c r="AI542" s="3"/>
      <c r="AJ542" s="3"/>
    </row>
    <row r="543" ht="15.75" customHeight="1">
      <c r="C543" s="2"/>
      <c r="R543" s="3"/>
      <c r="S543" s="3"/>
      <c r="T543" s="3"/>
      <c r="U543" s="3"/>
      <c r="V543" s="3"/>
      <c r="W543" s="3"/>
      <c r="X543" s="3"/>
      <c r="Y543" s="3"/>
      <c r="Z543" s="3"/>
      <c r="AA543" s="3"/>
      <c r="AB543" s="3"/>
      <c r="AC543" s="3"/>
      <c r="AD543" s="3"/>
      <c r="AE543" s="3"/>
      <c r="AF543" s="3"/>
      <c r="AG543" s="3"/>
      <c r="AH543" s="3"/>
      <c r="AI543" s="3"/>
      <c r="AJ543" s="3"/>
    </row>
    <row r="544" ht="15.75" customHeight="1">
      <c r="C544" s="2"/>
      <c r="R544" s="3"/>
      <c r="S544" s="3"/>
      <c r="T544" s="3"/>
      <c r="U544" s="3"/>
      <c r="V544" s="3"/>
      <c r="W544" s="3"/>
      <c r="X544" s="3"/>
      <c r="Y544" s="3"/>
      <c r="Z544" s="3"/>
      <c r="AA544" s="3"/>
      <c r="AB544" s="3"/>
      <c r="AC544" s="3"/>
      <c r="AD544" s="3"/>
      <c r="AE544" s="3"/>
      <c r="AF544" s="3"/>
      <c r="AG544" s="3"/>
      <c r="AH544" s="3"/>
      <c r="AI544" s="3"/>
      <c r="AJ544" s="3"/>
    </row>
    <row r="545" ht="15.75" customHeight="1">
      <c r="C545" s="2"/>
      <c r="R545" s="3"/>
      <c r="S545" s="3"/>
      <c r="T545" s="3"/>
      <c r="U545" s="3"/>
      <c r="V545" s="3"/>
      <c r="W545" s="3"/>
      <c r="X545" s="3"/>
      <c r="Y545" s="3"/>
      <c r="Z545" s="3"/>
      <c r="AA545" s="3"/>
      <c r="AB545" s="3"/>
      <c r="AC545" s="3"/>
      <c r="AD545" s="3"/>
      <c r="AE545" s="3"/>
      <c r="AF545" s="3"/>
      <c r="AG545" s="3"/>
      <c r="AH545" s="3"/>
      <c r="AI545" s="3"/>
      <c r="AJ545" s="3"/>
    </row>
    <row r="546" ht="15.75" customHeight="1">
      <c r="C546" s="2"/>
      <c r="R546" s="3"/>
      <c r="S546" s="3"/>
      <c r="T546" s="3"/>
      <c r="U546" s="3"/>
      <c r="V546" s="3"/>
      <c r="W546" s="3"/>
      <c r="X546" s="3"/>
      <c r="Y546" s="3"/>
      <c r="Z546" s="3"/>
      <c r="AA546" s="3"/>
      <c r="AB546" s="3"/>
      <c r="AC546" s="3"/>
      <c r="AD546" s="3"/>
      <c r="AE546" s="3"/>
      <c r="AF546" s="3"/>
      <c r="AG546" s="3"/>
      <c r="AH546" s="3"/>
      <c r="AI546" s="3"/>
      <c r="AJ546" s="3"/>
    </row>
    <row r="547" ht="15.75" customHeight="1">
      <c r="C547" s="2"/>
      <c r="R547" s="3"/>
      <c r="S547" s="3"/>
      <c r="T547" s="3"/>
      <c r="U547" s="3"/>
      <c r="V547" s="3"/>
      <c r="W547" s="3"/>
      <c r="X547" s="3"/>
      <c r="Y547" s="3"/>
      <c r="Z547" s="3"/>
      <c r="AA547" s="3"/>
      <c r="AB547" s="3"/>
      <c r="AC547" s="3"/>
      <c r="AD547" s="3"/>
      <c r="AE547" s="3"/>
      <c r="AF547" s="3"/>
      <c r="AG547" s="3"/>
      <c r="AH547" s="3"/>
      <c r="AI547" s="3"/>
      <c r="AJ547" s="3"/>
    </row>
    <row r="548" ht="15.75" customHeight="1">
      <c r="C548" s="2"/>
      <c r="R548" s="3"/>
      <c r="S548" s="3"/>
      <c r="T548" s="3"/>
      <c r="U548" s="3"/>
      <c r="V548" s="3"/>
      <c r="W548" s="3"/>
      <c r="X548" s="3"/>
      <c r="Y548" s="3"/>
      <c r="Z548" s="3"/>
      <c r="AA548" s="3"/>
      <c r="AB548" s="3"/>
      <c r="AC548" s="3"/>
      <c r="AD548" s="3"/>
      <c r="AE548" s="3"/>
      <c r="AF548" s="3"/>
      <c r="AG548" s="3"/>
      <c r="AH548" s="3"/>
      <c r="AI548" s="3"/>
      <c r="AJ548" s="3"/>
    </row>
    <row r="549" ht="15.75" customHeight="1">
      <c r="C549" s="2"/>
      <c r="R549" s="3"/>
      <c r="S549" s="3"/>
      <c r="T549" s="3"/>
      <c r="U549" s="3"/>
      <c r="V549" s="3"/>
      <c r="W549" s="3"/>
      <c r="X549" s="3"/>
      <c r="Y549" s="3"/>
      <c r="Z549" s="3"/>
      <c r="AA549" s="3"/>
      <c r="AB549" s="3"/>
      <c r="AC549" s="3"/>
      <c r="AD549" s="3"/>
      <c r="AE549" s="3"/>
      <c r="AF549" s="3"/>
      <c r="AG549" s="3"/>
      <c r="AH549" s="3"/>
      <c r="AI549" s="3"/>
      <c r="AJ549" s="3"/>
    </row>
    <row r="550" ht="15.75" customHeight="1">
      <c r="C550" s="2"/>
      <c r="R550" s="3"/>
      <c r="S550" s="3"/>
      <c r="T550" s="3"/>
      <c r="U550" s="3"/>
      <c r="V550" s="3"/>
      <c r="W550" s="3"/>
      <c r="X550" s="3"/>
      <c r="Y550" s="3"/>
      <c r="Z550" s="3"/>
      <c r="AA550" s="3"/>
      <c r="AB550" s="3"/>
      <c r="AC550" s="3"/>
      <c r="AD550" s="3"/>
      <c r="AE550" s="3"/>
      <c r="AF550" s="3"/>
      <c r="AG550" s="3"/>
      <c r="AH550" s="3"/>
      <c r="AI550" s="3"/>
      <c r="AJ550" s="3"/>
    </row>
    <row r="551" ht="15.75" customHeight="1">
      <c r="C551" s="2"/>
      <c r="R551" s="3"/>
      <c r="S551" s="3"/>
      <c r="T551" s="3"/>
      <c r="U551" s="3"/>
      <c r="V551" s="3"/>
      <c r="W551" s="3"/>
      <c r="X551" s="3"/>
      <c r="Y551" s="3"/>
      <c r="Z551" s="3"/>
      <c r="AA551" s="3"/>
      <c r="AB551" s="3"/>
      <c r="AC551" s="3"/>
      <c r="AD551" s="3"/>
      <c r="AE551" s="3"/>
      <c r="AF551" s="3"/>
      <c r="AG551" s="3"/>
      <c r="AH551" s="3"/>
      <c r="AI551" s="3"/>
      <c r="AJ551" s="3"/>
    </row>
    <row r="552" ht="15.75" customHeight="1">
      <c r="C552" s="2"/>
      <c r="R552" s="3"/>
      <c r="S552" s="3"/>
      <c r="T552" s="3"/>
      <c r="U552" s="3"/>
      <c r="V552" s="3"/>
      <c r="W552" s="3"/>
      <c r="X552" s="3"/>
      <c r="Y552" s="3"/>
      <c r="Z552" s="3"/>
      <c r="AA552" s="3"/>
      <c r="AB552" s="3"/>
      <c r="AC552" s="3"/>
      <c r="AD552" s="3"/>
      <c r="AE552" s="3"/>
      <c r="AF552" s="3"/>
      <c r="AG552" s="3"/>
      <c r="AH552" s="3"/>
      <c r="AI552" s="3"/>
      <c r="AJ552" s="3"/>
    </row>
    <row r="553" ht="15.75" customHeight="1">
      <c r="C553" s="2"/>
      <c r="R553" s="3"/>
      <c r="S553" s="3"/>
      <c r="T553" s="3"/>
      <c r="U553" s="3"/>
      <c r="V553" s="3"/>
      <c r="W553" s="3"/>
      <c r="X553" s="3"/>
      <c r="Y553" s="3"/>
      <c r="Z553" s="3"/>
      <c r="AA553" s="3"/>
      <c r="AB553" s="3"/>
      <c r="AC553" s="3"/>
      <c r="AD553" s="3"/>
      <c r="AE553" s="3"/>
      <c r="AF553" s="3"/>
      <c r="AG553" s="3"/>
      <c r="AH553" s="3"/>
      <c r="AI553" s="3"/>
      <c r="AJ553" s="3"/>
    </row>
    <row r="554" ht="15.75" customHeight="1">
      <c r="C554" s="2"/>
      <c r="R554" s="3"/>
      <c r="S554" s="3"/>
      <c r="T554" s="3"/>
      <c r="U554" s="3"/>
      <c r="V554" s="3"/>
      <c r="W554" s="3"/>
      <c r="X554" s="3"/>
      <c r="Y554" s="3"/>
      <c r="Z554" s="3"/>
      <c r="AA554" s="3"/>
      <c r="AB554" s="3"/>
      <c r="AC554" s="3"/>
      <c r="AD554" s="3"/>
      <c r="AE554" s="3"/>
      <c r="AF554" s="3"/>
      <c r="AG554" s="3"/>
      <c r="AH554" s="3"/>
      <c r="AI554" s="3"/>
      <c r="AJ554" s="3"/>
    </row>
    <row r="555" ht="15.75" customHeight="1">
      <c r="C555" s="2"/>
      <c r="R555" s="3"/>
      <c r="S555" s="3"/>
      <c r="T555" s="3"/>
      <c r="U555" s="3"/>
      <c r="V555" s="3"/>
      <c r="W555" s="3"/>
      <c r="X555" s="3"/>
      <c r="Y555" s="3"/>
      <c r="Z555" s="3"/>
      <c r="AA555" s="3"/>
      <c r="AB555" s="3"/>
      <c r="AC555" s="3"/>
      <c r="AD555" s="3"/>
      <c r="AE555" s="3"/>
      <c r="AF555" s="3"/>
      <c r="AG555" s="3"/>
      <c r="AH555" s="3"/>
      <c r="AI555" s="3"/>
      <c r="AJ555" s="3"/>
    </row>
    <row r="556" ht="15.75" customHeight="1">
      <c r="C556" s="2"/>
      <c r="R556" s="3"/>
      <c r="S556" s="3"/>
      <c r="T556" s="3"/>
      <c r="U556" s="3"/>
      <c r="V556" s="3"/>
      <c r="W556" s="3"/>
      <c r="X556" s="3"/>
      <c r="Y556" s="3"/>
      <c r="Z556" s="3"/>
      <c r="AA556" s="3"/>
      <c r="AB556" s="3"/>
      <c r="AC556" s="3"/>
      <c r="AD556" s="3"/>
      <c r="AE556" s="3"/>
      <c r="AF556" s="3"/>
      <c r="AG556" s="3"/>
      <c r="AH556" s="3"/>
      <c r="AI556" s="3"/>
      <c r="AJ556" s="3"/>
    </row>
    <row r="557" ht="15.75" customHeight="1">
      <c r="C557" s="2"/>
      <c r="R557" s="3"/>
      <c r="S557" s="3"/>
      <c r="T557" s="3"/>
      <c r="U557" s="3"/>
      <c r="V557" s="3"/>
      <c r="W557" s="3"/>
      <c r="X557" s="3"/>
      <c r="Y557" s="3"/>
      <c r="Z557" s="3"/>
      <c r="AA557" s="3"/>
      <c r="AB557" s="3"/>
      <c r="AC557" s="3"/>
      <c r="AD557" s="3"/>
      <c r="AE557" s="3"/>
      <c r="AF557" s="3"/>
      <c r="AG557" s="3"/>
      <c r="AH557" s="3"/>
      <c r="AI557" s="3"/>
      <c r="AJ557" s="3"/>
    </row>
    <row r="558" ht="15.75" customHeight="1">
      <c r="C558" s="2"/>
      <c r="R558" s="3"/>
      <c r="S558" s="3"/>
      <c r="T558" s="3"/>
      <c r="U558" s="3"/>
      <c r="V558" s="3"/>
      <c r="W558" s="3"/>
      <c r="X558" s="3"/>
      <c r="Y558" s="3"/>
      <c r="Z558" s="3"/>
      <c r="AA558" s="3"/>
      <c r="AB558" s="3"/>
      <c r="AC558" s="3"/>
      <c r="AD558" s="3"/>
      <c r="AE558" s="3"/>
      <c r="AF558" s="3"/>
      <c r="AG558" s="3"/>
      <c r="AH558" s="3"/>
      <c r="AI558" s="3"/>
      <c r="AJ558" s="3"/>
    </row>
    <row r="559" ht="15.75" customHeight="1">
      <c r="C559" s="2"/>
      <c r="R559" s="3"/>
      <c r="S559" s="3"/>
      <c r="T559" s="3"/>
      <c r="U559" s="3"/>
      <c r="V559" s="3"/>
      <c r="W559" s="3"/>
      <c r="X559" s="3"/>
      <c r="Y559" s="3"/>
      <c r="Z559" s="3"/>
      <c r="AA559" s="3"/>
      <c r="AB559" s="3"/>
      <c r="AC559" s="3"/>
      <c r="AD559" s="3"/>
      <c r="AE559" s="3"/>
      <c r="AF559" s="3"/>
      <c r="AG559" s="3"/>
      <c r="AH559" s="3"/>
      <c r="AI559" s="3"/>
      <c r="AJ559" s="3"/>
    </row>
    <row r="560" ht="15.75" customHeight="1">
      <c r="C560" s="2"/>
      <c r="R560" s="3"/>
      <c r="S560" s="3"/>
      <c r="T560" s="3"/>
      <c r="U560" s="3"/>
      <c r="V560" s="3"/>
      <c r="W560" s="3"/>
      <c r="X560" s="3"/>
      <c r="Y560" s="3"/>
      <c r="Z560" s="3"/>
      <c r="AA560" s="3"/>
      <c r="AB560" s="3"/>
      <c r="AC560" s="3"/>
      <c r="AD560" s="3"/>
      <c r="AE560" s="3"/>
      <c r="AF560" s="3"/>
      <c r="AG560" s="3"/>
      <c r="AH560" s="3"/>
      <c r="AI560" s="3"/>
      <c r="AJ560" s="3"/>
    </row>
    <row r="561" ht="15.75" customHeight="1">
      <c r="C561" s="2"/>
      <c r="R561" s="3"/>
      <c r="S561" s="3"/>
      <c r="T561" s="3"/>
      <c r="U561" s="3"/>
      <c r="V561" s="3"/>
      <c r="W561" s="3"/>
      <c r="X561" s="3"/>
      <c r="Y561" s="3"/>
      <c r="Z561" s="3"/>
      <c r="AA561" s="3"/>
      <c r="AB561" s="3"/>
      <c r="AC561" s="3"/>
      <c r="AD561" s="3"/>
      <c r="AE561" s="3"/>
      <c r="AF561" s="3"/>
      <c r="AG561" s="3"/>
      <c r="AH561" s="3"/>
      <c r="AI561" s="3"/>
      <c r="AJ561" s="3"/>
    </row>
    <row r="562" ht="15.75" customHeight="1">
      <c r="C562" s="2"/>
      <c r="R562" s="3"/>
      <c r="S562" s="3"/>
      <c r="T562" s="3"/>
      <c r="U562" s="3"/>
      <c r="V562" s="3"/>
      <c r="W562" s="3"/>
      <c r="X562" s="3"/>
      <c r="Y562" s="3"/>
      <c r="Z562" s="3"/>
      <c r="AA562" s="3"/>
      <c r="AB562" s="3"/>
      <c r="AC562" s="3"/>
      <c r="AD562" s="3"/>
      <c r="AE562" s="3"/>
      <c r="AF562" s="3"/>
      <c r="AG562" s="3"/>
      <c r="AH562" s="3"/>
      <c r="AI562" s="3"/>
      <c r="AJ562" s="3"/>
    </row>
    <row r="563" ht="15.75" customHeight="1">
      <c r="C563" s="2"/>
      <c r="R563" s="3"/>
      <c r="S563" s="3"/>
      <c r="T563" s="3"/>
      <c r="U563" s="3"/>
      <c r="V563" s="3"/>
      <c r="W563" s="3"/>
      <c r="X563" s="3"/>
      <c r="Y563" s="3"/>
      <c r="Z563" s="3"/>
      <c r="AA563" s="3"/>
      <c r="AB563" s="3"/>
      <c r="AC563" s="3"/>
      <c r="AD563" s="3"/>
      <c r="AE563" s="3"/>
      <c r="AF563" s="3"/>
      <c r="AG563" s="3"/>
      <c r="AH563" s="3"/>
      <c r="AI563" s="3"/>
      <c r="AJ563" s="3"/>
    </row>
    <row r="564" ht="15.75" customHeight="1">
      <c r="C564" s="2"/>
      <c r="R564" s="3"/>
      <c r="S564" s="3"/>
      <c r="T564" s="3"/>
      <c r="U564" s="3"/>
      <c r="V564" s="3"/>
      <c r="W564" s="3"/>
      <c r="X564" s="3"/>
      <c r="Y564" s="3"/>
      <c r="Z564" s="3"/>
      <c r="AA564" s="3"/>
      <c r="AB564" s="3"/>
      <c r="AC564" s="3"/>
      <c r="AD564" s="3"/>
      <c r="AE564" s="3"/>
      <c r="AF564" s="3"/>
      <c r="AG564" s="3"/>
      <c r="AH564" s="3"/>
      <c r="AI564" s="3"/>
      <c r="AJ564" s="3"/>
    </row>
    <row r="565" ht="15.75" customHeight="1">
      <c r="C565" s="2"/>
      <c r="R565" s="3"/>
      <c r="S565" s="3"/>
      <c r="T565" s="3"/>
      <c r="U565" s="3"/>
      <c r="V565" s="3"/>
      <c r="W565" s="3"/>
      <c r="X565" s="3"/>
      <c r="Y565" s="3"/>
      <c r="Z565" s="3"/>
      <c r="AA565" s="3"/>
      <c r="AB565" s="3"/>
      <c r="AC565" s="3"/>
      <c r="AD565" s="3"/>
      <c r="AE565" s="3"/>
      <c r="AF565" s="3"/>
      <c r="AG565" s="3"/>
      <c r="AH565" s="3"/>
      <c r="AI565" s="3"/>
      <c r="AJ565" s="3"/>
    </row>
    <row r="566" ht="15.75" customHeight="1">
      <c r="C566" s="2"/>
      <c r="R566" s="3"/>
      <c r="S566" s="3"/>
      <c r="T566" s="3"/>
      <c r="U566" s="3"/>
      <c r="V566" s="3"/>
      <c r="W566" s="3"/>
      <c r="X566" s="3"/>
      <c r="Y566" s="3"/>
      <c r="Z566" s="3"/>
      <c r="AA566" s="3"/>
      <c r="AB566" s="3"/>
      <c r="AC566" s="3"/>
      <c r="AD566" s="3"/>
      <c r="AE566" s="3"/>
      <c r="AF566" s="3"/>
      <c r="AG566" s="3"/>
      <c r="AH566" s="3"/>
      <c r="AI566" s="3"/>
      <c r="AJ566" s="3"/>
    </row>
    <row r="567" ht="15.75" customHeight="1">
      <c r="C567" s="2"/>
      <c r="R567" s="3"/>
      <c r="S567" s="3"/>
      <c r="T567" s="3"/>
      <c r="U567" s="3"/>
      <c r="V567" s="3"/>
      <c r="W567" s="3"/>
      <c r="X567" s="3"/>
      <c r="Y567" s="3"/>
      <c r="Z567" s="3"/>
      <c r="AA567" s="3"/>
      <c r="AB567" s="3"/>
      <c r="AC567" s="3"/>
      <c r="AD567" s="3"/>
      <c r="AE567" s="3"/>
      <c r="AF567" s="3"/>
      <c r="AG567" s="3"/>
      <c r="AH567" s="3"/>
      <c r="AI567" s="3"/>
      <c r="AJ567" s="3"/>
    </row>
    <row r="568" ht="15.75" customHeight="1">
      <c r="C568" s="2"/>
      <c r="R568" s="3"/>
      <c r="S568" s="3"/>
      <c r="T568" s="3"/>
      <c r="U568" s="3"/>
      <c r="V568" s="3"/>
      <c r="W568" s="3"/>
      <c r="X568" s="3"/>
      <c r="Y568" s="3"/>
      <c r="Z568" s="3"/>
      <c r="AA568" s="3"/>
      <c r="AB568" s="3"/>
      <c r="AC568" s="3"/>
      <c r="AD568" s="3"/>
      <c r="AE568" s="3"/>
      <c r="AF568" s="3"/>
      <c r="AG568" s="3"/>
      <c r="AH568" s="3"/>
      <c r="AI568" s="3"/>
      <c r="AJ568" s="3"/>
    </row>
    <row r="569" ht="15.75" customHeight="1">
      <c r="C569" s="2"/>
      <c r="R569" s="3"/>
      <c r="S569" s="3"/>
      <c r="T569" s="3"/>
      <c r="U569" s="3"/>
      <c r="V569" s="3"/>
      <c r="W569" s="3"/>
      <c r="X569" s="3"/>
      <c r="Y569" s="3"/>
      <c r="Z569" s="3"/>
      <c r="AA569" s="3"/>
      <c r="AB569" s="3"/>
      <c r="AC569" s="3"/>
      <c r="AD569" s="3"/>
      <c r="AE569" s="3"/>
      <c r="AF569" s="3"/>
      <c r="AG569" s="3"/>
      <c r="AH569" s="3"/>
      <c r="AI569" s="3"/>
      <c r="AJ569" s="3"/>
    </row>
    <row r="570" ht="15.75" customHeight="1">
      <c r="C570" s="2"/>
      <c r="R570" s="3"/>
      <c r="S570" s="3"/>
      <c r="T570" s="3"/>
      <c r="U570" s="3"/>
      <c r="V570" s="3"/>
      <c r="W570" s="3"/>
      <c r="X570" s="3"/>
      <c r="Y570" s="3"/>
      <c r="Z570" s="3"/>
      <c r="AA570" s="3"/>
      <c r="AB570" s="3"/>
      <c r="AC570" s="3"/>
      <c r="AD570" s="3"/>
      <c r="AE570" s="3"/>
      <c r="AF570" s="3"/>
      <c r="AG570" s="3"/>
      <c r="AH570" s="3"/>
      <c r="AI570" s="3"/>
      <c r="AJ570" s="3"/>
    </row>
    <row r="571" ht="15.75" customHeight="1">
      <c r="C571" s="2"/>
      <c r="R571" s="3"/>
      <c r="S571" s="3"/>
      <c r="T571" s="3"/>
      <c r="U571" s="3"/>
      <c r="V571" s="3"/>
      <c r="W571" s="3"/>
      <c r="X571" s="3"/>
      <c r="Y571" s="3"/>
      <c r="Z571" s="3"/>
      <c r="AA571" s="3"/>
      <c r="AB571" s="3"/>
      <c r="AC571" s="3"/>
      <c r="AD571" s="3"/>
      <c r="AE571" s="3"/>
      <c r="AF571" s="3"/>
      <c r="AG571" s="3"/>
      <c r="AH571" s="3"/>
      <c r="AI571" s="3"/>
      <c r="AJ571" s="3"/>
    </row>
    <row r="572" ht="15.75" customHeight="1">
      <c r="C572" s="2"/>
      <c r="R572" s="3"/>
      <c r="S572" s="3"/>
      <c r="T572" s="3"/>
      <c r="U572" s="3"/>
      <c r="V572" s="3"/>
      <c r="W572" s="3"/>
      <c r="X572" s="3"/>
      <c r="Y572" s="3"/>
      <c r="Z572" s="3"/>
      <c r="AA572" s="3"/>
      <c r="AB572" s="3"/>
      <c r="AC572" s="3"/>
      <c r="AD572" s="3"/>
      <c r="AE572" s="3"/>
      <c r="AF572" s="3"/>
      <c r="AG572" s="3"/>
      <c r="AH572" s="3"/>
      <c r="AI572" s="3"/>
      <c r="AJ572" s="3"/>
    </row>
    <row r="573" ht="15.75" customHeight="1">
      <c r="C573" s="2"/>
      <c r="R573" s="3"/>
      <c r="S573" s="3"/>
      <c r="T573" s="3"/>
      <c r="U573" s="3"/>
      <c r="V573" s="3"/>
      <c r="W573" s="3"/>
      <c r="X573" s="3"/>
      <c r="Y573" s="3"/>
      <c r="Z573" s="3"/>
      <c r="AA573" s="3"/>
      <c r="AB573" s="3"/>
      <c r="AC573" s="3"/>
      <c r="AD573" s="3"/>
      <c r="AE573" s="3"/>
      <c r="AF573" s="3"/>
      <c r="AG573" s="3"/>
      <c r="AH573" s="3"/>
      <c r="AI573" s="3"/>
      <c r="AJ573" s="3"/>
    </row>
    <row r="574" ht="15.75" customHeight="1">
      <c r="C574" s="2"/>
      <c r="R574" s="3"/>
      <c r="S574" s="3"/>
      <c r="T574" s="3"/>
      <c r="U574" s="3"/>
      <c r="V574" s="3"/>
      <c r="W574" s="3"/>
      <c r="X574" s="3"/>
      <c r="Y574" s="3"/>
      <c r="Z574" s="3"/>
      <c r="AA574" s="3"/>
      <c r="AB574" s="3"/>
      <c r="AC574" s="3"/>
      <c r="AD574" s="3"/>
      <c r="AE574" s="3"/>
      <c r="AF574" s="3"/>
      <c r="AG574" s="3"/>
      <c r="AH574" s="3"/>
      <c r="AI574" s="3"/>
      <c r="AJ574" s="3"/>
    </row>
    <row r="575" ht="15.75" customHeight="1">
      <c r="C575" s="2"/>
      <c r="R575" s="3"/>
      <c r="S575" s="3"/>
      <c r="T575" s="3"/>
      <c r="U575" s="3"/>
      <c r="V575" s="3"/>
      <c r="W575" s="3"/>
      <c r="X575" s="3"/>
      <c r="Y575" s="3"/>
      <c r="Z575" s="3"/>
      <c r="AA575" s="3"/>
      <c r="AB575" s="3"/>
      <c r="AC575" s="3"/>
      <c r="AD575" s="3"/>
      <c r="AE575" s="3"/>
      <c r="AF575" s="3"/>
      <c r="AG575" s="3"/>
      <c r="AH575" s="3"/>
      <c r="AI575" s="3"/>
      <c r="AJ575" s="3"/>
    </row>
    <row r="576" ht="15.75" customHeight="1">
      <c r="C576" s="2"/>
      <c r="R576" s="3"/>
      <c r="S576" s="3"/>
      <c r="T576" s="3"/>
      <c r="U576" s="3"/>
      <c r="V576" s="3"/>
      <c r="W576" s="3"/>
      <c r="X576" s="3"/>
      <c r="Y576" s="3"/>
      <c r="Z576" s="3"/>
      <c r="AA576" s="3"/>
      <c r="AB576" s="3"/>
      <c r="AC576" s="3"/>
      <c r="AD576" s="3"/>
      <c r="AE576" s="3"/>
      <c r="AF576" s="3"/>
      <c r="AG576" s="3"/>
      <c r="AH576" s="3"/>
      <c r="AI576" s="3"/>
      <c r="AJ576" s="3"/>
    </row>
    <row r="577" ht="15.75" customHeight="1">
      <c r="C577" s="2"/>
      <c r="R577" s="3"/>
      <c r="S577" s="3"/>
      <c r="T577" s="3"/>
      <c r="U577" s="3"/>
      <c r="V577" s="3"/>
      <c r="W577" s="3"/>
      <c r="X577" s="3"/>
      <c r="Y577" s="3"/>
      <c r="Z577" s="3"/>
      <c r="AA577" s="3"/>
      <c r="AB577" s="3"/>
      <c r="AC577" s="3"/>
      <c r="AD577" s="3"/>
      <c r="AE577" s="3"/>
      <c r="AF577" s="3"/>
      <c r="AG577" s="3"/>
      <c r="AH577" s="3"/>
      <c r="AI577" s="3"/>
      <c r="AJ577" s="3"/>
    </row>
    <row r="578" ht="15.75" customHeight="1">
      <c r="C578" s="2"/>
      <c r="R578" s="3"/>
      <c r="S578" s="3"/>
      <c r="T578" s="3"/>
      <c r="U578" s="3"/>
      <c r="V578" s="3"/>
      <c r="W578" s="3"/>
      <c r="X578" s="3"/>
      <c r="Y578" s="3"/>
      <c r="Z578" s="3"/>
      <c r="AA578" s="3"/>
      <c r="AB578" s="3"/>
      <c r="AC578" s="3"/>
      <c r="AD578" s="3"/>
      <c r="AE578" s="3"/>
      <c r="AF578" s="3"/>
      <c r="AG578" s="3"/>
      <c r="AH578" s="3"/>
      <c r="AI578" s="3"/>
      <c r="AJ578" s="3"/>
    </row>
    <row r="579" ht="15.75" customHeight="1">
      <c r="C579" s="2"/>
      <c r="R579" s="3"/>
      <c r="S579" s="3"/>
      <c r="T579" s="3"/>
      <c r="U579" s="3"/>
      <c r="V579" s="3"/>
      <c r="W579" s="3"/>
      <c r="X579" s="3"/>
      <c r="Y579" s="3"/>
      <c r="Z579" s="3"/>
      <c r="AA579" s="3"/>
      <c r="AB579" s="3"/>
      <c r="AC579" s="3"/>
      <c r="AD579" s="3"/>
      <c r="AE579" s="3"/>
      <c r="AF579" s="3"/>
      <c r="AG579" s="3"/>
      <c r="AH579" s="3"/>
      <c r="AI579" s="3"/>
      <c r="AJ579" s="3"/>
    </row>
    <row r="580" ht="15.75" customHeight="1">
      <c r="C580" s="2"/>
      <c r="R580" s="3"/>
      <c r="S580" s="3"/>
      <c r="T580" s="3"/>
      <c r="U580" s="3"/>
      <c r="V580" s="3"/>
      <c r="W580" s="3"/>
      <c r="X580" s="3"/>
      <c r="Y580" s="3"/>
      <c r="Z580" s="3"/>
      <c r="AA580" s="3"/>
      <c r="AB580" s="3"/>
      <c r="AC580" s="3"/>
      <c r="AD580" s="3"/>
      <c r="AE580" s="3"/>
      <c r="AF580" s="3"/>
      <c r="AG580" s="3"/>
      <c r="AH580" s="3"/>
      <c r="AI580" s="3"/>
      <c r="AJ580" s="3"/>
    </row>
    <row r="581" ht="15.75" customHeight="1">
      <c r="C581" s="2"/>
      <c r="R581" s="3"/>
      <c r="S581" s="3"/>
      <c r="T581" s="3"/>
      <c r="U581" s="3"/>
      <c r="V581" s="3"/>
      <c r="W581" s="3"/>
      <c r="X581" s="3"/>
      <c r="Y581" s="3"/>
      <c r="Z581" s="3"/>
      <c r="AA581" s="3"/>
      <c r="AB581" s="3"/>
      <c r="AC581" s="3"/>
      <c r="AD581" s="3"/>
      <c r="AE581" s="3"/>
      <c r="AF581" s="3"/>
      <c r="AG581" s="3"/>
      <c r="AH581" s="3"/>
      <c r="AI581" s="3"/>
      <c r="AJ581" s="3"/>
    </row>
    <row r="582" ht="15.75" customHeight="1">
      <c r="C582" s="2"/>
      <c r="R582" s="3"/>
      <c r="S582" s="3"/>
      <c r="T582" s="3"/>
      <c r="U582" s="3"/>
      <c r="V582" s="3"/>
      <c r="W582" s="3"/>
      <c r="X582" s="3"/>
      <c r="Y582" s="3"/>
      <c r="Z582" s="3"/>
      <c r="AA582" s="3"/>
      <c r="AB582" s="3"/>
      <c r="AC582" s="3"/>
      <c r="AD582" s="3"/>
      <c r="AE582" s="3"/>
      <c r="AF582" s="3"/>
      <c r="AG582" s="3"/>
      <c r="AH582" s="3"/>
      <c r="AI582" s="3"/>
      <c r="AJ582" s="3"/>
    </row>
    <row r="583" ht="15.75" customHeight="1">
      <c r="C583" s="2"/>
      <c r="R583" s="3"/>
      <c r="S583" s="3"/>
      <c r="T583" s="3"/>
      <c r="U583" s="3"/>
      <c r="V583" s="3"/>
      <c r="W583" s="3"/>
      <c r="X583" s="3"/>
      <c r="Y583" s="3"/>
      <c r="Z583" s="3"/>
      <c r="AA583" s="3"/>
      <c r="AB583" s="3"/>
      <c r="AC583" s="3"/>
      <c r="AD583" s="3"/>
      <c r="AE583" s="3"/>
      <c r="AF583" s="3"/>
      <c r="AG583" s="3"/>
      <c r="AH583" s="3"/>
      <c r="AI583" s="3"/>
      <c r="AJ583" s="3"/>
    </row>
    <row r="584" ht="15.75" customHeight="1">
      <c r="C584" s="2"/>
      <c r="R584" s="3"/>
      <c r="S584" s="3"/>
      <c r="T584" s="3"/>
      <c r="U584" s="3"/>
      <c r="V584" s="3"/>
      <c r="W584" s="3"/>
      <c r="X584" s="3"/>
      <c r="Y584" s="3"/>
      <c r="Z584" s="3"/>
      <c r="AA584" s="3"/>
      <c r="AB584" s="3"/>
      <c r="AC584" s="3"/>
      <c r="AD584" s="3"/>
      <c r="AE584" s="3"/>
      <c r="AF584" s="3"/>
      <c r="AG584" s="3"/>
      <c r="AH584" s="3"/>
      <c r="AI584" s="3"/>
      <c r="AJ584" s="3"/>
    </row>
    <row r="585" ht="15.75" customHeight="1">
      <c r="C585" s="2"/>
      <c r="R585" s="3"/>
      <c r="S585" s="3"/>
      <c r="T585" s="3"/>
      <c r="U585" s="3"/>
      <c r="V585" s="3"/>
      <c r="W585" s="3"/>
      <c r="X585" s="3"/>
      <c r="Y585" s="3"/>
      <c r="Z585" s="3"/>
      <c r="AA585" s="3"/>
      <c r="AB585" s="3"/>
      <c r="AC585" s="3"/>
      <c r="AD585" s="3"/>
      <c r="AE585" s="3"/>
      <c r="AF585" s="3"/>
      <c r="AG585" s="3"/>
      <c r="AH585" s="3"/>
      <c r="AI585" s="3"/>
      <c r="AJ585" s="3"/>
    </row>
    <row r="586" ht="15.75" customHeight="1">
      <c r="C586" s="2"/>
      <c r="R586" s="3"/>
      <c r="S586" s="3"/>
      <c r="T586" s="3"/>
      <c r="U586" s="3"/>
      <c r="V586" s="3"/>
      <c r="W586" s="3"/>
      <c r="X586" s="3"/>
      <c r="Y586" s="3"/>
      <c r="Z586" s="3"/>
      <c r="AA586" s="3"/>
      <c r="AB586" s="3"/>
      <c r="AC586" s="3"/>
      <c r="AD586" s="3"/>
      <c r="AE586" s="3"/>
      <c r="AF586" s="3"/>
      <c r="AG586" s="3"/>
      <c r="AH586" s="3"/>
      <c r="AI586" s="3"/>
      <c r="AJ586" s="3"/>
    </row>
    <row r="587" ht="15.75" customHeight="1">
      <c r="C587" s="2"/>
      <c r="R587" s="3"/>
      <c r="S587" s="3"/>
      <c r="T587" s="3"/>
      <c r="U587" s="3"/>
      <c r="V587" s="3"/>
      <c r="W587" s="3"/>
      <c r="X587" s="3"/>
      <c r="Y587" s="3"/>
      <c r="Z587" s="3"/>
      <c r="AA587" s="3"/>
      <c r="AB587" s="3"/>
      <c r="AC587" s="3"/>
      <c r="AD587" s="3"/>
      <c r="AE587" s="3"/>
      <c r="AF587" s="3"/>
      <c r="AG587" s="3"/>
      <c r="AH587" s="3"/>
      <c r="AI587" s="3"/>
      <c r="AJ587" s="3"/>
    </row>
    <row r="588" ht="15.75" customHeight="1">
      <c r="C588" s="2"/>
      <c r="R588" s="3"/>
      <c r="S588" s="3"/>
      <c r="T588" s="3"/>
      <c r="U588" s="3"/>
      <c r="V588" s="3"/>
      <c r="W588" s="3"/>
      <c r="X588" s="3"/>
      <c r="Y588" s="3"/>
      <c r="Z588" s="3"/>
      <c r="AA588" s="3"/>
      <c r="AB588" s="3"/>
      <c r="AC588" s="3"/>
      <c r="AD588" s="3"/>
      <c r="AE588" s="3"/>
      <c r="AF588" s="3"/>
      <c r="AG588" s="3"/>
      <c r="AH588" s="3"/>
      <c r="AI588" s="3"/>
      <c r="AJ588" s="3"/>
    </row>
    <row r="589" ht="15.75" customHeight="1">
      <c r="C589" s="2"/>
      <c r="R589" s="3"/>
      <c r="S589" s="3"/>
      <c r="T589" s="3"/>
      <c r="U589" s="3"/>
      <c r="V589" s="3"/>
      <c r="W589" s="3"/>
      <c r="X589" s="3"/>
      <c r="Y589" s="3"/>
      <c r="Z589" s="3"/>
      <c r="AA589" s="3"/>
      <c r="AB589" s="3"/>
      <c r="AC589" s="3"/>
      <c r="AD589" s="3"/>
      <c r="AE589" s="3"/>
      <c r="AF589" s="3"/>
      <c r="AG589" s="3"/>
      <c r="AH589" s="3"/>
      <c r="AI589" s="3"/>
      <c r="AJ589" s="3"/>
    </row>
    <row r="590" ht="15.75" customHeight="1">
      <c r="C590" s="2"/>
      <c r="R590" s="3"/>
      <c r="S590" s="3"/>
      <c r="T590" s="3"/>
      <c r="U590" s="3"/>
      <c r="V590" s="3"/>
      <c r="W590" s="3"/>
      <c r="X590" s="3"/>
      <c r="Y590" s="3"/>
      <c r="Z590" s="3"/>
      <c r="AA590" s="3"/>
      <c r="AB590" s="3"/>
      <c r="AC590" s="3"/>
      <c r="AD590" s="3"/>
      <c r="AE590" s="3"/>
      <c r="AF590" s="3"/>
      <c r="AG590" s="3"/>
      <c r="AH590" s="3"/>
      <c r="AI590" s="3"/>
      <c r="AJ590" s="3"/>
    </row>
    <row r="591" ht="15.75" customHeight="1">
      <c r="C591" s="2"/>
      <c r="R591" s="3"/>
      <c r="S591" s="3"/>
      <c r="T591" s="3"/>
      <c r="U591" s="3"/>
      <c r="V591" s="3"/>
      <c r="W591" s="3"/>
      <c r="X591" s="3"/>
      <c r="Y591" s="3"/>
      <c r="Z591" s="3"/>
      <c r="AA591" s="3"/>
      <c r="AB591" s="3"/>
      <c r="AC591" s="3"/>
      <c r="AD591" s="3"/>
      <c r="AE591" s="3"/>
      <c r="AF591" s="3"/>
      <c r="AG591" s="3"/>
      <c r="AH591" s="3"/>
      <c r="AI591" s="3"/>
      <c r="AJ591" s="3"/>
    </row>
    <row r="592" ht="15.75" customHeight="1">
      <c r="C592" s="2"/>
      <c r="R592" s="3"/>
      <c r="S592" s="3"/>
      <c r="T592" s="3"/>
      <c r="U592" s="3"/>
      <c r="V592" s="3"/>
      <c r="W592" s="3"/>
      <c r="X592" s="3"/>
      <c r="Y592" s="3"/>
      <c r="Z592" s="3"/>
      <c r="AA592" s="3"/>
      <c r="AB592" s="3"/>
      <c r="AC592" s="3"/>
      <c r="AD592" s="3"/>
      <c r="AE592" s="3"/>
      <c r="AF592" s="3"/>
      <c r="AG592" s="3"/>
      <c r="AH592" s="3"/>
      <c r="AI592" s="3"/>
      <c r="AJ592" s="3"/>
    </row>
    <row r="593" ht="15.75" customHeight="1">
      <c r="C593" s="2"/>
      <c r="R593" s="3"/>
      <c r="S593" s="3"/>
      <c r="T593" s="3"/>
      <c r="U593" s="3"/>
      <c r="V593" s="3"/>
      <c r="W593" s="3"/>
      <c r="X593" s="3"/>
      <c r="Y593" s="3"/>
      <c r="Z593" s="3"/>
      <c r="AA593" s="3"/>
      <c r="AB593" s="3"/>
      <c r="AC593" s="3"/>
      <c r="AD593" s="3"/>
      <c r="AE593" s="3"/>
      <c r="AF593" s="3"/>
      <c r="AG593" s="3"/>
      <c r="AH593" s="3"/>
      <c r="AI593" s="3"/>
      <c r="AJ593" s="3"/>
    </row>
    <row r="594" ht="15.75" customHeight="1">
      <c r="C594" s="2"/>
      <c r="R594" s="3"/>
      <c r="S594" s="3"/>
      <c r="T594" s="3"/>
      <c r="U594" s="3"/>
      <c r="V594" s="3"/>
      <c r="W594" s="3"/>
      <c r="X594" s="3"/>
      <c r="Y594" s="3"/>
      <c r="Z594" s="3"/>
      <c r="AA594" s="3"/>
      <c r="AB594" s="3"/>
      <c r="AC594" s="3"/>
      <c r="AD594" s="3"/>
      <c r="AE594" s="3"/>
      <c r="AF594" s="3"/>
      <c r="AG594" s="3"/>
      <c r="AH594" s="3"/>
      <c r="AI594" s="3"/>
      <c r="AJ594" s="3"/>
    </row>
    <row r="595" ht="15.75" customHeight="1">
      <c r="C595" s="2"/>
      <c r="R595" s="3"/>
      <c r="S595" s="3"/>
      <c r="T595" s="3"/>
      <c r="U595" s="3"/>
      <c r="V595" s="3"/>
      <c r="W595" s="3"/>
      <c r="X595" s="3"/>
      <c r="Y595" s="3"/>
      <c r="Z595" s="3"/>
      <c r="AA595" s="3"/>
      <c r="AB595" s="3"/>
      <c r="AC595" s="3"/>
      <c r="AD595" s="3"/>
      <c r="AE595" s="3"/>
      <c r="AF595" s="3"/>
      <c r="AG595" s="3"/>
      <c r="AH595" s="3"/>
      <c r="AI595" s="3"/>
      <c r="AJ595" s="3"/>
    </row>
    <row r="596" ht="15.75" customHeight="1">
      <c r="C596" s="2"/>
      <c r="R596" s="3"/>
      <c r="S596" s="3"/>
      <c r="T596" s="3"/>
      <c r="U596" s="3"/>
      <c r="V596" s="3"/>
      <c r="W596" s="3"/>
      <c r="X596" s="3"/>
      <c r="Y596" s="3"/>
      <c r="Z596" s="3"/>
      <c r="AA596" s="3"/>
      <c r="AB596" s="3"/>
      <c r="AC596" s="3"/>
      <c r="AD596" s="3"/>
      <c r="AE596" s="3"/>
      <c r="AF596" s="3"/>
      <c r="AG596" s="3"/>
      <c r="AH596" s="3"/>
      <c r="AI596" s="3"/>
      <c r="AJ596" s="3"/>
    </row>
    <row r="597" ht="15.75" customHeight="1">
      <c r="C597" s="2"/>
      <c r="R597" s="3"/>
      <c r="S597" s="3"/>
      <c r="T597" s="3"/>
      <c r="U597" s="3"/>
      <c r="V597" s="3"/>
      <c r="W597" s="3"/>
      <c r="X597" s="3"/>
      <c r="Y597" s="3"/>
      <c r="Z597" s="3"/>
      <c r="AA597" s="3"/>
      <c r="AB597" s="3"/>
      <c r="AC597" s="3"/>
      <c r="AD597" s="3"/>
      <c r="AE597" s="3"/>
      <c r="AF597" s="3"/>
      <c r="AG597" s="3"/>
      <c r="AH597" s="3"/>
      <c r="AI597" s="3"/>
      <c r="AJ597" s="3"/>
    </row>
    <row r="598" ht="15.75" customHeight="1">
      <c r="C598" s="2"/>
      <c r="R598" s="3"/>
      <c r="S598" s="3"/>
      <c r="T598" s="3"/>
      <c r="U598" s="3"/>
      <c r="V598" s="3"/>
      <c r="W598" s="3"/>
      <c r="X598" s="3"/>
      <c r="Y598" s="3"/>
      <c r="Z598" s="3"/>
      <c r="AA598" s="3"/>
      <c r="AB598" s="3"/>
      <c r="AC598" s="3"/>
      <c r="AD598" s="3"/>
      <c r="AE598" s="3"/>
      <c r="AF598" s="3"/>
      <c r="AG598" s="3"/>
      <c r="AH598" s="3"/>
      <c r="AI598" s="3"/>
      <c r="AJ598" s="3"/>
    </row>
    <row r="599" ht="15.75" customHeight="1">
      <c r="C599" s="2"/>
      <c r="R599" s="3"/>
      <c r="S599" s="3"/>
      <c r="T599" s="3"/>
      <c r="U599" s="3"/>
      <c r="V599" s="3"/>
      <c r="W599" s="3"/>
      <c r="X599" s="3"/>
      <c r="Y599" s="3"/>
      <c r="Z599" s="3"/>
      <c r="AA599" s="3"/>
      <c r="AB599" s="3"/>
      <c r="AC599" s="3"/>
      <c r="AD599" s="3"/>
      <c r="AE599" s="3"/>
      <c r="AF599" s="3"/>
      <c r="AG599" s="3"/>
      <c r="AH599" s="3"/>
      <c r="AI599" s="3"/>
      <c r="AJ599" s="3"/>
    </row>
    <row r="600" ht="15.75" customHeight="1">
      <c r="C600" s="2"/>
      <c r="R600" s="3"/>
      <c r="S600" s="3"/>
      <c r="T600" s="3"/>
      <c r="U600" s="3"/>
      <c r="V600" s="3"/>
      <c r="W600" s="3"/>
      <c r="X600" s="3"/>
      <c r="Y600" s="3"/>
      <c r="Z600" s="3"/>
      <c r="AA600" s="3"/>
      <c r="AB600" s="3"/>
      <c r="AC600" s="3"/>
      <c r="AD600" s="3"/>
      <c r="AE600" s="3"/>
      <c r="AF600" s="3"/>
      <c r="AG600" s="3"/>
      <c r="AH600" s="3"/>
      <c r="AI600" s="3"/>
      <c r="AJ600" s="3"/>
    </row>
    <row r="601" ht="15.75" customHeight="1">
      <c r="C601" s="2"/>
      <c r="R601" s="3"/>
      <c r="S601" s="3"/>
      <c r="T601" s="3"/>
      <c r="U601" s="3"/>
      <c r="V601" s="3"/>
      <c r="W601" s="3"/>
      <c r="X601" s="3"/>
      <c r="Y601" s="3"/>
      <c r="Z601" s="3"/>
      <c r="AA601" s="3"/>
      <c r="AB601" s="3"/>
      <c r="AC601" s="3"/>
      <c r="AD601" s="3"/>
      <c r="AE601" s="3"/>
      <c r="AF601" s="3"/>
      <c r="AG601" s="3"/>
      <c r="AH601" s="3"/>
      <c r="AI601" s="3"/>
      <c r="AJ601" s="3"/>
    </row>
    <row r="602" ht="15.75" customHeight="1">
      <c r="C602" s="2"/>
      <c r="R602" s="3"/>
      <c r="S602" s="3"/>
      <c r="T602" s="3"/>
      <c r="U602" s="3"/>
      <c r="V602" s="3"/>
      <c r="W602" s="3"/>
      <c r="X602" s="3"/>
      <c r="Y602" s="3"/>
      <c r="Z602" s="3"/>
      <c r="AA602" s="3"/>
      <c r="AB602" s="3"/>
      <c r="AC602" s="3"/>
      <c r="AD602" s="3"/>
      <c r="AE602" s="3"/>
      <c r="AF602" s="3"/>
      <c r="AG602" s="3"/>
      <c r="AH602" s="3"/>
      <c r="AI602" s="3"/>
      <c r="AJ602" s="3"/>
    </row>
    <row r="603" ht="15.75" customHeight="1">
      <c r="C603" s="2"/>
      <c r="R603" s="3"/>
      <c r="S603" s="3"/>
      <c r="T603" s="3"/>
      <c r="U603" s="3"/>
      <c r="V603" s="3"/>
      <c r="W603" s="3"/>
      <c r="X603" s="3"/>
      <c r="Y603" s="3"/>
      <c r="Z603" s="3"/>
      <c r="AA603" s="3"/>
      <c r="AB603" s="3"/>
      <c r="AC603" s="3"/>
      <c r="AD603" s="3"/>
      <c r="AE603" s="3"/>
      <c r="AF603" s="3"/>
      <c r="AG603" s="3"/>
      <c r="AH603" s="3"/>
      <c r="AI603" s="3"/>
      <c r="AJ603" s="3"/>
    </row>
    <row r="604" ht="15.75" customHeight="1">
      <c r="C604" s="2"/>
      <c r="R604" s="3"/>
      <c r="S604" s="3"/>
      <c r="T604" s="3"/>
      <c r="U604" s="3"/>
      <c r="V604" s="3"/>
      <c r="W604" s="3"/>
      <c r="X604" s="3"/>
      <c r="Y604" s="3"/>
      <c r="Z604" s="3"/>
      <c r="AA604" s="3"/>
      <c r="AB604" s="3"/>
      <c r="AC604" s="3"/>
      <c r="AD604" s="3"/>
      <c r="AE604" s="3"/>
      <c r="AF604" s="3"/>
      <c r="AG604" s="3"/>
      <c r="AH604" s="3"/>
      <c r="AI604" s="3"/>
      <c r="AJ604" s="3"/>
    </row>
    <row r="605" ht="15.75" customHeight="1">
      <c r="C605" s="2"/>
      <c r="R605" s="3"/>
      <c r="S605" s="3"/>
      <c r="T605" s="3"/>
      <c r="U605" s="3"/>
      <c r="V605" s="3"/>
      <c r="W605" s="3"/>
      <c r="X605" s="3"/>
      <c r="Y605" s="3"/>
      <c r="Z605" s="3"/>
      <c r="AA605" s="3"/>
      <c r="AB605" s="3"/>
      <c r="AC605" s="3"/>
      <c r="AD605" s="3"/>
      <c r="AE605" s="3"/>
      <c r="AF605" s="3"/>
      <c r="AG605" s="3"/>
      <c r="AH605" s="3"/>
      <c r="AI605" s="3"/>
      <c r="AJ605" s="3"/>
    </row>
    <row r="606" ht="15.75" customHeight="1">
      <c r="C606" s="2"/>
      <c r="R606" s="3"/>
      <c r="S606" s="3"/>
      <c r="T606" s="3"/>
      <c r="U606" s="3"/>
      <c r="V606" s="3"/>
      <c r="W606" s="3"/>
      <c r="X606" s="3"/>
      <c r="Y606" s="3"/>
      <c r="Z606" s="3"/>
      <c r="AA606" s="3"/>
      <c r="AB606" s="3"/>
      <c r="AC606" s="3"/>
      <c r="AD606" s="3"/>
      <c r="AE606" s="3"/>
      <c r="AF606" s="3"/>
      <c r="AG606" s="3"/>
      <c r="AH606" s="3"/>
      <c r="AI606" s="3"/>
      <c r="AJ606" s="3"/>
    </row>
    <row r="607" ht="15.75" customHeight="1">
      <c r="C607" s="2"/>
      <c r="R607" s="3"/>
      <c r="S607" s="3"/>
      <c r="T607" s="3"/>
      <c r="U607" s="3"/>
      <c r="V607" s="3"/>
      <c r="W607" s="3"/>
      <c r="X607" s="3"/>
      <c r="Y607" s="3"/>
      <c r="Z607" s="3"/>
      <c r="AA607" s="3"/>
      <c r="AB607" s="3"/>
      <c r="AC607" s="3"/>
      <c r="AD607" s="3"/>
      <c r="AE607" s="3"/>
      <c r="AF607" s="3"/>
      <c r="AG607" s="3"/>
      <c r="AH607" s="3"/>
      <c r="AI607" s="3"/>
      <c r="AJ607" s="3"/>
    </row>
    <row r="608" ht="15.75" customHeight="1">
      <c r="C608" s="2"/>
      <c r="R608" s="3"/>
      <c r="S608" s="3"/>
      <c r="T608" s="3"/>
      <c r="U608" s="3"/>
      <c r="V608" s="3"/>
      <c r="W608" s="3"/>
      <c r="X608" s="3"/>
      <c r="Y608" s="3"/>
      <c r="Z608" s="3"/>
      <c r="AA608" s="3"/>
      <c r="AB608" s="3"/>
      <c r="AC608" s="3"/>
      <c r="AD608" s="3"/>
      <c r="AE608" s="3"/>
      <c r="AF608" s="3"/>
      <c r="AG608" s="3"/>
      <c r="AH608" s="3"/>
      <c r="AI608" s="3"/>
      <c r="AJ608" s="3"/>
    </row>
    <row r="609" ht="15.75" customHeight="1">
      <c r="C609" s="2"/>
      <c r="R609" s="3"/>
      <c r="S609" s="3"/>
      <c r="T609" s="3"/>
      <c r="U609" s="3"/>
      <c r="V609" s="3"/>
      <c r="W609" s="3"/>
      <c r="X609" s="3"/>
      <c r="Y609" s="3"/>
      <c r="Z609" s="3"/>
      <c r="AA609" s="3"/>
      <c r="AB609" s="3"/>
      <c r="AC609" s="3"/>
      <c r="AD609" s="3"/>
      <c r="AE609" s="3"/>
      <c r="AF609" s="3"/>
      <c r="AG609" s="3"/>
      <c r="AH609" s="3"/>
      <c r="AI609" s="3"/>
      <c r="AJ609" s="3"/>
    </row>
    <row r="610" ht="15.75" customHeight="1">
      <c r="C610" s="2"/>
      <c r="R610" s="3"/>
      <c r="S610" s="3"/>
      <c r="T610" s="3"/>
      <c r="U610" s="3"/>
      <c r="V610" s="3"/>
      <c r="W610" s="3"/>
      <c r="X610" s="3"/>
      <c r="Y610" s="3"/>
      <c r="Z610" s="3"/>
      <c r="AA610" s="3"/>
      <c r="AB610" s="3"/>
      <c r="AC610" s="3"/>
      <c r="AD610" s="3"/>
      <c r="AE610" s="3"/>
      <c r="AF610" s="3"/>
      <c r="AG610" s="3"/>
      <c r="AH610" s="3"/>
      <c r="AI610" s="3"/>
      <c r="AJ610" s="3"/>
    </row>
    <row r="611" ht="15.75" customHeight="1">
      <c r="C611" s="2"/>
      <c r="R611" s="3"/>
      <c r="S611" s="3"/>
      <c r="T611" s="3"/>
      <c r="U611" s="3"/>
      <c r="V611" s="3"/>
      <c r="W611" s="3"/>
      <c r="X611" s="3"/>
      <c r="Y611" s="3"/>
      <c r="Z611" s="3"/>
      <c r="AA611" s="3"/>
      <c r="AB611" s="3"/>
      <c r="AC611" s="3"/>
      <c r="AD611" s="3"/>
      <c r="AE611" s="3"/>
      <c r="AF611" s="3"/>
      <c r="AG611" s="3"/>
      <c r="AH611" s="3"/>
      <c r="AI611" s="3"/>
      <c r="AJ611" s="3"/>
    </row>
    <row r="612" ht="15.75" customHeight="1">
      <c r="C612" s="2"/>
      <c r="R612" s="3"/>
      <c r="S612" s="3"/>
      <c r="T612" s="3"/>
      <c r="U612" s="3"/>
      <c r="V612" s="3"/>
      <c r="W612" s="3"/>
      <c r="X612" s="3"/>
      <c r="Y612" s="3"/>
      <c r="Z612" s="3"/>
      <c r="AA612" s="3"/>
      <c r="AB612" s="3"/>
      <c r="AC612" s="3"/>
      <c r="AD612" s="3"/>
      <c r="AE612" s="3"/>
      <c r="AF612" s="3"/>
      <c r="AG612" s="3"/>
      <c r="AH612" s="3"/>
      <c r="AI612" s="3"/>
      <c r="AJ612" s="3"/>
    </row>
    <row r="613" ht="15.75" customHeight="1">
      <c r="C613" s="2"/>
      <c r="R613" s="3"/>
      <c r="S613" s="3"/>
      <c r="T613" s="3"/>
      <c r="U613" s="3"/>
      <c r="V613" s="3"/>
      <c r="W613" s="3"/>
      <c r="X613" s="3"/>
      <c r="Y613" s="3"/>
      <c r="Z613" s="3"/>
      <c r="AA613" s="3"/>
      <c r="AB613" s="3"/>
      <c r="AC613" s="3"/>
      <c r="AD613" s="3"/>
      <c r="AE613" s="3"/>
      <c r="AF613" s="3"/>
      <c r="AG613" s="3"/>
      <c r="AH613" s="3"/>
      <c r="AI613" s="3"/>
      <c r="AJ613" s="3"/>
    </row>
    <row r="614" ht="15.75" customHeight="1">
      <c r="C614" s="2"/>
      <c r="R614" s="3"/>
      <c r="S614" s="3"/>
      <c r="T614" s="3"/>
      <c r="U614" s="3"/>
      <c r="V614" s="3"/>
      <c r="W614" s="3"/>
      <c r="X614" s="3"/>
      <c r="Y614" s="3"/>
      <c r="Z614" s="3"/>
      <c r="AA614" s="3"/>
      <c r="AB614" s="3"/>
      <c r="AC614" s="3"/>
      <c r="AD614" s="3"/>
      <c r="AE614" s="3"/>
      <c r="AF614" s="3"/>
      <c r="AG614" s="3"/>
      <c r="AH614" s="3"/>
      <c r="AI614" s="3"/>
      <c r="AJ614" s="3"/>
    </row>
    <row r="615" ht="15.75" customHeight="1">
      <c r="C615" s="2"/>
      <c r="R615" s="3"/>
      <c r="S615" s="3"/>
      <c r="T615" s="3"/>
      <c r="U615" s="3"/>
      <c r="V615" s="3"/>
      <c r="W615" s="3"/>
      <c r="X615" s="3"/>
      <c r="Y615" s="3"/>
      <c r="Z615" s="3"/>
      <c r="AA615" s="3"/>
      <c r="AB615" s="3"/>
      <c r="AC615" s="3"/>
      <c r="AD615" s="3"/>
      <c r="AE615" s="3"/>
      <c r="AF615" s="3"/>
      <c r="AG615" s="3"/>
      <c r="AH615" s="3"/>
      <c r="AI615" s="3"/>
      <c r="AJ615" s="3"/>
    </row>
    <row r="616" ht="15.75" customHeight="1">
      <c r="C616" s="2"/>
      <c r="R616" s="3"/>
      <c r="S616" s="3"/>
      <c r="T616" s="3"/>
      <c r="U616" s="3"/>
      <c r="V616" s="3"/>
      <c r="W616" s="3"/>
      <c r="X616" s="3"/>
      <c r="Y616" s="3"/>
      <c r="Z616" s="3"/>
      <c r="AA616" s="3"/>
      <c r="AB616" s="3"/>
      <c r="AC616" s="3"/>
      <c r="AD616" s="3"/>
      <c r="AE616" s="3"/>
      <c r="AF616" s="3"/>
      <c r="AG616" s="3"/>
      <c r="AH616" s="3"/>
      <c r="AI616" s="3"/>
      <c r="AJ616" s="3"/>
    </row>
    <row r="617" ht="15.75" customHeight="1">
      <c r="C617" s="2"/>
      <c r="R617" s="3"/>
      <c r="S617" s="3"/>
      <c r="T617" s="3"/>
      <c r="U617" s="3"/>
      <c r="V617" s="3"/>
      <c r="W617" s="3"/>
      <c r="X617" s="3"/>
      <c r="Y617" s="3"/>
      <c r="Z617" s="3"/>
      <c r="AA617" s="3"/>
      <c r="AB617" s="3"/>
      <c r="AC617" s="3"/>
      <c r="AD617" s="3"/>
      <c r="AE617" s="3"/>
      <c r="AF617" s="3"/>
      <c r="AG617" s="3"/>
      <c r="AH617" s="3"/>
      <c r="AI617" s="3"/>
      <c r="AJ617" s="3"/>
    </row>
    <row r="618" ht="15.75" customHeight="1">
      <c r="C618" s="2"/>
      <c r="R618" s="3"/>
      <c r="S618" s="3"/>
      <c r="T618" s="3"/>
      <c r="U618" s="3"/>
      <c r="V618" s="3"/>
      <c r="W618" s="3"/>
      <c r="X618" s="3"/>
      <c r="Y618" s="3"/>
      <c r="Z618" s="3"/>
      <c r="AA618" s="3"/>
      <c r="AB618" s="3"/>
      <c r="AC618" s="3"/>
      <c r="AD618" s="3"/>
      <c r="AE618" s="3"/>
      <c r="AF618" s="3"/>
      <c r="AG618" s="3"/>
      <c r="AH618" s="3"/>
      <c r="AI618" s="3"/>
      <c r="AJ618" s="3"/>
    </row>
    <row r="619" ht="15.75" customHeight="1">
      <c r="C619" s="2"/>
      <c r="R619" s="3"/>
      <c r="S619" s="3"/>
      <c r="T619" s="3"/>
      <c r="U619" s="3"/>
      <c r="V619" s="3"/>
      <c r="W619" s="3"/>
      <c r="X619" s="3"/>
      <c r="Y619" s="3"/>
      <c r="Z619" s="3"/>
      <c r="AA619" s="3"/>
      <c r="AB619" s="3"/>
      <c r="AC619" s="3"/>
      <c r="AD619" s="3"/>
      <c r="AE619" s="3"/>
      <c r="AF619" s="3"/>
      <c r="AG619" s="3"/>
      <c r="AH619" s="3"/>
      <c r="AI619" s="3"/>
      <c r="AJ619" s="3"/>
    </row>
    <row r="620" ht="15.75" customHeight="1">
      <c r="C620" s="2"/>
      <c r="R620" s="3"/>
      <c r="S620" s="3"/>
      <c r="T620" s="3"/>
      <c r="U620" s="3"/>
      <c r="V620" s="3"/>
      <c r="W620" s="3"/>
      <c r="X620" s="3"/>
      <c r="Y620" s="3"/>
      <c r="Z620" s="3"/>
      <c r="AA620" s="3"/>
      <c r="AB620" s="3"/>
      <c r="AC620" s="3"/>
      <c r="AD620" s="3"/>
      <c r="AE620" s="3"/>
      <c r="AF620" s="3"/>
      <c r="AG620" s="3"/>
      <c r="AH620" s="3"/>
      <c r="AI620" s="3"/>
      <c r="AJ620" s="3"/>
    </row>
    <row r="621" ht="15.75" customHeight="1">
      <c r="C621" s="2"/>
      <c r="R621" s="3"/>
      <c r="S621" s="3"/>
      <c r="T621" s="3"/>
      <c r="U621" s="3"/>
      <c r="V621" s="3"/>
      <c r="W621" s="3"/>
      <c r="X621" s="3"/>
      <c r="Y621" s="3"/>
      <c r="Z621" s="3"/>
      <c r="AA621" s="3"/>
      <c r="AB621" s="3"/>
      <c r="AC621" s="3"/>
      <c r="AD621" s="3"/>
      <c r="AE621" s="3"/>
      <c r="AF621" s="3"/>
      <c r="AG621" s="3"/>
      <c r="AH621" s="3"/>
      <c r="AI621" s="3"/>
      <c r="AJ621" s="3"/>
    </row>
    <row r="622" ht="15.75" customHeight="1">
      <c r="C622" s="2"/>
      <c r="R622" s="3"/>
      <c r="S622" s="3"/>
      <c r="T622" s="3"/>
      <c r="U622" s="3"/>
      <c r="V622" s="3"/>
      <c r="W622" s="3"/>
      <c r="X622" s="3"/>
      <c r="Y622" s="3"/>
      <c r="Z622" s="3"/>
      <c r="AA622" s="3"/>
      <c r="AB622" s="3"/>
      <c r="AC622" s="3"/>
      <c r="AD622" s="3"/>
      <c r="AE622" s="3"/>
      <c r="AF622" s="3"/>
      <c r="AG622" s="3"/>
      <c r="AH622" s="3"/>
      <c r="AI622" s="3"/>
      <c r="AJ622" s="3"/>
    </row>
    <row r="623" ht="15.75" customHeight="1">
      <c r="C623" s="2"/>
      <c r="R623" s="3"/>
      <c r="S623" s="3"/>
      <c r="T623" s="3"/>
      <c r="U623" s="3"/>
      <c r="V623" s="3"/>
      <c r="W623" s="3"/>
      <c r="X623" s="3"/>
      <c r="Y623" s="3"/>
      <c r="Z623" s="3"/>
      <c r="AA623" s="3"/>
      <c r="AB623" s="3"/>
      <c r="AC623" s="3"/>
      <c r="AD623" s="3"/>
      <c r="AE623" s="3"/>
      <c r="AF623" s="3"/>
      <c r="AG623" s="3"/>
      <c r="AH623" s="3"/>
      <c r="AI623" s="3"/>
      <c r="AJ623" s="3"/>
    </row>
    <row r="624" ht="15.75" customHeight="1">
      <c r="C624" s="2"/>
      <c r="R624" s="3"/>
      <c r="S624" s="3"/>
      <c r="T624" s="3"/>
      <c r="U624" s="3"/>
      <c r="V624" s="3"/>
      <c r="W624" s="3"/>
      <c r="X624" s="3"/>
      <c r="Y624" s="3"/>
      <c r="Z624" s="3"/>
      <c r="AA624" s="3"/>
      <c r="AB624" s="3"/>
      <c r="AC624" s="3"/>
      <c r="AD624" s="3"/>
      <c r="AE624" s="3"/>
      <c r="AF624" s="3"/>
      <c r="AG624" s="3"/>
      <c r="AH624" s="3"/>
      <c r="AI624" s="3"/>
      <c r="AJ624" s="3"/>
    </row>
    <row r="625" ht="15.75" customHeight="1">
      <c r="C625" s="2"/>
      <c r="R625" s="3"/>
      <c r="S625" s="3"/>
      <c r="T625" s="3"/>
      <c r="U625" s="3"/>
      <c r="V625" s="3"/>
      <c r="W625" s="3"/>
      <c r="X625" s="3"/>
      <c r="Y625" s="3"/>
      <c r="Z625" s="3"/>
      <c r="AA625" s="3"/>
      <c r="AB625" s="3"/>
      <c r="AC625" s="3"/>
      <c r="AD625" s="3"/>
      <c r="AE625" s="3"/>
      <c r="AF625" s="3"/>
      <c r="AG625" s="3"/>
      <c r="AH625" s="3"/>
      <c r="AI625" s="3"/>
      <c r="AJ625" s="3"/>
    </row>
    <row r="626" ht="15.75" customHeight="1">
      <c r="C626" s="2"/>
      <c r="R626" s="3"/>
      <c r="S626" s="3"/>
      <c r="T626" s="3"/>
      <c r="U626" s="3"/>
      <c r="V626" s="3"/>
      <c r="W626" s="3"/>
      <c r="X626" s="3"/>
      <c r="Y626" s="3"/>
      <c r="Z626" s="3"/>
      <c r="AA626" s="3"/>
      <c r="AB626" s="3"/>
      <c r="AC626" s="3"/>
      <c r="AD626" s="3"/>
      <c r="AE626" s="3"/>
      <c r="AF626" s="3"/>
      <c r="AG626" s="3"/>
      <c r="AH626" s="3"/>
      <c r="AI626" s="3"/>
      <c r="AJ626" s="3"/>
    </row>
    <row r="627" ht="15.75" customHeight="1">
      <c r="C627" s="2"/>
      <c r="R627" s="3"/>
      <c r="S627" s="3"/>
      <c r="T627" s="3"/>
      <c r="U627" s="3"/>
      <c r="V627" s="3"/>
      <c r="W627" s="3"/>
      <c r="X627" s="3"/>
      <c r="Y627" s="3"/>
      <c r="Z627" s="3"/>
      <c r="AA627" s="3"/>
      <c r="AB627" s="3"/>
      <c r="AC627" s="3"/>
      <c r="AD627" s="3"/>
      <c r="AE627" s="3"/>
      <c r="AF627" s="3"/>
      <c r="AG627" s="3"/>
      <c r="AH627" s="3"/>
      <c r="AI627" s="3"/>
      <c r="AJ627" s="3"/>
    </row>
    <row r="628" ht="15.75" customHeight="1">
      <c r="C628" s="2"/>
      <c r="R628" s="3"/>
      <c r="S628" s="3"/>
      <c r="T628" s="3"/>
      <c r="U628" s="3"/>
      <c r="V628" s="3"/>
      <c r="W628" s="3"/>
      <c r="X628" s="3"/>
      <c r="Y628" s="3"/>
      <c r="Z628" s="3"/>
      <c r="AA628" s="3"/>
      <c r="AB628" s="3"/>
      <c r="AC628" s="3"/>
      <c r="AD628" s="3"/>
      <c r="AE628" s="3"/>
      <c r="AF628" s="3"/>
      <c r="AG628" s="3"/>
      <c r="AH628" s="3"/>
      <c r="AI628" s="3"/>
      <c r="AJ628" s="3"/>
    </row>
    <row r="629" ht="15.75" customHeight="1">
      <c r="C629" s="2"/>
      <c r="R629" s="3"/>
      <c r="S629" s="3"/>
      <c r="T629" s="3"/>
      <c r="U629" s="3"/>
      <c r="V629" s="3"/>
      <c r="W629" s="3"/>
      <c r="X629" s="3"/>
      <c r="Y629" s="3"/>
      <c r="Z629" s="3"/>
      <c r="AA629" s="3"/>
      <c r="AB629" s="3"/>
      <c r="AC629" s="3"/>
      <c r="AD629" s="3"/>
      <c r="AE629" s="3"/>
      <c r="AF629" s="3"/>
      <c r="AG629" s="3"/>
      <c r="AH629" s="3"/>
      <c r="AI629" s="3"/>
      <c r="AJ629" s="3"/>
    </row>
    <row r="630" ht="15.75" customHeight="1">
      <c r="C630" s="2"/>
      <c r="R630" s="3"/>
      <c r="S630" s="3"/>
      <c r="T630" s="3"/>
      <c r="U630" s="3"/>
      <c r="V630" s="3"/>
      <c r="W630" s="3"/>
      <c r="X630" s="3"/>
      <c r="Y630" s="3"/>
      <c r="Z630" s="3"/>
      <c r="AA630" s="3"/>
      <c r="AB630" s="3"/>
      <c r="AC630" s="3"/>
      <c r="AD630" s="3"/>
      <c r="AE630" s="3"/>
      <c r="AF630" s="3"/>
      <c r="AG630" s="3"/>
      <c r="AH630" s="3"/>
      <c r="AI630" s="3"/>
      <c r="AJ630" s="3"/>
    </row>
    <row r="631" ht="15.75" customHeight="1">
      <c r="C631" s="2"/>
      <c r="R631" s="3"/>
      <c r="S631" s="3"/>
      <c r="T631" s="3"/>
      <c r="U631" s="3"/>
      <c r="V631" s="3"/>
      <c r="W631" s="3"/>
      <c r="X631" s="3"/>
      <c r="Y631" s="3"/>
      <c r="Z631" s="3"/>
      <c r="AA631" s="3"/>
      <c r="AB631" s="3"/>
      <c r="AC631" s="3"/>
      <c r="AD631" s="3"/>
      <c r="AE631" s="3"/>
      <c r="AF631" s="3"/>
      <c r="AG631" s="3"/>
      <c r="AH631" s="3"/>
      <c r="AI631" s="3"/>
      <c r="AJ631" s="3"/>
    </row>
    <row r="632" ht="15.75" customHeight="1">
      <c r="C632" s="2"/>
      <c r="R632" s="3"/>
      <c r="S632" s="3"/>
      <c r="T632" s="3"/>
      <c r="U632" s="3"/>
      <c r="V632" s="3"/>
      <c r="W632" s="3"/>
      <c r="X632" s="3"/>
      <c r="Y632" s="3"/>
      <c r="Z632" s="3"/>
      <c r="AA632" s="3"/>
      <c r="AB632" s="3"/>
      <c r="AC632" s="3"/>
      <c r="AD632" s="3"/>
      <c r="AE632" s="3"/>
      <c r="AF632" s="3"/>
      <c r="AG632" s="3"/>
      <c r="AH632" s="3"/>
      <c r="AI632" s="3"/>
      <c r="AJ632" s="3"/>
    </row>
    <row r="633" ht="15.75" customHeight="1">
      <c r="C633" s="2"/>
      <c r="R633" s="3"/>
      <c r="S633" s="3"/>
      <c r="T633" s="3"/>
      <c r="U633" s="3"/>
      <c r="V633" s="3"/>
      <c r="W633" s="3"/>
      <c r="X633" s="3"/>
      <c r="Y633" s="3"/>
      <c r="Z633" s="3"/>
      <c r="AA633" s="3"/>
      <c r="AB633" s="3"/>
      <c r="AC633" s="3"/>
      <c r="AD633" s="3"/>
      <c r="AE633" s="3"/>
      <c r="AF633" s="3"/>
      <c r="AG633" s="3"/>
      <c r="AH633" s="3"/>
      <c r="AI633" s="3"/>
      <c r="AJ633" s="3"/>
    </row>
    <row r="634" ht="15.75" customHeight="1">
      <c r="C634" s="2"/>
      <c r="R634" s="3"/>
      <c r="S634" s="3"/>
      <c r="T634" s="3"/>
      <c r="U634" s="3"/>
      <c r="V634" s="3"/>
      <c r="W634" s="3"/>
      <c r="X634" s="3"/>
      <c r="Y634" s="3"/>
      <c r="Z634" s="3"/>
      <c r="AA634" s="3"/>
      <c r="AB634" s="3"/>
      <c r="AC634" s="3"/>
      <c r="AD634" s="3"/>
      <c r="AE634" s="3"/>
      <c r="AF634" s="3"/>
      <c r="AG634" s="3"/>
      <c r="AH634" s="3"/>
      <c r="AI634" s="3"/>
      <c r="AJ634" s="3"/>
    </row>
    <row r="635" ht="15.75" customHeight="1">
      <c r="C635" s="2"/>
      <c r="R635" s="3"/>
      <c r="S635" s="3"/>
      <c r="T635" s="3"/>
      <c r="U635" s="3"/>
      <c r="V635" s="3"/>
      <c r="W635" s="3"/>
      <c r="X635" s="3"/>
      <c r="Y635" s="3"/>
      <c r="Z635" s="3"/>
      <c r="AA635" s="3"/>
      <c r="AB635" s="3"/>
      <c r="AC635" s="3"/>
      <c r="AD635" s="3"/>
      <c r="AE635" s="3"/>
      <c r="AF635" s="3"/>
      <c r="AG635" s="3"/>
      <c r="AH635" s="3"/>
      <c r="AI635" s="3"/>
      <c r="AJ635" s="3"/>
    </row>
    <row r="636" ht="15.75" customHeight="1">
      <c r="C636" s="2"/>
      <c r="R636" s="3"/>
      <c r="S636" s="3"/>
      <c r="T636" s="3"/>
      <c r="U636" s="3"/>
      <c r="V636" s="3"/>
      <c r="W636" s="3"/>
      <c r="X636" s="3"/>
      <c r="Y636" s="3"/>
      <c r="Z636" s="3"/>
      <c r="AA636" s="3"/>
      <c r="AB636" s="3"/>
      <c r="AC636" s="3"/>
      <c r="AD636" s="3"/>
      <c r="AE636" s="3"/>
      <c r="AF636" s="3"/>
      <c r="AG636" s="3"/>
      <c r="AH636" s="3"/>
      <c r="AI636" s="3"/>
      <c r="AJ636" s="3"/>
    </row>
    <row r="637" ht="15.75" customHeight="1">
      <c r="C637" s="2"/>
      <c r="R637" s="3"/>
      <c r="S637" s="3"/>
      <c r="T637" s="3"/>
      <c r="U637" s="3"/>
      <c r="V637" s="3"/>
      <c r="W637" s="3"/>
      <c r="X637" s="3"/>
      <c r="Y637" s="3"/>
      <c r="Z637" s="3"/>
      <c r="AA637" s="3"/>
      <c r="AB637" s="3"/>
      <c r="AC637" s="3"/>
      <c r="AD637" s="3"/>
      <c r="AE637" s="3"/>
      <c r="AF637" s="3"/>
      <c r="AG637" s="3"/>
      <c r="AH637" s="3"/>
      <c r="AI637" s="3"/>
      <c r="AJ637" s="3"/>
    </row>
    <row r="638" ht="15.75" customHeight="1">
      <c r="C638" s="2"/>
      <c r="R638" s="3"/>
      <c r="S638" s="3"/>
      <c r="T638" s="3"/>
      <c r="U638" s="3"/>
      <c r="V638" s="3"/>
      <c r="W638" s="3"/>
      <c r="X638" s="3"/>
      <c r="Y638" s="3"/>
      <c r="Z638" s="3"/>
      <c r="AA638" s="3"/>
      <c r="AB638" s="3"/>
      <c r="AC638" s="3"/>
      <c r="AD638" s="3"/>
      <c r="AE638" s="3"/>
      <c r="AF638" s="3"/>
      <c r="AG638" s="3"/>
      <c r="AH638" s="3"/>
      <c r="AI638" s="3"/>
      <c r="AJ638" s="3"/>
    </row>
    <row r="639" ht="15.75" customHeight="1">
      <c r="C639" s="2"/>
      <c r="R639" s="3"/>
      <c r="S639" s="3"/>
      <c r="T639" s="3"/>
      <c r="U639" s="3"/>
      <c r="V639" s="3"/>
      <c r="W639" s="3"/>
      <c r="X639" s="3"/>
      <c r="Y639" s="3"/>
      <c r="Z639" s="3"/>
      <c r="AA639" s="3"/>
      <c r="AB639" s="3"/>
      <c r="AC639" s="3"/>
      <c r="AD639" s="3"/>
      <c r="AE639" s="3"/>
      <c r="AF639" s="3"/>
      <c r="AG639" s="3"/>
      <c r="AH639" s="3"/>
      <c r="AI639" s="3"/>
      <c r="AJ639" s="3"/>
    </row>
    <row r="640" ht="15.75" customHeight="1">
      <c r="C640" s="2"/>
      <c r="R640" s="3"/>
      <c r="S640" s="3"/>
      <c r="T640" s="3"/>
      <c r="U640" s="3"/>
      <c r="V640" s="3"/>
      <c r="W640" s="3"/>
      <c r="X640" s="3"/>
      <c r="Y640" s="3"/>
      <c r="Z640" s="3"/>
      <c r="AA640" s="3"/>
      <c r="AB640" s="3"/>
      <c r="AC640" s="3"/>
      <c r="AD640" s="3"/>
      <c r="AE640" s="3"/>
      <c r="AF640" s="3"/>
      <c r="AG640" s="3"/>
      <c r="AH640" s="3"/>
      <c r="AI640" s="3"/>
      <c r="AJ640" s="3"/>
    </row>
    <row r="641" ht="15.75" customHeight="1">
      <c r="C641" s="2"/>
      <c r="R641" s="3"/>
      <c r="S641" s="3"/>
      <c r="T641" s="3"/>
      <c r="U641" s="3"/>
      <c r="V641" s="3"/>
      <c r="W641" s="3"/>
      <c r="X641" s="3"/>
      <c r="Y641" s="3"/>
      <c r="Z641" s="3"/>
      <c r="AA641" s="3"/>
      <c r="AB641" s="3"/>
      <c r="AC641" s="3"/>
      <c r="AD641" s="3"/>
      <c r="AE641" s="3"/>
      <c r="AF641" s="3"/>
      <c r="AG641" s="3"/>
      <c r="AH641" s="3"/>
      <c r="AI641" s="3"/>
      <c r="AJ641" s="3"/>
    </row>
    <row r="642" ht="15.75" customHeight="1">
      <c r="C642" s="2"/>
      <c r="R642" s="3"/>
      <c r="S642" s="3"/>
      <c r="T642" s="3"/>
      <c r="U642" s="3"/>
      <c r="V642" s="3"/>
      <c r="W642" s="3"/>
      <c r="X642" s="3"/>
      <c r="Y642" s="3"/>
      <c r="Z642" s="3"/>
      <c r="AA642" s="3"/>
      <c r="AB642" s="3"/>
      <c r="AC642" s="3"/>
      <c r="AD642" s="3"/>
      <c r="AE642" s="3"/>
      <c r="AF642" s="3"/>
      <c r="AG642" s="3"/>
      <c r="AH642" s="3"/>
      <c r="AI642" s="3"/>
      <c r="AJ642" s="3"/>
    </row>
    <row r="643" ht="15.75" customHeight="1">
      <c r="C643" s="2"/>
      <c r="R643" s="3"/>
      <c r="S643" s="3"/>
      <c r="T643" s="3"/>
      <c r="U643" s="3"/>
      <c r="V643" s="3"/>
      <c r="W643" s="3"/>
      <c r="X643" s="3"/>
      <c r="Y643" s="3"/>
      <c r="Z643" s="3"/>
      <c r="AA643" s="3"/>
      <c r="AB643" s="3"/>
      <c r="AC643" s="3"/>
      <c r="AD643" s="3"/>
      <c r="AE643" s="3"/>
      <c r="AF643" s="3"/>
      <c r="AG643" s="3"/>
      <c r="AH643" s="3"/>
      <c r="AI643" s="3"/>
      <c r="AJ643" s="3"/>
    </row>
    <row r="644" ht="15.75" customHeight="1">
      <c r="C644" s="2"/>
      <c r="R644" s="3"/>
      <c r="S644" s="3"/>
      <c r="T644" s="3"/>
      <c r="U644" s="3"/>
      <c r="V644" s="3"/>
      <c r="W644" s="3"/>
      <c r="X644" s="3"/>
      <c r="Y644" s="3"/>
      <c r="Z644" s="3"/>
      <c r="AA644" s="3"/>
      <c r="AB644" s="3"/>
      <c r="AC644" s="3"/>
      <c r="AD644" s="3"/>
      <c r="AE644" s="3"/>
      <c r="AF644" s="3"/>
      <c r="AG644" s="3"/>
      <c r="AH644" s="3"/>
      <c r="AI644" s="3"/>
      <c r="AJ644" s="3"/>
    </row>
    <row r="645" ht="15.75" customHeight="1">
      <c r="C645" s="2"/>
      <c r="R645" s="3"/>
      <c r="S645" s="3"/>
      <c r="T645" s="3"/>
      <c r="U645" s="3"/>
      <c r="V645" s="3"/>
      <c r="W645" s="3"/>
      <c r="X645" s="3"/>
      <c r="Y645" s="3"/>
      <c r="Z645" s="3"/>
      <c r="AA645" s="3"/>
      <c r="AB645" s="3"/>
      <c r="AC645" s="3"/>
      <c r="AD645" s="3"/>
      <c r="AE645" s="3"/>
      <c r="AF645" s="3"/>
      <c r="AG645" s="3"/>
      <c r="AH645" s="3"/>
      <c r="AI645" s="3"/>
      <c r="AJ645" s="3"/>
    </row>
    <row r="646" ht="15.75" customHeight="1">
      <c r="C646" s="2"/>
      <c r="R646" s="3"/>
      <c r="S646" s="3"/>
      <c r="T646" s="3"/>
      <c r="U646" s="3"/>
      <c r="V646" s="3"/>
      <c r="W646" s="3"/>
      <c r="X646" s="3"/>
      <c r="Y646" s="3"/>
      <c r="Z646" s="3"/>
      <c r="AA646" s="3"/>
      <c r="AB646" s="3"/>
      <c r="AC646" s="3"/>
      <c r="AD646" s="3"/>
      <c r="AE646" s="3"/>
      <c r="AF646" s="3"/>
      <c r="AG646" s="3"/>
      <c r="AH646" s="3"/>
      <c r="AI646" s="3"/>
      <c r="AJ646" s="3"/>
    </row>
    <row r="647" ht="15.75" customHeight="1">
      <c r="C647" s="2"/>
      <c r="R647" s="3"/>
      <c r="S647" s="3"/>
      <c r="T647" s="3"/>
      <c r="U647" s="3"/>
      <c r="V647" s="3"/>
      <c r="W647" s="3"/>
      <c r="X647" s="3"/>
      <c r="Y647" s="3"/>
      <c r="Z647" s="3"/>
      <c r="AA647" s="3"/>
      <c r="AB647" s="3"/>
      <c r="AC647" s="3"/>
      <c r="AD647" s="3"/>
      <c r="AE647" s="3"/>
      <c r="AF647" s="3"/>
      <c r="AG647" s="3"/>
      <c r="AH647" s="3"/>
      <c r="AI647" s="3"/>
      <c r="AJ647" s="3"/>
    </row>
    <row r="648" ht="15.75" customHeight="1">
      <c r="C648" s="2"/>
      <c r="R648" s="3"/>
      <c r="S648" s="3"/>
      <c r="T648" s="3"/>
      <c r="U648" s="3"/>
      <c r="V648" s="3"/>
      <c r="W648" s="3"/>
      <c r="X648" s="3"/>
      <c r="Y648" s="3"/>
      <c r="Z648" s="3"/>
      <c r="AA648" s="3"/>
      <c r="AB648" s="3"/>
      <c r="AC648" s="3"/>
      <c r="AD648" s="3"/>
      <c r="AE648" s="3"/>
      <c r="AF648" s="3"/>
      <c r="AG648" s="3"/>
      <c r="AH648" s="3"/>
      <c r="AI648" s="3"/>
      <c r="AJ648" s="3"/>
    </row>
    <row r="649" ht="15.75" customHeight="1">
      <c r="C649" s="2"/>
      <c r="R649" s="3"/>
      <c r="S649" s="3"/>
      <c r="T649" s="3"/>
      <c r="U649" s="3"/>
      <c r="V649" s="3"/>
      <c r="W649" s="3"/>
      <c r="X649" s="3"/>
      <c r="Y649" s="3"/>
      <c r="Z649" s="3"/>
      <c r="AA649" s="3"/>
      <c r="AB649" s="3"/>
      <c r="AC649" s="3"/>
      <c r="AD649" s="3"/>
      <c r="AE649" s="3"/>
      <c r="AF649" s="3"/>
      <c r="AG649" s="3"/>
      <c r="AH649" s="3"/>
      <c r="AI649" s="3"/>
      <c r="AJ649" s="3"/>
    </row>
    <row r="650" ht="15.75" customHeight="1">
      <c r="C650" s="2"/>
      <c r="R650" s="3"/>
      <c r="S650" s="3"/>
      <c r="T650" s="3"/>
      <c r="U650" s="3"/>
      <c r="V650" s="3"/>
      <c r="W650" s="3"/>
      <c r="X650" s="3"/>
      <c r="Y650" s="3"/>
      <c r="Z650" s="3"/>
      <c r="AA650" s="3"/>
      <c r="AB650" s="3"/>
      <c r="AC650" s="3"/>
      <c r="AD650" s="3"/>
      <c r="AE650" s="3"/>
      <c r="AF650" s="3"/>
      <c r="AG650" s="3"/>
      <c r="AH650" s="3"/>
      <c r="AI650" s="3"/>
      <c r="AJ650" s="3"/>
    </row>
    <row r="651" ht="15.75" customHeight="1">
      <c r="C651" s="2"/>
      <c r="R651" s="3"/>
      <c r="S651" s="3"/>
      <c r="T651" s="3"/>
      <c r="U651" s="3"/>
      <c r="V651" s="3"/>
      <c r="W651" s="3"/>
      <c r="X651" s="3"/>
      <c r="Y651" s="3"/>
      <c r="Z651" s="3"/>
      <c r="AA651" s="3"/>
      <c r="AB651" s="3"/>
      <c r="AC651" s="3"/>
      <c r="AD651" s="3"/>
      <c r="AE651" s="3"/>
      <c r="AF651" s="3"/>
      <c r="AG651" s="3"/>
      <c r="AH651" s="3"/>
      <c r="AI651" s="3"/>
      <c r="AJ651" s="3"/>
    </row>
    <row r="652" ht="15.75" customHeight="1">
      <c r="C652" s="2"/>
      <c r="R652" s="3"/>
      <c r="S652" s="3"/>
      <c r="T652" s="3"/>
      <c r="U652" s="3"/>
      <c r="V652" s="3"/>
      <c r="W652" s="3"/>
      <c r="X652" s="3"/>
      <c r="Y652" s="3"/>
      <c r="Z652" s="3"/>
      <c r="AA652" s="3"/>
      <c r="AB652" s="3"/>
      <c r="AC652" s="3"/>
      <c r="AD652" s="3"/>
      <c r="AE652" s="3"/>
      <c r="AF652" s="3"/>
      <c r="AG652" s="3"/>
      <c r="AH652" s="3"/>
      <c r="AI652" s="3"/>
      <c r="AJ652" s="3"/>
    </row>
    <row r="653" ht="15.75" customHeight="1">
      <c r="C653" s="2"/>
      <c r="R653" s="3"/>
      <c r="S653" s="3"/>
      <c r="T653" s="3"/>
      <c r="U653" s="3"/>
      <c r="V653" s="3"/>
      <c r="W653" s="3"/>
      <c r="X653" s="3"/>
      <c r="Y653" s="3"/>
      <c r="Z653" s="3"/>
      <c r="AA653" s="3"/>
      <c r="AB653" s="3"/>
      <c r="AC653" s="3"/>
      <c r="AD653" s="3"/>
      <c r="AE653" s="3"/>
      <c r="AF653" s="3"/>
      <c r="AG653" s="3"/>
      <c r="AH653" s="3"/>
      <c r="AI653" s="3"/>
      <c r="AJ653" s="3"/>
    </row>
    <row r="654" ht="15.75" customHeight="1">
      <c r="C654" s="2"/>
      <c r="R654" s="3"/>
      <c r="S654" s="3"/>
      <c r="T654" s="3"/>
      <c r="U654" s="3"/>
      <c r="V654" s="3"/>
      <c r="W654" s="3"/>
      <c r="X654" s="3"/>
      <c r="Y654" s="3"/>
      <c r="Z654" s="3"/>
      <c r="AA654" s="3"/>
      <c r="AB654" s="3"/>
      <c r="AC654" s="3"/>
      <c r="AD654" s="3"/>
      <c r="AE654" s="3"/>
      <c r="AF654" s="3"/>
      <c r="AG654" s="3"/>
      <c r="AH654" s="3"/>
      <c r="AI654" s="3"/>
      <c r="AJ654" s="3"/>
    </row>
    <row r="655" ht="15.75" customHeight="1">
      <c r="C655" s="2"/>
      <c r="R655" s="3"/>
      <c r="S655" s="3"/>
      <c r="T655" s="3"/>
      <c r="U655" s="3"/>
      <c r="V655" s="3"/>
      <c r="W655" s="3"/>
      <c r="X655" s="3"/>
      <c r="Y655" s="3"/>
      <c r="Z655" s="3"/>
      <c r="AA655" s="3"/>
      <c r="AB655" s="3"/>
      <c r="AC655" s="3"/>
      <c r="AD655" s="3"/>
      <c r="AE655" s="3"/>
      <c r="AF655" s="3"/>
      <c r="AG655" s="3"/>
      <c r="AH655" s="3"/>
      <c r="AI655" s="3"/>
      <c r="AJ655" s="3"/>
    </row>
    <row r="656" ht="15.75" customHeight="1">
      <c r="C656" s="2"/>
      <c r="R656" s="3"/>
      <c r="S656" s="3"/>
      <c r="T656" s="3"/>
      <c r="U656" s="3"/>
      <c r="V656" s="3"/>
      <c r="W656" s="3"/>
      <c r="X656" s="3"/>
      <c r="Y656" s="3"/>
      <c r="Z656" s="3"/>
      <c r="AA656" s="3"/>
      <c r="AB656" s="3"/>
      <c r="AC656" s="3"/>
      <c r="AD656" s="3"/>
      <c r="AE656" s="3"/>
      <c r="AF656" s="3"/>
      <c r="AG656" s="3"/>
      <c r="AH656" s="3"/>
      <c r="AI656" s="3"/>
      <c r="AJ656" s="3"/>
    </row>
    <row r="657" ht="15.75" customHeight="1">
      <c r="C657" s="2"/>
      <c r="R657" s="3"/>
      <c r="S657" s="3"/>
      <c r="T657" s="3"/>
      <c r="U657" s="3"/>
      <c r="V657" s="3"/>
      <c r="W657" s="3"/>
      <c r="X657" s="3"/>
      <c r="Y657" s="3"/>
      <c r="Z657" s="3"/>
      <c r="AA657" s="3"/>
      <c r="AB657" s="3"/>
      <c r="AC657" s="3"/>
      <c r="AD657" s="3"/>
      <c r="AE657" s="3"/>
      <c r="AF657" s="3"/>
      <c r="AG657" s="3"/>
      <c r="AH657" s="3"/>
      <c r="AI657" s="3"/>
      <c r="AJ657" s="3"/>
    </row>
    <row r="658" ht="15.75" customHeight="1">
      <c r="C658" s="2"/>
      <c r="R658" s="3"/>
      <c r="S658" s="3"/>
      <c r="T658" s="3"/>
      <c r="U658" s="3"/>
      <c r="V658" s="3"/>
      <c r="W658" s="3"/>
      <c r="X658" s="3"/>
      <c r="Y658" s="3"/>
      <c r="Z658" s="3"/>
      <c r="AA658" s="3"/>
      <c r="AB658" s="3"/>
      <c r="AC658" s="3"/>
      <c r="AD658" s="3"/>
      <c r="AE658" s="3"/>
      <c r="AF658" s="3"/>
      <c r="AG658" s="3"/>
      <c r="AH658" s="3"/>
      <c r="AI658" s="3"/>
      <c r="AJ658" s="3"/>
    </row>
    <row r="659" ht="15.75" customHeight="1">
      <c r="C659" s="2"/>
      <c r="R659" s="3"/>
      <c r="S659" s="3"/>
      <c r="T659" s="3"/>
      <c r="U659" s="3"/>
      <c r="V659" s="3"/>
      <c r="W659" s="3"/>
      <c r="X659" s="3"/>
      <c r="Y659" s="3"/>
      <c r="Z659" s="3"/>
      <c r="AA659" s="3"/>
      <c r="AB659" s="3"/>
      <c r="AC659" s="3"/>
      <c r="AD659" s="3"/>
      <c r="AE659" s="3"/>
      <c r="AF659" s="3"/>
      <c r="AG659" s="3"/>
      <c r="AH659" s="3"/>
      <c r="AI659" s="3"/>
      <c r="AJ659" s="3"/>
    </row>
    <row r="660" ht="15.75" customHeight="1">
      <c r="C660" s="2"/>
      <c r="R660" s="3"/>
      <c r="S660" s="3"/>
      <c r="T660" s="3"/>
      <c r="U660" s="3"/>
      <c r="V660" s="3"/>
      <c r="W660" s="3"/>
      <c r="X660" s="3"/>
      <c r="Y660" s="3"/>
      <c r="Z660" s="3"/>
      <c r="AA660" s="3"/>
      <c r="AB660" s="3"/>
      <c r="AC660" s="3"/>
      <c r="AD660" s="3"/>
      <c r="AE660" s="3"/>
      <c r="AF660" s="3"/>
      <c r="AG660" s="3"/>
      <c r="AH660" s="3"/>
      <c r="AI660" s="3"/>
      <c r="AJ660" s="3"/>
    </row>
    <row r="661" ht="15.75" customHeight="1">
      <c r="C661" s="2"/>
      <c r="R661" s="3"/>
      <c r="S661" s="3"/>
      <c r="T661" s="3"/>
      <c r="U661" s="3"/>
      <c r="V661" s="3"/>
      <c r="W661" s="3"/>
      <c r="X661" s="3"/>
      <c r="Y661" s="3"/>
      <c r="Z661" s="3"/>
      <c r="AA661" s="3"/>
      <c r="AB661" s="3"/>
      <c r="AC661" s="3"/>
      <c r="AD661" s="3"/>
      <c r="AE661" s="3"/>
      <c r="AF661" s="3"/>
      <c r="AG661" s="3"/>
      <c r="AH661" s="3"/>
      <c r="AI661" s="3"/>
      <c r="AJ661" s="3"/>
    </row>
    <row r="662" ht="15.75" customHeight="1">
      <c r="C662" s="2"/>
      <c r="R662" s="3"/>
      <c r="S662" s="3"/>
      <c r="T662" s="3"/>
      <c r="U662" s="3"/>
      <c r="V662" s="3"/>
      <c r="W662" s="3"/>
      <c r="X662" s="3"/>
      <c r="Y662" s="3"/>
      <c r="Z662" s="3"/>
      <c r="AA662" s="3"/>
      <c r="AB662" s="3"/>
      <c r="AC662" s="3"/>
      <c r="AD662" s="3"/>
      <c r="AE662" s="3"/>
      <c r="AF662" s="3"/>
      <c r="AG662" s="3"/>
      <c r="AH662" s="3"/>
      <c r="AI662" s="3"/>
      <c r="AJ662" s="3"/>
    </row>
    <row r="663" ht="15.75" customHeight="1">
      <c r="C663" s="2"/>
      <c r="R663" s="3"/>
      <c r="S663" s="3"/>
      <c r="T663" s="3"/>
      <c r="U663" s="3"/>
      <c r="V663" s="3"/>
      <c r="W663" s="3"/>
      <c r="X663" s="3"/>
      <c r="Y663" s="3"/>
      <c r="Z663" s="3"/>
      <c r="AA663" s="3"/>
      <c r="AB663" s="3"/>
      <c r="AC663" s="3"/>
      <c r="AD663" s="3"/>
      <c r="AE663" s="3"/>
      <c r="AF663" s="3"/>
      <c r="AG663" s="3"/>
      <c r="AH663" s="3"/>
      <c r="AI663" s="3"/>
      <c r="AJ663" s="3"/>
    </row>
    <row r="664" ht="15.75" customHeight="1">
      <c r="C664" s="2"/>
      <c r="R664" s="3"/>
      <c r="S664" s="3"/>
      <c r="T664" s="3"/>
      <c r="U664" s="3"/>
      <c r="V664" s="3"/>
      <c r="W664" s="3"/>
      <c r="X664" s="3"/>
      <c r="Y664" s="3"/>
      <c r="Z664" s="3"/>
      <c r="AA664" s="3"/>
      <c r="AB664" s="3"/>
      <c r="AC664" s="3"/>
      <c r="AD664" s="3"/>
      <c r="AE664" s="3"/>
      <c r="AF664" s="3"/>
      <c r="AG664" s="3"/>
      <c r="AH664" s="3"/>
      <c r="AI664" s="3"/>
      <c r="AJ664" s="3"/>
    </row>
    <row r="665" ht="15.75" customHeight="1">
      <c r="C665" s="2"/>
      <c r="R665" s="3"/>
      <c r="S665" s="3"/>
      <c r="T665" s="3"/>
      <c r="U665" s="3"/>
      <c r="V665" s="3"/>
      <c r="W665" s="3"/>
      <c r="X665" s="3"/>
      <c r="Y665" s="3"/>
      <c r="Z665" s="3"/>
      <c r="AA665" s="3"/>
      <c r="AB665" s="3"/>
      <c r="AC665" s="3"/>
      <c r="AD665" s="3"/>
      <c r="AE665" s="3"/>
      <c r="AF665" s="3"/>
      <c r="AG665" s="3"/>
      <c r="AH665" s="3"/>
      <c r="AI665" s="3"/>
      <c r="AJ665" s="3"/>
    </row>
    <row r="666" ht="15.75" customHeight="1">
      <c r="C666" s="2"/>
      <c r="R666" s="3"/>
      <c r="S666" s="3"/>
      <c r="T666" s="3"/>
      <c r="U666" s="3"/>
      <c r="V666" s="3"/>
      <c r="W666" s="3"/>
      <c r="X666" s="3"/>
      <c r="Y666" s="3"/>
      <c r="Z666" s="3"/>
      <c r="AA666" s="3"/>
      <c r="AB666" s="3"/>
      <c r="AC666" s="3"/>
      <c r="AD666" s="3"/>
      <c r="AE666" s="3"/>
      <c r="AF666" s="3"/>
      <c r="AG666" s="3"/>
      <c r="AH666" s="3"/>
      <c r="AI666" s="3"/>
      <c r="AJ666" s="3"/>
    </row>
    <row r="667" ht="15.75" customHeight="1">
      <c r="C667" s="2"/>
      <c r="R667" s="3"/>
      <c r="S667" s="3"/>
      <c r="T667" s="3"/>
      <c r="U667" s="3"/>
      <c r="V667" s="3"/>
      <c r="W667" s="3"/>
      <c r="X667" s="3"/>
      <c r="Y667" s="3"/>
      <c r="Z667" s="3"/>
      <c r="AA667" s="3"/>
      <c r="AB667" s="3"/>
      <c r="AC667" s="3"/>
      <c r="AD667" s="3"/>
      <c r="AE667" s="3"/>
      <c r="AF667" s="3"/>
      <c r="AG667" s="3"/>
      <c r="AH667" s="3"/>
      <c r="AI667" s="3"/>
      <c r="AJ667" s="3"/>
    </row>
    <row r="668" ht="15.75" customHeight="1">
      <c r="C668" s="2"/>
      <c r="R668" s="3"/>
      <c r="S668" s="3"/>
      <c r="T668" s="3"/>
      <c r="U668" s="3"/>
      <c r="V668" s="3"/>
      <c r="W668" s="3"/>
      <c r="X668" s="3"/>
      <c r="Y668" s="3"/>
      <c r="Z668" s="3"/>
      <c r="AA668" s="3"/>
      <c r="AB668" s="3"/>
      <c r="AC668" s="3"/>
      <c r="AD668" s="3"/>
      <c r="AE668" s="3"/>
      <c r="AF668" s="3"/>
      <c r="AG668" s="3"/>
      <c r="AH668" s="3"/>
      <c r="AI668" s="3"/>
      <c r="AJ668" s="3"/>
    </row>
    <row r="669" ht="15.75" customHeight="1">
      <c r="C669" s="2"/>
      <c r="R669" s="3"/>
      <c r="S669" s="3"/>
      <c r="T669" s="3"/>
      <c r="U669" s="3"/>
      <c r="V669" s="3"/>
      <c r="W669" s="3"/>
      <c r="X669" s="3"/>
      <c r="Y669" s="3"/>
      <c r="Z669" s="3"/>
      <c r="AA669" s="3"/>
      <c r="AB669" s="3"/>
      <c r="AC669" s="3"/>
      <c r="AD669" s="3"/>
      <c r="AE669" s="3"/>
      <c r="AF669" s="3"/>
      <c r="AG669" s="3"/>
      <c r="AH669" s="3"/>
      <c r="AI669" s="3"/>
      <c r="AJ669" s="3"/>
    </row>
    <row r="670" ht="15.75" customHeight="1">
      <c r="C670" s="2"/>
      <c r="R670" s="3"/>
      <c r="S670" s="3"/>
      <c r="T670" s="3"/>
      <c r="U670" s="3"/>
      <c r="V670" s="3"/>
      <c r="W670" s="3"/>
      <c r="X670" s="3"/>
      <c r="Y670" s="3"/>
      <c r="Z670" s="3"/>
      <c r="AA670" s="3"/>
      <c r="AB670" s="3"/>
      <c r="AC670" s="3"/>
      <c r="AD670" s="3"/>
      <c r="AE670" s="3"/>
      <c r="AF670" s="3"/>
      <c r="AG670" s="3"/>
      <c r="AH670" s="3"/>
      <c r="AI670" s="3"/>
      <c r="AJ670" s="3"/>
    </row>
    <row r="671" ht="15.75" customHeight="1">
      <c r="C671" s="2"/>
      <c r="R671" s="3"/>
      <c r="S671" s="3"/>
      <c r="T671" s="3"/>
      <c r="U671" s="3"/>
      <c r="V671" s="3"/>
      <c r="W671" s="3"/>
      <c r="X671" s="3"/>
      <c r="Y671" s="3"/>
      <c r="Z671" s="3"/>
      <c r="AA671" s="3"/>
      <c r="AB671" s="3"/>
      <c r="AC671" s="3"/>
      <c r="AD671" s="3"/>
      <c r="AE671" s="3"/>
      <c r="AF671" s="3"/>
      <c r="AG671" s="3"/>
      <c r="AH671" s="3"/>
      <c r="AI671" s="3"/>
      <c r="AJ671" s="3"/>
    </row>
    <row r="672" ht="15.75" customHeight="1">
      <c r="C672" s="2"/>
      <c r="R672" s="3"/>
      <c r="S672" s="3"/>
      <c r="T672" s="3"/>
      <c r="U672" s="3"/>
      <c r="V672" s="3"/>
      <c r="W672" s="3"/>
      <c r="X672" s="3"/>
      <c r="Y672" s="3"/>
      <c r="Z672" s="3"/>
      <c r="AA672" s="3"/>
      <c r="AB672" s="3"/>
      <c r="AC672" s="3"/>
      <c r="AD672" s="3"/>
      <c r="AE672" s="3"/>
      <c r="AF672" s="3"/>
      <c r="AG672" s="3"/>
      <c r="AH672" s="3"/>
      <c r="AI672" s="3"/>
      <c r="AJ672" s="3"/>
    </row>
    <row r="673" ht="15.75" customHeight="1">
      <c r="C673" s="2"/>
      <c r="R673" s="3"/>
      <c r="S673" s="3"/>
      <c r="T673" s="3"/>
      <c r="U673" s="3"/>
      <c r="V673" s="3"/>
      <c r="W673" s="3"/>
      <c r="X673" s="3"/>
      <c r="Y673" s="3"/>
      <c r="Z673" s="3"/>
      <c r="AA673" s="3"/>
      <c r="AB673" s="3"/>
      <c r="AC673" s="3"/>
      <c r="AD673" s="3"/>
      <c r="AE673" s="3"/>
      <c r="AF673" s="3"/>
      <c r="AG673" s="3"/>
      <c r="AH673" s="3"/>
      <c r="AI673" s="3"/>
      <c r="AJ673" s="3"/>
    </row>
    <row r="674" ht="15.75" customHeight="1">
      <c r="C674" s="2"/>
      <c r="R674" s="3"/>
      <c r="S674" s="3"/>
      <c r="T674" s="3"/>
      <c r="U674" s="3"/>
      <c r="V674" s="3"/>
      <c r="W674" s="3"/>
      <c r="X674" s="3"/>
      <c r="Y674" s="3"/>
      <c r="Z674" s="3"/>
      <c r="AA674" s="3"/>
      <c r="AB674" s="3"/>
      <c r="AC674" s="3"/>
      <c r="AD674" s="3"/>
      <c r="AE674" s="3"/>
      <c r="AF674" s="3"/>
      <c r="AG674" s="3"/>
      <c r="AH674" s="3"/>
      <c r="AI674" s="3"/>
      <c r="AJ674" s="3"/>
    </row>
    <row r="675" ht="15.75" customHeight="1">
      <c r="C675" s="2"/>
      <c r="R675" s="3"/>
      <c r="S675" s="3"/>
      <c r="T675" s="3"/>
      <c r="U675" s="3"/>
      <c r="V675" s="3"/>
      <c r="W675" s="3"/>
      <c r="X675" s="3"/>
      <c r="Y675" s="3"/>
      <c r="Z675" s="3"/>
      <c r="AA675" s="3"/>
      <c r="AB675" s="3"/>
      <c r="AC675" s="3"/>
      <c r="AD675" s="3"/>
      <c r="AE675" s="3"/>
      <c r="AF675" s="3"/>
      <c r="AG675" s="3"/>
      <c r="AH675" s="3"/>
      <c r="AI675" s="3"/>
      <c r="AJ675" s="3"/>
    </row>
    <row r="676" ht="15.75" customHeight="1">
      <c r="C676" s="2"/>
      <c r="R676" s="3"/>
      <c r="S676" s="3"/>
      <c r="T676" s="3"/>
      <c r="U676" s="3"/>
      <c r="V676" s="3"/>
      <c r="W676" s="3"/>
      <c r="X676" s="3"/>
      <c r="Y676" s="3"/>
      <c r="Z676" s="3"/>
      <c r="AA676" s="3"/>
      <c r="AB676" s="3"/>
      <c r="AC676" s="3"/>
      <c r="AD676" s="3"/>
      <c r="AE676" s="3"/>
      <c r="AF676" s="3"/>
      <c r="AG676" s="3"/>
      <c r="AH676" s="3"/>
      <c r="AI676" s="3"/>
      <c r="AJ676" s="3"/>
    </row>
    <row r="677" ht="15.75" customHeight="1">
      <c r="C677" s="2"/>
      <c r="R677" s="3"/>
      <c r="S677" s="3"/>
      <c r="T677" s="3"/>
      <c r="U677" s="3"/>
      <c r="V677" s="3"/>
      <c r="W677" s="3"/>
      <c r="X677" s="3"/>
      <c r="Y677" s="3"/>
      <c r="Z677" s="3"/>
      <c r="AA677" s="3"/>
      <c r="AB677" s="3"/>
      <c r="AC677" s="3"/>
      <c r="AD677" s="3"/>
      <c r="AE677" s="3"/>
      <c r="AF677" s="3"/>
      <c r="AG677" s="3"/>
      <c r="AH677" s="3"/>
      <c r="AI677" s="3"/>
      <c r="AJ677" s="3"/>
    </row>
    <row r="678" ht="15.75" customHeight="1">
      <c r="C678" s="2"/>
      <c r="R678" s="3"/>
      <c r="S678" s="3"/>
      <c r="T678" s="3"/>
      <c r="U678" s="3"/>
      <c r="V678" s="3"/>
      <c r="W678" s="3"/>
      <c r="X678" s="3"/>
      <c r="Y678" s="3"/>
      <c r="Z678" s="3"/>
      <c r="AA678" s="3"/>
      <c r="AB678" s="3"/>
      <c r="AC678" s="3"/>
      <c r="AD678" s="3"/>
      <c r="AE678" s="3"/>
      <c r="AF678" s="3"/>
      <c r="AG678" s="3"/>
      <c r="AH678" s="3"/>
      <c r="AI678" s="3"/>
      <c r="AJ678" s="3"/>
    </row>
    <row r="679" ht="15.75" customHeight="1">
      <c r="C679" s="2"/>
      <c r="R679" s="3"/>
      <c r="S679" s="3"/>
      <c r="T679" s="3"/>
      <c r="U679" s="3"/>
      <c r="V679" s="3"/>
      <c r="W679" s="3"/>
      <c r="X679" s="3"/>
      <c r="Y679" s="3"/>
      <c r="Z679" s="3"/>
      <c r="AA679" s="3"/>
      <c r="AB679" s="3"/>
      <c r="AC679" s="3"/>
      <c r="AD679" s="3"/>
      <c r="AE679" s="3"/>
      <c r="AF679" s="3"/>
      <c r="AG679" s="3"/>
      <c r="AH679" s="3"/>
      <c r="AI679" s="3"/>
      <c r="AJ679" s="3"/>
    </row>
    <row r="680" ht="15.75" customHeight="1">
      <c r="C680" s="2"/>
      <c r="R680" s="3"/>
      <c r="S680" s="3"/>
      <c r="T680" s="3"/>
      <c r="U680" s="3"/>
      <c r="V680" s="3"/>
      <c r="W680" s="3"/>
      <c r="X680" s="3"/>
      <c r="Y680" s="3"/>
      <c r="Z680" s="3"/>
      <c r="AA680" s="3"/>
      <c r="AB680" s="3"/>
      <c r="AC680" s="3"/>
      <c r="AD680" s="3"/>
      <c r="AE680" s="3"/>
      <c r="AF680" s="3"/>
      <c r="AG680" s="3"/>
      <c r="AH680" s="3"/>
      <c r="AI680" s="3"/>
      <c r="AJ680" s="3"/>
    </row>
    <row r="681" ht="15.75" customHeight="1">
      <c r="C681" s="2"/>
      <c r="R681" s="3"/>
      <c r="S681" s="3"/>
      <c r="T681" s="3"/>
      <c r="U681" s="3"/>
      <c r="V681" s="3"/>
      <c r="W681" s="3"/>
      <c r="X681" s="3"/>
      <c r="Y681" s="3"/>
      <c r="Z681" s="3"/>
      <c r="AA681" s="3"/>
      <c r="AB681" s="3"/>
      <c r="AC681" s="3"/>
      <c r="AD681" s="3"/>
      <c r="AE681" s="3"/>
      <c r="AF681" s="3"/>
      <c r="AG681" s="3"/>
      <c r="AH681" s="3"/>
      <c r="AI681" s="3"/>
      <c r="AJ681" s="3"/>
    </row>
    <row r="682" ht="15.75" customHeight="1">
      <c r="C682" s="2"/>
      <c r="R682" s="3"/>
      <c r="S682" s="3"/>
      <c r="T682" s="3"/>
      <c r="U682" s="3"/>
      <c r="V682" s="3"/>
      <c r="W682" s="3"/>
      <c r="X682" s="3"/>
      <c r="Y682" s="3"/>
      <c r="Z682" s="3"/>
      <c r="AA682" s="3"/>
      <c r="AB682" s="3"/>
      <c r="AC682" s="3"/>
      <c r="AD682" s="3"/>
      <c r="AE682" s="3"/>
      <c r="AF682" s="3"/>
      <c r="AG682" s="3"/>
      <c r="AH682" s="3"/>
      <c r="AI682" s="3"/>
      <c r="AJ682" s="3"/>
    </row>
    <row r="683" ht="15.75" customHeight="1">
      <c r="C683" s="2"/>
      <c r="R683" s="3"/>
      <c r="S683" s="3"/>
      <c r="T683" s="3"/>
      <c r="U683" s="3"/>
      <c r="V683" s="3"/>
      <c r="W683" s="3"/>
      <c r="X683" s="3"/>
      <c r="Y683" s="3"/>
      <c r="Z683" s="3"/>
      <c r="AA683" s="3"/>
      <c r="AB683" s="3"/>
      <c r="AC683" s="3"/>
      <c r="AD683" s="3"/>
      <c r="AE683" s="3"/>
      <c r="AF683" s="3"/>
      <c r="AG683" s="3"/>
      <c r="AH683" s="3"/>
      <c r="AI683" s="3"/>
      <c r="AJ683" s="3"/>
    </row>
    <row r="684" ht="15.75" customHeight="1">
      <c r="C684" s="2"/>
      <c r="R684" s="3"/>
      <c r="S684" s="3"/>
      <c r="T684" s="3"/>
      <c r="U684" s="3"/>
      <c r="V684" s="3"/>
      <c r="W684" s="3"/>
      <c r="X684" s="3"/>
      <c r="Y684" s="3"/>
      <c r="Z684" s="3"/>
      <c r="AA684" s="3"/>
      <c r="AB684" s="3"/>
      <c r="AC684" s="3"/>
      <c r="AD684" s="3"/>
      <c r="AE684" s="3"/>
      <c r="AF684" s="3"/>
      <c r="AG684" s="3"/>
      <c r="AH684" s="3"/>
      <c r="AI684" s="3"/>
      <c r="AJ684" s="3"/>
    </row>
    <row r="685" ht="15.75" customHeight="1">
      <c r="C685" s="2"/>
      <c r="R685" s="3"/>
      <c r="S685" s="3"/>
      <c r="T685" s="3"/>
      <c r="U685" s="3"/>
      <c r="V685" s="3"/>
      <c r="W685" s="3"/>
      <c r="X685" s="3"/>
      <c r="Y685" s="3"/>
      <c r="Z685" s="3"/>
      <c r="AA685" s="3"/>
      <c r="AB685" s="3"/>
      <c r="AC685" s="3"/>
      <c r="AD685" s="3"/>
      <c r="AE685" s="3"/>
      <c r="AF685" s="3"/>
      <c r="AG685" s="3"/>
      <c r="AH685" s="3"/>
      <c r="AI685" s="3"/>
      <c r="AJ685" s="3"/>
    </row>
    <row r="686" ht="15.75" customHeight="1">
      <c r="C686" s="2"/>
      <c r="R686" s="3"/>
      <c r="S686" s="3"/>
      <c r="T686" s="3"/>
      <c r="U686" s="3"/>
      <c r="V686" s="3"/>
      <c r="W686" s="3"/>
      <c r="X686" s="3"/>
      <c r="Y686" s="3"/>
      <c r="Z686" s="3"/>
      <c r="AA686" s="3"/>
      <c r="AB686" s="3"/>
      <c r="AC686" s="3"/>
      <c r="AD686" s="3"/>
      <c r="AE686" s="3"/>
      <c r="AF686" s="3"/>
      <c r="AG686" s="3"/>
      <c r="AH686" s="3"/>
      <c r="AI686" s="3"/>
      <c r="AJ686" s="3"/>
    </row>
    <row r="687" ht="15.75" customHeight="1">
      <c r="C687" s="2"/>
      <c r="R687" s="3"/>
      <c r="S687" s="3"/>
      <c r="T687" s="3"/>
      <c r="U687" s="3"/>
      <c r="V687" s="3"/>
      <c r="W687" s="3"/>
      <c r="X687" s="3"/>
      <c r="Y687" s="3"/>
      <c r="Z687" s="3"/>
      <c r="AA687" s="3"/>
      <c r="AB687" s="3"/>
      <c r="AC687" s="3"/>
      <c r="AD687" s="3"/>
      <c r="AE687" s="3"/>
      <c r="AF687" s="3"/>
      <c r="AG687" s="3"/>
      <c r="AH687" s="3"/>
      <c r="AI687" s="3"/>
      <c r="AJ687" s="3"/>
    </row>
    <row r="688" ht="15.75" customHeight="1">
      <c r="C688" s="2"/>
      <c r="R688" s="3"/>
      <c r="S688" s="3"/>
      <c r="T688" s="3"/>
      <c r="U688" s="3"/>
      <c r="V688" s="3"/>
      <c r="W688" s="3"/>
      <c r="X688" s="3"/>
      <c r="Y688" s="3"/>
      <c r="Z688" s="3"/>
      <c r="AA688" s="3"/>
      <c r="AB688" s="3"/>
      <c r="AC688" s="3"/>
      <c r="AD688" s="3"/>
      <c r="AE688" s="3"/>
      <c r="AF688" s="3"/>
      <c r="AG688" s="3"/>
      <c r="AH688" s="3"/>
      <c r="AI688" s="3"/>
      <c r="AJ688" s="3"/>
    </row>
    <row r="689" ht="15.75" customHeight="1">
      <c r="C689" s="2"/>
      <c r="R689" s="3"/>
      <c r="S689" s="3"/>
      <c r="T689" s="3"/>
      <c r="U689" s="3"/>
      <c r="V689" s="3"/>
      <c r="W689" s="3"/>
      <c r="X689" s="3"/>
      <c r="Y689" s="3"/>
      <c r="Z689" s="3"/>
      <c r="AA689" s="3"/>
      <c r="AB689" s="3"/>
      <c r="AC689" s="3"/>
      <c r="AD689" s="3"/>
      <c r="AE689" s="3"/>
      <c r="AF689" s="3"/>
      <c r="AG689" s="3"/>
      <c r="AH689" s="3"/>
      <c r="AI689" s="3"/>
      <c r="AJ689" s="3"/>
    </row>
    <row r="690" ht="15.75" customHeight="1">
      <c r="C690" s="2"/>
      <c r="R690" s="3"/>
      <c r="S690" s="3"/>
      <c r="T690" s="3"/>
      <c r="U690" s="3"/>
      <c r="V690" s="3"/>
      <c r="W690" s="3"/>
      <c r="X690" s="3"/>
      <c r="Y690" s="3"/>
      <c r="Z690" s="3"/>
      <c r="AA690" s="3"/>
      <c r="AB690" s="3"/>
      <c r="AC690" s="3"/>
      <c r="AD690" s="3"/>
      <c r="AE690" s="3"/>
      <c r="AF690" s="3"/>
      <c r="AG690" s="3"/>
      <c r="AH690" s="3"/>
      <c r="AI690" s="3"/>
      <c r="AJ690" s="3"/>
    </row>
    <row r="691" ht="15.75" customHeight="1">
      <c r="C691" s="2"/>
      <c r="R691" s="3"/>
      <c r="S691" s="3"/>
      <c r="T691" s="3"/>
      <c r="U691" s="3"/>
      <c r="V691" s="3"/>
      <c r="W691" s="3"/>
      <c r="X691" s="3"/>
      <c r="Y691" s="3"/>
      <c r="Z691" s="3"/>
      <c r="AA691" s="3"/>
      <c r="AB691" s="3"/>
      <c r="AC691" s="3"/>
      <c r="AD691" s="3"/>
      <c r="AE691" s="3"/>
      <c r="AF691" s="3"/>
      <c r="AG691" s="3"/>
      <c r="AH691" s="3"/>
      <c r="AI691" s="3"/>
      <c r="AJ691" s="3"/>
    </row>
    <row r="692" ht="15.75" customHeight="1">
      <c r="C692" s="2"/>
      <c r="R692" s="3"/>
      <c r="S692" s="3"/>
      <c r="T692" s="3"/>
      <c r="U692" s="3"/>
      <c r="V692" s="3"/>
      <c r="W692" s="3"/>
      <c r="X692" s="3"/>
      <c r="Y692" s="3"/>
      <c r="Z692" s="3"/>
      <c r="AA692" s="3"/>
      <c r="AB692" s="3"/>
      <c r="AC692" s="3"/>
      <c r="AD692" s="3"/>
      <c r="AE692" s="3"/>
      <c r="AF692" s="3"/>
      <c r="AG692" s="3"/>
      <c r="AH692" s="3"/>
      <c r="AI692" s="3"/>
      <c r="AJ692" s="3"/>
    </row>
    <row r="693" ht="15.75" customHeight="1">
      <c r="C693" s="2"/>
      <c r="R693" s="3"/>
      <c r="S693" s="3"/>
      <c r="T693" s="3"/>
      <c r="U693" s="3"/>
      <c r="V693" s="3"/>
      <c r="W693" s="3"/>
      <c r="X693" s="3"/>
      <c r="Y693" s="3"/>
      <c r="Z693" s="3"/>
      <c r="AA693" s="3"/>
      <c r="AB693" s="3"/>
      <c r="AC693" s="3"/>
      <c r="AD693" s="3"/>
      <c r="AE693" s="3"/>
      <c r="AF693" s="3"/>
      <c r="AG693" s="3"/>
      <c r="AH693" s="3"/>
      <c r="AI693" s="3"/>
      <c r="AJ693" s="3"/>
    </row>
    <row r="694" ht="15.75" customHeight="1">
      <c r="C694" s="2"/>
      <c r="R694" s="3"/>
      <c r="S694" s="3"/>
      <c r="T694" s="3"/>
      <c r="U694" s="3"/>
      <c r="V694" s="3"/>
      <c r="W694" s="3"/>
      <c r="X694" s="3"/>
      <c r="Y694" s="3"/>
      <c r="Z694" s="3"/>
      <c r="AA694" s="3"/>
      <c r="AB694" s="3"/>
      <c r="AC694" s="3"/>
      <c r="AD694" s="3"/>
      <c r="AE694" s="3"/>
      <c r="AF694" s="3"/>
      <c r="AG694" s="3"/>
      <c r="AH694" s="3"/>
      <c r="AI694" s="3"/>
      <c r="AJ694" s="3"/>
    </row>
    <row r="695" ht="15.75" customHeight="1">
      <c r="C695" s="2"/>
      <c r="R695" s="3"/>
      <c r="S695" s="3"/>
      <c r="T695" s="3"/>
      <c r="U695" s="3"/>
      <c r="V695" s="3"/>
      <c r="W695" s="3"/>
      <c r="X695" s="3"/>
      <c r="Y695" s="3"/>
      <c r="Z695" s="3"/>
      <c r="AA695" s="3"/>
      <c r="AB695" s="3"/>
      <c r="AC695" s="3"/>
      <c r="AD695" s="3"/>
      <c r="AE695" s="3"/>
      <c r="AF695" s="3"/>
      <c r="AG695" s="3"/>
      <c r="AH695" s="3"/>
      <c r="AI695" s="3"/>
      <c r="AJ695" s="3"/>
    </row>
    <row r="696" ht="15.75" customHeight="1">
      <c r="C696" s="2"/>
      <c r="R696" s="3"/>
      <c r="S696" s="3"/>
      <c r="T696" s="3"/>
      <c r="U696" s="3"/>
      <c r="V696" s="3"/>
      <c r="W696" s="3"/>
      <c r="X696" s="3"/>
      <c r="Y696" s="3"/>
      <c r="Z696" s="3"/>
      <c r="AA696" s="3"/>
      <c r="AB696" s="3"/>
      <c r="AC696" s="3"/>
      <c r="AD696" s="3"/>
      <c r="AE696" s="3"/>
      <c r="AF696" s="3"/>
      <c r="AG696" s="3"/>
      <c r="AH696" s="3"/>
      <c r="AI696" s="3"/>
      <c r="AJ696" s="3"/>
    </row>
    <row r="697" ht="15.75" customHeight="1">
      <c r="C697" s="2"/>
      <c r="R697" s="3"/>
      <c r="S697" s="3"/>
      <c r="T697" s="3"/>
      <c r="U697" s="3"/>
      <c r="V697" s="3"/>
      <c r="W697" s="3"/>
      <c r="X697" s="3"/>
      <c r="Y697" s="3"/>
      <c r="Z697" s="3"/>
      <c r="AA697" s="3"/>
      <c r="AB697" s="3"/>
      <c r="AC697" s="3"/>
      <c r="AD697" s="3"/>
      <c r="AE697" s="3"/>
      <c r="AF697" s="3"/>
      <c r="AG697" s="3"/>
      <c r="AH697" s="3"/>
      <c r="AI697" s="3"/>
      <c r="AJ697" s="3"/>
    </row>
    <row r="698" ht="15.75" customHeight="1">
      <c r="C698" s="2"/>
      <c r="R698" s="3"/>
      <c r="S698" s="3"/>
      <c r="T698" s="3"/>
      <c r="U698" s="3"/>
      <c r="V698" s="3"/>
      <c r="W698" s="3"/>
      <c r="X698" s="3"/>
      <c r="Y698" s="3"/>
      <c r="Z698" s="3"/>
      <c r="AA698" s="3"/>
      <c r="AB698" s="3"/>
      <c r="AC698" s="3"/>
      <c r="AD698" s="3"/>
      <c r="AE698" s="3"/>
      <c r="AF698" s="3"/>
      <c r="AG698" s="3"/>
      <c r="AH698" s="3"/>
      <c r="AI698" s="3"/>
      <c r="AJ698" s="3"/>
    </row>
    <row r="699" ht="15.75" customHeight="1">
      <c r="C699" s="2"/>
      <c r="R699" s="3"/>
      <c r="S699" s="3"/>
      <c r="T699" s="3"/>
      <c r="U699" s="3"/>
      <c r="V699" s="3"/>
      <c r="W699" s="3"/>
      <c r="X699" s="3"/>
      <c r="Y699" s="3"/>
      <c r="Z699" s="3"/>
      <c r="AA699" s="3"/>
      <c r="AB699" s="3"/>
      <c r="AC699" s="3"/>
      <c r="AD699" s="3"/>
      <c r="AE699" s="3"/>
      <c r="AF699" s="3"/>
      <c r="AG699" s="3"/>
      <c r="AH699" s="3"/>
      <c r="AI699" s="3"/>
      <c r="AJ699" s="3"/>
    </row>
    <row r="700" ht="15.75" customHeight="1">
      <c r="C700" s="2"/>
      <c r="R700" s="3"/>
      <c r="S700" s="3"/>
      <c r="T700" s="3"/>
      <c r="U700" s="3"/>
      <c r="V700" s="3"/>
      <c r="W700" s="3"/>
      <c r="X700" s="3"/>
      <c r="Y700" s="3"/>
      <c r="Z700" s="3"/>
      <c r="AA700" s="3"/>
      <c r="AB700" s="3"/>
      <c r="AC700" s="3"/>
      <c r="AD700" s="3"/>
      <c r="AE700" s="3"/>
      <c r="AF700" s="3"/>
      <c r="AG700" s="3"/>
      <c r="AH700" s="3"/>
      <c r="AI700" s="3"/>
      <c r="AJ700" s="3"/>
    </row>
    <row r="701" ht="15.75" customHeight="1">
      <c r="C701" s="2"/>
      <c r="R701" s="3"/>
      <c r="S701" s="3"/>
      <c r="T701" s="3"/>
      <c r="U701" s="3"/>
      <c r="V701" s="3"/>
      <c r="W701" s="3"/>
      <c r="X701" s="3"/>
      <c r="Y701" s="3"/>
      <c r="Z701" s="3"/>
      <c r="AA701" s="3"/>
      <c r="AB701" s="3"/>
      <c r="AC701" s="3"/>
      <c r="AD701" s="3"/>
      <c r="AE701" s="3"/>
      <c r="AF701" s="3"/>
      <c r="AG701" s="3"/>
      <c r="AH701" s="3"/>
      <c r="AI701" s="3"/>
      <c r="AJ701" s="3"/>
    </row>
    <row r="702" ht="15.75" customHeight="1">
      <c r="C702" s="2"/>
      <c r="R702" s="3"/>
      <c r="S702" s="3"/>
      <c r="T702" s="3"/>
      <c r="U702" s="3"/>
      <c r="V702" s="3"/>
      <c r="W702" s="3"/>
      <c r="X702" s="3"/>
      <c r="Y702" s="3"/>
      <c r="Z702" s="3"/>
      <c r="AA702" s="3"/>
      <c r="AB702" s="3"/>
      <c r="AC702" s="3"/>
      <c r="AD702" s="3"/>
      <c r="AE702" s="3"/>
      <c r="AF702" s="3"/>
      <c r="AG702" s="3"/>
      <c r="AH702" s="3"/>
      <c r="AI702" s="3"/>
      <c r="AJ702" s="3"/>
    </row>
    <row r="703" ht="15.75" customHeight="1">
      <c r="C703" s="2"/>
      <c r="R703" s="3"/>
      <c r="S703" s="3"/>
      <c r="T703" s="3"/>
      <c r="U703" s="3"/>
      <c r="V703" s="3"/>
      <c r="W703" s="3"/>
      <c r="X703" s="3"/>
      <c r="Y703" s="3"/>
      <c r="Z703" s="3"/>
      <c r="AA703" s="3"/>
      <c r="AB703" s="3"/>
      <c r="AC703" s="3"/>
      <c r="AD703" s="3"/>
      <c r="AE703" s="3"/>
      <c r="AF703" s="3"/>
      <c r="AG703" s="3"/>
      <c r="AH703" s="3"/>
      <c r="AI703" s="3"/>
      <c r="AJ703" s="3"/>
    </row>
    <row r="704" ht="15.75" customHeight="1">
      <c r="C704" s="2"/>
      <c r="R704" s="3"/>
      <c r="S704" s="3"/>
      <c r="T704" s="3"/>
      <c r="U704" s="3"/>
      <c r="V704" s="3"/>
      <c r="W704" s="3"/>
      <c r="X704" s="3"/>
      <c r="Y704" s="3"/>
      <c r="Z704" s="3"/>
      <c r="AA704" s="3"/>
      <c r="AB704" s="3"/>
      <c r="AC704" s="3"/>
      <c r="AD704" s="3"/>
      <c r="AE704" s="3"/>
      <c r="AF704" s="3"/>
      <c r="AG704" s="3"/>
      <c r="AH704" s="3"/>
      <c r="AI704" s="3"/>
      <c r="AJ704" s="3"/>
    </row>
    <row r="705" ht="15.75" customHeight="1">
      <c r="C705" s="2"/>
      <c r="R705" s="3"/>
      <c r="S705" s="3"/>
      <c r="T705" s="3"/>
      <c r="U705" s="3"/>
      <c r="V705" s="3"/>
      <c r="W705" s="3"/>
      <c r="X705" s="3"/>
      <c r="Y705" s="3"/>
      <c r="Z705" s="3"/>
      <c r="AA705" s="3"/>
      <c r="AB705" s="3"/>
      <c r="AC705" s="3"/>
      <c r="AD705" s="3"/>
      <c r="AE705" s="3"/>
      <c r="AF705" s="3"/>
      <c r="AG705" s="3"/>
      <c r="AH705" s="3"/>
      <c r="AI705" s="3"/>
      <c r="AJ705" s="3"/>
    </row>
    <row r="706" ht="15.75" customHeight="1">
      <c r="C706" s="2"/>
      <c r="R706" s="3"/>
      <c r="S706" s="3"/>
      <c r="T706" s="3"/>
      <c r="U706" s="3"/>
      <c r="V706" s="3"/>
      <c r="W706" s="3"/>
      <c r="X706" s="3"/>
      <c r="Y706" s="3"/>
      <c r="Z706" s="3"/>
      <c r="AA706" s="3"/>
      <c r="AB706" s="3"/>
      <c r="AC706" s="3"/>
      <c r="AD706" s="3"/>
      <c r="AE706" s="3"/>
      <c r="AF706" s="3"/>
      <c r="AG706" s="3"/>
      <c r="AH706" s="3"/>
      <c r="AI706" s="3"/>
      <c r="AJ706" s="3"/>
    </row>
    <row r="707" ht="15.75" customHeight="1">
      <c r="C707" s="2"/>
      <c r="R707" s="3"/>
      <c r="S707" s="3"/>
      <c r="T707" s="3"/>
      <c r="U707" s="3"/>
      <c r="V707" s="3"/>
      <c r="W707" s="3"/>
      <c r="X707" s="3"/>
      <c r="Y707" s="3"/>
      <c r="Z707" s="3"/>
      <c r="AA707" s="3"/>
      <c r="AB707" s="3"/>
      <c r="AC707" s="3"/>
      <c r="AD707" s="3"/>
      <c r="AE707" s="3"/>
      <c r="AF707" s="3"/>
      <c r="AG707" s="3"/>
      <c r="AH707" s="3"/>
      <c r="AI707" s="3"/>
      <c r="AJ707" s="3"/>
    </row>
    <row r="708" ht="15.75" customHeight="1">
      <c r="C708" s="2"/>
      <c r="R708" s="3"/>
      <c r="S708" s="3"/>
      <c r="T708" s="3"/>
      <c r="U708" s="3"/>
      <c r="V708" s="3"/>
      <c r="W708" s="3"/>
      <c r="X708" s="3"/>
      <c r="Y708" s="3"/>
      <c r="Z708" s="3"/>
      <c r="AA708" s="3"/>
      <c r="AB708" s="3"/>
      <c r="AC708" s="3"/>
      <c r="AD708" s="3"/>
      <c r="AE708" s="3"/>
      <c r="AF708" s="3"/>
      <c r="AG708" s="3"/>
      <c r="AH708" s="3"/>
      <c r="AI708" s="3"/>
      <c r="AJ708" s="3"/>
    </row>
    <row r="709" ht="15.75" customHeight="1">
      <c r="C709" s="2"/>
      <c r="R709" s="3"/>
      <c r="S709" s="3"/>
      <c r="T709" s="3"/>
      <c r="U709" s="3"/>
      <c r="V709" s="3"/>
      <c r="W709" s="3"/>
      <c r="X709" s="3"/>
      <c r="Y709" s="3"/>
      <c r="Z709" s="3"/>
      <c r="AA709" s="3"/>
      <c r="AB709" s="3"/>
      <c r="AC709" s="3"/>
      <c r="AD709" s="3"/>
      <c r="AE709" s="3"/>
      <c r="AF709" s="3"/>
      <c r="AG709" s="3"/>
      <c r="AH709" s="3"/>
      <c r="AI709" s="3"/>
      <c r="AJ709" s="3"/>
    </row>
    <row r="710" ht="15.75" customHeight="1">
      <c r="C710" s="2"/>
      <c r="R710" s="3"/>
      <c r="S710" s="3"/>
      <c r="T710" s="3"/>
      <c r="U710" s="3"/>
      <c r="V710" s="3"/>
      <c r="W710" s="3"/>
      <c r="X710" s="3"/>
      <c r="Y710" s="3"/>
      <c r="Z710" s="3"/>
      <c r="AA710" s="3"/>
      <c r="AB710" s="3"/>
      <c r="AC710" s="3"/>
      <c r="AD710" s="3"/>
      <c r="AE710" s="3"/>
      <c r="AF710" s="3"/>
      <c r="AG710" s="3"/>
      <c r="AH710" s="3"/>
      <c r="AI710" s="3"/>
      <c r="AJ710" s="3"/>
    </row>
    <row r="711" ht="15.75" customHeight="1">
      <c r="C711" s="2"/>
      <c r="R711" s="3"/>
      <c r="S711" s="3"/>
      <c r="T711" s="3"/>
      <c r="U711" s="3"/>
      <c r="V711" s="3"/>
      <c r="W711" s="3"/>
      <c r="X711" s="3"/>
      <c r="Y711" s="3"/>
      <c r="Z711" s="3"/>
      <c r="AA711" s="3"/>
      <c r="AB711" s="3"/>
      <c r="AC711" s="3"/>
      <c r="AD711" s="3"/>
      <c r="AE711" s="3"/>
      <c r="AF711" s="3"/>
      <c r="AG711" s="3"/>
      <c r="AH711" s="3"/>
      <c r="AI711" s="3"/>
      <c r="AJ711" s="3"/>
    </row>
    <row r="712" ht="15.75" customHeight="1">
      <c r="C712" s="2"/>
      <c r="R712" s="3"/>
      <c r="S712" s="3"/>
      <c r="T712" s="3"/>
      <c r="U712" s="3"/>
      <c r="V712" s="3"/>
      <c r="W712" s="3"/>
      <c r="X712" s="3"/>
      <c r="Y712" s="3"/>
      <c r="Z712" s="3"/>
      <c r="AA712" s="3"/>
      <c r="AB712" s="3"/>
      <c r="AC712" s="3"/>
      <c r="AD712" s="3"/>
      <c r="AE712" s="3"/>
      <c r="AF712" s="3"/>
      <c r="AG712" s="3"/>
      <c r="AH712" s="3"/>
      <c r="AI712" s="3"/>
      <c r="AJ712" s="3"/>
    </row>
    <row r="713" ht="15.75" customHeight="1">
      <c r="C713" s="2"/>
      <c r="R713" s="3"/>
      <c r="S713" s="3"/>
      <c r="T713" s="3"/>
      <c r="U713" s="3"/>
      <c r="V713" s="3"/>
      <c r="W713" s="3"/>
      <c r="X713" s="3"/>
      <c r="Y713" s="3"/>
      <c r="Z713" s="3"/>
      <c r="AA713" s="3"/>
      <c r="AB713" s="3"/>
      <c r="AC713" s="3"/>
      <c r="AD713" s="3"/>
      <c r="AE713" s="3"/>
      <c r="AF713" s="3"/>
      <c r="AG713" s="3"/>
      <c r="AH713" s="3"/>
      <c r="AI713" s="3"/>
      <c r="AJ713" s="3"/>
    </row>
    <row r="714" ht="15.75" customHeight="1">
      <c r="C714" s="2"/>
      <c r="R714" s="3"/>
      <c r="S714" s="3"/>
      <c r="T714" s="3"/>
      <c r="U714" s="3"/>
      <c r="V714" s="3"/>
      <c r="W714" s="3"/>
      <c r="X714" s="3"/>
      <c r="Y714" s="3"/>
      <c r="Z714" s="3"/>
      <c r="AA714" s="3"/>
      <c r="AB714" s="3"/>
      <c r="AC714" s="3"/>
      <c r="AD714" s="3"/>
      <c r="AE714" s="3"/>
      <c r="AF714" s="3"/>
      <c r="AG714" s="3"/>
      <c r="AH714" s="3"/>
      <c r="AI714" s="3"/>
      <c r="AJ714" s="3"/>
    </row>
    <row r="715" ht="15.75" customHeight="1">
      <c r="C715" s="2"/>
      <c r="R715" s="3"/>
      <c r="S715" s="3"/>
      <c r="T715" s="3"/>
      <c r="U715" s="3"/>
      <c r="V715" s="3"/>
      <c r="W715" s="3"/>
      <c r="X715" s="3"/>
      <c r="Y715" s="3"/>
      <c r="Z715" s="3"/>
      <c r="AA715" s="3"/>
      <c r="AB715" s="3"/>
      <c r="AC715" s="3"/>
      <c r="AD715" s="3"/>
      <c r="AE715" s="3"/>
      <c r="AF715" s="3"/>
      <c r="AG715" s="3"/>
      <c r="AH715" s="3"/>
      <c r="AI715" s="3"/>
      <c r="AJ715" s="3"/>
    </row>
    <row r="716" ht="15.75" customHeight="1">
      <c r="C716" s="2"/>
      <c r="R716" s="3"/>
      <c r="S716" s="3"/>
      <c r="T716" s="3"/>
      <c r="U716" s="3"/>
      <c r="V716" s="3"/>
      <c r="W716" s="3"/>
      <c r="X716" s="3"/>
      <c r="Y716" s="3"/>
      <c r="Z716" s="3"/>
      <c r="AA716" s="3"/>
      <c r="AB716" s="3"/>
      <c r="AC716" s="3"/>
      <c r="AD716" s="3"/>
      <c r="AE716" s="3"/>
      <c r="AF716" s="3"/>
      <c r="AG716" s="3"/>
      <c r="AH716" s="3"/>
      <c r="AI716" s="3"/>
      <c r="AJ716" s="3"/>
    </row>
    <row r="717" ht="15.75" customHeight="1">
      <c r="C717" s="2"/>
      <c r="R717" s="3"/>
      <c r="S717" s="3"/>
      <c r="T717" s="3"/>
      <c r="U717" s="3"/>
      <c r="V717" s="3"/>
      <c r="W717" s="3"/>
      <c r="X717" s="3"/>
      <c r="Y717" s="3"/>
      <c r="Z717" s="3"/>
      <c r="AA717" s="3"/>
      <c r="AB717" s="3"/>
      <c r="AC717" s="3"/>
      <c r="AD717" s="3"/>
      <c r="AE717" s="3"/>
      <c r="AF717" s="3"/>
      <c r="AG717" s="3"/>
      <c r="AH717" s="3"/>
      <c r="AI717" s="3"/>
      <c r="AJ717" s="3"/>
    </row>
    <row r="718" ht="15.75" customHeight="1">
      <c r="C718" s="2"/>
      <c r="R718" s="3"/>
      <c r="S718" s="3"/>
      <c r="T718" s="3"/>
      <c r="U718" s="3"/>
      <c r="V718" s="3"/>
      <c r="W718" s="3"/>
      <c r="X718" s="3"/>
      <c r="Y718" s="3"/>
      <c r="Z718" s="3"/>
      <c r="AA718" s="3"/>
      <c r="AB718" s="3"/>
      <c r="AC718" s="3"/>
      <c r="AD718" s="3"/>
      <c r="AE718" s="3"/>
      <c r="AF718" s="3"/>
      <c r="AG718" s="3"/>
      <c r="AH718" s="3"/>
      <c r="AI718" s="3"/>
      <c r="AJ718" s="3"/>
    </row>
    <row r="719" ht="15.75" customHeight="1">
      <c r="C719" s="2"/>
      <c r="R719" s="3"/>
      <c r="S719" s="3"/>
      <c r="T719" s="3"/>
      <c r="U719" s="3"/>
      <c r="V719" s="3"/>
      <c r="W719" s="3"/>
      <c r="X719" s="3"/>
      <c r="Y719" s="3"/>
      <c r="Z719" s="3"/>
      <c r="AA719" s="3"/>
      <c r="AB719" s="3"/>
      <c r="AC719" s="3"/>
      <c r="AD719" s="3"/>
      <c r="AE719" s="3"/>
      <c r="AF719" s="3"/>
      <c r="AG719" s="3"/>
      <c r="AH719" s="3"/>
      <c r="AI719" s="3"/>
      <c r="AJ719" s="3"/>
    </row>
    <row r="720" ht="15.75" customHeight="1">
      <c r="C720" s="2"/>
      <c r="R720" s="3"/>
      <c r="S720" s="3"/>
      <c r="T720" s="3"/>
      <c r="U720" s="3"/>
      <c r="V720" s="3"/>
      <c r="W720" s="3"/>
      <c r="X720" s="3"/>
      <c r="Y720" s="3"/>
      <c r="Z720" s="3"/>
      <c r="AA720" s="3"/>
      <c r="AB720" s="3"/>
      <c r="AC720" s="3"/>
      <c r="AD720" s="3"/>
      <c r="AE720" s="3"/>
      <c r="AF720" s="3"/>
      <c r="AG720" s="3"/>
      <c r="AH720" s="3"/>
      <c r="AI720" s="3"/>
      <c r="AJ720" s="3"/>
    </row>
    <row r="721" ht="15.75" customHeight="1">
      <c r="C721" s="2"/>
      <c r="R721" s="3"/>
      <c r="S721" s="3"/>
      <c r="T721" s="3"/>
      <c r="U721" s="3"/>
      <c r="V721" s="3"/>
      <c r="W721" s="3"/>
      <c r="X721" s="3"/>
      <c r="Y721" s="3"/>
      <c r="Z721" s="3"/>
      <c r="AA721" s="3"/>
      <c r="AB721" s="3"/>
      <c r="AC721" s="3"/>
      <c r="AD721" s="3"/>
      <c r="AE721" s="3"/>
      <c r="AF721" s="3"/>
      <c r="AG721" s="3"/>
      <c r="AH721" s="3"/>
      <c r="AI721" s="3"/>
      <c r="AJ721" s="3"/>
    </row>
    <row r="722" ht="15.75" customHeight="1">
      <c r="C722" s="2"/>
      <c r="R722" s="3"/>
      <c r="S722" s="3"/>
      <c r="T722" s="3"/>
      <c r="U722" s="3"/>
      <c r="V722" s="3"/>
      <c r="W722" s="3"/>
      <c r="X722" s="3"/>
      <c r="Y722" s="3"/>
      <c r="Z722" s="3"/>
      <c r="AA722" s="3"/>
      <c r="AB722" s="3"/>
      <c r="AC722" s="3"/>
      <c r="AD722" s="3"/>
      <c r="AE722" s="3"/>
      <c r="AF722" s="3"/>
      <c r="AG722" s="3"/>
      <c r="AH722" s="3"/>
      <c r="AI722" s="3"/>
      <c r="AJ722" s="3"/>
    </row>
    <row r="723" ht="15.75" customHeight="1">
      <c r="C723" s="2"/>
      <c r="R723" s="3"/>
      <c r="S723" s="3"/>
      <c r="T723" s="3"/>
      <c r="U723" s="3"/>
      <c r="V723" s="3"/>
      <c r="W723" s="3"/>
      <c r="X723" s="3"/>
      <c r="Y723" s="3"/>
      <c r="Z723" s="3"/>
      <c r="AA723" s="3"/>
      <c r="AB723" s="3"/>
      <c r="AC723" s="3"/>
      <c r="AD723" s="3"/>
      <c r="AE723" s="3"/>
      <c r="AF723" s="3"/>
      <c r="AG723" s="3"/>
      <c r="AH723" s="3"/>
      <c r="AI723" s="3"/>
      <c r="AJ723" s="3"/>
    </row>
    <row r="724" ht="15.75" customHeight="1">
      <c r="C724" s="2"/>
      <c r="R724" s="3"/>
      <c r="S724" s="3"/>
      <c r="T724" s="3"/>
      <c r="U724" s="3"/>
      <c r="V724" s="3"/>
      <c r="W724" s="3"/>
      <c r="X724" s="3"/>
      <c r="Y724" s="3"/>
      <c r="Z724" s="3"/>
      <c r="AA724" s="3"/>
      <c r="AB724" s="3"/>
      <c r="AC724" s="3"/>
      <c r="AD724" s="3"/>
      <c r="AE724" s="3"/>
      <c r="AF724" s="3"/>
      <c r="AG724" s="3"/>
      <c r="AH724" s="3"/>
      <c r="AI724" s="3"/>
      <c r="AJ724" s="3"/>
    </row>
    <row r="725" ht="15.75" customHeight="1">
      <c r="C725" s="2"/>
      <c r="R725" s="3"/>
      <c r="S725" s="3"/>
      <c r="T725" s="3"/>
      <c r="U725" s="3"/>
      <c r="V725" s="3"/>
      <c r="W725" s="3"/>
      <c r="X725" s="3"/>
      <c r="Y725" s="3"/>
      <c r="Z725" s="3"/>
      <c r="AA725" s="3"/>
      <c r="AB725" s="3"/>
      <c r="AC725" s="3"/>
      <c r="AD725" s="3"/>
      <c r="AE725" s="3"/>
      <c r="AF725" s="3"/>
      <c r="AG725" s="3"/>
      <c r="AH725" s="3"/>
      <c r="AI725" s="3"/>
      <c r="AJ725" s="3"/>
    </row>
    <row r="726" ht="15.75" customHeight="1">
      <c r="C726" s="2"/>
      <c r="R726" s="3"/>
      <c r="S726" s="3"/>
      <c r="T726" s="3"/>
      <c r="U726" s="3"/>
      <c r="V726" s="3"/>
      <c r="W726" s="3"/>
      <c r="X726" s="3"/>
      <c r="Y726" s="3"/>
      <c r="Z726" s="3"/>
      <c r="AA726" s="3"/>
      <c r="AB726" s="3"/>
      <c r="AC726" s="3"/>
      <c r="AD726" s="3"/>
      <c r="AE726" s="3"/>
      <c r="AF726" s="3"/>
      <c r="AG726" s="3"/>
      <c r="AH726" s="3"/>
      <c r="AI726" s="3"/>
      <c r="AJ726" s="3"/>
    </row>
    <row r="727" ht="15.75" customHeight="1">
      <c r="C727" s="2"/>
      <c r="R727" s="3"/>
      <c r="S727" s="3"/>
      <c r="T727" s="3"/>
      <c r="U727" s="3"/>
      <c r="V727" s="3"/>
      <c r="W727" s="3"/>
      <c r="X727" s="3"/>
      <c r="Y727" s="3"/>
      <c r="Z727" s="3"/>
      <c r="AA727" s="3"/>
      <c r="AB727" s="3"/>
      <c r="AC727" s="3"/>
      <c r="AD727" s="3"/>
      <c r="AE727" s="3"/>
      <c r="AF727" s="3"/>
      <c r="AG727" s="3"/>
      <c r="AH727" s="3"/>
      <c r="AI727" s="3"/>
      <c r="AJ727" s="3"/>
    </row>
    <row r="728" ht="15.75" customHeight="1">
      <c r="C728" s="2"/>
      <c r="R728" s="3"/>
      <c r="S728" s="3"/>
      <c r="T728" s="3"/>
      <c r="U728" s="3"/>
      <c r="V728" s="3"/>
      <c r="W728" s="3"/>
      <c r="X728" s="3"/>
      <c r="Y728" s="3"/>
      <c r="Z728" s="3"/>
      <c r="AA728" s="3"/>
      <c r="AB728" s="3"/>
      <c r="AC728" s="3"/>
      <c r="AD728" s="3"/>
      <c r="AE728" s="3"/>
      <c r="AF728" s="3"/>
      <c r="AG728" s="3"/>
      <c r="AH728" s="3"/>
      <c r="AI728" s="3"/>
      <c r="AJ728" s="3"/>
    </row>
    <row r="729" ht="15.75" customHeight="1">
      <c r="C729" s="2"/>
      <c r="R729" s="3"/>
      <c r="S729" s="3"/>
      <c r="T729" s="3"/>
      <c r="U729" s="3"/>
      <c r="V729" s="3"/>
      <c r="W729" s="3"/>
      <c r="X729" s="3"/>
      <c r="Y729" s="3"/>
      <c r="Z729" s="3"/>
      <c r="AA729" s="3"/>
      <c r="AB729" s="3"/>
      <c r="AC729" s="3"/>
      <c r="AD729" s="3"/>
      <c r="AE729" s="3"/>
      <c r="AF729" s="3"/>
      <c r="AG729" s="3"/>
      <c r="AH729" s="3"/>
      <c r="AI729" s="3"/>
      <c r="AJ729" s="3"/>
    </row>
    <row r="730" ht="15.75" customHeight="1">
      <c r="C730" s="2"/>
      <c r="R730" s="3"/>
      <c r="S730" s="3"/>
      <c r="T730" s="3"/>
      <c r="U730" s="3"/>
      <c r="V730" s="3"/>
      <c r="W730" s="3"/>
      <c r="X730" s="3"/>
      <c r="Y730" s="3"/>
      <c r="Z730" s="3"/>
      <c r="AA730" s="3"/>
      <c r="AB730" s="3"/>
      <c r="AC730" s="3"/>
      <c r="AD730" s="3"/>
      <c r="AE730" s="3"/>
      <c r="AF730" s="3"/>
      <c r="AG730" s="3"/>
      <c r="AH730" s="3"/>
      <c r="AI730" s="3"/>
      <c r="AJ730" s="3"/>
    </row>
    <row r="731" ht="15.75" customHeight="1">
      <c r="C731" s="2"/>
      <c r="R731" s="3"/>
      <c r="S731" s="3"/>
      <c r="T731" s="3"/>
      <c r="U731" s="3"/>
      <c r="V731" s="3"/>
      <c r="W731" s="3"/>
      <c r="X731" s="3"/>
      <c r="Y731" s="3"/>
      <c r="Z731" s="3"/>
      <c r="AA731" s="3"/>
      <c r="AB731" s="3"/>
      <c r="AC731" s="3"/>
      <c r="AD731" s="3"/>
      <c r="AE731" s="3"/>
      <c r="AF731" s="3"/>
      <c r="AG731" s="3"/>
      <c r="AH731" s="3"/>
      <c r="AI731" s="3"/>
      <c r="AJ731" s="3"/>
    </row>
    <row r="732" ht="15.75" customHeight="1">
      <c r="C732" s="2"/>
      <c r="R732" s="3"/>
      <c r="S732" s="3"/>
      <c r="T732" s="3"/>
      <c r="U732" s="3"/>
      <c r="V732" s="3"/>
      <c r="W732" s="3"/>
      <c r="X732" s="3"/>
      <c r="Y732" s="3"/>
      <c r="Z732" s="3"/>
      <c r="AA732" s="3"/>
      <c r="AB732" s="3"/>
      <c r="AC732" s="3"/>
      <c r="AD732" s="3"/>
      <c r="AE732" s="3"/>
      <c r="AF732" s="3"/>
      <c r="AG732" s="3"/>
      <c r="AH732" s="3"/>
      <c r="AI732" s="3"/>
      <c r="AJ732" s="3"/>
    </row>
    <row r="733" ht="15.75" customHeight="1">
      <c r="C733" s="2"/>
      <c r="R733" s="3"/>
      <c r="S733" s="3"/>
      <c r="T733" s="3"/>
      <c r="U733" s="3"/>
      <c r="V733" s="3"/>
      <c r="W733" s="3"/>
      <c r="X733" s="3"/>
      <c r="Y733" s="3"/>
      <c r="Z733" s="3"/>
      <c r="AA733" s="3"/>
      <c r="AB733" s="3"/>
      <c r="AC733" s="3"/>
      <c r="AD733" s="3"/>
      <c r="AE733" s="3"/>
      <c r="AF733" s="3"/>
      <c r="AG733" s="3"/>
      <c r="AH733" s="3"/>
      <c r="AI733" s="3"/>
      <c r="AJ733" s="3"/>
    </row>
    <row r="734" ht="15.75" customHeight="1">
      <c r="C734" s="2"/>
      <c r="R734" s="3"/>
      <c r="S734" s="3"/>
      <c r="T734" s="3"/>
      <c r="U734" s="3"/>
      <c r="V734" s="3"/>
      <c r="W734" s="3"/>
      <c r="X734" s="3"/>
      <c r="Y734" s="3"/>
      <c r="Z734" s="3"/>
      <c r="AA734" s="3"/>
      <c r="AB734" s="3"/>
      <c r="AC734" s="3"/>
      <c r="AD734" s="3"/>
      <c r="AE734" s="3"/>
      <c r="AF734" s="3"/>
      <c r="AG734" s="3"/>
      <c r="AH734" s="3"/>
      <c r="AI734" s="3"/>
      <c r="AJ734" s="3"/>
    </row>
    <row r="735" ht="15.75" customHeight="1">
      <c r="C735" s="2"/>
      <c r="R735" s="3"/>
      <c r="S735" s="3"/>
      <c r="T735" s="3"/>
      <c r="U735" s="3"/>
      <c r="V735" s="3"/>
      <c r="W735" s="3"/>
      <c r="X735" s="3"/>
      <c r="Y735" s="3"/>
      <c r="Z735" s="3"/>
      <c r="AA735" s="3"/>
      <c r="AB735" s="3"/>
      <c r="AC735" s="3"/>
      <c r="AD735" s="3"/>
      <c r="AE735" s="3"/>
      <c r="AF735" s="3"/>
      <c r="AG735" s="3"/>
      <c r="AH735" s="3"/>
      <c r="AI735" s="3"/>
      <c r="AJ735" s="3"/>
    </row>
    <row r="736" ht="15.75" customHeight="1">
      <c r="C736" s="2"/>
      <c r="R736" s="3"/>
      <c r="S736" s="3"/>
      <c r="T736" s="3"/>
      <c r="U736" s="3"/>
      <c r="V736" s="3"/>
      <c r="W736" s="3"/>
      <c r="X736" s="3"/>
      <c r="Y736" s="3"/>
      <c r="Z736" s="3"/>
      <c r="AA736" s="3"/>
      <c r="AB736" s="3"/>
      <c r="AC736" s="3"/>
      <c r="AD736" s="3"/>
      <c r="AE736" s="3"/>
      <c r="AF736" s="3"/>
      <c r="AG736" s="3"/>
      <c r="AH736" s="3"/>
      <c r="AI736" s="3"/>
      <c r="AJ736" s="3"/>
    </row>
    <row r="737" ht="15.75" customHeight="1">
      <c r="C737" s="2"/>
      <c r="R737" s="3"/>
      <c r="S737" s="3"/>
      <c r="T737" s="3"/>
      <c r="U737" s="3"/>
      <c r="V737" s="3"/>
      <c r="W737" s="3"/>
      <c r="X737" s="3"/>
      <c r="Y737" s="3"/>
      <c r="Z737" s="3"/>
      <c r="AA737" s="3"/>
      <c r="AB737" s="3"/>
      <c r="AC737" s="3"/>
      <c r="AD737" s="3"/>
      <c r="AE737" s="3"/>
      <c r="AF737" s="3"/>
      <c r="AG737" s="3"/>
      <c r="AH737" s="3"/>
      <c r="AI737" s="3"/>
      <c r="AJ737" s="3"/>
    </row>
    <row r="738" ht="15.75" customHeight="1">
      <c r="C738" s="2"/>
      <c r="R738" s="3"/>
      <c r="S738" s="3"/>
      <c r="T738" s="3"/>
      <c r="U738" s="3"/>
      <c r="V738" s="3"/>
      <c r="W738" s="3"/>
      <c r="X738" s="3"/>
      <c r="Y738" s="3"/>
      <c r="Z738" s="3"/>
      <c r="AA738" s="3"/>
      <c r="AB738" s="3"/>
      <c r="AC738" s="3"/>
      <c r="AD738" s="3"/>
      <c r="AE738" s="3"/>
      <c r="AF738" s="3"/>
      <c r="AG738" s="3"/>
      <c r="AH738" s="3"/>
      <c r="AI738" s="3"/>
      <c r="AJ738" s="3"/>
    </row>
    <row r="739" ht="15.75" customHeight="1">
      <c r="C739" s="2"/>
      <c r="R739" s="3"/>
      <c r="S739" s="3"/>
      <c r="T739" s="3"/>
      <c r="U739" s="3"/>
      <c r="V739" s="3"/>
      <c r="W739" s="3"/>
      <c r="X739" s="3"/>
      <c r="Y739" s="3"/>
      <c r="Z739" s="3"/>
      <c r="AA739" s="3"/>
      <c r="AB739" s="3"/>
      <c r="AC739" s="3"/>
      <c r="AD739" s="3"/>
      <c r="AE739" s="3"/>
      <c r="AF739" s="3"/>
      <c r="AG739" s="3"/>
      <c r="AH739" s="3"/>
      <c r="AI739" s="3"/>
      <c r="AJ739" s="3"/>
    </row>
    <row r="740" ht="15.75" customHeight="1">
      <c r="C740" s="2"/>
      <c r="R740" s="3"/>
      <c r="S740" s="3"/>
      <c r="T740" s="3"/>
      <c r="U740" s="3"/>
      <c r="V740" s="3"/>
      <c r="W740" s="3"/>
      <c r="X740" s="3"/>
      <c r="Y740" s="3"/>
      <c r="Z740" s="3"/>
      <c r="AA740" s="3"/>
      <c r="AB740" s="3"/>
      <c r="AC740" s="3"/>
      <c r="AD740" s="3"/>
      <c r="AE740" s="3"/>
      <c r="AF740" s="3"/>
      <c r="AG740" s="3"/>
      <c r="AH740" s="3"/>
      <c r="AI740" s="3"/>
      <c r="AJ740" s="3"/>
    </row>
    <row r="741" ht="15.75" customHeight="1">
      <c r="C741" s="2"/>
      <c r="R741" s="3"/>
      <c r="S741" s="3"/>
      <c r="T741" s="3"/>
      <c r="U741" s="3"/>
      <c r="V741" s="3"/>
      <c r="W741" s="3"/>
      <c r="X741" s="3"/>
      <c r="Y741" s="3"/>
      <c r="Z741" s="3"/>
      <c r="AA741" s="3"/>
      <c r="AB741" s="3"/>
      <c r="AC741" s="3"/>
      <c r="AD741" s="3"/>
      <c r="AE741" s="3"/>
      <c r="AF741" s="3"/>
      <c r="AG741" s="3"/>
      <c r="AH741" s="3"/>
      <c r="AI741" s="3"/>
      <c r="AJ741" s="3"/>
    </row>
    <row r="742" ht="15.75" customHeight="1">
      <c r="C742" s="2"/>
      <c r="R742" s="3"/>
      <c r="S742" s="3"/>
      <c r="T742" s="3"/>
      <c r="U742" s="3"/>
      <c r="V742" s="3"/>
      <c r="W742" s="3"/>
      <c r="X742" s="3"/>
      <c r="Y742" s="3"/>
      <c r="Z742" s="3"/>
      <c r="AA742" s="3"/>
      <c r="AB742" s="3"/>
      <c r="AC742" s="3"/>
      <c r="AD742" s="3"/>
      <c r="AE742" s="3"/>
      <c r="AF742" s="3"/>
      <c r="AG742" s="3"/>
      <c r="AH742" s="3"/>
      <c r="AI742" s="3"/>
      <c r="AJ742" s="3"/>
    </row>
    <row r="743" ht="15.75" customHeight="1">
      <c r="C743" s="2"/>
      <c r="R743" s="3"/>
      <c r="S743" s="3"/>
      <c r="T743" s="3"/>
      <c r="U743" s="3"/>
      <c r="V743" s="3"/>
      <c r="W743" s="3"/>
      <c r="X743" s="3"/>
      <c r="Y743" s="3"/>
      <c r="Z743" s="3"/>
      <c r="AA743" s="3"/>
      <c r="AB743" s="3"/>
      <c r="AC743" s="3"/>
      <c r="AD743" s="3"/>
      <c r="AE743" s="3"/>
      <c r="AF743" s="3"/>
      <c r="AG743" s="3"/>
      <c r="AH743" s="3"/>
      <c r="AI743" s="3"/>
      <c r="AJ743" s="3"/>
    </row>
    <row r="744" ht="15.75" customHeight="1">
      <c r="C744" s="2"/>
      <c r="R744" s="3"/>
      <c r="S744" s="3"/>
      <c r="T744" s="3"/>
      <c r="U744" s="3"/>
      <c r="V744" s="3"/>
      <c r="W744" s="3"/>
      <c r="X744" s="3"/>
      <c r="Y744" s="3"/>
      <c r="Z744" s="3"/>
      <c r="AA744" s="3"/>
      <c r="AB744" s="3"/>
      <c r="AC744" s="3"/>
      <c r="AD744" s="3"/>
      <c r="AE744" s="3"/>
      <c r="AF744" s="3"/>
      <c r="AG744" s="3"/>
      <c r="AH744" s="3"/>
      <c r="AI744" s="3"/>
      <c r="AJ744" s="3"/>
    </row>
    <row r="745" ht="15.75" customHeight="1">
      <c r="C745" s="2"/>
      <c r="R745" s="3"/>
      <c r="S745" s="3"/>
      <c r="T745" s="3"/>
      <c r="U745" s="3"/>
      <c r="V745" s="3"/>
      <c r="W745" s="3"/>
      <c r="X745" s="3"/>
      <c r="Y745" s="3"/>
      <c r="Z745" s="3"/>
      <c r="AA745" s="3"/>
      <c r="AB745" s="3"/>
      <c r="AC745" s="3"/>
      <c r="AD745" s="3"/>
      <c r="AE745" s="3"/>
      <c r="AF745" s="3"/>
      <c r="AG745" s="3"/>
      <c r="AH745" s="3"/>
      <c r="AI745" s="3"/>
      <c r="AJ745" s="3"/>
    </row>
    <row r="746" ht="15.75" customHeight="1">
      <c r="C746" s="2"/>
      <c r="R746" s="3"/>
      <c r="S746" s="3"/>
      <c r="T746" s="3"/>
      <c r="U746" s="3"/>
      <c r="V746" s="3"/>
      <c r="W746" s="3"/>
      <c r="X746" s="3"/>
      <c r="Y746" s="3"/>
      <c r="Z746" s="3"/>
      <c r="AA746" s="3"/>
      <c r="AB746" s="3"/>
      <c r="AC746" s="3"/>
      <c r="AD746" s="3"/>
      <c r="AE746" s="3"/>
      <c r="AF746" s="3"/>
      <c r="AG746" s="3"/>
      <c r="AH746" s="3"/>
      <c r="AI746" s="3"/>
      <c r="AJ746" s="3"/>
    </row>
    <row r="747" ht="15.75" customHeight="1">
      <c r="C747" s="2"/>
      <c r="R747" s="3"/>
      <c r="S747" s="3"/>
      <c r="T747" s="3"/>
      <c r="U747" s="3"/>
      <c r="V747" s="3"/>
      <c r="W747" s="3"/>
      <c r="X747" s="3"/>
      <c r="Y747" s="3"/>
      <c r="Z747" s="3"/>
      <c r="AA747" s="3"/>
      <c r="AB747" s="3"/>
      <c r="AC747" s="3"/>
      <c r="AD747" s="3"/>
      <c r="AE747" s="3"/>
      <c r="AF747" s="3"/>
      <c r="AG747" s="3"/>
      <c r="AH747" s="3"/>
      <c r="AI747" s="3"/>
      <c r="AJ747" s="3"/>
    </row>
    <row r="748" ht="15.75" customHeight="1">
      <c r="C748" s="2"/>
      <c r="R748" s="3"/>
      <c r="S748" s="3"/>
      <c r="T748" s="3"/>
      <c r="U748" s="3"/>
      <c r="V748" s="3"/>
      <c r="W748" s="3"/>
      <c r="X748" s="3"/>
      <c r="Y748" s="3"/>
      <c r="Z748" s="3"/>
      <c r="AA748" s="3"/>
      <c r="AB748" s="3"/>
      <c r="AC748" s="3"/>
      <c r="AD748" s="3"/>
      <c r="AE748" s="3"/>
      <c r="AF748" s="3"/>
      <c r="AG748" s="3"/>
      <c r="AH748" s="3"/>
      <c r="AI748" s="3"/>
      <c r="AJ748" s="3"/>
    </row>
    <row r="749" ht="15.75" customHeight="1">
      <c r="C749" s="2"/>
      <c r="R749" s="3"/>
      <c r="S749" s="3"/>
      <c r="T749" s="3"/>
      <c r="U749" s="3"/>
      <c r="V749" s="3"/>
      <c r="W749" s="3"/>
      <c r="X749" s="3"/>
      <c r="Y749" s="3"/>
      <c r="Z749" s="3"/>
      <c r="AA749" s="3"/>
      <c r="AB749" s="3"/>
      <c r="AC749" s="3"/>
      <c r="AD749" s="3"/>
      <c r="AE749" s="3"/>
      <c r="AF749" s="3"/>
      <c r="AG749" s="3"/>
      <c r="AH749" s="3"/>
      <c r="AI749" s="3"/>
      <c r="AJ749" s="3"/>
    </row>
    <row r="750" ht="15.75" customHeight="1">
      <c r="C750" s="2"/>
      <c r="R750" s="3"/>
      <c r="S750" s="3"/>
      <c r="T750" s="3"/>
      <c r="U750" s="3"/>
      <c r="V750" s="3"/>
      <c r="W750" s="3"/>
      <c r="X750" s="3"/>
      <c r="Y750" s="3"/>
      <c r="Z750" s="3"/>
      <c r="AA750" s="3"/>
      <c r="AB750" s="3"/>
      <c r="AC750" s="3"/>
      <c r="AD750" s="3"/>
      <c r="AE750" s="3"/>
      <c r="AF750" s="3"/>
      <c r="AG750" s="3"/>
      <c r="AH750" s="3"/>
      <c r="AI750" s="3"/>
      <c r="AJ750" s="3"/>
    </row>
    <row r="751" ht="15.75" customHeight="1">
      <c r="C751" s="2"/>
      <c r="R751" s="3"/>
      <c r="S751" s="3"/>
      <c r="T751" s="3"/>
      <c r="U751" s="3"/>
      <c r="V751" s="3"/>
      <c r="W751" s="3"/>
      <c r="X751" s="3"/>
      <c r="Y751" s="3"/>
      <c r="Z751" s="3"/>
      <c r="AA751" s="3"/>
      <c r="AB751" s="3"/>
      <c r="AC751" s="3"/>
      <c r="AD751" s="3"/>
      <c r="AE751" s="3"/>
      <c r="AF751" s="3"/>
      <c r="AG751" s="3"/>
      <c r="AH751" s="3"/>
      <c r="AI751" s="3"/>
      <c r="AJ751" s="3"/>
    </row>
    <row r="752" ht="15.75" customHeight="1">
      <c r="C752" s="2"/>
      <c r="R752" s="3"/>
      <c r="S752" s="3"/>
      <c r="T752" s="3"/>
      <c r="U752" s="3"/>
      <c r="V752" s="3"/>
      <c r="W752" s="3"/>
      <c r="X752" s="3"/>
      <c r="Y752" s="3"/>
      <c r="Z752" s="3"/>
      <c r="AA752" s="3"/>
      <c r="AB752" s="3"/>
      <c r="AC752" s="3"/>
      <c r="AD752" s="3"/>
      <c r="AE752" s="3"/>
      <c r="AF752" s="3"/>
      <c r="AG752" s="3"/>
      <c r="AH752" s="3"/>
      <c r="AI752" s="3"/>
      <c r="AJ752" s="3"/>
    </row>
    <row r="753" ht="15.75" customHeight="1">
      <c r="C753" s="2"/>
      <c r="R753" s="3"/>
      <c r="S753" s="3"/>
      <c r="T753" s="3"/>
      <c r="U753" s="3"/>
      <c r="V753" s="3"/>
      <c r="W753" s="3"/>
      <c r="X753" s="3"/>
      <c r="Y753" s="3"/>
      <c r="Z753" s="3"/>
      <c r="AA753" s="3"/>
      <c r="AB753" s="3"/>
      <c r="AC753" s="3"/>
      <c r="AD753" s="3"/>
      <c r="AE753" s="3"/>
      <c r="AF753" s="3"/>
      <c r="AG753" s="3"/>
      <c r="AH753" s="3"/>
      <c r="AI753" s="3"/>
      <c r="AJ753" s="3"/>
    </row>
    <row r="754" ht="15.75" customHeight="1">
      <c r="C754" s="2"/>
      <c r="R754" s="3"/>
      <c r="S754" s="3"/>
      <c r="T754" s="3"/>
      <c r="U754" s="3"/>
      <c r="V754" s="3"/>
      <c r="W754" s="3"/>
      <c r="X754" s="3"/>
      <c r="Y754" s="3"/>
      <c r="Z754" s="3"/>
      <c r="AA754" s="3"/>
      <c r="AB754" s="3"/>
      <c r="AC754" s="3"/>
      <c r="AD754" s="3"/>
      <c r="AE754" s="3"/>
      <c r="AF754" s="3"/>
      <c r="AG754" s="3"/>
      <c r="AH754" s="3"/>
      <c r="AI754" s="3"/>
      <c r="AJ754" s="3"/>
    </row>
    <row r="755" ht="15.75" customHeight="1">
      <c r="C755" s="2"/>
      <c r="R755" s="3"/>
      <c r="S755" s="3"/>
      <c r="T755" s="3"/>
      <c r="U755" s="3"/>
      <c r="V755" s="3"/>
      <c r="W755" s="3"/>
      <c r="X755" s="3"/>
      <c r="Y755" s="3"/>
      <c r="Z755" s="3"/>
      <c r="AA755" s="3"/>
      <c r="AB755" s="3"/>
      <c r="AC755" s="3"/>
      <c r="AD755" s="3"/>
      <c r="AE755" s="3"/>
      <c r="AF755" s="3"/>
      <c r="AG755" s="3"/>
      <c r="AH755" s="3"/>
      <c r="AI755" s="3"/>
      <c r="AJ755" s="3"/>
    </row>
    <row r="756" ht="15.75" customHeight="1">
      <c r="C756" s="2"/>
      <c r="R756" s="3"/>
      <c r="S756" s="3"/>
      <c r="T756" s="3"/>
      <c r="U756" s="3"/>
      <c r="V756" s="3"/>
      <c r="W756" s="3"/>
      <c r="X756" s="3"/>
      <c r="Y756" s="3"/>
      <c r="Z756" s="3"/>
      <c r="AA756" s="3"/>
      <c r="AB756" s="3"/>
      <c r="AC756" s="3"/>
      <c r="AD756" s="3"/>
      <c r="AE756" s="3"/>
      <c r="AF756" s="3"/>
      <c r="AG756" s="3"/>
      <c r="AH756" s="3"/>
      <c r="AI756" s="3"/>
      <c r="AJ756" s="3"/>
    </row>
    <row r="757" ht="15.75" customHeight="1">
      <c r="C757" s="2"/>
      <c r="R757" s="3"/>
      <c r="S757" s="3"/>
      <c r="T757" s="3"/>
      <c r="U757" s="3"/>
      <c r="V757" s="3"/>
      <c r="W757" s="3"/>
      <c r="X757" s="3"/>
      <c r="Y757" s="3"/>
      <c r="Z757" s="3"/>
      <c r="AA757" s="3"/>
      <c r="AB757" s="3"/>
      <c r="AC757" s="3"/>
      <c r="AD757" s="3"/>
      <c r="AE757" s="3"/>
      <c r="AF757" s="3"/>
      <c r="AG757" s="3"/>
      <c r="AH757" s="3"/>
      <c r="AI757" s="3"/>
      <c r="AJ757" s="3"/>
    </row>
    <row r="758" ht="15.75" customHeight="1">
      <c r="C758" s="2"/>
      <c r="R758" s="3"/>
      <c r="S758" s="3"/>
      <c r="T758" s="3"/>
      <c r="U758" s="3"/>
      <c r="V758" s="3"/>
      <c r="W758" s="3"/>
      <c r="X758" s="3"/>
      <c r="Y758" s="3"/>
      <c r="Z758" s="3"/>
      <c r="AA758" s="3"/>
      <c r="AB758" s="3"/>
      <c r="AC758" s="3"/>
      <c r="AD758" s="3"/>
      <c r="AE758" s="3"/>
      <c r="AF758" s="3"/>
      <c r="AG758" s="3"/>
      <c r="AH758" s="3"/>
      <c r="AI758" s="3"/>
      <c r="AJ758" s="3"/>
    </row>
    <row r="759" ht="15.75" customHeight="1">
      <c r="C759" s="2"/>
      <c r="R759" s="3"/>
      <c r="S759" s="3"/>
      <c r="T759" s="3"/>
      <c r="U759" s="3"/>
      <c r="V759" s="3"/>
      <c r="W759" s="3"/>
      <c r="X759" s="3"/>
      <c r="Y759" s="3"/>
      <c r="Z759" s="3"/>
      <c r="AA759" s="3"/>
      <c r="AB759" s="3"/>
      <c r="AC759" s="3"/>
      <c r="AD759" s="3"/>
      <c r="AE759" s="3"/>
      <c r="AF759" s="3"/>
      <c r="AG759" s="3"/>
      <c r="AH759" s="3"/>
      <c r="AI759" s="3"/>
      <c r="AJ759" s="3"/>
    </row>
    <row r="760" ht="15.75" customHeight="1">
      <c r="C760" s="2"/>
      <c r="R760" s="3"/>
      <c r="S760" s="3"/>
      <c r="T760" s="3"/>
      <c r="U760" s="3"/>
      <c r="V760" s="3"/>
      <c r="W760" s="3"/>
      <c r="X760" s="3"/>
      <c r="Y760" s="3"/>
      <c r="Z760" s="3"/>
      <c r="AA760" s="3"/>
      <c r="AB760" s="3"/>
      <c r="AC760" s="3"/>
      <c r="AD760" s="3"/>
      <c r="AE760" s="3"/>
      <c r="AF760" s="3"/>
      <c r="AG760" s="3"/>
      <c r="AH760" s="3"/>
      <c r="AI760" s="3"/>
      <c r="AJ760" s="3"/>
    </row>
    <row r="761" ht="15.75" customHeight="1">
      <c r="C761" s="2"/>
      <c r="R761" s="3"/>
      <c r="S761" s="3"/>
      <c r="T761" s="3"/>
      <c r="U761" s="3"/>
      <c r="V761" s="3"/>
      <c r="W761" s="3"/>
      <c r="X761" s="3"/>
      <c r="Y761" s="3"/>
      <c r="Z761" s="3"/>
      <c r="AA761" s="3"/>
      <c r="AB761" s="3"/>
      <c r="AC761" s="3"/>
      <c r="AD761" s="3"/>
      <c r="AE761" s="3"/>
      <c r="AF761" s="3"/>
      <c r="AG761" s="3"/>
      <c r="AH761" s="3"/>
      <c r="AI761" s="3"/>
      <c r="AJ761" s="3"/>
    </row>
    <row r="762" ht="15.75" customHeight="1">
      <c r="C762" s="2"/>
      <c r="R762" s="3"/>
      <c r="S762" s="3"/>
      <c r="T762" s="3"/>
      <c r="U762" s="3"/>
      <c r="V762" s="3"/>
      <c r="W762" s="3"/>
      <c r="X762" s="3"/>
      <c r="Y762" s="3"/>
      <c r="Z762" s="3"/>
      <c r="AA762" s="3"/>
      <c r="AB762" s="3"/>
      <c r="AC762" s="3"/>
      <c r="AD762" s="3"/>
      <c r="AE762" s="3"/>
      <c r="AF762" s="3"/>
      <c r="AG762" s="3"/>
      <c r="AH762" s="3"/>
      <c r="AI762" s="3"/>
      <c r="AJ762" s="3"/>
    </row>
    <row r="763" ht="15.75" customHeight="1">
      <c r="C763" s="2"/>
      <c r="R763" s="3"/>
      <c r="S763" s="3"/>
      <c r="T763" s="3"/>
      <c r="U763" s="3"/>
      <c r="V763" s="3"/>
      <c r="W763" s="3"/>
      <c r="X763" s="3"/>
      <c r="Y763" s="3"/>
      <c r="Z763" s="3"/>
      <c r="AA763" s="3"/>
      <c r="AB763" s="3"/>
      <c r="AC763" s="3"/>
      <c r="AD763" s="3"/>
      <c r="AE763" s="3"/>
      <c r="AF763" s="3"/>
      <c r="AG763" s="3"/>
      <c r="AH763" s="3"/>
      <c r="AI763" s="3"/>
      <c r="AJ763" s="3"/>
    </row>
    <row r="764" ht="15.75" customHeight="1">
      <c r="C764" s="2"/>
      <c r="R764" s="3"/>
      <c r="S764" s="3"/>
      <c r="T764" s="3"/>
      <c r="U764" s="3"/>
      <c r="V764" s="3"/>
      <c r="W764" s="3"/>
      <c r="X764" s="3"/>
      <c r="Y764" s="3"/>
      <c r="Z764" s="3"/>
      <c r="AA764" s="3"/>
      <c r="AB764" s="3"/>
      <c r="AC764" s="3"/>
      <c r="AD764" s="3"/>
      <c r="AE764" s="3"/>
      <c r="AF764" s="3"/>
      <c r="AG764" s="3"/>
      <c r="AH764" s="3"/>
      <c r="AI764" s="3"/>
      <c r="AJ764" s="3"/>
    </row>
    <row r="765" ht="15.75" customHeight="1">
      <c r="C765" s="2"/>
      <c r="R765" s="3"/>
      <c r="S765" s="3"/>
      <c r="T765" s="3"/>
      <c r="U765" s="3"/>
      <c r="V765" s="3"/>
      <c r="W765" s="3"/>
      <c r="X765" s="3"/>
      <c r="Y765" s="3"/>
      <c r="Z765" s="3"/>
      <c r="AA765" s="3"/>
      <c r="AB765" s="3"/>
      <c r="AC765" s="3"/>
      <c r="AD765" s="3"/>
      <c r="AE765" s="3"/>
      <c r="AF765" s="3"/>
      <c r="AG765" s="3"/>
      <c r="AH765" s="3"/>
      <c r="AI765" s="3"/>
      <c r="AJ765" s="3"/>
    </row>
    <row r="766" ht="15.75" customHeight="1">
      <c r="C766" s="2"/>
      <c r="R766" s="3"/>
      <c r="S766" s="3"/>
      <c r="T766" s="3"/>
      <c r="U766" s="3"/>
      <c r="V766" s="3"/>
      <c r="W766" s="3"/>
      <c r="X766" s="3"/>
      <c r="Y766" s="3"/>
      <c r="Z766" s="3"/>
      <c r="AA766" s="3"/>
      <c r="AB766" s="3"/>
      <c r="AC766" s="3"/>
      <c r="AD766" s="3"/>
      <c r="AE766" s="3"/>
      <c r="AF766" s="3"/>
      <c r="AG766" s="3"/>
      <c r="AH766" s="3"/>
      <c r="AI766" s="3"/>
      <c r="AJ766" s="3"/>
    </row>
    <row r="767" ht="15.75" customHeight="1">
      <c r="C767" s="2"/>
      <c r="R767" s="3"/>
      <c r="S767" s="3"/>
      <c r="T767" s="3"/>
      <c r="U767" s="3"/>
      <c r="V767" s="3"/>
      <c r="W767" s="3"/>
      <c r="X767" s="3"/>
      <c r="Y767" s="3"/>
      <c r="Z767" s="3"/>
      <c r="AA767" s="3"/>
      <c r="AB767" s="3"/>
      <c r="AC767" s="3"/>
      <c r="AD767" s="3"/>
      <c r="AE767" s="3"/>
      <c r="AF767" s="3"/>
      <c r="AG767" s="3"/>
      <c r="AH767" s="3"/>
      <c r="AI767" s="3"/>
      <c r="AJ767" s="3"/>
    </row>
    <row r="768" ht="15.75" customHeight="1">
      <c r="C768" s="2"/>
      <c r="R768" s="3"/>
      <c r="S768" s="3"/>
      <c r="T768" s="3"/>
      <c r="U768" s="3"/>
      <c r="V768" s="3"/>
      <c r="W768" s="3"/>
      <c r="X768" s="3"/>
      <c r="Y768" s="3"/>
      <c r="Z768" s="3"/>
      <c r="AA768" s="3"/>
      <c r="AB768" s="3"/>
      <c r="AC768" s="3"/>
      <c r="AD768" s="3"/>
      <c r="AE768" s="3"/>
      <c r="AF768" s="3"/>
      <c r="AG768" s="3"/>
      <c r="AH768" s="3"/>
      <c r="AI768" s="3"/>
      <c r="AJ768" s="3"/>
    </row>
    <row r="769" ht="15.75" customHeight="1">
      <c r="C769" s="2"/>
      <c r="R769" s="3"/>
      <c r="S769" s="3"/>
      <c r="T769" s="3"/>
      <c r="U769" s="3"/>
      <c r="V769" s="3"/>
      <c r="W769" s="3"/>
      <c r="X769" s="3"/>
      <c r="Y769" s="3"/>
      <c r="Z769" s="3"/>
      <c r="AA769" s="3"/>
      <c r="AB769" s="3"/>
      <c r="AC769" s="3"/>
      <c r="AD769" s="3"/>
      <c r="AE769" s="3"/>
      <c r="AF769" s="3"/>
      <c r="AG769" s="3"/>
      <c r="AH769" s="3"/>
      <c r="AI769" s="3"/>
      <c r="AJ769" s="3"/>
    </row>
    <row r="770" ht="15.75" customHeight="1">
      <c r="C770" s="2"/>
      <c r="R770" s="3"/>
      <c r="S770" s="3"/>
      <c r="T770" s="3"/>
      <c r="U770" s="3"/>
      <c r="V770" s="3"/>
      <c r="W770" s="3"/>
      <c r="X770" s="3"/>
      <c r="Y770" s="3"/>
      <c r="Z770" s="3"/>
      <c r="AA770" s="3"/>
      <c r="AB770" s="3"/>
      <c r="AC770" s="3"/>
      <c r="AD770" s="3"/>
      <c r="AE770" s="3"/>
      <c r="AF770" s="3"/>
      <c r="AG770" s="3"/>
      <c r="AH770" s="3"/>
      <c r="AI770" s="3"/>
      <c r="AJ770" s="3"/>
    </row>
    <row r="771" ht="15.75" customHeight="1">
      <c r="C771" s="2"/>
      <c r="R771" s="3"/>
      <c r="S771" s="3"/>
      <c r="T771" s="3"/>
      <c r="U771" s="3"/>
      <c r="V771" s="3"/>
      <c r="W771" s="3"/>
      <c r="X771" s="3"/>
      <c r="Y771" s="3"/>
      <c r="Z771" s="3"/>
      <c r="AA771" s="3"/>
      <c r="AB771" s="3"/>
      <c r="AC771" s="3"/>
      <c r="AD771" s="3"/>
      <c r="AE771" s="3"/>
      <c r="AF771" s="3"/>
      <c r="AG771" s="3"/>
      <c r="AH771" s="3"/>
      <c r="AI771" s="3"/>
      <c r="AJ771" s="3"/>
    </row>
    <row r="772" ht="15.75" customHeight="1">
      <c r="C772" s="2"/>
      <c r="R772" s="3"/>
      <c r="S772" s="3"/>
      <c r="T772" s="3"/>
      <c r="U772" s="3"/>
      <c r="V772" s="3"/>
      <c r="W772" s="3"/>
      <c r="X772" s="3"/>
      <c r="Y772" s="3"/>
      <c r="Z772" s="3"/>
      <c r="AA772" s="3"/>
      <c r="AB772" s="3"/>
      <c r="AC772" s="3"/>
      <c r="AD772" s="3"/>
      <c r="AE772" s="3"/>
      <c r="AF772" s="3"/>
      <c r="AG772" s="3"/>
      <c r="AH772" s="3"/>
      <c r="AI772" s="3"/>
      <c r="AJ772" s="3"/>
    </row>
    <row r="773" ht="15.75" customHeight="1">
      <c r="C773" s="2"/>
      <c r="R773" s="3"/>
      <c r="S773" s="3"/>
      <c r="T773" s="3"/>
      <c r="U773" s="3"/>
      <c r="V773" s="3"/>
      <c r="W773" s="3"/>
      <c r="X773" s="3"/>
      <c r="Y773" s="3"/>
      <c r="Z773" s="3"/>
      <c r="AA773" s="3"/>
      <c r="AB773" s="3"/>
      <c r="AC773" s="3"/>
      <c r="AD773" s="3"/>
      <c r="AE773" s="3"/>
      <c r="AF773" s="3"/>
      <c r="AG773" s="3"/>
      <c r="AH773" s="3"/>
      <c r="AI773" s="3"/>
      <c r="AJ773" s="3"/>
    </row>
    <row r="774" ht="15.75" customHeight="1">
      <c r="C774" s="2"/>
      <c r="R774" s="3"/>
      <c r="S774" s="3"/>
      <c r="T774" s="3"/>
      <c r="U774" s="3"/>
      <c r="V774" s="3"/>
      <c r="W774" s="3"/>
      <c r="X774" s="3"/>
      <c r="Y774" s="3"/>
      <c r="Z774" s="3"/>
      <c r="AA774" s="3"/>
      <c r="AB774" s="3"/>
      <c r="AC774" s="3"/>
      <c r="AD774" s="3"/>
      <c r="AE774" s="3"/>
      <c r="AF774" s="3"/>
      <c r="AG774" s="3"/>
      <c r="AH774" s="3"/>
      <c r="AI774" s="3"/>
      <c r="AJ774" s="3"/>
    </row>
    <row r="775" ht="15.75" customHeight="1">
      <c r="C775" s="2"/>
      <c r="R775" s="3"/>
      <c r="S775" s="3"/>
      <c r="T775" s="3"/>
      <c r="U775" s="3"/>
      <c r="V775" s="3"/>
      <c r="W775" s="3"/>
      <c r="X775" s="3"/>
      <c r="Y775" s="3"/>
      <c r="Z775" s="3"/>
      <c r="AA775" s="3"/>
      <c r="AB775" s="3"/>
      <c r="AC775" s="3"/>
      <c r="AD775" s="3"/>
      <c r="AE775" s="3"/>
      <c r="AF775" s="3"/>
      <c r="AG775" s="3"/>
      <c r="AH775" s="3"/>
      <c r="AI775" s="3"/>
      <c r="AJ775" s="3"/>
    </row>
    <row r="776" ht="15.75" customHeight="1">
      <c r="C776" s="2"/>
      <c r="R776" s="3"/>
      <c r="S776" s="3"/>
      <c r="T776" s="3"/>
      <c r="U776" s="3"/>
      <c r="V776" s="3"/>
      <c r="W776" s="3"/>
      <c r="X776" s="3"/>
      <c r="Y776" s="3"/>
      <c r="Z776" s="3"/>
      <c r="AA776" s="3"/>
      <c r="AB776" s="3"/>
      <c r="AC776" s="3"/>
      <c r="AD776" s="3"/>
      <c r="AE776" s="3"/>
      <c r="AF776" s="3"/>
      <c r="AG776" s="3"/>
      <c r="AH776" s="3"/>
      <c r="AI776" s="3"/>
      <c r="AJ776" s="3"/>
    </row>
    <row r="777" ht="15.75" customHeight="1">
      <c r="C777" s="2"/>
      <c r="R777" s="3"/>
      <c r="S777" s="3"/>
      <c r="T777" s="3"/>
      <c r="U777" s="3"/>
      <c r="V777" s="3"/>
      <c r="W777" s="3"/>
      <c r="X777" s="3"/>
      <c r="Y777" s="3"/>
      <c r="Z777" s="3"/>
      <c r="AA777" s="3"/>
      <c r="AB777" s="3"/>
      <c r="AC777" s="3"/>
      <c r="AD777" s="3"/>
      <c r="AE777" s="3"/>
      <c r="AF777" s="3"/>
      <c r="AG777" s="3"/>
      <c r="AH777" s="3"/>
      <c r="AI777" s="3"/>
      <c r="AJ777" s="3"/>
    </row>
    <row r="778" ht="15.75" customHeight="1">
      <c r="C778" s="2"/>
      <c r="R778" s="3"/>
      <c r="S778" s="3"/>
      <c r="T778" s="3"/>
      <c r="U778" s="3"/>
      <c r="V778" s="3"/>
      <c r="W778" s="3"/>
      <c r="X778" s="3"/>
      <c r="Y778" s="3"/>
      <c r="Z778" s="3"/>
      <c r="AA778" s="3"/>
      <c r="AB778" s="3"/>
      <c r="AC778" s="3"/>
      <c r="AD778" s="3"/>
      <c r="AE778" s="3"/>
      <c r="AF778" s="3"/>
      <c r="AG778" s="3"/>
      <c r="AH778" s="3"/>
      <c r="AI778" s="3"/>
      <c r="AJ778" s="3"/>
    </row>
    <row r="779" ht="15.75" customHeight="1">
      <c r="C779" s="2"/>
      <c r="R779" s="3"/>
      <c r="S779" s="3"/>
      <c r="T779" s="3"/>
      <c r="U779" s="3"/>
      <c r="V779" s="3"/>
      <c r="W779" s="3"/>
      <c r="X779" s="3"/>
      <c r="Y779" s="3"/>
      <c r="Z779" s="3"/>
      <c r="AA779" s="3"/>
      <c r="AB779" s="3"/>
      <c r="AC779" s="3"/>
      <c r="AD779" s="3"/>
      <c r="AE779" s="3"/>
      <c r="AF779" s="3"/>
      <c r="AG779" s="3"/>
      <c r="AH779" s="3"/>
      <c r="AI779" s="3"/>
      <c r="AJ779" s="3"/>
    </row>
    <row r="780" ht="15.75" customHeight="1">
      <c r="C780" s="2"/>
      <c r="R780" s="3"/>
      <c r="S780" s="3"/>
      <c r="T780" s="3"/>
      <c r="U780" s="3"/>
      <c r="V780" s="3"/>
      <c r="W780" s="3"/>
      <c r="X780" s="3"/>
      <c r="Y780" s="3"/>
      <c r="Z780" s="3"/>
      <c r="AA780" s="3"/>
      <c r="AB780" s="3"/>
      <c r="AC780" s="3"/>
      <c r="AD780" s="3"/>
      <c r="AE780" s="3"/>
      <c r="AF780" s="3"/>
      <c r="AG780" s="3"/>
      <c r="AH780" s="3"/>
      <c r="AI780" s="3"/>
      <c r="AJ780" s="3"/>
    </row>
    <row r="781" ht="15.75" customHeight="1">
      <c r="C781" s="2"/>
      <c r="R781" s="3"/>
      <c r="S781" s="3"/>
      <c r="T781" s="3"/>
      <c r="U781" s="3"/>
      <c r="V781" s="3"/>
      <c r="W781" s="3"/>
      <c r="X781" s="3"/>
      <c r="Y781" s="3"/>
      <c r="Z781" s="3"/>
      <c r="AA781" s="3"/>
      <c r="AB781" s="3"/>
      <c r="AC781" s="3"/>
      <c r="AD781" s="3"/>
      <c r="AE781" s="3"/>
      <c r="AF781" s="3"/>
      <c r="AG781" s="3"/>
      <c r="AH781" s="3"/>
      <c r="AI781" s="3"/>
      <c r="AJ781" s="3"/>
    </row>
    <row r="782" ht="15.75" customHeight="1">
      <c r="C782" s="2"/>
      <c r="R782" s="3"/>
      <c r="S782" s="3"/>
      <c r="T782" s="3"/>
      <c r="U782" s="3"/>
      <c r="V782" s="3"/>
      <c r="W782" s="3"/>
      <c r="X782" s="3"/>
      <c r="Y782" s="3"/>
      <c r="Z782" s="3"/>
      <c r="AA782" s="3"/>
      <c r="AB782" s="3"/>
      <c r="AC782" s="3"/>
      <c r="AD782" s="3"/>
      <c r="AE782" s="3"/>
      <c r="AF782" s="3"/>
      <c r="AG782" s="3"/>
      <c r="AH782" s="3"/>
      <c r="AI782" s="3"/>
      <c r="AJ782" s="3"/>
    </row>
    <row r="783" ht="15.75" customHeight="1">
      <c r="C783" s="2"/>
      <c r="R783" s="3"/>
      <c r="S783" s="3"/>
      <c r="T783" s="3"/>
      <c r="U783" s="3"/>
      <c r="V783" s="3"/>
      <c r="W783" s="3"/>
      <c r="X783" s="3"/>
      <c r="Y783" s="3"/>
      <c r="Z783" s="3"/>
      <c r="AA783" s="3"/>
      <c r="AB783" s="3"/>
      <c r="AC783" s="3"/>
      <c r="AD783" s="3"/>
      <c r="AE783" s="3"/>
      <c r="AF783" s="3"/>
      <c r="AG783" s="3"/>
      <c r="AH783" s="3"/>
      <c r="AI783" s="3"/>
      <c r="AJ783" s="3"/>
    </row>
    <row r="784" ht="15.75" customHeight="1">
      <c r="C784" s="2"/>
      <c r="R784" s="3"/>
      <c r="S784" s="3"/>
      <c r="T784" s="3"/>
      <c r="U784" s="3"/>
      <c r="V784" s="3"/>
      <c r="W784" s="3"/>
      <c r="X784" s="3"/>
      <c r="Y784" s="3"/>
      <c r="Z784" s="3"/>
      <c r="AA784" s="3"/>
      <c r="AB784" s="3"/>
      <c r="AC784" s="3"/>
      <c r="AD784" s="3"/>
      <c r="AE784" s="3"/>
      <c r="AF784" s="3"/>
      <c r="AG784" s="3"/>
      <c r="AH784" s="3"/>
      <c r="AI784" s="3"/>
      <c r="AJ784" s="3"/>
    </row>
    <row r="785" ht="15.75" customHeight="1">
      <c r="C785" s="2"/>
      <c r="R785" s="3"/>
      <c r="S785" s="3"/>
      <c r="T785" s="3"/>
      <c r="U785" s="3"/>
      <c r="V785" s="3"/>
      <c r="W785" s="3"/>
      <c r="X785" s="3"/>
      <c r="Y785" s="3"/>
      <c r="Z785" s="3"/>
      <c r="AA785" s="3"/>
      <c r="AB785" s="3"/>
      <c r="AC785" s="3"/>
      <c r="AD785" s="3"/>
      <c r="AE785" s="3"/>
      <c r="AF785" s="3"/>
      <c r="AG785" s="3"/>
      <c r="AH785" s="3"/>
      <c r="AI785" s="3"/>
      <c r="AJ785" s="3"/>
    </row>
    <row r="786" ht="15.75" customHeight="1">
      <c r="C786" s="2"/>
      <c r="R786" s="3"/>
      <c r="S786" s="3"/>
      <c r="T786" s="3"/>
      <c r="U786" s="3"/>
      <c r="V786" s="3"/>
      <c r="W786" s="3"/>
      <c r="X786" s="3"/>
      <c r="Y786" s="3"/>
      <c r="Z786" s="3"/>
      <c r="AA786" s="3"/>
      <c r="AB786" s="3"/>
      <c r="AC786" s="3"/>
      <c r="AD786" s="3"/>
      <c r="AE786" s="3"/>
      <c r="AF786" s="3"/>
      <c r="AG786" s="3"/>
      <c r="AH786" s="3"/>
      <c r="AI786" s="3"/>
      <c r="AJ786" s="3"/>
    </row>
    <row r="787" ht="15.75" customHeight="1">
      <c r="C787" s="2"/>
      <c r="R787" s="3"/>
      <c r="S787" s="3"/>
      <c r="T787" s="3"/>
      <c r="U787" s="3"/>
      <c r="V787" s="3"/>
      <c r="W787" s="3"/>
      <c r="X787" s="3"/>
      <c r="Y787" s="3"/>
      <c r="Z787" s="3"/>
      <c r="AA787" s="3"/>
      <c r="AB787" s="3"/>
      <c r="AC787" s="3"/>
      <c r="AD787" s="3"/>
      <c r="AE787" s="3"/>
      <c r="AF787" s="3"/>
      <c r="AG787" s="3"/>
      <c r="AH787" s="3"/>
      <c r="AI787" s="3"/>
      <c r="AJ787" s="3"/>
    </row>
    <row r="788" ht="15.75" customHeight="1">
      <c r="C788" s="2"/>
      <c r="R788" s="3"/>
      <c r="S788" s="3"/>
      <c r="T788" s="3"/>
      <c r="U788" s="3"/>
      <c r="V788" s="3"/>
      <c r="W788" s="3"/>
      <c r="X788" s="3"/>
      <c r="Y788" s="3"/>
      <c r="Z788" s="3"/>
      <c r="AA788" s="3"/>
      <c r="AB788" s="3"/>
      <c r="AC788" s="3"/>
      <c r="AD788" s="3"/>
      <c r="AE788" s="3"/>
      <c r="AF788" s="3"/>
      <c r="AG788" s="3"/>
      <c r="AH788" s="3"/>
      <c r="AI788" s="3"/>
      <c r="AJ788" s="3"/>
    </row>
    <row r="789" ht="15.75" customHeight="1">
      <c r="C789" s="2"/>
      <c r="R789" s="3"/>
      <c r="S789" s="3"/>
      <c r="T789" s="3"/>
      <c r="U789" s="3"/>
      <c r="V789" s="3"/>
      <c r="W789" s="3"/>
      <c r="X789" s="3"/>
      <c r="Y789" s="3"/>
      <c r="Z789" s="3"/>
      <c r="AA789" s="3"/>
      <c r="AB789" s="3"/>
      <c r="AC789" s="3"/>
      <c r="AD789" s="3"/>
      <c r="AE789" s="3"/>
      <c r="AF789" s="3"/>
      <c r="AG789" s="3"/>
      <c r="AH789" s="3"/>
      <c r="AI789" s="3"/>
      <c r="AJ789" s="3"/>
    </row>
    <row r="790" ht="15.75" customHeight="1">
      <c r="C790" s="2"/>
      <c r="R790" s="3"/>
      <c r="S790" s="3"/>
      <c r="T790" s="3"/>
      <c r="U790" s="3"/>
      <c r="V790" s="3"/>
      <c r="W790" s="3"/>
      <c r="X790" s="3"/>
      <c r="Y790" s="3"/>
      <c r="Z790" s="3"/>
      <c r="AA790" s="3"/>
      <c r="AB790" s="3"/>
      <c r="AC790" s="3"/>
      <c r="AD790" s="3"/>
      <c r="AE790" s="3"/>
      <c r="AF790" s="3"/>
      <c r="AG790" s="3"/>
      <c r="AH790" s="3"/>
      <c r="AI790" s="3"/>
      <c r="AJ790" s="3"/>
    </row>
    <row r="791" ht="15.75" customHeight="1">
      <c r="C791" s="2"/>
      <c r="R791" s="3"/>
      <c r="S791" s="3"/>
      <c r="T791" s="3"/>
      <c r="U791" s="3"/>
      <c r="V791" s="3"/>
      <c r="W791" s="3"/>
      <c r="X791" s="3"/>
      <c r="Y791" s="3"/>
      <c r="Z791" s="3"/>
      <c r="AA791" s="3"/>
      <c r="AB791" s="3"/>
      <c r="AC791" s="3"/>
      <c r="AD791" s="3"/>
      <c r="AE791" s="3"/>
      <c r="AF791" s="3"/>
      <c r="AG791" s="3"/>
      <c r="AH791" s="3"/>
      <c r="AI791" s="3"/>
      <c r="AJ791" s="3"/>
    </row>
    <row r="792" ht="15.75" customHeight="1">
      <c r="C792" s="2"/>
      <c r="R792" s="3"/>
      <c r="S792" s="3"/>
      <c r="T792" s="3"/>
      <c r="U792" s="3"/>
      <c r="V792" s="3"/>
      <c r="W792" s="3"/>
      <c r="X792" s="3"/>
      <c r="Y792" s="3"/>
      <c r="Z792" s="3"/>
      <c r="AA792" s="3"/>
      <c r="AB792" s="3"/>
      <c r="AC792" s="3"/>
      <c r="AD792" s="3"/>
      <c r="AE792" s="3"/>
      <c r="AF792" s="3"/>
      <c r="AG792" s="3"/>
      <c r="AH792" s="3"/>
      <c r="AI792" s="3"/>
      <c r="AJ792" s="3"/>
    </row>
    <row r="793" ht="15.75" customHeight="1">
      <c r="C793" s="2"/>
      <c r="R793" s="3"/>
      <c r="S793" s="3"/>
      <c r="T793" s="3"/>
      <c r="U793" s="3"/>
      <c r="V793" s="3"/>
      <c r="W793" s="3"/>
      <c r="X793" s="3"/>
      <c r="Y793" s="3"/>
      <c r="Z793" s="3"/>
      <c r="AA793" s="3"/>
      <c r="AB793" s="3"/>
      <c r="AC793" s="3"/>
      <c r="AD793" s="3"/>
      <c r="AE793" s="3"/>
      <c r="AF793" s="3"/>
      <c r="AG793" s="3"/>
      <c r="AH793" s="3"/>
      <c r="AI793" s="3"/>
      <c r="AJ793" s="3"/>
    </row>
    <row r="794" ht="15.75" customHeight="1">
      <c r="C794" s="2"/>
      <c r="R794" s="3"/>
      <c r="S794" s="3"/>
      <c r="T794" s="3"/>
      <c r="U794" s="3"/>
      <c r="V794" s="3"/>
      <c r="W794" s="3"/>
      <c r="X794" s="3"/>
      <c r="Y794" s="3"/>
      <c r="Z794" s="3"/>
      <c r="AA794" s="3"/>
      <c r="AB794" s="3"/>
      <c r="AC794" s="3"/>
      <c r="AD794" s="3"/>
      <c r="AE794" s="3"/>
      <c r="AF794" s="3"/>
      <c r="AG794" s="3"/>
      <c r="AH794" s="3"/>
      <c r="AI794" s="3"/>
      <c r="AJ794" s="3"/>
    </row>
    <row r="795" ht="15.75" customHeight="1">
      <c r="C795" s="2"/>
      <c r="R795" s="3"/>
      <c r="S795" s="3"/>
      <c r="T795" s="3"/>
      <c r="U795" s="3"/>
      <c r="V795" s="3"/>
      <c r="W795" s="3"/>
      <c r="X795" s="3"/>
      <c r="Y795" s="3"/>
      <c r="Z795" s="3"/>
      <c r="AA795" s="3"/>
      <c r="AB795" s="3"/>
      <c r="AC795" s="3"/>
      <c r="AD795" s="3"/>
      <c r="AE795" s="3"/>
      <c r="AF795" s="3"/>
      <c r="AG795" s="3"/>
      <c r="AH795" s="3"/>
      <c r="AI795" s="3"/>
      <c r="AJ795" s="3"/>
    </row>
    <row r="796" ht="15.75" customHeight="1">
      <c r="C796" s="2"/>
      <c r="R796" s="3"/>
      <c r="S796" s="3"/>
      <c r="T796" s="3"/>
      <c r="U796" s="3"/>
      <c r="V796" s="3"/>
      <c r="W796" s="3"/>
      <c r="X796" s="3"/>
      <c r="Y796" s="3"/>
      <c r="Z796" s="3"/>
      <c r="AA796" s="3"/>
      <c r="AB796" s="3"/>
      <c r="AC796" s="3"/>
      <c r="AD796" s="3"/>
      <c r="AE796" s="3"/>
      <c r="AF796" s="3"/>
      <c r="AG796" s="3"/>
      <c r="AH796" s="3"/>
      <c r="AI796" s="3"/>
      <c r="AJ796" s="3"/>
    </row>
    <row r="797" ht="15.75" customHeight="1">
      <c r="C797" s="2"/>
      <c r="R797" s="3"/>
      <c r="S797" s="3"/>
      <c r="T797" s="3"/>
      <c r="U797" s="3"/>
      <c r="V797" s="3"/>
      <c r="W797" s="3"/>
      <c r="X797" s="3"/>
      <c r="Y797" s="3"/>
      <c r="Z797" s="3"/>
      <c r="AA797" s="3"/>
      <c r="AB797" s="3"/>
      <c r="AC797" s="3"/>
      <c r="AD797" s="3"/>
      <c r="AE797" s="3"/>
      <c r="AF797" s="3"/>
      <c r="AG797" s="3"/>
      <c r="AH797" s="3"/>
      <c r="AI797" s="3"/>
      <c r="AJ797" s="3"/>
    </row>
    <row r="798" ht="15.75" customHeight="1">
      <c r="C798" s="2"/>
      <c r="R798" s="3"/>
      <c r="S798" s="3"/>
      <c r="T798" s="3"/>
      <c r="U798" s="3"/>
      <c r="V798" s="3"/>
      <c r="W798" s="3"/>
      <c r="X798" s="3"/>
      <c r="Y798" s="3"/>
      <c r="Z798" s="3"/>
      <c r="AA798" s="3"/>
      <c r="AB798" s="3"/>
      <c r="AC798" s="3"/>
      <c r="AD798" s="3"/>
      <c r="AE798" s="3"/>
      <c r="AF798" s="3"/>
      <c r="AG798" s="3"/>
      <c r="AH798" s="3"/>
      <c r="AI798" s="3"/>
      <c r="AJ798" s="3"/>
    </row>
    <row r="799" ht="15.75" customHeight="1">
      <c r="C799" s="2"/>
      <c r="R799" s="3"/>
      <c r="S799" s="3"/>
      <c r="T799" s="3"/>
      <c r="U799" s="3"/>
      <c r="V799" s="3"/>
      <c r="W799" s="3"/>
      <c r="X799" s="3"/>
      <c r="Y799" s="3"/>
      <c r="Z799" s="3"/>
      <c r="AA799" s="3"/>
      <c r="AB799" s="3"/>
      <c r="AC799" s="3"/>
      <c r="AD799" s="3"/>
      <c r="AE799" s="3"/>
      <c r="AF799" s="3"/>
      <c r="AG799" s="3"/>
      <c r="AH799" s="3"/>
      <c r="AI799" s="3"/>
      <c r="AJ799" s="3"/>
    </row>
    <row r="800" ht="15.75" customHeight="1">
      <c r="C800" s="2"/>
      <c r="R800" s="3"/>
      <c r="S800" s="3"/>
      <c r="T800" s="3"/>
      <c r="U800" s="3"/>
      <c r="V800" s="3"/>
      <c r="W800" s="3"/>
      <c r="X800" s="3"/>
      <c r="Y800" s="3"/>
      <c r="Z800" s="3"/>
      <c r="AA800" s="3"/>
      <c r="AB800" s="3"/>
      <c r="AC800" s="3"/>
      <c r="AD800" s="3"/>
      <c r="AE800" s="3"/>
      <c r="AF800" s="3"/>
      <c r="AG800" s="3"/>
      <c r="AH800" s="3"/>
      <c r="AI800" s="3"/>
      <c r="AJ800" s="3"/>
    </row>
    <row r="801" ht="15.75" customHeight="1">
      <c r="C801" s="2"/>
      <c r="R801" s="3"/>
      <c r="S801" s="3"/>
      <c r="T801" s="3"/>
      <c r="U801" s="3"/>
      <c r="V801" s="3"/>
      <c r="W801" s="3"/>
      <c r="X801" s="3"/>
      <c r="Y801" s="3"/>
      <c r="Z801" s="3"/>
      <c r="AA801" s="3"/>
      <c r="AB801" s="3"/>
      <c r="AC801" s="3"/>
      <c r="AD801" s="3"/>
      <c r="AE801" s="3"/>
      <c r="AF801" s="3"/>
      <c r="AG801" s="3"/>
      <c r="AH801" s="3"/>
      <c r="AI801" s="3"/>
      <c r="AJ801" s="3"/>
    </row>
    <row r="802" ht="15.75" customHeight="1">
      <c r="C802" s="2"/>
      <c r="R802" s="3"/>
      <c r="S802" s="3"/>
      <c r="T802" s="3"/>
      <c r="U802" s="3"/>
      <c r="V802" s="3"/>
      <c r="W802" s="3"/>
      <c r="X802" s="3"/>
      <c r="Y802" s="3"/>
      <c r="Z802" s="3"/>
      <c r="AA802" s="3"/>
      <c r="AB802" s="3"/>
      <c r="AC802" s="3"/>
      <c r="AD802" s="3"/>
      <c r="AE802" s="3"/>
      <c r="AF802" s="3"/>
      <c r="AG802" s="3"/>
      <c r="AH802" s="3"/>
      <c r="AI802" s="3"/>
      <c r="AJ802" s="3"/>
    </row>
    <row r="803" ht="15.75" customHeight="1">
      <c r="C803" s="2"/>
      <c r="R803" s="3"/>
      <c r="S803" s="3"/>
      <c r="T803" s="3"/>
      <c r="U803" s="3"/>
      <c r="V803" s="3"/>
      <c r="W803" s="3"/>
      <c r="X803" s="3"/>
      <c r="Y803" s="3"/>
      <c r="Z803" s="3"/>
      <c r="AA803" s="3"/>
      <c r="AB803" s="3"/>
      <c r="AC803" s="3"/>
      <c r="AD803" s="3"/>
      <c r="AE803" s="3"/>
      <c r="AF803" s="3"/>
      <c r="AG803" s="3"/>
      <c r="AH803" s="3"/>
      <c r="AI803" s="3"/>
      <c r="AJ803" s="3"/>
    </row>
    <row r="804" ht="15.75" customHeight="1">
      <c r="C804" s="2"/>
      <c r="R804" s="3"/>
      <c r="S804" s="3"/>
      <c r="T804" s="3"/>
      <c r="U804" s="3"/>
      <c r="V804" s="3"/>
      <c r="W804" s="3"/>
      <c r="X804" s="3"/>
      <c r="Y804" s="3"/>
      <c r="Z804" s="3"/>
      <c r="AA804" s="3"/>
      <c r="AB804" s="3"/>
      <c r="AC804" s="3"/>
      <c r="AD804" s="3"/>
      <c r="AE804" s="3"/>
      <c r="AF804" s="3"/>
      <c r="AG804" s="3"/>
      <c r="AH804" s="3"/>
      <c r="AI804" s="3"/>
      <c r="AJ804" s="3"/>
    </row>
    <row r="805" ht="15.75" customHeight="1">
      <c r="C805" s="2"/>
      <c r="R805" s="3"/>
      <c r="S805" s="3"/>
      <c r="T805" s="3"/>
      <c r="U805" s="3"/>
      <c r="V805" s="3"/>
      <c r="W805" s="3"/>
      <c r="X805" s="3"/>
      <c r="Y805" s="3"/>
      <c r="Z805" s="3"/>
      <c r="AA805" s="3"/>
      <c r="AB805" s="3"/>
      <c r="AC805" s="3"/>
      <c r="AD805" s="3"/>
      <c r="AE805" s="3"/>
      <c r="AF805" s="3"/>
      <c r="AG805" s="3"/>
      <c r="AH805" s="3"/>
      <c r="AI805" s="3"/>
      <c r="AJ805" s="3"/>
    </row>
    <row r="806" ht="15.75" customHeight="1">
      <c r="C806" s="2"/>
      <c r="R806" s="3"/>
      <c r="S806" s="3"/>
      <c r="T806" s="3"/>
      <c r="U806" s="3"/>
      <c r="V806" s="3"/>
      <c r="W806" s="3"/>
      <c r="X806" s="3"/>
      <c r="Y806" s="3"/>
      <c r="Z806" s="3"/>
      <c r="AA806" s="3"/>
      <c r="AB806" s="3"/>
      <c r="AC806" s="3"/>
      <c r="AD806" s="3"/>
      <c r="AE806" s="3"/>
      <c r="AF806" s="3"/>
      <c r="AG806" s="3"/>
      <c r="AH806" s="3"/>
      <c r="AI806" s="3"/>
      <c r="AJ806" s="3"/>
    </row>
    <row r="807" ht="15.75" customHeight="1">
      <c r="C807" s="2"/>
      <c r="R807" s="3"/>
      <c r="S807" s="3"/>
      <c r="T807" s="3"/>
      <c r="U807" s="3"/>
      <c r="V807" s="3"/>
      <c r="W807" s="3"/>
      <c r="X807" s="3"/>
      <c r="Y807" s="3"/>
      <c r="Z807" s="3"/>
      <c r="AA807" s="3"/>
      <c r="AB807" s="3"/>
      <c r="AC807" s="3"/>
      <c r="AD807" s="3"/>
      <c r="AE807" s="3"/>
      <c r="AF807" s="3"/>
      <c r="AG807" s="3"/>
      <c r="AH807" s="3"/>
      <c r="AI807" s="3"/>
      <c r="AJ807" s="3"/>
    </row>
    <row r="808" ht="15.75" customHeight="1">
      <c r="C808" s="2"/>
      <c r="R808" s="3"/>
      <c r="S808" s="3"/>
      <c r="T808" s="3"/>
      <c r="U808" s="3"/>
      <c r="V808" s="3"/>
      <c r="W808" s="3"/>
      <c r="X808" s="3"/>
      <c r="Y808" s="3"/>
      <c r="Z808" s="3"/>
      <c r="AA808" s="3"/>
      <c r="AB808" s="3"/>
      <c r="AC808" s="3"/>
      <c r="AD808" s="3"/>
      <c r="AE808" s="3"/>
      <c r="AF808" s="3"/>
      <c r="AG808" s="3"/>
      <c r="AH808" s="3"/>
      <c r="AI808" s="3"/>
      <c r="AJ808" s="3"/>
    </row>
    <row r="809" ht="15.75" customHeight="1">
      <c r="C809" s="2"/>
      <c r="R809" s="3"/>
      <c r="S809" s="3"/>
      <c r="T809" s="3"/>
      <c r="U809" s="3"/>
      <c r="V809" s="3"/>
      <c r="W809" s="3"/>
      <c r="X809" s="3"/>
      <c r="Y809" s="3"/>
      <c r="Z809" s="3"/>
      <c r="AA809" s="3"/>
      <c r="AB809" s="3"/>
      <c r="AC809" s="3"/>
      <c r="AD809" s="3"/>
      <c r="AE809" s="3"/>
      <c r="AF809" s="3"/>
      <c r="AG809" s="3"/>
      <c r="AH809" s="3"/>
      <c r="AI809" s="3"/>
      <c r="AJ809" s="3"/>
    </row>
    <row r="810" ht="15.75" customHeight="1">
      <c r="C810" s="2"/>
      <c r="R810" s="3"/>
      <c r="S810" s="3"/>
      <c r="T810" s="3"/>
      <c r="U810" s="3"/>
      <c r="V810" s="3"/>
      <c r="W810" s="3"/>
      <c r="X810" s="3"/>
      <c r="Y810" s="3"/>
      <c r="Z810" s="3"/>
      <c r="AA810" s="3"/>
      <c r="AB810" s="3"/>
      <c r="AC810" s="3"/>
      <c r="AD810" s="3"/>
      <c r="AE810" s="3"/>
      <c r="AF810" s="3"/>
      <c r="AG810" s="3"/>
      <c r="AH810" s="3"/>
      <c r="AI810" s="3"/>
      <c r="AJ810" s="3"/>
    </row>
    <row r="811" ht="15.75" customHeight="1">
      <c r="C811" s="2"/>
      <c r="R811" s="3"/>
      <c r="S811" s="3"/>
      <c r="T811" s="3"/>
      <c r="U811" s="3"/>
      <c r="V811" s="3"/>
      <c r="W811" s="3"/>
      <c r="X811" s="3"/>
      <c r="Y811" s="3"/>
      <c r="Z811" s="3"/>
      <c r="AA811" s="3"/>
      <c r="AB811" s="3"/>
      <c r="AC811" s="3"/>
      <c r="AD811" s="3"/>
      <c r="AE811" s="3"/>
      <c r="AF811" s="3"/>
      <c r="AG811" s="3"/>
      <c r="AH811" s="3"/>
      <c r="AI811" s="3"/>
      <c r="AJ811" s="3"/>
    </row>
    <row r="812" ht="15.75" customHeight="1">
      <c r="C812" s="2"/>
      <c r="R812" s="3"/>
      <c r="S812" s="3"/>
      <c r="T812" s="3"/>
      <c r="U812" s="3"/>
      <c r="V812" s="3"/>
      <c r="W812" s="3"/>
      <c r="X812" s="3"/>
      <c r="Y812" s="3"/>
      <c r="Z812" s="3"/>
      <c r="AA812" s="3"/>
      <c r="AB812" s="3"/>
      <c r="AC812" s="3"/>
      <c r="AD812" s="3"/>
      <c r="AE812" s="3"/>
      <c r="AF812" s="3"/>
      <c r="AG812" s="3"/>
      <c r="AH812" s="3"/>
      <c r="AI812" s="3"/>
      <c r="AJ812" s="3"/>
    </row>
    <row r="813" ht="15.75" customHeight="1">
      <c r="C813" s="2"/>
      <c r="R813" s="3"/>
      <c r="S813" s="3"/>
      <c r="T813" s="3"/>
      <c r="U813" s="3"/>
      <c r="V813" s="3"/>
      <c r="W813" s="3"/>
      <c r="X813" s="3"/>
      <c r="Y813" s="3"/>
      <c r="Z813" s="3"/>
      <c r="AA813" s="3"/>
      <c r="AB813" s="3"/>
      <c r="AC813" s="3"/>
      <c r="AD813" s="3"/>
      <c r="AE813" s="3"/>
      <c r="AF813" s="3"/>
      <c r="AG813" s="3"/>
      <c r="AH813" s="3"/>
      <c r="AI813" s="3"/>
      <c r="AJ813" s="3"/>
    </row>
    <row r="814" ht="15.75" customHeight="1">
      <c r="C814" s="2"/>
      <c r="R814" s="3"/>
      <c r="S814" s="3"/>
      <c r="T814" s="3"/>
      <c r="U814" s="3"/>
      <c r="V814" s="3"/>
      <c r="W814" s="3"/>
      <c r="X814" s="3"/>
      <c r="Y814" s="3"/>
      <c r="Z814" s="3"/>
      <c r="AA814" s="3"/>
      <c r="AB814" s="3"/>
      <c r="AC814" s="3"/>
      <c r="AD814" s="3"/>
      <c r="AE814" s="3"/>
      <c r="AF814" s="3"/>
      <c r="AG814" s="3"/>
      <c r="AH814" s="3"/>
      <c r="AI814" s="3"/>
      <c r="AJ814" s="3"/>
    </row>
    <row r="815" ht="15.75" customHeight="1">
      <c r="C815" s="2"/>
      <c r="R815" s="3"/>
      <c r="S815" s="3"/>
      <c r="T815" s="3"/>
      <c r="U815" s="3"/>
      <c r="V815" s="3"/>
      <c r="W815" s="3"/>
      <c r="X815" s="3"/>
      <c r="Y815" s="3"/>
      <c r="Z815" s="3"/>
      <c r="AA815" s="3"/>
      <c r="AB815" s="3"/>
      <c r="AC815" s="3"/>
      <c r="AD815" s="3"/>
      <c r="AE815" s="3"/>
      <c r="AF815" s="3"/>
      <c r="AG815" s="3"/>
      <c r="AH815" s="3"/>
      <c r="AI815" s="3"/>
      <c r="AJ815" s="3"/>
    </row>
    <row r="816" ht="15.75" customHeight="1">
      <c r="C816" s="2"/>
      <c r="R816" s="3"/>
      <c r="S816" s="3"/>
      <c r="T816" s="3"/>
      <c r="U816" s="3"/>
      <c r="V816" s="3"/>
      <c r="W816" s="3"/>
      <c r="X816" s="3"/>
      <c r="Y816" s="3"/>
      <c r="Z816" s="3"/>
      <c r="AA816" s="3"/>
      <c r="AB816" s="3"/>
      <c r="AC816" s="3"/>
      <c r="AD816" s="3"/>
      <c r="AE816" s="3"/>
      <c r="AF816" s="3"/>
      <c r="AG816" s="3"/>
      <c r="AH816" s="3"/>
      <c r="AI816" s="3"/>
      <c r="AJ816" s="3"/>
    </row>
    <row r="817" ht="15.75" customHeight="1">
      <c r="C817" s="2"/>
      <c r="R817" s="3"/>
      <c r="S817" s="3"/>
      <c r="T817" s="3"/>
      <c r="U817" s="3"/>
      <c r="V817" s="3"/>
      <c r="W817" s="3"/>
      <c r="X817" s="3"/>
      <c r="Y817" s="3"/>
      <c r="Z817" s="3"/>
      <c r="AA817" s="3"/>
      <c r="AB817" s="3"/>
      <c r="AC817" s="3"/>
      <c r="AD817" s="3"/>
      <c r="AE817" s="3"/>
      <c r="AF817" s="3"/>
      <c r="AG817" s="3"/>
      <c r="AH817" s="3"/>
      <c r="AI817" s="3"/>
      <c r="AJ817" s="3"/>
    </row>
    <row r="818" ht="15.75" customHeight="1">
      <c r="C818" s="2"/>
      <c r="R818" s="3"/>
      <c r="S818" s="3"/>
      <c r="T818" s="3"/>
      <c r="U818" s="3"/>
      <c r="V818" s="3"/>
      <c r="W818" s="3"/>
      <c r="X818" s="3"/>
      <c r="Y818" s="3"/>
      <c r="Z818" s="3"/>
      <c r="AA818" s="3"/>
      <c r="AB818" s="3"/>
      <c r="AC818" s="3"/>
      <c r="AD818" s="3"/>
      <c r="AE818" s="3"/>
      <c r="AF818" s="3"/>
      <c r="AG818" s="3"/>
      <c r="AH818" s="3"/>
      <c r="AI818" s="3"/>
      <c r="AJ818" s="3"/>
    </row>
    <row r="819" ht="15.75" customHeight="1">
      <c r="C819" s="2"/>
      <c r="R819" s="3"/>
      <c r="S819" s="3"/>
      <c r="T819" s="3"/>
      <c r="U819" s="3"/>
      <c r="V819" s="3"/>
      <c r="W819" s="3"/>
      <c r="X819" s="3"/>
      <c r="Y819" s="3"/>
      <c r="Z819" s="3"/>
      <c r="AA819" s="3"/>
      <c r="AB819" s="3"/>
      <c r="AC819" s="3"/>
      <c r="AD819" s="3"/>
      <c r="AE819" s="3"/>
      <c r="AF819" s="3"/>
      <c r="AG819" s="3"/>
      <c r="AH819" s="3"/>
      <c r="AI819" s="3"/>
      <c r="AJ819" s="3"/>
    </row>
    <row r="820" ht="15.75" customHeight="1">
      <c r="C820" s="2"/>
      <c r="R820" s="3"/>
      <c r="S820" s="3"/>
      <c r="T820" s="3"/>
      <c r="U820" s="3"/>
      <c r="V820" s="3"/>
      <c r="W820" s="3"/>
      <c r="X820" s="3"/>
      <c r="Y820" s="3"/>
      <c r="Z820" s="3"/>
      <c r="AA820" s="3"/>
      <c r="AB820" s="3"/>
      <c r="AC820" s="3"/>
      <c r="AD820" s="3"/>
      <c r="AE820" s="3"/>
      <c r="AF820" s="3"/>
      <c r="AG820" s="3"/>
      <c r="AH820" s="3"/>
      <c r="AI820" s="3"/>
      <c r="AJ820" s="3"/>
    </row>
    <row r="821" ht="15.75" customHeight="1">
      <c r="C821" s="2"/>
      <c r="R821" s="3"/>
      <c r="S821" s="3"/>
      <c r="T821" s="3"/>
      <c r="U821" s="3"/>
      <c r="V821" s="3"/>
      <c r="W821" s="3"/>
      <c r="X821" s="3"/>
      <c r="Y821" s="3"/>
      <c r="Z821" s="3"/>
      <c r="AA821" s="3"/>
      <c r="AB821" s="3"/>
      <c r="AC821" s="3"/>
      <c r="AD821" s="3"/>
      <c r="AE821" s="3"/>
      <c r="AF821" s="3"/>
      <c r="AG821" s="3"/>
      <c r="AH821" s="3"/>
      <c r="AI821" s="3"/>
      <c r="AJ821" s="3"/>
    </row>
    <row r="822" ht="15.75" customHeight="1">
      <c r="C822" s="2"/>
      <c r="R822" s="3"/>
      <c r="S822" s="3"/>
      <c r="T822" s="3"/>
      <c r="U822" s="3"/>
      <c r="V822" s="3"/>
      <c r="W822" s="3"/>
      <c r="X822" s="3"/>
      <c r="Y822" s="3"/>
      <c r="Z822" s="3"/>
      <c r="AA822" s="3"/>
      <c r="AB822" s="3"/>
      <c r="AC822" s="3"/>
      <c r="AD822" s="3"/>
      <c r="AE822" s="3"/>
      <c r="AF822" s="3"/>
      <c r="AG822" s="3"/>
      <c r="AH822" s="3"/>
      <c r="AI822" s="3"/>
      <c r="AJ822" s="3"/>
    </row>
    <row r="823" ht="15.75" customHeight="1">
      <c r="C823" s="2"/>
      <c r="R823" s="3"/>
      <c r="S823" s="3"/>
      <c r="T823" s="3"/>
      <c r="U823" s="3"/>
      <c r="V823" s="3"/>
      <c r="W823" s="3"/>
      <c r="X823" s="3"/>
      <c r="Y823" s="3"/>
      <c r="Z823" s="3"/>
      <c r="AA823" s="3"/>
      <c r="AB823" s="3"/>
      <c r="AC823" s="3"/>
      <c r="AD823" s="3"/>
      <c r="AE823" s="3"/>
      <c r="AF823" s="3"/>
      <c r="AG823" s="3"/>
      <c r="AH823" s="3"/>
      <c r="AI823" s="3"/>
      <c r="AJ823" s="3"/>
    </row>
    <row r="824" ht="15.75" customHeight="1">
      <c r="C824" s="2"/>
      <c r="R824" s="3"/>
      <c r="S824" s="3"/>
      <c r="T824" s="3"/>
      <c r="U824" s="3"/>
      <c r="V824" s="3"/>
      <c r="W824" s="3"/>
      <c r="X824" s="3"/>
      <c r="Y824" s="3"/>
      <c r="Z824" s="3"/>
      <c r="AA824" s="3"/>
      <c r="AB824" s="3"/>
      <c r="AC824" s="3"/>
      <c r="AD824" s="3"/>
      <c r="AE824" s="3"/>
      <c r="AF824" s="3"/>
      <c r="AG824" s="3"/>
      <c r="AH824" s="3"/>
      <c r="AI824" s="3"/>
      <c r="AJ824" s="3"/>
    </row>
    <row r="825" ht="15.75" customHeight="1">
      <c r="C825" s="2"/>
      <c r="R825" s="3"/>
      <c r="S825" s="3"/>
      <c r="T825" s="3"/>
      <c r="U825" s="3"/>
      <c r="V825" s="3"/>
      <c r="W825" s="3"/>
      <c r="X825" s="3"/>
      <c r="Y825" s="3"/>
      <c r="Z825" s="3"/>
      <c r="AA825" s="3"/>
      <c r="AB825" s="3"/>
      <c r="AC825" s="3"/>
      <c r="AD825" s="3"/>
      <c r="AE825" s="3"/>
      <c r="AF825" s="3"/>
      <c r="AG825" s="3"/>
      <c r="AH825" s="3"/>
      <c r="AI825" s="3"/>
      <c r="AJ825" s="3"/>
    </row>
    <row r="826" ht="15.75" customHeight="1">
      <c r="C826" s="2"/>
      <c r="R826" s="3"/>
      <c r="S826" s="3"/>
      <c r="T826" s="3"/>
      <c r="U826" s="3"/>
      <c r="V826" s="3"/>
      <c r="W826" s="3"/>
      <c r="X826" s="3"/>
      <c r="Y826" s="3"/>
      <c r="Z826" s="3"/>
      <c r="AA826" s="3"/>
      <c r="AB826" s="3"/>
      <c r="AC826" s="3"/>
      <c r="AD826" s="3"/>
      <c r="AE826" s="3"/>
      <c r="AF826" s="3"/>
      <c r="AG826" s="3"/>
      <c r="AH826" s="3"/>
      <c r="AI826" s="3"/>
      <c r="AJ826" s="3"/>
    </row>
    <row r="827" ht="15.75" customHeight="1">
      <c r="C827" s="2"/>
      <c r="R827" s="3"/>
      <c r="S827" s="3"/>
      <c r="T827" s="3"/>
      <c r="U827" s="3"/>
      <c r="V827" s="3"/>
      <c r="W827" s="3"/>
      <c r="X827" s="3"/>
      <c r="Y827" s="3"/>
      <c r="Z827" s="3"/>
      <c r="AA827" s="3"/>
      <c r="AB827" s="3"/>
      <c r="AC827" s="3"/>
      <c r="AD827" s="3"/>
      <c r="AE827" s="3"/>
      <c r="AF827" s="3"/>
      <c r="AG827" s="3"/>
      <c r="AH827" s="3"/>
      <c r="AI827" s="3"/>
      <c r="AJ827" s="3"/>
    </row>
    <row r="828" ht="15.75" customHeight="1">
      <c r="C828" s="2"/>
      <c r="R828" s="3"/>
      <c r="S828" s="3"/>
      <c r="T828" s="3"/>
      <c r="U828" s="3"/>
      <c r="V828" s="3"/>
      <c r="W828" s="3"/>
      <c r="X828" s="3"/>
      <c r="Y828" s="3"/>
      <c r="Z828" s="3"/>
      <c r="AA828" s="3"/>
      <c r="AB828" s="3"/>
      <c r="AC828" s="3"/>
      <c r="AD828" s="3"/>
      <c r="AE828" s="3"/>
      <c r="AF828" s="3"/>
      <c r="AG828" s="3"/>
      <c r="AH828" s="3"/>
      <c r="AI828" s="3"/>
      <c r="AJ828" s="3"/>
    </row>
    <row r="829" ht="15.75" customHeight="1">
      <c r="C829" s="2"/>
      <c r="R829" s="3"/>
      <c r="S829" s="3"/>
      <c r="T829" s="3"/>
      <c r="U829" s="3"/>
      <c r="V829" s="3"/>
      <c r="W829" s="3"/>
      <c r="X829" s="3"/>
      <c r="Y829" s="3"/>
      <c r="Z829" s="3"/>
      <c r="AA829" s="3"/>
      <c r="AB829" s="3"/>
      <c r="AC829" s="3"/>
      <c r="AD829" s="3"/>
      <c r="AE829" s="3"/>
      <c r="AF829" s="3"/>
      <c r="AG829" s="3"/>
      <c r="AH829" s="3"/>
      <c r="AI829" s="3"/>
      <c r="AJ829" s="3"/>
    </row>
    <row r="830" ht="15.75" customHeight="1">
      <c r="C830" s="2"/>
      <c r="R830" s="3"/>
      <c r="S830" s="3"/>
      <c r="T830" s="3"/>
      <c r="U830" s="3"/>
      <c r="V830" s="3"/>
      <c r="W830" s="3"/>
      <c r="X830" s="3"/>
      <c r="Y830" s="3"/>
      <c r="Z830" s="3"/>
      <c r="AA830" s="3"/>
      <c r="AB830" s="3"/>
      <c r="AC830" s="3"/>
      <c r="AD830" s="3"/>
      <c r="AE830" s="3"/>
      <c r="AF830" s="3"/>
      <c r="AG830" s="3"/>
      <c r="AH830" s="3"/>
      <c r="AI830" s="3"/>
      <c r="AJ830" s="3"/>
    </row>
    <row r="831" ht="15.75" customHeight="1">
      <c r="C831" s="2"/>
      <c r="R831" s="3"/>
      <c r="S831" s="3"/>
      <c r="T831" s="3"/>
      <c r="U831" s="3"/>
      <c r="V831" s="3"/>
      <c r="W831" s="3"/>
      <c r="X831" s="3"/>
      <c r="Y831" s="3"/>
      <c r="Z831" s="3"/>
      <c r="AA831" s="3"/>
      <c r="AB831" s="3"/>
      <c r="AC831" s="3"/>
      <c r="AD831" s="3"/>
      <c r="AE831" s="3"/>
      <c r="AF831" s="3"/>
      <c r="AG831" s="3"/>
      <c r="AH831" s="3"/>
      <c r="AI831" s="3"/>
      <c r="AJ831" s="3"/>
    </row>
    <row r="832" ht="15.75" customHeight="1">
      <c r="C832" s="2"/>
      <c r="R832" s="3"/>
      <c r="S832" s="3"/>
      <c r="T832" s="3"/>
      <c r="U832" s="3"/>
      <c r="V832" s="3"/>
      <c r="W832" s="3"/>
      <c r="X832" s="3"/>
      <c r="Y832" s="3"/>
      <c r="Z832" s="3"/>
      <c r="AA832" s="3"/>
      <c r="AB832" s="3"/>
      <c r="AC832" s="3"/>
      <c r="AD832" s="3"/>
      <c r="AE832" s="3"/>
      <c r="AF832" s="3"/>
      <c r="AG832" s="3"/>
      <c r="AH832" s="3"/>
      <c r="AI832" s="3"/>
      <c r="AJ832" s="3"/>
    </row>
    <row r="833" ht="15.75" customHeight="1">
      <c r="C833" s="2"/>
      <c r="R833" s="3"/>
      <c r="S833" s="3"/>
      <c r="T833" s="3"/>
      <c r="U833" s="3"/>
      <c r="V833" s="3"/>
      <c r="W833" s="3"/>
      <c r="X833" s="3"/>
      <c r="Y833" s="3"/>
      <c r="Z833" s="3"/>
      <c r="AA833" s="3"/>
      <c r="AB833" s="3"/>
      <c r="AC833" s="3"/>
      <c r="AD833" s="3"/>
      <c r="AE833" s="3"/>
      <c r="AF833" s="3"/>
      <c r="AG833" s="3"/>
      <c r="AH833" s="3"/>
      <c r="AI833" s="3"/>
      <c r="AJ833" s="3"/>
    </row>
    <row r="834" ht="15.75" customHeight="1">
      <c r="C834" s="2"/>
      <c r="R834" s="3"/>
      <c r="S834" s="3"/>
      <c r="T834" s="3"/>
      <c r="U834" s="3"/>
      <c r="V834" s="3"/>
      <c r="W834" s="3"/>
      <c r="X834" s="3"/>
      <c r="Y834" s="3"/>
      <c r="Z834" s="3"/>
      <c r="AA834" s="3"/>
      <c r="AB834" s="3"/>
      <c r="AC834" s="3"/>
      <c r="AD834" s="3"/>
      <c r="AE834" s="3"/>
      <c r="AF834" s="3"/>
      <c r="AG834" s="3"/>
      <c r="AH834" s="3"/>
      <c r="AI834" s="3"/>
      <c r="AJ834" s="3"/>
    </row>
    <row r="835" ht="15.75" customHeight="1">
      <c r="C835" s="2"/>
      <c r="R835" s="3"/>
      <c r="S835" s="3"/>
      <c r="T835" s="3"/>
      <c r="U835" s="3"/>
      <c r="V835" s="3"/>
      <c r="W835" s="3"/>
      <c r="X835" s="3"/>
      <c r="Y835" s="3"/>
      <c r="Z835" s="3"/>
      <c r="AA835" s="3"/>
      <c r="AB835" s="3"/>
      <c r="AC835" s="3"/>
      <c r="AD835" s="3"/>
      <c r="AE835" s="3"/>
      <c r="AF835" s="3"/>
      <c r="AG835" s="3"/>
      <c r="AH835" s="3"/>
      <c r="AI835" s="3"/>
      <c r="AJ835" s="3"/>
    </row>
    <row r="836" ht="15.75" customHeight="1">
      <c r="C836" s="2"/>
      <c r="R836" s="3"/>
      <c r="S836" s="3"/>
      <c r="T836" s="3"/>
      <c r="U836" s="3"/>
      <c r="V836" s="3"/>
      <c r="W836" s="3"/>
      <c r="X836" s="3"/>
      <c r="Y836" s="3"/>
      <c r="Z836" s="3"/>
      <c r="AA836" s="3"/>
      <c r="AB836" s="3"/>
      <c r="AC836" s="3"/>
      <c r="AD836" s="3"/>
      <c r="AE836" s="3"/>
      <c r="AF836" s="3"/>
      <c r="AG836" s="3"/>
      <c r="AH836" s="3"/>
      <c r="AI836" s="3"/>
      <c r="AJ836" s="3"/>
    </row>
    <row r="837" ht="15.75" customHeight="1">
      <c r="C837" s="2"/>
      <c r="R837" s="3"/>
      <c r="S837" s="3"/>
      <c r="T837" s="3"/>
      <c r="U837" s="3"/>
      <c r="V837" s="3"/>
      <c r="W837" s="3"/>
      <c r="X837" s="3"/>
      <c r="Y837" s="3"/>
      <c r="Z837" s="3"/>
      <c r="AA837" s="3"/>
      <c r="AB837" s="3"/>
      <c r="AC837" s="3"/>
      <c r="AD837" s="3"/>
      <c r="AE837" s="3"/>
      <c r="AF837" s="3"/>
      <c r="AG837" s="3"/>
      <c r="AH837" s="3"/>
      <c r="AI837" s="3"/>
      <c r="AJ837" s="3"/>
    </row>
    <row r="838" ht="15.75" customHeight="1">
      <c r="C838" s="2"/>
      <c r="R838" s="3"/>
      <c r="S838" s="3"/>
      <c r="T838" s="3"/>
      <c r="U838" s="3"/>
      <c r="V838" s="3"/>
      <c r="W838" s="3"/>
      <c r="X838" s="3"/>
      <c r="Y838" s="3"/>
      <c r="Z838" s="3"/>
      <c r="AA838" s="3"/>
      <c r="AB838" s="3"/>
      <c r="AC838" s="3"/>
      <c r="AD838" s="3"/>
      <c r="AE838" s="3"/>
      <c r="AF838" s="3"/>
      <c r="AG838" s="3"/>
      <c r="AH838" s="3"/>
      <c r="AI838" s="3"/>
      <c r="AJ838" s="3"/>
    </row>
    <row r="839" ht="15.75" customHeight="1">
      <c r="C839" s="2"/>
      <c r="R839" s="3"/>
      <c r="S839" s="3"/>
      <c r="T839" s="3"/>
      <c r="U839" s="3"/>
      <c r="V839" s="3"/>
      <c r="W839" s="3"/>
      <c r="X839" s="3"/>
      <c r="Y839" s="3"/>
      <c r="Z839" s="3"/>
      <c r="AA839" s="3"/>
      <c r="AB839" s="3"/>
      <c r="AC839" s="3"/>
      <c r="AD839" s="3"/>
      <c r="AE839" s="3"/>
      <c r="AF839" s="3"/>
      <c r="AG839" s="3"/>
      <c r="AH839" s="3"/>
      <c r="AI839" s="3"/>
      <c r="AJ839" s="3"/>
    </row>
    <row r="840" ht="15.75" customHeight="1">
      <c r="C840" s="2"/>
      <c r="R840" s="3"/>
      <c r="S840" s="3"/>
      <c r="T840" s="3"/>
      <c r="U840" s="3"/>
      <c r="V840" s="3"/>
      <c r="W840" s="3"/>
      <c r="X840" s="3"/>
      <c r="Y840" s="3"/>
      <c r="Z840" s="3"/>
      <c r="AA840" s="3"/>
      <c r="AB840" s="3"/>
      <c r="AC840" s="3"/>
      <c r="AD840" s="3"/>
      <c r="AE840" s="3"/>
      <c r="AF840" s="3"/>
      <c r="AG840" s="3"/>
      <c r="AH840" s="3"/>
      <c r="AI840" s="3"/>
      <c r="AJ840" s="3"/>
    </row>
    <row r="841" ht="15.75" customHeight="1">
      <c r="C841" s="2"/>
      <c r="R841" s="3"/>
      <c r="S841" s="3"/>
      <c r="T841" s="3"/>
      <c r="U841" s="3"/>
      <c r="V841" s="3"/>
      <c r="W841" s="3"/>
      <c r="X841" s="3"/>
      <c r="Y841" s="3"/>
      <c r="Z841" s="3"/>
      <c r="AA841" s="3"/>
      <c r="AB841" s="3"/>
      <c r="AC841" s="3"/>
      <c r="AD841" s="3"/>
      <c r="AE841" s="3"/>
      <c r="AF841" s="3"/>
      <c r="AG841" s="3"/>
      <c r="AH841" s="3"/>
      <c r="AI841" s="3"/>
      <c r="AJ841" s="3"/>
    </row>
    <row r="842" ht="15.75" customHeight="1">
      <c r="C842" s="2"/>
      <c r="R842" s="3"/>
      <c r="S842" s="3"/>
      <c r="T842" s="3"/>
      <c r="U842" s="3"/>
      <c r="V842" s="3"/>
      <c r="W842" s="3"/>
      <c r="X842" s="3"/>
      <c r="Y842" s="3"/>
      <c r="Z842" s="3"/>
      <c r="AA842" s="3"/>
      <c r="AB842" s="3"/>
      <c r="AC842" s="3"/>
      <c r="AD842" s="3"/>
      <c r="AE842" s="3"/>
      <c r="AF842" s="3"/>
      <c r="AG842" s="3"/>
      <c r="AH842" s="3"/>
      <c r="AI842" s="3"/>
      <c r="AJ842" s="3"/>
    </row>
    <row r="843" ht="15.75" customHeight="1">
      <c r="C843" s="2"/>
      <c r="R843" s="3"/>
      <c r="S843" s="3"/>
      <c r="T843" s="3"/>
      <c r="U843" s="3"/>
      <c r="V843" s="3"/>
      <c r="W843" s="3"/>
      <c r="X843" s="3"/>
      <c r="Y843" s="3"/>
      <c r="Z843" s="3"/>
      <c r="AA843" s="3"/>
      <c r="AB843" s="3"/>
      <c r="AC843" s="3"/>
      <c r="AD843" s="3"/>
      <c r="AE843" s="3"/>
      <c r="AF843" s="3"/>
      <c r="AG843" s="3"/>
      <c r="AH843" s="3"/>
      <c r="AI843" s="3"/>
      <c r="AJ843" s="3"/>
    </row>
    <row r="844" ht="15.75" customHeight="1">
      <c r="C844" s="2"/>
      <c r="R844" s="3"/>
      <c r="S844" s="3"/>
      <c r="T844" s="3"/>
      <c r="U844" s="3"/>
      <c r="V844" s="3"/>
      <c r="W844" s="3"/>
      <c r="X844" s="3"/>
      <c r="Y844" s="3"/>
      <c r="Z844" s="3"/>
      <c r="AA844" s="3"/>
      <c r="AB844" s="3"/>
      <c r="AC844" s="3"/>
      <c r="AD844" s="3"/>
      <c r="AE844" s="3"/>
      <c r="AF844" s="3"/>
      <c r="AG844" s="3"/>
      <c r="AH844" s="3"/>
      <c r="AI844" s="3"/>
      <c r="AJ844" s="3"/>
    </row>
    <row r="845" ht="15.75" customHeight="1">
      <c r="C845" s="2"/>
      <c r="R845" s="3"/>
      <c r="S845" s="3"/>
      <c r="T845" s="3"/>
      <c r="U845" s="3"/>
      <c r="V845" s="3"/>
      <c r="W845" s="3"/>
      <c r="X845" s="3"/>
      <c r="Y845" s="3"/>
      <c r="Z845" s="3"/>
      <c r="AA845" s="3"/>
      <c r="AB845" s="3"/>
      <c r="AC845" s="3"/>
      <c r="AD845" s="3"/>
      <c r="AE845" s="3"/>
      <c r="AF845" s="3"/>
      <c r="AG845" s="3"/>
      <c r="AH845" s="3"/>
      <c r="AI845" s="3"/>
      <c r="AJ845" s="3"/>
    </row>
    <row r="846" ht="15.75" customHeight="1">
      <c r="C846" s="2"/>
      <c r="R846" s="3"/>
      <c r="S846" s="3"/>
      <c r="T846" s="3"/>
      <c r="U846" s="3"/>
      <c r="V846" s="3"/>
      <c r="W846" s="3"/>
      <c r="X846" s="3"/>
      <c r="Y846" s="3"/>
      <c r="Z846" s="3"/>
      <c r="AA846" s="3"/>
      <c r="AB846" s="3"/>
      <c r="AC846" s="3"/>
      <c r="AD846" s="3"/>
      <c r="AE846" s="3"/>
      <c r="AF846" s="3"/>
      <c r="AG846" s="3"/>
      <c r="AH846" s="3"/>
      <c r="AI846" s="3"/>
      <c r="AJ846" s="3"/>
    </row>
    <row r="847" ht="15.75" customHeight="1">
      <c r="C847" s="2"/>
      <c r="R847" s="3"/>
      <c r="S847" s="3"/>
      <c r="T847" s="3"/>
      <c r="U847" s="3"/>
      <c r="V847" s="3"/>
      <c r="W847" s="3"/>
      <c r="X847" s="3"/>
      <c r="Y847" s="3"/>
      <c r="Z847" s="3"/>
      <c r="AA847" s="3"/>
      <c r="AB847" s="3"/>
      <c r="AC847" s="3"/>
      <c r="AD847" s="3"/>
      <c r="AE847" s="3"/>
      <c r="AF847" s="3"/>
      <c r="AG847" s="3"/>
      <c r="AH847" s="3"/>
      <c r="AI847" s="3"/>
      <c r="AJ847" s="3"/>
    </row>
    <row r="848" ht="15.75" customHeight="1">
      <c r="C848" s="2"/>
      <c r="R848" s="3"/>
      <c r="S848" s="3"/>
      <c r="T848" s="3"/>
      <c r="U848" s="3"/>
      <c r="V848" s="3"/>
      <c r="W848" s="3"/>
      <c r="X848" s="3"/>
      <c r="Y848" s="3"/>
      <c r="Z848" s="3"/>
      <c r="AA848" s="3"/>
      <c r="AB848" s="3"/>
      <c r="AC848" s="3"/>
      <c r="AD848" s="3"/>
      <c r="AE848" s="3"/>
      <c r="AF848" s="3"/>
      <c r="AG848" s="3"/>
      <c r="AH848" s="3"/>
      <c r="AI848" s="3"/>
      <c r="AJ848" s="3"/>
    </row>
    <row r="849" ht="15.75" customHeight="1">
      <c r="C849" s="2"/>
      <c r="R849" s="3"/>
      <c r="S849" s="3"/>
      <c r="T849" s="3"/>
      <c r="U849" s="3"/>
      <c r="V849" s="3"/>
      <c r="W849" s="3"/>
      <c r="X849" s="3"/>
      <c r="Y849" s="3"/>
      <c r="Z849" s="3"/>
      <c r="AA849" s="3"/>
      <c r="AB849" s="3"/>
      <c r="AC849" s="3"/>
      <c r="AD849" s="3"/>
      <c r="AE849" s="3"/>
      <c r="AF849" s="3"/>
      <c r="AG849" s="3"/>
      <c r="AH849" s="3"/>
      <c r="AI849" s="3"/>
      <c r="AJ849" s="3"/>
    </row>
    <row r="850" ht="15.75" customHeight="1">
      <c r="C850" s="2"/>
      <c r="R850" s="3"/>
      <c r="S850" s="3"/>
      <c r="T850" s="3"/>
      <c r="U850" s="3"/>
      <c r="V850" s="3"/>
      <c r="W850" s="3"/>
      <c r="X850" s="3"/>
      <c r="Y850" s="3"/>
      <c r="Z850" s="3"/>
      <c r="AA850" s="3"/>
      <c r="AB850" s="3"/>
      <c r="AC850" s="3"/>
      <c r="AD850" s="3"/>
      <c r="AE850" s="3"/>
      <c r="AF850" s="3"/>
      <c r="AG850" s="3"/>
      <c r="AH850" s="3"/>
      <c r="AI850" s="3"/>
      <c r="AJ850" s="3"/>
    </row>
    <row r="851" ht="15.75" customHeight="1">
      <c r="C851" s="2"/>
      <c r="R851" s="3"/>
      <c r="S851" s="3"/>
      <c r="T851" s="3"/>
      <c r="U851" s="3"/>
      <c r="V851" s="3"/>
      <c r="W851" s="3"/>
      <c r="X851" s="3"/>
      <c r="Y851" s="3"/>
      <c r="Z851" s="3"/>
      <c r="AA851" s="3"/>
      <c r="AB851" s="3"/>
      <c r="AC851" s="3"/>
      <c r="AD851" s="3"/>
      <c r="AE851" s="3"/>
      <c r="AF851" s="3"/>
      <c r="AG851" s="3"/>
      <c r="AH851" s="3"/>
      <c r="AI851" s="3"/>
      <c r="AJ851" s="3"/>
    </row>
    <row r="852" ht="15.75" customHeight="1">
      <c r="C852" s="2"/>
      <c r="R852" s="3"/>
      <c r="S852" s="3"/>
      <c r="T852" s="3"/>
      <c r="U852" s="3"/>
      <c r="V852" s="3"/>
      <c r="W852" s="3"/>
      <c r="X852" s="3"/>
      <c r="Y852" s="3"/>
      <c r="Z852" s="3"/>
      <c r="AA852" s="3"/>
      <c r="AB852" s="3"/>
      <c r="AC852" s="3"/>
      <c r="AD852" s="3"/>
      <c r="AE852" s="3"/>
      <c r="AF852" s="3"/>
      <c r="AG852" s="3"/>
      <c r="AH852" s="3"/>
      <c r="AI852" s="3"/>
      <c r="AJ852" s="3"/>
    </row>
    <row r="853" ht="15.75" customHeight="1">
      <c r="C853" s="2"/>
      <c r="R853" s="3"/>
      <c r="S853" s="3"/>
      <c r="T853" s="3"/>
      <c r="U853" s="3"/>
      <c r="V853" s="3"/>
      <c r="W853" s="3"/>
      <c r="X853" s="3"/>
      <c r="Y853" s="3"/>
      <c r="Z853" s="3"/>
      <c r="AA853" s="3"/>
      <c r="AB853" s="3"/>
      <c r="AC853" s="3"/>
      <c r="AD853" s="3"/>
      <c r="AE853" s="3"/>
      <c r="AF853" s="3"/>
      <c r="AG853" s="3"/>
      <c r="AH853" s="3"/>
      <c r="AI853" s="3"/>
      <c r="AJ853" s="3"/>
    </row>
    <row r="854" ht="15.75" customHeight="1">
      <c r="C854" s="2"/>
      <c r="R854" s="3"/>
      <c r="S854" s="3"/>
      <c r="T854" s="3"/>
      <c r="U854" s="3"/>
      <c r="V854" s="3"/>
      <c r="W854" s="3"/>
      <c r="X854" s="3"/>
      <c r="Y854" s="3"/>
      <c r="Z854" s="3"/>
      <c r="AA854" s="3"/>
      <c r="AB854" s="3"/>
      <c r="AC854" s="3"/>
      <c r="AD854" s="3"/>
      <c r="AE854" s="3"/>
      <c r="AF854" s="3"/>
      <c r="AG854" s="3"/>
      <c r="AH854" s="3"/>
      <c r="AI854" s="3"/>
      <c r="AJ854" s="3"/>
    </row>
    <row r="855" ht="15.75" customHeight="1">
      <c r="C855" s="2"/>
      <c r="R855" s="3"/>
      <c r="S855" s="3"/>
      <c r="T855" s="3"/>
      <c r="U855" s="3"/>
      <c r="V855" s="3"/>
      <c r="W855" s="3"/>
      <c r="X855" s="3"/>
      <c r="Y855" s="3"/>
      <c r="Z855" s="3"/>
      <c r="AA855" s="3"/>
      <c r="AB855" s="3"/>
      <c r="AC855" s="3"/>
      <c r="AD855" s="3"/>
      <c r="AE855" s="3"/>
      <c r="AF855" s="3"/>
      <c r="AG855" s="3"/>
      <c r="AH855" s="3"/>
      <c r="AI855" s="3"/>
      <c r="AJ855" s="3"/>
    </row>
    <row r="856" ht="15.75" customHeight="1">
      <c r="C856" s="2"/>
      <c r="R856" s="3"/>
      <c r="S856" s="3"/>
      <c r="T856" s="3"/>
      <c r="U856" s="3"/>
      <c r="V856" s="3"/>
      <c r="W856" s="3"/>
      <c r="X856" s="3"/>
      <c r="Y856" s="3"/>
      <c r="Z856" s="3"/>
      <c r="AA856" s="3"/>
      <c r="AB856" s="3"/>
      <c r="AC856" s="3"/>
      <c r="AD856" s="3"/>
      <c r="AE856" s="3"/>
      <c r="AF856" s="3"/>
      <c r="AG856" s="3"/>
      <c r="AH856" s="3"/>
      <c r="AI856" s="3"/>
      <c r="AJ856" s="3"/>
    </row>
    <row r="857" ht="15.75" customHeight="1">
      <c r="C857" s="2"/>
      <c r="R857" s="3"/>
      <c r="S857" s="3"/>
      <c r="T857" s="3"/>
      <c r="U857" s="3"/>
      <c r="V857" s="3"/>
      <c r="W857" s="3"/>
      <c r="X857" s="3"/>
      <c r="Y857" s="3"/>
      <c r="Z857" s="3"/>
      <c r="AA857" s="3"/>
      <c r="AB857" s="3"/>
      <c r="AC857" s="3"/>
      <c r="AD857" s="3"/>
      <c r="AE857" s="3"/>
      <c r="AF857" s="3"/>
      <c r="AG857" s="3"/>
      <c r="AH857" s="3"/>
      <c r="AI857" s="3"/>
      <c r="AJ857" s="3"/>
    </row>
    <row r="858" ht="15.75" customHeight="1">
      <c r="C858" s="2"/>
      <c r="R858" s="3"/>
      <c r="S858" s="3"/>
      <c r="T858" s="3"/>
      <c r="U858" s="3"/>
      <c r="V858" s="3"/>
      <c r="W858" s="3"/>
      <c r="X858" s="3"/>
      <c r="Y858" s="3"/>
      <c r="Z858" s="3"/>
      <c r="AA858" s="3"/>
      <c r="AB858" s="3"/>
      <c r="AC858" s="3"/>
      <c r="AD858" s="3"/>
      <c r="AE858" s="3"/>
      <c r="AF858" s="3"/>
      <c r="AG858" s="3"/>
      <c r="AH858" s="3"/>
      <c r="AI858" s="3"/>
      <c r="AJ858" s="3"/>
    </row>
    <row r="859" ht="15.75" customHeight="1">
      <c r="C859" s="2"/>
      <c r="R859" s="3"/>
      <c r="S859" s="3"/>
      <c r="T859" s="3"/>
      <c r="U859" s="3"/>
      <c r="V859" s="3"/>
      <c r="W859" s="3"/>
      <c r="X859" s="3"/>
      <c r="Y859" s="3"/>
      <c r="Z859" s="3"/>
      <c r="AA859" s="3"/>
      <c r="AB859" s="3"/>
      <c r="AC859" s="3"/>
      <c r="AD859" s="3"/>
      <c r="AE859" s="3"/>
      <c r="AF859" s="3"/>
      <c r="AG859" s="3"/>
      <c r="AH859" s="3"/>
      <c r="AI859" s="3"/>
      <c r="AJ859" s="3"/>
    </row>
    <row r="860" ht="15.75" customHeight="1">
      <c r="C860" s="2"/>
      <c r="R860" s="3"/>
      <c r="S860" s="3"/>
      <c r="T860" s="3"/>
      <c r="U860" s="3"/>
      <c r="V860" s="3"/>
      <c r="W860" s="3"/>
      <c r="X860" s="3"/>
      <c r="Y860" s="3"/>
      <c r="Z860" s="3"/>
      <c r="AA860" s="3"/>
      <c r="AB860" s="3"/>
      <c r="AC860" s="3"/>
      <c r="AD860" s="3"/>
      <c r="AE860" s="3"/>
      <c r="AF860" s="3"/>
      <c r="AG860" s="3"/>
      <c r="AH860" s="3"/>
      <c r="AI860" s="3"/>
      <c r="AJ860" s="3"/>
    </row>
    <row r="861" ht="15.75" customHeight="1">
      <c r="C861" s="2"/>
      <c r="R861" s="3"/>
      <c r="S861" s="3"/>
      <c r="T861" s="3"/>
      <c r="U861" s="3"/>
      <c r="V861" s="3"/>
      <c r="W861" s="3"/>
      <c r="X861" s="3"/>
      <c r="Y861" s="3"/>
      <c r="Z861" s="3"/>
      <c r="AA861" s="3"/>
      <c r="AB861" s="3"/>
      <c r="AC861" s="3"/>
      <c r="AD861" s="3"/>
      <c r="AE861" s="3"/>
      <c r="AF861" s="3"/>
      <c r="AG861" s="3"/>
      <c r="AH861" s="3"/>
      <c r="AI861" s="3"/>
      <c r="AJ861" s="3"/>
    </row>
    <row r="862" ht="15.75" customHeight="1">
      <c r="C862" s="2"/>
      <c r="R862" s="3"/>
      <c r="S862" s="3"/>
      <c r="T862" s="3"/>
      <c r="U862" s="3"/>
      <c r="V862" s="3"/>
      <c r="W862" s="3"/>
      <c r="X862" s="3"/>
      <c r="Y862" s="3"/>
      <c r="Z862" s="3"/>
      <c r="AA862" s="3"/>
      <c r="AB862" s="3"/>
      <c r="AC862" s="3"/>
      <c r="AD862" s="3"/>
      <c r="AE862" s="3"/>
      <c r="AF862" s="3"/>
      <c r="AG862" s="3"/>
      <c r="AH862" s="3"/>
      <c r="AI862" s="3"/>
      <c r="AJ862" s="3"/>
    </row>
    <row r="863" ht="15.75" customHeight="1">
      <c r="C863" s="2"/>
      <c r="R863" s="3"/>
      <c r="S863" s="3"/>
      <c r="T863" s="3"/>
      <c r="U863" s="3"/>
      <c r="V863" s="3"/>
      <c r="W863" s="3"/>
      <c r="X863" s="3"/>
      <c r="Y863" s="3"/>
      <c r="Z863" s="3"/>
      <c r="AA863" s="3"/>
      <c r="AB863" s="3"/>
      <c r="AC863" s="3"/>
      <c r="AD863" s="3"/>
      <c r="AE863" s="3"/>
      <c r="AF863" s="3"/>
      <c r="AG863" s="3"/>
      <c r="AH863" s="3"/>
      <c r="AI863" s="3"/>
      <c r="AJ863" s="3"/>
    </row>
    <row r="864" ht="15.75" customHeight="1">
      <c r="C864" s="2"/>
      <c r="R864" s="3"/>
      <c r="S864" s="3"/>
      <c r="T864" s="3"/>
      <c r="U864" s="3"/>
      <c r="V864" s="3"/>
      <c r="W864" s="3"/>
      <c r="X864" s="3"/>
      <c r="Y864" s="3"/>
      <c r="Z864" s="3"/>
      <c r="AA864" s="3"/>
      <c r="AB864" s="3"/>
      <c r="AC864" s="3"/>
      <c r="AD864" s="3"/>
      <c r="AE864" s="3"/>
      <c r="AF864" s="3"/>
      <c r="AG864" s="3"/>
      <c r="AH864" s="3"/>
      <c r="AI864" s="3"/>
      <c r="AJ864" s="3"/>
    </row>
    <row r="865" ht="15.75" customHeight="1">
      <c r="C865" s="2"/>
      <c r="R865" s="3"/>
      <c r="S865" s="3"/>
      <c r="T865" s="3"/>
      <c r="U865" s="3"/>
      <c r="V865" s="3"/>
      <c r="W865" s="3"/>
      <c r="X865" s="3"/>
      <c r="Y865" s="3"/>
      <c r="Z865" s="3"/>
      <c r="AA865" s="3"/>
      <c r="AB865" s="3"/>
      <c r="AC865" s="3"/>
      <c r="AD865" s="3"/>
      <c r="AE865" s="3"/>
      <c r="AF865" s="3"/>
      <c r="AG865" s="3"/>
      <c r="AH865" s="3"/>
      <c r="AI865" s="3"/>
      <c r="AJ865" s="3"/>
    </row>
    <row r="866" ht="15.75" customHeight="1">
      <c r="C866" s="2"/>
      <c r="R866" s="3"/>
      <c r="S866" s="3"/>
      <c r="T866" s="3"/>
      <c r="U866" s="3"/>
      <c r="V866" s="3"/>
      <c r="W866" s="3"/>
      <c r="X866" s="3"/>
      <c r="Y866" s="3"/>
      <c r="Z866" s="3"/>
      <c r="AA866" s="3"/>
      <c r="AB866" s="3"/>
      <c r="AC866" s="3"/>
      <c r="AD866" s="3"/>
      <c r="AE866" s="3"/>
      <c r="AF866" s="3"/>
      <c r="AG866" s="3"/>
      <c r="AH866" s="3"/>
      <c r="AI866" s="3"/>
      <c r="AJ866" s="3"/>
    </row>
    <row r="867" ht="15.75" customHeight="1">
      <c r="C867" s="2"/>
      <c r="R867" s="3"/>
      <c r="S867" s="3"/>
      <c r="T867" s="3"/>
      <c r="U867" s="3"/>
      <c r="V867" s="3"/>
      <c r="W867" s="3"/>
      <c r="X867" s="3"/>
      <c r="Y867" s="3"/>
      <c r="Z867" s="3"/>
      <c r="AA867" s="3"/>
      <c r="AB867" s="3"/>
      <c r="AC867" s="3"/>
      <c r="AD867" s="3"/>
      <c r="AE867" s="3"/>
      <c r="AF867" s="3"/>
      <c r="AG867" s="3"/>
      <c r="AH867" s="3"/>
      <c r="AI867" s="3"/>
      <c r="AJ867" s="3"/>
    </row>
    <row r="868" ht="15.75" customHeight="1">
      <c r="C868" s="2"/>
      <c r="R868" s="3"/>
      <c r="S868" s="3"/>
      <c r="T868" s="3"/>
      <c r="U868" s="3"/>
      <c r="V868" s="3"/>
      <c r="W868" s="3"/>
      <c r="X868" s="3"/>
      <c r="Y868" s="3"/>
      <c r="Z868" s="3"/>
      <c r="AA868" s="3"/>
      <c r="AB868" s="3"/>
      <c r="AC868" s="3"/>
      <c r="AD868" s="3"/>
      <c r="AE868" s="3"/>
      <c r="AF868" s="3"/>
      <c r="AG868" s="3"/>
      <c r="AH868" s="3"/>
      <c r="AI868" s="3"/>
      <c r="AJ868" s="3"/>
    </row>
    <row r="869" ht="15.75" customHeight="1">
      <c r="C869" s="2"/>
      <c r="R869" s="3"/>
      <c r="S869" s="3"/>
      <c r="T869" s="3"/>
      <c r="U869" s="3"/>
      <c r="V869" s="3"/>
      <c r="W869" s="3"/>
      <c r="X869" s="3"/>
      <c r="Y869" s="3"/>
      <c r="Z869" s="3"/>
      <c r="AA869" s="3"/>
      <c r="AB869" s="3"/>
      <c r="AC869" s="3"/>
      <c r="AD869" s="3"/>
      <c r="AE869" s="3"/>
      <c r="AF869" s="3"/>
      <c r="AG869" s="3"/>
      <c r="AH869" s="3"/>
      <c r="AI869" s="3"/>
      <c r="AJ869" s="3"/>
    </row>
    <row r="870" ht="15.75" customHeight="1">
      <c r="C870" s="2"/>
      <c r="R870" s="3"/>
      <c r="S870" s="3"/>
      <c r="T870" s="3"/>
      <c r="U870" s="3"/>
      <c r="V870" s="3"/>
      <c r="W870" s="3"/>
      <c r="X870" s="3"/>
      <c r="Y870" s="3"/>
      <c r="Z870" s="3"/>
      <c r="AA870" s="3"/>
      <c r="AB870" s="3"/>
      <c r="AC870" s="3"/>
      <c r="AD870" s="3"/>
      <c r="AE870" s="3"/>
      <c r="AF870" s="3"/>
      <c r="AG870" s="3"/>
      <c r="AH870" s="3"/>
      <c r="AI870" s="3"/>
      <c r="AJ870" s="3"/>
    </row>
    <row r="871" ht="15.75" customHeight="1">
      <c r="C871" s="2"/>
      <c r="R871" s="3"/>
      <c r="S871" s="3"/>
      <c r="T871" s="3"/>
      <c r="U871" s="3"/>
      <c r="V871" s="3"/>
      <c r="W871" s="3"/>
      <c r="X871" s="3"/>
      <c r="Y871" s="3"/>
      <c r="Z871" s="3"/>
      <c r="AA871" s="3"/>
      <c r="AB871" s="3"/>
      <c r="AC871" s="3"/>
      <c r="AD871" s="3"/>
      <c r="AE871" s="3"/>
      <c r="AF871" s="3"/>
      <c r="AG871" s="3"/>
      <c r="AH871" s="3"/>
      <c r="AI871" s="3"/>
      <c r="AJ871" s="3"/>
    </row>
    <row r="872" ht="15.75" customHeight="1">
      <c r="C872" s="2"/>
      <c r="R872" s="3"/>
      <c r="S872" s="3"/>
      <c r="T872" s="3"/>
      <c r="U872" s="3"/>
      <c r="V872" s="3"/>
      <c r="W872" s="3"/>
      <c r="X872" s="3"/>
      <c r="Y872" s="3"/>
      <c r="Z872" s="3"/>
      <c r="AA872" s="3"/>
      <c r="AB872" s="3"/>
      <c r="AC872" s="3"/>
      <c r="AD872" s="3"/>
      <c r="AE872" s="3"/>
      <c r="AF872" s="3"/>
      <c r="AG872" s="3"/>
      <c r="AH872" s="3"/>
      <c r="AI872" s="3"/>
      <c r="AJ872" s="3"/>
    </row>
    <row r="873" ht="15.75" customHeight="1">
      <c r="C873" s="2"/>
      <c r="R873" s="3"/>
      <c r="S873" s="3"/>
      <c r="T873" s="3"/>
      <c r="U873" s="3"/>
      <c r="V873" s="3"/>
      <c r="W873" s="3"/>
      <c r="X873" s="3"/>
      <c r="Y873" s="3"/>
      <c r="Z873" s="3"/>
      <c r="AA873" s="3"/>
      <c r="AB873" s="3"/>
      <c r="AC873" s="3"/>
      <c r="AD873" s="3"/>
      <c r="AE873" s="3"/>
      <c r="AF873" s="3"/>
      <c r="AG873" s="3"/>
      <c r="AH873" s="3"/>
      <c r="AI873" s="3"/>
      <c r="AJ873" s="3"/>
    </row>
    <row r="874" ht="15.75" customHeight="1">
      <c r="C874" s="2"/>
      <c r="R874" s="3"/>
      <c r="S874" s="3"/>
      <c r="T874" s="3"/>
      <c r="U874" s="3"/>
      <c r="V874" s="3"/>
      <c r="W874" s="3"/>
      <c r="X874" s="3"/>
      <c r="Y874" s="3"/>
      <c r="Z874" s="3"/>
      <c r="AA874" s="3"/>
      <c r="AB874" s="3"/>
      <c r="AC874" s="3"/>
      <c r="AD874" s="3"/>
      <c r="AE874" s="3"/>
      <c r="AF874" s="3"/>
      <c r="AG874" s="3"/>
      <c r="AH874" s="3"/>
      <c r="AI874" s="3"/>
      <c r="AJ874" s="3"/>
    </row>
    <row r="875" ht="15.75" customHeight="1">
      <c r="C875" s="2"/>
      <c r="R875" s="3"/>
      <c r="S875" s="3"/>
      <c r="T875" s="3"/>
      <c r="U875" s="3"/>
      <c r="V875" s="3"/>
      <c r="W875" s="3"/>
      <c r="X875" s="3"/>
      <c r="Y875" s="3"/>
      <c r="Z875" s="3"/>
      <c r="AA875" s="3"/>
      <c r="AB875" s="3"/>
      <c r="AC875" s="3"/>
      <c r="AD875" s="3"/>
      <c r="AE875" s="3"/>
      <c r="AF875" s="3"/>
      <c r="AG875" s="3"/>
      <c r="AH875" s="3"/>
      <c r="AI875" s="3"/>
      <c r="AJ875" s="3"/>
    </row>
    <row r="876" ht="15.75" customHeight="1">
      <c r="C876" s="2"/>
      <c r="R876" s="3"/>
      <c r="S876" s="3"/>
      <c r="T876" s="3"/>
      <c r="U876" s="3"/>
      <c r="V876" s="3"/>
      <c r="W876" s="3"/>
      <c r="X876" s="3"/>
      <c r="Y876" s="3"/>
      <c r="Z876" s="3"/>
      <c r="AA876" s="3"/>
      <c r="AB876" s="3"/>
      <c r="AC876" s="3"/>
      <c r="AD876" s="3"/>
      <c r="AE876" s="3"/>
      <c r="AF876" s="3"/>
      <c r="AG876" s="3"/>
      <c r="AH876" s="3"/>
      <c r="AI876" s="3"/>
      <c r="AJ876" s="3"/>
    </row>
    <row r="877" ht="15.75" customHeight="1">
      <c r="C877" s="2"/>
      <c r="R877" s="3"/>
      <c r="S877" s="3"/>
      <c r="T877" s="3"/>
      <c r="U877" s="3"/>
      <c r="V877" s="3"/>
      <c r="W877" s="3"/>
      <c r="X877" s="3"/>
      <c r="Y877" s="3"/>
      <c r="Z877" s="3"/>
      <c r="AA877" s="3"/>
      <c r="AB877" s="3"/>
      <c r="AC877" s="3"/>
      <c r="AD877" s="3"/>
      <c r="AE877" s="3"/>
      <c r="AF877" s="3"/>
      <c r="AG877" s="3"/>
      <c r="AH877" s="3"/>
      <c r="AI877" s="3"/>
      <c r="AJ877" s="3"/>
    </row>
    <row r="878" ht="15.75" customHeight="1">
      <c r="C878" s="2"/>
      <c r="R878" s="3"/>
      <c r="S878" s="3"/>
      <c r="T878" s="3"/>
      <c r="U878" s="3"/>
      <c r="V878" s="3"/>
      <c r="W878" s="3"/>
      <c r="X878" s="3"/>
      <c r="Y878" s="3"/>
      <c r="Z878" s="3"/>
      <c r="AA878" s="3"/>
      <c r="AB878" s="3"/>
      <c r="AC878" s="3"/>
      <c r="AD878" s="3"/>
      <c r="AE878" s="3"/>
      <c r="AF878" s="3"/>
      <c r="AG878" s="3"/>
      <c r="AH878" s="3"/>
      <c r="AI878" s="3"/>
      <c r="AJ878" s="3"/>
    </row>
    <row r="879" ht="15.75" customHeight="1">
      <c r="C879" s="2"/>
      <c r="R879" s="3"/>
      <c r="S879" s="3"/>
      <c r="T879" s="3"/>
      <c r="U879" s="3"/>
      <c r="V879" s="3"/>
      <c r="W879" s="3"/>
      <c r="X879" s="3"/>
      <c r="Y879" s="3"/>
      <c r="Z879" s="3"/>
      <c r="AA879" s="3"/>
      <c r="AB879" s="3"/>
      <c r="AC879" s="3"/>
      <c r="AD879" s="3"/>
      <c r="AE879" s="3"/>
      <c r="AF879" s="3"/>
      <c r="AG879" s="3"/>
      <c r="AH879" s="3"/>
      <c r="AI879" s="3"/>
      <c r="AJ879" s="3"/>
    </row>
    <row r="880" ht="15.75" customHeight="1">
      <c r="C880" s="2"/>
      <c r="R880" s="3"/>
      <c r="S880" s="3"/>
      <c r="T880" s="3"/>
      <c r="U880" s="3"/>
      <c r="V880" s="3"/>
      <c r="W880" s="3"/>
      <c r="X880" s="3"/>
      <c r="Y880" s="3"/>
      <c r="Z880" s="3"/>
      <c r="AA880" s="3"/>
      <c r="AB880" s="3"/>
      <c r="AC880" s="3"/>
      <c r="AD880" s="3"/>
      <c r="AE880" s="3"/>
      <c r="AF880" s="3"/>
      <c r="AG880" s="3"/>
      <c r="AH880" s="3"/>
      <c r="AI880" s="3"/>
      <c r="AJ880" s="3"/>
    </row>
    <row r="881" ht="15.75" customHeight="1">
      <c r="C881" s="2"/>
      <c r="R881" s="3"/>
      <c r="S881" s="3"/>
      <c r="T881" s="3"/>
      <c r="U881" s="3"/>
      <c r="V881" s="3"/>
      <c r="W881" s="3"/>
      <c r="X881" s="3"/>
      <c r="Y881" s="3"/>
      <c r="Z881" s="3"/>
      <c r="AA881" s="3"/>
      <c r="AB881" s="3"/>
      <c r="AC881" s="3"/>
      <c r="AD881" s="3"/>
      <c r="AE881" s="3"/>
      <c r="AF881" s="3"/>
      <c r="AG881" s="3"/>
      <c r="AH881" s="3"/>
      <c r="AI881" s="3"/>
      <c r="AJ881" s="3"/>
    </row>
    <row r="882" ht="15.75" customHeight="1">
      <c r="C882" s="2"/>
      <c r="R882" s="3"/>
      <c r="S882" s="3"/>
      <c r="T882" s="3"/>
      <c r="U882" s="3"/>
      <c r="V882" s="3"/>
      <c r="W882" s="3"/>
      <c r="X882" s="3"/>
      <c r="Y882" s="3"/>
      <c r="Z882" s="3"/>
      <c r="AA882" s="3"/>
      <c r="AB882" s="3"/>
      <c r="AC882" s="3"/>
      <c r="AD882" s="3"/>
      <c r="AE882" s="3"/>
      <c r="AF882" s="3"/>
      <c r="AG882" s="3"/>
      <c r="AH882" s="3"/>
      <c r="AI882" s="3"/>
      <c r="AJ882" s="3"/>
    </row>
    <row r="883" ht="15.75" customHeight="1">
      <c r="C883" s="2"/>
      <c r="R883" s="3"/>
      <c r="S883" s="3"/>
      <c r="T883" s="3"/>
      <c r="U883" s="3"/>
      <c r="V883" s="3"/>
      <c r="W883" s="3"/>
      <c r="X883" s="3"/>
      <c r="Y883" s="3"/>
      <c r="Z883" s="3"/>
      <c r="AA883" s="3"/>
      <c r="AB883" s="3"/>
      <c r="AC883" s="3"/>
      <c r="AD883" s="3"/>
      <c r="AE883" s="3"/>
      <c r="AF883" s="3"/>
      <c r="AG883" s="3"/>
      <c r="AH883" s="3"/>
      <c r="AI883" s="3"/>
      <c r="AJ883" s="3"/>
    </row>
    <row r="884" ht="15.75" customHeight="1">
      <c r="C884" s="2"/>
      <c r="R884" s="3"/>
      <c r="S884" s="3"/>
      <c r="T884" s="3"/>
      <c r="U884" s="3"/>
      <c r="V884" s="3"/>
      <c r="W884" s="3"/>
      <c r="X884" s="3"/>
      <c r="Y884" s="3"/>
      <c r="Z884" s="3"/>
      <c r="AA884" s="3"/>
      <c r="AB884" s="3"/>
      <c r="AC884" s="3"/>
      <c r="AD884" s="3"/>
      <c r="AE884" s="3"/>
      <c r="AF884" s="3"/>
      <c r="AG884" s="3"/>
      <c r="AH884" s="3"/>
      <c r="AI884" s="3"/>
      <c r="AJ884" s="3"/>
    </row>
    <row r="885" ht="15.75" customHeight="1">
      <c r="C885" s="2"/>
      <c r="R885" s="3"/>
      <c r="S885" s="3"/>
      <c r="T885" s="3"/>
      <c r="U885" s="3"/>
      <c r="V885" s="3"/>
      <c r="W885" s="3"/>
      <c r="X885" s="3"/>
      <c r="Y885" s="3"/>
      <c r="Z885" s="3"/>
      <c r="AA885" s="3"/>
      <c r="AB885" s="3"/>
      <c r="AC885" s="3"/>
      <c r="AD885" s="3"/>
      <c r="AE885" s="3"/>
      <c r="AF885" s="3"/>
      <c r="AG885" s="3"/>
      <c r="AH885" s="3"/>
      <c r="AI885" s="3"/>
      <c r="AJ885" s="3"/>
    </row>
    <row r="886" ht="15.75" customHeight="1">
      <c r="C886" s="2"/>
      <c r="R886" s="3"/>
      <c r="S886" s="3"/>
      <c r="T886" s="3"/>
      <c r="U886" s="3"/>
      <c r="V886" s="3"/>
      <c r="W886" s="3"/>
      <c r="X886" s="3"/>
      <c r="Y886" s="3"/>
      <c r="Z886" s="3"/>
      <c r="AA886" s="3"/>
      <c r="AB886" s="3"/>
      <c r="AC886" s="3"/>
      <c r="AD886" s="3"/>
      <c r="AE886" s="3"/>
      <c r="AF886" s="3"/>
      <c r="AG886" s="3"/>
      <c r="AH886" s="3"/>
      <c r="AI886" s="3"/>
      <c r="AJ886" s="3"/>
    </row>
    <row r="887" ht="15.75" customHeight="1">
      <c r="C887" s="2"/>
      <c r="R887" s="3"/>
      <c r="S887" s="3"/>
      <c r="T887" s="3"/>
      <c r="U887" s="3"/>
      <c r="V887" s="3"/>
      <c r="W887" s="3"/>
      <c r="X887" s="3"/>
      <c r="Y887" s="3"/>
      <c r="Z887" s="3"/>
      <c r="AA887" s="3"/>
      <c r="AB887" s="3"/>
      <c r="AC887" s="3"/>
      <c r="AD887" s="3"/>
      <c r="AE887" s="3"/>
      <c r="AF887" s="3"/>
      <c r="AG887" s="3"/>
      <c r="AH887" s="3"/>
      <c r="AI887" s="3"/>
      <c r="AJ887" s="3"/>
    </row>
    <row r="888" ht="15.75" customHeight="1">
      <c r="C888" s="2"/>
      <c r="R888" s="3"/>
      <c r="S888" s="3"/>
      <c r="T888" s="3"/>
      <c r="U888" s="3"/>
      <c r="V888" s="3"/>
      <c r="W888" s="3"/>
      <c r="X888" s="3"/>
      <c r="Y888" s="3"/>
      <c r="Z888" s="3"/>
      <c r="AA888" s="3"/>
      <c r="AB888" s="3"/>
      <c r="AC888" s="3"/>
      <c r="AD888" s="3"/>
      <c r="AE888" s="3"/>
      <c r="AF888" s="3"/>
      <c r="AG888" s="3"/>
      <c r="AH888" s="3"/>
      <c r="AI888" s="3"/>
      <c r="AJ888" s="3"/>
    </row>
    <row r="889" ht="15.75" customHeight="1">
      <c r="C889" s="2"/>
      <c r="R889" s="3"/>
      <c r="S889" s="3"/>
      <c r="T889" s="3"/>
      <c r="U889" s="3"/>
      <c r="V889" s="3"/>
      <c r="W889" s="3"/>
      <c r="X889" s="3"/>
      <c r="Y889" s="3"/>
      <c r="Z889" s="3"/>
      <c r="AA889" s="3"/>
      <c r="AB889" s="3"/>
      <c r="AC889" s="3"/>
      <c r="AD889" s="3"/>
      <c r="AE889" s="3"/>
      <c r="AF889" s="3"/>
      <c r="AG889" s="3"/>
      <c r="AH889" s="3"/>
      <c r="AI889" s="3"/>
      <c r="AJ889" s="3"/>
    </row>
    <row r="890" ht="15.75" customHeight="1">
      <c r="C890" s="2"/>
      <c r="R890" s="3"/>
      <c r="S890" s="3"/>
      <c r="T890" s="3"/>
      <c r="U890" s="3"/>
      <c r="V890" s="3"/>
      <c r="W890" s="3"/>
      <c r="X890" s="3"/>
      <c r="Y890" s="3"/>
      <c r="Z890" s="3"/>
      <c r="AA890" s="3"/>
      <c r="AB890" s="3"/>
      <c r="AC890" s="3"/>
      <c r="AD890" s="3"/>
      <c r="AE890" s="3"/>
      <c r="AF890" s="3"/>
      <c r="AG890" s="3"/>
      <c r="AH890" s="3"/>
      <c r="AI890" s="3"/>
      <c r="AJ890" s="3"/>
    </row>
    <row r="891" ht="15.75" customHeight="1">
      <c r="C891" s="2"/>
      <c r="R891" s="3"/>
      <c r="S891" s="3"/>
      <c r="T891" s="3"/>
      <c r="U891" s="3"/>
      <c r="V891" s="3"/>
      <c r="W891" s="3"/>
      <c r="X891" s="3"/>
      <c r="Y891" s="3"/>
      <c r="Z891" s="3"/>
      <c r="AA891" s="3"/>
      <c r="AB891" s="3"/>
      <c r="AC891" s="3"/>
      <c r="AD891" s="3"/>
      <c r="AE891" s="3"/>
      <c r="AF891" s="3"/>
      <c r="AG891" s="3"/>
      <c r="AH891" s="3"/>
      <c r="AI891" s="3"/>
      <c r="AJ891" s="3"/>
    </row>
    <row r="892" ht="15.75" customHeight="1">
      <c r="C892" s="2"/>
      <c r="R892" s="3"/>
      <c r="S892" s="3"/>
      <c r="T892" s="3"/>
      <c r="U892" s="3"/>
      <c r="V892" s="3"/>
      <c r="W892" s="3"/>
      <c r="X892" s="3"/>
      <c r="Y892" s="3"/>
      <c r="Z892" s="3"/>
      <c r="AA892" s="3"/>
      <c r="AB892" s="3"/>
      <c r="AC892" s="3"/>
      <c r="AD892" s="3"/>
      <c r="AE892" s="3"/>
      <c r="AF892" s="3"/>
      <c r="AG892" s="3"/>
      <c r="AH892" s="3"/>
      <c r="AI892" s="3"/>
      <c r="AJ892" s="3"/>
    </row>
    <row r="893" ht="15.75" customHeight="1">
      <c r="C893" s="2"/>
      <c r="R893" s="3"/>
      <c r="S893" s="3"/>
      <c r="T893" s="3"/>
      <c r="U893" s="3"/>
      <c r="V893" s="3"/>
      <c r="W893" s="3"/>
      <c r="X893" s="3"/>
      <c r="Y893" s="3"/>
      <c r="Z893" s="3"/>
      <c r="AA893" s="3"/>
      <c r="AB893" s="3"/>
      <c r="AC893" s="3"/>
      <c r="AD893" s="3"/>
      <c r="AE893" s="3"/>
      <c r="AF893" s="3"/>
      <c r="AG893" s="3"/>
      <c r="AH893" s="3"/>
      <c r="AI893" s="3"/>
      <c r="AJ893" s="3"/>
    </row>
    <row r="894" ht="15.75" customHeight="1">
      <c r="C894" s="2"/>
      <c r="R894" s="3"/>
      <c r="S894" s="3"/>
      <c r="T894" s="3"/>
      <c r="U894" s="3"/>
      <c r="V894" s="3"/>
      <c r="W894" s="3"/>
      <c r="X894" s="3"/>
      <c r="Y894" s="3"/>
      <c r="Z894" s="3"/>
      <c r="AA894" s="3"/>
      <c r="AB894" s="3"/>
      <c r="AC894" s="3"/>
      <c r="AD894" s="3"/>
      <c r="AE894" s="3"/>
      <c r="AF894" s="3"/>
      <c r="AG894" s="3"/>
      <c r="AH894" s="3"/>
      <c r="AI894" s="3"/>
      <c r="AJ894" s="3"/>
    </row>
    <row r="895" ht="15.75" customHeight="1">
      <c r="C895" s="2"/>
      <c r="R895" s="3"/>
      <c r="S895" s="3"/>
      <c r="T895" s="3"/>
      <c r="U895" s="3"/>
      <c r="V895" s="3"/>
      <c r="W895" s="3"/>
      <c r="X895" s="3"/>
      <c r="Y895" s="3"/>
      <c r="Z895" s="3"/>
      <c r="AA895" s="3"/>
      <c r="AB895" s="3"/>
      <c r="AC895" s="3"/>
      <c r="AD895" s="3"/>
      <c r="AE895" s="3"/>
      <c r="AF895" s="3"/>
      <c r="AG895" s="3"/>
      <c r="AH895" s="3"/>
      <c r="AI895" s="3"/>
      <c r="AJ895" s="3"/>
    </row>
    <row r="896" ht="15.75" customHeight="1">
      <c r="C896" s="2"/>
      <c r="R896" s="3"/>
      <c r="S896" s="3"/>
      <c r="T896" s="3"/>
      <c r="U896" s="3"/>
      <c r="V896" s="3"/>
      <c r="W896" s="3"/>
      <c r="X896" s="3"/>
      <c r="Y896" s="3"/>
      <c r="Z896" s="3"/>
      <c r="AA896" s="3"/>
      <c r="AB896" s="3"/>
      <c r="AC896" s="3"/>
      <c r="AD896" s="3"/>
      <c r="AE896" s="3"/>
      <c r="AF896" s="3"/>
      <c r="AG896" s="3"/>
      <c r="AH896" s="3"/>
      <c r="AI896" s="3"/>
      <c r="AJ896" s="3"/>
    </row>
    <row r="897" ht="15.75" customHeight="1">
      <c r="C897" s="2"/>
      <c r="R897" s="3"/>
      <c r="S897" s="3"/>
      <c r="T897" s="3"/>
      <c r="U897" s="3"/>
      <c r="V897" s="3"/>
      <c r="W897" s="3"/>
      <c r="X897" s="3"/>
      <c r="Y897" s="3"/>
      <c r="Z897" s="3"/>
      <c r="AA897" s="3"/>
      <c r="AB897" s="3"/>
      <c r="AC897" s="3"/>
      <c r="AD897" s="3"/>
      <c r="AE897" s="3"/>
      <c r="AF897" s="3"/>
      <c r="AG897" s="3"/>
      <c r="AH897" s="3"/>
      <c r="AI897" s="3"/>
      <c r="AJ897" s="3"/>
    </row>
    <row r="898" ht="15.75" customHeight="1">
      <c r="C898" s="2"/>
      <c r="R898" s="3"/>
      <c r="S898" s="3"/>
      <c r="T898" s="3"/>
      <c r="U898" s="3"/>
      <c r="V898" s="3"/>
      <c r="W898" s="3"/>
      <c r="X898" s="3"/>
      <c r="Y898" s="3"/>
      <c r="Z898" s="3"/>
      <c r="AA898" s="3"/>
      <c r="AB898" s="3"/>
      <c r="AC898" s="3"/>
      <c r="AD898" s="3"/>
      <c r="AE898" s="3"/>
      <c r="AF898" s="3"/>
      <c r="AG898" s="3"/>
      <c r="AH898" s="3"/>
      <c r="AI898" s="3"/>
      <c r="AJ898" s="3"/>
    </row>
    <row r="899" ht="15.75" customHeight="1">
      <c r="C899" s="2"/>
      <c r="R899" s="3"/>
      <c r="S899" s="3"/>
      <c r="T899" s="3"/>
      <c r="U899" s="3"/>
      <c r="V899" s="3"/>
      <c r="W899" s="3"/>
      <c r="X899" s="3"/>
      <c r="Y899" s="3"/>
      <c r="Z899" s="3"/>
      <c r="AA899" s="3"/>
      <c r="AB899" s="3"/>
      <c r="AC899" s="3"/>
      <c r="AD899" s="3"/>
      <c r="AE899" s="3"/>
      <c r="AF899" s="3"/>
      <c r="AG899" s="3"/>
      <c r="AH899" s="3"/>
      <c r="AI899" s="3"/>
      <c r="AJ899" s="3"/>
    </row>
    <row r="900" ht="15.75" customHeight="1">
      <c r="C900" s="2"/>
      <c r="R900" s="3"/>
      <c r="S900" s="3"/>
      <c r="T900" s="3"/>
      <c r="U900" s="3"/>
      <c r="V900" s="3"/>
      <c r="W900" s="3"/>
      <c r="X900" s="3"/>
      <c r="Y900" s="3"/>
      <c r="Z900" s="3"/>
      <c r="AA900" s="3"/>
      <c r="AB900" s="3"/>
      <c r="AC900" s="3"/>
      <c r="AD900" s="3"/>
      <c r="AE900" s="3"/>
      <c r="AF900" s="3"/>
      <c r="AG900" s="3"/>
      <c r="AH900" s="3"/>
      <c r="AI900" s="3"/>
      <c r="AJ900" s="3"/>
    </row>
    <row r="901" ht="15.75" customHeight="1">
      <c r="C901" s="2"/>
      <c r="R901" s="3"/>
      <c r="S901" s="3"/>
      <c r="T901" s="3"/>
      <c r="U901" s="3"/>
      <c r="V901" s="3"/>
      <c r="W901" s="3"/>
      <c r="X901" s="3"/>
      <c r="Y901" s="3"/>
      <c r="Z901" s="3"/>
      <c r="AA901" s="3"/>
      <c r="AB901" s="3"/>
      <c r="AC901" s="3"/>
      <c r="AD901" s="3"/>
      <c r="AE901" s="3"/>
      <c r="AF901" s="3"/>
      <c r="AG901" s="3"/>
      <c r="AH901" s="3"/>
      <c r="AI901" s="3"/>
      <c r="AJ901" s="3"/>
    </row>
    <row r="902" ht="15.75" customHeight="1">
      <c r="C902" s="2"/>
      <c r="R902" s="3"/>
      <c r="S902" s="3"/>
      <c r="T902" s="3"/>
      <c r="U902" s="3"/>
      <c r="V902" s="3"/>
      <c r="W902" s="3"/>
      <c r="X902" s="3"/>
      <c r="Y902" s="3"/>
      <c r="Z902" s="3"/>
      <c r="AA902" s="3"/>
      <c r="AB902" s="3"/>
      <c r="AC902" s="3"/>
      <c r="AD902" s="3"/>
      <c r="AE902" s="3"/>
      <c r="AF902" s="3"/>
      <c r="AG902" s="3"/>
      <c r="AH902" s="3"/>
      <c r="AI902" s="3"/>
      <c r="AJ902" s="3"/>
    </row>
    <row r="903" ht="15.75" customHeight="1">
      <c r="C903" s="2"/>
      <c r="R903" s="3"/>
      <c r="S903" s="3"/>
      <c r="T903" s="3"/>
      <c r="U903" s="3"/>
      <c r="V903" s="3"/>
      <c r="W903" s="3"/>
      <c r="X903" s="3"/>
      <c r="Y903" s="3"/>
      <c r="Z903" s="3"/>
      <c r="AA903" s="3"/>
      <c r="AB903" s="3"/>
      <c r="AC903" s="3"/>
      <c r="AD903" s="3"/>
      <c r="AE903" s="3"/>
      <c r="AF903" s="3"/>
      <c r="AG903" s="3"/>
      <c r="AH903" s="3"/>
      <c r="AI903" s="3"/>
      <c r="AJ903" s="3"/>
    </row>
    <row r="904" ht="15.75" customHeight="1">
      <c r="C904" s="2"/>
      <c r="R904" s="3"/>
      <c r="S904" s="3"/>
      <c r="T904" s="3"/>
      <c r="U904" s="3"/>
      <c r="V904" s="3"/>
      <c r="W904" s="3"/>
      <c r="X904" s="3"/>
      <c r="Y904" s="3"/>
      <c r="Z904" s="3"/>
      <c r="AA904" s="3"/>
      <c r="AB904" s="3"/>
      <c r="AC904" s="3"/>
      <c r="AD904" s="3"/>
      <c r="AE904" s="3"/>
      <c r="AF904" s="3"/>
      <c r="AG904" s="3"/>
      <c r="AH904" s="3"/>
      <c r="AI904" s="3"/>
      <c r="AJ904" s="3"/>
    </row>
    <row r="905" ht="15.75" customHeight="1">
      <c r="C905" s="2"/>
      <c r="R905" s="3"/>
      <c r="S905" s="3"/>
      <c r="T905" s="3"/>
      <c r="U905" s="3"/>
      <c r="V905" s="3"/>
      <c r="W905" s="3"/>
      <c r="X905" s="3"/>
      <c r="Y905" s="3"/>
      <c r="Z905" s="3"/>
      <c r="AA905" s="3"/>
      <c r="AB905" s="3"/>
      <c r="AC905" s="3"/>
      <c r="AD905" s="3"/>
      <c r="AE905" s="3"/>
      <c r="AF905" s="3"/>
      <c r="AG905" s="3"/>
      <c r="AH905" s="3"/>
      <c r="AI905" s="3"/>
      <c r="AJ905" s="3"/>
    </row>
    <row r="906" ht="15.75" customHeight="1">
      <c r="C906" s="2"/>
      <c r="R906" s="3"/>
      <c r="S906" s="3"/>
      <c r="T906" s="3"/>
      <c r="U906" s="3"/>
      <c r="V906" s="3"/>
      <c r="W906" s="3"/>
      <c r="X906" s="3"/>
      <c r="Y906" s="3"/>
      <c r="Z906" s="3"/>
      <c r="AA906" s="3"/>
      <c r="AB906" s="3"/>
      <c r="AC906" s="3"/>
      <c r="AD906" s="3"/>
      <c r="AE906" s="3"/>
      <c r="AF906" s="3"/>
      <c r="AG906" s="3"/>
      <c r="AH906" s="3"/>
      <c r="AI906" s="3"/>
      <c r="AJ906" s="3"/>
    </row>
    <row r="907" ht="15.75" customHeight="1">
      <c r="C907" s="2"/>
      <c r="R907" s="3"/>
      <c r="S907" s="3"/>
      <c r="T907" s="3"/>
      <c r="U907" s="3"/>
      <c r="V907" s="3"/>
      <c r="W907" s="3"/>
      <c r="X907" s="3"/>
      <c r="Y907" s="3"/>
      <c r="Z907" s="3"/>
      <c r="AA907" s="3"/>
      <c r="AB907" s="3"/>
      <c r="AC907" s="3"/>
      <c r="AD907" s="3"/>
      <c r="AE907" s="3"/>
      <c r="AF907" s="3"/>
      <c r="AG907" s="3"/>
      <c r="AH907" s="3"/>
      <c r="AI907" s="3"/>
      <c r="AJ907" s="3"/>
    </row>
    <row r="908" ht="15.75" customHeight="1">
      <c r="C908" s="2"/>
      <c r="R908" s="3"/>
      <c r="S908" s="3"/>
      <c r="T908" s="3"/>
      <c r="U908" s="3"/>
      <c r="V908" s="3"/>
      <c r="W908" s="3"/>
      <c r="X908" s="3"/>
      <c r="Y908" s="3"/>
      <c r="Z908" s="3"/>
      <c r="AA908" s="3"/>
      <c r="AB908" s="3"/>
      <c r="AC908" s="3"/>
      <c r="AD908" s="3"/>
      <c r="AE908" s="3"/>
      <c r="AF908" s="3"/>
      <c r="AG908" s="3"/>
      <c r="AH908" s="3"/>
      <c r="AI908" s="3"/>
      <c r="AJ908" s="3"/>
    </row>
    <row r="909" ht="15.75" customHeight="1">
      <c r="C909" s="2"/>
      <c r="R909" s="3"/>
      <c r="S909" s="3"/>
      <c r="T909" s="3"/>
      <c r="U909" s="3"/>
      <c r="V909" s="3"/>
      <c r="W909" s="3"/>
      <c r="X909" s="3"/>
      <c r="Y909" s="3"/>
      <c r="Z909" s="3"/>
      <c r="AA909" s="3"/>
      <c r="AB909" s="3"/>
      <c r="AC909" s="3"/>
      <c r="AD909" s="3"/>
      <c r="AE909" s="3"/>
      <c r="AF909" s="3"/>
      <c r="AG909" s="3"/>
      <c r="AH909" s="3"/>
      <c r="AI909" s="3"/>
      <c r="AJ909" s="3"/>
    </row>
    <row r="910" ht="15.75" customHeight="1">
      <c r="C910" s="2"/>
      <c r="R910" s="3"/>
      <c r="S910" s="3"/>
      <c r="T910" s="3"/>
      <c r="U910" s="3"/>
      <c r="V910" s="3"/>
      <c r="W910" s="3"/>
      <c r="X910" s="3"/>
      <c r="Y910" s="3"/>
      <c r="Z910" s="3"/>
      <c r="AA910" s="3"/>
      <c r="AB910" s="3"/>
      <c r="AC910" s="3"/>
      <c r="AD910" s="3"/>
      <c r="AE910" s="3"/>
      <c r="AF910" s="3"/>
      <c r="AG910" s="3"/>
      <c r="AH910" s="3"/>
      <c r="AI910" s="3"/>
      <c r="AJ910" s="3"/>
    </row>
    <row r="911" ht="15.75" customHeight="1">
      <c r="C911" s="2"/>
      <c r="R911" s="3"/>
      <c r="S911" s="3"/>
      <c r="T911" s="3"/>
      <c r="U911" s="3"/>
      <c r="V911" s="3"/>
      <c r="W911" s="3"/>
      <c r="X911" s="3"/>
      <c r="Y911" s="3"/>
      <c r="Z911" s="3"/>
      <c r="AA911" s="3"/>
      <c r="AB911" s="3"/>
      <c r="AC911" s="3"/>
      <c r="AD911" s="3"/>
      <c r="AE911" s="3"/>
      <c r="AF911" s="3"/>
      <c r="AG911" s="3"/>
      <c r="AH911" s="3"/>
      <c r="AI911" s="3"/>
      <c r="AJ911" s="3"/>
    </row>
    <row r="912" ht="15.75" customHeight="1">
      <c r="C912" s="2"/>
      <c r="R912" s="3"/>
      <c r="S912" s="3"/>
      <c r="T912" s="3"/>
      <c r="U912" s="3"/>
      <c r="V912" s="3"/>
      <c r="W912" s="3"/>
      <c r="X912" s="3"/>
      <c r="Y912" s="3"/>
      <c r="Z912" s="3"/>
      <c r="AA912" s="3"/>
      <c r="AB912" s="3"/>
      <c r="AC912" s="3"/>
      <c r="AD912" s="3"/>
      <c r="AE912" s="3"/>
      <c r="AF912" s="3"/>
      <c r="AG912" s="3"/>
      <c r="AH912" s="3"/>
      <c r="AI912" s="3"/>
      <c r="AJ912" s="3"/>
    </row>
    <row r="913" ht="15.75" customHeight="1">
      <c r="C913" s="2"/>
      <c r="R913" s="3"/>
      <c r="S913" s="3"/>
      <c r="T913" s="3"/>
      <c r="U913" s="3"/>
      <c r="V913" s="3"/>
      <c r="W913" s="3"/>
      <c r="X913" s="3"/>
      <c r="Y913" s="3"/>
      <c r="Z913" s="3"/>
      <c r="AA913" s="3"/>
      <c r="AB913" s="3"/>
      <c r="AC913" s="3"/>
      <c r="AD913" s="3"/>
      <c r="AE913" s="3"/>
      <c r="AF913" s="3"/>
      <c r="AG913" s="3"/>
      <c r="AH913" s="3"/>
      <c r="AI913" s="3"/>
      <c r="AJ913" s="3"/>
    </row>
    <row r="914" ht="15.75" customHeight="1">
      <c r="C914" s="2"/>
      <c r="R914" s="3"/>
      <c r="S914" s="3"/>
      <c r="T914" s="3"/>
      <c r="U914" s="3"/>
      <c r="V914" s="3"/>
      <c r="W914" s="3"/>
      <c r="X914" s="3"/>
      <c r="Y914" s="3"/>
      <c r="Z914" s="3"/>
      <c r="AA914" s="3"/>
      <c r="AB914" s="3"/>
      <c r="AC914" s="3"/>
      <c r="AD914" s="3"/>
      <c r="AE914" s="3"/>
      <c r="AF914" s="3"/>
      <c r="AG914" s="3"/>
      <c r="AH914" s="3"/>
      <c r="AI914" s="3"/>
      <c r="AJ914" s="3"/>
    </row>
    <row r="915" ht="15.75" customHeight="1">
      <c r="C915" s="2"/>
      <c r="R915" s="3"/>
      <c r="S915" s="3"/>
      <c r="T915" s="3"/>
      <c r="U915" s="3"/>
      <c r="V915" s="3"/>
      <c r="W915" s="3"/>
      <c r="X915" s="3"/>
      <c r="Y915" s="3"/>
      <c r="Z915" s="3"/>
      <c r="AA915" s="3"/>
      <c r="AB915" s="3"/>
      <c r="AC915" s="3"/>
      <c r="AD915" s="3"/>
      <c r="AE915" s="3"/>
      <c r="AF915" s="3"/>
      <c r="AG915" s="3"/>
      <c r="AH915" s="3"/>
      <c r="AI915" s="3"/>
      <c r="AJ915" s="3"/>
    </row>
    <row r="916" ht="15.75" customHeight="1">
      <c r="C916" s="2"/>
      <c r="R916" s="3"/>
      <c r="S916" s="3"/>
      <c r="T916" s="3"/>
      <c r="U916" s="3"/>
      <c r="V916" s="3"/>
      <c r="W916" s="3"/>
      <c r="X916" s="3"/>
      <c r="Y916" s="3"/>
      <c r="Z916" s="3"/>
      <c r="AA916" s="3"/>
      <c r="AB916" s="3"/>
      <c r="AC916" s="3"/>
      <c r="AD916" s="3"/>
      <c r="AE916" s="3"/>
      <c r="AF916" s="3"/>
      <c r="AG916" s="3"/>
      <c r="AH916" s="3"/>
      <c r="AI916" s="3"/>
      <c r="AJ916" s="3"/>
    </row>
    <row r="917" ht="15.75" customHeight="1">
      <c r="C917" s="2"/>
      <c r="R917" s="3"/>
      <c r="S917" s="3"/>
      <c r="T917" s="3"/>
      <c r="U917" s="3"/>
      <c r="V917" s="3"/>
      <c r="W917" s="3"/>
      <c r="X917" s="3"/>
      <c r="Y917" s="3"/>
      <c r="Z917" s="3"/>
      <c r="AA917" s="3"/>
      <c r="AB917" s="3"/>
      <c r="AC917" s="3"/>
      <c r="AD917" s="3"/>
      <c r="AE917" s="3"/>
      <c r="AF917" s="3"/>
      <c r="AG917" s="3"/>
      <c r="AH917" s="3"/>
      <c r="AI917" s="3"/>
      <c r="AJ917" s="3"/>
    </row>
    <row r="918" ht="15.75" customHeight="1">
      <c r="C918" s="2"/>
      <c r="R918" s="3"/>
      <c r="S918" s="3"/>
      <c r="T918" s="3"/>
      <c r="U918" s="3"/>
      <c r="V918" s="3"/>
      <c r="W918" s="3"/>
      <c r="X918" s="3"/>
      <c r="Y918" s="3"/>
      <c r="Z918" s="3"/>
      <c r="AA918" s="3"/>
      <c r="AB918" s="3"/>
      <c r="AC918" s="3"/>
      <c r="AD918" s="3"/>
      <c r="AE918" s="3"/>
      <c r="AF918" s="3"/>
      <c r="AG918" s="3"/>
      <c r="AH918" s="3"/>
      <c r="AI918" s="3"/>
      <c r="AJ918" s="3"/>
    </row>
    <row r="919" ht="15.75" customHeight="1">
      <c r="C919" s="2"/>
      <c r="R919" s="3"/>
      <c r="S919" s="3"/>
      <c r="T919" s="3"/>
      <c r="U919" s="3"/>
      <c r="V919" s="3"/>
      <c r="W919" s="3"/>
      <c r="X919" s="3"/>
      <c r="Y919" s="3"/>
      <c r="Z919" s="3"/>
      <c r="AA919" s="3"/>
      <c r="AB919" s="3"/>
      <c r="AC919" s="3"/>
      <c r="AD919" s="3"/>
      <c r="AE919" s="3"/>
      <c r="AF919" s="3"/>
      <c r="AG919" s="3"/>
      <c r="AH919" s="3"/>
      <c r="AI919" s="3"/>
      <c r="AJ919" s="3"/>
    </row>
    <row r="920" ht="15.75" customHeight="1">
      <c r="C920" s="2"/>
      <c r="R920" s="3"/>
      <c r="S920" s="3"/>
      <c r="T920" s="3"/>
      <c r="U920" s="3"/>
      <c r="V920" s="3"/>
      <c r="W920" s="3"/>
      <c r="X920" s="3"/>
      <c r="Y920" s="3"/>
      <c r="Z920" s="3"/>
      <c r="AA920" s="3"/>
      <c r="AB920" s="3"/>
      <c r="AC920" s="3"/>
      <c r="AD920" s="3"/>
      <c r="AE920" s="3"/>
      <c r="AF920" s="3"/>
      <c r="AG920" s="3"/>
      <c r="AH920" s="3"/>
      <c r="AI920" s="3"/>
      <c r="AJ920" s="3"/>
    </row>
    <row r="921" ht="15.75" customHeight="1">
      <c r="C921" s="2"/>
      <c r="R921" s="3"/>
      <c r="S921" s="3"/>
      <c r="T921" s="3"/>
      <c r="U921" s="3"/>
      <c r="V921" s="3"/>
      <c r="W921" s="3"/>
      <c r="X921" s="3"/>
      <c r="Y921" s="3"/>
      <c r="Z921" s="3"/>
      <c r="AA921" s="3"/>
      <c r="AB921" s="3"/>
      <c r="AC921" s="3"/>
      <c r="AD921" s="3"/>
      <c r="AE921" s="3"/>
      <c r="AF921" s="3"/>
      <c r="AG921" s="3"/>
      <c r="AH921" s="3"/>
      <c r="AI921" s="3"/>
      <c r="AJ921" s="3"/>
    </row>
    <row r="922" ht="15.75" customHeight="1">
      <c r="C922" s="2"/>
      <c r="R922" s="3"/>
      <c r="S922" s="3"/>
      <c r="T922" s="3"/>
      <c r="U922" s="3"/>
      <c r="V922" s="3"/>
      <c r="W922" s="3"/>
      <c r="X922" s="3"/>
      <c r="Y922" s="3"/>
      <c r="Z922" s="3"/>
      <c r="AA922" s="3"/>
      <c r="AB922" s="3"/>
      <c r="AC922" s="3"/>
      <c r="AD922" s="3"/>
      <c r="AE922" s="3"/>
      <c r="AF922" s="3"/>
      <c r="AG922" s="3"/>
      <c r="AH922" s="3"/>
      <c r="AI922" s="3"/>
      <c r="AJ922" s="3"/>
    </row>
    <row r="923" ht="15.75" customHeight="1">
      <c r="C923" s="2"/>
      <c r="R923" s="3"/>
      <c r="S923" s="3"/>
      <c r="T923" s="3"/>
      <c r="U923" s="3"/>
      <c r="V923" s="3"/>
      <c r="W923" s="3"/>
      <c r="X923" s="3"/>
      <c r="Y923" s="3"/>
      <c r="Z923" s="3"/>
      <c r="AA923" s="3"/>
      <c r="AB923" s="3"/>
      <c r="AC923" s="3"/>
      <c r="AD923" s="3"/>
      <c r="AE923" s="3"/>
      <c r="AF923" s="3"/>
      <c r="AG923" s="3"/>
      <c r="AH923" s="3"/>
      <c r="AI923" s="3"/>
      <c r="AJ923" s="3"/>
    </row>
    <row r="924" ht="15.75" customHeight="1">
      <c r="C924" s="2"/>
      <c r="R924" s="3"/>
      <c r="S924" s="3"/>
      <c r="T924" s="3"/>
      <c r="U924" s="3"/>
      <c r="V924" s="3"/>
      <c r="W924" s="3"/>
      <c r="X924" s="3"/>
      <c r="Y924" s="3"/>
      <c r="Z924" s="3"/>
      <c r="AA924" s="3"/>
      <c r="AB924" s="3"/>
      <c r="AC924" s="3"/>
      <c r="AD924" s="3"/>
      <c r="AE924" s="3"/>
      <c r="AF924" s="3"/>
      <c r="AG924" s="3"/>
      <c r="AH924" s="3"/>
      <c r="AI924" s="3"/>
      <c r="AJ924" s="3"/>
    </row>
    <row r="925" ht="15.75" customHeight="1">
      <c r="C925" s="2"/>
      <c r="R925" s="3"/>
      <c r="S925" s="3"/>
      <c r="T925" s="3"/>
      <c r="U925" s="3"/>
      <c r="V925" s="3"/>
      <c r="W925" s="3"/>
      <c r="X925" s="3"/>
      <c r="Y925" s="3"/>
      <c r="Z925" s="3"/>
      <c r="AA925" s="3"/>
      <c r="AB925" s="3"/>
      <c r="AC925" s="3"/>
      <c r="AD925" s="3"/>
      <c r="AE925" s="3"/>
      <c r="AF925" s="3"/>
      <c r="AG925" s="3"/>
      <c r="AH925" s="3"/>
      <c r="AI925" s="3"/>
      <c r="AJ925" s="3"/>
    </row>
    <row r="926" ht="15.75" customHeight="1">
      <c r="C926" s="2"/>
      <c r="R926" s="3"/>
      <c r="S926" s="3"/>
      <c r="T926" s="3"/>
      <c r="U926" s="3"/>
      <c r="V926" s="3"/>
      <c r="W926" s="3"/>
      <c r="X926" s="3"/>
      <c r="Y926" s="3"/>
      <c r="Z926" s="3"/>
      <c r="AA926" s="3"/>
      <c r="AB926" s="3"/>
      <c r="AC926" s="3"/>
      <c r="AD926" s="3"/>
      <c r="AE926" s="3"/>
      <c r="AF926" s="3"/>
      <c r="AG926" s="3"/>
      <c r="AH926" s="3"/>
      <c r="AI926" s="3"/>
      <c r="AJ926" s="3"/>
    </row>
    <row r="927" ht="15.75" customHeight="1">
      <c r="C927" s="2"/>
      <c r="R927" s="3"/>
      <c r="S927" s="3"/>
      <c r="T927" s="3"/>
      <c r="U927" s="3"/>
      <c r="V927" s="3"/>
      <c r="W927" s="3"/>
      <c r="X927" s="3"/>
      <c r="Y927" s="3"/>
      <c r="Z927" s="3"/>
      <c r="AA927" s="3"/>
      <c r="AB927" s="3"/>
      <c r="AC927" s="3"/>
      <c r="AD927" s="3"/>
      <c r="AE927" s="3"/>
      <c r="AF927" s="3"/>
      <c r="AG927" s="3"/>
      <c r="AH927" s="3"/>
      <c r="AI927" s="3"/>
      <c r="AJ927" s="3"/>
    </row>
    <row r="928" ht="15.75" customHeight="1">
      <c r="C928" s="2"/>
      <c r="R928" s="3"/>
      <c r="S928" s="3"/>
      <c r="T928" s="3"/>
      <c r="U928" s="3"/>
      <c r="V928" s="3"/>
      <c r="W928" s="3"/>
      <c r="X928" s="3"/>
      <c r="Y928" s="3"/>
      <c r="Z928" s="3"/>
      <c r="AA928" s="3"/>
      <c r="AB928" s="3"/>
      <c r="AC928" s="3"/>
      <c r="AD928" s="3"/>
      <c r="AE928" s="3"/>
      <c r="AF928" s="3"/>
      <c r="AG928" s="3"/>
      <c r="AH928" s="3"/>
      <c r="AI928" s="3"/>
      <c r="AJ928" s="3"/>
    </row>
    <row r="929" ht="15.75" customHeight="1">
      <c r="C929" s="2"/>
      <c r="R929" s="3"/>
      <c r="S929" s="3"/>
      <c r="T929" s="3"/>
      <c r="U929" s="3"/>
      <c r="V929" s="3"/>
      <c r="W929" s="3"/>
      <c r="X929" s="3"/>
      <c r="Y929" s="3"/>
      <c r="Z929" s="3"/>
      <c r="AA929" s="3"/>
      <c r="AB929" s="3"/>
      <c r="AC929" s="3"/>
      <c r="AD929" s="3"/>
      <c r="AE929" s="3"/>
      <c r="AF929" s="3"/>
      <c r="AG929" s="3"/>
      <c r="AH929" s="3"/>
      <c r="AI929" s="3"/>
      <c r="AJ929" s="3"/>
    </row>
    <row r="930" ht="15.75" customHeight="1">
      <c r="C930" s="2"/>
      <c r="R930" s="3"/>
      <c r="S930" s="3"/>
      <c r="T930" s="3"/>
      <c r="U930" s="3"/>
      <c r="V930" s="3"/>
      <c r="W930" s="3"/>
      <c r="X930" s="3"/>
      <c r="Y930" s="3"/>
      <c r="Z930" s="3"/>
      <c r="AA930" s="3"/>
      <c r="AB930" s="3"/>
      <c r="AC930" s="3"/>
      <c r="AD930" s="3"/>
      <c r="AE930" s="3"/>
      <c r="AF930" s="3"/>
      <c r="AG930" s="3"/>
      <c r="AH930" s="3"/>
      <c r="AI930" s="3"/>
      <c r="AJ930" s="3"/>
    </row>
    <row r="931" ht="15.75" customHeight="1">
      <c r="C931" s="2"/>
      <c r="R931" s="3"/>
      <c r="S931" s="3"/>
      <c r="T931" s="3"/>
      <c r="U931" s="3"/>
      <c r="V931" s="3"/>
      <c r="W931" s="3"/>
      <c r="X931" s="3"/>
      <c r="Y931" s="3"/>
      <c r="Z931" s="3"/>
      <c r="AA931" s="3"/>
      <c r="AB931" s="3"/>
      <c r="AC931" s="3"/>
      <c r="AD931" s="3"/>
      <c r="AE931" s="3"/>
      <c r="AF931" s="3"/>
      <c r="AG931" s="3"/>
      <c r="AH931" s="3"/>
      <c r="AI931" s="3"/>
      <c r="AJ931" s="3"/>
    </row>
    <row r="932" ht="15.75" customHeight="1">
      <c r="C932" s="2"/>
      <c r="R932" s="3"/>
      <c r="S932" s="3"/>
      <c r="T932" s="3"/>
      <c r="U932" s="3"/>
      <c r="V932" s="3"/>
      <c r="W932" s="3"/>
      <c r="X932" s="3"/>
      <c r="Y932" s="3"/>
      <c r="Z932" s="3"/>
      <c r="AA932" s="3"/>
      <c r="AB932" s="3"/>
      <c r="AC932" s="3"/>
      <c r="AD932" s="3"/>
      <c r="AE932" s="3"/>
      <c r="AF932" s="3"/>
      <c r="AG932" s="3"/>
      <c r="AH932" s="3"/>
      <c r="AI932" s="3"/>
      <c r="AJ932" s="3"/>
    </row>
    <row r="933" ht="15.75" customHeight="1">
      <c r="C933" s="2"/>
      <c r="R933" s="3"/>
      <c r="S933" s="3"/>
      <c r="T933" s="3"/>
      <c r="U933" s="3"/>
      <c r="V933" s="3"/>
      <c r="W933" s="3"/>
      <c r="X933" s="3"/>
      <c r="Y933" s="3"/>
      <c r="Z933" s="3"/>
      <c r="AA933" s="3"/>
      <c r="AB933" s="3"/>
      <c r="AC933" s="3"/>
      <c r="AD933" s="3"/>
      <c r="AE933" s="3"/>
      <c r="AF933" s="3"/>
      <c r="AG933" s="3"/>
      <c r="AH933" s="3"/>
      <c r="AI933" s="3"/>
      <c r="AJ933" s="3"/>
    </row>
    <row r="934" ht="15.75" customHeight="1">
      <c r="C934" s="2"/>
      <c r="R934" s="3"/>
      <c r="S934" s="3"/>
      <c r="T934" s="3"/>
      <c r="U934" s="3"/>
      <c r="V934" s="3"/>
      <c r="W934" s="3"/>
      <c r="X934" s="3"/>
      <c r="Y934" s="3"/>
      <c r="Z934" s="3"/>
      <c r="AA934" s="3"/>
      <c r="AB934" s="3"/>
      <c r="AC934" s="3"/>
      <c r="AD934" s="3"/>
      <c r="AE934" s="3"/>
      <c r="AF934" s="3"/>
      <c r="AG934" s="3"/>
      <c r="AH934" s="3"/>
      <c r="AI934" s="3"/>
      <c r="AJ934" s="3"/>
    </row>
    <row r="935" ht="15.75" customHeight="1">
      <c r="C935" s="2"/>
      <c r="R935" s="3"/>
      <c r="S935" s="3"/>
      <c r="T935" s="3"/>
      <c r="U935" s="3"/>
      <c r="V935" s="3"/>
      <c r="W935" s="3"/>
      <c r="X935" s="3"/>
      <c r="Y935" s="3"/>
      <c r="Z935" s="3"/>
      <c r="AA935" s="3"/>
      <c r="AB935" s="3"/>
      <c r="AC935" s="3"/>
      <c r="AD935" s="3"/>
      <c r="AE935" s="3"/>
      <c r="AF935" s="3"/>
      <c r="AG935" s="3"/>
      <c r="AH935" s="3"/>
      <c r="AI935" s="3"/>
      <c r="AJ935" s="3"/>
    </row>
    <row r="936" ht="15.75" customHeight="1">
      <c r="C936" s="2"/>
      <c r="R936" s="3"/>
      <c r="S936" s="3"/>
      <c r="T936" s="3"/>
      <c r="U936" s="3"/>
      <c r="V936" s="3"/>
      <c r="W936" s="3"/>
      <c r="X936" s="3"/>
      <c r="Y936" s="3"/>
      <c r="Z936" s="3"/>
      <c r="AA936" s="3"/>
      <c r="AB936" s="3"/>
      <c r="AC936" s="3"/>
      <c r="AD936" s="3"/>
      <c r="AE936" s="3"/>
      <c r="AF936" s="3"/>
      <c r="AG936" s="3"/>
      <c r="AH936" s="3"/>
      <c r="AI936" s="3"/>
      <c r="AJ936" s="3"/>
    </row>
    <row r="937" ht="15.75" customHeight="1">
      <c r="C937" s="2"/>
      <c r="R937" s="3"/>
      <c r="S937" s="3"/>
      <c r="T937" s="3"/>
      <c r="U937" s="3"/>
      <c r="V937" s="3"/>
      <c r="W937" s="3"/>
      <c r="X937" s="3"/>
      <c r="Y937" s="3"/>
      <c r="Z937" s="3"/>
      <c r="AA937" s="3"/>
      <c r="AB937" s="3"/>
      <c r="AC937" s="3"/>
      <c r="AD937" s="3"/>
      <c r="AE937" s="3"/>
      <c r="AF937" s="3"/>
      <c r="AG937" s="3"/>
      <c r="AH937" s="3"/>
      <c r="AI937" s="3"/>
      <c r="AJ937" s="3"/>
    </row>
    <row r="938" ht="15.75" customHeight="1">
      <c r="C938" s="2"/>
      <c r="R938" s="3"/>
      <c r="S938" s="3"/>
      <c r="T938" s="3"/>
      <c r="U938" s="3"/>
      <c r="V938" s="3"/>
      <c r="W938" s="3"/>
      <c r="X938" s="3"/>
      <c r="Y938" s="3"/>
      <c r="Z938" s="3"/>
      <c r="AA938" s="3"/>
      <c r="AB938" s="3"/>
      <c r="AC938" s="3"/>
      <c r="AD938" s="3"/>
      <c r="AE938" s="3"/>
      <c r="AF938" s="3"/>
      <c r="AG938" s="3"/>
      <c r="AH938" s="3"/>
      <c r="AI938" s="3"/>
      <c r="AJ938" s="3"/>
    </row>
    <row r="939" ht="15.75" customHeight="1">
      <c r="C939" s="2"/>
      <c r="R939" s="3"/>
      <c r="S939" s="3"/>
      <c r="T939" s="3"/>
      <c r="U939" s="3"/>
      <c r="V939" s="3"/>
      <c r="W939" s="3"/>
      <c r="X939" s="3"/>
      <c r="Y939" s="3"/>
      <c r="Z939" s="3"/>
      <c r="AA939" s="3"/>
      <c r="AB939" s="3"/>
      <c r="AC939" s="3"/>
      <c r="AD939" s="3"/>
      <c r="AE939" s="3"/>
      <c r="AF939" s="3"/>
      <c r="AG939" s="3"/>
      <c r="AH939" s="3"/>
      <c r="AI939" s="3"/>
      <c r="AJ939" s="3"/>
    </row>
    <row r="940" ht="15.75" customHeight="1">
      <c r="C940" s="2"/>
      <c r="R940" s="3"/>
      <c r="S940" s="3"/>
      <c r="T940" s="3"/>
      <c r="U940" s="3"/>
      <c r="V940" s="3"/>
      <c r="W940" s="3"/>
      <c r="X940" s="3"/>
      <c r="Y940" s="3"/>
      <c r="Z940" s="3"/>
      <c r="AA940" s="3"/>
      <c r="AB940" s="3"/>
      <c r="AC940" s="3"/>
      <c r="AD940" s="3"/>
      <c r="AE940" s="3"/>
      <c r="AF940" s="3"/>
      <c r="AG940" s="3"/>
      <c r="AH940" s="3"/>
      <c r="AI940" s="3"/>
      <c r="AJ940" s="3"/>
    </row>
    <row r="941" ht="15.75" customHeight="1">
      <c r="C941" s="2"/>
      <c r="R941" s="3"/>
      <c r="S941" s="3"/>
      <c r="T941" s="3"/>
      <c r="U941" s="3"/>
      <c r="V941" s="3"/>
      <c r="W941" s="3"/>
      <c r="X941" s="3"/>
      <c r="Y941" s="3"/>
      <c r="Z941" s="3"/>
      <c r="AA941" s="3"/>
      <c r="AB941" s="3"/>
      <c r="AC941" s="3"/>
      <c r="AD941" s="3"/>
      <c r="AE941" s="3"/>
      <c r="AF941" s="3"/>
      <c r="AG941" s="3"/>
      <c r="AH941" s="3"/>
      <c r="AI941" s="3"/>
      <c r="AJ941" s="3"/>
    </row>
    <row r="942" ht="15.75" customHeight="1">
      <c r="C942" s="2"/>
      <c r="R942" s="3"/>
      <c r="S942" s="3"/>
      <c r="T942" s="3"/>
      <c r="U942" s="3"/>
      <c r="V942" s="3"/>
      <c r="W942" s="3"/>
      <c r="X942" s="3"/>
      <c r="Y942" s="3"/>
      <c r="Z942" s="3"/>
      <c r="AA942" s="3"/>
      <c r="AB942" s="3"/>
      <c r="AC942" s="3"/>
      <c r="AD942" s="3"/>
      <c r="AE942" s="3"/>
      <c r="AF942" s="3"/>
      <c r="AG942" s="3"/>
      <c r="AH942" s="3"/>
      <c r="AI942" s="3"/>
      <c r="AJ942" s="3"/>
    </row>
    <row r="943" ht="15.75" customHeight="1">
      <c r="C943" s="2"/>
      <c r="R943" s="3"/>
      <c r="S943" s="3"/>
      <c r="T943" s="3"/>
      <c r="U943" s="3"/>
      <c r="V943" s="3"/>
      <c r="W943" s="3"/>
      <c r="X943" s="3"/>
      <c r="Y943" s="3"/>
      <c r="Z943" s="3"/>
      <c r="AA943" s="3"/>
      <c r="AB943" s="3"/>
      <c r="AC943" s="3"/>
      <c r="AD943" s="3"/>
      <c r="AE943" s="3"/>
      <c r="AF943" s="3"/>
      <c r="AG943" s="3"/>
      <c r="AH943" s="3"/>
      <c r="AI943" s="3"/>
      <c r="AJ943" s="3"/>
    </row>
    <row r="944" ht="15.75" customHeight="1">
      <c r="C944" s="2"/>
      <c r="R944" s="3"/>
      <c r="S944" s="3"/>
      <c r="T944" s="3"/>
      <c r="U944" s="3"/>
      <c r="V944" s="3"/>
      <c r="W944" s="3"/>
      <c r="X944" s="3"/>
      <c r="Y944" s="3"/>
      <c r="Z944" s="3"/>
      <c r="AA944" s="3"/>
      <c r="AB944" s="3"/>
      <c r="AC944" s="3"/>
      <c r="AD944" s="3"/>
      <c r="AE944" s="3"/>
      <c r="AF944" s="3"/>
      <c r="AG944" s="3"/>
      <c r="AH944" s="3"/>
      <c r="AI944" s="3"/>
      <c r="AJ944" s="3"/>
    </row>
    <row r="945" ht="15.75" customHeight="1">
      <c r="C945" s="2"/>
      <c r="R945" s="3"/>
      <c r="S945" s="3"/>
      <c r="T945" s="3"/>
      <c r="U945" s="3"/>
      <c r="V945" s="3"/>
      <c r="W945" s="3"/>
      <c r="X945" s="3"/>
      <c r="Y945" s="3"/>
      <c r="Z945" s="3"/>
      <c r="AA945" s="3"/>
      <c r="AB945" s="3"/>
      <c r="AC945" s="3"/>
      <c r="AD945" s="3"/>
      <c r="AE945" s="3"/>
      <c r="AF945" s="3"/>
      <c r="AG945" s="3"/>
      <c r="AH945" s="3"/>
      <c r="AI945" s="3"/>
      <c r="AJ945" s="3"/>
    </row>
    <row r="946" ht="15.75" customHeight="1">
      <c r="C946" s="2"/>
      <c r="R946" s="3"/>
      <c r="S946" s="3"/>
      <c r="T946" s="3"/>
      <c r="U946" s="3"/>
      <c r="V946" s="3"/>
      <c r="W946" s="3"/>
      <c r="X946" s="3"/>
      <c r="Y946" s="3"/>
      <c r="Z946" s="3"/>
      <c r="AA946" s="3"/>
      <c r="AB946" s="3"/>
      <c r="AC946" s="3"/>
      <c r="AD946" s="3"/>
      <c r="AE946" s="3"/>
      <c r="AF946" s="3"/>
      <c r="AG946" s="3"/>
      <c r="AH946" s="3"/>
      <c r="AI946" s="3"/>
      <c r="AJ946" s="3"/>
    </row>
    <row r="947" ht="15.75" customHeight="1">
      <c r="C947" s="2"/>
      <c r="R947" s="3"/>
      <c r="S947" s="3"/>
      <c r="T947" s="3"/>
      <c r="U947" s="3"/>
      <c r="V947" s="3"/>
      <c r="W947" s="3"/>
      <c r="X947" s="3"/>
      <c r="Y947" s="3"/>
      <c r="Z947" s="3"/>
      <c r="AA947" s="3"/>
      <c r="AB947" s="3"/>
      <c r="AC947" s="3"/>
      <c r="AD947" s="3"/>
      <c r="AE947" s="3"/>
      <c r="AF947" s="3"/>
      <c r="AG947" s="3"/>
      <c r="AH947" s="3"/>
      <c r="AI947" s="3"/>
      <c r="AJ947" s="3"/>
    </row>
    <row r="948" ht="15.75" customHeight="1">
      <c r="C948" s="2"/>
      <c r="R948" s="3"/>
      <c r="S948" s="3"/>
      <c r="T948" s="3"/>
      <c r="U948" s="3"/>
      <c r="V948" s="3"/>
      <c r="W948" s="3"/>
      <c r="X948" s="3"/>
      <c r="Y948" s="3"/>
      <c r="Z948" s="3"/>
      <c r="AA948" s="3"/>
      <c r="AB948" s="3"/>
      <c r="AC948" s="3"/>
      <c r="AD948" s="3"/>
      <c r="AE948" s="3"/>
      <c r="AF948" s="3"/>
      <c r="AG948" s="3"/>
      <c r="AH948" s="3"/>
      <c r="AI948" s="3"/>
      <c r="AJ948" s="3"/>
    </row>
    <row r="949" ht="15.75" customHeight="1">
      <c r="C949" s="2"/>
      <c r="R949" s="3"/>
      <c r="S949" s="3"/>
      <c r="T949" s="3"/>
      <c r="U949" s="3"/>
      <c r="V949" s="3"/>
      <c r="W949" s="3"/>
      <c r="X949" s="3"/>
      <c r="Y949" s="3"/>
      <c r="Z949" s="3"/>
      <c r="AA949" s="3"/>
      <c r="AB949" s="3"/>
      <c r="AC949" s="3"/>
      <c r="AD949" s="3"/>
      <c r="AE949" s="3"/>
      <c r="AF949" s="3"/>
      <c r="AG949" s="3"/>
      <c r="AH949" s="3"/>
      <c r="AI949" s="3"/>
      <c r="AJ949" s="3"/>
    </row>
    <row r="950" ht="15.75" customHeight="1">
      <c r="C950" s="2"/>
      <c r="R950" s="3"/>
      <c r="S950" s="3"/>
      <c r="T950" s="3"/>
      <c r="U950" s="3"/>
      <c r="V950" s="3"/>
      <c r="W950" s="3"/>
      <c r="X950" s="3"/>
      <c r="Y950" s="3"/>
      <c r="Z950" s="3"/>
      <c r="AA950" s="3"/>
      <c r="AB950" s="3"/>
      <c r="AC950" s="3"/>
      <c r="AD950" s="3"/>
      <c r="AE950" s="3"/>
      <c r="AF950" s="3"/>
      <c r="AG950" s="3"/>
      <c r="AH950" s="3"/>
      <c r="AI950" s="3"/>
      <c r="AJ950" s="3"/>
    </row>
    <row r="951" ht="15.75" customHeight="1">
      <c r="C951" s="2"/>
      <c r="R951" s="3"/>
      <c r="S951" s="3"/>
      <c r="T951" s="3"/>
      <c r="U951" s="3"/>
      <c r="V951" s="3"/>
      <c r="W951" s="3"/>
      <c r="X951" s="3"/>
      <c r="Y951" s="3"/>
      <c r="Z951" s="3"/>
      <c r="AA951" s="3"/>
      <c r="AB951" s="3"/>
      <c r="AC951" s="3"/>
      <c r="AD951" s="3"/>
      <c r="AE951" s="3"/>
      <c r="AF951" s="3"/>
      <c r="AG951" s="3"/>
      <c r="AH951" s="3"/>
      <c r="AI951" s="3"/>
      <c r="AJ951" s="3"/>
    </row>
    <row r="952" ht="15.75" customHeight="1">
      <c r="C952" s="2"/>
      <c r="R952" s="3"/>
      <c r="S952" s="3"/>
      <c r="T952" s="3"/>
      <c r="U952" s="3"/>
      <c r="V952" s="3"/>
      <c r="W952" s="3"/>
      <c r="X952" s="3"/>
      <c r="Y952" s="3"/>
      <c r="Z952" s="3"/>
      <c r="AA952" s="3"/>
      <c r="AB952" s="3"/>
      <c r="AC952" s="3"/>
      <c r="AD952" s="3"/>
      <c r="AE952" s="3"/>
      <c r="AF952" s="3"/>
      <c r="AG952" s="3"/>
      <c r="AH952" s="3"/>
      <c r="AI952" s="3"/>
      <c r="AJ952" s="3"/>
    </row>
    <row r="953" ht="15.75" customHeight="1">
      <c r="C953" s="2"/>
      <c r="R953" s="3"/>
      <c r="S953" s="3"/>
      <c r="T953" s="3"/>
      <c r="U953" s="3"/>
      <c r="V953" s="3"/>
      <c r="W953" s="3"/>
      <c r="X953" s="3"/>
      <c r="Y953" s="3"/>
      <c r="Z953" s="3"/>
      <c r="AA953" s="3"/>
      <c r="AB953" s="3"/>
      <c r="AC953" s="3"/>
      <c r="AD953" s="3"/>
      <c r="AE953" s="3"/>
      <c r="AF953" s="3"/>
      <c r="AG953" s="3"/>
      <c r="AH953" s="3"/>
      <c r="AI953" s="3"/>
      <c r="AJ953" s="3"/>
    </row>
    <row r="954" ht="15.75" customHeight="1">
      <c r="C954" s="2"/>
      <c r="R954" s="3"/>
      <c r="S954" s="3"/>
      <c r="T954" s="3"/>
      <c r="U954" s="3"/>
      <c r="V954" s="3"/>
      <c r="W954" s="3"/>
      <c r="X954" s="3"/>
      <c r="Y954" s="3"/>
      <c r="Z954" s="3"/>
      <c r="AA954" s="3"/>
      <c r="AB954" s="3"/>
      <c r="AC954" s="3"/>
      <c r="AD954" s="3"/>
      <c r="AE954" s="3"/>
      <c r="AF954" s="3"/>
      <c r="AG954" s="3"/>
      <c r="AH954" s="3"/>
      <c r="AI954" s="3"/>
      <c r="AJ954" s="3"/>
    </row>
    <row r="955" ht="15.75" customHeight="1">
      <c r="C955" s="2"/>
      <c r="R955" s="3"/>
      <c r="S955" s="3"/>
      <c r="T955" s="3"/>
      <c r="U955" s="3"/>
      <c r="V955" s="3"/>
      <c r="W955" s="3"/>
      <c r="X955" s="3"/>
      <c r="Y955" s="3"/>
      <c r="Z955" s="3"/>
      <c r="AA955" s="3"/>
      <c r="AB955" s="3"/>
      <c r="AC955" s="3"/>
      <c r="AD955" s="3"/>
      <c r="AE955" s="3"/>
      <c r="AF955" s="3"/>
      <c r="AG955" s="3"/>
      <c r="AH955" s="3"/>
      <c r="AI955" s="3"/>
      <c r="AJ955" s="3"/>
    </row>
    <row r="956" ht="15.75" customHeight="1">
      <c r="C956" s="2"/>
      <c r="R956" s="3"/>
      <c r="S956" s="3"/>
      <c r="T956" s="3"/>
      <c r="U956" s="3"/>
      <c r="V956" s="3"/>
      <c r="W956" s="3"/>
      <c r="X956" s="3"/>
      <c r="Y956" s="3"/>
      <c r="Z956" s="3"/>
      <c r="AA956" s="3"/>
      <c r="AB956" s="3"/>
      <c r="AC956" s="3"/>
      <c r="AD956" s="3"/>
      <c r="AE956" s="3"/>
      <c r="AF956" s="3"/>
      <c r="AG956" s="3"/>
      <c r="AH956" s="3"/>
      <c r="AI956" s="3"/>
      <c r="AJ956" s="3"/>
    </row>
    <row r="957" ht="15.75" customHeight="1">
      <c r="C957" s="2"/>
      <c r="R957" s="3"/>
      <c r="S957" s="3"/>
      <c r="T957" s="3"/>
      <c r="U957" s="3"/>
      <c r="V957" s="3"/>
      <c r="W957" s="3"/>
      <c r="X957" s="3"/>
      <c r="Y957" s="3"/>
      <c r="Z957" s="3"/>
      <c r="AA957" s="3"/>
      <c r="AB957" s="3"/>
      <c r="AC957" s="3"/>
      <c r="AD957" s="3"/>
      <c r="AE957" s="3"/>
      <c r="AF957" s="3"/>
      <c r="AG957" s="3"/>
      <c r="AH957" s="3"/>
      <c r="AI957" s="3"/>
      <c r="AJ957" s="3"/>
    </row>
    <row r="958" ht="15.75" customHeight="1">
      <c r="C958" s="2"/>
      <c r="R958" s="3"/>
      <c r="S958" s="3"/>
      <c r="T958" s="3"/>
      <c r="U958" s="3"/>
      <c r="V958" s="3"/>
      <c r="W958" s="3"/>
      <c r="X958" s="3"/>
      <c r="Y958" s="3"/>
      <c r="Z958" s="3"/>
      <c r="AA958" s="3"/>
      <c r="AB958" s="3"/>
      <c r="AC958" s="3"/>
      <c r="AD958" s="3"/>
      <c r="AE958" s="3"/>
      <c r="AF958" s="3"/>
      <c r="AG958" s="3"/>
      <c r="AH958" s="3"/>
      <c r="AI958" s="3"/>
      <c r="AJ958" s="3"/>
    </row>
    <row r="959" ht="15.75" customHeight="1">
      <c r="C959" s="2"/>
      <c r="R959" s="3"/>
      <c r="S959" s="3"/>
      <c r="T959" s="3"/>
      <c r="U959" s="3"/>
      <c r="V959" s="3"/>
      <c r="W959" s="3"/>
      <c r="X959" s="3"/>
      <c r="Y959" s="3"/>
      <c r="Z959" s="3"/>
      <c r="AA959" s="3"/>
      <c r="AB959" s="3"/>
      <c r="AC959" s="3"/>
      <c r="AD959" s="3"/>
      <c r="AE959" s="3"/>
      <c r="AF959" s="3"/>
      <c r="AG959" s="3"/>
      <c r="AH959" s="3"/>
      <c r="AI959" s="3"/>
      <c r="AJ959" s="3"/>
    </row>
    <row r="960" ht="15.75" customHeight="1">
      <c r="C960" s="2"/>
      <c r="R960" s="3"/>
      <c r="S960" s="3"/>
      <c r="T960" s="3"/>
      <c r="U960" s="3"/>
      <c r="V960" s="3"/>
      <c r="W960" s="3"/>
      <c r="X960" s="3"/>
      <c r="Y960" s="3"/>
      <c r="Z960" s="3"/>
      <c r="AA960" s="3"/>
      <c r="AB960" s="3"/>
      <c r="AC960" s="3"/>
      <c r="AD960" s="3"/>
      <c r="AE960" s="3"/>
      <c r="AF960" s="3"/>
      <c r="AG960" s="3"/>
      <c r="AH960" s="3"/>
      <c r="AI960" s="3"/>
      <c r="AJ960" s="3"/>
    </row>
    <row r="961" ht="15.75" customHeight="1">
      <c r="C961" s="2"/>
      <c r="R961" s="3"/>
      <c r="S961" s="3"/>
      <c r="T961" s="3"/>
      <c r="U961" s="3"/>
      <c r="V961" s="3"/>
      <c r="W961" s="3"/>
      <c r="X961" s="3"/>
      <c r="Y961" s="3"/>
      <c r="Z961" s="3"/>
      <c r="AA961" s="3"/>
      <c r="AB961" s="3"/>
      <c r="AC961" s="3"/>
      <c r="AD961" s="3"/>
      <c r="AE961" s="3"/>
      <c r="AF961" s="3"/>
      <c r="AG961" s="3"/>
      <c r="AH961" s="3"/>
      <c r="AI961" s="3"/>
      <c r="AJ961" s="3"/>
    </row>
    <row r="962" ht="15.75" customHeight="1">
      <c r="C962" s="2"/>
      <c r="R962" s="3"/>
      <c r="S962" s="3"/>
      <c r="T962" s="3"/>
      <c r="U962" s="3"/>
      <c r="V962" s="3"/>
      <c r="W962" s="3"/>
      <c r="X962" s="3"/>
      <c r="Y962" s="3"/>
      <c r="Z962" s="3"/>
      <c r="AA962" s="3"/>
      <c r="AB962" s="3"/>
      <c r="AC962" s="3"/>
      <c r="AD962" s="3"/>
      <c r="AE962" s="3"/>
      <c r="AF962" s="3"/>
      <c r="AG962" s="3"/>
      <c r="AH962" s="3"/>
      <c r="AI962" s="3"/>
      <c r="AJ962" s="3"/>
    </row>
    <row r="963" ht="15.75" customHeight="1">
      <c r="C963" s="2"/>
      <c r="R963" s="3"/>
      <c r="S963" s="3"/>
      <c r="T963" s="3"/>
      <c r="U963" s="3"/>
      <c r="V963" s="3"/>
      <c r="W963" s="3"/>
      <c r="X963" s="3"/>
      <c r="Y963" s="3"/>
      <c r="Z963" s="3"/>
      <c r="AA963" s="3"/>
      <c r="AB963" s="3"/>
      <c r="AC963" s="3"/>
      <c r="AD963" s="3"/>
      <c r="AE963" s="3"/>
      <c r="AF963" s="3"/>
      <c r="AG963" s="3"/>
      <c r="AH963" s="3"/>
      <c r="AI963" s="3"/>
      <c r="AJ963" s="3"/>
    </row>
    <row r="964" ht="15.75" customHeight="1">
      <c r="C964" s="2"/>
      <c r="R964" s="3"/>
      <c r="S964" s="3"/>
      <c r="T964" s="3"/>
      <c r="U964" s="3"/>
      <c r="V964" s="3"/>
      <c r="W964" s="3"/>
      <c r="X964" s="3"/>
      <c r="Y964" s="3"/>
      <c r="Z964" s="3"/>
      <c r="AA964" s="3"/>
      <c r="AB964" s="3"/>
      <c r="AC964" s="3"/>
      <c r="AD964" s="3"/>
      <c r="AE964" s="3"/>
      <c r="AF964" s="3"/>
      <c r="AG964" s="3"/>
      <c r="AH964" s="3"/>
      <c r="AI964" s="3"/>
      <c r="AJ964" s="3"/>
    </row>
    <row r="965" ht="15.75" customHeight="1">
      <c r="C965" s="2"/>
      <c r="R965" s="3"/>
      <c r="S965" s="3"/>
      <c r="T965" s="3"/>
      <c r="U965" s="3"/>
      <c r="V965" s="3"/>
      <c r="W965" s="3"/>
      <c r="X965" s="3"/>
      <c r="Y965" s="3"/>
      <c r="Z965" s="3"/>
      <c r="AA965" s="3"/>
      <c r="AB965" s="3"/>
      <c r="AC965" s="3"/>
      <c r="AD965" s="3"/>
      <c r="AE965" s="3"/>
      <c r="AF965" s="3"/>
      <c r="AG965" s="3"/>
      <c r="AH965" s="3"/>
      <c r="AI965" s="3"/>
      <c r="AJ965" s="3"/>
    </row>
    <row r="966" ht="15.75" customHeight="1">
      <c r="C966" s="2"/>
      <c r="R966" s="3"/>
      <c r="S966" s="3"/>
      <c r="T966" s="3"/>
      <c r="U966" s="3"/>
      <c r="V966" s="3"/>
      <c r="W966" s="3"/>
      <c r="X966" s="3"/>
      <c r="Y966" s="3"/>
      <c r="Z966" s="3"/>
      <c r="AA966" s="3"/>
      <c r="AB966" s="3"/>
      <c r="AC966" s="3"/>
      <c r="AD966" s="3"/>
      <c r="AE966" s="3"/>
      <c r="AF966" s="3"/>
      <c r="AG966" s="3"/>
      <c r="AH966" s="3"/>
      <c r="AI966" s="3"/>
      <c r="AJ966" s="3"/>
    </row>
    <row r="967" ht="15.75" customHeight="1">
      <c r="C967" s="2"/>
      <c r="R967" s="3"/>
      <c r="S967" s="3"/>
      <c r="T967" s="3"/>
      <c r="U967" s="3"/>
      <c r="V967" s="3"/>
      <c r="W967" s="3"/>
      <c r="X967" s="3"/>
      <c r="Y967" s="3"/>
      <c r="Z967" s="3"/>
      <c r="AA967" s="3"/>
      <c r="AB967" s="3"/>
      <c r="AC967" s="3"/>
      <c r="AD967" s="3"/>
      <c r="AE967" s="3"/>
      <c r="AF967" s="3"/>
      <c r="AG967" s="3"/>
      <c r="AH967" s="3"/>
      <c r="AI967" s="3"/>
      <c r="AJ967" s="3"/>
    </row>
    <row r="968" ht="15.75" customHeight="1">
      <c r="C968" s="2"/>
      <c r="R968" s="3"/>
      <c r="S968" s="3"/>
      <c r="T968" s="3"/>
      <c r="U968" s="3"/>
      <c r="V968" s="3"/>
      <c r="W968" s="3"/>
      <c r="X968" s="3"/>
      <c r="Y968" s="3"/>
      <c r="Z968" s="3"/>
      <c r="AA968" s="3"/>
      <c r="AB968" s="3"/>
      <c r="AC968" s="3"/>
      <c r="AD968" s="3"/>
      <c r="AE968" s="3"/>
      <c r="AF968" s="3"/>
      <c r="AG968" s="3"/>
      <c r="AH968" s="3"/>
      <c r="AI968" s="3"/>
      <c r="AJ968" s="3"/>
    </row>
    <row r="969" ht="15.75" customHeight="1">
      <c r="C969" s="2"/>
      <c r="R969" s="3"/>
      <c r="S969" s="3"/>
      <c r="T969" s="3"/>
      <c r="U969" s="3"/>
      <c r="V969" s="3"/>
      <c r="W969" s="3"/>
      <c r="X969" s="3"/>
      <c r="Y969" s="3"/>
      <c r="Z969" s="3"/>
      <c r="AA969" s="3"/>
      <c r="AB969" s="3"/>
      <c r="AC969" s="3"/>
      <c r="AD969" s="3"/>
      <c r="AE969" s="3"/>
      <c r="AF969" s="3"/>
      <c r="AG969" s="3"/>
      <c r="AH969" s="3"/>
      <c r="AI969" s="3"/>
      <c r="AJ969" s="3"/>
    </row>
    <row r="970" ht="15.75" customHeight="1">
      <c r="C970" s="2"/>
      <c r="R970" s="3"/>
      <c r="S970" s="3"/>
      <c r="T970" s="3"/>
      <c r="U970" s="3"/>
      <c r="V970" s="3"/>
      <c r="W970" s="3"/>
      <c r="X970" s="3"/>
      <c r="Y970" s="3"/>
      <c r="Z970" s="3"/>
      <c r="AA970" s="3"/>
      <c r="AB970" s="3"/>
      <c r="AC970" s="3"/>
      <c r="AD970" s="3"/>
      <c r="AE970" s="3"/>
      <c r="AF970" s="3"/>
      <c r="AG970" s="3"/>
      <c r="AH970" s="3"/>
      <c r="AI970" s="3"/>
      <c r="AJ970" s="3"/>
    </row>
    <row r="971" ht="15.75" customHeight="1">
      <c r="C971" s="2"/>
      <c r="R971" s="3"/>
      <c r="S971" s="3"/>
      <c r="T971" s="3"/>
      <c r="U971" s="3"/>
      <c r="V971" s="3"/>
      <c r="W971" s="3"/>
      <c r="X971" s="3"/>
      <c r="Y971" s="3"/>
      <c r="Z971" s="3"/>
      <c r="AA971" s="3"/>
      <c r="AB971" s="3"/>
      <c r="AC971" s="3"/>
      <c r="AD971" s="3"/>
      <c r="AE971" s="3"/>
      <c r="AF971" s="3"/>
      <c r="AG971" s="3"/>
      <c r="AH971" s="3"/>
      <c r="AI971" s="3"/>
      <c r="AJ971" s="3"/>
    </row>
    <row r="972" ht="15.75" customHeight="1">
      <c r="C972" s="2"/>
      <c r="R972" s="3"/>
      <c r="S972" s="3"/>
      <c r="T972" s="3"/>
      <c r="U972" s="3"/>
      <c r="V972" s="3"/>
      <c r="W972" s="3"/>
      <c r="X972" s="3"/>
      <c r="Y972" s="3"/>
      <c r="Z972" s="3"/>
      <c r="AA972" s="3"/>
      <c r="AB972" s="3"/>
      <c r="AC972" s="3"/>
      <c r="AD972" s="3"/>
      <c r="AE972" s="3"/>
      <c r="AF972" s="3"/>
      <c r="AG972" s="3"/>
      <c r="AH972" s="3"/>
      <c r="AI972" s="3"/>
      <c r="AJ972" s="3"/>
    </row>
    <row r="973" ht="15.75" customHeight="1">
      <c r="C973" s="2"/>
      <c r="R973" s="3"/>
      <c r="S973" s="3"/>
      <c r="T973" s="3"/>
      <c r="U973" s="3"/>
      <c r="V973" s="3"/>
      <c r="W973" s="3"/>
      <c r="X973" s="3"/>
      <c r="Y973" s="3"/>
      <c r="Z973" s="3"/>
      <c r="AA973" s="3"/>
      <c r="AB973" s="3"/>
      <c r="AC973" s="3"/>
      <c r="AD973" s="3"/>
      <c r="AE973" s="3"/>
      <c r="AF973" s="3"/>
      <c r="AG973" s="3"/>
      <c r="AH973" s="3"/>
      <c r="AI973" s="3"/>
      <c r="AJ973" s="3"/>
    </row>
    <row r="974" ht="15.75" customHeight="1">
      <c r="C974" s="2"/>
      <c r="R974" s="3"/>
      <c r="S974" s="3"/>
      <c r="T974" s="3"/>
      <c r="U974" s="3"/>
      <c r="V974" s="3"/>
      <c r="W974" s="3"/>
      <c r="X974" s="3"/>
      <c r="Y974" s="3"/>
      <c r="Z974" s="3"/>
      <c r="AA974" s="3"/>
      <c r="AB974" s="3"/>
      <c r="AC974" s="3"/>
      <c r="AD974" s="3"/>
      <c r="AE974" s="3"/>
      <c r="AF974" s="3"/>
      <c r="AG974" s="3"/>
      <c r="AH974" s="3"/>
      <c r="AI974" s="3"/>
      <c r="AJ974" s="3"/>
    </row>
    <row r="975" ht="15.75" customHeight="1">
      <c r="C975" s="2"/>
      <c r="R975" s="3"/>
      <c r="S975" s="3"/>
      <c r="T975" s="3"/>
      <c r="U975" s="3"/>
      <c r="V975" s="3"/>
      <c r="W975" s="3"/>
      <c r="X975" s="3"/>
      <c r="Y975" s="3"/>
      <c r="Z975" s="3"/>
      <c r="AA975" s="3"/>
      <c r="AB975" s="3"/>
      <c r="AC975" s="3"/>
      <c r="AD975" s="3"/>
      <c r="AE975" s="3"/>
      <c r="AF975" s="3"/>
      <c r="AG975" s="3"/>
      <c r="AH975" s="3"/>
      <c r="AI975" s="3"/>
      <c r="AJ975" s="3"/>
    </row>
    <row r="976" ht="15.75" customHeight="1">
      <c r="C976" s="2"/>
      <c r="R976" s="3"/>
      <c r="S976" s="3"/>
      <c r="T976" s="3"/>
      <c r="U976" s="3"/>
      <c r="V976" s="3"/>
      <c r="W976" s="3"/>
      <c r="X976" s="3"/>
      <c r="Y976" s="3"/>
      <c r="Z976" s="3"/>
      <c r="AA976" s="3"/>
      <c r="AB976" s="3"/>
      <c r="AC976" s="3"/>
      <c r="AD976" s="3"/>
      <c r="AE976" s="3"/>
      <c r="AF976" s="3"/>
      <c r="AG976" s="3"/>
      <c r="AH976" s="3"/>
      <c r="AI976" s="3"/>
      <c r="AJ976" s="3"/>
    </row>
    <row r="977" ht="15.75" customHeight="1">
      <c r="C977" s="2"/>
      <c r="R977" s="3"/>
      <c r="S977" s="3"/>
      <c r="T977" s="3"/>
      <c r="U977" s="3"/>
      <c r="V977" s="3"/>
      <c r="W977" s="3"/>
      <c r="X977" s="3"/>
      <c r="Y977" s="3"/>
      <c r="Z977" s="3"/>
      <c r="AA977" s="3"/>
      <c r="AB977" s="3"/>
      <c r="AC977" s="3"/>
      <c r="AD977" s="3"/>
      <c r="AE977" s="3"/>
      <c r="AF977" s="3"/>
      <c r="AG977" s="3"/>
      <c r="AH977" s="3"/>
      <c r="AI977" s="3"/>
      <c r="AJ977" s="3"/>
    </row>
    <row r="978" ht="15.75" customHeight="1">
      <c r="C978" s="2"/>
      <c r="R978" s="3"/>
      <c r="S978" s="3"/>
      <c r="T978" s="3"/>
      <c r="U978" s="3"/>
      <c r="V978" s="3"/>
      <c r="W978" s="3"/>
      <c r="X978" s="3"/>
      <c r="Y978" s="3"/>
      <c r="Z978" s="3"/>
      <c r="AA978" s="3"/>
      <c r="AB978" s="3"/>
      <c r="AC978" s="3"/>
      <c r="AD978" s="3"/>
      <c r="AE978" s="3"/>
      <c r="AF978" s="3"/>
      <c r="AG978" s="3"/>
      <c r="AH978" s="3"/>
      <c r="AI978" s="3"/>
      <c r="AJ978" s="3"/>
    </row>
    <row r="979" ht="15.75" customHeight="1">
      <c r="C979" s="2"/>
      <c r="R979" s="3"/>
      <c r="S979" s="3"/>
      <c r="T979" s="3"/>
      <c r="U979" s="3"/>
      <c r="V979" s="3"/>
      <c r="W979" s="3"/>
      <c r="X979" s="3"/>
      <c r="Y979" s="3"/>
      <c r="Z979" s="3"/>
      <c r="AA979" s="3"/>
      <c r="AB979" s="3"/>
      <c r="AC979" s="3"/>
      <c r="AD979" s="3"/>
      <c r="AE979" s="3"/>
      <c r="AF979" s="3"/>
      <c r="AG979" s="3"/>
      <c r="AH979" s="3"/>
      <c r="AI979" s="3"/>
      <c r="AJ979" s="3"/>
    </row>
    <row r="980" ht="15.75" customHeight="1">
      <c r="C980" s="2"/>
      <c r="R980" s="3"/>
      <c r="S980" s="3"/>
      <c r="T980" s="3"/>
      <c r="U980" s="3"/>
      <c r="V980" s="3"/>
      <c r="W980" s="3"/>
      <c r="X980" s="3"/>
      <c r="Y980" s="3"/>
      <c r="Z980" s="3"/>
      <c r="AA980" s="3"/>
      <c r="AB980" s="3"/>
      <c r="AC980" s="3"/>
      <c r="AD980" s="3"/>
      <c r="AE980" s="3"/>
      <c r="AF980" s="3"/>
      <c r="AG980" s="3"/>
      <c r="AH980" s="3"/>
      <c r="AI980" s="3"/>
      <c r="AJ980" s="3"/>
    </row>
    <row r="981" ht="15.75" customHeight="1">
      <c r="C981" s="2"/>
      <c r="R981" s="3"/>
      <c r="S981" s="3"/>
      <c r="T981" s="3"/>
      <c r="U981" s="3"/>
      <c r="V981" s="3"/>
      <c r="W981" s="3"/>
      <c r="X981" s="3"/>
      <c r="Y981" s="3"/>
      <c r="Z981" s="3"/>
      <c r="AA981" s="3"/>
      <c r="AB981" s="3"/>
      <c r="AC981" s="3"/>
      <c r="AD981" s="3"/>
      <c r="AE981" s="3"/>
      <c r="AF981" s="3"/>
      <c r="AG981" s="3"/>
      <c r="AH981" s="3"/>
      <c r="AI981" s="3"/>
      <c r="AJ981" s="3"/>
    </row>
    <row r="982" ht="15.75" customHeight="1">
      <c r="C982" s="2"/>
      <c r="R982" s="3"/>
      <c r="S982" s="3"/>
      <c r="T982" s="3"/>
      <c r="U982" s="3"/>
      <c r="V982" s="3"/>
      <c r="W982" s="3"/>
      <c r="X982" s="3"/>
      <c r="Y982" s="3"/>
      <c r="Z982" s="3"/>
      <c r="AA982" s="3"/>
      <c r="AB982" s="3"/>
      <c r="AC982" s="3"/>
      <c r="AD982" s="3"/>
      <c r="AE982" s="3"/>
      <c r="AF982" s="3"/>
      <c r="AG982" s="3"/>
      <c r="AH982" s="3"/>
      <c r="AI982" s="3"/>
      <c r="AJ982" s="3"/>
    </row>
    <row r="983" ht="15.75" customHeight="1">
      <c r="C983" s="2"/>
      <c r="R983" s="3"/>
      <c r="S983" s="3"/>
      <c r="T983" s="3"/>
      <c r="U983" s="3"/>
      <c r="V983" s="3"/>
      <c r="W983" s="3"/>
      <c r="X983" s="3"/>
      <c r="Y983" s="3"/>
      <c r="Z983" s="3"/>
      <c r="AA983" s="3"/>
      <c r="AB983" s="3"/>
      <c r="AC983" s="3"/>
      <c r="AD983" s="3"/>
      <c r="AE983" s="3"/>
      <c r="AF983" s="3"/>
      <c r="AG983" s="3"/>
      <c r="AH983" s="3"/>
      <c r="AI983" s="3"/>
      <c r="AJ983" s="3"/>
    </row>
    <row r="984" ht="15.75" customHeight="1">
      <c r="C984" s="2"/>
      <c r="R984" s="3"/>
      <c r="S984" s="3"/>
      <c r="T984" s="3"/>
      <c r="U984" s="3"/>
      <c r="V984" s="3"/>
      <c r="W984" s="3"/>
      <c r="X984" s="3"/>
      <c r="Y984" s="3"/>
      <c r="Z984" s="3"/>
      <c r="AA984" s="3"/>
      <c r="AB984" s="3"/>
      <c r="AC984" s="3"/>
      <c r="AD984" s="3"/>
      <c r="AE984" s="3"/>
      <c r="AF984" s="3"/>
      <c r="AG984" s="3"/>
      <c r="AH984" s="3"/>
      <c r="AI984" s="3"/>
      <c r="AJ984" s="3"/>
    </row>
    <row r="985" ht="15.75" customHeight="1">
      <c r="C985" s="2"/>
      <c r="R985" s="3"/>
      <c r="S985" s="3"/>
      <c r="T985" s="3"/>
      <c r="U985" s="3"/>
      <c r="V985" s="3"/>
      <c r="W985" s="3"/>
      <c r="X985" s="3"/>
      <c r="Y985" s="3"/>
      <c r="Z985" s="3"/>
      <c r="AA985" s="3"/>
      <c r="AB985" s="3"/>
      <c r="AC985" s="3"/>
      <c r="AD985" s="3"/>
      <c r="AE985" s="3"/>
      <c r="AF985" s="3"/>
      <c r="AG985" s="3"/>
      <c r="AH985" s="3"/>
      <c r="AI985" s="3"/>
      <c r="AJ985" s="3"/>
    </row>
    <row r="986" ht="15.75" customHeight="1">
      <c r="C986" s="2"/>
      <c r="R986" s="3"/>
      <c r="S986" s="3"/>
      <c r="T986" s="3"/>
      <c r="U986" s="3"/>
      <c r="V986" s="3"/>
      <c r="W986" s="3"/>
      <c r="X986" s="3"/>
      <c r="Y986" s="3"/>
      <c r="Z986" s="3"/>
      <c r="AA986" s="3"/>
      <c r="AB986" s="3"/>
      <c r="AC986" s="3"/>
      <c r="AD986" s="3"/>
      <c r="AE986" s="3"/>
      <c r="AF986" s="3"/>
      <c r="AG986" s="3"/>
      <c r="AH986" s="3"/>
      <c r="AI986" s="3"/>
      <c r="AJ986" s="3"/>
    </row>
    <row r="987" ht="15.75" customHeight="1">
      <c r="C987" s="2"/>
      <c r="R987" s="3"/>
      <c r="S987" s="3"/>
      <c r="T987" s="3"/>
      <c r="U987" s="3"/>
      <c r="V987" s="3"/>
      <c r="W987" s="3"/>
      <c r="X987" s="3"/>
      <c r="Y987" s="3"/>
      <c r="Z987" s="3"/>
      <c r="AA987" s="3"/>
      <c r="AB987" s="3"/>
      <c r="AC987" s="3"/>
      <c r="AD987" s="3"/>
      <c r="AE987" s="3"/>
      <c r="AF987" s="3"/>
      <c r="AG987" s="3"/>
      <c r="AH987" s="3"/>
      <c r="AI987" s="3"/>
      <c r="AJ987" s="3"/>
    </row>
    <row r="988" ht="15.75" customHeight="1">
      <c r="C988" s="2"/>
      <c r="R988" s="3"/>
      <c r="S988" s="3"/>
      <c r="T988" s="3"/>
      <c r="U988" s="3"/>
      <c r="V988" s="3"/>
      <c r="W988" s="3"/>
      <c r="X988" s="3"/>
      <c r="Y988" s="3"/>
      <c r="Z988" s="3"/>
      <c r="AA988" s="3"/>
      <c r="AB988" s="3"/>
      <c r="AC988" s="3"/>
      <c r="AD988" s="3"/>
      <c r="AE988" s="3"/>
      <c r="AF988" s="3"/>
      <c r="AG988" s="3"/>
      <c r="AH988" s="3"/>
      <c r="AI988" s="3"/>
      <c r="AJ988" s="3"/>
    </row>
    <row r="989" ht="15.75" customHeight="1">
      <c r="C989" s="2"/>
      <c r="R989" s="3"/>
      <c r="S989" s="3"/>
      <c r="T989" s="3"/>
      <c r="U989" s="3"/>
      <c r="V989" s="3"/>
      <c r="W989" s="3"/>
      <c r="X989" s="3"/>
      <c r="Y989" s="3"/>
      <c r="Z989" s="3"/>
      <c r="AA989" s="3"/>
      <c r="AB989" s="3"/>
      <c r="AC989" s="3"/>
      <c r="AD989" s="3"/>
      <c r="AE989" s="3"/>
      <c r="AF989" s="3"/>
      <c r="AG989" s="3"/>
      <c r="AH989" s="3"/>
      <c r="AI989" s="3"/>
      <c r="AJ989" s="3"/>
    </row>
    <row r="990" ht="15.75" customHeight="1">
      <c r="C990" s="2"/>
      <c r="R990" s="3"/>
      <c r="S990" s="3"/>
      <c r="T990" s="3"/>
      <c r="U990" s="3"/>
      <c r="V990" s="3"/>
      <c r="W990" s="3"/>
      <c r="X990" s="3"/>
      <c r="Y990" s="3"/>
      <c r="Z990" s="3"/>
      <c r="AA990" s="3"/>
      <c r="AB990" s="3"/>
      <c r="AC990" s="3"/>
      <c r="AD990" s="3"/>
      <c r="AE990" s="3"/>
      <c r="AF990" s="3"/>
      <c r="AG990" s="3"/>
      <c r="AH990" s="3"/>
      <c r="AI990" s="3"/>
      <c r="AJ990" s="3"/>
    </row>
    <row r="991" ht="15.75" customHeight="1">
      <c r="C991" s="2"/>
      <c r="R991" s="3"/>
      <c r="S991" s="3"/>
      <c r="T991" s="3"/>
      <c r="U991" s="3"/>
      <c r="V991" s="3"/>
      <c r="W991" s="3"/>
      <c r="X991" s="3"/>
      <c r="Y991" s="3"/>
      <c r="Z991" s="3"/>
      <c r="AA991" s="3"/>
      <c r="AB991" s="3"/>
      <c r="AC991" s="3"/>
      <c r="AD991" s="3"/>
      <c r="AE991" s="3"/>
      <c r="AF991" s="3"/>
      <c r="AG991" s="3"/>
      <c r="AH991" s="3"/>
      <c r="AI991" s="3"/>
      <c r="AJ991" s="3"/>
    </row>
    <row r="992" ht="15.75" customHeight="1">
      <c r="C992" s="2"/>
      <c r="R992" s="3"/>
      <c r="S992" s="3"/>
      <c r="T992" s="3"/>
      <c r="U992" s="3"/>
      <c r="V992" s="3"/>
      <c r="W992" s="3"/>
      <c r="X992" s="3"/>
      <c r="Y992" s="3"/>
      <c r="Z992" s="3"/>
      <c r="AA992" s="3"/>
      <c r="AB992" s="3"/>
      <c r="AC992" s="3"/>
      <c r="AD992" s="3"/>
      <c r="AE992" s="3"/>
      <c r="AF992" s="3"/>
      <c r="AG992" s="3"/>
      <c r="AH992" s="3"/>
      <c r="AI992" s="3"/>
      <c r="AJ992" s="3"/>
    </row>
    <row r="993" ht="15.75" customHeight="1">
      <c r="C993" s="2"/>
      <c r="R993" s="3"/>
      <c r="S993" s="3"/>
      <c r="T993" s="3"/>
      <c r="U993" s="3"/>
      <c r="V993" s="3"/>
      <c r="W993" s="3"/>
      <c r="X993" s="3"/>
      <c r="Y993" s="3"/>
      <c r="Z993" s="3"/>
      <c r="AA993" s="3"/>
      <c r="AB993" s="3"/>
      <c r="AC993" s="3"/>
      <c r="AD993" s="3"/>
      <c r="AE993" s="3"/>
      <c r="AF993" s="3"/>
      <c r="AG993" s="3"/>
      <c r="AH993" s="3"/>
      <c r="AI993" s="3"/>
      <c r="AJ993" s="3"/>
    </row>
    <row r="994" ht="15.75" customHeight="1">
      <c r="C994" s="2"/>
      <c r="R994" s="3"/>
      <c r="S994" s="3"/>
      <c r="T994" s="3"/>
      <c r="U994" s="3"/>
      <c r="V994" s="3"/>
      <c r="W994" s="3"/>
      <c r="X994" s="3"/>
      <c r="Y994" s="3"/>
      <c r="Z994" s="3"/>
      <c r="AA994" s="3"/>
      <c r="AB994" s="3"/>
      <c r="AC994" s="3"/>
      <c r="AD994" s="3"/>
      <c r="AE994" s="3"/>
      <c r="AF994" s="3"/>
      <c r="AG994" s="3"/>
      <c r="AH994" s="3"/>
      <c r="AI994" s="3"/>
      <c r="AJ994" s="3"/>
    </row>
    <row r="995" ht="15.75" customHeight="1">
      <c r="C995" s="2"/>
      <c r="R995" s="3"/>
      <c r="S995" s="3"/>
      <c r="T995" s="3"/>
      <c r="U995" s="3"/>
      <c r="V995" s="3"/>
      <c r="W995" s="3"/>
      <c r="X995" s="3"/>
      <c r="Y995" s="3"/>
      <c r="Z995" s="3"/>
      <c r="AA995" s="3"/>
      <c r="AB995" s="3"/>
      <c r="AC995" s="3"/>
      <c r="AD995" s="3"/>
      <c r="AE995" s="3"/>
      <c r="AF995" s="3"/>
      <c r="AG995" s="3"/>
      <c r="AH995" s="3"/>
      <c r="AI995" s="3"/>
      <c r="AJ995" s="3"/>
    </row>
    <row r="996" ht="15.75" customHeight="1">
      <c r="C996" s="2"/>
      <c r="R996" s="3"/>
      <c r="S996" s="3"/>
      <c r="T996" s="3"/>
      <c r="U996" s="3"/>
      <c r="V996" s="3"/>
      <c r="W996" s="3"/>
      <c r="X996" s="3"/>
      <c r="Y996" s="3"/>
      <c r="Z996" s="3"/>
      <c r="AA996" s="3"/>
      <c r="AB996" s="3"/>
      <c r="AC996" s="3"/>
      <c r="AD996" s="3"/>
      <c r="AE996" s="3"/>
      <c r="AF996" s="3"/>
      <c r="AG996" s="3"/>
      <c r="AH996" s="3"/>
      <c r="AI996" s="3"/>
      <c r="AJ996" s="3"/>
    </row>
    <row r="997" ht="15.75" customHeight="1">
      <c r="C997" s="2"/>
      <c r="R997" s="3"/>
      <c r="S997" s="3"/>
      <c r="T997" s="3"/>
      <c r="U997" s="3"/>
      <c r="V997" s="3"/>
      <c r="W997" s="3"/>
      <c r="X997" s="3"/>
      <c r="Y997" s="3"/>
      <c r="Z997" s="3"/>
      <c r="AA997" s="3"/>
      <c r="AB997" s="3"/>
      <c r="AC997" s="3"/>
      <c r="AD997" s="3"/>
      <c r="AE997" s="3"/>
      <c r="AF997" s="3"/>
      <c r="AG997" s="3"/>
      <c r="AH997" s="3"/>
      <c r="AI997" s="3"/>
      <c r="AJ997" s="3"/>
    </row>
    <row r="998" ht="15.75" customHeight="1">
      <c r="C998" s="2"/>
      <c r="R998" s="3"/>
      <c r="S998" s="3"/>
      <c r="T998" s="3"/>
      <c r="U998" s="3"/>
      <c r="V998" s="3"/>
      <c r="W998" s="3"/>
      <c r="X998" s="3"/>
      <c r="Y998" s="3"/>
      <c r="Z998" s="3"/>
      <c r="AA998" s="3"/>
      <c r="AB998" s="3"/>
      <c r="AC998" s="3"/>
      <c r="AD998" s="3"/>
      <c r="AE998" s="3"/>
      <c r="AF998" s="3"/>
      <c r="AG998" s="3"/>
      <c r="AH998" s="3"/>
      <c r="AI998" s="3"/>
      <c r="AJ998" s="3"/>
    </row>
    <row r="999" ht="15.75" customHeight="1">
      <c r="C999" s="2"/>
      <c r="R999" s="3"/>
      <c r="S999" s="3"/>
      <c r="T999" s="3"/>
      <c r="U999" s="3"/>
      <c r="V999" s="3"/>
      <c r="W999" s="3"/>
      <c r="X999" s="3"/>
      <c r="Y999" s="3"/>
      <c r="Z999" s="3"/>
      <c r="AA999" s="3"/>
      <c r="AB999" s="3"/>
      <c r="AC999" s="3"/>
      <c r="AD999" s="3"/>
      <c r="AE999" s="3"/>
      <c r="AF999" s="3"/>
      <c r="AG999" s="3"/>
      <c r="AH999" s="3"/>
      <c r="AI999" s="3"/>
      <c r="AJ999" s="3"/>
    </row>
    <row r="1000" ht="15.75" customHeight="1">
      <c r="C1000" s="2"/>
      <c r="R1000" s="3"/>
      <c r="S1000" s="3"/>
      <c r="T1000" s="3"/>
      <c r="U1000" s="3"/>
      <c r="V1000" s="3"/>
      <c r="W1000" s="3"/>
      <c r="X1000" s="3"/>
      <c r="Y1000" s="3"/>
      <c r="Z1000" s="3"/>
      <c r="AA1000" s="3"/>
      <c r="AB1000" s="3"/>
      <c r="AC1000" s="3"/>
      <c r="AD1000" s="3"/>
      <c r="AE1000" s="3"/>
      <c r="AF1000" s="3"/>
      <c r="AG1000" s="3"/>
      <c r="AH1000" s="3"/>
      <c r="AI1000" s="3"/>
      <c r="AJ1000" s="3"/>
    </row>
    <row r="1001" ht="15.75" customHeight="1">
      <c r="C1001" s="2"/>
      <c r="R1001" s="3"/>
      <c r="S1001" s="3"/>
      <c r="T1001" s="3"/>
      <c r="U1001" s="3"/>
      <c r="V1001" s="3"/>
      <c r="W1001" s="3"/>
      <c r="X1001" s="3"/>
      <c r="Y1001" s="3"/>
      <c r="Z1001" s="3"/>
      <c r="AA1001" s="3"/>
      <c r="AB1001" s="3"/>
      <c r="AC1001" s="3"/>
      <c r="AD1001" s="3"/>
      <c r="AE1001" s="3"/>
      <c r="AF1001" s="3"/>
      <c r="AG1001" s="3"/>
      <c r="AH1001" s="3"/>
      <c r="AI1001" s="3"/>
      <c r="AJ1001" s="3"/>
    </row>
    <row r="1002" ht="15.75" customHeight="1">
      <c r="C1002" s="2"/>
      <c r="R1002" s="3"/>
      <c r="S1002" s="3"/>
      <c r="T1002" s="3"/>
      <c r="U1002" s="3"/>
      <c r="V1002" s="3"/>
      <c r="W1002" s="3"/>
      <c r="X1002" s="3"/>
      <c r="Y1002" s="3"/>
      <c r="Z1002" s="3"/>
      <c r="AA1002" s="3"/>
      <c r="AB1002" s="3"/>
      <c r="AC1002" s="3"/>
      <c r="AD1002" s="3"/>
      <c r="AE1002" s="3"/>
      <c r="AF1002" s="3"/>
      <c r="AG1002" s="3"/>
      <c r="AH1002" s="3"/>
      <c r="AI1002" s="3"/>
      <c r="AJ1002" s="3"/>
    </row>
    <row r="1003" ht="15.75" customHeight="1">
      <c r="C1003" s="2"/>
      <c r="R1003" s="3"/>
      <c r="S1003" s="3"/>
      <c r="T1003" s="3"/>
      <c r="U1003" s="3"/>
      <c r="V1003" s="3"/>
      <c r="W1003" s="3"/>
      <c r="X1003" s="3"/>
      <c r="Y1003" s="3"/>
      <c r="Z1003" s="3"/>
      <c r="AA1003" s="3"/>
      <c r="AB1003" s="3"/>
      <c r="AC1003" s="3"/>
      <c r="AD1003" s="3"/>
      <c r="AE1003" s="3"/>
      <c r="AF1003" s="3"/>
      <c r="AG1003" s="3"/>
      <c r="AH1003" s="3"/>
      <c r="AI1003" s="3"/>
      <c r="AJ1003" s="3"/>
    </row>
    <row r="1004" ht="15.75" customHeight="1">
      <c r="C1004" s="2"/>
      <c r="R1004" s="3"/>
      <c r="S1004" s="3"/>
      <c r="T1004" s="3"/>
      <c r="U1004" s="3"/>
      <c r="V1004" s="3"/>
      <c r="W1004" s="3"/>
      <c r="X1004" s="3"/>
      <c r="Y1004" s="3"/>
      <c r="Z1004" s="3"/>
      <c r="AA1004" s="3"/>
      <c r="AB1004" s="3"/>
      <c r="AC1004" s="3"/>
      <c r="AD1004" s="3"/>
      <c r="AE1004" s="3"/>
      <c r="AF1004" s="3"/>
      <c r="AG1004" s="3"/>
      <c r="AH1004" s="3"/>
      <c r="AI1004" s="3"/>
      <c r="AJ1004" s="3"/>
    </row>
    <row r="1005" ht="15.75" customHeight="1">
      <c r="C1005" s="2"/>
      <c r="R1005" s="3"/>
      <c r="S1005" s="3"/>
      <c r="T1005" s="3"/>
      <c r="U1005" s="3"/>
      <c r="V1005" s="3"/>
      <c r="W1005" s="3"/>
      <c r="X1005" s="3"/>
      <c r="Y1005" s="3"/>
      <c r="Z1005" s="3"/>
      <c r="AA1005" s="3"/>
      <c r="AB1005" s="3"/>
      <c r="AC1005" s="3"/>
      <c r="AD1005" s="3"/>
      <c r="AE1005" s="3"/>
      <c r="AF1005" s="3"/>
      <c r="AG1005" s="3"/>
      <c r="AH1005" s="3"/>
      <c r="AI1005" s="3"/>
      <c r="AJ1005" s="3"/>
    </row>
    <row r="1006" ht="15.75" customHeight="1">
      <c r="C1006" s="2"/>
      <c r="R1006" s="3"/>
      <c r="S1006" s="3"/>
      <c r="T1006" s="3"/>
      <c r="U1006" s="3"/>
      <c r="V1006" s="3"/>
      <c r="W1006" s="3"/>
      <c r="X1006" s="3"/>
      <c r="Y1006" s="3"/>
      <c r="Z1006" s="3"/>
      <c r="AA1006" s="3"/>
      <c r="AB1006" s="3"/>
      <c r="AC1006" s="3"/>
      <c r="AD1006" s="3"/>
      <c r="AE1006" s="3"/>
      <c r="AF1006" s="3"/>
      <c r="AG1006" s="3"/>
      <c r="AH1006" s="3"/>
      <c r="AI1006" s="3"/>
      <c r="AJ1006" s="3"/>
    </row>
    <row r="1007" ht="15.75" customHeight="1">
      <c r="C1007" s="2"/>
      <c r="R1007" s="3"/>
      <c r="S1007" s="3"/>
      <c r="T1007" s="3"/>
      <c r="U1007" s="3"/>
      <c r="V1007" s="3"/>
      <c r="W1007" s="3"/>
      <c r="X1007" s="3"/>
      <c r="Y1007" s="3"/>
      <c r="Z1007" s="3"/>
      <c r="AA1007" s="3"/>
      <c r="AB1007" s="3"/>
      <c r="AC1007" s="3"/>
      <c r="AD1007" s="3"/>
      <c r="AE1007" s="3"/>
      <c r="AF1007" s="3"/>
      <c r="AG1007" s="3"/>
      <c r="AH1007" s="3"/>
      <c r="AI1007" s="3"/>
      <c r="AJ1007" s="3"/>
    </row>
    <row r="1008" ht="15.75" customHeight="1">
      <c r="C1008" s="2"/>
      <c r="R1008" s="3"/>
      <c r="S1008" s="3"/>
      <c r="T1008" s="3"/>
      <c r="U1008" s="3"/>
      <c r="V1008" s="3"/>
      <c r="W1008" s="3"/>
      <c r="X1008" s="3"/>
      <c r="Y1008" s="3"/>
      <c r="Z1008" s="3"/>
      <c r="AA1008" s="3"/>
      <c r="AB1008" s="3"/>
      <c r="AC1008" s="3"/>
      <c r="AD1008" s="3"/>
      <c r="AE1008" s="3"/>
      <c r="AF1008" s="3"/>
      <c r="AG1008" s="3"/>
      <c r="AH1008" s="3"/>
      <c r="AI1008" s="3"/>
      <c r="AJ1008" s="3"/>
    </row>
    <row r="1009" ht="15.75" customHeight="1">
      <c r="C1009" s="2"/>
      <c r="R1009" s="3"/>
      <c r="S1009" s="3"/>
      <c r="T1009" s="3"/>
      <c r="U1009" s="3"/>
      <c r="V1009" s="3"/>
      <c r="W1009" s="3"/>
      <c r="X1009" s="3"/>
      <c r="Y1009" s="3"/>
      <c r="Z1009" s="3"/>
      <c r="AA1009" s="3"/>
      <c r="AB1009" s="3"/>
      <c r="AC1009" s="3"/>
      <c r="AD1009" s="3"/>
      <c r="AE1009" s="3"/>
      <c r="AF1009" s="3"/>
      <c r="AG1009" s="3"/>
      <c r="AH1009" s="3"/>
      <c r="AI1009" s="3"/>
      <c r="AJ1009" s="3"/>
    </row>
    <row r="1010" ht="15.75" customHeight="1">
      <c r="C1010" s="2"/>
      <c r="R1010" s="3"/>
      <c r="S1010" s="3"/>
      <c r="T1010" s="3"/>
      <c r="U1010" s="3"/>
      <c r="V1010" s="3"/>
      <c r="W1010" s="3"/>
      <c r="X1010" s="3"/>
      <c r="Y1010" s="3"/>
      <c r="Z1010" s="3"/>
      <c r="AA1010" s="3"/>
      <c r="AB1010" s="3"/>
      <c r="AC1010" s="3"/>
      <c r="AD1010" s="3"/>
      <c r="AE1010" s="3"/>
      <c r="AF1010" s="3"/>
      <c r="AG1010" s="3"/>
      <c r="AH1010" s="3"/>
      <c r="AI1010" s="3"/>
      <c r="AJ1010" s="3"/>
    </row>
    <row r="1011" ht="15.75" customHeight="1">
      <c r="C1011" s="2"/>
      <c r="R1011" s="3"/>
      <c r="S1011" s="3"/>
      <c r="T1011" s="3"/>
      <c r="U1011" s="3"/>
      <c r="V1011" s="3"/>
      <c r="W1011" s="3"/>
      <c r="X1011" s="3"/>
      <c r="Y1011" s="3"/>
      <c r="Z1011" s="3"/>
      <c r="AA1011" s="3"/>
      <c r="AB1011" s="3"/>
      <c r="AC1011" s="3"/>
      <c r="AD1011" s="3"/>
      <c r="AE1011" s="3"/>
      <c r="AF1011" s="3"/>
      <c r="AG1011" s="3"/>
      <c r="AH1011" s="3"/>
      <c r="AI1011" s="3"/>
      <c r="AJ1011" s="3"/>
    </row>
    <row r="1012" ht="15.75" customHeight="1">
      <c r="C1012" s="2"/>
      <c r="R1012" s="3"/>
      <c r="S1012" s="3"/>
      <c r="T1012" s="3"/>
      <c r="U1012" s="3"/>
      <c r="V1012" s="3"/>
      <c r="W1012" s="3"/>
      <c r="X1012" s="3"/>
      <c r="Y1012" s="3"/>
      <c r="Z1012" s="3"/>
      <c r="AA1012" s="3"/>
      <c r="AB1012" s="3"/>
      <c r="AC1012" s="3"/>
      <c r="AD1012" s="3"/>
      <c r="AE1012" s="3"/>
      <c r="AF1012" s="3"/>
      <c r="AG1012" s="3"/>
      <c r="AH1012" s="3"/>
      <c r="AI1012" s="3"/>
      <c r="AJ1012" s="3"/>
    </row>
    <row r="1013" ht="15.75" customHeight="1">
      <c r="C1013" s="2"/>
      <c r="R1013" s="3"/>
      <c r="S1013" s="3"/>
      <c r="T1013" s="3"/>
      <c r="U1013" s="3"/>
      <c r="V1013" s="3"/>
      <c r="W1013" s="3"/>
      <c r="X1013" s="3"/>
      <c r="Y1013" s="3"/>
      <c r="Z1013" s="3"/>
      <c r="AA1013" s="3"/>
      <c r="AB1013" s="3"/>
      <c r="AC1013" s="3"/>
      <c r="AD1013" s="3"/>
      <c r="AE1013" s="3"/>
      <c r="AF1013" s="3"/>
      <c r="AG1013" s="3"/>
      <c r="AH1013" s="3"/>
      <c r="AI1013" s="3"/>
      <c r="AJ1013" s="3"/>
    </row>
    <row r="1014" ht="15.75" customHeight="1">
      <c r="C1014" s="2"/>
      <c r="R1014" s="3"/>
      <c r="S1014" s="3"/>
      <c r="T1014" s="3"/>
      <c r="U1014" s="3"/>
      <c r="V1014" s="3"/>
      <c r="W1014" s="3"/>
      <c r="X1014" s="3"/>
      <c r="Y1014" s="3"/>
      <c r="Z1014" s="3"/>
      <c r="AA1014" s="3"/>
      <c r="AB1014" s="3"/>
      <c r="AC1014" s="3"/>
      <c r="AD1014" s="3"/>
      <c r="AE1014" s="3"/>
      <c r="AF1014" s="3"/>
      <c r="AG1014" s="3"/>
      <c r="AH1014" s="3"/>
      <c r="AI1014" s="3"/>
      <c r="AJ1014" s="3"/>
    </row>
    <row r="1015" ht="15.75" customHeight="1">
      <c r="C1015" s="2"/>
      <c r="R1015" s="3"/>
      <c r="S1015" s="3"/>
      <c r="T1015" s="3"/>
      <c r="U1015" s="3"/>
      <c r="V1015" s="3"/>
      <c r="W1015" s="3"/>
      <c r="X1015" s="3"/>
      <c r="Y1015" s="3"/>
      <c r="Z1015" s="3"/>
      <c r="AA1015" s="3"/>
      <c r="AB1015" s="3"/>
      <c r="AC1015" s="3"/>
      <c r="AD1015" s="3"/>
      <c r="AE1015" s="3"/>
      <c r="AF1015" s="3"/>
      <c r="AG1015" s="3"/>
      <c r="AH1015" s="3"/>
      <c r="AI1015" s="3"/>
      <c r="AJ1015" s="3"/>
    </row>
    <row r="1016" ht="15.75" customHeight="1">
      <c r="C1016" s="2"/>
      <c r="R1016" s="3"/>
      <c r="S1016" s="3"/>
      <c r="T1016" s="3"/>
      <c r="U1016" s="3"/>
      <c r="V1016" s="3"/>
      <c r="W1016" s="3"/>
      <c r="X1016" s="3"/>
      <c r="Y1016" s="3"/>
      <c r="Z1016" s="3"/>
      <c r="AA1016" s="3"/>
      <c r="AB1016" s="3"/>
      <c r="AC1016" s="3"/>
      <c r="AD1016" s="3"/>
      <c r="AE1016" s="3"/>
      <c r="AF1016" s="3"/>
      <c r="AG1016" s="3"/>
      <c r="AH1016" s="3"/>
      <c r="AI1016" s="3"/>
      <c r="AJ1016" s="3"/>
    </row>
    <row r="1017" ht="15.75" customHeight="1">
      <c r="C1017" s="2"/>
      <c r="R1017" s="3"/>
      <c r="S1017" s="3"/>
      <c r="T1017" s="3"/>
      <c r="U1017" s="3"/>
      <c r="V1017" s="3"/>
      <c r="W1017" s="3"/>
      <c r="X1017" s="3"/>
      <c r="Y1017" s="3"/>
      <c r="Z1017" s="3"/>
      <c r="AA1017" s="3"/>
      <c r="AB1017" s="3"/>
      <c r="AC1017" s="3"/>
      <c r="AD1017" s="3"/>
      <c r="AE1017" s="3"/>
      <c r="AF1017" s="3"/>
      <c r="AG1017" s="3"/>
      <c r="AH1017" s="3"/>
      <c r="AI1017" s="3"/>
      <c r="AJ1017" s="3"/>
    </row>
  </sheetData>
  <mergeCells count="23">
    <mergeCell ref="A1:P1"/>
    <mergeCell ref="B2:P2"/>
    <mergeCell ref="J3:L3"/>
    <mergeCell ref="N3:P3"/>
    <mergeCell ref="K4:L4"/>
    <mergeCell ref="M246:O246"/>
    <mergeCell ref="A247:P247"/>
    <mergeCell ref="A248:P248"/>
    <mergeCell ref="B249:D249"/>
    <mergeCell ref="F249:G249"/>
    <mergeCell ref="H249:K249"/>
    <mergeCell ref="F250:G250"/>
    <mergeCell ref="J250:K250"/>
    <mergeCell ref="A251:B251"/>
    <mergeCell ref="I253:K253"/>
    <mergeCell ref="L253:P253"/>
    <mergeCell ref="D251:E251"/>
    <mergeCell ref="B252:D252"/>
    <mergeCell ref="F252:G252"/>
    <mergeCell ref="H252:K252"/>
    <mergeCell ref="L252:P252"/>
    <mergeCell ref="B253:D253"/>
    <mergeCell ref="F253:G253"/>
  </mergeCells>
  <printOptions/>
  <pageMargins bottom="0.75" footer="0.0" header="0.0" left="0.7" right="0.7" top="0.75"/>
  <pageSetup paperSize="5"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8.71"/>
    <col customWidth="1" min="9" max="9" width="8.43"/>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16384" width="8.71"/>
  </cols>
  <sheetData>
    <row r="1">
      <c r="B1" s="524" t="s">
        <v>14157</v>
      </c>
      <c r="R1" s="471"/>
    </row>
    <row r="2">
      <c r="B2" s="400" t="s">
        <v>1</v>
      </c>
      <c r="C2" s="6"/>
      <c r="D2" s="6"/>
      <c r="E2" s="6"/>
      <c r="F2" s="6"/>
      <c r="G2" s="6"/>
      <c r="H2" s="6"/>
      <c r="I2" s="6"/>
      <c r="J2" s="6"/>
      <c r="K2" s="6"/>
      <c r="L2" s="6"/>
      <c r="M2" s="6"/>
      <c r="N2" s="6"/>
      <c r="O2" s="6"/>
      <c r="P2" s="6"/>
      <c r="Q2" s="7"/>
      <c r="R2" s="471"/>
    </row>
    <row r="3">
      <c r="B3" s="399"/>
      <c r="C3" s="401"/>
      <c r="D3" s="9"/>
      <c r="E3" s="402"/>
      <c r="F3" s="9"/>
      <c r="G3" s="403"/>
      <c r="H3" s="403"/>
      <c r="I3" s="403"/>
      <c r="J3" s="9"/>
      <c r="K3" s="12"/>
      <c r="M3" s="13"/>
      <c r="N3" s="14" t="s">
        <v>3</v>
      </c>
      <c r="O3" s="15" t="s">
        <v>15011</v>
      </c>
      <c r="P3" s="16"/>
      <c r="Q3" s="17"/>
      <c r="R3" s="471"/>
    </row>
    <row r="4">
      <c r="B4" s="399"/>
      <c r="C4" s="405"/>
      <c r="D4" s="9"/>
      <c r="E4" s="402"/>
      <c r="F4" s="9"/>
      <c r="G4" s="403"/>
      <c r="H4" s="321"/>
      <c r="I4" s="403"/>
      <c r="J4" s="9"/>
      <c r="K4" s="403"/>
      <c r="L4" s="406"/>
      <c r="M4" s="407"/>
      <c r="N4" s="9"/>
      <c r="O4" s="403"/>
      <c r="P4" s="403"/>
      <c r="Q4" s="525"/>
      <c r="R4" s="471"/>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471"/>
    </row>
    <row r="6">
      <c r="B6" s="433">
        <v>1.0</v>
      </c>
      <c r="C6" s="433" t="s">
        <v>15012</v>
      </c>
      <c r="D6" s="433"/>
      <c r="E6" s="434" t="s">
        <v>15013</v>
      </c>
      <c r="F6" s="433" t="s">
        <v>15014</v>
      </c>
      <c r="G6" s="433" t="s">
        <v>29</v>
      </c>
      <c r="H6" s="433" t="s">
        <v>30</v>
      </c>
      <c r="I6" s="433" t="s">
        <v>14765</v>
      </c>
      <c r="J6" s="433" t="s">
        <v>15015</v>
      </c>
      <c r="K6" s="433"/>
      <c r="L6" s="450" t="s">
        <v>4612</v>
      </c>
      <c r="M6" s="450"/>
      <c r="N6" s="450" t="s">
        <v>15016</v>
      </c>
      <c r="O6" s="450">
        <v>2006.0</v>
      </c>
      <c r="P6" s="450" t="s">
        <v>388</v>
      </c>
      <c r="Q6" s="450">
        <v>2.0</v>
      </c>
      <c r="R6" s="471"/>
    </row>
    <row r="7">
      <c r="B7" s="433">
        <v>2.0</v>
      </c>
      <c r="C7" s="433"/>
      <c r="D7" s="433" t="s">
        <v>15017</v>
      </c>
      <c r="E7" s="434" t="s">
        <v>15018</v>
      </c>
      <c r="F7" s="433" t="s">
        <v>13058</v>
      </c>
      <c r="G7" s="433" t="s">
        <v>29</v>
      </c>
      <c r="H7" s="433" t="s">
        <v>30</v>
      </c>
      <c r="I7" s="433" t="s">
        <v>14221</v>
      </c>
      <c r="J7" s="433" t="s">
        <v>14221</v>
      </c>
      <c r="K7" s="433"/>
      <c r="L7" s="450"/>
      <c r="M7" s="450"/>
      <c r="N7" s="450" t="s">
        <v>161</v>
      </c>
      <c r="O7" s="450">
        <v>1988.0</v>
      </c>
      <c r="P7" s="450" t="s">
        <v>388</v>
      </c>
      <c r="Q7" s="450">
        <v>3.0</v>
      </c>
      <c r="R7" s="471"/>
    </row>
    <row r="8">
      <c r="B8" s="433">
        <v>3.0</v>
      </c>
      <c r="C8" s="433"/>
      <c r="D8" s="433" t="s">
        <v>15017</v>
      </c>
      <c r="E8" s="434" t="s">
        <v>15019</v>
      </c>
      <c r="F8" s="433" t="s">
        <v>13058</v>
      </c>
      <c r="G8" s="433" t="s">
        <v>29</v>
      </c>
      <c r="H8" s="433" t="s">
        <v>30</v>
      </c>
      <c r="I8" s="433" t="s">
        <v>14221</v>
      </c>
      <c r="J8" s="433" t="s">
        <v>14221</v>
      </c>
      <c r="K8" s="433">
        <v>3309.0</v>
      </c>
      <c r="L8" s="450" t="s">
        <v>31</v>
      </c>
      <c r="M8" s="450" t="s">
        <v>31</v>
      </c>
      <c r="N8" s="450" t="s">
        <v>15020</v>
      </c>
      <c r="O8" s="450">
        <v>1949.0</v>
      </c>
      <c r="P8" s="450" t="s">
        <v>388</v>
      </c>
      <c r="Q8" s="450">
        <v>2.0</v>
      </c>
      <c r="R8" s="526"/>
    </row>
    <row r="9">
      <c r="B9" s="527"/>
      <c r="C9" s="528" t="s">
        <v>15021</v>
      </c>
      <c r="D9" s="529">
        <v>2.20499222E8</v>
      </c>
      <c r="E9" s="528" t="s">
        <v>15022</v>
      </c>
      <c r="F9" s="528" t="s">
        <v>13058</v>
      </c>
      <c r="G9" s="530" t="s">
        <v>29</v>
      </c>
      <c r="H9" s="528" t="s">
        <v>30</v>
      </c>
      <c r="I9" s="528" t="s">
        <v>14221</v>
      </c>
      <c r="J9" s="528" t="s">
        <v>14221</v>
      </c>
      <c r="K9" s="528">
        <f>1784+502</f>
        <v>2286</v>
      </c>
      <c r="L9" s="531" t="s">
        <v>15023</v>
      </c>
      <c r="M9" s="531" t="s">
        <v>15024</v>
      </c>
      <c r="N9" s="530" t="s">
        <v>161</v>
      </c>
      <c r="O9" s="532">
        <v>2021.0</v>
      </c>
      <c r="P9" s="528"/>
      <c r="Q9" s="532">
        <v>1.0</v>
      </c>
      <c r="R9" s="532">
        <v>1.0</v>
      </c>
    </row>
    <row r="10">
      <c r="A10" s="533"/>
      <c r="B10" s="186"/>
      <c r="C10" s="191" t="s">
        <v>15025</v>
      </c>
      <c r="D10" s="534" t="s">
        <v>15026</v>
      </c>
      <c r="E10" s="35" t="s">
        <v>15027</v>
      </c>
      <c r="F10" s="191" t="s">
        <v>13058</v>
      </c>
      <c r="G10" s="191" t="s">
        <v>29</v>
      </c>
      <c r="H10" s="191" t="s">
        <v>30</v>
      </c>
      <c r="I10" s="191" t="s">
        <v>14221</v>
      </c>
      <c r="J10" s="191" t="s">
        <v>14221</v>
      </c>
      <c r="K10" s="186">
        <f>1783+501</f>
        <v>2284</v>
      </c>
      <c r="L10" s="535" t="s">
        <v>15023</v>
      </c>
      <c r="M10" s="503" t="s">
        <v>15028</v>
      </c>
      <c r="N10" s="503" t="s">
        <v>9404</v>
      </c>
      <c r="O10" s="503">
        <v>1988.0</v>
      </c>
      <c r="P10" s="503">
        <v>33.0</v>
      </c>
      <c r="Q10" s="536">
        <v>3.0</v>
      </c>
      <c r="R10" s="536">
        <v>3.0</v>
      </c>
      <c r="S10" s="537"/>
      <c r="T10" s="533"/>
      <c r="U10" s="533"/>
      <c r="V10" s="533"/>
      <c r="W10" s="533"/>
      <c r="X10" s="533"/>
      <c r="Y10" s="533"/>
      <c r="Z10" s="533"/>
      <c r="AA10" s="533"/>
      <c r="AB10" s="533"/>
      <c r="AC10" s="533"/>
      <c r="AD10" s="533"/>
      <c r="AE10" s="533"/>
      <c r="AF10" s="533"/>
      <c r="AG10" s="533"/>
      <c r="AH10" s="533"/>
      <c r="AI10" s="533"/>
      <c r="AJ10" s="533"/>
      <c r="AK10" s="533"/>
      <c r="AL10" s="533"/>
      <c r="AM10" s="533"/>
      <c r="AN10" s="533"/>
      <c r="AO10" s="533"/>
      <c r="AP10" s="533"/>
      <c r="AQ10" s="533"/>
      <c r="AR10" s="533"/>
      <c r="AS10" s="533"/>
      <c r="AT10" s="533"/>
      <c r="AU10" s="533"/>
      <c r="AV10" s="533"/>
      <c r="AW10" s="533"/>
      <c r="AX10" s="533"/>
      <c r="AY10" s="533"/>
      <c r="AZ10" s="533"/>
      <c r="BA10" s="533"/>
      <c r="BB10" s="533"/>
      <c r="BC10" s="533"/>
      <c r="BD10" s="533"/>
      <c r="BE10" s="533"/>
      <c r="BF10" s="533"/>
      <c r="BG10" s="533"/>
      <c r="BH10" s="533"/>
      <c r="BI10" s="533"/>
      <c r="BJ10" s="533"/>
      <c r="BK10" s="533"/>
      <c r="BL10" s="533"/>
      <c r="BM10" s="533"/>
      <c r="BN10" s="533"/>
      <c r="BO10" s="533"/>
      <c r="BP10" s="533"/>
      <c r="BQ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c r="CW10" s="533"/>
      <c r="CX10" s="533"/>
      <c r="CY10" s="533"/>
      <c r="CZ10" s="533"/>
      <c r="DA10" s="533"/>
      <c r="DB10" s="533"/>
      <c r="DC10" s="533"/>
      <c r="DD10" s="533"/>
      <c r="DE10" s="533"/>
      <c r="DF10" s="533"/>
      <c r="DG10" s="533"/>
      <c r="DH10" s="533"/>
      <c r="DI10" s="533"/>
      <c r="DJ10" s="533"/>
      <c r="DK10" s="533"/>
      <c r="DL10" s="533"/>
      <c r="DM10" s="533"/>
      <c r="DN10" s="533"/>
      <c r="DO10" s="533"/>
      <c r="DP10" s="533"/>
      <c r="DQ10" s="533"/>
      <c r="DR10" s="533"/>
      <c r="DS10" s="533"/>
      <c r="DT10" s="533"/>
      <c r="DU10" s="533"/>
      <c r="DV10" s="533"/>
      <c r="DW10" s="533"/>
      <c r="DX10" s="533"/>
      <c r="DY10" s="533"/>
      <c r="DZ10" s="533"/>
      <c r="EA10" s="533"/>
      <c r="EB10" s="533"/>
      <c r="EC10" s="533"/>
      <c r="ED10" s="533"/>
      <c r="EE10" s="533"/>
      <c r="EF10" s="533"/>
      <c r="EG10" s="533"/>
      <c r="EH10" s="533"/>
      <c r="EI10" s="533"/>
      <c r="EJ10" s="533"/>
      <c r="EK10" s="533"/>
      <c r="EL10" s="533"/>
      <c r="EM10" s="533"/>
      <c r="EN10" s="533"/>
      <c r="EO10" s="533"/>
      <c r="EP10" s="533"/>
      <c r="EQ10" s="533"/>
      <c r="ER10" s="533"/>
      <c r="ES10" s="533"/>
      <c r="ET10" s="533"/>
      <c r="EU10" s="533"/>
      <c r="EV10" s="533"/>
      <c r="EW10" s="533"/>
      <c r="EX10" s="533"/>
      <c r="EY10" s="533"/>
      <c r="EZ10" s="533"/>
      <c r="FA10" s="533"/>
      <c r="FB10" s="533"/>
      <c r="FC10" s="533"/>
      <c r="FD10" s="533"/>
      <c r="FE10" s="533"/>
      <c r="FF10" s="533"/>
      <c r="FG10" s="533"/>
      <c r="FH10" s="533"/>
      <c r="FI10" s="533"/>
      <c r="FJ10" s="533"/>
      <c r="FK10" s="533"/>
      <c r="FL10" s="533"/>
      <c r="FM10" s="533"/>
      <c r="FN10" s="533"/>
      <c r="FO10" s="533"/>
      <c r="FP10" s="533"/>
      <c r="FQ10" s="533"/>
      <c r="FR10" s="533"/>
      <c r="FS10" s="533"/>
      <c r="FT10" s="533"/>
      <c r="FU10" s="533"/>
      <c r="FV10" s="533"/>
      <c r="FW10" s="533"/>
      <c r="FX10" s="533"/>
      <c r="FY10" s="533"/>
      <c r="FZ10" s="533"/>
      <c r="GA10" s="533"/>
      <c r="GB10" s="533"/>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Y10" s="533"/>
      <c r="GZ10" s="533"/>
      <c r="HA10" s="533"/>
      <c r="HB10" s="533"/>
      <c r="HC10" s="533"/>
      <c r="HD10" s="533"/>
      <c r="HE10" s="533"/>
      <c r="HF10" s="533"/>
      <c r="HG10" s="533"/>
      <c r="HH10" s="533"/>
      <c r="HI10" s="533"/>
      <c r="HJ10" s="533"/>
      <c r="HK10" s="533"/>
      <c r="HL10" s="533"/>
      <c r="HM10" s="533"/>
      <c r="HN10" s="533"/>
      <c r="HO10" s="533"/>
      <c r="HP10" s="533"/>
      <c r="HQ10" s="533"/>
      <c r="HR10" s="533"/>
      <c r="HS10" s="533"/>
      <c r="HT10" s="533"/>
      <c r="HU10" s="533"/>
      <c r="HV10" s="533"/>
      <c r="HW10" s="533"/>
      <c r="HX10" s="533"/>
      <c r="HY10" s="533"/>
      <c r="HZ10" s="533"/>
      <c r="IA10" s="533"/>
      <c r="IB10" s="533"/>
      <c r="IC10" s="533"/>
      <c r="ID10" s="533"/>
      <c r="IE10" s="533"/>
      <c r="IF10" s="533"/>
      <c r="IG10" s="533"/>
      <c r="IH10" s="533"/>
      <c r="II10" s="533"/>
      <c r="IJ10" s="533"/>
      <c r="IK10" s="533"/>
      <c r="IL10" s="533"/>
      <c r="IM10" s="533"/>
      <c r="IN10" s="533"/>
      <c r="IO10" s="533"/>
      <c r="IP10" s="533"/>
      <c r="IQ10" s="533"/>
      <c r="IR10" s="533"/>
      <c r="IS10" s="533"/>
      <c r="IT10" s="533"/>
      <c r="IU10" s="533"/>
      <c r="IV10" s="533"/>
      <c r="IW10" s="533"/>
      <c r="IX10" s="533"/>
      <c r="IY10" s="533"/>
      <c r="IZ10" s="533"/>
      <c r="JA10" s="533"/>
      <c r="JB10" s="533"/>
      <c r="JC10" s="533"/>
      <c r="JD10" s="533"/>
      <c r="JE10" s="533"/>
      <c r="JF10" s="533"/>
      <c r="JG10" s="533"/>
      <c r="JH10" s="533"/>
      <c r="JI10" s="533"/>
      <c r="JJ10" s="533"/>
      <c r="JK10" s="533"/>
      <c r="JL10" s="533"/>
      <c r="JM10" s="533"/>
      <c r="JN10" s="533"/>
      <c r="JO10" s="533"/>
      <c r="JP10" s="533"/>
      <c r="JQ10" s="533"/>
      <c r="JR10" s="533"/>
      <c r="JS10" s="533"/>
      <c r="JT10" s="533"/>
      <c r="JU10" s="533"/>
      <c r="JV10" s="533"/>
      <c r="JW10" s="533"/>
      <c r="JX10" s="533"/>
      <c r="JY10" s="533"/>
      <c r="JZ10" s="533"/>
      <c r="KA10" s="533"/>
      <c r="KB10" s="533"/>
      <c r="KC10" s="533"/>
      <c r="KD10" s="533"/>
      <c r="KE10" s="533"/>
      <c r="KF10" s="533"/>
      <c r="KG10" s="533"/>
      <c r="KH10" s="533"/>
      <c r="KI10" s="533"/>
      <c r="KJ10" s="533"/>
      <c r="KK10" s="533"/>
      <c r="KL10" s="533"/>
      <c r="KM10" s="533"/>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c r="LJ10" s="533"/>
      <c r="LK10" s="533"/>
      <c r="LL10" s="533"/>
      <c r="LM10" s="533"/>
      <c r="LN10" s="533"/>
      <c r="LO10" s="533"/>
      <c r="LP10" s="533"/>
      <c r="LQ10" s="533"/>
      <c r="LR10" s="533"/>
      <c r="LS10" s="533"/>
      <c r="LT10" s="533"/>
      <c r="LU10" s="533"/>
      <c r="LV10" s="533"/>
      <c r="LW10" s="533"/>
      <c r="LX10" s="533"/>
      <c r="LY10" s="533"/>
      <c r="LZ10" s="533"/>
      <c r="MA10" s="533"/>
      <c r="MB10" s="533"/>
      <c r="MC10" s="533"/>
      <c r="MD10" s="533"/>
      <c r="ME10" s="533"/>
      <c r="MF10" s="533"/>
      <c r="MG10" s="533"/>
      <c r="MH10" s="533"/>
      <c r="MI10" s="533"/>
      <c r="MJ10" s="533"/>
      <c r="MK10" s="533"/>
      <c r="ML10" s="533"/>
      <c r="MM10" s="533"/>
      <c r="MN10" s="533"/>
      <c r="MO10" s="533"/>
      <c r="MP10" s="533"/>
      <c r="MQ10" s="533"/>
      <c r="MR10" s="533"/>
      <c r="MS10" s="533"/>
      <c r="MT10" s="533"/>
      <c r="MU10" s="533"/>
      <c r="MV10" s="533"/>
      <c r="MW10" s="533"/>
      <c r="MX10" s="533"/>
      <c r="MY10" s="533"/>
      <c r="MZ10" s="533"/>
      <c r="NA10" s="533"/>
      <c r="NB10" s="533"/>
      <c r="NC10" s="533"/>
      <c r="ND10" s="533"/>
      <c r="NE10" s="533"/>
      <c r="NF10" s="533"/>
      <c r="NG10" s="533"/>
      <c r="NH10" s="533"/>
      <c r="NI10" s="533"/>
      <c r="NJ10" s="533"/>
      <c r="NK10" s="533"/>
      <c r="NL10" s="533"/>
      <c r="NM10" s="533"/>
      <c r="NN10" s="533"/>
      <c r="NO10" s="533"/>
      <c r="NP10" s="533"/>
      <c r="NQ10" s="533"/>
      <c r="NR10" s="533"/>
      <c r="NS10" s="533"/>
      <c r="NT10" s="533"/>
      <c r="NU10" s="533"/>
      <c r="NV10" s="533"/>
      <c r="NW10" s="533"/>
      <c r="NX10" s="533"/>
      <c r="NY10" s="533"/>
      <c r="NZ10" s="533"/>
      <c r="OA10" s="533"/>
      <c r="OB10" s="533"/>
      <c r="OC10" s="533"/>
      <c r="OD10" s="533"/>
      <c r="OE10" s="533"/>
      <c r="OF10" s="533"/>
      <c r="OG10" s="533"/>
      <c r="OH10" s="533"/>
      <c r="OI10" s="533"/>
      <c r="OJ10" s="533"/>
      <c r="OK10" s="533"/>
      <c r="OL10" s="533"/>
      <c r="OM10" s="533"/>
      <c r="ON10" s="533"/>
      <c r="OO10" s="533"/>
      <c r="OP10" s="533"/>
      <c r="OQ10" s="533"/>
      <c r="OR10" s="533"/>
      <c r="OS10" s="533"/>
      <c r="OT10" s="533"/>
      <c r="OU10" s="533"/>
      <c r="OV10" s="533"/>
      <c r="OW10" s="533"/>
      <c r="OX10" s="533"/>
      <c r="OY10" s="533"/>
      <c r="OZ10" s="533"/>
      <c r="PA10" s="533"/>
      <c r="PB10" s="533"/>
      <c r="PC10" s="533"/>
      <c r="PD10" s="533"/>
      <c r="PE10" s="533"/>
      <c r="PF10" s="533"/>
      <c r="PG10" s="533"/>
      <c r="PH10" s="533"/>
      <c r="PI10" s="533"/>
      <c r="PJ10" s="533"/>
      <c r="PK10" s="533"/>
      <c r="PL10" s="533"/>
      <c r="PM10" s="533"/>
      <c r="PN10" s="533"/>
      <c r="PO10" s="533"/>
      <c r="PP10" s="533"/>
      <c r="PQ10" s="533"/>
      <c r="PR10" s="533"/>
      <c r="PS10" s="533"/>
      <c r="PT10" s="533"/>
      <c r="PU10" s="533"/>
      <c r="PV10" s="533"/>
      <c r="PW10" s="533"/>
      <c r="PX10" s="533"/>
      <c r="PY10" s="533"/>
      <c r="PZ10" s="533"/>
      <c r="QA10" s="533"/>
      <c r="QB10" s="533"/>
      <c r="QC10" s="533"/>
      <c r="QD10" s="533"/>
      <c r="QE10" s="533"/>
      <c r="QF10" s="533"/>
      <c r="QG10" s="533"/>
      <c r="QH10" s="533"/>
      <c r="QI10" s="533"/>
      <c r="QJ10" s="533"/>
      <c r="QK10" s="533"/>
      <c r="QL10" s="533"/>
      <c r="QM10" s="533"/>
      <c r="QN10" s="533"/>
      <c r="QO10" s="533"/>
      <c r="QP10" s="533"/>
      <c r="QQ10" s="533"/>
      <c r="QR10" s="533"/>
      <c r="QS10" s="533"/>
      <c r="QT10" s="533"/>
      <c r="QU10" s="533"/>
      <c r="QV10" s="533"/>
      <c r="QW10" s="533"/>
      <c r="QX10" s="533"/>
      <c r="QY10" s="533"/>
      <c r="QZ10" s="533"/>
      <c r="RA10" s="533"/>
      <c r="RB10" s="533"/>
      <c r="RC10" s="533"/>
      <c r="RD10" s="533"/>
      <c r="RE10" s="533"/>
      <c r="RF10" s="533"/>
      <c r="RG10" s="533"/>
      <c r="RH10" s="533"/>
      <c r="RI10" s="533"/>
      <c r="RJ10" s="533"/>
      <c r="RK10" s="533"/>
      <c r="RL10" s="533"/>
      <c r="RM10" s="533"/>
      <c r="RN10" s="533"/>
      <c r="RO10" s="533"/>
      <c r="RP10" s="533"/>
      <c r="RQ10" s="533"/>
      <c r="RR10" s="533"/>
      <c r="RS10" s="533"/>
      <c r="RT10" s="533"/>
      <c r="RU10" s="533"/>
      <c r="RV10" s="533"/>
      <c r="RW10" s="533"/>
      <c r="RX10" s="533"/>
      <c r="RY10" s="533"/>
      <c r="RZ10" s="533"/>
      <c r="SA10" s="533"/>
      <c r="SB10" s="533"/>
      <c r="SC10" s="533"/>
      <c r="SD10" s="533"/>
      <c r="SE10" s="533"/>
      <c r="SF10" s="533"/>
      <c r="SG10" s="533"/>
      <c r="SH10" s="533"/>
      <c r="SI10" s="533"/>
      <c r="SJ10" s="533"/>
      <c r="SK10" s="533"/>
      <c r="SL10" s="533"/>
      <c r="SM10" s="533"/>
      <c r="SN10" s="533"/>
      <c r="SO10" s="533"/>
      <c r="SP10" s="533"/>
      <c r="SQ10" s="533"/>
      <c r="SR10" s="533"/>
      <c r="SS10" s="533"/>
      <c r="ST10" s="533"/>
      <c r="SU10" s="533"/>
      <c r="SV10" s="533"/>
      <c r="SW10" s="533"/>
      <c r="SX10" s="533"/>
      <c r="SY10" s="533"/>
      <c r="SZ10" s="533"/>
      <c r="TA10" s="533"/>
      <c r="TB10" s="533"/>
      <c r="TC10" s="533"/>
      <c r="TD10" s="533"/>
      <c r="TE10" s="533"/>
      <c r="TF10" s="533"/>
      <c r="TG10" s="533"/>
      <c r="TH10" s="533"/>
      <c r="TI10" s="533"/>
      <c r="TJ10" s="533"/>
      <c r="TK10" s="533"/>
      <c r="TL10" s="533"/>
      <c r="TM10" s="533"/>
      <c r="TN10" s="533"/>
      <c r="TO10" s="533"/>
      <c r="TP10" s="533"/>
      <c r="TQ10" s="533"/>
      <c r="TR10" s="533"/>
      <c r="TS10" s="533"/>
      <c r="TT10" s="533"/>
      <c r="TU10" s="533"/>
      <c r="TV10" s="533"/>
      <c r="TW10" s="533"/>
      <c r="TX10" s="533"/>
      <c r="TY10" s="533"/>
      <c r="TZ10" s="533"/>
      <c r="UA10" s="533"/>
      <c r="UB10" s="533"/>
      <c r="UC10" s="533"/>
      <c r="UD10" s="533"/>
      <c r="UE10" s="533"/>
      <c r="UF10" s="533"/>
      <c r="UG10" s="533"/>
      <c r="UH10" s="533"/>
      <c r="UI10" s="533"/>
      <c r="UJ10" s="533"/>
      <c r="UK10" s="533"/>
      <c r="UL10" s="533"/>
      <c r="UM10" s="533"/>
      <c r="UN10" s="533"/>
      <c r="UO10" s="533"/>
      <c r="UP10" s="533"/>
      <c r="UQ10" s="533"/>
      <c r="UR10" s="533"/>
      <c r="US10" s="533"/>
      <c r="UT10" s="533"/>
      <c r="UU10" s="533"/>
      <c r="UV10" s="533"/>
      <c r="UW10" s="533"/>
      <c r="UX10" s="533"/>
      <c r="UY10" s="533"/>
      <c r="UZ10" s="533"/>
      <c r="VA10" s="533"/>
      <c r="VB10" s="533"/>
      <c r="VC10" s="533"/>
      <c r="VD10" s="533"/>
      <c r="VE10" s="533"/>
      <c r="VF10" s="533"/>
      <c r="VG10" s="533"/>
      <c r="VH10" s="533"/>
      <c r="VI10" s="533"/>
      <c r="VJ10" s="533"/>
      <c r="VK10" s="533"/>
      <c r="VL10" s="533"/>
      <c r="VM10" s="533"/>
      <c r="VN10" s="533"/>
      <c r="VO10" s="533"/>
      <c r="VP10" s="533"/>
      <c r="VQ10" s="533"/>
      <c r="VR10" s="533"/>
      <c r="VS10" s="533"/>
      <c r="VT10" s="533"/>
      <c r="VU10" s="533"/>
      <c r="VV10" s="533"/>
      <c r="VW10" s="533"/>
      <c r="VX10" s="533"/>
      <c r="VY10" s="533"/>
      <c r="VZ10" s="533"/>
      <c r="WA10" s="533"/>
      <c r="WB10" s="533"/>
      <c r="WC10" s="533"/>
      <c r="WD10" s="533"/>
      <c r="WE10" s="533"/>
      <c r="WF10" s="533"/>
      <c r="WG10" s="533"/>
      <c r="WH10" s="533"/>
      <c r="WI10" s="533"/>
      <c r="WJ10" s="533"/>
      <c r="WK10" s="533"/>
      <c r="WL10" s="533"/>
      <c r="WM10" s="533"/>
      <c r="WN10" s="533"/>
      <c r="WO10" s="533"/>
      <c r="WP10" s="533"/>
      <c r="WQ10" s="533"/>
      <c r="WR10" s="533"/>
      <c r="WS10" s="533"/>
      <c r="WT10" s="533"/>
      <c r="WU10" s="533"/>
      <c r="WV10" s="533"/>
      <c r="WW10" s="533"/>
      <c r="WX10" s="533"/>
      <c r="WY10" s="533"/>
      <c r="WZ10" s="533"/>
      <c r="XA10" s="533"/>
      <c r="XB10" s="533"/>
      <c r="XC10" s="533"/>
      <c r="XD10" s="533"/>
      <c r="XE10" s="533"/>
      <c r="XF10" s="533"/>
      <c r="XG10" s="533"/>
      <c r="XH10" s="533"/>
      <c r="XI10" s="533"/>
      <c r="XJ10" s="533"/>
      <c r="XK10" s="533"/>
      <c r="XL10" s="533"/>
      <c r="XM10" s="533"/>
      <c r="XN10" s="533"/>
      <c r="XO10" s="533"/>
      <c r="XP10" s="533"/>
      <c r="XQ10" s="533"/>
      <c r="XR10" s="533"/>
      <c r="XS10" s="533"/>
      <c r="XT10" s="533"/>
      <c r="XU10" s="533"/>
      <c r="XV10" s="533"/>
      <c r="XW10" s="533"/>
      <c r="XX10" s="533"/>
      <c r="XY10" s="533"/>
      <c r="XZ10" s="533"/>
      <c r="YA10" s="533"/>
      <c r="YB10" s="533"/>
      <c r="YC10" s="533"/>
      <c r="YD10" s="533"/>
      <c r="YE10" s="533"/>
      <c r="YF10" s="533"/>
      <c r="YG10" s="533"/>
      <c r="YH10" s="533"/>
      <c r="YI10" s="533"/>
      <c r="YJ10" s="533"/>
      <c r="YK10" s="533"/>
      <c r="YL10" s="533"/>
      <c r="YM10" s="533"/>
      <c r="YN10" s="533"/>
      <c r="YO10" s="533"/>
      <c r="YP10" s="533"/>
      <c r="YQ10" s="533"/>
      <c r="YR10" s="533"/>
      <c r="YS10" s="533"/>
      <c r="YT10" s="533"/>
      <c r="YU10" s="533"/>
      <c r="YV10" s="533"/>
      <c r="YW10" s="533"/>
      <c r="YX10" s="533"/>
      <c r="YY10" s="533"/>
      <c r="YZ10" s="533"/>
      <c r="ZA10" s="533"/>
      <c r="ZB10" s="533"/>
      <c r="ZC10" s="533"/>
      <c r="ZD10" s="533"/>
      <c r="ZE10" s="533"/>
      <c r="ZF10" s="533"/>
      <c r="ZG10" s="533"/>
      <c r="ZH10" s="533"/>
      <c r="ZI10" s="533"/>
      <c r="ZJ10" s="533"/>
      <c r="ZK10" s="533"/>
      <c r="ZL10" s="533"/>
      <c r="ZM10" s="533"/>
      <c r="ZN10" s="533"/>
      <c r="ZO10" s="533"/>
      <c r="ZP10" s="533"/>
      <c r="ZQ10" s="533"/>
      <c r="ZR10" s="533"/>
      <c r="ZS10" s="533"/>
      <c r="ZT10" s="533"/>
      <c r="ZU10" s="533"/>
      <c r="ZV10" s="533"/>
      <c r="ZW10" s="533"/>
      <c r="ZX10" s="533"/>
      <c r="ZY10" s="533"/>
      <c r="ZZ10" s="533"/>
      <c r="AAA10" s="533"/>
      <c r="AAB10" s="533"/>
      <c r="AAC10" s="533"/>
      <c r="AAD10" s="533"/>
      <c r="AAE10" s="533"/>
      <c r="AAF10" s="533"/>
      <c r="AAG10" s="533"/>
      <c r="AAH10" s="533"/>
      <c r="AAI10" s="533"/>
      <c r="AAJ10" s="533"/>
      <c r="AAK10" s="533"/>
      <c r="AAL10" s="533"/>
      <c r="AAM10" s="533"/>
      <c r="AAN10" s="533"/>
      <c r="AAO10" s="533"/>
      <c r="AAP10" s="533"/>
      <c r="AAQ10" s="533"/>
      <c r="AAR10" s="533"/>
      <c r="AAS10" s="533"/>
      <c r="AAT10" s="533"/>
      <c r="AAU10" s="533"/>
      <c r="AAV10" s="533"/>
      <c r="AAW10" s="533"/>
      <c r="AAX10" s="533"/>
      <c r="AAY10" s="533"/>
      <c r="AAZ10" s="533"/>
      <c r="ABA10" s="533"/>
      <c r="ABB10" s="533"/>
      <c r="ABC10" s="533"/>
      <c r="ABD10" s="533"/>
      <c r="ABE10" s="533"/>
      <c r="ABF10" s="533"/>
      <c r="ABG10" s="533"/>
      <c r="ABH10" s="533"/>
      <c r="ABI10" s="533"/>
      <c r="ABJ10" s="533"/>
      <c r="ABK10" s="533"/>
      <c r="ABL10" s="533"/>
      <c r="ABM10" s="533"/>
      <c r="ABN10" s="533"/>
      <c r="ABO10" s="533"/>
      <c r="ABP10" s="533"/>
      <c r="ABQ10" s="533"/>
      <c r="ABR10" s="533"/>
      <c r="ABS10" s="533"/>
      <c r="ABT10" s="533"/>
      <c r="ABU10" s="533"/>
      <c r="ABV10" s="533"/>
      <c r="ABW10" s="533"/>
      <c r="ABX10" s="533"/>
      <c r="ABY10" s="533"/>
      <c r="ABZ10" s="533"/>
      <c r="ACA10" s="533"/>
      <c r="ACB10" s="533"/>
      <c r="ACC10" s="533"/>
      <c r="ACD10" s="533"/>
      <c r="ACE10" s="533"/>
      <c r="ACF10" s="533"/>
      <c r="ACG10" s="533"/>
      <c r="ACH10" s="533"/>
      <c r="ACI10" s="533"/>
      <c r="ACJ10" s="533"/>
      <c r="ACK10" s="533"/>
      <c r="ACL10" s="533"/>
      <c r="ACM10" s="533"/>
      <c r="ACN10" s="533"/>
      <c r="ACO10" s="533"/>
      <c r="ACP10" s="533"/>
      <c r="ACQ10" s="533"/>
      <c r="ACR10" s="533"/>
      <c r="ACS10" s="533"/>
      <c r="ACT10" s="533"/>
      <c r="ACU10" s="533"/>
      <c r="ACV10" s="533"/>
      <c r="ACW10" s="533"/>
      <c r="ACX10" s="533"/>
      <c r="ACY10" s="533"/>
      <c r="ACZ10" s="533"/>
      <c r="ADA10" s="533"/>
      <c r="ADB10" s="533"/>
      <c r="ADC10" s="533"/>
      <c r="ADD10" s="533"/>
      <c r="ADE10" s="533"/>
      <c r="ADF10" s="533"/>
      <c r="ADG10" s="533"/>
      <c r="ADH10" s="533"/>
      <c r="ADI10" s="533"/>
      <c r="ADJ10" s="533"/>
      <c r="ADK10" s="533"/>
      <c r="ADL10" s="533"/>
      <c r="ADM10" s="533"/>
      <c r="ADN10" s="533"/>
      <c r="ADO10" s="533"/>
      <c r="ADP10" s="533"/>
      <c r="ADQ10" s="533"/>
      <c r="ADR10" s="533"/>
      <c r="ADS10" s="533"/>
      <c r="ADT10" s="533"/>
      <c r="ADU10" s="533"/>
      <c r="ADV10" s="533"/>
      <c r="ADW10" s="533"/>
      <c r="ADX10" s="533"/>
      <c r="ADY10" s="533"/>
      <c r="ADZ10" s="533"/>
      <c r="AEA10" s="533"/>
      <c r="AEB10" s="533"/>
      <c r="AEC10" s="533"/>
      <c r="AED10" s="533"/>
      <c r="AEE10" s="533"/>
      <c r="AEF10" s="533"/>
      <c r="AEG10" s="533"/>
      <c r="AEH10" s="533"/>
      <c r="AEI10" s="533"/>
      <c r="AEJ10" s="533"/>
      <c r="AEK10" s="533"/>
      <c r="AEL10" s="533"/>
      <c r="AEM10" s="533"/>
      <c r="AEN10" s="533"/>
      <c r="AEO10" s="533"/>
      <c r="AEP10" s="533"/>
      <c r="AEQ10" s="533"/>
      <c r="AER10" s="533"/>
      <c r="AES10" s="533"/>
      <c r="AET10" s="533"/>
      <c r="AEU10" s="533"/>
      <c r="AEV10" s="533"/>
      <c r="AEW10" s="533"/>
      <c r="AEX10" s="533"/>
      <c r="AEY10" s="533"/>
      <c r="AEZ10" s="533"/>
      <c r="AFA10" s="533"/>
      <c r="AFB10" s="533"/>
      <c r="AFC10" s="533"/>
      <c r="AFD10" s="533"/>
      <c r="AFE10" s="533"/>
      <c r="AFF10" s="533"/>
      <c r="AFG10" s="533"/>
      <c r="AFH10" s="533"/>
      <c r="AFI10" s="533"/>
      <c r="AFJ10" s="533"/>
      <c r="AFK10" s="533"/>
      <c r="AFL10" s="533"/>
      <c r="AFM10" s="533"/>
      <c r="AFN10" s="533"/>
      <c r="AFO10" s="533"/>
      <c r="AFP10" s="533"/>
      <c r="AFQ10" s="533"/>
      <c r="AFR10" s="533"/>
      <c r="AFS10" s="533"/>
      <c r="AFT10" s="533"/>
      <c r="AFU10" s="533"/>
      <c r="AFV10" s="533"/>
      <c r="AFW10" s="533"/>
      <c r="AFX10" s="533"/>
      <c r="AFY10" s="533"/>
      <c r="AFZ10" s="533"/>
      <c r="AGA10" s="533"/>
      <c r="AGB10" s="533"/>
      <c r="AGC10" s="533"/>
      <c r="AGD10" s="533"/>
      <c r="AGE10" s="533"/>
      <c r="AGF10" s="533"/>
      <c r="AGG10" s="533"/>
      <c r="AGH10" s="533"/>
      <c r="AGI10" s="533"/>
      <c r="AGJ10" s="533"/>
      <c r="AGK10" s="533"/>
      <c r="AGL10" s="533"/>
      <c r="AGM10" s="533"/>
      <c r="AGN10" s="533"/>
      <c r="AGO10" s="533"/>
      <c r="AGP10" s="533"/>
      <c r="AGQ10" s="533"/>
      <c r="AGR10" s="533"/>
      <c r="AGS10" s="533"/>
      <c r="AGT10" s="533"/>
      <c r="AGU10" s="533"/>
      <c r="AGV10" s="533"/>
      <c r="AGW10" s="533"/>
      <c r="AGX10" s="533"/>
      <c r="AGY10" s="533"/>
      <c r="AGZ10" s="533"/>
      <c r="AHA10" s="533"/>
      <c r="AHB10" s="533"/>
      <c r="AHC10" s="533"/>
      <c r="AHD10" s="533"/>
      <c r="AHE10" s="533"/>
      <c r="AHF10" s="533"/>
      <c r="AHG10" s="533"/>
      <c r="AHH10" s="533"/>
      <c r="AHI10" s="533"/>
      <c r="AHJ10" s="533"/>
      <c r="AHK10" s="533"/>
      <c r="AHL10" s="533"/>
      <c r="AHM10" s="533"/>
      <c r="AHN10" s="533"/>
      <c r="AHO10" s="533"/>
      <c r="AHP10" s="533"/>
      <c r="AHQ10" s="533"/>
      <c r="AHR10" s="533"/>
      <c r="AHS10" s="533"/>
      <c r="AHT10" s="533"/>
      <c r="AHU10" s="533"/>
      <c r="AHV10" s="533"/>
      <c r="AHW10" s="533"/>
      <c r="AHX10" s="533"/>
      <c r="AHY10" s="533"/>
      <c r="AHZ10" s="533"/>
      <c r="AIA10" s="533"/>
      <c r="AIB10" s="533"/>
      <c r="AIC10" s="533"/>
      <c r="AID10" s="533"/>
      <c r="AIE10" s="533"/>
      <c r="AIF10" s="533"/>
      <c r="AIG10" s="533"/>
      <c r="AIH10" s="533"/>
      <c r="AII10" s="533"/>
      <c r="AIJ10" s="533"/>
      <c r="AIK10" s="533"/>
      <c r="AIL10" s="533"/>
      <c r="AIM10" s="533"/>
      <c r="AIN10" s="533"/>
      <c r="AIO10" s="533"/>
      <c r="AIP10" s="533"/>
      <c r="AIQ10" s="533"/>
      <c r="AIR10" s="533"/>
      <c r="AIS10" s="533"/>
      <c r="AIT10" s="533"/>
      <c r="AIU10" s="533"/>
      <c r="AIV10" s="533"/>
      <c r="AIW10" s="533"/>
      <c r="AIX10" s="533"/>
      <c r="AIY10" s="533"/>
      <c r="AIZ10" s="533"/>
      <c r="AJA10" s="533"/>
      <c r="AJB10" s="533"/>
      <c r="AJC10" s="533"/>
      <c r="AJD10" s="533"/>
      <c r="AJE10" s="533"/>
      <c r="AJF10" s="533"/>
      <c r="AJG10" s="533"/>
      <c r="AJH10" s="533"/>
      <c r="AJI10" s="533"/>
      <c r="AJJ10" s="533"/>
      <c r="AJK10" s="533"/>
      <c r="AJL10" s="533"/>
      <c r="AJM10" s="533"/>
      <c r="AJN10" s="533"/>
      <c r="AJO10" s="533"/>
      <c r="AJP10" s="533"/>
      <c r="AJQ10" s="533"/>
      <c r="AJR10" s="533"/>
      <c r="AJS10" s="533"/>
      <c r="AJT10" s="533"/>
      <c r="AJU10" s="533"/>
      <c r="AJV10" s="533"/>
      <c r="AJW10" s="533"/>
      <c r="AJX10" s="533"/>
      <c r="AJY10" s="533"/>
      <c r="AJZ10" s="533"/>
      <c r="AKA10" s="533"/>
      <c r="AKB10" s="533"/>
      <c r="AKC10" s="533"/>
      <c r="AKD10" s="533"/>
      <c r="AKE10" s="533"/>
      <c r="AKF10" s="533"/>
      <c r="AKG10" s="533"/>
      <c r="AKH10" s="533"/>
      <c r="AKI10" s="533"/>
      <c r="AKJ10" s="533"/>
      <c r="AKK10" s="533"/>
      <c r="AKL10" s="533"/>
      <c r="AKM10" s="533"/>
      <c r="AKN10" s="533"/>
      <c r="AKO10" s="533"/>
      <c r="AKP10" s="533"/>
      <c r="AKQ10" s="533"/>
      <c r="AKR10" s="533"/>
      <c r="AKS10" s="533"/>
      <c r="AKT10" s="533"/>
      <c r="AKU10" s="533"/>
      <c r="AKV10" s="533"/>
      <c r="AKW10" s="533"/>
      <c r="AKX10" s="533"/>
      <c r="AKY10" s="533"/>
      <c r="AKZ10" s="533"/>
      <c r="ALA10" s="533"/>
      <c r="ALB10" s="533"/>
      <c r="ALC10" s="533"/>
      <c r="ALD10" s="533"/>
      <c r="ALE10" s="533"/>
      <c r="ALF10" s="533"/>
      <c r="ALG10" s="533"/>
      <c r="ALH10" s="533"/>
      <c r="ALI10" s="533"/>
      <c r="ALJ10" s="533"/>
      <c r="ALK10" s="533"/>
      <c r="ALL10" s="533"/>
      <c r="ALM10" s="533"/>
      <c r="ALN10" s="533"/>
      <c r="ALO10" s="533"/>
      <c r="ALP10" s="533"/>
      <c r="ALQ10" s="533"/>
      <c r="ALR10" s="533"/>
      <c r="ALS10" s="533"/>
      <c r="ALT10" s="533"/>
      <c r="ALU10" s="533"/>
      <c r="ALV10" s="533"/>
      <c r="ALW10" s="533"/>
      <c r="ALX10" s="533"/>
      <c r="ALY10" s="533"/>
      <c r="ALZ10" s="533"/>
      <c r="AMA10" s="533"/>
      <c r="AMB10" s="533"/>
      <c r="AMC10" s="533"/>
      <c r="AMD10" s="533"/>
      <c r="AME10" s="533"/>
      <c r="AMF10" s="533"/>
      <c r="AMG10" s="533"/>
      <c r="AMH10" s="533"/>
      <c r="AMI10" s="533"/>
      <c r="AMJ10" s="533"/>
      <c r="AMK10" s="533"/>
      <c r="AML10" s="533"/>
      <c r="AMM10" s="533"/>
      <c r="AMN10" s="533"/>
      <c r="AMO10" s="533"/>
      <c r="AMP10" s="533"/>
      <c r="AMQ10" s="533"/>
      <c r="AMR10" s="533"/>
      <c r="AMS10" s="533"/>
      <c r="AMT10" s="533"/>
      <c r="AMU10" s="533"/>
      <c r="AMV10" s="533"/>
      <c r="AMW10" s="533"/>
      <c r="AMX10" s="533"/>
      <c r="AMY10" s="533"/>
      <c r="AMZ10" s="533"/>
      <c r="ANA10" s="533"/>
      <c r="ANB10" s="533"/>
      <c r="ANC10" s="533"/>
      <c r="AND10" s="533"/>
      <c r="ANE10" s="533"/>
      <c r="ANF10" s="533"/>
      <c r="ANG10" s="533"/>
      <c r="ANH10" s="533"/>
      <c r="ANI10" s="533"/>
      <c r="ANJ10" s="533"/>
      <c r="ANK10" s="533"/>
      <c r="ANL10" s="533"/>
      <c r="ANM10" s="533"/>
      <c r="ANN10" s="533"/>
      <c r="ANO10" s="533"/>
      <c r="ANP10" s="533"/>
      <c r="ANQ10" s="533"/>
      <c r="ANR10" s="533"/>
      <c r="ANS10" s="533"/>
      <c r="ANT10" s="533"/>
      <c r="ANU10" s="533"/>
      <c r="ANV10" s="533"/>
      <c r="ANW10" s="533"/>
      <c r="ANX10" s="533"/>
      <c r="ANY10" s="533"/>
      <c r="ANZ10" s="533"/>
      <c r="AOA10" s="533"/>
      <c r="AOB10" s="533"/>
      <c r="AOC10" s="533"/>
      <c r="AOD10" s="533"/>
      <c r="AOE10" s="533"/>
      <c r="AOF10" s="533"/>
      <c r="AOG10" s="533"/>
      <c r="AOH10" s="533"/>
      <c r="AOI10" s="533"/>
      <c r="AOJ10" s="533"/>
      <c r="AOK10" s="533"/>
      <c r="AOL10" s="533"/>
      <c r="AOM10" s="533"/>
      <c r="AON10" s="533"/>
      <c r="AOO10" s="533"/>
      <c r="AOP10" s="533"/>
      <c r="AOQ10" s="533"/>
      <c r="AOR10" s="533"/>
      <c r="AOS10" s="533"/>
      <c r="AOT10" s="533"/>
      <c r="AOU10" s="533"/>
      <c r="AOV10" s="533"/>
      <c r="AOW10" s="533"/>
      <c r="AOX10" s="533"/>
      <c r="AOY10" s="533"/>
      <c r="AOZ10" s="533"/>
      <c r="APA10" s="533"/>
      <c r="APB10" s="533"/>
      <c r="APC10" s="533"/>
      <c r="APD10" s="533"/>
      <c r="APE10" s="533"/>
      <c r="APF10" s="533"/>
      <c r="APG10" s="533"/>
      <c r="APH10" s="533"/>
      <c r="API10" s="533"/>
      <c r="APJ10" s="533"/>
      <c r="APK10" s="533"/>
      <c r="APL10" s="533"/>
      <c r="APM10" s="533"/>
      <c r="APN10" s="533"/>
      <c r="APO10" s="533"/>
      <c r="APP10" s="533"/>
      <c r="APQ10" s="533"/>
      <c r="APR10" s="533"/>
      <c r="APS10" s="533"/>
      <c r="APT10" s="533"/>
      <c r="APU10" s="533"/>
      <c r="APV10" s="533"/>
      <c r="APW10" s="533"/>
      <c r="APX10" s="533"/>
      <c r="APY10" s="533"/>
      <c r="APZ10" s="533"/>
      <c r="AQA10" s="533"/>
      <c r="AQB10" s="533"/>
      <c r="AQC10" s="533"/>
      <c r="AQD10" s="533"/>
      <c r="AQE10" s="533"/>
      <c r="AQF10" s="533"/>
      <c r="AQG10" s="533"/>
      <c r="AQH10" s="533"/>
      <c r="AQI10" s="533"/>
      <c r="AQJ10" s="533"/>
      <c r="AQK10" s="533"/>
      <c r="AQL10" s="533"/>
      <c r="AQM10" s="533"/>
      <c r="AQN10" s="533"/>
      <c r="AQO10" s="533"/>
      <c r="AQP10" s="533"/>
      <c r="AQQ10" s="533"/>
      <c r="AQR10" s="533"/>
      <c r="AQS10" s="533"/>
      <c r="AQT10" s="533"/>
      <c r="AQU10" s="533"/>
      <c r="AQV10" s="533"/>
      <c r="AQW10" s="533"/>
      <c r="AQX10" s="533"/>
      <c r="AQY10" s="533"/>
      <c r="AQZ10" s="533"/>
      <c r="ARA10" s="533"/>
      <c r="ARB10" s="533"/>
      <c r="ARC10" s="533"/>
      <c r="ARD10" s="533"/>
      <c r="ARE10" s="533"/>
      <c r="ARF10" s="533"/>
      <c r="ARG10" s="533"/>
      <c r="ARH10" s="533"/>
      <c r="ARI10" s="533"/>
      <c r="ARJ10" s="533"/>
      <c r="ARK10" s="533"/>
      <c r="ARL10" s="533"/>
      <c r="ARM10" s="533"/>
      <c r="ARN10" s="533"/>
      <c r="ARO10" s="533"/>
      <c r="ARP10" s="533"/>
      <c r="ARQ10" s="533"/>
      <c r="ARR10" s="533"/>
      <c r="ARS10" s="533"/>
      <c r="ART10" s="533"/>
      <c r="ARU10" s="533"/>
      <c r="ARV10" s="533"/>
      <c r="ARW10" s="533"/>
      <c r="ARX10" s="533"/>
      <c r="ARY10" s="533"/>
      <c r="ARZ10" s="533"/>
      <c r="ASA10" s="533"/>
      <c r="ASB10" s="533"/>
      <c r="ASC10" s="533"/>
      <c r="ASD10" s="533"/>
      <c r="ASE10" s="533"/>
      <c r="ASF10" s="533"/>
      <c r="ASG10" s="533"/>
      <c r="ASH10" s="533"/>
      <c r="ASI10" s="533"/>
      <c r="ASJ10" s="533"/>
      <c r="ASK10" s="533"/>
      <c r="ASL10" s="533"/>
      <c r="ASM10" s="533"/>
      <c r="ASN10" s="533"/>
      <c r="ASO10" s="533"/>
      <c r="ASP10" s="533"/>
      <c r="ASQ10" s="533"/>
      <c r="ASR10" s="533"/>
      <c r="ASS10" s="533"/>
      <c r="AST10" s="533"/>
      <c r="ASU10" s="533"/>
      <c r="ASV10" s="533"/>
      <c r="ASW10" s="533"/>
      <c r="ASX10" s="533"/>
      <c r="ASY10" s="533"/>
      <c r="ASZ10" s="533"/>
      <c r="ATA10" s="533"/>
      <c r="ATB10" s="533"/>
      <c r="ATC10" s="533"/>
      <c r="ATD10" s="533"/>
      <c r="ATE10" s="533"/>
      <c r="ATF10" s="533"/>
      <c r="ATG10" s="533"/>
      <c r="ATH10" s="533"/>
      <c r="ATI10" s="533"/>
      <c r="ATJ10" s="533"/>
      <c r="ATK10" s="533"/>
      <c r="ATL10" s="533"/>
      <c r="ATM10" s="533"/>
      <c r="ATN10" s="533"/>
      <c r="ATO10" s="533"/>
      <c r="ATP10" s="533"/>
      <c r="ATQ10" s="533"/>
      <c r="ATR10" s="533"/>
      <c r="ATS10" s="533"/>
      <c r="ATT10" s="533"/>
      <c r="ATU10" s="533"/>
      <c r="ATV10" s="533"/>
      <c r="ATW10" s="533"/>
      <c r="ATX10" s="533"/>
      <c r="ATY10" s="533"/>
      <c r="ATZ10" s="533"/>
      <c r="AUA10" s="533"/>
      <c r="AUB10" s="533"/>
      <c r="AUC10" s="533"/>
      <c r="AUD10" s="533"/>
      <c r="AUE10" s="533"/>
      <c r="AUF10" s="533"/>
      <c r="AUG10" s="533"/>
      <c r="AUH10" s="533"/>
      <c r="AUI10" s="533"/>
      <c r="AUJ10" s="533"/>
      <c r="AUK10" s="533"/>
      <c r="AUL10" s="533"/>
      <c r="AUM10" s="533"/>
      <c r="AUN10" s="533"/>
      <c r="AUO10" s="533"/>
      <c r="AUP10" s="533"/>
      <c r="AUQ10" s="533"/>
      <c r="AUR10" s="533"/>
      <c r="AUS10" s="533"/>
      <c r="AUT10" s="533"/>
      <c r="AUU10" s="533"/>
      <c r="AUV10" s="533"/>
      <c r="AUW10" s="533"/>
      <c r="AUX10" s="533"/>
      <c r="AUY10" s="533"/>
      <c r="AUZ10" s="533"/>
      <c r="AVA10" s="533"/>
      <c r="AVB10" s="533"/>
      <c r="AVC10" s="533"/>
      <c r="AVD10" s="533"/>
      <c r="AVE10" s="533"/>
      <c r="AVF10" s="533"/>
      <c r="AVG10" s="533"/>
      <c r="AVH10" s="533"/>
      <c r="AVI10" s="533"/>
      <c r="AVJ10" s="533"/>
      <c r="AVK10" s="533"/>
      <c r="AVL10" s="533"/>
      <c r="AVM10" s="533"/>
      <c r="AVN10" s="533"/>
      <c r="AVO10" s="533"/>
      <c r="AVP10" s="533"/>
      <c r="AVQ10" s="533"/>
      <c r="AVR10" s="533"/>
      <c r="AVS10" s="533"/>
      <c r="AVT10" s="533"/>
      <c r="AVU10" s="533"/>
      <c r="AVV10" s="533"/>
      <c r="AVW10" s="533"/>
      <c r="AVX10" s="533"/>
      <c r="AVY10" s="533"/>
      <c r="AVZ10" s="533"/>
      <c r="AWA10" s="533"/>
      <c r="AWB10" s="533"/>
      <c r="AWC10" s="533"/>
      <c r="AWD10" s="533"/>
      <c r="AWE10" s="533"/>
      <c r="AWF10" s="533"/>
      <c r="AWG10" s="533"/>
      <c r="AWH10" s="533"/>
      <c r="AWI10" s="533"/>
      <c r="AWJ10" s="533"/>
      <c r="AWK10" s="533"/>
      <c r="AWL10" s="533"/>
      <c r="AWM10" s="533"/>
      <c r="AWN10" s="533"/>
      <c r="AWO10" s="533"/>
      <c r="AWP10" s="533"/>
      <c r="AWQ10" s="533"/>
      <c r="AWR10" s="533"/>
      <c r="AWS10" s="533"/>
      <c r="AWT10" s="533"/>
      <c r="AWU10" s="533"/>
      <c r="AWV10" s="533"/>
      <c r="AWW10" s="533"/>
      <c r="AWX10" s="533"/>
      <c r="AWY10" s="533"/>
      <c r="AWZ10" s="533"/>
      <c r="AXA10" s="533"/>
      <c r="AXB10" s="533"/>
      <c r="AXC10" s="533"/>
      <c r="AXD10" s="533"/>
      <c r="AXE10" s="533"/>
      <c r="AXF10" s="533"/>
      <c r="AXG10" s="533"/>
      <c r="AXH10" s="533"/>
      <c r="AXI10" s="533"/>
      <c r="AXJ10" s="533"/>
      <c r="AXK10" s="533"/>
      <c r="AXL10" s="533"/>
      <c r="AXM10" s="533"/>
      <c r="AXN10" s="533"/>
      <c r="AXO10" s="533"/>
      <c r="AXP10" s="533"/>
      <c r="AXQ10" s="533"/>
      <c r="AXR10" s="533"/>
      <c r="AXS10" s="533"/>
      <c r="AXT10" s="533"/>
      <c r="AXU10" s="533"/>
      <c r="AXV10" s="533"/>
      <c r="AXW10" s="533"/>
      <c r="AXX10" s="533"/>
      <c r="AXY10" s="533"/>
      <c r="AXZ10" s="533"/>
      <c r="AYA10" s="533"/>
      <c r="AYB10" s="533"/>
      <c r="AYC10" s="533"/>
      <c r="AYD10" s="533"/>
      <c r="AYE10" s="533"/>
      <c r="AYF10" s="533"/>
      <c r="AYG10" s="533"/>
      <c r="AYH10" s="533"/>
      <c r="AYI10" s="533"/>
      <c r="AYJ10" s="533"/>
      <c r="AYK10" s="533"/>
      <c r="AYL10" s="533"/>
      <c r="AYM10" s="533"/>
      <c r="AYN10" s="533"/>
      <c r="AYO10" s="533"/>
      <c r="AYP10" s="533"/>
      <c r="AYQ10" s="533"/>
      <c r="AYR10" s="533"/>
      <c r="AYS10" s="533"/>
      <c r="AYT10" s="533"/>
      <c r="AYU10" s="533"/>
      <c r="AYV10" s="533"/>
      <c r="AYW10" s="533"/>
      <c r="AYX10" s="533"/>
      <c r="AYY10" s="533"/>
      <c r="AYZ10" s="533"/>
      <c r="AZA10" s="533"/>
      <c r="AZB10" s="533"/>
      <c r="AZC10" s="533"/>
      <c r="AZD10" s="533"/>
      <c r="AZE10" s="533"/>
      <c r="AZF10" s="533"/>
      <c r="AZG10" s="533"/>
      <c r="AZH10" s="533"/>
      <c r="AZI10" s="533"/>
      <c r="AZJ10" s="533"/>
      <c r="AZK10" s="533"/>
      <c r="AZL10" s="533"/>
      <c r="AZM10" s="533"/>
      <c r="AZN10" s="533"/>
      <c r="AZO10" s="533"/>
      <c r="AZP10" s="533"/>
      <c r="AZQ10" s="533"/>
      <c r="AZR10" s="533"/>
      <c r="AZS10" s="533"/>
      <c r="AZT10" s="533"/>
      <c r="AZU10" s="533"/>
      <c r="AZV10" s="533"/>
      <c r="AZW10" s="533"/>
      <c r="AZX10" s="533"/>
      <c r="AZY10" s="533"/>
      <c r="AZZ10" s="533"/>
      <c r="BAA10" s="533"/>
      <c r="BAB10" s="533"/>
      <c r="BAC10" s="533"/>
      <c r="BAD10" s="533"/>
      <c r="BAE10" s="533"/>
      <c r="BAF10" s="533"/>
      <c r="BAG10" s="533"/>
      <c r="BAH10" s="533"/>
      <c r="BAI10" s="533"/>
      <c r="BAJ10" s="533"/>
      <c r="BAK10" s="533"/>
      <c r="BAL10" s="533"/>
      <c r="BAM10" s="533"/>
      <c r="BAN10" s="533"/>
      <c r="BAO10" s="533"/>
      <c r="BAP10" s="533"/>
      <c r="BAQ10" s="533"/>
      <c r="BAR10" s="533"/>
      <c r="BAS10" s="533"/>
      <c r="BAT10" s="533"/>
      <c r="BAU10" s="533"/>
      <c r="BAV10" s="533"/>
      <c r="BAW10" s="533"/>
      <c r="BAX10" s="533"/>
      <c r="BAY10" s="533"/>
      <c r="BAZ10" s="533"/>
      <c r="BBA10" s="533"/>
      <c r="BBB10" s="533"/>
      <c r="BBC10" s="533"/>
      <c r="BBD10" s="533"/>
      <c r="BBE10" s="533"/>
      <c r="BBF10" s="533"/>
      <c r="BBG10" s="533"/>
      <c r="BBH10" s="533"/>
      <c r="BBI10" s="533"/>
      <c r="BBJ10" s="533"/>
      <c r="BBK10" s="533"/>
      <c r="BBL10" s="533"/>
      <c r="BBM10" s="533"/>
      <c r="BBN10" s="533"/>
      <c r="BBO10" s="533"/>
      <c r="BBP10" s="533"/>
      <c r="BBQ10" s="533"/>
      <c r="BBR10" s="533"/>
      <c r="BBS10" s="533"/>
      <c r="BBT10" s="533"/>
      <c r="BBU10" s="533"/>
      <c r="BBV10" s="533"/>
      <c r="BBW10" s="533"/>
      <c r="BBX10" s="533"/>
      <c r="BBY10" s="533"/>
      <c r="BBZ10" s="533"/>
      <c r="BCA10" s="533"/>
      <c r="BCB10" s="533"/>
      <c r="BCC10" s="533"/>
      <c r="BCD10" s="533"/>
      <c r="BCE10" s="533"/>
      <c r="BCF10" s="533"/>
      <c r="BCG10" s="533"/>
      <c r="BCH10" s="533"/>
      <c r="BCI10" s="533"/>
      <c r="BCJ10" s="533"/>
      <c r="BCK10" s="533"/>
      <c r="BCL10" s="533"/>
      <c r="BCM10" s="533"/>
      <c r="BCN10" s="533"/>
      <c r="BCO10" s="533"/>
      <c r="BCP10" s="533"/>
      <c r="BCQ10" s="533"/>
      <c r="BCR10" s="533"/>
      <c r="BCS10" s="533"/>
      <c r="BCT10" s="533"/>
      <c r="BCU10" s="533"/>
      <c r="BCV10" s="533"/>
      <c r="BCW10" s="533"/>
      <c r="BCX10" s="533"/>
      <c r="BCY10" s="533"/>
      <c r="BCZ10" s="533"/>
      <c r="BDA10" s="533"/>
      <c r="BDB10" s="533"/>
      <c r="BDC10" s="533"/>
      <c r="BDD10" s="533"/>
      <c r="BDE10" s="533"/>
      <c r="BDF10" s="533"/>
      <c r="BDG10" s="533"/>
      <c r="BDH10" s="533"/>
      <c r="BDI10" s="533"/>
      <c r="BDJ10" s="533"/>
      <c r="BDK10" s="533"/>
      <c r="BDL10" s="533"/>
      <c r="BDM10" s="533"/>
      <c r="BDN10" s="533"/>
      <c r="BDO10" s="533"/>
      <c r="BDP10" s="533"/>
      <c r="BDQ10" s="533"/>
      <c r="BDR10" s="533"/>
      <c r="BDS10" s="533"/>
      <c r="BDT10" s="533"/>
      <c r="BDU10" s="533"/>
      <c r="BDV10" s="533"/>
      <c r="BDW10" s="533"/>
      <c r="BDX10" s="533"/>
      <c r="BDY10" s="533"/>
      <c r="BDZ10" s="533"/>
      <c r="BEA10" s="533"/>
      <c r="BEB10" s="533"/>
      <c r="BEC10" s="533"/>
      <c r="BED10" s="533"/>
      <c r="BEE10" s="533"/>
      <c r="BEF10" s="533"/>
      <c r="BEG10" s="533"/>
      <c r="BEH10" s="533"/>
      <c r="BEI10" s="533"/>
      <c r="BEJ10" s="533"/>
      <c r="BEK10" s="533"/>
      <c r="BEL10" s="533"/>
      <c r="BEM10" s="533"/>
      <c r="BEN10" s="533"/>
      <c r="BEO10" s="533"/>
      <c r="BEP10" s="533"/>
      <c r="BEQ10" s="533"/>
      <c r="BER10" s="533"/>
      <c r="BES10" s="533"/>
      <c r="BET10" s="533"/>
      <c r="BEU10" s="533"/>
      <c r="BEV10" s="533"/>
      <c r="BEW10" s="533"/>
      <c r="BEX10" s="533"/>
      <c r="BEY10" s="533"/>
      <c r="BEZ10" s="533"/>
      <c r="BFA10" s="533"/>
      <c r="BFB10" s="533"/>
      <c r="BFC10" s="533"/>
      <c r="BFD10" s="533"/>
      <c r="BFE10" s="533"/>
      <c r="BFF10" s="533"/>
      <c r="BFG10" s="533"/>
      <c r="BFH10" s="533"/>
      <c r="BFI10" s="533"/>
      <c r="BFJ10" s="533"/>
      <c r="BFK10" s="533"/>
      <c r="BFL10" s="533"/>
      <c r="BFM10" s="533"/>
      <c r="BFN10" s="533"/>
      <c r="BFO10" s="533"/>
      <c r="BFP10" s="533"/>
      <c r="BFQ10" s="533"/>
      <c r="BFR10" s="533"/>
      <c r="BFS10" s="533"/>
      <c r="BFT10" s="533"/>
      <c r="BFU10" s="533"/>
      <c r="BFV10" s="533"/>
      <c r="BFW10" s="533"/>
      <c r="BFX10" s="533"/>
      <c r="BFY10" s="533"/>
      <c r="BFZ10" s="533"/>
      <c r="BGA10" s="533"/>
      <c r="BGB10" s="533"/>
      <c r="BGC10" s="533"/>
      <c r="BGD10" s="533"/>
      <c r="BGE10" s="533"/>
      <c r="BGF10" s="533"/>
      <c r="BGG10" s="533"/>
      <c r="BGH10" s="533"/>
      <c r="BGI10" s="533"/>
      <c r="BGJ10" s="533"/>
      <c r="BGK10" s="533"/>
      <c r="BGL10" s="533"/>
      <c r="BGM10" s="533"/>
      <c r="BGN10" s="533"/>
      <c r="BGO10" s="533"/>
      <c r="BGP10" s="533"/>
      <c r="BGQ10" s="533"/>
      <c r="BGR10" s="533"/>
      <c r="BGS10" s="533"/>
      <c r="BGT10" s="533"/>
      <c r="BGU10" s="533"/>
      <c r="BGV10" s="533"/>
      <c r="BGW10" s="533"/>
      <c r="BGX10" s="533"/>
      <c r="BGY10" s="533"/>
      <c r="BGZ10" s="533"/>
      <c r="BHA10" s="533"/>
      <c r="BHB10" s="533"/>
      <c r="BHC10" s="533"/>
      <c r="BHD10" s="533"/>
      <c r="BHE10" s="533"/>
      <c r="BHF10" s="533"/>
      <c r="BHG10" s="533"/>
      <c r="BHH10" s="533"/>
      <c r="BHI10" s="533"/>
      <c r="BHJ10" s="533"/>
      <c r="BHK10" s="533"/>
      <c r="BHL10" s="533"/>
      <c r="BHM10" s="533"/>
      <c r="BHN10" s="533"/>
      <c r="BHO10" s="533"/>
      <c r="BHP10" s="533"/>
      <c r="BHQ10" s="533"/>
      <c r="BHR10" s="533"/>
      <c r="BHS10" s="533"/>
      <c r="BHT10" s="533"/>
      <c r="BHU10" s="533"/>
      <c r="BHV10" s="533"/>
      <c r="BHW10" s="533"/>
      <c r="BHX10" s="533"/>
      <c r="BHY10" s="533"/>
      <c r="BHZ10" s="533"/>
      <c r="BIA10" s="533"/>
      <c r="BIB10" s="533"/>
      <c r="BIC10" s="533"/>
      <c r="BID10" s="533"/>
      <c r="BIE10" s="533"/>
      <c r="BIF10" s="533"/>
      <c r="BIG10" s="533"/>
      <c r="BIH10" s="533"/>
      <c r="BII10" s="533"/>
      <c r="BIJ10" s="533"/>
      <c r="BIK10" s="533"/>
      <c r="BIL10" s="533"/>
      <c r="BIM10" s="533"/>
      <c r="BIN10" s="533"/>
      <c r="BIO10" s="533"/>
      <c r="BIP10" s="533"/>
      <c r="BIQ10" s="533"/>
      <c r="BIR10" s="533"/>
      <c r="BIS10" s="533"/>
      <c r="BIT10" s="533"/>
      <c r="BIU10" s="533"/>
      <c r="BIV10" s="533"/>
      <c r="BIW10" s="533"/>
      <c r="BIX10" s="533"/>
      <c r="BIY10" s="533"/>
      <c r="BIZ10" s="533"/>
      <c r="BJA10" s="533"/>
      <c r="BJB10" s="533"/>
      <c r="BJC10" s="533"/>
      <c r="BJD10" s="533"/>
      <c r="BJE10" s="533"/>
      <c r="BJF10" s="533"/>
      <c r="BJG10" s="533"/>
      <c r="BJH10" s="533"/>
      <c r="BJI10" s="533"/>
      <c r="BJJ10" s="533"/>
      <c r="BJK10" s="533"/>
      <c r="BJL10" s="533"/>
      <c r="BJM10" s="533"/>
      <c r="BJN10" s="533"/>
      <c r="BJO10" s="533"/>
      <c r="BJP10" s="533"/>
      <c r="BJQ10" s="533"/>
      <c r="BJR10" s="533"/>
      <c r="BJS10" s="533"/>
      <c r="BJT10" s="533"/>
      <c r="BJU10" s="533"/>
      <c r="BJV10" s="533"/>
      <c r="BJW10" s="533"/>
      <c r="BJX10" s="533"/>
      <c r="BJY10" s="533"/>
      <c r="BJZ10" s="533"/>
      <c r="BKA10" s="533"/>
      <c r="BKB10" s="533"/>
      <c r="BKC10" s="533"/>
      <c r="BKD10" s="533"/>
      <c r="BKE10" s="533"/>
      <c r="BKF10" s="533"/>
      <c r="BKG10" s="533"/>
      <c r="BKH10" s="533"/>
      <c r="BKI10" s="533"/>
      <c r="BKJ10" s="533"/>
      <c r="BKK10" s="533"/>
      <c r="BKL10" s="533"/>
      <c r="BKM10" s="533"/>
      <c r="BKN10" s="533"/>
      <c r="BKO10" s="533"/>
      <c r="BKP10" s="533"/>
      <c r="BKQ10" s="533"/>
      <c r="BKR10" s="533"/>
      <c r="BKS10" s="533"/>
      <c r="BKT10" s="533"/>
      <c r="BKU10" s="533"/>
      <c r="BKV10" s="533"/>
      <c r="BKW10" s="533"/>
      <c r="BKX10" s="533"/>
      <c r="BKY10" s="533"/>
      <c r="BKZ10" s="533"/>
      <c r="BLA10" s="533"/>
      <c r="BLB10" s="533"/>
      <c r="BLC10" s="533"/>
      <c r="BLD10" s="533"/>
      <c r="BLE10" s="533"/>
      <c r="BLF10" s="533"/>
      <c r="BLG10" s="533"/>
      <c r="BLH10" s="533"/>
      <c r="BLI10" s="533"/>
      <c r="BLJ10" s="533"/>
      <c r="BLK10" s="533"/>
      <c r="BLL10" s="533"/>
      <c r="BLM10" s="533"/>
      <c r="BLN10" s="533"/>
      <c r="BLO10" s="533"/>
      <c r="BLP10" s="533"/>
      <c r="BLQ10" s="533"/>
      <c r="BLR10" s="533"/>
      <c r="BLS10" s="533"/>
      <c r="BLT10" s="533"/>
      <c r="BLU10" s="533"/>
      <c r="BLV10" s="533"/>
      <c r="BLW10" s="533"/>
      <c r="BLX10" s="533"/>
      <c r="BLY10" s="533"/>
      <c r="BLZ10" s="533"/>
      <c r="BMA10" s="533"/>
      <c r="BMB10" s="533"/>
      <c r="BMC10" s="533"/>
      <c r="BMD10" s="533"/>
      <c r="BME10" s="533"/>
      <c r="BMF10" s="533"/>
      <c r="BMG10" s="533"/>
      <c r="BMH10" s="533"/>
      <c r="BMI10" s="533"/>
      <c r="BMJ10" s="533"/>
      <c r="BMK10" s="533"/>
      <c r="BML10" s="533"/>
      <c r="BMM10" s="533"/>
      <c r="BMN10" s="533"/>
      <c r="BMO10" s="533"/>
      <c r="BMP10" s="533"/>
      <c r="BMQ10" s="533"/>
      <c r="BMR10" s="533"/>
      <c r="BMS10" s="533"/>
      <c r="BMT10" s="533"/>
      <c r="BMU10" s="533"/>
      <c r="BMV10" s="533"/>
      <c r="BMW10" s="533"/>
      <c r="BMX10" s="533"/>
      <c r="BMY10" s="533"/>
      <c r="BMZ10" s="533"/>
      <c r="BNA10" s="533"/>
      <c r="BNB10" s="533"/>
      <c r="BNC10" s="533"/>
      <c r="BND10" s="533"/>
      <c r="BNE10" s="533"/>
      <c r="BNF10" s="533"/>
      <c r="BNG10" s="533"/>
      <c r="BNH10" s="533"/>
      <c r="BNI10" s="533"/>
      <c r="BNJ10" s="533"/>
      <c r="BNK10" s="533"/>
      <c r="BNL10" s="533"/>
      <c r="BNM10" s="533"/>
      <c r="BNN10" s="533"/>
      <c r="BNO10" s="533"/>
      <c r="BNP10" s="533"/>
      <c r="BNQ10" s="533"/>
      <c r="BNR10" s="533"/>
      <c r="BNS10" s="533"/>
      <c r="BNT10" s="533"/>
      <c r="BNU10" s="533"/>
      <c r="BNV10" s="533"/>
      <c r="BNW10" s="533"/>
      <c r="BNX10" s="533"/>
      <c r="BNY10" s="533"/>
      <c r="BNZ10" s="533"/>
      <c r="BOA10" s="533"/>
      <c r="BOB10" s="533"/>
      <c r="BOC10" s="533"/>
      <c r="BOD10" s="533"/>
      <c r="BOE10" s="533"/>
      <c r="BOF10" s="533"/>
      <c r="BOG10" s="533"/>
      <c r="BOH10" s="533"/>
      <c r="BOI10" s="533"/>
      <c r="BOJ10" s="533"/>
      <c r="BOK10" s="533"/>
      <c r="BOL10" s="533"/>
      <c r="BOM10" s="533"/>
      <c r="BON10" s="533"/>
      <c r="BOO10" s="533"/>
      <c r="BOP10" s="533"/>
      <c r="BOQ10" s="533"/>
      <c r="BOR10" s="533"/>
      <c r="BOS10" s="533"/>
      <c r="BOT10" s="533"/>
      <c r="BOU10" s="533"/>
      <c r="BOV10" s="533"/>
      <c r="BOW10" s="533"/>
      <c r="BOX10" s="533"/>
      <c r="BOY10" s="533"/>
      <c r="BOZ10" s="533"/>
      <c r="BPA10" s="533"/>
      <c r="BPB10" s="533"/>
      <c r="BPC10" s="533"/>
      <c r="BPD10" s="533"/>
      <c r="BPE10" s="533"/>
      <c r="BPF10" s="533"/>
      <c r="BPG10" s="533"/>
      <c r="BPH10" s="533"/>
      <c r="BPI10" s="533"/>
      <c r="BPJ10" s="533"/>
      <c r="BPK10" s="533"/>
      <c r="BPL10" s="533"/>
      <c r="BPM10" s="533"/>
      <c r="BPN10" s="533"/>
      <c r="BPO10" s="533"/>
      <c r="BPP10" s="533"/>
      <c r="BPQ10" s="533"/>
      <c r="BPR10" s="533"/>
      <c r="BPS10" s="533"/>
      <c r="BPT10" s="533"/>
      <c r="BPU10" s="533"/>
      <c r="BPV10" s="533"/>
      <c r="BPW10" s="533"/>
      <c r="BPX10" s="533"/>
      <c r="BPY10" s="533"/>
      <c r="BPZ10" s="533"/>
      <c r="BQA10" s="533"/>
      <c r="BQB10" s="533"/>
      <c r="BQC10" s="533"/>
      <c r="BQD10" s="533"/>
      <c r="BQE10" s="533"/>
      <c r="BQF10" s="533"/>
      <c r="BQG10" s="533"/>
      <c r="BQH10" s="533"/>
      <c r="BQI10" s="533"/>
      <c r="BQJ10" s="533"/>
      <c r="BQK10" s="533"/>
      <c r="BQL10" s="533"/>
      <c r="BQM10" s="533"/>
      <c r="BQN10" s="533"/>
      <c r="BQO10" s="533"/>
      <c r="BQP10" s="533"/>
      <c r="BQQ10" s="533"/>
      <c r="BQR10" s="533"/>
      <c r="BQS10" s="533"/>
      <c r="BQT10" s="533"/>
      <c r="BQU10" s="533"/>
      <c r="BQV10" s="533"/>
      <c r="BQW10" s="533"/>
      <c r="BQX10" s="533"/>
      <c r="BQY10" s="533"/>
      <c r="BQZ10" s="533"/>
      <c r="BRA10" s="533"/>
      <c r="BRB10" s="533"/>
      <c r="BRC10" s="533"/>
      <c r="BRD10" s="533"/>
      <c r="BRE10" s="533"/>
      <c r="BRF10" s="533"/>
      <c r="BRG10" s="533"/>
      <c r="BRH10" s="533"/>
      <c r="BRI10" s="533"/>
      <c r="BRJ10" s="533"/>
      <c r="BRK10" s="533"/>
      <c r="BRL10" s="533"/>
      <c r="BRM10" s="533"/>
      <c r="BRN10" s="533"/>
      <c r="BRO10" s="533"/>
      <c r="BRP10" s="533"/>
      <c r="BRQ10" s="533"/>
      <c r="BRR10" s="533"/>
      <c r="BRS10" s="533"/>
      <c r="BRT10" s="533"/>
      <c r="BRU10" s="533"/>
      <c r="BRV10" s="533"/>
      <c r="BRW10" s="533"/>
      <c r="BRX10" s="533"/>
      <c r="BRY10" s="533"/>
      <c r="BRZ10" s="533"/>
      <c r="BSA10" s="533"/>
      <c r="BSB10" s="533"/>
      <c r="BSC10" s="533"/>
      <c r="BSD10" s="533"/>
      <c r="BSE10" s="533"/>
      <c r="BSF10" s="533"/>
      <c r="BSG10" s="533"/>
      <c r="BSH10" s="533"/>
      <c r="BSI10" s="533"/>
      <c r="BSJ10" s="533"/>
      <c r="BSK10" s="533"/>
      <c r="BSL10" s="533"/>
      <c r="BSM10" s="533"/>
      <c r="BSN10" s="533"/>
      <c r="BSO10" s="533"/>
      <c r="BSP10" s="533"/>
      <c r="BSQ10" s="533"/>
      <c r="BSR10" s="533"/>
      <c r="BSS10" s="533"/>
      <c r="BST10" s="533"/>
      <c r="BSU10" s="533"/>
      <c r="BSV10" s="533"/>
      <c r="BSW10" s="533"/>
      <c r="BSX10" s="533"/>
      <c r="BSY10" s="533"/>
      <c r="BSZ10" s="533"/>
      <c r="BTA10" s="533"/>
      <c r="BTB10" s="533"/>
      <c r="BTC10" s="533"/>
      <c r="BTD10" s="533"/>
      <c r="BTE10" s="533"/>
      <c r="BTF10" s="533"/>
      <c r="BTG10" s="533"/>
      <c r="BTH10" s="533"/>
      <c r="BTI10" s="533"/>
      <c r="BTJ10" s="533"/>
      <c r="BTK10" s="533"/>
      <c r="BTL10" s="533"/>
      <c r="BTM10" s="533"/>
      <c r="BTN10" s="533"/>
      <c r="BTO10" s="533"/>
      <c r="BTP10" s="533"/>
      <c r="BTQ10" s="533"/>
      <c r="BTR10" s="533"/>
      <c r="BTS10" s="533"/>
      <c r="BTT10" s="533"/>
      <c r="BTU10" s="533"/>
      <c r="BTV10" s="533"/>
      <c r="BTW10" s="533"/>
      <c r="BTX10" s="533"/>
      <c r="BTY10" s="533"/>
      <c r="BTZ10" s="533"/>
      <c r="BUA10" s="533"/>
      <c r="BUB10" s="533"/>
      <c r="BUC10" s="533"/>
      <c r="BUD10" s="533"/>
      <c r="BUE10" s="533"/>
      <c r="BUF10" s="533"/>
      <c r="BUG10" s="533"/>
      <c r="BUH10" s="533"/>
      <c r="BUI10" s="533"/>
      <c r="BUJ10" s="533"/>
      <c r="BUK10" s="533"/>
      <c r="BUL10" s="533"/>
      <c r="BUM10" s="533"/>
      <c r="BUN10" s="533"/>
      <c r="BUO10" s="533"/>
      <c r="BUP10" s="533"/>
      <c r="BUQ10" s="533"/>
      <c r="BUR10" s="533"/>
      <c r="BUS10" s="533"/>
      <c r="BUT10" s="533"/>
      <c r="BUU10" s="533"/>
      <c r="BUV10" s="533"/>
      <c r="BUW10" s="533"/>
      <c r="BUX10" s="533"/>
      <c r="BUY10" s="533"/>
      <c r="BUZ10" s="533"/>
      <c r="BVA10" s="533"/>
      <c r="BVB10" s="533"/>
      <c r="BVC10" s="533"/>
      <c r="BVD10" s="533"/>
      <c r="BVE10" s="533"/>
      <c r="BVF10" s="533"/>
      <c r="BVG10" s="533"/>
      <c r="BVH10" s="533"/>
      <c r="BVI10" s="533"/>
      <c r="BVJ10" s="533"/>
      <c r="BVK10" s="533"/>
      <c r="BVL10" s="533"/>
      <c r="BVM10" s="533"/>
      <c r="BVN10" s="533"/>
      <c r="BVO10" s="533"/>
      <c r="BVP10" s="533"/>
      <c r="BVQ10" s="533"/>
      <c r="BVR10" s="533"/>
      <c r="BVS10" s="533"/>
      <c r="BVT10" s="533"/>
      <c r="BVU10" s="533"/>
      <c r="BVV10" s="533"/>
      <c r="BVW10" s="533"/>
      <c r="BVX10" s="533"/>
      <c r="BVY10" s="533"/>
      <c r="BVZ10" s="533"/>
      <c r="BWA10" s="533"/>
      <c r="BWB10" s="533"/>
      <c r="BWC10" s="533"/>
      <c r="BWD10" s="533"/>
      <c r="BWE10" s="533"/>
      <c r="BWF10" s="533"/>
      <c r="BWG10" s="533"/>
      <c r="BWH10" s="533"/>
      <c r="BWI10" s="533"/>
      <c r="BWJ10" s="533"/>
      <c r="BWK10" s="533"/>
      <c r="BWL10" s="533"/>
      <c r="BWM10" s="533"/>
      <c r="BWN10" s="533"/>
      <c r="BWO10" s="533"/>
      <c r="BWP10" s="533"/>
      <c r="BWQ10" s="533"/>
      <c r="BWR10" s="533"/>
      <c r="BWS10" s="533"/>
      <c r="BWT10" s="533"/>
      <c r="BWU10" s="533"/>
      <c r="BWV10" s="533"/>
      <c r="BWW10" s="533"/>
      <c r="BWX10" s="533"/>
      <c r="BWY10" s="533"/>
      <c r="BWZ10" s="533"/>
      <c r="BXA10" s="533"/>
      <c r="BXB10" s="533"/>
      <c r="BXC10" s="533"/>
      <c r="BXD10" s="533"/>
      <c r="BXE10" s="533"/>
      <c r="BXF10" s="533"/>
      <c r="BXG10" s="533"/>
      <c r="BXH10" s="533"/>
      <c r="BXI10" s="533"/>
      <c r="BXJ10" s="533"/>
      <c r="BXK10" s="533"/>
      <c r="BXL10" s="533"/>
      <c r="BXM10" s="533"/>
      <c r="BXN10" s="533"/>
      <c r="BXO10" s="533"/>
      <c r="BXP10" s="533"/>
      <c r="BXQ10" s="533"/>
      <c r="BXR10" s="533"/>
      <c r="BXS10" s="533"/>
      <c r="BXT10" s="533"/>
      <c r="BXU10" s="533"/>
      <c r="BXV10" s="533"/>
      <c r="BXW10" s="533"/>
      <c r="BXX10" s="533"/>
      <c r="BXY10" s="533"/>
      <c r="BXZ10" s="533"/>
      <c r="BYA10" s="533"/>
      <c r="BYB10" s="533"/>
      <c r="BYC10" s="533"/>
      <c r="BYD10" s="533"/>
      <c r="BYE10" s="533"/>
      <c r="BYF10" s="533"/>
      <c r="BYG10" s="533"/>
      <c r="BYH10" s="533"/>
      <c r="BYI10" s="533"/>
      <c r="BYJ10" s="533"/>
      <c r="BYK10" s="533"/>
      <c r="BYL10" s="533"/>
      <c r="BYM10" s="533"/>
      <c r="BYN10" s="533"/>
      <c r="BYO10" s="533"/>
      <c r="BYP10" s="533"/>
      <c r="BYQ10" s="533"/>
      <c r="BYR10" s="533"/>
      <c r="BYS10" s="533"/>
      <c r="BYT10" s="533"/>
      <c r="BYU10" s="533"/>
      <c r="BYV10" s="533"/>
      <c r="BYW10" s="533"/>
      <c r="BYX10" s="533"/>
      <c r="BYY10" s="533"/>
      <c r="BYZ10" s="533"/>
      <c r="BZA10" s="533"/>
      <c r="BZB10" s="533"/>
      <c r="BZC10" s="533"/>
      <c r="BZD10" s="533"/>
      <c r="BZE10" s="533"/>
      <c r="BZF10" s="533"/>
      <c r="BZG10" s="533"/>
      <c r="BZH10" s="533"/>
      <c r="BZI10" s="533"/>
      <c r="BZJ10" s="533"/>
      <c r="BZK10" s="533"/>
      <c r="BZL10" s="533"/>
      <c r="BZM10" s="533"/>
      <c r="BZN10" s="533"/>
      <c r="BZO10" s="533"/>
      <c r="BZP10" s="533"/>
      <c r="BZQ10" s="533"/>
      <c r="BZR10" s="533"/>
      <c r="BZS10" s="533"/>
      <c r="BZT10" s="533"/>
      <c r="BZU10" s="533"/>
      <c r="BZV10" s="533"/>
      <c r="BZW10" s="533"/>
      <c r="BZX10" s="533"/>
      <c r="BZY10" s="533"/>
      <c r="BZZ10" s="533"/>
      <c r="CAA10" s="533"/>
      <c r="CAB10" s="533"/>
      <c r="CAC10" s="533"/>
      <c r="CAD10" s="533"/>
      <c r="CAE10" s="533"/>
      <c r="CAF10" s="533"/>
      <c r="CAG10" s="533"/>
      <c r="CAH10" s="533"/>
      <c r="CAI10" s="533"/>
      <c r="CAJ10" s="533"/>
      <c r="CAK10" s="533"/>
      <c r="CAL10" s="533"/>
      <c r="CAM10" s="533"/>
      <c r="CAN10" s="533"/>
      <c r="CAO10" s="533"/>
      <c r="CAP10" s="533"/>
      <c r="CAQ10" s="533"/>
      <c r="CAR10" s="533"/>
      <c r="CAS10" s="533"/>
      <c r="CAT10" s="533"/>
      <c r="CAU10" s="533"/>
      <c r="CAV10" s="533"/>
      <c r="CAW10" s="533"/>
      <c r="CAX10" s="533"/>
      <c r="CAY10" s="533"/>
      <c r="CAZ10" s="533"/>
      <c r="CBA10" s="533"/>
      <c r="CBB10" s="533"/>
      <c r="CBC10" s="533"/>
      <c r="CBD10" s="533"/>
      <c r="CBE10" s="533"/>
      <c r="CBF10" s="533"/>
      <c r="CBG10" s="533"/>
      <c r="CBH10" s="533"/>
      <c r="CBI10" s="533"/>
      <c r="CBJ10" s="533"/>
      <c r="CBK10" s="533"/>
      <c r="CBL10" s="533"/>
      <c r="CBM10" s="533"/>
      <c r="CBN10" s="533"/>
      <c r="CBO10" s="533"/>
      <c r="CBP10" s="533"/>
      <c r="CBQ10" s="533"/>
      <c r="CBR10" s="533"/>
      <c r="CBS10" s="533"/>
      <c r="CBT10" s="533"/>
      <c r="CBU10" s="533"/>
      <c r="CBV10" s="533"/>
      <c r="CBW10" s="533"/>
      <c r="CBX10" s="533"/>
      <c r="CBY10" s="533"/>
      <c r="CBZ10" s="533"/>
      <c r="CCA10" s="533"/>
      <c r="CCB10" s="533"/>
      <c r="CCC10" s="533"/>
      <c r="CCD10" s="533"/>
      <c r="CCE10" s="533"/>
      <c r="CCF10" s="533"/>
      <c r="CCG10" s="533"/>
      <c r="CCH10" s="533"/>
      <c r="CCI10" s="533"/>
      <c r="CCJ10" s="533"/>
      <c r="CCK10" s="533"/>
      <c r="CCL10" s="533"/>
      <c r="CCM10" s="533"/>
      <c r="CCN10" s="533"/>
      <c r="CCO10" s="533"/>
      <c r="CCP10" s="533"/>
      <c r="CCQ10" s="533"/>
      <c r="CCR10" s="533"/>
      <c r="CCS10" s="533"/>
      <c r="CCT10" s="533"/>
      <c r="CCU10" s="533"/>
      <c r="CCV10" s="533"/>
      <c r="CCW10" s="533"/>
      <c r="CCX10" s="533"/>
      <c r="CCY10" s="533"/>
      <c r="CCZ10" s="533"/>
      <c r="CDA10" s="533"/>
      <c r="CDB10" s="533"/>
      <c r="CDC10" s="533"/>
      <c r="CDD10" s="533"/>
      <c r="CDE10" s="533"/>
      <c r="CDF10" s="533"/>
      <c r="CDG10" s="533"/>
      <c r="CDH10" s="533"/>
      <c r="CDI10" s="533"/>
      <c r="CDJ10" s="533"/>
      <c r="CDK10" s="533"/>
      <c r="CDL10" s="533"/>
      <c r="CDM10" s="533"/>
      <c r="CDN10" s="533"/>
      <c r="CDO10" s="533"/>
      <c r="CDP10" s="533"/>
      <c r="CDQ10" s="533"/>
      <c r="CDR10" s="533"/>
      <c r="CDS10" s="533"/>
      <c r="CDT10" s="533"/>
      <c r="CDU10" s="533"/>
      <c r="CDV10" s="533"/>
      <c r="CDW10" s="533"/>
      <c r="CDX10" s="533"/>
      <c r="CDY10" s="533"/>
      <c r="CDZ10" s="533"/>
      <c r="CEA10" s="533"/>
      <c r="CEB10" s="533"/>
      <c r="CEC10" s="533"/>
      <c r="CED10" s="533"/>
      <c r="CEE10" s="533"/>
      <c r="CEF10" s="533"/>
      <c r="CEG10" s="533"/>
      <c r="CEH10" s="533"/>
      <c r="CEI10" s="533"/>
      <c r="CEJ10" s="533"/>
      <c r="CEK10" s="533"/>
      <c r="CEL10" s="533"/>
      <c r="CEM10" s="533"/>
      <c r="CEN10" s="533"/>
      <c r="CEO10" s="533"/>
      <c r="CEP10" s="533"/>
      <c r="CEQ10" s="533"/>
      <c r="CER10" s="533"/>
      <c r="CES10" s="533"/>
      <c r="CET10" s="533"/>
      <c r="CEU10" s="533"/>
      <c r="CEV10" s="533"/>
      <c r="CEW10" s="533"/>
      <c r="CEX10" s="533"/>
      <c r="CEY10" s="533"/>
      <c r="CEZ10" s="533"/>
      <c r="CFA10" s="533"/>
      <c r="CFB10" s="533"/>
      <c r="CFC10" s="533"/>
      <c r="CFD10" s="533"/>
      <c r="CFE10" s="533"/>
      <c r="CFF10" s="533"/>
      <c r="CFG10" s="533"/>
      <c r="CFH10" s="533"/>
      <c r="CFI10" s="533"/>
      <c r="CFJ10" s="533"/>
      <c r="CFK10" s="533"/>
      <c r="CFL10" s="533"/>
      <c r="CFM10" s="533"/>
      <c r="CFN10" s="533"/>
      <c r="CFO10" s="533"/>
      <c r="CFP10" s="533"/>
      <c r="CFQ10" s="533"/>
      <c r="CFR10" s="533"/>
      <c r="CFS10" s="533"/>
      <c r="CFT10" s="533"/>
      <c r="CFU10" s="533"/>
      <c r="CFV10" s="533"/>
      <c r="CFW10" s="533"/>
      <c r="CFX10" s="533"/>
      <c r="CFY10" s="533"/>
      <c r="CFZ10" s="533"/>
      <c r="CGA10" s="533"/>
      <c r="CGB10" s="533"/>
      <c r="CGC10" s="533"/>
      <c r="CGD10" s="533"/>
      <c r="CGE10" s="533"/>
      <c r="CGF10" s="533"/>
      <c r="CGG10" s="533"/>
      <c r="CGH10" s="533"/>
      <c r="CGI10" s="533"/>
      <c r="CGJ10" s="533"/>
      <c r="CGK10" s="533"/>
      <c r="CGL10" s="533"/>
      <c r="CGM10" s="533"/>
      <c r="CGN10" s="533"/>
      <c r="CGO10" s="533"/>
      <c r="CGP10" s="533"/>
      <c r="CGQ10" s="533"/>
      <c r="CGR10" s="533"/>
      <c r="CGS10" s="533"/>
      <c r="CGT10" s="533"/>
      <c r="CGU10" s="533"/>
      <c r="CGV10" s="533"/>
      <c r="CGW10" s="533"/>
      <c r="CGX10" s="533"/>
      <c r="CGY10" s="533"/>
      <c r="CGZ10" s="533"/>
      <c r="CHA10" s="533"/>
      <c r="CHB10" s="533"/>
      <c r="CHC10" s="533"/>
      <c r="CHD10" s="533"/>
      <c r="CHE10" s="533"/>
      <c r="CHF10" s="533"/>
      <c r="CHG10" s="533"/>
      <c r="CHH10" s="533"/>
      <c r="CHI10" s="533"/>
      <c r="CHJ10" s="533"/>
      <c r="CHK10" s="533"/>
      <c r="CHL10" s="533"/>
      <c r="CHM10" s="533"/>
      <c r="CHN10" s="533"/>
      <c r="CHO10" s="533"/>
      <c r="CHP10" s="533"/>
      <c r="CHQ10" s="533"/>
      <c r="CHR10" s="533"/>
      <c r="CHS10" s="533"/>
      <c r="CHT10" s="533"/>
      <c r="CHU10" s="533"/>
      <c r="CHV10" s="533"/>
      <c r="CHW10" s="533"/>
      <c r="CHX10" s="533"/>
      <c r="CHY10" s="533"/>
      <c r="CHZ10" s="533"/>
      <c r="CIA10" s="533"/>
      <c r="CIB10" s="533"/>
      <c r="CIC10" s="533"/>
      <c r="CID10" s="533"/>
      <c r="CIE10" s="533"/>
      <c r="CIF10" s="533"/>
      <c r="CIG10" s="533"/>
      <c r="CIH10" s="533"/>
      <c r="CII10" s="533"/>
      <c r="CIJ10" s="533"/>
      <c r="CIK10" s="533"/>
      <c r="CIL10" s="533"/>
      <c r="CIM10" s="533"/>
      <c r="CIN10" s="533"/>
      <c r="CIO10" s="533"/>
      <c r="CIP10" s="533"/>
      <c r="CIQ10" s="533"/>
      <c r="CIR10" s="533"/>
      <c r="CIS10" s="533"/>
      <c r="CIT10" s="533"/>
      <c r="CIU10" s="533"/>
      <c r="CIV10" s="533"/>
      <c r="CIW10" s="533"/>
      <c r="CIX10" s="533"/>
      <c r="CIY10" s="533"/>
      <c r="CIZ10" s="533"/>
      <c r="CJA10" s="533"/>
      <c r="CJB10" s="533"/>
      <c r="CJC10" s="533"/>
      <c r="CJD10" s="533"/>
      <c r="CJE10" s="533"/>
      <c r="CJF10" s="533"/>
      <c r="CJG10" s="533"/>
      <c r="CJH10" s="533"/>
      <c r="CJI10" s="533"/>
      <c r="CJJ10" s="533"/>
      <c r="CJK10" s="533"/>
      <c r="CJL10" s="533"/>
      <c r="CJM10" s="533"/>
      <c r="CJN10" s="533"/>
      <c r="CJO10" s="533"/>
      <c r="CJP10" s="533"/>
      <c r="CJQ10" s="533"/>
      <c r="CJR10" s="533"/>
      <c r="CJS10" s="533"/>
      <c r="CJT10" s="533"/>
      <c r="CJU10" s="533"/>
      <c r="CJV10" s="533"/>
      <c r="CJW10" s="533"/>
      <c r="CJX10" s="533"/>
      <c r="CJY10" s="533"/>
      <c r="CJZ10" s="533"/>
      <c r="CKA10" s="533"/>
      <c r="CKB10" s="533"/>
      <c r="CKC10" s="533"/>
      <c r="CKD10" s="533"/>
      <c r="CKE10" s="533"/>
      <c r="CKF10" s="533"/>
      <c r="CKG10" s="533"/>
      <c r="CKH10" s="533"/>
      <c r="CKI10" s="533"/>
      <c r="CKJ10" s="533"/>
      <c r="CKK10" s="533"/>
      <c r="CKL10" s="533"/>
      <c r="CKM10" s="533"/>
      <c r="CKN10" s="533"/>
      <c r="CKO10" s="533"/>
      <c r="CKP10" s="533"/>
      <c r="CKQ10" s="533"/>
      <c r="CKR10" s="533"/>
      <c r="CKS10" s="533"/>
      <c r="CKT10" s="533"/>
      <c r="CKU10" s="533"/>
      <c r="CKV10" s="533"/>
      <c r="CKW10" s="533"/>
      <c r="CKX10" s="533"/>
      <c r="CKY10" s="533"/>
      <c r="CKZ10" s="533"/>
      <c r="CLA10" s="533"/>
      <c r="CLB10" s="533"/>
      <c r="CLC10" s="533"/>
      <c r="CLD10" s="533"/>
      <c r="CLE10" s="533"/>
      <c r="CLF10" s="533"/>
      <c r="CLG10" s="533"/>
      <c r="CLH10" s="533"/>
      <c r="CLI10" s="533"/>
      <c r="CLJ10" s="533"/>
      <c r="CLK10" s="533"/>
      <c r="CLL10" s="533"/>
      <c r="CLM10" s="533"/>
      <c r="CLN10" s="533"/>
      <c r="CLO10" s="533"/>
      <c r="CLP10" s="533"/>
      <c r="CLQ10" s="533"/>
      <c r="CLR10" s="533"/>
      <c r="CLS10" s="533"/>
      <c r="CLT10" s="533"/>
      <c r="CLU10" s="533"/>
      <c r="CLV10" s="533"/>
      <c r="CLW10" s="533"/>
      <c r="CLX10" s="533"/>
      <c r="CLY10" s="533"/>
      <c r="CLZ10" s="533"/>
      <c r="CMA10" s="533"/>
      <c r="CMB10" s="533"/>
      <c r="CMC10" s="533"/>
      <c r="CMD10" s="533"/>
      <c r="CME10" s="533"/>
      <c r="CMF10" s="533"/>
      <c r="CMG10" s="533"/>
      <c r="CMH10" s="533"/>
      <c r="CMI10" s="533"/>
      <c r="CMJ10" s="533"/>
      <c r="CMK10" s="533"/>
      <c r="CML10" s="533"/>
      <c r="CMM10" s="533"/>
      <c r="CMN10" s="533"/>
      <c r="CMO10" s="533"/>
      <c r="CMP10" s="533"/>
      <c r="CMQ10" s="533"/>
      <c r="CMR10" s="533"/>
      <c r="CMS10" s="533"/>
      <c r="CMT10" s="533"/>
      <c r="CMU10" s="533"/>
      <c r="CMV10" s="533"/>
      <c r="CMW10" s="533"/>
      <c r="CMX10" s="533"/>
      <c r="CMY10" s="533"/>
      <c r="CMZ10" s="533"/>
      <c r="CNA10" s="533"/>
      <c r="CNB10" s="533"/>
      <c r="CNC10" s="533"/>
      <c r="CND10" s="533"/>
      <c r="CNE10" s="533"/>
      <c r="CNF10" s="533"/>
      <c r="CNG10" s="533"/>
      <c r="CNH10" s="533"/>
      <c r="CNI10" s="533"/>
      <c r="CNJ10" s="533"/>
      <c r="CNK10" s="533"/>
      <c r="CNL10" s="533"/>
      <c r="CNM10" s="533"/>
      <c r="CNN10" s="533"/>
      <c r="CNO10" s="533"/>
      <c r="CNP10" s="533"/>
      <c r="CNQ10" s="533"/>
      <c r="CNR10" s="533"/>
      <c r="CNS10" s="533"/>
      <c r="CNT10" s="533"/>
      <c r="CNU10" s="533"/>
      <c r="CNV10" s="533"/>
      <c r="CNW10" s="533"/>
      <c r="CNX10" s="533"/>
      <c r="CNY10" s="533"/>
      <c r="CNZ10" s="533"/>
      <c r="COA10" s="533"/>
      <c r="COB10" s="533"/>
      <c r="COC10" s="533"/>
      <c r="COD10" s="533"/>
      <c r="COE10" s="533"/>
      <c r="COF10" s="533"/>
      <c r="COG10" s="533"/>
      <c r="COH10" s="533"/>
      <c r="COI10" s="533"/>
      <c r="COJ10" s="533"/>
      <c r="COK10" s="533"/>
      <c r="COL10" s="533"/>
      <c r="COM10" s="533"/>
      <c r="CON10" s="533"/>
      <c r="COO10" s="533"/>
      <c r="COP10" s="533"/>
      <c r="COQ10" s="533"/>
      <c r="COR10" s="533"/>
      <c r="COS10" s="533"/>
      <c r="COT10" s="533"/>
      <c r="COU10" s="533"/>
      <c r="COV10" s="533"/>
      <c r="COW10" s="533"/>
      <c r="COX10" s="533"/>
      <c r="COY10" s="533"/>
      <c r="COZ10" s="533"/>
      <c r="CPA10" s="533"/>
      <c r="CPB10" s="533"/>
      <c r="CPC10" s="533"/>
      <c r="CPD10" s="533"/>
      <c r="CPE10" s="533"/>
      <c r="CPF10" s="533"/>
      <c r="CPG10" s="533"/>
      <c r="CPH10" s="533"/>
      <c r="CPI10" s="533"/>
      <c r="CPJ10" s="533"/>
      <c r="CPK10" s="533"/>
      <c r="CPL10" s="533"/>
      <c r="CPM10" s="533"/>
      <c r="CPN10" s="533"/>
      <c r="CPO10" s="533"/>
      <c r="CPP10" s="533"/>
      <c r="CPQ10" s="533"/>
      <c r="CPR10" s="533"/>
      <c r="CPS10" s="533"/>
      <c r="CPT10" s="533"/>
      <c r="CPU10" s="533"/>
      <c r="CPV10" s="533"/>
      <c r="CPW10" s="533"/>
      <c r="CPX10" s="533"/>
      <c r="CPY10" s="533"/>
      <c r="CPZ10" s="533"/>
      <c r="CQA10" s="533"/>
      <c r="CQB10" s="533"/>
      <c r="CQC10" s="533"/>
      <c r="CQD10" s="533"/>
      <c r="CQE10" s="533"/>
      <c r="CQF10" s="533"/>
      <c r="CQG10" s="533"/>
      <c r="CQH10" s="533"/>
      <c r="CQI10" s="533"/>
      <c r="CQJ10" s="533"/>
      <c r="CQK10" s="533"/>
      <c r="CQL10" s="533"/>
      <c r="CQM10" s="533"/>
      <c r="CQN10" s="533"/>
      <c r="CQO10" s="533"/>
      <c r="CQP10" s="533"/>
      <c r="CQQ10" s="533"/>
      <c r="CQR10" s="533"/>
      <c r="CQS10" s="533"/>
      <c r="CQT10" s="533"/>
      <c r="CQU10" s="533"/>
      <c r="CQV10" s="533"/>
      <c r="CQW10" s="533"/>
      <c r="CQX10" s="533"/>
      <c r="CQY10" s="533"/>
      <c r="CQZ10" s="533"/>
      <c r="CRA10" s="533"/>
      <c r="CRB10" s="533"/>
      <c r="CRC10" s="533"/>
      <c r="CRD10" s="533"/>
      <c r="CRE10" s="533"/>
      <c r="CRF10" s="533"/>
      <c r="CRG10" s="533"/>
      <c r="CRH10" s="533"/>
      <c r="CRI10" s="533"/>
      <c r="CRJ10" s="533"/>
      <c r="CRK10" s="533"/>
      <c r="CRL10" s="533"/>
      <c r="CRM10" s="533"/>
      <c r="CRN10" s="533"/>
      <c r="CRO10" s="533"/>
      <c r="CRP10" s="533"/>
      <c r="CRQ10" s="533"/>
      <c r="CRR10" s="533"/>
      <c r="CRS10" s="533"/>
      <c r="CRT10" s="533"/>
      <c r="CRU10" s="533"/>
      <c r="CRV10" s="533"/>
      <c r="CRW10" s="533"/>
      <c r="CRX10" s="533"/>
      <c r="CRY10" s="533"/>
      <c r="CRZ10" s="533"/>
      <c r="CSA10" s="533"/>
      <c r="CSB10" s="533"/>
      <c r="CSC10" s="533"/>
      <c r="CSD10" s="533"/>
      <c r="CSE10" s="533"/>
      <c r="CSF10" s="533"/>
      <c r="CSG10" s="533"/>
      <c r="CSH10" s="533"/>
      <c r="CSI10" s="533"/>
      <c r="CSJ10" s="533"/>
      <c r="CSK10" s="533"/>
      <c r="CSL10" s="533"/>
      <c r="CSM10" s="533"/>
      <c r="CSN10" s="533"/>
      <c r="CSO10" s="533"/>
      <c r="CSP10" s="533"/>
      <c r="CSQ10" s="533"/>
      <c r="CSR10" s="533"/>
      <c r="CSS10" s="533"/>
      <c r="CST10" s="533"/>
      <c r="CSU10" s="533"/>
      <c r="CSV10" s="533"/>
      <c r="CSW10" s="533"/>
      <c r="CSX10" s="533"/>
      <c r="CSY10" s="533"/>
      <c r="CSZ10" s="533"/>
      <c r="CTA10" s="533"/>
      <c r="CTB10" s="533"/>
      <c r="CTC10" s="533"/>
      <c r="CTD10" s="533"/>
      <c r="CTE10" s="533"/>
      <c r="CTF10" s="533"/>
      <c r="CTG10" s="533"/>
      <c r="CTH10" s="533"/>
      <c r="CTI10" s="533"/>
      <c r="CTJ10" s="533"/>
      <c r="CTK10" s="533"/>
      <c r="CTL10" s="533"/>
      <c r="CTM10" s="533"/>
      <c r="CTN10" s="533"/>
      <c r="CTO10" s="533"/>
      <c r="CTP10" s="533"/>
      <c r="CTQ10" s="533"/>
      <c r="CTR10" s="533"/>
      <c r="CTS10" s="533"/>
      <c r="CTT10" s="533"/>
      <c r="CTU10" s="533"/>
      <c r="CTV10" s="533"/>
      <c r="CTW10" s="533"/>
      <c r="CTX10" s="533"/>
      <c r="CTY10" s="533"/>
      <c r="CTZ10" s="533"/>
      <c r="CUA10" s="533"/>
      <c r="CUB10" s="533"/>
      <c r="CUC10" s="533"/>
      <c r="CUD10" s="533"/>
      <c r="CUE10" s="533"/>
      <c r="CUF10" s="533"/>
      <c r="CUG10" s="533"/>
      <c r="CUH10" s="533"/>
      <c r="CUI10" s="533"/>
      <c r="CUJ10" s="533"/>
      <c r="CUK10" s="533"/>
      <c r="CUL10" s="533"/>
      <c r="CUM10" s="533"/>
      <c r="CUN10" s="533"/>
      <c r="CUO10" s="533"/>
      <c r="CUP10" s="533"/>
      <c r="CUQ10" s="533"/>
      <c r="CUR10" s="533"/>
      <c r="CUS10" s="533"/>
      <c r="CUT10" s="533"/>
      <c r="CUU10" s="533"/>
      <c r="CUV10" s="533"/>
      <c r="CUW10" s="533"/>
      <c r="CUX10" s="533"/>
      <c r="CUY10" s="533"/>
      <c r="CUZ10" s="533"/>
      <c r="CVA10" s="533"/>
      <c r="CVB10" s="533"/>
      <c r="CVC10" s="533"/>
      <c r="CVD10" s="533"/>
      <c r="CVE10" s="533"/>
      <c r="CVF10" s="533"/>
      <c r="CVG10" s="533"/>
      <c r="CVH10" s="533"/>
      <c r="CVI10" s="533"/>
      <c r="CVJ10" s="533"/>
      <c r="CVK10" s="533"/>
      <c r="CVL10" s="533"/>
      <c r="CVM10" s="533"/>
      <c r="CVN10" s="533"/>
      <c r="CVO10" s="533"/>
      <c r="CVP10" s="533"/>
      <c r="CVQ10" s="533"/>
      <c r="CVR10" s="533"/>
      <c r="CVS10" s="533"/>
      <c r="CVT10" s="533"/>
      <c r="CVU10" s="533"/>
      <c r="CVV10" s="533"/>
      <c r="CVW10" s="533"/>
      <c r="CVX10" s="533"/>
      <c r="CVY10" s="533"/>
      <c r="CVZ10" s="533"/>
      <c r="CWA10" s="533"/>
      <c r="CWB10" s="533"/>
      <c r="CWC10" s="533"/>
      <c r="CWD10" s="533"/>
      <c r="CWE10" s="533"/>
      <c r="CWF10" s="533"/>
      <c r="CWG10" s="533"/>
      <c r="CWH10" s="533"/>
      <c r="CWI10" s="533"/>
      <c r="CWJ10" s="533"/>
      <c r="CWK10" s="533"/>
      <c r="CWL10" s="533"/>
      <c r="CWM10" s="533"/>
      <c r="CWN10" s="533"/>
      <c r="CWO10" s="533"/>
      <c r="CWP10" s="533"/>
      <c r="CWQ10" s="533"/>
      <c r="CWR10" s="533"/>
      <c r="CWS10" s="533"/>
      <c r="CWT10" s="533"/>
      <c r="CWU10" s="533"/>
      <c r="CWV10" s="533"/>
      <c r="CWW10" s="533"/>
      <c r="CWX10" s="533"/>
      <c r="CWY10" s="533"/>
      <c r="CWZ10" s="533"/>
      <c r="CXA10" s="533"/>
      <c r="CXB10" s="533"/>
      <c r="CXC10" s="533"/>
      <c r="CXD10" s="533"/>
      <c r="CXE10" s="533"/>
      <c r="CXF10" s="533"/>
      <c r="CXG10" s="533"/>
      <c r="CXH10" s="533"/>
      <c r="CXI10" s="533"/>
      <c r="CXJ10" s="533"/>
      <c r="CXK10" s="533"/>
      <c r="CXL10" s="533"/>
      <c r="CXM10" s="533"/>
      <c r="CXN10" s="533"/>
      <c r="CXO10" s="533"/>
      <c r="CXP10" s="533"/>
      <c r="CXQ10" s="533"/>
      <c r="CXR10" s="533"/>
      <c r="CXS10" s="533"/>
      <c r="CXT10" s="533"/>
      <c r="CXU10" s="533"/>
      <c r="CXV10" s="533"/>
      <c r="CXW10" s="533"/>
      <c r="CXX10" s="533"/>
      <c r="CXY10" s="533"/>
      <c r="CXZ10" s="533"/>
      <c r="CYA10" s="533"/>
      <c r="CYB10" s="533"/>
      <c r="CYC10" s="533"/>
      <c r="CYD10" s="533"/>
      <c r="CYE10" s="533"/>
      <c r="CYF10" s="533"/>
      <c r="CYG10" s="533"/>
      <c r="CYH10" s="533"/>
      <c r="CYI10" s="533"/>
      <c r="CYJ10" s="533"/>
      <c r="CYK10" s="533"/>
      <c r="CYL10" s="533"/>
      <c r="CYM10" s="533"/>
      <c r="CYN10" s="533"/>
      <c r="CYO10" s="533"/>
      <c r="CYP10" s="533"/>
      <c r="CYQ10" s="533"/>
      <c r="CYR10" s="533"/>
      <c r="CYS10" s="533"/>
      <c r="CYT10" s="533"/>
      <c r="CYU10" s="533"/>
      <c r="CYV10" s="533"/>
      <c r="CYW10" s="533"/>
      <c r="CYX10" s="533"/>
      <c r="CYY10" s="533"/>
      <c r="CYZ10" s="533"/>
      <c r="CZA10" s="533"/>
      <c r="CZB10" s="533"/>
      <c r="CZC10" s="533"/>
      <c r="CZD10" s="533"/>
      <c r="CZE10" s="533"/>
      <c r="CZF10" s="533"/>
      <c r="CZG10" s="533"/>
      <c r="CZH10" s="533"/>
      <c r="CZI10" s="533"/>
      <c r="CZJ10" s="533"/>
      <c r="CZK10" s="533"/>
      <c r="CZL10" s="533"/>
      <c r="CZM10" s="533"/>
      <c r="CZN10" s="533"/>
      <c r="CZO10" s="533"/>
      <c r="CZP10" s="533"/>
      <c r="CZQ10" s="533"/>
      <c r="CZR10" s="533"/>
      <c r="CZS10" s="533"/>
      <c r="CZT10" s="533"/>
      <c r="CZU10" s="533"/>
      <c r="CZV10" s="533"/>
      <c r="CZW10" s="533"/>
      <c r="CZX10" s="533"/>
      <c r="CZY10" s="533"/>
      <c r="CZZ10" s="533"/>
      <c r="DAA10" s="533"/>
      <c r="DAB10" s="533"/>
      <c r="DAC10" s="533"/>
      <c r="DAD10" s="533"/>
      <c r="DAE10" s="533"/>
      <c r="DAF10" s="533"/>
      <c r="DAG10" s="533"/>
      <c r="DAH10" s="533"/>
      <c r="DAI10" s="533"/>
      <c r="DAJ10" s="533"/>
      <c r="DAK10" s="533"/>
      <c r="DAL10" s="533"/>
      <c r="DAM10" s="533"/>
      <c r="DAN10" s="533"/>
      <c r="DAO10" s="533"/>
      <c r="DAP10" s="533"/>
      <c r="DAQ10" s="533"/>
      <c r="DAR10" s="533"/>
      <c r="DAS10" s="533"/>
      <c r="DAT10" s="533"/>
      <c r="DAU10" s="533"/>
      <c r="DAV10" s="533"/>
      <c r="DAW10" s="533"/>
      <c r="DAX10" s="533"/>
      <c r="DAY10" s="533"/>
      <c r="DAZ10" s="533"/>
      <c r="DBA10" s="533"/>
      <c r="DBB10" s="533"/>
      <c r="DBC10" s="533"/>
      <c r="DBD10" s="533"/>
      <c r="DBE10" s="533"/>
      <c r="DBF10" s="533"/>
      <c r="DBG10" s="533"/>
      <c r="DBH10" s="533"/>
      <c r="DBI10" s="533"/>
      <c r="DBJ10" s="533"/>
      <c r="DBK10" s="533"/>
      <c r="DBL10" s="533"/>
      <c r="DBM10" s="533"/>
      <c r="DBN10" s="533"/>
      <c r="DBO10" s="533"/>
      <c r="DBP10" s="533"/>
      <c r="DBQ10" s="533"/>
      <c r="DBR10" s="533"/>
      <c r="DBS10" s="533"/>
      <c r="DBT10" s="533"/>
      <c r="DBU10" s="533"/>
      <c r="DBV10" s="533"/>
      <c r="DBW10" s="533"/>
      <c r="DBX10" s="533"/>
      <c r="DBY10" s="533"/>
      <c r="DBZ10" s="533"/>
      <c r="DCA10" s="533"/>
      <c r="DCB10" s="533"/>
      <c r="DCC10" s="533"/>
      <c r="DCD10" s="533"/>
      <c r="DCE10" s="533"/>
      <c r="DCF10" s="533"/>
      <c r="DCG10" s="533"/>
      <c r="DCH10" s="533"/>
      <c r="DCI10" s="533"/>
      <c r="DCJ10" s="533"/>
      <c r="DCK10" s="533"/>
      <c r="DCL10" s="533"/>
      <c r="DCM10" s="533"/>
      <c r="DCN10" s="533"/>
      <c r="DCO10" s="533"/>
      <c r="DCP10" s="533"/>
      <c r="DCQ10" s="533"/>
      <c r="DCR10" s="533"/>
      <c r="DCS10" s="533"/>
      <c r="DCT10" s="533"/>
      <c r="DCU10" s="533"/>
      <c r="DCV10" s="533"/>
      <c r="DCW10" s="533"/>
      <c r="DCX10" s="533"/>
      <c r="DCY10" s="533"/>
      <c r="DCZ10" s="533"/>
      <c r="DDA10" s="533"/>
      <c r="DDB10" s="533"/>
      <c r="DDC10" s="533"/>
      <c r="DDD10" s="533"/>
      <c r="DDE10" s="533"/>
      <c r="DDF10" s="533"/>
      <c r="DDG10" s="533"/>
      <c r="DDH10" s="533"/>
      <c r="DDI10" s="533"/>
      <c r="DDJ10" s="533"/>
      <c r="DDK10" s="533"/>
      <c r="DDL10" s="533"/>
      <c r="DDM10" s="533"/>
      <c r="DDN10" s="533"/>
      <c r="DDO10" s="533"/>
      <c r="DDP10" s="533"/>
      <c r="DDQ10" s="533"/>
      <c r="DDR10" s="533"/>
      <c r="DDS10" s="533"/>
      <c r="DDT10" s="533"/>
      <c r="DDU10" s="533"/>
      <c r="DDV10" s="533"/>
      <c r="DDW10" s="533"/>
      <c r="DDX10" s="533"/>
      <c r="DDY10" s="533"/>
      <c r="DDZ10" s="533"/>
      <c r="DEA10" s="533"/>
      <c r="DEB10" s="533"/>
      <c r="DEC10" s="533"/>
      <c r="DED10" s="533"/>
      <c r="DEE10" s="533"/>
      <c r="DEF10" s="533"/>
      <c r="DEG10" s="533"/>
      <c r="DEH10" s="533"/>
      <c r="DEI10" s="533"/>
      <c r="DEJ10" s="533"/>
      <c r="DEK10" s="533"/>
      <c r="DEL10" s="533"/>
      <c r="DEM10" s="533"/>
      <c r="DEN10" s="533"/>
      <c r="DEO10" s="533"/>
      <c r="DEP10" s="533"/>
      <c r="DEQ10" s="533"/>
      <c r="DER10" s="533"/>
      <c r="DES10" s="533"/>
      <c r="DET10" s="533"/>
      <c r="DEU10" s="533"/>
      <c r="DEV10" s="533"/>
      <c r="DEW10" s="533"/>
      <c r="DEX10" s="533"/>
      <c r="DEY10" s="533"/>
      <c r="DEZ10" s="533"/>
      <c r="DFA10" s="533"/>
      <c r="DFB10" s="533"/>
      <c r="DFC10" s="533"/>
      <c r="DFD10" s="533"/>
      <c r="DFE10" s="533"/>
      <c r="DFF10" s="533"/>
      <c r="DFG10" s="533"/>
      <c r="DFH10" s="533"/>
      <c r="DFI10" s="533"/>
      <c r="DFJ10" s="533"/>
      <c r="DFK10" s="533"/>
      <c r="DFL10" s="533"/>
      <c r="DFM10" s="533"/>
      <c r="DFN10" s="533"/>
      <c r="DFO10" s="533"/>
      <c r="DFP10" s="533"/>
      <c r="DFQ10" s="533"/>
      <c r="DFR10" s="533"/>
      <c r="DFS10" s="533"/>
      <c r="DFT10" s="533"/>
      <c r="DFU10" s="533"/>
      <c r="DFV10" s="533"/>
      <c r="DFW10" s="533"/>
      <c r="DFX10" s="533"/>
      <c r="DFY10" s="533"/>
      <c r="DFZ10" s="533"/>
      <c r="DGA10" s="533"/>
      <c r="DGB10" s="533"/>
      <c r="DGC10" s="533"/>
      <c r="DGD10" s="533"/>
      <c r="DGE10" s="533"/>
      <c r="DGF10" s="533"/>
      <c r="DGG10" s="533"/>
      <c r="DGH10" s="533"/>
      <c r="DGI10" s="533"/>
      <c r="DGJ10" s="533"/>
      <c r="DGK10" s="533"/>
      <c r="DGL10" s="533"/>
      <c r="DGM10" s="533"/>
      <c r="DGN10" s="533"/>
      <c r="DGO10" s="533"/>
      <c r="DGP10" s="533"/>
      <c r="DGQ10" s="533"/>
      <c r="DGR10" s="533"/>
      <c r="DGS10" s="533"/>
      <c r="DGT10" s="533"/>
      <c r="DGU10" s="533"/>
      <c r="DGV10" s="533"/>
      <c r="DGW10" s="533"/>
      <c r="DGX10" s="533"/>
      <c r="DGY10" s="533"/>
      <c r="DGZ10" s="533"/>
      <c r="DHA10" s="533"/>
      <c r="DHB10" s="533"/>
      <c r="DHC10" s="533"/>
      <c r="DHD10" s="533"/>
      <c r="DHE10" s="533"/>
      <c r="DHF10" s="533"/>
      <c r="DHG10" s="533"/>
      <c r="DHH10" s="533"/>
      <c r="DHI10" s="533"/>
      <c r="DHJ10" s="533"/>
      <c r="DHK10" s="533"/>
      <c r="DHL10" s="533"/>
      <c r="DHM10" s="533"/>
      <c r="DHN10" s="533"/>
      <c r="DHO10" s="533"/>
      <c r="DHP10" s="533"/>
      <c r="DHQ10" s="533"/>
      <c r="DHR10" s="533"/>
      <c r="DHS10" s="533"/>
      <c r="DHT10" s="533"/>
      <c r="DHU10" s="533"/>
      <c r="DHV10" s="533"/>
      <c r="DHW10" s="533"/>
      <c r="DHX10" s="533"/>
      <c r="DHY10" s="533"/>
      <c r="DHZ10" s="533"/>
      <c r="DIA10" s="533"/>
      <c r="DIB10" s="533"/>
      <c r="DIC10" s="533"/>
      <c r="DID10" s="533"/>
      <c r="DIE10" s="533"/>
      <c r="DIF10" s="533"/>
      <c r="DIG10" s="533"/>
      <c r="DIH10" s="533"/>
      <c r="DII10" s="533"/>
      <c r="DIJ10" s="533"/>
      <c r="DIK10" s="533"/>
      <c r="DIL10" s="533"/>
      <c r="DIM10" s="533"/>
      <c r="DIN10" s="533"/>
      <c r="DIO10" s="533"/>
      <c r="DIP10" s="533"/>
      <c r="DIQ10" s="533"/>
      <c r="DIR10" s="533"/>
      <c r="DIS10" s="533"/>
      <c r="DIT10" s="533"/>
      <c r="DIU10" s="533"/>
      <c r="DIV10" s="533"/>
      <c r="DIW10" s="533"/>
      <c r="DIX10" s="533"/>
      <c r="DIY10" s="533"/>
      <c r="DIZ10" s="533"/>
      <c r="DJA10" s="533"/>
      <c r="DJB10" s="533"/>
      <c r="DJC10" s="533"/>
      <c r="DJD10" s="533"/>
      <c r="DJE10" s="533"/>
      <c r="DJF10" s="533"/>
      <c r="DJG10" s="533"/>
      <c r="DJH10" s="533"/>
      <c r="DJI10" s="533"/>
      <c r="DJJ10" s="533"/>
      <c r="DJK10" s="533"/>
      <c r="DJL10" s="533"/>
      <c r="DJM10" s="533"/>
      <c r="DJN10" s="533"/>
      <c r="DJO10" s="533"/>
      <c r="DJP10" s="533"/>
      <c r="DJQ10" s="533"/>
      <c r="DJR10" s="533"/>
      <c r="DJS10" s="533"/>
      <c r="DJT10" s="533"/>
      <c r="DJU10" s="533"/>
      <c r="DJV10" s="533"/>
      <c r="DJW10" s="533"/>
      <c r="DJX10" s="533"/>
      <c r="DJY10" s="533"/>
      <c r="DJZ10" s="533"/>
      <c r="DKA10" s="533"/>
      <c r="DKB10" s="533"/>
      <c r="DKC10" s="533"/>
      <c r="DKD10" s="533"/>
      <c r="DKE10" s="533"/>
      <c r="DKF10" s="533"/>
      <c r="DKG10" s="533"/>
      <c r="DKH10" s="533"/>
      <c r="DKI10" s="533"/>
      <c r="DKJ10" s="533"/>
      <c r="DKK10" s="533"/>
      <c r="DKL10" s="533"/>
      <c r="DKM10" s="533"/>
      <c r="DKN10" s="533"/>
      <c r="DKO10" s="533"/>
      <c r="DKP10" s="533"/>
      <c r="DKQ10" s="533"/>
      <c r="DKR10" s="533"/>
      <c r="DKS10" s="533"/>
      <c r="DKT10" s="533"/>
      <c r="DKU10" s="533"/>
      <c r="DKV10" s="533"/>
      <c r="DKW10" s="533"/>
      <c r="DKX10" s="533"/>
      <c r="DKY10" s="533"/>
      <c r="DKZ10" s="533"/>
      <c r="DLA10" s="533"/>
      <c r="DLB10" s="533"/>
      <c r="DLC10" s="533"/>
      <c r="DLD10" s="533"/>
      <c r="DLE10" s="533"/>
      <c r="DLF10" s="533"/>
      <c r="DLG10" s="533"/>
      <c r="DLH10" s="533"/>
      <c r="DLI10" s="533"/>
      <c r="DLJ10" s="533"/>
      <c r="DLK10" s="533"/>
      <c r="DLL10" s="533"/>
      <c r="DLM10" s="533"/>
      <c r="DLN10" s="533"/>
      <c r="DLO10" s="533"/>
      <c r="DLP10" s="533"/>
      <c r="DLQ10" s="533"/>
      <c r="DLR10" s="533"/>
      <c r="DLS10" s="533"/>
      <c r="DLT10" s="533"/>
      <c r="DLU10" s="533"/>
      <c r="DLV10" s="533"/>
      <c r="DLW10" s="533"/>
      <c r="DLX10" s="533"/>
      <c r="DLY10" s="533"/>
      <c r="DLZ10" s="533"/>
      <c r="DMA10" s="533"/>
      <c r="DMB10" s="533"/>
      <c r="DMC10" s="533"/>
      <c r="DMD10" s="533"/>
      <c r="DME10" s="533"/>
      <c r="DMF10" s="533"/>
      <c r="DMG10" s="533"/>
      <c r="DMH10" s="533"/>
      <c r="DMI10" s="533"/>
      <c r="DMJ10" s="533"/>
      <c r="DMK10" s="533"/>
      <c r="DML10" s="533"/>
      <c r="DMM10" s="533"/>
      <c r="DMN10" s="533"/>
      <c r="DMO10" s="533"/>
      <c r="DMP10" s="533"/>
      <c r="DMQ10" s="533"/>
      <c r="DMR10" s="533"/>
      <c r="DMS10" s="533"/>
      <c r="DMT10" s="533"/>
      <c r="DMU10" s="533"/>
      <c r="DMV10" s="533"/>
      <c r="DMW10" s="533"/>
      <c r="DMX10" s="533"/>
      <c r="DMY10" s="533"/>
      <c r="DMZ10" s="533"/>
      <c r="DNA10" s="533"/>
      <c r="DNB10" s="533"/>
      <c r="DNC10" s="533"/>
      <c r="DND10" s="533"/>
      <c r="DNE10" s="533"/>
      <c r="DNF10" s="533"/>
      <c r="DNG10" s="533"/>
      <c r="DNH10" s="533"/>
      <c r="DNI10" s="533"/>
      <c r="DNJ10" s="533"/>
      <c r="DNK10" s="533"/>
      <c r="DNL10" s="533"/>
      <c r="DNM10" s="533"/>
      <c r="DNN10" s="533"/>
      <c r="DNO10" s="533"/>
      <c r="DNP10" s="533"/>
      <c r="DNQ10" s="533"/>
      <c r="DNR10" s="533"/>
      <c r="DNS10" s="533"/>
      <c r="DNT10" s="533"/>
      <c r="DNU10" s="533"/>
      <c r="DNV10" s="533"/>
      <c r="DNW10" s="533"/>
      <c r="DNX10" s="533"/>
      <c r="DNY10" s="533"/>
      <c r="DNZ10" s="533"/>
      <c r="DOA10" s="533"/>
      <c r="DOB10" s="533"/>
      <c r="DOC10" s="533"/>
      <c r="DOD10" s="533"/>
      <c r="DOE10" s="533"/>
      <c r="DOF10" s="533"/>
      <c r="DOG10" s="533"/>
      <c r="DOH10" s="533"/>
      <c r="DOI10" s="533"/>
      <c r="DOJ10" s="533"/>
      <c r="DOK10" s="533"/>
      <c r="DOL10" s="533"/>
      <c r="DOM10" s="533"/>
      <c r="DON10" s="533"/>
      <c r="DOO10" s="533"/>
      <c r="DOP10" s="533"/>
      <c r="DOQ10" s="533"/>
      <c r="DOR10" s="533"/>
      <c r="DOS10" s="533"/>
      <c r="DOT10" s="533"/>
      <c r="DOU10" s="533"/>
      <c r="DOV10" s="533"/>
      <c r="DOW10" s="533"/>
      <c r="DOX10" s="533"/>
      <c r="DOY10" s="533"/>
      <c r="DOZ10" s="533"/>
      <c r="DPA10" s="533"/>
      <c r="DPB10" s="533"/>
      <c r="DPC10" s="533"/>
      <c r="DPD10" s="533"/>
      <c r="DPE10" s="533"/>
      <c r="DPF10" s="533"/>
      <c r="DPG10" s="533"/>
      <c r="DPH10" s="533"/>
      <c r="DPI10" s="533"/>
      <c r="DPJ10" s="533"/>
      <c r="DPK10" s="533"/>
      <c r="DPL10" s="533"/>
      <c r="DPM10" s="533"/>
      <c r="DPN10" s="533"/>
      <c r="DPO10" s="533"/>
      <c r="DPP10" s="533"/>
      <c r="DPQ10" s="533"/>
      <c r="DPR10" s="533"/>
      <c r="DPS10" s="533"/>
      <c r="DPT10" s="533"/>
      <c r="DPU10" s="533"/>
      <c r="DPV10" s="533"/>
      <c r="DPW10" s="533"/>
      <c r="DPX10" s="533"/>
      <c r="DPY10" s="533"/>
      <c r="DPZ10" s="533"/>
      <c r="DQA10" s="533"/>
      <c r="DQB10" s="533"/>
      <c r="DQC10" s="533"/>
      <c r="DQD10" s="533"/>
      <c r="DQE10" s="533"/>
      <c r="DQF10" s="533"/>
      <c r="DQG10" s="533"/>
      <c r="DQH10" s="533"/>
      <c r="DQI10" s="533"/>
      <c r="DQJ10" s="533"/>
      <c r="DQK10" s="533"/>
      <c r="DQL10" s="533"/>
      <c r="DQM10" s="533"/>
      <c r="DQN10" s="533"/>
      <c r="DQO10" s="533"/>
      <c r="DQP10" s="533"/>
      <c r="DQQ10" s="533"/>
      <c r="DQR10" s="533"/>
      <c r="DQS10" s="533"/>
      <c r="DQT10" s="533"/>
      <c r="DQU10" s="533"/>
      <c r="DQV10" s="533"/>
      <c r="DQW10" s="533"/>
      <c r="DQX10" s="533"/>
      <c r="DQY10" s="533"/>
      <c r="DQZ10" s="533"/>
      <c r="DRA10" s="533"/>
      <c r="DRB10" s="533"/>
      <c r="DRC10" s="533"/>
      <c r="DRD10" s="533"/>
      <c r="DRE10" s="533"/>
      <c r="DRF10" s="533"/>
      <c r="DRG10" s="533"/>
      <c r="DRH10" s="533"/>
      <c r="DRI10" s="533"/>
      <c r="DRJ10" s="533"/>
      <c r="DRK10" s="533"/>
      <c r="DRL10" s="533"/>
      <c r="DRM10" s="533"/>
      <c r="DRN10" s="533"/>
      <c r="DRO10" s="533"/>
      <c r="DRP10" s="533"/>
      <c r="DRQ10" s="533"/>
      <c r="DRR10" s="533"/>
      <c r="DRS10" s="533"/>
      <c r="DRT10" s="533"/>
      <c r="DRU10" s="533"/>
      <c r="DRV10" s="533"/>
      <c r="DRW10" s="533"/>
      <c r="DRX10" s="533"/>
      <c r="DRY10" s="533"/>
      <c r="DRZ10" s="533"/>
      <c r="DSA10" s="533"/>
      <c r="DSB10" s="533"/>
      <c r="DSC10" s="533"/>
      <c r="DSD10" s="533"/>
      <c r="DSE10" s="533"/>
      <c r="DSF10" s="533"/>
      <c r="DSG10" s="533"/>
      <c r="DSH10" s="533"/>
      <c r="DSI10" s="533"/>
      <c r="DSJ10" s="533"/>
      <c r="DSK10" s="533"/>
      <c r="DSL10" s="533"/>
      <c r="DSM10" s="533"/>
      <c r="DSN10" s="533"/>
      <c r="DSO10" s="533"/>
      <c r="DSP10" s="533"/>
      <c r="DSQ10" s="533"/>
      <c r="DSR10" s="533"/>
      <c r="DSS10" s="533"/>
      <c r="DST10" s="533"/>
      <c r="DSU10" s="533"/>
      <c r="DSV10" s="533"/>
      <c r="DSW10" s="533"/>
      <c r="DSX10" s="533"/>
      <c r="DSY10" s="533"/>
      <c r="DSZ10" s="533"/>
      <c r="DTA10" s="533"/>
      <c r="DTB10" s="533"/>
      <c r="DTC10" s="533"/>
      <c r="DTD10" s="533"/>
      <c r="DTE10" s="533"/>
      <c r="DTF10" s="533"/>
      <c r="DTG10" s="533"/>
      <c r="DTH10" s="533"/>
      <c r="DTI10" s="533"/>
      <c r="DTJ10" s="533"/>
      <c r="DTK10" s="533"/>
      <c r="DTL10" s="533"/>
      <c r="DTM10" s="533"/>
      <c r="DTN10" s="533"/>
      <c r="DTO10" s="533"/>
      <c r="DTP10" s="533"/>
      <c r="DTQ10" s="533"/>
      <c r="DTR10" s="533"/>
      <c r="DTS10" s="533"/>
      <c r="DTT10" s="533"/>
      <c r="DTU10" s="533"/>
      <c r="DTV10" s="533"/>
      <c r="DTW10" s="533"/>
      <c r="DTX10" s="533"/>
      <c r="DTY10" s="533"/>
      <c r="DTZ10" s="533"/>
      <c r="DUA10" s="533"/>
      <c r="DUB10" s="533"/>
      <c r="DUC10" s="533"/>
      <c r="DUD10" s="533"/>
      <c r="DUE10" s="533"/>
      <c r="DUF10" s="533"/>
      <c r="DUG10" s="533"/>
      <c r="DUH10" s="533"/>
      <c r="DUI10" s="533"/>
      <c r="DUJ10" s="533"/>
      <c r="DUK10" s="533"/>
      <c r="DUL10" s="533"/>
      <c r="DUM10" s="533"/>
      <c r="DUN10" s="533"/>
      <c r="DUO10" s="533"/>
      <c r="DUP10" s="533"/>
      <c r="DUQ10" s="533"/>
      <c r="DUR10" s="533"/>
      <c r="DUS10" s="533"/>
      <c r="DUT10" s="533"/>
      <c r="DUU10" s="533"/>
      <c r="DUV10" s="533"/>
      <c r="DUW10" s="533"/>
      <c r="DUX10" s="533"/>
      <c r="DUY10" s="533"/>
      <c r="DUZ10" s="533"/>
      <c r="DVA10" s="533"/>
      <c r="DVB10" s="533"/>
      <c r="DVC10" s="533"/>
      <c r="DVD10" s="533"/>
      <c r="DVE10" s="533"/>
      <c r="DVF10" s="533"/>
      <c r="DVG10" s="533"/>
      <c r="DVH10" s="533"/>
      <c r="DVI10" s="533"/>
      <c r="DVJ10" s="533"/>
      <c r="DVK10" s="533"/>
      <c r="DVL10" s="533"/>
      <c r="DVM10" s="533"/>
      <c r="DVN10" s="533"/>
      <c r="DVO10" s="533"/>
      <c r="DVP10" s="533"/>
      <c r="DVQ10" s="533"/>
      <c r="DVR10" s="533"/>
      <c r="DVS10" s="533"/>
      <c r="DVT10" s="533"/>
      <c r="DVU10" s="533"/>
      <c r="DVV10" s="533"/>
      <c r="DVW10" s="533"/>
      <c r="DVX10" s="533"/>
      <c r="DVY10" s="533"/>
      <c r="DVZ10" s="533"/>
      <c r="DWA10" s="533"/>
      <c r="DWB10" s="533"/>
      <c r="DWC10" s="533"/>
      <c r="DWD10" s="533"/>
      <c r="DWE10" s="533"/>
      <c r="DWF10" s="533"/>
      <c r="DWG10" s="533"/>
      <c r="DWH10" s="533"/>
      <c r="DWI10" s="533"/>
      <c r="DWJ10" s="533"/>
      <c r="DWK10" s="533"/>
      <c r="DWL10" s="533"/>
      <c r="DWM10" s="533"/>
      <c r="DWN10" s="533"/>
      <c r="DWO10" s="533"/>
      <c r="DWP10" s="533"/>
      <c r="DWQ10" s="533"/>
      <c r="DWR10" s="533"/>
      <c r="DWS10" s="533"/>
      <c r="DWT10" s="533"/>
      <c r="DWU10" s="533"/>
      <c r="DWV10" s="533"/>
      <c r="DWW10" s="533"/>
      <c r="DWX10" s="533"/>
      <c r="DWY10" s="533"/>
      <c r="DWZ10" s="533"/>
      <c r="DXA10" s="533"/>
      <c r="DXB10" s="533"/>
      <c r="DXC10" s="533"/>
      <c r="DXD10" s="533"/>
      <c r="DXE10" s="533"/>
      <c r="DXF10" s="533"/>
      <c r="DXG10" s="533"/>
      <c r="DXH10" s="533"/>
      <c r="DXI10" s="533"/>
      <c r="DXJ10" s="533"/>
      <c r="DXK10" s="533"/>
      <c r="DXL10" s="533"/>
      <c r="DXM10" s="533"/>
      <c r="DXN10" s="533"/>
      <c r="DXO10" s="533"/>
      <c r="DXP10" s="533"/>
      <c r="DXQ10" s="533"/>
      <c r="DXR10" s="533"/>
      <c r="DXS10" s="533"/>
      <c r="DXT10" s="533"/>
      <c r="DXU10" s="533"/>
      <c r="DXV10" s="533"/>
      <c r="DXW10" s="533"/>
      <c r="DXX10" s="533"/>
      <c r="DXY10" s="533"/>
      <c r="DXZ10" s="533"/>
      <c r="DYA10" s="533"/>
      <c r="DYB10" s="533"/>
      <c r="DYC10" s="533"/>
      <c r="DYD10" s="533"/>
      <c r="DYE10" s="533"/>
      <c r="DYF10" s="533"/>
      <c r="DYG10" s="533"/>
      <c r="DYH10" s="533"/>
      <c r="DYI10" s="533"/>
      <c r="DYJ10" s="533"/>
      <c r="DYK10" s="533"/>
      <c r="DYL10" s="533"/>
      <c r="DYM10" s="533"/>
      <c r="DYN10" s="533"/>
      <c r="DYO10" s="533"/>
      <c r="DYP10" s="533"/>
      <c r="DYQ10" s="533"/>
      <c r="DYR10" s="533"/>
      <c r="DYS10" s="533"/>
      <c r="DYT10" s="533"/>
      <c r="DYU10" s="533"/>
      <c r="DYV10" s="533"/>
      <c r="DYW10" s="533"/>
      <c r="DYX10" s="533"/>
      <c r="DYY10" s="533"/>
      <c r="DYZ10" s="533"/>
      <c r="DZA10" s="533"/>
      <c r="DZB10" s="533"/>
      <c r="DZC10" s="533"/>
      <c r="DZD10" s="533"/>
      <c r="DZE10" s="533"/>
      <c r="DZF10" s="533"/>
      <c r="DZG10" s="533"/>
      <c r="DZH10" s="533"/>
      <c r="DZI10" s="533"/>
      <c r="DZJ10" s="533"/>
      <c r="DZK10" s="533"/>
      <c r="DZL10" s="533"/>
      <c r="DZM10" s="533"/>
      <c r="DZN10" s="533"/>
      <c r="DZO10" s="533"/>
      <c r="DZP10" s="533"/>
      <c r="DZQ10" s="533"/>
      <c r="DZR10" s="533"/>
      <c r="DZS10" s="533"/>
      <c r="DZT10" s="533"/>
      <c r="DZU10" s="533"/>
      <c r="DZV10" s="533"/>
      <c r="DZW10" s="533"/>
      <c r="DZX10" s="533"/>
      <c r="DZY10" s="533"/>
      <c r="DZZ10" s="533"/>
      <c r="EAA10" s="533"/>
      <c r="EAB10" s="533"/>
      <c r="EAC10" s="533"/>
      <c r="EAD10" s="533"/>
      <c r="EAE10" s="533"/>
      <c r="EAF10" s="533"/>
      <c r="EAG10" s="533"/>
      <c r="EAH10" s="533"/>
      <c r="EAI10" s="533"/>
      <c r="EAJ10" s="533"/>
      <c r="EAK10" s="533"/>
      <c r="EAL10" s="533"/>
      <c r="EAM10" s="533"/>
      <c r="EAN10" s="533"/>
      <c r="EAO10" s="533"/>
      <c r="EAP10" s="533"/>
      <c r="EAQ10" s="533"/>
      <c r="EAR10" s="533"/>
      <c r="EAS10" s="533"/>
      <c r="EAT10" s="533"/>
      <c r="EAU10" s="533"/>
      <c r="EAV10" s="533"/>
      <c r="EAW10" s="533"/>
      <c r="EAX10" s="533"/>
      <c r="EAY10" s="533"/>
      <c r="EAZ10" s="533"/>
      <c r="EBA10" s="533"/>
      <c r="EBB10" s="533"/>
      <c r="EBC10" s="533"/>
      <c r="EBD10" s="533"/>
      <c r="EBE10" s="533"/>
      <c r="EBF10" s="533"/>
      <c r="EBG10" s="533"/>
      <c r="EBH10" s="533"/>
      <c r="EBI10" s="533"/>
      <c r="EBJ10" s="533"/>
      <c r="EBK10" s="533"/>
      <c r="EBL10" s="533"/>
      <c r="EBM10" s="533"/>
      <c r="EBN10" s="533"/>
      <c r="EBO10" s="533"/>
      <c r="EBP10" s="533"/>
      <c r="EBQ10" s="533"/>
      <c r="EBR10" s="533"/>
      <c r="EBS10" s="533"/>
      <c r="EBT10" s="533"/>
      <c r="EBU10" s="533"/>
      <c r="EBV10" s="533"/>
      <c r="EBW10" s="533"/>
      <c r="EBX10" s="533"/>
      <c r="EBY10" s="533"/>
      <c r="EBZ10" s="533"/>
      <c r="ECA10" s="533"/>
      <c r="ECB10" s="533"/>
      <c r="ECC10" s="533"/>
      <c r="ECD10" s="533"/>
      <c r="ECE10" s="533"/>
      <c r="ECF10" s="533"/>
      <c r="ECG10" s="533"/>
      <c r="ECH10" s="533"/>
      <c r="ECI10" s="533"/>
      <c r="ECJ10" s="533"/>
      <c r="ECK10" s="533"/>
      <c r="ECL10" s="533"/>
      <c r="ECM10" s="533"/>
      <c r="ECN10" s="533"/>
      <c r="ECO10" s="533"/>
      <c r="ECP10" s="533"/>
      <c r="ECQ10" s="533"/>
      <c r="ECR10" s="533"/>
      <c r="ECS10" s="533"/>
      <c r="ECT10" s="533"/>
      <c r="ECU10" s="533"/>
      <c r="ECV10" s="533"/>
      <c r="ECW10" s="533"/>
      <c r="ECX10" s="533"/>
      <c r="ECY10" s="533"/>
      <c r="ECZ10" s="533"/>
      <c r="EDA10" s="533"/>
      <c r="EDB10" s="533"/>
      <c r="EDC10" s="533"/>
      <c r="EDD10" s="533"/>
      <c r="EDE10" s="533"/>
      <c r="EDF10" s="533"/>
      <c r="EDG10" s="533"/>
      <c r="EDH10" s="533"/>
      <c r="EDI10" s="533"/>
      <c r="EDJ10" s="533"/>
      <c r="EDK10" s="533"/>
      <c r="EDL10" s="533"/>
      <c r="EDM10" s="533"/>
      <c r="EDN10" s="533"/>
      <c r="EDO10" s="533"/>
      <c r="EDP10" s="533"/>
      <c r="EDQ10" s="533"/>
      <c r="EDR10" s="533"/>
      <c r="EDS10" s="533"/>
      <c r="EDT10" s="533"/>
      <c r="EDU10" s="533"/>
      <c r="EDV10" s="533"/>
      <c r="EDW10" s="533"/>
      <c r="EDX10" s="533"/>
      <c r="EDY10" s="533"/>
      <c r="EDZ10" s="533"/>
      <c r="EEA10" s="533"/>
      <c r="EEB10" s="533"/>
      <c r="EEC10" s="533"/>
      <c r="EED10" s="533"/>
      <c r="EEE10" s="533"/>
      <c r="EEF10" s="533"/>
      <c r="EEG10" s="533"/>
      <c r="EEH10" s="533"/>
      <c r="EEI10" s="533"/>
      <c r="EEJ10" s="533"/>
      <c r="EEK10" s="533"/>
      <c r="EEL10" s="533"/>
      <c r="EEM10" s="533"/>
      <c r="EEN10" s="533"/>
      <c r="EEO10" s="533"/>
      <c r="EEP10" s="533"/>
      <c r="EEQ10" s="533"/>
      <c r="EER10" s="533"/>
      <c r="EES10" s="533"/>
      <c r="EET10" s="533"/>
      <c r="EEU10" s="533"/>
      <c r="EEV10" s="533"/>
      <c r="EEW10" s="533"/>
      <c r="EEX10" s="533"/>
      <c r="EEY10" s="533"/>
      <c r="EEZ10" s="533"/>
      <c r="EFA10" s="533"/>
      <c r="EFB10" s="533"/>
      <c r="EFC10" s="533"/>
      <c r="EFD10" s="533"/>
      <c r="EFE10" s="533"/>
      <c r="EFF10" s="533"/>
      <c r="EFG10" s="533"/>
      <c r="EFH10" s="533"/>
      <c r="EFI10" s="533"/>
      <c r="EFJ10" s="533"/>
      <c r="EFK10" s="533"/>
      <c r="EFL10" s="533"/>
      <c r="EFM10" s="533"/>
      <c r="EFN10" s="533"/>
      <c r="EFO10" s="533"/>
      <c r="EFP10" s="533"/>
      <c r="EFQ10" s="533"/>
      <c r="EFR10" s="533"/>
      <c r="EFS10" s="533"/>
      <c r="EFT10" s="533"/>
      <c r="EFU10" s="533"/>
      <c r="EFV10" s="533"/>
      <c r="EFW10" s="533"/>
      <c r="EFX10" s="533"/>
      <c r="EFY10" s="533"/>
      <c r="EFZ10" s="533"/>
      <c r="EGA10" s="533"/>
      <c r="EGB10" s="533"/>
      <c r="EGC10" s="533"/>
      <c r="EGD10" s="533"/>
      <c r="EGE10" s="533"/>
      <c r="EGF10" s="533"/>
      <c r="EGG10" s="533"/>
      <c r="EGH10" s="533"/>
      <c r="EGI10" s="533"/>
      <c r="EGJ10" s="533"/>
      <c r="EGK10" s="533"/>
      <c r="EGL10" s="533"/>
      <c r="EGM10" s="533"/>
      <c r="EGN10" s="533"/>
      <c r="EGO10" s="533"/>
      <c r="EGP10" s="533"/>
      <c r="EGQ10" s="533"/>
      <c r="EGR10" s="533"/>
      <c r="EGS10" s="533"/>
      <c r="EGT10" s="533"/>
      <c r="EGU10" s="533"/>
      <c r="EGV10" s="533"/>
      <c r="EGW10" s="533"/>
      <c r="EGX10" s="533"/>
      <c r="EGY10" s="533"/>
      <c r="EGZ10" s="533"/>
      <c r="EHA10" s="533"/>
      <c r="EHB10" s="533"/>
      <c r="EHC10" s="533"/>
      <c r="EHD10" s="533"/>
      <c r="EHE10" s="533"/>
      <c r="EHF10" s="533"/>
      <c r="EHG10" s="533"/>
      <c r="EHH10" s="533"/>
      <c r="EHI10" s="533"/>
      <c r="EHJ10" s="533"/>
      <c r="EHK10" s="533"/>
      <c r="EHL10" s="533"/>
      <c r="EHM10" s="533"/>
      <c r="EHN10" s="533"/>
      <c r="EHO10" s="533"/>
      <c r="EHP10" s="533"/>
      <c r="EHQ10" s="533"/>
      <c r="EHR10" s="533"/>
      <c r="EHS10" s="533"/>
      <c r="EHT10" s="533"/>
      <c r="EHU10" s="533"/>
      <c r="EHV10" s="533"/>
      <c r="EHW10" s="533"/>
      <c r="EHX10" s="533"/>
      <c r="EHY10" s="533"/>
      <c r="EHZ10" s="533"/>
      <c r="EIA10" s="533"/>
      <c r="EIB10" s="533"/>
      <c r="EIC10" s="533"/>
      <c r="EID10" s="533"/>
      <c r="EIE10" s="533"/>
      <c r="EIF10" s="533"/>
      <c r="EIG10" s="533"/>
      <c r="EIH10" s="533"/>
      <c r="EII10" s="533"/>
      <c r="EIJ10" s="533"/>
      <c r="EIK10" s="533"/>
      <c r="EIL10" s="533"/>
      <c r="EIM10" s="533"/>
      <c r="EIN10" s="533"/>
      <c r="EIO10" s="533"/>
      <c r="EIP10" s="533"/>
      <c r="EIQ10" s="533"/>
      <c r="EIR10" s="533"/>
      <c r="EIS10" s="533"/>
      <c r="EIT10" s="533"/>
      <c r="EIU10" s="533"/>
      <c r="EIV10" s="533"/>
      <c r="EIW10" s="533"/>
      <c r="EIX10" s="533"/>
      <c r="EIY10" s="533"/>
      <c r="EIZ10" s="533"/>
      <c r="EJA10" s="533"/>
      <c r="EJB10" s="533"/>
      <c r="EJC10" s="533"/>
      <c r="EJD10" s="533"/>
      <c r="EJE10" s="533"/>
      <c r="EJF10" s="533"/>
      <c r="EJG10" s="533"/>
      <c r="EJH10" s="533"/>
      <c r="EJI10" s="533"/>
      <c r="EJJ10" s="533"/>
      <c r="EJK10" s="533"/>
      <c r="EJL10" s="533"/>
      <c r="EJM10" s="533"/>
      <c r="EJN10" s="533"/>
      <c r="EJO10" s="533"/>
      <c r="EJP10" s="533"/>
      <c r="EJQ10" s="533"/>
      <c r="EJR10" s="533"/>
      <c r="EJS10" s="533"/>
      <c r="EJT10" s="533"/>
      <c r="EJU10" s="533"/>
      <c r="EJV10" s="533"/>
      <c r="EJW10" s="533"/>
      <c r="EJX10" s="533"/>
      <c r="EJY10" s="533"/>
      <c r="EJZ10" s="533"/>
      <c r="EKA10" s="533"/>
      <c r="EKB10" s="533"/>
      <c r="EKC10" s="533"/>
      <c r="EKD10" s="533"/>
      <c r="EKE10" s="533"/>
      <c r="EKF10" s="533"/>
      <c r="EKG10" s="533"/>
      <c r="EKH10" s="533"/>
      <c r="EKI10" s="533"/>
      <c r="EKJ10" s="533"/>
      <c r="EKK10" s="533"/>
      <c r="EKL10" s="533"/>
      <c r="EKM10" s="533"/>
      <c r="EKN10" s="533"/>
      <c r="EKO10" s="533"/>
      <c r="EKP10" s="533"/>
      <c r="EKQ10" s="533"/>
      <c r="EKR10" s="533"/>
      <c r="EKS10" s="533"/>
      <c r="EKT10" s="533"/>
      <c r="EKU10" s="533"/>
      <c r="EKV10" s="533"/>
      <c r="EKW10" s="533"/>
      <c r="EKX10" s="533"/>
      <c r="EKY10" s="533"/>
      <c r="EKZ10" s="533"/>
      <c r="ELA10" s="533"/>
      <c r="ELB10" s="533"/>
      <c r="ELC10" s="533"/>
      <c r="ELD10" s="533"/>
      <c r="ELE10" s="533"/>
      <c r="ELF10" s="533"/>
      <c r="ELG10" s="533"/>
      <c r="ELH10" s="533"/>
      <c r="ELI10" s="533"/>
      <c r="ELJ10" s="533"/>
      <c r="ELK10" s="533"/>
      <c r="ELL10" s="533"/>
      <c r="ELM10" s="533"/>
      <c r="ELN10" s="533"/>
      <c r="ELO10" s="533"/>
      <c r="ELP10" s="533"/>
      <c r="ELQ10" s="533"/>
      <c r="ELR10" s="533"/>
      <c r="ELS10" s="533"/>
      <c r="ELT10" s="533"/>
      <c r="ELU10" s="533"/>
      <c r="ELV10" s="533"/>
      <c r="ELW10" s="533"/>
      <c r="ELX10" s="533"/>
      <c r="ELY10" s="533"/>
      <c r="ELZ10" s="533"/>
      <c r="EMA10" s="533"/>
      <c r="EMB10" s="533"/>
      <c r="EMC10" s="533"/>
      <c r="EMD10" s="533"/>
      <c r="EME10" s="533"/>
      <c r="EMF10" s="533"/>
      <c r="EMG10" s="533"/>
      <c r="EMH10" s="533"/>
      <c r="EMI10" s="533"/>
      <c r="EMJ10" s="533"/>
      <c r="EMK10" s="533"/>
      <c r="EML10" s="533"/>
      <c r="EMM10" s="533"/>
      <c r="EMN10" s="533"/>
      <c r="EMO10" s="533"/>
      <c r="EMP10" s="533"/>
      <c r="EMQ10" s="533"/>
      <c r="EMR10" s="533"/>
      <c r="EMS10" s="533"/>
      <c r="EMT10" s="533"/>
      <c r="EMU10" s="533"/>
      <c r="EMV10" s="533"/>
      <c r="EMW10" s="533"/>
      <c r="EMX10" s="533"/>
      <c r="EMY10" s="533"/>
      <c r="EMZ10" s="533"/>
      <c r="ENA10" s="533"/>
      <c r="ENB10" s="533"/>
      <c r="ENC10" s="533"/>
      <c r="END10" s="533"/>
      <c r="ENE10" s="533"/>
      <c r="ENF10" s="533"/>
      <c r="ENG10" s="533"/>
      <c r="ENH10" s="533"/>
      <c r="ENI10" s="533"/>
      <c r="ENJ10" s="533"/>
      <c r="ENK10" s="533"/>
      <c r="ENL10" s="533"/>
      <c r="ENM10" s="533"/>
      <c r="ENN10" s="533"/>
      <c r="ENO10" s="533"/>
      <c r="ENP10" s="533"/>
      <c r="ENQ10" s="533"/>
      <c r="ENR10" s="533"/>
      <c r="ENS10" s="533"/>
      <c r="ENT10" s="533"/>
      <c r="ENU10" s="533"/>
      <c r="ENV10" s="533"/>
      <c r="ENW10" s="533"/>
      <c r="ENX10" s="533"/>
      <c r="ENY10" s="533"/>
      <c r="ENZ10" s="533"/>
      <c r="EOA10" s="533"/>
      <c r="EOB10" s="533"/>
      <c r="EOC10" s="533"/>
      <c r="EOD10" s="533"/>
      <c r="EOE10" s="533"/>
      <c r="EOF10" s="533"/>
      <c r="EOG10" s="533"/>
      <c r="EOH10" s="533"/>
      <c r="EOI10" s="533"/>
      <c r="EOJ10" s="533"/>
      <c r="EOK10" s="533"/>
      <c r="EOL10" s="533"/>
      <c r="EOM10" s="533"/>
      <c r="EON10" s="533"/>
      <c r="EOO10" s="533"/>
      <c r="EOP10" s="533"/>
      <c r="EOQ10" s="533"/>
      <c r="EOR10" s="533"/>
      <c r="EOS10" s="533"/>
      <c r="EOT10" s="533"/>
      <c r="EOU10" s="533"/>
      <c r="EOV10" s="533"/>
      <c r="EOW10" s="533"/>
      <c r="EOX10" s="533"/>
      <c r="EOY10" s="533"/>
      <c r="EOZ10" s="533"/>
      <c r="EPA10" s="533"/>
      <c r="EPB10" s="533"/>
      <c r="EPC10" s="533"/>
      <c r="EPD10" s="533"/>
      <c r="EPE10" s="533"/>
      <c r="EPF10" s="533"/>
      <c r="EPG10" s="533"/>
      <c r="EPH10" s="533"/>
      <c r="EPI10" s="533"/>
      <c r="EPJ10" s="533"/>
      <c r="EPK10" s="533"/>
      <c r="EPL10" s="533"/>
      <c r="EPM10" s="533"/>
      <c r="EPN10" s="533"/>
      <c r="EPO10" s="533"/>
      <c r="EPP10" s="533"/>
      <c r="EPQ10" s="533"/>
      <c r="EPR10" s="533"/>
      <c r="EPS10" s="533"/>
      <c r="EPT10" s="533"/>
      <c r="EPU10" s="533"/>
      <c r="EPV10" s="533"/>
      <c r="EPW10" s="533"/>
      <c r="EPX10" s="533"/>
      <c r="EPY10" s="533"/>
      <c r="EPZ10" s="533"/>
      <c r="EQA10" s="533"/>
      <c r="EQB10" s="533"/>
      <c r="EQC10" s="533"/>
      <c r="EQD10" s="533"/>
      <c r="EQE10" s="533"/>
      <c r="EQF10" s="533"/>
      <c r="EQG10" s="533"/>
      <c r="EQH10" s="533"/>
      <c r="EQI10" s="533"/>
      <c r="EQJ10" s="533"/>
      <c r="EQK10" s="533"/>
      <c r="EQL10" s="533"/>
      <c r="EQM10" s="533"/>
      <c r="EQN10" s="533"/>
      <c r="EQO10" s="533"/>
      <c r="EQP10" s="533"/>
      <c r="EQQ10" s="533"/>
      <c r="EQR10" s="533"/>
      <c r="EQS10" s="533"/>
      <c r="EQT10" s="533"/>
      <c r="EQU10" s="533"/>
      <c r="EQV10" s="533"/>
      <c r="EQW10" s="533"/>
      <c r="EQX10" s="533"/>
      <c r="EQY10" s="533"/>
      <c r="EQZ10" s="533"/>
      <c r="ERA10" s="533"/>
      <c r="ERB10" s="533"/>
      <c r="ERC10" s="533"/>
      <c r="ERD10" s="533"/>
      <c r="ERE10" s="533"/>
      <c r="ERF10" s="533"/>
      <c r="ERG10" s="533"/>
      <c r="ERH10" s="533"/>
      <c r="ERI10" s="533"/>
      <c r="ERJ10" s="533"/>
      <c r="ERK10" s="533"/>
      <c r="ERL10" s="533"/>
      <c r="ERM10" s="533"/>
      <c r="ERN10" s="533"/>
      <c r="ERO10" s="533"/>
      <c r="ERP10" s="533"/>
      <c r="ERQ10" s="533"/>
      <c r="ERR10" s="533"/>
      <c r="ERS10" s="533"/>
      <c r="ERT10" s="533"/>
      <c r="ERU10" s="533"/>
      <c r="ERV10" s="533"/>
      <c r="ERW10" s="533"/>
      <c r="ERX10" s="533"/>
      <c r="ERY10" s="533"/>
      <c r="ERZ10" s="533"/>
      <c r="ESA10" s="533"/>
      <c r="ESB10" s="533"/>
      <c r="ESC10" s="533"/>
      <c r="ESD10" s="533"/>
      <c r="ESE10" s="533"/>
      <c r="ESF10" s="533"/>
      <c r="ESG10" s="533"/>
      <c r="ESH10" s="533"/>
      <c r="ESI10" s="533"/>
      <c r="ESJ10" s="533"/>
      <c r="ESK10" s="533"/>
      <c r="ESL10" s="533"/>
      <c r="ESM10" s="533"/>
      <c r="ESN10" s="533"/>
      <c r="ESO10" s="533"/>
      <c r="ESP10" s="533"/>
      <c r="ESQ10" s="533"/>
      <c r="ESR10" s="533"/>
      <c r="ESS10" s="533"/>
      <c r="EST10" s="533"/>
      <c r="ESU10" s="533"/>
      <c r="ESV10" s="533"/>
      <c r="ESW10" s="533"/>
      <c r="ESX10" s="533"/>
      <c r="ESY10" s="533"/>
      <c r="ESZ10" s="533"/>
      <c r="ETA10" s="533"/>
      <c r="ETB10" s="533"/>
      <c r="ETC10" s="533"/>
      <c r="ETD10" s="533"/>
      <c r="ETE10" s="533"/>
      <c r="ETF10" s="533"/>
      <c r="ETG10" s="533"/>
      <c r="ETH10" s="533"/>
      <c r="ETI10" s="533"/>
      <c r="ETJ10" s="533"/>
      <c r="ETK10" s="533"/>
      <c r="ETL10" s="533"/>
      <c r="ETM10" s="533"/>
      <c r="ETN10" s="533"/>
      <c r="ETO10" s="533"/>
      <c r="ETP10" s="533"/>
      <c r="ETQ10" s="533"/>
      <c r="ETR10" s="533"/>
      <c r="ETS10" s="533"/>
      <c r="ETT10" s="533"/>
      <c r="ETU10" s="533"/>
      <c r="ETV10" s="533"/>
      <c r="ETW10" s="533"/>
      <c r="ETX10" s="533"/>
      <c r="ETY10" s="533"/>
      <c r="ETZ10" s="533"/>
      <c r="EUA10" s="533"/>
      <c r="EUB10" s="533"/>
      <c r="EUC10" s="533"/>
      <c r="EUD10" s="533"/>
      <c r="EUE10" s="533"/>
      <c r="EUF10" s="533"/>
      <c r="EUG10" s="533"/>
      <c r="EUH10" s="533"/>
      <c r="EUI10" s="533"/>
      <c r="EUJ10" s="533"/>
      <c r="EUK10" s="533"/>
      <c r="EUL10" s="533"/>
      <c r="EUM10" s="533"/>
      <c r="EUN10" s="533"/>
      <c r="EUO10" s="533"/>
      <c r="EUP10" s="533"/>
      <c r="EUQ10" s="533"/>
      <c r="EUR10" s="533"/>
      <c r="EUS10" s="533"/>
      <c r="EUT10" s="533"/>
      <c r="EUU10" s="533"/>
      <c r="EUV10" s="533"/>
      <c r="EUW10" s="533"/>
      <c r="EUX10" s="533"/>
      <c r="EUY10" s="533"/>
      <c r="EUZ10" s="533"/>
      <c r="EVA10" s="533"/>
      <c r="EVB10" s="533"/>
      <c r="EVC10" s="533"/>
      <c r="EVD10" s="533"/>
      <c r="EVE10" s="533"/>
      <c r="EVF10" s="533"/>
      <c r="EVG10" s="533"/>
      <c r="EVH10" s="533"/>
      <c r="EVI10" s="533"/>
      <c r="EVJ10" s="533"/>
      <c r="EVK10" s="533"/>
      <c r="EVL10" s="533"/>
      <c r="EVM10" s="533"/>
      <c r="EVN10" s="533"/>
      <c r="EVO10" s="533"/>
      <c r="EVP10" s="533"/>
      <c r="EVQ10" s="533"/>
      <c r="EVR10" s="533"/>
      <c r="EVS10" s="533"/>
      <c r="EVT10" s="533"/>
      <c r="EVU10" s="533"/>
      <c r="EVV10" s="533"/>
      <c r="EVW10" s="533"/>
      <c r="EVX10" s="533"/>
      <c r="EVY10" s="533"/>
      <c r="EVZ10" s="533"/>
      <c r="EWA10" s="533"/>
      <c r="EWB10" s="533"/>
      <c r="EWC10" s="533"/>
      <c r="EWD10" s="533"/>
      <c r="EWE10" s="533"/>
      <c r="EWF10" s="533"/>
      <c r="EWG10" s="533"/>
      <c r="EWH10" s="533"/>
      <c r="EWI10" s="533"/>
      <c r="EWJ10" s="533"/>
      <c r="EWK10" s="533"/>
      <c r="EWL10" s="533"/>
      <c r="EWM10" s="533"/>
      <c r="EWN10" s="533"/>
      <c r="EWO10" s="533"/>
      <c r="EWP10" s="533"/>
      <c r="EWQ10" s="533"/>
      <c r="EWR10" s="533"/>
      <c r="EWS10" s="533"/>
      <c r="EWT10" s="533"/>
      <c r="EWU10" s="533"/>
      <c r="EWV10" s="533"/>
      <c r="EWW10" s="533"/>
      <c r="EWX10" s="533"/>
      <c r="EWY10" s="533"/>
      <c r="EWZ10" s="533"/>
      <c r="EXA10" s="533"/>
      <c r="EXB10" s="533"/>
      <c r="EXC10" s="533"/>
      <c r="EXD10" s="533"/>
      <c r="EXE10" s="533"/>
      <c r="EXF10" s="533"/>
      <c r="EXG10" s="533"/>
      <c r="EXH10" s="533"/>
      <c r="EXI10" s="533"/>
      <c r="EXJ10" s="533"/>
      <c r="EXK10" s="533"/>
      <c r="EXL10" s="533"/>
      <c r="EXM10" s="533"/>
      <c r="EXN10" s="533"/>
      <c r="EXO10" s="533"/>
      <c r="EXP10" s="533"/>
      <c r="EXQ10" s="533"/>
      <c r="EXR10" s="533"/>
      <c r="EXS10" s="533"/>
      <c r="EXT10" s="533"/>
      <c r="EXU10" s="533"/>
      <c r="EXV10" s="533"/>
      <c r="EXW10" s="533"/>
      <c r="EXX10" s="533"/>
      <c r="EXY10" s="533"/>
      <c r="EXZ10" s="533"/>
      <c r="EYA10" s="533"/>
      <c r="EYB10" s="533"/>
      <c r="EYC10" s="533"/>
      <c r="EYD10" s="533"/>
      <c r="EYE10" s="533"/>
      <c r="EYF10" s="533"/>
      <c r="EYG10" s="533"/>
      <c r="EYH10" s="533"/>
      <c r="EYI10" s="533"/>
      <c r="EYJ10" s="533"/>
      <c r="EYK10" s="533"/>
      <c r="EYL10" s="533"/>
      <c r="EYM10" s="533"/>
      <c r="EYN10" s="533"/>
      <c r="EYO10" s="533"/>
      <c r="EYP10" s="533"/>
      <c r="EYQ10" s="533"/>
      <c r="EYR10" s="533"/>
      <c r="EYS10" s="533"/>
      <c r="EYT10" s="533"/>
      <c r="EYU10" s="533"/>
      <c r="EYV10" s="533"/>
      <c r="EYW10" s="533"/>
      <c r="EYX10" s="533"/>
      <c r="EYY10" s="533"/>
      <c r="EYZ10" s="533"/>
      <c r="EZA10" s="533"/>
      <c r="EZB10" s="533"/>
      <c r="EZC10" s="533"/>
      <c r="EZD10" s="533"/>
      <c r="EZE10" s="533"/>
      <c r="EZF10" s="533"/>
      <c r="EZG10" s="533"/>
      <c r="EZH10" s="533"/>
      <c r="EZI10" s="533"/>
      <c r="EZJ10" s="533"/>
      <c r="EZK10" s="533"/>
      <c r="EZL10" s="533"/>
      <c r="EZM10" s="533"/>
      <c r="EZN10" s="533"/>
      <c r="EZO10" s="533"/>
      <c r="EZP10" s="533"/>
      <c r="EZQ10" s="533"/>
      <c r="EZR10" s="533"/>
      <c r="EZS10" s="533"/>
      <c r="EZT10" s="533"/>
      <c r="EZU10" s="533"/>
      <c r="EZV10" s="533"/>
      <c r="EZW10" s="533"/>
      <c r="EZX10" s="533"/>
      <c r="EZY10" s="533"/>
      <c r="EZZ10" s="533"/>
      <c r="FAA10" s="533"/>
      <c r="FAB10" s="533"/>
      <c r="FAC10" s="533"/>
      <c r="FAD10" s="533"/>
      <c r="FAE10" s="533"/>
      <c r="FAF10" s="533"/>
      <c r="FAG10" s="533"/>
      <c r="FAH10" s="533"/>
      <c r="FAI10" s="533"/>
      <c r="FAJ10" s="533"/>
      <c r="FAK10" s="533"/>
      <c r="FAL10" s="533"/>
      <c r="FAM10" s="533"/>
      <c r="FAN10" s="533"/>
      <c r="FAO10" s="533"/>
      <c r="FAP10" s="533"/>
      <c r="FAQ10" s="533"/>
      <c r="FAR10" s="533"/>
      <c r="FAS10" s="533"/>
      <c r="FAT10" s="533"/>
      <c r="FAU10" s="533"/>
      <c r="FAV10" s="533"/>
      <c r="FAW10" s="533"/>
      <c r="FAX10" s="533"/>
      <c r="FAY10" s="533"/>
      <c r="FAZ10" s="533"/>
      <c r="FBA10" s="533"/>
      <c r="FBB10" s="533"/>
      <c r="FBC10" s="533"/>
      <c r="FBD10" s="533"/>
      <c r="FBE10" s="533"/>
      <c r="FBF10" s="533"/>
      <c r="FBG10" s="533"/>
      <c r="FBH10" s="533"/>
      <c r="FBI10" s="533"/>
      <c r="FBJ10" s="533"/>
      <c r="FBK10" s="533"/>
      <c r="FBL10" s="533"/>
      <c r="FBM10" s="533"/>
      <c r="FBN10" s="533"/>
      <c r="FBO10" s="533"/>
      <c r="FBP10" s="533"/>
      <c r="FBQ10" s="533"/>
      <c r="FBR10" s="533"/>
      <c r="FBS10" s="533"/>
      <c r="FBT10" s="533"/>
      <c r="FBU10" s="533"/>
      <c r="FBV10" s="533"/>
      <c r="FBW10" s="533"/>
      <c r="FBX10" s="533"/>
      <c r="FBY10" s="533"/>
      <c r="FBZ10" s="533"/>
      <c r="FCA10" s="533"/>
      <c r="FCB10" s="533"/>
      <c r="FCC10" s="533"/>
      <c r="FCD10" s="533"/>
      <c r="FCE10" s="533"/>
      <c r="FCF10" s="533"/>
      <c r="FCG10" s="533"/>
      <c r="FCH10" s="533"/>
      <c r="FCI10" s="533"/>
      <c r="FCJ10" s="533"/>
      <c r="FCK10" s="533"/>
      <c r="FCL10" s="533"/>
      <c r="FCM10" s="533"/>
      <c r="FCN10" s="533"/>
      <c r="FCO10" s="533"/>
      <c r="FCP10" s="533"/>
      <c r="FCQ10" s="533"/>
      <c r="FCR10" s="533"/>
      <c r="FCS10" s="533"/>
      <c r="FCT10" s="533"/>
      <c r="FCU10" s="533"/>
      <c r="FCV10" s="533"/>
      <c r="FCW10" s="533"/>
      <c r="FCX10" s="533"/>
      <c r="FCY10" s="533"/>
      <c r="FCZ10" s="533"/>
      <c r="FDA10" s="533"/>
      <c r="FDB10" s="533"/>
      <c r="FDC10" s="533"/>
      <c r="FDD10" s="533"/>
      <c r="FDE10" s="533"/>
      <c r="FDF10" s="533"/>
      <c r="FDG10" s="533"/>
      <c r="FDH10" s="533"/>
      <c r="FDI10" s="533"/>
      <c r="FDJ10" s="533"/>
      <c r="FDK10" s="533"/>
      <c r="FDL10" s="533"/>
      <c r="FDM10" s="533"/>
      <c r="FDN10" s="533"/>
      <c r="FDO10" s="533"/>
      <c r="FDP10" s="533"/>
      <c r="FDQ10" s="533"/>
      <c r="FDR10" s="533"/>
      <c r="FDS10" s="533"/>
      <c r="FDT10" s="533"/>
      <c r="FDU10" s="533"/>
      <c r="FDV10" s="533"/>
      <c r="FDW10" s="533"/>
      <c r="FDX10" s="533"/>
      <c r="FDY10" s="533"/>
      <c r="FDZ10" s="533"/>
      <c r="FEA10" s="533"/>
      <c r="FEB10" s="533"/>
      <c r="FEC10" s="533"/>
      <c r="FED10" s="533"/>
      <c r="FEE10" s="533"/>
      <c r="FEF10" s="533"/>
      <c r="FEG10" s="533"/>
      <c r="FEH10" s="533"/>
      <c r="FEI10" s="533"/>
      <c r="FEJ10" s="533"/>
      <c r="FEK10" s="533"/>
      <c r="FEL10" s="533"/>
      <c r="FEM10" s="533"/>
      <c r="FEN10" s="533"/>
      <c r="FEO10" s="533"/>
      <c r="FEP10" s="533"/>
      <c r="FEQ10" s="533"/>
      <c r="FER10" s="533"/>
      <c r="FES10" s="533"/>
      <c r="FET10" s="533"/>
      <c r="FEU10" s="533"/>
      <c r="FEV10" s="533"/>
      <c r="FEW10" s="533"/>
      <c r="FEX10" s="533"/>
      <c r="FEY10" s="533"/>
      <c r="FEZ10" s="533"/>
      <c r="FFA10" s="533"/>
      <c r="FFB10" s="533"/>
      <c r="FFC10" s="533"/>
      <c r="FFD10" s="533"/>
      <c r="FFE10" s="533"/>
      <c r="FFF10" s="533"/>
      <c r="FFG10" s="533"/>
      <c r="FFH10" s="533"/>
      <c r="FFI10" s="533"/>
      <c r="FFJ10" s="533"/>
      <c r="FFK10" s="533"/>
      <c r="FFL10" s="533"/>
      <c r="FFM10" s="533"/>
      <c r="FFN10" s="533"/>
      <c r="FFO10" s="533"/>
      <c r="FFP10" s="533"/>
      <c r="FFQ10" s="533"/>
      <c r="FFR10" s="533"/>
      <c r="FFS10" s="533"/>
      <c r="FFT10" s="533"/>
      <c r="FFU10" s="533"/>
      <c r="FFV10" s="533"/>
      <c r="FFW10" s="533"/>
      <c r="FFX10" s="533"/>
      <c r="FFY10" s="533"/>
      <c r="FFZ10" s="533"/>
      <c r="FGA10" s="533"/>
      <c r="FGB10" s="533"/>
      <c r="FGC10" s="533"/>
      <c r="FGD10" s="533"/>
      <c r="FGE10" s="533"/>
      <c r="FGF10" s="533"/>
      <c r="FGG10" s="533"/>
      <c r="FGH10" s="533"/>
      <c r="FGI10" s="533"/>
      <c r="FGJ10" s="533"/>
      <c r="FGK10" s="533"/>
      <c r="FGL10" s="533"/>
      <c r="FGM10" s="533"/>
      <c r="FGN10" s="533"/>
      <c r="FGO10" s="533"/>
      <c r="FGP10" s="533"/>
      <c r="FGQ10" s="533"/>
      <c r="FGR10" s="533"/>
      <c r="FGS10" s="533"/>
      <c r="FGT10" s="533"/>
      <c r="FGU10" s="533"/>
      <c r="FGV10" s="533"/>
      <c r="FGW10" s="533"/>
      <c r="FGX10" s="533"/>
      <c r="FGY10" s="533"/>
      <c r="FGZ10" s="533"/>
      <c r="FHA10" s="533"/>
      <c r="FHB10" s="533"/>
      <c r="FHC10" s="533"/>
      <c r="FHD10" s="533"/>
      <c r="FHE10" s="533"/>
      <c r="FHF10" s="533"/>
      <c r="FHG10" s="533"/>
      <c r="FHH10" s="533"/>
      <c r="FHI10" s="533"/>
      <c r="FHJ10" s="533"/>
      <c r="FHK10" s="533"/>
      <c r="FHL10" s="533"/>
      <c r="FHM10" s="533"/>
      <c r="FHN10" s="533"/>
      <c r="FHO10" s="533"/>
      <c r="FHP10" s="533"/>
      <c r="FHQ10" s="533"/>
      <c r="FHR10" s="533"/>
      <c r="FHS10" s="533"/>
      <c r="FHT10" s="533"/>
      <c r="FHU10" s="533"/>
      <c r="FHV10" s="533"/>
      <c r="FHW10" s="533"/>
      <c r="FHX10" s="533"/>
      <c r="FHY10" s="533"/>
      <c r="FHZ10" s="533"/>
      <c r="FIA10" s="533"/>
      <c r="FIB10" s="533"/>
      <c r="FIC10" s="533"/>
      <c r="FID10" s="533"/>
      <c r="FIE10" s="533"/>
      <c r="FIF10" s="533"/>
      <c r="FIG10" s="533"/>
      <c r="FIH10" s="533"/>
      <c r="FII10" s="533"/>
      <c r="FIJ10" s="533"/>
      <c r="FIK10" s="533"/>
      <c r="FIL10" s="533"/>
      <c r="FIM10" s="533"/>
      <c r="FIN10" s="533"/>
      <c r="FIO10" s="533"/>
      <c r="FIP10" s="533"/>
      <c r="FIQ10" s="533"/>
      <c r="FIR10" s="533"/>
      <c r="FIS10" s="533"/>
      <c r="FIT10" s="533"/>
      <c r="FIU10" s="533"/>
      <c r="FIV10" s="533"/>
      <c r="FIW10" s="533"/>
      <c r="FIX10" s="533"/>
      <c r="FIY10" s="533"/>
      <c r="FIZ10" s="533"/>
      <c r="FJA10" s="533"/>
      <c r="FJB10" s="533"/>
      <c r="FJC10" s="533"/>
      <c r="FJD10" s="533"/>
      <c r="FJE10" s="533"/>
      <c r="FJF10" s="533"/>
      <c r="FJG10" s="533"/>
      <c r="FJH10" s="533"/>
      <c r="FJI10" s="533"/>
      <c r="FJJ10" s="533"/>
      <c r="FJK10" s="533"/>
      <c r="FJL10" s="533"/>
      <c r="FJM10" s="533"/>
      <c r="FJN10" s="533"/>
      <c r="FJO10" s="533"/>
      <c r="FJP10" s="533"/>
      <c r="FJQ10" s="533"/>
      <c r="FJR10" s="533"/>
      <c r="FJS10" s="533"/>
      <c r="FJT10" s="533"/>
      <c r="FJU10" s="533"/>
      <c r="FJV10" s="533"/>
      <c r="FJW10" s="533"/>
      <c r="FJX10" s="533"/>
      <c r="FJY10" s="533"/>
      <c r="FJZ10" s="533"/>
      <c r="FKA10" s="533"/>
      <c r="FKB10" s="533"/>
      <c r="FKC10" s="533"/>
      <c r="FKD10" s="533"/>
      <c r="FKE10" s="533"/>
      <c r="FKF10" s="533"/>
      <c r="FKG10" s="533"/>
      <c r="FKH10" s="533"/>
      <c r="FKI10" s="533"/>
      <c r="FKJ10" s="533"/>
      <c r="FKK10" s="533"/>
      <c r="FKL10" s="533"/>
      <c r="FKM10" s="533"/>
      <c r="FKN10" s="533"/>
      <c r="FKO10" s="533"/>
      <c r="FKP10" s="533"/>
      <c r="FKQ10" s="533"/>
      <c r="FKR10" s="533"/>
      <c r="FKS10" s="533"/>
      <c r="FKT10" s="533"/>
      <c r="FKU10" s="533"/>
      <c r="FKV10" s="533"/>
      <c r="FKW10" s="533"/>
      <c r="FKX10" s="533"/>
      <c r="FKY10" s="533"/>
      <c r="FKZ10" s="533"/>
      <c r="FLA10" s="533"/>
      <c r="FLB10" s="533"/>
      <c r="FLC10" s="533"/>
      <c r="FLD10" s="533"/>
      <c r="FLE10" s="533"/>
      <c r="FLF10" s="533"/>
      <c r="FLG10" s="533"/>
      <c r="FLH10" s="533"/>
      <c r="FLI10" s="533"/>
      <c r="FLJ10" s="533"/>
      <c r="FLK10" s="533"/>
      <c r="FLL10" s="533"/>
      <c r="FLM10" s="533"/>
      <c r="FLN10" s="533"/>
      <c r="FLO10" s="533"/>
      <c r="FLP10" s="533"/>
      <c r="FLQ10" s="533"/>
      <c r="FLR10" s="533"/>
      <c r="FLS10" s="533"/>
      <c r="FLT10" s="533"/>
      <c r="FLU10" s="533"/>
      <c r="FLV10" s="533"/>
      <c r="FLW10" s="533"/>
      <c r="FLX10" s="533"/>
      <c r="FLY10" s="533"/>
      <c r="FLZ10" s="533"/>
      <c r="FMA10" s="533"/>
      <c r="FMB10" s="533"/>
      <c r="FMC10" s="533"/>
      <c r="FMD10" s="533"/>
      <c r="FME10" s="533"/>
      <c r="FMF10" s="533"/>
      <c r="FMG10" s="533"/>
      <c r="FMH10" s="533"/>
      <c r="FMI10" s="533"/>
      <c r="FMJ10" s="533"/>
      <c r="FMK10" s="533"/>
      <c r="FML10" s="533"/>
      <c r="FMM10" s="533"/>
      <c r="FMN10" s="533"/>
      <c r="FMO10" s="533"/>
      <c r="FMP10" s="533"/>
      <c r="FMQ10" s="533"/>
      <c r="FMR10" s="533"/>
      <c r="FMS10" s="533"/>
      <c r="FMT10" s="533"/>
      <c r="FMU10" s="533"/>
      <c r="FMV10" s="533"/>
      <c r="FMW10" s="533"/>
      <c r="FMX10" s="533"/>
      <c r="FMY10" s="533"/>
      <c r="FMZ10" s="533"/>
      <c r="FNA10" s="533"/>
      <c r="FNB10" s="533"/>
      <c r="FNC10" s="533"/>
      <c r="FND10" s="533"/>
      <c r="FNE10" s="533"/>
      <c r="FNF10" s="533"/>
      <c r="FNG10" s="533"/>
      <c r="FNH10" s="533"/>
      <c r="FNI10" s="533"/>
      <c r="FNJ10" s="533"/>
      <c r="FNK10" s="533"/>
      <c r="FNL10" s="533"/>
      <c r="FNM10" s="533"/>
      <c r="FNN10" s="533"/>
      <c r="FNO10" s="533"/>
      <c r="FNP10" s="533"/>
      <c r="FNQ10" s="533"/>
      <c r="FNR10" s="533"/>
      <c r="FNS10" s="533"/>
      <c r="FNT10" s="533"/>
      <c r="FNU10" s="533"/>
      <c r="FNV10" s="533"/>
      <c r="FNW10" s="533"/>
      <c r="FNX10" s="533"/>
      <c r="FNY10" s="533"/>
      <c r="FNZ10" s="533"/>
      <c r="FOA10" s="533"/>
      <c r="FOB10" s="533"/>
      <c r="FOC10" s="533"/>
      <c r="FOD10" s="533"/>
      <c r="FOE10" s="533"/>
      <c r="FOF10" s="533"/>
      <c r="FOG10" s="533"/>
      <c r="FOH10" s="533"/>
      <c r="FOI10" s="533"/>
      <c r="FOJ10" s="533"/>
      <c r="FOK10" s="533"/>
      <c r="FOL10" s="533"/>
      <c r="FOM10" s="533"/>
      <c r="FON10" s="533"/>
      <c r="FOO10" s="533"/>
      <c r="FOP10" s="533"/>
      <c r="FOQ10" s="533"/>
      <c r="FOR10" s="533"/>
      <c r="FOS10" s="533"/>
      <c r="FOT10" s="533"/>
      <c r="FOU10" s="533"/>
      <c r="FOV10" s="533"/>
      <c r="FOW10" s="533"/>
      <c r="FOX10" s="533"/>
      <c r="FOY10" s="533"/>
      <c r="FOZ10" s="533"/>
      <c r="FPA10" s="533"/>
      <c r="FPB10" s="533"/>
      <c r="FPC10" s="533"/>
      <c r="FPD10" s="533"/>
      <c r="FPE10" s="533"/>
      <c r="FPF10" s="533"/>
      <c r="FPG10" s="533"/>
      <c r="FPH10" s="533"/>
      <c r="FPI10" s="533"/>
      <c r="FPJ10" s="533"/>
      <c r="FPK10" s="533"/>
      <c r="FPL10" s="533"/>
      <c r="FPM10" s="533"/>
      <c r="FPN10" s="533"/>
      <c r="FPO10" s="533"/>
      <c r="FPP10" s="533"/>
      <c r="FPQ10" s="533"/>
      <c r="FPR10" s="533"/>
      <c r="FPS10" s="533"/>
      <c r="FPT10" s="533"/>
      <c r="FPU10" s="533"/>
      <c r="FPV10" s="533"/>
      <c r="FPW10" s="533"/>
      <c r="FPX10" s="533"/>
      <c r="FPY10" s="533"/>
      <c r="FPZ10" s="533"/>
      <c r="FQA10" s="533"/>
      <c r="FQB10" s="533"/>
      <c r="FQC10" s="533"/>
      <c r="FQD10" s="533"/>
      <c r="FQE10" s="533"/>
      <c r="FQF10" s="533"/>
      <c r="FQG10" s="533"/>
      <c r="FQH10" s="533"/>
      <c r="FQI10" s="533"/>
      <c r="FQJ10" s="533"/>
      <c r="FQK10" s="533"/>
      <c r="FQL10" s="533"/>
      <c r="FQM10" s="533"/>
      <c r="FQN10" s="533"/>
      <c r="FQO10" s="533"/>
      <c r="FQP10" s="533"/>
      <c r="FQQ10" s="533"/>
      <c r="FQR10" s="533"/>
      <c r="FQS10" s="533"/>
      <c r="FQT10" s="533"/>
      <c r="FQU10" s="533"/>
      <c r="FQV10" s="533"/>
      <c r="FQW10" s="533"/>
      <c r="FQX10" s="533"/>
      <c r="FQY10" s="533"/>
      <c r="FQZ10" s="533"/>
      <c r="FRA10" s="533"/>
      <c r="FRB10" s="533"/>
      <c r="FRC10" s="533"/>
      <c r="FRD10" s="533"/>
      <c r="FRE10" s="533"/>
      <c r="FRF10" s="533"/>
      <c r="FRG10" s="533"/>
      <c r="FRH10" s="533"/>
      <c r="FRI10" s="533"/>
      <c r="FRJ10" s="533"/>
      <c r="FRK10" s="533"/>
      <c r="FRL10" s="533"/>
      <c r="FRM10" s="533"/>
      <c r="FRN10" s="533"/>
      <c r="FRO10" s="533"/>
      <c r="FRP10" s="533"/>
      <c r="FRQ10" s="533"/>
      <c r="FRR10" s="533"/>
      <c r="FRS10" s="533"/>
      <c r="FRT10" s="533"/>
      <c r="FRU10" s="533"/>
      <c r="FRV10" s="533"/>
      <c r="FRW10" s="533"/>
      <c r="FRX10" s="533"/>
      <c r="FRY10" s="533"/>
      <c r="FRZ10" s="533"/>
      <c r="FSA10" s="533"/>
      <c r="FSB10" s="533"/>
      <c r="FSC10" s="533"/>
      <c r="FSD10" s="533"/>
      <c r="FSE10" s="533"/>
      <c r="FSF10" s="533"/>
      <c r="FSG10" s="533"/>
      <c r="FSH10" s="533"/>
      <c r="FSI10" s="533"/>
      <c r="FSJ10" s="533"/>
      <c r="FSK10" s="533"/>
      <c r="FSL10" s="533"/>
      <c r="FSM10" s="533"/>
      <c r="FSN10" s="533"/>
      <c r="FSO10" s="533"/>
      <c r="FSP10" s="533"/>
      <c r="FSQ10" s="533"/>
      <c r="FSR10" s="533"/>
      <c r="FSS10" s="533"/>
      <c r="FST10" s="533"/>
      <c r="FSU10" s="533"/>
      <c r="FSV10" s="533"/>
      <c r="FSW10" s="533"/>
      <c r="FSX10" s="533"/>
      <c r="FSY10" s="533"/>
      <c r="FSZ10" s="533"/>
      <c r="FTA10" s="533"/>
      <c r="FTB10" s="533"/>
      <c r="FTC10" s="533"/>
      <c r="FTD10" s="533"/>
      <c r="FTE10" s="533"/>
      <c r="FTF10" s="533"/>
      <c r="FTG10" s="533"/>
      <c r="FTH10" s="533"/>
      <c r="FTI10" s="533"/>
      <c r="FTJ10" s="533"/>
      <c r="FTK10" s="533"/>
      <c r="FTL10" s="533"/>
      <c r="FTM10" s="533"/>
      <c r="FTN10" s="533"/>
      <c r="FTO10" s="533"/>
      <c r="FTP10" s="533"/>
      <c r="FTQ10" s="533"/>
      <c r="FTR10" s="533"/>
      <c r="FTS10" s="533"/>
      <c r="FTT10" s="533"/>
      <c r="FTU10" s="533"/>
      <c r="FTV10" s="533"/>
      <c r="FTW10" s="533"/>
      <c r="FTX10" s="533"/>
      <c r="FTY10" s="533"/>
      <c r="FTZ10" s="533"/>
      <c r="FUA10" s="533"/>
      <c r="FUB10" s="533"/>
      <c r="FUC10" s="533"/>
      <c r="FUD10" s="533"/>
      <c r="FUE10" s="533"/>
      <c r="FUF10" s="533"/>
      <c r="FUG10" s="533"/>
      <c r="FUH10" s="533"/>
      <c r="FUI10" s="533"/>
      <c r="FUJ10" s="533"/>
      <c r="FUK10" s="533"/>
      <c r="FUL10" s="533"/>
      <c r="FUM10" s="533"/>
      <c r="FUN10" s="533"/>
      <c r="FUO10" s="533"/>
      <c r="FUP10" s="533"/>
      <c r="FUQ10" s="533"/>
      <c r="FUR10" s="533"/>
      <c r="FUS10" s="533"/>
      <c r="FUT10" s="533"/>
      <c r="FUU10" s="533"/>
      <c r="FUV10" s="533"/>
      <c r="FUW10" s="533"/>
      <c r="FUX10" s="533"/>
      <c r="FUY10" s="533"/>
      <c r="FUZ10" s="533"/>
      <c r="FVA10" s="533"/>
      <c r="FVB10" s="533"/>
      <c r="FVC10" s="533"/>
      <c r="FVD10" s="533"/>
      <c r="FVE10" s="533"/>
      <c r="FVF10" s="533"/>
      <c r="FVG10" s="533"/>
      <c r="FVH10" s="533"/>
      <c r="FVI10" s="533"/>
      <c r="FVJ10" s="533"/>
      <c r="FVK10" s="533"/>
      <c r="FVL10" s="533"/>
      <c r="FVM10" s="533"/>
      <c r="FVN10" s="533"/>
      <c r="FVO10" s="533"/>
      <c r="FVP10" s="533"/>
      <c r="FVQ10" s="533"/>
      <c r="FVR10" s="533"/>
      <c r="FVS10" s="533"/>
      <c r="FVT10" s="533"/>
      <c r="FVU10" s="533"/>
      <c r="FVV10" s="533"/>
      <c r="FVW10" s="533"/>
      <c r="FVX10" s="533"/>
      <c r="FVY10" s="533"/>
      <c r="FVZ10" s="533"/>
      <c r="FWA10" s="533"/>
      <c r="FWB10" s="533"/>
      <c r="FWC10" s="533"/>
      <c r="FWD10" s="533"/>
      <c r="FWE10" s="533"/>
      <c r="FWF10" s="533"/>
      <c r="FWG10" s="533"/>
      <c r="FWH10" s="533"/>
      <c r="FWI10" s="533"/>
      <c r="FWJ10" s="533"/>
      <c r="FWK10" s="533"/>
      <c r="FWL10" s="533"/>
      <c r="FWM10" s="533"/>
      <c r="FWN10" s="533"/>
      <c r="FWO10" s="533"/>
      <c r="FWP10" s="533"/>
      <c r="FWQ10" s="533"/>
      <c r="FWR10" s="533"/>
      <c r="FWS10" s="533"/>
      <c r="FWT10" s="533"/>
      <c r="FWU10" s="533"/>
      <c r="FWV10" s="533"/>
      <c r="FWW10" s="533"/>
      <c r="FWX10" s="533"/>
      <c r="FWY10" s="533"/>
      <c r="FWZ10" s="533"/>
      <c r="FXA10" s="533"/>
      <c r="FXB10" s="533"/>
      <c r="FXC10" s="533"/>
      <c r="FXD10" s="533"/>
      <c r="FXE10" s="533"/>
      <c r="FXF10" s="533"/>
      <c r="FXG10" s="533"/>
      <c r="FXH10" s="533"/>
      <c r="FXI10" s="533"/>
      <c r="FXJ10" s="533"/>
      <c r="FXK10" s="533"/>
      <c r="FXL10" s="533"/>
      <c r="FXM10" s="533"/>
      <c r="FXN10" s="533"/>
      <c r="FXO10" s="533"/>
      <c r="FXP10" s="533"/>
      <c r="FXQ10" s="533"/>
      <c r="FXR10" s="533"/>
      <c r="FXS10" s="533"/>
      <c r="FXT10" s="533"/>
      <c r="FXU10" s="533"/>
      <c r="FXV10" s="533"/>
      <c r="FXW10" s="533"/>
      <c r="FXX10" s="533"/>
      <c r="FXY10" s="533"/>
      <c r="FXZ10" s="533"/>
      <c r="FYA10" s="533"/>
      <c r="FYB10" s="533"/>
      <c r="FYC10" s="533"/>
      <c r="FYD10" s="533"/>
      <c r="FYE10" s="533"/>
      <c r="FYF10" s="533"/>
      <c r="FYG10" s="533"/>
      <c r="FYH10" s="533"/>
      <c r="FYI10" s="533"/>
      <c r="FYJ10" s="533"/>
      <c r="FYK10" s="533"/>
      <c r="FYL10" s="533"/>
      <c r="FYM10" s="533"/>
      <c r="FYN10" s="533"/>
      <c r="FYO10" s="533"/>
      <c r="FYP10" s="533"/>
      <c r="FYQ10" s="533"/>
      <c r="FYR10" s="533"/>
      <c r="FYS10" s="533"/>
      <c r="FYT10" s="533"/>
      <c r="FYU10" s="533"/>
      <c r="FYV10" s="533"/>
      <c r="FYW10" s="533"/>
      <c r="FYX10" s="533"/>
      <c r="FYY10" s="533"/>
      <c r="FYZ10" s="533"/>
      <c r="FZA10" s="533"/>
      <c r="FZB10" s="533"/>
      <c r="FZC10" s="533"/>
      <c r="FZD10" s="533"/>
      <c r="FZE10" s="533"/>
      <c r="FZF10" s="533"/>
      <c r="FZG10" s="533"/>
      <c r="FZH10" s="533"/>
      <c r="FZI10" s="533"/>
      <c r="FZJ10" s="533"/>
      <c r="FZK10" s="533"/>
      <c r="FZL10" s="533"/>
      <c r="FZM10" s="533"/>
      <c r="FZN10" s="533"/>
      <c r="FZO10" s="533"/>
      <c r="FZP10" s="533"/>
      <c r="FZQ10" s="533"/>
      <c r="FZR10" s="533"/>
      <c r="FZS10" s="533"/>
      <c r="FZT10" s="533"/>
      <c r="FZU10" s="533"/>
      <c r="FZV10" s="533"/>
      <c r="FZW10" s="533"/>
      <c r="FZX10" s="533"/>
      <c r="FZY10" s="533"/>
      <c r="FZZ10" s="533"/>
      <c r="GAA10" s="533"/>
      <c r="GAB10" s="533"/>
      <c r="GAC10" s="533"/>
      <c r="GAD10" s="533"/>
      <c r="GAE10" s="533"/>
      <c r="GAF10" s="533"/>
      <c r="GAG10" s="533"/>
      <c r="GAH10" s="533"/>
      <c r="GAI10" s="533"/>
      <c r="GAJ10" s="533"/>
      <c r="GAK10" s="533"/>
      <c r="GAL10" s="533"/>
      <c r="GAM10" s="533"/>
      <c r="GAN10" s="533"/>
      <c r="GAO10" s="533"/>
      <c r="GAP10" s="533"/>
      <c r="GAQ10" s="533"/>
      <c r="GAR10" s="533"/>
      <c r="GAS10" s="533"/>
      <c r="GAT10" s="533"/>
      <c r="GAU10" s="533"/>
      <c r="GAV10" s="533"/>
      <c r="GAW10" s="533"/>
      <c r="GAX10" s="533"/>
      <c r="GAY10" s="533"/>
      <c r="GAZ10" s="533"/>
      <c r="GBA10" s="533"/>
      <c r="GBB10" s="533"/>
      <c r="GBC10" s="533"/>
      <c r="GBD10" s="533"/>
      <c r="GBE10" s="533"/>
      <c r="GBF10" s="533"/>
      <c r="GBG10" s="533"/>
      <c r="GBH10" s="533"/>
      <c r="GBI10" s="533"/>
      <c r="GBJ10" s="533"/>
      <c r="GBK10" s="533"/>
      <c r="GBL10" s="533"/>
      <c r="GBM10" s="533"/>
      <c r="GBN10" s="533"/>
      <c r="GBO10" s="533"/>
      <c r="GBP10" s="533"/>
      <c r="GBQ10" s="533"/>
      <c r="GBR10" s="533"/>
      <c r="GBS10" s="533"/>
      <c r="GBT10" s="533"/>
      <c r="GBU10" s="533"/>
      <c r="GBV10" s="533"/>
      <c r="GBW10" s="533"/>
      <c r="GBX10" s="533"/>
      <c r="GBY10" s="533"/>
      <c r="GBZ10" s="533"/>
      <c r="GCA10" s="533"/>
      <c r="GCB10" s="533"/>
      <c r="GCC10" s="533"/>
      <c r="GCD10" s="533"/>
      <c r="GCE10" s="533"/>
      <c r="GCF10" s="533"/>
      <c r="GCG10" s="533"/>
      <c r="GCH10" s="533"/>
      <c r="GCI10" s="533"/>
      <c r="GCJ10" s="533"/>
      <c r="GCK10" s="533"/>
      <c r="GCL10" s="533"/>
      <c r="GCM10" s="533"/>
      <c r="GCN10" s="533"/>
      <c r="GCO10" s="533"/>
      <c r="GCP10" s="533"/>
      <c r="GCQ10" s="533"/>
      <c r="GCR10" s="533"/>
      <c r="GCS10" s="533"/>
      <c r="GCT10" s="533"/>
      <c r="GCU10" s="533"/>
      <c r="GCV10" s="533"/>
      <c r="GCW10" s="533"/>
      <c r="GCX10" s="533"/>
      <c r="GCY10" s="533"/>
      <c r="GCZ10" s="533"/>
      <c r="GDA10" s="533"/>
      <c r="GDB10" s="533"/>
      <c r="GDC10" s="533"/>
      <c r="GDD10" s="533"/>
      <c r="GDE10" s="533"/>
      <c r="GDF10" s="533"/>
      <c r="GDG10" s="533"/>
      <c r="GDH10" s="533"/>
      <c r="GDI10" s="533"/>
      <c r="GDJ10" s="533"/>
      <c r="GDK10" s="533"/>
      <c r="GDL10" s="533"/>
      <c r="GDM10" s="533"/>
      <c r="GDN10" s="533"/>
      <c r="GDO10" s="533"/>
      <c r="GDP10" s="533"/>
      <c r="GDQ10" s="533"/>
      <c r="GDR10" s="533"/>
      <c r="GDS10" s="533"/>
      <c r="GDT10" s="533"/>
      <c r="GDU10" s="533"/>
      <c r="GDV10" s="533"/>
      <c r="GDW10" s="533"/>
      <c r="GDX10" s="533"/>
      <c r="GDY10" s="533"/>
      <c r="GDZ10" s="533"/>
      <c r="GEA10" s="533"/>
      <c r="GEB10" s="533"/>
      <c r="GEC10" s="533"/>
      <c r="GED10" s="533"/>
      <c r="GEE10" s="533"/>
      <c r="GEF10" s="533"/>
      <c r="GEG10" s="533"/>
      <c r="GEH10" s="533"/>
      <c r="GEI10" s="533"/>
      <c r="GEJ10" s="533"/>
      <c r="GEK10" s="533"/>
      <c r="GEL10" s="533"/>
      <c r="GEM10" s="533"/>
      <c r="GEN10" s="533"/>
      <c r="GEO10" s="533"/>
      <c r="GEP10" s="533"/>
      <c r="GEQ10" s="533"/>
      <c r="GER10" s="533"/>
      <c r="GES10" s="533"/>
      <c r="GET10" s="533"/>
      <c r="GEU10" s="533"/>
      <c r="GEV10" s="533"/>
      <c r="GEW10" s="533"/>
      <c r="GEX10" s="533"/>
      <c r="GEY10" s="533"/>
      <c r="GEZ10" s="533"/>
      <c r="GFA10" s="533"/>
      <c r="GFB10" s="533"/>
      <c r="GFC10" s="533"/>
      <c r="GFD10" s="533"/>
      <c r="GFE10" s="533"/>
      <c r="GFF10" s="533"/>
      <c r="GFG10" s="533"/>
      <c r="GFH10" s="533"/>
      <c r="GFI10" s="533"/>
      <c r="GFJ10" s="533"/>
      <c r="GFK10" s="533"/>
      <c r="GFL10" s="533"/>
      <c r="GFM10" s="533"/>
      <c r="GFN10" s="533"/>
      <c r="GFO10" s="533"/>
      <c r="GFP10" s="533"/>
      <c r="GFQ10" s="533"/>
      <c r="GFR10" s="533"/>
      <c r="GFS10" s="533"/>
      <c r="GFT10" s="533"/>
      <c r="GFU10" s="533"/>
      <c r="GFV10" s="533"/>
      <c r="GFW10" s="533"/>
      <c r="GFX10" s="533"/>
      <c r="GFY10" s="533"/>
      <c r="GFZ10" s="533"/>
      <c r="GGA10" s="533"/>
      <c r="GGB10" s="533"/>
      <c r="GGC10" s="533"/>
      <c r="GGD10" s="533"/>
      <c r="GGE10" s="533"/>
      <c r="GGF10" s="533"/>
      <c r="GGG10" s="533"/>
      <c r="GGH10" s="533"/>
      <c r="GGI10" s="533"/>
      <c r="GGJ10" s="533"/>
      <c r="GGK10" s="533"/>
      <c r="GGL10" s="533"/>
      <c r="GGM10" s="533"/>
      <c r="GGN10" s="533"/>
      <c r="GGO10" s="533"/>
      <c r="GGP10" s="533"/>
      <c r="GGQ10" s="533"/>
      <c r="GGR10" s="533"/>
      <c r="GGS10" s="533"/>
      <c r="GGT10" s="533"/>
      <c r="GGU10" s="533"/>
      <c r="GGV10" s="533"/>
      <c r="GGW10" s="533"/>
      <c r="GGX10" s="533"/>
      <c r="GGY10" s="533"/>
      <c r="GGZ10" s="533"/>
      <c r="GHA10" s="533"/>
      <c r="GHB10" s="533"/>
      <c r="GHC10" s="533"/>
      <c r="GHD10" s="533"/>
      <c r="GHE10" s="533"/>
      <c r="GHF10" s="533"/>
      <c r="GHG10" s="533"/>
      <c r="GHH10" s="533"/>
      <c r="GHI10" s="533"/>
      <c r="GHJ10" s="533"/>
      <c r="GHK10" s="533"/>
      <c r="GHL10" s="533"/>
      <c r="GHM10" s="533"/>
      <c r="GHN10" s="533"/>
      <c r="GHO10" s="533"/>
      <c r="GHP10" s="533"/>
      <c r="GHQ10" s="533"/>
      <c r="GHR10" s="533"/>
      <c r="GHS10" s="533"/>
      <c r="GHT10" s="533"/>
      <c r="GHU10" s="533"/>
      <c r="GHV10" s="533"/>
      <c r="GHW10" s="533"/>
      <c r="GHX10" s="533"/>
      <c r="GHY10" s="533"/>
      <c r="GHZ10" s="533"/>
      <c r="GIA10" s="533"/>
      <c r="GIB10" s="533"/>
      <c r="GIC10" s="533"/>
      <c r="GID10" s="533"/>
      <c r="GIE10" s="533"/>
      <c r="GIF10" s="533"/>
      <c r="GIG10" s="533"/>
      <c r="GIH10" s="533"/>
      <c r="GII10" s="533"/>
      <c r="GIJ10" s="533"/>
      <c r="GIK10" s="533"/>
      <c r="GIL10" s="533"/>
      <c r="GIM10" s="533"/>
      <c r="GIN10" s="533"/>
      <c r="GIO10" s="533"/>
      <c r="GIP10" s="533"/>
      <c r="GIQ10" s="533"/>
      <c r="GIR10" s="533"/>
      <c r="GIS10" s="533"/>
      <c r="GIT10" s="533"/>
      <c r="GIU10" s="533"/>
      <c r="GIV10" s="533"/>
      <c r="GIW10" s="533"/>
      <c r="GIX10" s="533"/>
      <c r="GIY10" s="533"/>
      <c r="GIZ10" s="533"/>
      <c r="GJA10" s="533"/>
      <c r="GJB10" s="533"/>
      <c r="GJC10" s="533"/>
      <c r="GJD10" s="533"/>
      <c r="GJE10" s="533"/>
      <c r="GJF10" s="533"/>
      <c r="GJG10" s="533"/>
      <c r="GJH10" s="533"/>
      <c r="GJI10" s="533"/>
      <c r="GJJ10" s="533"/>
      <c r="GJK10" s="533"/>
      <c r="GJL10" s="533"/>
      <c r="GJM10" s="533"/>
      <c r="GJN10" s="533"/>
      <c r="GJO10" s="533"/>
      <c r="GJP10" s="533"/>
      <c r="GJQ10" s="533"/>
      <c r="GJR10" s="533"/>
      <c r="GJS10" s="533"/>
      <c r="GJT10" s="533"/>
      <c r="GJU10" s="533"/>
      <c r="GJV10" s="533"/>
      <c r="GJW10" s="533"/>
      <c r="GJX10" s="533"/>
      <c r="GJY10" s="533"/>
      <c r="GJZ10" s="533"/>
      <c r="GKA10" s="533"/>
      <c r="GKB10" s="533"/>
      <c r="GKC10" s="533"/>
      <c r="GKD10" s="533"/>
      <c r="GKE10" s="533"/>
      <c r="GKF10" s="533"/>
      <c r="GKG10" s="533"/>
      <c r="GKH10" s="533"/>
      <c r="GKI10" s="533"/>
      <c r="GKJ10" s="533"/>
      <c r="GKK10" s="533"/>
      <c r="GKL10" s="533"/>
      <c r="GKM10" s="533"/>
      <c r="GKN10" s="533"/>
      <c r="GKO10" s="533"/>
      <c r="GKP10" s="533"/>
      <c r="GKQ10" s="533"/>
      <c r="GKR10" s="533"/>
      <c r="GKS10" s="533"/>
      <c r="GKT10" s="533"/>
      <c r="GKU10" s="533"/>
      <c r="GKV10" s="533"/>
      <c r="GKW10" s="533"/>
      <c r="GKX10" s="533"/>
      <c r="GKY10" s="533"/>
      <c r="GKZ10" s="533"/>
      <c r="GLA10" s="533"/>
      <c r="GLB10" s="533"/>
      <c r="GLC10" s="533"/>
      <c r="GLD10" s="533"/>
      <c r="GLE10" s="533"/>
      <c r="GLF10" s="533"/>
      <c r="GLG10" s="533"/>
      <c r="GLH10" s="533"/>
      <c r="GLI10" s="533"/>
      <c r="GLJ10" s="533"/>
      <c r="GLK10" s="533"/>
      <c r="GLL10" s="533"/>
      <c r="GLM10" s="533"/>
      <c r="GLN10" s="533"/>
      <c r="GLO10" s="533"/>
      <c r="GLP10" s="533"/>
      <c r="GLQ10" s="533"/>
      <c r="GLR10" s="533"/>
      <c r="GLS10" s="533"/>
      <c r="GLT10" s="533"/>
      <c r="GLU10" s="533"/>
      <c r="GLV10" s="533"/>
      <c r="GLW10" s="533"/>
      <c r="GLX10" s="533"/>
      <c r="GLY10" s="533"/>
      <c r="GLZ10" s="533"/>
      <c r="GMA10" s="533"/>
      <c r="GMB10" s="533"/>
      <c r="GMC10" s="533"/>
      <c r="GMD10" s="533"/>
      <c r="GME10" s="533"/>
      <c r="GMF10" s="533"/>
      <c r="GMG10" s="533"/>
      <c r="GMH10" s="533"/>
      <c r="GMI10" s="533"/>
      <c r="GMJ10" s="533"/>
      <c r="GMK10" s="533"/>
      <c r="GML10" s="533"/>
      <c r="GMM10" s="533"/>
      <c r="GMN10" s="533"/>
      <c r="GMO10" s="533"/>
      <c r="GMP10" s="533"/>
      <c r="GMQ10" s="533"/>
      <c r="GMR10" s="533"/>
      <c r="GMS10" s="533"/>
      <c r="GMT10" s="533"/>
      <c r="GMU10" s="533"/>
      <c r="GMV10" s="533"/>
      <c r="GMW10" s="533"/>
      <c r="GMX10" s="533"/>
      <c r="GMY10" s="533"/>
      <c r="GMZ10" s="533"/>
      <c r="GNA10" s="533"/>
      <c r="GNB10" s="533"/>
      <c r="GNC10" s="533"/>
      <c r="GND10" s="533"/>
      <c r="GNE10" s="533"/>
      <c r="GNF10" s="533"/>
      <c r="GNG10" s="533"/>
      <c r="GNH10" s="533"/>
      <c r="GNI10" s="533"/>
      <c r="GNJ10" s="533"/>
      <c r="GNK10" s="533"/>
      <c r="GNL10" s="533"/>
      <c r="GNM10" s="533"/>
      <c r="GNN10" s="533"/>
      <c r="GNO10" s="533"/>
      <c r="GNP10" s="533"/>
      <c r="GNQ10" s="533"/>
      <c r="GNR10" s="533"/>
      <c r="GNS10" s="533"/>
      <c r="GNT10" s="533"/>
      <c r="GNU10" s="533"/>
      <c r="GNV10" s="533"/>
      <c r="GNW10" s="533"/>
      <c r="GNX10" s="533"/>
      <c r="GNY10" s="533"/>
      <c r="GNZ10" s="533"/>
      <c r="GOA10" s="533"/>
      <c r="GOB10" s="533"/>
      <c r="GOC10" s="533"/>
      <c r="GOD10" s="533"/>
      <c r="GOE10" s="533"/>
      <c r="GOF10" s="533"/>
      <c r="GOG10" s="533"/>
      <c r="GOH10" s="533"/>
      <c r="GOI10" s="533"/>
      <c r="GOJ10" s="533"/>
      <c r="GOK10" s="533"/>
      <c r="GOL10" s="533"/>
      <c r="GOM10" s="533"/>
      <c r="GON10" s="533"/>
      <c r="GOO10" s="533"/>
      <c r="GOP10" s="533"/>
      <c r="GOQ10" s="533"/>
      <c r="GOR10" s="533"/>
      <c r="GOS10" s="533"/>
      <c r="GOT10" s="533"/>
      <c r="GOU10" s="533"/>
      <c r="GOV10" s="533"/>
      <c r="GOW10" s="533"/>
      <c r="GOX10" s="533"/>
      <c r="GOY10" s="533"/>
      <c r="GOZ10" s="533"/>
      <c r="GPA10" s="533"/>
      <c r="GPB10" s="533"/>
      <c r="GPC10" s="533"/>
      <c r="GPD10" s="533"/>
      <c r="GPE10" s="533"/>
      <c r="GPF10" s="533"/>
      <c r="GPG10" s="533"/>
      <c r="GPH10" s="533"/>
      <c r="GPI10" s="533"/>
      <c r="GPJ10" s="533"/>
      <c r="GPK10" s="533"/>
      <c r="GPL10" s="533"/>
      <c r="GPM10" s="533"/>
      <c r="GPN10" s="533"/>
      <c r="GPO10" s="533"/>
      <c r="GPP10" s="533"/>
      <c r="GPQ10" s="533"/>
      <c r="GPR10" s="533"/>
      <c r="GPS10" s="533"/>
      <c r="GPT10" s="533"/>
      <c r="GPU10" s="533"/>
      <c r="GPV10" s="533"/>
      <c r="GPW10" s="533"/>
      <c r="GPX10" s="533"/>
      <c r="GPY10" s="533"/>
      <c r="GPZ10" s="533"/>
      <c r="GQA10" s="533"/>
      <c r="GQB10" s="533"/>
      <c r="GQC10" s="533"/>
      <c r="GQD10" s="533"/>
      <c r="GQE10" s="533"/>
      <c r="GQF10" s="533"/>
      <c r="GQG10" s="533"/>
      <c r="GQH10" s="533"/>
      <c r="GQI10" s="533"/>
      <c r="GQJ10" s="533"/>
      <c r="GQK10" s="533"/>
      <c r="GQL10" s="533"/>
      <c r="GQM10" s="533"/>
      <c r="GQN10" s="533"/>
      <c r="GQO10" s="533"/>
      <c r="GQP10" s="533"/>
      <c r="GQQ10" s="533"/>
      <c r="GQR10" s="533"/>
      <c r="GQS10" s="533"/>
      <c r="GQT10" s="533"/>
      <c r="GQU10" s="533"/>
      <c r="GQV10" s="533"/>
      <c r="GQW10" s="533"/>
      <c r="GQX10" s="533"/>
      <c r="GQY10" s="533"/>
      <c r="GQZ10" s="533"/>
      <c r="GRA10" s="533"/>
      <c r="GRB10" s="533"/>
      <c r="GRC10" s="533"/>
      <c r="GRD10" s="533"/>
      <c r="GRE10" s="533"/>
      <c r="GRF10" s="533"/>
      <c r="GRG10" s="533"/>
      <c r="GRH10" s="533"/>
      <c r="GRI10" s="533"/>
      <c r="GRJ10" s="533"/>
      <c r="GRK10" s="533"/>
      <c r="GRL10" s="533"/>
      <c r="GRM10" s="533"/>
      <c r="GRN10" s="533"/>
      <c r="GRO10" s="533"/>
      <c r="GRP10" s="533"/>
      <c r="GRQ10" s="533"/>
      <c r="GRR10" s="533"/>
      <c r="GRS10" s="533"/>
      <c r="GRT10" s="533"/>
      <c r="GRU10" s="533"/>
      <c r="GRV10" s="533"/>
      <c r="GRW10" s="533"/>
      <c r="GRX10" s="533"/>
      <c r="GRY10" s="533"/>
      <c r="GRZ10" s="533"/>
      <c r="GSA10" s="533"/>
      <c r="GSB10" s="533"/>
      <c r="GSC10" s="533"/>
      <c r="GSD10" s="533"/>
      <c r="GSE10" s="533"/>
      <c r="GSF10" s="533"/>
      <c r="GSG10" s="533"/>
      <c r="GSH10" s="533"/>
      <c r="GSI10" s="533"/>
      <c r="GSJ10" s="533"/>
      <c r="GSK10" s="533"/>
      <c r="GSL10" s="533"/>
      <c r="GSM10" s="533"/>
      <c r="GSN10" s="533"/>
      <c r="GSO10" s="533"/>
      <c r="GSP10" s="533"/>
      <c r="GSQ10" s="533"/>
      <c r="GSR10" s="533"/>
      <c r="GSS10" s="533"/>
      <c r="GST10" s="533"/>
      <c r="GSU10" s="533"/>
      <c r="GSV10" s="533"/>
      <c r="GSW10" s="533"/>
      <c r="GSX10" s="533"/>
      <c r="GSY10" s="533"/>
      <c r="GSZ10" s="533"/>
      <c r="GTA10" s="533"/>
      <c r="GTB10" s="533"/>
      <c r="GTC10" s="533"/>
      <c r="GTD10" s="533"/>
      <c r="GTE10" s="533"/>
      <c r="GTF10" s="533"/>
      <c r="GTG10" s="533"/>
      <c r="GTH10" s="533"/>
      <c r="GTI10" s="533"/>
      <c r="GTJ10" s="533"/>
      <c r="GTK10" s="533"/>
      <c r="GTL10" s="533"/>
      <c r="GTM10" s="533"/>
      <c r="GTN10" s="533"/>
      <c r="GTO10" s="533"/>
      <c r="GTP10" s="533"/>
      <c r="GTQ10" s="533"/>
      <c r="GTR10" s="533"/>
      <c r="GTS10" s="533"/>
      <c r="GTT10" s="533"/>
      <c r="GTU10" s="533"/>
      <c r="GTV10" s="533"/>
      <c r="GTW10" s="533"/>
      <c r="GTX10" s="533"/>
      <c r="GTY10" s="533"/>
      <c r="GTZ10" s="533"/>
      <c r="GUA10" s="533"/>
      <c r="GUB10" s="533"/>
      <c r="GUC10" s="533"/>
      <c r="GUD10" s="533"/>
      <c r="GUE10" s="533"/>
      <c r="GUF10" s="533"/>
      <c r="GUG10" s="533"/>
      <c r="GUH10" s="533"/>
      <c r="GUI10" s="533"/>
      <c r="GUJ10" s="533"/>
      <c r="GUK10" s="533"/>
      <c r="GUL10" s="533"/>
      <c r="GUM10" s="533"/>
      <c r="GUN10" s="533"/>
      <c r="GUO10" s="533"/>
      <c r="GUP10" s="533"/>
      <c r="GUQ10" s="533"/>
      <c r="GUR10" s="533"/>
      <c r="GUS10" s="533"/>
      <c r="GUT10" s="533"/>
      <c r="GUU10" s="533"/>
      <c r="GUV10" s="533"/>
      <c r="GUW10" s="533"/>
      <c r="GUX10" s="533"/>
      <c r="GUY10" s="533"/>
      <c r="GUZ10" s="533"/>
      <c r="GVA10" s="533"/>
      <c r="GVB10" s="533"/>
      <c r="GVC10" s="533"/>
      <c r="GVD10" s="533"/>
      <c r="GVE10" s="533"/>
      <c r="GVF10" s="533"/>
      <c r="GVG10" s="533"/>
      <c r="GVH10" s="533"/>
      <c r="GVI10" s="533"/>
      <c r="GVJ10" s="533"/>
      <c r="GVK10" s="533"/>
      <c r="GVL10" s="533"/>
      <c r="GVM10" s="533"/>
      <c r="GVN10" s="533"/>
      <c r="GVO10" s="533"/>
      <c r="GVP10" s="533"/>
      <c r="GVQ10" s="533"/>
      <c r="GVR10" s="533"/>
      <c r="GVS10" s="533"/>
      <c r="GVT10" s="533"/>
      <c r="GVU10" s="533"/>
      <c r="GVV10" s="533"/>
      <c r="GVW10" s="533"/>
      <c r="GVX10" s="533"/>
      <c r="GVY10" s="533"/>
      <c r="GVZ10" s="533"/>
      <c r="GWA10" s="533"/>
      <c r="GWB10" s="533"/>
      <c r="GWC10" s="533"/>
      <c r="GWD10" s="533"/>
      <c r="GWE10" s="533"/>
      <c r="GWF10" s="533"/>
      <c r="GWG10" s="533"/>
      <c r="GWH10" s="533"/>
      <c r="GWI10" s="533"/>
      <c r="GWJ10" s="533"/>
      <c r="GWK10" s="533"/>
      <c r="GWL10" s="533"/>
      <c r="GWM10" s="533"/>
      <c r="GWN10" s="533"/>
      <c r="GWO10" s="533"/>
      <c r="GWP10" s="533"/>
      <c r="GWQ10" s="533"/>
      <c r="GWR10" s="533"/>
      <c r="GWS10" s="533"/>
      <c r="GWT10" s="533"/>
      <c r="GWU10" s="533"/>
      <c r="GWV10" s="533"/>
      <c r="GWW10" s="533"/>
      <c r="GWX10" s="533"/>
      <c r="GWY10" s="533"/>
      <c r="GWZ10" s="533"/>
      <c r="GXA10" s="533"/>
      <c r="GXB10" s="533"/>
      <c r="GXC10" s="533"/>
      <c r="GXD10" s="533"/>
      <c r="GXE10" s="533"/>
      <c r="GXF10" s="533"/>
      <c r="GXG10" s="533"/>
      <c r="GXH10" s="533"/>
      <c r="GXI10" s="533"/>
      <c r="GXJ10" s="533"/>
      <c r="GXK10" s="533"/>
      <c r="GXL10" s="533"/>
      <c r="GXM10" s="533"/>
      <c r="GXN10" s="533"/>
      <c r="GXO10" s="533"/>
      <c r="GXP10" s="533"/>
      <c r="GXQ10" s="533"/>
      <c r="GXR10" s="533"/>
      <c r="GXS10" s="533"/>
      <c r="GXT10" s="533"/>
      <c r="GXU10" s="533"/>
      <c r="GXV10" s="533"/>
      <c r="GXW10" s="533"/>
      <c r="GXX10" s="533"/>
      <c r="GXY10" s="533"/>
      <c r="GXZ10" s="533"/>
      <c r="GYA10" s="533"/>
      <c r="GYB10" s="533"/>
      <c r="GYC10" s="533"/>
      <c r="GYD10" s="533"/>
      <c r="GYE10" s="533"/>
      <c r="GYF10" s="533"/>
      <c r="GYG10" s="533"/>
      <c r="GYH10" s="533"/>
      <c r="GYI10" s="533"/>
      <c r="GYJ10" s="533"/>
      <c r="GYK10" s="533"/>
      <c r="GYL10" s="533"/>
      <c r="GYM10" s="533"/>
      <c r="GYN10" s="533"/>
      <c r="GYO10" s="533"/>
      <c r="GYP10" s="533"/>
      <c r="GYQ10" s="533"/>
      <c r="GYR10" s="533"/>
      <c r="GYS10" s="533"/>
      <c r="GYT10" s="533"/>
      <c r="GYU10" s="533"/>
      <c r="GYV10" s="533"/>
      <c r="GYW10" s="533"/>
      <c r="GYX10" s="533"/>
      <c r="GYY10" s="533"/>
      <c r="GYZ10" s="533"/>
      <c r="GZA10" s="533"/>
      <c r="GZB10" s="533"/>
      <c r="GZC10" s="533"/>
      <c r="GZD10" s="533"/>
      <c r="GZE10" s="533"/>
      <c r="GZF10" s="533"/>
      <c r="GZG10" s="533"/>
      <c r="GZH10" s="533"/>
      <c r="GZI10" s="533"/>
      <c r="GZJ10" s="533"/>
      <c r="GZK10" s="533"/>
      <c r="GZL10" s="533"/>
      <c r="GZM10" s="533"/>
      <c r="GZN10" s="533"/>
      <c r="GZO10" s="533"/>
      <c r="GZP10" s="533"/>
      <c r="GZQ10" s="533"/>
      <c r="GZR10" s="533"/>
      <c r="GZS10" s="533"/>
      <c r="GZT10" s="533"/>
      <c r="GZU10" s="533"/>
      <c r="GZV10" s="533"/>
      <c r="GZW10" s="533"/>
      <c r="GZX10" s="533"/>
      <c r="GZY10" s="533"/>
      <c r="GZZ10" s="533"/>
      <c r="HAA10" s="533"/>
      <c r="HAB10" s="533"/>
      <c r="HAC10" s="533"/>
      <c r="HAD10" s="533"/>
      <c r="HAE10" s="533"/>
      <c r="HAF10" s="533"/>
      <c r="HAG10" s="533"/>
      <c r="HAH10" s="533"/>
      <c r="HAI10" s="533"/>
      <c r="HAJ10" s="533"/>
      <c r="HAK10" s="533"/>
      <c r="HAL10" s="533"/>
      <c r="HAM10" s="533"/>
      <c r="HAN10" s="533"/>
      <c r="HAO10" s="533"/>
      <c r="HAP10" s="533"/>
      <c r="HAQ10" s="533"/>
      <c r="HAR10" s="533"/>
      <c r="HAS10" s="533"/>
      <c r="HAT10" s="533"/>
      <c r="HAU10" s="533"/>
      <c r="HAV10" s="533"/>
      <c r="HAW10" s="533"/>
      <c r="HAX10" s="533"/>
      <c r="HAY10" s="533"/>
      <c r="HAZ10" s="533"/>
      <c r="HBA10" s="533"/>
      <c r="HBB10" s="533"/>
      <c r="HBC10" s="533"/>
      <c r="HBD10" s="533"/>
      <c r="HBE10" s="533"/>
      <c r="HBF10" s="533"/>
      <c r="HBG10" s="533"/>
      <c r="HBH10" s="533"/>
      <c r="HBI10" s="533"/>
      <c r="HBJ10" s="533"/>
      <c r="HBK10" s="533"/>
      <c r="HBL10" s="533"/>
      <c r="HBM10" s="533"/>
      <c r="HBN10" s="533"/>
      <c r="HBO10" s="533"/>
      <c r="HBP10" s="533"/>
      <c r="HBQ10" s="533"/>
      <c r="HBR10" s="533"/>
      <c r="HBS10" s="533"/>
      <c r="HBT10" s="533"/>
      <c r="HBU10" s="533"/>
      <c r="HBV10" s="533"/>
      <c r="HBW10" s="533"/>
      <c r="HBX10" s="533"/>
      <c r="HBY10" s="533"/>
      <c r="HBZ10" s="533"/>
      <c r="HCA10" s="533"/>
      <c r="HCB10" s="533"/>
      <c r="HCC10" s="533"/>
      <c r="HCD10" s="533"/>
      <c r="HCE10" s="533"/>
      <c r="HCF10" s="533"/>
      <c r="HCG10" s="533"/>
      <c r="HCH10" s="533"/>
      <c r="HCI10" s="533"/>
      <c r="HCJ10" s="533"/>
      <c r="HCK10" s="533"/>
      <c r="HCL10" s="533"/>
      <c r="HCM10" s="533"/>
      <c r="HCN10" s="533"/>
      <c r="HCO10" s="533"/>
      <c r="HCP10" s="533"/>
      <c r="HCQ10" s="533"/>
      <c r="HCR10" s="533"/>
      <c r="HCS10" s="533"/>
      <c r="HCT10" s="533"/>
      <c r="HCU10" s="533"/>
      <c r="HCV10" s="533"/>
      <c r="HCW10" s="533"/>
      <c r="HCX10" s="533"/>
      <c r="HCY10" s="533"/>
      <c r="HCZ10" s="533"/>
      <c r="HDA10" s="533"/>
      <c r="HDB10" s="533"/>
      <c r="HDC10" s="533"/>
      <c r="HDD10" s="533"/>
      <c r="HDE10" s="533"/>
      <c r="HDF10" s="533"/>
      <c r="HDG10" s="533"/>
      <c r="HDH10" s="533"/>
      <c r="HDI10" s="533"/>
      <c r="HDJ10" s="533"/>
      <c r="HDK10" s="533"/>
      <c r="HDL10" s="533"/>
      <c r="HDM10" s="533"/>
      <c r="HDN10" s="533"/>
      <c r="HDO10" s="533"/>
      <c r="HDP10" s="533"/>
      <c r="HDQ10" s="533"/>
      <c r="HDR10" s="533"/>
      <c r="HDS10" s="533"/>
      <c r="HDT10" s="533"/>
      <c r="HDU10" s="533"/>
      <c r="HDV10" s="533"/>
      <c r="HDW10" s="533"/>
      <c r="HDX10" s="533"/>
      <c r="HDY10" s="533"/>
      <c r="HDZ10" s="533"/>
      <c r="HEA10" s="533"/>
      <c r="HEB10" s="533"/>
      <c r="HEC10" s="533"/>
      <c r="HED10" s="533"/>
      <c r="HEE10" s="533"/>
      <c r="HEF10" s="533"/>
      <c r="HEG10" s="533"/>
      <c r="HEH10" s="533"/>
      <c r="HEI10" s="533"/>
      <c r="HEJ10" s="533"/>
      <c r="HEK10" s="533"/>
      <c r="HEL10" s="533"/>
      <c r="HEM10" s="533"/>
      <c r="HEN10" s="533"/>
      <c r="HEO10" s="533"/>
      <c r="HEP10" s="533"/>
      <c r="HEQ10" s="533"/>
      <c r="HER10" s="533"/>
      <c r="HES10" s="533"/>
      <c r="HET10" s="533"/>
      <c r="HEU10" s="533"/>
      <c r="HEV10" s="533"/>
      <c r="HEW10" s="533"/>
      <c r="HEX10" s="533"/>
      <c r="HEY10" s="533"/>
      <c r="HEZ10" s="533"/>
      <c r="HFA10" s="533"/>
      <c r="HFB10" s="533"/>
      <c r="HFC10" s="533"/>
      <c r="HFD10" s="533"/>
      <c r="HFE10" s="533"/>
      <c r="HFF10" s="533"/>
      <c r="HFG10" s="533"/>
      <c r="HFH10" s="533"/>
      <c r="HFI10" s="533"/>
      <c r="HFJ10" s="533"/>
      <c r="HFK10" s="533"/>
      <c r="HFL10" s="533"/>
      <c r="HFM10" s="533"/>
      <c r="HFN10" s="533"/>
      <c r="HFO10" s="533"/>
      <c r="HFP10" s="533"/>
      <c r="HFQ10" s="533"/>
      <c r="HFR10" s="533"/>
      <c r="HFS10" s="533"/>
      <c r="HFT10" s="533"/>
      <c r="HFU10" s="533"/>
      <c r="HFV10" s="533"/>
      <c r="HFW10" s="533"/>
      <c r="HFX10" s="533"/>
      <c r="HFY10" s="533"/>
      <c r="HFZ10" s="533"/>
      <c r="HGA10" s="533"/>
      <c r="HGB10" s="533"/>
      <c r="HGC10" s="533"/>
      <c r="HGD10" s="533"/>
      <c r="HGE10" s="533"/>
      <c r="HGF10" s="533"/>
      <c r="HGG10" s="533"/>
      <c r="HGH10" s="533"/>
      <c r="HGI10" s="533"/>
      <c r="HGJ10" s="533"/>
      <c r="HGK10" s="533"/>
      <c r="HGL10" s="533"/>
      <c r="HGM10" s="533"/>
      <c r="HGN10" s="533"/>
      <c r="HGO10" s="533"/>
      <c r="HGP10" s="533"/>
      <c r="HGQ10" s="533"/>
      <c r="HGR10" s="533"/>
      <c r="HGS10" s="533"/>
      <c r="HGT10" s="533"/>
      <c r="HGU10" s="533"/>
      <c r="HGV10" s="533"/>
      <c r="HGW10" s="533"/>
      <c r="HGX10" s="533"/>
      <c r="HGY10" s="533"/>
      <c r="HGZ10" s="533"/>
      <c r="HHA10" s="533"/>
      <c r="HHB10" s="533"/>
      <c r="HHC10" s="533"/>
      <c r="HHD10" s="533"/>
      <c r="HHE10" s="533"/>
      <c r="HHF10" s="533"/>
      <c r="HHG10" s="533"/>
      <c r="HHH10" s="533"/>
      <c r="HHI10" s="533"/>
      <c r="HHJ10" s="533"/>
      <c r="HHK10" s="533"/>
      <c r="HHL10" s="533"/>
      <c r="HHM10" s="533"/>
      <c r="HHN10" s="533"/>
      <c r="HHO10" s="533"/>
      <c r="HHP10" s="533"/>
      <c r="HHQ10" s="533"/>
      <c r="HHR10" s="533"/>
      <c r="HHS10" s="533"/>
      <c r="HHT10" s="533"/>
      <c r="HHU10" s="533"/>
      <c r="HHV10" s="533"/>
      <c r="HHW10" s="533"/>
      <c r="HHX10" s="533"/>
      <c r="HHY10" s="533"/>
      <c r="HHZ10" s="533"/>
      <c r="HIA10" s="533"/>
      <c r="HIB10" s="533"/>
      <c r="HIC10" s="533"/>
      <c r="HID10" s="533"/>
      <c r="HIE10" s="533"/>
      <c r="HIF10" s="533"/>
      <c r="HIG10" s="533"/>
      <c r="HIH10" s="533"/>
      <c r="HII10" s="533"/>
      <c r="HIJ10" s="533"/>
      <c r="HIK10" s="533"/>
      <c r="HIL10" s="533"/>
      <c r="HIM10" s="533"/>
      <c r="HIN10" s="533"/>
      <c r="HIO10" s="533"/>
      <c r="HIP10" s="533"/>
      <c r="HIQ10" s="533"/>
      <c r="HIR10" s="533"/>
      <c r="HIS10" s="533"/>
      <c r="HIT10" s="533"/>
      <c r="HIU10" s="533"/>
      <c r="HIV10" s="533"/>
      <c r="HIW10" s="533"/>
      <c r="HIX10" s="533"/>
      <c r="HIY10" s="533"/>
      <c r="HIZ10" s="533"/>
      <c r="HJA10" s="533"/>
      <c r="HJB10" s="533"/>
      <c r="HJC10" s="533"/>
      <c r="HJD10" s="533"/>
      <c r="HJE10" s="533"/>
      <c r="HJF10" s="533"/>
      <c r="HJG10" s="533"/>
      <c r="HJH10" s="533"/>
      <c r="HJI10" s="533"/>
      <c r="HJJ10" s="533"/>
      <c r="HJK10" s="533"/>
      <c r="HJL10" s="533"/>
      <c r="HJM10" s="533"/>
      <c r="HJN10" s="533"/>
      <c r="HJO10" s="533"/>
      <c r="HJP10" s="533"/>
      <c r="HJQ10" s="533"/>
      <c r="HJR10" s="533"/>
      <c r="HJS10" s="533"/>
      <c r="HJT10" s="533"/>
      <c r="HJU10" s="533"/>
      <c r="HJV10" s="533"/>
      <c r="HJW10" s="533"/>
      <c r="HJX10" s="533"/>
      <c r="HJY10" s="533"/>
      <c r="HJZ10" s="533"/>
      <c r="HKA10" s="533"/>
      <c r="HKB10" s="533"/>
      <c r="HKC10" s="533"/>
      <c r="HKD10" s="533"/>
      <c r="HKE10" s="533"/>
      <c r="HKF10" s="533"/>
      <c r="HKG10" s="533"/>
      <c r="HKH10" s="533"/>
      <c r="HKI10" s="533"/>
      <c r="HKJ10" s="533"/>
      <c r="HKK10" s="533"/>
      <c r="HKL10" s="533"/>
      <c r="HKM10" s="533"/>
      <c r="HKN10" s="533"/>
      <c r="HKO10" s="533"/>
      <c r="HKP10" s="533"/>
      <c r="HKQ10" s="533"/>
      <c r="HKR10" s="533"/>
      <c r="HKS10" s="533"/>
      <c r="HKT10" s="533"/>
      <c r="HKU10" s="533"/>
      <c r="HKV10" s="533"/>
      <c r="HKW10" s="533"/>
      <c r="HKX10" s="533"/>
      <c r="HKY10" s="533"/>
      <c r="HKZ10" s="533"/>
      <c r="HLA10" s="533"/>
      <c r="HLB10" s="533"/>
      <c r="HLC10" s="533"/>
      <c r="HLD10" s="533"/>
      <c r="HLE10" s="533"/>
      <c r="HLF10" s="533"/>
      <c r="HLG10" s="533"/>
      <c r="HLH10" s="533"/>
      <c r="HLI10" s="533"/>
      <c r="HLJ10" s="533"/>
      <c r="HLK10" s="533"/>
      <c r="HLL10" s="533"/>
      <c r="HLM10" s="533"/>
      <c r="HLN10" s="533"/>
      <c r="HLO10" s="533"/>
      <c r="HLP10" s="533"/>
      <c r="HLQ10" s="533"/>
      <c r="HLR10" s="533"/>
      <c r="HLS10" s="533"/>
      <c r="HLT10" s="533"/>
      <c r="HLU10" s="533"/>
      <c r="HLV10" s="533"/>
      <c r="HLW10" s="533"/>
      <c r="HLX10" s="533"/>
      <c r="HLY10" s="533"/>
      <c r="HLZ10" s="533"/>
      <c r="HMA10" s="533"/>
      <c r="HMB10" s="533"/>
      <c r="HMC10" s="533"/>
      <c r="HMD10" s="533"/>
      <c r="HME10" s="533"/>
      <c r="HMF10" s="533"/>
      <c r="HMG10" s="533"/>
      <c r="HMH10" s="533"/>
      <c r="HMI10" s="533"/>
      <c r="HMJ10" s="533"/>
      <c r="HMK10" s="533"/>
      <c r="HML10" s="533"/>
      <c r="HMM10" s="533"/>
      <c r="HMN10" s="533"/>
      <c r="HMO10" s="533"/>
      <c r="HMP10" s="533"/>
      <c r="HMQ10" s="533"/>
      <c r="HMR10" s="533"/>
      <c r="HMS10" s="533"/>
      <c r="HMT10" s="533"/>
      <c r="HMU10" s="533"/>
      <c r="HMV10" s="533"/>
      <c r="HMW10" s="533"/>
      <c r="HMX10" s="533"/>
      <c r="HMY10" s="533"/>
      <c r="HMZ10" s="533"/>
      <c r="HNA10" s="533"/>
      <c r="HNB10" s="533"/>
      <c r="HNC10" s="533"/>
      <c r="HND10" s="533"/>
      <c r="HNE10" s="533"/>
      <c r="HNF10" s="533"/>
      <c r="HNG10" s="533"/>
      <c r="HNH10" s="533"/>
      <c r="HNI10" s="533"/>
      <c r="HNJ10" s="533"/>
      <c r="HNK10" s="533"/>
      <c r="HNL10" s="533"/>
      <c r="HNM10" s="533"/>
      <c r="HNN10" s="533"/>
      <c r="HNO10" s="533"/>
      <c r="HNP10" s="533"/>
      <c r="HNQ10" s="533"/>
      <c r="HNR10" s="533"/>
      <c r="HNS10" s="533"/>
      <c r="HNT10" s="533"/>
      <c r="HNU10" s="533"/>
      <c r="HNV10" s="533"/>
      <c r="HNW10" s="533"/>
      <c r="HNX10" s="533"/>
      <c r="HNY10" s="533"/>
      <c r="HNZ10" s="533"/>
      <c r="HOA10" s="533"/>
      <c r="HOB10" s="533"/>
      <c r="HOC10" s="533"/>
      <c r="HOD10" s="533"/>
      <c r="HOE10" s="533"/>
      <c r="HOF10" s="533"/>
      <c r="HOG10" s="533"/>
      <c r="HOH10" s="533"/>
      <c r="HOI10" s="533"/>
      <c r="HOJ10" s="533"/>
      <c r="HOK10" s="533"/>
      <c r="HOL10" s="533"/>
      <c r="HOM10" s="533"/>
      <c r="HON10" s="533"/>
      <c r="HOO10" s="533"/>
      <c r="HOP10" s="533"/>
      <c r="HOQ10" s="533"/>
      <c r="HOR10" s="533"/>
      <c r="HOS10" s="533"/>
      <c r="HOT10" s="533"/>
      <c r="HOU10" s="533"/>
      <c r="HOV10" s="533"/>
      <c r="HOW10" s="533"/>
      <c r="HOX10" s="533"/>
      <c r="HOY10" s="533"/>
      <c r="HOZ10" s="533"/>
      <c r="HPA10" s="533"/>
      <c r="HPB10" s="533"/>
      <c r="HPC10" s="533"/>
      <c r="HPD10" s="533"/>
      <c r="HPE10" s="533"/>
      <c r="HPF10" s="533"/>
      <c r="HPG10" s="533"/>
      <c r="HPH10" s="533"/>
      <c r="HPI10" s="533"/>
      <c r="HPJ10" s="533"/>
      <c r="HPK10" s="533"/>
      <c r="HPL10" s="533"/>
      <c r="HPM10" s="533"/>
      <c r="HPN10" s="533"/>
      <c r="HPO10" s="533"/>
      <c r="HPP10" s="533"/>
      <c r="HPQ10" s="533"/>
      <c r="HPR10" s="533"/>
      <c r="HPS10" s="533"/>
      <c r="HPT10" s="533"/>
      <c r="HPU10" s="533"/>
      <c r="HPV10" s="533"/>
      <c r="HPW10" s="533"/>
      <c r="HPX10" s="533"/>
      <c r="HPY10" s="533"/>
      <c r="HPZ10" s="533"/>
      <c r="HQA10" s="533"/>
      <c r="HQB10" s="533"/>
      <c r="HQC10" s="533"/>
      <c r="HQD10" s="533"/>
      <c r="HQE10" s="533"/>
      <c r="HQF10" s="533"/>
      <c r="HQG10" s="533"/>
      <c r="HQH10" s="533"/>
      <c r="HQI10" s="533"/>
      <c r="HQJ10" s="533"/>
      <c r="HQK10" s="533"/>
      <c r="HQL10" s="533"/>
      <c r="HQM10" s="533"/>
      <c r="HQN10" s="533"/>
      <c r="HQO10" s="533"/>
      <c r="HQP10" s="533"/>
      <c r="HQQ10" s="533"/>
      <c r="HQR10" s="533"/>
      <c r="HQS10" s="533"/>
      <c r="HQT10" s="533"/>
      <c r="HQU10" s="533"/>
      <c r="HQV10" s="533"/>
      <c r="HQW10" s="533"/>
      <c r="HQX10" s="533"/>
      <c r="HQY10" s="533"/>
      <c r="HQZ10" s="533"/>
      <c r="HRA10" s="533"/>
      <c r="HRB10" s="533"/>
      <c r="HRC10" s="533"/>
      <c r="HRD10" s="533"/>
      <c r="HRE10" s="533"/>
      <c r="HRF10" s="533"/>
      <c r="HRG10" s="533"/>
      <c r="HRH10" s="533"/>
      <c r="HRI10" s="533"/>
      <c r="HRJ10" s="533"/>
      <c r="HRK10" s="533"/>
      <c r="HRL10" s="533"/>
      <c r="HRM10" s="533"/>
      <c r="HRN10" s="533"/>
      <c r="HRO10" s="533"/>
      <c r="HRP10" s="533"/>
      <c r="HRQ10" s="533"/>
      <c r="HRR10" s="533"/>
      <c r="HRS10" s="533"/>
      <c r="HRT10" s="533"/>
      <c r="HRU10" s="533"/>
      <c r="HRV10" s="533"/>
      <c r="HRW10" s="533"/>
      <c r="HRX10" s="533"/>
      <c r="HRY10" s="533"/>
      <c r="HRZ10" s="533"/>
      <c r="HSA10" s="533"/>
      <c r="HSB10" s="533"/>
      <c r="HSC10" s="533"/>
      <c r="HSD10" s="533"/>
      <c r="HSE10" s="533"/>
      <c r="HSF10" s="533"/>
      <c r="HSG10" s="533"/>
      <c r="HSH10" s="533"/>
      <c r="HSI10" s="533"/>
      <c r="HSJ10" s="533"/>
      <c r="HSK10" s="533"/>
      <c r="HSL10" s="533"/>
      <c r="HSM10" s="533"/>
      <c r="HSN10" s="533"/>
      <c r="HSO10" s="533"/>
      <c r="HSP10" s="533"/>
      <c r="HSQ10" s="533"/>
      <c r="HSR10" s="533"/>
      <c r="HSS10" s="533"/>
      <c r="HST10" s="533"/>
      <c r="HSU10" s="533"/>
      <c r="HSV10" s="533"/>
      <c r="HSW10" s="533"/>
      <c r="HSX10" s="533"/>
      <c r="HSY10" s="533"/>
      <c r="HSZ10" s="533"/>
      <c r="HTA10" s="533"/>
      <c r="HTB10" s="533"/>
      <c r="HTC10" s="533"/>
      <c r="HTD10" s="533"/>
      <c r="HTE10" s="533"/>
      <c r="HTF10" s="533"/>
      <c r="HTG10" s="533"/>
      <c r="HTH10" s="533"/>
      <c r="HTI10" s="533"/>
      <c r="HTJ10" s="533"/>
      <c r="HTK10" s="533"/>
      <c r="HTL10" s="533"/>
      <c r="HTM10" s="533"/>
      <c r="HTN10" s="533"/>
      <c r="HTO10" s="533"/>
      <c r="HTP10" s="533"/>
      <c r="HTQ10" s="533"/>
      <c r="HTR10" s="533"/>
      <c r="HTS10" s="533"/>
      <c r="HTT10" s="533"/>
      <c r="HTU10" s="533"/>
      <c r="HTV10" s="533"/>
      <c r="HTW10" s="533"/>
      <c r="HTX10" s="533"/>
      <c r="HTY10" s="533"/>
      <c r="HTZ10" s="533"/>
      <c r="HUA10" s="533"/>
      <c r="HUB10" s="533"/>
      <c r="HUC10" s="533"/>
      <c r="HUD10" s="533"/>
      <c r="HUE10" s="533"/>
      <c r="HUF10" s="533"/>
      <c r="HUG10" s="533"/>
      <c r="HUH10" s="533"/>
      <c r="HUI10" s="533"/>
      <c r="HUJ10" s="533"/>
      <c r="HUK10" s="533"/>
      <c r="HUL10" s="533"/>
      <c r="HUM10" s="533"/>
      <c r="HUN10" s="533"/>
      <c r="HUO10" s="533"/>
      <c r="HUP10" s="533"/>
      <c r="HUQ10" s="533"/>
      <c r="HUR10" s="533"/>
      <c r="HUS10" s="533"/>
      <c r="HUT10" s="533"/>
      <c r="HUU10" s="533"/>
      <c r="HUV10" s="533"/>
      <c r="HUW10" s="533"/>
      <c r="HUX10" s="533"/>
      <c r="HUY10" s="533"/>
      <c r="HUZ10" s="533"/>
      <c r="HVA10" s="533"/>
      <c r="HVB10" s="533"/>
      <c r="HVC10" s="533"/>
      <c r="HVD10" s="533"/>
      <c r="HVE10" s="533"/>
      <c r="HVF10" s="533"/>
      <c r="HVG10" s="533"/>
      <c r="HVH10" s="533"/>
      <c r="HVI10" s="533"/>
      <c r="HVJ10" s="533"/>
      <c r="HVK10" s="533"/>
      <c r="HVL10" s="533"/>
      <c r="HVM10" s="533"/>
      <c r="HVN10" s="533"/>
      <c r="HVO10" s="533"/>
      <c r="HVP10" s="533"/>
      <c r="HVQ10" s="533"/>
      <c r="HVR10" s="533"/>
      <c r="HVS10" s="533"/>
      <c r="HVT10" s="533"/>
      <c r="HVU10" s="533"/>
      <c r="HVV10" s="533"/>
      <c r="HVW10" s="533"/>
      <c r="HVX10" s="533"/>
      <c r="HVY10" s="533"/>
      <c r="HVZ10" s="533"/>
      <c r="HWA10" s="533"/>
      <c r="HWB10" s="533"/>
      <c r="HWC10" s="533"/>
      <c r="HWD10" s="533"/>
      <c r="HWE10" s="533"/>
      <c r="HWF10" s="533"/>
      <c r="HWG10" s="533"/>
      <c r="HWH10" s="533"/>
      <c r="HWI10" s="533"/>
      <c r="HWJ10" s="533"/>
      <c r="HWK10" s="533"/>
      <c r="HWL10" s="533"/>
      <c r="HWM10" s="533"/>
      <c r="HWN10" s="533"/>
      <c r="HWO10" s="533"/>
      <c r="HWP10" s="533"/>
      <c r="HWQ10" s="533"/>
      <c r="HWR10" s="533"/>
      <c r="HWS10" s="533"/>
      <c r="HWT10" s="533"/>
      <c r="HWU10" s="533"/>
      <c r="HWV10" s="533"/>
      <c r="HWW10" s="533"/>
      <c r="HWX10" s="533"/>
      <c r="HWY10" s="533"/>
      <c r="HWZ10" s="533"/>
      <c r="HXA10" s="533"/>
      <c r="HXB10" s="533"/>
      <c r="HXC10" s="533"/>
      <c r="HXD10" s="533"/>
      <c r="HXE10" s="533"/>
      <c r="HXF10" s="533"/>
      <c r="HXG10" s="533"/>
      <c r="HXH10" s="533"/>
      <c r="HXI10" s="533"/>
      <c r="HXJ10" s="533"/>
      <c r="HXK10" s="533"/>
      <c r="HXL10" s="533"/>
      <c r="HXM10" s="533"/>
      <c r="HXN10" s="533"/>
      <c r="HXO10" s="533"/>
      <c r="HXP10" s="533"/>
      <c r="HXQ10" s="533"/>
      <c r="HXR10" s="533"/>
      <c r="HXS10" s="533"/>
      <c r="HXT10" s="533"/>
      <c r="HXU10" s="533"/>
      <c r="HXV10" s="533"/>
      <c r="HXW10" s="533"/>
      <c r="HXX10" s="533"/>
      <c r="HXY10" s="533"/>
      <c r="HXZ10" s="533"/>
      <c r="HYA10" s="533"/>
      <c r="HYB10" s="533"/>
      <c r="HYC10" s="533"/>
      <c r="HYD10" s="533"/>
      <c r="HYE10" s="533"/>
      <c r="HYF10" s="533"/>
      <c r="HYG10" s="533"/>
      <c r="HYH10" s="533"/>
      <c r="HYI10" s="533"/>
      <c r="HYJ10" s="533"/>
      <c r="HYK10" s="533"/>
      <c r="HYL10" s="533"/>
      <c r="HYM10" s="533"/>
      <c r="HYN10" s="533"/>
      <c r="HYO10" s="533"/>
      <c r="HYP10" s="533"/>
      <c r="HYQ10" s="533"/>
      <c r="HYR10" s="533"/>
      <c r="HYS10" s="533"/>
      <c r="HYT10" s="533"/>
      <c r="HYU10" s="533"/>
      <c r="HYV10" s="533"/>
      <c r="HYW10" s="533"/>
      <c r="HYX10" s="533"/>
      <c r="HYY10" s="533"/>
      <c r="HYZ10" s="533"/>
      <c r="HZA10" s="533"/>
      <c r="HZB10" s="533"/>
      <c r="HZC10" s="533"/>
      <c r="HZD10" s="533"/>
      <c r="HZE10" s="533"/>
      <c r="HZF10" s="533"/>
      <c r="HZG10" s="533"/>
      <c r="HZH10" s="533"/>
      <c r="HZI10" s="533"/>
      <c r="HZJ10" s="533"/>
      <c r="HZK10" s="533"/>
      <c r="HZL10" s="533"/>
      <c r="HZM10" s="533"/>
      <c r="HZN10" s="533"/>
      <c r="HZO10" s="533"/>
      <c r="HZP10" s="533"/>
      <c r="HZQ10" s="533"/>
      <c r="HZR10" s="533"/>
      <c r="HZS10" s="533"/>
      <c r="HZT10" s="533"/>
      <c r="HZU10" s="533"/>
      <c r="HZV10" s="533"/>
      <c r="HZW10" s="533"/>
      <c r="HZX10" s="533"/>
      <c r="HZY10" s="533"/>
      <c r="HZZ10" s="533"/>
      <c r="IAA10" s="533"/>
      <c r="IAB10" s="533"/>
      <c r="IAC10" s="533"/>
      <c r="IAD10" s="533"/>
      <c r="IAE10" s="533"/>
      <c r="IAF10" s="533"/>
      <c r="IAG10" s="533"/>
      <c r="IAH10" s="533"/>
      <c r="IAI10" s="533"/>
      <c r="IAJ10" s="533"/>
      <c r="IAK10" s="533"/>
      <c r="IAL10" s="533"/>
      <c r="IAM10" s="533"/>
      <c r="IAN10" s="533"/>
      <c r="IAO10" s="533"/>
      <c r="IAP10" s="533"/>
      <c r="IAQ10" s="533"/>
      <c r="IAR10" s="533"/>
      <c r="IAS10" s="533"/>
      <c r="IAT10" s="533"/>
      <c r="IAU10" s="533"/>
      <c r="IAV10" s="533"/>
      <c r="IAW10" s="533"/>
      <c r="IAX10" s="533"/>
      <c r="IAY10" s="533"/>
      <c r="IAZ10" s="533"/>
      <c r="IBA10" s="533"/>
      <c r="IBB10" s="533"/>
      <c r="IBC10" s="533"/>
      <c r="IBD10" s="533"/>
      <c r="IBE10" s="533"/>
      <c r="IBF10" s="533"/>
      <c r="IBG10" s="533"/>
      <c r="IBH10" s="533"/>
      <c r="IBI10" s="533"/>
      <c r="IBJ10" s="533"/>
      <c r="IBK10" s="533"/>
      <c r="IBL10" s="533"/>
      <c r="IBM10" s="533"/>
      <c r="IBN10" s="533"/>
      <c r="IBO10" s="533"/>
      <c r="IBP10" s="533"/>
      <c r="IBQ10" s="533"/>
      <c r="IBR10" s="533"/>
      <c r="IBS10" s="533"/>
      <c r="IBT10" s="533"/>
      <c r="IBU10" s="533"/>
      <c r="IBV10" s="533"/>
      <c r="IBW10" s="533"/>
      <c r="IBX10" s="533"/>
      <c r="IBY10" s="533"/>
      <c r="IBZ10" s="533"/>
      <c r="ICA10" s="533"/>
      <c r="ICB10" s="533"/>
      <c r="ICC10" s="533"/>
      <c r="ICD10" s="533"/>
      <c r="ICE10" s="533"/>
      <c r="ICF10" s="533"/>
      <c r="ICG10" s="533"/>
      <c r="ICH10" s="533"/>
      <c r="ICI10" s="533"/>
      <c r="ICJ10" s="533"/>
      <c r="ICK10" s="533"/>
      <c r="ICL10" s="533"/>
      <c r="ICM10" s="533"/>
      <c r="ICN10" s="533"/>
      <c r="ICO10" s="533"/>
      <c r="ICP10" s="533"/>
      <c r="ICQ10" s="533"/>
      <c r="ICR10" s="533"/>
      <c r="ICS10" s="533"/>
      <c r="ICT10" s="533"/>
      <c r="ICU10" s="533"/>
      <c r="ICV10" s="533"/>
      <c r="ICW10" s="533"/>
      <c r="ICX10" s="533"/>
      <c r="ICY10" s="533"/>
      <c r="ICZ10" s="533"/>
      <c r="IDA10" s="533"/>
      <c r="IDB10" s="533"/>
      <c r="IDC10" s="533"/>
      <c r="IDD10" s="533"/>
      <c r="IDE10" s="533"/>
      <c r="IDF10" s="533"/>
      <c r="IDG10" s="533"/>
      <c r="IDH10" s="533"/>
      <c r="IDI10" s="533"/>
      <c r="IDJ10" s="533"/>
      <c r="IDK10" s="533"/>
      <c r="IDL10" s="533"/>
      <c r="IDM10" s="533"/>
      <c r="IDN10" s="533"/>
      <c r="IDO10" s="533"/>
      <c r="IDP10" s="533"/>
      <c r="IDQ10" s="533"/>
      <c r="IDR10" s="533"/>
      <c r="IDS10" s="533"/>
      <c r="IDT10" s="533"/>
      <c r="IDU10" s="533"/>
      <c r="IDV10" s="533"/>
      <c r="IDW10" s="533"/>
      <c r="IDX10" s="533"/>
      <c r="IDY10" s="533"/>
      <c r="IDZ10" s="533"/>
      <c r="IEA10" s="533"/>
      <c r="IEB10" s="533"/>
      <c r="IEC10" s="533"/>
      <c r="IED10" s="533"/>
      <c r="IEE10" s="533"/>
      <c r="IEF10" s="533"/>
      <c r="IEG10" s="533"/>
      <c r="IEH10" s="533"/>
      <c r="IEI10" s="533"/>
      <c r="IEJ10" s="533"/>
      <c r="IEK10" s="533"/>
      <c r="IEL10" s="533"/>
      <c r="IEM10" s="533"/>
      <c r="IEN10" s="533"/>
      <c r="IEO10" s="533"/>
      <c r="IEP10" s="533"/>
      <c r="IEQ10" s="533"/>
      <c r="IER10" s="533"/>
      <c r="IES10" s="533"/>
      <c r="IET10" s="533"/>
      <c r="IEU10" s="533"/>
      <c r="IEV10" s="533"/>
      <c r="IEW10" s="533"/>
      <c r="IEX10" s="533"/>
      <c r="IEY10" s="533"/>
      <c r="IEZ10" s="533"/>
      <c r="IFA10" s="533"/>
      <c r="IFB10" s="533"/>
      <c r="IFC10" s="533"/>
      <c r="IFD10" s="533"/>
      <c r="IFE10" s="533"/>
      <c r="IFF10" s="533"/>
      <c r="IFG10" s="533"/>
      <c r="IFH10" s="533"/>
      <c r="IFI10" s="533"/>
      <c r="IFJ10" s="533"/>
      <c r="IFK10" s="533"/>
      <c r="IFL10" s="533"/>
      <c r="IFM10" s="533"/>
      <c r="IFN10" s="533"/>
      <c r="IFO10" s="533"/>
      <c r="IFP10" s="533"/>
      <c r="IFQ10" s="533"/>
      <c r="IFR10" s="533"/>
      <c r="IFS10" s="533"/>
      <c r="IFT10" s="533"/>
      <c r="IFU10" s="533"/>
      <c r="IFV10" s="533"/>
      <c r="IFW10" s="533"/>
      <c r="IFX10" s="533"/>
      <c r="IFY10" s="533"/>
      <c r="IFZ10" s="533"/>
      <c r="IGA10" s="533"/>
      <c r="IGB10" s="533"/>
      <c r="IGC10" s="533"/>
      <c r="IGD10" s="533"/>
      <c r="IGE10" s="533"/>
      <c r="IGF10" s="533"/>
      <c r="IGG10" s="533"/>
      <c r="IGH10" s="533"/>
      <c r="IGI10" s="533"/>
      <c r="IGJ10" s="533"/>
      <c r="IGK10" s="533"/>
      <c r="IGL10" s="533"/>
      <c r="IGM10" s="533"/>
      <c r="IGN10" s="533"/>
      <c r="IGO10" s="533"/>
      <c r="IGP10" s="533"/>
      <c r="IGQ10" s="533"/>
      <c r="IGR10" s="533"/>
      <c r="IGS10" s="533"/>
      <c r="IGT10" s="533"/>
      <c r="IGU10" s="533"/>
      <c r="IGV10" s="533"/>
      <c r="IGW10" s="533"/>
      <c r="IGX10" s="533"/>
      <c r="IGY10" s="533"/>
      <c r="IGZ10" s="533"/>
      <c r="IHA10" s="533"/>
      <c r="IHB10" s="533"/>
      <c r="IHC10" s="533"/>
      <c r="IHD10" s="533"/>
      <c r="IHE10" s="533"/>
      <c r="IHF10" s="533"/>
      <c r="IHG10" s="533"/>
      <c r="IHH10" s="533"/>
      <c r="IHI10" s="533"/>
      <c r="IHJ10" s="533"/>
      <c r="IHK10" s="533"/>
      <c r="IHL10" s="533"/>
      <c r="IHM10" s="533"/>
      <c r="IHN10" s="533"/>
      <c r="IHO10" s="533"/>
      <c r="IHP10" s="533"/>
      <c r="IHQ10" s="533"/>
      <c r="IHR10" s="533"/>
      <c r="IHS10" s="533"/>
      <c r="IHT10" s="533"/>
      <c r="IHU10" s="533"/>
      <c r="IHV10" s="533"/>
      <c r="IHW10" s="533"/>
      <c r="IHX10" s="533"/>
      <c r="IHY10" s="533"/>
      <c r="IHZ10" s="533"/>
      <c r="IIA10" s="533"/>
      <c r="IIB10" s="533"/>
      <c r="IIC10" s="533"/>
      <c r="IID10" s="533"/>
      <c r="IIE10" s="533"/>
      <c r="IIF10" s="533"/>
      <c r="IIG10" s="533"/>
      <c r="IIH10" s="533"/>
      <c r="III10" s="533"/>
      <c r="IIJ10" s="533"/>
      <c r="IIK10" s="533"/>
      <c r="IIL10" s="533"/>
      <c r="IIM10" s="533"/>
      <c r="IIN10" s="533"/>
      <c r="IIO10" s="533"/>
      <c r="IIP10" s="533"/>
      <c r="IIQ10" s="533"/>
      <c r="IIR10" s="533"/>
      <c r="IIS10" s="533"/>
      <c r="IIT10" s="533"/>
      <c r="IIU10" s="533"/>
      <c r="IIV10" s="533"/>
      <c r="IIW10" s="533"/>
      <c r="IIX10" s="533"/>
      <c r="IIY10" s="533"/>
      <c r="IIZ10" s="533"/>
      <c r="IJA10" s="533"/>
      <c r="IJB10" s="533"/>
      <c r="IJC10" s="533"/>
      <c r="IJD10" s="533"/>
      <c r="IJE10" s="533"/>
      <c r="IJF10" s="533"/>
      <c r="IJG10" s="533"/>
      <c r="IJH10" s="533"/>
      <c r="IJI10" s="533"/>
      <c r="IJJ10" s="533"/>
      <c r="IJK10" s="533"/>
      <c r="IJL10" s="533"/>
      <c r="IJM10" s="533"/>
      <c r="IJN10" s="533"/>
      <c r="IJO10" s="533"/>
      <c r="IJP10" s="533"/>
      <c r="IJQ10" s="533"/>
      <c r="IJR10" s="533"/>
      <c r="IJS10" s="533"/>
      <c r="IJT10" s="533"/>
      <c r="IJU10" s="533"/>
      <c r="IJV10" s="533"/>
      <c r="IJW10" s="533"/>
      <c r="IJX10" s="533"/>
      <c r="IJY10" s="533"/>
      <c r="IJZ10" s="533"/>
      <c r="IKA10" s="533"/>
      <c r="IKB10" s="533"/>
      <c r="IKC10" s="533"/>
      <c r="IKD10" s="533"/>
      <c r="IKE10" s="533"/>
      <c r="IKF10" s="533"/>
      <c r="IKG10" s="533"/>
      <c r="IKH10" s="533"/>
      <c r="IKI10" s="533"/>
      <c r="IKJ10" s="533"/>
      <c r="IKK10" s="533"/>
      <c r="IKL10" s="533"/>
      <c r="IKM10" s="533"/>
      <c r="IKN10" s="533"/>
      <c r="IKO10" s="533"/>
      <c r="IKP10" s="533"/>
      <c r="IKQ10" s="533"/>
      <c r="IKR10" s="533"/>
      <c r="IKS10" s="533"/>
      <c r="IKT10" s="533"/>
      <c r="IKU10" s="533"/>
      <c r="IKV10" s="533"/>
      <c r="IKW10" s="533"/>
      <c r="IKX10" s="533"/>
      <c r="IKY10" s="533"/>
      <c r="IKZ10" s="533"/>
      <c r="ILA10" s="533"/>
      <c r="ILB10" s="533"/>
      <c r="ILC10" s="533"/>
      <c r="ILD10" s="533"/>
      <c r="ILE10" s="533"/>
      <c r="ILF10" s="533"/>
      <c r="ILG10" s="533"/>
      <c r="ILH10" s="533"/>
      <c r="ILI10" s="533"/>
      <c r="ILJ10" s="533"/>
      <c r="ILK10" s="533"/>
      <c r="ILL10" s="533"/>
      <c r="ILM10" s="533"/>
      <c r="ILN10" s="533"/>
      <c r="ILO10" s="533"/>
      <c r="ILP10" s="533"/>
      <c r="ILQ10" s="533"/>
      <c r="ILR10" s="533"/>
      <c r="ILS10" s="533"/>
      <c r="ILT10" s="533"/>
      <c r="ILU10" s="533"/>
      <c r="ILV10" s="533"/>
      <c r="ILW10" s="533"/>
      <c r="ILX10" s="533"/>
      <c r="ILY10" s="533"/>
      <c r="ILZ10" s="533"/>
      <c r="IMA10" s="533"/>
      <c r="IMB10" s="533"/>
      <c r="IMC10" s="533"/>
      <c r="IMD10" s="533"/>
      <c r="IME10" s="533"/>
      <c r="IMF10" s="533"/>
      <c r="IMG10" s="533"/>
      <c r="IMH10" s="533"/>
      <c r="IMI10" s="533"/>
      <c r="IMJ10" s="533"/>
      <c r="IMK10" s="533"/>
      <c r="IML10" s="533"/>
      <c r="IMM10" s="533"/>
      <c r="IMN10" s="533"/>
      <c r="IMO10" s="533"/>
      <c r="IMP10" s="533"/>
      <c r="IMQ10" s="533"/>
      <c r="IMR10" s="533"/>
      <c r="IMS10" s="533"/>
      <c r="IMT10" s="533"/>
      <c r="IMU10" s="533"/>
      <c r="IMV10" s="533"/>
      <c r="IMW10" s="533"/>
      <c r="IMX10" s="533"/>
      <c r="IMY10" s="533"/>
      <c r="IMZ10" s="533"/>
      <c r="INA10" s="533"/>
      <c r="INB10" s="533"/>
      <c r="INC10" s="533"/>
      <c r="IND10" s="533"/>
      <c r="INE10" s="533"/>
      <c r="INF10" s="533"/>
      <c r="ING10" s="533"/>
      <c r="INH10" s="533"/>
      <c r="INI10" s="533"/>
      <c r="INJ10" s="533"/>
      <c r="INK10" s="533"/>
      <c r="INL10" s="533"/>
      <c r="INM10" s="533"/>
      <c r="INN10" s="533"/>
      <c r="INO10" s="533"/>
      <c r="INP10" s="533"/>
      <c r="INQ10" s="533"/>
      <c r="INR10" s="533"/>
      <c r="INS10" s="533"/>
      <c r="INT10" s="533"/>
      <c r="INU10" s="533"/>
      <c r="INV10" s="533"/>
      <c r="INW10" s="533"/>
      <c r="INX10" s="533"/>
      <c r="INY10" s="533"/>
      <c r="INZ10" s="533"/>
      <c r="IOA10" s="533"/>
      <c r="IOB10" s="533"/>
      <c r="IOC10" s="533"/>
      <c r="IOD10" s="533"/>
      <c r="IOE10" s="533"/>
      <c r="IOF10" s="533"/>
      <c r="IOG10" s="533"/>
      <c r="IOH10" s="533"/>
      <c r="IOI10" s="533"/>
      <c r="IOJ10" s="533"/>
      <c r="IOK10" s="533"/>
      <c r="IOL10" s="533"/>
      <c r="IOM10" s="533"/>
      <c r="ION10" s="533"/>
      <c r="IOO10" s="533"/>
      <c r="IOP10" s="533"/>
      <c r="IOQ10" s="533"/>
      <c r="IOR10" s="533"/>
      <c r="IOS10" s="533"/>
      <c r="IOT10" s="533"/>
      <c r="IOU10" s="533"/>
      <c r="IOV10" s="533"/>
      <c r="IOW10" s="533"/>
      <c r="IOX10" s="533"/>
      <c r="IOY10" s="533"/>
      <c r="IOZ10" s="533"/>
      <c r="IPA10" s="533"/>
      <c r="IPB10" s="533"/>
      <c r="IPC10" s="533"/>
      <c r="IPD10" s="533"/>
      <c r="IPE10" s="533"/>
      <c r="IPF10" s="533"/>
      <c r="IPG10" s="533"/>
      <c r="IPH10" s="533"/>
      <c r="IPI10" s="533"/>
      <c r="IPJ10" s="533"/>
      <c r="IPK10" s="533"/>
      <c r="IPL10" s="533"/>
      <c r="IPM10" s="533"/>
      <c r="IPN10" s="533"/>
      <c r="IPO10" s="533"/>
      <c r="IPP10" s="533"/>
      <c r="IPQ10" s="533"/>
      <c r="IPR10" s="533"/>
      <c r="IPS10" s="533"/>
      <c r="IPT10" s="533"/>
      <c r="IPU10" s="533"/>
      <c r="IPV10" s="533"/>
      <c r="IPW10" s="533"/>
      <c r="IPX10" s="533"/>
      <c r="IPY10" s="533"/>
      <c r="IPZ10" s="533"/>
      <c r="IQA10" s="533"/>
      <c r="IQB10" s="533"/>
      <c r="IQC10" s="533"/>
      <c r="IQD10" s="533"/>
      <c r="IQE10" s="533"/>
      <c r="IQF10" s="533"/>
      <c r="IQG10" s="533"/>
      <c r="IQH10" s="533"/>
      <c r="IQI10" s="533"/>
      <c r="IQJ10" s="533"/>
      <c r="IQK10" s="533"/>
      <c r="IQL10" s="533"/>
      <c r="IQM10" s="533"/>
      <c r="IQN10" s="533"/>
      <c r="IQO10" s="533"/>
      <c r="IQP10" s="533"/>
      <c r="IQQ10" s="533"/>
      <c r="IQR10" s="533"/>
      <c r="IQS10" s="533"/>
      <c r="IQT10" s="533"/>
      <c r="IQU10" s="533"/>
      <c r="IQV10" s="533"/>
      <c r="IQW10" s="533"/>
      <c r="IQX10" s="533"/>
      <c r="IQY10" s="533"/>
      <c r="IQZ10" s="533"/>
      <c r="IRA10" s="533"/>
      <c r="IRB10" s="533"/>
      <c r="IRC10" s="533"/>
      <c r="IRD10" s="533"/>
      <c r="IRE10" s="533"/>
      <c r="IRF10" s="533"/>
      <c r="IRG10" s="533"/>
      <c r="IRH10" s="533"/>
      <c r="IRI10" s="533"/>
      <c r="IRJ10" s="533"/>
      <c r="IRK10" s="533"/>
      <c r="IRL10" s="533"/>
      <c r="IRM10" s="533"/>
      <c r="IRN10" s="533"/>
      <c r="IRO10" s="533"/>
      <c r="IRP10" s="533"/>
      <c r="IRQ10" s="533"/>
      <c r="IRR10" s="533"/>
      <c r="IRS10" s="533"/>
      <c r="IRT10" s="533"/>
      <c r="IRU10" s="533"/>
      <c r="IRV10" s="533"/>
      <c r="IRW10" s="533"/>
      <c r="IRX10" s="533"/>
      <c r="IRY10" s="533"/>
      <c r="IRZ10" s="533"/>
      <c r="ISA10" s="533"/>
      <c r="ISB10" s="533"/>
      <c r="ISC10" s="533"/>
      <c r="ISD10" s="533"/>
      <c r="ISE10" s="533"/>
      <c r="ISF10" s="533"/>
      <c r="ISG10" s="533"/>
      <c r="ISH10" s="533"/>
      <c r="ISI10" s="533"/>
      <c r="ISJ10" s="533"/>
      <c r="ISK10" s="533"/>
      <c r="ISL10" s="533"/>
      <c r="ISM10" s="533"/>
      <c r="ISN10" s="533"/>
      <c r="ISO10" s="533"/>
      <c r="ISP10" s="533"/>
      <c r="ISQ10" s="533"/>
      <c r="ISR10" s="533"/>
      <c r="ISS10" s="533"/>
      <c r="IST10" s="533"/>
      <c r="ISU10" s="533"/>
      <c r="ISV10" s="533"/>
      <c r="ISW10" s="533"/>
      <c r="ISX10" s="533"/>
      <c r="ISY10" s="533"/>
      <c r="ISZ10" s="533"/>
      <c r="ITA10" s="533"/>
      <c r="ITB10" s="533"/>
      <c r="ITC10" s="533"/>
      <c r="ITD10" s="533"/>
      <c r="ITE10" s="533"/>
      <c r="ITF10" s="533"/>
      <c r="ITG10" s="533"/>
      <c r="ITH10" s="533"/>
      <c r="ITI10" s="533"/>
      <c r="ITJ10" s="533"/>
      <c r="ITK10" s="533"/>
      <c r="ITL10" s="533"/>
      <c r="ITM10" s="533"/>
      <c r="ITN10" s="533"/>
      <c r="ITO10" s="533"/>
      <c r="ITP10" s="533"/>
      <c r="ITQ10" s="533"/>
      <c r="ITR10" s="533"/>
      <c r="ITS10" s="533"/>
      <c r="ITT10" s="533"/>
      <c r="ITU10" s="533"/>
      <c r="ITV10" s="533"/>
      <c r="ITW10" s="533"/>
      <c r="ITX10" s="533"/>
      <c r="ITY10" s="533"/>
      <c r="ITZ10" s="533"/>
      <c r="IUA10" s="533"/>
      <c r="IUB10" s="533"/>
      <c r="IUC10" s="533"/>
      <c r="IUD10" s="533"/>
      <c r="IUE10" s="533"/>
      <c r="IUF10" s="533"/>
      <c r="IUG10" s="533"/>
      <c r="IUH10" s="533"/>
      <c r="IUI10" s="533"/>
      <c r="IUJ10" s="533"/>
      <c r="IUK10" s="533"/>
      <c r="IUL10" s="533"/>
      <c r="IUM10" s="533"/>
      <c r="IUN10" s="533"/>
      <c r="IUO10" s="533"/>
      <c r="IUP10" s="533"/>
      <c r="IUQ10" s="533"/>
      <c r="IUR10" s="533"/>
      <c r="IUS10" s="533"/>
      <c r="IUT10" s="533"/>
      <c r="IUU10" s="533"/>
      <c r="IUV10" s="533"/>
      <c r="IUW10" s="533"/>
      <c r="IUX10" s="533"/>
      <c r="IUY10" s="533"/>
      <c r="IUZ10" s="533"/>
      <c r="IVA10" s="533"/>
      <c r="IVB10" s="533"/>
      <c r="IVC10" s="533"/>
      <c r="IVD10" s="533"/>
      <c r="IVE10" s="533"/>
      <c r="IVF10" s="533"/>
      <c r="IVG10" s="533"/>
      <c r="IVH10" s="533"/>
      <c r="IVI10" s="533"/>
      <c r="IVJ10" s="533"/>
      <c r="IVK10" s="533"/>
      <c r="IVL10" s="533"/>
      <c r="IVM10" s="533"/>
      <c r="IVN10" s="533"/>
      <c r="IVO10" s="533"/>
      <c r="IVP10" s="533"/>
      <c r="IVQ10" s="533"/>
      <c r="IVR10" s="533"/>
      <c r="IVS10" s="533"/>
      <c r="IVT10" s="533"/>
      <c r="IVU10" s="533"/>
      <c r="IVV10" s="533"/>
      <c r="IVW10" s="533"/>
      <c r="IVX10" s="533"/>
      <c r="IVY10" s="533"/>
      <c r="IVZ10" s="533"/>
      <c r="IWA10" s="533"/>
      <c r="IWB10" s="533"/>
      <c r="IWC10" s="533"/>
      <c r="IWD10" s="533"/>
      <c r="IWE10" s="533"/>
      <c r="IWF10" s="533"/>
      <c r="IWG10" s="533"/>
      <c r="IWH10" s="533"/>
      <c r="IWI10" s="533"/>
      <c r="IWJ10" s="533"/>
      <c r="IWK10" s="533"/>
      <c r="IWL10" s="533"/>
      <c r="IWM10" s="533"/>
      <c r="IWN10" s="533"/>
      <c r="IWO10" s="533"/>
      <c r="IWP10" s="533"/>
      <c r="IWQ10" s="533"/>
      <c r="IWR10" s="533"/>
      <c r="IWS10" s="533"/>
      <c r="IWT10" s="533"/>
      <c r="IWU10" s="533"/>
      <c r="IWV10" s="533"/>
      <c r="IWW10" s="533"/>
      <c r="IWX10" s="533"/>
      <c r="IWY10" s="533"/>
      <c r="IWZ10" s="533"/>
      <c r="IXA10" s="533"/>
      <c r="IXB10" s="533"/>
      <c r="IXC10" s="533"/>
      <c r="IXD10" s="533"/>
      <c r="IXE10" s="533"/>
      <c r="IXF10" s="533"/>
      <c r="IXG10" s="533"/>
      <c r="IXH10" s="533"/>
      <c r="IXI10" s="533"/>
      <c r="IXJ10" s="533"/>
      <c r="IXK10" s="533"/>
      <c r="IXL10" s="533"/>
      <c r="IXM10" s="533"/>
      <c r="IXN10" s="533"/>
      <c r="IXO10" s="533"/>
      <c r="IXP10" s="533"/>
      <c r="IXQ10" s="533"/>
      <c r="IXR10" s="533"/>
      <c r="IXS10" s="533"/>
      <c r="IXT10" s="533"/>
      <c r="IXU10" s="533"/>
      <c r="IXV10" s="533"/>
      <c r="IXW10" s="533"/>
      <c r="IXX10" s="533"/>
      <c r="IXY10" s="533"/>
      <c r="IXZ10" s="533"/>
      <c r="IYA10" s="533"/>
      <c r="IYB10" s="533"/>
      <c r="IYC10" s="533"/>
      <c r="IYD10" s="533"/>
      <c r="IYE10" s="533"/>
      <c r="IYF10" s="533"/>
      <c r="IYG10" s="533"/>
      <c r="IYH10" s="533"/>
      <c r="IYI10" s="533"/>
      <c r="IYJ10" s="533"/>
      <c r="IYK10" s="533"/>
      <c r="IYL10" s="533"/>
      <c r="IYM10" s="533"/>
      <c r="IYN10" s="533"/>
      <c r="IYO10" s="533"/>
      <c r="IYP10" s="533"/>
      <c r="IYQ10" s="533"/>
      <c r="IYR10" s="533"/>
      <c r="IYS10" s="533"/>
      <c r="IYT10" s="533"/>
      <c r="IYU10" s="533"/>
      <c r="IYV10" s="533"/>
      <c r="IYW10" s="533"/>
      <c r="IYX10" s="533"/>
      <c r="IYY10" s="533"/>
      <c r="IYZ10" s="533"/>
      <c r="IZA10" s="533"/>
      <c r="IZB10" s="533"/>
      <c r="IZC10" s="533"/>
      <c r="IZD10" s="533"/>
      <c r="IZE10" s="533"/>
      <c r="IZF10" s="533"/>
      <c r="IZG10" s="533"/>
      <c r="IZH10" s="533"/>
      <c r="IZI10" s="533"/>
      <c r="IZJ10" s="533"/>
      <c r="IZK10" s="533"/>
      <c r="IZL10" s="533"/>
      <c r="IZM10" s="533"/>
      <c r="IZN10" s="533"/>
      <c r="IZO10" s="533"/>
      <c r="IZP10" s="533"/>
      <c r="IZQ10" s="533"/>
      <c r="IZR10" s="533"/>
      <c r="IZS10" s="533"/>
      <c r="IZT10" s="533"/>
      <c r="IZU10" s="533"/>
      <c r="IZV10" s="533"/>
      <c r="IZW10" s="533"/>
      <c r="IZX10" s="533"/>
      <c r="IZY10" s="533"/>
      <c r="IZZ10" s="533"/>
      <c r="JAA10" s="533"/>
      <c r="JAB10" s="533"/>
      <c r="JAC10" s="533"/>
      <c r="JAD10" s="533"/>
      <c r="JAE10" s="533"/>
      <c r="JAF10" s="533"/>
      <c r="JAG10" s="533"/>
      <c r="JAH10" s="533"/>
      <c r="JAI10" s="533"/>
      <c r="JAJ10" s="533"/>
      <c r="JAK10" s="533"/>
      <c r="JAL10" s="533"/>
      <c r="JAM10" s="533"/>
      <c r="JAN10" s="533"/>
      <c r="JAO10" s="533"/>
      <c r="JAP10" s="533"/>
      <c r="JAQ10" s="533"/>
      <c r="JAR10" s="533"/>
      <c r="JAS10" s="533"/>
      <c r="JAT10" s="533"/>
      <c r="JAU10" s="533"/>
      <c r="JAV10" s="533"/>
      <c r="JAW10" s="533"/>
      <c r="JAX10" s="533"/>
      <c r="JAY10" s="533"/>
      <c r="JAZ10" s="533"/>
      <c r="JBA10" s="533"/>
      <c r="JBB10" s="533"/>
      <c r="JBC10" s="533"/>
      <c r="JBD10" s="533"/>
      <c r="JBE10" s="533"/>
      <c r="JBF10" s="533"/>
      <c r="JBG10" s="533"/>
      <c r="JBH10" s="533"/>
      <c r="JBI10" s="533"/>
      <c r="JBJ10" s="533"/>
      <c r="JBK10" s="533"/>
      <c r="JBL10" s="533"/>
      <c r="JBM10" s="533"/>
      <c r="JBN10" s="533"/>
      <c r="JBO10" s="533"/>
      <c r="JBP10" s="533"/>
      <c r="JBQ10" s="533"/>
      <c r="JBR10" s="533"/>
      <c r="JBS10" s="533"/>
      <c r="JBT10" s="533"/>
      <c r="JBU10" s="533"/>
      <c r="JBV10" s="533"/>
      <c r="JBW10" s="533"/>
      <c r="JBX10" s="533"/>
      <c r="JBY10" s="533"/>
      <c r="JBZ10" s="533"/>
      <c r="JCA10" s="533"/>
      <c r="JCB10" s="533"/>
      <c r="JCC10" s="533"/>
      <c r="JCD10" s="533"/>
      <c r="JCE10" s="533"/>
      <c r="JCF10" s="533"/>
      <c r="JCG10" s="533"/>
      <c r="JCH10" s="533"/>
      <c r="JCI10" s="533"/>
      <c r="JCJ10" s="533"/>
      <c r="JCK10" s="533"/>
      <c r="JCL10" s="533"/>
      <c r="JCM10" s="533"/>
      <c r="JCN10" s="533"/>
      <c r="JCO10" s="533"/>
      <c r="JCP10" s="533"/>
      <c r="JCQ10" s="533"/>
      <c r="JCR10" s="533"/>
      <c r="JCS10" s="533"/>
      <c r="JCT10" s="533"/>
      <c r="JCU10" s="533"/>
      <c r="JCV10" s="533"/>
      <c r="JCW10" s="533"/>
      <c r="JCX10" s="533"/>
      <c r="JCY10" s="533"/>
      <c r="JCZ10" s="533"/>
      <c r="JDA10" s="533"/>
      <c r="JDB10" s="533"/>
      <c r="JDC10" s="533"/>
      <c r="JDD10" s="533"/>
      <c r="JDE10" s="533"/>
      <c r="JDF10" s="533"/>
      <c r="JDG10" s="533"/>
      <c r="JDH10" s="533"/>
      <c r="JDI10" s="533"/>
      <c r="JDJ10" s="533"/>
      <c r="JDK10" s="533"/>
      <c r="JDL10" s="533"/>
      <c r="JDM10" s="533"/>
      <c r="JDN10" s="533"/>
      <c r="JDO10" s="533"/>
      <c r="JDP10" s="533"/>
      <c r="JDQ10" s="533"/>
      <c r="JDR10" s="533"/>
      <c r="JDS10" s="533"/>
      <c r="JDT10" s="533"/>
      <c r="JDU10" s="533"/>
      <c r="JDV10" s="533"/>
      <c r="JDW10" s="533"/>
      <c r="JDX10" s="533"/>
      <c r="JDY10" s="533"/>
      <c r="JDZ10" s="533"/>
      <c r="JEA10" s="533"/>
      <c r="JEB10" s="533"/>
      <c r="JEC10" s="533"/>
      <c r="JED10" s="533"/>
      <c r="JEE10" s="533"/>
      <c r="JEF10" s="533"/>
      <c r="JEG10" s="533"/>
      <c r="JEH10" s="533"/>
      <c r="JEI10" s="533"/>
      <c r="JEJ10" s="533"/>
      <c r="JEK10" s="533"/>
      <c r="JEL10" s="533"/>
      <c r="JEM10" s="533"/>
      <c r="JEN10" s="533"/>
      <c r="JEO10" s="533"/>
      <c r="JEP10" s="533"/>
      <c r="JEQ10" s="533"/>
      <c r="JER10" s="533"/>
      <c r="JES10" s="533"/>
      <c r="JET10" s="533"/>
      <c r="JEU10" s="533"/>
      <c r="JEV10" s="533"/>
      <c r="JEW10" s="533"/>
      <c r="JEX10" s="533"/>
      <c r="JEY10" s="533"/>
      <c r="JEZ10" s="533"/>
      <c r="JFA10" s="533"/>
      <c r="JFB10" s="533"/>
      <c r="JFC10" s="533"/>
      <c r="JFD10" s="533"/>
      <c r="JFE10" s="533"/>
      <c r="JFF10" s="533"/>
      <c r="JFG10" s="533"/>
      <c r="JFH10" s="533"/>
      <c r="JFI10" s="533"/>
      <c r="JFJ10" s="533"/>
      <c r="JFK10" s="533"/>
      <c r="JFL10" s="533"/>
      <c r="JFM10" s="533"/>
      <c r="JFN10" s="533"/>
      <c r="JFO10" s="533"/>
      <c r="JFP10" s="533"/>
      <c r="JFQ10" s="533"/>
      <c r="JFR10" s="533"/>
      <c r="JFS10" s="533"/>
      <c r="JFT10" s="533"/>
      <c r="JFU10" s="533"/>
      <c r="JFV10" s="533"/>
      <c r="JFW10" s="533"/>
      <c r="JFX10" s="533"/>
      <c r="JFY10" s="533"/>
      <c r="JFZ10" s="533"/>
      <c r="JGA10" s="533"/>
      <c r="JGB10" s="533"/>
      <c r="JGC10" s="533"/>
      <c r="JGD10" s="533"/>
      <c r="JGE10" s="533"/>
      <c r="JGF10" s="533"/>
      <c r="JGG10" s="533"/>
      <c r="JGH10" s="533"/>
      <c r="JGI10" s="533"/>
      <c r="JGJ10" s="533"/>
      <c r="JGK10" s="533"/>
      <c r="JGL10" s="533"/>
      <c r="JGM10" s="533"/>
      <c r="JGN10" s="533"/>
      <c r="JGO10" s="533"/>
      <c r="JGP10" s="533"/>
      <c r="JGQ10" s="533"/>
      <c r="JGR10" s="533"/>
      <c r="JGS10" s="533"/>
      <c r="JGT10" s="533"/>
      <c r="JGU10" s="533"/>
      <c r="JGV10" s="533"/>
      <c r="JGW10" s="533"/>
      <c r="JGX10" s="533"/>
      <c r="JGY10" s="533"/>
      <c r="JGZ10" s="533"/>
      <c r="JHA10" s="533"/>
      <c r="JHB10" s="533"/>
      <c r="JHC10" s="533"/>
      <c r="JHD10" s="533"/>
      <c r="JHE10" s="533"/>
      <c r="JHF10" s="533"/>
      <c r="JHG10" s="533"/>
      <c r="JHH10" s="533"/>
      <c r="JHI10" s="533"/>
      <c r="JHJ10" s="533"/>
      <c r="JHK10" s="533"/>
      <c r="JHL10" s="533"/>
      <c r="JHM10" s="533"/>
      <c r="JHN10" s="533"/>
      <c r="JHO10" s="533"/>
      <c r="JHP10" s="533"/>
      <c r="JHQ10" s="533"/>
      <c r="JHR10" s="533"/>
      <c r="JHS10" s="533"/>
      <c r="JHT10" s="533"/>
      <c r="JHU10" s="533"/>
      <c r="JHV10" s="533"/>
      <c r="JHW10" s="533"/>
      <c r="JHX10" s="533"/>
      <c r="JHY10" s="533"/>
      <c r="JHZ10" s="533"/>
      <c r="JIA10" s="533"/>
      <c r="JIB10" s="533"/>
      <c r="JIC10" s="533"/>
      <c r="JID10" s="533"/>
      <c r="JIE10" s="533"/>
      <c r="JIF10" s="533"/>
      <c r="JIG10" s="533"/>
      <c r="JIH10" s="533"/>
      <c r="JII10" s="533"/>
      <c r="JIJ10" s="533"/>
      <c r="JIK10" s="533"/>
      <c r="JIL10" s="533"/>
      <c r="JIM10" s="533"/>
      <c r="JIN10" s="533"/>
      <c r="JIO10" s="533"/>
      <c r="JIP10" s="533"/>
      <c r="JIQ10" s="533"/>
      <c r="JIR10" s="533"/>
      <c r="JIS10" s="533"/>
      <c r="JIT10" s="533"/>
      <c r="JIU10" s="533"/>
      <c r="JIV10" s="533"/>
      <c r="JIW10" s="533"/>
      <c r="JIX10" s="533"/>
      <c r="JIY10" s="533"/>
      <c r="JIZ10" s="533"/>
      <c r="JJA10" s="533"/>
      <c r="JJB10" s="533"/>
      <c r="JJC10" s="533"/>
      <c r="JJD10" s="533"/>
      <c r="JJE10" s="533"/>
      <c r="JJF10" s="533"/>
      <c r="JJG10" s="533"/>
      <c r="JJH10" s="533"/>
      <c r="JJI10" s="533"/>
      <c r="JJJ10" s="533"/>
      <c r="JJK10" s="533"/>
      <c r="JJL10" s="533"/>
      <c r="JJM10" s="533"/>
      <c r="JJN10" s="533"/>
      <c r="JJO10" s="533"/>
      <c r="JJP10" s="533"/>
      <c r="JJQ10" s="533"/>
      <c r="JJR10" s="533"/>
      <c r="JJS10" s="533"/>
      <c r="JJT10" s="533"/>
      <c r="JJU10" s="533"/>
      <c r="JJV10" s="533"/>
      <c r="JJW10" s="533"/>
      <c r="JJX10" s="533"/>
      <c r="JJY10" s="533"/>
      <c r="JJZ10" s="533"/>
      <c r="JKA10" s="533"/>
      <c r="JKB10" s="533"/>
      <c r="JKC10" s="533"/>
      <c r="JKD10" s="533"/>
      <c r="JKE10" s="533"/>
      <c r="JKF10" s="533"/>
      <c r="JKG10" s="533"/>
      <c r="JKH10" s="533"/>
      <c r="JKI10" s="533"/>
      <c r="JKJ10" s="533"/>
      <c r="JKK10" s="533"/>
      <c r="JKL10" s="533"/>
      <c r="JKM10" s="533"/>
      <c r="JKN10" s="533"/>
      <c r="JKO10" s="533"/>
      <c r="JKP10" s="533"/>
      <c r="JKQ10" s="533"/>
      <c r="JKR10" s="533"/>
      <c r="JKS10" s="533"/>
      <c r="JKT10" s="533"/>
      <c r="JKU10" s="533"/>
      <c r="JKV10" s="533"/>
      <c r="JKW10" s="533"/>
      <c r="JKX10" s="533"/>
      <c r="JKY10" s="533"/>
      <c r="JKZ10" s="533"/>
      <c r="JLA10" s="533"/>
      <c r="JLB10" s="533"/>
      <c r="JLC10" s="533"/>
      <c r="JLD10" s="533"/>
      <c r="JLE10" s="533"/>
      <c r="JLF10" s="533"/>
      <c r="JLG10" s="533"/>
      <c r="JLH10" s="533"/>
      <c r="JLI10" s="533"/>
      <c r="JLJ10" s="533"/>
      <c r="JLK10" s="533"/>
      <c r="JLL10" s="533"/>
      <c r="JLM10" s="533"/>
      <c r="JLN10" s="533"/>
      <c r="JLO10" s="533"/>
      <c r="JLP10" s="533"/>
      <c r="JLQ10" s="533"/>
      <c r="JLR10" s="533"/>
      <c r="JLS10" s="533"/>
      <c r="JLT10" s="533"/>
      <c r="JLU10" s="533"/>
      <c r="JLV10" s="533"/>
      <c r="JLW10" s="533"/>
      <c r="JLX10" s="533"/>
      <c r="JLY10" s="533"/>
      <c r="JLZ10" s="533"/>
      <c r="JMA10" s="533"/>
      <c r="JMB10" s="533"/>
      <c r="JMC10" s="533"/>
      <c r="JMD10" s="533"/>
      <c r="JME10" s="533"/>
      <c r="JMF10" s="533"/>
      <c r="JMG10" s="533"/>
      <c r="JMH10" s="533"/>
      <c r="JMI10" s="533"/>
      <c r="JMJ10" s="533"/>
      <c r="JMK10" s="533"/>
      <c r="JML10" s="533"/>
      <c r="JMM10" s="533"/>
      <c r="JMN10" s="533"/>
      <c r="JMO10" s="533"/>
      <c r="JMP10" s="533"/>
      <c r="JMQ10" s="533"/>
      <c r="JMR10" s="533"/>
      <c r="JMS10" s="533"/>
      <c r="JMT10" s="533"/>
      <c r="JMU10" s="533"/>
      <c r="JMV10" s="533"/>
      <c r="JMW10" s="533"/>
      <c r="JMX10" s="533"/>
      <c r="JMY10" s="533"/>
      <c r="JMZ10" s="533"/>
      <c r="JNA10" s="533"/>
      <c r="JNB10" s="533"/>
      <c r="JNC10" s="533"/>
      <c r="JND10" s="533"/>
      <c r="JNE10" s="533"/>
      <c r="JNF10" s="533"/>
      <c r="JNG10" s="533"/>
      <c r="JNH10" s="533"/>
      <c r="JNI10" s="533"/>
      <c r="JNJ10" s="533"/>
      <c r="JNK10" s="533"/>
      <c r="JNL10" s="533"/>
      <c r="JNM10" s="533"/>
      <c r="JNN10" s="533"/>
      <c r="JNO10" s="533"/>
      <c r="JNP10" s="533"/>
      <c r="JNQ10" s="533"/>
      <c r="JNR10" s="533"/>
      <c r="JNS10" s="533"/>
      <c r="JNT10" s="533"/>
      <c r="JNU10" s="533"/>
      <c r="JNV10" s="533"/>
      <c r="JNW10" s="533"/>
      <c r="JNX10" s="533"/>
      <c r="JNY10" s="533"/>
      <c r="JNZ10" s="533"/>
      <c r="JOA10" s="533"/>
      <c r="JOB10" s="533"/>
      <c r="JOC10" s="533"/>
      <c r="JOD10" s="533"/>
      <c r="JOE10" s="533"/>
      <c r="JOF10" s="533"/>
      <c r="JOG10" s="533"/>
      <c r="JOH10" s="533"/>
      <c r="JOI10" s="533"/>
      <c r="JOJ10" s="533"/>
      <c r="JOK10" s="533"/>
      <c r="JOL10" s="533"/>
      <c r="JOM10" s="533"/>
      <c r="JON10" s="533"/>
      <c r="JOO10" s="533"/>
      <c r="JOP10" s="533"/>
      <c r="JOQ10" s="533"/>
      <c r="JOR10" s="533"/>
      <c r="JOS10" s="533"/>
      <c r="JOT10" s="533"/>
      <c r="JOU10" s="533"/>
      <c r="JOV10" s="533"/>
      <c r="JOW10" s="533"/>
      <c r="JOX10" s="533"/>
      <c r="JOY10" s="533"/>
      <c r="JOZ10" s="533"/>
      <c r="JPA10" s="533"/>
      <c r="JPB10" s="533"/>
      <c r="JPC10" s="533"/>
      <c r="JPD10" s="533"/>
      <c r="JPE10" s="533"/>
      <c r="JPF10" s="533"/>
      <c r="JPG10" s="533"/>
      <c r="JPH10" s="533"/>
      <c r="JPI10" s="533"/>
      <c r="JPJ10" s="533"/>
      <c r="JPK10" s="533"/>
      <c r="JPL10" s="533"/>
      <c r="JPM10" s="533"/>
      <c r="JPN10" s="533"/>
      <c r="JPO10" s="533"/>
      <c r="JPP10" s="533"/>
      <c r="JPQ10" s="533"/>
      <c r="JPR10" s="533"/>
      <c r="JPS10" s="533"/>
      <c r="JPT10" s="533"/>
      <c r="JPU10" s="533"/>
      <c r="JPV10" s="533"/>
      <c r="JPW10" s="533"/>
      <c r="JPX10" s="533"/>
      <c r="JPY10" s="533"/>
      <c r="JPZ10" s="533"/>
      <c r="JQA10" s="533"/>
      <c r="JQB10" s="533"/>
      <c r="JQC10" s="533"/>
      <c r="JQD10" s="533"/>
      <c r="JQE10" s="533"/>
      <c r="JQF10" s="533"/>
      <c r="JQG10" s="533"/>
      <c r="JQH10" s="533"/>
      <c r="JQI10" s="533"/>
      <c r="JQJ10" s="533"/>
      <c r="JQK10" s="533"/>
      <c r="JQL10" s="533"/>
      <c r="JQM10" s="533"/>
      <c r="JQN10" s="533"/>
      <c r="JQO10" s="533"/>
      <c r="JQP10" s="533"/>
      <c r="JQQ10" s="533"/>
      <c r="JQR10" s="533"/>
      <c r="JQS10" s="533"/>
      <c r="JQT10" s="533"/>
      <c r="JQU10" s="533"/>
      <c r="JQV10" s="533"/>
      <c r="JQW10" s="533"/>
      <c r="JQX10" s="533"/>
      <c r="JQY10" s="533"/>
      <c r="JQZ10" s="533"/>
      <c r="JRA10" s="533"/>
      <c r="JRB10" s="533"/>
      <c r="JRC10" s="533"/>
      <c r="JRD10" s="533"/>
      <c r="JRE10" s="533"/>
      <c r="JRF10" s="533"/>
      <c r="JRG10" s="533"/>
      <c r="JRH10" s="533"/>
      <c r="JRI10" s="533"/>
      <c r="JRJ10" s="533"/>
      <c r="JRK10" s="533"/>
      <c r="JRL10" s="533"/>
      <c r="JRM10" s="533"/>
      <c r="JRN10" s="533"/>
      <c r="JRO10" s="533"/>
      <c r="JRP10" s="533"/>
      <c r="JRQ10" s="533"/>
      <c r="JRR10" s="533"/>
      <c r="JRS10" s="533"/>
      <c r="JRT10" s="533"/>
      <c r="JRU10" s="533"/>
      <c r="JRV10" s="533"/>
      <c r="JRW10" s="533"/>
      <c r="JRX10" s="533"/>
      <c r="JRY10" s="533"/>
      <c r="JRZ10" s="533"/>
      <c r="JSA10" s="533"/>
      <c r="JSB10" s="533"/>
      <c r="JSC10" s="533"/>
      <c r="JSD10" s="533"/>
      <c r="JSE10" s="533"/>
      <c r="JSF10" s="533"/>
      <c r="JSG10" s="533"/>
      <c r="JSH10" s="533"/>
      <c r="JSI10" s="533"/>
      <c r="JSJ10" s="533"/>
      <c r="JSK10" s="533"/>
      <c r="JSL10" s="533"/>
      <c r="JSM10" s="533"/>
      <c r="JSN10" s="533"/>
      <c r="JSO10" s="533"/>
      <c r="JSP10" s="533"/>
      <c r="JSQ10" s="533"/>
      <c r="JSR10" s="533"/>
      <c r="JSS10" s="533"/>
      <c r="JST10" s="533"/>
      <c r="JSU10" s="533"/>
      <c r="JSV10" s="533"/>
      <c r="JSW10" s="533"/>
      <c r="JSX10" s="533"/>
      <c r="JSY10" s="533"/>
      <c r="JSZ10" s="533"/>
      <c r="JTA10" s="533"/>
      <c r="JTB10" s="533"/>
      <c r="JTC10" s="533"/>
      <c r="JTD10" s="533"/>
      <c r="JTE10" s="533"/>
      <c r="JTF10" s="533"/>
      <c r="JTG10" s="533"/>
      <c r="JTH10" s="533"/>
      <c r="JTI10" s="533"/>
      <c r="JTJ10" s="533"/>
      <c r="JTK10" s="533"/>
      <c r="JTL10" s="533"/>
      <c r="JTM10" s="533"/>
      <c r="JTN10" s="533"/>
      <c r="JTO10" s="533"/>
      <c r="JTP10" s="533"/>
      <c r="JTQ10" s="533"/>
      <c r="JTR10" s="533"/>
      <c r="JTS10" s="533"/>
      <c r="JTT10" s="533"/>
      <c r="JTU10" s="533"/>
      <c r="JTV10" s="533"/>
      <c r="JTW10" s="533"/>
      <c r="JTX10" s="533"/>
      <c r="JTY10" s="533"/>
      <c r="JTZ10" s="533"/>
      <c r="JUA10" s="533"/>
      <c r="JUB10" s="533"/>
      <c r="JUC10" s="533"/>
      <c r="JUD10" s="533"/>
      <c r="JUE10" s="533"/>
      <c r="JUF10" s="533"/>
      <c r="JUG10" s="533"/>
      <c r="JUH10" s="533"/>
      <c r="JUI10" s="533"/>
      <c r="JUJ10" s="533"/>
      <c r="JUK10" s="533"/>
      <c r="JUL10" s="533"/>
      <c r="JUM10" s="533"/>
      <c r="JUN10" s="533"/>
      <c r="JUO10" s="533"/>
      <c r="JUP10" s="533"/>
      <c r="JUQ10" s="533"/>
      <c r="JUR10" s="533"/>
      <c r="JUS10" s="533"/>
      <c r="JUT10" s="533"/>
      <c r="JUU10" s="533"/>
      <c r="JUV10" s="533"/>
      <c r="JUW10" s="533"/>
      <c r="JUX10" s="533"/>
      <c r="JUY10" s="533"/>
      <c r="JUZ10" s="533"/>
      <c r="JVA10" s="533"/>
      <c r="JVB10" s="533"/>
      <c r="JVC10" s="533"/>
      <c r="JVD10" s="533"/>
      <c r="JVE10" s="533"/>
      <c r="JVF10" s="533"/>
      <c r="JVG10" s="533"/>
      <c r="JVH10" s="533"/>
      <c r="JVI10" s="533"/>
      <c r="JVJ10" s="533"/>
      <c r="JVK10" s="533"/>
      <c r="JVL10" s="533"/>
      <c r="JVM10" s="533"/>
      <c r="JVN10" s="533"/>
      <c r="JVO10" s="533"/>
      <c r="JVP10" s="533"/>
      <c r="JVQ10" s="533"/>
      <c r="JVR10" s="533"/>
      <c r="JVS10" s="533"/>
      <c r="JVT10" s="533"/>
      <c r="JVU10" s="533"/>
      <c r="JVV10" s="533"/>
      <c r="JVW10" s="533"/>
      <c r="JVX10" s="533"/>
      <c r="JVY10" s="533"/>
      <c r="JVZ10" s="533"/>
      <c r="JWA10" s="533"/>
      <c r="JWB10" s="533"/>
      <c r="JWC10" s="533"/>
      <c r="JWD10" s="533"/>
      <c r="JWE10" s="533"/>
      <c r="JWF10" s="533"/>
      <c r="JWG10" s="533"/>
      <c r="JWH10" s="533"/>
      <c r="JWI10" s="533"/>
      <c r="JWJ10" s="533"/>
      <c r="JWK10" s="533"/>
      <c r="JWL10" s="533"/>
      <c r="JWM10" s="533"/>
      <c r="JWN10" s="533"/>
      <c r="JWO10" s="533"/>
      <c r="JWP10" s="533"/>
      <c r="JWQ10" s="533"/>
      <c r="JWR10" s="533"/>
      <c r="JWS10" s="533"/>
      <c r="JWT10" s="533"/>
      <c r="JWU10" s="533"/>
      <c r="JWV10" s="533"/>
      <c r="JWW10" s="533"/>
      <c r="JWX10" s="533"/>
      <c r="JWY10" s="533"/>
      <c r="JWZ10" s="533"/>
      <c r="JXA10" s="533"/>
      <c r="JXB10" s="533"/>
      <c r="JXC10" s="533"/>
      <c r="JXD10" s="533"/>
      <c r="JXE10" s="533"/>
      <c r="JXF10" s="533"/>
      <c r="JXG10" s="533"/>
      <c r="JXH10" s="533"/>
      <c r="JXI10" s="533"/>
      <c r="JXJ10" s="533"/>
      <c r="JXK10" s="533"/>
      <c r="JXL10" s="533"/>
      <c r="JXM10" s="533"/>
      <c r="JXN10" s="533"/>
      <c r="JXO10" s="533"/>
      <c r="JXP10" s="533"/>
      <c r="JXQ10" s="533"/>
      <c r="JXR10" s="533"/>
      <c r="JXS10" s="533"/>
      <c r="JXT10" s="533"/>
      <c r="JXU10" s="533"/>
      <c r="JXV10" s="533"/>
      <c r="JXW10" s="533"/>
      <c r="JXX10" s="533"/>
      <c r="JXY10" s="533"/>
      <c r="JXZ10" s="533"/>
      <c r="JYA10" s="533"/>
      <c r="JYB10" s="533"/>
      <c r="JYC10" s="533"/>
      <c r="JYD10" s="533"/>
      <c r="JYE10" s="533"/>
      <c r="JYF10" s="533"/>
      <c r="JYG10" s="533"/>
      <c r="JYH10" s="533"/>
      <c r="JYI10" s="533"/>
      <c r="JYJ10" s="533"/>
      <c r="JYK10" s="533"/>
      <c r="JYL10" s="533"/>
      <c r="JYM10" s="533"/>
      <c r="JYN10" s="533"/>
      <c r="JYO10" s="533"/>
      <c r="JYP10" s="533"/>
      <c r="JYQ10" s="533"/>
      <c r="JYR10" s="533"/>
      <c r="JYS10" s="533"/>
      <c r="JYT10" s="533"/>
      <c r="JYU10" s="533"/>
      <c r="JYV10" s="533"/>
      <c r="JYW10" s="533"/>
      <c r="JYX10" s="533"/>
      <c r="JYY10" s="533"/>
      <c r="JYZ10" s="533"/>
      <c r="JZA10" s="533"/>
      <c r="JZB10" s="533"/>
      <c r="JZC10" s="533"/>
      <c r="JZD10" s="533"/>
      <c r="JZE10" s="533"/>
      <c r="JZF10" s="533"/>
      <c r="JZG10" s="533"/>
      <c r="JZH10" s="533"/>
      <c r="JZI10" s="533"/>
      <c r="JZJ10" s="533"/>
      <c r="JZK10" s="533"/>
      <c r="JZL10" s="533"/>
      <c r="JZM10" s="533"/>
      <c r="JZN10" s="533"/>
      <c r="JZO10" s="533"/>
      <c r="JZP10" s="533"/>
      <c r="JZQ10" s="533"/>
      <c r="JZR10" s="533"/>
      <c r="JZS10" s="533"/>
      <c r="JZT10" s="533"/>
      <c r="JZU10" s="533"/>
      <c r="JZV10" s="533"/>
      <c r="JZW10" s="533"/>
      <c r="JZX10" s="533"/>
      <c r="JZY10" s="533"/>
      <c r="JZZ10" s="533"/>
      <c r="KAA10" s="533"/>
      <c r="KAB10" s="533"/>
      <c r="KAC10" s="533"/>
      <c r="KAD10" s="533"/>
      <c r="KAE10" s="533"/>
      <c r="KAF10" s="533"/>
      <c r="KAG10" s="533"/>
      <c r="KAH10" s="533"/>
      <c r="KAI10" s="533"/>
      <c r="KAJ10" s="533"/>
      <c r="KAK10" s="533"/>
      <c r="KAL10" s="533"/>
      <c r="KAM10" s="533"/>
      <c r="KAN10" s="533"/>
      <c r="KAO10" s="533"/>
      <c r="KAP10" s="533"/>
      <c r="KAQ10" s="533"/>
      <c r="KAR10" s="533"/>
      <c r="KAS10" s="533"/>
      <c r="KAT10" s="533"/>
      <c r="KAU10" s="533"/>
      <c r="KAV10" s="533"/>
      <c r="KAW10" s="533"/>
      <c r="KAX10" s="533"/>
      <c r="KAY10" s="533"/>
      <c r="KAZ10" s="533"/>
      <c r="KBA10" s="533"/>
      <c r="KBB10" s="533"/>
      <c r="KBC10" s="533"/>
      <c r="KBD10" s="533"/>
      <c r="KBE10" s="533"/>
      <c r="KBF10" s="533"/>
      <c r="KBG10" s="533"/>
      <c r="KBH10" s="533"/>
      <c r="KBI10" s="533"/>
      <c r="KBJ10" s="533"/>
      <c r="KBK10" s="533"/>
      <c r="KBL10" s="533"/>
      <c r="KBM10" s="533"/>
      <c r="KBN10" s="533"/>
      <c r="KBO10" s="533"/>
      <c r="KBP10" s="533"/>
      <c r="KBQ10" s="533"/>
      <c r="KBR10" s="533"/>
      <c r="KBS10" s="533"/>
      <c r="KBT10" s="533"/>
      <c r="KBU10" s="533"/>
      <c r="KBV10" s="533"/>
      <c r="KBW10" s="533"/>
      <c r="KBX10" s="533"/>
      <c r="KBY10" s="533"/>
      <c r="KBZ10" s="533"/>
      <c r="KCA10" s="533"/>
      <c r="KCB10" s="533"/>
      <c r="KCC10" s="533"/>
      <c r="KCD10" s="533"/>
      <c r="KCE10" s="533"/>
      <c r="KCF10" s="533"/>
      <c r="KCG10" s="533"/>
      <c r="KCH10" s="533"/>
      <c r="KCI10" s="533"/>
      <c r="KCJ10" s="533"/>
      <c r="KCK10" s="533"/>
      <c r="KCL10" s="533"/>
      <c r="KCM10" s="533"/>
      <c r="KCN10" s="533"/>
      <c r="KCO10" s="533"/>
      <c r="KCP10" s="533"/>
      <c r="KCQ10" s="533"/>
      <c r="KCR10" s="533"/>
      <c r="KCS10" s="533"/>
      <c r="KCT10" s="533"/>
      <c r="KCU10" s="533"/>
      <c r="KCV10" s="533"/>
      <c r="KCW10" s="533"/>
      <c r="KCX10" s="533"/>
      <c r="KCY10" s="533"/>
      <c r="KCZ10" s="533"/>
      <c r="KDA10" s="533"/>
      <c r="KDB10" s="533"/>
      <c r="KDC10" s="533"/>
      <c r="KDD10" s="533"/>
      <c r="KDE10" s="533"/>
      <c r="KDF10" s="533"/>
      <c r="KDG10" s="533"/>
      <c r="KDH10" s="533"/>
      <c r="KDI10" s="533"/>
      <c r="KDJ10" s="533"/>
      <c r="KDK10" s="533"/>
      <c r="KDL10" s="533"/>
      <c r="KDM10" s="533"/>
      <c r="KDN10" s="533"/>
      <c r="KDO10" s="533"/>
      <c r="KDP10" s="533"/>
      <c r="KDQ10" s="533"/>
      <c r="KDR10" s="533"/>
      <c r="KDS10" s="533"/>
      <c r="KDT10" s="533"/>
      <c r="KDU10" s="533"/>
      <c r="KDV10" s="533"/>
      <c r="KDW10" s="533"/>
      <c r="KDX10" s="533"/>
      <c r="KDY10" s="533"/>
      <c r="KDZ10" s="533"/>
      <c r="KEA10" s="533"/>
      <c r="KEB10" s="533"/>
      <c r="KEC10" s="533"/>
      <c r="KED10" s="533"/>
      <c r="KEE10" s="533"/>
      <c r="KEF10" s="533"/>
      <c r="KEG10" s="533"/>
      <c r="KEH10" s="533"/>
      <c r="KEI10" s="533"/>
      <c r="KEJ10" s="533"/>
      <c r="KEK10" s="533"/>
      <c r="KEL10" s="533"/>
      <c r="KEM10" s="533"/>
      <c r="KEN10" s="533"/>
      <c r="KEO10" s="533"/>
      <c r="KEP10" s="533"/>
      <c r="KEQ10" s="533"/>
      <c r="KER10" s="533"/>
      <c r="KES10" s="533"/>
      <c r="KET10" s="533"/>
      <c r="KEU10" s="533"/>
      <c r="KEV10" s="533"/>
      <c r="KEW10" s="533"/>
      <c r="KEX10" s="533"/>
      <c r="KEY10" s="533"/>
      <c r="KEZ10" s="533"/>
      <c r="KFA10" s="533"/>
      <c r="KFB10" s="533"/>
      <c r="KFC10" s="533"/>
      <c r="KFD10" s="533"/>
      <c r="KFE10" s="533"/>
      <c r="KFF10" s="533"/>
      <c r="KFG10" s="533"/>
      <c r="KFH10" s="533"/>
      <c r="KFI10" s="533"/>
      <c r="KFJ10" s="533"/>
      <c r="KFK10" s="533"/>
      <c r="KFL10" s="533"/>
      <c r="KFM10" s="533"/>
      <c r="KFN10" s="533"/>
      <c r="KFO10" s="533"/>
      <c r="KFP10" s="533"/>
      <c r="KFQ10" s="533"/>
      <c r="KFR10" s="533"/>
      <c r="KFS10" s="533"/>
      <c r="KFT10" s="533"/>
      <c r="KFU10" s="533"/>
      <c r="KFV10" s="533"/>
      <c r="KFW10" s="533"/>
      <c r="KFX10" s="533"/>
      <c r="KFY10" s="533"/>
      <c r="KFZ10" s="533"/>
      <c r="KGA10" s="533"/>
      <c r="KGB10" s="533"/>
      <c r="KGC10" s="533"/>
      <c r="KGD10" s="533"/>
      <c r="KGE10" s="533"/>
      <c r="KGF10" s="533"/>
      <c r="KGG10" s="533"/>
      <c r="KGH10" s="533"/>
      <c r="KGI10" s="533"/>
      <c r="KGJ10" s="533"/>
      <c r="KGK10" s="533"/>
      <c r="KGL10" s="533"/>
      <c r="KGM10" s="533"/>
      <c r="KGN10" s="533"/>
      <c r="KGO10" s="533"/>
      <c r="KGP10" s="533"/>
      <c r="KGQ10" s="533"/>
      <c r="KGR10" s="533"/>
      <c r="KGS10" s="533"/>
      <c r="KGT10" s="533"/>
      <c r="KGU10" s="533"/>
      <c r="KGV10" s="533"/>
      <c r="KGW10" s="533"/>
      <c r="KGX10" s="533"/>
      <c r="KGY10" s="533"/>
      <c r="KGZ10" s="533"/>
      <c r="KHA10" s="533"/>
      <c r="KHB10" s="533"/>
      <c r="KHC10" s="533"/>
      <c r="KHD10" s="533"/>
      <c r="KHE10" s="533"/>
      <c r="KHF10" s="533"/>
      <c r="KHG10" s="533"/>
      <c r="KHH10" s="533"/>
      <c r="KHI10" s="533"/>
      <c r="KHJ10" s="533"/>
      <c r="KHK10" s="533"/>
      <c r="KHL10" s="533"/>
      <c r="KHM10" s="533"/>
      <c r="KHN10" s="533"/>
      <c r="KHO10" s="533"/>
      <c r="KHP10" s="533"/>
      <c r="KHQ10" s="533"/>
      <c r="KHR10" s="533"/>
      <c r="KHS10" s="533"/>
      <c r="KHT10" s="533"/>
      <c r="KHU10" s="533"/>
      <c r="KHV10" s="533"/>
      <c r="KHW10" s="533"/>
      <c r="KHX10" s="533"/>
      <c r="KHY10" s="533"/>
      <c r="KHZ10" s="533"/>
      <c r="KIA10" s="533"/>
      <c r="KIB10" s="533"/>
      <c r="KIC10" s="533"/>
      <c r="KID10" s="533"/>
      <c r="KIE10" s="533"/>
      <c r="KIF10" s="533"/>
      <c r="KIG10" s="533"/>
      <c r="KIH10" s="533"/>
      <c r="KII10" s="533"/>
      <c r="KIJ10" s="533"/>
      <c r="KIK10" s="533"/>
      <c r="KIL10" s="533"/>
      <c r="KIM10" s="533"/>
      <c r="KIN10" s="533"/>
      <c r="KIO10" s="533"/>
      <c r="KIP10" s="533"/>
      <c r="KIQ10" s="533"/>
      <c r="KIR10" s="533"/>
      <c r="KIS10" s="533"/>
      <c r="KIT10" s="533"/>
      <c r="KIU10" s="533"/>
      <c r="KIV10" s="533"/>
      <c r="KIW10" s="533"/>
      <c r="KIX10" s="533"/>
      <c r="KIY10" s="533"/>
      <c r="KIZ10" s="533"/>
      <c r="KJA10" s="533"/>
      <c r="KJB10" s="533"/>
      <c r="KJC10" s="533"/>
      <c r="KJD10" s="533"/>
      <c r="KJE10" s="533"/>
      <c r="KJF10" s="533"/>
      <c r="KJG10" s="533"/>
      <c r="KJH10" s="533"/>
      <c r="KJI10" s="533"/>
      <c r="KJJ10" s="533"/>
      <c r="KJK10" s="533"/>
      <c r="KJL10" s="533"/>
      <c r="KJM10" s="533"/>
      <c r="KJN10" s="533"/>
      <c r="KJO10" s="533"/>
      <c r="KJP10" s="533"/>
      <c r="KJQ10" s="533"/>
      <c r="KJR10" s="533"/>
      <c r="KJS10" s="533"/>
      <c r="KJT10" s="533"/>
      <c r="KJU10" s="533"/>
      <c r="KJV10" s="533"/>
      <c r="KJW10" s="533"/>
      <c r="KJX10" s="533"/>
      <c r="KJY10" s="533"/>
      <c r="KJZ10" s="533"/>
      <c r="KKA10" s="533"/>
      <c r="KKB10" s="533"/>
      <c r="KKC10" s="533"/>
      <c r="KKD10" s="533"/>
      <c r="KKE10" s="533"/>
      <c r="KKF10" s="533"/>
      <c r="KKG10" s="533"/>
      <c r="KKH10" s="533"/>
      <c r="KKI10" s="533"/>
      <c r="KKJ10" s="533"/>
      <c r="KKK10" s="533"/>
      <c r="KKL10" s="533"/>
      <c r="KKM10" s="533"/>
      <c r="KKN10" s="533"/>
      <c r="KKO10" s="533"/>
      <c r="KKP10" s="533"/>
      <c r="KKQ10" s="533"/>
      <c r="KKR10" s="533"/>
      <c r="KKS10" s="533"/>
      <c r="KKT10" s="533"/>
      <c r="KKU10" s="533"/>
      <c r="KKV10" s="533"/>
      <c r="KKW10" s="533"/>
      <c r="KKX10" s="533"/>
      <c r="KKY10" s="533"/>
      <c r="KKZ10" s="533"/>
      <c r="KLA10" s="533"/>
      <c r="KLB10" s="533"/>
      <c r="KLC10" s="533"/>
      <c r="KLD10" s="533"/>
      <c r="KLE10" s="533"/>
      <c r="KLF10" s="533"/>
      <c r="KLG10" s="533"/>
      <c r="KLH10" s="533"/>
      <c r="KLI10" s="533"/>
      <c r="KLJ10" s="533"/>
      <c r="KLK10" s="533"/>
      <c r="KLL10" s="533"/>
      <c r="KLM10" s="533"/>
      <c r="KLN10" s="533"/>
      <c r="KLO10" s="533"/>
      <c r="KLP10" s="533"/>
      <c r="KLQ10" s="533"/>
      <c r="KLR10" s="533"/>
      <c r="KLS10" s="533"/>
      <c r="KLT10" s="533"/>
      <c r="KLU10" s="533"/>
      <c r="KLV10" s="533"/>
      <c r="KLW10" s="533"/>
      <c r="KLX10" s="533"/>
      <c r="KLY10" s="533"/>
      <c r="KLZ10" s="533"/>
      <c r="KMA10" s="533"/>
      <c r="KMB10" s="533"/>
      <c r="KMC10" s="533"/>
      <c r="KMD10" s="533"/>
      <c r="KME10" s="533"/>
      <c r="KMF10" s="533"/>
      <c r="KMG10" s="533"/>
      <c r="KMH10" s="533"/>
      <c r="KMI10" s="533"/>
      <c r="KMJ10" s="533"/>
      <c r="KMK10" s="533"/>
      <c r="KML10" s="533"/>
      <c r="KMM10" s="533"/>
      <c r="KMN10" s="533"/>
      <c r="KMO10" s="533"/>
      <c r="KMP10" s="533"/>
      <c r="KMQ10" s="533"/>
      <c r="KMR10" s="533"/>
      <c r="KMS10" s="533"/>
      <c r="KMT10" s="533"/>
      <c r="KMU10" s="533"/>
      <c r="KMV10" s="533"/>
      <c r="KMW10" s="533"/>
      <c r="KMX10" s="533"/>
      <c r="KMY10" s="533"/>
      <c r="KMZ10" s="533"/>
      <c r="KNA10" s="533"/>
      <c r="KNB10" s="533"/>
      <c r="KNC10" s="533"/>
      <c r="KND10" s="533"/>
      <c r="KNE10" s="533"/>
      <c r="KNF10" s="533"/>
      <c r="KNG10" s="533"/>
      <c r="KNH10" s="533"/>
      <c r="KNI10" s="533"/>
      <c r="KNJ10" s="533"/>
      <c r="KNK10" s="533"/>
      <c r="KNL10" s="533"/>
      <c r="KNM10" s="533"/>
      <c r="KNN10" s="533"/>
      <c r="KNO10" s="533"/>
      <c r="KNP10" s="533"/>
      <c r="KNQ10" s="533"/>
      <c r="KNR10" s="533"/>
      <c r="KNS10" s="533"/>
      <c r="KNT10" s="533"/>
      <c r="KNU10" s="533"/>
      <c r="KNV10" s="533"/>
      <c r="KNW10" s="533"/>
      <c r="KNX10" s="533"/>
      <c r="KNY10" s="533"/>
      <c r="KNZ10" s="533"/>
      <c r="KOA10" s="533"/>
      <c r="KOB10" s="533"/>
      <c r="KOC10" s="533"/>
      <c r="KOD10" s="533"/>
      <c r="KOE10" s="533"/>
      <c r="KOF10" s="533"/>
      <c r="KOG10" s="533"/>
      <c r="KOH10" s="533"/>
      <c r="KOI10" s="533"/>
      <c r="KOJ10" s="533"/>
      <c r="KOK10" s="533"/>
      <c r="KOL10" s="533"/>
      <c r="KOM10" s="533"/>
      <c r="KON10" s="533"/>
      <c r="KOO10" s="533"/>
      <c r="KOP10" s="533"/>
      <c r="KOQ10" s="533"/>
      <c r="KOR10" s="533"/>
      <c r="KOS10" s="533"/>
      <c r="KOT10" s="533"/>
      <c r="KOU10" s="533"/>
      <c r="KOV10" s="533"/>
      <c r="KOW10" s="533"/>
      <c r="KOX10" s="533"/>
      <c r="KOY10" s="533"/>
      <c r="KOZ10" s="533"/>
      <c r="KPA10" s="533"/>
      <c r="KPB10" s="533"/>
      <c r="KPC10" s="533"/>
      <c r="KPD10" s="533"/>
      <c r="KPE10" s="533"/>
      <c r="KPF10" s="533"/>
      <c r="KPG10" s="533"/>
      <c r="KPH10" s="533"/>
      <c r="KPI10" s="533"/>
      <c r="KPJ10" s="533"/>
      <c r="KPK10" s="533"/>
      <c r="KPL10" s="533"/>
      <c r="KPM10" s="533"/>
      <c r="KPN10" s="533"/>
      <c r="KPO10" s="533"/>
      <c r="KPP10" s="533"/>
      <c r="KPQ10" s="533"/>
      <c r="KPR10" s="533"/>
      <c r="KPS10" s="533"/>
      <c r="KPT10" s="533"/>
      <c r="KPU10" s="533"/>
      <c r="KPV10" s="533"/>
      <c r="KPW10" s="533"/>
      <c r="KPX10" s="533"/>
      <c r="KPY10" s="533"/>
      <c r="KPZ10" s="533"/>
      <c r="KQA10" s="533"/>
      <c r="KQB10" s="533"/>
      <c r="KQC10" s="533"/>
      <c r="KQD10" s="533"/>
      <c r="KQE10" s="533"/>
      <c r="KQF10" s="533"/>
      <c r="KQG10" s="533"/>
      <c r="KQH10" s="533"/>
      <c r="KQI10" s="533"/>
      <c r="KQJ10" s="533"/>
      <c r="KQK10" s="533"/>
      <c r="KQL10" s="533"/>
      <c r="KQM10" s="533"/>
      <c r="KQN10" s="533"/>
      <c r="KQO10" s="533"/>
      <c r="KQP10" s="533"/>
      <c r="KQQ10" s="533"/>
      <c r="KQR10" s="533"/>
      <c r="KQS10" s="533"/>
      <c r="KQT10" s="533"/>
      <c r="KQU10" s="533"/>
      <c r="KQV10" s="533"/>
      <c r="KQW10" s="533"/>
      <c r="KQX10" s="533"/>
      <c r="KQY10" s="533"/>
      <c r="KQZ10" s="533"/>
      <c r="KRA10" s="533"/>
      <c r="KRB10" s="533"/>
      <c r="KRC10" s="533"/>
      <c r="KRD10" s="533"/>
      <c r="KRE10" s="533"/>
      <c r="KRF10" s="533"/>
      <c r="KRG10" s="533"/>
      <c r="KRH10" s="533"/>
      <c r="KRI10" s="533"/>
      <c r="KRJ10" s="533"/>
      <c r="KRK10" s="533"/>
      <c r="KRL10" s="533"/>
      <c r="KRM10" s="533"/>
      <c r="KRN10" s="533"/>
      <c r="KRO10" s="533"/>
      <c r="KRP10" s="533"/>
      <c r="KRQ10" s="533"/>
      <c r="KRR10" s="533"/>
      <c r="KRS10" s="533"/>
      <c r="KRT10" s="533"/>
      <c r="KRU10" s="533"/>
      <c r="KRV10" s="533"/>
      <c r="KRW10" s="533"/>
      <c r="KRX10" s="533"/>
      <c r="KRY10" s="533"/>
      <c r="KRZ10" s="533"/>
      <c r="KSA10" s="533"/>
      <c r="KSB10" s="533"/>
      <c r="KSC10" s="533"/>
      <c r="KSD10" s="533"/>
      <c r="KSE10" s="533"/>
      <c r="KSF10" s="533"/>
      <c r="KSG10" s="533"/>
      <c r="KSH10" s="533"/>
      <c r="KSI10" s="533"/>
      <c r="KSJ10" s="533"/>
      <c r="KSK10" s="533"/>
      <c r="KSL10" s="533"/>
      <c r="KSM10" s="533"/>
      <c r="KSN10" s="533"/>
      <c r="KSO10" s="533"/>
      <c r="KSP10" s="533"/>
      <c r="KSQ10" s="533"/>
      <c r="KSR10" s="533"/>
      <c r="KSS10" s="533"/>
      <c r="KST10" s="533"/>
      <c r="KSU10" s="533"/>
      <c r="KSV10" s="533"/>
      <c r="KSW10" s="533"/>
      <c r="KSX10" s="533"/>
      <c r="KSY10" s="533"/>
      <c r="KSZ10" s="533"/>
      <c r="KTA10" s="533"/>
      <c r="KTB10" s="533"/>
      <c r="KTC10" s="533"/>
      <c r="KTD10" s="533"/>
      <c r="KTE10" s="533"/>
      <c r="KTF10" s="533"/>
      <c r="KTG10" s="533"/>
      <c r="KTH10" s="533"/>
      <c r="KTI10" s="533"/>
      <c r="KTJ10" s="533"/>
      <c r="KTK10" s="533"/>
      <c r="KTL10" s="533"/>
      <c r="KTM10" s="533"/>
      <c r="KTN10" s="533"/>
      <c r="KTO10" s="533"/>
      <c r="KTP10" s="533"/>
      <c r="KTQ10" s="533"/>
      <c r="KTR10" s="533"/>
      <c r="KTS10" s="533"/>
      <c r="KTT10" s="533"/>
      <c r="KTU10" s="533"/>
      <c r="KTV10" s="533"/>
      <c r="KTW10" s="533"/>
      <c r="KTX10" s="533"/>
      <c r="KTY10" s="533"/>
      <c r="KTZ10" s="533"/>
      <c r="KUA10" s="533"/>
      <c r="KUB10" s="533"/>
      <c r="KUC10" s="533"/>
      <c r="KUD10" s="533"/>
      <c r="KUE10" s="533"/>
      <c r="KUF10" s="533"/>
      <c r="KUG10" s="533"/>
      <c r="KUH10" s="533"/>
      <c r="KUI10" s="533"/>
      <c r="KUJ10" s="533"/>
      <c r="KUK10" s="533"/>
      <c r="KUL10" s="533"/>
      <c r="KUM10" s="533"/>
      <c r="KUN10" s="533"/>
      <c r="KUO10" s="533"/>
      <c r="KUP10" s="533"/>
      <c r="KUQ10" s="533"/>
      <c r="KUR10" s="533"/>
      <c r="KUS10" s="533"/>
      <c r="KUT10" s="533"/>
      <c r="KUU10" s="533"/>
      <c r="KUV10" s="533"/>
      <c r="KUW10" s="533"/>
      <c r="KUX10" s="533"/>
      <c r="KUY10" s="533"/>
      <c r="KUZ10" s="533"/>
      <c r="KVA10" s="533"/>
      <c r="KVB10" s="533"/>
      <c r="KVC10" s="533"/>
      <c r="KVD10" s="533"/>
      <c r="KVE10" s="533"/>
      <c r="KVF10" s="533"/>
      <c r="KVG10" s="533"/>
      <c r="KVH10" s="533"/>
      <c r="KVI10" s="533"/>
      <c r="KVJ10" s="533"/>
      <c r="KVK10" s="533"/>
      <c r="KVL10" s="533"/>
      <c r="KVM10" s="533"/>
      <c r="KVN10" s="533"/>
      <c r="KVO10" s="533"/>
      <c r="KVP10" s="533"/>
      <c r="KVQ10" s="533"/>
      <c r="KVR10" s="533"/>
      <c r="KVS10" s="533"/>
      <c r="KVT10" s="533"/>
      <c r="KVU10" s="533"/>
      <c r="KVV10" s="533"/>
      <c r="KVW10" s="533"/>
      <c r="KVX10" s="533"/>
      <c r="KVY10" s="533"/>
      <c r="KVZ10" s="533"/>
      <c r="KWA10" s="533"/>
      <c r="KWB10" s="533"/>
      <c r="KWC10" s="533"/>
      <c r="KWD10" s="533"/>
      <c r="KWE10" s="533"/>
      <c r="KWF10" s="533"/>
      <c r="KWG10" s="533"/>
      <c r="KWH10" s="533"/>
      <c r="KWI10" s="533"/>
      <c r="KWJ10" s="533"/>
      <c r="KWK10" s="533"/>
      <c r="KWL10" s="533"/>
      <c r="KWM10" s="533"/>
      <c r="KWN10" s="533"/>
      <c r="KWO10" s="533"/>
      <c r="KWP10" s="533"/>
      <c r="KWQ10" s="533"/>
      <c r="KWR10" s="533"/>
      <c r="KWS10" s="533"/>
      <c r="KWT10" s="533"/>
      <c r="KWU10" s="533"/>
      <c r="KWV10" s="533"/>
      <c r="KWW10" s="533"/>
      <c r="KWX10" s="533"/>
      <c r="KWY10" s="533"/>
      <c r="KWZ10" s="533"/>
      <c r="KXA10" s="533"/>
      <c r="KXB10" s="533"/>
      <c r="KXC10" s="533"/>
      <c r="KXD10" s="533"/>
      <c r="KXE10" s="533"/>
      <c r="KXF10" s="533"/>
      <c r="KXG10" s="533"/>
      <c r="KXH10" s="533"/>
      <c r="KXI10" s="533"/>
      <c r="KXJ10" s="533"/>
      <c r="KXK10" s="533"/>
      <c r="KXL10" s="533"/>
      <c r="KXM10" s="533"/>
      <c r="KXN10" s="533"/>
      <c r="KXO10" s="533"/>
      <c r="KXP10" s="533"/>
      <c r="KXQ10" s="533"/>
      <c r="KXR10" s="533"/>
      <c r="KXS10" s="533"/>
      <c r="KXT10" s="533"/>
      <c r="KXU10" s="533"/>
      <c r="KXV10" s="533"/>
      <c r="KXW10" s="533"/>
      <c r="KXX10" s="533"/>
      <c r="KXY10" s="533"/>
      <c r="KXZ10" s="533"/>
      <c r="KYA10" s="533"/>
      <c r="KYB10" s="533"/>
      <c r="KYC10" s="533"/>
      <c r="KYD10" s="533"/>
      <c r="KYE10" s="533"/>
      <c r="KYF10" s="533"/>
      <c r="KYG10" s="533"/>
      <c r="KYH10" s="533"/>
      <c r="KYI10" s="533"/>
      <c r="KYJ10" s="533"/>
      <c r="KYK10" s="533"/>
      <c r="KYL10" s="533"/>
      <c r="KYM10" s="533"/>
      <c r="KYN10" s="533"/>
      <c r="KYO10" s="533"/>
      <c r="KYP10" s="533"/>
      <c r="KYQ10" s="533"/>
      <c r="KYR10" s="533"/>
      <c r="KYS10" s="533"/>
      <c r="KYT10" s="533"/>
      <c r="KYU10" s="533"/>
      <c r="KYV10" s="533"/>
      <c r="KYW10" s="533"/>
      <c r="KYX10" s="533"/>
      <c r="KYY10" s="533"/>
      <c r="KYZ10" s="533"/>
      <c r="KZA10" s="533"/>
      <c r="KZB10" s="533"/>
      <c r="KZC10" s="533"/>
      <c r="KZD10" s="533"/>
      <c r="KZE10" s="533"/>
      <c r="KZF10" s="533"/>
      <c r="KZG10" s="533"/>
      <c r="KZH10" s="533"/>
      <c r="KZI10" s="533"/>
      <c r="KZJ10" s="533"/>
      <c r="KZK10" s="533"/>
      <c r="KZL10" s="533"/>
      <c r="KZM10" s="533"/>
      <c r="KZN10" s="533"/>
      <c r="KZO10" s="533"/>
      <c r="KZP10" s="533"/>
      <c r="KZQ10" s="533"/>
      <c r="KZR10" s="533"/>
      <c r="KZS10" s="533"/>
      <c r="KZT10" s="533"/>
      <c r="KZU10" s="533"/>
      <c r="KZV10" s="533"/>
      <c r="KZW10" s="533"/>
      <c r="KZX10" s="533"/>
      <c r="KZY10" s="533"/>
      <c r="KZZ10" s="533"/>
      <c r="LAA10" s="533"/>
      <c r="LAB10" s="533"/>
      <c r="LAC10" s="533"/>
      <c r="LAD10" s="533"/>
      <c r="LAE10" s="533"/>
      <c r="LAF10" s="533"/>
      <c r="LAG10" s="533"/>
      <c r="LAH10" s="533"/>
      <c r="LAI10" s="533"/>
      <c r="LAJ10" s="533"/>
      <c r="LAK10" s="533"/>
      <c r="LAL10" s="533"/>
      <c r="LAM10" s="533"/>
      <c r="LAN10" s="533"/>
      <c r="LAO10" s="533"/>
      <c r="LAP10" s="533"/>
      <c r="LAQ10" s="533"/>
      <c r="LAR10" s="533"/>
      <c r="LAS10" s="533"/>
      <c r="LAT10" s="533"/>
      <c r="LAU10" s="533"/>
      <c r="LAV10" s="533"/>
      <c r="LAW10" s="533"/>
      <c r="LAX10" s="533"/>
      <c r="LAY10" s="533"/>
      <c r="LAZ10" s="533"/>
      <c r="LBA10" s="533"/>
      <c r="LBB10" s="533"/>
      <c r="LBC10" s="533"/>
      <c r="LBD10" s="533"/>
      <c r="LBE10" s="533"/>
      <c r="LBF10" s="533"/>
      <c r="LBG10" s="533"/>
      <c r="LBH10" s="533"/>
      <c r="LBI10" s="533"/>
      <c r="LBJ10" s="533"/>
      <c r="LBK10" s="533"/>
      <c r="LBL10" s="533"/>
      <c r="LBM10" s="533"/>
      <c r="LBN10" s="533"/>
      <c r="LBO10" s="533"/>
      <c r="LBP10" s="533"/>
      <c r="LBQ10" s="533"/>
      <c r="LBR10" s="533"/>
      <c r="LBS10" s="533"/>
      <c r="LBT10" s="533"/>
      <c r="LBU10" s="533"/>
      <c r="LBV10" s="533"/>
      <c r="LBW10" s="533"/>
      <c r="LBX10" s="533"/>
      <c r="LBY10" s="533"/>
      <c r="LBZ10" s="533"/>
      <c r="LCA10" s="533"/>
      <c r="LCB10" s="533"/>
      <c r="LCC10" s="533"/>
      <c r="LCD10" s="533"/>
      <c r="LCE10" s="533"/>
      <c r="LCF10" s="533"/>
      <c r="LCG10" s="533"/>
      <c r="LCH10" s="533"/>
      <c r="LCI10" s="533"/>
      <c r="LCJ10" s="533"/>
      <c r="LCK10" s="533"/>
      <c r="LCL10" s="533"/>
      <c r="LCM10" s="533"/>
      <c r="LCN10" s="533"/>
      <c r="LCO10" s="533"/>
      <c r="LCP10" s="533"/>
      <c r="LCQ10" s="533"/>
      <c r="LCR10" s="533"/>
      <c r="LCS10" s="533"/>
      <c r="LCT10" s="533"/>
      <c r="LCU10" s="533"/>
      <c r="LCV10" s="533"/>
      <c r="LCW10" s="533"/>
      <c r="LCX10" s="533"/>
      <c r="LCY10" s="533"/>
      <c r="LCZ10" s="533"/>
      <c r="LDA10" s="533"/>
      <c r="LDB10" s="533"/>
      <c r="LDC10" s="533"/>
      <c r="LDD10" s="533"/>
      <c r="LDE10" s="533"/>
      <c r="LDF10" s="533"/>
      <c r="LDG10" s="533"/>
      <c r="LDH10" s="533"/>
      <c r="LDI10" s="533"/>
      <c r="LDJ10" s="533"/>
      <c r="LDK10" s="533"/>
      <c r="LDL10" s="533"/>
      <c r="LDM10" s="533"/>
      <c r="LDN10" s="533"/>
      <c r="LDO10" s="533"/>
      <c r="LDP10" s="533"/>
      <c r="LDQ10" s="533"/>
      <c r="LDR10" s="533"/>
      <c r="LDS10" s="533"/>
      <c r="LDT10" s="533"/>
      <c r="LDU10" s="533"/>
      <c r="LDV10" s="533"/>
      <c r="LDW10" s="533"/>
      <c r="LDX10" s="533"/>
      <c r="LDY10" s="533"/>
      <c r="LDZ10" s="533"/>
      <c r="LEA10" s="533"/>
      <c r="LEB10" s="533"/>
      <c r="LEC10" s="533"/>
      <c r="LED10" s="533"/>
      <c r="LEE10" s="533"/>
      <c r="LEF10" s="533"/>
      <c r="LEG10" s="533"/>
      <c r="LEH10" s="533"/>
      <c r="LEI10" s="533"/>
      <c r="LEJ10" s="533"/>
      <c r="LEK10" s="533"/>
      <c r="LEL10" s="533"/>
      <c r="LEM10" s="533"/>
      <c r="LEN10" s="533"/>
      <c r="LEO10" s="533"/>
      <c r="LEP10" s="533"/>
      <c r="LEQ10" s="533"/>
      <c r="LER10" s="533"/>
      <c r="LES10" s="533"/>
      <c r="LET10" s="533"/>
      <c r="LEU10" s="533"/>
      <c r="LEV10" s="533"/>
      <c r="LEW10" s="533"/>
      <c r="LEX10" s="533"/>
      <c r="LEY10" s="533"/>
      <c r="LEZ10" s="533"/>
      <c r="LFA10" s="533"/>
      <c r="LFB10" s="533"/>
      <c r="LFC10" s="533"/>
      <c r="LFD10" s="533"/>
      <c r="LFE10" s="533"/>
      <c r="LFF10" s="533"/>
      <c r="LFG10" s="533"/>
      <c r="LFH10" s="533"/>
      <c r="LFI10" s="533"/>
      <c r="LFJ10" s="533"/>
      <c r="LFK10" s="533"/>
      <c r="LFL10" s="533"/>
      <c r="LFM10" s="533"/>
      <c r="LFN10" s="533"/>
      <c r="LFO10" s="533"/>
      <c r="LFP10" s="533"/>
      <c r="LFQ10" s="533"/>
      <c r="LFR10" s="533"/>
      <c r="LFS10" s="533"/>
      <c r="LFT10" s="533"/>
      <c r="LFU10" s="533"/>
      <c r="LFV10" s="533"/>
      <c r="LFW10" s="533"/>
      <c r="LFX10" s="533"/>
      <c r="LFY10" s="533"/>
      <c r="LFZ10" s="533"/>
      <c r="LGA10" s="533"/>
      <c r="LGB10" s="533"/>
      <c r="LGC10" s="533"/>
      <c r="LGD10" s="533"/>
      <c r="LGE10" s="533"/>
      <c r="LGF10" s="533"/>
      <c r="LGG10" s="533"/>
      <c r="LGH10" s="533"/>
      <c r="LGI10" s="533"/>
      <c r="LGJ10" s="533"/>
      <c r="LGK10" s="533"/>
      <c r="LGL10" s="533"/>
      <c r="LGM10" s="533"/>
      <c r="LGN10" s="533"/>
      <c r="LGO10" s="533"/>
      <c r="LGP10" s="533"/>
      <c r="LGQ10" s="533"/>
      <c r="LGR10" s="533"/>
      <c r="LGS10" s="533"/>
      <c r="LGT10" s="533"/>
      <c r="LGU10" s="533"/>
      <c r="LGV10" s="533"/>
      <c r="LGW10" s="533"/>
      <c r="LGX10" s="533"/>
      <c r="LGY10" s="533"/>
      <c r="LGZ10" s="533"/>
      <c r="LHA10" s="533"/>
      <c r="LHB10" s="533"/>
      <c r="LHC10" s="533"/>
      <c r="LHD10" s="533"/>
      <c r="LHE10" s="533"/>
      <c r="LHF10" s="533"/>
      <c r="LHG10" s="533"/>
      <c r="LHH10" s="533"/>
      <c r="LHI10" s="533"/>
      <c r="LHJ10" s="533"/>
      <c r="LHK10" s="533"/>
      <c r="LHL10" s="533"/>
      <c r="LHM10" s="533"/>
      <c r="LHN10" s="533"/>
      <c r="LHO10" s="533"/>
      <c r="LHP10" s="533"/>
      <c r="LHQ10" s="533"/>
      <c r="LHR10" s="533"/>
      <c r="LHS10" s="533"/>
      <c r="LHT10" s="533"/>
      <c r="LHU10" s="533"/>
      <c r="LHV10" s="533"/>
      <c r="LHW10" s="533"/>
      <c r="LHX10" s="533"/>
      <c r="LHY10" s="533"/>
      <c r="LHZ10" s="533"/>
      <c r="LIA10" s="533"/>
      <c r="LIB10" s="533"/>
      <c r="LIC10" s="533"/>
      <c r="LID10" s="533"/>
      <c r="LIE10" s="533"/>
      <c r="LIF10" s="533"/>
      <c r="LIG10" s="533"/>
      <c r="LIH10" s="533"/>
      <c r="LII10" s="533"/>
      <c r="LIJ10" s="533"/>
      <c r="LIK10" s="533"/>
      <c r="LIL10" s="533"/>
      <c r="LIM10" s="533"/>
      <c r="LIN10" s="533"/>
      <c r="LIO10" s="533"/>
      <c r="LIP10" s="533"/>
      <c r="LIQ10" s="533"/>
      <c r="LIR10" s="533"/>
      <c r="LIS10" s="533"/>
      <c r="LIT10" s="533"/>
      <c r="LIU10" s="533"/>
      <c r="LIV10" s="533"/>
      <c r="LIW10" s="533"/>
      <c r="LIX10" s="533"/>
      <c r="LIY10" s="533"/>
      <c r="LIZ10" s="533"/>
      <c r="LJA10" s="533"/>
      <c r="LJB10" s="533"/>
      <c r="LJC10" s="533"/>
      <c r="LJD10" s="533"/>
      <c r="LJE10" s="533"/>
      <c r="LJF10" s="533"/>
      <c r="LJG10" s="533"/>
      <c r="LJH10" s="533"/>
      <c r="LJI10" s="533"/>
      <c r="LJJ10" s="533"/>
      <c r="LJK10" s="533"/>
      <c r="LJL10" s="533"/>
      <c r="LJM10" s="533"/>
      <c r="LJN10" s="533"/>
      <c r="LJO10" s="533"/>
      <c r="LJP10" s="533"/>
      <c r="LJQ10" s="533"/>
      <c r="LJR10" s="533"/>
      <c r="LJS10" s="533"/>
      <c r="LJT10" s="533"/>
      <c r="LJU10" s="533"/>
      <c r="LJV10" s="533"/>
      <c r="LJW10" s="533"/>
      <c r="LJX10" s="533"/>
      <c r="LJY10" s="533"/>
      <c r="LJZ10" s="533"/>
      <c r="LKA10" s="533"/>
      <c r="LKB10" s="533"/>
      <c r="LKC10" s="533"/>
      <c r="LKD10" s="533"/>
      <c r="LKE10" s="533"/>
      <c r="LKF10" s="533"/>
      <c r="LKG10" s="533"/>
      <c r="LKH10" s="533"/>
      <c r="LKI10" s="533"/>
      <c r="LKJ10" s="533"/>
      <c r="LKK10" s="533"/>
      <c r="LKL10" s="533"/>
      <c r="LKM10" s="533"/>
      <c r="LKN10" s="533"/>
      <c r="LKO10" s="533"/>
      <c r="LKP10" s="533"/>
      <c r="LKQ10" s="533"/>
      <c r="LKR10" s="533"/>
      <c r="LKS10" s="533"/>
      <c r="LKT10" s="533"/>
      <c r="LKU10" s="533"/>
      <c r="LKV10" s="533"/>
      <c r="LKW10" s="533"/>
      <c r="LKX10" s="533"/>
      <c r="LKY10" s="533"/>
      <c r="LKZ10" s="533"/>
      <c r="LLA10" s="533"/>
      <c r="LLB10" s="533"/>
      <c r="LLC10" s="533"/>
      <c r="LLD10" s="533"/>
      <c r="LLE10" s="533"/>
      <c r="LLF10" s="533"/>
      <c r="LLG10" s="533"/>
      <c r="LLH10" s="533"/>
      <c r="LLI10" s="533"/>
      <c r="LLJ10" s="533"/>
      <c r="LLK10" s="533"/>
      <c r="LLL10" s="533"/>
      <c r="LLM10" s="533"/>
      <c r="LLN10" s="533"/>
      <c r="LLO10" s="533"/>
      <c r="LLP10" s="533"/>
      <c r="LLQ10" s="533"/>
      <c r="LLR10" s="533"/>
      <c r="LLS10" s="533"/>
      <c r="LLT10" s="533"/>
      <c r="LLU10" s="533"/>
      <c r="LLV10" s="533"/>
      <c r="LLW10" s="533"/>
      <c r="LLX10" s="533"/>
      <c r="LLY10" s="533"/>
      <c r="LLZ10" s="533"/>
      <c r="LMA10" s="533"/>
      <c r="LMB10" s="533"/>
      <c r="LMC10" s="533"/>
      <c r="LMD10" s="533"/>
      <c r="LME10" s="533"/>
      <c r="LMF10" s="533"/>
      <c r="LMG10" s="533"/>
      <c r="LMH10" s="533"/>
      <c r="LMI10" s="533"/>
      <c r="LMJ10" s="533"/>
      <c r="LMK10" s="533"/>
      <c r="LML10" s="533"/>
      <c r="LMM10" s="533"/>
      <c r="LMN10" s="533"/>
      <c r="LMO10" s="533"/>
      <c r="LMP10" s="533"/>
      <c r="LMQ10" s="533"/>
      <c r="LMR10" s="533"/>
      <c r="LMS10" s="533"/>
      <c r="LMT10" s="533"/>
      <c r="LMU10" s="533"/>
      <c r="LMV10" s="533"/>
      <c r="LMW10" s="533"/>
      <c r="LMX10" s="533"/>
      <c r="LMY10" s="533"/>
      <c r="LMZ10" s="533"/>
      <c r="LNA10" s="533"/>
      <c r="LNB10" s="533"/>
      <c r="LNC10" s="533"/>
      <c r="LND10" s="533"/>
      <c r="LNE10" s="533"/>
      <c r="LNF10" s="533"/>
      <c r="LNG10" s="533"/>
      <c r="LNH10" s="533"/>
      <c r="LNI10" s="533"/>
      <c r="LNJ10" s="533"/>
      <c r="LNK10" s="533"/>
      <c r="LNL10" s="533"/>
      <c r="LNM10" s="533"/>
      <c r="LNN10" s="533"/>
      <c r="LNO10" s="533"/>
      <c r="LNP10" s="533"/>
      <c r="LNQ10" s="533"/>
      <c r="LNR10" s="533"/>
      <c r="LNS10" s="533"/>
      <c r="LNT10" s="533"/>
      <c r="LNU10" s="533"/>
      <c r="LNV10" s="533"/>
      <c r="LNW10" s="533"/>
      <c r="LNX10" s="533"/>
      <c r="LNY10" s="533"/>
      <c r="LNZ10" s="533"/>
      <c r="LOA10" s="533"/>
      <c r="LOB10" s="533"/>
      <c r="LOC10" s="533"/>
      <c r="LOD10" s="533"/>
      <c r="LOE10" s="533"/>
      <c r="LOF10" s="533"/>
      <c r="LOG10" s="533"/>
      <c r="LOH10" s="533"/>
      <c r="LOI10" s="533"/>
      <c r="LOJ10" s="533"/>
      <c r="LOK10" s="533"/>
      <c r="LOL10" s="533"/>
      <c r="LOM10" s="533"/>
      <c r="LON10" s="533"/>
      <c r="LOO10" s="533"/>
      <c r="LOP10" s="533"/>
      <c r="LOQ10" s="533"/>
      <c r="LOR10" s="533"/>
      <c r="LOS10" s="533"/>
      <c r="LOT10" s="533"/>
      <c r="LOU10" s="533"/>
      <c r="LOV10" s="533"/>
      <c r="LOW10" s="533"/>
      <c r="LOX10" s="533"/>
      <c r="LOY10" s="533"/>
      <c r="LOZ10" s="533"/>
      <c r="LPA10" s="533"/>
      <c r="LPB10" s="533"/>
      <c r="LPC10" s="533"/>
      <c r="LPD10" s="533"/>
      <c r="LPE10" s="533"/>
      <c r="LPF10" s="533"/>
      <c r="LPG10" s="533"/>
      <c r="LPH10" s="533"/>
      <c r="LPI10" s="533"/>
      <c r="LPJ10" s="533"/>
      <c r="LPK10" s="533"/>
      <c r="LPL10" s="533"/>
      <c r="LPM10" s="533"/>
      <c r="LPN10" s="533"/>
      <c r="LPO10" s="533"/>
      <c r="LPP10" s="533"/>
      <c r="LPQ10" s="533"/>
      <c r="LPR10" s="533"/>
      <c r="LPS10" s="533"/>
      <c r="LPT10" s="533"/>
      <c r="LPU10" s="533"/>
      <c r="LPV10" s="533"/>
      <c r="LPW10" s="533"/>
      <c r="LPX10" s="533"/>
      <c r="LPY10" s="533"/>
      <c r="LPZ10" s="533"/>
      <c r="LQA10" s="533"/>
      <c r="LQB10" s="533"/>
      <c r="LQC10" s="533"/>
      <c r="LQD10" s="533"/>
      <c r="LQE10" s="533"/>
      <c r="LQF10" s="533"/>
      <c r="LQG10" s="533"/>
      <c r="LQH10" s="533"/>
      <c r="LQI10" s="533"/>
      <c r="LQJ10" s="533"/>
      <c r="LQK10" s="533"/>
      <c r="LQL10" s="533"/>
      <c r="LQM10" s="533"/>
      <c r="LQN10" s="533"/>
      <c r="LQO10" s="533"/>
      <c r="LQP10" s="533"/>
      <c r="LQQ10" s="533"/>
      <c r="LQR10" s="533"/>
      <c r="LQS10" s="533"/>
      <c r="LQT10" s="533"/>
      <c r="LQU10" s="533"/>
      <c r="LQV10" s="533"/>
      <c r="LQW10" s="533"/>
      <c r="LQX10" s="533"/>
      <c r="LQY10" s="533"/>
      <c r="LQZ10" s="533"/>
      <c r="LRA10" s="533"/>
      <c r="LRB10" s="533"/>
      <c r="LRC10" s="533"/>
      <c r="LRD10" s="533"/>
      <c r="LRE10" s="533"/>
      <c r="LRF10" s="533"/>
      <c r="LRG10" s="533"/>
      <c r="LRH10" s="533"/>
      <c r="LRI10" s="533"/>
      <c r="LRJ10" s="533"/>
      <c r="LRK10" s="533"/>
      <c r="LRL10" s="533"/>
      <c r="LRM10" s="533"/>
      <c r="LRN10" s="533"/>
      <c r="LRO10" s="533"/>
      <c r="LRP10" s="533"/>
      <c r="LRQ10" s="533"/>
      <c r="LRR10" s="533"/>
      <c r="LRS10" s="533"/>
      <c r="LRT10" s="533"/>
      <c r="LRU10" s="533"/>
      <c r="LRV10" s="533"/>
      <c r="LRW10" s="533"/>
      <c r="LRX10" s="533"/>
      <c r="LRY10" s="533"/>
      <c r="LRZ10" s="533"/>
      <c r="LSA10" s="533"/>
      <c r="LSB10" s="533"/>
      <c r="LSC10" s="533"/>
      <c r="LSD10" s="533"/>
      <c r="LSE10" s="533"/>
      <c r="LSF10" s="533"/>
      <c r="LSG10" s="533"/>
      <c r="LSH10" s="533"/>
      <c r="LSI10" s="533"/>
      <c r="LSJ10" s="533"/>
      <c r="LSK10" s="533"/>
      <c r="LSL10" s="533"/>
      <c r="LSM10" s="533"/>
      <c r="LSN10" s="533"/>
      <c r="LSO10" s="533"/>
      <c r="LSP10" s="533"/>
      <c r="LSQ10" s="533"/>
      <c r="LSR10" s="533"/>
      <c r="LSS10" s="533"/>
      <c r="LST10" s="533"/>
      <c r="LSU10" s="533"/>
      <c r="LSV10" s="533"/>
      <c r="LSW10" s="533"/>
      <c r="LSX10" s="533"/>
      <c r="LSY10" s="533"/>
      <c r="LSZ10" s="533"/>
      <c r="LTA10" s="533"/>
      <c r="LTB10" s="533"/>
      <c r="LTC10" s="533"/>
      <c r="LTD10" s="533"/>
      <c r="LTE10" s="533"/>
      <c r="LTF10" s="533"/>
      <c r="LTG10" s="533"/>
      <c r="LTH10" s="533"/>
      <c r="LTI10" s="533"/>
      <c r="LTJ10" s="533"/>
      <c r="LTK10" s="533"/>
      <c r="LTL10" s="533"/>
      <c r="LTM10" s="533"/>
      <c r="LTN10" s="533"/>
      <c r="LTO10" s="533"/>
      <c r="LTP10" s="533"/>
      <c r="LTQ10" s="533"/>
      <c r="LTR10" s="533"/>
      <c r="LTS10" s="533"/>
      <c r="LTT10" s="533"/>
      <c r="LTU10" s="533"/>
      <c r="LTV10" s="533"/>
      <c r="LTW10" s="533"/>
      <c r="LTX10" s="533"/>
      <c r="LTY10" s="533"/>
      <c r="LTZ10" s="533"/>
      <c r="LUA10" s="533"/>
      <c r="LUB10" s="533"/>
      <c r="LUC10" s="533"/>
      <c r="LUD10" s="533"/>
      <c r="LUE10" s="533"/>
      <c r="LUF10" s="533"/>
      <c r="LUG10" s="533"/>
      <c r="LUH10" s="533"/>
      <c r="LUI10" s="533"/>
      <c r="LUJ10" s="533"/>
      <c r="LUK10" s="533"/>
      <c r="LUL10" s="533"/>
      <c r="LUM10" s="533"/>
      <c r="LUN10" s="533"/>
      <c r="LUO10" s="533"/>
      <c r="LUP10" s="533"/>
      <c r="LUQ10" s="533"/>
      <c r="LUR10" s="533"/>
      <c r="LUS10" s="533"/>
      <c r="LUT10" s="533"/>
      <c r="LUU10" s="533"/>
      <c r="LUV10" s="533"/>
      <c r="LUW10" s="533"/>
      <c r="LUX10" s="533"/>
      <c r="LUY10" s="533"/>
      <c r="LUZ10" s="533"/>
      <c r="LVA10" s="533"/>
      <c r="LVB10" s="533"/>
      <c r="LVC10" s="533"/>
      <c r="LVD10" s="533"/>
      <c r="LVE10" s="533"/>
      <c r="LVF10" s="533"/>
      <c r="LVG10" s="533"/>
      <c r="LVH10" s="533"/>
      <c r="LVI10" s="533"/>
      <c r="LVJ10" s="533"/>
      <c r="LVK10" s="533"/>
      <c r="LVL10" s="533"/>
      <c r="LVM10" s="533"/>
      <c r="LVN10" s="533"/>
      <c r="LVO10" s="533"/>
      <c r="LVP10" s="533"/>
      <c r="LVQ10" s="533"/>
      <c r="LVR10" s="533"/>
      <c r="LVS10" s="533"/>
      <c r="LVT10" s="533"/>
      <c r="LVU10" s="533"/>
      <c r="LVV10" s="533"/>
      <c r="LVW10" s="533"/>
      <c r="LVX10" s="533"/>
      <c r="LVY10" s="533"/>
      <c r="LVZ10" s="533"/>
      <c r="LWA10" s="533"/>
      <c r="LWB10" s="533"/>
      <c r="LWC10" s="533"/>
      <c r="LWD10" s="533"/>
      <c r="LWE10" s="533"/>
      <c r="LWF10" s="533"/>
      <c r="LWG10" s="533"/>
      <c r="LWH10" s="533"/>
      <c r="LWI10" s="533"/>
      <c r="LWJ10" s="533"/>
      <c r="LWK10" s="533"/>
      <c r="LWL10" s="533"/>
      <c r="LWM10" s="533"/>
      <c r="LWN10" s="533"/>
      <c r="LWO10" s="533"/>
      <c r="LWP10" s="533"/>
      <c r="LWQ10" s="533"/>
      <c r="LWR10" s="533"/>
      <c r="LWS10" s="533"/>
      <c r="LWT10" s="533"/>
      <c r="LWU10" s="533"/>
      <c r="LWV10" s="533"/>
      <c r="LWW10" s="533"/>
      <c r="LWX10" s="533"/>
      <c r="LWY10" s="533"/>
      <c r="LWZ10" s="533"/>
      <c r="LXA10" s="533"/>
      <c r="LXB10" s="533"/>
      <c r="LXC10" s="533"/>
      <c r="LXD10" s="533"/>
      <c r="LXE10" s="533"/>
      <c r="LXF10" s="533"/>
      <c r="LXG10" s="533"/>
      <c r="LXH10" s="533"/>
      <c r="LXI10" s="533"/>
      <c r="LXJ10" s="533"/>
      <c r="LXK10" s="533"/>
      <c r="LXL10" s="533"/>
      <c r="LXM10" s="533"/>
      <c r="LXN10" s="533"/>
      <c r="LXO10" s="533"/>
      <c r="LXP10" s="533"/>
      <c r="LXQ10" s="533"/>
      <c r="LXR10" s="533"/>
      <c r="LXS10" s="533"/>
      <c r="LXT10" s="533"/>
      <c r="LXU10" s="533"/>
      <c r="LXV10" s="533"/>
      <c r="LXW10" s="533"/>
      <c r="LXX10" s="533"/>
      <c r="LXY10" s="533"/>
      <c r="LXZ10" s="533"/>
      <c r="LYA10" s="533"/>
      <c r="LYB10" s="533"/>
      <c r="LYC10" s="533"/>
      <c r="LYD10" s="533"/>
      <c r="LYE10" s="533"/>
      <c r="LYF10" s="533"/>
      <c r="LYG10" s="533"/>
      <c r="LYH10" s="533"/>
      <c r="LYI10" s="533"/>
      <c r="LYJ10" s="533"/>
      <c r="LYK10" s="533"/>
      <c r="LYL10" s="533"/>
      <c r="LYM10" s="533"/>
      <c r="LYN10" s="533"/>
      <c r="LYO10" s="533"/>
      <c r="LYP10" s="533"/>
      <c r="LYQ10" s="533"/>
      <c r="LYR10" s="533"/>
      <c r="LYS10" s="533"/>
      <c r="LYT10" s="533"/>
      <c r="LYU10" s="533"/>
      <c r="LYV10" s="533"/>
      <c r="LYW10" s="533"/>
      <c r="LYX10" s="533"/>
      <c r="LYY10" s="533"/>
      <c r="LYZ10" s="533"/>
      <c r="LZA10" s="533"/>
      <c r="LZB10" s="533"/>
      <c r="LZC10" s="533"/>
      <c r="LZD10" s="533"/>
      <c r="LZE10" s="533"/>
      <c r="LZF10" s="533"/>
      <c r="LZG10" s="533"/>
      <c r="LZH10" s="533"/>
      <c r="LZI10" s="533"/>
      <c r="LZJ10" s="533"/>
      <c r="LZK10" s="533"/>
      <c r="LZL10" s="533"/>
      <c r="LZM10" s="533"/>
      <c r="LZN10" s="533"/>
      <c r="LZO10" s="533"/>
      <c r="LZP10" s="533"/>
      <c r="LZQ10" s="533"/>
      <c r="LZR10" s="533"/>
      <c r="LZS10" s="533"/>
      <c r="LZT10" s="533"/>
      <c r="LZU10" s="533"/>
      <c r="LZV10" s="533"/>
      <c r="LZW10" s="533"/>
      <c r="LZX10" s="533"/>
      <c r="LZY10" s="533"/>
      <c r="LZZ10" s="533"/>
      <c r="MAA10" s="533"/>
      <c r="MAB10" s="533"/>
      <c r="MAC10" s="533"/>
      <c r="MAD10" s="533"/>
      <c r="MAE10" s="533"/>
      <c r="MAF10" s="533"/>
      <c r="MAG10" s="533"/>
      <c r="MAH10" s="533"/>
      <c r="MAI10" s="533"/>
      <c r="MAJ10" s="533"/>
      <c r="MAK10" s="533"/>
      <c r="MAL10" s="533"/>
      <c r="MAM10" s="533"/>
      <c r="MAN10" s="533"/>
      <c r="MAO10" s="533"/>
      <c r="MAP10" s="533"/>
      <c r="MAQ10" s="533"/>
      <c r="MAR10" s="533"/>
      <c r="MAS10" s="533"/>
      <c r="MAT10" s="533"/>
      <c r="MAU10" s="533"/>
      <c r="MAV10" s="533"/>
      <c r="MAW10" s="533"/>
      <c r="MAX10" s="533"/>
      <c r="MAY10" s="533"/>
      <c r="MAZ10" s="533"/>
      <c r="MBA10" s="533"/>
      <c r="MBB10" s="533"/>
      <c r="MBC10" s="533"/>
      <c r="MBD10" s="533"/>
      <c r="MBE10" s="533"/>
      <c r="MBF10" s="533"/>
      <c r="MBG10" s="533"/>
      <c r="MBH10" s="533"/>
      <c r="MBI10" s="533"/>
      <c r="MBJ10" s="533"/>
      <c r="MBK10" s="533"/>
      <c r="MBL10" s="533"/>
      <c r="MBM10" s="533"/>
      <c r="MBN10" s="533"/>
      <c r="MBO10" s="533"/>
      <c r="MBP10" s="533"/>
      <c r="MBQ10" s="533"/>
      <c r="MBR10" s="533"/>
      <c r="MBS10" s="533"/>
      <c r="MBT10" s="533"/>
      <c r="MBU10" s="533"/>
      <c r="MBV10" s="533"/>
      <c r="MBW10" s="533"/>
      <c r="MBX10" s="533"/>
      <c r="MBY10" s="533"/>
      <c r="MBZ10" s="533"/>
      <c r="MCA10" s="533"/>
      <c r="MCB10" s="533"/>
      <c r="MCC10" s="533"/>
      <c r="MCD10" s="533"/>
      <c r="MCE10" s="533"/>
      <c r="MCF10" s="533"/>
      <c r="MCG10" s="533"/>
      <c r="MCH10" s="533"/>
      <c r="MCI10" s="533"/>
      <c r="MCJ10" s="533"/>
      <c r="MCK10" s="533"/>
      <c r="MCL10" s="533"/>
      <c r="MCM10" s="533"/>
      <c r="MCN10" s="533"/>
      <c r="MCO10" s="533"/>
      <c r="MCP10" s="533"/>
      <c r="MCQ10" s="533"/>
      <c r="MCR10" s="533"/>
      <c r="MCS10" s="533"/>
      <c r="MCT10" s="533"/>
      <c r="MCU10" s="533"/>
      <c r="MCV10" s="533"/>
      <c r="MCW10" s="533"/>
      <c r="MCX10" s="533"/>
      <c r="MCY10" s="533"/>
      <c r="MCZ10" s="533"/>
      <c r="MDA10" s="533"/>
      <c r="MDB10" s="533"/>
      <c r="MDC10" s="533"/>
      <c r="MDD10" s="533"/>
      <c r="MDE10" s="533"/>
      <c r="MDF10" s="533"/>
      <c r="MDG10" s="533"/>
      <c r="MDH10" s="533"/>
      <c r="MDI10" s="533"/>
      <c r="MDJ10" s="533"/>
      <c r="MDK10" s="533"/>
      <c r="MDL10" s="533"/>
      <c r="MDM10" s="533"/>
      <c r="MDN10" s="533"/>
      <c r="MDO10" s="533"/>
      <c r="MDP10" s="533"/>
      <c r="MDQ10" s="533"/>
      <c r="MDR10" s="533"/>
      <c r="MDS10" s="533"/>
      <c r="MDT10" s="533"/>
      <c r="MDU10" s="533"/>
      <c r="MDV10" s="533"/>
      <c r="MDW10" s="533"/>
      <c r="MDX10" s="533"/>
      <c r="MDY10" s="533"/>
      <c r="MDZ10" s="533"/>
      <c r="MEA10" s="533"/>
      <c r="MEB10" s="533"/>
      <c r="MEC10" s="533"/>
      <c r="MED10" s="533"/>
      <c r="MEE10" s="533"/>
      <c r="MEF10" s="533"/>
      <c r="MEG10" s="533"/>
      <c r="MEH10" s="533"/>
      <c r="MEI10" s="533"/>
      <c r="MEJ10" s="533"/>
      <c r="MEK10" s="533"/>
      <c r="MEL10" s="533"/>
      <c r="MEM10" s="533"/>
      <c r="MEN10" s="533"/>
      <c r="MEO10" s="533"/>
      <c r="MEP10" s="533"/>
      <c r="MEQ10" s="533"/>
      <c r="MER10" s="533"/>
      <c r="MES10" s="533"/>
      <c r="MET10" s="533"/>
      <c r="MEU10" s="533"/>
      <c r="MEV10" s="533"/>
      <c r="MEW10" s="533"/>
      <c r="MEX10" s="533"/>
      <c r="MEY10" s="533"/>
      <c r="MEZ10" s="533"/>
      <c r="MFA10" s="533"/>
      <c r="MFB10" s="533"/>
      <c r="MFC10" s="533"/>
      <c r="MFD10" s="533"/>
      <c r="MFE10" s="533"/>
      <c r="MFF10" s="533"/>
      <c r="MFG10" s="533"/>
      <c r="MFH10" s="533"/>
      <c r="MFI10" s="533"/>
      <c r="MFJ10" s="533"/>
      <c r="MFK10" s="533"/>
      <c r="MFL10" s="533"/>
      <c r="MFM10" s="533"/>
      <c r="MFN10" s="533"/>
      <c r="MFO10" s="533"/>
      <c r="MFP10" s="533"/>
      <c r="MFQ10" s="533"/>
      <c r="MFR10" s="533"/>
      <c r="MFS10" s="533"/>
      <c r="MFT10" s="533"/>
      <c r="MFU10" s="533"/>
      <c r="MFV10" s="533"/>
      <c r="MFW10" s="533"/>
      <c r="MFX10" s="533"/>
      <c r="MFY10" s="533"/>
      <c r="MFZ10" s="533"/>
      <c r="MGA10" s="533"/>
      <c r="MGB10" s="533"/>
      <c r="MGC10" s="533"/>
      <c r="MGD10" s="533"/>
      <c r="MGE10" s="533"/>
      <c r="MGF10" s="533"/>
      <c r="MGG10" s="533"/>
      <c r="MGH10" s="533"/>
      <c r="MGI10" s="533"/>
      <c r="MGJ10" s="533"/>
      <c r="MGK10" s="533"/>
      <c r="MGL10" s="533"/>
      <c r="MGM10" s="533"/>
      <c r="MGN10" s="533"/>
      <c r="MGO10" s="533"/>
      <c r="MGP10" s="533"/>
      <c r="MGQ10" s="533"/>
      <c r="MGR10" s="533"/>
      <c r="MGS10" s="533"/>
      <c r="MGT10" s="533"/>
      <c r="MGU10" s="533"/>
      <c r="MGV10" s="533"/>
      <c r="MGW10" s="533"/>
      <c r="MGX10" s="533"/>
      <c r="MGY10" s="533"/>
      <c r="MGZ10" s="533"/>
      <c r="MHA10" s="533"/>
      <c r="MHB10" s="533"/>
      <c r="MHC10" s="533"/>
      <c r="MHD10" s="533"/>
      <c r="MHE10" s="533"/>
      <c r="MHF10" s="533"/>
      <c r="MHG10" s="533"/>
      <c r="MHH10" s="533"/>
      <c r="MHI10" s="533"/>
      <c r="MHJ10" s="533"/>
      <c r="MHK10" s="533"/>
      <c r="MHL10" s="533"/>
      <c r="MHM10" s="533"/>
      <c r="MHN10" s="533"/>
      <c r="MHO10" s="533"/>
      <c r="MHP10" s="533"/>
      <c r="MHQ10" s="533"/>
      <c r="MHR10" s="533"/>
      <c r="MHS10" s="533"/>
      <c r="MHT10" s="533"/>
      <c r="MHU10" s="533"/>
      <c r="MHV10" s="533"/>
      <c r="MHW10" s="533"/>
      <c r="MHX10" s="533"/>
      <c r="MHY10" s="533"/>
      <c r="MHZ10" s="533"/>
      <c r="MIA10" s="533"/>
      <c r="MIB10" s="533"/>
      <c r="MIC10" s="533"/>
      <c r="MID10" s="533"/>
      <c r="MIE10" s="533"/>
      <c r="MIF10" s="533"/>
      <c r="MIG10" s="533"/>
      <c r="MIH10" s="533"/>
      <c r="MII10" s="533"/>
      <c r="MIJ10" s="533"/>
      <c r="MIK10" s="533"/>
      <c r="MIL10" s="533"/>
      <c r="MIM10" s="533"/>
      <c r="MIN10" s="533"/>
      <c r="MIO10" s="533"/>
      <c r="MIP10" s="533"/>
      <c r="MIQ10" s="533"/>
      <c r="MIR10" s="533"/>
      <c r="MIS10" s="533"/>
      <c r="MIT10" s="533"/>
      <c r="MIU10" s="533"/>
      <c r="MIV10" s="533"/>
      <c r="MIW10" s="533"/>
      <c r="MIX10" s="533"/>
      <c r="MIY10" s="533"/>
      <c r="MIZ10" s="533"/>
      <c r="MJA10" s="533"/>
      <c r="MJB10" s="533"/>
      <c r="MJC10" s="533"/>
      <c r="MJD10" s="533"/>
      <c r="MJE10" s="533"/>
      <c r="MJF10" s="533"/>
      <c r="MJG10" s="533"/>
      <c r="MJH10" s="533"/>
      <c r="MJI10" s="533"/>
      <c r="MJJ10" s="533"/>
      <c r="MJK10" s="533"/>
      <c r="MJL10" s="533"/>
      <c r="MJM10" s="533"/>
      <c r="MJN10" s="533"/>
      <c r="MJO10" s="533"/>
      <c r="MJP10" s="533"/>
      <c r="MJQ10" s="533"/>
      <c r="MJR10" s="533"/>
      <c r="MJS10" s="533"/>
      <c r="MJT10" s="533"/>
      <c r="MJU10" s="533"/>
      <c r="MJV10" s="533"/>
      <c r="MJW10" s="533"/>
      <c r="MJX10" s="533"/>
      <c r="MJY10" s="533"/>
      <c r="MJZ10" s="533"/>
      <c r="MKA10" s="533"/>
      <c r="MKB10" s="533"/>
      <c r="MKC10" s="533"/>
      <c r="MKD10" s="533"/>
      <c r="MKE10" s="533"/>
      <c r="MKF10" s="533"/>
      <c r="MKG10" s="533"/>
      <c r="MKH10" s="533"/>
      <c r="MKI10" s="533"/>
      <c r="MKJ10" s="533"/>
      <c r="MKK10" s="533"/>
      <c r="MKL10" s="533"/>
      <c r="MKM10" s="533"/>
      <c r="MKN10" s="533"/>
      <c r="MKO10" s="533"/>
      <c r="MKP10" s="533"/>
      <c r="MKQ10" s="533"/>
      <c r="MKR10" s="533"/>
      <c r="MKS10" s="533"/>
      <c r="MKT10" s="533"/>
      <c r="MKU10" s="533"/>
      <c r="MKV10" s="533"/>
      <c r="MKW10" s="533"/>
      <c r="MKX10" s="533"/>
      <c r="MKY10" s="533"/>
      <c r="MKZ10" s="533"/>
      <c r="MLA10" s="533"/>
      <c r="MLB10" s="533"/>
      <c r="MLC10" s="533"/>
      <c r="MLD10" s="533"/>
      <c r="MLE10" s="533"/>
      <c r="MLF10" s="533"/>
      <c r="MLG10" s="533"/>
      <c r="MLH10" s="533"/>
      <c r="MLI10" s="533"/>
      <c r="MLJ10" s="533"/>
      <c r="MLK10" s="533"/>
      <c r="MLL10" s="533"/>
      <c r="MLM10" s="533"/>
      <c r="MLN10" s="533"/>
      <c r="MLO10" s="533"/>
      <c r="MLP10" s="533"/>
      <c r="MLQ10" s="533"/>
      <c r="MLR10" s="533"/>
      <c r="MLS10" s="533"/>
      <c r="MLT10" s="533"/>
      <c r="MLU10" s="533"/>
      <c r="MLV10" s="533"/>
      <c r="MLW10" s="533"/>
      <c r="MLX10" s="533"/>
      <c r="MLY10" s="533"/>
      <c r="MLZ10" s="533"/>
      <c r="MMA10" s="533"/>
      <c r="MMB10" s="533"/>
      <c r="MMC10" s="533"/>
      <c r="MMD10" s="533"/>
      <c r="MME10" s="533"/>
      <c r="MMF10" s="533"/>
      <c r="MMG10" s="533"/>
      <c r="MMH10" s="533"/>
      <c r="MMI10" s="533"/>
      <c r="MMJ10" s="533"/>
      <c r="MMK10" s="533"/>
      <c r="MML10" s="533"/>
      <c r="MMM10" s="533"/>
      <c r="MMN10" s="533"/>
      <c r="MMO10" s="533"/>
      <c r="MMP10" s="533"/>
      <c r="MMQ10" s="533"/>
      <c r="MMR10" s="533"/>
      <c r="MMS10" s="533"/>
      <c r="MMT10" s="533"/>
      <c r="MMU10" s="533"/>
      <c r="MMV10" s="533"/>
      <c r="MMW10" s="533"/>
      <c r="MMX10" s="533"/>
      <c r="MMY10" s="533"/>
      <c r="MMZ10" s="533"/>
      <c r="MNA10" s="533"/>
      <c r="MNB10" s="533"/>
      <c r="MNC10" s="533"/>
      <c r="MND10" s="533"/>
      <c r="MNE10" s="533"/>
      <c r="MNF10" s="533"/>
      <c r="MNG10" s="533"/>
      <c r="MNH10" s="533"/>
      <c r="MNI10" s="533"/>
      <c r="MNJ10" s="533"/>
      <c r="MNK10" s="533"/>
      <c r="MNL10" s="533"/>
      <c r="MNM10" s="533"/>
      <c r="MNN10" s="533"/>
      <c r="MNO10" s="533"/>
      <c r="MNP10" s="533"/>
      <c r="MNQ10" s="533"/>
      <c r="MNR10" s="533"/>
      <c r="MNS10" s="533"/>
      <c r="MNT10" s="533"/>
      <c r="MNU10" s="533"/>
      <c r="MNV10" s="533"/>
      <c r="MNW10" s="533"/>
      <c r="MNX10" s="533"/>
      <c r="MNY10" s="533"/>
      <c r="MNZ10" s="533"/>
      <c r="MOA10" s="533"/>
      <c r="MOB10" s="533"/>
      <c r="MOC10" s="533"/>
      <c r="MOD10" s="533"/>
      <c r="MOE10" s="533"/>
      <c r="MOF10" s="533"/>
      <c r="MOG10" s="533"/>
      <c r="MOH10" s="533"/>
      <c r="MOI10" s="533"/>
      <c r="MOJ10" s="533"/>
      <c r="MOK10" s="533"/>
      <c r="MOL10" s="533"/>
      <c r="MOM10" s="533"/>
      <c r="MON10" s="533"/>
      <c r="MOO10" s="533"/>
      <c r="MOP10" s="533"/>
      <c r="MOQ10" s="533"/>
      <c r="MOR10" s="533"/>
      <c r="MOS10" s="533"/>
      <c r="MOT10" s="533"/>
      <c r="MOU10" s="533"/>
      <c r="MOV10" s="533"/>
      <c r="MOW10" s="533"/>
      <c r="MOX10" s="533"/>
      <c r="MOY10" s="533"/>
      <c r="MOZ10" s="533"/>
      <c r="MPA10" s="533"/>
      <c r="MPB10" s="533"/>
      <c r="MPC10" s="533"/>
      <c r="MPD10" s="533"/>
      <c r="MPE10" s="533"/>
      <c r="MPF10" s="533"/>
      <c r="MPG10" s="533"/>
      <c r="MPH10" s="533"/>
      <c r="MPI10" s="533"/>
      <c r="MPJ10" s="533"/>
      <c r="MPK10" s="533"/>
      <c r="MPL10" s="533"/>
      <c r="MPM10" s="533"/>
      <c r="MPN10" s="533"/>
      <c r="MPO10" s="533"/>
      <c r="MPP10" s="533"/>
      <c r="MPQ10" s="533"/>
      <c r="MPR10" s="533"/>
      <c r="MPS10" s="533"/>
      <c r="MPT10" s="533"/>
      <c r="MPU10" s="533"/>
      <c r="MPV10" s="533"/>
      <c r="MPW10" s="533"/>
      <c r="MPX10" s="533"/>
      <c r="MPY10" s="533"/>
      <c r="MPZ10" s="533"/>
      <c r="MQA10" s="533"/>
      <c r="MQB10" s="533"/>
      <c r="MQC10" s="533"/>
      <c r="MQD10" s="533"/>
      <c r="MQE10" s="533"/>
      <c r="MQF10" s="533"/>
      <c r="MQG10" s="533"/>
      <c r="MQH10" s="533"/>
      <c r="MQI10" s="533"/>
      <c r="MQJ10" s="533"/>
      <c r="MQK10" s="533"/>
      <c r="MQL10" s="533"/>
      <c r="MQM10" s="533"/>
      <c r="MQN10" s="533"/>
      <c r="MQO10" s="533"/>
      <c r="MQP10" s="533"/>
      <c r="MQQ10" s="533"/>
      <c r="MQR10" s="533"/>
      <c r="MQS10" s="533"/>
      <c r="MQT10" s="533"/>
      <c r="MQU10" s="533"/>
      <c r="MQV10" s="533"/>
      <c r="MQW10" s="533"/>
      <c r="MQX10" s="533"/>
      <c r="MQY10" s="533"/>
      <c r="MQZ10" s="533"/>
      <c r="MRA10" s="533"/>
      <c r="MRB10" s="533"/>
      <c r="MRC10" s="533"/>
      <c r="MRD10" s="533"/>
      <c r="MRE10" s="533"/>
      <c r="MRF10" s="533"/>
      <c r="MRG10" s="533"/>
      <c r="MRH10" s="533"/>
      <c r="MRI10" s="533"/>
      <c r="MRJ10" s="533"/>
      <c r="MRK10" s="533"/>
      <c r="MRL10" s="533"/>
      <c r="MRM10" s="533"/>
      <c r="MRN10" s="533"/>
      <c r="MRO10" s="533"/>
      <c r="MRP10" s="533"/>
      <c r="MRQ10" s="533"/>
      <c r="MRR10" s="533"/>
      <c r="MRS10" s="533"/>
      <c r="MRT10" s="533"/>
      <c r="MRU10" s="533"/>
      <c r="MRV10" s="533"/>
      <c r="MRW10" s="533"/>
      <c r="MRX10" s="533"/>
      <c r="MRY10" s="533"/>
      <c r="MRZ10" s="533"/>
      <c r="MSA10" s="533"/>
      <c r="MSB10" s="533"/>
      <c r="MSC10" s="533"/>
      <c r="MSD10" s="533"/>
      <c r="MSE10" s="533"/>
      <c r="MSF10" s="533"/>
      <c r="MSG10" s="533"/>
      <c r="MSH10" s="533"/>
      <c r="MSI10" s="533"/>
      <c r="MSJ10" s="533"/>
      <c r="MSK10" s="533"/>
      <c r="MSL10" s="533"/>
      <c r="MSM10" s="533"/>
      <c r="MSN10" s="533"/>
      <c r="MSO10" s="533"/>
      <c r="MSP10" s="533"/>
      <c r="MSQ10" s="533"/>
      <c r="MSR10" s="533"/>
      <c r="MSS10" s="533"/>
      <c r="MST10" s="533"/>
      <c r="MSU10" s="533"/>
      <c r="MSV10" s="533"/>
      <c r="MSW10" s="533"/>
      <c r="MSX10" s="533"/>
      <c r="MSY10" s="533"/>
      <c r="MSZ10" s="533"/>
      <c r="MTA10" s="533"/>
      <c r="MTB10" s="533"/>
      <c r="MTC10" s="533"/>
      <c r="MTD10" s="533"/>
      <c r="MTE10" s="533"/>
      <c r="MTF10" s="533"/>
      <c r="MTG10" s="533"/>
      <c r="MTH10" s="533"/>
      <c r="MTI10" s="533"/>
      <c r="MTJ10" s="533"/>
      <c r="MTK10" s="533"/>
      <c r="MTL10" s="533"/>
      <c r="MTM10" s="533"/>
      <c r="MTN10" s="533"/>
      <c r="MTO10" s="533"/>
      <c r="MTP10" s="533"/>
      <c r="MTQ10" s="533"/>
      <c r="MTR10" s="533"/>
      <c r="MTS10" s="533"/>
      <c r="MTT10" s="533"/>
      <c r="MTU10" s="533"/>
      <c r="MTV10" s="533"/>
      <c r="MTW10" s="533"/>
      <c r="MTX10" s="533"/>
      <c r="MTY10" s="533"/>
      <c r="MTZ10" s="533"/>
      <c r="MUA10" s="533"/>
      <c r="MUB10" s="533"/>
      <c r="MUC10" s="533"/>
      <c r="MUD10" s="533"/>
      <c r="MUE10" s="533"/>
      <c r="MUF10" s="533"/>
      <c r="MUG10" s="533"/>
      <c r="MUH10" s="533"/>
      <c r="MUI10" s="533"/>
      <c r="MUJ10" s="533"/>
      <c r="MUK10" s="533"/>
      <c r="MUL10" s="533"/>
      <c r="MUM10" s="533"/>
      <c r="MUN10" s="533"/>
      <c r="MUO10" s="533"/>
      <c r="MUP10" s="533"/>
      <c r="MUQ10" s="533"/>
      <c r="MUR10" s="533"/>
      <c r="MUS10" s="533"/>
      <c r="MUT10" s="533"/>
      <c r="MUU10" s="533"/>
      <c r="MUV10" s="533"/>
      <c r="MUW10" s="533"/>
      <c r="MUX10" s="533"/>
      <c r="MUY10" s="533"/>
      <c r="MUZ10" s="533"/>
      <c r="MVA10" s="533"/>
      <c r="MVB10" s="533"/>
      <c r="MVC10" s="533"/>
      <c r="MVD10" s="533"/>
      <c r="MVE10" s="533"/>
      <c r="MVF10" s="533"/>
      <c r="MVG10" s="533"/>
      <c r="MVH10" s="533"/>
      <c r="MVI10" s="533"/>
      <c r="MVJ10" s="533"/>
      <c r="MVK10" s="533"/>
      <c r="MVL10" s="533"/>
      <c r="MVM10" s="533"/>
      <c r="MVN10" s="533"/>
      <c r="MVO10" s="533"/>
      <c r="MVP10" s="533"/>
      <c r="MVQ10" s="533"/>
      <c r="MVR10" s="533"/>
      <c r="MVS10" s="533"/>
      <c r="MVT10" s="533"/>
      <c r="MVU10" s="533"/>
      <c r="MVV10" s="533"/>
      <c r="MVW10" s="533"/>
      <c r="MVX10" s="533"/>
      <c r="MVY10" s="533"/>
      <c r="MVZ10" s="533"/>
      <c r="MWA10" s="533"/>
      <c r="MWB10" s="533"/>
      <c r="MWC10" s="533"/>
      <c r="MWD10" s="533"/>
      <c r="MWE10" s="533"/>
      <c r="MWF10" s="533"/>
      <c r="MWG10" s="533"/>
      <c r="MWH10" s="533"/>
      <c r="MWI10" s="533"/>
      <c r="MWJ10" s="533"/>
      <c r="MWK10" s="533"/>
      <c r="MWL10" s="533"/>
      <c r="MWM10" s="533"/>
      <c r="MWN10" s="533"/>
      <c r="MWO10" s="533"/>
      <c r="MWP10" s="533"/>
      <c r="MWQ10" s="533"/>
      <c r="MWR10" s="533"/>
      <c r="MWS10" s="533"/>
      <c r="MWT10" s="533"/>
      <c r="MWU10" s="533"/>
      <c r="MWV10" s="533"/>
      <c r="MWW10" s="533"/>
      <c r="MWX10" s="533"/>
      <c r="MWY10" s="533"/>
      <c r="MWZ10" s="533"/>
      <c r="MXA10" s="533"/>
      <c r="MXB10" s="533"/>
      <c r="MXC10" s="533"/>
      <c r="MXD10" s="533"/>
      <c r="MXE10" s="533"/>
      <c r="MXF10" s="533"/>
      <c r="MXG10" s="533"/>
      <c r="MXH10" s="533"/>
      <c r="MXI10" s="533"/>
      <c r="MXJ10" s="533"/>
      <c r="MXK10" s="533"/>
      <c r="MXL10" s="533"/>
      <c r="MXM10" s="533"/>
      <c r="MXN10" s="533"/>
      <c r="MXO10" s="533"/>
      <c r="MXP10" s="533"/>
      <c r="MXQ10" s="533"/>
      <c r="MXR10" s="533"/>
      <c r="MXS10" s="533"/>
      <c r="MXT10" s="533"/>
      <c r="MXU10" s="533"/>
      <c r="MXV10" s="533"/>
      <c r="MXW10" s="533"/>
      <c r="MXX10" s="533"/>
      <c r="MXY10" s="533"/>
      <c r="MXZ10" s="533"/>
      <c r="MYA10" s="533"/>
      <c r="MYB10" s="533"/>
      <c r="MYC10" s="533"/>
      <c r="MYD10" s="533"/>
      <c r="MYE10" s="533"/>
      <c r="MYF10" s="533"/>
      <c r="MYG10" s="533"/>
      <c r="MYH10" s="533"/>
      <c r="MYI10" s="533"/>
      <c r="MYJ10" s="533"/>
      <c r="MYK10" s="533"/>
      <c r="MYL10" s="533"/>
      <c r="MYM10" s="533"/>
      <c r="MYN10" s="533"/>
      <c r="MYO10" s="533"/>
      <c r="MYP10" s="533"/>
      <c r="MYQ10" s="533"/>
      <c r="MYR10" s="533"/>
      <c r="MYS10" s="533"/>
      <c r="MYT10" s="533"/>
      <c r="MYU10" s="533"/>
      <c r="MYV10" s="533"/>
      <c r="MYW10" s="533"/>
      <c r="MYX10" s="533"/>
      <c r="MYY10" s="533"/>
      <c r="MYZ10" s="533"/>
      <c r="MZA10" s="533"/>
      <c r="MZB10" s="533"/>
      <c r="MZC10" s="533"/>
      <c r="MZD10" s="533"/>
      <c r="MZE10" s="533"/>
      <c r="MZF10" s="533"/>
      <c r="MZG10" s="533"/>
      <c r="MZH10" s="533"/>
      <c r="MZI10" s="533"/>
      <c r="MZJ10" s="533"/>
      <c r="MZK10" s="533"/>
      <c r="MZL10" s="533"/>
      <c r="MZM10" s="533"/>
      <c r="MZN10" s="533"/>
      <c r="MZO10" s="533"/>
      <c r="MZP10" s="533"/>
      <c r="MZQ10" s="533"/>
      <c r="MZR10" s="533"/>
      <c r="MZS10" s="533"/>
      <c r="MZT10" s="533"/>
      <c r="MZU10" s="533"/>
      <c r="MZV10" s="533"/>
      <c r="MZW10" s="533"/>
      <c r="MZX10" s="533"/>
      <c r="MZY10" s="533"/>
      <c r="MZZ10" s="533"/>
      <c r="NAA10" s="533"/>
      <c r="NAB10" s="533"/>
      <c r="NAC10" s="533"/>
      <c r="NAD10" s="533"/>
      <c r="NAE10" s="533"/>
      <c r="NAF10" s="533"/>
      <c r="NAG10" s="533"/>
      <c r="NAH10" s="533"/>
      <c r="NAI10" s="533"/>
      <c r="NAJ10" s="533"/>
      <c r="NAK10" s="533"/>
      <c r="NAL10" s="533"/>
      <c r="NAM10" s="533"/>
      <c r="NAN10" s="533"/>
      <c r="NAO10" s="533"/>
      <c r="NAP10" s="533"/>
      <c r="NAQ10" s="533"/>
      <c r="NAR10" s="533"/>
      <c r="NAS10" s="533"/>
      <c r="NAT10" s="533"/>
      <c r="NAU10" s="533"/>
      <c r="NAV10" s="533"/>
      <c r="NAW10" s="533"/>
      <c r="NAX10" s="533"/>
      <c r="NAY10" s="533"/>
      <c r="NAZ10" s="533"/>
      <c r="NBA10" s="533"/>
      <c r="NBB10" s="533"/>
      <c r="NBC10" s="533"/>
      <c r="NBD10" s="533"/>
      <c r="NBE10" s="533"/>
      <c r="NBF10" s="533"/>
      <c r="NBG10" s="533"/>
      <c r="NBH10" s="533"/>
      <c r="NBI10" s="533"/>
      <c r="NBJ10" s="533"/>
      <c r="NBK10" s="533"/>
      <c r="NBL10" s="533"/>
      <c r="NBM10" s="533"/>
      <c r="NBN10" s="533"/>
      <c r="NBO10" s="533"/>
      <c r="NBP10" s="533"/>
      <c r="NBQ10" s="533"/>
      <c r="NBR10" s="533"/>
      <c r="NBS10" s="533"/>
      <c r="NBT10" s="533"/>
      <c r="NBU10" s="533"/>
      <c r="NBV10" s="533"/>
      <c r="NBW10" s="533"/>
      <c r="NBX10" s="533"/>
      <c r="NBY10" s="533"/>
      <c r="NBZ10" s="533"/>
      <c r="NCA10" s="533"/>
      <c r="NCB10" s="533"/>
      <c r="NCC10" s="533"/>
      <c r="NCD10" s="533"/>
      <c r="NCE10" s="533"/>
      <c r="NCF10" s="533"/>
      <c r="NCG10" s="533"/>
      <c r="NCH10" s="533"/>
      <c r="NCI10" s="533"/>
      <c r="NCJ10" s="533"/>
      <c r="NCK10" s="533"/>
      <c r="NCL10" s="533"/>
      <c r="NCM10" s="533"/>
      <c r="NCN10" s="533"/>
      <c r="NCO10" s="533"/>
      <c r="NCP10" s="533"/>
      <c r="NCQ10" s="533"/>
      <c r="NCR10" s="533"/>
      <c r="NCS10" s="533"/>
      <c r="NCT10" s="533"/>
      <c r="NCU10" s="533"/>
      <c r="NCV10" s="533"/>
      <c r="NCW10" s="533"/>
      <c r="NCX10" s="533"/>
      <c r="NCY10" s="533"/>
      <c r="NCZ10" s="533"/>
      <c r="NDA10" s="533"/>
      <c r="NDB10" s="533"/>
      <c r="NDC10" s="533"/>
      <c r="NDD10" s="533"/>
      <c r="NDE10" s="533"/>
      <c r="NDF10" s="533"/>
      <c r="NDG10" s="533"/>
      <c r="NDH10" s="533"/>
      <c r="NDI10" s="533"/>
      <c r="NDJ10" s="533"/>
      <c r="NDK10" s="533"/>
      <c r="NDL10" s="533"/>
      <c r="NDM10" s="533"/>
      <c r="NDN10" s="533"/>
      <c r="NDO10" s="533"/>
      <c r="NDP10" s="533"/>
      <c r="NDQ10" s="533"/>
      <c r="NDR10" s="533"/>
      <c r="NDS10" s="533"/>
      <c r="NDT10" s="533"/>
      <c r="NDU10" s="533"/>
      <c r="NDV10" s="533"/>
      <c r="NDW10" s="533"/>
      <c r="NDX10" s="533"/>
      <c r="NDY10" s="533"/>
      <c r="NDZ10" s="533"/>
      <c r="NEA10" s="533"/>
      <c r="NEB10" s="533"/>
      <c r="NEC10" s="533"/>
      <c r="NED10" s="533"/>
      <c r="NEE10" s="533"/>
      <c r="NEF10" s="533"/>
      <c r="NEG10" s="533"/>
      <c r="NEH10" s="533"/>
      <c r="NEI10" s="533"/>
      <c r="NEJ10" s="533"/>
      <c r="NEK10" s="533"/>
      <c r="NEL10" s="533"/>
      <c r="NEM10" s="533"/>
      <c r="NEN10" s="533"/>
      <c r="NEO10" s="533"/>
      <c r="NEP10" s="533"/>
      <c r="NEQ10" s="533"/>
      <c r="NER10" s="533"/>
      <c r="NES10" s="533"/>
      <c r="NET10" s="533"/>
      <c r="NEU10" s="533"/>
      <c r="NEV10" s="533"/>
      <c r="NEW10" s="533"/>
      <c r="NEX10" s="533"/>
      <c r="NEY10" s="533"/>
      <c r="NEZ10" s="533"/>
      <c r="NFA10" s="533"/>
      <c r="NFB10" s="533"/>
      <c r="NFC10" s="533"/>
      <c r="NFD10" s="533"/>
      <c r="NFE10" s="533"/>
      <c r="NFF10" s="533"/>
      <c r="NFG10" s="533"/>
      <c r="NFH10" s="533"/>
      <c r="NFI10" s="533"/>
      <c r="NFJ10" s="533"/>
      <c r="NFK10" s="533"/>
      <c r="NFL10" s="533"/>
      <c r="NFM10" s="533"/>
      <c r="NFN10" s="533"/>
      <c r="NFO10" s="533"/>
      <c r="NFP10" s="533"/>
      <c r="NFQ10" s="533"/>
      <c r="NFR10" s="533"/>
      <c r="NFS10" s="533"/>
      <c r="NFT10" s="533"/>
      <c r="NFU10" s="533"/>
      <c r="NFV10" s="533"/>
      <c r="NFW10" s="533"/>
      <c r="NFX10" s="533"/>
      <c r="NFY10" s="533"/>
      <c r="NFZ10" s="533"/>
      <c r="NGA10" s="533"/>
      <c r="NGB10" s="533"/>
      <c r="NGC10" s="533"/>
      <c r="NGD10" s="533"/>
      <c r="NGE10" s="533"/>
      <c r="NGF10" s="533"/>
      <c r="NGG10" s="533"/>
      <c r="NGH10" s="533"/>
      <c r="NGI10" s="533"/>
      <c r="NGJ10" s="533"/>
      <c r="NGK10" s="533"/>
      <c r="NGL10" s="533"/>
      <c r="NGM10" s="533"/>
      <c r="NGN10" s="533"/>
      <c r="NGO10" s="533"/>
      <c r="NGP10" s="533"/>
      <c r="NGQ10" s="533"/>
      <c r="NGR10" s="533"/>
      <c r="NGS10" s="533"/>
      <c r="NGT10" s="533"/>
      <c r="NGU10" s="533"/>
      <c r="NGV10" s="533"/>
      <c r="NGW10" s="533"/>
      <c r="NGX10" s="533"/>
      <c r="NGY10" s="533"/>
      <c r="NGZ10" s="533"/>
      <c r="NHA10" s="533"/>
      <c r="NHB10" s="533"/>
      <c r="NHC10" s="533"/>
      <c r="NHD10" s="533"/>
      <c r="NHE10" s="533"/>
      <c r="NHF10" s="533"/>
      <c r="NHG10" s="533"/>
      <c r="NHH10" s="533"/>
      <c r="NHI10" s="533"/>
      <c r="NHJ10" s="533"/>
      <c r="NHK10" s="533"/>
      <c r="NHL10" s="533"/>
      <c r="NHM10" s="533"/>
      <c r="NHN10" s="533"/>
      <c r="NHO10" s="533"/>
      <c r="NHP10" s="533"/>
      <c r="NHQ10" s="533"/>
      <c r="NHR10" s="533"/>
      <c r="NHS10" s="533"/>
      <c r="NHT10" s="533"/>
      <c r="NHU10" s="533"/>
      <c r="NHV10" s="533"/>
      <c r="NHW10" s="533"/>
      <c r="NHX10" s="533"/>
      <c r="NHY10" s="533"/>
      <c r="NHZ10" s="533"/>
      <c r="NIA10" s="533"/>
      <c r="NIB10" s="533"/>
      <c r="NIC10" s="533"/>
      <c r="NID10" s="533"/>
      <c r="NIE10" s="533"/>
      <c r="NIF10" s="533"/>
      <c r="NIG10" s="533"/>
      <c r="NIH10" s="533"/>
      <c r="NII10" s="533"/>
      <c r="NIJ10" s="533"/>
      <c r="NIK10" s="533"/>
      <c r="NIL10" s="533"/>
      <c r="NIM10" s="533"/>
      <c r="NIN10" s="533"/>
      <c r="NIO10" s="533"/>
      <c r="NIP10" s="533"/>
      <c r="NIQ10" s="533"/>
      <c r="NIR10" s="533"/>
      <c r="NIS10" s="533"/>
      <c r="NIT10" s="533"/>
      <c r="NIU10" s="533"/>
      <c r="NIV10" s="533"/>
      <c r="NIW10" s="533"/>
      <c r="NIX10" s="533"/>
      <c r="NIY10" s="533"/>
      <c r="NIZ10" s="533"/>
      <c r="NJA10" s="533"/>
      <c r="NJB10" s="533"/>
      <c r="NJC10" s="533"/>
      <c r="NJD10" s="533"/>
      <c r="NJE10" s="533"/>
      <c r="NJF10" s="533"/>
      <c r="NJG10" s="533"/>
      <c r="NJH10" s="533"/>
      <c r="NJI10" s="533"/>
      <c r="NJJ10" s="533"/>
      <c r="NJK10" s="533"/>
      <c r="NJL10" s="533"/>
      <c r="NJM10" s="533"/>
      <c r="NJN10" s="533"/>
      <c r="NJO10" s="533"/>
      <c r="NJP10" s="533"/>
      <c r="NJQ10" s="533"/>
      <c r="NJR10" s="533"/>
      <c r="NJS10" s="533"/>
      <c r="NJT10" s="533"/>
      <c r="NJU10" s="533"/>
      <c r="NJV10" s="533"/>
      <c r="NJW10" s="533"/>
      <c r="NJX10" s="533"/>
      <c r="NJY10" s="533"/>
      <c r="NJZ10" s="533"/>
      <c r="NKA10" s="533"/>
      <c r="NKB10" s="533"/>
      <c r="NKC10" s="533"/>
      <c r="NKD10" s="533"/>
      <c r="NKE10" s="533"/>
      <c r="NKF10" s="533"/>
      <c r="NKG10" s="533"/>
      <c r="NKH10" s="533"/>
      <c r="NKI10" s="533"/>
      <c r="NKJ10" s="533"/>
      <c r="NKK10" s="533"/>
      <c r="NKL10" s="533"/>
      <c r="NKM10" s="533"/>
      <c r="NKN10" s="533"/>
      <c r="NKO10" s="533"/>
      <c r="NKP10" s="533"/>
      <c r="NKQ10" s="533"/>
      <c r="NKR10" s="533"/>
      <c r="NKS10" s="533"/>
      <c r="NKT10" s="533"/>
      <c r="NKU10" s="533"/>
      <c r="NKV10" s="533"/>
      <c r="NKW10" s="533"/>
      <c r="NKX10" s="533"/>
      <c r="NKY10" s="533"/>
      <c r="NKZ10" s="533"/>
      <c r="NLA10" s="533"/>
      <c r="NLB10" s="533"/>
      <c r="NLC10" s="533"/>
      <c r="NLD10" s="533"/>
      <c r="NLE10" s="533"/>
      <c r="NLF10" s="533"/>
      <c r="NLG10" s="533"/>
      <c r="NLH10" s="533"/>
      <c r="NLI10" s="533"/>
      <c r="NLJ10" s="533"/>
      <c r="NLK10" s="533"/>
      <c r="NLL10" s="533"/>
      <c r="NLM10" s="533"/>
      <c r="NLN10" s="533"/>
      <c r="NLO10" s="533"/>
      <c r="NLP10" s="533"/>
      <c r="NLQ10" s="533"/>
      <c r="NLR10" s="533"/>
      <c r="NLS10" s="533"/>
      <c r="NLT10" s="533"/>
      <c r="NLU10" s="533"/>
      <c r="NLV10" s="533"/>
      <c r="NLW10" s="533"/>
      <c r="NLX10" s="533"/>
      <c r="NLY10" s="533"/>
      <c r="NLZ10" s="533"/>
      <c r="NMA10" s="533"/>
      <c r="NMB10" s="533"/>
      <c r="NMC10" s="533"/>
      <c r="NMD10" s="533"/>
      <c r="NME10" s="533"/>
      <c r="NMF10" s="533"/>
      <c r="NMG10" s="533"/>
      <c r="NMH10" s="533"/>
      <c r="NMI10" s="533"/>
      <c r="NMJ10" s="533"/>
      <c r="NMK10" s="533"/>
      <c r="NML10" s="533"/>
      <c r="NMM10" s="533"/>
      <c r="NMN10" s="533"/>
      <c r="NMO10" s="533"/>
      <c r="NMP10" s="533"/>
      <c r="NMQ10" s="533"/>
      <c r="NMR10" s="533"/>
      <c r="NMS10" s="533"/>
      <c r="NMT10" s="533"/>
      <c r="NMU10" s="533"/>
      <c r="NMV10" s="533"/>
      <c r="NMW10" s="533"/>
      <c r="NMX10" s="533"/>
      <c r="NMY10" s="533"/>
      <c r="NMZ10" s="533"/>
      <c r="NNA10" s="533"/>
      <c r="NNB10" s="533"/>
      <c r="NNC10" s="533"/>
      <c r="NND10" s="533"/>
      <c r="NNE10" s="533"/>
      <c r="NNF10" s="533"/>
      <c r="NNG10" s="533"/>
      <c r="NNH10" s="533"/>
      <c r="NNI10" s="533"/>
      <c r="NNJ10" s="533"/>
      <c r="NNK10" s="533"/>
      <c r="NNL10" s="533"/>
      <c r="NNM10" s="533"/>
      <c r="NNN10" s="533"/>
      <c r="NNO10" s="533"/>
      <c r="NNP10" s="533"/>
      <c r="NNQ10" s="533"/>
      <c r="NNR10" s="533"/>
      <c r="NNS10" s="533"/>
      <c r="NNT10" s="533"/>
      <c r="NNU10" s="533"/>
      <c r="NNV10" s="533"/>
      <c r="NNW10" s="533"/>
      <c r="NNX10" s="533"/>
      <c r="NNY10" s="533"/>
      <c r="NNZ10" s="533"/>
      <c r="NOA10" s="533"/>
      <c r="NOB10" s="533"/>
      <c r="NOC10" s="533"/>
      <c r="NOD10" s="533"/>
      <c r="NOE10" s="533"/>
      <c r="NOF10" s="533"/>
      <c r="NOG10" s="533"/>
      <c r="NOH10" s="533"/>
      <c r="NOI10" s="533"/>
      <c r="NOJ10" s="533"/>
      <c r="NOK10" s="533"/>
      <c r="NOL10" s="533"/>
      <c r="NOM10" s="533"/>
      <c r="NON10" s="533"/>
      <c r="NOO10" s="533"/>
      <c r="NOP10" s="533"/>
      <c r="NOQ10" s="533"/>
      <c r="NOR10" s="533"/>
      <c r="NOS10" s="533"/>
      <c r="NOT10" s="533"/>
      <c r="NOU10" s="533"/>
      <c r="NOV10" s="533"/>
      <c r="NOW10" s="533"/>
      <c r="NOX10" s="533"/>
      <c r="NOY10" s="533"/>
      <c r="NOZ10" s="533"/>
      <c r="NPA10" s="533"/>
      <c r="NPB10" s="533"/>
      <c r="NPC10" s="533"/>
      <c r="NPD10" s="533"/>
      <c r="NPE10" s="533"/>
      <c r="NPF10" s="533"/>
      <c r="NPG10" s="533"/>
      <c r="NPH10" s="533"/>
      <c r="NPI10" s="533"/>
      <c r="NPJ10" s="533"/>
      <c r="NPK10" s="533"/>
      <c r="NPL10" s="533"/>
      <c r="NPM10" s="533"/>
      <c r="NPN10" s="533"/>
      <c r="NPO10" s="533"/>
      <c r="NPP10" s="533"/>
      <c r="NPQ10" s="533"/>
      <c r="NPR10" s="533"/>
      <c r="NPS10" s="533"/>
      <c r="NPT10" s="533"/>
      <c r="NPU10" s="533"/>
      <c r="NPV10" s="533"/>
      <c r="NPW10" s="533"/>
      <c r="NPX10" s="533"/>
      <c r="NPY10" s="533"/>
      <c r="NPZ10" s="533"/>
      <c r="NQA10" s="533"/>
      <c r="NQB10" s="533"/>
      <c r="NQC10" s="533"/>
      <c r="NQD10" s="533"/>
      <c r="NQE10" s="533"/>
      <c r="NQF10" s="533"/>
      <c r="NQG10" s="533"/>
      <c r="NQH10" s="533"/>
      <c r="NQI10" s="533"/>
      <c r="NQJ10" s="533"/>
      <c r="NQK10" s="533"/>
      <c r="NQL10" s="533"/>
      <c r="NQM10" s="533"/>
      <c r="NQN10" s="533"/>
      <c r="NQO10" s="533"/>
      <c r="NQP10" s="533"/>
      <c r="NQQ10" s="533"/>
      <c r="NQR10" s="533"/>
      <c r="NQS10" s="533"/>
      <c r="NQT10" s="533"/>
      <c r="NQU10" s="533"/>
      <c r="NQV10" s="533"/>
      <c r="NQW10" s="533"/>
      <c r="NQX10" s="533"/>
      <c r="NQY10" s="533"/>
      <c r="NQZ10" s="533"/>
      <c r="NRA10" s="533"/>
      <c r="NRB10" s="533"/>
      <c r="NRC10" s="533"/>
      <c r="NRD10" s="533"/>
      <c r="NRE10" s="533"/>
      <c r="NRF10" s="533"/>
      <c r="NRG10" s="533"/>
      <c r="NRH10" s="533"/>
      <c r="NRI10" s="533"/>
      <c r="NRJ10" s="533"/>
      <c r="NRK10" s="533"/>
      <c r="NRL10" s="533"/>
      <c r="NRM10" s="533"/>
      <c r="NRN10" s="533"/>
      <c r="NRO10" s="533"/>
      <c r="NRP10" s="533"/>
      <c r="NRQ10" s="533"/>
      <c r="NRR10" s="533"/>
      <c r="NRS10" s="533"/>
      <c r="NRT10" s="533"/>
      <c r="NRU10" s="533"/>
      <c r="NRV10" s="533"/>
      <c r="NRW10" s="533"/>
      <c r="NRX10" s="533"/>
      <c r="NRY10" s="533"/>
      <c r="NRZ10" s="533"/>
      <c r="NSA10" s="533"/>
      <c r="NSB10" s="533"/>
      <c r="NSC10" s="533"/>
      <c r="NSD10" s="533"/>
      <c r="NSE10" s="533"/>
      <c r="NSF10" s="533"/>
      <c r="NSG10" s="533"/>
      <c r="NSH10" s="533"/>
      <c r="NSI10" s="533"/>
      <c r="NSJ10" s="533"/>
      <c r="NSK10" s="533"/>
      <c r="NSL10" s="533"/>
      <c r="NSM10" s="533"/>
      <c r="NSN10" s="533"/>
      <c r="NSO10" s="533"/>
      <c r="NSP10" s="533"/>
      <c r="NSQ10" s="533"/>
      <c r="NSR10" s="533"/>
      <c r="NSS10" s="533"/>
      <c r="NST10" s="533"/>
      <c r="NSU10" s="533"/>
      <c r="NSV10" s="533"/>
      <c r="NSW10" s="533"/>
      <c r="NSX10" s="533"/>
      <c r="NSY10" s="533"/>
      <c r="NSZ10" s="533"/>
      <c r="NTA10" s="533"/>
      <c r="NTB10" s="533"/>
      <c r="NTC10" s="533"/>
      <c r="NTD10" s="533"/>
      <c r="NTE10" s="533"/>
      <c r="NTF10" s="533"/>
      <c r="NTG10" s="533"/>
      <c r="NTH10" s="533"/>
      <c r="NTI10" s="533"/>
      <c r="NTJ10" s="533"/>
      <c r="NTK10" s="533"/>
      <c r="NTL10" s="533"/>
      <c r="NTM10" s="533"/>
      <c r="NTN10" s="533"/>
      <c r="NTO10" s="533"/>
      <c r="NTP10" s="533"/>
      <c r="NTQ10" s="533"/>
      <c r="NTR10" s="533"/>
      <c r="NTS10" s="533"/>
      <c r="NTT10" s="533"/>
      <c r="NTU10" s="533"/>
      <c r="NTV10" s="533"/>
      <c r="NTW10" s="533"/>
      <c r="NTX10" s="533"/>
      <c r="NTY10" s="533"/>
      <c r="NTZ10" s="533"/>
      <c r="NUA10" s="533"/>
      <c r="NUB10" s="533"/>
      <c r="NUC10" s="533"/>
      <c r="NUD10" s="533"/>
      <c r="NUE10" s="533"/>
      <c r="NUF10" s="533"/>
      <c r="NUG10" s="533"/>
      <c r="NUH10" s="533"/>
      <c r="NUI10" s="533"/>
      <c r="NUJ10" s="533"/>
      <c r="NUK10" s="533"/>
      <c r="NUL10" s="533"/>
      <c r="NUM10" s="533"/>
      <c r="NUN10" s="533"/>
      <c r="NUO10" s="533"/>
      <c r="NUP10" s="533"/>
      <c r="NUQ10" s="533"/>
      <c r="NUR10" s="533"/>
      <c r="NUS10" s="533"/>
      <c r="NUT10" s="533"/>
      <c r="NUU10" s="533"/>
      <c r="NUV10" s="533"/>
      <c r="NUW10" s="533"/>
      <c r="NUX10" s="533"/>
      <c r="NUY10" s="533"/>
      <c r="NUZ10" s="533"/>
      <c r="NVA10" s="533"/>
      <c r="NVB10" s="533"/>
      <c r="NVC10" s="533"/>
      <c r="NVD10" s="533"/>
      <c r="NVE10" s="533"/>
      <c r="NVF10" s="533"/>
      <c r="NVG10" s="533"/>
      <c r="NVH10" s="533"/>
      <c r="NVI10" s="533"/>
      <c r="NVJ10" s="533"/>
      <c r="NVK10" s="533"/>
      <c r="NVL10" s="533"/>
      <c r="NVM10" s="533"/>
      <c r="NVN10" s="533"/>
      <c r="NVO10" s="533"/>
      <c r="NVP10" s="533"/>
      <c r="NVQ10" s="533"/>
      <c r="NVR10" s="533"/>
      <c r="NVS10" s="533"/>
      <c r="NVT10" s="533"/>
      <c r="NVU10" s="533"/>
      <c r="NVV10" s="533"/>
      <c r="NVW10" s="533"/>
      <c r="NVX10" s="533"/>
      <c r="NVY10" s="533"/>
      <c r="NVZ10" s="533"/>
      <c r="NWA10" s="533"/>
      <c r="NWB10" s="533"/>
      <c r="NWC10" s="533"/>
      <c r="NWD10" s="533"/>
      <c r="NWE10" s="533"/>
      <c r="NWF10" s="533"/>
      <c r="NWG10" s="533"/>
      <c r="NWH10" s="533"/>
      <c r="NWI10" s="533"/>
      <c r="NWJ10" s="533"/>
      <c r="NWK10" s="533"/>
      <c r="NWL10" s="533"/>
      <c r="NWM10" s="533"/>
      <c r="NWN10" s="533"/>
      <c r="NWO10" s="533"/>
      <c r="NWP10" s="533"/>
      <c r="NWQ10" s="533"/>
      <c r="NWR10" s="533"/>
      <c r="NWS10" s="533"/>
      <c r="NWT10" s="533"/>
      <c r="NWU10" s="533"/>
      <c r="NWV10" s="533"/>
      <c r="NWW10" s="533"/>
      <c r="NWX10" s="533"/>
      <c r="NWY10" s="533"/>
      <c r="NWZ10" s="533"/>
      <c r="NXA10" s="533"/>
      <c r="NXB10" s="533"/>
      <c r="NXC10" s="533"/>
      <c r="NXD10" s="533"/>
      <c r="NXE10" s="533"/>
      <c r="NXF10" s="533"/>
      <c r="NXG10" s="533"/>
      <c r="NXH10" s="533"/>
      <c r="NXI10" s="533"/>
      <c r="NXJ10" s="533"/>
      <c r="NXK10" s="533"/>
      <c r="NXL10" s="533"/>
      <c r="NXM10" s="533"/>
      <c r="NXN10" s="533"/>
      <c r="NXO10" s="533"/>
      <c r="NXP10" s="533"/>
      <c r="NXQ10" s="533"/>
      <c r="NXR10" s="533"/>
      <c r="NXS10" s="533"/>
      <c r="NXT10" s="533"/>
      <c r="NXU10" s="533"/>
      <c r="NXV10" s="533"/>
      <c r="NXW10" s="533"/>
      <c r="NXX10" s="533"/>
      <c r="NXY10" s="533"/>
      <c r="NXZ10" s="533"/>
      <c r="NYA10" s="533"/>
      <c r="NYB10" s="533"/>
      <c r="NYC10" s="533"/>
      <c r="NYD10" s="533"/>
      <c r="NYE10" s="533"/>
      <c r="NYF10" s="533"/>
      <c r="NYG10" s="533"/>
      <c r="NYH10" s="533"/>
      <c r="NYI10" s="533"/>
      <c r="NYJ10" s="533"/>
      <c r="NYK10" s="533"/>
      <c r="NYL10" s="533"/>
      <c r="NYM10" s="533"/>
      <c r="NYN10" s="533"/>
      <c r="NYO10" s="533"/>
      <c r="NYP10" s="533"/>
      <c r="NYQ10" s="533"/>
      <c r="NYR10" s="533"/>
      <c r="NYS10" s="533"/>
      <c r="NYT10" s="533"/>
      <c r="NYU10" s="533"/>
      <c r="NYV10" s="533"/>
      <c r="NYW10" s="533"/>
      <c r="NYX10" s="533"/>
      <c r="NYY10" s="533"/>
      <c r="NYZ10" s="533"/>
      <c r="NZA10" s="533"/>
      <c r="NZB10" s="533"/>
      <c r="NZC10" s="533"/>
      <c r="NZD10" s="533"/>
      <c r="NZE10" s="533"/>
      <c r="NZF10" s="533"/>
      <c r="NZG10" s="533"/>
      <c r="NZH10" s="533"/>
      <c r="NZI10" s="533"/>
      <c r="NZJ10" s="533"/>
      <c r="NZK10" s="533"/>
      <c r="NZL10" s="533"/>
      <c r="NZM10" s="533"/>
      <c r="NZN10" s="533"/>
      <c r="NZO10" s="533"/>
      <c r="NZP10" s="533"/>
      <c r="NZQ10" s="533"/>
      <c r="NZR10" s="533"/>
      <c r="NZS10" s="533"/>
      <c r="NZT10" s="533"/>
      <c r="NZU10" s="533"/>
      <c r="NZV10" s="533"/>
      <c r="NZW10" s="533"/>
      <c r="NZX10" s="533"/>
      <c r="NZY10" s="533"/>
      <c r="NZZ10" s="533"/>
      <c r="OAA10" s="533"/>
      <c r="OAB10" s="533"/>
      <c r="OAC10" s="533"/>
      <c r="OAD10" s="533"/>
      <c r="OAE10" s="533"/>
      <c r="OAF10" s="533"/>
      <c r="OAG10" s="533"/>
      <c r="OAH10" s="533"/>
      <c r="OAI10" s="533"/>
      <c r="OAJ10" s="533"/>
      <c r="OAK10" s="533"/>
      <c r="OAL10" s="533"/>
      <c r="OAM10" s="533"/>
      <c r="OAN10" s="533"/>
      <c r="OAO10" s="533"/>
      <c r="OAP10" s="533"/>
      <c r="OAQ10" s="533"/>
      <c r="OAR10" s="533"/>
      <c r="OAS10" s="533"/>
      <c r="OAT10" s="533"/>
      <c r="OAU10" s="533"/>
      <c r="OAV10" s="533"/>
      <c r="OAW10" s="533"/>
      <c r="OAX10" s="533"/>
      <c r="OAY10" s="533"/>
      <c r="OAZ10" s="533"/>
      <c r="OBA10" s="533"/>
      <c r="OBB10" s="533"/>
      <c r="OBC10" s="533"/>
      <c r="OBD10" s="533"/>
      <c r="OBE10" s="533"/>
      <c r="OBF10" s="533"/>
      <c r="OBG10" s="533"/>
      <c r="OBH10" s="533"/>
      <c r="OBI10" s="533"/>
      <c r="OBJ10" s="533"/>
      <c r="OBK10" s="533"/>
      <c r="OBL10" s="533"/>
      <c r="OBM10" s="533"/>
      <c r="OBN10" s="533"/>
      <c r="OBO10" s="533"/>
      <c r="OBP10" s="533"/>
      <c r="OBQ10" s="533"/>
      <c r="OBR10" s="533"/>
      <c r="OBS10" s="533"/>
      <c r="OBT10" s="533"/>
      <c r="OBU10" s="533"/>
      <c r="OBV10" s="533"/>
      <c r="OBW10" s="533"/>
      <c r="OBX10" s="533"/>
      <c r="OBY10" s="533"/>
      <c r="OBZ10" s="533"/>
      <c r="OCA10" s="533"/>
      <c r="OCB10" s="533"/>
      <c r="OCC10" s="533"/>
      <c r="OCD10" s="533"/>
      <c r="OCE10" s="533"/>
      <c r="OCF10" s="533"/>
      <c r="OCG10" s="533"/>
      <c r="OCH10" s="533"/>
      <c r="OCI10" s="533"/>
      <c r="OCJ10" s="533"/>
      <c r="OCK10" s="533"/>
      <c r="OCL10" s="533"/>
      <c r="OCM10" s="533"/>
      <c r="OCN10" s="533"/>
      <c r="OCO10" s="533"/>
      <c r="OCP10" s="533"/>
      <c r="OCQ10" s="533"/>
      <c r="OCR10" s="533"/>
      <c r="OCS10" s="533"/>
      <c r="OCT10" s="533"/>
      <c r="OCU10" s="533"/>
      <c r="OCV10" s="533"/>
      <c r="OCW10" s="533"/>
      <c r="OCX10" s="533"/>
      <c r="OCY10" s="533"/>
      <c r="OCZ10" s="533"/>
      <c r="ODA10" s="533"/>
      <c r="ODB10" s="533"/>
      <c r="ODC10" s="533"/>
      <c r="ODD10" s="533"/>
      <c r="ODE10" s="533"/>
      <c r="ODF10" s="533"/>
      <c r="ODG10" s="533"/>
      <c r="ODH10" s="533"/>
      <c r="ODI10" s="533"/>
      <c r="ODJ10" s="533"/>
      <c r="ODK10" s="533"/>
      <c r="ODL10" s="533"/>
      <c r="ODM10" s="533"/>
      <c r="ODN10" s="533"/>
      <c r="ODO10" s="533"/>
      <c r="ODP10" s="533"/>
      <c r="ODQ10" s="533"/>
      <c r="ODR10" s="533"/>
      <c r="ODS10" s="533"/>
      <c r="ODT10" s="533"/>
      <c r="ODU10" s="533"/>
      <c r="ODV10" s="533"/>
      <c r="ODW10" s="533"/>
      <c r="ODX10" s="533"/>
      <c r="ODY10" s="533"/>
      <c r="ODZ10" s="533"/>
      <c r="OEA10" s="533"/>
      <c r="OEB10" s="533"/>
      <c r="OEC10" s="533"/>
      <c r="OED10" s="533"/>
      <c r="OEE10" s="533"/>
      <c r="OEF10" s="533"/>
      <c r="OEG10" s="533"/>
      <c r="OEH10" s="533"/>
      <c r="OEI10" s="533"/>
      <c r="OEJ10" s="533"/>
      <c r="OEK10" s="533"/>
      <c r="OEL10" s="533"/>
      <c r="OEM10" s="533"/>
      <c r="OEN10" s="533"/>
      <c r="OEO10" s="533"/>
      <c r="OEP10" s="533"/>
      <c r="OEQ10" s="533"/>
      <c r="OER10" s="533"/>
      <c r="OES10" s="533"/>
      <c r="OET10" s="533"/>
      <c r="OEU10" s="533"/>
      <c r="OEV10" s="533"/>
      <c r="OEW10" s="533"/>
      <c r="OEX10" s="533"/>
      <c r="OEY10" s="533"/>
      <c r="OEZ10" s="533"/>
      <c r="OFA10" s="533"/>
      <c r="OFB10" s="533"/>
      <c r="OFC10" s="533"/>
      <c r="OFD10" s="533"/>
      <c r="OFE10" s="533"/>
      <c r="OFF10" s="533"/>
      <c r="OFG10" s="533"/>
      <c r="OFH10" s="533"/>
      <c r="OFI10" s="533"/>
      <c r="OFJ10" s="533"/>
      <c r="OFK10" s="533"/>
      <c r="OFL10" s="533"/>
      <c r="OFM10" s="533"/>
      <c r="OFN10" s="533"/>
      <c r="OFO10" s="533"/>
      <c r="OFP10" s="533"/>
      <c r="OFQ10" s="533"/>
      <c r="OFR10" s="533"/>
      <c r="OFS10" s="533"/>
      <c r="OFT10" s="533"/>
      <c r="OFU10" s="533"/>
      <c r="OFV10" s="533"/>
      <c r="OFW10" s="533"/>
      <c r="OFX10" s="533"/>
      <c r="OFY10" s="533"/>
      <c r="OFZ10" s="533"/>
      <c r="OGA10" s="533"/>
      <c r="OGB10" s="533"/>
      <c r="OGC10" s="533"/>
      <c r="OGD10" s="533"/>
      <c r="OGE10" s="533"/>
      <c r="OGF10" s="533"/>
      <c r="OGG10" s="533"/>
      <c r="OGH10" s="533"/>
      <c r="OGI10" s="533"/>
      <c r="OGJ10" s="533"/>
      <c r="OGK10" s="533"/>
      <c r="OGL10" s="533"/>
      <c r="OGM10" s="533"/>
      <c r="OGN10" s="533"/>
      <c r="OGO10" s="533"/>
      <c r="OGP10" s="533"/>
      <c r="OGQ10" s="533"/>
      <c r="OGR10" s="533"/>
      <c r="OGS10" s="533"/>
      <c r="OGT10" s="533"/>
      <c r="OGU10" s="533"/>
      <c r="OGV10" s="533"/>
      <c r="OGW10" s="533"/>
      <c r="OGX10" s="533"/>
      <c r="OGY10" s="533"/>
      <c r="OGZ10" s="533"/>
      <c r="OHA10" s="533"/>
      <c r="OHB10" s="533"/>
      <c r="OHC10" s="533"/>
      <c r="OHD10" s="533"/>
      <c r="OHE10" s="533"/>
      <c r="OHF10" s="533"/>
      <c r="OHG10" s="533"/>
      <c r="OHH10" s="533"/>
      <c r="OHI10" s="533"/>
      <c r="OHJ10" s="533"/>
      <c r="OHK10" s="533"/>
      <c r="OHL10" s="533"/>
      <c r="OHM10" s="533"/>
      <c r="OHN10" s="533"/>
      <c r="OHO10" s="533"/>
      <c r="OHP10" s="533"/>
      <c r="OHQ10" s="533"/>
      <c r="OHR10" s="533"/>
      <c r="OHS10" s="533"/>
      <c r="OHT10" s="533"/>
      <c r="OHU10" s="533"/>
      <c r="OHV10" s="533"/>
      <c r="OHW10" s="533"/>
      <c r="OHX10" s="533"/>
      <c r="OHY10" s="533"/>
      <c r="OHZ10" s="533"/>
      <c r="OIA10" s="533"/>
      <c r="OIB10" s="533"/>
      <c r="OIC10" s="533"/>
      <c r="OID10" s="533"/>
      <c r="OIE10" s="533"/>
      <c r="OIF10" s="533"/>
      <c r="OIG10" s="533"/>
      <c r="OIH10" s="533"/>
      <c r="OII10" s="533"/>
      <c r="OIJ10" s="533"/>
      <c r="OIK10" s="533"/>
      <c r="OIL10" s="533"/>
      <c r="OIM10" s="533"/>
      <c r="OIN10" s="533"/>
      <c r="OIO10" s="533"/>
      <c r="OIP10" s="533"/>
      <c r="OIQ10" s="533"/>
      <c r="OIR10" s="533"/>
      <c r="OIS10" s="533"/>
      <c r="OIT10" s="533"/>
      <c r="OIU10" s="533"/>
      <c r="OIV10" s="533"/>
      <c r="OIW10" s="533"/>
      <c r="OIX10" s="533"/>
      <c r="OIY10" s="533"/>
      <c r="OIZ10" s="533"/>
      <c r="OJA10" s="533"/>
      <c r="OJB10" s="533"/>
      <c r="OJC10" s="533"/>
      <c r="OJD10" s="533"/>
      <c r="OJE10" s="533"/>
      <c r="OJF10" s="533"/>
      <c r="OJG10" s="533"/>
      <c r="OJH10" s="533"/>
      <c r="OJI10" s="533"/>
      <c r="OJJ10" s="533"/>
      <c r="OJK10" s="533"/>
      <c r="OJL10" s="533"/>
      <c r="OJM10" s="533"/>
      <c r="OJN10" s="533"/>
      <c r="OJO10" s="533"/>
      <c r="OJP10" s="533"/>
      <c r="OJQ10" s="533"/>
      <c r="OJR10" s="533"/>
      <c r="OJS10" s="533"/>
      <c r="OJT10" s="533"/>
      <c r="OJU10" s="533"/>
      <c r="OJV10" s="533"/>
      <c r="OJW10" s="533"/>
      <c r="OJX10" s="533"/>
      <c r="OJY10" s="533"/>
      <c r="OJZ10" s="533"/>
      <c r="OKA10" s="533"/>
      <c r="OKB10" s="533"/>
      <c r="OKC10" s="533"/>
      <c r="OKD10" s="533"/>
      <c r="OKE10" s="533"/>
      <c r="OKF10" s="533"/>
      <c r="OKG10" s="533"/>
      <c r="OKH10" s="533"/>
      <c r="OKI10" s="533"/>
      <c r="OKJ10" s="533"/>
      <c r="OKK10" s="533"/>
      <c r="OKL10" s="533"/>
      <c r="OKM10" s="533"/>
      <c r="OKN10" s="533"/>
      <c r="OKO10" s="533"/>
      <c r="OKP10" s="533"/>
      <c r="OKQ10" s="533"/>
      <c r="OKR10" s="533"/>
      <c r="OKS10" s="533"/>
      <c r="OKT10" s="533"/>
      <c r="OKU10" s="533"/>
      <c r="OKV10" s="533"/>
      <c r="OKW10" s="533"/>
      <c r="OKX10" s="533"/>
      <c r="OKY10" s="533"/>
      <c r="OKZ10" s="533"/>
      <c r="OLA10" s="533"/>
      <c r="OLB10" s="533"/>
      <c r="OLC10" s="533"/>
      <c r="OLD10" s="533"/>
      <c r="OLE10" s="533"/>
      <c r="OLF10" s="533"/>
      <c r="OLG10" s="533"/>
      <c r="OLH10" s="533"/>
      <c r="OLI10" s="533"/>
      <c r="OLJ10" s="533"/>
      <c r="OLK10" s="533"/>
      <c r="OLL10" s="533"/>
      <c r="OLM10" s="533"/>
      <c r="OLN10" s="533"/>
      <c r="OLO10" s="533"/>
      <c r="OLP10" s="533"/>
      <c r="OLQ10" s="533"/>
      <c r="OLR10" s="533"/>
      <c r="OLS10" s="533"/>
      <c r="OLT10" s="533"/>
      <c r="OLU10" s="533"/>
      <c r="OLV10" s="533"/>
      <c r="OLW10" s="533"/>
      <c r="OLX10" s="533"/>
      <c r="OLY10" s="533"/>
      <c r="OLZ10" s="533"/>
      <c r="OMA10" s="533"/>
      <c r="OMB10" s="533"/>
      <c r="OMC10" s="533"/>
      <c r="OMD10" s="533"/>
      <c r="OME10" s="533"/>
      <c r="OMF10" s="533"/>
      <c r="OMG10" s="533"/>
      <c r="OMH10" s="533"/>
      <c r="OMI10" s="533"/>
      <c r="OMJ10" s="533"/>
      <c r="OMK10" s="533"/>
      <c r="OML10" s="533"/>
      <c r="OMM10" s="533"/>
      <c r="OMN10" s="533"/>
      <c r="OMO10" s="533"/>
      <c r="OMP10" s="533"/>
      <c r="OMQ10" s="533"/>
      <c r="OMR10" s="533"/>
      <c r="OMS10" s="533"/>
      <c r="OMT10" s="533"/>
      <c r="OMU10" s="533"/>
      <c r="OMV10" s="533"/>
      <c r="OMW10" s="533"/>
      <c r="OMX10" s="533"/>
      <c r="OMY10" s="533"/>
      <c r="OMZ10" s="533"/>
      <c r="ONA10" s="533"/>
      <c r="ONB10" s="533"/>
      <c r="ONC10" s="533"/>
      <c r="OND10" s="533"/>
      <c r="ONE10" s="533"/>
      <c r="ONF10" s="533"/>
      <c r="ONG10" s="533"/>
      <c r="ONH10" s="533"/>
      <c r="ONI10" s="533"/>
      <c r="ONJ10" s="533"/>
      <c r="ONK10" s="533"/>
      <c r="ONL10" s="533"/>
      <c r="ONM10" s="533"/>
      <c r="ONN10" s="533"/>
      <c r="ONO10" s="533"/>
      <c r="ONP10" s="533"/>
      <c r="ONQ10" s="533"/>
      <c r="ONR10" s="533"/>
      <c r="ONS10" s="533"/>
      <c r="ONT10" s="533"/>
      <c r="ONU10" s="533"/>
      <c r="ONV10" s="533"/>
      <c r="ONW10" s="533"/>
      <c r="ONX10" s="533"/>
      <c r="ONY10" s="533"/>
      <c r="ONZ10" s="533"/>
      <c r="OOA10" s="533"/>
      <c r="OOB10" s="533"/>
      <c r="OOC10" s="533"/>
      <c r="OOD10" s="533"/>
      <c r="OOE10" s="533"/>
      <c r="OOF10" s="533"/>
      <c r="OOG10" s="533"/>
      <c r="OOH10" s="533"/>
      <c r="OOI10" s="533"/>
      <c r="OOJ10" s="533"/>
      <c r="OOK10" s="533"/>
      <c r="OOL10" s="533"/>
      <c r="OOM10" s="533"/>
      <c r="OON10" s="533"/>
      <c r="OOO10" s="533"/>
      <c r="OOP10" s="533"/>
      <c r="OOQ10" s="533"/>
      <c r="OOR10" s="533"/>
      <c r="OOS10" s="533"/>
      <c r="OOT10" s="533"/>
      <c r="OOU10" s="533"/>
      <c r="OOV10" s="533"/>
      <c r="OOW10" s="533"/>
      <c r="OOX10" s="533"/>
      <c r="OOY10" s="533"/>
      <c r="OOZ10" s="533"/>
      <c r="OPA10" s="533"/>
      <c r="OPB10" s="533"/>
      <c r="OPC10" s="533"/>
      <c r="OPD10" s="533"/>
      <c r="OPE10" s="533"/>
      <c r="OPF10" s="533"/>
      <c r="OPG10" s="533"/>
      <c r="OPH10" s="533"/>
      <c r="OPI10" s="533"/>
      <c r="OPJ10" s="533"/>
      <c r="OPK10" s="533"/>
      <c r="OPL10" s="533"/>
      <c r="OPM10" s="533"/>
      <c r="OPN10" s="533"/>
      <c r="OPO10" s="533"/>
      <c r="OPP10" s="533"/>
      <c r="OPQ10" s="533"/>
      <c r="OPR10" s="533"/>
      <c r="OPS10" s="533"/>
      <c r="OPT10" s="533"/>
      <c r="OPU10" s="533"/>
      <c r="OPV10" s="533"/>
      <c r="OPW10" s="533"/>
      <c r="OPX10" s="533"/>
      <c r="OPY10" s="533"/>
      <c r="OPZ10" s="533"/>
      <c r="OQA10" s="533"/>
      <c r="OQB10" s="533"/>
      <c r="OQC10" s="533"/>
      <c r="OQD10" s="533"/>
      <c r="OQE10" s="533"/>
      <c r="OQF10" s="533"/>
      <c r="OQG10" s="533"/>
      <c r="OQH10" s="533"/>
      <c r="OQI10" s="533"/>
      <c r="OQJ10" s="533"/>
      <c r="OQK10" s="533"/>
      <c r="OQL10" s="533"/>
      <c r="OQM10" s="533"/>
      <c r="OQN10" s="533"/>
      <c r="OQO10" s="533"/>
      <c r="OQP10" s="533"/>
      <c r="OQQ10" s="533"/>
      <c r="OQR10" s="533"/>
      <c r="OQS10" s="533"/>
      <c r="OQT10" s="533"/>
      <c r="OQU10" s="533"/>
      <c r="OQV10" s="533"/>
      <c r="OQW10" s="533"/>
      <c r="OQX10" s="533"/>
      <c r="OQY10" s="533"/>
      <c r="OQZ10" s="533"/>
      <c r="ORA10" s="533"/>
      <c r="ORB10" s="533"/>
      <c r="ORC10" s="533"/>
      <c r="ORD10" s="533"/>
      <c r="ORE10" s="533"/>
      <c r="ORF10" s="533"/>
      <c r="ORG10" s="533"/>
      <c r="ORH10" s="533"/>
      <c r="ORI10" s="533"/>
      <c r="ORJ10" s="533"/>
      <c r="ORK10" s="533"/>
      <c r="ORL10" s="533"/>
      <c r="ORM10" s="533"/>
      <c r="ORN10" s="533"/>
      <c r="ORO10" s="533"/>
      <c r="ORP10" s="533"/>
      <c r="ORQ10" s="533"/>
      <c r="ORR10" s="533"/>
      <c r="ORS10" s="533"/>
      <c r="ORT10" s="533"/>
      <c r="ORU10" s="533"/>
      <c r="ORV10" s="533"/>
      <c r="ORW10" s="533"/>
      <c r="ORX10" s="533"/>
      <c r="ORY10" s="533"/>
      <c r="ORZ10" s="533"/>
      <c r="OSA10" s="533"/>
      <c r="OSB10" s="533"/>
      <c r="OSC10" s="533"/>
      <c r="OSD10" s="533"/>
      <c r="OSE10" s="533"/>
      <c r="OSF10" s="533"/>
      <c r="OSG10" s="533"/>
      <c r="OSH10" s="533"/>
      <c r="OSI10" s="533"/>
      <c r="OSJ10" s="533"/>
      <c r="OSK10" s="533"/>
      <c r="OSL10" s="533"/>
      <c r="OSM10" s="533"/>
      <c r="OSN10" s="533"/>
      <c r="OSO10" s="533"/>
      <c r="OSP10" s="533"/>
      <c r="OSQ10" s="533"/>
      <c r="OSR10" s="533"/>
      <c r="OSS10" s="533"/>
      <c r="OST10" s="533"/>
      <c r="OSU10" s="533"/>
      <c r="OSV10" s="533"/>
      <c r="OSW10" s="533"/>
      <c r="OSX10" s="533"/>
      <c r="OSY10" s="533"/>
      <c r="OSZ10" s="533"/>
      <c r="OTA10" s="533"/>
      <c r="OTB10" s="533"/>
      <c r="OTC10" s="533"/>
      <c r="OTD10" s="533"/>
      <c r="OTE10" s="533"/>
      <c r="OTF10" s="533"/>
      <c r="OTG10" s="533"/>
      <c r="OTH10" s="533"/>
      <c r="OTI10" s="533"/>
      <c r="OTJ10" s="533"/>
      <c r="OTK10" s="533"/>
      <c r="OTL10" s="533"/>
      <c r="OTM10" s="533"/>
      <c r="OTN10" s="533"/>
      <c r="OTO10" s="533"/>
      <c r="OTP10" s="533"/>
      <c r="OTQ10" s="533"/>
      <c r="OTR10" s="533"/>
      <c r="OTS10" s="533"/>
      <c r="OTT10" s="533"/>
      <c r="OTU10" s="533"/>
      <c r="OTV10" s="533"/>
      <c r="OTW10" s="533"/>
      <c r="OTX10" s="533"/>
      <c r="OTY10" s="533"/>
      <c r="OTZ10" s="533"/>
      <c r="OUA10" s="533"/>
      <c r="OUB10" s="533"/>
      <c r="OUC10" s="533"/>
      <c r="OUD10" s="533"/>
      <c r="OUE10" s="533"/>
      <c r="OUF10" s="533"/>
      <c r="OUG10" s="533"/>
      <c r="OUH10" s="533"/>
      <c r="OUI10" s="533"/>
      <c r="OUJ10" s="533"/>
      <c r="OUK10" s="533"/>
      <c r="OUL10" s="533"/>
      <c r="OUM10" s="533"/>
      <c r="OUN10" s="533"/>
      <c r="OUO10" s="533"/>
      <c r="OUP10" s="533"/>
      <c r="OUQ10" s="533"/>
      <c r="OUR10" s="533"/>
      <c r="OUS10" s="533"/>
      <c r="OUT10" s="533"/>
      <c r="OUU10" s="533"/>
      <c r="OUV10" s="533"/>
      <c r="OUW10" s="533"/>
      <c r="OUX10" s="533"/>
      <c r="OUY10" s="533"/>
      <c r="OUZ10" s="533"/>
      <c r="OVA10" s="533"/>
      <c r="OVB10" s="533"/>
      <c r="OVC10" s="533"/>
      <c r="OVD10" s="533"/>
      <c r="OVE10" s="533"/>
      <c r="OVF10" s="533"/>
      <c r="OVG10" s="533"/>
      <c r="OVH10" s="533"/>
      <c r="OVI10" s="533"/>
      <c r="OVJ10" s="533"/>
      <c r="OVK10" s="533"/>
      <c r="OVL10" s="533"/>
      <c r="OVM10" s="533"/>
      <c r="OVN10" s="533"/>
      <c r="OVO10" s="533"/>
      <c r="OVP10" s="533"/>
      <c r="OVQ10" s="533"/>
      <c r="OVR10" s="533"/>
      <c r="OVS10" s="533"/>
      <c r="OVT10" s="533"/>
      <c r="OVU10" s="533"/>
      <c r="OVV10" s="533"/>
      <c r="OVW10" s="533"/>
      <c r="OVX10" s="533"/>
      <c r="OVY10" s="533"/>
      <c r="OVZ10" s="533"/>
      <c r="OWA10" s="533"/>
      <c r="OWB10" s="533"/>
      <c r="OWC10" s="533"/>
      <c r="OWD10" s="533"/>
      <c r="OWE10" s="533"/>
      <c r="OWF10" s="533"/>
      <c r="OWG10" s="533"/>
      <c r="OWH10" s="533"/>
      <c r="OWI10" s="533"/>
      <c r="OWJ10" s="533"/>
      <c r="OWK10" s="533"/>
      <c r="OWL10" s="533"/>
      <c r="OWM10" s="533"/>
      <c r="OWN10" s="533"/>
      <c r="OWO10" s="533"/>
      <c r="OWP10" s="533"/>
      <c r="OWQ10" s="533"/>
      <c r="OWR10" s="533"/>
      <c r="OWS10" s="533"/>
      <c r="OWT10" s="533"/>
      <c r="OWU10" s="533"/>
      <c r="OWV10" s="533"/>
      <c r="OWW10" s="533"/>
      <c r="OWX10" s="533"/>
      <c r="OWY10" s="533"/>
      <c r="OWZ10" s="533"/>
      <c r="OXA10" s="533"/>
      <c r="OXB10" s="533"/>
      <c r="OXC10" s="533"/>
      <c r="OXD10" s="533"/>
      <c r="OXE10" s="533"/>
      <c r="OXF10" s="533"/>
      <c r="OXG10" s="533"/>
      <c r="OXH10" s="533"/>
      <c r="OXI10" s="533"/>
      <c r="OXJ10" s="533"/>
      <c r="OXK10" s="533"/>
      <c r="OXL10" s="533"/>
      <c r="OXM10" s="533"/>
      <c r="OXN10" s="533"/>
      <c r="OXO10" s="533"/>
      <c r="OXP10" s="533"/>
      <c r="OXQ10" s="533"/>
      <c r="OXR10" s="533"/>
      <c r="OXS10" s="533"/>
      <c r="OXT10" s="533"/>
      <c r="OXU10" s="533"/>
      <c r="OXV10" s="533"/>
      <c r="OXW10" s="533"/>
      <c r="OXX10" s="533"/>
      <c r="OXY10" s="533"/>
      <c r="OXZ10" s="533"/>
      <c r="OYA10" s="533"/>
      <c r="OYB10" s="533"/>
      <c r="OYC10" s="533"/>
      <c r="OYD10" s="533"/>
      <c r="OYE10" s="533"/>
      <c r="OYF10" s="533"/>
      <c r="OYG10" s="533"/>
      <c r="OYH10" s="533"/>
      <c r="OYI10" s="533"/>
      <c r="OYJ10" s="533"/>
      <c r="OYK10" s="533"/>
      <c r="OYL10" s="533"/>
      <c r="OYM10" s="533"/>
      <c r="OYN10" s="533"/>
      <c r="OYO10" s="533"/>
      <c r="OYP10" s="533"/>
      <c r="OYQ10" s="533"/>
      <c r="OYR10" s="533"/>
      <c r="OYS10" s="533"/>
      <c r="OYT10" s="533"/>
      <c r="OYU10" s="533"/>
      <c r="OYV10" s="533"/>
      <c r="OYW10" s="533"/>
      <c r="OYX10" s="533"/>
      <c r="OYY10" s="533"/>
      <c r="OYZ10" s="533"/>
      <c r="OZA10" s="533"/>
      <c r="OZB10" s="533"/>
      <c r="OZC10" s="533"/>
      <c r="OZD10" s="533"/>
      <c r="OZE10" s="533"/>
      <c r="OZF10" s="533"/>
      <c r="OZG10" s="533"/>
      <c r="OZH10" s="533"/>
      <c r="OZI10" s="533"/>
      <c r="OZJ10" s="533"/>
      <c r="OZK10" s="533"/>
      <c r="OZL10" s="533"/>
      <c r="OZM10" s="533"/>
      <c r="OZN10" s="533"/>
      <c r="OZO10" s="533"/>
      <c r="OZP10" s="533"/>
      <c r="OZQ10" s="533"/>
      <c r="OZR10" s="533"/>
      <c r="OZS10" s="533"/>
      <c r="OZT10" s="533"/>
      <c r="OZU10" s="533"/>
      <c r="OZV10" s="533"/>
      <c r="OZW10" s="533"/>
      <c r="OZX10" s="533"/>
      <c r="OZY10" s="533"/>
      <c r="OZZ10" s="533"/>
      <c r="PAA10" s="533"/>
      <c r="PAB10" s="533"/>
      <c r="PAC10" s="533"/>
      <c r="PAD10" s="533"/>
      <c r="PAE10" s="533"/>
      <c r="PAF10" s="533"/>
      <c r="PAG10" s="533"/>
      <c r="PAH10" s="533"/>
      <c r="PAI10" s="533"/>
      <c r="PAJ10" s="533"/>
      <c r="PAK10" s="533"/>
      <c r="PAL10" s="533"/>
      <c r="PAM10" s="533"/>
      <c r="PAN10" s="533"/>
      <c r="PAO10" s="533"/>
      <c r="PAP10" s="533"/>
      <c r="PAQ10" s="533"/>
      <c r="PAR10" s="533"/>
      <c r="PAS10" s="533"/>
      <c r="PAT10" s="533"/>
      <c r="PAU10" s="533"/>
      <c r="PAV10" s="533"/>
      <c r="PAW10" s="533"/>
      <c r="PAX10" s="533"/>
      <c r="PAY10" s="533"/>
      <c r="PAZ10" s="533"/>
      <c r="PBA10" s="533"/>
      <c r="PBB10" s="533"/>
      <c r="PBC10" s="533"/>
      <c r="PBD10" s="533"/>
      <c r="PBE10" s="533"/>
      <c r="PBF10" s="533"/>
      <c r="PBG10" s="533"/>
      <c r="PBH10" s="533"/>
      <c r="PBI10" s="533"/>
      <c r="PBJ10" s="533"/>
      <c r="PBK10" s="533"/>
      <c r="PBL10" s="533"/>
      <c r="PBM10" s="533"/>
      <c r="PBN10" s="533"/>
      <c r="PBO10" s="533"/>
      <c r="PBP10" s="533"/>
      <c r="PBQ10" s="533"/>
      <c r="PBR10" s="533"/>
      <c r="PBS10" s="533"/>
      <c r="PBT10" s="533"/>
      <c r="PBU10" s="533"/>
      <c r="PBV10" s="533"/>
      <c r="PBW10" s="533"/>
      <c r="PBX10" s="533"/>
      <c r="PBY10" s="533"/>
      <c r="PBZ10" s="533"/>
      <c r="PCA10" s="533"/>
      <c r="PCB10" s="533"/>
      <c r="PCC10" s="533"/>
      <c r="PCD10" s="533"/>
      <c r="PCE10" s="533"/>
      <c r="PCF10" s="533"/>
      <c r="PCG10" s="533"/>
      <c r="PCH10" s="533"/>
      <c r="PCI10" s="533"/>
      <c r="PCJ10" s="533"/>
      <c r="PCK10" s="533"/>
      <c r="PCL10" s="533"/>
      <c r="PCM10" s="533"/>
      <c r="PCN10" s="533"/>
      <c r="PCO10" s="533"/>
      <c r="PCP10" s="533"/>
      <c r="PCQ10" s="533"/>
      <c r="PCR10" s="533"/>
      <c r="PCS10" s="533"/>
      <c r="PCT10" s="533"/>
      <c r="PCU10" s="533"/>
      <c r="PCV10" s="533"/>
      <c r="PCW10" s="533"/>
      <c r="PCX10" s="533"/>
      <c r="PCY10" s="533"/>
      <c r="PCZ10" s="533"/>
      <c r="PDA10" s="533"/>
      <c r="PDB10" s="533"/>
      <c r="PDC10" s="533"/>
      <c r="PDD10" s="533"/>
      <c r="PDE10" s="533"/>
      <c r="PDF10" s="533"/>
      <c r="PDG10" s="533"/>
      <c r="PDH10" s="533"/>
      <c r="PDI10" s="533"/>
      <c r="PDJ10" s="533"/>
      <c r="PDK10" s="533"/>
      <c r="PDL10" s="533"/>
      <c r="PDM10" s="533"/>
      <c r="PDN10" s="533"/>
      <c r="PDO10" s="533"/>
      <c r="PDP10" s="533"/>
      <c r="PDQ10" s="533"/>
      <c r="PDR10" s="533"/>
      <c r="PDS10" s="533"/>
      <c r="PDT10" s="533"/>
      <c r="PDU10" s="533"/>
      <c r="PDV10" s="533"/>
      <c r="PDW10" s="533"/>
      <c r="PDX10" s="533"/>
      <c r="PDY10" s="533"/>
      <c r="PDZ10" s="533"/>
      <c r="PEA10" s="533"/>
      <c r="PEB10" s="533"/>
      <c r="PEC10" s="533"/>
      <c r="PED10" s="533"/>
      <c r="PEE10" s="533"/>
      <c r="PEF10" s="533"/>
      <c r="PEG10" s="533"/>
      <c r="PEH10" s="533"/>
      <c r="PEI10" s="533"/>
      <c r="PEJ10" s="533"/>
      <c r="PEK10" s="533"/>
      <c r="PEL10" s="533"/>
      <c r="PEM10" s="533"/>
      <c r="PEN10" s="533"/>
      <c r="PEO10" s="533"/>
      <c r="PEP10" s="533"/>
      <c r="PEQ10" s="533"/>
      <c r="PER10" s="533"/>
      <c r="PES10" s="533"/>
      <c r="PET10" s="533"/>
      <c r="PEU10" s="533"/>
      <c r="PEV10" s="533"/>
      <c r="PEW10" s="533"/>
      <c r="PEX10" s="533"/>
      <c r="PEY10" s="533"/>
      <c r="PEZ10" s="533"/>
      <c r="PFA10" s="533"/>
      <c r="PFB10" s="533"/>
      <c r="PFC10" s="533"/>
      <c r="PFD10" s="533"/>
      <c r="PFE10" s="533"/>
      <c r="PFF10" s="533"/>
      <c r="PFG10" s="533"/>
      <c r="PFH10" s="533"/>
      <c r="PFI10" s="533"/>
      <c r="PFJ10" s="533"/>
      <c r="PFK10" s="533"/>
      <c r="PFL10" s="533"/>
      <c r="PFM10" s="533"/>
      <c r="PFN10" s="533"/>
      <c r="PFO10" s="533"/>
      <c r="PFP10" s="533"/>
      <c r="PFQ10" s="533"/>
      <c r="PFR10" s="533"/>
      <c r="PFS10" s="533"/>
      <c r="PFT10" s="533"/>
      <c r="PFU10" s="533"/>
      <c r="PFV10" s="533"/>
      <c r="PFW10" s="533"/>
      <c r="PFX10" s="533"/>
      <c r="PFY10" s="533"/>
      <c r="PFZ10" s="533"/>
      <c r="PGA10" s="533"/>
      <c r="PGB10" s="533"/>
      <c r="PGC10" s="533"/>
      <c r="PGD10" s="533"/>
      <c r="PGE10" s="533"/>
      <c r="PGF10" s="533"/>
      <c r="PGG10" s="533"/>
      <c r="PGH10" s="533"/>
      <c r="PGI10" s="533"/>
      <c r="PGJ10" s="533"/>
      <c r="PGK10" s="533"/>
      <c r="PGL10" s="533"/>
      <c r="PGM10" s="533"/>
      <c r="PGN10" s="533"/>
      <c r="PGO10" s="533"/>
      <c r="PGP10" s="533"/>
      <c r="PGQ10" s="533"/>
      <c r="PGR10" s="533"/>
      <c r="PGS10" s="533"/>
      <c r="PGT10" s="533"/>
      <c r="PGU10" s="533"/>
      <c r="PGV10" s="533"/>
      <c r="PGW10" s="533"/>
      <c r="PGX10" s="533"/>
      <c r="PGY10" s="533"/>
      <c r="PGZ10" s="533"/>
      <c r="PHA10" s="533"/>
      <c r="PHB10" s="533"/>
      <c r="PHC10" s="533"/>
      <c r="PHD10" s="533"/>
      <c r="PHE10" s="533"/>
      <c r="PHF10" s="533"/>
      <c r="PHG10" s="533"/>
      <c r="PHH10" s="533"/>
      <c r="PHI10" s="533"/>
      <c r="PHJ10" s="533"/>
      <c r="PHK10" s="533"/>
      <c r="PHL10" s="533"/>
      <c r="PHM10" s="533"/>
      <c r="PHN10" s="533"/>
      <c r="PHO10" s="533"/>
      <c r="PHP10" s="533"/>
      <c r="PHQ10" s="533"/>
      <c r="PHR10" s="533"/>
      <c r="PHS10" s="533"/>
      <c r="PHT10" s="533"/>
      <c r="PHU10" s="533"/>
      <c r="PHV10" s="533"/>
      <c r="PHW10" s="533"/>
      <c r="PHX10" s="533"/>
      <c r="PHY10" s="533"/>
      <c r="PHZ10" s="533"/>
      <c r="PIA10" s="533"/>
      <c r="PIB10" s="533"/>
      <c r="PIC10" s="533"/>
      <c r="PID10" s="533"/>
      <c r="PIE10" s="533"/>
      <c r="PIF10" s="533"/>
      <c r="PIG10" s="533"/>
      <c r="PIH10" s="533"/>
      <c r="PII10" s="533"/>
      <c r="PIJ10" s="533"/>
      <c r="PIK10" s="533"/>
      <c r="PIL10" s="533"/>
      <c r="PIM10" s="533"/>
      <c r="PIN10" s="533"/>
      <c r="PIO10" s="533"/>
      <c r="PIP10" s="533"/>
      <c r="PIQ10" s="533"/>
      <c r="PIR10" s="533"/>
      <c r="PIS10" s="533"/>
      <c r="PIT10" s="533"/>
      <c r="PIU10" s="533"/>
      <c r="PIV10" s="533"/>
      <c r="PIW10" s="533"/>
      <c r="PIX10" s="533"/>
      <c r="PIY10" s="533"/>
      <c r="PIZ10" s="533"/>
      <c r="PJA10" s="533"/>
      <c r="PJB10" s="533"/>
      <c r="PJC10" s="533"/>
      <c r="PJD10" s="533"/>
      <c r="PJE10" s="533"/>
      <c r="PJF10" s="533"/>
      <c r="PJG10" s="533"/>
      <c r="PJH10" s="533"/>
      <c r="PJI10" s="533"/>
      <c r="PJJ10" s="533"/>
      <c r="PJK10" s="533"/>
      <c r="PJL10" s="533"/>
      <c r="PJM10" s="533"/>
      <c r="PJN10" s="533"/>
      <c r="PJO10" s="533"/>
      <c r="PJP10" s="533"/>
      <c r="PJQ10" s="533"/>
      <c r="PJR10" s="533"/>
      <c r="PJS10" s="533"/>
      <c r="PJT10" s="533"/>
      <c r="PJU10" s="533"/>
      <c r="PJV10" s="533"/>
      <c r="PJW10" s="533"/>
      <c r="PJX10" s="533"/>
      <c r="PJY10" s="533"/>
      <c r="PJZ10" s="533"/>
      <c r="PKA10" s="533"/>
      <c r="PKB10" s="533"/>
      <c r="PKC10" s="533"/>
      <c r="PKD10" s="533"/>
      <c r="PKE10" s="533"/>
      <c r="PKF10" s="533"/>
      <c r="PKG10" s="533"/>
      <c r="PKH10" s="533"/>
      <c r="PKI10" s="533"/>
      <c r="PKJ10" s="533"/>
      <c r="PKK10" s="533"/>
      <c r="PKL10" s="533"/>
      <c r="PKM10" s="533"/>
      <c r="PKN10" s="533"/>
      <c r="PKO10" s="533"/>
      <c r="PKP10" s="533"/>
      <c r="PKQ10" s="533"/>
      <c r="PKR10" s="533"/>
      <c r="PKS10" s="533"/>
      <c r="PKT10" s="533"/>
      <c r="PKU10" s="533"/>
      <c r="PKV10" s="533"/>
      <c r="PKW10" s="533"/>
      <c r="PKX10" s="533"/>
      <c r="PKY10" s="533"/>
      <c r="PKZ10" s="533"/>
      <c r="PLA10" s="533"/>
      <c r="PLB10" s="533"/>
      <c r="PLC10" s="533"/>
      <c r="PLD10" s="533"/>
      <c r="PLE10" s="533"/>
      <c r="PLF10" s="533"/>
      <c r="PLG10" s="533"/>
      <c r="PLH10" s="533"/>
      <c r="PLI10" s="533"/>
      <c r="PLJ10" s="533"/>
      <c r="PLK10" s="533"/>
      <c r="PLL10" s="533"/>
      <c r="PLM10" s="533"/>
      <c r="PLN10" s="533"/>
      <c r="PLO10" s="533"/>
      <c r="PLP10" s="533"/>
      <c r="PLQ10" s="533"/>
      <c r="PLR10" s="533"/>
      <c r="PLS10" s="533"/>
      <c r="PLT10" s="533"/>
      <c r="PLU10" s="533"/>
      <c r="PLV10" s="533"/>
      <c r="PLW10" s="533"/>
      <c r="PLX10" s="533"/>
      <c r="PLY10" s="533"/>
      <c r="PLZ10" s="533"/>
      <c r="PMA10" s="533"/>
      <c r="PMB10" s="533"/>
      <c r="PMC10" s="533"/>
      <c r="PMD10" s="533"/>
      <c r="PME10" s="533"/>
      <c r="PMF10" s="533"/>
      <c r="PMG10" s="533"/>
      <c r="PMH10" s="533"/>
      <c r="PMI10" s="533"/>
      <c r="PMJ10" s="533"/>
      <c r="PMK10" s="533"/>
      <c r="PML10" s="533"/>
      <c r="PMM10" s="533"/>
      <c r="PMN10" s="533"/>
      <c r="PMO10" s="533"/>
      <c r="PMP10" s="533"/>
      <c r="PMQ10" s="533"/>
      <c r="PMR10" s="533"/>
      <c r="PMS10" s="533"/>
      <c r="PMT10" s="533"/>
      <c r="PMU10" s="533"/>
      <c r="PMV10" s="533"/>
      <c r="PMW10" s="533"/>
      <c r="PMX10" s="533"/>
      <c r="PMY10" s="533"/>
      <c r="PMZ10" s="533"/>
      <c r="PNA10" s="533"/>
      <c r="PNB10" s="533"/>
      <c r="PNC10" s="533"/>
      <c r="PND10" s="533"/>
      <c r="PNE10" s="533"/>
      <c r="PNF10" s="533"/>
      <c r="PNG10" s="533"/>
      <c r="PNH10" s="533"/>
      <c r="PNI10" s="533"/>
      <c r="PNJ10" s="533"/>
      <c r="PNK10" s="533"/>
      <c r="PNL10" s="533"/>
      <c r="PNM10" s="533"/>
      <c r="PNN10" s="533"/>
      <c r="PNO10" s="533"/>
      <c r="PNP10" s="533"/>
      <c r="PNQ10" s="533"/>
      <c r="PNR10" s="533"/>
      <c r="PNS10" s="533"/>
      <c r="PNT10" s="533"/>
      <c r="PNU10" s="533"/>
      <c r="PNV10" s="533"/>
      <c r="PNW10" s="533"/>
      <c r="PNX10" s="533"/>
      <c r="PNY10" s="533"/>
      <c r="PNZ10" s="533"/>
      <c r="POA10" s="533"/>
      <c r="POB10" s="533"/>
      <c r="POC10" s="533"/>
      <c r="POD10" s="533"/>
      <c r="POE10" s="533"/>
      <c r="POF10" s="533"/>
      <c r="POG10" s="533"/>
      <c r="POH10" s="533"/>
      <c r="POI10" s="533"/>
      <c r="POJ10" s="533"/>
      <c r="POK10" s="533"/>
      <c r="POL10" s="533"/>
      <c r="POM10" s="533"/>
      <c r="PON10" s="533"/>
      <c r="POO10" s="533"/>
      <c r="POP10" s="533"/>
      <c r="POQ10" s="533"/>
      <c r="POR10" s="533"/>
      <c r="POS10" s="533"/>
      <c r="POT10" s="533"/>
      <c r="POU10" s="533"/>
      <c r="POV10" s="533"/>
      <c r="POW10" s="533"/>
      <c r="POX10" s="533"/>
      <c r="POY10" s="533"/>
      <c r="POZ10" s="533"/>
      <c r="PPA10" s="533"/>
      <c r="PPB10" s="533"/>
      <c r="PPC10" s="533"/>
      <c r="PPD10" s="533"/>
      <c r="PPE10" s="533"/>
      <c r="PPF10" s="533"/>
      <c r="PPG10" s="533"/>
      <c r="PPH10" s="533"/>
      <c r="PPI10" s="533"/>
      <c r="PPJ10" s="533"/>
      <c r="PPK10" s="533"/>
      <c r="PPL10" s="533"/>
      <c r="PPM10" s="533"/>
      <c r="PPN10" s="533"/>
      <c r="PPO10" s="533"/>
      <c r="PPP10" s="533"/>
      <c r="PPQ10" s="533"/>
      <c r="PPR10" s="533"/>
      <c r="PPS10" s="533"/>
      <c r="PPT10" s="533"/>
      <c r="PPU10" s="533"/>
      <c r="PPV10" s="533"/>
      <c r="PPW10" s="533"/>
      <c r="PPX10" s="533"/>
      <c r="PPY10" s="533"/>
      <c r="PPZ10" s="533"/>
      <c r="PQA10" s="533"/>
      <c r="PQB10" s="533"/>
      <c r="PQC10" s="533"/>
      <c r="PQD10" s="533"/>
      <c r="PQE10" s="533"/>
      <c r="PQF10" s="533"/>
      <c r="PQG10" s="533"/>
      <c r="PQH10" s="533"/>
      <c r="PQI10" s="533"/>
      <c r="PQJ10" s="533"/>
      <c r="PQK10" s="533"/>
      <c r="PQL10" s="533"/>
      <c r="PQM10" s="533"/>
      <c r="PQN10" s="533"/>
      <c r="PQO10" s="533"/>
      <c r="PQP10" s="533"/>
      <c r="PQQ10" s="533"/>
      <c r="PQR10" s="533"/>
      <c r="PQS10" s="533"/>
      <c r="PQT10" s="533"/>
      <c r="PQU10" s="533"/>
      <c r="PQV10" s="533"/>
      <c r="PQW10" s="533"/>
      <c r="PQX10" s="533"/>
      <c r="PQY10" s="533"/>
      <c r="PQZ10" s="533"/>
      <c r="PRA10" s="533"/>
      <c r="PRB10" s="533"/>
      <c r="PRC10" s="533"/>
      <c r="PRD10" s="533"/>
      <c r="PRE10" s="533"/>
      <c r="PRF10" s="533"/>
      <c r="PRG10" s="533"/>
      <c r="PRH10" s="533"/>
      <c r="PRI10" s="533"/>
      <c r="PRJ10" s="533"/>
      <c r="PRK10" s="533"/>
      <c r="PRL10" s="533"/>
      <c r="PRM10" s="533"/>
      <c r="PRN10" s="533"/>
      <c r="PRO10" s="533"/>
      <c r="PRP10" s="533"/>
      <c r="PRQ10" s="533"/>
      <c r="PRR10" s="533"/>
      <c r="PRS10" s="533"/>
      <c r="PRT10" s="533"/>
      <c r="PRU10" s="533"/>
      <c r="PRV10" s="533"/>
      <c r="PRW10" s="533"/>
      <c r="PRX10" s="533"/>
      <c r="PRY10" s="533"/>
      <c r="PRZ10" s="533"/>
      <c r="PSA10" s="533"/>
      <c r="PSB10" s="533"/>
      <c r="PSC10" s="533"/>
      <c r="PSD10" s="533"/>
      <c r="PSE10" s="533"/>
      <c r="PSF10" s="533"/>
      <c r="PSG10" s="533"/>
      <c r="PSH10" s="533"/>
      <c r="PSI10" s="533"/>
      <c r="PSJ10" s="533"/>
      <c r="PSK10" s="533"/>
      <c r="PSL10" s="533"/>
      <c r="PSM10" s="533"/>
      <c r="PSN10" s="533"/>
      <c r="PSO10" s="533"/>
      <c r="PSP10" s="533"/>
      <c r="PSQ10" s="533"/>
      <c r="PSR10" s="533"/>
      <c r="PSS10" s="533"/>
      <c r="PST10" s="533"/>
      <c r="PSU10" s="533"/>
      <c r="PSV10" s="533"/>
      <c r="PSW10" s="533"/>
      <c r="PSX10" s="533"/>
      <c r="PSY10" s="533"/>
      <c r="PSZ10" s="533"/>
      <c r="PTA10" s="533"/>
      <c r="PTB10" s="533"/>
      <c r="PTC10" s="533"/>
      <c r="PTD10" s="533"/>
      <c r="PTE10" s="533"/>
      <c r="PTF10" s="533"/>
      <c r="PTG10" s="533"/>
      <c r="PTH10" s="533"/>
      <c r="PTI10" s="533"/>
      <c r="PTJ10" s="533"/>
      <c r="PTK10" s="533"/>
      <c r="PTL10" s="533"/>
      <c r="PTM10" s="533"/>
      <c r="PTN10" s="533"/>
      <c r="PTO10" s="533"/>
      <c r="PTP10" s="533"/>
      <c r="PTQ10" s="533"/>
      <c r="PTR10" s="533"/>
      <c r="PTS10" s="533"/>
      <c r="PTT10" s="533"/>
      <c r="PTU10" s="533"/>
      <c r="PTV10" s="533"/>
      <c r="PTW10" s="533"/>
      <c r="PTX10" s="533"/>
      <c r="PTY10" s="533"/>
      <c r="PTZ10" s="533"/>
      <c r="PUA10" s="533"/>
      <c r="PUB10" s="533"/>
      <c r="PUC10" s="533"/>
      <c r="PUD10" s="533"/>
      <c r="PUE10" s="533"/>
      <c r="PUF10" s="533"/>
      <c r="PUG10" s="533"/>
      <c r="PUH10" s="533"/>
      <c r="PUI10" s="533"/>
      <c r="PUJ10" s="533"/>
      <c r="PUK10" s="533"/>
      <c r="PUL10" s="533"/>
      <c r="PUM10" s="533"/>
      <c r="PUN10" s="533"/>
      <c r="PUO10" s="533"/>
      <c r="PUP10" s="533"/>
      <c r="PUQ10" s="533"/>
      <c r="PUR10" s="533"/>
      <c r="PUS10" s="533"/>
      <c r="PUT10" s="533"/>
      <c r="PUU10" s="533"/>
      <c r="PUV10" s="533"/>
      <c r="PUW10" s="533"/>
      <c r="PUX10" s="533"/>
      <c r="PUY10" s="533"/>
      <c r="PUZ10" s="533"/>
      <c r="PVA10" s="533"/>
      <c r="PVB10" s="533"/>
      <c r="PVC10" s="533"/>
      <c r="PVD10" s="533"/>
      <c r="PVE10" s="533"/>
      <c r="PVF10" s="533"/>
      <c r="PVG10" s="533"/>
      <c r="PVH10" s="533"/>
      <c r="PVI10" s="533"/>
      <c r="PVJ10" s="533"/>
      <c r="PVK10" s="533"/>
      <c r="PVL10" s="533"/>
      <c r="PVM10" s="533"/>
      <c r="PVN10" s="533"/>
      <c r="PVO10" s="533"/>
      <c r="PVP10" s="533"/>
      <c r="PVQ10" s="533"/>
      <c r="PVR10" s="533"/>
      <c r="PVS10" s="533"/>
      <c r="PVT10" s="533"/>
      <c r="PVU10" s="533"/>
      <c r="PVV10" s="533"/>
      <c r="PVW10" s="533"/>
      <c r="PVX10" s="533"/>
      <c r="PVY10" s="533"/>
      <c r="PVZ10" s="533"/>
      <c r="PWA10" s="533"/>
      <c r="PWB10" s="533"/>
      <c r="PWC10" s="533"/>
      <c r="PWD10" s="533"/>
      <c r="PWE10" s="533"/>
      <c r="PWF10" s="533"/>
      <c r="PWG10" s="533"/>
      <c r="PWH10" s="533"/>
      <c r="PWI10" s="533"/>
      <c r="PWJ10" s="533"/>
      <c r="PWK10" s="533"/>
      <c r="PWL10" s="533"/>
      <c r="PWM10" s="533"/>
      <c r="PWN10" s="533"/>
      <c r="PWO10" s="533"/>
      <c r="PWP10" s="533"/>
      <c r="PWQ10" s="533"/>
      <c r="PWR10" s="533"/>
      <c r="PWS10" s="533"/>
      <c r="PWT10" s="533"/>
      <c r="PWU10" s="533"/>
      <c r="PWV10" s="533"/>
      <c r="PWW10" s="533"/>
      <c r="PWX10" s="533"/>
      <c r="PWY10" s="533"/>
      <c r="PWZ10" s="533"/>
      <c r="PXA10" s="533"/>
      <c r="PXB10" s="533"/>
      <c r="PXC10" s="533"/>
      <c r="PXD10" s="533"/>
      <c r="PXE10" s="533"/>
      <c r="PXF10" s="533"/>
      <c r="PXG10" s="533"/>
      <c r="PXH10" s="533"/>
      <c r="PXI10" s="533"/>
      <c r="PXJ10" s="533"/>
      <c r="PXK10" s="533"/>
      <c r="PXL10" s="533"/>
      <c r="PXM10" s="533"/>
      <c r="PXN10" s="533"/>
      <c r="PXO10" s="533"/>
      <c r="PXP10" s="533"/>
      <c r="PXQ10" s="533"/>
      <c r="PXR10" s="533"/>
      <c r="PXS10" s="533"/>
      <c r="PXT10" s="533"/>
      <c r="PXU10" s="533"/>
      <c r="PXV10" s="533"/>
      <c r="PXW10" s="533"/>
      <c r="PXX10" s="533"/>
      <c r="PXY10" s="533"/>
      <c r="PXZ10" s="533"/>
      <c r="PYA10" s="533"/>
      <c r="PYB10" s="533"/>
      <c r="PYC10" s="533"/>
      <c r="PYD10" s="533"/>
      <c r="PYE10" s="533"/>
      <c r="PYF10" s="533"/>
      <c r="PYG10" s="533"/>
      <c r="PYH10" s="533"/>
      <c r="PYI10" s="533"/>
      <c r="PYJ10" s="533"/>
      <c r="PYK10" s="533"/>
      <c r="PYL10" s="533"/>
      <c r="PYM10" s="533"/>
      <c r="PYN10" s="533"/>
      <c r="PYO10" s="533"/>
      <c r="PYP10" s="533"/>
      <c r="PYQ10" s="533"/>
      <c r="PYR10" s="533"/>
      <c r="PYS10" s="533"/>
      <c r="PYT10" s="533"/>
      <c r="PYU10" s="533"/>
      <c r="PYV10" s="533"/>
      <c r="PYW10" s="533"/>
      <c r="PYX10" s="533"/>
      <c r="PYY10" s="533"/>
      <c r="PYZ10" s="533"/>
      <c r="PZA10" s="533"/>
      <c r="PZB10" s="533"/>
      <c r="PZC10" s="533"/>
      <c r="PZD10" s="533"/>
      <c r="PZE10" s="533"/>
      <c r="PZF10" s="533"/>
      <c r="PZG10" s="533"/>
      <c r="PZH10" s="533"/>
      <c r="PZI10" s="533"/>
      <c r="PZJ10" s="533"/>
      <c r="PZK10" s="533"/>
      <c r="PZL10" s="533"/>
      <c r="PZM10" s="533"/>
      <c r="PZN10" s="533"/>
      <c r="PZO10" s="533"/>
      <c r="PZP10" s="533"/>
      <c r="PZQ10" s="533"/>
      <c r="PZR10" s="533"/>
      <c r="PZS10" s="533"/>
      <c r="PZT10" s="533"/>
      <c r="PZU10" s="533"/>
      <c r="PZV10" s="533"/>
      <c r="PZW10" s="533"/>
      <c r="PZX10" s="533"/>
      <c r="PZY10" s="533"/>
      <c r="PZZ10" s="533"/>
      <c r="QAA10" s="533"/>
      <c r="QAB10" s="533"/>
      <c r="QAC10" s="533"/>
      <c r="QAD10" s="533"/>
      <c r="QAE10" s="533"/>
      <c r="QAF10" s="533"/>
      <c r="QAG10" s="533"/>
      <c r="QAH10" s="533"/>
      <c r="QAI10" s="533"/>
      <c r="QAJ10" s="533"/>
      <c r="QAK10" s="533"/>
      <c r="QAL10" s="533"/>
      <c r="QAM10" s="533"/>
      <c r="QAN10" s="533"/>
      <c r="QAO10" s="533"/>
      <c r="QAP10" s="533"/>
      <c r="QAQ10" s="533"/>
      <c r="QAR10" s="533"/>
      <c r="QAS10" s="533"/>
      <c r="QAT10" s="533"/>
      <c r="QAU10" s="533"/>
      <c r="QAV10" s="533"/>
      <c r="QAW10" s="533"/>
      <c r="QAX10" s="533"/>
      <c r="QAY10" s="533"/>
      <c r="QAZ10" s="533"/>
      <c r="QBA10" s="533"/>
      <c r="QBB10" s="533"/>
      <c r="QBC10" s="533"/>
      <c r="QBD10" s="533"/>
      <c r="QBE10" s="533"/>
      <c r="QBF10" s="533"/>
      <c r="QBG10" s="533"/>
      <c r="QBH10" s="533"/>
      <c r="QBI10" s="533"/>
      <c r="QBJ10" s="533"/>
      <c r="QBK10" s="533"/>
      <c r="QBL10" s="533"/>
      <c r="QBM10" s="533"/>
      <c r="QBN10" s="533"/>
      <c r="QBO10" s="533"/>
      <c r="QBP10" s="533"/>
      <c r="QBQ10" s="533"/>
      <c r="QBR10" s="533"/>
      <c r="QBS10" s="533"/>
      <c r="QBT10" s="533"/>
      <c r="QBU10" s="533"/>
      <c r="QBV10" s="533"/>
      <c r="QBW10" s="533"/>
      <c r="QBX10" s="533"/>
      <c r="QBY10" s="533"/>
      <c r="QBZ10" s="533"/>
      <c r="QCA10" s="533"/>
      <c r="QCB10" s="533"/>
      <c r="QCC10" s="533"/>
      <c r="QCD10" s="533"/>
      <c r="QCE10" s="533"/>
      <c r="QCF10" s="533"/>
      <c r="QCG10" s="533"/>
      <c r="QCH10" s="533"/>
      <c r="QCI10" s="533"/>
      <c r="QCJ10" s="533"/>
      <c r="QCK10" s="533"/>
      <c r="QCL10" s="533"/>
      <c r="QCM10" s="533"/>
      <c r="QCN10" s="533"/>
      <c r="QCO10" s="533"/>
      <c r="QCP10" s="533"/>
      <c r="QCQ10" s="533"/>
      <c r="QCR10" s="533"/>
      <c r="QCS10" s="533"/>
      <c r="QCT10" s="533"/>
      <c r="QCU10" s="533"/>
      <c r="QCV10" s="533"/>
      <c r="QCW10" s="533"/>
      <c r="QCX10" s="533"/>
      <c r="QCY10" s="533"/>
      <c r="QCZ10" s="533"/>
      <c r="QDA10" s="533"/>
      <c r="QDB10" s="533"/>
      <c r="QDC10" s="533"/>
      <c r="QDD10" s="533"/>
      <c r="QDE10" s="533"/>
      <c r="QDF10" s="533"/>
      <c r="QDG10" s="533"/>
      <c r="QDH10" s="533"/>
      <c r="QDI10" s="533"/>
      <c r="QDJ10" s="533"/>
      <c r="QDK10" s="533"/>
      <c r="QDL10" s="533"/>
      <c r="QDM10" s="533"/>
      <c r="QDN10" s="533"/>
      <c r="QDO10" s="533"/>
      <c r="QDP10" s="533"/>
      <c r="QDQ10" s="533"/>
      <c r="QDR10" s="533"/>
      <c r="QDS10" s="533"/>
      <c r="QDT10" s="533"/>
      <c r="QDU10" s="533"/>
      <c r="QDV10" s="533"/>
      <c r="QDW10" s="533"/>
      <c r="QDX10" s="533"/>
      <c r="QDY10" s="533"/>
      <c r="QDZ10" s="533"/>
      <c r="QEA10" s="533"/>
      <c r="QEB10" s="533"/>
      <c r="QEC10" s="533"/>
      <c r="QED10" s="533"/>
      <c r="QEE10" s="533"/>
      <c r="QEF10" s="533"/>
      <c r="QEG10" s="533"/>
      <c r="QEH10" s="533"/>
      <c r="QEI10" s="533"/>
      <c r="QEJ10" s="533"/>
      <c r="QEK10" s="533"/>
      <c r="QEL10" s="533"/>
      <c r="QEM10" s="533"/>
      <c r="QEN10" s="533"/>
      <c r="QEO10" s="533"/>
      <c r="QEP10" s="533"/>
      <c r="QEQ10" s="533"/>
      <c r="QER10" s="533"/>
      <c r="QES10" s="533"/>
      <c r="QET10" s="533"/>
      <c r="QEU10" s="533"/>
      <c r="QEV10" s="533"/>
      <c r="QEW10" s="533"/>
      <c r="QEX10" s="533"/>
      <c r="QEY10" s="533"/>
      <c r="QEZ10" s="533"/>
      <c r="QFA10" s="533"/>
      <c r="QFB10" s="533"/>
      <c r="QFC10" s="533"/>
      <c r="QFD10" s="533"/>
      <c r="QFE10" s="533"/>
      <c r="QFF10" s="533"/>
      <c r="QFG10" s="533"/>
      <c r="QFH10" s="533"/>
      <c r="QFI10" s="533"/>
      <c r="QFJ10" s="533"/>
      <c r="QFK10" s="533"/>
      <c r="QFL10" s="533"/>
      <c r="QFM10" s="533"/>
      <c r="QFN10" s="533"/>
      <c r="QFO10" s="533"/>
      <c r="QFP10" s="533"/>
      <c r="QFQ10" s="533"/>
      <c r="QFR10" s="533"/>
      <c r="QFS10" s="533"/>
      <c r="QFT10" s="533"/>
      <c r="QFU10" s="533"/>
      <c r="QFV10" s="533"/>
      <c r="QFW10" s="533"/>
      <c r="QFX10" s="533"/>
      <c r="QFY10" s="533"/>
      <c r="QFZ10" s="533"/>
      <c r="QGA10" s="533"/>
      <c r="QGB10" s="533"/>
      <c r="QGC10" s="533"/>
      <c r="QGD10" s="533"/>
      <c r="QGE10" s="533"/>
      <c r="QGF10" s="533"/>
      <c r="QGG10" s="533"/>
      <c r="QGH10" s="533"/>
      <c r="QGI10" s="533"/>
      <c r="QGJ10" s="533"/>
      <c r="QGK10" s="533"/>
      <c r="QGL10" s="533"/>
      <c r="QGM10" s="533"/>
      <c r="QGN10" s="533"/>
      <c r="QGO10" s="533"/>
      <c r="QGP10" s="533"/>
      <c r="QGQ10" s="533"/>
      <c r="QGR10" s="533"/>
      <c r="QGS10" s="533"/>
      <c r="QGT10" s="533"/>
      <c r="QGU10" s="533"/>
      <c r="QGV10" s="533"/>
      <c r="QGW10" s="533"/>
      <c r="QGX10" s="533"/>
      <c r="QGY10" s="533"/>
      <c r="QGZ10" s="533"/>
      <c r="QHA10" s="533"/>
      <c r="QHB10" s="533"/>
      <c r="QHC10" s="533"/>
      <c r="QHD10" s="533"/>
      <c r="QHE10" s="533"/>
      <c r="QHF10" s="533"/>
      <c r="QHG10" s="533"/>
      <c r="QHH10" s="533"/>
      <c r="QHI10" s="533"/>
      <c r="QHJ10" s="533"/>
      <c r="QHK10" s="533"/>
      <c r="QHL10" s="533"/>
      <c r="QHM10" s="533"/>
      <c r="QHN10" s="533"/>
      <c r="QHO10" s="533"/>
      <c r="QHP10" s="533"/>
      <c r="QHQ10" s="533"/>
      <c r="QHR10" s="533"/>
      <c r="QHS10" s="533"/>
      <c r="QHT10" s="533"/>
      <c r="QHU10" s="533"/>
      <c r="QHV10" s="533"/>
      <c r="QHW10" s="533"/>
      <c r="QHX10" s="533"/>
      <c r="QHY10" s="533"/>
      <c r="QHZ10" s="533"/>
      <c r="QIA10" s="533"/>
      <c r="QIB10" s="533"/>
      <c r="QIC10" s="533"/>
      <c r="QID10" s="533"/>
      <c r="QIE10" s="533"/>
      <c r="QIF10" s="533"/>
      <c r="QIG10" s="533"/>
      <c r="QIH10" s="533"/>
      <c r="QII10" s="533"/>
      <c r="QIJ10" s="533"/>
      <c r="QIK10" s="533"/>
      <c r="QIL10" s="533"/>
      <c r="QIM10" s="533"/>
      <c r="QIN10" s="533"/>
      <c r="QIO10" s="533"/>
      <c r="QIP10" s="533"/>
      <c r="QIQ10" s="533"/>
      <c r="QIR10" s="533"/>
      <c r="QIS10" s="533"/>
      <c r="QIT10" s="533"/>
      <c r="QIU10" s="533"/>
      <c r="QIV10" s="533"/>
      <c r="QIW10" s="533"/>
      <c r="QIX10" s="533"/>
      <c r="QIY10" s="533"/>
      <c r="QIZ10" s="533"/>
      <c r="QJA10" s="533"/>
      <c r="QJB10" s="533"/>
      <c r="QJC10" s="533"/>
      <c r="QJD10" s="533"/>
      <c r="QJE10" s="533"/>
      <c r="QJF10" s="533"/>
      <c r="QJG10" s="533"/>
      <c r="QJH10" s="533"/>
      <c r="QJI10" s="533"/>
      <c r="QJJ10" s="533"/>
      <c r="QJK10" s="533"/>
      <c r="QJL10" s="533"/>
      <c r="QJM10" s="533"/>
      <c r="QJN10" s="533"/>
      <c r="QJO10" s="533"/>
      <c r="QJP10" s="533"/>
      <c r="QJQ10" s="533"/>
      <c r="QJR10" s="533"/>
      <c r="QJS10" s="533"/>
      <c r="QJT10" s="533"/>
      <c r="QJU10" s="533"/>
      <c r="QJV10" s="533"/>
      <c r="QJW10" s="533"/>
      <c r="QJX10" s="533"/>
      <c r="QJY10" s="533"/>
      <c r="QJZ10" s="533"/>
      <c r="QKA10" s="533"/>
      <c r="QKB10" s="533"/>
      <c r="QKC10" s="533"/>
      <c r="QKD10" s="533"/>
      <c r="QKE10" s="533"/>
      <c r="QKF10" s="533"/>
      <c r="QKG10" s="533"/>
      <c r="QKH10" s="533"/>
      <c r="QKI10" s="533"/>
      <c r="QKJ10" s="533"/>
      <c r="QKK10" s="533"/>
      <c r="QKL10" s="533"/>
      <c r="QKM10" s="533"/>
      <c r="QKN10" s="533"/>
      <c r="QKO10" s="533"/>
      <c r="QKP10" s="533"/>
      <c r="QKQ10" s="533"/>
      <c r="QKR10" s="533"/>
      <c r="QKS10" s="533"/>
      <c r="QKT10" s="533"/>
      <c r="QKU10" s="533"/>
      <c r="QKV10" s="533"/>
      <c r="QKW10" s="533"/>
      <c r="QKX10" s="533"/>
      <c r="QKY10" s="533"/>
      <c r="QKZ10" s="533"/>
      <c r="QLA10" s="533"/>
      <c r="QLB10" s="533"/>
      <c r="QLC10" s="533"/>
      <c r="QLD10" s="533"/>
      <c r="QLE10" s="533"/>
      <c r="QLF10" s="533"/>
      <c r="QLG10" s="533"/>
      <c r="QLH10" s="533"/>
      <c r="QLI10" s="533"/>
      <c r="QLJ10" s="533"/>
      <c r="QLK10" s="533"/>
      <c r="QLL10" s="533"/>
      <c r="QLM10" s="533"/>
      <c r="QLN10" s="533"/>
      <c r="QLO10" s="533"/>
      <c r="QLP10" s="533"/>
      <c r="QLQ10" s="533"/>
      <c r="QLR10" s="533"/>
      <c r="QLS10" s="533"/>
      <c r="QLT10" s="533"/>
      <c r="QLU10" s="533"/>
      <c r="QLV10" s="533"/>
      <c r="QLW10" s="533"/>
      <c r="QLX10" s="533"/>
      <c r="QLY10" s="533"/>
      <c r="QLZ10" s="533"/>
      <c r="QMA10" s="533"/>
      <c r="QMB10" s="533"/>
      <c r="QMC10" s="533"/>
      <c r="QMD10" s="533"/>
      <c r="QME10" s="533"/>
      <c r="QMF10" s="533"/>
      <c r="QMG10" s="533"/>
      <c r="QMH10" s="533"/>
      <c r="QMI10" s="533"/>
      <c r="QMJ10" s="533"/>
      <c r="QMK10" s="533"/>
      <c r="QML10" s="533"/>
      <c r="QMM10" s="533"/>
      <c r="QMN10" s="533"/>
      <c r="QMO10" s="533"/>
      <c r="QMP10" s="533"/>
      <c r="QMQ10" s="533"/>
      <c r="QMR10" s="533"/>
      <c r="QMS10" s="533"/>
      <c r="QMT10" s="533"/>
      <c r="QMU10" s="533"/>
      <c r="QMV10" s="533"/>
      <c r="QMW10" s="533"/>
      <c r="QMX10" s="533"/>
      <c r="QMY10" s="533"/>
      <c r="QMZ10" s="533"/>
      <c r="QNA10" s="533"/>
      <c r="QNB10" s="533"/>
      <c r="QNC10" s="533"/>
      <c r="QND10" s="533"/>
      <c r="QNE10" s="533"/>
      <c r="QNF10" s="533"/>
      <c r="QNG10" s="533"/>
      <c r="QNH10" s="533"/>
      <c r="QNI10" s="533"/>
      <c r="QNJ10" s="533"/>
      <c r="QNK10" s="533"/>
      <c r="QNL10" s="533"/>
      <c r="QNM10" s="533"/>
      <c r="QNN10" s="533"/>
      <c r="QNO10" s="533"/>
      <c r="QNP10" s="533"/>
      <c r="QNQ10" s="533"/>
      <c r="QNR10" s="533"/>
      <c r="QNS10" s="533"/>
      <c r="QNT10" s="533"/>
      <c r="QNU10" s="533"/>
      <c r="QNV10" s="533"/>
      <c r="QNW10" s="533"/>
      <c r="QNX10" s="533"/>
      <c r="QNY10" s="533"/>
      <c r="QNZ10" s="533"/>
      <c r="QOA10" s="533"/>
      <c r="QOB10" s="533"/>
      <c r="QOC10" s="533"/>
      <c r="QOD10" s="533"/>
      <c r="QOE10" s="533"/>
      <c r="QOF10" s="533"/>
      <c r="QOG10" s="533"/>
      <c r="QOH10" s="533"/>
      <c r="QOI10" s="533"/>
      <c r="QOJ10" s="533"/>
      <c r="QOK10" s="533"/>
      <c r="QOL10" s="533"/>
      <c r="QOM10" s="533"/>
      <c r="QON10" s="533"/>
      <c r="QOO10" s="533"/>
      <c r="QOP10" s="533"/>
      <c r="QOQ10" s="533"/>
      <c r="QOR10" s="533"/>
      <c r="QOS10" s="533"/>
      <c r="QOT10" s="533"/>
      <c r="QOU10" s="533"/>
      <c r="QOV10" s="533"/>
      <c r="QOW10" s="533"/>
      <c r="QOX10" s="533"/>
      <c r="QOY10" s="533"/>
      <c r="QOZ10" s="533"/>
      <c r="QPA10" s="533"/>
      <c r="QPB10" s="533"/>
      <c r="QPC10" s="533"/>
      <c r="QPD10" s="533"/>
      <c r="QPE10" s="533"/>
      <c r="QPF10" s="533"/>
      <c r="QPG10" s="533"/>
      <c r="QPH10" s="533"/>
      <c r="QPI10" s="533"/>
      <c r="QPJ10" s="533"/>
      <c r="QPK10" s="533"/>
      <c r="QPL10" s="533"/>
      <c r="QPM10" s="533"/>
      <c r="QPN10" s="533"/>
      <c r="QPO10" s="533"/>
      <c r="QPP10" s="533"/>
      <c r="QPQ10" s="533"/>
      <c r="QPR10" s="533"/>
      <c r="QPS10" s="533"/>
      <c r="QPT10" s="533"/>
      <c r="QPU10" s="533"/>
      <c r="QPV10" s="533"/>
      <c r="QPW10" s="533"/>
      <c r="QPX10" s="533"/>
      <c r="QPY10" s="533"/>
      <c r="QPZ10" s="533"/>
      <c r="QQA10" s="533"/>
      <c r="QQB10" s="533"/>
      <c r="QQC10" s="533"/>
      <c r="QQD10" s="533"/>
      <c r="QQE10" s="533"/>
      <c r="QQF10" s="533"/>
      <c r="QQG10" s="533"/>
      <c r="QQH10" s="533"/>
      <c r="QQI10" s="533"/>
      <c r="QQJ10" s="533"/>
      <c r="QQK10" s="533"/>
      <c r="QQL10" s="533"/>
      <c r="QQM10" s="533"/>
      <c r="QQN10" s="533"/>
      <c r="QQO10" s="533"/>
      <c r="QQP10" s="533"/>
      <c r="QQQ10" s="533"/>
      <c r="QQR10" s="533"/>
      <c r="QQS10" s="533"/>
      <c r="QQT10" s="533"/>
      <c r="QQU10" s="533"/>
      <c r="QQV10" s="533"/>
      <c r="QQW10" s="533"/>
      <c r="QQX10" s="533"/>
      <c r="QQY10" s="533"/>
      <c r="QQZ10" s="533"/>
      <c r="QRA10" s="533"/>
      <c r="QRB10" s="533"/>
      <c r="QRC10" s="533"/>
      <c r="QRD10" s="533"/>
      <c r="QRE10" s="533"/>
      <c r="QRF10" s="533"/>
      <c r="QRG10" s="533"/>
      <c r="QRH10" s="533"/>
      <c r="QRI10" s="533"/>
      <c r="QRJ10" s="533"/>
      <c r="QRK10" s="533"/>
      <c r="QRL10" s="533"/>
      <c r="QRM10" s="533"/>
      <c r="QRN10" s="533"/>
      <c r="QRO10" s="533"/>
      <c r="QRP10" s="533"/>
      <c r="QRQ10" s="533"/>
      <c r="QRR10" s="533"/>
      <c r="QRS10" s="533"/>
      <c r="QRT10" s="533"/>
      <c r="QRU10" s="533"/>
      <c r="QRV10" s="533"/>
      <c r="QRW10" s="533"/>
      <c r="QRX10" s="533"/>
      <c r="QRY10" s="533"/>
      <c r="QRZ10" s="533"/>
      <c r="QSA10" s="533"/>
      <c r="QSB10" s="533"/>
      <c r="QSC10" s="533"/>
      <c r="QSD10" s="533"/>
      <c r="QSE10" s="533"/>
      <c r="QSF10" s="533"/>
      <c r="QSG10" s="533"/>
      <c r="QSH10" s="533"/>
      <c r="QSI10" s="533"/>
      <c r="QSJ10" s="533"/>
      <c r="QSK10" s="533"/>
      <c r="QSL10" s="533"/>
      <c r="QSM10" s="533"/>
      <c r="QSN10" s="533"/>
      <c r="QSO10" s="533"/>
      <c r="QSP10" s="533"/>
      <c r="QSQ10" s="533"/>
      <c r="QSR10" s="533"/>
      <c r="QSS10" s="533"/>
      <c r="QST10" s="533"/>
      <c r="QSU10" s="533"/>
      <c r="QSV10" s="533"/>
      <c r="QSW10" s="533"/>
      <c r="QSX10" s="533"/>
      <c r="QSY10" s="533"/>
      <c r="QSZ10" s="533"/>
      <c r="QTA10" s="533"/>
      <c r="QTB10" s="533"/>
      <c r="QTC10" s="533"/>
      <c r="QTD10" s="533"/>
      <c r="QTE10" s="533"/>
      <c r="QTF10" s="533"/>
      <c r="QTG10" s="533"/>
      <c r="QTH10" s="533"/>
      <c r="QTI10" s="533"/>
      <c r="QTJ10" s="533"/>
      <c r="QTK10" s="533"/>
      <c r="QTL10" s="533"/>
      <c r="QTM10" s="533"/>
      <c r="QTN10" s="533"/>
      <c r="QTO10" s="533"/>
      <c r="QTP10" s="533"/>
      <c r="QTQ10" s="533"/>
      <c r="QTR10" s="533"/>
      <c r="QTS10" s="533"/>
      <c r="QTT10" s="533"/>
      <c r="QTU10" s="533"/>
      <c r="QTV10" s="533"/>
      <c r="QTW10" s="533"/>
      <c r="QTX10" s="533"/>
      <c r="QTY10" s="533"/>
      <c r="QTZ10" s="533"/>
      <c r="QUA10" s="533"/>
      <c r="QUB10" s="533"/>
      <c r="QUC10" s="533"/>
      <c r="QUD10" s="533"/>
      <c r="QUE10" s="533"/>
      <c r="QUF10" s="533"/>
      <c r="QUG10" s="533"/>
      <c r="QUH10" s="533"/>
      <c r="QUI10" s="533"/>
      <c r="QUJ10" s="533"/>
      <c r="QUK10" s="533"/>
      <c r="QUL10" s="533"/>
      <c r="QUM10" s="533"/>
      <c r="QUN10" s="533"/>
      <c r="QUO10" s="533"/>
      <c r="QUP10" s="533"/>
      <c r="QUQ10" s="533"/>
      <c r="QUR10" s="533"/>
      <c r="QUS10" s="533"/>
      <c r="QUT10" s="533"/>
      <c r="QUU10" s="533"/>
      <c r="QUV10" s="533"/>
      <c r="QUW10" s="533"/>
      <c r="QUX10" s="533"/>
      <c r="QUY10" s="533"/>
      <c r="QUZ10" s="533"/>
      <c r="QVA10" s="533"/>
      <c r="QVB10" s="533"/>
      <c r="QVC10" s="533"/>
      <c r="QVD10" s="533"/>
      <c r="QVE10" s="533"/>
      <c r="QVF10" s="533"/>
      <c r="QVG10" s="533"/>
      <c r="QVH10" s="533"/>
      <c r="QVI10" s="533"/>
      <c r="QVJ10" s="533"/>
      <c r="QVK10" s="533"/>
      <c r="QVL10" s="533"/>
      <c r="QVM10" s="533"/>
      <c r="QVN10" s="533"/>
      <c r="QVO10" s="533"/>
      <c r="QVP10" s="533"/>
      <c r="QVQ10" s="533"/>
      <c r="QVR10" s="533"/>
      <c r="QVS10" s="533"/>
      <c r="QVT10" s="533"/>
      <c r="QVU10" s="533"/>
      <c r="QVV10" s="533"/>
      <c r="QVW10" s="533"/>
      <c r="QVX10" s="533"/>
      <c r="QVY10" s="533"/>
      <c r="QVZ10" s="533"/>
      <c r="QWA10" s="533"/>
      <c r="QWB10" s="533"/>
      <c r="QWC10" s="533"/>
      <c r="QWD10" s="533"/>
      <c r="QWE10" s="533"/>
      <c r="QWF10" s="533"/>
      <c r="QWG10" s="533"/>
      <c r="QWH10" s="533"/>
      <c r="QWI10" s="533"/>
      <c r="QWJ10" s="533"/>
      <c r="QWK10" s="533"/>
      <c r="QWL10" s="533"/>
      <c r="QWM10" s="533"/>
      <c r="QWN10" s="533"/>
      <c r="QWO10" s="533"/>
      <c r="QWP10" s="533"/>
      <c r="QWQ10" s="533"/>
      <c r="QWR10" s="533"/>
      <c r="QWS10" s="533"/>
      <c r="QWT10" s="533"/>
      <c r="QWU10" s="533"/>
      <c r="QWV10" s="533"/>
      <c r="QWW10" s="533"/>
      <c r="QWX10" s="533"/>
      <c r="QWY10" s="533"/>
      <c r="QWZ10" s="533"/>
      <c r="QXA10" s="533"/>
      <c r="QXB10" s="533"/>
      <c r="QXC10" s="533"/>
      <c r="QXD10" s="533"/>
      <c r="QXE10" s="533"/>
      <c r="QXF10" s="533"/>
      <c r="QXG10" s="533"/>
      <c r="QXH10" s="533"/>
      <c r="QXI10" s="533"/>
      <c r="QXJ10" s="533"/>
      <c r="QXK10" s="533"/>
      <c r="QXL10" s="533"/>
      <c r="QXM10" s="533"/>
      <c r="QXN10" s="533"/>
      <c r="QXO10" s="533"/>
      <c r="QXP10" s="533"/>
      <c r="QXQ10" s="533"/>
      <c r="QXR10" s="533"/>
      <c r="QXS10" s="533"/>
      <c r="QXT10" s="533"/>
      <c r="QXU10" s="533"/>
      <c r="QXV10" s="533"/>
      <c r="QXW10" s="533"/>
      <c r="QXX10" s="533"/>
      <c r="QXY10" s="533"/>
      <c r="QXZ10" s="533"/>
      <c r="QYA10" s="533"/>
      <c r="QYB10" s="533"/>
      <c r="QYC10" s="533"/>
      <c r="QYD10" s="533"/>
      <c r="QYE10" s="533"/>
      <c r="QYF10" s="533"/>
      <c r="QYG10" s="533"/>
      <c r="QYH10" s="533"/>
      <c r="QYI10" s="533"/>
      <c r="QYJ10" s="533"/>
      <c r="QYK10" s="533"/>
      <c r="QYL10" s="533"/>
      <c r="QYM10" s="533"/>
      <c r="QYN10" s="533"/>
      <c r="QYO10" s="533"/>
      <c r="QYP10" s="533"/>
      <c r="QYQ10" s="533"/>
      <c r="QYR10" s="533"/>
      <c r="QYS10" s="533"/>
      <c r="QYT10" s="533"/>
      <c r="QYU10" s="533"/>
      <c r="QYV10" s="533"/>
      <c r="QYW10" s="533"/>
      <c r="QYX10" s="533"/>
      <c r="QYY10" s="533"/>
      <c r="QYZ10" s="533"/>
      <c r="QZA10" s="533"/>
      <c r="QZB10" s="533"/>
      <c r="QZC10" s="533"/>
      <c r="QZD10" s="533"/>
      <c r="QZE10" s="533"/>
      <c r="QZF10" s="533"/>
      <c r="QZG10" s="533"/>
      <c r="QZH10" s="533"/>
      <c r="QZI10" s="533"/>
      <c r="QZJ10" s="533"/>
      <c r="QZK10" s="533"/>
      <c r="QZL10" s="533"/>
      <c r="QZM10" s="533"/>
      <c r="QZN10" s="533"/>
      <c r="QZO10" s="533"/>
      <c r="QZP10" s="533"/>
      <c r="QZQ10" s="533"/>
      <c r="QZR10" s="533"/>
      <c r="QZS10" s="533"/>
      <c r="QZT10" s="533"/>
      <c r="QZU10" s="533"/>
      <c r="QZV10" s="533"/>
      <c r="QZW10" s="533"/>
      <c r="QZX10" s="533"/>
      <c r="QZY10" s="533"/>
      <c r="QZZ10" s="533"/>
      <c r="RAA10" s="533"/>
      <c r="RAB10" s="533"/>
      <c r="RAC10" s="533"/>
      <c r="RAD10" s="533"/>
      <c r="RAE10" s="533"/>
      <c r="RAF10" s="533"/>
      <c r="RAG10" s="533"/>
      <c r="RAH10" s="533"/>
      <c r="RAI10" s="533"/>
      <c r="RAJ10" s="533"/>
      <c r="RAK10" s="533"/>
      <c r="RAL10" s="533"/>
      <c r="RAM10" s="533"/>
      <c r="RAN10" s="533"/>
      <c r="RAO10" s="533"/>
      <c r="RAP10" s="533"/>
      <c r="RAQ10" s="533"/>
      <c r="RAR10" s="533"/>
      <c r="RAS10" s="533"/>
      <c r="RAT10" s="533"/>
      <c r="RAU10" s="533"/>
      <c r="RAV10" s="533"/>
      <c r="RAW10" s="533"/>
      <c r="RAX10" s="533"/>
      <c r="RAY10" s="533"/>
      <c r="RAZ10" s="533"/>
      <c r="RBA10" s="533"/>
      <c r="RBB10" s="533"/>
      <c r="RBC10" s="533"/>
      <c r="RBD10" s="533"/>
      <c r="RBE10" s="533"/>
      <c r="RBF10" s="533"/>
      <c r="RBG10" s="533"/>
      <c r="RBH10" s="533"/>
      <c r="RBI10" s="533"/>
      <c r="RBJ10" s="533"/>
      <c r="RBK10" s="533"/>
      <c r="RBL10" s="533"/>
      <c r="RBM10" s="533"/>
      <c r="RBN10" s="533"/>
      <c r="RBO10" s="533"/>
      <c r="RBP10" s="533"/>
      <c r="RBQ10" s="533"/>
      <c r="RBR10" s="533"/>
      <c r="RBS10" s="533"/>
      <c r="RBT10" s="533"/>
      <c r="RBU10" s="533"/>
      <c r="RBV10" s="533"/>
      <c r="RBW10" s="533"/>
      <c r="RBX10" s="533"/>
      <c r="RBY10" s="533"/>
      <c r="RBZ10" s="533"/>
      <c r="RCA10" s="533"/>
      <c r="RCB10" s="533"/>
      <c r="RCC10" s="533"/>
      <c r="RCD10" s="533"/>
      <c r="RCE10" s="533"/>
      <c r="RCF10" s="533"/>
      <c r="RCG10" s="533"/>
      <c r="RCH10" s="533"/>
      <c r="RCI10" s="533"/>
      <c r="RCJ10" s="533"/>
      <c r="RCK10" s="533"/>
      <c r="RCL10" s="533"/>
      <c r="RCM10" s="533"/>
      <c r="RCN10" s="533"/>
      <c r="RCO10" s="533"/>
      <c r="RCP10" s="533"/>
      <c r="RCQ10" s="533"/>
      <c r="RCR10" s="533"/>
      <c r="RCS10" s="533"/>
      <c r="RCT10" s="533"/>
      <c r="RCU10" s="533"/>
      <c r="RCV10" s="533"/>
      <c r="RCW10" s="533"/>
      <c r="RCX10" s="533"/>
      <c r="RCY10" s="533"/>
      <c r="RCZ10" s="533"/>
      <c r="RDA10" s="533"/>
      <c r="RDB10" s="533"/>
      <c r="RDC10" s="533"/>
      <c r="RDD10" s="533"/>
      <c r="RDE10" s="533"/>
      <c r="RDF10" s="533"/>
      <c r="RDG10" s="533"/>
      <c r="RDH10" s="533"/>
      <c r="RDI10" s="533"/>
      <c r="RDJ10" s="533"/>
      <c r="RDK10" s="533"/>
      <c r="RDL10" s="533"/>
      <c r="RDM10" s="533"/>
      <c r="RDN10" s="533"/>
      <c r="RDO10" s="533"/>
      <c r="RDP10" s="533"/>
      <c r="RDQ10" s="533"/>
      <c r="RDR10" s="533"/>
      <c r="RDS10" s="533"/>
      <c r="RDT10" s="533"/>
      <c r="RDU10" s="533"/>
      <c r="RDV10" s="533"/>
      <c r="RDW10" s="533"/>
      <c r="RDX10" s="533"/>
      <c r="RDY10" s="533"/>
      <c r="RDZ10" s="533"/>
      <c r="REA10" s="533"/>
      <c r="REB10" s="533"/>
      <c r="REC10" s="533"/>
      <c r="RED10" s="533"/>
      <c r="REE10" s="533"/>
      <c r="REF10" s="533"/>
      <c r="REG10" s="533"/>
      <c r="REH10" s="533"/>
      <c r="REI10" s="533"/>
      <c r="REJ10" s="533"/>
      <c r="REK10" s="533"/>
      <c r="REL10" s="533"/>
      <c r="REM10" s="533"/>
      <c r="REN10" s="533"/>
      <c r="REO10" s="533"/>
      <c r="REP10" s="533"/>
      <c r="REQ10" s="533"/>
      <c r="RER10" s="533"/>
      <c r="RES10" s="533"/>
      <c r="RET10" s="533"/>
      <c r="REU10" s="533"/>
      <c r="REV10" s="533"/>
      <c r="REW10" s="533"/>
      <c r="REX10" s="533"/>
      <c r="REY10" s="533"/>
      <c r="REZ10" s="533"/>
      <c r="RFA10" s="533"/>
      <c r="RFB10" s="533"/>
      <c r="RFC10" s="533"/>
      <c r="RFD10" s="533"/>
      <c r="RFE10" s="533"/>
      <c r="RFF10" s="533"/>
      <c r="RFG10" s="533"/>
      <c r="RFH10" s="533"/>
      <c r="RFI10" s="533"/>
      <c r="RFJ10" s="533"/>
      <c r="RFK10" s="533"/>
      <c r="RFL10" s="533"/>
      <c r="RFM10" s="533"/>
      <c r="RFN10" s="533"/>
      <c r="RFO10" s="533"/>
      <c r="RFP10" s="533"/>
      <c r="RFQ10" s="533"/>
      <c r="RFR10" s="533"/>
      <c r="RFS10" s="533"/>
      <c r="RFT10" s="533"/>
      <c r="RFU10" s="533"/>
      <c r="RFV10" s="533"/>
      <c r="RFW10" s="533"/>
      <c r="RFX10" s="533"/>
      <c r="RFY10" s="533"/>
      <c r="RFZ10" s="533"/>
      <c r="RGA10" s="533"/>
      <c r="RGB10" s="533"/>
      <c r="RGC10" s="533"/>
      <c r="RGD10" s="533"/>
      <c r="RGE10" s="533"/>
      <c r="RGF10" s="533"/>
      <c r="RGG10" s="533"/>
      <c r="RGH10" s="533"/>
      <c r="RGI10" s="533"/>
      <c r="RGJ10" s="533"/>
      <c r="RGK10" s="533"/>
      <c r="RGL10" s="533"/>
      <c r="RGM10" s="533"/>
      <c r="RGN10" s="533"/>
      <c r="RGO10" s="533"/>
      <c r="RGP10" s="533"/>
      <c r="RGQ10" s="533"/>
      <c r="RGR10" s="533"/>
      <c r="RGS10" s="533"/>
      <c r="RGT10" s="533"/>
      <c r="RGU10" s="533"/>
      <c r="RGV10" s="533"/>
      <c r="RGW10" s="533"/>
      <c r="RGX10" s="533"/>
      <c r="RGY10" s="533"/>
      <c r="RGZ10" s="533"/>
      <c r="RHA10" s="533"/>
      <c r="RHB10" s="533"/>
      <c r="RHC10" s="533"/>
      <c r="RHD10" s="533"/>
      <c r="RHE10" s="533"/>
      <c r="RHF10" s="533"/>
      <c r="RHG10" s="533"/>
      <c r="RHH10" s="533"/>
      <c r="RHI10" s="533"/>
      <c r="RHJ10" s="533"/>
      <c r="RHK10" s="533"/>
      <c r="RHL10" s="533"/>
      <c r="RHM10" s="533"/>
      <c r="RHN10" s="533"/>
      <c r="RHO10" s="533"/>
      <c r="RHP10" s="533"/>
      <c r="RHQ10" s="533"/>
      <c r="RHR10" s="533"/>
      <c r="RHS10" s="533"/>
      <c r="RHT10" s="533"/>
      <c r="RHU10" s="533"/>
      <c r="RHV10" s="533"/>
      <c r="RHW10" s="533"/>
      <c r="RHX10" s="533"/>
      <c r="RHY10" s="533"/>
      <c r="RHZ10" s="533"/>
      <c r="RIA10" s="533"/>
      <c r="RIB10" s="533"/>
      <c r="RIC10" s="533"/>
      <c r="RID10" s="533"/>
      <c r="RIE10" s="533"/>
      <c r="RIF10" s="533"/>
      <c r="RIG10" s="533"/>
      <c r="RIH10" s="533"/>
      <c r="RII10" s="533"/>
      <c r="RIJ10" s="533"/>
      <c r="RIK10" s="533"/>
      <c r="RIL10" s="533"/>
      <c r="RIM10" s="533"/>
      <c r="RIN10" s="533"/>
      <c r="RIO10" s="533"/>
      <c r="RIP10" s="533"/>
      <c r="RIQ10" s="533"/>
      <c r="RIR10" s="533"/>
      <c r="RIS10" s="533"/>
      <c r="RIT10" s="533"/>
      <c r="RIU10" s="533"/>
      <c r="RIV10" s="533"/>
      <c r="RIW10" s="533"/>
      <c r="RIX10" s="533"/>
      <c r="RIY10" s="533"/>
      <c r="RIZ10" s="533"/>
      <c r="RJA10" s="533"/>
      <c r="RJB10" s="533"/>
      <c r="RJC10" s="533"/>
      <c r="RJD10" s="533"/>
      <c r="RJE10" s="533"/>
      <c r="RJF10" s="533"/>
      <c r="RJG10" s="533"/>
      <c r="RJH10" s="533"/>
      <c r="RJI10" s="533"/>
      <c r="RJJ10" s="533"/>
      <c r="RJK10" s="533"/>
      <c r="RJL10" s="533"/>
      <c r="RJM10" s="533"/>
      <c r="RJN10" s="533"/>
      <c r="RJO10" s="533"/>
      <c r="RJP10" s="533"/>
      <c r="RJQ10" s="533"/>
      <c r="RJR10" s="533"/>
      <c r="RJS10" s="533"/>
      <c r="RJT10" s="533"/>
      <c r="RJU10" s="533"/>
      <c r="RJV10" s="533"/>
      <c r="RJW10" s="533"/>
      <c r="RJX10" s="533"/>
      <c r="RJY10" s="533"/>
      <c r="RJZ10" s="533"/>
      <c r="RKA10" s="533"/>
      <c r="RKB10" s="533"/>
      <c r="RKC10" s="533"/>
      <c r="RKD10" s="533"/>
      <c r="RKE10" s="533"/>
      <c r="RKF10" s="533"/>
      <c r="RKG10" s="533"/>
      <c r="RKH10" s="533"/>
      <c r="RKI10" s="533"/>
      <c r="RKJ10" s="533"/>
      <c r="RKK10" s="533"/>
      <c r="RKL10" s="533"/>
      <c r="RKM10" s="533"/>
      <c r="RKN10" s="533"/>
      <c r="RKO10" s="533"/>
      <c r="RKP10" s="533"/>
      <c r="RKQ10" s="533"/>
      <c r="RKR10" s="533"/>
      <c r="RKS10" s="533"/>
      <c r="RKT10" s="533"/>
      <c r="RKU10" s="533"/>
      <c r="RKV10" s="533"/>
      <c r="RKW10" s="533"/>
      <c r="RKX10" s="533"/>
      <c r="RKY10" s="533"/>
      <c r="RKZ10" s="533"/>
      <c r="RLA10" s="533"/>
      <c r="RLB10" s="533"/>
      <c r="RLC10" s="533"/>
      <c r="RLD10" s="533"/>
      <c r="RLE10" s="533"/>
      <c r="RLF10" s="533"/>
      <c r="RLG10" s="533"/>
      <c r="RLH10" s="533"/>
      <c r="RLI10" s="533"/>
      <c r="RLJ10" s="533"/>
      <c r="RLK10" s="533"/>
      <c r="RLL10" s="533"/>
      <c r="RLM10" s="533"/>
      <c r="RLN10" s="533"/>
      <c r="RLO10" s="533"/>
      <c r="RLP10" s="533"/>
      <c r="RLQ10" s="533"/>
      <c r="RLR10" s="533"/>
      <c r="RLS10" s="533"/>
      <c r="RLT10" s="533"/>
      <c r="RLU10" s="533"/>
      <c r="RLV10" s="533"/>
      <c r="RLW10" s="533"/>
      <c r="RLX10" s="533"/>
      <c r="RLY10" s="533"/>
      <c r="RLZ10" s="533"/>
      <c r="RMA10" s="533"/>
      <c r="RMB10" s="533"/>
      <c r="RMC10" s="533"/>
      <c r="RMD10" s="533"/>
      <c r="RME10" s="533"/>
      <c r="RMF10" s="533"/>
      <c r="RMG10" s="533"/>
      <c r="RMH10" s="533"/>
      <c r="RMI10" s="533"/>
      <c r="RMJ10" s="533"/>
      <c r="RMK10" s="533"/>
      <c r="RML10" s="533"/>
      <c r="RMM10" s="533"/>
      <c r="RMN10" s="533"/>
      <c r="RMO10" s="533"/>
      <c r="RMP10" s="533"/>
      <c r="RMQ10" s="533"/>
      <c r="RMR10" s="533"/>
      <c r="RMS10" s="533"/>
      <c r="RMT10" s="533"/>
      <c r="RMU10" s="533"/>
      <c r="RMV10" s="533"/>
      <c r="RMW10" s="533"/>
      <c r="RMX10" s="533"/>
      <c r="RMY10" s="533"/>
      <c r="RMZ10" s="533"/>
      <c r="RNA10" s="533"/>
      <c r="RNB10" s="533"/>
      <c r="RNC10" s="533"/>
      <c r="RND10" s="533"/>
      <c r="RNE10" s="533"/>
      <c r="RNF10" s="533"/>
      <c r="RNG10" s="533"/>
      <c r="RNH10" s="533"/>
      <c r="RNI10" s="533"/>
      <c r="RNJ10" s="533"/>
      <c r="RNK10" s="533"/>
      <c r="RNL10" s="533"/>
      <c r="RNM10" s="533"/>
      <c r="RNN10" s="533"/>
      <c r="RNO10" s="533"/>
      <c r="RNP10" s="533"/>
      <c r="RNQ10" s="533"/>
      <c r="RNR10" s="533"/>
      <c r="RNS10" s="533"/>
      <c r="RNT10" s="533"/>
      <c r="RNU10" s="533"/>
      <c r="RNV10" s="533"/>
      <c r="RNW10" s="533"/>
      <c r="RNX10" s="533"/>
      <c r="RNY10" s="533"/>
      <c r="RNZ10" s="533"/>
      <c r="ROA10" s="533"/>
      <c r="ROB10" s="533"/>
      <c r="ROC10" s="533"/>
      <c r="ROD10" s="533"/>
      <c r="ROE10" s="533"/>
      <c r="ROF10" s="533"/>
      <c r="ROG10" s="533"/>
      <c r="ROH10" s="533"/>
      <c r="ROI10" s="533"/>
      <c r="ROJ10" s="533"/>
      <c r="ROK10" s="533"/>
      <c r="ROL10" s="533"/>
      <c r="ROM10" s="533"/>
      <c r="RON10" s="533"/>
      <c r="ROO10" s="533"/>
      <c r="ROP10" s="533"/>
      <c r="ROQ10" s="533"/>
      <c r="ROR10" s="533"/>
      <c r="ROS10" s="533"/>
      <c r="ROT10" s="533"/>
      <c r="ROU10" s="533"/>
      <c r="ROV10" s="533"/>
      <c r="ROW10" s="533"/>
      <c r="ROX10" s="533"/>
      <c r="ROY10" s="533"/>
      <c r="ROZ10" s="533"/>
      <c r="RPA10" s="533"/>
      <c r="RPB10" s="533"/>
      <c r="RPC10" s="533"/>
      <c r="RPD10" s="533"/>
      <c r="RPE10" s="533"/>
      <c r="RPF10" s="533"/>
      <c r="RPG10" s="533"/>
      <c r="RPH10" s="533"/>
      <c r="RPI10" s="533"/>
      <c r="RPJ10" s="533"/>
      <c r="RPK10" s="533"/>
      <c r="RPL10" s="533"/>
      <c r="RPM10" s="533"/>
      <c r="RPN10" s="533"/>
      <c r="RPO10" s="533"/>
      <c r="RPP10" s="533"/>
      <c r="RPQ10" s="533"/>
      <c r="RPR10" s="533"/>
      <c r="RPS10" s="533"/>
      <c r="RPT10" s="533"/>
      <c r="RPU10" s="533"/>
      <c r="RPV10" s="533"/>
      <c r="RPW10" s="533"/>
      <c r="RPX10" s="533"/>
      <c r="RPY10" s="533"/>
      <c r="RPZ10" s="533"/>
      <c r="RQA10" s="533"/>
      <c r="RQB10" s="533"/>
      <c r="RQC10" s="533"/>
      <c r="RQD10" s="533"/>
      <c r="RQE10" s="533"/>
      <c r="RQF10" s="533"/>
      <c r="RQG10" s="533"/>
      <c r="RQH10" s="533"/>
      <c r="RQI10" s="533"/>
      <c r="RQJ10" s="533"/>
      <c r="RQK10" s="533"/>
      <c r="RQL10" s="533"/>
      <c r="RQM10" s="533"/>
      <c r="RQN10" s="533"/>
      <c r="RQO10" s="533"/>
      <c r="RQP10" s="533"/>
      <c r="RQQ10" s="533"/>
      <c r="RQR10" s="533"/>
      <c r="RQS10" s="533"/>
      <c r="RQT10" s="533"/>
      <c r="RQU10" s="533"/>
      <c r="RQV10" s="533"/>
      <c r="RQW10" s="533"/>
      <c r="RQX10" s="533"/>
      <c r="RQY10" s="533"/>
      <c r="RQZ10" s="533"/>
      <c r="RRA10" s="533"/>
      <c r="RRB10" s="533"/>
      <c r="RRC10" s="533"/>
      <c r="RRD10" s="533"/>
      <c r="RRE10" s="533"/>
      <c r="RRF10" s="533"/>
      <c r="RRG10" s="533"/>
      <c r="RRH10" s="533"/>
      <c r="RRI10" s="533"/>
      <c r="RRJ10" s="533"/>
      <c r="RRK10" s="533"/>
      <c r="RRL10" s="533"/>
      <c r="RRM10" s="533"/>
      <c r="RRN10" s="533"/>
      <c r="RRO10" s="533"/>
      <c r="RRP10" s="533"/>
      <c r="RRQ10" s="533"/>
      <c r="RRR10" s="533"/>
      <c r="RRS10" s="533"/>
      <c r="RRT10" s="533"/>
      <c r="RRU10" s="533"/>
      <c r="RRV10" s="533"/>
      <c r="RRW10" s="533"/>
      <c r="RRX10" s="533"/>
      <c r="RRY10" s="533"/>
      <c r="RRZ10" s="533"/>
      <c r="RSA10" s="533"/>
      <c r="RSB10" s="533"/>
      <c r="RSC10" s="533"/>
      <c r="RSD10" s="533"/>
      <c r="RSE10" s="533"/>
      <c r="RSF10" s="533"/>
      <c r="RSG10" s="533"/>
      <c r="RSH10" s="533"/>
      <c r="RSI10" s="533"/>
      <c r="RSJ10" s="533"/>
      <c r="RSK10" s="533"/>
      <c r="RSL10" s="533"/>
      <c r="RSM10" s="533"/>
      <c r="RSN10" s="533"/>
      <c r="RSO10" s="533"/>
      <c r="RSP10" s="533"/>
      <c r="RSQ10" s="533"/>
      <c r="RSR10" s="533"/>
      <c r="RSS10" s="533"/>
      <c r="RST10" s="533"/>
      <c r="RSU10" s="533"/>
      <c r="RSV10" s="533"/>
      <c r="RSW10" s="533"/>
      <c r="RSX10" s="533"/>
      <c r="RSY10" s="533"/>
      <c r="RSZ10" s="533"/>
      <c r="RTA10" s="533"/>
      <c r="RTB10" s="533"/>
      <c r="RTC10" s="533"/>
      <c r="RTD10" s="533"/>
      <c r="RTE10" s="533"/>
      <c r="RTF10" s="533"/>
      <c r="RTG10" s="533"/>
      <c r="RTH10" s="533"/>
      <c r="RTI10" s="533"/>
      <c r="RTJ10" s="533"/>
      <c r="RTK10" s="533"/>
      <c r="RTL10" s="533"/>
      <c r="RTM10" s="533"/>
      <c r="RTN10" s="533"/>
      <c r="RTO10" s="533"/>
      <c r="RTP10" s="533"/>
      <c r="RTQ10" s="533"/>
      <c r="RTR10" s="533"/>
      <c r="RTS10" s="533"/>
      <c r="RTT10" s="533"/>
      <c r="RTU10" s="533"/>
      <c r="RTV10" s="533"/>
      <c r="RTW10" s="533"/>
      <c r="RTX10" s="533"/>
      <c r="RTY10" s="533"/>
      <c r="RTZ10" s="533"/>
      <c r="RUA10" s="533"/>
      <c r="RUB10" s="533"/>
      <c r="RUC10" s="533"/>
      <c r="RUD10" s="533"/>
      <c r="RUE10" s="533"/>
      <c r="RUF10" s="533"/>
      <c r="RUG10" s="533"/>
      <c r="RUH10" s="533"/>
      <c r="RUI10" s="533"/>
      <c r="RUJ10" s="533"/>
      <c r="RUK10" s="533"/>
      <c r="RUL10" s="533"/>
      <c r="RUM10" s="533"/>
      <c r="RUN10" s="533"/>
      <c r="RUO10" s="533"/>
      <c r="RUP10" s="533"/>
      <c r="RUQ10" s="533"/>
      <c r="RUR10" s="533"/>
      <c r="RUS10" s="533"/>
      <c r="RUT10" s="533"/>
      <c r="RUU10" s="533"/>
      <c r="RUV10" s="533"/>
      <c r="RUW10" s="533"/>
      <c r="RUX10" s="533"/>
      <c r="RUY10" s="533"/>
      <c r="RUZ10" s="533"/>
      <c r="RVA10" s="533"/>
      <c r="RVB10" s="533"/>
      <c r="RVC10" s="533"/>
      <c r="RVD10" s="533"/>
      <c r="RVE10" s="533"/>
      <c r="RVF10" s="533"/>
      <c r="RVG10" s="533"/>
      <c r="RVH10" s="533"/>
      <c r="RVI10" s="533"/>
      <c r="RVJ10" s="533"/>
      <c r="RVK10" s="533"/>
      <c r="RVL10" s="533"/>
      <c r="RVM10" s="533"/>
      <c r="RVN10" s="533"/>
      <c r="RVO10" s="533"/>
      <c r="RVP10" s="533"/>
      <c r="RVQ10" s="533"/>
      <c r="RVR10" s="533"/>
      <c r="RVS10" s="533"/>
      <c r="RVT10" s="533"/>
      <c r="RVU10" s="533"/>
      <c r="RVV10" s="533"/>
      <c r="RVW10" s="533"/>
      <c r="RVX10" s="533"/>
      <c r="RVY10" s="533"/>
      <c r="RVZ10" s="533"/>
      <c r="RWA10" s="533"/>
      <c r="RWB10" s="533"/>
      <c r="RWC10" s="533"/>
      <c r="RWD10" s="533"/>
      <c r="RWE10" s="533"/>
      <c r="RWF10" s="533"/>
      <c r="RWG10" s="533"/>
      <c r="RWH10" s="533"/>
      <c r="RWI10" s="533"/>
      <c r="RWJ10" s="533"/>
      <c r="RWK10" s="533"/>
      <c r="RWL10" s="533"/>
      <c r="RWM10" s="533"/>
      <c r="RWN10" s="533"/>
      <c r="RWO10" s="533"/>
      <c r="RWP10" s="533"/>
      <c r="RWQ10" s="533"/>
      <c r="RWR10" s="533"/>
      <c r="RWS10" s="533"/>
      <c r="RWT10" s="533"/>
      <c r="RWU10" s="533"/>
      <c r="RWV10" s="533"/>
      <c r="RWW10" s="533"/>
      <c r="RWX10" s="533"/>
      <c r="RWY10" s="533"/>
      <c r="RWZ10" s="533"/>
      <c r="RXA10" s="533"/>
      <c r="RXB10" s="533"/>
      <c r="RXC10" s="533"/>
      <c r="RXD10" s="533"/>
      <c r="RXE10" s="533"/>
      <c r="RXF10" s="533"/>
      <c r="RXG10" s="533"/>
      <c r="RXH10" s="533"/>
      <c r="RXI10" s="533"/>
      <c r="RXJ10" s="533"/>
      <c r="RXK10" s="533"/>
      <c r="RXL10" s="533"/>
      <c r="RXM10" s="533"/>
      <c r="RXN10" s="533"/>
      <c r="RXO10" s="533"/>
      <c r="RXP10" s="533"/>
      <c r="RXQ10" s="533"/>
      <c r="RXR10" s="533"/>
      <c r="RXS10" s="533"/>
      <c r="RXT10" s="533"/>
      <c r="RXU10" s="533"/>
      <c r="RXV10" s="533"/>
      <c r="RXW10" s="533"/>
      <c r="RXX10" s="533"/>
      <c r="RXY10" s="533"/>
      <c r="RXZ10" s="533"/>
      <c r="RYA10" s="533"/>
      <c r="RYB10" s="533"/>
      <c r="RYC10" s="533"/>
      <c r="RYD10" s="533"/>
      <c r="RYE10" s="533"/>
      <c r="RYF10" s="533"/>
      <c r="RYG10" s="533"/>
      <c r="RYH10" s="533"/>
      <c r="RYI10" s="533"/>
      <c r="RYJ10" s="533"/>
      <c r="RYK10" s="533"/>
      <c r="RYL10" s="533"/>
      <c r="RYM10" s="533"/>
      <c r="RYN10" s="533"/>
      <c r="RYO10" s="533"/>
      <c r="RYP10" s="533"/>
      <c r="RYQ10" s="533"/>
      <c r="RYR10" s="533"/>
      <c r="RYS10" s="533"/>
      <c r="RYT10" s="533"/>
      <c r="RYU10" s="533"/>
      <c r="RYV10" s="533"/>
      <c r="RYW10" s="533"/>
      <c r="RYX10" s="533"/>
      <c r="RYY10" s="533"/>
      <c r="RYZ10" s="533"/>
      <c r="RZA10" s="533"/>
      <c r="RZB10" s="533"/>
      <c r="RZC10" s="533"/>
      <c r="RZD10" s="533"/>
      <c r="RZE10" s="533"/>
      <c r="RZF10" s="533"/>
      <c r="RZG10" s="533"/>
      <c r="RZH10" s="533"/>
      <c r="RZI10" s="533"/>
      <c r="RZJ10" s="533"/>
      <c r="RZK10" s="533"/>
      <c r="RZL10" s="533"/>
      <c r="RZM10" s="533"/>
      <c r="RZN10" s="533"/>
      <c r="RZO10" s="533"/>
      <c r="RZP10" s="533"/>
      <c r="RZQ10" s="533"/>
      <c r="RZR10" s="533"/>
      <c r="RZS10" s="533"/>
      <c r="RZT10" s="533"/>
      <c r="RZU10" s="533"/>
      <c r="RZV10" s="533"/>
      <c r="RZW10" s="533"/>
      <c r="RZX10" s="533"/>
      <c r="RZY10" s="533"/>
      <c r="RZZ10" s="533"/>
      <c r="SAA10" s="533"/>
      <c r="SAB10" s="533"/>
      <c r="SAC10" s="533"/>
      <c r="SAD10" s="533"/>
      <c r="SAE10" s="533"/>
      <c r="SAF10" s="533"/>
      <c r="SAG10" s="533"/>
      <c r="SAH10" s="533"/>
      <c r="SAI10" s="533"/>
      <c r="SAJ10" s="533"/>
      <c r="SAK10" s="533"/>
      <c r="SAL10" s="533"/>
      <c r="SAM10" s="533"/>
      <c r="SAN10" s="533"/>
      <c r="SAO10" s="533"/>
      <c r="SAP10" s="533"/>
      <c r="SAQ10" s="533"/>
      <c r="SAR10" s="533"/>
      <c r="SAS10" s="533"/>
      <c r="SAT10" s="533"/>
      <c r="SAU10" s="533"/>
      <c r="SAV10" s="533"/>
      <c r="SAW10" s="533"/>
      <c r="SAX10" s="533"/>
      <c r="SAY10" s="533"/>
      <c r="SAZ10" s="533"/>
      <c r="SBA10" s="533"/>
      <c r="SBB10" s="533"/>
      <c r="SBC10" s="533"/>
      <c r="SBD10" s="533"/>
      <c r="SBE10" s="533"/>
      <c r="SBF10" s="533"/>
      <c r="SBG10" s="533"/>
      <c r="SBH10" s="533"/>
      <c r="SBI10" s="533"/>
      <c r="SBJ10" s="533"/>
      <c r="SBK10" s="533"/>
      <c r="SBL10" s="533"/>
      <c r="SBM10" s="533"/>
      <c r="SBN10" s="533"/>
      <c r="SBO10" s="533"/>
      <c r="SBP10" s="533"/>
      <c r="SBQ10" s="533"/>
      <c r="SBR10" s="533"/>
      <c r="SBS10" s="533"/>
      <c r="SBT10" s="533"/>
      <c r="SBU10" s="533"/>
      <c r="SBV10" s="533"/>
      <c r="SBW10" s="533"/>
      <c r="SBX10" s="533"/>
      <c r="SBY10" s="533"/>
      <c r="SBZ10" s="533"/>
      <c r="SCA10" s="533"/>
      <c r="SCB10" s="533"/>
      <c r="SCC10" s="533"/>
      <c r="SCD10" s="533"/>
      <c r="SCE10" s="533"/>
      <c r="SCF10" s="533"/>
      <c r="SCG10" s="533"/>
      <c r="SCH10" s="533"/>
      <c r="SCI10" s="533"/>
      <c r="SCJ10" s="533"/>
      <c r="SCK10" s="533"/>
      <c r="SCL10" s="533"/>
      <c r="SCM10" s="533"/>
      <c r="SCN10" s="533"/>
      <c r="SCO10" s="533"/>
      <c r="SCP10" s="533"/>
      <c r="SCQ10" s="533"/>
      <c r="SCR10" s="533"/>
      <c r="SCS10" s="533"/>
      <c r="SCT10" s="533"/>
      <c r="SCU10" s="533"/>
      <c r="SCV10" s="533"/>
      <c r="SCW10" s="533"/>
      <c r="SCX10" s="533"/>
      <c r="SCY10" s="533"/>
      <c r="SCZ10" s="533"/>
      <c r="SDA10" s="533"/>
      <c r="SDB10" s="533"/>
      <c r="SDC10" s="533"/>
      <c r="SDD10" s="533"/>
      <c r="SDE10" s="533"/>
      <c r="SDF10" s="533"/>
      <c r="SDG10" s="533"/>
      <c r="SDH10" s="533"/>
      <c r="SDI10" s="533"/>
      <c r="SDJ10" s="533"/>
      <c r="SDK10" s="533"/>
      <c r="SDL10" s="533"/>
      <c r="SDM10" s="533"/>
      <c r="SDN10" s="533"/>
      <c r="SDO10" s="533"/>
      <c r="SDP10" s="533"/>
      <c r="SDQ10" s="533"/>
      <c r="SDR10" s="533"/>
      <c r="SDS10" s="533"/>
      <c r="SDT10" s="533"/>
      <c r="SDU10" s="533"/>
      <c r="SDV10" s="533"/>
      <c r="SDW10" s="533"/>
      <c r="SDX10" s="533"/>
      <c r="SDY10" s="533"/>
      <c r="SDZ10" s="533"/>
      <c r="SEA10" s="533"/>
      <c r="SEB10" s="533"/>
      <c r="SEC10" s="533"/>
      <c r="SED10" s="533"/>
      <c r="SEE10" s="533"/>
      <c r="SEF10" s="533"/>
      <c r="SEG10" s="533"/>
      <c r="SEH10" s="533"/>
      <c r="SEI10" s="533"/>
      <c r="SEJ10" s="533"/>
      <c r="SEK10" s="533"/>
      <c r="SEL10" s="533"/>
      <c r="SEM10" s="533"/>
      <c r="SEN10" s="533"/>
      <c r="SEO10" s="533"/>
      <c r="SEP10" s="533"/>
      <c r="SEQ10" s="533"/>
      <c r="SER10" s="533"/>
      <c r="SES10" s="533"/>
      <c r="SET10" s="533"/>
      <c r="SEU10" s="533"/>
      <c r="SEV10" s="533"/>
      <c r="SEW10" s="533"/>
      <c r="SEX10" s="533"/>
      <c r="SEY10" s="533"/>
      <c r="SEZ10" s="533"/>
      <c r="SFA10" s="533"/>
      <c r="SFB10" s="533"/>
      <c r="SFC10" s="533"/>
      <c r="SFD10" s="533"/>
      <c r="SFE10" s="533"/>
      <c r="SFF10" s="533"/>
      <c r="SFG10" s="533"/>
      <c r="SFH10" s="533"/>
      <c r="SFI10" s="533"/>
      <c r="SFJ10" s="533"/>
      <c r="SFK10" s="533"/>
      <c r="SFL10" s="533"/>
      <c r="SFM10" s="533"/>
      <c r="SFN10" s="533"/>
      <c r="SFO10" s="533"/>
      <c r="SFP10" s="533"/>
      <c r="SFQ10" s="533"/>
      <c r="SFR10" s="533"/>
      <c r="SFS10" s="533"/>
      <c r="SFT10" s="533"/>
      <c r="SFU10" s="533"/>
      <c r="SFV10" s="533"/>
      <c r="SFW10" s="533"/>
      <c r="SFX10" s="533"/>
      <c r="SFY10" s="533"/>
      <c r="SFZ10" s="533"/>
      <c r="SGA10" s="533"/>
      <c r="SGB10" s="533"/>
      <c r="SGC10" s="533"/>
      <c r="SGD10" s="533"/>
      <c r="SGE10" s="533"/>
      <c r="SGF10" s="533"/>
      <c r="SGG10" s="533"/>
      <c r="SGH10" s="533"/>
      <c r="SGI10" s="533"/>
      <c r="SGJ10" s="533"/>
      <c r="SGK10" s="533"/>
      <c r="SGL10" s="533"/>
      <c r="SGM10" s="533"/>
      <c r="SGN10" s="533"/>
      <c r="SGO10" s="533"/>
      <c r="SGP10" s="533"/>
      <c r="SGQ10" s="533"/>
      <c r="SGR10" s="533"/>
      <c r="SGS10" s="533"/>
      <c r="SGT10" s="533"/>
      <c r="SGU10" s="533"/>
      <c r="SGV10" s="533"/>
      <c r="SGW10" s="533"/>
      <c r="SGX10" s="533"/>
      <c r="SGY10" s="533"/>
      <c r="SGZ10" s="533"/>
      <c r="SHA10" s="533"/>
      <c r="SHB10" s="533"/>
      <c r="SHC10" s="533"/>
      <c r="SHD10" s="533"/>
      <c r="SHE10" s="533"/>
      <c r="SHF10" s="533"/>
      <c r="SHG10" s="533"/>
      <c r="SHH10" s="533"/>
      <c r="SHI10" s="533"/>
      <c r="SHJ10" s="533"/>
      <c r="SHK10" s="533"/>
      <c r="SHL10" s="533"/>
      <c r="SHM10" s="533"/>
      <c r="SHN10" s="533"/>
      <c r="SHO10" s="533"/>
      <c r="SHP10" s="533"/>
      <c r="SHQ10" s="533"/>
      <c r="SHR10" s="533"/>
      <c r="SHS10" s="533"/>
      <c r="SHT10" s="533"/>
      <c r="SHU10" s="533"/>
      <c r="SHV10" s="533"/>
      <c r="SHW10" s="533"/>
      <c r="SHX10" s="533"/>
      <c r="SHY10" s="533"/>
      <c r="SHZ10" s="533"/>
      <c r="SIA10" s="533"/>
      <c r="SIB10" s="533"/>
      <c r="SIC10" s="533"/>
      <c r="SID10" s="533"/>
      <c r="SIE10" s="533"/>
      <c r="SIF10" s="533"/>
      <c r="SIG10" s="533"/>
      <c r="SIH10" s="533"/>
      <c r="SII10" s="533"/>
      <c r="SIJ10" s="533"/>
      <c r="SIK10" s="533"/>
      <c r="SIL10" s="533"/>
      <c r="SIM10" s="533"/>
      <c r="SIN10" s="533"/>
      <c r="SIO10" s="533"/>
      <c r="SIP10" s="533"/>
      <c r="SIQ10" s="533"/>
      <c r="SIR10" s="533"/>
      <c r="SIS10" s="533"/>
      <c r="SIT10" s="533"/>
      <c r="SIU10" s="533"/>
      <c r="SIV10" s="533"/>
      <c r="SIW10" s="533"/>
      <c r="SIX10" s="533"/>
      <c r="SIY10" s="533"/>
      <c r="SIZ10" s="533"/>
      <c r="SJA10" s="533"/>
      <c r="SJB10" s="533"/>
      <c r="SJC10" s="533"/>
      <c r="SJD10" s="533"/>
      <c r="SJE10" s="533"/>
      <c r="SJF10" s="533"/>
      <c r="SJG10" s="533"/>
      <c r="SJH10" s="533"/>
      <c r="SJI10" s="533"/>
      <c r="SJJ10" s="533"/>
      <c r="SJK10" s="533"/>
      <c r="SJL10" s="533"/>
      <c r="SJM10" s="533"/>
      <c r="SJN10" s="533"/>
      <c r="SJO10" s="533"/>
      <c r="SJP10" s="533"/>
      <c r="SJQ10" s="533"/>
      <c r="SJR10" s="533"/>
      <c r="SJS10" s="533"/>
      <c r="SJT10" s="533"/>
      <c r="SJU10" s="533"/>
      <c r="SJV10" s="533"/>
      <c r="SJW10" s="533"/>
      <c r="SJX10" s="533"/>
      <c r="SJY10" s="533"/>
      <c r="SJZ10" s="533"/>
      <c r="SKA10" s="533"/>
      <c r="SKB10" s="533"/>
      <c r="SKC10" s="533"/>
      <c r="SKD10" s="533"/>
      <c r="SKE10" s="533"/>
      <c r="SKF10" s="533"/>
      <c r="SKG10" s="533"/>
      <c r="SKH10" s="533"/>
      <c r="SKI10" s="533"/>
      <c r="SKJ10" s="533"/>
      <c r="SKK10" s="533"/>
      <c r="SKL10" s="533"/>
      <c r="SKM10" s="533"/>
      <c r="SKN10" s="533"/>
      <c r="SKO10" s="533"/>
      <c r="SKP10" s="533"/>
      <c r="SKQ10" s="533"/>
      <c r="SKR10" s="533"/>
      <c r="SKS10" s="533"/>
      <c r="SKT10" s="533"/>
      <c r="SKU10" s="533"/>
      <c r="SKV10" s="533"/>
      <c r="SKW10" s="533"/>
      <c r="SKX10" s="533"/>
      <c r="SKY10" s="533"/>
      <c r="SKZ10" s="533"/>
      <c r="SLA10" s="533"/>
      <c r="SLB10" s="533"/>
      <c r="SLC10" s="533"/>
      <c r="SLD10" s="533"/>
      <c r="SLE10" s="533"/>
      <c r="SLF10" s="533"/>
      <c r="SLG10" s="533"/>
      <c r="SLH10" s="533"/>
      <c r="SLI10" s="533"/>
      <c r="SLJ10" s="533"/>
      <c r="SLK10" s="533"/>
      <c r="SLL10" s="533"/>
      <c r="SLM10" s="533"/>
      <c r="SLN10" s="533"/>
      <c r="SLO10" s="533"/>
      <c r="SLP10" s="533"/>
      <c r="SLQ10" s="533"/>
      <c r="SLR10" s="533"/>
      <c r="SLS10" s="533"/>
      <c r="SLT10" s="533"/>
      <c r="SLU10" s="533"/>
      <c r="SLV10" s="533"/>
      <c r="SLW10" s="533"/>
      <c r="SLX10" s="533"/>
      <c r="SLY10" s="533"/>
      <c r="SLZ10" s="533"/>
      <c r="SMA10" s="533"/>
      <c r="SMB10" s="533"/>
      <c r="SMC10" s="533"/>
      <c r="SMD10" s="533"/>
      <c r="SME10" s="533"/>
      <c r="SMF10" s="533"/>
      <c r="SMG10" s="533"/>
      <c r="SMH10" s="533"/>
      <c r="SMI10" s="533"/>
      <c r="SMJ10" s="533"/>
      <c r="SMK10" s="533"/>
      <c r="SML10" s="533"/>
      <c r="SMM10" s="533"/>
      <c r="SMN10" s="533"/>
      <c r="SMO10" s="533"/>
      <c r="SMP10" s="533"/>
      <c r="SMQ10" s="533"/>
      <c r="SMR10" s="533"/>
      <c r="SMS10" s="533"/>
      <c r="SMT10" s="533"/>
      <c r="SMU10" s="533"/>
      <c r="SMV10" s="533"/>
      <c r="SMW10" s="533"/>
      <c r="SMX10" s="533"/>
      <c r="SMY10" s="533"/>
      <c r="SMZ10" s="533"/>
      <c r="SNA10" s="533"/>
      <c r="SNB10" s="533"/>
      <c r="SNC10" s="533"/>
      <c r="SND10" s="533"/>
      <c r="SNE10" s="533"/>
      <c r="SNF10" s="533"/>
      <c r="SNG10" s="533"/>
      <c r="SNH10" s="533"/>
      <c r="SNI10" s="533"/>
      <c r="SNJ10" s="533"/>
      <c r="SNK10" s="533"/>
      <c r="SNL10" s="533"/>
      <c r="SNM10" s="533"/>
      <c r="SNN10" s="533"/>
      <c r="SNO10" s="533"/>
      <c r="SNP10" s="533"/>
      <c r="SNQ10" s="533"/>
      <c r="SNR10" s="533"/>
      <c r="SNS10" s="533"/>
      <c r="SNT10" s="533"/>
      <c r="SNU10" s="533"/>
      <c r="SNV10" s="533"/>
      <c r="SNW10" s="533"/>
      <c r="SNX10" s="533"/>
      <c r="SNY10" s="533"/>
      <c r="SNZ10" s="533"/>
      <c r="SOA10" s="533"/>
      <c r="SOB10" s="533"/>
      <c r="SOC10" s="533"/>
      <c r="SOD10" s="533"/>
      <c r="SOE10" s="533"/>
      <c r="SOF10" s="533"/>
      <c r="SOG10" s="533"/>
      <c r="SOH10" s="533"/>
      <c r="SOI10" s="533"/>
      <c r="SOJ10" s="533"/>
      <c r="SOK10" s="533"/>
      <c r="SOL10" s="533"/>
      <c r="SOM10" s="533"/>
      <c r="SON10" s="533"/>
      <c r="SOO10" s="533"/>
      <c r="SOP10" s="533"/>
      <c r="SOQ10" s="533"/>
      <c r="SOR10" s="533"/>
      <c r="SOS10" s="533"/>
      <c r="SOT10" s="533"/>
      <c r="SOU10" s="533"/>
      <c r="SOV10" s="533"/>
      <c r="SOW10" s="533"/>
      <c r="SOX10" s="533"/>
      <c r="SOY10" s="533"/>
      <c r="SOZ10" s="533"/>
      <c r="SPA10" s="533"/>
      <c r="SPB10" s="533"/>
      <c r="SPC10" s="533"/>
      <c r="SPD10" s="533"/>
      <c r="SPE10" s="533"/>
      <c r="SPF10" s="533"/>
      <c r="SPG10" s="533"/>
      <c r="SPH10" s="533"/>
      <c r="SPI10" s="533"/>
      <c r="SPJ10" s="533"/>
      <c r="SPK10" s="533"/>
      <c r="SPL10" s="533"/>
      <c r="SPM10" s="533"/>
      <c r="SPN10" s="533"/>
      <c r="SPO10" s="533"/>
      <c r="SPP10" s="533"/>
      <c r="SPQ10" s="533"/>
      <c r="SPR10" s="533"/>
      <c r="SPS10" s="533"/>
      <c r="SPT10" s="533"/>
      <c r="SPU10" s="533"/>
      <c r="SPV10" s="533"/>
      <c r="SPW10" s="533"/>
      <c r="SPX10" s="533"/>
      <c r="SPY10" s="533"/>
      <c r="SPZ10" s="533"/>
      <c r="SQA10" s="533"/>
      <c r="SQB10" s="533"/>
      <c r="SQC10" s="533"/>
      <c r="SQD10" s="533"/>
      <c r="SQE10" s="533"/>
      <c r="SQF10" s="533"/>
      <c r="SQG10" s="533"/>
      <c r="SQH10" s="533"/>
      <c r="SQI10" s="533"/>
      <c r="SQJ10" s="533"/>
      <c r="SQK10" s="533"/>
      <c r="SQL10" s="533"/>
      <c r="SQM10" s="533"/>
      <c r="SQN10" s="533"/>
      <c r="SQO10" s="533"/>
      <c r="SQP10" s="533"/>
      <c r="SQQ10" s="533"/>
      <c r="SQR10" s="533"/>
      <c r="SQS10" s="533"/>
      <c r="SQT10" s="533"/>
      <c r="SQU10" s="533"/>
      <c r="SQV10" s="533"/>
      <c r="SQW10" s="533"/>
      <c r="SQX10" s="533"/>
      <c r="SQY10" s="533"/>
      <c r="SQZ10" s="533"/>
      <c r="SRA10" s="533"/>
      <c r="SRB10" s="533"/>
      <c r="SRC10" s="533"/>
      <c r="SRD10" s="533"/>
      <c r="SRE10" s="533"/>
      <c r="SRF10" s="533"/>
      <c r="SRG10" s="533"/>
      <c r="SRH10" s="533"/>
      <c r="SRI10" s="533"/>
      <c r="SRJ10" s="533"/>
      <c r="SRK10" s="533"/>
      <c r="SRL10" s="533"/>
      <c r="SRM10" s="533"/>
      <c r="SRN10" s="533"/>
      <c r="SRO10" s="533"/>
      <c r="SRP10" s="533"/>
      <c r="SRQ10" s="533"/>
      <c r="SRR10" s="533"/>
      <c r="SRS10" s="533"/>
      <c r="SRT10" s="533"/>
      <c r="SRU10" s="533"/>
      <c r="SRV10" s="533"/>
      <c r="SRW10" s="533"/>
      <c r="SRX10" s="533"/>
      <c r="SRY10" s="533"/>
      <c r="SRZ10" s="533"/>
      <c r="SSA10" s="533"/>
      <c r="SSB10" s="533"/>
      <c r="SSC10" s="533"/>
      <c r="SSD10" s="533"/>
      <c r="SSE10" s="533"/>
      <c r="SSF10" s="533"/>
      <c r="SSG10" s="533"/>
      <c r="SSH10" s="533"/>
      <c r="SSI10" s="533"/>
      <c r="SSJ10" s="533"/>
      <c r="SSK10" s="533"/>
      <c r="SSL10" s="533"/>
      <c r="SSM10" s="533"/>
      <c r="SSN10" s="533"/>
      <c r="SSO10" s="533"/>
      <c r="SSP10" s="533"/>
      <c r="SSQ10" s="533"/>
      <c r="SSR10" s="533"/>
      <c r="SSS10" s="533"/>
      <c r="SST10" s="533"/>
      <c r="SSU10" s="533"/>
      <c r="SSV10" s="533"/>
      <c r="SSW10" s="533"/>
      <c r="SSX10" s="533"/>
      <c r="SSY10" s="533"/>
      <c r="SSZ10" s="533"/>
      <c r="STA10" s="533"/>
      <c r="STB10" s="533"/>
      <c r="STC10" s="533"/>
      <c r="STD10" s="533"/>
      <c r="STE10" s="533"/>
      <c r="STF10" s="533"/>
      <c r="STG10" s="533"/>
      <c r="STH10" s="533"/>
      <c r="STI10" s="533"/>
      <c r="STJ10" s="533"/>
      <c r="STK10" s="533"/>
      <c r="STL10" s="533"/>
      <c r="STM10" s="533"/>
      <c r="STN10" s="533"/>
      <c r="STO10" s="533"/>
      <c r="STP10" s="533"/>
      <c r="STQ10" s="533"/>
      <c r="STR10" s="533"/>
      <c r="STS10" s="533"/>
      <c r="STT10" s="533"/>
      <c r="STU10" s="533"/>
      <c r="STV10" s="533"/>
      <c r="STW10" s="533"/>
      <c r="STX10" s="533"/>
      <c r="STY10" s="533"/>
      <c r="STZ10" s="533"/>
      <c r="SUA10" s="533"/>
      <c r="SUB10" s="533"/>
      <c r="SUC10" s="533"/>
      <c r="SUD10" s="533"/>
      <c r="SUE10" s="533"/>
      <c r="SUF10" s="533"/>
      <c r="SUG10" s="533"/>
      <c r="SUH10" s="533"/>
      <c r="SUI10" s="533"/>
      <c r="SUJ10" s="533"/>
      <c r="SUK10" s="533"/>
      <c r="SUL10" s="533"/>
      <c r="SUM10" s="533"/>
      <c r="SUN10" s="533"/>
      <c r="SUO10" s="533"/>
      <c r="SUP10" s="533"/>
      <c r="SUQ10" s="533"/>
      <c r="SUR10" s="533"/>
      <c r="SUS10" s="533"/>
      <c r="SUT10" s="533"/>
      <c r="SUU10" s="533"/>
      <c r="SUV10" s="533"/>
      <c r="SUW10" s="533"/>
      <c r="SUX10" s="533"/>
      <c r="SUY10" s="533"/>
      <c r="SUZ10" s="533"/>
      <c r="SVA10" s="533"/>
      <c r="SVB10" s="533"/>
      <c r="SVC10" s="533"/>
      <c r="SVD10" s="533"/>
      <c r="SVE10" s="533"/>
      <c r="SVF10" s="533"/>
      <c r="SVG10" s="533"/>
      <c r="SVH10" s="533"/>
      <c r="SVI10" s="533"/>
      <c r="SVJ10" s="533"/>
      <c r="SVK10" s="533"/>
      <c r="SVL10" s="533"/>
      <c r="SVM10" s="533"/>
      <c r="SVN10" s="533"/>
      <c r="SVO10" s="533"/>
      <c r="SVP10" s="533"/>
      <c r="SVQ10" s="533"/>
      <c r="SVR10" s="533"/>
      <c r="SVS10" s="533"/>
      <c r="SVT10" s="533"/>
      <c r="SVU10" s="533"/>
      <c r="SVV10" s="533"/>
      <c r="SVW10" s="533"/>
      <c r="SVX10" s="533"/>
      <c r="SVY10" s="533"/>
      <c r="SVZ10" s="533"/>
      <c r="SWA10" s="533"/>
      <c r="SWB10" s="533"/>
      <c r="SWC10" s="533"/>
      <c r="SWD10" s="533"/>
      <c r="SWE10" s="533"/>
      <c r="SWF10" s="533"/>
      <c r="SWG10" s="533"/>
      <c r="SWH10" s="533"/>
      <c r="SWI10" s="533"/>
      <c r="SWJ10" s="533"/>
      <c r="SWK10" s="533"/>
      <c r="SWL10" s="533"/>
      <c r="SWM10" s="533"/>
      <c r="SWN10" s="533"/>
      <c r="SWO10" s="533"/>
      <c r="SWP10" s="533"/>
      <c r="SWQ10" s="533"/>
      <c r="SWR10" s="533"/>
      <c r="SWS10" s="533"/>
      <c r="SWT10" s="533"/>
      <c r="SWU10" s="533"/>
      <c r="SWV10" s="533"/>
      <c r="SWW10" s="533"/>
      <c r="SWX10" s="533"/>
      <c r="SWY10" s="533"/>
      <c r="SWZ10" s="533"/>
      <c r="SXA10" s="533"/>
      <c r="SXB10" s="533"/>
      <c r="SXC10" s="533"/>
      <c r="SXD10" s="533"/>
      <c r="SXE10" s="533"/>
      <c r="SXF10" s="533"/>
      <c r="SXG10" s="533"/>
      <c r="SXH10" s="533"/>
      <c r="SXI10" s="533"/>
      <c r="SXJ10" s="533"/>
      <c r="SXK10" s="533"/>
      <c r="SXL10" s="533"/>
      <c r="SXM10" s="533"/>
      <c r="SXN10" s="533"/>
      <c r="SXO10" s="533"/>
      <c r="SXP10" s="533"/>
      <c r="SXQ10" s="533"/>
      <c r="SXR10" s="533"/>
      <c r="SXS10" s="533"/>
      <c r="SXT10" s="533"/>
      <c r="SXU10" s="533"/>
      <c r="SXV10" s="533"/>
      <c r="SXW10" s="533"/>
      <c r="SXX10" s="533"/>
      <c r="SXY10" s="533"/>
      <c r="SXZ10" s="533"/>
      <c r="SYA10" s="533"/>
      <c r="SYB10" s="533"/>
      <c r="SYC10" s="533"/>
      <c r="SYD10" s="533"/>
      <c r="SYE10" s="533"/>
      <c r="SYF10" s="533"/>
      <c r="SYG10" s="533"/>
      <c r="SYH10" s="533"/>
      <c r="SYI10" s="533"/>
      <c r="SYJ10" s="533"/>
      <c r="SYK10" s="533"/>
      <c r="SYL10" s="533"/>
      <c r="SYM10" s="533"/>
      <c r="SYN10" s="533"/>
      <c r="SYO10" s="533"/>
      <c r="SYP10" s="533"/>
      <c r="SYQ10" s="533"/>
      <c r="SYR10" s="533"/>
      <c r="SYS10" s="533"/>
      <c r="SYT10" s="533"/>
      <c r="SYU10" s="533"/>
      <c r="SYV10" s="533"/>
      <c r="SYW10" s="533"/>
      <c r="SYX10" s="533"/>
      <c r="SYY10" s="533"/>
      <c r="SYZ10" s="533"/>
      <c r="SZA10" s="533"/>
      <c r="SZB10" s="533"/>
      <c r="SZC10" s="533"/>
      <c r="SZD10" s="533"/>
      <c r="SZE10" s="533"/>
      <c r="SZF10" s="533"/>
      <c r="SZG10" s="533"/>
      <c r="SZH10" s="533"/>
      <c r="SZI10" s="533"/>
      <c r="SZJ10" s="533"/>
      <c r="SZK10" s="533"/>
      <c r="SZL10" s="533"/>
      <c r="SZM10" s="533"/>
      <c r="SZN10" s="533"/>
      <c r="SZO10" s="533"/>
      <c r="SZP10" s="533"/>
      <c r="SZQ10" s="533"/>
      <c r="SZR10" s="533"/>
      <c r="SZS10" s="533"/>
      <c r="SZT10" s="533"/>
      <c r="SZU10" s="533"/>
      <c r="SZV10" s="533"/>
      <c r="SZW10" s="533"/>
      <c r="SZX10" s="533"/>
      <c r="SZY10" s="533"/>
      <c r="SZZ10" s="533"/>
      <c r="TAA10" s="533"/>
      <c r="TAB10" s="533"/>
      <c r="TAC10" s="533"/>
      <c r="TAD10" s="533"/>
      <c r="TAE10" s="533"/>
      <c r="TAF10" s="533"/>
      <c r="TAG10" s="533"/>
      <c r="TAH10" s="533"/>
      <c r="TAI10" s="533"/>
      <c r="TAJ10" s="533"/>
      <c r="TAK10" s="533"/>
      <c r="TAL10" s="533"/>
      <c r="TAM10" s="533"/>
      <c r="TAN10" s="533"/>
      <c r="TAO10" s="533"/>
      <c r="TAP10" s="533"/>
      <c r="TAQ10" s="533"/>
      <c r="TAR10" s="533"/>
      <c r="TAS10" s="533"/>
      <c r="TAT10" s="533"/>
      <c r="TAU10" s="533"/>
      <c r="TAV10" s="533"/>
      <c r="TAW10" s="533"/>
      <c r="TAX10" s="533"/>
      <c r="TAY10" s="533"/>
      <c r="TAZ10" s="533"/>
      <c r="TBA10" s="533"/>
      <c r="TBB10" s="533"/>
      <c r="TBC10" s="533"/>
      <c r="TBD10" s="533"/>
      <c r="TBE10" s="533"/>
      <c r="TBF10" s="533"/>
      <c r="TBG10" s="533"/>
      <c r="TBH10" s="533"/>
      <c r="TBI10" s="533"/>
      <c r="TBJ10" s="533"/>
      <c r="TBK10" s="533"/>
      <c r="TBL10" s="533"/>
      <c r="TBM10" s="533"/>
      <c r="TBN10" s="533"/>
      <c r="TBO10" s="533"/>
      <c r="TBP10" s="533"/>
      <c r="TBQ10" s="533"/>
      <c r="TBR10" s="533"/>
      <c r="TBS10" s="533"/>
      <c r="TBT10" s="533"/>
      <c r="TBU10" s="533"/>
      <c r="TBV10" s="533"/>
      <c r="TBW10" s="533"/>
      <c r="TBX10" s="533"/>
      <c r="TBY10" s="533"/>
      <c r="TBZ10" s="533"/>
      <c r="TCA10" s="533"/>
      <c r="TCB10" s="533"/>
      <c r="TCC10" s="533"/>
      <c r="TCD10" s="533"/>
      <c r="TCE10" s="533"/>
      <c r="TCF10" s="533"/>
      <c r="TCG10" s="533"/>
      <c r="TCH10" s="533"/>
      <c r="TCI10" s="533"/>
      <c r="TCJ10" s="533"/>
      <c r="TCK10" s="533"/>
      <c r="TCL10" s="533"/>
      <c r="TCM10" s="533"/>
      <c r="TCN10" s="533"/>
      <c r="TCO10" s="533"/>
      <c r="TCP10" s="533"/>
      <c r="TCQ10" s="533"/>
      <c r="TCR10" s="533"/>
      <c r="TCS10" s="533"/>
      <c r="TCT10" s="533"/>
      <c r="TCU10" s="533"/>
      <c r="TCV10" s="533"/>
      <c r="TCW10" s="533"/>
      <c r="TCX10" s="533"/>
      <c r="TCY10" s="533"/>
      <c r="TCZ10" s="533"/>
      <c r="TDA10" s="533"/>
      <c r="TDB10" s="533"/>
      <c r="TDC10" s="533"/>
      <c r="TDD10" s="533"/>
      <c r="TDE10" s="533"/>
      <c r="TDF10" s="533"/>
      <c r="TDG10" s="533"/>
      <c r="TDH10" s="533"/>
      <c r="TDI10" s="533"/>
      <c r="TDJ10" s="533"/>
      <c r="TDK10" s="533"/>
      <c r="TDL10" s="533"/>
      <c r="TDM10" s="533"/>
      <c r="TDN10" s="533"/>
      <c r="TDO10" s="533"/>
      <c r="TDP10" s="533"/>
      <c r="TDQ10" s="533"/>
      <c r="TDR10" s="533"/>
      <c r="TDS10" s="533"/>
      <c r="TDT10" s="533"/>
      <c r="TDU10" s="533"/>
      <c r="TDV10" s="533"/>
      <c r="TDW10" s="533"/>
      <c r="TDX10" s="533"/>
      <c r="TDY10" s="533"/>
      <c r="TDZ10" s="533"/>
      <c r="TEA10" s="533"/>
      <c r="TEB10" s="533"/>
      <c r="TEC10" s="533"/>
      <c r="TED10" s="533"/>
      <c r="TEE10" s="533"/>
      <c r="TEF10" s="533"/>
      <c r="TEG10" s="533"/>
      <c r="TEH10" s="533"/>
      <c r="TEI10" s="533"/>
      <c r="TEJ10" s="533"/>
      <c r="TEK10" s="533"/>
      <c r="TEL10" s="533"/>
      <c r="TEM10" s="533"/>
      <c r="TEN10" s="533"/>
      <c r="TEO10" s="533"/>
      <c r="TEP10" s="533"/>
      <c r="TEQ10" s="533"/>
      <c r="TER10" s="533"/>
      <c r="TES10" s="533"/>
      <c r="TET10" s="533"/>
      <c r="TEU10" s="533"/>
      <c r="TEV10" s="533"/>
      <c r="TEW10" s="533"/>
      <c r="TEX10" s="533"/>
      <c r="TEY10" s="533"/>
      <c r="TEZ10" s="533"/>
      <c r="TFA10" s="533"/>
      <c r="TFB10" s="533"/>
      <c r="TFC10" s="533"/>
      <c r="TFD10" s="533"/>
      <c r="TFE10" s="533"/>
      <c r="TFF10" s="533"/>
      <c r="TFG10" s="533"/>
      <c r="TFH10" s="533"/>
      <c r="TFI10" s="533"/>
      <c r="TFJ10" s="533"/>
      <c r="TFK10" s="533"/>
      <c r="TFL10" s="533"/>
      <c r="TFM10" s="533"/>
      <c r="TFN10" s="533"/>
      <c r="TFO10" s="533"/>
      <c r="TFP10" s="533"/>
      <c r="TFQ10" s="533"/>
      <c r="TFR10" s="533"/>
      <c r="TFS10" s="533"/>
      <c r="TFT10" s="533"/>
      <c r="TFU10" s="533"/>
      <c r="TFV10" s="533"/>
      <c r="TFW10" s="533"/>
      <c r="TFX10" s="533"/>
      <c r="TFY10" s="533"/>
      <c r="TFZ10" s="533"/>
      <c r="TGA10" s="533"/>
      <c r="TGB10" s="533"/>
      <c r="TGC10" s="533"/>
      <c r="TGD10" s="533"/>
      <c r="TGE10" s="533"/>
      <c r="TGF10" s="533"/>
      <c r="TGG10" s="533"/>
      <c r="TGH10" s="533"/>
      <c r="TGI10" s="533"/>
      <c r="TGJ10" s="533"/>
      <c r="TGK10" s="533"/>
      <c r="TGL10" s="533"/>
      <c r="TGM10" s="533"/>
      <c r="TGN10" s="533"/>
      <c r="TGO10" s="533"/>
      <c r="TGP10" s="533"/>
      <c r="TGQ10" s="533"/>
      <c r="TGR10" s="533"/>
      <c r="TGS10" s="533"/>
      <c r="TGT10" s="533"/>
      <c r="TGU10" s="533"/>
      <c r="TGV10" s="533"/>
      <c r="TGW10" s="533"/>
      <c r="TGX10" s="533"/>
      <c r="TGY10" s="533"/>
      <c r="TGZ10" s="533"/>
      <c r="THA10" s="533"/>
      <c r="THB10" s="533"/>
      <c r="THC10" s="533"/>
      <c r="THD10" s="533"/>
      <c r="THE10" s="533"/>
      <c r="THF10" s="533"/>
      <c r="THG10" s="533"/>
      <c r="THH10" s="533"/>
      <c r="THI10" s="533"/>
      <c r="THJ10" s="533"/>
      <c r="THK10" s="533"/>
      <c r="THL10" s="533"/>
      <c r="THM10" s="533"/>
      <c r="THN10" s="533"/>
      <c r="THO10" s="533"/>
      <c r="THP10" s="533"/>
      <c r="THQ10" s="533"/>
      <c r="THR10" s="533"/>
      <c r="THS10" s="533"/>
      <c r="THT10" s="533"/>
      <c r="THU10" s="533"/>
      <c r="THV10" s="533"/>
      <c r="THW10" s="533"/>
      <c r="THX10" s="533"/>
      <c r="THY10" s="533"/>
      <c r="THZ10" s="533"/>
      <c r="TIA10" s="533"/>
      <c r="TIB10" s="533"/>
      <c r="TIC10" s="533"/>
      <c r="TID10" s="533"/>
      <c r="TIE10" s="533"/>
      <c r="TIF10" s="533"/>
      <c r="TIG10" s="533"/>
      <c r="TIH10" s="533"/>
      <c r="TII10" s="533"/>
      <c r="TIJ10" s="533"/>
      <c r="TIK10" s="533"/>
      <c r="TIL10" s="533"/>
      <c r="TIM10" s="533"/>
      <c r="TIN10" s="533"/>
      <c r="TIO10" s="533"/>
      <c r="TIP10" s="533"/>
      <c r="TIQ10" s="533"/>
      <c r="TIR10" s="533"/>
      <c r="TIS10" s="533"/>
      <c r="TIT10" s="533"/>
      <c r="TIU10" s="533"/>
      <c r="TIV10" s="533"/>
      <c r="TIW10" s="533"/>
      <c r="TIX10" s="533"/>
      <c r="TIY10" s="533"/>
      <c r="TIZ10" s="533"/>
      <c r="TJA10" s="533"/>
      <c r="TJB10" s="533"/>
      <c r="TJC10" s="533"/>
      <c r="TJD10" s="533"/>
      <c r="TJE10" s="533"/>
      <c r="TJF10" s="533"/>
      <c r="TJG10" s="533"/>
      <c r="TJH10" s="533"/>
      <c r="TJI10" s="533"/>
      <c r="TJJ10" s="533"/>
      <c r="TJK10" s="533"/>
      <c r="TJL10" s="533"/>
      <c r="TJM10" s="533"/>
      <c r="TJN10" s="533"/>
      <c r="TJO10" s="533"/>
      <c r="TJP10" s="533"/>
      <c r="TJQ10" s="533"/>
      <c r="TJR10" s="533"/>
      <c r="TJS10" s="533"/>
      <c r="TJT10" s="533"/>
      <c r="TJU10" s="533"/>
      <c r="TJV10" s="533"/>
      <c r="TJW10" s="533"/>
      <c r="TJX10" s="533"/>
      <c r="TJY10" s="533"/>
      <c r="TJZ10" s="533"/>
      <c r="TKA10" s="533"/>
      <c r="TKB10" s="533"/>
      <c r="TKC10" s="533"/>
      <c r="TKD10" s="533"/>
      <c r="TKE10" s="533"/>
      <c r="TKF10" s="533"/>
      <c r="TKG10" s="533"/>
      <c r="TKH10" s="533"/>
      <c r="TKI10" s="533"/>
      <c r="TKJ10" s="533"/>
      <c r="TKK10" s="533"/>
      <c r="TKL10" s="533"/>
      <c r="TKM10" s="533"/>
      <c r="TKN10" s="533"/>
      <c r="TKO10" s="533"/>
      <c r="TKP10" s="533"/>
      <c r="TKQ10" s="533"/>
      <c r="TKR10" s="533"/>
      <c r="TKS10" s="533"/>
      <c r="TKT10" s="533"/>
      <c r="TKU10" s="533"/>
      <c r="TKV10" s="533"/>
      <c r="TKW10" s="533"/>
      <c r="TKX10" s="533"/>
      <c r="TKY10" s="533"/>
      <c r="TKZ10" s="533"/>
      <c r="TLA10" s="533"/>
      <c r="TLB10" s="533"/>
      <c r="TLC10" s="533"/>
      <c r="TLD10" s="533"/>
      <c r="TLE10" s="533"/>
      <c r="TLF10" s="533"/>
      <c r="TLG10" s="533"/>
      <c r="TLH10" s="533"/>
      <c r="TLI10" s="533"/>
      <c r="TLJ10" s="533"/>
      <c r="TLK10" s="533"/>
      <c r="TLL10" s="533"/>
      <c r="TLM10" s="533"/>
      <c r="TLN10" s="533"/>
      <c r="TLO10" s="533"/>
      <c r="TLP10" s="533"/>
      <c r="TLQ10" s="533"/>
      <c r="TLR10" s="533"/>
      <c r="TLS10" s="533"/>
      <c r="TLT10" s="533"/>
      <c r="TLU10" s="533"/>
      <c r="TLV10" s="533"/>
      <c r="TLW10" s="533"/>
      <c r="TLX10" s="533"/>
      <c r="TLY10" s="533"/>
      <c r="TLZ10" s="533"/>
      <c r="TMA10" s="533"/>
      <c r="TMB10" s="533"/>
      <c r="TMC10" s="533"/>
      <c r="TMD10" s="533"/>
      <c r="TME10" s="533"/>
      <c r="TMF10" s="533"/>
      <c r="TMG10" s="533"/>
      <c r="TMH10" s="533"/>
      <c r="TMI10" s="533"/>
      <c r="TMJ10" s="533"/>
      <c r="TMK10" s="533"/>
      <c r="TML10" s="533"/>
      <c r="TMM10" s="533"/>
      <c r="TMN10" s="533"/>
      <c r="TMO10" s="533"/>
      <c r="TMP10" s="533"/>
      <c r="TMQ10" s="533"/>
      <c r="TMR10" s="533"/>
      <c r="TMS10" s="533"/>
      <c r="TMT10" s="533"/>
      <c r="TMU10" s="533"/>
      <c r="TMV10" s="533"/>
      <c r="TMW10" s="533"/>
      <c r="TMX10" s="533"/>
      <c r="TMY10" s="533"/>
      <c r="TMZ10" s="533"/>
      <c r="TNA10" s="533"/>
      <c r="TNB10" s="533"/>
      <c r="TNC10" s="533"/>
      <c r="TND10" s="533"/>
      <c r="TNE10" s="533"/>
      <c r="TNF10" s="533"/>
      <c r="TNG10" s="533"/>
      <c r="TNH10" s="533"/>
      <c r="TNI10" s="533"/>
      <c r="TNJ10" s="533"/>
      <c r="TNK10" s="533"/>
      <c r="TNL10" s="533"/>
      <c r="TNM10" s="533"/>
      <c r="TNN10" s="533"/>
      <c r="TNO10" s="533"/>
      <c r="TNP10" s="533"/>
      <c r="TNQ10" s="533"/>
      <c r="TNR10" s="533"/>
      <c r="TNS10" s="533"/>
      <c r="TNT10" s="533"/>
      <c r="TNU10" s="533"/>
      <c r="TNV10" s="533"/>
      <c r="TNW10" s="533"/>
      <c r="TNX10" s="533"/>
      <c r="TNY10" s="533"/>
      <c r="TNZ10" s="533"/>
      <c r="TOA10" s="533"/>
      <c r="TOB10" s="533"/>
      <c r="TOC10" s="533"/>
      <c r="TOD10" s="533"/>
      <c r="TOE10" s="533"/>
      <c r="TOF10" s="533"/>
      <c r="TOG10" s="533"/>
      <c r="TOH10" s="533"/>
      <c r="TOI10" s="533"/>
      <c r="TOJ10" s="533"/>
      <c r="TOK10" s="533"/>
      <c r="TOL10" s="533"/>
      <c r="TOM10" s="533"/>
      <c r="TON10" s="533"/>
      <c r="TOO10" s="533"/>
      <c r="TOP10" s="533"/>
      <c r="TOQ10" s="533"/>
      <c r="TOR10" s="533"/>
      <c r="TOS10" s="533"/>
      <c r="TOT10" s="533"/>
      <c r="TOU10" s="533"/>
      <c r="TOV10" s="533"/>
      <c r="TOW10" s="533"/>
      <c r="TOX10" s="533"/>
      <c r="TOY10" s="533"/>
      <c r="TOZ10" s="533"/>
      <c r="TPA10" s="533"/>
      <c r="TPB10" s="533"/>
      <c r="TPC10" s="533"/>
      <c r="TPD10" s="533"/>
      <c r="TPE10" s="533"/>
      <c r="TPF10" s="533"/>
      <c r="TPG10" s="533"/>
      <c r="TPH10" s="533"/>
      <c r="TPI10" s="533"/>
      <c r="TPJ10" s="533"/>
      <c r="TPK10" s="533"/>
      <c r="TPL10" s="533"/>
      <c r="TPM10" s="533"/>
      <c r="TPN10" s="533"/>
      <c r="TPO10" s="533"/>
      <c r="TPP10" s="533"/>
      <c r="TPQ10" s="533"/>
      <c r="TPR10" s="533"/>
      <c r="TPS10" s="533"/>
      <c r="TPT10" s="533"/>
      <c r="TPU10" s="533"/>
      <c r="TPV10" s="533"/>
      <c r="TPW10" s="533"/>
      <c r="TPX10" s="533"/>
      <c r="TPY10" s="533"/>
      <c r="TPZ10" s="533"/>
      <c r="TQA10" s="533"/>
      <c r="TQB10" s="533"/>
      <c r="TQC10" s="533"/>
      <c r="TQD10" s="533"/>
      <c r="TQE10" s="533"/>
      <c r="TQF10" s="533"/>
      <c r="TQG10" s="533"/>
      <c r="TQH10" s="533"/>
      <c r="TQI10" s="533"/>
      <c r="TQJ10" s="533"/>
      <c r="TQK10" s="533"/>
      <c r="TQL10" s="533"/>
      <c r="TQM10" s="533"/>
      <c r="TQN10" s="533"/>
      <c r="TQO10" s="533"/>
      <c r="TQP10" s="533"/>
      <c r="TQQ10" s="533"/>
      <c r="TQR10" s="533"/>
      <c r="TQS10" s="533"/>
      <c r="TQT10" s="533"/>
      <c r="TQU10" s="533"/>
      <c r="TQV10" s="533"/>
      <c r="TQW10" s="533"/>
      <c r="TQX10" s="533"/>
      <c r="TQY10" s="533"/>
      <c r="TQZ10" s="533"/>
      <c r="TRA10" s="533"/>
      <c r="TRB10" s="533"/>
      <c r="TRC10" s="533"/>
      <c r="TRD10" s="533"/>
      <c r="TRE10" s="533"/>
      <c r="TRF10" s="533"/>
      <c r="TRG10" s="533"/>
      <c r="TRH10" s="533"/>
      <c r="TRI10" s="533"/>
      <c r="TRJ10" s="533"/>
      <c r="TRK10" s="533"/>
      <c r="TRL10" s="533"/>
      <c r="TRM10" s="533"/>
      <c r="TRN10" s="533"/>
      <c r="TRO10" s="533"/>
      <c r="TRP10" s="533"/>
      <c r="TRQ10" s="533"/>
      <c r="TRR10" s="533"/>
      <c r="TRS10" s="533"/>
      <c r="TRT10" s="533"/>
      <c r="TRU10" s="533"/>
      <c r="TRV10" s="533"/>
      <c r="TRW10" s="533"/>
      <c r="TRX10" s="533"/>
      <c r="TRY10" s="533"/>
      <c r="TRZ10" s="533"/>
      <c r="TSA10" s="533"/>
      <c r="TSB10" s="533"/>
      <c r="TSC10" s="533"/>
      <c r="TSD10" s="533"/>
      <c r="TSE10" s="533"/>
      <c r="TSF10" s="533"/>
      <c r="TSG10" s="533"/>
      <c r="TSH10" s="533"/>
      <c r="TSI10" s="533"/>
      <c r="TSJ10" s="533"/>
      <c r="TSK10" s="533"/>
      <c r="TSL10" s="533"/>
      <c r="TSM10" s="533"/>
      <c r="TSN10" s="533"/>
      <c r="TSO10" s="533"/>
      <c r="TSP10" s="533"/>
      <c r="TSQ10" s="533"/>
      <c r="TSR10" s="533"/>
      <c r="TSS10" s="533"/>
      <c r="TST10" s="533"/>
      <c r="TSU10" s="533"/>
      <c r="TSV10" s="533"/>
      <c r="TSW10" s="533"/>
      <c r="TSX10" s="533"/>
      <c r="TSY10" s="533"/>
      <c r="TSZ10" s="533"/>
      <c r="TTA10" s="533"/>
      <c r="TTB10" s="533"/>
      <c r="TTC10" s="533"/>
      <c r="TTD10" s="533"/>
      <c r="TTE10" s="533"/>
      <c r="TTF10" s="533"/>
      <c r="TTG10" s="533"/>
      <c r="TTH10" s="533"/>
      <c r="TTI10" s="533"/>
      <c r="TTJ10" s="533"/>
      <c r="TTK10" s="533"/>
      <c r="TTL10" s="533"/>
      <c r="TTM10" s="533"/>
      <c r="TTN10" s="533"/>
      <c r="TTO10" s="533"/>
      <c r="TTP10" s="533"/>
      <c r="TTQ10" s="533"/>
      <c r="TTR10" s="533"/>
      <c r="TTS10" s="533"/>
      <c r="TTT10" s="533"/>
      <c r="TTU10" s="533"/>
      <c r="TTV10" s="533"/>
      <c r="TTW10" s="533"/>
      <c r="TTX10" s="533"/>
      <c r="TTY10" s="533"/>
      <c r="TTZ10" s="533"/>
      <c r="TUA10" s="533"/>
      <c r="TUB10" s="533"/>
      <c r="TUC10" s="533"/>
      <c r="TUD10" s="533"/>
      <c r="TUE10" s="533"/>
      <c r="TUF10" s="533"/>
      <c r="TUG10" s="533"/>
      <c r="TUH10" s="533"/>
      <c r="TUI10" s="533"/>
      <c r="TUJ10" s="533"/>
      <c r="TUK10" s="533"/>
      <c r="TUL10" s="533"/>
      <c r="TUM10" s="533"/>
      <c r="TUN10" s="533"/>
      <c r="TUO10" s="533"/>
      <c r="TUP10" s="533"/>
      <c r="TUQ10" s="533"/>
      <c r="TUR10" s="533"/>
      <c r="TUS10" s="533"/>
      <c r="TUT10" s="533"/>
      <c r="TUU10" s="533"/>
      <c r="TUV10" s="533"/>
      <c r="TUW10" s="533"/>
      <c r="TUX10" s="533"/>
      <c r="TUY10" s="533"/>
      <c r="TUZ10" s="533"/>
      <c r="TVA10" s="533"/>
      <c r="TVB10" s="533"/>
      <c r="TVC10" s="533"/>
      <c r="TVD10" s="533"/>
      <c r="TVE10" s="533"/>
      <c r="TVF10" s="533"/>
      <c r="TVG10" s="533"/>
      <c r="TVH10" s="533"/>
      <c r="TVI10" s="533"/>
      <c r="TVJ10" s="533"/>
      <c r="TVK10" s="533"/>
      <c r="TVL10" s="533"/>
      <c r="TVM10" s="533"/>
      <c r="TVN10" s="533"/>
      <c r="TVO10" s="533"/>
      <c r="TVP10" s="533"/>
      <c r="TVQ10" s="533"/>
      <c r="TVR10" s="533"/>
      <c r="TVS10" s="533"/>
      <c r="TVT10" s="533"/>
      <c r="TVU10" s="533"/>
      <c r="TVV10" s="533"/>
      <c r="TVW10" s="533"/>
      <c r="TVX10" s="533"/>
      <c r="TVY10" s="533"/>
      <c r="TVZ10" s="533"/>
      <c r="TWA10" s="533"/>
      <c r="TWB10" s="533"/>
      <c r="TWC10" s="533"/>
      <c r="TWD10" s="533"/>
      <c r="TWE10" s="533"/>
      <c r="TWF10" s="533"/>
      <c r="TWG10" s="533"/>
      <c r="TWH10" s="533"/>
      <c r="TWI10" s="533"/>
      <c r="TWJ10" s="533"/>
      <c r="TWK10" s="533"/>
      <c r="TWL10" s="533"/>
      <c r="TWM10" s="533"/>
      <c r="TWN10" s="533"/>
      <c r="TWO10" s="533"/>
      <c r="TWP10" s="533"/>
      <c r="TWQ10" s="533"/>
      <c r="TWR10" s="533"/>
      <c r="TWS10" s="533"/>
      <c r="TWT10" s="533"/>
      <c r="TWU10" s="533"/>
      <c r="TWV10" s="533"/>
      <c r="TWW10" s="533"/>
      <c r="TWX10" s="533"/>
      <c r="TWY10" s="533"/>
      <c r="TWZ10" s="533"/>
      <c r="TXA10" s="533"/>
      <c r="TXB10" s="533"/>
      <c r="TXC10" s="533"/>
      <c r="TXD10" s="533"/>
      <c r="TXE10" s="533"/>
      <c r="TXF10" s="533"/>
      <c r="TXG10" s="533"/>
      <c r="TXH10" s="533"/>
      <c r="TXI10" s="533"/>
      <c r="TXJ10" s="533"/>
      <c r="TXK10" s="533"/>
      <c r="TXL10" s="533"/>
      <c r="TXM10" s="533"/>
      <c r="TXN10" s="533"/>
      <c r="TXO10" s="533"/>
      <c r="TXP10" s="533"/>
      <c r="TXQ10" s="533"/>
      <c r="TXR10" s="533"/>
      <c r="TXS10" s="533"/>
      <c r="TXT10" s="533"/>
      <c r="TXU10" s="533"/>
      <c r="TXV10" s="533"/>
      <c r="TXW10" s="533"/>
      <c r="TXX10" s="533"/>
      <c r="TXY10" s="533"/>
      <c r="TXZ10" s="533"/>
      <c r="TYA10" s="533"/>
      <c r="TYB10" s="533"/>
      <c r="TYC10" s="533"/>
      <c r="TYD10" s="533"/>
      <c r="TYE10" s="533"/>
      <c r="TYF10" s="533"/>
      <c r="TYG10" s="533"/>
      <c r="TYH10" s="533"/>
      <c r="TYI10" s="533"/>
      <c r="TYJ10" s="533"/>
      <c r="TYK10" s="533"/>
      <c r="TYL10" s="533"/>
      <c r="TYM10" s="533"/>
      <c r="TYN10" s="533"/>
      <c r="TYO10" s="533"/>
      <c r="TYP10" s="533"/>
      <c r="TYQ10" s="533"/>
      <c r="TYR10" s="533"/>
      <c r="TYS10" s="533"/>
      <c r="TYT10" s="533"/>
      <c r="TYU10" s="533"/>
      <c r="TYV10" s="533"/>
      <c r="TYW10" s="533"/>
      <c r="TYX10" s="533"/>
      <c r="TYY10" s="533"/>
      <c r="TYZ10" s="533"/>
      <c r="TZA10" s="533"/>
      <c r="TZB10" s="533"/>
      <c r="TZC10" s="533"/>
      <c r="TZD10" s="533"/>
      <c r="TZE10" s="533"/>
      <c r="TZF10" s="533"/>
      <c r="TZG10" s="533"/>
      <c r="TZH10" s="533"/>
      <c r="TZI10" s="533"/>
      <c r="TZJ10" s="533"/>
      <c r="TZK10" s="533"/>
      <c r="TZL10" s="533"/>
      <c r="TZM10" s="533"/>
      <c r="TZN10" s="533"/>
      <c r="TZO10" s="533"/>
      <c r="TZP10" s="533"/>
      <c r="TZQ10" s="533"/>
      <c r="TZR10" s="533"/>
      <c r="TZS10" s="533"/>
      <c r="TZT10" s="533"/>
      <c r="TZU10" s="533"/>
      <c r="TZV10" s="533"/>
      <c r="TZW10" s="533"/>
      <c r="TZX10" s="533"/>
      <c r="TZY10" s="533"/>
      <c r="TZZ10" s="533"/>
      <c r="UAA10" s="533"/>
      <c r="UAB10" s="533"/>
      <c r="UAC10" s="533"/>
      <c r="UAD10" s="533"/>
      <c r="UAE10" s="533"/>
      <c r="UAF10" s="533"/>
      <c r="UAG10" s="533"/>
      <c r="UAH10" s="533"/>
      <c r="UAI10" s="533"/>
      <c r="UAJ10" s="533"/>
      <c r="UAK10" s="533"/>
      <c r="UAL10" s="533"/>
      <c r="UAM10" s="533"/>
      <c r="UAN10" s="533"/>
      <c r="UAO10" s="533"/>
      <c r="UAP10" s="533"/>
      <c r="UAQ10" s="533"/>
      <c r="UAR10" s="533"/>
      <c r="UAS10" s="533"/>
      <c r="UAT10" s="533"/>
      <c r="UAU10" s="533"/>
      <c r="UAV10" s="533"/>
      <c r="UAW10" s="533"/>
      <c r="UAX10" s="533"/>
      <c r="UAY10" s="533"/>
      <c r="UAZ10" s="533"/>
      <c r="UBA10" s="533"/>
      <c r="UBB10" s="533"/>
      <c r="UBC10" s="533"/>
      <c r="UBD10" s="533"/>
      <c r="UBE10" s="533"/>
      <c r="UBF10" s="533"/>
      <c r="UBG10" s="533"/>
      <c r="UBH10" s="533"/>
      <c r="UBI10" s="533"/>
      <c r="UBJ10" s="533"/>
      <c r="UBK10" s="533"/>
      <c r="UBL10" s="533"/>
      <c r="UBM10" s="533"/>
      <c r="UBN10" s="533"/>
      <c r="UBO10" s="533"/>
      <c r="UBP10" s="533"/>
      <c r="UBQ10" s="533"/>
      <c r="UBR10" s="533"/>
      <c r="UBS10" s="533"/>
      <c r="UBT10" s="533"/>
      <c r="UBU10" s="533"/>
      <c r="UBV10" s="533"/>
      <c r="UBW10" s="533"/>
      <c r="UBX10" s="533"/>
      <c r="UBY10" s="533"/>
      <c r="UBZ10" s="533"/>
      <c r="UCA10" s="533"/>
      <c r="UCB10" s="533"/>
      <c r="UCC10" s="533"/>
      <c r="UCD10" s="533"/>
      <c r="UCE10" s="533"/>
      <c r="UCF10" s="533"/>
      <c r="UCG10" s="533"/>
      <c r="UCH10" s="533"/>
      <c r="UCI10" s="533"/>
      <c r="UCJ10" s="533"/>
      <c r="UCK10" s="533"/>
      <c r="UCL10" s="533"/>
      <c r="UCM10" s="533"/>
      <c r="UCN10" s="533"/>
      <c r="UCO10" s="533"/>
      <c r="UCP10" s="533"/>
      <c r="UCQ10" s="533"/>
      <c r="UCR10" s="533"/>
      <c r="UCS10" s="533"/>
      <c r="UCT10" s="533"/>
      <c r="UCU10" s="533"/>
      <c r="UCV10" s="533"/>
      <c r="UCW10" s="533"/>
      <c r="UCX10" s="533"/>
      <c r="UCY10" s="533"/>
      <c r="UCZ10" s="533"/>
      <c r="UDA10" s="533"/>
      <c r="UDB10" s="533"/>
      <c r="UDC10" s="533"/>
      <c r="UDD10" s="533"/>
      <c r="UDE10" s="533"/>
      <c r="UDF10" s="533"/>
      <c r="UDG10" s="533"/>
      <c r="UDH10" s="533"/>
      <c r="UDI10" s="533"/>
      <c r="UDJ10" s="533"/>
      <c r="UDK10" s="533"/>
      <c r="UDL10" s="533"/>
      <c r="UDM10" s="533"/>
      <c r="UDN10" s="533"/>
      <c r="UDO10" s="533"/>
      <c r="UDP10" s="533"/>
      <c r="UDQ10" s="533"/>
      <c r="UDR10" s="533"/>
      <c r="UDS10" s="533"/>
      <c r="UDT10" s="533"/>
      <c r="UDU10" s="533"/>
      <c r="UDV10" s="533"/>
      <c r="UDW10" s="533"/>
      <c r="UDX10" s="533"/>
      <c r="UDY10" s="533"/>
      <c r="UDZ10" s="533"/>
      <c r="UEA10" s="533"/>
      <c r="UEB10" s="533"/>
      <c r="UEC10" s="533"/>
      <c r="UED10" s="533"/>
      <c r="UEE10" s="533"/>
      <c r="UEF10" s="533"/>
      <c r="UEG10" s="533"/>
      <c r="UEH10" s="533"/>
      <c r="UEI10" s="533"/>
      <c r="UEJ10" s="533"/>
      <c r="UEK10" s="533"/>
      <c r="UEL10" s="533"/>
      <c r="UEM10" s="533"/>
      <c r="UEN10" s="533"/>
      <c r="UEO10" s="533"/>
      <c r="UEP10" s="533"/>
      <c r="UEQ10" s="533"/>
      <c r="UER10" s="533"/>
      <c r="UES10" s="533"/>
      <c r="UET10" s="533"/>
      <c r="UEU10" s="533"/>
      <c r="UEV10" s="533"/>
      <c r="UEW10" s="533"/>
      <c r="UEX10" s="533"/>
      <c r="UEY10" s="533"/>
      <c r="UEZ10" s="533"/>
      <c r="UFA10" s="533"/>
      <c r="UFB10" s="533"/>
      <c r="UFC10" s="533"/>
      <c r="UFD10" s="533"/>
      <c r="UFE10" s="533"/>
      <c r="UFF10" s="533"/>
      <c r="UFG10" s="533"/>
      <c r="UFH10" s="533"/>
      <c r="UFI10" s="533"/>
      <c r="UFJ10" s="533"/>
      <c r="UFK10" s="533"/>
      <c r="UFL10" s="533"/>
      <c r="UFM10" s="533"/>
      <c r="UFN10" s="533"/>
      <c r="UFO10" s="533"/>
      <c r="UFP10" s="533"/>
      <c r="UFQ10" s="533"/>
      <c r="UFR10" s="533"/>
      <c r="UFS10" s="533"/>
      <c r="UFT10" s="533"/>
      <c r="UFU10" s="533"/>
      <c r="UFV10" s="533"/>
      <c r="UFW10" s="533"/>
      <c r="UFX10" s="533"/>
      <c r="UFY10" s="533"/>
      <c r="UFZ10" s="533"/>
      <c r="UGA10" s="533"/>
      <c r="UGB10" s="533"/>
      <c r="UGC10" s="533"/>
      <c r="UGD10" s="533"/>
      <c r="UGE10" s="533"/>
      <c r="UGF10" s="533"/>
      <c r="UGG10" s="533"/>
      <c r="UGH10" s="533"/>
      <c r="UGI10" s="533"/>
      <c r="UGJ10" s="533"/>
      <c r="UGK10" s="533"/>
      <c r="UGL10" s="533"/>
      <c r="UGM10" s="533"/>
      <c r="UGN10" s="533"/>
      <c r="UGO10" s="533"/>
      <c r="UGP10" s="533"/>
      <c r="UGQ10" s="533"/>
      <c r="UGR10" s="533"/>
      <c r="UGS10" s="533"/>
      <c r="UGT10" s="533"/>
      <c r="UGU10" s="533"/>
      <c r="UGV10" s="533"/>
      <c r="UGW10" s="533"/>
      <c r="UGX10" s="533"/>
      <c r="UGY10" s="533"/>
      <c r="UGZ10" s="533"/>
      <c r="UHA10" s="533"/>
      <c r="UHB10" s="533"/>
      <c r="UHC10" s="533"/>
      <c r="UHD10" s="533"/>
      <c r="UHE10" s="533"/>
      <c r="UHF10" s="533"/>
      <c r="UHG10" s="533"/>
      <c r="UHH10" s="533"/>
      <c r="UHI10" s="533"/>
      <c r="UHJ10" s="533"/>
      <c r="UHK10" s="533"/>
      <c r="UHL10" s="533"/>
      <c r="UHM10" s="533"/>
      <c r="UHN10" s="533"/>
      <c r="UHO10" s="533"/>
      <c r="UHP10" s="533"/>
      <c r="UHQ10" s="533"/>
      <c r="UHR10" s="533"/>
      <c r="UHS10" s="533"/>
      <c r="UHT10" s="533"/>
      <c r="UHU10" s="533"/>
      <c r="UHV10" s="533"/>
      <c r="UHW10" s="533"/>
      <c r="UHX10" s="533"/>
      <c r="UHY10" s="533"/>
      <c r="UHZ10" s="533"/>
      <c r="UIA10" s="533"/>
      <c r="UIB10" s="533"/>
      <c r="UIC10" s="533"/>
      <c r="UID10" s="533"/>
      <c r="UIE10" s="533"/>
      <c r="UIF10" s="533"/>
      <c r="UIG10" s="533"/>
      <c r="UIH10" s="533"/>
      <c r="UII10" s="533"/>
      <c r="UIJ10" s="533"/>
      <c r="UIK10" s="533"/>
      <c r="UIL10" s="533"/>
      <c r="UIM10" s="533"/>
      <c r="UIN10" s="533"/>
      <c r="UIO10" s="533"/>
      <c r="UIP10" s="533"/>
      <c r="UIQ10" s="533"/>
      <c r="UIR10" s="533"/>
      <c r="UIS10" s="533"/>
      <c r="UIT10" s="533"/>
      <c r="UIU10" s="533"/>
      <c r="UIV10" s="533"/>
      <c r="UIW10" s="533"/>
      <c r="UIX10" s="533"/>
      <c r="UIY10" s="533"/>
      <c r="UIZ10" s="533"/>
      <c r="UJA10" s="533"/>
      <c r="UJB10" s="533"/>
      <c r="UJC10" s="533"/>
      <c r="UJD10" s="533"/>
      <c r="UJE10" s="533"/>
      <c r="UJF10" s="533"/>
      <c r="UJG10" s="533"/>
      <c r="UJH10" s="533"/>
      <c r="UJI10" s="533"/>
      <c r="UJJ10" s="533"/>
      <c r="UJK10" s="533"/>
      <c r="UJL10" s="533"/>
      <c r="UJM10" s="533"/>
      <c r="UJN10" s="533"/>
      <c r="UJO10" s="533"/>
      <c r="UJP10" s="533"/>
      <c r="UJQ10" s="533"/>
      <c r="UJR10" s="533"/>
      <c r="UJS10" s="533"/>
      <c r="UJT10" s="533"/>
      <c r="UJU10" s="533"/>
      <c r="UJV10" s="533"/>
      <c r="UJW10" s="533"/>
      <c r="UJX10" s="533"/>
      <c r="UJY10" s="533"/>
      <c r="UJZ10" s="533"/>
      <c r="UKA10" s="533"/>
      <c r="UKB10" s="533"/>
      <c r="UKC10" s="533"/>
      <c r="UKD10" s="533"/>
      <c r="UKE10" s="533"/>
      <c r="UKF10" s="533"/>
      <c r="UKG10" s="533"/>
      <c r="UKH10" s="533"/>
      <c r="UKI10" s="533"/>
      <c r="UKJ10" s="533"/>
      <c r="UKK10" s="533"/>
      <c r="UKL10" s="533"/>
      <c r="UKM10" s="533"/>
      <c r="UKN10" s="533"/>
      <c r="UKO10" s="533"/>
      <c r="UKP10" s="533"/>
      <c r="UKQ10" s="533"/>
      <c r="UKR10" s="533"/>
      <c r="UKS10" s="533"/>
      <c r="UKT10" s="533"/>
      <c r="UKU10" s="533"/>
      <c r="UKV10" s="533"/>
      <c r="UKW10" s="533"/>
      <c r="UKX10" s="533"/>
      <c r="UKY10" s="533"/>
      <c r="UKZ10" s="533"/>
      <c r="ULA10" s="533"/>
      <c r="ULB10" s="533"/>
      <c r="ULC10" s="533"/>
      <c r="ULD10" s="533"/>
      <c r="ULE10" s="533"/>
      <c r="ULF10" s="533"/>
      <c r="ULG10" s="533"/>
      <c r="ULH10" s="533"/>
      <c r="ULI10" s="533"/>
      <c r="ULJ10" s="533"/>
      <c r="ULK10" s="533"/>
      <c r="ULL10" s="533"/>
      <c r="ULM10" s="533"/>
      <c r="ULN10" s="533"/>
      <c r="ULO10" s="533"/>
      <c r="ULP10" s="533"/>
      <c r="ULQ10" s="533"/>
      <c r="ULR10" s="533"/>
      <c r="ULS10" s="533"/>
      <c r="ULT10" s="533"/>
      <c r="ULU10" s="533"/>
      <c r="ULV10" s="533"/>
      <c r="ULW10" s="533"/>
      <c r="ULX10" s="533"/>
      <c r="ULY10" s="533"/>
      <c r="ULZ10" s="533"/>
      <c r="UMA10" s="533"/>
      <c r="UMB10" s="533"/>
      <c r="UMC10" s="533"/>
      <c r="UMD10" s="533"/>
      <c r="UME10" s="533"/>
      <c r="UMF10" s="533"/>
      <c r="UMG10" s="533"/>
      <c r="UMH10" s="533"/>
      <c r="UMI10" s="533"/>
      <c r="UMJ10" s="533"/>
      <c r="UMK10" s="533"/>
      <c r="UML10" s="533"/>
      <c r="UMM10" s="533"/>
      <c r="UMN10" s="533"/>
      <c r="UMO10" s="533"/>
      <c r="UMP10" s="533"/>
      <c r="UMQ10" s="533"/>
      <c r="UMR10" s="533"/>
      <c r="UMS10" s="533"/>
      <c r="UMT10" s="533"/>
      <c r="UMU10" s="533"/>
      <c r="UMV10" s="533"/>
      <c r="UMW10" s="533"/>
      <c r="UMX10" s="533"/>
      <c r="UMY10" s="533"/>
      <c r="UMZ10" s="533"/>
      <c r="UNA10" s="533"/>
      <c r="UNB10" s="533"/>
      <c r="UNC10" s="533"/>
      <c r="UND10" s="533"/>
      <c r="UNE10" s="533"/>
      <c r="UNF10" s="533"/>
      <c r="UNG10" s="533"/>
      <c r="UNH10" s="533"/>
      <c r="UNI10" s="533"/>
      <c r="UNJ10" s="533"/>
      <c r="UNK10" s="533"/>
      <c r="UNL10" s="533"/>
      <c r="UNM10" s="533"/>
      <c r="UNN10" s="533"/>
      <c r="UNO10" s="533"/>
      <c r="UNP10" s="533"/>
      <c r="UNQ10" s="533"/>
      <c r="UNR10" s="533"/>
      <c r="UNS10" s="533"/>
      <c r="UNT10" s="533"/>
      <c r="UNU10" s="533"/>
      <c r="UNV10" s="533"/>
      <c r="UNW10" s="533"/>
      <c r="UNX10" s="533"/>
      <c r="UNY10" s="533"/>
      <c r="UNZ10" s="533"/>
      <c r="UOA10" s="533"/>
      <c r="UOB10" s="533"/>
      <c r="UOC10" s="533"/>
      <c r="UOD10" s="533"/>
      <c r="UOE10" s="533"/>
      <c r="UOF10" s="533"/>
      <c r="UOG10" s="533"/>
      <c r="UOH10" s="533"/>
      <c r="UOI10" s="533"/>
      <c r="UOJ10" s="533"/>
      <c r="UOK10" s="533"/>
      <c r="UOL10" s="533"/>
      <c r="UOM10" s="533"/>
      <c r="UON10" s="533"/>
      <c r="UOO10" s="533"/>
      <c r="UOP10" s="533"/>
      <c r="UOQ10" s="533"/>
      <c r="UOR10" s="533"/>
      <c r="UOS10" s="533"/>
      <c r="UOT10" s="533"/>
      <c r="UOU10" s="533"/>
      <c r="UOV10" s="533"/>
      <c r="UOW10" s="533"/>
      <c r="UOX10" s="533"/>
      <c r="UOY10" s="533"/>
      <c r="UOZ10" s="533"/>
      <c r="UPA10" s="533"/>
      <c r="UPB10" s="533"/>
      <c r="UPC10" s="533"/>
      <c r="UPD10" s="533"/>
      <c r="UPE10" s="533"/>
      <c r="UPF10" s="533"/>
      <c r="UPG10" s="533"/>
      <c r="UPH10" s="533"/>
      <c r="UPI10" s="533"/>
      <c r="UPJ10" s="533"/>
      <c r="UPK10" s="533"/>
      <c r="UPL10" s="533"/>
      <c r="UPM10" s="533"/>
      <c r="UPN10" s="533"/>
      <c r="UPO10" s="533"/>
      <c r="UPP10" s="533"/>
      <c r="UPQ10" s="533"/>
      <c r="UPR10" s="533"/>
      <c r="UPS10" s="533"/>
      <c r="UPT10" s="533"/>
      <c r="UPU10" s="533"/>
      <c r="UPV10" s="533"/>
      <c r="UPW10" s="533"/>
      <c r="UPX10" s="533"/>
      <c r="UPY10" s="533"/>
      <c r="UPZ10" s="533"/>
      <c r="UQA10" s="533"/>
      <c r="UQB10" s="533"/>
      <c r="UQC10" s="533"/>
      <c r="UQD10" s="533"/>
      <c r="UQE10" s="533"/>
      <c r="UQF10" s="533"/>
      <c r="UQG10" s="533"/>
      <c r="UQH10" s="533"/>
      <c r="UQI10" s="533"/>
      <c r="UQJ10" s="533"/>
      <c r="UQK10" s="533"/>
      <c r="UQL10" s="533"/>
      <c r="UQM10" s="533"/>
      <c r="UQN10" s="533"/>
      <c r="UQO10" s="533"/>
      <c r="UQP10" s="533"/>
      <c r="UQQ10" s="533"/>
      <c r="UQR10" s="533"/>
      <c r="UQS10" s="533"/>
      <c r="UQT10" s="533"/>
      <c r="UQU10" s="533"/>
      <c r="UQV10" s="533"/>
      <c r="UQW10" s="533"/>
      <c r="UQX10" s="533"/>
      <c r="UQY10" s="533"/>
      <c r="UQZ10" s="533"/>
      <c r="URA10" s="533"/>
      <c r="URB10" s="533"/>
      <c r="URC10" s="533"/>
      <c r="URD10" s="533"/>
      <c r="URE10" s="533"/>
      <c r="URF10" s="533"/>
      <c r="URG10" s="533"/>
      <c r="URH10" s="533"/>
      <c r="URI10" s="533"/>
      <c r="URJ10" s="533"/>
      <c r="URK10" s="533"/>
      <c r="URL10" s="533"/>
      <c r="URM10" s="533"/>
      <c r="URN10" s="533"/>
      <c r="URO10" s="533"/>
      <c r="URP10" s="533"/>
      <c r="URQ10" s="533"/>
      <c r="URR10" s="533"/>
      <c r="URS10" s="533"/>
      <c r="URT10" s="533"/>
      <c r="URU10" s="533"/>
      <c r="URV10" s="533"/>
      <c r="URW10" s="533"/>
      <c r="URX10" s="533"/>
      <c r="URY10" s="533"/>
      <c r="URZ10" s="533"/>
      <c r="USA10" s="533"/>
      <c r="USB10" s="533"/>
      <c r="USC10" s="533"/>
      <c r="USD10" s="533"/>
      <c r="USE10" s="533"/>
      <c r="USF10" s="533"/>
      <c r="USG10" s="533"/>
      <c r="USH10" s="533"/>
      <c r="USI10" s="533"/>
      <c r="USJ10" s="533"/>
      <c r="USK10" s="533"/>
      <c r="USL10" s="533"/>
      <c r="USM10" s="533"/>
      <c r="USN10" s="533"/>
      <c r="USO10" s="533"/>
      <c r="USP10" s="533"/>
      <c r="USQ10" s="533"/>
      <c r="USR10" s="533"/>
      <c r="USS10" s="533"/>
      <c r="UST10" s="533"/>
      <c r="USU10" s="533"/>
      <c r="USV10" s="533"/>
      <c r="USW10" s="533"/>
      <c r="USX10" s="533"/>
      <c r="USY10" s="533"/>
      <c r="USZ10" s="533"/>
      <c r="UTA10" s="533"/>
      <c r="UTB10" s="533"/>
      <c r="UTC10" s="533"/>
      <c r="UTD10" s="533"/>
      <c r="UTE10" s="533"/>
      <c r="UTF10" s="533"/>
      <c r="UTG10" s="533"/>
      <c r="UTH10" s="533"/>
      <c r="UTI10" s="533"/>
      <c r="UTJ10" s="533"/>
      <c r="UTK10" s="533"/>
      <c r="UTL10" s="533"/>
      <c r="UTM10" s="533"/>
      <c r="UTN10" s="533"/>
      <c r="UTO10" s="533"/>
      <c r="UTP10" s="533"/>
      <c r="UTQ10" s="533"/>
      <c r="UTR10" s="533"/>
      <c r="UTS10" s="533"/>
      <c r="UTT10" s="533"/>
      <c r="UTU10" s="533"/>
      <c r="UTV10" s="533"/>
      <c r="UTW10" s="533"/>
      <c r="UTX10" s="533"/>
      <c r="UTY10" s="533"/>
      <c r="UTZ10" s="533"/>
      <c r="UUA10" s="533"/>
      <c r="UUB10" s="533"/>
      <c r="UUC10" s="533"/>
      <c r="UUD10" s="533"/>
      <c r="UUE10" s="533"/>
      <c r="UUF10" s="533"/>
      <c r="UUG10" s="533"/>
      <c r="UUH10" s="533"/>
      <c r="UUI10" s="533"/>
      <c r="UUJ10" s="533"/>
      <c r="UUK10" s="533"/>
      <c r="UUL10" s="533"/>
      <c r="UUM10" s="533"/>
      <c r="UUN10" s="533"/>
      <c r="UUO10" s="533"/>
      <c r="UUP10" s="533"/>
      <c r="UUQ10" s="533"/>
      <c r="UUR10" s="533"/>
      <c r="UUS10" s="533"/>
      <c r="UUT10" s="533"/>
      <c r="UUU10" s="533"/>
      <c r="UUV10" s="533"/>
      <c r="UUW10" s="533"/>
      <c r="UUX10" s="533"/>
      <c r="UUY10" s="533"/>
      <c r="UUZ10" s="533"/>
      <c r="UVA10" s="533"/>
      <c r="UVB10" s="533"/>
      <c r="UVC10" s="533"/>
      <c r="UVD10" s="533"/>
      <c r="UVE10" s="533"/>
      <c r="UVF10" s="533"/>
      <c r="UVG10" s="533"/>
      <c r="UVH10" s="533"/>
      <c r="UVI10" s="533"/>
      <c r="UVJ10" s="533"/>
      <c r="UVK10" s="533"/>
      <c r="UVL10" s="533"/>
      <c r="UVM10" s="533"/>
      <c r="UVN10" s="533"/>
      <c r="UVO10" s="533"/>
      <c r="UVP10" s="533"/>
      <c r="UVQ10" s="533"/>
      <c r="UVR10" s="533"/>
      <c r="UVS10" s="533"/>
      <c r="UVT10" s="533"/>
      <c r="UVU10" s="533"/>
      <c r="UVV10" s="533"/>
      <c r="UVW10" s="533"/>
      <c r="UVX10" s="533"/>
      <c r="UVY10" s="533"/>
      <c r="UVZ10" s="533"/>
      <c r="UWA10" s="533"/>
      <c r="UWB10" s="533"/>
      <c r="UWC10" s="533"/>
      <c r="UWD10" s="533"/>
      <c r="UWE10" s="533"/>
      <c r="UWF10" s="533"/>
      <c r="UWG10" s="533"/>
      <c r="UWH10" s="533"/>
      <c r="UWI10" s="533"/>
      <c r="UWJ10" s="533"/>
      <c r="UWK10" s="533"/>
      <c r="UWL10" s="533"/>
      <c r="UWM10" s="533"/>
      <c r="UWN10" s="533"/>
      <c r="UWO10" s="533"/>
      <c r="UWP10" s="533"/>
      <c r="UWQ10" s="533"/>
      <c r="UWR10" s="533"/>
      <c r="UWS10" s="533"/>
      <c r="UWT10" s="533"/>
      <c r="UWU10" s="533"/>
      <c r="UWV10" s="533"/>
      <c r="UWW10" s="533"/>
      <c r="UWX10" s="533"/>
      <c r="UWY10" s="533"/>
      <c r="UWZ10" s="533"/>
      <c r="UXA10" s="533"/>
      <c r="UXB10" s="533"/>
      <c r="UXC10" s="533"/>
      <c r="UXD10" s="533"/>
      <c r="UXE10" s="533"/>
      <c r="UXF10" s="533"/>
      <c r="UXG10" s="533"/>
      <c r="UXH10" s="533"/>
      <c r="UXI10" s="533"/>
      <c r="UXJ10" s="533"/>
      <c r="UXK10" s="533"/>
      <c r="UXL10" s="533"/>
      <c r="UXM10" s="533"/>
      <c r="UXN10" s="533"/>
      <c r="UXO10" s="533"/>
      <c r="UXP10" s="533"/>
      <c r="UXQ10" s="533"/>
      <c r="UXR10" s="533"/>
      <c r="UXS10" s="533"/>
      <c r="UXT10" s="533"/>
      <c r="UXU10" s="533"/>
      <c r="UXV10" s="533"/>
      <c r="UXW10" s="533"/>
      <c r="UXX10" s="533"/>
      <c r="UXY10" s="533"/>
      <c r="UXZ10" s="533"/>
      <c r="UYA10" s="533"/>
      <c r="UYB10" s="533"/>
      <c r="UYC10" s="533"/>
      <c r="UYD10" s="533"/>
      <c r="UYE10" s="533"/>
      <c r="UYF10" s="533"/>
      <c r="UYG10" s="533"/>
      <c r="UYH10" s="533"/>
      <c r="UYI10" s="533"/>
      <c r="UYJ10" s="533"/>
      <c r="UYK10" s="533"/>
      <c r="UYL10" s="533"/>
      <c r="UYM10" s="533"/>
      <c r="UYN10" s="533"/>
      <c r="UYO10" s="533"/>
      <c r="UYP10" s="533"/>
      <c r="UYQ10" s="533"/>
      <c r="UYR10" s="533"/>
      <c r="UYS10" s="533"/>
      <c r="UYT10" s="533"/>
      <c r="UYU10" s="533"/>
      <c r="UYV10" s="533"/>
      <c r="UYW10" s="533"/>
      <c r="UYX10" s="533"/>
      <c r="UYY10" s="533"/>
      <c r="UYZ10" s="533"/>
      <c r="UZA10" s="533"/>
      <c r="UZB10" s="533"/>
      <c r="UZC10" s="533"/>
      <c r="UZD10" s="533"/>
      <c r="UZE10" s="533"/>
      <c r="UZF10" s="533"/>
      <c r="UZG10" s="533"/>
      <c r="UZH10" s="533"/>
      <c r="UZI10" s="533"/>
      <c r="UZJ10" s="533"/>
      <c r="UZK10" s="533"/>
      <c r="UZL10" s="533"/>
      <c r="UZM10" s="533"/>
      <c r="UZN10" s="533"/>
      <c r="UZO10" s="533"/>
      <c r="UZP10" s="533"/>
      <c r="UZQ10" s="533"/>
      <c r="UZR10" s="533"/>
      <c r="UZS10" s="533"/>
      <c r="UZT10" s="533"/>
      <c r="UZU10" s="533"/>
      <c r="UZV10" s="533"/>
      <c r="UZW10" s="533"/>
      <c r="UZX10" s="533"/>
      <c r="UZY10" s="533"/>
      <c r="UZZ10" s="533"/>
      <c r="VAA10" s="533"/>
      <c r="VAB10" s="533"/>
      <c r="VAC10" s="533"/>
      <c r="VAD10" s="533"/>
      <c r="VAE10" s="533"/>
      <c r="VAF10" s="533"/>
      <c r="VAG10" s="533"/>
      <c r="VAH10" s="533"/>
      <c r="VAI10" s="533"/>
      <c r="VAJ10" s="533"/>
      <c r="VAK10" s="533"/>
      <c r="VAL10" s="533"/>
      <c r="VAM10" s="533"/>
      <c r="VAN10" s="533"/>
      <c r="VAO10" s="533"/>
      <c r="VAP10" s="533"/>
      <c r="VAQ10" s="533"/>
      <c r="VAR10" s="533"/>
      <c r="VAS10" s="533"/>
      <c r="VAT10" s="533"/>
      <c r="VAU10" s="533"/>
      <c r="VAV10" s="533"/>
      <c r="VAW10" s="533"/>
      <c r="VAX10" s="533"/>
      <c r="VAY10" s="533"/>
      <c r="VAZ10" s="533"/>
      <c r="VBA10" s="533"/>
      <c r="VBB10" s="533"/>
      <c r="VBC10" s="533"/>
      <c r="VBD10" s="533"/>
      <c r="VBE10" s="533"/>
      <c r="VBF10" s="533"/>
      <c r="VBG10" s="533"/>
      <c r="VBH10" s="533"/>
      <c r="VBI10" s="533"/>
      <c r="VBJ10" s="533"/>
      <c r="VBK10" s="533"/>
      <c r="VBL10" s="533"/>
      <c r="VBM10" s="533"/>
      <c r="VBN10" s="533"/>
      <c r="VBO10" s="533"/>
      <c r="VBP10" s="533"/>
      <c r="VBQ10" s="533"/>
      <c r="VBR10" s="533"/>
      <c r="VBS10" s="533"/>
      <c r="VBT10" s="533"/>
      <c r="VBU10" s="533"/>
      <c r="VBV10" s="533"/>
      <c r="VBW10" s="533"/>
      <c r="VBX10" s="533"/>
      <c r="VBY10" s="533"/>
      <c r="VBZ10" s="533"/>
      <c r="VCA10" s="533"/>
      <c r="VCB10" s="533"/>
      <c r="VCC10" s="533"/>
      <c r="VCD10" s="533"/>
      <c r="VCE10" s="533"/>
      <c r="VCF10" s="533"/>
      <c r="VCG10" s="533"/>
      <c r="VCH10" s="533"/>
      <c r="VCI10" s="533"/>
      <c r="VCJ10" s="533"/>
      <c r="VCK10" s="533"/>
      <c r="VCL10" s="533"/>
      <c r="VCM10" s="533"/>
      <c r="VCN10" s="533"/>
      <c r="VCO10" s="533"/>
      <c r="VCP10" s="533"/>
      <c r="VCQ10" s="533"/>
      <c r="VCR10" s="533"/>
      <c r="VCS10" s="533"/>
      <c r="VCT10" s="533"/>
      <c r="VCU10" s="533"/>
      <c r="VCV10" s="533"/>
      <c r="VCW10" s="533"/>
      <c r="VCX10" s="533"/>
      <c r="VCY10" s="533"/>
      <c r="VCZ10" s="533"/>
      <c r="VDA10" s="533"/>
      <c r="VDB10" s="533"/>
      <c r="VDC10" s="533"/>
      <c r="VDD10" s="533"/>
      <c r="VDE10" s="533"/>
      <c r="VDF10" s="533"/>
      <c r="VDG10" s="533"/>
      <c r="VDH10" s="533"/>
      <c r="VDI10" s="533"/>
      <c r="VDJ10" s="533"/>
      <c r="VDK10" s="533"/>
      <c r="VDL10" s="533"/>
      <c r="VDM10" s="533"/>
      <c r="VDN10" s="533"/>
      <c r="VDO10" s="533"/>
      <c r="VDP10" s="533"/>
      <c r="VDQ10" s="533"/>
      <c r="VDR10" s="533"/>
      <c r="VDS10" s="533"/>
      <c r="VDT10" s="533"/>
      <c r="VDU10" s="533"/>
      <c r="VDV10" s="533"/>
      <c r="VDW10" s="533"/>
      <c r="VDX10" s="533"/>
      <c r="VDY10" s="533"/>
      <c r="VDZ10" s="533"/>
      <c r="VEA10" s="533"/>
      <c r="VEB10" s="533"/>
      <c r="VEC10" s="533"/>
      <c r="VED10" s="533"/>
      <c r="VEE10" s="533"/>
      <c r="VEF10" s="533"/>
      <c r="VEG10" s="533"/>
      <c r="VEH10" s="533"/>
      <c r="VEI10" s="533"/>
      <c r="VEJ10" s="533"/>
      <c r="VEK10" s="533"/>
      <c r="VEL10" s="533"/>
      <c r="VEM10" s="533"/>
      <c r="VEN10" s="533"/>
      <c r="VEO10" s="533"/>
      <c r="VEP10" s="533"/>
      <c r="VEQ10" s="533"/>
      <c r="VER10" s="533"/>
      <c r="VES10" s="533"/>
      <c r="VET10" s="533"/>
      <c r="VEU10" s="533"/>
      <c r="VEV10" s="533"/>
      <c r="VEW10" s="533"/>
      <c r="VEX10" s="533"/>
      <c r="VEY10" s="533"/>
      <c r="VEZ10" s="533"/>
      <c r="VFA10" s="533"/>
      <c r="VFB10" s="533"/>
      <c r="VFC10" s="533"/>
      <c r="VFD10" s="533"/>
      <c r="VFE10" s="533"/>
      <c r="VFF10" s="533"/>
      <c r="VFG10" s="533"/>
      <c r="VFH10" s="533"/>
      <c r="VFI10" s="533"/>
      <c r="VFJ10" s="533"/>
      <c r="VFK10" s="533"/>
      <c r="VFL10" s="533"/>
      <c r="VFM10" s="533"/>
      <c r="VFN10" s="533"/>
      <c r="VFO10" s="533"/>
      <c r="VFP10" s="533"/>
      <c r="VFQ10" s="533"/>
      <c r="VFR10" s="533"/>
      <c r="VFS10" s="533"/>
      <c r="VFT10" s="533"/>
      <c r="VFU10" s="533"/>
      <c r="VFV10" s="533"/>
      <c r="VFW10" s="533"/>
      <c r="VFX10" s="533"/>
      <c r="VFY10" s="533"/>
      <c r="VFZ10" s="533"/>
      <c r="VGA10" s="533"/>
      <c r="VGB10" s="533"/>
      <c r="VGC10" s="533"/>
      <c r="VGD10" s="533"/>
      <c r="VGE10" s="533"/>
      <c r="VGF10" s="533"/>
      <c r="VGG10" s="533"/>
      <c r="VGH10" s="533"/>
      <c r="VGI10" s="533"/>
      <c r="VGJ10" s="533"/>
      <c r="VGK10" s="533"/>
      <c r="VGL10" s="533"/>
      <c r="VGM10" s="533"/>
      <c r="VGN10" s="533"/>
      <c r="VGO10" s="533"/>
      <c r="VGP10" s="533"/>
      <c r="VGQ10" s="533"/>
      <c r="VGR10" s="533"/>
      <c r="VGS10" s="533"/>
      <c r="VGT10" s="533"/>
      <c r="VGU10" s="533"/>
      <c r="VGV10" s="533"/>
      <c r="VGW10" s="533"/>
      <c r="VGX10" s="533"/>
      <c r="VGY10" s="533"/>
      <c r="VGZ10" s="533"/>
      <c r="VHA10" s="533"/>
      <c r="VHB10" s="533"/>
      <c r="VHC10" s="533"/>
      <c r="VHD10" s="533"/>
      <c r="VHE10" s="533"/>
      <c r="VHF10" s="533"/>
      <c r="VHG10" s="533"/>
      <c r="VHH10" s="533"/>
      <c r="VHI10" s="533"/>
      <c r="VHJ10" s="533"/>
      <c r="VHK10" s="533"/>
      <c r="VHL10" s="533"/>
      <c r="VHM10" s="533"/>
      <c r="VHN10" s="533"/>
      <c r="VHO10" s="533"/>
      <c r="VHP10" s="533"/>
      <c r="VHQ10" s="533"/>
      <c r="VHR10" s="533"/>
      <c r="VHS10" s="533"/>
      <c r="VHT10" s="533"/>
      <c r="VHU10" s="533"/>
      <c r="VHV10" s="533"/>
      <c r="VHW10" s="533"/>
      <c r="VHX10" s="533"/>
      <c r="VHY10" s="533"/>
      <c r="VHZ10" s="533"/>
      <c r="VIA10" s="533"/>
      <c r="VIB10" s="533"/>
      <c r="VIC10" s="533"/>
      <c r="VID10" s="533"/>
      <c r="VIE10" s="533"/>
      <c r="VIF10" s="533"/>
      <c r="VIG10" s="533"/>
      <c r="VIH10" s="533"/>
      <c r="VII10" s="533"/>
      <c r="VIJ10" s="533"/>
      <c r="VIK10" s="533"/>
      <c r="VIL10" s="533"/>
      <c r="VIM10" s="533"/>
      <c r="VIN10" s="533"/>
      <c r="VIO10" s="533"/>
      <c r="VIP10" s="533"/>
      <c r="VIQ10" s="533"/>
      <c r="VIR10" s="533"/>
      <c r="VIS10" s="533"/>
      <c r="VIT10" s="533"/>
      <c r="VIU10" s="533"/>
      <c r="VIV10" s="533"/>
      <c r="VIW10" s="533"/>
      <c r="VIX10" s="533"/>
      <c r="VIY10" s="533"/>
      <c r="VIZ10" s="533"/>
      <c r="VJA10" s="533"/>
      <c r="VJB10" s="533"/>
      <c r="VJC10" s="533"/>
      <c r="VJD10" s="533"/>
      <c r="VJE10" s="533"/>
      <c r="VJF10" s="533"/>
      <c r="VJG10" s="533"/>
      <c r="VJH10" s="533"/>
      <c r="VJI10" s="533"/>
      <c r="VJJ10" s="533"/>
      <c r="VJK10" s="533"/>
      <c r="VJL10" s="533"/>
      <c r="VJM10" s="533"/>
      <c r="VJN10" s="533"/>
      <c r="VJO10" s="533"/>
      <c r="VJP10" s="533"/>
      <c r="VJQ10" s="533"/>
      <c r="VJR10" s="533"/>
      <c r="VJS10" s="533"/>
      <c r="VJT10" s="533"/>
      <c r="VJU10" s="533"/>
      <c r="VJV10" s="533"/>
      <c r="VJW10" s="533"/>
      <c r="VJX10" s="533"/>
      <c r="VJY10" s="533"/>
      <c r="VJZ10" s="533"/>
      <c r="VKA10" s="533"/>
      <c r="VKB10" s="533"/>
      <c r="VKC10" s="533"/>
      <c r="VKD10" s="533"/>
      <c r="VKE10" s="533"/>
      <c r="VKF10" s="533"/>
      <c r="VKG10" s="533"/>
      <c r="VKH10" s="533"/>
      <c r="VKI10" s="533"/>
      <c r="VKJ10" s="533"/>
      <c r="VKK10" s="533"/>
      <c r="VKL10" s="533"/>
      <c r="VKM10" s="533"/>
      <c r="VKN10" s="533"/>
      <c r="VKO10" s="533"/>
      <c r="VKP10" s="533"/>
      <c r="VKQ10" s="533"/>
      <c r="VKR10" s="533"/>
      <c r="VKS10" s="533"/>
      <c r="VKT10" s="533"/>
      <c r="VKU10" s="533"/>
      <c r="VKV10" s="533"/>
      <c r="VKW10" s="533"/>
      <c r="VKX10" s="533"/>
      <c r="VKY10" s="533"/>
      <c r="VKZ10" s="533"/>
      <c r="VLA10" s="533"/>
      <c r="VLB10" s="533"/>
      <c r="VLC10" s="533"/>
      <c r="VLD10" s="533"/>
      <c r="VLE10" s="533"/>
      <c r="VLF10" s="533"/>
      <c r="VLG10" s="533"/>
      <c r="VLH10" s="533"/>
      <c r="VLI10" s="533"/>
      <c r="VLJ10" s="533"/>
      <c r="VLK10" s="533"/>
      <c r="VLL10" s="533"/>
      <c r="VLM10" s="533"/>
      <c r="VLN10" s="533"/>
      <c r="VLO10" s="533"/>
      <c r="VLP10" s="533"/>
      <c r="VLQ10" s="533"/>
      <c r="VLR10" s="533"/>
      <c r="VLS10" s="533"/>
      <c r="VLT10" s="533"/>
      <c r="VLU10" s="533"/>
      <c r="VLV10" s="533"/>
      <c r="VLW10" s="533"/>
      <c r="VLX10" s="533"/>
      <c r="VLY10" s="533"/>
      <c r="VLZ10" s="533"/>
      <c r="VMA10" s="533"/>
      <c r="VMB10" s="533"/>
      <c r="VMC10" s="533"/>
      <c r="VMD10" s="533"/>
      <c r="VME10" s="533"/>
      <c r="VMF10" s="533"/>
      <c r="VMG10" s="533"/>
      <c r="VMH10" s="533"/>
      <c r="VMI10" s="533"/>
      <c r="VMJ10" s="533"/>
      <c r="VMK10" s="533"/>
      <c r="VML10" s="533"/>
      <c r="VMM10" s="533"/>
      <c r="VMN10" s="533"/>
      <c r="VMO10" s="533"/>
      <c r="VMP10" s="533"/>
      <c r="VMQ10" s="533"/>
      <c r="VMR10" s="533"/>
      <c r="VMS10" s="533"/>
      <c r="VMT10" s="533"/>
      <c r="VMU10" s="533"/>
      <c r="VMV10" s="533"/>
      <c r="VMW10" s="533"/>
      <c r="VMX10" s="533"/>
      <c r="VMY10" s="533"/>
      <c r="VMZ10" s="533"/>
      <c r="VNA10" s="533"/>
      <c r="VNB10" s="533"/>
      <c r="VNC10" s="533"/>
      <c r="VND10" s="533"/>
      <c r="VNE10" s="533"/>
      <c r="VNF10" s="533"/>
      <c r="VNG10" s="533"/>
      <c r="VNH10" s="533"/>
      <c r="VNI10" s="533"/>
      <c r="VNJ10" s="533"/>
      <c r="VNK10" s="533"/>
      <c r="VNL10" s="533"/>
      <c r="VNM10" s="533"/>
      <c r="VNN10" s="533"/>
      <c r="VNO10" s="533"/>
      <c r="VNP10" s="533"/>
      <c r="VNQ10" s="533"/>
      <c r="VNR10" s="533"/>
      <c r="VNS10" s="533"/>
      <c r="VNT10" s="533"/>
      <c r="VNU10" s="533"/>
      <c r="VNV10" s="533"/>
      <c r="VNW10" s="533"/>
      <c r="VNX10" s="533"/>
      <c r="VNY10" s="533"/>
      <c r="VNZ10" s="533"/>
      <c r="VOA10" s="533"/>
      <c r="VOB10" s="533"/>
      <c r="VOC10" s="533"/>
      <c r="VOD10" s="533"/>
      <c r="VOE10" s="533"/>
      <c r="VOF10" s="533"/>
      <c r="VOG10" s="533"/>
      <c r="VOH10" s="533"/>
      <c r="VOI10" s="533"/>
      <c r="VOJ10" s="533"/>
      <c r="VOK10" s="533"/>
      <c r="VOL10" s="533"/>
      <c r="VOM10" s="533"/>
      <c r="VON10" s="533"/>
      <c r="VOO10" s="533"/>
      <c r="VOP10" s="533"/>
      <c r="VOQ10" s="533"/>
      <c r="VOR10" s="533"/>
      <c r="VOS10" s="533"/>
      <c r="VOT10" s="533"/>
      <c r="VOU10" s="533"/>
      <c r="VOV10" s="533"/>
      <c r="VOW10" s="533"/>
      <c r="VOX10" s="533"/>
      <c r="VOY10" s="533"/>
      <c r="VOZ10" s="533"/>
      <c r="VPA10" s="533"/>
      <c r="VPB10" s="533"/>
      <c r="VPC10" s="533"/>
      <c r="VPD10" s="533"/>
      <c r="VPE10" s="533"/>
      <c r="VPF10" s="533"/>
      <c r="VPG10" s="533"/>
      <c r="VPH10" s="533"/>
      <c r="VPI10" s="533"/>
      <c r="VPJ10" s="533"/>
      <c r="VPK10" s="533"/>
      <c r="VPL10" s="533"/>
      <c r="VPM10" s="533"/>
      <c r="VPN10" s="533"/>
      <c r="VPO10" s="533"/>
      <c r="VPP10" s="533"/>
      <c r="VPQ10" s="533"/>
      <c r="VPR10" s="533"/>
      <c r="VPS10" s="533"/>
      <c r="VPT10" s="533"/>
      <c r="VPU10" s="533"/>
      <c r="VPV10" s="533"/>
      <c r="VPW10" s="533"/>
      <c r="VPX10" s="533"/>
      <c r="VPY10" s="533"/>
      <c r="VPZ10" s="533"/>
      <c r="VQA10" s="533"/>
      <c r="VQB10" s="533"/>
      <c r="VQC10" s="533"/>
      <c r="VQD10" s="533"/>
      <c r="VQE10" s="533"/>
      <c r="VQF10" s="533"/>
      <c r="VQG10" s="533"/>
      <c r="VQH10" s="533"/>
      <c r="VQI10" s="533"/>
      <c r="VQJ10" s="533"/>
      <c r="VQK10" s="533"/>
      <c r="VQL10" s="533"/>
      <c r="VQM10" s="533"/>
      <c r="VQN10" s="533"/>
      <c r="VQO10" s="533"/>
      <c r="VQP10" s="533"/>
      <c r="VQQ10" s="533"/>
      <c r="VQR10" s="533"/>
      <c r="VQS10" s="533"/>
      <c r="VQT10" s="533"/>
      <c r="VQU10" s="533"/>
      <c r="VQV10" s="533"/>
      <c r="VQW10" s="533"/>
      <c r="VQX10" s="533"/>
      <c r="VQY10" s="533"/>
      <c r="VQZ10" s="533"/>
      <c r="VRA10" s="533"/>
      <c r="VRB10" s="533"/>
      <c r="VRC10" s="533"/>
      <c r="VRD10" s="533"/>
      <c r="VRE10" s="533"/>
      <c r="VRF10" s="533"/>
      <c r="VRG10" s="533"/>
      <c r="VRH10" s="533"/>
      <c r="VRI10" s="533"/>
      <c r="VRJ10" s="533"/>
      <c r="VRK10" s="533"/>
      <c r="VRL10" s="533"/>
      <c r="VRM10" s="533"/>
      <c r="VRN10" s="533"/>
      <c r="VRO10" s="533"/>
      <c r="VRP10" s="533"/>
      <c r="VRQ10" s="533"/>
      <c r="VRR10" s="533"/>
      <c r="VRS10" s="533"/>
      <c r="VRT10" s="533"/>
      <c r="VRU10" s="533"/>
      <c r="VRV10" s="533"/>
      <c r="VRW10" s="533"/>
      <c r="VRX10" s="533"/>
      <c r="VRY10" s="533"/>
      <c r="VRZ10" s="533"/>
      <c r="VSA10" s="533"/>
      <c r="VSB10" s="533"/>
      <c r="VSC10" s="533"/>
      <c r="VSD10" s="533"/>
      <c r="VSE10" s="533"/>
      <c r="VSF10" s="533"/>
      <c r="VSG10" s="533"/>
      <c r="VSH10" s="533"/>
      <c r="VSI10" s="533"/>
      <c r="VSJ10" s="533"/>
      <c r="VSK10" s="533"/>
      <c r="VSL10" s="533"/>
      <c r="VSM10" s="533"/>
      <c r="VSN10" s="533"/>
      <c r="VSO10" s="533"/>
      <c r="VSP10" s="533"/>
      <c r="VSQ10" s="533"/>
      <c r="VSR10" s="533"/>
      <c r="VSS10" s="533"/>
      <c r="VST10" s="533"/>
      <c r="VSU10" s="533"/>
      <c r="VSV10" s="533"/>
      <c r="VSW10" s="533"/>
      <c r="VSX10" s="533"/>
      <c r="VSY10" s="533"/>
      <c r="VSZ10" s="533"/>
      <c r="VTA10" s="533"/>
      <c r="VTB10" s="533"/>
      <c r="VTC10" s="533"/>
      <c r="VTD10" s="533"/>
      <c r="VTE10" s="533"/>
      <c r="VTF10" s="533"/>
      <c r="VTG10" s="533"/>
      <c r="VTH10" s="533"/>
      <c r="VTI10" s="533"/>
      <c r="VTJ10" s="533"/>
      <c r="VTK10" s="533"/>
      <c r="VTL10" s="533"/>
      <c r="VTM10" s="533"/>
      <c r="VTN10" s="533"/>
      <c r="VTO10" s="533"/>
      <c r="VTP10" s="533"/>
      <c r="VTQ10" s="533"/>
      <c r="VTR10" s="533"/>
      <c r="VTS10" s="533"/>
      <c r="VTT10" s="533"/>
      <c r="VTU10" s="533"/>
      <c r="VTV10" s="533"/>
      <c r="VTW10" s="533"/>
      <c r="VTX10" s="533"/>
      <c r="VTY10" s="533"/>
      <c r="VTZ10" s="533"/>
      <c r="VUA10" s="533"/>
      <c r="VUB10" s="533"/>
      <c r="VUC10" s="533"/>
      <c r="VUD10" s="533"/>
      <c r="VUE10" s="533"/>
      <c r="VUF10" s="533"/>
      <c r="VUG10" s="533"/>
      <c r="VUH10" s="533"/>
      <c r="VUI10" s="533"/>
      <c r="VUJ10" s="533"/>
      <c r="VUK10" s="533"/>
      <c r="VUL10" s="533"/>
      <c r="VUM10" s="533"/>
      <c r="VUN10" s="533"/>
      <c r="VUO10" s="533"/>
      <c r="VUP10" s="533"/>
      <c r="VUQ10" s="533"/>
      <c r="VUR10" s="533"/>
      <c r="VUS10" s="533"/>
      <c r="VUT10" s="533"/>
      <c r="VUU10" s="533"/>
      <c r="VUV10" s="533"/>
      <c r="VUW10" s="533"/>
      <c r="VUX10" s="533"/>
      <c r="VUY10" s="533"/>
      <c r="VUZ10" s="533"/>
      <c r="VVA10" s="533"/>
      <c r="VVB10" s="533"/>
      <c r="VVC10" s="533"/>
      <c r="VVD10" s="533"/>
      <c r="VVE10" s="533"/>
      <c r="VVF10" s="533"/>
      <c r="VVG10" s="533"/>
      <c r="VVH10" s="533"/>
      <c r="VVI10" s="533"/>
      <c r="VVJ10" s="533"/>
      <c r="VVK10" s="533"/>
      <c r="VVL10" s="533"/>
      <c r="VVM10" s="533"/>
      <c r="VVN10" s="533"/>
      <c r="VVO10" s="533"/>
      <c r="VVP10" s="533"/>
      <c r="VVQ10" s="533"/>
      <c r="VVR10" s="533"/>
      <c r="VVS10" s="533"/>
      <c r="VVT10" s="533"/>
      <c r="VVU10" s="533"/>
      <c r="VVV10" s="533"/>
      <c r="VVW10" s="533"/>
      <c r="VVX10" s="533"/>
      <c r="VVY10" s="533"/>
      <c r="VVZ10" s="533"/>
      <c r="VWA10" s="533"/>
      <c r="VWB10" s="533"/>
      <c r="VWC10" s="533"/>
      <c r="VWD10" s="533"/>
      <c r="VWE10" s="533"/>
      <c r="VWF10" s="533"/>
      <c r="VWG10" s="533"/>
      <c r="VWH10" s="533"/>
      <c r="VWI10" s="533"/>
      <c r="VWJ10" s="533"/>
      <c r="VWK10" s="533"/>
      <c r="VWL10" s="533"/>
      <c r="VWM10" s="533"/>
      <c r="VWN10" s="533"/>
      <c r="VWO10" s="533"/>
      <c r="VWP10" s="533"/>
      <c r="VWQ10" s="533"/>
      <c r="VWR10" s="533"/>
      <c r="VWS10" s="533"/>
      <c r="VWT10" s="533"/>
      <c r="VWU10" s="533"/>
      <c r="VWV10" s="533"/>
      <c r="VWW10" s="533"/>
      <c r="VWX10" s="533"/>
      <c r="VWY10" s="533"/>
      <c r="VWZ10" s="533"/>
      <c r="VXA10" s="533"/>
      <c r="VXB10" s="533"/>
      <c r="VXC10" s="533"/>
      <c r="VXD10" s="533"/>
      <c r="VXE10" s="533"/>
      <c r="VXF10" s="533"/>
      <c r="VXG10" s="533"/>
      <c r="VXH10" s="533"/>
      <c r="VXI10" s="533"/>
      <c r="VXJ10" s="533"/>
      <c r="VXK10" s="533"/>
      <c r="VXL10" s="533"/>
      <c r="VXM10" s="533"/>
      <c r="VXN10" s="533"/>
      <c r="VXO10" s="533"/>
      <c r="VXP10" s="533"/>
      <c r="VXQ10" s="533"/>
      <c r="VXR10" s="533"/>
      <c r="VXS10" s="533"/>
      <c r="VXT10" s="533"/>
      <c r="VXU10" s="533"/>
      <c r="VXV10" s="533"/>
      <c r="VXW10" s="533"/>
      <c r="VXX10" s="533"/>
      <c r="VXY10" s="533"/>
      <c r="VXZ10" s="533"/>
      <c r="VYA10" s="533"/>
      <c r="VYB10" s="533"/>
      <c r="VYC10" s="533"/>
      <c r="VYD10" s="533"/>
      <c r="VYE10" s="533"/>
      <c r="VYF10" s="533"/>
      <c r="VYG10" s="533"/>
      <c r="VYH10" s="533"/>
      <c r="VYI10" s="533"/>
      <c r="VYJ10" s="533"/>
      <c r="VYK10" s="533"/>
      <c r="VYL10" s="533"/>
      <c r="VYM10" s="533"/>
      <c r="VYN10" s="533"/>
      <c r="VYO10" s="533"/>
      <c r="VYP10" s="533"/>
      <c r="VYQ10" s="533"/>
      <c r="VYR10" s="533"/>
      <c r="VYS10" s="533"/>
      <c r="VYT10" s="533"/>
      <c r="VYU10" s="533"/>
      <c r="VYV10" s="533"/>
      <c r="VYW10" s="533"/>
      <c r="VYX10" s="533"/>
      <c r="VYY10" s="533"/>
      <c r="VYZ10" s="533"/>
      <c r="VZA10" s="533"/>
      <c r="VZB10" s="533"/>
      <c r="VZC10" s="533"/>
      <c r="VZD10" s="533"/>
      <c r="VZE10" s="533"/>
      <c r="VZF10" s="533"/>
      <c r="VZG10" s="533"/>
      <c r="VZH10" s="533"/>
      <c r="VZI10" s="533"/>
      <c r="VZJ10" s="533"/>
      <c r="VZK10" s="533"/>
      <c r="VZL10" s="533"/>
      <c r="VZM10" s="533"/>
      <c r="VZN10" s="533"/>
      <c r="VZO10" s="533"/>
      <c r="VZP10" s="533"/>
      <c r="VZQ10" s="533"/>
      <c r="VZR10" s="533"/>
      <c r="VZS10" s="533"/>
      <c r="VZT10" s="533"/>
      <c r="VZU10" s="533"/>
      <c r="VZV10" s="533"/>
      <c r="VZW10" s="533"/>
      <c r="VZX10" s="533"/>
      <c r="VZY10" s="533"/>
      <c r="VZZ10" s="533"/>
      <c r="WAA10" s="533"/>
      <c r="WAB10" s="533"/>
      <c r="WAC10" s="533"/>
      <c r="WAD10" s="533"/>
      <c r="WAE10" s="533"/>
      <c r="WAF10" s="533"/>
      <c r="WAG10" s="533"/>
      <c r="WAH10" s="533"/>
      <c r="WAI10" s="533"/>
      <c r="WAJ10" s="533"/>
      <c r="WAK10" s="533"/>
      <c r="WAL10" s="533"/>
      <c r="WAM10" s="533"/>
      <c r="WAN10" s="533"/>
      <c r="WAO10" s="533"/>
      <c r="WAP10" s="533"/>
      <c r="WAQ10" s="533"/>
      <c r="WAR10" s="533"/>
      <c r="WAS10" s="533"/>
      <c r="WAT10" s="533"/>
      <c r="WAU10" s="533"/>
      <c r="WAV10" s="533"/>
      <c r="WAW10" s="533"/>
      <c r="WAX10" s="533"/>
      <c r="WAY10" s="533"/>
      <c r="WAZ10" s="533"/>
      <c r="WBA10" s="533"/>
      <c r="WBB10" s="533"/>
      <c r="WBC10" s="533"/>
      <c r="WBD10" s="533"/>
      <c r="WBE10" s="533"/>
      <c r="WBF10" s="533"/>
      <c r="WBG10" s="533"/>
      <c r="WBH10" s="533"/>
      <c r="WBI10" s="533"/>
      <c r="WBJ10" s="533"/>
      <c r="WBK10" s="533"/>
      <c r="WBL10" s="533"/>
      <c r="WBM10" s="533"/>
      <c r="WBN10" s="533"/>
      <c r="WBO10" s="533"/>
      <c r="WBP10" s="533"/>
      <c r="WBQ10" s="533"/>
      <c r="WBR10" s="533"/>
      <c r="WBS10" s="533"/>
      <c r="WBT10" s="533"/>
      <c r="WBU10" s="533"/>
      <c r="WBV10" s="533"/>
      <c r="WBW10" s="533"/>
      <c r="WBX10" s="533"/>
      <c r="WBY10" s="533"/>
      <c r="WBZ10" s="533"/>
      <c r="WCA10" s="533"/>
      <c r="WCB10" s="533"/>
      <c r="WCC10" s="533"/>
      <c r="WCD10" s="533"/>
      <c r="WCE10" s="533"/>
      <c r="WCF10" s="533"/>
      <c r="WCG10" s="533"/>
      <c r="WCH10" s="533"/>
      <c r="WCI10" s="533"/>
      <c r="WCJ10" s="533"/>
      <c r="WCK10" s="533"/>
      <c r="WCL10" s="533"/>
      <c r="WCM10" s="533"/>
      <c r="WCN10" s="533"/>
      <c r="WCO10" s="533"/>
      <c r="WCP10" s="533"/>
      <c r="WCQ10" s="533"/>
      <c r="WCR10" s="533"/>
      <c r="WCS10" s="533"/>
      <c r="WCT10" s="533"/>
      <c r="WCU10" s="533"/>
      <c r="WCV10" s="533"/>
      <c r="WCW10" s="533"/>
      <c r="WCX10" s="533"/>
      <c r="WCY10" s="533"/>
      <c r="WCZ10" s="533"/>
      <c r="WDA10" s="533"/>
      <c r="WDB10" s="533"/>
      <c r="WDC10" s="533"/>
      <c r="WDD10" s="533"/>
      <c r="WDE10" s="533"/>
      <c r="WDF10" s="533"/>
      <c r="WDG10" s="533"/>
      <c r="WDH10" s="533"/>
      <c r="WDI10" s="533"/>
      <c r="WDJ10" s="533"/>
      <c r="WDK10" s="533"/>
      <c r="WDL10" s="533"/>
      <c r="WDM10" s="533"/>
      <c r="WDN10" s="533"/>
      <c r="WDO10" s="533"/>
      <c r="WDP10" s="533"/>
      <c r="WDQ10" s="533"/>
      <c r="WDR10" s="533"/>
      <c r="WDS10" s="533"/>
      <c r="WDT10" s="533"/>
      <c r="WDU10" s="533"/>
      <c r="WDV10" s="533"/>
      <c r="WDW10" s="533"/>
      <c r="WDX10" s="533"/>
      <c r="WDY10" s="533"/>
      <c r="WDZ10" s="533"/>
      <c r="WEA10" s="533"/>
      <c r="WEB10" s="533"/>
      <c r="WEC10" s="533"/>
      <c r="WED10" s="533"/>
      <c r="WEE10" s="533"/>
      <c r="WEF10" s="533"/>
      <c r="WEG10" s="533"/>
      <c r="WEH10" s="533"/>
      <c r="WEI10" s="533"/>
      <c r="WEJ10" s="533"/>
      <c r="WEK10" s="533"/>
      <c r="WEL10" s="533"/>
      <c r="WEM10" s="533"/>
      <c r="WEN10" s="533"/>
      <c r="WEO10" s="533"/>
      <c r="WEP10" s="533"/>
      <c r="WEQ10" s="533"/>
      <c r="WER10" s="533"/>
      <c r="WES10" s="533"/>
      <c r="WET10" s="533"/>
      <c r="WEU10" s="533"/>
      <c r="WEV10" s="533"/>
      <c r="WEW10" s="533"/>
      <c r="WEX10" s="533"/>
      <c r="WEY10" s="533"/>
      <c r="WEZ10" s="533"/>
      <c r="WFA10" s="533"/>
      <c r="WFB10" s="533"/>
      <c r="WFC10" s="533"/>
      <c r="WFD10" s="533"/>
      <c r="WFE10" s="533"/>
      <c r="WFF10" s="533"/>
      <c r="WFG10" s="533"/>
      <c r="WFH10" s="533"/>
      <c r="WFI10" s="533"/>
      <c r="WFJ10" s="533"/>
      <c r="WFK10" s="533"/>
      <c r="WFL10" s="533"/>
      <c r="WFM10" s="533"/>
      <c r="WFN10" s="533"/>
      <c r="WFO10" s="533"/>
      <c r="WFP10" s="533"/>
      <c r="WFQ10" s="533"/>
      <c r="WFR10" s="533"/>
      <c r="WFS10" s="533"/>
      <c r="WFT10" s="533"/>
      <c r="WFU10" s="533"/>
      <c r="WFV10" s="533"/>
      <c r="WFW10" s="533"/>
      <c r="WFX10" s="533"/>
      <c r="WFY10" s="533"/>
      <c r="WFZ10" s="533"/>
      <c r="WGA10" s="533"/>
      <c r="WGB10" s="533"/>
      <c r="WGC10" s="533"/>
      <c r="WGD10" s="533"/>
      <c r="WGE10" s="533"/>
      <c r="WGF10" s="533"/>
      <c r="WGG10" s="533"/>
      <c r="WGH10" s="533"/>
      <c r="WGI10" s="533"/>
      <c r="WGJ10" s="533"/>
      <c r="WGK10" s="533"/>
      <c r="WGL10" s="533"/>
      <c r="WGM10" s="533"/>
      <c r="WGN10" s="533"/>
      <c r="WGO10" s="533"/>
      <c r="WGP10" s="533"/>
      <c r="WGQ10" s="533"/>
      <c r="WGR10" s="533"/>
      <c r="WGS10" s="533"/>
      <c r="WGT10" s="533"/>
      <c r="WGU10" s="533"/>
      <c r="WGV10" s="533"/>
      <c r="WGW10" s="533"/>
      <c r="WGX10" s="533"/>
      <c r="WGY10" s="533"/>
      <c r="WGZ10" s="533"/>
      <c r="WHA10" s="533"/>
      <c r="WHB10" s="533"/>
      <c r="WHC10" s="533"/>
      <c r="WHD10" s="533"/>
      <c r="WHE10" s="533"/>
      <c r="WHF10" s="533"/>
      <c r="WHG10" s="533"/>
      <c r="WHH10" s="533"/>
      <c r="WHI10" s="533"/>
      <c r="WHJ10" s="533"/>
      <c r="WHK10" s="533"/>
      <c r="WHL10" s="533"/>
      <c r="WHM10" s="533"/>
      <c r="WHN10" s="533"/>
      <c r="WHO10" s="533"/>
      <c r="WHP10" s="533"/>
      <c r="WHQ10" s="533"/>
      <c r="WHR10" s="533"/>
      <c r="WHS10" s="533"/>
      <c r="WHT10" s="533"/>
      <c r="WHU10" s="533"/>
      <c r="WHV10" s="533"/>
      <c r="WHW10" s="533"/>
      <c r="WHX10" s="533"/>
      <c r="WHY10" s="533"/>
      <c r="WHZ10" s="533"/>
      <c r="WIA10" s="533"/>
      <c r="WIB10" s="533"/>
      <c r="WIC10" s="533"/>
      <c r="WID10" s="533"/>
      <c r="WIE10" s="533"/>
      <c r="WIF10" s="533"/>
      <c r="WIG10" s="533"/>
      <c r="WIH10" s="533"/>
      <c r="WII10" s="533"/>
      <c r="WIJ10" s="533"/>
      <c r="WIK10" s="533"/>
      <c r="WIL10" s="533"/>
      <c r="WIM10" s="533"/>
      <c r="WIN10" s="533"/>
      <c r="WIO10" s="533"/>
      <c r="WIP10" s="533"/>
      <c r="WIQ10" s="533"/>
      <c r="WIR10" s="533"/>
      <c r="WIS10" s="533"/>
      <c r="WIT10" s="533"/>
      <c r="WIU10" s="533"/>
      <c r="WIV10" s="533"/>
      <c r="WIW10" s="533"/>
      <c r="WIX10" s="533"/>
      <c r="WIY10" s="533"/>
      <c r="WIZ10" s="533"/>
      <c r="WJA10" s="533"/>
      <c r="WJB10" s="533"/>
      <c r="WJC10" s="533"/>
      <c r="WJD10" s="533"/>
      <c r="WJE10" s="533"/>
      <c r="WJF10" s="533"/>
      <c r="WJG10" s="533"/>
      <c r="WJH10" s="533"/>
      <c r="WJI10" s="533"/>
      <c r="WJJ10" s="533"/>
      <c r="WJK10" s="533"/>
      <c r="WJL10" s="533"/>
      <c r="WJM10" s="533"/>
      <c r="WJN10" s="533"/>
      <c r="WJO10" s="533"/>
      <c r="WJP10" s="533"/>
      <c r="WJQ10" s="533"/>
      <c r="WJR10" s="533"/>
      <c r="WJS10" s="533"/>
      <c r="WJT10" s="533"/>
      <c r="WJU10" s="533"/>
      <c r="WJV10" s="533"/>
      <c r="WJW10" s="533"/>
      <c r="WJX10" s="533"/>
      <c r="WJY10" s="533"/>
      <c r="WJZ10" s="533"/>
      <c r="WKA10" s="533"/>
      <c r="WKB10" s="533"/>
      <c r="WKC10" s="533"/>
      <c r="WKD10" s="533"/>
      <c r="WKE10" s="533"/>
      <c r="WKF10" s="533"/>
      <c r="WKG10" s="533"/>
      <c r="WKH10" s="533"/>
      <c r="WKI10" s="533"/>
      <c r="WKJ10" s="533"/>
      <c r="WKK10" s="533"/>
      <c r="WKL10" s="533"/>
      <c r="WKM10" s="533"/>
      <c r="WKN10" s="533"/>
      <c r="WKO10" s="533"/>
      <c r="WKP10" s="533"/>
      <c r="WKQ10" s="533"/>
      <c r="WKR10" s="533"/>
      <c r="WKS10" s="533"/>
      <c r="WKT10" s="533"/>
      <c r="WKU10" s="533"/>
      <c r="WKV10" s="533"/>
      <c r="WKW10" s="533"/>
      <c r="WKX10" s="533"/>
      <c r="WKY10" s="533"/>
      <c r="WKZ10" s="533"/>
      <c r="WLA10" s="533"/>
      <c r="WLB10" s="533"/>
      <c r="WLC10" s="533"/>
      <c r="WLD10" s="533"/>
      <c r="WLE10" s="533"/>
      <c r="WLF10" s="533"/>
      <c r="WLG10" s="533"/>
      <c r="WLH10" s="533"/>
      <c r="WLI10" s="533"/>
      <c r="WLJ10" s="533"/>
      <c r="WLK10" s="533"/>
      <c r="WLL10" s="533"/>
      <c r="WLM10" s="533"/>
      <c r="WLN10" s="533"/>
      <c r="WLO10" s="533"/>
      <c r="WLP10" s="533"/>
      <c r="WLQ10" s="533"/>
      <c r="WLR10" s="533"/>
      <c r="WLS10" s="533"/>
      <c r="WLT10" s="533"/>
      <c r="WLU10" s="533"/>
      <c r="WLV10" s="533"/>
      <c r="WLW10" s="533"/>
      <c r="WLX10" s="533"/>
      <c r="WLY10" s="533"/>
      <c r="WLZ10" s="533"/>
      <c r="WMA10" s="533"/>
      <c r="WMB10" s="533"/>
      <c r="WMC10" s="533"/>
      <c r="WMD10" s="533"/>
      <c r="WME10" s="533"/>
      <c r="WMF10" s="533"/>
      <c r="WMG10" s="533"/>
      <c r="WMH10" s="533"/>
      <c r="WMI10" s="533"/>
      <c r="WMJ10" s="533"/>
      <c r="WMK10" s="533"/>
      <c r="WML10" s="533"/>
      <c r="WMM10" s="533"/>
      <c r="WMN10" s="533"/>
      <c r="WMO10" s="533"/>
      <c r="WMP10" s="533"/>
      <c r="WMQ10" s="533"/>
      <c r="WMR10" s="533"/>
      <c r="WMS10" s="533"/>
      <c r="WMT10" s="533"/>
      <c r="WMU10" s="533"/>
      <c r="WMV10" s="533"/>
      <c r="WMW10" s="533"/>
      <c r="WMX10" s="533"/>
      <c r="WMY10" s="533"/>
      <c r="WMZ10" s="533"/>
      <c r="WNA10" s="533"/>
      <c r="WNB10" s="533"/>
      <c r="WNC10" s="533"/>
      <c r="WND10" s="533"/>
      <c r="WNE10" s="533"/>
      <c r="WNF10" s="533"/>
      <c r="WNG10" s="533"/>
      <c r="WNH10" s="533"/>
      <c r="WNI10" s="533"/>
      <c r="WNJ10" s="533"/>
      <c r="WNK10" s="533"/>
      <c r="WNL10" s="533"/>
      <c r="WNM10" s="533"/>
      <c r="WNN10" s="533"/>
      <c r="WNO10" s="533"/>
      <c r="WNP10" s="533"/>
      <c r="WNQ10" s="533"/>
      <c r="WNR10" s="533"/>
      <c r="WNS10" s="533"/>
      <c r="WNT10" s="533"/>
      <c r="WNU10" s="533"/>
      <c r="WNV10" s="533"/>
      <c r="WNW10" s="533"/>
      <c r="WNX10" s="533"/>
      <c r="WNY10" s="533"/>
      <c r="WNZ10" s="533"/>
      <c r="WOA10" s="533"/>
      <c r="WOB10" s="533"/>
      <c r="WOC10" s="533"/>
      <c r="WOD10" s="533"/>
      <c r="WOE10" s="533"/>
      <c r="WOF10" s="533"/>
      <c r="WOG10" s="533"/>
      <c r="WOH10" s="533"/>
      <c r="WOI10" s="533"/>
      <c r="WOJ10" s="533"/>
      <c r="WOK10" s="533"/>
      <c r="WOL10" s="533"/>
      <c r="WOM10" s="533"/>
      <c r="WON10" s="533"/>
      <c r="WOO10" s="533"/>
      <c r="WOP10" s="533"/>
      <c r="WOQ10" s="533"/>
      <c r="WOR10" s="533"/>
      <c r="WOS10" s="533"/>
      <c r="WOT10" s="533"/>
      <c r="WOU10" s="533"/>
      <c r="WOV10" s="533"/>
      <c r="WOW10" s="533"/>
      <c r="WOX10" s="533"/>
      <c r="WOY10" s="533"/>
      <c r="WOZ10" s="533"/>
      <c r="WPA10" s="533"/>
      <c r="WPB10" s="533"/>
      <c r="WPC10" s="533"/>
      <c r="WPD10" s="533"/>
      <c r="WPE10" s="533"/>
      <c r="WPF10" s="533"/>
      <c r="WPG10" s="533"/>
      <c r="WPH10" s="533"/>
      <c r="WPI10" s="533"/>
      <c r="WPJ10" s="533"/>
      <c r="WPK10" s="533"/>
      <c r="WPL10" s="533"/>
      <c r="WPM10" s="533"/>
      <c r="WPN10" s="533"/>
      <c r="WPO10" s="533"/>
      <c r="WPP10" s="533"/>
      <c r="WPQ10" s="533"/>
      <c r="WPR10" s="533"/>
      <c r="WPS10" s="533"/>
      <c r="WPT10" s="533"/>
      <c r="WPU10" s="533"/>
      <c r="WPV10" s="533"/>
      <c r="WPW10" s="533"/>
      <c r="WPX10" s="533"/>
      <c r="WPY10" s="533"/>
      <c r="WPZ10" s="533"/>
      <c r="WQA10" s="533"/>
      <c r="WQB10" s="533"/>
      <c r="WQC10" s="533"/>
      <c r="WQD10" s="533"/>
      <c r="WQE10" s="533"/>
      <c r="WQF10" s="533"/>
      <c r="WQG10" s="533"/>
      <c r="WQH10" s="533"/>
      <c r="WQI10" s="533"/>
      <c r="WQJ10" s="533"/>
      <c r="WQK10" s="533"/>
      <c r="WQL10" s="533"/>
      <c r="WQM10" s="533"/>
      <c r="WQN10" s="533"/>
      <c r="WQO10" s="533"/>
      <c r="WQP10" s="533"/>
      <c r="WQQ10" s="533"/>
      <c r="WQR10" s="533"/>
      <c r="WQS10" s="533"/>
      <c r="WQT10" s="533"/>
      <c r="WQU10" s="533"/>
      <c r="WQV10" s="533"/>
      <c r="WQW10" s="533"/>
      <c r="WQX10" s="533"/>
      <c r="WQY10" s="533"/>
      <c r="WQZ10" s="533"/>
      <c r="WRA10" s="533"/>
      <c r="WRB10" s="533"/>
      <c r="WRC10" s="533"/>
      <c r="WRD10" s="533"/>
      <c r="WRE10" s="533"/>
      <c r="WRF10" s="533"/>
      <c r="WRG10" s="533"/>
      <c r="WRH10" s="533"/>
      <c r="WRI10" s="533"/>
      <c r="WRJ10" s="533"/>
      <c r="WRK10" s="533"/>
      <c r="WRL10" s="533"/>
      <c r="WRM10" s="533"/>
      <c r="WRN10" s="533"/>
      <c r="WRO10" s="533"/>
      <c r="WRP10" s="533"/>
      <c r="WRQ10" s="533"/>
      <c r="WRR10" s="533"/>
      <c r="WRS10" s="533"/>
      <c r="WRT10" s="533"/>
      <c r="WRU10" s="533"/>
      <c r="WRV10" s="533"/>
      <c r="WRW10" s="533"/>
      <c r="WRX10" s="533"/>
      <c r="WRY10" s="533"/>
      <c r="WRZ10" s="533"/>
      <c r="WSA10" s="533"/>
      <c r="WSB10" s="533"/>
      <c r="WSC10" s="533"/>
      <c r="WSD10" s="533"/>
      <c r="WSE10" s="533"/>
      <c r="WSF10" s="533"/>
      <c r="WSG10" s="533"/>
      <c r="WSH10" s="533"/>
      <c r="WSI10" s="533"/>
      <c r="WSJ10" s="533"/>
      <c r="WSK10" s="533"/>
      <c r="WSL10" s="533"/>
      <c r="WSM10" s="533"/>
      <c r="WSN10" s="533"/>
      <c r="WSO10" s="533"/>
      <c r="WSP10" s="533"/>
      <c r="WSQ10" s="533"/>
      <c r="WSR10" s="533"/>
      <c r="WSS10" s="533"/>
      <c r="WST10" s="533"/>
      <c r="WSU10" s="533"/>
      <c r="WSV10" s="533"/>
      <c r="WSW10" s="533"/>
      <c r="WSX10" s="533"/>
      <c r="WSY10" s="533"/>
      <c r="WSZ10" s="533"/>
      <c r="WTA10" s="533"/>
      <c r="WTB10" s="533"/>
      <c r="WTC10" s="533"/>
      <c r="WTD10" s="533"/>
      <c r="WTE10" s="533"/>
      <c r="WTF10" s="533"/>
      <c r="WTG10" s="533"/>
      <c r="WTH10" s="533"/>
      <c r="WTI10" s="533"/>
      <c r="WTJ10" s="533"/>
      <c r="WTK10" s="533"/>
      <c r="WTL10" s="533"/>
      <c r="WTM10" s="533"/>
      <c r="WTN10" s="533"/>
      <c r="WTO10" s="533"/>
      <c r="WTP10" s="533"/>
      <c r="WTQ10" s="533"/>
      <c r="WTR10" s="533"/>
      <c r="WTS10" s="533"/>
      <c r="WTT10" s="533"/>
      <c r="WTU10" s="533"/>
      <c r="WTV10" s="533"/>
      <c r="WTW10" s="533"/>
      <c r="WTX10" s="533"/>
      <c r="WTY10" s="533"/>
      <c r="WTZ10" s="533"/>
      <c r="WUA10" s="533"/>
      <c r="WUB10" s="533"/>
      <c r="WUC10" s="533"/>
      <c r="WUD10" s="533"/>
      <c r="WUE10" s="533"/>
      <c r="WUF10" s="533"/>
      <c r="WUG10" s="533"/>
      <c r="WUH10" s="533"/>
      <c r="WUI10" s="533"/>
      <c r="WUJ10" s="533"/>
      <c r="WUK10" s="533"/>
      <c r="WUL10" s="533"/>
      <c r="WUM10" s="533"/>
      <c r="WUN10" s="533"/>
      <c r="WUO10" s="533"/>
      <c r="WUP10" s="533"/>
      <c r="WUQ10" s="533"/>
      <c r="WUR10" s="533"/>
      <c r="WUS10" s="533"/>
      <c r="WUT10" s="533"/>
      <c r="WUU10" s="533"/>
      <c r="WUV10" s="533"/>
      <c r="WUW10" s="533"/>
      <c r="WUX10" s="533"/>
      <c r="WUY10" s="533"/>
      <c r="WUZ10" s="533"/>
      <c r="WVA10" s="533"/>
      <c r="WVB10" s="533"/>
      <c r="WVC10" s="533"/>
      <c r="WVD10" s="533"/>
      <c r="WVE10" s="533"/>
      <c r="WVF10" s="533"/>
      <c r="WVG10" s="533"/>
      <c r="WVH10" s="533"/>
      <c r="WVI10" s="533"/>
      <c r="WVJ10" s="533"/>
      <c r="WVK10" s="533"/>
      <c r="WVL10" s="533"/>
      <c r="WVM10" s="533"/>
      <c r="WVN10" s="533"/>
      <c r="WVO10" s="533"/>
      <c r="WVP10" s="533"/>
      <c r="WVQ10" s="533"/>
      <c r="WVR10" s="533"/>
      <c r="WVS10" s="533"/>
      <c r="WVT10" s="533"/>
      <c r="WVU10" s="533"/>
      <c r="WVV10" s="533"/>
      <c r="WVW10" s="533"/>
      <c r="WVX10" s="533"/>
      <c r="WVY10" s="533"/>
      <c r="WVZ10" s="533"/>
      <c r="WWA10" s="533"/>
      <c r="WWB10" s="533"/>
      <c r="WWC10" s="533"/>
      <c r="WWD10" s="533"/>
      <c r="WWE10" s="533"/>
      <c r="WWF10" s="533"/>
      <c r="WWG10" s="533"/>
      <c r="WWH10" s="533"/>
      <c r="WWI10" s="533"/>
      <c r="WWJ10" s="533"/>
      <c r="WWK10" s="533"/>
      <c r="WWL10" s="533"/>
      <c r="WWM10" s="533"/>
      <c r="WWN10" s="533"/>
      <c r="WWO10" s="533"/>
      <c r="WWP10" s="533"/>
      <c r="WWQ10" s="533"/>
      <c r="WWR10" s="533"/>
      <c r="WWS10" s="533"/>
      <c r="WWT10" s="533"/>
      <c r="WWU10" s="533"/>
      <c r="WWV10" s="533"/>
      <c r="WWW10" s="533"/>
      <c r="WWX10" s="533"/>
      <c r="WWY10" s="533"/>
      <c r="WWZ10" s="533"/>
      <c r="WXA10" s="533"/>
      <c r="WXB10" s="533"/>
      <c r="WXC10" s="533"/>
      <c r="WXD10" s="533"/>
      <c r="WXE10" s="533"/>
      <c r="WXF10" s="533"/>
      <c r="WXG10" s="533"/>
      <c r="WXH10" s="533"/>
      <c r="WXI10" s="533"/>
      <c r="WXJ10" s="533"/>
      <c r="WXK10" s="533"/>
      <c r="WXL10" s="533"/>
      <c r="WXM10" s="533"/>
      <c r="WXN10" s="533"/>
      <c r="WXO10" s="533"/>
      <c r="WXP10" s="533"/>
      <c r="WXQ10" s="533"/>
      <c r="WXR10" s="533"/>
      <c r="WXS10" s="533"/>
      <c r="WXT10" s="533"/>
      <c r="WXU10" s="533"/>
      <c r="WXV10" s="533"/>
      <c r="WXW10" s="533"/>
      <c r="WXX10" s="533"/>
      <c r="WXY10" s="533"/>
      <c r="WXZ10" s="533"/>
      <c r="WYA10" s="533"/>
      <c r="WYB10" s="533"/>
      <c r="WYC10" s="533"/>
      <c r="WYD10" s="533"/>
      <c r="WYE10" s="533"/>
      <c r="WYF10" s="533"/>
      <c r="WYG10" s="533"/>
      <c r="WYH10" s="533"/>
      <c r="WYI10" s="533"/>
      <c r="WYJ10" s="533"/>
      <c r="WYK10" s="533"/>
      <c r="WYL10" s="533"/>
      <c r="WYM10" s="533"/>
      <c r="WYN10" s="533"/>
      <c r="WYO10" s="533"/>
      <c r="WYP10" s="533"/>
      <c r="WYQ10" s="533"/>
      <c r="WYR10" s="533"/>
      <c r="WYS10" s="533"/>
      <c r="WYT10" s="533"/>
      <c r="WYU10" s="533"/>
      <c r="WYV10" s="533"/>
      <c r="WYW10" s="533"/>
      <c r="WYX10" s="533"/>
      <c r="WYY10" s="533"/>
      <c r="WYZ10" s="533"/>
      <c r="WZA10" s="533"/>
      <c r="WZB10" s="533"/>
      <c r="WZC10" s="533"/>
      <c r="WZD10" s="533"/>
      <c r="WZE10" s="533"/>
      <c r="WZF10" s="533"/>
      <c r="WZG10" s="533"/>
      <c r="WZH10" s="533"/>
      <c r="WZI10" s="533"/>
      <c r="WZJ10" s="533"/>
      <c r="WZK10" s="533"/>
      <c r="WZL10" s="533"/>
      <c r="WZM10" s="533"/>
      <c r="WZN10" s="533"/>
      <c r="WZO10" s="533"/>
      <c r="WZP10" s="533"/>
      <c r="WZQ10" s="533"/>
      <c r="WZR10" s="533"/>
      <c r="WZS10" s="533"/>
      <c r="WZT10" s="533"/>
      <c r="WZU10" s="533"/>
      <c r="WZV10" s="533"/>
      <c r="WZW10" s="533"/>
      <c r="WZX10" s="533"/>
      <c r="WZY10" s="533"/>
      <c r="WZZ10" s="533"/>
      <c r="XAA10" s="533"/>
      <c r="XAB10" s="533"/>
      <c r="XAC10" s="533"/>
      <c r="XAD10" s="533"/>
      <c r="XAE10" s="533"/>
      <c r="XAF10" s="533"/>
      <c r="XAG10" s="533"/>
      <c r="XAH10" s="533"/>
      <c r="XAI10" s="533"/>
      <c r="XAJ10" s="533"/>
      <c r="XAK10" s="533"/>
      <c r="XAL10" s="533"/>
      <c r="XAM10" s="533"/>
      <c r="XAN10" s="533"/>
      <c r="XAO10" s="533"/>
      <c r="XAP10" s="533"/>
      <c r="XAQ10" s="533"/>
      <c r="XAR10" s="533"/>
      <c r="XAS10" s="533"/>
      <c r="XAT10" s="533"/>
      <c r="XAU10" s="533"/>
      <c r="XAV10" s="533"/>
      <c r="XAW10" s="533"/>
      <c r="XAX10" s="533"/>
      <c r="XAY10" s="533"/>
      <c r="XAZ10" s="533"/>
      <c r="XBA10" s="533"/>
      <c r="XBB10" s="533"/>
      <c r="XBC10" s="533"/>
      <c r="XBD10" s="533"/>
      <c r="XBE10" s="533"/>
      <c r="XBF10" s="533"/>
      <c r="XBG10" s="533"/>
      <c r="XBH10" s="533"/>
      <c r="XBI10" s="533"/>
      <c r="XBJ10" s="533"/>
      <c r="XBK10" s="533"/>
      <c r="XBL10" s="533"/>
      <c r="XBM10" s="533"/>
      <c r="XBN10" s="533"/>
      <c r="XBO10" s="533"/>
      <c r="XBP10" s="533"/>
      <c r="XBQ10" s="533"/>
      <c r="XBR10" s="533"/>
      <c r="XBS10" s="533"/>
      <c r="XBT10" s="533"/>
      <c r="XBU10" s="533"/>
      <c r="XBV10" s="533"/>
      <c r="XBW10" s="533"/>
      <c r="XBX10" s="533"/>
      <c r="XBY10" s="533"/>
      <c r="XBZ10" s="533"/>
      <c r="XCA10" s="533"/>
      <c r="XCB10" s="533"/>
      <c r="XCC10" s="533"/>
      <c r="XCD10" s="533"/>
      <c r="XCE10" s="533"/>
      <c r="XCF10" s="533"/>
      <c r="XCG10" s="533"/>
      <c r="XCH10" s="533"/>
      <c r="XCI10" s="533"/>
      <c r="XCJ10" s="533"/>
      <c r="XCK10" s="533"/>
      <c r="XCL10" s="533"/>
      <c r="XCM10" s="533"/>
      <c r="XCN10" s="533"/>
      <c r="XCO10" s="533"/>
      <c r="XCP10" s="533"/>
      <c r="XCQ10" s="533"/>
      <c r="XCR10" s="533"/>
      <c r="XCS10" s="533"/>
      <c r="XCT10" s="533"/>
      <c r="XCU10" s="533"/>
      <c r="XCV10" s="533"/>
      <c r="XCW10" s="533"/>
      <c r="XCX10" s="533"/>
      <c r="XCY10" s="533"/>
      <c r="XCZ10" s="533"/>
      <c r="XDA10" s="533"/>
      <c r="XDB10" s="533"/>
      <c r="XDC10" s="533"/>
      <c r="XDD10" s="533"/>
      <c r="XDE10" s="533"/>
      <c r="XDF10" s="533"/>
      <c r="XDG10" s="533"/>
      <c r="XDH10" s="533"/>
      <c r="XDI10" s="533"/>
      <c r="XDJ10" s="533"/>
      <c r="XDK10" s="533"/>
      <c r="XDL10" s="533"/>
      <c r="XDM10" s="533"/>
      <c r="XDN10" s="533"/>
      <c r="XDO10" s="533"/>
      <c r="XDP10" s="533"/>
      <c r="XDQ10" s="533"/>
      <c r="XDR10" s="533"/>
      <c r="XDS10" s="533"/>
      <c r="XDT10" s="533"/>
      <c r="XDU10" s="533"/>
      <c r="XDV10" s="533"/>
      <c r="XDW10" s="533"/>
      <c r="XDX10" s="533"/>
      <c r="XDY10" s="533"/>
      <c r="XDZ10" s="533"/>
      <c r="XEA10" s="533"/>
      <c r="XEB10" s="533"/>
      <c r="XEC10" s="533"/>
      <c r="XED10" s="533"/>
      <c r="XEE10" s="533"/>
      <c r="XEF10" s="533"/>
      <c r="XEG10" s="533"/>
      <c r="XEH10" s="533"/>
      <c r="XEI10" s="533"/>
      <c r="XEJ10" s="533"/>
      <c r="XEK10" s="533"/>
      <c r="XEL10" s="533"/>
      <c r="XEM10" s="533"/>
      <c r="XEN10" s="533"/>
      <c r="XEO10" s="533"/>
      <c r="XEP10" s="533"/>
      <c r="XEQ10" s="533"/>
      <c r="XER10" s="533"/>
      <c r="XES10" s="533"/>
      <c r="XET10" s="533"/>
      <c r="XEU10" s="533"/>
      <c r="XEV10" s="533"/>
      <c r="XEW10" s="533"/>
      <c r="XEX10" s="533"/>
      <c r="XEY10" s="533"/>
      <c r="XEZ10" s="533"/>
      <c r="XFA10" s="533"/>
      <c r="XFB10" s="533"/>
      <c r="XFC10" s="533"/>
      <c r="XFD10" s="533"/>
    </row>
    <row r="11">
      <c r="B11" s="186"/>
      <c r="C11" s="191" t="s">
        <v>15029</v>
      </c>
      <c r="D11" s="534" t="s">
        <v>15026</v>
      </c>
      <c r="E11" s="35" t="s">
        <v>15027</v>
      </c>
      <c r="F11" s="191" t="s">
        <v>13058</v>
      </c>
      <c r="G11" s="191" t="s">
        <v>29</v>
      </c>
      <c r="H11" s="191" t="s">
        <v>30</v>
      </c>
      <c r="I11" s="191" t="s">
        <v>14221</v>
      </c>
      <c r="J11" s="191" t="s">
        <v>14221</v>
      </c>
      <c r="K11" s="186">
        <f>1789+501</f>
        <v>2290</v>
      </c>
      <c r="L11" s="535" t="s">
        <v>15023</v>
      </c>
      <c r="M11" s="503" t="s">
        <v>15028</v>
      </c>
      <c r="N11" s="503" t="s">
        <v>9404</v>
      </c>
      <c r="O11" s="503">
        <v>1988.0</v>
      </c>
      <c r="P11" s="503">
        <v>33.0</v>
      </c>
      <c r="Q11" s="536">
        <v>1.0</v>
      </c>
      <c r="R11" s="194">
        <v>1.0</v>
      </c>
    </row>
    <row r="12">
      <c r="B12" s="186"/>
      <c r="C12" s="191" t="s">
        <v>15029</v>
      </c>
      <c r="D12" s="534" t="s">
        <v>15026</v>
      </c>
      <c r="E12" s="35" t="s">
        <v>15027</v>
      </c>
      <c r="F12" s="191" t="s">
        <v>13058</v>
      </c>
      <c r="G12" s="191" t="s">
        <v>29</v>
      </c>
      <c r="H12" s="191" t="s">
        <v>30</v>
      </c>
      <c r="I12" s="191" t="s">
        <v>14221</v>
      </c>
      <c r="J12" s="191" t="s">
        <v>14221</v>
      </c>
      <c r="K12" s="186">
        <f>1783+501</f>
        <v>2284</v>
      </c>
      <c r="L12" s="535" t="s">
        <v>15023</v>
      </c>
      <c r="M12" s="503" t="s">
        <v>15028</v>
      </c>
      <c r="N12" s="503" t="s">
        <v>9404</v>
      </c>
      <c r="O12" s="503">
        <v>1988.0</v>
      </c>
      <c r="P12" s="503">
        <v>33.0</v>
      </c>
      <c r="Q12" s="536">
        <v>1.0</v>
      </c>
      <c r="R12" s="194">
        <v>1.0</v>
      </c>
    </row>
    <row r="13">
      <c r="B13" s="433"/>
      <c r="C13" s="433"/>
      <c r="D13" s="433"/>
      <c r="E13" s="434"/>
      <c r="F13" s="433"/>
      <c r="G13" s="433"/>
      <c r="H13" s="433"/>
      <c r="I13" s="433"/>
      <c r="J13" s="433"/>
      <c r="K13" s="433"/>
      <c r="L13" s="433"/>
      <c r="M13" s="433"/>
      <c r="N13" s="538"/>
      <c r="O13" s="433"/>
      <c r="P13" s="433"/>
      <c r="Q13" s="433"/>
      <c r="R13" s="471"/>
    </row>
    <row r="14">
      <c r="B14" s="449"/>
      <c r="C14" s="449"/>
      <c r="D14" s="450"/>
      <c r="E14" s="523"/>
      <c r="F14" s="450"/>
      <c r="G14" s="450"/>
      <c r="H14" s="450"/>
      <c r="I14" s="450"/>
      <c r="J14" s="450"/>
      <c r="K14" s="450"/>
      <c r="L14" s="450"/>
      <c r="M14" s="450"/>
      <c r="N14" s="15" t="s">
        <v>13862</v>
      </c>
      <c r="O14" s="16"/>
      <c r="P14" s="17"/>
      <c r="Q14" s="452">
        <f>SUM(Q6:Q12)</f>
        <v>13</v>
      </c>
      <c r="R14" s="539">
        <v>6.0</v>
      </c>
    </row>
    <row r="15">
      <c r="B15" s="454"/>
      <c r="C15" s="455"/>
      <c r="D15" s="455"/>
      <c r="E15" s="455"/>
      <c r="F15" s="455"/>
      <c r="G15" s="455"/>
      <c r="H15" s="455"/>
      <c r="I15" s="455"/>
      <c r="J15" s="455"/>
      <c r="K15" s="455"/>
      <c r="L15" s="455"/>
      <c r="M15" s="455"/>
      <c r="N15" s="455"/>
      <c r="O15" s="455"/>
      <c r="P15" s="455"/>
      <c r="Q15" s="456"/>
      <c r="R15" s="471"/>
    </row>
    <row r="16">
      <c r="B16" s="461"/>
      <c r="C16" s="461"/>
      <c r="D16" s="461"/>
      <c r="E16" s="461"/>
      <c r="F16" s="461"/>
      <c r="G16" s="461"/>
      <c r="H16" s="461"/>
      <c r="I16" s="461"/>
      <c r="J16" s="461"/>
      <c r="K16" s="461"/>
      <c r="L16" s="461"/>
      <c r="M16" s="461"/>
      <c r="N16" s="461"/>
      <c r="O16" s="461"/>
      <c r="P16" s="461"/>
      <c r="Q16" s="457"/>
      <c r="R16" s="471"/>
    </row>
    <row r="17">
      <c r="B17" s="461"/>
      <c r="C17" s="461"/>
      <c r="D17" s="461"/>
      <c r="E17" s="461"/>
      <c r="F17" s="461"/>
      <c r="G17" s="461"/>
      <c r="H17" s="461"/>
      <c r="I17" s="461"/>
      <c r="J17" s="461"/>
      <c r="K17" s="461"/>
      <c r="L17" s="461"/>
      <c r="M17" s="461"/>
      <c r="N17" s="461"/>
      <c r="O17" s="461"/>
      <c r="P17" s="461"/>
      <c r="Q17" s="457"/>
      <c r="R17" s="471"/>
    </row>
    <row r="18">
      <c r="A18" s="457" t="s">
        <v>14257</v>
      </c>
      <c r="B18" s="6"/>
      <c r="C18" s="6"/>
      <c r="D18" s="6"/>
      <c r="E18" s="6"/>
      <c r="F18" s="6"/>
      <c r="G18" s="6"/>
      <c r="H18" s="6"/>
      <c r="I18" s="6"/>
      <c r="J18" s="6"/>
      <c r="K18" s="6"/>
      <c r="L18" s="6"/>
      <c r="M18" s="6"/>
      <c r="N18" s="6"/>
      <c r="O18" s="6"/>
      <c r="P18" s="7"/>
      <c r="Q18" s="457" t="s">
        <v>14257</v>
      </c>
      <c r="R18" s="6"/>
      <c r="S18" s="6"/>
      <c r="T18" s="6"/>
      <c r="U18" s="6"/>
      <c r="V18" s="6"/>
      <c r="W18" s="6"/>
      <c r="X18" s="6"/>
      <c r="Y18" s="6"/>
      <c r="Z18" s="6"/>
      <c r="AA18" s="6"/>
      <c r="AB18" s="6"/>
      <c r="AC18" s="6"/>
      <c r="AD18" s="6"/>
      <c r="AE18" s="6"/>
      <c r="AF18" s="6"/>
      <c r="AG18" s="457" t="s">
        <v>14257</v>
      </c>
      <c r="AH18" s="6"/>
      <c r="AI18" s="6"/>
      <c r="AJ18" s="6"/>
      <c r="AK18" s="6"/>
      <c r="AL18" s="6"/>
      <c r="AM18" s="6"/>
      <c r="AN18" s="6"/>
      <c r="AO18" s="6"/>
      <c r="AP18" s="6"/>
      <c r="AQ18" s="6"/>
      <c r="AR18" s="6"/>
      <c r="AS18" s="6"/>
      <c r="AT18" s="6"/>
      <c r="AU18" s="6"/>
      <c r="AV18" s="7"/>
      <c r="AW18" s="457" t="s">
        <v>14257</v>
      </c>
      <c r="AX18" s="6"/>
      <c r="AY18" s="6"/>
      <c r="AZ18" s="6"/>
      <c r="BA18" s="6"/>
      <c r="BB18" s="6"/>
      <c r="BC18" s="6"/>
      <c r="BD18" s="6"/>
      <c r="BE18" s="6"/>
      <c r="BF18" s="6"/>
      <c r="BG18" s="6"/>
      <c r="BH18" s="6"/>
      <c r="BI18" s="6"/>
      <c r="BJ18" s="6"/>
      <c r="BK18" s="6"/>
      <c r="BL18" s="7"/>
      <c r="BM18" s="457" t="s">
        <v>14257</v>
      </c>
      <c r="BN18" s="6"/>
      <c r="BO18" s="6"/>
      <c r="BP18" s="6"/>
      <c r="BQ18" s="6"/>
      <c r="BR18" s="6"/>
      <c r="BS18" s="6"/>
      <c r="BT18" s="6"/>
      <c r="BU18" s="6"/>
      <c r="BV18" s="6"/>
      <c r="BW18" s="6"/>
      <c r="BX18" s="6"/>
      <c r="BY18" s="6"/>
      <c r="BZ18" s="6"/>
      <c r="CA18" s="6"/>
      <c r="CB18" s="7"/>
      <c r="CC18" s="457" t="s">
        <v>14257</v>
      </c>
      <c r="CD18" s="6"/>
      <c r="CE18" s="6"/>
      <c r="CF18" s="6"/>
      <c r="CG18" s="6"/>
      <c r="CH18" s="6"/>
      <c r="CI18" s="6"/>
      <c r="CJ18" s="6"/>
      <c r="CK18" s="6"/>
      <c r="CL18" s="6"/>
      <c r="CM18" s="6"/>
      <c r="CN18" s="6"/>
      <c r="CO18" s="6"/>
      <c r="CP18" s="6"/>
      <c r="CQ18" s="6"/>
      <c r="CR18" s="7"/>
      <c r="CS18" s="457" t="s">
        <v>14257</v>
      </c>
      <c r="CT18" s="6"/>
      <c r="CU18" s="6"/>
      <c r="CV18" s="6"/>
      <c r="CW18" s="6"/>
      <c r="CX18" s="6"/>
      <c r="CY18" s="6"/>
      <c r="CZ18" s="6"/>
      <c r="DA18" s="6"/>
      <c r="DB18" s="6"/>
      <c r="DC18" s="6"/>
      <c r="DD18" s="6"/>
      <c r="DE18" s="6"/>
      <c r="DF18" s="6"/>
      <c r="DG18" s="6"/>
      <c r="DH18" s="7"/>
      <c r="DI18" s="457" t="s">
        <v>14257</v>
      </c>
      <c r="DJ18" s="6"/>
      <c r="DK18" s="6"/>
      <c r="DL18" s="6"/>
      <c r="DM18" s="6"/>
      <c r="DN18" s="6"/>
      <c r="DO18" s="6"/>
      <c r="DP18" s="6"/>
      <c r="DQ18" s="6"/>
      <c r="DR18" s="6"/>
      <c r="DS18" s="6"/>
      <c r="DT18" s="6"/>
      <c r="DU18" s="6"/>
      <c r="DV18" s="6"/>
      <c r="DW18" s="6"/>
      <c r="DX18" s="7"/>
      <c r="DY18" s="457" t="s">
        <v>14257</v>
      </c>
      <c r="DZ18" s="6"/>
      <c r="EA18" s="6"/>
      <c r="EB18" s="6"/>
      <c r="EC18" s="6"/>
      <c r="ED18" s="6"/>
      <c r="EE18" s="6"/>
      <c r="EF18" s="6"/>
      <c r="EG18" s="6"/>
      <c r="EH18" s="6"/>
      <c r="EI18" s="6"/>
      <c r="EJ18" s="6"/>
      <c r="EK18" s="6"/>
      <c r="EL18" s="6"/>
      <c r="EM18" s="6"/>
      <c r="EN18" s="7"/>
      <c r="EO18" s="457" t="s">
        <v>14257</v>
      </c>
      <c r="EP18" s="6"/>
      <c r="EQ18" s="6"/>
      <c r="ER18" s="6"/>
      <c r="ES18" s="6"/>
      <c r="ET18" s="6"/>
      <c r="EU18" s="6"/>
      <c r="EV18" s="6"/>
      <c r="EW18" s="6"/>
      <c r="EX18" s="6"/>
      <c r="EY18" s="6"/>
      <c r="EZ18" s="6"/>
      <c r="FA18" s="6"/>
      <c r="FB18" s="6"/>
      <c r="FC18" s="6"/>
      <c r="FD18" s="7"/>
      <c r="FE18" s="457" t="s">
        <v>14257</v>
      </c>
      <c r="FF18" s="6"/>
      <c r="FG18" s="6"/>
      <c r="FH18" s="6"/>
      <c r="FI18" s="6"/>
      <c r="FJ18" s="6"/>
      <c r="FK18" s="6"/>
      <c r="FL18" s="6"/>
      <c r="FM18" s="6"/>
      <c r="FN18" s="6"/>
      <c r="FO18" s="6"/>
      <c r="FP18" s="6"/>
      <c r="FQ18" s="6"/>
      <c r="FR18" s="6"/>
      <c r="FS18" s="6"/>
      <c r="FT18" s="7"/>
      <c r="FU18" s="457" t="s">
        <v>14257</v>
      </c>
      <c r="FV18" s="6"/>
      <c r="FW18" s="6"/>
      <c r="FX18" s="6"/>
      <c r="FY18" s="6"/>
      <c r="FZ18" s="6"/>
      <c r="GA18" s="6"/>
      <c r="GB18" s="6"/>
      <c r="GC18" s="6"/>
      <c r="GD18" s="6"/>
      <c r="GE18" s="6"/>
      <c r="GF18" s="6"/>
      <c r="GG18" s="6"/>
      <c r="GH18" s="6"/>
      <c r="GI18" s="6"/>
      <c r="GJ18" s="7"/>
      <c r="GK18" s="457" t="s">
        <v>14257</v>
      </c>
      <c r="GL18" s="6"/>
      <c r="GM18" s="6"/>
      <c r="GN18" s="6"/>
      <c r="GO18" s="6"/>
      <c r="GP18" s="6"/>
      <c r="GQ18" s="6"/>
      <c r="GR18" s="6"/>
      <c r="GS18" s="6"/>
      <c r="GT18" s="6"/>
      <c r="GU18" s="6"/>
      <c r="GV18" s="6"/>
      <c r="GW18" s="6"/>
      <c r="GX18" s="6"/>
      <c r="GY18" s="6"/>
      <c r="GZ18" s="7"/>
      <c r="HA18" s="457" t="s">
        <v>14257</v>
      </c>
      <c r="HB18" s="6"/>
      <c r="HC18" s="6"/>
      <c r="HD18" s="6"/>
      <c r="HE18" s="6"/>
      <c r="HF18" s="6"/>
      <c r="HG18" s="6"/>
      <c r="HH18" s="6"/>
      <c r="HI18" s="6"/>
      <c r="HJ18" s="6"/>
      <c r="HK18" s="6"/>
      <c r="HL18" s="6"/>
      <c r="HM18" s="6"/>
      <c r="HN18" s="6"/>
      <c r="HO18" s="6"/>
      <c r="HP18" s="7"/>
      <c r="HQ18" s="457" t="s">
        <v>14257</v>
      </c>
      <c r="HR18" s="6"/>
      <c r="HS18" s="6"/>
      <c r="HT18" s="6"/>
      <c r="HU18" s="6"/>
      <c r="HV18" s="6"/>
      <c r="HW18" s="6"/>
      <c r="HX18" s="6"/>
      <c r="HY18" s="6"/>
      <c r="HZ18" s="6"/>
      <c r="IA18" s="6"/>
      <c r="IB18" s="6"/>
      <c r="IC18" s="6"/>
      <c r="ID18" s="6"/>
      <c r="IE18" s="6"/>
      <c r="IF18" s="7"/>
      <c r="IG18" s="457" t="s">
        <v>14257</v>
      </c>
      <c r="IH18" s="6"/>
      <c r="II18" s="6"/>
      <c r="IJ18" s="6"/>
      <c r="IK18" s="6"/>
      <c r="IL18" s="6"/>
      <c r="IM18" s="6"/>
      <c r="IN18" s="6"/>
      <c r="IO18" s="6"/>
      <c r="IP18" s="6"/>
      <c r="IQ18" s="6"/>
      <c r="IR18" s="6"/>
      <c r="IS18" s="6"/>
      <c r="IT18" s="6"/>
      <c r="IU18" s="6"/>
      <c r="IV18" s="7"/>
      <c r="IW18" s="457" t="s">
        <v>14257</v>
      </c>
      <c r="IX18" s="6"/>
      <c r="IY18" s="6"/>
      <c r="IZ18" s="6"/>
      <c r="JA18" s="6"/>
      <c r="JB18" s="6"/>
      <c r="JC18" s="6"/>
      <c r="JD18" s="6"/>
      <c r="JE18" s="6"/>
      <c r="JF18" s="6"/>
      <c r="JG18" s="6"/>
      <c r="JH18" s="6"/>
      <c r="JI18" s="6"/>
      <c r="JJ18" s="6"/>
      <c r="JK18" s="6"/>
      <c r="JL18" s="7"/>
      <c r="JM18" s="457" t="s">
        <v>14257</v>
      </c>
      <c r="JN18" s="6"/>
      <c r="JO18" s="6"/>
      <c r="JP18" s="6"/>
      <c r="JQ18" s="6"/>
      <c r="JR18" s="6"/>
      <c r="JS18" s="6"/>
      <c r="JT18" s="6"/>
      <c r="JU18" s="6"/>
      <c r="JV18" s="6"/>
      <c r="JW18" s="6"/>
      <c r="JX18" s="6"/>
      <c r="JY18" s="6"/>
      <c r="JZ18" s="6"/>
      <c r="KA18" s="6"/>
      <c r="KB18" s="7"/>
      <c r="KC18" s="457" t="s">
        <v>14257</v>
      </c>
      <c r="KD18" s="6"/>
      <c r="KE18" s="6"/>
      <c r="KF18" s="6"/>
      <c r="KG18" s="6"/>
      <c r="KH18" s="6"/>
      <c r="KI18" s="6"/>
      <c r="KJ18" s="6"/>
      <c r="KK18" s="6"/>
      <c r="KL18" s="6"/>
      <c r="KM18" s="6"/>
      <c r="KN18" s="6"/>
      <c r="KO18" s="6"/>
      <c r="KP18" s="6"/>
      <c r="KQ18" s="6"/>
      <c r="KR18" s="7"/>
      <c r="KS18" s="457" t="s">
        <v>14257</v>
      </c>
      <c r="KT18" s="6"/>
      <c r="KU18" s="6"/>
      <c r="KV18" s="6"/>
      <c r="KW18" s="6"/>
      <c r="KX18" s="6"/>
      <c r="KY18" s="6"/>
      <c r="KZ18" s="6"/>
      <c r="LA18" s="6"/>
      <c r="LB18" s="6"/>
      <c r="LC18" s="6"/>
      <c r="LD18" s="6"/>
      <c r="LE18" s="6"/>
      <c r="LF18" s="6"/>
      <c r="LG18" s="6"/>
      <c r="LH18" s="7"/>
      <c r="LI18" s="457" t="s">
        <v>14257</v>
      </c>
      <c r="LJ18" s="6"/>
      <c r="LK18" s="6"/>
      <c r="LL18" s="6"/>
      <c r="LM18" s="6"/>
      <c r="LN18" s="6"/>
      <c r="LO18" s="6"/>
      <c r="LP18" s="6"/>
      <c r="LQ18" s="6"/>
      <c r="LR18" s="6"/>
      <c r="LS18" s="6"/>
      <c r="LT18" s="6"/>
      <c r="LU18" s="6"/>
      <c r="LV18" s="6"/>
      <c r="LW18" s="6"/>
      <c r="LX18" s="7"/>
      <c r="LY18" s="457" t="s">
        <v>14257</v>
      </c>
      <c r="LZ18" s="6"/>
      <c r="MA18" s="6"/>
      <c r="MB18" s="6"/>
      <c r="MC18" s="6"/>
      <c r="MD18" s="6"/>
      <c r="ME18" s="6"/>
      <c r="MF18" s="6"/>
      <c r="MG18" s="6"/>
      <c r="MH18" s="6"/>
      <c r="MI18" s="6"/>
      <c r="MJ18" s="6"/>
      <c r="MK18" s="6"/>
      <c r="ML18" s="6"/>
      <c r="MM18" s="6"/>
      <c r="MN18" s="7"/>
      <c r="MO18" s="457" t="s">
        <v>14257</v>
      </c>
      <c r="MP18" s="6"/>
      <c r="MQ18" s="6"/>
      <c r="MR18" s="6"/>
      <c r="MS18" s="6"/>
      <c r="MT18" s="6"/>
      <c r="MU18" s="6"/>
      <c r="MV18" s="6"/>
      <c r="MW18" s="6"/>
      <c r="MX18" s="6"/>
      <c r="MY18" s="6"/>
      <c r="MZ18" s="6"/>
      <c r="NA18" s="6"/>
      <c r="NB18" s="6"/>
      <c r="NC18" s="6"/>
      <c r="ND18" s="7"/>
      <c r="NE18" s="457" t="s">
        <v>14257</v>
      </c>
      <c r="NF18" s="6"/>
      <c r="NG18" s="6"/>
      <c r="NH18" s="6"/>
      <c r="NI18" s="6"/>
      <c r="NJ18" s="6"/>
      <c r="NK18" s="6"/>
      <c r="NL18" s="6"/>
      <c r="NM18" s="6"/>
      <c r="NN18" s="6"/>
      <c r="NO18" s="6"/>
      <c r="NP18" s="6"/>
      <c r="NQ18" s="6"/>
      <c r="NR18" s="6"/>
      <c r="NS18" s="6"/>
      <c r="NT18" s="7"/>
      <c r="NU18" s="457" t="s">
        <v>14257</v>
      </c>
      <c r="NV18" s="6"/>
      <c r="NW18" s="6"/>
      <c r="NX18" s="6"/>
      <c r="NY18" s="6"/>
      <c r="NZ18" s="6"/>
      <c r="OA18" s="6"/>
      <c r="OB18" s="6"/>
      <c r="OC18" s="6"/>
      <c r="OD18" s="6"/>
      <c r="OE18" s="6"/>
      <c r="OF18" s="6"/>
      <c r="OG18" s="6"/>
      <c r="OH18" s="6"/>
      <c r="OI18" s="6"/>
      <c r="OJ18" s="7"/>
      <c r="OK18" s="457" t="s">
        <v>14257</v>
      </c>
      <c r="OL18" s="6"/>
      <c r="OM18" s="6"/>
      <c r="ON18" s="6"/>
      <c r="OO18" s="6"/>
      <c r="OP18" s="6"/>
      <c r="OQ18" s="6"/>
      <c r="OR18" s="6"/>
      <c r="OS18" s="6"/>
      <c r="OT18" s="6"/>
      <c r="OU18" s="6"/>
      <c r="OV18" s="6"/>
      <c r="OW18" s="6"/>
      <c r="OX18" s="6"/>
      <c r="OY18" s="6"/>
      <c r="OZ18" s="7"/>
      <c r="PA18" s="457" t="s">
        <v>14257</v>
      </c>
      <c r="PB18" s="6"/>
      <c r="PC18" s="6"/>
      <c r="PD18" s="6"/>
      <c r="PE18" s="6"/>
      <c r="PF18" s="6"/>
      <c r="PG18" s="6"/>
      <c r="PH18" s="6"/>
      <c r="PI18" s="6"/>
      <c r="PJ18" s="6"/>
      <c r="PK18" s="6"/>
      <c r="PL18" s="6"/>
      <c r="PM18" s="6"/>
      <c r="PN18" s="6"/>
      <c r="PO18" s="6"/>
      <c r="PP18" s="7"/>
      <c r="PQ18" s="457" t="s">
        <v>14257</v>
      </c>
      <c r="PR18" s="6"/>
      <c r="PS18" s="6"/>
      <c r="PT18" s="6"/>
      <c r="PU18" s="6"/>
      <c r="PV18" s="6"/>
      <c r="PW18" s="6"/>
      <c r="PX18" s="6"/>
      <c r="PY18" s="6"/>
      <c r="PZ18" s="6"/>
      <c r="QA18" s="6"/>
      <c r="QB18" s="6"/>
      <c r="QC18" s="6"/>
      <c r="QD18" s="6"/>
      <c r="QE18" s="6"/>
      <c r="QF18" s="7"/>
      <c r="QG18" s="457" t="s">
        <v>14257</v>
      </c>
      <c r="QH18" s="6"/>
      <c r="QI18" s="6"/>
      <c r="QJ18" s="6"/>
      <c r="QK18" s="6"/>
      <c r="QL18" s="6"/>
      <c r="QM18" s="6"/>
      <c r="QN18" s="6"/>
      <c r="QO18" s="6"/>
      <c r="QP18" s="6"/>
      <c r="QQ18" s="6"/>
      <c r="QR18" s="6"/>
      <c r="QS18" s="6"/>
      <c r="QT18" s="6"/>
      <c r="QU18" s="6"/>
      <c r="QV18" s="7"/>
      <c r="QW18" s="457" t="s">
        <v>14257</v>
      </c>
      <c r="QX18" s="6"/>
      <c r="QY18" s="6"/>
      <c r="QZ18" s="6"/>
      <c r="RA18" s="6"/>
      <c r="RB18" s="6"/>
      <c r="RC18" s="6"/>
      <c r="RD18" s="6"/>
      <c r="RE18" s="6"/>
      <c r="RF18" s="6"/>
      <c r="RG18" s="6"/>
      <c r="RH18" s="6"/>
      <c r="RI18" s="6"/>
      <c r="RJ18" s="6"/>
      <c r="RK18" s="6"/>
      <c r="RL18" s="7"/>
      <c r="RM18" s="457" t="s">
        <v>14257</v>
      </c>
      <c r="RN18" s="6"/>
      <c r="RO18" s="6"/>
      <c r="RP18" s="6"/>
      <c r="RQ18" s="6"/>
      <c r="RR18" s="6"/>
      <c r="RS18" s="6"/>
      <c r="RT18" s="6"/>
      <c r="RU18" s="6"/>
      <c r="RV18" s="6"/>
      <c r="RW18" s="6"/>
      <c r="RX18" s="6"/>
      <c r="RY18" s="6"/>
      <c r="RZ18" s="6"/>
      <c r="SA18" s="6"/>
      <c r="SB18" s="7"/>
      <c r="SC18" s="457" t="s">
        <v>14257</v>
      </c>
      <c r="SD18" s="6"/>
      <c r="SE18" s="6"/>
      <c r="SF18" s="6"/>
      <c r="SG18" s="6"/>
      <c r="SH18" s="6"/>
      <c r="SI18" s="6"/>
      <c r="SJ18" s="6"/>
      <c r="SK18" s="6"/>
      <c r="SL18" s="6"/>
      <c r="SM18" s="6"/>
      <c r="SN18" s="6"/>
      <c r="SO18" s="6"/>
      <c r="SP18" s="6"/>
      <c r="SQ18" s="6"/>
      <c r="SR18" s="7"/>
      <c r="SS18" s="457" t="s">
        <v>14257</v>
      </c>
      <c r="ST18" s="6"/>
      <c r="SU18" s="6"/>
      <c r="SV18" s="6"/>
      <c r="SW18" s="6"/>
      <c r="SX18" s="6"/>
      <c r="SY18" s="6"/>
      <c r="SZ18" s="6"/>
      <c r="TA18" s="6"/>
      <c r="TB18" s="6"/>
      <c r="TC18" s="6"/>
      <c r="TD18" s="6"/>
      <c r="TE18" s="6"/>
      <c r="TF18" s="6"/>
      <c r="TG18" s="6"/>
      <c r="TH18" s="7"/>
      <c r="TI18" s="457" t="s">
        <v>14257</v>
      </c>
      <c r="TJ18" s="6"/>
      <c r="TK18" s="6"/>
      <c r="TL18" s="6"/>
      <c r="TM18" s="6"/>
      <c r="TN18" s="6"/>
      <c r="TO18" s="6"/>
      <c r="TP18" s="6"/>
      <c r="TQ18" s="6"/>
      <c r="TR18" s="6"/>
      <c r="TS18" s="6"/>
      <c r="TT18" s="6"/>
      <c r="TU18" s="6"/>
      <c r="TV18" s="6"/>
      <c r="TW18" s="6"/>
      <c r="TX18" s="7"/>
      <c r="TY18" s="457" t="s">
        <v>14257</v>
      </c>
      <c r="TZ18" s="6"/>
      <c r="UA18" s="6"/>
      <c r="UB18" s="6"/>
      <c r="UC18" s="6"/>
      <c r="UD18" s="6"/>
      <c r="UE18" s="6"/>
      <c r="UF18" s="6"/>
      <c r="UG18" s="6"/>
      <c r="UH18" s="6"/>
      <c r="UI18" s="6"/>
      <c r="UJ18" s="6"/>
      <c r="UK18" s="6"/>
      <c r="UL18" s="6"/>
      <c r="UM18" s="6"/>
      <c r="UN18" s="7"/>
      <c r="UO18" s="457" t="s">
        <v>14257</v>
      </c>
      <c r="UP18" s="6"/>
      <c r="UQ18" s="6"/>
      <c r="UR18" s="6"/>
      <c r="US18" s="6"/>
      <c r="UT18" s="6"/>
      <c r="UU18" s="6"/>
      <c r="UV18" s="6"/>
      <c r="UW18" s="6"/>
      <c r="UX18" s="6"/>
      <c r="UY18" s="6"/>
      <c r="UZ18" s="6"/>
      <c r="VA18" s="6"/>
      <c r="VB18" s="6"/>
      <c r="VC18" s="6"/>
      <c r="VD18" s="7"/>
      <c r="VE18" s="457" t="s">
        <v>14257</v>
      </c>
      <c r="VF18" s="6"/>
      <c r="VG18" s="6"/>
      <c r="VH18" s="6"/>
      <c r="VI18" s="6"/>
      <c r="VJ18" s="6"/>
      <c r="VK18" s="6"/>
      <c r="VL18" s="6"/>
      <c r="VM18" s="6"/>
      <c r="VN18" s="6"/>
      <c r="VO18" s="6"/>
      <c r="VP18" s="6"/>
      <c r="VQ18" s="6"/>
      <c r="VR18" s="6"/>
      <c r="VS18" s="6"/>
      <c r="VT18" s="7"/>
      <c r="VU18" s="457" t="s">
        <v>14257</v>
      </c>
      <c r="VV18" s="6"/>
      <c r="VW18" s="6"/>
      <c r="VX18" s="6"/>
      <c r="VY18" s="6"/>
      <c r="VZ18" s="6"/>
      <c r="WA18" s="6"/>
      <c r="WB18" s="6"/>
      <c r="WC18" s="6"/>
      <c r="WD18" s="6"/>
      <c r="WE18" s="6"/>
      <c r="WF18" s="6"/>
      <c r="WG18" s="6"/>
      <c r="WH18" s="6"/>
      <c r="WI18" s="6"/>
      <c r="WJ18" s="7"/>
      <c r="WK18" s="457" t="s">
        <v>14257</v>
      </c>
      <c r="WL18" s="6"/>
      <c r="WM18" s="6"/>
      <c r="WN18" s="6"/>
      <c r="WO18" s="6"/>
      <c r="WP18" s="6"/>
      <c r="WQ18" s="6"/>
      <c r="WR18" s="6"/>
      <c r="WS18" s="6"/>
      <c r="WT18" s="6"/>
      <c r="WU18" s="6"/>
      <c r="WV18" s="6"/>
      <c r="WW18" s="6"/>
      <c r="WX18" s="6"/>
      <c r="WY18" s="6"/>
      <c r="WZ18" s="7"/>
      <c r="XA18" s="457" t="s">
        <v>14257</v>
      </c>
      <c r="XB18" s="6"/>
      <c r="XC18" s="6"/>
      <c r="XD18" s="6"/>
      <c r="XE18" s="6"/>
      <c r="XF18" s="6"/>
      <c r="XG18" s="6"/>
      <c r="XH18" s="6"/>
      <c r="XI18" s="6"/>
      <c r="XJ18" s="6"/>
      <c r="XK18" s="6"/>
      <c r="XL18" s="6"/>
      <c r="XM18" s="6"/>
      <c r="XN18" s="6"/>
      <c r="XO18" s="6"/>
      <c r="XP18" s="7"/>
      <c r="XQ18" s="457" t="s">
        <v>14257</v>
      </c>
      <c r="XR18" s="6"/>
      <c r="XS18" s="6"/>
      <c r="XT18" s="6"/>
      <c r="XU18" s="6"/>
      <c r="XV18" s="6"/>
      <c r="XW18" s="6"/>
      <c r="XX18" s="6"/>
      <c r="XY18" s="6"/>
      <c r="XZ18" s="6"/>
      <c r="YA18" s="6"/>
      <c r="YB18" s="6"/>
      <c r="YC18" s="6"/>
      <c r="YD18" s="6"/>
      <c r="YE18" s="6"/>
      <c r="YF18" s="7"/>
      <c r="YG18" s="457" t="s">
        <v>14257</v>
      </c>
      <c r="YH18" s="6"/>
      <c r="YI18" s="6"/>
      <c r="YJ18" s="6"/>
      <c r="YK18" s="6"/>
      <c r="YL18" s="6"/>
      <c r="YM18" s="6"/>
      <c r="YN18" s="6"/>
      <c r="YO18" s="6"/>
      <c r="YP18" s="6"/>
      <c r="YQ18" s="6"/>
      <c r="YR18" s="6"/>
      <c r="YS18" s="6"/>
      <c r="YT18" s="6"/>
      <c r="YU18" s="6"/>
      <c r="YV18" s="7"/>
      <c r="YW18" s="457" t="s">
        <v>14257</v>
      </c>
      <c r="YX18" s="6"/>
      <c r="YY18" s="6"/>
      <c r="YZ18" s="6"/>
      <c r="ZA18" s="6"/>
      <c r="ZB18" s="6"/>
      <c r="ZC18" s="6"/>
      <c r="ZD18" s="6"/>
      <c r="ZE18" s="6"/>
      <c r="ZF18" s="6"/>
      <c r="ZG18" s="6"/>
      <c r="ZH18" s="6"/>
      <c r="ZI18" s="6"/>
      <c r="ZJ18" s="6"/>
      <c r="ZK18" s="6"/>
      <c r="ZL18" s="7"/>
      <c r="ZM18" s="457" t="s">
        <v>14257</v>
      </c>
      <c r="ZN18" s="6"/>
      <c r="ZO18" s="6"/>
      <c r="ZP18" s="6"/>
      <c r="ZQ18" s="6"/>
      <c r="ZR18" s="6"/>
      <c r="ZS18" s="6"/>
      <c r="ZT18" s="6"/>
      <c r="ZU18" s="6"/>
      <c r="ZV18" s="6"/>
      <c r="ZW18" s="6"/>
      <c r="ZX18" s="6"/>
      <c r="ZY18" s="6"/>
      <c r="ZZ18" s="6"/>
      <c r="AAA18" s="6"/>
      <c r="AAB18" s="7"/>
      <c r="AAC18" s="457" t="s">
        <v>14257</v>
      </c>
      <c r="AAD18" s="6"/>
      <c r="AAE18" s="6"/>
      <c r="AAF18" s="6"/>
      <c r="AAG18" s="6"/>
      <c r="AAH18" s="6"/>
      <c r="AAI18" s="6"/>
      <c r="AAJ18" s="6"/>
      <c r="AAK18" s="6"/>
      <c r="AAL18" s="6"/>
      <c r="AAM18" s="6"/>
      <c r="AAN18" s="6"/>
      <c r="AAO18" s="6"/>
      <c r="AAP18" s="6"/>
      <c r="AAQ18" s="6"/>
      <c r="AAR18" s="7"/>
      <c r="AAS18" s="457" t="s">
        <v>14257</v>
      </c>
      <c r="AAT18" s="6"/>
      <c r="AAU18" s="6"/>
      <c r="AAV18" s="6"/>
      <c r="AAW18" s="6"/>
      <c r="AAX18" s="6"/>
      <c r="AAY18" s="6"/>
      <c r="AAZ18" s="6"/>
      <c r="ABA18" s="6"/>
      <c r="ABB18" s="6"/>
      <c r="ABC18" s="6"/>
      <c r="ABD18" s="6"/>
      <c r="ABE18" s="6"/>
      <c r="ABF18" s="6"/>
      <c r="ABG18" s="6"/>
      <c r="ABH18" s="7"/>
      <c r="ABI18" s="457" t="s">
        <v>14257</v>
      </c>
      <c r="ABJ18" s="6"/>
      <c r="ABK18" s="6"/>
      <c r="ABL18" s="6"/>
      <c r="ABM18" s="6"/>
      <c r="ABN18" s="6"/>
      <c r="ABO18" s="6"/>
      <c r="ABP18" s="6"/>
      <c r="ABQ18" s="6"/>
      <c r="ABR18" s="6"/>
      <c r="ABS18" s="6"/>
      <c r="ABT18" s="6"/>
      <c r="ABU18" s="6"/>
      <c r="ABV18" s="6"/>
      <c r="ABW18" s="6"/>
      <c r="ABX18" s="7"/>
      <c r="ABY18" s="457" t="s">
        <v>14257</v>
      </c>
      <c r="ABZ18" s="6"/>
      <c r="ACA18" s="6"/>
      <c r="ACB18" s="6"/>
      <c r="ACC18" s="6"/>
      <c r="ACD18" s="6"/>
      <c r="ACE18" s="6"/>
      <c r="ACF18" s="6"/>
      <c r="ACG18" s="6"/>
      <c r="ACH18" s="6"/>
      <c r="ACI18" s="6"/>
      <c r="ACJ18" s="6"/>
      <c r="ACK18" s="6"/>
      <c r="ACL18" s="6"/>
      <c r="ACM18" s="6"/>
      <c r="ACN18" s="7"/>
      <c r="ACO18" s="457" t="s">
        <v>14257</v>
      </c>
      <c r="ACP18" s="6"/>
      <c r="ACQ18" s="6"/>
      <c r="ACR18" s="6"/>
      <c r="ACS18" s="6"/>
      <c r="ACT18" s="6"/>
      <c r="ACU18" s="6"/>
      <c r="ACV18" s="6"/>
      <c r="ACW18" s="6"/>
      <c r="ACX18" s="6"/>
      <c r="ACY18" s="6"/>
      <c r="ACZ18" s="6"/>
      <c r="ADA18" s="6"/>
      <c r="ADB18" s="6"/>
      <c r="ADC18" s="6"/>
      <c r="ADD18" s="7"/>
      <c r="ADE18" s="457" t="s">
        <v>14257</v>
      </c>
      <c r="ADF18" s="6"/>
      <c r="ADG18" s="6"/>
      <c r="ADH18" s="6"/>
      <c r="ADI18" s="6"/>
      <c r="ADJ18" s="6"/>
      <c r="ADK18" s="6"/>
      <c r="ADL18" s="6"/>
      <c r="ADM18" s="6"/>
      <c r="ADN18" s="6"/>
      <c r="ADO18" s="6"/>
      <c r="ADP18" s="6"/>
      <c r="ADQ18" s="6"/>
      <c r="ADR18" s="6"/>
      <c r="ADS18" s="6"/>
      <c r="ADT18" s="7"/>
      <c r="ADU18" s="457" t="s">
        <v>14257</v>
      </c>
      <c r="ADV18" s="6"/>
      <c r="ADW18" s="6"/>
      <c r="ADX18" s="6"/>
      <c r="ADY18" s="6"/>
      <c r="ADZ18" s="6"/>
      <c r="AEA18" s="6"/>
      <c r="AEB18" s="6"/>
      <c r="AEC18" s="6"/>
      <c r="AED18" s="6"/>
      <c r="AEE18" s="6"/>
      <c r="AEF18" s="6"/>
      <c r="AEG18" s="6"/>
      <c r="AEH18" s="6"/>
      <c r="AEI18" s="6"/>
      <c r="AEJ18" s="7"/>
      <c r="AEK18" s="457" t="s">
        <v>14257</v>
      </c>
      <c r="AEL18" s="6"/>
      <c r="AEM18" s="6"/>
      <c r="AEN18" s="6"/>
      <c r="AEO18" s="6"/>
      <c r="AEP18" s="6"/>
      <c r="AEQ18" s="6"/>
      <c r="AER18" s="6"/>
      <c r="AES18" s="6"/>
      <c r="AET18" s="6"/>
      <c r="AEU18" s="6"/>
      <c r="AEV18" s="6"/>
      <c r="AEW18" s="6"/>
      <c r="AEX18" s="6"/>
      <c r="AEY18" s="6"/>
      <c r="AEZ18" s="7"/>
      <c r="AFA18" s="457" t="s">
        <v>14257</v>
      </c>
      <c r="AFB18" s="6"/>
      <c r="AFC18" s="6"/>
      <c r="AFD18" s="6"/>
      <c r="AFE18" s="6"/>
      <c r="AFF18" s="6"/>
      <c r="AFG18" s="6"/>
      <c r="AFH18" s="6"/>
      <c r="AFI18" s="6"/>
      <c r="AFJ18" s="6"/>
      <c r="AFK18" s="6"/>
      <c r="AFL18" s="6"/>
      <c r="AFM18" s="6"/>
      <c r="AFN18" s="6"/>
      <c r="AFO18" s="6"/>
      <c r="AFP18" s="7"/>
      <c r="AFQ18" s="457" t="s">
        <v>14257</v>
      </c>
      <c r="AFR18" s="6"/>
      <c r="AFS18" s="6"/>
      <c r="AFT18" s="6"/>
      <c r="AFU18" s="6"/>
      <c r="AFV18" s="6"/>
      <c r="AFW18" s="6"/>
      <c r="AFX18" s="6"/>
      <c r="AFY18" s="6"/>
      <c r="AFZ18" s="6"/>
      <c r="AGA18" s="6"/>
      <c r="AGB18" s="6"/>
      <c r="AGC18" s="6"/>
      <c r="AGD18" s="6"/>
      <c r="AGE18" s="6"/>
      <c r="AGF18" s="7"/>
      <c r="AGG18" s="457" t="s">
        <v>14257</v>
      </c>
      <c r="AGH18" s="6"/>
      <c r="AGI18" s="6"/>
      <c r="AGJ18" s="6"/>
      <c r="AGK18" s="6"/>
      <c r="AGL18" s="6"/>
      <c r="AGM18" s="6"/>
      <c r="AGN18" s="6"/>
      <c r="AGO18" s="6"/>
      <c r="AGP18" s="6"/>
      <c r="AGQ18" s="6"/>
      <c r="AGR18" s="6"/>
      <c r="AGS18" s="6"/>
      <c r="AGT18" s="6"/>
      <c r="AGU18" s="6"/>
      <c r="AGV18" s="7"/>
      <c r="AGW18" s="457" t="s">
        <v>14257</v>
      </c>
      <c r="AGX18" s="6"/>
      <c r="AGY18" s="6"/>
      <c r="AGZ18" s="6"/>
      <c r="AHA18" s="6"/>
      <c r="AHB18" s="6"/>
      <c r="AHC18" s="6"/>
      <c r="AHD18" s="6"/>
      <c r="AHE18" s="6"/>
      <c r="AHF18" s="6"/>
      <c r="AHG18" s="6"/>
      <c r="AHH18" s="6"/>
      <c r="AHI18" s="6"/>
      <c r="AHJ18" s="6"/>
      <c r="AHK18" s="6"/>
      <c r="AHL18" s="7"/>
      <c r="AHM18" s="457" t="s">
        <v>14257</v>
      </c>
      <c r="AHN18" s="6"/>
      <c r="AHO18" s="6"/>
      <c r="AHP18" s="6"/>
      <c r="AHQ18" s="6"/>
      <c r="AHR18" s="6"/>
      <c r="AHS18" s="6"/>
      <c r="AHT18" s="6"/>
      <c r="AHU18" s="6"/>
      <c r="AHV18" s="6"/>
      <c r="AHW18" s="6"/>
      <c r="AHX18" s="6"/>
      <c r="AHY18" s="6"/>
      <c r="AHZ18" s="6"/>
      <c r="AIA18" s="6"/>
      <c r="AIB18" s="7"/>
      <c r="AIC18" s="457" t="s">
        <v>14257</v>
      </c>
      <c r="AID18" s="6"/>
      <c r="AIE18" s="6"/>
      <c r="AIF18" s="6"/>
      <c r="AIG18" s="6"/>
      <c r="AIH18" s="6"/>
      <c r="AII18" s="6"/>
      <c r="AIJ18" s="6"/>
      <c r="AIK18" s="6"/>
      <c r="AIL18" s="6"/>
      <c r="AIM18" s="6"/>
      <c r="AIN18" s="6"/>
      <c r="AIO18" s="6"/>
      <c r="AIP18" s="6"/>
      <c r="AIQ18" s="6"/>
      <c r="AIR18" s="7"/>
      <c r="AIS18" s="457" t="s">
        <v>14257</v>
      </c>
      <c r="AIT18" s="6"/>
      <c r="AIU18" s="6"/>
      <c r="AIV18" s="6"/>
      <c r="AIW18" s="6"/>
      <c r="AIX18" s="6"/>
      <c r="AIY18" s="6"/>
      <c r="AIZ18" s="6"/>
      <c r="AJA18" s="6"/>
      <c r="AJB18" s="6"/>
      <c r="AJC18" s="6"/>
      <c r="AJD18" s="6"/>
      <c r="AJE18" s="6"/>
      <c r="AJF18" s="6"/>
      <c r="AJG18" s="6"/>
      <c r="AJH18" s="7"/>
      <c r="AJI18" s="457" t="s">
        <v>14257</v>
      </c>
      <c r="AJJ18" s="6"/>
      <c r="AJK18" s="6"/>
      <c r="AJL18" s="6"/>
      <c r="AJM18" s="6"/>
      <c r="AJN18" s="6"/>
      <c r="AJO18" s="6"/>
      <c r="AJP18" s="6"/>
      <c r="AJQ18" s="6"/>
      <c r="AJR18" s="6"/>
      <c r="AJS18" s="6"/>
      <c r="AJT18" s="6"/>
      <c r="AJU18" s="6"/>
      <c r="AJV18" s="6"/>
      <c r="AJW18" s="6"/>
      <c r="AJX18" s="7"/>
      <c r="AJY18" s="457" t="s">
        <v>14257</v>
      </c>
      <c r="AJZ18" s="6"/>
      <c r="AKA18" s="6"/>
      <c r="AKB18" s="6"/>
      <c r="AKC18" s="6"/>
      <c r="AKD18" s="6"/>
      <c r="AKE18" s="6"/>
      <c r="AKF18" s="6"/>
      <c r="AKG18" s="6"/>
      <c r="AKH18" s="6"/>
      <c r="AKI18" s="6"/>
      <c r="AKJ18" s="6"/>
      <c r="AKK18" s="6"/>
      <c r="AKL18" s="6"/>
      <c r="AKM18" s="6"/>
      <c r="AKN18" s="7"/>
      <c r="AKO18" s="457" t="s">
        <v>14257</v>
      </c>
      <c r="AKP18" s="6"/>
      <c r="AKQ18" s="6"/>
      <c r="AKR18" s="6"/>
      <c r="AKS18" s="6"/>
      <c r="AKT18" s="6"/>
      <c r="AKU18" s="6"/>
      <c r="AKV18" s="6"/>
      <c r="AKW18" s="6"/>
      <c r="AKX18" s="6"/>
      <c r="AKY18" s="6"/>
      <c r="AKZ18" s="6"/>
      <c r="ALA18" s="6"/>
      <c r="ALB18" s="6"/>
      <c r="ALC18" s="6"/>
      <c r="ALD18" s="7"/>
      <c r="ALE18" s="457" t="s">
        <v>14257</v>
      </c>
      <c r="ALF18" s="6"/>
      <c r="ALG18" s="6"/>
      <c r="ALH18" s="6"/>
      <c r="ALI18" s="6"/>
      <c r="ALJ18" s="6"/>
      <c r="ALK18" s="6"/>
      <c r="ALL18" s="6"/>
      <c r="ALM18" s="6"/>
      <c r="ALN18" s="6"/>
      <c r="ALO18" s="6"/>
      <c r="ALP18" s="6"/>
      <c r="ALQ18" s="6"/>
      <c r="ALR18" s="6"/>
      <c r="ALS18" s="6"/>
      <c r="ALT18" s="7"/>
      <c r="ALU18" s="457" t="s">
        <v>14257</v>
      </c>
      <c r="ALV18" s="6"/>
      <c r="ALW18" s="6"/>
      <c r="ALX18" s="6"/>
      <c r="ALY18" s="6"/>
      <c r="ALZ18" s="6"/>
      <c r="AMA18" s="6"/>
      <c r="AMB18" s="6"/>
      <c r="AMC18" s="6"/>
      <c r="AMD18" s="6"/>
      <c r="AME18" s="6"/>
      <c r="AMF18" s="6"/>
      <c r="AMG18" s="6"/>
      <c r="AMH18" s="6"/>
      <c r="AMI18" s="6"/>
      <c r="AMJ18" s="7"/>
      <c r="AMK18" s="457" t="s">
        <v>14257</v>
      </c>
      <c r="AML18" s="6"/>
      <c r="AMM18" s="6"/>
      <c r="AMN18" s="6"/>
      <c r="AMO18" s="6"/>
      <c r="AMP18" s="6"/>
      <c r="AMQ18" s="6"/>
      <c r="AMR18" s="6"/>
      <c r="AMS18" s="6"/>
      <c r="AMT18" s="6"/>
      <c r="AMU18" s="6"/>
      <c r="AMV18" s="6"/>
      <c r="AMW18" s="6"/>
      <c r="AMX18" s="6"/>
      <c r="AMY18" s="6"/>
      <c r="AMZ18" s="7"/>
      <c r="ANA18" s="457" t="s">
        <v>14257</v>
      </c>
      <c r="ANB18" s="6"/>
      <c r="ANC18" s="6"/>
      <c r="AND18" s="6"/>
      <c r="ANE18" s="6"/>
      <c r="ANF18" s="6"/>
      <c r="ANG18" s="6"/>
      <c r="ANH18" s="6"/>
      <c r="ANI18" s="6"/>
      <c r="ANJ18" s="6"/>
      <c r="ANK18" s="6"/>
      <c r="ANL18" s="6"/>
      <c r="ANM18" s="6"/>
      <c r="ANN18" s="6"/>
      <c r="ANO18" s="6"/>
      <c r="ANP18" s="7"/>
      <c r="ANQ18" s="457" t="s">
        <v>14257</v>
      </c>
      <c r="ANR18" s="6"/>
      <c r="ANS18" s="6"/>
      <c r="ANT18" s="6"/>
      <c r="ANU18" s="6"/>
      <c r="ANV18" s="6"/>
      <c r="ANW18" s="6"/>
      <c r="ANX18" s="6"/>
      <c r="ANY18" s="6"/>
      <c r="ANZ18" s="6"/>
      <c r="AOA18" s="6"/>
      <c r="AOB18" s="6"/>
      <c r="AOC18" s="6"/>
      <c r="AOD18" s="6"/>
      <c r="AOE18" s="6"/>
      <c r="AOF18" s="7"/>
      <c r="AOG18" s="457" t="s">
        <v>14257</v>
      </c>
      <c r="AOH18" s="6"/>
      <c r="AOI18" s="6"/>
      <c r="AOJ18" s="6"/>
      <c r="AOK18" s="6"/>
      <c r="AOL18" s="6"/>
      <c r="AOM18" s="6"/>
      <c r="AON18" s="6"/>
      <c r="AOO18" s="6"/>
      <c r="AOP18" s="6"/>
      <c r="AOQ18" s="6"/>
      <c r="AOR18" s="6"/>
      <c r="AOS18" s="6"/>
      <c r="AOT18" s="6"/>
      <c r="AOU18" s="6"/>
      <c r="AOV18" s="7"/>
      <c r="AOW18" s="457" t="s">
        <v>14257</v>
      </c>
      <c r="AOX18" s="6"/>
      <c r="AOY18" s="6"/>
      <c r="AOZ18" s="6"/>
      <c r="APA18" s="6"/>
      <c r="APB18" s="6"/>
      <c r="APC18" s="6"/>
      <c r="APD18" s="6"/>
      <c r="APE18" s="6"/>
      <c r="APF18" s="6"/>
      <c r="APG18" s="6"/>
      <c r="APH18" s="6"/>
      <c r="API18" s="6"/>
      <c r="APJ18" s="6"/>
      <c r="APK18" s="6"/>
      <c r="APL18" s="7"/>
      <c r="APM18" s="457" t="s">
        <v>14257</v>
      </c>
      <c r="APN18" s="6"/>
      <c r="APO18" s="6"/>
      <c r="APP18" s="6"/>
      <c r="APQ18" s="6"/>
      <c r="APR18" s="6"/>
      <c r="APS18" s="6"/>
      <c r="APT18" s="6"/>
      <c r="APU18" s="6"/>
      <c r="APV18" s="6"/>
      <c r="APW18" s="6"/>
      <c r="APX18" s="6"/>
      <c r="APY18" s="6"/>
      <c r="APZ18" s="6"/>
      <c r="AQA18" s="6"/>
      <c r="AQB18" s="7"/>
      <c r="AQC18" s="457" t="s">
        <v>14257</v>
      </c>
      <c r="AQD18" s="6"/>
      <c r="AQE18" s="6"/>
      <c r="AQF18" s="6"/>
      <c r="AQG18" s="6"/>
      <c r="AQH18" s="6"/>
      <c r="AQI18" s="6"/>
      <c r="AQJ18" s="6"/>
      <c r="AQK18" s="6"/>
      <c r="AQL18" s="6"/>
      <c r="AQM18" s="6"/>
      <c r="AQN18" s="6"/>
      <c r="AQO18" s="6"/>
      <c r="AQP18" s="6"/>
      <c r="AQQ18" s="6"/>
      <c r="AQR18" s="7"/>
      <c r="AQS18" s="457" t="s">
        <v>14257</v>
      </c>
      <c r="AQT18" s="6"/>
      <c r="AQU18" s="6"/>
      <c r="AQV18" s="6"/>
      <c r="AQW18" s="6"/>
      <c r="AQX18" s="6"/>
      <c r="AQY18" s="6"/>
      <c r="AQZ18" s="6"/>
      <c r="ARA18" s="6"/>
      <c r="ARB18" s="6"/>
      <c r="ARC18" s="6"/>
      <c r="ARD18" s="6"/>
      <c r="ARE18" s="6"/>
      <c r="ARF18" s="6"/>
      <c r="ARG18" s="6"/>
      <c r="ARH18" s="7"/>
      <c r="ARI18" s="457" t="s">
        <v>14257</v>
      </c>
      <c r="ARJ18" s="6"/>
      <c r="ARK18" s="6"/>
      <c r="ARL18" s="6"/>
      <c r="ARM18" s="6"/>
      <c r="ARN18" s="6"/>
      <c r="ARO18" s="6"/>
      <c r="ARP18" s="6"/>
      <c r="ARQ18" s="6"/>
      <c r="ARR18" s="6"/>
      <c r="ARS18" s="6"/>
      <c r="ART18" s="6"/>
      <c r="ARU18" s="6"/>
      <c r="ARV18" s="6"/>
      <c r="ARW18" s="6"/>
      <c r="ARX18" s="7"/>
      <c r="ARY18" s="457" t="s">
        <v>14257</v>
      </c>
      <c r="ARZ18" s="6"/>
      <c r="ASA18" s="6"/>
      <c r="ASB18" s="6"/>
      <c r="ASC18" s="6"/>
      <c r="ASD18" s="6"/>
      <c r="ASE18" s="6"/>
      <c r="ASF18" s="6"/>
      <c r="ASG18" s="6"/>
      <c r="ASH18" s="6"/>
      <c r="ASI18" s="6"/>
      <c r="ASJ18" s="6"/>
      <c r="ASK18" s="6"/>
      <c r="ASL18" s="6"/>
      <c r="ASM18" s="6"/>
      <c r="ASN18" s="7"/>
      <c r="ASO18" s="457" t="s">
        <v>14257</v>
      </c>
      <c r="ASP18" s="6"/>
      <c r="ASQ18" s="6"/>
      <c r="ASR18" s="6"/>
      <c r="ASS18" s="6"/>
      <c r="AST18" s="6"/>
      <c r="ASU18" s="6"/>
      <c r="ASV18" s="6"/>
      <c r="ASW18" s="6"/>
      <c r="ASX18" s="6"/>
      <c r="ASY18" s="6"/>
      <c r="ASZ18" s="6"/>
      <c r="ATA18" s="6"/>
      <c r="ATB18" s="6"/>
      <c r="ATC18" s="6"/>
      <c r="ATD18" s="7"/>
      <c r="ATE18" s="457" t="s">
        <v>14257</v>
      </c>
      <c r="ATF18" s="6"/>
      <c r="ATG18" s="6"/>
      <c r="ATH18" s="6"/>
      <c r="ATI18" s="6"/>
      <c r="ATJ18" s="6"/>
      <c r="ATK18" s="6"/>
      <c r="ATL18" s="6"/>
      <c r="ATM18" s="6"/>
      <c r="ATN18" s="6"/>
      <c r="ATO18" s="6"/>
      <c r="ATP18" s="6"/>
      <c r="ATQ18" s="6"/>
      <c r="ATR18" s="6"/>
      <c r="ATS18" s="6"/>
      <c r="ATT18" s="7"/>
      <c r="ATU18" s="457" t="s">
        <v>14257</v>
      </c>
      <c r="ATV18" s="6"/>
      <c r="ATW18" s="6"/>
      <c r="ATX18" s="6"/>
      <c r="ATY18" s="6"/>
      <c r="ATZ18" s="6"/>
      <c r="AUA18" s="6"/>
      <c r="AUB18" s="6"/>
      <c r="AUC18" s="6"/>
      <c r="AUD18" s="6"/>
      <c r="AUE18" s="6"/>
      <c r="AUF18" s="6"/>
      <c r="AUG18" s="6"/>
      <c r="AUH18" s="6"/>
      <c r="AUI18" s="6"/>
      <c r="AUJ18" s="7"/>
      <c r="AUK18" s="457" t="s">
        <v>14257</v>
      </c>
      <c r="AUL18" s="6"/>
      <c r="AUM18" s="6"/>
      <c r="AUN18" s="6"/>
      <c r="AUO18" s="6"/>
      <c r="AUP18" s="6"/>
      <c r="AUQ18" s="6"/>
      <c r="AUR18" s="6"/>
      <c r="AUS18" s="6"/>
      <c r="AUT18" s="6"/>
      <c r="AUU18" s="6"/>
      <c r="AUV18" s="6"/>
      <c r="AUW18" s="6"/>
      <c r="AUX18" s="6"/>
      <c r="AUY18" s="6"/>
      <c r="AUZ18" s="7"/>
      <c r="AVA18" s="457" t="s">
        <v>14257</v>
      </c>
      <c r="AVB18" s="6"/>
      <c r="AVC18" s="6"/>
      <c r="AVD18" s="6"/>
      <c r="AVE18" s="6"/>
      <c r="AVF18" s="6"/>
      <c r="AVG18" s="6"/>
      <c r="AVH18" s="6"/>
      <c r="AVI18" s="6"/>
      <c r="AVJ18" s="6"/>
      <c r="AVK18" s="6"/>
      <c r="AVL18" s="6"/>
      <c r="AVM18" s="6"/>
      <c r="AVN18" s="6"/>
      <c r="AVO18" s="6"/>
      <c r="AVP18" s="7"/>
      <c r="AVQ18" s="457" t="s">
        <v>14257</v>
      </c>
      <c r="AVR18" s="6"/>
      <c r="AVS18" s="6"/>
      <c r="AVT18" s="6"/>
      <c r="AVU18" s="6"/>
      <c r="AVV18" s="6"/>
      <c r="AVW18" s="6"/>
      <c r="AVX18" s="6"/>
      <c r="AVY18" s="6"/>
      <c r="AVZ18" s="6"/>
      <c r="AWA18" s="6"/>
      <c r="AWB18" s="6"/>
      <c r="AWC18" s="6"/>
      <c r="AWD18" s="6"/>
      <c r="AWE18" s="6"/>
      <c r="AWF18" s="7"/>
      <c r="AWG18" s="457" t="s">
        <v>14257</v>
      </c>
      <c r="AWH18" s="6"/>
      <c r="AWI18" s="6"/>
      <c r="AWJ18" s="6"/>
      <c r="AWK18" s="6"/>
      <c r="AWL18" s="6"/>
      <c r="AWM18" s="6"/>
      <c r="AWN18" s="6"/>
      <c r="AWO18" s="6"/>
      <c r="AWP18" s="6"/>
      <c r="AWQ18" s="6"/>
      <c r="AWR18" s="6"/>
      <c r="AWS18" s="6"/>
      <c r="AWT18" s="6"/>
      <c r="AWU18" s="6"/>
      <c r="AWV18" s="7"/>
      <c r="AWW18" s="457" t="s">
        <v>14257</v>
      </c>
      <c r="AWX18" s="6"/>
      <c r="AWY18" s="6"/>
      <c r="AWZ18" s="6"/>
      <c r="AXA18" s="6"/>
      <c r="AXB18" s="6"/>
      <c r="AXC18" s="6"/>
      <c r="AXD18" s="6"/>
      <c r="AXE18" s="6"/>
      <c r="AXF18" s="6"/>
      <c r="AXG18" s="6"/>
      <c r="AXH18" s="6"/>
      <c r="AXI18" s="6"/>
      <c r="AXJ18" s="6"/>
      <c r="AXK18" s="6"/>
      <c r="AXL18" s="7"/>
      <c r="AXM18" s="457" t="s">
        <v>14257</v>
      </c>
      <c r="AXN18" s="6"/>
      <c r="AXO18" s="6"/>
      <c r="AXP18" s="6"/>
      <c r="AXQ18" s="6"/>
      <c r="AXR18" s="6"/>
      <c r="AXS18" s="6"/>
      <c r="AXT18" s="6"/>
      <c r="AXU18" s="6"/>
      <c r="AXV18" s="6"/>
      <c r="AXW18" s="6"/>
      <c r="AXX18" s="6"/>
      <c r="AXY18" s="6"/>
      <c r="AXZ18" s="6"/>
      <c r="AYA18" s="6"/>
      <c r="AYB18" s="7"/>
      <c r="AYC18" s="457" t="s">
        <v>14257</v>
      </c>
      <c r="AYD18" s="6"/>
      <c r="AYE18" s="6"/>
      <c r="AYF18" s="6"/>
      <c r="AYG18" s="6"/>
      <c r="AYH18" s="6"/>
      <c r="AYI18" s="6"/>
      <c r="AYJ18" s="6"/>
      <c r="AYK18" s="6"/>
      <c r="AYL18" s="6"/>
      <c r="AYM18" s="6"/>
      <c r="AYN18" s="6"/>
      <c r="AYO18" s="6"/>
      <c r="AYP18" s="6"/>
      <c r="AYQ18" s="6"/>
      <c r="AYR18" s="7"/>
      <c r="AYS18" s="457" t="s">
        <v>14257</v>
      </c>
      <c r="AYT18" s="6"/>
      <c r="AYU18" s="6"/>
      <c r="AYV18" s="6"/>
      <c r="AYW18" s="6"/>
      <c r="AYX18" s="6"/>
      <c r="AYY18" s="6"/>
      <c r="AYZ18" s="6"/>
      <c r="AZA18" s="6"/>
      <c r="AZB18" s="6"/>
      <c r="AZC18" s="6"/>
      <c r="AZD18" s="6"/>
      <c r="AZE18" s="6"/>
      <c r="AZF18" s="6"/>
      <c r="AZG18" s="6"/>
      <c r="AZH18" s="7"/>
      <c r="AZI18" s="457" t="s">
        <v>14257</v>
      </c>
      <c r="AZJ18" s="6"/>
      <c r="AZK18" s="6"/>
      <c r="AZL18" s="6"/>
      <c r="AZM18" s="6"/>
      <c r="AZN18" s="6"/>
      <c r="AZO18" s="6"/>
      <c r="AZP18" s="6"/>
      <c r="AZQ18" s="6"/>
      <c r="AZR18" s="6"/>
      <c r="AZS18" s="6"/>
      <c r="AZT18" s="6"/>
      <c r="AZU18" s="6"/>
      <c r="AZV18" s="6"/>
      <c r="AZW18" s="6"/>
      <c r="AZX18" s="7"/>
      <c r="AZY18" s="457" t="s">
        <v>14257</v>
      </c>
      <c r="AZZ18" s="6"/>
      <c r="BAA18" s="6"/>
      <c r="BAB18" s="6"/>
      <c r="BAC18" s="6"/>
      <c r="BAD18" s="6"/>
      <c r="BAE18" s="6"/>
      <c r="BAF18" s="6"/>
      <c r="BAG18" s="6"/>
      <c r="BAH18" s="6"/>
      <c r="BAI18" s="6"/>
      <c r="BAJ18" s="6"/>
      <c r="BAK18" s="6"/>
      <c r="BAL18" s="6"/>
      <c r="BAM18" s="6"/>
      <c r="BAN18" s="7"/>
      <c r="BAO18" s="457" t="s">
        <v>14257</v>
      </c>
      <c r="BAP18" s="6"/>
      <c r="BAQ18" s="6"/>
      <c r="BAR18" s="6"/>
      <c r="BAS18" s="6"/>
      <c r="BAT18" s="6"/>
      <c r="BAU18" s="6"/>
      <c r="BAV18" s="6"/>
      <c r="BAW18" s="6"/>
      <c r="BAX18" s="6"/>
      <c r="BAY18" s="6"/>
      <c r="BAZ18" s="6"/>
      <c r="BBA18" s="6"/>
      <c r="BBB18" s="6"/>
      <c r="BBC18" s="6"/>
      <c r="BBD18" s="7"/>
      <c r="BBE18" s="457" t="s">
        <v>14257</v>
      </c>
      <c r="BBF18" s="6"/>
      <c r="BBG18" s="6"/>
      <c r="BBH18" s="6"/>
      <c r="BBI18" s="6"/>
      <c r="BBJ18" s="6"/>
      <c r="BBK18" s="6"/>
      <c r="BBL18" s="6"/>
      <c r="BBM18" s="6"/>
      <c r="BBN18" s="6"/>
      <c r="BBO18" s="6"/>
      <c r="BBP18" s="6"/>
      <c r="BBQ18" s="6"/>
      <c r="BBR18" s="6"/>
      <c r="BBS18" s="6"/>
      <c r="BBT18" s="7"/>
      <c r="BBU18" s="457" t="s">
        <v>14257</v>
      </c>
      <c r="BBV18" s="6"/>
      <c r="BBW18" s="6"/>
      <c r="BBX18" s="6"/>
      <c r="BBY18" s="6"/>
      <c r="BBZ18" s="6"/>
      <c r="BCA18" s="6"/>
      <c r="BCB18" s="6"/>
      <c r="BCC18" s="6"/>
      <c r="BCD18" s="6"/>
      <c r="BCE18" s="6"/>
      <c r="BCF18" s="6"/>
      <c r="BCG18" s="6"/>
      <c r="BCH18" s="6"/>
      <c r="BCI18" s="6"/>
      <c r="BCJ18" s="7"/>
      <c r="BCK18" s="457" t="s">
        <v>14257</v>
      </c>
      <c r="BCL18" s="6"/>
      <c r="BCM18" s="6"/>
      <c r="BCN18" s="6"/>
      <c r="BCO18" s="6"/>
      <c r="BCP18" s="6"/>
      <c r="BCQ18" s="6"/>
      <c r="BCR18" s="6"/>
      <c r="BCS18" s="6"/>
      <c r="BCT18" s="6"/>
      <c r="BCU18" s="6"/>
      <c r="BCV18" s="6"/>
      <c r="BCW18" s="6"/>
      <c r="BCX18" s="6"/>
      <c r="BCY18" s="6"/>
      <c r="BCZ18" s="7"/>
      <c r="BDA18" s="457" t="s">
        <v>14257</v>
      </c>
      <c r="BDB18" s="6"/>
      <c r="BDC18" s="6"/>
      <c r="BDD18" s="6"/>
      <c r="BDE18" s="6"/>
      <c r="BDF18" s="6"/>
      <c r="BDG18" s="6"/>
      <c r="BDH18" s="6"/>
      <c r="BDI18" s="6"/>
      <c r="BDJ18" s="6"/>
      <c r="BDK18" s="6"/>
      <c r="BDL18" s="6"/>
      <c r="BDM18" s="6"/>
      <c r="BDN18" s="6"/>
      <c r="BDO18" s="6"/>
      <c r="BDP18" s="7"/>
      <c r="BDQ18" s="457" t="s">
        <v>14257</v>
      </c>
      <c r="BDR18" s="6"/>
      <c r="BDS18" s="6"/>
      <c r="BDT18" s="6"/>
      <c r="BDU18" s="6"/>
      <c r="BDV18" s="6"/>
      <c r="BDW18" s="6"/>
      <c r="BDX18" s="6"/>
      <c r="BDY18" s="6"/>
      <c r="BDZ18" s="6"/>
      <c r="BEA18" s="6"/>
      <c r="BEB18" s="6"/>
      <c r="BEC18" s="6"/>
      <c r="BED18" s="6"/>
      <c r="BEE18" s="6"/>
      <c r="BEF18" s="7"/>
      <c r="BEG18" s="457" t="s">
        <v>14257</v>
      </c>
      <c r="BEH18" s="6"/>
      <c r="BEI18" s="6"/>
      <c r="BEJ18" s="6"/>
      <c r="BEK18" s="6"/>
      <c r="BEL18" s="6"/>
      <c r="BEM18" s="6"/>
      <c r="BEN18" s="6"/>
      <c r="BEO18" s="6"/>
      <c r="BEP18" s="6"/>
      <c r="BEQ18" s="6"/>
      <c r="BER18" s="6"/>
      <c r="BES18" s="6"/>
      <c r="BET18" s="6"/>
      <c r="BEU18" s="6"/>
      <c r="BEV18" s="7"/>
      <c r="BEW18" s="457" t="s">
        <v>14257</v>
      </c>
      <c r="BEX18" s="6"/>
      <c r="BEY18" s="6"/>
      <c r="BEZ18" s="6"/>
      <c r="BFA18" s="6"/>
      <c r="BFB18" s="6"/>
      <c r="BFC18" s="6"/>
      <c r="BFD18" s="6"/>
      <c r="BFE18" s="6"/>
      <c r="BFF18" s="6"/>
      <c r="BFG18" s="6"/>
      <c r="BFH18" s="6"/>
      <c r="BFI18" s="6"/>
      <c r="BFJ18" s="6"/>
      <c r="BFK18" s="6"/>
      <c r="BFL18" s="7"/>
      <c r="BFM18" s="457" t="s">
        <v>14257</v>
      </c>
      <c r="BFN18" s="6"/>
      <c r="BFO18" s="6"/>
      <c r="BFP18" s="6"/>
      <c r="BFQ18" s="6"/>
      <c r="BFR18" s="6"/>
      <c r="BFS18" s="6"/>
      <c r="BFT18" s="6"/>
      <c r="BFU18" s="6"/>
      <c r="BFV18" s="6"/>
      <c r="BFW18" s="6"/>
      <c r="BFX18" s="6"/>
      <c r="BFY18" s="6"/>
      <c r="BFZ18" s="6"/>
      <c r="BGA18" s="6"/>
      <c r="BGB18" s="7"/>
      <c r="BGC18" s="457" t="s">
        <v>14257</v>
      </c>
      <c r="BGD18" s="6"/>
      <c r="BGE18" s="6"/>
      <c r="BGF18" s="6"/>
      <c r="BGG18" s="6"/>
      <c r="BGH18" s="6"/>
      <c r="BGI18" s="6"/>
      <c r="BGJ18" s="6"/>
      <c r="BGK18" s="6"/>
      <c r="BGL18" s="6"/>
      <c r="BGM18" s="6"/>
      <c r="BGN18" s="6"/>
      <c r="BGO18" s="6"/>
      <c r="BGP18" s="6"/>
      <c r="BGQ18" s="6"/>
      <c r="BGR18" s="7"/>
      <c r="BGS18" s="457" t="s">
        <v>14257</v>
      </c>
      <c r="BGT18" s="6"/>
      <c r="BGU18" s="6"/>
      <c r="BGV18" s="6"/>
      <c r="BGW18" s="6"/>
      <c r="BGX18" s="6"/>
      <c r="BGY18" s="6"/>
      <c r="BGZ18" s="6"/>
      <c r="BHA18" s="6"/>
      <c r="BHB18" s="6"/>
      <c r="BHC18" s="6"/>
      <c r="BHD18" s="6"/>
      <c r="BHE18" s="6"/>
      <c r="BHF18" s="6"/>
      <c r="BHG18" s="6"/>
      <c r="BHH18" s="7"/>
      <c r="BHI18" s="457" t="s">
        <v>14257</v>
      </c>
      <c r="BHJ18" s="6"/>
      <c r="BHK18" s="6"/>
      <c r="BHL18" s="6"/>
      <c r="BHM18" s="6"/>
      <c r="BHN18" s="6"/>
      <c r="BHO18" s="6"/>
      <c r="BHP18" s="6"/>
      <c r="BHQ18" s="6"/>
      <c r="BHR18" s="6"/>
      <c r="BHS18" s="6"/>
      <c r="BHT18" s="6"/>
      <c r="BHU18" s="6"/>
      <c r="BHV18" s="6"/>
      <c r="BHW18" s="6"/>
      <c r="BHX18" s="7"/>
      <c r="BHY18" s="457" t="s">
        <v>14257</v>
      </c>
      <c r="BHZ18" s="6"/>
      <c r="BIA18" s="6"/>
      <c r="BIB18" s="6"/>
      <c r="BIC18" s="6"/>
      <c r="BID18" s="6"/>
      <c r="BIE18" s="6"/>
      <c r="BIF18" s="6"/>
      <c r="BIG18" s="6"/>
      <c r="BIH18" s="6"/>
      <c r="BII18" s="6"/>
      <c r="BIJ18" s="6"/>
      <c r="BIK18" s="6"/>
      <c r="BIL18" s="6"/>
      <c r="BIM18" s="6"/>
      <c r="BIN18" s="7"/>
      <c r="BIO18" s="457" t="s">
        <v>14257</v>
      </c>
      <c r="BIP18" s="6"/>
      <c r="BIQ18" s="6"/>
      <c r="BIR18" s="6"/>
      <c r="BIS18" s="6"/>
      <c r="BIT18" s="6"/>
      <c r="BIU18" s="6"/>
      <c r="BIV18" s="6"/>
      <c r="BIW18" s="6"/>
      <c r="BIX18" s="6"/>
      <c r="BIY18" s="6"/>
      <c r="BIZ18" s="6"/>
      <c r="BJA18" s="6"/>
      <c r="BJB18" s="6"/>
      <c r="BJC18" s="6"/>
      <c r="BJD18" s="7"/>
      <c r="BJE18" s="457" t="s">
        <v>14257</v>
      </c>
      <c r="BJF18" s="6"/>
      <c r="BJG18" s="6"/>
      <c r="BJH18" s="6"/>
      <c r="BJI18" s="6"/>
      <c r="BJJ18" s="6"/>
      <c r="BJK18" s="6"/>
      <c r="BJL18" s="6"/>
      <c r="BJM18" s="6"/>
      <c r="BJN18" s="6"/>
      <c r="BJO18" s="6"/>
      <c r="BJP18" s="6"/>
      <c r="BJQ18" s="6"/>
      <c r="BJR18" s="6"/>
      <c r="BJS18" s="6"/>
      <c r="BJT18" s="7"/>
      <c r="BJU18" s="457" t="s">
        <v>14257</v>
      </c>
      <c r="BJV18" s="6"/>
      <c r="BJW18" s="6"/>
      <c r="BJX18" s="6"/>
      <c r="BJY18" s="6"/>
      <c r="BJZ18" s="6"/>
      <c r="BKA18" s="6"/>
      <c r="BKB18" s="6"/>
      <c r="BKC18" s="6"/>
      <c r="BKD18" s="6"/>
      <c r="BKE18" s="6"/>
      <c r="BKF18" s="6"/>
      <c r="BKG18" s="6"/>
      <c r="BKH18" s="6"/>
      <c r="BKI18" s="6"/>
      <c r="BKJ18" s="7"/>
      <c r="BKK18" s="457" t="s">
        <v>14257</v>
      </c>
      <c r="BKL18" s="6"/>
      <c r="BKM18" s="6"/>
      <c r="BKN18" s="6"/>
      <c r="BKO18" s="6"/>
      <c r="BKP18" s="6"/>
      <c r="BKQ18" s="6"/>
      <c r="BKR18" s="6"/>
      <c r="BKS18" s="6"/>
      <c r="BKT18" s="6"/>
      <c r="BKU18" s="6"/>
      <c r="BKV18" s="6"/>
      <c r="BKW18" s="6"/>
      <c r="BKX18" s="6"/>
      <c r="BKY18" s="6"/>
      <c r="BKZ18" s="7"/>
      <c r="BLA18" s="457" t="s">
        <v>14257</v>
      </c>
      <c r="BLB18" s="6"/>
      <c r="BLC18" s="6"/>
      <c r="BLD18" s="6"/>
      <c r="BLE18" s="6"/>
      <c r="BLF18" s="6"/>
      <c r="BLG18" s="6"/>
      <c r="BLH18" s="6"/>
      <c r="BLI18" s="6"/>
      <c r="BLJ18" s="6"/>
      <c r="BLK18" s="6"/>
      <c r="BLL18" s="6"/>
      <c r="BLM18" s="6"/>
      <c r="BLN18" s="6"/>
      <c r="BLO18" s="6"/>
      <c r="BLP18" s="7"/>
      <c r="BLQ18" s="457" t="s">
        <v>14257</v>
      </c>
      <c r="BLR18" s="6"/>
      <c r="BLS18" s="6"/>
      <c r="BLT18" s="6"/>
      <c r="BLU18" s="6"/>
      <c r="BLV18" s="6"/>
      <c r="BLW18" s="6"/>
      <c r="BLX18" s="6"/>
      <c r="BLY18" s="6"/>
      <c r="BLZ18" s="6"/>
      <c r="BMA18" s="6"/>
      <c r="BMB18" s="6"/>
      <c r="BMC18" s="6"/>
      <c r="BMD18" s="6"/>
      <c r="BME18" s="6"/>
      <c r="BMF18" s="7"/>
      <c r="BMG18" s="457" t="s">
        <v>14257</v>
      </c>
      <c r="BMH18" s="6"/>
      <c r="BMI18" s="6"/>
      <c r="BMJ18" s="6"/>
      <c r="BMK18" s="6"/>
      <c r="BML18" s="6"/>
      <c r="BMM18" s="6"/>
      <c r="BMN18" s="6"/>
      <c r="BMO18" s="6"/>
      <c r="BMP18" s="6"/>
      <c r="BMQ18" s="6"/>
      <c r="BMR18" s="6"/>
      <c r="BMS18" s="6"/>
      <c r="BMT18" s="6"/>
      <c r="BMU18" s="6"/>
      <c r="BMV18" s="7"/>
      <c r="BMW18" s="457" t="s">
        <v>14257</v>
      </c>
      <c r="BMX18" s="6"/>
      <c r="BMY18" s="6"/>
      <c r="BMZ18" s="6"/>
      <c r="BNA18" s="6"/>
      <c r="BNB18" s="6"/>
      <c r="BNC18" s="6"/>
      <c r="BND18" s="6"/>
      <c r="BNE18" s="6"/>
      <c r="BNF18" s="6"/>
      <c r="BNG18" s="6"/>
      <c r="BNH18" s="6"/>
      <c r="BNI18" s="6"/>
      <c r="BNJ18" s="6"/>
      <c r="BNK18" s="6"/>
      <c r="BNL18" s="7"/>
      <c r="BNM18" s="457" t="s">
        <v>14257</v>
      </c>
      <c r="BNN18" s="6"/>
      <c r="BNO18" s="6"/>
      <c r="BNP18" s="6"/>
      <c r="BNQ18" s="6"/>
      <c r="BNR18" s="6"/>
      <c r="BNS18" s="6"/>
      <c r="BNT18" s="6"/>
      <c r="BNU18" s="6"/>
      <c r="BNV18" s="6"/>
      <c r="BNW18" s="6"/>
      <c r="BNX18" s="6"/>
      <c r="BNY18" s="6"/>
      <c r="BNZ18" s="6"/>
      <c r="BOA18" s="6"/>
      <c r="BOB18" s="7"/>
      <c r="BOC18" s="457" t="s">
        <v>14257</v>
      </c>
      <c r="BOD18" s="6"/>
      <c r="BOE18" s="6"/>
      <c r="BOF18" s="6"/>
      <c r="BOG18" s="6"/>
      <c r="BOH18" s="6"/>
      <c r="BOI18" s="6"/>
      <c r="BOJ18" s="6"/>
      <c r="BOK18" s="6"/>
      <c r="BOL18" s="6"/>
      <c r="BOM18" s="6"/>
      <c r="BON18" s="6"/>
      <c r="BOO18" s="6"/>
      <c r="BOP18" s="6"/>
      <c r="BOQ18" s="6"/>
      <c r="BOR18" s="7"/>
      <c r="BOS18" s="457" t="s">
        <v>14257</v>
      </c>
      <c r="BOT18" s="6"/>
      <c r="BOU18" s="6"/>
      <c r="BOV18" s="6"/>
      <c r="BOW18" s="6"/>
      <c r="BOX18" s="6"/>
      <c r="BOY18" s="6"/>
      <c r="BOZ18" s="6"/>
      <c r="BPA18" s="6"/>
      <c r="BPB18" s="6"/>
      <c r="BPC18" s="6"/>
      <c r="BPD18" s="6"/>
      <c r="BPE18" s="6"/>
      <c r="BPF18" s="6"/>
      <c r="BPG18" s="6"/>
      <c r="BPH18" s="7"/>
      <c r="BPI18" s="457" t="s">
        <v>14257</v>
      </c>
      <c r="BPJ18" s="6"/>
      <c r="BPK18" s="6"/>
      <c r="BPL18" s="6"/>
      <c r="BPM18" s="6"/>
      <c r="BPN18" s="6"/>
      <c r="BPO18" s="6"/>
      <c r="BPP18" s="6"/>
      <c r="BPQ18" s="6"/>
      <c r="BPR18" s="6"/>
      <c r="BPS18" s="6"/>
      <c r="BPT18" s="6"/>
      <c r="BPU18" s="6"/>
      <c r="BPV18" s="6"/>
      <c r="BPW18" s="6"/>
      <c r="BPX18" s="7"/>
      <c r="BPY18" s="457" t="s">
        <v>14257</v>
      </c>
      <c r="BPZ18" s="6"/>
      <c r="BQA18" s="6"/>
      <c r="BQB18" s="6"/>
      <c r="BQC18" s="6"/>
      <c r="BQD18" s="6"/>
      <c r="BQE18" s="6"/>
      <c r="BQF18" s="6"/>
      <c r="BQG18" s="6"/>
      <c r="BQH18" s="6"/>
      <c r="BQI18" s="6"/>
      <c r="BQJ18" s="6"/>
      <c r="BQK18" s="6"/>
      <c r="BQL18" s="6"/>
      <c r="BQM18" s="6"/>
      <c r="BQN18" s="7"/>
      <c r="BQO18" s="457" t="s">
        <v>14257</v>
      </c>
      <c r="BQP18" s="6"/>
      <c r="BQQ18" s="6"/>
      <c r="BQR18" s="6"/>
      <c r="BQS18" s="6"/>
      <c r="BQT18" s="6"/>
      <c r="BQU18" s="6"/>
      <c r="BQV18" s="6"/>
      <c r="BQW18" s="6"/>
      <c r="BQX18" s="6"/>
      <c r="BQY18" s="6"/>
      <c r="BQZ18" s="6"/>
      <c r="BRA18" s="6"/>
      <c r="BRB18" s="6"/>
      <c r="BRC18" s="6"/>
      <c r="BRD18" s="7"/>
      <c r="BRE18" s="457" t="s">
        <v>14257</v>
      </c>
      <c r="BRF18" s="6"/>
      <c r="BRG18" s="6"/>
      <c r="BRH18" s="6"/>
      <c r="BRI18" s="6"/>
      <c r="BRJ18" s="6"/>
      <c r="BRK18" s="6"/>
      <c r="BRL18" s="6"/>
      <c r="BRM18" s="6"/>
      <c r="BRN18" s="6"/>
      <c r="BRO18" s="6"/>
      <c r="BRP18" s="6"/>
      <c r="BRQ18" s="6"/>
      <c r="BRR18" s="6"/>
      <c r="BRS18" s="6"/>
      <c r="BRT18" s="7"/>
      <c r="BRU18" s="457" t="s">
        <v>14257</v>
      </c>
      <c r="BRV18" s="6"/>
      <c r="BRW18" s="6"/>
      <c r="BRX18" s="6"/>
      <c r="BRY18" s="6"/>
      <c r="BRZ18" s="6"/>
      <c r="BSA18" s="6"/>
      <c r="BSB18" s="6"/>
      <c r="BSC18" s="6"/>
      <c r="BSD18" s="6"/>
      <c r="BSE18" s="6"/>
      <c r="BSF18" s="6"/>
      <c r="BSG18" s="6"/>
      <c r="BSH18" s="6"/>
      <c r="BSI18" s="6"/>
      <c r="BSJ18" s="7"/>
      <c r="BSK18" s="457" t="s">
        <v>14257</v>
      </c>
      <c r="BSL18" s="6"/>
      <c r="BSM18" s="6"/>
      <c r="BSN18" s="6"/>
      <c r="BSO18" s="6"/>
      <c r="BSP18" s="6"/>
      <c r="BSQ18" s="6"/>
      <c r="BSR18" s="6"/>
      <c r="BSS18" s="6"/>
      <c r="BST18" s="6"/>
      <c r="BSU18" s="6"/>
      <c r="BSV18" s="6"/>
      <c r="BSW18" s="6"/>
      <c r="BSX18" s="6"/>
      <c r="BSY18" s="6"/>
      <c r="BSZ18" s="7"/>
      <c r="BTA18" s="457" t="s">
        <v>14257</v>
      </c>
      <c r="BTB18" s="6"/>
      <c r="BTC18" s="6"/>
      <c r="BTD18" s="6"/>
      <c r="BTE18" s="6"/>
      <c r="BTF18" s="6"/>
      <c r="BTG18" s="6"/>
      <c r="BTH18" s="6"/>
      <c r="BTI18" s="6"/>
      <c r="BTJ18" s="6"/>
      <c r="BTK18" s="6"/>
      <c r="BTL18" s="6"/>
      <c r="BTM18" s="6"/>
      <c r="BTN18" s="6"/>
      <c r="BTO18" s="6"/>
      <c r="BTP18" s="7"/>
      <c r="BTQ18" s="457" t="s">
        <v>14257</v>
      </c>
      <c r="BTR18" s="6"/>
      <c r="BTS18" s="6"/>
      <c r="BTT18" s="6"/>
      <c r="BTU18" s="6"/>
      <c r="BTV18" s="6"/>
      <c r="BTW18" s="6"/>
      <c r="BTX18" s="6"/>
      <c r="BTY18" s="6"/>
      <c r="BTZ18" s="6"/>
      <c r="BUA18" s="6"/>
      <c r="BUB18" s="6"/>
      <c r="BUC18" s="6"/>
      <c r="BUD18" s="6"/>
      <c r="BUE18" s="6"/>
      <c r="BUF18" s="7"/>
      <c r="BUG18" s="457" t="s">
        <v>14257</v>
      </c>
      <c r="BUH18" s="6"/>
      <c r="BUI18" s="6"/>
      <c r="BUJ18" s="6"/>
      <c r="BUK18" s="6"/>
      <c r="BUL18" s="6"/>
      <c r="BUM18" s="6"/>
      <c r="BUN18" s="6"/>
      <c r="BUO18" s="6"/>
      <c r="BUP18" s="6"/>
      <c r="BUQ18" s="6"/>
      <c r="BUR18" s="6"/>
      <c r="BUS18" s="6"/>
      <c r="BUT18" s="6"/>
      <c r="BUU18" s="6"/>
      <c r="BUV18" s="7"/>
      <c r="BUW18" s="457" t="s">
        <v>14257</v>
      </c>
      <c r="BUX18" s="6"/>
      <c r="BUY18" s="6"/>
      <c r="BUZ18" s="6"/>
      <c r="BVA18" s="6"/>
      <c r="BVB18" s="6"/>
      <c r="BVC18" s="6"/>
      <c r="BVD18" s="6"/>
      <c r="BVE18" s="6"/>
      <c r="BVF18" s="6"/>
      <c r="BVG18" s="6"/>
      <c r="BVH18" s="6"/>
      <c r="BVI18" s="6"/>
      <c r="BVJ18" s="6"/>
      <c r="BVK18" s="6"/>
      <c r="BVL18" s="7"/>
      <c r="BVM18" s="457" t="s">
        <v>14257</v>
      </c>
      <c r="BVN18" s="6"/>
      <c r="BVO18" s="6"/>
      <c r="BVP18" s="6"/>
      <c r="BVQ18" s="6"/>
      <c r="BVR18" s="6"/>
      <c r="BVS18" s="6"/>
      <c r="BVT18" s="6"/>
      <c r="BVU18" s="6"/>
      <c r="BVV18" s="6"/>
      <c r="BVW18" s="6"/>
      <c r="BVX18" s="6"/>
      <c r="BVY18" s="6"/>
      <c r="BVZ18" s="6"/>
      <c r="BWA18" s="6"/>
      <c r="BWB18" s="7"/>
      <c r="BWC18" s="457" t="s">
        <v>14257</v>
      </c>
      <c r="BWD18" s="6"/>
      <c r="BWE18" s="6"/>
      <c r="BWF18" s="6"/>
      <c r="BWG18" s="6"/>
      <c r="BWH18" s="6"/>
      <c r="BWI18" s="6"/>
      <c r="BWJ18" s="6"/>
      <c r="BWK18" s="6"/>
      <c r="BWL18" s="6"/>
      <c r="BWM18" s="6"/>
      <c r="BWN18" s="6"/>
      <c r="BWO18" s="6"/>
      <c r="BWP18" s="6"/>
      <c r="BWQ18" s="6"/>
      <c r="BWR18" s="7"/>
      <c r="BWS18" s="457" t="s">
        <v>14257</v>
      </c>
      <c r="BWT18" s="6"/>
      <c r="BWU18" s="6"/>
      <c r="BWV18" s="6"/>
      <c r="BWW18" s="6"/>
      <c r="BWX18" s="6"/>
      <c r="BWY18" s="6"/>
      <c r="BWZ18" s="6"/>
      <c r="BXA18" s="6"/>
      <c r="BXB18" s="6"/>
      <c r="BXC18" s="6"/>
      <c r="BXD18" s="6"/>
      <c r="BXE18" s="6"/>
      <c r="BXF18" s="6"/>
      <c r="BXG18" s="6"/>
      <c r="BXH18" s="7"/>
      <c r="BXI18" s="457" t="s">
        <v>14257</v>
      </c>
      <c r="BXJ18" s="6"/>
      <c r="BXK18" s="6"/>
      <c r="BXL18" s="6"/>
      <c r="BXM18" s="6"/>
      <c r="BXN18" s="6"/>
      <c r="BXO18" s="6"/>
      <c r="BXP18" s="6"/>
      <c r="BXQ18" s="6"/>
      <c r="BXR18" s="6"/>
      <c r="BXS18" s="6"/>
      <c r="BXT18" s="6"/>
      <c r="BXU18" s="6"/>
      <c r="BXV18" s="6"/>
      <c r="BXW18" s="6"/>
      <c r="BXX18" s="7"/>
      <c r="BXY18" s="457" t="s">
        <v>14257</v>
      </c>
      <c r="BXZ18" s="6"/>
      <c r="BYA18" s="6"/>
      <c r="BYB18" s="6"/>
      <c r="BYC18" s="6"/>
      <c r="BYD18" s="6"/>
      <c r="BYE18" s="6"/>
      <c r="BYF18" s="6"/>
      <c r="BYG18" s="6"/>
      <c r="BYH18" s="6"/>
      <c r="BYI18" s="6"/>
      <c r="BYJ18" s="6"/>
      <c r="BYK18" s="6"/>
      <c r="BYL18" s="6"/>
      <c r="BYM18" s="6"/>
      <c r="BYN18" s="7"/>
      <c r="BYO18" s="457" t="s">
        <v>14257</v>
      </c>
      <c r="BYP18" s="6"/>
      <c r="BYQ18" s="6"/>
      <c r="BYR18" s="6"/>
      <c r="BYS18" s="6"/>
      <c r="BYT18" s="6"/>
      <c r="BYU18" s="6"/>
      <c r="BYV18" s="6"/>
      <c r="BYW18" s="6"/>
      <c r="BYX18" s="6"/>
      <c r="BYY18" s="6"/>
      <c r="BYZ18" s="6"/>
      <c r="BZA18" s="6"/>
      <c r="BZB18" s="6"/>
      <c r="BZC18" s="6"/>
      <c r="BZD18" s="7"/>
      <c r="BZE18" s="457" t="s">
        <v>14257</v>
      </c>
      <c r="BZF18" s="6"/>
      <c r="BZG18" s="6"/>
      <c r="BZH18" s="6"/>
      <c r="BZI18" s="6"/>
      <c r="BZJ18" s="6"/>
      <c r="BZK18" s="6"/>
      <c r="BZL18" s="6"/>
      <c r="BZM18" s="6"/>
      <c r="BZN18" s="6"/>
      <c r="BZO18" s="6"/>
      <c r="BZP18" s="6"/>
      <c r="BZQ18" s="6"/>
      <c r="BZR18" s="6"/>
      <c r="BZS18" s="6"/>
      <c r="BZT18" s="7"/>
      <c r="BZU18" s="457" t="s">
        <v>14257</v>
      </c>
      <c r="BZV18" s="6"/>
      <c r="BZW18" s="6"/>
      <c r="BZX18" s="6"/>
      <c r="BZY18" s="6"/>
      <c r="BZZ18" s="6"/>
      <c r="CAA18" s="6"/>
      <c r="CAB18" s="6"/>
      <c r="CAC18" s="6"/>
      <c r="CAD18" s="6"/>
      <c r="CAE18" s="6"/>
      <c r="CAF18" s="6"/>
      <c r="CAG18" s="6"/>
      <c r="CAH18" s="6"/>
      <c r="CAI18" s="6"/>
      <c r="CAJ18" s="7"/>
      <c r="CAK18" s="457" t="s">
        <v>14257</v>
      </c>
      <c r="CAL18" s="6"/>
      <c r="CAM18" s="6"/>
      <c r="CAN18" s="6"/>
      <c r="CAO18" s="6"/>
      <c r="CAP18" s="6"/>
      <c r="CAQ18" s="6"/>
      <c r="CAR18" s="6"/>
      <c r="CAS18" s="6"/>
      <c r="CAT18" s="6"/>
      <c r="CAU18" s="6"/>
      <c r="CAV18" s="6"/>
      <c r="CAW18" s="6"/>
      <c r="CAX18" s="6"/>
      <c r="CAY18" s="6"/>
      <c r="CAZ18" s="7"/>
      <c r="CBA18" s="457" t="s">
        <v>14257</v>
      </c>
      <c r="CBB18" s="6"/>
      <c r="CBC18" s="6"/>
      <c r="CBD18" s="6"/>
      <c r="CBE18" s="6"/>
      <c r="CBF18" s="6"/>
      <c r="CBG18" s="6"/>
      <c r="CBH18" s="6"/>
      <c r="CBI18" s="6"/>
      <c r="CBJ18" s="6"/>
      <c r="CBK18" s="6"/>
      <c r="CBL18" s="6"/>
      <c r="CBM18" s="6"/>
      <c r="CBN18" s="6"/>
      <c r="CBO18" s="6"/>
      <c r="CBP18" s="7"/>
      <c r="CBQ18" s="457" t="s">
        <v>14257</v>
      </c>
      <c r="CBR18" s="6"/>
      <c r="CBS18" s="6"/>
      <c r="CBT18" s="6"/>
      <c r="CBU18" s="6"/>
      <c r="CBV18" s="6"/>
      <c r="CBW18" s="6"/>
      <c r="CBX18" s="6"/>
      <c r="CBY18" s="6"/>
      <c r="CBZ18" s="6"/>
      <c r="CCA18" s="6"/>
      <c r="CCB18" s="6"/>
      <c r="CCC18" s="6"/>
      <c r="CCD18" s="6"/>
      <c r="CCE18" s="6"/>
      <c r="CCF18" s="7"/>
      <c r="CCG18" s="457" t="s">
        <v>14257</v>
      </c>
      <c r="CCH18" s="6"/>
      <c r="CCI18" s="6"/>
      <c r="CCJ18" s="6"/>
      <c r="CCK18" s="6"/>
      <c r="CCL18" s="6"/>
      <c r="CCM18" s="6"/>
      <c r="CCN18" s="6"/>
      <c r="CCO18" s="6"/>
      <c r="CCP18" s="6"/>
      <c r="CCQ18" s="6"/>
      <c r="CCR18" s="6"/>
      <c r="CCS18" s="6"/>
      <c r="CCT18" s="6"/>
      <c r="CCU18" s="6"/>
      <c r="CCV18" s="7"/>
      <c r="CCW18" s="457" t="s">
        <v>14257</v>
      </c>
      <c r="CCX18" s="6"/>
      <c r="CCY18" s="6"/>
      <c r="CCZ18" s="6"/>
      <c r="CDA18" s="6"/>
      <c r="CDB18" s="6"/>
      <c r="CDC18" s="6"/>
      <c r="CDD18" s="6"/>
      <c r="CDE18" s="6"/>
      <c r="CDF18" s="6"/>
      <c r="CDG18" s="6"/>
      <c r="CDH18" s="6"/>
      <c r="CDI18" s="6"/>
      <c r="CDJ18" s="6"/>
      <c r="CDK18" s="6"/>
      <c r="CDL18" s="7"/>
      <c r="CDM18" s="457" t="s">
        <v>14257</v>
      </c>
      <c r="CDN18" s="6"/>
      <c r="CDO18" s="6"/>
      <c r="CDP18" s="6"/>
      <c r="CDQ18" s="6"/>
      <c r="CDR18" s="6"/>
      <c r="CDS18" s="6"/>
      <c r="CDT18" s="6"/>
      <c r="CDU18" s="6"/>
      <c r="CDV18" s="6"/>
      <c r="CDW18" s="6"/>
      <c r="CDX18" s="6"/>
      <c r="CDY18" s="6"/>
      <c r="CDZ18" s="6"/>
      <c r="CEA18" s="6"/>
      <c r="CEB18" s="7"/>
      <c r="CEC18" s="457" t="s">
        <v>14257</v>
      </c>
      <c r="CED18" s="6"/>
      <c r="CEE18" s="6"/>
      <c r="CEF18" s="6"/>
      <c r="CEG18" s="6"/>
      <c r="CEH18" s="6"/>
      <c r="CEI18" s="6"/>
      <c r="CEJ18" s="6"/>
      <c r="CEK18" s="6"/>
      <c r="CEL18" s="6"/>
      <c r="CEM18" s="6"/>
      <c r="CEN18" s="6"/>
      <c r="CEO18" s="6"/>
      <c r="CEP18" s="6"/>
      <c r="CEQ18" s="6"/>
      <c r="CER18" s="7"/>
      <c r="CES18" s="457" t="s">
        <v>14257</v>
      </c>
      <c r="CET18" s="6"/>
      <c r="CEU18" s="6"/>
      <c r="CEV18" s="6"/>
      <c r="CEW18" s="6"/>
      <c r="CEX18" s="6"/>
      <c r="CEY18" s="6"/>
      <c r="CEZ18" s="6"/>
      <c r="CFA18" s="6"/>
      <c r="CFB18" s="6"/>
      <c r="CFC18" s="6"/>
      <c r="CFD18" s="6"/>
      <c r="CFE18" s="6"/>
      <c r="CFF18" s="6"/>
      <c r="CFG18" s="6"/>
      <c r="CFH18" s="7"/>
      <c r="CFI18" s="457" t="s">
        <v>14257</v>
      </c>
      <c r="CFJ18" s="6"/>
      <c r="CFK18" s="6"/>
      <c r="CFL18" s="6"/>
      <c r="CFM18" s="6"/>
      <c r="CFN18" s="6"/>
      <c r="CFO18" s="6"/>
      <c r="CFP18" s="6"/>
      <c r="CFQ18" s="6"/>
      <c r="CFR18" s="6"/>
      <c r="CFS18" s="6"/>
      <c r="CFT18" s="6"/>
      <c r="CFU18" s="6"/>
      <c r="CFV18" s="6"/>
      <c r="CFW18" s="6"/>
      <c r="CFX18" s="7"/>
      <c r="CFY18" s="457" t="s">
        <v>14257</v>
      </c>
      <c r="CFZ18" s="6"/>
      <c r="CGA18" s="6"/>
      <c r="CGB18" s="6"/>
      <c r="CGC18" s="6"/>
      <c r="CGD18" s="6"/>
      <c r="CGE18" s="6"/>
      <c r="CGF18" s="6"/>
      <c r="CGG18" s="6"/>
      <c r="CGH18" s="6"/>
      <c r="CGI18" s="6"/>
      <c r="CGJ18" s="6"/>
      <c r="CGK18" s="6"/>
      <c r="CGL18" s="6"/>
      <c r="CGM18" s="6"/>
      <c r="CGN18" s="7"/>
      <c r="CGO18" s="457" t="s">
        <v>14257</v>
      </c>
      <c r="CGP18" s="6"/>
      <c r="CGQ18" s="6"/>
      <c r="CGR18" s="6"/>
      <c r="CGS18" s="6"/>
      <c r="CGT18" s="6"/>
      <c r="CGU18" s="6"/>
      <c r="CGV18" s="6"/>
      <c r="CGW18" s="6"/>
      <c r="CGX18" s="6"/>
      <c r="CGY18" s="6"/>
      <c r="CGZ18" s="6"/>
      <c r="CHA18" s="6"/>
      <c r="CHB18" s="6"/>
      <c r="CHC18" s="6"/>
      <c r="CHD18" s="7"/>
      <c r="CHE18" s="457" t="s">
        <v>14257</v>
      </c>
      <c r="CHF18" s="6"/>
      <c r="CHG18" s="6"/>
      <c r="CHH18" s="6"/>
      <c r="CHI18" s="6"/>
      <c r="CHJ18" s="6"/>
      <c r="CHK18" s="6"/>
      <c r="CHL18" s="6"/>
      <c r="CHM18" s="6"/>
      <c r="CHN18" s="6"/>
      <c r="CHO18" s="6"/>
      <c r="CHP18" s="6"/>
      <c r="CHQ18" s="6"/>
      <c r="CHR18" s="6"/>
      <c r="CHS18" s="6"/>
      <c r="CHT18" s="7"/>
      <c r="CHU18" s="457" t="s">
        <v>14257</v>
      </c>
      <c r="CHV18" s="6"/>
      <c r="CHW18" s="6"/>
      <c r="CHX18" s="6"/>
      <c r="CHY18" s="6"/>
      <c r="CHZ18" s="6"/>
      <c r="CIA18" s="6"/>
      <c r="CIB18" s="6"/>
      <c r="CIC18" s="6"/>
      <c r="CID18" s="6"/>
      <c r="CIE18" s="6"/>
      <c r="CIF18" s="6"/>
      <c r="CIG18" s="6"/>
      <c r="CIH18" s="6"/>
      <c r="CII18" s="6"/>
      <c r="CIJ18" s="7"/>
      <c r="CIK18" s="457" t="s">
        <v>14257</v>
      </c>
      <c r="CIL18" s="6"/>
      <c r="CIM18" s="6"/>
      <c r="CIN18" s="6"/>
      <c r="CIO18" s="6"/>
      <c r="CIP18" s="6"/>
      <c r="CIQ18" s="6"/>
      <c r="CIR18" s="6"/>
      <c r="CIS18" s="6"/>
      <c r="CIT18" s="6"/>
      <c r="CIU18" s="6"/>
      <c r="CIV18" s="6"/>
      <c r="CIW18" s="6"/>
      <c r="CIX18" s="6"/>
      <c r="CIY18" s="6"/>
      <c r="CIZ18" s="7"/>
      <c r="CJA18" s="457" t="s">
        <v>14257</v>
      </c>
      <c r="CJB18" s="6"/>
      <c r="CJC18" s="6"/>
      <c r="CJD18" s="6"/>
      <c r="CJE18" s="6"/>
      <c r="CJF18" s="6"/>
      <c r="CJG18" s="6"/>
      <c r="CJH18" s="6"/>
      <c r="CJI18" s="6"/>
      <c r="CJJ18" s="6"/>
      <c r="CJK18" s="6"/>
      <c r="CJL18" s="6"/>
      <c r="CJM18" s="6"/>
      <c r="CJN18" s="6"/>
      <c r="CJO18" s="6"/>
      <c r="CJP18" s="7"/>
      <c r="CJQ18" s="457" t="s">
        <v>14257</v>
      </c>
      <c r="CJR18" s="6"/>
      <c r="CJS18" s="6"/>
      <c r="CJT18" s="6"/>
      <c r="CJU18" s="6"/>
      <c r="CJV18" s="6"/>
      <c r="CJW18" s="6"/>
      <c r="CJX18" s="6"/>
      <c r="CJY18" s="6"/>
      <c r="CJZ18" s="6"/>
      <c r="CKA18" s="6"/>
      <c r="CKB18" s="6"/>
      <c r="CKC18" s="6"/>
      <c r="CKD18" s="6"/>
      <c r="CKE18" s="6"/>
      <c r="CKF18" s="7"/>
      <c r="CKG18" s="457" t="s">
        <v>14257</v>
      </c>
      <c r="CKH18" s="6"/>
      <c r="CKI18" s="6"/>
      <c r="CKJ18" s="6"/>
      <c r="CKK18" s="6"/>
      <c r="CKL18" s="6"/>
      <c r="CKM18" s="6"/>
      <c r="CKN18" s="6"/>
      <c r="CKO18" s="6"/>
      <c r="CKP18" s="6"/>
      <c r="CKQ18" s="6"/>
      <c r="CKR18" s="6"/>
      <c r="CKS18" s="6"/>
      <c r="CKT18" s="6"/>
      <c r="CKU18" s="6"/>
      <c r="CKV18" s="7"/>
      <c r="CKW18" s="457" t="s">
        <v>14257</v>
      </c>
      <c r="CKX18" s="6"/>
      <c r="CKY18" s="6"/>
      <c r="CKZ18" s="6"/>
      <c r="CLA18" s="6"/>
      <c r="CLB18" s="6"/>
      <c r="CLC18" s="6"/>
      <c r="CLD18" s="6"/>
      <c r="CLE18" s="6"/>
      <c r="CLF18" s="6"/>
      <c r="CLG18" s="6"/>
      <c r="CLH18" s="6"/>
      <c r="CLI18" s="6"/>
      <c r="CLJ18" s="6"/>
      <c r="CLK18" s="6"/>
      <c r="CLL18" s="7"/>
      <c r="CLM18" s="457" t="s">
        <v>14257</v>
      </c>
      <c r="CLN18" s="6"/>
      <c r="CLO18" s="6"/>
      <c r="CLP18" s="6"/>
      <c r="CLQ18" s="6"/>
      <c r="CLR18" s="6"/>
      <c r="CLS18" s="6"/>
      <c r="CLT18" s="6"/>
      <c r="CLU18" s="6"/>
      <c r="CLV18" s="6"/>
      <c r="CLW18" s="6"/>
      <c r="CLX18" s="6"/>
      <c r="CLY18" s="6"/>
      <c r="CLZ18" s="6"/>
      <c r="CMA18" s="6"/>
      <c r="CMB18" s="7"/>
      <c r="CMC18" s="457" t="s">
        <v>14257</v>
      </c>
      <c r="CMD18" s="6"/>
      <c r="CME18" s="6"/>
      <c r="CMF18" s="6"/>
      <c r="CMG18" s="6"/>
      <c r="CMH18" s="6"/>
      <c r="CMI18" s="6"/>
      <c r="CMJ18" s="6"/>
      <c r="CMK18" s="6"/>
      <c r="CML18" s="6"/>
      <c r="CMM18" s="6"/>
      <c r="CMN18" s="6"/>
      <c r="CMO18" s="6"/>
      <c r="CMP18" s="6"/>
      <c r="CMQ18" s="6"/>
      <c r="CMR18" s="7"/>
      <c r="CMS18" s="457" t="s">
        <v>14257</v>
      </c>
      <c r="CMT18" s="6"/>
      <c r="CMU18" s="6"/>
      <c r="CMV18" s="6"/>
      <c r="CMW18" s="6"/>
      <c r="CMX18" s="6"/>
      <c r="CMY18" s="6"/>
      <c r="CMZ18" s="6"/>
      <c r="CNA18" s="6"/>
      <c r="CNB18" s="6"/>
      <c r="CNC18" s="6"/>
      <c r="CND18" s="6"/>
      <c r="CNE18" s="6"/>
      <c r="CNF18" s="6"/>
      <c r="CNG18" s="6"/>
      <c r="CNH18" s="7"/>
      <c r="CNI18" s="457" t="s">
        <v>14257</v>
      </c>
      <c r="CNJ18" s="6"/>
      <c r="CNK18" s="6"/>
      <c r="CNL18" s="6"/>
      <c r="CNM18" s="6"/>
      <c r="CNN18" s="6"/>
      <c r="CNO18" s="6"/>
      <c r="CNP18" s="6"/>
      <c r="CNQ18" s="6"/>
      <c r="CNR18" s="6"/>
      <c r="CNS18" s="6"/>
      <c r="CNT18" s="6"/>
      <c r="CNU18" s="6"/>
      <c r="CNV18" s="6"/>
      <c r="CNW18" s="6"/>
      <c r="CNX18" s="7"/>
      <c r="CNY18" s="457" t="s">
        <v>14257</v>
      </c>
      <c r="CNZ18" s="6"/>
      <c r="COA18" s="6"/>
      <c r="COB18" s="6"/>
      <c r="COC18" s="6"/>
      <c r="COD18" s="6"/>
      <c r="COE18" s="6"/>
      <c r="COF18" s="6"/>
      <c r="COG18" s="6"/>
      <c r="COH18" s="6"/>
      <c r="COI18" s="6"/>
      <c r="COJ18" s="6"/>
      <c r="COK18" s="6"/>
      <c r="COL18" s="6"/>
      <c r="COM18" s="6"/>
      <c r="CON18" s="7"/>
      <c r="COO18" s="457" t="s">
        <v>14257</v>
      </c>
      <c r="COP18" s="6"/>
      <c r="COQ18" s="6"/>
      <c r="COR18" s="6"/>
      <c r="COS18" s="6"/>
      <c r="COT18" s="6"/>
      <c r="COU18" s="6"/>
      <c r="COV18" s="6"/>
      <c r="COW18" s="6"/>
      <c r="COX18" s="6"/>
      <c r="COY18" s="6"/>
      <c r="COZ18" s="6"/>
      <c r="CPA18" s="6"/>
      <c r="CPB18" s="6"/>
      <c r="CPC18" s="6"/>
      <c r="CPD18" s="7"/>
      <c r="CPE18" s="457" t="s">
        <v>14257</v>
      </c>
      <c r="CPF18" s="6"/>
      <c r="CPG18" s="6"/>
      <c r="CPH18" s="6"/>
      <c r="CPI18" s="6"/>
      <c r="CPJ18" s="6"/>
      <c r="CPK18" s="6"/>
      <c r="CPL18" s="6"/>
      <c r="CPM18" s="6"/>
      <c r="CPN18" s="6"/>
      <c r="CPO18" s="6"/>
      <c r="CPP18" s="6"/>
      <c r="CPQ18" s="6"/>
      <c r="CPR18" s="6"/>
      <c r="CPS18" s="6"/>
      <c r="CPT18" s="7"/>
      <c r="CPU18" s="457" t="s">
        <v>14257</v>
      </c>
      <c r="CPV18" s="6"/>
      <c r="CPW18" s="6"/>
      <c r="CPX18" s="6"/>
      <c r="CPY18" s="6"/>
      <c r="CPZ18" s="6"/>
      <c r="CQA18" s="6"/>
      <c r="CQB18" s="6"/>
      <c r="CQC18" s="6"/>
      <c r="CQD18" s="6"/>
      <c r="CQE18" s="6"/>
      <c r="CQF18" s="6"/>
      <c r="CQG18" s="6"/>
      <c r="CQH18" s="6"/>
      <c r="CQI18" s="6"/>
      <c r="CQJ18" s="7"/>
      <c r="CQK18" s="457" t="s">
        <v>14257</v>
      </c>
      <c r="CQL18" s="6"/>
      <c r="CQM18" s="6"/>
      <c r="CQN18" s="6"/>
      <c r="CQO18" s="6"/>
      <c r="CQP18" s="6"/>
      <c r="CQQ18" s="6"/>
      <c r="CQR18" s="6"/>
      <c r="CQS18" s="6"/>
      <c r="CQT18" s="6"/>
      <c r="CQU18" s="6"/>
      <c r="CQV18" s="6"/>
      <c r="CQW18" s="6"/>
      <c r="CQX18" s="6"/>
      <c r="CQY18" s="6"/>
      <c r="CQZ18" s="7"/>
      <c r="CRA18" s="457" t="s">
        <v>14257</v>
      </c>
      <c r="CRB18" s="6"/>
      <c r="CRC18" s="6"/>
      <c r="CRD18" s="6"/>
      <c r="CRE18" s="6"/>
      <c r="CRF18" s="6"/>
      <c r="CRG18" s="6"/>
      <c r="CRH18" s="6"/>
      <c r="CRI18" s="6"/>
      <c r="CRJ18" s="6"/>
      <c r="CRK18" s="6"/>
      <c r="CRL18" s="6"/>
      <c r="CRM18" s="6"/>
      <c r="CRN18" s="6"/>
      <c r="CRO18" s="6"/>
      <c r="CRP18" s="7"/>
      <c r="CRQ18" s="457" t="s">
        <v>14257</v>
      </c>
      <c r="CRR18" s="6"/>
      <c r="CRS18" s="6"/>
      <c r="CRT18" s="6"/>
      <c r="CRU18" s="6"/>
      <c r="CRV18" s="6"/>
      <c r="CRW18" s="6"/>
      <c r="CRX18" s="6"/>
      <c r="CRY18" s="6"/>
      <c r="CRZ18" s="6"/>
      <c r="CSA18" s="6"/>
      <c r="CSB18" s="6"/>
      <c r="CSC18" s="6"/>
      <c r="CSD18" s="6"/>
      <c r="CSE18" s="6"/>
      <c r="CSF18" s="7"/>
      <c r="CSG18" s="457" t="s">
        <v>14257</v>
      </c>
      <c r="CSH18" s="6"/>
      <c r="CSI18" s="6"/>
      <c r="CSJ18" s="6"/>
      <c r="CSK18" s="6"/>
      <c r="CSL18" s="6"/>
      <c r="CSM18" s="6"/>
      <c r="CSN18" s="6"/>
      <c r="CSO18" s="6"/>
      <c r="CSP18" s="6"/>
      <c r="CSQ18" s="6"/>
      <c r="CSR18" s="6"/>
      <c r="CSS18" s="6"/>
      <c r="CST18" s="6"/>
      <c r="CSU18" s="6"/>
      <c r="CSV18" s="7"/>
      <c r="CSW18" s="457" t="s">
        <v>14257</v>
      </c>
      <c r="CSX18" s="6"/>
      <c r="CSY18" s="6"/>
      <c r="CSZ18" s="6"/>
      <c r="CTA18" s="6"/>
      <c r="CTB18" s="6"/>
      <c r="CTC18" s="6"/>
      <c r="CTD18" s="6"/>
      <c r="CTE18" s="6"/>
      <c r="CTF18" s="6"/>
      <c r="CTG18" s="6"/>
      <c r="CTH18" s="6"/>
      <c r="CTI18" s="6"/>
      <c r="CTJ18" s="6"/>
      <c r="CTK18" s="6"/>
      <c r="CTL18" s="7"/>
      <c r="CTM18" s="457" t="s">
        <v>14257</v>
      </c>
      <c r="CTN18" s="6"/>
      <c r="CTO18" s="6"/>
      <c r="CTP18" s="6"/>
      <c r="CTQ18" s="6"/>
      <c r="CTR18" s="6"/>
      <c r="CTS18" s="6"/>
      <c r="CTT18" s="6"/>
      <c r="CTU18" s="6"/>
      <c r="CTV18" s="6"/>
      <c r="CTW18" s="6"/>
      <c r="CTX18" s="6"/>
      <c r="CTY18" s="6"/>
      <c r="CTZ18" s="6"/>
      <c r="CUA18" s="6"/>
      <c r="CUB18" s="7"/>
      <c r="CUC18" s="457" t="s">
        <v>14257</v>
      </c>
      <c r="CUD18" s="6"/>
      <c r="CUE18" s="6"/>
      <c r="CUF18" s="6"/>
      <c r="CUG18" s="6"/>
      <c r="CUH18" s="6"/>
      <c r="CUI18" s="6"/>
      <c r="CUJ18" s="6"/>
      <c r="CUK18" s="6"/>
      <c r="CUL18" s="6"/>
      <c r="CUM18" s="6"/>
      <c r="CUN18" s="6"/>
      <c r="CUO18" s="6"/>
      <c r="CUP18" s="6"/>
      <c r="CUQ18" s="6"/>
      <c r="CUR18" s="7"/>
      <c r="CUS18" s="457" t="s">
        <v>14257</v>
      </c>
      <c r="CUT18" s="6"/>
      <c r="CUU18" s="6"/>
      <c r="CUV18" s="6"/>
      <c r="CUW18" s="6"/>
      <c r="CUX18" s="6"/>
      <c r="CUY18" s="6"/>
      <c r="CUZ18" s="6"/>
      <c r="CVA18" s="6"/>
      <c r="CVB18" s="6"/>
      <c r="CVC18" s="6"/>
      <c r="CVD18" s="6"/>
      <c r="CVE18" s="6"/>
      <c r="CVF18" s="6"/>
      <c r="CVG18" s="6"/>
      <c r="CVH18" s="7"/>
      <c r="CVI18" s="457" t="s">
        <v>14257</v>
      </c>
      <c r="CVJ18" s="6"/>
      <c r="CVK18" s="6"/>
      <c r="CVL18" s="6"/>
      <c r="CVM18" s="6"/>
      <c r="CVN18" s="6"/>
      <c r="CVO18" s="6"/>
      <c r="CVP18" s="6"/>
      <c r="CVQ18" s="6"/>
      <c r="CVR18" s="6"/>
      <c r="CVS18" s="6"/>
      <c r="CVT18" s="6"/>
      <c r="CVU18" s="6"/>
      <c r="CVV18" s="6"/>
      <c r="CVW18" s="6"/>
      <c r="CVX18" s="7"/>
      <c r="CVY18" s="457" t="s">
        <v>14257</v>
      </c>
      <c r="CVZ18" s="6"/>
      <c r="CWA18" s="6"/>
      <c r="CWB18" s="6"/>
      <c r="CWC18" s="6"/>
      <c r="CWD18" s="6"/>
      <c r="CWE18" s="6"/>
      <c r="CWF18" s="6"/>
      <c r="CWG18" s="6"/>
      <c r="CWH18" s="6"/>
      <c r="CWI18" s="6"/>
      <c r="CWJ18" s="6"/>
      <c r="CWK18" s="6"/>
      <c r="CWL18" s="6"/>
      <c r="CWM18" s="6"/>
      <c r="CWN18" s="7"/>
      <c r="CWO18" s="457" t="s">
        <v>14257</v>
      </c>
      <c r="CWP18" s="6"/>
      <c r="CWQ18" s="6"/>
      <c r="CWR18" s="6"/>
      <c r="CWS18" s="6"/>
      <c r="CWT18" s="6"/>
      <c r="CWU18" s="6"/>
      <c r="CWV18" s="6"/>
      <c r="CWW18" s="6"/>
      <c r="CWX18" s="6"/>
      <c r="CWY18" s="6"/>
      <c r="CWZ18" s="6"/>
      <c r="CXA18" s="6"/>
      <c r="CXB18" s="6"/>
      <c r="CXC18" s="6"/>
      <c r="CXD18" s="7"/>
      <c r="CXE18" s="457" t="s">
        <v>14257</v>
      </c>
      <c r="CXF18" s="6"/>
      <c r="CXG18" s="6"/>
      <c r="CXH18" s="6"/>
      <c r="CXI18" s="6"/>
      <c r="CXJ18" s="6"/>
      <c r="CXK18" s="6"/>
      <c r="CXL18" s="6"/>
      <c r="CXM18" s="6"/>
      <c r="CXN18" s="6"/>
      <c r="CXO18" s="6"/>
      <c r="CXP18" s="6"/>
      <c r="CXQ18" s="6"/>
      <c r="CXR18" s="6"/>
      <c r="CXS18" s="6"/>
      <c r="CXT18" s="7"/>
      <c r="CXU18" s="457" t="s">
        <v>14257</v>
      </c>
      <c r="CXV18" s="6"/>
      <c r="CXW18" s="6"/>
      <c r="CXX18" s="6"/>
      <c r="CXY18" s="6"/>
      <c r="CXZ18" s="6"/>
      <c r="CYA18" s="6"/>
      <c r="CYB18" s="6"/>
      <c r="CYC18" s="6"/>
      <c r="CYD18" s="6"/>
      <c r="CYE18" s="6"/>
      <c r="CYF18" s="6"/>
      <c r="CYG18" s="6"/>
      <c r="CYH18" s="6"/>
      <c r="CYI18" s="6"/>
      <c r="CYJ18" s="7"/>
      <c r="CYK18" s="457" t="s">
        <v>14257</v>
      </c>
      <c r="CYL18" s="6"/>
      <c r="CYM18" s="6"/>
      <c r="CYN18" s="6"/>
      <c r="CYO18" s="6"/>
      <c r="CYP18" s="6"/>
      <c r="CYQ18" s="6"/>
      <c r="CYR18" s="6"/>
      <c r="CYS18" s="6"/>
      <c r="CYT18" s="6"/>
      <c r="CYU18" s="6"/>
      <c r="CYV18" s="6"/>
      <c r="CYW18" s="6"/>
      <c r="CYX18" s="6"/>
      <c r="CYY18" s="6"/>
      <c r="CYZ18" s="7"/>
      <c r="CZA18" s="457" t="s">
        <v>14257</v>
      </c>
      <c r="CZB18" s="6"/>
      <c r="CZC18" s="6"/>
      <c r="CZD18" s="6"/>
      <c r="CZE18" s="6"/>
      <c r="CZF18" s="6"/>
      <c r="CZG18" s="6"/>
      <c r="CZH18" s="6"/>
      <c r="CZI18" s="6"/>
      <c r="CZJ18" s="6"/>
      <c r="CZK18" s="6"/>
      <c r="CZL18" s="6"/>
      <c r="CZM18" s="6"/>
      <c r="CZN18" s="6"/>
      <c r="CZO18" s="6"/>
      <c r="CZP18" s="7"/>
      <c r="CZQ18" s="457" t="s">
        <v>14257</v>
      </c>
      <c r="CZR18" s="6"/>
      <c r="CZS18" s="6"/>
      <c r="CZT18" s="6"/>
      <c r="CZU18" s="6"/>
      <c r="CZV18" s="6"/>
      <c r="CZW18" s="6"/>
      <c r="CZX18" s="6"/>
      <c r="CZY18" s="6"/>
      <c r="CZZ18" s="6"/>
      <c r="DAA18" s="6"/>
      <c r="DAB18" s="6"/>
      <c r="DAC18" s="6"/>
      <c r="DAD18" s="6"/>
      <c r="DAE18" s="6"/>
      <c r="DAF18" s="7"/>
      <c r="DAG18" s="457" t="s">
        <v>14257</v>
      </c>
      <c r="DAH18" s="6"/>
      <c r="DAI18" s="6"/>
      <c r="DAJ18" s="6"/>
      <c r="DAK18" s="6"/>
      <c r="DAL18" s="6"/>
      <c r="DAM18" s="6"/>
      <c r="DAN18" s="6"/>
      <c r="DAO18" s="6"/>
      <c r="DAP18" s="6"/>
      <c r="DAQ18" s="6"/>
      <c r="DAR18" s="6"/>
      <c r="DAS18" s="6"/>
      <c r="DAT18" s="6"/>
      <c r="DAU18" s="6"/>
      <c r="DAV18" s="7"/>
      <c r="DAW18" s="457" t="s">
        <v>14257</v>
      </c>
      <c r="DAX18" s="6"/>
      <c r="DAY18" s="6"/>
      <c r="DAZ18" s="6"/>
      <c r="DBA18" s="6"/>
      <c r="DBB18" s="6"/>
      <c r="DBC18" s="6"/>
      <c r="DBD18" s="6"/>
      <c r="DBE18" s="6"/>
      <c r="DBF18" s="6"/>
      <c r="DBG18" s="6"/>
      <c r="DBH18" s="6"/>
      <c r="DBI18" s="6"/>
      <c r="DBJ18" s="6"/>
      <c r="DBK18" s="6"/>
      <c r="DBL18" s="7"/>
      <c r="DBM18" s="457" t="s">
        <v>14257</v>
      </c>
      <c r="DBN18" s="6"/>
      <c r="DBO18" s="6"/>
      <c r="DBP18" s="6"/>
      <c r="DBQ18" s="6"/>
      <c r="DBR18" s="6"/>
      <c r="DBS18" s="6"/>
      <c r="DBT18" s="6"/>
      <c r="DBU18" s="6"/>
      <c r="DBV18" s="6"/>
      <c r="DBW18" s="6"/>
      <c r="DBX18" s="6"/>
      <c r="DBY18" s="6"/>
      <c r="DBZ18" s="6"/>
      <c r="DCA18" s="6"/>
      <c r="DCB18" s="7"/>
      <c r="DCC18" s="457" t="s">
        <v>14257</v>
      </c>
      <c r="DCD18" s="6"/>
      <c r="DCE18" s="6"/>
      <c r="DCF18" s="6"/>
      <c r="DCG18" s="6"/>
      <c r="DCH18" s="6"/>
      <c r="DCI18" s="6"/>
      <c r="DCJ18" s="6"/>
      <c r="DCK18" s="6"/>
      <c r="DCL18" s="6"/>
      <c r="DCM18" s="6"/>
      <c r="DCN18" s="6"/>
      <c r="DCO18" s="6"/>
      <c r="DCP18" s="6"/>
      <c r="DCQ18" s="6"/>
      <c r="DCR18" s="7"/>
      <c r="DCS18" s="457" t="s">
        <v>14257</v>
      </c>
      <c r="DCT18" s="6"/>
      <c r="DCU18" s="6"/>
      <c r="DCV18" s="6"/>
      <c r="DCW18" s="6"/>
      <c r="DCX18" s="6"/>
      <c r="DCY18" s="6"/>
      <c r="DCZ18" s="6"/>
      <c r="DDA18" s="6"/>
      <c r="DDB18" s="6"/>
      <c r="DDC18" s="6"/>
      <c r="DDD18" s="6"/>
      <c r="DDE18" s="6"/>
      <c r="DDF18" s="6"/>
      <c r="DDG18" s="6"/>
      <c r="DDH18" s="7"/>
      <c r="DDI18" s="457" t="s">
        <v>14257</v>
      </c>
      <c r="DDJ18" s="6"/>
      <c r="DDK18" s="6"/>
      <c r="DDL18" s="6"/>
      <c r="DDM18" s="6"/>
      <c r="DDN18" s="6"/>
      <c r="DDO18" s="6"/>
      <c r="DDP18" s="6"/>
      <c r="DDQ18" s="6"/>
      <c r="DDR18" s="6"/>
      <c r="DDS18" s="6"/>
      <c r="DDT18" s="6"/>
      <c r="DDU18" s="6"/>
      <c r="DDV18" s="6"/>
      <c r="DDW18" s="6"/>
      <c r="DDX18" s="7"/>
      <c r="DDY18" s="457" t="s">
        <v>14257</v>
      </c>
      <c r="DDZ18" s="6"/>
      <c r="DEA18" s="6"/>
      <c r="DEB18" s="6"/>
      <c r="DEC18" s="6"/>
      <c r="DED18" s="6"/>
      <c r="DEE18" s="6"/>
      <c r="DEF18" s="6"/>
      <c r="DEG18" s="6"/>
      <c r="DEH18" s="6"/>
      <c r="DEI18" s="6"/>
      <c r="DEJ18" s="6"/>
      <c r="DEK18" s="6"/>
      <c r="DEL18" s="6"/>
      <c r="DEM18" s="6"/>
      <c r="DEN18" s="7"/>
      <c r="DEO18" s="457" t="s">
        <v>14257</v>
      </c>
      <c r="DEP18" s="6"/>
      <c r="DEQ18" s="6"/>
      <c r="DER18" s="6"/>
      <c r="DES18" s="6"/>
      <c r="DET18" s="6"/>
      <c r="DEU18" s="6"/>
      <c r="DEV18" s="6"/>
      <c r="DEW18" s="6"/>
      <c r="DEX18" s="6"/>
      <c r="DEY18" s="6"/>
      <c r="DEZ18" s="6"/>
      <c r="DFA18" s="6"/>
      <c r="DFB18" s="6"/>
      <c r="DFC18" s="6"/>
      <c r="DFD18" s="7"/>
      <c r="DFE18" s="457" t="s">
        <v>14257</v>
      </c>
      <c r="DFF18" s="6"/>
      <c r="DFG18" s="6"/>
      <c r="DFH18" s="6"/>
      <c r="DFI18" s="6"/>
      <c r="DFJ18" s="6"/>
      <c r="DFK18" s="6"/>
      <c r="DFL18" s="6"/>
      <c r="DFM18" s="6"/>
      <c r="DFN18" s="6"/>
      <c r="DFO18" s="6"/>
      <c r="DFP18" s="6"/>
      <c r="DFQ18" s="6"/>
      <c r="DFR18" s="6"/>
      <c r="DFS18" s="6"/>
      <c r="DFT18" s="7"/>
      <c r="DFU18" s="457" t="s">
        <v>14257</v>
      </c>
      <c r="DFV18" s="6"/>
      <c r="DFW18" s="6"/>
      <c r="DFX18" s="6"/>
      <c r="DFY18" s="6"/>
      <c r="DFZ18" s="6"/>
      <c r="DGA18" s="6"/>
      <c r="DGB18" s="6"/>
      <c r="DGC18" s="6"/>
      <c r="DGD18" s="6"/>
      <c r="DGE18" s="6"/>
      <c r="DGF18" s="6"/>
      <c r="DGG18" s="6"/>
      <c r="DGH18" s="6"/>
      <c r="DGI18" s="6"/>
      <c r="DGJ18" s="7"/>
      <c r="DGK18" s="457" t="s">
        <v>14257</v>
      </c>
      <c r="DGL18" s="6"/>
      <c r="DGM18" s="6"/>
      <c r="DGN18" s="6"/>
      <c r="DGO18" s="6"/>
      <c r="DGP18" s="6"/>
      <c r="DGQ18" s="6"/>
      <c r="DGR18" s="6"/>
      <c r="DGS18" s="6"/>
      <c r="DGT18" s="6"/>
      <c r="DGU18" s="6"/>
      <c r="DGV18" s="6"/>
      <c r="DGW18" s="6"/>
      <c r="DGX18" s="6"/>
      <c r="DGY18" s="6"/>
      <c r="DGZ18" s="7"/>
      <c r="DHA18" s="457" t="s">
        <v>14257</v>
      </c>
      <c r="DHB18" s="6"/>
      <c r="DHC18" s="6"/>
      <c r="DHD18" s="6"/>
      <c r="DHE18" s="6"/>
      <c r="DHF18" s="6"/>
      <c r="DHG18" s="6"/>
      <c r="DHH18" s="6"/>
      <c r="DHI18" s="6"/>
      <c r="DHJ18" s="6"/>
      <c r="DHK18" s="6"/>
      <c r="DHL18" s="6"/>
      <c r="DHM18" s="6"/>
      <c r="DHN18" s="6"/>
      <c r="DHO18" s="6"/>
      <c r="DHP18" s="7"/>
      <c r="DHQ18" s="457" t="s">
        <v>14257</v>
      </c>
      <c r="DHR18" s="6"/>
      <c r="DHS18" s="6"/>
      <c r="DHT18" s="6"/>
      <c r="DHU18" s="6"/>
      <c r="DHV18" s="6"/>
      <c r="DHW18" s="6"/>
      <c r="DHX18" s="6"/>
      <c r="DHY18" s="6"/>
      <c r="DHZ18" s="6"/>
      <c r="DIA18" s="6"/>
      <c r="DIB18" s="6"/>
      <c r="DIC18" s="6"/>
      <c r="DID18" s="6"/>
      <c r="DIE18" s="6"/>
      <c r="DIF18" s="7"/>
      <c r="DIG18" s="457" t="s">
        <v>14257</v>
      </c>
      <c r="DIH18" s="6"/>
      <c r="DII18" s="6"/>
      <c r="DIJ18" s="6"/>
      <c r="DIK18" s="6"/>
      <c r="DIL18" s="6"/>
      <c r="DIM18" s="6"/>
      <c r="DIN18" s="6"/>
      <c r="DIO18" s="6"/>
      <c r="DIP18" s="6"/>
      <c r="DIQ18" s="6"/>
      <c r="DIR18" s="6"/>
      <c r="DIS18" s="6"/>
      <c r="DIT18" s="6"/>
      <c r="DIU18" s="6"/>
      <c r="DIV18" s="7"/>
      <c r="DIW18" s="457" t="s">
        <v>14257</v>
      </c>
      <c r="DIX18" s="6"/>
      <c r="DIY18" s="6"/>
      <c r="DIZ18" s="6"/>
      <c r="DJA18" s="6"/>
      <c r="DJB18" s="6"/>
      <c r="DJC18" s="6"/>
      <c r="DJD18" s="6"/>
      <c r="DJE18" s="6"/>
      <c r="DJF18" s="6"/>
      <c r="DJG18" s="6"/>
      <c r="DJH18" s="6"/>
      <c r="DJI18" s="6"/>
      <c r="DJJ18" s="6"/>
      <c r="DJK18" s="6"/>
      <c r="DJL18" s="7"/>
      <c r="DJM18" s="457" t="s">
        <v>14257</v>
      </c>
      <c r="DJN18" s="6"/>
      <c r="DJO18" s="6"/>
      <c r="DJP18" s="6"/>
      <c r="DJQ18" s="6"/>
      <c r="DJR18" s="6"/>
      <c r="DJS18" s="6"/>
      <c r="DJT18" s="6"/>
      <c r="DJU18" s="6"/>
      <c r="DJV18" s="6"/>
      <c r="DJW18" s="6"/>
      <c r="DJX18" s="6"/>
      <c r="DJY18" s="6"/>
      <c r="DJZ18" s="6"/>
      <c r="DKA18" s="6"/>
      <c r="DKB18" s="7"/>
      <c r="DKC18" s="457" t="s">
        <v>14257</v>
      </c>
      <c r="DKD18" s="6"/>
      <c r="DKE18" s="6"/>
      <c r="DKF18" s="6"/>
      <c r="DKG18" s="6"/>
      <c r="DKH18" s="6"/>
      <c r="DKI18" s="6"/>
      <c r="DKJ18" s="6"/>
      <c r="DKK18" s="6"/>
      <c r="DKL18" s="6"/>
      <c r="DKM18" s="6"/>
      <c r="DKN18" s="6"/>
      <c r="DKO18" s="6"/>
      <c r="DKP18" s="6"/>
      <c r="DKQ18" s="6"/>
      <c r="DKR18" s="7"/>
      <c r="DKS18" s="457" t="s">
        <v>14257</v>
      </c>
      <c r="DKT18" s="6"/>
      <c r="DKU18" s="6"/>
      <c r="DKV18" s="6"/>
      <c r="DKW18" s="6"/>
      <c r="DKX18" s="6"/>
      <c r="DKY18" s="6"/>
      <c r="DKZ18" s="6"/>
      <c r="DLA18" s="6"/>
      <c r="DLB18" s="6"/>
      <c r="DLC18" s="6"/>
      <c r="DLD18" s="6"/>
      <c r="DLE18" s="6"/>
      <c r="DLF18" s="6"/>
      <c r="DLG18" s="6"/>
      <c r="DLH18" s="7"/>
      <c r="DLI18" s="457" t="s">
        <v>14257</v>
      </c>
      <c r="DLJ18" s="6"/>
      <c r="DLK18" s="6"/>
      <c r="DLL18" s="6"/>
      <c r="DLM18" s="6"/>
      <c r="DLN18" s="6"/>
      <c r="DLO18" s="6"/>
      <c r="DLP18" s="6"/>
      <c r="DLQ18" s="6"/>
      <c r="DLR18" s="6"/>
      <c r="DLS18" s="6"/>
      <c r="DLT18" s="6"/>
      <c r="DLU18" s="6"/>
      <c r="DLV18" s="6"/>
      <c r="DLW18" s="6"/>
      <c r="DLX18" s="7"/>
      <c r="DLY18" s="457" t="s">
        <v>14257</v>
      </c>
      <c r="DLZ18" s="6"/>
      <c r="DMA18" s="6"/>
      <c r="DMB18" s="6"/>
      <c r="DMC18" s="6"/>
      <c r="DMD18" s="6"/>
      <c r="DME18" s="6"/>
      <c r="DMF18" s="6"/>
      <c r="DMG18" s="6"/>
      <c r="DMH18" s="6"/>
      <c r="DMI18" s="6"/>
      <c r="DMJ18" s="6"/>
      <c r="DMK18" s="6"/>
      <c r="DML18" s="6"/>
      <c r="DMM18" s="6"/>
      <c r="DMN18" s="7"/>
      <c r="DMO18" s="457" t="s">
        <v>14257</v>
      </c>
      <c r="DMP18" s="6"/>
      <c r="DMQ18" s="6"/>
      <c r="DMR18" s="6"/>
      <c r="DMS18" s="6"/>
      <c r="DMT18" s="6"/>
      <c r="DMU18" s="6"/>
      <c r="DMV18" s="6"/>
      <c r="DMW18" s="6"/>
      <c r="DMX18" s="6"/>
      <c r="DMY18" s="6"/>
      <c r="DMZ18" s="6"/>
      <c r="DNA18" s="6"/>
      <c r="DNB18" s="6"/>
      <c r="DNC18" s="6"/>
      <c r="DND18" s="7"/>
      <c r="DNE18" s="457" t="s">
        <v>14257</v>
      </c>
      <c r="DNF18" s="6"/>
      <c r="DNG18" s="6"/>
      <c r="DNH18" s="6"/>
      <c r="DNI18" s="6"/>
      <c r="DNJ18" s="6"/>
      <c r="DNK18" s="6"/>
      <c r="DNL18" s="6"/>
      <c r="DNM18" s="6"/>
      <c r="DNN18" s="6"/>
      <c r="DNO18" s="6"/>
      <c r="DNP18" s="6"/>
      <c r="DNQ18" s="6"/>
      <c r="DNR18" s="6"/>
      <c r="DNS18" s="6"/>
      <c r="DNT18" s="7"/>
      <c r="DNU18" s="457" t="s">
        <v>14257</v>
      </c>
      <c r="DNV18" s="6"/>
      <c r="DNW18" s="6"/>
      <c r="DNX18" s="6"/>
      <c r="DNY18" s="6"/>
      <c r="DNZ18" s="6"/>
      <c r="DOA18" s="6"/>
      <c r="DOB18" s="6"/>
      <c r="DOC18" s="6"/>
      <c r="DOD18" s="6"/>
      <c r="DOE18" s="6"/>
      <c r="DOF18" s="6"/>
      <c r="DOG18" s="6"/>
      <c r="DOH18" s="6"/>
      <c r="DOI18" s="6"/>
      <c r="DOJ18" s="7"/>
      <c r="DOK18" s="457" t="s">
        <v>14257</v>
      </c>
      <c r="DOL18" s="6"/>
      <c r="DOM18" s="6"/>
      <c r="DON18" s="6"/>
      <c r="DOO18" s="6"/>
      <c r="DOP18" s="6"/>
      <c r="DOQ18" s="6"/>
      <c r="DOR18" s="6"/>
      <c r="DOS18" s="6"/>
      <c r="DOT18" s="6"/>
      <c r="DOU18" s="6"/>
      <c r="DOV18" s="6"/>
      <c r="DOW18" s="6"/>
      <c r="DOX18" s="6"/>
      <c r="DOY18" s="6"/>
      <c r="DOZ18" s="7"/>
      <c r="DPA18" s="457" t="s">
        <v>14257</v>
      </c>
      <c r="DPB18" s="6"/>
      <c r="DPC18" s="6"/>
      <c r="DPD18" s="6"/>
      <c r="DPE18" s="6"/>
      <c r="DPF18" s="6"/>
      <c r="DPG18" s="6"/>
      <c r="DPH18" s="6"/>
      <c r="DPI18" s="6"/>
      <c r="DPJ18" s="6"/>
      <c r="DPK18" s="6"/>
      <c r="DPL18" s="6"/>
      <c r="DPM18" s="6"/>
      <c r="DPN18" s="6"/>
      <c r="DPO18" s="6"/>
      <c r="DPP18" s="7"/>
      <c r="DPQ18" s="457" t="s">
        <v>14257</v>
      </c>
      <c r="DPR18" s="6"/>
      <c r="DPS18" s="6"/>
      <c r="DPT18" s="6"/>
      <c r="DPU18" s="6"/>
      <c r="DPV18" s="6"/>
      <c r="DPW18" s="6"/>
      <c r="DPX18" s="6"/>
      <c r="DPY18" s="6"/>
      <c r="DPZ18" s="6"/>
      <c r="DQA18" s="6"/>
      <c r="DQB18" s="6"/>
      <c r="DQC18" s="6"/>
      <c r="DQD18" s="6"/>
      <c r="DQE18" s="6"/>
      <c r="DQF18" s="7"/>
      <c r="DQG18" s="457" t="s">
        <v>14257</v>
      </c>
      <c r="DQH18" s="6"/>
      <c r="DQI18" s="6"/>
      <c r="DQJ18" s="6"/>
      <c r="DQK18" s="6"/>
      <c r="DQL18" s="6"/>
      <c r="DQM18" s="6"/>
      <c r="DQN18" s="6"/>
      <c r="DQO18" s="6"/>
      <c r="DQP18" s="6"/>
      <c r="DQQ18" s="6"/>
      <c r="DQR18" s="6"/>
      <c r="DQS18" s="6"/>
      <c r="DQT18" s="6"/>
      <c r="DQU18" s="6"/>
      <c r="DQV18" s="7"/>
      <c r="DQW18" s="457" t="s">
        <v>14257</v>
      </c>
      <c r="DQX18" s="6"/>
      <c r="DQY18" s="6"/>
      <c r="DQZ18" s="6"/>
      <c r="DRA18" s="6"/>
      <c r="DRB18" s="6"/>
      <c r="DRC18" s="6"/>
      <c r="DRD18" s="6"/>
      <c r="DRE18" s="6"/>
      <c r="DRF18" s="6"/>
      <c r="DRG18" s="6"/>
      <c r="DRH18" s="6"/>
      <c r="DRI18" s="6"/>
      <c r="DRJ18" s="6"/>
      <c r="DRK18" s="6"/>
      <c r="DRL18" s="7"/>
      <c r="DRM18" s="457" t="s">
        <v>14257</v>
      </c>
      <c r="DRN18" s="6"/>
      <c r="DRO18" s="6"/>
      <c r="DRP18" s="6"/>
      <c r="DRQ18" s="6"/>
      <c r="DRR18" s="6"/>
      <c r="DRS18" s="6"/>
      <c r="DRT18" s="6"/>
      <c r="DRU18" s="6"/>
      <c r="DRV18" s="6"/>
      <c r="DRW18" s="6"/>
      <c r="DRX18" s="6"/>
      <c r="DRY18" s="6"/>
      <c r="DRZ18" s="6"/>
      <c r="DSA18" s="6"/>
      <c r="DSB18" s="7"/>
      <c r="DSC18" s="457" t="s">
        <v>14257</v>
      </c>
      <c r="DSD18" s="6"/>
      <c r="DSE18" s="6"/>
      <c r="DSF18" s="6"/>
      <c r="DSG18" s="6"/>
      <c r="DSH18" s="6"/>
      <c r="DSI18" s="6"/>
      <c r="DSJ18" s="6"/>
      <c r="DSK18" s="6"/>
      <c r="DSL18" s="6"/>
      <c r="DSM18" s="6"/>
      <c r="DSN18" s="6"/>
      <c r="DSO18" s="6"/>
      <c r="DSP18" s="6"/>
      <c r="DSQ18" s="6"/>
      <c r="DSR18" s="7"/>
      <c r="DSS18" s="457" t="s">
        <v>14257</v>
      </c>
      <c r="DST18" s="6"/>
      <c r="DSU18" s="6"/>
      <c r="DSV18" s="6"/>
      <c r="DSW18" s="6"/>
      <c r="DSX18" s="6"/>
      <c r="DSY18" s="6"/>
      <c r="DSZ18" s="6"/>
      <c r="DTA18" s="6"/>
      <c r="DTB18" s="6"/>
      <c r="DTC18" s="6"/>
      <c r="DTD18" s="6"/>
      <c r="DTE18" s="6"/>
      <c r="DTF18" s="6"/>
      <c r="DTG18" s="6"/>
      <c r="DTH18" s="7"/>
      <c r="DTI18" s="457" t="s">
        <v>14257</v>
      </c>
      <c r="DTJ18" s="6"/>
      <c r="DTK18" s="6"/>
      <c r="DTL18" s="6"/>
      <c r="DTM18" s="6"/>
      <c r="DTN18" s="6"/>
      <c r="DTO18" s="6"/>
      <c r="DTP18" s="6"/>
      <c r="DTQ18" s="6"/>
      <c r="DTR18" s="6"/>
      <c r="DTS18" s="6"/>
      <c r="DTT18" s="6"/>
      <c r="DTU18" s="6"/>
      <c r="DTV18" s="6"/>
      <c r="DTW18" s="6"/>
      <c r="DTX18" s="7"/>
      <c r="DTY18" s="457" t="s">
        <v>14257</v>
      </c>
      <c r="DTZ18" s="6"/>
      <c r="DUA18" s="6"/>
      <c r="DUB18" s="6"/>
      <c r="DUC18" s="6"/>
      <c r="DUD18" s="6"/>
      <c r="DUE18" s="6"/>
      <c r="DUF18" s="6"/>
      <c r="DUG18" s="6"/>
      <c r="DUH18" s="6"/>
      <c r="DUI18" s="6"/>
      <c r="DUJ18" s="6"/>
      <c r="DUK18" s="6"/>
      <c r="DUL18" s="6"/>
      <c r="DUM18" s="6"/>
      <c r="DUN18" s="7"/>
      <c r="DUO18" s="457" t="s">
        <v>14257</v>
      </c>
      <c r="DUP18" s="6"/>
      <c r="DUQ18" s="6"/>
      <c r="DUR18" s="6"/>
      <c r="DUS18" s="6"/>
      <c r="DUT18" s="6"/>
      <c r="DUU18" s="6"/>
      <c r="DUV18" s="6"/>
      <c r="DUW18" s="6"/>
      <c r="DUX18" s="6"/>
      <c r="DUY18" s="6"/>
      <c r="DUZ18" s="6"/>
      <c r="DVA18" s="6"/>
      <c r="DVB18" s="6"/>
      <c r="DVC18" s="6"/>
      <c r="DVD18" s="7"/>
      <c r="DVE18" s="457" t="s">
        <v>14257</v>
      </c>
      <c r="DVF18" s="6"/>
      <c r="DVG18" s="6"/>
      <c r="DVH18" s="6"/>
      <c r="DVI18" s="6"/>
      <c r="DVJ18" s="6"/>
      <c r="DVK18" s="6"/>
      <c r="DVL18" s="6"/>
      <c r="DVM18" s="6"/>
      <c r="DVN18" s="6"/>
      <c r="DVO18" s="6"/>
      <c r="DVP18" s="6"/>
      <c r="DVQ18" s="6"/>
      <c r="DVR18" s="6"/>
      <c r="DVS18" s="6"/>
      <c r="DVT18" s="7"/>
      <c r="DVU18" s="457" t="s">
        <v>14257</v>
      </c>
      <c r="DVV18" s="6"/>
      <c r="DVW18" s="6"/>
      <c r="DVX18" s="6"/>
      <c r="DVY18" s="6"/>
      <c r="DVZ18" s="6"/>
      <c r="DWA18" s="6"/>
      <c r="DWB18" s="6"/>
      <c r="DWC18" s="6"/>
      <c r="DWD18" s="6"/>
      <c r="DWE18" s="6"/>
      <c r="DWF18" s="6"/>
      <c r="DWG18" s="6"/>
      <c r="DWH18" s="6"/>
      <c r="DWI18" s="6"/>
      <c r="DWJ18" s="7"/>
      <c r="DWK18" s="457" t="s">
        <v>14257</v>
      </c>
      <c r="DWL18" s="6"/>
      <c r="DWM18" s="6"/>
      <c r="DWN18" s="6"/>
      <c r="DWO18" s="6"/>
      <c r="DWP18" s="6"/>
      <c r="DWQ18" s="6"/>
      <c r="DWR18" s="6"/>
      <c r="DWS18" s="6"/>
      <c r="DWT18" s="6"/>
      <c r="DWU18" s="6"/>
      <c r="DWV18" s="6"/>
      <c r="DWW18" s="6"/>
      <c r="DWX18" s="6"/>
      <c r="DWY18" s="6"/>
      <c r="DWZ18" s="7"/>
      <c r="DXA18" s="457" t="s">
        <v>14257</v>
      </c>
      <c r="DXB18" s="6"/>
      <c r="DXC18" s="6"/>
      <c r="DXD18" s="6"/>
      <c r="DXE18" s="6"/>
      <c r="DXF18" s="6"/>
      <c r="DXG18" s="6"/>
      <c r="DXH18" s="6"/>
      <c r="DXI18" s="6"/>
      <c r="DXJ18" s="6"/>
      <c r="DXK18" s="6"/>
      <c r="DXL18" s="6"/>
      <c r="DXM18" s="6"/>
      <c r="DXN18" s="6"/>
      <c r="DXO18" s="6"/>
      <c r="DXP18" s="7"/>
      <c r="DXQ18" s="457" t="s">
        <v>14257</v>
      </c>
      <c r="DXR18" s="6"/>
      <c r="DXS18" s="6"/>
      <c r="DXT18" s="6"/>
      <c r="DXU18" s="6"/>
      <c r="DXV18" s="6"/>
      <c r="DXW18" s="6"/>
      <c r="DXX18" s="6"/>
      <c r="DXY18" s="6"/>
      <c r="DXZ18" s="6"/>
      <c r="DYA18" s="6"/>
      <c r="DYB18" s="6"/>
      <c r="DYC18" s="6"/>
      <c r="DYD18" s="6"/>
      <c r="DYE18" s="6"/>
      <c r="DYF18" s="7"/>
      <c r="DYG18" s="457" t="s">
        <v>14257</v>
      </c>
      <c r="DYH18" s="6"/>
      <c r="DYI18" s="6"/>
      <c r="DYJ18" s="6"/>
      <c r="DYK18" s="6"/>
      <c r="DYL18" s="6"/>
      <c r="DYM18" s="6"/>
      <c r="DYN18" s="6"/>
      <c r="DYO18" s="6"/>
      <c r="DYP18" s="6"/>
      <c r="DYQ18" s="6"/>
      <c r="DYR18" s="6"/>
      <c r="DYS18" s="6"/>
      <c r="DYT18" s="6"/>
      <c r="DYU18" s="6"/>
      <c r="DYV18" s="7"/>
      <c r="DYW18" s="457" t="s">
        <v>14257</v>
      </c>
      <c r="DYX18" s="6"/>
      <c r="DYY18" s="6"/>
      <c r="DYZ18" s="6"/>
      <c r="DZA18" s="6"/>
      <c r="DZB18" s="6"/>
      <c r="DZC18" s="6"/>
      <c r="DZD18" s="6"/>
      <c r="DZE18" s="6"/>
      <c r="DZF18" s="6"/>
      <c r="DZG18" s="6"/>
      <c r="DZH18" s="6"/>
      <c r="DZI18" s="6"/>
      <c r="DZJ18" s="6"/>
      <c r="DZK18" s="6"/>
      <c r="DZL18" s="7"/>
      <c r="DZM18" s="457" t="s">
        <v>14257</v>
      </c>
      <c r="DZN18" s="6"/>
      <c r="DZO18" s="6"/>
      <c r="DZP18" s="6"/>
      <c r="DZQ18" s="6"/>
      <c r="DZR18" s="6"/>
      <c r="DZS18" s="6"/>
      <c r="DZT18" s="6"/>
      <c r="DZU18" s="6"/>
      <c r="DZV18" s="6"/>
      <c r="DZW18" s="6"/>
      <c r="DZX18" s="6"/>
      <c r="DZY18" s="6"/>
      <c r="DZZ18" s="6"/>
      <c r="EAA18" s="6"/>
      <c r="EAB18" s="7"/>
      <c r="EAC18" s="457" t="s">
        <v>14257</v>
      </c>
      <c r="EAD18" s="6"/>
      <c r="EAE18" s="6"/>
      <c r="EAF18" s="6"/>
      <c r="EAG18" s="6"/>
      <c r="EAH18" s="6"/>
      <c r="EAI18" s="6"/>
      <c r="EAJ18" s="6"/>
      <c r="EAK18" s="6"/>
      <c r="EAL18" s="6"/>
      <c r="EAM18" s="6"/>
      <c r="EAN18" s="6"/>
      <c r="EAO18" s="6"/>
      <c r="EAP18" s="6"/>
      <c r="EAQ18" s="6"/>
      <c r="EAR18" s="7"/>
      <c r="EAS18" s="457" t="s">
        <v>14257</v>
      </c>
      <c r="EAT18" s="6"/>
      <c r="EAU18" s="6"/>
      <c r="EAV18" s="6"/>
      <c r="EAW18" s="6"/>
      <c r="EAX18" s="6"/>
      <c r="EAY18" s="6"/>
      <c r="EAZ18" s="6"/>
      <c r="EBA18" s="6"/>
      <c r="EBB18" s="6"/>
      <c r="EBC18" s="6"/>
      <c r="EBD18" s="6"/>
      <c r="EBE18" s="6"/>
      <c r="EBF18" s="6"/>
      <c r="EBG18" s="6"/>
      <c r="EBH18" s="7"/>
      <c r="EBI18" s="457" t="s">
        <v>14257</v>
      </c>
      <c r="EBJ18" s="6"/>
      <c r="EBK18" s="6"/>
      <c r="EBL18" s="6"/>
      <c r="EBM18" s="6"/>
      <c r="EBN18" s="6"/>
      <c r="EBO18" s="6"/>
      <c r="EBP18" s="6"/>
      <c r="EBQ18" s="6"/>
      <c r="EBR18" s="6"/>
      <c r="EBS18" s="6"/>
      <c r="EBT18" s="6"/>
      <c r="EBU18" s="6"/>
      <c r="EBV18" s="6"/>
      <c r="EBW18" s="6"/>
      <c r="EBX18" s="7"/>
      <c r="EBY18" s="457" t="s">
        <v>14257</v>
      </c>
      <c r="EBZ18" s="6"/>
      <c r="ECA18" s="6"/>
      <c r="ECB18" s="6"/>
      <c r="ECC18" s="6"/>
      <c r="ECD18" s="6"/>
      <c r="ECE18" s="6"/>
      <c r="ECF18" s="6"/>
      <c r="ECG18" s="6"/>
      <c r="ECH18" s="6"/>
      <c r="ECI18" s="6"/>
      <c r="ECJ18" s="6"/>
      <c r="ECK18" s="6"/>
      <c r="ECL18" s="6"/>
      <c r="ECM18" s="6"/>
      <c r="ECN18" s="7"/>
      <c r="ECO18" s="457" t="s">
        <v>14257</v>
      </c>
      <c r="ECP18" s="6"/>
      <c r="ECQ18" s="6"/>
      <c r="ECR18" s="6"/>
      <c r="ECS18" s="6"/>
      <c r="ECT18" s="6"/>
      <c r="ECU18" s="6"/>
      <c r="ECV18" s="6"/>
      <c r="ECW18" s="6"/>
      <c r="ECX18" s="6"/>
      <c r="ECY18" s="6"/>
      <c r="ECZ18" s="6"/>
      <c r="EDA18" s="6"/>
      <c r="EDB18" s="6"/>
      <c r="EDC18" s="6"/>
      <c r="EDD18" s="7"/>
      <c r="EDE18" s="457" t="s">
        <v>14257</v>
      </c>
      <c r="EDF18" s="6"/>
      <c r="EDG18" s="6"/>
      <c r="EDH18" s="6"/>
      <c r="EDI18" s="6"/>
      <c r="EDJ18" s="6"/>
      <c r="EDK18" s="6"/>
      <c r="EDL18" s="6"/>
      <c r="EDM18" s="6"/>
      <c r="EDN18" s="6"/>
      <c r="EDO18" s="6"/>
      <c r="EDP18" s="6"/>
      <c r="EDQ18" s="6"/>
      <c r="EDR18" s="6"/>
      <c r="EDS18" s="6"/>
      <c r="EDT18" s="7"/>
      <c r="EDU18" s="457" t="s">
        <v>14257</v>
      </c>
      <c r="EDV18" s="6"/>
      <c r="EDW18" s="6"/>
      <c r="EDX18" s="6"/>
      <c r="EDY18" s="6"/>
      <c r="EDZ18" s="6"/>
      <c r="EEA18" s="6"/>
      <c r="EEB18" s="6"/>
      <c r="EEC18" s="6"/>
      <c r="EED18" s="6"/>
      <c r="EEE18" s="6"/>
      <c r="EEF18" s="6"/>
      <c r="EEG18" s="6"/>
      <c r="EEH18" s="6"/>
      <c r="EEI18" s="6"/>
      <c r="EEJ18" s="7"/>
      <c r="EEK18" s="457" t="s">
        <v>14257</v>
      </c>
      <c r="EEL18" s="6"/>
      <c r="EEM18" s="6"/>
      <c r="EEN18" s="6"/>
      <c r="EEO18" s="6"/>
      <c r="EEP18" s="6"/>
      <c r="EEQ18" s="6"/>
      <c r="EER18" s="6"/>
      <c r="EES18" s="6"/>
      <c r="EET18" s="6"/>
      <c r="EEU18" s="6"/>
      <c r="EEV18" s="6"/>
      <c r="EEW18" s="6"/>
      <c r="EEX18" s="6"/>
      <c r="EEY18" s="6"/>
      <c r="EEZ18" s="7"/>
      <c r="EFA18" s="457" t="s">
        <v>14257</v>
      </c>
      <c r="EFB18" s="6"/>
      <c r="EFC18" s="6"/>
      <c r="EFD18" s="6"/>
      <c r="EFE18" s="6"/>
      <c r="EFF18" s="6"/>
      <c r="EFG18" s="6"/>
      <c r="EFH18" s="6"/>
      <c r="EFI18" s="6"/>
      <c r="EFJ18" s="6"/>
      <c r="EFK18" s="6"/>
      <c r="EFL18" s="6"/>
      <c r="EFM18" s="6"/>
      <c r="EFN18" s="6"/>
      <c r="EFO18" s="6"/>
      <c r="EFP18" s="7"/>
      <c r="EFQ18" s="457" t="s">
        <v>14257</v>
      </c>
      <c r="EFR18" s="6"/>
      <c r="EFS18" s="6"/>
      <c r="EFT18" s="6"/>
      <c r="EFU18" s="6"/>
      <c r="EFV18" s="6"/>
      <c r="EFW18" s="6"/>
      <c r="EFX18" s="6"/>
      <c r="EFY18" s="6"/>
      <c r="EFZ18" s="6"/>
      <c r="EGA18" s="6"/>
      <c r="EGB18" s="6"/>
      <c r="EGC18" s="6"/>
      <c r="EGD18" s="6"/>
      <c r="EGE18" s="6"/>
      <c r="EGF18" s="7"/>
      <c r="EGG18" s="457" t="s">
        <v>14257</v>
      </c>
      <c r="EGH18" s="6"/>
      <c r="EGI18" s="6"/>
      <c r="EGJ18" s="6"/>
      <c r="EGK18" s="6"/>
      <c r="EGL18" s="6"/>
      <c r="EGM18" s="6"/>
      <c r="EGN18" s="6"/>
      <c r="EGO18" s="6"/>
      <c r="EGP18" s="6"/>
      <c r="EGQ18" s="6"/>
      <c r="EGR18" s="6"/>
      <c r="EGS18" s="6"/>
      <c r="EGT18" s="6"/>
      <c r="EGU18" s="6"/>
      <c r="EGV18" s="7"/>
      <c r="EGW18" s="457" t="s">
        <v>14257</v>
      </c>
      <c r="EGX18" s="6"/>
      <c r="EGY18" s="6"/>
      <c r="EGZ18" s="6"/>
      <c r="EHA18" s="6"/>
      <c r="EHB18" s="6"/>
      <c r="EHC18" s="6"/>
      <c r="EHD18" s="6"/>
      <c r="EHE18" s="6"/>
      <c r="EHF18" s="6"/>
      <c r="EHG18" s="6"/>
      <c r="EHH18" s="6"/>
      <c r="EHI18" s="6"/>
      <c r="EHJ18" s="6"/>
      <c r="EHK18" s="6"/>
      <c r="EHL18" s="7"/>
      <c r="EHM18" s="457" t="s">
        <v>14257</v>
      </c>
      <c r="EHN18" s="6"/>
      <c r="EHO18" s="6"/>
      <c r="EHP18" s="6"/>
      <c r="EHQ18" s="6"/>
      <c r="EHR18" s="6"/>
      <c r="EHS18" s="6"/>
      <c r="EHT18" s="6"/>
      <c r="EHU18" s="6"/>
      <c r="EHV18" s="6"/>
      <c r="EHW18" s="6"/>
      <c r="EHX18" s="6"/>
      <c r="EHY18" s="6"/>
      <c r="EHZ18" s="6"/>
      <c r="EIA18" s="6"/>
      <c r="EIB18" s="7"/>
      <c r="EIC18" s="457" t="s">
        <v>14257</v>
      </c>
      <c r="EID18" s="6"/>
      <c r="EIE18" s="6"/>
      <c r="EIF18" s="6"/>
      <c r="EIG18" s="6"/>
      <c r="EIH18" s="6"/>
      <c r="EII18" s="6"/>
      <c r="EIJ18" s="6"/>
      <c r="EIK18" s="6"/>
      <c r="EIL18" s="6"/>
      <c r="EIM18" s="6"/>
      <c r="EIN18" s="6"/>
      <c r="EIO18" s="6"/>
      <c r="EIP18" s="6"/>
      <c r="EIQ18" s="6"/>
      <c r="EIR18" s="7"/>
      <c r="EIS18" s="457" t="s">
        <v>14257</v>
      </c>
      <c r="EIT18" s="6"/>
      <c r="EIU18" s="6"/>
      <c r="EIV18" s="6"/>
      <c r="EIW18" s="6"/>
      <c r="EIX18" s="6"/>
      <c r="EIY18" s="6"/>
      <c r="EIZ18" s="6"/>
      <c r="EJA18" s="6"/>
      <c r="EJB18" s="6"/>
      <c r="EJC18" s="6"/>
      <c r="EJD18" s="6"/>
      <c r="EJE18" s="6"/>
      <c r="EJF18" s="6"/>
      <c r="EJG18" s="6"/>
      <c r="EJH18" s="7"/>
      <c r="EJI18" s="457" t="s">
        <v>14257</v>
      </c>
      <c r="EJJ18" s="6"/>
      <c r="EJK18" s="6"/>
      <c r="EJL18" s="6"/>
      <c r="EJM18" s="6"/>
      <c r="EJN18" s="6"/>
      <c r="EJO18" s="6"/>
      <c r="EJP18" s="6"/>
      <c r="EJQ18" s="6"/>
      <c r="EJR18" s="6"/>
      <c r="EJS18" s="6"/>
      <c r="EJT18" s="6"/>
      <c r="EJU18" s="6"/>
      <c r="EJV18" s="6"/>
      <c r="EJW18" s="6"/>
      <c r="EJX18" s="7"/>
      <c r="EJY18" s="457" t="s">
        <v>14257</v>
      </c>
      <c r="EJZ18" s="6"/>
      <c r="EKA18" s="6"/>
      <c r="EKB18" s="6"/>
      <c r="EKC18" s="6"/>
      <c r="EKD18" s="6"/>
      <c r="EKE18" s="6"/>
      <c r="EKF18" s="6"/>
      <c r="EKG18" s="6"/>
      <c r="EKH18" s="6"/>
      <c r="EKI18" s="6"/>
      <c r="EKJ18" s="6"/>
      <c r="EKK18" s="6"/>
      <c r="EKL18" s="6"/>
      <c r="EKM18" s="6"/>
      <c r="EKN18" s="7"/>
      <c r="EKO18" s="457" t="s">
        <v>14257</v>
      </c>
      <c r="EKP18" s="6"/>
      <c r="EKQ18" s="6"/>
      <c r="EKR18" s="6"/>
      <c r="EKS18" s="6"/>
      <c r="EKT18" s="6"/>
      <c r="EKU18" s="6"/>
      <c r="EKV18" s="6"/>
      <c r="EKW18" s="6"/>
      <c r="EKX18" s="6"/>
      <c r="EKY18" s="6"/>
      <c r="EKZ18" s="6"/>
      <c r="ELA18" s="6"/>
      <c r="ELB18" s="6"/>
      <c r="ELC18" s="6"/>
      <c r="ELD18" s="7"/>
      <c r="ELE18" s="457" t="s">
        <v>14257</v>
      </c>
      <c r="ELF18" s="6"/>
      <c r="ELG18" s="6"/>
      <c r="ELH18" s="6"/>
      <c r="ELI18" s="6"/>
      <c r="ELJ18" s="6"/>
      <c r="ELK18" s="6"/>
      <c r="ELL18" s="6"/>
      <c r="ELM18" s="6"/>
      <c r="ELN18" s="6"/>
      <c r="ELO18" s="6"/>
      <c r="ELP18" s="6"/>
      <c r="ELQ18" s="6"/>
      <c r="ELR18" s="6"/>
      <c r="ELS18" s="6"/>
      <c r="ELT18" s="7"/>
      <c r="ELU18" s="457" t="s">
        <v>14257</v>
      </c>
      <c r="ELV18" s="6"/>
      <c r="ELW18" s="6"/>
      <c r="ELX18" s="6"/>
      <c r="ELY18" s="6"/>
      <c r="ELZ18" s="6"/>
      <c r="EMA18" s="6"/>
      <c r="EMB18" s="6"/>
      <c r="EMC18" s="6"/>
      <c r="EMD18" s="6"/>
      <c r="EME18" s="6"/>
      <c r="EMF18" s="6"/>
      <c r="EMG18" s="6"/>
      <c r="EMH18" s="6"/>
      <c r="EMI18" s="6"/>
      <c r="EMJ18" s="7"/>
      <c r="EMK18" s="457" t="s">
        <v>14257</v>
      </c>
      <c r="EML18" s="6"/>
      <c r="EMM18" s="6"/>
      <c r="EMN18" s="6"/>
      <c r="EMO18" s="6"/>
      <c r="EMP18" s="6"/>
      <c r="EMQ18" s="6"/>
      <c r="EMR18" s="6"/>
      <c r="EMS18" s="6"/>
      <c r="EMT18" s="6"/>
      <c r="EMU18" s="6"/>
      <c r="EMV18" s="6"/>
      <c r="EMW18" s="6"/>
      <c r="EMX18" s="6"/>
      <c r="EMY18" s="6"/>
      <c r="EMZ18" s="7"/>
      <c r="ENA18" s="457" t="s">
        <v>14257</v>
      </c>
      <c r="ENB18" s="6"/>
      <c r="ENC18" s="6"/>
      <c r="END18" s="6"/>
      <c r="ENE18" s="6"/>
      <c r="ENF18" s="6"/>
      <c r="ENG18" s="6"/>
      <c r="ENH18" s="6"/>
      <c r="ENI18" s="6"/>
      <c r="ENJ18" s="6"/>
      <c r="ENK18" s="6"/>
      <c r="ENL18" s="6"/>
      <c r="ENM18" s="6"/>
      <c r="ENN18" s="6"/>
      <c r="ENO18" s="6"/>
      <c r="ENP18" s="7"/>
      <c r="ENQ18" s="457" t="s">
        <v>14257</v>
      </c>
      <c r="ENR18" s="6"/>
      <c r="ENS18" s="6"/>
      <c r="ENT18" s="6"/>
      <c r="ENU18" s="6"/>
      <c r="ENV18" s="6"/>
      <c r="ENW18" s="6"/>
      <c r="ENX18" s="6"/>
      <c r="ENY18" s="6"/>
      <c r="ENZ18" s="6"/>
      <c r="EOA18" s="6"/>
      <c r="EOB18" s="6"/>
      <c r="EOC18" s="6"/>
      <c r="EOD18" s="6"/>
      <c r="EOE18" s="6"/>
      <c r="EOF18" s="7"/>
      <c r="EOG18" s="457" t="s">
        <v>14257</v>
      </c>
      <c r="EOH18" s="6"/>
      <c r="EOI18" s="6"/>
      <c r="EOJ18" s="6"/>
      <c r="EOK18" s="6"/>
      <c r="EOL18" s="6"/>
      <c r="EOM18" s="6"/>
      <c r="EON18" s="6"/>
      <c r="EOO18" s="6"/>
      <c r="EOP18" s="6"/>
      <c r="EOQ18" s="6"/>
      <c r="EOR18" s="6"/>
      <c r="EOS18" s="6"/>
      <c r="EOT18" s="6"/>
      <c r="EOU18" s="6"/>
      <c r="EOV18" s="7"/>
      <c r="EOW18" s="457" t="s">
        <v>14257</v>
      </c>
      <c r="EOX18" s="6"/>
      <c r="EOY18" s="6"/>
      <c r="EOZ18" s="6"/>
      <c r="EPA18" s="6"/>
      <c r="EPB18" s="6"/>
      <c r="EPC18" s="6"/>
      <c r="EPD18" s="6"/>
      <c r="EPE18" s="6"/>
      <c r="EPF18" s="6"/>
      <c r="EPG18" s="6"/>
      <c r="EPH18" s="6"/>
      <c r="EPI18" s="6"/>
      <c r="EPJ18" s="6"/>
      <c r="EPK18" s="6"/>
      <c r="EPL18" s="7"/>
      <c r="EPM18" s="457" t="s">
        <v>14257</v>
      </c>
      <c r="EPN18" s="6"/>
      <c r="EPO18" s="6"/>
      <c r="EPP18" s="6"/>
      <c r="EPQ18" s="6"/>
      <c r="EPR18" s="6"/>
      <c r="EPS18" s="6"/>
      <c r="EPT18" s="6"/>
      <c r="EPU18" s="6"/>
      <c r="EPV18" s="6"/>
      <c r="EPW18" s="6"/>
      <c r="EPX18" s="6"/>
      <c r="EPY18" s="6"/>
      <c r="EPZ18" s="6"/>
      <c r="EQA18" s="6"/>
      <c r="EQB18" s="7"/>
      <c r="EQC18" s="457" t="s">
        <v>14257</v>
      </c>
      <c r="EQD18" s="6"/>
      <c r="EQE18" s="6"/>
      <c r="EQF18" s="6"/>
      <c r="EQG18" s="6"/>
      <c r="EQH18" s="6"/>
      <c r="EQI18" s="6"/>
      <c r="EQJ18" s="6"/>
      <c r="EQK18" s="6"/>
      <c r="EQL18" s="6"/>
      <c r="EQM18" s="6"/>
      <c r="EQN18" s="6"/>
      <c r="EQO18" s="6"/>
      <c r="EQP18" s="6"/>
      <c r="EQQ18" s="6"/>
      <c r="EQR18" s="7"/>
      <c r="EQS18" s="457" t="s">
        <v>14257</v>
      </c>
      <c r="EQT18" s="6"/>
      <c r="EQU18" s="6"/>
      <c r="EQV18" s="6"/>
      <c r="EQW18" s="6"/>
      <c r="EQX18" s="6"/>
      <c r="EQY18" s="6"/>
      <c r="EQZ18" s="6"/>
      <c r="ERA18" s="6"/>
      <c r="ERB18" s="6"/>
      <c r="ERC18" s="6"/>
      <c r="ERD18" s="6"/>
      <c r="ERE18" s="6"/>
      <c r="ERF18" s="6"/>
      <c r="ERG18" s="6"/>
      <c r="ERH18" s="7"/>
      <c r="ERI18" s="457" t="s">
        <v>14257</v>
      </c>
      <c r="ERJ18" s="6"/>
      <c r="ERK18" s="6"/>
      <c r="ERL18" s="6"/>
      <c r="ERM18" s="6"/>
      <c r="ERN18" s="6"/>
      <c r="ERO18" s="6"/>
      <c r="ERP18" s="6"/>
      <c r="ERQ18" s="6"/>
      <c r="ERR18" s="6"/>
      <c r="ERS18" s="6"/>
      <c r="ERT18" s="6"/>
      <c r="ERU18" s="6"/>
      <c r="ERV18" s="6"/>
      <c r="ERW18" s="6"/>
      <c r="ERX18" s="7"/>
      <c r="ERY18" s="457" t="s">
        <v>14257</v>
      </c>
      <c r="ERZ18" s="6"/>
      <c r="ESA18" s="6"/>
      <c r="ESB18" s="6"/>
      <c r="ESC18" s="6"/>
      <c r="ESD18" s="6"/>
      <c r="ESE18" s="6"/>
      <c r="ESF18" s="6"/>
      <c r="ESG18" s="6"/>
      <c r="ESH18" s="6"/>
      <c r="ESI18" s="6"/>
      <c r="ESJ18" s="6"/>
      <c r="ESK18" s="6"/>
      <c r="ESL18" s="6"/>
      <c r="ESM18" s="6"/>
      <c r="ESN18" s="7"/>
      <c r="ESO18" s="457" t="s">
        <v>14257</v>
      </c>
      <c r="ESP18" s="6"/>
      <c r="ESQ18" s="6"/>
      <c r="ESR18" s="6"/>
      <c r="ESS18" s="6"/>
      <c r="EST18" s="6"/>
      <c r="ESU18" s="6"/>
      <c r="ESV18" s="6"/>
      <c r="ESW18" s="6"/>
      <c r="ESX18" s="6"/>
      <c r="ESY18" s="6"/>
      <c r="ESZ18" s="6"/>
      <c r="ETA18" s="6"/>
      <c r="ETB18" s="6"/>
      <c r="ETC18" s="6"/>
      <c r="ETD18" s="7"/>
      <c r="ETE18" s="457" t="s">
        <v>14257</v>
      </c>
      <c r="ETF18" s="6"/>
      <c r="ETG18" s="6"/>
      <c r="ETH18" s="6"/>
      <c r="ETI18" s="6"/>
      <c r="ETJ18" s="6"/>
      <c r="ETK18" s="6"/>
      <c r="ETL18" s="6"/>
      <c r="ETM18" s="6"/>
      <c r="ETN18" s="6"/>
      <c r="ETO18" s="6"/>
      <c r="ETP18" s="6"/>
      <c r="ETQ18" s="6"/>
      <c r="ETR18" s="6"/>
      <c r="ETS18" s="6"/>
      <c r="ETT18" s="7"/>
      <c r="ETU18" s="457" t="s">
        <v>14257</v>
      </c>
      <c r="ETV18" s="6"/>
      <c r="ETW18" s="6"/>
      <c r="ETX18" s="6"/>
      <c r="ETY18" s="6"/>
      <c r="ETZ18" s="6"/>
      <c r="EUA18" s="6"/>
      <c r="EUB18" s="6"/>
      <c r="EUC18" s="6"/>
      <c r="EUD18" s="6"/>
      <c r="EUE18" s="6"/>
      <c r="EUF18" s="6"/>
      <c r="EUG18" s="6"/>
      <c r="EUH18" s="6"/>
      <c r="EUI18" s="6"/>
      <c r="EUJ18" s="7"/>
      <c r="EUK18" s="457" t="s">
        <v>14257</v>
      </c>
      <c r="EUL18" s="6"/>
      <c r="EUM18" s="6"/>
      <c r="EUN18" s="6"/>
      <c r="EUO18" s="6"/>
      <c r="EUP18" s="6"/>
      <c r="EUQ18" s="6"/>
      <c r="EUR18" s="6"/>
      <c r="EUS18" s="6"/>
      <c r="EUT18" s="6"/>
      <c r="EUU18" s="6"/>
      <c r="EUV18" s="6"/>
      <c r="EUW18" s="6"/>
      <c r="EUX18" s="6"/>
      <c r="EUY18" s="6"/>
      <c r="EUZ18" s="7"/>
      <c r="EVA18" s="457" t="s">
        <v>14257</v>
      </c>
      <c r="EVB18" s="6"/>
      <c r="EVC18" s="6"/>
      <c r="EVD18" s="6"/>
      <c r="EVE18" s="6"/>
      <c r="EVF18" s="6"/>
      <c r="EVG18" s="6"/>
      <c r="EVH18" s="6"/>
      <c r="EVI18" s="6"/>
      <c r="EVJ18" s="6"/>
      <c r="EVK18" s="6"/>
      <c r="EVL18" s="6"/>
      <c r="EVM18" s="6"/>
      <c r="EVN18" s="6"/>
      <c r="EVO18" s="6"/>
      <c r="EVP18" s="7"/>
      <c r="EVQ18" s="457" t="s">
        <v>14257</v>
      </c>
      <c r="EVR18" s="6"/>
      <c r="EVS18" s="6"/>
      <c r="EVT18" s="6"/>
      <c r="EVU18" s="6"/>
      <c r="EVV18" s="6"/>
      <c r="EVW18" s="6"/>
      <c r="EVX18" s="6"/>
      <c r="EVY18" s="6"/>
      <c r="EVZ18" s="6"/>
      <c r="EWA18" s="6"/>
      <c r="EWB18" s="6"/>
      <c r="EWC18" s="6"/>
      <c r="EWD18" s="6"/>
      <c r="EWE18" s="6"/>
      <c r="EWF18" s="7"/>
      <c r="EWG18" s="457" t="s">
        <v>14257</v>
      </c>
      <c r="EWH18" s="6"/>
      <c r="EWI18" s="6"/>
      <c r="EWJ18" s="6"/>
      <c r="EWK18" s="6"/>
      <c r="EWL18" s="6"/>
      <c r="EWM18" s="6"/>
      <c r="EWN18" s="6"/>
      <c r="EWO18" s="6"/>
      <c r="EWP18" s="6"/>
      <c r="EWQ18" s="6"/>
      <c r="EWR18" s="6"/>
      <c r="EWS18" s="6"/>
      <c r="EWT18" s="6"/>
      <c r="EWU18" s="6"/>
      <c r="EWV18" s="7"/>
      <c r="EWW18" s="457" t="s">
        <v>14257</v>
      </c>
      <c r="EWX18" s="6"/>
      <c r="EWY18" s="6"/>
      <c r="EWZ18" s="6"/>
      <c r="EXA18" s="6"/>
      <c r="EXB18" s="6"/>
      <c r="EXC18" s="6"/>
      <c r="EXD18" s="6"/>
      <c r="EXE18" s="6"/>
      <c r="EXF18" s="6"/>
      <c r="EXG18" s="6"/>
      <c r="EXH18" s="6"/>
      <c r="EXI18" s="6"/>
      <c r="EXJ18" s="6"/>
      <c r="EXK18" s="6"/>
      <c r="EXL18" s="7"/>
      <c r="EXM18" s="457" t="s">
        <v>14257</v>
      </c>
      <c r="EXN18" s="6"/>
      <c r="EXO18" s="6"/>
      <c r="EXP18" s="6"/>
      <c r="EXQ18" s="6"/>
      <c r="EXR18" s="6"/>
      <c r="EXS18" s="6"/>
      <c r="EXT18" s="6"/>
      <c r="EXU18" s="6"/>
      <c r="EXV18" s="6"/>
      <c r="EXW18" s="6"/>
      <c r="EXX18" s="6"/>
      <c r="EXY18" s="6"/>
      <c r="EXZ18" s="6"/>
      <c r="EYA18" s="6"/>
      <c r="EYB18" s="7"/>
      <c r="EYC18" s="457" t="s">
        <v>14257</v>
      </c>
      <c r="EYD18" s="6"/>
      <c r="EYE18" s="6"/>
      <c r="EYF18" s="6"/>
      <c r="EYG18" s="6"/>
      <c r="EYH18" s="6"/>
      <c r="EYI18" s="6"/>
      <c r="EYJ18" s="6"/>
      <c r="EYK18" s="6"/>
      <c r="EYL18" s="6"/>
      <c r="EYM18" s="6"/>
      <c r="EYN18" s="6"/>
      <c r="EYO18" s="6"/>
      <c r="EYP18" s="6"/>
      <c r="EYQ18" s="6"/>
      <c r="EYR18" s="7"/>
      <c r="EYS18" s="457" t="s">
        <v>14257</v>
      </c>
      <c r="EYT18" s="6"/>
      <c r="EYU18" s="6"/>
      <c r="EYV18" s="6"/>
      <c r="EYW18" s="6"/>
      <c r="EYX18" s="6"/>
      <c r="EYY18" s="6"/>
      <c r="EYZ18" s="6"/>
      <c r="EZA18" s="6"/>
      <c r="EZB18" s="6"/>
      <c r="EZC18" s="6"/>
      <c r="EZD18" s="6"/>
      <c r="EZE18" s="6"/>
      <c r="EZF18" s="6"/>
      <c r="EZG18" s="6"/>
      <c r="EZH18" s="7"/>
      <c r="EZI18" s="457" t="s">
        <v>14257</v>
      </c>
      <c r="EZJ18" s="6"/>
      <c r="EZK18" s="6"/>
      <c r="EZL18" s="6"/>
      <c r="EZM18" s="6"/>
      <c r="EZN18" s="6"/>
      <c r="EZO18" s="6"/>
      <c r="EZP18" s="6"/>
      <c r="EZQ18" s="6"/>
      <c r="EZR18" s="6"/>
      <c r="EZS18" s="6"/>
      <c r="EZT18" s="6"/>
      <c r="EZU18" s="6"/>
      <c r="EZV18" s="6"/>
      <c r="EZW18" s="6"/>
      <c r="EZX18" s="7"/>
      <c r="EZY18" s="457" t="s">
        <v>14257</v>
      </c>
      <c r="EZZ18" s="6"/>
      <c r="FAA18" s="6"/>
      <c r="FAB18" s="6"/>
      <c r="FAC18" s="6"/>
      <c r="FAD18" s="6"/>
      <c r="FAE18" s="6"/>
      <c r="FAF18" s="6"/>
      <c r="FAG18" s="6"/>
      <c r="FAH18" s="6"/>
      <c r="FAI18" s="6"/>
      <c r="FAJ18" s="6"/>
      <c r="FAK18" s="6"/>
      <c r="FAL18" s="6"/>
      <c r="FAM18" s="6"/>
      <c r="FAN18" s="7"/>
      <c r="FAO18" s="457" t="s">
        <v>14257</v>
      </c>
      <c r="FAP18" s="6"/>
      <c r="FAQ18" s="6"/>
      <c r="FAR18" s="6"/>
      <c r="FAS18" s="6"/>
      <c r="FAT18" s="6"/>
      <c r="FAU18" s="6"/>
      <c r="FAV18" s="6"/>
      <c r="FAW18" s="6"/>
      <c r="FAX18" s="6"/>
      <c r="FAY18" s="6"/>
      <c r="FAZ18" s="6"/>
      <c r="FBA18" s="6"/>
      <c r="FBB18" s="6"/>
      <c r="FBC18" s="6"/>
      <c r="FBD18" s="7"/>
      <c r="FBE18" s="457" t="s">
        <v>14257</v>
      </c>
      <c r="FBF18" s="6"/>
      <c r="FBG18" s="6"/>
      <c r="FBH18" s="6"/>
      <c r="FBI18" s="6"/>
      <c r="FBJ18" s="6"/>
      <c r="FBK18" s="6"/>
      <c r="FBL18" s="6"/>
      <c r="FBM18" s="6"/>
      <c r="FBN18" s="6"/>
      <c r="FBO18" s="6"/>
      <c r="FBP18" s="6"/>
      <c r="FBQ18" s="6"/>
      <c r="FBR18" s="6"/>
      <c r="FBS18" s="6"/>
      <c r="FBT18" s="7"/>
      <c r="FBU18" s="457" t="s">
        <v>14257</v>
      </c>
      <c r="FBV18" s="6"/>
      <c r="FBW18" s="6"/>
      <c r="FBX18" s="6"/>
      <c r="FBY18" s="6"/>
      <c r="FBZ18" s="6"/>
      <c r="FCA18" s="6"/>
      <c r="FCB18" s="6"/>
      <c r="FCC18" s="6"/>
      <c r="FCD18" s="6"/>
      <c r="FCE18" s="6"/>
      <c r="FCF18" s="6"/>
      <c r="FCG18" s="6"/>
      <c r="FCH18" s="6"/>
      <c r="FCI18" s="6"/>
      <c r="FCJ18" s="7"/>
      <c r="FCK18" s="457" t="s">
        <v>14257</v>
      </c>
      <c r="FCL18" s="6"/>
      <c r="FCM18" s="6"/>
      <c r="FCN18" s="6"/>
      <c r="FCO18" s="6"/>
      <c r="FCP18" s="6"/>
      <c r="FCQ18" s="6"/>
      <c r="FCR18" s="6"/>
      <c r="FCS18" s="6"/>
      <c r="FCT18" s="6"/>
      <c r="FCU18" s="6"/>
      <c r="FCV18" s="6"/>
      <c r="FCW18" s="6"/>
      <c r="FCX18" s="6"/>
      <c r="FCY18" s="6"/>
      <c r="FCZ18" s="7"/>
      <c r="FDA18" s="457" t="s">
        <v>14257</v>
      </c>
      <c r="FDB18" s="6"/>
      <c r="FDC18" s="6"/>
      <c r="FDD18" s="6"/>
      <c r="FDE18" s="6"/>
      <c r="FDF18" s="6"/>
      <c r="FDG18" s="6"/>
      <c r="FDH18" s="6"/>
      <c r="FDI18" s="6"/>
      <c r="FDJ18" s="6"/>
      <c r="FDK18" s="6"/>
      <c r="FDL18" s="6"/>
      <c r="FDM18" s="6"/>
      <c r="FDN18" s="6"/>
      <c r="FDO18" s="6"/>
      <c r="FDP18" s="7"/>
      <c r="FDQ18" s="457" t="s">
        <v>14257</v>
      </c>
      <c r="FDR18" s="6"/>
      <c r="FDS18" s="6"/>
      <c r="FDT18" s="6"/>
      <c r="FDU18" s="6"/>
      <c r="FDV18" s="6"/>
      <c r="FDW18" s="6"/>
      <c r="FDX18" s="6"/>
      <c r="FDY18" s="6"/>
      <c r="FDZ18" s="6"/>
      <c r="FEA18" s="6"/>
      <c r="FEB18" s="6"/>
      <c r="FEC18" s="6"/>
      <c r="FED18" s="6"/>
      <c r="FEE18" s="6"/>
      <c r="FEF18" s="7"/>
      <c r="FEG18" s="457" t="s">
        <v>14257</v>
      </c>
      <c r="FEH18" s="6"/>
      <c r="FEI18" s="6"/>
      <c r="FEJ18" s="6"/>
      <c r="FEK18" s="6"/>
      <c r="FEL18" s="6"/>
      <c r="FEM18" s="6"/>
      <c r="FEN18" s="6"/>
      <c r="FEO18" s="6"/>
      <c r="FEP18" s="6"/>
      <c r="FEQ18" s="6"/>
      <c r="FER18" s="6"/>
      <c r="FES18" s="6"/>
      <c r="FET18" s="6"/>
      <c r="FEU18" s="6"/>
      <c r="FEV18" s="7"/>
      <c r="FEW18" s="457" t="s">
        <v>14257</v>
      </c>
      <c r="FEX18" s="6"/>
      <c r="FEY18" s="6"/>
      <c r="FEZ18" s="6"/>
      <c r="FFA18" s="6"/>
      <c r="FFB18" s="6"/>
      <c r="FFC18" s="6"/>
      <c r="FFD18" s="6"/>
      <c r="FFE18" s="6"/>
      <c r="FFF18" s="6"/>
      <c r="FFG18" s="6"/>
      <c r="FFH18" s="6"/>
      <c r="FFI18" s="6"/>
      <c r="FFJ18" s="6"/>
      <c r="FFK18" s="6"/>
      <c r="FFL18" s="7"/>
      <c r="FFM18" s="457" t="s">
        <v>14257</v>
      </c>
      <c r="FFN18" s="6"/>
      <c r="FFO18" s="6"/>
      <c r="FFP18" s="6"/>
      <c r="FFQ18" s="6"/>
      <c r="FFR18" s="6"/>
      <c r="FFS18" s="6"/>
      <c r="FFT18" s="6"/>
      <c r="FFU18" s="6"/>
      <c r="FFV18" s="6"/>
      <c r="FFW18" s="6"/>
      <c r="FFX18" s="6"/>
      <c r="FFY18" s="6"/>
      <c r="FFZ18" s="6"/>
      <c r="FGA18" s="6"/>
      <c r="FGB18" s="7"/>
      <c r="FGC18" s="457" t="s">
        <v>14257</v>
      </c>
      <c r="FGD18" s="6"/>
      <c r="FGE18" s="6"/>
      <c r="FGF18" s="6"/>
      <c r="FGG18" s="6"/>
      <c r="FGH18" s="6"/>
      <c r="FGI18" s="6"/>
      <c r="FGJ18" s="6"/>
      <c r="FGK18" s="6"/>
      <c r="FGL18" s="6"/>
      <c r="FGM18" s="6"/>
      <c r="FGN18" s="6"/>
      <c r="FGO18" s="6"/>
      <c r="FGP18" s="6"/>
      <c r="FGQ18" s="6"/>
      <c r="FGR18" s="7"/>
      <c r="FGS18" s="457" t="s">
        <v>14257</v>
      </c>
      <c r="FGT18" s="6"/>
      <c r="FGU18" s="6"/>
      <c r="FGV18" s="6"/>
      <c r="FGW18" s="6"/>
      <c r="FGX18" s="6"/>
      <c r="FGY18" s="6"/>
      <c r="FGZ18" s="6"/>
      <c r="FHA18" s="6"/>
      <c r="FHB18" s="6"/>
      <c r="FHC18" s="6"/>
      <c r="FHD18" s="6"/>
      <c r="FHE18" s="6"/>
      <c r="FHF18" s="6"/>
      <c r="FHG18" s="6"/>
      <c r="FHH18" s="7"/>
      <c r="FHI18" s="457" t="s">
        <v>14257</v>
      </c>
      <c r="FHJ18" s="6"/>
      <c r="FHK18" s="6"/>
      <c r="FHL18" s="6"/>
      <c r="FHM18" s="6"/>
      <c r="FHN18" s="6"/>
      <c r="FHO18" s="6"/>
      <c r="FHP18" s="6"/>
      <c r="FHQ18" s="6"/>
      <c r="FHR18" s="6"/>
      <c r="FHS18" s="6"/>
      <c r="FHT18" s="6"/>
      <c r="FHU18" s="6"/>
      <c r="FHV18" s="6"/>
      <c r="FHW18" s="6"/>
      <c r="FHX18" s="7"/>
      <c r="FHY18" s="457" t="s">
        <v>14257</v>
      </c>
      <c r="FHZ18" s="6"/>
      <c r="FIA18" s="6"/>
      <c r="FIB18" s="6"/>
      <c r="FIC18" s="6"/>
      <c r="FID18" s="6"/>
      <c r="FIE18" s="6"/>
      <c r="FIF18" s="6"/>
      <c r="FIG18" s="6"/>
      <c r="FIH18" s="6"/>
      <c r="FII18" s="6"/>
      <c r="FIJ18" s="6"/>
      <c r="FIK18" s="6"/>
      <c r="FIL18" s="6"/>
      <c r="FIM18" s="6"/>
      <c r="FIN18" s="7"/>
      <c r="FIO18" s="457" t="s">
        <v>14257</v>
      </c>
      <c r="FIP18" s="6"/>
      <c r="FIQ18" s="6"/>
      <c r="FIR18" s="6"/>
      <c r="FIS18" s="6"/>
      <c r="FIT18" s="6"/>
      <c r="FIU18" s="6"/>
      <c r="FIV18" s="6"/>
      <c r="FIW18" s="6"/>
      <c r="FIX18" s="6"/>
      <c r="FIY18" s="6"/>
      <c r="FIZ18" s="6"/>
      <c r="FJA18" s="6"/>
      <c r="FJB18" s="6"/>
      <c r="FJC18" s="6"/>
      <c r="FJD18" s="7"/>
      <c r="FJE18" s="457" t="s">
        <v>14257</v>
      </c>
      <c r="FJF18" s="6"/>
      <c r="FJG18" s="6"/>
      <c r="FJH18" s="6"/>
      <c r="FJI18" s="6"/>
      <c r="FJJ18" s="6"/>
      <c r="FJK18" s="6"/>
      <c r="FJL18" s="6"/>
      <c r="FJM18" s="6"/>
      <c r="FJN18" s="6"/>
      <c r="FJO18" s="6"/>
      <c r="FJP18" s="6"/>
      <c r="FJQ18" s="6"/>
      <c r="FJR18" s="6"/>
      <c r="FJS18" s="6"/>
      <c r="FJT18" s="7"/>
      <c r="FJU18" s="457" t="s">
        <v>14257</v>
      </c>
      <c r="FJV18" s="6"/>
      <c r="FJW18" s="6"/>
      <c r="FJX18" s="6"/>
      <c r="FJY18" s="6"/>
      <c r="FJZ18" s="6"/>
      <c r="FKA18" s="6"/>
      <c r="FKB18" s="6"/>
      <c r="FKC18" s="6"/>
      <c r="FKD18" s="6"/>
      <c r="FKE18" s="6"/>
      <c r="FKF18" s="6"/>
      <c r="FKG18" s="6"/>
      <c r="FKH18" s="6"/>
      <c r="FKI18" s="6"/>
      <c r="FKJ18" s="7"/>
      <c r="FKK18" s="457" t="s">
        <v>14257</v>
      </c>
      <c r="FKL18" s="6"/>
      <c r="FKM18" s="6"/>
      <c r="FKN18" s="6"/>
      <c r="FKO18" s="6"/>
      <c r="FKP18" s="6"/>
      <c r="FKQ18" s="6"/>
      <c r="FKR18" s="6"/>
      <c r="FKS18" s="6"/>
      <c r="FKT18" s="6"/>
      <c r="FKU18" s="6"/>
      <c r="FKV18" s="6"/>
      <c r="FKW18" s="6"/>
      <c r="FKX18" s="6"/>
      <c r="FKY18" s="6"/>
      <c r="FKZ18" s="7"/>
      <c r="FLA18" s="457" t="s">
        <v>14257</v>
      </c>
      <c r="FLB18" s="6"/>
      <c r="FLC18" s="6"/>
      <c r="FLD18" s="6"/>
      <c r="FLE18" s="6"/>
      <c r="FLF18" s="6"/>
      <c r="FLG18" s="6"/>
      <c r="FLH18" s="6"/>
      <c r="FLI18" s="6"/>
      <c r="FLJ18" s="6"/>
      <c r="FLK18" s="6"/>
      <c r="FLL18" s="6"/>
      <c r="FLM18" s="6"/>
      <c r="FLN18" s="6"/>
      <c r="FLO18" s="6"/>
      <c r="FLP18" s="7"/>
      <c r="FLQ18" s="457" t="s">
        <v>14257</v>
      </c>
      <c r="FLR18" s="6"/>
      <c r="FLS18" s="6"/>
      <c r="FLT18" s="6"/>
      <c r="FLU18" s="6"/>
      <c r="FLV18" s="6"/>
      <c r="FLW18" s="6"/>
      <c r="FLX18" s="6"/>
      <c r="FLY18" s="6"/>
      <c r="FLZ18" s="6"/>
      <c r="FMA18" s="6"/>
      <c r="FMB18" s="6"/>
      <c r="FMC18" s="6"/>
      <c r="FMD18" s="6"/>
      <c r="FME18" s="6"/>
      <c r="FMF18" s="7"/>
      <c r="FMG18" s="457" t="s">
        <v>14257</v>
      </c>
      <c r="FMH18" s="6"/>
      <c r="FMI18" s="6"/>
      <c r="FMJ18" s="6"/>
      <c r="FMK18" s="6"/>
      <c r="FML18" s="6"/>
      <c r="FMM18" s="6"/>
      <c r="FMN18" s="6"/>
      <c r="FMO18" s="6"/>
      <c r="FMP18" s="6"/>
      <c r="FMQ18" s="6"/>
      <c r="FMR18" s="6"/>
      <c r="FMS18" s="6"/>
      <c r="FMT18" s="6"/>
      <c r="FMU18" s="6"/>
      <c r="FMV18" s="7"/>
      <c r="FMW18" s="457" t="s">
        <v>14257</v>
      </c>
      <c r="FMX18" s="6"/>
      <c r="FMY18" s="6"/>
      <c r="FMZ18" s="6"/>
      <c r="FNA18" s="6"/>
      <c r="FNB18" s="6"/>
      <c r="FNC18" s="6"/>
      <c r="FND18" s="6"/>
      <c r="FNE18" s="6"/>
      <c r="FNF18" s="6"/>
      <c r="FNG18" s="6"/>
      <c r="FNH18" s="6"/>
      <c r="FNI18" s="6"/>
      <c r="FNJ18" s="6"/>
      <c r="FNK18" s="6"/>
      <c r="FNL18" s="7"/>
      <c r="FNM18" s="457" t="s">
        <v>14257</v>
      </c>
      <c r="FNN18" s="6"/>
      <c r="FNO18" s="6"/>
      <c r="FNP18" s="6"/>
      <c r="FNQ18" s="6"/>
      <c r="FNR18" s="6"/>
      <c r="FNS18" s="6"/>
      <c r="FNT18" s="6"/>
      <c r="FNU18" s="6"/>
      <c r="FNV18" s="6"/>
      <c r="FNW18" s="6"/>
      <c r="FNX18" s="6"/>
      <c r="FNY18" s="6"/>
      <c r="FNZ18" s="6"/>
      <c r="FOA18" s="6"/>
      <c r="FOB18" s="7"/>
      <c r="FOC18" s="457" t="s">
        <v>14257</v>
      </c>
      <c r="FOD18" s="6"/>
      <c r="FOE18" s="6"/>
      <c r="FOF18" s="6"/>
      <c r="FOG18" s="6"/>
      <c r="FOH18" s="6"/>
      <c r="FOI18" s="6"/>
      <c r="FOJ18" s="6"/>
      <c r="FOK18" s="6"/>
      <c r="FOL18" s="6"/>
      <c r="FOM18" s="6"/>
      <c r="FON18" s="6"/>
      <c r="FOO18" s="6"/>
      <c r="FOP18" s="6"/>
      <c r="FOQ18" s="6"/>
      <c r="FOR18" s="7"/>
      <c r="FOS18" s="457" t="s">
        <v>14257</v>
      </c>
      <c r="FOT18" s="6"/>
      <c r="FOU18" s="6"/>
      <c r="FOV18" s="6"/>
      <c r="FOW18" s="6"/>
      <c r="FOX18" s="6"/>
      <c r="FOY18" s="6"/>
      <c r="FOZ18" s="6"/>
      <c r="FPA18" s="6"/>
      <c r="FPB18" s="6"/>
      <c r="FPC18" s="6"/>
      <c r="FPD18" s="6"/>
      <c r="FPE18" s="6"/>
      <c r="FPF18" s="6"/>
      <c r="FPG18" s="6"/>
      <c r="FPH18" s="7"/>
      <c r="FPI18" s="457" t="s">
        <v>14257</v>
      </c>
      <c r="FPJ18" s="6"/>
      <c r="FPK18" s="6"/>
      <c r="FPL18" s="6"/>
      <c r="FPM18" s="6"/>
      <c r="FPN18" s="6"/>
      <c r="FPO18" s="6"/>
      <c r="FPP18" s="6"/>
      <c r="FPQ18" s="6"/>
      <c r="FPR18" s="6"/>
      <c r="FPS18" s="6"/>
      <c r="FPT18" s="6"/>
      <c r="FPU18" s="6"/>
      <c r="FPV18" s="6"/>
      <c r="FPW18" s="6"/>
      <c r="FPX18" s="7"/>
      <c r="FPY18" s="457" t="s">
        <v>14257</v>
      </c>
      <c r="FPZ18" s="6"/>
      <c r="FQA18" s="6"/>
      <c r="FQB18" s="6"/>
      <c r="FQC18" s="6"/>
      <c r="FQD18" s="6"/>
      <c r="FQE18" s="6"/>
      <c r="FQF18" s="6"/>
      <c r="FQG18" s="6"/>
      <c r="FQH18" s="6"/>
      <c r="FQI18" s="6"/>
      <c r="FQJ18" s="6"/>
      <c r="FQK18" s="6"/>
      <c r="FQL18" s="6"/>
      <c r="FQM18" s="6"/>
      <c r="FQN18" s="7"/>
      <c r="FQO18" s="457" t="s">
        <v>14257</v>
      </c>
      <c r="FQP18" s="6"/>
      <c r="FQQ18" s="6"/>
      <c r="FQR18" s="6"/>
      <c r="FQS18" s="6"/>
      <c r="FQT18" s="6"/>
      <c r="FQU18" s="6"/>
      <c r="FQV18" s="6"/>
      <c r="FQW18" s="6"/>
      <c r="FQX18" s="6"/>
      <c r="FQY18" s="6"/>
      <c r="FQZ18" s="6"/>
      <c r="FRA18" s="6"/>
      <c r="FRB18" s="6"/>
      <c r="FRC18" s="6"/>
      <c r="FRD18" s="7"/>
      <c r="FRE18" s="457" t="s">
        <v>14257</v>
      </c>
      <c r="FRF18" s="6"/>
      <c r="FRG18" s="6"/>
      <c r="FRH18" s="6"/>
      <c r="FRI18" s="6"/>
      <c r="FRJ18" s="6"/>
      <c r="FRK18" s="6"/>
      <c r="FRL18" s="6"/>
      <c r="FRM18" s="6"/>
      <c r="FRN18" s="6"/>
      <c r="FRO18" s="6"/>
      <c r="FRP18" s="6"/>
      <c r="FRQ18" s="6"/>
      <c r="FRR18" s="6"/>
      <c r="FRS18" s="6"/>
      <c r="FRT18" s="7"/>
      <c r="FRU18" s="457" t="s">
        <v>14257</v>
      </c>
      <c r="FRV18" s="6"/>
      <c r="FRW18" s="6"/>
      <c r="FRX18" s="6"/>
      <c r="FRY18" s="6"/>
      <c r="FRZ18" s="6"/>
      <c r="FSA18" s="6"/>
      <c r="FSB18" s="6"/>
      <c r="FSC18" s="6"/>
      <c r="FSD18" s="6"/>
      <c r="FSE18" s="6"/>
      <c r="FSF18" s="6"/>
      <c r="FSG18" s="6"/>
      <c r="FSH18" s="6"/>
      <c r="FSI18" s="6"/>
      <c r="FSJ18" s="7"/>
      <c r="FSK18" s="457" t="s">
        <v>14257</v>
      </c>
      <c r="FSL18" s="6"/>
      <c r="FSM18" s="6"/>
      <c r="FSN18" s="6"/>
      <c r="FSO18" s="6"/>
      <c r="FSP18" s="6"/>
      <c r="FSQ18" s="6"/>
      <c r="FSR18" s="6"/>
      <c r="FSS18" s="6"/>
      <c r="FST18" s="6"/>
      <c r="FSU18" s="6"/>
      <c r="FSV18" s="6"/>
      <c r="FSW18" s="6"/>
      <c r="FSX18" s="6"/>
      <c r="FSY18" s="6"/>
      <c r="FSZ18" s="7"/>
      <c r="FTA18" s="457" t="s">
        <v>14257</v>
      </c>
      <c r="FTB18" s="6"/>
      <c r="FTC18" s="6"/>
      <c r="FTD18" s="6"/>
      <c r="FTE18" s="6"/>
      <c r="FTF18" s="6"/>
      <c r="FTG18" s="6"/>
      <c r="FTH18" s="6"/>
      <c r="FTI18" s="6"/>
      <c r="FTJ18" s="6"/>
      <c r="FTK18" s="6"/>
      <c r="FTL18" s="6"/>
      <c r="FTM18" s="6"/>
      <c r="FTN18" s="6"/>
      <c r="FTO18" s="6"/>
      <c r="FTP18" s="7"/>
      <c r="FTQ18" s="457" t="s">
        <v>14257</v>
      </c>
      <c r="FTR18" s="6"/>
      <c r="FTS18" s="6"/>
      <c r="FTT18" s="6"/>
      <c r="FTU18" s="6"/>
      <c r="FTV18" s="6"/>
      <c r="FTW18" s="6"/>
      <c r="FTX18" s="6"/>
      <c r="FTY18" s="6"/>
      <c r="FTZ18" s="6"/>
      <c r="FUA18" s="6"/>
      <c r="FUB18" s="6"/>
      <c r="FUC18" s="6"/>
      <c r="FUD18" s="6"/>
      <c r="FUE18" s="6"/>
      <c r="FUF18" s="7"/>
      <c r="FUG18" s="457" t="s">
        <v>14257</v>
      </c>
      <c r="FUH18" s="6"/>
      <c r="FUI18" s="6"/>
      <c r="FUJ18" s="6"/>
      <c r="FUK18" s="6"/>
      <c r="FUL18" s="6"/>
      <c r="FUM18" s="6"/>
      <c r="FUN18" s="6"/>
      <c r="FUO18" s="6"/>
      <c r="FUP18" s="6"/>
      <c r="FUQ18" s="6"/>
      <c r="FUR18" s="6"/>
      <c r="FUS18" s="6"/>
      <c r="FUT18" s="6"/>
      <c r="FUU18" s="6"/>
      <c r="FUV18" s="7"/>
      <c r="FUW18" s="457" t="s">
        <v>14257</v>
      </c>
      <c r="FUX18" s="6"/>
      <c r="FUY18" s="6"/>
      <c r="FUZ18" s="6"/>
      <c r="FVA18" s="6"/>
      <c r="FVB18" s="6"/>
      <c r="FVC18" s="6"/>
      <c r="FVD18" s="6"/>
      <c r="FVE18" s="6"/>
      <c r="FVF18" s="6"/>
      <c r="FVG18" s="6"/>
      <c r="FVH18" s="6"/>
      <c r="FVI18" s="6"/>
      <c r="FVJ18" s="6"/>
      <c r="FVK18" s="6"/>
      <c r="FVL18" s="7"/>
      <c r="FVM18" s="457" t="s">
        <v>14257</v>
      </c>
      <c r="FVN18" s="6"/>
      <c r="FVO18" s="6"/>
      <c r="FVP18" s="6"/>
      <c r="FVQ18" s="6"/>
      <c r="FVR18" s="6"/>
      <c r="FVS18" s="6"/>
      <c r="FVT18" s="6"/>
      <c r="FVU18" s="6"/>
      <c r="FVV18" s="6"/>
      <c r="FVW18" s="6"/>
      <c r="FVX18" s="6"/>
      <c r="FVY18" s="6"/>
      <c r="FVZ18" s="6"/>
      <c r="FWA18" s="6"/>
      <c r="FWB18" s="7"/>
      <c r="FWC18" s="457" t="s">
        <v>14257</v>
      </c>
      <c r="FWD18" s="6"/>
      <c r="FWE18" s="6"/>
      <c r="FWF18" s="6"/>
      <c r="FWG18" s="6"/>
      <c r="FWH18" s="6"/>
      <c r="FWI18" s="6"/>
      <c r="FWJ18" s="6"/>
      <c r="FWK18" s="6"/>
      <c r="FWL18" s="6"/>
      <c r="FWM18" s="6"/>
      <c r="FWN18" s="6"/>
      <c r="FWO18" s="6"/>
      <c r="FWP18" s="6"/>
      <c r="FWQ18" s="6"/>
      <c r="FWR18" s="7"/>
      <c r="FWS18" s="457" t="s">
        <v>14257</v>
      </c>
      <c r="FWT18" s="6"/>
      <c r="FWU18" s="6"/>
      <c r="FWV18" s="6"/>
      <c r="FWW18" s="6"/>
      <c r="FWX18" s="6"/>
      <c r="FWY18" s="6"/>
      <c r="FWZ18" s="6"/>
      <c r="FXA18" s="6"/>
      <c r="FXB18" s="6"/>
      <c r="FXC18" s="6"/>
      <c r="FXD18" s="6"/>
      <c r="FXE18" s="6"/>
      <c r="FXF18" s="6"/>
      <c r="FXG18" s="6"/>
      <c r="FXH18" s="7"/>
      <c r="FXI18" s="457" t="s">
        <v>14257</v>
      </c>
      <c r="FXJ18" s="6"/>
      <c r="FXK18" s="6"/>
      <c r="FXL18" s="6"/>
      <c r="FXM18" s="6"/>
      <c r="FXN18" s="6"/>
      <c r="FXO18" s="6"/>
      <c r="FXP18" s="6"/>
      <c r="FXQ18" s="6"/>
      <c r="FXR18" s="6"/>
      <c r="FXS18" s="6"/>
      <c r="FXT18" s="6"/>
      <c r="FXU18" s="6"/>
      <c r="FXV18" s="6"/>
      <c r="FXW18" s="6"/>
      <c r="FXX18" s="7"/>
      <c r="FXY18" s="457" t="s">
        <v>14257</v>
      </c>
      <c r="FXZ18" s="6"/>
      <c r="FYA18" s="6"/>
      <c r="FYB18" s="6"/>
      <c r="FYC18" s="6"/>
      <c r="FYD18" s="6"/>
      <c r="FYE18" s="6"/>
      <c r="FYF18" s="6"/>
      <c r="FYG18" s="6"/>
      <c r="FYH18" s="6"/>
      <c r="FYI18" s="6"/>
      <c r="FYJ18" s="6"/>
      <c r="FYK18" s="6"/>
      <c r="FYL18" s="6"/>
      <c r="FYM18" s="6"/>
      <c r="FYN18" s="7"/>
      <c r="FYO18" s="457" t="s">
        <v>14257</v>
      </c>
      <c r="FYP18" s="6"/>
      <c r="FYQ18" s="6"/>
      <c r="FYR18" s="6"/>
      <c r="FYS18" s="6"/>
      <c r="FYT18" s="6"/>
      <c r="FYU18" s="6"/>
      <c r="FYV18" s="6"/>
      <c r="FYW18" s="6"/>
      <c r="FYX18" s="6"/>
      <c r="FYY18" s="6"/>
      <c r="FYZ18" s="6"/>
      <c r="FZA18" s="6"/>
      <c r="FZB18" s="6"/>
      <c r="FZC18" s="6"/>
      <c r="FZD18" s="7"/>
      <c r="FZE18" s="457" t="s">
        <v>14257</v>
      </c>
      <c r="FZF18" s="6"/>
      <c r="FZG18" s="6"/>
      <c r="FZH18" s="6"/>
      <c r="FZI18" s="6"/>
      <c r="FZJ18" s="6"/>
      <c r="FZK18" s="6"/>
      <c r="FZL18" s="6"/>
      <c r="FZM18" s="6"/>
      <c r="FZN18" s="6"/>
      <c r="FZO18" s="6"/>
      <c r="FZP18" s="6"/>
      <c r="FZQ18" s="6"/>
      <c r="FZR18" s="6"/>
      <c r="FZS18" s="6"/>
      <c r="FZT18" s="7"/>
      <c r="FZU18" s="457" t="s">
        <v>14257</v>
      </c>
      <c r="FZV18" s="6"/>
      <c r="FZW18" s="6"/>
      <c r="FZX18" s="6"/>
      <c r="FZY18" s="6"/>
      <c r="FZZ18" s="6"/>
      <c r="GAA18" s="6"/>
      <c r="GAB18" s="6"/>
      <c r="GAC18" s="6"/>
      <c r="GAD18" s="6"/>
      <c r="GAE18" s="6"/>
      <c r="GAF18" s="6"/>
      <c r="GAG18" s="6"/>
      <c r="GAH18" s="6"/>
      <c r="GAI18" s="6"/>
      <c r="GAJ18" s="7"/>
      <c r="GAK18" s="457" t="s">
        <v>14257</v>
      </c>
      <c r="GAL18" s="6"/>
      <c r="GAM18" s="6"/>
      <c r="GAN18" s="6"/>
      <c r="GAO18" s="6"/>
      <c r="GAP18" s="6"/>
      <c r="GAQ18" s="6"/>
      <c r="GAR18" s="6"/>
      <c r="GAS18" s="6"/>
      <c r="GAT18" s="6"/>
      <c r="GAU18" s="6"/>
      <c r="GAV18" s="6"/>
      <c r="GAW18" s="6"/>
      <c r="GAX18" s="6"/>
      <c r="GAY18" s="6"/>
      <c r="GAZ18" s="7"/>
      <c r="GBA18" s="457" t="s">
        <v>14257</v>
      </c>
      <c r="GBB18" s="6"/>
      <c r="GBC18" s="6"/>
      <c r="GBD18" s="6"/>
      <c r="GBE18" s="6"/>
      <c r="GBF18" s="6"/>
      <c r="GBG18" s="6"/>
      <c r="GBH18" s="6"/>
      <c r="GBI18" s="6"/>
      <c r="GBJ18" s="6"/>
      <c r="GBK18" s="6"/>
      <c r="GBL18" s="6"/>
      <c r="GBM18" s="6"/>
      <c r="GBN18" s="6"/>
      <c r="GBO18" s="6"/>
      <c r="GBP18" s="7"/>
      <c r="GBQ18" s="457" t="s">
        <v>14257</v>
      </c>
      <c r="GBR18" s="6"/>
      <c r="GBS18" s="6"/>
      <c r="GBT18" s="6"/>
      <c r="GBU18" s="6"/>
      <c r="GBV18" s="6"/>
      <c r="GBW18" s="6"/>
      <c r="GBX18" s="6"/>
      <c r="GBY18" s="6"/>
      <c r="GBZ18" s="6"/>
      <c r="GCA18" s="6"/>
      <c r="GCB18" s="6"/>
      <c r="GCC18" s="6"/>
      <c r="GCD18" s="6"/>
      <c r="GCE18" s="6"/>
      <c r="GCF18" s="7"/>
      <c r="GCG18" s="457" t="s">
        <v>14257</v>
      </c>
      <c r="GCH18" s="6"/>
      <c r="GCI18" s="6"/>
      <c r="GCJ18" s="6"/>
      <c r="GCK18" s="6"/>
      <c r="GCL18" s="6"/>
      <c r="GCM18" s="6"/>
      <c r="GCN18" s="6"/>
      <c r="GCO18" s="6"/>
      <c r="GCP18" s="6"/>
      <c r="GCQ18" s="6"/>
      <c r="GCR18" s="6"/>
      <c r="GCS18" s="6"/>
      <c r="GCT18" s="6"/>
      <c r="GCU18" s="6"/>
      <c r="GCV18" s="7"/>
      <c r="GCW18" s="457" t="s">
        <v>14257</v>
      </c>
      <c r="GCX18" s="6"/>
      <c r="GCY18" s="6"/>
      <c r="GCZ18" s="6"/>
      <c r="GDA18" s="6"/>
      <c r="GDB18" s="6"/>
      <c r="GDC18" s="6"/>
      <c r="GDD18" s="6"/>
      <c r="GDE18" s="6"/>
      <c r="GDF18" s="6"/>
      <c r="GDG18" s="6"/>
      <c r="GDH18" s="6"/>
      <c r="GDI18" s="6"/>
      <c r="GDJ18" s="6"/>
      <c r="GDK18" s="6"/>
      <c r="GDL18" s="7"/>
      <c r="GDM18" s="457" t="s">
        <v>14257</v>
      </c>
      <c r="GDN18" s="6"/>
      <c r="GDO18" s="6"/>
      <c r="GDP18" s="6"/>
      <c r="GDQ18" s="6"/>
      <c r="GDR18" s="6"/>
      <c r="GDS18" s="6"/>
      <c r="GDT18" s="6"/>
      <c r="GDU18" s="6"/>
      <c r="GDV18" s="6"/>
      <c r="GDW18" s="6"/>
      <c r="GDX18" s="6"/>
      <c r="GDY18" s="6"/>
      <c r="GDZ18" s="6"/>
      <c r="GEA18" s="6"/>
      <c r="GEB18" s="7"/>
      <c r="GEC18" s="457" t="s">
        <v>14257</v>
      </c>
      <c r="GED18" s="6"/>
      <c r="GEE18" s="6"/>
      <c r="GEF18" s="6"/>
      <c r="GEG18" s="6"/>
      <c r="GEH18" s="6"/>
      <c r="GEI18" s="6"/>
      <c r="GEJ18" s="6"/>
      <c r="GEK18" s="6"/>
      <c r="GEL18" s="6"/>
      <c r="GEM18" s="6"/>
      <c r="GEN18" s="6"/>
      <c r="GEO18" s="6"/>
      <c r="GEP18" s="6"/>
      <c r="GEQ18" s="6"/>
      <c r="GER18" s="7"/>
      <c r="GES18" s="457" t="s">
        <v>14257</v>
      </c>
      <c r="GET18" s="6"/>
      <c r="GEU18" s="6"/>
      <c r="GEV18" s="6"/>
      <c r="GEW18" s="6"/>
      <c r="GEX18" s="6"/>
      <c r="GEY18" s="6"/>
      <c r="GEZ18" s="6"/>
      <c r="GFA18" s="6"/>
      <c r="GFB18" s="6"/>
      <c r="GFC18" s="6"/>
      <c r="GFD18" s="6"/>
      <c r="GFE18" s="6"/>
      <c r="GFF18" s="6"/>
      <c r="GFG18" s="6"/>
      <c r="GFH18" s="7"/>
      <c r="GFI18" s="457" t="s">
        <v>14257</v>
      </c>
      <c r="GFJ18" s="6"/>
      <c r="GFK18" s="6"/>
      <c r="GFL18" s="6"/>
      <c r="GFM18" s="6"/>
      <c r="GFN18" s="6"/>
      <c r="GFO18" s="6"/>
      <c r="GFP18" s="6"/>
      <c r="GFQ18" s="6"/>
      <c r="GFR18" s="6"/>
      <c r="GFS18" s="6"/>
      <c r="GFT18" s="6"/>
      <c r="GFU18" s="6"/>
      <c r="GFV18" s="6"/>
      <c r="GFW18" s="6"/>
      <c r="GFX18" s="7"/>
      <c r="GFY18" s="457" t="s">
        <v>14257</v>
      </c>
      <c r="GFZ18" s="6"/>
      <c r="GGA18" s="6"/>
      <c r="GGB18" s="6"/>
      <c r="GGC18" s="6"/>
      <c r="GGD18" s="6"/>
      <c r="GGE18" s="6"/>
      <c r="GGF18" s="6"/>
      <c r="GGG18" s="6"/>
      <c r="GGH18" s="6"/>
      <c r="GGI18" s="6"/>
      <c r="GGJ18" s="6"/>
      <c r="GGK18" s="6"/>
      <c r="GGL18" s="6"/>
      <c r="GGM18" s="6"/>
      <c r="GGN18" s="7"/>
      <c r="GGO18" s="457" t="s">
        <v>14257</v>
      </c>
      <c r="GGP18" s="6"/>
      <c r="GGQ18" s="6"/>
      <c r="GGR18" s="6"/>
      <c r="GGS18" s="6"/>
      <c r="GGT18" s="6"/>
      <c r="GGU18" s="6"/>
      <c r="GGV18" s="6"/>
      <c r="GGW18" s="6"/>
      <c r="GGX18" s="6"/>
      <c r="GGY18" s="6"/>
      <c r="GGZ18" s="6"/>
      <c r="GHA18" s="6"/>
      <c r="GHB18" s="6"/>
      <c r="GHC18" s="6"/>
      <c r="GHD18" s="7"/>
      <c r="GHE18" s="457" t="s">
        <v>14257</v>
      </c>
      <c r="GHF18" s="6"/>
      <c r="GHG18" s="6"/>
      <c r="GHH18" s="6"/>
      <c r="GHI18" s="6"/>
      <c r="GHJ18" s="6"/>
      <c r="GHK18" s="6"/>
      <c r="GHL18" s="6"/>
      <c r="GHM18" s="6"/>
      <c r="GHN18" s="6"/>
      <c r="GHO18" s="6"/>
      <c r="GHP18" s="6"/>
      <c r="GHQ18" s="6"/>
      <c r="GHR18" s="6"/>
      <c r="GHS18" s="6"/>
      <c r="GHT18" s="7"/>
      <c r="GHU18" s="457" t="s">
        <v>14257</v>
      </c>
      <c r="GHV18" s="6"/>
      <c r="GHW18" s="6"/>
      <c r="GHX18" s="6"/>
      <c r="GHY18" s="6"/>
      <c r="GHZ18" s="6"/>
      <c r="GIA18" s="6"/>
      <c r="GIB18" s="6"/>
      <c r="GIC18" s="6"/>
      <c r="GID18" s="6"/>
      <c r="GIE18" s="6"/>
      <c r="GIF18" s="6"/>
      <c r="GIG18" s="6"/>
      <c r="GIH18" s="6"/>
      <c r="GII18" s="6"/>
      <c r="GIJ18" s="7"/>
      <c r="GIK18" s="457" t="s">
        <v>14257</v>
      </c>
      <c r="GIL18" s="6"/>
      <c r="GIM18" s="6"/>
      <c r="GIN18" s="6"/>
      <c r="GIO18" s="6"/>
      <c r="GIP18" s="6"/>
      <c r="GIQ18" s="6"/>
      <c r="GIR18" s="6"/>
      <c r="GIS18" s="6"/>
      <c r="GIT18" s="6"/>
      <c r="GIU18" s="6"/>
      <c r="GIV18" s="6"/>
      <c r="GIW18" s="6"/>
      <c r="GIX18" s="6"/>
      <c r="GIY18" s="6"/>
      <c r="GIZ18" s="7"/>
      <c r="GJA18" s="457" t="s">
        <v>14257</v>
      </c>
      <c r="GJB18" s="6"/>
      <c r="GJC18" s="6"/>
      <c r="GJD18" s="6"/>
      <c r="GJE18" s="6"/>
      <c r="GJF18" s="6"/>
      <c r="GJG18" s="6"/>
      <c r="GJH18" s="6"/>
      <c r="GJI18" s="6"/>
      <c r="GJJ18" s="6"/>
      <c r="GJK18" s="6"/>
      <c r="GJL18" s="6"/>
      <c r="GJM18" s="6"/>
      <c r="GJN18" s="6"/>
      <c r="GJO18" s="6"/>
      <c r="GJP18" s="7"/>
      <c r="GJQ18" s="457" t="s">
        <v>14257</v>
      </c>
      <c r="GJR18" s="6"/>
      <c r="GJS18" s="6"/>
      <c r="GJT18" s="6"/>
      <c r="GJU18" s="6"/>
      <c r="GJV18" s="6"/>
      <c r="GJW18" s="6"/>
      <c r="GJX18" s="6"/>
      <c r="GJY18" s="6"/>
      <c r="GJZ18" s="6"/>
      <c r="GKA18" s="6"/>
      <c r="GKB18" s="6"/>
      <c r="GKC18" s="6"/>
      <c r="GKD18" s="6"/>
      <c r="GKE18" s="6"/>
      <c r="GKF18" s="7"/>
      <c r="GKG18" s="457" t="s">
        <v>14257</v>
      </c>
      <c r="GKH18" s="6"/>
      <c r="GKI18" s="6"/>
      <c r="GKJ18" s="6"/>
      <c r="GKK18" s="6"/>
      <c r="GKL18" s="6"/>
      <c r="GKM18" s="6"/>
      <c r="GKN18" s="6"/>
      <c r="GKO18" s="6"/>
      <c r="GKP18" s="6"/>
      <c r="GKQ18" s="6"/>
      <c r="GKR18" s="6"/>
      <c r="GKS18" s="6"/>
      <c r="GKT18" s="6"/>
      <c r="GKU18" s="6"/>
      <c r="GKV18" s="7"/>
      <c r="GKW18" s="457" t="s">
        <v>14257</v>
      </c>
      <c r="GKX18" s="6"/>
      <c r="GKY18" s="6"/>
      <c r="GKZ18" s="6"/>
      <c r="GLA18" s="6"/>
      <c r="GLB18" s="6"/>
      <c r="GLC18" s="6"/>
      <c r="GLD18" s="6"/>
      <c r="GLE18" s="6"/>
      <c r="GLF18" s="6"/>
      <c r="GLG18" s="6"/>
      <c r="GLH18" s="6"/>
      <c r="GLI18" s="6"/>
      <c r="GLJ18" s="6"/>
      <c r="GLK18" s="6"/>
      <c r="GLL18" s="7"/>
      <c r="GLM18" s="457" t="s">
        <v>14257</v>
      </c>
      <c r="GLN18" s="6"/>
      <c r="GLO18" s="6"/>
      <c r="GLP18" s="6"/>
      <c r="GLQ18" s="6"/>
      <c r="GLR18" s="6"/>
      <c r="GLS18" s="6"/>
      <c r="GLT18" s="6"/>
      <c r="GLU18" s="6"/>
      <c r="GLV18" s="6"/>
      <c r="GLW18" s="6"/>
      <c r="GLX18" s="6"/>
      <c r="GLY18" s="6"/>
      <c r="GLZ18" s="6"/>
      <c r="GMA18" s="6"/>
      <c r="GMB18" s="7"/>
      <c r="GMC18" s="457" t="s">
        <v>14257</v>
      </c>
      <c r="GMD18" s="6"/>
      <c r="GME18" s="6"/>
      <c r="GMF18" s="6"/>
      <c r="GMG18" s="6"/>
      <c r="GMH18" s="6"/>
      <c r="GMI18" s="6"/>
      <c r="GMJ18" s="6"/>
      <c r="GMK18" s="6"/>
      <c r="GML18" s="6"/>
      <c r="GMM18" s="6"/>
      <c r="GMN18" s="6"/>
      <c r="GMO18" s="6"/>
      <c r="GMP18" s="6"/>
      <c r="GMQ18" s="6"/>
      <c r="GMR18" s="7"/>
      <c r="GMS18" s="457" t="s">
        <v>14257</v>
      </c>
      <c r="GMT18" s="6"/>
      <c r="GMU18" s="6"/>
      <c r="GMV18" s="6"/>
      <c r="GMW18" s="6"/>
      <c r="GMX18" s="6"/>
      <c r="GMY18" s="6"/>
      <c r="GMZ18" s="6"/>
      <c r="GNA18" s="6"/>
      <c r="GNB18" s="6"/>
      <c r="GNC18" s="6"/>
      <c r="GND18" s="6"/>
      <c r="GNE18" s="6"/>
      <c r="GNF18" s="6"/>
      <c r="GNG18" s="6"/>
      <c r="GNH18" s="7"/>
      <c r="GNI18" s="457" t="s">
        <v>14257</v>
      </c>
      <c r="GNJ18" s="6"/>
      <c r="GNK18" s="6"/>
      <c r="GNL18" s="6"/>
      <c r="GNM18" s="6"/>
      <c r="GNN18" s="6"/>
      <c r="GNO18" s="6"/>
      <c r="GNP18" s="6"/>
      <c r="GNQ18" s="6"/>
      <c r="GNR18" s="6"/>
      <c r="GNS18" s="6"/>
      <c r="GNT18" s="6"/>
      <c r="GNU18" s="6"/>
      <c r="GNV18" s="6"/>
      <c r="GNW18" s="6"/>
      <c r="GNX18" s="7"/>
      <c r="GNY18" s="457" t="s">
        <v>14257</v>
      </c>
      <c r="GNZ18" s="6"/>
      <c r="GOA18" s="6"/>
      <c r="GOB18" s="6"/>
      <c r="GOC18" s="6"/>
      <c r="GOD18" s="6"/>
      <c r="GOE18" s="6"/>
      <c r="GOF18" s="6"/>
      <c r="GOG18" s="6"/>
      <c r="GOH18" s="6"/>
      <c r="GOI18" s="6"/>
      <c r="GOJ18" s="6"/>
      <c r="GOK18" s="6"/>
      <c r="GOL18" s="6"/>
      <c r="GOM18" s="6"/>
      <c r="GON18" s="7"/>
      <c r="GOO18" s="457" t="s">
        <v>14257</v>
      </c>
      <c r="GOP18" s="6"/>
      <c r="GOQ18" s="6"/>
      <c r="GOR18" s="6"/>
      <c r="GOS18" s="6"/>
      <c r="GOT18" s="6"/>
      <c r="GOU18" s="6"/>
      <c r="GOV18" s="6"/>
      <c r="GOW18" s="6"/>
      <c r="GOX18" s="6"/>
      <c r="GOY18" s="6"/>
      <c r="GOZ18" s="6"/>
      <c r="GPA18" s="6"/>
      <c r="GPB18" s="6"/>
      <c r="GPC18" s="6"/>
      <c r="GPD18" s="7"/>
      <c r="GPE18" s="457" t="s">
        <v>14257</v>
      </c>
      <c r="GPF18" s="6"/>
      <c r="GPG18" s="6"/>
      <c r="GPH18" s="6"/>
      <c r="GPI18" s="6"/>
      <c r="GPJ18" s="6"/>
      <c r="GPK18" s="6"/>
      <c r="GPL18" s="6"/>
      <c r="GPM18" s="6"/>
      <c r="GPN18" s="6"/>
      <c r="GPO18" s="6"/>
      <c r="GPP18" s="6"/>
      <c r="GPQ18" s="6"/>
      <c r="GPR18" s="6"/>
      <c r="GPS18" s="6"/>
      <c r="GPT18" s="7"/>
      <c r="GPU18" s="457" t="s">
        <v>14257</v>
      </c>
      <c r="GPV18" s="6"/>
      <c r="GPW18" s="6"/>
      <c r="GPX18" s="6"/>
      <c r="GPY18" s="6"/>
      <c r="GPZ18" s="6"/>
      <c r="GQA18" s="6"/>
      <c r="GQB18" s="6"/>
      <c r="GQC18" s="6"/>
      <c r="GQD18" s="6"/>
      <c r="GQE18" s="6"/>
      <c r="GQF18" s="6"/>
      <c r="GQG18" s="6"/>
      <c r="GQH18" s="6"/>
      <c r="GQI18" s="6"/>
      <c r="GQJ18" s="7"/>
      <c r="GQK18" s="457" t="s">
        <v>14257</v>
      </c>
      <c r="GQL18" s="6"/>
      <c r="GQM18" s="6"/>
      <c r="GQN18" s="6"/>
      <c r="GQO18" s="6"/>
      <c r="GQP18" s="6"/>
      <c r="GQQ18" s="6"/>
      <c r="GQR18" s="6"/>
      <c r="GQS18" s="6"/>
      <c r="GQT18" s="6"/>
      <c r="GQU18" s="6"/>
      <c r="GQV18" s="6"/>
      <c r="GQW18" s="6"/>
      <c r="GQX18" s="6"/>
      <c r="GQY18" s="6"/>
      <c r="GQZ18" s="7"/>
      <c r="GRA18" s="457" t="s">
        <v>14257</v>
      </c>
      <c r="GRB18" s="6"/>
      <c r="GRC18" s="6"/>
      <c r="GRD18" s="6"/>
      <c r="GRE18" s="6"/>
      <c r="GRF18" s="6"/>
      <c r="GRG18" s="6"/>
      <c r="GRH18" s="6"/>
      <c r="GRI18" s="6"/>
      <c r="GRJ18" s="6"/>
      <c r="GRK18" s="6"/>
      <c r="GRL18" s="6"/>
      <c r="GRM18" s="6"/>
      <c r="GRN18" s="6"/>
      <c r="GRO18" s="6"/>
      <c r="GRP18" s="7"/>
      <c r="GRQ18" s="457" t="s">
        <v>14257</v>
      </c>
      <c r="GRR18" s="6"/>
      <c r="GRS18" s="6"/>
      <c r="GRT18" s="6"/>
      <c r="GRU18" s="6"/>
      <c r="GRV18" s="6"/>
      <c r="GRW18" s="6"/>
      <c r="GRX18" s="6"/>
      <c r="GRY18" s="6"/>
      <c r="GRZ18" s="6"/>
      <c r="GSA18" s="6"/>
      <c r="GSB18" s="6"/>
      <c r="GSC18" s="6"/>
      <c r="GSD18" s="6"/>
      <c r="GSE18" s="6"/>
      <c r="GSF18" s="7"/>
      <c r="GSG18" s="457" t="s">
        <v>14257</v>
      </c>
      <c r="GSH18" s="6"/>
      <c r="GSI18" s="6"/>
      <c r="GSJ18" s="6"/>
      <c r="GSK18" s="6"/>
      <c r="GSL18" s="6"/>
      <c r="GSM18" s="6"/>
      <c r="GSN18" s="6"/>
      <c r="GSO18" s="6"/>
      <c r="GSP18" s="6"/>
      <c r="GSQ18" s="6"/>
      <c r="GSR18" s="6"/>
      <c r="GSS18" s="6"/>
      <c r="GST18" s="6"/>
      <c r="GSU18" s="6"/>
      <c r="GSV18" s="7"/>
      <c r="GSW18" s="457" t="s">
        <v>14257</v>
      </c>
      <c r="GSX18" s="6"/>
      <c r="GSY18" s="6"/>
      <c r="GSZ18" s="6"/>
      <c r="GTA18" s="6"/>
      <c r="GTB18" s="6"/>
      <c r="GTC18" s="6"/>
      <c r="GTD18" s="6"/>
      <c r="GTE18" s="6"/>
      <c r="GTF18" s="6"/>
      <c r="GTG18" s="6"/>
      <c r="GTH18" s="6"/>
      <c r="GTI18" s="6"/>
      <c r="GTJ18" s="6"/>
      <c r="GTK18" s="6"/>
      <c r="GTL18" s="7"/>
      <c r="GTM18" s="457" t="s">
        <v>14257</v>
      </c>
      <c r="GTN18" s="6"/>
      <c r="GTO18" s="6"/>
      <c r="GTP18" s="6"/>
      <c r="GTQ18" s="6"/>
      <c r="GTR18" s="6"/>
      <c r="GTS18" s="6"/>
      <c r="GTT18" s="6"/>
      <c r="GTU18" s="6"/>
      <c r="GTV18" s="6"/>
      <c r="GTW18" s="6"/>
      <c r="GTX18" s="6"/>
      <c r="GTY18" s="6"/>
      <c r="GTZ18" s="6"/>
      <c r="GUA18" s="6"/>
      <c r="GUB18" s="7"/>
      <c r="GUC18" s="457" t="s">
        <v>14257</v>
      </c>
      <c r="GUD18" s="6"/>
      <c r="GUE18" s="6"/>
      <c r="GUF18" s="6"/>
      <c r="GUG18" s="6"/>
      <c r="GUH18" s="6"/>
      <c r="GUI18" s="6"/>
      <c r="GUJ18" s="6"/>
      <c r="GUK18" s="6"/>
      <c r="GUL18" s="6"/>
      <c r="GUM18" s="6"/>
      <c r="GUN18" s="6"/>
      <c r="GUO18" s="6"/>
      <c r="GUP18" s="6"/>
      <c r="GUQ18" s="6"/>
      <c r="GUR18" s="7"/>
      <c r="GUS18" s="457" t="s">
        <v>14257</v>
      </c>
      <c r="GUT18" s="6"/>
      <c r="GUU18" s="6"/>
      <c r="GUV18" s="6"/>
      <c r="GUW18" s="6"/>
      <c r="GUX18" s="6"/>
      <c r="GUY18" s="6"/>
      <c r="GUZ18" s="6"/>
      <c r="GVA18" s="6"/>
      <c r="GVB18" s="6"/>
      <c r="GVC18" s="6"/>
      <c r="GVD18" s="6"/>
      <c r="GVE18" s="6"/>
      <c r="GVF18" s="6"/>
      <c r="GVG18" s="6"/>
      <c r="GVH18" s="7"/>
      <c r="GVI18" s="457" t="s">
        <v>14257</v>
      </c>
      <c r="GVJ18" s="6"/>
      <c r="GVK18" s="6"/>
      <c r="GVL18" s="6"/>
      <c r="GVM18" s="6"/>
      <c r="GVN18" s="6"/>
      <c r="GVO18" s="6"/>
      <c r="GVP18" s="6"/>
      <c r="GVQ18" s="6"/>
      <c r="GVR18" s="6"/>
      <c r="GVS18" s="6"/>
      <c r="GVT18" s="6"/>
      <c r="GVU18" s="6"/>
      <c r="GVV18" s="6"/>
      <c r="GVW18" s="6"/>
      <c r="GVX18" s="7"/>
      <c r="GVY18" s="457" t="s">
        <v>14257</v>
      </c>
      <c r="GVZ18" s="6"/>
      <c r="GWA18" s="6"/>
      <c r="GWB18" s="6"/>
      <c r="GWC18" s="6"/>
      <c r="GWD18" s="6"/>
      <c r="GWE18" s="6"/>
      <c r="GWF18" s="6"/>
      <c r="GWG18" s="6"/>
      <c r="GWH18" s="6"/>
      <c r="GWI18" s="6"/>
      <c r="GWJ18" s="6"/>
      <c r="GWK18" s="6"/>
      <c r="GWL18" s="6"/>
      <c r="GWM18" s="6"/>
      <c r="GWN18" s="7"/>
      <c r="GWO18" s="457" t="s">
        <v>14257</v>
      </c>
      <c r="GWP18" s="6"/>
      <c r="GWQ18" s="6"/>
      <c r="GWR18" s="6"/>
      <c r="GWS18" s="6"/>
      <c r="GWT18" s="6"/>
      <c r="GWU18" s="6"/>
      <c r="GWV18" s="6"/>
      <c r="GWW18" s="6"/>
      <c r="GWX18" s="6"/>
      <c r="GWY18" s="6"/>
      <c r="GWZ18" s="6"/>
      <c r="GXA18" s="6"/>
      <c r="GXB18" s="6"/>
      <c r="GXC18" s="6"/>
      <c r="GXD18" s="7"/>
      <c r="GXE18" s="457" t="s">
        <v>14257</v>
      </c>
      <c r="GXF18" s="6"/>
      <c r="GXG18" s="6"/>
      <c r="GXH18" s="6"/>
      <c r="GXI18" s="6"/>
      <c r="GXJ18" s="6"/>
      <c r="GXK18" s="6"/>
      <c r="GXL18" s="6"/>
      <c r="GXM18" s="6"/>
      <c r="GXN18" s="6"/>
      <c r="GXO18" s="6"/>
      <c r="GXP18" s="6"/>
      <c r="GXQ18" s="6"/>
      <c r="GXR18" s="6"/>
      <c r="GXS18" s="6"/>
      <c r="GXT18" s="7"/>
      <c r="GXU18" s="457" t="s">
        <v>14257</v>
      </c>
      <c r="GXV18" s="6"/>
      <c r="GXW18" s="6"/>
      <c r="GXX18" s="6"/>
      <c r="GXY18" s="6"/>
      <c r="GXZ18" s="6"/>
      <c r="GYA18" s="6"/>
      <c r="GYB18" s="6"/>
      <c r="GYC18" s="6"/>
      <c r="GYD18" s="6"/>
      <c r="GYE18" s="6"/>
      <c r="GYF18" s="6"/>
      <c r="GYG18" s="6"/>
      <c r="GYH18" s="6"/>
      <c r="GYI18" s="6"/>
      <c r="GYJ18" s="7"/>
      <c r="GYK18" s="457" t="s">
        <v>14257</v>
      </c>
      <c r="GYL18" s="6"/>
      <c r="GYM18" s="6"/>
      <c r="GYN18" s="6"/>
      <c r="GYO18" s="6"/>
      <c r="GYP18" s="6"/>
      <c r="GYQ18" s="6"/>
      <c r="GYR18" s="6"/>
      <c r="GYS18" s="6"/>
      <c r="GYT18" s="6"/>
      <c r="GYU18" s="6"/>
      <c r="GYV18" s="6"/>
      <c r="GYW18" s="6"/>
      <c r="GYX18" s="6"/>
      <c r="GYY18" s="6"/>
      <c r="GYZ18" s="7"/>
      <c r="GZA18" s="457" t="s">
        <v>14257</v>
      </c>
      <c r="GZB18" s="6"/>
      <c r="GZC18" s="6"/>
      <c r="GZD18" s="6"/>
      <c r="GZE18" s="6"/>
      <c r="GZF18" s="6"/>
      <c r="GZG18" s="6"/>
      <c r="GZH18" s="6"/>
      <c r="GZI18" s="6"/>
      <c r="GZJ18" s="6"/>
      <c r="GZK18" s="6"/>
      <c r="GZL18" s="6"/>
      <c r="GZM18" s="6"/>
      <c r="GZN18" s="6"/>
      <c r="GZO18" s="6"/>
      <c r="GZP18" s="7"/>
      <c r="GZQ18" s="457" t="s">
        <v>14257</v>
      </c>
      <c r="GZR18" s="6"/>
      <c r="GZS18" s="6"/>
      <c r="GZT18" s="6"/>
      <c r="GZU18" s="6"/>
      <c r="GZV18" s="6"/>
      <c r="GZW18" s="6"/>
      <c r="GZX18" s="6"/>
      <c r="GZY18" s="6"/>
      <c r="GZZ18" s="6"/>
      <c r="HAA18" s="6"/>
      <c r="HAB18" s="6"/>
      <c r="HAC18" s="6"/>
      <c r="HAD18" s="6"/>
      <c r="HAE18" s="6"/>
      <c r="HAF18" s="7"/>
      <c r="HAG18" s="457" t="s">
        <v>14257</v>
      </c>
      <c r="HAH18" s="6"/>
      <c r="HAI18" s="6"/>
      <c r="HAJ18" s="6"/>
      <c r="HAK18" s="6"/>
      <c r="HAL18" s="6"/>
      <c r="HAM18" s="6"/>
      <c r="HAN18" s="6"/>
      <c r="HAO18" s="6"/>
      <c r="HAP18" s="6"/>
      <c r="HAQ18" s="6"/>
      <c r="HAR18" s="6"/>
      <c r="HAS18" s="6"/>
      <c r="HAT18" s="6"/>
      <c r="HAU18" s="6"/>
      <c r="HAV18" s="7"/>
      <c r="HAW18" s="457" t="s">
        <v>14257</v>
      </c>
      <c r="HAX18" s="6"/>
      <c r="HAY18" s="6"/>
      <c r="HAZ18" s="6"/>
      <c r="HBA18" s="6"/>
      <c r="HBB18" s="6"/>
      <c r="HBC18" s="6"/>
      <c r="HBD18" s="6"/>
      <c r="HBE18" s="6"/>
      <c r="HBF18" s="6"/>
      <c r="HBG18" s="6"/>
      <c r="HBH18" s="6"/>
      <c r="HBI18" s="6"/>
      <c r="HBJ18" s="6"/>
      <c r="HBK18" s="6"/>
      <c r="HBL18" s="7"/>
      <c r="HBM18" s="457" t="s">
        <v>14257</v>
      </c>
      <c r="HBN18" s="6"/>
      <c r="HBO18" s="6"/>
      <c r="HBP18" s="6"/>
      <c r="HBQ18" s="6"/>
      <c r="HBR18" s="6"/>
      <c r="HBS18" s="6"/>
      <c r="HBT18" s="6"/>
      <c r="HBU18" s="6"/>
      <c r="HBV18" s="6"/>
      <c r="HBW18" s="6"/>
      <c r="HBX18" s="6"/>
      <c r="HBY18" s="6"/>
      <c r="HBZ18" s="6"/>
      <c r="HCA18" s="6"/>
      <c r="HCB18" s="7"/>
      <c r="HCC18" s="457" t="s">
        <v>14257</v>
      </c>
      <c r="HCD18" s="6"/>
      <c r="HCE18" s="6"/>
      <c r="HCF18" s="6"/>
      <c r="HCG18" s="6"/>
      <c r="HCH18" s="6"/>
      <c r="HCI18" s="6"/>
      <c r="HCJ18" s="6"/>
      <c r="HCK18" s="6"/>
      <c r="HCL18" s="6"/>
      <c r="HCM18" s="6"/>
      <c r="HCN18" s="6"/>
      <c r="HCO18" s="6"/>
      <c r="HCP18" s="6"/>
      <c r="HCQ18" s="6"/>
      <c r="HCR18" s="7"/>
      <c r="HCS18" s="457" t="s">
        <v>14257</v>
      </c>
      <c r="HCT18" s="6"/>
      <c r="HCU18" s="6"/>
      <c r="HCV18" s="6"/>
      <c r="HCW18" s="6"/>
      <c r="HCX18" s="6"/>
      <c r="HCY18" s="6"/>
      <c r="HCZ18" s="6"/>
      <c r="HDA18" s="6"/>
      <c r="HDB18" s="6"/>
      <c r="HDC18" s="6"/>
      <c r="HDD18" s="6"/>
      <c r="HDE18" s="6"/>
      <c r="HDF18" s="6"/>
      <c r="HDG18" s="6"/>
      <c r="HDH18" s="7"/>
      <c r="HDI18" s="457" t="s">
        <v>14257</v>
      </c>
      <c r="HDJ18" s="6"/>
      <c r="HDK18" s="6"/>
      <c r="HDL18" s="6"/>
      <c r="HDM18" s="6"/>
      <c r="HDN18" s="6"/>
      <c r="HDO18" s="6"/>
      <c r="HDP18" s="6"/>
      <c r="HDQ18" s="6"/>
      <c r="HDR18" s="6"/>
      <c r="HDS18" s="6"/>
      <c r="HDT18" s="6"/>
      <c r="HDU18" s="6"/>
      <c r="HDV18" s="6"/>
      <c r="HDW18" s="6"/>
      <c r="HDX18" s="7"/>
      <c r="HDY18" s="457" t="s">
        <v>14257</v>
      </c>
      <c r="HDZ18" s="6"/>
      <c r="HEA18" s="6"/>
      <c r="HEB18" s="6"/>
      <c r="HEC18" s="6"/>
      <c r="HED18" s="6"/>
      <c r="HEE18" s="6"/>
      <c r="HEF18" s="6"/>
      <c r="HEG18" s="6"/>
      <c r="HEH18" s="6"/>
      <c r="HEI18" s="6"/>
      <c r="HEJ18" s="6"/>
      <c r="HEK18" s="6"/>
      <c r="HEL18" s="6"/>
      <c r="HEM18" s="6"/>
      <c r="HEN18" s="7"/>
      <c r="HEO18" s="457" t="s">
        <v>14257</v>
      </c>
      <c r="HEP18" s="6"/>
      <c r="HEQ18" s="6"/>
      <c r="HER18" s="6"/>
      <c r="HES18" s="6"/>
      <c r="HET18" s="6"/>
      <c r="HEU18" s="6"/>
      <c r="HEV18" s="6"/>
      <c r="HEW18" s="6"/>
      <c r="HEX18" s="6"/>
      <c r="HEY18" s="6"/>
      <c r="HEZ18" s="6"/>
      <c r="HFA18" s="6"/>
      <c r="HFB18" s="6"/>
      <c r="HFC18" s="6"/>
      <c r="HFD18" s="7"/>
      <c r="HFE18" s="457" t="s">
        <v>14257</v>
      </c>
      <c r="HFF18" s="6"/>
      <c r="HFG18" s="6"/>
      <c r="HFH18" s="6"/>
      <c r="HFI18" s="6"/>
      <c r="HFJ18" s="6"/>
      <c r="HFK18" s="6"/>
      <c r="HFL18" s="6"/>
      <c r="HFM18" s="6"/>
      <c r="HFN18" s="6"/>
      <c r="HFO18" s="6"/>
      <c r="HFP18" s="6"/>
      <c r="HFQ18" s="6"/>
      <c r="HFR18" s="6"/>
      <c r="HFS18" s="6"/>
      <c r="HFT18" s="7"/>
      <c r="HFU18" s="457" t="s">
        <v>14257</v>
      </c>
      <c r="HFV18" s="6"/>
      <c r="HFW18" s="6"/>
      <c r="HFX18" s="6"/>
      <c r="HFY18" s="6"/>
      <c r="HFZ18" s="6"/>
      <c r="HGA18" s="6"/>
      <c r="HGB18" s="6"/>
      <c r="HGC18" s="6"/>
      <c r="HGD18" s="6"/>
      <c r="HGE18" s="6"/>
      <c r="HGF18" s="6"/>
      <c r="HGG18" s="6"/>
      <c r="HGH18" s="6"/>
      <c r="HGI18" s="6"/>
      <c r="HGJ18" s="7"/>
      <c r="HGK18" s="457" t="s">
        <v>14257</v>
      </c>
      <c r="HGL18" s="6"/>
      <c r="HGM18" s="6"/>
      <c r="HGN18" s="6"/>
      <c r="HGO18" s="6"/>
      <c r="HGP18" s="6"/>
      <c r="HGQ18" s="6"/>
      <c r="HGR18" s="6"/>
      <c r="HGS18" s="6"/>
      <c r="HGT18" s="6"/>
      <c r="HGU18" s="6"/>
      <c r="HGV18" s="6"/>
      <c r="HGW18" s="6"/>
      <c r="HGX18" s="6"/>
      <c r="HGY18" s="6"/>
      <c r="HGZ18" s="7"/>
      <c r="HHA18" s="457" t="s">
        <v>14257</v>
      </c>
      <c r="HHB18" s="6"/>
      <c r="HHC18" s="6"/>
      <c r="HHD18" s="6"/>
      <c r="HHE18" s="6"/>
      <c r="HHF18" s="6"/>
      <c r="HHG18" s="6"/>
      <c r="HHH18" s="6"/>
      <c r="HHI18" s="6"/>
      <c r="HHJ18" s="6"/>
      <c r="HHK18" s="6"/>
      <c r="HHL18" s="6"/>
      <c r="HHM18" s="6"/>
      <c r="HHN18" s="6"/>
      <c r="HHO18" s="6"/>
      <c r="HHP18" s="7"/>
      <c r="HHQ18" s="457" t="s">
        <v>14257</v>
      </c>
      <c r="HHR18" s="6"/>
      <c r="HHS18" s="6"/>
      <c r="HHT18" s="6"/>
      <c r="HHU18" s="6"/>
      <c r="HHV18" s="6"/>
      <c r="HHW18" s="6"/>
      <c r="HHX18" s="6"/>
      <c r="HHY18" s="6"/>
      <c r="HHZ18" s="6"/>
      <c r="HIA18" s="6"/>
      <c r="HIB18" s="6"/>
      <c r="HIC18" s="6"/>
      <c r="HID18" s="6"/>
      <c r="HIE18" s="6"/>
      <c r="HIF18" s="7"/>
      <c r="HIG18" s="457" t="s">
        <v>14257</v>
      </c>
      <c r="HIH18" s="6"/>
      <c r="HII18" s="6"/>
      <c r="HIJ18" s="6"/>
      <c r="HIK18" s="6"/>
      <c r="HIL18" s="6"/>
      <c r="HIM18" s="6"/>
      <c r="HIN18" s="6"/>
      <c r="HIO18" s="6"/>
      <c r="HIP18" s="6"/>
      <c r="HIQ18" s="6"/>
      <c r="HIR18" s="6"/>
      <c r="HIS18" s="6"/>
      <c r="HIT18" s="6"/>
      <c r="HIU18" s="6"/>
      <c r="HIV18" s="7"/>
      <c r="HIW18" s="457" t="s">
        <v>14257</v>
      </c>
      <c r="HIX18" s="6"/>
      <c r="HIY18" s="6"/>
      <c r="HIZ18" s="6"/>
      <c r="HJA18" s="6"/>
      <c r="HJB18" s="6"/>
      <c r="HJC18" s="6"/>
      <c r="HJD18" s="6"/>
      <c r="HJE18" s="6"/>
      <c r="HJF18" s="6"/>
      <c r="HJG18" s="6"/>
      <c r="HJH18" s="6"/>
      <c r="HJI18" s="6"/>
      <c r="HJJ18" s="6"/>
      <c r="HJK18" s="6"/>
      <c r="HJL18" s="7"/>
      <c r="HJM18" s="457" t="s">
        <v>14257</v>
      </c>
      <c r="HJN18" s="6"/>
      <c r="HJO18" s="6"/>
      <c r="HJP18" s="6"/>
      <c r="HJQ18" s="6"/>
      <c r="HJR18" s="6"/>
      <c r="HJS18" s="6"/>
      <c r="HJT18" s="6"/>
      <c r="HJU18" s="6"/>
      <c r="HJV18" s="6"/>
      <c r="HJW18" s="6"/>
      <c r="HJX18" s="6"/>
      <c r="HJY18" s="6"/>
      <c r="HJZ18" s="6"/>
      <c r="HKA18" s="6"/>
      <c r="HKB18" s="7"/>
      <c r="HKC18" s="457" t="s">
        <v>14257</v>
      </c>
      <c r="HKD18" s="6"/>
      <c r="HKE18" s="6"/>
      <c r="HKF18" s="6"/>
      <c r="HKG18" s="6"/>
      <c r="HKH18" s="6"/>
      <c r="HKI18" s="6"/>
      <c r="HKJ18" s="6"/>
      <c r="HKK18" s="6"/>
      <c r="HKL18" s="6"/>
      <c r="HKM18" s="6"/>
      <c r="HKN18" s="6"/>
      <c r="HKO18" s="6"/>
      <c r="HKP18" s="6"/>
      <c r="HKQ18" s="6"/>
      <c r="HKR18" s="7"/>
      <c r="HKS18" s="457" t="s">
        <v>14257</v>
      </c>
      <c r="HKT18" s="6"/>
      <c r="HKU18" s="6"/>
      <c r="HKV18" s="6"/>
      <c r="HKW18" s="6"/>
      <c r="HKX18" s="6"/>
      <c r="HKY18" s="6"/>
      <c r="HKZ18" s="6"/>
      <c r="HLA18" s="6"/>
      <c r="HLB18" s="6"/>
      <c r="HLC18" s="6"/>
      <c r="HLD18" s="6"/>
      <c r="HLE18" s="6"/>
      <c r="HLF18" s="6"/>
      <c r="HLG18" s="6"/>
      <c r="HLH18" s="7"/>
      <c r="HLI18" s="457" t="s">
        <v>14257</v>
      </c>
      <c r="HLJ18" s="6"/>
      <c r="HLK18" s="6"/>
      <c r="HLL18" s="6"/>
      <c r="HLM18" s="6"/>
      <c r="HLN18" s="6"/>
      <c r="HLO18" s="6"/>
      <c r="HLP18" s="6"/>
      <c r="HLQ18" s="6"/>
      <c r="HLR18" s="6"/>
      <c r="HLS18" s="6"/>
      <c r="HLT18" s="6"/>
      <c r="HLU18" s="6"/>
      <c r="HLV18" s="6"/>
      <c r="HLW18" s="6"/>
      <c r="HLX18" s="7"/>
      <c r="HLY18" s="457" t="s">
        <v>14257</v>
      </c>
      <c r="HLZ18" s="6"/>
      <c r="HMA18" s="6"/>
      <c r="HMB18" s="6"/>
      <c r="HMC18" s="6"/>
      <c r="HMD18" s="6"/>
      <c r="HME18" s="6"/>
      <c r="HMF18" s="6"/>
      <c r="HMG18" s="6"/>
      <c r="HMH18" s="6"/>
      <c r="HMI18" s="6"/>
      <c r="HMJ18" s="6"/>
      <c r="HMK18" s="6"/>
      <c r="HML18" s="6"/>
      <c r="HMM18" s="6"/>
      <c r="HMN18" s="7"/>
      <c r="HMO18" s="457" t="s">
        <v>14257</v>
      </c>
      <c r="HMP18" s="6"/>
      <c r="HMQ18" s="6"/>
      <c r="HMR18" s="6"/>
      <c r="HMS18" s="6"/>
      <c r="HMT18" s="6"/>
      <c r="HMU18" s="6"/>
      <c r="HMV18" s="6"/>
      <c r="HMW18" s="6"/>
      <c r="HMX18" s="6"/>
      <c r="HMY18" s="6"/>
      <c r="HMZ18" s="6"/>
      <c r="HNA18" s="6"/>
      <c r="HNB18" s="6"/>
      <c r="HNC18" s="6"/>
      <c r="HND18" s="7"/>
      <c r="HNE18" s="457" t="s">
        <v>14257</v>
      </c>
      <c r="HNF18" s="6"/>
      <c r="HNG18" s="6"/>
      <c r="HNH18" s="6"/>
      <c r="HNI18" s="6"/>
      <c r="HNJ18" s="6"/>
      <c r="HNK18" s="6"/>
      <c r="HNL18" s="6"/>
      <c r="HNM18" s="6"/>
      <c r="HNN18" s="6"/>
      <c r="HNO18" s="6"/>
      <c r="HNP18" s="6"/>
      <c r="HNQ18" s="6"/>
      <c r="HNR18" s="6"/>
      <c r="HNS18" s="6"/>
      <c r="HNT18" s="7"/>
      <c r="HNU18" s="457" t="s">
        <v>14257</v>
      </c>
      <c r="HNV18" s="6"/>
      <c r="HNW18" s="6"/>
      <c r="HNX18" s="6"/>
      <c r="HNY18" s="6"/>
      <c r="HNZ18" s="6"/>
      <c r="HOA18" s="6"/>
      <c r="HOB18" s="6"/>
      <c r="HOC18" s="6"/>
      <c r="HOD18" s="6"/>
      <c r="HOE18" s="6"/>
      <c r="HOF18" s="6"/>
      <c r="HOG18" s="6"/>
      <c r="HOH18" s="6"/>
      <c r="HOI18" s="6"/>
      <c r="HOJ18" s="7"/>
      <c r="HOK18" s="457" t="s">
        <v>14257</v>
      </c>
      <c r="HOL18" s="6"/>
      <c r="HOM18" s="6"/>
      <c r="HON18" s="6"/>
      <c r="HOO18" s="6"/>
      <c r="HOP18" s="6"/>
      <c r="HOQ18" s="6"/>
      <c r="HOR18" s="6"/>
      <c r="HOS18" s="6"/>
      <c r="HOT18" s="6"/>
      <c r="HOU18" s="6"/>
      <c r="HOV18" s="6"/>
      <c r="HOW18" s="6"/>
      <c r="HOX18" s="6"/>
      <c r="HOY18" s="6"/>
      <c r="HOZ18" s="7"/>
      <c r="HPA18" s="457" t="s">
        <v>14257</v>
      </c>
      <c r="HPB18" s="6"/>
      <c r="HPC18" s="6"/>
      <c r="HPD18" s="6"/>
      <c r="HPE18" s="6"/>
      <c r="HPF18" s="6"/>
      <c r="HPG18" s="6"/>
      <c r="HPH18" s="6"/>
      <c r="HPI18" s="6"/>
      <c r="HPJ18" s="6"/>
      <c r="HPK18" s="6"/>
      <c r="HPL18" s="6"/>
      <c r="HPM18" s="6"/>
      <c r="HPN18" s="6"/>
      <c r="HPO18" s="6"/>
      <c r="HPP18" s="7"/>
      <c r="HPQ18" s="457" t="s">
        <v>14257</v>
      </c>
      <c r="HPR18" s="6"/>
      <c r="HPS18" s="6"/>
      <c r="HPT18" s="6"/>
      <c r="HPU18" s="6"/>
      <c r="HPV18" s="6"/>
      <c r="HPW18" s="6"/>
      <c r="HPX18" s="6"/>
      <c r="HPY18" s="6"/>
      <c r="HPZ18" s="6"/>
      <c r="HQA18" s="6"/>
      <c r="HQB18" s="6"/>
      <c r="HQC18" s="6"/>
      <c r="HQD18" s="6"/>
      <c r="HQE18" s="6"/>
      <c r="HQF18" s="7"/>
      <c r="HQG18" s="457" t="s">
        <v>14257</v>
      </c>
      <c r="HQH18" s="6"/>
      <c r="HQI18" s="6"/>
      <c r="HQJ18" s="6"/>
      <c r="HQK18" s="6"/>
      <c r="HQL18" s="6"/>
      <c r="HQM18" s="6"/>
      <c r="HQN18" s="6"/>
      <c r="HQO18" s="6"/>
      <c r="HQP18" s="6"/>
      <c r="HQQ18" s="6"/>
      <c r="HQR18" s="6"/>
      <c r="HQS18" s="6"/>
      <c r="HQT18" s="6"/>
      <c r="HQU18" s="6"/>
      <c r="HQV18" s="7"/>
      <c r="HQW18" s="457" t="s">
        <v>14257</v>
      </c>
      <c r="HQX18" s="6"/>
      <c r="HQY18" s="6"/>
      <c r="HQZ18" s="6"/>
      <c r="HRA18" s="6"/>
      <c r="HRB18" s="6"/>
      <c r="HRC18" s="6"/>
      <c r="HRD18" s="6"/>
      <c r="HRE18" s="6"/>
      <c r="HRF18" s="6"/>
      <c r="HRG18" s="6"/>
      <c r="HRH18" s="6"/>
      <c r="HRI18" s="6"/>
      <c r="HRJ18" s="6"/>
      <c r="HRK18" s="6"/>
      <c r="HRL18" s="7"/>
      <c r="HRM18" s="457" t="s">
        <v>14257</v>
      </c>
      <c r="HRN18" s="6"/>
      <c r="HRO18" s="6"/>
      <c r="HRP18" s="6"/>
      <c r="HRQ18" s="6"/>
      <c r="HRR18" s="6"/>
      <c r="HRS18" s="6"/>
      <c r="HRT18" s="6"/>
      <c r="HRU18" s="6"/>
      <c r="HRV18" s="6"/>
      <c r="HRW18" s="6"/>
      <c r="HRX18" s="6"/>
      <c r="HRY18" s="6"/>
      <c r="HRZ18" s="6"/>
      <c r="HSA18" s="6"/>
      <c r="HSB18" s="7"/>
      <c r="HSC18" s="457" t="s">
        <v>14257</v>
      </c>
      <c r="HSD18" s="6"/>
      <c r="HSE18" s="6"/>
      <c r="HSF18" s="6"/>
      <c r="HSG18" s="6"/>
      <c r="HSH18" s="6"/>
      <c r="HSI18" s="6"/>
      <c r="HSJ18" s="6"/>
      <c r="HSK18" s="6"/>
      <c r="HSL18" s="6"/>
      <c r="HSM18" s="6"/>
      <c r="HSN18" s="6"/>
      <c r="HSO18" s="6"/>
      <c r="HSP18" s="6"/>
      <c r="HSQ18" s="6"/>
      <c r="HSR18" s="7"/>
      <c r="HSS18" s="457" t="s">
        <v>14257</v>
      </c>
      <c r="HST18" s="6"/>
      <c r="HSU18" s="6"/>
      <c r="HSV18" s="6"/>
      <c r="HSW18" s="6"/>
      <c r="HSX18" s="6"/>
      <c r="HSY18" s="6"/>
      <c r="HSZ18" s="6"/>
      <c r="HTA18" s="6"/>
      <c r="HTB18" s="6"/>
      <c r="HTC18" s="6"/>
      <c r="HTD18" s="6"/>
      <c r="HTE18" s="6"/>
      <c r="HTF18" s="6"/>
      <c r="HTG18" s="6"/>
      <c r="HTH18" s="7"/>
      <c r="HTI18" s="457" t="s">
        <v>14257</v>
      </c>
      <c r="HTJ18" s="6"/>
      <c r="HTK18" s="6"/>
      <c r="HTL18" s="6"/>
      <c r="HTM18" s="6"/>
      <c r="HTN18" s="6"/>
      <c r="HTO18" s="6"/>
      <c r="HTP18" s="6"/>
      <c r="HTQ18" s="6"/>
      <c r="HTR18" s="6"/>
      <c r="HTS18" s="6"/>
      <c r="HTT18" s="6"/>
      <c r="HTU18" s="6"/>
      <c r="HTV18" s="6"/>
      <c r="HTW18" s="6"/>
      <c r="HTX18" s="7"/>
      <c r="HTY18" s="457" t="s">
        <v>14257</v>
      </c>
      <c r="HTZ18" s="6"/>
      <c r="HUA18" s="6"/>
      <c r="HUB18" s="6"/>
      <c r="HUC18" s="6"/>
      <c r="HUD18" s="6"/>
      <c r="HUE18" s="6"/>
      <c r="HUF18" s="6"/>
      <c r="HUG18" s="6"/>
      <c r="HUH18" s="6"/>
      <c r="HUI18" s="6"/>
      <c r="HUJ18" s="6"/>
      <c r="HUK18" s="6"/>
      <c r="HUL18" s="6"/>
      <c r="HUM18" s="6"/>
      <c r="HUN18" s="7"/>
      <c r="HUO18" s="457" t="s">
        <v>14257</v>
      </c>
      <c r="HUP18" s="6"/>
      <c r="HUQ18" s="6"/>
      <c r="HUR18" s="6"/>
      <c r="HUS18" s="6"/>
      <c r="HUT18" s="6"/>
      <c r="HUU18" s="6"/>
      <c r="HUV18" s="6"/>
      <c r="HUW18" s="6"/>
      <c r="HUX18" s="6"/>
      <c r="HUY18" s="6"/>
      <c r="HUZ18" s="6"/>
      <c r="HVA18" s="6"/>
      <c r="HVB18" s="6"/>
      <c r="HVC18" s="6"/>
      <c r="HVD18" s="7"/>
      <c r="HVE18" s="457" t="s">
        <v>14257</v>
      </c>
      <c r="HVF18" s="6"/>
      <c r="HVG18" s="6"/>
      <c r="HVH18" s="6"/>
      <c r="HVI18" s="6"/>
      <c r="HVJ18" s="6"/>
      <c r="HVK18" s="6"/>
      <c r="HVL18" s="6"/>
      <c r="HVM18" s="6"/>
      <c r="HVN18" s="6"/>
      <c r="HVO18" s="6"/>
      <c r="HVP18" s="6"/>
      <c r="HVQ18" s="6"/>
      <c r="HVR18" s="6"/>
      <c r="HVS18" s="6"/>
      <c r="HVT18" s="7"/>
      <c r="HVU18" s="457" t="s">
        <v>14257</v>
      </c>
      <c r="HVV18" s="6"/>
      <c r="HVW18" s="6"/>
      <c r="HVX18" s="6"/>
      <c r="HVY18" s="6"/>
      <c r="HVZ18" s="6"/>
      <c r="HWA18" s="6"/>
      <c r="HWB18" s="6"/>
      <c r="HWC18" s="6"/>
      <c r="HWD18" s="6"/>
      <c r="HWE18" s="6"/>
      <c r="HWF18" s="6"/>
      <c r="HWG18" s="6"/>
      <c r="HWH18" s="6"/>
      <c r="HWI18" s="6"/>
      <c r="HWJ18" s="7"/>
      <c r="HWK18" s="457" t="s">
        <v>14257</v>
      </c>
      <c r="HWL18" s="6"/>
      <c r="HWM18" s="6"/>
      <c r="HWN18" s="6"/>
      <c r="HWO18" s="6"/>
      <c r="HWP18" s="6"/>
      <c r="HWQ18" s="6"/>
      <c r="HWR18" s="6"/>
      <c r="HWS18" s="6"/>
      <c r="HWT18" s="6"/>
      <c r="HWU18" s="6"/>
      <c r="HWV18" s="6"/>
      <c r="HWW18" s="6"/>
      <c r="HWX18" s="6"/>
      <c r="HWY18" s="6"/>
      <c r="HWZ18" s="7"/>
      <c r="HXA18" s="457" t="s">
        <v>14257</v>
      </c>
      <c r="HXB18" s="6"/>
      <c r="HXC18" s="6"/>
      <c r="HXD18" s="6"/>
      <c r="HXE18" s="6"/>
      <c r="HXF18" s="6"/>
      <c r="HXG18" s="6"/>
      <c r="HXH18" s="6"/>
      <c r="HXI18" s="6"/>
      <c r="HXJ18" s="6"/>
      <c r="HXK18" s="6"/>
      <c r="HXL18" s="6"/>
      <c r="HXM18" s="6"/>
      <c r="HXN18" s="6"/>
      <c r="HXO18" s="6"/>
      <c r="HXP18" s="7"/>
      <c r="HXQ18" s="457" t="s">
        <v>14257</v>
      </c>
      <c r="HXR18" s="6"/>
      <c r="HXS18" s="6"/>
      <c r="HXT18" s="6"/>
      <c r="HXU18" s="6"/>
      <c r="HXV18" s="6"/>
      <c r="HXW18" s="6"/>
      <c r="HXX18" s="6"/>
      <c r="HXY18" s="6"/>
      <c r="HXZ18" s="6"/>
      <c r="HYA18" s="6"/>
      <c r="HYB18" s="6"/>
      <c r="HYC18" s="6"/>
      <c r="HYD18" s="6"/>
      <c r="HYE18" s="6"/>
      <c r="HYF18" s="7"/>
      <c r="HYG18" s="457" t="s">
        <v>14257</v>
      </c>
      <c r="HYH18" s="6"/>
      <c r="HYI18" s="6"/>
      <c r="HYJ18" s="6"/>
      <c r="HYK18" s="6"/>
      <c r="HYL18" s="6"/>
      <c r="HYM18" s="6"/>
      <c r="HYN18" s="6"/>
      <c r="HYO18" s="6"/>
      <c r="HYP18" s="6"/>
      <c r="HYQ18" s="6"/>
      <c r="HYR18" s="6"/>
      <c r="HYS18" s="6"/>
      <c r="HYT18" s="6"/>
      <c r="HYU18" s="6"/>
      <c r="HYV18" s="7"/>
      <c r="HYW18" s="457" t="s">
        <v>14257</v>
      </c>
      <c r="HYX18" s="6"/>
      <c r="HYY18" s="6"/>
      <c r="HYZ18" s="6"/>
      <c r="HZA18" s="6"/>
      <c r="HZB18" s="6"/>
      <c r="HZC18" s="6"/>
      <c r="HZD18" s="6"/>
      <c r="HZE18" s="6"/>
      <c r="HZF18" s="6"/>
      <c r="HZG18" s="6"/>
      <c r="HZH18" s="6"/>
      <c r="HZI18" s="6"/>
      <c r="HZJ18" s="6"/>
      <c r="HZK18" s="6"/>
      <c r="HZL18" s="7"/>
      <c r="HZM18" s="457" t="s">
        <v>14257</v>
      </c>
      <c r="HZN18" s="6"/>
      <c r="HZO18" s="6"/>
      <c r="HZP18" s="6"/>
      <c r="HZQ18" s="6"/>
      <c r="HZR18" s="6"/>
      <c r="HZS18" s="6"/>
      <c r="HZT18" s="6"/>
      <c r="HZU18" s="6"/>
      <c r="HZV18" s="6"/>
      <c r="HZW18" s="6"/>
      <c r="HZX18" s="6"/>
      <c r="HZY18" s="6"/>
      <c r="HZZ18" s="6"/>
      <c r="IAA18" s="6"/>
      <c r="IAB18" s="7"/>
      <c r="IAC18" s="457" t="s">
        <v>14257</v>
      </c>
      <c r="IAD18" s="6"/>
      <c r="IAE18" s="6"/>
      <c r="IAF18" s="6"/>
      <c r="IAG18" s="6"/>
      <c r="IAH18" s="6"/>
      <c r="IAI18" s="6"/>
      <c r="IAJ18" s="6"/>
      <c r="IAK18" s="6"/>
      <c r="IAL18" s="6"/>
      <c r="IAM18" s="6"/>
      <c r="IAN18" s="6"/>
      <c r="IAO18" s="6"/>
      <c r="IAP18" s="6"/>
      <c r="IAQ18" s="6"/>
      <c r="IAR18" s="7"/>
      <c r="IAS18" s="457" t="s">
        <v>14257</v>
      </c>
      <c r="IAT18" s="6"/>
      <c r="IAU18" s="6"/>
      <c r="IAV18" s="6"/>
      <c r="IAW18" s="6"/>
      <c r="IAX18" s="6"/>
      <c r="IAY18" s="6"/>
      <c r="IAZ18" s="6"/>
      <c r="IBA18" s="6"/>
      <c r="IBB18" s="6"/>
      <c r="IBC18" s="6"/>
      <c r="IBD18" s="6"/>
      <c r="IBE18" s="6"/>
      <c r="IBF18" s="6"/>
      <c r="IBG18" s="6"/>
      <c r="IBH18" s="7"/>
      <c r="IBI18" s="457" t="s">
        <v>14257</v>
      </c>
      <c r="IBJ18" s="6"/>
      <c r="IBK18" s="6"/>
      <c r="IBL18" s="6"/>
      <c r="IBM18" s="6"/>
      <c r="IBN18" s="6"/>
      <c r="IBO18" s="6"/>
      <c r="IBP18" s="6"/>
      <c r="IBQ18" s="6"/>
      <c r="IBR18" s="6"/>
      <c r="IBS18" s="6"/>
      <c r="IBT18" s="6"/>
      <c r="IBU18" s="6"/>
      <c r="IBV18" s="6"/>
      <c r="IBW18" s="6"/>
      <c r="IBX18" s="7"/>
      <c r="IBY18" s="457" t="s">
        <v>14257</v>
      </c>
      <c r="IBZ18" s="6"/>
      <c r="ICA18" s="6"/>
      <c r="ICB18" s="6"/>
      <c r="ICC18" s="6"/>
      <c r="ICD18" s="6"/>
      <c r="ICE18" s="6"/>
      <c r="ICF18" s="6"/>
      <c r="ICG18" s="6"/>
      <c r="ICH18" s="6"/>
      <c r="ICI18" s="6"/>
      <c r="ICJ18" s="6"/>
      <c r="ICK18" s="6"/>
      <c r="ICL18" s="6"/>
      <c r="ICM18" s="6"/>
      <c r="ICN18" s="7"/>
      <c r="ICO18" s="457" t="s">
        <v>14257</v>
      </c>
      <c r="ICP18" s="6"/>
      <c r="ICQ18" s="6"/>
      <c r="ICR18" s="6"/>
      <c r="ICS18" s="6"/>
      <c r="ICT18" s="6"/>
      <c r="ICU18" s="6"/>
      <c r="ICV18" s="6"/>
      <c r="ICW18" s="6"/>
      <c r="ICX18" s="6"/>
      <c r="ICY18" s="6"/>
      <c r="ICZ18" s="6"/>
      <c r="IDA18" s="6"/>
      <c r="IDB18" s="6"/>
      <c r="IDC18" s="6"/>
      <c r="IDD18" s="7"/>
      <c r="IDE18" s="457" t="s">
        <v>14257</v>
      </c>
      <c r="IDF18" s="6"/>
      <c r="IDG18" s="6"/>
      <c r="IDH18" s="6"/>
      <c r="IDI18" s="6"/>
      <c r="IDJ18" s="6"/>
      <c r="IDK18" s="6"/>
      <c r="IDL18" s="6"/>
      <c r="IDM18" s="6"/>
      <c r="IDN18" s="6"/>
      <c r="IDO18" s="6"/>
      <c r="IDP18" s="6"/>
      <c r="IDQ18" s="6"/>
      <c r="IDR18" s="6"/>
      <c r="IDS18" s="6"/>
      <c r="IDT18" s="7"/>
      <c r="IDU18" s="457" t="s">
        <v>14257</v>
      </c>
      <c r="IDV18" s="6"/>
      <c r="IDW18" s="6"/>
      <c r="IDX18" s="6"/>
      <c r="IDY18" s="6"/>
      <c r="IDZ18" s="6"/>
      <c r="IEA18" s="6"/>
      <c r="IEB18" s="6"/>
      <c r="IEC18" s="6"/>
      <c r="IED18" s="6"/>
      <c r="IEE18" s="6"/>
      <c r="IEF18" s="6"/>
      <c r="IEG18" s="6"/>
      <c r="IEH18" s="6"/>
      <c r="IEI18" s="6"/>
      <c r="IEJ18" s="7"/>
      <c r="IEK18" s="457" t="s">
        <v>14257</v>
      </c>
      <c r="IEL18" s="6"/>
      <c r="IEM18" s="6"/>
      <c r="IEN18" s="6"/>
      <c r="IEO18" s="6"/>
      <c r="IEP18" s="6"/>
      <c r="IEQ18" s="6"/>
      <c r="IER18" s="6"/>
      <c r="IES18" s="6"/>
      <c r="IET18" s="6"/>
      <c r="IEU18" s="6"/>
      <c r="IEV18" s="6"/>
      <c r="IEW18" s="6"/>
      <c r="IEX18" s="6"/>
      <c r="IEY18" s="6"/>
      <c r="IEZ18" s="7"/>
      <c r="IFA18" s="457" t="s">
        <v>14257</v>
      </c>
      <c r="IFB18" s="6"/>
      <c r="IFC18" s="6"/>
      <c r="IFD18" s="6"/>
      <c r="IFE18" s="6"/>
      <c r="IFF18" s="6"/>
      <c r="IFG18" s="6"/>
      <c r="IFH18" s="6"/>
      <c r="IFI18" s="6"/>
      <c r="IFJ18" s="6"/>
      <c r="IFK18" s="6"/>
      <c r="IFL18" s="6"/>
      <c r="IFM18" s="6"/>
      <c r="IFN18" s="6"/>
      <c r="IFO18" s="6"/>
      <c r="IFP18" s="7"/>
      <c r="IFQ18" s="457" t="s">
        <v>14257</v>
      </c>
      <c r="IFR18" s="6"/>
      <c r="IFS18" s="6"/>
      <c r="IFT18" s="6"/>
      <c r="IFU18" s="6"/>
      <c r="IFV18" s="6"/>
      <c r="IFW18" s="6"/>
      <c r="IFX18" s="6"/>
      <c r="IFY18" s="6"/>
      <c r="IFZ18" s="6"/>
      <c r="IGA18" s="6"/>
      <c r="IGB18" s="6"/>
      <c r="IGC18" s="6"/>
      <c r="IGD18" s="6"/>
      <c r="IGE18" s="6"/>
      <c r="IGF18" s="7"/>
      <c r="IGG18" s="457" t="s">
        <v>14257</v>
      </c>
      <c r="IGH18" s="6"/>
      <c r="IGI18" s="6"/>
      <c r="IGJ18" s="6"/>
      <c r="IGK18" s="6"/>
      <c r="IGL18" s="6"/>
      <c r="IGM18" s="6"/>
      <c r="IGN18" s="6"/>
      <c r="IGO18" s="6"/>
      <c r="IGP18" s="6"/>
      <c r="IGQ18" s="6"/>
      <c r="IGR18" s="6"/>
      <c r="IGS18" s="6"/>
      <c r="IGT18" s="6"/>
      <c r="IGU18" s="6"/>
      <c r="IGV18" s="7"/>
      <c r="IGW18" s="457" t="s">
        <v>14257</v>
      </c>
      <c r="IGX18" s="6"/>
      <c r="IGY18" s="6"/>
      <c r="IGZ18" s="6"/>
      <c r="IHA18" s="6"/>
      <c r="IHB18" s="6"/>
      <c r="IHC18" s="6"/>
      <c r="IHD18" s="6"/>
      <c r="IHE18" s="6"/>
      <c r="IHF18" s="6"/>
      <c r="IHG18" s="6"/>
      <c r="IHH18" s="6"/>
      <c r="IHI18" s="6"/>
      <c r="IHJ18" s="6"/>
      <c r="IHK18" s="6"/>
      <c r="IHL18" s="7"/>
      <c r="IHM18" s="457" t="s">
        <v>14257</v>
      </c>
      <c r="IHN18" s="6"/>
      <c r="IHO18" s="6"/>
      <c r="IHP18" s="6"/>
      <c r="IHQ18" s="6"/>
      <c r="IHR18" s="6"/>
      <c r="IHS18" s="6"/>
      <c r="IHT18" s="6"/>
      <c r="IHU18" s="6"/>
      <c r="IHV18" s="6"/>
      <c r="IHW18" s="6"/>
      <c r="IHX18" s="6"/>
      <c r="IHY18" s="6"/>
      <c r="IHZ18" s="6"/>
      <c r="IIA18" s="6"/>
      <c r="IIB18" s="7"/>
      <c r="IIC18" s="457" t="s">
        <v>14257</v>
      </c>
      <c r="IID18" s="6"/>
      <c r="IIE18" s="6"/>
      <c r="IIF18" s="6"/>
      <c r="IIG18" s="6"/>
      <c r="IIH18" s="6"/>
      <c r="III18" s="6"/>
      <c r="IIJ18" s="6"/>
      <c r="IIK18" s="6"/>
      <c r="IIL18" s="6"/>
      <c r="IIM18" s="6"/>
      <c r="IIN18" s="6"/>
      <c r="IIO18" s="6"/>
      <c r="IIP18" s="6"/>
      <c r="IIQ18" s="6"/>
      <c r="IIR18" s="7"/>
      <c r="IIS18" s="457" t="s">
        <v>14257</v>
      </c>
      <c r="IIT18" s="6"/>
      <c r="IIU18" s="6"/>
      <c r="IIV18" s="6"/>
      <c r="IIW18" s="6"/>
      <c r="IIX18" s="6"/>
      <c r="IIY18" s="6"/>
      <c r="IIZ18" s="6"/>
      <c r="IJA18" s="6"/>
      <c r="IJB18" s="6"/>
      <c r="IJC18" s="6"/>
      <c r="IJD18" s="6"/>
      <c r="IJE18" s="6"/>
      <c r="IJF18" s="6"/>
      <c r="IJG18" s="6"/>
      <c r="IJH18" s="7"/>
      <c r="IJI18" s="457" t="s">
        <v>14257</v>
      </c>
      <c r="IJJ18" s="6"/>
      <c r="IJK18" s="6"/>
      <c r="IJL18" s="6"/>
      <c r="IJM18" s="6"/>
      <c r="IJN18" s="6"/>
      <c r="IJO18" s="6"/>
      <c r="IJP18" s="6"/>
      <c r="IJQ18" s="6"/>
      <c r="IJR18" s="6"/>
      <c r="IJS18" s="6"/>
      <c r="IJT18" s="6"/>
      <c r="IJU18" s="6"/>
      <c r="IJV18" s="6"/>
      <c r="IJW18" s="6"/>
      <c r="IJX18" s="7"/>
      <c r="IJY18" s="457" t="s">
        <v>14257</v>
      </c>
      <c r="IJZ18" s="6"/>
      <c r="IKA18" s="6"/>
      <c r="IKB18" s="6"/>
      <c r="IKC18" s="6"/>
      <c r="IKD18" s="6"/>
      <c r="IKE18" s="6"/>
      <c r="IKF18" s="6"/>
      <c r="IKG18" s="6"/>
      <c r="IKH18" s="6"/>
      <c r="IKI18" s="6"/>
      <c r="IKJ18" s="6"/>
      <c r="IKK18" s="6"/>
      <c r="IKL18" s="6"/>
      <c r="IKM18" s="6"/>
      <c r="IKN18" s="7"/>
      <c r="IKO18" s="457" t="s">
        <v>14257</v>
      </c>
      <c r="IKP18" s="6"/>
      <c r="IKQ18" s="6"/>
      <c r="IKR18" s="6"/>
      <c r="IKS18" s="6"/>
      <c r="IKT18" s="6"/>
      <c r="IKU18" s="6"/>
      <c r="IKV18" s="6"/>
      <c r="IKW18" s="6"/>
      <c r="IKX18" s="6"/>
      <c r="IKY18" s="6"/>
      <c r="IKZ18" s="6"/>
      <c r="ILA18" s="6"/>
      <c r="ILB18" s="6"/>
      <c r="ILC18" s="6"/>
      <c r="ILD18" s="7"/>
      <c r="ILE18" s="457" t="s">
        <v>14257</v>
      </c>
      <c r="ILF18" s="6"/>
      <c r="ILG18" s="6"/>
      <c r="ILH18" s="6"/>
      <c r="ILI18" s="6"/>
      <c r="ILJ18" s="6"/>
      <c r="ILK18" s="6"/>
      <c r="ILL18" s="6"/>
      <c r="ILM18" s="6"/>
      <c r="ILN18" s="6"/>
      <c r="ILO18" s="6"/>
      <c r="ILP18" s="6"/>
      <c r="ILQ18" s="6"/>
      <c r="ILR18" s="6"/>
      <c r="ILS18" s="6"/>
      <c r="ILT18" s="7"/>
      <c r="ILU18" s="457" t="s">
        <v>14257</v>
      </c>
      <c r="ILV18" s="6"/>
      <c r="ILW18" s="6"/>
      <c r="ILX18" s="6"/>
      <c r="ILY18" s="6"/>
      <c r="ILZ18" s="6"/>
      <c r="IMA18" s="6"/>
      <c r="IMB18" s="6"/>
      <c r="IMC18" s="6"/>
      <c r="IMD18" s="6"/>
      <c r="IME18" s="6"/>
      <c r="IMF18" s="6"/>
      <c r="IMG18" s="6"/>
      <c r="IMH18" s="6"/>
      <c r="IMI18" s="6"/>
      <c r="IMJ18" s="7"/>
      <c r="IMK18" s="457" t="s">
        <v>14257</v>
      </c>
      <c r="IML18" s="6"/>
      <c r="IMM18" s="6"/>
      <c r="IMN18" s="6"/>
      <c r="IMO18" s="6"/>
      <c r="IMP18" s="6"/>
      <c r="IMQ18" s="6"/>
      <c r="IMR18" s="6"/>
      <c r="IMS18" s="6"/>
      <c r="IMT18" s="6"/>
      <c r="IMU18" s="6"/>
      <c r="IMV18" s="6"/>
      <c r="IMW18" s="6"/>
      <c r="IMX18" s="6"/>
      <c r="IMY18" s="6"/>
      <c r="IMZ18" s="7"/>
      <c r="INA18" s="457" t="s">
        <v>14257</v>
      </c>
      <c r="INB18" s="6"/>
      <c r="INC18" s="6"/>
      <c r="IND18" s="6"/>
      <c r="INE18" s="6"/>
      <c r="INF18" s="6"/>
      <c r="ING18" s="6"/>
      <c r="INH18" s="6"/>
      <c r="INI18" s="6"/>
      <c r="INJ18" s="6"/>
      <c r="INK18" s="6"/>
      <c r="INL18" s="6"/>
      <c r="INM18" s="6"/>
      <c r="INN18" s="6"/>
      <c r="INO18" s="6"/>
      <c r="INP18" s="7"/>
      <c r="INQ18" s="457" t="s">
        <v>14257</v>
      </c>
      <c r="INR18" s="6"/>
      <c r="INS18" s="6"/>
      <c r="INT18" s="6"/>
      <c r="INU18" s="6"/>
      <c r="INV18" s="6"/>
      <c r="INW18" s="6"/>
      <c r="INX18" s="6"/>
      <c r="INY18" s="6"/>
      <c r="INZ18" s="6"/>
      <c r="IOA18" s="6"/>
      <c r="IOB18" s="6"/>
      <c r="IOC18" s="6"/>
      <c r="IOD18" s="6"/>
      <c r="IOE18" s="6"/>
      <c r="IOF18" s="7"/>
      <c r="IOG18" s="457" t="s">
        <v>14257</v>
      </c>
      <c r="IOH18" s="6"/>
      <c r="IOI18" s="6"/>
      <c r="IOJ18" s="6"/>
      <c r="IOK18" s="6"/>
      <c r="IOL18" s="6"/>
      <c r="IOM18" s="6"/>
      <c r="ION18" s="6"/>
      <c r="IOO18" s="6"/>
      <c r="IOP18" s="6"/>
      <c r="IOQ18" s="6"/>
      <c r="IOR18" s="6"/>
      <c r="IOS18" s="6"/>
      <c r="IOT18" s="6"/>
      <c r="IOU18" s="6"/>
      <c r="IOV18" s="7"/>
      <c r="IOW18" s="457" t="s">
        <v>14257</v>
      </c>
      <c r="IOX18" s="6"/>
      <c r="IOY18" s="6"/>
      <c r="IOZ18" s="6"/>
      <c r="IPA18" s="6"/>
      <c r="IPB18" s="6"/>
      <c r="IPC18" s="6"/>
      <c r="IPD18" s="6"/>
      <c r="IPE18" s="6"/>
      <c r="IPF18" s="6"/>
      <c r="IPG18" s="6"/>
      <c r="IPH18" s="6"/>
      <c r="IPI18" s="6"/>
      <c r="IPJ18" s="6"/>
      <c r="IPK18" s="6"/>
      <c r="IPL18" s="7"/>
      <c r="IPM18" s="457" t="s">
        <v>14257</v>
      </c>
      <c r="IPN18" s="6"/>
      <c r="IPO18" s="6"/>
      <c r="IPP18" s="6"/>
      <c r="IPQ18" s="6"/>
      <c r="IPR18" s="6"/>
      <c r="IPS18" s="6"/>
      <c r="IPT18" s="6"/>
      <c r="IPU18" s="6"/>
      <c r="IPV18" s="6"/>
      <c r="IPW18" s="6"/>
      <c r="IPX18" s="6"/>
      <c r="IPY18" s="6"/>
      <c r="IPZ18" s="6"/>
      <c r="IQA18" s="6"/>
      <c r="IQB18" s="7"/>
      <c r="IQC18" s="457" t="s">
        <v>14257</v>
      </c>
      <c r="IQD18" s="6"/>
      <c r="IQE18" s="6"/>
      <c r="IQF18" s="6"/>
      <c r="IQG18" s="6"/>
      <c r="IQH18" s="6"/>
      <c r="IQI18" s="6"/>
      <c r="IQJ18" s="6"/>
      <c r="IQK18" s="6"/>
      <c r="IQL18" s="6"/>
      <c r="IQM18" s="6"/>
      <c r="IQN18" s="6"/>
      <c r="IQO18" s="6"/>
      <c r="IQP18" s="6"/>
      <c r="IQQ18" s="6"/>
      <c r="IQR18" s="7"/>
      <c r="IQS18" s="457" t="s">
        <v>14257</v>
      </c>
      <c r="IQT18" s="6"/>
      <c r="IQU18" s="6"/>
      <c r="IQV18" s="6"/>
      <c r="IQW18" s="6"/>
      <c r="IQX18" s="6"/>
      <c r="IQY18" s="6"/>
      <c r="IQZ18" s="6"/>
      <c r="IRA18" s="6"/>
      <c r="IRB18" s="6"/>
      <c r="IRC18" s="6"/>
      <c r="IRD18" s="6"/>
      <c r="IRE18" s="6"/>
      <c r="IRF18" s="6"/>
      <c r="IRG18" s="6"/>
      <c r="IRH18" s="7"/>
      <c r="IRI18" s="457" t="s">
        <v>14257</v>
      </c>
      <c r="IRJ18" s="6"/>
      <c r="IRK18" s="6"/>
      <c r="IRL18" s="6"/>
      <c r="IRM18" s="6"/>
      <c r="IRN18" s="6"/>
      <c r="IRO18" s="6"/>
      <c r="IRP18" s="6"/>
      <c r="IRQ18" s="6"/>
      <c r="IRR18" s="6"/>
      <c r="IRS18" s="6"/>
      <c r="IRT18" s="6"/>
      <c r="IRU18" s="6"/>
      <c r="IRV18" s="6"/>
      <c r="IRW18" s="6"/>
      <c r="IRX18" s="7"/>
      <c r="IRY18" s="457" t="s">
        <v>14257</v>
      </c>
      <c r="IRZ18" s="6"/>
      <c r="ISA18" s="6"/>
      <c r="ISB18" s="6"/>
      <c r="ISC18" s="6"/>
      <c r="ISD18" s="6"/>
      <c r="ISE18" s="6"/>
      <c r="ISF18" s="6"/>
      <c r="ISG18" s="6"/>
      <c r="ISH18" s="6"/>
      <c r="ISI18" s="6"/>
      <c r="ISJ18" s="6"/>
      <c r="ISK18" s="6"/>
      <c r="ISL18" s="6"/>
      <c r="ISM18" s="6"/>
      <c r="ISN18" s="7"/>
      <c r="ISO18" s="457" t="s">
        <v>14257</v>
      </c>
      <c r="ISP18" s="6"/>
      <c r="ISQ18" s="6"/>
      <c r="ISR18" s="6"/>
      <c r="ISS18" s="6"/>
      <c r="IST18" s="6"/>
      <c r="ISU18" s="6"/>
      <c r="ISV18" s="6"/>
      <c r="ISW18" s="6"/>
      <c r="ISX18" s="6"/>
      <c r="ISY18" s="6"/>
      <c r="ISZ18" s="6"/>
      <c r="ITA18" s="6"/>
      <c r="ITB18" s="6"/>
      <c r="ITC18" s="6"/>
      <c r="ITD18" s="7"/>
      <c r="ITE18" s="457" t="s">
        <v>14257</v>
      </c>
      <c r="ITF18" s="6"/>
      <c r="ITG18" s="6"/>
      <c r="ITH18" s="6"/>
      <c r="ITI18" s="6"/>
      <c r="ITJ18" s="6"/>
      <c r="ITK18" s="6"/>
      <c r="ITL18" s="6"/>
      <c r="ITM18" s="6"/>
      <c r="ITN18" s="6"/>
      <c r="ITO18" s="6"/>
      <c r="ITP18" s="6"/>
      <c r="ITQ18" s="6"/>
      <c r="ITR18" s="6"/>
      <c r="ITS18" s="6"/>
      <c r="ITT18" s="7"/>
      <c r="ITU18" s="457" t="s">
        <v>14257</v>
      </c>
      <c r="ITV18" s="6"/>
      <c r="ITW18" s="6"/>
      <c r="ITX18" s="6"/>
      <c r="ITY18" s="6"/>
      <c r="ITZ18" s="6"/>
      <c r="IUA18" s="6"/>
      <c r="IUB18" s="6"/>
      <c r="IUC18" s="6"/>
      <c r="IUD18" s="6"/>
      <c r="IUE18" s="6"/>
      <c r="IUF18" s="6"/>
      <c r="IUG18" s="6"/>
      <c r="IUH18" s="6"/>
      <c r="IUI18" s="6"/>
      <c r="IUJ18" s="7"/>
      <c r="IUK18" s="457" t="s">
        <v>14257</v>
      </c>
      <c r="IUL18" s="6"/>
      <c r="IUM18" s="6"/>
      <c r="IUN18" s="6"/>
      <c r="IUO18" s="6"/>
      <c r="IUP18" s="6"/>
      <c r="IUQ18" s="6"/>
      <c r="IUR18" s="6"/>
      <c r="IUS18" s="6"/>
      <c r="IUT18" s="6"/>
      <c r="IUU18" s="6"/>
      <c r="IUV18" s="6"/>
      <c r="IUW18" s="6"/>
      <c r="IUX18" s="6"/>
      <c r="IUY18" s="6"/>
      <c r="IUZ18" s="7"/>
      <c r="IVA18" s="457" t="s">
        <v>14257</v>
      </c>
      <c r="IVB18" s="6"/>
      <c r="IVC18" s="6"/>
      <c r="IVD18" s="6"/>
      <c r="IVE18" s="6"/>
      <c r="IVF18" s="6"/>
      <c r="IVG18" s="6"/>
      <c r="IVH18" s="6"/>
      <c r="IVI18" s="6"/>
      <c r="IVJ18" s="6"/>
      <c r="IVK18" s="6"/>
      <c r="IVL18" s="6"/>
      <c r="IVM18" s="6"/>
      <c r="IVN18" s="6"/>
      <c r="IVO18" s="6"/>
      <c r="IVP18" s="7"/>
      <c r="IVQ18" s="457" t="s">
        <v>14257</v>
      </c>
      <c r="IVR18" s="6"/>
      <c r="IVS18" s="6"/>
      <c r="IVT18" s="6"/>
      <c r="IVU18" s="6"/>
      <c r="IVV18" s="6"/>
      <c r="IVW18" s="6"/>
      <c r="IVX18" s="6"/>
      <c r="IVY18" s="6"/>
      <c r="IVZ18" s="6"/>
      <c r="IWA18" s="6"/>
      <c r="IWB18" s="6"/>
      <c r="IWC18" s="6"/>
      <c r="IWD18" s="6"/>
      <c r="IWE18" s="6"/>
      <c r="IWF18" s="7"/>
      <c r="IWG18" s="457" t="s">
        <v>14257</v>
      </c>
      <c r="IWH18" s="6"/>
      <c r="IWI18" s="6"/>
      <c r="IWJ18" s="6"/>
      <c r="IWK18" s="6"/>
      <c r="IWL18" s="6"/>
      <c r="IWM18" s="6"/>
      <c r="IWN18" s="6"/>
      <c r="IWO18" s="6"/>
      <c r="IWP18" s="6"/>
      <c r="IWQ18" s="6"/>
      <c r="IWR18" s="6"/>
      <c r="IWS18" s="6"/>
      <c r="IWT18" s="6"/>
      <c r="IWU18" s="6"/>
      <c r="IWV18" s="7"/>
      <c r="IWW18" s="457" t="s">
        <v>14257</v>
      </c>
      <c r="IWX18" s="6"/>
      <c r="IWY18" s="6"/>
      <c r="IWZ18" s="6"/>
      <c r="IXA18" s="6"/>
      <c r="IXB18" s="6"/>
      <c r="IXC18" s="6"/>
      <c r="IXD18" s="6"/>
      <c r="IXE18" s="6"/>
      <c r="IXF18" s="6"/>
      <c r="IXG18" s="6"/>
      <c r="IXH18" s="6"/>
      <c r="IXI18" s="6"/>
      <c r="IXJ18" s="6"/>
      <c r="IXK18" s="6"/>
      <c r="IXL18" s="7"/>
      <c r="IXM18" s="457" t="s">
        <v>14257</v>
      </c>
      <c r="IXN18" s="6"/>
      <c r="IXO18" s="6"/>
      <c r="IXP18" s="6"/>
      <c r="IXQ18" s="6"/>
      <c r="IXR18" s="6"/>
      <c r="IXS18" s="6"/>
      <c r="IXT18" s="6"/>
      <c r="IXU18" s="6"/>
      <c r="IXV18" s="6"/>
      <c r="IXW18" s="6"/>
      <c r="IXX18" s="6"/>
      <c r="IXY18" s="6"/>
      <c r="IXZ18" s="6"/>
      <c r="IYA18" s="6"/>
      <c r="IYB18" s="7"/>
      <c r="IYC18" s="457" t="s">
        <v>14257</v>
      </c>
      <c r="IYD18" s="6"/>
      <c r="IYE18" s="6"/>
      <c r="IYF18" s="6"/>
      <c r="IYG18" s="6"/>
      <c r="IYH18" s="6"/>
      <c r="IYI18" s="6"/>
      <c r="IYJ18" s="6"/>
      <c r="IYK18" s="6"/>
      <c r="IYL18" s="6"/>
      <c r="IYM18" s="6"/>
      <c r="IYN18" s="6"/>
      <c r="IYO18" s="6"/>
      <c r="IYP18" s="6"/>
      <c r="IYQ18" s="6"/>
      <c r="IYR18" s="7"/>
      <c r="IYS18" s="457" t="s">
        <v>14257</v>
      </c>
      <c r="IYT18" s="6"/>
      <c r="IYU18" s="6"/>
      <c r="IYV18" s="6"/>
      <c r="IYW18" s="6"/>
      <c r="IYX18" s="6"/>
      <c r="IYY18" s="6"/>
      <c r="IYZ18" s="6"/>
      <c r="IZA18" s="6"/>
      <c r="IZB18" s="6"/>
      <c r="IZC18" s="6"/>
      <c r="IZD18" s="6"/>
      <c r="IZE18" s="6"/>
      <c r="IZF18" s="6"/>
      <c r="IZG18" s="6"/>
      <c r="IZH18" s="7"/>
      <c r="IZI18" s="457" t="s">
        <v>14257</v>
      </c>
      <c r="IZJ18" s="6"/>
      <c r="IZK18" s="6"/>
      <c r="IZL18" s="6"/>
      <c r="IZM18" s="6"/>
      <c r="IZN18" s="6"/>
      <c r="IZO18" s="6"/>
      <c r="IZP18" s="6"/>
      <c r="IZQ18" s="6"/>
      <c r="IZR18" s="6"/>
      <c r="IZS18" s="6"/>
      <c r="IZT18" s="6"/>
      <c r="IZU18" s="6"/>
      <c r="IZV18" s="6"/>
      <c r="IZW18" s="6"/>
      <c r="IZX18" s="7"/>
      <c r="IZY18" s="457" t="s">
        <v>14257</v>
      </c>
      <c r="IZZ18" s="6"/>
      <c r="JAA18" s="6"/>
      <c r="JAB18" s="6"/>
      <c r="JAC18" s="6"/>
      <c r="JAD18" s="6"/>
      <c r="JAE18" s="6"/>
      <c r="JAF18" s="6"/>
      <c r="JAG18" s="6"/>
      <c r="JAH18" s="6"/>
      <c r="JAI18" s="6"/>
      <c r="JAJ18" s="6"/>
      <c r="JAK18" s="6"/>
      <c r="JAL18" s="6"/>
      <c r="JAM18" s="6"/>
      <c r="JAN18" s="7"/>
      <c r="JAO18" s="457" t="s">
        <v>14257</v>
      </c>
      <c r="JAP18" s="6"/>
      <c r="JAQ18" s="6"/>
      <c r="JAR18" s="6"/>
      <c r="JAS18" s="6"/>
      <c r="JAT18" s="6"/>
      <c r="JAU18" s="6"/>
      <c r="JAV18" s="6"/>
      <c r="JAW18" s="6"/>
      <c r="JAX18" s="6"/>
      <c r="JAY18" s="6"/>
      <c r="JAZ18" s="6"/>
      <c r="JBA18" s="6"/>
      <c r="JBB18" s="6"/>
      <c r="JBC18" s="6"/>
      <c r="JBD18" s="7"/>
      <c r="JBE18" s="457" t="s">
        <v>14257</v>
      </c>
      <c r="JBF18" s="6"/>
      <c r="JBG18" s="6"/>
      <c r="JBH18" s="6"/>
      <c r="JBI18" s="6"/>
      <c r="JBJ18" s="6"/>
      <c r="JBK18" s="6"/>
      <c r="JBL18" s="6"/>
      <c r="JBM18" s="6"/>
      <c r="JBN18" s="6"/>
      <c r="JBO18" s="6"/>
      <c r="JBP18" s="6"/>
      <c r="JBQ18" s="6"/>
      <c r="JBR18" s="6"/>
      <c r="JBS18" s="6"/>
      <c r="JBT18" s="7"/>
      <c r="JBU18" s="457" t="s">
        <v>14257</v>
      </c>
      <c r="JBV18" s="6"/>
      <c r="JBW18" s="6"/>
      <c r="JBX18" s="6"/>
      <c r="JBY18" s="6"/>
      <c r="JBZ18" s="6"/>
      <c r="JCA18" s="6"/>
      <c r="JCB18" s="6"/>
      <c r="JCC18" s="6"/>
      <c r="JCD18" s="6"/>
      <c r="JCE18" s="6"/>
      <c r="JCF18" s="6"/>
      <c r="JCG18" s="6"/>
      <c r="JCH18" s="6"/>
      <c r="JCI18" s="6"/>
      <c r="JCJ18" s="7"/>
      <c r="JCK18" s="457" t="s">
        <v>14257</v>
      </c>
      <c r="JCL18" s="6"/>
      <c r="JCM18" s="6"/>
      <c r="JCN18" s="6"/>
      <c r="JCO18" s="6"/>
      <c r="JCP18" s="6"/>
      <c r="JCQ18" s="6"/>
      <c r="JCR18" s="6"/>
      <c r="JCS18" s="6"/>
      <c r="JCT18" s="6"/>
      <c r="JCU18" s="6"/>
      <c r="JCV18" s="6"/>
      <c r="JCW18" s="6"/>
      <c r="JCX18" s="6"/>
      <c r="JCY18" s="6"/>
      <c r="JCZ18" s="7"/>
      <c r="JDA18" s="457" t="s">
        <v>14257</v>
      </c>
      <c r="JDB18" s="6"/>
      <c r="JDC18" s="6"/>
      <c r="JDD18" s="6"/>
      <c r="JDE18" s="6"/>
      <c r="JDF18" s="6"/>
      <c r="JDG18" s="6"/>
      <c r="JDH18" s="6"/>
      <c r="JDI18" s="6"/>
      <c r="JDJ18" s="6"/>
      <c r="JDK18" s="6"/>
      <c r="JDL18" s="6"/>
      <c r="JDM18" s="6"/>
      <c r="JDN18" s="6"/>
      <c r="JDO18" s="6"/>
      <c r="JDP18" s="7"/>
      <c r="JDQ18" s="457" t="s">
        <v>14257</v>
      </c>
      <c r="JDR18" s="6"/>
      <c r="JDS18" s="6"/>
      <c r="JDT18" s="6"/>
      <c r="JDU18" s="6"/>
      <c r="JDV18" s="6"/>
      <c r="JDW18" s="6"/>
      <c r="JDX18" s="6"/>
      <c r="JDY18" s="6"/>
      <c r="JDZ18" s="6"/>
      <c r="JEA18" s="6"/>
      <c r="JEB18" s="6"/>
      <c r="JEC18" s="6"/>
      <c r="JED18" s="6"/>
      <c r="JEE18" s="6"/>
      <c r="JEF18" s="7"/>
      <c r="JEG18" s="457" t="s">
        <v>14257</v>
      </c>
      <c r="JEH18" s="6"/>
      <c r="JEI18" s="6"/>
      <c r="JEJ18" s="6"/>
      <c r="JEK18" s="6"/>
      <c r="JEL18" s="6"/>
      <c r="JEM18" s="6"/>
      <c r="JEN18" s="6"/>
      <c r="JEO18" s="6"/>
      <c r="JEP18" s="6"/>
      <c r="JEQ18" s="6"/>
      <c r="JER18" s="6"/>
      <c r="JES18" s="6"/>
      <c r="JET18" s="6"/>
      <c r="JEU18" s="6"/>
      <c r="JEV18" s="7"/>
      <c r="JEW18" s="457" t="s">
        <v>14257</v>
      </c>
      <c r="JEX18" s="6"/>
      <c r="JEY18" s="6"/>
      <c r="JEZ18" s="6"/>
      <c r="JFA18" s="6"/>
      <c r="JFB18" s="6"/>
      <c r="JFC18" s="6"/>
      <c r="JFD18" s="6"/>
      <c r="JFE18" s="6"/>
      <c r="JFF18" s="6"/>
      <c r="JFG18" s="6"/>
      <c r="JFH18" s="6"/>
      <c r="JFI18" s="6"/>
      <c r="JFJ18" s="6"/>
      <c r="JFK18" s="6"/>
      <c r="JFL18" s="7"/>
      <c r="JFM18" s="457" t="s">
        <v>14257</v>
      </c>
      <c r="JFN18" s="6"/>
      <c r="JFO18" s="6"/>
      <c r="JFP18" s="6"/>
      <c r="JFQ18" s="6"/>
      <c r="JFR18" s="6"/>
      <c r="JFS18" s="6"/>
      <c r="JFT18" s="6"/>
      <c r="JFU18" s="6"/>
      <c r="JFV18" s="6"/>
      <c r="JFW18" s="6"/>
      <c r="JFX18" s="6"/>
      <c r="JFY18" s="6"/>
      <c r="JFZ18" s="6"/>
      <c r="JGA18" s="6"/>
      <c r="JGB18" s="7"/>
      <c r="JGC18" s="457" t="s">
        <v>14257</v>
      </c>
      <c r="JGD18" s="6"/>
      <c r="JGE18" s="6"/>
      <c r="JGF18" s="6"/>
      <c r="JGG18" s="6"/>
      <c r="JGH18" s="6"/>
      <c r="JGI18" s="6"/>
      <c r="JGJ18" s="6"/>
      <c r="JGK18" s="6"/>
      <c r="JGL18" s="6"/>
      <c r="JGM18" s="6"/>
      <c r="JGN18" s="6"/>
      <c r="JGO18" s="6"/>
      <c r="JGP18" s="6"/>
      <c r="JGQ18" s="6"/>
      <c r="JGR18" s="7"/>
      <c r="JGS18" s="457" t="s">
        <v>14257</v>
      </c>
      <c r="JGT18" s="6"/>
      <c r="JGU18" s="6"/>
      <c r="JGV18" s="6"/>
      <c r="JGW18" s="6"/>
      <c r="JGX18" s="6"/>
      <c r="JGY18" s="6"/>
      <c r="JGZ18" s="6"/>
      <c r="JHA18" s="6"/>
      <c r="JHB18" s="6"/>
      <c r="JHC18" s="6"/>
      <c r="JHD18" s="6"/>
      <c r="JHE18" s="6"/>
      <c r="JHF18" s="6"/>
      <c r="JHG18" s="6"/>
      <c r="JHH18" s="7"/>
      <c r="JHI18" s="457" t="s">
        <v>14257</v>
      </c>
      <c r="JHJ18" s="6"/>
      <c r="JHK18" s="6"/>
      <c r="JHL18" s="6"/>
      <c r="JHM18" s="6"/>
      <c r="JHN18" s="6"/>
      <c r="JHO18" s="6"/>
      <c r="JHP18" s="6"/>
      <c r="JHQ18" s="6"/>
      <c r="JHR18" s="6"/>
      <c r="JHS18" s="6"/>
      <c r="JHT18" s="6"/>
      <c r="JHU18" s="6"/>
      <c r="JHV18" s="6"/>
      <c r="JHW18" s="6"/>
      <c r="JHX18" s="7"/>
      <c r="JHY18" s="457" t="s">
        <v>14257</v>
      </c>
      <c r="JHZ18" s="6"/>
      <c r="JIA18" s="6"/>
      <c r="JIB18" s="6"/>
      <c r="JIC18" s="6"/>
      <c r="JID18" s="6"/>
      <c r="JIE18" s="6"/>
      <c r="JIF18" s="6"/>
      <c r="JIG18" s="6"/>
      <c r="JIH18" s="6"/>
      <c r="JII18" s="6"/>
      <c r="JIJ18" s="6"/>
      <c r="JIK18" s="6"/>
      <c r="JIL18" s="6"/>
      <c r="JIM18" s="6"/>
      <c r="JIN18" s="7"/>
      <c r="JIO18" s="457" t="s">
        <v>14257</v>
      </c>
      <c r="JIP18" s="6"/>
      <c r="JIQ18" s="6"/>
      <c r="JIR18" s="6"/>
      <c r="JIS18" s="6"/>
      <c r="JIT18" s="6"/>
      <c r="JIU18" s="6"/>
      <c r="JIV18" s="6"/>
      <c r="JIW18" s="6"/>
      <c r="JIX18" s="6"/>
      <c r="JIY18" s="6"/>
      <c r="JIZ18" s="6"/>
      <c r="JJA18" s="6"/>
      <c r="JJB18" s="6"/>
      <c r="JJC18" s="6"/>
      <c r="JJD18" s="7"/>
      <c r="JJE18" s="457" t="s">
        <v>14257</v>
      </c>
      <c r="JJF18" s="6"/>
      <c r="JJG18" s="6"/>
      <c r="JJH18" s="6"/>
      <c r="JJI18" s="6"/>
      <c r="JJJ18" s="6"/>
      <c r="JJK18" s="6"/>
      <c r="JJL18" s="6"/>
      <c r="JJM18" s="6"/>
      <c r="JJN18" s="6"/>
      <c r="JJO18" s="6"/>
      <c r="JJP18" s="6"/>
      <c r="JJQ18" s="6"/>
      <c r="JJR18" s="6"/>
      <c r="JJS18" s="6"/>
      <c r="JJT18" s="7"/>
      <c r="JJU18" s="457" t="s">
        <v>14257</v>
      </c>
      <c r="JJV18" s="6"/>
      <c r="JJW18" s="6"/>
      <c r="JJX18" s="6"/>
      <c r="JJY18" s="6"/>
      <c r="JJZ18" s="6"/>
      <c r="JKA18" s="6"/>
      <c r="JKB18" s="6"/>
      <c r="JKC18" s="6"/>
      <c r="JKD18" s="6"/>
      <c r="JKE18" s="6"/>
      <c r="JKF18" s="6"/>
      <c r="JKG18" s="6"/>
      <c r="JKH18" s="6"/>
      <c r="JKI18" s="6"/>
      <c r="JKJ18" s="7"/>
      <c r="JKK18" s="457" t="s">
        <v>14257</v>
      </c>
      <c r="JKL18" s="6"/>
      <c r="JKM18" s="6"/>
      <c r="JKN18" s="6"/>
      <c r="JKO18" s="6"/>
      <c r="JKP18" s="6"/>
      <c r="JKQ18" s="6"/>
      <c r="JKR18" s="6"/>
      <c r="JKS18" s="6"/>
      <c r="JKT18" s="6"/>
      <c r="JKU18" s="6"/>
      <c r="JKV18" s="6"/>
      <c r="JKW18" s="6"/>
      <c r="JKX18" s="6"/>
      <c r="JKY18" s="6"/>
      <c r="JKZ18" s="7"/>
      <c r="JLA18" s="457" t="s">
        <v>14257</v>
      </c>
      <c r="JLB18" s="6"/>
      <c r="JLC18" s="6"/>
      <c r="JLD18" s="6"/>
      <c r="JLE18" s="6"/>
      <c r="JLF18" s="6"/>
      <c r="JLG18" s="6"/>
      <c r="JLH18" s="6"/>
      <c r="JLI18" s="6"/>
      <c r="JLJ18" s="6"/>
      <c r="JLK18" s="6"/>
      <c r="JLL18" s="6"/>
      <c r="JLM18" s="6"/>
      <c r="JLN18" s="6"/>
      <c r="JLO18" s="6"/>
      <c r="JLP18" s="7"/>
      <c r="JLQ18" s="457" t="s">
        <v>14257</v>
      </c>
      <c r="JLR18" s="6"/>
      <c r="JLS18" s="6"/>
      <c r="JLT18" s="6"/>
      <c r="JLU18" s="6"/>
      <c r="JLV18" s="6"/>
      <c r="JLW18" s="6"/>
      <c r="JLX18" s="6"/>
      <c r="JLY18" s="6"/>
      <c r="JLZ18" s="6"/>
      <c r="JMA18" s="6"/>
      <c r="JMB18" s="6"/>
      <c r="JMC18" s="6"/>
      <c r="JMD18" s="6"/>
      <c r="JME18" s="6"/>
      <c r="JMF18" s="7"/>
      <c r="JMG18" s="457" t="s">
        <v>14257</v>
      </c>
      <c r="JMH18" s="6"/>
      <c r="JMI18" s="6"/>
      <c r="JMJ18" s="6"/>
      <c r="JMK18" s="6"/>
      <c r="JML18" s="6"/>
      <c r="JMM18" s="6"/>
      <c r="JMN18" s="6"/>
      <c r="JMO18" s="6"/>
      <c r="JMP18" s="6"/>
      <c r="JMQ18" s="6"/>
      <c r="JMR18" s="6"/>
      <c r="JMS18" s="6"/>
      <c r="JMT18" s="6"/>
      <c r="JMU18" s="6"/>
      <c r="JMV18" s="7"/>
      <c r="JMW18" s="457" t="s">
        <v>14257</v>
      </c>
      <c r="JMX18" s="6"/>
      <c r="JMY18" s="6"/>
      <c r="JMZ18" s="6"/>
      <c r="JNA18" s="6"/>
      <c r="JNB18" s="6"/>
      <c r="JNC18" s="6"/>
      <c r="JND18" s="6"/>
      <c r="JNE18" s="6"/>
      <c r="JNF18" s="6"/>
      <c r="JNG18" s="6"/>
      <c r="JNH18" s="6"/>
      <c r="JNI18" s="6"/>
      <c r="JNJ18" s="6"/>
      <c r="JNK18" s="6"/>
      <c r="JNL18" s="7"/>
      <c r="JNM18" s="457" t="s">
        <v>14257</v>
      </c>
      <c r="JNN18" s="6"/>
      <c r="JNO18" s="6"/>
      <c r="JNP18" s="6"/>
      <c r="JNQ18" s="6"/>
      <c r="JNR18" s="6"/>
      <c r="JNS18" s="6"/>
      <c r="JNT18" s="6"/>
      <c r="JNU18" s="6"/>
      <c r="JNV18" s="6"/>
      <c r="JNW18" s="6"/>
      <c r="JNX18" s="6"/>
      <c r="JNY18" s="6"/>
      <c r="JNZ18" s="6"/>
      <c r="JOA18" s="6"/>
      <c r="JOB18" s="7"/>
      <c r="JOC18" s="457" t="s">
        <v>14257</v>
      </c>
      <c r="JOD18" s="6"/>
      <c r="JOE18" s="6"/>
      <c r="JOF18" s="6"/>
      <c r="JOG18" s="6"/>
      <c r="JOH18" s="6"/>
      <c r="JOI18" s="6"/>
      <c r="JOJ18" s="6"/>
      <c r="JOK18" s="6"/>
      <c r="JOL18" s="6"/>
      <c r="JOM18" s="6"/>
      <c r="JON18" s="6"/>
      <c r="JOO18" s="6"/>
      <c r="JOP18" s="6"/>
      <c r="JOQ18" s="6"/>
      <c r="JOR18" s="7"/>
      <c r="JOS18" s="457" t="s">
        <v>14257</v>
      </c>
      <c r="JOT18" s="6"/>
      <c r="JOU18" s="6"/>
      <c r="JOV18" s="6"/>
      <c r="JOW18" s="6"/>
      <c r="JOX18" s="6"/>
      <c r="JOY18" s="6"/>
      <c r="JOZ18" s="6"/>
      <c r="JPA18" s="6"/>
      <c r="JPB18" s="6"/>
      <c r="JPC18" s="6"/>
      <c r="JPD18" s="6"/>
      <c r="JPE18" s="6"/>
      <c r="JPF18" s="6"/>
      <c r="JPG18" s="6"/>
      <c r="JPH18" s="7"/>
      <c r="JPI18" s="457" t="s">
        <v>14257</v>
      </c>
      <c r="JPJ18" s="6"/>
      <c r="JPK18" s="6"/>
      <c r="JPL18" s="6"/>
      <c r="JPM18" s="6"/>
      <c r="JPN18" s="6"/>
      <c r="JPO18" s="6"/>
      <c r="JPP18" s="6"/>
      <c r="JPQ18" s="6"/>
      <c r="JPR18" s="6"/>
      <c r="JPS18" s="6"/>
      <c r="JPT18" s="6"/>
      <c r="JPU18" s="6"/>
      <c r="JPV18" s="6"/>
      <c r="JPW18" s="6"/>
      <c r="JPX18" s="7"/>
      <c r="JPY18" s="457" t="s">
        <v>14257</v>
      </c>
      <c r="JPZ18" s="6"/>
      <c r="JQA18" s="6"/>
      <c r="JQB18" s="6"/>
      <c r="JQC18" s="6"/>
      <c r="JQD18" s="6"/>
      <c r="JQE18" s="6"/>
      <c r="JQF18" s="6"/>
      <c r="JQG18" s="6"/>
      <c r="JQH18" s="6"/>
      <c r="JQI18" s="6"/>
      <c r="JQJ18" s="6"/>
      <c r="JQK18" s="6"/>
      <c r="JQL18" s="6"/>
      <c r="JQM18" s="6"/>
      <c r="JQN18" s="7"/>
      <c r="JQO18" s="457" t="s">
        <v>14257</v>
      </c>
      <c r="JQP18" s="6"/>
      <c r="JQQ18" s="6"/>
      <c r="JQR18" s="6"/>
      <c r="JQS18" s="6"/>
      <c r="JQT18" s="6"/>
      <c r="JQU18" s="6"/>
      <c r="JQV18" s="6"/>
      <c r="JQW18" s="6"/>
      <c r="JQX18" s="6"/>
      <c r="JQY18" s="6"/>
      <c r="JQZ18" s="6"/>
      <c r="JRA18" s="6"/>
      <c r="JRB18" s="6"/>
      <c r="JRC18" s="6"/>
      <c r="JRD18" s="7"/>
      <c r="JRE18" s="457" t="s">
        <v>14257</v>
      </c>
      <c r="JRF18" s="6"/>
      <c r="JRG18" s="6"/>
      <c r="JRH18" s="6"/>
      <c r="JRI18" s="6"/>
      <c r="JRJ18" s="6"/>
      <c r="JRK18" s="6"/>
      <c r="JRL18" s="6"/>
      <c r="JRM18" s="6"/>
      <c r="JRN18" s="6"/>
      <c r="JRO18" s="6"/>
      <c r="JRP18" s="6"/>
      <c r="JRQ18" s="6"/>
      <c r="JRR18" s="6"/>
      <c r="JRS18" s="6"/>
      <c r="JRT18" s="7"/>
      <c r="JRU18" s="457" t="s">
        <v>14257</v>
      </c>
      <c r="JRV18" s="6"/>
      <c r="JRW18" s="6"/>
      <c r="JRX18" s="6"/>
      <c r="JRY18" s="6"/>
      <c r="JRZ18" s="6"/>
      <c r="JSA18" s="6"/>
      <c r="JSB18" s="6"/>
      <c r="JSC18" s="6"/>
      <c r="JSD18" s="6"/>
      <c r="JSE18" s="6"/>
      <c r="JSF18" s="6"/>
      <c r="JSG18" s="6"/>
      <c r="JSH18" s="6"/>
      <c r="JSI18" s="6"/>
      <c r="JSJ18" s="7"/>
      <c r="JSK18" s="457" t="s">
        <v>14257</v>
      </c>
      <c r="JSL18" s="6"/>
      <c r="JSM18" s="6"/>
      <c r="JSN18" s="6"/>
      <c r="JSO18" s="6"/>
      <c r="JSP18" s="6"/>
      <c r="JSQ18" s="6"/>
      <c r="JSR18" s="6"/>
      <c r="JSS18" s="6"/>
      <c r="JST18" s="6"/>
      <c r="JSU18" s="6"/>
      <c r="JSV18" s="6"/>
      <c r="JSW18" s="6"/>
      <c r="JSX18" s="6"/>
      <c r="JSY18" s="6"/>
      <c r="JSZ18" s="7"/>
      <c r="JTA18" s="457" t="s">
        <v>14257</v>
      </c>
      <c r="JTB18" s="6"/>
      <c r="JTC18" s="6"/>
      <c r="JTD18" s="6"/>
      <c r="JTE18" s="6"/>
      <c r="JTF18" s="6"/>
      <c r="JTG18" s="6"/>
      <c r="JTH18" s="6"/>
      <c r="JTI18" s="6"/>
      <c r="JTJ18" s="6"/>
      <c r="JTK18" s="6"/>
      <c r="JTL18" s="6"/>
      <c r="JTM18" s="6"/>
      <c r="JTN18" s="6"/>
      <c r="JTO18" s="6"/>
      <c r="JTP18" s="7"/>
      <c r="JTQ18" s="457" t="s">
        <v>14257</v>
      </c>
      <c r="JTR18" s="6"/>
      <c r="JTS18" s="6"/>
      <c r="JTT18" s="6"/>
      <c r="JTU18" s="6"/>
      <c r="JTV18" s="6"/>
      <c r="JTW18" s="6"/>
      <c r="JTX18" s="6"/>
      <c r="JTY18" s="6"/>
      <c r="JTZ18" s="6"/>
      <c r="JUA18" s="6"/>
      <c r="JUB18" s="6"/>
      <c r="JUC18" s="6"/>
      <c r="JUD18" s="6"/>
      <c r="JUE18" s="6"/>
      <c r="JUF18" s="7"/>
      <c r="JUG18" s="457" t="s">
        <v>14257</v>
      </c>
      <c r="JUH18" s="6"/>
      <c r="JUI18" s="6"/>
      <c r="JUJ18" s="6"/>
      <c r="JUK18" s="6"/>
      <c r="JUL18" s="6"/>
      <c r="JUM18" s="6"/>
      <c r="JUN18" s="6"/>
      <c r="JUO18" s="6"/>
      <c r="JUP18" s="6"/>
      <c r="JUQ18" s="6"/>
      <c r="JUR18" s="6"/>
      <c r="JUS18" s="6"/>
      <c r="JUT18" s="6"/>
      <c r="JUU18" s="6"/>
      <c r="JUV18" s="7"/>
      <c r="JUW18" s="457" t="s">
        <v>14257</v>
      </c>
      <c r="JUX18" s="6"/>
      <c r="JUY18" s="6"/>
      <c r="JUZ18" s="6"/>
      <c r="JVA18" s="6"/>
      <c r="JVB18" s="6"/>
      <c r="JVC18" s="6"/>
      <c r="JVD18" s="6"/>
      <c r="JVE18" s="6"/>
      <c r="JVF18" s="6"/>
      <c r="JVG18" s="6"/>
      <c r="JVH18" s="6"/>
      <c r="JVI18" s="6"/>
      <c r="JVJ18" s="6"/>
      <c r="JVK18" s="6"/>
      <c r="JVL18" s="7"/>
      <c r="JVM18" s="457" t="s">
        <v>14257</v>
      </c>
      <c r="JVN18" s="6"/>
      <c r="JVO18" s="6"/>
      <c r="JVP18" s="6"/>
      <c r="JVQ18" s="6"/>
      <c r="JVR18" s="6"/>
      <c r="JVS18" s="6"/>
      <c r="JVT18" s="6"/>
      <c r="JVU18" s="6"/>
      <c r="JVV18" s="6"/>
      <c r="JVW18" s="6"/>
      <c r="JVX18" s="6"/>
      <c r="JVY18" s="6"/>
      <c r="JVZ18" s="6"/>
      <c r="JWA18" s="6"/>
      <c r="JWB18" s="7"/>
      <c r="JWC18" s="457" t="s">
        <v>14257</v>
      </c>
      <c r="JWD18" s="6"/>
      <c r="JWE18" s="6"/>
      <c r="JWF18" s="6"/>
      <c r="JWG18" s="6"/>
      <c r="JWH18" s="6"/>
      <c r="JWI18" s="6"/>
      <c r="JWJ18" s="6"/>
      <c r="JWK18" s="6"/>
      <c r="JWL18" s="6"/>
      <c r="JWM18" s="6"/>
      <c r="JWN18" s="6"/>
      <c r="JWO18" s="6"/>
      <c r="JWP18" s="6"/>
      <c r="JWQ18" s="6"/>
      <c r="JWR18" s="7"/>
      <c r="JWS18" s="457" t="s">
        <v>14257</v>
      </c>
      <c r="JWT18" s="6"/>
      <c r="JWU18" s="6"/>
      <c r="JWV18" s="6"/>
      <c r="JWW18" s="6"/>
      <c r="JWX18" s="6"/>
      <c r="JWY18" s="6"/>
      <c r="JWZ18" s="6"/>
      <c r="JXA18" s="6"/>
      <c r="JXB18" s="6"/>
      <c r="JXC18" s="6"/>
      <c r="JXD18" s="6"/>
      <c r="JXE18" s="6"/>
      <c r="JXF18" s="6"/>
      <c r="JXG18" s="6"/>
      <c r="JXH18" s="7"/>
      <c r="JXI18" s="457" t="s">
        <v>14257</v>
      </c>
      <c r="JXJ18" s="6"/>
      <c r="JXK18" s="6"/>
      <c r="JXL18" s="6"/>
      <c r="JXM18" s="6"/>
      <c r="JXN18" s="6"/>
      <c r="JXO18" s="6"/>
      <c r="JXP18" s="6"/>
      <c r="JXQ18" s="6"/>
      <c r="JXR18" s="6"/>
      <c r="JXS18" s="6"/>
      <c r="JXT18" s="6"/>
      <c r="JXU18" s="6"/>
      <c r="JXV18" s="6"/>
      <c r="JXW18" s="6"/>
      <c r="JXX18" s="7"/>
      <c r="JXY18" s="457" t="s">
        <v>14257</v>
      </c>
      <c r="JXZ18" s="6"/>
      <c r="JYA18" s="6"/>
      <c r="JYB18" s="6"/>
      <c r="JYC18" s="6"/>
      <c r="JYD18" s="6"/>
      <c r="JYE18" s="6"/>
      <c r="JYF18" s="6"/>
      <c r="JYG18" s="6"/>
      <c r="JYH18" s="6"/>
      <c r="JYI18" s="6"/>
      <c r="JYJ18" s="6"/>
      <c r="JYK18" s="6"/>
      <c r="JYL18" s="6"/>
      <c r="JYM18" s="6"/>
      <c r="JYN18" s="7"/>
      <c r="JYO18" s="457" t="s">
        <v>14257</v>
      </c>
      <c r="JYP18" s="6"/>
      <c r="JYQ18" s="6"/>
      <c r="JYR18" s="6"/>
      <c r="JYS18" s="6"/>
      <c r="JYT18" s="6"/>
      <c r="JYU18" s="6"/>
      <c r="JYV18" s="6"/>
      <c r="JYW18" s="6"/>
      <c r="JYX18" s="6"/>
      <c r="JYY18" s="6"/>
      <c r="JYZ18" s="6"/>
      <c r="JZA18" s="6"/>
      <c r="JZB18" s="6"/>
      <c r="JZC18" s="6"/>
      <c r="JZD18" s="7"/>
      <c r="JZE18" s="457" t="s">
        <v>14257</v>
      </c>
      <c r="JZF18" s="6"/>
      <c r="JZG18" s="6"/>
      <c r="JZH18" s="6"/>
      <c r="JZI18" s="6"/>
      <c r="JZJ18" s="6"/>
      <c r="JZK18" s="6"/>
      <c r="JZL18" s="6"/>
      <c r="JZM18" s="6"/>
      <c r="JZN18" s="6"/>
      <c r="JZO18" s="6"/>
      <c r="JZP18" s="6"/>
      <c r="JZQ18" s="6"/>
      <c r="JZR18" s="6"/>
      <c r="JZS18" s="6"/>
      <c r="JZT18" s="7"/>
      <c r="JZU18" s="457" t="s">
        <v>14257</v>
      </c>
      <c r="JZV18" s="6"/>
      <c r="JZW18" s="6"/>
      <c r="JZX18" s="6"/>
      <c r="JZY18" s="6"/>
      <c r="JZZ18" s="6"/>
      <c r="KAA18" s="6"/>
      <c r="KAB18" s="6"/>
      <c r="KAC18" s="6"/>
      <c r="KAD18" s="6"/>
      <c r="KAE18" s="6"/>
      <c r="KAF18" s="6"/>
      <c r="KAG18" s="6"/>
      <c r="KAH18" s="6"/>
      <c r="KAI18" s="6"/>
      <c r="KAJ18" s="7"/>
      <c r="KAK18" s="457" t="s">
        <v>14257</v>
      </c>
      <c r="KAL18" s="6"/>
      <c r="KAM18" s="6"/>
      <c r="KAN18" s="6"/>
      <c r="KAO18" s="6"/>
      <c r="KAP18" s="6"/>
      <c r="KAQ18" s="6"/>
      <c r="KAR18" s="6"/>
      <c r="KAS18" s="6"/>
      <c r="KAT18" s="6"/>
      <c r="KAU18" s="6"/>
      <c r="KAV18" s="6"/>
      <c r="KAW18" s="6"/>
      <c r="KAX18" s="6"/>
      <c r="KAY18" s="6"/>
      <c r="KAZ18" s="7"/>
      <c r="KBA18" s="457" t="s">
        <v>14257</v>
      </c>
      <c r="KBB18" s="6"/>
      <c r="KBC18" s="6"/>
      <c r="KBD18" s="6"/>
      <c r="KBE18" s="6"/>
      <c r="KBF18" s="6"/>
      <c r="KBG18" s="6"/>
      <c r="KBH18" s="6"/>
      <c r="KBI18" s="6"/>
      <c r="KBJ18" s="6"/>
      <c r="KBK18" s="6"/>
      <c r="KBL18" s="6"/>
      <c r="KBM18" s="6"/>
      <c r="KBN18" s="6"/>
      <c r="KBO18" s="6"/>
      <c r="KBP18" s="7"/>
      <c r="KBQ18" s="457" t="s">
        <v>14257</v>
      </c>
      <c r="KBR18" s="6"/>
      <c r="KBS18" s="6"/>
      <c r="KBT18" s="6"/>
      <c r="KBU18" s="6"/>
      <c r="KBV18" s="6"/>
      <c r="KBW18" s="6"/>
      <c r="KBX18" s="6"/>
      <c r="KBY18" s="6"/>
      <c r="KBZ18" s="6"/>
      <c r="KCA18" s="6"/>
      <c r="KCB18" s="6"/>
      <c r="KCC18" s="6"/>
      <c r="KCD18" s="6"/>
      <c r="KCE18" s="6"/>
      <c r="KCF18" s="7"/>
      <c r="KCG18" s="457" t="s">
        <v>14257</v>
      </c>
      <c r="KCH18" s="6"/>
      <c r="KCI18" s="6"/>
      <c r="KCJ18" s="6"/>
      <c r="KCK18" s="6"/>
      <c r="KCL18" s="6"/>
      <c r="KCM18" s="6"/>
      <c r="KCN18" s="6"/>
      <c r="KCO18" s="6"/>
      <c r="KCP18" s="6"/>
      <c r="KCQ18" s="6"/>
      <c r="KCR18" s="6"/>
      <c r="KCS18" s="6"/>
      <c r="KCT18" s="6"/>
      <c r="KCU18" s="6"/>
      <c r="KCV18" s="7"/>
      <c r="KCW18" s="457" t="s">
        <v>14257</v>
      </c>
      <c r="KCX18" s="6"/>
      <c r="KCY18" s="6"/>
      <c r="KCZ18" s="6"/>
      <c r="KDA18" s="6"/>
      <c r="KDB18" s="6"/>
      <c r="KDC18" s="6"/>
      <c r="KDD18" s="6"/>
      <c r="KDE18" s="6"/>
      <c r="KDF18" s="6"/>
      <c r="KDG18" s="6"/>
      <c r="KDH18" s="6"/>
      <c r="KDI18" s="6"/>
      <c r="KDJ18" s="6"/>
      <c r="KDK18" s="6"/>
      <c r="KDL18" s="7"/>
      <c r="KDM18" s="457" t="s">
        <v>14257</v>
      </c>
      <c r="KDN18" s="6"/>
      <c r="KDO18" s="6"/>
      <c r="KDP18" s="6"/>
      <c r="KDQ18" s="6"/>
      <c r="KDR18" s="6"/>
      <c r="KDS18" s="6"/>
      <c r="KDT18" s="6"/>
      <c r="KDU18" s="6"/>
      <c r="KDV18" s="6"/>
      <c r="KDW18" s="6"/>
      <c r="KDX18" s="6"/>
      <c r="KDY18" s="6"/>
      <c r="KDZ18" s="6"/>
      <c r="KEA18" s="6"/>
      <c r="KEB18" s="7"/>
      <c r="KEC18" s="457" t="s">
        <v>14257</v>
      </c>
      <c r="KED18" s="6"/>
      <c r="KEE18" s="6"/>
      <c r="KEF18" s="6"/>
      <c r="KEG18" s="6"/>
      <c r="KEH18" s="6"/>
      <c r="KEI18" s="6"/>
      <c r="KEJ18" s="6"/>
      <c r="KEK18" s="6"/>
      <c r="KEL18" s="6"/>
      <c r="KEM18" s="6"/>
      <c r="KEN18" s="6"/>
      <c r="KEO18" s="6"/>
      <c r="KEP18" s="6"/>
      <c r="KEQ18" s="6"/>
      <c r="KER18" s="7"/>
      <c r="KES18" s="457" t="s">
        <v>14257</v>
      </c>
      <c r="KET18" s="6"/>
      <c r="KEU18" s="6"/>
      <c r="KEV18" s="6"/>
      <c r="KEW18" s="6"/>
      <c r="KEX18" s="6"/>
      <c r="KEY18" s="6"/>
      <c r="KEZ18" s="6"/>
      <c r="KFA18" s="6"/>
      <c r="KFB18" s="6"/>
      <c r="KFC18" s="6"/>
      <c r="KFD18" s="6"/>
      <c r="KFE18" s="6"/>
      <c r="KFF18" s="6"/>
      <c r="KFG18" s="6"/>
      <c r="KFH18" s="7"/>
      <c r="KFI18" s="457" t="s">
        <v>14257</v>
      </c>
      <c r="KFJ18" s="6"/>
      <c r="KFK18" s="6"/>
      <c r="KFL18" s="6"/>
      <c r="KFM18" s="6"/>
      <c r="KFN18" s="6"/>
      <c r="KFO18" s="6"/>
      <c r="KFP18" s="6"/>
      <c r="KFQ18" s="6"/>
      <c r="KFR18" s="6"/>
      <c r="KFS18" s="6"/>
      <c r="KFT18" s="6"/>
      <c r="KFU18" s="6"/>
      <c r="KFV18" s="6"/>
      <c r="KFW18" s="6"/>
      <c r="KFX18" s="7"/>
      <c r="KFY18" s="457" t="s">
        <v>14257</v>
      </c>
      <c r="KFZ18" s="6"/>
      <c r="KGA18" s="6"/>
      <c r="KGB18" s="6"/>
      <c r="KGC18" s="6"/>
      <c r="KGD18" s="6"/>
      <c r="KGE18" s="6"/>
      <c r="KGF18" s="6"/>
      <c r="KGG18" s="6"/>
      <c r="KGH18" s="6"/>
      <c r="KGI18" s="6"/>
      <c r="KGJ18" s="6"/>
      <c r="KGK18" s="6"/>
      <c r="KGL18" s="6"/>
      <c r="KGM18" s="6"/>
      <c r="KGN18" s="7"/>
      <c r="KGO18" s="457" t="s">
        <v>14257</v>
      </c>
      <c r="KGP18" s="6"/>
      <c r="KGQ18" s="6"/>
      <c r="KGR18" s="6"/>
      <c r="KGS18" s="6"/>
      <c r="KGT18" s="6"/>
      <c r="KGU18" s="6"/>
      <c r="KGV18" s="6"/>
      <c r="KGW18" s="6"/>
      <c r="KGX18" s="6"/>
      <c r="KGY18" s="6"/>
      <c r="KGZ18" s="6"/>
      <c r="KHA18" s="6"/>
      <c r="KHB18" s="6"/>
      <c r="KHC18" s="6"/>
      <c r="KHD18" s="7"/>
      <c r="KHE18" s="457" t="s">
        <v>14257</v>
      </c>
      <c r="KHF18" s="6"/>
      <c r="KHG18" s="6"/>
      <c r="KHH18" s="6"/>
      <c r="KHI18" s="6"/>
      <c r="KHJ18" s="6"/>
      <c r="KHK18" s="6"/>
      <c r="KHL18" s="6"/>
      <c r="KHM18" s="6"/>
      <c r="KHN18" s="6"/>
      <c r="KHO18" s="6"/>
      <c r="KHP18" s="6"/>
      <c r="KHQ18" s="6"/>
      <c r="KHR18" s="6"/>
      <c r="KHS18" s="6"/>
      <c r="KHT18" s="7"/>
      <c r="KHU18" s="457" t="s">
        <v>14257</v>
      </c>
      <c r="KHV18" s="6"/>
      <c r="KHW18" s="6"/>
      <c r="KHX18" s="6"/>
      <c r="KHY18" s="6"/>
      <c r="KHZ18" s="6"/>
      <c r="KIA18" s="6"/>
      <c r="KIB18" s="6"/>
      <c r="KIC18" s="6"/>
      <c r="KID18" s="6"/>
      <c r="KIE18" s="6"/>
      <c r="KIF18" s="6"/>
      <c r="KIG18" s="6"/>
      <c r="KIH18" s="6"/>
      <c r="KII18" s="6"/>
      <c r="KIJ18" s="7"/>
      <c r="KIK18" s="457" t="s">
        <v>14257</v>
      </c>
      <c r="KIL18" s="6"/>
      <c r="KIM18" s="6"/>
      <c r="KIN18" s="6"/>
      <c r="KIO18" s="6"/>
      <c r="KIP18" s="6"/>
      <c r="KIQ18" s="6"/>
      <c r="KIR18" s="6"/>
      <c r="KIS18" s="6"/>
      <c r="KIT18" s="6"/>
      <c r="KIU18" s="6"/>
      <c r="KIV18" s="6"/>
      <c r="KIW18" s="6"/>
      <c r="KIX18" s="6"/>
      <c r="KIY18" s="6"/>
      <c r="KIZ18" s="7"/>
      <c r="KJA18" s="457" t="s">
        <v>14257</v>
      </c>
      <c r="KJB18" s="6"/>
      <c r="KJC18" s="6"/>
      <c r="KJD18" s="6"/>
      <c r="KJE18" s="6"/>
      <c r="KJF18" s="6"/>
      <c r="KJG18" s="6"/>
      <c r="KJH18" s="6"/>
      <c r="KJI18" s="6"/>
      <c r="KJJ18" s="6"/>
      <c r="KJK18" s="6"/>
      <c r="KJL18" s="6"/>
      <c r="KJM18" s="6"/>
      <c r="KJN18" s="6"/>
      <c r="KJO18" s="6"/>
      <c r="KJP18" s="7"/>
      <c r="KJQ18" s="457" t="s">
        <v>14257</v>
      </c>
      <c r="KJR18" s="6"/>
      <c r="KJS18" s="6"/>
      <c r="KJT18" s="6"/>
      <c r="KJU18" s="6"/>
      <c r="KJV18" s="6"/>
      <c r="KJW18" s="6"/>
      <c r="KJX18" s="6"/>
      <c r="KJY18" s="6"/>
      <c r="KJZ18" s="6"/>
      <c r="KKA18" s="6"/>
      <c r="KKB18" s="6"/>
      <c r="KKC18" s="6"/>
      <c r="KKD18" s="6"/>
      <c r="KKE18" s="6"/>
      <c r="KKF18" s="7"/>
      <c r="KKG18" s="457" t="s">
        <v>14257</v>
      </c>
      <c r="KKH18" s="6"/>
      <c r="KKI18" s="6"/>
      <c r="KKJ18" s="6"/>
      <c r="KKK18" s="6"/>
      <c r="KKL18" s="6"/>
      <c r="KKM18" s="6"/>
      <c r="KKN18" s="6"/>
      <c r="KKO18" s="6"/>
      <c r="KKP18" s="6"/>
      <c r="KKQ18" s="6"/>
      <c r="KKR18" s="6"/>
      <c r="KKS18" s="6"/>
      <c r="KKT18" s="6"/>
      <c r="KKU18" s="6"/>
      <c r="KKV18" s="7"/>
      <c r="KKW18" s="457" t="s">
        <v>14257</v>
      </c>
      <c r="KKX18" s="6"/>
      <c r="KKY18" s="6"/>
      <c r="KKZ18" s="6"/>
      <c r="KLA18" s="6"/>
      <c r="KLB18" s="6"/>
      <c r="KLC18" s="6"/>
      <c r="KLD18" s="6"/>
      <c r="KLE18" s="6"/>
      <c r="KLF18" s="6"/>
      <c r="KLG18" s="6"/>
      <c r="KLH18" s="6"/>
      <c r="KLI18" s="6"/>
      <c r="KLJ18" s="6"/>
      <c r="KLK18" s="6"/>
      <c r="KLL18" s="7"/>
      <c r="KLM18" s="457" t="s">
        <v>14257</v>
      </c>
      <c r="KLN18" s="6"/>
      <c r="KLO18" s="6"/>
      <c r="KLP18" s="6"/>
      <c r="KLQ18" s="6"/>
      <c r="KLR18" s="6"/>
      <c r="KLS18" s="6"/>
      <c r="KLT18" s="6"/>
      <c r="KLU18" s="6"/>
      <c r="KLV18" s="6"/>
      <c r="KLW18" s="6"/>
      <c r="KLX18" s="6"/>
      <c r="KLY18" s="6"/>
      <c r="KLZ18" s="6"/>
      <c r="KMA18" s="6"/>
      <c r="KMB18" s="7"/>
      <c r="KMC18" s="457" t="s">
        <v>14257</v>
      </c>
      <c r="KMD18" s="6"/>
      <c r="KME18" s="6"/>
      <c r="KMF18" s="6"/>
      <c r="KMG18" s="6"/>
      <c r="KMH18" s="6"/>
      <c r="KMI18" s="6"/>
      <c r="KMJ18" s="6"/>
      <c r="KMK18" s="6"/>
      <c r="KML18" s="6"/>
      <c r="KMM18" s="6"/>
      <c r="KMN18" s="6"/>
      <c r="KMO18" s="6"/>
      <c r="KMP18" s="6"/>
      <c r="KMQ18" s="6"/>
      <c r="KMR18" s="7"/>
      <c r="KMS18" s="457" t="s">
        <v>14257</v>
      </c>
      <c r="KMT18" s="6"/>
      <c r="KMU18" s="6"/>
      <c r="KMV18" s="6"/>
      <c r="KMW18" s="6"/>
      <c r="KMX18" s="6"/>
      <c r="KMY18" s="6"/>
      <c r="KMZ18" s="6"/>
      <c r="KNA18" s="6"/>
      <c r="KNB18" s="6"/>
      <c r="KNC18" s="6"/>
      <c r="KND18" s="6"/>
      <c r="KNE18" s="6"/>
      <c r="KNF18" s="6"/>
      <c r="KNG18" s="6"/>
      <c r="KNH18" s="7"/>
      <c r="KNI18" s="457" t="s">
        <v>14257</v>
      </c>
      <c r="KNJ18" s="6"/>
      <c r="KNK18" s="6"/>
      <c r="KNL18" s="6"/>
      <c r="KNM18" s="6"/>
      <c r="KNN18" s="6"/>
      <c r="KNO18" s="6"/>
      <c r="KNP18" s="6"/>
      <c r="KNQ18" s="6"/>
      <c r="KNR18" s="6"/>
      <c r="KNS18" s="6"/>
      <c r="KNT18" s="6"/>
      <c r="KNU18" s="6"/>
      <c r="KNV18" s="6"/>
      <c r="KNW18" s="6"/>
      <c r="KNX18" s="7"/>
      <c r="KNY18" s="457" t="s">
        <v>14257</v>
      </c>
      <c r="KNZ18" s="6"/>
      <c r="KOA18" s="6"/>
      <c r="KOB18" s="6"/>
      <c r="KOC18" s="6"/>
      <c r="KOD18" s="6"/>
      <c r="KOE18" s="6"/>
      <c r="KOF18" s="6"/>
      <c r="KOG18" s="6"/>
      <c r="KOH18" s="6"/>
      <c r="KOI18" s="6"/>
      <c r="KOJ18" s="6"/>
      <c r="KOK18" s="6"/>
      <c r="KOL18" s="6"/>
      <c r="KOM18" s="6"/>
      <c r="KON18" s="7"/>
      <c r="KOO18" s="457" t="s">
        <v>14257</v>
      </c>
      <c r="KOP18" s="6"/>
      <c r="KOQ18" s="6"/>
      <c r="KOR18" s="6"/>
      <c r="KOS18" s="6"/>
      <c r="KOT18" s="6"/>
      <c r="KOU18" s="6"/>
      <c r="KOV18" s="6"/>
      <c r="KOW18" s="6"/>
      <c r="KOX18" s="6"/>
      <c r="KOY18" s="6"/>
      <c r="KOZ18" s="6"/>
      <c r="KPA18" s="6"/>
      <c r="KPB18" s="6"/>
      <c r="KPC18" s="6"/>
      <c r="KPD18" s="7"/>
      <c r="KPE18" s="457" t="s">
        <v>14257</v>
      </c>
      <c r="KPF18" s="6"/>
      <c r="KPG18" s="6"/>
      <c r="KPH18" s="6"/>
      <c r="KPI18" s="6"/>
      <c r="KPJ18" s="6"/>
      <c r="KPK18" s="6"/>
      <c r="KPL18" s="6"/>
      <c r="KPM18" s="6"/>
      <c r="KPN18" s="6"/>
      <c r="KPO18" s="6"/>
      <c r="KPP18" s="6"/>
      <c r="KPQ18" s="6"/>
      <c r="KPR18" s="6"/>
      <c r="KPS18" s="6"/>
      <c r="KPT18" s="7"/>
      <c r="KPU18" s="457" t="s">
        <v>14257</v>
      </c>
      <c r="KPV18" s="6"/>
      <c r="KPW18" s="6"/>
      <c r="KPX18" s="6"/>
      <c r="KPY18" s="6"/>
      <c r="KPZ18" s="6"/>
      <c r="KQA18" s="6"/>
      <c r="KQB18" s="6"/>
      <c r="KQC18" s="6"/>
      <c r="KQD18" s="6"/>
      <c r="KQE18" s="6"/>
      <c r="KQF18" s="6"/>
      <c r="KQG18" s="6"/>
      <c r="KQH18" s="6"/>
      <c r="KQI18" s="6"/>
      <c r="KQJ18" s="7"/>
      <c r="KQK18" s="457" t="s">
        <v>14257</v>
      </c>
      <c r="KQL18" s="6"/>
      <c r="KQM18" s="6"/>
      <c r="KQN18" s="6"/>
      <c r="KQO18" s="6"/>
      <c r="KQP18" s="6"/>
      <c r="KQQ18" s="6"/>
      <c r="KQR18" s="6"/>
      <c r="KQS18" s="6"/>
      <c r="KQT18" s="6"/>
      <c r="KQU18" s="6"/>
      <c r="KQV18" s="6"/>
      <c r="KQW18" s="6"/>
      <c r="KQX18" s="6"/>
      <c r="KQY18" s="6"/>
      <c r="KQZ18" s="7"/>
      <c r="KRA18" s="457" t="s">
        <v>14257</v>
      </c>
      <c r="KRB18" s="6"/>
      <c r="KRC18" s="6"/>
      <c r="KRD18" s="6"/>
      <c r="KRE18" s="6"/>
      <c r="KRF18" s="6"/>
      <c r="KRG18" s="6"/>
      <c r="KRH18" s="6"/>
      <c r="KRI18" s="6"/>
      <c r="KRJ18" s="6"/>
      <c r="KRK18" s="6"/>
      <c r="KRL18" s="6"/>
      <c r="KRM18" s="6"/>
      <c r="KRN18" s="6"/>
      <c r="KRO18" s="6"/>
      <c r="KRP18" s="7"/>
      <c r="KRQ18" s="457" t="s">
        <v>14257</v>
      </c>
      <c r="KRR18" s="6"/>
      <c r="KRS18" s="6"/>
      <c r="KRT18" s="6"/>
      <c r="KRU18" s="6"/>
      <c r="KRV18" s="6"/>
      <c r="KRW18" s="6"/>
      <c r="KRX18" s="6"/>
      <c r="KRY18" s="6"/>
      <c r="KRZ18" s="6"/>
      <c r="KSA18" s="6"/>
      <c r="KSB18" s="6"/>
      <c r="KSC18" s="6"/>
      <c r="KSD18" s="6"/>
      <c r="KSE18" s="6"/>
      <c r="KSF18" s="7"/>
      <c r="KSG18" s="457" t="s">
        <v>14257</v>
      </c>
      <c r="KSH18" s="6"/>
      <c r="KSI18" s="6"/>
      <c r="KSJ18" s="6"/>
      <c r="KSK18" s="6"/>
      <c r="KSL18" s="6"/>
      <c r="KSM18" s="6"/>
      <c r="KSN18" s="6"/>
      <c r="KSO18" s="6"/>
      <c r="KSP18" s="6"/>
      <c r="KSQ18" s="6"/>
      <c r="KSR18" s="6"/>
      <c r="KSS18" s="6"/>
      <c r="KST18" s="6"/>
      <c r="KSU18" s="6"/>
      <c r="KSV18" s="7"/>
      <c r="KSW18" s="457" t="s">
        <v>14257</v>
      </c>
      <c r="KSX18" s="6"/>
      <c r="KSY18" s="6"/>
      <c r="KSZ18" s="6"/>
      <c r="KTA18" s="6"/>
      <c r="KTB18" s="6"/>
      <c r="KTC18" s="6"/>
      <c r="KTD18" s="6"/>
      <c r="KTE18" s="6"/>
      <c r="KTF18" s="6"/>
      <c r="KTG18" s="6"/>
      <c r="KTH18" s="6"/>
      <c r="KTI18" s="6"/>
      <c r="KTJ18" s="6"/>
      <c r="KTK18" s="6"/>
      <c r="KTL18" s="7"/>
      <c r="KTM18" s="457" t="s">
        <v>14257</v>
      </c>
      <c r="KTN18" s="6"/>
      <c r="KTO18" s="6"/>
      <c r="KTP18" s="6"/>
      <c r="KTQ18" s="6"/>
      <c r="KTR18" s="6"/>
      <c r="KTS18" s="6"/>
      <c r="KTT18" s="6"/>
      <c r="KTU18" s="6"/>
      <c r="KTV18" s="6"/>
      <c r="KTW18" s="6"/>
      <c r="KTX18" s="6"/>
      <c r="KTY18" s="6"/>
      <c r="KTZ18" s="6"/>
      <c r="KUA18" s="6"/>
      <c r="KUB18" s="7"/>
      <c r="KUC18" s="457" t="s">
        <v>14257</v>
      </c>
      <c r="KUD18" s="6"/>
      <c r="KUE18" s="6"/>
      <c r="KUF18" s="6"/>
      <c r="KUG18" s="6"/>
      <c r="KUH18" s="6"/>
      <c r="KUI18" s="6"/>
      <c r="KUJ18" s="6"/>
      <c r="KUK18" s="6"/>
      <c r="KUL18" s="6"/>
      <c r="KUM18" s="6"/>
      <c r="KUN18" s="6"/>
      <c r="KUO18" s="6"/>
      <c r="KUP18" s="6"/>
      <c r="KUQ18" s="6"/>
      <c r="KUR18" s="7"/>
      <c r="KUS18" s="457" t="s">
        <v>14257</v>
      </c>
      <c r="KUT18" s="6"/>
      <c r="KUU18" s="6"/>
      <c r="KUV18" s="6"/>
      <c r="KUW18" s="6"/>
      <c r="KUX18" s="6"/>
      <c r="KUY18" s="6"/>
      <c r="KUZ18" s="6"/>
      <c r="KVA18" s="6"/>
      <c r="KVB18" s="6"/>
      <c r="KVC18" s="6"/>
      <c r="KVD18" s="6"/>
      <c r="KVE18" s="6"/>
      <c r="KVF18" s="6"/>
      <c r="KVG18" s="6"/>
      <c r="KVH18" s="7"/>
      <c r="KVI18" s="457" t="s">
        <v>14257</v>
      </c>
      <c r="KVJ18" s="6"/>
      <c r="KVK18" s="6"/>
      <c r="KVL18" s="6"/>
      <c r="KVM18" s="6"/>
      <c r="KVN18" s="6"/>
      <c r="KVO18" s="6"/>
      <c r="KVP18" s="6"/>
      <c r="KVQ18" s="6"/>
      <c r="KVR18" s="6"/>
      <c r="KVS18" s="6"/>
      <c r="KVT18" s="6"/>
      <c r="KVU18" s="6"/>
      <c r="KVV18" s="6"/>
      <c r="KVW18" s="6"/>
      <c r="KVX18" s="7"/>
      <c r="KVY18" s="457" t="s">
        <v>14257</v>
      </c>
      <c r="KVZ18" s="6"/>
      <c r="KWA18" s="6"/>
      <c r="KWB18" s="6"/>
      <c r="KWC18" s="6"/>
      <c r="KWD18" s="6"/>
      <c r="KWE18" s="6"/>
      <c r="KWF18" s="6"/>
      <c r="KWG18" s="6"/>
      <c r="KWH18" s="6"/>
      <c r="KWI18" s="6"/>
      <c r="KWJ18" s="6"/>
      <c r="KWK18" s="6"/>
      <c r="KWL18" s="6"/>
      <c r="KWM18" s="6"/>
      <c r="KWN18" s="7"/>
      <c r="KWO18" s="457" t="s">
        <v>14257</v>
      </c>
      <c r="KWP18" s="6"/>
      <c r="KWQ18" s="6"/>
      <c r="KWR18" s="6"/>
      <c r="KWS18" s="6"/>
      <c r="KWT18" s="6"/>
      <c r="KWU18" s="6"/>
      <c r="KWV18" s="6"/>
      <c r="KWW18" s="6"/>
      <c r="KWX18" s="6"/>
      <c r="KWY18" s="6"/>
      <c r="KWZ18" s="6"/>
      <c r="KXA18" s="6"/>
      <c r="KXB18" s="6"/>
      <c r="KXC18" s="6"/>
      <c r="KXD18" s="7"/>
      <c r="KXE18" s="457" t="s">
        <v>14257</v>
      </c>
      <c r="KXF18" s="6"/>
      <c r="KXG18" s="6"/>
      <c r="KXH18" s="6"/>
      <c r="KXI18" s="6"/>
      <c r="KXJ18" s="6"/>
      <c r="KXK18" s="6"/>
      <c r="KXL18" s="6"/>
      <c r="KXM18" s="6"/>
      <c r="KXN18" s="6"/>
      <c r="KXO18" s="6"/>
      <c r="KXP18" s="6"/>
      <c r="KXQ18" s="6"/>
      <c r="KXR18" s="6"/>
      <c r="KXS18" s="6"/>
      <c r="KXT18" s="7"/>
      <c r="KXU18" s="457" t="s">
        <v>14257</v>
      </c>
      <c r="KXV18" s="6"/>
      <c r="KXW18" s="6"/>
      <c r="KXX18" s="6"/>
      <c r="KXY18" s="6"/>
      <c r="KXZ18" s="6"/>
      <c r="KYA18" s="6"/>
      <c r="KYB18" s="6"/>
      <c r="KYC18" s="6"/>
      <c r="KYD18" s="6"/>
      <c r="KYE18" s="6"/>
      <c r="KYF18" s="6"/>
      <c r="KYG18" s="6"/>
      <c r="KYH18" s="6"/>
      <c r="KYI18" s="6"/>
      <c r="KYJ18" s="7"/>
      <c r="KYK18" s="457" t="s">
        <v>14257</v>
      </c>
      <c r="KYL18" s="6"/>
      <c r="KYM18" s="6"/>
      <c r="KYN18" s="6"/>
      <c r="KYO18" s="6"/>
      <c r="KYP18" s="6"/>
      <c r="KYQ18" s="6"/>
      <c r="KYR18" s="6"/>
      <c r="KYS18" s="6"/>
      <c r="KYT18" s="6"/>
      <c r="KYU18" s="6"/>
      <c r="KYV18" s="6"/>
      <c r="KYW18" s="6"/>
      <c r="KYX18" s="6"/>
      <c r="KYY18" s="6"/>
      <c r="KYZ18" s="7"/>
      <c r="KZA18" s="457" t="s">
        <v>14257</v>
      </c>
      <c r="KZB18" s="6"/>
      <c r="KZC18" s="6"/>
      <c r="KZD18" s="6"/>
      <c r="KZE18" s="6"/>
      <c r="KZF18" s="6"/>
      <c r="KZG18" s="6"/>
      <c r="KZH18" s="6"/>
      <c r="KZI18" s="6"/>
      <c r="KZJ18" s="6"/>
      <c r="KZK18" s="6"/>
      <c r="KZL18" s="6"/>
      <c r="KZM18" s="6"/>
      <c r="KZN18" s="6"/>
      <c r="KZO18" s="6"/>
      <c r="KZP18" s="7"/>
      <c r="KZQ18" s="457" t="s">
        <v>14257</v>
      </c>
      <c r="KZR18" s="6"/>
      <c r="KZS18" s="6"/>
      <c r="KZT18" s="6"/>
      <c r="KZU18" s="6"/>
      <c r="KZV18" s="6"/>
      <c r="KZW18" s="6"/>
      <c r="KZX18" s="6"/>
      <c r="KZY18" s="6"/>
      <c r="KZZ18" s="6"/>
      <c r="LAA18" s="6"/>
      <c r="LAB18" s="6"/>
      <c r="LAC18" s="6"/>
      <c r="LAD18" s="6"/>
      <c r="LAE18" s="6"/>
      <c r="LAF18" s="7"/>
      <c r="LAG18" s="457" t="s">
        <v>14257</v>
      </c>
      <c r="LAH18" s="6"/>
      <c r="LAI18" s="6"/>
      <c r="LAJ18" s="6"/>
      <c r="LAK18" s="6"/>
      <c r="LAL18" s="6"/>
      <c r="LAM18" s="6"/>
      <c r="LAN18" s="6"/>
      <c r="LAO18" s="6"/>
      <c r="LAP18" s="6"/>
      <c r="LAQ18" s="6"/>
      <c r="LAR18" s="6"/>
      <c r="LAS18" s="6"/>
      <c r="LAT18" s="6"/>
      <c r="LAU18" s="6"/>
      <c r="LAV18" s="7"/>
      <c r="LAW18" s="457" t="s">
        <v>14257</v>
      </c>
      <c r="LAX18" s="6"/>
      <c r="LAY18" s="6"/>
      <c r="LAZ18" s="6"/>
      <c r="LBA18" s="6"/>
      <c r="LBB18" s="6"/>
      <c r="LBC18" s="6"/>
      <c r="LBD18" s="6"/>
      <c r="LBE18" s="6"/>
      <c r="LBF18" s="6"/>
      <c r="LBG18" s="6"/>
      <c r="LBH18" s="6"/>
      <c r="LBI18" s="6"/>
      <c r="LBJ18" s="6"/>
      <c r="LBK18" s="6"/>
      <c r="LBL18" s="7"/>
      <c r="LBM18" s="457" t="s">
        <v>14257</v>
      </c>
      <c r="LBN18" s="6"/>
      <c r="LBO18" s="6"/>
      <c r="LBP18" s="6"/>
      <c r="LBQ18" s="6"/>
      <c r="LBR18" s="6"/>
      <c r="LBS18" s="6"/>
      <c r="LBT18" s="6"/>
      <c r="LBU18" s="6"/>
      <c r="LBV18" s="6"/>
      <c r="LBW18" s="6"/>
      <c r="LBX18" s="6"/>
      <c r="LBY18" s="6"/>
      <c r="LBZ18" s="6"/>
      <c r="LCA18" s="6"/>
      <c r="LCB18" s="7"/>
      <c r="LCC18" s="457" t="s">
        <v>14257</v>
      </c>
      <c r="LCD18" s="6"/>
      <c r="LCE18" s="6"/>
      <c r="LCF18" s="6"/>
      <c r="LCG18" s="6"/>
      <c r="LCH18" s="6"/>
      <c r="LCI18" s="6"/>
      <c r="LCJ18" s="6"/>
      <c r="LCK18" s="6"/>
      <c r="LCL18" s="6"/>
      <c r="LCM18" s="6"/>
      <c r="LCN18" s="6"/>
      <c r="LCO18" s="6"/>
      <c r="LCP18" s="6"/>
      <c r="LCQ18" s="6"/>
      <c r="LCR18" s="7"/>
      <c r="LCS18" s="457" t="s">
        <v>14257</v>
      </c>
      <c r="LCT18" s="6"/>
      <c r="LCU18" s="6"/>
      <c r="LCV18" s="6"/>
      <c r="LCW18" s="6"/>
      <c r="LCX18" s="6"/>
      <c r="LCY18" s="6"/>
      <c r="LCZ18" s="6"/>
      <c r="LDA18" s="6"/>
      <c r="LDB18" s="6"/>
      <c r="LDC18" s="6"/>
      <c r="LDD18" s="6"/>
      <c r="LDE18" s="6"/>
      <c r="LDF18" s="6"/>
      <c r="LDG18" s="6"/>
      <c r="LDH18" s="7"/>
      <c r="LDI18" s="457" t="s">
        <v>14257</v>
      </c>
      <c r="LDJ18" s="6"/>
      <c r="LDK18" s="6"/>
      <c r="LDL18" s="6"/>
      <c r="LDM18" s="6"/>
      <c r="LDN18" s="6"/>
      <c r="LDO18" s="6"/>
      <c r="LDP18" s="6"/>
      <c r="LDQ18" s="6"/>
      <c r="LDR18" s="6"/>
      <c r="LDS18" s="6"/>
      <c r="LDT18" s="6"/>
      <c r="LDU18" s="6"/>
      <c r="LDV18" s="6"/>
      <c r="LDW18" s="6"/>
      <c r="LDX18" s="7"/>
      <c r="LDY18" s="457" t="s">
        <v>14257</v>
      </c>
      <c r="LDZ18" s="6"/>
      <c r="LEA18" s="6"/>
      <c r="LEB18" s="6"/>
      <c r="LEC18" s="6"/>
      <c r="LED18" s="6"/>
      <c r="LEE18" s="6"/>
      <c r="LEF18" s="6"/>
      <c r="LEG18" s="6"/>
      <c r="LEH18" s="6"/>
      <c r="LEI18" s="6"/>
      <c r="LEJ18" s="6"/>
      <c r="LEK18" s="6"/>
      <c r="LEL18" s="6"/>
      <c r="LEM18" s="6"/>
      <c r="LEN18" s="7"/>
      <c r="LEO18" s="457" t="s">
        <v>14257</v>
      </c>
      <c r="LEP18" s="6"/>
      <c r="LEQ18" s="6"/>
      <c r="LER18" s="6"/>
      <c r="LES18" s="6"/>
      <c r="LET18" s="6"/>
      <c r="LEU18" s="6"/>
      <c r="LEV18" s="6"/>
      <c r="LEW18" s="6"/>
      <c r="LEX18" s="6"/>
      <c r="LEY18" s="6"/>
      <c r="LEZ18" s="6"/>
      <c r="LFA18" s="6"/>
      <c r="LFB18" s="6"/>
      <c r="LFC18" s="6"/>
      <c r="LFD18" s="7"/>
      <c r="LFE18" s="457" t="s">
        <v>14257</v>
      </c>
      <c r="LFF18" s="6"/>
      <c r="LFG18" s="6"/>
      <c r="LFH18" s="6"/>
      <c r="LFI18" s="6"/>
      <c r="LFJ18" s="6"/>
      <c r="LFK18" s="6"/>
      <c r="LFL18" s="6"/>
      <c r="LFM18" s="6"/>
      <c r="LFN18" s="6"/>
      <c r="LFO18" s="6"/>
      <c r="LFP18" s="6"/>
      <c r="LFQ18" s="6"/>
      <c r="LFR18" s="6"/>
      <c r="LFS18" s="6"/>
      <c r="LFT18" s="7"/>
      <c r="LFU18" s="457" t="s">
        <v>14257</v>
      </c>
      <c r="LFV18" s="6"/>
      <c r="LFW18" s="6"/>
      <c r="LFX18" s="6"/>
      <c r="LFY18" s="6"/>
      <c r="LFZ18" s="6"/>
      <c r="LGA18" s="6"/>
      <c r="LGB18" s="6"/>
      <c r="LGC18" s="6"/>
      <c r="LGD18" s="6"/>
      <c r="LGE18" s="6"/>
      <c r="LGF18" s="6"/>
      <c r="LGG18" s="6"/>
      <c r="LGH18" s="6"/>
      <c r="LGI18" s="6"/>
      <c r="LGJ18" s="7"/>
      <c r="LGK18" s="457" t="s">
        <v>14257</v>
      </c>
      <c r="LGL18" s="6"/>
      <c r="LGM18" s="6"/>
      <c r="LGN18" s="6"/>
      <c r="LGO18" s="6"/>
      <c r="LGP18" s="6"/>
      <c r="LGQ18" s="6"/>
      <c r="LGR18" s="6"/>
      <c r="LGS18" s="6"/>
      <c r="LGT18" s="6"/>
      <c r="LGU18" s="6"/>
      <c r="LGV18" s="6"/>
      <c r="LGW18" s="6"/>
      <c r="LGX18" s="6"/>
      <c r="LGY18" s="6"/>
      <c r="LGZ18" s="7"/>
      <c r="LHA18" s="457" t="s">
        <v>14257</v>
      </c>
      <c r="LHB18" s="6"/>
      <c r="LHC18" s="6"/>
      <c r="LHD18" s="6"/>
      <c r="LHE18" s="6"/>
      <c r="LHF18" s="6"/>
      <c r="LHG18" s="6"/>
      <c r="LHH18" s="6"/>
      <c r="LHI18" s="6"/>
      <c r="LHJ18" s="6"/>
      <c r="LHK18" s="6"/>
      <c r="LHL18" s="6"/>
      <c r="LHM18" s="6"/>
      <c r="LHN18" s="6"/>
      <c r="LHO18" s="6"/>
      <c r="LHP18" s="7"/>
      <c r="LHQ18" s="457" t="s">
        <v>14257</v>
      </c>
      <c r="LHR18" s="6"/>
      <c r="LHS18" s="6"/>
      <c r="LHT18" s="6"/>
      <c r="LHU18" s="6"/>
      <c r="LHV18" s="6"/>
      <c r="LHW18" s="6"/>
      <c r="LHX18" s="6"/>
      <c r="LHY18" s="6"/>
      <c r="LHZ18" s="6"/>
      <c r="LIA18" s="6"/>
      <c r="LIB18" s="6"/>
      <c r="LIC18" s="6"/>
      <c r="LID18" s="6"/>
      <c r="LIE18" s="6"/>
      <c r="LIF18" s="7"/>
      <c r="LIG18" s="457" t="s">
        <v>14257</v>
      </c>
      <c r="LIH18" s="6"/>
      <c r="LII18" s="6"/>
      <c r="LIJ18" s="6"/>
      <c r="LIK18" s="6"/>
      <c r="LIL18" s="6"/>
      <c r="LIM18" s="6"/>
      <c r="LIN18" s="6"/>
      <c r="LIO18" s="6"/>
      <c r="LIP18" s="6"/>
      <c r="LIQ18" s="6"/>
      <c r="LIR18" s="6"/>
      <c r="LIS18" s="6"/>
      <c r="LIT18" s="6"/>
      <c r="LIU18" s="6"/>
      <c r="LIV18" s="7"/>
      <c r="LIW18" s="457" t="s">
        <v>14257</v>
      </c>
      <c r="LIX18" s="6"/>
      <c r="LIY18" s="6"/>
      <c r="LIZ18" s="6"/>
      <c r="LJA18" s="6"/>
      <c r="LJB18" s="6"/>
      <c r="LJC18" s="6"/>
      <c r="LJD18" s="6"/>
      <c r="LJE18" s="6"/>
      <c r="LJF18" s="6"/>
      <c r="LJG18" s="6"/>
      <c r="LJH18" s="6"/>
      <c r="LJI18" s="6"/>
      <c r="LJJ18" s="6"/>
      <c r="LJK18" s="6"/>
      <c r="LJL18" s="7"/>
      <c r="LJM18" s="457" t="s">
        <v>14257</v>
      </c>
      <c r="LJN18" s="6"/>
      <c r="LJO18" s="6"/>
      <c r="LJP18" s="6"/>
      <c r="LJQ18" s="6"/>
      <c r="LJR18" s="6"/>
      <c r="LJS18" s="6"/>
      <c r="LJT18" s="6"/>
      <c r="LJU18" s="6"/>
      <c r="LJV18" s="6"/>
      <c r="LJW18" s="6"/>
      <c r="LJX18" s="6"/>
      <c r="LJY18" s="6"/>
      <c r="LJZ18" s="6"/>
      <c r="LKA18" s="6"/>
      <c r="LKB18" s="7"/>
      <c r="LKC18" s="457" t="s">
        <v>14257</v>
      </c>
      <c r="LKD18" s="6"/>
      <c r="LKE18" s="6"/>
      <c r="LKF18" s="6"/>
      <c r="LKG18" s="6"/>
      <c r="LKH18" s="6"/>
      <c r="LKI18" s="6"/>
      <c r="LKJ18" s="6"/>
      <c r="LKK18" s="6"/>
      <c r="LKL18" s="6"/>
      <c r="LKM18" s="6"/>
      <c r="LKN18" s="6"/>
      <c r="LKO18" s="6"/>
      <c r="LKP18" s="6"/>
      <c r="LKQ18" s="6"/>
      <c r="LKR18" s="7"/>
      <c r="LKS18" s="457" t="s">
        <v>14257</v>
      </c>
      <c r="LKT18" s="6"/>
      <c r="LKU18" s="6"/>
      <c r="LKV18" s="6"/>
      <c r="LKW18" s="6"/>
      <c r="LKX18" s="6"/>
      <c r="LKY18" s="6"/>
      <c r="LKZ18" s="6"/>
      <c r="LLA18" s="6"/>
      <c r="LLB18" s="6"/>
      <c r="LLC18" s="6"/>
      <c r="LLD18" s="6"/>
      <c r="LLE18" s="6"/>
      <c r="LLF18" s="6"/>
      <c r="LLG18" s="6"/>
      <c r="LLH18" s="7"/>
      <c r="LLI18" s="457" t="s">
        <v>14257</v>
      </c>
      <c r="LLJ18" s="6"/>
      <c r="LLK18" s="6"/>
      <c r="LLL18" s="6"/>
      <c r="LLM18" s="6"/>
      <c r="LLN18" s="6"/>
      <c r="LLO18" s="6"/>
      <c r="LLP18" s="6"/>
      <c r="LLQ18" s="6"/>
      <c r="LLR18" s="6"/>
      <c r="LLS18" s="6"/>
      <c r="LLT18" s="6"/>
      <c r="LLU18" s="6"/>
      <c r="LLV18" s="6"/>
      <c r="LLW18" s="6"/>
      <c r="LLX18" s="7"/>
      <c r="LLY18" s="457" t="s">
        <v>14257</v>
      </c>
      <c r="LLZ18" s="6"/>
      <c r="LMA18" s="6"/>
      <c r="LMB18" s="6"/>
      <c r="LMC18" s="6"/>
      <c r="LMD18" s="6"/>
      <c r="LME18" s="6"/>
      <c r="LMF18" s="6"/>
      <c r="LMG18" s="6"/>
      <c r="LMH18" s="6"/>
      <c r="LMI18" s="6"/>
      <c r="LMJ18" s="6"/>
      <c r="LMK18" s="6"/>
      <c r="LML18" s="6"/>
      <c r="LMM18" s="6"/>
      <c r="LMN18" s="7"/>
      <c r="LMO18" s="457" t="s">
        <v>14257</v>
      </c>
      <c r="LMP18" s="6"/>
      <c r="LMQ18" s="6"/>
      <c r="LMR18" s="6"/>
      <c r="LMS18" s="6"/>
      <c r="LMT18" s="6"/>
      <c r="LMU18" s="6"/>
      <c r="LMV18" s="6"/>
      <c r="LMW18" s="6"/>
      <c r="LMX18" s="6"/>
      <c r="LMY18" s="6"/>
      <c r="LMZ18" s="6"/>
      <c r="LNA18" s="6"/>
      <c r="LNB18" s="6"/>
      <c r="LNC18" s="6"/>
      <c r="LND18" s="7"/>
      <c r="LNE18" s="457" t="s">
        <v>14257</v>
      </c>
      <c r="LNF18" s="6"/>
      <c r="LNG18" s="6"/>
      <c r="LNH18" s="6"/>
      <c r="LNI18" s="6"/>
      <c r="LNJ18" s="6"/>
      <c r="LNK18" s="6"/>
      <c r="LNL18" s="6"/>
      <c r="LNM18" s="6"/>
      <c r="LNN18" s="6"/>
      <c r="LNO18" s="6"/>
      <c r="LNP18" s="6"/>
      <c r="LNQ18" s="6"/>
      <c r="LNR18" s="6"/>
      <c r="LNS18" s="6"/>
      <c r="LNT18" s="7"/>
      <c r="LNU18" s="457" t="s">
        <v>14257</v>
      </c>
      <c r="LNV18" s="6"/>
      <c r="LNW18" s="6"/>
      <c r="LNX18" s="6"/>
      <c r="LNY18" s="6"/>
      <c r="LNZ18" s="6"/>
      <c r="LOA18" s="6"/>
      <c r="LOB18" s="6"/>
      <c r="LOC18" s="6"/>
      <c r="LOD18" s="6"/>
      <c r="LOE18" s="6"/>
      <c r="LOF18" s="6"/>
      <c r="LOG18" s="6"/>
      <c r="LOH18" s="6"/>
      <c r="LOI18" s="6"/>
      <c r="LOJ18" s="7"/>
      <c r="LOK18" s="457" t="s">
        <v>14257</v>
      </c>
      <c r="LOL18" s="6"/>
      <c r="LOM18" s="6"/>
      <c r="LON18" s="6"/>
      <c r="LOO18" s="6"/>
      <c r="LOP18" s="6"/>
      <c r="LOQ18" s="6"/>
      <c r="LOR18" s="6"/>
      <c r="LOS18" s="6"/>
      <c r="LOT18" s="6"/>
      <c r="LOU18" s="6"/>
      <c r="LOV18" s="6"/>
      <c r="LOW18" s="6"/>
      <c r="LOX18" s="6"/>
      <c r="LOY18" s="6"/>
      <c r="LOZ18" s="7"/>
      <c r="LPA18" s="457" t="s">
        <v>14257</v>
      </c>
      <c r="LPB18" s="6"/>
      <c r="LPC18" s="6"/>
      <c r="LPD18" s="6"/>
      <c r="LPE18" s="6"/>
      <c r="LPF18" s="6"/>
      <c r="LPG18" s="6"/>
      <c r="LPH18" s="6"/>
      <c r="LPI18" s="6"/>
      <c r="LPJ18" s="6"/>
      <c r="LPK18" s="6"/>
      <c r="LPL18" s="6"/>
      <c r="LPM18" s="6"/>
      <c r="LPN18" s="6"/>
      <c r="LPO18" s="6"/>
      <c r="LPP18" s="7"/>
      <c r="LPQ18" s="457" t="s">
        <v>14257</v>
      </c>
      <c r="LPR18" s="6"/>
      <c r="LPS18" s="6"/>
      <c r="LPT18" s="6"/>
      <c r="LPU18" s="6"/>
      <c r="LPV18" s="6"/>
      <c r="LPW18" s="6"/>
      <c r="LPX18" s="6"/>
      <c r="LPY18" s="6"/>
      <c r="LPZ18" s="6"/>
      <c r="LQA18" s="6"/>
      <c r="LQB18" s="6"/>
      <c r="LQC18" s="6"/>
      <c r="LQD18" s="6"/>
      <c r="LQE18" s="6"/>
      <c r="LQF18" s="7"/>
      <c r="LQG18" s="457" t="s">
        <v>14257</v>
      </c>
      <c r="LQH18" s="6"/>
      <c r="LQI18" s="6"/>
      <c r="LQJ18" s="6"/>
      <c r="LQK18" s="6"/>
      <c r="LQL18" s="6"/>
      <c r="LQM18" s="6"/>
      <c r="LQN18" s="6"/>
      <c r="LQO18" s="6"/>
      <c r="LQP18" s="6"/>
      <c r="LQQ18" s="6"/>
      <c r="LQR18" s="6"/>
      <c r="LQS18" s="6"/>
      <c r="LQT18" s="6"/>
      <c r="LQU18" s="6"/>
      <c r="LQV18" s="7"/>
      <c r="LQW18" s="457" t="s">
        <v>14257</v>
      </c>
      <c r="LQX18" s="6"/>
      <c r="LQY18" s="6"/>
      <c r="LQZ18" s="6"/>
      <c r="LRA18" s="6"/>
      <c r="LRB18" s="6"/>
      <c r="LRC18" s="6"/>
      <c r="LRD18" s="6"/>
      <c r="LRE18" s="6"/>
      <c r="LRF18" s="6"/>
      <c r="LRG18" s="6"/>
      <c r="LRH18" s="6"/>
      <c r="LRI18" s="6"/>
      <c r="LRJ18" s="6"/>
      <c r="LRK18" s="6"/>
      <c r="LRL18" s="7"/>
      <c r="LRM18" s="457" t="s">
        <v>14257</v>
      </c>
      <c r="LRN18" s="6"/>
      <c r="LRO18" s="6"/>
      <c r="LRP18" s="6"/>
      <c r="LRQ18" s="6"/>
      <c r="LRR18" s="6"/>
      <c r="LRS18" s="6"/>
      <c r="LRT18" s="6"/>
      <c r="LRU18" s="6"/>
      <c r="LRV18" s="6"/>
      <c r="LRW18" s="6"/>
      <c r="LRX18" s="6"/>
      <c r="LRY18" s="6"/>
      <c r="LRZ18" s="6"/>
      <c r="LSA18" s="6"/>
      <c r="LSB18" s="7"/>
      <c r="LSC18" s="457" t="s">
        <v>14257</v>
      </c>
      <c r="LSD18" s="6"/>
      <c r="LSE18" s="6"/>
      <c r="LSF18" s="6"/>
      <c r="LSG18" s="6"/>
      <c r="LSH18" s="6"/>
      <c r="LSI18" s="6"/>
      <c r="LSJ18" s="6"/>
      <c r="LSK18" s="6"/>
      <c r="LSL18" s="6"/>
      <c r="LSM18" s="6"/>
      <c r="LSN18" s="6"/>
      <c r="LSO18" s="6"/>
      <c r="LSP18" s="6"/>
      <c r="LSQ18" s="6"/>
      <c r="LSR18" s="7"/>
      <c r="LSS18" s="457" t="s">
        <v>14257</v>
      </c>
      <c r="LST18" s="6"/>
      <c r="LSU18" s="6"/>
      <c r="LSV18" s="6"/>
      <c r="LSW18" s="6"/>
      <c r="LSX18" s="6"/>
      <c r="LSY18" s="6"/>
      <c r="LSZ18" s="6"/>
      <c r="LTA18" s="6"/>
      <c r="LTB18" s="6"/>
      <c r="LTC18" s="6"/>
      <c r="LTD18" s="6"/>
      <c r="LTE18" s="6"/>
      <c r="LTF18" s="6"/>
      <c r="LTG18" s="6"/>
      <c r="LTH18" s="7"/>
      <c r="LTI18" s="457" t="s">
        <v>14257</v>
      </c>
      <c r="LTJ18" s="6"/>
      <c r="LTK18" s="6"/>
      <c r="LTL18" s="6"/>
      <c r="LTM18" s="6"/>
      <c r="LTN18" s="6"/>
      <c r="LTO18" s="6"/>
      <c r="LTP18" s="6"/>
      <c r="LTQ18" s="6"/>
      <c r="LTR18" s="6"/>
      <c r="LTS18" s="6"/>
      <c r="LTT18" s="6"/>
      <c r="LTU18" s="6"/>
      <c r="LTV18" s="6"/>
      <c r="LTW18" s="6"/>
      <c r="LTX18" s="7"/>
      <c r="LTY18" s="457" t="s">
        <v>14257</v>
      </c>
      <c r="LTZ18" s="6"/>
      <c r="LUA18" s="6"/>
      <c r="LUB18" s="6"/>
      <c r="LUC18" s="6"/>
      <c r="LUD18" s="6"/>
      <c r="LUE18" s="6"/>
      <c r="LUF18" s="6"/>
      <c r="LUG18" s="6"/>
      <c r="LUH18" s="6"/>
      <c r="LUI18" s="6"/>
      <c r="LUJ18" s="6"/>
      <c r="LUK18" s="6"/>
      <c r="LUL18" s="6"/>
      <c r="LUM18" s="6"/>
      <c r="LUN18" s="7"/>
      <c r="LUO18" s="457" t="s">
        <v>14257</v>
      </c>
      <c r="LUP18" s="6"/>
      <c r="LUQ18" s="6"/>
      <c r="LUR18" s="6"/>
      <c r="LUS18" s="6"/>
      <c r="LUT18" s="6"/>
      <c r="LUU18" s="6"/>
      <c r="LUV18" s="6"/>
      <c r="LUW18" s="6"/>
      <c r="LUX18" s="6"/>
      <c r="LUY18" s="6"/>
      <c r="LUZ18" s="6"/>
      <c r="LVA18" s="6"/>
      <c r="LVB18" s="6"/>
      <c r="LVC18" s="6"/>
      <c r="LVD18" s="7"/>
      <c r="LVE18" s="457" t="s">
        <v>14257</v>
      </c>
      <c r="LVF18" s="6"/>
      <c r="LVG18" s="6"/>
      <c r="LVH18" s="6"/>
      <c r="LVI18" s="6"/>
      <c r="LVJ18" s="6"/>
      <c r="LVK18" s="6"/>
      <c r="LVL18" s="6"/>
      <c r="LVM18" s="6"/>
      <c r="LVN18" s="6"/>
      <c r="LVO18" s="6"/>
      <c r="LVP18" s="6"/>
      <c r="LVQ18" s="6"/>
      <c r="LVR18" s="6"/>
      <c r="LVS18" s="6"/>
      <c r="LVT18" s="7"/>
      <c r="LVU18" s="457" t="s">
        <v>14257</v>
      </c>
      <c r="LVV18" s="6"/>
      <c r="LVW18" s="6"/>
      <c r="LVX18" s="6"/>
      <c r="LVY18" s="6"/>
      <c r="LVZ18" s="6"/>
      <c r="LWA18" s="6"/>
      <c r="LWB18" s="6"/>
      <c r="LWC18" s="6"/>
      <c r="LWD18" s="6"/>
      <c r="LWE18" s="6"/>
      <c r="LWF18" s="6"/>
      <c r="LWG18" s="6"/>
      <c r="LWH18" s="6"/>
      <c r="LWI18" s="6"/>
      <c r="LWJ18" s="7"/>
      <c r="LWK18" s="457" t="s">
        <v>14257</v>
      </c>
      <c r="LWL18" s="6"/>
      <c r="LWM18" s="6"/>
      <c r="LWN18" s="6"/>
      <c r="LWO18" s="6"/>
      <c r="LWP18" s="6"/>
      <c r="LWQ18" s="6"/>
      <c r="LWR18" s="6"/>
      <c r="LWS18" s="6"/>
      <c r="LWT18" s="6"/>
      <c r="LWU18" s="6"/>
      <c r="LWV18" s="6"/>
      <c r="LWW18" s="6"/>
      <c r="LWX18" s="6"/>
      <c r="LWY18" s="6"/>
      <c r="LWZ18" s="7"/>
      <c r="LXA18" s="457" t="s">
        <v>14257</v>
      </c>
      <c r="LXB18" s="6"/>
      <c r="LXC18" s="6"/>
      <c r="LXD18" s="6"/>
      <c r="LXE18" s="6"/>
      <c r="LXF18" s="6"/>
      <c r="LXG18" s="6"/>
      <c r="LXH18" s="6"/>
      <c r="LXI18" s="6"/>
      <c r="LXJ18" s="6"/>
      <c r="LXK18" s="6"/>
      <c r="LXL18" s="6"/>
      <c r="LXM18" s="6"/>
      <c r="LXN18" s="6"/>
      <c r="LXO18" s="6"/>
      <c r="LXP18" s="7"/>
      <c r="LXQ18" s="457" t="s">
        <v>14257</v>
      </c>
      <c r="LXR18" s="6"/>
      <c r="LXS18" s="6"/>
      <c r="LXT18" s="6"/>
      <c r="LXU18" s="6"/>
      <c r="LXV18" s="6"/>
      <c r="LXW18" s="6"/>
      <c r="LXX18" s="6"/>
      <c r="LXY18" s="6"/>
      <c r="LXZ18" s="6"/>
      <c r="LYA18" s="6"/>
      <c r="LYB18" s="6"/>
      <c r="LYC18" s="6"/>
      <c r="LYD18" s="6"/>
      <c r="LYE18" s="6"/>
      <c r="LYF18" s="7"/>
      <c r="LYG18" s="457" t="s">
        <v>14257</v>
      </c>
      <c r="LYH18" s="6"/>
      <c r="LYI18" s="6"/>
      <c r="LYJ18" s="6"/>
      <c r="LYK18" s="6"/>
      <c r="LYL18" s="6"/>
      <c r="LYM18" s="6"/>
      <c r="LYN18" s="6"/>
      <c r="LYO18" s="6"/>
      <c r="LYP18" s="6"/>
      <c r="LYQ18" s="6"/>
      <c r="LYR18" s="6"/>
      <c r="LYS18" s="6"/>
      <c r="LYT18" s="6"/>
      <c r="LYU18" s="6"/>
      <c r="LYV18" s="7"/>
      <c r="LYW18" s="457" t="s">
        <v>14257</v>
      </c>
      <c r="LYX18" s="6"/>
      <c r="LYY18" s="6"/>
      <c r="LYZ18" s="6"/>
      <c r="LZA18" s="6"/>
      <c r="LZB18" s="6"/>
      <c r="LZC18" s="6"/>
      <c r="LZD18" s="6"/>
      <c r="LZE18" s="6"/>
      <c r="LZF18" s="6"/>
      <c r="LZG18" s="6"/>
      <c r="LZH18" s="6"/>
      <c r="LZI18" s="6"/>
      <c r="LZJ18" s="6"/>
      <c r="LZK18" s="6"/>
      <c r="LZL18" s="7"/>
      <c r="LZM18" s="457" t="s">
        <v>14257</v>
      </c>
      <c r="LZN18" s="6"/>
      <c r="LZO18" s="6"/>
      <c r="LZP18" s="6"/>
      <c r="LZQ18" s="6"/>
      <c r="LZR18" s="6"/>
      <c r="LZS18" s="6"/>
      <c r="LZT18" s="6"/>
      <c r="LZU18" s="6"/>
      <c r="LZV18" s="6"/>
      <c r="LZW18" s="6"/>
      <c r="LZX18" s="6"/>
      <c r="LZY18" s="6"/>
      <c r="LZZ18" s="6"/>
      <c r="MAA18" s="6"/>
      <c r="MAB18" s="7"/>
      <c r="MAC18" s="457" t="s">
        <v>14257</v>
      </c>
      <c r="MAD18" s="6"/>
      <c r="MAE18" s="6"/>
      <c r="MAF18" s="6"/>
      <c r="MAG18" s="6"/>
      <c r="MAH18" s="6"/>
      <c r="MAI18" s="6"/>
      <c r="MAJ18" s="6"/>
      <c r="MAK18" s="6"/>
      <c r="MAL18" s="6"/>
      <c r="MAM18" s="6"/>
      <c r="MAN18" s="6"/>
      <c r="MAO18" s="6"/>
      <c r="MAP18" s="6"/>
      <c r="MAQ18" s="6"/>
      <c r="MAR18" s="7"/>
      <c r="MAS18" s="457" t="s">
        <v>14257</v>
      </c>
      <c r="MAT18" s="6"/>
      <c r="MAU18" s="6"/>
      <c r="MAV18" s="6"/>
      <c r="MAW18" s="6"/>
      <c r="MAX18" s="6"/>
      <c r="MAY18" s="6"/>
      <c r="MAZ18" s="6"/>
      <c r="MBA18" s="6"/>
      <c r="MBB18" s="6"/>
      <c r="MBC18" s="6"/>
      <c r="MBD18" s="6"/>
      <c r="MBE18" s="6"/>
      <c r="MBF18" s="6"/>
      <c r="MBG18" s="6"/>
      <c r="MBH18" s="7"/>
      <c r="MBI18" s="457" t="s">
        <v>14257</v>
      </c>
      <c r="MBJ18" s="6"/>
      <c r="MBK18" s="6"/>
      <c r="MBL18" s="6"/>
      <c r="MBM18" s="6"/>
      <c r="MBN18" s="6"/>
      <c r="MBO18" s="6"/>
      <c r="MBP18" s="6"/>
      <c r="MBQ18" s="6"/>
      <c r="MBR18" s="6"/>
      <c r="MBS18" s="6"/>
      <c r="MBT18" s="6"/>
      <c r="MBU18" s="6"/>
      <c r="MBV18" s="6"/>
      <c r="MBW18" s="6"/>
      <c r="MBX18" s="7"/>
      <c r="MBY18" s="457" t="s">
        <v>14257</v>
      </c>
      <c r="MBZ18" s="6"/>
      <c r="MCA18" s="6"/>
      <c r="MCB18" s="6"/>
      <c r="MCC18" s="6"/>
      <c r="MCD18" s="6"/>
      <c r="MCE18" s="6"/>
      <c r="MCF18" s="6"/>
      <c r="MCG18" s="6"/>
      <c r="MCH18" s="6"/>
      <c r="MCI18" s="6"/>
      <c r="MCJ18" s="6"/>
      <c r="MCK18" s="6"/>
      <c r="MCL18" s="6"/>
      <c r="MCM18" s="6"/>
      <c r="MCN18" s="7"/>
      <c r="MCO18" s="457" t="s">
        <v>14257</v>
      </c>
      <c r="MCP18" s="6"/>
      <c r="MCQ18" s="6"/>
      <c r="MCR18" s="6"/>
      <c r="MCS18" s="6"/>
      <c r="MCT18" s="6"/>
      <c r="MCU18" s="6"/>
      <c r="MCV18" s="6"/>
      <c r="MCW18" s="6"/>
      <c r="MCX18" s="6"/>
      <c r="MCY18" s="6"/>
      <c r="MCZ18" s="6"/>
      <c r="MDA18" s="6"/>
      <c r="MDB18" s="6"/>
      <c r="MDC18" s="6"/>
      <c r="MDD18" s="7"/>
      <c r="MDE18" s="457" t="s">
        <v>14257</v>
      </c>
      <c r="MDF18" s="6"/>
      <c r="MDG18" s="6"/>
      <c r="MDH18" s="6"/>
      <c r="MDI18" s="6"/>
      <c r="MDJ18" s="6"/>
      <c r="MDK18" s="6"/>
      <c r="MDL18" s="6"/>
      <c r="MDM18" s="6"/>
      <c r="MDN18" s="6"/>
      <c r="MDO18" s="6"/>
      <c r="MDP18" s="6"/>
      <c r="MDQ18" s="6"/>
      <c r="MDR18" s="6"/>
      <c r="MDS18" s="6"/>
      <c r="MDT18" s="7"/>
      <c r="MDU18" s="457" t="s">
        <v>14257</v>
      </c>
      <c r="MDV18" s="6"/>
      <c r="MDW18" s="6"/>
      <c r="MDX18" s="6"/>
      <c r="MDY18" s="6"/>
      <c r="MDZ18" s="6"/>
      <c r="MEA18" s="6"/>
      <c r="MEB18" s="6"/>
      <c r="MEC18" s="6"/>
      <c r="MED18" s="6"/>
      <c r="MEE18" s="6"/>
      <c r="MEF18" s="6"/>
      <c r="MEG18" s="6"/>
      <c r="MEH18" s="6"/>
      <c r="MEI18" s="6"/>
      <c r="MEJ18" s="7"/>
      <c r="MEK18" s="457" t="s">
        <v>14257</v>
      </c>
      <c r="MEL18" s="6"/>
      <c r="MEM18" s="6"/>
      <c r="MEN18" s="6"/>
      <c r="MEO18" s="6"/>
      <c r="MEP18" s="6"/>
      <c r="MEQ18" s="6"/>
      <c r="MER18" s="6"/>
      <c r="MES18" s="6"/>
      <c r="MET18" s="6"/>
      <c r="MEU18" s="6"/>
      <c r="MEV18" s="6"/>
      <c r="MEW18" s="6"/>
      <c r="MEX18" s="6"/>
      <c r="MEY18" s="6"/>
      <c r="MEZ18" s="7"/>
      <c r="MFA18" s="457" t="s">
        <v>14257</v>
      </c>
      <c r="MFB18" s="6"/>
      <c r="MFC18" s="6"/>
      <c r="MFD18" s="6"/>
      <c r="MFE18" s="6"/>
      <c r="MFF18" s="6"/>
      <c r="MFG18" s="6"/>
      <c r="MFH18" s="6"/>
      <c r="MFI18" s="6"/>
      <c r="MFJ18" s="6"/>
      <c r="MFK18" s="6"/>
      <c r="MFL18" s="6"/>
      <c r="MFM18" s="6"/>
      <c r="MFN18" s="6"/>
      <c r="MFO18" s="6"/>
      <c r="MFP18" s="7"/>
      <c r="MFQ18" s="457" t="s">
        <v>14257</v>
      </c>
      <c r="MFR18" s="6"/>
      <c r="MFS18" s="6"/>
      <c r="MFT18" s="6"/>
      <c r="MFU18" s="6"/>
      <c r="MFV18" s="6"/>
      <c r="MFW18" s="6"/>
      <c r="MFX18" s="6"/>
      <c r="MFY18" s="6"/>
      <c r="MFZ18" s="6"/>
      <c r="MGA18" s="6"/>
      <c r="MGB18" s="6"/>
      <c r="MGC18" s="6"/>
      <c r="MGD18" s="6"/>
      <c r="MGE18" s="6"/>
      <c r="MGF18" s="7"/>
      <c r="MGG18" s="457" t="s">
        <v>14257</v>
      </c>
      <c r="MGH18" s="6"/>
      <c r="MGI18" s="6"/>
      <c r="MGJ18" s="6"/>
      <c r="MGK18" s="6"/>
      <c r="MGL18" s="6"/>
      <c r="MGM18" s="6"/>
      <c r="MGN18" s="6"/>
      <c r="MGO18" s="6"/>
      <c r="MGP18" s="6"/>
      <c r="MGQ18" s="6"/>
      <c r="MGR18" s="6"/>
      <c r="MGS18" s="6"/>
      <c r="MGT18" s="6"/>
      <c r="MGU18" s="6"/>
      <c r="MGV18" s="7"/>
      <c r="MGW18" s="457" t="s">
        <v>14257</v>
      </c>
      <c r="MGX18" s="6"/>
      <c r="MGY18" s="6"/>
      <c r="MGZ18" s="6"/>
      <c r="MHA18" s="6"/>
      <c r="MHB18" s="6"/>
      <c r="MHC18" s="6"/>
      <c r="MHD18" s="6"/>
      <c r="MHE18" s="6"/>
      <c r="MHF18" s="6"/>
      <c r="MHG18" s="6"/>
      <c r="MHH18" s="6"/>
      <c r="MHI18" s="6"/>
      <c r="MHJ18" s="6"/>
      <c r="MHK18" s="6"/>
      <c r="MHL18" s="7"/>
      <c r="MHM18" s="457" t="s">
        <v>14257</v>
      </c>
      <c r="MHN18" s="6"/>
      <c r="MHO18" s="6"/>
      <c r="MHP18" s="6"/>
      <c r="MHQ18" s="6"/>
      <c r="MHR18" s="6"/>
      <c r="MHS18" s="6"/>
      <c r="MHT18" s="6"/>
      <c r="MHU18" s="6"/>
      <c r="MHV18" s="6"/>
      <c r="MHW18" s="6"/>
      <c r="MHX18" s="6"/>
      <c r="MHY18" s="6"/>
      <c r="MHZ18" s="6"/>
      <c r="MIA18" s="6"/>
      <c r="MIB18" s="7"/>
      <c r="MIC18" s="457" t="s">
        <v>14257</v>
      </c>
      <c r="MID18" s="6"/>
      <c r="MIE18" s="6"/>
      <c r="MIF18" s="6"/>
      <c r="MIG18" s="6"/>
      <c r="MIH18" s="6"/>
      <c r="MII18" s="6"/>
      <c r="MIJ18" s="6"/>
      <c r="MIK18" s="6"/>
      <c r="MIL18" s="6"/>
      <c r="MIM18" s="6"/>
      <c r="MIN18" s="6"/>
      <c r="MIO18" s="6"/>
      <c r="MIP18" s="6"/>
      <c r="MIQ18" s="6"/>
      <c r="MIR18" s="7"/>
      <c r="MIS18" s="457" t="s">
        <v>14257</v>
      </c>
      <c r="MIT18" s="6"/>
      <c r="MIU18" s="6"/>
      <c r="MIV18" s="6"/>
      <c r="MIW18" s="6"/>
      <c r="MIX18" s="6"/>
      <c r="MIY18" s="6"/>
      <c r="MIZ18" s="6"/>
      <c r="MJA18" s="6"/>
      <c r="MJB18" s="6"/>
      <c r="MJC18" s="6"/>
      <c r="MJD18" s="6"/>
      <c r="MJE18" s="6"/>
      <c r="MJF18" s="6"/>
      <c r="MJG18" s="6"/>
      <c r="MJH18" s="7"/>
      <c r="MJI18" s="457" t="s">
        <v>14257</v>
      </c>
      <c r="MJJ18" s="6"/>
      <c r="MJK18" s="6"/>
      <c r="MJL18" s="6"/>
      <c r="MJM18" s="6"/>
      <c r="MJN18" s="6"/>
      <c r="MJO18" s="6"/>
      <c r="MJP18" s="6"/>
      <c r="MJQ18" s="6"/>
      <c r="MJR18" s="6"/>
      <c r="MJS18" s="6"/>
      <c r="MJT18" s="6"/>
      <c r="MJU18" s="6"/>
      <c r="MJV18" s="6"/>
      <c r="MJW18" s="6"/>
      <c r="MJX18" s="7"/>
      <c r="MJY18" s="457" t="s">
        <v>14257</v>
      </c>
      <c r="MJZ18" s="6"/>
      <c r="MKA18" s="6"/>
      <c r="MKB18" s="6"/>
      <c r="MKC18" s="6"/>
      <c r="MKD18" s="6"/>
      <c r="MKE18" s="6"/>
      <c r="MKF18" s="6"/>
      <c r="MKG18" s="6"/>
      <c r="MKH18" s="6"/>
      <c r="MKI18" s="6"/>
      <c r="MKJ18" s="6"/>
      <c r="MKK18" s="6"/>
      <c r="MKL18" s="6"/>
      <c r="MKM18" s="6"/>
      <c r="MKN18" s="7"/>
      <c r="MKO18" s="457" t="s">
        <v>14257</v>
      </c>
      <c r="MKP18" s="6"/>
      <c r="MKQ18" s="6"/>
      <c r="MKR18" s="6"/>
      <c r="MKS18" s="6"/>
      <c r="MKT18" s="6"/>
      <c r="MKU18" s="6"/>
      <c r="MKV18" s="6"/>
      <c r="MKW18" s="6"/>
      <c r="MKX18" s="6"/>
      <c r="MKY18" s="6"/>
      <c r="MKZ18" s="6"/>
      <c r="MLA18" s="6"/>
      <c r="MLB18" s="6"/>
      <c r="MLC18" s="6"/>
      <c r="MLD18" s="7"/>
      <c r="MLE18" s="457" t="s">
        <v>14257</v>
      </c>
      <c r="MLF18" s="6"/>
      <c r="MLG18" s="6"/>
      <c r="MLH18" s="6"/>
      <c r="MLI18" s="6"/>
      <c r="MLJ18" s="6"/>
      <c r="MLK18" s="6"/>
      <c r="MLL18" s="6"/>
      <c r="MLM18" s="6"/>
      <c r="MLN18" s="6"/>
      <c r="MLO18" s="6"/>
      <c r="MLP18" s="6"/>
      <c r="MLQ18" s="6"/>
      <c r="MLR18" s="6"/>
      <c r="MLS18" s="6"/>
      <c r="MLT18" s="7"/>
      <c r="MLU18" s="457" t="s">
        <v>14257</v>
      </c>
      <c r="MLV18" s="6"/>
      <c r="MLW18" s="6"/>
      <c r="MLX18" s="6"/>
      <c r="MLY18" s="6"/>
      <c r="MLZ18" s="6"/>
      <c r="MMA18" s="6"/>
      <c r="MMB18" s="6"/>
      <c r="MMC18" s="6"/>
      <c r="MMD18" s="6"/>
      <c r="MME18" s="6"/>
      <c r="MMF18" s="6"/>
      <c r="MMG18" s="6"/>
      <c r="MMH18" s="6"/>
      <c r="MMI18" s="6"/>
      <c r="MMJ18" s="7"/>
      <c r="MMK18" s="457" t="s">
        <v>14257</v>
      </c>
      <c r="MML18" s="6"/>
      <c r="MMM18" s="6"/>
      <c r="MMN18" s="6"/>
      <c r="MMO18" s="6"/>
      <c r="MMP18" s="6"/>
      <c r="MMQ18" s="6"/>
      <c r="MMR18" s="6"/>
      <c r="MMS18" s="6"/>
      <c r="MMT18" s="6"/>
      <c r="MMU18" s="6"/>
      <c r="MMV18" s="6"/>
      <c r="MMW18" s="6"/>
      <c r="MMX18" s="6"/>
      <c r="MMY18" s="6"/>
      <c r="MMZ18" s="7"/>
      <c r="MNA18" s="457" t="s">
        <v>14257</v>
      </c>
      <c r="MNB18" s="6"/>
      <c r="MNC18" s="6"/>
      <c r="MND18" s="6"/>
      <c r="MNE18" s="6"/>
      <c r="MNF18" s="6"/>
      <c r="MNG18" s="6"/>
      <c r="MNH18" s="6"/>
      <c r="MNI18" s="6"/>
      <c r="MNJ18" s="6"/>
      <c r="MNK18" s="6"/>
      <c r="MNL18" s="6"/>
      <c r="MNM18" s="6"/>
      <c r="MNN18" s="6"/>
      <c r="MNO18" s="6"/>
      <c r="MNP18" s="7"/>
      <c r="MNQ18" s="457" t="s">
        <v>14257</v>
      </c>
      <c r="MNR18" s="6"/>
      <c r="MNS18" s="6"/>
      <c r="MNT18" s="6"/>
      <c r="MNU18" s="6"/>
      <c r="MNV18" s="6"/>
      <c r="MNW18" s="6"/>
      <c r="MNX18" s="6"/>
      <c r="MNY18" s="6"/>
      <c r="MNZ18" s="6"/>
      <c r="MOA18" s="6"/>
      <c r="MOB18" s="6"/>
      <c r="MOC18" s="6"/>
      <c r="MOD18" s="6"/>
      <c r="MOE18" s="6"/>
      <c r="MOF18" s="7"/>
      <c r="MOG18" s="457" t="s">
        <v>14257</v>
      </c>
      <c r="MOH18" s="6"/>
      <c r="MOI18" s="6"/>
      <c r="MOJ18" s="6"/>
      <c r="MOK18" s="6"/>
      <c r="MOL18" s="6"/>
      <c r="MOM18" s="6"/>
      <c r="MON18" s="6"/>
      <c r="MOO18" s="6"/>
      <c r="MOP18" s="6"/>
      <c r="MOQ18" s="6"/>
      <c r="MOR18" s="6"/>
      <c r="MOS18" s="6"/>
      <c r="MOT18" s="6"/>
      <c r="MOU18" s="6"/>
      <c r="MOV18" s="7"/>
      <c r="MOW18" s="457" t="s">
        <v>14257</v>
      </c>
      <c r="MOX18" s="6"/>
      <c r="MOY18" s="6"/>
      <c r="MOZ18" s="6"/>
      <c r="MPA18" s="6"/>
      <c r="MPB18" s="6"/>
      <c r="MPC18" s="6"/>
      <c r="MPD18" s="6"/>
      <c r="MPE18" s="6"/>
      <c r="MPF18" s="6"/>
      <c r="MPG18" s="6"/>
      <c r="MPH18" s="6"/>
      <c r="MPI18" s="6"/>
      <c r="MPJ18" s="6"/>
      <c r="MPK18" s="6"/>
      <c r="MPL18" s="7"/>
      <c r="MPM18" s="457" t="s">
        <v>14257</v>
      </c>
      <c r="MPN18" s="6"/>
      <c r="MPO18" s="6"/>
      <c r="MPP18" s="6"/>
      <c r="MPQ18" s="6"/>
      <c r="MPR18" s="6"/>
      <c r="MPS18" s="6"/>
      <c r="MPT18" s="6"/>
      <c r="MPU18" s="6"/>
      <c r="MPV18" s="6"/>
      <c r="MPW18" s="6"/>
      <c r="MPX18" s="6"/>
      <c r="MPY18" s="6"/>
      <c r="MPZ18" s="6"/>
      <c r="MQA18" s="6"/>
      <c r="MQB18" s="7"/>
      <c r="MQC18" s="457" t="s">
        <v>14257</v>
      </c>
      <c r="MQD18" s="6"/>
      <c r="MQE18" s="6"/>
      <c r="MQF18" s="6"/>
      <c r="MQG18" s="6"/>
      <c r="MQH18" s="6"/>
      <c r="MQI18" s="6"/>
      <c r="MQJ18" s="6"/>
      <c r="MQK18" s="6"/>
      <c r="MQL18" s="6"/>
      <c r="MQM18" s="6"/>
      <c r="MQN18" s="6"/>
      <c r="MQO18" s="6"/>
      <c r="MQP18" s="6"/>
      <c r="MQQ18" s="6"/>
      <c r="MQR18" s="7"/>
      <c r="MQS18" s="457" t="s">
        <v>14257</v>
      </c>
      <c r="MQT18" s="6"/>
      <c r="MQU18" s="6"/>
      <c r="MQV18" s="6"/>
      <c r="MQW18" s="6"/>
      <c r="MQX18" s="6"/>
      <c r="MQY18" s="6"/>
      <c r="MQZ18" s="6"/>
      <c r="MRA18" s="6"/>
      <c r="MRB18" s="6"/>
      <c r="MRC18" s="6"/>
      <c r="MRD18" s="6"/>
      <c r="MRE18" s="6"/>
      <c r="MRF18" s="6"/>
      <c r="MRG18" s="6"/>
      <c r="MRH18" s="7"/>
      <c r="MRI18" s="457" t="s">
        <v>14257</v>
      </c>
      <c r="MRJ18" s="6"/>
      <c r="MRK18" s="6"/>
      <c r="MRL18" s="6"/>
      <c r="MRM18" s="6"/>
      <c r="MRN18" s="6"/>
      <c r="MRO18" s="6"/>
      <c r="MRP18" s="6"/>
      <c r="MRQ18" s="6"/>
      <c r="MRR18" s="6"/>
      <c r="MRS18" s="6"/>
      <c r="MRT18" s="6"/>
      <c r="MRU18" s="6"/>
      <c r="MRV18" s="6"/>
      <c r="MRW18" s="6"/>
      <c r="MRX18" s="7"/>
      <c r="MRY18" s="457" t="s">
        <v>14257</v>
      </c>
      <c r="MRZ18" s="6"/>
      <c r="MSA18" s="6"/>
      <c r="MSB18" s="6"/>
      <c r="MSC18" s="6"/>
      <c r="MSD18" s="6"/>
      <c r="MSE18" s="6"/>
      <c r="MSF18" s="6"/>
      <c r="MSG18" s="6"/>
      <c r="MSH18" s="6"/>
      <c r="MSI18" s="6"/>
      <c r="MSJ18" s="6"/>
      <c r="MSK18" s="6"/>
      <c r="MSL18" s="6"/>
      <c r="MSM18" s="6"/>
      <c r="MSN18" s="7"/>
      <c r="MSO18" s="457" t="s">
        <v>14257</v>
      </c>
      <c r="MSP18" s="6"/>
      <c r="MSQ18" s="6"/>
      <c r="MSR18" s="6"/>
      <c r="MSS18" s="6"/>
      <c r="MST18" s="6"/>
      <c r="MSU18" s="6"/>
      <c r="MSV18" s="6"/>
      <c r="MSW18" s="6"/>
      <c r="MSX18" s="6"/>
      <c r="MSY18" s="6"/>
      <c r="MSZ18" s="6"/>
      <c r="MTA18" s="6"/>
      <c r="MTB18" s="6"/>
      <c r="MTC18" s="6"/>
      <c r="MTD18" s="7"/>
      <c r="MTE18" s="457" t="s">
        <v>14257</v>
      </c>
      <c r="MTF18" s="6"/>
      <c r="MTG18" s="6"/>
      <c r="MTH18" s="6"/>
      <c r="MTI18" s="6"/>
      <c r="MTJ18" s="6"/>
      <c r="MTK18" s="6"/>
      <c r="MTL18" s="6"/>
      <c r="MTM18" s="6"/>
      <c r="MTN18" s="6"/>
      <c r="MTO18" s="6"/>
      <c r="MTP18" s="6"/>
      <c r="MTQ18" s="6"/>
      <c r="MTR18" s="6"/>
      <c r="MTS18" s="6"/>
      <c r="MTT18" s="7"/>
      <c r="MTU18" s="457" t="s">
        <v>14257</v>
      </c>
      <c r="MTV18" s="6"/>
      <c r="MTW18" s="6"/>
      <c r="MTX18" s="6"/>
      <c r="MTY18" s="6"/>
      <c r="MTZ18" s="6"/>
      <c r="MUA18" s="6"/>
      <c r="MUB18" s="6"/>
      <c r="MUC18" s="6"/>
      <c r="MUD18" s="6"/>
      <c r="MUE18" s="6"/>
      <c r="MUF18" s="6"/>
      <c r="MUG18" s="6"/>
      <c r="MUH18" s="6"/>
      <c r="MUI18" s="6"/>
      <c r="MUJ18" s="7"/>
      <c r="MUK18" s="457" t="s">
        <v>14257</v>
      </c>
      <c r="MUL18" s="6"/>
      <c r="MUM18" s="6"/>
      <c r="MUN18" s="6"/>
      <c r="MUO18" s="6"/>
      <c r="MUP18" s="6"/>
      <c r="MUQ18" s="6"/>
      <c r="MUR18" s="6"/>
      <c r="MUS18" s="6"/>
      <c r="MUT18" s="6"/>
      <c r="MUU18" s="6"/>
      <c r="MUV18" s="6"/>
      <c r="MUW18" s="6"/>
      <c r="MUX18" s="6"/>
      <c r="MUY18" s="6"/>
      <c r="MUZ18" s="7"/>
      <c r="MVA18" s="457" t="s">
        <v>14257</v>
      </c>
      <c r="MVB18" s="6"/>
      <c r="MVC18" s="6"/>
      <c r="MVD18" s="6"/>
      <c r="MVE18" s="6"/>
      <c r="MVF18" s="6"/>
      <c r="MVG18" s="6"/>
      <c r="MVH18" s="6"/>
      <c r="MVI18" s="6"/>
      <c r="MVJ18" s="6"/>
      <c r="MVK18" s="6"/>
      <c r="MVL18" s="6"/>
      <c r="MVM18" s="6"/>
      <c r="MVN18" s="6"/>
      <c r="MVO18" s="6"/>
      <c r="MVP18" s="7"/>
      <c r="MVQ18" s="457" t="s">
        <v>14257</v>
      </c>
      <c r="MVR18" s="6"/>
      <c r="MVS18" s="6"/>
      <c r="MVT18" s="6"/>
      <c r="MVU18" s="6"/>
      <c r="MVV18" s="6"/>
      <c r="MVW18" s="6"/>
      <c r="MVX18" s="6"/>
      <c r="MVY18" s="6"/>
      <c r="MVZ18" s="6"/>
      <c r="MWA18" s="6"/>
      <c r="MWB18" s="6"/>
      <c r="MWC18" s="6"/>
      <c r="MWD18" s="6"/>
      <c r="MWE18" s="6"/>
      <c r="MWF18" s="7"/>
      <c r="MWG18" s="457" t="s">
        <v>14257</v>
      </c>
      <c r="MWH18" s="6"/>
      <c r="MWI18" s="6"/>
      <c r="MWJ18" s="6"/>
      <c r="MWK18" s="6"/>
      <c r="MWL18" s="6"/>
      <c r="MWM18" s="6"/>
      <c r="MWN18" s="6"/>
      <c r="MWO18" s="6"/>
      <c r="MWP18" s="6"/>
      <c r="MWQ18" s="6"/>
      <c r="MWR18" s="6"/>
      <c r="MWS18" s="6"/>
      <c r="MWT18" s="6"/>
      <c r="MWU18" s="6"/>
      <c r="MWV18" s="7"/>
      <c r="MWW18" s="457" t="s">
        <v>14257</v>
      </c>
      <c r="MWX18" s="6"/>
      <c r="MWY18" s="6"/>
      <c r="MWZ18" s="6"/>
      <c r="MXA18" s="6"/>
      <c r="MXB18" s="6"/>
      <c r="MXC18" s="6"/>
      <c r="MXD18" s="6"/>
      <c r="MXE18" s="6"/>
      <c r="MXF18" s="6"/>
      <c r="MXG18" s="6"/>
      <c r="MXH18" s="6"/>
      <c r="MXI18" s="6"/>
      <c r="MXJ18" s="6"/>
      <c r="MXK18" s="6"/>
      <c r="MXL18" s="7"/>
      <c r="MXM18" s="457" t="s">
        <v>14257</v>
      </c>
      <c r="MXN18" s="6"/>
      <c r="MXO18" s="6"/>
      <c r="MXP18" s="6"/>
      <c r="MXQ18" s="6"/>
      <c r="MXR18" s="6"/>
      <c r="MXS18" s="6"/>
      <c r="MXT18" s="6"/>
      <c r="MXU18" s="6"/>
      <c r="MXV18" s="6"/>
      <c r="MXW18" s="6"/>
      <c r="MXX18" s="6"/>
      <c r="MXY18" s="6"/>
      <c r="MXZ18" s="6"/>
      <c r="MYA18" s="6"/>
      <c r="MYB18" s="7"/>
      <c r="MYC18" s="457" t="s">
        <v>14257</v>
      </c>
      <c r="MYD18" s="6"/>
      <c r="MYE18" s="6"/>
      <c r="MYF18" s="6"/>
      <c r="MYG18" s="6"/>
      <c r="MYH18" s="6"/>
      <c r="MYI18" s="6"/>
      <c r="MYJ18" s="6"/>
      <c r="MYK18" s="6"/>
      <c r="MYL18" s="6"/>
      <c r="MYM18" s="6"/>
      <c r="MYN18" s="6"/>
      <c r="MYO18" s="6"/>
      <c r="MYP18" s="6"/>
      <c r="MYQ18" s="6"/>
      <c r="MYR18" s="7"/>
      <c r="MYS18" s="457" t="s">
        <v>14257</v>
      </c>
      <c r="MYT18" s="6"/>
      <c r="MYU18" s="6"/>
      <c r="MYV18" s="6"/>
      <c r="MYW18" s="6"/>
      <c r="MYX18" s="6"/>
      <c r="MYY18" s="6"/>
      <c r="MYZ18" s="6"/>
      <c r="MZA18" s="6"/>
      <c r="MZB18" s="6"/>
      <c r="MZC18" s="6"/>
      <c r="MZD18" s="6"/>
      <c r="MZE18" s="6"/>
      <c r="MZF18" s="6"/>
      <c r="MZG18" s="6"/>
      <c r="MZH18" s="7"/>
      <c r="MZI18" s="457" t="s">
        <v>14257</v>
      </c>
      <c r="MZJ18" s="6"/>
      <c r="MZK18" s="6"/>
      <c r="MZL18" s="6"/>
      <c r="MZM18" s="6"/>
      <c r="MZN18" s="6"/>
      <c r="MZO18" s="6"/>
      <c r="MZP18" s="6"/>
      <c r="MZQ18" s="6"/>
      <c r="MZR18" s="6"/>
      <c r="MZS18" s="6"/>
      <c r="MZT18" s="6"/>
      <c r="MZU18" s="6"/>
      <c r="MZV18" s="6"/>
      <c r="MZW18" s="6"/>
      <c r="MZX18" s="7"/>
      <c r="MZY18" s="457" t="s">
        <v>14257</v>
      </c>
      <c r="MZZ18" s="6"/>
      <c r="NAA18" s="6"/>
      <c r="NAB18" s="6"/>
      <c r="NAC18" s="6"/>
      <c r="NAD18" s="6"/>
      <c r="NAE18" s="6"/>
      <c r="NAF18" s="6"/>
      <c r="NAG18" s="6"/>
      <c r="NAH18" s="6"/>
      <c r="NAI18" s="6"/>
      <c r="NAJ18" s="6"/>
      <c r="NAK18" s="6"/>
      <c r="NAL18" s="6"/>
      <c r="NAM18" s="6"/>
      <c r="NAN18" s="7"/>
      <c r="NAO18" s="457" t="s">
        <v>14257</v>
      </c>
      <c r="NAP18" s="6"/>
      <c r="NAQ18" s="6"/>
      <c r="NAR18" s="6"/>
      <c r="NAS18" s="6"/>
      <c r="NAT18" s="6"/>
      <c r="NAU18" s="6"/>
      <c r="NAV18" s="6"/>
      <c r="NAW18" s="6"/>
      <c r="NAX18" s="6"/>
      <c r="NAY18" s="6"/>
      <c r="NAZ18" s="6"/>
      <c r="NBA18" s="6"/>
      <c r="NBB18" s="6"/>
      <c r="NBC18" s="6"/>
      <c r="NBD18" s="7"/>
      <c r="NBE18" s="457" t="s">
        <v>14257</v>
      </c>
      <c r="NBF18" s="6"/>
      <c r="NBG18" s="6"/>
      <c r="NBH18" s="6"/>
      <c r="NBI18" s="6"/>
      <c r="NBJ18" s="6"/>
      <c r="NBK18" s="6"/>
      <c r="NBL18" s="6"/>
      <c r="NBM18" s="6"/>
      <c r="NBN18" s="6"/>
      <c r="NBO18" s="6"/>
      <c r="NBP18" s="6"/>
      <c r="NBQ18" s="6"/>
      <c r="NBR18" s="6"/>
      <c r="NBS18" s="6"/>
      <c r="NBT18" s="7"/>
      <c r="NBU18" s="457" t="s">
        <v>14257</v>
      </c>
      <c r="NBV18" s="6"/>
      <c r="NBW18" s="6"/>
      <c r="NBX18" s="6"/>
      <c r="NBY18" s="6"/>
      <c r="NBZ18" s="6"/>
      <c r="NCA18" s="6"/>
      <c r="NCB18" s="6"/>
      <c r="NCC18" s="6"/>
      <c r="NCD18" s="6"/>
      <c r="NCE18" s="6"/>
      <c r="NCF18" s="6"/>
      <c r="NCG18" s="6"/>
      <c r="NCH18" s="6"/>
      <c r="NCI18" s="6"/>
      <c r="NCJ18" s="7"/>
      <c r="NCK18" s="457" t="s">
        <v>14257</v>
      </c>
      <c r="NCL18" s="6"/>
      <c r="NCM18" s="6"/>
      <c r="NCN18" s="6"/>
      <c r="NCO18" s="6"/>
      <c r="NCP18" s="6"/>
      <c r="NCQ18" s="6"/>
      <c r="NCR18" s="6"/>
      <c r="NCS18" s="6"/>
      <c r="NCT18" s="6"/>
      <c r="NCU18" s="6"/>
      <c r="NCV18" s="6"/>
      <c r="NCW18" s="6"/>
      <c r="NCX18" s="6"/>
      <c r="NCY18" s="6"/>
      <c r="NCZ18" s="7"/>
      <c r="NDA18" s="457" t="s">
        <v>14257</v>
      </c>
      <c r="NDB18" s="6"/>
      <c r="NDC18" s="6"/>
      <c r="NDD18" s="6"/>
      <c r="NDE18" s="6"/>
      <c r="NDF18" s="6"/>
      <c r="NDG18" s="6"/>
      <c r="NDH18" s="6"/>
      <c r="NDI18" s="6"/>
      <c r="NDJ18" s="6"/>
      <c r="NDK18" s="6"/>
      <c r="NDL18" s="6"/>
      <c r="NDM18" s="6"/>
      <c r="NDN18" s="6"/>
      <c r="NDO18" s="6"/>
      <c r="NDP18" s="7"/>
      <c r="NDQ18" s="457" t="s">
        <v>14257</v>
      </c>
      <c r="NDR18" s="6"/>
      <c r="NDS18" s="6"/>
      <c r="NDT18" s="6"/>
      <c r="NDU18" s="6"/>
      <c r="NDV18" s="6"/>
      <c r="NDW18" s="6"/>
      <c r="NDX18" s="6"/>
      <c r="NDY18" s="6"/>
      <c r="NDZ18" s="6"/>
      <c r="NEA18" s="6"/>
      <c r="NEB18" s="6"/>
      <c r="NEC18" s="6"/>
      <c r="NED18" s="6"/>
      <c r="NEE18" s="6"/>
      <c r="NEF18" s="7"/>
      <c r="NEG18" s="457" t="s">
        <v>14257</v>
      </c>
      <c r="NEH18" s="6"/>
      <c r="NEI18" s="6"/>
      <c r="NEJ18" s="6"/>
      <c r="NEK18" s="6"/>
      <c r="NEL18" s="6"/>
      <c r="NEM18" s="6"/>
      <c r="NEN18" s="6"/>
      <c r="NEO18" s="6"/>
      <c r="NEP18" s="6"/>
      <c r="NEQ18" s="6"/>
      <c r="NER18" s="6"/>
      <c r="NES18" s="6"/>
      <c r="NET18" s="6"/>
      <c r="NEU18" s="6"/>
      <c r="NEV18" s="7"/>
      <c r="NEW18" s="457" t="s">
        <v>14257</v>
      </c>
      <c r="NEX18" s="6"/>
      <c r="NEY18" s="6"/>
      <c r="NEZ18" s="6"/>
      <c r="NFA18" s="6"/>
      <c r="NFB18" s="6"/>
      <c r="NFC18" s="6"/>
      <c r="NFD18" s="6"/>
      <c r="NFE18" s="6"/>
      <c r="NFF18" s="6"/>
      <c r="NFG18" s="6"/>
      <c r="NFH18" s="6"/>
      <c r="NFI18" s="6"/>
      <c r="NFJ18" s="6"/>
      <c r="NFK18" s="6"/>
      <c r="NFL18" s="7"/>
      <c r="NFM18" s="457" t="s">
        <v>14257</v>
      </c>
      <c r="NFN18" s="6"/>
      <c r="NFO18" s="6"/>
      <c r="NFP18" s="6"/>
      <c r="NFQ18" s="6"/>
      <c r="NFR18" s="6"/>
      <c r="NFS18" s="6"/>
      <c r="NFT18" s="6"/>
      <c r="NFU18" s="6"/>
      <c r="NFV18" s="6"/>
      <c r="NFW18" s="6"/>
      <c r="NFX18" s="6"/>
      <c r="NFY18" s="6"/>
      <c r="NFZ18" s="6"/>
      <c r="NGA18" s="6"/>
      <c r="NGB18" s="7"/>
      <c r="NGC18" s="457" t="s">
        <v>14257</v>
      </c>
      <c r="NGD18" s="6"/>
      <c r="NGE18" s="6"/>
      <c r="NGF18" s="6"/>
      <c r="NGG18" s="6"/>
      <c r="NGH18" s="6"/>
      <c r="NGI18" s="6"/>
      <c r="NGJ18" s="6"/>
      <c r="NGK18" s="6"/>
      <c r="NGL18" s="6"/>
      <c r="NGM18" s="6"/>
      <c r="NGN18" s="6"/>
      <c r="NGO18" s="6"/>
      <c r="NGP18" s="6"/>
      <c r="NGQ18" s="6"/>
      <c r="NGR18" s="7"/>
      <c r="NGS18" s="457" t="s">
        <v>14257</v>
      </c>
      <c r="NGT18" s="6"/>
      <c r="NGU18" s="6"/>
      <c r="NGV18" s="6"/>
      <c r="NGW18" s="6"/>
      <c r="NGX18" s="6"/>
      <c r="NGY18" s="6"/>
      <c r="NGZ18" s="6"/>
      <c r="NHA18" s="6"/>
      <c r="NHB18" s="6"/>
      <c r="NHC18" s="6"/>
      <c r="NHD18" s="6"/>
      <c r="NHE18" s="6"/>
      <c r="NHF18" s="6"/>
      <c r="NHG18" s="6"/>
      <c r="NHH18" s="7"/>
      <c r="NHI18" s="457" t="s">
        <v>14257</v>
      </c>
      <c r="NHJ18" s="6"/>
      <c r="NHK18" s="6"/>
      <c r="NHL18" s="6"/>
      <c r="NHM18" s="6"/>
      <c r="NHN18" s="6"/>
      <c r="NHO18" s="6"/>
      <c r="NHP18" s="6"/>
      <c r="NHQ18" s="6"/>
      <c r="NHR18" s="6"/>
      <c r="NHS18" s="6"/>
      <c r="NHT18" s="6"/>
      <c r="NHU18" s="6"/>
      <c r="NHV18" s="6"/>
      <c r="NHW18" s="6"/>
      <c r="NHX18" s="7"/>
      <c r="NHY18" s="457" t="s">
        <v>14257</v>
      </c>
      <c r="NHZ18" s="6"/>
      <c r="NIA18" s="6"/>
      <c r="NIB18" s="6"/>
      <c r="NIC18" s="6"/>
      <c r="NID18" s="6"/>
      <c r="NIE18" s="6"/>
      <c r="NIF18" s="6"/>
      <c r="NIG18" s="6"/>
      <c r="NIH18" s="6"/>
      <c r="NII18" s="6"/>
      <c r="NIJ18" s="6"/>
      <c r="NIK18" s="6"/>
      <c r="NIL18" s="6"/>
      <c r="NIM18" s="6"/>
      <c r="NIN18" s="7"/>
      <c r="NIO18" s="457" t="s">
        <v>14257</v>
      </c>
      <c r="NIP18" s="6"/>
      <c r="NIQ18" s="6"/>
      <c r="NIR18" s="6"/>
      <c r="NIS18" s="6"/>
      <c r="NIT18" s="6"/>
      <c r="NIU18" s="6"/>
      <c r="NIV18" s="6"/>
      <c r="NIW18" s="6"/>
      <c r="NIX18" s="6"/>
      <c r="NIY18" s="6"/>
      <c r="NIZ18" s="6"/>
      <c r="NJA18" s="6"/>
      <c r="NJB18" s="6"/>
      <c r="NJC18" s="6"/>
      <c r="NJD18" s="7"/>
      <c r="NJE18" s="457" t="s">
        <v>14257</v>
      </c>
      <c r="NJF18" s="6"/>
      <c r="NJG18" s="6"/>
      <c r="NJH18" s="6"/>
      <c r="NJI18" s="6"/>
      <c r="NJJ18" s="6"/>
      <c r="NJK18" s="6"/>
      <c r="NJL18" s="6"/>
      <c r="NJM18" s="6"/>
      <c r="NJN18" s="6"/>
      <c r="NJO18" s="6"/>
      <c r="NJP18" s="6"/>
      <c r="NJQ18" s="6"/>
      <c r="NJR18" s="6"/>
      <c r="NJS18" s="6"/>
      <c r="NJT18" s="7"/>
      <c r="NJU18" s="457" t="s">
        <v>14257</v>
      </c>
      <c r="NJV18" s="6"/>
      <c r="NJW18" s="6"/>
      <c r="NJX18" s="6"/>
      <c r="NJY18" s="6"/>
      <c r="NJZ18" s="6"/>
      <c r="NKA18" s="6"/>
      <c r="NKB18" s="6"/>
      <c r="NKC18" s="6"/>
      <c r="NKD18" s="6"/>
      <c r="NKE18" s="6"/>
      <c r="NKF18" s="6"/>
      <c r="NKG18" s="6"/>
      <c r="NKH18" s="6"/>
      <c r="NKI18" s="6"/>
      <c r="NKJ18" s="7"/>
      <c r="NKK18" s="457" t="s">
        <v>14257</v>
      </c>
      <c r="NKL18" s="6"/>
      <c r="NKM18" s="6"/>
      <c r="NKN18" s="6"/>
      <c r="NKO18" s="6"/>
      <c r="NKP18" s="6"/>
      <c r="NKQ18" s="6"/>
      <c r="NKR18" s="6"/>
      <c r="NKS18" s="6"/>
      <c r="NKT18" s="6"/>
      <c r="NKU18" s="6"/>
      <c r="NKV18" s="6"/>
      <c r="NKW18" s="6"/>
      <c r="NKX18" s="6"/>
      <c r="NKY18" s="6"/>
      <c r="NKZ18" s="7"/>
      <c r="NLA18" s="457" t="s">
        <v>14257</v>
      </c>
      <c r="NLB18" s="6"/>
      <c r="NLC18" s="6"/>
      <c r="NLD18" s="6"/>
      <c r="NLE18" s="6"/>
      <c r="NLF18" s="6"/>
      <c r="NLG18" s="6"/>
      <c r="NLH18" s="6"/>
      <c r="NLI18" s="6"/>
      <c r="NLJ18" s="6"/>
      <c r="NLK18" s="6"/>
      <c r="NLL18" s="6"/>
      <c r="NLM18" s="6"/>
      <c r="NLN18" s="6"/>
      <c r="NLO18" s="6"/>
      <c r="NLP18" s="7"/>
      <c r="NLQ18" s="457" t="s">
        <v>14257</v>
      </c>
      <c r="NLR18" s="6"/>
      <c r="NLS18" s="6"/>
      <c r="NLT18" s="6"/>
      <c r="NLU18" s="6"/>
      <c r="NLV18" s="6"/>
      <c r="NLW18" s="6"/>
      <c r="NLX18" s="6"/>
      <c r="NLY18" s="6"/>
      <c r="NLZ18" s="6"/>
      <c r="NMA18" s="6"/>
      <c r="NMB18" s="6"/>
      <c r="NMC18" s="6"/>
      <c r="NMD18" s="6"/>
      <c r="NME18" s="6"/>
      <c r="NMF18" s="7"/>
      <c r="NMG18" s="457" t="s">
        <v>14257</v>
      </c>
      <c r="NMH18" s="6"/>
      <c r="NMI18" s="6"/>
      <c r="NMJ18" s="6"/>
      <c r="NMK18" s="6"/>
      <c r="NML18" s="6"/>
      <c r="NMM18" s="6"/>
      <c r="NMN18" s="6"/>
      <c r="NMO18" s="6"/>
      <c r="NMP18" s="6"/>
      <c r="NMQ18" s="6"/>
      <c r="NMR18" s="6"/>
      <c r="NMS18" s="6"/>
      <c r="NMT18" s="6"/>
      <c r="NMU18" s="6"/>
      <c r="NMV18" s="7"/>
      <c r="NMW18" s="457" t="s">
        <v>14257</v>
      </c>
      <c r="NMX18" s="6"/>
      <c r="NMY18" s="6"/>
      <c r="NMZ18" s="6"/>
      <c r="NNA18" s="6"/>
      <c r="NNB18" s="6"/>
      <c r="NNC18" s="6"/>
      <c r="NND18" s="6"/>
      <c r="NNE18" s="6"/>
      <c r="NNF18" s="6"/>
      <c r="NNG18" s="6"/>
      <c r="NNH18" s="6"/>
      <c r="NNI18" s="6"/>
      <c r="NNJ18" s="6"/>
      <c r="NNK18" s="6"/>
      <c r="NNL18" s="7"/>
      <c r="NNM18" s="457" t="s">
        <v>14257</v>
      </c>
      <c r="NNN18" s="6"/>
      <c r="NNO18" s="6"/>
      <c r="NNP18" s="6"/>
      <c r="NNQ18" s="6"/>
      <c r="NNR18" s="6"/>
      <c r="NNS18" s="6"/>
      <c r="NNT18" s="6"/>
      <c r="NNU18" s="6"/>
      <c r="NNV18" s="6"/>
      <c r="NNW18" s="6"/>
      <c r="NNX18" s="6"/>
      <c r="NNY18" s="6"/>
      <c r="NNZ18" s="6"/>
      <c r="NOA18" s="6"/>
      <c r="NOB18" s="7"/>
      <c r="NOC18" s="457" t="s">
        <v>14257</v>
      </c>
      <c r="NOD18" s="6"/>
      <c r="NOE18" s="6"/>
      <c r="NOF18" s="6"/>
      <c r="NOG18" s="6"/>
      <c r="NOH18" s="6"/>
      <c r="NOI18" s="6"/>
      <c r="NOJ18" s="6"/>
      <c r="NOK18" s="6"/>
      <c r="NOL18" s="6"/>
      <c r="NOM18" s="6"/>
      <c r="NON18" s="6"/>
      <c r="NOO18" s="6"/>
      <c r="NOP18" s="6"/>
      <c r="NOQ18" s="6"/>
      <c r="NOR18" s="7"/>
      <c r="NOS18" s="457" t="s">
        <v>14257</v>
      </c>
      <c r="NOT18" s="6"/>
      <c r="NOU18" s="6"/>
      <c r="NOV18" s="6"/>
      <c r="NOW18" s="6"/>
      <c r="NOX18" s="6"/>
      <c r="NOY18" s="6"/>
      <c r="NOZ18" s="6"/>
      <c r="NPA18" s="6"/>
      <c r="NPB18" s="6"/>
      <c r="NPC18" s="6"/>
      <c r="NPD18" s="6"/>
      <c r="NPE18" s="6"/>
      <c r="NPF18" s="6"/>
      <c r="NPG18" s="6"/>
      <c r="NPH18" s="7"/>
      <c r="NPI18" s="457" t="s">
        <v>14257</v>
      </c>
      <c r="NPJ18" s="6"/>
      <c r="NPK18" s="6"/>
      <c r="NPL18" s="6"/>
      <c r="NPM18" s="6"/>
      <c r="NPN18" s="6"/>
      <c r="NPO18" s="6"/>
      <c r="NPP18" s="6"/>
      <c r="NPQ18" s="6"/>
      <c r="NPR18" s="6"/>
      <c r="NPS18" s="6"/>
      <c r="NPT18" s="6"/>
      <c r="NPU18" s="6"/>
      <c r="NPV18" s="6"/>
      <c r="NPW18" s="6"/>
      <c r="NPX18" s="7"/>
      <c r="NPY18" s="457" t="s">
        <v>14257</v>
      </c>
      <c r="NPZ18" s="6"/>
      <c r="NQA18" s="6"/>
      <c r="NQB18" s="6"/>
      <c r="NQC18" s="6"/>
      <c r="NQD18" s="6"/>
      <c r="NQE18" s="6"/>
      <c r="NQF18" s="6"/>
      <c r="NQG18" s="6"/>
      <c r="NQH18" s="6"/>
      <c r="NQI18" s="6"/>
      <c r="NQJ18" s="6"/>
      <c r="NQK18" s="6"/>
      <c r="NQL18" s="6"/>
      <c r="NQM18" s="6"/>
      <c r="NQN18" s="7"/>
      <c r="NQO18" s="457" t="s">
        <v>14257</v>
      </c>
      <c r="NQP18" s="6"/>
      <c r="NQQ18" s="6"/>
      <c r="NQR18" s="6"/>
      <c r="NQS18" s="6"/>
      <c r="NQT18" s="6"/>
      <c r="NQU18" s="6"/>
      <c r="NQV18" s="6"/>
      <c r="NQW18" s="6"/>
      <c r="NQX18" s="6"/>
      <c r="NQY18" s="6"/>
      <c r="NQZ18" s="6"/>
      <c r="NRA18" s="6"/>
      <c r="NRB18" s="6"/>
      <c r="NRC18" s="6"/>
      <c r="NRD18" s="7"/>
      <c r="NRE18" s="457" t="s">
        <v>14257</v>
      </c>
      <c r="NRF18" s="6"/>
      <c r="NRG18" s="6"/>
      <c r="NRH18" s="6"/>
      <c r="NRI18" s="6"/>
      <c r="NRJ18" s="6"/>
      <c r="NRK18" s="6"/>
      <c r="NRL18" s="6"/>
      <c r="NRM18" s="6"/>
      <c r="NRN18" s="6"/>
      <c r="NRO18" s="6"/>
      <c r="NRP18" s="6"/>
      <c r="NRQ18" s="6"/>
      <c r="NRR18" s="6"/>
      <c r="NRS18" s="6"/>
      <c r="NRT18" s="7"/>
      <c r="NRU18" s="457" t="s">
        <v>14257</v>
      </c>
      <c r="NRV18" s="6"/>
      <c r="NRW18" s="6"/>
      <c r="NRX18" s="6"/>
      <c r="NRY18" s="6"/>
      <c r="NRZ18" s="6"/>
      <c r="NSA18" s="6"/>
      <c r="NSB18" s="6"/>
      <c r="NSC18" s="6"/>
      <c r="NSD18" s="6"/>
      <c r="NSE18" s="6"/>
      <c r="NSF18" s="6"/>
      <c r="NSG18" s="6"/>
      <c r="NSH18" s="6"/>
      <c r="NSI18" s="6"/>
      <c r="NSJ18" s="7"/>
      <c r="NSK18" s="457" t="s">
        <v>14257</v>
      </c>
      <c r="NSL18" s="6"/>
      <c r="NSM18" s="6"/>
      <c r="NSN18" s="6"/>
      <c r="NSO18" s="6"/>
      <c r="NSP18" s="6"/>
      <c r="NSQ18" s="6"/>
      <c r="NSR18" s="6"/>
      <c r="NSS18" s="6"/>
      <c r="NST18" s="6"/>
      <c r="NSU18" s="6"/>
      <c r="NSV18" s="6"/>
      <c r="NSW18" s="6"/>
      <c r="NSX18" s="6"/>
      <c r="NSY18" s="6"/>
      <c r="NSZ18" s="7"/>
      <c r="NTA18" s="457" t="s">
        <v>14257</v>
      </c>
      <c r="NTB18" s="6"/>
      <c r="NTC18" s="6"/>
      <c r="NTD18" s="6"/>
      <c r="NTE18" s="6"/>
      <c r="NTF18" s="6"/>
      <c r="NTG18" s="6"/>
      <c r="NTH18" s="6"/>
      <c r="NTI18" s="6"/>
      <c r="NTJ18" s="6"/>
      <c r="NTK18" s="6"/>
      <c r="NTL18" s="6"/>
      <c r="NTM18" s="6"/>
      <c r="NTN18" s="6"/>
      <c r="NTO18" s="6"/>
      <c r="NTP18" s="7"/>
      <c r="NTQ18" s="457" t="s">
        <v>14257</v>
      </c>
      <c r="NTR18" s="6"/>
      <c r="NTS18" s="6"/>
      <c r="NTT18" s="6"/>
      <c r="NTU18" s="6"/>
      <c r="NTV18" s="6"/>
      <c r="NTW18" s="6"/>
      <c r="NTX18" s="6"/>
      <c r="NTY18" s="6"/>
      <c r="NTZ18" s="6"/>
      <c r="NUA18" s="6"/>
      <c r="NUB18" s="6"/>
      <c r="NUC18" s="6"/>
      <c r="NUD18" s="6"/>
      <c r="NUE18" s="6"/>
      <c r="NUF18" s="7"/>
      <c r="NUG18" s="457" t="s">
        <v>14257</v>
      </c>
      <c r="NUH18" s="6"/>
      <c r="NUI18" s="6"/>
      <c r="NUJ18" s="6"/>
      <c r="NUK18" s="6"/>
      <c r="NUL18" s="6"/>
      <c r="NUM18" s="6"/>
      <c r="NUN18" s="6"/>
      <c r="NUO18" s="6"/>
      <c r="NUP18" s="6"/>
      <c r="NUQ18" s="6"/>
      <c r="NUR18" s="6"/>
      <c r="NUS18" s="6"/>
      <c r="NUT18" s="6"/>
      <c r="NUU18" s="6"/>
      <c r="NUV18" s="7"/>
      <c r="NUW18" s="457" t="s">
        <v>14257</v>
      </c>
      <c r="NUX18" s="6"/>
      <c r="NUY18" s="6"/>
      <c r="NUZ18" s="6"/>
      <c r="NVA18" s="6"/>
      <c r="NVB18" s="6"/>
      <c r="NVC18" s="6"/>
      <c r="NVD18" s="6"/>
      <c r="NVE18" s="6"/>
      <c r="NVF18" s="6"/>
      <c r="NVG18" s="6"/>
      <c r="NVH18" s="6"/>
      <c r="NVI18" s="6"/>
      <c r="NVJ18" s="6"/>
      <c r="NVK18" s="6"/>
      <c r="NVL18" s="7"/>
      <c r="NVM18" s="457" t="s">
        <v>14257</v>
      </c>
      <c r="NVN18" s="6"/>
      <c r="NVO18" s="6"/>
      <c r="NVP18" s="6"/>
      <c r="NVQ18" s="6"/>
      <c r="NVR18" s="6"/>
      <c r="NVS18" s="6"/>
      <c r="NVT18" s="6"/>
      <c r="NVU18" s="6"/>
      <c r="NVV18" s="6"/>
      <c r="NVW18" s="6"/>
      <c r="NVX18" s="6"/>
      <c r="NVY18" s="6"/>
      <c r="NVZ18" s="6"/>
      <c r="NWA18" s="6"/>
      <c r="NWB18" s="7"/>
      <c r="NWC18" s="457" t="s">
        <v>14257</v>
      </c>
      <c r="NWD18" s="6"/>
      <c r="NWE18" s="6"/>
      <c r="NWF18" s="6"/>
      <c r="NWG18" s="6"/>
      <c r="NWH18" s="6"/>
      <c r="NWI18" s="6"/>
      <c r="NWJ18" s="6"/>
      <c r="NWK18" s="6"/>
      <c r="NWL18" s="6"/>
      <c r="NWM18" s="6"/>
      <c r="NWN18" s="6"/>
      <c r="NWO18" s="6"/>
      <c r="NWP18" s="6"/>
      <c r="NWQ18" s="6"/>
      <c r="NWR18" s="7"/>
      <c r="NWS18" s="457" t="s">
        <v>14257</v>
      </c>
      <c r="NWT18" s="6"/>
      <c r="NWU18" s="6"/>
      <c r="NWV18" s="6"/>
      <c r="NWW18" s="6"/>
      <c r="NWX18" s="6"/>
      <c r="NWY18" s="6"/>
      <c r="NWZ18" s="6"/>
      <c r="NXA18" s="6"/>
      <c r="NXB18" s="6"/>
      <c r="NXC18" s="6"/>
      <c r="NXD18" s="6"/>
      <c r="NXE18" s="6"/>
      <c r="NXF18" s="6"/>
      <c r="NXG18" s="6"/>
      <c r="NXH18" s="7"/>
      <c r="NXI18" s="457" t="s">
        <v>14257</v>
      </c>
      <c r="NXJ18" s="6"/>
      <c r="NXK18" s="6"/>
      <c r="NXL18" s="6"/>
      <c r="NXM18" s="6"/>
      <c r="NXN18" s="6"/>
      <c r="NXO18" s="6"/>
      <c r="NXP18" s="6"/>
      <c r="NXQ18" s="6"/>
      <c r="NXR18" s="6"/>
      <c r="NXS18" s="6"/>
      <c r="NXT18" s="6"/>
      <c r="NXU18" s="6"/>
      <c r="NXV18" s="6"/>
      <c r="NXW18" s="6"/>
      <c r="NXX18" s="7"/>
      <c r="NXY18" s="457" t="s">
        <v>14257</v>
      </c>
      <c r="NXZ18" s="6"/>
      <c r="NYA18" s="6"/>
      <c r="NYB18" s="6"/>
      <c r="NYC18" s="6"/>
      <c r="NYD18" s="6"/>
      <c r="NYE18" s="6"/>
      <c r="NYF18" s="6"/>
      <c r="NYG18" s="6"/>
      <c r="NYH18" s="6"/>
      <c r="NYI18" s="6"/>
      <c r="NYJ18" s="6"/>
      <c r="NYK18" s="6"/>
      <c r="NYL18" s="6"/>
      <c r="NYM18" s="6"/>
      <c r="NYN18" s="7"/>
      <c r="NYO18" s="457" t="s">
        <v>14257</v>
      </c>
      <c r="NYP18" s="6"/>
      <c r="NYQ18" s="6"/>
      <c r="NYR18" s="6"/>
      <c r="NYS18" s="6"/>
      <c r="NYT18" s="6"/>
      <c r="NYU18" s="6"/>
      <c r="NYV18" s="6"/>
      <c r="NYW18" s="6"/>
      <c r="NYX18" s="6"/>
      <c r="NYY18" s="6"/>
      <c r="NYZ18" s="6"/>
      <c r="NZA18" s="6"/>
      <c r="NZB18" s="6"/>
      <c r="NZC18" s="6"/>
      <c r="NZD18" s="7"/>
      <c r="NZE18" s="457" t="s">
        <v>14257</v>
      </c>
      <c r="NZF18" s="6"/>
      <c r="NZG18" s="6"/>
      <c r="NZH18" s="6"/>
      <c r="NZI18" s="6"/>
      <c r="NZJ18" s="6"/>
      <c r="NZK18" s="6"/>
      <c r="NZL18" s="6"/>
      <c r="NZM18" s="6"/>
      <c r="NZN18" s="6"/>
      <c r="NZO18" s="6"/>
      <c r="NZP18" s="6"/>
      <c r="NZQ18" s="6"/>
      <c r="NZR18" s="6"/>
      <c r="NZS18" s="6"/>
      <c r="NZT18" s="7"/>
      <c r="NZU18" s="457" t="s">
        <v>14257</v>
      </c>
      <c r="NZV18" s="6"/>
      <c r="NZW18" s="6"/>
      <c r="NZX18" s="6"/>
      <c r="NZY18" s="6"/>
      <c r="NZZ18" s="6"/>
      <c r="OAA18" s="6"/>
      <c r="OAB18" s="6"/>
      <c r="OAC18" s="6"/>
      <c r="OAD18" s="6"/>
      <c r="OAE18" s="6"/>
      <c r="OAF18" s="6"/>
      <c r="OAG18" s="6"/>
      <c r="OAH18" s="6"/>
      <c r="OAI18" s="6"/>
      <c r="OAJ18" s="7"/>
      <c r="OAK18" s="457" t="s">
        <v>14257</v>
      </c>
      <c r="OAL18" s="6"/>
      <c r="OAM18" s="6"/>
      <c r="OAN18" s="6"/>
      <c r="OAO18" s="6"/>
      <c r="OAP18" s="6"/>
      <c r="OAQ18" s="6"/>
      <c r="OAR18" s="6"/>
      <c r="OAS18" s="6"/>
      <c r="OAT18" s="6"/>
      <c r="OAU18" s="6"/>
      <c r="OAV18" s="6"/>
      <c r="OAW18" s="6"/>
      <c r="OAX18" s="6"/>
      <c r="OAY18" s="6"/>
      <c r="OAZ18" s="7"/>
      <c r="OBA18" s="457" t="s">
        <v>14257</v>
      </c>
      <c r="OBB18" s="6"/>
      <c r="OBC18" s="6"/>
      <c r="OBD18" s="6"/>
      <c r="OBE18" s="6"/>
      <c r="OBF18" s="6"/>
      <c r="OBG18" s="6"/>
      <c r="OBH18" s="6"/>
      <c r="OBI18" s="6"/>
      <c r="OBJ18" s="6"/>
      <c r="OBK18" s="6"/>
      <c r="OBL18" s="6"/>
      <c r="OBM18" s="6"/>
      <c r="OBN18" s="6"/>
      <c r="OBO18" s="6"/>
      <c r="OBP18" s="7"/>
      <c r="OBQ18" s="457" t="s">
        <v>14257</v>
      </c>
      <c r="OBR18" s="6"/>
      <c r="OBS18" s="6"/>
      <c r="OBT18" s="6"/>
      <c r="OBU18" s="6"/>
      <c r="OBV18" s="6"/>
      <c r="OBW18" s="6"/>
      <c r="OBX18" s="6"/>
      <c r="OBY18" s="6"/>
      <c r="OBZ18" s="6"/>
      <c r="OCA18" s="6"/>
      <c r="OCB18" s="6"/>
      <c r="OCC18" s="6"/>
      <c r="OCD18" s="6"/>
      <c r="OCE18" s="6"/>
      <c r="OCF18" s="7"/>
      <c r="OCG18" s="457" t="s">
        <v>14257</v>
      </c>
      <c r="OCH18" s="6"/>
      <c r="OCI18" s="6"/>
      <c r="OCJ18" s="6"/>
      <c r="OCK18" s="6"/>
      <c r="OCL18" s="6"/>
      <c r="OCM18" s="6"/>
      <c r="OCN18" s="6"/>
      <c r="OCO18" s="6"/>
      <c r="OCP18" s="6"/>
      <c r="OCQ18" s="6"/>
      <c r="OCR18" s="6"/>
      <c r="OCS18" s="6"/>
      <c r="OCT18" s="6"/>
      <c r="OCU18" s="6"/>
      <c r="OCV18" s="7"/>
      <c r="OCW18" s="457" t="s">
        <v>14257</v>
      </c>
      <c r="OCX18" s="6"/>
      <c r="OCY18" s="6"/>
      <c r="OCZ18" s="6"/>
      <c r="ODA18" s="6"/>
      <c r="ODB18" s="6"/>
      <c r="ODC18" s="6"/>
      <c r="ODD18" s="6"/>
      <c r="ODE18" s="6"/>
      <c r="ODF18" s="6"/>
      <c r="ODG18" s="6"/>
      <c r="ODH18" s="6"/>
      <c r="ODI18" s="6"/>
      <c r="ODJ18" s="6"/>
      <c r="ODK18" s="6"/>
      <c r="ODL18" s="7"/>
      <c r="ODM18" s="457" t="s">
        <v>14257</v>
      </c>
      <c r="ODN18" s="6"/>
      <c r="ODO18" s="6"/>
      <c r="ODP18" s="6"/>
      <c r="ODQ18" s="6"/>
      <c r="ODR18" s="6"/>
      <c r="ODS18" s="6"/>
      <c r="ODT18" s="6"/>
      <c r="ODU18" s="6"/>
      <c r="ODV18" s="6"/>
      <c r="ODW18" s="6"/>
      <c r="ODX18" s="6"/>
      <c r="ODY18" s="6"/>
      <c r="ODZ18" s="6"/>
      <c r="OEA18" s="6"/>
      <c r="OEB18" s="7"/>
      <c r="OEC18" s="457" t="s">
        <v>14257</v>
      </c>
      <c r="OED18" s="6"/>
      <c r="OEE18" s="6"/>
      <c r="OEF18" s="6"/>
      <c r="OEG18" s="6"/>
      <c r="OEH18" s="6"/>
      <c r="OEI18" s="6"/>
      <c r="OEJ18" s="6"/>
      <c r="OEK18" s="6"/>
      <c r="OEL18" s="6"/>
      <c r="OEM18" s="6"/>
      <c r="OEN18" s="6"/>
      <c r="OEO18" s="6"/>
      <c r="OEP18" s="6"/>
      <c r="OEQ18" s="6"/>
      <c r="OER18" s="7"/>
      <c r="OES18" s="457" t="s">
        <v>14257</v>
      </c>
      <c r="OET18" s="6"/>
      <c r="OEU18" s="6"/>
      <c r="OEV18" s="6"/>
      <c r="OEW18" s="6"/>
      <c r="OEX18" s="6"/>
      <c r="OEY18" s="6"/>
      <c r="OEZ18" s="6"/>
      <c r="OFA18" s="6"/>
      <c r="OFB18" s="6"/>
      <c r="OFC18" s="6"/>
      <c r="OFD18" s="6"/>
      <c r="OFE18" s="6"/>
      <c r="OFF18" s="6"/>
      <c r="OFG18" s="6"/>
      <c r="OFH18" s="7"/>
      <c r="OFI18" s="457" t="s">
        <v>14257</v>
      </c>
      <c r="OFJ18" s="6"/>
      <c r="OFK18" s="6"/>
      <c r="OFL18" s="6"/>
      <c r="OFM18" s="6"/>
      <c r="OFN18" s="6"/>
      <c r="OFO18" s="6"/>
      <c r="OFP18" s="6"/>
      <c r="OFQ18" s="6"/>
      <c r="OFR18" s="6"/>
      <c r="OFS18" s="6"/>
      <c r="OFT18" s="6"/>
      <c r="OFU18" s="6"/>
      <c r="OFV18" s="6"/>
      <c r="OFW18" s="6"/>
      <c r="OFX18" s="7"/>
      <c r="OFY18" s="457" t="s">
        <v>14257</v>
      </c>
      <c r="OFZ18" s="6"/>
      <c r="OGA18" s="6"/>
      <c r="OGB18" s="6"/>
      <c r="OGC18" s="6"/>
      <c r="OGD18" s="6"/>
      <c r="OGE18" s="6"/>
      <c r="OGF18" s="6"/>
      <c r="OGG18" s="6"/>
      <c r="OGH18" s="6"/>
      <c r="OGI18" s="6"/>
      <c r="OGJ18" s="6"/>
      <c r="OGK18" s="6"/>
      <c r="OGL18" s="6"/>
      <c r="OGM18" s="6"/>
      <c r="OGN18" s="7"/>
      <c r="OGO18" s="457" t="s">
        <v>14257</v>
      </c>
      <c r="OGP18" s="6"/>
      <c r="OGQ18" s="6"/>
      <c r="OGR18" s="6"/>
      <c r="OGS18" s="6"/>
      <c r="OGT18" s="6"/>
      <c r="OGU18" s="6"/>
      <c r="OGV18" s="6"/>
      <c r="OGW18" s="6"/>
      <c r="OGX18" s="6"/>
      <c r="OGY18" s="6"/>
      <c r="OGZ18" s="6"/>
      <c r="OHA18" s="6"/>
      <c r="OHB18" s="6"/>
      <c r="OHC18" s="6"/>
      <c r="OHD18" s="7"/>
      <c r="OHE18" s="457" t="s">
        <v>14257</v>
      </c>
      <c r="OHF18" s="6"/>
      <c r="OHG18" s="6"/>
      <c r="OHH18" s="6"/>
      <c r="OHI18" s="6"/>
      <c r="OHJ18" s="6"/>
      <c r="OHK18" s="6"/>
      <c r="OHL18" s="6"/>
      <c r="OHM18" s="6"/>
      <c r="OHN18" s="6"/>
      <c r="OHO18" s="6"/>
      <c r="OHP18" s="6"/>
      <c r="OHQ18" s="6"/>
      <c r="OHR18" s="6"/>
      <c r="OHS18" s="6"/>
      <c r="OHT18" s="7"/>
      <c r="OHU18" s="457" t="s">
        <v>14257</v>
      </c>
      <c r="OHV18" s="6"/>
      <c r="OHW18" s="6"/>
      <c r="OHX18" s="6"/>
      <c r="OHY18" s="6"/>
      <c r="OHZ18" s="6"/>
      <c r="OIA18" s="6"/>
      <c r="OIB18" s="6"/>
      <c r="OIC18" s="6"/>
      <c r="OID18" s="6"/>
      <c r="OIE18" s="6"/>
      <c r="OIF18" s="6"/>
      <c r="OIG18" s="6"/>
      <c r="OIH18" s="6"/>
      <c r="OII18" s="6"/>
      <c r="OIJ18" s="7"/>
      <c r="OIK18" s="457" t="s">
        <v>14257</v>
      </c>
      <c r="OIL18" s="6"/>
      <c r="OIM18" s="6"/>
      <c r="OIN18" s="6"/>
      <c r="OIO18" s="6"/>
      <c r="OIP18" s="6"/>
      <c r="OIQ18" s="6"/>
      <c r="OIR18" s="6"/>
      <c r="OIS18" s="6"/>
      <c r="OIT18" s="6"/>
      <c r="OIU18" s="6"/>
      <c r="OIV18" s="6"/>
      <c r="OIW18" s="6"/>
      <c r="OIX18" s="6"/>
      <c r="OIY18" s="6"/>
      <c r="OIZ18" s="7"/>
      <c r="OJA18" s="457" t="s">
        <v>14257</v>
      </c>
      <c r="OJB18" s="6"/>
      <c r="OJC18" s="6"/>
      <c r="OJD18" s="6"/>
      <c r="OJE18" s="6"/>
      <c r="OJF18" s="6"/>
      <c r="OJG18" s="6"/>
      <c r="OJH18" s="6"/>
      <c r="OJI18" s="6"/>
      <c r="OJJ18" s="6"/>
      <c r="OJK18" s="6"/>
      <c r="OJL18" s="6"/>
      <c r="OJM18" s="6"/>
      <c r="OJN18" s="6"/>
      <c r="OJO18" s="6"/>
      <c r="OJP18" s="7"/>
      <c r="OJQ18" s="457" t="s">
        <v>14257</v>
      </c>
      <c r="OJR18" s="6"/>
      <c r="OJS18" s="6"/>
      <c r="OJT18" s="6"/>
      <c r="OJU18" s="6"/>
      <c r="OJV18" s="6"/>
      <c r="OJW18" s="6"/>
      <c r="OJX18" s="6"/>
      <c r="OJY18" s="6"/>
      <c r="OJZ18" s="6"/>
      <c r="OKA18" s="6"/>
      <c r="OKB18" s="6"/>
      <c r="OKC18" s="6"/>
      <c r="OKD18" s="6"/>
      <c r="OKE18" s="6"/>
      <c r="OKF18" s="7"/>
      <c r="OKG18" s="457" t="s">
        <v>14257</v>
      </c>
      <c r="OKH18" s="6"/>
      <c r="OKI18" s="6"/>
      <c r="OKJ18" s="6"/>
      <c r="OKK18" s="6"/>
      <c r="OKL18" s="6"/>
      <c r="OKM18" s="6"/>
      <c r="OKN18" s="6"/>
      <c r="OKO18" s="6"/>
      <c r="OKP18" s="6"/>
      <c r="OKQ18" s="6"/>
      <c r="OKR18" s="6"/>
      <c r="OKS18" s="6"/>
      <c r="OKT18" s="6"/>
      <c r="OKU18" s="6"/>
      <c r="OKV18" s="7"/>
      <c r="OKW18" s="457" t="s">
        <v>14257</v>
      </c>
      <c r="OKX18" s="6"/>
      <c r="OKY18" s="6"/>
      <c r="OKZ18" s="6"/>
      <c r="OLA18" s="6"/>
      <c r="OLB18" s="6"/>
      <c r="OLC18" s="6"/>
      <c r="OLD18" s="6"/>
      <c r="OLE18" s="6"/>
      <c r="OLF18" s="6"/>
      <c r="OLG18" s="6"/>
      <c r="OLH18" s="6"/>
      <c r="OLI18" s="6"/>
      <c r="OLJ18" s="6"/>
      <c r="OLK18" s="6"/>
      <c r="OLL18" s="7"/>
      <c r="OLM18" s="457" t="s">
        <v>14257</v>
      </c>
      <c r="OLN18" s="6"/>
      <c r="OLO18" s="6"/>
      <c r="OLP18" s="6"/>
      <c r="OLQ18" s="6"/>
      <c r="OLR18" s="6"/>
      <c r="OLS18" s="6"/>
      <c r="OLT18" s="6"/>
      <c r="OLU18" s="6"/>
      <c r="OLV18" s="6"/>
      <c r="OLW18" s="6"/>
      <c r="OLX18" s="6"/>
      <c r="OLY18" s="6"/>
      <c r="OLZ18" s="6"/>
      <c r="OMA18" s="6"/>
      <c r="OMB18" s="7"/>
      <c r="OMC18" s="457" t="s">
        <v>14257</v>
      </c>
      <c r="OMD18" s="6"/>
      <c r="OME18" s="6"/>
      <c r="OMF18" s="6"/>
      <c r="OMG18" s="6"/>
      <c r="OMH18" s="6"/>
      <c r="OMI18" s="6"/>
      <c r="OMJ18" s="6"/>
      <c r="OMK18" s="6"/>
      <c r="OML18" s="6"/>
      <c r="OMM18" s="6"/>
      <c r="OMN18" s="6"/>
      <c r="OMO18" s="6"/>
      <c r="OMP18" s="6"/>
      <c r="OMQ18" s="6"/>
      <c r="OMR18" s="7"/>
      <c r="OMS18" s="457" t="s">
        <v>14257</v>
      </c>
      <c r="OMT18" s="6"/>
      <c r="OMU18" s="6"/>
      <c r="OMV18" s="6"/>
      <c r="OMW18" s="6"/>
      <c r="OMX18" s="6"/>
      <c r="OMY18" s="6"/>
      <c r="OMZ18" s="6"/>
      <c r="ONA18" s="6"/>
      <c r="ONB18" s="6"/>
      <c r="ONC18" s="6"/>
      <c r="OND18" s="6"/>
      <c r="ONE18" s="6"/>
      <c r="ONF18" s="6"/>
      <c r="ONG18" s="6"/>
      <c r="ONH18" s="7"/>
      <c r="ONI18" s="457" t="s">
        <v>14257</v>
      </c>
      <c r="ONJ18" s="6"/>
      <c r="ONK18" s="6"/>
      <c r="ONL18" s="6"/>
      <c r="ONM18" s="6"/>
      <c r="ONN18" s="6"/>
      <c r="ONO18" s="6"/>
      <c r="ONP18" s="6"/>
      <c r="ONQ18" s="6"/>
      <c r="ONR18" s="6"/>
      <c r="ONS18" s="6"/>
      <c r="ONT18" s="6"/>
      <c r="ONU18" s="6"/>
      <c r="ONV18" s="6"/>
      <c r="ONW18" s="6"/>
      <c r="ONX18" s="7"/>
      <c r="ONY18" s="457" t="s">
        <v>14257</v>
      </c>
      <c r="ONZ18" s="6"/>
      <c r="OOA18" s="6"/>
      <c r="OOB18" s="6"/>
      <c r="OOC18" s="6"/>
      <c r="OOD18" s="6"/>
      <c r="OOE18" s="6"/>
      <c r="OOF18" s="6"/>
      <c r="OOG18" s="6"/>
      <c r="OOH18" s="6"/>
      <c r="OOI18" s="6"/>
      <c r="OOJ18" s="6"/>
      <c r="OOK18" s="6"/>
      <c r="OOL18" s="6"/>
      <c r="OOM18" s="6"/>
      <c r="OON18" s="7"/>
      <c r="OOO18" s="457" t="s">
        <v>14257</v>
      </c>
      <c r="OOP18" s="6"/>
      <c r="OOQ18" s="6"/>
      <c r="OOR18" s="6"/>
      <c r="OOS18" s="6"/>
      <c r="OOT18" s="6"/>
      <c r="OOU18" s="6"/>
      <c r="OOV18" s="6"/>
      <c r="OOW18" s="6"/>
      <c r="OOX18" s="6"/>
      <c r="OOY18" s="6"/>
      <c r="OOZ18" s="6"/>
      <c r="OPA18" s="6"/>
      <c r="OPB18" s="6"/>
      <c r="OPC18" s="6"/>
      <c r="OPD18" s="7"/>
      <c r="OPE18" s="457" t="s">
        <v>14257</v>
      </c>
      <c r="OPF18" s="6"/>
      <c r="OPG18" s="6"/>
      <c r="OPH18" s="6"/>
      <c r="OPI18" s="6"/>
      <c r="OPJ18" s="6"/>
      <c r="OPK18" s="6"/>
      <c r="OPL18" s="6"/>
      <c r="OPM18" s="6"/>
      <c r="OPN18" s="6"/>
      <c r="OPO18" s="6"/>
      <c r="OPP18" s="6"/>
      <c r="OPQ18" s="6"/>
      <c r="OPR18" s="6"/>
      <c r="OPS18" s="6"/>
      <c r="OPT18" s="7"/>
      <c r="OPU18" s="457" t="s">
        <v>14257</v>
      </c>
      <c r="OPV18" s="6"/>
      <c r="OPW18" s="6"/>
      <c r="OPX18" s="6"/>
      <c r="OPY18" s="6"/>
      <c r="OPZ18" s="6"/>
      <c r="OQA18" s="6"/>
      <c r="OQB18" s="6"/>
      <c r="OQC18" s="6"/>
      <c r="OQD18" s="6"/>
      <c r="OQE18" s="6"/>
      <c r="OQF18" s="6"/>
      <c r="OQG18" s="6"/>
      <c r="OQH18" s="6"/>
      <c r="OQI18" s="6"/>
      <c r="OQJ18" s="7"/>
      <c r="OQK18" s="457" t="s">
        <v>14257</v>
      </c>
      <c r="OQL18" s="6"/>
      <c r="OQM18" s="6"/>
      <c r="OQN18" s="6"/>
      <c r="OQO18" s="6"/>
      <c r="OQP18" s="6"/>
      <c r="OQQ18" s="6"/>
      <c r="OQR18" s="6"/>
      <c r="OQS18" s="6"/>
      <c r="OQT18" s="6"/>
      <c r="OQU18" s="6"/>
      <c r="OQV18" s="6"/>
      <c r="OQW18" s="6"/>
      <c r="OQX18" s="6"/>
      <c r="OQY18" s="6"/>
      <c r="OQZ18" s="7"/>
      <c r="ORA18" s="457" t="s">
        <v>14257</v>
      </c>
      <c r="ORB18" s="6"/>
      <c r="ORC18" s="6"/>
      <c r="ORD18" s="6"/>
      <c r="ORE18" s="6"/>
      <c r="ORF18" s="6"/>
      <c r="ORG18" s="6"/>
      <c r="ORH18" s="6"/>
      <c r="ORI18" s="6"/>
      <c r="ORJ18" s="6"/>
      <c r="ORK18" s="6"/>
      <c r="ORL18" s="6"/>
      <c r="ORM18" s="6"/>
      <c r="ORN18" s="6"/>
      <c r="ORO18" s="6"/>
      <c r="ORP18" s="7"/>
      <c r="ORQ18" s="457" t="s">
        <v>14257</v>
      </c>
      <c r="ORR18" s="6"/>
      <c r="ORS18" s="6"/>
      <c r="ORT18" s="6"/>
      <c r="ORU18" s="6"/>
      <c r="ORV18" s="6"/>
      <c r="ORW18" s="6"/>
      <c r="ORX18" s="6"/>
      <c r="ORY18" s="6"/>
      <c r="ORZ18" s="6"/>
      <c r="OSA18" s="6"/>
      <c r="OSB18" s="6"/>
      <c r="OSC18" s="6"/>
      <c r="OSD18" s="6"/>
      <c r="OSE18" s="6"/>
      <c r="OSF18" s="7"/>
      <c r="OSG18" s="457" t="s">
        <v>14257</v>
      </c>
      <c r="OSH18" s="6"/>
      <c r="OSI18" s="6"/>
      <c r="OSJ18" s="6"/>
      <c r="OSK18" s="6"/>
      <c r="OSL18" s="6"/>
      <c r="OSM18" s="6"/>
      <c r="OSN18" s="6"/>
      <c r="OSO18" s="6"/>
      <c r="OSP18" s="6"/>
      <c r="OSQ18" s="6"/>
      <c r="OSR18" s="6"/>
      <c r="OSS18" s="6"/>
      <c r="OST18" s="6"/>
      <c r="OSU18" s="6"/>
      <c r="OSV18" s="7"/>
      <c r="OSW18" s="457" t="s">
        <v>14257</v>
      </c>
      <c r="OSX18" s="6"/>
      <c r="OSY18" s="6"/>
      <c r="OSZ18" s="6"/>
      <c r="OTA18" s="6"/>
      <c r="OTB18" s="6"/>
      <c r="OTC18" s="6"/>
      <c r="OTD18" s="6"/>
      <c r="OTE18" s="6"/>
      <c r="OTF18" s="6"/>
      <c r="OTG18" s="6"/>
      <c r="OTH18" s="6"/>
      <c r="OTI18" s="6"/>
      <c r="OTJ18" s="6"/>
      <c r="OTK18" s="6"/>
      <c r="OTL18" s="7"/>
      <c r="OTM18" s="457" t="s">
        <v>14257</v>
      </c>
      <c r="OTN18" s="6"/>
      <c r="OTO18" s="6"/>
      <c r="OTP18" s="6"/>
      <c r="OTQ18" s="6"/>
      <c r="OTR18" s="6"/>
      <c r="OTS18" s="6"/>
      <c r="OTT18" s="6"/>
      <c r="OTU18" s="6"/>
      <c r="OTV18" s="6"/>
      <c r="OTW18" s="6"/>
      <c r="OTX18" s="6"/>
      <c r="OTY18" s="6"/>
      <c r="OTZ18" s="6"/>
      <c r="OUA18" s="6"/>
      <c r="OUB18" s="7"/>
      <c r="OUC18" s="457" t="s">
        <v>14257</v>
      </c>
      <c r="OUD18" s="6"/>
      <c r="OUE18" s="6"/>
      <c r="OUF18" s="6"/>
      <c r="OUG18" s="6"/>
      <c r="OUH18" s="6"/>
      <c r="OUI18" s="6"/>
      <c r="OUJ18" s="6"/>
      <c r="OUK18" s="6"/>
      <c r="OUL18" s="6"/>
      <c r="OUM18" s="6"/>
      <c r="OUN18" s="6"/>
      <c r="OUO18" s="6"/>
      <c r="OUP18" s="6"/>
      <c r="OUQ18" s="6"/>
      <c r="OUR18" s="7"/>
      <c r="OUS18" s="457" t="s">
        <v>14257</v>
      </c>
      <c r="OUT18" s="6"/>
      <c r="OUU18" s="6"/>
      <c r="OUV18" s="6"/>
      <c r="OUW18" s="6"/>
      <c r="OUX18" s="6"/>
      <c r="OUY18" s="6"/>
      <c r="OUZ18" s="6"/>
      <c r="OVA18" s="6"/>
      <c r="OVB18" s="6"/>
      <c r="OVC18" s="6"/>
      <c r="OVD18" s="6"/>
      <c r="OVE18" s="6"/>
      <c r="OVF18" s="6"/>
      <c r="OVG18" s="6"/>
      <c r="OVH18" s="7"/>
      <c r="OVI18" s="457" t="s">
        <v>14257</v>
      </c>
      <c r="OVJ18" s="6"/>
      <c r="OVK18" s="6"/>
      <c r="OVL18" s="6"/>
      <c r="OVM18" s="6"/>
      <c r="OVN18" s="6"/>
      <c r="OVO18" s="6"/>
      <c r="OVP18" s="6"/>
      <c r="OVQ18" s="6"/>
      <c r="OVR18" s="6"/>
      <c r="OVS18" s="6"/>
      <c r="OVT18" s="6"/>
      <c r="OVU18" s="6"/>
      <c r="OVV18" s="6"/>
      <c r="OVW18" s="6"/>
      <c r="OVX18" s="7"/>
      <c r="OVY18" s="457" t="s">
        <v>14257</v>
      </c>
      <c r="OVZ18" s="6"/>
      <c r="OWA18" s="6"/>
      <c r="OWB18" s="6"/>
      <c r="OWC18" s="6"/>
      <c r="OWD18" s="6"/>
      <c r="OWE18" s="6"/>
      <c r="OWF18" s="6"/>
      <c r="OWG18" s="6"/>
      <c r="OWH18" s="6"/>
      <c r="OWI18" s="6"/>
      <c r="OWJ18" s="6"/>
      <c r="OWK18" s="6"/>
      <c r="OWL18" s="6"/>
      <c r="OWM18" s="6"/>
      <c r="OWN18" s="7"/>
      <c r="OWO18" s="457" t="s">
        <v>14257</v>
      </c>
      <c r="OWP18" s="6"/>
      <c r="OWQ18" s="6"/>
      <c r="OWR18" s="6"/>
      <c r="OWS18" s="6"/>
      <c r="OWT18" s="6"/>
      <c r="OWU18" s="6"/>
      <c r="OWV18" s="6"/>
      <c r="OWW18" s="6"/>
      <c r="OWX18" s="6"/>
      <c r="OWY18" s="6"/>
      <c r="OWZ18" s="6"/>
      <c r="OXA18" s="6"/>
      <c r="OXB18" s="6"/>
      <c r="OXC18" s="6"/>
      <c r="OXD18" s="7"/>
      <c r="OXE18" s="457" t="s">
        <v>14257</v>
      </c>
      <c r="OXF18" s="6"/>
      <c r="OXG18" s="6"/>
      <c r="OXH18" s="6"/>
      <c r="OXI18" s="6"/>
      <c r="OXJ18" s="6"/>
      <c r="OXK18" s="6"/>
      <c r="OXL18" s="6"/>
      <c r="OXM18" s="6"/>
      <c r="OXN18" s="6"/>
      <c r="OXO18" s="6"/>
      <c r="OXP18" s="6"/>
      <c r="OXQ18" s="6"/>
      <c r="OXR18" s="6"/>
      <c r="OXS18" s="6"/>
      <c r="OXT18" s="7"/>
      <c r="OXU18" s="457" t="s">
        <v>14257</v>
      </c>
      <c r="OXV18" s="6"/>
      <c r="OXW18" s="6"/>
      <c r="OXX18" s="6"/>
      <c r="OXY18" s="6"/>
      <c r="OXZ18" s="6"/>
      <c r="OYA18" s="6"/>
      <c r="OYB18" s="6"/>
      <c r="OYC18" s="6"/>
      <c r="OYD18" s="6"/>
      <c r="OYE18" s="6"/>
      <c r="OYF18" s="6"/>
      <c r="OYG18" s="6"/>
      <c r="OYH18" s="6"/>
      <c r="OYI18" s="6"/>
      <c r="OYJ18" s="7"/>
      <c r="OYK18" s="457" t="s">
        <v>14257</v>
      </c>
      <c r="OYL18" s="6"/>
      <c r="OYM18" s="6"/>
      <c r="OYN18" s="6"/>
      <c r="OYO18" s="6"/>
      <c r="OYP18" s="6"/>
      <c r="OYQ18" s="6"/>
      <c r="OYR18" s="6"/>
      <c r="OYS18" s="6"/>
      <c r="OYT18" s="6"/>
      <c r="OYU18" s="6"/>
      <c r="OYV18" s="6"/>
      <c r="OYW18" s="6"/>
      <c r="OYX18" s="6"/>
      <c r="OYY18" s="6"/>
      <c r="OYZ18" s="7"/>
      <c r="OZA18" s="457" t="s">
        <v>14257</v>
      </c>
      <c r="OZB18" s="6"/>
      <c r="OZC18" s="6"/>
      <c r="OZD18" s="6"/>
      <c r="OZE18" s="6"/>
      <c r="OZF18" s="6"/>
      <c r="OZG18" s="6"/>
      <c r="OZH18" s="6"/>
      <c r="OZI18" s="6"/>
      <c r="OZJ18" s="6"/>
      <c r="OZK18" s="6"/>
      <c r="OZL18" s="6"/>
      <c r="OZM18" s="6"/>
      <c r="OZN18" s="6"/>
      <c r="OZO18" s="6"/>
      <c r="OZP18" s="7"/>
      <c r="OZQ18" s="457" t="s">
        <v>14257</v>
      </c>
      <c r="OZR18" s="6"/>
      <c r="OZS18" s="6"/>
      <c r="OZT18" s="6"/>
      <c r="OZU18" s="6"/>
      <c r="OZV18" s="6"/>
      <c r="OZW18" s="6"/>
      <c r="OZX18" s="6"/>
      <c r="OZY18" s="6"/>
      <c r="OZZ18" s="6"/>
      <c r="PAA18" s="6"/>
      <c r="PAB18" s="6"/>
      <c r="PAC18" s="6"/>
      <c r="PAD18" s="6"/>
      <c r="PAE18" s="6"/>
      <c r="PAF18" s="7"/>
      <c r="PAG18" s="457" t="s">
        <v>14257</v>
      </c>
      <c r="PAH18" s="6"/>
      <c r="PAI18" s="6"/>
      <c r="PAJ18" s="6"/>
      <c r="PAK18" s="6"/>
      <c r="PAL18" s="6"/>
      <c r="PAM18" s="6"/>
      <c r="PAN18" s="6"/>
      <c r="PAO18" s="6"/>
      <c r="PAP18" s="6"/>
      <c r="PAQ18" s="6"/>
      <c r="PAR18" s="6"/>
      <c r="PAS18" s="6"/>
      <c r="PAT18" s="6"/>
      <c r="PAU18" s="6"/>
      <c r="PAV18" s="7"/>
      <c r="PAW18" s="457" t="s">
        <v>14257</v>
      </c>
      <c r="PAX18" s="6"/>
      <c r="PAY18" s="6"/>
      <c r="PAZ18" s="6"/>
      <c r="PBA18" s="6"/>
      <c r="PBB18" s="6"/>
      <c r="PBC18" s="6"/>
      <c r="PBD18" s="6"/>
      <c r="PBE18" s="6"/>
      <c r="PBF18" s="6"/>
      <c r="PBG18" s="6"/>
      <c r="PBH18" s="6"/>
      <c r="PBI18" s="6"/>
      <c r="PBJ18" s="6"/>
      <c r="PBK18" s="6"/>
      <c r="PBL18" s="7"/>
      <c r="PBM18" s="457" t="s">
        <v>14257</v>
      </c>
      <c r="PBN18" s="6"/>
      <c r="PBO18" s="6"/>
      <c r="PBP18" s="6"/>
      <c r="PBQ18" s="6"/>
      <c r="PBR18" s="6"/>
      <c r="PBS18" s="6"/>
      <c r="PBT18" s="6"/>
      <c r="PBU18" s="6"/>
      <c r="PBV18" s="6"/>
      <c r="PBW18" s="6"/>
      <c r="PBX18" s="6"/>
      <c r="PBY18" s="6"/>
      <c r="PBZ18" s="6"/>
      <c r="PCA18" s="6"/>
      <c r="PCB18" s="7"/>
      <c r="PCC18" s="457" t="s">
        <v>14257</v>
      </c>
      <c r="PCD18" s="6"/>
      <c r="PCE18" s="6"/>
      <c r="PCF18" s="6"/>
      <c r="PCG18" s="6"/>
      <c r="PCH18" s="6"/>
      <c r="PCI18" s="6"/>
      <c r="PCJ18" s="6"/>
      <c r="PCK18" s="6"/>
      <c r="PCL18" s="6"/>
      <c r="PCM18" s="6"/>
      <c r="PCN18" s="6"/>
      <c r="PCO18" s="6"/>
      <c r="PCP18" s="6"/>
      <c r="PCQ18" s="6"/>
      <c r="PCR18" s="7"/>
      <c r="PCS18" s="457" t="s">
        <v>14257</v>
      </c>
      <c r="PCT18" s="6"/>
      <c r="PCU18" s="6"/>
      <c r="PCV18" s="6"/>
      <c r="PCW18" s="6"/>
      <c r="PCX18" s="6"/>
      <c r="PCY18" s="6"/>
      <c r="PCZ18" s="6"/>
      <c r="PDA18" s="6"/>
      <c r="PDB18" s="6"/>
      <c r="PDC18" s="6"/>
      <c r="PDD18" s="6"/>
      <c r="PDE18" s="6"/>
      <c r="PDF18" s="6"/>
      <c r="PDG18" s="6"/>
      <c r="PDH18" s="7"/>
      <c r="PDI18" s="457" t="s">
        <v>14257</v>
      </c>
      <c r="PDJ18" s="6"/>
      <c r="PDK18" s="6"/>
      <c r="PDL18" s="6"/>
      <c r="PDM18" s="6"/>
      <c r="PDN18" s="6"/>
      <c r="PDO18" s="6"/>
      <c r="PDP18" s="6"/>
      <c r="PDQ18" s="6"/>
      <c r="PDR18" s="6"/>
      <c r="PDS18" s="6"/>
      <c r="PDT18" s="6"/>
      <c r="PDU18" s="6"/>
      <c r="PDV18" s="6"/>
      <c r="PDW18" s="6"/>
      <c r="PDX18" s="7"/>
      <c r="PDY18" s="457" t="s">
        <v>14257</v>
      </c>
      <c r="PDZ18" s="6"/>
      <c r="PEA18" s="6"/>
      <c r="PEB18" s="6"/>
      <c r="PEC18" s="6"/>
      <c r="PED18" s="6"/>
      <c r="PEE18" s="6"/>
      <c r="PEF18" s="6"/>
      <c r="PEG18" s="6"/>
      <c r="PEH18" s="6"/>
      <c r="PEI18" s="6"/>
      <c r="PEJ18" s="6"/>
      <c r="PEK18" s="6"/>
      <c r="PEL18" s="6"/>
      <c r="PEM18" s="6"/>
      <c r="PEN18" s="7"/>
      <c r="PEO18" s="457" t="s">
        <v>14257</v>
      </c>
      <c r="PEP18" s="6"/>
      <c r="PEQ18" s="6"/>
      <c r="PER18" s="6"/>
      <c r="PES18" s="6"/>
      <c r="PET18" s="6"/>
      <c r="PEU18" s="6"/>
      <c r="PEV18" s="6"/>
      <c r="PEW18" s="6"/>
      <c r="PEX18" s="6"/>
      <c r="PEY18" s="6"/>
      <c r="PEZ18" s="6"/>
      <c r="PFA18" s="6"/>
      <c r="PFB18" s="6"/>
      <c r="PFC18" s="6"/>
      <c r="PFD18" s="7"/>
      <c r="PFE18" s="457" t="s">
        <v>14257</v>
      </c>
      <c r="PFF18" s="6"/>
      <c r="PFG18" s="6"/>
      <c r="PFH18" s="6"/>
      <c r="PFI18" s="6"/>
      <c r="PFJ18" s="6"/>
      <c r="PFK18" s="6"/>
      <c r="PFL18" s="6"/>
      <c r="PFM18" s="6"/>
      <c r="PFN18" s="6"/>
      <c r="PFO18" s="6"/>
      <c r="PFP18" s="6"/>
      <c r="PFQ18" s="6"/>
      <c r="PFR18" s="6"/>
      <c r="PFS18" s="6"/>
      <c r="PFT18" s="7"/>
      <c r="PFU18" s="457" t="s">
        <v>14257</v>
      </c>
      <c r="PFV18" s="6"/>
      <c r="PFW18" s="6"/>
      <c r="PFX18" s="6"/>
      <c r="PFY18" s="6"/>
      <c r="PFZ18" s="6"/>
      <c r="PGA18" s="6"/>
      <c r="PGB18" s="6"/>
      <c r="PGC18" s="6"/>
      <c r="PGD18" s="6"/>
      <c r="PGE18" s="6"/>
      <c r="PGF18" s="6"/>
      <c r="PGG18" s="6"/>
      <c r="PGH18" s="6"/>
      <c r="PGI18" s="6"/>
      <c r="PGJ18" s="7"/>
      <c r="PGK18" s="457" t="s">
        <v>14257</v>
      </c>
      <c r="PGL18" s="6"/>
      <c r="PGM18" s="6"/>
      <c r="PGN18" s="6"/>
      <c r="PGO18" s="6"/>
      <c r="PGP18" s="6"/>
      <c r="PGQ18" s="6"/>
      <c r="PGR18" s="6"/>
      <c r="PGS18" s="6"/>
      <c r="PGT18" s="6"/>
      <c r="PGU18" s="6"/>
      <c r="PGV18" s="6"/>
      <c r="PGW18" s="6"/>
      <c r="PGX18" s="6"/>
      <c r="PGY18" s="6"/>
      <c r="PGZ18" s="7"/>
      <c r="PHA18" s="457" t="s">
        <v>14257</v>
      </c>
      <c r="PHB18" s="6"/>
      <c r="PHC18" s="6"/>
      <c r="PHD18" s="6"/>
      <c r="PHE18" s="6"/>
      <c r="PHF18" s="6"/>
      <c r="PHG18" s="6"/>
      <c r="PHH18" s="6"/>
      <c r="PHI18" s="6"/>
      <c r="PHJ18" s="6"/>
      <c r="PHK18" s="6"/>
      <c r="PHL18" s="6"/>
      <c r="PHM18" s="6"/>
      <c r="PHN18" s="6"/>
      <c r="PHO18" s="6"/>
      <c r="PHP18" s="7"/>
      <c r="PHQ18" s="457" t="s">
        <v>14257</v>
      </c>
      <c r="PHR18" s="6"/>
      <c r="PHS18" s="6"/>
      <c r="PHT18" s="6"/>
      <c r="PHU18" s="6"/>
      <c r="PHV18" s="6"/>
      <c r="PHW18" s="6"/>
      <c r="PHX18" s="6"/>
      <c r="PHY18" s="6"/>
      <c r="PHZ18" s="6"/>
      <c r="PIA18" s="6"/>
      <c r="PIB18" s="6"/>
      <c r="PIC18" s="6"/>
      <c r="PID18" s="6"/>
      <c r="PIE18" s="6"/>
      <c r="PIF18" s="7"/>
      <c r="PIG18" s="457" t="s">
        <v>14257</v>
      </c>
      <c r="PIH18" s="6"/>
      <c r="PII18" s="6"/>
      <c r="PIJ18" s="6"/>
      <c r="PIK18" s="6"/>
      <c r="PIL18" s="6"/>
      <c r="PIM18" s="6"/>
      <c r="PIN18" s="6"/>
      <c r="PIO18" s="6"/>
      <c r="PIP18" s="6"/>
      <c r="PIQ18" s="6"/>
      <c r="PIR18" s="6"/>
      <c r="PIS18" s="6"/>
      <c r="PIT18" s="6"/>
      <c r="PIU18" s="6"/>
      <c r="PIV18" s="7"/>
      <c r="PIW18" s="457" t="s">
        <v>14257</v>
      </c>
      <c r="PIX18" s="6"/>
      <c r="PIY18" s="6"/>
      <c r="PIZ18" s="6"/>
      <c r="PJA18" s="6"/>
      <c r="PJB18" s="6"/>
      <c r="PJC18" s="6"/>
      <c r="PJD18" s="6"/>
      <c r="PJE18" s="6"/>
      <c r="PJF18" s="6"/>
      <c r="PJG18" s="6"/>
      <c r="PJH18" s="6"/>
      <c r="PJI18" s="6"/>
      <c r="PJJ18" s="6"/>
      <c r="PJK18" s="6"/>
      <c r="PJL18" s="7"/>
      <c r="PJM18" s="457" t="s">
        <v>14257</v>
      </c>
      <c r="PJN18" s="6"/>
      <c r="PJO18" s="6"/>
      <c r="PJP18" s="6"/>
      <c r="PJQ18" s="6"/>
      <c r="PJR18" s="6"/>
      <c r="PJS18" s="6"/>
      <c r="PJT18" s="6"/>
      <c r="PJU18" s="6"/>
      <c r="PJV18" s="6"/>
      <c r="PJW18" s="6"/>
      <c r="PJX18" s="6"/>
      <c r="PJY18" s="6"/>
      <c r="PJZ18" s="6"/>
      <c r="PKA18" s="6"/>
      <c r="PKB18" s="7"/>
      <c r="PKC18" s="457" t="s">
        <v>14257</v>
      </c>
      <c r="PKD18" s="6"/>
      <c r="PKE18" s="6"/>
      <c r="PKF18" s="6"/>
      <c r="PKG18" s="6"/>
      <c r="PKH18" s="6"/>
      <c r="PKI18" s="6"/>
      <c r="PKJ18" s="6"/>
      <c r="PKK18" s="6"/>
      <c r="PKL18" s="6"/>
      <c r="PKM18" s="6"/>
      <c r="PKN18" s="6"/>
      <c r="PKO18" s="6"/>
      <c r="PKP18" s="6"/>
      <c r="PKQ18" s="6"/>
      <c r="PKR18" s="7"/>
      <c r="PKS18" s="457" t="s">
        <v>14257</v>
      </c>
      <c r="PKT18" s="6"/>
      <c r="PKU18" s="6"/>
      <c r="PKV18" s="6"/>
      <c r="PKW18" s="6"/>
      <c r="PKX18" s="6"/>
      <c r="PKY18" s="6"/>
      <c r="PKZ18" s="6"/>
      <c r="PLA18" s="6"/>
      <c r="PLB18" s="6"/>
      <c r="PLC18" s="6"/>
      <c r="PLD18" s="6"/>
      <c r="PLE18" s="6"/>
      <c r="PLF18" s="6"/>
      <c r="PLG18" s="6"/>
      <c r="PLH18" s="7"/>
      <c r="PLI18" s="457" t="s">
        <v>14257</v>
      </c>
      <c r="PLJ18" s="6"/>
      <c r="PLK18" s="6"/>
      <c r="PLL18" s="6"/>
      <c r="PLM18" s="6"/>
      <c r="PLN18" s="6"/>
      <c r="PLO18" s="6"/>
      <c r="PLP18" s="6"/>
      <c r="PLQ18" s="6"/>
      <c r="PLR18" s="6"/>
      <c r="PLS18" s="6"/>
      <c r="PLT18" s="6"/>
      <c r="PLU18" s="6"/>
      <c r="PLV18" s="6"/>
      <c r="PLW18" s="6"/>
      <c r="PLX18" s="7"/>
      <c r="PLY18" s="457" t="s">
        <v>14257</v>
      </c>
      <c r="PLZ18" s="6"/>
      <c r="PMA18" s="6"/>
      <c r="PMB18" s="6"/>
      <c r="PMC18" s="6"/>
      <c r="PMD18" s="6"/>
      <c r="PME18" s="6"/>
      <c r="PMF18" s="6"/>
      <c r="PMG18" s="6"/>
      <c r="PMH18" s="6"/>
      <c r="PMI18" s="6"/>
      <c r="PMJ18" s="6"/>
      <c r="PMK18" s="6"/>
      <c r="PML18" s="6"/>
      <c r="PMM18" s="6"/>
      <c r="PMN18" s="7"/>
      <c r="PMO18" s="457" t="s">
        <v>14257</v>
      </c>
      <c r="PMP18" s="6"/>
      <c r="PMQ18" s="6"/>
      <c r="PMR18" s="6"/>
      <c r="PMS18" s="6"/>
      <c r="PMT18" s="6"/>
      <c r="PMU18" s="6"/>
      <c r="PMV18" s="6"/>
      <c r="PMW18" s="6"/>
      <c r="PMX18" s="6"/>
      <c r="PMY18" s="6"/>
      <c r="PMZ18" s="6"/>
      <c r="PNA18" s="6"/>
      <c r="PNB18" s="6"/>
      <c r="PNC18" s="6"/>
      <c r="PND18" s="7"/>
      <c r="PNE18" s="457" t="s">
        <v>14257</v>
      </c>
      <c r="PNF18" s="6"/>
      <c r="PNG18" s="6"/>
      <c r="PNH18" s="6"/>
      <c r="PNI18" s="6"/>
      <c r="PNJ18" s="6"/>
      <c r="PNK18" s="6"/>
      <c r="PNL18" s="6"/>
      <c r="PNM18" s="6"/>
      <c r="PNN18" s="6"/>
      <c r="PNO18" s="6"/>
      <c r="PNP18" s="6"/>
      <c r="PNQ18" s="6"/>
      <c r="PNR18" s="6"/>
      <c r="PNS18" s="6"/>
      <c r="PNT18" s="7"/>
      <c r="PNU18" s="457" t="s">
        <v>14257</v>
      </c>
      <c r="PNV18" s="6"/>
      <c r="PNW18" s="6"/>
      <c r="PNX18" s="6"/>
      <c r="PNY18" s="6"/>
      <c r="PNZ18" s="6"/>
      <c r="POA18" s="6"/>
      <c r="POB18" s="6"/>
      <c r="POC18" s="6"/>
      <c r="POD18" s="6"/>
      <c r="POE18" s="6"/>
      <c r="POF18" s="6"/>
      <c r="POG18" s="6"/>
      <c r="POH18" s="6"/>
      <c r="POI18" s="6"/>
      <c r="POJ18" s="7"/>
      <c r="POK18" s="457" t="s">
        <v>14257</v>
      </c>
      <c r="POL18" s="6"/>
      <c r="POM18" s="6"/>
      <c r="PON18" s="6"/>
      <c r="POO18" s="6"/>
      <c r="POP18" s="6"/>
      <c r="POQ18" s="6"/>
      <c r="POR18" s="6"/>
      <c r="POS18" s="6"/>
      <c r="POT18" s="6"/>
      <c r="POU18" s="6"/>
      <c r="POV18" s="6"/>
      <c r="POW18" s="6"/>
      <c r="POX18" s="6"/>
      <c r="POY18" s="6"/>
      <c r="POZ18" s="7"/>
      <c r="PPA18" s="457" t="s">
        <v>14257</v>
      </c>
      <c r="PPB18" s="6"/>
      <c r="PPC18" s="6"/>
      <c r="PPD18" s="6"/>
      <c r="PPE18" s="6"/>
      <c r="PPF18" s="6"/>
      <c r="PPG18" s="6"/>
      <c r="PPH18" s="6"/>
      <c r="PPI18" s="6"/>
      <c r="PPJ18" s="6"/>
      <c r="PPK18" s="6"/>
      <c r="PPL18" s="6"/>
      <c r="PPM18" s="6"/>
      <c r="PPN18" s="6"/>
      <c r="PPO18" s="6"/>
      <c r="PPP18" s="7"/>
      <c r="PPQ18" s="457" t="s">
        <v>14257</v>
      </c>
      <c r="PPR18" s="6"/>
      <c r="PPS18" s="6"/>
      <c r="PPT18" s="6"/>
      <c r="PPU18" s="6"/>
      <c r="PPV18" s="6"/>
      <c r="PPW18" s="6"/>
      <c r="PPX18" s="6"/>
      <c r="PPY18" s="6"/>
      <c r="PPZ18" s="6"/>
      <c r="PQA18" s="6"/>
      <c r="PQB18" s="6"/>
      <c r="PQC18" s="6"/>
      <c r="PQD18" s="6"/>
      <c r="PQE18" s="6"/>
      <c r="PQF18" s="7"/>
      <c r="PQG18" s="457" t="s">
        <v>14257</v>
      </c>
      <c r="PQH18" s="6"/>
      <c r="PQI18" s="6"/>
      <c r="PQJ18" s="6"/>
      <c r="PQK18" s="6"/>
      <c r="PQL18" s="6"/>
      <c r="PQM18" s="6"/>
      <c r="PQN18" s="6"/>
      <c r="PQO18" s="6"/>
      <c r="PQP18" s="6"/>
      <c r="PQQ18" s="6"/>
      <c r="PQR18" s="6"/>
      <c r="PQS18" s="6"/>
      <c r="PQT18" s="6"/>
      <c r="PQU18" s="6"/>
      <c r="PQV18" s="7"/>
      <c r="PQW18" s="457" t="s">
        <v>14257</v>
      </c>
      <c r="PQX18" s="6"/>
      <c r="PQY18" s="6"/>
      <c r="PQZ18" s="6"/>
      <c r="PRA18" s="6"/>
      <c r="PRB18" s="6"/>
      <c r="PRC18" s="6"/>
      <c r="PRD18" s="6"/>
      <c r="PRE18" s="6"/>
      <c r="PRF18" s="6"/>
      <c r="PRG18" s="6"/>
      <c r="PRH18" s="6"/>
      <c r="PRI18" s="6"/>
      <c r="PRJ18" s="6"/>
      <c r="PRK18" s="6"/>
      <c r="PRL18" s="7"/>
      <c r="PRM18" s="457" t="s">
        <v>14257</v>
      </c>
      <c r="PRN18" s="6"/>
      <c r="PRO18" s="6"/>
      <c r="PRP18" s="6"/>
      <c r="PRQ18" s="6"/>
      <c r="PRR18" s="6"/>
      <c r="PRS18" s="6"/>
      <c r="PRT18" s="6"/>
      <c r="PRU18" s="6"/>
      <c r="PRV18" s="6"/>
      <c r="PRW18" s="6"/>
      <c r="PRX18" s="6"/>
      <c r="PRY18" s="6"/>
      <c r="PRZ18" s="6"/>
      <c r="PSA18" s="6"/>
      <c r="PSB18" s="7"/>
      <c r="PSC18" s="457" t="s">
        <v>14257</v>
      </c>
      <c r="PSD18" s="6"/>
      <c r="PSE18" s="6"/>
      <c r="PSF18" s="6"/>
      <c r="PSG18" s="6"/>
      <c r="PSH18" s="6"/>
      <c r="PSI18" s="6"/>
      <c r="PSJ18" s="6"/>
      <c r="PSK18" s="6"/>
      <c r="PSL18" s="6"/>
      <c r="PSM18" s="6"/>
      <c r="PSN18" s="6"/>
      <c r="PSO18" s="6"/>
      <c r="PSP18" s="6"/>
      <c r="PSQ18" s="6"/>
      <c r="PSR18" s="7"/>
      <c r="PSS18" s="457" t="s">
        <v>14257</v>
      </c>
      <c r="PST18" s="6"/>
      <c r="PSU18" s="6"/>
      <c r="PSV18" s="6"/>
      <c r="PSW18" s="6"/>
      <c r="PSX18" s="6"/>
      <c r="PSY18" s="6"/>
      <c r="PSZ18" s="6"/>
      <c r="PTA18" s="6"/>
      <c r="PTB18" s="6"/>
      <c r="PTC18" s="6"/>
      <c r="PTD18" s="6"/>
      <c r="PTE18" s="6"/>
      <c r="PTF18" s="6"/>
      <c r="PTG18" s="6"/>
      <c r="PTH18" s="7"/>
      <c r="PTI18" s="457" t="s">
        <v>14257</v>
      </c>
      <c r="PTJ18" s="6"/>
      <c r="PTK18" s="6"/>
      <c r="PTL18" s="6"/>
      <c r="PTM18" s="6"/>
      <c r="PTN18" s="6"/>
      <c r="PTO18" s="6"/>
      <c r="PTP18" s="6"/>
      <c r="PTQ18" s="6"/>
      <c r="PTR18" s="6"/>
      <c r="PTS18" s="6"/>
      <c r="PTT18" s="6"/>
      <c r="PTU18" s="6"/>
      <c r="PTV18" s="6"/>
      <c r="PTW18" s="6"/>
      <c r="PTX18" s="7"/>
      <c r="PTY18" s="457" t="s">
        <v>14257</v>
      </c>
      <c r="PTZ18" s="6"/>
      <c r="PUA18" s="6"/>
      <c r="PUB18" s="6"/>
      <c r="PUC18" s="6"/>
      <c r="PUD18" s="6"/>
      <c r="PUE18" s="6"/>
      <c r="PUF18" s="6"/>
      <c r="PUG18" s="6"/>
      <c r="PUH18" s="6"/>
      <c r="PUI18" s="6"/>
      <c r="PUJ18" s="6"/>
      <c r="PUK18" s="6"/>
      <c r="PUL18" s="6"/>
      <c r="PUM18" s="6"/>
      <c r="PUN18" s="7"/>
      <c r="PUO18" s="457" t="s">
        <v>14257</v>
      </c>
      <c r="PUP18" s="6"/>
      <c r="PUQ18" s="6"/>
      <c r="PUR18" s="6"/>
      <c r="PUS18" s="6"/>
      <c r="PUT18" s="6"/>
      <c r="PUU18" s="6"/>
      <c r="PUV18" s="6"/>
      <c r="PUW18" s="6"/>
      <c r="PUX18" s="6"/>
      <c r="PUY18" s="6"/>
      <c r="PUZ18" s="6"/>
      <c r="PVA18" s="6"/>
      <c r="PVB18" s="6"/>
      <c r="PVC18" s="6"/>
      <c r="PVD18" s="7"/>
      <c r="PVE18" s="457" t="s">
        <v>14257</v>
      </c>
      <c r="PVF18" s="6"/>
      <c r="PVG18" s="6"/>
      <c r="PVH18" s="6"/>
      <c r="PVI18" s="6"/>
      <c r="PVJ18" s="6"/>
      <c r="PVK18" s="6"/>
      <c r="PVL18" s="6"/>
      <c r="PVM18" s="6"/>
      <c r="PVN18" s="6"/>
      <c r="PVO18" s="6"/>
      <c r="PVP18" s="6"/>
      <c r="PVQ18" s="6"/>
      <c r="PVR18" s="6"/>
      <c r="PVS18" s="6"/>
      <c r="PVT18" s="7"/>
      <c r="PVU18" s="457" t="s">
        <v>14257</v>
      </c>
      <c r="PVV18" s="6"/>
      <c r="PVW18" s="6"/>
      <c r="PVX18" s="6"/>
      <c r="PVY18" s="6"/>
      <c r="PVZ18" s="6"/>
      <c r="PWA18" s="6"/>
      <c r="PWB18" s="6"/>
      <c r="PWC18" s="6"/>
      <c r="PWD18" s="6"/>
      <c r="PWE18" s="6"/>
      <c r="PWF18" s="6"/>
      <c r="PWG18" s="6"/>
      <c r="PWH18" s="6"/>
      <c r="PWI18" s="6"/>
      <c r="PWJ18" s="7"/>
      <c r="PWK18" s="457" t="s">
        <v>14257</v>
      </c>
      <c r="PWL18" s="6"/>
      <c r="PWM18" s="6"/>
      <c r="PWN18" s="6"/>
      <c r="PWO18" s="6"/>
      <c r="PWP18" s="6"/>
      <c r="PWQ18" s="6"/>
      <c r="PWR18" s="6"/>
      <c r="PWS18" s="6"/>
      <c r="PWT18" s="6"/>
      <c r="PWU18" s="6"/>
      <c r="PWV18" s="6"/>
      <c r="PWW18" s="6"/>
      <c r="PWX18" s="6"/>
      <c r="PWY18" s="6"/>
      <c r="PWZ18" s="7"/>
      <c r="PXA18" s="457" t="s">
        <v>14257</v>
      </c>
      <c r="PXB18" s="6"/>
      <c r="PXC18" s="6"/>
      <c r="PXD18" s="6"/>
      <c r="PXE18" s="6"/>
      <c r="PXF18" s="6"/>
      <c r="PXG18" s="6"/>
      <c r="PXH18" s="6"/>
      <c r="PXI18" s="6"/>
      <c r="PXJ18" s="6"/>
      <c r="PXK18" s="6"/>
      <c r="PXL18" s="6"/>
      <c r="PXM18" s="6"/>
      <c r="PXN18" s="6"/>
      <c r="PXO18" s="6"/>
      <c r="PXP18" s="7"/>
      <c r="PXQ18" s="457" t="s">
        <v>14257</v>
      </c>
      <c r="PXR18" s="6"/>
      <c r="PXS18" s="6"/>
      <c r="PXT18" s="6"/>
      <c r="PXU18" s="6"/>
      <c r="PXV18" s="6"/>
      <c r="PXW18" s="6"/>
      <c r="PXX18" s="6"/>
      <c r="PXY18" s="6"/>
      <c r="PXZ18" s="6"/>
      <c r="PYA18" s="6"/>
      <c r="PYB18" s="6"/>
      <c r="PYC18" s="6"/>
      <c r="PYD18" s="6"/>
      <c r="PYE18" s="6"/>
      <c r="PYF18" s="7"/>
      <c r="PYG18" s="457" t="s">
        <v>14257</v>
      </c>
      <c r="PYH18" s="6"/>
      <c r="PYI18" s="6"/>
      <c r="PYJ18" s="6"/>
      <c r="PYK18" s="6"/>
      <c r="PYL18" s="6"/>
      <c r="PYM18" s="6"/>
      <c r="PYN18" s="6"/>
      <c r="PYO18" s="6"/>
      <c r="PYP18" s="6"/>
      <c r="PYQ18" s="6"/>
      <c r="PYR18" s="6"/>
      <c r="PYS18" s="6"/>
      <c r="PYT18" s="6"/>
      <c r="PYU18" s="6"/>
      <c r="PYV18" s="7"/>
      <c r="PYW18" s="457" t="s">
        <v>14257</v>
      </c>
      <c r="PYX18" s="6"/>
      <c r="PYY18" s="6"/>
      <c r="PYZ18" s="6"/>
      <c r="PZA18" s="6"/>
      <c r="PZB18" s="6"/>
      <c r="PZC18" s="6"/>
      <c r="PZD18" s="6"/>
      <c r="PZE18" s="6"/>
      <c r="PZF18" s="6"/>
      <c r="PZG18" s="6"/>
      <c r="PZH18" s="6"/>
      <c r="PZI18" s="6"/>
      <c r="PZJ18" s="6"/>
      <c r="PZK18" s="6"/>
      <c r="PZL18" s="7"/>
      <c r="PZM18" s="457" t="s">
        <v>14257</v>
      </c>
      <c r="PZN18" s="6"/>
      <c r="PZO18" s="6"/>
      <c r="PZP18" s="6"/>
      <c r="PZQ18" s="6"/>
      <c r="PZR18" s="6"/>
      <c r="PZS18" s="6"/>
      <c r="PZT18" s="6"/>
      <c r="PZU18" s="6"/>
      <c r="PZV18" s="6"/>
      <c r="PZW18" s="6"/>
      <c r="PZX18" s="6"/>
      <c r="PZY18" s="6"/>
      <c r="PZZ18" s="6"/>
      <c r="QAA18" s="6"/>
      <c r="QAB18" s="7"/>
      <c r="QAC18" s="457" t="s">
        <v>14257</v>
      </c>
      <c r="QAD18" s="6"/>
      <c r="QAE18" s="6"/>
      <c r="QAF18" s="6"/>
      <c r="QAG18" s="6"/>
      <c r="QAH18" s="6"/>
      <c r="QAI18" s="6"/>
      <c r="QAJ18" s="6"/>
      <c r="QAK18" s="6"/>
      <c r="QAL18" s="6"/>
      <c r="QAM18" s="6"/>
      <c r="QAN18" s="6"/>
      <c r="QAO18" s="6"/>
      <c r="QAP18" s="6"/>
      <c r="QAQ18" s="6"/>
      <c r="QAR18" s="7"/>
      <c r="QAS18" s="457" t="s">
        <v>14257</v>
      </c>
      <c r="QAT18" s="6"/>
      <c r="QAU18" s="6"/>
      <c r="QAV18" s="6"/>
      <c r="QAW18" s="6"/>
      <c r="QAX18" s="6"/>
      <c r="QAY18" s="6"/>
      <c r="QAZ18" s="6"/>
      <c r="QBA18" s="6"/>
      <c r="QBB18" s="6"/>
      <c r="QBC18" s="6"/>
      <c r="QBD18" s="6"/>
      <c r="QBE18" s="6"/>
      <c r="QBF18" s="6"/>
      <c r="QBG18" s="6"/>
      <c r="QBH18" s="7"/>
      <c r="QBI18" s="457" t="s">
        <v>14257</v>
      </c>
      <c r="QBJ18" s="6"/>
      <c r="QBK18" s="6"/>
      <c r="QBL18" s="6"/>
      <c r="QBM18" s="6"/>
      <c r="QBN18" s="6"/>
      <c r="QBO18" s="6"/>
      <c r="QBP18" s="6"/>
      <c r="QBQ18" s="6"/>
      <c r="QBR18" s="6"/>
      <c r="QBS18" s="6"/>
      <c r="QBT18" s="6"/>
      <c r="QBU18" s="6"/>
      <c r="QBV18" s="6"/>
      <c r="QBW18" s="6"/>
      <c r="QBX18" s="7"/>
      <c r="QBY18" s="457" t="s">
        <v>14257</v>
      </c>
      <c r="QBZ18" s="6"/>
      <c r="QCA18" s="6"/>
      <c r="QCB18" s="6"/>
      <c r="QCC18" s="6"/>
      <c r="QCD18" s="6"/>
      <c r="QCE18" s="6"/>
      <c r="QCF18" s="6"/>
      <c r="QCG18" s="6"/>
      <c r="QCH18" s="6"/>
      <c r="QCI18" s="6"/>
      <c r="QCJ18" s="6"/>
      <c r="QCK18" s="6"/>
      <c r="QCL18" s="6"/>
      <c r="QCM18" s="6"/>
      <c r="QCN18" s="7"/>
      <c r="QCO18" s="457" t="s">
        <v>14257</v>
      </c>
      <c r="QCP18" s="6"/>
      <c r="QCQ18" s="6"/>
      <c r="QCR18" s="6"/>
      <c r="QCS18" s="6"/>
      <c r="QCT18" s="6"/>
      <c r="QCU18" s="6"/>
      <c r="QCV18" s="6"/>
      <c r="QCW18" s="6"/>
      <c r="QCX18" s="6"/>
      <c r="QCY18" s="6"/>
      <c r="QCZ18" s="6"/>
      <c r="QDA18" s="6"/>
      <c r="QDB18" s="6"/>
      <c r="QDC18" s="6"/>
      <c r="QDD18" s="7"/>
      <c r="QDE18" s="457" t="s">
        <v>14257</v>
      </c>
      <c r="QDF18" s="6"/>
      <c r="QDG18" s="6"/>
      <c r="QDH18" s="6"/>
      <c r="QDI18" s="6"/>
      <c r="QDJ18" s="6"/>
      <c r="QDK18" s="6"/>
      <c r="QDL18" s="6"/>
      <c r="QDM18" s="6"/>
      <c r="QDN18" s="6"/>
      <c r="QDO18" s="6"/>
      <c r="QDP18" s="6"/>
      <c r="QDQ18" s="6"/>
      <c r="QDR18" s="6"/>
      <c r="QDS18" s="6"/>
      <c r="QDT18" s="7"/>
      <c r="QDU18" s="457" t="s">
        <v>14257</v>
      </c>
      <c r="QDV18" s="6"/>
      <c r="QDW18" s="6"/>
      <c r="QDX18" s="6"/>
      <c r="QDY18" s="6"/>
      <c r="QDZ18" s="6"/>
      <c r="QEA18" s="6"/>
      <c r="QEB18" s="6"/>
      <c r="QEC18" s="6"/>
      <c r="QED18" s="6"/>
      <c r="QEE18" s="6"/>
      <c r="QEF18" s="6"/>
      <c r="QEG18" s="6"/>
      <c r="QEH18" s="6"/>
      <c r="QEI18" s="6"/>
      <c r="QEJ18" s="7"/>
      <c r="QEK18" s="457" t="s">
        <v>14257</v>
      </c>
      <c r="QEL18" s="6"/>
      <c r="QEM18" s="6"/>
      <c r="QEN18" s="6"/>
      <c r="QEO18" s="6"/>
      <c r="QEP18" s="6"/>
      <c r="QEQ18" s="6"/>
      <c r="QER18" s="6"/>
      <c r="QES18" s="6"/>
      <c r="QET18" s="6"/>
      <c r="QEU18" s="6"/>
      <c r="QEV18" s="6"/>
      <c r="QEW18" s="6"/>
      <c r="QEX18" s="6"/>
      <c r="QEY18" s="6"/>
      <c r="QEZ18" s="7"/>
      <c r="QFA18" s="457" t="s">
        <v>14257</v>
      </c>
      <c r="QFB18" s="6"/>
      <c r="QFC18" s="6"/>
      <c r="QFD18" s="6"/>
      <c r="QFE18" s="6"/>
      <c r="QFF18" s="6"/>
      <c r="QFG18" s="6"/>
      <c r="QFH18" s="6"/>
      <c r="QFI18" s="6"/>
      <c r="QFJ18" s="6"/>
      <c r="QFK18" s="6"/>
      <c r="QFL18" s="6"/>
      <c r="QFM18" s="6"/>
      <c r="QFN18" s="6"/>
      <c r="QFO18" s="6"/>
      <c r="QFP18" s="7"/>
      <c r="QFQ18" s="457" t="s">
        <v>14257</v>
      </c>
      <c r="QFR18" s="6"/>
      <c r="QFS18" s="6"/>
      <c r="QFT18" s="6"/>
      <c r="QFU18" s="6"/>
      <c r="QFV18" s="6"/>
      <c r="QFW18" s="6"/>
      <c r="QFX18" s="6"/>
      <c r="QFY18" s="6"/>
      <c r="QFZ18" s="6"/>
      <c r="QGA18" s="6"/>
      <c r="QGB18" s="6"/>
      <c r="QGC18" s="6"/>
      <c r="QGD18" s="6"/>
      <c r="QGE18" s="6"/>
      <c r="QGF18" s="7"/>
      <c r="QGG18" s="457" t="s">
        <v>14257</v>
      </c>
      <c r="QGH18" s="6"/>
      <c r="QGI18" s="6"/>
      <c r="QGJ18" s="6"/>
      <c r="QGK18" s="6"/>
      <c r="QGL18" s="6"/>
      <c r="QGM18" s="6"/>
      <c r="QGN18" s="6"/>
      <c r="QGO18" s="6"/>
      <c r="QGP18" s="6"/>
      <c r="QGQ18" s="6"/>
      <c r="QGR18" s="6"/>
      <c r="QGS18" s="6"/>
      <c r="QGT18" s="6"/>
      <c r="QGU18" s="6"/>
      <c r="QGV18" s="7"/>
      <c r="QGW18" s="457" t="s">
        <v>14257</v>
      </c>
      <c r="QGX18" s="6"/>
      <c r="QGY18" s="6"/>
      <c r="QGZ18" s="6"/>
      <c r="QHA18" s="6"/>
      <c r="QHB18" s="6"/>
      <c r="QHC18" s="6"/>
      <c r="QHD18" s="6"/>
      <c r="QHE18" s="6"/>
      <c r="QHF18" s="6"/>
      <c r="QHG18" s="6"/>
      <c r="QHH18" s="6"/>
      <c r="QHI18" s="6"/>
      <c r="QHJ18" s="6"/>
      <c r="QHK18" s="6"/>
      <c r="QHL18" s="7"/>
      <c r="QHM18" s="457" t="s">
        <v>14257</v>
      </c>
      <c r="QHN18" s="6"/>
      <c r="QHO18" s="6"/>
      <c r="QHP18" s="6"/>
      <c r="QHQ18" s="6"/>
      <c r="QHR18" s="6"/>
      <c r="QHS18" s="6"/>
      <c r="QHT18" s="6"/>
      <c r="QHU18" s="6"/>
      <c r="QHV18" s="6"/>
      <c r="QHW18" s="6"/>
      <c r="QHX18" s="6"/>
      <c r="QHY18" s="6"/>
      <c r="QHZ18" s="6"/>
      <c r="QIA18" s="6"/>
      <c r="QIB18" s="7"/>
      <c r="QIC18" s="457" t="s">
        <v>14257</v>
      </c>
      <c r="QID18" s="6"/>
      <c r="QIE18" s="6"/>
      <c r="QIF18" s="6"/>
      <c r="QIG18" s="6"/>
      <c r="QIH18" s="6"/>
      <c r="QII18" s="6"/>
      <c r="QIJ18" s="6"/>
      <c r="QIK18" s="6"/>
      <c r="QIL18" s="6"/>
      <c r="QIM18" s="6"/>
      <c r="QIN18" s="6"/>
      <c r="QIO18" s="6"/>
      <c r="QIP18" s="6"/>
      <c r="QIQ18" s="6"/>
      <c r="QIR18" s="7"/>
      <c r="QIS18" s="457" t="s">
        <v>14257</v>
      </c>
      <c r="QIT18" s="6"/>
      <c r="QIU18" s="6"/>
      <c r="QIV18" s="6"/>
      <c r="QIW18" s="6"/>
      <c r="QIX18" s="6"/>
      <c r="QIY18" s="6"/>
      <c r="QIZ18" s="6"/>
      <c r="QJA18" s="6"/>
      <c r="QJB18" s="6"/>
      <c r="QJC18" s="6"/>
      <c r="QJD18" s="6"/>
      <c r="QJE18" s="6"/>
      <c r="QJF18" s="6"/>
      <c r="QJG18" s="6"/>
      <c r="QJH18" s="7"/>
      <c r="QJI18" s="457" t="s">
        <v>14257</v>
      </c>
      <c r="QJJ18" s="6"/>
      <c r="QJK18" s="6"/>
      <c r="QJL18" s="6"/>
      <c r="QJM18" s="6"/>
      <c r="QJN18" s="6"/>
      <c r="QJO18" s="6"/>
      <c r="QJP18" s="6"/>
      <c r="QJQ18" s="6"/>
      <c r="QJR18" s="6"/>
      <c r="QJS18" s="6"/>
      <c r="QJT18" s="6"/>
      <c r="QJU18" s="6"/>
      <c r="QJV18" s="6"/>
      <c r="QJW18" s="6"/>
      <c r="QJX18" s="7"/>
      <c r="QJY18" s="457" t="s">
        <v>14257</v>
      </c>
      <c r="QJZ18" s="6"/>
      <c r="QKA18" s="6"/>
      <c r="QKB18" s="6"/>
      <c r="QKC18" s="6"/>
      <c r="QKD18" s="6"/>
      <c r="QKE18" s="6"/>
      <c r="QKF18" s="6"/>
      <c r="QKG18" s="6"/>
      <c r="QKH18" s="6"/>
      <c r="QKI18" s="6"/>
      <c r="QKJ18" s="6"/>
      <c r="QKK18" s="6"/>
      <c r="QKL18" s="6"/>
      <c r="QKM18" s="6"/>
      <c r="QKN18" s="7"/>
      <c r="QKO18" s="457" t="s">
        <v>14257</v>
      </c>
      <c r="QKP18" s="6"/>
      <c r="QKQ18" s="6"/>
      <c r="QKR18" s="6"/>
      <c r="QKS18" s="6"/>
      <c r="QKT18" s="6"/>
      <c r="QKU18" s="6"/>
      <c r="QKV18" s="6"/>
      <c r="QKW18" s="6"/>
      <c r="QKX18" s="6"/>
      <c r="QKY18" s="6"/>
      <c r="QKZ18" s="6"/>
      <c r="QLA18" s="6"/>
      <c r="QLB18" s="6"/>
      <c r="QLC18" s="6"/>
      <c r="QLD18" s="7"/>
      <c r="QLE18" s="457" t="s">
        <v>14257</v>
      </c>
      <c r="QLF18" s="6"/>
      <c r="QLG18" s="6"/>
      <c r="QLH18" s="6"/>
      <c r="QLI18" s="6"/>
      <c r="QLJ18" s="6"/>
      <c r="QLK18" s="6"/>
      <c r="QLL18" s="6"/>
      <c r="QLM18" s="6"/>
      <c r="QLN18" s="6"/>
      <c r="QLO18" s="6"/>
      <c r="QLP18" s="6"/>
      <c r="QLQ18" s="6"/>
      <c r="QLR18" s="6"/>
      <c r="QLS18" s="6"/>
      <c r="QLT18" s="7"/>
      <c r="QLU18" s="457" t="s">
        <v>14257</v>
      </c>
      <c r="QLV18" s="6"/>
      <c r="QLW18" s="6"/>
      <c r="QLX18" s="6"/>
      <c r="QLY18" s="6"/>
      <c r="QLZ18" s="6"/>
      <c r="QMA18" s="6"/>
      <c r="QMB18" s="6"/>
      <c r="QMC18" s="6"/>
      <c r="QMD18" s="6"/>
      <c r="QME18" s="6"/>
      <c r="QMF18" s="6"/>
      <c r="QMG18" s="6"/>
      <c r="QMH18" s="6"/>
      <c r="QMI18" s="6"/>
      <c r="QMJ18" s="7"/>
      <c r="QMK18" s="457" t="s">
        <v>14257</v>
      </c>
      <c r="QML18" s="6"/>
      <c r="QMM18" s="6"/>
      <c r="QMN18" s="6"/>
      <c r="QMO18" s="6"/>
      <c r="QMP18" s="6"/>
      <c r="QMQ18" s="6"/>
      <c r="QMR18" s="6"/>
      <c r="QMS18" s="6"/>
      <c r="QMT18" s="6"/>
      <c r="QMU18" s="6"/>
      <c r="QMV18" s="6"/>
      <c r="QMW18" s="6"/>
      <c r="QMX18" s="6"/>
      <c r="QMY18" s="6"/>
      <c r="QMZ18" s="7"/>
      <c r="QNA18" s="457" t="s">
        <v>14257</v>
      </c>
      <c r="QNB18" s="6"/>
      <c r="QNC18" s="6"/>
      <c r="QND18" s="6"/>
      <c r="QNE18" s="6"/>
      <c r="QNF18" s="6"/>
      <c r="QNG18" s="6"/>
      <c r="QNH18" s="6"/>
      <c r="QNI18" s="6"/>
      <c r="QNJ18" s="6"/>
      <c r="QNK18" s="6"/>
      <c r="QNL18" s="6"/>
      <c r="QNM18" s="6"/>
      <c r="QNN18" s="6"/>
      <c r="QNO18" s="6"/>
      <c r="QNP18" s="7"/>
      <c r="QNQ18" s="457" t="s">
        <v>14257</v>
      </c>
      <c r="QNR18" s="6"/>
      <c r="QNS18" s="6"/>
      <c r="QNT18" s="6"/>
      <c r="QNU18" s="6"/>
      <c r="QNV18" s="6"/>
      <c r="QNW18" s="6"/>
      <c r="QNX18" s="6"/>
      <c r="QNY18" s="6"/>
      <c r="QNZ18" s="6"/>
      <c r="QOA18" s="6"/>
      <c r="QOB18" s="6"/>
      <c r="QOC18" s="6"/>
      <c r="QOD18" s="6"/>
      <c r="QOE18" s="6"/>
      <c r="QOF18" s="7"/>
      <c r="QOG18" s="457" t="s">
        <v>14257</v>
      </c>
      <c r="QOH18" s="6"/>
      <c r="QOI18" s="6"/>
      <c r="QOJ18" s="6"/>
      <c r="QOK18" s="6"/>
      <c r="QOL18" s="6"/>
      <c r="QOM18" s="6"/>
      <c r="QON18" s="6"/>
      <c r="QOO18" s="6"/>
      <c r="QOP18" s="6"/>
      <c r="QOQ18" s="6"/>
      <c r="QOR18" s="6"/>
      <c r="QOS18" s="6"/>
      <c r="QOT18" s="6"/>
      <c r="QOU18" s="6"/>
      <c r="QOV18" s="7"/>
      <c r="QOW18" s="457" t="s">
        <v>14257</v>
      </c>
      <c r="QOX18" s="6"/>
      <c r="QOY18" s="6"/>
      <c r="QOZ18" s="6"/>
      <c r="QPA18" s="6"/>
      <c r="QPB18" s="6"/>
      <c r="QPC18" s="6"/>
      <c r="QPD18" s="6"/>
      <c r="QPE18" s="6"/>
      <c r="QPF18" s="6"/>
      <c r="QPG18" s="6"/>
      <c r="QPH18" s="6"/>
      <c r="QPI18" s="6"/>
      <c r="QPJ18" s="6"/>
      <c r="QPK18" s="6"/>
      <c r="QPL18" s="7"/>
      <c r="QPM18" s="457" t="s">
        <v>14257</v>
      </c>
      <c r="QPN18" s="6"/>
      <c r="QPO18" s="6"/>
      <c r="QPP18" s="6"/>
      <c r="QPQ18" s="6"/>
      <c r="QPR18" s="6"/>
      <c r="QPS18" s="6"/>
      <c r="QPT18" s="6"/>
      <c r="QPU18" s="6"/>
      <c r="QPV18" s="6"/>
      <c r="QPW18" s="6"/>
      <c r="QPX18" s="6"/>
      <c r="QPY18" s="6"/>
      <c r="QPZ18" s="6"/>
      <c r="QQA18" s="6"/>
      <c r="QQB18" s="7"/>
      <c r="QQC18" s="457" t="s">
        <v>14257</v>
      </c>
      <c r="QQD18" s="6"/>
      <c r="QQE18" s="6"/>
      <c r="QQF18" s="6"/>
      <c r="QQG18" s="6"/>
      <c r="QQH18" s="6"/>
      <c r="QQI18" s="6"/>
      <c r="QQJ18" s="6"/>
      <c r="QQK18" s="6"/>
      <c r="QQL18" s="6"/>
      <c r="QQM18" s="6"/>
      <c r="QQN18" s="6"/>
      <c r="QQO18" s="6"/>
      <c r="QQP18" s="6"/>
      <c r="QQQ18" s="6"/>
      <c r="QQR18" s="7"/>
      <c r="QQS18" s="457" t="s">
        <v>14257</v>
      </c>
      <c r="QQT18" s="6"/>
      <c r="QQU18" s="6"/>
      <c r="QQV18" s="6"/>
      <c r="QQW18" s="6"/>
      <c r="QQX18" s="6"/>
      <c r="QQY18" s="6"/>
      <c r="QQZ18" s="6"/>
      <c r="QRA18" s="6"/>
      <c r="QRB18" s="6"/>
      <c r="QRC18" s="6"/>
      <c r="QRD18" s="6"/>
      <c r="QRE18" s="6"/>
      <c r="QRF18" s="6"/>
      <c r="QRG18" s="6"/>
      <c r="QRH18" s="7"/>
      <c r="QRI18" s="457" t="s">
        <v>14257</v>
      </c>
      <c r="QRJ18" s="6"/>
      <c r="QRK18" s="6"/>
      <c r="QRL18" s="6"/>
      <c r="QRM18" s="6"/>
      <c r="QRN18" s="6"/>
      <c r="QRO18" s="6"/>
      <c r="QRP18" s="6"/>
      <c r="QRQ18" s="6"/>
      <c r="QRR18" s="6"/>
      <c r="QRS18" s="6"/>
      <c r="QRT18" s="6"/>
      <c r="QRU18" s="6"/>
      <c r="QRV18" s="6"/>
      <c r="QRW18" s="6"/>
      <c r="QRX18" s="7"/>
      <c r="QRY18" s="457" t="s">
        <v>14257</v>
      </c>
      <c r="QRZ18" s="6"/>
      <c r="QSA18" s="6"/>
      <c r="QSB18" s="6"/>
      <c r="QSC18" s="6"/>
      <c r="QSD18" s="6"/>
      <c r="QSE18" s="6"/>
      <c r="QSF18" s="6"/>
      <c r="QSG18" s="6"/>
      <c r="QSH18" s="6"/>
      <c r="QSI18" s="6"/>
      <c r="QSJ18" s="6"/>
      <c r="QSK18" s="6"/>
      <c r="QSL18" s="6"/>
      <c r="QSM18" s="6"/>
      <c r="QSN18" s="7"/>
      <c r="QSO18" s="457" t="s">
        <v>14257</v>
      </c>
      <c r="QSP18" s="6"/>
      <c r="QSQ18" s="6"/>
      <c r="QSR18" s="6"/>
      <c r="QSS18" s="6"/>
      <c r="QST18" s="6"/>
      <c r="QSU18" s="6"/>
      <c r="QSV18" s="6"/>
      <c r="QSW18" s="6"/>
      <c r="QSX18" s="6"/>
      <c r="QSY18" s="6"/>
      <c r="QSZ18" s="6"/>
      <c r="QTA18" s="6"/>
      <c r="QTB18" s="6"/>
      <c r="QTC18" s="6"/>
      <c r="QTD18" s="7"/>
      <c r="QTE18" s="457" t="s">
        <v>14257</v>
      </c>
      <c r="QTF18" s="6"/>
      <c r="QTG18" s="6"/>
      <c r="QTH18" s="6"/>
      <c r="QTI18" s="6"/>
      <c r="QTJ18" s="6"/>
      <c r="QTK18" s="6"/>
      <c r="QTL18" s="6"/>
      <c r="QTM18" s="6"/>
      <c r="QTN18" s="6"/>
      <c r="QTO18" s="6"/>
      <c r="QTP18" s="6"/>
      <c r="QTQ18" s="6"/>
      <c r="QTR18" s="6"/>
      <c r="QTS18" s="6"/>
      <c r="QTT18" s="7"/>
      <c r="QTU18" s="457" t="s">
        <v>14257</v>
      </c>
      <c r="QTV18" s="6"/>
      <c r="QTW18" s="6"/>
      <c r="QTX18" s="6"/>
      <c r="QTY18" s="6"/>
      <c r="QTZ18" s="6"/>
      <c r="QUA18" s="6"/>
      <c r="QUB18" s="6"/>
      <c r="QUC18" s="6"/>
      <c r="QUD18" s="6"/>
      <c r="QUE18" s="6"/>
      <c r="QUF18" s="6"/>
      <c r="QUG18" s="6"/>
      <c r="QUH18" s="6"/>
      <c r="QUI18" s="6"/>
      <c r="QUJ18" s="7"/>
      <c r="QUK18" s="457" t="s">
        <v>14257</v>
      </c>
      <c r="QUL18" s="6"/>
      <c r="QUM18" s="6"/>
      <c r="QUN18" s="6"/>
      <c r="QUO18" s="6"/>
      <c r="QUP18" s="6"/>
      <c r="QUQ18" s="6"/>
      <c r="QUR18" s="6"/>
      <c r="QUS18" s="6"/>
      <c r="QUT18" s="6"/>
      <c r="QUU18" s="6"/>
      <c r="QUV18" s="6"/>
      <c r="QUW18" s="6"/>
      <c r="QUX18" s="6"/>
      <c r="QUY18" s="6"/>
      <c r="QUZ18" s="7"/>
      <c r="QVA18" s="457" t="s">
        <v>14257</v>
      </c>
      <c r="QVB18" s="6"/>
      <c r="QVC18" s="6"/>
      <c r="QVD18" s="6"/>
      <c r="QVE18" s="6"/>
      <c r="QVF18" s="6"/>
      <c r="QVG18" s="6"/>
      <c r="QVH18" s="6"/>
      <c r="QVI18" s="6"/>
      <c r="QVJ18" s="6"/>
      <c r="QVK18" s="6"/>
      <c r="QVL18" s="6"/>
      <c r="QVM18" s="6"/>
      <c r="QVN18" s="6"/>
      <c r="QVO18" s="6"/>
      <c r="QVP18" s="7"/>
      <c r="QVQ18" s="457" t="s">
        <v>14257</v>
      </c>
      <c r="QVR18" s="6"/>
      <c r="QVS18" s="6"/>
      <c r="QVT18" s="6"/>
      <c r="QVU18" s="6"/>
      <c r="QVV18" s="6"/>
      <c r="QVW18" s="6"/>
      <c r="QVX18" s="6"/>
      <c r="QVY18" s="6"/>
      <c r="QVZ18" s="6"/>
      <c r="QWA18" s="6"/>
      <c r="QWB18" s="6"/>
      <c r="QWC18" s="6"/>
      <c r="QWD18" s="6"/>
      <c r="QWE18" s="6"/>
      <c r="QWF18" s="7"/>
      <c r="QWG18" s="457" t="s">
        <v>14257</v>
      </c>
      <c r="QWH18" s="6"/>
      <c r="QWI18" s="6"/>
      <c r="QWJ18" s="6"/>
      <c r="QWK18" s="6"/>
      <c r="QWL18" s="6"/>
      <c r="QWM18" s="6"/>
      <c r="QWN18" s="6"/>
      <c r="QWO18" s="6"/>
      <c r="QWP18" s="6"/>
      <c r="QWQ18" s="6"/>
      <c r="QWR18" s="6"/>
      <c r="QWS18" s="6"/>
      <c r="QWT18" s="6"/>
      <c r="QWU18" s="6"/>
      <c r="QWV18" s="7"/>
      <c r="QWW18" s="457" t="s">
        <v>14257</v>
      </c>
      <c r="QWX18" s="6"/>
      <c r="QWY18" s="6"/>
      <c r="QWZ18" s="6"/>
      <c r="QXA18" s="6"/>
      <c r="QXB18" s="6"/>
      <c r="QXC18" s="6"/>
      <c r="QXD18" s="6"/>
      <c r="QXE18" s="6"/>
      <c r="QXF18" s="6"/>
      <c r="QXG18" s="6"/>
      <c r="QXH18" s="6"/>
      <c r="QXI18" s="6"/>
      <c r="QXJ18" s="6"/>
      <c r="QXK18" s="6"/>
      <c r="QXL18" s="7"/>
      <c r="QXM18" s="457" t="s">
        <v>14257</v>
      </c>
      <c r="QXN18" s="6"/>
      <c r="QXO18" s="6"/>
      <c r="QXP18" s="6"/>
      <c r="QXQ18" s="6"/>
      <c r="QXR18" s="6"/>
      <c r="QXS18" s="6"/>
      <c r="QXT18" s="6"/>
      <c r="QXU18" s="6"/>
      <c r="QXV18" s="6"/>
      <c r="QXW18" s="6"/>
      <c r="QXX18" s="6"/>
      <c r="QXY18" s="6"/>
      <c r="QXZ18" s="6"/>
      <c r="QYA18" s="6"/>
      <c r="QYB18" s="7"/>
      <c r="QYC18" s="457" t="s">
        <v>14257</v>
      </c>
      <c r="QYD18" s="6"/>
      <c r="QYE18" s="6"/>
      <c r="QYF18" s="6"/>
      <c r="QYG18" s="6"/>
      <c r="QYH18" s="6"/>
      <c r="QYI18" s="6"/>
      <c r="QYJ18" s="6"/>
      <c r="QYK18" s="6"/>
      <c r="QYL18" s="6"/>
      <c r="QYM18" s="6"/>
      <c r="QYN18" s="6"/>
      <c r="QYO18" s="6"/>
      <c r="QYP18" s="6"/>
      <c r="QYQ18" s="6"/>
      <c r="QYR18" s="7"/>
      <c r="QYS18" s="457" t="s">
        <v>14257</v>
      </c>
      <c r="QYT18" s="6"/>
      <c r="QYU18" s="6"/>
      <c r="QYV18" s="6"/>
      <c r="QYW18" s="6"/>
      <c r="QYX18" s="6"/>
      <c r="QYY18" s="6"/>
      <c r="QYZ18" s="6"/>
      <c r="QZA18" s="6"/>
      <c r="QZB18" s="6"/>
      <c r="QZC18" s="6"/>
      <c r="QZD18" s="6"/>
      <c r="QZE18" s="6"/>
      <c r="QZF18" s="6"/>
      <c r="QZG18" s="6"/>
      <c r="QZH18" s="7"/>
      <c r="QZI18" s="457" t="s">
        <v>14257</v>
      </c>
      <c r="QZJ18" s="6"/>
      <c r="QZK18" s="6"/>
      <c r="QZL18" s="6"/>
      <c r="QZM18" s="6"/>
      <c r="QZN18" s="6"/>
      <c r="QZO18" s="6"/>
      <c r="QZP18" s="6"/>
      <c r="QZQ18" s="6"/>
      <c r="QZR18" s="6"/>
      <c r="QZS18" s="6"/>
      <c r="QZT18" s="6"/>
      <c r="QZU18" s="6"/>
      <c r="QZV18" s="6"/>
      <c r="QZW18" s="6"/>
      <c r="QZX18" s="7"/>
      <c r="QZY18" s="457" t="s">
        <v>14257</v>
      </c>
      <c r="QZZ18" s="6"/>
      <c r="RAA18" s="6"/>
      <c r="RAB18" s="6"/>
      <c r="RAC18" s="6"/>
      <c r="RAD18" s="6"/>
      <c r="RAE18" s="6"/>
      <c r="RAF18" s="6"/>
      <c r="RAG18" s="6"/>
      <c r="RAH18" s="6"/>
      <c r="RAI18" s="6"/>
      <c r="RAJ18" s="6"/>
      <c r="RAK18" s="6"/>
      <c r="RAL18" s="6"/>
      <c r="RAM18" s="6"/>
      <c r="RAN18" s="7"/>
      <c r="RAO18" s="457" t="s">
        <v>14257</v>
      </c>
      <c r="RAP18" s="6"/>
      <c r="RAQ18" s="6"/>
      <c r="RAR18" s="6"/>
      <c r="RAS18" s="6"/>
      <c r="RAT18" s="6"/>
      <c r="RAU18" s="6"/>
      <c r="RAV18" s="6"/>
      <c r="RAW18" s="6"/>
      <c r="RAX18" s="6"/>
      <c r="RAY18" s="6"/>
      <c r="RAZ18" s="6"/>
      <c r="RBA18" s="6"/>
      <c r="RBB18" s="6"/>
      <c r="RBC18" s="6"/>
      <c r="RBD18" s="7"/>
      <c r="RBE18" s="457" t="s">
        <v>14257</v>
      </c>
      <c r="RBF18" s="6"/>
      <c r="RBG18" s="6"/>
      <c r="RBH18" s="6"/>
      <c r="RBI18" s="6"/>
      <c r="RBJ18" s="6"/>
      <c r="RBK18" s="6"/>
      <c r="RBL18" s="6"/>
      <c r="RBM18" s="6"/>
      <c r="RBN18" s="6"/>
      <c r="RBO18" s="6"/>
      <c r="RBP18" s="6"/>
      <c r="RBQ18" s="6"/>
      <c r="RBR18" s="6"/>
      <c r="RBS18" s="6"/>
      <c r="RBT18" s="7"/>
      <c r="RBU18" s="457" t="s">
        <v>14257</v>
      </c>
      <c r="RBV18" s="6"/>
      <c r="RBW18" s="6"/>
      <c r="RBX18" s="6"/>
      <c r="RBY18" s="6"/>
      <c r="RBZ18" s="6"/>
      <c r="RCA18" s="6"/>
      <c r="RCB18" s="6"/>
      <c r="RCC18" s="6"/>
      <c r="RCD18" s="6"/>
      <c r="RCE18" s="6"/>
      <c r="RCF18" s="6"/>
      <c r="RCG18" s="6"/>
      <c r="RCH18" s="6"/>
      <c r="RCI18" s="6"/>
      <c r="RCJ18" s="7"/>
      <c r="RCK18" s="457" t="s">
        <v>14257</v>
      </c>
      <c r="RCL18" s="6"/>
      <c r="RCM18" s="6"/>
      <c r="RCN18" s="6"/>
      <c r="RCO18" s="6"/>
      <c r="RCP18" s="6"/>
      <c r="RCQ18" s="6"/>
      <c r="RCR18" s="6"/>
      <c r="RCS18" s="6"/>
      <c r="RCT18" s="6"/>
      <c r="RCU18" s="6"/>
      <c r="RCV18" s="6"/>
      <c r="RCW18" s="6"/>
      <c r="RCX18" s="6"/>
      <c r="RCY18" s="6"/>
      <c r="RCZ18" s="7"/>
      <c r="RDA18" s="457" t="s">
        <v>14257</v>
      </c>
      <c r="RDB18" s="6"/>
      <c r="RDC18" s="6"/>
      <c r="RDD18" s="6"/>
      <c r="RDE18" s="6"/>
      <c r="RDF18" s="6"/>
      <c r="RDG18" s="6"/>
      <c r="RDH18" s="6"/>
      <c r="RDI18" s="6"/>
      <c r="RDJ18" s="6"/>
      <c r="RDK18" s="6"/>
      <c r="RDL18" s="6"/>
      <c r="RDM18" s="6"/>
      <c r="RDN18" s="6"/>
      <c r="RDO18" s="6"/>
      <c r="RDP18" s="7"/>
      <c r="RDQ18" s="457" t="s">
        <v>14257</v>
      </c>
      <c r="RDR18" s="6"/>
      <c r="RDS18" s="6"/>
      <c r="RDT18" s="6"/>
      <c r="RDU18" s="6"/>
      <c r="RDV18" s="6"/>
      <c r="RDW18" s="6"/>
      <c r="RDX18" s="6"/>
      <c r="RDY18" s="6"/>
      <c r="RDZ18" s="6"/>
      <c r="REA18" s="6"/>
      <c r="REB18" s="6"/>
      <c r="REC18" s="6"/>
      <c r="RED18" s="6"/>
      <c r="REE18" s="6"/>
      <c r="REF18" s="7"/>
      <c r="REG18" s="457" t="s">
        <v>14257</v>
      </c>
      <c r="REH18" s="6"/>
      <c r="REI18" s="6"/>
      <c r="REJ18" s="6"/>
      <c r="REK18" s="6"/>
      <c r="REL18" s="6"/>
      <c r="REM18" s="6"/>
      <c r="REN18" s="6"/>
      <c r="REO18" s="6"/>
      <c r="REP18" s="6"/>
      <c r="REQ18" s="6"/>
      <c r="RER18" s="6"/>
      <c r="RES18" s="6"/>
      <c r="RET18" s="6"/>
      <c r="REU18" s="6"/>
      <c r="REV18" s="7"/>
      <c r="REW18" s="457" t="s">
        <v>14257</v>
      </c>
      <c r="REX18" s="6"/>
      <c r="REY18" s="6"/>
      <c r="REZ18" s="6"/>
      <c r="RFA18" s="6"/>
      <c r="RFB18" s="6"/>
      <c r="RFC18" s="6"/>
      <c r="RFD18" s="6"/>
      <c r="RFE18" s="6"/>
      <c r="RFF18" s="6"/>
      <c r="RFG18" s="6"/>
      <c r="RFH18" s="6"/>
      <c r="RFI18" s="6"/>
      <c r="RFJ18" s="6"/>
      <c r="RFK18" s="6"/>
      <c r="RFL18" s="7"/>
      <c r="RFM18" s="457" t="s">
        <v>14257</v>
      </c>
      <c r="RFN18" s="6"/>
      <c r="RFO18" s="6"/>
      <c r="RFP18" s="6"/>
      <c r="RFQ18" s="6"/>
      <c r="RFR18" s="6"/>
      <c r="RFS18" s="6"/>
      <c r="RFT18" s="6"/>
      <c r="RFU18" s="6"/>
      <c r="RFV18" s="6"/>
      <c r="RFW18" s="6"/>
      <c r="RFX18" s="6"/>
      <c r="RFY18" s="6"/>
      <c r="RFZ18" s="6"/>
      <c r="RGA18" s="6"/>
      <c r="RGB18" s="7"/>
      <c r="RGC18" s="457" t="s">
        <v>14257</v>
      </c>
      <c r="RGD18" s="6"/>
      <c r="RGE18" s="6"/>
      <c r="RGF18" s="6"/>
      <c r="RGG18" s="6"/>
      <c r="RGH18" s="6"/>
      <c r="RGI18" s="6"/>
      <c r="RGJ18" s="6"/>
      <c r="RGK18" s="6"/>
      <c r="RGL18" s="6"/>
      <c r="RGM18" s="6"/>
      <c r="RGN18" s="6"/>
      <c r="RGO18" s="6"/>
      <c r="RGP18" s="6"/>
      <c r="RGQ18" s="6"/>
      <c r="RGR18" s="7"/>
      <c r="RGS18" s="457" t="s">
        <v>14257</v>
      </c>
      <c r="RGT18" s="6"/>
      <c r="RGU18" s="6"/>
      <c r="RGV18" s="6"/>
      <c r="RGW18" s="6"/>
      <c r="RGX18" s="6"/>
      <c r="RGY18" s="6"/>
      <c r="RGZ18" s="6"/>
      <c r="RHA18" s="6"/>
      <c r="RHB18" s="6"/>
      <c r="RHC18" s="6"/>
      <c r="RHD18" s="6"/>
      <c r="RHE18" s="6"/>
      <c r="RHF18" s="6"/>
      <c r="RHG18" s="6"/>
      <c r="RHH18" s="7"/>
      <c r="RHI18" s="457" t="s">
        <v>14257</v>
      </c>
      <c r="RHJ18" s="6"/>
      <c r="RHK18" s="6"/>
      <c r="RHL18" s="6"/>
      <c r="RHM18" s="6"/>
      <c r="RHN18" s="6"/>
      <c r="RHO18" s="6"/>
      <c r="RHP18" s="6"/>
      <c r="RHQ18" s="6"/>
      <c r="RHR18" s="6"/>
      <c r="RHS18" s="6"/>
      <c r="RHT18" s="6"/>
      <c r="RHU18" s="6"/>
      <c r="RHV18" s="6"/>
      <c r="RHW18" s="6"/>
      <c r="RHX18" s="7"/>
      <c r="RHY18" s="457" t="s">
        <v>14257</v>
      </c>
      <c r="RHZ18" s="6"/>
      <c r="RIA18" s="6"/>
      <c r="RIB18" s="6"/>
      <c r="RIC18" s="6"/>
      <c r="RID18" s="6"/>
      <c r="RIE18" s="6"/>
      <c r="RIF18" s="6"/>
      <c r="RIG18" s="6"/>
      <c r="RIH18" s="6"/>
      <c r="RII18" s="6"/>
      <c r="RIJ18" s="6"/>
      <c r="RIK18" s="6"/>
      <c r="RIL18" s="6"/>
      <c r="RIM18" s="6"/>
      <c r="RIN18" s="7"/>
      <c r="RIO18" s="457" t="s">
        <v>14257</v>
      </c>
      <c r="RIP18" s="6"/>
      <c r="RIQ18" s="6"/>
      <c r="RIR18" s="6"/>
      <c r="RIS18" s="6"/>
      <c r="RIT18" s="6"/>
      <c r="RIU18" s="6"/>
      <c r="RIV18" s="6"/>
      <c r="RIW18" s="6"/>
      <c r="RIX18" s="6"/>
      <c r="RIY18" s="6"/>
      <c r="RIZ18" s="6"/>
      <c r="RJA18" s="6"/>
      <c r="RJB18" s="6"/>
      <c r="RJC18" s="6"/>
      <c r="RJD18" s="7"/>
      <c r="RJE18" s="457" t="s">
        <v>14257</v>
      </c>
      <c r="RJF18" s="6"/>
      <c r="RJG18" s="6"/>
      <c r="RJH18" s="6"/>
      <c r="RJI18" s="6"/>
      <c r="RJJ18" s="6"/>
      <c r="RJK18" s="6"/>
      <c r="RJL18" s="6"/>
      <c r="RJM18" s="6"/>
      <c r="RJN18" s="6"/>
      <c r="RJO18" s="6"/>
      <c r="RJP18" s="6"/>
      <c r="RJQ18" s="6"/>
      <c r="RJR18" s="6"/>
      <c r="RJS18" s="6"/>
      <c r="RJT18" s="7"/>
      <c r="RJU18" s="457" t="s">
        <v>14257</v>
      </c>
      <c r="RJV18" s="6"/>
      <c r="RJW18" s="6"/>
      <c r="RJX18" s="6"/>
      <c r="RJY18" s="6"/>
      <c r="RJZ18" s="6"/>
      <c r="RKA18" s="6"/>
      <c r="RKB18" s="6"/>
      <c r="RKC18" s="6"/>
      <c r="RKD18" s="6"/>
      <c r="RKE18" s="6"/>
      <c r="RKF18" s="6"/>
      <c r="RKG18" s="6"/>
      <c r="RKH18" s="6"/>
      <c r="RKI18" s="6"/>
      <c r="RKJ18" s="7"/>
      <c r="RKK18" s="457" t="s">
        <v>14257</v>
      </c>
      <c r="RKL18" s="6"/>
      <c r="RKM18" s="6"/>
      <c r="RKN18" s="6"/>
      <c r="RKO18" s="6"/>
      <c r="RKP18" s="6"/>
      <c r="RKQ18" s="6"/>
      <c r="RKR18" s="6"/>
      <c r="RKS18" s="6"/>
      <c r="RKT18" s="6"/>
      <c r="RKU18" s="6"/>
      <c r="RKV18" s="6"/>
      <c r="RKW18" s="6"/>
      <c r="RKX18" s="6"/>
      <c r="RKY18" s="6"/>
      <c r="RKZ18" s="7"/>
      <c r="RLA18" s="457" t="s">
        <v>14257</v>
      </c>
      <c r="RLB18" s="6"/>
      <c r="RLC18" s="6"/>
      <c r="RLD18" s="6"/>
      <c r="RLE18" s="6"/>
      <c r="RLF18" s="6"/>
      <c r="RLG18" s="6"/>
      <c r="RLH18" s="6"/>
      <c r="RLI18" s="6"/>
      <c r="RLJ18" s="6"/>
      <c r="RLK18" s="6"/>
      <c r="RLL18" s="6"/>
      <c r="RLM18" s="6"/>
      <c r="RLN18" s="6"/>
      <c r="RLO18" s="6"/>
      <c r="RLP18" s="7"/>
      <c r="RLQ18" s="457" t="s">
        <v>14257</v>
      </c>
      <c r="RLR18" s="6"/>
      <c r="RLS18" s="6"/>
      <c r="RLT18" s="6"/>
      <c r="RLU18" s="6"/>
      <c r="RLV18" s="6"/>
      <c r="RLW18" s="6"/>
      <c r="RLX18" s="6"/>
      <c r="RLY18" s="6"/>
      <c r="RLZ18" s="6"/>
      <c r="RMA18" s="6"/>
      <c r="RMB18" s="6"/>
      <c r="RMC18" s="6"/>
      <c r="RMD18" s="6"/>
      <c r="RME18" s="6"/>
      <c r="RMF18" s="7"/>
      <c r="RMG18" s="457" t="s">
        <v>14257</v>
      </c>
      <c r="RMH18" s="6"/>
      <c r="RMI18" s="6"/>
      <c r="RMJ18" s="6"/>
      <c r="RMK18" s="6"/>
      <c r="RML18" s="6"/>
      <c r="RMM18" s="6"/>
      <c r="RMN18" s="6"/>
      <c r="RMO18" s="6"/>
      <c r="RMP18" s="6"/>
      <c r="RMQ18" s="6"/>
      <c r="RMR18" s="6"/>
      <c r="RMS18" s="6"/>
      <c r="RMT18" s="6"/>
      <c r="RMU18" s="6"/>
      <c r="RMV18" s="7"/>
      <c r="RMW18" s="457" t="s">
        <v>14257</v>
      </c>
      <c r="RMX18" s="6"/>
      <c r="RMY18" s="6"/>
      <c r="RMZ18" s="6"/>
      <c r="RNA18" s="6"/>
      <c r="RNB18" s="6"/>
      <c r="RNC18" s="6"/>
      <c r="RND18" s="6"/>
      <c r="RNE18" s="6"/>
      <c r="RNF18" s="6"/>
      <c r="RNG18" s="6"/>
      <c r="RNH18" s="6"/>
      <c r="RNI18" s="6"/>
      <c r="RNJ18" s="6"/>
      <c r="RNK18" s="6"/>
      <c r="RNL18" s="7"/>
      <c r="RNM18" s="457" t="s">
        <v>14257</v>
      </c>
      <c r="RNN18" s="6"/>
      <c r="RNO18" s="6"/>
      <c r="RNP18" s="6"/>
      <c r="RNQ18" s="6"/>
      <c r="RNR18" s="6"/>
      <c r="RNS18" s="6"/>
      <c r="RNT18" s="6"/>
      <c r="RNU18" s="6"/>
      <c r="RNV18" s="6"/>
      <c r="RNW18" s="6"/>
      <c r="RNX18" s="6"/>
      <c r="RNY18" s="6"/>
      <c r="RNZ18" s="6"/>
      <c r="ROA18" s="6"/>
      <c r="ROB18" s="7"/>
      <c r="ROC18" s="457" t="s">
        <v>14257</v>
      </c>
      <c r="ROD18" s="6"/>
      <c r="ROE18" s="6"/>
      <c r="ROF18" s="6"/>
      <c r="ROG18" s="6"/>
      <c r="ROH18" s="6"/>
      <c r="ROI18" s="6"/>
      <c r="ROJ18" s="6"/>
      <c r="ROK18" s="6"/>
      <c r="ROL18" s="6"/>
      <c r="ROM18" s="6"/>
      <c r="RON18" s="6"/>
      <c r="ROO18" s="6"/>
      <c r="ROP18" s="6"/>
      <c r="ROQ18" s="6"/>
      <c r="ROR18" s="7"/>
      <c r="ROS18" s="457" t="s">
        <v>14257</v>
      </c>
      <c r="ROT18" s="6"/>
      <c r="ROU18" s="6"/>
      <c r="ROV18" s="6"/>
      <c r="ROW18" s="6"/>
      <c r="ROX18" s="6"/>
      <c r="ROY18" s="6"/>
      <c r="ROZ18" s="6"/>
      <c r="RPA18" s="6"/>
      <c r="RPB18" s="6"/>
      <c r="RPC18" s="6"/>
      <c r="RPD18" s="6"/>
      <c r="RPE18" s="6"/>
      <c r="RPF18" s="6"/>
      <c r="RPG18" s="6"/>
      <c r="RPH18" s="7"/>
      <c r="RPI18" s="457" t="s">
        <v>14257</v>
      </c>
      <c r="RPJ18" s="6"/>
      <c r="RPK18" s="6"/>
      <c r="RPL18" s="6"/>
      <c r="RPM18" s="6"/>
      <c r="RPN18" s="6"/>
      <c r="RPO18" s="6"/>
      <c r="RPP18" s="6"/>
      <c r="RPQ18" s="6"/>
      <c r="RPR18" s="6"/>
      <c r="RPS18" s="6"/>
      <c r="RPT18" s="6"/>
      <c r="RPU18" s="6"/>
      <c r="RPV18" s="6"/>
      <c r="RPW18" s="6"/>
      <c r="RPX18" s="7"/>
      <c r="RPY18" s="457" t="s">
        <v>14257</v>
      </c>
      <c r="RPZ18" s="6"/>
      <c r="RQA18" s="6"/>
      <c r="RQB18" s="6"/>
      <c r="RQC18" s="6"/>
      <c r="RQD18" s="6"/>
      <c r="RQE18" s="6"/>
      <c r="RQF18" s="6"/>
      <c r="RQG18" s="6"/>
      <c r="RQH18" s="6"/>
      <c r="RQI18" s="6"/>
      <c r="RQJ18" s="6"/>
      <c r="RQK18" s="6"/>
      <c r="RQL18" s="6"/>
      <c r="RQM18" s="6"/>
      <c r="RQN18" s="7"/>
      <c r="RQO18" s="457" t="s">
        <v>14257</v>
      </c>
      <c r="RQP18" s="6"/>
      <c r="RQQ18" s="6"/>
      <c r="RQR18" s="6"/>
      <c r="RQS18" s="6"/>
      <c r="RQT18" s="6"/>
      <c r="RQU18" s="6"/>
      <c r="RQV18" s="6"/>
      <c r="RQW18" s="6"/>
      <c r="RQX18" s="6"/>
      <c r="RQY18" s="6"/>
      <c r="RQZ18" s="6"/>
      <c r="RRA18" s="6"/>
      <c r="RRB18" s="6"/>
      <c r="RRC18" s="6"/>
      <c r="RRD18" s="7"/>
      <c r="RRE18" s="457" t="s">
        <v>14257</v>
      </c>
      <c r="RRF18" s="6"/>
      <c r="RRG18" s="6"/>
      <c r="RRH18" s="6"/>
      <c r="RRI18" s="6"/>
      <c r="RRJ18" s="6"/>
      <c r="RRK18" s="6"/>
      <c r="RRL18" s="6"/>
      <c r="RRM18" s="6"/>
      <c r="RRN18" s="6"/>
      <c r="RRO18" s="6"/>
      <c r="RRP18" s="6"/>
      <c r="RRQ18" s="6"/>
      <c r="RRR18" s="6"/>
      <c r="RRS18" s="6"/>
      <c r="RRT18" s="7"/>
      <c r="RRU18" s="457" t="s">
        <v>14257</v>
      </c>
      <c r="RRV18" s="6"/>
      <c r="RRW18" s="6"/>
      <c r="RRX18" s="6"/>
      <c r="RRY18" s="6"/>
      <c r="RRZ18" s="6"/>
      <c r="RSA18" s="6"/>
      <c r="RSB18" s="6"/>
      <c r="RSC18" s="6"/>
      <c r="RSD18" s="6"/>
      <c r="RSE18" s="6"/>
      <c r="RSF18" s="6"/>
      <c r="RSG18" s="6"/>
      <c r="RSH18" s="6"/>
      <c r="RSI18" s="6"/>
      <c r="RSJ18" s="7"/>
      <c r="RSK18" s="457" t="s">
        <v>14257</v>
      </c>
      <c r="RSL18" s="6"/>
      <c r="RSM18" s="6"/>
      <c r="RSN18" s="6"/>
      <c r="RSO18" s="6"/>
      <c r="RSP18" s="6"/>
      <c r="RSQ18" s="6"/>
      <c r="RSR18" s="6"/>
      <c r="RSS18" s="6"/>
      <c r="RST18" s="6"/>
      <c r="RSU18" s="6"/>
      <c r="RSV18" s="6"/>
      <c r="RSW18" s="6"/>
      <c r="RSX18" s="6"/>
      <c r="RSY18" s="6"/>
      <c r="RSZ18" s="7"/>
      <c r="RTA18" s="457" t="s">
        <v>14257</v>
      </c>
      <c r="RTB18" s="6"/>
      <c r="RTC18" s="6"/>
      <c r="RTD18" s="6"/>
      <c r="RTE18" s="6"/>
      <c r="RTF18" s="6"/>
      <c r="RTG18" s="6"/>
      <c r="RTH18" s="6"/>
      <c r="RTI18" s="6"/>
      <c r="RTJ18" s="6"/>
      <c r="RTK18" s="6"/>
      <c r="RTL18" s="6"/>
      <c r="RTM18" s="6"/>
      <c r="RTN18" s="6"/>
      <c r="RTO18" s="6"/>
      <c r="RTP18" s="7"/>
      <c r="RTQ18" s="457" t="s">
        <v>14257</v>
      </c>
      <c r="RTR18" s="6"/>
      <c r="RTS18" s="6"/>
      <c r="RTT18" s="6"/>
      <c r="RTU18" s="6"/>
      <c r="RTV18" s="6"/>
      <c r="RTW18" s="6"/>
      <c r="RTX18" s="6"/>
      <c r="RTY18" s="6"/>
      <c r="RTZ18" s="6"/>
      <c r="RUA18" s="6"/>
      <c r="RUB18" s="6"/>
      <c r="RUC18" s="6"/>
      <c r="RUD18" s="6"/>
      <c r="RUE18" s="6"/>
      <c r="RUF18" s="7"/>
      <c r="RUG18" s="457" t="s">
        <v>14257</v>
      </c>
      <c r="RUH18" s="6"/>
      <c r="RUI18" s="6"/>
      <c r="RUJ18" s="6"/>
      <c r="RUK18" s="6"/>
      <c r="RUL18" s="6"/>
      <c r="RUM18" s="6"/>
      <c r="RUN18" s="6"/>
      <c r="RUO18" s="6"/>
      <c r="RUP18" s="6"/>
      <c r="RUQ18" s="6"/>
      <c r="RUR18" s="6"/>
      <c r="RUS18" s="6"/>
      <c r="RUT18" s="6"/>
      <c r="RUU18" s="6"/>
      <c r="RUV18" s="7"/>
      <c r="RUW18" s="457" t="s">
        <v>14257</v>
      </c>
      <c r="RUX18" s="6"/>
      <c r="RUY18" s="6"/>
      <c r="RUZ18" s="6"/>
      <c r="RVA18" s="6"/>
      <c r="RVB18" s="6"/>
      <c r="RVC18" s="6"/>
      <c r="RVD18" s="6"/>
      <c r="RVE18" s="6"/>
      <c r="RVF18" s="6"/>
      <c r="RVG18" s="6"/>
      <c r="RVH18" s="6"/>
      <c r="RVI18" s="6"/>
      <c r="RVJ18" s="6"/>
      <c r="RVK18" s="6"/>
      <c r="RVL18" s="7"/>
      <c r="RVM18" s="457" t="s">
        <v>14257</v>
      </c>
      <c r="RVN18" s="6"/>
      <c r="RVO18" s="6"/>
      <c r="RVP18" s="6"/>
      <c r="RVQ18" s="6"/>
      <c r="RVR18" s="6"/>
      <c r="RVS18" s="6"/>
      <c r="RVT18" s="6"/>
      <c r="RVU18" s="6"/>
      <c r="RVV18" s="6"/>
      <c r="RVW18" s="6"/>
      <c r="RVX18" s="6"/>
      <c r="RVY18" s="6"/>
      <c r="RVZ18" s="6"/>
      <c r="RWA18" s="6"/>
      <c r="RWB18" s="7"/>
      <c r="RWC18" s="457" t="s">
        <v>14257</v>
      </c>
      <c r="RWD18" s="6"/>
      <c r="RWE18" s="6"/>
      <c r="RWF18" s="6"/>
      <c r="RWG18" s="6"/>
      <c r="RWH18" s="6"/>
      <c r="RWI18" s="6"/>
      <c r="RWJ18" s="6"/>
      <c r="RWK18" s="6"/>
      <c r="RWL18" s="6"/>
      <c r="RWM18" s="6"/>
      <c r="RWN18" s="6"/>
      <c r="RWO18" s="6"/>
      <c r="RWP18" s="6"/>
      <c r="RWQ18" s="6"/>
      <c r="RWR18" s="7"/>
      <c r="RWS18" s="457" t="s">
        <v>14257</v>
      </c>
      <c r="RWT18" s="6"/>
      <c r="RWU18" s="6"/>
      <c r="RWV18" s="6"/>
      <c r="RWW18" s="6"/>
      <c r="RWX18" s="6"/>
      <c r="RWY18" s="6"/>
      <c r="RWZ18" s="6"/>
      <c r="RXA18" s="6"/>
      <c r="RXB18" s="6"/>
      <c r="RXC18" s="6"/>
      <c r="RXD18" s="6"/>
      <c r="RXE18" s="6"/>
      <c r="RXF18" s="6"/>
      <c r="RXG18" s="6"/>
      <c r="RXH18" s="7"/>
      <c r="RXI18" s="457" t="s">
        <v>14257</v>
      </c>
      <c r="RXJ18" s="6"/>
      <c r="RXK18" s="6"/>
      <c r="RXL18" s="6"/>
      <c r="RXM18" s="6"/>
      <c r="RXN18" s="6"/>
      <c r="RXO18" s="6"/>
      <c r="RXP18" s="6"/>
      <c r="RXQ18" s="6"/>
      <c r="RXR18" s="6"/>
      <c r="RXS18" s="6"/>
      <c r="RXT18" s="6"/>
      <c r="RXU18" s="6"/>
      <c r="RXV18" s="6"/>
      <c r="RXW18" s="6"/>
      <c r="RXX18" s="7"/>
      <c r="RXY18" s="457" t="s">
        <v>14257</v>
      </c>
      <c r="RXZ18" s="6"/>
      <c r="RYA18" s="6"/>
      <c r="RYB18" s="6"/>
      <c r="RYC18" s="6"/>
      <c r="RYD18" s="6"/>
      <c r="RYE18" s="6"/>
      <c r="RYF18" s="6"/>
      <c r="RYG18" s="6"/>
      <c r="RYH18" s="6"/>
      <c r="RYI18" s="6"/>
      <c r="RYJ18" s="6"/>
      <c r="RYK18" s="6"/>
      <c r="RYL18" s="6"/>
      <c r="RYM18" s="6"/>
      <c r="RYN18" s="7"/>
      <c r="RYO18" s="457" t="s">
        <v>14257</v>
      </c>
      <c r="RYP18" s="6"/>
      <c r="RYQ18" s="6"/>
      <c r="RYR18" s="6"/>
      <c r="RYS18" s="6"/>
      <c r="RYT18" s="6"/>
      <c r="RYU18" s="6"/>
      <c r="RYV18" s="6"/>
      <c r="RYW18" s="6"/>
      <c r="RYX18" s="6"/>
      <c r="RYY18" s="6"/>
      <c r="RYZ18" s="6"/>
      <c r="RZA18" s="6"/>
      <c r="RZB18" s="6"/>
      <c r="RZC18" s="6"/>
      <c r="RZD18" s="7"/>
      <c r="RZE18" s="457" t="s">
        <v>14257</v>
      </c>
      <c r="RZF18" s="6"/>
      <c r="RZG18" s="6"/>
      <c r="RZH18" s="6"/>
      <c r="RZI18" s="6"/>
      <c r="RZJ18" s="6"/>
      <c r="RZK18" s="6"/>
      <c r="RZL18" s="6"/>
      <c r="RZM18" s="6"/>
      <c r="RZN18" s="6"/>
      <c r="RZO18" s="6"/>
      <c r="RZP18" s="6"/>
      <c r="RZQ18" s="6"/>
      <c r="RZR18" s="6"/>
      <c r="RZS18" s="6"/>
      <c r="RZT18" s="7"/>
      <c r="RZU18" s="457" t="s">
        <v>14257</v>
      </c>
      <c r="RZV18" s="6"/>
      <c r="RZW18" s="6"/>
      <c r="RZX18" s="6"/>
      <c r="RZY18" s="6"/>
      <c r="RZZ18" s="6"/>
      <c r="SAA18" s="6"/>
      <c r="SAB18" s="6"/>
      <c r="SAC18" s="6"/>
      <c r="SAD18" s="6"/>
      <c r="SAE18" s="6"/>
      <c r="SAF18" s="6"/>
      <c r="SAG18" s="6"/>
      <c r="SAH18" s="6"/>
      <c r="SAI18" s="6"/>
      <c r="SAJ18" s="7"/>
      <c r="SAK18" s="457" t="s">
        <v>14257</v>
      </c>
      <c r="SAL18" s="6"/>
      <c r="SAM18" s="6"/>
      <c r="SAN18" s="6"/>
      <c r="SAO18" s="6"/>
      <c r="SAP18" s="6"/>
      <c r="SAQ18" s="6"/>
      <c r="SAR18" s="6"/>
      <c r="SAS18" s="6"/>
      <c r="SAT18" s="6"/>
      <c r="SAU18" s="6"/>
      <c r="SAV18" s="6"/>
      <c r="SAW18" s="6"/>
      <c r="SAX18" s="6"/>
      <c r="SAY18" s="6"/>
      <c r="SAZ18" s="7"/>
      <c r="SBA18" s="457" t="s">
        <v>14257</v>
      </c>
      <c r="SBB18" s="6"/>
      <c r="SBC18" s="6"/>
      <c r="SBD18" s="6"/>
      <c r="SBE18" s="6"/>
      <c r="SBF18" s="6"/>
      <c r="SBG18" s="6"/>
      <c r="SBH18" s="6"/>
      <c r="SBI18" s="6"/>
      <c r="SBJ18" s="6"/>
      <c r="SBK18" s="6"/>
      <c r="SBL18" s="6"/>
      <c r="SBM18" s="6"/>
      <c r="SBN18" s="6"/>
      <c r="SBO18" s="6"/>
      <c r="SBP18" s="7"/>
      <c r="SBQ18" s="457" t="s">
        <v>14257</v>
      </c>
      <c r="SBR18" s="6"/>
      <c r="SBS18" s="6"/>
      <c r="SBT18" s="6"/>
      <c r="SBU18" s="6"/>
      <c r="SBV18" s="6"/>
      <c r="SBW18" s="6"/>
      <c r="SBX18" s="6"/>
      <c r="SBY18" s="6"/>
      <c r="SBZ18" s="6"/>
      <c r="SCA18" s="6"/>
      <c r="SCB18" s="6"/>
      <c r="SCC18" s="6"/>
      <c r="SCD18" s="6"/>
      <c r="SCE18" s="6"/>
      <c r="SCF18" s="7"/>
      <c r="SCG18" s="457" t="s">
        <v>14257</v>
      </c>
      <c r="SCH18" s="6"/>
      <c r="SCI18" s="6"/>
      <c r="SCJ18" s="6"/>
      <c r="SCK18" s="6"/>
      <c r="SCL18" s="6"/>
      <c r="SCM18" s="6"/>
      <c r="SCN18" s="6"/>
      <c r="SCO18" s="6"/>
      <c r="SCP18" s="6"/>
      <c r="SCQ18" s="6"/>
      <c r="SCR18" s="6"/>
      <c r="SCS18" s="6"/>
      <c r="SCT18" s="6"/>
      <c r="SCU18" s="6"/>
      <c r="SCV18" s="7"/>
      <c r="SCW18" s="457" t="s">
        <v>14257</v>
      </c>
      <c r="SCX18" s="6"/>
      <c r="SCY18" s="6"/>
      <c r="SCZ18" s="6"/>
      <c r="SDA18" s="6"/>
      <c r="SDB18" s="6"/>
      <c r="SDC18" s="6"/>
      <c r="SDD18" s="6"/>
      <c r="SDE18" s="6"/>
      <c r="SDF18" s="6"/>
      <c r="SDG18" s="6"/>
      <c r="SDH18" s="6"/>
      <c r="SDI18" s="6"/>
      <c r="SDJ18" s="6"/>
      <c r="SDK18" s="6"/>
      <c r="SDL18" s="7"/>
      <c r="SDM18" s="457" t="s">
        <v>14257</v>
      </c>
      <c r="SDN18" s="6"/>
      <c r="SDO18" s="6"/>
      <c r="SDP18" s="6"/>
      <c r="SDQ18" s="6"/>
      <c r="SDR18" s="6"/>
      <c r="SDS18" s="6"/>
      <c r="SDT18" s="6"/>
      <c r="SDU18" s="6"/>
      <c r="SDV18" s="6"/>
      <c r="SDW18" s="6"/>
      <c r="SDX18" s="6"/>
      <c r="SDY18" s="6"/>
      <c r="SDZ18" s="6"/>
      <c r="SEA18" s="6"/>
      <c r="SEB18" s="7"/>
      <c r="SEC18" s="457" t="s">
        <v>14257</v>
      </c>
      <c r="SED18" s="6"/>
      <c r="SEE18" s="6"/>
      <c r="SEF18" s="6"/>
      <c r="SEG18" s="6"/>
      <c r="SEH18" s="6"/>
      <c r="SEI18" s="6"/>
      <c r="SEJ18" s="6"/>
      <c r="SEK18" s="6"/>
      <c r="SEL18" s="6"/>
      <c r="SEM18" s="6"/>
      <c r="SEN18" s="6"/>
      <c r="SEO18" s="6"/>
      <c r="SEP18" s="6"/>
      <c r="SEQ18" s="6"/>
      <c r="SER18" s="7"/>
      <c r="SES18" s="457" t="s">
        <v>14257</v>
      </c>
      <c r="SET18" s="6"/>
      <c r="SEU18" s="6"/>
      <c r="SEV18" s="6"/>
      <c r="SEW18" s="6"/>
      <c r="SEX18" s="6"/>
      <c r="SEY18" s="6"/>
      <c r="SEZ18" s="6"/>
      <c r="SFA18" s="6"/>
      <c r="SFB18" s="6"/>
      <c r="SFC18" s="6"/>
      <c r="SFD18" s="6"/>
      <c r="SFE18" s="6"/>
      <c r="SFF18" s="6"/>
      <c r="SFG18" s="6"/>
      <c r="SFH18" s="7"/>
      <c r="SFI18" s="457" t="s">
        <v>14257</v>
      </c>
      <c r="SFJ18" s="6"/>
      <c r="SFK18" s="6"/>
      <c r="SFL18" s="6"/>
      <c r="SFM18" s="6"/>
      <c r="SFN18" s="6"/>
      <c r="SFO18" s="6"/>
      <c r="SFP18" s="6"/>
      <c r="SFQ18" s="6"/>
      <c r="SFR18" s="6"/>
      <c r="SFS18" s="6"/>
      <c r="SFT18" s="6"/>
      <c r="SFU18" s="6"/>
      <c r="SFV18" s="6"/>
      <c r="SFW18" s="6"/>
      <c r="SFX18" s="7"/>
      <c r="SFY18" s="457" t="s">
        <v>14257</v>
      </c>
      <c r="SFZ18" s="6"/>
      <c r="SGA18" s="6"/>
      <c r="SGB18" s="6"/>
      <c r="SGC18" s="6"/>
      <c r="SGD18" s="6"/>
      <c r="SGE18" s="6"/>
      <c r="SGF18" s="6"/>
      <c r="SGG18" s="6"/>
      <c r="SGH18" s="6"/>
      <c r="SGI18" s="6"/>
      <c r="SGJ18" s="6"/>
      <c r="SGK18" s="6"/>
      <c r="SGL18" s="6"/>
      <c r="SGM18" s="6"/>
      <c r="SGN18" s="7"/>
      <c r="SGO18" s="457" t="s">
        <v>14257</v>
      </c>
      <c r="SGP18" s="6"/>
      <c r="SGQ18" s="6"/>
      <c r="SGR18" s="6"/>
      <c r="SGS18" s="6"/>
      <c r="SGT18" s="6"/>
      <c r="SGU18" s="6"/>
      <c r="SGV18" s="6"/>
      <c r="SGW18" s="6"/>
      <c r="SGX18" s="6"/>
      <c r="SGY18" s="6"/>
      <c r="SGZ18" s="6"/>
      <c r="SHA18" s="6"/>
      <c r="SHB18" s="6"/>
      <c r="SHC18" s="6"/>
      <c r="SHD18" s="7"/>
      <c r="SHE18" s="457" t="s">
        <v>14257</v>
      </c>
      <c r="SHF18" s="6"/>
      <c r="SHG18" s="6"/>
      <c r="SHH18" s="6"/>
      <c r="SHI18" s="6"/>
      <c r="SHJ18" s="6"/>
      <c r="SHK18" s="6"/>
      <c r="SHL18" s="6"/>
      <c r="SHM18" s="6"/>
      <c r="SHN18" s="6"/>
      <c r="SHO18" s="6"/>
      <c r="SHP18" s="6"/>
      <c r="SHQ18" s="6"/>
      <c r="SHR18" s="6"/>
      <c r="SHS18" s="6"/>
      <c r="SHT18" s="7"/>
      <c r="SHU18" s="457" t="s">
        <v>14257</v>
      </c>
      <c r="SHV18" s="6"/>
      <c r="SHW18" s="6"/>
      <c r="SHX18" s="6"/>
      <c r="SHY18" s="6"/>
      <c r="SHZ18" s="6"/>
      <c r="SIA18" s="6"/>
      <c r="SIB18" s="6"/>
      <c r="SIC18" s="6"/>
      <c r="SID18" s="6"/>
      <c r="SIE18" s="6"/>
      <c r="SIF18" s="6"/>
      <c r="SIG18" s="6"/>
      <c r="SIH18" s="6"/>
      <c r="SII18" s="6"/>
      <c r="SIJ18" s="7"/>
      <c r="SIK18" s="457" t="s">
        <v>14257</v>
      </c>
      <c r="SIL18" s="6"/>
      <c r="SIM18" s="6"/>
      <c r="SIN18" s="6"/>
      <c r="SIO18" s="6"/>
      <c r="SIP18" s="6"/>
      <c r="SIQ18" s="6"/>
      <c r="SIR18" s="6"/>
      <c r="SIS18" s="6"/>
      <c r="SIT18" s="6"/>
      <c r="SIU18" s="6"/>
      <c r="SIV18" s="6"/>
      <c r="SIW18" s="6"/>
      <c r="SIX18" s="6"/>
      <c r="SIY18" s="6"/>
      <c r="SIZ18" s="7"/>
      <c r="SJA18" s="457" t="s">
        <v>14257</v>
      </c>
      <c r="SJB18" s="6"/>
      <c r="SJC18" s="6"/>
      <c r="SJD18" s="6"/>
      <c r="SJE18" s="6"/>
      <c r="SJF18" s="6"/>
      <c r="SJG18" s="6"/>
      <c r="SJH18" s="6"/>
      <c r="SJI18" s="6"/>
      <c r="SJJ18" s="6"/>
      <c r="SJK18" s="6"/>
      <c r="SJL18" s="6"/>
      <c r="SJM18" s="6"/>
      <c r="SJN18" s="6"/>
      <c r="SJO18" s="6"/>
      <c r="SJP18" s="7"/>
      <c r="SJQ18" s="457" t="s">
        <v>14257</v>
      </c>
      <c r="SJR18" s="6"/>
      <c r="SJS18" s="6"/>
      <c r="SJT18" s="6"/>
      <c r="SJU18" s="6"/>
      <c r="SJV18" s="6"/>
      <c r="SJW18" s="6"/>
      <c r="SJX18" s="6"/>
      <c r="SJY18" s="6"/>
      <c r="SJZ18" s="6"/>
      <c r="SKA18" s="6"/>
      <c r="SKB18" s="6"/>
      <c r="SKC18" s="6"/>
      <c r="SKD18" s="6"/>
      <c r="SKE18" s="6"/>
      <c r="SKF18" s="7"/>
      <c r="SKG18" s="457" t="s">
        <v>14257</v>
      </c>
      <c r="SKH18" s="6"/>
      <c r="SKI18" s="6"/>
      <c r="SKJ18" s="6"/>
      <c r="SKK18" s="6"/>
      <c r="SKL18" s="6"/>
      <c r="SKM18" s="6"/>
      <c r="SKN18" s="6"/>
      <c r="SKO18" s="6"/>
      <c r="SKP18" s="6"/>
      <c r="SKQ18" s="6"/>
      <c r="SKR18" s="6"/>
      <c r="SKS18" s="6"/>
      <c r="SKT18" s="6"/>
      <c r="SKU18" s="6"/>
      <c r="SKV18" s="7"/>
      <c r="SKW18" s="457" t="s">
        <v>14257</v>
      </c>
      <c r="SKX18" s="6"/>
      <c r="SKY18" s="6"/>
      <c r="SKZ18" s="6"/>
      <c r="SLA18" s="6"/>
      <c r="SLB18" s="6"/>
      <c r="SLC18" s="6"/>
      <c r="SLD18" s="6"/>
      <c r="SLE18" s="6"/>
      <c r="SLF18" s="6"/>
      <c r="SLG18" s="6"/>
      <c r="SLH18" s="6"/>
      <c r="SLI18" s="6"/>
      <c r="SLJ18" s="6"/>
      <c r="SLK18" s="6"/>
      <c r="SLL18" s="7"/>
      <c r="SLM18" s="457" t="s">
        <v>14257</v>
      </c>
      <c r="SLN18" s="6"/>
      <c r="SLO18" s="6"/>
      <c r="SLP18" s="6"/>
      <c r="SLQ18" s="6"/>
      <c r="SLR18" s="6"/>
      <c r="SLS18" s="6"/>
      <c r="SLT18" s="6"/>
      <c r="SLU18" s="6"/>
      <c r="SLV18" s="6"/>
      <c r="SLW18" s="6"/>
      <c r="SLX18" s="6"/>
      <c r="SLY18" s="6"/>
      <c r="SLZ18" s="6"/>
      <c r="SMA18" s="6"/>
      <c r="SMB18" s="7"/>
      <c r="SMC18" s="457" t="s">
        <v>14257</v>
      </c>
      <c r="SMD18" s="6"/>
      <c r="SME18" s="6"/>
      <c r="SMF18" s="6"/>
      <c r="SMG18" s="6"/>
      <c r="SMH18" s="6"/>
      <c r="SMI18" s="6"/>
      <c r="SMJ18" s="6"/>
      <c r="SMK18" s="6"/>
      <c r="SML18" s="6"/>
      <c r="SMM18" s="6"/>
      <c r="SMN18" s="6"/>
      <c r="SMO18" s="6"/>
      <c r="SMP18" s="6"/>
      <c r="SMQ18" s="6"/>
      <c r="SMR18" s="7"/>
      <c r="SMS18" s="457" t="s">
        <v>14257</v>
      </c>
      <c r="SMT18" s="6"/>
      <c r="SMU18" s="6"/>
      <c r="SMV18" s="6"/>
      <c r="SMW18" s="6"/>
      <c r="SMX18" s="6"/>
      <c r="SMY18" s="6"/>
      <c r="SMZ18" s="6"/>
      <c r="SNA18" s="6"/>
      <c r="SNB18" s="6"/>
      <c r="SNC18" s="6"/>
      <c r="SND18" s="6"/>
      <c r="SNE18" s="6"/>
      <c r="SNF18" s="6"/>
      <c r="SNG18" s="6"/>
      <c r="SNH18" s="7"/>
      <c r="SNI18" s="457" t="s">
        <v>14257</v>
      </c>
      <c r="SNJ18" s="6"/>
      <c r="SNK18" s="6"/>
      <c r="SNL18" s="6"/>
      <c r="SNM18" s="6"/>
      <c r="SNN18" s="6"/>
      <c r="SNO18" s="6"/>
      <c r="SNP18" s="6"/>
      <c r="SNQ18" s="6"/>
      <c r="SNR18" s="6"/>
      <c r="SNS18" s="6"/>
      <c r="SNT18" s="6"/>
      <c r="SNU18" s="6"/>
      <c r="SNV18" s="6"/>
      <c r="SNW18" s="6"/>
      <c r="SNX18" s="7"/>
      <c r="SNY18" s="457" t="s">
        <v>14257</v>
      </c>
      <c r="SNZ18" s="6"/>
      <c r="SOA18" s="6"/>
      <c r="SOB18" s="6"/>
      <c r="SOC18" s="6"/>
      <c r="SOD18" s="6"/>
      <c r="SOE18" s="6"/>
      <c r="SOF18" s="6"/>
      <c r="SOG18" s="6"/>
      <c r="SOH18" s="6"/>
      <c r="SOI18" s="6"/>
      <c r="SOJ18" s="6"/>
      <c r="SOK18" s="6"/>
      <c r="SOL18" s="6"/>
      <c r="SOM18" s="6"/>
      <c r="SON18" s="7"/>
      <c r="SOO18" s="457" t="s">
        <v>14257</v>
      </c>
      <c r="SOP18" s="6"/>
      <c r="SOQ18" s="6"/>
      <c r="SOR18" s="6"/>
      <c r="SOS18" s="6"/>
      <c r="SOT18" s="6"/>
      <c r="SOU18" s="6"/>
      <c r="SOV18" s="6"/>
      <c r="SOW18" s="6"/>
      <c r="SOX18" s="6"/>
      <c r="SOY18" s="6"/>
      <c r="SOZ18" s="6"/>
      <c r="SPA18" s="6"/>
      <c r="SPB18" s="6"/>
      <c r="SPC18" s="6"/>
      <c r="SPD18" s="7"/>
      <c r="SPE18" s="457" t="s">
        <v>14257</v>
      </c>
      <c r="SPF18" s="6"/>
      <c r="SPG18" s="6"/>
      <c r="SPH18" s="6"/>
      <c r="SPI18" s="6"/>
      <c r="SPJ18" s="6"/>
      <c r="SPK18" s="6"/>
      <c r="SPL18" s="6"/>
      <c r="SPM18" s="6"/>
      <c r="SPN18" s="6"/>
      <c r="SPO18" s="6"/>
      <c r="SPP18" s="6"/>
      <c r="SPQ18" s="6"/>
      <c r="SPR18" s="6"/>
      <c r="SPS18" s="6"/>
      <c r="SPT18" s="7"/>
      <c r="SPU18" s="457" t="s">
        <v>14257</v>
      </c>
      <c r="SPV18" s="6"/>
      <c r="SPW18" s="6"/>
      <c r="SPX18" s="6"/>
      <c r="SPY18" s="6"/>
      <c r="SPZ18" s="6"/>
      <c r="SQA18" s="6"/>
      <c r="SQB18" s="6"/>
      <c r="SQC18" s="6"/>
      <c r="SQD18" s="6"/>
      <c r="SQE18" s="6"/>
      <c r="SQF18" s="6"/>
      <c r="SQG18" s="6"/>
      <c r="SQH18" s="6"/>
      <c r="SQI18" s="6"/>
      <c r="SQJ18" s="7"/>
      <c r="SQK18" s="457" t="s">
        <v>14257</v>
      </c>
      <c r="SQL18" s="6"/>
      <c r="SQM18" s="6"/>
      <c r="SQN18" s="6"/>
      <c r="SQO18" s="6"/>
      <c r="SQP18" s="6"/>
      <c r="SQQ18" s="6"/>
      <c r="SQR18" s="6"/>
      <c r="SQS18" s="6"/>
      <c r="SQT18" s="6"/>
      <c r="SQU18" s="6"/>
      <c r="SQV18" s="6"/>
      <c r="SQW18" s="6"/>
      <c r="SQX18" s="6"/>
      <c r="SQY18" s="6"/>
      <c r="SQZ18" s="7"/>
      <c r="SRA18" s="457" t="s">
        <v>14257</v>
      </c>
      <c r="SRB18" s="6"/>
      <c r="SRC18" s="6"/>
      <c r="SRD18" s="6"/>
      <c r="SRE18" s="6"/>
      <c r="SRF18" s="6"/>
      <c r="SRG18" s="6"/>
      <c r="SRH18" s="6"/>
      <c r="SRI18" s="6"/>
      <c r="SRJ18" s="6"/>
      <c r="SRK18" s="6"/>
      <c r="SRL18" s="6"/>
      <c r="SRM18" s="6"/>
      <c r="SRN18" s="6"/>
      <c r="SRO18" s="6"/>
      <c r="SRP18" s="7"/>
      <c r="SRQ18" s="457" t="s">
        <v>14257</v>
      </c>
      <c r="SRR18" s="6"/>
      <c r="SRS18" s="6"/>
      <c r="SRT18" s="6"/>
      <c r="SRU18" s="6"/>
      <c r="SRV18" s="6"/>
      <c r="SRW18" s="6"/>
      <c r="SRX18" s="6"/>
      <c r="SRY18" s="6"/>
      <c r="SRZ18" s="6"/>
      <c r="SSA18" s="6"/>
      <c r="SSB18" s="6"/>
      <c r="SSC18" s="6"/>
      <c r="SSD18" s="6"/>
      <c r="SSE18" s="6"/>
      <c r="SSF18" s="7"/>
      <c r="SSG18" s="457" t="s">
        <v>14257</v>
      </c>
      <c r="SSH18" s="6"/>
      <c r="SSI18" s="6"/>
      <c r="SSJ18" s="6"/>
      <c r="SSK18" s="6"/>
      <c r="SSL18" s="6"/>
      <c r="SSM18" s="6"/>
      <c r="SSN18" s="6"/>
      <c r="SSO18" s="6"/>
      <c r="SSP18" s="6"/>
      <c r="SSQ18" s="6"/>
      <c r="SSR18" s="6"/>
      <c r="SSS18" s="6"/>
      <c r="SST18" s="6"/>
      <c r="SSU18" s="6"/>
      <c r="SSV18" s="7"/>
      <c r="SSW18" s="457" t="s">
        <v>14257</v>
      </c>
      <c r="SSX18" s="6"/>
      <c r="SSY18" s="6"/>
      <c r="SSZ18" s="6"/>
      <c r="STA18" s="6"/>
      <c r="STB18" s="6"/>
      <c r="STC18" s="6"/>
      <c r="STD18" s="6"/>
      <c r="STE18" s="6"/>
      <c r="STF18" s="6"/>
      <c r="STG18" s="6"/>
      <c r="STH18" s="6"/>
      <c r="STI18" s="6"/>
      <c r="STJ18" s="6"/>
      <c r="STK18" s="6"/>
      <c r="STL18" s="7"/>
      <c r="STM18" s="457" t="s">
        <v>14257</v>
      </c>
      <c r="STN18" s="6"/>
      <c r="STO18" s="6"/>
      <c r="STP18" s="6"/>
      <c r="STQ18" s="6"/>
      <c r="STR18" s="6"/>
      <c r="STS18" s="6"/>
      <c r="STT18" s="6"/>
      <c r="STU18" s="6"/>
      <c r="STV18" s="6"/>
      <c r="STW18" s="6"/>
      <c r="STX18" s="6"/>
      <c r="STY18" s="6"/>
      <c r="STZ18" s="6"/>
      <c r="SUA18" s="6"/>
      <c r="SUB18" s="7"/>
      <c r="SUC18" s="457" t="s">
        <v>14257</v>
      </c>
      <c r="SUD18" s="6"/>
      <c r="SUE18" s="6"/>
      <c r="SUF18" s="6"/>
      <c r="SUG18" s="6"/>
      <c r="SUH18" s="6"/>
      <c r="SUI18" s="6"/>
      <c r="SUJ18" s="6"/>
      <c r="SUK18" s="6"/>
      <c r="SUL18" s="6"/>
      <c r="SUM18" s="6"/>
      <c r="SUN18" s="6"/>
      <c r="SUO18" s="6"/>
      <c r="SUP18" s="6"/>
      <c r="SUQ18" s="6"/>
      <c r="SUR18" s="7"/>
      <c r="SUS18" s="457" t="s">
        <v>14257</v>
      </c>
      <c r="SUT18" s="6"/>
      <c r="SUU18" s="6"/>
      <c r="SUV18" s="6"/>
      <c r="SUW18" s="6"/>
      <c r="SUX18" s="6"/>
      <c r="SUY18" s="6"/>
      <c r="SUZ18" s="6"/>
      <c r="SVA18" s="6"/>
      <c r="SVB18" s="6"/>
      <c r="SVC18" s="6"/>
      <c r="SVD18" s="6"/>
      <c r="SVE18" s="6"/>
      <c r="SVF18" s="6"/>
      <c r="SVG18" s="6"/>
      <c r="SVH18" s="7"/>
      <c r="SVI18" s="457" t="s">
        <v>14257</v>
      </c>
      <c r="SVJ18" s="6"/>
      <c r="SVK18" s="6"/>
      <c r="SVL18" s="6"/>
      <c r="SVM18" s="6"/>
      <c r="SVN18" s="6"/>
      <c r="SVO18" s="6"/>
      <c r="SVP18" s="6"/>
      <c r="SVQ18" s="6"/>
      <c r="SVR18" s="6"/>
      <c r="SVS18" s="6"/>
      <c r="SVT18" s="6"/>
      <c r="SVU18" s="6"/>
      <c r="SVV18" s="6"/>
      <c r="SVW18" s="6"/>
      <c r="SVX18" s="7"/>
      <c r="SVY18" s="457" t="s">
        <v>14257</v>
      </c>
      <c r="SVZ18" s="6"/>
      <c r="SWA18" s="6"/>
      <c r="SWB18" s="6"/>
      <c r="SWC18" s="6"/>
      <c r="SWD18" s="6"/>
      <c r="SWE18" s="6"/>
      <c r="SWF18" s="6"/>
      <c r="SWG18" s="6"/>
      <c r="SWH18" s="6"/>
      <c r="SWI18" s="6"/>
      <c r="SWJ18" s="6"/>
      <c r="SWK18" s="6"/>
      <c r="SWL18" s="6"/>
      <c r="SWM18" s="6"/>
      <c r="SWN18" s="7"/>
      <c r="SWO18" s="457" t="s">
        <v>14257</v>
      </c>
      <c r="SWP18" s="6"/>
      <c r="SWQ18" s="6"/>
      <c r="SWR18" s="6"/>
      <c r="SWS18" s="6"/>
      <c r="SWT18" s="6"/>
      <c r="SWU18" s="6"/>
      <c r="SWV18" s="6"/>
      <c r="SWW18" s="6"/>
      <c r="SWX18" s="6"/>
      <c r="SWY18" s="6"/>
      <c r="SWZ18" s="6"/>
      <c r="SXA18" s="6"/>
      <c r="SXB18" s="6"/>
      <c r="SXC18" s="6"/>
      <c r="SXD18" s="7"/>
      <c r="SXE18" s="457" t="s">
        <v>14257</v>
      </c>
      <c r="SXF18" s="6"/>
      <c r="SXG18" s="6"/>
      <c r="SXH18" s="6"/>
      <c r="SXI18" s="6"/>
      <c r="SXJ18" s="6"/>
      <c r="SXK18" s="6"/>
      <c r="SXL18" s="6"/>
      <c r="SXM18" s="6"/>
      <c r="SXN18" s="6"/>
      <c r="SXO18" s="6"/>
      <c r="SXP18" s="6"/>
      <c r="SXQ18" s="6"/>
      <c r="SXR18" s="6"/>
      <c r="SXS18" s="6"/>
      <c r="SXT18" s="7"/>
      <c r="SXU18" s="457" t="s">
        <v>14257</v>
      </c>
      <c r="SXV18" s="6"/>
      <c r="SXW18" s="6"/>
      <c r="SXX18" s="6"/>
      <c r="SXY18" s="6"/>
      <c r="SXZ18" s="6"/>
      <c r="SYA18" s="6"/>
      <c r="SYB18" s="6"/>
      <c r="SYC18" s="6"/>
      <c r="SYD18" s="6"/>
      <c r="SYE18" s="6"/>
      <c r="SYF18" s="6"/>
      <c r="SYG18" s="6"/>
      <c r="SYH18" s="6"/>
      <c r="SYI18" s="6"/>
      <c r="SYJ18" s="7"/>
      <c r="SYK18" s="457" t="s">
        <v>14257</v>
      </c>
      <c r="SYL18" s="6"/>
      <c r="SYM18" s="6"/>
      <c r="SYN18" s="6"/>
      <c r="SYO18" s="6"/>
      <c r="SYP18" s="6"/>
      <c r="SYQ18" s="6"/>
      <c r="SYR18" s="6"/>
      <c r="SYS18" s="6"/>
      <c r="SYT18" s="6"/>
      <c r="SYU18" s="6"/>
      <c r="SYV18" s="6"/>
      <c r="SYW18" s="6"/>
      <c r="SYX18" s="6"/>
      <c r="SYY18" s="6"/>
      <c r="SYZ18" s="7"/>
      <c r="SZA18" s="457" t="s">
        <v>14257</v>
      </c>
      <c r="SZB18" s="6"/>
      <c r="SZC18" s="6"/>
      <c r="SZD18" s="6"/>
      <c r="SZE18" s="6"/>
      <c r="SZF18" s="6"/>
      <c r="SZG18" s="6"/>
      <c r="SZH18" s="6"/>
      <c r="SZI18" s="6"/>
      <c r="SZJ18" s="6"/>
      <c r="SZK18" s="6"/>
      <c r="SZL18" s="6"/>
      <c r="SZM18" s="6"/>
      <c r="SZN18" s="6"/>
      <c r="SZO18" s="6"/>
      <c r="SZP18" s="7"/>
      <c r="SZQ18" s="457" t="s">
        <v>14257</v>
      </c>
      <c r="SZR18" s="6"/>
      <c r="SZS18" s="6"/>
      <c r="SZT18" s="6"/>
      <c r="SZU18" s="6"/>
      <c r="SZV18" s="6"/>
      <c r="SZW18" s="6"/>
      <c r="SZX18" s="6"/>
      <c r="SZY18" s="6"/>
      <c r="SZZ18" s="6"/>
      <c r="TAA18" s="6"/>
      <c r="TAB18" s="6"/>
      <c r="TAC18" s="6"/>
      <c r="TAD18" s="6"/>
      <c r="TAE18" s="6"/>
      <c r="TAF18" s="7"/>
      <c r="TAG18" s="457" t="s">
        <v>14257</v>
      </c>
      <c r="TAH18" s="6"/>
      <c r="TAI18" s="6"/>
      <c r="TAJ18" s="6"/>
      <c r="TAK18" s="6"/>
      <c r="TAL18" s="6"/>
      <c r="TAM18" s="6"/>
      <c r="TAN18" s="6"/>
      <c r="TAO18" s="6"/>
      <c r="TAP18" s="6"/>
      <c r="TAQ18" s="6"/>
      <c r="TAR18" s="6"/>
      <c r="TAS18" s="6"/>
      <c r="TAT18" s="6"/>
      <c r="TAU18" s="6"/>
      <c r="TAV18" s="7"/>
      <c r="TAW18" s="457" t="s">
        <v>14257</v>
      </c>
      <c r="TAX18" s="6"/>
      <c r="TAY18" s="6"/>
      <c r="TAZ18" s="6"/>
      <c r="TBA18" s="6"/>
      <c r="TBB18" s="6"/>
      <c r="TBC18" s="6"/>
      <c r="TBD18" s="6"/>
      <c r="TBE18" s="6"/>
      <c r="TBF18" s="6"/>
      <c r="TBG18" s="6"/>
      <c r="TBH18" s="6"/>
      <c r="TBI18" s="6"/>
      <c r="TBJ18" s="6"/>
      <c r="TBK18" s="6"/>
      <c r="TBL18" s="7"/>
      <c r="TBM18" s="457" t="s">
        <v>14257</v>
      </c>
      <c r="TBN18" s="6"/>
      <c r="TBO18" s="6"/>
      <c r="TBP18" s="6"/>
      <c r="TBQ18" s="6"/>
      <c r="TBR18" s="6"/>
      <c r="TBS18" s="6"/>
      <c r="TBT18" s="6"/>
      <c r="TBU18" s="6"/>
      <c r="TBV18" s="6"/>
      <c r="TBW18" s="6"/>
      <c r="TBX18" s="6"/>
      <c r="TBY18" s="6"/>
      <c r="TBZ18" s="6"/>
      <c r="TCA18" s="6"/>
      <c r="TCB18" s="7"/>
      <c r="TCC18" s="457" t="s">
        <v>14257</v>
      </c>
      <c r="TCD18" s="6"/>
      <c r="TCE18" s="6"/>
      <c r="TCF18" s="6"/>
      <c r="TCG18" s="6"/>
      <c r="TCH18" s="6"/>
      <c r="TCI18" s="6"/>
      <c r="TCJ18" s="6"/>
      <c r="TCK18" s="6"/>
      <c r="TCL18" s="6"/>
      <c r="TCM18" s="6"/>
      <c r="TCN18" s="6"/>
      <c r="TCO18" s="6"/>
      <c r="TCP18" s="6"/>
      <c r="TCQ18" s="6"/>
      <c r="TCR18" s="7"/>
      <c r="TCS18" s="457" t="s">
        <v>14257</v>
      </c>
      <c r="TCT18" s="6"/>
      <c r="TCU18" s="6"/>
      <c r="TCV18" s="6"/>
      <c r="TCW18" s="6"/>
      <c r="TCX18" s="6"/>
      <c r="TCY18" s="6"/>
      <c r="TCZ18" s="6"/>
      <c r="TDA18" s="6"/>
      <c r="TDB18" s="6"/>
      <c r="TDC18" s="6"/>
      <c r="TDD18" s="6"/>
      <c r="TDE18" s="6"/>
      <c r="TDF18" s="6"/>
      <c r="TDG18" s="6"/>
      <c r="TDH18" s="7"/>
      <c r="TDI18" s="457" t="s">
        <v>14257</v>
      </c>
      <c r="TDJ18" s="6"/>
      <c r="TDK18" s="6"/>
      <c r="TDL18" s="6"/>
      <c r="TDM18" s="6"/>
      <c r="TDN18" s="6"/>
      <c r="TDO18" s="6"/>
      <c r="TDP18" s="6"/>
      <c r="TDQ18" s="6"/>
      <c r="TDR18" s="6"/>
      <c r="TDS18" s="6"/>
      <c r="TDT18" s="6"/>
      <c r="TDU18" s="6"/>
      <c r="TDV18" s="6"/>
      <c r="TDW18" s="6"/>
      <c r="TDX18" s="7"/>
      <c r="TDY18" s="457" t="s">
        <v>14257</v>
      </c>
      <c r="TDZ18" s="6"/>
      <c r="TEA18" s="6"/>
      <c r="TEB18" s="6"/>
      <c r="TEC18" s="6"/>
      <c r="TED18" s="6"/>
      <c r="TEE18" s="6"/>
      <c r="TEF18" s="6"/>
      <c r="TEG18" s="6"/>
      <c r="TEH18" s="6"/>
      <c r="TEI18" s="6"/>
      <c r="TEJ18" s="6"/>
      <c r="TEK18" s="6"/>
      <c r="TEL18" s="6"/>
      <c r="TEM18" s="6"/>
      <c r="TEN18" s="7"/>
      <c r="TEO18" s="457" t="s">
        <v>14257</v>
      </c>
      <c r="TEP18" s="6"/>
      <c r="TEQ18" s="6"/>
      <c r="TER18" s="6"/>
      <c r="TES18" s="6"/>
      <c r="TET18" s="6"/>
      <c r="TEU18" s="6"/>
      <c r="TEV18" s="6"/>
      <c r="TEW18" s="6"/>
      <c r="TEX18" s="6"/>
      <c r="TEY18" s="6"/>
      <c r="TEZ18" s="6"/>
      <c r="TFA18" s="6"/>
      <c r="TFB18" s="6"/>
      <c r="TFC18" s="6"/>
      <c r="TFD18" s="7"/>
      <c r="TFE18" s="457" t="s">
        <v>14257</v>
      </c>
      <c r="TFF18" s="6"/>
      <c r="TFG18" s="6"/>
      <c r="TFH18" s="6"/>
      <c r="TFI18" s="6"/>
      <c r="TFJ18" s="6"/>
      <c r="TFK18" s="6"/>
      <c r="TFL18" s="6"/>
      <c r="TFM18" s="6"/>
      <c r="TFN18" s="6"/>
      <c r="TFO18" s="6"/>
      <c r="TFP18" s="6"/>
      <c r="TFQ18" s="6"/>
      <c r="TFR18" s="6"/>
      <c r="TFS18" s="6"/>
      <c r="TFT18" s="7"/>
      <c r="TFU18" s="457" t="s">
        <v>14257</v>
      </c>
      <c r="TFV18" s="6"/>
      <c r="TFW18" s="6"/>
      <c r="TFX18" s="6"/>
      <c r="TFY18" s="6"/>
      <c r="TFZ18" s="6"/>
      <c r="TGA18" s="6"/>
      <c r="TGB18" s="6"/>
      <c r="TGC18" s="6"/>
      <c r="TGD18" s="6"/>
      <c r="TGE18" s="6"/>
      <c r="TGF18" s="6"/>
      <c r="TGG18" s="6"/>
      <c r="TGH18" s="6"/>
      <c r="TGI18" s="6"/>
      <c r="TGJ18" s="7"/>
      <c r="TGK18" s="457" t="s">
        <v>14257</v>
      </c>
      <c r="TGL18" s="6"/>
      <c r="TGM18" s="6"/>
      <c r="TGN18" s="6"/>
      <c r="TGO18" s="6"/>
      <c r="TGP18" s="6"/>
      <c r="TGQ18" s="6"/>
      <c r="TGR18" s="6"/>
      <c r="TGS18" s="6"/>
      <c r="TGT18" s="6"/>
      <c r="TGU18" s="6"/>
      <c r="TGV18" s="6"/>
      <c r="TGW18" s="6"/>
      <c r="TGX18" s="6"/>
      <c r="TGY18" s="6"/>
      <c r="TGZ18" s="7"/>
      <c r="THA18" s="457" t="s">
        <v>14257</v>
      </c>
      <c r="THB18" s="6"/>
      <c r="THC18" s="6"/>
      <c r="THD18" s="6"/>
      <c r="THE18" s="6"/>
      <c r="THF18" s="6"/>
      <c r="THG18" s="6"/>
      <c r="THH18" s="6"/>
      <c r="THI18" s="6"/>
      <c r="THJ18" s="6"/>
      <c r="THK18" s="6"/>
      <c r="THL18" s="6"/>
      <c r="THM18" s="6"/>
      <c r="THN18" s="6"/>
      <c r="THO18" s="6"/>
      <c r="THP18" s="7"/>
      <c r="THQ18" s="457" t="s">
        <v>14257</v>
      </c>
      <c r="THR18" s="6"/>
      <c r="THS18" s="6"/>
      <c r="THT18" s="6"/>
      <c r="THU18" s="6"/>
      <c r="THV18" s="6"/>
      <c r="THW18" s="6"/>
      <c r="THX18" s="6"/>
      <c r="THY18" s="6"/>
      <c r="THZ18" s="6"/>
      <c r="TIA18" s="6"/>
      <c r="TIB18" s="6"/>
      <c r="TIC18" s="6"/>
      <c r="TID18" s="6"/>
      <c r="TIE18" s="6"/>
      <c r="TIF18" s="7"/>
      <c r="TIG18" s="457" t="s">
        <v>14257</v>
      </c>
      <c r="TIH18" s="6"/>
      <c r="TII18" s="6"/>
      <c r="TIJ18" s="6"/>
      <c r="TIK18" s="6"/>
      <c r="TIL18" s="6"/>
      <c r="TIM18" s="6"/>
      <c r="TIN18" s="6"/>
      <c r="TIO18" s="6"/>
      <c r="TIP18" s="6"/>
      <c r="TIQ18" s="6"/>
      <c r="TIR18" s="6"/>
      <c r="TIS18" s="6"/>
      <c r="TIT18" s="6"/>
      <c r="TIU18" s="6"/>
      <c r="TIV18" s="7"/>
      <c r="TIW18" s="457" t="s">
        <v>14257</v>
      </c>
      <c r="TIX18" s="6"/>
      <c r="TIY18" s="6"/>
      <c r="TIZ18" s="6"/>
      <c r="TJA18" s="6"/>
      <c r="TJB18" s="6"/>
      <c r="TJC18" s="6"/>
      <c r="TJD18" s="6"/>
      <c r="TJE18" s="6"/>
      <c r="TJF18" s="6"/>
      <c r="TJG18" s="6"/>
      <c r="TJH18" s="6"/>
      <c r="TJI18" s="6"/>
      <c r="TJJ18" s="6"/>
      <c r="TJK18" s="6"/>
      <c r="TJL18" s="7"/>
      <c r="TJM18" s="457" t="s">
        <v>14257</v>
      </c>
      <c r="TJN18" s="6"/>
      <c r="TJO18" s="6"/>
      <c r="TJP18" s="6"/>
      <c r="TJQ18" s="6"/>
      <c r="TJR18" s="6"/>
      <c r="TJS18" s="6"/>
      <c r="TJT18" s="6"/>
      <c r="TJU18" s="6"/>
      <c r="TJV18" s="6"/>
      <c r="TJW18" s="6"/>
      <c r="TJX18" s="6"/>
      <c r="TJY18" s="6"/>
      <c r="TJZ18" s="6"/>
      <c r="TKA18" s="6"/>
      <c r="TKB18" s="7"/>
      <c r="TKC18" s="457" t="s">
        <v>14257</v>
      </c>
      <c r="TKD18" s="6"/>
      <c r="TKE18" s="6"/>
      <c r="TKF18" s="6"/>
      <c r="TKG18" s="6"/>
      <c r="TKH18" s="6"/>
      <c r="TKI18" s="6"/>
      <c r="TKJ18" s="6"/>
      <c r="TKK18" s="6"/>
      <c r="TKL18" s="6"/>
      <c r="TKM18" s="6"/>
      <c r="TKN18" s="6"/>
      <c r="TKO18" s="6"/>
      <c r="TKP18" s="6"/>
      <c r="TKQ18" s="6"/>
      <c r="TKR18" s="7"/>
      <c r="TKS18" s="457" t="s">
        <v>14257</v>
      </c>
      <c r="TKT18" s="6"/>
      <c r="TKU18" s="6"/>
      <c r="TKV18" s="6"/>
      <c r="TKW18" s="6"/>
      <c r="TKX18" s="6"/>
      <c r="TKY18" s="6"/>
      <c r="TKZ18" s="6"/>
      <c r="TLA18" s="6"/>
      <c r="TLB18" s="6"/>
      <c r="TLC18" s="6"/>
      <c r="TLD18" s="6"/>
      <c r="TLE18" s="6"/>
      <c r="TLF18" s="6"/>
      <c r="TLG18" s="6"/>
      <c r="TLH18" s="7"/>
      <c r="TLI18" s="457" t="s">
        <v>14257</v>
      </c>
      <c r="TLJ18" s="6"/>
      <c r="TLK18" s="6"/>
      <c r="TLL18" s="6"/>
      <c r="TLM18" s="6"/>
      <c r="TLN18" s="6"/>
      <c r="TLO18" s="6"/>
      <c r="TLP18" s="6"/>
      <c r="TLQ18" s="6"/>
      <c r="TLR18" s="6"/>
      <c r="TLS18" s="6"/>
      <c r="TLT18" s="6"/>
      <c r="TLU18" s="6"/>
      <c r="TLV18" s="6"/>
      <c r="TLW18" s="6"/>
      <c r="TLX18" s="7"/>
      <c r="TLY18" s="457" t="s">
        <v>14257</v>
      </c>
      <c r="TLZ18" s="6"/>
      <c r="TMA18" s="6"/>
      <c r="TMB18" s="6"/>
      <c r="TMC18" s="6"/>
      <c r="TMD18" s="6"/>
      <c r="TME18" s="6"/>
      <c r="TMF18" s="6"/>
      <c r="TMG18" s="6"/>
      <c r="TMH18" s="6"/>
      <c r="TMI18" s="6"/>
      <c r="TMJ18" s="6"/>
      <c r="TMK18" s="6"/>
      <c r="TML18" s="6"/>
      <c r="TMM18" s="6"/>
      <c r="TMN18" s="7"/>
      <c r="TMO18" s="457" t="s">
        <v>14257</v>
      </c>
      <c r="TMP18" s="6"/>
      <c r="TMQ18" s="6"/>
      <c r="TMR18" s="6"/>
      <c r="TMS18" s="6"/>
      <c r="TMT18" s="6"/>
      <c r="TMU18" s="6"/>
      <c r="TMV18" s="6"/>
      <c r="TMW18" s="6"/>
      <c r="TMX18" s="6"/>
      <c r="TMY18" s="6"/>
      <c r="TMZ18" s="6"/>
      <c r="TNA18" s="6"/>
      <c r="TNB18" s="6"/>
      <c r="TNC18" s="6"/>
      <c r="TND18" s="7"/>
      <c r="TNE18" s="457" t="s">
        <v>14257</v>
      </c>
      <c r="TNF18" s="6"/>
      <c r="TNG18" s="6"/>
      <c r="TNH18" s="6"/>
      <c r="TNI18" s="6"/>
      <c r="TNJ18" s="6"/>
      <c r="TNK18" s="6"/>
      <c r="TNL18" s="6"/>
      <c r="TNM18" s="6"/>
      <c r="TNN18" s="6"/>
      <c r="TNO18" s="6"/>
      <c r="TNP18" s="6"/>
      <c r="TNQ18" s="6"/>
      <c r="TNR18" s="6"/>
      <c r="TNS18" s="6"/>
      <c r="TNT18" s="7"/>
      <c r="TNU18" s="457" t="s">
        <v>14257</v>
      </c>
      <c r="TNV18" s="6"/>
      <c r="TNW18" s="6"/>
      <c r="TNX18" s="6"/>
      <c r="TNY18" s="6"/>
      <c r="TNZ18" s="6"/>
      <c r="TOA18" s="6"/>
      <c r="TOB18" s="6"/>
      <c r="TOC18" s="6"/>
      <c r="TOD18" s="6"/>
      <c r="TOE18" s="6"/>
      <c r="TOF18" s="6"/>
      <c r="TOG18" s="6"/>
      <c r="TOH18" s="6"/>
      <c r="TOI18" s="6"/>
      <c r="TOJ18" s="7"/>
      <c r="TOK18" s="457" t="s">
        <v>14257</v>
      </c>
      <c r="TOL18" s="6"/>
      <c r="TOM18" s="6"/>
      <c r="TON18" s="6"/>
      <c r="TOO18" s="6"/>
      <c r="TOP18" s="6"/>
      <c r="TOQ18" s="6"/>
      <c r="TOR18" s="6"/>
      <c r="TOS18" s="6"/>
      <c r="TOT18" s="6"/>
      <c r="TOU18" s="6"/>
      <c r="TOV18" s="6"/>
      <c r="TOW18" s="6"/>
      <c r="TOX18" s="6"/>
      <c r="TOY18" s="6"/>
      <c r="TOZ18" s="7"/>
      <c r="TPA18" s="457" t="s">
        <v>14257</v>
      </c>
      <c r="TPB18" s="6"/>
      <c r="TPC18" s="6"/>
      <c r="TPD18" s="6"/>
      <c r="TPE18" s="6"/>
      <c r="TPF18" s="6"/>
      <c r="TPG18" s="6"/>
      <c r="TPH18" s="6"/>
      <c r="TPI18" s="6"/>
      <c r="TPJ18" s="6"/>
      <c r="TPK18" s="6"/>
      <c r="TPL18" s="6"/>
      <c r="TPM18" s="6"/>
      <c r="TPN18" s="6"/>
      <c r="TPO18" s="6"/>
      <c r="TPP18" s="7"/>
      <c r="TPQ18" s="457" t="s">
        <v>14257</v>
      </c>
      <c r="TPR18" s="6"/>
      <c r="TPS18" s="6"/>
      <c r="TPT18" s="6"/>
      <c r="TPU18" s="6"/>
      <c r="TPV18" s="6"/>
      <c r="TPW18" s="6"/>
      <c r="TPX18" s="6"/>
      <c r="TPY18" s="6"/>
      <c r="TPZ18" s="6"/>
      <c r="TQA18" s="6"/>
      <c r="TQB18" s="6"/>
      <c r="TQC18" s="6"/>
      <c r="TQD18" s="6"/>
      <c r="TQE18" s="6"/>
      <c r="TQF18" s="7"/>
      <c r="TQG18" s="457" t="s">
        <v>14257</v>
      </c>
      <c r="TQH18" s="6"/>
      <c r="TQI18" s="6"/>
      <c r="TQJ18" s="6"/>
      <c r="TQK18" s="6"/>
      <c r="TQL18" s="6"/>
      <c r="TQM18" s="6"/>
      <c r="TQN18" s="6"/>
      <c r="TQO18" s="6"/>
      <c r="TQP18" s="6"/>
      <c r="TQQ18" s="6"/>
      <c r="TQR18" s="6"/>
      <c r="TQS18" s="6"/>
      <c r="TQT18" s="6"/>
      <c r="TQU18" s="6"/>
      <c r="TQV18" s="7"/>
      <c r="TQW18" s="457" t="s">
        <v>14257</v>
      </c>
      <c r="TQX18" s="6"/>
      <c r="TQY18" s="6"/>
      <c r="TQZ18" s="6"/>
      <c r="TRA18" s="6"/>
      <c r="TRB18" s="6"/>
      <c r="TRC18" s="6"/>
      <c r="TRD18" s="6"/>
      <c r="TRE18" s="6"/>
      <c r="TRF18" s="6"/>
      <c r="TRG18" s="6"/>
      <c r="TRH18" s="6"/>
      <c r="TRI18" s="6"/>
      <c r="TRJ18" s="6"/>
      <c r="TRK18" s="6"/>
      <c r="TRL18" s="7"/>
      <c r="TRM18" s="457" t="s">
        <v>14257</v>
      </c>
      <c r="TRN18" s="6"/>
      <c r="TRO18" s="6"/>
      <c r="TRP18" s="6"/>
      <c r="TRQ18" s="6"/>
      <c r="TRR18" s="6"/>
      <c r="TRS18" s="6"/>
      <c r="TRT18" s="6"/>
      <c r="TRU18" s="6"/>
      <c r="TRV18" s="6"/>
      <c r="TRW18" s="6"/>
      <c r="TRX18" s="6"/>
      <c r="TRY18" s="6"/>
      <c r="TRZ18" s="6"/>
      <c r="TSA18" s="6"/>
      <c r="TSB18" s="7"/>
      <c r="TSC18" s="457" t="s">
        <v>14257</v>
      </c>
      <c r="TSD18" s="6"/>
      <c r="TSE18" s="6"/>
      <c r="TSF18" s="6"/>
      <c r="TSG18" s="6"/>
      <c r="TSH18" s="6"/>
      <c r="TSI18" s="6"/>
      <c r="TSJ18" s="6"/>
      <c r="TSK18" s="6"/>
      <c r="TSL18" s="6"/>
      <c r="TSM18" s="6"/>
      <c r="TSN18" s="6"/>
      <c r="TSO18" s="6"/>
      <c r="TSP18" s="6"/>
      <c r="TSQ18" s="6"/>
      <c r="TSR18" s="7"/>
      <c r="TSS18" s="457" t="s">
        <v>14257</v>
      </c>
      <c r="TST18" s="6"/>
      <c r="TSU18" s="6"/>
      <c r="TSV18" s="6"/>
      <c r="TSW18" s="6"/>
      <c r="TSX18" s="6"/>
      <c r="TSY18" s="6"/>
      <c r="TSZ18" s="6"/>
      <c r="TTA18" s="6"/>
      <c r="TTB18" s="6"/>
      <c r="TTC18" s="6"/>
      <c r="TTD18" s="6"/>
      <c r="TTE18" s="6"/>
      <c r="TTF18" s="6"/>
      <c r="TTG18" s="6"/>
      <c r="TTH18" s="7"/>
      <c r="TTI18" s="457" t="s">
        <v>14257</v>
      </c>
      <c r="TTJ18" s="6"/>
      <c r="TTK18" s="6"/>
      <c r="TTL18" s="6"/>
      <c r="TTM18" s="6"/>
      <c r="TTN18" s="6"/>
      <c r="TTO18" s="6"/>
      <c r="TTP18" s="6"/>
      <c r="TTQ18" s="6"/>
      <c r="TTR18" s="6"/>
      <c r="TTS18" s="6"/>
      <c r="TTT18" s="6"/>
      <c r="TTU18" s="6"/>
      <c r="TTV18" s="6"/>
      <c r="TTW18" s="6"/>
      <c r="TTX18" s="7"/>
      <c r="TTY18" s="457" t="s">
        <v>14257</v>
      </c>
      <c r="TTZ18" s="6"/>
      <c r="TUA18" s="6"/>
      <c r="TUB18" s="6"/>
      <c r="TUC18" s="6"/>
      <c r="TUD18" s="6"/>
      <c r="TUE18" s="6"/>
      <c r="TUF18" s="6"/>
      <c r="TUG18" s="6"/>
      <c r="TUH18" s="6"/>
      <c r="TUI18" s="6"/>
      <c r="TUJ18" s="6"/>
      <c r="TUK18" s="6"/>
      <c r="TUL18" s="6"/>
      <c r="TUM18" s="6"/>
      <c r="TUN18" s="7"/>
      <c r="TUO18" s="457" t="s">
        <v>14257</v>
      </c>
      <c r="TUP18" s="6"/>
      <c r="TUQ18" s="6"/>
      <c r="TUR18" s="6"/>
      <c r="TUS18" s="6"/>
      <c r="TUT18" s="6"/>
      <c r="TUU18" s="6"/>
      <c r="TUV18" s="6"/>
      <c r="TUW18" s="6"/>
      <c r="TUX18" s="6"/>
      <c r="TUY18" s="6"/>
      <c r="TUZ18" s="6"/>
      <c r="TVA18" s="6"/>
      <c r="TVB18" s="6"/>
      <c r="TVC18" s="6"/>
      <c r="TVD18" s="7"/>
      <c r="TVE18" s="457" t="s">
        <v>14257</v>
      </c>
      <c r="TVF18" s="6"/>
      <c r="TVG18" s="6"/>
      <c r="TVH18" s="6"/>
      <c r="TVI18" s="6"/>
      <c r="TVJ18" s="6"/>
      <c r="TVK18" s="6"/>
      <c r="TVL18" s="6"/>
      <c r="TVM18" s="6"/>
      <c r="TVN18" s="6"/>
      <c r="TVO18" s="6"/>
      <c r="TVP18" s="6"/>
      <c r="TVQ18" s="6"/>
      <c r="TVR18" s="6"/>
      <c r="TVS18" s="6"/>
      <c r="TVT18" s="7"/>
      <c r="TVU18" s="457" t="s">
        <v>14257</v>
      </c>
      <c r="TVV18" s="6"/>
      <c r="TVW18" s="6"/>
      <c r="TVX18" s="6"/>
      <c r="TVY18" s="6"/>
      <c r="TVZ18" s="6"/>
      <c r="TWA18" s="6"/>
      <c r="TWB18" s="6"/>
      <c r="TWC18" s="6"/>
      <c r="TWD18" s="6"/>
      <c r="TWE18" s="6"/>
      <c r="TWF18" s="6"/>
      <c r="TWG18" s="6"/>
      <c r="TWH18" s="6"/>
      <c r="TWI18" s="6"/>
      <c r="TWJ18" s="7"/>
      <c r="TWK18" s="457" t="s">
        <v>14257</v>
      </c>
      <c r="TWL18" s="6"/>
      <c r="TWM18" s="6"/>
      <c r="TWN18" s="6"/>
      <c r="TWO18" s="6"/>
      <c r="TWP18" s="6"/>
      <c r="TWQ18" s="6"/>
      <c r="TWR18" s="6"/>
      <c r="TWS18" s="6"/>
      <c r="TWT18" s="6"/>
      <c r="TWU18" s="6"/>
      <c r="TWV18" s="6"/>
      <c r="TWW18" s="6"/>
      <c r="TWX18" s="6"/>
      <c r="TWY18" s="6"/>
      <c r="TWZ18" s="7"/>
      <c r="TXA18" s="457" t="s">
        <v>14257</v>
      </c>
      <c r="TXB18" s="6"/>
      <c r="TXC18" s="6"/>
      <c r="TXD18" s="6"/>
      <c r="TXE18" s="6"/>
      <c r="TXF18" s="6"/>
      <c r="TXG18" s="6"/>
      <c r="TXH18" s="6"/>
      <c r="TXI18" s="6"/>
      <c r="TXJ18" s="6"/>
      <c r="TXK18" s="6"/>
      <c r="TXL18" s="6"/>
      <c r="TXM18" s="6"/>
      <c r="TXN18" s="6"/>
      <c r="TXO18" s="6"/>
      <c r="TXP18" s="7"/>
      <c r="TXQ18" s="457" t="s">
        <v>14257</v>
      </c>
      <c r="TXR18" s="6"/>
      <c r="TXS18" s="6"/>
      <c r="TXT18" s="6"/>
      <c r="TXU18" s="6"/>
      <c r="TXV18" s="6"/>
      <c r="TXW18" s="6"/>
      <c r="TXX18" s="6"/>
      <c r="TXY18" s="6"/>
      <c r="TXZ18" s="6"/>
      <c r="TYA18" s="6"/>
      <c r="TYB18" s="6"/>
      <c r="TYC18" s="6"/>
      <c r="TYD18" s="6"/>
      <c r="TYE18" s="6"/>
      <c r="TYF18" s="7"/>
      <c r="TYG18" s="457" t="s">
        <v>14257</v>
      </c>
      <c r="TYH18" s="6"/>
      <c r="TYI18" s="6"/>
      <c r="TYJ18" s="6"/>
      <c r="TYK18" s="6"/>
      <c r="TYL18" s="6"/>
      <c r="TYM18" s="6"/>
      <c r="TYN18" s="6"/>
      <c r="TYO18" s="6"/>
      <c r="TYP18" s="6"/>
      <c r="TYQ18" s="6"/>
      <c r="TYR18" s="6"/>
      <c r="TYS18" s="6"/>
      <c r="TYT18" s="6"/>
      <c r="TYU18" s="6"/>
      <c r="TYV18" s="7"/>
      <c r="TYW18" s="457" t="s">
        <v>14257</v>
      </c>
      <c r="TYX18" s="6"/>
      <c r="TYY18" s="6"/>
      <c r="TYZ18" s="6"/>
      <c r="TZA18" s="6"/>
      <c r="TZB18" s="6"/>
      <c r="TZC18" s="6"/>
      <c r="TZD18" s="6"/>
      <c r="TZE18" s="6"/>
      <c r="TZF18" s="6"/>
      <c r="TZG18" s="6"/>
      <c r="TZH18" s="6"/>
      <c r="TZI18" s="6"/>
      <c r="TZJ18" s="6"/>
      <c r="TZK18" s="6"/>
      <c r="TZL18" s="7"/>
      <c r="TZM18" s="457" t="s">
        <v>14257</v>
      </c>
      <c r="TZN18" s="6"/>
      <c r="TZO18" s="6"/>
      <c r="TZP18" s="6"/>
      <c r="TZQ18" s="6"/>
      <c r="TZR18" s="6"/>
      <c r="TZS18" s="6"/>
      <c r="TZT18" s="6"/>
      <c r="TZU18" s="6"/>
      <c r="TZV18" s="6"/>
      <c r="TZW18" s="6"/>
      <c r="TZX18" s="6"/>
      <c r="TZY18" s="6"/>
      <c r="TZZ18" s="6"/>
      <c r="UAA18" s="6"/>
      <c r="UAB18" s="7"/>
      <c r="UAC18" s="457" t="s">
        <v>14257</v>
      </c>
      <c r="UAD18" s="6"/>
      <c r="UAE18" s="6"/>
      <c r="UAF18" s="6"/>
      <c r="UAG18" s="6"/>
      <c r="UAH18" s="6"/>
      <c r="UAI18" s="6"/>
      <c r="UAJ18" s="6"/>
      <c r="UAK18" s="6"/>
      <c r="UAL18" s="6"/>
      <c r="UAM18" s="6"/>
      <c r="UAN18" s="6"/>
      <c r="UAO18" s="6"/>
      <c r="UAP18" s="6"/>
      <c r="UAQ18" s="6"/>
      <c r="UAR18" s="7"/>
      <c r="UAS18" s="457" t="s">
        <v>14257</v>
      </c>
      <c r="UAT18" s="6"/>
      <c r="UAU18" s="6"/>
      <c r="UAV18" s="6"/>
      <c r="UAW18" s="6"/>
      <c r="UAX18" s="6"/>
      <c r="UAY18" s="6"/>
      <c r="UAZ18" s="6"/>
      <c r="UBA18" s="6"/>
      <c r="UBB18" s="6"/>
      <c r="UBC18" s="6"/>
      <c r="UBD18" s="6"/>
      <c r="UBE18" s="6"/>
      <c r="UBF18" s="6"/>
      <c r="UBG18" s="6"/>
      <c r="UBH18" s="7"/>
      <c r="UBI18" s="457" t="s">
        <v>14257</v>
      </c>
      <c r="UBJ18" s="6"/>
      <c r="UBK18" s="6"/>
      <c r="UBL18" s="6"/>
      <c r="UBM18" s="6"/>
      <c r="UBN18" s="6"/>
      <c r="UBO18" s="6"/>
      <c r="UBP18" s="6"/>
      <c r="UBQ18" s="6"/>
      <c r="UBR18" s="6"/>
      <c r="UBS18" s="6"/>
      <c r="UBT18" s="6"/>
      <c r="UBU18" s="6"/>
      <c r="UBV18" s="6"/>
      <c r="UBW18" s="6"/>
      <c r="UBX18" s="7"/>
      <c r="UBY18" s="457" t="s">
        <v>14257</v>
      </c>
      <c r="UBZ18" s="6"/>
      <c r="UCA18" s="6"/>
      <c r="UCB18" s="6"/>
      <c r="UCC18" s="6"/>
      <c r="UCD18" s="6"/>
      <c r="UCE18" s="6"/>
      <c r="UCF18" s="6"/>
      <c r="UCG18" s="6"/>
      <c r="UCH18" s="6"/>
      <c r="UCI18" s="6"/>
      <c r="UCJ18" s="6"/>
      <c r="UCK18" s="6"/>
      <c r="UCL18" s="6"/>
      <c r="UCM18" s="6"/>
      <c r="UCN18" s="7"/>
      <c r="UCO18" s="457" t="s">
        <v>14257</v>
      </c>
      <c r="UCP18" s="6"/>
      <c r="UCQ18" s="6"/>
      <c r="UCR18" s="6"/>
      <c r="UCS18" s="6"/>
      <c r="UCT18" s="6"/>
      <c r="UCU18" s="6"/>
      <c r="UCV18" s="6"/>
      <c r="UCW18" s="6"/>
      <c r="UCX18" s="6"/>
      <c r="UCY18" s="6"/>
      <c r="UCZ18" s="6"/>
      <c r="UDA18" s="6"/>
      <c r="UDB18" s="6"/>
      <c r="UDC18" s="6"/>
      <c r="UDD18" s="7"/>
      <c r="UDE18" s="457" t="s">
        <v>14257</v>
      </c>
      <c r="UDF18" s="6"/>
      <c r="UDG18" s="6"/>
      <c r="UDH18" s="6"/>
      <c r="UDI18" s="6"/>
      <c r="UDJ18" s="6"/>
      <c r="UDK18" s="6"/>
      <c r="UDL18" s="6"/>
      <c r="UDM18" s="6"/>
      <c r="UDN18" s="6"/>
      <c r="UDO18" s="6"/>
      <c r="UDP18" s="6"/>
      <c r="UDQ18" s="6"/>
      <c r="UDR18" s="6"/>
      <c r="UDS18" s="6"/>
      <c r="UDT18" s="7"/>
      <c r="UDU18" s="457" t="s">
        <v>14257</v>
      </c>
      <c r="UDV18" s="6"/>
      <c r="UDW18" s="6"/>
      <c r="UDX18" s="6"/>
      <c r="UDY18" s="6"/>
      <c r="UDZ18" s="6"/>
      <c r="UEA18" s="6"/>
      <c r="UEB18" s="6"/>
      <c r="UEC18" s="6"/>
      <c r="UED18" s="6"/>
      <c r="UEE18" s="6"/>
      <c r="UEF18" s="6"/>
      <c r="UEG18" s="6"/>
      <c r="UEH18" s="6"/>
      <c r="UEI18" s="6"/>
      <c r="UEJ18" s="7"/>
      <c r="UEK18" s="457" t="s">
        <v>14257</v>
      </c>
      <c r="UEL18" s="6"/>
      <c r="UEM18" s="6"/>
      <c r="UEN18" s="6"/>
      <c r="UEO18" s="6"/>
      <c r="UEP18" s="6"/>
      <c r="UEQ18" s="6"/>
      <c r="UER18" s="6"/>
      <c r="UES18" s="6"/>
      <c r="UET18" s="6"/>
      <c r="UEU18" s="6"/>
      <c r="UEV18" s="6"/>
      <c r="UEW18" s="6"/>
      <c r="UEX18" s="6"/>
      <c r="UEY18" s="6"/>
      <c r="UEZ18" s="7"/>
      <c r="UFA18" s="457" t="s">
        <v>14257</v>
      </c>
      <c r="UFB18" s="6"/>
      <c r="UFC18" s="6"/>
      <c r="UFD18" s="6"/>
      <c r="UFE18" s="6"/>
      <c r="UFF18" s="6"/>
      <c r="UFG18" s="6"/>
      <c r="UFH18" s="6"/>
      <c r="UFI18" s="6"/>
      <c r="UFJ18" s="6"/>
      <c r="UFK18" s="6"/>
      <c r="UFL18" s="6"/>
      <c r="UFM18" s="6"/>
      <c r="UFN18" s="6"/>
      <c r="UFO18" s="6"/>
      <c r="UFP18" s="7"/>
      <c r="UFQ18" s="457" t="s">
        <v>14257</v>
      </c>
      <c r="UFR18" s="6"/>
      <c r="UFS18" s="6"/>
      <c r="UFT18" s="6"/>
      <c r="UFU18" s="6"/>
      <c r="UFV18" s="6"/>
      <c r="UFW18" s="6"/>
      <c r="UFX18" s="6"/>
      <c r="UFY18" s="6"/>
      <c r="UFZ18" s="6"/>
      <c r="UGA18" s="6"/>
      <c r="UGB18" s="6"/>
      <c r="UGC18" s="6"/>
      <c r="UGD18" s="6"/>
      <c r="UGE18" s="6"/>
      <c r="UGF18" s="7"/>
      <c r="UGG18" s="457" t="s">
        <v>14257</v>
      </c>
      <c r="UGH18" s="6"/>
      <c r="UGI18" s="6"/>
      <c r="UGJ18" s="6"/>
      <c r="UGK18" s="6"/>
      <c r="UGL18" s="6"/>
      <c r="UGM18" s="6"/>
      <c r="UGN18" s="6"/>
      <c r="UGO18" s="6"/>
      <c r="UGP18" s="6"/>
      <c r="UGQ18" s="6"/>
      <c r="UGR18" s="6"/>
      <c r="UGS18" s="6"/>
      <c r="UGT18" s="6"/>
      <c r="UGU18" s="6"/>
      <c r="UGV18" s="7"/>
      <c r="UGW18" s="457" t="s">
        <v>14257</v>
      </c>
      <c r="UGX18" s="6"/>
      <c r="UGY18" s="6"/>
      <c r="UGZ18" s="6"/>
      <c r="UHA18" s="6"/>
      <c r="UHB18" s="6"/>
      <c r="UHC18" s="6"/>
      <c r="UHD18" s="6"/>
      <c r="UHE18" s="6"/>
      <c r="UHF18" s="6"/>
      <c r="UHG18" s="6"/>
      <c r="UHH18" s="6"/>
      <c r="UHI18" s="6"/>
      <c r="UHJ18" s="6"/>
      <c r="UHK18" s="6"/>
      <c r="UHL18" s="7"/>
      <c r="UHM18" s="457" t="s">
        <v>14257</v>
      </c>
      <c r="UHN18" s="6"/>
      <c r="UHO18" s="6"/>
      <c r="UHP18" s="6"/>
      <c r="UHQ18" s="6"/>
      <c r="UHR18" s="6"/>
      <c r="UHS18" s="6"/>
      <c r="UHT18" s="6"/>
      <c r="UHU18" s="6"/>
      <c r="UHV18" s="6"/>
      <c r="UHW18" s="6"/>
      <c r="UHX18" s="6"/>
      <c r="UHY18" s="6"/>
      <c r="UHZ18" s="6"/>
      <c r="UIA18" s="6"/>
      <c r="UIB18" s="7"/>
      <c r="UIC18" s="457" t="s">
        <v>14257</v>
      </c>
      <c r="UID18" s="6"/>
      <c r="UIE18" s="6"/>
      <c r="UIF18" s="6"/>
      <c r="UIG18" s="6"/>
      <c r="UIH18" s="6"/>
      <c r="UII18" s="6"/>
      <c r="UIJ18" s="6"/>
      <c r="UIK18" s="6"/>
      <c r="UIL18" s="6"/>
      <c r="UIM18" s="6"/>
      <c r="UIN18" s="6"/>
      <c r="UIO18" s="6"/>
      <c r="UIP18" s="6"/>
      <c r="UIQ18" s="6"/>
      <c r="UIR18" s="7"/>
      <c r="UIS18" s="457" t="s">
        <v>14257</v>
      </c>
      <c r="UIT18" s="6"/>
      <c r="UIU18" s="6"/>
      <c r="UIV18" s="6"/>
      <c r="UIW18" s="6"/>
      <c r="UIX18" s="6"/>
      <c r="UIY18" s="6"/>
      <c r="UIZ18" s="6"/>
      <c r="UJA18" s="6"/>
      <c r="UJB18" s="6"/>
      <c r="UJC18" s="6"/>
      <c r="UJD18" s="6"/>
      <c r="UJE18" s="6"/>
      <c r="UJF18" s="6"/>
      <c r="UJG18" s="6"/>
      <c r="UJH18" s="7"/>
      <c r="UJI18" s="457" t="s">
        <v>14257</v>
      </c>
      <c r="UJJ18" s="6"/>
      <c r="UJK18" s="6"/>
      <c r="UJL18" s="6"/>
      <c r="UJM18" s="6"/>
      <c r="UJN18" s="6"/>
      <c r="UJO18" s="6"/>
      <c r="UJP18" s="6"/>
      <c r="UJQ18" s="6"/>
      <c r="UJR18" s="6"/>
      <c r="UJS18" s="6"/>
      <c r="UJT18" s="6"/>
      <c r="UJU18" s="6"/>
      <c r="UJV18" s="6"/>
      <c r="UJW18" s="6"/>
      <c r="UJX18" s="7"/>
      <c r="UJY18" s="457" t="s">
        <v>14257</v>
      </c>
      <c r="UJZ18" s="6"/>
      <c r="UKA18" s="6"/>
      <c r="UKB18" s="6"/>
      <c r="UKC18" s="6"/>
      <c r="UKD18" s="6"/>
      <c r="UKE18" s="6"/>
      <c r="UKF18" s="6"/>
      <c r="UKG18" s="6"/>
      <c r="UKH18" s="6"/>
      <c r="UKI18" s="6"/>
      <c r="UKJ18" s="6"/>
      <c r="UKK18" s="6"/>
      <c r="UKL18" s="6"/>
      <c r="UKM18" s="6"/>
      <c r="UKN18" s="7"/>
      <c r="UKO18" s="457" t="s">
        <v>14257</v>
      </c>
      <c r="UKP18" s="6"/>
      <c r="UKQ18" s="6"/>
      <c r="UKR18" s="6"/>
      <c r="UKS18" s="6"/>
      <c r="UKT18" s="6"/>
      <c r="UKU18" s="6"/>
      <c r="UKV18" s="6"/>
      <c r="UKW18" s="6"/>
      <c r="UKX18" s="6"/>
      <c r="UKY18" s="6"/>
      <c r="UKZ18" s="6"/>
      <c r="ULA18" s="6"/>
      <c r="ULB18" s="6"/>
      <c r="ULC18" s="6"/>
      <c r="ULD18" s="7"/>
      <c r="ULE18" s="457" t="s">
        <v>14257</v>
      </c>
      <c r="ULF18" s="6"/>
      <c r="ULG18" s="6"/>
      <c r="ULH18" s="6"/>
      <c r="ULI18" s="6"/>
      <c r="ULJ18" s="6"/>
      <c r="ULK18" s="6"/>
      <c r="ULL18" s="6"/>
      <c r="ULM18" s="6"/>
      <c r="ULN18" s="6"/>
      <c r="ULO18" s="6"/>
      <c r="ULP18" s="6"/>
      <c r="ULQ18" s="6"/>
      <c r="ULR18" s="6"/>
      <c r="ULS18" s="6"/>
      <c r="ULT18" s="7"/>
      <c r="ULU18" s="457" t="s">
        <v>14257</v>
      </c>
      <c r="ULV18" s="6"/>
      <c r="ULW18" s="6"/>
      <c r="ULX18" s="6"/>
      <c r="ULY18" s="6"/>
      <c r="ULZ18" s="6"/>
      <c r="UMA18" s="6"/>
      <c r="UMB18" s="6"/>
      <c r="UMC18" s="6"/>
      <c r="UMD18" s="6"/>
      <c r="UME18" s="6"/>
      <c r="UMF18" s="6"/>
      <c r="UMG18" s="6"/>
      <c r="UMH18" s="6"/>
      <c r="UMI18" s="6"/>
      <c r="UMJ18" s="7"/>
      <c r="UMK18" s="457" t="s">
        <v>14257</v>
      </c>
      <c r="UML18" s="6"/>
      <c r="UMM18" s="6"/>
      <c r="UMN18" s="6"/>
      <c r="UMO18" s="6"/>
      <c r="UMP18" s="6"/>
      <c r="UMQ18" s="6"/>
      <c r="UMR18" s="6"/>
      <c r="UMS18" s="6"/>
      <c r="UMT18" s="6"/>
      <c r="UMU18" s="6"/>
      <c r="UMV18" s="6"/>
      <c r="UMW18" s="6"/>
      <c r="UMX18" s="6"/>
      <c r="UMY18" s="6"/>
      <c r="UMZ18" s="7"/>
      <c r="UNA18" s="457" t="s">
        <v>14257</v>
      </c>
      <c r="UNB18" s="6"/>
      <c r="UNC18" s="6"/>
      <c r="UND18" s="6"/>
      <c r="UNE18" s="6"/>
      <c r="UNF18" s="6"/>
      <c r="UNG18" s="6"/>
      <c r="UNH18" s="6"/>
      <c r="UNI18" s="6"/>
      <c r="UNJ18" s="6"/>
      <c r="UNK18" s="6"/>
      <c r="UNL18" s="6"/>
      <c r="UNM18" s="6"/>
      <c r="UNN18" s="6"/>
      <c r="UNO18" s="6"/>
      <c r="UNP18" s="7"/>
      <c r="UNQ18" s="457" t="s">
        <v>14257</v>
      </c>
      <c r="UNR18" s="6"/>
      <c r="UNS18" s="6"/>
      <c r="UNT18" s="6"/>
      <c r="UNU18" s="6"/>
      <c r="UNV18" s="6"/>
      <c r="UNW18" s="6"/>
      <c r="UNX18" s="6"/>
      <c r="UNY18" s="6"/>
      <c r="UNZ18" s="6"/>
      <c r="UOA18" s="6"/>
      <c r="UOB18" s="6"/>
      <c r="UOC18" s="6"/>
      <c r="UOD18" s="6"/>
      <c r="UOE18" s="6"/>
      <c r="UOF18" s="7"/>
      <c r="UOG18" s="457" t="s">
        <v>14257</v>
      </c>
      <c r="UOH18" s="6"/>
      <c r="UOI18" s="6"/>
      <c r="UOJ18" s="6"/>
      <c r="UOK18" s="6"/>
      <c r="UOL18" s="6"/>
      <c r="UOM18" s="6"/>
      <c r="UON18" s="6"/>
      <c r="UOO18" s="6"/>
      <c r="UOP18" s="6"/>
      <c r="UOQ18" s="6"/>
      <c r="UOR18" s="6"/>
      <c r="UOS18" s="6"/>
      <c r="UOT18" s="6"/>
      <c r="UOU18" s="6"/>
      <c r="UOV18" s="7"/>
      <c r="UOW18" s="457" t="s">
        <v>14257</v>
      </c>
      <c r="UOX18" s="6"/>
      <c r="UOY18" s="6"/>
      <c r="UOZ18" s="6"/>
      <c r="UPA18" s="6"/>
      <c r="UPB18" s="6"/>
      <c r="UPC18" s="6"/>
      <c r="UPD18" s="6"/>
      <c r="UPE18" s="6"/>
      <c r="UPF18" s="6"/>
      <c r="UPG18" s="6"/>
      <c r="UPH18" s="6"/>
      <c r="UPI18" s="6"/>
      <c r="UPJ18" s="6"/>
      <c r="UPK18" s="6"/>
      <c r="UPL18" s="7"/>
      <c r="UPM18" s="457" t="s">
        <v>14257</v>
      </c>
      <c r="UPN18" s="6"/>
      <c r="UPO18" s="6"/>
      <c r="UPP18" s="6"/>
      <c r="UPQ18" s="6"/>
      <c r="UPR18" s="6"/>
      <c r="UPS18" s="6"/>
      <c r="UPT18" s="6"/>
      <c r="UPU18" s="6"/>
      <c r="UPV18" s="6"/>
      <c r="UPW18" s="6"/>
      <c r="UPX18" s="6"/>
      <c r="UPY18" s="6"/>
      <c r="UPZ18" s="6"/>
      <c r="UQA18" s="6"/>
      <c r="UQB18" s="7"/>
      <c r="UQC18" s="457" t="s">
        <v>14257</v>
      </c>
      <c r="UQD18" s="6"/>
      <c r="UQE18" s="6"/>
      <c r="UQF18" s="6"/>
      <c r="UQG18" s="6"/>
      <c r="UQH18" s="6"/>
      <c r="UQI18" s="6"/>
      <c r="UQJ18" s="6"/>
      <c r="UQK18" s="6"/>
      <c r="UQL18" s="6"/>
      <c r="UQM18" s="6"/>
      <c r="UQN18" s="6"/>
      <c r="UQO18" s="6"/>
      <c r="UQP18" s="6"/>
      <c r="UQQ18" s="6"/>
      <c r="UQR18" s="7"/>
      <c r="UQS18" s="457" t="s">
        <v>14257</v>
      </c>
      <c r="UQT18" s="6"/>
      <c r="UQU18" s="6"/>
      <c r="UQV18" s="6"/>
      <c r="UQW18" s="6"/>
      <c r="UQX18" s="6"/>
      <c r="UQY18" s="6"/>
      <c r="UQZ18" s="6"/>
      <c r="URA18" s="6"/>
      <c r="URB18" s="6"/>
      <c r="URC18" s="6"/>
      <c r="URD18" s="6"/>
      <c r="URE18" s="6"/>
      <c r="URF18" s="6"/>
      <c r="URG18" s="6"/>
      <c r="URH18" s="7"/>
      <c r="URI18" s="457" t="s">
        <v>14257</v>
      </c>
      <c r="URJ18" s="6"/>
      <c r="URK18" s="6"/>
      <c r="URL18" s="6"/>
      <c r="URM18" s="6"/>
      <c r="URN18" s="6"/>
      <c r="URO18" s="6"/>
      <c r="URP18" s="6"/>
      <c r="URQ18" s="6"/>
      <c r="URR18" s="6"/>
      <c r="URS18" s="6"/>
      <c r="URT18" s="6"/>
      <c r="URU18" s="6"/>
      <c r="URV18" s="6"/>
      <c r="URW18" s="6"/>
      <c r="URX18" s="7"/>
      <c r="URY18" s="457" t="s">
        <v>14257</v>
      </c>
      <c r="URZ18" s="6"/>
      <c r="USA18" s="6"/>
      <c r="USB18" s="6"/>
      <c r="USC18" s="6"/>
      <c r="USD18" s="6"/>
      <c r="USE18" s="6"/>
      <c r="USF18" s="6"/>
      <c r="USG18" s="6"/>
      <c r="USH18" s="6"/>
      <c r="USI18" s="6"/>
      <c r="USJ18" s="6"/>
      <c r="USK18" s="6"/>
      <c r="USL18" s="6"/>
      <c r="USM18" s="6"/>
      <c r="USN18" s="7"/>
      <c r="USO18" s="457" t="s">
        <v>14257</v>
      </c>
      <c r="USP18" s="6"/>
      <c r="USQ18" s="6"/>
      <c r="USR18" s="6"/>
      <c r="USS18" s="6"/>
      <c r="UST18" s="6"/>
      <c r="USU18" s="6"/>
      <c r="USV18" s="6"/>
      <c r="USW18" s="6"/>
      <c r="USX18" s="6"/>
      <c r="USY18" s="6"/>
      <c r="USZ18" s="6"/>
      <c r="UTA18" s="6"/>
      <c r="UTB18" s="6"/>
      <c r="UTC18" s="6"/>
      <c r="UTD18" s="7"/>
      <c r="UTE18" s="457" t="s">
        <v>14257</v>
      </c>
      <c r="UTF18" s="6"/>
      <c r="UTG18" s="6"/>
      <c r="UTH18" s="6"/>
      <c r="UTI18" s="6"/>
      <c r="UTJ18" s="6"/>
      <c r="UTK18" s="6"/>
      <c r="UTL18" s="6"/>
      <c r="UTM18" s="6"/>
      <c r="UTN18" s="6"/>
      <c r="UTO18" s="6"/>
      <c r="UTP18" s="6"/>
      <c r="UTQ18" s="6"/>
      <c r="UTR18" s="6"/>
      <c r="UTS18" s="6"/>
      <c r="UTT18" s="7"/>
      <c r="UTU18" s="457" t="s">
        <v>14257</v>
      </c>
      <c r="UTV18" s="6"/>
      <c r="UTW18" s="6"/>
      <c r="UTX18" s="6"/>
      <c r="UTY18" s="6"/>
      <c r="UTZ18" s="6"/>
      <c r="UUA18" s="6"/>
      <c r="UUB18" s="6"/>
      <c r="UUC18" s="6"/>
      <c r="UUD18" s="6"/>
      <c r="UUE18" s="6"/>
      <c r="UUF18" s="6"/>
      <c r="UUG18" s="6"/>
      <c r="UUH18" s="6"/>
      <c r="UUI18" s="6"/>
      <c r="UUJ18" s="7"/>
      <c r="UUK18" s="457" t="s">
        <v>14257</v>
      </c>
      <c r="UUL18" s="6"/>
      <c r="UUM18" s="6"/>
      <c r="UUN18" s="6"/>
      <c r="UUO18" s="6"/>
      <c r="UUP18" s="6"/>
      <c r="UUQ18" s="6"/>
      <c r="UUR18" s="6"/>
      <c r="UUS18" s="6"/>
      <c r="UUT18" s="6"/>
      <c r="UUU18" s="6"/>
      <c r="UUV18" s="6"/>
      <c r="UUW18" s="6"/>
      <c r="UUX18" s="6"/>
      <c r="UUY18" s="6"/>
      <c r="UUZ18" s="7"/>
      <c r="UVA18" s="457" t="s">
        <v>14257</v>
      </c>
      <c r="UVB18" s="6"/>
      <c r="UVC18" s="6"/>
      <c r="UVD18" s="6"/>
      <c r="UVE18" s="6"/>
      <c r="UVF18" s="6"/>
      <c r="UVG18" s="6"/>
      <c r="UVH18" s="6"/>
      <c r="UVI18" s="6"/>
      <c r="UVJ18" s="6"/>
      <c r="UVK18" s="6"/>
      <c r="UVL18" s="6"/>
      <c r="UVM18" s="6"/>
      <c r="UVN18" s="6"/>
      <c r="UVO18" s="6"/>
      <c r="UVP18" s="7"/>
      <c r="UVQ18" s="457" t="s">
        <v>14257</v>
      </c>
      <c r="UVR18" s="6"/>
      <c r="UVS18" s="6"/>
      <c r="UVT18" s="6"/>
      <c r="UVU18" s="6"/>
      <c r="UVV18" s="6"/>
      <c r="UVW18" s="6"/>
      <c r="UVX18" s="6"/>
      <c r="UVY18" s="6"/>
      <c r="UVZ18" s="6"/>
      <c r="UWA18" s="6"/>
      <c r="UWB18" s="6"/>
      <c r="UWC18" s="6"/>
      <c r="UWD18" s="6"/>
      <c r="UWE18" s="6"/>
      <c r="UWF18" s="7"/>
      <c r="UWG18" s="457" t="s">
        <v>14257</v>
      </c>
      <c r="UWH18" s="6"/>
      <c r="UWI18" s="6"/>
      <c r="UWJ18" s="6"/>
      <c r="UWK18" s="6"/>
      <c r="UWL18" s="6"/>
      <c r="UWM18" s="6"/>
      <c r="UWN18" s="6"/>
      <c r="UWO18" s="6"/>
      <c r="UWP18" s="6"/>
      <c r="UWQ18" s="6"/>
      <c r="UWR18" s="6"/>
      <c r="UWS18" s="6"/>
      <c r="UWT18" s="6"/>
      <c r="UWU18" s="6"/>
      <c r="UWV18" s="7"/>
      <c r="UWW18" s="457" t="s">
        <v>14257</v>
      </c>
      <c r="UWX18" s="6"/>
      <c r="UWY18" s="6"/>
      <c r="UWZ18" s="6"/>
      <c r="UXA18" s="6"/>
      <c r="UXB18" s="6"/>
      <c r="UXC18" s="6"/>
      <c r="UXD18" s="6"/>
      <c r="UXE18" s="6"/>
      <c r="UXF18" s="6"/>
      <c r="UXG18" s="6"/>
      <c r="UXH18" s="6"/>
      <c r="UXI18" s="6"/>
      <c r="UXJ18" s="6"/>
      <c r="UXK18" s="6"/>
      <c r="UXL18" s="7"/>
      <c r="UXM18" s="457" t="s">
        <v>14257</v>
      </c>
      <c r="UXN18" s="6"/>
      <c r="UXO18" s="6"/>
      <c r="UXP18" s="6"/>
      <c r="UXQ18" s="6"/>
      <c r="UXR18" s="6"/>
      <c r="UXS18" s="6"/>
      <c r="UXT18" s="6"/>
      <c r="UXU18" s="6"/>
      <c r="UXV18" s="6"/>
      <c r="UXW18" s="6"/>
      <c r="UXX18" s="6"/>
      <c r="UXY18" s="6"/>
      <c r="UXZ18" s="6"/>
      <c r="UYA18" s="6"/>
      <c r="UYB18" s="7"/>
      <c r="UYC18" s="457" t="s">
        <v>14257</v>
      </c>
      <c r="UYD18" s="6"/>
      <c r="UYE18" s="6"/>
      <c r="UYF18" s="6"/>
      <c r="UYG18" s="6"/>
      <c r="UYH18" s="6"/>
      <c r="UYI18" s="6"/>
      <c r="UYJ18" s="6"/>
      <c r="UYK18" s="6"/>
      <c r="UYL18" s="6"/>
      <c r="UYM18" s="6"/>
      <c r="UYN18" s="6"/>
      <c r="UYO18" s="6"/>
      <c r="UYP18" s="6"/>
      <c r="UYQ18" s="6"/>
      <c r="UYR18" s="7"/>
      <c r="UYS18" s="457" t="s">
        <v>14257</v>
      </c>
      <c r="UYT18" s="6"/>
      <c r="UYU18" s="6"/>
      <c r="UYV18" s="6"/>
      <c r="UYW18" s="6"/>
      <c r="UYX18" s="6"/>
      <c r="UYY18" s="6"/>
      <c r="UYZ18" s="6"/>
      <c r="UZA18" s="6"/>
      <c r="UZB18" s="6"/>
      <c r="UZC18" s="6"/>
      <c r="UZD18" s="6"/>
      <c r="UZE18" s="6"/>
      <c r="UZF18" s="6"/>
      <c r="UZG18" s="6"/>
      <c r="UZH18" s="7"/>
      <c r="UZI18" s="457" t="s">
        <v>14257</v>
      </c>
      <c r="UZJ18" s="6"/>
      <c r="UZK18" s="6"/>
      <c r="UZL18" s="6"/>
      <c r="UZM18" s="6"/>
      <c r="UZN18" s="6"/>
      <c r="UZO18" s="6"/>
      <c r="UZP18" s="6"/>
      <c r="UZQ18" s="6"/>
      <c r="UZR18" s="6"/>
      <c r="UZS18" s="6"/>
      <c r="UZT18" s="6"/>
      <c r="UZU18" s="6"/>
      <c r="UZV18" s="6"/>
      <c r="UZW18" s="6"/>
      <c r="UZX18" s="7"/>
      <c r="UZY18" s="457" t="s">
        <v>14257</v>
      </c>
      <c r="UZZ18" s="6"/>
      <c r="VAA18" s="6"/>
      <c r="VAB18" s="6"/>
      <c r="VAC18" s="6"/>
      <c r="VAD18" s="6"/>
      <c r="VAE18" s="6"/>
      <c r="VAF18" s="6"/>
      <c r="VAG18" s="6"/>
      <c r="VAH18" s="6"/>
      <c r="VAI18" s="6"/>
      <c r="VAJ18" s="6"/>
      <c r="VAK18" s="6"/>
      <c r="VAL18" s="6"/>
      <c r="VAM18" s="6"/>
      <c r="VAN18" s="7"/>
      <c r="VAO18" s="457" t="s">
        <v>14257</v>
      </c>
      <c r="VAP18" s="6"/>
      <c r="VAQ18" s="6"/>
      <c r="VAR18" s="6"/>
      <c r="VAS18" s="6"/>
      <c r="VAT18" s="6"/>
      <c r="VAU18" s="6"/>
      <c r="VAV18" s="6"/>
      <c r="VAW18" s="6"/>
      <c r="VAX18" s="6"/>
      <c r="VAY18" s="6"/>
      <c r="VAZ18" s="6"/>
      <c r="VBA18" s="6"/>
      <c r="VBB18" s="6"/>
      <c r="VBC18" s="6"/>
      <c r="VBD18" s="7"/>
      <c r="VBE18" s="457" t="s">
        <v>14257</v>
      </c>
      <c r="VBF18" s="6"/>
      <c r="VBG18" s="6"/>
      <c r="VBH18" s="6"/>
      <c r="VBI18" s="6"/>
      <c r="VBJ18" s="6"/>
      <c r="VBK18" s="6"/>
      <c r="VBL18" s="6"/>
      <c r="VBM18" s="6"/>
      <c r="VBN18" s="6"/>
      <c r="VBO18" s="6"/>
      <c r="VBP18" s="6"/>
      <c r="VBQ18" s="6"/>
      <c r="VBR18" s="6"/>
      <c r="VBS18" s="6"/>
      <c r="VBT18" s="7"/>
      <c r="VBU18" s="457" t="s">
        <v>14257</v>
      </c>
      <c r="VBV18" s="6"/>
      <c r="VBW18" s="6"/>
      <c r="VBX18" s="6"/>
      <c r="VBY18" s="6"/>
      <c r="VBZ18" s="6"/>
      <c r="VCA18" s="6"/>
      <c r="VCB18" s="6"/>
      <c r="VCC18" s="6"/>
      <c r="VCD18" s="6"/>
      <c r="VCE18" s="6"/>
      <c r="VCF18" s="6"/>
      <c r="VCG18" s="6"/>
      <c r="VCH18" s="6"/>
      <c r="VCI18" s="6"/>
      <c r="VCJ18" s="7"/>
      <c r="VCK18" s="457" t="s">
        <v>14257</v>
      </c>
      <c r="VCL18" s="6"/>
      <c r="VCM18" s="6"/>
      <c r="VCN18" s="6"/>
      <c r="VCO18" s="6"/>
      <c r="VCP18" s="6"/>
      <c r="VCQ18" s="6"/>
      <c r="VCR18" s="6"/>
      <c r="VCS18" s="6"/>
      <c r="VCT18" s="6"/>
      <c r="VCU18" s="6"/>
      <c r="VCV18" s="6"/>
      <c r="VCW18" s="6"/>
      <c r="VCX18" s="6"/>
      <c r="VCY18" s="6"/>
      <c r="VCZ18" s="7"/>
      <c r="VDA18" s="457" t="s">
        <v>14257</v>
      </c>
      <c r="VDB18" s="6"/>
      <c r="VDC18" s="6"/>
      <c r="VDD18" s="6"/>
      <c r="VDE18" s="6"/>
      <c r="VDF18" s="6"/>
      <c r="VDG18" s="6"/>
      <c r="VDH18" s="6"/>
      <c r="VDI18" s="6"/>
      <c r="VDJ18" s="6"/>
      <c r="VDK18" s="6"/>
      <c r="VDL18" s="6"/>
      <c r="VDM18" s="6"/>
      <c r="VDN18" s="6"/>
      <c r="VDO18" s="6"/>
      <c r="VDP18" s="7"/>
      <c r="VDQ18" s="457" t="s">
        <v>14257</v>
      </c>
      <c r="VDR18" s="6"/>
      <c r="VDS18" s="6"/>
      <c r="VDT18" s="6"/>
      <c r="VDU18" s="6"/>
      <c r="VDV18" s="6"/>
      <c r="VDW18" s="6"/>
      <c r="VDX18" s="6"/>
      <c r="VDY18" s="6"/>
      <c r="VDZ18" s="6"/>
      <c r="VEA18" s="6"/>
      <c r="VEB18" s="6"/>
      <c r="VEC18" s="6"/>
      <c r="VED18" s="6"/>
      <c r="VEE18" s="6"/>
      <c r="VEF18" s="7"/>
      <c r="VEG18" s="457" t="s">
        <v>14257</v>
      </c>
      <c r="VEH18" s="6"/>
      <c r="VEI18" s="6"/>
      <c r="VEJ18" s="6"/>
      <c r="VEK18" s="6"/>
      <c r="VEL18" s="6"/>
      <c r="VEM18" s="6"/>
      <c r="VEN18" s="6"/>
      <c r="VEO18" s="6"/>
      <c r="VEP18" s="6"/>
      <c r="VEQ18" s="6"/>
      <c r="VER18" s="6"/>
      <c r="VES18" s="6"/>
      <c r="VET18" s="6"/>
      <c r="VEU18" s="6"/>
      <c r="VEV18" s="7"/>
      <c r="VEW18" s="457" t="s">
        <v>14257</v>
      </c>
      <c r="VEX18" s="6"/>
      <c r="VEY18" s="6"/>
      <c r="VEZ18" s="6"/>
      <c r="VFA18" s="6"/>
      <c r="VFB18" s="6"/>
      <c r="VFC18" s="6"/>
      <c r="VFD18" s="6"/>
      <c r="VFE18" s="6"/>
      <c r="VFF18" s="6"/>
      <c r="VFG18" s="6"/>
      <c r="VFH18" s="6"/>
      <c r="VFI18" s="6"/>
      <c r="VFJ18" s="6"/>
      <c r="VFK18" s="6"/>
      <c r="VFL18" s="7"/>
      <c r="VFM18" s="457" t="s">
        <v>14257</v>
      </c>
      <c r="VFN18" s="6"/>
      <c r="VFO18" s="6"/>
      <c r="VFP18" s="6"/>
      <c r="VFQ18" s="6"/>
      <c r="VFR18" s="6"/>
      <c r="VFS18" s="6"/>
      <c r="VFT18" s="6"/>
      <c r="VFU18" s="6"/>
      <c r="VFV18" s="6"/>
      <c r="VFW18" s="6"/>
      <c r="VFX18" s="6"/>
      <c r="VFY18" s="6"/>
      <c r="VFZ18" s="6"/>
      <c r="VGA18" s="6"/>
      <c r="VGB18" s="7"/>
      <c r="VGC18" s="457" t="s">
        <v>14257</v>
      </c>
      <c r="VGD18" s="6"/>
      <c r="VGE18" s="6"/>
      <c r="VGF18" s="6"/>
      <c r="VGG18" s="6"/>
      <c r="VGH18" s="6"/>
      <c r="VGI18" s="6"/>
      <c r="VGJ18" s="6"/>
      <c r="VGK18" s="6"/>
      <c r="VGL18" s="6"/>
      <c r="VGM18" s="6"/>
      <c r="VGN18" s="6"/>
      <c r="VGO18" s="6"/>
      <c r="VGP18" s="6"/>
      <c r="VGQ18" s="6"/>
      <c r="VGR18" s="7"/>
      <c r="VGS18" s="457" t="s">
        <v>14257</v>
      </c>
      <c r="VGT18" s="6"/>
      <c r="VGU18" s="6"/>
      <c r="VGV18" s="6"/>
      <c r="VGW18" s="6"/>
      <c r="VGX18" s="6"/>
      <c r="VGY18" s="6"/>
      <c r="VGZ18" s="6"/>
      <c r="VHA18" s="6"/>
      <c r="VHB18" s="6"/>
      <c r="VHC18" s="6"/>
      <c r="VHD18" s="6"/>
      <c r="VHE18" s="6"/>
      <c r="VHF18" s="6"/>
      <c r="VHG18" s="6"/>
      <c r="VHH18" s="7"/>
      <c r="VHI18" s="457" t="s">
        <v>14257</v>
      </c>
      <c r="VHJ18" s="6"/>
      <c r="VHK18" s="6"/>
      <c r="VHL18" s="6"/>
      <c r="VHM18" s="6"/>
      <c r="VHN18" s="6"/>
      <c r="VHO18" s="6"/>
      <c r="VHP18" s="6"/>
      <c r="VHQ18" s="6"/>
      <c r="VHR18" s="6"/>
      <c r="VHS18" s="6"/>
      <c r="VHT18" s="6"/>
      <c r="VHU18" s="6"/>
      <c r="VHV18" s="6"/>
      <c r="VHW18" s="6"/>
      <c r="VHX18" s="7"/>
      <c r="VHY18" s="457" t="s">
        <v>14257</v>
      </c>
      <c r="VHZ18" s="6"/>
      <c r="VIA18" s="6"/>
      <c r="VIB18" s="6"/>
      <c r="VIC18" s="6"/>
      <c r="VID18" s="6"/>
      <c r="VIE18" s="6"/>
      <c r="VIF18" s="6"/>
      <c r="VIG18" s="6"/>
      <c r="VIH18" s="6"/>
      <c r="VII18" s="6"/>
      <c r="VIJ18" s="6"/>
      <c r="VIK18" s="6"/>
      <c r="VIL18" s="6"/>
      <c r="VIM18" s="6"/>
      <c r="VIN18" s="7"/>
      <c r="VIO18" s="457" t="s">
        <v>14257</v>
      </c>
      <c r="VIP18" s="6"/>
      <c r="VIQ18" s="6"/>
      <c r="VIR18" s="6"/>
      <c r="VIS18" s="6"/>
      <c r="VIT18" s="6"/>
      <c r="VIU18" s="6"/>
      <c r="VIV18" s="6"/>
      <c r="VIW18" s="6"/>
      <c r="VIX18" s="6"/>
      <c r="VIY18" s="6"/>
      <c r="VIZ18" s="6"/>
      <c r="VJA18" s="6"/>
      <c r="VJB18" s="6"/>
      <c r="VJC18" s="6"/>
      <c r="VJD18" s="7"/>
      <c r="VJE18" s="457" t="s">
        <v>14257</v>
      </c>
      <c r="VJF18" s="6"/>
      <c r="VJG18" s="6"/>
      <c r="VJH18" s="6"/>
      <c r="VJI18" s="6"/>
      <c r="VJJ18" s="6"/>
      <c r="VJK18" s="6"/>
      <c r="VJL18" s="6"/>
      <c r="VJM18" s="6"/>
      <c r="VJN18" s="6"/>
      <c r="VJO18" s="6"/>
      <c r="VJP18" s="6"/>
      <c r="VJQ18" s="6"/>
      <c r="VJR18" s="6"/>
      <c r="VJS18" s="6"/>
      <c r="VJT18" s="7"/>
      <c r="VJU18" s="457" t="s">
        <v>14257</v>
      </c>
      <c r="VJV18" s="6"/>
      <c r="VJW18" s="6"/>
      <c r="VJX18" s="6"/>
      <c r="VJY18" s="6"/>
      <c r="VJZ18" s="6"/>
      <c r="VKA18" s="6"/>
      <c r="VKB18" s="6"/>
      <c r="VKC18" s="6"/>
      <c r="VKD18" s="6"/>
      <c r="VKE18" s="6"/>
      <c r="VKF18" s="6"/>
      <c r="VKG18" s="6"/>
      <c r="VKH18" s="6"/>
      <c r="VKI18" s="6"/>
      <c r="VKJ18" s="7"/>
      <c r="VKK18" s="457" t="s">
        <v>14257</v>
      </c>
      <c r="VKL18" s="6"/>
      <c r="VKM18" s="6"/>
      <c r="VKN18" s="6"/>
      <c r="VKO18" s="6"/>
      <c r="VKP18" s="6"/>
      <c r="VKQ18" s="6"/>
      <c r="VKR18" s="6"/>
      <c r="VKS18" s="6"/>
      <c r="VKT18" s="6"/>
      <c r="VKU18" s="6"/>
      <c r="VKV18" s="6"/>
      <c r="VKW18" s="6"/>
      <c r="VKX18" s="6"/>
      <c r="VKY18" s="6"/>
      <c r="VKZ18" s="7"/>
      <c r="VLA18" s="457" t="s">
        <v>14257</v>
      </c>
      <c r="VLB18" s="6"/>
      <c r="VLC18" s="6"/>
      <c r="VLD18" s="6"/>
      <c r="VLE18" s="6"/>
      <c r="VLF18" s="6"/>
      <c r="VLG18" s="6"/>
      <c r="VLH18" s="6"/>
      <c r="VLI18" s="6"/>
      <c r="VLJ18" s="6"/>
      <c r="VLK18" s="6"/>
      <c r="VLL18" s="6"/>
      <c r="VLM18" s="6"/>
      <c r="VLN18" s="6"/>
      <c r="VLO18" s="6"/>
      <c r="VLP18" s="7"/>
      <c r="VLQ18" s="457" t="s">
        <v>14257</v>
      </c>
      <c r="VLR18" s="6"/>
      <c r="VLS18" s="6"/>
      <c r="VLT18" s="6"/>
      <c r="VLU18" s="6"/>
      <c r="VLV18" s="6"/>
      <c r="VLW18" s="6"/>
      <c r="VLX18" s="6"/>
      <c r="VLY18" s="6"/>
      <c r="VLZ18" s="6"/>
      <c r="VMA18" s="6"/>
      <c r="VMB18" s="6"/>
      <c r="VMC18" s="6"/>
      <c r="VMD18" s="6"/>
      <c r="VME18" s="6"/>
      <c r="VMF18" s="7"/>
      <c r="VMG18" s="457" t="s">
        <v>14257</v>
      </c>
      <c r="VMH18" s="6"/>
      <c r="VMI18" s="6"/>
      <c r="VMJ18" s="6"/>
      <c r="VMK18" s="6"/>
      <c r="VML18" s="6"/>
      <c r="VMM18" s="6"/>
      <c r="VMN18" s="6"/>
      <c r="VMO18" s="6"/>
      <c r="VMP18" s="6"/>
      <c r="VMQ18" s="6"/>
      <c r="VMR18" s="6"/>
      <c r="VMS18" s="6"/>
      <c r="VMT18" s="6"/>
      <c r="VMU18" s="6"/>
      <c r="VMV18" s="7"/>
      <c r="VMW18" s="457" t="s">
        <v>14257</v>
      </c>
      <c r="VMX18" s="6"/>
      <c r="VMY18" s="6"/>
      <c r="VMZ18" s="6"/>
      <c r="VNA18" s="6"/>
      <c r="VNB18" s="6"/>
      <c r="VNC18" s="6"/>
      <c r="VND18" s="6"/>
      <c r="VNE18" s="6"/>
      <c r="VNF18" s="6"/>
      <c r="VNG18" s="6"/>
      <c r="VNH18" s="6"/>
      <c r="VNI18" s="6"/>
      <c r="VNJ18" s="6"/>
      <c r="VNK18" s="6"/>
      <c r="VNL18" s="7"/>
      <c r="VNM18" s="457" t="s">
        <v>14257</v>
      </c>
      <c r="VNN18" s="6"/>
      <c r="VNO18" s="6"/>
      <c r="VNP18" s="6"/>
      <c r="VNQ18" s="6"/>
      <c r="VNR18" s="6"/>
      <c r="VNS18" s="6"/>
      <c r="VNT18" s="6"/>
      <c r="VNU18" s="6"/>
      <c r="VNV18" s="6"/>
      <c r="VNW18" s="6"/>
      <c r="VNX18" s="6"/>
      <c r="VNY18" s="6"/>
      <c r="VNZ18" s="6"/>
      <c r="VOA18" s="6"/>
      <c r="VOB18" s="7"/>
      <c r="VOC18" s="457" t="s">
        <v>14257</v>
      </c>
      <c r="VOD18" s="6"/>
      <c r="VOE18" s="6"/>
      <c r="VOF18" s="6"/>
      <c r="VOG18" s="6"/>
      <c r="VOH18" s="6"/>
      <c r="VOI18" s="6"/>
      <c r="VOJ18" s="6"/>
      <c r="VOK18" s="6"/>
      <c r="VOL18" s="6"/>
      <c r="VOM18" s="6"/>
      <c r="VON18" s="6"/>
      <c r="VOO18" s="6"/>
      <c r="VOP18" s="6"/>
      <c r="VOQ18" s="6"/>
      <c r="VOR18" s="7"/>
      <c r="VOS18" s="457" t="s">
        <v>14257</v>
      </c>
      <c r="VOT18" s="6"/>
      <c r="VOU18" s="6"/>
      <c r="VOV18" s="6"/>
      <c r="VOW18" s="6"/>
      <c r="VOX18" s="6"/>
      <c r="VOY18" s="6"/>
      <c r="VOZ18" s="6"/>
      <c r="VPA18" s="6"/>
      <c r="VPB18" s="6"/>
      <c r="VPC18" s="6"/>
      <c r="VPD18" s="6"/>
      <c r="VPE18" s="6"/>
      <c r="VPF18" s="6"/>
      <c r="VPG18" s="6"/>
      <c r="VPH18" s="7"/>
      <c r="VPI18" s="457" t="s">
        <v>14257</v>
      </c>
      <c r="VPJ18" s="6"/>
      <c r="VPK18" s="6"/>
      <c r="VPL18" s="6"/>
      <c r="VPM18" s="6"/>
      <c r="VPN18" s="6"/>
      <c r="VPO18" s="6"/>
      <c r="VPP18" s="6"/>
      <c r="VPQ18" s="6"/>
      <c r="VPR18" s="6"/>
      <c r="VPS18" s="6"/>
      <c r="VPT18" s="6"/>
      <c r="VPU18" s="6"/>
      <c r="VPV18" s="6"/>
      <c r="VPW18" s="6"/>
      <c r="VPX18" s="7"/>
      <c r="VPY18" s="457" t="s">
        <v>14257</v>
      </c>
      <c r="VPZ18" s="6"/>
      <c r="VQA18" s="6"/>
      <c r="VQB18" s="6"/>
      <c r="VQC18" s="6"/>
      <c r="VQD18" s="6"/>
      <c r="VQE18" s="6"/>
      <c r="VQF18" s="6"/>
      <c r="VQG18" s="6"/>
      <c r="VQH18" s="6"/>
      <c r="VQI18" s="6"/>
      <c r="VQJ18" s="6"/>
      <c r="VQK18" s="6"/>
      <c r="VQL18" s="6"/>
      <c r="VQM18" s="6"/>
      <c r="VQN18" s="7"/>
      <c r="VQO18" s="457" t="s">
        <v>14257</v>
      </c>
      <c r="VQP18" s="6"/>
      <c r="VQQ18" s="6"/>
      <c r="VQR18" s="6"/>
      <c r="VQS18" s="6"/>
      <c r="VQT18" s="6"/>
      <c r="VQU18" s="6"/>
      <c r="VQV18" s="6"/>
      <c r="VQW18" s="6"/>
      <c r="VQX18" s="6"/>
      <c r="VQY18" s="6"/>
      <c r="VQZ18" s="6"/>
      <c r="VRA18" s="6"/>
      <c r="VRB18" s="6"/>
      <c r="VRC18" s="6"/>
      <c r="VRD18" s="7"/>
      <c r="VRE18" s="457" t="s">
        <v>14257</v>
      </c>
      <c r="VRF18" s="6"/>
      <c r="VRG18" s="6"/>
      <c r="VRH18" s="6"/>
      <c r="VRI18" s="6"/>
      <c r="VRJ18" s="6"/>
      <c r="VRK18" s="6"/>
      <c r="VRL18" s="6"/>
      <c r="VRM18" s="6"/>
      <c r="VRN18" s="6"/>
      <c r="VRO18" s="6"/>
      <c r="VRP18" s="6"/>
      <c r="VRQ18" s="6"/>
      <c r="VRR18" s="6"/>
      <c r="VRS18" s="6"/>
      <c r="VRT18" s="7"/>
      <c r="VRU18" s="457" t="s">
        <v>14257</v>
      </c>
      <c r="VRV18" s="6"/>
      <c r="VRW18" s="6"/>
      <c r="VRX18" s="6"/>
      <c r="VRY18" s="6"/>
      <c r="VRZ18" s="6"/>
      <c r="VSA18" s="6"/>
      <c r="VSB18" s="6"/>
      <c r="VSC18" s="6"/>
      <c r="VSD18" s="6"/>
      <c r="VSE18" s="6"/>
      <c r="VSF18" s="6"/>
      <c r="VSG18" s="6"/>
      <c r="VSH18" s="6"/>
      <c r="VSI18" s="6"/>
      <c r="VSJ18" s="7"/>
      <c r="VSK18" s="457" t="s">
        <v>14257</v>
      </c>
      <c r="VSL18" s="6"/>
      <c r="VSM18" s="6"/>
      <c r="VSN18" s="6"/>
      <c r="VSO18" s="6"/>
      <c r="VSP18" s="6"/>
      <c r="VSQ18" s="6"/>
      <c r="VSR18" s="6"/>
      <c r="VSS18" s="6"/>
      <c r="VST18" s="6"/>
      <c r="VSU18" s="6"/>
      <c r="VSV18" s="6"/>
      <c r="VSW18" s="6"/>
      <c r="VSX18" s="6"/>
      <c r="VSY18" s="6"/>
      <c r="VSZ18" s="7"/>
      <c r="VTA18" s="457" t="s">
        <v>14257</v>
      </c>
      <c r="VTB18" s="6"/>
      <c r="VTC18" s="6"/>
      <c r="VTD18" s="6"/>
      <c r="VTE18" s="6"/>
      <c r="VTF18" s="6"/>
      <c r="VTG18" s="6"/>
      <c r="VTH18" s="6"/>
      <c r="VTI18" s="6"/>
      <c r="VTJ18" s="6"/>
      <c r="VTK18" s="6"/>
      <c r="VTL18" s="6"/>
      <c r="VTM18" s="6"/>
      <c r="VTN18" s="6"/>
      <c r="VTO18" s="6"/>
      <c r="VTP18" s="7"/>
      <c r="VTQ18" s="457" t="s">
        <v>14257</v>
      </c>
      <c r="VTR18" s="6"/>
      <c r="VTS18" s="6"/>
      <c r="VTT18" s="6"/>
      <c r="VTU18" s="6"/>
      <c r="VTV18" s="6"/>
      <c r="VTW18" s="6"/>
      <c r="VTX18" s="6"/>
      <c r="VTY18" s="6"/>
      <c r="VTZ18" s="6"/>
      <c r="VUA18" s="6"/>
      <c r="VUB18" s="6"/>
      <c r="VUC18" s="6"/>
      <c r="VUD18" s="6"/>
      <c r="VUE18" s="6"/>
      <c r="VUF18" s="7"/>
      <c r="VUG18" s="457" t="s">
        <v>14257</v>
      </c>
      <c r="VUH18" s="6"/>
      <c r="VUI18" s="6"/>
      <c r="VUJ18" s="6"/>
      <c r="VUK18" s="6"/>
      <c r="VUL18" s="6"/>
      <c r="VUM18" s="6"/>
      <c r="VUN18" s="6"/>
      <c r="VUO18" s="6"/>
      <c r="VUP18" s="6"/>
      <c r="VUQ18" s="6"/>
      <c r="VUR18" s="6"/>
      <c r="VUS18" s="6"/>
      <c r="VUT18" s="6"/>
      <c r="VUU18" s="6"/>
      <c r="VUV18" s="7"/>
      <c r="VUW18" s="457" t="s">
        <v>14257</v>
      </c>
      <c r="VUX18" s="6"/>
      <c r="VUY18" s="6"/>
      <c r="VUZ18" s="6"/>
      <c r="VVA18" s="6"/>
      <c r="VVB18" s="6"/>
      <c r="VVC18" s="6"/>
      <c r="VVD18" s="6"/>
      <c r="VVE18" s="6"/>
      <c r="VVF18" s="6"/>
      <c r="VVG18" s="6"/>
      <c r="VVH18" s="6"/>
      <c r="VVI18" s="6"/>
      <c r="VVJ18" s="6"/>
      <c r="VVK18" s="6"/>
      <c r="VVL18" s="7"/>
      <c r="VVM18" s="457" t="s">
        <v>14257</v>
      </c>
      <c r="VVN18" s="6"/>
      <c r="VVO18" s="6"/>
      <c r="VVP18" s="6"/>
      <c r="VVQ18" s="6"/>
      <c r="VVR18" s="6"/>
      <c r="VVS18" s="6"/>
      <c r="VVT18" s="6"/>
      <c r="VVU18" s="6"/>
      <c r="VVV18" s="6"/>
      <c r="VVW18" s="6"/>
      <c r="VVX18" s="6"/>
      <c r="VVY18" s="6"/>
      <c r="VVZ18" s="6"/>
      <c r="VWA18" s="6"/>
      <c r="VWB18" s="7"/>
      <c r="VWC18" s="457" t="s">
        <v>14257</v>
      </c>
      <c r="VWD18" s="6"/>
      <c r="VWE18" s="6"/>
      <c r="VWF18" s="6"/>
      <c r="VWG18" s="6"/>
      <c r="VWH18" s="6"/>
      <c r="VWI18" s="6"/>
      <c r="VWJ18" s="6"/>
      <c r="VWK18" s="6"/>
      <c r="VWL18" s="6"/>
      <c r="VWM18" s="6"/>
      <c r="VWN18" s="6"/>
      <c r="VWO18" s="6"/>
      <c r="VWP18" s="6"/>
      <c r="VWQ18" s="6"/>
      <c r="VWR18" s="7"/>
      <c r="VWS18" s="457" t="s">
        <v>14257</v>
      </c>
      <c r="VWT18" s="6"/>
      <c r="VWU18" s="6"/>
      <c r="VWV18" s="6"/>
      <c r="VWW18" s="6"/>
      <c r="VWX18" s="6"/>
      <c r="VWY18" s="6"/>
      <c r="VWZ18" s="6"/>
      <c r="VXA18" s="6"/>
      <c r="VXB18" s="6"/>
      <c r="VXC18" s="6"/>
      <c r="VXD18" s="6"/>
      <c r="VXE18" s="6"/>
      <c r="VXF18" s="6"/>
      <c r="VXG18" s="6"/>
      <c r="VXH18" s="7"/>
      <c r="VXI18" s="457" t="s">
        <v>14257</v>
      </c>
      <c r="VXJ18" s="6"/>
      <c r="VXK18" s="6"/>
      <c r="VXL18" s="6"/>
      <c r="VXM18" s="6"/>
      <c r="VXN18" s="6"/>
      <c r="VXO18" s="6"/>
      <c r="VXP18" s="6"/>
      <c r="VXQ18" s="6"/>
      <c r="VXR18" s="6"/>
      <c r="VXS18" s="6"/>
      <c r="VXT18" s="6"/>
      <c r="VXU18" s="6"/>
      <c r="VXV18" s="6"/>
      <c r="VXW18" s="6"/>
      <c r="VXX18" s="7"/>
      <c r="VXY18" s="457" t="s">
        <v>14257</v>
      </c>
      <c r="VXZ18" s="6"/>
      <c r="VYA18" s="6"/>
      <c r="VYB18" s="6"/>
      <c r="VYC18" s="6"/>
      <c r="VYD18" s="6"/>
      <c r="VYE18" s="6"/>
      <c r="VYF18" s="6"/>
      <c r="VYG18" s="6"/>
      <c r="VYH18" s="6"/>
      <c r="VYI18" s="6"/>
      <c r="VYJ18" s="6"/>
      <c r="VYK18" s="6"/>
      <c r="VYL18" s="6"/>
      <c r="VYM18" s="6"/>
      <c r="VYN18" s="7"/>
      <c r="VYO18" s="457" t="s">
        <v>14257</v>
      </c>
      <c r="VYP18" s="6"/>
      <c r="VYQ18" s="6"/>
      <c r="VYR18" s="6"/>
      <c r="VYS18" s="6"/>
      <c r="VYT18" s="6"/>
      <c r="VYU18" s="6"/>
      <c r="VYV18" s="6"/>
      <c r="VYW18" s="6"/>
      <c r="VYX18" s="6"/>
      <c r="VYY18" s="6"/>
      <c r="VYZ18" s="6"/>
      <c r="VZA18" s="6"/>
      <c r="VZB18" s="6"/>
      <c r="VZC18" s="6"/>
      <c r="VZD18" s="7"/>
      <c r="VZE18" s="457" t="s">
        <v>14257</v>
      </c>
      <c r="VZF18" s="6"/>
      <c r="VZG18" s="6"/>
      <c r="VZH18" s="6"/>
      <c r="VZI18" s="6"/>
      <c r="VZJ18" s="6"/>
      <c r="VZK18" s="6"/>
      <c r="VZL18" s="6"/>
      <c r="VZM18" s="6"/>
      <c r="VZN18" s="6"/>
      <c r="VZO18" s="6"/>
      <c r="VZP18" s="6"/>
      <c r="VZQ18" s="6"/>
      <c r="VZR18" s="6"/>
      <c r="VZS18" s="6"/>
      <c r="VZT18" s="7"/>
      <c r="VZU18" s="457" t="s">
        <v>14257</v>
      </c>
      <c r="VZV18" s="6"/>
      <c r="VZW18" s="6"/>
      <c r="VZX18" s="6"/>
      <c r="VZY18" s="6"/>
      <c r="VZZ18" s="6"/>
      <c r="WAA18" s="6"/>
      <c r="WAB18" s="6"/>
      <c r="WAC18" s="6"/>
      <c r="WAD18" s="6"/>
      <c r="WAE18" s="6"/>
      <c r="WAF18" s="6"/>
      <c r="WAG18" s="6"/>
      <c r="WAH18" s="6"/>
      <c r="WAI18" s="6"/>
      <c r="WAJ18" s="7"/>
      <c r="WAK18" s="457" t="s">
        <v>14257</v>
      </c>
      <c r="WAL18" s="6"/>
      <c r="WAM18" s="6"/>
      <c r="WAN18" s="6"/>
      <c r="WAO18" s="6"/>
      <c r="WAP18" s="6"/>
      <c r="WAQ18" s="6"/>
      <c r="WAR18" s="6"/>
      <c r="WAS18" s="6"/>
      <c r="WAT18" s="6"/>
      <c r="WAU18" s="6"/>
      <c r="WAV18" s="6"/>
      <c r="WAW18" s="6"/>
      <c r="WAX18" s="6"/>
      <c r="WAY18" s="6"/>
      <c r="WAZ18" s="7"/>
      <c r="WBA18" s="457" t="s">
        <v>14257</v>
      </c>
      <c r="WBB18" s="6"/>
      <c r="WBC18" s="6"/>
      <c r="WBD18" s="6"/>
      <c r="WBE18" s="6"/>
      <c r="WBF18" s="6"/>
      <c r="WBG18" s="6"/>
      <c r="WBH18" s="6"/>
      <c r="WBI18" s="6"/>
      <c r="WBJ18" s="6"/>
      <c r="WBK18" s="6"/>
      <c r="WBL18" s="6"/>
      <c r="WBM18" s="6"/>
      <c r="WBN18" s="6"/>
      <c r="WBO18" s="6"/>
      <c r="WBP18" s="7"/>
      <c r="WBQ18" s="457" t="s">
        <v>14257</v>
      </c>
      <c r="WBR18" s="6"/>
      <c r="WBS18" s="6"/>
      <c r="WBT18" s="6"/>
      <c r="WBU18" s="6"/>
      <c r="WBV18" s="6"/>
      <c r="WBW18" s="6"/>
      <c r="WBX18" s="6"/>
      <c r="WBY18" s="6"/>
      <c r="WBZ18" s="6"/>
      <c r="WCA18" s="6"/>
      <c r="WCB18" s="6"/>
      <c r="WCC18" s="6"/>
      <c r="WCD18" s="6"/>
      <c r="WCE18" s="6"/>
      <c r="WCF18" s="7"/>
      <c r="WCG18" s="457" t="s">
        <v>14257</v>
      </c>
      <c r="WCH18" s="6"/>
      <c r="WCI18" s="6"/>
      <c r="WCJ18" s="6"/>
      <c r="WCK18" s="6"/>
      <c r="WCL18" s="6"/>
      <c r="WCM18" s="6"/>
      <c r="WCN18" s="6"/>
      <c r="WCO18" s="6"/>
      <c r="WCP18" s="6"/>
      <c r="WCQ18" s="6"/>
      <c r="WCR18" s="6"/>
      <c r="WCS18" s="6"/>
      <c r="WCT18" s="6"/>
      <c r="WCU18" s="6"/>
      <c r="WCV18" s="7"/>
      <c r="WCW18" s="457" t="s">
        <v>14257</v>
      </c>
      <c r="WCX18" s="6"/>
      <c r="WCY18" s="6"/>
      <c r="WCZ18" s="6"/>
      <c r="WDA18" s="6"/>
      <c r="WDB18" s="6"/>
      <c r="WDC18" s="6"/>
      <c r="WDD18" s="6"/>
      <c r="WDE18" s="6"/>
      <c r="WDF18" s="6"/>
      <c r="WDG18" s="6"/>
      <c r="WDH18" s="6"/>
      <c r="WDI18" s="6"/>
      <c r="WDJ18" s="6"/>
      <c r="WDK18" s="6"/>
      <c r="WDL18" s="7"/>
      <c r="WDM18" s="457" t="s">
        <v>14257</v>
      </c>
      <c r="WDN18" s="6"/>
      <c r="WDO18" s="6"/>
      <c r="WDP18" s="6"/>
      <c r="WDQ18" s="6"/>
      <c r="WDR18" s="6"/>
      <c r="WDS18" s="6"/>
      <c r="WDT18" s="6"/>
      <c r="WDU18" s="6"/>
      <c r="WDV18" s="6"/>
      <c r="WDW18" s="6"/>
      <c r="WDX18" s="6"/>
      <c r="WDY18" s="6"/>
      <c r="WDZ18" s="6"/>
      <c r="WEA18" s="6"/>
      <c r="WEB18" s="7"/>
      <c r="WEC18" s="457" t="s">
        <v>14257</v>
      </c>
      <c r="WED18" s="6"/>
      <c r="WEE18" s="6"/>
      <c r="WEF18" s="6"/>
      <c r="WEG18" s="6"/>
      <c r="WEH18" s="6"/>
      <c r="WEI18" s="6"/>
      <c r="WEJ18" s="6"/>
      <c r="WEK18" s="6"/>
      <c r="WEL18" s="6"/>
      <c r="WEM18" s="6"/>
      <c r="WEN18" s="6"/>
      <c r="WEO18" s="6"/>
      <c r="WEP18" s="6"/>
      <c r="WEQ18" s="6"/>
      <c r="WER18" s="7"/>
      <c r="WES18" s="457" t="s">
        <v>14257</v>
      </c>
      <c r="WET18" s="6"/>
      <c r="WEU18" s="6"/>
      <c r="WEV18" s="6"/>
      <c r="WEW18" s="6"/>
      <c r="WEX18" s="6"/>
      <c r="WEY18" s="6"/>
      <c r="WEZ18" s="6"/>
      <c r="WFA18" s="6"/>
      <c r="WFB18" s="6"/>
      <c r="WFC18" s="6"/>
      <c r="WFD18" s="6"/>
      <c r="WFE18" s="6"/>
      <c r="WFF18" s="6"/>
      <c r="WFG18" s="6"/>
      <c r="WFH18" s="7"/>
      <c r="WFI18" s="457" t="s">
        <v>14257</v>
      </c>
      <c r="WFJ18" s="6"/>
      <c r="WFK18" s="6"/>
      <c r="WFL18" s="6"/>
      <c r="WFM18" s="6"/>
      <c r="WFN18" s="6"/>
      <c r="WFO18" s="6"/>
      <c r="WFP18" s="6"/>
      <c r="WFQ18" s="6"/>
      <c r="WFR18" s="6"/>
      <c r="WFS18" s="6"/>
      <c r="WFT18" s="6"/>
      <c r="WFU18" s="6"/>
      <c r="WFV18" s="6"/>
      <c r="WFW18" s="6"/>
      <c r="WFX18" s="7"/>
      <c r="WFY18" s="457" t="s">
        <v>14257</v>
      </c>
      <c r="WFZ18" s="6"/>
      <c r="WGA18" s="6"/>
      <c r="WGB18" s="6"/>
      <c r="WGC18" s="6"/>
      <c r="WGD18" s="6"/>
      <c r="WGE18" s="6"/>
      <c r="WGF18" s="6"/>
      <c r="WGG18" s="6"/>
      <c r="WGH18" s="6"/>
      <c r="WGI18" s="6"/>
      <c r="WGJ18" s="6"/>
      <c r="WGK18" s="6"/>
      <c r="WGL18" s="6"/>
      <c r="WGM18" s="6"/>
      <c r="WGN18" s="7"/>
      <c r="WGO18" s="457" t="s">
        <v>14257</v>
      </c>
      <c r="WGP18" s="6"/>
      <c r="WGQ18" s="6"/>
      <c r="WGR18" s="6"/>
      <c r="WGS18" s="6"/>
      <c r="WGT18" s="6"/>
      <c r="WGU18" s="6"/>
      <c r="WGV18" s="6"/>
      <c r="WGW18" s="6"/>
      <c r="WGX18" s="6"/>
      <c r="WGY18" s="6"/>
      <c r="WGZ18" s="6"/>
      <c r="WHA18" s="6"/>
      <c r="WHB18" s="6"/>
      <c r="WHC18" s="6"/>
      <c r="WHD18" s="7"/>
      <c r="WHE18" s="457" t="s">
        <v>14257</v>
      </c>
      <c r="WHF18" s="6"/>
      <c r="WHG18" s="6"/>
      <c r="WHH18" s="6"/>
      <c r="WHI18" s="6"/>
      <c r="WHJ18" s="6"/>
      <c r="WHK18" s="6"/>
      <c r="WHL18" s="6"/>
      <c r="WHM18" s="6"/>
      <c r="WHN18" s="6"/>
      <c r="WHO18" s="6"/>
      <c r="WHP18" s="6"/>
      <c r="WHQ18" s="6"/>
      <c r="WHR18" s="6"/>
      <c r="WHS18" s="6"/>
      <c r="WHT18" s="7"/>
      <c r="WHU18" s="457" t="s">
        <v>14257</v>
      </c>
      <c r="WHV18" s="6"/>
      <c r="WHW18" s="6"/>
      <c r="WHX18" s="6"/>
      <c r="WHY18" s="6"/>
      <c r="WHZ18" s="6"/>
      <c r="WIA18" s="6"/>
      <c r="WIB18" s="6"/>
      <c r="WIC18" s="6"/>
      <c r="WID18" s="6"/>
      <c r="WIE18" s="6"/>
      <c r="WIF18" s="6"/>
      <c r="WIG18" s="6"/>
      <c r="WIH18" s="6"/>
      <c r="WII18" s="6"/>
      <c r="WIJ18" s="7"/>
      <c r="WIK18" s="457" t="s">
        <v>14257</v>
      </c>
      <c r="WIL18" s="6"/>
      <c r="WIM18" s="6"/>
      <c r="WIN18" s="6"/>
      <c r="WIO18" s="6"/>
      <c r="WIP18" s="6"/>
      <c r="WIQ18" s="6"/>
      <c r="WIR18" s="6"/>
      <c r="WIS18" s="6"/>
      <c r="WIT18" s="6"/>
      <c r="WIU18" s="6"/>
      <c r="WIV18" s="6"/>
      <c r="WIW18" s="6"/>
      <c r="WIX18" s="6"/>
      <c r="WIY18" s="6"/>
      <c r="WIZ18" s="7"/>
      <c r="WJA18" s="457" t="s">
        <v>14257</v>
      </c>
      <c r="WJB18" s="6"/>
      <c r="WJC18" s="6"/>
      <c r="WJD18" s="6"/>
      <c r="WJE18" s="6"/>
      <c r="WJF18" s="6"/>
      <c r="WJG18" s="6"/>
      <c r="WJH18" s="6"/>
      <c r="WJI18" s="6"/>
      <c r="WJJ18" s="6"/>
      <c r="WJK18" s="6"/>
      <c r="WJL18" s="6"/>
      <c r="WJM18" s="6"/>
      <c r="WJN18" s="6"/>
      <c r="WJO18" s="6"/>
      <c r="WJP18" s="7"/>
      <c r="WJQ18" s="457" t="s">
        <v>14257</v>
      </c>
      <c r="WJR18" s="6"/>
      <c r="WJS18" s="6"/>
      <c r="WJT18" s="6"/>
      <c r="WJU18" s="6"/>
      <c r="WJV18" s="6"/>
      <c r="WJW18" s="6"/>
      <c r="WJX18" s="6"/>
      <c r="WJY18" s="6"/>
      <c r="WJZ18" s="6"/>
      <c r="WKA18" s="6"/>
      <c r="WKB18" s="6"/>
      <c r="WKC18" s="6"/>
      <c r="WKD18" s="6"/>
      <c r="WKE18" s="6"/>
      <c r="WKF18" s="7"/>
      <c r="WKG18" s="457" t="s">
        <v>14257</v>
      </c>
      <c r="WKH18" s="6"/>
      <c r="WKI18" s="6"/>
      <c r="WKJ18" s="6"/>
      <c r="WKK18" s="6"/>
      <c r="WKL18" s="6"/>
      <c r="WKM18" s="6"/>
      <c r="WKN18" s="6"/>
      <c r="WKO18" s="6"/>
      <c r="WKP18" s="6"/>
      <c r="WKQ18" s="6"/>
      <c r="WKR18" s="6"/>
      <c r="WKS18" s="6"/>
      <c r="WKT18" s="6"/>
      <c r="WKU18" s="6"/>
      <c r="WKV18" s="7"/>
      <c r="WKW18" s="457" t="s">
        <v>14257</v>
      </c>
      <c r="WKX18" s="6"/>
      <c r="WKY18" s="6"/>
      <c r="WKZ18" s="6"/>
      <c r="WLA18" s="6"/>
      <c r="WLB18" s="6"/>
      <c r="WLC18" s="6"/>
      <c r="WLD18" s="6"/>
      <c r="WLE18" s="6"/>
      <c r="WLF18" s="6"/>
      <c r="WLG18" s="6"/>
      <c r="WLH18" s="6"/>
      <c r="WLI18" s="6"/>
      <c r="WLJ18" s="6"/>
      <c r="WLK18" s="6"/>
      <c r="WLL18" s="7"/>
      <c r="WLM18" s="457" t="s">
        <v>14257</v>
      </c>
      <c r="WLN18" s="6"/>
      <c r="WLO18" s="6"/>
      <c r="WLP18" s="6"/>
      <c r="WLQ18" s="6"/>
      <c r="WLR18" s="6"/>
      <c r="WLS18" s="6"/>
      <c r="WLT18" s="6"/>
      <c r="WLU18" s="6"/>
      <c r="WLV18" s="6"/>
      <c r="WLW18" s="6"/>
      <c r="WLX18" s="6"/>
      <c r="WLY18" s="6"/>
      <c r="WLZ18" s="6"/>
      <c r="WMA18" s="6"/>
      <c r="WMB18" s="7"/>
      <c r="WMC18" s="457" t="s">
        <v>14257</v>
      </c>
      <c r="WMD18" s="6"/>
      <c r="WME18" s="6"/>
      <c r="WMF18" s="6"/>
      <c r="WMG18" s="6"/>
      <c r="WMH18" s="6"/>
      <c r="WMI18" s="6"/>
      <c r="WMJ18" s="6"/>
      <c r="WMK18" s="6"/>
      <c r="WML18" s="6"/>
      <c r="WMM18" s="6"/>
      <c r="WMN18" s="6"/>
      <c r="WMO18" s="6"/>
      <c r="WMP18" s="6"/>
      <c r="WMQ18" s="6"/>
      <c r="WMR18" s="7"/>
      <c r="WMS18" s="457" t="s">
        <v>14257</v>
      </c>
      <c r="WMT18" s="6"/>
      <c r="WMU18" s="6"/>
      <c r="WMV18" s="6"/>
      <c r="WMW18" s="6"/>
      <c r="WMX18" s="6"/>
      <c r="WMY18" s="6"/>
      <c r="WMZ18" s="6"/>
      <c r="WNA18" s="6"/>
      <c r="WNB18" s="6"/>
      <c r="WNC18" s="6"/>
      <c r="WND18" s="6"/>
      <c r="WNE18" s="6"/>
      <c r="WNF18" s="6"/>
      <c r="WNG18" s="6"/>
      <c r="WNH18" s="7"/>
      <c r="WNI18" s="457" t="s">
        <v>14257</v>
      </c>
      <c r="WNJ18" s="6"/>
      <c r="WNK18" s="6"/>
      <c r="WNL18" s="6"/>
      <c r="WNM18" s="6"/>
      <c r="WNN18" s="6"/>
      <c r="WNO18" s="6"/>
      <c r="WNP18" s="6"/>
      <c r="WNQ18" s="6"/>
      <c r="WNR18" s="6"/>
      <c r="WNS18" s="6"/>
      <c r="WNT18" s="6"/>
      <c r="WNU18" s="6"/>
      <c r="WNV18" s="6"/>
      <c r="WNW18" s="6"/>
      <c r="WNX18" s="7"/>
      <c r="WNY18" s="457" t="s">
        <v>14257</v>
      </c>
      <c r="WNZ18" s="6"/>
      <c r="WOA18" s="6"/>
      <c r="WOB18" s="6"/>
      <c r="WOC18" s="6"/>
      <c r="WOD18" s="6"/>
      <c r="WOE18" s="6"/>
      <c r="WOF18" s="6"/>
      <c r="WOG18" s="6"/>
      <c r="WOH18" s="6"/>
      <c r="WOI18" s="6"/>
      <c r="WOJ18" s="6"/>
      <c r="WOK18" s="6"/>
      <c r="WOL18" s="6"/>
      <c r="WOM18" s="6"/>
      <c r="WON18" s="7"/>
      <c r="WOO18" s="457" t="s">
        <v>14257</v>
      </c>
      <c r="WOP18" s="6"/>
      <c r="WOQ18" s="6"/>
      <c r="WOR18" s="6"/>
      <c r="WOS18" s="6"/>
      <c r="WOT18" s="6"/>
      <c r="WOU18" s="6"/>
      <c r="WOV18" s="6"/>
      <c r="WOW18" s="6"/>
      <c r="WOX18" s="6"/>
      <c r="WOY18" s="6"/>
      <c r="WOZ18" s="6"/>
      <c r="WPA18" s="6"/>
      <c r="WPB18" s="6"/>
      <c r="WPC18" s="6"/>
      <c r="WPD18" s="7"/>
      <c r="WPE18" s="457" t="s">
        <v>14257</v>
      </c>
      <c r="WPF18" s="6"/>
      <c r="WPG18" s="6"/>
      <c r="WPH18" s="6"/>
      <c r="WPI18" s="6"/>
      <c r="WPJ18" s="6"/>
      <c r="WPK18" s="6"/>
      <c r="WPL18" s="6"/>
      <c r="WPM18" s="6"/>
      <c r="WPN18" s="6"/>
      <c r="WPO18" s="6"/>
      <c r="WPP18" s="6"/>
      <c r="WPQ18" s="6"/>
      <c r="WPR18" s="6"/>
      <c r="WPS18" s="6"/>
      <c r="WPT18" s="7"/>
      <c r="WPU18" s="457" t="s">
        <v>14257</v>
      </c>
      <c r="WPV18" s="6"/>
      <c r="WPW18" s="6"/>
      <c r="WPX18" s="6"/>
      <c r="WPY18" s="6"/>
      <c r="WPZ18" s="6"/>
      <c r="WQA18" s="6"/>
      <c r="WQB18" s="6"/>
      <c r="WQC18" s="6"/>
      <c r="WQD18" s="6"/>
      <c r="WQE18" s="6"/>
      <c r="WQF18" s="6"/>
      <c r="WQG18" s="6"/>
      <c r="WQH18" s="6"/>
      <c r="WQI18" s="6"/>
      <c r="WQJ18" s="7"/>
      <c r="WQK18" s="457" t="s">
        <v>14257</v>
      </c>
      <c r="WQL18" s="6"/>
      <c r="WQM18" s="6"/>
      <c r="WQN18" s="6"/>
      <c r="WQO18" s="6"/>
      <c r="WQP18" s="6"/>
      <c r="WQQ18" s="6"/>
      <c r="WQR18" s="6"/>
      <c r="WQS18" s="6"/>
      <c r="WQT18" s="6"/>
      <c r="WQU18" s="6"/>
      <c r="WQV18" s="6"/>
      <c r="WQW18" s="6"/>
      <c r="WQX18" s="6"/>
      <c r="WQY18" s="6"/>
      <c r="WQZ18" s="7"/>
      <c r="WRA18" s="457" t="s">
        <v>14257</v>
      </c>
      <c r="WRB18" s="6"/>
      <c r="WRC18" s="6"/>
      <c r="WRD18" s="6"/>
      <c r="WRE18" s="6"/>
      <c r="WRF18" s="6"/>
      <c r="WRG18" s="6"/>
      <c r="WRH18" s="6"/>
      <c r="WRI18" s="6"/>
      <c r="WRJ18" s="6"/>
      <c r="WRK18" s="6"/>
      <c r="WRL18" s="6"/>
      <c r="WRM18" s="6"/>
      <c r="WRN18" s="6"/>
      <c r="WRO18" s="6"/>
      <c r="WRP18" s="7"/>
      <c r="WRQ18" s="457" t="s">
        <v>14257</v>
      </c>
      <c r="WRR18" s="6"/>
      <c r="WRS18" s="6"/>
      <c r="WRT18" s="6"/>
      <c r="WRU18" s="6"/>
      <c r="WRV18" s="6"/>
      <c r="WRW18" s="6"/>
      <c r="WRX18" s="6"/>
      <c r="WRY18" s="6"/>
      <c r="WRZ18" s="6"/>
      <c r="WSA18" s="6"/>
      <c r="WSB18" s="6"/>
      <c r="WSC18" s="6"/>
      <c r="WSD18" s="6"/>
      <c r="WSE18" s="6"/>
      <c r="WSF18" s="7"/>
      <c r="WSG18" s="457" t="s">
        <v>14257</v>
      </c>
      <c r="WSH18" s="6"/>
      <c r="WSI18" s="6"/>
      <c r="WSJ18" s="6"/>
      <c r="WSK18" s="6"/>
      <c r="WSL18" s="6"/>
      <c r="WSM18" s="6"/>
      <c r="WSN18" s="6"/>
      <c r="WSO18" s="6"/>
      <c r="WSP18" s="6"/>
      <c r="WSQ18" s="6"/>
      <c r="WSR18" s="6"/>
      <c r="WSS18" s="6"/>
      <c r="WST18" s="6"/>
      <c r="WSU18" s="6"/>
      <c r="WSV18" s="7"/>
      <c r="WSW18" s="457" t="s">
        <v>14257</v>
      </c>
      <c r="WSX18" s="6"/>
      <c r="WSY18" s="6"/>
      <c r="WSZ18" s="6"/>
      <c r="WTA18" s="6"/>
      <c r="WTB18" s="6"/>
      <c r="WTC18" s="6"/>
      <c r="WTD18" s="6"/>
      <c r="WTE18" s="6"/>
      <c r="WTF18" s="6"/>
      <c r="WTG18" s="6"/>
      <c r="WTH18" s="6"/>
      <c r="WTI18" s="6"/>
      <c r="WTJ18" s="6"/>
      <c r="WTK18" s="6"/>
      <c r="WTL18" s="7"/>
      <c r="WTM18" s="457" t="s">
        <v>14257</v>
      </c>
      <c r="WTN18" s="6"/>
      <c r="WTO18" s="6"/>
      <c r="WTP18" s="6"/>
      <c r="WTQ18" s="6"/>
      <c r="WTR18" s="6"/>
      <c r="WTS18" s="6"/>
      <c r="WTT18" s="6"/>
      <c r="WTU18" s="6"/>
      <c r="WTV18" s="6"/>
      <c r="WTW18" s="6"/>
      <c r="WTX18" s="6"/>
      <c r="WTY18" s="6"/>
      <c r="WTZ18" s="6"/>
      <c r="WUA18" s="6"/>
      <c r="WUB18" s="7"/>
      <c r="WUC18" s="457" t="s">
        <v>14257</v>
      </c>
      <c r="WUD18" s="6"/>
      <c r="WUE18" s="6"/>
      <c r="WUF18" s="6"/>
      <c r="WUG18" s="6"/>
      <c r="WUH18" s="6"/>
      <c r="WUI18" s="6"/>
      <c r="WUJ18" s="6"/>
      <c r="WUK18" s="6"/>
      <c r="WUL18" s="6"/>
      <c r="WUM18" s="6"/>
      <c r="WUN18" s="6"/>
      <c r="WUO18" s="6"/>
      <c r="WUP18" s="6"/>
      <c r="WUQ18" s="6"/>
      <c r="WUR18" s="7"/>
      <c r="WUS18" s="457" t="s">
        <v>14257</v>
      </c>
      <c r="WUT18" s="6"/>
      <c r="WUU18" s="6"/>
      <c r="WUV18" s="6"/>
      <c r="WUW18" s="6"/>
      <c r="WUX18" s="6"/>
      <c r="WUY18" s="6"/>
      <c r="WUZ18" s="6"/>
      <c r="WVA18" s="6"/>
      <c r="WVB18" s="6"/>
      <c r="WVC18" s="6"/>
      <c r="WVD18" s="6"/>
      <c r="WVE18" s="6"/>
      <c r="WVF18" s="6"/>
      <c r="WVG18" s="6"/>
      <c r="WVH18" s="7"/>
      <c r="WVI18" s="457" t="s">
        <v>14257</v>
      </c>
      <c r="WVJ18" s="6"/>
      <c r="WVK18" s="6"/>
      <c r="WVL18" s="6"/>
      <c r="WVM18" s="6"/>
      <c r="WVN18" s="6"/>
      <c r="WVO18" s="6"/>
      <c r="WVP18" s="6"/>
      <c r="WVQ18" s="6"/>
      <c r="WVR18" s="6"/>
      <c r="WVS18" s="6"/>
      <c r="WVT18" s="6"/>
      <c r="WVU18" s="6"/>
      <c r="WVV18" s="6"/>
      <c r="WVW18" s="6"/>
      <c r="WVX18" s="7"/>
      <c r="WVY18" s="457" t="s">
        <v>14257</v>
      </c>
      <c r="WVZ18" s="6"/>
      <c r="WWA18" s="6"/>
      <c r="WWB18" s="6"/>
      <c r="WWC18" s="6"/>
      <c r="WWD18" s="6"/>
      <c r="WWE18" s="6"/>
      <c r="WWF18" s="6"/>
      <c r="WWG18" s="6"/>
      <c r="WWH18" s="6"/>
      <c r="WWI18" s="6"/>
      <c r="WWJ18" s="6"/>
      <c r="WWK18" s="6"/>
      <c r="WWL18" s="6"/>
      <c r="WWM18" s="6"/>
      <c r="WWN18" s="7"/>
      <c r="WWO18" s="457" t="s">
        <v>14257</v>
      </c>
      <c r="WWP18" s="6"/>
      <c r="WWQ18" s="6"/>
      <c r="WWR18" s="6"/>
      <c r="WWS18" s="6"/>
      <c r="WWT18" s="6"/>
      <c r="WWU18" s="6"/>
      <c r="WWV18" s="6"/>
      <c r="WWW18" s="6"/>
      <c r="WWX18" s="6"/>
      <c r="WWY18" s="6"/>
      <c r="WWZ18" s="6"/>
      <c r="WXA18" s="6"/>
      <c r="WXB18" s="6"/>
      <c r="WXC18" s="6"/>
      <c r="WXD18" s="7"/>
      <c r="WXE18" s="457" t="s">
        <v>14257</v>
      </c>
      <c r="WXF18" s="6"/>
      <c r="WXG18" s="6"/>
      <c r="WXH18" s="6"/>
      <c r="WXI18" s="6"/>
      <c r="WXJ18" s="6"/>
      <c r="WXK18" s="6"/>
      <c r="WXL18" s="6"/>
      <c r="WXM18" s="6"/>
      <c r="WXN18" s="6"/>
      <c r="WXO18" s="6"/>
      <c r="WXP18" s="6"/>
      <c r="WXQ18" s="6"/>
      <c r="WXR18" s="6"/>
      <c r="WXS18" s="6"/>
      <c r="WXT18" s="7"/>
      <c r="WXU18" s="457" t="s">
        <v>14257</v>
      </c>
      <c r="WXV18" s="6"/>
      <c r="WXW18" s="6"/>
      <c r="WXX18" s="6"/>
      <c r="WXY18" s="6"/>
      <c r="WXZ18" s="6"/>
      <c r="WYA18" s="6"/>
      <c r="WYB18" s="6"/>
      <c r="WYC18" s="6"/>
      <c r="WYD18" s="6"/>
      <c r="WYE18" s="6"/>
      <c r="WYF18" s="6"/>
      <c r="WYG18" s="6"/>
      <c r="WYH18" s="6"/>
      <c r="WYI18" s="6"/>
      <c r="WYJ18" s="7"/>
      <c r="WYK18" s="457" t="s">
        <v>14257</v>
      </c>
      <c r="WYL18" s="6"/>
      <c r="WYM18" s="6"/>
      <c r="WYN18" s="6"/>
      <c r="WYO18" s="6"/>
      <c r="WYP18" s="6"/>
      <c r="WYQ18" s="6"/>
      <c r="WYR18" s="6"/>
      <c r="WYS18" s="6"/>
      <c r="WYT18" s="6"/>
      <c r="WYU18" s="6"/>
      <c r="WYV18" s="6"/>
      <c r="WYW18" s="6"/>
      <c r="WYX18" s="6"/>
      <c r="WYY18" s="6"/>
      <c r="WYZ18" s="7"/>
      <c r="WZA18" s="457" t="s">
        <v>14257</v>
      </c>
      <c r="WZB18" s="6"/>
      <c r="WZC18" s="6"/>
      <c r="WZD18" s="6"/>
      <c r="WZE18" s="6"/>
      <c r="WZF18" s="6"/>
      <c r="WZG18" s="6"/>
      <c r="WZH18" s="6"/>
      <c r="WZI18" s="6"/>
      <c r="WZJ18" s="6"/>
      <c r="WZK18" s="6"/>
      <c r="WZL18" s="6"/>
      <c r="WZM18" s="6"/>
      <c r="WZN18" s="6"/>
      <c r="WZO18" s="6"/>
      <c r="WZP18" s="7"/>
      <c r="WZQ18" s="457" t="s">
        <v>14257</v>
      </c>
      <c r="WZR18" s="6"/>
      <c r="WZS18" s="6"/>
      <c r="WZT18" s="6"/>
      <c r="WZU18" s="6"/>
      <c r="WZV18" s="6"/>
      <c r="WZW18" s="6"/>
      <c r="WZX18" s="6"/>
      <c r="WZY18" s="6"/>
      <c r="WZZ18" s="6"/>
      <c r="XAA18" s="6"/>
      <c r="XAB18" s="6"/>
      <c r="XAC18" s="6"/>
      <c r="XAD18" s="6"/>
      <c r="XAE18" s="6"/>
      <c r="XAF18" s="7"/>
      <c r="XAG18" s="457" t="s">
        <v>14257</v>
      </c>
      <c r="XAH18" s="6"/>
      <c r="XAI18" s="6"/>
      <c r="XAJ18" s="6"/>
      <c r="XAK18" s="6"/>
      <c r="XAL18" s="6"/>
      <c r="XAM18" s="6"/>
      <c r="XAN18" s="6"/>
      <c r="XAO18" s="6"/>
      <c r="XAP18" s="6"/>
      <c r="XAQ18" s="6"/>
      <c r="XAR18" s="6"/>
      <c r="XAS18" s="6"/>
      <c r="XAT18" s="6"/>
      <c r="XAU18" s="6"/>
      <c r="XAV18" s="7"/>
      <c r="XAW18" s="457" t="s">
        <v>14257</v>
      </c>
      <c r="XAX18" s="6"/>
      <c r="XAY18" s="6"/>
      <c r="XAZ18" s="6"/>
      <c r="XBA18" s="6"/>
      <c r="XBB18" s="6"/>
      <c r="XBC18" s="6"/>
      <c r="XBD18" s="6"/>
      <c r="XBE18" s="6"/>
      <c r="XBF18" s="6"/>
      <c r="XBG18" s="6"/>
      <c r="XBH18" s="6"/>
      <c r="XBI18" s="6"/>
      <c r="XBJ18" s="6"/>
      <c r="XBK18" s="6"/>
      <c r="XBL18" s="7"/>
      <c r="XBM18" s="457" t="s">
        <v>14257</v>
      </c>
      <c r="XBN18" s="6"/>
      <c r="XBO18" s="6"/>
      <c r="XBP18" s="6"/>
      <c r="XBQ18" s="6"/>
      <c r="XBR18" s="6"/>
      <c r="XBS18" s="6"/>
      <c r="XBT18" s="6"/>
      <c r="XBU18" s="6"/>
      <c r="XBV18" s="6"/>
      <c r="XBW18" s="6"/>
      <c r="XBX18" s="6"/>
      <c r="XBY18" s="6"/>
      <c r="XBZ18" s="6"/>
      <c r="XCA18" s="6"/>
      <c r="XCB18" s="7"/>
      <c r="XCC18" s="457" t="s">
        <v>14257</v>
      </c>
      <c r="XCD18" s="6"/>
      <c r="XCE18" s="6"/>
      <c r="XCF18" s="6"/>
      <c r="XCG18" s="6"/>
      <c r="XCH18" s="6"/>
      <c r="XCI18" s="6"/>
      <c r="XCJ18" s="6"/>
      <c r="XCK18" s="6"/>
      <c r="XCL18" s="6"/>
      <c r="XCM18" s="6"/>
      <c r="XCN18" s="6"/>
      <c r="XCO18" s="6"/>
      <c r="XCP18" s="6"/>
      <c r="XCQ18" s="6"/>
      <c r="XCR18" s="7"/>
      <c r="XCS18" s="457" t="s">
        <v>14257</v>
      </c>
      <c r="XCT18" s="6"/>
      <c r="XCU18" s="6"/>
      <c r="XCV18" s="6"/>
      <c r="XCW18" s="6"/>
      <c r="XCX18" s="6"/>
      <c r="XCY18" s="6"/>
      <c r="XCZ18" s="6"/>
      <c r="XDA18" s="6"/>
      <c r="XDB18" s="6"/>
      <c r="XDC18" s="6"/>
      <c r="XDD18" s="6"/>
      <c r="XDE18" s="6"/>
      <c r="XDF18" s="6"/>
      <c r="XDG18" s="6"/>
      <c r="XDH18" s="7"/>
      <c r="XDI18" s="457" t="s">
        <v>14257</v>
      </c>
      <c r="XDJ18" s="6"/>
      <c r="XDK18" s="6"/>
      <c r="XDL18" s="6"/>
      <c r="XDM18" s="6"/>
      <c r="XDN18" s="6"/>
      <c r="XDO18" s="6"/>
      <c r="XDP18" s="6"/>
      <c r="XDQ18" s="6"/>
      <c r="XDR18" s="6"/>
      <c r="XDS18" s="6"/>
      <c r="XDT18" s="6"/>
      <c r="XDU18" s="6"/>
      <c r="XDV18" s="6"/>
      <c r="XDW18" s="6"/>
      <c r="XDX18" s="7"/>
      <c r="XDY18" s="457" t="s">
        <v>14257</v>
      </c>
      <c r="XDZ18" s="6"/>
      <c r="XEA18" s="6"/>
      <c r="XEB18" s="6"/>
      <c r="XEC18" s="6"/>
      <c r="XED18" s="6"/>
      <c r="XEE18" s="6"/>
      <c r="XEF18" s="6"/>
      <c r="XEG18" s="6"/>
      <c r="XEH18" s="6"/>
      <c r="XEI18" s="6"/>
      <c r="XEJ18" s="6"/>
      <c r="XEK18" s="6"/>
      <c r="XEL18" s="6"/>
      <c r="XEM18" s="6"/>
      <c r="XEN18" s="7"/>
      <c r="XEO18" s="457" t="s">
        <v>14257</v>
      </c>
      <c r="XEP18" s="6"/>
      <c r="XEQ18" s="6"/>
      <c r="XER18" s="6"/>
      <c r="XES18" s="6"/>
      <c r="XET18" s="6"/>
      <c r="XEU18" s="6"/>
      <c r="XEV18" s="6"/>
      <c r="XEW18" s="6"/>
      <c r="XEX18" s="6"/>
      <c r="XEY18" s="6"/>
      <c r="XEZ18" s="6"/>
      <c r="XFA18" s="6"/>
      <c r="XFB18" s="6"/>
      <c r="XFC18" s="6"/>
      <c r="XFD18" s="7"/>
    </row>
    <row r="19">
      <c r="B19" s="327" t="s">
        <v>14150</v>
      </c>
      <c r="C19" s="457" t="s">
        <v>14151</v>
      </c>
      <c r="D19" s="6"/>
      <c r="E19" s="7"/>
      <c r="F19" s="458"/>
      <c r="G19" s="459"/>
      <c r="H19" s="7"/>
      <c r="I19" s="459"/>
      <c r="J19" s="6"/>
      <c r="K19" s="6"/>
      <c r="L19" s="7"/>
      <c r="M19" s="460"/>
      <c r="N19" s="461" t="s">
        <v>14152</v>
      </c>
      <c r="O19" s="461"/>
      <c r="P19" s="461"/>
      <c r="Q19" s="457"/>
      <c r="R19" s="471"/>
    </row>
    <row r="20">
      <c r="B20" s="321"/>
      <c r="C20" s="399"/>
      <c r="D20" s="458"/>
      <c r="E20" s="462"/>
      <c r="F20" s="458"/>
      <c r="G20" s="463"/>
      <c r="H20" s="7"/>
      <c r="I20" s="321"/>
      <c r="J20" s="321"/>
      <c r="K20" s="463"/>
      <c r="L20" s="7"/>
      <c r="M20" s="321"/>
      <c r="N20" s="321"/>
      <c r="O20" s="321"/>
      <c r="P20" s="321"/>
      <c r="Q20" s="540"/>
      <c r="R20" s="471"/>
    </row>
    <row r="21" ht="15.75" customHeight="1">
      <c r="B21" s="463"/>
      <c r="C21" s="7"/>
      <c r="D21" s="458"/>
      <c r="E21" s="463"/>
      <c r="F21" s="7"/>
      <c r="G21" s="321"/>
      <c r="H21" s="321"/>
      <c r="I21" s="321"/>
      <c r="J21" s="321"/>
      <c r="K21" s="321"/>
      <c r="L21" s="321"/>
      <c r="M21" s="321"/>
      <c r="N21" s="321"/>
      <c r="O21" s="321"/>
      <c r="P21" s="321"/>
      <c r="Q21" s="540"/>
      <c r="R21" s="471"/>
    </row>
    <row r="22" ht="15.75" customHeight="1">
      <c r="B22" s="321"/>
      <c r="C22" s="457" t="s">
        <v>15030</v>
      </c>
      <c r="D22" s="6"/>
      <c r="E22" s="7"/>
      <c r="F22" s="458"/>
      <c r="G22" s="457"/>
      <c r="H22" s="7"/>
      <c r="I22" s="457"/>
      <c r="J22" s="6"/>
      <c r="K22" s="6"/>
      <c r="L22" s="7"/>
      <c r="M22" s="457" t="s">
        <v>14154</v>
      </c>
      <c r="N22" s="6"/>
      <c r="O22" s="6"/>
      <c r="P22" s="6"/>
      <c r="Q22" s="7"/>
      <c r="R22" s="471"/>
    </row>
    <row r="23" ht="15.75" customHeight="1">
      <c r="B23" s="321"/>
      <c r="C23" s="457" t="s">
        <v>14155</v>
      </c>
      <c r="D23" s="6"/>
      <c r="E23" s="7"/>
      <c r="F23" s="458"/>
      <c r="G23" s="457"/>
      <c r="H23" s="7"/>
      <c r="I23" s="327"/>
      <c r="J23" s="457"/>
      <c r="K23" s="6"/>
      <c r="L23" s="7"/>
      <c r="M23" s="457" t="s">
        <v>14156</v>
      </c>
      <c r="N23" s="6"/>
      <c r="O23" s="6"/>
      <c r="P23" s="6"/>
      <c r="Q23" s="7"/>
      <c r="R23" s="471"/>
    </row>
  </sheetData>
  <mergeCells count="1046">
    <mergeCell ref="YW18:ZL18"/>
    <mergeCell ref="ZM18:AAB18"/>
    <mergeCell ref="AAC18:AAR18"/>
    <mergeCell ref="AAS18:ABH18"/>
    <mergeCell ref="ABI18:ABX18"/>
    <mergeCell ref="ABY18:ACN18"/>
    <mergeCell ref="ACO18:ADD18"/>
    <mergeCell ref="ADE18:ADT18"/>
    <mergeCell ref="ADU18:AEJ18"/>
    <mergeCell ref="AEK18:AEZ18"/>
    <mergeCell ref="AFA18:AFP18"/>
    <mergeCell ref="AFQ18:AGF18"/>
    <mergeCell ref="AGG18:AGV18"/>
    <mergeCell ref="AGW18:AHL18"/>
    <mergeCell ref="AHM18:AIB18"/>
    <mergeCell ref="AIC18:AIR18"/>
    <mergeCell ref="AIS18:AJH18"/>
    <mergeCell ref="AJI18:AJX18"/>
    <mergeCell ref="AJY18:AKN18"/>
    <mergeCell ref="AKO18:ALD18"/>
    <mergeCell ref="ALE18:ALT18"/>
    <mergeCell ref="ALU18:AMJ18"/>
    <mergeCell ref="AMK18:AMZ18"/>
    <mergeCell ref="ANA18:ANP18"/>
    <mergeCell ref="ANQ18:AOF18"/>
    <mergeCell ref="AOG18:AOV18"/>
    <mergeCell ref="AOW18:APL18"/>
    <mergeCell ref="APM18:AQB18"/>
    <mergeCell ref="AQC18:AQR18"/>
    <mergeCell ref="AQS18:ARH18"/>
    <mergeCell ref="ARI18:ARX18"/>
    <mergeCell ref="ARY18:ASN18"/>
    <mergeCell ref="ASO18:ATD18"/>
    <mergeCell ref="ATE18:ATT18"/>
    <mergeCell ref="ATU18:AUJ18"/>
    <mergeCell ref="AUK18:AUZ18"/>
    <mergeCell ref="AVA18:AVP18"/>
    <mergeCell ref="AVQ18:AWF18"/>
    <mergeCell ref="AWG18:AWV18"/>
    <mergeCell ref="AWW18:AXL18"/>
    <mergeCell ref="AXM18:AYB18"/>
    <mergeCell ref="AYC18:AYR18"/>
    <mergeCell ref="AYS18:AZH18"/>
    <mergeCell ref="AZI18:AZX18"/>
    <mergeCell ref="AZY18:BAN18"/>
    <mergeCell ref="BAO18:BBD18"/>
    <mergeCell ref="BBE18:BBT18"/>
    <mergeCell ref="BBU18:BCJ18"/>
    <mergeCell ref="BCK18:BCZ18"/>
    <mergeCell ref="BDA18:BDP18"/>
    <mergeCell ref="BDQ18:BEF18"/>
    <mergeCell ref="BEG18:BEV18"/>
    <mergeCell ref="BEW18:BFL18"/>
    <mergeCell ref="BFM18:BGB18"/>
    <mergeCell ref="BGC18:BGR18"/>
    <mergeCell ref="BGS18:BHH18"/>
    <mergeCell ref="BHI18:BHX18"/>
    <mergeCell ref="BHY18:BIN18"/>
    <mergeCell ref="BIO18:BJD18"/>
    <mergeCell ref="BJE18:BJT18"/>
    <mergeCell ref="BJU18:BKJ18"/>
    <mergeCell ref="BKK18:BKZ18"/>
    <mergeCell ref="BLA18:BLP18"/>
    <mergeCell ref="BLQ18:BMF18"/>
    <mergeCell ref="BMG18:BMV18"/>
    <mergeCell ref="BMW18:BNL18"/>
    <mergeCell ref="BNM18:BOB18"/>
    <mergeCell ref="BOC18:BOR18"/>
    <mergeCell ref="BOS18:BPH18"/>
    <mergeCell ref="BPI18:BPX18"/>
    <mergeCell ref="BPY18:BQN18"/>
    <mergeCell ref="BQO18:BRD18"/>
    <mergeCell ref="BRE18:BRT18"/>
    <mergeCell ref="BRU18:BSJ18"/>
    <mergeCell ref="BSK18:BSZ18"/>
    <mergeCell ref="BTA18:BTP18"/>
    <mergeCell ref="BTQ18:BUF18"/>
    <mergeCell ref="BUG18:BUV18"/>
    <mergeCell ref="BUW18:BVL18"/>
    <mergeCell ref="BVM18:BWB18"/>
    <mergeCell ref="BWC18:BWR18"/>
    <mergeCell ref="BWS18:BXH18"/>
    <mergeCell ref="BXI18:BXX18"/>
    <mergeCell ref="BXY18:BYN18"/>
    <mergeCell ref="BYO18:BZD18"/>
    <mergeCell ref="BZE18:BZT18"/>
    <mergeCell ref="BZU18:CAJ18"/>
    <mergeCell ref="CAK18:CAZ18"/>
    <mergeCell ref="CBA18:CBP18"/>
    <mergeCell ref="CBQ18:CCF18"/>
    <mergeCell ref="CCG18:CCV18"/>
    <mergeCell ref="CCW18:CDL18"/>
    <mergeCell ref="CDM18:CEB18"/>
    <mergeCell ref="CEC18:CER18"/>
    <mergeCell ref="CES18:CFH18"/>
    <mergeCell ref="CFI18:CFX18"/>
    <mergeCell ref="CFY18:CGN18"/>
    <mergeCell ref="CGO18:CHD18"/>
    <mergeCell ref="CHE18:CHT18"/>
    <mergeCell ref="CHU18:CIJ18"/>
    <mergeCell ref="CIK18:CIZ18"/>
    <mergeCell ref="CJA18:CJP18"/>
    <mergeCell ref="CJQ18:CKF18"/>
    <mergeCell ref="CKG18:CKV18"/>
    <mergeCell ref="CKW18:CLL18"/>
    <mergeCell ref="CLM18:CMB18"/>
    <mergeCell ref="CMC18:CMR18"/>
    <mergeCell ref="CMS18:CNH18"/>
    <mergeCell ref="CNI18:CNX18"/>
    <mergeCell ref="CNY18:CON18"/>
    <mergeCell ref="COO18:CPD18"/>
    <mergeCell ref="CPE18:CPT18"/>
    <mergeCell ref="CPU18:CQJ18"/>
    <mergeCell ref="CQK18:CQZ18"/>
    <mergeCell ref="CRA18:CRP18"/>
    <mergeCell ref="CRQ18:CSF18"/>
    <mergeCell ref="CSG18:CSV18"/>
    <mergeCell ref="CSW18:CTL18"/>
    <mergeCell ref="CTM18:CUB18"/>
    <mergeCell ref="CUC18:CUR18"/>
    <mergeCell ref="CUS18:CVH18"/>
    <mergeCell ref="CVI18:CVX18"/>
    <mergeCell ref="CVY18:CWN18"/>
    <mergeCell ref="CWO18:CXD18"/>
    <mergeCell ref="CXE18:CXT18"/>
    <mergeCell ref="CXU18:CYJ18"/>
    <mergeCell ref="CYK18:CYZ18"/>
    <mergeCell ref="CZA18:CZP18"/>
    <mergeCell ref="CZQ18:DAF18"/>
    <mergeCell ref="DAG18:DAV18"/>
    <mergeCell ref="DAW18:DBL18"/>
    <mergeCell ref="DBM18:DCB18"/>
    <mergeCell ref="DCC18:DCR18"/>
    <mergeCell ref="DCS18:DDH18"/>
    <mergeCell ref="DDI18:DDX18"/>
    <mergeCell ref="DDY18:DEN18"/>
    <mergeCell ref="DEO18:DFD18"/>
    <mergeCell ref="DFE18:DFT18"/>
    <mergeCell ref="DFU18:DGJ18"/>
    <mergeCell ref="DGK18:DGZ18"/>
    <mergeCell ref="DHA18:DHP18"/>
    <mergeCell ref="DHQ18:DIF18"/>
    <mergeCell ref="DIG18:DIV18"/>
    <mergeCell ref="DIW18:DJL18"/>
    <mergeCell ref="DJM18:DKB18"/>
    <mergeCell ref="DKC18:DKR18"/>
    <mergeCell ref="DKS18:DLH18"/>
    <mergeCell ref="DLI18:DLX18"/>
    <mergeCell ref="DLY18:DMN18"/>
    <mergeCell ref="DMO18:DND18"/>
    <mergeCell ref="DNE18:DNT18"/>
    <mergeCell ref="DNU18:DOJ18"/>
    <mergeCell ref="DOK18:DOZ18"/>
    <mergeCell ref="DPA18:DPP18"/>
    <mergeCell ref="DPQ18:DQF18"/>
    <mergeCell ref="DQG18:DQV18"/>
    <mergeCell ref="DQW18:DRL18"/>
    <mergeCell ref="DRM18:DSB18"/>
    <mergeCell ref="DSC18:DSR18"/>
    <mergeCell ref="DSS18:DTH18"/>
    <mergeCell ref="DTI18:DTX18"/>
    <mergeCell ref="DTY18:DUN18"/>
    <mergeCell ref="DUO18:DVD18"/>
    <mergeCell ref="DVE18:DVT18"/>
    <mergeCell ref="DVU18:DWJ18"/>
    <mergeCell ref="DWK18:DWZ18"/>
    <mergeCell ref="DXA18:DXP18"/>
    <mergeCell ref="DXQ18:DYF18"/>
    <mergeCell ref="DYG18:DYV18"/>
    <mergeCell ref="DYW18:DZL18"/>
    <mergeCell ref="DZM18:EAB18"/>
    <mergeCell ref="EAC18:EAR18"/>
    <mergeCell ref="EAS18:EBH18"/>
    <mergeCell ref="EBI18:EBX18"/>
    <mergeCell ref="EBY18:ECN18"/>
    <mergeCell ref="ECO18:EDD18"/>
    <mergeCell ref="EDE18:EDT18"/>
    <mergeCell ref="EDU18:EEJ18"/>
    <mergeCell ref="EEK18:EEZ18"/>
    <mergeCell ref="EFA18:EFP18"/>
    <mergeCell ref="EFQ18:EGF18"/>
    <mergeCell ref="EGG18:EGV18"/>
    <mergeCell ref="EGW18:EHL18"/>
    <mergeCell ref="EHM18:EIB18"/>
    <mergeCell ref="EIC18:EIR18"/>
    <mergeCell ref="EIS18:EJH18"/>
    <mergeCell ref="EJI18:EJX18"/>
    <mergeCell ref="EJY18:EKN18"/>
    <mergeCell ref="EKO18:ELD18"/>
    <mergeCell ref="ELE18:ELT18"/>
    <mergeCell ref="ELU18:EMJ18"/>
    <mergeCell ref="EMK18:EMZ18"/>
    <mergeCell ref="ENA18:ENP18"/>
    <mergeCell ref="ENQ18:EOF18"/>
    <mergeCell ref="EOG18:EOV18"/>
    <mergeCell ref="EOW18:EPL18"/>
    <mergeCell ref="EPM18:EQB18"/>
    <mergeCell ref="EQC18:EQR18"/>
    <mergeCell ref="EQS18:ERH18"/>
    <mergeCell ref="ERI18:ERX18"/>
    <mergeCell ref="ERY18:ESN18"/>
    <mergeCell ref="ESO18:ETD18"/>
    <mergeCell ref="ETE18:ETT18"/>
    <mergeCell ref="ETU18:EUJ18"/>
    <mergeCell ref="EUK18:EUZ18"/>
    <mergeCell ref="EVA18:EVP18"/>
    <mergeCell ref="EVQ18:EWF18"/>
    <mergeCell ref="EWG18:EWV18"/>
    <mergeCell ref="EWW18:EXL18"/>
    <mergeCell ref="EXM18:EYB18"/>
    <mergeCell ref="EYC18:EYR18"/>
    <mergeCell ref="EYS18:EZH18"/>
    <mergeCell ref="EZI18:EZX18"/>
    <mergeCell ref="EZY18:FAN18"/>
    <mergeCell ref="FAO18:FBD18"/>
    <mergeCell ref="FBE18:FBT18"/>
    <mergeCell ref="FBU18:FCJ18"/>
    <mergeCell ref="FCK18:FCZ18"/>
    <mergeCell ref="FDA18:FDP18"/>
    <mergeCell ref="FDQ18:FEF18"/>
    <mergeCell ref="FEG18:FEV18"/>
    <mergeCell ref="FEW18:FFL18"/>
    <mergeCell ref="FFM18:FGB18"/>
    <mergeCell ref="FGC18:FGR18"/>
    <mergeCell ref="FGS18:FHH18"/>
    <mergeCell ref="FHI18:FHX18"/>
    <mergeCell ref="FHY18:FIN18"/>
    <mergeCell ref="FIO18:FJD18"/>
    <mergeCell ref="FJE18:FJT18"/>
    <mergeCell ref="FJU18:FKJ18"/>
    <mergeCell ref="FKK18:FKZ18"/>
    <mergeCell ref="FLA18:FLP18"/>
    <mergeCell ref="FLQ18:FMF18"/>
    <mergeCell ref="FMG18:FMV18"/>
    <mergeCell ref="FMW18:FNL18"/>
    <mergeCell ref="FNM18:FOB18"/>
    <mergeCell ref="FOC18:FOR18"/>
    <mergeCell ref="FOS18:FPH18"/>
    <mergeCell ref="FPI18:FPX18"/>
    <mergeCell ref="FPY18:FQN18"/>
    <mergeCell ref="FQO18:FRD18"/>
    <mergeCell ref="FRE18:FRT18"/>
    <mergeCell ref="FRU18:FSJ18"/>
    <mergeCell ref="FSK18:FSZ18"/>
    <mergeCell ref="FTA18:FTP18"/>
    <mergeCell ref="FTQ18:FUF18"/>
    <mergeCell ref="FUG18:FUV18"/>
    <mergeCell ref="FUW18:FVL18"/>
    <mergeCell ref="FVM18:FWB18"/>
    <mergeCell ref="FWC18:FWR18"/>
    <mergeCell ref="FWS18:FXH18"/>
    <mergeCell ref="FXI18:FXX18"/>
    <mergeCell ref="FXY18:FYN18"/>
    <mergeCell ref="FYO18:FZD18"/>
    <mergeCell ref="FZE18:FZT18"/>
    <mergeCell ref="FZU18:GAJ18"/>
    <mergeCell ref="GAK18:GAZ18"/>
    <mergeCell ref="GBA18:GBP18"/>
    <mergeCell ref="GBQ18:GCF18"/>
    <mergeCell ref="GCG18:GCV18"/>
    <mergeCell ref="GCW18:GDL18"/>
    <mergeCell ref="GDM18:GEB18"/>
    <mergeCell ref="GEC18:GER18"/>
    <mergeCell ref="GES18:GFH18"/>
    <mergeCell ref="GFI18:GFX18"/>
    <mergeCell ref="GFY18:GGN18"/>
    <mergeCell ref="GGO18:GHD18"/>
    <mergeCell ref="GHE18:GHT18"/>
    <mergeCell ref="GHU18:GIJ18"/>
    <mergeCell ref="GIK18:GIZ18"/>
    <mergeCell ref="GJA18:GJP18"/>
    <mergeCell ref="GJQ18:GKF18"/>
    <mergeCell ref="GKG18:GKV18"/>
    <mergeCell ref="GKW18:GLL18"/>
    <mergeCell ref="GLM18:GMB18"/>
    <mergeCell ref="GMC18:GMR18"/>
    <mergeCell ref="GMS18:GNH18"/>
    <mergeCell ref="GNI18:GNX18"/>
    <mergeCell ref="GNY18:GON18"/>
    <mergeCell ref="GOO18:GPD18"/>
    <mergeCell ref="GPE18:GPT18"/>
    <mergeCell ref="GPU18:GQJ18"/>
    <mergeCell ref="GQK18:GQZ18"/>
    <mergeCell ref="GRA18:GRP18"/>
    <mergeCell ref="GRQ18:GSF18"/>
    <mergeCell ref="GSG18:GSV18"/>
    <mergeCell ref="GSW18:GTL18"/>
    <mergeCell ref="GTM18:GUB18"/>
    <mergeCell ref="GUC18:GUR18"/>
    <mergeCell ref="GUS18:GVH18"/>
    <mergeCell ref="GVI18:GVX18"/>
    <mergeCell ref="GVY18:GWN18"/>
    <mergeCell ref="GWO18:GXD18"/>
    <mergeCell ref="GXE18:GXT18"/>
    <mergeCell ref="C22:E22"/>
    <mergeCell ref="G22:H22"/>
    <mergeCell ref="I22:L22"/>
    <mergeCell ref="M22:Q22"/>
    <mergeCell ref="C23:E23"/>
    <mergeCell ref="G23:H23"/>
    <mergeCell ref="J23:L23"/>
    <mergeCell ref="M23:Q23"/>
    <mergeCell ref="C19:E19"/>
    <mergeCell ref="G19:H19"/>
    <mergeCell ref="I19:L19"/>
    <mergeCell ref="G20:H20"/>
    <mergeCell ref="K20:L20"/>
    <mergeCell ref="B21:C21"/>
    <mergeCell ref="E21:F21"/>
    <mergeCell ref="A18:P18"/>
    <mergeCell ref="Q18:AF18"/>
    <mergeCell ref="AG18:AV18"/>
    <mergeCell ref="AW18:BL18"/>
    <mergeCell ref="BM18:CB18"/>
    <mergeCell ref="CC18:CR18"/>
    <mergeCell ref="CS18:DH18"/>
    <mergeCell ref="DI18:DX18"/>
    <mergeCell ref="DY18:EN18"/>
    <mergeCell ref="EO18:FD18"/>
    <mergeCell ref="FE18:FT18"/>
    <mergeCell ref="FU18:GJ18"/>
    <mergeCell ref="GK18:GZ18"/>
    <mergeCell ref="HA18:HP18"/>
    <mergeCell ref="HQ18:IF18"/>
    <mergeCell ref="IG18:IV18"/>
    <mergeCell ref="IW18:JL18"/>
    <mergeCell ref="JM18:KB18"/>
    <mergeCell ref="KC18:KR18"/>
    <mergeCell ref="KS18:LH18"/>
    <mergeCell ref="LI18:LX18"/>
    <mergeCell ref="LY18:MN18"/>
    <mergeCell ref="MO18:ND18"/>
    <mergeCell ref="NE18:NT18"/>
    <mergeCell ref="NU18:OJ18"/>
    <mergeCell ref="OK18:OZ18"/>
    <mergeCell ref="PA18:PP18"/>
    <mergeCell ref="PQ18:QF18"/>
    <mergeCell ref="QG18:QV18"/>
    <mergeCell ref="QW18:RL18"/>
    <mergeCell ref="RM18:SB18"/>
    <mergeCell ref="SC18:SR18"/>
    <mergeCell ref="SS18:TH18"/>
    <mergeCell ref="TI18:TX18"/>
    <mergeCell ref="TY18:UN18"/>
    <mergeCell ref="UO18:VD18"/>
    <mergeCell ref="VE18:VT18"/>
    <mergeCell ref="VU18:WJ18"/>
    <mergeCell ref="WK18:WZ18"/>
    <mergeCell ref="XA18:XP18"/>
    <mergeCell ref="XQ18:YF18"/>
    <mergeCell ref="YG18:YV18"/>
    <mergeCell ref="B1:Q1"/>
    <mergeCell ref="B2:Q2"/>
    <mergeCell ref="K3:M3"/>
    <mergeCell ref="O3:Q3"/>
    <mergeCell ref="L4:M4"/>
    <mergeCell ref="N14:P14"/>
    <mergeCell ref="B15:Q15"/>
    <mergeCell ref="PAW18:PBL18"/>
    <mergeCell ref="PBM18:PCB18"/>
    <mergeCell ref="PCC18:PCR18"/>
    <mergeCell ref="PCS18:PDH18"/>
    <mergeCell ref="PDI18:PDX18"/>
    <mergeCell ref="PDY18:PEN18"/>
    <mergeCell ref="PEO18:PFD18"/>
    <mergeCell ref="PFE18:PFT18"/>
    <mergeCell ref="PFU18:PGJ18"/>
    <mergeCell ref="PGK18:PGZ18"/>
    <mergeCell ref="PHA18:PHP18"/>
    <mergeCell ref="PHQ18:PIF18"/>
    <mergeCell ref="PIG18:PIV18"/>
    <mergeCell ref="PIW18:PJL18"/>
    <mergeCell ref="PJM18:PKB18"/>
    <mergeCell ref="PKC18:PKR18"/>
    <mergeCell ref="PKS18:PLH18"/>
    <mergeCell ref="PLI18:PLX18"/>
    <mergeCell ref="PLY18:PMN18"/>
    <mergeCell ref="PMO18:PND18"/>
    <mergeCell ref="PNE18:PNT18"/>
    <mergeCell ref="PNU18:POJ18"/>
    <mergeCell ref="POK18:POZ18"/>
    <mergeCell ref="PPA18:PPP18"/>
    <mergeCell ref="PPQ18:PQF18"/>
    <mergeCell ref="PQG18:PQV18"/>
    <mergeCell ref="PQW18:PRL18"/>
    <mergeCell ref="PRM18:PSB18"/>
    <mergeCell ref="PSC18:PSR18"/>
    <mergeCell ref="PSS18:PTH18"/>
    <mergeCell ref="PTI18:PTX18"/>
    <mergeCell ref="PTY18:PUN18"/>
    <mergeCell ref="PUO18:PVD18"/>
    <mergeCell ref="PVE18:PVT18"/>
    <mergeCell ref="PVU18:PWJ18"/>
    <mergeCell ref="PWK18:PWZ18"/>
    <mergeCell ref="PXA18:PXP18"/>
    <mergeCell ref="PXQ18:PYF18"/>
    <mergeCell ref="PYG18:PYV18"/>
    <mergeCell ref="PYW18:PZL18"/>
    <mergeCell ref="PZM18:QAB18"/>
    <mergeCell ref="QAC18:QAR18"/>
    <mergeCell ref="QAS18:QBH18"/>
    <mergeCell ref="QBI18:QBX18"/>
    <mergeCell ref="QBY18:QCN18"/>
    <mergeCell ref="QCO18:QDD18"/>
    <mergeCell ref="QDE18:QDT18"/>
    <mergeCell ref="QDU18:QEJ18"/>
    <mergeCell ref="QEK18:QEZ18"/>
    <mergeCell ref="QFA18:QFP18"/>
    <mergeCell ref="QFQ18:QGF18"/>
    <mergeCell ref="QGG18:QGV18"/>
    <mergeCell ref="QGW18:QHL18"/>
    <mergeCell ref="QHM18:QIB18"/>
    <mergeCell ref="QIC18:QIR18"/>
    <mergeCell ref="QIS18:QJH18"/>
    <mergeCell ref="QJI18:QJX18"/>
    <mergeCell ref="QJY18:QKN18"/>
    <mergeCell ref="QKO18:QLD18"/>
    <mergeCell ref="QLE18:QLT18"/>
    <mergeCell ref="QLU18:QMJ18"/>
    <mergeCell ref="QMK18:QMZ18"/>
    <mergeCell ref="QNA18:QNP18"/>
    <mergeCell ref="QNQ18:QOF18"/>
    <mergeCell ref="QOG18:QOV18"/>
    <mergeCell ref="QOW18:QPL18"/>
    <mergeCell ref="QPM18:QQB18"/>
    <mergeCell ref="QQC18:QQR18"/>
    <mergeCell ref="QQS18:QRH18"/>
    <mergeCell ref="QRI18:QRX18"/>
    <mergeCell ref="QRY18:QSN18"/>
    <mergeCell ref="QSO18:QTD18"/>
    <mergeCell ref="QTE18:QTT18"/>
    <mergeCell ref="QTU18:QUJ18"/>
    <mergeCell ref="QUK18:QUZ18"/>
    <mergeCell ref="QVA18:QVP18"/>
    <mergeCell ref="QVQ18:QWF18"/>
    <mergeCell ref="QWG18:QWV18"/>
    <mergeCell ref="QWW18:QXL18"/>
    <mergeCell ref="QXM18:QYB18"/>
    <mergeCell ref="QYC18:QYR18"/>
    <mergeCell ref="QYS18:QZH18"/>
    <mergeCell ref="QZI18:QZX18"/>
    <mergeCell ref="QZY18:RAN18"/>
    <mergeCell ref="RAO18:RBD18"/>
    <mergeCell ref="RBE18:RBT18"/>
    <mergeCell ref="RBU18:RCJ18"/>
    <mergeCell ref="RCK18:RCZ18"/>
    <mergeCell ref="RDA18:RDP18"/>
    <mergeCell ref="RDQ18:REF18"/>
    <mergeCell ref="REG18:REV18"/>
    <mergeCell ref="REW18:RFL18"/>
    <mergeCell ref="RFM18:RGB18"/>
    <mergeCell ref="RGC18:RGR18"/>
    <mergeCell ref="RGS18:RHH18"/>
    <mergeCell ref="RHI18:RHX18"/>
    <mergeCell ref="RHY18:RIN18"/>
    <mergeCell ref="RIO18:RJD18"/>
    <mergeCell ref="RJE18:RJT18"/>
    <mergeCell ref="RJU18:RKJ18"/>
    <mergeCell ref="RKK18:RKZ18"/>
    <mergeCell ref="RLA18:RLP18"/>
    <mergeCell ref="RLQ18:RMF18"/>
    <mergeCell ref="RMG18:RMV18"/>
    <mergeCell ref="RMW18:RNL18"/>
    <mergeCell ref="RNM18:ROB18"/>
    <mergeCell ref="ROC18:ROR18"/>
    <mergeCell ref="ROS18:RPH18"/>
    <mergeCell ref="RPI18:RPX18"/>
    <mergeCell ref="RPY18:RQN18"/>
    <mergeCell ref="RQO18:RRD18"/>
    <mergeCell ref="RRE18:RRT18"/>
    <mergeCell ref="RRU18:RSJ18"/>
    <mergeCell ref="RSK18:RSZ18"/>
    <mergeCell ref="RTA18:RTP18"/>
    <mergeCell ref="RTQ18:RUF18"/>
    <mergeCell ref="RUG18:RUV18"/>
    <mergeCell ref="RUW18:RVL18"/>
    <mergeCell ref="RVM18:RWB18"/>
    <mergeCell ref="RWC18:RWR18"/>
    <mergeCell ref="RWS18:RXH18"/>
    <mergeCell ref="RXI18:RXX18"/>
    <mergeCell ref="RXY18:RYN18"/>
    <mergeCell ref="RYO18:RZD18"/>
    <mergeCell ref="RZE18:RZT18"/>
    <mergeCell ref="RZU18:SAJ18"/>
    <mergeCell ref="SAK18:SAZ18"/>
    <mergeCell ref="SBA18:SBP18"/>
    <mergeCell ref="SBQ18:SCF18"/>
    <mergeCell ref="SCG18:SCV18"/>
    <mergeCell ref="SCW18:SDL18"/>
    <mergeCell ref="SDM18:SEB18"/>
    <mergeCell ref="SEC18:SER18"/>
    <mergeCell ref="SES18:SFH18"/>
    <mergeCell ref="SFI18:SFX18"/>
    <mergeCell ref="SFY18:SGN18"/>
    <mergeCell ref="SGO18:SHD18"/>
    <mergeCell ref="SHE18:SHT18"/>
    <mergeCell ref="SHU18:SIJ18"/>
    <mergeCell ref="SIK18:SIZ18"/>
    <mergeCell ref="SJA18:SJP18"/>
    <mergeCell ref="SJQ18:SKF18"/>
    <mergeCell ref="SKG18:SKV18"/>
    <mergeCell ref="SKW18:SLL18"/>
    <mergeCell ref="SLM18:SMB18"/>
    <mergeCell ref="SMC18:SMR18"/>
    <mergeCell ref="SMS18:SNH18"/>
    <mergeCell ref="SNI18:SNX18"/>
    <mergeCell ref="SNY18:SON18"/>
    <mergeCell ref="SOO18:SPD18"/>
    <mergeCell ref="SPE18:SPT18"/>
    <mergeCell ref="SPU18:SQJ18"/>
    <mergeCell ref="SQK18:SQZ18"/>
    <mergeCell ref="SRA18:SRP18"/>
    <mergeCell ref="SRQ18:SSF18"/>
    <mergeCell ref="SSG18:SSV18"/>
    <mergeCell ref="SSW18:STL18"/>
    <mergeCell ref="STM18:SUB18"/>
    <mergeCell ref="SUC18:SUR18"/>
    <mergeCell ref="SUS18:SVH18"/>
    <mergeCell ref="SVI18:SVX18"/>
    <mergeCell ref="SVY18:SWN18"/>
    <mergeCell ref="SWO18:SXD18"/>
    <mergeCell ref="SXE18:SXT18"/>
    <mergeCell ref="SXU18:SYJ18"/>
    <mergeCell ref="SYK18:SYZ18"/>
    <mergeCell ref="SZA18:SZP18"/>
    <mergeCell ref="SZQ18:TAF18"/>
    <mergeCell ref="TAG18:TAV18"/>
    <mergeCell ref="TAW18:TBL18"/>
    <mergeCell ref="TBM18:TCB18"/>
    <mergeCell ref="TCC18:TCR18"/>
    <mergeCell ref="TCS18:TDH18"/>
    <mergeCell ref="TDI18:TDX18"/>
    <mergeCell ref="TDY18:TEN18"/>
    <mergeCell ref="TEO18:TFD18"/>
    <mergeCell ref="TFE18:TFT18"/>
    <mergeCell ref="TFU18:TGJ18"/>
    <mergeCell ref="TGK18:TGZ18"/>
    <mergeCell ref="THA18:THP18"/>
    <mergeCell ref="THQ18:TIF18"/>
    <mergeCell ref="TIG18:TIV18"/>
    <mergeCell ref="TIW18:TJL18"/>
    <mergeCell ref="TJM18:TKB18"/>
    <mergeCell ref="TKC18:TKR18"/>
    <mergeCell ref="TKS18:TLH18"/>
    <mergeCell ref="TLI18:TLX18"/>
    <mergeCell ref="TLY18:TMN18"/>
    <mergeCell ref="TMO18:TND18"/>
    <mergeCell ref="TNE18:TNT18"/>
    <mergeCell ref="TNU18:TOJ18"/>
    <mergeCell ref="TOK18:TOZ18"/>
    <mergeCell ref="TPA18:TPP18"/>
    <mergeCell ref="TPQ18:TQF18"/>
    <mergeCell ref="TQG18:TQV18"/>
    <mergeCell ref="TQW18:TRL18"/>
    <mergeCell ref="TRM18:TSB18"/>
    <mergeCell ref="TSC18:TSR18"/>
    <mergeCell ref="TSS18:TTH18"/>
    <mergeCell ref="TTI18:TTX18"/>
    <mergeCell ref="TTY18:TUN18"/>
    <mergeCell ref="TUO18:TVD18"/>
    <mergeCell ref="TVE18:TVT18"/>
    <mergeCell ref="TVU18:TWJ18"/>
    <mergeCell ref="TWK18:TWZ18"/>
    <mergeCell ref="TXA18:TXP18"/>
    <mergeCell ref="TXQ18:TYF18"/>
    <mergeCell ref="TYG18:TYV18"/>
    <mergeCell ref="TYW18:TZL18"/>
    <mergeCell ref="TZM18:UAB18"/>
    <mergeCell ref="UAC18:UAR18"/>
    <mergeCell ref="UAS18:UBH18"/>
    <mergeCell ref="UBI18:UBX18"/>
    <mergeCell ref="UBY18:UCN18"/>
    <mergeCell ref="UCO18:UDD18"/>
    <mergeCell ref="UDE18:UDT18"/>
    <mergeCell ref="UDU18:UEJ18"/>
    <mergeCell ref="UEK18:UEZ18"/>
    <mergeCell ref="UFA18:UFP18"/>
    <mergeCell ref="UFQ18:UGF18"/>
    <mergeCell ref="UGG18:UGV18"/>
    <mergeCell ref="UGW18:UHL18"/>
    <mergeCell ref="UHM18:UIB18"/>
    <mergeCell ref="UIC18:UIR18"/>
    <mergeCell ref="UIS18:UJH18"/>
    <mergeCell ref="UJI18:UJX18"/>
    <mergeCell ref="UJY18:UKN18"/>
    <mergeCell ref="UKO18:ULD18"/>
    <mergeCell ref="ULE18:ULT18"/>
    <mergeCell ref="ULU18:UMJ18"/>
    <mergeCell ref="UMK18:UMZ18"/>
    <mergeCell ref="UNA18:UNP18"/>
    <mergeCell ref="UNQ18:UOF18"/>
    <mergeCell ref="UOG18:UOV18"/>
    <mergeCell ref="UOW18:UPL18"/>
    <mergeCell ref="UPM18:UQB18"/>
    <mergeCell ref="UQC18:UQR18"/>
    <mergeCell ref="UQS18:URH18"/>
    <mergeCell ref="URI18:URX18"/>
    <mergeCell ref="URY18:USN18"/>
    <mergeCell ref="USO18:UTD18"/>
    <mergeCell ref="UTE18:UTT18"/>
    <mergeCell ref="UTU18:UUJ18"/>
    <mergeCell ref="UUK18:UUZ18"/>
    <mergeCell ref="UVA18:UVP18"/>
    <mergeCell ref="VZU18:WAJ18"/>
    <mergeCell ref="WAK18:WAZ18"/>
    <mergeCell ref="WBA18:WBP18"/>
    <mergeCell ref="WBQ18:WCF18"/>
    <mergeCell ref="WCG18:WCV18"/>
    <mergeCell ref="WCW18:WDL18"/>
    <mergeCell ref="WDM18:WEB18"/>
    <mergeCell ref="WEC18:WER18"/>
    <mergeCell ref="WES18:WFH18"/>
    <mergeCell ref="WFI18:WFX18"/>
    <mergeCell ref="WFY18:WGN18"/>
    <mergeCell ref="WGO18:WHD18"/>
    <mergeCell ref="WHE18:WHT18"/>
    <mergeCell ref="WHU18:WIJ18"/>
    <mergeCell ref="WIK18:WIZ18"/>
    <mergeCell ref="WJA18:WJP18"/>
    <mergeCell ref="WJQ18:WKF18"/>
    <mergeCell ref="WKG18:WKV18"/>
    <mergeCell ref="WKW18:WLL18"/>
    <mergeCell ref="WLM18:WMB18"/>
    <mergeCell ref="WMC18:WMR18"/>
    <mergeCell ref="WMS18:WNH18"/>
    <mergeCell ref="WNI18:WNX18"/>
    <mergeCell ref="WNY18:WON18"/>
    <mergeCell ref="WOO18:WPD18"/>
    <mergeCell ref="WPE18:WPT18"/>
    <mergeCell ref="WPU18:WQJ18"/>
    <mergeCell ref="WQK18:WQZ18"/>
    <mergeCell ref="WRA18:WRP18"/>
    <mergeCell ref="WRQ18:WSF18"/>
    <mergeCell ref="WSG18:WSV18"/>
    <mergeCell ref="WSW18:WTL18"/>
    <mergeCell ref="WTM18:WUB18"/>
    <mergeCell ref="WUC18:WUR18"/>
    <mergeCell ref="WUS18:WVH18"/>
    <mergeCell ref="WVI18:WVX18"/>
    <mergeCell ref="WVY18:WWN18"/>
    <mergeCell ref="WWO18:WXD18"/>
    <mergeCell ref="WXE18:WXT18"/>
    <mergeCell ref="WXU18:WYJ18"/>
    <mergeCell ref="WYK18:WYZ18"/>
    <mergeCell ref="WZA18:WZP18"/>
    <mergeCell ref="XDY18:XEN18"/>
    <mergeCell ref="XEO18:XFD18"/>
    <mergeCell ref="WZQ18:XAF18"/>
    <mergeCell ref="XAG18:XAV18"/>
    <mergeCell ref="XAW18:XBL18"/>
    <mergeCell ref="XBM18:XCB18"/>
    <mergeCell ref="XCC18:XCR18"/>
    <mergeCell ref="XCS18:XDH18"/>
    <mergeCell ref="XDI18:XDX18"/>
    <mergeCell ref="UVQ18:UWF18"/>
    <mergeCell ref="UWG18:UWV18"/>
    <mergeCell ref="UWW18:UXL18"/>
    <mergeCell ref="UXM18:UYB18"/>
    <mergeCell ref="UYC18:UYR18"/>
    <mergeCell ref="UYS18:UZH18"/>
    <mergeCell ref="UZI18:UZX18"/>
    <mergeCell ref="UZY18:VAN18"/>
    <mergeCell ref="VAO18:VBD18"/>
    <mergeCell ref="VBE18:VBT18"/>
    <mergeCell ref="VBU18:VCJ18"/>
    <mergeCell ref="VCK18:VCZ18"/>
    <mergeCell ref="VDA18:VDP18"/>
    <mergeCell ref="VDQ18:VEF18"/>
    <mergeCell ref="VEG18:VEV18"/>
    <mergeCell ref="VEW18:VFL18"/>
    <mergeCell ref="VFM18:VGB18"/>
    <mergeCell ref="VGC18:VGR18"/>
    <mergeCell ref="VGS18:VHH18"/>
    <mergeCell ref="VHI18:VHX18"/>
    <mergeCell ref="VHY18:VIN18"/>
    <mergeCell ref="VIO18:VJD18"/>
    <mergeCell ref="VJE18:VJT18"/>
    <mergeCell ref="VJU18:VKJ18"/>
    <mergeCell ref="VKK18:VKZ18"/>
    <mergeCell ref="VLA18:VLP18"/>
    <mergeCell ref="VLQ18:VMF18"/>
    <mergeCell ref="VMG18:VMV18"/>
    <mergeCell ref="VMW18:VNL18"/>
    <mergeCell ref="VNM18:VOB18"/>
    <mergeCell ref="VOC18:VOR18"/>
    <mergeCell ref="VOS18:VPH18"/>
    <mergeCell ref="VPI18:VPX18"/>
    <mergeCell ref="VPY18:VQN18"/>
    <mergeCell ref="VQO18:VRD18"/>
    <mergeCell ref="VRE18:VRT18"/>
    <mergeCell ref="VRU18:VSJ18"/>
    <mergeCell ref="VSK18:VSZ18"/>
    <mergeCell ref="VTA18:VTP18"/>
    <mergeCell ref="VTQ18:VUF18"/>
    <mergeCell ref="VUG18:VUV18"/>
    <mergeCell ref="VUW18:VVL18"/>
    <mergeCell ref="VVM18:VWB18"/>
    <mergeCell ref="VWC18:VWR18"/>
    <mergeCell ref="VWS18:VXH18"/>
    <mergeCell ref="VXI18:VXX18"/>
    <mergeCell ref="VXY18:VYN18"/>
    <mergeCell ref="VYO18:VZD18"/>
    <mergeCell ref="VZE18:VZT18"/>
    <mergeCell ref="GXU18:GYJ18"/>
    <mergeCell ref="GYK18:GYZ18"/>
    <mergeCell ref="GZA18:GZP18"/>
    <mergeCell ref="GZQ18:HAF18"/>
    <mergeCell ref="HAG18:HAV18"/>
    <mergeCell ref="HAW18:HBL18"/>
    <mergeCell ref="HBM18:HCB18"/>
    <mergeCell ref="HCC18:HCR18"/>
    <mergeCell ref="HCS18:HDH18"/>
    <mergeCell ref="HDI18:HDX18"/>
    <mergeCell ref="HDY18:HEN18"/>
    <mergeCell ref="HEO18:HFD18"/>
    <mergeCell ref="HFE18:HFT18"/>
    <mergeCell ref="HFU18:HGJ18"/>
    <mergeCell ref="HGK18:HGZ18"/>
    <mergeCell ref="HHA18:HHP18"/>
    <mergeCell ref="HHQ18:HIF18"/>
    <mergeCell ref="HIG18:HIV18"/>
    <mergeCell ref="HIW18:HJL18"/>
    <mergeCell ref="HJM18:HKB18"/>
    <mergeCell ref="HKC18:HKR18"/>
    <mergeCell ref="HKS18:HLH18"/>
    <mergeCell ref="HLI18:HLX18"/>
    <mergeCell ref="HLY18:HMN18"/>
    <mergeCell ref="HMO18:HND18"/>
    <mergeCell ref="HNE18:HNT18"/>
    <mergeCell ref="HNU18:HOJ18"/>
    <mergeCell ref="HOK18:HOZ18"/>
    <mergeCell ref="HPA18:HPP18"/>
    <mergeCell ref="HPQ18:HQF18"/>
    <mergeCell ref="HQG18:HQV18"/>
    <mergeCell ref="HQW18:HRL18"/>
    <mergeCell ref="HRM18:HSB18"/>
    <mergeCell ref="HSC18:HSR18"/>
    <mergeCell ref="HSS18:HTH18"/>
    <mergeCell ref="HTI18:HTX18"/>
    <mergeCell ref="HTY18:HUN18"/>
    <mergeCell ref="HUO18:HVD18"/>
    <mergeCell ref="HVE18:HVT18"/>
    <mergeCell ref="HVU18:HWJ18"/>
    <mergeCell ref="HWK18:HWZ18"/>
    <mergeCell ref="HXA18:HXP18"/>
    <mergeCell ref="HXQ18:HYF18"/>
    <mergeCell ref="HYG18:HYV18"/>
    <mergeCell ref="HYW18:HZL18"/>
    <mergeCell ref="HZM18:IAB18"/>
    <mergeCell ref="IAC18:IAR18"/>
    <mergeCell ref="IAS18:IBH18"/>
    <mergeCell ref="IBI18:IBX18"/>
    <mergeCell ref="IBY18:ICN18"/>
    <mergeCell ref="ICO18:IDD18"/>
    <mergeCell ref="IDE18:IDT18"/>
    <mergeCell ref="IDU18:IEJ18"/>
    <mergeCell ref="IEK18:IEZ18"/>
    <mergeCell ref="IFA18:IFP18"/>
    <mergeCell ref="IFQ18:IGF18"/>
    <mergeCell ref="IGG18:IGV18"/>
    <mergeCell ref="IGW18:IHL18"/>
    <mergeCell ref="IHM18:IIB18"/>
    <mergeCell ref="IIC18:IIR18"/>
    <mergeCell ref="IIS18:IJH18"/>
    <mergeCell ref="IJI18:IJX18"/>
    <mergeCell ref="IJY18:IKN18"/>
    <mergeCell ref="IKO18:ILD18"/>
    <mergeCell ref="ILE18:ILT18"/>
    <mergeCell ref="ILU18:IMJ18"/>
    <mergeCell ref="IMK18:IMZ18"/>
    <mergeCell ref="INA18:INP18"/>
    <mergeCell ref="INQ18:IOF18"/>
    <mergeCell ref="IOG18:IOV18"/>
    <mergeCell ref="IOW18:IPL18"/>
    <mergeCell ref="IPM18:IQB18"/>
    <mergeCell ref="IQC18:IQR18"/>
    <mergeCell ref="IQS18:IRH18"/>
    <mergeCell ref="IRI18:IRX18"/>
    <mergeCell ref="IRY18:ISN18"/>
    <mergeCell ref="ISO18:ITD18"/>
    <mergeCell ref="ITE18:ITT18"/>
    <mergeCell ref="ITU18:IUJ18"/>
    <mergeCell ref="IUK18:IUZ18"/>
    <mergeCell ref="IVA18:IVP18"/>
    <mergeCell ref="IVQ18:IWF18"/>
    <mergeCell ref="IWG18:IWV18"/>
    <mergeCell ref="IWW18:IXL18"/>
    <mergeCell ref="IXM18:IYB18"/>
    <mergeCell ref="IYC18:IYR18"/>
    <mergeCell ref="IYS18:IZH18"/>
    <mergeCell ref="IZI18:IZX18"/>
    <mergeCell ref="IZY18:JAN18"/>
    <mergeCell ref="JAO18:JBD18"/>
    <mergeCell ref="JBE18:JBT18"/>
    <mergeCell ref="JBU18:JCJ18"/>
    <mergeCell ref="JCK18:JCZ18"/>
    <mergeCell ref="JDA18:JDP18"/>
    <mergeCell ref="JDQ18:JEF18"/>
    <mergeCell ref="JEG18:JEV18"/>
    <mergeCell ref="JEW18:JFL18"/>
    <mergeCell ref="JFM18:JGB18"/>
    <mergeCell ref="JGC18:JGR18"/>
    <mergeCell ref="JGS18:JHH18"/>
    <mergeCell ref="JHI18:JHX18"/>
    <mergeCell ref="JHY18:JIN18"/>
    <mergeCell ref="JIO18:JJD18"/>
    <mergeCell ref="JJE18:JJT18"/>
    <mergeCell ref="JJU18:JKJ18"/>
    <mergeCell ref="JKK18:JKZ18"/>
    <mergeCell ref="JLA18:JLP18"/>
    <mergeCell ref="JLQ18:JMF18"/>
    <mergeCell ref="JMG18:JMV18"/>
    <mergeCell ref="JMW18:JNL18"/>
    <mergeCell ref="JNM18:JOB18"/>
    <mergeCell ref="JOC18:JOR18"/>
    <mergeCell ref="JOS18:JPH18"/>
    <mergeCell ref="JPI18:JPX18"/>
    <mergeCell ref="JPY18:JQN18"/>
    <mergeCell ref="JQO18:JRD18"/>
    <mergeCell ref="JRE18:JRT18"/>
    <mergeCell ref="JRU18:JSJ18"/>
    <mergeCell ref="JSK18:JSZ18"/>
    <mergeCell ref="JTA18:JTP18"/>
    <mergeCell ref="JTQ18:JUF18"/>
    <mergeCell ref="JUG18:JUV18"/>
    <mergeCell ref="JUW18:JVL18"/>
    <mergeCell ref="JVM18:JWB18"/>
    <mergeCell ref="JWC18:JWR18"/>
    <mergeCell ref="JWS18:JXH18"/>
    <mergeCell ref="JXI18:JXX18"/>
    <mergeCell ref="JXY18:JYN18"/>
    <mergeCell ref="JYO18:JZD18"/>
    <mergeCell ref="JZE18:JZT18"/>
    <mergeCell ref="JZU18:KAJ18"/>
    <mergeCell ref="KAK18:KAZ18"/>
    <mergeCell ref="KBA18:KBP18"/>
    <mergeCell ref="KBQ18:KCF18"/>
    <mergeCell ref="KCG18:KCV18"/>
    <mergeCell ref="KCW18:KDL18"/>
    <mergeCell ref="KDM18:KEB18"/>
    <mergeCell ref="KEC18:KER18"/>
    <mergeCell ref="KES18:KFH18"/>
    <mergeCell ref="KFI18:KFX18"/>
    <mergeCell ref="KFY18:KGN18"/>
    <mergeCell ref="KGO18:KHD18"/>
    <mergeCell ref="KHE18:KHT18"/>
    <mergeCell ref="KHU18:KIJ18"/>
    <mergeCell ref="KIK18:KIZ18"/>
    <mergeCell ref="KJA18:KJP18"/>
    <mergeCell ref="KJQ18:KKF18"/>
    <mergeCell ref="KKG18:KKV18"/>
    <mergeCell ref="KKW18:KLL18"/>
    <mergeCell ref="KLM18:KMB18"/>
    <mergeCell ref="KMC18:KMR18"/>
    <mergeCell ref="KMS18:KNH18"/>
    <mergeCell ref="KNI18:KNX18"/>
    <mergeCell ref="KNY18:KON18"/>
    <mergeCell ref="KOO18:KPD18"/>
    <mergeCell ref="KPE18:KPT18"/>
    <mergeCell ref="KPU18:KQJ18"/>
    <mergeCell ref="KQK18:KQZ18"/>
    <mergeCell ref="KRA18:KRP18"/>
    <mergeCell ref="KRQ18:KSF18"/>
    <mergeCell ref="KSG18:KSV18"/>
    <mergeCell ref="KSW18:KTL18"/>
    <mergeCell ref="KTM18:KUB18"/>
    <mergeCell ref="KUC18:KUR18"/>
    <mergeCell ref="KUS18:KVH18"/>
    <mergeCell ref="KVI18:KVX18"/>
    <mergeCell ref="KVY18:KWN18"/>
    <mergeCell ref="KWO18:KXD18"/>
    <mergeCell ref="KXE18:KXT18"/>
    <mergeCell ref="KXU18:KYJ18"/>
    <mergeCell ref="KYK18:KYZ18"/>
    <mergeCell ref="KZA18:KZP18"/>
    <mergeCell ref="KZQ18:LAF18"/>
    <mergeCell ref="LAG18:LAV18"/>
    <mergeCell ref="LAW18:LBL18"/>
    <mergeCell ref="LBM18:LCB18"/>
    <mergeCell ref="LCC18:LCR18"/>
    <mergeCell ref="LCS18:LDH18"/>
    <mergeCell ref="LDI18:LDX18"/>
    <mergeCell ref="LDY18:LEN18"/>
    <mergeCell ref="LEO18:LFD18"/>
    <mergeCell ref="LFE18:LFT18"/>
    <mergeCell ref="LFU18:LGJ18"/>
    <mergeCell ref="LGK18:LGZ18"/>
    <mergeCell ref="LHA18:LHP18"/>
    <mergeCell ref="LHQ18:LIF18"/>
    <mergeCell ref="LIG18:LIV18"/>
    <mergeCell ref="LIW18:LJL18"/>
    <mergeCell ref="LJM18:LKB18"/>
    <mergeCell ref="LKC18:LKR18"/>
    <mergeCell ref="LKS18:LLH18"/>
    <mergeCell ref="LLI18:LLX18"/>
    <mergeCell ref="LLY18:LMN18"/>
    <mergeCell ref="LMO18:LND18"/>
    <mergeCell ref="LNE18:LNT18"/>
    <mergeCell ref="LNU18:LOJ18"/>
    <mergeCell ref="LOK18:LOZ18"/>
    <mergeCell ref="LPA18:LPP18"/>
    <mergeCell ref="LPQ18:LQF18"/>
    <mergeCell ref="LQG18:LQV18"/>
    <mergeCell ref="LQW18:LRL18"/>
    <mergeCell ref="LRM18:LSB18"/>
    <mergeCell ref="LSC18:LSR18"/>
    <mergeCell ref="LSS18:LTH18"/>
    <mergeCell ref="LTI18:LTX18"/>
    <mergeCell ref="LTY18:LUN18"/>
    <mergeCell ref="LUO18:LVD18"/>
    <mergeCell ref="LVE18:LVT18"/>
    <mergeCell ref="LVU18:LWJ18"/>
    <mergeCell ref="LWK18:LWZ18"/>
    <mergeCell ref="LXA18:LXP18"/>
    <mergeCell ref="LXQ18:LYF18"/>
    <mergeCell ref="LYG18:LYV18"/>
    <mergeCell ref="LYW18:LZL18"/>
    <mergeCell ref="LZM18:MAB18"/>
    <mergeCell ref="MAC18:MAR18"/>
    <mergeCell ref="MAS18:MBH18"/>
    <mergeCell ref="MBI18:MBX18"/>
    <mergeCell ref="MBY18:MCN18"/>
    <mergeCell ref="MCO18:MDD18"/>
    <mergeCell ref="MDE18:MDT18"/>
    <mergeCell ref="MDU18:MEJ18"/>
    <mergeCell ref="MEK18:MEZ18"/>
    <mergeCell ref="MFA18:MFP18"/>
    <mergeCell ref="MFQ18:MGF18"/>
    <mergeCell ref="MGG18:MGV18"/>
    <mergeCell ref="MGW18:MHL18"/>
    <mergeCell ref="MHM18:MIB18"/>
    <mergeCell ref="MIC18:MIR18"/>
    <mergeCell ref="MIS18:MJH18"/>
    <mergeCell ref="MJI18:MJX18"/>
    <mergeCell ref="MJY18:MKN18"/>
    <mergeCell ref="MKO18:MLD18"/>
    <mergeCell ref="MLE18:MLT18"/>
    <mergeCell ref="MLU18:MMJ18"/>
    <mergeCell ref="MMK18:MMZ18"/>
    <mergeCell ref="MNA18:MNP18"/>
    <mergeCell ref="MNQ18:MOF18"/>
    <mergeCell ref="MOG18:MOV18"/>
    <mergeCell ref="MOW18:MPL18"/>
    <mergeCell ref="MPM18:MQB18"/>
    <mergeCell ref="MQC18:MQR18"/>
    <mergeCell ref="MQS18:MRH18"/>
    <mergeCell ref="MRI18:MRX18"/>
    <mergeCell ref="MRY18:MSN18"/>
    <mergeCell ref="MSO18:MTD18"/>
    <mergeCell ref="MTE18:MTT18"/>
    <mergeCell ref="MTU18:MUJ18"/>
    <mergeCell ref="MUK18:MUZ18"/>
    <mergeCell ref="MVA18:MVP18"/>
    <mergeCell ref="MVQ18:MWF18"/>
    <mergeCell ref="MWG18:MWV18"/>
    <mergeCell ref="MWW18:MXL18"/>
    <mergeCell ref="MXM18:MYB18"/>
    <mergeCell ref="MYC18:MYR18"/>
    <mergeCell ref="MYS18:MZH18"/>
    <mergeCell ref="MZI18:MZX18"/>
    <mergeCell ref="MZY18:NAN18"/>
    <mergeCell ref="NAO18:NBD18"/>
    <mergeCell ref="NBE18:NBT18"/>
    <mergeCell ref="NBU18:NCJ18"/>
    <mergeCell ref="NCK18:NCZ18"/>
    <mergeCell ref="NDA18:NDP18"/>
    <mergeCell ref="NDQ18:NEF18"/>
    <mergeCell ref="NEG18:NEV18"/>
    <mergeCell ref="NEW18:NFL18"/>
    <mergeCell ref="NFM18:NGB18"/>
    <mergeCell ref="NGC18:NGR18"/>
    <mergeCell ref="NGS18:NHH18"/>
    <mergeCell ref="NHI18:NHX18"/>
    <mergeCell ref="NHY18:NIN18"/>
    <mergeCell ref="NIO18:NJD18"/>
    <mergeCell ref="NJE18:NJT18"/>
    <mergeCell ref="NJU18:NKJ18"/>
    <mergeCell ref="NKK18:NKZ18"/>
    <mergeCell ref="NLA18:NLP18"/>
    <mergeCell ref="NLQ18:NMF18"/>
    <mergeCell ref="NMG18:NMV18"/>
    <mergeCell ref="NMW18:NNL18"/>
    <mergeCell ref="NNM18:NOB18"/>
    <mergeCell ref="NOC18:NOR18"/>
    <mergeCell ref="NOS18:NPH18"/>
    <mergeCell ref="NPI18:NPX18"/>
    <mergeCell ref="NPY18:NQN18"/>
    <mergeCell ref="NQO18:NRD18"/>
    <mergeCell ref="NRE18:NRT18"/>
    <mergeCell ref="NRU18:NSJ18"/>
    <mergeCell ref="NSK18:NSZ18"/>
    <mergeCell ref="NTA18:NTP18"/>
    <mergeCell ref="NTQ18:NUF18"/>
    <mergeCell ref="NUG18:NUV18"/>
    <mergeCell ref="NUW18:NVL18"/>
    <mergeCell ref="NVM18:NWB18"/>
    <mergeCell ref="NWC18:NWR18"/>
    <mergeCell ref="NWS18:NXH18"/>
    <mergeCell ref="NXI18:NXX18"/>
    <mergeCell ref="NXY18:NYN18"/>
    <mergeCell ref="NYO18:NZD18"/>
    <mergeCell ref="NZE18:NZT18"/>
    <mergeCell ref="NZU18:OAJ18"/>
    <mergeCell ref="OAK18:OAZ18"/>
    <mergeCell ref="OBA18:OBP18"/>
    <mergeCell ref="OBQ18:OCF18"/>
    <mergeCell ref="OCG18:OCV18"/>
    <mergeCell ref="OCW18:ODL18"/>
    <mergeCell ref="ODM18:OEB18"/>
    <mergeCell ref="OEC18:OER18"/>
    <mergeCell ref="OES18:OFH18"/>
    <mergeCell ref="OFI18:OFX18"/>
    <mergeCell ref="OFY18:OGN18"/>
    <mergeCell ref="OGO18:OHD18"/>
    <mergeCell ref="OHE18:OHT18"/>
    <mergeCell ref="OHU18:OIJ18"/>
    <mergeCell ref="OIK18:OIZ18"/>
    <mergeCell ref="OJA18:OJP18"/>
    <mergeCell ref="OJQ18:OKF18"/>
    <mergeCell ref="OKG18:OKV18"/>
    <mergeCell ref="OKW18:OLL18"/>
    <mergeCell ref="OLM18:OMB18"/>
    <mergeCell ref="OMC18:OMR18"/>
    <mergeCell ref="OMS18:ONH18"/>
    <mergeCell ref="ONI18:ONX18"/>
    <mergeCell ref="ONY18:OON18"/>
    <mergeCell ref="OOO18:OPD18"/>
    <mergeCell ref="OPE18:OPT18"/>
    <mergeCell ref="OPU18:OQJ18"/>
    <mergeCell ref="OQK18:OQZ18"/>
    <mergeCell ref="ORA18:ORP18"/>
    <mergeCell ref="ORQ18:OSF18"/>
    <mergeCell ref="OSG18:OSV18"/>
    <mergeCell ref="OSW18:OTL18"/>
    <mergeCell ref="OTM18:OUB18"/>
    <mergeCell ref="OUC18:OUR18"/>
    <mergeCell ref="OUS18:OVH18"/>
    <mergeCell ref="OVI18:OVX18"/>
    <mergeCell ref="OVY18:OWN18"/>
    <mergeCell ref="OWO18:OXD18"/>
    <mergeCell ref="OXE18:OXT18"/>
    <mergeCell ref="OXU18:OYJ18"/>
    <mergeCell ref="OYK18:OYZ18"/>
    <mergeCell ref="OZA18:OZP18"/>
    <mergeCell ref="OZQ18:PAF18"/>
    <mergeCell ref="PAG18:PAV18"/>
  </mergeCells>
  <printOptions/>
  <pageMargins bottom="0.75" footer="0.0" header="0.0" left="0.7" right="0.7" top="0.75"/>
  <pageSetup paperSize="5" scale="95"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3.0"/>
    <col customWidth="1" min="2" max="2" width="5.14"/>
    <col customWidth="1" min="3" max="3" width="14.57"/>
    <col customWidth="1" min="4" max="4" width="19.29"/>
    <col customWidth="1" min="5" max="5" width="19.71"/>
    <col customWidth="1" min="6" max="7" width="7.86"/>
    <col customWidth="1" min="8" max="8" width="9.0"/>
    <col customWidth="1" min="9" max="9" width="7.57"/>
    <col customWidth="1" min="10" max="10" width="9.0"/>
    <col customWidth="1" min="11" max="11" width="7.29"/>
    <col customWidth="1" min="12" max="12" width="12.43"/>
    <col customWidth="1" min="13" max="13" width="10.57"/>
    <col customWidth="1" min="14" max="14" width="24.0"/>
    <col customWidth="1" min="15" max="15" width="5.29"/>
    <col customWidth="1" min="16" max="16" width="11.43"/>
    <col customWidth="1" min="17" max="17" width="6.14"/>
    <col customWidth="1" min="18" max="26" width="8.71"/>
  </cols>
  <sheetData>
    <row r="1">
      <c r="A1" s="3"/>
      <c r="B1" s="541" t="s">
        <v>14157</v>
      </c>
      <c r="R1" s="61"/>
      <c r="S1" s="3"/>
      <c r="T1" s="3"/>
      <c r="U1" s="3"/>
      <c r="V1" s="3"/>
      <c r="W1" s="3"/>
      <c r="X1" s="3"/>
      <c r="Y1" s="3"/>
      <c r="Z1" s="3"/>
    </row>
    <row r="2">
      <c r="A2" s="3"/>
      <c r="B2" s="210"/>
      <c r="C2" s="542" t="s">
        <v>15031</v>
      </c>
      <c r="D2" s="6"/>
      <c r="E2" s="6"/>
      <c r="F2" s="6"/>
      <c r="G2" s="6"/>
      <c r="H2" s="6"/>
      <c r="I2" s="6"/>
      <c r="J2" s="6"/>
      <c r="K2" s="6"/>
      <c r="L2" s="6"/>
      <c r="M2" s="6"/>
      <c r="N2" s="6"/>
      <c r="O2" s="6"/>
      <c r="P2" s="6"/>
      <c r="Q2" s="6"/>
      <c r="R2" s="7"/>
      <c r="S2" s="3"/>
      <c r="T2" s="3"/>
      <c r="U2" s="3"/>
      <c r="V2" s="3"/>
      <c r="W2" s="3"/>
      <c r="X2" s="3"/>
      <c r="Y2" s="3"/>
      <c r="Z2" s="3"/>
    </row>
    <row r="3">
      <c r="A3" s="3"/>
      <c r="B3" s="210"/>
      <c r="C3" s="543"/>
      <c r="D3" s="543"/>
      <c r="E3" s="544"/>
      <c r="F3" s="545"/>
      <c r="G3" s="545"/>
      <c r="H3" s="545"/>
      <c r="I3" s="545"/>
      <c r="J3" s="543"/>
      <c r="K3" s="546"/>
      <c r="M3" s="13"/>
      <c r="N3" s="547" t="s">
        <v>3</v>
      </c>
      <c r="O3" s="548" t="s">
        <v>15032</v>
      </c>
      <c r="P3" s="16"/>
      <c r="Q3" s="17"/>
      <c r="R3" s="74"/>
      <c r="S3" s="3"/>
      <c r="T3" s="3"/>
      <c r="U3" s="3"/>
      <c r="V3" s="3"/>
      <c r="W3" s="3"/>
      <c r="X3" s="3"/>
      <c r="Y3" s="3"/>
      <c r="Z3" s="3"/>
    </row>
    <row r="4">
      <c r="A4" s="3"/>
      <c r="B4" s="210"/>
      <c r="C4" s="543"/>
      <c r="D4" s="543"/>
      <c r="E4" s="544"/>
      <c r="F4" s="545"/>
      <c r="G4" s="545"/>
      <c r="H4" s="210"/>
      <c r="I4" s="545"/>
      <c r="J4" s="543"/>
      <c r="K4" s="545"/>
      <c r="L4" s="549"/>
      <c r="M4" s="407"/>
      <c r="N4" s="543"/>
      <c r="O4" s="545"/>
      <c r="P4" s="545"/>
      <c r="Q4" s="545"/>
      <c r="R4" s="550"/>
      <c r="S4" s="3"/>
      <c r="T4" s="3"/>
      <c r="U4" s="3"/>
      <c r="V4" s="3"/>
      <c r="W4" s="3"/>
      <c r="X4" s="3"/>
      <c r="Y4" s="3"/>
      <c r="Z4" s="3"/>
    </row>
    <row r="5">
      <c r="A5" s="3"/>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551"/>
      <c r="S5" s="3"/>
      <c r="T5" s="3"/>
      <c r="U5" s="3"/>
      <c r="V5" s="3"/>
      <c r="W5" s="3"/>
      <c r="X5" s="3"/>
      <c r="Y5" s="3"/>
      <c r="Z5" s="3"/>
    </row>
    <row r="6">
      <c r="A6" s="3"/>
      <c r="B6" s="342">
        <v>1.0</v>
      </c>
      <c r="C6" s="450"/>
      <c r="D6" s="433" t="s">
        <v>15033</v>
      </c>
      <c r="E6" s="434" t="s">
        <v>15034</v>
      </c>
      <c r="F6" s="342" t="s">
        <v>15035</v>
      </c>
      <c r="G6" s="342" t="s">
        <v>29</v>
      </c>
      <c r="H6" s="342" t="s">
        <v>13082</v>
      </c>
      <c r="I6" s="342"/>
      <c r="J6" s="450"/>
      <c r="K6" s="552"/>
      <c r="L6" s="450"/>
      <c r="M6" s="342"/>
      <c r="N6" s="342" t="s">
        <v>15036</v>
      </c>
      <c r="O6" s="342">
        <v>2012.0</v>
      </c>
      <c r="P6" s="433" t="s">
        <v>388</v>
      </c>
      <c r="Q6" s="342">
        <v>2.0</v>
      </c>
      <c r="R6" s="553"/>
      <c r="S6" s="3"/>
      <c r="T6" s="3"/>
      <c r="U6" s="3"/>
      <c r="V6" s="3"/>
      <c r="W6" s="3"/>
      <c r="X6" s="3"/>
      <c r="Y6" s="3"/>
      <c r="Z6" s="3"/>
    </row>
    <row r="7">
      <c r="A7" s="3"/>
      <c r="B7" s="28">
        <v>2.0</v>
      </c>
      <c r="C7" s="413"/>
      <c r="D7" s="191" t="s">
        <v>15037</v>
      </c>
      <c r="E7" s="35" t="s">
        <v>15038</v>
      </c>
      <c r="F7" s="28" t="s">
        <v>15035</v>
      </c>
      <c r="G7" s="28" t="s">
        <v>29</v>
      </c>
      <c r="H7" s="28" t="s">
        <v>30</v>
      </c>
      <c r="I7" s="28"/>
      <c r="J7" s="28" t="s">
        <v>30</v>
      </c>
      <c r="K7" s="28">
        <v>718.0</v>
      </c>
      <c r="L7" s="413"/>
      <c r="M7" s="28"/>
      <c r="N7" s="186" t="s">
        <v>15039</v>
      </c>
      <c r="O7" s="28">
        <v>1950.0</v>
      </c>
      <c r="P7" s="191">
        <v>30.0</v>
      </c>
      <c r="Q7" s="31">
        <v>2.0</v>
      </c>
      <c r="R7" s="554">
        <v>2.0</v>
      </c>
      <c r="S7" s="3"/>
      <c r="T7" s="3"/>
      <c r="U7" s="3"/>
      <c r="V7" s="3"/>
      <c r="W7" s="3"/>
      <c r="X7" s="3"/>
      <c r="Y7" s="3"/>
      <c r="Z7" s="3"/>
    </row>
    <row r="8">
      <c r="A8" s="3"/>
      <c r="B8" s="303">
        <v>3.0</v>
      </c>
      <c r="C8" s="555"/>
      <c r="D8" s="322" t="s">
        <v>15040</v>
      </c>
      <c r="E8" s="420" t="s">
        <v>15041</v>
      </c>
      <c r="F8" s="303" t="s">
        <v>15035</v>
      </c>
      <c r="G8" s="303" t="s">
        <v>29</v>
      </c>
      <c r="H8" s="303" t="s">
        <v>30</v>
      </c>
      <c r="I8" s="303"/>
      <c r="J8" s="303" t="s">
        <v>30</v>
      </c>
      <c r="K8" s="303">
        <v>718.0</v>
      </c>
      <c r="L8" s="555"/>
      <c r="M8" s="303"/>
      <c r="N8" s="322" t="s">
        <v>15039</v>
      </c>
      <c r="O8" s="303">
        <v>1950.0</v>
      </c>
      <c r="P8" s="322" t="s">
        <v>388</v>
      </c>
      <c r="Q8" s="303">
        <v>1.0</v>
      </c>
      <c r="R8" s="554"/>
      <c r="S8" s="3"/>
      <c r="T8" s="3"/>
      <c r="U8" s="3"/>
      <c r="V8" s="3"/>
      <c r="W8" s="3"/>
      <c r="X8" s="3"/>
      <c r="Y8" s="3"/>
      <c r="Z8" s="3"/>
    </row>
    <row r="9">
      <c r="A9" s="3"/>
      <c r="B9" s="342">
        <v>4.0</v>
      </c>
      <c r="C9" s="450"/>
      <c r="D9" s="433" t="s">
        <v>15040</v>
      </c>
      <c r="E9" s="434" t="s">
        <v>15041</v>
      </c>
      <c r="F9" s="342" t="s">
        <v>15035</v>
      </c>
      <c r="G9" s="342" t="s">
        <v>29</v>
      </c>
      <c r="H9" s="342" t="s">
        <v>30</v>
      </c>
      <c r="I9" s="342"/>
      <c r="J9" s="342" t="s">
        <v>30</v>
      </c>
      <c r="K9" s="342">
        <v>718.0</v>
      </c>
      <c r="L9" s="450"/>
      <c r="M9" s="342"/>
      <c r="N9" s="433" t="s">
        <v>15039</v>
      </c>
      <c r="O9" s="342">
        <v>1952.0</v>
      </c>
      <c r="P9" s="433" t="s">
        <v>388</v>
      </c>
      <c r="Q9" s="342">
        <v>1.0</v>
      </c>
      <c r="R9" s="556"/>
      <c r="S9" s="3"/>
      <c r="T9" s="3"/>
      <c r="U9" s="3"/>
      <c r="V9" s="3"/>
      <c r="W9" s="3"/>
      <c r="X9" s="3"/>
      <c r="Y9" s="3"/>
      <c r="Z9" s="3"/>
    </row>
    <row r="10">
      <c r="A10" s="3"/>
      <c r="B10" s="342">
        <v>5.0</v>
      </c>
      <c r="C10" s="450"/>
      <c r="D10" s="433" t="s">
        <v>15040</v>
      </c>
      <c r="E10" s="434" t="s">
        <v>15041</v>
      </c>
      <c r="F10" s="342" t="s">
        <v>15035</v>
      </c>
      <c r="G10" s="342" t="s">
        <v>29</v>
      </c>
      <c r="H10" s="342" t="s">
        <v>30</v>
      </c>
      <c r="I10" s="342"/>
      <c r="J10" s="342" t="s">
        <v>30</v>
      </c>
      <c r="K10" s="342">
        <v>718.0</v>
      </c>
      <c r="L10" s="450"/>
      <c r="M10" s="342"/>
      <c r="N10" s="433" t="s">
        <v>15039</v>
      </c>
      <c r="O10" s="342">
        <v>1952.0</v>
      </c>
      <c r="P10" s="433" t="s">
        <v>388</v>
      </c>
      <c r="Q10" s="342">
        <v>1.0</v>
      </c>
      <c r="R10" s="556"/>
      <c r="S10" s="3"/>
      <c r="T10" s="3"/>
      <c r="U10" s="3"/>
      <c r="V10" s="3"/>
      <c r="W10" s="3"/>
      <c r="X10" s="3"/>
      <c r="Y10" s="3"/>
      <c r="Z10" s="3"/>
    </row>
    <row r="11">
      <c r="A11" s="3"/>
      <c r="B11" s="342">
        <v>6.0</v>
      </c>
      <c r="C11" s="450"/>
      <c r="D11" s="433" t="s">
        <v>15040</v>
      </c>
      <c r="E11" s="434" t="s">
        <v>15041</v>
      </c>
      <c r="F11" s="342" t="s">
        <v>15035</v>
      </c>
      <c r="G11" s="342" t="s">
        <v>29</v>
      </c>
      <c r="H11" s="342" t="s">
        <v>30</v>
      </c>
      <c r="I11" s="342"/>
      <c r="J11" s="342" t="s">
        <v>30</v>
      </c>
      <c r="K11" s="342">
        <v>718.0</v>
      </c>
      <c r="L11" s="450"/>
      <c r="M11" s="342"/>
      <c r="N11" s="433" t="s">
        <v>15039</v>
      </c>
      <c r="O11" s="342">
        <v>1952.0</v>
      </c>
      <c r="P11" s="433" t="s">
        <v>388</v>
      </c>
      <c r="Q11" s="342">
        <v>1.0</v>
      </c>
      <c r="R11" s="556"/>
      <c r="S11" s="3"/>
      <c r="T11" s="3"/>
      <c r="U11" s="3"/>
      <c r="V11" s="3"/>
      <c r="W11" s="3"/>
      <c r="X11" s="3"/>
      <c r="Y11" s="3"/>
      <c r="Z11" s="3"/>
    </row>
    <row r="12">
      <c r="A12" s="3"/>
      <c r="B12" s="28">
        <v>7.0</v>
      </c>
      <c r="C12" s="413"/>
      <c r="D12" s="191" t="s">
        <v>15042</v>
      </c>
      <c r="E12" s="35" t="s">
        <v>15043</v>
      </c>
      <c r="F12" s="28" t="s">
        <v>15035</v>
      </c>
      <c r="G12" s="28" t="s">
        <v>29</v>
      </c>
      <c r="H12" s="28" t="s">
        <v>30</v>
      </c>
      <c r="I12" s="28"/>
      <c r="J12" s="28" t="s">
        <v>30</v>
      </c>
      <c r="K12" s="31">
        <v>718.0</v>
      </c>
      <c r="L12" s="413"/>
      <c r="M12" s="28"/>
      <c r="N12" s="186" t="s">
        <v>15044</v>
      </c>
      <c r="O12" s="28">
        <v>1952.0</v>
      </c>
      <c r="P12" s="191">
        <v>30.0</v>
      </c>
      <c r="Q12" s="31">
        <v>3.0</v>
      </c>
      <c r="R12" s="554">
        <v>3.0</v>
      </c>
      <c r="S12" s="3"/>
      <c r="T12" s="3"/>
      <c r="U12" s="3"/>
      <c r="V12" s="3"/>
      <c r="W12" s="3"/>
      <c r="X12" s="3"/>
      <c r="Y12" s="3"/>
      <c r="Z12" s="3"/>
    </row>
    <row r="13">
      <c r="A13" s="3"/>
      <c r="B13" s="28">
        <v>8.0</v>
      </c>
      <c r="C13" s="413"/>
      <c r="D13" s="191" t="s">
        <v>15045</v>
      </c>
      <c r="E13" s="188" t="s">
        <v>15041</v>
      </c>
      <c r="F13" s="28" t="s">
        <v>15035</v>
      </c>
      <c r="G13" s="28" t="s">
        <v>29</v>
      </c>
      <c r="H13" s="28" t="s">
        <v>30</v>
      </c>
      <c r="I13" s="28"/>
      <c r="J13" s="28" t="s">
        <v>30</v>
      </c>
      <c r="K13" s="28">
        <v>760.0</v>
      </c>
      <c r="L13" s="413"/>
      <c r="M13" s="28"/>
      <c r="N13" s="186" t="s">
        <v>15044</v>
      </c>
      <c r="O13" s="28">
        <v>1952.0</v>
      </c>
      <c r="P13" s="191">
        <v>30.0</v>
      </c>
      <c r="Q13" s="28">
        <v>1.0</v>
      </c>
      <c r="R13" s="554">
        <v>2.0</v>
      </c>
      <c r="S13" s="3"/>
      <c r="T13" s="3"/>
      <c r="U13" s="3"/>
      <c r="V13" s="3"/>
      <c r="W13" s="3"/>
      <c r="X13" s="3"/>
      <c r="Y13" s="3"/>
      <c r="Z13" s="3"/>
    </row>
    <row r="14">
      <c r="A14" s="3"/>
      <c r="B14" s="28">
        <v>9.0</v>
      </c>
      <c r="C14" s="413"/>
      <c r="D14" s="191" t="s">
        <v>15046</v>
      </c>
      <c r="E14" s="188" t="s">
        <v>15041</v>
      </c>
      <c r="F14" s="28" t="s">
        <v>15035</v>
      </c>
      <c r="G14" s="28" t="s">
        <v>29</v>
      </c>
      <c r="H14" s="28" t="s">
        <v>30</v>
      </c>
      <c r="I14" s="28"/>
      <c r="J14" s="28" t="s">
        <v>30</v>
      </c>
      <c r="K14" s="28">
        <v>760.0</v>
      </c>
      <c r="L14" s="413"/>
      <c r="M14" s="28"/>
      <c r="N14" s="186" t="s">
        <v>15044</v>
      </c>
      <c r="O14" s="28">
        <v>1953.0</v>
      </c>
      <c r="P14" s="186" t="s">
        <v>388</v>
      </c>
      <c r="Q14" s="28">
        <v>1.0</v>
      </c>
      <c r="R14" s="554">
        <v>1.0</v>
      </c>
      <c r="S14" s="3"/>
      <c r="T14" s="3"/>
      <c r="U14" s="3"/>
      <c r="V14" s="3"/>
      <c r="W14" s="3"/>
      <c r="X14" s="3"/>
      <c r="Y14" s="3"/>
      <c r="Z14" s="3"/>
    </row>
    <row r="15">
      <c r="A15" s="3"/>
      <c r="B15" s="28">
        <v>10.0</v>
      </c>
      <c r="C15" s="413"/>
      <c r="D15" s="191" t="s">
        <v>15045</v>
      </c>
      <c r="E15" s="188" t="s">
        <v>15041</v>
      </c>
      <c r="F15" s="28" t="s">
        <v>15035</v>
      </c>
      <c r="G15" s="28" t="s">
        <v>29</v>
      </c>
      <c r="H15" s="28" t="s">
        <v>30</v>
      </c>
      <c r="I15" s="28"/>
      <c r="J15" s="28" t="s">
        <v>30</v>
      </c>
      <c r="K15" s="28">
        <v>760.0</v>
      </c>
      <c r="L15" s="413"/>
      <c r="M15" s="28"/>
      <c r="N15" s="186" t="s">
        <v>15044</v>
      </c>
      <c r="O15" s="28">
        <v>1952.0</v>
      </c>
      <c r="P15" s="186" t="s">
        <v>388</v>
      </c>
      <c r="Q15" s="28">
        <v>1.0</v>
      </c>
      <c r="R15" s="556"/>
      <c r="S15" s="3"/>
      <c r="T15" s="3"/>
      <c r="U15" s="3"/>
      <c r="V15" s="3"/>
      <c r="W15" s="3"/>
      <c r="X15" s="3"/>
      <c r="Y15" s="3"/>
      <c r="Z15" s="3"/>
    </row>
    <row r="16">
      <c r="A16" s="3"/>
      <c r="B16" s="342">
        <v>11.0</v>
      </c>
      <c r="C16" s="430" t="s">
        <v>31</v>
      </c>
      <c r="D16" s="430" t="s">
        <v>15040</v>
      </c>
      <c r="E16" s="432" t="s">
        <v>15047</v>
      </c>
      <c r="F16" s="557" t="s">
        <v>15035</v>
      </c>
      <c r="G16" s="557" t="s">
        <v>29</v>
      </c>
      <c r="H16" s="557" t="s">
        <v>30</v>
      </c>
      <c r="I16" s="557"/>
      <c r="J16" s="557" t="s">
        <v>30</v>
      </c>
      <c r="K16" s="557">
        <v>624.0</v>
      </c>
      <c r="L16" s="430" t="s">
        <v>15048</v>
      </c>
      <c r="M16" s="430"/>
      <c r="N16" s="557" t="s">
        <v>15049</v>
      </c>
      <c r="O16" s="557">
        <v>1974.0</v>
      </c>
      <c r="P16" s="430" t="s">
        <v>388</v>
      </c>
      <c r="Q16" s="557">
        <v>2.0</v>
      </c>
      <c r="R16" s="556"/>
      <c r="S16" s="3"/>
      <c r="T16" s="3"/>
      <c r="U16" s="3"/>
      <c r="V16" s="3"/>
      <c r="W16" s="3"/>
      <c r="X16" s="3"/>
      <c r="Y16" s="3"/>
      <c r="Z16" s="3"/>
    </row>
    <row r="17">
      <c r="A17" s="3"/>
      <c r="B17" s="342"/>
      <c r="C17" s="430" t="s">
        <v>31</v>
      </c>
      <c r="D17" s="430" t="s">
        <v>15040</v>
      </c>
      <c r="E17" s="432" t="s">
        <v>15050</v>
      </c>
      <c r="F17" s="557" t="s">
        <v>15035</v>
      </c>
      <c r="G17" s="557" t="s">
        <v>29</v>
      </c>
      <c r="H17" s="557" t="s">
        <v>30</v>
      </c>
      <c r="I17" s="557"/>
      <c r="J17" s="557" t="s">
        <v>30</v>
      </c>
      <c r="K17" s="557">
        <v>625.0</v>
      </c>
      <c r="L17" s="430" t="s">
        <v>15051</v>
      </c>
      <c r="M17" s="430"/>
      <c r="N17" s="557" t="s">
        <v>15049</v>
      </c>
      <c r="O17" s="557">
        <v>1975.0</v>
      </c>
      <c r="P17" s="430" t="s">
        <v>388</v>
      </c>
      <c r="Q17" s="557">
        <v>1.0</v>
      </c>
      <c r="R17" s="556"/>
      <c r="S17" s="3"/>
      <c r="T17" s="3"/>
      <c r="U17" s="3"/>
      <c r="V17" s="3"/>
      <c r="W17" s="3"/>
      <c r="X17" s="3"/>
      <c r="Y17" s="3"/>
      <c r="Z17" s="3"/>
    </row>
    <row r="18">
      <c r="A18" s="3"/>
      <c r="B18" s="342">
        <v>12.0</v>
      </c>
      <c r="C18" s="433"/>
      <c r="D18" s="433" t="s">
        <v>15052</v>
      </c>
      <c r="E18" s="434" t="s">
        <v>15053</v>
      </c>
      <c r="F18" s="342" t="s">
        <v>15035</v>
      </c>
      <c r="G18" s="342" t="s">
        <v>29</v>
      </c>
      <c r="H18" s="342" t="s">
        <v>30</v>
      </c>
      <c r="I18" s="342"/>
      <c r="J18" s="342" t="s">
        <v>30</v>
      </c>
      <c r="K18" s="342">
        <v>402.0</v>
      </c>
      <c r="L18" s="433" t="s">
        <v>31</v>
      </c>
      <c r="M18" s="433"/>
      <c r="N18" s="433" t="s">
        <v>4645</v>
      </c>
      <c r="O18" s="342">
        <v>1976.0</v>
      </c>
      <c r="P18" s="433" t="s">
        <v>388</v>
      </c>
      <c r="Q18" s="342">
        <v>2.0</v>
      </c>
      <c r="R18" s="556"/>
      <c r="S18" s="3"/>
      <c r="T18" s="3"/>
      <c r="U18" s="3"/>
      <c r="V18" s="3"/>
      <c r="W18" s="3"/>
      <c r="X18" s="3"/>
      <c r="Y18" s="3"/>
      <c r="Z18" s="3"/>
    </row>
    <row r="19">
      <c r="A19" s="3"/>
      <c r="B19" s="342">
        <v>13.0</v>
      </c>
      <c r="C19" s="433"/>
      <c r="D19" s="433" t="s">
        <v>15054</v>
      </c>
      <c r="E19" s="434" t="s">
        <v>15055</v>
      </c>
      <c r="F19" s="342" t="s">
        <v>15035</v>
      </c>
      <c r="G19" s="342" t="s">
        <v>29</v>
      </c>
      <c r="H19" s="342" t="s">
        <v>30</v>
      </c>
      <c r="I19" s="342"/>
      <c r="J19" s="342" t="s">
        <v>30</v>
      </c>
      <c r="K19" s="342">
        <v>89.0</v>
      </c>
      <c r="L19" s="433" t="s">
        <v>31</v>
      </c>
      <c r="M19" s="433"/>
      <c r="N19" s="433" t="s">
        <v>4645</v>
      </c>
      <c r="O19" s="342">
        <v>1975.0</v>
      </c>
      <c r="P19" s="433" t="s">
        <v>388</v>
      </c>
      <c r="Q19" s="342">
        <v>2.0</v>
      </c>
      <c r="R19" s="556"/>
      <c r="S19" s="3"/>
      <c r="T19" s="3"/>
      <c r="U19" s="3"/>
      <c r="V19" s="3"/>
      <c r="W19" s="3"/>
      <c r="X19" s="3"/>
      <c r="Y19" s="3"/>
      <c r="Z19" s="3"/>
    </row>
    <row r="20">
      <c r="A20" s="3"/>
      <c r="B20" s="342">
        <v>14.0</v>
      </c>
      <c r="C20" s="433"/>
      <c r="D20" s="433" t="s">
        <v>15040</v>
      </c>
      <c r="E20" s="434" t="s">
        <v>15056</v>
      </c>
      <c r="F20" s="342" t="s">
        <v>15035</v>
      </c>
      <c r="G20" s="342" t="s">
        <v>29</v>
      </c>
      <c r="H20" s="342" t="s">
        <v>30</v>
      </c>
      <c r="I20" s="342"/>
      <c r="J20" s="342" t="s">
        <v>30</v>
      </c>
      <c r="K20" s="342">
        <v>846.0</v>
      </c>
      <c r="L20" s="433" t="s">
        <v>15057</v>
      </c>
      <c r="M20" s="433"/>
      <c r="N20" s="342" t="s">
        <v>114</v>
      </c>
      <c r="O20" s="342">
        <v>1978.0</v>
      </c>
      <c r="P20" s="433" t="s">
        <v>388</v>
      </c>
      <c r="Q20" s="342">
        <v>1.0</v>
      </c>
      <c r="R20" s="556"/>
      <c r="S20" s="3"/>
      <c r="T20" s="3"/>
      <c r="U20" s="3"/>
      <c r="V20" s="3"/>
      <c r="W20" s="3"/>
      <c r="X20" s="3"/>
      <c r="Y20" s="3"/>
      <c r="Z20" s="3"/>
    </row>
    <row r="21" ht="15.75" customHeight="1">
      <c r="A21" s="3"/>
      <c r="B21" s="342">
        <v>15.0</v>
      </c>
      <c r="C21" s="433"/>
      <c r="D21" s="433" t="s">
        <v>15040</v>
      </c>
      <c r="E21" s="434" t="s">
        <v>15058</v>
      </c>
      <c r="F21" s="342" t="s">
        <v>15035</v>
      </c>
      <c r="G21" s="342" t="s">
        <v>29</v>
      </c>
      <c r="H21" s="342" t="s">
        <v>30</v>
      </c>
      <c r="I21" s="342"/>
      <c r="J21" s="342" t="s">
        <v>30</v>
      </c>
      <c r="K21" s="342">
        <v>846.0</v>
      </c>
      <c r="L21" s="433" t="s">
        <v>31</v>
      </c>
      <c r="M21" s="433"/>
      <c r="N21" s="433" t="s">
        <v>114</v>
      </c>
      <c r="O21" s="342">
        <v>1978.0</v>
      </c>
      <c r="P21" s="433" t="s">
        <v>388</v>
      </c>
      <c r="Q21" s="342">
        <v>1.0</v>
      </c>
      <c r="R21" s="556"/>
      <c r="S21" s="3"/>
      <c r="T21" s="3"/>
      <c r="U21" s="3"/>
      <c r="V21" s="3"/>
      <c r="W21" s="3"/>
      <c r="X21" s="3"/>
      <c r="Y21" s="3"/>
      <c r="Z21" s="3"/>
    </row>
    <row r="22" ht="15.75" customHeight="1">
      <c r="A22" s="3"/>
      <c r="B22" s="342">
        <v>16.0</v>
      </c>
      <c r="C22" s="433"/>
      <c r="D22" s="433" t="s">
        <v>15059</v>
      </c>
      <c r="E22" s="434" t="s">
        <v>15060</v>
      </c>
      <c r="F22" s="342" t="s">
        <v>15035</v>
      </c>
      <c r="G22" s="342" t="s">
        <v>29</v>
      </c>
      <c r="H22" s="342" t="s">
        <v>30</v>
      </c>
      <c r="I22" s="342"/>
      <c r="J22" s="342" t="s">
        <v>30</v>
      </c>
      <c r="K22" s="342" t="s">
        <v>31</v>
      </c>
      <c r="L22" s="433" t="s">
        <v>31</v>
      </c>
      <c r="M22" s="433"/>
      <c r="N22" s="342" t="s">
        <v>15061</v>
      </c>
      <c r="O22" s="342">
        <v>1987.0</v>
      </c>
      <c r="P22" s="433" t="s">
        <v>388</v>
      </c>
      <c r="Q22" s="342">
        <v>1.0</v>
      </c>
      <c r="R22" s="556"/>
      <c r="S22" s="3"/>
      <c r="T22" s="3"/>
      <c r="U22" s="3"/>
      <c r="V22" s="3"/>
      <c r="W22" s="3"/>
      <c r="X22" s="3"/>
      <c r="Y22" s="3"/>
      <c r="Z22" s="3"/>
    </row>
    <row r="23" ht="15.75" customHeight="1">
      <c r="A23" s="3"/>
      <c r="B23" s="342">
        <v>17.0</v>
      </c>
      <c r="C23" s="433"/>
      <c r="D23" s="433" t="s">
        <v>15062</v>
      </c>
      <c r="E23" s="434" t="s">
        <v>15063</v>
      </c>
      <c r="F23" s="342" t="s">
        <v>15035</v>
      </c>
      <c r="G23" s="342" t="s">
        <v>29</v>
      </c>
      <c r="H23" s="342" t="s">
        <v>30</v>
      </c>
      <c r="I23" s="342"/>
      <c r="J23" s="342" t="s">
        <v>30</v>
      </c>
      <c r="K23" s="342">
        <v>328.0</v>
      </c>
      <c r="L23" s="433" t="s">
        <v>31</v>
      </c>
      <c r="M23" s="433"/>
      <c r="N23" s="342" t="s">
        <v>15061</v>
      </c>
      <c r="O23" s="342">
        <v>1988.0</v>
      </c>
      <c r="P23" s="433" t="s">
        <v>388</v>
      </c>
      <c r="Q23" s="342">
        <v>1.0</v>
      </c>
      <c r="R23" s="556"/>
      <c r="S23" s="3"/>
      <c r="T23" s="3"/>
      <c r="U23" s="3"/>
      <c r="V23" s="3"/>
      <c r="W23" s="3"/>
      <c r="X23" s="3"/>
      <c r="Y23" s="3"/>
      <c r="Z23" s="3"/>
    </row>
    <row r="24" ht="15.75" customHeight="1">
      <c r="A24" s="3"/>
      <c r="B24" s="28">
        <v>18.0</v>
      </c>
      <c r="C24" s="198"/>
      <c r="D24" s="503" t="s">
        <v>15064</v>
      </c>
      <c r="E24" s="558" t="s">
        <v>15065</v>
      </c>
      <c r="F24" s="28" t="s">
        <v>15035</v>
      </c>
      <c r="G24" s="79" t="s">
        <v>29</v>
      </c>
      <c r="H24" s="79" t="s">
        <v>30</v>
      </c>
      <c r="I24" s="28"/>
      <c r="J24" s="79" t="s">
        <v>30</v>
      </c>
      <c r="K24" s="79">
        <v>718.0</v>
      </c>
      <c r="L24" s="79"/>
      <c r="M24" s="186"/>
      <c r="N24" s="413" t="s">
        <v>15044</v>
      </c>
      <c r="O24" s="79">
        <v>1955.0</v>
      </c>
      <c r="P24" s="191">
        <v>30.0</v>
      </c>
      <c r="Q24" s="80">
        <v>2.0</v>
      </c>
      <c r="R24" s="554">
        <v>2.0</v>
      </c>
      <c r="S24" s="3"/>
      <c r="T24" s="3"/>
      <c r="U24" s="3"/>
      <c r="V24" s="3"/>
      <c r="W24" s="3"/>
      <c r="X24" s="3"/>
      <c r="Y24" s="3"/>
      <c r="Z24" s="3"/>
    </row>
    <row r="25" ht="15.75" customHeight="1">
      <c r="A25" s="3"/>
      <c r="B25" s="28">
        <v>19.0</v>
      </c>
      <c r="C25" s="198"/>
      <c r="D25" s="503" t="s">
        <v>15064</v>
      </c>
      <c r="E25" s="558" t="s">
        <v>15066</v>
      </c>
      <c r="F25" s="28" t="s">
        <v>15035</v>
      </c>
      <c r="G25" s="79" t="s">
        <v>29</v>
      </c>
      <c r="H25" s="79" t="s">
        <v>30</v>
      </c>
      <c r="I25" s="28"/>
      <c r="J25" s="79" t="s">
        <v>30</v>
      </c>
      <c r="K25" s="79">
        <v>715.0</v>
      </c>
      <c r="L25" s="79"/>
      <c r="M25" s="186"/>
      <c r="N25" s="413" t="s">
        <v>15044</v>
      </c>
      <c r="O25" s="79">
        <v>1955.0</v>
      </c>
      <c r="P25" s="191">
        <v>30.0</v>
      </c>
      <c r="Q25" s="79">
        <v>1.0</v>
      </c>
      <c r="R25" s="554">
        <v>1.0</v>
      </c>
      <c r="S25" s="3"/>
      <c r="T25" s="3"/>
      <c r="U25" s="3"/>
      <c r="V25" s="3"/>
      <c r="W25" s="3"/>
      <c r="X25" s="3"/>
      <c r="Y25" s="3"/>
      <c r="Z25" s="3"/>
    </row>
    <row r="26" ht="15.75" customHeight="1">
      <c r="A26" s="3"/>
      <c r="B26" s="342">
        <v>20.0</v>
      </c>
      <c r="C26" s="433"/>
      <c r="D26" s="342" t="s">
        <v>15067</v>
      </c>
      <c r="E26" s="434" t="s">
        <v>15068</v>
      </c>
      <c r="F26" s="342" t="s">
        <v>15035</v>
      </c>
      <c r="G26" s="342" t="s">
        <v>29</v>
      </c>
      <c r="H26" s="342" t="s">
        <v>30</v>
      </c>
      <c r="I26" s="342"/>
      <c r="J26" s="342" t="s">
        <v>30</v>
      </c>
      <c r="K26" s="342">
        <v>894.0</v>
      </c>
      <c r="L26" s="433" t="s">
        <v>31</v>
      </c>
      <c r="M26" s="433" t="s">
        <v>15069</v>
      </c>
      <c r="N26" s="342"/>
      <c r="O26" s="342">
        <v>2006.0</v>
      </c>
      <c r="P26" s="433" t="s">
        <v>388</v>
      </c>
      <c r="Q26" s="342">
        <v>2.0</v>
      </c>
      <c r="R26" s="556"/>
      <c r="S26" s="3"/>
      <c r="T26" s="3"/>
      <c r="U26" s="3"/>
      <c r="V26" s="3"/>
      <c r="W26" s="3"/>
      <c r="X26" s="3"/>
      <c r="Y26" s="3"/>
      <c r="Z26" s="3"/>
    </row>
    <row r="27" ht="15.75" customHeight="1">
      <c r="A27" s="3"/>
      <c r="B27" s="342">
        <v>21.0</v>
      </c>
      <c r="C27" s="433"/>
      <c r="D27" s="342" t="s">
        <v>15067</v>
      </c>
      <c r="E27" s="434" t="s">
        <v>15070</v>
      </c>
      <c r="F27" s="342" t="s">
        <v>15035</v>
      </c>
      <c r="G27" s="342" t="s">
        <v>29</v>
      </c>
      <c r="H27" s="342" t="s">
        <v>30</v>
      </c>
      <c r="I27" s="342"/>
      <c r="J27" s="342" t="s">
        <v>30</v>
      </c>
      <c r="K27" s="342">
        <v>602.0</v>
      </c>
      <c r="L27" s="433" t="s">
        <v>31</v>
      </c>
      <c r="M27" s="433" t="s">
        <v>15069</v>
      </c>
      <c r="N27" s="342"/>
      <c r="O27" s="342">
        <v>2006.0</v>
      </c>
      <c r="P27" s="433" t="s">
        <v>388</v>
      </c>
      <c r="Q27" s="342">
        <v>2.0</v>
      </c>
      <c r="R27" s="556"/>
      <c r="S27" s="3"/>
      <c r="T27" s="3"/>
      <c r="U27" s="3"/>
      <c r="V27" s="3"/>
      <c r="W27" s="3"/>
      <c r="X27" s="3"/>
      <c r="Y27" s="3"/>
      <c r="Z27" s="3"/>
    </row>
    <row r="28" ht="15.75" customHeight="1">
      <c r="A28" s="3"/>
      <c r="B28" s="342">
        <v>22.0</v>
      </c>
      <c r="C28" s="433"/>
      <c r="D28" s="342" t="s">
        <v>15067</v>
      </c>
      <c r="E28" s="434" t="s">
        <v>15071</v>
      </c>
      <c r="F28" s="342" t="s">
        <v>15035</v>
      </c>
      <c r="G28" s="342" t="s">
        <v>29</v>
      </c>
      <c r="H28" s="342" t="s">
        <v>30</v>
      </c>
      <c r="I28" s="342"/>
      <c r="J28" s="342" t="s">
        <v>30</v>
      </c>
      <c r="K28" s="342">
        <v>303.0</v>
      </c>
      <c r="L28" s="433" t="s">
        <v>31</v>
      </c>
      <c r="M28" s="433" t="s">
        <v>15069</v>
      </c>
      <c r="N28" s="342"/>
      <c r="O28" s="342">
        <v>2006.0</v>
      </c>
      <c r="P28" s="433" t="s">
        <v>388</v>
      </c>
      <c r="Q28" s="342">
        <v>2.0</v>
      </c>
      <c r="R28" s="556"/>
      <c r="S28" s="3"/>
      <c r="T28" s="3"/>
      <c r="U28" s="3"/>
      <c r="V28" s="3"/>
      <c r="W28" s="3"/>
      <c r="X28" s="3"/>
      <c r="Y28" s="3"/>
      <c r="Z28" s="3"/>
    </row>
    <row r="29" ht="15.75" customHeight="1">
      <c r="A29" s="3"/>
      <c r="B29" s="28">
        <v>23.0</v>
      </c>
      <c r="C29" s="186" t="s">
        <v>15072</v>
      </c>
      <c r="D29" s="191" t="s">
        <v>15073</v>
      </c>
      <c r="E29" s="188" t="s">
        <v>15074</v>
      </c>
      <c r="F29" s="28" t="s">
        <v>15035</v>
      </c>
      <c r="G29" s="186" t="s">
        <v>29</v>
      </c>
      <c r="H29" s="186" t="s">
        <v>127</v>
      </c>
      <c r="I29" s="186"/>
      <c r="J29" s="186" t="s">
        <v>15075</v>
      </c>
      <c r="K29" s="186">
        <v>787.0</v>
      </c>
      <c r="L29" s="186" t="s">
        <v>31</v>
      </c>
      <c r="M29" s="186"/>
      <c r="N29" s="186" t="s">
        <v>8959</v>
      </c>
      <c r="O29" s="186">
        <v>2007.0</v>
      </c>
      <c r="P29" s="191">
        <v>30.0</v>
      </c>
      <c r="Q29" s="186">
        <v>1.0</v>
      </c>
      <c r="R29" s="554">
        <v>1.0</v>
      </c>
      <c r="S29" s="3"/>
      <c r="T29" s="3"/>
      <c r="U29" s="3"/>
      <c r="V29" s="3"/>
      <c r="W29" s="3"/>
      <c r="X29" s="3"/>
      <c r="Y29" s="3"/>
      <c r="Z29" s="3"/>
    </row>
    <row r="30" ht="15.75" customHeight="1">
      <c r="A30" s="3"/>
      <c r="B30" s="342">
        <v>24.0</v>
      </c>
      <c r="C30" s="433" t="s">
        <v>15076</v>
      </c>
      <c r="D30" s="433" t="s">
        <v>15077</v>
      </c>
      <c r="E30" s="434" t="s">
        <v>15078</v>
      </c>
      <c r="F30" s="342" t="s">
        <v>15035</v>
      </c>
      <c r="G30" s="433" t="s">
        <v>29</v>
      </c>
      <c r="H30" s="433" t="s">
        <v>15079</v>
      </c>
      <c r="I30" s="433"/>
      <c r="J30" s="433" t="s">
        <v>15080</v>
      </c>
      <c r="K30" s="433">
        <v>642.0</v>
      </c>
      <c r="L30" s="433" t="s">
        <v>15057</v>
      </c>
      <c r="M30" s="433"/>
      <c r="N30" s="433" t="s">
        <v>8959</v>
      </c>
      <c r="O30" s="433">
        <v>2003.0</v>
      </c>
      <c r="P30" s="433" t="s">
        <v>388</v>
      </c>
      <c r="Q30" s="433">
        <v>2.0</v>
      </c>
      <c r="R30" s="556"/>
      <c r="S30" s="3"/>
      <c r="T30" s="3"/>
      <c r="U30" s="3"/>
      <c r="V30" s="3"/>
      <c r="W30" s="3"/>
      <c r="X30" s="3"/>
      <c r="Y30" s="3"/>
      <c r="Z30" s="3"/>
    </row>
    <row r="31" ht="15.75" customHeight="1">
      <c r="A31" s="3"/>
      <c r="B31" s="559" t="s">
        <v>15081</v>
      </c>
      <c r="C31" s="433" t="s">
        <v>15082</v>
      </c>
      <c r="D31" s="433" t="s">
        <v>15083</v>
      </c>
      <c r="E31" s="434" t="s">
        <v>15084</v>
      </c>
      <c r="F31" s="342" t="s">
        <v>15035</v>
      </c>
      <c r="G31" s="433" t="s">
        <v>29</v>
      </c>
      <c r="H31" s="433" t="s">
        <v>30</v>
      </c>
      <c r="I31" s="433"/>
      <c r="J31" s="433" t="s">
        <v>30</v>
      </c>
      <c r="K31" s="433">
        <v>397.0</v>
      </c>
      <c r="L31" s="433" t="s">
        <v>15057</v>
      </c>
      <c r="M31" s="433"/>
      <c r="N31" s="433" t="s">
        <v>15085</v>
      </c>
      <c r="O31" s="433">
        <v>2005.0</v>
      </c>
      <c r="P31" s="433" t="s">
        <v>388</v>
      </c>
      <c r="Q31" s="433">
        <v>2.0</v>
      </c>
      <c r="R31" s="556"/>
      <c r="S31" s="3"/>
      <c r="T31" s="3"/>
      <c r="U31" s="3"/>
      <c r="V31" s="3"/>
      <c r="W31" s="3"/>
      <c r="X31" s="3"/>
      <c r="Y31" s="3"/>
      <c r="Z31" s="3"/>
    </row>
    <row r="32" ht="15.75" customHeight="1">
      <c r="A32" s="3"/>
      <c r="B32" s="559" t="s">
        <v>15086</v>
      </c>
      <c r="C32" s="433"/>
      <c r="D32" s="433"/>
      <c r="E32" s="434"/>
      <c r="F32" s="342"/>
      <c r="G32" s="433"/>
      <c r="H32" s="433"/>
      <c r="I32" s="433"/>
      <c r="J32" s="433"/>
      <c r="K32" s="433"/>
      <c r="L32" s="433"/>
      <c r="M32" s="433"/>
      <c r="N32" s="433"/>
      <c r="O32" s="433"/>
      <c r="P32" s="433"/>
      <c r="Q32" s="433"/>
      <c r="R32" s="556"/>
      <c r="S32" s="3"/>
      <c r="T32" s="3"/>
      <c r="U32" s="3"/>
      <c r="V32" s="3"/>
      <c r="W32" s="3"/>
      <c r="X32" s="3"/>
      <c r="Y32" s="3"/>
      <c r="Z32" s="3"/>
    </row>
    <row r="33" ht="15.75" customHeight="1">
      <c r="A33" s="3"/>
      <c r="B33" s="560" t="s">
        <v>15087</v>
      </c>
      <c r="C33" s="430" t="s">
        <v>15088</v>
      </c>
      <c r="D33" s="430" t="s">
        <v>15089</v>
      </c>
      <c r="E33" s="432" t="s">
        <v>15090</v>
      </c>
      <c r="F33" s="557" t="s">
        <v>15035</v>
      </c>
      <c r="G33" s="430" t="s">
        <v>29</v>
      </c>
      <c r="H33" s="430" t="s">
        <v>30</v>
      </c>
      <c r="I33" s="430"/>
      <c r="J33" s="430" t="s">
        <v>30</v>
      </c>
      <c r="K33" s="430">
        <f>1198+14</f>
        <v>1212</v>
      </c>
      <c r="L33" s="430" t="s">
        <v>15091</v>
      </c>
      <c r="M33" s="430"/>
      <c r="N33" s="430" t="s">
        <v>15092</v>
      </c>
      <c r="O33" s="430">
        <v>2014.0</v>
      </c>
      <c r="P33" s="430" t="s">
        <v>388</v>
      </c>
      <c r="Q33" s="430">
        <v>2.0</v>
      </c>
      <c r="R33" s="556"/>
      <c r="S33" s="3"/>
      <c r="T33" s="3"/>
      <c r="U33" s="3"/>
      <c r="V33" s="3"/>
      <c r="W33" s="3"/>
      <c r="X33" s="3"/>
      <c r="Y33" s="3"/>
      <c r="Z33" s="3"/>
    </row>
    <row r="34" ht="15.75" customHeight="1">
      <c r="A34" s="3"/>
      <c r="B34" s="560" t="s">
        <v>15093</v>
      </c>
      <c r="C34" s="430" t="s">
        <v>31</v>
      </c>
      <c r="D34" s="430" t="s">
        <v>15094</v>
      </c>
      <c r="E34" s="432" t="s">
        <v>15095</v>
      </c>
      <c r="F34" s="557" t="s">
        <v>15035</v>
      </c>
      <c r="G34" s="430" t="s">
        <v>29</v>
      </c>
      <c r="H34" s="430" t="s">
        <v>37</v>
      </c>
      <c r="I34" s="430"/>
      <c r="J34" s="430" t="s">
        <v>30</v>
      </c>
      <c r="K34" s="430">
        <v>448.0</v>
      </c>
      <c r="L34" s="430" t="s">
        <v>15096</v>
      </c>
      <c r="M34" s="430"/>
      <c r="N34" s="430" t="s">
        <v>15097</v>
      </c>
      <c r="O34" s="430">
        <v>1994.0</v>
      </c>
      <c r="P34" s="430" t="s">
        <v>388</v>
      </c>
      <c r="Q34" s="430">
        <v>1.0</v>
      </c>
      <c r="R34" s="556"/>
      <c r="S34" s="3"/>
      <c r="T34" s="3"/>
      <c r="U34" s="3"/>
      <c r="V34" s="3"/>
      <c r="W34" s="3"/>
      <c r="X34" s="3"/>
      <c r="Y34" s="3"/>
      <c r="Z34" s="3"/>
    </row>
    <row r="35" ht="15.75" customHeight="1">
      <c r="A35" s="3"/>
      <c r="B35" s="560" t="s">
        <v>15098</v>
      </c>
      <c r="C35" s="430" t="s">
        <v>31</v>
      </c>
      <c r="D35" s="430" t="s">
        <v>15099</v>
      </c>
      <c r="E35" s="432" t="s">
        <v>15100</v>
      </c>
      <c r="F35" s="557" t="s">
        <v>15035</v>
      </c>
      <c r="G35" s="430" t="s">
        <v>29</v>
      </c>
      <c r="H35" s="430" t="s">
        <v>15101</v>
      </c>
      <c r="I35" s="430"/>
      <c r="J35" s="430" t="s">
        <v>15102</v>
      </c>
      <c r="K35" s="430">
        <f>264</f>
        <v>264</v>
      </c>
      <c r="L35" s="430" t="s">
        <v>31</v>
      </c>
      <c r="M35" s="430"/>
      <c r="N35" s="430" t="s">
        <v>15103</v>
      </c>
      <c r="O35" s="430">
        <v>1973.0</v>
      </c>
      <c r="P35" s="430" t="s">
        <v>388</v>
      </c>
      <c r="Q35" s="430">
        <v>1.0</v>
      </c>
      <c r="R35" s="556"/>
      <c r="S35" s="3"/>
      <c r="T35" s="3"/>
      <c r="U35" s="3"/>
      <c r="V35" s="3"/>
      <c r="W35" s="3"/>
      <c r="X35" s="3"/>
      <c r="Y35" s="3"/>
      <c r="Z35" s="3"/>
    </row>
    <row r="36" ht="15.75" customHeight="1">
      <c r="A36" s="3"/>
      <c r="B36" s="560" t="s">
        <v>15104</v>
      </c>
      <c r="C36" s="430" t="s">
        <v>31</v>
      </c>
      <c r="D36" s="430" t="s">
        <v>15105</v>
      </c>
      <c r="E36" s="432" t="s">
        <v>15106</v>
      </c>
      <c r="F36" s="557" t="s">
        <v>15035</v>
      </c>
      <c r="G36" s="430" t="s">
        <v>29</v>
      </c>
      <c r="H36" s="430" t="s">
        <v>30</v>
      </c>
      <c r="I36" s="430"/>
      <c r="J36" s="430"/>
      <c r="K36" s="430">
        <v>440.0</v>
      </c>
      <c r="L36" s="430" t="s">
        <v>31</v>
      </c>
      <c r="M36" s="430"/>
      <c r="N36" s="430" t="s">
        <v>15107</v>
      </c>
      <c r="O36" s="430">
        <v>1970.0</v>
      </c>
      <c r="P36" s="430" t="s">
        <v>388</v>
      </c>
      <c r="Q36" s="430">
        <v>1.0</v>
      </c>
      <c r="R36" s="556"/>
      <c r="S36" s="3"/>
      <c r="T36" s="3"/>
      <c r="U36" s="3"/>
      <c r="V36" s="3"/>
      <c r="W36" s="3"/>
      <c r="X36" s="3"/>
      <c r="Y36" s="3"/>
      <c r="Z36" s="3"/>
    </row>
    <row r="37" ht="15.75" customHeight="1">
      <c r="A37" s="3"/>
      <c r="B37" s="44" t="s">
        <v>15108</v>
      </c>
      <c r="C37" s="186" t="s">
        <v>15109</v>
      </c>
      <c r="D37" s="191" t="s">
        <v>15110</v>
      </c>
      <c r="E37" s="188" t="s">
        <v>15111</v>
      </c>
      <c r="F37" s="28" t="s">
        <v>15035</v>
      </c>
      <c r="G37" s="186" t="s">
        <v>29</v>
      </c>
      <c r="H37" s="186" t="s">
        <v>30</v>
      </c>
      <c r="I37" s="186"/>
      <c r="J37" s="186" t="s">
        <v>30</v>
      </c>
      <c r="K37" s="186">
        <f>1104+6</f>
        <v>1110</v>
      </c>
      <c r="L37" s="186" t="s">
        <v>4612</v>
      </c>
      <c r="M37" s="186"/>
      <c r="N37" s="186" t="s">
        <v>15112</v>
      </c>
      <c r="O37" s="186">
        <v>2013.0</v>
      </c>
      <c r="P37" s="191">
        <v>30.0</v>
      </c>
      <c r="Q37" s="186">
        <v>2.0</v>
      </c>
      <c r="R37" s="554">
        <v>2.0</v>
      </c>
      <c r="S37" s="3"/>
      <c r="T37" s="3"/>
      <c r="U37" s="3"/>
      <c r="V37" s="3"/>
      <c r="W37" s="3"/>
      <c r="X37" s="3"/>
      <c r="Y37" s="3"/>
      <c r="Z37" s="3"/>
    </row>
    <row r="38" ht="15.75" customHeight="1">
      <c r="A38" s="3"/>
      <c r="B38" s="44" t="s">
        <v>15113</v>
      </c>
      <c r="C38" s="186" t="s">
        <v>15082</v>
      </c>
      <c r="D38" s="191" t="s">
        <v>15114</v>
      </c>
      <c r="E38" s="188" t="s">
        <v>15115</v>
      </c>
      <c r="F38" s="28" t="s">
        <v>15035</v>
      </c>
      <c r="G38" s="186" t="s">
        <v>29</v>
      </c>
      <c r="H38" s="186" t="s">
        <v>30</v>
      </c>
      <c r="I38" s="186"/>
      <c r="J38" s="186" t="s">
        <v>30</v>
      </c>
      <c r="K38" s="186">
        <f>397+16</f>
        <v>413</v>
      </c>
      <c r="L38" s="186" t="s">
        <v>15116</v>
      </c>
      <c r="M38" s="186"/>
      <c r="N38" s="186" t="s">
        <v>15117</v>
      </c>
      <c r="O38" s="186"/>
      <c r="P38" s="191">
        <v>30.0</v>
      </c>
      <c r="Q38" s="186">
        <v>2.0</v>
      </c>
      <c r="R38" s="554">
        <v>3.0</v>
      </c>
      <c r="S38" s="3"/>
      <c r="T38" s="3"/>
      <c r="U38" s="3"/>
      <c r="V38" s="3"/>
      <c r="W38" s="3"/>
      <c r="X38" s="3"/>
      <c r="Y38" s="3"/>
      <c r="Z38" s="3"/>
    </row>
    <row r="39" ht="15.75" customHeight="1">
      <c r="A39" s="3"/>
      <c r="B39" s="44" t="s">
        <v>15118</v>
      </c>
      <c r="C39" s="186"/>
      <c r="D39" s="191" t="s">
        <v>15119</v>
      </c>
      <c r="E39" s="188" t="s">
        <v>15120</v>
      </c>
      <c r="F39" s="28" t="s">
        <v>15121</v>
      </c>
      <c r="G39" s="186" t="s">
        <v>29</v>
      </c>
      <c r="H39" s="186" t="s">
        <v>30</v>
      </c>
      <c r="I39" s="186"/>
      <c r="J39" s="186" t="s">
        <v>15122</v>
      </c>
      <c r="K39" s="186">
        <v>126.0</v>
      </c>
      <c r="L39" s="186" t="s">
        <v>15116</v>
      </c>
      <c r="M39" s="186"/>
      <c r="N39" s="186" t="s">
        <v>15123</v>
      </c>
      <c r="O39" s="186">
        <v>2010.0</v>
      </c>
      <c r="P39" s="191">
        <v>30.0</v>
      </c>
      <c r="Q39" s="186">
        <v>1.0</v>
      </c>
      <c r="R39" s="554">
        <v>1.0</v>
      </c>
      <c r="S39" s="3"/>
      <c r="T39" s="3"/>
      <c r="U39" s="3"/>
      <c r="V39" s="3"/>
      <c r="W39" s="3"/>
      <c r="X39" s="3"/>
      <c r="Y39" s="3"/>
      <c r="Z39" s="3"/>
    </row>
    <row r="40" ht="15.75" customHeight="1">
      <c r="A40" s="3"/>
      <c r="B40" s="559" t="s">
        <v>15124</v>
      </c>
      <c r="C40" s="433"/>
      <c r="D40" s="444" t="s">
        <v>15125</v>
      </c>
      <c r="E40" s="561" t="s">
        <v>15126</v>
      </c>
      <c r="F40" s="562" t="s">
        <v>15127</v>
      </c>
      <c r="G40" s="444" t="s">
        <v>29</v>
      </c>
      <c r="H40" s="444" t="s">
        <v>30</v>
      </c>
      <c r="I40" s="433"/>
      <c r="J40" s="444" t="s">
        <v>30</v>
      </c>
      <c r="K40" s="444">
        <v>128.0</v>
      </c>
      <c r="L40" s="444" t="s">
        <v>15128</v>
      </c>
      <c r="M40" s="433"/>
      <c r="N40" s="444" t="s">
        <v>15129</v>
      </c>
      <c r="O40" s="444">
        <v>1953.0</v>
      </c>
      <c r="P40" s="433"/>
      <c r="Q40" s="444">
        <v>1.0</v>
      </c>
      <c r="R40" s="554">
        <v>1.0</v>
      </c>
      <c r="S40" s="8"/>
      <c r="T40" s="3"/>
      <c r="U40" s="3"/>
      <c r="V40" s="3"/>
      <c r="W40" s="3"/>
      <c r="X40" s="3"/>
      <c r="Y40" s="3"/>
      <c r="Z40" s="3"/>
    </row>
    <row r="41" ht="15.75" customHeight="1">
      <c r="A41" s="3"/>
      <c r="B41" s="559" t="s">
        <v>15130</v>
      </c>
      <c r="C41" s="433"/>
      <c r="D41" s="433"/>
      <c r="E41" s="434"/>
      <c r="F41" s="342"/>
      <c r="G41" s="433"/>
      <c r="H41" s="433"/>
      <c r="I41" s="433"/>
      <c r="J41" s="433"/>
      <c r="K41" s="433"/>
      <c r="L41" s="433"/>
      <c r="M41" s="433"/>
      <c r="N41" s="433"/>
      <c r="O41" s="433"/>
      <c r="P41" s="433"/>
      <c r="Q41" s="433"/>
      <c r="R41" s="556"/>
      <c r="S41" s="3"/>
      <c r="T41" s="3"/>
      <c r="U41" s="3"/>
      <c r="V41" s="3"/>
      <c r="W41" s="3"/>
      <c r="X41" s="3"/>
      <c r="Y41" s="3"/>
      <c r="Z41" s="3"/>
    </row>
    <row r="42" ht="15.75" customHeight="1">
      <c r="A42" s="3"/>
      <c r="B42" s="559" t="s">
        <v>15131</v>
      </c>
      <c r="C42" s="433"/>
      <c r="D42" s="433"/>
      <c r="E42" s="434"/>
      <c r="F42" s="342"/>
      <c r="G42" s="433"/>
      <c r="H42" s="433"/>
      <c r="I42" s="433"/>
      <c r="J42" s="433"/>
      <c r="K42" s="433"/>
      <c r="L42" s="433"/>
      <c r="M42" s="433"/>
      <c r="N42" s="433"/>
      <c r="O42" s="433"/>
      <c r="P42" s="433"/>
      <c r="Q42" s="433"/>
      <c r="R42" s="556"/>
      <c r="S42" s="3"/>
      <c r="T42" s="3"/>
      <c r="U42" s="3"/>
      <c r="V42" s="3"/>
      <c r="W42" s="3"/>
      <c r="X42" s="3"/>
      <c r="Y42" s="3"/>
      <c r="Z42" s="3"/>
    </row>
    <row r="43" ht="15.75" customHeight="1">
      <c r="A43" s="3"/>
      <c r="B43" s="559" t="s">
        <v>15132</v>
      </c>
      <c r="C43" s="433"/>
      <c r="D43" s="433"/>
      <c r="E43" s="434"/>
      <c r="F43" s="342"/>
      <c r="G43" s="433"/>
      <c r="H43" s="433"/>
      <c r="I43" s="433"/>
      <c r="J43" s="433"/>
      <c r="K43" s="433"/>
      <c r="L43" s="433"/>
      <c r="M43" s="433"/>
      <c r="N43" s="433"/>
      <c r="O43" s="433"/>
      <c r="P43" s="433"/>
      <c r="Q43" s="433"/>
      <c r="R43" s="556"/>
      <c r="S43" s="3"/>
      <c r="T43" s="3"/>
      <c r="U43" s="3"/>
      <c r="V43" s="3"/>
      <c r="W43" s="3"/>
      <c r="X43" s="3"/>
      <c r="Y43" s="3"/>
      <c r="Z43" s="3"/>
    </row>
    <row r="44" ht="15.75" customHeight="1">
      <c r="A44" s="3"/>
      <c r="B44" s="559" t="s">
        <v>15133</v>
      </c>
      <c r="C44" s="433"/>
      <c r="D44" s="433"/>
      <c r="E44" s="434"/>
      <c r="F44" s="342"/>
      <c r="G44" s="433"/>
      <c r="H44" s="433"/>
      <c r="I44" s="433"/>
      <c r="J44" s="433"/>
      <c r="K44" s="433"/>
      <c r="L44" s="433"/>
      <c r="M44" s="433"/>
      <c r="N44" s="433"/>
      <c r="O44" s="433"/>
      <c r="P44" s="433"/>
      <c r="Q44" s="433"/>
      <c r="R44" s="556"/>
      <c r="S44" s="3"/>
      <c r="T44" s="3"/>
      <c r="U44" s="3"/>
      <c r="V44" s="3"/>
      <c r="W44" s="3"/>
      <c r="X44" s="3"/>
      <c r="Y44" s="3"/>
      <c r="Z44" s="3"/>
    </row>
    <row r="45" ht="15.75" customHeight="1">
      <c r="A45" s="3"/>
      <c r="B45" s="559" t="s">
        <v>15134</v>
      </c>
      <c r="C45" s="433"/>
      <c r="D45" s="433"/>
      <c r="E45" s="434"/>
      <c r="F45" s="342"/>
      <c r="G45" s="433"/>
      <c r="H45" s="433"/>
      <c r="I45" s="433"/>
      <c r="J45" s="433"/>
      <c r="K45" s="433"/>
      <c r="L45" s="433"/>
      <c r="M45" s="433"/>
      <c r="N45" s="433"/>
      <c r="O45" s="433"/>
      <c r="P45" s="433"/>
      <c r="Q45" s="433"/>
      <c r="R45" s="556"/>
      <c r="S45" s="3"/>
      <c r="T45" s="3"/>
      <c r="U45" s="3"/>
      <c r="V45" s="3"/>
      <c r="W45" s="3"/>
      <c r="X45" s="3"/>
      <c r="Y45" s="3"/>
      <c r="Z45" s="3"/>
    </row>
    <row r="46" ht="15.75" customHeight="1">
      <c r="A46" s="3"/>
      <c r="B46" s="559" t="s">
        <v>15135</v>
      </c>
      <c r="C46" s="433"/>
      <c r="D46" s="433"/>
      <c r="E46" s="434"/>
      <c r="F46" s="342"/>
      <c r="G46" s="433"/>
      <c r="H46" s="433"/>
      <c r="I46" s="433"/>
      <c r="J46" s="433"/>
      <c r="K46" s="433"/>
      <c r="L46" s="433"/>
      <c r="M46" s="433"/>
      <c r="N46" s="433"/>
      <c r="O46" s="433"/>
      <c r="P46" s="433"/>
      <c r="Q46" s="433"/>
      <c r="R46" s="556"/>
      <c r="S46" s="3"/>
      <c r="T46" s="3"/>
      <c r="U46" s="3"/>
      <c r="V46" s="3"/>
      <c r="W46" s="3"/>
      <c r="X46" s="3"/>
      <c r="Y46" s="3"/>
      <c r="Z46" s="3"/>
    </row>
    <row r="47" ht="15.75" customHeight="1">
      <c r="A47" s="3"/>
      <c r="B47" s="559" t="s">
        <v>15136</v>
      </c>
      <c r="C47" s="433"/>
      <c r="D47" s="433"/>
      <c r="E47" s="434"/>
      <c r="F47" s="342"/>
      <c r="G47" s="433"/>
      <c r="H47" s="433"/>
      <c r="I47" s="433"/>
      <c r="J47" s="433"/>
      <c r="K47" s="433"/>
      <c r="L47" s="433"/>
      <c r="M47" s="433"/>
      <c r="N47" s="433"/>
      <c r="O47" s="433"/>
      <c r="P47" s="433"/>
      <c r="Q47" s="433"/>
      <c r="R47" s="556"/>
      <c r="S47" s="3"/>
      <c r="T47" s="3"/>
      <c r="U47" s="3"/>
      <c r="V47" s="3"/>
      <c r="W47" s="3"/>
      <c r="X47" s="3"/>
      <c r="Y47" s="3"/>
      <c r="Z47" s="3"/>
    </row>
    <row r="48" ht="15.75" customHeight="1">
      <c r="A48" s="3"/>
      <c r="B48" s="559" t="s">
        <v>15137</v>
      </c>
      <c r="C48" s="433"/>
      <c r="D48" s="433"/>
      <c r="E48" s="434"/>
      <c r="F48" s="342"/>
      <c r="G48" s="433"/>
      <c r="H48" s="433"/>
      <c r="I48" s="433"/>
      <c r="J48" s="433"/>
      <c r="K48" s="433"/>
      <c r="L48" s="433"/>
      <c r="M48" s="433"/>
      <c r="N48" s="433"/>
      <c r="O48" s="433"/>
      <c r="P48" s="433"/>
      <c r="Q48" s="433"/>
      <c r="R48" s="556"/>
      <c r="S48" s="3"/>
      <c r="T48" s="3"/>
      <c r="U48" s="3"/>
      <c r="V48" s="3"/>
      <c r="W48" s="3"/>
      <c r="X48" s="3"/>
      <c r="Y48" s="3"/>
      <c r="Z48" s="3"/>
    </row>
    <row r="49" ht="15.75" customHeight="1">
      <c r="A49" s="3"/>
      <c r="B49" s="559" t="s">
        <v>15138</v>
      </c>
      <c r="C49" s="433"/>
      <c r="D49" s="433"/>
      <c r="E49" s="434"/>
      <c r="F49" s="342"/>
      <c r="G49" s="433"/>
      <c r="H49" s="433"/>
      <c r="I49" s="433"/>
      <c r="J49" s="433"/>
      <c r="K49" s="433"/>
      <c r="L49" s="433"/>
      <c r="M49" s="433"/>
      <c r="N49" s="433"/>
      <c r="O49" s="433"/>
      <c r="P49" s="433"/>
      <c r="Q49" s="433">
        <f>SUM(Q6:Q48)</f>
        <v>50</v>
      </c>
      <c r="R49" s="556">
        <f>sum(R6:R48)</f>
        <v>19</v>
      </c>
      <c r="S49" s="3"/>
      <c r="T49" s="3"/>
      <c r="U49" s="3"/>
      <c r="V49" s="3"/>
      <c r="W49" s="3"/>
      <c r="X49" s="3"/>
      <c r="Y49" s="3"/>
      <c r="Z49" s="3"/>
    </row>
    <row r="50" ht="15.75" customHeight="1">
      <c r="A50" s="3"/>
      <c r="B50" s="457"/>
      <c r="C50" s="6"/>
      <c r="D50" s="6"/>
      <c r="E50" s="6"/>
      <c r="F50" s="6"/>
      <c r="G50" s="6"/>
      <c r="H50" s="6"/>
      <c r="I50" s="6"/>
      <c r="J50" s="6"/>
      <c r="K50" s="6"/>
      <c r="L50" s="6"/>
      <c r="M50" s="6"/>
      <c r="N50" s="6"/>
      <c r="O50" s="6"/>
      <c r="P50" s="6"/>
      <c r="Q50" s="7"/>
      <c r="R50" s="563"/>
      <c r="S50" s="3"/>
      <c r="T50" s="3"/>
      <c r="U50" s="3"/>
      <c r="V50" s="3"/>
      <c r="W50" s="3"/>
      <c r="X50" s="3"/>
      <c r="Y50" s="3"/>
      <c r="Z50" s="3"/>
    </row>
    <row r="51" ht="15.75" customHeight="1">
      <c r="A51" s="3"/>
      <c r="B51" s="457" t="s">
        <v>15139</v>
      </c>
      <c r="C51" s="6"/>
      <c r="D51" s="6"/>
      <c r="E51" s="6"/>
      <c r="F51" s="6"/>
      <c r="G51" s="6"/>
      <c r="H51" s="6"/>
      <c r="I51" s="6"/>
      <c r="J51" s="6"/>
      <c r="K51" s="6"/>
      <c r="L51" s="6"/>
      <c r="M51" s="6"/>
      <c r="N51" s="6"/>
      <c r="O51" s="6"/>
      <c r="P51" s="6"/>
      <c r="Q51" s="7"/>
      <c r="R51" s="563"/>
      <c r="S51" s="3"/>
      <c r="T51" s="3"/>
      <c r="U51" s="3"/>
      <c r="V51" s="3"/>
      <c r="W51" s="3"/>
      <c r="X51" s="3"/>
      <c r="Y51" s="3"/>
      <c r="Z51" s="3"/>
    </row>
    <row r="52" ht="15.75" customHeight="1">
      <c r="A52" s="3"/>
      <c r="B52" s="327" t="s">
        <v>14150</v>
      </c>
      <c r="C52" s="457" t="s">
        <v>14151</v>
      </c>
      <c r="D52" s="6"/>
      <c r="E52" s="7"/>
      <c r="F52" s="458"/>
      <c r="G52" s="459"/>
      <c r="H52" s="7"/>
      <c r="I52" s="459"/>
      <c r="J52" s="6"/>
      <c r="K52" s="6"/>
      <c r="L52" s="7"/>
      <c r="M52" s="460"/>
      <c r="N52" s="461" t="s">
        <v>15140</v>
      </c>
      <c r="O52" s="461"/>
      <c r="P52" s="461"/>
      <c r="Q52" s="461"/>
      <c r="R52" s="563"/>
      <c r="S52" s="3"/>
      <c r="T52" s="3"/>
      <c r="U52" s="3"/>
      <c r="V52" s="3"/>
      <c r="W52" s="3"/>
      <c r="X52" s="3"/>
      <c r="Y52" s="3"/>
      <c r="Z52" s="3"/>
    </row>
    <row r="53" ht="15.75" customHeight="1">
      <c r="A53" s="3"/>
      <c r="B53" s="321"/>
      <c r="C53" s="399"/>
      <c r="D53" s="458"/>
      <c r="E53" s="462"/>
      <c r="F53" s="458"/>
      <c r="G53" s="463"/>
      <c r="H53" s="7"/>
      <c r="I53" s="321"/>
      <c r="J53" s="321"/>
      <c r="K53" s="463"/>
      <c r="L53" s="7"/>
      <c r="M53" s="321"/>
      <c r="N53" s="321"/>
      <c r="O53" s="321"/>
      <c r="P53" s="321"/>
      <c r="Q53" s="321"/>
      <c r="R53" s="563"/>
      <c r="S53" s="3"/>
      <c r="T53" s="3"/>
      <c r="U53" s="3"/>
      <c r="V53" s="3"/>
      <c r="W53" s="3"/>
      <c r="X53" s="3"/>
      <c r="Y53" s="3"/>
      <c r="Z53" s="3"/>
    </row>
    <row r="54" ht="15.75" customHeight="1">
      <c r="A54" s="3"/>
      <c r="B54" s="463"/>
      <c r="C54" s="7"/>
      <c r="D54" s="458"/>
      <c r="E54" s="463"/>
      <c r="F54" s="7"/>
      <c r="G54" s="321"/>
      <c r="H54" s="321"/>
      <c r="I54" s="321"/>
      <c r="J54" s="321"/>
      <c r="K54" s="321"/>
      <c r="L54" s="321"/>
      <c r="M54" s="321"/>
      <c r="N54" s="321"/>
      <c r="O54" s="321"/>
      <c r="P54" s="321"/>
      <c r="Q54" s="321"/>
      <c r="R54" s="563"/>
      <c r="S54" s="3"/>
      <c r="T54" s="3"/>
      <c r="U54" s="3"/>
      <c r="V54" s="3"/>
      <c r="W54" s="3"/>
      <c r="X54" s="3"/>
      <c r="Y54" s="3"/>
      <c r="Z54" s="3"/>
    </row>
    <row r="55" ht="15.75" customHeight="1">
      <c r="A55" s="3"/>
      <c r="B55" s="321"/>
      <c r="C55" s="457" t="s">
        <v>0</v>
      </c>
      <c r="D55" s="6"/>
      <c r="E55" s="7"/>
      <c r="F55" s="458"/>
      <c r="G55" s="457"/>
      <c r="H55" s="7"/>
      <c r="I55" s="457"/>
      <c r="J55" s="6"/>
      <c r="K55" s="6"/>
      <c r="L55" s="7"/>
      <c r="M55" s="457" t="s">
        <v>14154</v>
      </c>
      <c r="N55" s="6"/>
      <c r="O55" s="6"/>
      <c r="P55" s="6"/>
      <c r="Q55" s="7"/>
      <c r="R55" s="563"/>
      <c r="S55" s="3"/>
      <c r="T55" s="3"/>
      <c r="U55" s="3"/>
      <c r="V55" s="3"/>
      <c r="W55" s="3"/>
      <c r="X55" s="3"/>
      <c r="Y55" s="3"/>
      <c r="Z55" s="3"/>
    </row>
    <row r="56" ht="15.75" customHeight="1">
      <c r="A56" s="3"/>
      <c r="B56" s="321"/>
      <c r="C56" s="457" t="s">
        <v>14155</v>
      </c>
      <c r="D56" s="6"/>
      <c r="E56" s="7"/>
      <c r="F56" s="458"/>
      <c r="G56" s="457"/>
      <c r="H56" s="7"/>
      <c r="I56" s="327"/>
      <c r="J56" s="457"/>
      <c r="K56" s="6"/>
      <c r="L56" s="7"/>
      <c r="M56" s="457" t="s">
        <v>14156</v>
      </c>
      <c r="N56" s="6"/>
      <c r="O56" s="6"/>
      <c r="P56" s="6"/>
      <c r="Q56" s="7"/>
      <c r="R56" s="563"/>
      <c r="S56" s="3"/>
      <c r="T56" s="3"/>
      <c r="U56" s="3"/>
      <c r="V56" s="3"/>
      <c r="W56" s="3"/>
      <c r="X56" s="3"/>
      <c r="Y56" s="3"/>
      <c r="Z56" s="3"/>
    </row>
    <row r="57" ht="15.75" customHeight="1">
      <c r="A57" s="3"/>
      <c r="B57" s="2"/>
      <c r="C57" s="2"/>
      <c r="D57" s="2"/>
      <c r="E57" s="464"/>
      <c r="F57" s="2"/>
      <c r="G57" s="2"/>
      <c r="H57" s="2"/>
      <c r="I57" s="2"/>
      <c r="J57" s="2"/>
      <c r="K57" s="2"/>
      <c r="L57" s="2"/>
      <c r="M57" s="2"/>
      <c r="N57" s="2"/>
      <c r="O57" s="2"/>
      <c r="P57" s="2"/>
      <c r="Q57" s="2"/>
      <c r="R57" s="255"/>
      <c r="S57" s="3"/>
      <c r="T57" s="3"/>
      <c r="U57" s="3"/>
      <c r="V57" s="3"/>
      <c r="W57" s="3"/>
      <c r="X57" s="3"/>
      <c r="Y57" s="3"/>
      <c r="Z57" s="3"/>
    </row>
    <row r="58" ht="15.75" customHeight="1">
      <c r="A58" s="3"/>
      <c r="B58" s="2"/>
      <c r="C58" s="2"/>
      <c r="D58" s="2"/>
      <c r="E58" s="464"/>
      <c r="F58" s="2"/>
      <c r="G58" s="2"/>
      <c r="H58" s="2"/>
      <c r="I58" s="2"/>
      <c r="J58" s="2"/>
      <c r="K58" s="2"/>
      <c r="L58" s="2"/>
      <c r="M58" s="2"/>
      <c r="N58" s="2"/>
      <c r="O58" s="2"/>
      <c r="P58" s="2"/>
      <c r="Q58" s="2"/>
      <c r="R58" s="255"/>
      <c r="S58" s="3"/>
      <c r="T58" s="3"/>
      <c r="U58" s="3"/>
      <c r="V58" s="3"/>
      <c r="W58" s="3"/>
      <c r="X58" s="3"/>
      <c r="Y58" s="3"/>
      <c r="Z58" s="3"/>
    </row>
    <row r="59" ht="15.75" customHeight="1">
      <c r="A59" s="3"/>
      <c r="B59" s="2"/>
      <c r="C59" s="2"/>
      <c r="D59" s="2"/>
      <c r="E59" s="464"/>
      <c r="F59" s="2"/>
      <c r="G59" s="2"/>
      <c r="H59" s="2"/>
      <c r="I59" s="2"/>
      <c r="J59" s="2"/>
      <c r="K59" s="2"/>
      <c r="L59" s="2"/>
      <c r="M59" s="2"/>
      <c r="N59" s="2"/>
      <c r="O59" s="2"/>
      <c r="P59" s="2"/>
      <c r="Q59" s="2"/>
      <c r="R59" s="255"/>
      <c r="S59" s="3"/>
      <c r="T59" s="3"/>
      <c r="U59" s="3"/>
      <c r="V59" s="3"/>
      <c r="W59" s="3"/>
      <c r="X59" s="3"/>
      <c r="Y59" s="3"/>
      <c r="Z59" s="3"/>
    </row>
    <row r="60" ht="15.75" customHeight="1">
      <c r="A60" s="3"/>
      <c r="B60" s="2"/>
      <c r="C60" s="2"/>
      <c r="D60" s="2"/>
      <c r="E60" s="464"/>
      <c r="F60" s="2"/>
      <c r="G60" s="2"/>
      <c r="H60" s="2"/>
      <c r="I60" s="2"/>
      <c r="J60" s="2"/>
      <c r="K60" s="2"/>
      <c r="L60" s="2"/>
      <c r="M60" s="2"/>
      <c r="N60" s="2"/>
      <c r="O60" s="2"/>
      <c r="P60" s="2"/>
      <c r="Q60" s="2"/>
      <c r="R60" s="255"/>
      <c r="S60" s="3"/>
      <c r="T60" s="3"/>
      <c r="U60" s="3"/>
      <c r="V60" s="3"/>
      <c r="W60" s="3"/>
      <c r="X60" s="3"/>
      <c r="Y60" s="3"/>
      <c r="Z60" s="3"/>
    </row>
    <row r="61" ht="15.75" customHeight="1">
      <c r="A61" s="3"/>
      <c r="B61" s="2"/>
      <c r="C61" s="2"/>
      <c r="D61" s="2"/>
      <c r="E61" s="464"/>
      <c r="F61" s="2"/>
      <c r="G61" s="2"/>
      <c r="H61" s="2"/>
      <c r="I61" s="2"/>
      <c r="J61" s="2"/>
      <c r="K61" s="2"/>
      <c r="L61" s="2"/>
      <c r="M61" s="2"/>
      <c r="N61" s="2"/>
      <c r="O61" s="2"/>
      <c r="P61" s="2"/>
      <c r="Q61" s="2"/>
      <c r="R61" s="255"/>
      <c r="S61" s="3"/>
      <c r="T61" s="3"/>
      <c r="U61" s="3"/>
      <c r="V61" s="3"/>
      <c r="W61" s="3"/>
      <c r="X61" s="3"/>
      <c r="Y61" s="3"/>
      <c r="Z61" s="3"/>
    </row>
    <row r="62" ht="15.75" customHeight="1">
      <c r="A62" s="3"/>
      <c r="B62" s="2"/>
      <c r="C62" s="2"/>
      <c r="D62" s="2"/>
      <c r="E62" s="464"/>
      <c r="F62" s="2"/>
      <c r="G62" s="2"/>
      <c r="H62" s="2"/>
      <c r="I62" s="2"/>
      <c r="J62" s="2"/>
      <c r="K62" s="2"/>
      <c r="L62" s="2"/>
      <c r="M62" s="2"/>
      <c r="N62" s="2"/>
      <c r="O62" s="2"/>
      <c r="P62" s="2"/>
      <c r="Q62" s="2"/>
      <c r="R62" s="255"/>
      <c r="S62" s="3"/>
      <c r="T62" s="3"/>
      <c r="U62" s="3"/>
      <c r="V62" s="3"/>
      <c r="W62" s="3"/>
      <c r="X62" s="3"/>
      <c r="Y62" s="3"/>
      <c r="Z62" s="3"/>
    </row>
    <row r="63" ht="15.75" customHeight="1">
      <c r="A63" s="3"/>
      <c r="B63" s="2"/>
      <c r="C63" s="2"/>
      <c r="D63" s="2"/>
      <c r="E63" s="464"/>
      <c r="F63" s="2"/>
      <c r="G63" s="2"/>
      <c r="H63" s="2"/>
      <c r="I63" s="2"/>
      <c r="J63" s="2"/>
      <c r="K63" s="2"/>
      <c r="L63" s="2"/>
      <c r="M63" s="2"/>
      <c r="N63" s="2"/>
      <c r="O63" s="2"/>
      <c r="P63" s="2"/>
      <c r="Q63" s="2"/>
      <c r="R63" s="255"/>
      <c r="S63" s="3"/>
      <c r="T63" s="3"/>
      <c r="U63" s="3"/>
      <c r="V63" s="3"/>
      <c r="W63" s="3"/>
      <c r="X63" s="3"/>
      <c r="Y63" s="3"/>
      <c r="Z63" s="3"/>
    </row>
    <row r="64" ht="15.75" customHeight="1">
      <c r="A64" s="3"/>
      <c r="B64" s="2"/>
      <c r="C64" s="2"/>
      <c r="D64" s="2"/>
      <c r="E64" s="464"/>
      <c r="F64" s="2"/>
      <c r="G64" s="2"/>
      <c r="H64" s="2"/>
      <c r="I64" s="2"/>
      <c r="J64" s="2"/>
      <c r="K64" s="2"/>
      <c r="L64" s="2"/>
      <c r="M64" s="2"/>
      <c r="N64" s="2"/>
      <c r="O64" s="2"/>
      <c r="P64" s="2"/>
      <c r="Q64" s="2"/>
      <c r="R64" s="255"/>
      <c r="S64" s="3"/>
      <c r="T64" s="3"/>
      <c r="U64" s="3"/>
      <c r="V64" s="3"/>
      <c r="W64" s="3"/>
      <c r="X64" s="3"/>
      <c r="Y64" s="3"/>
      <c r="Z64" s="3"/>
    </row>
    <row r="65" ht="15.75" customHeight="1">
      <c r="A65" s="3"/>
      <c r="B65" s="2"/>
      <c r="C65" s="2"/>
      <c r="D65" s="2"/>
      <c r="E65" s="464"/>
      <c r="F65" s="2"/>
      <c r="G65" s="2"/>
      <c r="H65" s="2"/>
      <c r="I65" s="2"/>
      <c r="J65" s="2"/>
      <c r="K65" s="2"/>
      <c r="L65" s="2"/>
      <c r="M65" s="2"/>
      <c r="N65" s="2"/>
      <c r="O65" s="2"/>
      <c r="P65" s="2"/>
      <c r="Q65" s="2"/>
      <c r="R65" s="255"/>
      <c r="S65" s="3"/>
      <c r="T65" s="3"/>
      <c r="U65" s="3"/>
      <c r="V65" s="3"/>
      <c r="W65" s="3"/>
      <c r="X65" s="3"/>
      <c r="Y65" s="3"/>
      <c r="Z65" s="3"/>
    </row>
    <row r="66" ht="15.75" customHeight="1">
      <c r="A66" s="3"/>
      <c r="B66" s="2"/>
      <c r="C66" s="2"/>
      <c r="D66" s="2"/>
      <c r="E66" s="464"/>
      <c r="F66" s="2"/>
      <c r="G66" s="2"/>
      <c r="H66" s="2"/>
      <c r="I66" s="2"/>
      <c r="J66" s="2"/>
      <c r="K66" s="2"/>
      <c r="L66" s="2"/>
      <c r="M66" s="2"/>
      <c r="N66" s="2"/>
      <c r="O66" s="2"/>
      <c r="P66" s="2"/>
      <c r="Q66" s="2"/>
      <c r="R66" s="255"/>
      <c r="S66" s="3"/>
      <c r="T66" s="3"/>
      <c r="U66" s="3"/>
      <c r="V66" s="3"/>
      <c r="W66" s="3"/>
      <c r="X66" s="3"/>
      <c r="Y66" s="3"/>
      <c r="Z66" s="3"/>
    </row>
    <row r="67" ht="15.75" customHeight="1">
      <c r="A67" s="3"/>
      <c r="B67" s="2"/>
      <c r="C67" s="2"/>
      <c r="D67" s="2"/>
      <c r="E67" s="464"/>
      <c r="F67" s="2"/>
      <c r="G67" s="2"/>
      <c r="H67" s="2"/>
      <c r="I67" s="2"/>
      <c r="J67" s="2"/>
      <c r="K67" s="2"/>
      <c r="L67" s="2"/>
      <c r="M67" s="2"/>
      <c r="N67" s="2"/>
      <c r="O67" s="2"/>
      <c r="P67" s="2"/>
      <c r="Q67" s="2"/>
      <c r="R67" s="255"/>
      <c r="S67" s="3"/>
      <c r="T67" s="3"/>
      <c r="U67" s="3"/>
      <c r="V67" s="3"/>
      <c r="W67" s="3"/>
      <c r="X67" s="3"/>
      <c r="Y67" s="3"/>
      <c r="Z67" s="3"/>
    </row>
    <row r="68" ht="15.75" customHeight="1">
      <c r="A68" s="3"/>
      <c r="B68" s="2"/>
      <c r="C68" s="2"/>
      <c r="D68" s="2"/>
      <c r="E68" s="464"/>
      <c r="F68" s="2"/>
      <c r="G68" s="2"/>
      <c r="H68" s="2"/>
      <c r="I68" s="2"/>
      <c r="J68" s="2"/>
      <c r="K68" s="2"/>
      <c r="L68" s="2"/>
      <c r="M68" s="2"/>
      <c r="N68" s="2"/>
      <c r="O68" s="2"/>
      <c r="P68" s="2"/>
      <c r="Q68" s="2"/>
      <c r="R68" s="255"/>
      <c r="S68" s="3"/>
      <c r="T68" s="3"/>
      <c r="U68" s="3"/>
      <c r="V68" s="3"/>
      <c r="W68" s="3"/>
      <c r="X68" s="3"/>
      <c r="Y68" s="3"/>
      <c r="Z68" s="3"/>
    </row>
    <row r="69" ht="15.75" customHeight="1">
      <c r="A69" s="3"/>
      <c r="B69" s="2"/>
      <c r="C69" s="2"/>
      <c r="D69" s="2"/>
      <c r="E69" s="464"/>
      <c r="F69" s="2"/>
      <c r="G69" s="2"/>
      <c r="H69" s="2"/>
      <c r="I69" s="2"/>
      <c r="J69" s="2"/>
      <c r="K69" s="2"/>
      <c r="L69" s="2"/>
      <c r="M69" s="2"/>
      <c r="N69" s="2"/>
      <c r="O69" s="2"/>
      <c r="P69" s="2"/>
      <c r="Q69" s="2"/>
      <c r="R69" s="255"/>
      <c r="S69" s="3"/>
      <c r="T69" s="3"/>
      <c r="U69" s="3"/>
      <c r="V69" s="3"/>
      <c r="W69" s="3"/>
      <c r="X69" s="3"/>
      <c r="Y69" s="3"/>
      <c r="Z69" s="3"/>
    </row>
    <row r="70" ht="15.75" customHeight="1">
      <c r="A70" s="3"/>
      <c r="B70" s="2"/>
      <c r="C70" s="2"/>
      <c r="D70" s="2"/>
      <c r="E70" s="464"/>
      <c r="F70" s="2"/>
      <c r="G70" s="2"/>
      <c r="H70" s="2"/>
      <c r="I70" s="2"/>
      <c r="J70" s="2"/>
      <c r="K70" s="2"/>
      <c r="L70" s="2"/>
      <c r="M70" s="2"/>
      <c r="N70" s="2"/>
      <c r="O70" s="2"/>
      <c r="P70" s="2"/>
      <c r="Q70" s="2"/>
      <c r="R70" s="255"/>
      <c r="S70" s="3"/>
      <c r="T70" s="3"/>
      <c r="U70" s="3"/>
      <c r="V70" s="3"/>
      <c r="W70" s="3"/>
      <c r="X70" s="3"/>
      <c r="Y70" s="3"/>
      <c r="Z70" s="3"/>
    </row>
    <row r="71" ht="15.75" customHeight="1">
      <c r="A71" s="3"/>
      <c r="B71" s="2"/>
      <c r="C71" s="2"/>
      <c r="D71" s="2"/>
      <c r="E71" s="464"/>
      <c r="F71" s="2"/>
      <c r="G71" s="2"/>
      <c r="H71" s="2"/>
      <c r="I71" s="2"/>
      <c r="J71" s="2"/>
      <c r="K71" s="2"/>
      <c r="L71" s="2"/>
      <c r="M71" s="2"/>
      <c r="N71" s="2"/>
      <c r="O71" s="2"/>
      <c r="P71" s="2"/>
      <c r="Q71" s="2"/>
      <c r="R71" s="255"/>
      <c r="S71" s="3"/>
      <c r="T71" s="3"/>
      <c r="U71" s="3"/>
      <c r="V71" s="3"/>
      <c r="W71" s="3"/>
      <c r="X71" s="3"/>
      <c r="Y71" s="3"/>
      <c r="Z71" s="3"/>
    </row>
    <row r="72" ht="15.75" customHeight="1">
      <c r="A72" s="3"/>
      <c r="B72" s="2"/>
      <c r="C72" s="2"/>
      <c r="D72" s="2"/>
      <c r="E72" s="464"/>
      <c r="F72" s="2"/>
      <c r="G72" s="2"/>
      <c r="H72" s="2"/>
      <c r="I72" s="2"/>
      <c r="J72" s="2"/>
      <c r="K72" s="2"/>
      <c r="L72" s="2"/>
      <c r="M72" s="2"/>
      <c r="N72" s="2"/>
      <c r="O72" s="2"/>
      <c r="P72" s="2"/>
      <c r="Q72" s="2"/>
      <c r="R72" s="255"/>
      <c r="S72" s="3"/>
      <c r="T72" s="3"/>
      <c r="U72" s="3"/>
      <c r="V72" s="3"/>
      <c r="W72" s="3"/>
      <c r="X72" s="3"/>
      <c r="Y72" s="3"/>
      <c r="Z72" s="3"/>
    </row>
    <row r="73" ht="15.75" customHeight="1">
      <c r="A73" s="3"/>
      <c r="B73" s="2"/>
      <c r="C73" s="2"/>
      <c r="D73" s="2"/>
      <c r="E73" s="464"/>
      <c r="F73" s="2"/>
      <c r="G73" s="2"/>
      <c r="H73" s="2"/>
      <c r="I73" s="2"/>
      <c r="J73" s="2"/>
      <c r="K73" s="2"/>
      <c r="L73" s="2"/>
      <c r="M73" s="2"/>
      <c r="N73" s="2"/>
      <c r="O73" s="2"/>
      <c r="P73" s="2"/>
      <c r="Q73" s="2"/>
      <c r="R73" s="255"/>
      <c r="S73" s="3"/>
      <c r="T73" s="3"/>
      <c r="U73" s="3"/>
      <c r="V73" s="3"/>
      <c r="W73" s="3"/>
      <c r="X73" s="3"/>
      <c r="Y73" s="3"/>
      <c r="Z73" s="3"/>
    </row>
    <row r="74" ht="15.75" customHeight="1">
      <c r="A74" s="3"/>
      <c r="B74" s="2"/>
      <c r="C74" s="2"/>
      <c r="D74" s="2"/>
      <c r="E74" s="464"/>
      <c r="F74" s="2"/>
      <c r="G74" s="2"/>
      <c r="H74" s="2"/>
      <c r="I74" s="2"/>
      <c r="J74" s="2"/>
      <c r="K74" s="2"/>
      <c r="L74" s="2"/>
      <c r="M74" s="2"/>
      <c r="N74" s="2"/>
      <c r="O74" s="2"/>
      <c r="P74" s="2"/>
      <c r="Q74" s="2"/>
      <c r="R74" s="255"/>
      <c r="S74" s="3"/>
      <c r="T74" s="3"/>
      <c r="U74" s="3"/>
      <c r="V74" s="3"/>
      <c r="W74" s="3"/>
      <c r="X74" s="3"/>
      <c r="Y74" s="3"/>
      <c r="Z74" s="3"/>
    </row>
    <row r="75" ht="15.75" customHeight="1">
      <c r="A75" s="3"/>
      <c r="B75" s="2"/>
      <c r="C75" s="2"/>
      <c r="D75" s="2"/>
      <c r="E75" s="464"/>
      <c r="F75" s="2"/>
      <c r="G75" s="2"/>
      <c r="H75" s="2"/>
      <c r="I75" s="2"/>
      <c r="J75" s="2"/>
      <c r="K75" s="2"/>
      <c r="L75" s="2"/>
      <c r="M75" s="2"/>
      <c r="N75" s="2"/>
      <c r="O75" s="2"/>
      <c r="P75" s="2"/>
      <c r="Q75" s="2"/>
      <c r="R75" s="255"/>
      <c r="S75" s="3"/>
      <c r="T75" s="3"/>
      <c r="U75" s="3"/>
      <c r="V75" s="3"/>
      <c r="W75" s="3"/>
      <c r="X75" s="3"/>
      <c r="Y75" s="3"/>
      <c r="Z75" s="3"/>
    </row>
    <row r="76" ht="15.75" customHeight="1">
      <c r="A76" s="3"/>
      <c r="B76" s="2"/>
      <c r="C76" s="2"/>
      <c r="D76" s="2"/>
      <c r="E76" s="464"/>
      <c r="F76" s="2"/>
      <c r="G76" s="2"/>
      <c r="H76" s="2"/>
      <c r="I76" s="2"/>
      <c r="J76" s="2"/>
      <c r="K76" s="2"/>
      <c r="L76" s="2"/>
      <c r="M76" s="2"/>
      <c r="N76" s="2"/>
      <c r="O76" s="2"/>
      <c r="P76" s="2"/>
      <c r="Q76" s="2"/>
      <c r="R76" s="255"/>
      <c r="S76" s="3"/>
      <c r="T76" s="3"/>
      <c r="U76" s="3"/>
      <c r="V76" s="3"/>
      <c r="W76" s="3"/>
      <c r="X76" s="3"/>
      <c r="Y76" s="3"/>
      <c r="Z76" s="3"/>
    </row>
    <row r="77" ht="15.75" customHeight="1">
      <c r="A77" s="3"/>
      <c r="B77" s="2"/>
      <c r="C77" s="2"/>
      <c r="D77" s="2"/>
      <c r="E77" s="464"/>
      <c r="F77" s="2"/>
      <c r="G77" s="2"/>
      <c r="H77" s="2"/>
      <c r="I77" s="2"/>
      <c r="J77" s="2"/>
      <c r="K77" s="2"/>
      <c r="L77" s="2"/>
      <c r="M77" s="2"/>
      <c r="N77" s="2"/>
      <c r="O77" s="2"/>
      <c r="P77" s="2"/>
      <c r="Q77" s="2"/>
      <c r="R77" s="255"/>
      <c r="S77" s="3"/>
      <c r="T77" s="3"/>
      <c r="U77" s="3"/>
      <c r="V77" s="3"/>
      <c r="W77" s="3"/>
      <c r="X77" s="3"/>
      <c r="Y77" s="3"/>
      <c r="Z77" s="3"/>
    </row>
    <row r="78" ht="15.75" customHeight="1">
      <c r="A78" s="3"/>
      <c r="B78" s="2"/>
      <c r="C78" s="2"/>
      <c r="D78" s="2"/>
      <c r="E78" s="464"/>
      <c r="F78" s="2"/>
      <c r="G78" s="2"/>
      <c r="H78" s="2"/>
      <c r="I78" s="2"/>
      <c r="J78" s="2"/>
      <c r="K78" s="2"/>
      <c r="L78" s="2"/>
      <c r="M78" s="2"/>
      <c r="N78" s="2"/>
      <c r="O78" s="2"/>
      <c r="P78" s="2"/>
      <c r="Q78" s="2"/>
      <c r="R78" s="255"/>
      <c r="S78" s="3"/>
      <c r="T78" s="3"/>
      <c r="U78" s="3"/>
      <c r="V78" s="3"/>
      <c r="W78" s="3"/>
      <c r="X78" s="3"/>
      <c r="Y78" s="3"/>
      <c r="Z78" s="3"/>
    </row>
    <row r="79" ht="15.75" customHeight="1">
      <c r="A79" s="3"/>
      <c r="B79" s="2"/>
      <c r="C79" s="2"/>
      <c r="D79" s="2"/>
      <c r="E79" s="464"/>
      <c r="F79" s="2"/>
      <c r="G79" s="2"/>
      <c r="H79" s="2"/>
      <c r="I79" s="2"/>
      <c r="J79" s="2"/>
      <c r="K79" s="2"/>
      <c r="L79" s="2"/>
      <c r="M79" s="2"/>
      <c r="N79" s="2"/>
      <c r="O79" s="2"/>
      <c r="P79" s="2"/>
      <c r="Q79" s="2"/>
      <c r="R79" s="255"/>
      <c r="S79" s="3"/>
      <c r="T79" s="3"/>
      <c r="U79" s="3"/>
      <c r="V79" s="3"/>
      <c r="W79" s="3"/>
      <c r="X79" s="3"/>
      <c r="Y79" s="3"/>
      <c r="Z79" s="3"/>
    </row>
    <row r="80" ht="15.75" customHeight="1">
      <c r="A80" s="3"/>
      <c r="B80" s="2"/>
      <c r="C80" s="2"/>
      <c r="D80" s="2"/>
      <c r="E80" s="464"/>
      <c r="F80" s="2"/>
      <c r="G80" s="2"/>
      <c r="H80" s="2"/>
      <c r="I80" s="2"/>
      <c r="J80" s="2"/>
      <c r="K80" s="2"/>
      <c r="L80" s="2"/>
      <c r="M80" s="2"/>
      <c r="N80" s="2"/>
      <c r="O80" s="2"/>
      <c r="P80" s="2"/>
      <c r="Q80" s="2"/>
      <c r="R80" s="255"/>
      <c r="S80" s="3"/>
      <c r="T80" s="3"/>
      <c r="U80" s="3"/>
      <c r="V80" s="3"/>
      <c r="W80" s="3"/>
      <c r="X80" s="3"/>
      <c r="Y80" s="3"/>
      <c r="Z80" s="3"/>
    </row>
    <row r="81" ht="15.75" customHeight="1">
      <c r="A81" s="3"/>
      <c r="B81" s="2"/>
      <c r="C81" s="2"/>
      <c r="D81" s="2"/>
      <c r="E81" s="464"/>
      <c r="F81" s="2"/>
      <c r="G81" s="2"/>
      <c r="H81" s="2"/>
      <c r="I81" s="2"/>
      <c r="J81" s="2"/>
      <c r="K81" s="2"/>
      <c r="L81" s="2"/>
      <c r="M81" s="2"/>
      <c r="N81" s="2"/>
      <c r="O81" s="2"/>
      <c r="P81" s="2"/>
      <c r="Q81" s="2"/>
      <c r="R81" s="255"/>
      <c r="S81" s="3"/>
      <c r="T81" s="3"/>
      <c r="U81" s="3"/>
      <c r="V81" s="3"/>
      <c r="W81" s="3"/>
      <c r="X81" s="3"/>
      <c r="Y81" s="3"/>
      <c r="Z81" s="3"/>
    </row>
    <row r="82" ht="15.75" customHeight="1">
      <c r="A82" s="3"/>
      <c r="B82" s="2"/>
      <c r="C82" s="2"/>
      <c r="D82" s="2"/>
      <c r="E82" s="464"/>
      <c r="F82" s="2"/>
      <c r="G82" s="2"/>
      <c r="H82" s="2"/>
      <c r="I82" s="2"/>
      <c r="J82" s="2"/>
      <c r="K82" s="2"/>
      <c r="L82" s="2"/>
      <c r="M82" s="2"/>
      <c r="N82" s="2"/>
      <c r="O82" s="2"/>
      <c r="P82" s="2"/>
      <c r="Q82" s="2"/>
      <c r="R82" s="255"/>
      <c r="S82" s="3"/>
      <c r="T82" s="3"/>
      <c r="U82" s="3"/>
      <c r="V82" s="3"/>
      <c r="W82" s="3"/>
      <c r="X82" s="3"/>
      <c r="Y82" s="3"/>
      <c r="Z82" s="3"/>
    </row>
    <row r="83" ht="15.75" customHeight="1">
      <c r="A83" s="3"/>
      <c r="B83" s="2"/>
      <c r="C83" s="2"/>
      <c r="D83" s="2"/>
      <c r="E83" s="464"/>
      <c r="F83" s="2"/>
      <c r="G83" s="2"/>
      <c r="H83" s="2"/>
      <c r="I83" s="2"/>
      <c r="J83" s="2"/>
      <c r="K83" s="2"/>
      <c r="L83" s="2"/>
      <c r="M83" s="2"/>
      <c r="N83" s="2"/>
      <c r="O83" s="2"/>
      <c r="P83" s="2"/>
      <c r="Q83" s="2"/>
      <c r="R83" s="255"/>
      <c r="S83" s="3"/>
      <c r="T83" s="3"/>
      <c r="U83" s="3"/>
      <c r="V83" s="3"/>
      <c r="W83" s="3"/>
      <c r="X83" s="3"/>
      <c r="Y83" s="3"/>
      <c r="Z83" s="3"/>
    </row>
    <row r="84" ht="15.75" customHeight="1">
      <c r="A84" s="3"/>
      <c r="B84" s="2"/>
      <c r="C84" s="2"/>
      <c r="D84" s="2"/>
      <c r="E84" s="464"/>
      <c r="F84" s="2"/>
      <c r="G84" s="2"/>
      <c r="H84" s="2"/>
      <c r="I84" s="2"/>
      <c r="J84" s="2"/>
      <c r="K84" s="2"/>
      <c r="L84" s="2"/>
      <c r="M84" s="2"/>
      <c r="N84" s="2"/>
      <c r="O84" s="2"/>
      <c r="P84" s="2"/>
      <c r="Q84" s="2"/>
      <c r="R84" s="255"/>
      <c r="S84" s="3"/>
      <c r="T84" s="3"/>
      <c r="U84" s="3"/>
      <c r="V84" s="3"/>
      <c r="W84" s="3"/>
      <c r="X84" s="3"/>
      <c r="Y84" s="3"/>
      <c r="Z84" s="3"/>
    </row>
    <row r="85" ht="15.75" customHeight="1">
      <c r="A85" s="3"/>
      <c r="B85" s="2"/>
      <c r="C85" s="2"/>
      <c r="D85" s="2"/>
      <c r="E85" s="464"/>
      <c r="F85" s="2"/>
      <c r="G85" s="2"/>
      <c r="H85" s="2"/>
      <c r="I85" s="2"/>
      <c r="J85" s="2"/>
      <c r="K85" s="2"/>
      <c r="L85" s="2"/>
      <c r="M85" s="2"/>
      <c r="N85" s="2"/>
      <c r="O85" s="2"/>
      <c r="P85" s="2"/>
      <c r="Q85" s="2"/>
      <c r="R85" s="255"/>
      <c r="S85" s="3"/>
      <c r="T85" s="3"/>
      <c r="U85" s="3"/>
      <c r="V85" s="3"/>
      <c r="W85" s="3"/>
      <c r="X85" s="3"/>
      <c r="Y85" s="3"/>
      <c r="Z85" s="3"/>
    </row>
    <row r="86" ht="15.75" customHeight="1">
      <c r="A86" s="3"/>
      <c r="B86" s="2"/>
      <c r="C86" s="2"/>
      <c r="D86" s="2"/>
      <c r="E86" s="464"/>
      <c r="F86" s="2"/>
      <c r="G86" s="2"/>
      <c r="H86" s="2"/>
      <c r="I86" s="2"/>
      <c r="J86" s="2"/>
      <c r="K86" s="2"/>
      <c r="L86" s="2"/>
      <c r="M86" s="2"/>
      <c r="N86" s="2"/>
      <c r="O86" s="2"/>
      <c r="P86" s="2"/>
      <c r="Q86" s="2"/>
      <c r="R86" s="255"/>
      <c r="S86" s="3"/>
      <c r="T86" s="3"/>
      <c r="U86" s="3"/>
      <c r="V86" s="3"/>
      <c r="W86" s="3"/>
      <c r="X86" s="3"/>
      <c r="Y86" s="3"/>
      <c r="Z86" s="3"/>
    </row>
    <row r="87" ht="15.75" customHeight="1">
      <c r="A87" s="3"/>
      <c r="B87" s="2"/>
      <c r="C87" s="2"/>
      <c r="D87" s="2"/>
      <c r="E87" s="464"/>
      <c r="F87" s="2"/>
      <c r="G87" s="2"/>
      <c r="H87" s="2"/>
      <c r="I87" s="2"/>
      <c r="J87" s="2"/>
      <c r="K87" s="2"/>
      <c r="L87" s="2"/>
      <c r="M87" s="2"/>
      <c r="N87" s="2"/>
      <c r="O87" s="2"/>
      <c r="P87" s="2"/>
      <c r="Q87" s="2"/>
      <c r="R87" s="255"/>
      <c r="S87" s="3"/>
      <c r="T87" s="3"/>
      <c r="U87" s="3"/>
      <c r="V87" s="3"/>
      <c r="W87" s="3"/>
      <c r="X87" s="3"/>
      <c r="Y87" s="3"/>
      <c r="Z87" s="3"/>
    </row>
    <row r="88" ht="15.75" customHeight="1">
      <c r="A88" s="3"/>
      <c r="B88" s="2"/>
      <c r="C88" s="2"/>
      <c r="D88" s="2"/>
      <c r="E88" s="464"/>
      <c r="F88" s="2"/>
      <c r="G88" s="2"/>
      <c r="H88" s="2"/>
      <c r="I88" s="2"/>
      <c r="J88" s="2"/>
      <c r="K88" s="2"/>
      <c r="L88" s="2"/>
      <c r="M88" s="2"/>
      <c r="N88" s="2"/>
      <c r="O88" s="2"/>
      <c r="P88" s="2"/>
      <c r="Q88" s="2"/>
      <c r="R88" s="255"/>
      <c r="S88" s="3"/>
      <c r="T88" s="3"/>
      <c r="U88" s="3"/>
      <c r="V88" s="3"/>
      <c r="W88" s="3"/>
      <c r="X88" s="3"/>
      <c r="Y88" s="3"/>
      <c r="Z88" s="3"/>
    </row>
    <row r="89" ht="15.75" customHeight="1">
      <c r="A89" s="3"/>
      <c r="B89" s="2"/>
      <c r="C89" s="2"/>
      <c r="D89" s="2"/>
      <c r="E89" s="464"/>
      <c r="F89" s="2"/>
      <c r="G89" s="2"/>
      <c r="H89" s="2"/>
      <c r="I89" s="2"/>
      <c r="J89" s="2"/>
      <c r="K89" s="2"/>
      <c r="L89" s="2"/>
      <c r="M89" s="2"/>
      <c r="N89" s="2"/>
      <c r="O89" s="2"/>
      <c r="P89" s="2"/>
      <c r="Q89" s="2"/>
      <c r="R89" s="255"/>
      <c r="S89" s="3"/>
      <c r="T89" s="3"/>
      <c r="U89" s="3"/>
      <c r="V89" s="3"/>
      <c r="W89" s="3"/>
      <c r="X89" s="3"/>
      <c r="Y89" s="3"/>
      <c r="Z89" s="3"/>
    </row>
    <row r="90" ht="15.75" customHeight="1">
      <c r="A90" s="3"/>
      <c r="B90" s="2"/>
      <c r="C90" s="2"/>
      <c r="D90" s="2"/>
      <c r="E90" s="464"/>
      <c r="F90" s="2"/>
      <c r="G90" s="2"/>
      <c r="H90" s="2"/>
      <c r="I90" s="2"/>
      <c r="J90" s="2"/>
      <c r="K90" s="2"/>
      <c r="L90" s="2"/>
      <c r="M90" s="2"/>
      <c r="N90" s="2"/>
      <c r="O90" s="2"/>
      <c r="P90" s="2"/>
      <c r="Q90" s="2"/>
      <c r="R90" s="255"/>
      <c r="S90" s="3"/>
      <c r="T90" s="3"/>
      <c r="U90" s="3"/>
      <c r="V90" s="3"/>
      <c r="W90" s="3"/>
      <c r="X90" s="3"/>
      <c r="Y90" s="3"/>
      <c r="Z90" s="3"/>
    </row>
    <row r="91" ht="15.75" customHeight="1">
      <c r="A91" s="3"/>
      <c r="B91" s="2"/>
      <c r="C91" s="2"/>
      <c r="D91" s="2"/>
      <c r="E91" s="464"/>
      <c r="F91" s="2"/>
      <c r="G91" s="2"/>
      <c r="H91" s="2"/>
      <c r="I91" s="2"/>
      <c r="J91" s="2"/>
      <c r="K91" s="2"/>
      <c r="L91" s="2"/>
      <c r="M91" s="2"/>
      <c r="N91" s="2"/>
      <c r="O91" s="2"/>
      <c r="P91" s="2"/>
      <c r="Q91" s="2"/>
      <c r="R91" s="255"/>
      <c r="S91" s="3"/>
      <c r="T91" s="3"/>
      <c r="U91" s="3"/>
      <c r="V91" s="3"/>
      <c r="W91" s="3"/>
      <c r="X91" s="3"/>
      <c r="Y91" s="3"/>
      <c r="Z91" s="3"/>
    </row>
    <row r="92" ht="15.75" customHeight="1">
      <c r="A92" s="3"/>
      <c r="B92" s="2"/>
      <c r="C92" s="2"/>
      <c r="D92" s="2"/>
      <c r="E92" s="464"/>
      <c r="F92" s="2"/>
      <c r="G92" s="2"/>
      <c r="H92" s="2"/>
      <c r="I92" s="2"/>
      <c r="J92" s="2"/>
      <c r="K92" s="2"/>
      <c r="L92" s="2"/>
      <c r="M92" s="2"/>
      <c r="N92" s="2"/>
      <c r="O92" s="2"/>
      <c r="P92" s="2"/>
      <c r="Q92" s="2"/>
      <c r="R92" s="255"/>
      <c r="S92" s="3"/>
      <c r="T92" s="3"/>
      <c r="U92" s="3"/>
      <c r="V92" s="3"/>
      <c r="W92" s="3"/>
      <c r="X92" s="3"/>
      <c r="Y92" s="3"/>
      <c r="Z92" s="3"/>
    </row>
    <row r="93" ht="15.75" customHeight="1">
      <c r="A93" s="3"/>
      <c r="B93" s="2"/>
      <c r="C93" s="2"/>
      <c r="D93" s="2"/>
      <c r="E93" s="464"/>
      <c r="F93" s="2"/>
      <c r="G93" s="2"/>
      <c r="H93" s="2"/>
      <c r="I93" s="2"/>
      <c r="J93" s="2"/>
      <c r="K93" s="2"/>
      <c r="L93" s="2"/>
      <c r="M93" s="2"/>
      <c r="N93" s="2"/>
      <c r="O93" s="2"/>
      <c r="P93" s="2"/>
      <c r="Q93" s="2"/>
      <c r="R93" s="255"/>
      <c r="S93" s="3"/>
      <c r="T93" s="3"/>
      <c r="U93" s="3"/>
      <c r="V93" s="3"/>
      <c r="W93" s="3"/>
      <c r="X93" s="3"/>
      <c r="Y93" s="3"/>
      <c r="Z93" s="3"/>
    </row>
    <row r="94" ht="15.75" customHeight="1">
      <c r="A94" s="3"/>
      <c r="B94" s="2"/>
      <c r="C94" s="2"/>
      <c r="D94" s="2"/>
      <c r="E94" s="464"/>
      <c r="F94" s="2"/>
      <c r="G94" s="2"/>
      <c r="H94" s="2"/>
      <c r="I94" s="2"/>
      <c r="J94" s="2"/>
      <c r="K94" s="2"/>
      <c r="L94" s="2"/>
      <c r="M94" s="2"/>
      <c r="N94" s="2"/>
      <c r="O94" s="2"/>
      <c r="P94" s="2"/>
      <c r="Q94" s="2"/>
      <c r="R94" s="255"/>
      <c r="S94" s="3"/>
      <c r="T94" s="3"/>
      <c r="U94" s="3"/>
      <c r="V94" s="3"/>
      <c r="W94" s="3"/>
      <c r="X94" s="3"/>
      <c r="Y94" s="3"/>
      <c r="Z94" s="3"/>
    </row>
    <row r="95" ht="15.75" customHeight="1">
      <c r="A95" s="3"/>
      <c r="B95" s="2"/>
      <c r="C95" s="2"/>
      <c r="D95" s="2"/>
      <c r="E95" s="464"/>
      <c r="F95" s="2"/>
      <c r="G95" s="2"/>
      <c r="H95" s="2"/>
      <c r="I95" s="2"/>
      <c r="J95" s="2"/>
      <c r="K95" s="2"/>
      <c r="L95" s="2"/>
      <c r="M95" s="2"/>
      <c r="N95" s="2"/>
      <c r="O95" s="2"/>
      <c r="P95" s="2"/>
      <c r="Q95" s="2"/>
      <c r="R95" s="255"/>
      <c r="S95" s="3"/>
      <c r="T95" s="3"/>
      <c r="U95" s="3"/>
      <c r="V95" s="3"/>
      <c r="W95" s="3"/>
      <c r="X95" s="3"/>
      <c r="Y95" s="3"/>
      <c r="Z95" s="3"/>
    </row>
    <row r="96" ht="15.75" customHeight="1">
      <c r="A96" s="3"/>
      <c r="B96" s="2"/>
      <c r="C96" s="2"/>
      <c r="D96" s="2"/>
      <c r="E96" s="464"/>
      <c r="F96" s="2"/>
      <c r="G96" s="2"/>
      <c r="H96" s="2"/>
      <c r="I96" s="2"/>
      <c r="J96" s="2"/>
      <c r="K96" s="2"/>
      <c r="L96" s="2"/>
      <c r="M96" s="2"/>
      <c r="N96" s="2"/>
      <c r="O96" s="2"/>
      <c r="P96" s="2"/>
      <c r="Q96" s="2"/>
      <c r="R96" s="255"/>
      <c r="S96" s="3"/>
      <c r="T96" s="3"/>
      <c r="U96" s="3"/>
      <c r="V96" s="3"/>
      <c r="W96" s="3"/>
      <c r="X96" s="3"/>
      <c r="Y96" s="3"/>
      <c r="Z96" s="3"/>
    </row>
    <row r="97" ht="15.75" customHeight="1">
      <c r="A97" s="3"/>
      <c r="B97" s="2"/>
      <c r="C97" s="2"/>
      <c r="D97" s="2"/>
      <c r="E97" s="464"/>
      <c r="F97" s="2"/>
      <c r="G97" s="2"/>
      <c r="H97" s="2"/>
      <c r="I97" s="2"/>
      <c r="J97" s="2"/>
      <c r="K97" s="2"/>
      <c r="L97" s="2"/>
      <c r="M97" s="2"/>
      <c r="N97" s="2"/>
      <c r="O97" s="2"/>
      <c r="P97" s="2"/>
      <c r="Q97" s="2"/>
      <c r="R97" s="255"/>
      <c r="S97" s="3"/>
      <c r="T97" s="3"/>
      <c r="U97" s="3"/>
      <c r="V97" s="3"/>
      <c r="W97" s="3"/>
      <c r="X97" s="3"/>
      <c r="Y97" s="3"/>
      <c r="Z97" s="3"/>
    </row>
    <row r="98" ht="15.75" customHeight="1">
      <c r="A98" s="3"/>
      <c r="B98" s="2"/>
      <c r="C98" s="2"/>
      <c r="D98" s="2"/>
      <c r="E98" s="464"/>
      <c r="F98" s="2"/>
      <c r="G98" s="2"/>
      <c r="H98" s="2"/>
      <c r="I98" s="2"/>
      <c r="J98" s="2"/>
      <c r="K98" s="2"/>
      <c r="L98" s="2"/>
      <c r="M98" s="2"/>
      <c r="N98" s="2"/>
      <c r="O98" s="2"/>
      <c r="P98" s="2"/>
      <c r="Q98" s="2"/>
      <c r="R98" s="255"/>
      <c r="S98" s="3"/>
      <c r="T98" s="3"/>
      <c r="U98" s="3"/>
      <c r="V98" s="3"/>
      <c r="W98" s="3"/>
      <c r="X98" s="3"/>
      <c r="Y98" s="3"/>
      <c r="Z98" s="3"/>
    </row>
    <row r="99" ht="15.75" customHeight="1">
      <c r="A99" s="3"/>
      <c r="B99" s="2"/>
      <c r="C99" s="2"/>
      <c r="D99" s="2"/>
      <c r="E99" s="464"/>
      <c r="F99" s="2"/>
      <c r="G99" s="2"/>
      <c r="H99" s="2"/>
      <c r="I99" s="2"/>
      <c r="J99" s="2"/>
      <c r="K99" s="2"/>
      <c r="L99" s="2"/>
      <c r="M99" s="2"/>
      <c r="N99" s="2"/>
      <c r="O99" s="2"/>
      <c r="P99" s="2"/>
      <c r="Q99" s="2"/>
      <c r="R99" s="255"/>
      <c r="S99" s="3"/>
      <c r="T99" s="3"/>
      <c r="U99" s="3"/>
      <c r="V99" s="3"/>
      <c r="W99" s="3"/>
      <c r="X99" s="3"/>
      <c r="Y99" s="3"/>
      <c r="Z99" s="3"/>
    </row>
    <row r="100" ht="15.75" customHeight="1">
      <c r="A100" s="3"/>
      <c r="B100" s="2"/>
      <c r="C100" s="2"/>
      <c r="D100" s="2"/>
      <c r="E100" s="464"/>
      <c r="F100" s="2"/>
      <c r="G100" s="2"/>
      <c r="H100" s="2"/>
      <c r="I100" s="2"/>
      <c r="J100" s="2"/>
      <c r="K100" s="2"/>
      <c r="L100" s="2"/>
      <c r="M100" s="2"/>
      <c r="N100" s="2"/>
      <c r="O100" s="2"/>
      <c r="P100" s="2"/>
      <c r="Q100" s="2"/>
      <c r="R100" s="255"/>
      <c r="S100" s="3"/>
      <c r="T100" s="3"/>
      <c r="U100" s="3"/>
      <c r="V100" s="3"/>
      <c r="W100" s="3"/>
      <c r="X100" s="3"/>
      <c r="Y100" s="3"/>
      <c r="Z100" s="3"/>
    </row>
    <row r="101" ht="15.75" customHeight="1">
      <c r="A101" s="3"/>
      <c r="B101" s="2"/>
      <c r="C101" s="2"/>
      <c r="D101" s="2"/>
      <c r="E101" s="464"/>
      <c r="F101" s="2"/>
      <c r="G101" s="2"/>
      <c r="H101" s="2"/>
      <c r="I101" s="2"/>
      <c r="J101" s="2"/>
      <c r="K101" s="2"/>
      <c r="L101" s="2"/>
      <c r="M101" s="2"/>
      <c r="N101" s="2"/>
      <c r="O101" s="2"/>
      <c r="P101" s="2"/>
      <c r="Q101" s="2"/>
      <c r="R101" s="255"/>
      <c r="S101" s="3"/>
      <c r="T101" s="3"/>
      <c r="U101" s="3"/>
      <c r="V101" s="3"/>
      <c r="W101" s="3"/>
      <c r="X101" s="3"/>
      <c r="Y101" s="3"/>
      <c r="Z101" s="3"/>
    </row>
    <row r="102" ht="15.75" customHeight="1">
      <c r="A102" s="3"/>
      <c r="B102" s="2"/>
      <c r="C102" s="2"/>
      <c r="D102" s="2"/>
      <c r="E102" s="464"/>
      <c r="F102" s="2"/>
      <c r="G102" s="2"/>
      <c r="H102" s="2"/>
      <c r="I102" s="2"/>
      <c r="J102" s="2"/>
      <c r="K102" s="2"/>
      <c r="L102" s="2"/>
      <c r="M102" s="2"/>
      <c r="N102" s="2"/>
      <c r="O102" s="2"/>
      <c r="P102" s="2"/>
      <c r="Q102" s="2"/>
      <c r="R102" s="255"/>
      <c r="S102" s="3"/>
      <c r="T102" s="3"/>
      <c r="U102" s="3"/>
      <c r="V102" s="3"/>
      <c r="W102" s="3"/>
      <c r="X102" s="3"/>
      <c r="Y102" s="3"/>
      <c r="Z102" s="3"/>
    </row>
    <row r="103" ht="15.75" customHeight="1">
      <c r="A103" s="3"/>
      <c r="B103" s="2"/>
      <c r="C103" s="2"/>
      <c r="D103" s="2"/>
      <c r="E103" s="464"/>
      <c r="F103" s="2"/>
      <c r="G103" s="2"/>
      <c r="H103" s="2"/>
      <c r="I103" s="2"/>
      <c r="J103" s="2"/>
      <c r="K103" s="2"/>
      <c r="L103" s="2"/>
      <c r="M103" s="2"/>
      <c r="N103" s="2"/>
      <c r="O103" s="2"/>
      <c r="P103" s="2"/>
      <c r="Q103" s="2"/>
      <c r="R103" s="255"/>
      <c r="S103" s="3"/>
      <c r="T103" s="3"/>
      <c r="U103" s="3"/>
      <c r="V103" s="3"/>
      <c r="W103" s="3"/>
      <c r="X103" s="3"/>
      <c r="Y103" s="3"/>
      <c r="Z103" s="3"/>
    </row>
    <row r="104" ht="15.75" customHeight="1">
      <c r="A104" s="3"/>
      <c r="B104" s="2"/>
      <c r="C104" s="2"/>
      <c r="D104" s="2"/>
      <c r="E104" s="464"/>
      <c r="F104" s="2"/>
      <c r="G104" s="2"/>
      <c r="H104" s="2"/>
      <c r="I104" s="2"/>
      <c r="J104" s="2"/>
      <c r="K104" s="2"/>
      <c r="L104" s="2"/>
      <c r="M104" s="2"/>
      <c r="N104" s="2"/>
      <c r="O104" s="2"/>
      <c r="P104" s="2"/>
      <c r="Q104" s="2"/>
      <c r="R104" s="255"/>
      <c r="S104" s="3"/>
      <c r="T104" s="3"/>
      <c r="U104" s="3"/>
      <c r="V104" s="3"/>
      <c r="W104" s="3"/>
      <c r="X104" s="3"/>
      <c r="Y104" s="3"/>
      <c r="Z104" s="3"/>
    </row>
    <row r="105" ht="15.75" customHeight="1">
      <c r="A105" s="3"/>
      <c r="B105" s="2"/>
      <c r="C105" s="2"/>
      <c r="D105" s="2"/>
      <c r="E105" s="464"/>
      <c r="F105" s="2"/>
      <c r="G105" s="2"/>
      <c r="H105" s="2"/>
      <c r="I105" s="2"/>
      <c r="J105" s="2"/>
      <c r="K105" s="2"/>
      <c r="L105" s="2"/>
      <c r="M105" s="2"/>
      <c r="N105" s="2"/>
      <c r="O105" s="2"/>
      <c r="P105" s="2"/>
      <c r="Q105" s="2"/>
      <c r="R105" s="255"/>
      <c r="S105" s="3"/>
      <c r="T105" s="3"/>
      <c r="U105" s="3"/>
      <c r="V105" s="3"/>
      <c r="W105" s="3"/>
      <c r="X105" s="3"/>
      <c r="Y105" s="3"/>
      <c r="Z105" s="3"/>
    </row>
    <row r="106" ht="15.75" customHeight="1">
      <c r="A106" s="3"/>
      <c r="B106" s="2"/>
      <c r="C106" s="2"/>
      <c r="D106" s="2"/>
      <c r="E106" s="464"/>
      <c r="F106" s="2"/>
      <c r="G106" s="2"/>
      <c r="H106" s="2"/>
      <c r="I106" s="2"/>
      <c r="J106" s="2"/>
      <c r="K106" s="2"/>
      <c r="L106" s="2"/>
      <c r="M106" s="2"/>
      <c r="N106" s="2"/>
      <c r="O106" s="2"/>
      <c r="P106" s="2"/>
      <c r="Q106" s="2"/>
      <c r="R106" s="255"/>
      <c r="S106" s="3"/>
      <c r="T106" s="3"/>
      <c r="U106" s="3"/>
      <c r="V106" s="3"/>
      <c r="W106" s="3"/>
      <c r="X106" s="3"/>
      <c r="Y106" s="3"/>
      <c r="Z106" s="3"/>
    </row>
    <row r="107" ht="15.75" customHeight="1">
      <c r="A107" s="3"/>
      <c r="B107" s="2"/>
      <c r="C107" s="2"/>
      <c r="D107" s="2"/>
      <c r="E107" s="464"/>
      <c r="F107" s="2"/>
      <c r="G107" s="2"/>
      <c r="H107" s="2"/>
      <c r="I107" s="2"/>
      <c r="J107" s="2"/>
      <c r="K107" s="2"/>
      <c r="L107" s="2"/>
      <c r="M107" s="2"/>
      <c r="N107" s="2"/>
      <c r="O107" s="2"/>
      <c r="P107" s="2"/>
      <c r="Q107" s="2"/>
      <c r="R107" s="255"/>
      <c r="S107" s="3"/>
      <c r="T107" s="3"/>
      <c r="U107" s="3"/>
      <c r="V107" s="3"/>
      <c r="W107" s="3"/>
      <c r="X107" s="3"/>
      <c r="Y107" s="3"/>
      <c r="Z107" s="3"/>
    </row>
    <row r="108" ht="15.75" customHeight="1">
      <c r="A108" s="3"/>
      <c r="B108" s="2"/>
      <c r="C108" s="2"/>
      <c r="D108" s="2"/>
      <c r="E108" s="464"/>
      <c r="F108" s="2"/>
      <c r="G108" s="2"/>
      <c r="H108" s="2"/>
      <c r="I108" s="2"/>
      <c r="J108" s="2"/>
      <c r="K108" s="2"/>
      <c r="L108" s="2"/>
      <c r="M108" s="2"/>
      <c r="N108" s="2"/>
      <c r="O108" s="2"/>
      <c r="P108" s="2"/>
      <c r="Q108" s="2"/>
      <c r="R108" s="255"/>
      <c r="S108" s="3"/>
      <c r="T108" s="3"/>
      <c r="U108" s="3"/>
      <c r="V108" s="3"/>
      <c r="W108" s="3"/>
      <c r="X108" s="3"/>
      <c r="Y108" s="3"/>
      <c r="Z108" s="3"/>
    </row>
    <row r="109" ht="15.75" customHeight="1">
      <c r="A109" s="3"/>
      <c r="B109" s="2"/>
      <c r="C109" s="2"/>
      <c r="D109" s="2"/>
      <c r="E109" s="464"/>
      <c r="F109" s="2"/>
      <c r="G109" s="2"/>
      <c r="H109" s="2"/>
      <c r="I109" s="2"/>
      <c r="J109" s="2"/>
      <c r="K109" s="2"/>
      <c r="L109" s="2"/>
      <c r="M109" s="2"/>
      <c r="N109" s="2"/>
      <c r="O109" s="2"/>
      <c r="P109" s="2"/>
      <c r="Q109" s="2"/>
      <c r="R109" s="255"/>
      <c r="S109" s="3"/>
      <c r="T109" s="3"/>
      <c r="U109" s="3"/>
      <c r="V109" s="3"/>
      <c r="W109" s="3"/>
      <c r="X109" s="3"/>
      <c r="Y109" s="3"/>
      <c r="Z109" s="3"/>
    </row>
    <row r="110" ht="15.75" customHeight="1">
      <c r="A110" s="3"/>
      <c r="B110" s="2"/>
      <c r="C110" s="2"/>
      <c r="D110" s="2"/>
      <c r="E110" s="464"/>
      <c r="F110" s="2"/>
      <c r="G110" s="2"/>
      <c r="H110" s="2"/>
      <c r="I110" s="2"/>
      <c r="J110" s="2"/>
      <c r="K110" s="2"/>
      <c r="L110" s="2"/>
      <c r="M110" s="2"/>
      <c r="N110" s="2"/>
      <c r="O110" s="2"/>
      <c r="P110" s="2"/>
      <c r="Q110" s="2"/>
      <c r="R110" s="255"/>
      <c r="S110" s="3"/>
      <c r="T110" s="3"/>
      <c r="U110" s="3"/>
      <c r="V110" s="3"/>
      <c r="W110" s="3"/>
      <c r="X110" s="3"/>
      <c r="Y110" s="3"/>
      <c r="Z110" s="3"/>
    </row>
    <row r="111" ht="15.75" customHeight="1">
      <c r="A111" s="3"/>
      <c r="B111" s="2"/>
      <c r="C111" s="2"/>
      <c r="D111" s="2"/>
      <c r="E111" s="464"/>
      <c r="F111" s="2"/>
      <c r="G111" s="2"/>
      <c r="H111" s="2"/>
      <c r="I111" s="2"/>
      <c r="J111" s="2"/>
      <c r="K111" s="2"/>
      <c r="L111" s="2"/>
      <c r="M111" s="2"/>
      <c r="N111" s="2"/>
      <c r="O111" s="2"/>
      <c r="P111" s="2"/>
      <c r="Q111" s="2"/>
      <c r="R111" s="255"/>
      <c r="S111" s="3"/>
      <c r="T111" s="3"/>
      <c r="U111" s="3"/>
      <c r="V111" s="3"/>
      <c r="W111" s="3"/>
      <c r="X111" s="3"/>
      <c r="Y111" s="3"/>
      <c r="Z111" s="3"/>
    </row>
    <row r="112" ht="15.75" customHeight="1">
      <c r="A112" s="3"/>
      <c r="B112" s="2"/>
      <c r="C112" s="2"/>
      <c r="D112" s="2"/>
      <c r="E112" s="464"/>
      <c r="F112" s="2"/>
      <c r="G112" s="2"/>
      <c r="H112" s="2"/>
      <c r="I112" s="2"/>
      <c r="J112" s="2"/>
      <c r="K112" s="2"/>
      <c r="L112" s="2"/>
      <c r="M112" s="2"/>
      <c r="N112" s="2"/>
      <c r="O112" s="2"/>
      <c r="P112" s="2"/>
      <c r="Q112" s="2"/>
      <c r="R112" s="255"/>
      <c r="S112" s="3"/>
      <c r="T112" s="3"/>
      <c r="U112" s="3"/>
      <c r="V112" s="3"/>
      <c r="W112" s="3"/>
      <c r="X112" s="3"/>
      <c r="Y112" s="3"/>
      <c r="Z112" s="3"/>
    </row>
    <row r="113" ht="15.75" customHeight="1">
      <c r="A113" s="3"/>
      <c r="B113" s="2"/>
      <c r="C113" s="2"/>
      <c r="D113" s="2"/>
      <c r="E113" s="464"/>
      <c r="F113" s="2"/>
      <c r="G113" s="2"/>
      <c r="H113" s="2"/>
      <c r="I113" s="2"/>
      <c r="J113" s="2"/>
      <c r="K113" s="2"/>
      <c r="L113" s="2"/>
      <c r="M113" s="2"/>
      <c r="N113" s="2"/>
      <c r="O113" s="2"/>
      <c r="P113" s="2"/>
      <c r="Q113" s="2"/>
      <c r="R113" s="255"/>
      <c r="S113" s="3"/>
      <c r="T113" s="3"/>
      <c r="U113" s="3"/>
      <c r="V113" s="3"/>
      <c r="W113" s="3"/>
      <c r="X113" s="3"/>
      <c r="Y113" s="3"/>
      <c r="Z113" s="3"/>
    </row>
    <row r="114" ht="15.75" customHeight="1">
      <c r="A114" s="3"/>
      <c r="B114" s="2"/>
      <c r="C114" s="2"/>
      <c r="D114" s="2"/>
      <c r="E114" s="464"/>
      <c r="F114" s="2"/>
      <c r="G114" s="2"/>
      <c r="H114" s="2"/>
      <c r="I114" s="2"/>
      <c r="J114" s="2"/>
      <c r="K114" s="2"/>
      <c r="L114" s="2"/>
      <c r="M114" s="2"/>
      <c r="N114" s="2"/>
      <c r="O114" s="2"/>
      <c r="P114" s="2"/>
      <c r="Q114" s="2"/>
      <c r="R114" s="255"/>
      <c r="S114" s="3"/>
      <c r="T114" s="3"/>
      <c r="U114" s="3"/>
      <c r="V114" s="3"/>
      <c r="W114" s="3"/>
      <c r="X114" s="3"/>
      <c r="Y114" s="3"/>
      <c r="Z114" s="3"/>
    </row>
    <row r="115" ht="15.75" customHeight="1">
      <c r="A115" s="3"/>
      <c r="B115" s="2"/>
      <c r="C115" s="2"/>
      <c r="D115" s="2"/>
      <c r="E115" s="464"/>
      <c r="F115" s="2"/>
      <c r="G115" s="2"/>
      <c r="H115" s="2"/>
      <c r="I115" s="2"/>
      <c r="J115" s="2"/>
      <c r="K115" s="2"/>
      <c r="L115" s="2"/>
      <c r="M115" s="2"/>
      <c r="N115" s="2"/>
      <c r="O115" s="2"/>
      <c r="P115" s="2"/>
      <c r="Q115" s="2"/>
      <c r="R115" s="255"/>
      <c r="S115" s="3"/>
      <c r="T115" s="3"/>
      <c r="U115" s="3"/>
      <c r="V115" s="3"/>
      <c r="W115" s="3"/>
      <c r="X115" s="3"/>
      <c r="Y115" s="3"/>
      <c r="Z115" s="3"/>
    </row>
    <row r="116" ht="15.75" customHeight="1">
      <c r="A116" s="3"/>
      <c r="B116" s="2"/>
      <c r="C116" s="2"/>
      <c r="D116" s="2"/>
      <c r="E116" s="464"/>
      <c r="F116" s="2"/>
      <c r="G116" s="2"/>
      <c r="H116" s="2"/>
      <c r="I116" s="2"/>
      <c r="J116" s="2"/>
      <c r="K116" s="2"/>
      <c r="L116" s="2"/>
      <c r="M116" s="2"/>
      <c r="N116" s="2"/>
      <c r="O116" s="2"/>
      <c r="P116" s="2"/>
      <c r="Q116" s="2"/>
      <c r="R116" s="255"/>
      <c r="S116" s="3"/>
      <c r="T116" s="3"/>
      <c r="U116" s="3"/>
      <c r="V116" s="3"/>
      <c r="W116" s="3"/>
      <c r="X116" s="3"/>
      <c r="Y116" s="3"/>
      <c r="Z116" s="3"/>
    </row>
    <row r="117" ht="15.75" customHeight="1">
      <c r="A117" s="3"/>
      <c r="B117" s="2"/>
      <c r="C117" s="2"/>
      <c r="D117" s="2"/>
      <c r="E117" s="464"/>
      <c r="F117" s="2"/>
      <c r="G117" s="2"/>
      <c r="H117" s="2"/>
      <c r="I117" s="2"/>
      <c r="J117" s="2"/>
      <c r="K117" s="2"/>
      <c r="L117" s="2"/>
      <c r="M117" s="2"/>
      <c r="N117" s="2"/>
      <c r="O117" s="2"/>
      <c r="P117" s="2"/>
      <c r="Q117" s="2"/>
      <c r="R117" s="255"/>
      <c r="S117" s="3"/>
      <c r="T117" s="3"/>
      <c r="U117" s="3"/>
      <c r="V117" s="3"/>
      <c r="W117" s="3"/>
      <c r="X117" s="3"/>
      <c r="Y117" s="3"/>
      <c r="Z117" s="3"/>
    </row>
    <row r="118" ht="15.75" customHeight="1">
      <c r="A118" s="3"/>
      <c r="B118" s="2"/>
      <c r="C118" s="2"/>
      <c r="D118" s="2"/>
      <c r="E118" s="464"/>
      <c r="F118" s="2"/>
      <c r="G118" s="2"/>
      <c r="H118" s="2"/>
      <c r="I118" s="2"/>
      <c r="J118" s="2"/>
      <c r="K118" s="2"/>
      <c r="L118" s="2"/>
      <c r="M118" s="2"/>
      <c r="N118" s="2"/>
      <c r="O118" s="2"/>
      <c r="P118" s="2"/>
      <c r="Q118" s="2"/>
      <c r="R118" s="255"/>
      <c r="S118" s="3"/>
      <c r="T118" s="3"/>
      <c r="U118" s="3"/>
      <c r="V118" s="3"/>
      <c r="W118" s="3"/>
      <c r="X118" s="3"/>
      <c r="Y118" s="3"/>
      <c r="Z118" s="3"/>
    </row>
    <row r="119" ht="15.75" customHeight="1">
      <c r="A119" s="3"/>
      <c r="B119" s="2"/>
      <c r="C119" s="2"/>
      <c r="D119" s="2"/>
      <c r="E119" s="464"/>
      <c r="F119" s="2"/>
      <c r="G119" s="2"/>
      <c r="H119" s="2"/>
      <c r="I119" s="2"/>
      <c r="J119" s="2"/>
      <c r="K119" s="2"/>
      <c r="L119" s="2"/>
      <c r="M119" s="2"/>
      <c r="N119" s="2"/>
      <c r="O119" s="2"/>
      <c r="P119" s="2"/>
      <c r="Q119" s="2"/>
      <c r="R119" s="255"/>
      <c r="S119" s="3"/>
      <c r="T119" s="3"/>
      <c r="U119" s="3"/>
      <c r="V119" s="3"/>
      <c r="W119" s="3"/>
      <c r="X119" s="3"/>
      <c r="Y119" s="3"/>
      <c r="Z119" s="3"/>
    </row>
    <row r="120" ht="15.75" customHeight="1">
      <c r="A120" s="3"/>
      <c r="B120" s="2"/>
      <c r="C120" s="2"/>
      <c r="D120" s="2"/>
      <c r="E120" s="464"/>
      <c r="F120" s="2"/>
      <c r="G120" s="2"/>
      <c r="H120" s="2"/>
      <c r="I120" s="2"/>
      <c r="J120" s="2"/>
      <c r="K120" s="2"/>
      <c r="L120" s="2"/>
      <c r="M120" s="2"/>
      <c r="N120" s="2"/>
      <c r="O120" s="2"/>
      <c r="P120" s="2"/>
      <c r="Q120" s="2"/>
      <c r="R120" s="255"/>
      <c r="S120" s="3"/>
      <c r="T120" s="3"/>
      <c r="U120" s="3"/>
      <c r="V120" s="3"/>
      <c r="W120" s="3"/>
      <c r="X120" s="3"/>
      <c r="Y120" s="3"/>
      <c r="Z120" s="3"/>
    </row>
    <row r="121" ht="15.75" customHeight="1">
      <c r="A121" s="3"/>
      <c r="B121" s="2"/>
      <c r="C121" s="2"/>
      <c r="D121" s="2"/>
      <c r="E121" s="464"/>
      <c r="F121" s="2"/>
      <c r="G121" s="2"/>
      <c r="H121" s="2"/>
      <c r="I121" s="2"/>
      <c r="J121" s="2"/>
      <c r="K121" s="2"/>
      <c r="L121" s="2"/>
      <c r="M121" s="2"/>
      <c r="N121" s="2"/>
      <c r="O121" s="2"/>
      <c r="P121" s="2"/>
      <c r="Q121" s="2"/>
      <c r="R121" s="255"/>
      <c r="S121" s="3"/>
      <c r="T121" s="3"/>
      <c r="U121" s="3"/>
      <c r="V121" s="3"/>
      <c r="W121" s="3"/>
      <c r="X121" s="3"/>
      <c r="Y121" s="3"/>
      <c r="Z121" s="3"/>
    </row>
    <row r="122" ht="15.75" customHeight="1">
      <c r="A122" s="3"/>
      <c r="B122" s="2"/>
      <c r="C122" s="2"/>
      <c r="D122" s="2"/>
      <c r="E122" s="464"/>
      <c r="F122" s="2"/>
      <c r="G122" s="2"/>
      <c r="H122" s="2"/>
      <c r="I122" s="2"/>
      <c r="J122" s="2"/>
      <c r="K122" s="2"/>
      <c r="L122" s="2"/>
      <c r="M122" s="2"/>
      <c r="N122" s="2"/>
      <c r="O122" s="2"/>
      <c r="P122" s="2"/>
      <c r="Q122" s="2"/>
      <c r="R122" s="255"/>
      <c r="S122" s="3"/>
      <c r="T122" s="3"/>
      <c r="U122" s="3"/>
      <c r="V122" s="3"/>
      <c r="W122" s="3"/>
      <c r="X122" s="3"/>
      <c r="Y122" s="3"/>
      <c r="Z122" s="3"/>
    </row>
    <row r="123" ht="15.75" customHeight="1">
      <c r="A123" s="3"/>
      <c r="B123" s="2"/>
      <c r="C123" s="2"/>
      <c r="D123" s="2"/>
      <c r="E123" s="464"/>
      <c r="F123" s="2"/>
      <c r="G123" s="2"/>
      <c r="H123" s="2"/>
      <c r="I123" s="2"/>
      <c r="J123" s="2"/>
      <c r="K123" s="2"/>
      <c r="L123" s="2"/>
      <c r="M123" s="2"/>
      <c r="N123" s="2"/>
      <c r="O123" s="2"/>
      <c r="P123" s="2"/>
      <c r="Q123" s="2"/>
      <c r="R123" s="255"/>
      <c r="S123" s="3"/>
      <c r="T123" s="3"/>
      <c r="U123" s="3"/>
      <c r="V123" s="3"/>
      <c r="W123" s="3"/>
      <c r="X123" s="3"/>
      <c r="Y123" s="3"/>
      <c r="Z123" s="3"/>
    </row>
    <row r="124" ht="15.75" customHeight="1">
      <c r="A124" s="3"/>
      <c r="B124" s="2"/>
      <c r="C124" s="2"/>
      <c r="D124" s="2"/>
      <c r="E124" s="464"/>
      <c r="F124" s="2"/>
      <c r="G124" s="2"/>
      <c r="H124" s="2"/>
      <c r="I124" s="2"/>
      <c r="J124" s="2"/>
      <c r="K124" s="2"/>
      <c r="L124" s="2"/>
      <c r="M124" s="2"/>
      <c r="N124" s="2"/>
      <c r="O124" s="2"/>
      <c r="P124" s="2"/>
      <c r="Q124" s="2"/>
      <c r="R124" s="255"/>
      <c r="S124" s="3"/>
      <c r="T124" s="3"/>
      <c r="U124" s="3"/>
      <c r="V124" s="3"/>
      <c r="W124" s="3"/>
      <c r="X124" s="3"/>
      <c r="Y124" s="3"/>
      <c r="Z124" s="3"/>
    </row>
    <row r="125" ht="15.75" customHeight="1">
      <c r="A125" s="3"/>
      <c r="B125" s="2"/>
      <c r="C125" s="2"/>
      <c r="D125" s="2"/>
      <c r="E125" s="464"/>
      <c r="F125" s="2"/>
      <c r="G125" s="2"/>
      <c r="H125" s="2"/>
      <c r="I125" s="2"/>
      <c r="J125" s="2"/>
      <c r="K125" s="2"/>
      <c r="L125" s="2"/>
      <c r="M125" s="2"/>
      <c r="N125" s="2"/>
      <c r="O125" s="2"/>
      <c r="P125" s="2"/>
      <c r="Q125" s="2"/>
      <c r="R125" s="255"/>
      <c r="S125" s="3"/>
      <c r="T125" s="3"/>
      <c r="U125" s="3"/>
      <c r="V125" s="3"/>
      <c r="W125" s="3"/>
      <c r="X125" s="3"/>
      <c r="Y125" s="3"/>
      <c r="Z125" s="3"/>
    </row>
    <row r="126" ht="15.75" customHeight="1">
      <c r="A126" s="3"/>
      <c r="B126" s="2"/>
      <c r="C126" s="2"/>
      <c r="D126" s="2"/>
      <c r="E126" s="464"/>
      <c r="F126" s="2"/>
      <c r="G126" s="2"/>
      <c r="H126" s="2"/>
      <c r="I126" s="2"/>
      <c r="J126" s="2"/>
      <c r="K126" s="2"/>
      <c r="L126" s="2"/>
      <c r="M126" s="2"/>
      <c r="N126" s="2"/>
      <c r="O126" s="2"/>
      <c r="P126" s="2"/>
      <c r="Q126" s="2"/>
      <c r="R126" s="255"/>
      <c r="S126" s="3"/>
      <c r="T126" s="3"/>
      <c r="U126" s="3"/>
      <c r="V126" s="3"/>
      <c r="W126" s="3"/>
      <c r="X126" s="3"/>
      <c r="Y126" s="3"/>
      <c r="Z126" s="3"/>
    </row>
    <row r="127" ht="15.75" customHeight="1">
      <c r="A127" s="3"/>
      <c r="B127" s="2"/>
      <c r="C127" s="2"/>
      <c r="D127" s="2"/>
      <c r="E127" s="464"/>
      <c r="F127" s="2"/>
      <c r="G127" s="2"/>
      <c r="H127" s="2"/>
      <c r="I127" s="2"/>
      <c r="J127" s="2"/>
      <c r="K127" s="2"/>
      <c r="L127" s="2"/>
      <c r="M127" s="2"/>
      <c r="N127" s="2"/>
      <c r="O127" s="2"/>
      <c r="P127" s="2"/>
      <c r="Q127" s="2"/>
      <c r="R127" s="255"/>
      <c r="S127" s="3"/>
      <c r="T127" s="3"/>
      <c r="U127" s="3"/>
      <c r="V127" s="3"/>
      <c r="W127" s="3"/>
      <c r="X127" s="3"/>
      <c r="Y127" s="3"/>
      <c r="Z127" s="3"/>
    </row>
    <row r="128" ht="15.75" customHeight="1">
      <c r="A128" s="3"/>
      <c r="B128" s="2"/>
      <c r="C128" s="2"/>
      <c r="D128" s="2"/>
      <c r="E128" s="464"/>
      <c r="F128" s="2"/>
      <c r="G128" s="2"/>
      <c r="H128" s="2"/>
      <c r="I128" s="2"/>
      <c r="J128" s="2"/>
      <c r="K128" s="2"/>
      <c r="L128" s="2"/>
      <c r="M128" s="2"/>
      <c r="N128" s="2"/>
      <c r="O128" s="2"/>
      <c r="P128" s="2"/>
      <c r="Q128" s="2"/>
      <c r="R128" s="255"/>
      <c r="S128" s="3"/>
      <c r="T128" s="3"/>
      <c r="U128" s="3"/>
      <c r="V128" s="3"/>
      <c r="W128" s="3"/>
      <c r="X128" s="3"/>
      <c r="Y128" s="3"/>
      <c r="Z128" s="3"/>
    </row>
    <row r="129" ht="15.75" customHeight="1">
      <c r="A129" s="3"/>
      <c r="B129" s="2"/>
      <c r="C129" s="2"/>
      <c r="D129" s="2"/>
      <c r="E129" s="464"/>
      <c r="F129" s="2"/>
      <c r="G129" s="2"/>
      <c r="H129" s="2"/>
      <c r="I129" s="2"/>
      <c r="J129" s="2"/>
      <c r="K129" s="2"/>
      <c r="L129" s="2"/>
      <c r="M129" s="2"/>
      <c r="N129" s="2"/>
      <c r="O129" s="2"/>
      <c r="P129" s="2"/>
      <c r="Q129" s="2"/>
      <c r="R129" s="255"/>
      <c r="S129" s="3"/>
      <c r="T129" s="3"/>
      <c r="U129" s="3"/>
      <c r="V129" s="3"/>
      <c r="W129" s="3"/>
      <c r="X129" s="3"/>
      <c r="Y129" s="3"/>
      <c r="Z129" s="3"/>
    </row>
    <row r="130" ht="15.75" customHeight="1">
      <c r="A130" s="3"/>
      <c r="B130" s="2"/>
      <c r="C130" s="2"/>
      <c r="D130" s="2"/>
      <c r="E130" s="464"/>
      <c r="F130" s="2"/>
      <c r="G130" s="2"/>
      <c r="H130" s="2"/>
      <c r="I130" s="2"/>
      <c r="J130" s="2"/>
      <c r="K130" s="2"/>
      <c r="L130" s="2"/>
      <c r="M130" s="2"/>
      <c r="N130" s="2"/>
      <c r="O130" s="2"/>
      <c r="P130" s="2"/>
      <c r="Q130" s="2"/>
      <c r="R130" s="255"/>
      <c r="S130" s="3"/>
      <c r="T130" s="3"/>
      <c r="U130" s="3"/>
      <c r="V130" s="3"/>
      <c r="W130" s="3"/>
      <c r="X130" s="3"/>
      <c r="Y130" s="3"/>
      <c r="Z130" s="3"/>
    </row>
    <row r="131" ht="15.75" customHeight="1">
      <c r="A131" s="3"/>
      <c r="B131" s="2"/>
      <c r="C131" s="2"/>
      <c r="D131" s="2"/>
      <c r="E131" s="464"/>
      <c r="F131" s="2"/>
      <c r="G131" s="2"/>
      <c r="H131" s="2"/>
      <c r="I131" s="2"/>
      <c r="J131" s="2"/>
      <c r="K131" s="2"/>
      <c r="L131" s="2"/>
      <c r="M131" s="2"/>
      <c r="N131" s="2"/>
      <c r="O131" s="2"/>
      <c r="P131" s="2"/>
      <c r="Q131" s="2"/>
      <c r="R131" s="255"/>
      <c r="S131" s="3"/>
      <c r="T131" s="3"/>
      <c r="U131" s="3"/>
      <c r="V131" s="3"/>
      <c r="W131" s="3"/>
      <c r="X131" s="3"/>
      <c r="Y131" s="3"/>
      <c r="Z131" s="3"/>
    </row>
    <row r="132" ht="15.75" customHeight="1">
      <c r="A132" s="3"/>
      <c r="B132" s="2"/>
      <c r="C132" s="2"/>
      <c r="D132" s="2"/>
      <c r="E132" s="464"/>
      <c r="F132" s="2"/>
      <c r="G132" s="2"/>
      <c r="H132" s="2"/>
      <c r="I132" s="2"/>
      <c r="J132" s="2"/>
      <c r="K132" s="2"/>
      <c r="L132" s="2"/>
      <c r="M132" s="2"/>
      <c r="N132" s="2"/>
      <c r="O132" s="2"/>
      <c r="P132" s="2"/>
      <c r="Q132" s="2"/>
      <c r="R132" s="255"/>
      <c r="S132" s="3"/>
      <c r="T132" s="3"/>
      <c r="U132" s="3"/>
      <c r="V132" s="3"/>
      <c r="W132" s="3"/>
      <c r="X132" s="3"/>
      <c r="Y132" s="3"/>
      <c r="Z132" s="3"/>
    </row>
    <row r="133" ht="15.75" customHeight="1">
      <c r="A133" s="3"/>
      <c r="B133" s="2"/>
      <c r="C133" s="2"/>
      <c r="D133" s="2"/>
      <c r="E133" s="464"/>
      <c r="F133" s="2"/>
      <c r="G133" s="2"/>
      <c r="H133" s="2"/>
      <c r="I133" s="2"/>
      <c r="J133" s="2"/>
      <c r="K133" s="2"/>
      <c r="L133" s="2"/>
      <c r="M133" s="2"/>
      <c r="N133" s="2"/>
      <c r="O133" s="2"/>
      <c r="P133" s="2"/>
      <c r="Q133" s="2"/>
      <c r="R133" s="255"/>
      <c r="S133" s="3"/>
      <c r="T133" s="3"/>
      <c r="U133" s="3"/>
      <c r="V133" s="3"/>
      <c r="W133" s="3"/>
      <c r="X133" s="3"/>
      <c r="Y133" s="3"/>
      <c r="Z133" s="3"/>
    </row>
    <row r="134" ht="15.75" customHeight="1">
      <c r="A134" s="3"/>
      <c r="B134" s="2"/>
      <c r="C134" s="2"/>
      <c r="D134" s="2"/>
      <c r="E134" s="464"/>
      <c r="F134" s="2"/>
      <c r="G134" s="2"/>
      <c r="H134" s="2"/>
      <c r="I134" s="2"/>
      <c r="J134" s="2"/>
      <c r="K134" s="2"/>
      <c r="L134" s="2"/>
      <c r="M134" s="2"/>
      <c r="N134" s="2"/>
      <c r="O134" s="2"/>
      <c r="P134" s="2"/>
      <c r="Q134" s="2"/>
      <c r="R134" s="255"/>
      <c r="S134" s="3"/>
      <c r="T134" s="3"/>
      <c r="U134" s="3"/>
      <c r="V134" s="3"/>
      <c r="W134" s="3"/>
      <c r="X134" s="3"/>
      <c r="Y134" s="3"/>
      <c r="Z134" s="3"/>
    </row>
    <row r="135" ht="15.75" customHeight="1">
      <c r="A135" s="3"/>
      <c r="B135" s="2"/>
      <c r="C135" s="2"/>
      <c r="D135" s="2"/>
      <c r="E135" s="464"/>
      <c r="F135" s="2"/>
      <c r="G135" s="2"/>
      <c r="H135" s="2"/>
      <c r="I135" s="2"/>
      <c r="J135" s="2"/>
      <c r="K135" s="2"/>
      <c r="L135" s="2"/>
      <c r="M135" s="2"/>
      <c r="N135" s="2"/>
      <c r="O135" s="2"/>
      <c r="P135" s="2"/>
      <c r="Q135" s="2"/>
      <c r="R135" s="255"/>
      <c r="S135" s="3"/>
      <c r="T135" s="3"/>
      <c r="U135" s="3"/>
      <c r="V135" s="3"/>
      <c r="W135" s="3"/>
      <c r="X135" s="3"/>
      <c r="Y135" s="3"/>
      <c r="Z135" s="3"/>
    </row>
    <row r="136" ht="15.75" customHeight="1">
      <c r="A136" s="3"/>
      <c r="B136" s="2"/>
      <c r="C136" s="2"/>
      <c r="D136" s="2"/>
      <c r="E136" s="464"/>
      <c r="F136" s="2"/>
      <c r="G136" s="2"/>
      <c r="H136" s="2"/>
      <c r="I136" s="2"/>
      <c r="J136" s="2"/>
      <c r="K136" s="2"/>
      <c r="L136" s="2"/>
      <c r="M136" s="2"/>
      <c r="N136" s="2"/>
      <c r="O136" s="2"/>
      <c r="P136" s="2"/>
      <c r="Q136" s="2"/>
      <c r="R136" s="255"/>
      <c r="S136" s="3"/>
      <c r="T136" s="3"/>
      <c r="U136" s="3"/>
      <c r="V136" s="3"/>
      <c r="W136" s="3"/>
      <c r="X136" s="3"/>
      <c r="Y136" s="3"/>
      <c r="Z136" s="3"/>
    </row>
    <row r="137" ht="15.75" customHeight="1">
      <c r="A137" s="3"/>
      <c r="B137" s="2"/>
      <c r="C137" s="2"/>
      <c r="D137" s="2"/>
      <c r="E137" s="464"/>
      <c r="F137" s="2"/>
      <c r="G137" s="2"/>
      <c r="H137" s="2"/>
      <c r="I137" s="2"/>
      <c r="J137" s="2"/>
      <c r="K137" s="2"/>
      <c r="L137" s="2"/>
      <c r="M137" s="2"/>
      <c r="N137" s="2"/>
      <c r="O137" s="2"/>
      <c r="P137" s="2"/>
      <c r="Q137" s="2"/>
      <c r="R137" s="255"/>
      <c r="S137" s="3"/>
      <c r="T137" s="3"/>
      <c r="U137" s="3"/>
      <c r="V137" s="3"/>
      <c r="W137" s="3"/>
      <c r="X137" s="3"/>
      <c r="Y137" s="3"/>
      <c r="Z137" s="3"/>
    </row>
    <row r="138" ht="15.75" customHeight="1">
      <c r="A138" s="3"/>
      <c r="B138" s="2"/>
      <c r="C138" s="2"/>
      <c r="D138" s="2"/>
      <c r="E138" s="464"/>
      <c r="F138" s="2"/>
      <c r="G138" s="2"/>
      <c r="H138" s="2"/>
      <c r="I138" s="2"/>
      <c r="J138" s="2"/>
      <c r="K138" s="2"/>
      <c r="L138" s="2"/>
      <c r="M138" s="2"/>
      <c r="N138" s="2"/>
      <c r="O138" s="2"/>
      <c r="P138" s="2"/>
      <c r="Q138" s="2"/>
      <c r="R138" s="255"/>
      <c r="S138" s="3"/>
      <c r="T138" s="3"/>
      <c r="U138" s="3"/>
      <c r="V138" s="3"/>
      <c r="W138" s="3"/>
      <c r="X138" s="3"/>
      <c r="Y138" s="3"/>
      <c r="Z138" s="3"/>
    </row>
    <row r="139" ht="15.75" customHeight="1">
      <c r="A139" s="3"/>
      <c r="B139" s="2"/>
      <c r="C139" s="2"/>
      <c r="D139" s="2"/>
      <c r="E139" s="464"/>
      <c r="F139" s="2"/>
      <c r="G139" s="2"/>
      <c r="H139" s="2"/>
      <c r="I139" s="2"/>
      <c r="J139" s="2"/>
      <c r="K139" s="2"/>
      <c r="L139" s="2"/>
      <c r="M139" s="2"/>
      <c r="N139" s="2"/>
      <c r="O139" s="2"/>
      <c r="P139" s="2"/>
      <c r="Q139" s="2"/>
      <c r="R139" s="255"/>
      <c r="S139" s="3"/>
      <c r="T139" s="3"/>
      <c r="U139" s="3"/>
      <c r="V139" s="3"/>
      <c r="W139" s="3"/>
      <c r="X139" s="3"/>
      <c r="Y139" s="3"/>
      <c r="Z139" s="3"/>
    </row>
    <row r="140" ht="15.75" customHeight="1">
      <c r="A140" s="3"/>
      <c r="B140" s="2"/>
      <c r="C140" s="2"/>
      <c r="D140" s="2"/>
      <c r="E140" s="464"/>
      <c r="F140" s="2"/>
      <c r="G140" s="2"/>
      <c r="H140" s="2"/>
      <c r="I140" s="2"/>
      <c r="J140" s="2"/>
      <c r="K140" s="2"/>
      <c r="L140" s="2"/>
      <c r="M140" s="2"/>
      <c r="N140" s="2"/>
      <c r="O140" s="2"/>
      <c r="P140" s="2"/>
      <c r="Q140" s="2"/>
      <c r="R140" s="255"/>
      <c r="S140" s="3"/>
      <c r="T140" s="3"/>
      <c r="U140" s="3"/>
      <c r="V140" s="3"/>
      <c r="W140" s="3"/>
      <c r="X140" s="3"/>
      <c r="Y140" s="3"/>
      <c r="Z140" s="3"/>
    </row>
    <row r="141" ht="15.75" customHeight="1">
      <c r="A141" s="3"/>
      <c r="B141" s="2"/>
      <c r="C141" s="2"/>
      <c r="D141" s="2"/>
      <c r="E141" s="464"/>
      <c r="F141" s="2"/>
      <c r="G141" s="2"/>
      <c r="H141" s="2"/>
      <c r="I141" s="2"/>
      <c r="J141" s="2"/>
      <c r="K141" s="2"/>
      <c r="L141" s="2"/>
      <c r="M141" s="2"/>
      <c r="N141" s="2"/>
      <c r="O141" s="2"/>
      <c r="P141" s="2"/>
      <c r="Q141" s="2"/>
      <c r="R141" s="255"/>
      <c r="S141" s="3"/>
      <c r="T141" s="3"/>
      <c r="U141" s="3"/>
      <c r="V141" s="3"/>
      <c r="W141" s="3"/>
      <c r="X141" s="3"/>
      <c r="Y141" s="3"/>
      <c r="Z141" s="3"/>
    </row>
    <row r="142" ht="15.75" customHeight="1">
      <c r="A142" s="3"/>
      <c r="B142" s="2"/>
      <c r="C142" s="2"/>
      <c r="D142" s="2"/>
      <c r="E142" s="464"/>
      <c r="F142" s="2"/>
      <c r="G142" s="2"/>
      <c r="H142" s="2"/>
      <c r="I142" s="2"/>
      <c r="J142" s="2"/>
      <c r="K142" s="2"/>
      <c r="L142" s="2"/>
      <c r="M142" s="2"/>
      <c r="N142" s="2"/>
      <c r="O142" s="2"/>
      <c r="P142" s="2"/>
      <c r="Q142" s="2"/>
      <c r="R142" s="255"/>
      <c r="S142" s="3"/>
      <c r="T142" s="3"/>
      <c r="U142" s="3"/>
      <c r="V142" s="3"/>
      <c r="W142" s="3"/>
      <c r="X142" s="3"/>
      <c r="Y142" s="3"/>
      <c r="Z142" s="3"/>
    </row>
    <row r="143" ht="15.75" customHeight="1">
      <c r="A143" s="3"/>
      <c r="B143" s="2"/>
      <c r="C143" s="2"/>
      <c r="D143" s="2"/>
      <c r="E143" s="464"/>
      <c r="F143" s="2"/>
      <c r="G143" s="2"/>
      <c r="H143" s="2"/>
      <c r="I143" s="2"/>
      <c r="J143" s="2"/>
      <c r="K143" s="2"/>
      <c r="L143" s="2"/>
      <c r="M143" s="2"/>
      <c r="N143" s="2"/>
      <c r="O143" s="2"/>
      <c r="P143" s="2"/>
      <c r="Q143" s="2"/>
      <c r="R143" s="255"/>
      <c r="S143" s="3"/>
      <c r="T143" s="3"/>
      <c r="U143" s="3"/>
      <c r="V143" s="3"/>
      <c r="W143" s="3"/>
      <c r="X143" s="3"/>
      <c r="Y143" s="3"/>
      <c r="Z143" s="3"/>
    </row>
    <row r="144" ht="15.75" customHeight="1">
      <c r="A144" s="3"/>
      <c r="B144" s="2"/>
      <c r="C144" s="2"/>
      <c r="D144" s="2"/>
      <c r="E144" s="464"/>
      <c r="F144" s="2"/>
      <c r="G144" s="2"/>
      <c r="H144" s="2"/>
      <c r="I144" s="2"/>
      <c r="J144" s="2"/>
      <c r="K144" s="2"/>
      <c r="L144" s="2"/>
      <c r="M144" s="2"/>
      <c r="N144" s="2"/>
      <c r="O144" s="2"/>
      <c r="P144" s="2"/>
      <c r="Q144" s="2"/>
      <c r="R144" s="255"/>
      <c r="S144" s="3"/>
      <c r="T144" s="3"/>
      <c r="U144" s="3"/>
      <c r="V144" s="3"/>
      <c r="W144" s="3"/>
      <c r="X144" s="3"/>
      <c r="Y144" s="3"/>
      <c r="Z144" s="3"/>
    </row>
    <row r="145" ht="15.75" customHeight="1">
      <c r="A145" s="3"/>
      <c r="B145" s="2"/>
      <c r="C145" s="2"/>
      <c r="D145" s="2"/>
      <c r="E145" s="464"/>
      <c r="F145" s="2"/>
      <c r="G145" s="2"/>
      <c r="H145" s="2"/>
      <c r="I145" s="2"/>
      <c r="J145" s="2"/>
      <c r="K145" s="2"/>
      <c r="L145" s="2"/>
      <c r="M145" s="2"/>
      <c r="N145" s="2"/>
      <c r="O145" s="2"/>
      <c r="P145" s="2"/>
      <c r="Q145" s="2"/>
      <c r="R145" s="255"/>
      <c r="S145" s="3"/>
      <c r="T145" s="3"/>
      <c r="U145" s="3"/>
      <c r="V145" s="3"/>
      <c r="W145" s="3"/>
      <c r="X145" s="3"/>
      <c r="Y145" s="3"/>
      <c r="Z145" s="3"/>
    </row>
    <row r="146" ht="15.75" customHeight="1">
      <c r="A146" s="3"/>
      <c r="B146" s="2"/>
      <c r="C146" s="2"/>
      <c r="D146" s="2"/>
      <c r="E146" s="464"/>
      <c r="F146" s="2"/>
      <c r="G146" s="2"/>
      <c r="H146" s="2"/>
      <c r="I146" s="2"/>
      <c r="J146" s="2"/>
      <c r="K146" s="2"/>
      <c r="L146" s="2"/>
      <c r="M146" s="2"/>
      <c r="N146" s="2"/>
      <c r="O146" s="2"/>
      <c r="P146" s="2"/>
      <c r="Q146" s="2"/>
      <c r="R146" s="255"/>
      <c r="S146" s="3"/>
      <c r="T146" s="3"/>
      <c r="U146" s="3"/>
      <c r="V146" s="3"/>
      <c r="W146" s="3"/>
      <c r="X146" s="3"/>
      <c r="Y146" s="3"/>
      <c r="Z146" s="3"/>
    </row>
    <row r="147" ht="15.75" customHeight="1">
      <c r="A147" s="3"/>
      <c r="B147" s="2"/>
      <c r="C147" s="2"/>
      <c r="D147" s="2"/>
      <c r="E147" s="464"/>
      <c r="F147" s="2"/>
      <c r="G147" s="2"/>
      <c r="H147" s="2"/>
      <c r="I147" s="2"/>
      <c r="J147" s="2"/>
      <c r="K147" s="2"/>
      <c r="L147" s="2"/>
      <c r="M147" s="2"/>
      <c r="N147" s="2"/>
      <c r="O147" s="2"/>
      <c r="P147" s="2"/>
      <c r="Q147" s="2"/>
      <c r="R147" s="255"/>
      <c r="S147" s="3"/>
      <c r="T147" s="3"/>
      <c r="U147" s="3"/>
      <c r="V147" s="3"/>
      <c r="W147" s="3"/>
      <c r="X147" s="3"/>
      <c r="Y147" s="3"/>
      <c r="Z147" s="3"/>
    </row>
    <row r="148" ht="15.75" customHeight="1">
      <c r="A148" s="3"/>
      <c r="B148" s="2"/>
      <c r="C148" s="2"/>
      <c r="D148" s="2"/>
      <c r="E148" s="464"/>
      <c r="F148" s="2"/>
      <c r="G148" s="2"/>
      <c r="H148" s="2"/>
      <c r="I148" s="2"/>
      <c r="J148" s="2"/>
      <c r="K148" s="2"/>
      <c r="L148" s="2"/>
      <c r="M148" s="2"/>
      <c r="N148" s="2"/>
      <c r="O148" s="2"/>
      <c r="P148" s="2"/>
      <c r="Q148" s="2"/>
      <c r="R148" s="255"/>
      <c r="S148" s="3"/>
      <c r="T148" s="3"/>
      <c r="U148" s="3"/>
      <c r="V148" s="3"/>
      <c r="W148" s="3"/>
      <c r="X148" s="3"/>
      <c r="Y148" s="3"/>
      <c r="Z148" s="3"/>
    </row>
    <row r="149" ht="15.75" customHeight="1">
      <c r="A149" s="3"/>
      <c r="B149" s="2"/>
      <c r="C149" s="2"/>
      <c r="D149" s="2"/>
      <c r="E149" s="464"/>
      <c r="F149" s="2"/>
      <c r="G149" s="2"/>
      <c r="H149" s="2"/>
      <c r="I149" s="2"/>
      <c r="J149" s="2"/>
      <c r="K149" s="2"/>
      <c r="L149" s="2"/>
      <c r="M149" s="2"/>
      <c r="N149" s="2"/>
      <c r="O149" s="2"/>
      <c r="P149" s="2"/>
      <c r="Q149" s="2"/>
      <c r="R149" s="255"/>
      <c r="S149" s="3"/>
      <c r="T149" s="3"/>
      <c r="U149" s="3"/>
      <c r="V149" s="3"/>
      <c r="W149" s="3"/>
      <c r="X149" s="3"/>
      <c r="Y149" s="3"/>
      <c r="Z149" s="3"/>
    </row>
    <row r="150" ht="15.75" customHeight="1">
      <c r="A150" s="3"/>
      <c r="B150" s="2"/>
      <c r="C150" s="2"/>
      <c r="D150" s="2"/>
      <c r="E150" s="464"/>
      <c r="F150" s="2"/>
      <c r="G150" s="2"/>
      <c r="H150" s="2"/>
      <c r="I150" s="2"/>
      <c r="J150" s="2"/>
      <c r="K150" s="2"/>
      <c r="L150" s="2"/>
      <c r="M150" s="2"/>
      <c r="N150" s="2"/>
      <c r="O150" s="2"/>
      <c r="P150" s="2"/>
      <c r="Q150" s="2"/>
      <c r="R150" s="255"/>
      <c r="S150" s="3"/>
      <c r="T150" s="3"/>
      <c r="U150" s="3"/>
      <c r="V150" s="3"/>
      <c r="W150" s="3"/>
      <c r="X150" s="3"/>
      <c r="Y150" s="3"/>
      <c r="Z150" s="3"/>
    </row>
    <row r="151" ht="15.75" customHeight="1">
      <c r="A151" s="3"/>
      <c r="B151" s="2"/>
      <c r="C151" s="2"/>
      <c r="D151" s="2"/>
      <c r="E151" s="464"/>
      <c r="F151" s="2"/>
      <c r="G151" s="2"/>
      <c r="H151" s="2"/>
      <c r="I151" s="2"/>
      <c r="J151" s="2"/>
      <c r="K151" s="2"/>
      <c r="L151" s="2"/>
      <c r="M151" s="2"/>
      <c r="N151" s="2"/>
      <c r="O151" s="2"/>
      <c r="P151" s="2"/>
      <c r="Q151" s="2"/>
      <c r="R151" s="255"/>
      <c r="S151" s="3"/>
      <c r="T151" s="3"/>
      <c r="U151" s="3"/>
      <c r="V151" s="3"/>
      <c r="W151" s="3"/>
      <c r="X151" s="3"/>
      <c r="Y151" s="3"/>
      <c r="Z151" s="3"/>
    </row>
    <row r="152" ht="15.75" customHeight="1">
      <c r="A152" s="3"/>
      <c r="B152" s="2"/>
      <c r="C152" s="2"/>
      <c r="D152" s="2"/>
      <c r="E152" s="464"/>
      <c r="F152" s="2"/>
      <c r="G152" s="2"/>
      <c r="H152" s="2"/>
      <c r="I152" s="2"/>
      <c r="J152" s="2"/>
      <c r="K152" s="2"/>
      <c r="L152" s="2"/>
      <c r="M152" s="2"/>
      <c r="N152" s="2"/>
      <c r="O152" s="2"/>
      <c r="P152" s="2"/>
      <c r="Q152" s="2"/>
      <c r="R152" s="255"/>
      <c r="S152" s="3"/>
      <c r="T152" s="3"/>
      <c r="U152" s="3"/>
      <c r="V152" s="3"/>
      <c r="W152" s="3"/>
      <c r="X152" s="3"/>
      <c r="Y152" s="3"/>
      <c r="Z152" s="3"/>
    </row>
    <row r="153" ht="15.75" customHeight="1">
      <c r="A153" s="3"/>
      <c r="B153" s="2"/>
      <c r="C153" s="2"/>
      <c r="D153" s="2"/>
      <c r="E153" s="464"/>
      <c r="F153" s="2"/>
      <c r="G153" s="2"/>
      <c r="H153" s="2"/>
      <c r="I153" s="2"/>
      <c r="J153" s="2"/>
      <c r="K153" s="2"/>
      <c r="L153" s="2"/>
      <c r="M153" s="2"/>
      <c r="N153" s="2"/>
      <c r="O153" s="2"/>
      <c r="P153" s="2"/>
      <c r="Q153" s="2"/>
      <c r="R153" s="255"/>
      <c r="S153" s="3"/>
      <c r="T153" s="3"/>
      <c r="U153" s="3"/>
      <c r="V153" s="3"/>
      <c r="W153" s="3"/>
      <c r="X153" s="3"/>
      <c r="Y153" s="3"/>
      <c r="Z153" s="3"/>
    </row>
    <row r="154" ht="15.75" customHeight="1">
      <c r="A154" s="3"/>
      <c r="B154" s="2"/>
      <c r="C154" s="2"/>
      <c r="D154" s="2"/>
      <c r="E154" s="464"/>
      <c r="F154" s="2"/>
      <c r="G154" s="2"/>
      <c r="H154" s="2"/>
      <c r="I154" s="2"/>
      <c r="J154" s="2"/>
      <c r="K154" s="2"/>
      <c r="L154" s="2"/>
      <c r="M154" s="2"/>
      <c r="N154" s="2"/>
      <c r="O154" s="2"/>
      <c r="P154" s="2"/>
      <c r="Q154" s="2"/>
      <c r="R154" s="255"/>
      <c r="S154" s="3"/>
      <c r="T154" s="3"/>
      <c r="U154" s="3"/>
      <c r="V154" s="3"/>
      <c r="W154" s="3"/>
      <c r="X154" s="3"/>
      <c r="Y154" s="3"/>
      <c r="Z154" s="3"/>
    </row>
    <row r="155" ht="15.75" customHeight="1">
      <c r="A155" s="3"/>
      <c r="B155" s="2"/>
      <c r="C155" s="2"/>
      <c r="D155" s="2"/>
      <c r="E155" s="464"/>
      <c r="F155" s="2"/>
      <c r="G155" s="2"/>
      <c r="H155" s="2"/>
      <c r="I155" s="2"/>
      <c r="J155" s="2"/>
      <c r="K155" s="2"/>
      <c r="L155" s="2"/>
      <c r="M155" s="2"/>
      <c r="N155" s="2"/>
      <c r="O155" s="2"/>
      <c r="P155" s="2"/>
      <c r="Q155" s="2"/>
      <c r="R155" s="255"/>
      <c r="S155" s="3"/>
      <c r="T155" s="3"/>
      <c r="U155" s="3"/>
      <c r="V155" s="3"/>
      <c r="W155" s="3"/>
      <c r="X155" s="3"/>
      <c r="Y155" s="3"/>
      <c r="Z155" s="3"/>
    </row>
    <row r="156" ht="15.75" customHeight="1">
      <c r="A156" s="3"/>
      <c r="B156" s="2"/>
      <c r="C156" s="2"/>
      <c r="D156" s="2"/>
      <c r="E156" s="464"/>
      <c r="F156" s="2"/>
      <c r="G156" s="2"/>
      <c r="H156" s="2"/>
      <c r="I156" s="2"/>
      <c r="J156" s="2"/>
      <c r="K156" s="2"/>
      <c r="L156" s="2"/>
      <c r="M156" s="2"/>
      <c r="N156" s="2"/>
      <c r="O156" s="2"/>
      <c r="P156" s="2"/>
      <c r="Q156" s="2"/>
      <c r="R156" s="255"/>
      <c r="S156" s="3"/>
      <c r="T156" s="3"/>
      <c r="U156" s="3"/>
      <c r="V156" s="3"/>
      <c r="W156" s="3"/>
      <c r="X156" s="3"/>
      <c r="Y156" s="3"/>
      <c r="Z156" s="3"/>
    </row>
    <row r="157" ht="15.75" customHeight="1">
      <c r="A157" s="3"/>
      <c r="B157" s="2"/>
      <c r="C157" s="2"/>
      <c r="D157" s="2"/>
      <c r="E157" s="464"/>
      <c r="F157" s="2"/>
      <c r="G157" s="2"/>
      <c r="H157" s="2"/>
      <c r="I157" s="2"/>
      <c r="J157" s="2"/>
      <c r="K157" s="2"/>
      <c r="L157" s="2"/>
      <c r="M157" s="2"/>
      <c r="N157" s="2"/>
      <c r="O157" s="2"/>
      <c r="P157" s="2"/>
      <c r="Q157" s="2"/>
      <c r="R157" s="255"/>
      <c r="S157" s="3"/>
      <c r="T157" s="3"/>
      <c r="U157" s="3"/>
      <c r="V157" s="3"/>
      <c r="W157" s="3"/>
      <c r="X157" s="3"/>
      <c r="Y157" s="3"/>
      <c r="Z157" s="3"/>
    </row>
    <row r="158" ht="15.75" customHeight="1">
      <c r="A158" s="3"/>
      <c r="B158" s="2"/>
      <c r="C158" s="2"/>
      <c r="D158" s="2"/>
      <c r="E158" s="464"/>
      <c r="F158" s="2"/>
      <c r="G158" s="2"/>
      <c r="H158" s="2"/>
      <c r="I158" s="2"/>
      <c r="J158" s="2"/>
      <c r="K158" s="2"/>
      <c r="L158" s="2"/>
      <c r="M158" s="2"/>
      <c r="N158" s="2"/>
      <c r="O158" s="2"/>
      <c r="P158" s="2"/>
      <c r="Q158" s="2"/>
      <c r="R158" s="255"/>
      <c r="S158" s="3"/>
      <c r="T158" s="3"/>
      <c r="U158" s="3"/>
      <c r="V158" s="3"/>
      <c r="W158" s="3"/>
      <c r="X158" s="3"/>
      <c r="Y158" s="3"/>
      <c r="Z158" s="3"/>
    </row>
    <row r="159" ht="15.75" customHeight="1">
      <c r="A159" s="3"/>
      <c r="B159" s="2"/>
      <c r="C159" s="2"/>
      <c r="D159" s="2"/>
      <c r="E159" s="464"/>
      <c r="F159" s="2"/>
      <c r="G159" s="2"/>
      <c r="H159" s="2"/>
      <c r="I159" s="2"/>
      <c r="J159" s="2"/>
      <c r="K159" s="2"/>
      <c r="L159" s="2"/>
      <c r="M159" s="2"/>
      <c r="N159" s="2"/>
      <c r="O159" s="2"/>
      <c r="P159" s="2"/>
      <c r="Q159" s="2"/>
      <c r="R159" s="255"/>
      <c r="S159" s="3"/>
      <c r="T159" s="3"/>
      <c r="U159" s="3"/>
      <c r="V159" s="3"/>
      <c r="W159" s="3"/>
      <c r="X159" s="3"/>
      <c r="Y159" s="3"/>
      <c r="Z159" s="3"/>
    </row>
    <row r="160" ht="15.75" customHeight="1">
      <c r="A160" s="3"/>
      <c r="B160" s="2"/>
      <c r="C160" s="2"/>
      <c r="D160" s="2"/>
      <c r="E160" s="464"/>
      <c r="F160" s="2"/>
      <c r="G160" s="2"/>
      <c r="H160" s="2"/>
      <c r="I160" s="2"/>
      <c r="J160" s="2"/>
      <c r="K160" s="2"/>
      <c r="L160" s="2"/>
      <c r="M160" s="2"/>
      <c r="N160" s="2"/>
      <c r="O160" s="2"/>
      <c r="P160" s="2"/>
      <c r="Q160" s="2"/>
      <c r="R160" s="255"/>
      <c r="S160" s="3"/>
      <c r="T160" s="3"/>
      <c r="U160" s="3"/>
      <c r="V160" s="3"/>
      <c r="W160" s="3"/>
      <c r="X160" s="3"/>
      <c r="Y160" s="3"/>
      <c r="Z160" s="3"/>
    </row>
    <row r="161" ht="15.75" customHeight="1">
      <c r="A161" s="3"/>
      <c r="B161" s="2"/>
      <c r="C161" s="2"/>
      <c r="D161" s="2"/>
      <c r="E161" s="464"/>
      <c r="F161" s="2"/>
      <c r="G161" s="2"/>
      <c r="H161" s="2"/>
      <c r="I161" s="2"/>
      <c r="J161" s="2"/>
      <c r="K161" s="2"/>
      <c r="L161" s="2"/>
      <c r="M161" s="2"/>
      <c r="N161" s="2"/>
      <c r="O161" s="2"/>
      <c r="P161" s="2"/>
      <c r="Q161" s="2"/>
      <c r="R161" s="255"/>
      <c r="S161" s="3"/>
      <c r="T161" s="3"/>
      <c r="U161" s="3"/>
      <c r="V161" s="3"/>
      <c r="W161" s="3"/>
      <c r="X161" s="3"/>
      <c r="Y161" s="3"/>
      <c r="Z161" s="3"/>
    </row>
    <row r="162" ht="15.75" customHeight="1">
      <c r="A162" s="3"/>
      <c r="B162" s="2"/>
      <c r="C162" s="2"/>
      <c r="D162" s="2"/>
      <c r="E162" s="464"/>
      <c r="F162" s="2"/>
      <c r="G162" s="2"/>
      <c r="H162" s="2"/>
      <c r="I162" s="2"/>
      <c r="J162" s="2"/>
      <c r="K162" s="2"/>
      <c r="L162" s="2"/>
      <c r="M162" s="2"/>
      <c r="N162" s="2"/>
      <c r="O162" s="2"/>
      <c r="P162" s="2"/>
      <c r="Q162" s="2"/>
      <c r="R162" s="255"/>
      <c r="S162" s="3"/>
      <c r="T162" s="3"/>
      <c r="U162" s="3"/>
      <c r="V162" s="3"/>
      <c r="W162" s="3"/>
      <c r="X162" s="3"/>
      <c r="Y162" s="3"/>
      <c r="Z162" s="3"/>
    </row>
    <row r="163" ht="15.75" customHeight="1">
      <c r="A163" s="3"/>
      <c r="B163" s="2"/>
      <c r="C163" s="2"/>
      <c r="D163" s="2"/>
      <c r="E163" s="464"/>
      <c r="F163" s="2"/>
      <c r="G163" s="2"/>
      <c r="H163" s="2"/>
      <c r="I163" s="2"/>
      <c r="J163" s="2"/>
      <c r="K163" s="2"/>
      <c r="L163" s="2"/>
      <c r="M163" s="2"/>
      <c r="N163" s="2"/>
      <c r="O163" s="2"/>
      <c r="P163" s="2"/>
      <c r="Q163" s="2"/>
      <c r="R163" s="255"/>
      <c r="S163" s="3"/>
      <c r="T163" s="3"/>
      <c r="U163" s="3"/>
      <c r="V163" s="3"/>
      <c r="W163" s="3"/>
      <c r="X163" s="3"/>
      <c r="Y163" s="3"/>
      <c r="Z163" s="3"/>
    </row>
    <row r="164" ht="15.75" customHeight="1">
      <c r="A164" s="3"/>
      <c r="B164" s="2"/>
      <c r="C164" s="2"/>
      <c r="D164" s="2"/>
      <c r="E164" s="464"/>
      <c r="F164" s="2"/>
      <c r="G164" s="2"/>
      <c r="H164" s="2"/>
      <c r="I164" s="2"/>
      <c r="J164" s="2"/>
      <c r="K164" s="2"/>
      <c r="L164" s="2"/>
      <c r="M164" s="2"/>
      <c r="N164" s="2"/>
      <c r="O164" s="2"/>
      <c r="P164" s="2"/>
      <c r="Q164" s="2"/>
      <c r="R164" s="255"/>
      <c r="S164" s="3"/>
      <c r="T164" s="3"/>
      <c r="U164" s="3"/>
      <c r="V164" s="3"/>
      <c r="W164" s="3"/>
      <c r="X164" s="3"/>
      <c r="Y164" s="3"/>
      <c r="Z164" s="3"/>
    </row>
    <row r="165" ht="15.75" customHeight="1">
      <c r="A165" s="3"/>
      <c r="B165" s="2"/>
      <c r="C165" s="2"/>
      <c r="D165" s="2"/>
      <c r="E165" s="464"/>
      <c r="F165" s="2"/>
      <c r="G165" s="2"/>
      <c r="H165" s="2"/>
      <c r="I165" s="2"/>
      <c r="J165" s="2"/>
      <c r="K165" s="2"/>
      <c r="L165" s="2"/>
      <c r="M165" s="2"/>
      <c r="N165" s="2"/>
      <c r="O165" s="2"/>
      <c r="P165" s="2"/>
      <c r="Q165" s="2"/>
      <c r="R165" s="255"/>
      <c r="S165" s="3"/>
      <c r="T165" s="3"/>
      <c r="U165" s="3"/>
      <c r="V165" s="3"/>
      <c r="W165" s="3"/>
      <c r="X165" s="3"/>
      <c r="Y165" s="3"/>
      <c r="Z165" s="3"/>
    </row>
    <row r="166" ht="15.75" customHeight="1">
      <c r="A166" s="3"/>
      <c r="B166" s="2"/>
      <c r="C166" s="2"/>
      <c r="D166" s="2"/>
      <c r="E166" s="464"/>
      <c r="F166" s="2"/>
      <c r="G166" s="2"/>
      <c r="H166" s="2"/>
      <c r="I166" s="2"/>
      <c r="J166" s="2"/>
      <c r="K166" s="2"/>
      <c r="L166" s="2"/>
      <c r="M166" s="2"/>
      <c r="N166" s="2"/>
      <c r="O166" s="2"/>
      <c r="P166" s="2"/>
      <c r="Q166" s="2"/>
      <c r="R166" s="255"/>
      <c r="S166" s="3"/>
      <c r="T166" s="3"/>
      <c r="U166" s="3"/>
      <c r="V166" s="3"/>
      <c r="W166" s="3"/>
      <c r="X166" s="3"/>
      <c r="Y166" s="3"/>
      <c r="Z166" s="3"/>
    </row>
    <row r="167" ht="15.75" customHeight="1">
      <c r="A167" s="3"/>
      <c r="B167" s="2"/>
      <c r="C167" s="2"/>
      <c r="D167" s="2"/>
      <c r="E167" s="464"/>
      <c r="F167" s="2"/>
      <c r="G167" s="2"/>
      <c r="H167" s="2"/>
      <c r="I167" s="2"/>
      <c r="J167" s="2"/>
      <c r="K167" s="2"/>
      <c r="L167" s="2"/>
      <c r="M167" s="2"/>
      <c r="N167" s="2"/>
      <c r="O167" s="2"/>
      <c r="P167" s="2"/>
      <c r="Q167" s="2"/>
      <c r="R167" s="255"/>
      <c r="S167" s="3"/>
      <c r="T167" s="3"/>
      <c r="U167" s="3"/>
      <c r="V167" s="3"/>
      <c r="W167" s="3"/>
      <c r="X167" s="3"/>
      <c r="Y167" s="3"/>
      <c r="Z167" s="3"/>
    </row>
    <row r="168" ht="15.75" customHeight="1">
      <c r="A168" s="3"/>
      <c r="B168" s="2"/>
      <c r="C168" s="2"/>
      <c r="D168" s="2"/>
      <c r="E168" s="464"/>
      <c r="F168" s="2"/>
      <c r="G168" s="2"/>
      <c r="H168" s="2"/>
      <c r="I168" s="2"/>
      <c r="J168" s="2"/>
      <c r="K168" s="2"/>
      <c r="L168" s="2"/>
      <c r="M168" s="2"/>
      <c r="N168" s="2"/>
      <c r="O168" s="2"/>
      <c r="P168" s="2"/>
      <c r="Q168" s="2"/>
      <c r="R168" s="255"/>
      <c r="S168" s="3"/>
      <c r="T168" s="3"/>
      <c r="U168" s="3"/>
      <c r="V168" s="3"/>
      <c r="W168" s="3"/>
      <c r="X168" s="3"/>
      <c r="Y168" s="3"/>
      <c r="Z168" s="3"/>
    </row>
    <row r="169" ht="15.75" customHeight="1">
      <c r="A169" s="3"/>
      <c r="B169" s="2"/>
      <c r="C169" s="2"/>
      <c r="D169" s="2"/>
      <c r="E169" s="464"/>
      <c r="F169" s="2"/>
      <c r="G169" s="2"/>
      <c r="H169" s="2"/>
      <c r="I169" s="2"/>
      <c r="J169" s="2"/>
      <c r="K169" s="2"/>
      <c r="L169" s="2"/>
      <c r="M169" s="2"/>
      <c r="N169" s="2"/>
      <c r="O169" s="2"/>
      <c r="P169" s="2"/>
      <c r="Q169" s="2"/>
      <c r="R169" s="255"/>
      <c r="S169" s="3"/>
      <c r="T169" s="3"/>
      <c r="U169" s="3"/>
      <c r="V169" s="3"/>
      <c r="W169" s="3"/>
      <c r="X169" s="3"/>
      <c r="Y169" s="3"/>
      <c r="Z169" s="3"/>
    </row>
    <row r="170" ht="15.75" customHeight="1">
      <c r="A170" s="3"/>
      <c r="B170" s="2"/>
      <c r="C170" s="2"/>
      <c r="D170" s="2"/>
      <c r="E170" s="464"/>
      <c r="F170" s="2"/>
      <c r="G170" s="2"/>
      <c r="H170" s="2"/>
      <c r="I170" s="2"/>
      <c r="J170" s="2"/>
      <c r="K170" s="2"/>
      <c r="L170" s="2"/>
      <c r="M170" s="2"/>
      <c r="N170" s="2"/>
      <c r="O170" s="2"/>
      <c r="P170" s="2"/>
      <c r="Q170" s="2"/>
      <c r="R170" s="255"/>
      <c r="S170" s="3"/>
      <c r="T170" s="3"/>
      <c r="U170" s="3"/>
      <c r="V170" s="3"/>
      <c r="W170" s="3"/>
      <c r="X170" s="3"/>
      <c r="Y170" s="3"/>
      <c r="Z170" s="3"/>
    </row>
    <row r="171" ht="15.75" customHeight="1">
      <c r="A171" s="3"/>
      <c r="B171" s="2"/>
      <c r="C171" s="2"/>
      <c r="D171" s="2"/>
      <c r="E171" s="464"/>
      <c r="F171" s="2"/>
      <c r="G171" s="2"/>
      <c r="H171" s="2"/>
      <c r="I171" s="2"/>
      <c r="J171" s="2"/>
      <c r="K171" s="2"/>
      <c r="L171" s="2"/>
      <c r="M171" s="2"/>
      <c r="N171" s="2"/>
      <c r="O171" s="2"/>
      <c r="P171" s="2"/>
      <c r="Q171" s="2"/>
      <c r="R171" s="255"/>
      <c r="S171" s="3"/>
      <c r="T171" s="3"/>
      <c r="U171" s="3"/>
      <c r="V171" s="3"/>
      <c r="W171" s="3"/>
      <c r="X171" s="3"/>
      <c r="Y171" s="3"/>
      <c r="Z171" s="3"/>
    </row>
    <row r="172" ht="15.75" customHeight="1">
      <c r="A172" s="3"/>
      <c r="B172" s="2"/>
      <c r="C172" s="2"/>
      <c r="D172" s="2"/>
      <c r="E172" s="464"/>
      <c r="F172" s="2"/>
      <c r="G172" s="2"/>
      <c r="H172" s="2"/>
      <c r="I172" s="2"/>
      <c r="J172" s="2"/>
      <c r="K172" s="2"/>
      <c r="L172" s="2"/>
      <c r="M172" s="2"/>
      <c r="N172" s="2"/>
      <c r="O172" s="2"/>
      <c r="P172" s="2"/>
      <c r="Q172" s="2"/>
      <c r="R172" s="255"/>
      <c r="S172" s="3"/>
      <c r="T172" s="3"/>
      <c r="U172" s="3"/>
      <c r="V172" s="3"/>
      <c r="W172" s="3"/>
      <c r="X172" s="3"/>
      <c r="Y172" s="3"/>
      <c r="Z172" s="3"/>
    </row>
    <row r="173" ht="15.75" customHeight="1">
      <c r="A173" s="3"/>
      <c r="B173" s="2"/>
      <c r="C173" s="2"/>
      <c r="D173" s="2"/>
      <c r="E173" s="464"/>
      <c r="F173" s="2"/>
      <c r="G173" s="2"/>
      <c r="H173" s="2"/>
      <c r="I173" s="2"/>
      <c r="J173" s="2"/>
      <c r="K173" s="2"/>
      <c r="L173" s="2"/>
      <c r="M173" s="2"/>
      <c r="N173" s="2"/>
      <c r="O173" s="2"/>
      <c r="P173" s="2"/>
      <c r="Q173" s="2"/>
      <c r="R173" s="255"/>
      <c r="S173" s="3"/>
      <c r="T173" s="3"/>
      <c r="U173" s="3"/>
      <c r="V173" s="3"/>
      <c r="W173" s="3"/>
      <c r="X173" s="3"/>
      <c r="Y173" s="3"/>
      <c r="Z173" s="3"/>
    </row>
    <row r="174" ht="15.75" customHeight="1">
      <c r="A174" s="3"/>
      <c r="B174" s="2"/>
      <c r="C174" s="2"/>
      <c r="D174" s="2"/>
      <c r="E174" s="464"/>
      <c r="F174" s="2"/>
      <c r="G174" s="2"/>
      <c r="H174" s="2"/>
      <c r="I174" s="2"/>
      <c r="J174" s="2"/>
      <c r="K174" s="2"/>
      <c r="L174" s="2"/>
      <c r="M174" s="2"/>
      <c r="N174" s="2"/>
      <c r="O174" s="2"/>
      <c r="P174" s="2"/>
      <c r="Q174" s="2"/>
      <c r="R174" s="255"/>
      <c r="S174" s="3"/>
      <c r="T174" s="3"/>
      <c r="U174" s="3"/>
      <c r="V174" s="3"/>
      <c r="W174" s="3"/>
      <c r="X174" s="3"/>
      <c r="Y174" s="3"/>
      <c r="Z174" s="3"/>
    </row>
    <row r="175" ht="15.75" customHeight="1">
      <c r="A175" s="3"/>
      <c r="B175" s="2"/>
      <c r="C175" s="2"/>
      <c r="D175" s="2"/>
      <c r="E175" s="464"/>
      <c r="F175" s="2"/>
      <c r="G175" s="2"/>
      <c r="H175" s="2"/>
      <c r="I175" s="2"/>
      <c r="J175" s="2"/>
      <c r="K175" s="2"/>
      <c r="L175" s="2"/>
      <c r="M175" s="2"/>
      <c r="N175" s="2"/>
      <c r="O175" s="2"/>
      <c r="P175" s="2"/>
      <c r="Q175" s="2"/>
      <c r="R175" s="255"/>
      <c r="S175" s="3"/>
      <c r="T175" s="3"/>
      <c r="U175" s="3"/>
      <c r="V175" s="3"/>
      <c r="W175" s="3"/>
      <c r="X175" s="3"/>
      <c r="Y175" s="3"/>
      <c r="Z175" s="3"/>
    </row>
    <row r="176" ht="15.75" customHeight="1">
      <c r="A176" s="3"/>
      <c r="B176" s="2"/>
      <c r="C176" s="2"/>
      <c r="D176" s="2"/>
      <c r="E176" s="464"/>
      <c r="F176" s="2"/>
      <c r="G176" s="2"/>
      <c r="H176" s="2"/>
      <c r="I176" s="2"/>
      <c r="J176" s="2"/>
      <c r="K176" s="2"/>
      <c r="L176" s="2"/>
      <c r="M176" s="2"/>
      <c r="N176" s="2"/>
      <c r="O176" s="2"/>
      <c r="P176" s="2"/>
      <c r="Q176" s="2"/>
      <c r="R176" s="255"/>
      <c r="S176" s="3"/>
      <c r="T176" s="3"/>
      <c r="U176" s="3"/>
      <c r="V176" s="3"/>
      <c r="W176" s="3"/>
      <c r="X176" s="3"/>
      <c r="Y176" s="3"/>
      <c r="Z176" s="3"/>
    </row>
    <row r="177" ht="15.75" customHeight="1">
      <c r="A177" s="3"/>
      <c r="B177" s="2"/>
      <c r="C177" s="2"/>
      <c r="D177" s="2"/>
      <c r="E177" s="464"/>
      <c r="F177" s="2"/>
      <c r="G177" s="2"/>
      <c r="H177" s="2"/>
      <c r="I177" s="2"/>
      <c r="J177" s="2"/>
      <c r="K177" s="2"/>
      <c r="L177" s="2"/>
      <c r="M177" s="2"/>
      <c r="N177" s="2"/>
      <c r="O177" s="2"/>
      <c r="P177" s="2"/>
      <c r="Q177" s="2"/>
      <c r="R177" s="255"/>
      <c r="S177" s="3"/>
      <c r="T177" s="3"/>
      <c r="U177" s="3"/>
      <c r="V177" s="3"/>
      <c r="W177" s="3"/>
      <c r="X177" s="3"/>
      <c r="Y177" s="3"/>
      <c r="Z177" s="3"/>
    </row>
    <row r="178" ht="15.75" customHeight="1">
      <c r="A178" s="3"/>
      <c r="B178" s="2"/>
      <c r="C178" s="2"/>
      <c r="D178" s="2"/>
      <c r="E178" s="464"/>
      <c r="F178" s="2"/>
      <c r="G178" s="2"/>
      <c r="H178" s="2"/>
      <c r="I178" s="2"/>
      <c r="J178" s="2"/>
      <c r="K178" s="2"/>
      <c r="L178" s="2"/>
      <c r="M178" s="2"/>
      <c r="N178" s="2"/>
      <c r="O178" s="2"/>
      <c r="P178" s="2"/>
      <c r="Q178" s="2"/>
      <c r="R178" s="255"/>
      <c r="S178" s="3"/>
      <c r="T178" s="3"/>
      <c r="U178" s="3"/>
      <c r="V178" s="3"/>
      <c r="W178" s="3"/>
      <c r="X178" s="3"/>
      <c r="Y178" s="3"/>
      <c r="Z178" s="3"/>
    </row>
    <row r="179" ht="15.75" customHeight="1">
      <c r="A179" s="3"/>
      <c r="B179" s="2"/>
      <c r="C179" s="2"/>
      <c r="D179" s="2"/>
      <c r="E179" s="464"/>
      <c r="F179" s="2"/>
      <c r="G179" s="2"/>
      <c r="H179" s="2"/>
      <c r="I179" s="2"/>
      <c r="J179" s="2"/>
      <c r="K179" s="2"/>
      <c r="L179" s="2"/>
      <c r="M179" s="2"/>
      <c r="N179" s="2"/>
      <c r="O179" s="2"/>
      <c r="P179" s="2"/>
      <c r="Q179" s="2"/>
      <c r="R179" s="255"/>
      <c r="S179" s="3"/>
      <c r="T179" s="3"/>
      <c r="U179" s="3"/>
      <c r="V179" s="3"/>
      <c r="W179" s="3"/>
      <c r="X179" s="3"/>
      <c r="Y179" s="3"/>
      <c r="Z179" s="3"/>
    </row>
    <row r="180" ht="15.75" customHeight="1">
      <c r="A180" s="3"/>
      <c r="B180" s="2"/>
      <c r="C180" s="2"/>
      <c r="D180" s="2"/>
      <c r="E180" s="464"/>
      <c r="F180" s="2"/>
      <c r="G180" s="2"/>
      <c r="H180" s="2"/>
      <c r="I180" s="2"/>
      <c r="J180" s="2"/>
      <c r="K180" s="2"/>
      <c r="L180" s="2"/>
      <c r="M180" s="2"/>
      <c r="N180" s="2"/>
      <c r="O180" s="2"/>
      <c r="P180" s="2"/>
      <c r="Q180" s="2"/>
      <c r="R180" s="255"/>
      <c r="S180" s="3"/>
      <c r="T180" s="3"/>
      <c r="U180" s="3"/>
      <c r="V180" s="3"/>
      <c r="W180" s="3"/>
      <c r="X180" s="3"/>
      <c r="Y180" s="3"/>
      <c r="Z180" s="3"/>
    </row>
    <row r="181" ht="15.75" customHeight="1">
      <c r="A181" s="3"/>
      <c r="B181" s="2"/>
      <c r="C181" s="2"/>
      <c r="D181" s="2"/>
      <c r="E181" s="464"/>
      <c r="F181" s="2"/>
      <c r="G181" s="2"/>
      <c r="H181" s="2"/>
      <c r="I181" s="2"/>
      <c r="J181" s="2"/>
      <c r="K181" s="2"/>
      <c r="L181" s="2"/>
      <c r="M181" s="2"/>
      <c r="N181" s="2"/>
      <c r="O181" s="2"/>
      <c r="P181" s="2"/>
      <c r="Q181" s="2"/>
      <c r="R181" s="255"/>
      <c r="S181" s="3"/>
      <c r="T181" s="3"/>
      <c r="U181" s="3"/>
      <c r="V181" s="3"/>
      <c r="W181" s="3"/>
      <c r="X181" s="3"/>
      <c r="Y181" s="3"/>
      <c r="Z181" s="3"/>
    </row>
    <row r="182" ht="15.75" customHeight="1">
      <c r="A182" s="3"/>
      <c r="B182" s="2"/>
      <c r="C182" s="2"/>
      <c r="D182" s="2"/>
      <c r="E182" s="464"/>
      <c r="F182" s="2"/>
      <c r="G182" s="2"/>
      <c r="H182" s="2"/>
      <c r="I182" s="2"/>
      <c r="J182" s="2"/>
      <c r="K182" s="2"/>
      <c r="L182" s="2"/>
      <c r="M182" s="2"/>
      <c r="N182" s="2"/>
      <c r="O182" s="2"/>
      <c r="P182" s="2"/>
      <c r="Q182" s="2"/>
      <c r="R182" s="255"/>
      <c r="S182" s="3"/>
      <c r="T182" s="3"/>
      <c r="U182" s="3"/>
      <c r="V182" s="3"/>
      <c r="W182" s="3"/>
      <c r="X182" s="3"/>
      <c r="Y182" s="3"/>
      <c r="Z182" s="3"/>
    </row>
    <row r="183" ht="15.75" customHeight="1">
      <c r="A183" s="3"/>
      <c r="B183" s="2"/>
      <c r="C183" s="2"/>
      <c r="D183" s="2"/>
      <c r="E183" s="464"/>
      <c r="F183" s="2"/>
      <c r="G183" s="2"/>
      <c r="H183" s="2"/>
      <c r="I183" s="2"/>
      <c r="J183" s="2"/>
      <c r="K183" s="2"/>
      <c r="L183" s="2"/>
      <c r="M183" s="2"/>
      <c r="N183" s="2"/>
      <c r="O183" s="2"/>
      <c r="P183" s="2"/>
      <c r="Q183" s="2"/>
      <c r="R183" s="255"/>
      <c r="S183" s="3"/>
      <c r="T183" s="3"/>
      <c r="U183" s="3"/>
      <c r="V183" s="3"/>
      <c r="W183" s="3"/>
      <c r="X183" s="3"/>
      <c r="Y183" s="3"/>
      <c r="Z183" s="3"/>
    </row>
    <row r="184" ht="15.75" customHeight="1">
      <c r="A184" s="3"/>
      <c r="B184" s="2"/>
      <c r="C184" s="2"/>
      <c r="D184" s="2"/>
      <c r="E184" s="464"/>
      <c r="F184" s="2"/>
      <c r="G184" s="2"/>
      <c r="H184" s="2"/>
      <c r="I184" s="2"/>
      <c r="J184" s="2"/>
      <c r="K184" s="2"/>
      <c r="L184" s="2"/>
      <c r="M184" s="2"/>
      <c r="N184" s="2"/>
      <c r="O184" s="2"/>
      <c r="P184" s="2"/>
      <c r="Q184" s="2"/>
      <c r="R184" s="255"/>
      <c r="S184" s="3"/>
      <c r="T184" s="3"/>
      <c r="U184" s="3"/>
      <c r="V184" s="3"/>
      <c r="W184" s="3"/>
      <c r="X184" s="3"/>
      <c r="Y184" s="3"/>
      <c r="Z184" s="3"/>
    </row>
    <row r="185" ht="15.75" customHeight="1">
      <c r="A185" s="3"/>
      <c r="B185" s="2"/>
      <c r="C185" s="2"/>
      <c r="D185" s="2"/>
      <c r="E185" s="464"/>
      <c r="F185" s="2"/>
      <c r="G185" s="2"/>
      <c r="H185" s="2"/>
      <c r="I185" s="2"/>
      <c r="J185" s="2"/>
      <c r="K185" s="2"/>
      <c r="L185" s="2"/>
      <c r="M185" s="2"/>
      <c r="N185" s="2"/>
      <c r="O185" s="2"/>
      <c r="P185" s="2"/>
      <c r="Q185" s="2"/>
      <c r="R185" s="255"/>
      <c r="S185" s="3"/>
      <c r="T185" s="3"/>
      <c r="U185" s="3"/>
      <c r="V185" s="3"/>
      <c r="W185" s="3"/>
      <c r="X185" s="3"/>
      <c r="Y185" s="3"/>
      <c r="Z185" s="3"/>
    </row>
    <row r="186" ht="15.75" customHeight="1">
      <c r="A186" s="3"/>
      <c r="B186" s="2"/>
      <c r="C186" s="2"/>
      <c r="D186" s="2"/>
      <c r="E186" s="464"/>
      <c r="F186" s="2"/>
      <c r="G186" s="2"/>
      <c r="H186" s="2"/>
      <c r="I186" s="2"/>
      <c r="J186" s="2"/>
      <c r="K186" s="2"/>
      <c r="L186" s="2"/>
      <c r="M186" s="2"/>
      <c r="N186" s="2"/>
      <c r="O186" s="2"/>
      <c r="P186" s="2"/>
      <c r="Q186" s="2"/>
      <c r="R186" s="255"/>
      <c r="S186" s="3"/>
      <c r="T186" s="3"/>
      <c r="U186" s="3"/>
      <c r="V186" s="3"/>
      <c r="W186" s="3"/>
      <c r="X186" s="3"/>
      <c r="Y186" s="3"/>
      <c r="Z186" s="3"/>
    </row>
    <row r="187" ht="15.75" customHeight="1">
      <c r="A187" s="3"/>
      <c r="B187" s="2"/>
      <c r="C187" s="2"/>
      <c r="D187" s="2"/>
      <c r="E187" s="464"/>
      <c r="F187" s="2"/>
      <c r="G187" s="2"/>
      <c r="H187" s="2"/>
      <c r="I187" s="2"/>
      <c r="J187" s="2"/>
      <c r="K187" s="2"/>
      <c r="L187" s="2"/>
      <c r="M187" s="2"/>
      <c r="N187" s="2"/>
      <c r="O187" s="2"/>
      <c r="P187" s="2"/>
      <c r="Q187" s="2"/>
      <c r="R187" s="255"/>
      <c r="S187" s="3"/>
      <c r="T187" s="3"/>
      <c r="U187" s="3"/>
      <c r="V187" s="3"/>
      <c r="W187" s="3"/>
      <c r="X187" s="3"/>
      <c r="Y187" s="3"/>
      <c r="Z187" s="3"/>
    </row>
    <row r="188" ht="15.75" customHeight="1">
      <c r="A188" s="3"/>
      <c r="B188" s="2"/>
      <c r="C188" s="2"/>
      <c r="D188" s="2"/>
      <c r="E188" s="464"/>
      <c r="F188" s="2"/>
      <c r="G188" s="2"/>
      <c r="H188" s="2"/>
      <c r="I188" s="2"/>
      <c r="J188" s="2"/>
      <c r="K188" s="2"/>
      <c r="L188" s="2"/>
      <c r="M188" s="2"/>
      <c r="N188" s="2"/>
      <c r="O188" s="2"/>
      <c r="P188" s="2"/>
      <c r="Q188" s="2"/>
      <c r="R188" s="255"/>
      <c r="S188" s="3"/>
      <c r="T188" s="3"/>
      <c r="U188" s="3"/>
      <c r="V188" s="3"/>
      <c r="W188" s="3"/>
      <c r="X188" s="3"/>
      <c r="Y188" s="3"/>
      <c r="Z188" s="3"/>
    </row>
    <row r="189" ht="15.75" customHeight="1">
      <c r="A189" s="3"/>
      <c r="B189" s="2"/>
      <c r="C189" s="2"/>
      <c r="D189" s="2"/>
      <c r="E189" s="464"/>
      <c r="F189" s="2"/>
      <c r="G189" s="2"/>
      <c r="H189" s="2"/>
      <c r="I189" s="2"/>
      <c r="J189" s="2"/>
      <c r="K189" s="2"/>
      <c r="L189" s="2"/>
      <c r="M189" s="2"/>
      <c r="N189" s="2"/>
      <c r="O189" s="2"/>
      <c r="P189" s="2"/>
      <c r="Q189" s="2"/>
      <c r="R189" s="255"/>
      <c r="S189" s="3"/>
      <c r="T189" s="3"/>
      <c r="U189" s="3"/>
      <c r="V189" s="3"/>
      <c r="W189" s="3"/>
      <c r="X189" s="3"/>
      <c r="Y189" s="3"/>
      <c r="Z189" s="3"/>
    </row>
    <row r="190" ht="15.75" customHeight="1">
      <c r="A190" s="3"/>
      <c r="B190" s="2"/>
      <c r="C190" s="2"/>
      <c r="D190" s="2"/>
      <c r="E190" s="464"/>
      <c r="F190" s="2"/>
      <c r="G190" s="2"/>
      <c r="H190" s="2"/>
      <c r="I190" s="2"/>
      <c r="J190" s="2"/>
      <c r="K190" s="2"/>
      <c r="L190" s="2"/>
      <c r="M190" s="2"/>
      <c r="N190" s="2"/>
      <c r="O190" s="2"/>
      <c r="P190" s="2"/>
      <c r="Q190" s="2"/>
      <c r="R190" s="255"/>
      <c r="S190" s="3"/>
      <c r="T190" s="3"/>
      <c r="U190" s="3"/>
      <c r="V190" s="3"/>
      <c r="W190" s="3"/>
      <c r="X190" s="3"/>
      <c r="Y190" s="3"/>
      <c r="Z190" s="3"/>
    </row>
    <row r="191" ht="15.75" customHeight="1">
      <c r="A191" s="3"/>
      <c r="B191" s="2"/>
      <c r="C191" s="2"/>
      <c r="D191" s="2"/>
      <c r="E191" s="464"/>
      <c r="F191" s="2"/>
      <c r="G191" s="2"/>
      <c r="H191" s="2"/>
      <c r="I191" s="2"/>
      <c r="J191" s="2"/>
      <c r="K191" s="2"/>
      <c r="L191" s="2"/>
      <c r="M191" s="2"/>
      <c r="N191" s="2"/>
      <c r="O191" s="2"/>
      <c r="P191" s="2"/>
      <c r="Q191" s="2"/>
      <c r="R191" s="255"/>
      <c r="S191" s="3"/>
      <c r="T191" s="3"/>
      <c r="U191" s="3"/>
      <c r="V191" s="3"/>
      <c r="W191" s="3"/>
      <c r="X191" s="3"/>
      <c r="Y191" s="3"/>
      <c r="Z191" s="3"/>
    </row>
    <row r="192" ht="15.75" customHeight="1">
      <c r="A192" s="3"/>
      <c r="B192" s="2"/>
      <c r="C192" s="2"/>
      <c r="D192" s="2"/>
      <c r="E192" s="464"/>
      <c r="F192" s="2"/>
      <c r="G192" s="2"/>
      <c r="H192" s="2"/>
      <c r="I192" s="2"/>
      <c r="J192" s="2"/>
      <c r="K192" s="2"/>
      <c r="L192" s="2"/>
      <c r="M192" s="2"/>
      <c r="N192" s="2"/>
      <c r="O192" s="2"/>
      <c r="P192" s="2"/>
      <c r="Q192" s="2"/>
      <c r="R192" s="255"/>
      <c r="S192" s="3"/>
      <c r="T192" s="3"/>
      <c r="U192" s="3"/>
      <c r="V192" s="3"/>
      <c r="W192" s="3"/>
      <c r="X192" s="3"/>
      <c r="Y192" s="3"/>
      <c r="Z192" s="3"/>
    </row>
    <row r="193" ht="15.75" customHeight="1">
      <c r="A193" s="3"/>
      <c r="B193" s="2"/>
      <c r="C193" s="2"/>
      <c r="D193" s="2"/>
      <c r="E193" s="464"/>
      <c r="F193" s="2"/>
      <c r="G193" s="2"/>
      <c r="H193" s="2"/>
      <c r="I193" s="2"/>
      <c r="J193" s="2"/>
      <c r="K193" s="2"/>
      <c r="L193" s="2"/>
      <c r="M193" s="2"/>
      <c r="N193" s="2"/>
      <c r="O193" s="2"/>
      <c r="P193" s="2"/>
      <c r="Q193" s="2"/>
      <c r="R193" s="255"/>
      <c r="S193" s="3"/>
      <c r="T193" s="3"/>
      <c r="U193" s="3"/>
      <c r="V193" s="3"/>
      <c r="W193" s="3"/>
      <c r="X193" s="3"/>
      <c r="Y193" s="3"/>
      <c r="Z193" s="3"/>
    </row>
    <row r="194" ht="15.75" customHeight="1">
      <c r="A194" s="3"/>
      <c r="B194" s="2"/>
      <c r="C194" s="2"/>
      <c r="D194" s="2"/>
      <c r="E194" s="464"/>
      <c r="F194" s="2"/>
      <c r="G194" s="2"/>
      <c r="H194" s="2"/>
      <c r="I194" s="2"/>
      <c r="J194" s="2"/>
      <c r="K194" s="2"/>
      <c r="L194" s="2"/>
      <c r="M194" s="2"/>
      <c r="N194" s="2"/>
      <c r="O194" s="2"/>
      <c r="P194" s="2"/>
      <c r="Q194" s="2"/>
      <c r="R194" s="255"/>
      <c r="S194" s="3"/>
      <c r="T194" s="3"/>
      <c r="U194" s="3"/>
      <c r="V194" s="3"/>
      <c r="W194" s="3"/>
      <c r="X194" s="3"/>
      <c r="Y194" s="3"/>
      <c r="Z194" s="3"/>
    </row>
    <row r="195" ht="15.75" customHeight="1">
      <c r="A195" s="3"/>
      <c r="B195" s="2"/>
      <c r="C195" s="2"/>
      <c r="D195" s="2"/>
      <c r="E195" s="464"/>
      <c r="F195" s="2"/>
      <c r="G195" s="2"/>
      <c r="H195" s="2"/>
      <c r="I195" s="2"/>
      <c r="J195" s="2"/>
      <c r="K195" s="2"/>
      <c r="L195" s="2"/>
      <c r="M195" s="2"/>
      <c r="N195" s="2"/>
      <c r="O195" s="2"/>
      <c r="P195" s="2"/>
      <c r="Q195" s="2"/>
      <c r="R195" s="255"/>
      <c r="S195" s="3"/>
      <c r="T195" s="3"/>
      <c r="U195" s="3"/>
      <c r="V195" s="3"/>
      <c r="W195" s="3"/>
      <c r="X195" s="3"/>
      <c r="Y195" s="3"/>
      <c r="Z195" s="3"/>
    </row>
    <row r="196" ht="15.75" customHeight="1">
      <c r="A196" s="3"/>
      <c r="B196" s="2"/>
      <c r="C196" s="2"/>
      <c r="D196" s="2"/>
      <c r="E196" s="464"/>
      <c r="F196" s="2"/>
      <c r="G196" s="2"/>
      <c r="H196" s="2"/>
      <c r="I196" s="2"/>
      <c r="J196" s="2"/>
      <c r="K196" s="2"/>
      <c r="L196" s="2"/>
      <c r="M196" s="2"/>
      <c r="N196" s="2"/>
      <c r="O196" s="2"/>
      <c r="P196" s="2"/>
      <c r="Q196" s="2"/>
      <c r="R196" s="255"/>
      <c r="S196" s="3"/>
      <c r="T196" s="3"/>
      <c r="U196" s="3"/>
      <c r="V196" s="3"/>
      <c r="W196" s="3"/>
      <c r="X196" s="3"/>
      <c r="Y196" s="3"/>
      <c r="Z196" s="3"/>
    </row>
    <row r="197" ht="15.75" customHeight="1">
      <c r="A197" s="3"/>
      <c r="B197" s="2"/>
      <c r="C197" s="2"/>
      <c r="D197" s="2"/>
      <c r="E197" s="464"/>
      <c r="F197" s="2"/>
      <c r="G197" s="2"/>
      <c r="H197" s="2"/>
      <c r="I197" s="2"/>
      <c r="J197" s="2"/>
      <c r="K197" s="2"/>
      <c r="L197" s="2"/>
      <c r="M197" s="2"/>
      <c r="N197" s="2"/>
      <c r="O197" s="2"/>
      <c r="P197" s="2"/>
      <c r="Q197" s="2"/>
      <c r="R197" s="255"/>
      <c r="S197" s="3"/>
      <c r="T197" s="3"/>
      <c r="U197" s="3"/>
      <c r="V197" s="3"/>
      <c r="W197" s="3"/>
      <c r="X197" s="3"/>
      <c r="Y197" s="3"/>
      <c r="Z197" s="3"/>
    </row>
    <row r="198" ht="15.75" customHeight="1">
      <c r="A198" s="3"/>
      <c r="B198" s="2"/>
      <c r="C198" s="2"/>
      <c r="D198" s="2"/>
      <c r="E198" s="464"/>
      <c r="F198" s="2"/>
      <c r="G198" s="2"/>
      <c r="H198" s="2"/>
      <c r="I198" s="2"/>
      <c r="J198" s="2"/>
      <c r="K198" s="2"/>
      <c r="L198" s="2"/>
      <c r="M198" s="2"/>
      <c r="N198" s="2"/>
      <c r="O198" s="2"/>
      <c r="P198" s="2"/>
      <c r="Q198" s="2"/>
      <c r="R198" s="255"/>
      <c r="S198" s="3"/>
      <c r="T198" s="3"/>
      <c r="U198" s="3"/>
      <c r="V198" s="3"/>
      <c r="W198" s="3"/>
      <c r="X198" s="3"/>
      <c r="Y198" s="3"/>
      <c r="Z198" s="3"/>
    </row>
    <row r="199" ht="15.75" customHeight="1">
      <c r="A199" s="3"/>
      <c r="B199" s="2"/>
      <c r="C199" s="2"/>
      <c r="D199" s="2"/>
      <c r="E199" s="464"/>
      <c r="F199" s="2"/>
      <c r="G199" s="2"/>
      <c r="H199" s="2"/>
      <c r="I199" s="2"/>
      <c r="J199" s="2"/>
      <c r="K199" s="2"/>
      <c r="L199" s="2"/>
      <c r="M199" s="2"/>
      <c r="N199" s="2"/>
      <c r="O199" s="2"/>
      <c r="P199" s="2"/>
      <c r="Q199" s="2"/>
      <c r="R199" s="255"/>
      <c r="S199" s="3"/>
      <c r="T199" s="3"/>
      <c r="U199" s="3"/>
      <c r="V199" s="3"/>
      <c r="W199" s="3"/>
      <c r="X199" s="3"/>
      <c r="Y199" s="3"/>
      <c r="Z199" s="3"/>
    </row>
    <row r="200" ht="15.75" customHeight="1">
      <c r="A200" s="3"/>
      <c r="B200" s="2"/>
      <c r="C200" s="2"/>
      <c r="D200" s="2"/>
      <c r="E200" s="464"/>
      <c r="F200" s="2"/>
      <c r="G200" s="2"/>
      <c r="H200" s="2"/>
      <c r="I200" s="2"/>
      <c r="J200" s="2"/>
      <c r="K200" s="2"/>
      <c r="L200" s="2"/>
      <c r="M200" s="2"/>
      <c r="N200" s="2"/>
      <c r="O200" s="2"/>
      <c r="P200" s="2"/>
      <c r="Q200" s="2"/>
      <c r="R200" s="255"/>
      <c r="S200" s="3"/>
      <c r="T200" s="3"/>
      <c r="U200" s="3"/>
      <c r="V200" s="3"/>
      <c r="W200" s="3"/>
      <c r="X200" s="3"/>
      <c r="Y200" s="3"/>
      <c r="Z200" s="3"/>
    </row>
    <row r="201" ht="15.75" customHeight="1">
      <c r="A201" s="3"/>
      <c r="B201" s="2"/>
      <c r="C201" s="2"/>
      <c r="D201" s="2"/>
      <c r="E201" s="464"/>
      <c r="F201" s="2"/>
      <c r="G201" s="2"/>
      <c r="H201" s="2"/>
      <c r="I201" s="2"/>
      <c r="J201" s="2"/>
      <c r="K201" s="2"/>
      <c r="L201" s="2"/>
      <c r="M201" s="2"/>
      <c r="N201" s="2"/>
      <c r="O201" s="2"/>
      <c r="P201" s="2"/>
      <c r="Q201" s="2"/>
      <c r="R201" s="255"/>
      <c r="S201" s="3"/>
      <c r="T201" s="3"/>
      <c r="U201" s="3"/>
      <c r="V201" s="3"/>
      <c r="W201" s="3"/>
      <c r="X201" s="3"/>
      <c r="Y201" s="3"/>
      <c r="Z201" s="3"/>
    </row>
    <row r="202" ht="15.75" customHeight="1">
      <c r="A202" s="3"/>
      <c r="B202" s="2"/>
      <c r="C202" s="2"/>
      <c r="D202" s="2"/>
      <c r="E202" s="464"/>
      <c r="F202" s="2"/>
      <c r="G202" s="2"/>
      <c r="H202" s="2"/>
      <c r="I202" s="2"/>
      <c r="J202" s="2"/>
      <c r="K202" s="2"/>
      <c r="L202" s="2"/>
      <c r="M202" s="2"/>
      <c r="N202" s="2"/>
      <c r="O202" s="2"/>
      <c r="P202" s="2"/>
      <c r="Q202" s="2"/>
      <c r="R202" s="255"/>
      <c r="S202" s="3"/>
      <c r="T202" s="3"/>
      <c r="U202" s="3"/>
      <c r="V202" s="3"/>
      <c r="W202" s="3"/>
      <c r="X202" s="3"/>
      <c r="Y202" s="3"/>
      <c r="Z202" s="3"/>
    </row>
    <row r="203" ht="15.75" customHeight="1">
      <c r="A203" s="3"/>
      <c r="B203" s="2"/>
      <c r="C203" s="2"/>
      <c r="D203" s="2"/>
      <c r="E203" s="464"/>
      <c r="F203" s="2"/>
      <c r="G203" s="2"/>
      <c r="H203" s="2"/>
      <c r="I203" s="2"/>
      <c r="J203" s="2"/>
      <c r="K203" s="2"/>
      <c r="L203" s="2"/>
      <c r="M203" s="2"/>
      <c r="N203" s="2"/>
      <c r="O203" s="2"/>
      <c r="P203" s="2"/>
      <c r="Q203" s="2"/>
      <c r="R203" s="255"/>
      <c r="S203" s="3"/>
      <c r="T203" s="3"/>
      <c r="U203" s="3"/>
      <c r="V203" s="3"/>
      <c r="W203" s="3"/>
      <c r="X203" s="3"/>
      <c r="Y203" s="3"/>
      <c r="Z203" s="3"/>
    </row>
    <row r="204" ht="15.75" customHeight="1">
      <c r="A204" s="3"/>
      <c r="B204" s="2"/>
      <c r="C204" s="2"/>
      <c r="D204" s="2"/>
      <c r="E204" s="464"/>
      <c r="F204" s="2"/>
      <c r="G204" s="2"/>
      <c r="H204" s="2"/>
      <c r="I204" s="2"/>
      <c r="J204" s="2"/>
      <c r="K204" s="2"/>
      <c r="L204" s="2"/>
      <c r="M204" s="2"/>
      <c r="N204" s="2"/>
      <c r="O204" s="2"/>
      <c r="P204" s="2"/>
      <c r="Q204" s="2"/>
      <c r="R204" s="255"/>
      <c r="S204" s="3"/>
      <c r="T204" s="3"/>
      <c r="U204" s="3"/>
      <c r="V204" s="3"/>
      <c r="W204" s="3"/>
      <c r="X204" s="3"/>
      <c r="Y204" s="3"/>
      <c r="Z204" s="3"/>
    </row>
    <row r="205" ht="15.75" customHeight="1">
      <c r="A205" s="3"/>
      <c r="B205" s="2"/>
      <c r="C205" s="2"/>
      <c r="D205" s="2"/>
      <c r="E205" s="464"/>
      <c r="F205" s="2"/>
      <c r="G205" s="2"/>
      <c r="H205" s="2"/>
      <c r="I205" s="2"/>
      <c r="J205" s="2"/>
      <c r="K205" s="2"/>
      <c r="L205" s="2"/>
      <c r="M205" s="2"/>
      <c r="N205" s="2"/>
      <c r="O205" s="2"/>
      <c r="P205" s="2"/>
      <c r="Q205" s="2"/>
      <c r="R205" s="255"/>
      <c r="S205" s="3"/>
      <c r="T205" s="3"/>
      <c r="U205" s="3"/>
      <c r="V205" s="3"/>
      <c r="W205" s="3"/>
      <c r="X205" s="3"/>
      <c r="Y205" s="3"/>
      <c r="Z205" s="3"/>
    </row>
    <row r="206" ht="15.75" customHeight="1">
      <c r="A206" s="3"/>
      <c r="B206" s="2"/>
      <c r="C206" s="2"/>
      <c r="D206" s="2"/>
      <c r="E206" s="464"/>
      <c r="F206" s="2"/>
      <c r="G206" s="2"/>
      <c r="H206" s="2"/>
      <c r="I206" s="2"/>
      <c r="J206" s="2"/>
      <c r="K206" s="2"/>
      <c r="L206" s="2"/>
      <c r="M206" s="2"/>
      <c r="N206" s="2"/>
      <c r="O206" s="2"/>
      <c r="P206" s="2"/>
      <c r="Q206" s="2"/>
      <c r="R206" s="255"/>
      <c r="S206" s="3"/>
      <c r="T206" s="3"/>
      <c r="U206" s="3"/>
      <c r="V206" s="3"/>
      <c r="W206" s="3"/>
      <c r="X206" s="3"/>
      <c r="Y206" s="3"/>
      <c r="Z206" s="3"/>
    </row>
    <row r="207" ht="15.75" customHeight="1">
      <c r="A207" s="3"/>
      <c r="B207" s="2"/>
      <c r="C207" s="2"/>
      <c r="D207" s="2"/>
      <c r="E207" s="464"/>
      <c r="F207" s="2"/>
      <c r="G207" s="2"/>
      <c r="H207" s="2"/>
      <c r="I207" s="2"/>
      <c r="J207" s="2"/>
      <c r="K207" s="2"/>
      <c r="L207" s="2"/>
      <c r="M207" s="2"/>
      <c r="N207" s="2"/>
      <c r="O207" s="2"/>
      <c r="P207" s="2"/>
      <c r="Q207" s="2"/>
      <c r="R207" s="255"/>
      <c r="S207" s="3"/>
      <c r="T207" s="3"/>
      <c r="U207" s="3"/>
      <c r="V207" s="3"/>
      <c r="W207" s="3"/>
      <c r="X207" s="3"/>
      <c r="Y207" s="3"/>
      <c r="Z207" s="3"/>
    </row>
    <row r="208" ht="15.75" customHeight="1">
      <c r="A208" s="3"/>
      <c r="B208" s="2"/>
      <c r="C208" s="2"/>
      <c r="D208" s="2"/>
      <c r="E208" s="464"/>
      <c r="F208" s="2"/>
      <c r="G208" s="2"/>
      <c r="H208" s="2"/>
      <c r="I208" s="2"/>
      <c r="J208" s="2"/>
      <c r="K208" s="2"/>
      <c r="L208" s="2"/>
      <c r="M208" s="2"/>
      <c r="N208" s="2"/>
      <c r="O208" s="2"/>
      <c r="P208" s="2"/>
      <c r="Q208" s="2"/>
      <c r="R208" s="255"/>
      <c r="S208" s="3"/>
      <c r="T208" s="3"/>
      <c r="U208" s="3"/>
      <c r="V208" s="3"/>
      <c r="W208" s="3"/>
      <c r="X208" s="3"/>
      <c r="Y208" s="3"/>
      <c r="Z208" s="3"/>
    </row>
    <row r="209" ht="15.75" customHeight="1">
      <c r="A209" s="3"/>
      <c r="B209" s="2"/>
      <c r="C209" s="2"/>
      <c r="D209" s="2"/>
      <c r="E209" s="464"/>
      <c r="F209" s="2"/>
      <c r="G209" s="2"/>
      <c r="H209" s="2"/>
      <c r="I209" s="2"/>
      <c r="J209" s="2"/>
      <c r="K209" s="2"/>
      <c r="L209" s="2"/>
      <c r="M209" s="2"/>
      <c r="N209" s="2"/>
      <c r="O209" s="2"/>
      <c r="P209" s="2"/>
      <c r="Q209" s="2"/>
      <c r="R209" s="255"/>
      <c r="S209" s="3"/>
      <c r="T209" s="3"/>
      <c r="U209" s="3"/>
      <c r="V209" s="3"/>
      <c r="W209" s="3"/>
      <c r="X209" s="3"/>
      <c r="Y209" s="3"/>
      <c r="Z209" s="3"/>
    </row>
    <row r="210" ht="15.75" customHeight="1">
      <c r="A210" s="3"/>
      <c r="B210" s="2"/>
      <c r="C210" s="2"/>
      <c r="D210" s="2"/>
      <c r="E210" s="464"/>
      <c r="F210" s="2"/>
      <c r="G210" s="2"/>
      <c r="H210" s="2"/>
      <c r="I210" s="2"/>
      <c r="J210" s="2"/>
      <c r="K210" s="2"/>
      <c r="L210" s="2"/>
      <c r="M210" s="2"/>
      <c r="N210" s="2"/>
      <c r="O210" s="2"/>
      <c r="P210" s="2"/>
      <c r="Q210" s="2"/>
      <c r="R210" s="255"/>
      <c r="S210" s="3"/>
      <c r="T210" s="3"/>
      <c r="U210" s="3"/>
      <c r="V210" s="3"/>
      <c r="W210" s="3"/>
      <c r="X210" s="3"/>
      <c r="Y210" s="3"/>
      <c r="Z210" s="3"/>
    </row>
    <row r="211" ht="15.75" customHeight="1">
      <c r="A211" s="3"/>
      <c r="B211" s="2"/>
      <c r="C211" s="2"/>
      <c r="D211" s="2"/>
      <c r="E211" s="464"/>
      <c r="F211" s="2"/>
      <c r="G211" s="2"/>
      <c r="H211" s="2"/>
      <c r="I211" s="2"/>
      <c r="J211" s="2"/>
      <c r="K211" s="2"/>
      <c r="L211" s="2"/>
      <c r="M211" s="2"/>
      <c r="N211" s="2"/>
      <c r="O211" s="2"/>
      <c r="P211" s="2"/>
      <c r="Q211" s="2"/>
      <c r="R211" s="255"/>
      <c r="S211" s="3"/>
      <c r="T211" s="3"/>
      <c r="U211" s="3"/>
      <c r="V211" s="3"/>
      <c r="W211" s="3"/>
      <c r="X211" s="3"/>
      <c r="Y211" s="3"/>
      <c r="Z211" s="3"/>
    </row>
    <row r="212" ht="15.75" customHeight="1">
      <c r="A212" s="3"/>
      <c r="B212" s="2"/>
      <c r="C212" s="2"/>
      <c r="D212" s="2"/>
      <c r="E212" s="464"/>
      <c r="F212" s="2"/>
      <c r="G212" s="2"/>
      <c r="H212" s="2"/>
      <c r="I212" s="2"/>
      <c r="J212" s="2"/>
      <c r="K212" s="2"/>
      <c r="L212" s="2"/>
      <c r="M212" s="2"/>
      <c r="N212" s="2"/>
      <c r="O212" s="2"/>
      <c r="P212" s="2"/>
      <c r="Q212" s="2"/>
      <c r="R212" s="255"/>
      <c r="S212" s="3"/>
      <c r="T212" s="3"/>
      <c r="U212" s="3"/>
      <c r="V212" s="3"/>
      <c r="W212" s="3"/>
      <c r="X212" s="3"/>
      <c r="Y212" s="3"/>
      <c r="Z212" s="3"/>
    </row>
    <row r="213" ht="15.75" customHeight="1">
      <c r="A213" s="3"/>
      <c r="B213" s="2"/>
      <c r="C213" s="2"/>
      <c r="D213" s="2"/>
      <c r="E213" s="464"/>
      <c r="F213" s="2"/>
      <c r="G213" s="2"/>
      <c r="H213" s="2"/>
      <c r="I213" s="2"/>
      <c r="J213" s="2"/>
      <c r="K213" s="2"/>
      <c r="L213" s="2"/>
      <c r="M213" s="2"/>
      <c r="N213" s="2"/>
      <c r="O213" s="2"/>
      <c r="P213" s="2"/>
      <c r="Q213" s="2"/>
      <c r="R213" s="255"/>
      <c r="S213" s="3"/>
      <c r="T213" s="3"/>
      <c r="U213" s="3"/>
      <c r="V213" s="3"/>
      <c r="W213" s="3"/>
      <c r="X213" s="3"/>
      <c r="Y213" s="3"/>
      <c r="Z213" s="3"/>
    </row>
    <row r="214" ht="15.75" customHeight="1">
      <c r="A214" s="3"/>
      <c r="B214" s="2"/>
      <c r="C214" s="2"/>
      <c r="D214" s="2"/>
      <c r="E214" s="464"/>
      <c r="F214" s="2"/>
      <c r="G214" s="2"/>
      <c r="H214" s="2"/>
      <c r="I214" s="2"/>
      <c r="J214" s="2"/>
      <c r="K214" s="2"/>
      <c r="L214" s="2"/>
      <c r="M214" s="2"/>
      <c r="N214" s="2"/>
      <c r="O214" s="2"/>
      <c r="P214" s="2"/>
      <c r="Q214" s="2"/>
      <c r="R214" s="255"/>
      <c r="S214" s="3"/>
      <c r="T214" s="3"/>
      <c r="U214" s="3"/>
      <c r="V214" s="3"/>
      <c r="W214" s="3"/>
      <c r="X214" s="3"/>
      <c r="Y214" s="3"/>
      <c r="Z214" s="3"/>
    </row>
    <row r="215" ht="15.75" customHeight="1">
      <c r="A215" s="3"/>
      <c r="B215" s="2"/>
      <c r="C215" s="2"/>
      <c r="D215" s="2"/>
      <c r="E215" s="464"/>
      <c r="F215" s="2"/>
      <c r="G215" s="2"/>
      <c r="H215" s="2"/>
      <c r="I215" s="2"/>
      <c r="J215" s="2"/>
      <c r="K215" s="2"/>
      <c r="L215" s="2"/>
      <c r="M215" s="2"/>
      <c r="N215" s="2"/>
      <c r="O215" s="2"/>
      <c r="P215" s="2"/>
      <c r="Q215" s="2"/>
      <c r="R215" s="255"/>
      <c r="S215" s="3"/>
      <c r="T215" s="3"/>
      <c r="U215" s="3"/>
      <c r="V215" s="3"/>
      <c r="W215" s="3"/>
      <c r="X215" s="3"/>
      <c r="Y215" s="3"/>
      <c r="Z215" s="3"/>
    </row>
    <row r="216" ht="15.75" customHeight="1">
      <c r="A216" s="3"/>
      <c r="B216" s="2"/>
      <c r="C216" s="2"/>
      <c r="D216" s="2"/>
      <c r="E216" s="464"/>
      <c r="F216" s="2"/>
      <c r="G216" s="2"/>
      <c r="H216" s="2"/>
      <c r="I216" s="2"/>
      <c r="J216" s="2"/>
      <c r="K216" s="2"/>
      <c r="L216" s="2"/>
      <c r="M216" s="2"/>
      <c r="N216" s="2"/>
      <c r="O216" s="2"/>
      <c r="P216" s="2"/>
      <c r="Q216" s="2"/>
      <c r="R216" s="255"/>
      <c r="S216" s="3"/>
      <c r="T216" s="3"/>
      <c r="U216" s="3"/>
      <c r="V216" s="3"/>
      <c r="W216" s="3"/>
      <c r="X216" s="3"/>
      <c r="Y216" s="3"/>
      <c r="Z216" s="3"/>
    </row>
    <row r="217" ht="15.75" customHeight="1">
      <c r="A217" s="3"/>
      <c r="B217" s="2"/>
      <c r="C217" s="2"/>
      <c r="D217" s="2"/>
      <c r="E217" s="464"/>
      <c r="F217" s="2"/>
      <c r="G217" s="2"/>
      <c r="H217" s="2"/>
      <c r="I217" s="2"/>
      <c r="J217" s="2"/>
      <c r="K217" s="2"/>
      <c r="L217" s="2"/>
      <c r="M217" s="2"/>
      <c r="N217" s="2"/>
      <c r="O217" s="2"/>
      <c r="P217" s="2"/>
      <c r="Q217" s="2"/>
      <c r="R217" s="255"/>
      <c r="S217" s="3"/>
      <c r="T217" s="3"/>
      <c r="U217" s="3"/>
      <c r="V217" s="3"/>
      <c r="W217" s="3"/>
      <c r="X217" s="3"/>
      <c r="Y217" s="3"/>
      <c r="Z217" s="3"/>
    </row>
    <row r="218" ht="15.75" customHeight="1">
      <c r="A218" s="3"/>
      <c r="B218" s="2"/>
      <c r="C218" s="2"/>
      <c r="D218" s="2"/>
      <c r="E218" s="464"/>
      <c r="F218" s="2"/>
      <c r="G218" s="2"/>
      <c r="H218" s="2"/>
      <c r="I218" s="2"/>
      <c r="J218" s="2"/>
      <c r="K218" s="2"/>
      <c r="L218" s="2"/>
      <c r="M218" s="2"/>
      <c r="N218" s="2"/>
      <c r="O218" s="2"/>
      <c r="P218" s="2"/>
      <c r="Q218" s="2"/>
      <c r="R218" s="255"/>
      <c r="S218" s="3"/>
      <c r="T218" s="3"/>
      <c r="U218" s="3"/>
      <c r="V218" s="3"/>
      <c r="W218" s="3"/>
      <c r="X218" s="3"/>
      <c r="Y218" s="3"/>
      <c r="Z218" s="3"/>
    </row>
    <row r="219" ht="15.75" customHeight="1">
      <c r="A219" s="3"/>
      <c r="B219" s="2"/>
      <c r="C219" s="2"/>
      <c r="D219" s="2"/>
      <c r="E219" s="464"/>
      <c r="F219" s="2"/>
      <c r="G219" s="2"/>
      <c r="H219" s="2"/>
      <c r="I219" s="2"/>
      <c r="J219" s="2"/>
      <c r="K219" s="2"/>
      <c r="L219" s="2"/>
      <c r="M219" s="2"/>
      <c r="N219" s="2"/>
      <c r="O219" s="2"/>
      <c r="P219" s="2"/>
      <c r="Q219" s="2"/>
      <c r="R219" s="255"/>
      <c r="S219" s="3"/>
      <c r="T219" s="3"/>
      <c r="U219" s="3"/>
      <c r="V219" s="3"/>
      <c r="W219" s="3"/>
      <c r="X219" s="3"/>
      <c r="Y219" s="3"/>
      <c r="Z219" s="3"/>
    </row>
    <row r="220" ht="15.75" customHeight="1">
      <c r="A220" s="3"/>
      <c r="B220" s="2"/>
      <c r="C220" s="2"/>
      <c r="D220" s="2"/>
      <c r="E220" s="464"/>
      <c r="F220" s="2"/>
      <c r="G220" s="2"/>
      <c r="H220" s="2"/>
      <c r="I220" s="2"/>
      <c r="J220" s="2"/>
      <c r="K220" s="2"/>
      <c r="L220" s="2"/>
      <c r="M220" s="2"/>
      <c r="N220" s="2"/>
      <c r="O220" s="2"/>
      <c r="P220" s="2"/>
      <c r="Q220" s="2"/>
      <c r="R220" s="255"/>
      <c r="S220" s="3"/>
      <c r="T220" s="3"/>
      <c r="U220" s="3"/>
      <c r="V220" s="3"/>
      <c r="W220" s="3"/>
      <c r="X220" s="3"/>
      <c r="Y220" s="3"/>
      <c r="Z220" s="3"/>
    </row>
    <row r="221" ht="15.75" customHeight="1">
      <c r="A221" s="3"/>
      <c r="B221" s="2"/>
      <c r="C221" s="2"/>
      <c r="D221" s="2"/>
      <c r="E221" s="464"/>
      <c r="F221" s="2"/>
      <c r="G221" s="2"/>
      <c r="H221" s="2"/>
      <c r="I221" s="2"/>
      <c r="J221" s="2"/>
      <c r="K221" s="2"/>
      <c r="L221" s="2"/>
      <c r="M221" s="2"/>
      <c r="N221" s="2"/>
      <c r="O221" s="2"/>
      <c r="P221" s="2"/>
      <c r="Q221" s="2"/>
      <c r="R221" s="255"/>
      <c r="S221" s="3"/>
      <c r="T221" s="3"/>
      <c r="U221" s="3"/>
      <c r="V221" s="3"/>
      <c r="W221" s="3"/>
      <c r="X221" s="3"/>
      <c r="Y221" s="3"/>
      <c r="Z221" s="3"/>
    </row>
    <row r="222" ht="15.75" customHeight="1">
      <c r="A222" s="3"/>
      <c r="B222" s="2"/>
      <c r="C222" s="2"/>
      <c r="D222" s="2"/>
      <c r="E222" s="464"/>
      <c r="F222" s="2"/>
      <c r="G222" s="2"/>
      <c r="H222" s="2"/>
      <c r="I222" s="2"/>
      <c r="J222" s="2"/>
      <c r="K222" s="2"/>
      <c r="L222" s="2"/>
      <c r="M222" s="2"/>
      <c r="N222" s="2"/>
      <c r="O222" s="2"/>
      <c r="P222" s="2"/>
      <c r="Q222" s="2"/>
      <c r="R222" s="255"/>
      <c r="S222" s="3"/>
      <c r="T222" s="3"/>
      <c r="U222" s="3"/>
      <c r="V222" s="3"/>
      <c r="W222" s="3"/>
      <c r="X222" s="3"/>
      <c r="Y222" s="3"/>
      <c r="Z222" s="3"/>
    </row>
    <row r="223" ht="15.75" customHeight="1">
      <c r="A223" s="3"/>
      <c r="B223" s="2"/>
      <c r="C223" s="2"/>
      <c r="D223" s="2"/>
      <c r="E223" s="464"/>
      <c r="F223" s="2"/>
      <c r="G223" s="2"/>
      <c r="H223" s="2"/>
      <c r="I223" s="2"/>
      <c r="J223" s="2"/>
      <c r="K223" s="2"/>
      <c r="L223" s="2"/>
      <c r="M223" s="2"/>
      <c r="N223" s="2"/>
      <c r="O223" s="2"/>
      <c r="P223" s="2"/>
      <c r="Q223" s="2"/>
      <c r="R223" s="255"/>
      <c r="S223" s="3"/>
      <c r="T223" s="3"/>
      <c r="U223" s="3"/>
      <c r="V223" s="3"/>
      <c r="W223" s="3"/>
      <c r="X223" s="3"/>
      <c r="Y223" s="3"/>
      <c r="Z223" s="3"/>
    </row>
    <row r="224" ht="15.75" customHeight="1">
      <c r="A224" s="3"/>
      <c r="B224" s="2"/>
      <c r="C224" s="2"/>
      <c r="D224" s="2"/>
      <c r="E224" s="464"/>
      <c r="F224" s="2"/>
      <c r="G224" s="2"/>
      <c r="H224" s="2"/>
      <c r="I224" s="2"/>
      <c r="J224" s="2"/>
      <c r="K224" s="2"/>
      <c r="L224" s="2"/>
      <c r="M224" s="2"/>
      <c r="N224" s="2"/>
      <c r="O224" s="2"/>
      <c r="P224" s="2"/>
      <c r="Q224" s="2"/>
      <c r="R224" s="255"/>
      <c r="S224" s="3"/>
      <c r="T224" s="3"/>
      <c r="U224" s="3"/>
      <c r="V224" s="3"/>
      <c r="W224" s="3"/>
      <c r="X224" s="3"/>
      <c r="Y224" s="3"/>
      <c r="Z224" s="3"/>
    </row>
    <row r="225" ht="15.75" customHeight="1">
      <c r="A225" s="3"/>
      <c r="B225" s="2"/>
      <c r="C225" s="2"/>
      <c r="D225" s="2"/>
      <c r="E225" s="464"/>
      <c r="F225" s="2"/>
      <c r="G225" s="2"/>
      <c r="H225" s="2"/>
      <c r="I225" s="2"/>
      <c r="J225" s="2"/>
      <c r="K225" s="2"/>
      <c r="L225" s="2"/>
      <c r="M225" s="2"/>
      <c r="N225" s="2"/>
      <c r="O225" s="2"/>
      <c r="P225" s="2"/>
      <c r="Q225" s="2"/>
      <c r="R225" s="255"/>
      <c r="S225" s="3"/>
      <c r="T225" s="3"/>
      <c r="U225" s="3"/>
      <c r="V225" s="3"/>
      <c r="W225" s="3"/>
      <c r="X225" s="3"/>
      <c r="Y225" s="3"/>
      <c r="Z225" s="3"/>
    </row>
    <row r="226" ht="15.75" customHeight="1">
      <c r="A226" s="3"/>
      <c r="B226" s="2"/>
      <c r="C226" s="2"/>
      <c r="D226" s="2"/>
      <c r="E226" s="464"/>
      <c r="F226" s="2"/>
      <c r="G226" s="2"/>
      <c r="H226" s="2"/>
      <c r="I226" s="2"/>
      <c r="J226" s="2"/>
      <c r="K226" s="2"/>
      <c r="L226" s="2"/>
      <c r="M226" s="2"/>
      <c r="N226" s="2"/>
      <c r="O226" s="2"/>
      <c r="P226" s="2"/>
      <c r="Q226" s="2"/>
      <c r="R226" s="255"/>
      <c r="S226" s="3"/>
      <c r="T226" s="3"/>
      <c r="U226" s="3"/>
      <c r="V226" s="3"/>
      <c r="W226" s="3"/>
      <c r="X226" s="3"/>
      <c r="Y226" s="3"/>
      <c r="Z226" s="3"/>
    </row>
    <row r="227" ht="15.75" customHeight="1">
      <c r="A227" s="3"/>
      <c r="B227" s="2"/>
      <c r="C227" s="2"/>
      <c r="D227" s="2"/>
      <c r="E227" s="464"/>
      <c r="F227" s="2"/>
      <c r="G227" s="2"/>
      <c r="H227" s="2"/>
      <c r="I227" s="2"/>
      <c r="J227" s="2"/>
      <c r="K227" s="2"/>
      <c r="L227" s="2"/>
      <c r="M227" s="2"/>
      <c r="N227" s="2"/>
      <c r="O227" s="2"/>
      <c r="P227" s="2"/>
      <c r="Q227" s="2"/>
      <c r="R227" s="255"/>
      <c r="S227" s="3"/>
      <c r="T227" s="3"/>
      <c r="U227" s="3"/>
      <c r="V227" s="3"/>
      <c r="W227" s="3"/>
      <c r="X227" s="3"/>
      <c r="Y227" s="3"/>
      <c r="Z227" s="3"/>
    </row>
    <row r="228" ht="15.75" customHeight="1">
      <c r="A228" s="3"/>
      <c r="B228" s="2"/>
      <c r="C228" s="2"/>
      <c r="D228" s="2"/>
      <c r="E228" s="464"/>
      <c r="F228" s="2"/>
      <c r="G228" s="2"/>
      <c r="H228" s="2"/>
      <c r="I228" s="2"/>
      <c r="J228" s="2"/>
      <c r="K228" s="2"/>
      <c r="L228" s="2"/>
      <c r="M228" s="2"/>
      <c r="N228" s="2"/>
      <c r="O228" s="2"/>
      <c r="P228" s="2"/>
      <c r="Q228" s="2"/>
      <c r="R228" s="255"/>
      <c r="S228" s="3"/>
      <c r="T228" s="3"/>
      <c r="U228" s="3"/>
      <c r="V228" s="3"/>
      <c r="W228" s="3"/>
      <c r="X228" s="3"/>
      <c r="Y228" s="3"/>
      <c r="Z228" s="3"/>
    </row>
    <row r="229" ht="15.75" customHeight="1">
      <c r="A229" s="3"/>
      <c r="B229" s="2"/>
      <c r="C229" s="2"/>
      <c r="D229" s="2"/>
      <c r="E229" s="464"/>
      <c r="F229" s="2"/>
      <c r="G229" s="2"/>
      <c r="H229" s="2"/>
      <c r="I229" s="2"/>
      <c r="J229" s="2"/>
      <c r="K229" s="2"/>
      <c r="L229" s="2"/>
      <c r="M229" s="2"/>
      <c r="N229" s="2"/>
      <c r="O229" s="2"/>
      <c r="P229" s="2"/>
      <c r="Q229" s="2"/>
      <c r="R229" s="255"/>
      <c r="S229" s="3"/>
      <c r="T229" s="3"/>
      <c r="U229" s="3"/>
      <c r="V229" s="3"/>
      <c r="W229" s="3"/>
      <c r="X229" s="3"/>
      <c r="Y229" s="3"/>
      <c r="Z229" s="3"/>
    </row>
    <row r="230" ht="15.75" customHeight="1">
      <c r="A230" s="3"/>
      <c r="B230" s="2"/>
      <c r="C230" s="2"/>
      <c r="D230" s="2"/>
      <c r="E230" s="464"/>
      <c r="F230" s="2"/>
      <c r="G230" s="2"/>
      <c r="H230" s="2"/>
      <c r="I230" s="2"/>
      <c r="J230" s="2"/>
      <c r="K230" s="2"/>
      <c r="L230" s="2"/>
      <c r="M230" s="2"/>
      <c r="N230" s="2"/>
      <c r="O230" s="2"/>
      <c r="P230" s="2"/>
      <c r="Q230" s="2"/>
      <c r="R230" s="255"/>
      <c r="S230" s="3"/>
      <c r="T230" s="3"/>
      <c r="U230" s="3"/>
      <c r="V230" s="3"/>
      <c r="W230" s="3"/>
      <c r="X230" s="3"/>
      <c r="Y230" s="3"/>
      <c r="Z230" s="3"/>
    </row>
    <row r="231" ht="15.75" customHeight="1">
      <c r="A231" s="3"/>
      <c r="B231" s="2"/>
      <c r="C231" s="2"/>
      <c r="D231" s="2"/>
      <c r="E231" s="464"/>
      <c r="F231" s="2"/>
      <c r="G231" s="2"/>
      <c r="H231" s="2"/>
      <c r="I231" s="2"/>
      <c r="J231" s="2"/>
      <c r="K231" s="2"/>
      <c r="L231" s="2"/>
      <c r="M231" s="2"/>
      <c r="N231" s="2"/>
      <c r="O231" s="2"/>
      <c r="P231" s="2"/>
      <c r="Q231" s="2"/>
      <c r="R231" s="255"/>
      <c r="S231" s="3"/>
      <c r="T231" s="3"/>
      <c r="U231" s="3"/>
      <c r="V231" s="3"/>
      <c r="W231" s="3"/>
      <c r="X231" s="3"/>
      <c r="Y231" s="3"/>
      <c r="Z231" s="3"/>
    </row>
    <row r="232" ht="15.75" customHeight="1">
      <c r="A232" s="3"/>
      <c r="B232" s="2"/>
      <c r="C232" s="2"/>
      <c r="D232" s="2"/>
      <c r="E232" s="464"/>
      <c r="F232" s="2"/>
      <c r="G232" s="2"/>
      <c r="H232" s="2"/>
      <c r="I232" s="2"/>
      <c r="J232" s="2"/>
      <c r="K232" s="2"/>
      <c r="L232" s="2"/>
      <c r="M232" s="2"/>
      <c r="N232" s="2"/>
      <c r="O232" s="2"/>
      <c r="P232" s="2"/>
      <c r="Q232" s="2"/>
      <c r="R232" s="255"/>
      <c r="S232" s="3"/>
      <c r="T232" s="3"/>
      <c r="U232" s="3"/>
      <c r="V232" s="3"/>
      <c r="W232" s="3"/>
      <c r="X232" s="3"/>
      <c r="Y232" s="3"/>
      <c r="Z232" s="3"/>
    </row>
    <row r="233" ht="15.75" customHeight="1">
      <c r="A233" s="3"/>
      <c r="B233" s="2"/>
      <c r="C233" s="2"/>
      <c r="D233" s="2"/>
      <c r="E233" s="464"/>
      <c r="F233" s="2"/>
      <c r="G233" s="2"/>
      <c r="H233" s="2"/>
      <c r="I233" s="2"/>
      <c r="J233" s="2"/>
      <c r="K233" s="2"/>
      <c r="L233" s="2"/>
      <c r="M233" s="2"/>
      <c r="N233" s="2"/>
      <c r="O233" s="2"/>
      <c r="P233" s="2"/>
      <c r="Q233" s="2"/>
      <c r="R233" s="255"/>
      <c r="S233" s="3"/>
      <c r="T233" s="3"/>
      <c r="U233" s="3"/>
      <c r="V233" s="3"/>
      <c r="W233" s="3"/>
      <c r="X233" s="3"/>
      <c r="Y233" s="3"/>
      <c r="Z233" s="3"/>
    </row>
    <row r="234" ht="15.75" customHeight="1">
      <c r="A234" s="3"/>
      <c r="B234" s="2"/>
      <c r="C234" s="2"/>
      <c r="D234" s="2"/>
      <c r="E234" s="464"/>
      <c r="F234" s="2"/>
      <c r="G234" s="2"/>
      <c r="H234" s="2"/>
      <c r="I234" s="2"/>
      <c r="J234" s="2"/>
      <c r="K234" s="2"/>
      <c r="L234" s="2"/>
      <c r="M234" s="2"/>
      <c r="N234" s="2"/>
      <c r="O234" s="2"/>
      <c r="P234" s="2"/>
      <c r="Q234" s="2"/>
      <c r="R234" s="255"/>
      <c r="S234" s="3"/>
      <c r="T234" s="3"/>
      <c r="U234" s="3"/>
      <c r="V234" s="3"/>
      <c r="W234" s="3"/>
      <c r="X234" s="3"/>
      <c r="Y234" s="3"/>
      <c r="Z234" s="3"/>
    </row>
    <row r="235" ht="15.75" customHeight="1">
      <c r="A235" s="3"/>
      <c r="B235" s="2"/>
      <c r="C235" s="2"/>
      <c r="D235" s="2"/>
      <c r="E235" s="464"/>
      <c r="F235" s="2"/>
      <c r="G235" s="2"/>
      <c r="H235" s="2"/>
      <c r="I235" s="2"/>
      <c r="J235" s="2"/>
      <c r="K235" s="2"/>
      <c r="L235" s="2"/>
      <c r="M235" s="2"/>
      <c r="N235" s="2"/>
      <c r="O235" s="2"/>
      <c r="P235" s="2"/>
      <c r="Q235" s="2"/>
      <c r="R235" s="255"/>
      <c r="S235" s="3"/>
      <c r="T235" s="3"/>
      <c r="U235" s="3"/>
      <c r="V235" s="3"/>
      <c r="W235" s="3"/>
      <c r="X235" s="3"/>
      <c r="Y235" s="3"/>
      <c r="Z235" s="3"/>
    </row>
    <row r="236" ht="15.75" customHeight="1">
      <c r="A236" s="3"/>
      <c r="B236" s="2"/>
      <c r="C236" s="2"/>
      <c r="D236" s="2"/>
      <c r="E236" s="464"/>
      <c r="F236" s="2"/>
      <c r="G236" s="2"/>
      <c r="H236" s="2"/>
      <c r="I236" s="2"/>
      <c r="J236" s="2"/>
      <c r="K236" s="2"/>
      <c r="L236" s="2"/>
      <c r="M236" s="2"/>
      <c r="N236" s="2"/>
      <c r="O236" s="2"/>
      <c r="P236" s="2"/>
      <c r="Q236" s="2"/>
      <c r="R236" s="255"/>
      <c r="S236" s="3"/>
      <c r="T236" s="3"/>
      <c r="U236" s="3"/>
      <c r="V236" s="3"/>
      <c r="W236" s="3"/>
      <c r="X236" s="3"/>
      <c r="Y236" s="3"/>
      <c r="Z236" s="3"/>
    </row>
    <row r="237" ht="15.75" customHeight="1">
      <c r="A237" s="3"/>
      <c r="B237" s="2"/>
      <c r="C237" s="2"/>
      <c r="D237" s="2"/>
      <c r="E237" s="464"/>
      <c r="F237" s="2"/>
      <c r="G237" s="2"/>
      <c r="H237" s="2"/>
      <c r="I237" s="2"/>
      <c r="J237" s="2"/>
      <c r="K237" s="2"/>
      <c r="L237" s="2"/>
      <c r="M237" s="2"/>
      <c r="N237" s="2"/>
      <c r="O237" s="2"/>
      <c r="P237" s="2"/>
      <c r="Q237" s="2"/>
      <c r="R237" s="255"/>
      <c r="S237" s="3"/>
      <c r="T237" s="3"/>
      <c r="U237" s="3"/>
      <c r="V237" s="3"/>
      <c r="W237" s="3"/>
      <c r="X237" s="3"/>
      <c r="Y237" s="3"/>
      <c r="Z237" s="3"/>
    </row>
    <row r="238" ht="15.75" customHeight="1">
      <c r="A238" s="3"/>
      <c r="B238" s="2"/>
      <c r="C238" s="2"/>
      <c r="D238" s="2"/>
      <c r="E238" s="464"/>
      <c r="F238" s="2"/>
      <c r="G238" s="2"/>
      <c r="H238" s="2"/>
      <c r="I238" s="2"/>
      <c r="J238" s="2"/>
      <c r="K238" s="2"/>
      <c r="L238" s="2"/>
      <c r="M238" s="2"/>
      <c r="N238" s="2"/>
      <c r="O238" s="2"/>
      <c r="P238" s="2"/>
      <c r="Q238" s="2"/>
      <c r="R238" s="255"/>
      <c r="S238" s="3"/>
      <c r="T238" s="3"/>
      <c r="U238" s="3"/>
      <c r="V238" s="3"/>
      <c r="W238" s="3"/>
      <c r="X238" s="3"/>
      <c r="Y238" s="3"/>
      <c r="Z238" s="3"/>
    </row>
    <row r="239" ht="15.75" customHeight="1">
      <c r="A239" s="3"/>
      <c r="B239" s="2"/>
      <c r="C239" s="2"/>
      <c r="D239" s="2"/>
      <c r="E239" s="464"/>
      <c r="F239" s="2"/>
      <c r="G239" s="2"/>
      <c r="H239" s="2"/>
      <c r="I239" s="2"/>
      <c r="J239" s="2"/>
      <c r="K239" s="2"/>
      <c r="L239" s="2"/>
      <c r="M239" s="2"/>
      <c r="N239" s="2"/>
      <c r="O239" s="2"/>
      <c r="P239" s="2"/>
      <c r="Q239" s="2"/>
      <c r="R239" s="255"/>
      <c r="S239" s="3"/>
      <c r="T239" s="3"/>
      <c r="U239" s="3"/>
      <c r="V239" s="3"/>
      <c r="W239" s="3"/>
      <c r="X239" s="3"/>
      <c r="Y239" s="3"/>
      <c r="Z239" s="3"/>
    </row>
    <row r="240" ht="15.75" customHeight="1">
      <c r="A240" s="3"/>
      <c r="B240" s="2"/>
      <c r="C240" s="2"/>
      <c r="D240" s="2"/>
      <c r="E240" s="464"/>
      <c r="F240" s="2"/>
      <c r="G240" s="2"/>
      <c r="H240" s="2"/>
      <c r="I240" s="2"/>
      <c r="J240" s="2"/>
      <c r="K240" s="2"/>
      <c r="L240" s="2"/>
      <c r="M240" s="2"/>
      <c r="N240" s="2"/>
      <c r="O240" s="2"/>
      <c r="P240" s="2"/>
      <c r="Q240" s="2"/>
      <c r="R240" s="255"/>
      <c r="S240" s="3"/>
      <c r="T240" s="3"/>
      <c r="U240" s="3"/>
      <c r="V240" s="3"/>
      <c r="W240" s="3"/>
      <c r="X240" s="3"/>
      <c r="Y240" s="3"/>
      <c r="Z240" s="3"/>
    </row>
    <row r="241" ht="15.75" customHeight="1">
      <c r="A241" s="3"/>
      <c r="B241" s="2"/>
      <c r="C241" s="2"/>
      <c r="D241" s="2"/>
      <c r="E241" s="464"/>
      <c r="F241" s="2"/>
      <c r="G241" s="2"/>
      <c r="H241" s="2"/>
      <c r="I241" s="2"/>
      <c r="J241" s="2"/>
      <c r="K241" s="2"/>
      <c r="L241" s="2"/>
      <c r="M241" s="2"/>
      <c r="N241" s="2"/>
      <c r="O241" s="2"/>
      <c r="P241" s="2"/>
      <c r="Q241" s="2"/>
      <c r="R241" s="255"/>
      <c r="S241" s="3"/>
      <c r="T241" s="3"/>
      <c r="U241" s="3"/>
      <c r="V241" s="3"/>
      <c r="W241" s="3"/>
      <c r="X241" s="3"/>
      <c r="Y241" s="3"/>
      <c r="Z241" s="3"/>
    </row>
    <row r="242" ht="15.75" customHeight="1">
      <c r="A242" s="3"/>
      <c r="B242" s="2"/>
      <c r="C242" s="2"/>
      <c r="D242" s="2"/>
      <c r="E242" s="464"/>
      <c r="F242" s="2"/>
      <c r="G242" s="2"/>
      <c r="H242" s="2"/>
      <c r="I242" s="2"/>
      <c r="J242" s="2"/>
      <c r="K242" s="2"/>
      <c r="L242" s="2"/>
      <c r="M242" s="2"/>
      <c r="N242" s="2"/>
      <c r="O242" s="2"/>
      <c r="P242" s="2"/>
      <c r="Q242" s="2"/>
      <c r="R242" s="255"/>
      <c r="S242" s="3"/>
      <c r="T242" s="3"/>
      <c r="U242" s="3"/>
      <c r="V242" s="3"/>
      <c r="W242" s="3"/>
      <c r="X242" s="3"/>
      <c r="Y242" s="3"/>
      <c r="Z242" s="3"/>
    </row>
    <row r="243" ht="15.75" customHeight="1">
      <c r="A243" s="3"/>
      <c r="B243" s="2"/>
      <c r="C243" s="2"/>
      <c r="D243" s="2"/>
      <c r="E243" s="464"/>
      <c r="F243" s="2"/>
      <c r="G243" s="2"/>
      <c r="H243" s="2"/>
      <c r="I243" s="2"/>
      <c r="J243" s="2"/>
      <c r="K243" s="2"/>
      <c r="L243" s="2"/>
      <c r="M243" s="2"/>
      <c r="N243" s="2"/>
      <c r="O243" s="2"/>
      <c r="P243" s="2"/>
      <c r="Q243" s="2"/>
      <c r="R243" s="255"/>
      <c r="S243" s="3"/>
      <c r="T243" s="3"/>
      <c r="U243" s="3"/>
      <c r="V243" s="3"/>
      <c r="W243" s="3"/>
      <c r="X243" s="3"/>
      <c r="Y243" s="3"/>
      <c r="Z243" s="3"/>
    </row>
    <row r="244" ht="15.75" customHeight="1">
      <c r="A244" s="3"/>
      <c r="B244" s="2"/>
      <c r="C244" s="2"/>
      <c r="D244" s="2"/>
      <c r="E244" s="464"/>
      <c r="F244" s="2"/>
      <c r="G244" s="2"/>
      <c r="H244" s="2"/>
      <c r="I244" s="2"/>
      <c r="J244" s="2"/>
      <c r="K244" s="2"/>
      <c r="L244" s="2"/>
      <c r="M244" s="2"/>
      <c r="N244" s="2"/>
      <c r="O244" s="2"/>
      <c r="P244" s="2"/>
      <c r="Q244" s="2"/>
      <c r="R244" s="255"/>
      <c r="S244" s="3"/>
      <c r="T244" s="3"/>
      <c r="U244" s="3"/>
      <c r="V244" s="3"/>
      <c r="W244" s="3"/>
      <c r="X244" s="3"/>
      <c r="Y244" s="3"/>
      <c r="Z244" s="3"/>
    </row>
    <row r="245" ht="15.75" customHeight="1">
      <c r="A245" s="3"/>
      <c r="B245" s="2"/>
      <c r="C245" s="2"/>
      <c r="D245" s="2"/>
      <c r="E245" s="464"/>
      <c r="F245" s="2"/>
      <c r="G245" s="2"/>
      <c r="H245" s="2"/>
      <c r="I245" s="2"/>
      <c r="J245" s="2"/>
      <c r="K245" s="2"/>
      <c r="L245" s="2"/>
      <c r="M245" s="2"/>
      <c r="N245" s="2"/>
      <c r="O245" s="2"/>
      <c r="P245" s="2"/>
      <c r="Q245" s="2"/>
      <c r="R245" s="255"/>
      <c r="S245" s="3"/>
      <c r="T245" s="3"/>
      <c r="U245" s="3"/>
      <c r="V245" s="3"/>
      <c r="W245" s="3"/>
      <c r="X245" s="3"/>
      <c r="Y245" s="3"/>
      <c r="Z245" s="3"/>
    </row>
    <row r="246" ht="15.75" customHeight="1">
      <c r="A246" s="3"/>
      <c r="B246" s="2"/>
      <c r="C246" s="2"/>
      <c r="D246" s="2"/>
      <c r="E246" s="464"/>
      <c r="F246" s="2"/>
      <c r="G246" s="2"/>
      <c r="H246" s="2"/>
      <c r="I246" s="2"/>
      <c r="J246" s="2"/>
      <c r="K246" s="2"/>
      <c r="L246" s="2"/>
      <c r="M246" s="2"/>
      <c r="N246" s="2"/>
      <c r="O246" s="2"/>
      <c r="P246" s="2"/>
      <c r="Q246" s="2"/>
      <c r="R246" s="255"/>
      <c r="S246" s="3"/>
      <c r="T246" s="3"/>
      <c r="U246" s="3"/>
      <c r="V246" s="3"/>
      <c r="W246" s="3"/>
      <c r="X246" s="3"/>
      <c r="Y246" s="3"/>
      <c r="Z246" s="3"/>
    </row>
    <row r="247" ht="15.75" customHeight="1">
      <c r="A247" s="3"/>
      <c r="B247" s="2"/>
      <c r="C247" s="2"/>
      <c r="D247" s="2"/>
      <c r="E247" s="464"/>
      <c r="F247" s="2"/>
      <c r="G247" s="2"/>
      <c r="H247" s="2"/>
      <c r="I247" s="2"/>
      <c r="J247" s="2"/>
      <c r="K247" s="2"/>
      <c r="L247" s="2"/>
      <c r="M247" s="2"/>
      <c r="N247" s="2"/>
      <c r="O247" s="2"/>
      <c r="P247" s="2"/>
      <c r="Q247" s="2"/>
      <c r="R247" s="255"/>
      <c r="S247" s="3"/>
      <c r="T247" s="3"/>
      <c r="U247" s="3"/>
      <c r="V247" s="3"/>
      <c r="W247" s="3"/>
      <c r="X247" s="3"/>
      <c r="Y247" s="3"/>
      <c r="Z247" s="3"/>
    </row>
    <row r="248" ht="15.75" customHeight="1">
      <c r="A248" s="3"/>
      <c r="B248" s="2"/>
      <c r="C248" s="2"/>
      <c r="D248" s="2"/>
      <c r="E248" s="464"/>
      <c r="F248" s="2"/>
      <c r="G248" s="2"/>
      <c r="H248" s="2"/>
      <c r="I248" s="2"/>
      <c r="J248" s="2"/>
      <c r="K248" s="2"/>
      <c r="L248" s="2"/>
      <c r="M248" s="2"/>
      <c r="N248" s="2"/>
      <c r="O248" s="2"/>
      <c r="P248" s="2"/>
      <c r="Q248" s="2"/>
      <c r="R248" s="255"/>
      <c r="S248" s="3"/>
      <c r="T248" s="3"/>
      <c r="U248" s="3"/>
      <c r="V248" s="3"/>
      <c r="W248" s="3"/>
      <c r="X248" s="3"/>
      <c r="Y248" s="3"/>
      <c r="Z248" s="3"/>
    </row>
    <row r="249" ht="15.75" customHeight="1">
      <c r="A249" s="3"/>
      <c r="B249" s="2"/>
      <c r="C249" s="2"/>
      <c r="D249" s="2"/>
      <c r="E249" s="464"/>
      <c r="F249" s="2"/>
      <c r="G249" s="2"/>
      <c r="H249" s="2"/>
      <c r="I249" s="2"/>
      <c r="J249" s="2"/>
      <c r="K249" s="2"/>
      <c r="L249" s="2"/>
      <c r="M249" s="2"/>
      <c r="N249" s="2"/>
      <c r="O249" s="2"/>
      <c r="P249" s="2"/>
      <c r="Q249" s="2"/>
      <c r="R249" s="255"/>
      <c r="S249" s="3"/>
      <c r="T249" s="3"/>
      <c r="U249" s="3"/>
      <c r="V249" s="3"/>
      <c r="W249" s="3"/>
      <c r="X249" s="3"/>
      <c r="Y249" s="3"/>
      <c r="Z249" s="3"/>
    </row>
    <row r="250" ht="15.75" customHeight="1">
      <c r="A250" s="3"/>
      <c r="B250" s="2"/>
      <c r="C250" s="2"/>
      <c r="D250" s="2"/>
      <c r="E250" s="464"/>
      <c r="F250" s="2"/>
      <c r="G250" s="2"/>
      <c r="H250" s="2"/>
      <c r="I250" s="2"/>
      <c r="J250" s="2"/>
      <c r="K250" s="2"/>
      <c r="L250" s="2"/>
      <c r="M250" s="2"/>
      <c r="N250" s="2"/>
      <c r="O250" s="2"/>
      <c r="P250" s="2"/>
      <c r="Q250" s="2"/>
      <c r="R250" s="255"/>
      <c r="S250" s="3"/>
      <c r="T250" s="3"/>
      <c r="U250" s="3"/>
      <c r="V250" s="3"/>
      <c r="W250" s="3"/>
      <c r="X250" s="3"/>
      <c r="Y250" s="3"/>
      <c r="Z250" s="3"/>
    </row>
    <row r="251" ht="15.75" customHeight="1">
      <c r="A251" s="3"/>
      <c r="B251" s="2"/>
      <c r="C251" s="2"/>
      <c r="D251" s="2"/>
      <c r="E251" s="464"/>
      <c r="F251" s="2"/>
      <c r="G251" s="2"/>
      <c r="H251" s="2"/>
      <c r="I251" s="2"/>
      <c r="J251" s="2"/>
      <c r="K251" s="2"/>
      <c r="L251" s="2"/>
      <c r="M251" s="2"/>
      <c r="N251" s="2"/>
      <c r="O251" s="2"/>
      <c r="P251" s="2"/>
      <c r="Q251" s="2"/>
      <c r="R251" s="255"/>
      <c r="S251" s="3"/>
      <c r="T251" s="3"/>
      <c r="U251" s="3"/>
      <c r="V251" s="3"/>
      <c r="W251" s="3"/>
      <c r="X251" s="3"/>
      <c r="Y251" s="3"/>
      <c r="Z251" s="3"/>
    </row>
    <row r="252" ht="15.75" customHeight="1">
      <c r="A252" s="3"/>
      <c r="B252" s="2"/>
      <c r="C252" s="2"/>
      <c r="D252" s="2"/>
      <c r="E252" s="464"/>
      <c r="F252" s="2"/>
      <c r="G252" s="2"/>
      <c r="H252" s="2"/>
      <c r="I252" s="2"/>
      <c r="J252" s="2"/>
      <c r="K252" s="2"/>
      <c r="L252" s="2"/>
      <c r="M252" s="2"/>
      <c r="N252" s="2"/>
      <c r="O252" s="2"/>
      <c r="P252" s="2"/>
      <c r="Q252" s="2"/>
      <c r="R252" s="255"/>
      <c r="S252" s="3"/>
      <c r="T252" s="3"/>
      <c r="U252" s="3"/>
      <c r="V252" s="3"/>
      <c r="W252" s="3"/>
      <c r="X252" s="3"/>
      <c r="Y252" s="3"/>
      <c r="Z252" s="3"/>
    </row>
    <row r="253" ht="15.75" customHeight="1">
      <c r="A253" s="3"/>
      <c r="B253" s="2"/>
      <c r="C253" s="2"/>
      <c r="D253" s="2"/>
      <c r="E253" s="464"/>
      <c r="F253" s="2"/>
      <c r="G253" s="2"/>
      <c r="H253" s="2"/>
      <c r="I253" s="2"/>
      <c r="J253" s="2"/>
      <c r="K253" s="2"/>
      <c r="L253" s="2"/>
      <c r="M253" s="2"/>
      <c r="N253" s="2"/>
      <c r="O253" s="2"/>
      <c r="P253" s="2"/>
      <c r="Q253" s="2"/>
      <c r="R253" s="255"/>
      <c r="S253" s="3"/>
      <c r="T253" s="3"/>
      <c r="U253" s="3"/>
      <c r="V253" s="3"/>
      <c r="W253" s="3"/>
      <c r="X253" s="3"/>
      <c r="Y253" s="3"/>
      <c r="Z253" s="3"/>
    </row>
    <row r="254" ht="15.75" customHeight="1">
      <c r="A254" s="3"/>
      <c r="B254" s="2"/>
      <c r="C254" s="2"/>
      <c r="D254" s="2"/>
      <c r="E254" s="464"/>
      <c r="F254" s="2"/>
      <c r="G254" s="2"/>
      <c r="H254" s="2"/>
      <c r="I254" s="2"/>
      <c r="J254" s="2"/>
      <c r="K254" s="2"/>
      <c r="L254" s="2"/>
      <c r="M254" s="2"/>
      <c r="N254" s="2"/>
      <c r="O254" s="2"/>
      <c r="P254" s="2"/>
      <c r="Q254" s="2"/>
      <c r="R254" s="255"/>
      <c r="S254" s="3"/>
      <c r="T254" s="3"/>
      <c r="U254" s="3"/>
      <c r="V254" s="3"/>
      <c r="W254" s="3"/>
      <c r="X254" s="3"/>
      <c r="Y254" s="3"/>
      <c r="Z254" s="3"/>
    </row>
    <row r="255" ht="15.75" customHeight="1">
      <c r="A255" s="3"/>
      <c r="B255" s="2"/>
      <c r="C255" s="2"/>
      <c r="D255" s="2"/>
      <c r="E255" s="464"/>
      <c r="F255" s="2"/>
      <c r="G255" s="2"/>
      <c r="H255" s="2"/>
      <c r="I255" s="2"/>
      <c r="J255" s="2"/>
      <c r="K255" s="2"/>
      <c r="L255" s="2"/>
      <c r="M255" s="2"/>
      <c r="N255" s="2"/>
      <c r="O255" s="2"/>
      <c r="P255" s="2"/>
      <c r="Q255" s="2"/>
      <c r="R255" s="255"/>
      <c r="S255" s="3"/>
      <c r="T255" s="3"/>
      <c r="U255" s="3"/>
      <c r="V255" s="3"/>
      <c r="W255" s="3"/>
      <c r="X255" s="3"/>
      <c r="Y255" s="3"/>
      <c r="Z255" s="3"/>
    </row>
    <row r="256" ht="15.75" customHeight="1">
      <c r="A256" s="3"/>
      <c r="B256" s="2"/>
      <c r="C256" s="2"/>
      <c r="D256" s="2"/>
      <c r="E256" s="464"/>
      <c r="F256" s="2"/>
      <c r="G256" s="2"/>
      <c r="H256" s="2"/>
      <c r="I256" s="2"/>
      <c r="J256" s="2"/>
      <c r="K256" s="2"/>
      <c r="L256" s="2"/>
      <c r="M256" s="2"/>
      <c r="N256" s="2"/>
      <c r="O256" s="2"/>
      <c r="P256" s="2"/>
      <c r="Q256" s="2"/>
      <c r="R256" s="255"/>
      <c r="S256" s="3"/>
      <c r="T256" s="3"/>
      <c r="U256" s="3"/>
      <c r="V256" s="3"/>
      <c r="W256" s="3"/>
      <c r="X256" s="3"/>
      <c r="Y256" s="3"/>
      <c r="Z256" s="3"/>
    </row>
    <row r="257" ht="15.75" customHeight="1">
      <c r="A257" s="3"/>
      <c r="B257" s="2"/>
      <c r="C257" s="2"/>
      <c r="D257" s="2"/>
      <c r="E257" s="464"/>
      <c r="F257" s="2"/>
      <c r="G257" s="2"/>
      <c r="H257" s="2"/>
      <c r="I257" s="2"/>
      <c r="J257" s="2"/>
      <c r="K257" s="2"/>
      <c r="L257" s="2"/>
      <c r="M257" s="2"/>
      <c r="N257" s="2"/>
      <c r="O257" s="2"/>
      <c r="P257" s="2"/>
      <c r="Q257" s="2"/>
      <c r="R257" s="255"/>
      <c r="S257" s="3"/>
      <c r="T257" s="3"/>
      <c r="U257" s="3"/>
      <c r="V257" s="3"/>
      <c r="W257" s="3"/>
      <c r="X257" s="3"/>
      <c r="Y257" s="3"/>
      <c r="Z257" s="3"/>
    </row>
    <row r="258" ht="15.75" customHeight="1">
      <c r="A258" s="3"/>
      <c r="B258" s="2"/>
      <c r="C258" s="2"/>
      <c r="D258" s="2"/>
      <c r="E258" s="464"/>
      <c r="F258" s="2"/>
      <c r="G258" s="2"/>
      <c r="H258" s="2"/>
      <c r="I258" s="2"/>
      <c r="J258" s="2"/>
      <c r="K258" s="2"/>
      <c r="L258" s="2"/>
      <c r="M258" s="2"/>
      <c r="N258" s="2"/>
      <c r="O258" s="2"/>
      <c r="P258" s="2"/>
      <c r="Q258" s="2"/>
      <c r="R258" s="255"/>
      <c r="S258" s="3"/>
      <c r="T258" s="3"/>
      <c r="U258" s="3"/>
      <c r="V258" s="3"/>
      <c r="W258" s="3"/>
      <c r="X258" s="3"/>
      <c r="Y258" s="3"/>
      <c r="Z258" s="3"/>
    </row>
    <row r="259" ht="15.75" customHeight="1">
      <c r="A259" s="3"/>
      <c r="B259" s="2"/>
      <c r="C259" s="2"/>
      <c r="D259" s="2"/>
      <c r="E259" s="464"/>
      <c r="F259" s="2"/>
      <c r="G259" s="2"/>
      <c r="H259" s="2"/>
      <c r="I259" s="2"/>
      <c r="J259" s="2"/>
      <c r="K259" s="2"/>
      <c r="L259" s="2"/>
      <c r="M259" s="2"/>
      <c r="N259" s="2"/>
      <c r="O259" s="2"/>
      <c r="P259" s="2"/>
      <c r="Q259" s="2"/>
      <c r="R259" s="255"/>
      <c r="S259" s="3"/>
      <c r="T259" s="3"/>
      <c r="U259" s="3"/>
      <c r="V259" s="3"/>
      <c r="W259" s="3"/>
      <c r="X259" s="3"/>
      <c r="Y259" s="3"/>
      <c r="Z259" s="3"/>
    </row>
    <row r="260" ht="15.75" customHeight="1">
      <c r="A260" s="3"/>
      <c r="B260" s="2"/>
      <c r="C260" s="2"/>
      <c r="D260" s="2"/>
      <c r="E260" s="464"/>
      <c r="F260" s="2"/>
      <c r="G260" s="2"/>
      <c r="H260" s="2"/>
      <c r="I260" s="2"/>
      <c r="J260" s="2"/>
      <c r="K260" s="2"/>
      <c r="L260" s="2"/>
      <c r="M260" s="2"/>
      <c r="N260" s="2"/>
      <c r="O260" s="2"/>
      <c r="P260" s="2"/>
      <c r="Q260" s="2"/>
      <c r="R260" s="255"/>
      <c r="S260" s="3"/>
      <c r="T260" s="3"/>
      <c r="U260" s="3"/>
      <c r="V260" s="3"/>
      <c r="W260" s="3"/>
      <c r="X260" s="3"/>
      <c r="Y260" s="3"/>
      <c r="Z260" s="3"/>
    </row>
    <row r="261" ht="15.75" customHeight="1">
      <c r="A261" s="3"/>
      <c r="B261" s="2"/>
      <c r="C261" s="2"/>
      <c r="D261" s="2"/>
      <c r="E261" s="464"/>
      <c r="F261" s="2"/>
      <c r="G261" s="2"/>
      <c r="H261" s="2"/>
      <c r="I261" s="2"/>
      <c r="J261" s="2"/>
      <c r="K261" s="2"/>
      <c r="L261" s="2"/>
      <c r="M261" s="2"/>
      <c r="N261" s="2"/>
      <c r="O261" s="2"/>
      <c r="P261" s="2"/>
      <c r="Q261" s="2"/>
      <c r="R261" s="255"/>
      <c r="S261" s="3"/>
      <c r="T261" s="3"/>
      <c r="U261" s="3"/>
      <c r="V261" s="3"/>
      <c r="W261" s="3"/>
      <c r="X261" s="3"/>
      <c r="Y261" s="3"/>
      <c r="Z261" s="3"/>
    </row>
    <row r="262" ht="15.75" customHeight="1">
      <c r="A262" s="3"/>
      <c r="B262" s="2"/>
      <c r="C262" s="2"/>
      <c r="D262" s="2"/>
      <c r="E262" s="464"/>
      <c r="F262" s="2"/>
      <c r="G262" s="2"/>
      <c r="H262" s="2"/>
      <c r="I262" s="2"/>
      <c r="J262" s="2"/>
      <c r="K262" s="2"/>
      <c r="L262" s="2"/>
      <c r="M262" s="2"/>
      <c r="N262" s="2"/>
      <c r="O262" s="2"/>
      <c r="P262" s="2"/>
      <c r="Q262" s="2"/>
      <c r="R262" s="255"/>
      <c r="S262" s="3"/>
      <c r="T262" s="3"/>
      <c r="U262" s="3"/>
      <c r="V262" s="3"/>
      <c r="W262" s="3"/>
      <c r="X262" s="3"/>
      <c r="Y262" s="3"/>
      <c r="Z262" s="3"/>
    </row>
    <row r="263" ht="15.75" customHeight="1">
      <c r="A263" s="3"/>
      <c r="B263" s="2"/>
      <c r="C263" s="2"/>
      <c r="D263" s="2"/>
      <c r="E263" s="464"/>
      <c r="F263" s="2"/>
      <c r="G263" s="2"/>
      <c r="H263" s="2"/>
      <c r="I263" s="2"/>
      <c r="J263" s="2"/>
      <c r="K263" s="2"/>
      <c r="L263" s="2"/>
      <c r="M263" s="2"/>
      <c r="N263" s="2"/>
      <c r="O263" s="2"/>
      <c r="P263" s="2"/>
      <c r="Q263" s="2"/>
      <c r="R263" s="255"/>
      <c r="S263" s="3"/>
      <c r="T263" s="3"/>
      <c r="U263" s="3"/>
      <c r="V263" s="3"/>
      <c r="W263" s="3"/>
      <c r="X263" s="3"/>
      <c r="Y263" s="3"/>
      <c r="Z263" s="3"/>
    </row>
    <row r="264" ht="15.75" customHeight="1">
      <c r="A264" s="3"/>
      <c r="B264" s="2"/>
      <c r="C264" s="2"/>
      <c r="D264" s="2"/>
      <c r="E264" s="464"/>
      <c r="F264" s="2"/>
      <c r="G264" s="2"/>
      <c r="H264" s="2"/>
      <c r="I264" s="2"/>
      <c r="J264" s="2"/>
      <c r="K264" s="2"/>
      <c r="L264" s="2"/>
      <c r="M264" s="2"/>
      <c r="N264" s="2"/>
      <c r="O264" s="2"/>
      <c r="P264" s="2"/>
      <c r="Q264" s="2"/>
      <c r="R264" s="255"/>
      <c r="S264" s="3"/>
      <c r="T264" s="3"/>
      <c r="U264" s="3"/>
      <c r="V264" s="3"/>
      <c r="W264" s="3"/>
      <c r="X264" s="3"/>
      <c r="Y264" s="3"/>
      <c r="Z264" s="3"/>
    </row>
    <row r="265" ht="15.75" customHeight="1">
      <c r="A265" s="3"/>
      <c r="B265" s="2"/>
      <c r="C265" s="2"/>
      <c r="D265" s="2"/>
      <c r="E265" s="464"/>
      <c r="F265" s="2"/>
      <c r="G265" s="2"/>
      <c r="H265" s="2"/>
      <c r="I265" s="2"/>
      <c r="J265" s="2"/>
      <c r="K265" s="2"/>
      <c r="L265" s="2"/>
      <c r="M265" s="2"/>
      <c r="N265" s="2"/>
      <c r="O265" s="2"/>
      <c r="P265" s="2"/>
      <c r="Q265" s="2"/>
      <c r="R265" s="255"/>
      <c r="S265" s="3"/>
      <c r="T265" s="3"/>
      <c r="U265" s="3"/>
      <c r="V265" s="3"/>
      <c r="W265" s="3"/>
      <c r="X265" s="3"/>
      <c r="Y265" s="3"/>
      <c r="Z265" s="3"/>
    </row>
    <row r="266" ht="15.75" customHeight="1">
      <c r="A266" s="3"/>
      <c r="B266" s="2"/>
      <c r="C266" s="2"/>
      <c r="D266" s="2"/>
      <c r="E266" s="464"/>
      <c r="F266" s="2"/>
      <c r="G266" s="2"/>
      <c r="H266" s="2"/>
      <c r="I266" s="2"/>
      <c r="J266" s="2"/>
      <c r="K266" s="2"/>
      <c r="L266" s="2"/>
      <c r="M266" s="2"/>
      <c r="N266" s="2"/>
      <c r="O266" s="2"/>
      <c r="P266" s="2"/>
      <c r="Q266" s="2"/>
      <c r="R266" s="255"/>
      <c r="S266" s="3"/>
      <c r="T266" s="3"/>
      <c r="U266" s="3"/>
      <c r="V266" s="3"/>
      <c r="W266" s="3"/>
      <c r="X266" s="3"/>
      <c r="Y266" s="3"/>
      <c r="Z266" s="3"/>
    </row>
    <row r="267" ht="15.75" customHeight="1">
      <c r="A267" s="3"/>
      <c r="B267" s="2"/>
      <c r="C267" s="2"/>
      <c r="D267" s="2"/>
      <c r="E267" s="464"/>
      <c r="F267" s="2"/>
      <c r="G267" s="2"/>
      <c r="H267" s="2"/>
      <c r="I267" s="2"/>
      <c r="J267" s="2"/>
      <c r="K267" s="2"/>
      <c r="L267" s="2"/>
      <c r="M267" s="2"/>
      <c r="N267" s="2"/>
      <c r="O267" s="2"/>
      <c r="P267" s="2"/>
      <c r="Q267" s="2"/>
      <c r="R267" s="255"/>
      <c r="S267" s="3"/>
      <c r="T267" s="3"/>
      <c r="U267" s="3"/>
      <c r="V267" s="3"/>
      <c r="W267" s="3"/>
      <c r="X267" s="3"/>
      <c r="Y267" s="3"/>
      <c r="Z267" s="3"/>
    </row>
    <row r="268" ht="15.75" customHeight="1">
      <c r="A268" s="3"/>
      <c r="B268" s="2"/>
      <c r="C268" s="2"/>
      <c r="D268" s="2"/>
      <c r="E268" s="464"/>
      <c r="F268" s="2"/>
      <c r="G268" s="2"/>
      <c r="H268" s="2"/>
      <c r="I268" s="2"/>
      <c r="J268" s="2"/>
      <c r="K268" s="2"/>
      <c r="L268" s="2"/>
      <c r="M268" s="2"/>
      <c r="N268" s="2"/>
      <c r="O268" s="2"/>
      <c r="P268" s="2"/>
      <c r="Q268" s="2"/>
      <c r="R268" s="255"/>
      <c r="S268" s="3"/>
      <c r="T268" s="3"/>
      <c r="U268" s="3"/>
      <c r="V268" s="3"/>
      <c r="W268" s="3"/>
      <c r="X268" s="3"/>
      <c r="Y268" s="3"/>
      <c r="Z268" s="3"/>
    </row>
    <row r="269" ht="15.75" customHeight="1">
      <c r="A269" s="3"/>
      <c r="B269" s="2"/>
      <c r="C269" s="2"/>
      <c r="D269" s="2"/>
      <c r="E269" s="464"/>
      <c r="F269" s="2"/>
      <c r="G269" s="2"/>
      <c r="H269" s="2"/>
      <c r="I269" s="2"/>
      <c r="J269" s="2"/>
      <c r="K269" s="2"/>
      <c r="L269" s="2"/>
      <c r="M269" s="2"/>
      <c r="N269" s="2"/>
      <c r="O269" s="2"/>
      <c r="P269" s="2"/>
      <c r="Q269" s="2"/>
      <c r="R269" s="255"/>
      <c r="S269" s="3"/>
      <c r="T269" s="3"/>
      <c r="U269" s="3"/>
      <c r="V269" s="3"/>
      <c r="W269" s="3"/>
      <c r="X269" s="3"/>
      <c r="Y269" s="3"/>
      <c r="Z269" s="3"/>
    </row>
    <row r="270" ht="15.75" customHeight="1">
      <c r="A270" s="3"/>
      <c r="B270" s="2"/>
      <c r="C270" s="2"/>
      <c r="D270" s="2"/>
      <c r="E270" s="464"/>
      <c r="F270" s="2"/>
      <c r="G270" s="2"/>
      <c r="H270" s="2"/>
      <c r="I270" s="2"/>
      <c r="J270" s="2"/>
      <c r="K270" s="2"/>
      <c r="L270" s="2"/>
      <c r="M270" s="2"/>
      <c r="N270" s="2"/>
      <c r="O270" s="2"/>
      <c r="P270" s="2"/>
      <c r="Q270" s="2"/>
      <c r="R270" s="255"/>
      <c r="S270" s="3"/>
      <c r="T270" s="3"/>
      <c r="U270" s="3"/>
      <c r="V270" s="3"/>
      <c r="W270" s="3"/>
      <c r="X270" s="3"/>
      <c r="Y270" s="3"/>
      <c r="Z270" s="3"/>
    </row>
    <row r="271" ht="15.75" customHeight="1">
      <c r="A271" s="3"/>
      <c r="B271" s="2"/>
      <c r="C271" s="2"/>
      <c r="D271" s="2"/>
      <c r="E271" s="464"/>
      <c r="F271" s="2"/>
      <c r="G271" s="2"/>
      <c r="H271" s="2"/>
      <c r="I271" s="2"/>
      <c r="J271" s="2"/>
      <c r="K271" s="2"/>
      <c r="L271" s="2"/>
      <c r="M271" s="2"/>
      <c r="N271" s="2"/>
      <c r="O271" s="2"/>
      <c r="P271" s="2"/>
      <c r="Q271" s="2"/>
      <c r="R271" s="255"/>
      <c r="S271" s="3"/>
      <c r="T271" s="3"/>
      <c r="U271" s="3"/>
      <c r="V271" s="3"/>
      <c r="W271" s="3"/>
      <c r="X271" s="3"/>
      <c r="Y271" s="3"/>
      <c r="Z271" s="3"/>
    </row>
    <row r="272" ht="15.75" customHeight="1">
      <c r="A272" s="3"/>
      <c r="B272" s="2"/>
      <c r="C272" s="2"/>
      <c r="D272" s="2"/>
      <c r="E272" s="464"/>
      <c r="F272" s="2"/>
      <c r="G272" s="2"/>
      <c r="H272" s="2"/>
      <c r="I272" s="2"/>
      <c r="J272" s="2"/>
      <c r="K272" s="2"/>
      <c r="L272" s="2"/>
      <c r="M272" s="2"/>
      <c r="N272" s="2"/>
      <c r="O272" s="2"/>
      <c r="P272" s="2"/>
      <c r="Q272" s="2"/>
      <c r="R272" s="255"/>
      <c r="S272" s="3"/>
      <c r="T272" s="3"/>
      <c r="U272" s="3"/>
      <c r="V272" s="3"/>
      <c r="W272" s="3"/>
      <c r="X272" s="3"/>
      <c r="Y272" s="3"/>
      <c r="Z272" s="3"/>
    </row>
    <row r="273" ht="15.75" customHeight="1">
      <c r="A273" s="3"/>
      <c r="B273" s="2"/>
      <c r="C273" s="2"/>
      <c r="D273" s="2"/>
      <c r="E273" s="464"/>
      <c r="F273" s="2"/>
      <c r="G273" s="2"/>
      <c r="H273" s="2"/>
      <c r="I273" s="2"/>
      <c r="J273" s="2"/>
      <c r="K273" s="2"/>
      <c r="L273" s="2"/>
      <c r="M273" s="2"/>
      <c r="N273" s="2"/>
      <c r="O273" s="2"/>
      <c r="P273" s="2"/>
      <c r="Q273" s="2"/>
      <c r="R273" s="255"/>
      <c r="S273" s="3"/>
      <c r="T273" s="3"/>
      <c r="U273" s="3"/>
      <c r="V273" s="3"/>
      <c r="W273" s="3"/>
      <c r="X273" s="3"/>
      <c r="Y273" s="3"/>
      <c r="Z273" s="3"/>
    </row>
    <row r="274" ht="15.75" customHeight="1">
      <c r="A274" s="3"/>
      <c r="B274" s="2"/>
      <c r="C274" s="2"/>
      <c r="D274" s="2"/>
      <c r="E274" s="464"/>
      <c r="F274" s="2"/>
      <c r="G274" s="2"/>
      <c r="H274" s="2"/>
      <c r="I274" s="2"/>
      <c r="J274" s="2"/>
      <c r="K274" s="2"/>
      <c r="L274" s="2"/>
      <c r="M274" s="2"/>
      <c r="N274" s="2"/>
      <c r="O274" s="2"/>
      <c r="P274" s="2"/>
      <c r="Q274" s="2"/>
      <c r="R274" s="255"/>
      <c r="S274" s="3"/>
      <c r="T274" s="3"/>
      <c r="U274" s="3"/>
      <c r="V274" s="3"/>
      <c r="W274" s="3"/>
      <c r="X274" s="3"/>
      <c r="Y274" s="3"/>
      <c r="Z274" s="3"/>
    </row>
    <row r="275" ht="15.75" customHeight="1">
      <c r="A275" s="3"/>
      <c r="B275" s="2"/>
      <c r="C275" s="2"/>
      <c r="D275" s="2"/>
      <c r="E275" s="464"/>
      <c r="F275" s="2"/>
      <c r="G275" s="2"/>
      <c r="H275" s="2"/>
      <c r="I275" s="2"/>
      <c r="J275" s="2"/>
      <c r="K275" s="2"/>
      <c r="L275" s="2"/>
      <c r="M275" s="2"/>
      <c r="N275" s="2"/>
      <c r="O275" s="2"/>
      <c r="P275" s="2"/>
      <c r="Q275" s="2"/>
      <c r="R275" s="255"/>
      <c r="S275" s="3"/>
      <c r="T275" s="3"/>
      <c r="U275" s="3"/>
      <c r="V275" s="3"/>
      <c r="W275" s="3"/>
      <c r="X275" s="3"/>
      <c r="Y275" s="3"/>
      <c r="Z275" s="3"/>
    </row>
    <row r="276" ht="15.75" customHeight="1">
      <c r="A276" s="3"/>
      <c r="B276" s="2"/>
      <c r="C276" s="2"/>
      <c r="D276" s="2"/>
      <c r="E276" s="464"/>
      <c r="F276" s="2"/>
      <c r="G276" s="2"/>
      <c r="H276" s="2"/>
      <c r="I276" s="2"/>
      <c r="J276" s="2"/>
      <c r="K276" s="2"/>
      <c r="L276" s="2"/>
      <c r="M276" s="2"/>
      <c r="N276" s="2"/>
      <c r="O276" s="2"/>
      <c r="P276" s="2"/>
      <c r="Q276" s="2"/>
      <c r="R276" s="255"/>
      <c r="S276" s="3"/>
      <c r="T276" s="3"/>
      <c r="U276" s="3"/>
      <c r="V276" s="3"/>
      <c r="W276" s="3"/>
      <c r="X276" s="3"/>
      <c r="Y276" s="3"/>
      <c r="Z276" s="3"/>
    </row>
    <row r="277" ht="15.75" customHeight="1">
      <c r="A277" s="3"/>
      <c r="B277" s="2"/>
      <c r="C277" s="2"/>
      <c r="D277" s="2"/>
      <c r="E277" s="464"/>
      <c r="F277" s="2"/>
      <c r="G277" s="2"/>
      <c r="H277" s="2"/>
      <c r="I277" s="2"/>
      <c r="J277" s="2"/>
      <c r="K277" s="2"/>
      <c r="L277" s="2"/>
      <c r="M277" s="2"/>
      <c r="N277" s="2"/>
      <c r="O277" s="2"/>
      <c r="P277" s="2"/>
      <c r="Q277" s="2"/>
      <c r="R277" s="255"/>
      <c r="S277" s="3"/>
      <c r="T277" s="3"/>
      <c r="U277" s="3"/>
      <c r="V277" s="3"/>
      <c r="W277" s="3"/>
      <c r="X277" s="3"/>
      <c r="Y277" s="3"/>
      <c r="Z277" s="3"/>
    </row>
    <row r="278" ht="15.75" customHeight="1">
      <c r="A278" s="3"/>
      <c r="B278" s="2"/>
      <c r="C278" s="2"/>
      <c r="D278" s="2"/>
      <c r="E278" s="464"/>
      <c r="F278" s="2"/>
      <c r="G278" s="2"/>
      <c r="H278" s="2"/>
      <c r="I278" s="2"/>
      <c r="J278" s="2"/>
      <c r="K278" s="2"/>
      <c r="L278" s="2"/>
      <c r="M278" s="2"/>
      <c r="N278" s="2"/>
      <c r="O278" s="2"/>
      <c r="P278" s="2"/>
      <c r="Q278" s="2"/>
      <c r="R278" s="255"/>
      <c r="S278" s="3"/>
      <c r="T278" s="3"/>
      <c r="U278" s="3"/>
      <c r="V278" s="3"/>
      <c r="W278" s="3"/>
      <c r="X278" s="3"/>
      <c r="Y278" s="3"/>
      <c r="Z278" s="3"/>
    </row>
    <row r="279" ht="15.75" customHeight="1">
      <c r="A279" s="3"/>
      <c r="B279" s="2"/>
      <c r="C279" s="2"/>
      <c r="D279" s="2"/>
      <c r="E279" s="464"/>
      <c r="F279" s="2"/>
      <c r="G279" s="2"/>
      <c r="H279" s="2"/>
      <c r="I279" s="2"/>
      <c r="J279" s="2"/>
      <c r="K279" s="2"/>
      <c r="L279" s="2"/>
      <c r="M279" s="2"/>
      <c r="N279" s="2"/>
      <c r="O279" s="2"/>
      <c r="P279" s="2"/>
      <c r="Q279" s="2"/>
      <c r="R279" s="255"/>
      <c r="S279" s="3"/>
      <c r="T279" s="3"/>
      <c r="U279" s="3"/>
      <c r="V279" s="3"/>
      <c r="W279" s="3"/>
      <c r="X279" s="3"/>
      <c r="Y279" s="3"/>
      <c r="Z279" s="3"/>
    </row>
    <row r="280" ht="15.75" customHeight="1">
      <c r="A280" s="3"/>
      <c r="B280" s="2"/>
      <c r="C280" s="2"/>
      <c r="D280" s="2"/>
      <c r="E280" s="464"/>
      <c r="F280" s="2"/>
      <c r="G280" s="2"/>
      <c r="H280" s="2"/>
      <c r="I280" s="2"/>
      <c r="J280" s="2"/>
      <c r="K280" s="2"/>
      <c r="L280" s="2"/>
      <c r="M280" s="2"/>
      <c r="N280" s="2"/>
      <c r="O280" s="2"/>
      <c r="P280" s="2"/>
      <c r="Q280" s="2"/>
      <c r="R280" s="255"/>
      <c r="S280" s="3"/>
      <c r="T280" s="3"/>
      <c r="U280" s="3"/>
      <c r="V280" s="3"/>
      <c r="W280" s="3"/>
      <c r="X280" s="3"/>
      <c r="Y280" s="3"/>
      <c r="Z280" s="3"/>
    </row>
    <row r="281" ht="15.75" customHeight="1">
      <c r="A281" s="3"/>
      <c r="B281" s="2"/>
      <c r="C281" s="2"/>
      <c r="D281" s="2"/>
      <c r="E281" s="464"/>
      <c r="F281" s="2"/>
      <c r="G281" s="2"/>
      <c r="H281" s="2"/>
      <c r="I281" s="2"/>
      <c r="J281" s="2"/>
      <c r="K281" s="2"/>
      <c r="L281" s="2"/>
      <c r="M281" s="2"/>
      <c r="N281" s="2"/>
      <c r="O281" s="2"/>
      <c r="P281" s="2"/>
      <c r="Q281" s="2"/>
      <c r="R281" s="255"/>
      <c r="S281" s="3"/>
      <c r="T281" s="3"/>
      <c r="U281" s="3"/>
      <c r="V281" s="3"/>
      <c r="W281" s="3"/>
      <c r="X281" s="3"/>
      <c r="Y281" s="3"/>
      <c r="Z281" s="3"/>
    </row>
    <row r="282" ht="15.75" customHeight="1">
      <c r="A282" s="3"/>
      <c r="B282" s="2"/>
      <c r="C282" s="2"/>
      <c r="D282" s="2"/>
      <c r="E282" s="464"/>
      <c r="F282" s="2"/>
      <c r="G282" s="2"/>
      <c r="H282" s="2"/>
      <c r="I282" s="2"/>
      <c r="J282" s="2"/>
      <c r="K282" s="2"/>
      <c r="L282" s="2"/>
      <c r="M282" s="2"/>
      <c r="N282" s="2"/>
      <c r="O282" s="2"/>
      <c r="P282" s="2"/>
      <c r="Q282" s="2"/>
      <c r="R282" s="255"/>
      <c r="S282" s="3"/>
      <c r="T282" s="3"/>
      <c r="U282" s="3"/>
      <c r="V282" s="3"/>
      <c r="W282" s="3"/>
      <c r="X282" s="3"/>
      <c r="Y282" s="3"/>
      <c r="Z282" s="3"/>
    </row>
    <row r="283" ht="15.75" customHeight="1">
      <c r="A283" s="3"/>
      <c r="B283" s="2"/>
      <c r="C283" s="2"/>
      <c r="D283" s="2"/>
      <c r="E283" s="464"/>
      <c r="F283" s="2"/>
      <c r="G283" s="2"/>
      <c r="H283" s="2"/>
      <c r="I283" s="2"/>
      <c r="J283" s="2"/>
      <c r="K283" s="2"/>
      <c r="L283" s="2"/>
      <c r="M283" s="2"/>
      <c r="N283" s="2"/>
      <c r="O283" s="2"/>
      <c r="P283" s="2"/>
      <c r="Q283" s="2"/>
      <c r="R283" s="255"/>
      <c r="S283" s="3"/>
      <c r="T283" s="3"/>
      <c r="U283" s="3"/>
      <c r="V283" s="3"/>
      <c r="W283" s="3"/>
      <c r="X283" s="3"/>
      <c r="Y283" s="3"/>
      <c r="Z283" s="3"/>
    </row>
    <row r="284" ht="15.75" customHeight="1">
      <c r="A284" s="3"/>
      <c r="B284" s="2"/>
      <c r="C284" s="2"/>
      <c r="D284" s="2"/>
      <c r="E284" s="464"/>
      <c r="F284" s="2"/>
      <c r="G284" s="2"/>
      <c r="H284" s="2"/>
      <c r="I284" s="2"/>
      <c r="J284" s="2"/>
      <c r="K284" s="2"/>
      <c r="L284" s="2"/>
      <c r="M284" s="2"/>
      <c r="N284" s="2"/>
      <c r="O284" s="2"/>
      <c r="P284" s="2"/>
      <c r="Q284" s="2"/>
      <c r="R284" s="255"/>
      <c r="S284" s="3"/>
      <c r="T284" s="3"/>
      <c r="U284" s="3"/>
      <c r="V284" s="3"/>
      <c r="W284" s="3"/>
      <c r="X284" s="3"/>
      <c r="Y284" s="3"/>
      <c r="Z284" s="3"/>
    </row>
    <row r="285" ht="15.75" customHeight="1">
      <c r="A285" s="3"/>
      <c r="B285" s="2"/>
      <c r="C285" s="2"/>
      <c r="D285" s="2"/>
      <c r="E285" s="464"/>
      <c r="F285" s="2"/>
      <c r="G285" s="2"/>
      <c r="H285" s="2"/>
      <c r="I285" s="2"/>
      <c r="J285" s="2"/>
      <c r="K285" s="2"/>
      <c r="L285" s="2"/>
      <c r="M285" s="2"/>
      <c r="N285" s="2"/>
      <c r="O285" s="2"/>
      <c r="P285" s="2"/>
      <c r="Q285" s="2"/>
      <c r="R285" s="255"/>
      <c r="S285" s="3"/>
      <c r="T285" s="3"/>
      <c r="U285" s="3"/>
      <c r="V285" s="3"/>
      <c r="W285" s="3"/>
      <c r="X285" s="3"/>
      <c r="Y285" s="3"/>
      <c r="Z285" s="3"/>
    </row>
    <row r="286" ht="15.75" customHeight="1">
      <c r="A286" s="3"/>
      <c r="B286" s="2"/>
      <c r="C286" s="2"/>
      <c r="D286" s="2"/>
      <c r="E286" s="464"/>
      <c r="F286" s="2"/>
      <c r="G286" s="2"/>
      <c r="H286" s="2"/>
      <c r="I286" s="2"/>
      <c r="J286" s="2"/>
      <c r="K286" s="2"/>
      <c r="L286" s="2"/>
      <c r="M286" s="2"/>
      <c r="N286" s="2"/>
      <c r="O286" s="2"/>
      <c r="P286" s="2"/>
      <c r="Q286" s="2"/>
      <c r="R286" s="255"/>
      <c r="S286" s="3"/>
      <c r="T286" s="3"/>
      <c r="U286" s="3"/>
      <c r="V286" s="3"/>
      <c r="W286" s="3"/>
      <c r="X286" s="3"/>
      <c r="Y286" s="3"/>
      <c r="Z286" s="3"/>
    </row>
    <row r="287" ht="15.75" customHeight="1">
      <c r="A287" s="3"/>
      <c r="B287" s="2"/>
      <c r="C287" s="2"/>
      <c r="D287" s="2"/>
      <c r="E287" s="464"/>
      <c r="F287" s="2"/>
      <c r="G287" s="2"/>
      <c r="H287" s="2"/>
      <c r="I287" s="2"/>
      <c r="J287" s="2"/>
      <c r="K287" s="2"/>
      <c r="L287" s="2"/>
      <c r="M287" s="2"/>
      <c r="N287" s="2"/>
      <c r="O287" s="2"/>
      <c r="P287" s="2"/>
      <c r="Q287" s="2"/>
      <c r="R287" s="255"/>
      <c r="S287" s="3"/>
      <c r="T287" s="3"/>
      <c r="U287" s="3"/>
      <c r="V287" s="3"/>
      <c r="W287" s="3"/>
      <c r="X287" s="3"/>
      <c r="Y287" s="3"/>
      <c r="Z287" s="3"/>
    </row>
    <row r="288" ht="15.75" customHeight="1">
      <c r="A288" s="3"/>
      <c r="B288" s="2"/>
      <c r="C288" s="2"/>
      <c r="D288" s="2"/>
      <c r="E288" s="464"/>
      <c r="F288" s="2"/>
      <c r="G288" s="2"/>
      <c r="H288" s="2"/>
      <c r="I288" s="2"/>
      <c r="J288" s="2"/>
      <c r="K288" s="2"/>
      <c r="L288" s="2"/>
      <c r="M288" s="2"/>
      <c r="N288" s="2"/>
      <c r="O288" s="2"/>
      <c r="P288" s="2"/>
      <c r="Q288" s="2"/>
      <c r="R288" s="255"/>
      <c r="S288" s="3"/>
      <c r="T288" s="3"/>
      <c r="U288" s="3"/>
      <c r="V288" s="3"/>
      <c r="W288" s="3"/>
      <c r="X288" s="3"/>
      <c r="Y288" s="3"/>
      <c r="Z288" s="3"/>
    </row>
    <row r="289" ht="15.75" customHeight="1">
      <c r="A289" s="3"/>
      <c r="B289" s="2"/>
      <c r="C289" s="2"/>
      <c r="D289" s="2"/>
      <c r="E289" s="464"/>
      <c r="F289" s="2"/>
      <c r="G289" s="2"/>
      <c r="H289" s="2"/>
      <c r="I289" s="2"/>
      <c r="J289" s="2"/>
      <c r="K289" s="2"/>
      <c r="L289" s="2"/>
      <c r="M289" s="2"/>
      <c r="N289" s="2"/>
      <c r="O289" s="2"/>
      <c r="P289" s="2"/>
      <c r="Q289" s="2"/>
      <c r="R289" s="255"/>
      <c r="S289" s="3"/>
      <c r="T289" s="3"/>
      <c r="U289" s="3"/>
      <c r="V289" s="3"/>
      <c r="W289" s="3"/>
      <c r="X289" s="3"/>
      <c r="Y289" s="3"/>
      <c r="Z289" s="3"/>
    </row>
    <row r="290" ht="15.75" customHeight="1">
      <c r="A290" s="3"/>
      <c r="B290" s="2"/>
      <c r="C290" s="2"/>
      <c r="D290" s="2"/>
      <c r="E290" s="464"/>
      <c r="F290" s="2"/>
      <c r="G290" s="2"/>
      <c r="H290" s="2"/>
      <c r="I290" s="2"/>
      <c r="J290" s="2"/>
      <c r="K290" s="2"/>
      <c r="L290" s="2"/>
      <c r="M290" s="2"/>
      <c r="N290" s="2"/>
      <c r="O290" s="2"/>
      <c r="P290" s="2"/>
      <c r="Q290" s="2"/>
      <c r="R290" s="255"/>
      <c r="S290" s="3"/>
      <c r="T290" s="3"/>
      <c r="U290" s="3"/>
      <c r="V290" s="3"/>
      <c r="W290" s="3"/>
      <c r="X290" s="3"/>
      <c r="Y290" s="3"/>
      <c r="Z290" s="3"/>
    </row>
    <row r="291" ht="15.75" customHeight="1">
      <c r="A291" s="3"/>
      <c r="B291" s="2"/>
      <c r="C291" s="2"/>
      <c r="D291" s="2"/>
      <c r="E291" s="464"/>
      <c r="F291" s="2"/>
      <c r="G291" s="2"/>
      <c r="H291" s="2"/>
      <c r="I291" s="2"/>
      <c r="J291" s="2"/>
      <c r="K291" s="2"/>
      <c r="L291" s="2"/>
      <c r="M291" s="2"/>
      <c r="N291" s="2"/>
      <c r="O291" s="2"/>
      <c r="P291" s="2"/>
      <c r="Q291" s="2"/>
      <c r="R291" s="255"/>
      <c r="S291" s="3"/>
      <c r="T291" s="3"/>
      <c r="U291" s="3"/>
      <c r="V291" s="3"/>
      <c r="W291" s="3"/>
      <c r="X291" s="3"/>
      <c r="Y291" s="3"/>
      <c r="Z291" s="3"/>
    </row>
    <row r="292" ht="15.75" customHeight="1">
      <c r="A292" s="3"/>
      <c r="B292" s="2"/>
      <c r="C292" s="2"/>
      <c r="D292" s="2"/>
      <c r="E292" s="464"/>
      <c r="F292" s="2"/>
      <c r="G292" s="2"/>
      <c r="H292" s="2"/>
      <c r="I292" s="2"/>
      <c r="J292" s="2"/>
      <c r="K292" s="2"/>
      <c r="L292" s="2"/>
      <c r="M292" s="2"/>
      <c r="N292" s="2"/>
      <c r="O292" s="2"/>
      <c r="P292" s="2"/>
      <c r="Q292" s="2"/>
      <c r="R292" s="255"/>
      <c r="S292" s="3"/>
      <c r="T292" s="3"/>
      <c r="U292" s="3"/>
      <c r="V292" s="3"/>
      <c r="W292" s="3"/>
      <c r="X292" s="3"/>
      <c r="Y292" s="3"/>
      <c r="Z292" s="3"/>
    </row>
    <row r="293" ht="15.75" customHeight="1">
      <c r="A293" s="3"/>
      <c r="B293" s="2"/>
      <c r="C293" s="2"/>
      <c r="D293" s="2"/>
      <c r="E293" s="464"/>
      <c r="F293" s="2"/>
      <c r="G293" s="2"/>
      <c r="H293" s="2"/>
      <c r="I293" s="2"/>
      <c r="J293" s="2"/>
      <c r="K293" s="2"/>
      <c r="L293" s="2"/>
      <c r="M293" s="2"/>
      <c r="N293" s="2"/>
      <c r="O293" s="2"/>
      <c r="P293" s="2"/>
      <c r="Q293" s="2"/>
      <c r="R293" s="255"/>
      <c r="S293" s="3"/>
      <c r="T293" s="3"/>
      <c r="U293" s="3"/>
      <c r="V293" s="3"/>
      <c r="W293" s="3"/>
      <c r="X293" s="3"/>
      <c r="Y293" s="3"/>
      <c r="Z293" s="3"/>
    </row>
    <row r="294" ht="15.75" customHeight="1">
      <c r="A294" s="3"/>
      <c r="B294" s="2"/>
      <c r="C294" s="2"/>
      <c r="D294" s="2"/>
      <c r="E294" s="464"/>
      <c r="F294" s="2"/>
      <c r="G294" s="2"/>
      <c r="H294" s="2"/>
      <c r="I294" s="2"/>
      <c r="J294" s="2"/>
      <c r="K294" s="2"/>
      <c r="L294" s="2"/>
      <c r="M294" s="2"/>
      <c r="N294" s="2"/>
      <c r="O294" s="2"/>
      <c r="P294" s="2"/>
      <c r="Q294" s="2"/>
      <c r="R294" s="255"/>
      <c r="S294" s="3"/>
      <c r="T294" s="3"/>
      <c r="U294" s="3"/>
      <c r="V294" s="3"/>
      <c r="W294" s="3"/>
      <c r="X294" s="3"/>
      <c r="Y294" s="3"/>
      <c r="Z294" s="3"/>
    </row>
    <row r="295" ht="15.75" customHeight="1">
      <c r="A295" s="3"/>
      <c r="B295" s="2"/>
      <c r="C295" s="2"/>
      <c r="D295" s="2"/>
      <c r="E295" s="464"/>
      <c r="F295" s="2"/>
      <c r="G295" s="2"/>
      <c r="H295" s="2"/>
      <c r="I295" s="2"/>
      <c r="J295" s="2"/>
      <c r="K295" s="2"/>
      <c r="L295" s="2"/>
      <c r="M295" s="2"/>
      <c r="N295" s="2"/>
      <c r="O295" s="2"/>
      <c r="P295" s="2"/>
      <c r="Q295" s="2"/>
      <c r="R295" s="255"/>
      <c r="S295" s="3"/>
      <c r="T295" s="3"/>
      <c r="U295" s="3"/>
      <c r="V295" s="3"/>
      <c r="W295" s="3"/>
      <c r="X295" s="3"/>
      <c r="Y295" s="3"/>
      <c r="Z295" s="3"/>
    </row>
    <row r="296" ht="15.75" customHeight="1">
      <c r="A296" s="3"/>
      <c r="B296" s="2"/>
      <c r="C296" s="2"/>
      <c r="D296" s="2"/>
      <c r="E296" s="464"/>
      <c r="F296" s="2"/>
      <c r="G296" s="2"/>
      <c r="H296" s="2"/>
      <c r="I296" s="2"/>
      <c r="J296" s="2"/>
      <c r="K296" s="2"/>
      <c r="L296" s="2"/>
      <c r="M296" s="2"/>
      <c r="N296" s="2"/>
      <c r="O296" s="2"/>
      <c r="P296" s="2"/>
      <c r="Q296" s="2"/>
      <c r="R296" s="255"/>
      <c r="S296" s="3"/>
      <c r="T296" s="3"/>
      <c r="U296" s="3"/>
      <c r="V296" s="3"/>
      <c r="W296" s="3"/>
      <c r="X296" s="3"/>
      <c r="Y296" s="3"/>
      <c r="Z296" s="3"/>
    </row>
    <row r="297" ht="15.75" customHeight="1">
      <c r="A297" s="3"/>
      <c r="B297" s="2"/>
      <c r="C297" s="2"/>
      <c r="D297" s="2"/>
      <c r="E297" s="464"/>
      <c r="F297" s="2"/>
      <c r="G297" s="2"/>
      <c r="H297" s="2"/>
      <c r="I297" s="2"/>
      <c r="J297" s="2"/>
      <c r="K297" s="2"/>
      <c r="L297" s="2"/>
      <c r="M297" s="2"/>
      <c r="N297" s="2"/>
      <c r="O297" s="2"/>
      <c r="P297" s="2"/>
      <c r="Q297" s="2"/>
      <c r="R297" s="255"/>
      <c r="S297" s="3"/>
      <c r="T297" s="3"/>
      <c r="U297" s="3"/>
      <c r="V297" s="3"/>
      <c r="W297" s="3"/>
      <c r="X297" s="3"/>
      <c r="Y297" s="3"/>
      <c r="Z297" s="3"/>
    </row>
    <row r="298" ht="15.75" customHeight="1">
      <c r="A298" s="3"/>
      <c r="B298" s="2"/>
      <c r="C298" s="2"/>
      <c r="D298" s="2"/>
      <c r="E298" s="464"/>
      <c r="F298" s="2"/>
      <c r="G298" s="2"/>
      <c r="H298" s="2"/>
      <c r="I298" s="2"/>
      <c r="J298" s="2"/>
      <c r="K298" s="2"/>
      <c r="L298" s="2"/>
      <c r="M298" s="2"/>
      <c r="N298" s="2"/>
      <c r="O298" s="2"/>
      <c r="P298" s="2"/>
      <c r="Q298" s="2"/>
      <c r="R298" s="255"/>
      <c r="S298" s="3"/>
      <c r="T298" s="3"/>
      <c r="U298" s="3"/>
      <c r="V298" s="3"/>
      <c r="W298" s="3"/>
      <c r="X298" s="3"/>
      <c r="Y298" s="3"/>
      <c r="Z298" s="3"/>
    </row>
    <row r="299" ht="15.75" customHeight="1">
      <c r="A299" s="3"/>
      <c r="B299" s="2"/>
      <c r="C299" s="2"/>
      <c r="D299" s="2"/>
      <c r="E299" s="464"/>
      <c r="F299" s="2"/>
      <c r="G299" s="2"/>
      <c r="H299" s="2"/>
      <c r="I299" s="2"/>
      <c r="J299" s="2"/>
      <c r="K299" s="2"/>
      <c r="L299" s="2"/>
      <c r="M299" s="2"/>
      <c r="N299" s="2"/>
      <c r="O299" s="2"/>
      <c r="P299" s="2"/>
      <c r="Q299" s="2"/>
      <c r="R299" s="255"/>
      <c r="S299" s="3"/>
      <c r="T299" s="3"/>
      <c r="U299" s="3"/>
      <c r="V299" s="3"/>
      <c r="W299" s="3"/>
      <c r="X299" s="3"/>
      <c r="Y299" s="3"/>
      <c r="Z299" s="3"/>
    </row>
    <row r="300" ht="15.75" customHeight="1">
      <c r="A300" s="3"/>
      <c r="B300" s="2"/>
      <c r="C300" s="2"/>
      <c r="D300" s="2"/>
      <c r="E300" s="464"/>
      <c r="F300" s="2"/>
      <c r="G300" s="2"/>
      <c r="H300" s="2"/>
      <c r="I300" s="2"/>
      <c r="J300" s="2"/>
      <c r="K300" s="2"/>
      <c r="L300" s="2"/>
      <c r="M300" s="2"/>
      <c r="N300" s="2"/>
      <c r="O300" s="2"/>
      <c r="P300" s="2"/>
      <c r="Q300" s="2"/>
      <c r="R300" s="255"/>
      <c r="S300" s="3"/>
      <c r="T300" s="3"/>
      <c r="U300" s="3"/>
      <c r="V300" s="3"/>
      <c r="W300" s="3"/>
      <c r="X300" s="3"/>
      <c r="Y300" s="3"/>
      <c r="Z300" s="3"/>
    </row>
    <row r="301" ht="15.75" customHeight="1">
      <c r="A301" s="3"/>
      <c r="B301" s="2"/>
      <c r="C301" s="2"/>
      <c r="D301" s="2"/>
      <c r="E301" s="464"/>
      <c r="F301" s="2"/>
      <c r="G301" s="2"/>
      <c r="H301" s="2"/>
      <c r="I301" s="2"/>
      <c r="J301" s="2"/>
      <c r="K301" s="2"/>
      <c r="L301" s="2"/>
      <c r="M301" s="2"/>
      <c r="N301" s="2"/>
      <c r="O301" s="2"/>
      <c r="P301" s="2"/>
      <c r="Q301" s="2"/>
      <c r="R301" s="255"/>
      <c r="S301" s="3"/>
      <c r="T301" s="3"/>
      <c r="U301" s="3"/>
      <c r="V301" s="3"/>
      <c r="W301" s="3"/>
      <c r="X301" s="3"/>
      <c r="Y301" s="3"/>
      <c r="Z301" s="3"/>
    </row>
    <row r="302" ht="15.75" customHeight="1">
      <c r="A302" s="3"/>
      <c r="B302" s="2"/>
      <c r="C302" s="2"/>
      <c r="D302" s="2"/>
      <c r="E302" s="464"/>
      <c r="F302" s="2"/>
      <c r="G302" s="2"/>
      <c r="H302" s="2"/>
      <c r="I302" s="2"/>
      <c r="J302" s="2"/>
      <c r="K302" s="2"/>
      <c r="L302" s="2"/>
      <c r="M302" s="2"/>
      <c r="N302" s="2"/>
      <c r="O302" s="2"/>
      <c r="P302" s="2"/>
      <c r="Q302" s="2"/>
      <c r="R302" s="255"/>
      <c r="S302" s="3"/>
      <c r="T302" s="3"/>
      <c r="U302" s="3"/>
      <c r="V302" s="3"/>
      <c r="W302" s="3"/>
      <c r="X302" s="3"/>
      <c r="Y302" s="3"/>
      <c r="Z302" s="3"/>
    </row>
    <row r="303" ht="15.75" customHeight="1">
      <c r="A303" s="3"/>
      <c r="B303" s="2"/>
      <c r="C303" s="2"/>
      <c r="D303" s="2"/>
      <c r="E303" s="464"/>
      <c r="F303" s="2"/>
      <c r="G303" s="2"/>
      <c r="H303" s="2"/>
      <c r="I303" s="2"/>
      <c r="J303" s="2"/>
      <c r="K303" s="2"/>
      <c r="L303" s="2"/>
      <c r="M303" s="2"/>
      <c r="N303" s="2"/>
      <c r="O303" s="2"/>
      <c r="P303" s="2"/>
      <c r="Q303" s="2"/>
      <c r="R303" s="255"/>
      <c r="S303" s="3"/>
      <c r="T303" s="3"/>
      <c r="U303" s="3"/>
      <c r="V303" s="3"/>
      <c r="W303" s="3"/>
      <c r="X303" s="3"/>
      <c r="Y303" s="3"/>
      <c r="Z303" s="3"/>
    </row>
    <row r="304" ht="15.75" customHeight="1">
      <c r="A304" s="3"/>
      <c r="B304" s="2"/>
      <c r="C304" s="2"/>
      <c r="D304" s="2"/>
      <c r="E304" s="464"/>
      <c r="F304" s="2"/>
      <c r="G304" s="2"/>
      <c r="H304" s="2"/>
      <c r="I304" s="2"/>
      <c r="J304" s="2"/>
      <c r="K304" s="2"/>
      <c r="L304" s="2"/>
      <c r="M304" s="2"/>
      <c r="N304" s="2"/>
      <c r="O304" s="2"/>
      <c r="P304" s="2"/>
      <c r="Q304" s="2"/>
      <c r="R304" s="255"/>
      <c r="S304" s="3"/>
      <c r="T304" s="3"/>
      <c r="U304" s="3"/>
      <c r="V304" s="3"/>
      <c r="W304" s="3"/>
      <c r="X304" s="3"/>
      <c r="Y304" s="3"/>
      <c r="Z304" s="3"/>
    </row>
    <row r="305" ht="15.75" customHeight="1">
      <c r="A305" s="3"/>
      <c r="B305" s="2"/>
      <c r="C305" s="2"/>
      <c r="D305" s="2"/>
      <c r="E305" s="464"/>
      <c r="F305" s="2"/>
      <c r="G305" s="2"/>
      <c r="H305" s="2"/>
      <c r="I305" s="2"/>
      <c r="J305" s="2"/>
      <c r="K305" s="2"/>
      <c r="L305" s="2"/>
      <c r="M305" s="2"/>
      <c r="N305" s="2"/>
      <c r="O305" s="2"/>
      <c r="P305" s="2"/>
      <c r="Q305" s="2"/>
      <c r="R305" s="255"/>
      <c r="S305" s="3"/>
      <c r="T305" s="3"/>
      <c r="U305" s="3"/>
      <c r="V305" s="3"/>
      <c r="W305" s="3"/>
      <c r="X305" s="3"/>
      <c r="Y305" s="3"/>
      <c r="Z305" s="3"/>
    </row>
    <row r="306" ht="15.75" customHeight="1">
      <c r="A306" s="3"/>
      <c r="B306" s="2"/>
      <c r="C306" s="2"/>
      <c r="D306" s="2"/>
      <c r="E306" s="464"/>
      <c r="F306" s="2"/>
      <c r="G306" s="2"/>
      <c r="H306" s="2"/>
      <c r="I306" s="2"/>
      <c r="J306" s="2"/>
      <c r="K306" s="2"/>
      <c r="L306" s="2"/>
      <c r="M306" s="2"/>
      <c r="N306" s="2"/>
      <c r="O306" s="2"/>
      <c r="P306" s="2"/>
      <c r="Q306" s="2"/>
      <c r="R306" s="255"/>
      <c r="S306" s="3"/>
      <c r="T306" s="3"/>
      <c r="U306" s="3"/>
      <c r="V306" s="3"/>
      <c r="W306" s="3"/>
      <c r="X306" s="3"/>
      <c r="Y306" s="3"/>
      <c r="Z306" s="3"/>
    </row>
    <row r="307" ht="15.75" customHeight="1">
      <c r="A307" s="3"/>
      <c r="B307" s="2"/>
      <c r="C307" s="2"/>
      <c r="D307" s="2"/>
      <c r="E307" s="464"/>
      <c r="F307" s="2"/>
      <c r="G307" s="2"/>
      <c r="H307" s="2"/>
      <c r="I307" s="2"/>
      <c r="J307" s="2"/>
      <c r="K307" s="2"/>
      <c r="L307" s="2"/>
      <c r="M307" s="2"/>
      <c r="N307" s="2"/>
      <c r="O307" s="2"/>
      <c r="P307" s="2"/>
      <c r="Q307" s="2"/>
      <c r="R307" s="255"/>
      <c r="S307" s="3"/>
      <c r="T307" s="3"/>
      <c r="U307" s="3"/>
      <c r="V307" s="3"/>
      <c r="W307" s="3"/>
      <c r="X307" s="3"/>
      <c r="Y307" s="3"/>
      <c r="Z307" s="3"/>
    </row>
    <row r="308" ht="15.75" customHeight="1">
      <c r="A308" s="3"/>
      <c r="B308" s="2"/>
      <c r="C308" s="2"/>
      <c r="D308" s="2"/>
      <c r="E308" s="464"/>
      <c r="F308" s="2"/>
      <c r="G308" s="2"/>
      <c r="H308" s="2"/>
      <c r="I308" s="2"/>
      <c r="J308" s="2"/>
      <c r="K308" s="2"/>
      <c r="L308" s="2"/>
      <c r="M308" s="2"/>
      <c r="N308" s="2"/>
      <c r="O308" s="2"/>
      <c r="P308" s="2"/>
      <c r="Q308" s="2"/>
      <c r="R308" s="255"/>
      <c r="S308" s="3"/>
      <c r="T308" s="3"/>
      <c r="U308" s="3"/>
      <c r="V308" s="3"/>
      <c r="W308" s="3"/>
      <c r="X308" s="3"/>
      <c r="Y308" s="3"/>
      <c r="Z308" s="3"/>
    </row>
    <row r="309" ht="15.75" customHeight="1">
      <c r="A309" s="3"/>
      <c r="B309" s="2"/>
      <c r="C309" s="2"/>
      <c r="D309" s="2"/>
      <c r="E309" s="464"/>
      <c r="F309" s="2"/>
      <c r="G309" s="2"/>
      <c r="H309" s="2"/>
      <c r="I309" s="2"/>
      <c r="J309" s="2"/>
      <c r="K309" s="2"/>
      <c r="L309" s="2"/>
      <c r="M309" s="2"/>
      <c r="N309" s="2"/>
      <c r="O309" s="2"/>
      <c r="P309" s="2"/>
      <c r="Q309" s="2"/>
      <c r="R309" s="255"/>
      <c r="S309" s="3"/>
      <c r="T309" s="3"/>
      <c r="U309" s="3"/>
      <c r="V309" s="3"/>
      <c r="W309" s="3"/>
      <c r="X309" s="3"/>
      <c r="Y309" s="3"/>
      <c r="Z309" s="3"/>
    </row>
    <row r="310" ht="15.75" customHeight="1">
      <c r="A310" s="3"/>
      <c r="B310" s="2"/>
      <c r="C310" s="2"/>
      <c r="D310" s="2"/>
      <c r="E310" s="464"/>
      <c r="F310" s="2"/>
      <c r="G310" s="2"/>
      <c r="H310" s="2"/>
      <c r="I310" s="2"/>
      <c r="J310" s="2"/>
      <c r="K310" s="2"/>
      <c r="L310" s="2"/>
      <c r="M310" s="2"/>
      <c r="N310" s="2"/>
      <c r="O310" s="2"/>
      <c r="P310" s="2"/>
      <c r="Q310" s="2"/>
      <c r="R310" s="255"/>
      <c r="S310" s="3"/>
      <c r="T310" s="3"/>
      <c r="U310" s="3"/>
      <c r="V310" s="3"/>
      <c r="W310" s="3"/>
      <c r="X310" s="3"/>
      <c r="Y310" s="3"/>
      <c r="Z310" s="3"/>
    </row>
    <row r="311" ht="15.75" customHeight="1">
      <c r="A311" s="3"/>
      <c r="B311" s="2"/>
      <c r="C311" s="2"/>
      <c r="D311" s="2"/>
      <c r="E311" s="464"/>
      <c r="F311" s="2"/>
      <c r="G311" s="2"/>
      <c r="H311" s="2"/>
      <c r="I311" s="2"/>
      <c r="J311" s="2"/>
      <c r="K311" s="2"/>
      <c r="L311" s="2"/>
      <c r="M311" s="2"/>
      <c r="N311" s="2"/>
      <c r="O311" s="2"/>
      <c r="P311" s="2"/>
      <c r="Q311" s="2"/>
      <c r="R311" s="255"/>
      <c r="S311" s="3"/>
      <c r="T311" s="3"/>
      <c r="U311" s="3"/>
      <c r="V311" s="3"/>
      <c r="W311" s="3"/>
      <c r="X311" s="3"/>
      <c r="Y311" s="3"/>
      <c r="Z311" s="3"/>
    </row>
    <row r="312" ht="15.75" customHeight="1">
      <c r="A312" s="3"/>
      <c r="B312" s="2"/>
      <c r="C312" s="2"/>
      <c r="D312" s="2"/>
      <c r="E312" s="464"/>
      <c r="F312" s="2"/>
      <c r="G312" s="2"/>
      <c r="H312" s="2"/>
      <c r="I312" s="2"/>
      <c r="J312" s="2"/>
      <c r="K312" s="2"/>
      <c r="L312" s="2"/>
      <c r="M312" s="2"/>
      <c r="N312" s="2"/>
      <c r="O312" s="2"/>
      <c r="P312" s="2"/>
      <c r="Q312" s="2"/>
      <c r="R312" s="255"/>
      <c r="S312" s="3"/>
      <c r="T312" s="3"/>
      <c r="U312" s="3"/>
      <c r="V312" s="3"/>
      <c r="W312" s="3"/>
      <c r="X312" s="3"/>
      <c r="Y312" s="3"/>
      <c r="Z312" s="3"/>
    </row>
    <row r="313" ht="15.75" customHeight="1">
      <c r="A313" s="3"/>
      <c r="B313" s="2"/>
      <c r="C313" s="2"/>
      <c r="D313" s="2"/>
      <c r="E313" s="464"/>
      <c r="F313" s="2"/>
      <c r="G313" s="2"/>
      <c r="H313" s="2"/>
      <c r="I313" s="2"/>
      <c r="J313" s="2"/>
      <c r="K313" s="2"/>
      <c r="L313" s="2"/>
      <c r="M313" s="2"/>
      <c r="N313" s="2"/>
      <c r="O313" s="2"/>
      <c r="P313" s="2"/>
      <c r="Q313" s="2"/>
      <c r="R313" s="255"/>
      <c r="S313" s="3"/>
      <c r="T313" s="3"/>
      <c r="U313" s="3"/>
      <c r="V313" s="3"/>
      <c r="W313" s="3"/>
      <c r="X313" s="3"/>
      <c r="Y313" s="3"/>
      <c r="Z313" s="3"/>
    </row>
    <row r="314" ht="15.75" customHeight="1">
      <c r="A314" s="3"/>
      <c r="B314" s="2"/>
      <c r="C314" s="2"/>
      <c r="D314" s="2"/>
      <c r="E314" s="464"/>
      <c r="F314" s="2"/>
      <c r="G314" s="2"/>
      <c r="H314" s="2"/>
      <c r="I314" s="2"/>
      <c r="J314" s="2"/>
      <c r="K314" s="2"/>
      <c r="L314" s="2"/>
      <c r="M314" s="2"/>
      <c r="N314" s="2"/>
      <c r="O314" s="2"/>
      <c r="P314" s="2"/>
      <c r="Q314" s="2"/>
      <c r="R314" s="255"/>
      <c r="S314" s="3"/>
      <c r="T314" s="3"/>
      <c r="U314" s="3"/>
      <c r="V314" s="3"/>
      <c r="W314" s="3"/>
      <c r="X314" s="3"/>
      <c r="Y314" s="3"/>
      <c r="Z314" s="3"/>
    </row>
    <row r="315" ht="15.75" customHeight="1">
      <c r="A315" s="3"/>
      <c r="B315" s="2"/>
      <c r="C315" s="2"/>
      <c r="D315" s="2"/>
      <c r="E315" s="464"/>
      <c r="F315" s="2"/>
      <c r="G315" s="2"/>
      <c r="H315" s="2"/>
      <c r="I315" s="2"/>
      <c r="J315" s="2"/>
      <c r="K315" s="2"/>
      <c r="L315" s="2"/>
      <c r="M315" s="2"/>
      <c r="N315" s="2"/>
      <c r="O315" s="2"/>
      <c r="P315" s="2"/>
      <c r="Q315" s="2"/>
      <c r="R315" s="255"/>
      <c r="S315" s="3"/>
      <c r="T315" s="3"/>
      <c r="U315" s="3"/>
      <c r="V315" s="3"/>
      <c r="W315" s="3"/>
      <c r="X315" s="3"/>
      <c r="Y315" s="3"/>
      <c r="Z315" s="3"/>
    </row>
    <row r="316" ht="15.75" customHeight="1">
      <c r="A316" s="3"/>
      <c r="B316" s="2"/>
      <c r="C316" s="2"/>
      <c r="D316" s="2"/>
      <c r="E316" s="464"/>
      <c r="F316" s="2"/>
      <c r="G316" s="2"/>
      <c r="H316" s="2"/>
      <c r="I316" s="2"/>
      <c r="J316" s="2"/>
      <c r="K316" s="2"/>
      <c r="L316" s="2"/>
      <c r="M316" s="2"/>
      <c r="N316" s="2"/>
      <c r="O316" s="2"/>
      <c r="P316" s="2"/>
      <c r="Q316" s="2"/>
      <c r="R316" s="255"/>
      <c r="S316" s="3"/>
      <c r="T316" s="3"/>
      <c r="U316" s="3"/>
      <c r="V316" s="3"/>
      <c r="W316" s="3"/>
      <c r="X316" s="3"/>
      <c r="Y316" s="3"/>
      <c r="Z316" s="3"/>
    </row>
    <row r="317" ht="15.75" customHeight="1">
      <c r="A317" s="3"/>
      <c r="B317" s="2"/>
      <c r="C317" s="2"/>
      <c r="D317" s="2"/>
      <c r="E317" s="464"/>
      <c r="F317" s="2"/>
      <c r="G317" s="2"/>
      <c r="H317" s="2"/>
      <c r="I317" s="2"/>
      <c r="J317" s="2"/>
      <c r="K317" s="2"/>
      <c r="L317" s="2"/>
      <c r="M317" s="2"/>
      <c r="N317" s="2"/>
      <c r="O317" s="2"/>
      <c r="P317" s="2"/>
      <c r="Q317" s="2"/>
      <c r="R317" s="255"/>
      <c r="S317" s="3"/>
      <c r="T317" s="3"/>
      <c r="U317" s="3"/>
      <c r="V317" s="3"/>
      <c r="W317" s="3"/>
      <c r="X317" s="3"/>
      <c r="Y317" s="3"/>
      <c r="Z317" s="3"/>
    </row>
    <row r="318" ht="15.75" customHeight="1">
      <c r="A318" s="3"/>
      <c r="B318" s="2"/>
      <c r="C318" s="2"/>
      <c r="D318" s="2"/>
      <c r="E318" s="464"/>
      <c r="F318" s="2"/>
      <c r="G318" s="2"/>
      <c r="H318" s="2"/>
      <c r="I318" s="2"/>
      <c r="J318" s="2"/>
      <c r="K318" s="2"/>
      <c r="L318" s="2"/>
      <c r="M318" s="2"/>
      <c r="N318" s="2"/>
      <c r="O318" s="2"/>
      <c r="P318" s="2"/>
      <c r="Q318" s="2"/>
      <c r="R318" s="255"/>
      <c r="S318" s="3"/>
      <c r="T318" s="3"/>
      <c r="U318" s="3"/>
      <c r="V318" s="3"/>
      <c r="W318" s="3"/>
      <c r="X318" s="3"/>
      <c r="Y318" s="3"/>
      <c r="Z318" s="3"/>
    </row>
    <row r="319" ht="15.75" customHeight="1">
      <c r="A319" s="3"/>
      <c r="B319" s="2"/>
      <c r="C319" s="2"/>
      <c r="D319" s="2"/>
      <c r="E319" s="464"/>
      <c r="F319" s="2"/>
      <c r="G319" s="2"/>
      <c r="H319" s="2"/>
      <c r="I319" s="2"/>
      <c r="J319" s="2"/>
      <c r="K319" s="2"/>
      <c r="L319" s="2"/>
      <c r="M319" s="2"/>
      <c r="N319" s="2"/>
      <c r="O319" s="2"/>
      <c r="P319" s="2"/>
      <c r="Q319" s="2"/>
      <c r="R319" s="255"/>
      <c r="S319" s="3"/>
      <c r="T319" s="3"/>
      <c r="U319" s="3"/>
      <c r="V319" s="3"/>
      <c r="W319" s="3"/>
      <c r="X319" s="3"/>
      <c r="Y319" s="3"/>
      <c r="Z319" s="3"/>
    </row>
    <row r="320" ht="15.75" customHeight="1">
      <c r="A320" s="3"/>
      <c r="B320" s="2"/>
      <c r="C320" s="2"/>
      <c r="D320" s="2"/>
      <c r="E320" s="464"/>
      <c r="F320" s="2"/>
      <c r="G320" s="2"/>
      <c r="H320" s="2"/>
      <c r="I320" s="2"/>
      <c r="J320" s="2"/>
      <c r="K320" s="2"/>
      <c r="L320" s="2"/>
      <c r="M320" s="2"/>
      <c r="N320" s="2"/>
      <c r="O320" s="2"/>
      <c r="P320" s="2"/>
      <c r="Q320" s="2"/>
      <c r="R320" s="255"/>
      <c r="S320" s="3"/>
      <c r="T320" s="3"/>
      <c r="U320" s="3"/>
      <c r="V320" s="3"/>
      <c r="W320" s="3"/>
      <c r="X320" s="3"/>
      <c r="Y320" s="3"/>
      <c r="Z320" s="3"/>
    </row>
    <row r="321" ht="15.75" customHeight="1">
      <c r="A321" s="3"/>
      <c r="B321" s="2"/>
      <c r="C321" s="2"/>
      <c r="D321" s="2"/>
      <c r="E321" s="464"/>
      <c r="F321" s="2"/>
      <c r="G321" s="2"/>
      <c r="H321" s="2"/>
      <c r="I321" s="2"/>
      <c r="J321" s="2"/>
      <c r="K321" s="2"/>
      <c r="L321" s="2"/>
      <c r="M321" s="2"/>
      <c r="N321" s="2"/>
      <c r="O321" s="2"/>
      <c r="P321" s="2"/>
      <c r="Q321" s="2"/>
      <c r="R321" s="255"/>
      <c r="S321" s="3"/>
      <c r="T321" s="3"/>
      <c r="U321" s="3"/>
      <c r="V321" s="3"/>
      <c r="W321" s="3"/>
      <c r="X321" s="3"/>
      <c r="Y321" s="3"/>
      <c r="Z321" s="3"/>
    </row>
    <row r="322" ht="15.75" customHeight="1">
      <c r="A322" s="3"/>
      <c r="B322" s="2"/>
      <c r="C322" s="2"/>
      <c r="D322" s="2"/>
      <c r="E322" s="464"/>
      <c r="F322" s="2"/>
      <c r="G322" s="2"/>
      <c r="H322" s="2"/>
      <c r="I322" s="2"/>
      <c r="J322" s="2"/>
      <c r="K322" s="2"/>
      <c r="L322" s="2"/>
      <c r="M322" s="2"/>
      <c r="N322" s="2"/>
      <c r="O322" s="2"/>
      <c r="P322" s="2"/>
      <c r="Q322" s="2"/>
      <c r="R322" s="255"/>
      <c r="S322" s="3"/>
      <c r="T322" s="3"/>
      <c r="U322" s="3"/>
      <c r="V322" s="3"/>
      <c r="W322" s="3"/>
      <c r="X322" s="3"/>
      <c r="Y322" s="3"/>
      <c r="Z322" s="3"/>
    </row>
    <row r="323" ht="15.75" customHeight="1">
      <c r="A323" s="3"/>
      <c r="B323" s="2"/>
      <c r="C323" s="2"/>
      <c r="D323" s="2"/>
      <c r="E323" s="464"/>
      <c r="F323" s="2"/>
      <c r="G323" s="2"/>
      <c r="H323" s="2"/>
      <c r="I323" s="2"/>
      <c r="J323" s="2"/>
      <c r="K323" s="2"/>
      <c r="L323" s="2"/>
      <c r="M323" s="2"/>
      <c r="N323" s="2"/>
      <c r="O323" s="2"/>
      <c r="P323" s="2"/>
      <c r="Q323" s="2"/>
      <c r="R323" s="255"/>
      <c r="S323" s="3"/>
      <c r="T323" s="3"/>
      <c r="U323" s="3"/>
      <c r="V323" s="3"/>
      <c r="W323" s="3"/>
      <c r="X323" s="3"/>
      <c r="Y323" s="3"/>
      <c r="Z323" s="3"/>
    </row>
    <row r="324" ht="15.75" customHeight="1">
      <c r="A324" s="3"/>
      <c r="B324" s="2"/>
      <c r="C324" s="2"/>
      <c r="D324" s="2"/>
      <c r="E324" s="464"/>
      <c r="F324" s="2"/>
      <c r="G324" s="2"/>
      <c r="H324" s="2"/>
      <c r="I324" s="2"/>
      <c r="J324" s="2"/>
      <c r="K324" s="2"/>
      <c r="L324" s="2"/>
      <c r="M324" s="2"/>
      <c r="N324" s="2"/>
      <c r="O324" s="2"/>
      <c r="P324" s="2"/>
      <c r="Q324" s="2"/>
      <c r="R324" s="255"/>
      <c r="S324" s="3"/>
      <c r="T324" s="3"/>
      <c r="U324" s="3"/>
      <c r="V324" s="3"/>
      <c r="W324" s="3"/>
      <c r="X324" s="3"/>
      <c r="Y324" s="3"/>
      <c r="Z324" s="3"/>
    </row>
    <row r="325" ht="15.75" customHeight="1">
      <c r="A325" s="3"/>
      <c r="B325" s="2"/>
      <c r="C325" s="2"/>
      <c r="D325" s="2"/>
      <c r="E325" s="464"/>
      <c r="F325" s="2"/>
      <c r="G325" s="2"/>
      <c r="H325" s="2"/>
      <c r="I325" s="2"/>
      <c r="J325" s="2"/>
      <c r="K325" s="2"/>
      <c r="L325" s="2"/>
      <c r="M325" s="2"/>
      <c r="N325" s="2"/>
      <c r="O325" s="2"/>
      <c r="P325" s="2"/>
      <c r="Q325" s="2"/>
      <c r="R325" s="255"/>
      <c r="S325" s="3"/>
      <c r="T325" s="3"/>
      <c r="U325" s="3"/>
      <c r="V325" s="3"/>
      <c r="W325" s="3"/>
      <c r="X325" s="3"/>
      <c r="Y325" s="3"/>
      <c r="Z325" s="3"/>
    </row>
    <row r="326" ht="15.75" customHeight="1">
      <c r="A326" s="3"/>
      <c r="B326" s="2"/>
      <c r="C326" s="2"/>
      <c r="D326" s="2"/>
      <c r="E326" s="464"/>
      <c r="F326" s="2"/>
      <c r="G326" s="2"/>
      <c r="H326" s="2"/>
      <c r="I326" s="2"/>
      <c r="J326" s="2"/>
      <c r="K326" s="2"/>
      <c r="L326" s="2"/>
      <c r="M326" s="2"/>
      <c r="N326" s="2"/>
      <c r="O326" s="2"/>
      <c r="P326" s="2"/>
      <c r="Q326" s="2"/>
      <c r="R326" s="255"/>
      <c r="S326" s="3"/>
      <c r="T326" s="3"/>
      <c r="U326" s="3"/>
      <c r="V326" s="3"/>
      <c r="W326" s="3"/>
      <c r="X326" s="3"/>
      <c r="Y326" s="3"/>
      <c r="Z326" s="3"/>
    </row>
    <row r="327" ht="15.75" customHeight="1">
      <c r="A327" s="3"/>
      <c r="B327" s="2"/>
      <c r="C327" s="2"/>
      <c r="D327" s="2"/>
      <c r="E327" s="464"/>
      <c r="F327" s="2"/>
      <c r="G327" s="2"/>
      <c r="H327" s="2"/>
      <c r="I327" s="2"/>
      <c r="J327" s="2"/>
      <c r="K327" s="2"/>
      <c r="L327" s="2"/>
      <c r="M327" s="2"/>
      <c r="N327" s="2"/>
      <c r="O327" s="2"/>
      <c r="P327" s="2"/>
      <c r="Q327" s="2"/>
      <c r="R327" s="255"/>
      <c r="S327" s="3"/>
      <c r="T327" s="3"/>
      <c r="U327" s="3"/>
      <c r="V327" s="3"/>
      <c r="W327" s="3"/>
      <c r="X327" s="3"/>
      <c r="Y327" s="3"/>
      <c r="Z327" s="3"/>
    </row>
    <row r="328" ht="15.75" customHeight="1">
      <c r="A328" s="3"/>
      <c r="B328" s="2"/>
      <c r="C328" s="2"/>
      <c r="D328" s="2"/>
      <c r="E328" s="464"/>
      <c r="F328" s="2"/>
      <c r="G328" s="2"/>
      <c r="H328" s="2"/>
      <c r="I328" s="2"/>
      <c r="J328" s="2"/>
      <c r="K328" s="2"/>
      <c r="L328" s="2"/>
      <c r="M328" s="2"/>
      <c r="N328" s="2"/>
      <c r="O328" s="2"/>
      <c r="P328" s="2"/>
      <c r="Q328" s="2"/>
      <c r="R328" s="255"/>
      <c r="S328" s="3"/>
      <c r="T328" s="3"/>
      <c r="U328" s="3"/>
      <c r="V328" s="3"/>
      <c r="W328" s="3"/>
      <c r="X328" s="3"/>
      <c r="Y328" s="3"/>
      <c r="Z328" s="3"/>
    </row>
    <row r="329" ht="15.75" customHeight="1">
      <c r="A329" s="3"/>
      <c r="B329" s="2"/>
      <c r="C329" s="2"/>
      <c r="D329" s="2"/>
      <c r="E329" s="464"/>
      <c r="F329" s="2"/>
      <c r="G329" s="2"/>
      <c r="H329" s="2"/>
      <c r="I329" s="2"/>
      <c r="J329" s="2"/>
      <c r="K329" s="2"/>
      <c r="L329" s="2"/>
      <c r="M329" s="2"/>
      <c r="N329" s="2"/>
      <c r="O329" s="2"/>
      <c r="P329" s="2"/>
      <c r="Q329" s="2"/>
      <c r="R329" s="255"/>
      <c r="S329" s="3"/>
      <c r="T329" s="3"/>
      <c r="U329" s="3"/>
      <c r="V329" s="3"/>
      <c r="W329" s="3"/>
      <c r="X329" s="3"/>
      <c r="Y329" s="3"/>
      <c r="Z329" s="3"/>
    </row>
    <row r="330" ht="15.75" customHeight="1">
      <c r="A330" s="3"/>
      <c r="B330" s="2"/>
      <c r="C330" s="2"/>
      <c r="D330" s="2"/>
      <c r="E330" s="464"/>
      <c r="F330" s="2"/>
      <c r="G330" s="2"/>
      <c r="H330" s="2"/>
      <c r="I330" s="2"/>
      <c r="J330" s="2"/>
      <c r="K330" s="2"/>
      <c r="L330" s="2"/>
      <c r="M330" s="2"/>
      <c r="N330" s="2"/>
      <c r="O330" s="2"/>
      <c r="P330" s="2"/>
      <c r="Q330" s="2"/>
      <c r="R330" s="255"/>
      <c r="S330" s="3"/>
      <c r="T330" s="3"/>
      <c r="U330" s="3"/>
      <c r="V330" s="3"/>
      <c r="W330" s="3"/>
      <c r="X330" s="3"/>
      <c r="Y330" s="3"/>
      <c r="Z330" s="3"/>
    </row>
    <row r="331" ht="15.75" customHeight="1">
      <c r="A331" s="3"/>
      <c r="B331" s="2"/>
      <c r="C331" s="2"/>
      <c r="D331" s="2"/>
      <c r="E331" s="464"/>
      <c r="F331" s="2"/>
      <c r="G331" s="2"/>
      <c r="H331" s="2"/>
      <c r="I331" s="2"/>
      <c r="J331" s="2"/>
      <c r="K331" s="2"/>
      <c r="L331" s="2"/>
      <c r="M331" s="2"/>
      <c r="N331" s="2"/>
      <c r="O331" s="2"/>
      <c r="P331" s="2"/>
      <c r="Q331" s="2"/>
      <c r="R331" s="255"/>
      <c r="S331" s="3"/>
      <c r="T331" s="3"/>
      <c r="U331" s="3"/>
      <c r="V331" s="3"/>
      <c r="W331" s="3"/>
      <c r="X331" s="3"/>
      <c r="Y331" s="3"/>
      <c r="Z331" s="3"/>
    </row>
    <row r="332" ht="15.75" customHeight="1">
      <c r="A332" s="3"/>
      <c r="B332" s="2"/>
      <c r="C332" s="2"/>
      <c r="D332" s="2"/>
      <c r="E332" s="464"/>
      <c r="F332" s="2"/>
      <c r="G332" s="2"/>
      <c r="H332" s="2"/>
      <c r="I332" s="2"/>
      <c r="J332" s="2"/>
      <c r="K332" s="2"/>
      <c r="L332" s="2"/>
      <c r="M332" s="2"/>
      <c r="N332" s="2"/>
      <c r="O332" s="2"/>
      <c r="P332" s="2"/>
      <c r="Q332" s="2"/>
      <c r="R332" s="255"/>
      <c r="S332" s="3"/>
      <c r="T332" s="3"/>
      <c r="U332" s="3"/>
      <c r="V332" s="3"/>
      <c r="W332" s="3"/>
      <c r="X332" s="3"/>
      <c r="Y332" s="3"/>
      <c r="Z332" s="3"/>
    </row>
    <row r="333" ht="15.75" customHeight="1">
      <c r="A333" s="3"/>
      <c r="B333" s="2"/>
      <c r="C333" s="2"/>
      <c r="D333" s="2"/>
      <c r="E333" s="464"/>
      <c r="F333" s="2"/>
      <c r="G333" s="2"/>
      <c r="H333" s="2"/>
      <c r="I333" s="2"/>
      <c r="J333" s="2"/>
      <c r="K333" s="2"/>
      <c r="L333" s="2"/>
      <c r="M333" s="2"/>
      <c r="N333" s="2"/>
      <c r="O333" s="2"/>
      <c r="P333" s="2"/>
      <c r="Q333" s="2"/>
      <c r="R333" s="255"/>
      <c r="S333" s="3"/>
      <c r="T333" s="3"/>
      <c r="U333" s="3"/>
      <c r="V333" s="3"/>
      <c r="W333" s="3"/>
      <c r="X333" s="3"/>
      <c r="Y333" s="3"/>
      <c r="Z333" s="3"/>
    </row>
    <row r="334" ht="15.75" customHeight="1">
      <c r="A334" s="3"/>
      <c r="B334" s="2"/>
      <c r="C334" s="2"/>
      <c r="D334" s="2"/>
      <c r="E334" s="464"/>
      <c r="F334" s="2"/>
      <c r="G334" s="2"/>
      <c r="H334" s="2"/>
      <c r="I334" s="2"/>
      <c r="J334" s="2"/>
      <c r="K334" s="2"/>
      <c r="L334" s="2"/>
      <c r="M334" s="2"/>
      <c r="N334" s="2"/>
      <c r="O334" s="2"/>
      <c r="P334" s="2"/>
      <c r="Q334" s="2"/>
      <c r="R334" s="255"/>
      <c r="S334" s="3"/>
      <c r="T334" s="3"/>
      <c r="U334" s="3"/>
      <c r="V334" s="3"/>
      <c r="W334" s="3"/>
      <c r="X334" s="3"/>
      <c r="Y334" s="3"/>
      <c r="Z334" s="3"/>
    </row>
    <row r="335" ht="15.75" customHeight="1">
      <c r="A335" s="3"/>
      <c r="B335" s="2"/>
      <c r="C335" s="2"/>
      <c r="D335" s="2"/>
      <c r="E335" s="464"/>
      <c r="F335" s="2"/>
      <c r="G335" s="2"/>
      <c r="H335" s="2"/>
      <c r="I335" s="2"/>
      <c r="J335" s="2"/>
      <c r="K335" s="2"/>
      <c r="L335" s="2"/>
      <c r="M335" s="2"/>
      <c r="N335" s="2"/>
      <c r="O335" s="2"/>
      <c r="P335" s="2"/>
      <c r="Q335" s="2"/>
      <c r="R335" s="255"/>
      <c r="S335" s="3"/>
      <c r="T335" s="3"/>
      <c r="U335" s="3"/>
      <c r="V335" s="3"/>
      <c r="W335" s="3"/>
      <c r="X335" s="3"/>
      <c r="Y335" s="3"/>
      <c r="Z335" s="3"/>
    </row>
    <row r="336" ht="15.75" customHeight="1">
      <c r="A336" s="3"/>
      <c r="B336" s="2"/>
      <c r="C336" s="2"/>
      <c r="D336" s="2"/>
      <c r="E336" s="464"/>
      <c r="F336" s="2"/>
      <c r="G336" s="2"/>
      <c r="H336" s="2"/>
      <c r="I336" s="2"/>
      <c r="J336" s="2"/>
      <c r="K336" s="2"/>
      <c r="L336" s="2"/>
      <c r="M336" s="2"/>
      <c r="N336" s="2"/>
      <c r="O336" s="2"/>
      <c r="P336" s="2"/>
      <c r="Q336" s="2"/>
      <c r="R336" s="255"/>
      <c r="S336" s="3"/>
      <c r="T336" s="3"/>
      <c r="U336" s="3"/>
      <c r="V336" s="3"/>
      <c r="W336" s="3"/>
      <c r="X336" s="3"/>
      <c r="Y336" s="3"/>
      <c r="Z336" s="3"/>
    </row>
    <row r="337" ht="15.75" customHeight="1">
      <c r="A337" s="3"/>
      <c r="B337" s="2"/>
      <c r="C337" s="2"/>
      <c r="D337" s="2"/>
      <c r="E337" s="464"/>
      <c r="F337" s="2"/>
      <c r="G337" s="2"/>
      <c r="H337" s="2"/>
      <c r="I337" s="2"/>
      <c r="J337" s="2"/>
      <c r="K337" s="2"/>
      <c r="L337" s="2"/>
      <c r="M337" s="2"/>
      <c r="N337" s="2"/>
      <c r="O337" s="2"/>
      <c r="P337" s="2"/>
      <c r="Q337" s="2"/>
      <c r="R337" s="255"/>
      <c r="S337" s="3"/>
      <c r="T337" s="3"/>
      <c r="U337" s="3"/>
      <c r="V337" s="3"/>
      <c r="W337" s="3"/>
      <c r="X337" s="3"/>
      <c r="Y337" s="3"/>
      <c r="Z337" s="3"/>
    </row>
    <row r="338" ht="15.75" customHeight="1">
      <c r="A338" s="3"/>
      <c r="B338" s="2"/>
      <c r="C338" s="2"/>
      <c r="D338" s="2"/>
      <c r="E338" s="464"/>
      <c r="F338" s="2"/>
      <c r="G338" s="2"/>
      <c r="H338" s="2"/>
      <c r="I338" s="2"/>
      <c r="J338" s="2"/>
      <c r="K338" s="2"/>
      <c r="L338" s="2"/>
      <c r="M338" s="2"/>
      <c r="N338" s="2"/>
      <c r="O338" s="2"/>
      <c r="P338" s="2"/>
      <c r="Q338" s="2"/>
      <c r="R338" s="255"/>
      <c r="S338" s="3"/>
      <c r="T338" s="3"/>
      <c r="U338" s="3"/>
      <c r="V338" s="3"/>
      <c r="W338" s="3"/>
      <c r="X338" s="3"/>
      <c r="Y338" s="3"/>
      <c r="Z338" s="3"/>
    </row>
    <row r="339" ht="15.75" customHeight="1">
      <c r="A339" s="3"/>
      <c r="B339" s="2"/>
      <c r="C339" s="2"/>
      <c r="D339" s="2"/>
      <c r="E339" s="464"/>
      <c r="F339" s="2"/>
      <c r="G339" s="2"/>
      <c r="H339" s="2"/>
      <c r="I339" s="2"/>
      <c r="J339" s="2"/>
      <c r="K339" s="2"/>
      <c r="L339" s="2"/>
      <c r="M339" s="2"/>
      <c r="N339" s="2"/>
      <c r="O339" s="2"/>
      <c r="P339" s="2"/>
      <c r="Q339" s="2"/>
      <c r="R339" s="255"/>
      <c r="S339" s="3"/>
      <c r="T339" s="3"/>
      <c r="U339" s="3"/>
      <c r="V339" s="3"/>
      <c r="W339" s="3"/>
      <c r="X339" s="3"/>
      <c r="Y339" s="3"/>
      <c r="Z339" s="3"/>
    </row>
    <row r="340" ht="15.75" customHeight="1">
      <c r="A340" s="3"/>
      <c r="B340" s="2"/>
      <c r="C340" s="2"/>
      <c r="D340" s="2"/>
      <c r="E340" s="464"/>
      <c r="F340" s="2"/>
      <c r="G340" s="2"/>
      <c r="H340" s="2"/>
      <c r="I340" s="2"/>
      <c r="J340" s="2"/>
      <c r="K340" s="2"/>
      <c r="L340" s="2"/>
      <c r="M340" s="2"/>
      <c r="N340" s="2"/>
      <c r="O340" s="2"/>
      <c r="P340" s="2"/>
      <c r="Q340" s="2"/>
      <c r="R340" s="255"/>
      <c r="S340" s="3"/>
      <c r="T340" s="3"/>
      <c r="U340" s="3"/>
      <c r="V340" s="3"/>
      <c r="W340" s="3"/>
      <c r="X340" s="3"/>
      <c r="Y340" s="3"/>
      <c r="Z340" s="3"/>
    </row>
    <row r="341" ht="15.75" customHeight="1">
      <c r="A341" s="3"/>
      <c r="B341" s="2"/>
      <c r="C341" s="2"/>
      <c r="D341" s="2"/>
      <c r="E341" s="464"/>
      <c r="F341" s="2"/>
      <c r="G341" s="2"/>
      <c r="H341" s="2"/>
      <c r="I341" s="2"/>
      <c r="J341" s="2"/>
      <c r="K341" s="2"/>
      <c r="L341" s="2"/>
      <c r="M341" s="2"/>
      <c r="N341" s="2"/>
      <c r="O341" s="2"/>
      <c r="P341" s="2"/>
      <c r="Q341" s="2"/>
      <c r="R341" s="255"/>
      <c r="S341" s="3"/>
      <c r="T341" s="3"/>
      <c r="U341" s="3"/>
      <c r="V341" s="3"/>
      <c r="W341" s="3"/>
      <c r="X341" s="3"/>
      <c r="Y341" s="3"/>
      <c r="Z341" s="3"/>
    </row>
    <row r="342" ht="15.75" customHeight="1">
      <c r="A342" s="3"/>
      <c r="B342" s="2"/>
      <c r="C342" s="2"/>
      <c r="D342" s="2"/>
      <c r="E342" s="464"/>
      <c r="F342" s="2"/>
      <c r="G342" s="2"/>
      <c r="H342" s="2"/>
      <c r="I342" s="2"/>
      <c r="J342" s="2"/>
      <c r="K342" s="2"/>
      <c r="L342" s="2"/>
      <c r="M342" s="2"/>
      <c r="N342" s="2"/>
      <c r="O342" s="2"/>
      <c r="P342" s="2"/>
      <c r="Q342" s="2"/>
      <c r="R342" s="255"/>
      <c r="S342" s="3"/>
      <c r="T342" s="3"/>
      <c r="U342" s="3"/>
      <c r="V342" s="3"/>
      <c r="W342" s="3"/>
      <c r="X342" s="3"/>
      <c r="Y342" s="3"/>
      <c r="Z342" s="3"/>
    </row>
    <row r="343" ht="15.75" customHeight="1">
      <c r="A343" s="3"/>
      <c r="B343" s="2"/>
      <c r="C343" s="2"/>
      <c r="D343" s="2"/>
      <c r="E343" s="464"/>
      <c r="F343" s="2"/>
      <c r="G343" s="2"/>
      <c r="H343" s="2"/>
      <c r="I343" s="2"/>
      <c r="J343" s="2"/>
      <c r="K343" s="2"/>
      <c r="L343" s="2"/>
      <c r="M343" s="2"/>
      <c r="N343" s="2"/>
      <c r="O343" s="2"/>
      <c r="P343" s="2"/>
      <c r="Q343" s="2"/>
      <c r="R343" s="255"/>
      <c r="S343" s="3"/>
      <c r="T343" s="3"/>
      <c r="U343" s="3"/>
      <c r="V343" s="3"/>
      <c r="W343" s="3"/>
      <c r="X343" s="3"/>
      <c r="Y343" s="3"/>
      <c r="Z343" s="3"/>
    </row>
    <row r="344" ht="15.75" customHeight="1">
      <c r="A344" s="3"/>
      <c r="B344" s="2"/>
      <c r="C344" s="2"/>
      <c r="D344" s="2"/>
      <c r="E344" s="464"/>
      <c r="F344" s="2"/>
      <c r="G344" s="2"/>
      <c r="H344" s="2"/>
      <c r="I344" s="2"/>
      <c r="J344" s="2"/>
      <c r="K344" s="2"/>
      <c r="L344" s="2"/>
      <c r="M344" s="2"/>
      <c r="N344" s="2"/>
      <c r="O344" s="2"/>
      <c r="P344" s="2"/>
      <c r="Q344" s="2"/>
      <c r="R344" s="255"/>
      <c r="S344" s="3"/>
      <c r="T344" s="3"/>
      <c r="U344" s="3"/>
      <c r="V344" s="3"/>
      <c r="W344" s="3"/>
      <c r="X344" s="3"/>
      <c r="Y344" s="3"/>
      <c r="Z344" s="3"/>
    </row>
    <row r="345" ht="15.75" customHeight="1">
      <c r="A345" s="3"/>
      <c r="B345" s="2"/>
      <c r="C345" s="2"/>
      <c r="D345" s="2"/>
      <c r="E345" s="464"/>
      <c r="F345" s="2"/>
      <c r="G345" s="2"/>
      <c r="H345" s="2"/>
      <c r="I345" s="2"/>
      <c r="J345" s="2"/>
      <c r="K345" s="2"/>
      <c r="L345" s="2"/>
      <c r="M345" s="2"/>
      <c r="N345" s="2"/>
      <c r="O345" s="2"/>
      <c r="P345" s="2"/>
      <c r="Q345" s="2"/>
      <c r="R345" s="255"/>
      <c r="S345" s="3"/>
      <c r="T345" s="3"/>
      <c r="U345" s="3"/>
      <c r="V345" s="3"/>
      <c r="W345" s="3"/>
      <c r="X345" s="3"/>
      <c r="Y345" s="3"/>
      <c r="Z345" s="3"/>
    </row>
    <row r="346" ht="15.75" customHeight="1">
      <c r="A346" s="3"/>
      <c r="B346" s="2"/>
      <c r="C346" s="2"/>
      <c r="D346" s="2"/>
      <c r="E346" s="464"/>
      <c r="F346" s="2"/>
      <c r="G346" s="2"/>
      <c r="H346" s="2"/>
      <c r="I346" s="2"/>
      <c r="J346" s="2"/>
      <c r="K346" s="2"/>
      <c r="L346" s="2"/>
      <c r="M346" s="2"/>
      <c r="N346" s="2"/>
      <c r="O346" s="2"/>
      <c r="P346" s="2"/>
      <c r="Q346" s="2"/>
      <c r="R346" s="255"/>
      <c r="S346" s="3"/>
      <c r="T346" s="3"/>
      <c r="U346" s="3"/>
      <c r="V346" s="3"/>
      <c r="W346" s="3"/>
      <c r="X346" s="3"/>
      <c r="Y346" s="3"/>
      <c r="Z346" s="3"/>
    </row>
    <row r="347" ht="15.75" customHeight="1">
      <c r="A347" s="3"/>
      <c r="B347" s="2"/>
      <c r="C347" s="2"/>
      <c r="D347" s="2"/>
      <c r="E347" s="464"/>
      <c r="F347" s="2"/>
      <c r="G347" s="2"/>
      <c r="H347" s="2"/>
      <c r="I347" s="2"/>
      <c r="J347" s="2"/>
      <c r="K347" s="2"/>
      <c r="L347" s="2"/>
      <c r="M347" s="2"/>
      <c r="N347" s="2"/>
      <c r="O347" s="2"/>
      <c r="P347" s="2"/>
      <c r="Q347" s="2"/>
      <c r="R347" s="255"/>
      <c r="S347" s="3"/>
      <c r="T347" s="3"/>
      <c r="U347" s="3"/>
      <c r="V347" s="3"/>
      <c r="W347" s="3"/>
      <c r="X347" s="3"/>
      <c r="Y347" s="3"/>
      <c r="Z347" s="3"/>
    </row>
    <row r="348" ht="15.75" customHeight="1">
      <c r="A348" s="3"/>
      <c r="B348" s="2"/>
      <c r="C348" s="2"/>
      <c r="D348" s="2"/>
      <c r="E348" s="464"/>
      <c r="F348" s="2"/>
      <c r="G348" s="2"/>
      <c r="H348" s="2"/>
      <c r="I348" s="2"/>
      <c r="J348" s="2"/>
      <c r="K348" s="2"/>
      <c r="L348" s="2"/>
      <c r="M348" s="2"/>
      <c r="N348" s="2"/>
      <c r="O348" s="2"/>
      <c r="P348" s="2"/>
      <c r="Q348" s="2"/>
      <c r="R348" s="255"/>
      <c r="S348" s="3"/>
      <c r="T348" s="3"/>
      <c r="U348" s="3"/>
      <c r="V348" s="3"/>
      <c r="W348" s="3"/>
      <c r="X348" s="3"/>
      <c r="Y348" s="3"/>
      <c r="Z348" s="3"/>
    </row>
    <row r="349" ht="15.75" customHeight="1">
      <c r="A349" s="3"/>
      <c r="B349" s="2"/>
      <c r="C349" s="2"/>
      <c r="D349" s="2"/>
      <c r="E349" s="464"/>
      <c r="F349" s="2"/>
      <c r="G349" s="2"/>
      <c r="H349" s="2"/>
      <c r="I349" s="2"/>
      <c r="J349" s="2"/>
      <c r="K349" s="2"/>
      <c r="L349" s="2"/>
      <c r="M349" s="2"/>
      <c r="N349" s="2"/>
      <c r="O349" s="2"/>
      <c r="P349" s="2"/>
      <c r="Q349" s="2"/>
      <c r="R349" s="255"/>
      <c r="S349" s="3"/>
      <c r="T349" s="3"/>
      <c r="U349" s="3"/>
      <c r="V349" s="3"/>
      <c r="W349" s="3"/>
      <c r="X349" s="3"/>
      <c r="Y349" s="3"/>
      <c r="Z349" s="3"/>
    </row>
    <row r="350" ht="15.75" customHeight="1">
      <c r="A350" s="3"/>
      <c r="B350" s="2"/>
      <c r="C350" s="2"/>
      <c r="D350" s="2"/>
      <c r="E350" s="464"/>
      <c r="F350" s="2"/>
      <c r="G350" s="2"/>
      <c r="H350" s="2"/>
      <c r="I350" s="2"/>
      <c r="J350" s="2"/>
      <c r="K350" s="2"/>
      <c r="L350" s="2"/>
      <c r="M350" s="2"/>
      <c r="N350" s="2"/>
      <c r="O350" s="2"/>
      <c r="P350" s="2"/>
      <c r="Q350" s="2"/>
      <c r="R350" s="255"/>
      <c r="S350" s="3"/>
      <c r="T350" s="3"/>
      <c r="U350" s="3"/>
      <c r="V350" s="3"/>
      <c r="W350" s="3"/>
      <c r="X350" s="3"/>
      <c r="Y350" s="3"/>
      <c r="Z350" s="3"/>
    </row>
    <row r="351" ht="15.75" customHeight="1">
      <c r="A351" s="3"/>
      <c r="B351" s="2"/>
      <c r="C351" s="2"/>
      <c r="D351" s="2"/>
      <c r="E351" s="464"/>
      <c r="F351" s="2"/>
      <c r="G351" s="2"/>
      <c r="H351" s="2"/>
      <c r="I351" s="2"/>
      <c r="J351" s="2"/>
      <c r="K351" s="2"/>
      <c r="L351" s="2"/>
      <c r="M351" s="2"/>
      <c r="N351" s="2"/>
      <c r="O351" s="2"/>
      <c r="P351" s="2"/>
      <c r="Q351" s="2"/>
      <c r="R351" s="255"/>
      <c r="S351" s="3"/>
      <c r="T351" s="3"/>
      <c r="U351" s="3"/>
      <c r="V351" s="3"/>
      <c r="W351" s="3"/>
      <c r="X351" s="3"/>
      <c r="Y351" s="3"/>
      <c r="Z351" s="3"/>
    </row>
    <row r="352" ht="15.75" customHeight="1">
      <c r="A352" s="3"/>
      <c r="B352" s="2"/>
      <c r="C352" s="2"/>
      <c r="D352" s="2"/>
      <c r="E352" s="464"/>
      <c r="F352" s="2"/>
      <c r="G352" s="2"/>
      <c r="H352" s="2"/>
      <c r="I352" s="2"/>
      <c r="J352" s="2"/>
      <c r="K352" s="2"/>
      <c r="L352" s="2"/>
      <c r="M352" s="2"/>
      <c r="N352" s="2"/>
      <c r="O352" s="2"/>
      <c r="P352" s="2"/>
      <c r="Q352" s="2"/>
      <c r="R352" s="255"/>
      <c r="S352" s="3"/>
      <c r="T352" s="3"/>
      <c r="U352" s="3"/>
      <c r="V352" s="3"/>
      <c r="W352" s="3"/>
      <c r="X352" s="3"/>
      <c r="Y352" s="3"/>
      <c r="Z352" s="3"/>
    </row>
    <row r="353" ht="15.75" customHeight="1">
      <c r="A353" s="3"/>
      <c r="B353" s="2"/>
      <c r="C353" s="2"/>
      <c r="D353" s="2"/>
      <c r="E353" s="464"/>
      <c r="F353" s="2"/>
      <c r="G353" s="2"/>
      <c r="H353" s="2"/>
      <c r="I353" s="2"/>
      <c r="J353" s="2"/>
      <c r="K353" s="2"/>
      <c r="L353" s="2"/>
      <c r="M353" s="2"/>
      <c r="N353" s="2"/>
      <c r="O353" s="2"/>
      <c r="P353" s="2"/>
      <c r="Q353" s="2"/>
      <c r="R353" s="255"/>
      <c r="S353" s="3"/>
      <c r="T353" s="3"/>
      <c r="U353" s="3"/>
      <c r="V353" s="3"/>
      <c r="W353" s="3"/>
      <c r="X353" s="3"/>
      <c r="Y353" s="3"/>
      <c r="Z353" s="3"/>
    </row>
    <row r="354" ht="15.75" customHeight="1">
      <c r="A354" s="3"/>
      <c r="B354" s="2"/>
      <c r="C354" s="2"/>
      <c r="D354" s="2"/>
      <c r="E354" s="464"/>
      <c r="F354" s="2"/>
      <c r="G354" s="2"/>
      <c r="H354" s="2"/>
      <c r="I354" s="2"/>
      <c r="J354" s="2"/>
      <c r="K354" s="2"/>
      <c r="L354" s="2"/>
      <c r="M354" s="2"/>
      <c r="N354" s="2"/>
      <c r="O354" s="2"/>
      <c r="P354" s="2"/>
      <c r="Q354" s="2"/>
      <c r="R354" s="255"/>
      <c r="S354" s="3"/>
      <c r="T354" s="3"/>
      <c r="U354" s="3"/>
      <c r="V354" s="3"/>
      <c r="W354" s="3"/>
      <c r="X354" s="3"/>
      <c r="Y354" s="3"/>
      <c r="Z354" s="3"/>
    </row>
    <row r="355" ht="15.75" customHeight="1">
      <c r="A355" s="3"/>
      <c r="B355" s="2"/>
      <c r="C355" s="2"/>
      <c r="D355" s="2"/>
      <c r="E355" s="464"/>
      <c r="F355" s="2"/>
      <c r="G355" s="2"/>
      <c r="H355" s="2"/>
      <c r="I355" s="2"/>
      <c r="J355" s="2"/>
      <c r="K355" s="2"/>
      <c r="L355" s="2"/>
      <c r="M355" s="2"/>
      <c r="N355" s="2"/>
      <c r="O355" s="2"/>
      <c r="P355" s="2"/>
      <c r="Q355" s="2"/>
      <c r="R355" s="255"/>
      <c r="S355" s="3"/>
      <c r="T355" s="3"/>
      <c r="U355" s="3"/>
      <c r="V355" s="3"/>
      <c r="W355" s="3"/>
      <c r="X355" s="3"/>
      <c r="Y355" s="3"/>
      <c r="Z355" s="3"/>
    </row>
    <row r="356" ht="15.75" customHeight="1">
      <c r="A356" s="3"/>
      <c r="B356" s="2"/>
      <c r="C356" s="2"/>
      <c r="D356" s="2"/>
      <c r="E356" s="464"/>
      <c r="F356" s="2"/>
      <c r="G356" s="2"/>
      <c r="H356" s="2"/>
      <c r="I356" s="2"/>
      <c r="J356" s="2"/>
      <c r="K356" s="2"/>
      <c r="L356" s="2"/>
      <c r="M356" s="2"/>
      <c r="N356" s="2"/>
      <c r="O356" s="2"/>
      <c r="P356" s="2"/>
      <c r="Q356" s="2"/>
      <c r="R356" s="255"/>
      <c r="S356" s="3"/>
      <c r="T356" s="3"/>
      <c r="U356" s="3"/>
      <c r="V356" s="3"/>
      <c r="W356" s="3"/>
      <c r="X356" s="3"/>
      <c r="Y356" s="3"/>
      <c r="Z356" s="3"/>
    </row>
    <row r="357" ht="15.75" customHeight="1">
      <c r="A357" s="3"/>
      <c r="B357" s="2"/>
      <c r="C357" s="2"/>
      <c r="D357" s="2"/>
      <c r="E357" s="464"/>
      <c r="F357" s="2"/>
      <c r="G357" s="2"/>
      <c r="H357" s="2"/>
      <c r="I357" s="2"/>
      <c r="J357" s="2"/>
      <c r="K357" s="2"/>
      <c r="L357" s="2"/>
      <c r="M357" s="2"/>
      <c r="N357" s="2"/>
      <c r="O357" s="2"/>
      <c r="P357" s="2"/>
      <c r="Q357" s="2"/>
      <c r="R357" s="255"/>
      <c r="S357" s="3"/>
      <c r="T357" s="3"/>
      <c r="U357" s="3"/>
      <c r="V357" s="3"/>
      <c r="W357" s="3"/>
      <c r="X357" s="3"/>
      <c r="Y357" s="3"/>
      <c r="Z357" s="3"/>
    </row>
    <row r="358" ht="15.75" customHeight="1">
      <c r="A358" s="3"/>
      <c r="B358" s="2"/>
      <c r="C358" s="2"/>
      <c r="D358" s="2"/>
      <c r="E358" s="464"/>
      <c r="F358" s="2"/>
      <c r="G358" s="2"/>
      <c r="H358" s="2"/>
      <c r="I358" s="2"/>
      <c r="J358" s="2"/>
      <c r="K358" s="2"/>
      <c r="L358" s="2"/>
      <c r="M358" s="2"/>
      <c r="N358" s="2"/>
      <c r="O358" s="2"/>
      <c r="P358" s="2"/>
      <c r="Q358" s="2"/>
      <c r="R358" s="255"/>
      <c r="S358" s="3"/>
      <c r="T358" s="3"/>
      <c r="U358" s="3"/>
      <c r="V358" s="3"/>
      <c r="W358" s="3"/>
      <c r="X358" s="3"/>
      <c r="Y358" s="3"/>
      <c r="Z358" s="3"/>
    </row>
    <row r="359" ht="15.75" customHeight="1">
      <c r="A359" s="3"/>
      <c r="B359" s="2"/>
      <c r="C359" s="2"/>
      <c r="D359" s="2"/>
      <c r="E359" s="464"/>
      <c r="F359" s="2"/>
      <c r="G359" s="2"/>
      <c r="H359" s="2"/>
      <c r="I359" s="2"/>
      <c r="J359" s="2"/>
      <c r="K359" s="2"/>
      <c r="L359" s="2"/>
      <c r="M359" s="2"/>
      <c r="N359" s="2"/>
      <c r="O359" s="2"/>
      <c r="P359" s="2"/>
      <c r="Q359" s="2"/>
      <c r="R359" s="255"/>
      <c r="S359" s="3"/>
      <c r="T359" s="3"/>
      <c r="U359" s="3"/>
      <c r="V359" s="3"/>
      <c r="W359" s="3"/>
      <c r="X359" s="3"/>
      <c r="Y359" s="3"/>
      <c r="Z359" s="3"/>
    </row>
    <row r="360" ht="15.75" customHeight="1">
      <c r="A360" s="3"/>
      <c r="B360" s="2"/>
      <c r="C360" s="2"/>
      <c r="D360" s="2"/>
      <c r="E360" s="464"/>
      <c r="F360" s="2"/>
      <c r="G360" s="2"/>
      <c r="H360" s="2"/>
      <c r="I360" s="2"/>
      <c r="J360" s="2"/>
      <c r="K360" s="2"/>
      <c r="L360" s="2"/>
      <c r="M360" s="2"/>
      <c r="N360" s="2"/>
      <c r="O360" s="2"/>
      <c r="P360" s="2"/>
      <c r="Q360" s="2"/>
      <c r="R360" s="255"/>
      <c r="S360" s="3"/>
      <c r="T360" s="3"/>
      <c r="U360" s="3"/>
      <c r="V360" s="3"/>
      <c r="W360" s="3"/>
      <c r="X360" s="3"/>
      <c r="Y360" s="3"/>
      <c r="Z360" s="3"/>
    </row>
    <row r="361" ht="15.75" customHeight="1">
      <c r="A361" s="3"/>
      <c r="B361" s="2"/>
      <c r="C361" s="2"/>
      <c r="D361" s="2"/>
      <c r="E361" s="464"/>
      <c r="F361" s="2"/>
      <c r="G361" s="2"/>
      <c r="H361" s="2"/>
      <c r="I361" s="2"/>
      <c r="J361" s="2"/>
      <c r="K361" s="2"/>
      <c r="L361" s="2"/>
      <c r="M361" s="2"/>
      <c r="N361" s="2"/>
      <c r="O361" s="2"/>
      <c r="P361" s="2"/>
      <c r="Q361" s="2"/>
      <c r="R361" s="255"/>
      <c r="S361" s="3"/>
      <c r="T361" s="3"/>
      <c r="U361" s="3"/>
      <c r="V361" s="3"/>
      <c r="W361" s="3"/>
      <c r="X361" s="3"/>
      <c r="Y361" s="3"/>
      <c r="Z361" s="3"/>
    </row>
    <row r="362" ht="15.75" customHeight="1">
      <c r="A362" s="3"/>
      <c r="B362" s="2"/>
      <c r="C362" s="2"/>
      <c r="D362" s="2"/>
      <c r="E362" s="464"/>
      <c r="F362" s="2"/>
      <c r="G362" s="2"/>
      <c r="H362" s="2"/>
      <c r="I362" s="2"/>
      <c r="J362" s="2"/>
      <c r="K362" s="2"/>
      <c r="L362" s="2"/>
      <c r="M362" s="2"/>
      <c r="N362" s="2"/>
      <c r="O362" s="2"/>
      <c r="P362" s="2"/>
      <c r="Q362" s="2"/>
      <c r="R362" s="255"/>
      <c r="S362" s="3"/>
      <c r="T362" s="3"/>
      <c r="U362" s="3"/>
      <c r="V362" s="3"/>
      <c r="W362" s="3"/>
      <c r="X362" s="3"/>
      <c r="Y362" s="3"/>
      <c r="Z362" s="3"/>
    </row>
    <row r="363" ht="15.75" customHeight="1">
      <c r="A363" s="3"/>
      <c r="B363" s="2"/>
      <c r="C363" s="2"/>
      <c r="D363" s="2"/>
      <c r="E363" s="464"/>
      <c r="F363" s="2"/>
      <c r="G363" s="2"/>
      <c r="H363" s="2"/>
      <c r="I363" s="2"/>
      <c r="J363" s="2"/>
      <c r="K363" s="2"/>
      <c r="L363" s="2"/>
      <c r="M363" s="2"/>
      <c r="N363" s="2"/>
      <c r="O363" s="2"/>
      <c r="P363" s="2"/>
      <c r="Q363" s="2"/>
      <c r="R363" s="255"/>
      <c r="S363" s="3"/>
      <c r="T363" s="3"/>
      <c r="U363" s="3"/>
      <c r="V363" s="3"/>
      <c r="W363" s="3"/>
      <c r="X363" s="3"/>
      <c r="Y363" s="3"/>
      <c r="Z363" s="3"/>
    </row>
    <row r="364" ht="15.75" customHeight="1">
      <c r="A364" s="3"/>
      <c r="B364" s="2"/>
      <c r="C364" s="2"/>
      <c r="D364" s="2"/>
      <c r="E364" s="464"/>
      <c r="F364" s="2"/>
      <c r="G364" s="2"/>
      <c r="H364" s="2"/>
      <c r="I364" s="2"/>
      <c r="J364" s="2"/>
      <c r="K364" s="2"/>
      <c r="L364" s="2"/>
      <c r="M364" s="2"/>
      <c r="N364" s="2"/>
      <c r="O364" s="2"/>
      <c r="P364" s="2"/>
      <c r="Q364" s="2"/>
      <c r="R364" s="255"/>
      <c r="S364" s="3"/>
      <c r="T364" s="3"/>
      <c r="U364" s="3"/>
      <c r="V364" s="3"/>
      <c r="W364" s="3"/>
      <c r="X364" s="3"/>
      <c r="Y364" s="3"/>
      <c r="Z364" s="3"/>
    </row>
    <row r="365" ht="15.75" customHeight="1">
      <c r="A365" s="3"/>
      <c r="B365" s="2"/>
      <c r="C365" s="2"/>
      <c r="D365" s="2"/>
      <c r="E365" s="464"/>
      <c r="F365" s="2"/>
      <c r="G365" s="2"/>
      <c r="H365" s="2"/>
      <c r="I365" s="2"/>
      <c r="J365" s="2"/>
      <c r="K365" s="2"/>
      <c r="L365" s="2"/>
      <c r="M365" s="2"/>
      <c r="N365" s="2"/>
      <c r="O365" s="2"/>
      <c r="P365" s="2"/>
      <c r="Q365" s="2"/>
      <c r="R365" s="255"/>
      <c r="S365" s="3"/>
      <c r="T365" s="3"/>
      <c r="U365" s="3"/>
      <c r="V365" s="3"/>
      <c r="W365" s="3"/>
      <c r="X365" s="3"/>
      <c r="Y365" s="3"/>
      <c r="Z365" s="3"/>
    </row>
    <row r="366" ht="15.75" customHeight="1">
      <c r="A366" s="3"/>
      <c r="B366" s="2"/>
      <c r="C366" s="2"/>
      <c r="D366" s="2"/>
      <c r="E366" s="464"/>
      <c r="F366" s="2"/>
      <c r="G366" s="2"/>
      <c r="H366" s="2"/>
      <c r="I366" s="2"/>
      <c r="J366" s="2"/>
      <c r="K366" s="2"/>
      <c r="L366" s="2"/>
      <c r="M366" s="2"/>
      <c r="N366" s="2"/>
      <c r="O366" s="2"/>
      <c r="P366" s="2"/>
      <c r="Q366" s="2"/>
      <c r="R366" s="255"/>
      <c r="S366" s="3"/>
      <c r="T366" s="3"/>
      <c r="U366" s="3"/>
      <c r="V366" s="3"/>
      <c r="W366" s="3"/>
      <c r="X366" s="3"/>
      <c r="Y366" s="3"/>
      <c r="Z366" s="3"/>
    </row>
    <row r="367" ht="15.75" customHeight="1">
      <c r="A367" s="3"/>
      <c r="B367" s="2"/>
      <c r="C367" s="2"/>
      <c r="D367" s="2"/>
      <c r="E367" s="464"/>
      <c r="F367" s="2"/>
      <c r="G367" s="2"/>
      <c r="H367" s="2"/>
      <c r="I367" s="2"/>
      <c r="J367" s="2"/>
      <c r="K367" s="2"/>
      <c r="L367" s="2"/>
      <c r="M367" s="2"/>
      <c r="N367" s="2"/>
      <c r="O367" s="2"/>
      <c r="P367" s="2"/>
      <c r="Q367" s="2"/>
      <c r="R367" s="255"/>
      <c r="S367" s="3"/>
      <c r="T367" s="3"/>
      <c r="U367" s="3"/>
      <c r="V367" s="3"/>
      <c r="W367" s="3"/>
      <c r="X367" s="3"/>
      <c r="Y367" s="3"/>
      <c r="Z367" s="3"/>
    </row>
    <row r="368" ht="15.75" customHeight="1">
      <c r="A368" s="3"/>
      <c r="B368" s="2"/>
      <c r="C368" s="2"/>
      <c r="D368" s="2"/>
      <c r="E368" s="464"/>
      <c r="F368" s="2"/>
      <c r="G368" s="2"/>
      <c r="H368" s="2"/>
      <c r="I368" s="2"/>
      <c r="J368" s="2"/>
      <c r="K368" s="2"/>
      <c r="L368" s="2"/>
      <c r="M368" s="2"/>
      <c r="N368" s="2"/>
      <c r="O368" s="2"/>
      <c r="P368" s="2"/>
      <c r="Q368" s="2"/>
      <c r="R368" s="255"/>
      <c r="S368" s="3"/>
      <c r="T368" s="3"/>
      <c r="U368" s="3"/>
      <c r="V368" s="3"/>
      <c r="W368" s="3"/>
      <c r="X368" s="3"/>
      <c r="Y368" s="3"/>
      <c r="Z368" s="3"/>
    </row>
    <row r="369" ht="15.75" customHeight="1">
      <c r="A369" s="3"/>
      <c r="B369" s="2"/>
      <c r="C369" s="2"/>
      <c r="D369" s="2"/>
      <c r="E369" s="464"/>
      <c r="F369" s="2"/>
      <c r="G369" s="2"/>
      <c r="H369" s="2"/>
      <c r="I369" s="2"/>
      <c r="J369" s="2"/>
      <c r="K369" s="2"/>
      <c r="L369" s="2"/>
      <c r="M369" s="2"/>
      <c r="N369" s="2"/>
      <c r="O369" s="2"/>
      <c r="P369" s="2"/>
      <c r="Q369" s="2"/>
      <c r="R369" s="255"/>
      <c r="S369" s="3"/>
      <c r="T369" s="3"/>
      <c r="U369" s="3"/>
      <c r="V369" s="3"/>
      <c r="W369" s="3"/>
      <c r="X369" s="3"/>
      <c r="Y369" s="3"/>
      <c r="Z369" s="3"/>
    </row>
    <row r="370" ht="15.75" customHeight="1">
      <c r="A370" s="3"/>
      <c r="B370" s="2"/>
      <c r="C370" s="2"/>
      <c r="D370" s="2"/>
      <c r="E370" s="464"/>
      <c r="F370" s="2"/>
      <c r="G370" s="2"/>
      <c r="H370" s="2"/>
      <c r="I370" s="2"/>
      <c r="J370" s="2"/>
      <c r="K370" s="2"/>
      <c r="L370" s="2"/>
      <c r="M370" s="2"/>
      <c r="N370" s="2"/>
      <c r="O370" s="2"/>
      <c r="P370" s="2"/>
      <c r="Q370" s="2"/>
      <c r="R370" s="255"/>
      <c r="S370" s="3"/>
      <c r="T370" s="3"/>
      <c r="U370" s="3"/>
      <c r="V370" s="3"/>
      <c r="W370" s="3"/>
      <c r="X370" s="3"/>
      <c r="Y370" s="3"/>
      <c r="Z370" s="3"/>
    </row>
    <row r="371" ht="15.75" customHeight="1">
      <c r="A371" s="3"/>
      <c r="B371" s="2"/>
      <c r="C371" s="2"/>
      <c r="D371" s="2"/>
      <c r="E371" s="464"/>
      <c r="F371" s="2"/>
      <c r="G371" s="2"/>
      <c r="H371" s="2"/>
      <c r="I371" s="2"/>
      <c r="J371" s="2"/>
      <c r="K371" s="2"/>
      <c r="L371" s="2"/>
      <c r="M371" s="2"/>
      <c r="N371" s="2"/>
      <c r="O371" s="2"/>
      <c r="P371" s="2"/>
      <c r="Q371" s="2"/>
      <c r="R371" s="255"/>
      <c r="S371" s="3"/>
      <c r="T371" s="3"/>
      <c r="U371" s="3"/>
      <c r="V371" s="3"/>
      <c r="W371" s="3"/>
      <c r="X371" s="3"/>
      <c r="Y371" s="3"/>
      <c r="Z371" s="3"/>
    </row>
    <row r="372" ht="15.75" customHeight="1">
      <c r="A372" s="3"/>
      <c r="B372" s="2"/>
      <c r="C372" s="2"/>
      <c r="D372" s="2"/>
      <c r="E372" s="464"/>
      <c r="F372" s="2"/>
      <c r="G372" s="2"/>
      <c r="H372" s="2"/>
      <c r="I372" s="2"/>
      <c r="J372" s="2"/>
      <c r="K372" s="2"/>
      <c r="L372" s="2"/>
      <c r="M372" s="2"/>
      <c r="N372" s="2"/>
      <c r="O372" s="2"/>
      <c r="P372" s="2"/>
      <c r="Q372" s="2"/>
      <c r="R372" s="255"/>
      <c r="S372" s="3"/>
      <c r="T372" s="3"/>
      <c r="U372" s="3"/>
      <c r="V372" s="3"/>
      <c r="W372" s="3"/>
      <c r="X372" s="3"/>
      <c r="Y372" s="3"/>
      <c r="Z372" s="3"/>
    </row>
    <row r="373" ht="15.75" customHeight="1">
      <c r="A373" s="3"/>
      <c r="B373" s="2"/>
      <c r="C373" s="2"/>
      <c r="D373" s="2"/>
      <c r="E373" s="464"/>
      <c r="F373" s="2"/>
      <c r="G373" s="2"/>
      <c r="H373" s="2"/>
      <c r="I373" s="2"/>
      <c r="J373" s="2"/>
      <c r="K373" s="2"/>
      <c r="L373" s="2"/>
      <c r="M373" s="2"/>
      <c r="N373" s="2"/>
      <c r="O373" s="2"/>
      <c r="P373" s="2"/>
      <c r="Q373" s="2"/>
      <c r="R373" s="255"/>
      <c r="S373" s="3"/>
      <c r="T373" s="3"/>
      <c r="U373" s="3"/>
      <c r="V373" s="3"/>
      <c r="W373" s="3"/>
      <c r="X373" s="3"/>
      <c r="Y373" s="3"/>
      <c r="Z373" s="3"/>
    </row>
    <row r="374" ht="15.75" customHeight="1">
      <c r="A374" s="3"/>
      <c r="B374" s="2"/>
      <c r="C374" s="2"/>
      <c r="D374" s="2"/>
      <c r="E374" s="464"/>
      <c r="F374" s="2"/>
      <c r="G374" s="2"/>
      <c r="H374" s="2"/>
      <c r="I374" s="2"/>
      <c r="J374" s="2"/>
      <c r="K374" s="2"/>
      <c r="L374" s="2"/>
      <c r="M374" s="2"/>
      <c r="N374" s="2"/>
      <c r="O374" s="2"/>
      <c r="P374" s="2"/>
      <c r="Q374" s="2"/>
      <c r="R374" s="255"/>
      <c r="S374" s="3"/>
      <c r="T374" s="3"/>
      <c r="U374" s="3"/>
      <c r="V374" s="3"/>
      <c r="W374" s="3"/>
      <c r="X374" s="3"/>
      <c r="Y374" s="3"/>
      <c r="Z374" s="3"/>
    </row>
    <row r="375" ht="15.75" customHeight="1">
      <c r="A375" s="3"/>
      <c r="B375" s="2"/>
      <c r="C375" s="2"/>
      <c r="D375" s="2"/>
      <c r="E375" s="464"/>
      <c r="F375" s="2"/>
      <c r="G375" s="2"/>
      <c r="H375" s="2"/>
      <c r="I375" s="2"/>
      <c r="J375" s="2"/>
      <c r="K375" s="2"/>
      <c r="L375" s="2"/>
      <c r="M375" s="2"/>
      <c r="N375" s="2"/>
      <c r="O375" s="2"/>
      <c r="P375" s="2"/>
      <c r="Q375" s="2"/>
      <c r="R375" s="255"/>
      <c r="S375" s="3"/>
      <c r="T375" s="3"/>
      <c r="U375" s="3"/>
      <c r="V375" s="3"/>
      <c r="W375" s="3"/>
      <c r="X375" s="3"/>
      <c r="Y375" s="3"/>
      <c r="Z375" s="3"/>
    </row>
    <row r="376" ht="15.75" customHeight="1">
      <c r="A376" s="3"/>
      <c r="B376" s="2"/>
      <c r="C376" s="2"/>
      <c r="D376" s="2"/>
      <c r="E376" s="464"/>
      <c r="F376" s="2"/>
      <c r="G376" s="2"/>
      <c r="H376" s="2"/>
      <c r="I376" s="2"/>
      <c r="J376" s="2"/>
      <c r="K376" s="2"/>
      <c r="L376" s="2"/>
      <c r="M376" s="2"/>
      <c r="N376" s="2"/>
      <c r="O376" s="2"/>
      <c r="P376" s="2"/>
      <c r="Q376" s="2"/>
      <c r="R376" s="255"/>
      <c r="S376" s="3"/>
      <c r="T376" s="3"/>
      <c r="U376" s="3"/>
      <c r="V376" s="3"/>
      <c r="W376" s="3"/>
      <c r="X376" s="3"/>
      <c r="Y376" s="3"/>
      <c r="Z376" s="3"/>
    </row>
    <row r="377" ht="15.75" customHeight="1">
      <c r="A377" s="3"/>
      <c r="B377" s="2"/>
      <c r="C377" s="2"/>
      <c r="D377" s="2"/>
      <c r="E377" s="464"/>
      <c r="F377" s="2"/>
      <c r="G377" s="2"/>
      <c r="H377" s="2"/>
      <c r="I377" s="2"/>
      <c r="J377" s="2"/>
      <c r="K377" s="2"/>
      <c r="L377" s="2"/>
      <c r="M377" s="2"/>
      <c r="N377" s="2"/>
      <c r="O377" s="2"/>
      <c r="P377" s="2"/>
      <c r="Q377" s="2"/>
      <c r="R377" s="255"/>
      <c r="S377" s="3"/>
      <c r="T377" s="3"/>
      <c r="U377" s="3"/>
      <c r="V377" s="3"/>
      <c r="W377" s="3"/>
      <c r="X377" s="3"/>
      <c r="Y377" s="3"/>
      <c r="Z377" s="3"/>
    </row>
    <row r="378" ht="15.75" customHeight="1">
      <c r="A378" s="3"/>
      <c r="B378" s="2"/>
      <c r="C378" s="2"/>
      <c r="D378" s="2"/>
      <c r="E378" s="464"/>
      <c r="F378" s="2"/>
      <c r="G378" s="2"/>
      <c r="H378" s="2"/>
      <c r="I378" s="2"/>
      <c r="J378" s="2"/>
      <c r="K378" s="2"/>
      <c r="L378" s="2"/>
      <c r="M378" s="2"/>
      <c r="N378" s="2"/>
      <c r="O378" s="2"/>
      <c r="P378" s="2"/>
      <c r="Q378" s="2"/>
      <c r="R378" s="255"/>
      <c r="S378" s="3"/>
      <c r="T378" s="3"/>
      <c r="U378" s="3"/>
      <c r="V378" s="3"/>
      <c r="W378" s="3"/>
      <c r="X378" s="3"/>
      <c r="Y378" s="3"/>
      <c r="Z378" s="3"/>
    </row>
    <row r="379" ht="15.75" customHeight="1">
      <c r="A379" s="3"/>
      <c r="B379" s="2"/>
      <c r="C379" s="2"/>
      <c r="D379" s="2"/>
      <c r="E379" s="464"/>
      <c r="F379" s="2"/>
      <c r="G379" s="2"/>
      <c r="H379" s="2"/>
      <c r="I379" s="2"/>
      <c r="J379" s="2"/>
      <c r="K379" s="2"/>
      <c r="L379" s="2"/>
      <c r="M379" s="2"/>
      <c r="N379" s="2"/>
      <c r="O379" s="2"/>
      <c r="P379" s="2"/>
      <c r="Q379" s="2"/>
      <c r="R379" s="255"/>
      <c r="S379" s="3"/>
      <c r="T379" s="3"/>
      <c r="U379" s="3"/>
      <c r="V379" s="3"/>
      <c r="W379" s="3"/>
      <c r="X379" s="3"/>
      <c r="Y379" s="3"/>
      <c r="Z379" s="3"/>
    </row>
    <row r="380" ht="15.75" customHeight="1">
      <c r="A380" s="3"/>
      <c r="B380" s="2"/>
      <c r="C380" s="2"/>
      <c r="D380" s="2"/>
      <c r="E380" s="464"/>
      <c r="F380" s="2"/>
      <c r="G380" s="2"/>
      <c r="H380" s="2"/>
      <c r="I380" s="2"/>
      <c r="J380" s="2"/>
      <c r="K380" s="2"/>
      <c r="L380" s="2"/>
      <c r="M380" s="2"/>
      <c r="N380" s="2"/>
      <c r="O380" s="2"/>
      <c r="P380" s="2"/>
      <c r="Q380" s="2"/>
      <c r="R380" s="255"/>
      <c r="S380" s="3"/>
      <c r="T380" s="3"/>
      <c r="U380" s="3"/>
      <c r="V380" s="3"/>
      <c r="W380" s="3"/>
      <c r="X380" s="3"/>
      <c r="Y380" s="3"/>
      <c r="Z380" s="3"/>
    </row>
    <row r="381" ht="15.75" customHeight="1">
      <c r="A381" s="3"/>
      <c r="B381" s="2"/>
      <c r="C381" s="2"/>
      <c r="D381" s="2"/>
      <c r="E381" s="464"/>
      <c r="F381" s="2"/>
      <c r="G381" s="2"/>
      <c r="H381" s="2"/>
      <c r="I381" s="2"/>
      <c r="J381" s="2"/>
      <c r="K381" s="2"/>
      <c r="L381" s="2"/>
      <c r="M381" s="2"/>
      <c r="N381" s="2"/>
      <c r="O381" s="2"/>
      <c r="P381" s="2"/>
      <c r="Q381" s="2"/>
      <c r="R381" s="255"/>
      <c r="S381" s="3"/>
      <c r="T381" s="3"/>
      <c r="U381" s="3"/>
      <c r="V381" s="3"/>
      <c r="W381" s="3"/>
      <c r="X381" s="3"/>
      <c r="Y381" s="3"/>
      <c r="Z381" s="3"/>
    </row>
    <row r="382" ht="15.75" customHeight="1">
      <c r="A382" s="3"/>
      <c r="B382" s="2"/>
      <c r="C382" s="2"/>
      <c r="D382" s="2"/>
      <c r="E382" s="464"/>
      <c r="F382" s="2"/>
      <c r="G382" s="2"/>
      <c r="H382" s="2"/>
      <c r="I382" s="2"/>
      <c r="J382" s="2"/>
      <c r="K382" s="2"/>
      <c r="L382" s="2"/>
      <c r="M382" s="2"/>
      <c r="N382" s="2"/>
      <c r="O382" s="2"/>
      <c r="P382" s="2"/>
      <c r="Q382" s="2"/>
      <c r="R382" s="255"/>
      <c r="S382" s="3"/>
      <c r="T382" s="3"/>
      <c r="U382" s="3"/>
      <c r="V382" s="3"/>
      <c r="W382" s="3"/>
      <c r="X382" s="3"/>
      <c r="Y382" s="3"/>
      <c r="Z382" s="3"/>
    </row>
    <row r="383" ht="15.75" customHeight="1">
      <c r="A383" s="3"/>
      <c r="B383" s="2"/>
      <c r="C383" s="2"/>
      <c r="D383" s="2"/>
      <c r="E383" s="464"/>
      <c r="F383" s="2"/>
      <c r="G383" s="2"/>
      <c r="H383" s="2"/>
      <c r="I383" s="2"/>
      <c r="J383" s="2"/>
      <c r="K383" s="2"/>
      <c r="L383" s="2"/>
      <c r="M383" s="2"/>
      <c r="N383" s="2"/>
      <c r="O383" s="2"/>
      <c r="P383" s="2"/>
      <c r="Q383" s="2"/>
      <c r="R383" s="255"/>
      <c r="S383" s="3"/>
      <c r="T383" s="3"/>
      <c r="U383" s="3"/>
      <c r="V383" s="3"/>
      <c r="W383" s="3"/>
      <c r="X383" s="3"/>
      <c r="Y383" s="3"/>
      <c r="Z383" s="3"/>
    </row>
    <row r="384" ht="15.75" customHeight="1">
      <c r="A384" s="3"/>
      <c r="B384" s="2"/>
      <c r="C384" s="2"/>
      <c r="D384" s="2"/>
      <c r="E384" s="464"/>
      <c r="F384" s="2"/>
      <c r="G384" s="2"/>
      <c r="H384" s="2"/>
      <c r="I384" s="2"/>
      <c r="J384" s="2"/>
      <c r="K384" s="2"/>
      <c r="L384" s="2"/>
      <c r="M384" s="2"/>
      <c r="N384" s="2"/>
      <c r="O384" s="2"/>
      <c r="P384" s="2"/>
      <c r="Q384" s="2"/>
      <c r="R384" s="255"/>
      <c r="S384" s="3"/>
      <c r="T384" s="3"/>
      <c r="U384" s="3"/>
      <c r="V384" s="3"/>
      <c r="W384" s="3"/>
      <c r="X384" s="3"/>
      <c r="Y384" s="3"/>
      <c r="Z384" s="3"/>
    </row>
    <row r="385" ht="15.75" customHeight="1">
      <c r="A385" s="3"/>
      <c r="B385" s="2"/>
      <c r="C385" s="2"/>
      <c r="D385" s="2"/>
      <c r="E385" s="464"/>
      <c r="F385" s="2"/>
      <c r="G385" s="2"/>
      <c r="H385" s="2"/>
      <c r="I385" s="2"/>
      <c r="J385" s="2"/>
      <c r="K385" s="2"/>
      <c r="L385" s="2"/>
      <c r="M385" s="2"/>
      <c r="N385" s="2"/>
      <c r="O385" s="2"/>
      <c r="P385" s="2"/>
      <c r="Q385" s="2"/>
      <c r="R385" s="255"/>
      <c r="S385" s="3"/>
      <c r="T385" s="3"/>
      <c r="U385" s="3"/>
      <c r="V385" s="3"/>
      <c r="W385" s="3"/>
      <c r="X385" s="3"/>
      <c r="Y385" s="3"/>
      <c r="Z385" s="3"/>
    </row>
    <row r="386" ht="15.75" customHeight="1">
      <c r="A386" s="3"/>
      <c r="B386" s="2"/>
      <c r="C386" s="2"/>
      <c r="D386" s="2"/>
      <c r="E386" s="464"/>
      <c r="F386" s="2"/>
      <c r="G386" s="2"/>
      <c r="H386" s="2"/>
      <c r="I386" s="2"/>
      <c r="J386" s="2"/>
      <c r="K386" s="2"/>
      <c r="L386" s="2"/>
      <c r="M386" s="2"/>
      <c r="N386" s="2"/>
      <c r="O386" s="2"/>
      <c r="P386" s="2"/>
      <c r="Q386" s="2"/>
      <c r="R386" s="255"/>
      <c r="S386" s="3"/>
      <c r="T386" s="3"/>
      <c r="U386" s="3"/>
      <c r="V386" s="3"/>
      <c r="W386" s="3"/>
      <c r="X386" s="3"/>
      <c r="Y386" s="3"/>
      <c r="Z386" s="3"/>
    </row>
    <row r="387" ht="15.75" customHeight="1">
      <c r="A387" s="3"/>
      <c r="B387" s="2"/>
      <c r="C387" s="2"/>
      <c r="D387" s="2"/>
      <c r="E387" s="464"/>
      <c r="F387" s="2"/>
      <c r="G387" s="2"/>
      <c r="H387" s="2"/>
      <c r="I387" s="2"/>
      <c r="J387" s="2"/>
      <c r="K387" s="2"/>
      <c r="L387" s="2"/>
      <c r="M387" s="2"/>
      <c r="N387" s="2"/>
      <c r="O387" s="2"/>
      <c r="P387" s="2"/>
      <c r="Q387" s="2"/>
      <c r="R387" s="255"/>
      <c r="S387" s="3"/>
      <c r="T387" s="3"/>
      <c r="U387" s="3"/>
      <c r="V387" s="3"/>
      <c r="W387" s="3"/>
      <c r="X387" s="3"/>
      <c r="Y387" s="3"/>
      <c r="Z387" s="3"/>
    </row>
    <row r="388" ht="15.75" customHeight="1">
      <c r="A388" s="3"/>
      <c r="B388" s="2"/>
      <c r="C388" s="2"/>
      <c r="D388" s="2"/>
      <c r="E388" s="464"/>
      <c r="F388" s="2"/>
      <c r="G388" s="2"/>
      <c r="H388" s="2"/>
      <c r="I388" s="2"/>
      <c r="J388" s="2"/>
      <c r="K388" s="2"/>
      <c r="L388" s="2"/>
      <c r="M388" s="2"/>
      <c r="N388" s="2"/>
      <c r="O388" s="2"/>
      <c r="P388" s="2"/>
      <c r="Q388" s="2"/>
      <c r="R388" s="255"/>
      <c r="S388" s="3"/>
      <c r="T388" s="3"/>
      <c r="U388" s="3"/>
      <c r="V388" s="3"/>
      <c r="W388" s="3"/>
      <c r="X388" s="3"/>
      <c r="Y388" s="3"/>
      <c r="Z388" s="3"/>
    </row>
    <row r="389" ht="15.75" customHeight="1">
      <c r="A389" s="3"/>
      <c r="B389" s="2"/>
      <c r="C389" s="2"/>
      <c r="D389" s="2"/>
      <c r="E389" s="464"/>
      <c r="F389" s="2"/>
      <c r="G389" s="2"/>
      <c r="H389" s="2"/>
      <c r="I389" s="2"/>
      <c r="J389" s="2"/>
      <c r="K389" s="2"/>
      <c r="L389" s="2"/>
      <c r="M389" s="2"/>
      <c r="N389" s="2"/>
      <c r="O389" s="2"/>
      <c r="P389" s="2"/>
      <c r="Q389" s="2"/>
      <c r="R389" s="255"/>
      <c r="S389" s="3"/>
      <c r="T389" s="3"/>
      <c r="U389" s="3"/>
      <c r="V389" s="3"/>
      <c r="W389" s="3"/>
      <c r="X389" s="3"/>
      <c r="Y389" s="3"/>
      <c r="Z389" s="3"/>
    </row>
    <row r="390" ht="15.75" customHeight="1">
      <c r="A390" s="3"/>
      <c r="B390" s="2"/>
      <c r="C390" s="2"/>
      <c r="D390" s="2"/>
      <c r="E390" s="464"/>
      <c r="F390" s="2"/>
      <c r="G390" s="2"/>
      <c r="H390" s="2"/>
      <c r="I390" s="2"/>
      <c r="J390" s="2"/>
      <c r="K390" s="2"/>
      <c r="L390" s="2"/>
      <c r="M390" s="2"/>
      <c r="N390" s="2"/>
      <c r="O390" s="2"/>
      <c r="P390" s="2"/>
      <c r="Q390" s="2"/>
      <c r="R390" s="255"/>
      <c r="S390" s="3"/>
      <c r="T390" s="3"/>
      <c r="U390" s="3"/>
      <c r="V390" s="3"/>
      <c r="W390" s="3"/>
      <c r="X390" s="3"/>
      <c r="Y390" s="3"/>
      <c r="Z390" s="3"/>
    </row>
    <row r="391" ht="15.75" customHeight="1">
      <c r="A391" s="3"/>
      <c r="B391" s="2"/>
      <c r="C391" s="2"/>
      <c r="D391" s="2"/>
      <c r="E391" s="464"/>
      <c r="F391" s="2"/>
      <c r="G391" s="2"/>
      <c r="H391" s="2"/>
      <c r="I391" s="2"/>
      <c r="J391" s="2"/>
      <c r="K391" s="2"/>
      <c r="L391" s="2"/>
      <c r="M391" s="2"/>
      <c r="N391" s="2"/>
      <c r="O391" s="2"/>
      <c r="P391" s="2"/>
      <c r="Q391" s="2"/>
      <c r="R391" s="255"/>
      <c r="S391" s="3"/>
      <c r="T391" s="3"/>
      <c r="U391" s="3"/>
      <c r="V391" s="3"/>
      <c r="W391" s="3"/>
      <c r="X391" s="3"/>
      <c r="Y391" s="3"/>
      <c r="Z391" s="3"/>
    </row>
    <row r="392" ht="15.75" customHeight="1">
      <c r="A392" s="3"/>
      <c r="B392" s="2"/>
      <c r="C392" s="2"/>
      <c r="D392" s="2"/>
      <c r="E392" s="464"/>
      <c r="F392" s="2"/>
      <c r="G392" s="2"/>
      <c r="H392" s="2"/>
      <c r="I392" s="2"/>
      <c r="J392" s="2"/>
      <c r="K392" s="2"/>
      <c r="L392" s="2"/>
      <c r="M392" s="2"/>
      <c r="N392" s="2"/>
      <c r="O392" s="2"/>
      <c r="P392" s="2"/>
      <c r="Q392" s="2"/>
      <c r="R392" s="255"/>
      <c r="S392" s="3"/>
      <c r="T392" s="3"/>
      <c r="U392" s="3"/>
      <c r="V392" s="3"/>
      <c r="W392" s="3"/>
      <c r="X392" s="3"/>
      <c r="Y392" s="3"/>
      <c r="Z392" s="3"/>
    </row>
    <row r="393" ht="15.75" customHeight="1">
      <c r="A393" s="3"/>
      <c r="B393" s="2"/>
      <c r="C393" s="2"/>
      <c r="D393" s="2"/>
      <c r="E393" s="464"/>
      <c r="F393" s="2"/>
      <c r="G393" s="2"/>
      <c r="H393" s="2"/>
      <c r="I393" s="2"/>
      <c r="J393" s="2"/>
      <c r="K393" s="2"/>
      <c r="L393" s="2"/>
      <c r="M393" s="2"/>
      <c r="N393" s="2"/>
      <c r="O393" s="2"/>
      <c r="P393" s="2"/>
      <c r="Q393" s="2"/>
      <c r="R393" s="255"/>
      <c r="S393" s="3"/>
      <c r="T393" s="3"/>
      <c r="U393" s="3"/>
      <c r="V393" s="3"/>
      <c r="W393" s="3"/>
      <c r="X393" s="3"/>
      <c r="Y393" s="3"/>
      <c r="Z393" s="3"/>
    </row>
    <row r="394" ht="15.75" customHeight="1">
      <c r="A394" s="3"/>
      <c r="B394" s="2"/>
      <c r="C394" s="2"/>
      <c r="D394" s="2"/>
      <c r="E394" s="464"/>
      <c r="F394" s="2"/>
      <c r="G394" s="2"/>
      <c r="H394" s="2"/>
      <c r="I394" s="2"/>
      <c r="J394" s="2"/>
      <c r="K394" s="2"/>
      <c r="L394" s="2"/>
      <c r="M394" s="2"/>
      <c r="N394" s="2"/>
      <c r="O394" s="2"/>
      <c r="P394" s="2"/>
      <c r="Q394" s="2"/>
      <c r="R394" s="255"/>
      <c r="S394" s="3"/>
      <c r="T394" s="3"/>
      <c r="U394" s="3"/>
      <c r="V394" s="3"/>
      <c r="W394" s="3"/>
      <c r="X394" s="3"/>
      <c r="Y394" s="3"/>
      <c r="Z394" s="3"/>
    </row>
    <row r="395" ht="15.75" customHeight="1">
      <c r="A395" s="3"/>
      <c r="B395" s="2"/>
      <c r="C395" s="2"/>
      <c r="D395" s="2"/>
      <c r="E395" s="464"/>
      <c r="F395" s="2"/>
      <c r="G395" s="2"/>
      <c r="H395" s="2"/>
      <c r="I395" s="2"/>
      <c r="J395" s="2"/>
      <c r="K395" s="2"/>
      <c r="L395" s="2"/>
      <c r="M395" s="2"/>
      <c r="N395" s="2"/>
      <c r="O395" s="2"/>
      <c r="P395" s="2"/>
      <c r="Q395" s="2"/>
      <c r="R395" s="255"/>
      <c r="S395" s="3"/>
      <c r="T395" s="3"/>
      <c r="U395" s="3"/>
      <c r="V395" s="3"/>
      <c r="W395" s="3"/>
      <c r="X395" s="3"/>
      <c r="Y395" s="3"/>
      <c r="Z395" s="3"/>
    </row>
    <row r="396" ht="15.75" customHeight="1">
      <c r="A396" s="3"/>
      <c r="B396" s="2"/>
      <c r="C396" s="2"/>
      <c r="D396" s="2"/>
      <c r="E396" s="464"/>
      <c r="F396" s="2"/>
      <c r="G396" s="2"/>
      <c r="H396" s="2"/>
      <c r="I396" s="2"/>
      <c r="J396" s="2"/>
      <c r="K396" s="2"/>
      <c r="L396" s="2"/>
      <c r="M396" s="2"/>
      <c r="N396" s="2"/>
      <c r="O396" s="2"/>
      <c r="P396" s="2"/>
      <c r="Q396" s="2"/>
      <c r="R396" s="255"/>
      <c r="S396" s="3"/>
      <c r="T396" s="3"/>
      <c r="U396" s="3"/>
      <c r="V396" s="3"/>
      <c r="W396" s="3"/>
      <c r="X396" s="3"/>
      <c r="Y396" s="3"/>
      <c r="Z396" s="3"/>
    </row>
    <row r="397" ht="15.75" customHeight="1">
      <c r="A397" s="3"/>
      <c r="B397" s="2"/>
      <c r="C397" s="2"/>
      <c r="D397" s="2"/>
      <c r="E397" s="464"/>
      <c r="F397" s="2"/>
      <c r="G397" s="2"/>
      <c r="H397" s="2"/>
      <c r="I397" s="2"/>
      <c r="J397" s="2"/>
      <c r="K397" s="2"/>
      <c r="L397" s="2"/>
      <c r="M397" s="2"/>
      <c r="N397" s="2"/>
      <c r="O397" s="2"/>
      <c r="P397" s="2"/>
      <c r="Q397" s="2"/>
      <c r="R397" s="255"/>
      <c r="S397" s="3"/>
      <c r="T397" s="3"/>
      <c r="U397" s="3"/>
      <c r="V397" s="3"/>
      <c r="W397" s="3"/>
      <c r="X397" s="3"/>
      <c r="Y397" s="3"/>
      <c r="Z397" s="3"/>
    </row>
    <row r="398" ht="15.75" customHeight="1">
      <c r="A398" s="3"/>
      <c r="B398" s="2"/>
      <c r="C398" s="2"/>
      <c r="D398" s="2"/>
      <c r="E398" s="464"/>
      <c r="F398" s="2"/>
      <c r="G398" s="2"/>
      <c r="H398" s="2"/>
      <c r="I398" s="2"/>
      <c r="J398" s="2"/>
      <c r="K398" s="2"/>
      <c r="L398" s="2"/>
      <c r="M398" s="2"/>
      <c r="N398" s="2"/>
      <c r="O398" s="2"/>
      <c r="P398" s="2"/>
      <c r="Q398" s="2"/>
      <c r="R398" s="255"/>
      <c r="S398" s="3"/>
      <c r="T398" s="3"/>
      <c r="U398" s="3"/>
      <c r="V398" s="3"/>
      <c r="W398" s="3"/>
      <c r="X398" s="3"/>
      <c r="Y398" s="3"/>
      <c r="Z398" s="3"/>
    </row>
    <row r="399" ht="15.75" customHeight="1">
      <c r="A399" s="3"/>
      <c r="B399" s="2"/>
      <c r="C399" s="2"/>
      <c r="D399" s="2"/>
      <c r="E399" s="464"/>
      <c r="F399" s="2"/>
      <c r="G399" s="2"/>
      <c r="H399" s="2"/>
      <c r="I399" s="2"/>
      <c r="J399" s="2"/>
      <c r="K399" s="2"/>
      <c r="L399" s="2"/>
      <c r="M399" s="2"/>
      <c r="N399" s="2"/>
      <c r="O399" s="2"/>
      <c r="P399" s="2"/>
      <c r="Q399" s="2"/>
      <c r="R399" s="255"/>
      <c r="S399" s="3"/>
      <c r="T399" s="3"/>
      <c r="U399" s="3"/>
      <c r="V399" s="3"/>
      <c r="W399" s="3"/>
      <c r="X399" s="3"/>
      <c r="Y399" s="3"/>
      <c r="Z399" s="3"/>
    </row>
    <row r="400" ht="15.75" customHeight="1">
      <c r="A400" s="3"/>
      <c r="B400" s="2"/>
      <c r="C400" s="2"/>
      <c r="D400" s="2"/>
      <c r="E400" s="464"/>
      <c r="F400" s="2"/>
      <c r="G400" s="2"/>
      <c r="H400" s="2"/>
      <c r="I400" s="2"/>
      <c r="J400" s="2"/>
      <c r="K400" s="2"/>
      <c r="L400" s="2"/>
      <c r="M400" s="2"/>
      <c r="N400" s="2"/>
      <c r="O400" s="2"/>
      <c r="P400" s="2"/>
      <c r="Q400" s="2"/>
      <c r="R400" s="255"/>
      <c r="S400" s="3"/>
      <c r="T400" s="3"/>
      <c r="U400" s="3"/>
      <c r="V400" s="3"/>
      <c r="W400" s="3"/>
      <c r="X400" s="3"/>
      <c r="Y400" s="3"/>
      <c r="Z400" s="3"/>
    </row>
    <row r="401" ht="15.75" customHeight="1">
      <c r="A401" s="3"/>
      <c r="B401" s="2"/>
      <c r="C401" s="2"/>
      <c r="D401" s="2"/>
      <c r="E401" s="464"/>
      <c r="F401" s="2"/>
      <c r="G401" s="2"/>
      <c r="H401" s="2"/>
      <c r="I401" s="2"/>
      <c r="J401" s="2"/>
      <c r="K401" s="2"/>
      <c r="L401" s="2"/>
      <c r="M401" s="2"/>
      <c r="N401" s="2"/>
      <c r="O401" s="2"/>
      <c r="P401" s="2"/>
      <c r="Q401" s="2"/>
      <c r="R401" s="255"/>
      <c r="S401" s="3"/>
      <c r="T401" s="3"/>
      <c r="U401" s="3"/>
      <c r="V401" s="3"/>
      <c r="W401" s="3"/>
      <c r="X401" s="3"/>
      <c r="Y401" s="3"/>
      <c r="Z401" s="3"/>
    </row>
    <row r="402" ht="15.75" customHeight="1">
      <c r="A402" s="3"/>
      <c r="B402" s="2"/>
      <c r="C402" s="2"/>
      <c r="D402" s="2"/>
      <c r="E402" s="464"/>
      <c r="F402" s="2"/>
      <c r="G402" s="2"/>
      <c r="H402" s="2"/>
      <c r="I402" s="2"/>
      <c r="J402" s="2"/>
      <c r="K402" s="2"/>
      <c r="L402" s="2"/>
      <c r="M402" s="2"/>
      <c r="N402" s="2"/>
      <c r="O402" s="2"/>
      <c r="P402" s="2"/>
      <c r="Q402" s="2"/>
      <c r="R402" s="255"/>
      <c r="S402" s="3"/>
      <c r="T402" s="3"/>
      <c r="U402" s="3"/>
      <c r="V402" s="3"/>
      <c r="W402" s="3"/>
      <c r="X402" s="3"/>
      <c r="Y402" s="3"/>
      <c r="Z402" s="3"/>
    </row>
    <row r="403" ht="15.75" customHeight="1">
      <c r="A403" s="3"/>
      <c r="B403" s="2"/>
      <c r="C403" s="2"/>
      <c r="D403" s="2"/>
      <c r="E403" s="464"/>
      <c r="F403" s="2"/>
      <c r="G403" s="2"/>
      <c r="H403" s="2"/>
      <c r="I403" s="2"/>
      <c r="J403" s="2"/>
      <c r="K403" s="2"/>
      <c r="L403" s="2"/>
      <c r="M403" s="2"/>
      <c r="N403" s="2"/>
      <c r="O403" s="2"/>
      <c r="P403" s="2"/>
      <c r="Q403" s="2"/>
      <c r="R403" s="255"/>
      <c r="S403" s="3"/>
      <c r="T403" s="3"/>
      <c r="U403" s="3"/>
      <c r="V403" s="3"/>
      <c r="W403" s="3"/>
      <c r="X403" s="3"/>
      <c r="Y403" s="3"/>
      <c r="Z403" s="3"/>
    </row>
    <row r="404" ht="15.75" customHeight="1">
      <c r="A404" s="3"/>
      <c r="B404" s="2"/>
      <c r="C404" s="2"/>
      <c r="D404" s="2"/>
      <c r="E404" s="464"/>
      <c r="F404" s="2"/>
      <c r="G404" s="2"/>
      <c r="H404" s="2"/>
      <c r="I404" s="2"/>
      <c r="J404" s="2"/>
      <c r="K404" s="2"/>
      <c r="L404" s="2"/>
      <c r="M404" s="2"/>
      <c r="N404" s="2"/>
      <c r="O404" s="2"/>
      <c r="P404" s="2"/>
      <c r="Q404" s="2"/>
      <c r="R404" s="255"/>
      <c r="S404" s="3"/>
      <c r="T404" s="3"/>
      <c r="U404" s="3"/>
      <c r="V404" s="3"/>
      <c r="W404" s="3"/>
      <c r="X404" s="3"/>
      <c r="Y404" s="3"/>
      <c r="Z404" s="3"/>
    </row>
    <row r="405" ht="15.75" customHeight="1">
      <c r="A405" s="3"/>
      <c r="B405" s="2"/>
      <c r="C405" s="2"/>
      <c r="D405" s="2"/>
      <c r="E405" s="464"/>
      <c r="F405" s="2"/>
      <c r="G405" s="2"/>
      <c r="H405" s="2"/>
      <c r="I405" s="2"/>
      <c r="J405" s="2"/>
      <c r="K405" s="2"/>
      <c r="L405" s="2"/>
      <c r="M405" s="2"/>
      <c r="N405" s="2"/>
      <c r="O405" s="2"/>
      <c r="P405" s="2"/>
      <c r="Q405" s="2"/>
      <c r="R405" s="255"/>
      <c r="S405" s="3"/>
      <c r="T405" s="3"/>
      <c r="U405" s="3"/>
      <c r="V405" s="3"/>
      <c r="W405" s="3"/>
      <c r="X405" s="3"/>
      <c r="Y405" s="3"/>
      <c r="Z405" s="3"/>
    </row>
    <row r="406" ht="15.75" customHeight="1">
      <c r="A406" s="3"/>
      <c r="B406" s="2"/>
      <c r="C406" s="2"/>
      <c r="D406" s="2"/>
      <c r="E406" s="464"/>
      <c r="F406" s="2"/>
      <c r="G406" s="2"/>
      <c r="H406" s="2"/>
      <c r="I406" s="2"/>
      <c r="J406" s="2"/>
      <c r="K406" s="2"/>
      <c r="L406" s="2"/>
      <c r="M406" s="2"/>
      <c r="N406" s="2"/>
      <c r="O406" s="2"/>
      <c r="P406" s="2"/>
      <c r="Q406" s="2"/>
      <c r="R406" s="255"/>
      <c r="S406" s="3"/>
      <c r="T406" s="3"/>
      <c r="U406" s="3"/>
      <c r="V406" s="3"/>
      <c r="W406" s="3"/>
      <c r="X406" s="3"/>
      <c r="Y406" s="3"/>
      <c r="Z406" s="3"/>
    </row>
    <row r="407" ht="15.75" customHeight="1">
      <c r="A407" s="3"/>
      <c r="B407" s="2"/>
      <c r="C407" s="2"/>
      <c r="D407" s="2"/>
      <c r="E407" s="464"/>
      <c r="F407" s="2"/>
      <c r="G407" s="2"/>
      <c r="H407" s="2"/>
      <c r="I407" s="2"/>
      <c r="J407" s="2"/>
      <c r="K407" s="2"/>
      <c r="L407" s="2"/>
      <c r="M407" s="2"/>
      <c r="N407" s="2"/>
      <c r="O407" s="2"/>
      <c r="P407" s="2"/>
      <c r="Q407" s="2"/>
      <c r="R407" s="255"/>
      <c r="S407" s="3"/>
      <c r="T407" s="3"/>
      <c r="U407" s="3"/>
      <c r="V407" s="3"/>
      <c r="W407" s="3"/>
      <c r="X407" s="3"/>
      <c r="Y407" s="3"/>
      <c r="Z407" s="3"/>
    </row>
    <row r="408" ht="15.75" customHeight="1">
      <c r="A408" s="3"/>
      <c r="B408" s="2"/>
      <c r="C408" s="2"/>
      <c r="D408" s="2"/>
      <c r="E408" s="464"/>
      <c r="F408" s="2"/>
      <c r="G408" s="2"/>
      <c r="H408" s="2"/>
      <c r="I408" s="2"/>
      <c r="J408" s="2"/>
      <c r="K408" s="2"/>
      <c r="L408" s="2"/>
      <c r="M408" s="2"/>
      <c r="N408" s="2"/>
      <c r="O408" s="2"/>
      <c r="P408" s="2"/>
      <c r="Q408" s="2"/>
      <c r="R408" s="255"/>
      <c r="S408" s="3"/>
      <c r="T408" s="3"/>
      <c r="U408" s="3"/>
      <c r="V408" s="3"/>
      <c r="W408" s="3"/>
      <c r="X408" s="3"/>
      <c r="Y408" s="3"/>
      <c r="Z408" s="3"/>
    </row>
    <row r="409" ht="15.75" customHeight="1">
      <c r="A409" s="3"/>
      <c r="B409" s="2"/>
      <c r="C409" s="2"/>
      <c r="D409" s="2"/>
      <c r="E409" s="464"/>
      <c r="F409" s="2"/>
      <c r="G409" s="2"/>
      <c r="H409" s="2"/>
      <c r="I409" s="2"/>
      <c r="J409" s="2"/>
      <c r="K409" s="2"/>
      <c r="L409" s="2"/>
      <c r="M409" s="2"/>
      <c r="N409" s="2"/>
      <c r="O409" s="2"/>
      <c r="P409" s="2"/>
      <c r="Q409" s="2"/>
      <c r="R409" s="255"/>
      <c r="S409" s="3"/>
      <c r="T409" s="3"/>
      <c r="U409" s="3"/>
      <c r="V409" s="3"/>
      <c r="W409" s="3"/>
      <c r="X409" s="3"/>
      <c r="Y409" s="3"/>
      <c r="Z409" s="3"/>
    </row>
    <row r="410" ht="15.75" customHeight="1">
      <c r="A410" s="3"/>
      <c r="B410" s="2"/>
      <c r="C410" s="2"/>
      <c r="D410" s="2"/>
      <c r="E410" s="464"/>
      <c r="F410" s="2"/>
      <c r="G410" s="2"/>
      <c r="H410" s="2"/>
      <c r="I410" s="2"/>
      <c r="J410" s="2"/>
      <c r="K410" s="2"/>
      <c r="L410" s="2"/>
      <c r="M410" s="2"/>
      <c r="N410" s="2"/>
      <c r="O410" s="2"/>
      <c r="P410" s="2"/>
      <c r="Q410" s="2"/>
      <c r="R410" s="255"/>
      <c r="S410" s="3"/>
      <c r="T410" s="3"/>
      <c r="U410" s="3"/>
      <c r="V410" s="3"/>
      <c r="W410" s="3"/>
      <c r="X410" s="3"/>
      <c r="Y410" s="3"/>
      <c r="Z410" s="3"/>
    </row>
    <row r="411" ht="15.75" customHeight="1">
      <c r="A411" s="3"/>
      <c r="B411" s="2"/>
      <c r="C411" s="2"/>
      <c r="D411" s="2"/>
      <c r="E411" s="464"/>
      <c r="F411" s="2"/>
      <c r="G411" s="2"/>
      <c r="H411" s="2"/>
      <c r="I411" s="2"/>
      <c r="J411" s="2"/>
      <c r="K411" s="2"/>
      <c r="L411" s="2"/>
      <c r="M411" s="2"/>
      <c r="N411" s="2"/>
      <c r="O411" s="2"/>
      <c r="P411" s="2"/>
      <c r="Q411" s="2"/>
      <c r="R411" s="255"/>
      <c r="S411" s="3"/>
      <c r="T411" s="3"/>
      <c r="U411" s="3"/>
      <c r="V411" s="3"/>
      <c r="W411" s="3"/>
      <c r="X411" s="3"/>
      <c r="Y411" s="3"/>
      <c r="Z411" s="3"/>
    </row>
    <row r="412" ht="15.75" customHeight="1">
      <c r="A412" s="3"/>
      <c r="B412" s="2"/>
      <c r="C412" s="2"/>
      <c r="D412" s="2"/>
      <c r="E412" s="464"/>
      <c r="F412" s="2"/>
      <c r="G412" s="2"/>
      <c r="H412" s="2"/>
      <c r="I412" s="2"/>
      <c r="J412" s="2"/>
      <c r="K412" s="2"/>
      <c r="L412" s="2"/>
      <c r="M412" s="2"/>
      <c r="N412" s="2"/>
      <c r="O412" s="2"/>
      <c r="P412" s="2"/>
      <c r="Q412" s="2"/>
      <c r="R412" s="255"/>
      <c r="S412" s="3"/>
      <c r="T412" s="3"/>
      <c r="U412" s="3"/>
      <c r="V412" s="3"/>
      <c r="W412" s="3"/>
      <c r="X412" s="3"/>
      <c r="Y412" s="3"/>
      <c r="Z412" s="3"/>
    </row>
    <row r="413" ht="15.75" customHeight="1">
      <c r="A413" s="3"/>
      <c r="B413" s="2"/>
      <c r="C413" s="2"/>
      <c r="D413" s="2"/>
      <c r="E413" s="464"/>
      <c r="F413" s="2"/>
      <c r="G413" s="2"/>
      <c r="H413" s="2"/>
      <c r="I413" s="2"/>
      <c r="J413" s="2"/>
      <c r="K413" s="2"/>
      <c r="L413" s="2"/>
      <c r="M413" s="2"/>
      <c r="N413" s="2"/>
      <c r="O413" s="2"/>
      <c r="P413" s="2"/>
      <c r="Q413" s="2"/>
      <c r="R413" s="255"/>
      <c r="S413" s="3"/>
      <c r="T413" s="3"/>
      <c r="U413" s="3"/>
      <c r="V413" s="3"/>
      <c r="W413" s="3"/>
      <c r="X413" s="3"/>
      <c r="Y413" s="3"/>
      <c r="Z413" s="3"/>
    </row>
    <row r="414" ht="15.75" customHeight="1">
      <c r="A414" s="3"/>
      <c r="B414" s="2"/>
      <c r="C414" s="2"/>
      <c r="D414" s="2"/>
      <c r="E414" s="464"/>
      <c r="F414" s="2"/>
      <c r="G414" s="2"/>
      <c r="H414" s="2"/>
      <c r="I414" s="2"/>
      <c r="J414" s="2"/>
      <c r="K414" s="2"/>
      <c r="L414" s="2"/>
      <c r="M414" s="2"/>
      <c r="N414" s="2"/>
      <c r="O414" s="2"/>
      <c r="P414" s="2"/>
      <c r="Q414" s="2"/>
      <c r="R414" s="255"/>
      <c r="S414" s="3"/>
      <c r="T414" s="3"/>
      <c r="U414" s="3"/>
      <c r="V414" s="3"/>
      <c r="W414" s="3"/>
      <c r="X414" s="3"/>
      <c r="Y414" s="3"/>
      <c r="Z414" s="3"/>
    </row>
    <row r="415" ht="15.75" customHeight="1">
      <c r="A415" s="3"/>
      <c r="B415" s="2"/>
      <c r="C415" s="2"/>
      <c r="D415" s="2"/>
      <c r="E415" s="464"/>
      <c r="F415" s="2"/>
      <c r="G415" s="2"/>
      <c r="H415" s="2"/>
      <c r="I415" s="2"/>
      <c r="J415" s="2"/>
      <c r="K415" s="2"/>
      <c r="L415" s="2"/>
      <c r="M415" s="2"/>
      <c r="N415" s="2"/>
      <c r="O415" s="2"/>
      <c r="P415" s="2"/>
      <c r="Q415" s="2"/>
      <c r="R415" s="255"/>
      <c r="S415" s="3"/>
      <c r="T415" s="3"/>
      <c r="U415" s="3"/>
      <c r="V415" s="3"/>
      <c r="W415" s="3"/>
      <c r="X415" s="3"/>
      <c r="Y415" s="3"/>
      <c r="Z415" s="3"/>
    </row>
    <row r="416" ht="15.75" customHeight="1">
      <c r="A416" s="3"/>
      <c r="B416" s="2"/>
      <c r="C416" s="2"/>
      <c r="D416" s="2"/>
      <c r="E416" s="464"/>
      <c r="F416" s="2"/>
      <c r="G416" s="2"/>
      <c r="H416" s="2"/>
      <c r="I416" s="2"/>
      <c r="J416" s="2"/>
      <c r="K416" s="2"/>
      <c r="L416" s="2"/>
      <c r="M416" s="2"/>
      <c r="N416" s="2"/>
      <c r="O416" s="2"/>
      <c r="P416" s="2"/>
      <c r="Q416" s="2"/>
      <c r="R416" s="255"/>
      <c r="S416" s="3"/>
      <c r="T416" s="3"/>
      <c r="U416" s="3"/>
      <c r="V416" s="3"/>
      <c r="W416" s="3"/>
      <c r="X416" s="3"/>
      <c r="Y416" s="3"/>
      <c r="Z416" s="3"/>
    </row>
    <row r="417" ht="15.75" customHeight="1">
      <c r="A417" s="3"/>
      <c r="B417" s="2"/>
      <c r="C417" s="2"/>
      <c r="D417" s="2"/>
      <c r="E417" s="464"/>
      <c r="F417" s="2"/>
      <c r="G417" s="2"/>
      <c r="H417" s="2"/>
      <c r="I417" s="2"/>
      <c r="J417" s="2"/>
      <c r="K417" s="2"/>
      <c r="L417" s="2"/>
      <c r="M417" s="2"/>
      <c r="N417" s="2"/>
      <c r="O417" s="2"/>
      <c r="P417" s="2"/>
      <c r="Q417" s="2"/>
      <c r="R417" s="255"/>
      <c r="S417" s="3"/>
      <c r="T417" s="3"/>
      <c r="U417" s="3"/>
      <c r="V417" s="3"/>
      <c r="W417" s="3"/>
      <c r="X417" s="3"/>
      <c r="Y417" s="3"/>
      <c r="Z417" s="3"/>
    </row>
    <row r="418" ht="15.75" customHeight="1">
      <c r="A418" s="3"/>
      <c r="B418" s="2"/>
      <c r="C418" s="2"/>
      <c r="D418" s="2"/>
      <c r="E418" s="464"/>
      <c r="F418" s="2"/>
      <c r="G418" s="2"/>
      <c r="H418" s="2"/>
      <c r="I418" s="2"/>
      <c r="J418" s="2"/>
      <c r="K418" s="2"/>
      <c r="L418" s="2"/>
      <c r="M418" s="2"/>
      <c r="N418" s="2"/>
      <c r="O418" s="2"/>
      <c r="P418" s="2"/>
      <c r="Q418" s="2"/>
      <c r="R418" s="255"/>
      <c r="S418" s="3"/>
      <c r="T418" s="3"/>
      <c r="U418" s="3"/>
      <c r="V418" s="3"/>
      <c r="W418" s="3"/>
      <c r="X418" s="3"/>
      <c r="Y418" s="3"/>
      <c r="Z418" s="3"/>
    </row>
    <row r="419" ht="15.75" customHeight="1">
      <c r="A419" s="3"/>
      <c r="B419" s="2"/>
      <c r="C419" s="2"/>
      <c r="D419" s="2"/>
      <c r="E419" s="464"/>
      <c r="F419" s="2"/>
      <c r="G419" s="2"/>
      <c r="H419" s="2"/>
      <c r="I419" s="2"/>
      <c r="J419" s="2"/>
      <c r="K419" s="2"/>
      <c r="L419" s="2"/>
      <c r="M419" s="2"/>
      <c r="N419" s="2"/>
      <c r="O419" s="2"/>
      <c r="P419" s="2"/>
      <c r="Q419" s="2"/>
      <c r="R419" s="255"/>
      <c r="S419" s="3"/>
      <c r="T419" s="3"/>
      <c r="U419" s="3"/>
      <c r="V419" s="3"/>
      <c r="W419" s="3"/>
      <c r="X419" s="3"/>
      <c r="Y419" s="3"/>
      <c r="Z419" s="3"/>
    </row>
    <row r="420" ht="15.75" customHeight="1">
      <c r="A420" s="3"/>
      <c r="B420" s="2"/>
      <c r="C420" s="2"/>
      <c r="D420" s="2"/>
      <c r="E420" s="464"/>
      <c r="F420" s="2"/>
      <c r="G420" s="2"/>
      <c r="H420" s="2"/>
      <c r="I420" s="2"/>
      <c r="J420" s="2"/>
      <c r="K420" s="2"/>
      <c r="L420" s="2"/>
      <c r="M420" s="2"/>
      <c r="N420" s="2"/>
      <c r="O420" s="2"/>
      <c r="P420" s="2"/>
      <c r="Q420" s="2"/>
      <c r="R420" s="255"/>
      <c r="S420" s="3"/>
      <c r="T420" s="3"/>
      <c r="U420" s="3"/>
      <c r="V420" s="3"/>
      <c r="W420" s="3"/>
      <c r="X420" s="3"/>
      <c r="Y420" s="3"/>
      <c r="Z420" s="3"/>
    </row>
    <row r="421" ht="15.75" customHeight="1">
      <c r="A421" s="3"/>
      <c r="B421" s="2"/>
      <c r="C421" s="2"/>
      <c r="D421" s="2"/>
      <c r="E421" s="464"/>
      <c r="F421" s="2"/>
      <c r="G421" s="2"/>
      <c r="H421" s="2"/>
      <c r="I421" s="2"/>
      <c r="J421" s="2"/>
      <c r="K421" s="2"/>
      <c r="L421" s="2"/>
      <c r="M421" s="2"/>
      <c r="N421" s="2"/>
      <c r="O421" s="2"/>
      <c r="P421" s="2"/>
      <c r="Q421" s="2"/>
      <c r="R421" s="255"/>
      <c r="S421" s="3"/>
      <c r="T421" s="3"/>
      <c r="U421" s="3"/>
      <c r="V421" s="3"/>
      <c r="W421" s="3"/>
      <c r="X421" s="3"/>
      <c r="Y421" s="3"/>
      <c r="Z421" s="3"/>
    </row>
    <row r="422" ht="15.75" customHeight="1">
      <c r="A422" s="3"/>
      <c r="B422" s="2"/>
      <c r="C422" s="2"/>
      <c r="D422" s="2"/>
      <c r="E422" s="464"/>
      <c r="F422" s="2"/>
      <c r="G422" s="2"/>
      <c r="H422" s="2"/>
      <c r="I422" s="2"/>
      <c r="J422" s="2"/>
      <c r="K422" s="2"/>
      <c r="L422" s="2"/>
      <c r="M422" s="2"/>
      <c r="N422" s="2"/>
      <c r="O422" s="2"/>
      <c r="P422" s="2"/>
      <c r="Q422" s="2"/>
      <c r="R422" s="255"/>
      <c r="S422" s="3"/>
      <c r="T422" s="3"/>
      <c r="U422" s="3"/>
      <c r="V422" s="3"/>
      <c r="W422" s="3"/>
      <c r="X422" s="3"/>
      <c r="Y422" s="3"/>
      <c r="Z422" s="3"/>
    </row>
    <row r="423" ht="15.75" customHeight="1">
      <c r="A423" s="3"/>
      <c r="B423" s="2"/>
      <c r="C423" s="2"/>
      <c r="D423" s="2"/>
      <c r="E423" s="464"/>
      <c r="F423" s="2"/>
      <c r="G423" s="2"/>
      <c r="H423" s="2"/>
      <c r="I423" s="2"/>
      <c r="J423" s="2"/>
      <c r="K423" s="2"/>
      <c r="L423" s="2"/>
      <c r="M423" s="2"/>
      <c r="N423" s="2"/>
      <c r="O423" s="2"/>
      <c r="P423" s="2"/>
      <c r="Q423" s="2"/>
      <c r="R423" s="255"/>
      <c r="S423" s="3"/>
      <c r="T423" s="3"/>
      <c r="U423" s="3"/>
      <c r="V423" s="3"/>
      <c r="W423" s="3"/>
      <c r="X423" s="3"/>
      <c r="Y423" s="3"/>
      <c r="Z423" s="3"/>
    </row>
    <row r="424" ht="15.75" customHeight="1">
      <c r="A424" s="3"/>
      <c r="B424" s="2"/>
      <c r="C424" s="2"/>
      <c r="D424" s="2"/>
      <c r="E424" s="464"/>
      <c r="F424" s="2"/>
      <c r="G424" s="2"/>
      <c r="H424" s="2"/>
      <c r="I424" s="2"/>
      <c r="J424" s="2"/>
      <c r="K424" s="2"/>
      <c r="L424" s="2"/>
      <c r="M424" s="2"/>
      <c r="N424" s="2"/>
      <c r="O424" s="2"/>
      <c r="P424" s="2"/>
      <c r="Q424" s="2"/>
      <c r="R424" s="255"/>
      <c r="S424" s="3"/>
      <c r="T424" s="3"/>
      <c r="U424" s="3"/>
      <c r="V424" s="3"/>
      <c r="W424" s="3"/>
      <c r="X424" s="3"/>
      <c r="Y424" s="3"/>
      <c r="Z424" s="3"/>
    </row>
    <row r="425" ht="15.75" customHeight="1">
      <c r="A425" s="3"/>
      <c r="B425" s="2"/>
      <c r="C425" s="2"/>
      <c r="D425" s="2"/>
      <c r="E425" s="464"/>
      <c r="F425" s="2"/>
      <c r="G425" s="2"/>
      <c r="H425" s="2"/>
      <c r="I425" s="2"/>
      <c r="J425" s="2"/>
      <c r="K425" s="2"/>
      <c r="L425" s="2"/>
      <c r="M425" s="2"/>
      <c r="N425" s="2"/>
      <c r="O425" s="2"/>
      <c r="P425" s="2"/>
      <c r="Q425" s="2"/>
      <c r="R425" s="255"/>
      <c r="S425" s="3"/>
      <c r="T425" s="3"/>
      <c r="U425" s="3"/>
      <c r="V425" s="3"/>
      <c r="W425" s="3"/>
      <c r="X425" s="3"/>
      <c r="Y425" s="3"/>
      <c r="Z425" s="3"/>
    </row>
    <row r="426" ht="15.75" customHeight="1">
      <c r="A426" s="3"/>
      <c r="B426" s="2"/>
      <c r="C426" s="2"/>
      <c r="D426" s="2"/>
      <c r="E426" s="464"/>
      <c r="F426" s="2"/>
      <c r="G426" s="2"/>
      <c r="H426" s="2"/>
      <c r="I426" s="2"/>
      <c r="J426" s="2"/>
      <c r="K426" s="2"/>
      <c r="L426" s="2"/>
      <c r="M426" s="2"/>
      <c r="N426" s="2"/>
      <c r="O426" s="2"/>
      <c r="P426" s="2"/>
      <c r="Q426" s="2"/>
      <c r="R426" s="255"/>
      <c r="S426" s="3"/>
      <c r="T426" s="3"/>
      <c r="U426" s="3"/>
      <c r="V426" s="3"/>
      <c r="W426" s="3"/>
      <c r="X426" s="3"/>
      <c r="Y426" s="3"/>
      <c r="Z426" s="3"/>
    </row>
    <row r="427" ht="15.75" customHeight="1">
      <c r="A427" s="3"/>
      <c r="B427" s="2"/>
      <c r="C427" s="2"/>
      <c r="D427" s="2"/>
      <c r="E427" s="464"/>
      <c r="F427" s="2"/>
      <c r="G427" s="2"/>
      <c r="H427" s="2"/>
      <c r="I427" s="2"/>
      <c r="J427" s="2"/>
      <c r="K427" s="2"/>
      <c r="L427" s="2"/>
      <c r="M427" s="2"/>
      <c r="N427" s="2"/>
      <c r="O427" s="2"/>
      <c r="P427" s="2"/>
      <c r="Q427" s="2"/>
      <c r="R427" s="255"/>
      <c r="S427" s="3"/>
      <c r="T427" s="3"/>
      <c r="U427" s="3"/>
      <c r="V427" s="3"/>
      <c r="W427" s="3"/>
      <c r="X427" s="3"/>
      <c r="Y427" s="3"/>
      <c r="Z427" s="3"/>
    </row>
    <row r="428" ht="15.75" customHeight="1">
      <c r="A428" s="3"/>
      <c r="B428" s="2"/>
      <c r="C428" s="2"/>
      <c r="D428" s="2"/>
      <c r="E428" s="464"/>
      <c r="F428" s="2"/>
      <c r="G428" s="2"/>
      <c r="H428" s="2"/>
      <c r="I428" s="2"/>
      <c r="J428" s="2"/>
      <c r="K428" s="2"/>
      <c r="L428" s="2"/>
      <c r="M428" s="2"/>
      <c r="N428" s="2"/>
      <c r="O428" s="2"/>
      <c r="P428" s="2"/>
      <c r="Q428" s="2"/>
      <c r="R428" s="255"/>
      <c r="S428" s="3"/>
      <c r="T428" s="3"/>
      <c r="U428" s="3"/>
      <c r="V428" s="3"/>
      <c r="W428" s="3"/>
      <c r="X428" s="3"/>
      <c r="Y428" s="3"/>
      <c r="Z428" s="3"/>
    </row>
    <row r="429" ht="15.75" customHeight="1">
      <c r="A429" s="3"/>
      <c r="B429" s="2"/>
      <c r="C429" s="2"/>
      <c r="D429" s="2"/>
      <c r="E429" s="464"/>
      <c r="F429" s="2"/>
      <c r="G429" s="2"/>
      <c r="H429" s="2"/>
      <c r="I429" s="2"/>
      <c r="J429" s="2"/>
      <c r="K429" s="2"/>
      <c r="L429" s="2"/>
      <c r="M429" s="2"/>
      <c r="N429" s="2"/>
      <c r="O429" s="2"/>
      <c r="P429" s="2"/>
      <c r="Q429" s="2"/>
      <c r="R429" s="255"/>
      <c r="S429" s="3"/>
      <c r="T429" s="3"/>
      <c r="U429" s="3"/>
      <c r="V429" s="3"/>
      <c r="W429" s="3"/>
      <c r="X429" s="3"/>
      <c r="Y429" s="3"/>
      <c r="Z429" s="3"/>
    </row>
    <row r="430" ht="15.75" customHeight="1">
      <c r="A430" s="3"/>
      <c r="B430" s="2"/>
      <c r="C430" s="2"/>
      <c r="D430" s="2"/>
      <c r="E430" s="464"/>
      <c r="F430" s="2"/>
      <c r="G430" s="2"/>
      <c r="H430" s="2"/>
      <c r="I430" s="2"/>
      <c r="J430" s="2"/>
      <c r="K430" s="2"/>
      <c r="L430" s="2"/>
      <c r="M430" s="2"/>
      <c r="N430" s="2"/>
      <c r="O430" s="2"/>
      <c r="P430" s="2"/>
      <c r="Q430" s="2"/>
      <c r="R430" s="255"/>
      <c r="S430" s="3"/>
      <c r="T430" s="3"/>
      <c r="U430" s="3"/>
      <c r="V430" s="3"/>
      <c r="W430" s="3"/>
      <c r="X430" s="3"/>
      <c r="Y430" s="3"/>
      <c r="Z430" s="3"/>
    </row>
    <row r="431" ht="15.75" customHeight="1">
      <c r="A431" s="3"/>
      <c r="B431" s="2"/>
      <c r="C431" s="2"/>
      <c r="D431" s="2"/>
      <c r="E431" s="464"/>
      <c r="F431" s="2"/>
      <c r="G431" s="2"/>
      <c r="H431" s="2"/>
      <c r="I431" s="2"/>
      <c r="J431" s="2"/>
      <c r="K431" s="2"/>
      <c r="L431" s="2"/>
      <c r="M431" s="2"/>
      <c r="N431" s="2"/>
      <c r="O431" s="2"/>
      <c r="P431" s="2"/>
      <c r="Q431" s="2"/>
      <c r="R431" s="255"/>
      <c r="S431" s="3"/>
      <c r="T431" s="3"/>
      <c r="U431" s="3"/>
      <c r="V431" s="3"/>
      <c r="W431" s="3"/>
      <c r="X431" s="3"/>
      <c r="Y431" s="3"/>
      <c r="Z431" s="3"/>
    </row>
    <row r="432" ht="15.75" customHeight="1">
      <c r="A432" s="3"/>
      <c r="B432" s="2"/>
      <c r="C432" s="2"/>
      <c r="D432" s="2"/>
      <c r="E432" s="464"/>
      <c r="F432" s="2"/>
      <c r="G432" s="2"/>
      <c r="H432" s="2"/>
      <c r="I432" s="2"/>
      <c r="J432" s="2"/>
      <c r="K432" s="2"/>
      <c r="L432" s="2"/>
      <c r="M432" s="2"/>
      <c r="N432" s="2"/>
      <c r="O432" s="2"/>
      <c r="P432" s="2"/>
      <c r="Q432" s="2"/>
      <c r="R432" s="255"/>
      <c r="S432" s="3"/>
      <c r="T432" s="3"/>
      <c r="U432" s="3"/>
      <c r="V432" s="3"/>
      <c r="W432" s="3"/>
      <c r="X432" s="3"/>
      <c r="Y432" s="3"/>
      <c r="Z432" s="3"/>
    </row>
    <row r="433" ht="15.75" customHeight="1">
      <c r="A433" s="3"/>
      <c r="B433" s="2"/>
      <c r="C433" s="2"/>
      <c r="D433" s="2"/>
      <c r="E433" s="464"/>
      <c r="F433" s="2"/>
      <c r="G433" s="2"/>
      <c r="H433" s="2"/>
      <c r="I433" s="2"/>
      <c r="J433" s="2"/>
      <c r="K433" s="2"/>
      <c r="L433" s="2"/>
      <c r="M433" s="2"/>
      <c r="N433" s="2"/>
      <c r="O433" s="2"/>
      <c r="P433" s="2"/>
      <c r="Q433" s="2"/>
      <c r="R433" s="255"/>
      <c r="S433" s="3"/>
      <c r="T433" s="3"/>
      <c r="U433" s="3"/>
      <c r="V433" s="3"/>
      <c r="W433" s="3"/>
      <c r="X433" s="3"/>
      <c r="Y433" s="3"/>
      <c r="Z433" s="3"/>
    </row>
    <row r="434" ht="15.75" customHeight="1">
      <c r="A434" s="3"/>
      <c r="B434" s="2"/>
      <c r="C434" s="2"/>
      <c r="D434" s="2"/>
      <c r="E434" s="464"/>
      <c r="F434" s="2"/>
      <c r="G434" s="2"/>
      <c r="H434" s="2"/>
      <c r="I434" s="2"/>
      <c r="J434" s="2"/>
      <c r="K434" s="2"/>
      <c r="L434" s="2"/>
      <c r="M434" s="2"/>
      <c r="N434" s="2"/>
      <c r="O434" s="2"/>
      <c r="P434" s="2"/>
      <c r="Q434" s="2"/>
      <c r="R434" s="255"/>
      <c r="S434" s="3"/>
      <c r="T434" s="3"/>
      <c r="U434" s="3"/>
      <c r="V434" s="3"/>
      <c r="W434" s="3"/>
      <c r="X434" s="3"/>
      <c r="Y434" s="3"/>
      <c r="Z434" s="3"/>
    </row>
    <row r="435" ht="15.75" customHeight="1">
      <c r="A435" s="3"/>
      <c r="B435" s="2"/>
      <c r="C435" s="2"/>
      <c r="D435" s="2"/>
      <c r="E435" s="464"/>
      <c r="F435" s="2"/>
      <c r="G435" s="2"/>
      <c r="H435" s="2"/>
      <c r="I435" s="2"/>
      <c r="J435" s="2"/>
      <c r="K435" s="2"/>
      <c r="L435" s="2"/>
      <c r="M435" s="2"/>
      <c r="N435" s="2"/>
      <c r="O435" s="2"/>
      <c r="P435" s="2"/>
      <c r="Q435" s="2"/>
      <c r="R435" s="255"/>
      <c r="S435" s="3"/>
      <c r="T435" s="3"/>
      <c r="U435" s="3"/>
      <c r="V435" s="3"/>
      <c r="W435" s="3"/>
      <c r="X435" s="3"/>
      <c r="Y435" s="3"/>
      <c r="Z435" s="3"/>
    </row>
    <row r="436" ht="15.75" customHeight="1">
      <c r="A436" s="3"/>
      <c r="B436" s="2"/>
      <c r="C436" s="2"/>
      <c r="D436" s="2"/>
      <c r="E436" s="464"/>
      <c r="F436" s="2"/>
      <c r="G436" s="2"/>
      <c r="H436" s="2"/>
      <c r="I436" s="2"/>
      <c r="J436" s="2"/>
      <c r="K436" s="2"/>
      <c r="L436" s="2"/>
      <c r="M436" s="2"/>
      <c r="N436" s="2"/>
      <c r="O436" s="2"/>
      <c r="P436" s="2"/>
      <c r="Q436" s="2"/>
      <c r="R436" s="255"/>
      <c r="S436" s="3"/>
      <c r="T436" s="3"/>
      <c r="U436" s="3"/>
      <c r="V436" s="3"/>
      <c r="W436" s="3"/>
      <c r="X436" s="3"/>
      <c r="Y436" s="3"/>
      <c r="Z436" s="3"/>
    </row>
    <row r="437" ht="15.75" customHeight="1">
      <c r="A437" s="3"/>
      <c r="B437" s="2"/>
      <c r="C437" s="2"/>
      <c r="D437" s="2"/>
      <c r="E437" s="464"/>
      <c r="F437" s="2"/>
      <c r="G437" s="2"/>
      <c r="H437" s="2"/>
      <c r="I437" s="2"/>
      <c r="J437" s="2"/>
      <c r="K437" s="2"/>
      <c r="L437" s="2"/>
      <c r="M437" s="2"/>
      <c r="N437" s="2"/>
      <c r="O437" s="2"/>
      <c r="P437" s="2"/>
      <c r="Q437" s="2"/>
      <c r="R437" s="255"/>
      <c r="S437" s="3"/>
      <c r="T437" s="3"/>
      <c r="U437" s="3"/>
      <c r="V437" s="3"/>
      <c r="W437" s="3"/>
      <c r="X437" s="3"/>
      <c r="Y437" s="3"/>
      <c r="Z437" s="3"/>
    </row>
    <row r="438" ht="15.75" customHeight="1">
      <c r="A438" s="3"/>
      <c r="B438" s="2"/>
      <c r="C438" s="2"/>
      <c r="D438" s="2"/>
      <c r="E438" s="464"/>
      <c r="F438" s="2"/>
      <c r="G438" s="2"/>
      <c r="H438" s="2"/>
      <c r="I438" s="2"/>
      <c r="J438" s="2"/>
      <c r="K438" s="2"/>
      <c r="L438" s="2"/>
      <c r="M438" s="2"/>
      <c r="N438" s="2"/>
      <c r="O438" s="2"/>
      <c r="P438" s="2"/>
      <c r="Q438" s="2"/>
      <c r="R438" s="255"/>
      <c r="S438" s="3"/>
      <c r="T438" s="3"/>
      <c r="U438" s="3"/>
      <c r="V438" s="3"/>
      <c r="W438" s="3"/>
      <c r="X438" s="3"/>
      <c r="Y438" s="3"/>
      <c r="Z438" s="3"/>
    </row>
    <row r="439" ht="15.75" customHeight="1">
      <c r="A439" s="3"/>
      <c r="B439" s="2"/>
      <c r="C439" s="2"/>
      <c r="D439" s="2"/>
      <c r="E439" s="464"/>
      <c r="F439" s="2"/>
      <c r="G439" s="2"/>
      <c r="H439" s="2"/>
      <c r="I439" s="2"/>
      <c r="J439" s="2"/>
      <c r="K439" s="2"/>
      <c r="L439" s="2"/>
      <c r="M439" s="2"/>
      <c r="N439" s="2"/>
      <c r="O439" s="2"/>
      <c r="P439" s="2"/>
      <c r="Q439" s="2"/>
      <c r="R439" s="255"/>
      <c r="S439" s="3"/>
      <c r="T439" s="3"/>
      <c r="U439" s="3"/>
      <c r="V439" s="3"/>
      <c r="W439" s="3"/>
      <c r="X439" s="3"/>
      <c r="Y439" s="3"/>
      <c r="Z439" s="3"/>
    </row>
    <row r="440" ht="15.75" customHeight="1">
      <c r="A440" s="3"/>
      <c r="B440" s="2"/>
      <c r="C440" s="2"/>
      <c r="D440" s="2"/>
      <c r="E440" s="464"/>
      <c r="F440" s="2"/>
      <c r="G440" s="2"/>
      <c r="H440" s="2"/>
      <c r="I440" s="2"/>
      <c r="J440" s="2"/>
      <c r="K440" s="2"/>
      <c r="L440" s="2"/>
      <c r="M440" s="2"/>
      <c r="N440" s="2"/>
      <c r="O440" s="2"/>
      <c r="P440" s="2"/>
      <c r="Q440" s="2"/>
      <c r="R440" s="255"/>
      <c r="S440" s="3"/>
      <c r="T440" s="3"/>
      <c r="U440" s="3"/>
      <c r="V440" s="3"/>
      <c r="W440" s="3"/>
      <c r="X440" s="3"/>
      <c r="Y440" s="3"/>
      <c r="Z440" s="3"/>
    </row>
    <row r="441" ht="15.75" customHeight="1">
      <c r="A441" s="3"/>
      <c r="B441" s="2"/>
      <c r="C441" s="2"/>
      <c r="D441" s="2"/>
      <c r="E441" s="464"/>
      <c r="F441" s="2"/>
      <c r="G441" s="2"/>
      <c r="H441" s="2"/>
      <c r="I441" s="2"/>
      <c r="J441" s="2"/>
      <c r="K441" s="2"/>
      <c r="L441" s="2"/>
      <c r="M441" s="2"/>
      <c r="N441" s="2"/>
      <c r="O441" s="2"/>
      <c r="P441" s="2"/>
      <c r="Q441" s="2"/>
      <c r="R441" s="255"/>
      <c r="S441" s="3"/>
      <c r="T441" s="3"/>
      <c r="U441" s="3"/>
      <c r="V441" s="3"/>
      <c r="W441" s="3"/>
      <c r="X441" s="3"/>
      <c r="Y441" s="3"/>
      <c r="Z441" s="3"/>
    </row>
    <row r="442" ht="15.75" customHeight="1">
      <c r="A442" s="3"/>
      <c r="B442" s="2"/>
      <c r="C442" s="2"/>
      <c r="D442" s="2"/>
      <c r="E442" s="464"/>
      <c r="F442" s="2"/>
      <c r="G442" s="2"/>
      <c r="H442" s="2"/>
      <c r="I442" s="2"/>
      <c r="J442" s="2"/>
      <c r="K442" s="2"/>
      <c r="L442" s="2"/>
      <c r="M442" s="2"/>
      <c r="N442" s="2"/>
      <c r="O442" s="2"/>
      <c r="P442" s="2"/>
      <c r="Q442" s="2"/>
      <c r="R442" s="255"/>
      <c r="S442" s="3"/>
      <c r="T442" s="3"/>
      <c r="U442" s="3"/>
      <c r="V442" s="3"/>
      <c r="W442" s="3"/>
      <c r="X442" s="3"/>
      <c r="Y442" s="3"/>
      <c r="Z442" s="3"/>
    </row>
    <row r="443" ht="15.75" customHeight="1">
      <c r="A443" s="3"/>
      <c r="B443" s="2"/>
      <c r="C443" s="2"/>
      <c r="D443" s="2"/>
      <c r="E443" s="464"/>
      <c r="F443" s="2"/>
      <c r="G443" s="2"/>
      <c r="H443" s="2"/>
      <c r="I443" s="2"/>
      <c r="J443" s="2"/>
      <c r="K443" s="2"/>
      <c r="L443" s="2"/>
      <c r="M443" s="2"/>
      <c r="N443" s="2"/>
      <c r="O443" s="2"/>
      <c r="P443" s="2"/>
      <c r="Q443" s="2"/>
      <c r="R443" s="255"/>
      <c r="S443" s="3"/>
      <c r="T443" s="3"/>
      <c r="U443" s="3"/>
      <c r="V443" s="3"/>
      <c r="W443" s="3"/>
      <c r="X443" s="3"/>
      <c r="Y443" s="3"/>
      <c r="Z443" s="3"/>
    </row>
    <row r="444" ht="15.75" customHeight="1">
      <c r="A444" s="3"/>
      <c r="B444" s="2"/>
      <c r="C444" s="2"/>
      <c r="D444" s="2"/>
      <c r="E444" s="464"/>
      <c r="F444" s="2"/>
      <c r="G444" s="2"/>
      <c r="H444" s="2"/>
      <c r="I444" s="2"/>
      <c r="J444" s="2"/>
      <c r="K444" s="2"/>
      <c r="L444" s="2"/>
      <c r="M444" s="2"/>
      <c r="N444" s="2"/>
      <c r="O444" s="2"/>
      <c r="P444" s="2"/>
      <c r="Q444" s="2"/>
      <c r="R444" s="255"/>
      <c r="S444" s="3"/>
      <c r="T444" s="3"/>
      <c r="U444" s="3"/>
      <c r="V444" s="3"/>
      <c r="W444" s="3"/>
      <c r="X444" s="3"/>
      <c r="Y444" s="3"/>
      <c r="Z444" s="3"/>
    </row>
    <row r="445" ht="15.75" customHeight="1">
      <c r="A445" s="3"/>
      <c r="B445" s="2"/>
      <c r="C445" s="2"/>
      <c r="D445" s="2"/>
      <c r="E445" s="464"/>
      <c r="F445" s="2"/>
      <c r="G445" s="2"/>
      <c r="H445" s="2"/>
      <c r="I445" s="2"/>
      <c r="J445" s="2"/>
      <c r="K445" s="2"/>
      <c r="L445" s="2"/>
      <c r="M445" s="2"/>
      <c r="N445" s="2"/>
      <c r="O445" s="2"/>
      <c r="P445" s="2"/>
      <c r="Q445" s="2"/>
      <c r="R445" s="255"/>
      <c r="S445" s="3"/>
      <c r="T445" s="3"/>
      <c r="U445" s="3"/>
      <c r="V445" s="3"/>
      <c r="W445" s="3"/>
      <c r="X445" s="3"/>
      <c r="Y445" s="3"/>
      <c r="Z445" s="3"/>
    </row>
    <row r="446" ht="15.75" customHeight="1">
      <c r="A446" s="3"/>
      <c r="B446" s="2"/>
      <c r="C446" s="2"/>
      <c r="D446" s="2"/>
      <c r="E446" s="464"/>
      <c r="F446" s="2"/>
      <c r="G446" s="2"/>
      <c r="H446" s="2"/>
      <c r="I446" s="2"/>
      <c r="J446" s="2"/>
      <c r="K446" s="2"/>
      <c r="L446" s="2"/>
      <c r="M446" s="2"/>
      <c r="N446" s="2"/>
      <c r="O446" s="2"/>
      <c r="P446" s="2"/>
      <c r="Q446" s="2"/>
      <c r="R446" s="255"/>
      <c r="S446" s="3"/>
      <c r="T446" s="3"/>
      <c r="U446" s="3"/>
      <c r="V446" s="3"/>
      <c r="W446" s="3"/>
      <c r="X446" s="3"/>
      <c r="Y446" s="3"/>
      <c r="Z446" s="3"/>
    </row>
    <row r="447" ht="15.75" customHeight="1">
      <c r="A447" s="3"/>
      <c r="B447" s="2"/>
      <c r="C447" s="2"/>
      <c r="D447" s="2"/>
      <c r="E447" s="464"/>
      <c r="F447" s="2"/>
      <c r="G447" s="2"/>
      <c r="H447" s="2"/>
      <c r="I447" s="2"/>
      <c r="J447" s="2"/>
      <c r="K447" s="2"/>
      <c r="L447" s="2"/>
      <c r="M447" s="2"/>
      <c r="N447" s="2"/>
      <c r="O447" s="2"/>
      <c r="P447" s="2"/>
      <c r="Q447" s="2"/>
      <c r="R447" s="255"/>
      <c r="S447" s="3"/>
      <c r="T447" s="3"/>
      <c r="U447" s="3"/>
      <c r="V447" s="3"/>
      <c r="W447" s="3"/>
      <c r="X447" s="3"/>
      <c r="Y447" s="3"/>
      <c r="Z447" s="3"/>
    </row>
    <row r="448" ht="15.75" customHeight="1">
      <c r="A448" s="3"/>
      <c r="B448" s="2"/>
      <c r="C448" s="2"/>
      <c r="D448" s="2"/>
      <c r="E448" s="464"/>
      <c r="F448" s="2"/>
      <c r="G448" s="2"/>
      <c r="H448" s="2"/>
      <c r="I448" s="2"/>
      <c r="J448" s="2"/>
      <c r="K448" s="2"/>
      <c r="L448" s="2"/>
      <c r="M448" s="2"/>
      <c r="N448" s="2"/>
      <c r="O448" s="2"/>
      <c r="P448" s="2"/>
      <c r="Q448" s="2"/>
      <c r="R448" s="255"/>
      <c r="S448" s="3"/>
      <c r="T448" s="3"/>
      <c r="U448" s="3"/>
      <c r="V448" s="3"/>
      <c r="W448" s="3"/>
      <c r="X448" s="3"/>
      <c r="Y448" s="3"/>
      <c r="Z448" s="3"/>
    </row>
    <row r="449" ht="15.75" customHeight="1">
      <c r="A449" s="3"/>
      <c r="B449" s="2"/>
      <c r="C449" s="2"/>
      <c r="D449" s="2"/>
      <c r="E449" s="464"/>
      <c r="F449" s="2"/>
      <c r="G449" s="2"/>
      <c r="H449" s="2"/>
      <c r="I449" s="2"/>
      <c r="J449" s="2"/>
      <c r="K449" s="2"/>
      <c r="L449" s="2"/>
      <c r="M449" s="2"/>
      <c r="N449" s="2"/>
      <c r="O449" s="2"/>
      <c r="P449" s="2"/>
      <c r="Q449" s="2"/>
      <c r="R449" s="255"/>
      <c r="S449" s="3"/>
      <c r="T449" s="3"/>
      <c r="U449" s="3"/>
      <c r="V449" s="3"/>
      <c r="W449" s="3"/>
      <c r="X449" s="3"/>
      <c r="Y449" s="3"/>
      <c r="Z449" s="3"/>
    </row>
    <row r="450" ht="15.75" customHeight="1">
      <c r="A450" s="3"/>
      <c r="B450" s="2"/>
      <c r="C450" s="2"/>
      <c r="D450" s="2"/>
      <c r="E450" s="464"/>
      <c r="F450" s="2"/>
      <c r="G450" s="2"/>
      <c r="H450" s="2"/>
      <c r="I450" s="2"/>
      <c r="J450" s="2"/>
      <c r="K450" s="2"/>
      <c r="L450" s="2"/>
      <c r="M450" s="2"/>
      <c r="N450" s="2"/>
      <c r="O450" s="2"/>
      <c r="P450" s="2"/>
      <c r="Q450" s="2"/>
      <c r="R450" s="255"/>
      <c r="S450" s="3"/>
      <c r="T450" s="3"/>
      <c r="U450" s="3"/>
      <c r="V450" s="3"/>
      <c r="W450" s="3"/>
      <c r="X450" s="3"/>
      <c r="Y450" s="3"/>
      <c r="Z450" s="3"/>
    </row>
    <row r="451" ht="15.75" customHeight="1">
      <c r="A451" s="3"/>
      <c r="B451" s="2"/>
      <c r="C451" s="2"/>
      <c r="D451" s="2"/>
      <c r="E451" s="464"/>
      <c r="F451" s="2"/>
      <c r="G451" s="2"/>
      <c r="H451" s="2"/>
      <c r="I451" s="2"/>
      <c r="J451" s="2"/>
      <c r="K451" s="2"/>
      <c r="L451" s="2"/>
      <c r="M451" s="2"/>
      <c r="N451" s="2"/>
      <c r="O451" s="2"/>
      <c r="P451" s="2"/>
      <c r="Q451" s="2"/>
      <c r="R451" s="255"/>
      <c r="S451" s="3"/>
      <c r="T451" s="3"/>
      <c r="U451" s="3"/>
      <c r="V451" s="3"/>
      <c r="W451" s="3"/>
      <c r="X451" s="3"/>
      <c r="Y451" s="3"/>
      <c r="Z451" s="3"/>
    </row>
    <row r="452" ht="15.75" customHeight="1">
      <c r="A452" s="3"/>
      <c r="B452" s="2"/>
      <c r="C452" s="2"/>
      <c r="D452" s="2"/>
      <c r="E452" s="464"/>
      <c r="F452" s="2"/>
      <c r="G452" s="2"/>
      <c r="H452" s="2"/>
      <c r="I452" s="2"/>
      <c r="J452" s="2"/>
      <c r="K452" s="2"/>
      <c r="L452" s="2"/>
      <c r="M452" s="2"/>
      <c r="N452" s="2"/>
      <c r="O452" s="2"/>
      <c r="P452" s="2"/>
      <c r="Q452" s="2"/>
      <c r="R452" s="255"/>
      <c r="S452" s="3"/>
      <c r="T452" s="3"/>
      <c r="U452" s="3"/>
      <c r="V452" s="3"/>
      <c r="W452" s="3"/>
      <c r="X452" s="3"/>
      <c r="Y452" s="3"/>
      <c r="Z452" s="3"/>
    </row>
    <row r="453" ht="15.75" customHeight="1">
      <c r="A453" s="3"/>
      <c r="B453" s="2"/>
      <c r="C453" s="2"/>
      <c r="D453" s="2"/>
      <c r="E453" s="464"/>
      <c r="F453" s="2"/>
      <c r="G453" s="2"/>
      <c r="H453" s="2"/>
      <c r="I453" s="2"/>
      <c r="J453" s="2"/>
      <c r="K453" s="2"/>
      <c r="L453" s="2"/>
      <c r="M453" s="2"/>
      <c r="N453" s="2"/>
      <c r="O453" s="2"/>
      <c r="P453" s="2"/>
      <c r="Q453" s="2"/>
      <c r="R453" s="255"/>
      <c r="S453" s="3"/>
      <c r="T453" s="3"/>
      <c r="U453" s="3"/>
      <c r="V453" s="3"/>
      <c r="W453" s="3"/>
      <c r="X453" s="3"/>
      <c r="Y453" s="3"/>
      <c r="Z453" s="3"/>
    </row>
    <row r="454" ht="15.75" customHeight="1">
      <c r="A454" s="3"/>
      <c r="B454" s="2"/>
      <c r="C454" s="2"/>
      <c r="D454" s="2"/>
      <c r="E454" s="464"/>
      <c r="F454" s="2"/>
      <c r="G454" s="2"/>
      <c r="H454" s="2"/>
      <c r="I454" s="2"/>
      <c r="J454" s="2"/>
      <c r="K454" s="2"/>
      <c r="L454" s="2"/>
      <c r="M454" s="2"/>
      <c r="N454" s="2"/>
      <c r="O454" s="2"/>
      <c r="P454" s="2"/>
      <c r="Q454" s="2"/>
      <c r="R454" s="255"/>
      <c r="S454" s="3"/>
      <c r="T454" s="3"/>
      <c r="U454" s="3"/>
      <c r="V454" s="3"/>
      <c r="W454" s="3"/>
      <c r="X454" s="3"/>
      <c r="Y454" s="3"/>
      <c r="Z454" s="3"/>
    </row>
    <row r="455" ht="15.75" customHeight="1">
      <c r="A455" s="3"/>
      <c r="B455" s="2"/>
      <c r="C455" s="2"/>
      <c r="D455" s="2"/>
      <c r="E455" s="464"/>
      <c r="F455" s="2"/>
      <c r="G455" s="2"/>
      <c r="H455" s="2"/>
      <c r="I455" s="2"/>
      <c r="J455" s="2"/>
      <c r="K455" s="2"/>
      <c r="L455" s="2"/>
      <c r="M455" s="2"/>
      <c r="N455" s="2"/>
      <c r="O455" s="2"/>
      <c r="P455" s="2"/>
      <c r="Q455" s="2"/>
      <c r="R455" s="255"/>
      <c r="S455" s="3"/>
      <c r="T455" s="3"/>
      <c r="U455" s="3"/>
      <c r="V455" s="3"/>
      <c r="W455" s="3"/>
      <c r="X455" s="3"/>
      <c r="Y455" s="3"/>
      <c r="Z455" s="3"/>
    </row>
    <row r="456" ht="15.75" customHeight="1">
      <c r="A456" s="3"/>
      <c r="B456" s="2"/>
      <c r="C456" s="2"/>
      <c r="D456" s="2"/>
      <c r="E456" s="464"/>
      <c r="F456" s="2"/>
      <c r="G456" s="2"/>
      <c r="H456" s="2"/>
      <c r="I456" s="2"/>
      <c r="J456" s="2"/>
      <c r="K456" s="2"/>
      <c r="L456" s="2"/>
      <c r="M456" s="2"/>
      <c r="N456" s="2"/>
      <c r="O456" s="2"/>
      <c r="P456" s="2"/>
      <c r="Q456" s="2"/>
      <c r="R456" s="255"/>
      <c r="S456" s="3"/>
      <c r="T456" s="3"/>
      <c r="U456" s="3"/>
      <c r="V456" s="3"/>
      <c r="W456" s="3"/>
      <c r="X456" s="3"/>
      <c r="Y456" s="3"/>
      <c r="Z456" s="3"/>
    </row>
    <row r="457" ht="15.75" customHeight="1">
      <c r="A457" s="3"/>
      <c r="B457" s="2"/>
      <c r="C457" s="2"/>
      <c r="D457" s="2"/>
      <c r="E457" s="464"/>
      <c r="F457" s="2"/>
      <c r="G457" s="2"/>
      <c r="H457" s="2"/>
      <c r="I457" s="2"/>
      <c r="J457" s="2"/>
      <c r="K457" s="2"/>
      <c r="L457" s="2"/>
      <c r="M457" s="2"/>
      <c r="N457" s="2"/>
      <c r="O457" s="2"/>
      <c r="P457" s="2"/>
      <c r="Q457" s="2"/>
      <c r="R457" s="255"/>
      <c r="S457" s="3"/>
      <c r="T457" s="3"/>
      <c r="U457" s="3"/>
      <c r="V457" s="3"/>
      <c r="W457" s="3"/>
      <c r="X457" s="3"/>
      <c r="Y457" s="3"/>
      <c r="Z457" s="3"/>
    </row>
    <row r="458" ht="15.75" customHeight="1">
      <c r="A458" s="3"/>
      <c r="B458" s="2"/>
      <c r="C458" s="2"/>
      <c r="D458" s="2"/>
      <c r="E458" s="464"/>
      <c r="F458" s="2"/>
      <c r="G458" s="2"/>
      <c r="H458" s="2"/>
      <c r="I458" s="2"/>
      <c r="J458" s="2"/>
      <c r="K458" s="2"/>
      <c r="L458" s="2"/>
      <c r="M458" s="2"/>
      <c r="N458" s="2"/>
      <c r="O458" s="2"/>
      <c r="P458" s="2"/>
      <c r="Q458" s="2"/>
      <c r="R458" s="255"/>
      <c r="S458" s="3"/>
      <c r="T458" s="3"/>
      <c r="U458" s="3"/>
      <c r="V458" s="3"/>
      <c r="W458" s="3"/>
      <c r="X458" s="3"/>
      <c r="Y458" s="3"/>
      <c r="Z458" s="3"/>
    </row>
    <row r="459" ht="15.75" customHeight="1">
      <c r="A459" s="3"/>
      <c r="B459" s="2"/>
      <c r="C459" s="2"/>
      <c r="D459" s="2"/>
      <c r="E459" s="464"/>
      <c r="F459" s="2"/>
      <c r="G459" s="2"/>
      <c r="H459" s="2"/>
      <c r="I459" s="2"/>
      <c r="J459" s="2"/>
      <c r="K459" s="2"/>
      <c r="L459" s="2"/>
      <c r="M459" s="2"/>
      <c r="N459" s="2"/>
      <c r="O459" s="2"/>
      <c r="P459" s="2"/>
      <c r="Q459" s="2"/>
      <c r="R459" s="255"/>
      <c r="S459" s="3"/>
      <c r="T459" s="3"/>
      <c r="U459" s="3"/>
      <c r="V459" s="3"/>
      <c r="W459" s="3"/>
      <c r="X459" s="3"/>
      <c r="Y459" s="3"/>
      <c r="Z459" s="3"/>
    </row>
    <row r="460" ht="15.75" customHeight="1">
      <c r="A460" s="3"/>
      <c r="B460" s="2"/>
      <c r="C460" s="2"/>
      <c r="D460" s="2"/>
      <c r="E460" s="464"/>
      <c r="F460" s="2"/>
      <c r="G460" s="2"/>
      <c r="H460" s="2"/>
      <c r="I460" s="2"/>
      <c r="J460" s="2"/>
      <c r="K460" s="2"/>
      <c r="L460" s="2"/>
      <c r="M460" s="2"/>
      <c r="N460" s="2"/>
      <c r="O460" s="2"/>
      <c r="P460" s="2"/>
      <c r="Q460" s="2"/>
      <c r="R460" s="255"/>
      <c r="S460" s="3"/>
      <c r="T460" s="3"/>
      <c r="U460" s="3"/>
      <c r="V460" s="3"/>
      <c r="W460" s="3"/>
      <c r="X460" s="3"/>
      <c r="Y460" s="3"/>
      <c r="Z460" s="3"/>
    </row>
    <row r="461" ht="15.75" customHeight="1">
      <c r="A461" s="3"/>
      <c r="B461" s="2"/>
      <c r="C461" s="2"/>
      <c r="D461" s="2"/>
      <c r="E461" s="464"/>
      <c r="F461" s="2"/>
      <c r="G461" s="2"/>
      <c r="H461" s="2"/>
      <c r="I461" s="2"/>
      <c r="J461" s="2"/>
      <c r="K461" s="2"/>
      <c r="L461" s="2"/>
      <c r="M461" s="2"/>
      <c r="N461" s="2"/>
      <c r="O461" s="2"/>
      <c r="P461" s="2"/>
      <c r="Q461" s="2"/>
      <c r="R461" s="255"/>
      <c r="S461" s="3"/>
      <c r="T461" s="3"/>
      <c r="U461" s="3"/>
      <c r="V461" s="3"/>
      <c r="W461" s="3"/>
      <c r="X461" s="3"/>
      <c r="Y461" s="3"/>
      <c r="Z461" s="3"/>
    </row>
    <row r="462" ht="15.75" customHeight="1">
      <c r="A462" s="3"/>
      <c r="B462" s="2"/>
      <c r="C462" s="2"/>
      <c r="D462" s="2"/>
      <c r="E462" s="464"/>
      <c r="F462" s="2"/>
      <c r="G462" s="2"/>
      <c r="H462" s="2"/>
      <c r="I462" s="2"/>
      <c r="J462" s="2"/>
      <c r="K462" s="2"/>
      <c r="L462" s="2"/>
      <c r="M462" s="2"/>
      <c r="N462" s="2"/>
      <c r="O462" s="2"/>
      <c r="P462" s="2"/>
      <c r="Q462" s="2"/>
      <c r="R462" s="255"/>
      <c r="S462" s="3"/>
      <c r="T462" s="3"/>
      <c r="U462" s="3"/>
      <c r="V462" s="3"/>
      <c r="W462" s="3"/>
      <c r="X462" s="3"/>
      <c r="Y462" s="3"/>
      <c r="Z462" s="3"/>
    </row>
    <row r="463" ht="15.75" customHeight="1">
      <c r="A463" s="3"/>
      <c r="B463" s="2"/>
      <c r="C463" s="2"/>
      <c r="D463" s="2"/>
      <c r="E463" s="464"/>
      <c r="F463" s="2"/>
      <c r="G463" s="2"/>
      <c r="H463" s="2"/>
      <c r="I463" s="2"/>
      <c r="J463" s="2"/>
      <c r="K463" s="2"/>
      <c r="L463" s="2"/>
      <c r="M463" s="2"/>
      <c r="N463" s="2"/>
      <c r="O463" s="2"/>
      <c r="P463" s="2"/>
      <c r="Q463" s="2"/>
      <c r="R463" s="255"/>
      <c r="S463" s="3"/>
      <c r="T463" s="3"/>
      <c r="U463" s="3"/>
      <c r="V463" s="3"/>
      <c r="W463" s="3"/>
      <c r="X463" s="3"/>
      <c r="Y463" s="3"/>
      <c r="Z463" s="3"/>
    </row>
    <row r="464" ht="15.75" customHeight="1">
      <c r="A464" s="3"/>
      <c r="B464" s="2"/>
      <c r="C464" s="2"/>
      <c r="D464" s="2"/>
      <c r="E464" s="464"/>
      <c r="F464" s="2"/>
      <c r="G464" s="2"/>
      <c r="H464" s="2"/>
      <c r="I464" s="2"/>
      <c r="J464" s="2"/>
      <c r="K464" s="2"/>
      <c r="L464" s="2"/>
      <c r="M464" s="2"/>
      <c r="N464" s="2"/>
      <c r="O464" s="2"/>
      <c r="P464" s="2"/>
      <c r="Q464" s="2"/>
      <c r="R464" s="255"/>
      <c r="S464" s="3"/>
      <c r="T464" s="3"/>
      <c r="U464" s="3"/>
      <c r="V464" s="3"/>
      <c r="W464" s="3"/>
      <c r="X464" s="3"/>
      <c r="Y464" s="3"/>
      <c r="Z464" s="3"/>
    </row>
    <row r="465" ht="15.75" customHeight="1">
      <c r="A465" s="3"/>
      <c r="B465" s="2"/>
      <c r="C465" s="2"/>
      <c r="D465" s="2"/>
      <c r="E465" s="464"/>
      <c r="F465" s="2"/>
      <c r="G465" s="2"/>
      <c r="H465" s="2"/>
      <c r="I465" s="2"/>
      <c r="J465" s="2"/>
      <c r="K465" s="2"/>
      <c r="L465" s="2"/>
      <c r="M465" s="2"/>
      <c r="N465" s="2"/>
      <c r="O465" s="2"/>
      <c r="P465" s="2"/>
      <c r="Q465" s="2"/>
      <c r="R465" s="255"/>
      <c r="S465" s="3"/>
      <c r="T465" s="3"/>
      <c r="U465" s="3"/>
      <c r="V465" s="3"/>
      <c r="W465" s="3"/>
      <c r="X465" s="3"/>
      <c r="Y465" s="3"/>
      <c r="Z465" s="3"/>
    </row>
    <row r="466" ht="15.75" customHeight="1">
      <c r="A466" s="3"/>
      <c r="B466" s="2"/>
      <c r="C466" s="2"/>
      <c r="D466" s="2"/>
      <c r="E466" s="464"/>
      <c r="F466" s="2"/>
      <c r="G466" s="2"/>
      <c r="H466" s="2"/>
      <c r="I466" s="2"/>
      <c r="J466" s="2"/>
      <c r="K466" s="2"/>
      <c r="L466" s="2"/>
      <c r="M466" s="2"/>
      <c r="N466" s="2"/>
      <c r="O466" s="2"/>
      <c r="P466" s="2"/>
      <c r="Q466" s="2"/>
      <c r="R466" s="255"/>
      <c r="S466" s="3"/>
      <c r="T466" s="3"/>
      <c r="U466" s="3"/>
      <c r="V466" s="3"/>
      <c r="W466" s="3"/>
      <c r="X466" s="3"/>
      <c r="Y466" s="3"/>
      <c r="Z466" s="3"/>
    </row>
    <row r="467" ht="15.75" customHeight="1">
      <c r="A467" s="3"/>
      <c r="B467" s="2"/>
      <c r="C467" s="2"/>
      <c r="D467" s="2"/>
      <c r="E467" s="464"/>
      <c r="F467" s="2"/>
      <c r="G467" s="2"/>
      <c r="H467" s="2"/>
      <c r="I467" s="2"/>
      <c r="J467" s="2"/>
      <c r="K467" s="2"/>
      <c r="L467" s="2"/>
      <c r="M467" s="2"/>
      <c r="N467" s="2"/>
      <c r="O467" s="2"/>
      <c r="P467" s="2"/>
      <c r="Q467" s="2"/>
      <c r="R467" s="255"/>
      <c r="S467" s="3"/>
      <c r="T467" s="3"/>
      <c r="U467" s="3"/>
      <c r="V467" s="3"/>
      <c r="W467" s="3"/>
      <c r="X467" s="3"/>
      <c r="Y467" s="3"/>
      <c r="Z467" s="3"/>
    </row>
    <row r="468" ht="15.75" customHeight="1">
      <c r="A468" s="3"/>
      <c r="B468" s="2"/>
      <c r="C468" s="2"/>
      <c r="D468" s="2"/>
      <c r="E468" s="464"/>
      <c r="F468" s="2"/>
      <c r="G468" s="2"/>
      <c r="H468" s="2"/>
      <c r="I468" s="2"/>
      <c r="J468" s="2"/>
      <c r="K468" s="2"/>
      <c r="L468" s="2"/>
      <c r="M468" s="2"/>
      <c r="N468" s="2"/>
      <c r="O468" s="2"/>
      <c r="P468" s="2"/>
      <c r="Q468" s="2"/>
      <c r="R468" s="255"/>
      <c r="S468" s="3"/>
      <c r="T468" s="3"/>
      <c r="U468" s="3"/>
      <c r="V468" s="3"/>
      <c r="W468" s="3"/>
      <c r="X468" s="3"/>
      <c r="Y468" s="3"/>
      <c r="Z468" s="3"/>
    </row>
    <row r="469" ht="15.75" customHeight="1">
      <c r="A469" s="3"/>
      <c r="B469" s="2"/>
      <c r="C469" s="2"/>
      <c r="D469" s="2"/>
      <c r="E469" s="464"/>
      <c r="F469" s="2"/>
      <c r="G469" s="2"/>
      <c r="H469" s="2"/>
      <c r="I469" s="2"/>
      <c r="J469" s="2"/>
      <c r="K469" s="2"/>
      <c r="L469" s="2"/>
      <c r="M469" s="2"/>
      <c r="N469" s="2"/>
      <c r="O469" s="2"/>
      <c r="P469" s="2"/>
      <c r="Q469" s="2"/>
      <c r="R469" s="255"/>
      <c r="S469" s="3"/>
      <c r="T469" s="3"/>
      <c r="U469" s="3"/>
      <c r="V469" s="3"/>
      <c r="W469" s="3"/>
      <c r="X469" s="3"/>
      <c r="Y469" s="3"/>
      <c r="Z469" s="3"/>
    </row>
    <row r="470" ht="15.75" customHeight="1">
      <c r="A470" s="3"/>
      <c r="B470" s="2"/>
      <c r="C470" s="2"/>
      <c r="D470" s="2"/>
      <c r="E470" s="464"/>
      <c r="F470" s="2"/>
      <c r="G470" s="2"/>
      <c r="H470" s="2"/>
      <c r="I470" s="2"/>
      <c r="J470" s="2"/>
      <c r="K470" s="2"/>
      <c r="L470" s="2"/>
      <c r="M470" s="2"/>
      <c r="N470" s="2"/>
      <c r="O470" s="2"/>
      <c r="P470" s="2"/>
      <c r="Q470" s="2"/>
      <c r="R470" s="255"/>
      <c r="S470" s="3"/>
      <c r="T470" s="3"/>
      <c r="U470" s="3"/>
      <c r="V470" s="3"/>
      <c r="W470" s="3"/>
      <c r="X470" s="3"/>
      <c r="Y470" s="3"/>
      <c r="Z470" s="3"/>
    </row>
    <row r="471" ht="15.75" customHeight="1">
      <c r="A471" s="3"/>
      <c r="B471" s="2"/>
      <c r="C471" s="2"/>
      <c r="D471" s="2"/>
      <c r="E471" s="464"/>
      <c r="F471" s="2"/>
      <c r="G471" s="2"/>
      <c r="H471" s="2"/>
      <c r="I471" s="2"/>
      <c r="J471" s="2"/>
      <c r="K471" s="2"/>
      <c r="L471" s="2"/>
      <c r="M471" s="2"/>
      <c r="N471" s="2"/>
      <c r="O471" s="2"/>
      <c r="P471" s="2"/>
      <c r="Q471" s="2"/>
      <c r="R471" s="255"/>
      <c r="S471" s="3"/>
      <c r="T471" s="3"/>
      <c r="U471" s="3"/>
      <c r="V471" s="3"/>
      <c r="W471" s="3"/>
      <c r="X471" s="3"/>
      <c r="Y471" s="3"/>
      <c r="Z471" s="3"/>
    </row>
    <row r="472" ht="15.75" customHeight="1">
      <c r="A472" s="3"/>
      <c r="B472" s="2"/>
      <c r="C472" s="2"/>
      <c r="D472" s="2"/>
      <c r="E472" s="464"/>
      <c r="F472" s="2"/>
      <c r="G472" s="2"/>
      <c r="H472" s="2"/>
      <c r="I472" s="2"/>
      <c r="J472" s="2"/>
      <c r="K472" s="2"/>
      <c r="L472" s="2"/>
      <c r="M472" s="2"/>
      <c r="N472" s="2"/>
      <c r="O472" s="2"/>
      <c r="P472" s="2"/>
      <c r="Q472" s="2"/>
      <c r="R472" s="255"/>
      <c r="S472" s="3"/>
      <c r="T472" s="3"/>
      <c r="U472" s="3"/>
      <c r="V472" s="3"/>
      <c r="W472" s="3"/>
      <c r="X472" s="3"/>
      <c r="Y472" s="3"/>
      <c r="Z472" s="3"/>
    </row>
    <row r="473" ht="15.75" customHeight="1">
      <c r="A473" s="3"/>
      <c r="B473" s="2"/>
      <c r="C473" s="2"/>
      <c r="D473" s="2"/>
      <c r="E473" s="464"/>
      <c r="F473" s="2"/>
      <c r="G473" s="2"/>
      <c r="H473" s="2"/>
      <c r="I473" s="2"/>
      <c r="J473" s="2"/>
      <c r="K473" s="2"/>
      <c r="L473" s="2"/>
      <c r="M473" s="2"/>
      <c r="N473" s="2"/>
      <c r="O473" s="2"/>
      <c r="P473" s="2"/>
      <c r="Q473" s="2"/>
      <c r="R473" s="255"/>
      <c r="S473" s="3"/>
      <c r="T473" s="3"/>
      <c r="U473" s="3"/>
      <c r="V473" s="3"/>
      <c r="W473" s="3"/>
      <c r="X473" s="3"/>
      <c r="Y473" s="3"/>
      <c r="Z473" s="3"/>
    </row>
    <row r="474" ht="15.75" customHeight="1">
      <c r="A474" s="3"/>
      <c r="B474" s="2"/>
      <c r="C474" s="2"/>
      <c r="D474" s="2"/>
      <c r="E474" s="464"/>
      <c r="F474" s="2"/>
      <c r="G474" s="2"/>
      <c r="H474" s="2"/>
      <c r="I474" s="2"/>
      <c r="J474" s="2"/>
      <c r="K474" s="2"/>
      <c r="L474" s="2"/>
      <c r="M474" s="2"/>
      <c r="N474" s="2"/>
      <c r="O474" s="2"/>
      <c r="P474" s="2"/>
      <c r="Q474" s="2"/>
      <c r="R474" s="255"/>
      <c r="S474" s="3"/>
      <c r="T474" s="3"/>
      <c r="U474" s="3"/>
      <c r="V474" s="3"/>
      <c r="W474" s="3"/>
      <c r="X474" s="3"/>
      <c r="Y474" s="3"/>
      <c r="Z474" s="3"/>
    </row>
    <row r="475" ht="15.75" customHeight="1">
      <c r="A475" s="3"/>
      <c r="B475" s="2"/>
      <c r="C475" s="2"/>
      <c r="D475" s="2"/>
      <c r="E475" s="464"/>
      <c r="F475" s="2"/>
      <c r="G475" s="2"/>
      <c r="H475" s="2"/>
      <c r="I475" s="2"/>
      <c r="J475" s="2"/>
      <c r="K475" s="2"/>
      <c r="L475" s="2"/>
      <c r="M475" s="2"/>
      <c r="N475" s="2"/>
      <c r="O475" s="2"/>
      <c r="P475" s="2"/>
      <c r="Q475" s="2"/>
      <c r="R475" s="255"/>
      <c r="S475" s="3"/>
      <c r="T475" s="3"/>
      <c r="U475" s="3"/>
      <c r="V475" s="3"/>
      <c r="W475" s="3"/>
      <c r="X475" s="3"/>
      <c r="Y475" s="3"/>
      <c r="Z475" s="3"/>
    </row>
    <row r="476" ht="15.75" customHeight="1">
      <c r="A476" s="3"/>
      <c r="B476" s="2"/>
      <c r="C476" s="2"/>
      <c r="D476" s="2"/>
      <c r="E476" s="464"/>
      <c r="F476" s="2"/>
      <c r="G476" s="2"/>
      <c r="H476" s="2"/>
      <c r="I476" s="2"/>
      <c r="J476" s="2"/>
      <c r="K476" s="2"/>
      <c r="L476" s="2"/>
      <c r="M476" s="2"/>
      <c r="N476" s="2"/>
      <c r="O476" s="2"/>
      <c r="P476" s="2"/>
      <c r="Q476" s="2"/>
      <c r="R476" s="255"/>
      <c r="S476" s="3"/>
      <c r="T476" s="3"/>
      <c r="U476" s="3"/>
      <c r="V476" s="3"/>
      <c r="W476" s="3"/>
      <c r="X476" s="3"/>
      <c r="Y476" s="3"/>
      <c r="Z476" s="3"/>
    </row>
    <row r="477" ht="15.75" customHeight="1">
      <c r="A477" s="3"/>
      <c r="B477" s="2"/>
      <c r="C477" s="2"/>
      <c r="D477" s="2"/>
      <c r="E477" s="464"/>
      <c r="F477" s="2"/>
      <c r="G477" s="2"/>
      <c r="H477" s="2"/>
      <c r="I477" s="2"/>
      <c r="J477" s="2"/>
      <c r="K477" s="2"/>
      <c r="L477" s="2"/>
      <c r="M477" s="2"/>
      <c r="N477" s="2"/>
      <c r="O477" s="2"/>
      <c r="P477" s="2"/>
      <c r="Q477" s="2"/>
      <c r="R477" s="255"/>
      <c r="S477" s="3"/>
      <c r="T477" s="3"/>
      <c r="U477" s="3"/>
      <c r="V477" s="3"/>
      <c r="W477" s="3"/>
      <c r="X477" s="3"/>
      <c r="Y477" s="3"/>
      <c r="Z477" s="3"/>
    </row>
    <row r="478" ht="15.75" customHeight="1">
      <c r="A478" s="3"/>
      <c r="B478" s="2"/>
      <c r="C478" s="2"/>
      <c r="D478" s="2"/>
      <c r="E478" s="464"/>
      <c r="F478" s="2"/>
      <c r="G478" s="2"/>
      <c r="H478" s="2"/>
      <c r="I478" s="2"/>
      <c r="J478" s="2"/>
      <c r="K478" s="2"/>
      <c r="L478" s="2"/>
      <c r="M478" s="2"/>
      <c r="N478" s="2"/>
      <c r="O478" s="2"/>
      <c r="P478" s="2"/>
      <c r="Q478" s="2"/>
      <c r="R478" s="255"/>
      <c r="S478" s="3"/>
      <c r="T478" s="3"/>
      <c r="U478" s="3"/>
      <c r="V478" s="3"/>
      <c r="W478" s="3"/>
      <c r="X478" s="3"/>
      <c r="Y478" s="3"/>
      <c r="Z478" s="3"/>
    </row>
    <row r="479" ht="15.75" customHeight="1">
      <c r="A479" s="3"/>
      <c r="B479" s="2"/>
      <c r="C479" s="2"/>
      <c r="D479" s="2"/>
      <c r="E479" s="464"/>
      <c r="F479" s="2"/>
      <c r="G479" s="2"/>
      <c r="H479" s="2"/>
      <c r="I479" s="2"/>
      <c r="J479" s="2"/>
      <c r="K479" s="2"/>
      <c r="L479" s="2"/>
      <c r="M479" s="2"/>
      <c r="N479" s="2"/>
      <c r="O479" s="2"/>
      <c r="P479" s="2"/>
      <c r="Q479" s="2"/>
      <c r="R479" s="255"/>
      <c r="S479" s="3"/>
      <c r="T479" s="3"/>
      <c r="U479" s="3"/>
      <c r="V479" s="3"/>
      <c r="W479" s="3"/>
      <c r="X479" s="3"/>
      <c r="Y479" s="3"/>
      <c r="Z479" s="3"/>
    </row>
    <row r="480" ht="15.75" customHeight="1">
      <c r="A480" s="3"/>
      <c r="B480" s="2"/>
      <c r="C480" s="2"/>
      <c r="D480" s="2"/>
      <c r="E480" s="464"/>
      <c r="F480" s="2"/>
      <c r="G480" s="2"/>
      <c r="H480" s="2"/>
      <c r="I480" s="2"/>
      <c r="J480" s="2"/>
      <c r="K480" s="2"/>
      <c r="L480" s="2"/>
      <c r="M480" s="2"/>
      <c r="N480" s="2"/>
      <c r="O480" s="2"/>
      <c r="P480" s="2"/>
      <c r="Q480" s="2"/>
      <c r="R480" s="255"/>
      <c r="S480" s="3"/>
      <c r="T480" s="3"/>
      <c r="U480" s="3"/>
      <c r="V480" s="3"/>
      <c r="W480" s="3"/>
      <c r="X480" s="3"/>
      <c r="Y480" s="3"/>
      <c r="Z480" s="3"/>
    </row>
    <row r="481" ht="15.75" customHeight="1">
      <c r="A481" s="3"/>
      <c r="B481" s="2"/>
      <c r="C481" s="2"/>
      <c r="D481" s="2"/>
      <c r="E481" s="464"/>
      <c r="F481" s="2"/>
      <c r="G481" s="2"/>
      <c r="H481" s="2"/>
      <c r="I481" s="2"/>
      <c r="J481" s="2"/>
      <c r="K481" s="2"/>
      <c r="L481" s="2"/>
      <c r="M481" s="2"/>
      <c r="N481" s="2"/>
      <c r="O481" s="2"/>
      <c r="P481" s="2"/>
      <c r="Q481" s="2"/>
      <c r="R481" s="255"/>
      <c r="S481" s="3"/>
      <c r="T481" s="3"/>
      <c r="U481" s="3"/>
      <c r="V481" s="3"/>
      <c r="W481" s="3"/>
      <c r="X481" s="3"/>
      <c r="Y481" s="3"/>
      <c r="Z481" s="3"/>
    </row>
    <row r="482" ht="15.75" customHeight="1">
      <c r="A482" s="3"/>
      <c r="B482" s="2"/>
      <c r="C482" s="2"/>
      <c r="D482" s="2"/>
      <c r="E482" s="464"/>
      <c r="F482" s="2"/>
      <c r="G482" s="2"/>
      <c r="H482" s="2"/>
      <c r="I482" s="2"/>
      <c r="J482" s="2"/>
      <c r="K482" s="2"/>
      <c r="L482" s="2"/>
      <c r="M482" s="2"/>
      <c r="N482" s="2"/>
      <c r="O482" s="2"/>
      <c r="P482" s="2"/>
      <c r="Q482" s="2"/>
      <c r="R482" s="255"/>
      <c r="S482" s="3"/>
      <c r="T482" s="3"/>
      <c r="U482" s="3"/>
      <c r="V482" s="3"/>
      <c r="W482" s="3"/>
      <c r="X482" s="3"/>
      <c r="Y482" s="3"/>
      <c r="Z482" s="3"/>
    </row>
    <row r="483" ht="15.75" customHeight="1">
      <c r="A483" s="3"/>
      <c r="B483" s="2"/>
      <c r="C483" s="2"/>
      <c r="D483" s="2"/>
      <c r="E483" s="464"/>
      <c r="F483" s="2"/>
      <c r="G483" s="2"/>
      <c r="H483" s="2"/>
      <c r="I483" s="2"/>
      <c r="J483" s="2"/>
      <c r="K483" s="2"/>
      <c r="L483" s="2"/>
      <c r="M483" s="2"/>
      <c r="N483" s="2"/>
      <c r="O483" s="2"/>
      <c r="P483" s="2"/>
      <c r="Q483" s="2"/>
      <c r="R483" s="255"/>
      <c r="S483" s="3"/>
      <c r="T483" s="3"/>
      <c r="U483" s="3"/>
      <c r="V483" s="3"/>
      <c r="W483" s="3"/>
      <c r="X483" s="3"/>
      <c r="Y483" s="3"/>
      <c r="Z483" s="3"/>
    </row>
    <row r="484" ht="15.75" customHeight="1">
      <c r="A484" s="3"/>
      <c r="B484" s="2"/>
      <c r="C484" s="2"/>
      <c r="D484" s="2"/>
      <c r="E484" s="464"/>
      <c r="F484" s="2"/>
      <c r="G484" s="2"/>
      <c r="H484" s="2"/>
      <c r="I484" s="2"/>
      <c r="J484" s="2"/>
      <c r="K484" s="2"/>
      <c r="L484" s="2"/>
      <c r="M484" s="2"/>
      <c r="N484" s="2"/>
      <c r="O484" s="2"/>
      <c r="P484" s="2"/>
      <c r="Q484" s="2"/>
      <c r="R484" s="255"/>
      <c r="S484" s="3"/>
      <c r="T484" s="3"/>
      <c r="U484" s="3"/>
      <c r="V484" s="3"/>
      <c r="W484" s="3"/>
      <c r="X484" s="3"/>
      <c r="Y484" s="3"/>
      <c r="Z484" s="3"/>
    </row>
    <row r="485" ht="15.75" customHeight="1">
      <c r="A485" s="3"/>
      <c r="B485" s="2"/>
      <c r="C485" s="2"/>
      <c r="D485" s="2"/>
      <c r="E485" s="464"/>
      <c r="F485" s="2"/>
      <c r="G485" s="2"/>
      <c r="H485" s="2"/>
      <c r="I485" s="2"/>
      <c r="J485" s="2"/>
      <c r="K485" s="2"/>
      <c r="L485" s="2"/>
      <c r="M485" s="2"/>
      <c r="N485" s="2"/>
      <c r="O485" s="2"/>
      <c r="P485" s="2"/>
      <c r="Q485" s="2"/>
      <c r="R485" s="255"/>
      <c r="S485" s="3"/>
      <c r="T485" s="3"/>
      <c r="U485" s="3"/>
      <c r="V485" s="3"/>
      <c r="W485" s="3"/>
      <c r="X485" s="3"/>
      <c r="Y485" s="3"/>
      <c r="Z485" s="3"/>
    </row>
    <row r="486" ht="15.75" customHeight="1">
      <c r="A486" s="3"/>
      <c r="B486" s="2"/>
      <c r="C486" s="2"/>
      <c r="D486" s="2"/>
      <c r="E486" s="464"/>
      <c r="F486" s="2"/>
      <c r="G486" s="2"/>
      <c r="H486" s="2"/>
      <c r="I486" s="2"/>
      <c r="J486" s="2"/>
      <c r="K486" s="2"/>
      <c r="L486" s="2"/>
      <c r="M486" s="2"/>
      <c r="N486" s="2"/>
      <c r="O486" s="2"/>
      <c r="P486" s="2"/>
      <c r="Q486" s="2"/>
      <c r="R486" s="255"/>
      <c r="S486" s="3"/>
      <c r="T486" s="3"/>
      <c r="U486" s="3"/>
      <c r="V486" s="3"/>
      <c r="W486" s="3"/>
      <c r="X486" s="3"/>
      <c r="Y486" s="3"/>
      <c r="Z486" s="3"/>
    </row>
    <row r="487" ht="15.75" customHeight="1">
      <c r="A487" s="3"/>
      <c r="B487" s="2"/>
      <c r="C487" s="2"/>
      <c r="D487" s="2"/>
      <c r="E487" s="464"/>
      <c r="F487" s="2"/>
      <c r="G487" s="2"/>
      <c r="H487" s="2"/>
      <c r="I487" s="2"/>
      <c r="J487" s="2"/>
      <c r="K487" s="2"/>
      <c r="L487" s="2"/>
      <c r="M487" s="2"/>
      <c r="N487" s="2"/>
      <c r="O487" s="2"/>
      <c r="P487" s="2"/>
      <c r="Q487" s="2"/>
      <c r="R487" s="255"/>
      <c r="S487" s="3"/>
      <c r="T487" s="3"/>
      <c r="U487" s="3"/>
      <c r="V487" s="3"/>
      <c r="W487" s="3"/>
      <c r="X487" s="3"/>
      <c r="Y487" s="3"/>
      <c r="Z487" s="3"/>
    </row>
    <row r="488" ht="15.75" customHeight="1">
      <c r="A488" s="3"/>
      <c r="B488" s="2"/>
      <c r="C488" s="2"/>
      <c r="D488" s="2"/>
      <c r="E488" s="464"/>
      <c r="F488" s="2"/>
      <c r="G488" s="2"/>
      <c r="H488" s="2"/>
      <c r="I488" s="2"/>
      <c r="J488" s="2"/>
      <c r="K488" s="2"/>
      <c r="L488" s="2"/>
      <c r="M488" s="2"/>
      <c r="N488" s="2"/>
      <c r="O488" s="2"/>
      <c r="P488" s="2"/>
      <c r="Q488" s="2"/>
      <c r="R488" s="255"/>
      <c r="S488" s="3"/>
      <c r="T488" s="3"/>
      <c r="U488" s="3"/>
      <c r="V488" s="3"/>
      <c r="W488" s="3"/>
      <c r="X488" s="3"/>
      <c r="Y488" s="3"/>
      <c r="Z488" s="3"/>
    </row>
    <row r="489" ht="15.75" customHeight="1">
      <c r="A489" s="3"/>
      <c r="B489" s="2"/>
      <c r="C489" s="2"/>
      <c r="D489" s="2"/>
      <c r="E489" s="464"/>
      <c r="F489" s="2"/>
      <c r="G489" s="2"/>
      <c r="H489" s="2"/>
      <c r="I489" s="2"/>
      <c r="J489" s="2"/>
      <c r="K489" s="2"/>
      <c r="L489" s="2"/>
      <c r="M489" s="2"/>
      <c r="N489" s="2"/>
      <c r="O489" s="2"/>
      <c r="P489" s="2"/>
      <c r="Q489" s="2"/>
      <c r="R489" s="255"/>
      <c r="S489" s="3"/>
      <c r="T489" s="3"/>
      <c r="U489" s="3"/>
      <c r="V489" s="3"/>
      <c r="W489" s="3"/>
      <c r="X489" s="3"/>
      <c r="Y489" s="3"/>
      <c r="Z489" s="3"/>
    </row>
    <row r="490" ht="15.75" customHeight="1">
      <c r="A490" s="3"/>
      <c r="B490" s="2"/>
      <c r="C490" s="2"/>
      <c r="D490" s="2"/>
      <c r="E490" s="464"/>
      <c r="F490" s="2"/>
      <c r="G490" s="2"/>
      <c r="H490" s="2"/>
      <c r="I490" s="2"/>
      <c r="J490" s="2"/>
      <c r="K490" s="2"/>
      <c r="L490" s="2"/>
      <c r="M490" s="2"/>
      <c r="N490" s="2"/>
      <c r="O490" s="2"/>
      <c r="P490" s="2"/>
      <c r="Q490" s="2"/>
      <c r="R490" s="255"/>
      <c r="S490" s="3"/>
      <c r="T490" s="3"/>
      <c r="U490" s="3"/>
      <c r="V490" s="3"/>
      <c r="W490" s="3"/>
      <c r="X490" s="3"/>
      <c r="Y490" s="3"/>
      <c r="Z490" s="3"/>
    </row>
    <row r="491" ht="15.75" customHeight="1">
      <c r="A491" s="3"/>
      <c r="B491" s="2"/>
      <c r="C491" s="2"/>
      <c r="D491" s="2"/>
      <c r="E491" s="464"/>
      <c r="F491" s="2"/>
      <c r="G491" s="2"/>
      <c r="H491" s="2"/>
      <c r="I491" s="2"/>
      <c r="J491" s="2"/>
      <c r="K491" s="2"/>
      <c r="L491" s="2"/>
      <c r="M491" s="2"/>
      <c r="N491" s="2"/>
      <c r="O491" s="2"/>
      <c r="P491" s="2"/>
      <c r="Q491" s="2"/>
      <c r="R491" s="255"/>
      <c r="S491" s="3"/>
      <c r="T491" s="3"/>
      <c r="U491" s="3"/>
      <c r="V491" s="3"/>
      <c r="W491" s="3"/>
      <c r="X491" s="3"/>
      <c r="Y491" s="3"/>
      <c r="Z491" s="3"/>
    </row>
    <row r="492" ht="15.75" customHeight="1">
      <c r="A492" s="3"/>
      <c r="B492" s="2"/>
      <c r="C492" s="2"/>
      <c r="D492" s="2"/>
      <c r="E492" s="464"/>
      <c r="F492" s="2"/>
      <c r="G492" s="2"/>
      <c r="H492" s="2"/>
      <c r="I492" s="2"/>
      <c r="J492" s="2"/>
      <c r="K492" s="2"/>
      <c r="L492" s="2"/>
      <c r="M492" s="2"/>
      <c r="N492" s="2"/>
      <c r="O492" s="2"/>
      <c r="P492" s="2"/>
      <c r="Q492" s="2"/>
      <c r="R492" s="255"/>
      <c r="S492" s="3"/>
      <c r="T492" s="3"/>
      <c r="U492" s="3"/>
      <c r="V492" s="3"/>
      <c r="W492" s="3"/>
      <c r="X492" s="3"/>
      <c r="Y492" s="3"/>
      <c r="Z492" s="3"/>
    </row>
    <row r="493" ht="15.75" customHeight="1">
      <c r="A493" s="3"/>
      <c r="B493" s="2"/>
      <c r="C493" s="2"/>
      <c r="D493" s="2"/>
      <c r="E493" s="464"/>
      <c r="F493" s="2"/>
      <c r="G493" s="2"/>
      <c r="H493" s="2"/>
      <c r="I493" s="2"/>
      <c r="J493" s="2"/>
      <c r="K493" s="2"/>
      <c r="L493" s="2"/>
      <c r="M493" s="2"/>
      <c r="N493" s="2"/>
      <c r="O493" s="2"/>
      <c r="P493" s="2"/>
      <c r="Q493" s="2"/>
      <c r="R493" s="255"/>
      <c r="S493" s="3"/>
      <c r="T493" s="3"/>
      <c r="U493" s="3"/>
      <c r="V493" s="3"/>
      <c r="W493" s="3"/>
      <c r="X493" s="3"/>
      <c r="Y493" s="3"/>
      <c r="Z493" s="3"/>
    </row>
    <row r="494" ht="15.75" customHeight="1">
      <c r="A494" s="3"/>
      <c r="B494" s="2"/>
      <c r="C494" s="2"/>
      <c r="D494" s="2"/>
      <c r="E494" s="464"/>
      <c r="F494" s="2"/>
      <c r="G494" s="2"/>
      <c r="H494" s="2"/>
      <c r="I494" s="2"/>
      <c r="J494" s="2"/>
      <c r="K494" s="2"/>
      <c r="L494" s="2"/>
      <c r="M494" s="2"/>
      <c r="N494" s="2"/>
      <c r="O494" s="2"/>
      <c r="P494" s="2"/>
      <c r="Q494" s="2"/>
      <c r="R494" s="255"/>
      <c r="S494" s="3"/>
      <c r="T494" s="3"/>
      <c r="U494" s="3"/>
      <c r="V494" s="3"/>
      <c r="W494" s="3"/>
      <c r="X494" s="3"/>
      <c r="Y494" s="3"/>
      <c r="Z494" s="3"/>
    </row>
    <row r="495" ht="15.75" customHeight="1">
      <c r="A495" s="3"/>
      <c r="B495" s="2"/>
      <c r="C495" s="2"/>
      <c r="D495" s="2"/>
      <c r="E495" s="464"/>
      <c r="F495" s="2"/>
      <c r="G495" s="2"/>
      <c r="H495" s="2"/>
      <c r="I495" s="2"/>
      <c r="J495" s="2"/>
      <c r="K495" s="2"/>
      <c r="L495" s="2"/>
      <c r="M495" s="2"/>
      <c r="N495" s="2"/>
      <c r="O495" s="2"/>
      <c r="P495" s="2"/>
      <c r="Q495" s="2"/>
      <c r="R495" s="255"/>
      <c r="S495" s="3"/>
      <c r="T495" s="3"/>
      <c r="U495" s="3"/>
      <c r="V495" s="3"/>
      <c r="W495" s="3"/>
      <c r="X495" s="3"/>
      <c r="Y495" s="3"/>
      <c r="Z495" s="3"/>
    </row>
    <row r="496" ht="15.75" customHeight="1">
      <c r="A496" s="3"/>
      <c r="B496" s="2"/>
      <c r="C496" s="2"/>
      <c r="D496" s="2"/>
      <c r="E496" s="464"/>
      <c r="F496" s="2"/>
      <c r="G496" s="2"/>
      <c r="H496" s="2"/>
      <c r="I496" s="2"/>
      <c r="J496" s="2"/>
      <c r="K496" s="2"/>
      <c r="L496" s="2"/>
      <c r="M496" s="2"/>
      <c r="N496" s="2"/>
      <c r="O496" s="2"/>
      <c r="P496" s="2"/>
      <c r="Q496" s="2"/>
      <c r="R496" s="255"/>
      <c r="S496" s="3"/>
      <c r="T496" s="3"/>
      <c r="U496" s="3"/>
      <c r="V496" s="3"/>
      <c r="W496" s="3"/>
      <c r="X496" s="3"/>
      <c r="Y496" s="3"/>
      <c r="Z496" s="3"/>
    </row>
    <row r="497" ht="15.75" customHeight="1">
      <c r="A497" s="3"/>
      <c r="B497" s="2"/>
      <c r="C497" s="2"/>
      <c r="D497" s="2"/>
      <c r="E497" s="464"/>
      <c r="F497" s="2"/>
      <c r="G497" s="2"/>
      <c r="H497" s="2"/>
      <c r="I497" s="2"/>
      <c r="J497" s="2"/>
      <c r="K497" s="2"/>
      <c r="L497" s="2"/>
      <c r="M497" s="2"/>
      <c r="N497" s="2"/>
      <c r="O497" s="2"/>
      <c r="P497" s="2"/>
      <c r="Q497" s="2"/>
      <c r="R497" s="255"/>
      <c r="S497" s="3"/>
      <c r="T497" s="3"/>
      <c r="U497" s="3"/>
      <c r="V497" s="3"/>
      <c r="W497" s="3"/>
      <c r="X497" s="3"/>
      <c r="Y497" s="3"/>
      <c r="Z497" s="3"/>
    </row>
    <row r="498" ht="15.75" customHeight="1">
      <c r="A498" s="3"/>
      <c r="B498" s="2"/>
      <c r="C498" s="2"/>
      <c r="D498" s="2"/>
      <c r="E498" s="464"/>
      <c r="F498" s="2"/>
      <c r="G498" s="2"/>
      <c r="H498" s="2"/>
      <c r="I498" s="2"/>
      <c r="J498" s="2"/>
      <c r="K498" s="2"/>
      <c r="L498" s="2"/>
      <c r="M498" s="2"/>
      <c r="N498" s="2"/>
      <c r="O498" s="2"/>
      <c r="P498" s="2"/>
      <c r="Q498" s="2"/>
      <c r="R498" s="255"/>
      <c r="S498" s="3"/>
      <c r="T498" s="3"/>
      <c r="U498" s="3"/>
      <c r="V498" s="3"/>
      <c r="W498" s="3"/>
      <c r="X498" s="3"/>
      <c r="Y498" s="3"/>
      <c r="Z498" s="3"/>
    </row>
    <row r="499" ht="15.75" customHeight="1">
      <c r="A499" s="3"/>
      <c r="B499" s="2"/>
      <c r="C499" s="2"/>
      <c r="D499" s="2"/>
      <c r="E499" s="464"/>
      <c r="F499" s="2"/>
      <c r="G499" s="2"/>
      <c r="H499" s="2"/>
      <c r="I499" s="2"/>
      <c r="J499" s="2"/>
      <c r="K499" s="2"/>
      <c r="L499" s="2"/>
      <c r="M499" s="2"/>
      <c r="N499" s="2"/>
      <c r="O499" s="2"/>
      <c r="P499" s="2"/>
      <c r="Q499" s="2"/>
      <c r="R499" s="255"/>
      <c r="S499" s="3"/>
      <c r="T499" s="3"/>
      <c r="U499" s="3"/>
      <c r="V499" s="3"/>
      <c r="W499" s="3"/>
      <c r="X499" s="3"/>
      <c r="Y499" s="3"/>
      <c r="Z499" s="3"/>
    </row>
    <row r="500" ht="15.75" customHeight="1">
      <c r="A500" s="3"/>
      <c r="B500" s="2"/>
      <c r="C500" s="2"/>
      <c r="D500" s="2"/>
      <c r="E500" s="464"/>
      <c r="F500" s="2"/>
      <c r="G500" s="2"/>
      <c r="H500" s="2"/>
      <c r="I500" s="2"/>
      <c r="J500" s="2"/>
      <c r="K500" s="2"/>
      <c r="L500" s="2"/>
      <c r="M500" s="2"/>
      <c r="N500" s="2"/>
      <c r="O500" s="2"/>
      <c r="P500" s="2"/>
      <c r="Q500" s="2"/>
      <c r="R500" s="255"/>
      <c r="S500" s="3"/>
      <c r="T500" s="3"/>
      <c r="U500" s="3"/>
      <c r="V500" s="3"/>
      <c r="W500" s="3"/>
      <c r="X500" s="3"/>
      <c r="Y500" s="3"/>
      <c r="Z500" s="3"/>
    </row>
    <row r="501" ht="15.75" customHeight="1">
      <c r="A501" s="3"/>
      <c r="B501" s="2"/>
      <c r="C501" s="2"/>
      <c r="D501" s="2"/>
      <c r="E501" s="464"/>
      <c r="F501" s="2"/>
      <c r="G501" s="2"/>
      <c r="H501" s="2"/>
      <c r="I501" s="2"/>
      <c r="J501" s="2"/>
      <c r="K501" s="2"/>
      <c r="L501" s="2"/>
      <c r="M501" s="2"/>
      <c r="N501" s="2"/>
      <c r="O501" s="2"/>
      <c r="P501" s="2"/>
      <c r="Q501" s="2"/>
      <c r="R501" s="255"/>
      <c r="S501" s="3"/>
      <c r="T501" s="3"/>
      <c r="U501" s="3"/>
      <c r="V501" s="3"/>
      <c r="W501" s="3"/>
      <c r="X501" s="3"/>
      <c r="Y501" s="3"/>
      <c r="Z501" s="3"/>
    </row>
    <row r="502" ht="15.75" customHeight="1">
      <c r="A502" s="3"/>
      <c r="B502" s="2"/>
      <c r="C502" s="2"/>
      <c r="D502" s="2"/>
      <c r="E502" s="464"/>
      <c r="F502" s="2"/>
      <c r="G502" s="2"/>
      <c r="H502" s="2"/>
      <c r="I502" s="2"/>
      <c r="J502" s="2"/>
      <c r="K502" s="2"/>
      <c r="L502" s="2"/>
      <c r="M502" s="2"/>
      <c r="N502" s="2"/>
      <c r="O502" s="2"/>
      <c r="P502" s="2"/>
      <c r="Q502" s="2"/>
      <c r="R502" s="255"/>
      <c r="S502" s="3"/>
      <c r="T502" s="3"/>
      <c r="U502" s="3"/>
      <c r="V502" s="3"/>
      <c r="W502" s="3"/>
      <c r="X502" s="3"/>
      <c r="Y502" s="3"/>
      <c r="Z502" s="3"/>
    </row>
    <row r="503" ht="15.75" customHeight="1">
      <c r="A503" s="3"/>
      <c r="B503" s="2"/>
      <c r="C503" s="2"/>
      <c r="D503" s="2"/>
      <c r="E503" s="464"/>
      <c r="F503" s="2"/>
      <c r="G503" s="2"/>
      <c r="H503" s="2"/>
      <c r="I503" s="2"/>
      <c r="J503" s="2"/>
      <c r="K503" s="2"/>
      <c r="L503" s="2"/>
      <c r="M503" s="2"/>
      <c r="N503" s="2"/>
      <c r="O503" s="2"/>
      <c r="P503" s="2"/>
      <c r="Q503" s="2"/>
      <c r="R503" s="255"/>
      <c r="S503" s="3"/>
      <c r="T503" s="3"/>
      <c r="U503" s="3"/>
      <c r="V503" s="3"/>
      <c r="W503" s="3"/>
      <c r="X503" s="3"/>
      <c r="Y503" s="3"/>
      <c r="Z503" s="3"/>
    </row>
    <row r="504" ht="15.75" customHeight="1">
      <c r="A504" s="3"/>
      <c r="B504" s="2"/>
      <c r="C504" s="2"/>
      <c r="D504" s="2"/>
      <c r="E504" s="464"/>
      <c r="F504" s="2"/>
      <c r="G504" s="2"/>
      <c r="H504" s="2"/>
      <c r="I504" s="2"/>
      <c r="J504" s="2"/>
      <c r="K504" s="2"/>
      <c r="L504" s="2"/>
      <c r="M504" s="2"/>
      <c r="N504" s="2"/>
      <c r="O504" s="2"/>
      <c r="P504" s="2"/>
      <c r="Q504" s="2"/>
      <c r="R504" s="255"/>
      <c r="S504" s="3"/>
      <c r="T504" s="3"/>
      <c r="U504" s="3"/>
      <c r="V504" s="3"/>
      <c r="W504" s="3"/>
      <c r="X504" s="3"/>
      <c r="Y504" s="3"/>
      <c r="Z504" s="3"/>
    </row>
    <row r="505" ht="15.75" customHeight="1">
      <c r="A505" s="3"/>
      <c r="B505" s="2"/>
      <c r="C505" s="2"/>
      <c r="D505" s="2"/>
      <c r="E505" s="464"/>
      <c r="F505" s="2"/>
      <c r="G505" s="2"/>
      <c r="H505" s="2"/>
      <c r="I505" s="2"/>
      <c r="J505" s="2"/>
      <c r="K505" s="2"/>
      <c r="L505" s="2"/>
      <c r="M505" s="2"/>
      <c r="N505" s="2"/>
      <c r="O505" s="2"/>
      <c r="P505" s="2"/>
      <c r="Q505" s="2"/>
      <c r="R505" s="255"/>
      <c r="S505" s="3"/>
      <c r="T505" s="3"/>
      <c r="U505" s="3"/>
      <c r="V505" s="3"/>
      <c r="W505" s="3"/>
      <c r="X505" s="3"/>
      <c r="Y505" s="3"/>
      <c r="Z505" s="3"/>
    </row>
    <row r="506" ht="15.75" customHeight="1">
      <c r="A506" s="3"/>
      <c r="B506" s="2"/>
      <c r="C506" s="2"/>
      <c r="D506" s="2"/>
      <c r="E506" s="464"/>
      <c r="F506" s="2"/>
      <c r="G506" s="2"/>
      <c r="H506" s="2"/>
      <c r="I506" s="2"/>
      <c r="J506" s="2"/>
      <c r="K506" s="2"/>
      <c r="L506" s="2"/>
      <c r="M506" s="2"/>
      <c r="N506" s="2"/>
      <c r="O506" s="2"/>
      <c r="P506" s="2"/>
      <c r="Q506" s="2"/>
      <c r="R506" s="255"/>
      <c r="S506" s="3"/>
      <c r="T506" s="3"/>
      <c r="U506" s="3"/>
      <c r="V506" s="3"/>
      <c r="W506" s="3"/>
      <c r="X506" s="3"/>
      <c r="Y506" s="3"/>
      <c r="Z506" s="3"/>
    </row>
    <row r="507" ht="15.75" customHeight="1">
      <c r="A507" s="3"/>
      <c r="B507" s="2"/>
      <c r="C507" s="2"/>
      <c r="D507" s="2"/>
      <c r="E507" s="464"/>
      <c r="F507" s="2"/>
      <c r="G507" s="2"/>
      <c r="H507" s="2"/>
      <c r="I507" s="2"/>
      <c r="J507" s="2"/>
      <c r="K507" s="2"/>
      <c r="L507" s="2"/>
      <c r="M507" s="2"/>
      <c r="N507" s="2"/>
      <c r="O507" s="2"/>
      <c r="P507" s="2"/>
      <c r="Q507" s="2"/>
      <c r="R507" s="255"/>
      <c r="S507" s="3"/>
      <c r="T507" s="3"/>
      <c r="U507" s="3"/>
      <c r="V507" s="3"/>
      <c r="W507" s="3"/>
      <c r="X507" s="3"/>
      <c r="Y507" s="3"/>
      <c r="Z507" s="3"/>
    </row>
    <row r="508" ht="15.75" customHeight="1">
      <c r="A508" s="3"/>
      <c r="B508" s="2"/>
      <c r="C508" s="2"/>
      <c r="D508" s="2"/>
      <c r="E508" s="464"/>
      <c r="F508" s="2"/>
      <c r="G508" s="2"/>
      <c r="H508" s="2"/>
      <c r="I508" s="2"/>
      <c r="J508" s="2"/>
      <c r="K508" s="2"/>
      <c r="L508" s="2"/>
      <c r="M508" s="2"/>
      <c r="N508" s="2"/>
      <c r="O508" s="2"/>
      <c r="P508" s="2"/>
      <c r="Q508" s="2"/>
      <c r="R508" s="255"/>
      <c r="S508" s="3"/>
      <c r="T508" s="3"/>
      <c r="U508" s="3"/>
      <c r="V508" s="3"/>
      <c r="W508" s="3"/>
      <c r="X508" s="3"/>
      <c r="Y508" s="3"/>
      <c r="Z508" s="3"/>
    </row>
    <row r="509" ht="15.75" customHeight="1">
      <c r="A509" s="3"/>
      <c r="B509" s="2"/>
      <c r="C509" s="2"/>
      <c r="D509" s="2"/>
      <c r="E509" s="464"/>
      <c r="F509" s="2"/>
      <c r="G509" s="2"/>
      <c r="H509" s="2"/>
      <c r="I509" s="2"/>
      <c r="J509" s="2"/>
      <c r="K509" s="2"/>
      <c r="L509" s="2"/>
      <c r="M509" s="2"/>
      <c r="N509" s="2"/>
      <c r="O509" s="2"/>
      <c r="P509" s="2"/>
      <c r="Q509" s="2"/>
      <c r="R509" s="255"/>
      <c r="S509" s="3"/>
      <c r="T509" s="3"/>
      <c r="U509" s="3"/>
      <c r="V509" s="3"/>
      <c r="W509" s="3"/>
      <c r="X509" s="3"/>
      <c r="Y509" s="3"/>
      <c r="Z509" s="3"/>
    </row>
    <row r="510" ht="15.75" customHeight="1">
      <c r="A510" s="3"/>
      <c r="B510" s="2"/>
      <c r="C510" s="2"/>
      <c r="D510" s="2"/>
      <c r="E510" s="464"/>
      <c r="F510" s="2"/>
      <c r="G510" s="2"/>
      <c r="H510" s="2"/>
      <c r="I510" s="2"/>
      <c r="J510" s="2"/>
      <c r="K510" s="2"/>
      <c r="L510" s="2"/>
      <c r="M510" s="2"/>
      <c r="N510" s="2"/>
      <c r="O510" s="2"/>
      <c r="P510" s="2"/>
      <c r="Q510" s="2"/>
      <c r="R510" s="255"/>
      <c r="S510" s="3"/>
      <c r="T510" s="3"/>
      <c r="U510" s="3"/>
      <c r="V510" s="3"/>
      <c r="W510" s="3"/>
      <c r="X510" s="3"/>
      <c r="Y510" s="3"/>
      <c r="Z510" s="3"/>
    </row>
    <row r="511" ht="15.75" customHeight="1">
      <c r="A511" s="3"/>
      <c r="B511" s="2"/>
      <c r="C511" s="2"/>
      <c r="D511" s="2"/>
      <c r="E511" s="464"/>
      <c r="F511" s="2"/>
      <c r="G511" s="2"/>
      <c r="H511" s="2"/>
      <c r="I511" s="2"/>
      <c r="J511" s="2"/>
      <c r="K511" s="2"/>
      <c r="L511" s="2"/>
      <c r="M511" s="2"/>
      <c r="N511" s="2"/>
      <c r="O511" s="2"/>
      <c r="P511" s="2"/>
      <c r="Q511" s="2"/>
      <c r="R511" s="255"/>
      <c r="S511" s="3"/>
      <c r="T511" s="3"/>
      <c r="U511" s="3"/>
      <c r="V511" s="3"/>
      <c r="W511" s="3"/>
      <c r="X511" s="3"/>
      <c r="Y511" s="3"/>
      <c r="Z511" s="3"/>
    </row>
    <row r="512" ht="15.75" customHeight="1">
      <c r="A512" s="3"/>
      <c r="B512" s="2"/>
      <c r="C512" s="2"/>
      <c r="D512" s="2"/>
      <c r="E512" s="464"/>
      <c r="F512" s="2"/>
      <c r="G512" s="2"/>
      <c r="H512" s="2"/>
      <c r="I512" s="2"/>
      <c r="J512" s="2"/>
      <c r="K512" s="2"/>
      <c r="L512" s="2"/>
      <c r="M512" s="2"/>
      <c r="N512" s="2"/>
      <c r="O512" s="2"/>
      <c r="P512" s="2"/>
      <c r="Q512" s="2"/>
      <c r="R512" s="255"/>
      <c r="S512" s="3"/>
      <c r="T512" s="3"/>
      <c r="U512" s="3"/>
      <c r="V512" s="3"/>
      <c r="W512" s="3"/>
      <c r="X512" s="3"/>
      <c r="Y512" s="3"/>
      <c r="Z512" s="3"/>
    </row>
    <row r="513" ht="15.75" customHeight="1">
      <c r="A513" s="3"/>
      <c r="B513" s="2"/>
      <c r="C513" s="2"/>
      <c r="D513" s="2"/>
      <c r="E513" s="464"/>
      <c r="F513" s="2"/>
      <c r="G513" s="2"/>
      <c r="H513" s="2"/>
      <c r="I513" s="2"/>
      <c r="J513" s="2"/>
      <c r="K513" s="2"/>
      <c r="L513" s="2"/>
      <c r="M513" s="2"/>
      <c r="N513" s="2"/>
      <c r="O513" s="2"/>
      <c r="P513" s="2"/>
      <c r="Q513" s="2"/>
      <c r="R513" s="255"/>
      <c r="S513" s="3"/>
      <c r="T513" s="3"/>
      <c r="U513" s="3"/>
      <c r="V513" s="3"/>
      <c r="W513" s="3"/>
      <c r="X513" s="3"/>
      <c r="Y513" s="3"/>
      <c r="Z513" s="3"/>
    </row>
    <row r="514" ht="15.75" customHeight="1">
      <c r="A514" s="3"/>
      <c r="B514" s="2"/>
      <c r="C514" s="2"/>
      <c r="D514" s="2"/>
      <c r="E514" s="464"/>
      <c r="F514" s="2"/>
      <c r="G514" s="2"/>
      <c r="H514" s="2"/>
      <c r="I514" s="2"/>
      <c r="J514" s="2"/>
      <c r="K514" s="2"/>
      <c r="L514" s="2"/>
      <c r="M514" s="2"/>
      <c r="N514" s="2"/>
      <c r="O514" s="2"/>
      <c r="P514" s="2"/>
      <c r="Q514" s="2"/>
      <c r="R514" s="255"/>
      <c r="S514" s="3"/>
      <c r="T514" s="3"/>
      <c r="U514" s="3"/>
      <c r="V514" s="3"/>
      <c r="W514" s="3"/>
      <c r="X514" s="3"/>
      <c r="Y514" s="3"/>
      <c r="Z514" s="3"/>
    </row>
    <row r="515" ht="15.75" customHeight="1">
      <c r="A515" s="3"/>
      <c r="B515" s="2"/>
      <c r="C515" s="2"/>
      <c r="D515" s="2"/>
      <c r="E515" s="464"/>
      <c r="F515" s="2"/>
      <c r="G515" s="2"/>
      <c r="H515" s="2"/>
      <c r="I515" s="2"/>
      <c r="J515" s="2"/>
      <c r="K515" s="2"/>
      <c r="L515" s="2"/>
      <c r="M515" s="2"/>
      <c r="N515" s="2"/>
      <c r="O515" s="2"/>
      <c r="P515" s="2"/>
      <c r="Q515" s="2"/>
      <c r="R515" s="255"/>
      <c r="S515" s="3"/>
      <c r="T515" s="3"/>
      <c r="U515" s="3"/>
      <c r="V515" s="3"/>
      <c r="W515" s="3"/>
      <c r="X515" s="3"/>
      <c r="Y515" s="3"/>
      <c r="Z515" s="3"/>
    </row>
    <row r="516" ht="15.75" customHeight="1">
      <c r="A516" s="3"/>
      <c r="B516" s="2"/>
      <c r="C516" s="2"/>
      <c r="D516" s="2"/>
      <c r="E516" s="464"/>
      <c r="F516" s="2"/>
      <c r="G516" s="2"/>
      <c r="H516" s="2"/>
      <c r="I516" s="2"/>
      <c r="J516" s="2"/>
      <c r="K516" s="2"/>
      <c r="L516" s="2"/>
      <c r="M516" s="2"/>
      <c r="N516" s="2"/>
      <c r="O516" s="2"/>
      <c r="P516" s="2"/>
      <c r="Q516" s="2"/>
      <c r="R516" s="255"/>
      <c r="S516" s="3"/>
      <c r="T516" s="3"/>
      <c r="U516" s="3"/>
      <c r="V516" s="3"/>
      <c r="W516" s="3"/>
      <c r="X516" s="3"/>
      <c r="Y516" s="3"/>
      <c r="Z516" s="3"/>
    </row>
    <row r="517" ht="15.75" customHeight="1">
      <c r="A517" s="3"/>
      <c r="B517" s="2"/>
      <c r="C517" s="2"/>
      <c r="D517" s="2"/>
      <c r="E517" s="464"/>
      <c r="F517" s="2"/>
      <c r="G517" s="2"/>
      <c r="H517" s="2"/>
      <c r="I517" s="2"/>
      <c r="J517" s="2"/>
      <c r="K517" s="2"/>
      <c r="L517" s="2"/>
      <c r="M517" s="2"/>
      <c r="N517" s="2"/>
      <c r="O517" s="2"/>
      <c r="P517" s="2"/>
      <c r="Q517" s="2"/>
      <c r="R517" s="255"/>
      <c r="S517" s="3"/>
      <c r="T517" s="3"/>
      <c r="U517" s="3"/>
      <c r="V517" s="3"/>
      <c r="W517" s="3"/>
      <c r="X517" s="3"/>
      <c r="Y517" s="3"/>
      <c r="Z517" s="3"/>
    </row>
    <row r="518" ht="15.75" customHeight="1">
      <c r="A518" s="3"/>
      <c r="B518" s="2"/>
      <c r="C518" s="2"/>
      <c r="D518" s="2"/>
      <c r="E518" s="464"/>
      <c r="F518" s="2"/>
      <c r="G518" s="2"/>
      <c r="H518" s="2"/>
      <c r="I518" s="2"/>
      <c r="J518" s="2"/>
      <c r="K518" s="2"/>
      <c r="L518" s="2"/>
      <c r="M518" s="2"/>
      <c r="N518" s="2"/>
      <c r="O518" s="2"/>
      <c r="P518" s="2"/>
      <c r="Q518" s="2"/>
      <c r="R518" s="255"/>
      <c r="S518" s="3"/>
      <c r="T518" s="3"/>
      <c r="U518" s="3"/>
      <c r="V518" s="3"/>
      <c r="W518" s="3"/>
      <c r="X518" s="3"/>
      <c r="Y518" s="3"/>
      <c r="Z518" s="3"/>
    </row>
    <row r="519" ht="15.75" customHeight="1">
      <c r="A519" s="3"/>
      <c r="B519" s="2"/>
      <c r="C519" s="2"/>
      <c r="D519" s="2"/>
      <c r="E519" s="464"/>
      <c r="F519" s="2"/>
      <c r="G519" s="2"/>
      <c r="H519" s="2"/>
      <c r="I519" s="2"/>
      <c r="J519" s="2"/>
      <c r="K519" s="2"/>
      <c r="L519" s="2"/>
      <c r="M519" s="2"/>
      <c r="N519" s="2"/>
      <c r="O519" s="2"/>
      <c r="P519" s="2"/>
      <c r="Q519" s="2"/>
      <c r="R519" s="255"/>
      <c r="S519" s="3"/>
      <c r="T519" s="3"/>
      <c r="U519" s="3"/>
      <c r="V519" s="3"/>
      <c r="W519" s="3"/>
      <c r="X519" s="3"/>
      <c r="Y519" s="3"/>
      <c r="Z519" s="3"/>
    </row>
    <row r="520" ht="15.75" customHeight="1">
      <c r="A520" s="3"/>
      <c r="B520" s="2"/>
      <c r="C520" s="2"/>
      <c r="D520" s="2"/>
      <c r="E520" s="464"/>
      <c r="F520" s="2"/>
      <c r="G520" s="2"/>
      <c r="H520" s="2"/>
      <c r="I520" s="2"/>
      <c r="J520" s="2"/>
      <c r="K520" s="2"/>
      <c r="L520" s="2"/>
      <c r="M520" s="2"/>
      <c r="N520" s="2"/>
      <c r="O520" s="2"/>
      <c r="P520" s="2"/>
      <c r="Q520" s="2"/>
      <c r="R520" s="255"/>
      <c r="S520" s="3"/>
      <c r="T520" s="3"/>
      <c r="U520" s="3"/>
      <c r="V520" s="3"/>
      <c r="W520" s="3"/>
      <c r="X520" s="3"/>
      <c r="Y520" s="3"/>
      <c r="Z520" s="3"/>
    </row>
    <row r="521" ht="15.75" customHeight="1">
      <c r="A521" s="3"/>
      <c r="B521" s="2"/>
      <c r="C521" s="2"/>
      <c r="D521" s="2"/>
      <c r="E521" s="464"/>
      <c r="F521" s="2"/>
      <c r="G521" s="2"/>
      <c r="H521" s="2"/>
      <c r="I521" s="2"/>
      <c r="J521" s="2"/>
      <c r="K521" s="2"/>
      <c r="L521" s="2"/>
      <c r="M521" s="2"/>
      <c r="N521" s="2"/>
      <c r="O521" s="2"/>
      <c r="P521" s="2"/>
      <c r="Q521" s="2"/>
      <c r="R521" s="255"/>
      <c r="S521" s="3"/>
      <c r="T521" s="3"/>
      <c r="U521" s="3"/>
      <c r="V521" s="3"/>
      <c r="W521" s="3"/>
      <c r="X521" s="3"/>
      <c r="Y521" s="3"/>
      <c r="Z521" s="3"/>
    </row>
    <row r="522" ht="15.75" customHeight="1">
      <c r="A522" s="3"/>
      <c r="B522" s="2"/>
      <c r="C522" s="2"/>
      <c r="D522" s="2"/>
      <c r="E522" s="464"/>
      <c r="F522" s="2"/>
      <c r="G522" s="2"/>
      <c r="H522" s="2"/>
      <c r="I522" s="2"/>
      <c r="J522" s="2"/>
      <c r="K522" s="2"/>
      <c r="L522" s="2"/>
      <c r="M522" s="2"/>
      <c r="N522" s="2"/>
      <c r="O522" s="2"/>
      <c r="P522" s="2"/>
      <c r="Q522" s="2"/>
      <c r="R522" s="255"/>
      <c r="S522" s="3"/>
      <c r="T522" s="3"/>
      <c r="U522" s="3"/>
      <c r="V522" s="3"/>
      <c r="W522" s="3"/>
      <c r="X522" s="3"/>
      <c r="Y522" s="3"/>
      <c r="Z522" s="3"/>
    </row>
    <row r="523" ht="15.75" customHeight="1">
      <c r="A523" s="3"/>
      <c r="B523" s="2"/>
      <c r="C523" s="2"/>
      <c r="D523" s="2"/>
      <c r="E523" s="464"/>
      <c r="F523" s="2"/>
      <c r="G523" s="2"/>
      <c r="H523" s="2"/>
      <c r="I523" s="2"/>
      <c r="J523" s="2"/>
      <c r="K523" s="2"/>
      <c r="L523" s="2"/>
      <c r="M523" s="2"/>
      <c r="N523" s="2"/>
      <c r="O523" s="2"/>
      <c r="P523" s="2"/>
      <c r="Q523" s="2"/>
      <c r="R523" s="255"/>
      <c r="S523" s="3"/>
      <c r="T523" s="3"/>
      <c r="U523" s="3"/>
      <c r="V523" s="3"/>
      <c r="W523" s="3"/>
      <c r="X523" s="3"/>
      <c r="Y523" s="3"/>
      <c r="Z523" s="3"/>
    </row>
    <row r="524" ht="15.75" customHeight="1">
      <c r="A524" s="3"/>
      <c r="B524" s="2"/>
      <c r="C524" s="2"/>
      <c r="D524" s="2"/>
      <c r="E524" s="464"/>
      <c r="F524" s="2"/>
      <c r="G524" s="2"/>
      <c r="H524" s="2"/>
      <c r="I524" s="2"/>
      <c r="J524" s="2"/>
      <c r="K524" s="2"/>
      <c r="L524" s="2"/>
      <c r="M524" s="2"/>
      <c r="N524" s="2"/>
      <c r="O524" s="2"/>
      <c r="P524" s="2"/>
      <c r="Q524" s="2"/>
      <c r="R524" s="255"/>
      <c r="S524" s="3"/>
      <c r="T524" s="3"/>
      <c r="U524" s="3"/>
      <c r="V524" s="3"/>
      <c r="W524" s="3"/>
      <c r="X524" s="3"/>
      <c r="Y524" s="3"/>
      <c r="Z524" s="3"/>
    </row>
    <row r="525" ht="15.75" customHeight="1">
      <c r="A525" s="3"/>
      <c r="B525" s="2"/>
      <c r="C525" s="2"/>
      <c r="D525" s="2"/>
      <c r="E525" s="464"/>
      <c r="F525" s="2"/>
      <c r="G525" s="2"/>
      <c r="H525" s="2"/>
      <c r="I525" s="2"/>
      <c r="J525" s="2"/>
      <c r="K525" s="2"/>
      <c r="L525" s="2"/>
      <c r="M525" s="2"/>
      <c r="N525" s="2"/>
      <c r="O525" s="2"/>
      <c r="P525" s="2"/>
      <c r="Q525" s="2"/>
      <c r="R525" s="255"/>
      <c r="S525" s="3"/>
      <c r="T525" s="3"/>
      <c r="U525" s="3"/>
      <c r="V525" s="3"/>
      <c r="W525" s="3"/>
      <c r="X525" s="3"/>
      <c r="Y525" s="3"/>
      <c r="Z525" s="3"/>
    </row>
    <row r="526" ht="15.75" customHeight="1">
      <c r="A526" s="3"/>
      <c r="B526" s="2"/>
      <c r="C526" s="2"/>
      <c r="D526" s="2"/>
      <c r="E526" s="464"/>
      <c r="F526" s="2"/>
      <c r="G526" s="2"/>
      <c r="H526" s="2"/>
      <c r="I526" s="2"/>
      <c r="J526" s="2"/>
      <c r="K526" s="2"/>
      <c r="L526" s="2"/>
      <c r="M526" s="2"/>
      <c r="N526" s="2"/>
      <c r="O526" s="2"/>
      <c r="P526" s="2"/>
      <c r="Q526" s="2"/>
      <c r="R526" s="255"/>
      <c r="S526" s="3"/>
      <c r="T526" s="3"/>
      <c r="U526" s="3"/>
      <c r="V526" s="3"/>
      <c r="W526" s="3"/>
      <c r="X526" s="3"/>
      <c r="Y526" s="3"/>
      <c r="Z526" s="3"/>
    </row>
    <row r="527" ht="15.75" customHeight="1">
      <c r="A527" s="3"/>
      <c r="B527" s="2"/>
      <c r="C527" s="2"/>
      <c r="D527" s="2"/>
      <c r="E527" s="464"/>
      <c r="F527" s="2"/>
      <c r="G527" s="2"/>
      <c r="H527" s="2"/>
      <c r="I527" s="2"/>
      <c r="J527" s="2"/>
      <c r="K527" s="2"/>
      <c r="L527" s="2"/>
      <c r="M527" s="2"/>
      <c r="N527" s="2"/>
      <c r="O527" s="2"/>
      <c r="P527" s="2"/>
      <c r="Q527" s="2"/>
      <c r="R527" s="255"/>
      <c r="S527" s="3"/>
      <c r="T527" s="3"/>
      <c r="U527" s="3"/>
      <c r="V527" s="3"/>
      <c r="W527" s="3"/>
      <c r="X527" s="3"/>
      <c r="Y527" s="3"/>
      <c r="Z527" s="3"/>
    </row>
    <row r="528" ht="15.75" customHeight="1">
      <c r="A528" s="3"/>
      <c r="B528" s="2"/>
      <c r="C528" s="2"/>
      <c r="D528" s="2"/>
      <c r="E528" s="464"/>
      <c r="F528" s="2"/>
      <c r="G528" s="2"/>
      <c r="H528" s="2"/>
      <c r="I528" s="2"/>
      <c r="J528" s="2"/>
      <c r="K528" s="2"/>
      <c r="L528" s="2"/>
      <c r="M528" s="2"/>
      <c r="N528" s="2"/>
      <c r="O528" s="2"/>
      <c r="P528" s="2"/>
      <c r="Q528" s="2"/>
      <c r="R528" s="255"/>
      <c r="S528" s="3"/>
      <c r="T528" s="3"/>
      <c r="U528" s="3"/>
      <c r="V528" s="3"/>
      <c r="W528" s="3"/>
      <c r="X528" s="3"/>
      <c r="Y528" s="3"/>
      <c r="Z528" s="3"/>
    </row>
    <row r="529" ht="15.75" customHeight="1">
      <c r="A529" s="3"/>
      <c r="B529" s="2"/>
      <c r="C529" s="2"/>
      <c r="D529" s="2"/>
      <c r="E529" s="464"/>
      <c r="F529" s="2"/>
      <c r="G529" s="2"/>
      <c r="H529" s="2"/>
      <c r="I529" s="2"/>
      <c r="J529" s="2"/>
      <c r="K529" s="2"/>
      <c r="L529" s="2"/>
      <c r="M529" s="2"/>
      <c r="N529" s="2"/>
      <c r="O529" s="2"/>
      <c r="P529" s="2"/>
      <c r="Q529" s="2"/>
      <c r="R529" s="255"/>
      <c r="S529" s="3"/>
      <c r="T529" s="3"/>
      <c r="U529" s="3"/>
      <c r="V529" s="3"/>
      <c r="W529" s="3"/>
      <c r="X529" s="3"/>
      <c r="Y529" s="3"/>
      <c r="Z529" s="3"/>
    </row>
    <row r="530" ht="15.75" customHeight="1">
      <c r="A530" s="3"/>
      <c r="B530" s="2"/>
      <c r="C530" s="2"/>
      <c r="D530" s="2"/>
      <c r="E530" s="464"/>
      <c r="F530" s="2"/>
      <c r="G530" s="2"/>
      <c r="H530" s="2"/>
      <c r="I530" s="2"/>
      <c r="J530" s="2"/>
      <c r="K530" s="2"/>
      <c r="L530" s="2"/>
      <c r="M530" s="2"/>
      <c r="N530" s="2"/>
      <c r="O530" s="2"/>
      <c r="P530" s="2"/>
      <c r="Q530" s="2"/>
      <c r="R530" s="255"/>
      <c r="S530" s="3"/>
      <c r="T530" s="3"/>
      <c r="U530" s="3"/>
      <c r="V530" s="3"/>
      <c r="W530" s="3"/>
      <c r="X530" s="3"/>
      <c r="Y530" s="3"/>
      <c r="Z530" s="3"/>
    </row>
    <row r="531" ht="15.75" customHeight="1">
      <c r="A531" s="3"/>
      <c r="B531" s="2"/>
      <c r="C531" s="2"/>
      <c r="D531" s="2"/>
      <c r="E531" s="464"/>
      <c r="F531" s="2"/>
      <c r="G531" s="2"/>
      <c r="H531" s="2"/>
      <c r="I531" s="2"/>
      <c r="J531" s="2"/>
      <c r="K531" s="2"/>
      <c r="L531" s="2"/>
      <c r="M531" s="2"/>
      <c r="N531" s="2"/>
      <c r="O531" s="2"/>
      <c r="P531" s="2"/>
      <c r="Q531" s="2"/>
      <c r="R531" s="255"/>
      <c r="S531" s="3"/>
      <c r="T531" s="3"/>
      <c r="U531" s="3"/>
      <c r="V531" s="3"/>
      <c r="W531" s="3"/>
      <c r="X531" s="3"/>
      <c r="Y531" s="3"/>
      <c r="Z531" s="3"/>
    </row>
    <row r="532" ht="15.75" customHeight="1">
      <c r="A532" s="3"/>
      <c r="B532" s="2"/>
      <c r="C532" s="2"/>
      <c r="D532" s="2"/>
      <c r="E532" s="464"/>
      <c r="F532" s="2"/>
      <c r="G532" s="2"/>
      <c r="H532" s="2"/>
      <c r="I532" s="2"/>
      <c r="J532" s="2"/>
      <c r="K532" s="2"/>
      <c r="L532" s="2"/>
      <c r="M532" s="2"/>
      <c r="N532" s="2"/>
      <c r="O532" s="2"/>
      <c r="P532" s="2"/>
      <c r="Q532" s="2"/>
      <c r="R532" s="255"/>
      <c r="S532" s="3"/>
      <c r="T532" s="3"/>
      <c r="U532" s="3"/>
      <c r="V532" s="3"/>
      <c r="W532" s="3"/>
      <c r="X532" s="3"/>
      <c r="Y532" s="3"/>
      <c r="Z532" s="3"/>
    </row>
    <row r="533" ht="15.75" customHeight="1">
      <c r="A533" s="3"/>
      <c r="B533" s="2"/>
      <c r="C533" s="2"/>
      <c r="D533" s="2"/>
      <c r="E533" s="464"/>
      <c r="F533" s="2"/>
      <c r="G533" s="2"/>
      <c r="H533" s="2"/>
      <c r="I533" s="2"/>
      <c r="J533" s="2"/>
      <c r="K533" s="2"/>
      <c r="L533" s="2"/>
      <c r="M533" s="2"/>
      <c r="N533" s="2"/>
      <c r="O533" s="2"/>
      <c r="P533" s="2"/>
      <c r="Q533" s="2"/>
      <c r="R533" s="255"/>
      <c r="S533" s="3"/>
      <c r="T533" s="3"/>
      <c r="U533" s="3"/>
      <c r="V533" s="3"/>
      <c r="W533" s="3"/>
      <c r="X533" s="3"/>
      <c r="Y533" s="3"/>
      <c r="Z533" s="3"/>
    </row>
    <row r="534" ht="15.75" customHeight="1">
      <c r="A534" s="3"/>
      <c r="B534" s="2"/>
      <c r="C534" s="2"/>
      <c r="D534" s="2"/>
      <c r="E534" s="464"/>
      <c r="F534" s="2"/>
      <c r="G534" s="2"/>
      <c r="H534" s="2"/>
      <c r="I534" s="2"/>
      <c r="J534" s="2"/>
      <c r="K534" s="2"/>
      <c r="L534" s="2"/>
      <c r="M534" s="2"/>
      <c r="N534" s="2"/>
      <c r="O534" s="2"/>
      <c r="P534" s="2"/>
      <c r="Q534" s="2"/>
      <c r="R534" s="255"/>
      <c r="S534" s="3"/>
      <c r="T534" s="3"/>
      <c r="U534" s="3"/>
      <c r="V534" s="3"/>
      <c r="W534" s="3"/>
      <c r="X534" s="3"/>
      <c r="Y534" s="3"/>
      <c r="Z534" s="3"/>
    </row>
    <row r="535" ht="15.75" customHeight="1">
      <c r="A535" s="3"/>
      <c r="B535" s="2"/>
      <c r="C535" s="2"/>
      <c r="D535" s="2"/>
      <c r="E535" s="464"/>
      <c r="F535" s="2"/>
      <c r="G535" s="2"/>
      <c r="H535" s="2"/>
      <c r="I535" s="2"/>
      <c r="J535" s="2"/>
      <c r="K535" s="2"/>
      <c r="L535" s="2"/>
      <c r="M535" s="2"/>
      <c r="N535" s="2"/>
      <c r="O535" s="2"/>
      <c r="P535" s="2"/>
      <c r="Q535" s="2"/>
      <c r="R535" s="255"/>
      <c r="S535" s="3"/>
      <c r="T535" s="3"/>
      <c r="U535" s="3"/>
      <c r="V535" s="3"/>
      <c r="W535" s="3"/>
      <c r="X535" s="3"/>
      <c r="Y535" s="3"/>
      <c r="Z535" s="3"/>
    </row>
    <row r="536" ht="15.75" customHeight="1">
      <c r="A536" s="3"/>
      <c r="B536" s="2"/>
      <c r="C536" s="2"/>
      <c r="D536" s="2"/>
      <c r="E536" s="464"/>
      <c r="F536" s="2"/>
      <c r="G536" s="2"/>
      <c r="H536" s="2"/>
      <c r="I536" s="2"/>
      <c r="J536" s="2"/>
      <c r="K536" s="2"/>
      <c r="L536" s="2"/>
      <c r="M536" s="2"/>
      <c r="N536" s="2"/>
      <c r="O536" s="2"/>
      <c r="P536" s="2"/>
      <c r="Q536" s="2"/>
      <c r="R536" s="255"/>
      <c r="S536" s="3"/>
      <c r="T536" s="3"/>
      <c r="U536" s="3"/>
      <c r="V536" s="3"/>
      <c r="W536" s="3"/>
      <c r="X536" s="3"/>
      <c r="Y536" s="3"/>
      <c r="Z536" s="3"/>
    </row>
    <row r="537" ht="15.75" customHeight="1">
      <c r="A537" s="3"/>
      <c r="B537" s="2"/>
      <c r="C537" s="2"/>
      <c r="D537" s="2"/>
      <c r="E537" s="464"/>
      <c r="F537" s="2"/>
      <c r="G537" s="2"/>
      <c r="H537" s="2"/>
      <c r="I537" s="2"/>
      <c r="J537" s="2"/>
      <c r="K537" s="2"/>
      <c r="L537" s="2"/>
      <c r="M537" s="2"/>
      <c r="N537" s="2"/>
      <c r="O537" s="2"/>
      <c r="P537" s="2"/>
      <c r="Q537" s="2"/>
      <c r="R537" s="255"/>
      <c r="S537" s="3"/>
      <c r="T537" s="3"/>
      <c r="U537" s="3"/>
      <c r="V537" s="3"/>
      <c r="W537" s="3"/>
      <c r="X537" s="3"/>
      <c r="Y537" s="3"/>
      <c r="Z537" s="3"/>
    </row>
    <row r="538" ht="15.75" customHeight="1">
      <c r="A538" s="3"/>
      <c r="B538" s="2"/>
      <c r="C538" s="2"/>
      <c r="D538" s="2"/>
      <c r="E538" s="464"/>
      <c r="F538" s="2"/>
      <c r="G538" s="2"/>
      <c r="H538" s="2"/>
      <c r="I538" s="2"/>
      <c r="J538" s="2"/>
      <c r="K538" s="2"/>
      <c r="L538" s="2"/>
      <c r="M538" s="2"/>
      <c r="N538" s="2"/>
      <c r="O538" s="2"/>
      <c r="P538" s="2"/>
      <c r="Q538" s="2"/>
      <c r="R538" s="255"/>
      <c r="S538" s="3"/>
      <c r="T538" s="3"/>
      <c r="U538" s="3"/>
      <c r="V538" s="3"/>
      <c r="W538" s="3"/>
      <c r="X538" s="3"/>
      <c r="Y538" s="3"/>
      <c r="Z538" s="3"/>
    </row>
    <row r="539" ht="15.75" customHeight="1">
      <c r="A539" s="3"/>
      <c r="B539" s="2"/>
      <c r="C539" s="2"/>
      <c r="D539" s="2"/>
      <c r="E539" s="464"/>
      <c r="F539" s="2"/>
      <c r="G539" s="2"/>
      <c r="H539" s="2"/>
      <c r="I539" s="2"/>
      <c r="J539" s="2"/>
      <c r="K539" s="2"/>
      <c r="L539" s="2"/>
      <c r="M539" s="2"/>
      <c r="N539" s="2"/>
      <c r="O539" s="2"/>
      <c r="P539" s="2"/>
      <c r="Q539" s="2"/>
      <c r="R539" s="255"/>
      <c r="S539" s="3"/>
      <c r="T539" s="3"/>
      <c r="U539" s="3"/>
      <c r="V539" s="3"/>
      <c r="W539" s="3"/>
      <c r="X539" s="3"/>
      <c r="Y539" s="3"/>
      <c r="Z539" s="3"/>
    </row>
    <row r="540" ht="15.75" customHeight="1">
      <c r="A540" s="3"/>
      <c r="B540" s="2"/>
      <c r="C540" s="2"/>
      <c r="D540" s="2"/>
      <c r="E540" s="464"/>
      <c r="F540" s="2"/>
      <c r="G540" s="2"/>
      <c r="H540" s="2"/>
      <c r="I540" s="2"/>
      <c r="J540" s="2"/>
      <c r="K540" s="2"/>
      <c r="L540" s="2"/>
      <c r="M540" s="2"/>
      <c r="N540" s="2"/>
      <c r="O540" s="2"/>
      <c r="P540" s="2"/>
      <c r="Q540" s="2"/>
      <c r="R540" s="255"/>
      <c r="S540" s="3"/>
      <c r="T540" s="3"/>
      <c r="U540" s="3"/>
      <c r="V540" s="3"/>
      <c r="W540" s="3"/>
      <c r="X540" s="3"/>
      <c r="Y540" s="3"/>
      <c r="Z540" s="3"/>
    </row>
    <row r="541" ht="15.75" customHeight="1">
      <c r="A541" s="3"/>
      <c r="B541" s="2"/>
      <c r="C541" s="2"/>
      <c r="D541" s="2"/>
      <c r="E541" s="464"/>
      <c r="F541" s="2"/>
      <c r="G541" s="2"/>
      <c r="H541" s="2"/>
      <c r="I541" s="2"/>
      <c r="J541" s="2"/>
      <c r="K541" s="2"/>
      <c r="L541" s="2"/>
      <c r="M541" s="2"/>
      <c r="N541" s="2"/>
      <c r="O541" s="2"/>
      <c r="P541" s="2"/>
      <c r="Q541" s="2"/>
      <c r="R541" s="255"/>
      <c r="S541" s="3"/>
      <c r="T541" s="3"/>
      <c r="U541" s="3"/>
      <c r="V541" s="3"/>
      <c r="W541" s="3"/>
      <c r="X541" s="3"/>
      <c r="Y541" s="3"/>
      <c r="Z541" s="3"/>
    </row>
    <row r="542" ht="15.75" customHeight="1">
      <c r="A542" s="3"/>
      <c r="B542" s="2"/>
      <c r="C542" s="2"/>
      <c r="D542" s="2"/>
      <c r="E542" s="464"/>
      <c r="F542" s="2"/>
      <c r="G542" s="2"/>
      <c r="H542" s="2"/>
      <c r="I542" s="2"/>
      <c r="J542" s="2"/>
      <c r="K542" s="2"/>
      <c r="L542" s="2"/>
      <c r="M542" s="2"/>
      <c r="N542" s="2"/>
      <c r="O542" s="2"/>
      <c r="P542" s="2"/>
      <c r="Q542" s="2"/>
      <c r="R542" s="255"/>
      <c r="S542" s="3"/>
      <c r="T542" s="3"/>
      <c r="U542" s="3"/>
      <c r="V542" s="3"/>
      <c r="W542" s="3"/>
      <c r="X542" s="3"/>
      <c r="Y542" s="3"/>
      <c r="Z542" s="3"/>
    </row>
    <row r="543" ht="15.75" customHeight="1">
      <c r="A543" s="3"/>
      <c r="B543" s="2"/>
      <c r="C543" s="2"/>
      <c r="D543" s="2"/>
      <c r="E543" s="464"/>
      <c r="F543" s="2"/>
      <c r="G543" s="2"/>
      <c r="H543" s="2"/>
      <c r="I543" s="2"/>
      <c r="J543" s="2"/>
      <c r="K543" s="2"/>
      <c r="L543" s="2"/>
      <c r="M543" s="2"/>
      <c r="N543" s="2"/>
      <c r="O543" s="2"/>
      <c r="P543" s="2"/>
      <c r="Q543" s="2"/>
      <c r="R543" s="255"/>
      <c r="S543" s="3"/>
      <c r="T543" s="3"/>
      <c r="U543" s="3"/>
      <c r="V543" s="3"/>
      <c r="W543" s="3"/>
      <c r="X543" s="3"/>
      <c r="Y543" s="3"/>
      <c r="Z543" s="3"/>
    </row>
    <row r="544" ht="15.75" customHeight="1">
      <c r="A544" s="3"/>
      <c r="B544" s="2"/>
      <c r="C544" s="2"/>
      <c r="D544" s="2"/>
      <c r="E544" s="464"/>
      <c r="F544" s="2"/>
      <c r="G544" s="2"/>
      <c r="H544" s="2"/>
      <c r="I544" s="2"/>
      <c r="J544" s="2"/>
      <c r="K544" s="2"/>
      <c r="L544" s="2"/>
      <c r="M544" s="2"/>
      <c r="N544" s="2"/>
      <c r="O544" s="2"/>
      <c r="P544" s="2"/>
      <c r="Q544" s="2"/>
      <c r="R544" s="255"/>
      <c r="S544" s="3"/>
      <c r="T544" s="3"/>
      <c r="U544" s="3"/>
      <c r="V544" s="3"/>
      <c r="W544" s="3"/>
      <c r="X544" s="3"/>
      <c r="Y544" s="3"/>
      <c r="Z544" s="3"/>
    </row>
    <row r="545" ht="15.75" customHeight="1">
      <c r="A545" s="3"/>
      <c r="B545" s="2"/>
      <c r="C545" s="2"/>
      <c r="D545" s="2"/>
      <c r="E545" s="464"/>
      <c r="F545" s="2"/>
      <c r="G545" s="2"/>
      <c r="H545" s="2"/>
      <c r="I545" s="2"/>
      <c r="J545" s="2"/>
      <c r="K545" s="2"/>
      <c r="L545" s="2"/>
      <c r="M545" s="2"/>
      <c r="N545" s="2"/>
      <c r="O545" s="2"/>
      <c r="P545" s="2"/>
      <c r="Q545" s="2"/>
      <c r="R545" s="255"/>
      <c r="S545" s="3"/>
      <c r="T545" s="3"/>
      <c r="U545" s="3"/>
      <c r="V545" s="3"/>
      <c r="W545" s="3"/>
      <c r="X545" s="3"/>
      <c r="Y545" s="3"/>
      <c r="Z545" s="3"/>
    </row>
    <row r="546" ht="15.75" customHeight="1">
      <c r="A546" s="3"/>
      <c r="B546" s="2"/>
      <c r="C546" s="2"/>
      <c r="D546" s="2"/>
      <c r="E546" s="464"/>
      <c r="F546" s="2"/>
      <c r="G546" s="2"/>
      <c r="H546" s="2"/>
      <c r="I546" s="2"/>
      <c r="J546" s="2"/>
      <c r="K546" s="2"/>
      <c r="L546" s="2"/>
      <c r="M546" s="2"/>
      <c r="N546" s="2"/>
      <c r="O546" s="2"/>
      <c r="P546" s="2"/>
      <c r="Q546" s="2"/>
      <c r="R546" s="255"/>
      <c r="S546" s="3"/>
      <c r="T546" s="3"/>
      <c r="U546" s="3"/>
      <c r="V546" s="3"/>
      <c r="W546" s="3"/>
      <c r="X546" s="3"/>
      <c r="Y546" s="3"/>
      <c r="Z546" s="3"/>
    </row>
    <row r="547" ht="15.75" customHeight="1">
      <c r="A547" s="3"/>
      <c r="B547" s="2"/>
      <c r="C547" s="2"/>
      <c r="D547" s="2"/>
      <c r="E547" s="464"/>
      <c r="F547" s="2"/>
      <c r="G547" s="2"/>
      <c r="H547" s="2"/>
      <c r="I547" s="2"/>
      <c r="J547" s="2"/>
      <c r="K547" s="2"/>
      <c r="L547" s="2"/>
      <c r="M547" s="2"/>
      <c r="N547" s="2"/>
      <c r="O547" s="2"/>
      <c r="P547" s="2"/>
      <c r="Q547" s="2"/>
      <c r="R547" s="255"/>
      <c r="S547" s="3"/>
      <c r="T547" s="3"/>
      <c r="U547" s="3"/>
      <c r="V547" s="3"/>
      <c r="W547" s="3"/>
      <c r="X547" s="3"/>
      <c r="Y547" s="3"/>
      <c r="Z547" s="3"/>
    </row>
    <row r="548" ht="15.75" customHeight="1">
      <c r="A548" s="3"/>
      <c r="B548" s="2"/>
      <c r="C548" s="2"/>
      <c r="D548" s="2"/>
      <c r="E548" s="464"/>
      <c r="F548" s="2"/>
      <c r="G548" s="2"/>
      <c r="H548" s="2"/>
      <c r="I548" s="2"/>
      <c r="J548" s="2"/>
      <c r="K548" s="2"/>
      <c r="L548" s="2"/>
      <c r="M548" s="2"/>
      <c r="N548" s="2"/>
      <c r="O548" s="2"/>
      <c r="P548" s="2"/>
      <c r="Q548" s="2"/>
      <c r="R548" s="255"/>
      <c r="S548" s="3"/>
      <c r="T548" s="3"/>
      <c r="U548" s="3"/>
      <c r="V548" s="3"/>
      <c r="W548" s="3"/>
      <c r="X548" s="3"/>
      <c r="Y548" s="3"/>
      <c r="Z548" s="3"/>
    </row>
    <row r="549" ht="15.75" customHeight="1">
      <c r="A549" s="3"/>
      <c r="B549" s="2"/>
      <c r="C549" s="2"/>
      <c r="D549" s="2"/>
      <c r="E549" s="464"/>
      <c r="F549" s="2"/>
      <c r="G549" s="2"/>
      <c r="H549" s="2"/>
      <c r="I549" s="2"/>
      <c r="J549" s="2"/>
      <c r="K549" s="2"/>
      <c r="L549" s="2"/>
      <c r="M549" s="2"/>
      <c r="N549" s="2"/>
      <c r="O549" s="2"/>
      <c r="P549" s="2"/>
      <c r="Q549" s="2"/>
      <c r="R549" s="255"/>
      <c r="S549" s="3"/>
      <c r="T549" s="3"/>
      <c r="U549" s="3"/>
      <c r="V549" s="3"/>
      <c r="W549" s="3"/>
      <c r="X549" s="3"/>
      <c r="Y549" s="3"/>
      <c r="Z549" s="3"/>
    </row>
    <row r="550" ht="15.75" customHeight="1">
      <c r="A550" s="3"/>
      <c r="B550" s="2"/>
      <c r="C550" s="2"/>
      <c r="D550" s="2"/>
      <c r="E550" s="464"/>
      <c r="F550" s="2"/>
      <c r="G550" s="2"/>
      <c r="H550" s="2"/>
      <c r="I550" s="2"/>
      <c r="J550" s="2"/>
      <c r="K550" s="2"/>
      <c r="L550" s="2"/>
      <c r="M550" s="2"/>
      <c r="N550" s="2"/>
      <c r="O550" s="2"/>
      <c r="P550" s="2"/>
      <c r="Q550" s="2"/>
      <c r="R550" s="255"/>
      <c r="S550" s="3"/>
      <c r="T550" s="3"/>
      <c r="U550" s="3"/>
      <c r="V550" s="3"/>
      <c r="W550" s="3"/>
      <c r="X550" s="3"/>
      <c r="Y550" s="3"/>
      <c r="Z550" s="3"/>
    </row>
    <row r="551" ht="15.75" customHeight="1">
      <c r="A551" s="3"/>
      <c r="B551" s="2"/>
      <c r="C551" s="2"/>
      <c r="D551" s="2"/>
      <c r="E551" s="464"/>
      <c r="F551" s="2"/>
      <c r="G551" s="2"/>
      <c r="H551" s="2"/>
      <c r="I551" s="2"/>
      <c r="J551" s="2"/>
      <c r="K551" s="2"/>
      <c r="L551" s="2"/>
      <c r="M551" s="2"/>
      <c r="N551" s="2"/>
      <c r="O551" s="2"/>
      <c r="P551" s="2"/>
      <c r="Q551" s="2"/>
      <c r="R551" s="255"/>
      <c r="S551" s="3"/>
      <c r="T551" s="3"/>
      <c r="U551" s="3"/>
      <c r="V551" s="3"/>
      <c r="W551" s="3"/>
      <c r="X551" s="3"/>
      <c r="Y551" s="3"/>
      <c r="Z551" s="3"/>
    </row>
    <row r="552" ht="15.75" customHeight="1">
      <c r="A552" s="3"/>
      <c r="B552" s="2"/>
      <c r="C552" s="2"/>
      <c r="D552" s="2"/>
      <c r="E552" s="464"/>
      <c r="F552" s="2"/>
      <c r="G552" s="2"/>
      <c r="H552" s="2"/>
      <c r="I552" s="2"/>
      <c r="J552" s="2"/>
      <c r="K552" s="2"/>
      <c r="L552" s="2"/>
      <c r="M552" s="2"/>
      <c r="N552" s="2"/>
      <c r="O552" s="2"/>
      <c r="P552" s="2"/>
      <c r="Q552" s="2"/>
      <c r="R552" s="255"/>
      <c r="S552" s="3"/>
      <c r="T552" s="3"/>
      <c r="U552" s="3"/>
      <c r="V552" s="3"/>
      <c r="W552" s="3"/>
      <c r="X552" s="3"/>
      <c r="Y552" s="3"/>
      <c r="Z552" s="3"/>
    </row>
    <row r="553" ht="15.75" customHeight="1">
      <c r="A553" s="3"/>
      <c r="B553" s="2"/>
      <c r="C553" s="2"/>
      <c r="D553" s="2"/>
      <c r="E553" s="464"/>
      <c r="F553" s="2"/>
      <c r="G553" s="2"/>
      <c r="H553" s="2"/>
      <c r="I553" s="2"/>
      <c r="J553" s="2"/>
      <c r="K553" s="2"/>
      <c r="L553" s="2"/>
      <c r="M553" s="2"/>
      <c r="N553" s="2"/>
      <c r="O553" s="2"/>
      <c r="P553" s="2"/>
      <c r="Q553" s="2"/>
      <c r="R553" s="255"/>
      <c r="S553" s="3"/>
      <c r="T553" s="3"/>
      <c r="U553" s="3"/>
      <c r="V553" s="3"/>
      <c r="W553" s="3"/>
      <c r="X553" s="3"/>
      <c r="Y553" s="3"/>
      <c r="Z553" s="3"/>
    </row>
    <row r="554" ht="15.75" customHeight="1">
      <c r="A554" s="3"/>
      <c r="B554" s="2"/>
      <c r="C554" s="2"/>
      <c r="D554" s="2"/>
      <c r="E554" s="464"/>
      <c r="F554" s="2"/>
      <c r="G554" s="2"/>
      <c r="H554" s="2"/>
      <c r="I554" s="2"/>
      <c r="J554" s="2"/>
      <c r="K554" s="2"/>
      <c r="L554" s="2"/>
      <c r="M554" s="2"/>
      <c r="N554" s="2"/>
      <c r="O554" s="2"/>
      <c r="P554" s="2"/>
      <c r="Q554" s="2"/>
      <c r="R554" s="255"/>
      <c r="S554" s="3"/>
      <c r="T554" s="3"/>
      <c r="U554" s="3"/>
      <c r="V554" s="3"/>
      <c r="W554" s="3"/>
      <c r="X554" s="3"/>
      <c r="Y554" s="3"/>
      <c r="Z554" s="3"/>
    </row>
    <row r="555" ht="15.75" customHeight="1">
      <c r="A555" s="3"/>
      <c r="B555" s="2"/>
      <c r="C555" s="2"/>
      <c r="D555" s="2"/>
      <c r="E555" s="464"/>
      <c r="F555" s="2"/>
      <c r="G555" s="2"/>
      <c r="H555" s="2"/>
      <c r="I555" s="2"/>
      <c r="J555" s="2"/>
      <c r="K555" s="2"/>
      <c r="L555" s="2"/>
      <c r="M555" s="2"/>
      <c r="N555" s="2"/>
      <c r="O555" s="2"/>
      <c r="P555" s="2"/>
      <c r="Q555" s="2"/>
      <c r="R555" s="255"/>
      <c r="S555" s="3"/>
      <c r="T555" s="3"/>
      <c r="U555" s="3"/>
      <c r="V555" s="3"/>
      <c r="W555" s="3"/>
      <c r="X555" s="3"/>
      <c r="Y555" s="3"/>
      <c r="Z555" s="3"/>
    </row>
    <row r="556" ht="15.75" customHeight="1">
      <c r="A556" s="3"/>
      <c r="B556" s="2"/>
      <c r="C556" s="2"/>
      <c r="D556" s="2"/>
      <c r="E556" s="464"/>
      <c r="F556" s="2"/>
      <c r="G556" s="2"/>
      <c r="H556" s="2"/>
      <c r="I556" s="2"/>
      <c r="J556" s="2"/>
      <c r="K556" s="2"/>
      <c r="L556" s="2"/>
      <c r="M556" s="2"/>
      <c r="N556" s="2"/>
      <c r="O556" s="2"/>
      <c r="P556" s="2"/>
      <c r="Q556" s="2"/>
      <c r="R556" s="255"/>
      <c r="S556" s="3"/>
      <c r="T556" s="3"/>
      <c r="U556" s="3"/>
      <c r="V556" s="3"/>
      <c r="W556" s="3"/>
      <c r="X556" s="3"/>
      <c r="Y556" s="3"/>
      <c r="Z556" s="3"/>
    </row>
    <row r="557" ht="15.75" customHeight="1">
      <c r="A557" s="3"/>
      <c r="B557" s="2"/>
      <c r="C557" s="2"/>
      <c r="D557" s="2"/>
      <c r="E557" s="464"/>
      <c r="F557" s="2"/>
      <c r="G557" s="2"/>
      <c r="H557" s="2"/>
      <c r="I557" s="2"/>
      <c r="J557" s="2"/>
      <c r="K557" s="2"/>
      <c r="L557" s="2"/>
      <c r="M557" s="2"/>
      <c r="N557" s="2"/>
      <c r="O557" s="2"/>
      <c r="P557" s="2"/>
      <c r="Q557" s="2"/>
      <c r="R557" s="255"/>
      <c r="S557" s="3"/>
      <c r="T557" s="3"/>
      <c r="U557" s="3"/>
      <c r="V557" s="3"/>
      <c r="W557" s="3"/>
      <c r="X557" s="3"/>
      <c r="Y557" s="3"/>
      <c r="Z557" s="3"/>
    </row>
    <row r="558" ht="15.75" customHeight="1">
      <c r="A558" s="3"/>
      <c r="B558" s="2"/>
      <c r="C558" s="2"/>
      <c r="D558" s="2"/>
      <c r="E558" s="464"/>
      <c r="F558" s="2"/>
      <c r="G558" s="2"/>
      <c r="H558" s="2"/>
      <c r="I558" s="2"/>
      <c r="J558" s="2"/>
      <c r="K558" s="2"/>
      <c r="L558" s="2"/>
      <c r="M558" s="2"/>
      <c r="N558" s="2"/>
      <c r="O558" s="2"/>
      <c r="P558" s="2"/>
      <c r="Q558" s="2"/>
      <c r="R558" s="255"/>
      <c r="S558" s="3"/>
      <c r="T558" s="3"/>
      <c r="U558" s="3"/>
      <c r="V558" s="3"/>
      <c r="W558" s="3"/>
      <c r="X558" s="3"/>
      <c r="Y558" s="3"/>
      <c r="Z558" s="3"/>
    </row>
    <row r="559" ht="15.75" customHeight="1">
      <c r="A559" s="3"/>
      <c r="B559" s="2"/>
      <c r="C559" s="2"/>
      <c r="D559" s="2"/>
      <c r="E559" s="464"/>
      <c r="F559" s="2"/>
      <c r="G559" s="2"/>
      <c r="H559" s="2"/>
      <c r="I559" s="2"/>
      <c r="J559" s="2"/>
      <c r="K559" s="2"/>
      <c r="L559" s="2"/>
      <c r="M559" s="2"/>
      <c r="N559" s="2"/>
      <c r="O559" s="2"/>
      <c r="P559" s="2"/>
      <c r="Q559" s="2"/>
      <c r="R559" s="255"/>
      <c r="S559" s="3"/>
      <c r="T559" s="3"/>
      <c r="U559" s="3"/>
      <c r="V559" s="3"/>
      <c r="W559" s="3"/>
      <c r="X559" s="3"/>
      <c r="Y559" s="3"/>
      <c r="Z559" s="3"/>
    </row>
    <row r="560" ht="15.75" customHeight="1">
      <c r="A560" s="3"/>
      <c r="B560" s="2"/>
      <c r="C560" s="2"/>
      <c r="D560" s="2"/>
      <c r="E560" s="464"/>
      <c r="F560" s="2"/>
      <c r="G560" s="2"/>
      <c r="H560" s="2"/>
      <c r="I560" s="2"/>
      <c r="J560" s="2"/>
      <c r="K560" s="2"/>
      <c r="L560" s="2"/>
      <c r="M560" s="2"/>
      <c r="N560" s="2"/>
      <c r="O560" s="2"/>
      <c r="P560" s="2"/>
      <c r="Q560" s="2"/>
      <c r="R560" s="255"/>
      <c r="S560" s="3"/>
      <c r="T560" s="3"/>
      <c r="U560" s="3"/>
      <c r="V560" s="3"/>
      <c r="W560" s="3"/>
      <c r="X560" s="3"/>
      <c r="Y560" s="3"/>
      <c r="Z560" s="3"/>
    </row>
    <row r="561" ht="15.75" customHeight="1">
      <c r="A561" s="3"/>
      <c r="B561" s="2"/>
      <c r="C561" s="2"/>
      <c r="D561" s="2"/>
      <c r="E561" s="464"/>
      <c r="F561" s="2"/>
      <c r="G561" s="2"/>
      <c r="H561" s="2"/>
      <c r="I561" s="2"/>
      <c r="J561" s="2"/>
      <c r="K561" s="2"/>
      <c r="L561" s="2"/>
      <c r="M561" s="2"/>
      <c r="N561" s="2"/>
      <c r="O561" s="2"/>
      <c r="P561" s="2"/>
      <c r="Q561" s="2"/>
      <c r="R561" s="255"/>
      <c r="S561" s="3"/>
      <c r="T561" s="3"/>
      <c r="U561" s="3"/>
      <c r="V561" s="3"/>
      <c r="W561" s="3"/>
      <c r="X561" s="3"/>
      <c r="Y561" s="3"/>
      <c r="Z561" s="3"/>
    </row>
    <row r="562" ht="15.75" customHeight="1">
      <c r="A562" s="3"/>
      <c r="B562" s="2"/>
      <c r="C562" s="2"/>
      <c r="D562" s="2"/>
      <c r="E562" s="464"/>
      <c r="F562" s="2"/>
      <c r="G562" s="2"/>
      <c r="H562" s="2"/>
      <c r="I562" s="2"/>
      <c r="J562" s="2"/>
      <c r="K562" s="2"/>
      <c r="L562" s="2"/>
      <c r="M562" s="2"/>
      <c r="N562" s="2"/>
      <c r="O562" s="2"/>
      <c r="P562" s="2"/>
      <c r="Q562" s="2"/>
      <c r="R562" s="255"/>
      <c r="S562" s="3"/>
      <c r="T562" s="3"/>
      <c r="U562" s="3"/>
      <c r="V562" s="3"/>
      <c r="W562" s="3"/>
      <c r="X562" s="3"/>
      <c r="Y562" s="3"/>
      <c r="Z562" s="3"/>
    </row>
    <row r="563" ht="15.75" customHeight="1">
      <c r="A563" s="3"/>
      <c r="B563" s="2"/>
      <c r="C563" s="2"/>
      <c r="D563" s="2"/>
      <c r="E563" s="464"/>
      <c r="F563" s="2"/>
      <c r="G563" s="2"/>
      <c r="H563" s="2"/>
      <c r="I563" s="2"/>
      <c r="J563" s="2"/>
      <c r="K563" s="2"/>
      <c r="L563" s="2"/>
      <c r="M563" s="2"/>
      <c r="N563" s="2"/>
      <c r="O563" s="2"/>
      <c r="P563" s="2"/>
      <c r="Q563" s="2"/>
      <c r="R563" s="255"/>
      <c r="S563" s="3"/>
      <c r="T563" s="3"/>
      <c r="U563" s="3"/>
      <c r="V563" s="3"/>
      <c r="W563" s="3"/>
      <c r="X563" s="3"/>
      <c r="Y563" s="3"/>
      <c r="Z563" s="3"/>
    </row>
    <row r="564" ht="15.75" customHeight="1">
      <c r="A564" s="3"/>
      <c r="B564" s="2"/>
      <c r="C564" s="2"/>
      <c r="D564" s="2"/>
      <c r="E564" s="464"/>
      <c r="F564" s="2"/>
      <c r="G564" s="2"/>
      <c r="H564" s="2"/>
      <c r="I564" s="2"/>
      <c r="J564" s="2"/>
      <c r="K564" s="2"/>
      <c r="L564" s="2"/>
      <c r="M564" s="2"/>
      <c r="N564" s="2"/>
      <c r="O564" s="2"/>
      <c r="P564" s="2"/>
      <c r="Q564" s="2"/>
      <c r="R564" s="255"/>
      <c r="S564" s="3"/>
      <c r="T564" s="3"/>
      <c r="U564" s="3"/>
      <c r="V564" s="3"/>
      <c r="W564" s="3"/>
      <c r="X564" s="3"/>
      <c r="Y564" s="3"/>
      <c r="Z564" s="3"/>
    </row>
    <row r="565" ht="15.75" customHeight="1">
      <c r="A565" s="3"/>
      <c r="B565" s="2"/>
      <c r="C565" s="2"/>
      <c r="D565" s="2"/>
      <c r="E565" s="464"/>
      <c r="F565" s="2"/>
      <c r="G565" s="2"/>
      <c r="H565" s="2"/>
      <c r="I565" s="2"/>
      <c r="J565" s="2"/>
      <c r="K565" s="2"/>
      <c r="L565" s="2"/>
      <c r="M565" s="2"/>
      <c r="N565" s="2"/>
      <c r="O565" s="2"/>
      <c r="P565" s="2"/>
      <c r="Q565" s="2"/>
      <c r="R565" s="255"/>
      <c r="S565" s="3"/>
      <c r="T565" s="3"/>
      <c r="U565" s="3"/>
      <c r="V565" s="3"/>
      <c r="W565" s="3"/>
      <c r="X565" s="3"/>
      <c r="Y565" s="3"/>
      <c r="Z565" s="3"/>
    </row>
    <row r="566" ht="15.75" customHeight="1">
      <c r="A566" s="3"/>
      <c r="B566" s="2"/>
      <c r="C566" s="2"/>
      <c r="D566" s="2"/>
      <c r="E566" s="464"/>
      <c r="F566" s="2"/>
      <c r="G566" s="2"/>
      <c r="H566" s="2"/>
      <c r="I566" s="2"/>
      <c r="J566" s="2"/>
      <c r="K566" s="2"/>
      <c r="L566" s="2"/>
      <c r="M566" s="2"/>
      <c r="N566" s="2"/>
      <c r="O566" s="2"/>
      <c r="P566" s="2"/>
      <c r="Q566" s="2"/>
      <c r="R566" s="255"/>
      <c r="S566" s="3"/>
      <c r="T566" s="3"/>
      <c r="U566" s="3"/>
      <c r="V566" s="3"/>
      <c r="W566" s="3"/>
      <c r="X566" s="3"/>
      <c r="Y566" s="3"/>
      <c r="Z566" s="3"/>
    </row>
    <row r="567" ht="15.75" customHeight="1">
      <c r="A567" s="3"/>
      <c r="B567" s="2"/>
      <c r="C567" s="2"/>
      <c r="D567" s="2"/>
      <c r="E567" s="464"/>
      <c r="F567" s="2"/>
      <c r="G567" s="2"/>
      <c r="H567" s="2"/>
      <c r="I567" s="2"/>
      <c r="J567" s="2"/>
      <c r="K567" s="2"/>
      <c r="L567" s="2"/>
      <c r="M567" s="2"/>
      <c r="N567" s="2"/>
      <c r="O567" s="2"/>
      <c r="P567" s="2"/>
      <c r="Q567" s="2"/>
      <c r="R567" s="255"/>
      <c r="S567" s="3"/>
      <c r="T567" s="3"/>
      <c r="U567" s="3"/>
      <c r="V567" s="3"/>
      <c r="W567" s="3"/>
      <c r="X567" s="3"/>
      <c r="Y567" s="3"/>
      <c r="Z567" s="3"/>
    </row>
    <row r="568" ht="15.75" customHeight="1">
      <c r="A568" s="3"/>
      <c r="B568" s="2"/>
      <c r="C568" s="2"/>
      <c r="D568" s="2"/>
      <c r="E568" s="464"/>
      <c r="F568" s="2"/>
      <c r="G568" s="2"/>
      <c r="H568" s="2"/>
      <c r="I568" s="2"/>
      <c r="J568" s="2"/>
      <c r="K568" s="2"/>
      <c r="L568" s="2"/>
      <c r="M568" s="2"/>
      <c r="N568" s="2"/>
      <c r="O568" s="2"/>
      <c r="P568" s="2"/>
      <c r="Q568" s="2"/>
      <c r="R568" s="255"/>
      <c r="S568" s="3"/>
      <c r="T568" s="3"/>
      <c r="U568" s="3"/>
      <c r="V568" s="3"/>
      <c r="W568" s="3"/>
      <c r="X568" s="3"/>
      <c r="Y568" s="3"/>
      <c r="Z568" s="3"/>
    </row>
    <row r="569" ht="15.75" customHeight="1">
      <c r="A569" s="3"/>
      <c r="B569" s="2"/>
      <c r="C569" s="2"/>
      <c r="D569" s="2"/>
      <c r="E569" s="464"/>
      <c r="F569" s="2"/>
      <c r="G569" s="2"/>
      <c r="H569" s="2"/>
      <c r="I569" s="2"/>
      <c r="J569" s="2"/>
      <c r="K569" s="2"/>
      <c r="L569" s="2"/>
      <c r="M569" s="2"/>
      <c r="N569" s="2"/>
      <c r="O569" s="2"/>
      <c r="P569" s="2"/>
      <c r="Q569" s="2"/>
      <c r="R569" s="255"/>
      <c r="S569" s="3"/>
      <c r="T569" s="3"/>
      <c r="U569" s="3"/>
      <c r="V569" s="3"/>
      <c r="W569" s="3"/>
      <c r="X569" s="3"/>
      <c r="Y569" s="3"/>
      <c r="Z569" s="3"/>
    </row>
    <row r="570" ht="15.75" customHeight="1">
      <c r="A570" s="3"/>
      <c r="B570" s="2"/>
      <c r="C570" s="2"/>
      <c r="D570" s="2"/>
      <c r="E570" s="464"/>
      <c r="F570" s="2"/>
      <c r="G570" s="2"/>
      <c r="H570" s="2"/>
      <c r="I570" s="2"/>
      <c r="J570" s="2"/>
      <c r="K570" s="2"/>
      <c r="L570" s="2"/>
      <c r="M570" s="2"/>
      <c r="N570" s="2"/>
      <c r="O570" s="2"/>
      <c r="P570" s="2"/>
      <c r="Q570" s="2"/>
      <c r="R570" s="255"/>
      <c r="S570" s="3"/>
      <c r="T570" s="3"/>
      <c r="U570" s="3"/>
      <c r="V570" s="3"/>
      <c r="W570" s="3"/>
      <c r="X570" s="3"/>
      <c r="Y570" s="3"/>
      <c r="Z570" s="3"/>
    </row>
    <row r="571" ht="15.75" customHeight="1">
      <c r="A571" s="3"/>
      <c r="B571" s="2"/>
      <c r="C571" s="2"/>
      <c r="D571" s="2"/>
      <c r="E571" s="464"/>
      <c r="F571" s="2"/>
      <c r="G571" s="2"/>
      <c r="H571" s="2"/>
      <c r="I571" s="2"/>
      <c r="J571" s="2"/>
      <c r="K571" s="2"/>
      <c r="L571" s="2"/>
      <c r="M571" s="2"/>
      <c r="N571" s="2"/>
      <c r="O571" s="2"/>
      <c r="P571" s="2"/>
      <c r="Q571" s="2"/>
      <c r="R571" s="255"/>
      <c r="S571" s="3"/>
      <c r="T571" s="3"/>
      <c r="U571" s="3"/>
      <c r="V571" s="3"/>
      <c r="W571" s="3"/>
      <c r="X571" s="3"/>
      <c r="Y571" s="3"/>
      <c r="Z571" s="3"/>
    </row>
    <row r="572" ht="15.75" customHeight="1">
      <c r="A572" s="3"/>
      <c r="B572" s="2"/>
      <c r="C572" s="2"/>
      <c r="D572" s="2"/>
      <c r="E572" s="464"/>
      <c r="F572" s="2"/>
      <c r="G572" s="2"/>
      <c r="H572" s="2"/>
      <c r="I572" s="2"/>
      <c r="J572" s="2"/>
      <c r="K572" s="2"/>
      <c r="L572" s="2"/>
      <c r="M572" s="2"/>
      <c r="N572" s="2"/>
      <c r="O572" s="2"/>
      <c r="P572" s="2"/>
      <c r="Q572" s="2"/>
      <c r="R572" s="255"/>
      <c r="S572" s="3"/>
      <c r="T572" s="3"/>
      <c r="U572" s="3"/>
      <c r="V572" s="3"/>
      <c r="W572" s="3"/>
      <c r="X572" s="3"/>
      <c r="Y572" s="3"/>
      <c r="Z572" s="3"/>
    </row>
    <row r="573" ht="15.75" customHeight="1">
      <c r="A573" s="3"/>
      <c r="B573" s="2"/>
      <c r="C573" s="2"/>
      <c r="D573" s="2"/>
      <c r="E573" s="464"/>
      <c r="F573" s="2"/>
      <c r="G573" s="2"/>
      <c r="H573" s="2"/>
      <c r="I573" s="2"/>
      <c r="J573" s="2"/>
      <c r="K573" s="2"/>
      <c r="L573" s="2"/>
      <c r="M573" s="2"/>
      <c r="N573" s="2"/>
      <c r="O573" s="2"/>
      <c r="P573" s="2"/>
      <c r="Q573" s="2"/>
      <c r="R573" s="255"/>
      <c r="S573" s="3"/>
      <c r="T573" s="3"/>
      <c r="U573" s="3"/>
      <c r="V573" s="3"/>
      <c r="W573" s="3"/>
      <c r="X573" s="3"/>
      <c r="Y573" s="3"/>
      <c r="Z573" s="3"/>
    </row>
    <row r="574" ht="15.75" customHeight="1">
      <c r="A574" s="3"/>
      <c r="B574" s="2"/>
      <c r="C574" s="2"/>
      <c r="D574" s="2"/>
      <c r="E574" s="464"/>
      <c r="F574" s="2"/>
      <c r="G574" s="2"/>
      <c r="H574" s="2"/>
      <c r="I574" s="2"/>
      <c r="J574" s="2"/>
      <c r="K574" s="2"/>
      <c r="L574" s="2"/>
      <c r="M574" s="2"/>
      <c r="N574" s="2"/>
      <c r="O574" s="2"/>
      <c r="P574" s="2"/>
      <c r="Q574" s="2"/>
      <c r="R574" s="255"/>
      <c r="S574" s="3"/>
      <c r="T574" s="3"/>
      <c r="U574" s="3"/>
      <c r="V574" s="3"/>
      <c r="W574" s="3"/>
      <c r="X574" s="3"/>
      <c r="Y574" s="3"/>
      <c r="Z574" s="3"/>
    </row>
    <row r="575" ht="15.75" customHeight="1">
      <c r="A575" s="3"/>
      <c r="B575" s="2"/>
      <c r="C575" s="2"/>
      <c r="D575" s="2"/>
      <c r="E575" s="464"/>
      <c r="F575" s="2"/>
      <c r="G575" s="2"/>
      <c r="H575" s="2"/>
      <c r="I575" s="2"/>
      <c r="J575" s="2"/>
      <c r="K575" s="2"/>
      <c r="L575" s="2"/>
      <c r="M575" s="2"/>
      <c r="N575" s="2"/>
      <c r="O575" s="2"/>
      <c r="P575" s="2"/>
      <c r="Q575" s="2"/>
      <c r="R575" s="255"/>
      <c r="S575" s="3"/>
      <c r="T575" s="3"/>
      <c r="U575" s="3"/>
      <c r="V575" s="3"/>
      <c r="W575" s="3"/>
      <c r="X575" s="3"/>
      <c r="Y575" s="3"/>
      <c r="Z575" s="3"/>
    </row>
    <row r="576" ht="15.75" customHeight="1">
      <c r="A576" s="3"/>
      <c r="B576" s="2"/>
      <c r="C576" s="2"/>
      <c r="D576" s="2"/>
      <c r="E576" s="464"/>
      <c r="F576" s="2"/>
      <c r="G576" s="2"/>
      <c r="H576" s="2"/>
      <c r="I576" s="2"/>
      <c r="J576" s="2"/>
      <c r="K576" s="2"/>
      <c r="L576" s="2"/>
      <c r="M576" s="2"/>
      <c r="N576" s="2"/>
      <c r="O576" s="2"/>
      <c r="P576" s="2"/>
      <c r="Q576" s="2"/>
      <c r="R576" s="255"/>
      <c r="S576" s="3"/>
      <c r="T576" s="3"/>
      <c r="U576" s="3"/>
      <c r="V576" s="3"/>
      <c r="W576" s="3"/>
      <c r="X576" s="3"/>
      <c r="Y576" s="3"/>
      <c r="Z576" s="3"/>
    </row>
    <row r="577" ht="15.75" customHeight="1">
      <c r="A577" s="3"/>
      <c r="B577" s="2"/>
      <c r="C577" s="2"/>
      <c r="D577" s="2"/>
      <c r="E577" s="464"/>
      <c r="F577" s="2"/>
      <c r="G577" s="2"/>
      <c r="H577" s="2"/>
      <c r="I577" s="2"/>
      <c r="J577" s="2"/>
      <c r="K577" s="2"/>
      <c r="L577" s="2"/>
      <c r="M577" s="2"/>
      <c r="N577" s="2"/>
      <c r="O577" s="2"/>
      <c r="P577" s="2"/>
      <c r="Q577" s="2"/>
      <c r="R577" s="255"/>
      <c r="S577" s="3"/>
      <c r="T577" s="3"/>
      <c r="U577" s="3"/>
      <c r="V577" s="3"/>
      <c r="W577" s="3"/>
      <c r="X577" s="3"/>
      <c r="Y577" s="3"/>
      <c r="Z577" s="3"/>
    </row>
    <row r="578" ht="15.75" customHeight="1">
      <c r="A578" s="3"/>
      <c r="B578" s="2"/>
      <c r="C578" s="2"/>
      <c r="D578" s="2"/>
      <c r="E578" s="464"/>
      <c r="F578" s="2"/>
      <c r="G578" s="2"/>
      <c r="H578" s="2"/>
      <c r="I578" s="2"/>
      <c r="J578" s="2"/>
      <c r="K578" s="2"/>
      <c r="L578" s="2"/>
      <c r="M578" s="2"/>
      <c r="N578" s="2"/>
      <c r="O578" s="2"/>
      <c r="P578" s="2"/>
      <c r="Q578" s="2"/>
      <c r="R578" s="255"/>
      <c r="S578" s="3"/>
      <c r="T578" s="3"/>
      <c r="U578" s="3"/>
      <c r="V578" s="3"/>
      <c r="W578" s="3"/>
      <c r="X578" s="3"/>
      <c r="Y578" s="3"/>
      <c r="Z578" s="3"/>
    </row>
    <row r="579" ht="15.75" customHeight="1">
      <c r="A579" s="3"/>
      <c r="B579" s="2"/>
      <c r="C579" s="2"/>
      <c r="D579" s="2"/>
      <c r="E579" s="464"/>
      <c r="F579" s="2"/>
      <c r="G579" s="2"/>
      <c r="H579" s="2"/>
      <c r="I579" s="2"/>
      <c r="J579" s="2"/>
      <c r="K579" s="2"/>
      <c r="L579" s="2"/>
      <c r="M579" s="2"/>
      <c r="N579" s="2"/>
      <c r="O579" s="2"/>
      <c r="P579" s="2"/>
      <c r="Q579" s="2"/>
      <c r="R579" s="255"/>
      <c r="S579" s="3"/>
      <c r="T579" s="3"/>
      <c r="U579" s="3"/>
      <c r="V579" s="3"/>
      <c r="W579" s="3"/>
      <c r="X579" s="3"/>
      <c r="Y579" s="3"/>
      <c r="Z579" s="3"/>
    </row>
    <row r="580" ht="15.75" customHeight="1">
      <c r="A580" s="3"/>
      <c r="B580" s="2"/>
      <c r="C580" s="2"/>
      <c r="D580" s="2"/>
      <c r="E580" s="464"/>
      <c r="F580" s="2"/>
      <c r="G580" s="2"/>
      <c r="H580" s="2"/>
      <c r="I580" s="2"/>
      <c r="J580" s="2"/>
      <c r="K580" s="2"/>
      <c r="L580" s="2"/>
      <c r="M580" s="2"/>
      <c r="N580" s="2"/>
      <c r="O580" s="2"/>
      <c r="P580" s="2"/>
      <c r="Q580" s="2"/>
      <c r="R580" s="255"/>
      <c r="S580" s="3"/>
      <c r="T580" s="3"/>
      <c r="U580" s="3"/>
      <c r="V580" s="3"/>
      <c r="W580" s="3"/>
      <c r="X580" s="3"/>
      <c r="Y580" s="3"/>
      <c r="Z580" s="3"/>
    </row>
    <row r="581" ht="15.75" customHeight="1">
      <c r="A581" s="3"/>
      <c r="B581" s="2"/>
      <c r="C581" s="2"/>
      <c r="D581" s="2"/>
      <c r="E581" s="464"/>
      <c r="F581" s="2"/>
      <c r="G581" s="2"/>
      <c r="H581" s="2"/>
      <c r="I581" s="2"/>
      <c r="J581" s="2"/>
      <c r="K581" s="2"/>
      <c r="L581" s="2"/>
      <c r="M581" s="2"/>
      <c r="N581" s="2"/>
      <c r="O581" s="2"/>
      <c r="P581" s="2"/>
      <c r="Q581" s="2"/>
      <c r="R581" s="255"/>
      <c r="S581" s="3"/>
      <c r="T581" s="3"/>
      <c r="U581" s="3"/>
      <c r="V581" s="3"/>
      <c r="W581" s="3"/>
      <c r="X581" s="3"/>
      <c r="Y581" s="3"/>
      <c r="Z581" s="3"/>
    </row>
    <row r="582" ht="15.75" customHeight="1">
      <c r="A582" s="3"/>
      <c r="B582" s="2"/>
      <c r="C582" s="2"/>
      <c r="D582" s="2"/>
      <c r="E582" s="464"/>
      <c r="F582" s="2"/>
      <c r="G582" s="2"/>
      <c r="H582" s="2"/>
      <c r="I582" s="2"/>
      <c r="J582" s="2"/>
      <c r="K582" s="2"/>
      <c r="L582" s="2"/>
      <c r="M582" s="2"/>
      <c r="N582" s="2"/>
      <c r="O582" s="2"/>
      <c r="P582" s="2"/>
      <c r="Q582" s="2"/>
      <c r="R582" s="255"/>
      <c r="S582" s="3"/>
      <c r="T582" s="3"/>
      <c r="U582" s="3"/>
      <c r="V582" s="3"/>
      <c r="W582" s="3"/>
      <c r="X582" s="3"/>
      <c r="Y582" s="3"/>
      <c r="Z582" s="3"/>
    </row>
    <row r="583" ht="15.75" customHeight="1">
      <c r="A583" s="3"/>
      <c r="B583" s="2"/>
      <c r="C583" s="2"/>
      <c r="D583" s="2"/>
      <c r="E583" s="464"/>
      <c r="F583" s="2"/>
      <c r="G583" s="2"/>
      <c r="H583" s="2"/>
      <c r="I583" s="2"/>
      <c r="J583" s="2"/>
      <c r="K583" s="2"/>
      <c r="L583" s="2"/>
      <c r="M583" s="2"/>
      <c r="N583" s="2"/>
      <c r="O583" s="2"/>
      <c r="P583" s="2"/>
      <c r="Q583" s="2"/>
      <c r="R583" s="255"/>
      <c r="S583" s="3"/>
      <c r="T583" s="3"/>
      <c r="U583" s="3"/>
      <c r="V583" s="3"/>
      <c r="W583" s="3"/>
      <c r="X583" s="3"/>
      <c r="Y583" s="3"/>
      <c r="Z583" s="3"/>
    </row>
    <row r="584" ht="15.75" customHeight="1">
      <c r="A584" s="3"/>
      <c r="B584" s="2"/>
      <c r="C584" s="2"/>
      <c r="D584" s="2"/>
      <c r="E584" s="464"/>
      <c r="F584" s="2"/>
      <c r="G584" s="2"/>
      <c r="H584" s="2"/>
      <c r="I584" s="2"/>
      <c r="J584" s="2"/>
      <c r="K584" s="2"/>
      <c r="L584" s="2"/>
      <c r="M584" s="2"/>
      <c r="N584" s="2"/>
      <c r="O584" s="2"/>
      <c r="P584" s="2"/>
      <c r="Q584" s="2"/>
      <c r="R584" s="255"/>
      <c r="S584" s="3"/>
      <c r="T584" s="3"/>
      <c r="U584" s="3"/>
      <c r="V584" s="3"/>
      <c r="W584" s="3"/>
      <c r="X584" s="3"/>
      <c r="Y584" s="3"/>
      <c r="Z584" s="3"/>
    </row>
    <row r="585" ht="15.75" customHeight="1">
      <c r="A585" s="3"/>
      <c r="B585" s="2"/>
      <c r="C585" s="2"/>
      <c r="D585" s="2"/>
      <c r="E585" s="464"/>
      <c r="F585" s="2"/>
      <c r="G585" s="2"/>
      <c r="H585" s="2"/>
      <c r="I585" s="2"/>
      <c r="J585" s="2"/>
      <c r="K585" s="2"/>
      <c r="L585" s="2"/>
      <c r="M585" s="2"/>
      <c r="N585" s="2"/>
      <c r="O585" s="2"/>
      <c r="P585" s="2"/>
      <c r="Q585" s="2"/>
      <c r="R585" s="255"/>
      <c r="S585" s="3"/>
      <c r="T585" s="3"/>
      <c r="U585" s="3"/>
      <c r="V585" s="3"/>
      <c r="W585" s="3"/>
      <c r="X585" s="3"/>
      <c r="Y585" s="3"/>
      <c r="Z585" s="3"/>
    </row>
    <row r="586" ht="15.75" customHeight="1">
      <c r="A586" s="3"/>
      <c r="B586" s="2"/>
      <c r="C586" s="2"/>
      <c r="D586" s="2"/>
      <c r="E586" s="464"/>
      <c r="F586" s="2"/>
      <c r="G586" s="2"/>
      <c r="H586" s="2"/>
      <c r="I586" s="2"/>
      <c r="J586" s="2"/>
      <c r="K586" s="2"/>
      <c r="L586" s="2"/>
      <c r="M586" s="2"/>
      <c r="N586" s="2"/>
      <c r="O586" s="2"/>
      <c r="P586" s="2"/>
      <c r="Q586" s="2"/>
      <c r="R586" s="255"/>
      <c r="S586" s="3"/>
      <c r="T586" s="3"/>
      <c r="U586" s="3"/>
      <c r="V586" s="3"/>
      <c r="W586" s="3"/>
      <c r="X586" s="3"/>
      <c r="Y586" s="3"/>
      <c r="Z586" s="3"/>
    </row>
    <row r="587" ht="15.75" customHeight="1">
      <c r="A587" s="3"/>
      <c r="B587" s="2"/>
      <c r="C587" s="2"/>
      <c r="D587" s="2"/>
      <c r="E587" s="464"/>
      <c r="F587" s="2"/>
      <c r="G587" s="2"/>
      <c r="H587" s="2"/>
      <c r="I587" s="2"/>
      <c r="J587" s="2"/>
      <c r="K587" s="2"/>
      <c r="L587" s="2"/>
      <c r="M587" s="2"/>
      <c r="N587" s="2"/>
      <c r="O587" s="2"/>
      <c r="P587" s="2"/>
      <c r="Q587" s="2"/>
      <c r="R587" s="255"/>
      <c r="S587" s="3"/>
      <c r="T587" s="3"/>
      <c r="U587" s="3"/>
      <c r="V587" s="3"/>
      <c r="W587" s="3"/>
      <c r="X587" s="3"/>
      <c r="Y587" s="3"/>
      <c r="Z587" s="3"/>
    </row>
    <row r="588" ht="15.75" customHeight="1">
      <c r="A588" s="3"/>
      <c r="B588" s="2"/>
      <c r="C588" s="2"/>
      <c r="D588" s="2"/>
      <c r="E588" s="464"/>
      <c r="F588" s="2"/>
      <c r="G588" s="2"/>
      <c r="H588" s="2"/>
      <c r="I588" s="2"/>
      <c r="J588" s="2"/>
      <c r="K588" s="2"/>
      <c r="L588" s="2"/>
      <c r="M588" s="2"/>
      <c r="N588" s="2"/>
      <c r="O588" s="2"/>
      <c r="P588" s="2"/>
      <c r="Q588" s="2"/>
      <c r="R588" s="255"/>
      <c r="S588" s="3"/>
      <c r="T588" s="3"/>
      <c r="U588" s="3"/>
      <c r="V588" s="3"/>
      <c r="W588" s="3"/>
      <c r="X588" s="3"/>
      <c r="Y588" s="3"/>
      <c r="Z588" s="3"/>
    </row>
    <row r="589" ht="15.75" customHeight="1">
      <c r="A589" s="3"/>
      <c r="B589" s="2"/>
      <c r="C589" s="2"/>
      <c r="D589" s="2"/>
      <c r="E589" s="464"/>
      <c r="F589" s="2"/>
      <c r="G589" s="2"/>
      <c r="H589" s="2"/>
      <c r="I589" s="2"/>
      <c r="J589" s="2"/>
      <c r="K589" s="2"/>
      <c r="L589" s="2"/>
      <c r="M589" s="2"/>
      <c r="N589" s="2"/>
      <c r="O589" s="2"/>
      <c r="P589" s="2"/>
      <c r="Q589" s="2"/>
      <c r="R589" s="255"/>
      <c r="S589" s="3"/>
      <c r="T589" s="3"/>
      <c r="U589" s="3"/>
      <c r="V589" s="3"/>
      <c r="W589" s="3"/>
      <c r="X589" s="3"/>
      <c r="Y589" s="3"/>
      <c r="Z589" s="3"/>
    </row>
    <row r="590" ht="15.75" customHeight="1">
      <c r="A590" s="3"/>
      <c r="B590" s="2"/>
      <c r="C590" s="2"/>
      <c r="D590" s="2"/>
      <c r="E590" s="464"/>
      <c r="F590" s="2"/>
      <c r="G590" s="2"/>
      <c r="H590" s="2"/>
      <c r="I590" s="2"/>
      <c r="J590" s="2"/>
      <c r="K590" s="2"/>
      <c r="L590" s="2"/>
      <c r="M590" s="2"/>
      <c r="N590" s="2"/>
      <c r="O590" s="2"/>
      <c r="P590" s="2"/>
      <c r="Q590" s="2"/>
      <c r="R590" s="255"/>
      <c r="S590" s="3"/>
      <c r="T590" s="3"/>
      <c r="U590" s="3"/>
      <c r="V590" s="3"/>
      <c r="W590" s="3"/>
      <c r="X590" s="3"/>
      <c r="Y590" s="3"/>
      <c r="Z590" s="3"/>
    </row>
    <row r="591" ht="15.75" customHeight="1">
      <c r="A591" s="3"/>
      <c r="B591" s="2"/>
      <c r="C591" s="2"/>
      <c r="D591" s="2"/>
      <c r="E591" s="464"/>
      <c r="F591" s="2"/>
      <c r="G591" s="2"/>
      <c r="H591" s="2"/>
      <c r="I591" s="2"/>
      <c r="J591" s="2"/>
      <c r="K591" s="2"/>
      <c r="L591" s="2"/>
      <c r="M591" s="2"/>
      <c r="N591" s="2"/>
      <c r="O591" s="2"/>
      <c r="P591" s="2"/>
      <c r="Q591" s="2"/>
      <c r="R591" s="255"/>
      <c r="S591" s="3"/>
      <c r="T591" s="3"/>
      <c r="U591" s="3"/>
      <c r="V591" s="3"/>
      <c r="W591" s="3"/>
      <c r="X591" s="3"/>
      <c r="Y591" s="3"/>
      <c r="Z591" s="3"/>
    </row>
    <row r="592" ht="15.75" customHeight="1">
      <c r="A592" s="3"/>
      <c r="B592" s="2"/>
      <c r="C592" s="2"/>
      <c r="D592" s="2"/>
      <c r="E592" s="464"/>
      <c r="F592" s="2"/>
      <c r="G592" s="2"/>
      <c r="H592" s="2"/>
      <c r="I592" s="2"/>
      <c r="J592" s="2"/>
      <c r="K592" s="2"/>
      <c r="L592" s="2"/>
      <c r="M592" s="2"/>
      <c r="N592" s="2"/>
      <c r="O592" s="2"/>
      <c r="P592" s="2"/>
      <c r="Q592" s="2"/>
      <c r="R592" s="255"/>
      <c r="S592" s="3"/>
      <c r="T592" s="3"/>
      <c r="U592" s="3"/>
      <c r="V592" s="3"/>
      <c r="W592" s="3"/>
      <c r="X592" s="3"/>
      <c r="Y592" s="3"/>
      <c r="Z592" s="3"/>
    </row>
    <row r="593" ht="15.75" customHeight="1">
      <c r="A593" s="3"/>
      <c r="B593" s="2"/>
      <c r="C593" s="2"/>
      <c r="D593" s="2"/>
      <c r="E593" s="464"/>
      <c r="F593" s="2"/>
      <c r="G593" s="2"/>
      <c r="H593" s="2"/>
      <c r="I593" s="2"/>
      <c r="J593" s="2"/>
      <c r="K593" s="2"/>
      <c r="L593" s="2"/>
      <c r="M593" s="2"/>
      <c r="N593" s="2"/>
      <c r="O593" s="2"/>
      <c r="P593" s="2"/>
      <c r="Q593" s="2"/>
      <c r="R593" s="255"/>
      <c r="S593" s="3"/>
      <c r="T593" s="3"/>
      <c r="U593" s="3"/>
      <c r="V593" s="3"/>
      <c r="W593" s="3"/>
      <c r="X593" s="3"/>
      <c r="Y593" s="3"/>
      <c r="Z593" s="3"/>
    </row>
    <row r="594" ht="15.75" customHeight="1">
      <c r="A594" s="3"/>
      <c r="B594" s="2"/>
      <c r="C594" s="2"/>
      <c r="D594" s="2"/>
      <c r="E594" s="464"/>
      <c r="F594" s="2"/>
      <c r="G594" s="2"/>
      <c r="H594" s="2"/>
      <c r="I594" s="2"/>
      <c r="J594" s="2"/>
      <c r="K594" s="2"/>
      <c r="L594" s="2"/>
      <c r="M594" s="2"/>
      <c r="N594" s="2"/>
      <c r="O594" s="2"/>
      <c r="P594" s="2"/>
      <c r="Q594" s="2"/>
      <c r="R594" s="255"/>
      <c r="S594" s="3"/>
      <c r="T594" s="3"/>
      <c r="U594" s="3"/>
      <c r="V594" s="3"/>
      <c r="W594" s="3"/>
      <c r="X594" s="3"/>
      <c r="Y594" s="3"/>
      <c r="Z594" s="3"/>
    </row>
    <row r="595" ht="15.75" customHeight="1">
      <c r="A595" s="3"/>
      <c r="B595" s="2"/>
      <c r="C595" s="2"/>
      <c r="D595" s="2"/>
      <c r="E595" s="464"/>
      <c r="F595" s="2"/>
      <c r="G595" s="2"/>
      <c r="H595" s="2"/>
      <c r="I595" s="2"/>
      <c r="J595" s="2"/>
      <c r="K595" s="2"/>
      <c r="L595" s="2"/>
      <c r="M595" s="2"/>
      <c r="N595" s="2"/>
      <c r="O595" s="2"/>
      <c r="P595" s="2"/>
      <c r="Q595" s="2"/>
      <c r="R595" s="255"/>
      <c r="S595" s="3"/>
      <c r="T595" s="3"/>
      <c r="U595" s="3"/>
      <c r="V595" s="3"/>
      <c r="W595" s="3"/>
      <c r="X595" s="3"/>
      <c r="Y595" s="3"/>
      <c r="Z595" s="3"/>
    </row>
    <row r="596" ht="15.75" customHeight="1">
      <c r="A596" s="3"/>
      <c r="B596" s="2"/>
      <c r="C596" s="2"/>
      <c r="D596" s="2"/>
      <c r="E596" s="464"/>
      <c r="F596" s="2"/>
      <c r="G596" s="2"/>
      <c r="H596" s="2"/>
      <c r="I596" s="2"/>
      <c r="J596" s="2"/>
      <c r="K596" s="2"/>
      <c r="L596" s="2"/>
      <c r="M596" s="2"/>
      <c r="N596" s="2"/>
      <c r="O596" s="2"/>
      <c r="P596" s="2"/>
      <c r="Q596" s="2"/>
      <c r="R596" s="255"/>
      <c r="S596" s="3"/>
      <c r="T596" s="3"/>
      <c r="U596" s="3"/>
      <c r="V596" s="3"/>
      <c r="W596" s="3"/>
      <c r="X596" s="3"/>
      <c r="Y596" s="3"/>
      <c r="Z596" s="3"/>
    </row>
    <row r="597" ht="15.75" customHeight="1">
      <c r="A597" s="3"/>
      <c r="B597" s="2"/>
      <c r="C597" s="2"/>
      <c r="D597" s="2"/>
      <c r="E597" s="464"/>
      <c r="F597" s="2"/>
      <c r="G597" s="2"/>
      <c r="H597" s="2"/>
      <c r="I597" s="2"/>
      <c r="J597" s="2"/>
      <c r="K597" s="2"/>
      <c r="L597" s="2"/>
      <c r="M597" s="2"/>
      <c r="N597" s="2"/>
      <c r="O597" s="2"/>
      <c r="P597" s="2"/>
      <c r="Q597" s="2"/>
      <c r="R597" s="255"/>
      <c r="S597" s="3"/>
      <c r="T597" s="3"/>
      <c r="U597" s="3"/>
      <c r="V597" s="3"/>
      <c r="W597" s="3"/>
      <c r="X597" s="3"/>
      <c r="Y597" s="3"/>
      <c r="Z597" s="3"/>
    </row>
    <row r="598" ht="15.75" customHeight="1">
      <c r="A598" s="3"/>
      <c r="B598" s="2"/>
      <c r="C598" s="2"/>
      <c r="D598" s="2"/>
      <c r="E598" s="464"/>
      <c r="F598" s="2"/>
      <c r="G598" s="2"/>
      <c r="H598" s="2"/>
      <c r="I598" s="2"/>
      <c r="J598" s="2"/>
      <c r="K598" s="2"/>
      <c r="L598" s="2"/>
      <c r="M598" s="2"/>
      <c r="N598" s="2"/>
      <c r="O598" s="2"/>
      <c r="P598" s="2"/>
      <c r="Q598" s="2"/>
      <c r="R598" s="255"/>
      <c r="S598" s="3"/>
      <c r="T598" s="3"/>
      <c r="U598" s="3"/>
      <c r="V598" s="3"/>
      <c r="W598" s="3"/>
      <c r="X598" s="3"/>
      <c r="Y598" s="3"/>
      <c r="Z598" s="3"/>
    </row>
    <row r="599" ht="15.75" customHeight="1">
      <c r="A599" s="3"/>
      <c r="B599" s="2"/>
      <c r="C599" s="2"/>
      <c r="D599" s="2"/>
      <c r="E599" s="464"/>
      <c r="F599" s="2"/>
      <c r="G599" s="2"/>
      <c r="H599" s="2"/>
      <c r="I599" s="2"/>
      <c r="J599" s="2"/>
      <c r="K599" s="2"/>
      <c r="L599" s="2"/>
      <c r="M599" s="2"/>
      <c r="N599" s="2"/>
      <c r="O599" s="2"/>
      <c r="P599" s="2"/>
      <c r="Q599" s="2"/>
      <c r="R599" s="255"/>
      <c r="S599" s="3"/>
      <c r="T599" s="3"/>
      <c r="U599" s="3"/>
      <c r="V599" s="3"/>
      <c r="W599" s="3"/>
      <c r="X599" s="3"/>
      <c r="Y599" s="3"/>
      <c r="Z599" s="3"/>
    </row>
    <row r="600" ht="15.75" customHeight="1">
      <c r="A600" s="3"/>
      <c r="B600" s="2"/>
      <c r="C600" s="2"/>
      <c r="D600" s="2"/>
      <c r="E600" s="464"/>
      <c r="F600" s="2"/>
      <c r="G600" s="2"/>
      <c r="H600" s="2"/>
      <c r="I600" s="2"/>
      <c r="J600" s="2"/>
      <c r="K600" s="2"/>
      <c r="L600" s="2"/>
      <c r="M600" s="2"/>
      <c r="N600" s="2"/>
      <c r="O600" s="2"/>
      <c r="P600" s="2"/>
      <c r="Q600" s="2"/>
      <c r="R600" s="255"/>
      <c r="S600" s="3"/>
      <c r="T600" s="3"/>
      <c r="U600" s="3"/>
      <c r="V600" s="3"/>
      <c r="W600" s="3"/>
      <c r="X600" s="3"/>
      <c r="Y600" s="3"/>
      <c r="Z600" s="3"/>
    </row>
    <row r="601" ht="15.75" customHeight="1">
      <c r="A601" s="3"/>
      <c r="B601" s="2"/>
      <c r="C601" s="2"/>
      <c r="D601" s="2"/>
      <c r="E601" s="464"/>
      <c r="F601" s="2"/>
      <c r="G601" s="2"/>
      <c r="H601" s="2"/>
      <c r="I601" s="2"/>
      <c r="J601" s="2"/>
      <c r="K601" s="2"/>
      <c r="L601" s="2"/>
      <c r="M601" s="2"/>
      <c r="N601" s="2"/>
      <c r="O601" s="2"/>
      <c r="P601" s="2"/>
      <c r="Q601" s="2"/>
      <c r="R601" s="255"/>
      <c r="S601" s="3"/>
      <c r="T601" s="3"/>
      <c r="U601" s="3"/>
      <c r="V601" s="3"/>
      <c r="W601" s="3"/>
      <c r="X601" s="3"/>
      <c r="Y601" s="3"/>
      <c r="Z601" s="3"/>
    </row>
    <row r="602" ht="15.75" customHeight="1">
      <c r="A602" s="3"/>
      <c r="B602" s="2"/>
      <c r="C602" s="2"/>
      <c r="D602" s="2"/>
      <c r="E602" s="464"/>
      <c r="F602" s="2"/>
      <c r="G602" s="2"/>
      <c r="H602" s="2"/>
      <c r="I602" s="2"/>
      <c r="J602" s="2"/>
      <c r="K602" s="2"/>
      <c r="L602" s="2"/>
      <c r="M602" s="2"/>
      <c r="N602" s="2"/>
      <c r="O602" s="2"/>
      <c r="P602" s="2"/>
      <c r="Q602" s="2"/>
      <c r="R602" s="255"/>
      <c r="S602" s="3"/>
      <c r="T602" s="3"/>
      <c r="U602" s="3"/>
      <c r="V602" s="3"/>
      <c r="W602" s="3"/>
      <c r="X602" s="3"/>
      <c r="Y602" s="3"/>
      <c r="Z602" s="3"/>
    </row>
    <row r="603" ht="15.75" customHeight="1">
      <c r="A603" s="3"/>
      <c r="B603" s="2"/>
      <c r="C603" s="2"/>
      <c r="D603" s="2"/>
      <c r="E603" s="464"/>
      <c r="F603" s="2"/>
      <c r="G603" s="2"/>
      <c r="H603" s="2"/>
      <c r="I603" s="2"/>
      <c r="J603" s="2"/>
      <c r="K603" s="2"/>
      <c r="L603" s="2"/>
      <c r="M603" s="2"/>
      <c r="N603" s="2"/>
      <c r="O603" s="2"/>
      <c r="P603" s="2"/>
      <c r="Q603" s="2"/>
      <c r="R603" s="255"/>
      <c r="S603" s="3"/>
      <c r="T603" s="3"/>
      <c r="U603" s="3"/>
      <c r="V603" s="3"/>
      <c r="W603" s="3"/>
      <c r="X603" s="3"/>
      <c r="Y603" s="3"/>
      <c r="Z603" s="3"/>
    </row>
    <row r="604" ht="15.75" customHeight="1">
      <c r="A604" s="3"/>
      <c r="B604" s="2"/>
      <c r="C604" s="2"/>
      <c r="D604" s="2"/>
      <c r="E604" s="464"/>
      <c r="F604" s="2"/>
      <c r="G604" s="2"/>
      <c r="H604" s="2"/>
      <c r="I604" s="2"/>
      <c r="J604" s="2"/>
      <c r="K604" s="2"/>
      <c r="L604" s="2"/>
      <c r="M604" s="2"/>
      <c r="N604" s="2"/>
      <c r="O604" s="2"/>
      <c r="P604" s="2"/>
      <c r="Q604" s="2"/>
      <c r="R604" s="255"/>
      <c r="S604" s="3"/>
      <c r="T604" s="3"/>
      <c r="U604" s="3"/>
      <c r="V604" s="3"/>
      <c r="W604" s="3"/>
      <c r="X604" s="3"/>
      <c r="Y604" s="3"/>
      <c r="Z604" s="3"/>
    </row>
    <row r="605" ht="15.75" customHeight="1">
      <c r="A605" s="3"/>
      <c r="B605" s="2"/>
      <c r="C605" s="2"/>
      <c r="D605" s="2"/>
      <c r="E605" s="464"/>
      <c r="F605" s="2"/>
      <c r="G605" s="2"/>
      <c r="H605" s="2"/>
      <c r="I605" s="2"/>
      <c r="J605" s="2"/>
      <c r="K605" s="2"/>
      <c r="L605" s="2"/>
      <c r="M605" s="2"/>
      <c r="N605" s="2"/>
      <c r="O605" s="2"/>
      <c r="P605" s="2"/>
      <c r="Q605" s="2"/>
      <c r="R605" s="255"/>
      <c r="S605" s="3"/>
      <c r="T605" s="3"/>
      <c r="U605" s="3"/>
      <c r="V605" s="3"/>
      <c r="W605" s="3"/>
      <c r="X605" s="3"/>
      <c r="Y605" s="3"/>
      <c r="Z605" s="3"/>
    </row>
    <row r="606" ht="15.75" customHeight="1">
      <c r="A606" s="3"/>
      <c r="B606" s="2"/>
      <c r="C606" s="2"/>
      <c r="D606" s="2"/>
      <c r="E606" s="464"/>
      <c r="F606" s="2"/>
      <c r="G606" s="2"/>
      <c r="H606" s="2"/>
      <c r="I606" s="2"/>
      <c r="J606" s="2"/>
      <c r="K606" s="2"/>
      <c r="L606" s="2"/>
      <c r="M606" s="2"/>
      <c r="N606" s="2"/>
      <c r="O606" s="2"/>
      <c r="P606" s="2"/>
      <c r="Q606" s="2"/>
      <c r="R606" s="255"/>
      <c r="S606" s="3"/>
      <c r="T606" s="3"/>
      <c r="U606" s="3"/>
      <c r="V606" s="3"/>
      <c r="W606" s="3"/>
      <c r="X606" s="3"/>
      <c r="Y606" s="3"/>
      <c r="Z606" s="3"/>
    </row>
    <row r="607" ht="15.75" customHeight="1">
      <c r="A607" s="3"/>
      <c r="B607" s="2"/>
      <c r="C607" s="2"/>
      <c r="D607" s="2"/>
      <c r="E607" s="464"/>
      <c r="F607" s="2"/>
      <c r="G607" s="2"/>
      <c r="H607" s="2"/>
      <c r="I607" s="2"/>
      <c r="J607" s="2"/>
      <c r="K607" s="2"/>
      <c r="L607" s="2"/>
      <c r="M607" s="2"/>
      <c r="N607" s="2"/>
      <c r="O607" s="2"/>
      <c r="P607" s="2"/>
      <c r="Q607" s="2"/>
      <c r="R607" s="255"/>
      <c r="S607" s="3"/>
      <c r="T607" s="3"/>
      <c r="U607" s="3"/>
      <c r="V607" s="3"/>
      <c r="W607" s="3"/>
      <c r="X607" s="3"/>
      <c r="Y607" s="3"/>
      <c r="Z607" s="3"/>
    </row>
    <row r="608" ht="15.75" customHeight="1">
      <c r="A608" s="3"/>
      <c r="B608" s="2"/>
      <c r="C608" s="2"/>
      <c r="D608" s="2"/>
      <c r="E608" s="464"/>
      <c r="F608" s="2"/>
      <c r="G608" s="2"/>
      <c r="H608" s="2"/>
      <c r="I608" s="2"/>
      <c r="J608" s="2"/>
      <c r="K608" s="2"/>
      <c r="L608" s="2"/>
      <c r="M608" s="2"/>
      <c r="N608" s="2"/>
      <c r="O608" s="2"/>
      <c r="P608" s="2"/>
      <c r="Q608" s="2"/>
      <c r="R608" s="255"/>
      <c r="S608" s="3"/>
      <c r="T608" s="3"/>
      <c r="U608" s="3"/>
      <c r="V608" s="3"/>
      <c r="W608" s="3"/>
      <c r="X608" s="3"/>
      <c r="Y608" s="3"/>
      <c r="Z608" s="3"/>
    </row>
    <row r="609" ht="15.75" customHeight="1">
      <c r="A609" s="3"/>
      <c r="B609" s="2"/>
      <c r="C609" s="2"/>
      <c r="D609" s="2"/>
      <c r="E609" s="464"/>
      <c r="F609" s="2"/>
      <c r="G609" s="2"/>
      <c r="H609" s="2"/>
      <c r="I609" s="2"/>
      <c r="J609" s="2"/>
      <c r="K609" s="2"/>
      <c r="L609" s="2"/>
      <c r="M609" s="2"/>
      <c r="N609" s="2"/>
      <c r="O609" s="2"/>
      <c r="P609" s="2"/>
      <c r="Q609" s="2"/>
      <c r="R609" s="255"/>
      <c r="S609" s="3"/>
      <c r="T609" s="3"/>
      <c r="U609" s="3"/>
      <c r="V609" s="3"/>
      <c r="W609" s="3"/>
      <c r="X609" s="3"/>
      <c r="Y609" s="3"/>
      <c r="Z609" s="3"/>
    </row>
    <row r="610" ht="15.75" customHeight="1">
      <c r="A610" s="3"/>
      <c r="B610" s="2"/>
      <c r="C610" s="2"/>
      <c r="D610" s="2"/>
      <c r="E610" s="464"/>
      <c r="F610" s="2"/>
      <c r="G610" s="2"/>
      <c r="H610" s="2"/>
      <c r="I610" s="2"/>
      <c r="J610" s="2"/>
      <c r="K610" s="2"/>
      <c r="L610" s="2"/>
      <c r="M610" s="2"/>
      <c r="N610" s="2"/>
      <c r="O610" s="2"/>
      <c r="P610" s="2"/>
      <c r="Q610" s="2"/>
      <c r="R610" s="255"/>
      <c r="S610" s="3"/>
      <c r="T610" s="3"/>
      <c r="U610" s="3"/>
      <c r="V610" s="3"/>
      <c r="W610" s="3"/>
      <c r="X610" s="3"/>
      <c r="Y610" s="3"/>
      <c r="Z610" s="3"/>
    </row>
    <row r="611" ht="15.75" customHeight="1">
      <c r="A611" s="3"/>
      <c r="B611" s="2"/>
      <c r="C611" s="2"/>
      <c r="D611" s="2"/>
      <c r="E611" s="464"/>
      <c r="F611" s="2"/>
      <c r="G611" s="2"/>
      <c r="H611" s="2"/>
      <c r="I611" s="2"/>
      <c r="J611" s="2"/>
      <c r="K611" s="2"/>
      <c r="L611" s="2"/>
      <c r="M611" s="2"/>
      <c r="N611" s="2"/>
      <c r="O611" s="2"/>
      <c r="P611" s="2"/>
      <c r="Q611" s="2"/>
      <c r="R611" s="255"/>
      <c r="S611" s="3"/>
      <c r="T611" s="3"/>
      <c r="U611" s="3"/>
      <c r="V611" s="3"/>
      <c r="W611" s="3"/>
      <c r="X611" s="3"/>
      <c r="Y611" s="3"/>
      <c r="Z611" s="3"/>
    </row>
    <row r="612" ht="15.75" customHeight="1">
      <c r="A612" s="3"/>
      <c r="B612" s="2"/>
      <c r="C612" s="2"/>
      <c r="D612" s="2"/>
      <c r="E612" s="464"/>
      <c r="F612" s="2"/>
      <c r="G612" s="2"/>
      <c r="H612" s="2"/>
      <c r="I612" s="2"/>
      <c r="J612" s="2"/>
      <c r="K612" s="2"/>
      <c r="L612" s="2"/>
      <c r="M612" s="2"/>
      <c r="N612" s="2"/>
      <c r="O612" s="2"/>
      <c r="P612" s="2"/>
      <c r="Q612" s="2"/>
      <c r="R612" s="255"/>
      <c r="S612" s="3"/>
      <c r="T612" s="3"/>
      <c r="U612" s="3"/>
      <c r="V612" s="3"/>
      <c r="W612" s="3"/>
      <c r="X612" s="3"/>
      <c r="Y612" s="3"/>
      <c r="Z612" s="3"/>
    </row>
    <row r="613" ht="15.75" customHeight="1">
      <c r="A613" s="3"/>
      <c r="B613" s="2"/>
      <c r="C613" s="2"/>
      <c r="D613" s="2"/>
      <c r="E613" s="464"/>
      <c r="F613" s="2"/>
      <c r="G613" s="2"/>
      <c r="H613" s="2"/>
      <c r="I613" s="2"/>
      <c r="J613" s="2"/>
      <c r="K613" s="2"/>
      <c r="L613" s="2"/>
      <c r="M613" s="2"/>
      <c r="N613" s="2"/>
      <c r="O613" s="2"/>
      <c r="P613" s="2"/>
      <c r="Q613" s="2"/>
      <c r="R613" s="255"/>
      <c r="S613" s="3"/>
      <c r="T613" s="3"/>
      <c r="U613" s="3"/>
      <c r="V613" s="3"/>
      <c r="W613" s="3"/>
      <c r="X613" s="3"/>
      <c r="Y613" s="3"/>
      <c r="Z613" s="3"/>
    </row>
    <row r="614" ht="15.75" customHeight="1">
      <c r="A614" s="3"/>
      <c r="B614" s="2"/>
      <c r="C614" s="2"/>
      <c r="D614" s="2"/>
      <c r="E614" s="464"/>
      <c r="F614" s="2"/>
      <c r="G614" s="2"/>
      <c r="H614" s="2"/>
      <c r="I614" s="2"/>
      <c r="J614" s="2"/>
      <c r="K614" s="2"/>
      <c r="L614" s="2"/>
      <c r="M614" s="2"/>
      <c r="N614" s="2"/>
      <c r="O614" s="2"/>
      <c r="P614" s="2"/>
      <c r="Q614" s="2"/>
      <c r="R614" s="255"/>
      <c r="S614" s="3"/>
      <c r="T614" s="3"/>
      <c r="U614" s="3"/>
      <c r="V614" s="3"/>
      <c r="W614" s="3"/>
      <c r="X614" s="3"/>
      <c r="Y614" s="3"/>
      <c r="Z614" s="3"/>
    </row>
    <row r="615" ht="15.75" customHeight="1">
      <c r="A615" s="3"/>
      <c r="B615" s="2"/>
      <c r="C615" s="2"/>
      <c r="D615" s="2"/>
      <c r="E615" s="464"/>
      <c r="F615" s="2"/>
      <c r="G615" s="2"/>
      <c r="H615" s="2"/>
      <c r="I615" s="2"/>
      <c r="J615" s="2"/>
      <c r="K615" s="2"/>
      <c r="L615" s="2"/>
      <c r="M615" s="2"/>
      <c r="N615" s="2"/>
      <c r="O615" s="2"/>
      <c r="P615" s="2"/>
      <c r="Q615" s="2"/>
      <c r="R615" s="255"/>
      <c r="S615" s="3"/>
      <c r="T615" s="3"/>
      <c r="U615" s="3"/>
      <c r="V615" s="3"/>
      <c r="W615" s="3"/>
      <c r="X615" s="3"/>
      <c r="Y615" s="3"/>
      <c r="Z615" s="3"/>
    </row>
    <row r="616" ht="15.75" customHeight="1">
      <c r="A616" s="3"/>
      <c r="B616" s="2"/>
      <c r="C616" s="2"/>
      <c r="D616" s="2"/>
      <c r="E616" s="464"/>
      <c r="F616" s="2"/>
      <c r="G616" s="2"/>
      <c r="H616" s="2"/>
      <c r="I616" s="2"/>
      <c r="J616" s="2"/>
      <c r="K616" s="2"/>
      <c r="L616" s="2"/>
      <c r="M616" s="2"/>
      <c r="N616" s="2"/>
      <c r="O616" s="2"/>
      <c r="P616" s="2"/>
      <c r="Q616" s="2"/>
      <c r="R616" s="255"/>
      <c r="S616" s="3"/>
      <c r="T616" s="3"/>
      <c r="U616" s="3"/>
      <c r="V616" s="3"/>
      <c r="W616" s="3"/>
      <c r="X616" s="3"/>
      <c r="Y616" s="3"/>
      <c r="Z616" s="3"/>
    </row>
    <row r="617" ht="15.75" customHeight="1">
      <c r="A617" s="3"/>
      <c r="B617" s="2"/>
      <c r="C617" s="2"/>
      <c r="D617" s="2"/>
      <c r="E617" s="464"/>
      <c r="F617" s="2"/>
      <c r="G617" s="2"/>
      <c r="H617" s="2"/>
      <c r="I617" s="2"/>
      <c r="J617" s="2"/>
      <c r="K617" s="2"/>
      <c r="L617" s="2"/>
      <c r="M617" s="2"/>
      <c r="N617" s="2"/>
      <c r="O617" s="2"/>
      <c r="P617" s="2"/>
      <c r="Q617" s="2"/>
      <c r="R617" s="255"/>
      <c r="S617" s="3"/>
      <c r="T617" s="3"/>
      <c r="U617" s="3"/>
      <c r="V617" s="3"/>
      <c r="W617" s="3"/>
      <c r="X617" s="3"/>
      <c r="Y617" s="3"/>
      <c r="Z617" s="3"/>
    </row>
    <row r="618" ht="15.75" customHeight="1">
      <c r="A618" s="3"/>
      <c r="B618" s="2"/>
      <c r="C618" s="2"/>
      <c r="D618" s="2"/>
      <c r="E618" s="464"/>
      <c r="F618" s="2"/>
      <c r="G618" s="2"/>
      <c r="H618" s="2"/>
      <c r="I618" s="2"/>
      <c r="J618" s="2"/>
      <c r="K618" s="2"/>
      <c r="L618" s="2"/>
      <c r="M618" s="2"/>
      <c r="N618" s="2"/>
      <c r="O618" s="2"/>
      <c r="P618" s="2"/>
      <c r="Q618" s="2"/>
      <c r="R618" s="255"/>
      <c r="S618" s="3"/>
      <c r="T618" s="3"/>
      <c r="U618" s="3"/>
      <c r="V618" s="3"/>
      <c r="W618" s="3"/>
      <c r="X618" s="3"/>
      <c r="Y618" s="3"/>
      <c r="Z618" s="3"/>
    </row>
    <row r="619" ht="15.75" customHeight="1">
      <c r="A619" s="3"/>
      <c r="B619" s="2"/>
      <c r="C619" s="2"/>
      <c r="D619" s="2"/>
      <c r="E619" s="464"/>
      <c r="F619" s="2"/>
      <c r="G619" s="2"/>
      <c r="H619" s="2"/>
      <c r="I619" s="2"/>
      <c r="J619" s="2"/>
      <c r="K619" s="2"/>
      <c r="L619" s="2"/>
      <c r="M619" s="2"/>
      <c r="N619" s="2"/>
      <c r="O619" s="2"/>
      <c r="P619" s="2"/>
      <c r="Q619" s="2"/>
      <c r="R619" s="255"/>
      <c r="S619" s="3"/>
      <c r="T619" s="3"/>
      <c r="U619" s="3"/>
      <c r="V619" s="3"/>
      <c r="W619" s="3"/>
      <c r="X619" s="3"/>
      <c r="Y619" s="3"/>
      <c r="Z619" s="3"/>
    </row>
    <row r="620" ht="15.75" customHeight="1">
      <c r="A620" s="3"/>
      <c r="B620" s="2"/>
      <c r="C620" s="2"/>
      <c r="D620" s="2"/>
      <c r="E620" s="464"/>
      <c r="F620" s="2"/>
      <c r="G620" s="2"/>
      <c r="H620" s="2"/>
      <c r="I620" s="2"/>
      <c r="J620" s="2"/>
      <c r="K620" s="2"/>
      <c r="L620" s="2"/>
      <c r="M620" s="2"/>
      <c r="N620" s="2"/>
      <c r="O620" s="2"/>
      <c r="P620" s="2"/>
      <c r="Q620" s="2"/>
      <c r="R620" s="255"/>
      <c r="S620" s="3"/>
      <c r="T620" s="3"/>
      <c r="U620" s="3"/>
      <c r="V620" s="3"/>
      <c r="W620" s="3"/>
      <c r="X620" s="3"/>
      <c r="Y620" s="3"/>
      <c r="Z620" s="3"/>
    </row>
    <row r="621" ht="15.75" customHeight="1">
      <c r="A621" s="3"/>
      <c r="B621" s="2"/>
      <c r="C621" s="2"/>
      <c r="D621" s="2"/>
      <c r="E621" s="464"/>
      <c r="F621" s="2"/>
      <c r="G621" s="2"/>
      <c r="H621" s="2"/>
      <c r="I621" s="2"/>
      <c r="J621" s="2"/>
      <c r="K621" s="2"/>
      <c r="L621" s="2"/>
      <c r="M621" s="2"/>
      <c r="N621" s="2"/>
      <c r="O621" s="2"/>
      <c r="P621" s="2"/>
      <c r="Q621" s="2"/>
      <c r="R621" s="255"/>
      <c r="S621" s="3"/>
      <c r="T621" s="3"/>
      <c r="U621" s="3"/>
      <c r="V621" s="3"/>
      <c r="W621" s="3"/>
      <c r="X621" s="3"/>
      <c r="Y621" s="3"/>
      <c r="Z621" s="3"/>
    </row>
    <row r="622" ht="15.75" customHeight="1">
      <c r="A622" s="3"/>
      <c r="B622" s="2"/>
      <c r="C622" s="2"/>
      <c r="D622" s="2"/>
      <c r="E622" s="464"/>
      <c r="F622" s="2"/>
      <c r="G622" s="2"/>
      <c r="H622" s="2"/>
      <c r="I622" s="2"/>
      <c r="J622" s="2"/>
      <c r="K622" s="2"/>
      <c r="L622" s="2"/>
      <c r="M622" s="2"/>
      <c r="N622" s="2"/>
      <c r="O622" s="2"/>
      <c r="P622" s="2"/>
      <c r="Q622" s="2"/>
      <c r="R622" s="255"/>
      <c r="S622" s="3"/>
      <c r="T622" s="3"/>
      <c r="U622" s="3"/>
      <c r="V622" s="3"/>
      <c r="W622" s="3"/>
      <c r="X622" s="3"/>
      <c r="Y622" s="3"/>
      <c r="Z622" s="3"/>
    </row>
    <row r="623" ht="15.75" customHeight="1">
      <c r="A623" s="3"/>
      <c r="B623" s="2"/>
      <c r="C623" s="2"/>
      <c r="D623" s="2"/>
      <c r="E623" s="464"/>
      <c r="F623" s="2"/>
      <c r="G623" s="2"/>
      <c r="H623" s="2"/>
      <c r="I623" s="2"/>
      <c r="J623" s="2"/>
      <c r="K623" s="2"/>
      <c r="L623" s="2"/>
      <c r="M623" s="2"/>
      <c r="N623" s="2"/>
      <c r="O623" s="2"/>
      <c r="P623" s="2"/>
      <c r="Q623" s="2"/>
      <c r="R623" s="255"/>
      <c r="S623" s="3"/>
      <c r="T623" s="3"/>
      <c r="U623" s="3"/>
      <c r="V623" s="3"/>
      <c r="W623" s="3"/>
      <c r="X623" s="3"/>
      <c r="Y623" s="3"/>
      <c r="Z623" s="3"/>
    </row>
    <row r="624" ht="15.75" customHeight="1">
      <c r="A624" s="3"/>
      <c r="B624" s="2"/>
      <c r="C624" s="2"/>
      <c r="D624" s="2"/>
      <c r="E624" s="464"/>
      <c r="F624" s="2"/>
      <c r="G624" s="2"/>
      <c r="H624" s="2"/>
      <c r="I624" s="2"/>
      <c r="J624" s="2"/>
      <c r="K624" s="2"/>
      <c r="L624" s="2"/>
      <c r="M624" s="2"/>
      <c r="N624" s="2"/>
      <c r="O624" s="2"/>
      <c r="P624" s="2"/>
      <c r="Q624" s="2"/>
      <c r="R624" s="255"/>
      <c r="S624" s="3"/>
      <c r="T624" s="3"/>
      <c r="U624" s="3"/>
      <c r="V624" s="3"/>
      <c r="W624" s="3"/>
      <c r="X624" s="3"/>
      <c r="Y624" s="3"/>
      <c r="Z624" s="3"/>
    </row>
    <row r="625" ht="15.75" customHeight="1">
      <c r="A625" s="3"/>
      <c r="B625" s="2"/>
      <c r="C625" s="2"/>
      <c r="D625" s="2"/>
      <c r="E625" s="464"/>
      <c r="F625" s="2"/>
      <c r="G625" s="2"/>
      <c r="H625" s="2"/>
      <c r="I625" s="2"/>
      <c r="J625" s="2"/>
      <c r="K625" s="2"/>
      <c r="L625" s="2"/>
      <c r="M625" s="2"/>
      <c r="N625" s="2"/>
      <c r="O625" s="2"/>
      <c r="P625" s="2"/>
      <c r="Q625" s="2"/>
      <c r="R625" s="255"/>
      <c r="S625" s="3"/>
      <c r="T625" s="3"/>
      <c r="U625" s="3"/>
      <c r="V625" s="3"/>
      <c r="W625" s="3"/>
      <c r="X625" s="3"/>
      <c r="Y625" s="3"/>
      <c r="Z625" s="3"/>
    </row>
    <row r="626" ht="15.75" customHeight="1">
      <c r="A626" s="3"/>
      <c r="B626" s="2"/>
      <c r="C626" s="2"/>
      <c r="D626" s="2"/>
      <c r="E626" s="464"/>
      <c r="F626" s="2"/>
      <c r="G626" s="2"/>
      <c r="H626" s="2"/>
      <c r="I626" s="2"/>
      <c r="J626" s="2"/>
      <c r="K626" s="2"/>
      <c r="L626" s="2"/>
      <c r="M626" s="2"/>
      <c r="N626" s="2"/>
      <c r="O626" s="2"/>
      <c r="P626" s="2"/>
      <c r="Q626" s="2"/>
      <c r="R626" s="255"/>
      <c r="S626" s="3"/>
      <c r="T626" s="3"/>
      <c r="U626" s="3"/>
      <c r="V626" s="3"/>
      <c r="W626" s="3"/>
      <c r="X626" s="3"/>
      <c r="Y626" s="3"/>
      <c r="Z626" s="3"/>
    </row>
    <row r="627" ht="15.75" customHeight="1">
      <c r="A627" s="3"/>
      <c r="B627" s="2"/>
      <c r="C627" s="2"/>
      <c r="D627" s="2"/>
      <c r="E627" s="464"/>
      <c r="F627" s="2"/>
      <c r="G627" s="2"/>
      <c r="H627" s="2"/>
      <c r="I627" s="2"/>
      <c r="J627" s="2"/>
      <c r="K627" s="2"/>
      <c r="L627" s="2"/>
      <c r="M627" s="2"/>
      <c r="N627" s="2"/>
      <c r="O627" s="2"/>
      <c r="P627" s="2"/>
      <c r="Q627" s="2"/>
      <c r="R627" s="255"/>
      <c r="S627" s="3"/>
      <c r="T627" s="3"/>
      <c r="U627" s="3"/>
      <c r="V627" s="3"/>
      <c r="W627" s="3"/>
      <c r="X627" s="3"/>
      <c r="Y627" s="3"/>
      <c r="Z627" s="3"/>
    </row>
    <row r="628" ht="15.75" customHeight="1">
      <c r="A628" s="3"/>
      <c r="B628" s="2"/>
      <c r="C628" s="2"/>
      <c r="D628" s="2"/>
      <c r="E628" s="464"/>
      <c r="F628" s="2"/>
      <c r="G628" s="2"/>
      <c r="H628" s="2"/>
      <c r="I628" s="2"/>
      <c r="J628" s="2"/>
      <c r="K628" s="2"/>
      <c r="L628" s="2"/>
      <c r="M628" s="2"/>
      <c r="N628" s="2"/>
      <c r="O628" s="2"/>
      <c r="P628" s="2"/>
      <c r="Q628" s="2"/>
      <c r="R628" s="255"/>
      <c r="S628" s="3"/>
      <c r="T628" s="3"/>
      <c r="U628" s="3"/>
      <c r="V628" s="3"/>
      <c r="W628" s="3"/>
      <c r="X628" s="3"/>
      <c r="Y628" s="3"/>
      <c r="Z628" s="3"/>
    </row>
    <row r="629" ht="15.75" customHeight="1">
      <c r="A629" s="3"/>
      <c r="B629" s="2"/>
      <c r="C629" s="2"/>
      <c r="D629" s="2"/>
      <c r="E629" s="464"/>
      <c r="F629" s="2"/>
      <c r="G629" s="2"/>
      <c r="H629" s="2"/>
      <c r="I629" s="2"/>
      <c r="J629" s="2"/>
      <c r="K629" s="2"/>
      <c r="L629" s="2"/>
      <c r="M629" s="2"/>
      <c r="N629" s="2"/>
      <c r="O629" s="2"/>
      <c r="P629" s="2"/>
      <c r="Q629" s="2"/>
      <c r="R629" s="255"/>
      <c r="S629" s="3"/>
      <c r="T629" s="3"/>
      <c r="U629" s="3"/>
      <c r="V629" s="3"/>
      <c r="W629" s="3"/>
      <c r="X629" s="3"/>
      <c r="Y629" s="3"/>
      <c r="Z629" s="3"/>
    </row>
    <row r="630" ht="15.75" customHeight="1">
      <c r="A630" s="3"/>
      <c r="B630" s="2"/>
      <c r="C630" s="2"/>
      <c r="D630" s="2"/>
      <c r="E630" s="464"/>
      <c r="F630" s="2"/>
      <c r="G630" s="2"/>
      <c r="H630" s="2"/>
      <c r="I630" s="2"/>
      <c r="J630" s="2"/>
      <c r="K630" s="2"/>
      <c r="L630" s="2"/>
      <c r="M630" s="2"/>
      <c r="N630" s="2"/>
      <c r="O630" s="2"/>
      <c r="P630" s="2"/>
      <c r="Q630" s="2"/>
      <c r="R630" s="255"/>
      <c r="S630" s="3"/>
      <c r="T630" s="3"/>
      <c r="U630" s="3"/>
      <c r="V630" s="3"/>
      <c r="W630" s="3"/>
      <c r="X630" s="3"/>
      <c r="Y630" s="3"/>
      <c r="Z630" s="3"/>
    </row>
    <row r="631" ht="15.75" customHeight="1">
      <c r="A631" s="3"/>
      <c r="B631" s="2"/>
      <c r="C631" s="2"/>
      <c r="D631" s="2"/>
      <c r="E631" s="464"/>
      <c r="F631" s="2"/>
      <c r="G631" s="2"/>
      <c r="H631" s="2"/>
      <c r="I631" s="2"/>
      <c r="J631" s="2"/>
      <c r="K631" s="2"/>
      <c r="L631" s="2"/>
      <c r="M631" s="2"/>
      <c r="N631" s="2"/>
      <c r="O631" s="2"/>
      <c r="P631" s="2"/>
      <c r="Q631" s="2"/>
      <c r="R631" s="255"/>
      <c r="S631" s="3"/>
      <c r="T631" s="3"/>
      <c r="U631" s="3"/>
      <c r="V631" s="3"/>
      <c r="W631" s="3"/>
      <c r="X631" s="3"/>
      <c r="Y631" s="3"/>
      <c r="Z631" s="3"/>
    </row>
    <row r="632" ht="15.75" customHeight="1">
      <c r="A632" s="3"/>
      <c r="B632" s="2"/>
      <c r="C632" s="2"/>
      <c r="D632" s="2"/>
      <c r="E632" s="464"/>
      <c r="F632" s="2"/>
      <c r="G632" s="2"/>
      <c r="H632" s="2"/>
      <c r="I632" s="2"/>
      <c r="J632" s="2"/>
      <c r="K632" s="2"/>
      <c r="L632" s="2"/>
      <c r="M632" s="2"/>
      <c r="N632" s="2"/>
      <c r="O632" s="2"/>
      <c r="P632" s="2"/>
      <c r="Q632" s="2"/>
      <c r="R632" s="255"/>
      <c r="S632" s="3"/>
      <c r="T632" s="3"/>
      <c r="U632" s="3"/>
      <c r="V632" s="3"/>
      <c r="W632" s="3"/>
      <c r="X632" s="3"/>
      <c r="Y632" s="3"/>
      <c r="Z632" s="3"/>
    </row>
    <row r="633" ht="15.75" customHeight="1">
      <c r="A633" s="3"/>
      <c r="B633" s="2"/>
      <c r="C633" s="2"/>
      <c r="D633" s="2"/>
      <c r="E633" s="464"/>
      <c r="F633" s="2"/>
      <c r="G633" s="2"/>
      <c r="H633" s="2"/>
      <c r="I633" s="2"/>
      <c r="J633" s="2"/>
      <c r="K633" s="2"/>
      <c r="L633" s="2"/>
      <c r="M633" s="2"/>
      <c r="N633" s="2"/>
      <c r="O633" s="2"/>
      <c r="P633" s="2"/>
      <c r="Q633" s="2"/>
      <c r="R633" s="255"/>
      <c r="S633" s="3"/>
      <c r="T633" s="3"/>
      <c r="U633" s="3"/>
      <c r="V633" s="3"/>
      <c r="W633" s="3"/>
      <c r="X633" s="3"/>
      <c r="Y633" s="3"/>
      <c r="Z633" s="3"/>
    </row>
    <row r="634" ht="15.75" customHeight="1">
      <c r="A634" s="3"/>
      <c r="B634" s="2"/>
      <c r="C634" s="2"/>
      <c r="D634" s="2"/>
      <c r="E634" s="464"/>
      <c r="F634" s="2"/>
      <c r="G634" s="2"/>
      <c r="H634" s="2"/>
      <c r="I634" s="2"/>
      <c r="J634" s="2"/>
      <c r="K634" s="2"/>
      <c r="L634" s="2"/>
      <c r="M634" s="2"/>
      <c r="N634" s="2"/>
      <c r="O634" s="2"/>
      <c r="P634" s="2"/>
      <c r="Q634" s="2"/>
      <c r="R634" s="255"/>
      <c r="S634" s="3"/>
      <c r="T634" s="3"/>
      <c r="U634" s="3"/>
      <c r="V634" s="3"/>
      <c r="W634" s="3"/>
      <c r="X634" s="3"/>
      <c r="Y634" s="3"/>
      <c r="Z634" s="3"/>
    </row>
    <row r="635" ht="15.75" customHeight="1">
      <c r="A635" s="3"/>
      <c r="B635" s="2"/>
      <c r="C635" s="2"/>
      <c r="D635" s="2"/>
      <c r="E635" s="464"/>
      <c r="F635" s="2"/>
      <c r="G635" s="2"/>
      <c r="H635" s="2"/>
      <c r="I635" s="2"/>
      <c r="J635" s="2"/>
      <c r="K635" s="2"/>
      <c r="L635" s="2"/>
      <c r="M635" s="2"/>
      <c r="N635" s="2"/>
      <c r="O635" s="2"/>
      <c r="P635" s="2"/>
      <c r="Q635" s="2"/>
      <c r="R635" s="255"/>
      <c r="S635" s="3"/>
      <c r="T635" s="3"/>
      <c r="U635" s="3"/>
      <c r="V635" s="3"/>
      <c r="W635" s="3"/>
      <c r="X635" s="3"/>
      <c r="Y635" s="3"/>
      <c r="Z635" s="3"/>
    </row>
    <row r="636" ht="15.75" customHeight="1">
      <c r="A636" s="3"/>
      <c r="B636" s="2"/>
      <c r="C636" s="2"/>
      <c r="D636" s="2"/>
      <c r="E636" s="464"/>
      <c r="F636" s="2"/>
      <c r="G636" s="2"/>
      <c r="H636" s="2"/>
      <c r="I636" s="2"/>
      <c r="J636" s="2"/>
      <c r="K636" s="2"/>
      <c r="L636" s="2"/>
      <c r="M636" s="2"/>
      <c r="N636" s="2"/>
      <c r="O636" s="2"/>
      <c r="P636" s="2"/>
      <c r="Q636" s="2"/>
      <c r="R636" s="255"/>
      <c r="S636" s="3"/>
      <c r="T636" s="3"/>
      <c r="U636" s="3"/>
      <c r="V636" s="3"/>
      <c r="W636" s="3"/>
      <c r="X636" s="3"/>
      <c r="Y636" s="3"/>
      <c r="Z636" s="3"/>
    </row>
    <row r="637" ht="15.75" customHeight="1">
      <c r="A637" s="3"/>
      <c r="B637" s="2"/>
      <c r="C637" s="2"/>
      <c r="D637" s="2"/>
      <c r="E637" s="464"/>
      <c r="F637" s="2"/>
      <c r="G637" s="2"/>
      <c r="H637" s="2"/>
      <c r="I637" s="2"/>
      <c r="J637" s="2"/>
      <c r="K637" s="2"/>
      <c r="L637" s="2"/>
      <c r="M637" s="2"/>
      <c r="N637" s="2"/>
      <c r="O637" s="2"/>
      <c r="P637" s="2"/>
      <c r="Q637" s="2"/>
      <c r="R637" s="255"/>
      <c r="S637" s="3"/>
      <c r="T637" s="3"/>
      <c r="U637" s="3"/>
      <c r="V637" s="3"/>
      <c r="W637" s="3"/>
      <c r="X637" s="3"/>
      <c r="Y637" s="3"/>
      <c r="Z637" s="3"/>
    </row>
    <row r="638" ht="15.75" customHeight="1">
      <c r="A638" s="3"/>
      <c r="B638" s="2"/>
      <c r="C638" s="2"/>
      <c r="D638" s="2"/>
      <c r="E638" s="464"/>
      <c r="F638" s="2"/>
      <c r="G638" s="2"/>
      <c r="H638" s="2"/>
      <c r="I638" s="2"/>
      <c r="J638" s="2"/>
      <c r="K638" s="2"/>
      <c r="L638" s="2"/>
      <c r="M638" s="2"/>
      <c r="N638" s="2"/>
      <c r="O638" s="2"/>
      <c r="P638" s="2"/>
      <c r="Q638" s="2"/>
      <c r="R638" s="255"/>
      <c r="S638" s="3"/>
      <c r="T638" s="3"/>
      <c r="U638" s="3"/>
      <c r="V638" s="3"/>
      <c r="W638" s="3"/>
      <c r="X638" s="3"/>
      <c r="Y638" s="3"/>
      <c r="Z638" s="3"/>
    </row>
    <row r="639" ht="15.75" customHeight="1">
      <c r="A639" s="3"/>
      <c r="B639" s="2"/>
      <c r="C639" s="2"/>
      <c r="D639" s="2"/>
      <c r="E639" s="464"/>
      <c r="F639" s="2"/>
      <c r="G639" s="2"/>
      <c r="H639" s="2"/>
      <c r="I639" s="2"/>
      <c r="J639" s="2"/>
      <c r="K639" s="2"/>
      <c r="L639" s="2"/>
      <c r="M639" s="2"/>
      <c r="N639" s="2"/>
      <c r="O639" s="2"/>
      <c r="P639" s="2"/>
      <c r="Q639" s="2"/>
      <c r="R639" s="255"/>
      <c r="S639" s="3"/>
      <c r="T639" s="3"/>
      <c r="U639" s="3"/>
      <c r="V639" s="3"/>
      <c r="W639" s="3"/>
      <c r="X639" s="3"/>
      <c r="Y639" s="3"/>
      <c r="Z639" s="3"/>
    </row>
    <row r="640" ht="15.75" customHeight="1">
      <c r="A640" s="3"/>
      <c r="B640" s="2"/>
      <c r="C640" s="2"/>
      <c r="D640" s="2"/>
      <c r="E640" s="464"/>
      <c r="F640" s="2"/>
      <c r="G640" s="2"/>
      <c r="H640" s="2"/>
      <c r="I640" s="2"/>
      <c r="J640" s="2"/>
      <c r="K640" s="2"/>
      <c r="L640" s="2"/>
      <c r="M640" s="2"/>
      <c r="N640" s="2"/>
      <c r="O640" s="2"/>
      <c r="P640" s="2"/>
      <c r="Q640" s="2"/>
      <c r="R640" s="255"/>
      <c r="S640" s="3"/>
      <c r="T640" s="3"/>
      <c r="U640" s="3"/>
      <c r="V640" s="3"/>
      <c r="W640" s="3"/>
      <c r="X640" s="3"/>
      <c r="Y640" s="3"/>
      <c r="Z640" s="3"/>
    </row>
    <row r="641" ht="15.75" customHeight="1">
      <c r="A641" s="3"/>
      <c r="B641" s="2"/>
      <c r="C641" s="2"/>
      <c r="D641" s="2"/>
      <c r="E641" s="464"/>
      <c r="F641" s="2"/>
      <c r="G641" s="2"/>
      <c r="H641" s="2"/>
      <c r="I641" s="2"/>
      <c r="J641" s="2"/>
      <c r="K641" s="2"/>
      <c r="L641" s="2"/>
      <c r="M641" s="2"/>
      <c r="N641" s="2"/>
      <c r="O641" s="2"/>
      <c r="P641" s="2"/>
      <c r="Q641" s="2"/>
      <c r="R641" s="255"/>
      <c r="S641" s="3"/>
      <c r="T641" s="3"/>
      <c r="U641" s="3"/>
      <c r="V641" s="3"/>
      <c r="W641" s="3"/>
      <c r="X641" s="3"/>
      <c r="Y641" s="3"/>
      <c r="Z641" s="3"/>
    </row>
    <row r="642" ht="15.75" customHeight="1">
      <c r="A642" s="3"/>
      <c r="B642" s="2"/>
      <c r="C642" s="2"/>
      <c r="D642" s="2"/>
      <c r="E642" s="464"/>
      <c r="F642" s="2"/>
      <c r="G642" s="2"/>
      <c r="H642" s="2"/>
      <c r="I642" s="2"/>
      <c r="J642" s="2"/>
      <c r="K642" s="2"/>
      <c r="L642" s="2"/>
      <c r="M642" s="2"/>
      <c r="N642" s="2"/>
      <c r="O642" s="2"/>
      <c r="P642" s="2"/>
      <c r="Q642" s="2"/>
      <c r="R642" s="255"/>
      <c r="S642" s="3"/>
      <c r="T642" s="3"/>
      <c r="U642" s="3"/>
      <c r="V642" s="3"/>
      <c r="W642" s="3"/>
      <c r="X642" s="3"/>
      <c r="Y642" s="3"/>
      <c r="Z642" s="3"/>
    </row>
    <row r="643" ht="15.75" customHeight="1">
      <c r="A643" s="3"/>
      <c r="B643" s="2"/>
      <c r="C643" s="2"/>
      <c r="D643" s="2"/>
      <c r="E643" s="464"/>
      <c r="F643" s="2"/>
      <c r="G643" s="2"/>
      <c r="H643" s="2"/>
      <c r="I643" s="2"/>
      <c r="J643" s="2"/>
      <c r="K643" s="2"/>
      <c r="L643" s="2"/>
      <c r="M643" s="2"/>
      <c r="N643" s="2"/>
      <c r="O643" s="2"/>
      <c r="P643" s="2"/>
      <c r="Q643" s="2"/>
      <c r="R643" s="255"/>
      <c r="S643" s="3"/>
      <c r="T643" s="3"/>
      <c r="U643" s="3"/>
      <c r="V643" s="3"/>
      <c r="W643" s="3"/>
      <c r="X643" s="3"/>
      <c r="Y643" s="3"/>
      <c r="Z643" s="3"/>
    </row>
    <row r="644" ht="15.75" customHeight="1">
      <c r="A644" s="3"/>
      <c r="B644" s="2"/>
      <c r="C644" s="2"/>
      <c r="D644" s="2"/>
      <c r="E644" s="464"/>
      <c r="F644" s="2"/>
      <c r="G644" s="2"/>
      <c r="H644" s="2"/>
      <c r="I644" s="2"/>
      <c r="J644" s="2"/>
      <c r="K644" s="2"/>
      <c r="L644" s="2"/>
      <c r="M644" s="2"/>
      <c r="N644" s="2"/>
      <c r="O644" s="2"/>
      <c r="P644" s="2"/>
      <c r="Q644" s="2"/>
      <c r="R644" s="255"/>
      <c r="S644" s="3"/>
      <c r="T644" s="3"/>
      <c r="U644" s="3"/>
      <c r="V644" s="3"/>
      <c r="W644" s="3"/>
      <c r="X644" s="3"/>
      <c r="Y644" s="3"/>
      <c r="Z644" s="3"/>
    </row>
    <row r="645" ht="15.75" customHeight="1">
      <c r="A645" s="3"/>
      <c r="B645" s="2"/>
      <c r="C645" s="2"/>
      <c r="D645" s="2"/>
      <c r="E645" s="464"/>
      <c r="F645" s="2"/>
      <c r="G645" s="2"/>
      <c r="H645" s="2"/>
      <c r="I645" s="2"/>
      <c r="J645" s="2"/>
      <c r="K645" s="2"/>
      <c r="L645" s="2"/>
      <c r="M645" s="2"/>
      <c r="N645" s="2"/>
      <c r="O645" s="2"/>
      <c r="P645" s="2"/>
      <c r="Q645" s="2"/>
      <c r="R645" s="255"/>
      <c r="S645" s="3"/>
      <c r="T645" s="3"/>
      <c r="U645" s="3"/>
      <c r="V645" s="3"/>
      <c r="W645" s="3"/>
      <c r="X645" s="3"/>
      <c r="Y645" s="3"/>
      <c r="Z645" s="3"/>
    </row>
    <row r="646" ht="15.75" customHeight="1">
      <c r="A646" s="3"/>
      <c r="B646" s="2"/>
      <c r="C646" s="2"/>
      <c r="D646" s="2"/>
      <c r="E646" s="464"/>
      <c r="F646" s="2"/>
      <c r="G646" s="2"/>
      <c r="H646" s="2"/>
      <c r="I646" s="2"/>
      <c r="J646" s="2"/>
      <c r="K646" s="2"/>
      <c r="L646" s="2"/>
      <c r="M646" s="2"/>
      <c r="N646" s="2"/>
      <c r="O646" s="2"/>
      <c r="P646" s="2"/>
      <c r="Q646" s="2"/>
      <c r="R646" s="255"/>
      <c r="S646" s="3"/>
      <c r="T646" s="3"/>
      <c r="U646" s="3"/>
      <c r="V646" s="3"/>
      <c r="W646" s="3"/>
      <c r="X646" s="3"/>
      <c r="Y646" s="3"/>
      <c r="Z646" s="3"/>
    </row>
    <row r="647" ht="15.75" customHeight="1">
      <c r="A647" s="3"/>
      <c r="B647" s="2"/>
      <c r="C647" s="2"/>
      <c r="D647" s="2"/>
      <c r="E647" s="464"/>
      <c r="F647" s="2"/>
      <c r="G647" s="2"/>
      <c r="H647" s="2"/>
      <c r="I647" s="2"/>
      <c r="J647" s="2"/>
      <c r="K647" s="2"/>
      <c r="L647" s="2"/>
      <c r="M647" s="2"/>
      <c r="N647" s="2"/>
      <c r="O647" s="2"/>
      <c r="P647" s="2"/>
      <c r="Q647" s="2"/>
      <c r="R647" s="255"/>
      <c r="S647" s="3"/>
      <c r="T647" s="3"/>
      <c r="U647" s="3"/>
      <c r="V647" s="3"/>
      <c r="W647" s="3"/>
      <c r="X647" s="3"/>
      <c r="Y647" s="3"/>
      <c r="Z647" s="3"/>
    </row>
    <row r="648" ht="15.75" customHeight="1">
      <c r="A648" s="3"/>
      <c r="B648" s="2"/>
      <c r="C648" s="2"/>
      <c r="D648" s="2"/>
      <c r="E648" s="464"/>
      <c r="F648" s="2"/>
      <c r="G648" s="2"/>
      <c r="H648" s="2"/>
      <c r="I648" s="2"/>
      <c r="J648" s="2"/>
      <c r="K648" s="2"/>
      <c r="L648" s="2"/>
      <c r="M648" s="2"/>
      <c r="N648" s="2"/>
      <c r="O648" s="2"/>
      <c r="P648" s="2"/>
      <c r="Q648" s="2"/>
      <c r="R648" s="255"/>
      <c r="S648" s="3"/>
      <c r="T648" s="3"/>
      <c r="U648" s="3"/>
      <c r="V648" s="3"/>
      <c r="W648" s="3"/>
      <c r="X648" s="3"/>
      <c r="Y648" s="3"/>
      <c r="Z648" s="3"/>
    </row>
    <row r="649" ht="15.75" customHeight="1">
      <c r="A649" s="3"/>
      <c r="B649" s="2"/>
      <c r="C649" s="2"/>
      <c r="D649" s="2"/>
      <c r="E649" s="464"/>
      <c r="F649" s="2"/>
      <c r="G649" s="2"/>
      <c r="H649" s="2"/>
      <c r="I649" s="2"/>
      <c r="J649" s="2"/>
      <c r="K649" s="2"/>
      <c r="L649" s="2"/>
      <c r="M649" s="2"/>
      <c r="N649" s="2"/>
      <c r="O649" s="2"/>
      <c r="P649" s="2"/>
      <c r="Q649" s="2"/>
      <c r="R649" s="255"/>
      <c r="S649" s="3"/>
      <c r="T649" s="3"/>
      <c r="U649" s="3"/>
      <c r="V649" s="3"/>
      <c r="W649" s="3"/>
      <c r="X649" s="3"/>
      <c r="Y649" s="3"/>
      <c r="Z649" s="3"/>
    </row>
    <row r="650" ht="15.75" customHeight="1">
      <c r="A650" s="3"/>
      <c r="B650" s="2"/>
      <c r="C650" s="2"/>
      <c r="D650" s="2"/>
      <c r="E650" s="464"/>
      <c r="F650" s="2"/>
      <c r="G650" s="2"/>
      <c r="H650" s="2"/>
      <c r="I650" s="2"/>
      <c r="J650" s="2"/>
      <c r="K650" s="2"/>
      <c r="L650" s="2"/>
      <c r="M650" s="2"/>
      <c r="N650" s="2"/>
      <c r="O650" s="2"/>
      <c r="P650" s="2"/>
      <c r="Q650" s="2"/>
      <c r="R650" s="255"/>
      <c r="S650" s="3"/>
      <c r="T650" s="3"/>
      <c r="U650" s="3"/>
      <c r="V650" s="3"/>
      <c r="W650" s="3"/>
      <c r="X650" s="3"/>
      <c r="Y650" s="3"/>
      <c r="Z650" s="3"/>
    </row>
    <row r="651" ht="15.75" customHeight="1">
      <c r="A651" s="3"/>
      <c r="B651" s="2"/>
      <c r="C651" s="2"/>
      <c r="D651" s="2"/>
      <c r="E651" s="464"/>
      <c r="F651" s="2"/>
      <c r="G651" s="2"/>
      <c r="H651" s="2"/>
      <c r="I651" s="2"/>
      <c r="J651" s="2"/>
      <c r="K651" s="2"/>
      <c r="L651" s="2"/>
      <c r="M651" s="2"/>
      <c r="N651" s="2"/>
      <c r="O651" s="2"/>
      <c r="P651" s="2"/>
      <c r="Q651" s="2"/>
      <c r="R651" s="255"/>
      <c r="S651" s="3"/>
      <c r="T651" s="3"/>
      <c r="U651" s="3"/>
      <c r="V651" s="3"/>
      <c r="W651" s="3"/>
      <c r="X651" s="3"/>
      <c r="Y651" s="3"/>
      <c r="Z651" s="3"/>
    </row>
    <row r="652" ht="15.75" customHeight="1">
      <c r="A652" s="3"/>
      <c r="B652" s="2"/>
      <c r="C652" s="2"/>
      <c r="D652" s="2"/>
      <c r="E652" s="464"/>
      <c r="F652" s="2"/>
      <c r="G652" s="2"/>
      <c r="H652" s="2"/>
      <c r="I652" s="2"/>
      <c r="J652" s="2"/>
      <c r="K652" s="2"/>
      <c r="L652" s="2"/>
      <c r="M652" s="2"/>
      <c r="N652" s="2"/>
      <c r="O652" s="2"/>
      <c r="P652" s="2"/>
      <c r="Q652" s="2"/>
      <c r="R652" s="255"/>
      <c r="S652" s="3"/>
      <c r="T652" s="3"/>
      <c r="U652" s="3"/>
      <c r="V652" s="3"/>
      <c r="W652" s="3"/>
      <c r="X652" s="3"/>
      <c r="Y652" s="3"/>
      <c r="Z652" s="3"/>
    </row>
    <row r="653" ht="15.75" customHeight="1">
      <c r="A653" s="3"/>
      <c r="B653" s="2"/>
      <c r="C653" s="2"/>
      <c r="D653" s="2"/>
      <c r="E653" s="464"/>
      <c r="F653" s="2"/>
      <c r="G653" s="2"/>
      <c r="H653" s="2"/>
      <c r="I653" s="2"/>
      <c r="J653" s="2"/>
      <c r="K653" s="2"/>
      <c r="L653" s="2"/>
      <c r="M653" s="2"/>
      <c r="N653" s="2"/>
      <c r="O653" s="2"/>
      <c r="P653" s="2"/>
      <c r="Q653" s="2"/>
      <c r="R653" s="255"/>
      <c r="S653" s="3"/>
      <c r="T653" s="3"/>
      <c r="U653" s="3"/>
      <c r="V653" s="3"/>
      <c r="W653" s="3"/>
      <c r="X653" s="3"/>
      <c r="Y653" s="3"/>
      <c r="Z653" s="3"/>
    </row>
    <row r="654" ht="15.75" customHeight="1">
      <c r="A654" s="3"/>
      <c r="B654" s="2"/>
      <c r="C654" s="2"/>
      <c r="D654" s="2"/>
      <c r="E654" s="464"/>
      <c r="F654" s="2"/>
      <c r="G654" s="2"/>
      <c r="H654" s="2"/>
      <c r="I654" s="2"/>
      <c r="J654" s="2"/>
      <c r="K654" s="2"/>
      <c r="L654" s="2"/>
      <c r="M654" s="2"/>
      <c r="N654" s="2"/>
      <c r="O654" s="2"/>
      <c r="P654" s="2"/>
      <c r="Q654" s="2"/>
      <c r="R654" s="255"/>
      <c r="S654" s="3"/>
      <c r="T654" s="3"/>
      <c r="U654" s="3"/>
      <c r="V654" s="3"/>
      <c r="W654" s="3"/>
      <c r="X654" s="3"/>
      <c r="Y654" s="3"/>
      <c r="Z654" s="3"/>
    </row>
    <row r="655" ht="15.75" customHeight="1">
      <c r="A655" s="3"/>
      <c r="B655" s="2"/>
      <c r="C655" s="2"/>
      <c r="D655" s="2"/>
      <c r="E655" s="464"/>
      <c r="F655" s="2"/>
      <c r="G655" s="2"/>
      <c r="H655" s="2"/>
      <c r="I655" s="2"/>
      <c r="J655" s="2"/>
      <c r="K655" s="2"/>
      <c r="L655" s="2"/>
      <c r="M655" s="2"/>
      <c r="N655" s="2"/>
      <c r="O655" s="2"/>
      <c r="P655" s="2"/>
      <c r="Q655" s="2"/>
      <c r="R655" s="255"/>
      <c r="S655" s="3"/>
      <c r="T655" s="3"/>
      <c r="U655" s="3"/>
      <c r="V655" s="3"/>
      <c r="W655" s="3"/>
      <c r="X655" s="3"/>
      <c r="Y655" s="3"/>
      <c r="Z655" s="3"/>
    </row>
    <row r="656" ht="15.75" customHeight="1">
      <c r="A656" s="3"/>
      <c r="B656" s="2"/>
      <c r="C656" s="2"/>
      <c r="D656" s="2"/>
      <c r="E656" s="464"/>
      <c r="F656" s="2"/>
      <c r="G656" s="2"/>
      <c r="H656" s="2"/>
      <c r="I656" s="2"/>
      <c r="J656" s="2"/>
      <c r="K656" s="2"/>
      <c r="L656" s="2"/>
      <c r="M656" s="2"/>
      <c r="N656" s="2"/>
      <c r="O656" s="2"/>
      <c r="P656" s="2"/>
      <c r="Q656" s="2"/>
      <c r="R656" s="255"/>
      <c r="S656" s="3"/>
      <c r="T656" s="3"/>
      <c r="U656" s="3"/>
      <c r="V656" s="3"/>
      <c r="W656" s="3"/>
      <c r="X656" s="3"/>
      <c r="Y656" s="3"/>
      <c r="Z656" s="3"/>
    </row>
    <row r="657" ht="15.75" customHeight="1">
      <c r="A657" s="3"/>
      <c r="B657" s="2"/>
      <c r="C657" s="2"/>
      <c r="D657" s="2"/>
      <c r="E657" s="464"/>
      <c r="F657" s="2"/>
      <c r="G657" s="2"/>
      <c r="H657" s="2"/>
      <c r="I657" s="2"/>
      <c r="J657" s="2"/>
      <c r="K657" s="2"/>
      <c r="L657" s="2"/>
      <c r="M657" s="2"/>
      <c r="N657" s="2"/>
      <c r="O657" s="2"/>
      <c r="P657" s="2"/>
      <c r="Q657" s="2"/>
      <c r="R657" s="255"/>
      <c r="S657" s="3"/>
      <c r="T657" s="3"/>
      <c r="U657" s="3"/>
      <c r="V657" s="3"/>
      <c r="W657" s="3"/>
      <c r="X657" s="3"/>
      <c r="Y657" s="3"/>
      <c r="Z657" s="3"/>
    </row>
    <row r="658" ht="15.75" customHeight="1">
      <c r="A658" s="3"/>
      <c r="B658" s="2"/>
      <c r="C658" s="2"/>
      <c r="D658" s="2"/>
      <c r="E658" s="464"/>
      <c r="F658" s="2"/>
      <c r="G658" s="2"/>
      <c r="H658" s="2"/>
      <c r="I658" s="2"/>
      <c r="J658" s="2"/>
      <c r="K658" s="2"/>
      <c r="L658" s="2"/>
      <c r="M658" s="2"/>
      <c r="N658" s="2"/>
      <c r="O658" s="2"/>
      <c r="P658" s="2"/>
      <c r="Q658" s="2"/>
      <c r="R658" s="255"/>
      <c r="S658" s="3"/>
      <c r="T658" s="3"/>
      <c r="U658" s="3"/>
      <c r="V658" s="3"/>
      <c r="W658" s="3"/>
      <c r="X658" s="3"/>
      <c r="Y658" s="3"/>
      <c r="Z658" s="3"/>
    </row>
    <row r="659" ht="15.75" customHeight="1">
      <c r="A659" s="3"/>
      <c r="B659" s="2"/>
      <c r="C659" s="2"/>
      <c r="D659" s="2"/>
      <c r="E659" s="464"/>
      <c r="F659" s="2"/>
      <c r="G659" s="2"/>
      <c r="H659" s="2"/>
      <c r="I659" s="2"/>
      <c r="J659" s="2"/>
      <c r="K659" s="2"/>
      <c r="L659" s="2"/>
      <c r="M659" s="2"/>
      <c r="N659" s="2"/>
      <c r="O659" s="2"/>
      <c r="P659" s="2"/>
      <c r="Q659" s="2"/>
      <c r="R659" s="255"/>
      <c r="S659" s="3"/>
      <c r="T659" s="3"/>
      <c r="U659" s="3"/>
      <c r="V659" s="3"/>
      <c r="W659" s="3"/>
      <c r="X659" s="3"/>
      <c r="Y659" s="3"/>
      <c r="Z659" s="3"/>
    </row>
    <row r="660" ht="15.75" customHeight="1">
      <c r="A660" s="3"/>
      <c r="B660" s="2"/>
      <c r="C660" s="2"/>
      <c r="D660" s="2"/>
      <c r="E660" s="464"/>
      <c r="F660" s="2"/>
      <c r="G660" s="2"/>
      <c r="H660" s="2"/>
      <c r="I660" s="2"/>
      <c r="J660" s="2"/>
      <c r="K660" s="2"/>
      <c r="L660" s="2"/>
      <c r="M660" s="2"/>
      <c r="N660" s="2"/>
      <c r="O660" s="2"/>
      <c r="P660" s="2"/>
      <c r="Q660" s="2"/>
      <c r="R660" s="255"/>
      <c r="S660" s="3"/>
      <c r="T660" s="3"/>
      <c r="U660" s="3"/>
      <c r="V660" s="3"/>
      <c r="W660" s="3"/>
      <c r="X660" s="3"/>
      <c r="Y660" s="3"/>
      <c r="Z660" s="3"/>
    </row>
    <row r="661" ht="15.75" customHeight="1">
      <c r="A661" s="3"/>
      <c r="B661" s="2"/>
      <c r="C661" s="2"/>
      <c r="D661" s="2"/>
      <c r="E661" s="464"/>
      <c r="F661" s="2"/>
      <c r="G661" s="2"/>
      <c r="H661" s="2"/>
      <c r="I661" s="2"/>
      <c r="J661" s="2"/>
      <c r="K661" s="2"/>
      <c r="L661" s="2"/>
      <c r="M661" s="2"/>
      <c r="N661" s="2"/>
      <c r="O661" s="2"/>
      <c r="P661" s="2"/>
      <c r="Q661" s="2"/>
      <c r="R661" s="255"/>
      <c r="S661" s="3"/>
      <c r="T661" s="3"/>
      <c r="U661" s="3"/>
      <c r="V661" s="3"/>
      <c r="W661" s="3"/>
      <c r="X661" s="3"/>
      <c r="Y661" s="3"/>
      <c r="Z661" s="3"/>
    </row>
    <row r="662" ht="15.75" customHeight="1">
      <c r="A662" s="3"/>
      <c r="B662" s="2"/>
      <c r="C662" s="2"/>
      <c r="D662" s="2"/>
      <c r="E662" s="464"/>
      <c r="F662" s="2"/>
      <c r="G662" s="2"/>
      <c r="H662" s="2"/>
      <c r="I662" s="2"/>
      <c r="J662" s="2"/>
      <c r="K662" s="2"/>
      <c r="L662" s="2"/>
      <c r="M662" s="2"/>
      <c r="N662" s="2"/>
      <c r="O662" s="2"/>
      <c r="P662" s="2"/>
      <c r="Q662" s="2"/>
      <c r="R662" s="255"/>
      <c r="S662" s="3"/>
      <c r="T662" s="3"/>
      <c r="U662" s="3"/>
      <c r="V662" s="3"/>
      <c r="W662" s="3"/>
      <c r="X662" s="3"/>
      <c r="Y662" s="3"/>
      <c r="Z662" s="3"/>
    </row>
    <row r="663" ht="15.75" customHeight="1">
      <c r="A663" s="3"/>
      <c r="B663" s="2"/>
      <c r="C663" s="2"/>
      <c r="D663" s="2"/>
      <c r="E663" s="464"/>
      <c r="F663" s="2"/>
      <c r="G663" s="2"/>
      <c r="H663" s="2"/>
      <c r="I663" s="2"/>
      <c r="J663" s="2"/>
      <c r="K663" s="2"/>
      <c r="L663" s="2"/>
      <c r="M663" s="2"/>
      <c r="N663" s="2"/>
      <c r="O663" s="2"/>
      <c r="P663" s="2"/>
      <c r="Q663" s="2"/>
      <c r="R663" s="255"/>
      <c r="S663" s="3"/>
      <c r="T663" s="3"/>
      <c r="U663" s="3"/>
      <c r="V663" s="3"/>
      <c r="W663" s="3"/>
      <c r="X663" s="3"/>
      <c r="Y663" s="3"/>
      <c r="Z663" s="3"/>
    </row>
    <row r="664" ht="15.75" customHeight="1">
      <c r="A664" s="3"/>
      <c r="B664" s="2"/>
      <c r="C664" s="2"/>
      <c r="D664" s="2"/>
      <c r="E664" s="464"/>
      <c r="F664" s="2"/>
      <c r="G664" s="2"/>
      <c r="H664" s="2"/>
      <c r="I664" s="2"/>
      <c r="J664" s="2"/>
      <c r="K664" s="2"/>
      <c r="L664" s="2"/>
      <c r="M664" s="2"/>
      <c r="N664" s="2"/>
      <c r="O664" s="2"/>
      <c r="P664" s="2"/>
      <c r="Q664" s="2"/>
      <c r="R664" s="255"/>
      <c r="S664" s="3"/>
      <c r="T664" s="3"/>
      <c r="U664" s="3"/>
      <c r="V664" s="3"/>
      <c r="W664" s="3"/>
      <c r="X664" s="3"/>
      <c r="Y664" s="3"/>
      <c r="Z664" s="3"/>
    </row>
    <row r="665" ht="15.75" customHeight="1">
      <c r="A665" s="3"/>
      <c r="B665" s="2"/>
      <c r="C665" s="2"/>
      <c r="D665" s="2"/>
      <c r="E665" s="464"/>
      <c r="F665" s="2"/>
      <c r="G665" s="2"/>
      <c r="H665" s="2"/>
      <c r="I665" s="2"/>
      <c r="J665" s="2"/>
      <c r="K665" s="2"/>
      <c r="L665" s="2"/>
      <c r="M665" s="2"/>
      <c r="N665" s="2"/>
      <c r="O665" s="2"/>
      <c r="P665" s="2"/>
      <c r="Q665" s="2"/>
      <c r="R665" s="255"/>
      <c r="S665" s="3"/>
      <c r="T665" s="3"/>
      <c r="U665" s="3"/>
      <c r="V665" s="3"/>
      <c r="W665" s="3"/>
      <c r="X665" s="3"/>
      <c r="Y665" s="3"/>
      <c r="Z665" s="3"/>
    </row>
    <row r="666" ht="15.75" customHeight="1">
      <c r="A666" s="3"/>
      <c r="B666" s="2"/>
      <c r="C666" s="2"/>
      <c r="D666" s="2"/>
      <c r="E666" s="464"/>
      <c r="F666" s="2"/>
      <c r="G666" s="2"/>
      <c r="H666" s="2"/>
      <c r="I666" s="2"/>
      <c r="J666" s="2"/>
      <c r="K666" s="2"/>
      <c r="L666" s="2"/>
      <c r="M666" s="2"/>
      <c r="N666" s="2"/>
      <c r="O666" s="2"/>
      <c r="P666" s="2"/>
      <c r="Q666" s="2"/>
      <c r="R666" s="255"/>
      <c r="S666" s="3"/>
      <c r="T666" s="3"/>
      <c r="U666" s="3"/>
      <c r="V666" s="3"/>
      <c r="W666" s="3"/>
      <c r="X666" s="3"/>
      <c r="Y666" s="3"/>
      <c r="Z666" s="3"/>
    </row>
    <row r="667" ht="15.75" customHeight="1">
      <c r="A667" s="3"/>
      <c r="B667" s="2"/>
      <c r="C667" s="2"/>
      <c r="D667" s="2"/>
      <c r="E667" s="464"/>
      <c r="F667" s="2"/>
      <c r="G667" s="2"/>
      <c r="H667" s="2"/>
      <c r="I667" s="2"/>
      <c r="J667" s="2"/>
      <c r="K667" s="2"/>
      <c r="L667" s="2"/>
      <c r="M667" s="2"/>
      <c r="N667" s="2"/>
      <c r="O667" s="2"/>
      <c r="P667" s="2"/>
      <c r="Q667" s="2"/>
      <c r="R667" s="255"/>
      <c r="S667" s="3"/>
      <c r="T667" s="3"/>
      <c r="U667" s="3"/>
      <c r="V667" s="3"/>
      <c r="W667" s="3"/>
      <c r="X667" s="3"/>
      <c r="Y667" s="3"/>
      <c r="Z667" s="3"/>
    </row>
    <row r="668" ht="15.75" customHeight="1">
      <c r="A668" s="3"/>
      <c r="B668" s="2"/>
      <c r="C668" s="2"/>
      <c r="D668" s="2"/>
      <c r="E668" s="464"/>
      <c r="F668" s="2"/>
      <c r="G668" s="2"/>
      <c r="H668" s="2"/>
      <c r="I668" s="2"/>
      <c r="J668" s="2"/>
      <c r="K668" s="2"/>
      <c r="L668" s="2"/>
      <c r="M668" s="2"/>
      <c r="N668" s="2"/>
      <c r="O668" s="2"/>
      <c r="P668" s="2"/>
      <c r="Q668" s="2"/>
      <c r="R668" s="255"/>
      <c r="S668" s="3"/>
      <c r="T668" s="3"/>
      <c r="U668" s="3"/>
      <c r="V668" s="3"/>
      <c r="W668" s="3"/>
      <c r="X668" s="3"/>
      <c r="Y668" s="3"/>
      <c r="Z668" s="3"/>
    </row>
    <row r="669" ht="15.75" customHeight="1">
      <c r="A669" s="3"/>
      <c r="B669" s="2"/>
      <c r="C669" s="2"/>
      <c r="D669" s="2"/>
      <c r="E669" s="464"/>
      <c r="F669" s="2"/>
      <c r="G669" s="2"/>
      <c r="H669" s="2"/>
      <c r="I669" s="2"/>
      <c r="J669" s="2"/>
      <c r="K669" s="2"/>
      <c r="L669" s="2"/>
      <c r="M669" s="2"/>
      <c r="N669" s="2"/>
      <c r="O669" s="2"/>
      <c r="P669" s="2"/>
      <c r="Q669" s="2"/>
      <c r="R669" s="255"/>
      <c r="S669" s="3"/>
      <c r="T669" s="3"/>
      <c r="U669" s="3"/>
      <c r="V669" s="3"/>
      <c r="W669" s="3"/>
      <c r="X669" s="3"/>
      <c r="Y669" s="3"/>
      <c r="Z669" s="3"/>
    </row>
    <row r="670" ht="15.75" customHeight="1">
      <c r="A670" s="3"/>
      <c r="B670" s="2"/>
      <c r="C670" s="2"/>
      <c r="D670" s="2"/>
      <c r="E670" s="464"/>
      <c r="F670" s="2"/>
      <c r="G670" s="2"/>
      <c r="H670" s="2"/>
      <c r="I670" s="2"/>
      <c r="J670" s="2"/>
      <c r="K670" s="2"/>
      <c r="L670" s="2"/>
      <c r="M670" s="2"/>
      <c r="N670" s="2"/>
      <c r="O670" s="2"/>
      <c r="P670" s="2"/>
      <c r="Q670" s="2"/>
      <c r="R670" s="255"/>
      <c r="S670" s="3"/>
      <c r="T670" s="3"/>
      <c r="U670" s="3"/>
      <c r="V670" s="3"/>
      <c r="W670" s="3"/>
      <c r="X670" s="3"/>
      <c r="Y670" s="3"/>
      <c r="Z670" s="3"/>
    </row>
    <row r="671" ht="15.75" customHeight="1">
      <c r="A671" s="3"/>
      <c r="B671" s="2"/>
      <c r="C671" s="2"/>
      <c r="D671" s="2"/>
      <c r="E671" s="464"/>
      <c r="F671" s="2"/>
      <c r="G671" s="2"/>
      <c r="H671" s="2"/>
      <c r="I671" s="2"/>
      <c r="J671" s="2"/>
      <c r="K671" s="2"/>
      <c r="L671" s="2"/>
      <c r="M671" s="2"/>
      <c r="N671" s="2"/>
      <c r="O671" s="2"/>
      <c r="P671" s="2"/>
      <c r="Q671" s="2"/>
      <c r="R671" s="255"/>
      <c r="S671" s="3"/>
      <c r="T671" s="3"/>
      <c r="U671" s="3"/>
      <c r="V671" s="3"/>
      <c r="W671" s="3"/>
      <c r="X671" s="3"/>
      <c r="Y671" s="3"/>
      <c r="Z671" s="3"/>
    </row>
    <row r="672" ht="15.75" customHeight="1">
      <c r="A672" s="3"/>
      <c r="B672" s="2"/>
      <c r="C672" s="2"/>
      <c r="D672" s="2"/>
      <c r="E672" s="464"/>
      <c r="F672" s="2"/>
      <c r="G672" s="2"/>
      <c r="H672" s="2"/>
      <c r="I672" s="2"/>
      <c r="J672" s="2"/>
      <c r="K672" s="2"/>
      <c r="L672" s="2"/>
      <c r="M672" s="2"/>
      <c r="N672" s="2"/>
      <c r="O672" s="2"/>
      <c r="P672" s="2"/>
      <c r="Q672" s="2"/>
      <c r="R672" s="255"/>
      <c r="S672" s="3"/>
      <c r="T672" s="3"/>
      <c r="U672" s="3"/>
      <c r="V672" s="3"/>
      <c r="W672" s="3"/>
      <c r="X672" s="3"/>
      <c r="Y672" s="3"/>
      <c r="Z672" s="3"/>
    </row>
    <row r="673" ht="15.75" customHeight="1">
      <c r="A673" s="3"/>
      <c r="B673" s="2"/>
      <c r="C673" s="2"/>
      <c r="D673" s="2"/>
      <c r="E673" s="464"/>
      <c r="F673" s="2"/>
      <c r="G673" s="2"/>
      <c r="H673" s="2"/>
      <c r="I673" s="2"/>
      <c r="J673" s="2"/>
      <c r="K673" s="2"/>
      <c r="L673" s="2"/>
      <c r="M673" s="2"/>
      <c r="N673" s="2"/>
      <c r="O673" s="2"/>
      <c r="P673" s="2"/>
      <c r="Q673" s="2"/>
      <c r="R673" s="255"/>
      <c r="S673" s="3"/>
      <c r="T673" s="3"/>
      <c r="U673" s="3"/>
      <c r="V673" s="3"/>
      <c r="W673" s="3"/>
      <c r="X673" s="3"/>
      <c r="Y673" s="3"/>
      <c r="Z673" s="3"/>
    </row>
    <row r="674" ht="15.75" customHeight="1">
      <c r="A674" s="3"/>
      <c r="B674" s="2"/>
      <c r="C674" s="2"/>
      <c r="D674" s="2"/>
      <c r="E674" s="464"/>
      <c r="F674" s="2"/>
      <c r="G674" s="2"/>
      <c r="H674" s="2"/>
      <c r="I674" s="2"/>
      <c r="J674" s="2"/>
      <c r="K674" s="2"/>
      <c r="L674" s="2"/>
      <c r="M674" s="2"/>
      <c r="N674" s="2"/>
      <c r="O674" s="2"/>
      <c r="P674" s="2"/>
      <c r="Q674" s="2"/>
      <c r="R674" s="255"/>
      <c r="S674" s="3"/>
      <c r="T674" s="3"/>
      <c r="U674" s="3"/>
      <c r="V674" s="3"/>
      <c r="W674" s="3"/>
      <c r="X674" s="3"/>
      <c r="Y674" s="3"/>
      <c r="Z674" s="3"/>
    </row>
    <row r="675" ht="15.75" customHeight="1">
      <c r="A675" s="3"/>
      <c r="B675" s="2"/>
      <c r="C675" s="2"/>
      <c r="D675" s="2"/>
      <c r="E675" s="464"/>
      <c r="F675" s="2"/>
      <c r="G675" s="2"/>
      <c r="H675" s="2"/>
      <c r="I675" s="2"/>
      <c r="J675" s="2"/>
      <c r="K675" s="2"/>
      <c r="L675" s="2"/>
      <c r="M675" s="2"/>
      <c r="N675" s="2"/>
      <c r="O675" s="2"/>
      <c r="P675" s="2"/>
      <c r="Q675" s="2"/>
      <c r="R675" s="255"/>
      <c r="S675" s="3"/>
      <c r="T675" s="3"/>
      <c r="U675" s="3"/>
      <c r="V675" s="3"/>
      <c r="W675" s="3"/>
      <c r="X675" s="3"/>
      <c r="Y675" s="3"/>
      <c r="Z675" s="3"/>
    </row>
    <row r="676" ht="15.75" customHeight="1">
      <c r="A676" s="3"/>
      <c r="B676" s="2"/>
      <c r="C676" s="2"/>
      <c r="D676" s="2"/>
      <c r="E676" s="464"/>
      <c r="F676" s="2"/>
      <c r="G676" s="2"/>
      <c r="H676" s="2"/>
      <c r="I676" s="2"/>
      <c r="J676" s="2"/>
      <c r="K676" s="2"/>
      <c r="L676" s="2"/>
      <c r="M676" s="2"/>
      <c r="N676" s="2"/>
      <c r="O676" s="2"/>
      <c r="P676" s="2"/>
      <c r="Q676" s="2"/>
      <c r="R676" s="255"/>
      <c r="S676" s="3"/>
      <c r="T676" s="3"/>
      <c r="U676" s="3"/>
      <c r="V676" s="3"/>
      <c r="W676" s="3"/>
      <c r="X676" s="3"/>
      <c r="Y676" s="3"/>
      <c r="Z676" s="3"/>
    </row>
    <row r="677" ht="15.75" customHeight="1">
      <c r="A677" s="3"/>
      <c r="B677" s="2"/>
      <c r="C677" s="2"/>
      <c r="D677" s="2"/>
      <c r="E677" s="464"/>
      <c r="F677" s="2"/>
      <c r="G677" s="2"/>
      <c r="H677" s="2"/>
      <c r="I677" s="2"/>
      <c r="J677" s="2"/>
      <c r="K677" s="2"/>
      <c r="L677" s="2"/>
      <c r="M677" s="2"/>
      <c r="N677" s="2"/>
      <c r="O677" s="2"/>
      <c r="P677" s="2"/>
      <c r="Q677" s="2"/>
      <c r="R677" s="255"/>
      <c r="S677" s="3"/>
      <c r="T677" s="3"/>
      <c r="U677" s="3"/>
      <c r="V677" s="3"/>
      <c r="W677" s="3"/>
      <c r="X677" s="3"/>
      <c r="Y677" s="3"/>
      <c r="Z677" s="3"/>
    </row>
    <row r="678" ht="15.75" customHeight="1">
      <c r="A678" s="3"/>
      <c r="B678" s="2"/>
      <c r="C678" s="2"/>
      <c r="D678" s="2"/>
      <c r="E678" s="464"/>
      <c r="F678" s="2"/>
      <c r="G678" s="2"/>
      <c r="H678" s="2"/>
      <c r="I678" s="2"/>
      <c r="J678" s="2"/>
      <c r="K678" s="2"/>
      <c r="L678" s="2"/>
      <c r="M678" s="2"/>
      <c r="N678" s="2"/>
      <c r="O678" s="2"/>
      <c r="P678" s="2"/>
      <c r="Q678" s="2"/>
      <c r="R678" s="255"/>
      <c r="S678" s="3"/>
      <c r="T678" s="3"/>
      <c r="U678" s="3"/>
      <c r="V678" s="3"/>
      <c r="W678" s="3"/>
      <c r="X678" s="3"/>
      <c r="Y678" s="3"/>
      <c r="Z678" s="3"/>
    </row>
    <row r="679" ht="15.75" customHeight="1">
      <c r="A679" s="3"/>
      <c r="B679" s="2"/>
      <c r="C679" s="2"/>
      <c r="D679" s="2"/>
      <c r="E679" s="464"/>
      <c r="F679" s="2"/>
      <c r="G679" s="2"/>
      <c r="H679" s="2"/>
      <c r="I679" s="2"/>
      <c r="J679" s="2"/>
      <c r="K679" s="2"/>
      <c r="L679" s="2"/>
      <c r="M679" s="2"/>
      <c r="N679" s="2"/>
      <c r="O679" s="2"/>
      <c r="P679" s="2"/>
      <c r="Q679" s="2"/>
      <c r="R679" s="255"/>
      <c r="S679" s="3"/>
      <c r="T679" s="3"/>
      <c r="U679" s="3"/>
      <c r="V679" s="3"/>
      <c r="W679" s="3"/>
      <c r="X679" s="3"/>
      <c r="Y679" s="3"/>
      <c r="Z679" s="3"/>
    </row>
    <row r="680" ht="15.75" customHeight="1">
      <c r="A680" s="3"/>
      <c r="B680" s="2"/>
      <c r="C680" s="2"/>
      <c r="D680" s="2"/>
      <c r="E680" s="464"/>
      <c r="F680" s="2"/>
      <c r="G680" s="2"/>
      <c r="H680" s="2"/>
      <c r="I680" s="2"/>
      <c r="J680" s="2"/>
      <c r="K680" s="2"/>
      <c r="L680" s="2"/>
      <c r="M680" s="2"/>
      <c r="N680" s="2"/>
      <c r="O680" s="2"/>
      <c r="P680" s="2"/>
      <c r="Q680" s="2"/>
      <c r="R680" s="255"/>
      <c r="S680" s="3"/>
      <c r="T680" s="3"/>
      <c r="U680" s="3"/>
      <c r="V680" s="3"/>
      <c r="W680" s="3"/>
      <c r="X680" s="3"/>
      <c r="Y680" s="3"/>
      <c r="Z680" s="3"/>
    </row>
    <row r="681" ht="15.75" customHeight="1">
      <c r="A681" s="3"/>
      <c r="B681" s="2"/>
      <c r="C681" s="2"/>
      <c r="D681" s="2"/>
      <c r="E681" s="464"/>
      <c r="F681" s="2"/>
      <c r="G681" s="2"/>
      <c r="H681" s="2"/>
      <c r="I681" s="2"/>
      <c r="J681" s="2"/>
      <c r="K681" s="2"/>
      <c r="L681" s="2"/>
      <c r="M681" s="2"/>
      <c r="N681" s="2"/>
      <c r="O681" s="2"/>
      <c r="P681" s="2"/>
      <c r="Q681" s="2"/>
      <c r="R681" s="255"/>
      <c r="S681" s="3"/>
      <c r="T681" s="3"/>
      <c r="U681" s="3"/>
      <c r="V681" s="3"/>
      <c r="W681" s="3"/>
      <c r="X681" s="3"/>
      <c r="Y681" s="3"/>
      <c r="Z681" s="3"/>
    </row>
    <row r="682" ht="15.75" customHeight="1">
      <c r="A682" s="3"/>
      <c r="B682" s="2"/>
      <c r="C682" s="2"/>
      <c r="D682" s="2"/>
      <c r="E682" s="464"/>
      <c r="F682" s="2"/>
      <c r="G682" s="2"/>
      <c r="H682" s="2"/>
      <c r="I682" s="2"/>
      <c r="J682" s="2"/>
      <c r="K682" s="2"/>
      <c r="L682" s="2"/>
      <c r="M682" s="2"/>
      <c r="N682" s="2"/>
      <c r="O682" s="2"/>
      <c r="P682" s="2"/>
      <c r="Q682" s="2"/>
      <c r="R682" s="255"/>
      <c r="S682" s="3"/>
      <c r="T682" s="3"/>
      <c r="U682" s="3"/>
      <c r="V682" s="3"/>
      <c r="W682" s="3"/>
      <c r="X682" s="3"/>
      <c r="Y682" s="3"/>
      <c r="Z682" s="3"/>
    </row>
    <row r="683" ht="15.75" customHeight="1">
      <c r="A683" s="3"/>
      <c r="B683" s="2"/>
      <c r="C683" s="2"/>
      <c r="D683" s="2"/>
      <c r="E683" s="464"/>
      <c r="F683" s="2"/>
      <c r="G683" s="2"/>
      <c r="H683" s="2"/>
      <c r="I683" s="2"/>
      <c r="J683" s="2"/>
      <c r="K683" s="2"/>
      <c r="L683" s="2"/>
      <c r="M683" s="2"/>
      <c r="N683" s="2"/>
      <c r="O683" s="2"/>
      <c r="P683" s="2"/>
      <c r="Q683" s="2"/>
      <c r="R683" s="255"/>
      <c r="S683" s="3"/>
      <c r="T683" s="3"/>
      <c r="U683" s="3"/>
      <c r="V683" s="3"/>
      <c r="W683" s="3"/>
      <c r="X683" s="3"/>
      <c r="Y683" s="3"/>
      <c r="Z683" s="3"/>
    </row>
    <row r="684" ht="15.75" customHeight="1">
      <c r="A684" s="3"/>
      <c r="B684" s="2"/>
      <c r="C684" s="2"/>
      <c r="D684" s="2"/>
      <c r="E684" s="464"/>
      <c r="F684" s="2"/>
      <c r="G684" s="2"/>
      <c r="H684" s="2"/>
      <c r="I684" s="2"/>
      <c r="J684" s="2"/>
      <c r="K684" s="2"/>
      <c r="L684" s="2"/>
      <c r="M684" s="2"/>
      <c r="N684" s="2"/>
      <c r="O684" s="2"/>
      <c r="P684" s="2"/>
      <c r="Q684" s="2"/>
      <c r="R684" s="255"/>
      <c r="S684" s="3"/>
      <c r="T684" s="3"/>
      <c r="U684" s="3"/>
      <c r="V684" s="3"/>
      <c r="W684" s="3"/>
      <c r="X684" s="3"/>
      <c r="Y684" s="3"/>
      <c r="Z684" s="3"/>
    </row>
    <row r="685" ht="15.75" customHeight="1">
      <c r="A685" s="3"/>
      <c r="B685" s="2"/>
      <c r="C685" s="2"/>
      <c r="D685" s="2"/>
      <c r="E685" s="464"/>
      <c r="F685" s="2"/>
      <c r="G685" s="2"/>
      <c r="H685" s="2"/>
      <c r="I685" s="2"/>
      <c r="J685" s="2"/>
      <c r="K685" s="2"/>
      <c r="L685" s="2"/>
      <c r="M685" s="2"/>
      <c r="N685" s="2"/>
      <c r="O685" s="2"/>
      <c r="P685" s="2"/>
      <c r="Q685" s="2"/>
      <c r="R685" s="255"/>
      <c r="S685" s="3"/>
      <c r="T685" s="3"/>
      <c r="U685" s="3"/>
      <c r="V685" s="3"/>
      <c r="W685" s="3"/>
      <c r="X685" s="3"/>
      <c r="Y685" s="3"/>
      <c r="Z685" s="3"/>
    </row>
    <row r="686" ht="15.75" customHeight="1">
      <c r="A686" s="3"/>
      <c r="B686" s="2"/>
      <c r="C686" s="2"/>
      <c r="D686" s="2"/>
      <c r="E686" s="464"/>
      <c r="F686" s="2"/>
      <c r="G686" s="2"/>
      <c r="H686" s="2"/>
      <c r="I686" s="2"/>
      <c r="J686" s="2"/>
      <c r="K686" s="2"/>
      <c r="L686" s="2"/>
      <c r="M686" s="2"/>
      <c r="N686" s="2"/>
      <c r="O686" s="2"/>
      <c r="P686" s="2"/>
      <c r="Q686" s="2"/>
      <c r="R686" s="255"/>
      <c r="S686" s="3"/>
      <c r="T686" s="3"/>
      <c r="U686" s="3"/>
      <c r="V686" s="3"/>
      <c r="W686" s="3"/>
      <c r="X686" s="3"/>
      <c r="Y686" s="3"/>
      <c r="Z686" s="3"/>
    </row>
    <row r="687" ht="15.75" customHeight="1">
      <c r="A687" s="3"/>
      <c r="B687" s="2"/>
      <c r="C687" s="2"/>
      <c r="D687" s="2"/>
      <c r="E687" s="464"/>
      <c r="F687" s="2"/>
      <c r="G687" s="2"/>
      <c r="H687" s="2"/>
      <c r="I687" s="2"/>
      <c r="J687" s="2"/>
      <c r="K687" s="2"/>
      <c r="L687" s="2"/>
      <c r="M687" s="2"/>
      <c r="N687" s="2"/>
      <c r="O687" s="2"/>
      <c r="P687" s="2"/>
      <c r="Q687" s="2"/>
      <c r="R687" s="255"/>
      <c r="S687" s="3"/>
      <c r="T687" s="3"/>
      <c r="U687" s="3"/>
      <c r="V687" s="3"/>
      <c r="W687" s="3"/>
      <c r="X687" s="3"/>
      <c r="Y687" s="3"/>
      <c r="Z687" s="3"/>
    </row>
    <row r="688" ht="15.75" customHeight="1">
      <c r="A688" s="3"/>
      <c r="B688" s="2"/>
      <c r="C688" s="2"/>
      <c r="D688" s="2"/>
      <c r="E688" s="464"/>
      <c r="F688" s="2"/>
      <c r="G688" s="2"/>
      <c r="H688" s="2"/>
      <c r="I688" s="2"/>
      <c r="J688" s="2"/>
      <c r="K688" s="2"/>
      <c r="L688" s="2"/>
      <c r="M688" s="2"/>
      <c r="N688" s="2"/>
      <c r="O688" s="2"/>
      <c r="P688" s="2"/>
      <c r="Q688" s="2"/>
      <c r="R688" s="255"/>
      <c r="S688" s="3"/>
      <c r="T688" s="3"/>
      <c r="U688" s="3"/>
      <c r="V688" s="3"/>
      <c r="W688" s="3"/>
      <c r="X688" s="3"/>
      <c r="Y688" s="3"/>
      <c r="Z688" s="3"/>
    </row>
    <row r="689" ht="15.75" customHeight="1">
      <c r="A689" s="3"/>
      <c r="B689" s="2"/>
      <c r="C689" s="2"/>
      <c r="D689" s="2"/>
      <c r="E689" s="464"/>
      <c r="F689" s="2"/>
      <c r="G689" s="2"/>
      <c r="H689" s="2"/>
      <c r="I689" s="2"/>
      <c r="J689" s="2"/>
      <c r="K689" s="2"/>
      <c r="L689" s="2"/>
      <c r="M689" s="2"/>
      <c r="N689" s="2"/>
      <c r="O689" s="2"/>
      <c r="P689" s="2"/>
      <c r="Q689" s="2"/>
      <c r="R689" s="255"/>
      <c r="S689" s="3"/>
      <c r="T689" s="3"/>
      <c r="U689" s="3"/>
      <c r="V689" s="3"/>
      <c r="W689" s="3"/>
      <c r="X689" s="3"/>
      <c r="Y689" s="3"/>
      <c r="Z689" s="3"/>
    </row>
    <row r="690" ht="15.75" customHeight="1">
      <c r="A690" s="3"/>
      <c r="B690" s="2"/>
      <c r="C690" s="2"/>
      <c r="D690" s="2"/>
      <c r="E690" s="464"/>
      <c r="F690" s="2"/>
      <c r="G690" s="2"/>
      <c r="H690" s="2"/>
      <c r="I690" s="2"/>
      <c r="J690" s="2"/>
      <c r="K690" s="2"/>
      <c r="L690" s="2"/>
      <c r="M690" s="2"/>
      <c r="N690" s="2"/>
      <c r="O690" s="2"/>
      <c r="P690" s="2"/>
      <c r="Q690" s="2"/>
      <c r="R690" s="255"/>
      <c r="S690" s="3"/>
      <c r="T690" s="3"/>
      <c r="U690" s="3"/>
      <c r="V690" s="3"/>
      <c r="W690" s="3"/>
      <c r="X690" s="3"/>
      <c r="Y690" s="3"/>
      <c r="Z690" s="3"/>
    </row>
    <row r="691" ht="15.75" customHeight="1">
      <c r="A691" s="3"/>
      <c r="B691" s="2"/>
      <c r="C691" s="2"/>
      <c r="D691" s="2"/>
      <c r="E691" s="464"/>
      <c r="F691" s="2"/>
      <c r="G691" s="2"/>
      <c r="H691" s="2"/>
      <c r="I691" s="2"/>
      <c r="J691" s="2"/>
      <c r="K691" s="2"/>
      <c r="L691" s="2"/>
      <c r="M691" s="2"/>
      <c r="N691" s="2"/>
      <c r="O691" s="2"/>
      <c r="P691" s="2"/>
      <c r="Q691" s="2"/>
      <c r="R691" s="255"/>
      <c r="S691" s="3"/>
      <c r="T691" s="3"/>
      <c r="U691" s="3"/>
      <c r="V691" s="3"/>
      <c r="W691" s="3"/>
      <c r="X691" s="3"/>
      <c r="Y691" s="3"/>
      <c r="Z691" s="3"/>
    </row>
    <row r="692" ht="15.75" customHeight="1">
      <c r="A692" s="3"/>
      <c r="B692" s="2"/>
      <c r="C692" s="2"/>
      <c r="D692" s="2"/>
      <c r="E692" s="464"/>
      <c r="F692" s="2"/>
      <c r="G692" s="2"/>
      <c r="H692" s="2"/>
      <c r="I692" s="2"/>
      <c r="J692" s="2"/>
      <c r="K692" s="2"/>
      <c r="L692" s="2"/>
      <c r="M692" s="2"/>
      <c r="N692" s="2"/>
      <c r="O692" s="2"/>
      <c r="P692" s="2"/>
      <c r="Q692" s="2"/>
      <c r="R692" s="255"/>
      <c r="S692" s="3"/>
      <c r="T692" s="3"/>
      <c r="U692" s="3"/>
      <c r="V692" s="3"/>
      <c r="W692" s="3"/>
      <c r="X692" s="3"/>
      <c r="Y692" s="3"/>
      <c r="Z692" s="3"/>
    </row>
    <row r="693" ht="15.75" customHeight="1">
      <c r="A693" s="3"/>
      <c r="B693" s="2"/>
      <c r="C693" s="2"/>
      <c r="D693" s="2"/>
      <c r="E693" s="464"/>
      <c r="F693" s="2"/>
      <c r="G693" s="2"/>
      <c r="H693" s="2"/>
      <c r="I693" s="2"/>
      <c r="J693" s="2"/>
      <c r="K693" s="2"/>
      <c r="L693" s="2"/>
      <c r="M693" s="2"/>
      <c r="N693" s="2"/>
      <c r="O693" s="2"/>
      <c r="P693" s="2"/>
      <c r="Q693" s="2"/>
      <c r="R693" s="255"/>
      <c r="S693" s="3"/>
      <c r="T693" s="3"/>
      <c r="U693" s="3"/>
      <c r="V693" s="3"/>
      <c r="W693" s="3"/>
      <c r="X693" s="3"/>
      <c r="Y693" s="3"/>
      <c r="Z693" s="3"/>
    </row>
    <row r="694" ht="15.75" customHeight="1">
      <c r="A694" s="3"/>
      <c r="B694" s="2"/>
      <c r="C694" s="2"/>
      <c r="D694" s="2"/>
      <c r="E694" s="464"/>
      <c r="F694" s="2"/>
      <c r="G694" s="2"/>
      <c r="H694" s="2"/>
      <c r="I694" s="2"/>
      <c r="J694" s="2"/>
      <c r="K694" s="2"/>
      <c r="L694" s="2"/>
      <c r="M694" s="2"/>
      <c r="N694" s="2"/>
      <c r="O694" s="2"/>
      <c r="P694" s="2"/>
      <c r="Q694" s="2"/>
      <c r="R694" s="255"/>
      <c r="S694" s="3"/>
      <c r="T694" s="3"/>
      <c r="U694" s="3"/>
      <c r="V694" s="3"/>
      <c r="W694" s="3"/>
      <c r="X694" s="3"/>
      <c r="Y694" s="3"/>
      <c r="Z694" s="3"/>
    </row>
    <row r="695" ht="15.75" customHeight="1">
      <c r="A695" s="3"/>
      <c r="B695" s="2"/>
      <c r="C695" s="2"/>
      <c r="D695" s="2"/>
      <c r="E695" s="464"/>
      <c r="F695" s="2"/>
      <c r="G695" s="2"/>
      <c r="H695" s="2"/>
      <c r="I695" s="2"/>
      <c r="J695" s="2"/>
      <c r="K695" s="2"/>
      <c r="L695" s="2"/>
      <c r="M695" s="2"/>
      <c r="N695" s="2"/>
      <c r="O695" s="2"/>
      <c r="P695" s="2"/>
      <c r="Q695" s="2"/>
      <c r="R695" s="255"/>
      <c r="S695" s="3"/>
      <c r="T695" s="3"/>
      <c r="U695" s="3"/>
      <c r="V695" s="3"/>
      <c r="W695" s="3"/>
      <c r="X695" s="3"/>
      <c r="Y695" s="3"/>
      <c r="Z695" s="3"/>
    </row>
    <row r="696" ht="15.75" customHeight="1">
      <c r="A696" s="3"/>
      <c r="B696" s="2"/>
      <c r="C696" s="2"/>
      <c r="D696" s="2"/>
      <c r="E696" s="464"/>
      <c r="F696" s="2"/>
      <c r="G696" s="2"/>
      <c r="H696" s="2"/>
      <c r="I696" s="2"/>
      <c r="J696" s="2"/>
      <c r="K696" s="2"/>
      <c r="L696" s="2"/>
      <c r="M696" s="2"/>
      <c r="N696" s="2"/>
      <c r="O696" s="2"/>
      <c r="P696" s="2"/>
      <c r="Q696" s="2"/>
      <c r="R696" s="255"/>
      <c r="S696" s="3"/>
      <c r="T696" s="3"/>
      <c r="U696" s="3"/>
      <c r="V696" s="3"/>
      <c r="W696" s="3"/>
      <c r="X696" s="3"/>
      <c r="Y696" s="3"/>
      <c r="Z696" s="3"/>
    </row>
    <row r="697" ht="15.75" customHeight="1">
      <c r="A697" s="3"/>
      <c r="B697" s="2"/>
      <c r="C697" s="2"/>
      <c r="D697" s="2"/>
      <c r="E697" s="464"/>
      <c r="F697" s="2"/>
      <c r="G697" s="2"/>
      <c r="H697" s="2"/>
      <c r="I697" s="2"/>
      <c r="J697" s="2"/>
      <c r="K697" s="2"/>
      <c r="L697" s="2"/>
      <c r="M697" s="2"/>
      <c r="N697" s="2"/>
      <c r="O697" s="2"/>
      <c r="P697" s="2"/>
      <c r="Q697" s="2"/>
      <c r="R697" s="255"/>
      <c r="S697" s="3"/>
      <c r="T697" s="3"/>
      <c r="U697" s="3"/>
      <c r="V697" s="3"/>
      <c r="W697" s="3"/>
      <c r="X697" s="3"/>
      <c r="Y697" s="3"/>
      <c r="Z697" s="3"/>
    </row>
    <row r="698" ht="15.75" customHeight="1">
      <c r="A698" s="3"/>
      <c r="B698" s="2"/>
      <c r="C698" s="2"/>
      <c r="D698" s="2"/>
      <c r="E698" s="464"/>
      <c r="F698" s="2"/>
      <c r="G698" s="2"/>
      <c r="H698" s="2"/>
      <c r="I698" s="2"/>
      <c r="J698" s="2"/>
      <c r="K698" s="2"/>
      <c r="L698" s="2"/>
      <c r="M698" s="2"/>
      <c r="N698" s="2"/>
      <c r="O698" s="2"/>
      <c r="P698" s="2"/>
      <c r="Q698" s="2"/>
      <c r="R698" s="255"/>
      <c r="S698" s="3"/>
      <c r="T698" s="3"/>
      <c r="U698" s="3"/>
      <c r="V698" s="3"/>
      <c r="W698" s="3"/>
      <c r="X698" s="3"/>
      <c r="Y698" s="3"/>
      <c r="Z698" s="3"/>
    </row>
    <row r="699" ht="15.75" customHeight="1">
      <c r="A699" s="3"/>
      <c r="B699" s="2"/>
      <c r="C699" s="2"/>
      <c r="D699" s="2"/>
      <c r="E699" s="464"/>
      <c r="F699" s="2"/>
      <c r="G699" s="2"/>
      <c r="H699" s="2"/>
      <c r="I699" s="2"/>
      <c r="J699" s="2"/>
      <c r="K699" s="2"/>
      <c r="L699" s="2"/>
      <c r="M699" s="2"/>
      <c r="N699" s="2"/>
      <c r="O699" s="2"/>
      <c r="P699" s="2"/>
      <c r="Q699" s="2"/>
      <c r="R699" s="255"/>
      <c r="S699" s="3"/>
      <c r="T699" s="3"/>
      <c r="U699" s="3"/>
      <c r="V699" s="3"/>
      <c r="W699" s="3"/>
      <c r="X699" s="3"/>
      <c r="Y699" s="3"/>
      <c r="Z699" s="3"/>
    </row>
    <row r="700" ht="15.75" customHeight="1">
      <c r="A700" s="3"/>
      <c r="B700" s="2"/>
      <c r="C700" s="2"/>
      <c r="D700" s="2"/>
      <c r="E700" s="464"/>
      <c r="F700" s="2"/>
      <c r="G700" s="2"/>
      <c r="H700" s="2"/>
      <c r="I700" s="2"/>
      <c r="J700" s="2"/>
      <c r="K700" s="2"/>
      <c r="L700" s="2"/>
      <c r="M700" s="2"/>
      <c r="N700" s="2"/>
      <c r="O700" s="2"/>
      <c r="P700" s="2"/>
      <c r="Q700" s="2"/>
      <c r="R700" s="255"/>
      <c r="S700" s="3"/>
      <c r="T700" s="3"/>
      <c r="U700" s="3"/>
      <c r="V700" s="3"/>
      <c r="W700" s="3"/>
      <c r="X700" s="3"/>
      <c r="Y700" s="3"/>
      <c r="Z700" s="3"/>
    </row>
    <row r="701" ht="15.75" customHeight="1">
      <c r="A701" s="3"/>
      <c r="B701" s="2"/>
      <c r="C701" s="2"/>
      <c r="D701" s="2"/>
      <c r="E701" s="464"/>
      <c r="F701" s="2"/>
      <c r="G701" s="2"/>
      <c r="H701" s="2"/>
      <c r="I701" s="2"/>
      <c r="J701" s="2"/>
      <c r="K701" s="2"/>
      <c r="L701" s="2"/>
      <c r="M701" s="2"/>
      <c r="N701" s="2"/>
      <c r="O701" s="2"/>
      <c r="P701" s="2"/>
      <c r="Q701" s="2"/>
      <c r="R701" s="255"/>
      <c r="S701" s="3"/>
      <c r="T701" s="3"/>
      <c r="U701" s="3"/>
      <c r="V701" s="3"/>
      <c r="W701" s="3"/>
      <c r="X701" s="3"/>
      <c r="Y701" s="3"/>
      <c r="Z701" s="3"/>
    </row>
    <row r="702" ht="15.75" customHeight="1">
      <c r="A702" s="3"/>
      <c r="B702" s="2"/>
      <c r="C702" s="2"/>
      <c r="D702" s="2"/>
      <c r="E702" s="464"/>
      <c r="F702" s="2"/>
      <c r="G702" s="2"/>
      <c r="H702" s="2"/>
      <c r="I702" s="2"/>
      <c r="J702" s="2"/>
      <c r="K702" s="2"/>
      <c r="L702" s="2"/>
      <c r="M702" s="2"/>
      <c r="N702" s="2"/>
      <c r="O702" s="2"/>
      <c r="P702" s="2"/>
      <c r="Q702" s="2"/>
      <c r="R702" s="255"/>
      <c r="S702" s="3"/>
      <c r="T702" s="3"/>
      <c r="U702" s="3"/>
      <c r="V702" s="3"/>
      <c r="W702" s="3"/>
      <c r="X702" s="3"/>
      <c r="Y702" s="3"/>
      <c r="Z702" s="3"/>
    </row>
    <row r="703" ht="15.75" customHeight="1">
      <c r="A703" s="3"/>
      <c r="B703" s="2"/>
      <c r="C703" s="2"/>
      <c r="D703" s="2"/>
      <c r="E703" s="464"/>
      <c r="F703" s="2"/>
      <c r="G703" s="2"/>
      <c r="H703" s="2"/>
      <c r="I703" s="2"/>
      <c r="J703" s="2"/>
      <c r="K703" s="2"/>
      <c r="L703" s="2"/>
      <c r="M703" s="2"/>
      <c r="N703" s="2"/>
      <c r="O703" s="2"/>
      <c r="P703" s="2"/>
      <c r="Q703" s="2"/>
      <c r="R703" s="255"/>
      <c r="S703" s="3"/>
      <c r="T703" s="3"/>
      <c r="U703" s="3"/>
      <c r="V703" s="3"/>
      <c r="W703" s="3"/>
      <c r="X703" s="3"/>
      <c r="Y703" s="3"/>
      <c r="Z703" s="3"/>
    </row>
    <row r="704" ht="15.75" customHeight="1">
      <c r="A704" s="3"/>
      <c r="B704" s="2"/>
      <c r="C704" s="2"/>
      <c r="D704" s="2"/>
      <c r="E704" s="464"/>
      <c r="F704" s="2"/>
      <c r="G704" s="2"/>
      <c r="H704" s="2"/>
      <c r="I704" s="2"/>
      <c r="J704" s="2"/>
      <c r="K704" s="2"/>
      <c r="L704" s="2"/>
      <c r="M704" s="2"/>
      <c r="N704" s="2"/>
      <c r="O704" s="2"/>
      <c r="P704" s="2"/>
      <c r="Q704" s="2"/>
      <c r="R704" s="255"/>
      <c r="S704" s="3"/>
      <c r="T704" s="3"/>
      <c r="U704" s="3"/>
      <c r="V704" s="3"/>
      <c r="W704" s="3"/>
      <c r="X704" s="3"/>
      <c r="Y704" s="3"/>
      <c r="Z704" s="3"/>
    </row>
    <row r="705" ht="15.75" customHeight="1">
      <c r="A705" s="3"/>
      <c r="B705" s="2"/>
      <c r="C705" s="2"/>
      <c r="D705" s="2"/>
      <c r="E705" s="464"/>
      <c r="F705" s="2"/>
      <c r="G705" s="2"/>
      <c r="H705" s="2"/>
      <c r="I705" s="2"/>
      <c r="J705" s="2"/>
      <c r="K705" s="2"/>
      <c r="L705" s="2"/>
      <c r="M705" s="2"/>
      <c r="N705" s="2"/>
      <c r="O705" s="2"/>
      <c r="P705" s="2"/>
      <c r="Q705" s="2"/>
      <c r="R705" s="255"/>
      <c r="S705" s="3"/>
      <c r="T705" s="3"/>
      <c r="U705" s="3"/>
      <c r="V705" s="3"/>
      <c r="W705" s="3"/>
      <c r="X705" s="3"/>
      <c r="Y705" s="3"/>
      <c r="Z705" s="3"/>
    </row>
    <row r="706" ht="15.75" customHeight="1">
      <c r="A706" s="3"/>
      <c r="B706" s="2"/>
      <c r="C706" s="2"/>
      <c r="D706" s="2"/>
      <c r="E706" s="464"/>
      <c r="F706" s="2"/>
      <c r="G706" s="2"/>
      <c r="H706" s="2"/>
      <c r="I706" s="2"/>
      <c r="J706" s="2"/>
      <c r="K706" s="2"/>
      <c r="L706" s="2"/>
      <c r="M706" s="2"/>
      <c r="N706" s="2"/>
      <c r="O706" s="2"/>
      <c r="P706" s="2"/>
      <c r="Q706" s="2"/>
      <c r="R706" s="255"/>
      <c r="S706" s="3"/>
      <c r="T706" s="3"/>
      <c r="U706" s="3"/>
      <c r="V706" s="3"/>
      <c r="W706" s="3"/>
      <c r="X706" s="3"/>
      <c r="Y706" s="3"/>
      <c r="Z706" s="3"/>
    </row>
    <row r="707" ht="15.75" customHeight="1">
      <c r="A707" s="3"/>
      <c r="B707" s="2"/>
      <c r="C707" s="2"/>
      <c r="D707" s="2"/>
      <c r="E707" s="464"/>
      <c r="F707" s="2"/>
      <c r="G707" s="2"/>
      <c r="H707" s="2"/>
      <c r="I707" s="2"/>
      <c r="J707" s="2"/>
      <c r="K707" s="2"/>
      <c r="L707" s="2"/>
      <c r="M707" s="2"/>
      <c r="N707" s="2"/>
      <c r="O707" s="2"/>
      <c r="P707" s="2"/>
      <c r="Q707" s="2"/>
      <c r="R707" s="255"/>
      <c r="S707" s="3"/>
      <c r="T707" s="3"/>
      <c r="U707" s="3"/>
      <c r="V707" s="3"/>
      <c r="W707" s="3"/>
      <c r="X707" s="3"/>
      <c r="Y707" s="3"/>
      <c r="Z707" s="3"/>
    </row>
    <row r="708" ht="15.75" customHeight="1">
      <c r="A708" s="3"/>
      <c r="B708" s="2"/>
      <c r="C708" s="2"/>
      <c r="D708" s="2"/>
      <c r="E708" s="464"/>
      <c r="F708" s="2"/>
      <c r="G708" s="2"/>
      <c r="H708" s="2"/>
      <c r="I708" s="2"/>
      <c r="J708" s="2"/>
      <c r="K708" s="2"/>
      <c r="L708" s="2"/>
      <c r="M708" s="2"/>
      <c r="N708" s="2"/>
      <c r="O708" s="2"/>
      <c r="P708" s="2"/>
      <c r="Q708" s="2"/>
      <c r="R708" s="255"/>
      <c r="S708" s="3"/>
      <c r="T708" s="3"/>
      <c r="U708" s="3"/>
      <c r="V708" s="3"/>
      <c r="W708" s="3"/>
      <c r="X708" s="3"/>
      <c r="Y708" s="3"/>
      <c r="Z708" s="3"/>
    </row>
    <row r="709" ht="15.75" customHeight="1">
      <c r="A709" s="3"/>
      <c r="B709" s="2"/>
      <c r="C709" s="2"/>
      <c r="D709" s="2"/>
      <c r="E709" s="464"/>
      <c r="F709" s="2"/>
      <c r="G709" s="2"/>
      <c r="H709" s="2"/>
      <c r="I709" s="2"/>
      <c r="J709" s="2"/>
      <c r="K709" s="2"/>
      <c r="L709" s="2"/>
      <c r="M709" s="2"/>
      <c r="N709" s="2"/>
      <c r="O709" s="2"/>
      <c r="P709" s="2"/>
      <c r="Q709" s="2"/>
      <c r="R709" s="255"/>
      <c r="S709" s="3"/>
      <c r="T709" s="3"/>
      <c r="U709" s="3"/>
      <c r="V709" s="3"/>
      <c r="W709" s="3"/>
      <c r="X709" s="3"/>
      <c r="Y709" s="3"/>
      <c r="Z709" s="3"/>
    </row>
    <row r="710" ht="15.75" customHeight="1">
      <c r="A710" s="3"/>
      <c r="B710" s="2"/>
      <c r="C710" s="2"/>
      <c r="D710" s="2"/>
      <c r="E710" s="464"/>
      <c r="F710" s="2"/>
      <c r="G710" s="2"/>
      <c r="H710" s="2"/>
      <c r="I710" s="2"/>
      <c r="J710" s="2"/>
      <c r="K710" s="2"/>
      <c r="L710" s="2"/>
      <c r="M710" s="2"/>
      <c r="N710" s="2"/>
      <c r="O710" s="2"/>
      <c r="P710" s="2"/>
      <c r="Q710" s="2"/>
      <c r="R710" s="255"/>
      <c r="S710" s="3"/>
      <c r="T710" s="3"/>
      <c r="U710" s="3"/>
      <c r="V710" s="3"/>
      <c r="W710" s="3"/>
      <c r="X710" s="3"/>
      <c r="Y710" s="3"/>
      <c r="Z710" s="3"/>
    </row>
    <row r="711" ht="15.75" customHeight="1">
      <c r="A711" s="3"/>
      <c r="B711" s="2"/>
      <c r="C711" s="2"/>
      <c r="D711" s="2"/>
      <c r="E711" s="464"/>
      <c r="F711" s="2"/>
      <c r="G711" s="2"/>
      <c r="H711" s="2"/>
      <c r="I711" s="2"/>
      <c r="J711" s="2"/>
      <c r="K711" s="2"/>
      <c r="L711" s="2"/>
      <c r="M711" s="2"/>
      <c r="N711" s="2"/>
      <c r="O711" s="2"/>
      <c r="P711" s="2"/>
      <c r="Q711" s="2"/>
      <c r="R711" s="255"/>
      <c r="S711" s="3"/>
      <c r="T711" s="3"/>
      <c r="U711" s="3"/>
      <c r="V711" s="3"/>
      <c r="W711" s="3"/>
      <c r="X711" s="3"/>
      <c r="Y711" s="3"/>
      <c r="Z711" s="3"/>
    </row>
    <row r="712" ht="15.75" customHeight="1">
      <c r="A712" s="3"/>
      <c r="B712" s="2"/>
      <c r="C712" s="2"/>
      <c r="D712" s="2"/>
      <c r="E712" s="464"/>
      <c r="F712" s="2"/>
      <c r="G712" s="2"/>
      <c r="H712" s="2"/>
      <c r="I712" s="2"/>
      <c r="J712" s="2"/>
      <c r="K712" s="2"/>
      <c r="L712" s="2"/>
      <c r="M712" s="2"/>
      <c r="N712" s="2"/>
      <c r="O712" s="2"/>
      <c r="P712" s="2"/>
      <c r="Q712" s="2"/>
      <c r="R712" s="255"/>
      <c r="S712" s="3"/>
      <c r="T712" s="3"/>
      <c r="U712" s="3"/>
      <c r="V712" s="3"/>
      <c r="W712" s="3"/>
      <c r="X712" s="3"/>
      <c r="Y712" s="3"/>
      <c r="Z712" s="3"/>
    </row>
    <row r="713" ht="15.75" customHeight="1">
      <c r="A713" s="3"/>
      <c r="B713" s="2"/>
      <c r="C713" s="2"/>
      <c r="D713" s="2"/>
      <c r="E713" s="464"/>
      <c r="F713" s="2"/>
      <c r="G713" s="2"/>
      <c r="H713" s="2"/>
      <c r="I713" s="2"/>
      <c r="J713" s="2"/>
      <c r="K713" s="2"/>
      <c r="L713" s="2"/>
      <c r="M713" s="2"/>
      <c r="N713" s="2"/>
      <c r="O713" s="2"/>
      <c r="P713" s="2"/>
      <c r="Q713" s="2"/>
      <c r="R713" s="255"/>
      <c r="S713" s="3"/>
      <c r="T713" s="3"/>
      <c r="U713" s="3"/>
      <c r="V713" s="3"/>
      <c r="W713" s="3"/>
      <c r="X713" s="3"/>
      <c r="Y713" s="3"/>
      <c r="Z713" s="3"/>
    </row>
    <row r="714" ht="15.75" customHeight="1">
      <c r="A714" s="3"/>
      <c r="B714" s="2"/>
      <c r="C714" s="2"/>
      <c r="D714" s="2"/>
      <c r="E714" s="464"/>
      <c r="F714" s="2"/>
      <c r="G714" s="2"/>
      <c r="H714" s="2"/>
      <c r="I714" s="2"/>
      <c r="J714" s="2"/>
      <c r="K714" s="2"/>
      <c r="L714" s="2"/>
      <c r="M714" s="2"/>
      <c r="N714" s="2"/>
      <c r="O714" s="2"/>
      <c r="P714" s="2"/>
      <c r="Q714" s="2"/>
      <c r="R714" s="255"/>
      <c r="S714" s="3"/>
      <c r="T714" s="3"/>
      <c r="U714" s="3"/>
      <c r="V714" s="3"/>
      <c r="W714" s="3"/>
      <c r="X714" s="3"/>
      <c r="Y714" s="3"/>
      <c r="Z714" s="3"/>
    </row>
    <row r="715" ht="15.75" customHeight="1">
      <c r="A715" s="3"/>
      <c r="B715" s="2"/>
      <c r="C715" s="2"/>
      <c r="D715" s="2"/>
      <c r="E715" s="464"/>
      <c r="F715" s="2"/>
      <c r="G715" s="2"/>
      <c r="H715" s="2"/>
      <c r="I715" s="2"/>
      <c r="J715" s="2"/>
      <c r="K715" s="2"/>
      <c r="L715" s="2"/>
      <c r="M715" s="2"/>
      <c r="N715" s="2"/>
      <c r="O715" s="2"/>
      <c r="P715" s="2"/>
      <c r="Q715" s="2"/>
      <c r="R715" s="255"/>
      <c r="S715" s="3"/>
      <c r="T715" s="3"/>
      <c r="U715" s="3"/>
      <c r="V715" s="3"/>
      <c r="W715" s="3"/>
      <c r="X715" s="3"/>
      <c r="Y715" s="3"/>
      <c r="Z715" s="3"/>
    </row>
    <row r="716" ht="15.75" customHeight="1">
      <c r="A716" s="3"/>
      <c r="B716" s="2"/>
      <c r="C716" s="2"/>
      <c r="D716" s="2"/>
      <c r="E716" s="464"/>
      <c r="F716" s="2"/>
      <c r="G716" s="2"/>
      <c r="H716" s="2"/>
      <c r="I716" s="2"/>
      <c r="J716" s="2"/>
      <c r="K716" s="2"/>
      <c r="L716" s="2"/>
      <c r="M716" s="2"/>
      <c r="N716" s="2"/>
      <c r="O716" s="2"/>
      <c r="P716" s="2"/>
      <c r="Q716" s="2"/>
      <c r="R716" s="255"/>
      <c r="S716" s="3"/>
      <c r="T716" s="3"/>
      <c r="U716" s="3"/>
      <c r="V716" s="3"/>
      <c r="W716" s="3"/>
      <c r="X716" s="3"/>
      <c r="Y716" s="3"/>
      <c r="Z716" s="3"/>
    </row>
    <row r="717" ht="15.75" customHeight="1">
      <c r="A717" s="3"/>
      <c r="B717" s="2"/>
      <c r="C717" s="2"/>
      <c r="D717" s="2"/>
      <c r="E717" s="464"/>
      <c r="F717" s="2"/>
      <c r="G717" s="2"/>
      <c r="H717" s="2"/>
      <c r="I717" s="2"/>
      <c r="J717" s="2"/>
      <c r="K717" s="2"/>
      <c r="L717" s="2"/>
      <c r="M717" s="2"/>
      <c r="N717" s="2"/>
      <c r="O717" s="2"/>
      <c r="P717" s="2"/>
      <c r="Q717" s="2"/>
      <c r="R717" s="255"/>
      <c r="S717" s="3"/>
      <c r="T717" s="3"/>
      <c r="U717" s="3"/>
      <c r="V717" s="3"/>
      <c r="W717" s="3"/>
      <c r="X717" s="3"/>
      <c r="Y717" s="3"/>
      <c r="Z717" s="3"/>
    </row>
    <row r="718" ht="15.75" customHeight="1">
      <c r="A718" s="3"/>
      <c r="B718" s="2"/>
      <c r="C718" s="2"/>
      <c r="D718" s="2"/>
      <c r="E718" s="464"/>
      <c r="F718" s="2"/>
      <c r="G718" s="2"/>
      <c r="H718" s="2"/>
      <c r="I718" s="2"/>
      <c r="J718" s="2"/>
      <c r="K718" s="2"/>
      <c r="L718" s="2"/>
      <c r="M718" s="2"/>
      <c r="N718" s="2"/>
      <c r="O718" s="2"/>
      <c r="P718" s="2"/>
      <c r="Q718" s="2"/>
      <c r="R718" s="255"/>
      <c r="S718" s="3"/>
      <c r="T718" s="3"/>
      <c r="U718" s="3"/>
      <c r="V718" s="3"/>
      <c r="W718" s="3"/>
      <c r="X718" s="3"/>
      <c r="Y718" s="3"/>
      <c r="Z718" s="3"/>
    </row>
    <row r="719" ht="15.75" customHeight="1">
      <c r="A719" s="3"/>
      <c r="B719" s="2"/>
      <c r="C719" s="2"/>
      <c r="D719" s="2"/>
      <c r="E719" s="464"/>
      <c r="F719" s="2"/>
      <c r="G719" s="2"/>
      <c r="H719" s="2"/>
      <c r="I719" s="2"/>
      <c r="J719" s="2"/>
      <c r="K719" s="2"/>
      <c r="L719" s="2"/>
      <c r="M719" s="2"/>
      <c r="N719" s="2"/>
      <c r="O719" s="2"/>
      <c r="P719" s="2"/>
      <c r="Q719" s="2"/>
      <c r="R719" s="255"/>
      <c r="S719" s="3"/>
      <c r="T719" s="3"/>
      <c r="U719" s="3"/>
      <c r="V719" s="3"/>
      <c r="W719" s="3"/>
      <c r="X719" s="3"/>
      <c r="Y719" s="3"/>
      <c r="Z719" s="3"/>
    </row>
    <row r="720" ht="15.75" customHeight="1">
      <c r="A720" s="3"/>
      <c r="B720" s="2"/>
      <c r="C720" s="2"/>
      <c r="D720" s="2"/>
      <c r="E720" s="464"/>
      <c r="F720" s="2"/>
      <c r="G720" s="2"/>
      <c r="H720" s="2"/>
      <c r="I720" s="2"/>
      <c r="J720" s="2"/>
      <c r="K720" s="2"/>
      <c r="L720" s="2"/>
      <c r="M720" s="2"/>
      <c r="N720" s="2"/>
      <c r="O720" s="2"/>
      <c r="P720" s="2"/>
      <c r="Q720" s="2"/>
      <c r="R720" s="255"/>
      <c r="S720" s="3"/>
      <c r="T720" s="3"/>
      <c r="U720" s="3"/>
      <c r="V720" s="3"/>
      <c r="W720" s="3"/>
      <c r="X720" s="3"/>
      <c r="Y720" s="3"/>
      <c r="Z720" s="3"/>
    </row>
    <row r="721" ht="15.75" customHeight="1">
      <c r="A721" s="3"/>
      <c r="B721" s="2"/>
      <c r="C721" s="2"/>
      <c r="D721" s="2"/>
      <c r="E721" s="464"/>
      <c r="F721" s="2"/>
      <c r="G721" s="2"/>
      <c r="H721" s="2"/>
      <c r="I721" s="2"/>
      <c r="J721" s="2"/>
      <c r="K721" s="2"/>
      <c r="L721" s="2"/>
      <c r="M721" s="2"/>
      <c r="N721" s="2"/>
      <c r="O721" s="2"/>
      <c r="P721" s="2"/>
      <c r="Q721" s="2"/>
      <c r="R721" s="255"/>
      <c r="S721" s="3"/>
      <c r="T721" s="3"/>
      <c r="U721" s="3"/>
      <c r="V721" s="3"/>
      <c r="W721" s="3"/>
      <c r="X721" s="3"/>
      <c r="Y721" s="3"/>
      <c r="Z721" s="3"/>
    </row>
    <row r="722" ht="15.75" customHeight="1">
      <c r="A722" s="3"/>
      <c r="B722" s="2"/>
      <c r="C722" s="2"/>
      <c r="D722" s="2"/>
      <c r="E722" s="464"/>
      <c r="F722" s="2"/>
      <c r="G722" s="2"/>
      <c r="H722" s="2"/>
      <c r="I722" s="2"/>
      <c r="J722" s="2"/>
      <c r="K722" s="2"/>
      <c r="L722" s="2"/>
      <c r="M722" s="2"/>
      <c r="N722" s="2"/>
      <c r="O722" s="2"/>
      <c r="P722" s="2"/>
      <c r="Q722" s="2"/>
      <c r="R722" s="255"/>
      <c r="S722" s="3"/>
      <c r="T722" s="3"/>
      <c r="U722" s="3"/>
      <c r="V722" s="3"/>
      <c r="W722" s="3"/>
      <c r="X722" s="3"/>
      <c r="Y722" s="3"/>
      <c r="Z722" s="3"/>
    </row>
    <row r="723" ht="15.75" customHeight="1">
      <c r="A723" s="3"/>
      <c r="B723" s="2"/>
      <c r="C723" s="2"/>
      <c r="D723" s="2"/>
      <c r="E723" s="464"/>
      <c r="F723" s="2"/>
      <c r="G723" s="2"/>
      <c r="H723" s="2"/>
      <c r="I723" s="2"/>
      <c r="J723" s="2"/>
      <c r="K723" s="2"/>
      <c r="L723" s="2"/>
      <c r="M723" s="2"/>
      <c r="N723" s="2"/>
      <c r="O723" s="2"/>
      <c r="P723" s="2"/>
      <c r="Q723" s="2"/>
      <c r="R723" s="255"/>
      <c r="S723" s="3"/>
      <c r="T723" s="3"/>
      <c r="U723" s="3"/>
      <c r="V723" s="3"/>
      <c r="W723" s="3"/>
      <c r="X723" s="3"/>
      <c r="Y723" s="3"/>
      <c r="Z723" s="3"/>
    </row>
    <row r="724" ht="15.75" customHeight="1">
      <c r="A724" s="3"/>
      <c r="B724" s="2"/>
      <c r="C724" s="2"/>
      <c r="D724" s="2"/>
      <c r="E724" s="464"/>
      <c r="F724" s="2"/>
      <c r="G724" s="2"/>
      <c r="H724" s="2"/>
      <c r="I724" s="2"/>
      <c r="J724" s="2"/>
      <c r="K724" s="2"/>
      <c r="L724" s="2"/>
      <c r="M724" s="2"/>
      <c r="N724" s="2"/>
      <c r="O724" s="2"/>
      <c r="P724" s="2"/>
      <c r="Q724" s="2"/>
      <c r="R724" s="255"/>
      <c r="S724" s="3"/>
      <c r="T724" s="3"/>
      <c r="U724" s="3"/>
      <c r="V724" s="3"/>
      <c r="W724" s="3"/>
      <c r="X724" s="3"/>
      <c r="Y724" s="3"/>
      <c r="Z724" s="3"/>
    </row>
    <row r="725" ht="15.75" customHeight="1">
      <c r="A725" s="3"/>
      <c r="B725" s="2"/>
      <c r="C725" s="2"/>
      <c r="D725" s="2"/>
      <c r="E725" s="464"/>
      <c r="F725" s="2"/>
      <c r="G725" s="2"/>
      <c r="H725" s="2"/>
      <c r="I725" s="2"/>
      <c r="J725" s="2"/>
      <c r="K725" s="2"/>
      <c r="L725" s="2"/>
      <c r="M725" s="2"/>
      <c r="N725" s="2"/>
      <c r="O725" s="2"/>
      <c r="P725" s="2"/>
      <c r="Q725" s="2"/>
      <c r="R725" s="255"/>
      <c r="S725" s="3"/>
      <c r="T725" s="3"/>
      <c r="U725" s="3"/>
      <c r="V725" s="3"/>
      <c r="W725" s="3"/>
      <c r="X725" s="3"/>
      <c r="Y725" s="3"/>
      <c r="Z725" s="3"/>
    </row>
    <row r="726" ht="15.75" customHeight="1">
      <c r="A726" s="3"/>
      <c r="B726" s="2"/>
      <c r="C726" s="2"/>
      <c r="D726" s="2"/>
      <c r="E726" s="464"/>
      <c r="F726" s="2"/>
      <c r="G726" s="2"/>
      <c r="H726" s="2"/>
      <c r="I726" s="2"/>
      <c r="J726" s="2"/>
      <c r="K726" s="2"/>
      <c r="L726" s="2"/>
      <c r="M726" s="2"/>
      <c r="N726" s="2"/>
      <c r="O726" s="2"/>
      <c r="P726" s="2"/>
      <c r="Q726" s="2"/>
      <c r="R726" s="255"/>
      <c r="S726" s="3"/>
      <c r="T726" s="3"/>
      <c r="U726" s="3"/>
      <c r="V726" s="3"/>
      <c r="W726" s="3"/>
      <c r="X726" s="3"/>
      <c r="Y726" s="3"/>
      <c r="Z726" s="3"/>
    </row>
    <row r="727" ht="15.75" customHeight="1">
      <c r="A727" s="3"/>
      <c r="B727" s="2"/>
      <c r="C727" s="2"/>
      <c r="D727" s="2"/>
      <c r="E727" s="464"/>
      <c r="F727" s="2"/>
      <c r="G727" s="2"/>
      <c r="H727" s="2"/>
      <c r="I727" s="2"/>
      <c r="J727" s="2"/>
      <c r="K727" s="2"/>
      <c r="L727" s="2"/>
      <c r="M727" s="2"/>
      <c r="N727" s="2"/>
      <c r="O727" s="2"/>
      <c r="P727" s="2"/>
      <c r="Q727" s="2"/>
      <c r="R727" s="255"/>
      <c r="S727" s="3"/>
      <c r="T727" s="3"/>
      <c r="U727" s="3"/>
      <c r="V727" s="3"/>
      <c r="W727" s="3"/>
      <c r="X727" s="3"/>
      <c r="Y727" s="3"/>
      <c r="Z727" s="3"/>
    </row>
    <row r="728" ht="15.75" customHeight="1">
      <c r="A728" s="3"/>
      <c r="B728" s="2"/>
      <c r="C728" s="2"/>
      <c r="D728" s="2"/>
      <c r="E728" s="464"/>
      <c r="F728" s="2"/>
      <c r="G728" s="2"/>
      <c r="H728" s="2"/>
      <c r="I728" s="2"/>
      <c r="J728" s="2"/>
      <c r="K728" s="2"/>
      <c r="L728" s="2"/>
      <c r="M728" s="2"/>
      <c r="N728" s="2"/>
      <c r="O728" s="2"/>
      <c r="P728" s="2"/>
      <c r="Q728" s="2"/>
      <c r="R728" s="255"/>
      <c r="S728" s="3"/>
      <c r="T728" s="3"/>
      <c r="U728" s="3"/>
      <c r="V728" s="3"/>
      <c r="W728" s="3"/>
      <c r="X728" s="3"/>
      <c r="Y728" s="3"/>
      <c r="Z728" s="3"/>
    </row>
    <row r="729" ht="15.75" customHeight="1">
      <c r="A729" s="3"/>
      <c r="B729" s="2"/>
      <c r="C729" s="2"/>
      <c r="D729" s="2"/>
      <c r="E729" s="464"/>
      <c r="F729" s="2"/>
      <c r="G729" s="2"/>
      <c r="H729" s="2"/>
      <c r="I729" s="2"/>
      <c r="J729" s="2"/>
      <c r="K729" s="2"/>
      <c r="L729" s="2"/>
      <c r="M729" s="2"/>
      <c r="N729" s="2"/>
      <c r="O729" s="2"/>
      <c r="P729" s="2"/>
      <c r="Q729" s="2"/>
      <c r="R729" s="255"/>
      <c r="S729" s="3"/>
      <c r="T729" s="3"/>
      <c r="U729" s="3"/>
      <c r="V729" s="3"/>
      <c r="W729" s="3"/>
      <c r="X729" s="3"/>
      <c r="Y729" s="3"/>
      <c r="Z729" s="3"/>
    </row>
    <row r="730" ht="15.75" customHeight="1">
      <c r="A730" s="3"/>
      <c r="B730" s="2"/>
      <c r="C730" s="2"/>
      <c r="D730" s="2"/>
      <c r="E730" s="464"/>
      <c r="F730" s="2"/>
      <c r="G730" s="2"/>
      <c r="H730" s="2"/>
      <c r="I730" s="2"/>
      <c r="J730" s="2"/>
      <c r="K730" s="2"/>
      <c r="L730" s="2"/>
      <c r="M730" s="2"/>
      <c r="N730" s="2"/>
      <c r="O730" s="2"/>
      <c r="P730" s="2"/>
      <c r="Q730" s="2"/>
      <c r="R730" s="255"/>
      <c r="S730" s="3"/>
      <c r="T730" s="3"/>
      <c r="U730" s="3"/>
      <c r="V730" s="3"/>
      <c r="W730" s="3"/>
      <c r="X730" s="3"/>
      <c r="Y730" s="3"/>
      <c r="Z730" s="3"/>
    </row>
    <row r="731" ht="15.75" customHeight="1">
      <c r="A731" s="3"/>
      <c r="B731" s="2"/>
      <c r="C731" s="2"/>
      <c r="D731" s="2"/>
      <c r="E731" s="464"/>
      <c r="F731" s="2"/>
      <c r="G731" s="2"/>
      <c r="H731" s="2"/>
      <c r="I731" s="2"/>
      <c r="J731" s="2"/>
      <c r="K731" s="2"/>
      <c r="L731" s="2"/>
      <c r="M731" s="2"/>
      <c r="N731" s="2"/>
      <c r="O731" s="2"/>
      <c r="P731" s="2"/>
      <c r="Q731" s="2"/>
      <c r="R731" s="255"/>
      <c r="S731" s="3"/>
      <c r="T731" s="3"/>
      <c r="U731" s="3"/>
      <c r="V731" s="3"/>
      <c r="W731" s="3"/>
      <c r="X731" s="3"/>
      <c r="Y731" s="3"/>
      <c r="Z731" s="3"/>
    </row>
    <row r="732" ht="15.75" customHeight="1">
      <c r="A732" s="3"/>
      <c r="B732" s="2"/>
      <c r="C732" s="2"/>
      <c r="D732" s="2"/>
      <c r="E732" s="464"/>
      <c r="F732" s="2"/>
      <c r="G732" s="2"/>
      <c r="H732" s="2"/>
      <c r="I732" s="2"/>
      <c r="J732" s="2"/>
      <c r="K732" s="2"/>
      <c r="L732" s="2"/>
      <c r="M732" s="2"/>
      <c r="N732" s="2"/>
      <c r="O732" s="2"/>
      <c r="P732" s="2"/>
      <c r="Q732" s="2"/>
      <c r="R732" s="255"/>
      <c r="S732" s="3"/>
      <c r="T732" s="3"/>
      <c r="U732" s="3"/>
      <c r="V732" s="3"/>
      <c r="W732" s="3"/>
      <c r="X732" s="3"/>
      <c r="Y732" s="3"/>
      <c r="Z732" s="3"/>
    </row>
    <row r="733" ht="15.75" customHeight="1">
      <c r="A733" s="3"/>
      <c r="B733" s="2"/>
      <c r="C733" s="2"/>
      <c r="D733" s="2"/>
      <c r="E733" s="464"/>
      <c r="F733" s="2"/>
      <c r="G733" s="2"/>
      <c r="H733" s="2"/>
      <c r="I733" s="2"/>
      <c r="J733" s="2"/>
      <c r="K733" s="2"/>
      <c r="L733" s="2"/>
      <c r="M733" s="2"/>
      <c r="N733" s="2"/>
      <c r="O733" s="2"/>
      <c r="P733" s="2"/>
      <c r="Q733" s="2"/>
      <c r="R733" s="255"/>
      <c r="S733" s="3"/>
      <c r="T733" s="3"/>
      <c r="U733" s="3"/>
      <c r="V733" s="3"/>
      <c r="W733" s="3"/>
      <c r="X733" s="3"/>
      <c r="Y733" s="3"/>
      <c r="Z733" s="3"/>
    </row>
    <row r="734" ht="15.75" customHeight="1">
      <c r="A734" s="3"/>
      <c r="B734" s="2"/>
      <c r="C734" s="2"/>
      <c r="D734" s="2"/>
      <c r="E734" s="464"/>
      <c r="F734" s="2"/>
      <c r="G734" s="2"/>
      <c r="H734" s="2"/>
      <c r="I734" s="2"/>
      <c r="J734" s="2"/>
      <c r="K734" s="2"/>
      <c r="L734" s="2"/>
      <c r="M734" s="2"/>
      <c r="N734" s="2"/>
      <c r="O734" s="2"/>
      <c r="P734" s="2"/>
      <c r="Q734" s="2"/>
      <c r="R734" s="255"/>
      <c r="S734" s="3"/>
      <c r="T734" s="3"/>
      <c r="U734" s="3"/>
      <c r="V734" s="3"/>
      <c r="W734" s="3"/>
      <c r="X734" s="3"/>
      <c r="Y734" s="3"/>
      <c r="Z734" s="3"/>
    </row>
    <row r="735" ht="15.75" customHeight="1">
      <c r="A735" s="3"/>
      <c r="B735" s="2"/>
      <c r="C735" s="2"/>
      <c r="D735" s="2"/>
      <c r="E735" s="464"/>
      <c r="F735" s="2"/>
      <c r="G735" s="2"/>
      <c r="H735" s="2"/>
      <c r="I735" s="2"/>
      <c r="J735" s="2"/>
      <c r="K735" s="2"/>
      <c r="L735" s="2"/>
      <c r="M735" s="2"/>
      <c r="N735" s="2"/>
      <c r="O735" s="2"/>
      <c r="P735" s="2"/>
      <c r="Q735" s="2"/>
      <c r="R735" s="255"/>
      <c r="S735" s="3"/>
      <c r="T735" s="3"/>
      <c r="U735" s="3"/>
      <c r="V735" s="3"/>
      <c r="W735" s="3"/>
      <c r="X735" s="3"/>
      <c r="Y735" s="3"/>
      <c r="Z735" s="3"/>
    </row>
    <row r="736" ht="15.75" customHeight="1">
      <c r="A736" s="3"/>
      <c r="B736" s="2"/>
      <c r="C736" s="2"/>
      <c r="D736" s="2"/>
      <c r="E736" s="464"/>
      <c r="F736" s="2"/>
      <c r="G736" s="2"/>
      <c r="H736" s="2"/>
      <c r="I736" s="2"/>
      <c r="J736" s="2"/>
      <c r="K736" s="2"/>
      <c r="L736" s="2"/>
      <c r="M736" s="2"/>
      <c r="N736" s="2"/>
      <c r="O736" s="2"/>
      <c r="P736" s="2"/>
      <c r="Q736" s="2"/>
      <c r="R736" s="255"/>
      <c r="S736" s="3"/>
      <c r="T736" s="3"/>
      <c r="U736" s="3"/>
      <c r="V736" s="3"/>
      <c r="W736" s="3"/>
      <c r="X736" s="3"/>
      <c r="Y736" s="3"/>
      <c r="Z736" s="3"/>
    </row>
    <row r="737" ht="15.75" customHeight="1">
      <c r="A737" s="3"/>
      <c r="B737" s="2"/>
      <c r="C737" s="2"/>
      <c r="D737" s="2"/>
      <c r="E737" s="464"/>
      <c r="F737" s="2"/>
      <c r="G737" s="2"/>
      <c r="H737" s="2"/>
      <c r="I737" s="2"/>
      <c r="J737" s="2"/>
      <c r="K737" s="2"/>
      <c r="L737" s="2"/>
      <c r="M737" s="2"/>
      <c r="N737" s="2"/>
      <c r="O737" s="2"/>
      <c r="P737" s="2"/>
      <c r="Q737" s="2"/>
      <c r="R737" s="255"/>
      <c r="S737" s="3"/>
      <c r="T737" s="3"/>
      <c r="U737" s="3"/>
      <c r="V737" s="3"/>
      <c r="W737" s="3"/>
      <c r="X737" s="3"/>
      <c r="Y737" s="3"/>
      <c r="Z737" s="3"/>
    </row>
    <row r="738" ht="15.75" customHeight="1">
      <c r="A738" s="3"/>
      <c r="B738" s="2"/>
      <c r="C738" s="2"/>
      <c r="D738" s="2"/>
      <c r="E738" s="464"/>
      <c r="F738" s="2"/>
      <c r="G738" s="2"/>
      <c r="H738" s="2"/>
      <c r="I738" s="2"/>
      <c r="J738" s="2"/>
      <c r="K738" s="2"/>
      <c r="L738" s="2"/>
      <c r="M738" s="2"/>
      <c r="N738" s="2"/>
      <c r="O738" s="2"/>
      <c r="P738" s="2"/>
      <c r="Q738" s="2"/>
      <c r="R738" s="255"/>
      <c r="S738" s="3"/>
      <c r="T738" s="3"/>
      <c r="U738" s="3"/>
      <c r="V738" s="3"/>
      <c r="W738" s="3"/>
      <c r="X738" s="3"/>
      <c r="Y738" s="3"/>
      <c r="Z738" s="3"/>
    </row>
    <row r="739" ht="15.75" customHeight="1">
      <c r="A739" s="3"/>
      <c r="B739" s="2"/>
      <c r="C739" s="2"/>
      <c r="D739" s="2"/>
      <c r="E739" s="464"/>
      <c r="F739" s="2"/>
      <c r="G739" s="2"/>
      <c r="H739" s="2"/>
      <c r="I739" s="2"/>
      <c r="J739" s="2"/>
      <c r="K739" s="2"/>
      <c r="L739" s="2"/>
      <c r="M739" s="2"/>
      <c r="N739" s="2"/>
      <c r="O739" s="2"/>
      <c r="P739" s="2"/>
      <c r="Q739" s="2"/>
      <c r="R739" s="255"/>
      <c r="S739" s="3"/>
      <c r="T739" s="3"/>
      <c r="U739" s="3"/>
      <c r="V739" s="3"/>
      <c r="W739" s="3"/>
      <c r="X739" s="3"/>
      <c r="Y739" s="3"/>
      <c r="Z739" s="3"/>
    </row>
    <row r="740" ht="15.75" customHeight="1">
      <c r="A740" s="3"/>
      <c r="B740" s="2"/>
      <c r="C740" s="2"/>
      <c r="D740" s="2"/>
      <c r="E740" s="464"/>
      <c r="F740" s="2"/>
      <c r="G740" s="2"/>
      <c r="H740" s="2"/>
      <c r="I740" s="2"/>
      <c r="J740" s="2"/>
      <c r="K740" s="2"/>
      <c r="L740" s="2"/>
      <c r="M740" s="2"/>
      <c r="N740" s="2"/>
      <c r="O740" s="2"/>
      <c r="P740" s="2"/>
      <c r="Q740" s="2"/>
      <c r="R740" s="255"/>
      <c r="S740" s="3"/>
      <c r="T740" s="3"/>
      <c r="U740" s="3"/>
      <c r="V740" s="3"/>
      <c r="W740" s="3"/>
      <c r="X740" s="3"/>
      <c r="Y740" s="3"/>
      <c r="Z740" s="3"/>
    </row>
    <row r="741" ht="15.75" customHeight="1">
      <c r="A741" s="3"/>
      <c r="B741" s="2"/>
      <c r="C741" s="2"/>
      <c r="D741" s="2"/>
      <c r="E741" s="464"/>
      <c r="F741" s="2"/>
      <c r="G741" s="2"/>
      <c r="H741" s="2"/>
      <c r="I741" s="2"/>
      <c r="J741" s="2"/>
      <c r="K741" s="2"/>
      <c r="L741" s="2"/>
      <c r="M741" s="2"/>
      <c r="N741" s="2"/>
      <c r="O741" s="2"/>
      <c r="P741" s="2"/>
      <c r="Q741" s="2"/>
      <c r="R741" s="255"/>
      <c r="S741" s="3"/>
      <c r="T741" s="3"/>
      <c r="U741" s="3"/>
      <c r="V741" s="3"/>
      <c r="W741" s="3"/>
      <c r="X741" s="3"/>
      <c r="Y741" s="3"/>
      <c r="Z741" s="3"/>
    </row>
    <row r="742" ht="15.75" customHeight="1">
      <c r="A742" s="3"/>
      <c r="B742" s="2"/>
      <c r="C742" s="2"/>
      <c r="D742" s="2"/>
      <c r="E742" s="464"/>
      <c r="F742" s="2"/>
      <c r="G742" s="2"/>
      <c r="H742" s="2"/>
      <c r="I742" s="2"/>
      <c r="J742" s="2"/>
      <c r="K742" s="2"/>
      <c r="L742" s="2"/>
      <c r="M742" s="2"/>
      <c r="N742" s="2"/>
      <c r="O742" s="2"/>
      <c r="P742" s="2"/>
      <c r="Q742" s="2"/>
      <c r="R742" s="255"/>
      <c r="S742" s="3"/>
      <c r="T742" s="3"/>
      <c r="U742" s="3"/>
      <c r="V742" s="3"/>
      <c r="W742" s="3"/>
      <c r="X742" s="3"/>
      <c r="Y742" s="3"/>
      <c r="Z742" s="3"/>
    </row>
    <row r="743" ht="15.75" customHeight="1">
      <c r="A743" s="3"/>
      <c r="B743" s="2"/>
      <c r="C743" s="2"/>
      <c r="D743" s="2"/>
      <c r="E743" s="464"/>
      <c r="F743" s="2"/>
      <c r="G743" s="2"/>
      <c r="H743" s="2"/>
      <c r="I743" s="2"/>
      <c r="J743" s="2"/>
      <c r="K743" s="2"/>
      <c r="L743" s="2"/>
      <c r="M743" s="2"/>
      <c r="N743" s="2"/>
      <c r="O743" s="2"/>
      <c r="P743" s="2"/>
      <c r="Q743" s="2"/>
      <c r="R743" s="255"/>
      <c r="S743" s="3"/>
      <c r="T743" s="3"/>
      <c r="U743" s="3"/>
      <c r="V743" s="3"/>
      <c r="W743" s="3"/>
      <c r="X743" s="3"/>
      <c r="Y743" s="3"/>
      <c r="Z743" s="3"/>
    </row>
    <row r="744" ht="15.75" customHeight="1">
      <c r="A744" s="3"/>
      <c r="B744" s="2"/>
      <c r="C744" s="2"/>
      <c r="D744" s="2"/>
      <c r="E744" s="464"/>
      <c r="F744" s="2"/>
      <c r="G744" s="2"/>
      <c r="H744" s="2"/>
      <c r="I744" s="2"/>
      <c r="J744" s="2"/>
      <c r="K744" s="2"/>
      <c r="L744" s="2"/>
      <c r="M744" s="2"/>
      <c r="N744" s="2"/>
      <c r="O744" s="2"/>
      <c r="P744" s="2"/>
      <c r="Q744" s="2"/>
      <c r="R744" s="255"/>
      <c r="S744" s="3"/>
      <c r="T744" s="3"/>
      <c r="U744" s="3"/>
      <c r="V744" s="3"/>
      <c r="W744" s="3"/>
      <c r="X744" s="3"/>
      <c r="Y744" s="3"/>
      <c r="Z744" s="3"/>
    </row>
    <row r="745" ht="15.75" customHeight="1">
      <c r="A745" s="3"/>
      <c r="B745" s="2"/>
      <c r="C745" s="2"/>
      <c r="D745" s="2"/>
      <c r="E745" s="464"/>
      <c r="F745" s="2"/>
      <c r="G745" s="2"/>
      <c r="H745" s="2"/>
      <c r="I745" s="2"/>
      <c r="J745" s="2"/>
      <c r="K745" s="2"/>
      <c r="L745" s="2"/>
      <c r="M745" s="2"/>
      <c r="N745" s="2"/>
      <c r="O745" s="2"/>
      <c r="P745" s="2"/>
      <c r="Q745" s="2"/>
      <c r="R745" s="255"/>
      <c r="S745" s="3"/>
      <c r="T745" s="3"/>
      <c r="U745" s="3"/>
      <c r="V745" s="3"/>
      <c r="W745" s="3"/>
      <c r="X745" s="3"/>
      <c r="Y745" s="3"/>
      <c r="Z745" s="3"/>
    </row>
    <row r="746" ht="15.75" customHeight="1">
      <c r="A746" s="3"/>
      <c r="B746" s="2"/>
      <c r="C746" s="2"/>
      <c r="D746" s="2"/>
      <c r="E746" s="464"/>
      <c r="F746" s="2"/>
      <c r="G746" s="2"/>
      <c r="H746" s="2"/>
      <c r="I746" s="2"/>
      <c r="J746" s="2"/>
      <c r="K746" s="2"/>
      <c r="L746" s="2"/>
      <c r="M746" s="2"/>
      <c r="N746" s="2"/>
      <c r="O746" s="2"/>
      <c r="P746" s="2"/>
      <c r="Q746" s="2"/>
      <c r="R746" s="255"/>
      <c r="S746" s="3"/>
      <c r="T746" s="3"/>
      <c r="U746" s="3"/>
      <c r="V746" s="3"/>
      <c r="W746" s="3"/>
      <c r="X746" s="3"/>
      <c r="Y746" s="3"/>
      <c r="Z746" s="3"/>
    </row>
    <row r="747" ht="15.75" customHeight="1">
      <c r="A747" s="3"/>
      <c r="B747" s="2"/>
      <c r="C747" s="2"/>
      <c r="D747" s="2"/>
      <c r="E747" s="464"/>
      <c r="F747" s="2"/>
      <c r="G747" s="2"/>
      <c r="H747" s="2"/>
      <c r="I747" s="2"/>
      <c r="J747" s="2"/>
      <c r="K747" s="2"/>
      <c r="L747" s="2"/>
      <c r="M747" s="2"/>
      <c r="N747" s="2"/>
      <c r="O747" s="2"/>
      <c r="P747" s="2"/>
      <c r="Q747" s="2"/>
      <c r="R747" s="255"/>
      <c r="S747" s="3"/>
      <c r="T747" s="3"/>
      <c r="U747" s="3"/>
      <c r="V747" s="3"/>
      <c r="W747" s="3"/>
      <c r="X747" s="3"/>
      <c r="Y747" s="3"/>
      <c r="Z747" s="3"/>
    </row>
    <row r="748" ht="15.75" customHeight="1">
      <c r="A748" s="3"/>
      <c r="B748" s="2"/>
      <c r="C748" s="2"/>
      <c r="D748" s="2"/>
      <c r="E748" s="464"/>
      <c r="F748" s="2"/>
      <c r="G748" s="2"/>
      <c r="H748" s="2"/>
      <c r="I748" s="2"/>
      <c r="J748" s="2"/>
      <c r="K748" s="2"/>
      <c r="L748" s="2"/>
      <c r="M748" s="2"/>
      <c r="N748" s="2"/>
      <c r="O748" s="2"/>
      <c r="P748" s="2"/>
      <c r="Q748" s="2"/>
      <c r="R748" s="255"/>
      <c r="S748" s="3"/>
      <c r="T748" s="3"/>
      <c r="U748" s="3"/>
      <c r="V748" s="3"/>
      <c r="W748" s="3"/>
      <c r="X748" s="3"/>
      <c r="Y748" s="3"/>
      <c r="Z748" s="3"/>
    </row>
    <row r="749" ht="15.75" customHeight="1">
      <c r="A749" s="3"/>
      <c r="B749" s="2"/>
      <c r="C749" s="2"/>
      <c r="D749" s="2"/>
      <c r="E749" s="464"/>
      <c r="F749" s="2"/>
      <c r="G749" s="2"/>
      <c r="H749" s="2"/>
      <c r="I749" s="2"/>
      <c r="J749" s="2"/>
      <c r="K749" s="2"/>
      <c r="L749" s="2"/>
      <c r="M749" s="2"/>
      <c r="N749" s="2"/>
      <c r="O749" s="2"/>
      <c r="P749" s="2"/>
      <c r="Q749" s="2"/>
      <c r="R749" s="255"/>
      <c r="S749" s="3"/>
      <c r="T749" s="3"/>
      <c r="U749" s="3"/>
      <c r="V749" s="3"/>
      <c r="W749" s="3"/>
      <c r="X749" s="3"/>
      <c r="Y749" s="3"/>
      <c r="Z749" s="3"/>
    </row>
    <row r="750" ht="15.75" customHeight="1">
      <c r="A750" s="3"/>
      <c r="B750" s="2"/>
      <c r="C750" s="2"/>
      <c r="D750" s="2"/>
      <c r="E750" s="464"/>
      <c r="F750" s="2"/>
      <c r="G750" s="2"/>
      <c r="H750" s="2"/>
      <c r="I750" s="2"/>
      <c r="J750" s="2"/>
      <c r="K750" s="2"/>
      <c r="L750" s="2"/>
      <c r="M750" s="2"/>
      <c r="N750" s="2"/>
      <c r="O750" s="2"/>
      <c r="P750" s="2"/>
      <c r="Q750" s="2"/>
      <c r="R750" s="255"/>
      <c r="S750" s="3"/>
      <c r="T750" s="3"/>
      <c r="U750" s="3"/>
      <c r="V750" s="3"/>
      <c r="W750" s="3"/>
      <c r="X750" s="3"/>
      <c r="Y750" s="3"/>
      <c r="Z750" s="3"/>
    </row>
    <row r="751" ht="15.75" customHeight="1">
      <c r="A751" s="3"/>
      <c r="B751" s="2"/>
      <c r="C751" s="2"/>
      <c r="D751" s="2"/>
      <c r="E751" s="464"/>
      <c r="F751" s="2"/>
      <c r="G751" s="2"/>
      <c r="H751" s="2"/>
      <c r="I751" s="2"/>
      <c r="J751" s="2"/>
      <c r="K751" s="2"/>
      <c r="L751" s="2"/>
      <c r="M751" s="2"/>
      <c r="N751" s="2"/>
      <c r="O751" s="2"/>
      <c r="P751" s="2"/>
      <c r="Q751" s="2"/>
      <c r="R751" s="255"/>
      <c r="S751" s="3"/>
      <c r="T751" s="3"/>
      <c r="U751" s="3"/>
      <c r="V751" s="3"/>
      <c r="W751" s="3"/>
      <c r="X751" s="3"/>
      <c r="Y751" s="3"/>
      <c r="Z751" s="3"/>
    </row>
    <row r="752" ht="15.75" customHeight="1">
      <c r="A752" s="3"/>
      <c r="B752" s="2"/>
      <c r="C752" s="2"/>
      <c r="D752" s="2"/>
      <c r="E752" s="464"/>
      <c r="F752" s="2"/>
      <c r="G752" s="2"/>
      <c r="H752" s="2"/>
      <c r="I752" s="2"/>
      <c r="J752" s="2"/>
      <c r="K752" s="2"/>
      <c r="L752" s="2"/>
      <c r="M752" s="2"/>
      <c r="N752" s="2"/>
      <c r="O752" s="2"/>
      <c r="P752" s="2"/>
      <c r="Q752" s="2"/>
      <c r="R752" s="255"/>
      <c r="S752" s="3"/>
      <c r="T752" s="3"/>
      <c r="U752" s="3"/>
      <c r="V752" s="3"/>
      <c r="W752" s="3"/>
      <c r="X752" s="3"/>
      <c r="Y752" s="3"/>
      <c r="Z752" s="3"/>
    </row>
    <row r="753" ht="15.75" customHeight="1">
      <c r="A753" s="3"/>
      <c r="B753" s="2"/>
      <c r="C753" s="2"/>
      <c r="D753" s="2"/>
      <c r="E753" s="464"/>
      <c r="F753" s="2"/>
      <c r="G753" s="2"/>
      <c r="H753" s="2"/>
      <c r="I753" s="2"/>
      <c r="J753" s="2"/>
      <c r="K753" s="2"/>
      <c r="L753" s="2"/>
      <c r="M753" s="2"/>
      <c r="N753" s="2"/>
      <c r="O753" s="2"/>
      <c r="P753" s="2"/>
      <c r="Q753" s="2"/>
      <c r="R753" s="255"/>
      <c r="S753" s="3"/>
      <c r="T753" s="3"/>
      <c r="U753" s="3"/>
      <c r="V753" s="3"/>
      <c r="W753" s="3"/>
      <c r="X753" s="3"/>
      <c r="Y753" s="3"/>
      <c r="Z753" s="3"/>
    </row>
    <row r="754" ht="15.75" customHeight="1">
      <c r="A754" s="3"/>
      <c r="B754" s="2"/>
      <c r="C754" s="2"/>
      <c r="D754" s="2"/>
      <c r="E754" s="464"/>
      <c r="F754" s="2"/>
      <c r="G754" s="2"/>
      <c r="H754" s="2"/>
      <c r="I754" s="2"/>
      <c r="J754" s="2"/>
      <c r="K754" s="2"/>
      <c r="L754" s="2"/>
      <c r="M754" s="2"/>
      <c r="N754" s="2"/>
      <c r="O754" s="2"/>
      <c r="P754" s="2"/>
      <c r="Q754" s="2"/>
      <c r="R754" s="255"/>
      <c r="S754" s="3"/>
      <c r="T754" s="3"/>
      <c r="U754" s="3"/>
      <c r="V754" s="3"/>
      <c r="W754" s="3"/>
      <c r="X754" s="3"/>
      <c r="Y754" s="3"/>
      <c r="Z754" s="3"/>
    </row>
    <row r="755" ht="15.75" customHeight="1">
      <c r="A755" s="3"/>
      <c r="B755" s="2"/>
      <c r="C755" s="2"/>
      <c r="D755" s="2"/>
      <c r="E755" s="464"/>
      <c r="F755" s="2"/>
      <c r="G755" s="2"/>
      <c r="H755" s="2"/>
      <c r="I755" s="2"/>
      <c r="J755" s="2"/>
      <c r="K755" s="2"/>
      <c r="L755" s="2"/>
      <c r="M755" s="2"/>
      <c r="N755" s="2"/>
      <c r="O755" s="2"/>
      <c r="P755" s="2"/>
      <c r="Q755" s="2"/>
      <c r="R755" s="255"/>
      <c r="S755" s="3"/>
      <c r="T755" s="3"/>
      <c r="U755" s="3"/>
      <c r="V755" s="3"/>
      <c r="W755" s="3"/>
      <c r="X755" s="3"/>
      <c r="Y755" s="3"/>
      <c r="Z755" s="3"/>
    </row>
    <row r="756" ht="15.75" customHeight="1">
      <c r="A756" s="3"/>
      <c r="B756" s="2"/>
      <c r="C756" s="2"/>
      <c r="D756" s="2"/>
      <c r="E756" s="464"/>
      <c r="F756" s="2"/>
      <c r="G756" s="2"/>
      <c r="H756" s="2"/>
      <c r="I756" s="2"/>
      <c r="J756" s="2"/>
      <c r="K756" s="2"/>
      <c r="L756" s="2"/>
      <c r="M756" s="2"/>
      <c r="N756" s="2"/>
      <c r="O756" s="2"/>
      <c r="P756" s="2"/>
      <c r="Q756" s="2"/>
      <c r="R756" s="255"/>
      <c r="S756" s="3"/>
      <c r="T756" s="3"/>
      <c r="U756" s="3"/>
      <c r="V756" s="3"/>
      <c r="W756" s="3"/>
      <c r="X756" s="3"/>
      <c r="Y756" s="3"/>
      <c r="Z756" s="3"/>
    </row>
    <row r="757" ht="15.75" customHeight="1">
      <c r="A757" s="3"/>
      <c r="B757" s="2"/>
      <c r="C757" s="2"/>
      <c r="D757" s="2"/>
      <c r="E757" s="464"/>
      <c r="F757" s="2"/>
      <c r="G757" s="2"/>
      <c r="H757" s="2"/>
      <c r="I757" s="2"/>
      <c r="J757" s="2"/>
      <c r="K757" s="2"/>
      <c r="L757" s="2"/>
      <c r="M757" s="2"/>
      <c r="N757" s="2"/>
      <c r="O757" s="2"/>
      <c r="P757" s="2"/>
      <c r="Q757" s="2"/>
      <c r="R757" s="255"/>
      <c r="S757" s="3"/>
      <c r="T757" s="3"/>
      <c r="U757" s="3"/>
      <c r="V757" s="3"/>
      <c r="W757" s="3"/>
      <c r="X757" s="3"/>
      <c r="Y757" s="3"/>
      <c r="Z757" s="3"/>
    </row>
    <row r="758" ht="15.75" customHeight="1">
      <c r="A758" s="3"/>
      <c r="B758" s="2"/>
      <c r="C758" s="2"/>
      <c r="D758" s="2"/>
      <c r="E758" s="464"/>
      <c r="F758" s="2"/>
      <c r="G758" s="2"/>
      <c r="H758" s="2"/>
      <c r="I758" s="2"/>
      <c r="J758" s="2"/>
      <c r="K758" s="2"/>
      <c r="L758" s="2"/>
      <c r="M758" s="2"/>
      <c r="N758" s="2"/>
      <c r="O758" s="2"/>
      <c r="P758" s="2"/>
      <c r="Q758" s="2"/>
      <c r="R758" s="255"/>
      <c r="S758" s="3"/>
      <c r="T758" s="3"/>
      <c r="U758" s="3"/>
      <c r="V758" s="3"/>
      <c r="W758" s="3"/>
      <c r="X758" s="3"/>
      <c r="Y758" s="3"/>
      <c r="Z758" s="3"/>
    </row>
    <row r="759" ht="15.75" customHeight="1">
      <c r="A759" s="3"/>
      <c r="B759" s="2"/>
      <c r="C759" s="2"/>
      <c r="D759" s="2"/>
      <c r="E759" s="464"/>
      <c r="F759" s="2"/>
      <c r="G759" s="2"/>
      <c r="H759" s="2"/>
      <c r="I759" s="2"/>
      <c r="J759" s="2"/>
      <c r="K759" s="2"/>
      <c r="L759" s="2"/>
      <c r="M759" s="2"/>
      <c r="N759" s="2"/>
      <c r="O759" s="2"/>
      <c r="P759" s="2"/>
      <c r="Q759" s="2"/>
      <c r="R759" s="255"/>
      <c r="S759" s="3"/>
      <c r="T759" s="3"/>
      <c r="U759" s="3"/>
      <c r="V759" s="3"/>
      <c r="W759" s="3"/>
      <c r="X759" s="3"/>
      <c r="Y759" s="3"/>
      <c r="Z759" s="3"/>
    </row>
    <row r="760" ht="15.75" customHeight="1">
      <c r="A760" s="3"/>
      <c r="B760" s="2"/>
      <c r="C760" s="2"/>
      <c r="D760" s="2"/>
      <c r="E760" s="464"/>
      <c r="F760" s="2"/>
      <c r="G760" s="2"/>
      <c r="H760" s="2"/>
      <c r="I760" s="2"/>
      <c r="J760" s="2"/>
      <c r="K760" s="2"/>
      <c r="L760" s="2"/>
      <c r="M760" s="2"/>
      <c r="N760" s="2"/>
      <c r="O760" s="2"/>
      <c r="P760" s="2"/>
      <c r="Q760" s="2"/>
      <c r="R760" s="255"/>
      <c r="S760" s="3"/>
      <c r="T760" s="3"/>
      <c r="U760" s="3"/>
      <c r="V760" s="3"/>
      <c r="W760" s="3"/>
      <c r="X760" s="3"/>
      <c r="Y760" s="3"/>
      <c r="Z760" s="3"/>
    </row>
    <row r="761" ht="15.75" customHeight="1">
      <c r="A761" s="3"/>
      <c r="B761" s="2"/>
      <c r="C761" s="2"/>
      <c r="D761" s="2"/>
      <c r="E761" s="464"/>
      <c r="F761" s="2"/>
      <c r="G761" s="2"/>
      <c r="H761" s="2"/>
      <c r="I761" s="2"/>
      <c r="J761" s="2"/>
      <c r="K761" s="2"/>
      <c r="L761" s="2"/>
      <c r="M761" s="2"/>
      <c r="N761" s="2"/>
      <c r="O761" s="2"/>
      <c r="P761" s="2"/>
      <c r="Q761" s="2"/>
      <c r="R761" s="255"/>
      <c r="S761" s="3"/>
      <c r="T761" s="3"/>
      <c r="U761" s="3"/>
      <c r="V761" s="3"/>
      <c r="W761" s="3"/>
      <c r="X761" s="3"/>
      <c r="Y761" s="3"/>
      <c r="Z761" s="3"/>
    </row>
    <row r="762" ht="15.75" customHeight="1">
      <c r="A762" s="3"/>
      <c r="B762" s="2"/>
      <c r="C762" s="2"/>
      <c r="D762" s="2"/>
      <c r="E762" s="464"/>
      <c r="F762" s="2"/>
      <c r="G762" s="2"/>
      <c r="H762" s="2"/>
      <c r="I762" s="2"/>
      <c r="J762" s="2"/>
      <c r="K762" s="2"/>
      <c r="L762" s="2"/>
      <c r="M762" s="2"/>
      <c r="N762" s="2"/>
      <c r="O762" s="2"/>
      <c r="P762" s="2"/>
      <c r="Q762" s="2"/>
      <c r="R762" s="255"/>
      <c r="S762" s="3"/>
      <c r="T762" s="3"/>
      <c r="U762" s="3"/>
      <c r="V762" s="3"/>
      <c r="W762" s="3"/>
      <c r="X762" s="3"/>
      <c r="Y762" s="3"/>
      <c r="Z762" s="3"/>
    </row>
    <row r="763" ht="15.75" customHeight="1">
      <c r="A763" s="3"/>
      <c r="B763" s="2"/>
      <c r="C763" s="2"/>
      <c r="D763" s="2"/>
      <c r="E763" s="464"/>
      <c r="F763" s="2"/>
      <c r="G763" s="2"/>
      <c r="H763" s="2"/>
      <c r="I763" s="2"/>
      <c r="J763" s="2"/>
      <c r="K763" s="2"/>
      <c r="L763" s="2"/>
      <c r="M763" s="2"/>
      <c r="N763" s="2"/>
      <c r="O763" s="2"/>
      <c r="P763" s="2"/>
      <c r="Q763" s="2"/>
      <c r="R763" s="255"/>
      <c r="S763" s="3"/>
      <c r="T763" s="3"/>
      <c r="U763" s="3"/>
      <c r="V763" s="3"/>
      <c r="W763" s="3"/>
      <c r="X763" s="3"/>
      <c r="Y763" s="3"/>
      <c r="Z763" s="3"/>
    </row>
    <row r="764" ht="15.75" customHeight="1">
      <c r="A764" s="3"/>
      <c r="B764" s="2"/>
      <c r="C764" s="2"/>
      <c r="D764" s="2"/>
      <c r="E764" s="464"/>
      <c r="F764" s="2"/>
      <c r="G764" s="2"/>
      <c r="H764" s="2"/>
      <c r="I764" s="2"/>
      <c r="J764" s="2"/>
      <c r="K764" s="2"/>
      <c r="L764" s="2"/>
      <c r="M764" s="2"/>
      <c r="N764" s="2"/>
      <c r="O764" s="2"/>
      <c r="P764" s="2"/>
      <c r="Q764" s="2"/>
      <c r="R764" s="255"/>
      <c r="S764" s="3"/>
      <c r="T764" s="3"/>
      <c r="U764" s="3"/>
      <c r="V764" s="3"/>
      <c r="W764" s="3"/>
      <c r="X764" s="3"/>
      <c r="Y764" s="3"/>
      <c r="Z764" s="3"/>
    </row>
    <row r="765" ht="15.75" customHeight="1">
      <c r="A765" s="3"/>
      <c r="B765" s="2"/>
      <c r="C765" s="2"/>
      <c r="D765" s="2"/>
      <c r="E765" s="464"/>
      <c r="F765" s="2"/>
      <c r="G765" s="2"/>
      <c r="H765" s="2"/>
      <c r="I765" s="2"/>
      <c r="J765" s="2"/>
      <c r="K765" s="2"/>
      <c r="L765" s="2"/>
      <c r="M765" s="2"/>
      <c r="N765" s="2"/>
      <c r="O765" s="2"/>
      <c r="P765" s="2"/>
      <c r="Q765" s="2"/>
      <c r="R765" s="255"/>
      <c r="S765" s="3"/>
      <c r="T765" s="3"/>
      <c r="U765" s="3"/>
      <c r="V765" s="3"/>
      <c r="W765" s="3"/>
      <c r="X765" s="3"/>
      <c r="Y765" s="3"/>
      <c r="Z765" s="3"/>
    </row>
    <row r="766" ht="15.75" customHeight="1">
      <c r="A766" s="3"/>
      <c r="B766" s="2"/>
      <c r="C766" s="2"/>
      <c r="D766" s="2"/>
      <c r="E766" s="464"/>
      <c r="F766" s="2"/>
      <c r="G766" s="2"/>
      <c r="H766" s="2"/>
      <c r="I766" s="2"/>
      <c r="J766" s="2"/>
      <c r="K766" s="2"/>
      <c r="L766" s="2"/>
      <c r="M766" s="2"/>
      <c r="N766" s="2"/>
      <c r="O766" s="2"/>
      <c r="P766" s="2"/>
      <c r="Q766" s="2"/>
      <c r="R766" s="255"/>
      <c r="S766" s="3"/>
      <c r="T766" s="3"/>
      <c r="U766" s="3"/>
      <c r="V766" s="3"/>
      <c r="W766" s="3"/>
      <c r="X766" s="3"/>
      <c r="Y766" s="3"/>
      <c r="Z766" s="3"/>
    </row>
    <row r="767" ht="15.75" customHeight="1">
      <c r="A767" s="3"/>
      <c r="B767" s="2"/>
      <c r="C767" s="2"/>
      <c r="D767" s="2"/>
      <c r="E767" s="464"/>
      <c r="F767" s="2"/>
      <c r="G767" s="2"/>
      <c r="H767" s="2"/>
      <c r="I767" s="2"/>
      <c r="J767" s="2"/>
      <c r="K767" s="2"/>
      <c r="L767" s="2"/>
      <c r="M767" s="2"/>
      <c r="N767" s="2"/>
      <c r="O767" s="2"/>
      <c r="P767" s="2"/>
      <c r="Q767" s="2"/>
      <c r="R767" s="255"/>
      <c r="S767" s="3"/>
      <c r="T767" s="3"/>
      <c r="U767" s="3"/>
      <c r="V767" s="3"/>
      <c r="W767" s="3"/>
      <c r="X767" s="3"/>
      <c r="Y767" s="3"/>
      <c r="Z767" s="3"/>
    </row>
    <row r="768" ht="15.75" customHeight="1">
      <c r="A768" s="3"/>
      <c r="B768" s="2"/>
      <c r="C768" s="2"/>
      <c r="D768" s="2"/>
      <c r="E768" s="464"/>
      <c r="F768" s="2"/>
      <c r="G768" s="2"/>
      <c r="H768" s="2"/>
      <c r="I768" s="2"/>
      <c r="J768" s="2"/>
      <c r="K768" s="2"/>
      <c r="L768" s="2"/>
      <c r="M768" s="2"/>
      <c r="N768" s="2"/>
      <c r="O768" s="2"/>
      <c r="P768" s="2"/>
      <c r="Q768" s="2"/>
      <c r="R768" s="255"/>
      <c r="S768" s="3"/>
      <c r="T768" s="3"/>
      <c r="U768" s="3"/>
      <c r="V768" s="3"/>
      <c r="W768" s="3"/>
      <c r="X768" s="3"/>
      <c r="Y768" s="3"/>
      <c r="Z768" s="3"/>
    </row>
    <row r="769" ht="15.75" customHeight="1">
      <c r="A769" s="3"/>
      <c r="B769" s="2"/>
      <c r="C769" s="2"/>
      <c r="D769" s="2"/>
      <c r="E769" s="464"/>
      <c r="F769" s="2"/>
      <c r="G769" s="2"/>
      <c r="H769" s="2"/>
      <c r="I769" s="2"/>
      <c r="J769" s="2"/>
      <c r="K769" s="2"/>
      <c r="L769" s="2"/>
      <c r="M769" s="2"/>
      <c r="N769" s="2"/>
      <c r="O769" s="2"/>
      <c r="P769" s="2"/>
      <c r="Q769" s="2"/>
      <c r="R769" s="255"/>
      <c r="S769" s="3"/>
      <c r="T769" s="3"/>
      <c r="U769" s="3"/>
      <c r="V769" s="3"/>
      <c r="W769" s="3"/>
      <c r="X769" s="3"/>
      <c r="Y769" s="3"/>
      <c r="Z769" s="3"/>
    </row>
    <row r="770" ht="15.75" customHeight="1">
      <c r="A770" s="3"/>
      <c r="B770" s="2"/>
      <c r="C770" s="2"/>
      <c r="D770" s="2"/>
      <c r="E770" s="464"/>
      <c r="F770" s="2"/>
      <c r="G770" s="2"/>
      <c r="H770" s="2"/>
      <c r="I770" s="2"/>
      <c r="J770" s="2"/>
      <c r="K770" s="2"/>
      <c r="L770" s="2"/>
      <c r="M770" s="2"/>
      <c r="N770" s="2"/>
      <c r="O770" s="2"/>
      <c r="P770" s="2"/>
      <c r="Q770" s="2"/>
      <c r="R770" s="255"/>
      <c r="S770" s="3"/>
      <c r="T770" s="3"/>
      <c r="U770" s="3"/>
      <c r="V770" s="3"/>
      <c r="W770" s="3"/>
      <c r="X770" s="3"/>
      <c r="Y770" s="3"/>
      <c r="Z770" s="3"/>
    </row>
    <row r="771" ht="15.75" customHeight="1">
      <c r="A771" s="3"/>
      <c r="B771" s="2"/>
      <c r="C771" s="2"/>
      <c r="D771" s="2"/>
      <c r="E771" s="464"/>
      <c r="F771" s="2"/>
      <c r="G771" s="2"/>
      <c r="H771" s="2"/>
      <c r="I771" s="2"/>
      <c r="J771" s="2"/>
      <c r="K771" s="2"/>
      <c r="L771" s="2"/>
      <c r="M771" s="2"/>
      <c r="N771" s="2"/>
      <c r="O771" s="2"/>
      <c r="P771" s="2"/>
      <c r="Q771" s="2"/>
      <c r="R771" s="255"/>
      <c r="S771" s="3"/>
      <c r="T771" s="3"/>
      <c r="U771" s="3"/>
      <c r="V771" s="3"/>
      <c r="W771" s="3"/>
      <c r="X771" s="3"/>
      <c r="Y771" s="3"/>
      <c r="Z771" s="3"/>
    </row>
    <row r="772" ht="15.75" customHeight="1">
      <c r="A772" s="3"/>
      <c r="B772" s="2"/>
      <c r="C772" s="2"/>
      <c r="D772" s="2"/>
      <c r="E772" s="464"/>
      <c r="F772" s="2"/>
      <c r="G772" s="2"/>
      <c r="H772" s="2"/>
      <c r="I772" s="2"/>
      <c r="J772" s="2"/>
      <c r="K772" s="2"/>
      <c r="L772" s="2"/>
      <c r="M772" s="2"/>
      <c r="N772" s="2"/>
      <c r="O772" s="2"/>
      <c r="P772" s="2"/>
      <c r="Q772" s="2"/>
      <c r="R772" s="255"/>
      <c r="S772" s="3"/>
      <c r="T772" s="3"/>
      <c r="U772" s="3"/>
      <c r="V772" s="3"/>
      <c r="W772" s="3"/>
      <c r="X772" s="3"/>
      <c r="Y772" s="3"/>
      <c r="Z772" s="3"/>
    </row>
    <row r="773" ht="15.75" customHeight="1">
      <c r="A773" s="3"/>
      <c r="B773" s="2"/>
      <c r="C773" s="2"/>
      <c r="D773" s="2"/>
      <c r="E773" s="464"/>
      <c r="F773" s="2"/>
      <c r="G773" s="2"/>
      <c r="H773" s="2"/>
      <c r="I773" s="2"/>
      <c r="J773" s="2"/>
      <c r="K773" s="2"/>
      <c r="L773" s="2"/>
      <c r="M773" s="2"/>
      <c r="N773" s="2"/>
      <c r="O773" s="2"/>
      <c r="P773" s="2"/>
      <c r="Q773" s="2"/>
      <c r="R773" s="255"/>
      <c r="S773" s="3"/>
      <c r="T773" s="3"/>
      <c r="U773" s="3"/>
      <c r="V773" s="3"/>
      <c r="W773" s="3"/>
      <c r="X773" s="3"/>
      <c r="Y773" s="3"/>
      <c r="Z773" s="3"/>
    </row>
    <row r="774" ht="15.75" customHeight="1">
      <c r="A774" s="3"/>
      <c r="B774" s="2"/>
      <c r="C774" s="2"/>
      <c r="D774" s="2"/>
      <c r="E774" s="464"/>
      <c r="F774" s="2"/>
      <c r="G774" s="2"/>
      <c r="H774" s="2"/>
      <c r="I774" s="2"/>
      <c r="J774" s="2"/>
      <c r="K774" s="2"/>
      <c r="L774" s="2"/>
      <c r="M774" s="2"/>
      <c r="N774" s="2"/>
      <c r="O774" s="2"/>
      <c r="P774" s="2"/>
      <c r="Q774" s="2"/>
      <c r="R774" s="255"/>
      <c r="S774" s="3"/>
      <c r="T774" s="3"/>
      <c r="U774" s="3"/>
      <c r="V774" s="3"/>
      <c r="W774" s="3"/>
      <c r="X774" s="3"/>
      <c r="Y774" s="3"/>
      <c r="Z774" s="3"/>
    </row>
    <row r="775" ht="15.75" customHeight="1">
      <c r="A775" s="3"/>
      <c r="B775" s="2"/>
      <c r="C775" s="2"/>
      <c r="D775" s="2"/>
      <c r="E775" s="464"/>
      <c r="F775" s="2"/>
      <c r="G775" s="2"/>
      <c r="H775" s="2"/>
      <c r="I775" s="2"/>
      <c r="J775" s="2"/>
      <c r="K775" s="2"/>
      <c r="L775" s="2"/>
      <c r="M775" s="2"/>
      <c r="N775" s="2"/>
      <c r="O775" s="2"/>
      <c r="P775" s="2"/>
      <c r="Q775" s="2"/>
      <c r="R775" s="255"/>
      <c r="S775" s="3"/>
      <c r="T775" s="3"/>
      <c r="U775" s="3"/>
      <c r="V775" s="3"/>
      <c r="W775" s="3"/>
      <c r="X775" s="3"/>
      <c r="Y775" s="3"/>
      <c r="Z775" s="3"/>
    </row>
    <row r="776" ht="15.75" customHeight="1">
      <c r="A776" s="3"/>
      <c r="B776" s="2"/>
      <c r="C776" s="2"/>
      <c r="D776" s="2"/>
      <c r="E776" s="464"/>
      <c r="F776" s="2"/>
      <c r="G776" s="2"/>
      <c r="H776" s="2"/>
      <c r="I776" s="2"/>
      <c r="J776" s="2"/>
      <c r="K776" s="2"/>
      <c r="L776" s="2"/>
      <c r="M776" s="2"/>
      <c r="N776" s="2"/>
      <c r="O776" s="2"/>
      <c r="P776" s="2"/>
      <c r="Q776" s="2"/>
      <c r="R776" s="255"/>
      <c r="S776" s="3"/>
      <c r="T776" s="3"/>
      <c r="U776" s="3"/>
      <c r="V776" s="3"/>
      <c r="W776" s="3"/>
      <c r="X776" s="3"/>
      <c r="Y776" s="3"/>
      <c r="Z776" s="3"/>
    </row>
    <row r="777" ht="15.75" customHeight="1">
      <c r="A777" s="3"/>
      <c r="B777" s="2"/>
      <c r="C777" s="2"/>
      <c r="D777" s="2"/>
      <c r="E777" s="464"/>
      <c r="F777" s="2"/>
      <c r="G777" s="2"/>
      <c r="H777" s="2"/>
      <c r="I777" s="2"/>
      <c r="J777" s="2"/>
      <c r="K777" s="2"/>
      <c r="L777" s="2"/>
      <c r="M777" s="2"/>
      <c r="N777" s="2"/>
      <c r="O777" s="2"/>
      <c r="P777" s="2"/>
      <c r="Q777" s="2"/>
      <c r="R777" s="255"/>
      <c r="S777" s="3"/>
      <c r="T777" s="3"/>
      <c r="U777" s="3"/>
      <c r="V777" s="3"/>
      <c r="W777" s="3"/>
      <c r="X777" s="3"/>
      <c r="Y777" s="3"/>
      <c r="Z777" s="3"/>
    </row>
    <row r="778" ht="15.75" customHeight="1">
      <c r="A778" s="3"/>
      <c r="B778" s="2"/>
      <c r="C778" s="2"/>
      <c r="D778" s="2"/>
      <c r="E778" s="464"/>
      <c r="F778" s="2"/>
      <c r="G778" s="2"/>
      <c r="H778" s="2"/>
      <c r="I778" s="2"/>
      <c r="J778" s="2"/>
      <c r="K778" s="2"/>
      <c r="L778" s="2"/>
      <c r="M778" s="2"/>
      <c r="N778" s="2"/>
      <c r="O778" s="2"/>
      <c r="P778" s="2"/>
      <c r="Q778" s="2"/>
      <c r="R778" s="255"/>
      <c r="S778" s="3"/>
      <c r="T778" s="3"/>
      <c r="U778" s="3"/>
      <c r="V778" s="3"/>
      <c r="W778" s="3"/>
      <c r="X778" s="3"/>
      <c r="Y778" s="3"/>
      <c r="Z778" s="3"/>
    </row>
    <row r="779" ht="15.75" customHeight="1">
      <c r="A779" s="3"/>
      <c r="B779" s="2"/>
      <c r="C779" s="2"/>
      <c r="D779" s="2"/>
      <c r="E779" s="464"/>
      <c r="F779" s="2"/>
      <c r="G779" s="2"/>
      <c r="H779" s="2"/>
      <c r="I779" s="2"/>
      <c r="J779" s="2"/>
      <c r="K779" s="2"/>
      <c r="L779" s="2"/>
      <c r="M779" s="2"/>
      <c r="N779" s="2"/>
      <c r="O779" s="2"/>
      <c r="P779" s="2"/>
      <c r="Q779" s="2"/>
      <c r="R779" s="255"/>
      <c r="S779" s="3"/>
      <c r="T779" s="3"/>
      <c r="U779" s="3"/>
      <c r="V779" s="3"/>
      <c r="W779" s="3"/>
      <c r="X779" s="3"/>
      <c r="Y779" s="3"/>
      <c r="Z779" s="3"/>
    </row>
    <row r="780" ht="15.75" customHeight="1">
      <c r="A780" s="3"/>
      <c r="B780" s="2"/>
      <c r="C780" s="2"/>
      <c r="D780" s="2"/>
      <c r="E780" s="464"/>
      <c r="F780" s="2"/>
      <c r="G780" s="2"/>
      <c r="H780" s="2"/>
      <c r="I780" s="2"/>
      <c r="J780" s="2"/>
      <c r="K780" s="2"/>
      <c r="L780" s="2"/>
      <c r="M780" s="2"/>
      <c r="N780" s="2"/>
      <c r="O780" s="2"/>
      <c r="P780" s="2"/>
      <c r="Q780" s="2"/>
      <c r="R780" s="255"/>
      <c r="S780" s="3"/>
      <c r="T780" s="3"/>
      <c r="U780" s="3"/>
      <c r="V780" s="3"/>
      <c r="W780" s="3"/>
      <c r="X780" s="3"/>
      <c r="Y780" s="3"/>
      <c r="Z780" s="3"/>
    </row>
    <row r="781" ht="15.75" customHeight="1">
      <c r="A781" s="3"/>
      <c r="B781" s="2"/>
      <c r="C781" s="2"/>
      <c r="D781" s="2"/>
      <c r="E781" s="464"/>
      <c r="F781" s="2"/>
      <c r="G781" s="2"/>
      <c r="H781" s="2"/>
      <c r="I781" s="2"/>
      <c r="J781" s="2"/>
      <c r="K781" s="2"/>
      <c r="L781" s="2"/>
      <c r="M781" s="2"/>
      <c r="N781" s="2"/>
      <c r="O781" s="2"/>
      <c r="P781" s="2"/>
      <c r="Q781" s="2"/>
      <c r="R781" s="255"/>
      <c r="S781" s="3"/>
      <c r="T781" s="3"/>
      <c r="U781" s="3"/>
      <c r="V781" s="3"/>
      <c r="W781" s="3"/>
      <c r="X781" s="3"/>
      <c r="Y781" s="3"/>
      <c r="Z781" s="3"/>
    </row>
    <row r="782" ht="15.75" customHeight="1">
      <c r="A782" s="3"/>
      <c r="B782" s="2"/>
      <c r="C782" s="2"/>
      <c r="D782" s="2"/>
      <c r="E782" s="464"/>
      <c r="F782" s="2"/>
      <c r="G782" s="2"/>
      <c r="H782" s="2"/>
      <c r="I782" s="2"/>
      <c r="J782" s="2"/>
      <c r="K782" s="2"/>
      <c r="L782" s="2"/>
      <c r="M782" s="2"/>
      <c r="N782" s="2"/>
      <c r="O782" s="2"/>
      <c r="P782" s="2"/>
      <c r="Q782" s="2"/>
      <c r="R782" s="255"/>
      <c r="S782" s="3"/>
      <c r="T782" s="3"/>
      <c r="U782" s="3"/>
      <c r="V782" s="3"/>
      <c r="W782" s="3"/>
      <c r="X782" s="3"/>
      <c r="Y782" s="3"/>
      <c r="Z782" s="3"/>
    </row>
    <row r="783" ht="15.75" customHeight="1">
      <c r="A783" s="3"/>
      <c r="B783" s="2"/>
      <c r="C783" s="2"/>
      <c r="D783" s="2"/>
      <c r="E783" s="464"/>
      <c r="F783" s="2"/>
      <c r="G783" s="2"/>
      <c r="H783" s="2"/>
      <c r="I783" s="2"/>
      <c r="J783" s="2"/>
      <c r="K783" s="2"/>
      <c r="L783" s="2"/>
      <c r="M783" s="2"/>
      <c r="N783" s="2"/>
      <c r="O783" s="2"/>
      <c r="P783" s="2"/>
      <c r="Q783" s="2"/>
      <c r="R783" s="255"/>
      <c r="S783" s="3"/>
      <c r="T783" s="3"/>
      <c r="U783" s="3"/>
      <c r="V783" s="3"/>
      <c r="W783" s="3"/>
      <c r="X783" s="3"/>
      <c r="Y783" s="3"/>
      <c r="Z783" s="3"/>
    </row>
    <row r="784" ht="15.75" customHeight="1">
      <c r="A784" s="3"/>
      <c r="B784" s="2"/>
      <c r="C784" s="2"/>
      <c r="D784" s="2"/>
      <c r="E784" s="464"/>
      <c r="F784" s="2"/>
      <c r="G784" s="2"/>
      <c r="H784" s="2"/>
      <c r="I784" s="2"/>
      <c r="J784" s="2"/>
      <c r="K784" s="2"/>
      <c r="L784" s="2"/>
      <c r="M784" s="2"/>
      <c r="N784" s="2"/>
      <c r="O784" s="2"/>
      <c r="P784" s="2"/>
      <c r="Q784" s="2"/>
      <c r="R784" s="255"/>
      <c r="S784" s="3"/>
      <c r="T784" s="3"/>
      <c r="U784" s="3"/>
      <c r="V784" s="3"/>
      <c r="W784" s="3"/>
      <c r="X784" s="3"/>
      <c r="Y784" s="3"/>
      <c r="Z784" s="3"/>
    </row>
    <row r="785" ht="15.75" customHeight="1">
      <c r="A785" s="3"/>
      <c r="B785" s="2"/>
      <c r="C785" s="2"/>
      <c r="D785" s="2"/>
      <c r="E785" s="464"/>
      <c r="F785" s="2"/>
      <c r="G785" s="2"/>
      <c r="H785" s="2"/>
      <c r="I785" s="2"/>
      <c r="J785" s="2"/>
      <c r="K785" s="2"/>
      <c r="L785" s="2"/>
      <c r="M785" s="2"/>
      <c r="N785" s="2"/>
      <c r="O785" s="2"/>
      <c r="P785" s="2"/>
      <c r="Q785" s="2"/>
      <c r="R785" s="255"/>
      <c r="S785" s="3"/>
      <c r="T785" s="3"/>
      <c r="U785" s="3"/>
      <c r="V785" s="3"/>
      <c r="W785" s="3"/>
      <c r="X785" s="3"/>
      <c r="Y785" s="3"/>
      <c r="Z785" s="3"/>
    </row>
    <row r="786" ht="15.75" customHeight="1">
      <c r="A786" s="3"/>
      <c r="B786" s="2"/>
      <c r="C786" s="2"/>
      <c r="D786" s="2"/>
      <c r="E786" s="464"/>
      <c r="F786" s="2"/>
      <c r="G786" s="2"/>
      <c r="H786" s="2"/>
      <c r="I786" s="2"/>
      <c r="J786" s="2"/>
      <c r="K786" s="2"/>
      <c r="L786" s="2"/>
      <c r="M786" s="2"/>
      <c r="N786" s="2"/>
      <c r="O786" s="2"/>
      <c r="P786" s="2"/>
      <c r="Q786" s="2"/>
      <c r="R786" s="255"/>
      <c r="S786" s="3"/>
      <c r="T786" s="3"/>
      <c r="U786" s="3"/>
      <c r="V786" s="3"/>
      <c r="W786" s="3"/>
      <c r="X786" s="3"/>
      <c r="Y786" s="3"/>
      <c r="Z786" s="3"/>
    </row>
    <row r="787" ht="15.75" customHeight="1">
      <c r="A787" s="3"/>
      <c r="B787" s="2"/>
      <c r="C787" s="2"/>
      <c r="D787" s="2"/>
      <c r="E787" s="464"/>
      <c r="F787" s="2"/>
      <c r="G787" s="2"/>
      <c r="H787" s="2"/>
      <c r="I787" s="2"/>
      <c r="J787" s="2"/>
      <c r="K787" s="2"/>
      <c r="L787" s="2"/>
      <c r="M787" s="2"/>
      <c r="N787" s="2"/>
      <c r="O787" s="2"/>
      <c r="P787" s="2"/>
      <c r="Q787" s="2"/>
      <c r="R787" s="255"/>
      <c r="S787" s="3"/>
      <c r="T787" s="3"/>
      <c r="U787" s="3"/>
      <c r="V787" s="3"/>
      <c r="W787" s="3"/>
      <c r="X787" s="3"/>
      <c r="Y787" s="3"/>
      <c r="Z787" s="3"/>
    </row>
    <row r="788" ht="15.75" customHeight="1">
      <c r="A788" s="3"/>
      <c r="B788" s="2"/>
      <c r="C788" s="2"/>
      <c r="D788" s="2"/>
      <c r="E788" s="464"/>
      <c r="F788" s="2"/>
      <c r="G788" s="2"/>
      <c r="H788" s="2"/>
      <c r="I788" s="2"/>
      <c r="J788" s="2"/>
      <c r="K788" s="2"/>
      <c r="L788" s="2"/>
      <c r="M788" s="2"/>
      <c r="N788" s="2"/>
      <c r="O788" s="2"/>
      <c r="P788" s="2"/>
      <c r="Q788" s="2"/>
      <c r="R788" s="255"/>
      <c r="S788" s="3"/>
      <c r="T788" s="3"/>
      <c r="U788" s="3"/>
      <c r="V788" s="3"/>
      <c r="W788" s="3"/>
      <c r="X788" s="3"/>
      <c r="Y788" s="3"/>
      <c r="Z788" s="3"/>
    </row>
    <row r="789" ht="15.75" customHeight="1">
      <c r="A789" s="3"/>
      <c r="B789" s="2"/>
      <c r="C789" s="2"/>
      <c r="D789" s="2"/>
      <c r="E789" s="464"/>
      <c r="F789" s="2"/>
      <c r="G789" s="2"/>
      <c r="H789" s="2"/>
      <c r="I789" s="2"/>
      <c r="J789" s="2"/>
      <c r="K789" s="2"/>
      <c r="L789" s="2"/>
      <c r="M789" s="2"/>
      <c r="N789" s="2"/>
      <c r="O789" s="2"/>
      <c r="P789" s="2"/>
      <c r="Q789" s="2"/>
      <c r="R789" s="255"/>
      <c r="S789" s="3"/>
      <c r="T789" s="3"/>
      <c r="U789" s="3"/>
      <c r="V789" s="3"/>
      <c r="W789" s="3"/>
      <c r="X789" s="3"/>
      <c r="Y789" s="3"/>
      <c r="Z789" s="3"/>
    </row>
    <row r="790" ht="15.75" customHeight="1">
      <c r="A790" s="3"/>
      <c r="B790" s="2"/>
      <c r="C790" s="2"/>
      <c r="D790" s="2"/>
      <c r="E790" s="464"/>
      <c r="F790" s="2"/>
      <c r="G790" s="2"/>
      <c r="H790" s="2"/>
      <c r="I790" s="2"/>
      <c r="J790" s="2"/>
      <c r="K790" s="2"/>
      <c r="L790" s="2"/>
      <c r="M790" s="2"/>
      <c r="N790" s="2"/>
      <c r="O790" s="2"/>
      <c r="P790" s="2"/>
      <c r="Q790" s="2"/>
      <c r="R790" s="255"/>
      <c r="S790" s="3"/>
      <c r="T790" s="3"/>
      <c r="U790" s="3"/>
      <c r="V790" s="3"/>
      <c r="W790" s="3"/>
      <c r="X790" s="3"/>
      <c r="Y790" s="3"/>
      <c r="Z790" s="3"/>
    </row>
    <row r="791" ht="15.75" customHeight="1">
      <c r="A791" s="3"/>
      <c r="B791" s="2"/>
      <c r="C791" s="2"/>
      <c r="D791" s="2"/>
      <c r="E791" s="464"/>
      <c r="F791" s="2"/>
      <c r="G791" s="2"/>
      <c r="H791" s="2"/>
      <c r="I791" s="2"/>
      <c r="J791" s="2"/>
      <c r="K791" s="2"/>
      <c r="L791" s="2"/>
      <c r="M791" s="2"/>
      <c r="N791" s="2"/>
      <c r="O791" s="2"/>
      <c r="P791" s="2"/>
      <c r="Q791" s="2"/>
      <c r="R791" s="255"/>
      <c r="S791" s="3"/>
      <c r="T791" s="3"/>
      <c r="U791" s="3"/>
      <c r="V791" s="3"/>
      <c r="W791" s="3"/>
      <c r="X791" s="3"/>
      <c r="Y791" s="3"/>
      <c r="Z791" s="3"/>
    </row>
    <row r="792" ht="15.75" customHeight="1">
      <c r="A792" s="3"/>
      <c r="B792" s="2"/>
      <c r="C792" s="2"/>
      <c r="D792" s="2"/>
      <c r="E792" s="464"/>
      <c r="F792" s="2"/>
      <c r="G792" s="2"/>
      <c r="H792" s="2"/>
      <c r="I792" s="2"/>
      <c r="J792" s="2"/>
      <c r="K792" s="2"/>
      <c r="L792" s="2"/>
      <c r="M792" s="2"/>
      <c r="N792" s="2"/>
      <c r="O792" s="2"/>
      <c r="P792" s="2"/>
      <c r="Q792" s="2"/>
      <c r="R792" s="255"/>
      <c r="S792" s="3"/>
      <c r="T792" s="3"/>
      <c r="U792" s="3"/>
      <c r="V792" s="3"/>
      <c r="W792" s="3"/>
      <c r="X792" s="3"/>
      <c r="Y792" s="3"/>
      <c r="Z792" s="3"/>
    </row>
    <row r="793" ht="15.75" customHeight="1">
      <c r="A793" s="3"/>
      <c r="B793" s="2"/>
      <c r="C793" s="2"/>
      <c r="D793" s="2"/>
      <c r="E793" s="464"/>
      <c r="F793" s="2"/>
      <c r="G793" s="2"/>
      <c r="H793" s="2"/>
      <c r="I793" s="2"/>
      <c r="J793" s="2"/>
      <c r="K793" s="2"/>
      <c r="L793" s="2"/>
      <c r="M793" s="2"/>
      <c r="N793" s="2"/>
      <c r="O793" s="2"/>
      <c r="P793" s="2"/>
      <c r="Q793" s="2"/>
      <c r="R793" s="255"/>
      <c r="S793" s="3"/>
      <c r="T793" s="3"/>
      <c r="U793" s="3"/>
      <c r="V793" s="3"/>
      <c r="W793" s="3"/>
      <c r="X793" s="3"/>
      <c r="Y793" s="3"/>
      <c r="Z793" s="3"/>
    </row>
    <row r="794" ht="15.75" customHeight="1">
      <c r="A794" s="3"/>
      <c r="B794" s="2"/>
      <c r="C794" s="2"/>
      <c r="D794" s="2"/>
      <c r="E794" s="464"/>
      <c r="F794" s="2"/>
      <c r="G794" s="2"/>
      <c r="H794" s="2"/>
      <c r="I794" s="2"/>
      <c r="J794" s="2"/>
      <c r="K794" s="2"/>
      <c r="L794" s="2"/>
      <c r="M794" s="2"/>
      <c r="N794" s="2"/>
      <c r="O794" s="2"/>
      <c r="P794" s="2"/>
      <c r="Q794" s="2"/>
      <c r="R794" s="255"/>
      <c r="S794" s="3"/>
      <c r="T794" s="3"/>
      <c r="U794" s="3"/>
      <c r="V794" s="3"/>
      <c r="W794" s="3"/>
      <c r="X794" s="3"/>
      <c r="Y794" s="3"/>
      <c r="Z794" s="3"/>
    </row>
    <row r="795" ht="15.75" customHeight="1">
      <c r="A795" s="3"/>
      <c r="B795" s="2"/>
      <c r="C795" s="2"/>
      <c r="D795" s="2"/>
      <c r="E795" s="464"/>
      <c r="F795" s="2"/>
      <c r="G795" s="2"/>
      <c r="H795" s="2"/>
      <c r="I795" s="2"/>
      <c r="J795" s="2"/>
      <c r="K795" s="2"/>
      <c r="L795" s="2"/>
      <c r="M795" s="2"/>
      <c r="N795" s="2"/>
      <c r="O795" s="2"/>
      <c r="P795" s="2"/>
      <c r="Q795" s="2"/>
      <c r="R795" s="255"/>
      <c r="S795" s="3"/>
      <c r="T795" s="3"/>
      <c r="U795" s="3"/>
      <c r="V795" s="3"/>
      <c r="W795" s="3"/>
      <c r="X795" s="3"/>
      <c r="Y795" s="3"/>
      <c r="Z795" s="3"/>
    </row>
    <row r="796" ht="15.75" customHeight="1">
      <c r="A796" s="3"/>
      <c r="B796" s="2"/>
      <c r="C796" s="2"/>
      <c r="D796" s="2"/>
      <c r="E796" s="464"/>
      <c r="F796" s="2"/>
      <c r="G796" s="2"/>
      <c r="H796" s="2"/>
      <c r="I796" s="2"/>
      <c r="J796" s="2"/>
      <c r="K796" s="2"/>
      <c r="L796" s="2"/>
      <c r="M796" s="2"/>
      <c r="N796" s="2"/>
      <c r="O796" s="2"/>
      <c r="P796" s="2"/>
      <c r="Q796" s="2"/>
      <c r="R796" s="255"/>
      <c r="S796" s="3"/>
      <c r="T796" s="3"/>
      <c r="U796" s="3"/>
      <c r="V796" s="3"/>
      <c r="W796" s="3"/>
      <c r="X796" s="3"/>
      <c r="Y796" s="3"/>
      <c r="Z796" s="3"/>
    </row>
    <row r="797" ht="15.75" customHeight="1">
      <c r="A797" s="3"/>
      <c r="B797" s="2"/>
      <c r="C797" s="2"/>
      <c r="D797" s="2"/>
      <c r="E797" s="464"/>
      <c r="F797" s="2"/>
      <c r="G797" s="2"/>
      <c r="H797" s="2"/>
      <c r="I797" s="2"/>
      <c r="J797" s="2"/>
      <c r="K797" s="2"/>
      <c r="L797" s="2"/>
      <c r="M797" s="2"/>
      <c r="N797" s="2"/>
      <c r="O797" s="2"/>
      <c r="P797" s="2"/>
      <c r="Q797" s="2"/>
      <c r="R797" s="255"/>
      <c r="S797" s="3"/>
      <c r="T797" s="3"/>
      <c r="U797" s="3"/>
      <c r="V797" s="3"/>
      <c r="W797" s="3"/>
      <c r="X797" s="3"/>
      <c r="Y797" s="3"/>
      <c r="Z797" s="3"/>
    </row>
    <row r="798" ht="15.75" customHeight="1">
      <c r="A798" s="3"/>
      <c r="B798" s="2"/>
      <c r="C798" s="2"/>
      <c r="D798" s="2"/>
      <c r="E798" s="464"/>
      <c r="F798" s="2"/>
      <c r="G798" s="2"/>
      <c r="H798" s="2"/>
      <c r="I798" s="2"/>
      <c r="J798" s="2"/>
      <c r="K798" s="2"/>
      <c r="L798" s="2"/>
      <c r="M798" s="2"/>
      <c r="N798" s="2"/>
      <c r="O798" s="2"/>
      <c r="P798" s="2"/>
      <c r="Q798" s="2"/>
      <c r="R798" s="255"/>
      <c r="S798" s="3"/>
      <c r="T798" s="3"/>
      <c r="U798" s="3"/>
      <c r="V798" s="3"/>
      <c r="W798" s="3"/>
      <c r="X798" s="3"/>
      <c r="Y798" s="3"/>
      <c r="Z798" s="3"/>
    </row>
    <row r="799" ht="15.75" customHeight="1">
      <c r="A799" s="3"/>
      <c r="B799" s="2"/>
      <c r="C799" s="2"/>
      <c r="D799" s="2"/>
      <c r="E799" s="464"/>
      <c r="F799" s="2"/>
      <c r="G799" s="2"/>
      <c r="H799" s="2"/>
      <c r="I799" s="2"/>
      <c r="J799" s="2"/>
      <c r="K799" s="2"/>
      <c r="L799" s="2"/>
      <c r="M799" s="2"/>
      <c r="N799" s="2"/>
      <c r="O799" s="2"/>
      <c r="P799" s="2"/>
      <c r="Q799" s="2"/>
      <c r="R799" s="255"/>
      <c r="S799" s="3"/>
      <c r="T799" s="3"/>
      <c r="U799" s="3"/>
      <c r="V799" s="3"/>
      <c r="W799" s="3"/>
      <c r="X799" s="3"/>
      <c r="Y799" s="3"/>
      <c r="Z799" s="3"/>
    </row>
    <row r="800" ht="15.75" customHeight="1">
      <c r="A800" s="3"/>
      <c r="B800" s="2"/>
      <c r="C800" s="2"/>
      <c r="D800" s="2"/>
      <c r="E800" s="464"/>
      <c r="F800" s="2"/>
      <c r="G800" s="2"/>
      <c r="H800" s="2"/>
      <c r="I800" s="2"/>
      <c r="J800" s="2"/>
      <c r="K800" s="2"/>
      <c r="L800" s="2"/>
      <c r="M800" s="2"/>
      <c r="N800" s="2"/>
      <c r="O800" s="2"/>
      <c r="P800" s="2"/>
      <c r="Q800" s="2"/>
      <c r="R800" s="255"/>
      <c r="S800" s="3"/>
      <c r="T800" s="3"/>
      <c r="U800" s="3"/>
      <c r="V800" s="3"/>
      <c r="W800" s="3"/>
      <c r="X800" s="3"/>
      <c r="Y800" s="3"/>
      <c r="Z800" s="3"/>
    </row>
    <row r="801" ht="15.75" customHeight="1">
      <c r="A801" s="3"/>
      <c r="B801" s="2"/>
      <c r="C801" s="2"/>
      <c r="D801" s="2"/>
      <c r="E801" s="464"/>
      <c r="F801" s="2"/>
      <c r="G801" s="2"/>
      <c r="H801" s="2"/>
      <c r="I801" s="2"/>
      <c r="J801" s="2"/>
      <c r="K801" s="2"/>
      <c r="L801" s="2"/>
      <c r="M801" s="2"/>
      <c r="N801" s="2"/>
      <c r="O801" s="2"/>
      <c r="P801" s="2"/>
      <c r="Q801" s="2"/>
      <c r="R801" s="255"/>
      <c r="S801" s="3"/>
      <c r="T801" s="3"/>
      <c r="U801" s="3"/>
      <c r="V801" s="3"/>
      <c r="W801" s="3"/>
      <c r="X801" s="3"/>
      <c r="Y801" s="3"/>
      <c r="Z801" s="3"/>
    </row>
    <row r="802" ht="15.75" customHeight="1">
      <c r="A802" s="3"/>
      <c r="B802" s="2"/>
      <c r="C802" s="2"/>
      <c r="D802" s="2"/>
      <c r="E802" s="464"/>
      <c r="F802" s="2"/>
      <c r="G802" s="2"/>
      <c r="H802" s="2"/>
      <c r="I802" s="2"/>
      <c r="J802" s="2"/>
      <c r="K802" s="2"/>
      <c r="L802" s="2"/>
      <c r="M802" s="2"/>
      <c r="N802" s="2"/>
      <c r="O802" s="2"/>
      <c r="P802" s="2"/>
      <c r="Q802" s="2"/>
      <c r="R802" s="255"/>
      <c r="S802" s="3"/>
      <c r="T802" s="3"/>
      <c r="U802" s="3"/>
      <c r="V802" s="3"/>
      <c r="W802" s="3"/>
      <c r="X802" s="3"/>
      <c r="Y802" s="3"/>
      <c r="Z802" s="3"/>
    </row>
    <row r="803" ht="15.75" customHeight="1">
      <c r="A803" s="3"/>
      <c r="B803" s="2"/>
      <c r="C803" s="2"/>
      <c r="D803" s="2"/>
      <c r="E803" s="464"/>
      <c r="F803" s="2"/>
      <c r="G803" s="2"/>
      <c r="H803" s="2"/>
      <c r="I803" s="2"/>
      <c r="J803" s="2"/>
      <c r="K803" s="2"/>
      <c r="L803" s="2"/>
      <c r="M803" s="2"/>
      <c r="N803" s="2"/>
      <c r="O803" s="2"/>
      <c r="P803" s="2"/>
      <c r="Q803" s="2"/>
      <c r="R803" s="255"/>
      <c r="S803" s="3"/>
      <c r="T803" s="3"/>
      <c r="U803" s="3"/>
      <c r="V803" s="3"/>
      <c r="W803" s="3"/>
      <c r="X803" s="3"/>
      <c r="Y803" s="3"/>
      <c r="Z803" s="3"/>
    </row>
    <row r="804" ht="15.75" customHeight="1">
      <c r="A804" s="3"/>
      <c r="B804" s="2"/>
      <c r="C804" s="2"/>
      <c r="D804" s="2"/>
      <c r="E804" s="464"/>
      <c r="F804" s="2"/>
      <c r="G804" s="2"/>
      <c r="H804" s="2"/>
      <c r="I804" s="2"/>
      <c r="J804" s="2"/>
      <c r="K804" s="2"/>
      <c r="L804" s="2"/>
      <c r="M804" s="2"/>
      <c r="N804" s="2"/>
      <c r="O804" s="2"/>
      <c r="P804" s="2"/>
      <c r="Q804" s="2"/>
      <c r="R804" s="255"/>
      <c r="S804" s="3"/>
      <c r="T804" s="3"/>
      <c r="U804" s="3"/>
      <c r="V804" s="3"/>
      <c r="W804" s="3"/>
      <c r="X804" s="3"/>
      <c r="Y804" s="3"/>
      <c r="Z804" s="3"/>
    </row>
    <row r="805" ht="15.75" customHeight="1">
      <c r="A805" s="3"/>
      <c r="B805" s="2"/>
      <c r="C805" s="2"/>
      <c r="D805" s="2"/>
      <c r="E805" s="464"/>
      <c r="F805" s="2"/>
      <c r="G805" s="2"/>
      <c r="H805" s="2"/>
      <c r="I805" s="2"/>
      <c r="J805" s="2"/>
      <c r="K805" s="2"/>
      <c r="L805" s="2"/>
      <c r="M805" s="2"/>
      <c r="N805" s="2"/>
      <c r="O805" s="2"/>
      <c r="P805" s="2"/>
      <c r="Q805" s="2"/>
      <c r="R805" s="255"/>
      <c r="S805" s="3"/>
      <c r="T805" s="3"/>
      <c r="U805" s="3"/>
      <c r="V805" s="3"/>
      <c r="W805" s="3"/>
      <c r="X805" s="3"/>
      <c r="Y805" s="3"/>
      <c r="Z805" s="3"/>
    </row>
    <row r="806" ht="15.75" customHeight="1">
      <c r="A806" s="3"/>
      <c r="B806" s="2"/>
      <c r="C806" s="2"/>
      <c r="D806" s="2"/>
      <c r="E806" s="464"/>
      <c r="F806" s="2"/>
      <c r="G806" s="2"/>
      <c r="H806" s="2"/>
      <c r="I806" s="2"/>
      <c r="J806" s="2"/>
      <c r="K806" s="2"/>
      <c r="L806" s="2"/>
      <c r="M806" s="2"/>
      <c r="N806" s="2"/>
      <c r="O806" s="2"/>
      <c r="P806" s="2"/>
      <c r="Q806" s="2"/>
      <c r="R806" s="255"/>
      <c r="S806" s="3"/>
      <c r="T806" s="3"/>
      <c r="U806" s="3"/>
      <c r="V806" s="3"/>
      <c r="W806" s="3"/>
      <c r="X806" s="3"/>
      <c r="Y806" s="3"/>
      <c r="Z806" s="3"/>
    </row>
    <row r="807" ht="15.75" customHeight="1">
      <c r="A807" s="3"/>
      <c r="B807" s="2"/>
      <c r="C807" s="2"/>
      <c r="D807" s="2"/>
      <c r="E807" s="464"/>
      <c r="F807" s="2"/>
      <c r="G807" s="2"/>
      <c r="H807" s="2"/>
      <c r="I807" s="2"/>
      <c r="J807" s="2"/>
      <c r="K807" s="2"/>
      <c r="L807" s="2"/>
      <c r="M807" s="2"/>
      <c r="N807" s="2"/>
      <c r="O807" s="2"/>
      <c r="P807" s="2"/>
      <c r="Q807" s="2"/>
      <c r="R807" s="255"/>
      <c r="S807" s="3"/>
      <c r="T807" s="3"/>
      <c r="U807" s="3"/>
      <c r="V807" s="3"/>
      <c r="W807" s="3"/>
      <c r="X807" s="3"/>
      <c r="Y807" s="3"/>
      <c r="Z807" s="3"/>
    </row>
    <row r="808" ht="15.75" customHeight="1">
      <c r="A808" s="3"/>
      <c r="B808" s="2"/>
      <c r="C808" s="2"/>
      <c r="D808" s="2"/>
      <c r="E808" s="464"/>
      <c r="F808" s="2"/>
      <c r="G808" s="2"/>
      <c r="H808" s="2"/>
      <c r="I808" s="2"/>
      <c r="J808" s="2"/>
      <c r="K808" s="2"/>
      <c r="L808" s="2"/>
      <c r="M808" s="2"/>
      <c r="N808" s="2"/>
      <c r="O808" s="2"/>
      <c r="P808" s="2"/>
      <c r="Q808" s="2"/>
      <c r="R808" s="255"/>
      <c r="S808" s="3"/>
      <c r="T808" s="3"/>
      <c r="U808" s="3"/>
      <c r="V808" s="3"/>
      <c r="W808" s="3"/>
      <c r="X808" s="3"/>
      <c r="Y808" s="3"/>
      <c r="Z808" s="3"/>
    </row>
    <row r="809" ht="15.75" customHeight="1">
      <c r="A809" s="3"/>
      <c r="B809" s="2"/>
      <c r="C809" s="2"/>
      <c r="D809" s="2"/>
      <c r="E809" s="464"/>
      <c r="F809" s="2"/>
      <c r="G809" s="2"/>
      <c r="H809" s="2"/>
      <c r="I809" s="2"/>
      <c r="J809" s="2"/>
      <c r="K809" s="2"/>
      <c r="L809" s="2"/>
      <c r="M809" s="2"/>
      <c r="N809" s="2"/>
      <c r="O809" s="2"/>
      <c r="P809" s="2"/>
      <c r="Q809" s="2"/>
      <c r="R809" s="255"/>
      <c r="S809" s="3"/>
      <c r="T809" s="3"/>
      <c r="U809" s="3"/>
      <c r="V809" s="3"/>
      <c r="W809" s="3"/>
      <c r="X809" s="3"/>
      <c r="Y809" s="3"/>
      <c r="Z809" s="3"/>
    </row>
    <row r="810" ht="15.75" customHeight="1">
      <c r="A810" s="3"/>
      <c r="B810" s="2"/>
      <c r="C810" s="2"/>
      <c r="D810" s="2"/>
      <c r="E810" s="464"/>
      <c r="F810" s="2"/>
      <c r="G810" s="2"/>
      <c r="H810" s="2"/>
      <c r="I810" s="2"/>
      <c r="J810" s="2"/>
      <c r="K810" s="2"/>
      <c r="L810" s="2"/>
      <c r="M810" s="2"/>
      <c r="N810" s="2"/>
      <c r="O810" s="2"/>
      <c r="P810" s="2"/>
      <c r="Q810" s="2"/>
      <c r="R810" s="255"/>
      <c r="S810" s="3"/>
      <c r="T810" s="3"/>
      <c r="U810" s="3"/>
      <c r="V810" s="3"/>
      <c r="W810" s="3"/>
      <c r="X810" s="3"/>
      <c r="Y810" s="3"/>
      <c r="Z810" s="3"/>
    </row>
    <row r="811" ht="15.75" customHeight="1">
      <c r="A811" s="3"/>
      <c r="B811" s="2"/>
      <c r="C811" s="2"/>
      <c r="D811" s="2"/>
      <c r="E811" s="464"/>
      <c r="F811" s="2"/>
      <c r="G811" s="2"/>
      <c r="H811" s="2"/>
      <c r="I811" s="2"/>
      <c r="J811" s="2"/>
      <c r="K811" s="2"/>
      <c r="L811" s="2"/>
      <c r="M811" s="2"/>
      <c r="N811" s="2"/>
      <c r="O811" s="2"/>
      <c r="P811" s="2"/>
      <c r="Q811" s="2"/>
      <c r="R811" s="255"/>
      <c r="S811" s="3"/>
      <c r="T811" s="3"/>
      <c r="U811" s="3"/>
      <c r="V811" s="3"/>
      <c r="W811" s="3"/>
      <c r="X811" s="3"/>
      <c r="Y811" s="3"/>
      <c r="Z811" s="3"/>
    </row>
    <row r="812" ht="15.75" customHeight="1">
      <c r="A812" s="3"/>
      <c r="B812" s="2"/>
      <c r="C812" s="2"/>
      <c r="D812" s="2"/>
      <c r="E812" s="464"/>
      <c r="F812" s="2"/>
      <c r="G812" s="2"/>
      <c r="H812" s="2"/>
      <c r="I812" s="2"/>
      <c r="J812" s="2"/>
      <c r="K812" s="2"/>
      <c r="L812" s="2"/>
      <c r="M812" s="2"/>
      <c r="N812" s="2"/>
      <c r="O812" s="2"/>
      <c r="P812" s="2"/>
      <c r="Q812" s="2"/>
      <c r="R812" s="255"/>
      <c r="S812" s="3"/>
      <c r="T812" s="3"/>
      <c r="U812" s="3"/>
      <c r="V812" s="3"/>
      <c r="W812" s="3"/>
      <c r="X812" s="3"/>
      <c r="Y812" s="3"/>
      <c r="Z812" s="3"/>
    </row>
    <row r="813" ht="15.75" customHeight="1">
      <c r="A813" s="3"/>
      <c r="B813" s="2"/>
      <c r="C813" s="2"/>
      <c r="D813" s="2"/>
      <c r="E813" s="464"/>
      <c r="F813" s="2"/>
      <c r="G813" s="2"/>
      <c r="H813" s="2"/>
      <c r="I813" s="2"/>
      <c r="J813" s="2"/>
      <c r="K813" s="2"/>
      <c r="L813" s="2"/>
      <c r="M813" s="2"/>
      <c r="N813" s="2"/>
      <c r="O813" s="2"/>
      <c r="P813" s="2"/>
      <c r="Q813" s="2"/>
      <c r="R813" s="255"/>
      <c r="S813" s="3"/>
      <c r="T813" s="3"/>
      <c r="U813" s="3"/>
      <c r="V813" s="3"/>
      <c r="W813" s="3"/>
      <c r="X813" s="3"/>
      <c r="Y813" s="3"/>
      <c r="Z813" s="3"/>
    </row>
    <row r="814" ht="15.75" customHeight="1">
      <c r="A814" s="3"/>
      <c r="B814" s="2"/>
      <c r="C814" s="2"/>
      <c r="D814" s="2"/>
      <c r="E814" s="464"/>
      <c r="F814" s="2"/>
      <c r="G814" s="2"/>
      <c r="H814" s="2"/>
      <c r="I814" s="2"/>
      <c r="J814" s="2"/>
      <c r="K814" s="2"/>
      <c r="L814" s="2"/>
      <c r="M814" s="2"/>
      <c r="N814" s="2"/>
      <c r="O814" s="2"/>
      <c r="P814" s="2"/>
      <c r="Q814" s="2"/>
      <c r="R814" s="255"/>
      <c r="S814" s="3"/>
      <c r="T814" s="3"/>
      <c r="U814" s="3"/>
      <c r="V814" s="3"/>
      <c r="W814" s="3"/>
      <c r="X814" s="3"/>
      <c r="Y814" s="3"/>
      <c r="Z814" s="3"/>
    </row>
    <row r="815" ht="15.75" customHeight="1">
      <c r="A815" s="3"/>
      <c r="B815" s="2"/>
      <c r="C815" s="2"/>
      <c r="D815" s="2"/>
      <c r="E815" s="464"/>
      <c r="F815" s="2"/>
      <c r="G815" s="2"/>
      <c r="H815" s="2"/>
      <c r="I815" s="2"/>
      <c r="J815" s="2"/>
      <c r="K815" s="2"/>
      <c r="L815" s="2"/>
      <c r="M815" s="2"/>
      <c r="N815" s="2"/>
      <c r="O815" s="2"/>
      <c r="P815" s="2"/>
      <c r="Q815" s="2"/>
      <c r="R815" s="255"/>
      <c r="S815" s="3"/>
      <c r="T815" s="3"/>
      <c r="U815" s="3"/>
      <c r="V815" s="3"/>
      <c r="W815" s="3"/>
      <c r="X815" s="3"/>
      <c r="Y815" s="3"/>
      <c r="Z815" s="3"/>
    </row>
    <row r="816" ht="15.75" customHeight="1">
      <c r="A816" s="3"/>
      <c r="B816" s="2"/>
      <c r="C816" s="2"/>
      <c r="D816" s="2"/>
      <c r="E816" s="464"/>
      <c r="F816" s="2"/>
      <c r="G816" s="2"/>
      <c r="H816" s="2"/>
      <c r="I816" s="2"/>
      <c r="J816" s="2"/>
      <c r="K816" s="2"/>
      <c r="L816" s="2"/>
      <c r="M816" s="2"/>
      <c r="N816" s="2"/>
      <c r="O816" s="2"/>
      <c r="P816" s="2"/>
      <c r="Q816" s="2"/>
      <c r="R816" s="255"/>
      <c r="S816" s="3"/>
      <c r="T816" s="3"/>
      <c r="U816" s="3"/>
      <c r="V816" s="3"/>
      <c r="W816" s="3"/>
      <c r="X816" s="3"/>
      <c r="Y816" s="3"/>
      <c r="Z816" s="3"/>
    </row>
    <row r="817" ht="15.75" customHeight="1">
      <c r="A817" s="3"/>
      <c r="B817" s="2"/>
      <c r="C817" s="2"/>
      <c r="D817" s="2"/>
      <c r="E817" s="464"/>
      <c r="F817" s="2"/>
      <c r="G817" s="2"/>
      <c r="H817" s="2"/>
      <c r="I817" s="2"/>
      <c r="J817" s="2"/>
      <c r="K817" s="2"/>
      <c r="L817" s="2"/>
      <c r="M817" s="2"/>
      <c r="N817" s="2"/>
      <c r="O817" s="2"/>
      <c r="P817" s="2"/>
      <c r="Q817" s="2"/>
      <c r="R817" s="255"/>
      <c r="S817" s="3"/>
      <c r="T817" s="3"/>
      <c r="U817" s="3"/>
      <c r="V817" s="3"/>
      <c r="W817" s="3"/>
      <c r="X817" s="3"/>
      <c r="Y817" s="3"/>
      <c r="Z817" s="3"/>
    </row>
    <row r="818" ht="15.75" customHeight="1">
      <c r="A818" s="3"/>
      <c r="B818" s="2"/>
      <c r="C818" s="2"/>
      <c r="D818" s="2"/>
      <c r="E818" s="464"/>
      <c r="F818" s="2"/>
      <c r="G818" s="2"/>
      <c r="H818" s="2"/>
      <c r="I818" s="2"/>
      <c r="J818" s="2"/>
      <c r="K818" s="2"/>
      <c r="L818" s="2"/>
      <c r="M818" s="2"/>
      <c r="N818" s="2"/>
      <c r="O818" s="2"/>
      <c r="P818" s="2"/>
      <c r="Q818" s="2"/>
      <c r="R818" s="255"/>
      <c r="S818" s="3"/>
      <c r="T818" s="3"/>
      <c r="U818" s="3"/>
      <c r="V818" s="3"/>
      <c r="W818" s="3"/>
      <c r="X818" s="3"/>
      <c r="Y818" s="3"/>
      <c r="Z818" s="3"/>
    </row>
    <row r="819" ht="15.75" customHeight="1">
      <c r="A819" s="3"/>
      <c r="B819" s="2"/>
      <c r="C819" s="2"/>
      <c r="D819" s="2"/>
      <c r="E819" s="464"/>
      <c r="F819" s="2"/>
      <c r="G819" s="2"/>
      <c r="H819" s="2"/>
      <c r="I819" s="2"/>
      <c r="J819" s="2"/>
      <c r="K819" s="2"/>
      <c r="L819" s="2"/>
      <c r="M819" s="2"/>
      <c r="N819" s="2"/>
      <c r="O819" s="2"/>
      <c r="P819" s="2"/>
      <c r="Q819" s="2"/>
      <c r="R819" s="255"/>
      <c r="S819" s="3"/>
      <c r="T819" s="3"/>
      <c r="U819" s="3"/>
      <c r="V819" s="3"/>
      <c r="W819" s="3"/>
      <c r="X819" s="3"/>
      <c r="Y819" s="3"/>
      <c r="Z819" s="3"/>
    </row>
    <row r="820" ht="15.75" customHeight="1">
      <c r="A820" s="3"/>
      <c r="B820" s="2"/>
      <c r="C820" s="2"/>
      <c r="D820" s="2"/>
      <c r="E820" s="464"/>
      <c r="F820" s="2"/>
      <c r="G820" s="2"/>
      <c r="H820" s="2"/>
      <c r="I820" s="2"/>
      <c r="J820" s="2"/>
      <c r="K820" s="2"/>
      <c r="L820" s="2"/>
      <c r="M820" s="2"/>
      <c r="N820" s="2"/>
      <c r="O820" s="2"/>
      <c r="P820" s="2"/>
      <c r="Q820" s="2"/>
      <c r="R820" s="255"/>
      <c r="S820" s="3"/>
      <c r="T820" s="3"/>
      <c r="U820" s="3"/>
      <c r="V820" s="3"/>
      <c r="W820" s="3"/>
      <c r="X820" s="3"/>
      <c r="Y820" s="3"/>
      <c r="Z820" s="3"/>
    </row>
    <row r="821" ht="15.75" customHeight="1">
      <c r="A821" s="3"/>
      <c r="B821" s="2"/>
      <c r="C821" s="2"/>
      <c r="D821" s="2"/>
      <c r="E821" s="464"/>
      <c r="F821" s="2"/>
      <c r="G821" s="2"/>
      <c r="H821" s="2"/>
      <c r="I821" s="2"/>
      <c r="J821" s="2"/>
      <c r="K821" s="2"/>
      <c r="L821" s="2"/>
      <c r="M821" s="2"/>
      <c r="N821" s="2"/>
      <c r="O821" s="2"/>
      <c r="P821" s="2"/>
      <c r="Q821" s="2"/>
      <c r="R821" s="255"/>
      <c r="S821" s="3"/>
      <c r="T821" s="3"/>
      <c r="U821" s="3"/>
      <c r="V821" s="3"/>
      <c r="W821" s="3"/>
      <c r="X821" s="3"/>
      <c r="Y821" s="3"/>
      <c r="Z821" s="3"/>
    </row>
    <row r="822" ht="15.75" customHeight="1">
      <c r="A822" s="3"/>
      <c r="B822" s="2"/>
      <c r="C822" s="2"/>
      <c r="D822" s="2"/>
      <c r="E822" s="464"/>
      <c r="F822" s="2"/>
      <c r="G822" s="2"/>
      <c r="H822" s="2"/>
      <c r="I822" s="2"/>
      <c r="J822" s="2"/>
      <c r="K822" s="2"/>
      <c r="L822" s="2"/>
      <c r="M822" s="2"/>
      <c r="N822" s="2"/>
      <c r="O822" s="2"/>
      <c r="P822" s="2"/>
      <c r="Q822" s="2"/>
      <c r="R822" s="255"/>
      <c r="S822" s="3"/>
      <c r="T822" s="3"/>
      <c r="U822" s="3"/>
      <c r="V822" s="3"/>
      <c r="W822" s="3"/>
      <c r="X822" s="3"/>
      <c r="Y822" s="3"/>
      <c r="Z822" s="3"/>
    </row>
    <row r="823" ht="15.75" customHeight="1">
      <c r="A823" s="3"/>
      <c r="B823" s="2"/>
      <c r="C823" s="2"/>
      <c r="D823" s="2"/>
      <c r="E823" s="464"/>
      <c r="F823" s="2"/>
      <c r="G823" s="2"/>
      <c r="H823" s="2"/>
      <c r="I823" s="2"/>
      <c r="J823" s="2"/>
      <c r="K823" s="2"/>
      <c r="L823" s="2"/>
      <c r="M823" s="2"/>
      <c r="N823" s="2"/>
      <c r="O823" s="2"/>
      <c r="P823" s="2"/>
      <c r="Q823" s="2"/>
      <c r="R823" s="255"/>
      <c r="S823" s="3"/>
      <c r="T823" s="3"/>
      <c r="U823" s="3"/>
      <c r="V823" s="3"/>
      <c r="W823" s="3"/>
      <c r="X823" s="3"/>
      <c r="Y823" s="3"/>
      <c r="Z823" s="3"/>
    </row>
    <row r="824" ht="15.75" customHeight="1">
      <c r="A824" s="3"/>
      <c r="B824" s="2"/>
      <c r="C824" s="2"/>
      <c r="D824" s="2"/>
      <c r="E824" s="464"/>
      <c r="F824" s="2"/>
      <c r="G824" s="2"/>
      <c r="H824" s="2"/>
      <c r="I824" s="2"/>
      <c r="J824" s="2"/>
      <c r="K824" s="2"/>
      <c r="L824" s="2"/>
      <c r="M824" s="2"/>
      <c r="N824" s="2"/>
      <c r="O824" s="2"/>
      <c r="P824" s="2"/>
      <c r="Q824" s="2"/>
      <c r="R824" s="255"/>
      <c r="S824" s="3"/>
      <c r="T824" s="3"/>
      <c r="U824" s="3"/>
      <c r="V824" s="3"/>
      <c r="W824" s="3"/>
      <c r="X824" s="3"/>
      <c r="Y824" s="3"/>
      <c r="Z824" s="3"/>
    </row>
    <row r="825" ht="15.75" customHeight="1">
      <c r="A825" s="3"/>
      <c r="B825" s="2"/>
      <c r="C825" s="2"/>
      <c r="D825" s="2"/>
      <c r="E825" s="464"/>
      <c r="F825" s="2"/>
      <c r="G825" s="2"/>
      <c r="H825" s="2"/>
      <c r="I825" s="2"/>
      <c r="J825" s="2"/>
      <c r="K825" s="2"/>
      <c r="L825" s="2"/>
      <c r="M825" s="2"/>
      <c r="N825" s="2"/>
      <c r="O825" s="2"/>
      <c r="P825" s="2"/>
      <c r="Q825" s="2"/>
      <c r="R825" s="255"/>
      <c r="S825" s="3"/>
      <c r="T825" s="3"/>
      <c r="U825" s="3"/>
      <c r="V825" s="3"/>
      <c r="W825" s="3"/>
      <c r="X825" s="3"/>
      <c r="Y825" s="3"/>
      <c r="Z825" s="3"/>
    </row>
    <row r="826" ht="15.75" customHeight="1">
      <c r="A826" s="3"/>
      <c r="B826" s="2"/>
      <c r="C826" s="2"/>
      <c r="D826" s="2"/>
      <c r="E826" s="464"/>
      <c r="F826" s="2"/>
      <c r="G826" s="2"/>
      <c r="H826" s="2"/>
      <c r="I826" s="2"/>
      <c r="J826" s="2"/>
      <c r="K826" s="2"/>
      <c r="L826" s="2"/>
      <c r="M826" s="2"/>
      <c r="N826" s="2"/>
      <c r="O826" s="2"/>
      <c r="P826" s="2"/>
      <c r="Q826" s="2"/>
      <c r="R826" s="255"/>
      <c r="S826" s="3"/>
      <c r="T826" s="3"/>
      <c r="U826" s="3"/>
      <c r="V826" s="3"/>
      <c r="W826" s="3"/>
      <c r="X826" s="3"/>
      <c r="Y826" s="3"/>
      <c r="Z826" s="3"/>
    </row>
    <row r="827" ht="15.75" customHeight="1">
      <c r="A827" s="3"/>
      <c r="B827" s="2"/>
      <c r="C827" s="2"/>
      <c r="D827" s="2"/>
      <c r="E827" s="464"/>
      <c r="F827" s="2"/>
      <c r="G827" s="2"/>
      <c r="H827" s="2"/>
      <c r="I827" s="2"/>
      <c r="J827" s="2"/>
      <c r="K827" s="2"/>
      <c r="L827" s="2"/>
      <c r="M827" s="2"/>
      <c r="N827" s="2"/>
      <c r="O827" s="2"/>
      <c r="P827" s="2"/>
      <c r="Q827" s="2"/>
      <c r="R827" s="255"/>
      <c r="S827" s="3"/>
      <c r="T827" s="3"/>
      <c r="U827" s="3"/>
      <c r="V827" s="3"/>
      <c r="W827" s="3"/>
      <c r="X827" s="3"/>
      <c r="Y827" s="3"/>
      <c r="Z827" s="3"/>
    </row>
    <row r="828" ht="15.75" customHeight="1">
      <c r="A828" s="3"/>
      <c r="B828" s="2"/>
      <c r="C828" s="2"/>
      <c r="D828" s="2"/>
      <c r="E828" s="464"/>
      <c r="F828" s="2"/>
      <c r="G828" s="2"/>
      <c r="H828" s="2"/>
      <c r="I828" s="2"/>
      <c r="J828" s="2"/>
      <c r="K828" s="2"/>
      <c r="L828" s="2"/>
      <c r="M828" s="2"/>
      <c r="N828" s="2"/>
      <c r="O828" s="2"/>
      <c r="P828" s="2"/>
      <c r="Q828" s="2"/>
      <c r="R828" s="255"/>
      <c r="S828" s="3"/>
      <c r="T828" s="3"/>
      <c r="U828" s="3"/>
      <c r="V828" s="3"/>
      <c r="W828" s="3"/>
      <c r="X828" s="3"/>
      <c r="Y828" s="3"/>
      <c r="Z828" s="3"/>
    </row>
    <row r="829" ht="15.75" customHeight="1">
      <c r="A829" s="3"/>
      <c r="B829" s="2"/>
      <c r="C829" s="2"/>
      <c r="D829" s="2"/>
      <c r="E829" s="464"/>
      <c r="F829" s="2"/>
      <c r="G829" s="2"/>
      <c r="H829" s="2"/>
      <c r="I829" s="2"/>
      <c r="J829" s="2"/>
      <c r="K829" s="2"/>
      <c r="L829" s="2"/>
      <c r="M829" s="2"/>
      <c r="N829" s="2"/>
      <c r="O829" s="2"/>
      <c r="P829" s="2"/>
      <c r="Q829" s="2"/>
      <c r="R829" s="255"/>
      <c r="S829" s="3"/>
      <c r="T829" s="3"/>
      <c r="U829" s="3"/>
      <c r="V829" s="3"/>
      <c r="W829" s="3"/>
      <c r="X829" s="3"/>
      <c r="Y829" s="3"/>
      <c r="Z829" s="3"/>
    </row>
    <row r="830" ht="15.75" customHeight="1">
      <c r="A830" s="3"/>
      <c r="B830" s="2"/>
      <c r="C830" s="2"/>
      <c r="D830" s="2"/>
      <c r="E830" s="464"/>
      <c r="F830" s="2"/>
      <c r="G830" s="2"/>
      <c r="H830" s="2"/>
      <c r="I830" s="2"/>
      <c r="J830" s="2"/>
      <c r="K830" s="2"/>
      <c r="L830" s="2"/>
      <c r="M830" s="2"/>
      <c r="N830" s="2"/>
      <c r="O830" s="2"/>
      <c r="P830" s="2"/>
      <c r="Q830" s="2"/>
      <c r="R830" s="255"/>
      <c r="S830" s="3"/>
      <c r="T830" s="3"/>
      <c r="U830" s="3"/>
      <c r="V830" s="3"/>
      <c r="W830" s="3"/>
      <c r="X830" s="3"/>
      <c r="Y830" s="3"/>
      <c r="Z830" s="3"/>
    </row>
    <row r="831" ht="15.75" customHeight="1">
      <c r="A831" s="3"/>
      <c r="B831" s="2"/>
      <c r="C831" s="2"/>
      <c r="D831" s="2"/>
      <c r="E831" s="464"/>
      <c r="F831" s="2"/>
      <c r="G831" s="2"/>
      <c r="H831" s="2"/>
      <c r="I831" s="2"/>
      <c r="J831" s="2"/>
      <c r="K831" s="2"/>
      <c r="L831" s="2"/>
      <c r="M831" s="2"/>
      <c r="N831" s="2"/>
      <c r="O831" s="2"/>
      <c r="P831" s="2"/>
      <c r="Q831" s="2"/>
      <c r="R831" s="255"/>
      <c r="S831" s="3"/>
      <c r="T831" s="3"/>
      <c r="U831" s="3"/>
      <c r="V831" s="3"/>
      <c r="W831" s="3"/>
      <c r="X831" s="3"/>
      <c r="Y831" s="3"/>
      <c r="Z831" s="3"/>
    </row>
    <row r="832" ht="15.75" customHeight="1">
      <c r="A832" s="3"/>
      <c r="B832" s="2"/>
      <c r="C832" s="2"/>
      <c r="D832" s="2"/>
      <c r="E832" s="464"/>
      <c r="F832" s="2"/>
      <c r="G832" s="2"/>
      <c r="H832" s="2"/>
      <c r="I832" s="2"/>
      <c r="J832" s="2"/>
      <c r="K832" s="2"/>
      <c r="L832" s="2"/>
      <c r="M832" s="2"/>
      <c r="N832" s="2"/>
      <c r="O832" s="2"/>
      <c r="P832" s="2"/>
      <c r="Q832" s="2"/>
      <c r="R832" s="255"/>
      <c r="S832" s="3"/>
      <c r="T832" s="3"/>
      <c r="U832" s="3"/>
      <c r="V832" s="3"/>
      <c r="W832" s="3"/>
      <c r="X832" s="3"/>
      <c r="Y832" s="3"/>
      <c r="Z832" s="3"/>
    </row>
    <row r="833" ht="15.75" customHeight="1">
      <c r="A833" s="3"/>
      <c r="B833" s="2"/>
      <c r="C833" s="2"/>
      <c r="D833" s="2"/>
      <c r="E833" s="464"/>
      <c r="F833" s="2"/>
      <c r="G833" s="2"/>
      <c r="H833" s="2"/>
      <c r="I833" s="2"/>
      <c r="J833" s="2"/>
      <c r="K833" s="2"/>
      <c r="L833" s="2"/>
      <c r="M833" s="2"/>
      <c r="N833" s="2"/>
      <c r="O833" s="2"/>
      <c r="P833" s="2"/>
      <c r="Q833" s="2"/>
      <c r="R833" s="255"/>
      <c r="S833" s="3"/>
      <c r="T833" s="3"/>
      <c r="U833" s="3"/>
      <c r="V833" s="3"/>
      <c r="W833" s="3"/>
      <c r="X833" s="3"/>
      <c r="Y833" s="3"/>
      <c r="Z833" s="3"/>
    </row>
    <row r="834" ht="15.75" customHeight="1">
      <c r="A834" s="3"/>
      <c r="B834" s="2"/>
      <c r="C834" s="2"/>
      <c r="D834" s="2"/>
      <c r="E834" s="464"/>
      <c r="F834" s="2"/>
      <c r="G834" s="2"/>
      <c r="H834" s="2"/>
      <c r="I834" s="2"/>
      <c r="J834" s="2"/>
      <c r="K834" s="2"/>
      <c r="L834" s="2"/>
      <c r="M834" s="2"/>
      <c r="N834" s="2"/>
      <c r="O834" s="2"/>
      <c r="P834" s="2"/>
      <c r="Q834" s="2"/>
      <c r="R834" s="255"/>
      <c r="S834" s="3"/>
      <c r="T834" s="3"/>
      <c r="U834" s="3"/>
      <c r="V834" s="3"/>
      <c r="W834" s="3"/>
      <c r="X834" s="3"/>
      <c r="Y834" s="3"/>
      <c r="Z834" s="3"/>
    </row>
    <row r="835" ht="15.75" customHeight="1">
      <c r="A835" s="3"/>
      <c r="B835" s="2"/>
      <c r="C835" s="2"/>
      <c r="D835" s="2"/>
      <c r="E835" s="464"/>
      <c r="F835" s="2"/>
      <c r="G835" s="2"/>
      <c r="H835" s="2"/>
      <c r="I835" s="2"/>
      <c r="J835" s="2"/>
      <c r="K835" s="2"/>
      <c r="L835" s="2"/>
      <c r="M835" s="2"/>
      <c r="N835" s="2"/>
      <c r="O835" s="2"/>
      <c r="P835" s="2"/>
      <c r="Q835" s="2"/>
      <c r="R835" s="255"/>
      <c r="S835" s="3"/>
      <c r="T835" s="3"/>
      <c r="U835" s="3"/>
      <c r="V835" s="3"/>
      <c r="W835" s="3"/>
      <c r="X835" s="3"/>
      <c r="Y835" s="3"/>
      <c r="Z835" s="3"/>
    </row>
    <row r="836" ht="15.75" customHeight="1">
      <c r="A836" s="3"/>
      <c r="B836" s="2"/>
      <c r="C836" s="2"/>
      <c r="D836" s="2"/>
      <c r="E836" s="464"/>
      <c r="F836" s="2"/>
      <c r="G836" s="2"/>
      <c r="H836" s="2"/>
      <c r="I836" s="2"/>
      <c r="J836" s="2"/>
      <c r="K836" s="2"/>
      <c r="L836" s="2"/>
      <c r="M836" s="2"/>
      <c r="N836" s="2"/>
      <c r="O836" s="2"/>
      <c r="P836" s="2"/>
      <c r="Q836" s="2"/>
      <c r="R836" s="255"/>
      <c r="S836" s="3"/>
      <c r="T836" s="3"/>
      <c r="U836" s="3"/>
      <c r="V836" s="3"/>
      <c r="W836" s="3"/>
      <c r="X836" s="3"/>
      <c r="Y836" s="3"/>
      <c r="Z836" s="3"/>
    </row>
    <row r="837" ht="15.75" customHeight="1">
      <c r="A837" s="3"/>
      <c r="B837" s="2"/>
      <c r="C837" s="2"/>
      <c r="D837" s="2"/>
      <c r="E837" s="464"/>
      <c r="F837" s="2"/>
      <c r="G837" s="2"/>
      <c r="H837" s="2"/>
      <c r="I837" s="2"/>
      <c r="J837" s="2"/>
      <c r="K837" s="2"/>
      <c r="L837" s="2"/>
      <c r="M837" s="2"/>
      <c r="N837" s="2"/>
      <c r="O837" s="2"/>
      <c r="P837" s="2"/>
      <c r="Q837" s="2"/>
      <c r="R837" s="255"/>
      <c r="S837" s="3"/>
      <c r="T837" s="3"/>
      <c r="U837" s="3"/>
      <c r="V837" s="3"/>
      <c r="W837" s="3"/>
      <c r="X837" s="3"/>
      <c r="Y837" s="3"/>
      <c r="Z837" s="3"/>
    </row>
    <row r="838" ht="15.75" customHeight="1">
      <c r="A838" s="3"/>
      <c r="B838" s="2"/>
      <c r="C838" s="2"/>
      <c r="D838" s="2"/>
      <c r="E838" s="464"/>
      <c r="F838" s="2"/>
      <c r="G838" s="2"/>
      <c r="H838" s="2"/>
      <c r="I838" s="2"/>
      <c r="J838" s="2"/>
      <c r="K838" s="2"/>
      <c r="L838" s="2"/>
      <c r="M838" s="2"/>
      <c r="N838" s="2"/>
      <c r="O838" s="2"/>
      <c r="P838" s="2"/>
      <c r="Q838" s="2"/>
      <c r="R838" s="255"/>
      <c r="S838" s="3"/>
      <c r="T838" s="3"/>
      <c r="U838" s="3"/>
      <c r="V838" s="3"/>
      <c r="W838" s="3"/>
      <c r="X838" s="3"/>
      <c r="Y838" s="3"/>
      <c r="Z838" s="3"/>
    </row>
    <row r="839" ht="15.75" customHeight="1">
      <c r="A839" s="3"/>
      <c r="B839" s="2"/>
      <c r="C839" s="2"/>
      <c r="D839" s="2"/>
      <c r="E839" s="464"/>
      <c r="F839" s="2"/>
      <c r="G839" s="2"/>
      <c r="H839" s="2"/>
      <c r="I839" s="2"/>
      <c r="J839" s="2"/>
      <c r="K839" s="2"/>
      <c r="L839" s="2"/>
      <c r="M839" s="2"/>
      <c r="N839" s="2"/>
      <c r="O839" s="2"/>
      <c r="P839" s="2"/>
      <c r="Q839" s="2"/>
      <c r="R839" s="255"/>
      <c r="S839" s="3"/>
      <c r="T839" s="3"/>
      <c r="U839" s="3"/>
      <c r="V839" s="3"/>
      <c r="W839" s="3"/>
      <c r="X839" s="3"/>
      <c r="Y839" s="3"/>
      <c r="Z839" s="3"/>
    </row>
    <row r="840" ht="15.75" customHeight="1">
      <c r="A840" s="3"/>
      <c r="B840" s="2"/>
      <c r="C840" s="2"/>
      <c r="D840" s="2"/>
      <c r="E840" s="464"/>
      <c r="F840" s="2"/>
      <c r="G840" s="2"/>
      <c r="H840" s="2"/>
      <c r="I840" s="2"/>
      <c r="J840" s="2"/>
      <c r="K840" s="2"/>
      <c r="L840" s="2"/>
      <c r="M840" s="2"/>
      <c r="N840" s="2"/>
      <c r="O840" s="2"/>
      <c r="P840" s="2"/>
      <c r="Q840" s="2"/>
      <c r="R840" s="255"/>
      <c r="S840" s="3"/>
      <c r="T840" s="3"/>
      <c r="U840" s="3"/>
      <c r="V840" s="3"/>
      <c r="W840" s="3"/>
      <c r="X840" s="3"/>
      <c r="Y840" s="3"/>
      <c r="Z840" s="3"/>
    </row>
    <row r="841" ht="15.75" customHeight="1">
      <c r="A841" s="3"/>
      <c r="B841" s="2"/>
      <c r="C841" s="2"/>
      <c r="D841" s="2"/>
      <c r="E841" s="464"/>
      <c r="F841" s="2"/>
      <c r="G841" s="2"/>
      <c r="H841" s="2"/>
      <c r="I841" s="2"/>
      <c r="J841" s="2"/>
      <c r="K841" s="2"/>
      <c r="L841" s="2"/>
      <c r="M841" s="2"/>
      <c r="N841" s="2"/>
      <c r="O841" s="2"/>
      <c r="P841" s="2"/>
      <c r="Q841" s="2"/>
      <c r="R841" s="255"/>
      <c r="S841" s="3"/>
      <c r="T841" s="3"/>
      <c r="U841" s="3"/>
      <c r="V841" s="3"/>
      <c r="W841" s="3"/>
      <c r="X841" s="3"/>
      <c r="Y841" s="3"/>
      <c r="Z841" s="3"/>
    </row>
    <row r="842" ht="15.75" customHeight="1">
      <c r="A842" s="3"/>
      <c r="B842" s="2"/>
      <c r="C842" s="2"/>
      <c r="D842" s="2"/>
      <c r="E842" s="464"/>
      <c r="F842" s="2"/>
      <c r="G842" s="2"/>
      <c r="H842" s="2"/>
      <c r="I842" s="2"/>
      <c r="J842" s="2"/>
      <c r="K842" s="2"/>
      <c r="L842" s="2"/>
      <c r="M842" s="2"/>
      <c r="N842" s="2"/>
      <c r="O842" s="2"/>
      <c r="P842" s="2"/>
      <c r="Q842" s="2"/>
      <c r="R842" s="255"/>
      <c r="S842" s="3"/>
      <c r="T842" s="3"/>
      <c r="U842" s="3"/>
      <c r="V842" s="3"/>
      <c r="W842" s="3"/>
      <c r="X842" s="3"/>
      <c r="Y842" s="3"/>
      <c r="Z842" s="3"/>
    </row>
    <row r="843" ht="15.75" customHeight="1">
      <c r="A843" s="3"/>
      <c r="B843" s="2"/>
      <c r="C843" s="2"/>
      <c r="D843" s="2"/>
      <c r="E843" s="464"/>
      <c r="F843" s="2"/>
      <c r="G843" s="2"/>
      <c r="H843" s="2"/>
      <c r="I843" s="2"/>
      <c r="J843" s="2"/>
      <c r="K843" s="2"/>
      <c r="L843" s="2"/>
      <c r="M843" s="2"/>
      <c r="N843" s="2"/>
      <c r="O843" s="2"/>
      <c r="P843" s="2"/>
      <c r="Q843" s="2"/>
      <c r="R843" s="255"/>
      <c r="S843" s="3"/>
      <c r="T843" s="3"/>
      <c r="U843" s="3"/>
      <c r="V843" s="3"/>
      <c r="W843" s="3"/>
      <c r="X843" s="3"/>
      <c r="Y843" s="3"/>
      <c r="Z843" s="3"/>
    </row>
    <row r="844" ht="15.75" customHeight="1">
      <c r="A844" s="3"/>
      <c r="B844" s="2"/>
      <c r="C844" s="2"/>
      <c r="D844" s="2"/>
      <c r="E844" s="464"/>
      <c r="F844" s="2"/>
      <c r="G844" s="2"/>
      <c r="H844" s="2"/>
      <c r="I844" s="2"/>
      <c r="J844" s="2"/>
      <c r="K844" s="2"/>
      <c r="L844" s="2"/>
      <c r="M844" s="2"/>
      <c r="N844" s="2"/>
      <c r="O844" s="2"/>
      <c r="P844" s="2"/>
      <c r="Q844" s="2"/>
      <c r="R844" s="255"/>
      <c r="S844" s="3"/>
      <c r="T844" s="3"/>
      <c r="U844" s="3"/>
      <c r="V844" s="3"/>
      <c r="W844" s="3"/>
      <c r="X844" s="3"/>
      <c r="Y844" s="3"/>
      <c r="Z844" s="3"/>
    </row>
    <row r="845" ht="15.75" customHeight="1">
      <c r="A845" s="3"/>
      <c r="B845" s="2"/>
      <c r="C845" s="2"/>
      <c r="D845" s="2"/>
      <c r="E845" s="464"/>
      <c r="F845" s="2"/>
      <c r="G845" s="2"/>
      <c r="H845" s="2"/>
      <c r="I845" s="2"/>
      <c r="J845" s="2"/>
      <c r="K845" s="2"/>
      <c r="L845" s="2"/>
      <c r="M845" s="2"/>
      <c r="N845" s="2"/>
      <c r="O845" s="2"/>
      <c r="P845" s="2"/>
      <c r="Q845" s="2"/>
      <c r="R845" s="255"/>
      <c r="S845" s="3"/>
      <c r="T845" s="3"/>
      <c r="U845" s="3"/>
      <c r="V845" s="3"/>
      <c r="W845" s="3"/>
      <c r="X845" s="3"/>
      <c r="Y845" s="3"/>
      <c r="Z845" s="3"/>
    </row>
    <row r="846" ht="15.75" customHeight="1">
      <c r="A846" s="3"/>
      <c r="B846" s="2"/>
      <c r="C846" s="2"/>
      <c r="D846" s="2"/>
      <c r="E846" s="464"/>
      <c r="F846" s="2"/>
      <c r="G846" s="2"/>
      <c r="H846" s="2"/>
      <c r="I846" s="2"/>
      <c r="J846" s="2"/>
      <c r="K846" s="2"/>
      <c r="L846" s="2"/>
      <c r="M846" s="2"/>
      <c r="N846" s="2"/>
      <c r="O846" s="2"/>
      <c r="P846" s="2"/>
      <c r="Q846" s="2"/>
      <c r="R846" s="255"/>
      <c r="S846" s="3"/>
      <c r="T846" s="3"/>
      <c r="U846" s="3"/>
      <c r="V846" s="3"/>
      <c r="W846" s="3"/>
      <c r="X846" s="3"/>
      <c r="Y846" s="3"/>
      <c r="Z846" s="3"/>
    </row>
    <row r="847" ht="15.75" customHeight="1">
      <c r="A847" s="3"/>
      <c r="B847" s="2"/>
      <c r="C847" s="2"/>
      <c r="D847" s="2"/>
      <c r="E847" s="464"/>
      <c r="F847" s="2"/>
      <c r="G847" s="2"/>
      <c r="H847" s="2"/>
      <c r="I847" s="2"/>
      <c r="J847" s="2"/>
      <c r="K847" s="2"/>
      <c r="L847" s="2"/>
      <c r="M847" s="2"/>
      <c r="N847" s="2"/>
      <c r="O847" s="2"/>
      <c r="P847" s="2"/>
      <c r="Q847" s="2"/>
      <c r="R847" s="255"/>
      <c r="S847" s="3"/>
      <c r="T847" s="3"/>
      <c r="U847" s="3"/>
      <c r="V847" s="3"/>
      <c r="W847" s="3"/>
      <c r="X847" s="3"/>
      <c r="Y847" s="3"/>
      <c r="Z847" s="3"/>
    </row>
    <row r="848" ht="15.75" customHeight="1">
      <c r="A848" s="3"/>
      <c r="B848" s="2"/>
      <c r="C848" s="2"/>
      <c r="D848" s="2"/>
      <c r="E848" s="464"/>
      <c r="F848" s="2"/>
      <c r="G848" s="2"/>
      <c r="H848" s="2"/>
      <c r="I848" s="2"/>
      <c r="J848" s="2"/>
      <c r="K848" s="2"/>
      <c r="L848" s="2"/>
      <c r="M848" s="2"/>
      <c r="N848" s="2"/>
      <c r="O848" s="2"/>
      <c r="P848" s="2"/>
      <c r="Q848" s="2"/>
      <c r="R848" s="255"/>
      <c r="S848" s="3"/>
      <c r="T848" s="3"/>
      <c r="U848" s="3"/>
      <c r="V848" s="3"/>
      <c r="W848" s="3"/>
      <c r="X848" s="3"/>
      <c r="Y848" s="3"/>
      <c r="Z848" s="3"/>
    </row>
    <row r="849" ht="15.75" customHeight="1">
      <c r="A849" s="3"/>
      <c r="B849" s="2"/>
      <c r="C849" s="2"/>
      <c r="D849" s="2"/>
      <c r="E849" s="464"/>
      <c r="F849" s="2"/>
      <c r="G849" s="2"/>
      <c r="H849" s="2"/>
      <c r="I849" s="2"/>
      <c r="J849" s="2"/>
      <c r="K849" s="2"/>
      <c r="L849" s="2"/>
      <c r="M849" s="2"/>
      <c r="N849" s="2"/>
      <c r="O849" s="2"/>
      <c r="P849" s="2"/>
      <c r="Q849" s="2"/>
      <c r="R849" s="255"/>
      <c r="S849" s="3"/>
      <c r="T849" s="3"/>
      <c r="U849" s="3"/>
      <c r="V849" s="3"/>
      <c r="W849" s="3"/>
      <c r="X849" s="3"/>
      <c r="Y849" s="3"/>
      <c r="Z849" s="3"/>
    </row>
    <row r="850" ht="15.75" customHeight="1">
      <c r="A850" s="3"/>
      <c r="B850" s="2"/>
      <c r="C850" s="2"/>
      <c r="D850" s="2"/>
      <c r="E850" s="464"/>
      <c r="F850" s="2"/>
      <c r="G850" s="2"/>
      <c r="H850" s="2"/>
      <c r="I850" s="2"/>
      <c r="J850" s="2"/>
      <c r="K850" s="2"/>
      <c r="L850" s="2"/>
      <c r="M850" s="2"/>
      <c r="N850" s="2"/>
      <c r="O850" s="2"/>
      <c r="P850" s="2"/>
      <c r="Q850" s="2"/>
      <c r="R850" s="255"/>
      <c r="S850" s="3"/>
      <c r="T850" s="3"/>
      <c r="U850" s="3"/>
      <c r="V850" s="3"/>
      <c r="W850" s="3"/>
      <c r="X850" s="3"/>
      <c r="Y850" s="3"/>
      <c r="Z850" s="3"/>
    </row>
    <row r="851" ht="15.75" customHeight="1">
      <c r="A851" s="3"/>
      <c r="B851" s="2"/>
      <c r="C851" s="2"/>
      <c r="D851" s="2"/>
      <c r="E851" s="464"/>
      <c r="F851" s="2"/>
      <c r="G851" s="2"/>
      <c r="H851" s="2"/>
      <c r="I851" s="2"/>
      <c r="J851" s="2"/>
      <c r="K851" s="2"/>
      <c r="L851" s="2"/>
      <c r="M851" s="2"/>
      <c r="N851" s="2"/>
      <c r="O851" s="2"/>
      <c r="P851" s="2"/>
      <c r="Q851" s="2"/>
      <c r="R851" s="255"/>
      <c r="S851" s="3"/>
      <c r="T851" s="3"/>
      <c r="U851" s="3"/>
      <c r="V851" s="3"/>
      <c r="W851" s="3"/>
      <c r="X851" s="3"/>
      <c r="Y851" s="3"/>
      <c r="Z851" s="3"/>
    </row>
    <row r="852" ht="15.75" customHeight="1">
      <c r="A852" s="3"/>
      <c r="B852" s="2"/>
      <c r="C852" s="2"/>
      <c r="D852" s="2"/>
      <c r="E852" s="464"/>
      <c r="F852" s="2"/>
      <c r="G852" s="2"/>
      <c r="H852" s="2"/>
      <c r="I852" s="2"/>
      <c r="J852" s="2"/>
      <c r="K852" s="2"/>
      <c r="L852" s="2"/>
      <c r="M852" s="2"/>
      <c r="N852" s="2"/>
      <c r="O852" s="2"/>
      <c r="P852" s="2"/>
      <c r="Q852" s="2"/>
      <c r="R852" s="255"/>
      <c r="S852" s="3"/>
      <c r="T852" s="3"/>
      <c r="U852" s="3"/>
      <c r="V852" s="3"/>
      <c r="W852" s="3"/>
      <c r="X852" s="3"/>
      <c r="Y852" s="3"/>
      <c r="Z852" s="3"/>
    </row>
    <row r="853" ht="15.75" customHeight="1">
      <c r="A853" s="3"/>
      <c r="B853" s="2"/>
      <c r="C853" s="2"/>
      <c r="D853" s="2"/>
      <c r="E853" s="464"/>
      <c r="F853" s="2"/>
      <c r="G853" s="2"/>
      <c r="H853" s="2"/>
      <c r="I853" s="2"/>
      <c r="J853" s="2"/>
      <c r="K853" s="2"/>
      <c r="L853" s="2"/>
      <c r="M853" s="2"/>
      <c r="N853" s="2"/>
      <c r="O853" s="2"/>
      <c r="P853" s="2"/>
      <c r="Q853" s="2"/>
      <c r="R853" s="255"/>
      <c r="S853" s="3"/>
      <c r="T853" s="3"/>
      <c r="U853" s="3"/>
      <c r="V853" s="3"/>
      <c r="W853" s="3"/>
      <c r="X853" s="3"/>
      <c r="Y853" s="3"/>
      <c r="Z853" s="3"/>
    </row>
    <row r="854" ht="15.75" customHeight="1">
      <c r="A854" s="3"/>
      <c r="B854" s="2"/>
      <c r="C854" s="2"/>
      <c r="D854" s="2"/>
      <c r="E854" s="464"/>
      <c r="F854" s="2"/>
      <c r="G854" s="2"/>
      <c r="H854" s="2"/>
      <c r="I854" s="2"/>
      <c r="J854" s="2"/>
      <c r="K854" s="2"/>
      <c r="L854" s="2"/>
      <c r="M854" s="2"/>
      <c r="N854" s="2"/>
      <c r="O854" s="2"/>
      <c r="P854" s="2"/>
      <c r="Q854" s="2"/>
      <c r="R854" s="255"/>
      <c r="S854" s="3"/>
      <c r="T854" s="3"/>
      <c r="U854" s="3"/>
      <c r="V854" s="3"/>
      <c r="W854" s="3"/>
      <c r="X854" s="3"/>
      <c r="Y854" s="3"/>
      <c r="Z854" s="3"/>
    </row>
    <row r="855" ht="15.75" customHeight="1">
      <c r="A855" s="3"/>
      <c r="B855" s="2"/>
      <c r="C855" s="2"/>
      <c r="D855" s="2"/>
      <c r="E855" s="464"/>
      <c r="F855" s="2"/>
      <c r="G855" s="2"/>
      <c r="H855" s="2"/>
      <c r="I855" s="2"/>
      <c r="J855" s="2"/>
      <c r="K855" s="2"/>
      <c r="L855" s="2"/>
      <c r="M855" s="2"/>
      <c r="N855" s="2"/>
      <c r="O855" s="2"/>
      <c r="P855" s="2"/>
      <c r="Q855" s="2"/>
      <c r="R855" s="255"/>
      <c r="S855" s="3"/>
      <c r="T855" s="3"/>
      <c r="U855" s="3"/>
      <c r="V855" s="3"/>
      <c r="W855" s="3"/>
      <c r="X855" s="3"/>
      <c r="Y855" s="3"/>
      <c r="Z855" s="3"/>
    </row>
    <row r="856" ht="15.75" customHeight="1">
      <c r="A856" s="3"/>
      <c r="B856" s="2"/>
      <c r="C856" s="2"/>
      <c r="D856" s="2"/>
      <c r="E856" s="464"/>
      <c r="F856" s="2"/>
      <c r="G856" s="2"/>
      <c r="H856" s="2"/>
      <c r="I856" s="2"/>
      <c r="J856" s="2"/>
      <c r="K856" s="2"/>
      <c r="L856" s="2"/>
      <c r="M856" s="2"/>
      <c r="N856" s="2"/>
      <c r="O856" s="2"/>
      <c r="P856" s="2"/>
      <c r="Q856" s="2"/>
      <c r="R856" s="255"/>
      <c r="S856" s="3"/>
      <c r="T856" s="3"/>
      <c r="U856" s="3"/>
      <c r="V856" s="3"/>
      <c r="W856" s="3"/>
      <c r="X856" s="3"/>
      <c r="Y856" s="3"/>
      <c r="Z856" s="3"/>
    </row>
    <row r="857" ht="15.75" customHeight="1">
      <c r="A857" s="3"/>
      <c r="B857" s="2"/>
      <c r="C857" s="2"/>
      <c r="D857" s="2"/>
      <c r="E857" s="464"/>
      <c r="F857" s="2"/>
      <c r="G857" s="2"/>
      <c r="H857" s="2"/>
      <c r="I857" s="2"/>
      <c r="J857" s="2"/>
      <c r="K857" s="2"/>
      <c r="L857" s="2"/>
      <c r="M857" s="2"/>
      <c r="N857" s="2"/>
      <c r="O857" s="2"/>
      <c r="P857" s="2"/>
      <c r="Q857" s="2"/>
      <c r="R857" s="255"/>
      <c r="S857" s="3"/>
      <c r="T857" s="3"/>
      <c r="U857" s="3"/>
      <c r="V857" s="3"/>
      <c r="W857" s="3"/>
      <c r="X857" s="3"/>
      <c r="Y857" s="3"/>
      <c r="Z857" s="3"/>
    </row>
    <row r="858" ht="15.75" customHeight="1">
      <c r="A858" s="3"/>
      <c r="B858" s="2"/>
      <c r="C858" s="2"/>
      <c r="D858" s="2"/>
      <c r="E858" s="464"/>
      <c r="F858" s="2"/>
      <c r="G858" s="2"/>
      <c r="H858" s="2"/>
      <c r="I858" s="2"/>
      <c r="J858" s="2"/>
      <c r="K858" s="2"/>
      <c r="L858" s="2"/>
      <c r="M858" s="2"/>
      <c r="N858" s="2"/>
      <c r="O858" s="2"/>
      <c r="P858" s="2"/>
      <c r="Q858" s="2"/>
      <c r="R858" s="255"/>
      <c r="S858" s="3"/>
      <c r="T858" s="3"/>
      <c r="U858" s="3"/>
      <c r="V858" s="3"/>
      <c r="W858" s="3"/>
      <c r="X858" s="3"/>
      <c r="Y858" s="3"/>
      <c r="Z858" s="3"/>
    </row>
    <row r="859" ht="15.75" customHeight="1">
      <c r="A859" s="3"/>
      <c r="B859" s="2"/>
      <c r="C859" s="2"/>
      <c r="D859" s="2"/>
      <c r="E859" s="464"/>
      <c r="F859" s="2"/>
      <c r="G859" s="2"/>
      <c r="H859" s="2"/>
      <c r="I859" s="2"/>
      <c r="J859" s="2"/>
      <c r="K859" s="2"/>
      <c r="L859" s="2"/>
      <c r="M859" s="2"/>
      <c r="N859" s="2"/>
      <c r="O859" s="2"/>
      <c r="P859" s="2"/>
      <c r="Q859" s="2"/>
      <c r="R859" s="255"/>
      <c r="S859" s="3"/>
      <c r="T859" s="3"/>
      <c r="U859" s="3"/>
      <c r="V859" s="3"/>
      <c r="W859" s="3"/>
      <c r="X859" s="3"/>
      <c r="Y859" s="3"/>
      <c r="Z859" s="3"/>
    </row>
    <row r="860" ht="15.75" customHeight="1">
      <c r="A860" s="3"/>
      <c r="B860" s="2"/>
      <c r="C860" s="2"/>
      <c r="D860" s="2"/>
      <c r="E860" s="464"/>
      <c r="F860" s="2"/>
      <c r="G860" s="2"/>
      <c r="H860" s="2"/>
      <c r="I860" s="2"/>
      <c r="J860" s="2"/>
      <c r="K860" s="2"/>
      <c r="L860" s="2"/>
      <c r="M860" s="2"/>
      <c r="N860" s="2"/>
      <c r="O860" s="2"/>
      <c r="P860" s="2"/>
      <c r="Q860" s="2"/>
      <c r="R860" s="255"/>
      <c r="S860" s="3"/>
      <c r="T860" s="3"/>
      <c r="U860" s="3"/>
      <c r="V860" s="3"/>
      <c r="W860" s="3"/>
      <c r="X860" s="3"/>
      <c r="Y860" s="3"/>
      <c r="Z860" s="3"/>
    </row>
    <row r="861" ht="15.75" customHeight="1">
      <c r="A861" s="3"/>
      <c r="B861" s="2"/>
      <c r="C861" s="2"/>
      <c r="D861" s="2"/>
      <c r="E861" s="464"/>
      <c r="F861" s="2"/>
      <c r="G861" s="2"/>
      <c r="H861" s="2"/>
      <c r="I861" s="2"/>
      <c r="J861" s="2"/>
      <c r="K861" s="2"/>
      <c r="L861" s="2"/>
      <c r="M861" s="2"/>
      <c r="N861" s="2"/>
      <c r="O861" s="2"/>
      <c r="P861" s="2"/>
      <c r="Q861" s="2"/>
      <c r="R861" s="255"/>
      <c r="S861" s="3"/>
      <c r="T861" s="3"/>
      <c r="U861" s="3"/>
      <c r="V861" s="3"/>
      <c r="W861" s="3"/>
      <c r="X861" s="3"/>
      <c r="Y861" s="3"/>
      <c r="Z861" s="3"/>
    </row>
    <row r="862" ht="15.75" customHeight="1">
      <c r="A862" s="3"/>
      <c r="B862" s="2"/>
      <c r="C862" s="2"/>
      <c r="D862" s="2"/>
      <c r="E862" s="464"/>
      <c r="F862" s="2"/>
      <c r="G862" s="2"/>
      <c r="H862" s="2"/>
      <c r="I862" s="2"/>
      <c r="J862" s="2"/>
      <c r="K862" s="2"/>
      <c r="L862" s="2"/>
      <c r="M862" s="2"/>
      <c r="N862" s="2"/>
      <c r="O862" s="2"/>
      <c r="P862" s="2"/>
      <c r="Q862" s="2"/>
      <c r="R862" s="255"/>
      <c r="S862" s="3"/>
      <c r="T862" s="3"/>
      <c r="U862" s="3"/>
      <c r="V862" s="3"/>
      <c r="W862" s="3"/>
      <c r="X862" s="3"/>
      <c r="Y862" s="3"/>
      <c r="Z862" s="3"/>
    </row>
    <row r="863" ht="15.75" customHeight="1">
      <c r="A863" s="3"/>
      <c r="B863" s="2"/>
      <c r="C863" s="2"/>
      <c r="D863" s="2"/>
      <c r="E863" s="464"/>
      <c r="F863" s="2"/>
      <c r="G863" s="2"/>
      <c r="H863" s="2"/>
      <c r="I863" s="2"/>
      <c r="J863" s="2"/>
      <c r="K863" s="2"/>
      <c r="L863" s="2"/>
      <c r="M863" s="2"/>
      <c r="N863" s="2"/>
      <c r="O863" s="2"/>
      <c r="P863" s="2"/>
      <c r="Q863" s="2"/>
      <c r="R863" s="255"/>
      <c r="S863" s="3"/>
      <c r="T863" s="3"/>
      <c r="U863" s="3"/>
      <c r="V863" s="3"/>
      <c r="W863" s="3"/>
      <c r="X863" s="3"/>
      <c r="Y863" s="3"/>
      <c r="Z863" s="3"/>
    </row>
    <row r="864" ht="15.75" customHeight="1">
      <c r="A864" s="3"/>
      <c r="B864" s="2"/>
      <c r="C864" s="2"/>
      <c r="D864" s="2"/>
      <c r="E864" s="464"/>
      <c r="F864" s="2"/>
      <c r="G864" s="2"/>
      <c r="H864" s="2"/>
      <c r="I864" s="2"/>
      <c r="J864" s="2"/>
      <c r="K864" s="2"/>
      <c r="L864" s="2"/>
      <c r="M864" s="2"/>
      <c r="N864" s="2"/>
      <c r="O864" s="2"/>
      <c r="P864" s="2"/>
      <c r="Q864" s="2"/>
      <c r="R864" s="255"/>
      <c r="S864" s="3"/>
      <c r="T864" s="3"/>
      <c r="U864" s="3"/>
      <c r="V864" s="3"/>
      <c r="W864" s="3"/>
      <c r="X864" s="3"/>
      <c r="Y864" s="3"/>
      <c r="Z864" s="3"/>
    </row>
    <row r="865" ht="15.75" customHeight="1">
      <c r="A865" s="3"/>
      <c r="B865" s="2"/>
      <c r="C865" s="2"/>
      <c r="D865" s="2"/>
      <c r="E865" s="464"/>
      <c r="F865" s="2"/>
      <c r="G865" s="2"/>
      <c r="H865" s="2"/>
      <c r="I865" s="2"/>
      <c r="J865" s="2"/>
      <c r="K865" s="2"/>
      <c r="L865" s="2"/>
      <c r="M865" s="2"/>
      <c r="N865" s="2"/>
      <c r="O865" s="2"/>
      <c r="P865" s="2"/>
      <c r="Q865" s="2"/>
      <c r="R865" s="255"/>
      <c r="S865" s="3"/>
      <c r="T865" s="3"/>
      <c r="U865" s="3"/>
      <c r="V865" s="3"/>
      <c r="W865" s="3"/>
      <c r="X865" s="3"/>
      <c r="Y865" s="3"/>
      <c r="Z865" s="3"/>
    </row>
    <row r="866" ht="15.75" customHeight="1">
      <c r="A866" s="3"/>
      <c r="B866" s="2"/>
      <c r="C866" s="2"/>
      <c r="D866" s="2"/>
      <c r="E866" s="464"/>
      <c r="F866" s="2"/>
      <c r="G866" s="2"/>
      <c r="H866" s="2"/>
      <c r="I866" s="2"/>
      <c r="J866" s="2"/>
      <c r="K866" s="2"/>
      <c r="L866" s="2"/>
      <c r="M866" s="2"/>
      <c r="N866" s="2"/>
      <c r="O866" s="2"/>
      <c r="P866" s="2"/>
      <c r="Q866" s="2"/>
      <c r="R866" s="255"/>
      <c r="S866" s="3"/>
      <c r="T866" s="3"/>
      <c r="U866" s="3"/>
      <c r="V866" s="3"/>
      <c r="W866" s="3"/>
      <c r="X866" s="3"/>
      <c r="Y866" s="3"/>
      <c r="Z866" s="3"/>
    </row>
    <row r="867" ht="15.75" customHeight="1">
      <c r="A867" s="3"/>
      <c r="B867" s="2"/>
      <c r="C867" s="2"/>
      <c r="D867" s="2"/>
      <c r="E867" s="464"/>
      <c r="F867" s="2"/>
      <c r="G867" s="2"/>
      <c r="H867" s="2"/>
      <c r="I867" s="2"/>
      <c r="J867" s="2"/>
      <c r="K867" s="2"/>
      <c r="L867" s="2"/>
      <c r="M867" s="2"/>
      <c r="N867" s="2"/>
      <c r="O867" s="2"/>
      <c r="P867" s="2"/>
      <c r="Q867" s="2"/>
      <c r="R867" s="255"/>
      <c r="S867" s="3"/>
      <c r="T867" s="3"/>
      <c r="U867" s="3"/>
      <c r="V867" s="3"/>
      <c r="W867" s="3"/>
      <c r="X867" s="3"/>
      <c r="Y867" s="3"/>
      <c r="Z867" s="3"/>
    </row>
    <row r="868" ht="15.75" customHeight="1">
      <c r="A868" s="3"/>
      <c r="B868" s="2"/>
      <c r="C868" s="2"/>
      <c r="D868" s="2"/>
      <c r="E868" s="464"/>
      <c r="F868" s="2"/>
      <c r="G868" s="2"/>
      <c r="H868" s="2"/>
      <c r="I868" s="2"/>
      <c r="J868" s="2"/>
      <c r="K868" s="2"/>
      <c r="L868" s="2"/>
      <c r="M868" s="2"/>
      <c r="N868" s="2"/>
      <c r="O868" s="2"/>
      <c r="P868" s="2"/>
      <c r="Q868" s="2"/>
      <c r="R868" s="255"/>
      <c r="S868" s="3"/>
      <c r="T868" s="3"/>
      <c r="U868" s="3"/>
      <c r="V868" s="3"/>
      <c r="W868" s="3"/>
      <c r="X868" s="3"/>
      <c r="Y868" s="3"/>
      <c r="Z868" s="3"/>
    </row>
    <row r="869" ht="15.75" customHeight="1">
      <c r="A869" s="3"/>
      <c r="B869" s="2"/>
      <c r="C869" s="2"/>
      <c r="D869" s="2"/>
      <c r="E869" s="464"/>
      <c r="F869" s="2"/>
      <c r="G869" s="2"/>
      <c r="H869" s="2"/>
      <c r="I869" s="2"/>
      <c r="J869" s="2"/>
      <c r="K869" s="2"/>
      <c r="L869" s="2"/>
      <c r="M869" s="2"/>
      <c r="N869" s="2"/>
      <c r="O869" s="2"/>
      <c r="P869" s="2"/>
      <c r="Q869" s="2"/>
      <c r="R869" s="255"/>
      <c r="S869" s="3"/>
      <c r="T869" s="3"/>
      <c r="U869" s="3"/>
      <c r="V869" s="3"/>
      <c r="W869" s="3"/>
      <c r="X869" s="3"/>
      <c r="Y869" s="3"/>
      <c r="Z869" s="3"/>
    </row>
    <row r="870" ht="15.75" customHeight="1">
      <c r="A870" s="3"/>
      <c r="B870" s="2"/>
      <c r="C870" s="2"/>
      <c r="D870" s="2"/>
      <c r="E870" s="464"/>
      <c r="F870" s="2"/>
      <c r="G870" s="2"/>
      <c r="H870" s="2"/>
      <c r="I870" s="2"/>
      <c r="J870" s="2"/>
      <c r="K870" s="2"/>
      <c r="L870" s="2"/>
      <c r="M870" s="2"/>
      <c r="N870" s="2"/>
      <c r="O870" s="2"/>
      <c r="P870" s="2"/>
      <c r="Q870" s="2"/>
      <c r="R870" s="255"/>
      <c r="S870" s="3"/>
      <c r="T870" s="3"/>
      <c r="U870" s="3"/>
      <c r="V870" s="3"/>
      <c r="W870" s="3"/>
      <c r="X870" s="3"/>
      <c r="Y870" s="3"/>
      <c r="Z870" s="3"/>
    </row>
    <row r="871" ht="15.75" customHeight="1">
      <c r="A871" s="3"/>
      <c r="B871" s="2"/>
      <c r="C871" s="2"/>
      <c r="D871" s="2"/>
      <c r="E871" s="464"/>
      <c r="F871" s="2"/>
      <c r="G871" s="2"/>
      <c r="H871" s="2"/>
      <c r="I871" s="2"/>
      <c r="J871" s="2"/>
      <c r="K871" s="2"/>
      <c r="L871" s="2"/>
      <c r="M871" s="2"/>
      <c r="N871" s="2"/>
      <c r="O871" s="2"/>
      <c r="P871" s="2"/>
      <c r="Q871" s="2"/>
      <c r="R871" s="255"/>
      <c r="S871" s="3"/>
      <c r="T871" s="3"/>
      <c r="U871" s="3"/>
      <c r="V871" s="3"/>
      <c r="W871" s="3"/>
      <c r="X871" s="3"/>
      <c r="Y871" s="3"/>
      <c r="Z871" s="3"/>
    </row>
    <row r="872" ht="15.75" customHeight="1">
      <c r="A872" s="3"/>
      <c r="B872" s="2"/>
      <c r="C872" s="2"/>
      <c r="D872" s="2"/>
      <c r="E872" s="464"/>
      <c r="F872" s="2"/>
      <c r="G872" s="2"/>
      <c r="H872" s="2"/>
      <c r="I872" s="2"/>
      <c r="J872" s="2"/>
      <c r="K872" s="2"/>
      <c r="L872" s="2"/>
      <c r="M872" s="2"/>
      <c r="N872" s="2"/>
      <c r="O872" s="2"/>
      <c r="P872" s="2"/>
      <c r="Q872" s="2"/>
      <c r="R872" s="255"/>
      <c r="S872" s="3"/>
      <c r="T872" s="3"/>
      <c r="U872" s="3"/>
      <c r="V872" s="3"/>
      <c r="W872" s="3"/>
      <c r="X872" s="3"/>
      <c r="Y872" s="3"/>
      <c r="Z872" s="3"/>
    </row>
    <row r="873" ht="15.75" customHeight="1">
      <c r="A873" s="3"/>
      <c r="B873" s="2"/>
      <c r="C873" s="2"/>
      <c r="D873" s="2"/>
      <c r="E873" s="464"/>
      <c r="F873" s="2"/>
      <c r="G873" s="2"/>
      <c r="H873" s="2"/>
      <c r="I873" s="2"/>
      <c r="J873" s="2"/>
      <c r="K873" s="2"/>
      <c r="L873" s="2"/>
      <c r="M873" s="2"/>
      <c r="N873" s="2"/>
      <c r="O873" s="2"/>
      <c r="P873" s="2"/>
      <c r="Q873" s="2"/>
      <c r="R873" s="255"/>
      <c r="S873" s="3"/>
      <c r="T873" s="3"/>
      <c r="U873" s="3"/>
      <c r="V873" s="3"/>
      <c r="W873" s="3"/>
      <c r="X873" s="3"/>
      <c r="Y873" s="3"/>
      <c r="Z873" s="3"/>
    </row>
    <row r="874" ht="15.75" customHeight="1">
      <c r="A874" s="3"/>
      <c r="B874" s="2"/>
      <c r="C874" s="2"/>
      <c r="D874" s="2"/>
      <c r="E874" s="464"/>
      <c r="F874" s="2"/>
      <c r="G874" s="2"/>
      <c r="H874" s="2"/>
      <c r="I874" s="2"/>
      <c r="J874" s="2"/>
      <c r="K874" s="2"/>
      <c r="L874" s="2"/>
      <c r="M874" s="2"/>
      <c r="N874" s="2"/>
      <c r="O874" s="2"/>
      <c r="P874" s="2"/>
      <c r="Q874" s="2"/>
      <c r="R874" s="255"/>
      <c r="S874" s="3"/>
      <c r="T874" s="3"/>
      <c r="U874" s="3"/>
      <c r="V874" s="3"/>
      <c r="W874" s="3"/>
      <c r="X874" s="3"/>
      <c r="Y874" s="3"/>
      <c r="Z874" s="3"/>
    </row>
    <row r="875" ht="15.75" customHeight="1">
      <c r="A875" s="3"/>
      <c r="B875" s="2"/>
      <c r="C875" s="2"/>
      <c r="D875" s="2"/>
      <c r="E875" s="464"/>
      <c r="F875" s="2"/>
      <c r="G875" s="2"/>
      <c r="H875" s="2"/>
      <c r="I875" s="2"/>
      <c r="J875" s="2"/>
      <c r="K875" s="2"/>
      <c r="L875" s="2"/>
      <c r="M875" s="2"/>
      <c r="N875" s="2"/>
      <c r="O875" s="2"/>
      <c r="P875" s="2"/>
      <c r="Q875" s="2"/>
      <c r="R875" s="255"/>
      <c r="S875" s="3"/>
      <c r="T875" s="3"/>
      <c r="U875" s="3"/>
      <c r="V875" s="3"/>
      <c r="W875" s="3"/>
      <c r="X875" s="3"/>
      <c r="Y875" s="3"/>
      <c r="Z875" s="3"/>
    </row>
    <row r="876" ht="15.75" customHeight="1">
      <c r="A876" s="3"/>
      <c r="B876" s="2"/>
      <c r="C876" s="2"/>
      <c r="D876" s="2"/>
      <c r="E876" s="464"/>
      <c r="F876" s="2"/>
      <c r="G876" s="2"/>
      <c r="H876" s="2"/>
      <c r="I876" s="2"/>
      <c r="J876" s="2"/>
      <c r="K876" s="2"/>
      <c r="L876" s="2"/>
      <c r="M876" s="2"/>
      <c r="N876" s="2"/>
      <c r="O876" s="2"/>
      <c r="P876" s="2"/>
      <c r="Q876" s="2"/>
      <c r="R876" s="255"/>
      <c r="S876" s="3"/>
      <c r="T876" s="3"/>
      <c r="U876" s="3"/>
      <c r="V876" s="3"/>
      <c r="W876" s="3"/>
      <c r="X876" s="3"/>
      <c r="Y876" s="3"/>
      <c r="Z876" s="3"/>
    </row>
    <row r="877" ht="15.75" customHeight="1">
      <c r="A877" s="3"/>
      <c r="B877" s="2"/>
      <c r="C877" s="2"/>
      <c r="D877" s="2"/>
      <c r="E877" s="464"/>
      <c r="F877" s="2"/>
      <c r="G877" s="2"/>
      <c r="H877" s="2"/>
      <c r="I877" s="2"/>
      <c r="J877" s="2"/>
      <c r="K877" s="2"/>
      <c r="L877" s="2"/>
      <c r="M877" s="2"/>
      <c r="N877" s="2"/>
      <c r="O877" s="2"/>
      <c r="P877" s="2"/>
      <c r="Q877" s="2"/>
      <c r="R877" s="255"/>
      <c r="S877" s="3"/>
      <c r="T877" s="3"/>
      <c r="U877" s="3"/>
      <c r="V877" s="3"/>
      <c r="W877" s="3"/>
      <c r="X877" s="3"/>
      <c r="Y877" s="3"/>
      <c r="Z877" s="3"/>
    </row>
    <row r="878" ht="15.75" customHeight="1">
      <c r="A878" s="3"/>
      <c r="B878" s="2"/>
      <c r="C878" s="2"/>
      <c r="D878" s="2"/>
      <c r="E878" s="464"/>
      <c r="F878" s="2"/>
      <c r="G878" s="2"/>
      <c r="H878" s="2"/>
      <c r="I878" s="2"/>
      <c r="J878" s="2"/>
      <c r="K878" s="2"/>
      <c r="L878" s="2"/>
      <c r="M878" s="2"/>
      <c r="N878" s="2"/>
      <c r="O878" s="2"/>
      <c r="P878" s="2"/>
      <c r="Q878" s="2"/>
      <c r="R878" s="255"/>
      <c r="S878" s="3"/>
      <c r="T878" s="3"/>
      <c r="U878" s="3"/>
      <c r="V878" s="3"/>
      <c r="W878" s="3"/>
      <c r="X878" s="3"/>
      <c r="Y878" s="3"/>
      <c r="Z878" s="3"/>
    </row>
    <row r="879" ht="15.75" customHeight="1">
      <c r="A879" s="3"/>
      <c r="B879" s="2"/>
      <c r="C879" s="2"/>
      <c r="D879" s="2"/>
      <c r="E879" s="464"/>
      <c r="F879" s="2"/>
      <c r="G879" s="2"/>
      <c r="H879" s="2"/>
      <c r="I879" s="2"/>
      <c r="J879" s="2"/>
      <c r="K879" s="2"/>
      <c r="L879" s="2"/>
      <c r="M879" s="2"/>
      <c r="N879" s="2"/>
      <c r="O879" s="2"/>
      <c r="P879" s="2"/>
      <c r="Q879" s="2"/>
      <c r="R879" s="255"/>
      <c r="S879" s="3"/>
      <c r="T879" s="3"/>
      <c r="U879" s="3"/>
      <c r="V879" s="3"/>
      <c r="W879" s="3"/>
      <c r="X879" s="3"/>
      <c r="Y879" s="3"/>
      <c r="Z879" s="3"/>
    </row>
    <row r="880" ht="15.75" customHeight="1">
      <c r="A880" s="3"/>
      <c r="B880" s="2"/>
      <c r="C880" s="2"/>
      <c r="D880" s="2"/>
      <c r="E880" s="464"/>
      <c r="F880" s="2"/>
      <c r="G880" s="2"/>
      <c r="H880" s="2"/>
      <c r="I880" s="2"/>
      <c r="J880" s="2"/>
      <c r="K880" s="2"/>
      <c r="L880" s="2"/>
      <c r="M880" s="2"/>
      <c r="N880" s="2"/>
      <c r="O880" s="2"/>
      <c r="P880" s="2"/>
      <c r="Q880" s="2"/>
      <c r="R880" s="255"/>
      <c r="S880" s="3"/>
      <c r="T880" s="3"/>
      <c r="U880" s="3"/>
      <c r="V880" s="3"/>
      <c r="W880" s="3"/>
      <c r="X880" s="3"/>
      <c r="Y880" s="3"/>
      <c r="Z880" s="3"/>
    </row>
    <row r="881" ht="15.75" customHeight="1">
      <c r="A881" s="3"/>
      <c r="B881" s="2"/>
      <c r="C881" s="2"/>
      <c r="D881" s="2"/>
      <c r="E881" s="464"/>
      <c r="F881" s="2"/>
      <c r="G881" s="2"/>
      <c r="H881" s="2"/>
      <c r="I881" s="2"/>
      <c r="J881" s="2"/>
      <c r="K881" s="2"/>
      <c r="L881" s="2"/>
      <c r="M881" s="2"/>
      <c r="N881" s="2"/>
      <c r="O881" s="2"/>
      <c r="P881" s="2"/>
      <c r="Q881" s="2"/>
      <c r="R881" s="255"/>
      <c r="S881" s="3"/>
      <c r="T881" s="3"/>
      <c r="U881" s="3"/>
      <c r="V881" s="3"/>
      <c r="W881" s="3"/>
      <c r="X881" s="3"/>
      <c r="Y881" s="3"/>
      <c r="Z881" s="3"/>
    </row>
    <row r="882" ht="15.75" customHeight="1">
      <c r="A882" s="3"/>
      <c r="B882" s="2"/>
      <c r="C882" s="2"/>
      <c r="D882" s="2"/>
      <c r="E882" s="464"/>
      <c r="F882" s="2"/>
      <c r="G882" s="2"/>
      <c r="H882" s="2"/>
      <c r="I882" s="2"/>
      <c r="J882" s="2"/>
      <c r="K882" s="2"/>
      <c r="L882" s="2"/>
      <c r="M882" s="2"/>
      <c r="N882" s="2"/>
      <c r="O882" s="2"/>
      <c r="P882" s="2"/>
      <c r="Q882" s="2"/>
      <c r="R882" s="255"/>
      <c r="S882" s="3"/>
      <c r="T882" s="3"/>
      <c r="U882" s="3"/>
      <c r="V882" s="3"/>
      <c r="W882" s="3"/>
      <c r="X882" s="3"/>
      <c r="Y882" s="3"/>
      <c r="Z882" s="3"/>
    </row>
    <row r="883" ht="15.75" customHeight="1">
      <c r="A883" s="3"/>
      <c r="B883" s="2"/>
      <c r="C883" s="2"/>
      <c r="D883" s="2"/>
      <c r="E883" s="464"/>
      <c r="F883" s="2"/>
      <c r="G883" s="2"/>
      <c r="H883" s="2"/>
      <c r="I883" s="2"/>
      <c r="J883" s="2"/>
      <c r="K883" s="2"/>
      <c r="L883" s="2"/>
      <c r="M883" s="2"/>
      <c r="N883" s="2"/>
      <c r="O883" s="2"/>
      <c r="P883" s="2"/>
      <c r="Q883" s="2"/>
      <c r="R883" s="255"/>
      <c r="S883" s="3"/>
      <c r="T883" s="3"/>
      <c r="U883" s="3"/>
      <c r="V883" s="3"/>
      <c r="W883" s="3"/>
      <c r="X883" s="3"/>
      <c r="Y883" s="3"/>
      <c r="Z883" s="3"/>
    </row>
    <row r="884" ht="15.75" customHeight="1">
      <c r="A884" s="3"/>
      <c r="B884" s="2"/>
      <c r="C884" s="2"/>
      <c r="D884" s="2"/>
      <c r="E884" s="464"/>
      <c r="F884" s="2"/>
      <c r="G884" s="2"/>
      <c r="H884" s="2"/>
      <c r="I884" s="2"/>
      <c r="J884" s="2"/>
      <c r="K884" s="2"/>
      <c r="L884" s="2"/>
      <c r="M884" s="2"/>
      <c r="N884" s="2"/>
      <c r="O884" s="2"/>
      <c r="P884" s="2"/>
      <c r="Q884" s="2"/>
      <c r="R884" s="255"/>
      <c r="S884" s="3"/>
      <c r="T884" s="3"/>
      <c r="U884" s="3"/>
      <c r="V884" s="3"/>
      <c r="W884" s="3"/>
      <c r="X884" s="3"/>
      <c r="Y884" s="3"/>
      <c r="Z884" s="3"/>
    </row>
    <row r="885" ht="15.75" customHeight="1">
      <c r="A885" s="3"/>
      <c r="B885" s="2"/>
      <c r="C885" s="2"/>
      <c r="D885" s="2"/>
      <c r="E885" s="464"/>
      <c r="F885" s="2"/>
      <c r="G885" s="2"/>
      <c r="H885" s="2"/>
      <c r="I885" s="2"/>
      <c r="J885" s="2"/>
      <c r="K885" s="2"/>
      <c r="L885" s="2"/>
      <c r="M885" s="2"/>
      <c r="N885" s="2"/>
      <c r="O885" s="2"/>
      <c r="P885" s="2"/>
      <c r="Q885" s="2"/>
      <c r="R885" s="255"/>
      <c r="S885" s="3"/>
      <c r="T885" s="3"/>
      <c r="U885" s="3"/>
      <c r="V885" s="3"/>
      <c r="W885" s="3"/>
      <c r="X885" s="3"/>
      <c r="Y885" s="3"/>
      <c r="Z885" s="3"/>
    </row>
    <row r="886" ht="15.75" customHeight="1">
      <c r="A886" s="3"/>
      <c r="B886" s="2"/>
      <c r="C886" s="2"/>
      <c r="D886" s="2"/>
      <c r="E886" s="464"/>
      <c r="F886" s="2"/>
      <c r="G886" s="2"/>
      <c r="H886" s="2"/>
      <c r="I886" s="2"/>
      <c r="J886" s="2"/>
      <c r="K886" s="2"/>
      <c r="L886" s="2"/>
      <c r="M886" s="2"/>
      <c r="N886" s="2"/>
      <c r="O886" s="2"/>
      <c r="P886" s="2"/>
      <c r="Q886" s="2"/>
      <c r="R886" s="255"/>
      <c r="S886" s="3"/>
      <c r="T886" s="3"/>
      <c r="U886" s="3"/>
      <c r="V886" s="3"/>
      <c r="W886" s="3"/>
      <c r="X886" s="3"/>
      <c r="Y886" s="3"/>
      <c r="Z886" s="3"/>
    </row>
    <row r="887" ht="15.75" customHeight="1">
      <c r="A887" s="3"/>
      <c r="B887" s="2"/>
      <c r="C887" s="2"/>
      <c r="D887" s="2"/>
      <c r="E887" s="464"/>
      <c r="F887" s="2"/>
      <c r="G887" s="2"/>
      <c r="H887" s="2"/>
      <c r="I887" s="2"/>
      <c r="J887" s="2"/>
      <c r="K887" s="2"/>
      <c r="L887" s="2"/>
      <c r="M887" s="2"/>
      <c r="N887" s="2"/>
      <c r="O887" s="2"/>
      <c r="P887" s="2"/>
      <c r="Q887" s="2"/>
      <c r="R887" s="255"/>
      <c r="S887" s="3"/>
      <c r="T887" s="3"/>
      <c r="U887" s="3"/>
      <c r="V887" s="3"/>
      <c r="W887" s="3"/>
      <c r="X887" s="3"/>
      <c r="Y887" s="3"/>
      <c r="Z887" s="3"/>
    </row>
    <row r="888" ht="15.75" customHeight="1">
      <c r="A888" s="3"/>
      <c r="B888" s="2"/>
      <c r="C888" s="2"/>
      <c r="D888" s="2"/>
      <c r="E888" s="464"/>
      <c r="F888" s="2"/>
      <c r="G888" s="2"/>
      <c r="H888" s="2"/>
      <c r="I888" s="2"/>
      <c r="J888" s="2"/>
      <c r="K888" s="2"/>
      <c r="L888" s="2"/>
      <c r="M888" s="2"/>
      <c r="N888" s="2"/>
      <c r="O888" s="2"/>
      <c r="P888" s="2"/>
      <c r="Q888" s="2"/>
      <c r="R888" s="255"/>
      <c r="S888" s="3"/>
      <c r="T888" s="3"/>
      <c r="U888" s="3"/>
      <c r="V888" s="3"/>
      <c r="W888" s="3"/>
      <c r="X888" s="3"/>
      <c r="Y888" s="3"/>
      <c r="Z888" s="3"/>
    </row>
    <row r="889" ht="15.75" customHeight="1">
      <c r="A889" s="3"/>
      <c r="B889" s="2"/>
      <c r="C889" s="2"/>
      <c r="D889" s="2"/>
      <c r="E889" s="464"/>
      <c r="F889" s="2"/>
      <c r="G889" s="2"/>
      <c r="H889" s="2"/>
      <c r="I889" s="2"/>
      <c r="J889" s="2"/>
      <c r="K889" s="2"/>
      <c r="L889" s="2"/>
      <c r="M889" s="2"/>
      <c r="N889" s="2"/>
      <c r="O889" s="2"/>
      <c r="P889" s="2"/>
      <c r="Q889" s="2"/>
      <c r="R889" s="255"/>
      <c r="S889" s="3"/>
      <c r="T889" s="3"/>
      <c r="U889" s="3"/>
      <c r="V889" s="3"/>
      <c r="W889" s="3"/>
      <c r="X889" s="3"/>
      <c r="Y889" s="3"/>
      <c r="Z889" s="3"/>
    </row>
    <row r="890" ht="15.75" customHeight="1">
      <c r="A890" s="3"/>
      <c r="B890" s="2"/>
      <c r="C890" s="2"/>
      <c r="D890" s="2"/>
      <c r="E890" s="464"/>
      <c r="F890" s="2"/>
      <c r="G890" s="2"/>
      <c r="H890" s="2"/>
      <c r="I890" s="2"/>
      <c r="J890" s="2"/>
      <c r="K890" s="2"/>
      <c r="L890" s="2"/>
      <c r="M890" s="2"/>
      <c r="N890" s="2"/>
      <c r="O890" s="2"/>
      <c r="P890" s="2"/>
      <c r="Q890" s="2"/>
      <c r="R890" s="255"/>
      <c r="S890" s="3"/>
      <c r="T890" s="3"/>
      <c r="U890" s="3"/>
      <c r="V890" s="3"/>
      <c r="W890" s="3"/>
      <c r="X890" s="3"/>
      <c r="Y890" s="3"/>
      <c r="Z890" s="3"/>
    </row>
    <row r="891" ht="15.75" customHeight="1">
      <c r="A891" s="3"/>
      <c r="B891" s="2"/>
      <c r="C891" s="2"/>
      <c r="D891" s="2"/>
      <c r="E891" s="464"/>
      <c r="F891" s="2"/>
      <c r="G891" s="2"/>
      <c r="H891" s="2"/>
      <c r="I891" s="2"/>
      <c r="J891" s="2"/>
      <c r="K891" s="2"/>
      <c r="L891" s="2"/>
      <c r="M891" s="2"/>
      <c r="N891" s="2"/>
      <c r="O891" s="2"/>
      <c r="P891" s="2"/>
      <c r="Q891" s="2"/>
      <c r="R891" s="255"/>
      <c r="S891" s="3"/>
      <c r="T891" s="3"/>
      <c r="U891" s="3"/>
      <c r="V891" s="3"/>
      <c r="W891" s="3"/>
      <c r="X891" s="3"/>
      <c r="Y891" s="3"/>
      <c r="Z891" s="3"/>
    </row>
    <row r="892" ht="15.75" customHeight="1">
      <c r="A892" s="3"/>
      <c r="B892" s="2"/>
      <c r="C892" s="2"/>
      <c r="D892" s="2"/>
      <c r="E892" s="464"/>
      <c r="F892" s="2"/>
      <c r="G892" s="2"/>
      <c r="H892" s="2"/>
      <c r="I892" s="2"/>
      <c r="J892" s="2"/>
      <c r="K892" s="2"/>
      <c r="L892" s="2"/>
      <c r="M892" s="2"/>
      <c r="N892" s="2"/>
      <c r="O892" s="2"/>
      <c r="P892" s="2"/>
      <c r="Q892" s="2"/>
      <c r="R892" s="255"/>
      <c r="S892" s="3"/>
      <c r="T892" s="3"/>
      <c r="U892" s="3"/>
      <c r="V892" s="3"/>
      <c r="W892" s="3"/>
      <c r="X892" s="3"/>
      <c r="Y892" s="3"/>
      <c r="Z892" s="3"/>
    </row>
    <row r="893" ht="15.75" customHeight="1">
      <c r="A893" s="3"/>
      <c r="B893" s="2"/>
      <c r="C893" s="2"/>
      <c r="D893" s="2"/>
      <c r="E893" s="464"/>
      <c r="F893" s="2"/>
      <c r="G893" s="2"/>
      <c r="H893" s="2"/>
      <c r="I893" s="2"/>
      <c r="J893" s="2"/>
      <c r="K893" s="2"/>
      <c r="L893" s="2"/>
      <c r="M893" s="2"/>
      <c r="N893" s="2"/>
      <c r="O893" s="2"/>
      <c r="P893" s="2"/>
      <c r="Q893" s="2"/>
      <c r="R893" s="255"/>
      <c r="S893" s="3"/>
      <c r="T893" s="3"/>
      <c r="U893" s="3"/>
      <c r="V893" s="3"/>
      <c r="W893" s="3"/>
      <c r="X893" s="3"/>
      <c r="Y893" s="3"/>
      <c r="Z893" s="3"/>
    </row>
    <row r="894" ht="15.75" customHeight="1">
      <c r="A894" s="3"/>
      <c r="B894" s="2"/>
      <c r="C894" s="2"/>
      <c r="D894" s="2"/>
      <c r="E894" s="464"/>
      <c r="F894" s="2"/>
      <c r="G894" s="2"/>
      <c r="H894" s="2"/>
      <c r="I894" s="2"/>
      <c r="J894" s="2"/>
      <c r="K894" s="2"/>
      <c r="L894" s="2"/>
      <c r="M894" s="2"/>
      <c r="N894" s="2"/>
      <c r="O894" s="2"/>
      <c r="P894" s="2"/>
      <c r="Q894" s="2"/>
      <c r="R894" s="255"/>
      <c r="S894" s="3"/>
      <c r="T894" s="3"/>
      <c r="U894" s="3"/>
      <c r="V894" s="3"/>
      <c r="W894" s="3"/>
      <c r="X894" s="3"/>
      <c r="Y894" s="3"/>
      <c r="Z894" s="3"/>
    </row>
    <row r="895" ht="15.75" customHeight="1">
      <c r="A895" s="3"/>
      <c r="B895" s="2"/>
      <c r="C895" s="2"/>
      <c r="D895" s="2"/>
      <c r="E895" s="464"/>
      <c r="F895" s="2"/>
      <c r="G895" s="2"/>
      <c r="H895" s="2"/>
      <c r="I895" s="2"/>
      <c r="J895" s="2"/>
      <c r="K895" s="2"/>
      <c r="L895" s="2"/>
      <c r="M895" s="2"/>
      <c r="N895" s="2"/>
      <c r="O895" s="2"/>
      <c r="P895" s="2"/>
      <c r="Q895" s="2"/>
      <c r="R895" s="255"/>
      <c r="S895" s="3"/>
      <c r="T895" s="3"/>
      <c r="U895" s="3"/>
      <c r="V895" s="3"/>
      <c r="W895" s="3"/>
      <c r="X895" s="3"/>
      <c r="Y895" s="3"/>
      <c r="Z895" s="3"/>
    </row>
    <row r="896" ht="15.75" customHeight="1">
      <c r="A896" s="3"/>
      <c r="B896" s="2"/>
      <c r="C896" s="2"/>
      <c r="D896" s="2"/>
      <c r="E896" s="464"/>
      <c r="F896" s="2"/>
      <c r="G896" s="2"/>
      <c r="H896" s="2"/>
      <c r="I896" s="2"/>
      <c r="J896" s="2"/>
      <c r="K896" s="2"/>
      <c r="L896" s="2"/>
      <c r="M896" s="2"/>
      <c r="N896" s="2"/>
      <c r="O896" s="2"/>
      <c r="P896" s="2"/>
      <c r="Q896" s="2"/>
      <c r="R896" s="255"/>
      <c r="S896" s="3"/>
      <c r="T896" s="3"/>
      <c r="U896" s="3"/>
      <c r="V896" s="3"/>
      <c r="W896" s="3"/>
      <c r="X896" s="3"/>
      <c r="Y896" s="3"/>
      <c r="Z896" s="3"/>
    </row>
    <row r="897" ht="15.75" customHeight="1">
      <c r="A897" s="3"/>
      <c r="B897" s="2"/>
      <c r="C897" s="2"/>
      <c r="D897" s="2"/>
      <c r="E897" s="464"/>
      <c r="F897" s="2"/>
      <c r="G897" s="2"/>
      <c r="H897" s="2"/>
      <c r="I897" s="2"/>
      <c r="J897" s="2"/>
      <c r="K897" s="2"/>
      <c r="L897" s="2"/>
      <c r="M897" s="2"/>
      <c r="N897" s="2"/>
      <c r="O897" s="2"/>
      <c r="P897" s="2"/>
      <c r="Q897" s="2"/>
      <c r="R897" s="255"/>
      <c r="S897" s="3"/>
      <c r="T897" s="3"/>
      <c r="U897" s="3"/>
      <c r="V897" s="3"/>
      <c r="W897" s="3"/>
      <c r="X897" s="3"/>
      <c r="Y897" s="3"/>
      <c r="Z897" s="3"/>
    </row>
    <row r="898" ht="15.75" customHeight="1">
      <c r="A898" s="3"/>
      <c r="B898" s="2"/>
      <c r="C898" s="2"/>
      <c r="D898" s="2"/>
      <c r="E898" s="464"/>
      <c r="F898" s="2"/>
      <c r="G898" s="2"/>
      <c r="H898" s="2"/>
      <c r="I898" s="2"/>
      <c r="J898" s="2"/>
      <c r="K898" s="2"/>
      <c r="L898" s="2"/>
      <c r="M898" s="2"/>
      <c r="N898" s="2"/>
      <c r="O898" s="2"/>
      <c r="P898" s="2"/>
      <c r="Q898" s="2"/>
      <c r="R898" s="255"/>
      <c r="S898" s="3"/>
      <c r="T898" s="3"/>
      <c r="U898" s="3"/>
      <c r="V898" s="3"/>
      <c r="W898" s="3"/>
      <c r="X898" s="3"/>
      <c r="Y898" s="3"/>
      <c r="Z898" s="3"/>
    </row>
    <row r="899" ht="15.75" customHeight="1">
      <c r="A899" s="3"/>
      <c r="B899" s="2"/>
      <c r="C899" s="2"/>
      <c r="D899" s="2"/>
      <c r="E899" s="464"/>
      <c r="F899" s="2"/>
      <c r="G899" s="2"/>
      <c r="H899" s="2"/>
      <c r="I899" s="2"/>
      <c r="J899" s="2"/>
      <c r="K899" s="2"/>
      <c r="L899" s="2"/>
      <c r="M899" s="2"/>
      <c r="N899" s="2"/>
      <c r="O899" s="2"/>
      <c r="P899" s="2"/>
      <c r="Q899" s="2"/>
      <c r="R899" s="255"/>
      <c r="S899" s="3"/>
      <c r="T899" s="3"/>
      <c r="U899" s="3"/>
      <c r="V899" s="3"/>
      <c r="W899" s="3"/>
      <c r="X899" s="3"/>
      <c r="Y899" s="3"/>
      <c r="Z899" s="3"/>
    </row>
    <row r="900" ht="15.75" customHeight="1">
      <c r="A900" s="3"/>
      <c r="B900" s="2"/>
      <c r="C900" s="2"/>
      <c r="D900" s="2"/>
      <c r="E900" s="464"/>
      <c r="F900" s="2"/>
      <c r="G900" s="2"/>
      <c r="H900" s="2"/>
      <c r="I900" s="2"/>
      <c r="J900" s="2"/>
      <c r="K900" s="2"/>
      <c r="L900" s="2"/>
      <c r="M900" s="2"/>
      <c r="N900" s="2"/>
      <c r="O900" s="2"/>
      <c r="P900" s="2"/>
      <c r="Q900" s="2"/>
      <c r="R900" s="255"/>
      <c r="S900" s="3"/>
      <c r="T900" s="3"/>
      <c r="U900" s="3"/>
      <c r="V900" s="3"/>
      <c r="W900" s="3"/>
      <c r="X900" s="3"/>
      <c r="Y900" s="3"/>
      <c r="Z900" s="3"/>
    </row>
    <row r="901" ht="15.75" customHeight="1">
      <c r="A901" s="3"/>
      <c r="B901" s="2"/>
      <c r="C901" s="2"/>
      <c r="D901" s="2"/>
      <c r="E901" s="464"/>
      <c r="F901" s="2"/>
      <c r="G901" s="2"/>
      <c r="H901" s="2"/>
      <c r="I901" s="2"/>
      <c r="J901" s="2"/>
      <c r="K901" s="2"/>
      <c r="L901" s="2"/>
      <c r="M901" s="2"/>
      <c r="N901" s="2"/>
      <c r="O901" s="2"/>
      <c r="P901" s="2"/>
      <c r="Q901" s="2"/>
      <c r="R901" s="255"/>
      <c r="S901" s="3"/>
      <c r="T901" s="3"/>
      <c r="U901" s="3"/>
      <c r="V901" s="3"/>
      <c r="W901" s="3"/>
      <c r="X901" s="3"/>
      <c r="Y901" s="3"/>
      <c r="Z901" s="3"/>
    </row>
    <row r="902" ht="15.75" customHeight="1">
      <c r="A902" s="3"/>
      <c r="B902" s="2"/>
      <c r="C902" s="2"/>
      <c r="D902" s="2"/>
      <c r="E902" s="464"/>
      <c r="F902" s="2"/>
      <c r="G902" s="2"/>
      <c r="H902" s="2"/>
      <c r="I902" s="2"/>
      <c r="J902" s="2"/>
      <c r="K902" s="2"/>
      <c r="L902" s="2"/>
      <c r="M902" s="2"/>
      <c r="N902" s="2"/>
      <c r="O902" s="2"/>
      <c r="P902" s="2"/>
      <c r="Q902" s="2"/>
      <c r="R902" s="255"/>
      <c r="S902" s="3"/>
      <c r="T902" s="3"/>
      <c r="U902" s="3"/>
      <c r="V902" s="3"/>
      <c r="W902" s="3"/>
      <c r="X902" s="3"/>
      <c r="Y902" s="3"/>
      <c r="Z902" s="3"/>
    </row>
    <row r="903" ht="15.75" customHeight="1">
      <c r="A903" s="3"/>
      <c r="B903" s="2"/>
      <c r="C903" s="2"/>
      <c r="D903" s="2"/>
      <c r="E903" s="464"/>
      <c r="F903" s="2"/>
      <c r="G903" s="2"/>
      <c r="H903" s="2"/>
      <c r="I903" s="2"/>
      <c r="J903" s="2"/>
      <c r="K903" s="2"/>
      <c r="L903" s="2"/>
      <c r="M903" s="2"/>
      <c r="N903" s="2"/>
      <c r="O903" s="2"/>
      <c r="P903" s="2"/>
      <c r="Q903" s="2"/>
      <c r="R903" s="255"/>
      <c r="S903" s="3"/>
      <c r="T903" s="3"/>
      <c r="U903" s="3"/>
      <c r="V903" s="3"/>
      <c r="W903" s="3"/>
      <c r="X903" s="3"/>
      <c r="Y903" s="3"/>
      <c r="Z903" s="3"/>
    </row>
    <row r="904" ht="15.75" customHeight="1">
      <c r="A904" s="3"/>
      <c r="B904" s="2"/>
      <c r="C904" s="2"/>
      <c r="D904" s="2"/>
      <c r="E904" s="464"/>
      <c r="F904" s="2"/>
      <c r="G904" s="2"/>
      <c r="H904" s="2"/>
      <c r="I904" s="2"/>
      <c r="J904" s="2"/>
      <c r="K904" s="2"/>
      <c r="L904" s="2"/>
      <c r="M904" s="2"/>
      <c r="N904" s="2"/>
      <c r="O904" s="2"/>
      <c r="P904" s="2"/>
      <c r="Q904" s="2"/>
      <c r="R904" s="255"/>
      <c r="S904" s="3"/>
      <c r="T904" s="3"/>
      <c r="U904" s="3"/>
      <c r="V904" s="3"/>
      <c r="W904" s="3"/>
      <c r="X904" s="3"/>
      <c r="Y904" s="3"/>
      <c r="Z904" s="3"/>
    </row>
    <row r="905" ht="15.75" customHeight="1">
      <c r="A905" s="3"/>
      <c r="B905" s="2"/>
      <c r="C905" s="2"/>
      <c r="D905" s="2"/>
      <c r="E905" s="464"/>
      <c r="F905" s="2"/>
      <c r="G905" s="2"/>
      <c r="H905" s="2"/>
      <c r="I905" s="2"/>
      <c r="J905" s="2"/>
      <c r="K905" s="2"/>
      <c r="L905" s="2"/>
      <c r="M905" s="2"/>
      <c r="N905" s="2"/>
      <c r="O905" s="2"/>
      <c r="P905" s="2"/>
      <c r="Q905" s="2"/>
      <c r="R905" s="255"/>
      <c r="S905" s="3"/>
      <c r="T905" s="3"/>
      <c r="U905" s="3"/>
      <c r="V905" s="3"/>
      <c r="W905" s="3"/>
      <c r="X905" s="3"/>
      <c r="Y905" s="3"/>
      <c r="Z905" s="3"/>
    </row>
    <row r="906" ht="15.75" customHeight="1">
      <c r="A906" s="3"/>
      <c r="B906" s="2"/>
      <c r="C906" s="2"/>
      <c r="D906" s="2"/>
      <c r="E906" s="464"/>
      <c r="F906" s="2"/>
      <c r="G906" s="2"/>
      <c r="H906" s="2"/>
      <c r="I906" s="2"/>
      <c r="J906" s="2"/>
      <c r="K906" s="2"/>
      <c r="L906" s="2"/>
      <c r="M906" s="2"/>
      <c r="N906" s="2"/>
      <c r="O906" s="2"/>
      <c r="P906" s="2"/>
      <c r="Q906" s="2"/>
      <c r="R906" s="255"/>
      <c r="S906" s="3"/>
      <c r="T906" s="3"/>
      <c r="U906" s="3"/>
      <c r="V906" s="3"/>
      <c r="W906" s="3"/>
      <c r="X906" s="3"/>
      <c r="Y906" s="3"/>
      <c r="Z906" s="3"/>
    </row>
    <row r="907" ht="15.75" customHeight="1">
      <c r="A907" s="3"/>
      <c r="B907" s="2"/>
      <c r="C907" s="2"/>
      <c r="D907" s="2"/>
      <c r="E907" s="464"/>
      <c r="F907" s="2"/>
      <c r="G907" s="2"/>
      <c r="H907" s="2"/>
      <c r="I907" s="2"/>
      <c r="J907" s="2"/>
      <c r="K907" s="2"/>
      <c r="L907" s="2"/>
      <c r="M907" s="2"/>
      <c r="N907" s="2"/>
      <c r="O907" s="2"/>
      <c r="P907" s="2"/>
      <c r="Q907" s="2"/>
      <c r="R907" s="255"/>
      <c r="S907" s="3"/>
      <c r="T907" s="3"/>
      <c r="U907" s="3"/>
      <c r="V907" s="3"/>
      <c r="W907" s="3"/>
      <c r="X907" s="3"/>
      <c r="Y907" s="3"/>
      <c r="Z907" s="3"/>
    </row>
    <row r="908" ht="15.75" customHeight="1">
      <c r="A908" s="3"/>
      <c r="B908" s="2"/>
      <c r="C908" s="2"/>
      <c r="D908" s="2"/>
      <c r="E908" s="464"/>
      <c r="F908" s="2"/>
      <c r="G908" s="2"/>
      <c r="H908" s="2"/>
      <c r="I908" s="2"/>
      <c r="J908" s="2"/>
      <c r="K908" s="2"/>
      <c r="L908" s="2"/>
      <c r="M908" s="2"/>
      <c r="N908" s="2"/>
      <c r="O908" s="2"/>
      <c r="P908" s="2"/>
      <c r="Q908" s="2"/>
      <c r="R908" s="255"/>
      <c r="S908" s="3"/>
      <c r="T908" s="3"/>
      <c r="U908" s="3"/>
      <c r="V908" s="3"/>
      <c r="W908" s="3"/>
      <c r="X908" s="3"/>
      <c r="Y908" s="3"/>
      <c r="Z908" s="3"/>
    </row>
    <row r="909" ht="15.75" customHeight="1">
      <c r="A909" s="3"/>
      <c r="B909" s="2"/>
      <c r="C909" s="2"/>
      <c r="D909" s="2"/>
      <c r="E909" s="464"/>
      <c r="F909" s="2"/>
      <c r="G909" s="2"/>
      <c r="H909" s="2"/>
      <c r="I909" s="2"/>
      <c r="J909" s="2"/>
      <c r="K909" s="2"/>
      <c r="L909" s="2"/>
      <c r="M909" s="2"/>
      <c r="N909" s="2"/>
      <c r="O909" s="2"/>
      <c r="P909" s="2"/>
      <c r="Q909" s="2"/>
      <c r="R909" s="255"/>
      <c r="S909" s="3"/>
      <c r="T909" s="3"/>
      <c r="U909" s="3"/>
      <c r="V909" s="3"/>
      <c r="W909" s="3"/>
      <c r="X909" s="3"/>
      <c r="Y909" s="3"/>
      <c r="Z909" s="3"/>
    </row>
    <row r="910" ht="15.75" customHeight="1">
      <c r="A910" s="3"/>
      <c r="B910" s="2"/>
      <c r="C910" s="2"/>
      <c r="D910" s="2"/>
      <c r="E910" s="464"/>
      <c r="F910" s="2"/>
      <c r="G910" s="2"/>
      <c r="H910" s="2"/>
      <c r="I910" s="2"/>
      <c r="J910" s="2"/>
      <c r="K910" s="2"/>
      <c r="L910" s="2"/>
      <c r="M910" s="2"/>
      <c r="N910" s="2"/>
      <c r="O910" s="2"/>
      <c r="P910" s="2"/>
      <c r="Q910" s="2"/>
      <c r="R910" s="255"/>
      <c r="S910" s="3"/>
      <c r="T910" s="3"/>
      <c r="U910" s="3"/>
      <c r="V910" s="3"/>
      <c r="W910" s="3"/>
      <c r="X910" s="3"/>
      <c r="Y910" s="3"/>
      <c r="Z910" s="3"/>
    </row>
    <row r="911" ht="15.75" customHeight="1">
      <c r="A911" s="3"/>
      <c r="B911" s="2"/>
      <c r="C911" s="2"/>
      <c r="D911" s="2"/>
      <c r="E911" s="464"/>
      <c r="F911" s="2"/>
      <c r="G911" s="2"/>
      <c r="H911" s="2"/>
      <c r="I911" s="2"/>
      <c r="J911" s="2"/>
      <c r="K911" s="2"/>
      <c r="L911" s="2"/>
      <c r="M911" s="2"/>
      <c r="N911" s="2"/>
      <c r="O911" s="2"/>
      <c r="P911" s="2"/>
      <c r="Q911" s="2"/>
      <c r="R911" s="255"/>
      <c r="S911" s="3"/>
      <c r="T911" s="3"/>
      <c r="U911" s="3"/>
      <c r="V911" s="3"/>
      <c r="W911" s="3"/>
      <c r="X911" s="3"/>
      <c r="Y911" s="3"/>
      <c r="Z911" s="3"/>
    </row>
    <row r="912" ht="15.75" customHeight="1">
      <c r="A912" s="3"/>
      <c r="B912" s="2"/>
      <c r="C912" s="2"/>
      <c r="D912" s="2"/>
      <c r="E912" s="464"/>
      <c r="F912" s="2"/>
      <c r="G912" s="2"/>
      <c r="H912" s="2"/>
      <c r="I912" s="2"/>
      <c r="J912" s="2"/>
      <c r="K912" s="2"/>
      <c r="L912" s="2"/>
      <c r="M912" s="2"/>
      <c r="N912" s="2"/>
      <c r="O912" s="2"/>
      <c r="P912" s="2"/>
      <c r="Q912" s="2"/>
      <c r="R912" s="255"/>
      <c r="S912" s="3"/>
      <c r="T912" s="3"/>
      <c r="U912" s="3"/>
      <c r="V912" s="3"/>
      <c r="W912" s="3"/>
      <c r="X912" s="3"/>
      <c r="Y912" s="3"/>
      <c r="Z912" s="3"/>
    </row>
    <row r="913" ht="15.75" customHeight="1">
      <c r="A913" s="3"/>
      <c r="B913" s="2"/>
      <c r="C913" s="2"/>
      <c r="D913" s="2"/>
      <c r="E913" s="464"/>
      <c r="F913" s="2"/>
      <c r="G913" s="2"/>
      <c r="H913" s="2"/>
      <c r="I913" s="2"/>
      <c r="J913" s="2"/>
      <c r="K913" s="2"/>
      <c r="L913" s="2"/>
      <c r="M913" s="2"/>
      <c r="N913" s="2"/>
      <c r="O913" s="2"/>
      <c r="P913" s="2"/>
      <c r="Q913" s="2"/>
      <c r="R913" s="255"/>
      <c r="S913" s="3"/>
      <c r="T913" s="3"/>
      <c r="U913" s="3"/>
      <c r="V913" s="3"/>
      <c r="W913" s="3"/>
      <c r="X913" s="3"/>
      <c r="Y913" s="3"/>
      <c r="Z913" s="3"/>
    </row>
    <row r="914" ht="15.75" customHeight="1">
      <c r="A914" s="3"/>
      <c r="B914" s="2"/>
      <c r="C914" s="2"/>
      <c r="D914" s="2"/>
      <c r="E914" s="464"/>
      <c r="F914" s="2"/>
      <c r="G914" s="2"/>
      <c r="H914" s="2"/>
      <c r="I914" s="2"/>
      <c r="J914" s="2"/>
      <c r="K914" s="2"/>
      <c r="L914" s="2"/>
      <c r="M914" s="2"/>
      <c r="N914" s="2"/>
      <c r="O914" s="2"/>
      <c r="P914" s="2"/>
      <c r="Q914" s="2"/>
      <c r="R914" s="255"/>
      <c r="S914" s="3"/>
      <c r="T914" s="3"/>
      <c r="U914" s="3"/>
      <c r="V914" s="3"/>
      <c r="W914" s="3"/>
      <c r="X914" s="3"/>
      <c r="Y914" s="3"/>
      <c r="Z914" s="3"/>
    </row>
    <row r="915" ht="15.75" customHeight="1">
      <c r="A915" s="3"/>
      <c r="B915" s="2"/>
      <c r="C915" s="2"/>
      <c r="D915" s="2"/>
      <c r="E915" s="464"/>
      <c r="F915" s="2"/>
      <c r="G915" s="2"/>
      <c r="H915" s="2"/>
      <c r="I915" s="2"/>
      <c r="J915" s="2"/>
      <c r="K915" s="2"/>
      <c r="L915" s="2"/>
      <c r="M915" s="2"/>
      <c r="N915" s="2"/>
      <c r="O915" s="2"/>
      <c r="P915" s="2"/>
      <c r="Q915" s="2"/>
      <c r="R915" s="255"/>
      <c r="S915" s="3"/>
      <c r="T915" s="3"/>
      <c r="U915" s="3"/>
      <c r="V915" s="3"/>
      <c r="W915" s="3"/>
      <c r="X915" s="3"/>
      <c r="Y915" s="3"/>
      <c r="Z915" s="3"/>
    </row>
    <row r="916" ht="15.75" customHeight="1">
      <c r="A916" s="3"/>
      <c r="B916" s="2"/>
      <c r="C916" s="2"/>
      <c r="D916" s="2"/>
      <c r="E916" s="464"/>
      <c r="F916" s="2"/>
      <c r="G916" s="2"/>
      <c r="H916" s="2"/>
      <c r="I916" s="2"/>
      <c r="J916" s="2"/>
      <c r="K916" s="2"/>
      <c r="L916" s="2"/>
      <c r="M916" s="2"/>
      <c r="N916" s="2"/>
      <c r="O916" s="2"/>
      <c r="P916" s="2"/>
      <c r="Q916" s="2"/>
      <c r="R916" s="255"/>
      <c r="S916" s="3"/>
      <c r="T916" s="3"/>
      <c r="U916" s="3"/>
      <c r="V916" s="3"/>
      <c r="W916" s="3"/>
      <c r="X916" s="3"/>
      <c r="Y916" s="3"/>
      <c r="Z916" s="3"/>
    </row>
    <row r="917" ht="15.75" customHeight="1">
      <c r="A917" s="3"/>
      <c r="B917" s="2"/>
      <c r="C917" s="2"/>
      <c r="D917" s="2"/>
      <c r="E917" s="464"/>
      <c r="F917" s="2"/>
      <c r="G917" s="2"/>
      <c r="H917" s="2"/>
      <c r="I917" s="2"/>
      <c r="J917" s="2"/>
      <c r="K917" s="2"/>
      <c r="L917" s="2"/>
      <c r="M917" s="2"/>
      <c r="N917" s="2"/>
      <c r="O917" s="2"/>
      <c r="P917" s="2"/>
      <c r="Q917" s="2"/>
      <c r="R917" s="255"/>
      <c r="S917" s="3"/>
      <c r="T917" s="3"/>
      <c r="U917" s="3"/>
      <c r="V917" s="3"/>
      <c r="W917" s="3"/>
      <c r="X917" s="3"/>
      <c r="Y917" s="3"/>
      <c r="Z917" s="3"/>
    </row>
    <row r="918" ht="15.75" customHeight="1">
      <c r="A918" s="3"/>
      <c r="B918" s="2"/>
      <c r="C918" s="2"/>
      <c r="D918" s="2"/>
      <c r="E918" s="464"/>
      <c r="F918" s="2"/>
      <c r="G918" s="2"/>
      <c r="H918" s="2"/>
      <c r="I918" s="2"/>
      <c r="J918" s="2"/>
      <c r="K918" s="2"/>
      <c r="L918" s="2"/>
      <c r="M918" s="2"/>
      <c r="N918" s="2"/>
      <c r="O918" s="2"/>
      <c r="P918" s="2"/>
      <c r="Q918" s="2"/>
      <c r="R918" s="255"/>
      <c r="S918" s="3"/>
      <c r="T918" s="3"/>
      <c r="U918" s="3"/>
      <c r="V918" s="3"/>
      <c r="W918" s="3"/>
      <c r="X918" s="3"/>
      <c r="Y918" s="3"/>
      <c r="Z918" s="3"/>
    </row>
    <row r="919" ht="15.75" customHeight="1">
      <c r="A919" s="3"/>
      <c r="B919" s="2"/>
      <c r="C919" s="2"/>
      <c r="D919" s="2"/>
      <c r="E919" s="464"/>
      <c r="F919" s="2"/>
      <c r="G919" s="2"/>
      <c r="H919" s="2"/>
      <c r="I919" s="2"/>
      <c r="J919" s="2"/>
      <c r="K919" s="2"/>
      <c r="L919" s="2"/>
      <c r="M919" s="2"/>
      <c r="N919" s="2"/>
      <c r="O919" s="2"/>
      <c r="P919" s="2"/>
      <c r="Q919" s="2"/>
      <c r="R919" s="255"/>
      <c r="S919" s="3"/>
      <c r="T919" s="3"/>
      <c r="U919" s="3"/>
      <c r="V919" s="3"/>
      <c r="W919" s="3"/>
      <c r="X919" s="3"/>
      <c r="Y919" s="3"/>
      <c r="Z919" s="3"/>
    </row>
    <row r="920" ht="15.75" customHeight="1">
      <c r="A920" s="3"/>
      <c r="B920" s="2"/>
      <c r="C920" s="2"/>
      <c r="D920" s="2"/>
      <c r="E920" s="464"/>
      <c r="F920" s="2"/>
      <c r="G920" s="2"/>
      <c r="H920" s="2"/>
      <c r="I920" s="2"/>
      <c r="J920" s="2"/>
      <c r="K920" s="2"/>
      <c r="L920" s="2"/>
      <c r="M920" s="2"/>
      <c r="N920" s="2"/>
      <c r="O920" s="2"/>
      <c r="P920" s="2"/>
      <c r="Q920" s="2"/>
      <c r="R920" s="255"/>
      <c r="S920" s="3"/>
      <c r="T920" s="3"/>
      <c r="U920" s="3"/>
      <c r="V920" s="3"/>
      <c r="W920" s="3"/>
      <c r="X920" s="3"/>
      <c r="Y920" s="3"/>
      <c r="Z920" s="3"/>
    </row>
    <row r="921" ht="15.75" customHeight="1">
      <c r="A921" s="3"/>
      <c r="B921" s="2"/>
      <c r="C921" s="2"/>
      <c r="D921" s="2"/>
      <c r="E921" s="464"/>
      <c r="F921" s="2"/>
      <c r="G921" s="2"/>
      <c r="H921" s="2"/>
      <c r="I921" s="2"/>
      <c r="J921" s="2"/>
      <c r="K921" s="2"/>
      <c r="L921" s="2"/>
      <c r="M921" s="2"/>
      <c r="N921" s="2"/>
      <c r="O921" s="2"/>
      <c r="P921" s="2"/>
      <c r="Q921" s="2"/>
      <c r="R921" s="255"/>
      <c r="S921" s="3"/>
      <c r="T921" s="3"/>
      <c r="U921" s="3"/>
      <c r="V921" s="3"/>
      <c r="W921" s="3"/>
      <c r="X921" s="3"/>
      <c r="Y921" s="3"/>
      <c r="Z921" s="3"/>
    </row>
    <row r="922" ht="15.75" customHeight="1">
      <c r="A922" s="3"/>
      <c r="B922" s="2"/>
      <c r="C922" s="2"/>
      <c r="D922" s="2"/>
      <c r="E922" s="464"/>
      <c r="F922" s="2"/>
      <c r="G922" s="2"/>
      <c r="H922" s="2"/>
      <c r="I922" s="2"/>
      <c r="J922" s="2"/>
      <c r="K922" s="2"/>
      <c r="L922" s="2"/>
      <c r="M922" s="2"/>
      <c r="N922" s="2"/>
      <c r="O922" s="2"/>
      <c r="P922" s="2"/>
      <c r="Q922" s="2"/>
      <c r="R922" s="255"/>
      <c r="S922" s="3"/>
      <c r="T922" s="3"/>
      <c r="U922" s="3"/>
      <c r="V922" s="3"/>
      <c r="W922" s="3"/>
      <c r="X922" s="3"/>
      <c r="Y922" s="3"/>
      <c r="Z922" s="3"/>
    </row>
    <row r="923" ht="15.75" customHeight="1">
      <c r="A923" s="3"/>
      <c r="B923" s="2"/>
      <c r="C923" s="2"/>
      <c r="D923" s="2"/>
      <c r="E923" s="464"/>
      <c r="F923" s="2"/>
      <c r="G923" s="2"/>
      <c r="H923" s="2"/>
      <c r="I923" s="2"/>
      <c r="J923" s="2"/>
      <c r="K923" s="2"/>
      <c r="L923" s="2"/>
      <c r="M923" s="2"/>
      <c r="N923" s="2"/>
      <c r="O923" s="2"/>
      <c r="P923" s="2"/>
      <c r="Q923" s="2"/>
      <c r="R923" s="255"/>
      <c r="S923" s="3"/>
      <c r="T923" s="3"/>
      <c r="U923" s="3"/>
      <c r="V923" s="3"/>
      <c r="W923" s="3"/>
      <c r="X923" s="3"/>
      <c r="Y923" s="3"/>
      <c r="Z923" s="3"/>
    </row>
    <row r="924" ht="15.75" customHeight="1">
      <c r="A924" s="3"/>
      <c r="B924" s="2"/>
      <c r="C924" s="2"/>
      <c r="D924" s="2"/>
      <c r="E924" s="464"/>
      <c r="F924" s="2"/>
      <c r="G924" s="2"/>
      <c r="H924" s="2"/>
      <c r="I924" s="2"/>
      <c r="J924" s="2"/>
      <c r="K924" s="2"/>
      <c r="L924" s="2"/>
      <c r="M924" s="2"/>
      <c r="N924" s="2"/>
      <c r="O924" s="2"/>
      <c r="P924" s="2"/>
      <c r="Q924" s="2"/>
      <c r="R924" s="255"/>
      <c r="S924" s="3"/>
      <c r="T924" s="3"/>
      <c r="U924" s="3"/>
      <c r="V924" s="3"/>
      <c r="W924" s="3"/>
      <c r="X924" s="3"/>
      <c r="Y924" s="3"/>
      <c r="Z924" s="3"/>
    </row>
    <row r="925" ht="15.75" customHeight="1">
      <c r="A925" s="3"/>
      <c r="B925" s="2"/>
      <c r="C925" s="2"/>
      <c r="D925" s="2"/>
      <c r="E925" s="464"/>
      <c r="F925" s="2"/>
      <c r="G925" s="2"/>
      <c r="H925" s="2"/>
      <c r="I925" s="2"/>
      <c r="J925" s="2"/>
      <c r="K925" s="2"/>
      <c r="L925" s="2"/>
      <c r="M925" s="2"/>
      <c r="N925" s="2"/>
      <c r="O925" s="2"/>
      <c r="P925" s="2"/>
      <c r="Q925" s="2"/>
      <c r="R925" s="255"/>
      <c r="S925" s="3"/>
      <c r="T925" s="3"/>
      <c r="U925" s="3"/>
      <c r="V925" s="3"/>
      <c r="W925" s="3"/>
      <c r="X925" s="3"/>
      <c r="Y925" s="3"/>
      <c r="Z925" s="3"/>
    </row>
    <row r="926" ht="15.75" customHeight="1">
      <c r="A926" s="3"/>
      <c r="B926" s="2"/>
      <c r="C926" s="2"/>
      <c r="D926" s="2"/>
      <c r="E926" s="464"/>
      <c r="F926" s="2"/>
      <c r="G926" s="2"/>
      <c r="H926" s="2"/>
      <c r="I926" s="2"/>
      <c r="J926" s="2"/>
      <c r="K926" s="2"/>
      <c r="L926" s="2"/>
      <c r="M926" s="2"/>
      <c r="N926" s="2"/>
      <c r="O926" s="2"/>
      <c r="P926" s="2"/>
      <c r="Q926" s="2"/>
      <c r="R926" s="255"/>
      <c r="S926" s="3"/>
      <c r="T926" s="3"/>
      <c r="U926" s="3"/>
      <c r="V926" s="3"/>
      <c r="W926" s="3"/>
      <c r="X926" s="3"/>
      <c r="Y926" s="3"/>
      <c r="Z926" s="3"/>
    </row>
    <row r="927" ht="15.75" customHeight="1">
      <c r="A927" s="3"/>
      <c r="B927" s="2"/>
      <c r="C927" s="2"/>
      <c r="D927" s="2"/>
      <c r="E927" s="464"/>
      <c r="F927" s="2"/>
      <c r="G927" s="2"/>
      <c r="H927" s="2"/>
      <c r="I927" s="2"/>
      <c r="J927" s="2"/>
      <c r="K927" s="2"/>
      <c r="L927" s="2"/>
      <c r="M927" s="2"/>
      <c r="N927" s="2"/>
      <c r="O927" s="2"/>
      <c r="P927" s="2"/>
      <c r="Q927" s="2"/>
      <c r="R927" s="255"/>
      <c r="S927" s="3"/>
      <c r="T927" s="3"/>
      <c r="U927" s="3"/>
      <c r="V927" s="3"/>
      <c r="W927" s="3"/>
      <c r="X927" s="3"/>
      <c r="Y927" s="3"/>
      <c r="Z927" s="3"/>
    </row>
    <row r="928" ht="15.75" customHeight="1">
      <c r="A928" s="3"/>
      <c r="B928" s="2"/>
      <c r="C928" s="2"/>
      <c r="D928" s="2"/>
      <c r="E928" s="464"/>
      <c r="F928" s="2"/>
      <c r="G928" s="2"/>
      <c r="H928" s="2"/>
      <c r="I928" s="2"/>
      <c r="J928" s="2"/>
      <c r="K928" s="2"/>
      <c r="L928" s="2"/>
      <c r="M928" s="2"/>
      <c r="N928" s="2"/>
      <c r="O928" s="2"/>
      <c r="P928" s="2"/>
      <c r="Q928" s="2"/>
      <c r="R928" s="255"/>
      <c r="S928" s="3"/>
      <c r="T928" s="3"/>
      <c r="U928" s="3"/>
      <c r="V928" s="3"/>
      <c r="W928" s="3"/>
      <c r="X928" s="3"/>
      <c r="Y928" s="3"/>
      <c r="Z928" s="3"/>
    </row>
    <row r="929" ht="15.75" customHeight="1">
      <c r="A929" s="3"/>
      <c r="B929" s="2"/>
      <c r="C929" s="2"/>
      <c r="D929" s="2"/>
      <c r="E929" s="464"/>
      <c r="F929" s="2"/>
      <c r="G929" s="2"/>
      <c r="H929" s="2"/>
      <c r="I929" s="2"/>
      <c r="J929" s="2"/>
      <c r="K929" s="2"/>
      <c r="L929" s="2"/>
      <c r="M929" s="2"/>
      <c r="N929" s="2"/>
      <c r="O929" s="2"/>
      <c r="P929" s="2"/>
      <c r="Q929" s="2"/>
      <c r="R929" s="255"/>
      <c r="S929" s="3"/>
      <c r="T929" s="3"/>
      <c r="U929" s="3"/>
      <c r="V929" s="3"/>
      <c r="W929" s="3"/>
      <c r="X929" s="3"/>
      <c r="Y929" s="3"/>
      <c r="Z929" s="3"/>
    </row>
    <row r="930" ht="15.75" customHeight="1">
      <c r="A930" s="3"/>
      <c r="B930" s="2"/>
      <c r="C930" s="2"/>
      <c r="D930" s="2"/>
      <c r="E930" s="464"/>
      <c r="F930" s="2"/>
      <c r="G930" s="2"/>
      <c r="H930" s="2"/>
      <c r="I930" s="2"/>
      <c r="J930" s="2"/>
      <c r="K930" s="2"/>
      <c r="L930" s="2"/>
      <c r="M930" s="2"/>
      <c r="N930" s="2"/>
      <c r="O930" s="2"/>
      <c r="P930" s="2"/>
      <c r="Q930" s="2"/>
      <c r="R930" s="255"/>
      <c r="S930" s="3"/>
      <c r="T930" s="3"/>
      <c r="U930" s="3"/>
      <c r="V930" s="3"/>
      <c r="W930" s="3"/>
      <c r="X930" s="3"/>
      <c r="Y930" s="3"/>
      <c r="Z930" s="3"/>
    </row>
    <row r="931" ht="15.75" customHeight="1">
      <c r="A931" s="3"/>
      <c r="B931" s="2"/>
      <c r="C931" s="2"/>
      <c r="D931" s="2"/>
      <c r="E931" s="464"/>
      <c r="F931" s="2"/>
      <c r="G931" s="2"/>
      <c r="H931" s="2"/>
      <c r="I931" s="2"/>
      <c r="J931" s="2"/>
      <c r="K931" s="2"/>
      <c r="L931" s="2"/>
      <c r="M931" s="2"/>
      <c r="N931" s="2"/>
      <c r="O931" s="2"/>
      <c r="P931" s="2"/>
      <c r="Q931" s="2"/>
      <c r="R931" s="255"/>
      <c r="S931" s="3"/>
      <c r="T931" s="3"/>
      <c r="U931" s="3"/>
      <c r="V931" s="3"/>
      <c r="W931" s="3"/>
      <c r="X931" s="3"/>
      <c r="Y931" s="3"/>
      <c r="Z931" s="3"/>
    </row>
    <row r="932" ht="15.75" customHeight="1">
      <c r="A932" s="3"/>
      <c r="B932" s="2"/>
      <c r="C932" s="2"/>
      <c r="D932" s="2"/>
      <c r="E932" s="464"/>
      <c r="F932" s="2"/>
      <c r="G932" s="2"/>
      <c r="H932" s="2"/>
      <c r="I932" s="2"/>
      <c r="J932" s="2"/>
      <c r="K932" s="2"/>
      <c r="L932" s="2"/>
      <c r="M932" s="2"/>
      <c r="N932" s="2"/>
      <c r="O932" s="2"/>
      <c r="P932" s="2"/>
      <c r="Q932" s="2"/>
      <c r="R932" s="255"/>
      <c r="S932" s="3"/>
      <c r="T932" s="3"/>
      <c r="U932" s="3"/>
      <c r="V932" s="3"/>
      <c r="W932" s="3"/>
      <c r="X932" s="3"/>
      <c r="Y932" s="3"/>
      <c r="Z932" s="3"/>
    </row>
    <row r="933" ht="15.75" customHeight="1">
      <c r="A933" s="3"/>
      <c r="B933" s="2"/>
      <c r="C933" s="2"/>
      <c r="D933" s="2"/>
      <c r="E933" s="464"/>
      <c r="F933" s="2"/>
      <c r="G933" s="2"/>
      <c r="H933" s="2"/>
      <c r="I933" s="2"/>
      <c r="J933" s="2"/>
      <c r="K933" s="2"/>
      <c r="L933" s="2"/>
      <c r="M933" s="2"/>
      <c r="N933" s="2"/>
      <c r="O933" s="2"/>
      <c r="P933" s="2"/>
      <c r="Q933" s="2"/>
      <c r="R933" s="255"/>
      <c r="S933" s="3"/>
      <c r="T933" s="3"/>
      <c r="U933" s="3"/>
      <c r="V933" s="3"/>
      <c r="W933" s="3"/>
      <c r="X933" s="3"/>
      <c r="Y933" s="3"/>
      <c r="Z933" s="3"/>
    </row>
    <row r="934" ht="15.75" customHeight="1">
      <c r="A934" s="3"/>
      <c r="B934" s="2"/>
      <c r="C934" s="2"/>
      <c r="D934" s="2"/>
      <c r="E934" s="464"/>
      <c r="F934" s="2"/>
      <c r="G934" s="2"/>
      <c r="H934" s="2"/>
      <c r="I934" s="2"/>
      <c r="J934" s="2"/>
      <c r="K934" s="2"/>
      <c r="L934" s="2"/>
      <c r="M934" s="2"/>
      <c r="N934" s="2"/>
      <c r="O934" s="2"/>
      <c r="P934" s="2"/>
      <c r="Q934" s="2"/>
      <c r="R934" s="255"/>
      <c r="S934" s="3"/>
      <c r="T934" s="3"/>
      <c r="U934" s="3"/>
      <c r="V934" s="3"/>
      <c r="W934" s="3"/>
      <c r="X934" s="3"/>
      <c r="Y934" s="3"/>
      <c r="Z934" s="3"/>
    </row>
    <row r="935" ht="15.75" customHeight="1">
      <c r="A935" s="3"/>
      <c r="B935" s="2"/>
      <c r="C935" s="2"/>
      <c r="D935" s="2"/>
      <c r="E935" s="464"/>
      <c r="F935" s="2"/>
      <c r="G935" s="2"/>
      <c r="H935" s="2"/>
      <c r="I935" s="2"/>
      <c r="J935" s="2"/>
      <c r="K935" s="2"/>
      <c r="L935" s="2"/>
      <c r="M935" s="2"/>
      <c r="N935" s="2"/>
      <c r="O935" s="2"/>
      <c r="P935" s="2"/>
      <c r="Q935" s="2"/>
      <c r="R935" s="255"/>
      <c r="S935" s="3"/>
      <c r="T935" s="3"/>
      <c r="U935" s="3"/>
      <c r="V935" s="3"/>
      <c r="W935" s="3"/>
      <c r="X935" s="3"/>
      <c r="Y935" s="3"/>
      <c r="Z935" s="3"/>
    </row>
    <row r="936" ht="15.75" customHeight="1">
      <c r="A936" s="3"/>
      <c r="B936" s="2"/>
      <c r="C936" s="2"/>
      <c r="D936" s="2"/>
      <c r="E936" s="464"/>
      <c r="F936" s="2"/>
      <c r="G936" s="2"/>
      <c r="H936" s="2"/>
      <c r="I936" s="2"/>
      <c r="J936" s="2"/>
      <c r="K936" s="2"/>
      <c r="L936" s="2"/>
      <c r="M936" s="2"/>
      <c r="N936" s="2"/>
      <c r="O936" s="2"/>
      <c r="P936" s="2"/>
      <c r="Q936" s="2"/>
      <c r="R936" s="255"/>
      <c r="S936" s="3"/>
      <c r="T936" s="3"/>
      <c r="U936" s="3"/>
      <c r="V936" s="3"/>
      <c r="W936" s="3"/>
      <c r="X936" s="3"/>
      <c r="Y936" s="3"/>
      <c r="Z936" s="3"/>
    </row>
    <row r="937" ht="15.75" customHeight="1">
      <c r="A937" s="3"/>
      <c r="B937" s="2"/>
      <c r="C937" s="2"/>
      <c r="D937" s="2"/>
      <c r="E937" s="464"/>
      <c r="F937" s="2"/>
      <c r="G937" s="2"/>
      <c r="H937" s="2"/>
      <c r="I937" s="2"/>
      <c r="J937" s="2"/>
      <c r="K937" s="2"/>
      <c r="L937" s="2"/>
      <c r="M937" s="2"/>
      <c r="N937" s="2"/>
      <c r="O937" s="2"/>
      <c r="P937" s="2"/>
      <c r="Q937" s="2"/>
      <c r="R937" s="255"/>
      <c r="S937" s="3"/>
      <c r="T937" s="3"/>
      <c r="U937" s="3"/>
      <c r="V937" s="3"/>
      <c r="W937" s="3"/>
      <c r="X937" s="3"/>
      <c r="Y937" s="3"/>
      <c r="Z937" s="3"/>
    </row>
    <row r="938" ht="15.75" customHeight="1">
      <c r="A938" s="3"/>
      <c r="B938" s="2"/>
      <c r="C938" s="2"/>
      <c r="D938" s="2"/>
      <c r="E938" s="464"/>
      <c r="F938" s="2"/>
      <c r="G938" s="2"/>
      <c r="H938" s="2"/>
      <c r="I938" s="2"/>
      <c r="J938" s="2"/>
      <c r="K938" s="2"/>
      <c r="L938" s="2"/>
      <c r="M938" s="2"/>
      <c r="N938" s="2"/>
      <c r="O938" s="2"/>
      <c r="P938" s="2"/>
      <c r="Q938" s="2"/>
      <c r="R938" s="255"/>
      <c r="S938" s="3"/>
      <c r="T938" s="3"/>
      <c r="U938" s="3"/>
      <c r="V938" s="3"/>
      <c r="W938" s="3"/>
      <c r="X938" s="3"/>
      <c r="Y938" s="3"/>
      <c r="Z938" s="3"/>
    </row>
    <row r="939" ht="15.75" customHeight="1">
      <c r="A939" s="3"/>
      <c r="B939" s="2"/>
      <c r="C939" s="2"/>
      <c r="D939" s="2"/>
      <c r="E939" s="464"/>
      <c r="F939" s="2"/>
      <c r="G939" s="2"/>
      <c r="H939" s="2"/>
      <c r="I939" s="2"/>
      <c r="J939" s="2"/>
      <c r="K939" s="2"/>
      <c r="L939" s="2"/>
      <c r="M939" s="2"/>
      <c r="N939" s="2"/>
      <c r="O939" s="2"/>
      <c r="P939" s="2"/>
      <c r="Q939" s="2"/>
      <c r="R939" s="255"/>
      <c r="S939" s="3"/>
      <c r="T939" s="3"/>
      <c r="U939" s="3"/>
      <c r="V939" s="3"/>
      <c r="W939" s="3"/>
      <c r="X939" s="3"/>
      <c r="Y939" s="3"/>
      <c r="Z939" s="3"/>
    </row>
    <row r="940" ht="15.75" customHeight="1">
      <c r="A940" s="3"/>
      <c r="B940" s="2"/>
      <c r="C940" s="2"/>
      <c r="D940" s="2"/>
      <c r="E940" s="464"/>
      <c r="F940" s="2"/>
      <c r="G940" s="2"/>
      <c r="H940" s="2"/>
      <c r="I940" s="2"/>
      <c r="J940" s="2"/>
      <c r="K940" s="2"/>
      <c r="L940" s="2"/>
      <c r="M940" s="2"/>
      <c r="N940" s="2"/>
      <c r="O940" s="2"/>
      <c r="P940" s="2"/>
      <c r="Q940" s="2"/>
      <c r="R940" s="255"/>
      <c r="S940" s="3"/>
      <c r="T940" s="3"/>
      <c r="U940" s="3"/>
      <c r="V940" s="3"/>
      <c r="W940" s="3"/>
      <c r="X940" s="3"/>
      <c r="Y940" s="3"/>
      <c r="Z940" s="3"/>
    </row>
    <row r="941" ht="15.75" customHeight="1">
      <c r="A941" s="3"/>
      <c r="B941" s="2"/>
      <c r="C941" s="2"/>
      <c r="D941" s="2"/>
      <c r="E941" s="464"/>
      <c r="F941" s="2"/>
      <c r="G941" s="2"/>
      <c r="H941" s="2"/>
      <c r="I941" s="2"/>
      <c r="J941" s="2"/>
      <c r="K941" s="2"/>
      <c r="L941" s="2"/>
      <c r="M941" s="2"/>
      <c r="N941" s="2"/>
      <c r="O941" s="2"/>
      <c r="P941" s="2"/>
      <c r="Q941" s="2"/>
      <c r="R941" s="255"/>
      <c r="S941" s="3"/>
      <c r="T941" s="3"/>
      <c r="U941" s="3"/>
      <c r="V941" s="3"/>
      <c r="W941" s="3"/>
      <c r="X941" s="3"/>
      <c r="Y941" s="3"/>
      <c r="Z941" s="3"/>
    </row>
    <row r="942" ht="15.75" customHeight="1">
      <c r="A942" s="3"/>
      <c r="B942" s="2"/>
      <c r="C942" s="2"/>
      <c r="D942" s="2"/>
      <c r="E942" s="464"/>
      <c r="F942" s="2"/>
      <c r="G942" s="2"/>
      <c r="H942" s="2"/>
      <c r="I942" s="2"/>
      <c r="J942" s="2"/>
      <c r="K942" s="2"/>
      <c r="L942" s="2"/>
      <c r="M942" s="2"/>
      <c r="N942" s="2"/>
      <c r="O942" s="2"/>
      <c r="P942" s="2"/>
      <c r="Q942" s="2"/>
      <c r="R942" s="255"/>
      <c r="S942" s="3"/>
      <c r="T942" s="3"/>
      <c r="U942" s="3"/>
      <c r="V942" s="3"/>
      <c r="W942" s="3"/>
      <c r="X942" s="3"/>
      <c r="Y942" s="3"/>
      <c r="Z942" s="3"/>
    </row>
    <row r="943" ht="15.75" customHeight="1">
      <c r="A943" s="3"/>
      <c r="B943" s="2"/>
      <c r="C943" s="2"/>
      <c r="D943" s="2"/>
      <c r="E943" s="464"/>
      <c r="F943" s="2"/>
      <c r="G943" s="2"/>
      <c r="H943" s="2"/>
      <c r="I943" s="2"/>
      <c r="J943" s="2"/>
      <c r="K943" s="2"/>
      <c r="L943" s="2"/>
      <c r="M943" s="2"/>
      <c r="N943" s="2"/>
      <c r="O943" s="2"/>
      <c r="P943" s="2"/>
      <c r="Q943" s="2"/>
      <c r="R943" s="255"/>
      <c r="S943" s="3"/>
      <c r="T943" s="3"/>
      <c r="U943" s="3"/>
      <c r="V943" s="3"/>
      <c r="W943" s="3"/>
      <c r="X943" s="3"/>
      <c r="Y943" s="3"/>
      <c r="Z943" s="3"/>
    </row>
    <row r="944" ht="15.75" customHeight="1">
      <c r="A944" s="3"/>
      <c r="B944" s="2"/>
      <c r="C944" s="2"/>
      <c r="D944" s="2"/>
      <c r="E944" s="464"/>
      <c r="F944" s="2"/>
      <c r="G944" s="2"/>
      <c r="H944" s="2"/>
      <c r="I944" s="2"/>
      <c r="J944" s="2"/>
      <c r="K944" s="2"/>
      <c r="L944" s="2"/>
      <c r="M944" s="2"/>
      <c r="N944" s="2"/>
      <c r="O944" s="2"/>
      <c r="P944" s="2"/>
      <c r="Q944" s="2"/>
      <c r="R944" s="255"/>
      <c r="S944" s="3"/>
      <c r="T944" s="3"/>
      <c r="U944" s="3"/>
      <c r="V944" s="3"/>
      <c r="W944" s="3"/>
      <c r="X944" s="3"/>
      <c r="Y944" s="3"/>
      <c r="Z944" s="3"/>
    </row>
    <row r="945" ht="15.75" customHeight="1">
      <c r="A945" s="3"/>
      <c r="B945" s="2"/>
      <c r="C945" s="2"/>
      <c r="D945" s="2"/>
      <c r="E945" s="464"/>
      <c r="F945" s="2"/>
      <c r="G945" s="2"/>
      <c r="H945" s="2"/>
      <c r="I945" s="2"/>
      <c r="J945" s="2"/>
      <c r="K945" s="2"/>
      <c r="L945" s="2"/>
      <c r="M945" s="2"/>
      <c r="N945" s="2"/>
      <c r="O945" s="2"/>
      <c r="P945" s="2"/>
      <c r="Q945" s="2"/>
      <c r="R945" s="255"/>
      <c r="S945" s="3"/>
      <c r="T945" s="3"/>
      <c r="U945" s="3"/>
      <c r="V945" s="3"/>
      <c r="W945" s="3"/>
      <c r="X945" s="3"/>
      <c r="Y945" s="3"/>
      <c r="Z945" s="3"/>
    </row>
    <row r="946" ht="15.75" customHeight="1">
      <c r="A946" s="3"/>
      <c r="B946" s="2"/>
      <c r="C946" s="2"/>
      <c r="D946" s="2"/>
      <c r="E946" s="464"/>
      <c r="F946" s="2"/>
      <c r="G946" s="2"/>
      <c r="H946" s="2"/>
      <c r="I946" s="2"/>
      <c r="J946" s="2"/>
      <c r="K946" s="2"/>
      <c r="L946" s="2"/>
      <c r="M946" s="2"/>
      <c r="N946" s="2"/>
      <c r="O946" s="2"/>
      <c r="P946" s="2"/>
      <c r="Q946" s="2"/>
      <c r="R946" s="255"/>
      <c r="S946" s="3"/>
      <c r="T946" s="3"/>
      <c r="U946" s="3"/>
      <c r="V946" s="3"/>
      <c r="W946" s="3"/>
      <c r="X946" s="3"/>
      <c r="Y946" s="3"/>
      <c r="Z946" s="3"/>
    </row>
    <row r="947" ht="15.75" customHeight="1">
      <c r="A947" s="3"/>
      <c r="B947" s="2"/>
      <c r="C947" s="2"/>
      <c r="D947" s="2"/>
      <c r="E947" s="464"/>
      <c r="F947" s="2"/>
      <c r="G947" s="2"/>
      <c r="H947" s="2"/>
      <c r="I947" s="2"/>
      <c r="J947" s="2"/>
      <c r="K947" s="2"/>
      <c r="L947" s="2"/>
      <c r="M947" s="2"/>
      <c r="N947" s="2"/>
      <c r="O947" s="2"/>
      <c r="P947" s="2"/>
      <c r="Q947" s="2"/>
      <c r="R947" s="255"/>
      <c r="S947" s="3"/>
      <c r="T947" s="3"/>
      <c r="U947" s="3"/>
      <c r="V947" s="3"/>
      <c r="W947" s="3"/>
      <c r="X947" s="3"/>
      <c r="Y947" s="3"/>
      <c r="Z947" s="3"/>
    </row>
    <row r="948" ht="15.75" customHeight="1">
      <c r="A948" s="3"/>
      <c r="B948" s="2"/>
      <c r="C948" s="2"/>
      <c r="D948" s="2"/>
      <c r="E948" s="464"/>
      <c r="F948" s="2"/>
      <c r="G948" s="2"/>
      <c r="H948" s="2"/>
      <c r="I948" s="2"/>
      <c r="J948" s="2"/>
      <c r="K948" s="2"/>
      <c r="L948" s="2"/>
      <c r="M948" s="2"/>
      <c r="N948" s="2"/>
      <c r="O948" s="2"/>
      <c r="P948" s="2"/>
      <c r="Q948" s="2"/>
      <c r="R948" s="255"/>
      <c r="S948" s="3"/>
      <c r="T948" s="3"/>
      <c r="U948" s="3"/>
      <c r="V948" s="3"/>
      <c r="W948" s="3"/>
      <c r="X948" s="3"/>
      <c r="Y948" s="3"/>
      <c r="Z948" s="3"/>
    </row>
    <row r="949" ht="15.75" customHeight="1">
      <c r="A949" s="3"/>
      <c r="B949" s="2"/>
      <c r="C949" s="2"/>
      <c r="D949" s="2"/>
      <c r="E949" s="464"/>
      <c r="F949" s="2"/>
      <c r="G949" s="2"/>
      <c r="H949" s="2"/>
      <c r="I949" s="2"/>
      <c r="J949" s="2"/>
      <c r="K949" s="2"/>
      <c r="L949" s="2"/>
      <c r="M949" s="2"/>
      <c r="N949" s="2"/>
      <c r="O949" s="2"/>
      <c r="P949" s="2"/>
      <c r="Q949" s="2"/>
      <c r="R949" s="255"/>
      <c r="S949" s="3"/>
      <c r="T949" s="3"/>
      <c r="U949" s="3"/>
      <c r="V949" s="3"/>
      <c r="W949" s="3"/>
      <c r="X949" s="3"/>
      <c r="Y949" s="3"/>
      <c r="Z949" s="3"/>
    </row>
    <row r="950" ht="15.75" customHeight="1">
      <c r="A950" s="3"/>
      <c r="B950" s="2"/>
      <c r="C950" s="2"/>
      <c r="D950" s="2"/>
      <c r="E950" s="464"/>
      <c r="F950" s="2"/>
      <c r="G950" s="2"/>
      <c r="H950" s="2"/>
      <c r="I950" s="2"/>
      <c r="J950" s="2"/>
      <c r="K950" s="2"/>
      <c r="L950" s="2"/>
      <c r="M950" s="2"/>
      <c r="N950" s="2"/>
      <c r="O950" s="2"/>
      <c r="P950" s="2"/>
      <c r="Q950" s="2"/>
      <c r="R950" s="255"/>
      <c r="S950" s="3"/>
      <c r="T950" s="3"/>
      <c r="U950" s="3"/>
      <c r="V950" s="3"/>
      <c r="W950" s="3"/>
      <c r="X950" s="3"/>
      <c r="Y950" s="3"/>
      <c r="Z950" s="3"/>
    </row>
    <row r="951" ht="15.75" customHeight="1">
      <c r="A951" s="3"/>
      <c r="B951" s="2"/>
      <c r="C951" s="2"/>
      <c r="D951" s="2"/>
      <c r="E951" s="464"/>
      <c r="F951" s="2"/>
      <c r="G951" s="2"/>
      <c r="H951" s="2"/>
      <c r="I951" s="2"/>
      <c r="J951" s="2"/>
      <c r="K951" s="2"/>
      <c r="L951" s="2"/>
      <c r="M951" s="2"/>
      <c r="N951" s="2"/>
      <c r="O951" s="2"/>
      <c r="P951" s="2"/>
      <c r="Q951" s="2"/>
      <c r="R951" s="255"/>
      <c r="S951" s="3"/>
      <c r="T951" s="3"/>
      <c r="U951" s="3"/>
      <c r="V951" s="3"/>
      <c r="W951" s="3"/>
      <c r="X951" s="3"/>
      <c r="Y951" s="3"/>
      <c r="Z951" s="3"/>
    </row>
    <row r="952" ht="15.75" customHeight="1">
      <c r="A952" s="3"/>
      <c r="B952" s="2"/>
      <c r="C952" s="2"/>
      <c r="D952" s="2"/>
      <c r="E952" s="464"/>
      <c r="F952" s="2"/>
      <c r="G952" s="2"/>
      <c r="H952" s="2"/>
      <c r="I952" s="2"/>
      <c r="J952" s="2"/>
      <c r="K952" s="2"/>
      <c r="L952" s="2"/>
      <c r="M952" s="2"/>
      <c r="N952" s="2"/>
      <c r="O952" s="2"/>
      <c r="P952" s="2"/>
      <c r="Q952" s="2"/>
      <c r="R952" s="255"/>
      <c r="S952" s="3"/>
      <c r="T952" s="3"/>
      <c r="U952" s="3"/>
      <c r="V952" s="3"/>
      <c r="W952" s="3"/>
      <c r="X952" s="3"/>
      <c r="Y952" s="3"/>
      <c r="Z952" s="3"/>
    </row>
    <row r="953" ht="15.75" customHeight="1">
      <c r="A953" s="3"/>
      <c r="B953" s="2"/>
      <c r="C953" s="2"/>
      <c r="D953" s="2"/>
      <c r="E953" s="464"/>
      <c r="F953" s="2"/>
      <c r="G953" s="2"/>
      <c r="H953" s="2"/>
      <c r="I953" s="2"/>
      <c r="J953" s="2"/>
      <c r="K953" s="2"/>
      <c r="L953" s="2"/>
      <c r="M953" s="2"/>
      <c r="N953" s="2"/>
      <c r="O953" s="2"/>
      <c r="P953" s="2"/>
      <c r="Q953" s="2"/>
      <c r="R953" s="255"/>
      <c r="S953" s="3"/>
      <c r="T953" s="3"/>
      <c r="U953" s="3"/>
      <c r="V953" s="3"/>
      <c r="W953" s="3"/>
      <c r="X953" s="3"/>
      <c r="Y953" s="3"/>
      <c r="Z953" s="3"/>
    </row>
    <row r="954" ht="15.75" customHeight="1">
      <c r="A954" s="3"/>
      <c r="B954" s="2"/>
      <c r="C954" s="2"/>
      <c r="D954" s="2"/>
      <c r="E954" s="464"/>
      <c r="F954" s="2"/>
      <c r="G954" s="2"/>
      <c r="H954" s="2"/>
      <c r="I954" s="2"/>
      <c r="J954" s="2"/>
      <c r="K954" s="2"/>
      <c r="L954" s="2"/>
      <c r="M954" s="2"/>
      <c r="N954" s="2"/>
      <c r="O954" s="2"/>
      <c r="P954" s="2"/>
      <c r="Q954" s="2"/>
      <c r="R954" s="255"/>
      <c r="S954" s="3"/>
      <c r="T954" s="3"/>
      <c r="U954" s="3"/>
      <c r="V954" s="3"/>
      <c r="W954" s="3"/>
      <c r="X954" s="3"/>
      <c r="Y954" s="3"/>
      <c r="Z954" s="3"/>
    </row>
    <row r="955" ht="15.75" customHeight="1">
      <c r="A955" s="3"/>
      <c r="B955" s="2"/>
      <c r="C955" s="2"/>
      <c r="D955" s="2"/>
      <c r="E955" s="464"/>
      <c r="F955" s="2"/>
      <c r="G955" s="2"/>
      <c r="H955" s="2"/>
      <c r="I955" s="2"/>
      <c r="J955" s="2"/>
      <c r="K955" s="2"/>
      <c r="L955" s="2"/>
      <c r="M955" s="2"/>
      <c r="N955" s="2"/>
      <c r="O955" s="2"/>
      <c r="P955" s="2"/>
      <c r="Q955" s="2"/>
      <c r="R955" s="255"/>
      <c r="S955" s="3"/>
      <c r="T955" s="3"/>
      <c r="U955" s="3"/>
      <c r="V955" s="3"/>
      <c r="W955" s="3"/>
      <c r="X955" s="3"/>
      <c r="Y955" s="3"/>
      <c r="Z955" s="3"/>
    </row>
    <row r="956" ht="15.75" customHeight="1">
      <c r="A956" s="3"/>
      <c r="B956" s="2"/>
      <c r="C956" s="2"/>
      <c r="D956" s="2"/>
      <c r="E956" s="464"/>
      <c r="F956" s="2"/>
      <c r="G956" s="2"/>
      <c r="H956" s="2"/>
      <c r="I956" s="2"/>
      <c r="J956" s="2"/>
      <c r="K956" s="2"/>
      <c r="L956" s="2"/>
      <c r="M956" s="2"/>
      <c r="N956" s="2"/>
      <c r="O956" s="2"/>
      <c r="P956" s="2"/>
      <c r="Q956" s="2"/>
      <c r="R956" s="255"/>
      <c r="S956" s="3"/>
      <c r="T956" s="3"/>
      <c r="U956" s="3"/>
      <c r="V956" s="3"/>
      <c r="W956" s="3"/>
      <c r="X956" s="3"/>
      <c r="Y956" s="3"/>
      <c r="Z956" s="3"/>
    </row>
    <row r="957" ht="15.75" customHeight="1">
      <c r="A957" s="3"/>
      <c r="B957" s="2"/>
      <c r="C957" s="2"/>
      <c r="D957" s="2"/>
      <c r="E957" s="464"/>
      <c r="F957" s="2"/>
      <c r="G957" s="2"/>
      <c r="H957" s="2"/>
      <c r="I957" s="2"/>
      <c r="J957" s="2"/>
      <c r="K957" s="2"/>
      <c r="L957" s="2"/>
      <c r="M957" s="2"/>
      <c r="N957" s="2"/>
      <c r="O957" s="2"/>
      <c r="P957" s="2"/>
      <c r="Q957" s="2"/>
      <c r="R957" s="255"/>
      <c r="S957" s="3"/>
      <c r="T957" s="3"/>
      <c r="U957" s="3"/>
      <c r="V957" s="3"/>
      <c r="W957" s="3"/>
      <c r="X957" s="3"/>
      <c r="Y957" s="3"/>
      <c r="Z957" s="3"/>
    </row>
    <row r="958" ht="15.75" customHeight="1">
      <c r="A958" s="3"/>
      <c r="B958" s="2"/>
      <c r="C958" s="2"/>
      <c r="D958" s="2"/>
      <c r="E958" s="464"/>
      <c r="F958" s="2"/>
      <c r="G958" s="2"/>
      <c r="H958" s="2"/>
      <c r="I958" s="2"/>
      <c r="J958" s="2"/>
      <c r="K958" s="2"/>
      <c r="L958" s="2"/>
      <c r="M958" s="2"/>
      <c r="N958" s="2"/>
      <c r="O958" s="2"/>
      <c r="P958" s="2"/>
      <c r="Q958" s="2"/>
      <c r="R958" s="255"/>
      <c r="S958" s="3"/>
      <c r="T958" s="3"/>
      <c r="U958" s="3"/>
      <c r="V958" s="3"/>
      <c r="W958" s="3"/>
      <c r="X958" s="3"/>
      <c r="Y958" s="3"/>
      <c r="Z958" s="3"/>
    </row>
    <row r="959" ht="15.75" customHeight="1">
      <c r="A959" s="3"/>
      <c r="B959" s="2"/>
      <c r="C959" s="2"/>
      <c r="D959" s="2"/>
      <c r="E959" s="464"/>
      <c r="F959" s="2"/>
      <c r="G959" s="2"/>
      <c r="H959" s="2"/>
      <c r="I959" s="2"/>
      <c r="J959" s="2"/>
      <c r="K959" s="2"/>
      <c r="L959" s="2"/>
      <c r="M959" s="2"/>
      <c r="N959" s="2"/>
      <c r="O959" s="2"/>
      <c r="P959" s="2"/>
      <c r="Q959" s="2"/>
      <c r="R959" s="255"/>
      <c r="S959" s="3"/>
      <c r="T959" s="3"/>
      <c r="U959" s="3"/>
      <c r="V959" s="3"/>
      <c r="W959" s="3"/>
      <c r="X959" s="3"/>
      <c r="Y959" s="3"/>
      <c r="Z959" s="3"/>
    </row>
    <row r="960" ht="15.75" customHeight="1">
      <c r="A960" s="3"/>
      <c r="B960" s="2"/>
      <c r="C960" s="2"/>
      <c r="D960" s="2"/>
      <c r="E960" s="464"/>
      <c r="F960" s="2"/>
      <c r="G960" s="2"/>
      <c r="H960" s="2"/>
      <c r="I960" s="2"/>
      <c r="J960" s="2"/>
      <c r="K960" s="2"/>
      <c r="L960" s="2"/>
      <c r="M960" s="2"/>
      <c r="N960" s="2"/>
      <c r="O960" s="2"/>
      <c r="P960" s="2"/>
      <c r="Q960" s="2"/>
      <c r="R960" s="255"/>
      <c r="S960" s="3"/>
      <c r="T960" s="3"/>
      <c r="U960" s="3"/>
      <c r="V960" s="3"/>
      <c r="W960" s="3"/>
      <c r="X960" s="3"/>
      <c r="Y960" s="3"/>
      <c r="Z960" s="3"/>
    </row>
    <row r="961" ht="15.75" customHeight="1">
      <c r="A961" s="3"/>
      <c r="B961" s="2"/>
      <c r="C961" s="2"/>
      <c r="D961" s="2"/>
      <c r="E961" s="464"/>
      <c r="F961" s="2"/>
      <c r="G961" s="2"/>
      <c r="H961" s="2"/>
      <c r="I961" s="2"/>
      <c r="J961" s="2"/>
      <c r="K961" s="2"/>
      <c r="L961" s="2"/>
      <c r="M961" s="2"/>
      <c r="N961" s="2"/>
      <c r="O961" s="2"/>
      <c r="P961" s="2"/>
      <c r="Q961" s="2"/>
      <c r="R961" s="255"/>
      <c r="S961" s="3"/>
      <c r="T961" s="3"/>
      <c r="U961" s="3"/>
      <c r="V961" s="3"/>
      <c r="W961" s="3"/>
      <c r="X961" s="3"/>
      <c r="Y961" s="3"/>
      <c r="Z961" s="3"/>
    </row>
    <row r="962" ht="15.75" customHeight="1">
      <c r="A962" s="3"/>
      <c r="B962" s="2"/>
      <c r="C962" s="2"/>
      <c r="D962" s="2"/>
      <c r="E962" s="464"/>
      <c r="F962" s="2"/>
      <c r="G962" s="2"/>
      <c r="H962" s="2"/>
      <c r="I962" s="2"/>
      <c r="J962" s="2"/>
      <c r="K962" s="2"/>
      <c r="L962" s="2"/>
      <c r="M962" s="2"/>
      <c r="N962" s="2"/>
      <c r="O962" s="2"/>
      <c r="P962" s="2"/>
      <c r="Q962" s="2"/>
      <c r="R962" s="255"/>
      <c r="S962" s="3"/>
      <c r="T962" s="3"/>
      <c r="U962" s="3"/>
      <c r="V962" s="3"/>
      <c r="W962" s="3"/>
      <c r="X962" s="3"/>
      <c r="Y962" s="3"/>
      <c r="Z962" s="3"/>
    </row>
    <row r="963" ht="15.75" customHeight="1">
      <c r="A963" s="3"/>
      <c r="B963" s="2"/>
      <c r="C963" s="2"/>
      <c r="D963" s="2"/>
      <c r="E963" s="464"/>
      <c r="F963" s="2"/>
      <c r="G963" s="2"/>
      <c r="H963" s="2"/>
      <c r="I963" s="2"/>
      <c r="J963" s="2"/>
      <c r="K963" s="2"/>
      <c r="L963" s="2"/>
      <c r="M963" s="2"/>
      <c r="N963" s="2"/>
      <c r="O963" s="2"/>
      <c r="P963" s="2"/>
      <c r="Q963" s="2"/>
      <c r="R963" s="255"/>
      <c r="S963" s="3"/>
      <c r="T963" s="3"/>
      <c r="U963" s="3"/>
      <c r="V963" s="3"/>
      <c r="W963" s="3"/>
      <c r="X963" s="3"/>
      <c r="Y963" s="3"/>
      <c r="Z963" s="3"/>
    </row>
    <row r="964" ht="15.75" customHeight="1">
      <c r="A964" s="3"/>
      <c r="B964" s="2"/>
      <c r="C964" s="2"/>
      <c r="D964" s="2"/>
      <c r="E964" s="464"/>
      <c r="F964" s="2"/>
      <c r="G964" s="2"/>
      <c r="H964" s="2"/>
      <c r="I964" s="2"/>
      <c r="J964" s="2"/>
      <c r="K964" s="2"/>
      <c r="L964" s="2"/>
      <c r="M964" s="2"/>
      <c r="N964" s="2"/>
      <c r="O964" s="2"/>
      <c r="P964" s="2"/>
      <c r="Q964" s="2"/>
      <c r="R964" s="255"/>
      <c r="S964" s="3"/>
      <c r="T964" s="3"/>
      <c r="U964" s="3"/>
      <c r="V964" s="3"/>
      <c r="W964" s="3"/>
      <c r="X964" s="3"/>
      <c r="Y964" s="3"/>
      <c r="Z964" s="3"/>
    </row>
    <row r="965" ht="15.75" customHeight="1">
      <c r="A965" s="3"/>
      <c r="B965" s="2"/>
      <c r="C965" s="2"/>
      <c r="D965" s="2"/>
      <c r="E965" s="464"/>
      <c r="F965" s="2"/>
      <c r="G965" s="2"/>
      <c r="H965" s="2"/>
      <c r="I965" s="2"/>
      <c r="J965" s="2"/>
      <c r="K965" s="2"/>
      <c r="L965" s="2"/>
      <c r="M965" s="2"/>
      <c r="N965" s="2"/>
      <c r="O965" s="2"/>
      <c r="P965" s="2"/>
      <c r="Q965" s="2"/>
      <c r="R965" s="255"/>
      <c r="S965" s="3"/>
      <c r="T965" s="3"/>
      <c r="U965" s="3"/>
      <c r="V965" s="3"/>
      <c r="W965" s="3"/>
      <c r="X965" s="3"/>
      <c r="Y965" s="3"/>
      <c r="Z965" s="3"/>
    </row>
    <row r="966" ht="15.75" customHeight="1">
      <c r="A966" s="3"/>
      <c r="B966" s="2"/>
      <c r="C966" s="2"/>
      <c r="D966" s="2"/>
      <c r="E966" s="464"/>
      <c r="F966" s="2"/>
      <c r="G966" s="2"/>
      <c r="H966" s="2"/>
      <c r="I966" s="2"/>
      <c r="J966" s="2"/>
      <c r="K966" s="2"/>
      <c r="L966" s="2"/>
      <c r="M966" s="2"/>
      <c r="N966" s="2"/>
      <c r="O966" s="2"/>
      <c r="P966" s="2"/>
      <c r="Q966" s="2"/>
      <c r="R966" s="255"/>
      <c r="S966" s="3"/>
      <c r="T966" s="3"/>
      <c r="U966" s="3"/>
      <c r="V966" s="3"/>
      <c r="W966" s="3"/>
      <c r="X966" s="3"/>
      <c r="Y966" s="3"/>
      <c r="Z966" s="3"/>
    </row>
    <row r="967" ht="15.75" customHeight="1">
      <c r="A967" s="3"/>
      <c r="B967" s="2"/>
      <c r="C967" s="2"/>
      <c r="D967" s="2"/>
      <c r="E967" s="464"/>
      <c r="F967" s="2"/>
      <c r="G967" s="2"/>
      <c r="H967" s="2"/>
      <c r="I967" s="2"/>
      <c r="J967" s="2"/>
      <c r="K967" s="2"/>
      <c r="L967" s="2"/>
      <c r="M967" s="2"/>
      <c r="N967" s="2"/>
      <c r="O967" s="2"/>
      <c r="P967" s="2"/>
      <c r="Q967" s="2"/>
      <c r="R967" s="255"/>
      <c r="S967" s="3"/>
      <c r="T967" s="3"/>
      <c r="U967" s="3"/>
      <c r="V967" s="3"/>
      <c r="W967" s="3"/>
      <c r="X967" s="3"/>
      <c r="Y967" s="3"/>
      <c r="Z967" s="3"/>
    </row>
    <row r="968" ht="15.75" customHeight="1">
      <c r="A968" s="3"/>
      <c r="B968" s="2"/>
      <c r="C968" s="2"/>
      <c r="D968" s="2"/>
      <c r="E968" s="464"/>
      <c r="F968" s="2"/>
      <c r="G968" s="2"/>
      <c r="H968" s="2"/>
      <c r="I968" s="2"/>
      <c r="J968" s="2"/>
      <c r="K968" s="2"/>
      <c r="L968" s="2"/>
      <c r="M968" s="2"/>
      <c r="N968" s="2"/>
      <c r="O968" s="2"/>
      <c r="P968" s="2"/>
      <c r="Q968" s="2"/>
      <c r="R968" s="255"/>
      <c r="S968" s="3"/>
      <c r="T968" s="3"/>
      <c r="U968" s="3"/>
      <c r="V968" s="3"/>
      <c r="W968" s="3"/>
      <c r="X968" s="3"/>
      <c r="Y968" s="3"/>
      <c r="Z968" s="3"/>
    </row>
    <row r="969" ht="15.75" customHeight="1">
      <c r="A969" s="3"/>
      <c r="B969" s="2"/>
      <c r="C969" s="2"/>
      <c r="D969" s="2"/>
      <c r="E969" s="464"/>
      <c r="F969" s="2"/>
      <c r="G969" s="2"/>
      <c r="H969" s="2"/>
      <c r="I969" s="2"/>
      <c r="J969" s="2"/>
      <c r="K969" s="2"/>
      <c r="L969" s="2"/>
      <c r="M969" s="2"/>
      <c r="N969" s="2"/>
      <c r="O969" s="2"/>
      <c r="P969" s="2"/>
      <c r="Q969" s="2"/>
      <c r="R969" s="255"/>
      <c r="S969" s="3"/>
      <c r="T969" s="3"/>
      <c r="U969" s="3"/>
      <c r="V969" s="3"/>
      <c r="W969" s="3"/>
      <c r="X969" s="3"/>
      <c r="Y969" s="3"/>
      <c r="Z969" s="3"/>
    </row>
    <row r="970" ht="15.75" customHeight="1">
      <c r="A970" s="3"/>
      <c r="B970" s="2"/>
      <c r="C970" s="2"/>
      <c r="D970" s="2"/>
      <c r="E970" s="464"/>
      <c r="F970" s="2"/>
      <c r="G970" s="2"/>
      <c r="H970" s="2"/>
      <c r="I970" s="2"/>
      <c r="J970" s="2"/>
      <c r="K970" s="2"/>
      <c r="L970" s="2"/>
      <c r="M970" s="2"/>
      <c r="N970" s="2"/>
      <c r="O970" s="2"/>
      <c r="P970" s="2"/>
      <c r="Q970" s="2"/>
      <c r="R970" s="255"/>
      <c r="S970" s="3"/>
      <c r="T970" s="3"/>
      <c r="U970" s="3"/>
      <c r="V970" s="3"/>
      <c r="W970" s="3"/>
      <c r="X970" s="3"/>
      <c r="Y970" s="3"/>
      <c r="Z970" s="3"/>
    </row>
    <row r="971" ht="15.75" customHeight="1">
      <c r="A971" s="3"/>
      <c r="B971" s="2"/>
      <c r="C971" s="2"/>
      <c r="D971" s="2"/>
      <c r="E971" s="464"/>
      <c r="F971" s="2"/>
      <c r="G971" s="2"/>
      <c r="H971" s="2"/>
      <c r="I971" s="2"/>
      <c r="J971" s="2"/>
      <c r="K971" s="2"/>
      <c r="L971" s="2"/>
      <c r="M971" s="2"/>
      <c r="N971" s="2"/>
      <c r="O971" s="2"/>
      <c r="P971" s="2"/>
      <c r="Q971" s="2"/>
      <c r="R971" s="255"/>
      <c r="S971" s="3"/>
      <c r="T971" s="3"/>
      <c r="U971" s="3"/>
      <c r="V971" s="3"/>
      <c r="W971" s="3"/>
      <c r="X971" s="3"/>
      <c r="Y971" s="3"/>
      <c r="Z971" s="3"/>
    </row>
    <row r="972" ht="15.75" customHeight="1">
      <c r="A972" s="3"/>
      <c r="B972" s="2"/>
      <c r="C972" s="2"/>
      <c r="D972" s="2"/>
      <c r="E972" s="464"/>
      <c r="F972" s="2"/>
      <c r="G972" s="2"/>
      <c r="H972" s="2"/>
      <c r="I972" s="2"/>
      <c r="J972" s="2"/>
      <c r="K972" s="2"/>
      <c r="L972" s="2"/>
      <c r="M972" s="2"/>
      <c r="N972" s="2"/>
      <c r="O972" s="2"/>
      <c r="P972" s="2"/>
      <c r="Q972" s="2"/>
      <c r="R972" s="255"/>
      <c r="S972" s="3"/>
      <c r="T972" s="3"/>
      <c r="U972" s="3"/>
      <c r="V972" s="3"/>
      <c r="W972" s="3"/>
      <c r="X972" s="3"/>
      <c r="Y972" s="3"/>
      <c r="Z972" s="3"/>
    </row>
    <row r="973" ht="15.75" customHeight="1">
      <c r="A973" s="3"/>
      <c r="B973" s="2"/>
      <c r="C973" s="2"/>
      <c r="D973" s="2"/>
      <c r="E973" s="464"/>
      <c r="F973" s="2"/>
      <c r="G973" s="2"/>
      <c r="H973" s="2"/>
      <c r="I973" s="2"/>
      <c r="J973" s="2"/>
      <c r="K973" s="2"/>
      <c r="L973" s="2"/>
      <c r="M973" s="2"/>
      <c r="N973" s="2"/>
      <c r="O973" s="2"/>
      <c r="P973" s="2"/>
      <c r="Q973" s="2"/>
      <c r="R973" s="255"/>
      <c r="S973" s="3"/>
      <c r="T973" s="3"/>
      <c r="U973" s="3"/>
      <c r="V973" s="3"/>
      <c r="W973" s="3"/>
      <c r="X973" s="3"/>
      <c r="Y973" s="3"/>
      <c r="Z973" s="3"/>
    </row>
    <row r="974" ht="15.75" customHeight="1">
      <c r="A974" s="3"/>
      <c r="B974" s="2"/>
      <c r="C974" s="2"/>
      <c r="D974" s="2"/>
      <c r="E974" s="464"/>
      <c r="F974" s="2"/>
      <c r="G974" s="2"/>
      <c r="H974" s="2"/>
      <c r="I974" s="2"/>
      <c r="J974" s="2"/>
      <c r="K974" s="2"/>
      <c r="L974" s="2"/>
      <c r="M974" s="2"/>
      <c r="N974" s="2"/>
      <c r="O974" s="2"/>
      <c r="P974" s="2"/>
      <c r="Q974" s="2"/>
      <c r="R974" s="255"/>
      <c r="S974" s="3"/>
      <c r="T974" s="3"/>
      <c r="U974" s="3"/>
      <c r="V974" s="3"/>
      <c r="W974" s="3"/>
      <c r="X974" s="3"/>
      <c r="Y974" s="3"/>
      <c r="Z974" s="3"/>
    </row>
    <row r="975" ht="15.75" customHeight="1">
      <c r="A975" s="3"/>
      <c r="B975" s="2"/>
      <c r="C975" s="2"/>
      <c r="D975" s="2"/>
      <c r="E975" s="464"/>
      <c r="F975" s="2"/>
      <c r="G975" s="2"/>
      <c r="H975" s="2"/>
      <c r="I975" s="2"/>
      <c r="J975" s="2"/>
      <c r="K975" s="2"/>
      <c r="L975" s="2"/>
      <c r="M975" s="2"/>
      <c r="N975" s="2"/>
      <c r="O975" s="2"/>
      <c r="P975" s="2"/>
      <c r="Q975" s="2"/>
      <c r="R975" s="255"/>
      <c r="S975" s="3"/>
      <c r="T975" s="3"/>
      <c r="U975" s="3"/>
      <c r="V975" s="3"/>
      <c r="W975" s="3"/>
      <c r="X975" s="3"/>
      <c r="Y975" s="3"/>
      <c r="Z975" s="3"/>
    </row>
    <row r="976" ht="15.75" customHeight="1">
      <c r="A976" s="3"/>
      <c r="B976" s="2"/>
      <c r="C976" s="2"/>
      <c r="D976" s="2"/>
      <c r="E976" s="464"/>
      <c r="F976" s="2"/>
      <c r="G976" s="2"/>
      <c r="H976" s="2"/>
      <c r="I976" s="2"/>
      <c r="J976" s="2"/>
      <c r="K976" s="2"/>
      <c r="L976" s="2"/>
      <c r="M976" s="2"/>
      <c r="N976" s="2"/>
      <c r="O976" s="2"/>
      <c r="P976" s="2"/>
      <c r="Q976" s="2"/>
      <c r="R976" s="255"/>
      <c r="S976" s="3"/>
      <c r="T976" s="3"/>
      <c r="U976" s="3"/>
      <c r="V976" s="3"/>
      <c r="W976" s="3"/>
      <c r="X976" s="3"/>
      <c r="Y976" s="3"/>
      <c r="Z976" s="3"/>
    </row>
    <row r="977" ht="15.75" customHeight="1">
      <c r="A977" s="3"/>
      <c r="B977" s="2"/>
      <c r="C977" s="2"/>
      <c r="D977" s="2"/>
      <c r="E977" s="464"/>
      <c r="F977" s="2"/>
      <c r="G977" s="2"/>
      <c r="H977" s="2"/>
      <c r="I977" s="2"/>
      <c r="J977" s="2"/>
      <c r="K977" s="2"/>
      <c r="L977" s="2"/>
      <c r="M977" s="2"/>
      <c r="N977" s="2"/>
      <c r="O977" s="2"/>
      <c r="P977" s="2"/>
      <c r="Q977" s="2"/>
      <c r="R977" s="255"/>
      <c r="S977" s="3"/>
      <c r="T977" s="3"/>
      <c r="U977" s="3"/>
      <c r="V977" s="3"/>
      <c r="W977" s="3"/>
      <c r="X977" s="3"/>
      <c r="Y977" s="3"/>
      <c r="Z977" s="3"/>
    </row>
    <row r="978" ht="15.75" customHeight="1">
      <c r="A978" s="3"/>
      <c r="B978" s="2"/>
      <c r="C978" s="2"/>
      <c r="D978" s="2"/>
      <c r="E978" s="464"/>
      <c r="F978" s="2"/>
      <c r="G978" s="2"/>
      <c r="H978" s="2"/>
      <c r="I978" s="2"/>
      <c r="J978" s="2"/>
      <c r="K978" s="2"/>
      <c r="L978" s="2"/>
      <c r="M978" s="2"/>
      <c r="N978" s="2"/>
      <c r="O978" s="2"/>
      <c r="P978" s="2"/>
      <c r="Q978" s="2"/>
      <c r="R978" s="255"/>
      <c r="S978" s="3"/>
      <c r="T978" s="3"/>
      <c r="U978" s="3"/>
      <c r="V978" s="3"/>
      <c r="W978" s="3"/>
      <c r="X978" s="3"/>
      <c r="Y978" s="3"/>
      <c r="Z978" s="3"/>
    </row>
    <row r="979" ht="15.75" customHeight="1">
      <c r="A979" s="3"/>
      <c r="B979" s="2"/>
      <c r="C979" s="2"/>
      <c r="D979" s="2"/>
      <c r="E979" s="464"/>
      <c r="F979" s="2"/>
      <c r="G979" s="2"/>
      <c r="H979" s="2"/>
      <c r="I979" s="2"/>
      <c r="J979" s="2"/>
      <c r="K979" s="2"/>
      <c r="L979" s="2"/>
      <c r="M979" s="2"/>
      <c r="N979" s="2"/>
      <c r="O979" s="2"/>
      <c r="P979" s="2"/>
      <c r="Q979" s="2"/>
      <c r="R979" s="255"/>
      <c r="S979" s="3"/>
      <c r="T979" s="3"/>
      <c r="U979" s="3"/>
      <c r="V979" s="3"/>
      <c r="W979" s="3"/>
      <c r="X979" s="3"/>
      <c r="Y979" s="3"/>
      <c r="Z979" s="3"/>
    </row>
    <row r="980" ht="15.75" customHeight="1">
      <c r="A980" s="3"/>
      <c r="B980" s="2"/>
      <c r="C980" s="2"/>
      <c r="D980" s="2"/>
      <c r="E980" s="464"/>
      <c r="F980" s="2"/>
      <c r="G980" s="2"/>
      <c r="H980" s="2"/>
      <c r="I980" s="2"/>
      <c r="J980" s="2"/>
      <c r="K980" s="2"/>
      <c r="L980" s="2"/>
      <c r="M980" s="2"/>
      <c r="N980" s="2"/>
      <c r="O980" s="2"/>
      <c r="P980" s="2"/>
      <c r="Q980" s="2"/>
      <c r="R980" s="255"/>
      <c r="S980" s="3"/>
      <c r="T980" s="3"/>
      <c r="U980" s="3"/>
      <c r="V980" s="3"/>
      <c r="W980" s="3"/>
      <c r="X980" s="3"/>
      <c r="Y980" s="3"/>
      <c r="Z980" s="3"/>
    </row>
    <row r="981" ht="15.75" customHeight="1">
      <c r="A981" s="3"/>
      <c r="B981" s="2"/>
      <c r="C981" s="2"/>
      <c r="D981" s="2"/>
      <c r="E981" s="464"/>
      <c r="F981" s="2"/>
      <c r="G981" s="2"/>
      <c r="H981" s="2"/>
      <c r="I981" s="2"/>
      <c r="J981" s="2"/>
      <c r="K981" s="2"/>
      <c r="L981" s="2"/>
      <c r="M981" s="2"/>
      <c r="N981" s="2"/>
      <c r="O981" s="2"/>
      <c r="P981" s="2"/>
      <c r="Q981" s="2"/>
      <c r="R981" s="255"/>
      <c r="S981" s="3"/>
      <c r="T981" s="3"/>
      <c r="U981" s="3"/>
      <c r="V981" s="3"/>
      <c r="W981" s="3"/>
      <c r="X981" s="3"/>
      <c r="Y981" s="3"/>
      <c r="Z981" s="3"/>
    </row>
    <row r="982" ht="15.75" customHeight="1">
      <c r="A982" s="3"/>
      <c r="B982" s="2"/>
      <c r="C982" s="2"/>
      <c r="D982" s="2"/>
      <c r="E982" s="464"/>
      <c r="F982" s="2"/>
      <c r="G982" s="2"/>
      <c r="H982" s="2"/>
      <c r="I982" s="2"/>
      <c r="J982" s="2"/>
      <c r="K982" s="2"/>
      <c r="L982" s="2"/>
      <c r="M982" s="2"/>
      <c r="N982" s="2"/>
      <c r="O982" s="2"/>
      <c r="P982" s="2"/>
      <c r="Q982" s="2"/>
      <c r="R982" s="255"/>
      <c r="S982" s="3"/>
      <c r="T982" s="3"/>
      <c r="U982" s="3"/>
      <c r="V982" s="3"/>
      <c r="W982" s="3"/>
      <c r="X982" s="3"/>
      <c r="Y982" s="3"/>
      <c r="Z982" s="3"/>
    </row>
    <row r="983" ht="15.75" customHeight="1">
      <c r="A983" s="3"/>
      <c r="B983" s="2"/>
      <c r="C983" s="2"/>
      <c r="D983" s="2"/>
      <c r="E983" s="464"/>
      <c r="F983" s="2"/>
      <c r="G983" s="2"/>
      <c r="H983" s="2"/>
      <c r="I983" s="2"/>
      <c r="J983" s="2"/>
      <c r="K983" s="2"/>
      <c r="L983" s="2"/>
      <c r="M983" s="2"/>
      <c r="N983" s="2"/>
      <c r="O983" s="2"/>
      <c r="P983" s="2"/>
      <c r="Q983" s="2"/>
      <c r="R983" s="255"/>
      <c r="S983" s="3"/>
      <c r="T983" s="3"/>
      <c r="U983" s="3"/>
      <c r="V983" s="3"/>
      <c r="W983" s="3"/>
      <c r="X983" s="3"/>
      <c r="Y983" s="3"/>
      <c r="Z983" s="3"/>
    </row>
    <row r="984" ht="15.75" customHeight="1">
      <c r="A984" s="3"/>
      <c r="B984" s="2"/>
      <c r="C984" s="2"/>
      <c r="D984" s="2"/>
      <c r="E984" s="464"/>
      <c r="F984" s="2"/>
      <c r="G984" s="2"/>
      <c r="H984" s="2"/>
      <c r="I984" s="2"/>
      <c r="J984" s="2"/>
      <c r="K984" s="2"/>
      <c r="L984" s="2"/>
      <c r="M984" s="2"/>
      <c r="N984" s="2"/>
      <c r="O984" s="2"/>
      <c r="P984" s="2"/>
      <c r="Q984" s="2"/>
      <c r="R984" s="255"/>
      <c r="S984" s="3"/>
      <c r="T984" s="3"/>
      <c r="U984" s="3"/>
      <c r="V984" s="3"/>
      <c r="W984" s="3"/>
      <c r="X984" s="3"/>
      <c r="Y984" s="3"/>
      <c r="Z984" s="3"/>
    </row>
    <row r="985" ht="15.75" customHeight="1">
      <c r="A985" s="3"/>
      <c r="B985" s="2"/>
      <c r="C985" s="2"/>
      <c r="D985" s="2"/>
      <c r="E985" s="464"/>
      <c r="F985" s="2"/>
      <c r="G985" s="2"/>
      <c r="H985" s="2"/>
      <c r="I985" s="2"/>
      <c r="J985" s="2"/>
      <c r="K985" s="2"/>
      <c r="L985" s="2"/>
      <c r="M985" s="2"/>
      <c r="N985" s="2"/>
      <c r="O985" s="2"/>
      <c r="P985" s="2"/>
      <c r="Q985" s="2"/>
      <c r="R985" s="255"/>
      <c r="S985" s="3"/>
      <c r="T985" s="3"/>
      <c r="U985" s="3"/>
      <c r="V985" s="3"/>
      <c r="W985" s="3"/>
      <c r="X985" s="3"/>
      <c r="Y985" s="3"/>
      <c r="Z985" s="3"/>
    </row>
    <row r="986" ht="15.75" customHeight="1">
      <c r="A986" s="3"/>
      <c r="B986" s="2"/>
      <c r="C986" s="2"/>
      <c r="D986" s="2"/>
      <c r="E986" s="464"/>
      <c r="F986" s="2"/>
      <c r="G986" s="2"/>
      <c r="H986" s="2"/>
      <c r="I986" s="2"/>
      <c r="J986" s="2"/>
      <c r="K986" s="2"/>
      <c r="L986" s="2"/>
      <c r="M986" s="2"/>
      <c r="N986" s="2"/>
      <c r="O986" s="2"/>
      <c r="P986" s="2"/>
      <c r="Q986" s="2"/>
      <c r="R986" s="255"/>
      <c r="S986" s="3"/>
      <c r="T986" s="3"/>
      <c r="U986" s="3"/>
      <c r="V986" s="3"/>
      <c r="W986" s="3"/>
      <c r="X986" s="3"/>
      <c r="Y986" s="3"/>
      <c r="Z986" s="3"/>
    </row>
    <row r="987" ht="15.75" customHeight="1">
      <c r="A987" s="3"/>
      <c r="B987" s="2"/>
      <c r="C987" s="2"/>
      <c r="D987" s="2"/>
      <c r="E987" s="464"/>
      <c r="F987" s="2"/>
      <c r="G987" s="2"/>
      <c r="H987" s="2"/>
      <c r="I987" s="2"/>
      <c r="J987" s="2"/>
      <c r="K987" s="2"/>
      <c r="L987" s="2"/>
      <c r="M987" s="2"/>
      <c r="N987" s="2"/>
      <c r="O987" s="2"/>
      <c r="P987" s="2"/>
      <c r="Q987" s="2"/>
      <c r="R987" s="255"/>
      <c r="S987" s="3"/>
      <c r="T987" s="3"/>
      <c r="U987" s="3"/>
      <c r="V987" s="3"/>
      <c r="W987" s="3"/>
      <c r="X987" s="3"/>
      <c r="Y987" s="3"/>
      <c r="Z987" s="3"/>
    </row>
    <row r="988" ht="15.75" customHeight="1">
      <c r="A988" s="3"/>
      <c r="B988" s="2"/>
      <c r="C988" s="2"/>
      <c r="D988" s="2"/>
      <c r="E988" s="464"/>
      <c r="F988" s="2"/>
      <c r="G988" s="2"/>
      <c r="H988" s="2"/>
      <c r="I988" s="2"/>
      <c r="J988" s="2"/>
      <c r="K988" s="2"/>
      <c r="L988" s="2"/>
      <c r="M988" s="2"/>
      <c r="N988" s="2"/>
      <c r="O988" s="2"/>
      <c r="P988" s="2"/>
      <c r="Q988" s="2"/>
      <c r="R988" s="255"/>
      <c r="S988" s="3"/>
      <c r="T988" s="3"/>
      <c r="U988" s="3"/>
      <c r="V988" s="3"/>
      <c r="W988" s="3"/>
      <c r="X988" s="3"/>
      <c r="Y988" s="3"/>
      <c r="Z988" s="3"/>
    </row>
    <row r="989" ht="15.75" customHeight="1">
      <c r="A989" s="3"/>
      <c r="B989" s="2"/>
      <c r="C989" s="2"/>
      <c r="D989" s="2"/>
      <c r="E989" s="464"/>
      <c r="F989" s="2"/>
      <c r="G989" s="2"/>
      <c r="H989" s="2"/>
      <c r="I989" s="2"/>
      <c r="J989" s="2"/>
      <c r="K989" s="2"/>
      <c r="L989" s="2"/>
      <c r="M989" s="2"/>
      <c r="N989" s="2"/>
      <c r="O989" s="2"/>
      <c r="P989" s="2"/>
      <c r="Q989" s="2"/>
      <c r="R989" s="255"/>
      <c r="S989" s="3"/>
      <c r="T989" s="3"/>
      <c r="U989" s="3"/>
      <c r="V989" s="3"/>
      <c r="W989" s="3"/>
      <c r="X989" s="3"/>
      <c r="Y989" s="3"/>
      <c r="Z989" s="3"/>
    </row>
    <row r="990" ht="15.75" customHeight="1">
      <c r="A990" s="3"/>
      <c r="B990" s="2"/>
      <c r="C990" s="2"/>
      <c r="D990" s="2"/>
      <c r="E990" s="464"/>
      <c r="F990" s="2"/>
      <c r="G990" s="2"/>
      <c r="H990" s="2"/>
      <c r="I990" s="2"/>
      <c r="J990" s="2"/>
      <c r="K990" s="2"/>
      <c r="L990" s="2"/>
      <c r="M990" s="2"/>
      <c r="N990" s="2"/>
      <c r="O990" s="2"/>
      <c r="P990" s="2"/>
      <c r="Q990" s="2"/>
      <c r="R990" s="255"/>
      <c r="S990" s="3"/>
      <c r="T990" s="3"/>
      <c r="U990" s="3"/>
      <c r="V990" s="3"/>
      <c r="W990" s="3"/>
      <c r="X990" s="3"/>
      <c r="Y990" s="3"/>
      <c r="Z990" s="3"/>
    </row>
    <row r="991" ht="15.75" customHeight="1">
      <c r="A991" s="3"/>
      <c r="B991" s="2"/>
      <c r="C991" s="2"/>
      <c r="D991" s="2"/>
      <c r="E991" s="464"/>
      <c r="F991" s="2"/>
      <c r="G991" s="2"/>
      <c r="H991" s="2"/>
      <c r="I991" s="2"/>
      <c r="J991" s="2"/>
      <c r="K991" s="2"/>
      <c r="L991" s="2"/>
      <c r="M991" s="2"/>
      <c r="N991" s="2"/>
      <c r="O991" s="2"/>
      <c r="P991" s="2"/>
      <c r="Q991" s="2"/>
      <c r="R991" s="255"/>
      <c r="S991" s="3"/>
      <c r="T991" s="3"/>
      <c r="U991" s="3"/>
      <c r="V991" s="3"/>
      <c r="W991" s="3"/>
      <c r="X991" s="3"/>
      <c r="Y991" s="3"/>
      <c r="Z991" s="3"/>
    </row>
    <row r="992" ht="15.75" customHeight="1">
      <c r="A992" s="3"/>
      <c r="B992" s="2"/>
      <c r="C992" s="2"/>
      <c r="D992" s="2"/>
      <c r="E992" s="464"/>
      <c r="F992" s="2"/>
      <c r="G992" s="2"/>
      <c r="H992" s="2"/>
      <c r="I992" s="2"/>
      <c r="J992" s="2"/>
      <c r="K992" s="2"/>
      <c r="L992" s="2"/>
      <c r="M992" s="2"/>
      <c r="N992" s="2"/>
      <c r="O992" s="2"/>
      <c r="P992" s="2"/>
      <c r="Q992" s="2"/>
      <c r="R992" s="255"/>
      <c r="S992" s="3"/>
      <c r="T992" s="3"/>
      <c r="U992" s="3"/>
      <c r="V992" s="3"/>
      <c r="W992" s="3"/>
      <c r="X992" s="3"/>
      <c r="Y992" s="3"/>
      <c r="Z992" s="3"/>
    </row>
    <row r="993" ht="15.75" customHeight="1">
      <c r="A993" s="3"/>
      <c r="B993" s="2"/>
      <c r="C993" s="2"/>
      <c r="D993" s="2"/>
      <c r="E993" s="464"/>
      <c r="F993" s="2"/>
      <c r="G993" s="2"/>
      <c r="H993" s="2"/>
      <c r="I993" s="2"/>
      <c r="J993" s="2"/>
      <c r="K993" s="2"/>
      <c r="L993" s="2"/>
      <c r="M993" s="2"/>
      <c r="N993" s="2"/>
      <c r="O993" s="2"/>
      <c r="P993" s="2"/>
      <c r="Q993" s="2"/>
      <c r="R993" s="255"/>
      <c r="S993" s="3"/>
      <c r="T993" s="3"/>
      <c r="U993" s="3"/>
      <c r="V993" s="3"/>
      <c r="W993" s="3"/>
      <c r="X993" s="3"/>
      <c r="Y993" s="3"/>
      <c r="Z993" s="3"/>
    </row>
    <row r="994" ht="15.75" customHeight="1">
      <c r="A994" s="3"/>
      <c r="B994" s="2"/>
      <c r="C994" s="2"/>
      <c r="D994" s="2"/>
      <c r="E994" s="464"/>
      <c r="F994" s="2"/>
      <c r="G994" s="2"/>
      <c r="H994" s="2"/>
      <c r="I994" s="2"/>
      <c r="J994" s="2"/>
      <c r="K994" s="2"/>
      <c r="L994" s="2"/>
      <c r="M994" s="2"/>
      <c r="N994" s="2"/>
      <c r="O994" s="2"/>
      <c r="P994" s="2"/>
      <c r="Q994" s="2"/>
      <c r="R994" s="255"/>
      <c r="S994" s="3"/>
      <c r="T994" s="3"/>
      <c r="U994" s="3"/>
      <c r="V994" s="3"/>
      <c r="W994" s="3"/>
      <c r="X994" s="3"/>
      <c r="Y994" s="3"/>
      <c r="Z994" s="3"/>
    </row>
    <row r="995" ht="15.75" customHeight="1">
      <c r="A995" s="3"/>
      <c r="B995" s="2"/>
      <c r="C995" s="2"/>
      <c r="D995" s="2"/>
      <c r="E995" s="464"/>
      <c r="F995" s="2"/>
      <c r="G995" s="2"/>
      <c r="H995" s="2"/>
      <c r="I995" s="2"/>
      <c r="J995" s="2"/>
      <c r="K995" s="2"/>
      <c r="L995" s="2"/>
      <c r="M995" s="2"/>
      <c r="N995" s="2"/>
      <c r="O995" s="2"/>
      <c r="P995" s="2"/>
      <c r="Q995" s="2"/>
      <c r="R995" s="255"/>
      <c r="S995" s="3"/>
      <c r="T995" s="3"/>
      <c r="U995" s="3"/>
      <c r="V995" s="3"/>
      <c r="W995" s="3"/>
      <c r="X995" s="3"/>
      <c r="Y995" s="3"/>
      <c r="Z995" s="3"/>
    </row>
    <row r="996" ht="15.75" customHeight="1">
      <c r="A996" s="3"/>
      <c r="B996" s="2"/>
      <c r="C996" s="2"/>
      <c r="D996" s="2"/>
      <c r="E996" s="464"/>
      <c r="F996" s="2"/>
      <c r="G996" s="2"/>
      <c r="H996" s="2"/>
      <c r="I996" s="2"/>
      <c r="J996" s="2"/>
      <c r="K996" s="2"/>
      <c r="L996" s="2"/>
      <c r="M996" s="2"/>
      <c r="N996" s="2"/>
      <c r="O996" s="2"/>
      <c r="P996" s="2"/>
      <c r="Q996" s="2"/>
      <c r="R996" s="255"/>
      <c r="S996" s="3"/>
      <c r="T996" s="3"/>
      <c r="U996" s="3"/>
      <c r="V996" s="3"/>
      <c r="W996" s="3"/>
      <c r="X996" s="3"/>
      <c r="Y996" s="3"/>
      <c r="Z996" s="3"/>
    </row>
    <row r="997" ht="15.75" customHeight="1">
      <c r="A997" s="3"/>
      <c r="B997" s="2"/>
      <c r="C997" s="2"/>
      <c r="D997" s="2"/>
      <c r="E997" s="464"/>
      <c r="F997" s="2"/>
      <c r="G997" s="2"/>
      <c r="H997" s="2"/>
      <c r="I997" s="2"/>
      <c r="J997" s="2"/>
      <c r="K997" s="2"/>
      <c r="L997" s="2"/>
      <c r="M997" s="2"/>
      <c r="N997" s="2"/>
      <c r="O997" s="2"/>
      <c r="P997" s="2"/>
      <c r="Q997" s="2"/>
      <c r="R997" s="255"/>
      <c r="S997" s="3"/>
      <c r="T997" s="3"/>
      <c r="U997" s="3"/>
      <c r="V997" s="3"/>
      <c r="W997" s="3"/>
      <c r="X997" s="3"/>
      <c r="Y997" s="3"/>
      <c r="Z997" s="3"/>
    </row>
    <row r="998" ht="15.75" customHeight="1">
      <c r="A998" s="3"/>
      <c r="B998" s="2"/>
      <c r="C998" s="2"/>
      <c r="D998" s="2"/>
      <c r="E998" s="464"/>
      <c r="F998" s="2"/>
      <c r="G998" s="2"/>
      <c r="H998" s="2"/>
      <c r="I998" s="2"/>
      <c r="J998" s="2"/>
      <c r="K998" s="2"/>
      <c r="L998" s="2"/>
      <c r="M998" s="2"/>
      <c r="N998" s="2"/>
      <c r="O998" s="2"/>
      <c r="P998" s="2"/>
      <c r="Q998" s="2"/>
      <c r="R998" s="255"/>
      <c r="S998" s="3"/>
      <c r="T998" s="3"/>
      <c r="U998" s="3"/>
      <c r="V998" s="3"/>
      <c r="W998" s="3"/>
      <c r="X998" s="3"/>
      <c r="Y998" s="3"/>
      <c r="Z998" s="3"/>
    </row>
    <row r="999" ht="15.75" customHeight="1">
      <c r="A999" s="3"/>
      <c r="B999" s="2"/>
      <c r="C999" s="2"/>
      <c r="D999" s="2"/>
      <c r="E999" s="464"/>
      <c r="F999" s="2"/>
      <c r="G999" s="2"/>
      <c r="H999" s="2"/>
      <c r="I999" s="2"/>
      <c r="J999" s="2"/>
      <c r="K999" s="2"/>
      <c r="L999" s="2"/>
      <c r="M999" s="2"/>
      <c r="N999" s="2"/>
      <c r="O999" s="2"/>
      <c r="P999" s="2"/>
      <c r="Q999" s="2"/>
      <c r="R999" s="255"/>
      <c r="S999" s="3"/>
      <c r="T999" s="3"/>
      <c r="U999" s="3"/>
      <c r="V999" s="3"/>
      <c r="W999" s="3"/>
      <c r="X999" s="3"/>
      <c r="Y999" s="3"/>
      <c r="Z999" s="3"/>
    </row>
    <row r="1000" ht="15.75" customHeight="1">
      <c r="A1000" s="3"/>
      <c r="B1000" s="2"/>
      <c r="C1000" s="2"/>
      <c r="D1000" s="2"/>
      <c r="E1000" s="464"/>
      <c r="F1000" s="2"/>
      <c r="G1000" s="2"/>
      <c r="H1000" s="2"/>
      <c r="I1000" s="2"/>
      <c r="J1000" s="2"/>
      <c r="K1000" s="2"/>
      <c r="L1000" s="2"/>
      <c r="M1000" s="2"/>
      <c r="N1000" s="2"/>
      <c r="O1000" s="2"/>
      <c r="P1000" s="2"/>
      <c r="Q1000" s="2"/>
      <c r="R1000" s="255"/>
      <c r="S1000" s="3"/>
      <c r="T1000" s="3"/>
      <c r="U1000" s="3"/>
      <c r="V1000" s="3"/>
      <c r="W1000" s="3"/>
      <c r="X1000" s="3"/>
      <c r="Y1000" s="3"/>
      <c r="Z1000" s="3"/>
    </row>
  </sheetData>
  <mergeCells count="22">
    <mergeCell ref="B1:Q1"/>
    <mergeCell ref="C2:R2"/>
    <mergeCell ref="K3:M3"/>
    <mergeCell ref="O3:Q3"/>
    <mergeCell ref="L4:M4"/>
    <mergeCell ref="B50:Q50"/>
    <mergeCell ref="B51:Q51"/>
    <mergeCell ref="C55:E55"/>
    <mergeCell ref="G55:H55"/>
    <mergeCell ref="I55:L55"/>
    <mergeCell ref="M55:Q55"/>
    <mergeCell ref="C56:E56"/>
    <mergeCell ref="G56:H56"/>
    <mergeCell ref="J56:L56"/>
    <mergeCell ref="M56:Q56"/>
    <mergeCell ref="C52:E52"/>
    <mergeCell ref="G52:H52"/>
    <mergeCell ref="I52:L52"/>
    <mergeCell ref="G53:H53"/>
    <mergeCell ref="K53:L53"/>
    <mergeCell ref="B54:C54"/>
    <mergeCell ref="E54:F54"/>
  </mergeCells>
  <printOptions/>
  <pageMargins bottom="0.7480314960629921" footer="0.0" header="0.0" left="0.7086614173228347" right="0.7086614173228347" top="0.7480314960629921"/>
  <pageSetup paperSize="5" scale="90"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3.29"/>
    <col customWidth="1" min="2" max="2" width="5.14"/>
    <col customWidth="1" min="3" max="3" width="11.43"/>
    <col customWidth="1" min="4" max="4" width="34.57"/>
    <col customWidth="1" min="5" max="5" width="21.57"/>
    <col customWidth="1" min="6" max="7" width="7.86"/>
    <col customWidth="1" min="8" max="8" width="8.43"/>
    <col customWidth="1" min="9" max="9" width="7.57"/>
    <col customWidth="1" min="10" max="10" width="9.0"/>
    <col customWidth="1" min="11" max="11" width="7.0"/>
    <col customWidth="1" min="12" max="12" width="11.43"/>
    <col customWidth="1" min="13" max="13" width="10.57"/>
    <col customWidth="1" min="14" max="14" width="16.71"/>
    <col customWidth="1" min="15" max="15" width="5.29"/>
    <col customWidth="1" min="16" max="16" width="14.57"/>
    <col customWidth="1" min="17" max="17" width="6.14"/>
    <col customWidth="1" min="18" max="19" width="9.14"/>
    <col customWidth="1" min="20" max="26" width="8.71"/>
  </cols>
  <sheetData>
    <row r="1">
      <c r="B1" s="465" t="s">
        <v>14157</v>
      </c>
      <c r="R1" s="564"/>
      <c r="S1" s="346"/>
    </row>
    <row r="2">
      <c r="B2" s="565"/>
      <c r="C2" s="400" t="s">
        <v>15031</v>
      </c>
      <c r="D2" s="6"/>
      <c r="E2" s="6"/>
      <c r="F2" s="6"/>
      <c r="G2" s="6"/>
      <c r="H2" s="6"/>
      <c r="I2" s="6"/>
      <c r="J2" s="6"/>
      <c r="K2" s="6"/>
      <c r="L2" s="6"/>
      <c r="M2" s="6"/>
      <c r="N2" s="6"/>
      <c r="O2" s="6"/>
      <c r="P2" s="6"/>
      <c r="Q2" s="6"/>
      <c r="R2" s="7"/>
      <c r="S2" s="346"/>
    </row>
    <row r="3" ht="23.25" customHeight="1">
      <c r="B3" s="565"/>
      <c r="C3" s="9"/>
      <c r="D3" s="9"/>
      <c r="E3" s="566"/>
      <c r="F3" s="9"/>
      <c r="G3" s="403"/>
      <c r="H3" s="403"/>
      <c r="I3" s="403"/>
      <c r="J3" s="9"/>
      <c r="K3" s="460"/>
      <c r="M3" s="13"/>
      <c r="N3" s="14" t="s">
        <v>3</v>
      </c>
      <c r="O3" s="404" t="s">
        <v>15141</v>
      </c>
      <c r="P3" s="16"/>
      <c r="Q3" s="17"/>
      <c r="R3" s="346"/>
      <c r="S3" s="346"/>
    </row>
    <row r="4">
      <c r="B4" s="565"/>
      <c r="C4" s="9"/>
      <c r="D4" s="9"/>
      <c r="E4" s="566"/>
      <c r="F4" s="9"/>
      <c r="G4" s="403"/>
      <c r="H4" s="321"/>
      <c r="I4" s="403"/>
      <c r="J4" s="9"/>
      <c r="K4" s="403"/>
      <c r="L4" s="467"/>
      <c r="M4" s="407"/>
      <c r="N4" s="9"/>
      <c r="O4" s="403"/>
      <c r="P4" s="403"/>
      <c r="Q4" s="403"/>
      <c r="R4" s="405"/>
      <c r="S4" s="346"/>
    </row>
    <row r="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567" t="s">
        <v>15142</v>
      </c>
      <c r="S5" s="568" t="s">
        <v>15143</v>
      </c>
    </row>
    <row r="6" ht="53.25" customHeight="1">
      <c r="B6" s="342">
        <v>1.0</v>
      </c>
      <c r="C6" s="430" t="s">
        <v>15144</v>
      </c>
      <c r="D6" s="557" t="s">
        <v>31</v>
      </c>
      <c r="E6" s="432" t="s">
        <v>15145</v>
      </c>
      <c r="F6" s="430" t="s">
        <v>15146</v>
      </c>
      <c r="G6" s="557" t="s">
        <v>29</v>
      </c>
      <c r="H6" s="557" t="s">
        <v>13193</v>
      </c>
      <c r="I6" s="557"/>
      <c r="J6" s="430" t="s">
        <v>15147</v>
      </c>
      <c r="K6" s="557">
        <f>638+12</f>
        <v>650</v>
      </c>
      <c r="L6" s="430" t="s">
        <v>31</v>
      </c>
      <c r="M6" s="557"/>
      <c r="N6" s="430" t="s">
        <v>15148</v>
      </c>
      <c r="O6" s="557">
        <v>1994.0</v>
      </c>
      <c r="P6" s="430" t="s">
        <v>388</v>
      </c>
      <c r="Q6" s="557">
        <v>1.0</v>
      </c>
      <c r="R6" s="460"/>
      <c r="S6" s="346"/>
    </row>
    <row r="7">
      <c r="B7" s="342">
        <v>3.0</v>
      </c>
      <c r="C7" s="430" t="s">
        <v>31</v>
      </c>
      <c r="D7" s="557" t="s">
        <v>15149</v>
      </c>
      <c r="E7" s="432" t="s">
        <v>15150</v>
      </c>
      <c r="F7" s="430" t="s">
        <v>15146</v>
      </c>
      <c r="G7" s="557" t="s">
        <v>29</v>
      </c>
      <c r="H7" s="557" t="s">
        <v>30</v>
      </c>
      <c r="I7" s="557"/>
      <c r="J7" s="430" t="s">
        <v>30</v>
      </c>
      <c r="K7" s="557">
        <v>1284.0</v>
      </c>
      <c r="L7" s="430" t="s">
        <v>31</v>
      </c>
      <c r="M7" s="557"/>
      <c r="N7" s="430" t="s">
        <v>15151</v>
      </c>
      <c r="O7" s="557">
        <v>2002.0</v>
      </c>
      <c r="P7" s="430" t="s">
        <v>388</v>
      </c>
      <c r="Q7" s="557">
        <v>1.0</v>
      </c>
      <c r="R7" s="569"/>
      <c r="S7" s="346"/>
    </row>
    <row r="8" ht="64.5" customHeight="1">
      <c r="B8" s="303">
        <v>4.0</v>
      </c>
      <c r="C8" s="430" t="s">
        <v>31</v>
      </c>
      <c r="D8" s="570" t="s">
        <v>15152</v>
      </c>
      <c r="E8" s="571" t="s">
        <v>15153</v>
      </c>
      <c r="F8" s="430" t="s">
        <v>15146</v>
      </c>
      <c r="G8" s="557" t="s">
        <v>29</v>
      </c>
      <c r="H8" s="557" t="s">
        <v>30</v>
      </c>
      <c r="I8" s="557"/>
      <c r="J8" s="430" t="s">
        <v>30</v>
      </c>
      <c r="K8" s="557">
        <v>685.0</v>
      </c>
      <c r="L8" s="430" t="s">
        <v>15154</v>
      </c>
      <c r="M8" s="557"/>
      <c r="N8" s="430" t="s">
        <v>15155</v>
      </c>
      <c r="O8" s="557">
        <v>1976.0</v>
      </c>
      <c r="P8" s="430" t="s">
        <v>388</v>
      </c>
      <c r="Q8" s="557">
        <v>2.0</v>
      </c>
      <c r="R8" s="569"/>
      <c r="S8" s="346"/>
    </row>
    <row r="9">
      <c r="B9" s="342">
        <v>5.0</v>
      </c>
      <c r="C9" s="430"/>
      <c r="D9" s="570" t="s">
        <v>15156</v>
      </c>
      <c r="E9" s="572" t="s">
        <v>15153</v>
      </c>
      <c r="F9" s="430" t="s">
        <v>15146</v>
      </c>
      <c r="G9" s="557" t="s">
        <v>29</v>
      </c>
      <c r="H9" s="557" t="s">
        <v>30</v>
      </c>
      <c r="I9" s="557"/>
      <c r="J9" s="430" t="s">
        <v>30</v>
      </c>
      <c r="K9" s="557">
        <v>685.0</v>
      </c>
      <c r="L9" s="430" t="s">
        <v>15154</v>
      </c>
      <c r="M9" s="557"/>
      <c r="N9" s="430" t="s">
        <v>15155</v>
      </c>
      <c r="O9" s="573">
        <v>1985.0</v>
      </c>
      <c r="P9" s="430"/>
      <c r="Q9" s="562">
        <v>1.0</v>
      </c>
      <c r="R9" s="569"/>
      <c r="S9" s="346"/>
    </row>
    <row r="10">
      <c r="B10" s="342">
        <v>6.0</v>
      </c>
      <c r="C10" s="430" t="s">
        <v>31</v>
      </c>
      <c r="D10" s="557" t="s">
        <v>31</v>
      </c>
      <c r="E10" s="432" t="s">
        <v>15157</v>
      </c>
      <c r="F10" s="430"/>
      <c r="G10" s="557" t="s">
        <v>29</v>
      </c>
      <c r="H10" s="557" t="s">
        <v>30</v>
      </c>
      <c r="I10" s="557"/>
      <c r="J10" s="430" t="s">
        <v>30</v>
      </c>
      <c r="K10" s="557">
        <v>383.0</v>
      </c>
      <c r="L10" s="430" t="s">
        <v>31</v>
      </c>
      <c r="M10" s="557"/>
      <c r="N10" s="430" t="s">
        <v>15158</v>
      </c>
      <c r="O10" s="557">
        <v>1963.0</v>
      </c>
      <c r="P10" s="430" t="s">
        <v>388</v>
      </c>
      <c r="Q10" s="557">
        <v>1.0</v>
      </c>
      <c r="R10" s="569"/>
      <c r="S10" s="346"/>
    </row>
    <row r="11" ht="27.75" customHeight="1">
      <c r="B11" s="342">
        <v>7.0</v>
      </c>
      <c r="C11" s="433" t="s">
        <v>31</v>
      </c>
      <c r="D11" s="342" t="s">
        <v>31</v>
      </c>
      <c r="E11" s="344" t="s">
        <v>15159</v>
      </c>
      <c r="F11" s="433" t="s">
        <v>15146</v>
      </c>
      <c r="G11" s="342" t="s">
        <v>29</v>
      </c>
      <c r="H11" s="342" t="s">
        <v>30</v>
      </c>
      <c r="I11" s="342"/>
      <c r="J11" s="433" t="s">
        <v>30</v>
      </c>
      <c r="K11" s="342">
        <v>714.0</v>
      </c>
      <c r="L11" s="433" t="s">
        <v>31</v>
      </c>
      <c r="M11" s="342"/>
      <c r="N11" s="433" t="s">
        <v>15160</v>
      </c>
      <c r="O11" s="342">
        <v>1986.0</v>
      </c>
      <c r="P11" s="433" t="s">
        <v>388</v>
      </c>
      <c r="Q11" s="342">
        <v>1.0</v>
      </c>
      <c r="R11" s="569"/>
      <c r="S11" s="346"/>
    </row>
    <row r="12" ht="113.25" customHeight="1">
      <c r="B12" s="342">
        <v>8.0</v>
      </c>
      <c r="C12" s="433" t="s">
        <v>31</v>
      </c>
      <c r="D12" s="342" t="s">
        <v>31</v>
      </c>
      <c r="E12" s="434" t="s">
        <v>15161</v>
      </c>
      <c r="F12" s="433" t="s">
        <v>15146</v>
      </c>
      <c r="G12" s="342" t="s">
        <v>29</v>
      </c>
      <c r="H12" s="342" t="s">
        <v>37</v>
      </c>
      <c r="I12" s="342"/>
      <c r="J12" s="433" t="s">
        <v>30</v>
      </c>
      <c r="K12" s="342">
        <v>447.0</v>
      </c>
      <c r="L12" s="433" t="s">
        <v>15162</v>
      </c>
      <c r="M12" s="342"/>
      <c r="N12" s="433" t="s">
        <v>15163</v>
      </c>
      <c r="O12" s="342">
        <v>1994.0</v>
      </c>
      <c r="P12" s="433" t="s">
        <v>388</v>
      </c>
      <c r="Q12" s="342">
        <v>1.0</v>
      </c>
      <c r="R12" s="569"/>
      <c r="S12" s="346"/>
    </row>
    <row r="13" ht="67.5" customHeight="1">
      <c r="B13" s="342">
        <v>9.0</v>
      </c>
      <c r="C13" s="430" t="s">
        <v>31</v>
      </c>
      <c r="D13" s="557" t="s">
        <v>31</v>
      </c>
      <c r="E13" s="432" t="s">
        <v>15164</v>
      </c>
      <c r="F13" s="430" t="s">
        <v>15146</v>
      </c>
      <c r="G13" s="557" t="s">
        <v>29</v>
      </c>
      <c r="H13" s="557" t="s">
        <v>37</v>
      </c>
      <c r="I13" s="557"/>
      <c r="J13" s="430" t="s">
        <v>38</v>
      </c>
      <c r="K13" s="557">
        <v>1659.0</v>
      </c>
      <c r="L13" s="430" t="s">
        <v>15165</v>
      </c>
      <c r="M13" s="557"/>
      <c r="N13" s="430" t="s">
        <v>15166</v>
      </c>
      <c r="O13" s="557">
        <v>1984.0</v>
      </c>
      <c r="P13" s="430" t="s">
        <v>388</v>
      </c>
      <c r="Q13" s="557">
        <v>1.0</v>
      </c>
      <c r="R13" s="569"/>
      <c r="S13" s="346"/>
    </row>
    <row r="14" ht="30.0" customHeight="1">
      <c r="B14" s="342">
        <v>10.0</v>
      </c>
      <c r="C14" s="433" t="s">
        <v>31</v>
      </c>
      <c r="D14" s="342" t="s">
        <v>31</v>
      </c>
      <c r="E14" s="434" t="s">
        <v>15167</v>
      </c>
      <c r="F14" s="433" t="s">
        <v>15146</v>
      </c>
      <c r="G14" s="342" t="s">
        <v>29</v>
      </c>
      <c r="H14" s="342" t="s">
        <v>30</v>
      </c>
      <c r="I14" s="342"/>
      <c r="J14" s="433" t="s">
        <v>15102</v>
      </c>
      <c r="K14" s="342">
        <v>264.0</v>
      </c>
      <c r="L14" s="433" t="s">
        <v>31</v>
      </c>
      <c r="M14" s="342"/>
      <c r="N14" s="433" t="s">
        <v>15168</v>
      </c>
      <c r="O14" s="342">
        <v>1973.0</v>
      </c>
      <c r="P14" s="433" t="s">
        <v>388</v>
      </c>
      <c r="Q14" s="342">
        <v>2.0</v>
      </c>
      <c r="R14" s="569"/>
      <c r="S14" s="346"/>
    </row>
    <row r="15">
      <c r="B15" s="342">
        <v>11.0</v>
      </c>
      <c r="C15" s="433" t="s">
        <v>31</v>
      </c>
      <c r="D15" s="342" t="s">
        <v>31</v>
      </c>
      <c r="E15" s="434" t="s">
        <v>15169</v>
      </c>
      <c r="F15" s="433" t="s">
        <v>15170</v>
      </c>
      <c r="G15" s="342" t="s">
        <v>29</v>
      </c>
      <c r="H15" s="342" t="s">
        <v>30</v>
      </c>
      <c r="I15" s="342"/>
      <c r="J15" s="433" t="s">
        <v>30</v>
      </c>
      <c r="K15" s="342">
        <v>530.0</v>
      </c>
      <c r="L15" s="433" t="s">
        <v>15171</v>
      </c>
      <c r="M15" s="342"/>
      <c r="N15" s="433" t="s">
        <v>8121</v>
      </c>
      <c r="O15" s="342">
        <v>2004.0</v>
      </c>
      <c r="P15" s="433" t="s">
        <v>388</v>
      </c>
      <c r="Q15" s="342">
        <v>2.0</v>
      </c>
      <c r="R15" s="569"/>
      <c r="S15" s="346"/>
    </row>
    <row r="16">
      <c r="B16" s="342">
        <v>12.0</v>
      </c>
      <c r="C16" s="433" t="s">
        <v>31</v>
      </c>
      <c r="D16" s="342" t="s">
        <v>15172</v>
      </c>
      <c r="E16" s="434" t="s">
        <v>15173</v>
      </c>
      <c r="F16" s="433" t="s">
        <v>15127</v>
      </c>
      <c r="G16" s="342" t="s">
        <v>29</v>
      </c>
      <c r="H16" s="342" t="s">
        <v>30</v>
      </c>
      <c r="I16" s="342"/>
      <c r="J16" s="433" t="s">
        <v>14221</v>
      </c>
      <c r="K16" s="342">
        <v>246.0</v>
      </c>
      <c r="L16" s="433" t="s">
        <v>31</v>
      </c>
      <c r="M16" s="342"/>
      <c r="N16" s="433" t="s">
        <v>15174</v>
      </c>
      <c r="O16" s="342">
        <v>1969.0</v>
      </c>
      <c r="P16" s="433" t="s">
        <v>388</v>
      </c>
      <c r="Q16" s="342">
        <v>2.0</v>
      </c>
      <c r="R16" s="569"/>
      <c r="S16" s="346"/>
    </row>
    <row r="17">
      <c r="B17" s="342">
        <v>13.0</v>
      </c>
      <c r="C17" s="430" t="s">
        <v>31</v>
      </c>
      <c r="D17" s="557" t="s">
        <v>15175</v>
      </c>
      <c r="E17" s="432" t="s">
        <v>15176</v>
      </c>
      <c r="F17" s="430" t="s">
        <v>15177</v>
      </c>
      <c r="G17" s="557" t="s">
        <v>29</v>
      </c>
      <c r="H17" s="557" t="s">
        <v>30</v>
      </c>
      <c r="I17" s="557"/>
      <c r="J17" s="430" t="s">
        <v>15178</v>
      </c>
      <c r="K17" s="557">
        <f>1123</f>
        <v>1123</v>
      </c>
      <c r="L17" s="430" t="s">
        <v>31</v>
      </c>
      <c r="M17" s="557"/>
      <c r="N17" s="430" t="s">
        <v>15179</v>
      </c>
      <c r="O17" s="557">
        <v>1986.0</v>
      </c>
      <c r="P17" s="430" t="s">
        <v>388</v>
      </c>
      <c r="Q17" s="557">
        <v>2.0</v>
      </c>
      <c r="R17" s="569"/>
      <c r="S17" s="346"/>
    </row>
    <row r="18">
      <c r="B18" s="342">
        <v>14.0</v>
      </c>
      <c r="C18" s="430" t="s">
        <v>31</v>
      </c>
      <c r="D18" s="557" t="s">
        <v>31</v>
      </c>
      <c r="E18" s="432" t="s">
        <v>15180</v>
      </c>
      <c r="F18" s="430" t="s">
        <v>13058</v>
      </c>
      <c r="G18" s="557" t="s">
        <v>29</v>
      </c>
      <c r="H18" s="557" t="s">
        <v>30</v>
      </c>
      <c r="I18" s="557"/>
      <c r="J18" s="430" t="s">
        <v>30</v>
      </c>
      <c r="K18" s="557">
        <f>2044</f>
        <v>2044</v>
      </c>
      <c r="L18" s="430" t="s">
        <v>15181</v>
      </c>
      <c r="M18" s="557"/>
      <c r="N18" s="430" t="s">
        <v>15182</v>
      </c>
      <c r="O18" s="557">
        <v>2006.0</v>
      </c>
      <c r="P18" s="430" t="s">
        <v>388</v>
      </c>
      <c r="Q18" s="557">
        <v>2.0</v>
      </c>
      <c r="R18" s="569"/>
      <c r="S18" s="346"/>
    </row>
    <row r="19">
      <c r="B19" s="342"/>
      <c r="C19" s="430"/>
      <c r="D19" s="570" t="s">
        <v>15183</v>
      </c>
      <c r="E19" s="432" t="s">
        <v>15184</v>
      </c>
      <c r="F19" s="430" t="s">
        <v>13058</v>
      </c>
      <c r="G19" s="557" t="s">
        <v>29</v>
      </c>
      <c r="H19" s="557" t="s">
        <v>30</v>
      </c>
      <c r="I19" s="557"/>
      <c r="J19" s="430" t="s">
        <v>30</v>
      </c>
      <c r="K19" s="557">
        <v>2044.0</v>
      </c>
      <c r="L19" s="430" t="s">
        <v>15181</v>
      </c>
      <c r="M19" s="557"/>
      <c r="N19" s="430" t="s">
        <v>15182</v>
      </c>
      <c r="O19" s="557">
        <v>2006.0</v>
      </c>
      <c r="P19" s="430" t="s">
        <v>388</v>
      </c>
      <c r="Q19" s="557">
        <v>1.0</v>
      </c>
      <c r="R19" s="569"/>
      <c r="S19" s="346"/>
    </row>
    <row r="20" ht="42.0" customHeight="1">
      <c r="B20" s="342">
        <v>15.0</v>
      </c>
      <c r="C20" s="430" t="s">
        <v>31</v>
      </c>
      <c r="D20" s="570" t="s">
        <v>15185</v>
      </c>
      <c r="E20" s="432" t="s">
        <v>15186</v>
      </c>
      <c r="F20" s="430" t="s">
        <v>15127</v>
      </c>
      <c r="G20" s="557" t="s">
        <v>29</v>
      </c>
      <c r="H20" s="557" t="s">
        <v>30</v>
      </c>
      <c r="I20" s="557"/>
      <c r="J20" s="430" t="s">
        <v>30</v>
      </c>
      <c r="K20" s="557">
        <f>72+642</f>
        <v>714</v>
      </c>
      <c r="L20" s="430" t="s">
        <v>31</v>
      </c>
      <c r="M20" s="557"/>
      <c r="N20" s="430" t="s">
        <v>15160</v>
      </c>
      <c r="O20" s="430">
        <v>1970.0</v>
      </c>
      <c r="P20" s="430" t="s">
        <v>388</v>
      </c>
      <c r="Q20" s="557">
        <v>1.0</v>
      </c>
      <c r="R20" s="569"/>
      <c r="S20" s="346"/>
    </row>
    <row r="21" ht="15.75" customHeight="1">
      <c r="B21" s="342">
        <v>16.0</v>
      </c>
      <c r="C21" s="433" t="s">
        <v>31</v>
      </c>
      <c r="D21" s="342" t="s">
        <v>31</v>
      </c>
      <c r="E21" s="434" t="s">
        <v>15187</v>
      </c>
      <c r="F21" s="433" t="s">
        <v>31</v>
      </c>
      <c r="G21" s="342" t="s">
        <v>29</v>
      </c>
      <c r="H21" s="342" t="s">
        <v>30</v>
      </c>
      <c r="I21" s="342"/>
      <c r="J21" s="433" t="s">
        <v>15178</v>
      </c>
      <c r="K21" s="342">
        <v>903.0</v>
      </c>
      <c r="L21" s="433" t="s">
        <v>31</v>
      </c>
      <c r="M21" s="342"/>
      <c r="N21" s="433" t="s">
        <v>15188</v>
      </c>
      <c r="O21" s="342">
        <v>1978.0</v>
      </c>
      <c r="P21" s="433" t="s">
        <v>388</v>
      </c>
      <c r="Q21" s="342">
        <v>1.0</v>
      </c>
      <c r="R21" s="569"/>
      <c r="S21" s="346"/>
    </row>
    <row r="22" ht="15.75" customHeight="1">
      <c r="B22" s="342">
        <v>17.0</v>
      </c>
      <c r="C22" s="433" t="s">
        <v>31</v>
      </c>
      <c r="D22" s="342" t="s">
        <v>31</v>
      </c>
      <c r="E22" s="434" t="s">
        <v>15189</v>
      </c>
      <c r="F22" s="433" t="s">
        <v>15177</v>
      </c>
      <c r="G22" s="433" t="s">
        <v>29</v>
      </c>
      <c r="H22" s="342" t="s">
        <v>30</v>
      </c>
      <c r="I22" s="342"/>
      <c r="J22" s="433" t="s">
        <v>15178</v>
      </c>
      <c r="K22" s="342">
        <v>1122.0</v>
      </c>
      <c r="L22" s="433" t="s">
        <v>31</v>
      </c>
      <c r="M22" s="342"/>
      <c r="N22" s="433" t="s">
        <v>15190</v>
      </c>
      <c r="O22" s="342" t="s">
        <v>31</v>
      </c>
      <c r="P22" s="433" t="s">
        <v>388</v>
      </c>
      <c r="Q22" s="342">
        <v>1.0</v>
      </c>
      <c r="R22" s="569"/>
      <c r="S22" s="346"/>
    </row>
    <row r="23" ht="15.75" customHeight="1">
      <c r="B23" s="342">
        <v>18.0</v>
      </c>
      <c r="C23" s="433" t="s">
        <v>15191</v>
      </c>
      <c r="D23" s="342" t="s">
        <v>31</v>
      </c>
      <c r="E23" s="434" t="s">
        <v>15192</v>
      </c>
      <c r="F23" s="433" t="s">
        <v>13058</v>
      </c>
      <c r="G23" s="342" t="s">
        <v>29</v>
      </c>
      <c r="H23" s="342" t="s">
        <v>15193</v>
      </c>
      <c r="I23" s="342"/>
      <c r="J23" s="433" t="s">
        <v>38</v>
      </c>
      <c r="K23" s="342">
        <v>1018.0</v>
      </c>
      <c r="L23" s="433" t="s">
        <v>15194</v>
      </c>
      <c r="M23" s="342"/>
      <c r="N23" s="433" t="s">
        <v>12447</v>
      </c>
      <c r="O23" s="342">
        <v>1987.0</v>
      </c>
      <c r="P23" s="433" t="s">
        <v>388</v>
      </c>
      <c r="Q23" s="342">
        <v>1.0</v>
      </c>
      <c r="R23" s="569"/>
      <c r="S23" s="346"/>
    </row>
    <row r="24" ht="15.75" customHeight="1">
      <c r="B24" s="342">
        <v>19.0</v>
      </c>
      <c r="C24" s="430" t="s">
        <v>15195</v>
      </c>
      <c r="D24" s="557" t="s">
        <v>31</v>
      </c>
      <c r="E24" s="432" t="s">
        <v>15196</v>
      </c>
      <c r="F24" s="430" t="s">
        <v>15177</v>
      </c>
      <c r="G24" s="557" t="s">
        <v>29</v>
      </c>
      <c r="H24" s="557" t="s">
        <v>38</v>
      </c>
      <c r="I24" s="557"/>
      <c r="J24" s="430" t="s">
        <v>15197</v>
      </c>
      <c r="K24" s="557">
        <f>1479+16</f>
        <v>1495</v>
      </c>
      <c r="L24" s="430" t="s">
        <v>15198</v>
      </c>
      <c r="M24" s="557"/>
      <c r="N24" s="430" t="s">
        <v>15199</v>
      </c>
      <c r="O24" s="557">
        <v>1988.0</v>
      </c>
      <c r="P24" s="430" t="s">
        <v>388</v>
      </c>
      <c r="Q24" s="557">
        <v>1.0</v>
      </c>
      <c r="R24" s="569"/>
      <c r="S24" s="346"/>
    </row>
    <row r="25" ht="30.0" customHeight="1">
      <c r="A25" s="255"/>
      <c r="B25" s="28">
        <v>20.0</v>
      </c>
      <c r="C25" s="186" t="s">
        <v>15200</v>
      </c>
      <c r="D25" s="574" t="s">
        <v>15201</v>
      </c>
      <c r="E25" s="188" t="s">
        <v>15202</v>
      </c>
      <c r="F25" s="186" t="s">
        <v>13058</v>
      </c>
      <c r="G25" s="28" t="s">
        <v>29</v>
      </c>
      <c r="H25" s="28" t="s">
        <v>30</v>
      </c>
      <c r="I25" s="28"/>
      <c r="J25" s="186" t="s">
        <v>30</v>
      </c>
      <c r="K25" s="28">
        <v>1920.0</v>
      </c>
      <c r="L25" s="186" t="s">
        <v>31</v>
      </c>
      <c r="M25" s="28"/>
      <c r="N25" s="186" t="s">
        <v>161</v>
      </c>
      <c r="O25" s="28">
        <v>1983.0</v>
      </c>
      <c r="P25" s="191">
        <v>30.0</v>
      </c>
      <c r="Q25" s="28">
        <v>2.0</v>
      </c>
      <c r="R25" s="575">
        <v>2.0</v>
      </c>
      <c r="S25" s="338"/>
      <c r="T25" s="255"/>
      <c r="U25" s="255"/>
      <c r="V25" s="255"/>
      <c r="W25" s="255"/>
      <c r="X25" s="255"/>
      <c r="Y25" s="255"/>
      <c r="Z25" s="255"/>
    </row>
    <row r="26" ht="30.0" customHeight="1">
      <c r="B26" s="342"/>
      <c r="C26" s="430" t="s">
        <v>15203</v>
      </c>
      <c r="D26" s="557" t="s">
        <v>31</v>
      </c>
      <c r="E26" s="432" t="s">
        <v>15204</v>
      </c>
      <c r="F26" s="430" t="s">
        <v>13058</v>
      </c>
      <c r="G26" s="557" t="s">
        <v>29</v>
      </c>
      <c r="H26" s="557" t="s">
        <v>30</v>
      </c>
      <c r="I26" s="557"/>
      <c r="J26" s="430" t="s">
        <v>30</v>
      </c>
      <c r="K26" s="557">
        <f>1727+13</f>
        <v>1740</v>
      </c>
      <c r="L26" s="430" t="s">
        <v>31</v>
      </c>
      <c r="M26" s="557"/>
      <c r="N26" s="430" t="s">
        <v>161</v>
      </c>
      <c r="O26" s="557">
        <v>1983.0</v>
      </c>
      <c r="P26" s="430" t="s">
        <v>388</v>
      </c>
      <c r="Q26" s="557">
        <v>2.0</v>
      </c>
      <c r="R26" s="569"/>
      <c r="S26" s="346"/>
    </row>
    <row r="27" ht="45.75" customHeight="1">
      <c r="A27" s="255"/>
      <c r="B27" s="28">
        <v>21.0</v>
      </c>
      <c r="C27" s="186" t="s">
        <v>15109</v>
      </c>
      <c r="D27" s="31" t="s">
        <v>15205</v>
      </c>
      <c r="E27" s="188" t="s">
        <v>15206</v>
      </c>
      <c r="F27" s="186" t="s">
        <v>13058</v>
      </c>
      <c r="G27" s="28" t="s">
        <v>29</v>
      </c>
      <c r="H27" s="28" t="s">
        <v>30</v>
      </c>
      <c r="I27" s="28"/>
      <c r="J27" s="186" t="s">
        <v>30</v>
      </c>
      <c r="K27" s="28">
        <v>1114.0</v>
      </c>
      <c r="L27" s="186" t="s">
        <v>15207</v>
      </c>
      <c r="M27" s="28"/>
      <c r="N27" s="186" t="s">
        <v>15208</v>
      </c>
      <c r="O27" s="28">
        <v>2008.0</v>
      </c>
      <c r="P27" s="191">
        <v>30.0</v>
      </c>
      <c r="Q27" s="28">
        <v>2.0</v>
      </c>
      <c r="R27" s="575">
        <v>1.0</v>
      </c>
      <c r="S27" s="338"/>
      <c r="T27" s="255"/>
      <c r="U27" s="255"/>
      <c r="V27" s="255"/>
      <c r="W27" s="255"/>
      <c r="X27" s="255"/>
      <c r="Y27" s="255"/>
      <c r="Z27" s="255"/>
    </row>
    <row r="28" ht="42.0" customHeight="1">
      <c r="B28" s="342">
        <v>22.0</v>
      </c>
      <c r="C28" s="433" t="s">
        <v>15209</v>
      </c>
      <c r="E28" s="434" t="s">
        <v>15210</v>
      </c>
      <c r="F28" s="433" t="s">
        <v>13058</v>
      </c>
      <c r="G28" s="342" t="s">
        <v>29</v>
      </c>
      <c r="H28" s="342" t="s">
        <v>30</v>
      </c>
      <c r="I28" s="342"/>
      <c r="J28" s="433" t="s">
        <v>30</v>
      </c>
      <c r="K28" s="342">
        <v>1233.0</v>
      </c>
      <c r="L28" s="433" t="s">
        <v>15211</v>
      </c>
      <c r="M28" s="342"/>
      <c r="N28" s="433" t="s">
        <v>4645</v>
      </c>
      <c r="O28" s="342">
        <v>1989.0</v>
      </c>
      <c r="P28" s="433" t="s">
        <v>388</v>
      </c>
      <c r="Q28" s="342">
        <v>1.0</v>
      </c>
      <c r="R28" s="569"/>
      <c r="S28" s="346"/>
    </row>
    <row r="29" ht="15.75" customHeight="1">
      <c r="B29" s="342">
        <v>23.0</v>
      </c>
      <c r="C29" s="433" t="s">
        <v>31</v>
      </c>
      <c r="D29" s="342" t="s">
        <v>31</v>
      </c>
      <c r="E29" s="434" t="s">
        <v>15212</v>
      </c>
      <c r="F29" s="433" t="s">
        <v>31</v>
      </c>
      <c r="G29" s="342" t="s">
        <v>29</v>
      </c>
      <c r="H29" s="342"/>
      <c r="I29" s="342"/>
      <c r="J29" s="538"/>
      <c r="K29" s="342">
        <v>440.0</v>
      </c>
      <c r="L29" s="433" t="s">
        <v>15211</v>
      </c>
      <c r="M29" s="342"/>
      <c r="N29" s="433" t="s">
        <v>31</v>
      </c>
      <c r="O29" s="342" t="s">
        <v>31</v>
      </c>
      <c r="P29" s="433" t="s">
        <v>388</v>
      </c>
      <c r="Q29" s="342">
        <v>1.0</v>
      </c>
      <c r="R29" s="569"/>
      <c r="S29" s="346"/>
    </row>
    <row r="30" ht="102.0" customHeight="1">
      <c r="B30" s="342">
        <v>24.0</v>
      </c>
      <c r="C30" s="433" t="s">
        <v>31</v>
      </c>
      <c r="D30" s="342" t="s">
        <v>31</v>
      </c>
      <c r="E30" s="434" t="s">
        <v>15213</v>
      </c>
      <c r="F30" s="433" t="s">
        <v>13058</v>
      </c>
      <c r="G30" s="342" t="s">
        <v>29</v>
      </c>
      <c r="H30" s="342" t="s">
        <v>30</v>
      </c>
      <c r="I30" s="342"/>
      <c r="J30" s="433" t="s">
        <v>30</v>
      </c>
      <c r="K30" s="342">
        <v>2330.0</v>
      </c>
      <c r="L30" s="433" t="s">
        <v>15214</v>
      </c>
      <c r="M30" s="342"/>
      <c r="N30" s="433" t="s">
        <v>15215</v>
      </c>
      <c r="O30" s="342">
        <v>2003.0</v>
      </c>
      <c r="P30" s="433" t="s">
        <v>388</v>
      </c>
      <c r="Q30" s="342">
        <v>2.0</v>
      </c>
      <c r="R30" s="569"/>
      <c r="S30" s="346"/>
    </row>
    <row r="31" ht="15.75" customHeight="1">
      <c r="B31" s="342">
        <v>25.0</v>
      </c>
      <c r="C31" s="433" t="s">
        <v>15029</v>
      </c>
      <c r="D31" s="342"/>
      <c r="E31" s="434" t="s">
        <v>15216</v>
      </c>
      <c r="F31" s="433" t="s">
        <v>13058</v>
      </c>
      <c r="G31" s="342" t="s">
        <v>29</v>
      </c>
      <c r="H31" s="342" t="s">
        <v>30</v>
      </c>
      <c r="I31" s="342"/>
      <c r="J31" s="433" t="s">
        <v>15217</v>
      </c>
      <c r="K31" s="342">
        <v>2284.0</v>
      </c>
      <c r="L31" s="433" t="s">
        <v>15218</v>
      </c>
      <c r="M31" s="342"/>
      <c r="N31" s="433" t="s">
        <v>161</v>
      </c>
      <c r="O31" s="303">
        <v>1988.0</v>
      </c>
      <c r="P31" s="433" t="s">
        <v>388</v>
      </c>
      <c r="Q31" s="342">
        <v>1.0</v>
      </c>
      <c r="R31" s="569"/>
      <c r="S31" s="346"/>
    </row>
    <row r="32" ht="54.75" customHeight="1">
      <c r="B32" s="342">
        <v>26.0</v>
      </c>
      <c r="C32" s="433" t="s">
        <v>15203</v>
      </c>
      <c r="D32" s="342"/>
      <c r="E32" s="434" t="s">
        <v>15219</v>
      </c>
      <c r="F32" s="433" t="s">
        <v>13058</v>
      </c>
      <c r="G32" s="342" t="s">
        <v>29</v>
      </c>
      <c r="H32" s="342" t="s">
        <v>30</v>
      </c>
      <c r="I32" s="342"/>
      <c r="J32" s="433" t="s">
        <v>30</v>
      </c>
      <c r="K32" s="342">
        <v>1740.0</v>
      </c>
      <c r="L32" s="433" t="s">
        <v>31</v>
      </c>
      <c r="M32" s="342"/>
      <c r="N32" s="433" t="s">
        <v>161</v>
      </c>
      <c r="O32" s="342">
        <v>2011.0</v>
      </c>
      <c r="P32" s="433" t="s">
        <v>388</v>
      </c>
      <c r="Q32" s="342">
        <v>2.0</v>
      </c>
      <c r="R32" s="569"/>
      <c r="S32" s="346"/>
    </row>
    <row r="33" ht="48.0" customHeight="1">
      <c r="B33" s="342">
        <v>27.0</v>
      </c>
      <c r="C33" s="430" t="s">
        <v>15220</v>
      </c>
      <c r="D33" s="573" t="s">
        <v>15221</v>
      </c>
      <c r="E33" s="432" t="s">
        <v>15222</v>
      </c>
      <c r="F33" s="430" t="s">
        <v>13058</v>
      </c>
      <c r="G33" s="557" t="s">
        <v>29</v>
      </c>
      <c r="H33" s="557" t="s">
        <v>30</v>
      </c>
      <c r="I33" s="557"/>
      <c r="J33" s="430" t="s">
        <v>30</v>
      </c>
      <c r="K33" s="557">
        <v>1924.0</v>
      </c>
      <c r="L33" s="430" t="s">
        <v>15223</v>
      </c>
      <c r="M33" s="557"/>
      <c r="N33" s="430" t="s">
        <v>9000</v>
      </c>
      <c r="O33" s="557">
        <v>2002.0</v>
      </c>
      <c r="P33" s="430" t="s">
        <v>388</v>
      </c>
      <c r="Q33" s="557">
        <v>3.0</v>
      </c>
      <c r="R33" s="569"/>
      <c r="S33" s="346"/>
    </row>
    <row r="34" ht="48.0" customHeight="1">
      <c r="B34" s="342">
        <v>28.0</v>
      </c>
      <c r="C34" s="433"/>
      <c r="D34" s="342"/>
      <c r="E34" s="434"/>
      <c r="F34" s="433"/>
      <c r="G34" s="342"/>
      <c r="H34" s="342"/>
      <c r="I34" s="342"/>
      <c r="J34" s="433"/>
      <c r="K34" s="342"/>
      <c r="L34" s="433"/>
      <c r="M34" s="342"/>
      <c r="N34" s="433"/>
      <c r="O34" s="342"/>
      <c r="P34" s="433"/>
      <c r="Q34" s="342"/>
      <c r="R34" s="569"/>
      <c r="S34" s="346"/>
    </row>
    <row r="35" ht="15.75" customHeight="1">
      <c r="B35" s="342">
        <v>29.0</v>
      </c>
      <c r="C35" s="433">
        <v>9.061263514E9</v>
      </c>
      <c r="D35" s="433"/>
      <c r="E35" s="434" t="s">
        <v>15224</v>
      </c>
      <c r="F35" s="433" t="s">
        <v>13058</v>
      </c>
      <c r="G35" s="342" t="s">
        <v>29</v>
      </c>
      <c r="H35" s="576" t="s">
        <v>15225</v>
      </c>
      <c r="I35" s="433"/>
      <c r="J35" s="433" t="s">
        <v>38</v>
      </c>
      <c r="K35" s="433">
        <v>326.0</v>
      </c>
      <c r="L35" s="433" t="s">
        <v>15226</v>
      </c>
      <c r="M35" s="433"/>
      <c r="N35" s="433" t="s">
        <v>15227</v>
      </c>
      <c r="O35" s="433">
        <v>1984.0</v>
      </c>
      <c r="P35" s="433" t="s">
        <v>388</v>
      </c>
      <c r="Q35" s="433">
        <v>1.0</v>
      </c>
      <c r="R35" s="569"/>
      <c r="S35" s="346"/>
    </row>
    <row r="36" ht="15.75" customHeight="1">
      <c r="B36" s="342">
        <v>30.0</v>
      </c>
      <c r="C36" s="433">
        <v>3.43802562E9</v>
      </c>
      <c r="D36" s="433"/>
      <c r="E36" s="434" t="s">
        <v>15228</v>
      </c>
      <c r="F36" s="433" t="s">
        <v>13058</v>
      </c>
      <c r="G36" s="342" t="s">
        <v>29</v>
      </c>
      <c r="H36" s="433" t="s">
        <v>2179</v>
      </c>
      <c r="I36" s="433"/>
      <c r="J36" s="433" t="s">
        <v>3746</v>
      </c>
      <c r="K36" s="433">
        <v>928.0</v>
      </c>
      <c r="L36" s="433" t="s">
        <v>15226</v>
      </c>
      <c r="M36" s="433"/>
      <c r="N36" s="433" t="s">
        <v>54</v>
      </c>
      <c r="O36" s="433">
        <v>1971.0</v>
      </c>
      <c r="P36" s="433" t="s">
        <v>388</v>
      </c>
      <c r="Q36" s="433">
        <v>1.0</v>
      </c>
      <c r="R36" s="569"/>
      <c r="S36" s="346"/>
    </row>
    <row r="37" ht="15.75" customHeight="1">
      <c r="B37" s="342">
        <v>31.0</v>
      </c>
      <c r="C37" s="433" t="s">
        <v>15229</v>
      </c>
      <c r="D37" s="433"/>
      <c r="E37" s="434" t="s">
        <v>15230</v>
      </c>
      <c r="F37" s="433" t="s">
        <v>13058</v>
      </c>
      <c r="G37" s="342" t="s">
        <v>29</v>
      </c>
      <c r="H37" s="577" t="s">
        <v>2743</v>
      </c>
      <c r="I37" s="433"/>
      <c r="J37" s="433" t="s">
        <v>38</v>
      </c>
      <c r="K37" s="433">
        <v>1041.0</v>
      </c>
      <c r="L37" s="433"/>
      <c r="M37" s="433"/>
      <c r="N37" s="433" t="s">
        <v>15231</v>
      </c>
      <c r="O37" s="433">
        <v>1967.0</v>
      </c>
      <c r="P37" s="433" t="s">
        <v>388</v>
      </c>
      <c r="Q37" s="433">
        <v>1.0</v>
      </c>
      <c r="R37" s="569"/>
      <c r="S37" s="346"/>
    </row>
    <row r="38" ht="15.75" customHeight="1">
      <c r="B38" s="342">
        <v>32.0</v>
      </c>
      <c r="C38" s="433" t="s">
        <v>15232</v>
      </c>
      <c r="D38" s="433"/>
      <c r="E38" s="434" t="s">
        <v>15233</v>
      </c>
      <c r="F38" s="433" t="s">
        <v>13058</v>
      </c>
      <c r="G38" s="342" t="s">
        <v>29</v>
      </c>
      <c r="H38" s="433" t="s">
        <v>2179</v>
      </c>
      <c r="I38" s="433"/>
      <c r="J38" s="433" t="s">
        <v>38</v>
      </c>
      <c r="K38" s="433">
        <v>320.0</v>
      </c>
      <c r="L38" s="433"/>
      <c r="M38" s="433" t="s">
        <v>15234</v>
      </c>
      <c r="N38" s="433" t="s">
        <v>15235</v>
      </c>
      <c r="O38" s="433">
        <v>1986.0</v>
      </c>
      <c r="P38" s="433" t="s">
        <v>388</v>
      </c>
      <c r="Q38" s="433">
        <v>1.0</v>
      </c>
      <c r="R38" s="569"/>
      <c r="S38" s="346"/>
    </row>
    <row r="39" ht="15.75" customHeight="1">
      <c r="B39" s="342">
        <v>33.0</v>
      </c>
      <c r="C39" s="433" t="s">
        <v>15236</v>
      </c>
      <c r="D39" s="433"/>
      <c r="E39" s="434" t="s">
        <v>15237</v>
      </c>
      <c r="F39" s="433" t="s">
        <v>12445</v>
      </c>
      <c r="G39" s="342" t="s">
        <v>29</v>
      </c>
      <c r="H39" s="433" t="s">
        <v>13593</v>
      </c>
      <c r="I39" s="433"/>
      <c r="J39" s="433" t="s">
        <v>15238</v>
      </c>
      <c r="K39" s="433">
        <v>753.0</v>
      </c>
      <c r="L39" s="433" t="s">
        <v>15239</v>
      </c>
      <c r="M39" s="433" t="s">
        <v>2944</v>
      </c>
      <c r="N39" s="433" t="s">
        <v>15240</v>
      </c>
      <c r="O39" s="433">
        <v>1986.0</v>
      </c>
      <c r="P39" s="433" t="s">
        <v>388</v>
      </c>
      <c r="Q39" s="433">
        <v>1.0</v>
      </c>
      <c r="R39" s="569"/>
      <c r="S39" s="346"/>
    </row>
    <row r="40" ht="15.75" customHeight="1">
      <c r="B40" s="342">
        <v>34.0</v>
      </c>
      <c r="C40" s="433"/>
      <c r="D40" s="433"/>
      <c r="E40" s="434" t="s">
        <v>15241</v>
      </c>
      <c r="F40" s="433" t="s">
        <v>15242</v>
      </c>
      <c r="G40" s="342" t="s">
        <v>29</v>
      </c>
      <c r="H40" s="433" t="s">
        <v>13593</v>
      </c>
      <c r="I40" s="433"/>
      <c r="J40" s="433" t="s">
        <v>2184</v>
      </c>
      <c r="K40" s="433">
        <v>948.0</v>
      </c>
      <c r="L40" s="433"/>
      <c r="M40" s="433" t="s">
        <v>15243</v>
      </c>
      <c r="N40" s="433" t="s">
        <v>15244</v>
      </c>
      <c r="O40" s="433">
        <v>1983.0</v>
      </c>
      <c r="P40" s="433" t="s">
        <v>388</v>
      </c>
      <c r="Q40" s="433">
        <v>1.0</v>
      </c>
      <c r="R40" s="569"/>
      <c r="S40" s="346"/>
    </row>
    <row r="41" ht="15.75" customHeight="1">
      <c r="B41" s="342">
        <v>35.0</v>
      </c>
      <c r="C41" s="578" t="s">
        <v>15245</v>
      </c>
      <c r="D41" s="579" t="s">
        <v>15246</v>
      </c>
      <c r="E41" s="580" t="s">
        <v>15247</v>
      </c>
      <c r="F41" s="430" t="s">
        <v>13058</v>
      </c>
      <c r="G41" s="557" t="s">
        <v>29</v>
      </c>
      <c r="H41" s="579" t="s">
        <v>30</v>
      </c>
      <c r="I41" s="579" t="s">
        <v>31</v>
      </c>
      <c r="J41" s="579" t="s">
        <v>30</v>
      </c>
      <c r="K41" s="579">
        <v>1349.0</v>
      </c>
      <c r="L41" s="579" t="s">
        <v>15248</v>
      </c>
      <c r="M41" s="579"/>
      <c r="N41" s="581" t="s">
        <v>15249</v>
      </c>
      <c r="O41" s="579">
        <v>2008.0</v>
      </c>
      <c r="P41" s="430" t="s">
        <v>388</v>
      </c>
      <c r="Q41" s="582">
        <v>1.0</v>
      </c>
      <c r="R41" s="346"/>
      <c r="S41" s="346"/>
    </row>
    <row r="42" ht="15.75" customHeight="1">
      <c r="B42" s="342">
        <v>36.0</v>
      </c>
      <c r="C42" s="433" t="s">
        <v>15250</v>
      </c>
      <c r="D42" s="433"/>
      <c r="E42" s="434" t="s">
        <v>15251</v>
      </c>
      <c r="F42" s="433" t="s">
        <v>13058</v>
      </c>
      <c r="G42" s="342" t="s">
        <v>29</v>
      </c>
      <c r="H42" s="433" t="s">
        <v>15252</v>
      </c>
      <c r="I42" s="433" t="s">
        <v>31</v>
      </c>
      <c r="J42" s="433"/>
      <c r="K42" s="433">
        <v>1503.0</v>
      </c>
      <c r="L42" s="433"/>
      <c r="M42" s="433" t="s">
        <v>31</v>
      </c>
      <c r="N42" s="433" t="s">
        <v>15253</v>
      </c>
      <c r="O42" s="433">
        <v>2011.0</v>
      </c>
      <c r="P42" s="433" t="s">
        <v>388</v>
      </c>
      <c r="Q42" s="433">
        <v>1.0</v>
      </c>
      <c r="R42" s="346"/>
      <c r="S42" s="346"/>
    </row>
    <row r="43" ht="15.75" customHeight="1">
      <c r="B43" s="342">
        <v>37.0</v>
      </c>
      <c r="C43" s="433" t="s">
        <v>15254</v>
      </c>
      <c r="D43" s="433"/>
      <c r="E43" s="434" t="s">
        <v>15255</v>
      </c>
      <c r="F43" s="433" t="s">
        <v>13058</v>
      </c>
      <c r="G43" s="342" t="s">
        <v>29</v>
      </c>
      <c r="H43" s="433" t="s">
        <v>15252</v>
      </c>
      <c r="I43" s="433" t="s">
        <v>31</v>
      </c>
      <c r="J43" s="433"/>
      <c r="K43" s="433"/>
      <c r="L43" s="433"/>
      <c r="M43" s="433" t="s">
        <v>31</v>
      </c>
      <c r="N43" s="433"/>
      <c r="O43" s="433"/>
      <c r="P43" s="433" t="s">
        <v>388</v>
      </c>
      <c r="Q43" s="433"/>
      <c r="R43" s="569"/>
      <c r="S43" s="346"/>
    </row>
    <row r="44" ht="15.75" customHeight="1">
      <c r="B44" s="342">
        <v>38.0</v>
      </c>
      <c r="C44" s="433" t="s">
        <v>15256</v>
      </c>
      <c r="D44" s="433"/>
      <c r="E44" s="434" t="s">
        <v>15257</v>
      </c>
      <c r="F44" s="433" t="s">
        <v>13058</v>
      </c>
      <c r="G44" s="342" t="s">
        <v>29</v>
      </c>
      <c r="H44" s="433" t="s">
        <v>131</v>
      </c>
      <c r="I44" s="433" t="s">
        <v>31</v>
      </c>
      <c r="J44" s="433" t="s">
        <v>131</v>
      </c>
      <c r="K44" s="433">
        <v>191.0</v>
      </c>
      <c r="L44" s="433"/>
      <c r="M44" s="433" t="s">
        <v>31</v>
      </c>
      <c r="N44" s="433" t="s">
        <v>100</v>
      </c>
      <c r="O44" s="433">
        <v>2013.0</v>
      </c>
      <c r="P44" s="433" t="s">
        <v>388</v>
      </c>
      <c r="Q44" s="433">
        <v>1.0</v>
      </c>
      <c r="R44" s="569"/>
      <c r="S44" s="346"/>
    </row>
    <row r="45" ht="15.75" customHeight="1">
      <c r="B45" s="342">
        <v>39.0</v>
      </c>
      <c r="C45" s="433" t="s">
        <v>10576</v>
      </c>
      <c r="D45" s="433"/>
      <c r="E45" s="434" t="s">
        <v>15258</v>
      </c>
      <c r="F45" s="433" t="s">
        <v>13058</v>
      </c>
      <c r="G45" s="342" t="s">
        <v>29</v>
      </c>
      <c r="H45" s="433" t="s">
        <v>37</v>
      </c>
      <c r="I45" s="433" t="s">
        <v>31</v>
      </c>
      <c r="J45" s="433" t="s">
        <v>38</v>
      </c>
      <c r="K45" s="433">
        <v>1984.0</v>
      </c>
      <c r="L45" s="433"/>
      <c r="M45" s="433" t="s">
        <v>31</v>
      </c>
      <c r="N45" s="433" t="s">
        <v>10580</v>
      </c>
      <c r="O45" s="433">
        <v>2014.0</v>
      </c>
      <c r="P45" s="433" t="s">
        <v>388</v>
      </c>
      <c r="Q45" s="433">
        <v>1.0</v>
      </c>
      <c r="R45" s="569"/>
      <c r="S45" s="346"/>
    </row>
    <row r="46" ht="15.75" customHeight="1">
      <c r="A46" s="583"/>
      <c r="B46" s="342">
        <v>40.0</v>
      </c>
      <c r="C46" s="430" t="s">
        <v>15259</v>
      </c>
      <c r="D46" s="430" t="s">
        <v>15260</v>
      </c>
      <c r="E46" s="432" t="s">
        <v>15261</v>
      </c>
      <c r="F46" s="430" t="s">
        <v>13058</v>
      </c>
      <c r="G46" s="557" t="s">
        <v>29</v>
      </c>
      <c r="H46" s="430" t="s">
        <v>37</v>
      </c>
      <c r="I46" s="430"/>
      <c r="J46" s="430" t="s">
        <v>38</v>
      </c>
      <c r="K46" s="430">
        <f>1822+20</f>
        <v>1842</v>
      </c>
      <c r="L46" s="430"/>
      <c r="M46" s="430"/>
      <c r="N46" s="430" t="s">
        <v>10580</v>
      </c>
      <c r="O46" s="430">
        <v>2008.0</v>
      </c>
      <c r="P46" s="430" t="s">
        <v>388</v>
      </c>
      <c r="Q46" s="430">
        <v>1.0</v>
      </c>
      <c r="R46" s="569"/>
      <c r="S46" s="346"/>
      <c r="T46" s="583"/>
      <c r="U46" s="583"/>
      <c r="V46" s="583"/>
      <c r="W46" s="583"/>
      <c r="X46" s="583"/>
      <c r="Y46" s="583"/>
      <c r="Z46" s="583"/>
    </row>
    <row r="47" ht="15.75" customHeight="1">
      <c r="A47" s="255"/>
      <c r="B47" s="28">
        <v>41.0</v>
      </c>
      <c r="C47" s="191" t="s">
        <v>15262</v>
      </c>
      <c r="D47" s="191" t="s">
        <v>15263</v>
      </c>
      <c r="E47" s="188" t="s">
        <v>15264</v>
      </c>
      <c r="F47" s="186" t="s">
        <v>12445</v>
      </c>
      <c r="G47" s="28" t="s">
        <v>29</v>
      </c>
      <c r="H47" s="186" t="s">
        <v>98</v>
      </c>
      <c r="I47" s="186" t="s">
        <v>31</v>
      </c>
      <c r="J47" s="186" t="s">
        <v>38</v>
      </c>
      <c r="K47" s="186">
        <v>899.0</v>
      </c>
      <c r="L47" s="186" t="s">
        <v>31</v>
      </c>
      <c r="M47" s="186" t="s">
        <v>31</v>
      </c>
      <c r="N47" s="186" t="s">
        <v>15265</v>
      </c>
      <c r="O47" s="186">
        <v>2014.0</v>
      </c>
      <c r="P47" s="191">
        <v>30.0</v>
      </c>
      <c r="Q47" s="186">
        <v>1.0</v>
      </c>
      <c r="R47" s="575">
        <v>1.0</v>
      </c>
      <c r="S47" s="338"/>
      <c r="T47" s="255"/>
      <c r="U47" s="255"/>
      <c r="V47" s="255"/>
      <c r="W47" s="255"/>
      <c r="X47" s="255"/>
      <c r="Y47" s="255"/>
      <c r="Z47" s="255"/>
    </row>
    <row r="48" ht="15.75" customHeight="1">
      <c r="A48" s="255"/>
      <c r="B48" s="28"/>
      <c r="C48" s="191" t="s">
        <v>12448</v>
      </c>
      <c r="D48" s="191" t="s">
        <v>15266</v>
      </c>
      <c r="E48" s="35" t="s">
        <v>15267</v>
      </c>
      <c r="F48" s="191" t="s">
        <v>12445</v>
      </c>
      <c r="G48" s="31" t="s">
        <v>29</v>
      </c>
      <c r="H48" s="191" t="s">
        <v>98</v>
      </c>
      <c r="I48" s="186"/>
      <c r="J48" s="191" t="s">
        <v>38</v>
      </c>
      <c r="K48" s="191">
        <v>918.0</v>
      </c>
      <c r="L48" s="186"/>
      <c r="M48" s="186"/>
      <c r="N48" s="186" t="s">
        <v>15265</v>
      </c>
      <c r="O48" s="191">
        <v>1993.0</v>
      </c>
      <c r="P48" s="191">
        <v>30.0</v>
      </c>
      <c r="Q48" s="191">
        <v>1.0</v>
      </c>
      <c r="R48" s="575">
        <v>1.0</v>
      </c>
      <c r="S48" s="338"/>
      <c r="T48" s="255"/>
      <c r="U48" s="255"/>
      <c r="V48" s="255"/>
      <c r="W48" s="255"/>
      <c r="X48" s="255"/>
      <c r="Y48" s="255"/>
      <c r="Z48" s="255"/>
    </row>
    <row r="49" ht="15.75" customHeight="1">
      <c r="B49" s="342">
        <v>42.0</v>
      </c>
      <c r="C49" s="433"/>
      <c r="D49" s="433"/>
      <c r="E49" s="434" t="s">
        <v>15268</v>
      </c>
      <c r="F49" s="433" t="s">
        <v>15242</v>
      </c>
      <c r="G49" s="342"/>
      <c r="H49" s="433"/>
      <c r="I49" s="433"/>
      <c r="J49" s="433"/>
      <c r="K49" s="433"/>
      <c r="L49" s="433"/>
      <c r="M49" s="433"/>
      <c r="N49" s="433"/>
      <c r="O49" s="433"/>
      <c r="P49" s="433"/>
      <c r="Q49" s="433"/>
      <c r="R49" s="569"/>
      <c r="S49" s="346"/>
    </row>
    <row r="50" ht="15.75" customHeight="1">
      <c r="B50" s="342">
        <v>43.0</v>
      </c>
      <c r="C50" s="433" t="s">
        <v>15269</v>
      </c>
      <c r="D50" s="433" t="s">
        <v>15270</v>
      </c>
      <c r="E50" s="434" t="s">
        <v>15271</v>
      </c>
      <c r="F50" s="433" t="s">
        <v>13058</v>
      </c>
      <c r="G50" s="342" t="s">
        <v>29</v>
      </c>
      <c r="H50" s="433" t="s">
        <v>30</v>
      </c>
      <c r="I50" s="433"/>
      <c r="J50" s="433" t="s">
        <v>30</v>
      </c>
      <c r="K50" s="433">
        <v>352.0</v>
      </c>
      <c r="L50" s="433" t="s">
        <v>15272</v>
      </c>
      <c r="M50" s="433" t="s">
        <v>15273</v>
      </c>
      <c r="N50" s="433" t="s">
        <v>9000</v>
      </c>
      <c r="O50" s="433">
        <v>2013.0</v>
      </c>
      <c r="P50" s="433" t="s">
        <v>15274</v>
      </c>
      <c r="Q50" s="433">
        <v>1.0</v>
      </c>
      <c r="R50" s="569"/>
      <c r="S50" s="346"/>
    </row>
    <row r="51" ht="15.75" customHeight="1">
      <c r="B51" s="342">
        <v>44.0</v>
      </c>
      <c r="C51" s="433"/>
      <c r="D51" s="433"/>
      <c r="E51" s="434"/>
      <c r="F51" s="433"/>
      <c r="G51" s="342"/>
      <c r="H51" s="433"/>
      <c r="I51" s="433"/>
      <c r="J51" s="433"/>
      <c r="K51" s="433"/>
      <c r="L51" s="433"/>
      <c r="M51" s="433"/>
      <c r="N51" s="433"/>
      <c r="O51" s="433"/>
      <c r="P51" s="433"/>
      <c r="Q51" s="433"/>
      <c r="R51" s="569"/>
      <c r="S51" s="346"/>
    </row>
    <row r="52" ht="15.75" customHeight="1">
      <c r="B52" s="342">
        <v>45.0</v>
      </c>
      <c r="C52" s="433" t="s">
        <v>15275</v>
      </c>
      <c r="D52" s="433" t="s">
        <v>15276</v>
      </c>
      <c r="E52" s="434" t="s">
        <v>15277</v>
      </c>
      <c r="F52" s="433" t="s">
        <v>13058</v>
      </c>
      <c r="G52" s="342" t="s">
        <v>29</v>
      </c>
      <c r="H52" s="433" t="s">
        <v>5747</v>
      </c>
      <c r="I52" s="433"/>
      <c r="J52" s="433" t="s">
        <v>5747</v>
      </c>
      <c r="K52" s="433"/>
      <c r="L52" s="433" t="s">
        <v>31</v>
      </c>
      <c r="M52" s="433" t="s">
        <v>31</v>
      </c>
      <c r="N52" s="433" t="s">
        <v>15278</v>
      </c>
      <c r="O52" s="433">
        <v>2012.0</v>
      </c>
      <c r="P52" s="433" t="s">
        <v>388</v>
      </c>
      <c r="Q52" s="433">
        <v>1.0</v>
      </c>
      <c r="R52" s="569"/>
      <c r="S52" s="346"/>
    </row>
    <row r="53" ht="15.75" customHeight="1">
      <c r="B53" s="342">
        <v>46.0</v>
      </c>
      <c r="C53" s="433" t="s">
        <v>15279</v>
      </c>
      <c r="D53" s="433" t="s">
        <v>15280</v>
      </c>
      <c r="E53" s="434" t="s">
        <v>15281</v>
      </c>
      <c r="F53" s="433" t="s">
        <v>13058</v>
      </c>
      <c r="G53" s="342" t="s">
        <v>29</v>
      </c>
      <c r="H53" s="433" t="s">
        <v>30</v>
      </c>
      <c r="I53" s="433"/>
      <c r="J53" s="433" t="s">
        <v>30</v>
      </c>
      <c r="K53" s="433">
        <f>398+1292+10</f>
        <v>1700</v>
      </c>
      <c r="L53" s="433" t="s">
        <v>15282</v>
      </c>
      <c r="M53" s="433" t="s">
        <v>31</v>
      </c>
      <c r="N53" s="433" t="s">
        <v>15283</v>
      </c>
      <c r="O53" s="433">
        <v>2015.0</v>
      </c>
      <c r="P53" s="433" t="s">
        <v>388</v>
      </c>
      <c r="Q53" s="433">
        <v>1.0</v>
      </c>
      <c r="R53" s="569"/>
      <c r="S53" s="346"/>
    </row>
    <row r="54" ht="29.25" customHeight="1">
      <c r="B54" s="342">
        <v>47.0</v>
      </c>
      <c r="C54" s="433" t="s">
        <v>15284</v>
      </c>
      <c r="D54" s="433" t="s">
        <v>15285</v>
      </c>
      <c r="E54" s="434" t="s">
        <v>15286</v>
      </c>
      <c r="F54" s="433" t="s">
        <v>13058</v>
      </c>
      <c r="G54" s="342" t="s">
        <v>29</v>
      </c>
      <c r="H54" s="433" t="s">
        <v>30</v>
      </c>
      <c r="I54" s="433"/>
      <c r="J54" s="433" t="s">
        <v>30</v>
      </c>
      <c r="K54" s="433">
        <f>813</f>
        <v>813</v>
      </c>
      <c r="L54" s="433" t="s">
        <v>31</v>
      </c>
      <c r="M54" s="433" t="s">
        <v>31</v>
      </c>
      <c r="N54" s="433" t="s">
        <v>15287</v>
      </c>
      <c r="O54" s="433">
        <v>2013.0</v>
      </c>
      <c r="P54" s="433" t="s">
        <v>388</v>
      </c>
      <c r="Q54" s="433">
        <v>1.0</v>
      </c>
      <c r="R54" s="569"/>
      <c r="S54" s="346"/>
    </row>
    <row r="55" ht="15.75" customHeight="1">
      <c r="B55" s="342">
        <v>48.0</v>
      </c>
      <c r="C55" s="433" t="s">
        <v>31</v>
      </c>
      <c r="D55" s="433" t="s">
        <v>15288</v>
      </c>
      <c r="E55" s="434" t="s">
        <v>15289</v>
      </c>
      <c r="F55" s="433" t="s">
        <v>13058</v>
      </c>
      <c r="G55" s="342" t="s">
        <v>29</v>
      </c>
      <c r="H55" s="433" t="s">
        <v>37</v>
      </c>
      <c r="I55" s="433"/>
      <c r="J55" s="433" t="s">
        <v>38</v>
      </c>
      <c r="K55" s="433">
        <v>1237.0</v>
      </c>
      <c r="L55" s="433" t="s">
        <v>31</v>
      </c>
      <c r="M55" s="433" t="s">
        <v>31</v>
      </c>
      <c r="N55" s="433" t="s">
        <v>15290</v>
      </c>
      <c r="O55" s="433">
        <v>1985.0</v>
      </c>
      <c r="P55" s="433" t="s">
        <v>388</v>
      </c>
      <c r="Q55" s="433">
        <v>1.0</v>
      </c>
      <c r="R55" s="569"/>
      <c r="S55" s="346"/>
    </row>
    <row r="56" ht="15.75" customHeight="1">
      <c r="B56" s="342">
        <v>49.0</v>
      </c>
      <c r="C56" s="433" t="s">
        <v>31</v>
      </c>
      <c r="D56" s="433" t="s">
        <v>15288</v>
      </c>
      <c r="E56" s="434" t="s">
        <v>15291</v>
      </c>
      <c r="F56" s="433" t="s">
        <v>13058</v>
      </c>
      <c r="G56" s="342" t="s">
        <v>29</v>
      </c>
      <c r="H56" s="433" t="s">
        <v>37</v>
      </c>
      <c r="I56" s="433"/>
      <c r="J56" s="433" t="s">
        <v>38</v>
      </c>
      <c r="K56" s="433">
        <v>1237.0</v>
      </c>
      <c r="L56" s="433" t="s">
        <v>31</v>
      </c>
      <c r="M56" s="433" t="s">
        <v>31</v>
      </c>
      <c r="N56" s="433" t="s">
        <v>15290</v>
      </c>
      <c r="O56" s="433">
        <v>1985.0</v>
      </c>
      <c r="P56" s="433" t="s">
        <v>388</v>
      </c>
      <c r="Q56" s="433">
        <v>1.0</v>
      </c>
      <c r="R56" s="569"/>
      <c r="S56" s="346"/>
    </row>
    <row r="57" ht="15.75" customHeight="1">
      <c r="B57" s="342">
        <v>50.0</v>
      </c>
      <c r="C57" s="433" t="s">
        <v>31</v>
      </c>
      <c r="D57" s="433" t="s">
        <v>15292</v>
      </c>
      <c r="E57" s="434" t="s">
        <v>15293</v>
      </c>
      <c r="F57" s="433" t="s">
        <v>13058</v>
      </c>
      <c r="G57" s="342" t="s">
        <v>29</v>
      </c>
      <c r="H57" s="433" t="s">
        <v>13082</v>
      </c>
      <c r="I57" s="433"/>
      <c r="J57" s="433" t="s">
        <v>13082</v>
      </c>
      <c r="K57" s="433"/>
      <c r="L57" s="433"/>
      <c r="M57" s="433" t="s">
        <v>31</v>
      </c>
      <c r="N57" s="433" t="s">
        <v>31</v>
      </c>
      <c r="O57" s="433">
        <v>1986.0</v>
      </c>
      <c r="P57" s="433" t="s">
        <v>388</v>
      </c>
      <c r="Q57" s="433">
        <v>1.0</v>
      </c>
      <c r="R57" s="569"/>
      <c r="S57" s="346"/>
    </row>
    <row r="58" ht="15.75" customHeight="1">
      <c r="B58" s="342">
        <v>51.0</v>
      </c>
      <c r="C58" s="433" t="s">
        <v>15294</v>
      </c>
      <c r="D58" s="433" t="s">
        <v>15295</v>
      </c>
      <c r="E58" s="434" t="s">
        <v>15296</v>
      </c>
      <c r="F58" s="433" t="s">
        <v>15242</v>
      </c>
      <c r="G58" s="342" t="s">
        <v>29</v>
      </c>
      <c r="H58" s="433" t="s">
        <v>37</v>
      </c>
      <c r="I58" s="433"/>
      <c r="J58" s="433" t="s">
        <v>38</v>
      </c>
      <c r="K58" s="433">
        <v>1338.0</v>
      </c>
      <c r="L58" s="433"/>
      <c r="M58" s="433" t="s">
        <v>31</v>
      </c>
      <c r="N58" s="433" t="s">
        <v>15297</v>
      </c>
      <c r="O58" s="433">
        <v>1985.0</v>
      </c>
      <c r="P58" s="433" t="s">
        <v>388</v>
      </c>
      <c r="Q58" s="433">
        <v>1.0</v>
      </c>
      <c r="R58" s="569"/>
      <c r="S58" s="346"/>
    </row>
    <row r="59" ht="28.5" customHeight="1">
      <c r="B59" s="342">
        <v>52.0</v>
      </c>
      <c r="C59" s="433" t="s">
        <v>31</v>
      </c>
      <c r="D59" s="433" t="s">
        <v>15298</v>
      </c>
      <c r="E59" s="434" t="s">
        <v>15299</v>
      </c>
      <c r="F59" s="433" t="s">
        <v>15242</v>
      </c>
      <c r="G59" s="342" t="s">
        <v>29</v>
      </c>
      <c r="H59" s="433" t="s">
        <v>37</v>
      </c>
      <c r="I59" s="433"/>
      <c r="J59" s="433" t="s">
        <v>38</v>
      </c>
      <c r="K59" s="433"/>
      <c r="L59" s="433"/>
      <c r="M59" s="433"/>
      <c r="N59" s="433" t="s">
        <v>15300</v>
      </c>
      <c r="O59" s="433">
        <v>1997.0</v>
      </c>
      <c r="P59" s="433" t="s">
        <v>388</v>
      </c>
      <c r="Q59" s="433">
        <v>1.0</v>
      </c>
      <c r="R59" s="569"/>
      <c r="S59" s="346"/>
    </row>
    <row r="60" ht="15.75" customHeight="1">
      <c r="B60" s="342">
        <v>53.0</v>
      </c>
      <c r="C60" s="433" t="s">
        <v>15301</v>
      </c>
      <c r="D60" s="433" t="s">
        <v>15302</v>
      </c>
      <c r="E60" s="434" t="s">
        <v>15303</v>
      </c>
      <c r="F60" s="433" t="s">
        <v>13058</v>
      </c>
      <c r="G60" s="342" t="s">
        <v>29</v>
      </c>
      <c r="H60" s="433" t="s">
        <v>15304</v>
      </c>
      <c r="I60" s="433"/>
      <c r="J60" s="433" t="s">
        <v>15305</v>
      </c>
      <c r="K60" s="433">
        <f>1221+406+52+12</f>
        <v>1691</v>
      </c>
      <c r="L60" s="433"/>
      <c r="M60" s="433"/>
      <c r="N60" s="433" t="s">
        <v>13587</v>
      </c>
      <c r="O60" s="433">
        <v>1995.0</v>
      </c>
      <c r="P60" s="433" t="s">
        <v>388</v>
      </c>
      <c r="Q60" s="433">
        <v>1.0</v>
      </c>
      <c r="R60" s="569"/>
      <c r="S60" s="346"/>
    </row>
    <row r="61" ht="15.75" customHeight="1">
      <c r="B61" s="342">
        <v>54.0</v>
      </c>
      <c r="C61" s="430" t="s">
        <v>31</v>
      </c>
      <c r="D61" s="430" t="s">
        <v>15306</v>
      </c>
      <c r="E61" s="432" t="s">
        <v>15307</v>
      </c>
      <c r="F61" s="430" t="s">
        <v>13058</v>
      </c>
      <c r="G61" s="557" t="s">
        <v>29</v>
      </c>
      <c r="H61" s="430" t="s">
        <v>30</v>
      </c>
      <c r="I61" s="430"/>
      <c r="J61" s="430" t="s">
        <v>30</v>
      </c>
      <c r="K61" s="430">
        <v>623.0</v>
      </c>
      <c r="L61" s="430"/>
      <c r="M61" s="430"/>
      <c r="N61" s="430" t="s">
        <v>15215</v>
      </c>
      <c r="O61" s="430">
        <v>2003.0</v>
      </c>
      <c r="P61" s="430" t="s">
        <v>388</v>
      </c>
      <c r="Q61" s="430">
        <v>2.0</v>
      </c>
      <c r="R61" s="569"/>
      <c r="S61" s="346"/>
    </row>
    <row r="62" ht="15.75" customHeight="1">
      <c r="B62" s="342"/>
      <c r="C62" s="430" t="s">
        <v>15308</v>
      </c>
      <c r="D62" s="430" t="s">
        <v>15309</v>
      </c>
      <c r="E62" s="432" t="s">
        <v>15310</v>
      </c>
      <c r="F62" s="430" t="s">
        <v>13058</v>
      </c>
      <c r="G62" s="557" t="s">
        <v>29</v>
      </c>
      <c r="H62" s="430" t="s">
        <v>30</v>
      </c>
      <c r="I62" s="430"/>
      <c r="J62" s="430" t="s">
        <v>30</v>
      </c>
      <c r="K62" s="430">
        <f>1922</f>
        <v>1922</v>
      </c>
      <c r="L62" s="430" t="s">
        <v>15311</v>
      </c>
      <c r="M62" s="430"/>
      <c r="N62" s="430" t="s">
        <v>15312</v>
      </c>
      <c r="O62" s="430">
        <v>2014.0</v>
      </c>
      <c r="P62" s="430" t="s">
        <v>388</v>
      </c>
      <c r="Q62" s="430">
        <v>1.0</v>
      </c>
      <c r="R62" s="569"/>
      <c r="S62" s="346"/>
    </row>
    <row r="63" ht="15.75" customHeight="1">
      <c r="A63" s="255"/>
      <c r="B63" s="28"/>
      <c r="C63" s="186"/>
      <c r="D63" s="191" t="s">
        <v>15313</v>
      </c>
      <c r="E63" s="188" t="s">
        <v>15314</v>
      </c>
      <c r="F63" s="186" t="s">
        <v>13058</v>
      </c>
      <c r="G63" s="28" t="s">
        <v>29</v>
      </c>
      <c r="H63" s="186" t="s">
        <v>30</v>
      </c>
      <c r="I63" s="186"/>
      <c r="J63" s="186" t="s">
        <v>30</v>
      </c>
      <c r="K63" s="186"/>
      <c r="L63" s="186" t="s">
        <v>31</v>
      </c>
      <c r="M63" s="186"/>
      <c r="N63" s="186" t="s">
        <v>15315</v>
      </c>
      <c r="O63" s="186">
        <v>2000.0</v>
      </c>
      <c r="P63" s="191">
        <v>30.0</v>
      </c>
      <c r="Q63" s="186">
        <v>3.0</v>
      </c>
      <c r="R63" s="575">
        <v>1.0</v>
      </c>
      <c r="S63" s="338"/>
      <c r="T63" s="255"/>
      <c r="U63" s="255"/>
      <c r="V63" s="255"/>
      <c r="W63" s="255"/>
      <c r="X63" s="255"/>
      <c r="Y63" s="255"/>
      <c r="Z63" s="255"/>
    </row>
    <row r="64" ht="15.75" customHeight="1">
      <c r="B64" s="342"/>
      <c r="C64" s="430" t="s">
        <v>31</v>
      </c>
      <c r="D64" s="430" t="s">
        <v>15316</v>
      </c>
      <c r="E64" s="432" t="s">
        <v>15317</v>
      </c>
      <c r="F64" s="430" t="s">
        <v>13058</v>
      </c>
      <c r="G64" s="557" t="s">
        <v>29</v>
      </c>
      <c r="H64" s="430" t="s">
        <v>30</v>
      </c>
      <c r="I64" s="430"/>
      <c r="J64" s="430" t="s">
        <v>30</v>
      </c>
      <c r="K64" s="430">
        <f>846</f>
        <v>846</v>
      </c>
      <c r="L64" s="430"/>
      <c r="M64" s="430"/>
      <c r="N64" s="430" t="s">
        <v>15318</v>
      </c>
      <c r="O64" s="430">
        <v>1978.0</v>
      </c>
      <c r="P64" s="430" t="s">
        <v>388</v>
      </c>
      <c r="Q64" s="430">
        <v>1.0</v>
      </c>
      <c r="R64" s="569"/>
      <c r="S64" s="346"/>
    </row>
    <row r="65" ht="15.75" customHeight="1">
      <c r="B65" s="342"/>
      <c r="C65" s="430" t="s">
        <v>31</v>
      </c>
      <c r="D65" s="430" t="s">
        <v>15316</v>
      </c>
      <c r="E65" s="432" t="s">
        <v>15319</v>
      </c>
      <c r="F65" s="430" t="s">
        <v>13058</v>
      </c>
      <c r="G65" s="557" t="s">
        <v>29</v>
      </c>
      <c r="H65" s="430" t="s">
        <v>30</v>
      </c>
      <c r="I65" s="430"/>
      <c r="J65" s="430" t="s">
        <v>30</v>
      </c>
      <c r="K65" s="430">
        <v>876.0</v>
      </c>
      <c r="L65" s="430"/>
      <c r="M65" s="430"/>
      <c r="N65" s="430" t="s">
        <v>15318</v>
      </c>
      <c r="O65" s="430">
        <v>1978.0</v>
      </c>
      <c r="P65" s="430" t="s">
        <v>388</v>
      </c>
      <c r="Q65" s="430">
        <v>1.0</v>
      </c>
      <c r="R65" s="569"/>
      <c r="S65" s="346"/>
    </row>
    <row r="66" ht="15.75" customHeight="1">
      <c r="B66" s="342"/>
      <c r="C66" s="430" t="s">
        <v>31</v>
      </c>
      <c r="D66" s="430" t="s">
        <v>15320</v>
      </c>
      <c r="E66" s="432" t="s">
        <v>15321</v>
      </c>
      <c r="F66" s="430" t="s">
        <v>13058</v>
      </c>
      <c r="G66" s="557" t="s">
        <v>29</v>
      </c>
      <c r="H66" s="430" t="s">
        <v>30</v>
      </c>
      <c r="I66" s="430"/>
      <c r="J66" s="430" t="s">
        <v>30</v>
      </c>
      <c r="K66" s="430">
        <f>1710+10+619+4</f>
        <v>2343</v>
      </c>
      <c r="L66" s="430"/>
      <c r="M66" s="430"/>
      <c r="N66" s="430" t="s">
        <v>15215</v>
      </c>
      <c r="O66" s="430">
        <v>1999.0</v>
      </c>
      <c r="P66" s="430" t="s">
        <v>388</v>
      </c>
      <c r="Q66" s="430">
        <v>1.0</v>
      </c>
      <c r="R66" s="569"/>
      <c r="S66" s="346"/>
    </row>
    <row r="67" ht="15.75" customHeight="1">
      <c r="B67" s="342"/>
      <c r="C67" s="430" t="s">
        <v>15322</v>
      </c>
      <c r="D67" s="430" t="s">
        <v>15323</v>
      </c>
      <c r="E67" s="432" t="s">
        <v>15324</v>
      </c>
      <c r="F67" s="430" t="s">
        <v>13058</v>
      </c>
      <c r="G67" s="557" t="s">
        <v>29</v>
      </c>
      <c r="H67" s="430" t="s">
        <v>30</v>
      </c>
      <c r="I67" s="430"/>
      <c r="J67" s="430" t="s">
        <v>14221</v>
      </c>
      <c r="K67" s="430">
        <f t="shared" ref="K67:K68" si="1">1783+501</f>
        <v>2284</v>
      </c>
      <c r="L67" s="430"/>
      <c r="M67" s="430"/>
      <c r="N67" s="430" t="s">
        <v>15325</v>
      </c>
      <c r="O67" s="430">
        <v>1988.0</v>
      </c>
      <c r="P67" s="430" t="s">
        <v>388</v>
      </c>
      <c r="Q67" s="430">
        <v>3.0</v>
      </c>
      <c r="R67" s="569"/>
      <c r="S67" s="346"/>
    </row>
    <row r="68" ht="15.75" customHeight="1">
      <c r="B68" s="342"/>
      <c r="C68" s="430" t="s">
        <v>15029</v>
      </c>
      <c r="D68" s="430" t="s">
        <v>15326</v>
      </c>
      <c r="E68" s="432" t="s">
        <v>15324</v>
      </c>
      <c r="F68" s="430" t="s">
        <v>13058</v>
      </c>
      <c r="G68" s="557" t="s">
        <v>29</v>
      </c>
      <c r="H68" s="430" t="s">
        <v>30</v>
      </c>
      <c r="I68" s="430"/>
      <c r="J68" s="430" t="s">
        <v>14221</v>
      </c>
      <c r="K68" s="430">
        <f t="shared" si="1"/>
        <v>2284</v>
      </c>
      <c r="L68" s="430"/>
      <c r="M68" s="430"/>
      <c r="N68" s="430" t="s">
        <v>15325</v>
      </c>
      <c r="O68" s="430">
        <v>1989.0</v>
      </c>
      <c r="P68" s="430" t="s">
        <v>388</v>
      </c>
      <c r="Q68" s="430">
        <v>1.0</v>
      </c>
      <c r="R68" s="569"/>
      <c r="S68" s="346"/>
    </row>
    <row r="69" ht="15.75" customHeight="1">
      <c r="B69" s="342"/>
      <c r="C69" s="430" t="s">
        <v>31</v>
      </c>
      <c r="D69" s="430" t="s">
        <v>15327</v>
      </c>
      <c r="E69" s="432" t="s">
        <v>15019</v>
      </c>
      <c r="F69" s="430" t="s">
        <v>13058</v>
      </c>
      <c r="G69" s="557" t="s">
        <v>29</v>
      </c>
      <c r="H69" s="430" t="s">
        <v>30</v>
      </c>
      <c r="I69" s="430"/>
      <c r="J69" s="430" t="s">
        <v>14221</v>
      </c>
      <c r="K69" s="430">
        <v>1917.0</v>
      </c>
      <c r="L69" s="430"/>
      <c r="M69" s="430"/>
      <c r="N69" s="430" t="s">
        <v>15328</v>
      </c>
      <c r="O69" s="430">
        <v>1949.0</v>
      </c>
      <c r="P69" s="430" t="s">
        <v>388</v>
      </c>
      <c r="Q69" s="430">
        <v>2.0</v>
      </c>
      <c r="R69" s="569"/>
      <c r="S69" s="346"/>
    </row>
    <row r="70" ht="15.75" customHeight="1">
      <c r="B70" s="342"/>
      <c r="C70" s="433"/>
      <c r="D70" s="433"/>
      <c r="E70" s="434"/>
      <c r="F70" s="433"/>
      <c r="G70" s="342"/>
      <c r="H70" s="433"/>
      <c r="I70" s="433"/>
      <c r="J70" s="433"/>
      <c r="K70" s="433"/>
      <c r="L70" s="433"/>
      <c r="M70" s="433"/>
      <c r="N70" s="433"/>
      <c r="O70" s="433"/>
      <c r="P70" s="433"/>
      <c r="Q70" s="433"/>
      <c r="R70" s="569"/>
      <c r="S70" s="346"/>
    </row>
    <row r="71" ht="15.75" customHeight="1">
      <c r="B71" s="342"/>
      <c r="C71" s="430" t="s">
        <v>15329</v>
      </c>
      <c r="D71" s="430" t="s">
        <v>15330</v>
      </c>
      <c r="E71" s="584" t="s">
        <v>0</v>
      </c>
      <c r="F71" s="430" t="s">
        <v>13058</v>
      </c>
      <c r="G71" s="557" t="s">
        <v>29</v>
      </c>
      <c r="H71" s="430" t="s">
        <v>15331</v>
      </c>
      <c r="I71" s="430"/>
      <c r="J71" s="430" t="s">
        <v>15332</v>
      </c>
      <c r="K71" s="430">
        <f>739</f>
        <v>739</v>
      </c>
      <c r="L71" s="430"/>
      <c r="M71" s="430"/>
      <c r="N71" s="430" t="s">
        <v>15333</v>
      </c>
      <c r="O71" s="430">
        <v>2016.0</v>
      </c>
      <c r="P71" s="430" t="s">
        <v>388</v>
      </c>
      <c r="Q71" s="430">
        <v>1.0</v>
      </c>
      <c r="R71" s="569"/>
      <c r="S71" s="346"/>
    </row>
    <row r="72" ht="15.75" customHeight="1">
      <c r="B72" s="303"/>
      <c r="C72" s="430" t="s">
        <v>15334</v>
      </c>
      <c r="D72" s="430" t="s">
        <v>15335</v>
      </c>
      <c r="E72" s="430" t="s">
        <v>15336</v>
      </c>
      <c r="F72" s="430" t="s">
        <v>13058</v>
      </c>
      <c r="G72" s="557" t="s">
        <v>29</v>
      </c>
      <c r="H72" s="430" t="s">
        <v>37</v>
      </c>
      <c r="I72" s="430"/>
      <c r="J72" s="430" t="s">
        <v>10352</v>
      </c>
      <c r="K72" s="430">
        <f>578+22</f>
        <v>600</v>
      </c>
      <c r="L72" s="430"/>
      <c r="M72" s="430"/>
      <c r="N72" s="430" t="s">
        <v>15337</v>
      </c>
      <c r="O72" s="430">
        <v>2014.0</v>
      </c>
      <c r="P72" s="430" t="s">
        <v>11041</v>
      </c>
      <c r="Q72" s="430">
        <v>1.0</v>
      </c>
      <c r="R72" s="569"/>
      <c r="S72" s="346"/>
    </row>
    <row r="73" ht="15.75" customHeight="1">
      <c r="B73" s="303"/>
      <c r="C73" s="430" t="s">
        <v>31</v>
      </c>
      <c r="D73" s="584" t="s">
        <v>15338</v>
      </c>
      <c r="E73" s="430" t="s">
        <v>15339</v>
      </c>
      <c r="F73" s="430" t="s">
        <v>13058</v>
      </c>
      <c r="G73" s="557" t="s">
        <v>29</v>
      </c>
      <c r="H73" s="430" t="s">
        <v>38</v>
      </c>
      <c r="I73" s="430"/>
      <c r="J73" s="430" t="s">
        <v>38</v>
      </c>
      <c r="K73" s="430">
        <f>447+14</f>
        <v>461</v>
      </c>
      <c r="L73" s="430"/>
      <c r="M73" s="430"/>
      <c r="N73" s="430" t="s">
        <v>15340</v>
      </c>
      <c r="O73" s="430">
        <v>1970.0</v>
      </c>
      <c r="P73" s="430" t="s">
        <v>388</v>
      </c>
      <c r="Q73" s="430">
        <v>1.0</v>
      </c>
      <c r="R73" s="569"/>
      <c r="S73" s="346"/>
    </row>
    <row r="74" ht="15.75" customHeight="1">
      <c r="B74" s="303"/>
      <c r="C74" s="430" t="s">
        <v>31</v>
      </c>
      <c r="D74" s="430" t="s">
        <v>15338</v>
      </c>
      <c r="E74" s="430" t="s">
        <v>15341</v>
      </c>
      <c r="F74" s="430" t="s">
        <v>144</v>
      </c>
      <c r="G74" s="557" t="s">
        <v>29</v>
      </c>
      <c r="H74" s="430" t="s">
        <v>37</v>
      </c>
      <c r="I74" s="430"/>
      <c r="J74" s="430" t="s">
        <v>38</v>
      </c>
      <c r="K74" s="430">
        <v>127.0</v>
      </c>
      <c r="L74" s="430"/>
      <c r="M74" s="430" t="s">
        <v>2470</v>
      </c>
      <c r="N74" s="430" t="s">
        <v>2471</v>
      </c>
      <c r="O74" s="430">
        <v>1989.0</v>
      </c>
      <c r="P74" s="430" t="s">
        <v>388</v>
      </c>
      <c r="Q74" s="430">
        <v>1.0</v>
      </c>
      <c r="R74" s="569"/>
      <c r="S74" s="346"/>
    </row>
    <row r="75" ht="15.75" customHeight="1">
      <c r="B75" s="303"/>
      <c r="C75" s="430" t="s">
        <v>9101</v>
      </c>
      <c r="D75" s="430" t="s">
        <v>15342</v>
      </c>
      <c r="E75" s="430" t="s">
        <v>15343</v>
      </c>
      <c r="F75" s="430" t="s">
        <v>144</v>
      </c>
      <c r="G75" s="557" t="s">
        <v>29</v>
      </c>
      <c r="H75" s="430" t="s">
        <v>37</v>
      </c>
      <c r="I75" s="430"/>
      <c r="J75" s="430" t="s">
        <v>38</v>
      </c>
      <c r="K75" s="430">
        <f>256</f>
        <v>256</v>
      </c>
      <c r="L75" s="430"/>
      <c r="M75" s="430" t="s">
        <v>15344</v>
      </c>
      <c r="N75" s="430" t="s">
        <v>2567</v>
      </c>
      <c r="O75" s="430">
        <v>1973.0</v>
      </c>
      <c r="P75" s="430" t="s">
        <v>388</v>
      </c>
      <c r="Q75" s="430">
        <v>1.0</v>
      </c>
      <c r="R75" s="569"/>
      <c r="S75" s="346"/>
    </row>
    <row r="76" ht="15.75" customHeight="1">
      <c r="B76" s="303"/>
      <c r="C76" s="430" t="s">
        <v>31</v>
      </c>
      <c r="D76" s="430" t="s">
        <v>15345</v>
      </c>
      <c r="E76" s="430" t="s">
        <v>15346</v>
      </c>
      <c r="F76" s="430" t="s">
        <v>144</v>
      </c>
      <c r="G76" s="557" t="s">
        <v>29</v>
      </c>
      <c r="H76" s="430" t="s">
        <v>37</v>
      </c>
      <c r="I76" s="430"/>
      <c r="J76" s="430" t="s">
        <v>38</v>
      </c>
      <c r="K76" s="430">
        <f>192</f>
        <v>192</v>
      </c>
      <c r="L76" s="430"/>
      <c r="M76" s="430" t="s">
        <v>8555</v>
      </c>
      <c r="N76" s="430" t="s">
        <v>524</v>
      </c>
      <c r="O76" s="430">
        <v>1953.0</v>
      </c>
      <c r="P76" s="430" t="s">
        <v>388</v>
      </c>
      <c r="Q76" s="430">
        <v>1.0</v>
      </c>
      <c r="R76" s="569"/>
      <c r="S76" s="346"/>
    </row>
    <row r="77" ht="15.75" customHeight="1">
      <c r="B77" s="28"/>
      <c r="C77" s="186" t="s">
        <v>15347</v>
      </c>
      <c r="D77" s="186" t="s">
        <v>15348</v>
      </c>
      <c r="E77" s="186" t="s">
        <v>15349</v>
      </c>
      <c r="F77" s="186" t="s">
        <v>13058</v>
      </c>
      <c r="G77" s="28" t="s">
        <v>29</v>
      </c>
      <c r="H77" s="186" t="s">
        <v>30</v>
      </c>
      <c r="I77" s="186"/>
      <c r="J77" s="186" t="s">
        <v>30</v>
      </c>
      <c r="K77" s="186">
        <f>670+16</f>
        <v>686</v>
      </c>
      <c r="L77" s="186"/>
      <c r="M77" s="186"/>
      <c r="N77" s="186" t="s">
        <v>15350</v>
      </c>
      <c r="O77" s="186">
        <v>2016.0</v>
      </c>
      <c r="P77" s="191">
        <v>35.0</v>
      </c>
      <c r="Q77" s="186">
        <v>2.0</v>
      </c>
      <c r="R77" s="575">
        <v>2.0</v>
      </c>
      <c r="S77" s="346"/>
    </row>
    <row r="78" ht="15.75" customHeight="1">
      <c r="A78" s="585"/>
      <c r="B78" s="63"/>
      <c r="C78" s="586"/>
      <c r="D78" s="586" t="s">
        <v>15351</v>
      </c>
      <c r="E78" s="586" t="s">
        <v>15352</v>
      </c>
      <c r="F78" s="586" t="s">
        <v>13058</v>
      </c>
      <c r="G78" s="63" t="s">
        <v>29</v>
      </c>
      <c r="H78" s="586" t="s">
        <v>37</v>
      </c>
      <c r="I78" s="586"/>
      <c r="J78" s="586" t="s">
        <v>38</v>
      </c>
      <c r="K78" s="586">
        <v>584.0</v>
      </c>
      <c r="L78" s="586"/>
      <c r="M78" s="586" t="s">
        <v>15353</v>
      </c>
      <c r="N78" s="586"/>
      <c r="O78" s="586">
        <v>1983.0</v>
      </c>
      <c r="P78" s="586" t="s">
        <v>11041</v>
      </c>
      <c r="Q78" s="586">
        <v>1.0</v>
      </c>
      <c r="R78" s="587">
        <v>1.0</v>
      </c>
      <c r="S78" s="315"/>
      <c r="T78" s="585"/>
      <c r="U78" s="585"/>
      <c r="V78" s="585"/>
      <c r="W78" s="585"/>
      <c r="X78" s="585"/>
      <c r="Y78" s="585"/>
      <c r="Z78" s="585"/>
    </row>
    <row r="79" ht="15.75" customHeight="1">
      <c r="A79" s="255"/>
      <c r="B79" s="28"/>
      <c r="C79" s="191" t="s">
        <v>15354</v>
      </c>
      <c r="D79" s="191" t="s">
        <v>15355</v>
      </c>
      <c r="E79" s="191" t="s">
        <v>15356</v>
      </c>
      <c r="F79" s="186" t="s">
        <v>13058</v>
      </c>
      <c r="G79" s="28" t="s">
        <v>29</v>
      </c>
      <c r="H79" s="191" t="s">
        <v>30</v>
      </c>
      <c r="I79" s="186"/>
      <c r="J79" s="186" t="s">
        <v>38</v>
      </c>
      <c r="K79" s="186">
        <f>859+1130</f>
        <v>1989</v>
      </c>
      <c r="L79" s="186"/>
      <c r="M79" s="186"/>
      <c r="N79" s="191" t="s">
        <v>15357</v>
      </c>
      <c r="O79" s="191">
        <v>2011.0</v>
      </c>
      <c r="P79" s="186"/>
      <c r="Q79" s="191">
        <v>2.0</v>
      </c>
      <c r="R79" s="575">
        <v>2.0</v>
      </c>
      <c r="S79" s="338"/>
      <c r="T79" s="255"/>
      <c r="U79" s="255"/>
      <c r="V79" s="255"/>
      <c r="W79" s="255"/>
      <c r="X79" s="255"/>
      <c r="Y79" s="255"/>
      <c r="Z79" s="255"/>
    </row>
    <row r="80" ht="15.75" customHeight="1">
      <c r="A80" s="255"/>
      <c r="B80" s="28"/>
      <c r="C80" s="191" t="s">
        <v>15021</v>
      </c>
      <c r="D80" s="191" t="s">
        <v>15358</v>
      </c>
      <c r="E80" s="191" t="s">
        <v>15022</v>
      </c>
      <c r="F80" s="186" t="s">
        <v>13058</v>
      </c>
      <c r="G80" s="31" t="s">
        <v>29</v>
      </c>
      <c r="H80" s="191" t="s">
        <v>30</v>
      </c>
      <c r="I80" s="186"/>
      <c r="J80" s="191" t="s">
        <v>14221</v>
      </c>
      <c r="K80" s="186">
        <f>1784+502</f>
        <v>2286</v>
      </c>
      <c r="L80" s="186"/>
      <c r="M80" s="191" t="s">
        <v>15359</v>
      </c>
      <c r="N80" s="191" t="s">
        <v>161</v>
      </c>
      <c r="O80" s="191">
        <v>1988.0</v>
      </c>
      <c r="P80" s="191">
        <v>35.0</v>
      </c>
      <c r="Q80" s="191">
        <v>1.0</v>
      </c>
      <c r="R80" s="575">
        <v>1.0</v>
      </c>
      <c r="S80" s="338"/>
      <c r="T80" s="255"/>
      <c r="U80" s="255"/>
      <c r="V80" s="255"/>
      <c r="W80" s="255"/>
      <c r="X80" s="255"/>
      <c r="Y80" s="255"/>
      <c r="Z80" s="255"/>
    </row>
    <row r="81" ht="15.75" customHeight="1">
      <c r="B81" s="303"/>
      <c r="C81" s="322"/>
      <c r="D81" s="322"/>
      <c r="E81" s="322"/>
      <c r="F81" s="322"/>
      <c r="G81" s="303"/>
      <c r="H81" s="322"/>
      <c r="I81" s="322"/>
      <c r="J81" s="322"/>
      <c r="K81" s="322"/>
      <c r="L81" s="322"/>
      <c r="M81" s="322"/>
      <c r="N81" s="322"/>
      <c r="O81" s="322"/>
      <c r="P81" s="322"/>
      <c r="Q81" s="322"/>
      <c r="R81" s="569"/>
      <c r="S81" s="346"/>
    </row>
    <row r="82" ht="15.75" customHeight="1">
      <c r="B82" s="303"/>
      <c r="C82" s="322"/>
      <c r="D82" s="322"/>
      <c r="E82" s="420"/>
      <c r="F82" s="322"/>
      <c r="G82" s="303"/>
      <c r="H82" s="322"/>
      <c r="I82" s="322"/>
      <c r="J82" s="322"/>
      <c r="K82" s="322"/>
      <c r="L82" s="322"/>
      <c r="M82" s="322"/>
      <c r="N82" s="322"/>
      <c r="O82" s="322"/>
      <c r="P82" s="322"/>
      <c r="Q82" s="322"/>
      <c r="R82" s="569"/>
      <c r="S82" s="346"/>
    </row>
    <row r="83" ht="15.75" customHeight="1">
      <c r="B83" s="303"/>
      <c r="C83" s="322"/>
      <c r="D83" s="322"/>
      <c r="E83" s="420"/>
      <c r="F83" s="322"/>
      <c r="G83" s="303"/>
      <c r="H83" s="322"/>
      <c r="I83" s="322"/>
      <c r="J83" s="322"/>
      <c r="K83" s="322"/>
      <c r="L83" s="322"/>
      <c r="M83" s="322"/>
      <c r="N83" s="322"/>
      <c r="O83" s="322"/>
      <c r="P83" s="322"/>
      <c r="Q83" s="322"/>
      <c r="R83" s="569"/>
      <c r="S83" s="346"/>
    </row>
    <row r="84" ht="15.75" customHeight="1">
      <c r="B84" s="303"/>
      <c r="C84" s="322"/>
      <c r="D84" s="322"/>
      <c r="E84" s="420"/>
      <c r="F84" s="322"/>
      <c r="G84" s="303"/>
      <c r="H84" s="322"/>
      <c r="I84" s="322"/>
      <c r="J84" s="322"/>
      <c r="K84" s="322"/>
      <c r="L84" s="322"/>
      <c r="M84" s="322"/>
      <c r="N84" s="322"/>
      <c r="O84" s="322"/>
      <c r="P84" s="322"/>
      <c r="Q84" s="322"/>
      <c r="R84" s="569"/>
      <c r="S84" s="346"/>
    </row>
    <row r="85" ht="15.75" customHeight="1">
      <c r="B85" s="303"/>
      <c r="C85" s="322"/>
      <c r="D85" s="322"/>
      <c r="E85" s="420"/>
      <c r="F85" s="322"/>
      <c r="G85" s="303"/>
      <c r="H85" s="322"/>
      <c r="I85" s="322"/>
      <c r="J85" s="322"/>
      <c r="K85" s="322"/>
      <c r="L85" s="322"/>
      <c r="M85" s="322"/>
      <c r="N85" s="322"/>
      <c r="O85" s="322"/>
      <c r="P85" s="322"/>
      <c r="Q85" s="322"/>
      <c r="R85" s="569"/>
      <c r="S85" s="346"/>
    </row>
    <row r="86" ht="15.75" customHeight="1">
      <c r="B86" s="303"/>
      <c r="C86" s="322"/>
      <c r="D86" s="322"/>
      <c r="E86" s="420"/>
      <c r="F86" s="322"/>
      <c r="G86" s="303"/>
      <c r="H86" s="322"/>
      <c r="I86" s="322"/>
      <c r="J86" s="322"/>
      <c r="K86" s="322"/>
      <c r="L86" s="322"/>
      <c r="M86" s="322"/>
      <c r="N86" s="322"/>
      <c r="O86" s="322"/>
      <c r="P86" s="322"/>
      <c r="Q86" s="322"/>
      <c r="R86" s="569"/>
      <c r="S86" s="346"/>
    </row>
    <row r="87" ht="15.75" customHeight="1">
      <c r="B87" s="303"/>
      <c r="C87" s="322"/>
      <c r="D87" s="322"/>
      <c r="E87" s="420"/>
      <c r="F87" s="322"/>
      <c r="G87" s="303"/>
      <c r="H87" s="322"/>
      <c r="I87" s="322"/>
      <c r="J87" s="322"/>
      <c r="K87" s="322"/>
      <c r="L87" s="322"/>
      <c r="M87" s="322"/>
      <c r="N87" s="322"/>
      <c r="O87" s="322"/>
      <c r="P87" s="322"/>
      <c r="Q87" s="322"/>
      <c r="R87" s="569"/>
      <c r="S87" s="346"/>
    </row>
    <row r="88" ht="15.75" customHeight="1">
      <c r="B88" s="303"/>
      <c r="C88" s="322"/>
      <c r="D88" s="322"/>
      <c r="E88" s="420"/>
      <c r="F88" s="322"/>
      <c r="G88" s="303"/>
      <c r="H88" s="322"/>
      <c r="I88" s="322"/>
      <c r="J88" s="322"/>
      <c r="K88" s="322"/>
      <c r="L88" s="322"/>
      <c r="M88" s="322"/>
      <c r="N88" s="322"/>
      <c r="O88" s="322"/>
      <c r="P88" s="322"/>
      <c r="Q88" s="322"/>
      <c r="R88" s="569"/>
      <c r="S88" s="346"/>
    </row>
    <row r="89" ht="15.75" customHeight="1">
      <c r="B89" s="303"/>
      <c r="C89" s="322"/>
      <c r="D89" s="322"/>
      <c r="E89" s="420"/>
      <c r="F89" s="322"/>
      <c r="G89" s="303"/>
      <c r="H89" s="322"/>
      <c r="I89" s="322"/>
      <c r="J89" s="322"/>
      <c r="K89" s="322"/>
      <c r="L89" s="322"/>
      <c r="M89" s="322"/>
      <c r="N89" s="322"/>
      <c r="O89" s="322"/>
      <c r="P89" s="322"/>
      <c r="Q89" s="322"/>
      <c r="R89" s="569"/>
      <c r="S89" s="346"/>
    </row>
    <row r="90" ht="15.75" customHeight="1">
      <c r="B90" s="303"/>
      <c r="C90" s="322"/>
      <c r="D90" s="322"/>
      <c r="E90" s="420"/>
      <c r="F90" s="322"/>
      <c r="G90" s="303"/>
      <c r="H90" s="322"/>
      <c r="I90" s="322"/>
      <c r="J90" s="322"/>
      <c r="K90" s="322"/>
      <c r="L90" s="322"/>
      <c r="M90" s="322"/>
      <c r="N90" s="322"/>
      <c r="O90" s="322"/>
      <c r="P90" s="322"/>
      <c r="Q90" s="322">
        <f>SUM(Q6:Q80)</f>
        <v>91</v>
      </c>
      <c r="R90" s="588">
        <f>SUM(R6:R89)</f>
        <v>12</v>
      </c>
      <c r="S90" s="346"/>
    </row>
    <row r="91" ht="15.75" customHeight="1">
      <c r="B91" s="589"/>
      <c r="C91" s="6"/>
      <c r="D91" s="6"/>
      <c r="E91" s="6"/>
      <c r="F91" s="6"/>
      <c r="G91" s="6"/>
      <c r="H91" s="6"/>
      <c r="I91" s="6"/>
      <c r="J91" s="6"/>
      <c r="K91" s="6"/>
      <c r="L91" s="6"/>
      <c r="M91" s="6"/>
      <c r="N91" s="6"/>
      <c r="O91" s="6"/>
      <c r="P91" s="6"/>
      <c r="Q91" s="7"/>
      <c r="R91" s="590"/>
      <c r="S91" s="346"/>
    </row>
    <row r="92" ht="15.75" customHeight="1">
      <c r="B92" s="457" t="s">
        <v>15360</v>
      </c>
      <c r="C92" s="6"/>
      <c r="D92" s="6"/>
      <c r="E92" s="6"/>
      <c r="F92" s="6"/>
      <c r="G92" s="6"/>
      <c r="H92" s="6"/>
      <c r="I92" s="6"/>
      <c r="J92" s="6"/>
      <c r="K92" s="6"/>
      <c r="L92" s="6"/>
      <c r="M92" s="6"/>
      <c r="N92" s="6"/>
      <c r="O92" s="6"/>
      <c r="P92" s="6"/>
      <c r="Q92" s="7"/>
      <c r="R92" s="590"/>
      <c r="S92" s="346"/>
    </row>
    <row r="93" ht="15.75" customHeight="1">
      <c r="B93" s="327" t="s">
        <v>14150</v>
      </c>
      <c r="C93" s="457" t="s">
        <v>14151</v>
      </c>
      <c r="D93" s="6"/>
      <c r="E93" s="7"/>
      <c r="F93" s="458"/>
      <c r="G93" s="459"/>
      <c r="H93" s="7"/>
      <c r="I93" s="459"/>
      <c r="J93" s="6"/>
      <c r="K93" s="6"/>
      <c r="L93" s="7"/>
      <c r="M93" s="460"/>
      <c r="N93" s="461" t="s">
        <v>15140</v>
      </c>
      <c r="O93" s="461"/>
      <c r="P93" s="461"/>
      <c r="Q93" s="461"/>
      <c r="R93" s="590"/>
      <c r="S93" s="346"/>
    </row>
    <row r="94" ht="15.75" customHeight="1">
      <c r="B94" s="321"/>
      <c r="C94" s="399"/>
      <c r="D94" s="458"/>
      <c r="E94" s="462"/>
      <c r="F94" s="458"/>
      <c r="G94" s="463"/>
      <c r="H94" s="7"/>
      <c r="I94" s="321"/>
      <c r="J94" s="321"/>
      <c r="K94" s="463"/>
      <c r="L94" s="7"/>
      <c r="M94" s="321"/>
      <c r="N94" s="321"/>
      <c r="O94" s="321"/>
      <c r="P94" s="321"/>
      <c r="Q94" s="321"/>
      <c r="R94" s="590"/>
      <c r="S94" s="346"/>
    </row>
    <row r="95" ht="15.75" customHeight="1">
      <c r="B95" s="463"/>
      <c r="C95" s="7"/>
      <c r="D95" s="458"/>
      <c r="E95" s="463"/>
      <c r="F95" s="7"/>
      <c r="G95" s="321"/>
      <c r="H95" s="321"/>
      <c r="I95" s="321"/>
      <c r="J95" s="321"/>
      <c r="K95" s="321"/>
      <c r="L95" s="321"/>
      <c r="M95" s="321"/>
      <c r="N95" s="321"/>
      <c r="O95" s="321"/>
      <c r="P95" s="321"/>
      <c r="Q95" s="321"/>
      <c r="R95" s="346"/>
      <c r="S95" s="346"/>
    </row>
    <row r="96" ht="15.75" customHeight="1">
      <c r="B96" s="321"/>
      <c r="C96" s="457" t="s">
        <v>14153</v>
      </c>
      <c r="D96" s="6"/>
      <c r="E96" s="7"/>
      <c r="F96" s="458"/>
      <c r="G96" s="457"/>
      <c r="H96" s="7"/>
      <c r="I96" s="457"/>
      <c r="J96" s="6"/>
      <c r="K96" s="6"/>
      <c r="L96" s="7"/>
      <c r="M96" s="457" t="s">
        <v>14154</v>
      </c>
      <c r="N96" s="6"/>
      <c r="O96" s="6"/>
      <c r="P96" s="6"/>
      <c r="Q96" s="7"/>
      <c r="R96" s="346"/>
      <c r="S96" s="346"/>
    </row>
    <row r="97" ht="15.75" customHeight="1">
      <c r="B97" s="321"/>
      <c r="C97" s="457" t="s">
        <v>14155</v>
      </c>
      <c r="D97" s="6"/>
      <c r="E97" s="7"/>
      <c r="F97" s="458"/>
      <c r="G97" s="457"/>
      <c r="H97" s="7"/>
      <c r="I97" s="327"/>
      <c r="J97" s="457"/>
      <c r="K97" s="6"/>
      <c r="L97" s="7"/>
      <c r="M97" s="457" t="s">
        <v>14156</v>
      </c>
      <c r="N97" s="6"/>
      <c r="O97" s="6"/>
      <c r="P97" s="6"/>
      <c r="Q97" s="7"/>
      <c r="R97" s="346"/>
      <c r="S97" s="346"/>
    </row>
    <row r="98" ht="15.75" customHeight="1">
      <c r="B98" s="591"/>
      <c r="C98" s="466"/>
      <c r="D98" s="466"/>
      <c r="E98" s="592"/>
      <c r="F98" s="466"/>
      <c r="G98" s="576"/>
      <c r="H98" s="576"/>
      <c r="I98" s="576"/>
      <c r="J98" s="466"/>
      <c r="K98" s="576"/>
      <c r="L98" s="466"/>
      <c r="M98" s="576"/>
      <c r="N98" s="466"/>
      <c r="O98" s="576"/>
      <c r="P98" s="576"/>
      <c r="Q98" s="576"/>
      <c r="R98" s="346"/>
      <c r="S98" s="346"/>
    </row>
    <row r="99" ht="15.75" customHeight="1">
      <c r="B99" s="591"/>
      <c r="C99" s="466"/>
      <c r="D99" s="466"/>
      <c r="E99" s="592"/>
      <c r="F99" s="466"/>
      <c r="G99" s="576"/>
      <c r="H99" s="576"/>
      <c r="I99" s="576"/>
      <c r="J99" s="466"/>
      <c r="K99" s="576"/>
      <c r="L99" s="466"/>
      <c r="M99" s="576"/>
      <c r="N99" s="466"/>
      <c r="O99" s="576"/>
      <c r="P99" s="576"/>
      <c r="Q99" s="576"/>
      <c r="R99" s="346"/>
      <c r="S99" s="346"/>
    </row>
    <row r="100" ht="15.75" customHeight="1">
      <c r="B100" s="591"/>
      <c r="C100" s="466"/>
      <c r="D100" s="466"/>
      <c r="E100" s="592"/>
      <c r="F100" s="466"/>
      <c r="G100" s="576"/>
      <c r="H100" s="576"/>
      <c r="I100" s="576"/>
      <c r="J100" s="466"/>
      <c r="K100" s="576"/>
      <c r="L100" s="466"/>
      <c r="M100" s="576"/>
      <c r="N100" s="466"/>
      <c r="O100" s="576"/>
      <c r="P100" s="576"/>
      <c r="Q100" s="576"/>
      <c r="R100" s="346"/>
      <c r="S100" s="346"/>
    </row>
    <row r="101" ht="15.75" customHeight="1">
      <c r="B101" s="591"/>
      <c r="C101" s="466"/>
      <c r="D101" s="466"/>
      <c r="E101" s="592"/>
      <c r="F101" s="466"/>
      <c r="G101" s="576"/>
      <c r="H101" s="576"/>
      <c r="I101" s="576"/>
      <c r="J101" s="466"/>
      <c r="K101" s="576"/>
      <c r="L101" s="466"/>
      <c r="M101" s="576"/>
      <c r="N101" s="466"/>
      <c r="O101" s="576"/>
      <c r="P101" s="576"/>
      <c r="Q101" s="576"/>
      <c r="R101" s="346"/>
      <c r="S101" s="346"/>
    </row>
    <row r="102" ht="15.75" customHeight="1">
      <c r="B102" s="591"/>
      <c r="C102" s="466"/>
      <c r="D102" s="466"/>
      <c r="E102" s="592"/>
      <c r="F102" s="466"/>
      <c r="G102" s="576"/>
      <c r="H102" s="576"/>
      <c r="I102" s="576"/>
      <c r="J102" s="466"/>
      <c r="K102" s="576"/>
      <c r="L102" s="466"/>
      <c r="M102" s="576"/>
      <c r="N102" s="466"/>
      <c r="O102" s="576"/>
      <c r="P102" s="576"/>
      <c r="Q102" s="576"/>
      <c r="R102" s="346"/>
      <c r="S102" s="346"/>
    </row>
    <row r="103" ht="15.75" customHeight="1">
      <c r="B103" s="591"/>
      <c r="C103" s="466"/>
      <c r="D103" s="466"/>
      <c r="E103" s="592"/>
      <c r="F103" s="466"/>
      <c r="G103" s="576"/>
      <c r="H103" s="576"/>
      <c r="I103" s="576"/>
      <c r="J103" s="466"/>
      <c r="K103" s="576"/>
      <c r="L103" s="466"/>
      <c r="M103" s="576"/>
      <c r="N103" s="466"/>
      <c r="O103" s="576"/>
      <c r="P103" s="576"/>
      <c r="Q103" s="576"/>
      <c r="R103" s="346"/>
      <c r="S103" s="346"/>
    </row>
    <row r="104" ht="15.75" customHeight="1">
      <c r="B104" s="591"/>
      <c r="C104" s="466"/>
      <c r="D104" s="466"/>
      <c r="E104" s="592"/>
      <c r="F104" s="466"/>
      <c r="G104" s="576"/>
      <c r="H104" s="576"/>
      <c r="I104" s="576"/>
      <c r="J104" s="466"/>
      <c r="K104" s="576"/>
      <c r="L104" s="466"/>
      <c r="M104" s="576"/>
      <c r="N104" s="466"/>
      <c r="O104" s="576"/>
      <c r="P104" s="576"/>
      <c r="Q104" s="576"/>
      <c r="R104" s="346"/>
      <c r="S104" s="346"/>
    </row>
    <row r="105" ht="15.75" customHeight="1">
      <c r="B105" s="591"/>
      <c r="C105" s="466"/>
      <c r="D105" s="466"/>
      <c r="E105" s="592"/>
      <c r="F105" s="466"/>
      <c r="G105" s="576"/>
      <c r="H105" s="576"/>
      <c r="I105" s="576"/>
      <c r="J105" s="466"/>
      <c r="K105" s="576"/>
      <c r="L105" s="466"/>
      <c r="M105" s="576"/>
      <c r="N105" s="466"/>
      <c r="O105" s="576"/>
      <c r="P105" s="576"/>
      <c r="Q105" s="576"/>
      <c r="R105" s="346"/>
      <c r="S105" s="346"/>
    </row>
    <row r="106" ht="15.75" customHeight="1">
      <c r="B106" s="591"/>
      <c r="C106" s="466"/>
      <c r="D106" s="466"/>
      <c r="E106" s="592"/>
      <c r="F106" s="466"/>
      <c r="G106" s="576"/>
      <c r="H106" s="576"/>
      <c r="I106" s="576"/>
      <c r="J106" s="466"/>
      <c r="K106" s="576"/>
      <c r="L106" s="466"/>
      <c r="M106" s="576"/>
      <c r="N106" s="466"/>
      <c r="O106" s="576"/>
      <c r="P106" s="576"/>
      <c r="Q106" s="576"/>
      <c r="R106" s="346"/>
      <c r="S106" s="346"/>
    </row>
    <row r="107" ht="15.75" customHeight="1">
      <c r="B107" s="591"/>
      <c r="C107" s="466"/>
      <c r="D107" s="466"/>
      <c r="E107" s="592"/>
      <c r="F107" s="466"/>
      <c r="G107" s="576"/>
      <c r="H107" s="576"/>
      <c r="I107" s="576"/>
      <c r="J107" s="466"/>
      <c r="K107" s="576"/>
      <c r="L107" s="466"/>
      <c r="M107" s="576"/>
      <c r="N107" s="466"/>
      <c r="O107" s="576"/>
      <c r="P107" s="576"/>
      <c r="Q107" s="576"/>
      <c r="R107" s="346"/>
      <c r="S107" s="346"/>
    </row>
    <row r="108" ht="15.75" customHeight="1">
      <c r="B108" s="591"/>
      <c r="C108" s="466"/>
      <c r="D108" s="466"/>
      <c r="E108" s="592"/>
      <c r="F108" s="466"/>
      <c r="G108" s="576"/>
      <c r="H108" s="576"/>
      <c r="I108" s="576"/>
      <c r="J108" s="466"/>
      <c r="K108" s="576"/>
      <c r="L108" s="466"/>
      <c r="M108" s="576"/>
      <c r="N108" s="466"/>
      <c r="O108" s="576"/>
      <c r="P108" s="576"/>
      <c r="Q108" s="576"/>
      <c r="R108" s="346"/>
      <c r="S108" s="346"/>
    </row>
    <row r="109" ht="15.75" customHeight="1">
      <c r="B109" s="591"/>
      <c r="C109" s="466"/>
      <c r="D109" s="466"/>
      <c r="E109" s="592"/>
      <c r="F109" s="466"/>
      <c r="G109" s="576"/>
      <c r="H109" s="576"/>
      <c r="I109" s="576"/>
      <c r="J109" s="466"/>
      <c r="K109" s="576"/>
      <c r="L109" s="466"/>
      <c r="M109" s="576"/>
      <c r="N109" s="466"/>
      <c r="O109" s="576"/>
      <c r="P109" s="576"/>
      <c r="Q109" s="576"/>
      <c r="R109" s="346"/>
      <c r="S109" s="346"/>
    </row>
    <row r="110" ht="15.75" customHeight="1">
      <c r="B110" s="591"/>
      <c r="C110" s="466"/>
      <c r="D110" s="466"/>
      <c r="E110" s="592"/>
      <c r="F110" s="466"/>
      <c r="G110" s="576"/>
      <c r="H110" s="576"/>
      <c r="I110" s="576"/>
      <c r="J110" s="466"/>
      <c r="K110" s="576"/>
      <c r="L110" s="466"/>
      <c r="M110" s="576"/>
      <c r="N110" s="466"/>
      <c r="O110" s="576"/>
      <c r="P110" s="576"/>
      <c r="Q110" s="576"/>
      <c r="R110" s="346"/>
      <c r="S110" s="346"/>
    </row>
    <row r="111" ht="15.75" customHeight="1">
      <c r="B111" s="591"/>
      <c r="C111" s="466"/>
      <c r="D111" s="466"/>
      <c r="E111" s="592"/>
      <c r="F111" s="466"/>
      <c r="G111" s="576"/>
      <c r="H111" s="576"/>
      <c r="I111" s="576"/>
      <c r="J111" s="466"/>
      <c r="K111" s="576"/>
      <c r="L111" s="466"/>
      <c r="M111" s="576"/>
      <c r="N111" s="466"/>
      <c r="O111" s="576"/>
      <c r="P111" s="576"/>
      <c r="Q111" s="576"/>
      <c r="R111" s="346"/>
      <c r="S111" s="346"/>
    </row>
    <row r="112" ht="15.75" customHeight="1">
      <c r="B112" s="591"/>
      <c r="C112" s="466"/>
      <c r="D112" s="466"/>
      <c r="E112" s="592"/>
      <c r="F112" s="466"/>
      <c r="G112" s="576"/>
      <c r="H112" s="576"/>
      <c r="I112" s="576"/>
      <c r="J112" s="466"/>
      <c r="K112" s="576"/>
      <c r="L112" s="466"/>
      <c r="M112" s="576"/>
      <c r="N112" s="466"/>
      <c r="O112" s="576"/>
      <c r="P112" s="576"/>
      <c r="Q112" s="576"/>
      <c r="R112" s="346"/>
      <c r="S112" s="346"/>
    </row>
    <row r="113" ht="15.75" customHeight="1">
      <c r="B113" s="591"/>
      <c r="C113" s="466"/>
      <c r="D113" s="466"/>
      <c r="E113" s="592"/>
      <c r="F113" s="466"/>
      <c r="G113" s="576"/>
      <c r="H113" s="576"/>
      <c r="I113" s="576"/>
      <c r="J113" s="466"/>
      <c r="K113" s="576"/>
      <c r="L113" s="466"/>
      <c r="M113" s="576"/>
      <c r="N113" s="466"/>
      <c r="O113" s="576"/>
      <c r="P113" s="576"/>
      <c r="Q113" s="576"/>
      <c r="R113" s="346"/>
      <c r="S113" s="346"/>
    </row>
    <row r="114" ht="15.75" customHeight="1">
      <c r="B114" s="591"/>
      <c r="C114" s="466"/>
      <c r="D114" s="466"/>
      <c r="E114" s="592"/>
      <c r="F114" s="466"/>
      <c r="G114" s="576"/>
      <c r="H114" s="576"/>
      <c r="I114" s="576"/>
      <c r="J114" s="466"/>
      <c r="K114" s="576"/>
      <c r="L114" s="466"/>
      <c r="M114" s="576"/>
      <c r="N114" s="466"/>
      <c r="O114" s="576"/>
      <c r="P114" s="576"/>
      <c r="Q114" s="576"/>
      <c r="R114" s="346"/>
      <c r="S114" s="346"/>
    </row>
    <row r="115" ht="15.75" customHeight="1">
      <c r="B115" s="591"/>
      <c r="C115" s="466"/>
      <c r="D115" s="466"/>
      <c r="E115" s="592"/>
      <c r="F115" s="466"/>
      <c r="G115" s="576"/>
      <c r="H115" s="576"/>
      <c r="I115" s="576"/>
      <c r="J115" s="466"/>
      <c r="K115" s="576"/>
      <c r="L115" s="466"/>
      <c r="M115" s="576"/>
      <c r="N115" s="466"/>
      <c r="O115" s="576"/>
      <c r="P115" s="576"/>
      <c r="Q115" s="576"/>
      <c r="R115" s="346"/>
      <c r="S115" s="346"/>
    </row>
    <row r="116" ht="15.75" customHeight="1">
      <c r="B116" s="591"/>
      <c r="C116" s="466"/>
      <c r="D116" s="466"/>
      <c r="E116" s="592"/>
      <c r="F116" s="466"/>
      <c r="G116" s="576"/>
      <c r="H116" s="576"/>
      <c r="I116" s="576"/>
      <c r="J116" s="466"/>
      <c r="K116" s="576"/>
      <c r="L116" s="466"/>
      <c r="M116" s="576"/>
      <c r="N116" s="466"/>
      <c r="O116" s="576"/>
      <c r="P116" s="576"/>
      <c r="Q116" s="576"/>
      <c r="R116" s="346"/>
      <c r="S116" s="346"/>
    </row>
    <row r="117" ht="15.75" customHeight="1">
      <c r="B117" s="591"/>
      <c r="C117" s="466"/>
      <c r="D117" s="466"/>
      <c r="E117" s="592"/>
      <c r="F117" s="466"/>
      <c r="G117" s="576"/>
      <c r="H117" s="576"/>
      <c r="I117" s="576"/>
      <c r="J117" s="466"/>
      <c r="K117" s="576"/>
      <c r="L117" s="466"/>
      <c r="M117" s="576"/>
      <c r="N117" s="466"/>
      <c r="O117" s="576"/>
      <c r="P117" s="576"/>
      <c r="Q117" s="576"/>
      <c r="R117" s="346"/>
      <c r="S117" s="346"/>
    </row>
    <row r="118" ht="15.75" customHeight="1">
      <c r="B118" s="591"/>
      <c r="C118" s="466"/>
      <c r="D118" s="466"/>
      <c r="E118" s="592"/>
      <c r="F118" s="466"/>
      <c r="G118" s="576"/>
      <c r="H118" s="576"/>
      <c r="I118" s="576"/>
      <c r="J118" s="466"/>
      <c r="K118" s="576"/>
      <c r="L118" s="466"/>
      <c r="M118" s="576"/>
      <c r="N118" s="466"/>
      <c r="O118" s="576"/>
      <c r="P118" s="576"/>
      <c r="Q118" s="576"/>
      <c r="R118" s="346"/>
      <c r="S118" s="346"/>
    </row>
    <row r="119" ht="15.75" customHeight="1">
      <c r="B119" s="591"/>
      <c r="C119" s="466"/>
      <c r="D119" s="466"/>
      <c r="E119" s="592"/>
      <c r="F119" s="466"/>
      <c r="G119" s="576"/>
      <c r="H119" s="576"/>
      <c r="I119" s="576"/>
      <c r="J119" s="466"/>
      <c r="K119" s="576"/>
      <c r="L119" s="466"/>
      <c r="M119" s="576"/>
      <c r="N119" s="466"/>
      <c r="O119" s="576"/>
      <c r="P119" s="576"/>
      <c r="Q119" s="576"/>
      <c r="R119" s="346"/>
      <c r="S119" s="346"/>
    </row>
    <row r="120" ht="15.75" customHeight="1">
      <c r="B120" s="591"/>
      <c r="C120" s="466"/>
      <c r="D120" s="466"/>
      <c r="E120" s="592"/>
      <c r="F120" s="466"/>
      <c r="G120" s="576"/>
      <c r="H120" s="576"/>
      <c r="I120" s="576"/>
      <c r="J120" s="466"/>
      <c r="K120" s="576"/>
      <c r="L120" s="466"/>
      <c r="M120" s="576"/>
      <c r="N120" s="466"/>
      <c r="O120" s="576"/>
      <c r="P120" s="576"/>
      <c r="Q120" s="576"/>
      <c r="R120" s="346"/>
      <c r="S120" s="346"/>
    </row>
    <row r="121" ht="15.75" customHeight="1">
      <c r="B121" s="591"/>
      <c r="C121" s="466"/>
      <c r="D121" s="466"/>
      <c r="E121" s="592"/>
      <c r="F121" s="466"/>
      <c r="G121" s="576"/>
      <c r="H121" s="576"/>
      <c r="I121" s="576"/>
      <c r="J121" s="466"/>
      <c r="K121" s="576"/>
      <c r="L121" s="466"/>
      <c r="M121" s="576"/>
      <c r="N121" s="466"/>
      <c r="O121" s="576"/>
      <c r="P121" s="576"/>
      <c r="Q121" s="576"/>
      <c r="R121" s="346"/>
      <c r="S121" s="346"/>
    </row>
    <row r="122" ht="15.75" customHeight="1">
      <c r="B122" s="591"/>
      <c r="C122" s="466"/>
      <c r="D122" s="466"/>
      <c r="E122" s="592"/>
      <c r="F122" s="466"/>
      <c r="G122" s="576"/>
      <c r="H122" s="576"/>
      <c r="I122" s="576"/>
      <c r="J122" s="466"/>
      <c r="K122" s="576"/>
      <c r="L122" s="466"/>
      <c r="M122" s="576"/>
      <c r="N122" s="466"/>
      <c r="O122" s="576"/>
      <c r="P122" s="576"/>
      <c r="Q122" s="576"/>
      <c r="R122" s="346"/>
      <c r="S122" s="346"/>
    </row>
    <row r="123" ht="15.75" customHeight="1">
      <c r="B123" s="591"/>
      <c r="C123" s="466"/>
      <c r="D123" s="466"/>
      <c r="E123" s="592"/>
      <c r="F123" s="466"/>
      <c r="G123" s="576"/>
      <c r="H123" s="576"/>
      <c r="I123" s="576"/>
      <c r="J123" s="466"/>
      <c r="K123" s="576"/>
      <c r="L123" s="466"/>
      <c r="M123" s="576"/>
      <c r="N123" s="466"/>
      <c r="O123" s="576"/>
      <c r="P123" s="576"/>
      <c r="Q123" s="576"/>
      <c r="R123" s="346"/>
      <c r="S123" s="346"/>
    </row>
    <row r="124" ht="15.75" customHeight="1">
      <c r="B124" s="591"/>
      <c r="C124" s="466"/>
      <c r="D124" s="466"/>
      <c r="E124" s="592"/>
      <c r="F124" s="466"/>
      <c r="G124" s="576"/>
      <c r="H124" s="576"/>
      <c r="I124" s="576"/>
      <c r="J124" s="466"/>
      <c r="K124" s="576"/>
      <c r="L124" s="466"/>
      <c r="M124" s="576"/>
      <c r="N124" s="466"/>
      <c r="O124" s="576"/>
      <c r="P124" s="576"/>
      <c r="Q124" s="576"/>
      <c r="R124" s="346"/>
      <c r="S124" s="346"/>
    </row>
    <row r="125" ht="15.75" customHeight="1">
      <c r="B125" s="591"/>
      <c r="C125" s="466"/>
      <c r="D125" s="466"/>
      <c r="E125" s="592"/>
      <c r="F125" s="466"/>
      <c r="G125" s="576"/>
      <c r="H125" s="576"/>
      <c r="I125" s="576"/>
      <c r="J125" s="466"/>
      <c r="K125" s="576"/>
      <c r="L125" s="466"/>
      <c r="M125" s="576"/>
      <c r="N125" s="466"/>
      <c r="O125" s="576"/>
      <c r="P125" s="576"/>
      <c r="Q125" s="576"/>
      <c r="R125" s="346"/>
      <c r="S125" s="346"/>
    </row>
    <row r="126" ht="15.75" customHeight="1">
      <c r="B126" s="591"/>
      <c r="C126" s="466"/>
      <c r="D126" s="466"/>
      <c r="E126" s="592"/>
      <c r="F126" s="466"/>
      <c r="G126" s="576"/>
      <c r="H126" s="576"/>
      <c r="I126" s="576"/>
      <c r="J126" s="466"/>
      <c r="K126" s="576"/>
      <c r="L126" s="466"/>
      <c r="M126" s="576"/>
      <c r="N126" s="466"/>
      <c r="O126" s="576"/>
      <c r="P126" s="576"/>
      <c r="Q126" s="576"/>
      <c r="R126" s="346"/>
      <c r="S126" s="346"/>
    </row>
    <row r="127" ht="15.75" customHeight="1">
      <c r="B127" s="591"/>
      <c r="C127" s="466"/>
      <c r="D127" s="466"/>
      <c r="E127" s="592"/>
      <c r="F127" s="466"/>
      <c r="G127" s="576"/>
      <c r="H127" s="576"/>
      <c r="I127" s="576"/>
      <c r="J127" s="466"/>
      <c r="K127" s="576"/>
      <c r="L127" s="466"/>
      <c r="M127" s="576"/>
      <c r="N127" s="466"/>
      <c r="O127" s="576"/>
      <c r="P127" s="576"/>
      <c r="Q127" s="576"/>
      <c r="R127" s="346"/>
      <c r="S127" s="346"/>
    </row>
    <row r="128" ht="15.75" customHeight="1">
      <c r="B128" s="591"/>
      <c r="C128" s="466"/>
      <c r="D128" s="466"/>
      <c r="E128" s="592"/>
      <c r="F128" s="466"/>
      <c r="G128" s="576"/>
      <c r="H128" s="576"/>
      <c r="I128" s="576"/>
      <c r="J128" s="466"/>
      <c r="K128" s="576"/>
      <c r="L128" s="466"/>
      <c r="M128" s="576"/>
      <c r="N128" s="466"/>
      <c r="O128" s="576"/>
      <c r="P128" s="576"/>
      <c r="Q128" s="576"/>
      <c r="R128" s="346"/>
      <c r="S128" s="346"/>
    </row>
    <row r="129" ht="15.75" customHeight="1">
      <c r="B129" s="591"/>
      <c r="C129" s="466"/>
      <c r="D129" s="466"/>
      <c r="E129" s="592"/>
      <c r="F129" s="466"/>
      <c r="G129" s="576"/>
      <c r="H129" s="576"/>
      <c r="I129" s="576"/>
      <c r="J129" s="466"/>
      <c r="K129" s="576"/>
      <c r="L129" s="466"/>
      <c r="M129" s="576"/>
      <c r="N129" s="466"/>
      <c r="O129" s="576"/>
      <c r="P129" s="576"/>
      <c r="Q129" s="576"/>
      <c r="R129" s="346"/>
      <c r="S129" s="346"/>
    </row>
    <row r="130" ht="15.75" customHeight="1">
      <c r="B130" s="591"/>
      <c r="C130" s="466"/>
      <c r="D130" s="466"/>
      <c r="E130" s="592"/>
      <c r="F130" s="466"/>
      <c r="G130" s="576"/>
      <c r="H130" s="576"/>
      <c r="I130" s="576"/>
      <c r="J130" s="466"/>
      <c r="K130" s="576"/>
      <c r="L130" s="466"/>
      <c r="M130" s="576"/>
      <c r="N130" s="466"/>
      <c r="O130" s="576"/>
      <c r="P130" s="576"/>
      <c r="Q130" s="576"/>
      <c r="R130" s="346"/>
      <c r="S130" s="346"/>
    </row>
    <row r="131" ht="15.75" customHeight="1">
      <c r="B131" s="591"/>
      <c r="C131" s="466"/>
      <c r="D131" s="466"/>
      <c r="E131" s="592"/>
      <c r="F131" s="466"/>
      <c r="G131" s="576"/>
      <c r="H131" s="576"/>
      <c r="I131" s="576"/>
      <c r="J131" s="466"/>
      <c r="K131" s="576"/>
      <c r="L131" s="466"/>
      <c r="M131" s="576"/>
      <c r="N131" s="466"/>
      <c r="O131" s="576"/>
      <c r="P131" s="576"/>
      <c r="Q131" s="576"/>
      <c r="R131" s="346"/>
      <c r="S131" s="346"/>
    </row>
    <row r="132" ht="15.75" customHeight="1">
      <c r="B132" s="591"/>
      <c r="C132" s="466"/>
      <c r="D132" s="466"/>
      <c r="E132" s="592"/>
      <c r="F132" s="466"/>
      <c r="G132" s="576"/>
      <c r="H132" s="576"/>
      <c r="I132" s="576"/>
      <c r="J132" s="466"/>
      <c r="K132" s="576"/>
      <c r="L132" s="466"/>
      <c r="M132" s="576"/>
      <c r="N132" s="466"/>
      <c r="O132" s="576"/>
      <c r="P132" s="576"/>
      <c r="Q132" s="576"/>
      <c r="R132" s="346"/>
      <c r="S132" s="346"/>
    </row>
    <row r="133" ht="15.75" customHeight="1">
      <c r="B133" s="591"/>
      <c r="C133" s="466"/>
      <c r="D133" s="466"/>
      <c r="E133" s="592"/>
      <c r="F133" s="466"/>
      <c r="G133" s="576"/>
      <c r="H133" s="576"/>
      <c r="I133" s="576"/>
      <c r="J133" s="466"/>
      <c r="K133" s="576"/>
      <c r="L133" s="466"/>
      <c r="M133" s="576"/>
      <c r="N133" s="466"/>
      <c r="O133" s="576"/>
      <c r="P133" s="576"/>
      <c r="Q133" s="576"/>
      <c r="R133" s="346"/>
      <c r="S133" s="346"/>
    </row>
    <row r="134" ht="15.75" customHeight="1">
      <c r="B134" s="591"/>
      <c r="C134" s="466"/>
      <c r="D134" s="466"/>
      <c r="E134" s="592"/>
      <c r="F134" s="466"/>
      <c r="G134" s="576"/>
      <c r="H134" s="576"/>
      <c r="I134" s="576"/>
      <c r="J134" s="466"/>
      <c r="K134" s="576"/>
      <c r="L134" s="466"/>
      <c r="M134" s="576"/>
      <c r="N134" s="466"/>
      <c r="O134" s="576"/>
      <c r="P134" s="576"/>
      <c r="Q134" s="576"/>
      <c r="R134" s="346"/>
      <c r="S134" s="346"/>
    </row>
    <row r="135" ht="15.75" customHeight="1">
      <c r="B135" s="591"/>
      <c r="C135" s="466"/>
      <c r="D135" s="466"/>
      <c r="E135" s="592"/>
      <c r="F135" s="466"/>
      <c r="G135" s="576"/>
      <c r="H135" s="576"/>
      <c r="I135" s="576"/>
      <c r="J135" s="466"/>
      <c r="K135" s="576"/>
      <c r="L135" s="466"/>
      <c r="M135" s="576"/>
      <c r="N135" s="466"/>
      <c r="O135" s="576"/>
      <c r="P135" s="576"/>
      <c r="Q135" s="576"/>
      <c r="R135" s="346"/>
      <c r="S135" s="346"/>
    </row>
    <row r="136" ht="15.75" customHeight="1">
      <c r="B136" s="591"/>
      <c r="C136" s="466"/>
      <c r="D136" s="466"/>
      <c r="E136" s="592"/>
      <c r="F136" s="466"/>
      <c r="G136" s="576"/>
      <c r="H136" s="576"/>
      <c r="I136" s="576"/>
      <c r="J136" s="466"/>
      <c r="K136" s="576"/>
      <c r="L136" s="466"/>
      <c r="M136" s="576"/>
      <c r="N136" s="466"/>
      <c r="O136" s="576"/>
      <c r="P136" s="576"/>
      <c r="Q136" s="576"/>
      <c r="R136" s="346"/>
      <c r="S136" s="346"/>
    </row>
    <row r="137" ht="15.75" customHeight="1">
      <c r="B137" s="591"/>
      <c r="C137" s="466"/>
      <c r="D137" s="466"/>
      <c r="E137" s="592"/>
      <c r="F137" s="466"/>
      <c r="G137" s="576"/>
      <c r="H137" s="576"/>
      <c r="I137" s="576"/>
      <c r="J137" s="466"/>
      <c r="K137" s="576"/>
      <c r="L137" s="466"/>
      <c r="M137" s="576"/>
      <c r="N137" s="466"/>
      <c r="O137" s="576"/>
      <c r="P137" s="576"/>
      <c r="Q137" s="576"/>
      <c r="R137" s="346"/>
      <c r="S137" s="346"/>
    </row>
    <row r="138" ht="15.75" customHeight="1">
      <c r="B138" s="591"/>
      <c r="C138" s="466"/>
      <c r="D138" s="466"/>
      <c r="E138" s="592"/>
      <c r="F138" s="466"/>
      <c r="G138" s="576"/>
      <c r="H138" s="576"/>
      <c r="I138" s="576"/>
      <c r="J138" s="466"/>
      <c r="K138" s="576"/>
      <c r="L138" s="466"/>
      <c r="M138" s="576"/>
      <c r="N138" s="466"/>
      <c r="O138" s="576"/>
      <c r="P138" s="576"/>
      <c r="Q138" s="576"/>
      <c r="R138" s="346"/>
      <c r="S138" s="346"/>
    </row>
    <row r="139" ht="15.75" customHeight="1">
      <c r="B139" s="591"/>
      <c r="C139" s="466"/>
      <c r="D139" s="466"/>
      <c r="E139" s="592"/>
      <c r="F139" s="466"/>
      <c r="G139" s="576"/>
      <c r="H139" s="576"/>
      <c r="I139" s="576"/>
      <c r="J139" s="466"/>
      <c r="K139" s="576"/>
      <c r="L139" s="466"/>
      <c r="M139" s="576"/>
      <c r="N139" s="466"/>
      <c r="O139" s="576"/>
      <c r="P139" s="576"/>
      <c r="Q139" s="576"/>
      <c r="R139" s="346"/>
      <c r="S139" s="346"/>
    </row>
    <row r="140" ht="15.75" customHeight="1">
      <c r="B140" s="591"/>
      <c r="C140" s="466"/>
      <c r="D140" s="466"/>
      <c r="E140" s="592"/>
      <c r="F140" s="466"/>
      <c r="G140" s="576"/>
      <c r="H140" s="576"/>
      <c r="I140" s="576"/>
      <c r="J140" s="466"/>
      <c r="K140" s="576"/>
      <c r="L140" s="466"/>
      <c r="M140" s="576"/>
      <c r="N140" s="466"/>
      <c r="O140" s="576"/>
      <c r="P140" s="576"/>
      <c r="Q140" s="576"/>
      <c r="R140" s="346"/>
      <c r="S140" s="346"/>
    </row>
    <row r="141" ht="15.75" customHeight="1">
      <c r="B141" s="591"/>
      <c r="C141" s="466"/>
      <c r="D141" s="466"/>
      <c r="E141" s="592"/>
      <c r="F141" s="466"/>
      <c r="G141" s="576"/>
      <c r="H141" s="576"/>
      <c r="I141" s="576"/>
      <c r="J141" s="466"/>
      <c r="K141" s="576"/>
      <c r="L141" s="466"/>
      <c r="M141" s="576"/>
      <c r="N141" s="466"/>
      <c r="O141" s="576"/>
      <c r="P141" s="576"/>
      <c r="Q141" s="576"/>
      <c r="R141" s="346"/>
      <c r="S141" s="346"/>
    </row>
    <row r="142" ht="15.75" customHeight="1">
      <c r="B142" s="591"/>
      <c r="C142" s="466"/>
      <c r="D142" s="466"/>
      <c r="E142" s="592"/>
      <c r="F142" s="466"/>
      <c r="G142" s="576"/>
      <c r="H142" s="576"/>
      <c r="I142" s="576"/>
      <c r="J142" s="466"/>
      <c r="K142" s="576"/>
      <c r="L142" s="466"/>
      <c r="M142" s="576"/>
      <c r="N142" s="466"/>
      <c r="O142" s="576"/>
      <c r="P142" s="576"/>
      <c r="Q142" s="576"/>
      <c r="R142" s="346"/>
      <c r="S142" s="346"/>
    </row>
    <row r="143" ht="15.75" customHeight="1">
      <c r="B143" s="591"/>
      <c r="C143" s="466"/>
      <c r="D143" s="466"/>
      <c r="E143" s="592"/>
      <c r="F143" s="466"/>
      <c r="G143" s="576"/>
      <c r="H143" s="576"/>
      <c r="I143" s="576"/>
      <c r="J143" s="466"/>
      <c r="K143" s="576"/>
      <c r="L143" s="466"/>
      <c r="M143" s="576"/>
      <c r="N143" s="466"/>
      <c r="O143" s="576"/>
      <c r="P143" s="576"/>
      <c r="Q143" s="576"/>
      <c r="R143" s="346"/>
      <c r="S143" s="346"/>
    </row>
    <row r="144" ht="15.75" customHeight="1">
      <c r="B144" s="591"/>
      <c r="C144" s="466"/>
      <c r="D144" s="466"/>
      <c r="E144" s="592"/>
      <c r="F144" s="466"/>
      <c r="G144" s="576"/>
      <c r="H144" s="576"/>
      <c r="I144" s="576"/>
      <c r="J144" s="466"/>
      <c r="K144" s="576"/>
      <c r="L144" s="466"/>
      <c r="M144" s="576"/>
      <c r="N144" s="466"/>
      <c r="O144" s="576"/>
      <c r="P144" s="576"/>
      <c r="Q144" s="576"/>
      <c r="R144" s="346"/>
      <c r="S144" s="346"/>
    </row>
    <row r="145" ht="15.75" customHeight="1">
      <c r="B145" s="591"/>
      <c r="C145" s="466"/>
      <c r="D145" s="466"/>
      <c r="E145" s="592"/>
      <c r="F145" s="466"/>
      <c r="G145" s="576"/>
      <c r="H145" s="576"/>
      <c r="I145" s="576"/>
      <c r="J145" s="466"/>
      <c r="K145" s="576"/>
      <c r="L145" s="466"/>
      <c r="M145" s="576"/>
      <c r="N145" s="466"/>
      <c r="O145" s="576"/>
      <c r="P145" s="576"/>
      <c r="Q145" s="576"/>
      <c r="R145" s="346"/>
      <c r="S145" s="346"/>
    </row>
    <row r="146" ht="15.75" customHeight="1">
      <c r="B146" s="591"/>
      <c r="C146" s="466"/>
      <c r="D146" s="466"/>
      <c r="E146" s="592"/>
      <c r="F146" s="466"/>
      <c r="G146" s="576"/>
      <c r="H146" s="576"/>
      <c r="I146" s="576"/>
      <c r="J146" s="466"/>
      <c r="K146" s="576"/>
      <c r="L146" s="466"/>
      <c r="M146" s="576"/>
      <c r="N146" s="466"/>
      <c r="O146" s="576"/>
      <c r="P146" s="576"/>
      <c r="Q146" s="576"/>
      <c r="R146" s="346"/>
      <c r="S146" s="346"/>
    </row>
    <row r="147" ht="15.75" customHeight="1">
      <c r="B147" s="591"/>
      <c r="C147" s="466"/>
      <c r="D147" s="466"/>
      <c r="E147" s="592"/>
      <c r="F147" s="466"/>
      <c r="G147" s="576"/>
      <c r="H147" s="576"/>
      <c r="I147" s="576"/>
      <c r="J147" s="466"/>
      <c r="K147" s="576"/>
      <c r="L147" s="466"/>
      <c r="M147" s="576"/>
      <c r="N147" s="466"/>
      <c r="O147" s="576"/>
      <c r="P147" s="576"/>
      <c r="Q147" s="576"/>
      <c r="R147" s="346"/>
      <c r="S147" s="346"/>
    </row>
    <row r="148" ht="15.75" customHeight="1">
      <c r="B148" s="591"/>
      <c r="C148" s="466"/>
      <c r="D148" s="466"/>
      <c r="E148" s="592"/>
      <c r="F148" s="466"/>
      <c r="G148" s="576"/>
      <c r="H148" s="576"/>
      <c r="I148" s="576"/>
      <c r="J148" s="466"/>
      <c r="K148" s="576"/>
      <c r="L148" s="466"/>
      <c r="M148" s="576"/>
      <c r="N148" s="466"/>
      <c r="O148" s="576"/>
      <c r="P148" s="576"/>
      <c r="Q148" s="576"/>
      <c r="R148" s="346"/>
      <c r="S148" s="346"/>
    </row>
    <row r="149" ht="15.75" customHeight="1">
      <c r="B149" s="591"/>
      <c r="C149" s="466"/>
      <c r="D149" s="466"/>
      <c r="E149" s="592"/>
      <c r="F149" s="466"/>
      <c r="G149" s="576"/>
      <c r="H149" s="576"/>
      <c r="I149" s="576"/>
      <c r="J149" s="466"/>
      <c r="K149" s="576"/>
      <c r="L149" s="466"/>
      <c r="M149" s="576"/>
      <c r="N149" s="466"/>
      <c r="O149" s="576"/>
      <c r="P149" s="576"/>
      <c r="Q149" s="576"/>
      <c r="R149" s="346"/>
      <c r="S149" s="346"/>
    </row>
    <row r="150" ht="15.75" customHeight="1">
      <c r="B150" s="591"/>
      <c r="C150" s="466"/>
      <c r="D150" s="466"/>
      <c r="E150" s="592"/>
      <c r="F150" s="466"/>
      <c r="G150" s="576"/>
      <c r="H150" s="576"/>
      <c r="I150" s="576"/>
      <c r="J150" s="466"/>
      <c r="K150" s="576"/>
      <c r="L150" s="466"/>
      <c r="M150" s="576"/>
      <c r="N150" s="466"/>
      <c r="O150" s="576"/>
      <c r="P150" s="576"/>
      <c r="Q150" s="576"/>
      <c r="R150" s="346"/>
      <c r="S150" s="346"/>
    </row>
    <row r="151" ht="15.75" customHeight="1">
      <c r="B151" s="591"/>
      <c r="C151" s="466"/>
      <c r="D151" s="466"/>
      <c r="E151" s="592"/>
      <c r="F151" s="466"/>
      <c r="G151" s="576"/>
      <c r="H151" s="576"/>
      <c r="I151" s="576"/>
      <c r="J151" s="466"/>
      <c r="K151" s="576"/>
      <c r="L151" s="466"/>
      <c r="M151" s="576"/>
      <c r="N151" s="466"/>
      <c r="O151" s="576"/>
      <c r="P151" s="576"/>
      <c r="Q151" s="576"/>
      <c r="R151" s="346"/>
      <c r="S151" s="346"/>
    </row>
    <row r="152" ht="15.75" customHeight="1">
      <c r="B152" s="591"/>
      <c r="C152" s="466"/>
      <c r="D152" s="466"/>
      <c r="E152" s="592"/>
      <c r="F152" s="466"/>
      <c r="G152" s="576"/>
      <c r="H152" s="576"/>
      <c r="I152" s="576"/>
      <c r="J152" s="466"/>
      <c r="K152" s="576"/>
      <c r="L152" s="466"/>
      <c r="M152" s="576"/>
      <c r="N152" s="466"/>
      <c r="O152" s="576"/>
      <c r="P152" s="576"/>
      <c r="Q152" s="576"/>
      <c r="R152" s="346"/>
      <c r="S152" s="346"/>
    </row>
    <row r="153" ht="15.75" customHeight="1">
      <c r="B153" s="591"/>
      <c r="C153" s="466"/>
      <c r="D153" s="466"/>
      <c r="E153" s="592"/>
      <c r="F153" s="466"/>
      <c r="G153" s="576"/>
      <c r="H153" s="576"/>
      <c r="I153" s="576"/>
      <c r="J153" s="466"/>
      <c r="K153" s="576"/>
      <c r="L153" s="466"/>
      <c r="M153" s="576"/>
      <c r="N153" s="466"/>
      <c r="O153" s="576"/>
      <c r="P153" s="576"/>
      <c r="Q153" s="576"/>
      <c r="R153" s="346"/>
      <c r="S153" s="346"/>
    </row>
    <row r="154" ht="15.75" customHeight="1">
      <c r="B154" s="591"/>
      <c r="C154" s="466"/>
      <c r="D154" s="466"/>
      <c r="E154" s="592"/>
      <c r="F154" s="466"/>
      <c r="G154" s="576"/>
      <c r="H154" s="576"/>
      <c r="I154" s="576"/>
      <c r="J154" s="466"/>
      <c r="K154" s="576"/>
      <c r="L154" s="466"/>
      <c r="M154" s="576"/>
      <c r="N154" s="466"/>
      <c r="O154" s="576"/>
      <c r="P154" s="576"/>
      <c r="Q154" s="576"/>
      <c r="R154" s="346"/>
      <c r="S154" s="346"/>
    </row>
    <row r="155" ht="15.75" customHeight="1">
      <c r="B155" s="591"/>
      <c r="C155" s="466"/>
      <c r="D155" s="466"/>
      <c r="E155" s="592"/>
      <c r="F155" s="466"/>
      <c r="G155" s="576"/>
      <c r="H155" s="576"/>
      <c r="I155" s="576"/>
      <c r="J155" s="466"/>
      <c r="K155" s="576"/>
      <c r="L155" s="466"/>
      <c r="M155" s="576"/>
      <c r="N155" s="466"/>
      <c r="O155" s="576"/>
      <c r="P155" s="576"/>
      <c r="Q155" s="576"/>
      <c r="R155" s="346"/>
      <c r="S155" s="346"/>
    </row>
    <row r="156" ht="15.75" customHeight="1">
      <c r="B156" s="591"/>
      <c r="C156" s="466"/>
      <c r="D156" s="466"/>
      <c r="E156" s="592"/>
      <c r="F156" s="466"/>
      <c r="G156" s="576"/>
      <c r="H156" s="576"/>
      <c r="I156" s="576"/>
      <c r="J156" s="466"/>
      <c r="K156" s="576"/>
      <c r="L156" s="466"/>
      <c r="M156" s="576"/>
      <c r="N156" s="466"/>
      <c r="O156" s="576"/>
      <c r="P156" s="576"/>
      <c r="Q156" s="576"/>
      <c r="R156" s="346"/>
      <c r="S156" s="346"/>
    </row>
    <row r="157" ht="15.75" customHeight="1">
      <c r="B157" s="591"/>
      <c r="C157" s="466"/>
      <c r="D157" s="466"/>
      <c r="E157" s="592"/>
      <c r="F157" s="466"/>
      <c r="G157" s="576"/>
      <c r="H157" s="576"/>
      <c r="I157" s="576"/>
      <c r="J157" s="466"/>
      <c r="K157" s="576"/>
      <c r="L157" s="466"/>
      <c r="M157" s="576"/>
      <c r="N157" s="466"/>
      <c r="O157" s="576"/>
      <c r="P157" s="576"/>
      <c r="Q157" s="576"/>
      <c r="R157" s="346"/>
      <c r="S157" s="346"/>
    </row>
    <row r="158" ht="15.75" customHeight="1">
      <c r="B158" s="591"/>
      <c r="C158" s="466"/>
      <c r="D158" s="466"/>
      <c r="E158" s="592"/>
      <c r="F158" s="466"/>
      <c r="G158" s="576"/>
      <c r="H158" s="576"/>
      <c r="I158" s="576"/>
      <c r="J158" s="466"/>
      <c r="K158" s="576"/>
      <c r="L158" s="466"/>
      <c r="M158" s="576"/>
      <c r="N158" s="466"/>
      <c r="O158" s="576"/>
      <c r="P158" s="576"/>
      <c r="Q158" s="576"/>
      <c r="R158" s="346"/>
      <c r="S158" s="346"/>
    </row>
    <row r="159" ht="15.75" customHeight="1">
      <c r="B159" s="591"/>
      <c r="C159" s="466"/>
      <c r="D159" s="466"/>
      <c r="E159" s="592"/>
      <c r="F159" s="466"/>
      <c r="G159" s="576"/>
      <c r="H159" s="576"/>
      <c r="I159" s="576"/>
      <c r="J159" s="466"/>
      <c r="K159" s="576"/>
      <c r="L159" s="466"/>
      <c r="M159" s="576"/>
      <c r="N159" s="466"/>
      <c r="O159" s="576"/>
      <c r="P159" s="576"/>
      <c r="Q159" s="576"/>
      <c r="R159" s="346"/>
      <c r="S159" s="346"/>
    </row>
    <row r="160" ht="15.75" customHeight="1">
      <c r="B160" s="591"/>
      <c r="C160" s="466"/>
      <c r="D160" s="466"/>
      <c r="E160" s="592"/>
      <c r="F160" s="466"/>
      <c r="G160" s="576"/>
      <c r="H160" s="576"/>
      <c r="I160" s="576"/>
      <c r="J160" s="466"/>
      <c r="K160" s="576"/>
      <c r="L160" s="466"/>
      <c r="M160" s="576"/>
      <c r="N160" s="466"/>
      <c r="O160" s="576"/>
      <c r="P160" s="576"/>
      <c r="Q160" s="576"/>
      <c r="R160" s="346"/>
      <c r="S160" s="346"/>
    </row>
    <row r="161" ht="15.75" customHeight="1">
      <c r="B161" s="591"/>
      <c r="C161" s="466"/>
      <c r="D161" s="466"/>
      <c r="E161" s="592"/>
      <c r="F161" s="466"/>
      <c r="G161" s="576"/>
      <c r="H161" s="576"/>
      <c r="I161" s="576"/>
      <c r="J161" s="466"/>
      <c r="K161" s="576"/>
      <c r="L161" s="466"/>
      <c r="M161" s="576"/>
      <c r="N161" s="466"/>
      <c r="O161" s="576"/>
      <c r="P161" s="576"/>
      <c r="Q161" s="576"/>
      <c r="R161" s="346"/>
      <c r="S161" s="346"/>
    </row>
    <row r="162" ht="15.75" customHeight="1">
      <c r="B162" s="591"/>
      <c r="C162" s="466"/>
      <c r="D162" s="466"/>
      <c r="E162" s="592"/>
      <c r="F162" s="466"/>
      <c r="G162" s="576"/>
      <c r="H162" s="576"/>
      <c r="I162" s="576"/>
      <c r="J162" s="466"/>
      <c r="K162" s="576"/>
      <c r="L162" s="466"/>
      <c r="M162" s="576"/>
      <c r="N162" s="466"/>
      <c r="O162" s="576"/>
      <c r="P162" s="576"/>
      <c r="Q162" s="576"/>
      <c r="R162" s="346"/>
      <c r="S162" s="346"/>
    </row>
    <row r="163" ht="15.75" customHeight="1">
      <c r="B163" s="591"/>
      <c r="C163" s="466"/>
      <c r="D163" s="466"/>
      <c r="E163" s="592"/>
      <c r="F163" s="466"/>
      <c r="G163" s="576"/>
      <c r="H163" s="576"/>
      <c r="I163" s="576"/>
      <c r="J163" s="466"/>
      <c r="K163" s="576"/>
      <c r="L163" s="466"/>
      <c r="M163" s="576"/>
      <c r="N163" s="466"/>
      <c r="O163" s="576"/>
      <c r="P163" s="576"/>
      <c r="Q163" s="576"/>
      <c r="R163" s="346"/>
      <c r="S163" s="346"/>
    </row>
    <row r="164" ht="15.75" customHeight="1">
      <c r="B164" s="591"/>
      <c r="C164" s="466"/>
      <c r="D164" s="466"/>
      <c r="E164" s="592"/>
      <c r="F164" s="466"/>
      <c r="G164" s="576"/>
      <c r="H164" s="576"/>
      <c r="I164" s="576"/>
      <c r="J164" s="466"/>
      <c r="K164" s="576"/>
      <c r="L164" s="466"/>
      <c r="M164" s="576"/>
      <c r="N164" s="466"/>
      <c r="O164" s="576"/>
      <c r="P164" s="576"/>
      <c r="Q164" s="576"/>
      <c r="R164" s="346"/>
      <c r="S164" s="346"/>
    </row>
    <row r="165" ht="15.75" customHeight="1">
      <c r="B165" s="591"/>
      <c r="C165" s="466"/>
      <c r="D165" s="466"/>
      <c r="E165" s="592"/>
      <c r="F165" s="466"/>
      <c r="G165" s="576"/>
      <c r="H165" s="576"/>
      <c r="I165" s="576"/>
      <c r="J165" s="466"/>
      <c r="K165" s="576"/>
      <c r="L165" s="466"/>
      <c r="M165" s="576"/>
      <c r="N165" s="466"/>
      <c r="O165" s="576"/>
      <c r="P165" s="576"/>
      <c r="Q165" s="576"/>
      <c r="R165" s="346"/>
      <c r="S165" s="346"/>
    </row>
    <row r="166" ht="15.75" customHeight="1">
      <c r="B166" s="591"/>
      <c r="C166" s="466"/>
      <c r="D166" s="466"/>
      <c r="E166" s="592"/>
      <c r="F166" s="466"/>
      <c r="G166" s="576"/>
      <c r="H166" s="576"/>
      <c r="I166" s="576"/>
      <c r="J166" s="466"/>
      <c r="K166" s="576"/>
      <c r="L166" s="466"/>
      <c r="M166" s="576"/>
      <c r="N166" s="466"/>
      <c r="O166" s="576"/>
      <c r="P166" s="576"/>
      <c r="Q166" s="576"/>
      <c r="R166" s="346"/>
      <c r="S166" s="346"/>
    </row>
    <row r="167" ht="15.75" customHeight="1">
      <c r="B167" s="591"/>
      <c r="C167" s="466"/>
      <c r="D167" s="466"/>
      <c r="E167" s="592"/>
      <c r="F167" s="466"/>
      <c r="G167" s="576"/>
      <c r="H167" s="576"/>
      <c r="I167" s="576"/>
      <c r="J167" s="466"/>
      <c r="K167" s="576"/>
      <c r="L167" s="466"/>
      <c r="M167" s="576"/>
      <c r="N167" s="466"/>
      <c r="O167" s="576"/>
      <c r="P167" s="576"/>
      <c r="Q167" s="576"/>
      <c r="R167" s="346"/>
      <c r="S167" s="346"/>
    </row>
    <row r="168" ht="15.75" customHeight="1">
      <c r="B168" s="591"/>
      <c r="C168" s="466"/>
      <c r="D168" s="466"/>
      <c r="E168" s="592"/>
      <c r="F168" s="466"/>
      <c r="G168" s="576"/>
      <c r="H168" s="576"/>
      <c r="I168" s="576"/>
      <c r="J168" s="466"/>
      <c r="K168" s="576"/>
      <c r="L168" s="466"/>
      <c r="M168" s="576"/>
      <c r="N168" s="466"/>
      <c r="O168" s="576"/>
      <c r="P168" s="576"/>
      <c r="Q168" s="576"/>
      <c r="R168" s="346"/>
      <c r="S168" s="346"/>
    </row>
    <row r="169" ht="15.75" customHeight="1">
      <c r="B169" s="591"/>
      <c r="C169" s="466"/>
      <c r="D169" s="466"/>
      <c r="E169" s="592"/>
      <c r="F169" s="466"/>
      <c r="G169" s="576"/>
      <c r="H169" s="576"/>
      <c r="I169" s="576"/>
      <c r="J169" s="466"/>
      <c r="K169" s="576"/>
      <c r="L169" s="466"/>
      <c r="M169" s="576"/>
      <c r="N169" s="466"/>
      <c r="O169" s="576"/>
      <c r="P169" s="576"/>
      <c r="Q169" s="576"/>
      <c r="R169" s="346"/>
      <c r="S169" s="346"/>
    </row>
    <row r="170" ht="15.75" customHeight="1">
      <c r="B170" s="591"/>
      <c r="C170" s="466"/>
      <c r="D170" s="466"/>
      <c r="E170" s="592"/>
      <c r="F170" s="466"/>
      <c r="G170" s="576"/>
      <c r="H170" s="576"/>
      <c r="I170" s="576"/>
      <c r="J170" s="466"/>
      <c r="K170" s="576"/>
      <c r="L170" s="466"/>
      <c r="M170" s="576"/>
      <c r="N170" s="466"/>
      <c r="O170" s="576"/>
      <c r="P170" s="576"/>
      <c r="Q170" s="576"/>
      <c r="R170" s="346"/>
      <c r="S170" s="346"/>
    </row>
    <row r="171" ht="15.75" customHeight="1">
      <c r="B171" s="591"/>
      <c r="C171" s="466"/>
      <c r="D171" s="466"/>
      <c r="E171" s="592"/>
      <c r="F171" s="466"/>
      <c r="G171" s="576"/>
      <c r="H171" s="576"/>
      <c r="I171" s="576"/>
      <c r="J171" s="466"/>
      <c r="K171" s="576"/>
      <c r="L171" s="466"/>
      <c r="M171" s="576"/>
      <c r="N171" s="466"/>
      <c r="O171" s="576"/>
      <c r="P171" s="576"/>
      <c r="Q171" s="576"/>
      <c r="R171" s="346"/>
      <c r="S171" s="346"/>
    </row>
    <row r="172" ht="15.75" customHeight="1">
      <c r="B172" s="591"/>
      <c r="C172" s="466"/>
      <c r="D172" s="466"/>
      <c r="E172" s="592"/>
      <c r="F172" s="466"/>
      <c r="G172" s="576"/>
      <c r="H172" s="576"/>
      <c r="I172" s="576"/>
      <c r="J172" s="466"/>
      <c r="K172" s="576"/>
      <c r="L172" s="466"/>
      <c r="M172" s="576"/>
      <c r="N172" s="466"/>
      <c r="O172" s="576"/>
      <c r="P172" s="576"/>
      <c r="Q172" s="576"/>
      <c r="R172" s="346"/>
      <c r="S172" s="346"/>
    </row>
    <row r="173" ht="15.75" customHeight="1">
      <c r="B173" s="591"/>
      <c r="C173" s="466"/>
      <c r="D173" s="466"/>
      <c r="E173" s="592"/>
      <c r="F173" s="466"/>
      <c r="G173" s="576"/>
      <c r="H173" s="576"/>
      <c r="I173" s="576"/>
      <c r="J173" s="466"/>
      <c r="K173" s="576"/>
      <c r="L173" s="466"/>
      <c r="M173" s="576"/>
      <c r="N173" s="466"/>
      <c r="O173" s="576"/>
      <c r="P173" s="576"/>
      <c r="Q173" s="576"/>
      <c r="R173" s="346"/>
      <c r="S173" s="346"/>
    </row>
    <row r="174" ht="15.75" customHeight="1">
      <c r="B174" s="591"/>
      <c r="C174" s="466"/>
      <c r="D174" s="466"/>
      <c r="E174" s="592"/>
      <c r="F174" s="466"/>
      <c r="G174" s="576"/>
      <c r="H174" s="576"/>
      <c r="I174" s="576"/>
      <c r="J174" s="466"/>
      <c r="K174" s="576"/>
      <c r="L174" s="466"/>
      <c r="M174" s="576"/>
      <c r="N174" s="466"/>
      <c r="O174" s="576"/>
      <c r="P174" s="576"/>
      <c r="Q174" s="576"/>
      <c r="R174" s="346"/>
      <c r="S174" s="346"/>
    </row>
    <row r="175" ht="15.75" customHeight="1">
      <c r="B175" s="591"/>
      <c r="C175" s="466"/>
      <c r="D175" s="466"/>
      <c r="E175" s="592"/>
      <c r="F175" s="466"/>
      <c r="G175" s="576"/>
      <c r="H175" s="576"/>
      <c r="I175" s="576"/>
      <c r="J175" s="466"/>
      <c r="K175" s="576"/>
      <c r="L175" s="466"/>
      <c r="M175" s="576"/>
      <c r="N175" s="466"/>
      <c r="O175" s="576"/>
      <c r="P175" s="576"/>
      <c r="Q175" s="576"/>
      <c r="R175" s="346"/>
      <c r="S175" s="346"/>
    </row>
    <row r="176" ht="15.75" customHeight="1">
      <c r="B176" s="591"/>
      <c r="C176" s="466"/>
      <c r="D176" s="466"/>
      <c r="E176" s="592"/>
      <c r="F176" s="466"/>
      <c r="G176" s="576"/>
      <c r="H176" s="576"/>
      <c r="I176" s="576"/>
      <c r="J176" s="466"/>
      <c r="K176" s="576"/>
      <c r="L176" s="466"/>
      <c r="M176" s="576"/>
      <c r="N176" s="466"/>
      <c r="O176" s="576"/>
      <c r="P176" s="576"/>
      <c r="Q176" s="576"/>
      <c r="R176" s="346"/>
      <c r="S176" s="346"/>
    </row>
    <row r="177" ht="15.75" customHeight="1">
      <c r="B177" s="591"/>
      <c r="C177" s="466"/>
      <c r="D177" s="466"/>
      <c r="E177" s="592"/>
      <c r="F177" s="466"/>
      <c r="G177" s="576"/>
      <c r="H177" s="576"/>
      <c r="I177" s="576"/>
      <c r="J177" s="466"/>
      <c r="K177" s="576"/>
      <c r="L177" s="466"/>
      <c r="M177" s="576"/>
      <c r="N177" s="466"/>
      <c r="O177" s="576"/>
      <c r="P177" s="576"/>
      <c r="Q177" s="576"/>
      <c r="R177" s="346"/>
      <c r="S177" s="346"/>
    </row>
    <row r="178" ht="15.75" customHeight="1">
      <c r="B178" s="591"/>
      <c r="C178" s="466"/>
      <c r="D178" s="466"/>
      <c r="E178" s="592"/>
      <c r="F178" s="466"/>
      <c r="G178" s="576"/>
      <c r="H178" s="576"/>
      <c r="I178" s="576"/>
      <c r="J178" s="466"/>
      <c r="K178" s="576"/>
      <c r="L178" s="466"/>
      <c r="M178" s="576"/>
      <c r="N178" s="466"/>
      <c r="O178" s="576"/>
      <c r="P178" s="576"/>
      <c r="Q178" s="576"/>
      <c r="R178" s="346"/>
      <c r="S178" s="346"/>
    </row>
    <row r="179" ht="15.75" customHeight="1">
      <c r="B179" s="591"/>
      <c r="C179" s="466"/>
      <c r="D179" s="466"/>
      <c r="E179" s="592"/>
      <c r="F179" s="466"/>
      <c r="G179" s="576"/>
      <c r="H179" s="576"/>
      <c r="I179" s="576"/>
      <c r="J179" s="466"/>
      <c r="K179" s="576"/>
      <c r="L179" s="466"/>
      <c r="M179" s="576"/>
      <c r="N179" s="466"/>
      <c r="O179" s="576"/>
      <c r="P179" s="576"/>
      <c r="Q179" s="576"/>
      <c r="R179" s="346"/>
      <c r="S179" s="346"/>
    </row>
    <row r="180" ht="15.75" customHeight="1">
      <c r="B180" s="591"/>
      <c r="C180" s="466"/>
      <c r="D180" s="466"/>
      <c r="E180" s="592"/>
      <c r="F180" s="466"/>
      <c r="G180" s="576"/>
      <c r="H180" s="576"/>
      <c r="I180" s="576"/>
      <c r="J180" s="466"/>
      <c r="K180" s="576"/>
      <c r="L180" s="466"/>
      <c r="M180" s="576"/>
      <c r="N180" s="466"/>
      <c r="O180" s="576"/>
      <c r="P180" s="576"/>
      <c r="Q180" s="576"/>
      <c r="R180" s="346"/>
      <c r="S180" s="346"/>
    </row>
    <row r="181" ht="15.75" customHeight="1">
      <c r="B181" s="591"/>
      <c r="C181" s="466"/>
      <c r="D181" s="466"/>
      <c r="E181" s="592"/>
      <c r="F181" s="466"/>
      <c r="G181" s="576"/>
      <c r="H181" s="576"/>
      <c r="I181" s="576"/>
      <c r="J181" s="466"/>
      <c r="K181" s="576"/>
      <c r="L181" s="466"/>
      <c r="M181" s="576"/>
      <c r="N181" s="466"/>
      <c r="O181" s="576"/>
      <c r="P181" s="576"/>
      <c r="Q181" s="576"/>
      <c r="R181" s="346"/>
      <c r="S181" s="346"/>
    </row>
    <row r="182" ht="15.75" customHeight="1">
      <c r="B182" s="591"/>
      <c r="C182" s="466"/>
      <c r="D182" s="466"/>
      <c r="E182" s="592"/>
      <c r="F182" s="466"/>
      <c r="G182" s="576"/>
      <c r="H182" s="576"/>
      <c r="I182" s="576"/>
      <c r="J182" s="466"/>
      <c r="K182" s="576"/>
      <c r="L182" s="466"/>
      <c r="M182" s="576"/>
      <c r="N182" s="466"/>
      <c r="O182" s="576"/>
      <c r="P182" s="576"/>
      <c r="Q182" s="576"/>
      <c r="R182" s="346"/>
      <c r="S182" s="346"/>
    </row>
    <row r="183" ht="15.75" customHeight="1">
      <c r="B183" s="591"/>
      <c r="C183" s="466"/>
      <c r="D183" s="466"/>
      <c r="E183" s="592"/>
      <c r="F183" s="466"/>
      <c r="G183" s="576"/>
      <c r="H183" s="576"/>
      <c r="I183" s="576"/>
      <c r="J183" s="466"/>
      <c r="K183" s="576"/>
      <c r="L183" s="466"/>
      <c r="M183" s="576"/>
      <c r="N183" s="466"/>
      <c r="O183" s="576"/>
      <c r="P183" s="576"/>
      <c r="Q183" s="576"/>
      <c r="R183" s="346"/>
      <c r="S183" s="346"/>
    </row>
    <row r="184" ht="15.75" customHeight="1">
      <c r="B184" s="591"/>
      <c r="C184" s="466"/>
      <c r="D184" s="466"/>
      <c r="E184" s="592"/>
      <c r="F184" s="466"/>
      <c r="G184" s="576"/>
      <c r="H184" s="576"/>
      <c r="I184" s="576"/>
      <c r="J184" s="466"/>
      <c r="K184" s="576"/>
      <c r="L184" s="466"/>
      <c r="M184" s="576"/>
      <c r="N184" s="466"/>
      <c r="O184" s="576"/>
      <c r="P184" s="576"/>
      <c r="Q184" s="576"/>
      <c r="R184" s="346"/>
      <c r="S184" s="346"/>
    </row>
    <row r="185" ht="15.75" customHeight="1">
      <c r="B185" s="591"/>
      <c r="C185" s="466"/>
      <c r="D185" s="466"/>
      <c r="E185" s="592"/>
      <c r="F185" s="466"/>
      <c r="G185" s="576"/>
      <c r="H185" s="576"/>
      <c r="I185" s="576"/>
      <c r="J185" s="466"/>
      <c r="K185" s="576"/>
      <c r="L185" s="466"/>
      <c r="M185" s="576"/>
      <c r="N185" s="466"/>
      <c r="O185" s="576"/>
      <c r="P185" s="576"/>
      <c r="Q185" s="576"/>
      <c r="R185" s="346"/>
      <c r="S185" s="346"/>
    </row>
    <row r="186" ht="15.75" customHeight="1">
      <c r="B186" s="591"/>
      <c r="C186" s="466"/>
      <c r="D186" s="466"/>
      <c r="E186" s="592"/>
      <c r="F186" s="466"/>
      <c r="G186" s="576"/>
      <c r="H186" s="576"/>
      <c r="I186" s="576"/>
      <c r="J186" s="466"/>
      <c r="K186" s="576"/>
      <c r="L186" s="466"/>
      <c r="M186" s="576"/>
      <c r="N186" s="466"/>
      <c r="O186" s="576"/>
      <c r="P186" s="576"/>
      <c r="Q186" s="576"/>
      <c r="R186" s="346"/>
      <c r="S186" s="346"/>
    </row>
    <row r="187" ht="15.75" customHeight="1">
      <c r="B187" s="591"/>
      <c r="C187" s="466"/>
      <c r="D187" s="466"/>
      <c r="E187" s="592"/>
      <c r="F187" s="466"/>
      <c r="G187" s="576"/>
      <c r="H187" s="576"/>
      <c r="I187" s="576"/>
      <c r="J187" s="466"/>
      <c r="K187" s="576"/>
      <c r="L187" s="466"/>
      <c r="M187" s="576"/>
      <c r="N187" s="466"/>
      <c r="O187" s="576"/>
      <c r="P187" s="576"/>
      <c r="Q187" s="576"/>
      <c r="R187" s="346"/>
      <c r="S187" s="346"/>
    </row>
    <row r="188" ht="15.75" customHeight="1">
      <c r="B188" s="591"/>
      <c r="C188" s="466"/>
      <c r="D188" s="466"/>
      <c r="E188" s="592"/>
      <c r="F188" s="466"/>
      <c r="G188" s="576"/>
      <c r="H188" s="576"/>
      <c r="I188" s="576"/>
      <c r="J188" s="466"/>
      <c r="K188" s="576"/>
      <c r="L188" s="466"/>
      <c r="M188" s="576"/>
      <c r="N188" s="466"/>
      <c r="O188" s="576"/>
      <c r="P188" s="576"/>
      <c r="Q188" s="576"/>
      <c r="R188" s="346"/>
      <c r="S188" s="346"/>
    </row>
    <row r="189" ht="15.75" customHeight="1">
      <c r="B189" s="591"/>
      <c r="C189" s="466"/>
      <c r="D189" s="466"/>
      <c r="E189" s="592"/>
      <c r="F189" s="466"/>
      <c r="G189" s="576"/>
      <c r="H189" s="576"/>
      <c r="I189" s="576"/>
      <c r="J189" s="466"/>
      <c r="K189" s="576"/>
      <c r="L189" s="466"/>
      <c r="M189" s="576"/>
      <c r="N189" s="466"/>
      <c r="O189" s="576"/>
      <c r="P189" s="576"/>
      <c r="Q189" s="576"/>
      <c r="R189" s="346"/>
      <c r="S189" s="346"/>
    </row>
    <row r="190" ht="15.75" customHeight="1">
      <c r="B190" s="591"/>
      <c r="C190" s="466"/>
      <c r="D190" s="466"/>
      <c r="E190" s="592"/>
      <c r="F190" s="466"/>
      <c r="G190" s="576"/>
      <c r="H190" s="576"/>
      <c r="I190" s="576"/>
      <c r="J190" s="466"/>
      <c r="K190" s="576"/>
      <c r="L190" s="466"/>
      <c r="M190" s="576"/>
      <c r="N190" s="466"/>
      <c r="O190" s="576"/>
      <c r="P190" s="576"/>
      <c r="Q190" s="576"/>
      <c r="R190" s="346"/>
      <c r="S190" s="346"/>
    </row>
    <row r="191" ht="15.75" customHeight="1">
      <c r="B191" s="591"/>
      <c r="C191" s="466"/>
      <c r="D191" s="466"/>
      <c r="E191" s="592"/>
      <c r="F191" s="466"/>
      <c r="G191" s="576"/>
      <c r="H191" s="576"/>
      <c r="I191" s="576"/>
      <c r="J191" s="466"/>
      <c r="K191" s="576"/>
      <c r="L191" s="466"/>
      <c r="M191" s="576"/>
      <c r="N191" s="466"/>
      <c r="O191" s="576"/>
      <c r="P191" s="576"/>
      <c r="Q191" s="576"/>
      <c r="R191" s="346"/>
      <c r="S191" s="346"/>
    </row>
    <row r="192" ht="15.75" customHeight="1">
      <c r="B192" s="591"/>
      <c r="C192" s="466"/>
      <c r="D192" s="466"/>
      <c r="E192" s="592"/>
      <c r="F192" s="466"/>
      <c r="G192" s="576"/>
      <c r="H192" s="576"/>
      <c r="I192" s="576"/>
      <c r="J192" s="466"/>
      <c r="K192" s="576"/>
      <c r="L192" s="466"/>
      <c r="M192" s="576"/>
      <c r="N192" s="466"/>
      <c r="O192" s="576"/>
      <c r="P192" s="576"/>
      <c r="Q192" s="576"/>
      <c r="R192" s="346"/>
      <c r="S192" s="346"/>
    </row>
    <row r="193" ht="15.75" customHeight="1">
      <c r="B193" s="591"/>
      <c r="C193" s="466"/>
      <c r="D193" s="466"/>
      <c r="E193" s="592"/>
      <c r="F193" s="466"/>
      <c r="G193" s="576"/>
      <c r="H193" s="576"/>
      <c r="I193" s="576"/>
      <c r="J193" s="466"/>
      <c r="K193" s="576"/>
      <c r="L193" s="466"/>
      <c r="M193" s="576"/>
      <c r="N193" s="466"/>
      <c r="O193" s="576"/>
      <c r="P193" s="576"/>
      <c r="Q193" s="576"/>
      <c r="R193" s="346"/>
      <c r="S193" s="346"/>
    </row>
    <row r="194" ht="15.75" customHeight="1">
      <c r="B194" s="591"/>
      <c r="C194" s="466"/>
      <c r="D194" s="466"/>
      <c r="E194" s="592"/>
      <c r="F194" s="466"/>
      <c r="G194" s="576"/>
      <c r="H194" s="576"/>
      <c r="I194" s="576"/>
      <c r="J194" s="466"/>
      <c r="K194" s="576"/>
      <c r="L194" s="466"/>
      <c r="M194" s="576"/>
      <c r="N194" s="466"/>
      <c r="O194" s="576"/>
      <c r="P194" s="576"/>
      <c r="Q194" s="576"/>
      <c r="R194" s="346"/>
      <c r="S194" s="346"/>
    </row>
    <row r="195" ht="15.75" customHeight="1">
      <c r="B195" s="591"/>
      <c r="C195" s="466"/>
      <c r="D195" s="466"/>
      <c r="E195" s="592"/>
      <c r="F195" s="466"/>
      <c r="G195" s="576"/>
      <c r="H195" s="576"/>
      <c r="I195" s="576"/>
      <c r="J195" s="466"/>
      <c r="K195" s="576"/>
      <c r="L195" s="466"/>
      <c r="M195" s="576"/>
      <c r="N195" s="466"/>
      <c r="O195" s="576"/>
      <c r="P195" s="576"/>
      <c r="Q195" s="576"/>
      <c r="R195" s="346"/>
      <c r="S195" s="346"/>
    </row>
    <row r="196" ht="15.75" customHeight="1">
      <c r="B196" s="591"/>
      <c r="C196" s="466"/>
      <c r="D196" s="466"/>
      <c r="E196" s="592"/>
      <c r="F196" s="466"/>
      <c r="G196" s="576"/>
      <c r="H196" s="576"/>
      <c r="I196" s="576"/>
      <c r="J196" s="466"/>
      <c r="K196" s="576"/>
      <c r="L196" s="466"/>
      <c r="M196" s="576"/>
      <c r="N196" s="466"/>
      <c r="O196" s="576"/>
      <c r="P196" s="576"/>
      <c r="Q196" s="576"/>
      <c r="R196" s="346"/>
      <c r="S196" s="346"/>
    </row>
    <row r="197" ht="15.75" customHeight="1">
      <c r="B197" s="591"/>
      <c r="C197" s="466"/>
      <c r="D197" s="466"/>
      <c r="E197" s="592"/>
      <c r="F197" s="466"/>
      <c r="G197" s="576"/>
      <c r="H197" s="576"/>
      <c r="I197" s="576"/>
      <c r="J197" s="466"/>
      <c r="K197" s="576"/>
      <c r="L197" s="466"/>
      <c r="M197" s="576"/>
      <c r="N197" s="466"/>
      <c r="O197" s="576"/>
      <c r="P197" s="576"/>
      <c r="Q197" s="576"/>
      <c r="R197" s="346"/>
      <c r="S197" s="346"/>
    </row>
    <row r="198" ht="15.75" customHeight="1">
      <c r="B198" s="591"/>
      <c r="C198" s="466"/>
      <c r="D198" s="466"/>
      <c r="E198" s="592"/>
      <c r="F198" s="466"/>
      <c r="G198" s="576"/>
      <c r="H198" s="576"/>
      <c r="I198" s="576"/>
      <c r="J198" s="466"/>
      <c r="K198" s="576"/>
      <c r="L198" s="466"/>
      <c r="M198" s="576"/>
      <c r="N198" s="466"/>
      <c r="O198" s="576"/>
      <c r="P198" s="576"/>
      <c r="Q198" s="576"/>
      <c r="R198" s="346"/>
      <c r="S198" s="346"/>
    </row>
    <row r="199" ht="15.75" customHeight="1">
      <c r="B199" s="591"/>
      <c r="C199" s="466"/>
      <c r="D199" s="466"/>
      <c r="E199" s="592"/>
      <c r="F199" s="466"/>
      <c r="G199" s="576"/>
      <c r="H199" s="576"/>
      <c r="I199" s="576"/>
      <c r="J199" s="466"/>
      <c r="K199" s="576"/>
      <c r="L199" s="466"/>
      <c r="M199" s="576"/>
      <c r="N199" s="466"/>
      <c r="O199" s="576"/>
      <c r="P199" s="576"/>
      <c r="Q199" s="576"/>
      <c r="R199" s="346"/>
      <c r="S199" s="346"/>
    </row>
    <row r="200" ht="15.75" customHeight="1">
      <c r="B200" s="591"/>
      <c r="C200" s="466"/>
      <c r="D200" s="466"/>
      <c r="E200" s="592"/>
      <c r="F200" s="466"/>
      <c r="G200" s="576"/>
      <c r="H200" s="576"/>
      <c r="I200" s="576"/>
      <c r="J200" s="466"/>
      <c r="K200" s="576"/>
      <c r="L200" s="466"/>
      <c r="M200" s="576"/>
      <c r="N200" s="466"/>
      <c r="O200" s="576"/>
      <c r="P200" s="576"/>
      <c r="Q200" s="576"/>
      <c r="R200" s="346"/>
      <c r="S200" s="346"/>
    </row>
    <row r="201" ht="15.75" customHeight="1">
      <c r="B201" s="591"/>
      <c r="C201" s="466"/>
      <c r="D201" s="466"/>
      <c r="E201" s="592"/>
      <c r="F201" s="466"/>
      <c r="G201" s="576"/>
      <c r="H201" s="576"/>
      <c r="I201" s="576"/>
      <c r="J201" s="466"/>
      <c r="K201" s="576"/>
      <c r="L201" s="466"/>
      <c r="M201" s="576"/>
      <c r="N201" s="466"/>
      <c r="O201" s="576"/>
      <c r="P201" s="576"/>
      <c r="Q201" s="576"/>
      <c r="R201" s="346"/>
      <c r="S201" s="346"/>
    </row>
    <row r="202" ht="15.75" customHeight="1">
      <c r="B202" s="591"/>
      <c r="C202" s="466"/>
      <c r="D202" s="466"/>
      <c r="E202" s="592"/>
      <c r="F202" s="466"/>
      <c r="G202" s="576"/>
      <c r="H202" s="576"/>
      <c r="I202" s="576"/>
      <c r="J202" s="466"/>
      <c r="K202" s="576"/>
      <c r="L202" s="466"/>
      <c r="M202" s="576"/>
      <c r="N202" s="466"/>
      <c r="O202" s="576"/>
      <c r="P202" s="576"/>
      <c r="Q202" s="576"/>
      <c r="R202" s="346"/>
      <c r="S202" s="346"/>
    </row>
    <row r="203" ht="15.75" customHeight="1">
      <c r="B203" s="591"/>
      <c r="C203" s="466"/>
      <c r="D203" s="466"/>
      <c r="E203" s="592"/>
      <c r="F203" s="466"/>
      <c r="G203" s="576"/>
      <c r="H203" s="576"/>
      <c r="I203" s="576"/>
      <c r="J203" s="466"/>
      <c r="K203" s="576"/>
      <c r="L203" s="466"/>
      <c r="M203" s="576"/>
      <c r="N203" s="466"/>
      <c r="O203" s="576"/>
      <c r="P203" s="576"/>
      <c r="Q203" s="576"/>
      <c r="R203" s="346"/>
      <c r="S203" s="346"/>
    </row>
    <row r="204" ht="15.75" customHeight="1">
      <c r="B204" s="591"/>
      <c r="C204" s="466"/>
      <c r="D204" s="466"/>
      <c r="E204" s="592"/>
      <c r="F204" s="466"/>
      <c r="G204" s="576"/>
      <c r="H204" s="576"/>
      <c r="I204" s="576"/>
      <c r="J204" s="466"/>
      <c r="K204" s="576"/>
      <c r="L204" s="466"/>
      <c r="M204" s="576"/>
      <c r="N204" s="466"/>
      <c r="O204" s="576"/>
      <c r="P204" s="576"/>
      <c r="Q204" s="576"/>
      <c r="R204" s="346"/>
      <c r="S204" s="346"/>
    </row>
    <row r="205" ht="15.75" customHeight="1">
      <c r="B205" s="591"/>
      <c r="C205" s="466"/>
      <c r="D205" s="466"/>
      <c r="E205" s="592"/>
      <c r="F205" s="466"/>
      <c r="G205" s="576"/>
      <c r="H205" s="576"/>
      <c r="I205" s="576"/>
      <c r="J205" s="466"/>
      <c r="K205" s="576"/>
      <c r="L205" s="466"/>
      <c r="M205" s="576"/>
      <c r="N205" s="466"/>
      <c r="O205" s="576"/>
      <c r="P205" s="576"/>
      <c r="Q205" s="576"/>
      <c r="R205" s="346"/>
      <c r="S205" s="346"/>
    </row>
    <row r="206" ht="15.75" customHeight="1">
      <c r="B206" s="591"/>
      <c r="C206" s="466"/>
      <c r="D206" s="466"/>
      <c r="E206" s="592"/>
      <c r="F206" s="466"/>
      <c r="G206" s="576"/>
      <c r="H206" s="576"/>
      <c r="I206" s="576"/>
      <c r="J206" s="466"/>
      <c r="K206" s="576"/>
      <c r="L206" s="466"/>
      <c r="M206" s="576"/>
      <c r="N206" s="466"/>
      <c r="O206" s="576"/>
      <c r="P206" s="576"/>
      <c r="Q206" s="576"/>
      <c r="R206" s="346"/>
      <c r="S206" s="346"/>
    </row>
    <row r="207" ht="15.75" customHeight="1">
      <c r="B207" s="591"/>
      <c r="C207" s="466"/>
      <c r="D207" s="466"/>
      <c r="E207" s="592"/>
      <c r="F207" s="466"/>
      <c r="G207" s="576"/>
      <c r="H207" s="576"/>
      <c r="I207" s="576"/>
      <c r="J207" s="466"/>
      <c r="K207" s="576"/>
      <c r="L207" s="466"/>
      <c r="M207" s="576"/>
      <c r="N207" s="466"/>
      <c r="O207" s="576"/>
      <c r="P207" s="576"/>
      <c r="Q207" s="576"/>
      <c r="R207" s="346"/>
      <c r="S207" s="346"/>
    </row>
    <row r="208" ht="15.75" customHeight="1">
      <c r="B208" s="591"/>
      <c r="C208" s="466"/>
      <c r="D208" s="466"/>
      <c r="E208" s="592"/>
      <c r="F208" s="466"/>
      <c r="G208" s="576"/>
      <c r="H208" s="576"/>
      <c r="I208" s="576"/>
      <c r="J208" s="466"/>
      <c r="K208" s="576"/>
      <c r="L208" s="466"/>
      <c r="M208" s="576"/>
      <c r="N208" s="466"/>
      <c r="O208" s="576"/>
      <c r="P208" s="576"/>
      <c r="Q208" s="576"/>
      <c r="R208" s="346"/>
      <c r="S208" s="346"/>
    </row>
    <row r="209" ht="15.75" customHeight="1">
      <c r="B209" s="591"/>
      <c r="C209" s="466"/>
      <c r="D209" s="466"/>
      <c r="E209" s="592"/>
      <c r="F209" s="466"/>
      <c r="G209" s="576"/>
      <c r="H209" s="576"/>
      <c r="I209" s="576"/>
      <c r="J209" s="466"/>
      <c r="K209" s="576"/>
      <c r="L209" s="466"/>
      <c r="M209" s="576"/>
      <c r="N209" s="466"/>
      <c r="O209" s="576"/>
      <c r="P209" s="576"/>
      <c r="Q209" s="576"/>
      <c r="R209" s="346"/>
      <c r="S209" s="346"/>
    </row>
    <row r="210" ht="15.75" customHeight="1">
      <c r="B210" s="591"/>
      <c r="C210" s="466"/>
      <c r="D210" s="466"/>
      <c r="E210" s="592"/>
      <c r="F210" s="466"/>
      <c r="G210" s="576"/>
      <c r="H210" s="576"/>
      <c r="I210" s="576"/>
      <c r="J210" s="466"/>
      <c r="K210" s="576"/>
      <c r="L210" s="466"/>
      <c r="M210" s="576"/>
      <c r="N210" s="466"/>
      <c r="O210" s="576"/>
      <c r="P210" s="576"/>
      <c r="Q210" s="576"/>
      <c r="R210" s="346"/>
      <c r="S210" s="346"/>
    </row>
    <row r="211" ht="15.75" customHeight="1">
      <c r="B211" s="591"/>
      <c r="C211" s="466"/>
      <c r="D211" s="466"/>
      <c r="E211" s="592"/>
      <c r="F211" s="466"/>
      <c r="G211" s="576"/>
      <c r="H211" s="576"/>
      <c r="I211" s="576"/>
      <c r="J211" s="466"/>
      <c r="K211" s="576"/>
      <c r="L211" s="466"/>
      <c r="M211" s="576"/>
      <c r="N211" s="466"/>
      <c r="O211" s="576"/>
      <c r="P211" s="576"/>
      <c r="Q211" s="576"/>
      <c r="R211" s="346"/>
      <c r="S211" s="346"/>
    </row>
    <row r="212" ht="15.75" customHeight="1">
      <c r="B212" s="591"/>
      <c r="C212" s="466"/>
      <c r="D212" s="466"/>
      <c r="E212" s="592"/>
      <c r="F212" s="466"/>
      <c r="G212" s="576"/>
      <c r="H212" s="576"/>
      <c r="I212" s="576"/>
      <c r="J212" s="466"/>
      <c r="K212" s="576"/>
      <c r="L212" s="466"/>
      <c r="M212" s="576"/>
      <c r="N212" s="466"/>
      <c r="O212" s="576"/>
      <c r="P212" s="576"/>
      <c r="Q212" s="576"/>
      <c r="R212" s="346"/>
      <c r="S212" s="346"/>
    </row>
    <row r="213" ht="15.75" customHeight="1">
      <c r="B213" s="591"/>
      <c r="C213" s="466"/>
      <c r="D213" s="466"/>
      <c r="E213" s="592"/>
      <c r="F213" s="466"/>
      <c r="G213" s="576"/>
      <c r="H213" s="576"/>
      <c r="I213" s="576"/>
      <c r="J213" s="466"/>
      <c r="K213" s="576"/>
      <c r="L213" s="466"/>
      <c r="M213" s="576"/>
      <c r="N213" s="466"/>
      <c r="O213" s="576"/>
      <c r="P213" s="576"/>
      <c r="Q213" s="576"/>
      <c r="R213" s="346"/>
      <c r="S213" s="346"/>
    </row>
    <row r="214" ht="15.75" customHeight="1">
      <c r="B214" s="591"/>
      <c r="C214" s="466"/>
      <c r="D214" s="466"/>
      <c r="E214" s="592"/>
      <c r="F214" s="466"/>
      <c r="G214" s="576"/>
      <c r="H214" s="576"/>
      <c r="I214" s="576"/>
      <c r="J214" s="466"/>
      <c r="K214" s="576"/>
      <c r="L214" s="466"/>
      <c r="M214" s="576"/>
      <c r="N214" s="466"/>
      <c r="O214" s="576"/>
      <c r="P214" s="576"/>
      <c r="Q214" s="576"/>
      <c r="R214" s="346"/>
      <c r="S214" s="346"/>
    </row>
    <row r="215" ht="15.75" customHeight="1">
      <c r="B215" s="591"/>
      <c r="C215" s="466"/>
      <c r="D215" s="466"/>
      <c r="E215" s="592"/>
      <c r="F215" s="466"/>
      <c r="G215" s="576"/>
      <c r="H215" s="576"/>
      <c r="I215" s="576"/>
      <c r="J215" s="466"/>
      <c r="K215" s="576"/>
      <c r="L215" s="466"/>
      <c r="M215" s="576"/>
      <c r="N215" s="466"/>
      <c r="O215" s="576"/>
      <c r="P215" s="576"/>
      <c r="Q215" s="576"/>
      <c r="R215" s="346"/>
      <c r="S215" s="346"/>
    </row>
    <row r="216" ht="15.75" customHeight="1">
      <c r="B216" s="591"/>
      <c r="C216" s="466"/>
      <c r="D216" s="466"/>
      <c r="E216" s="592"/>
      <c r="F216" s="466"/>
      <c r="G216" s="576"/>
      <c r="H216" s="576"/>
      <c r="I216" s="576"/>
      <c r="J216" s="466"/>
      <c r="K216" s="576"/>
      <c r="L216" s="466"/>
      <c r="M216" s="576"/>
      <c r="N216" s="466"/>
      <c r="O216" s="576"/>
      <c r="P216" s="576"/>
      <c r="Q216" s="576"/>
      <c r="R216" s="346"/>
      <c r="S216" s="346"/>
    </row>
    <row r="217" ht="15.75" customHeight="1">
      <c r="B217" s="591"/>
      <c r="C217" s="466"/>
      <c r="D217" s="466"/>
      <c r="E217" s="592"/>
      <c r="F217" s="466"/>
      <c r="G217" s="576"/>
      <c r="H217" s="576"/>
      <c r="I217" s="576"/>
      <c r="J217" s="466"/>
      <c r="K217" s="576"/>
      <c r="L217" s="466"/>
      <c r="M217" s="576"/>
      <c r="N217" s="466"/>
      <c r="O217" s="576"/>
      <c r="P217" s="576"/>
      <c r="Q217" s="576"/>
      <c r="R217" s="346"/>
      <c r="S217" s="346"/>
    </row>
    <row r="218" ht="15.75" customHeight="1">
      <c r="B218" s="591"/>
      <c r="C218" s="466"/>
      <c r="D218" s="466"/>
      <c r="E218" s="592"/>
      <c r="F218" s="466"/>
      <c r="G218" s="576"/>
      <c r="H218" s="576"/>
      <c r="I218" s="576"/>
      <c r="J218" s="466"/>
      <c r="K218" s="576"/>
      <c r="L218" s="466"/>
      <c r="M218" s="576"/>
      <c r="N218" s="466"/>
      <c r="O218" s="576"/>
      <c r="P218" s="576"/>
      <c r="Q218" s="576"/>
      <c r="R218" s="346"/>
      <c r="S218" s="346"/>
    </row>
    <row r="219" ht="15.75" customHeight="1">
      <c r="B219" s="591"/>
      <c r="C219" s="466"/>
      <c r="D219" s="466"/>
      <c r="E219" s="592"/>
      <c r="F219" s="466"/>
      <c r="G219" s="576"/>
      <c r="H219" s="576"/>
      <c r="I219" s="576"/>
      <c r="J219" s="466"/>
      <c r="K219" s="576"/>
      <c r="L219" s="466"/>
      <c r="M219" s="576"/>
      <c r="N219" s="466"/>
      <c r="O219" s="576"/>
      <c r="P219" s="576"/>
      <c r="Q219" s="576"/>
      <c r="R219" s="346"/>
      <c r="S219" s="346"/>
    </row>
    <row r="220" ht="15.75" customHeight="1">
      <c r="B220" s="591"/>
      <c r="C220" s="466"/>
      <c r="D220" s="466"/>
      <c r="E220" s="592"/>
      <c r="F220" s="466"/>
      <c r="G220" s="576"/>
      <c r="H220" s="576"/>
      <c r="I220" s="576"/>
      <c r="J220" s="466"/>
      <c r="K220" s="576"/>
      <c r="L220" s="466"/>
      <c r="M220" s="576"/>
      <c r="N220" s="466"/>
      <c r="O220" s="576"/>
      <c r="P220" s="576"/>
      <c r="Q220" s="576"/>
      <c r="R220" s="346"/>
      <c r="S220" s="346"/>
    </row>
    <row r="221" ht="15.75" customHeight="1">
      <c r="B221" s="591"/>
      <c r="C221" s="466"/>
      <c r="D221" s="466"/>
      <c r="E221" s="592"/>
      <c r="F221" s="466"/>
      <c r="G221" s="576"/>
      <c r="H221" s="576"/>
      <c r="I221" s="576"/>
      <c r="J221" s="466"/>
      <c r="K221" s="576"/>
      <c r="L221" s="466"/>
      <c r="M221" s="576"/>
      <c r="N221" s="466"/>
      <c r="O221" s="576"/>
      <c r="P221" s="576"/>
      <c r="Q221" s="576"/>
      <c r="R221" s="346"/>
      <c r="S221" s="346"/>
    </row>
    <row r="222" ht="15.75" customHeight="1">
      <c r="B222" s="591"/>
      <c r="C222" s="466"/>
      <c r="D222" s="466"/>
      <c r="E222" s="592"/>
      <c r="F222" s="466"/>
      <c r="G222" s="576"/>
      <c r="H222" s="576"/>
      <c r="I222" s="576"/>
      <c r="J222" s="466"/>
      <c r="K222" s="576"/>
      <c r="L222" s="466"/>
      <c r="M222" s="576"/>
      <c r="N222" s="466"/>
      <c r="O222" s="576"/>
      <c r="P222" s="576"/>
      <c r="Q222" s="576"/>
      <c r="R222" s="346"/>
      <c r="S222" s="346"/>
    </row>
    <row r="223" ht="15.75" customHeight="1">
      <c r="B223" s="591"/>
      <c r="C223" s="466"/>
      <c r="D223" s="466"/>
      <c r="E223" s="592"/>
      <c r="F223" s="466"/>
      <c r="G223" s="576"/>
      <c r="H223" s="576"/>
      <c r="I223" s="576"/>
      <c r="J223" s="466"/>
      <c r="K223" s="576"/>
      <c r="L223" s="466"/>
      <c r="M223" s="576"/>
      <c r="N223" s="466"/>
      <c r="O223" s="576"/>
      <c r="P223" s="576"/>
      <c r="Q223" s="576"/>
      <c r="R223" s="346"/>
      <c r="S223" s="346"/>
    </row>
    <row r="224" ht="15.75" customHeight="1">
      <c r="B224" s="591"/>
      <c r="C224" s="466"/>
      <c r="D224" s="466"/>
      <c r="E224" s="592"/>
      <c r="F224" s="466"/>
      <c r="G224" s="576"/>
      <c r="H224" s="576"/>
      <c r="I224" s="576"/>
      <c r="J224" s="466"/>
      <c r="K224" s="576"/>
      <c r="L224" s="466"/>
      <c r="M224" s="576"/>
      <c r="N224" s="466"/>
      <c r="O224" s="576"/>
      <c r="P224" s="576"/>
      <c r="Q224" s="576"/>
      <c r="R224" s="346"/>
      <c r="S224" s="346"/>
    </row>
    <row r="225" ht="15.75" customHeight="1">
      <c r="B225" s="591"/>
      <c r="C225" s="466"/>
      <c r="D225" s="466"/>
      <c r="E225" s="592"/>
      <c r="F225" s="466"/>
      <c r="G225" s="576"/>
      <c r="H225" s="576"/>
      <c r="I225" s="576"/>
      <c r="J225" s="466"/>
      <c r="K225" s="576"/>
      <c r="L225" s="466"/>
      <c r="M225" s="576"/>
      <c r="N225" s="466"/>
      <c r="O225" s="576"/>
      <c r="P225" s="576"/>
      <c r="Q225" s="576"/>
      <c r="R225" s="346"/>
      <c r="S225" s="346"/>
    </row>
    <row r="226" ht="15.75" customHeight="1">
      <c r="B226" s="591"/>
      <c r="C226" s="466"/>
      <c r="D226" s="466"/>
      <c r="E226" s="592"/>
      <c r="F226" s="466"/>
      <c r="G226" s="576"/>
      <c r="H226" s="576"/>
      <c r="I226" s="576"/>
      <c r="J226" s="466"/>
      <c r="K226" s="576"/>
      <c r="L226" s="466"/>
      <c r="M226" s="576"/>
      <c r="N226" s="466"/>
      <c r="O226" s="576"/>
      <c r="P226" s="576"/>
      <c r="Q226" s="576"/>
      <c r="R226" s="346"/>
      <c r="S226" s="346"/>
    </row>
    <row r="227" ht="15.75" customHeight="1">
      <c r="B227" s="591"/>
      <c r="C227" s="466"/>
      <c r="D227" s="466"/>
      <c r="E227" s="592"/>
      <c r="F227" s="466"/>
      <c r="G227" s="576"/>
      <c r="H227" s="576"/>
      <c r="I227" s="576"/>
      <c r="J227" s="466"/>
      <c r="K227" s="576"/>
      <c r="L227" s="466"/>
      <c r="M227" s="576"/>
      <c r="N227" s="466"/>
      <c r="O227" s="576"/>
      <c r="P227" s="576"/>
      <c r="Q227" s="576"/>
      <c r="R227" s="346"/>
      <c r="S227" s="346"/>
    </row>
    <row r="228" ht="15.75" customHeight="1">
      <c r="B228" s="591"/>
      <c r="C228" s="466"/>
      <c r="D228" s="466"/>
      <c r="E228" s="592"/>
      <c r="F228" s="466"/>
      <c r="G228" s="576"/>
      <c r="H228" s="576"/>
      <c r="I228" s="576"/>
      <c r="J228" s="466"/>
      <c r="K228" s="576"/>
      <c r="L228" s="466"/>
      <c r="M228" s="576"/>
      <c r="N228" s="466"/>
      <c r="O228" s="576"/>
      <c r="P228" s="576"/>
      <c r="Q228" s="576"/>
      <c r="R228" s="346"/>
      <c r="S228" s="346"/>
    </row>
    <row r="229" ht="15.75" customHeight="1">
      <c r="B229" s="591"/>
      <c r="C229" s="466"/>
      <c r="D229" s="466"/>
      <c r="E229" s="592"/>
      <c r="F229" s="466"/>
      <c r="G229" s="576"/>
      <c r="H229" s="576"/>
      <c r="I229" s="576"/>
      <c r="J229" s="466"/>
      <c r="K229" s="576"/>
      <c r="L229" s="466"/>
      <c r="M229" s="576"/>
      <c r="N229" s="466"/>
      <c r="O229" s="576"/>
      <c r="P229" s="576"/>
      <c r="Q229" s="576"/>
      <c r="R229" s="346"/>
      <c r="S229" s="346"/>
    </row>
    <row r="230" ht="15.75" customHeight="1">
      <c r="B230" s="591"/>
      <c r="C230" s="466"/>
      <c r="D230" s="466"/>
      <c r="E230" s="592"/>
      <c r="F230" s="466"/>
      <c r="G230" s="576"/>
      <c r="H230" s="576"/>
      <c r="I230" s="576"/>
      <c r="J230" s="466"/>
      <c r="K230" s="576"/>
      <c r="L230" s="466"/>
      <c r="M230" s="576"/>
      <c r="N230" s="466"/>
      <c r="O230" s="576"/>
      <c r="P230" s="576"/>
      <c r="Q230" s="576"/>
      <c r="R230" s="346"/>
      <c r="S230" s="346"/>
    </row>
    <row r="231" ht="15.75" customHeight="1">
      <c r="B231" s="591"/>
      <c r="C231" s="466"/>
      <c r="D231" s="466"/>
      <c r="E231" s="592"/>
      <c r="F231" s="466"/>
      <c r="G231" s="576"/>
      <c r="H231" s="576"/>
      <c r="I231" s="576"/>
      <c r="J231" s="466"/>
      <c r="K231" s="576"/>
      <c r="L231" s="466"/>
      <c r="M231" s="576"/>
      <c r="N231" s="466"/>
      <c r="O231" s="576"/>
      <c r="P231" s="576"/>
      <c r="Q231" s="576"/>
      <c r="R231" s="346"/>
      <c r="S231" s="346"/>
    </row>
    <row r="232" ht="15.75" customHeight="1">
      <c r="B232" s="591"/>
      <c r="C232" s="466"/>
      <c r="D232" s="466"/>
      <c r="E232" s="592"/>
      <c r="F232" s="466"/>
      <c r="G232" s="576"/>
      <c r="H232" s="576"/>
      <c r="I232" s="576"/>
      <c r="J232" s="466"/>
      <c r="K232" s="576"/>
      <c r="L232" s="466"/>
      <c r="M232" s="576"/>
      <c r="N232" s="466"/>
      <c r="O232" s="576"/>
      <c r="P232" s="576"/>
      <c r="Q232" s="576"/>
      <c r="R232" s="346"/>
      <c r="S232" s="346"/>
    </row>
    <row r="233" ht="15.75" customHeight="1">
      <c r="B233" s="591"/>
      <c r="C233" s="466"/>
      <c r="D233" s="466"/>
      <c r="E233" s="592"/>
      <c r="F233" s="466"/>
      <c r="G233" s="576"/>
      <c r="H233" s="576"/>
      <c r="I233" s="576"/>
      <c r="J233" s="466"/>
      <c r="K233" s="576"/>
      <c r="L233" s="466"/>
      <c r="M233" s="576"/>
      <c r="N233" s="466"/>
      <c r="O233" s="576"/>
      <c r="P233" s="576"/>
      <c r="Q233" s="576"/>
      <c r="R233" s="346"/>
      <c r="S233" s="346"/>
    </row>
    <row r="234" ht="15.75" customHeight="1">
      <c r="B234" s="591"/>
      <c r="C234" s="466"/>
      <c r="D234" s="466"/>
      <c r="E234" s="592"/>
      <c r="F234" s="466"/>
      <c r="G234" s="576"/>
      <c r="H234" s="576"/>
      <c r="I234" s="576"/>
      <c r="J234" s="466"/>
      <c r="K234" s="576"/>
      <c r="L234" s="466"/>
      <c r="M234" s="576"/>
      <c r="N234" s="466"/>
      <c r="O234" s="576"/>
      <c r="P234" s="576"/>
      <c r="Q234" s="576"/>
      <c r="R234" s="346"/>
      <c r="S234" s="346"/>
    </row>
    <row r="235" ht="15.75" customHeight="1">
      <c r="B235" s="591"/>
      <c r="C235" s="466"/>
      <c r="D235" s="466"/>
      <c r="E235" s="592"/>
      <c r="F235" s="466"/>
      <c r="G235" s="576"/>
      <c r="H235" s="576"/>
      <c r="I235" s="576"/>
      <c r="J235" s="466"/>
      <c r="K235" s="576"/>
      <c r="L235" s="466"/>
      <c r="M235" s="576"/>
      <c r="N235" s="466"/>
      <c r="O235" s="576"/>
      <c r="P235" s="576"/>
      <c r="Q235" s="576"/>
      <c r="R235" s="346"/>
      <c r="S235" s="346"/>
    </row>
    <row r="236" ht="15.75" customHeight="1">
      <c r="B236" s="591"/>
      <c r="C236" s="466"/>
      <c r="D236" s="466"/>
      <c r="E236" s="592"/>
      <c r="F236" s="466"/>
      <c r="G236" s="576"/>
      <c r="H236" s="576"/>
      <c r="I236" s="576"/>
      <c r="J236" s="466"/>
      <c r="K236" s="576"/>
      <c r="L236" s="466"/>
      <c r="M236" s="576"/>
      <c r="N236" s="466"/>
      <c r="O236" s="576"/>
      <c r="P236" s="576"/>
      <c r="Q236" s="576"/>
      <c r="R236" s="346"/>
      <c r="S236" s="346"/>
    </row>
    <row r="237" ht="15.75" customHeight="1">
      <c r="B237" s="591"/>
      <c r="C237" s="466"/>
      <c r="D237" s="466"/>
      <c r="E237" s="592"/>
      <c r="F237" s="466"/>
      <c r="G237" s="576"/>
      <c r="H237" s="576"/>
      <c r="I237" s="576"/>
      <c r="J237" s="466"/>
      <c r="K237" s="576"/>
      <c r="L237" s="466"/>
      <c r="M237" s="576"/>
      <c r="N237" s="466"/>
      <c r="O237" s="576"/>
      <c r="P237" s="576"/>
      <c r="Q237" s="576"/>
      <c r="R237" s="346"/>
      <c r="S237" s="346"/>
    </row>
    <row r="238" ht="15.75" customHeight="1">
      <c r="B238" s="591"/>
      <c r="C238" s="466"/>
      <c r="D238" s="466"/>
      <c r="E238" s="592"/>
      <c r="F238" s="466"/>
      <c r="G238" s="576"/>
      <c r="H238" s="576"/>
      <c r="I238" s="576"/>
      <c r="J238" s="466"/>
      <c r="K238" s="576"/>
      <c r="L238" s="466"/>
      <c r="M238" s="576"/>
      <c r="N238" s="466"/>
      <c r="O238" s="576"/>
      <c r="P238" s="576"/>
      <c r="Q238" s="576"/>
      <c r="R238" s="346"/>
      <c r="S238" s="346"/>
    </row>
    <row r="239" ht="15.75" customHeight="1">
      <c r="B239" s="591"/>
      <c r="C239" s="466"/>
      <c r="D239" s="466"/>
      <c r="E239" s="592"/>
      <c r="F239" s="466"/>
      <c r="G239" s="576"/>
      <c r="H239" s="576"/>
      <c r="I239" s="576"/>
      <c r="J239" s="466"/>
      <c r="K239" s="576"/>
      <c r="L239" s="466"/>
      <c r="M239" s="576"/>
      <c r="N239" s="466"/>
      <c r="O239" s="576"/>
      <c r="P239" s="576"/>
      <c r="Q239" s="576"/>
      <c r="R239" s="346"/>
      <c r="S239" s="346"/>
    </row>
    <row r="240" ht="15.75" customHeight="1">
      <c r="B240" s="591"/>
      <c r="C240" s="466"/>
      <c r="D240" s="466"/>
      <c r="E240" s="592"/>
      <c r="F240" s="466"/>
      <c r="G240" s="576"/>
      <c r="H240" s="576"/>
      <c r="I240" s="576"/>
      <c r="J240" s="466"/>
      <c r="K240" s="576"/>
      <c r="L240" s="466"/>
      <c r="M240" s="576"/>
      <c r="N240" s="466"/>
      <c r="O240" s="576"/>
      <c r="P240" s="576"/>
      <c r="Q240" s="576"/>
      <c r="R240" s="346"/>
      <c r="S240" s="346"/>
    </row>
    <row r="241" ht="15.75" customHeight="1">
      <c r="B241" s="591"/>
      <c r="C241" s="466"/>
      <c r="D241" s="466"/>
      <c r="E241" s="592"/>
      <c r="F241" s="466"/>
      <c r="G241" s="576"/>
      <c r="H241" s="576"/>
      <c r="I241" s="576"/>
      <c r="J241" s="466"/>
      <c r="K241" s="576"/>
      <c r="L241" s="466"/>
      <c r="M241" s="576"/>
      <c r="N241" s="466"/>
      <c r="O241" s="576"/>
      <c r="P241" s="576"/>
      <c r="Q241" s="576"/>
      <c r="R241" s="346"/>
      <c r="S241" s="346"/>
    </row>
    <row r="242" ht="15.75" customHeight="1">
      <c r="B242" s="591"/>
      <c r="C242" s="466"/>
      <c r="D242" s="466"/>
      <c r="E242" s="592"/>
      <c r="F242" s="466"/>
      <c r="G242" s="576"/>
      <c r="H242" s="576"/>
      <c r="I242" s="576"/>
      <c r="J242" s="466"/>
      <c r="K242" s="576"/>
      <c r="L242" s="466"/>
      <c r="M242" s="576"/>
      <c r="N242" s="466"/>
      <c r="O242" s="576"/>
      <c r="P242" s="576"/>
      <c r="Q242" s="576"/>
      <c r="R242" s="346"/>
      <c r="S242" s="346"/>
    </row>
    <row r="243" ht="15.75" customHeight="1">
      <c r="B243" s="591"/>
      <c r="C243" s="466"/>
      <c r="D243" s="466"/>
      <c r="E243" s="592"/>
      <c r="F243" s="466"/>
      <c r="G243" s="576"/>
      <c r="H243" s="576"/>
      <c r="I243" s="576"/>
      <c r="J243" s="466"/>
      <c r="K243" s="576"/>
      <c r="L243" s="466"/>
      <c r="M243" s="576"/>
      <c r="N243" s="466"/>
      <c r="O243" s="576"/>
      <c r="P243" s="576"/>
      <c r="Q243" s="576"/>
      <c r="R243" s="346"/>
      <c r="S243" s="346"/>
    </row>
    <row r="244" ht="15.75" customHeight="1">
      <c r="B244" s="591"/>
      <c r="C244" s="466"/>
      <c r="D244" s="466"/>
      <c r="E244" s="592"/>
      <c r="F244" s="466"/>
      <c r="G244" s="576"/>
      <c r="H244" s="576"/>
      <c r="I244" s="576"/>
      <c r="J244" s="466"/>
      <c r="K244" s="576"/>
      <c r="L244" s="466"/>
      <c r="M244" s="576"/>
      <c r="N244" s="466"/>
      <c r="O244" s="576"/>
      <c r="P244" s="576"/>
      <c r="Q244" s="576"/>
      <c r="R244" s="346"/>
      <c r="S244" s="346"/>
    </row>
    <row r="245" ht="15.75" customHeight="1">
      <c r="B245" s="591"/>
      <c r="C245" s="466"/>
      <c r="D245" s="466"/>
      <c r="E245" s="592"/>
      <c r="F245" s="466"/>
      <c r="G245" s="576"/>
      <c r="H245" s="576"/>
      <c r="I245" s="576"/>
      <c r="J245" s="466"/>
      <c r="K245" s="576"/>
      <c r="L245" s="466"/>
      <c r="M245" s="576"/>
      <c r="N245" s="466"/>
      <c r="O245" s="576"/>
      <c r="P245" s="576"/>
      <c r="Q245" s="576"/>
      <c r="R245" s="346"/>
      <c r="S245" s="346"/>
    </row>
    <row r="246" ht="15.75" customHeight="1">
      <c r="B246" s="591"/>
      <c r="C246" s="466"/>
      <c r="D246" s="466"/>
      <c r="E246" s="592"/>
      <c r="F246" s="466"/>
      <c r="G246" s="576"/>
      <c r="H246" s="576"/>
      <c r="I246" s="576"/>
      <c r="J246" s="466"/>
      <c r="K246" s="576"/>
      <c r="L246" s="466"/>
      <c r="M246" s="576"/>
      <c r="N246" s="466"/>
      <c r="O246" s="576"/>
      <c r="P246" s="576"/>
      <c r="Q246" s="576"/>
      <c r="R246" s="346"/>
      <c r="S246" s="346"/>
    </row>
    <row r="247" ht="15.75" customHeight="1">
      <c r="B247" s="591"/>
      <c r="C247" s="466"/>
      <c r="D247" s="466"/>
      <c r="E247" s="592"/>
      <c r="F247" s="466"/>
      <c r="G247" s="576"/>
      <c r="H247" s="576"/>
      <c r="I247" s="576"/>
      <c r="J247" s="466"/>
      <c r="K247" s="576"/>
      <c r="L247" s="466"/>
      <c r="M247" s="576"/>
      <c r="N247" s="466"/>
      <c r="O247" s="576"/>
      <c r="P247" s="576"/>
      <c r="Q247" s="576"/>
      <c r="R247" s="346"/>
      <c r="S247" s="346"/>
    </row>
    <row r="248" ht="15.75" customHeight="1">
      <c r="B248" s="591"/>
      <c r="C248" s="466"/>
      <c r="D248" s="466"/>
      <c r="E248" s="592"/>
      <c r="F248" s="466"/>
      <c r="G248" s="576"/>
      <c r="H248" s="576"/>
      <c r="I248" s="576"/>
      <c r="J248" s="466"/>
      <c r="K248" s="576"/>
      <c r="L248" s="466"/>
      <c r="M248" s="576"/>
      <c r="N248" s="466"/>
      <c r="O248" s="576"/>
      <c r="P248" s="576"/>
      <c r="Q248" s="576"/>
      <c r="R248" s="346"/>
      <c r="S248" s="346"/>
    </row>
    <row r="249" ht="15.75" customHeight="1">
      <c r="B249" s="591"/>
      <c r="C249" s="466"/>
      <c r="D249" s="466"/>
      <c r="E249" s="592"/>
      <c r="F249" s="466"/>
      <c r="G249" s="576"/>
      <c r="H249" s="576"/>
      <c r="I249" s="576"/>
      <c r="J249" s="466"/>
      <c r="K249" s="576"/>
      <c r="L249" s="466"/>
      <c r="M249" s="576"/>
      <c r="N249" s="466"/>
      <c r="O249" s="576"/>
      <c r="P249" s="576"/>
      <c r="Q249" s="576"/>
      <c r="R249" s="346"/>
      <c r="S249" s="346"/>
    </row>
    <row r="250" ht="15.75" customHeight="1">
      <c r="B250" s="591"/>
      <c r="C250" s="466"/>
      <c r="D250" s="466"/>
      <c r="E250" s="592"/>
      <c r="F250" s="466"/>
      <c r="G250" s="576"/>
      <c r="H250" s="576"/>
      <c r="I250" s="576"/>
      <c r="J250" s="466"/>
      <c r="K250" s="576"/>
      <c r="L250" s="466"/>
      <c r="M250" s="576"/>
      <c r="N250" s="466"/>
      <c r="O250" s="576"/>
      <c r="P250" s="576"/>
      <c r="Q250" s="576"/>
      <c r="R250" s="346"/>
      <c r="S250" s="346"/>
    </row>
    <row r="251" ht="15.75" customHeight="1">
      <c r="B251" s="591"/>
      <c r="C251" s="466"/>
      <c r="D251" s="466"/>
      <c r="E251" s="592"/>
      <c r="F251" s="466"/>
      <c r="G251" s="576"/>
      <c r="H251" s="576"/>
      <c r="I251" s="576"/>
      <c r="J251" s="466"/>
      <c r="K251" s="576"/>
      <c r="L251" s="466"/>
      <c r="M251" s="576"/>
      <c r="N251" s="466"/>
      <c r="O251" s="576"/>
      <c r="P251" s="576"/>
      <c r="Q251" s="576"/>
      <c r="R251" s="346"/>
      <c r="S251" s="346"/>
    </row>
    <row r="252" ht="15.75" customHeight="1">
      <c r="B252" s="591"/>
      <c r="C252" s="466"/>
      <c r="D252" s="466"/>
      <c r="E252" s="592"/>
      <c r="F252" s="466"/>
      <c r="G252" s="576"/>
      <c r="H252" s="576"/>
      <c r="I252" s="576"/>
      <c r="J252" s="466"/>
      <c r="K252" s="576"/>
      <c r="L252" s="466"/>
      <c r="M252" s="576"/>
      <c r="N252" s="466"/>
      <c r="O252" s="576"/>
      <c r="P252" s="576"/>
      <c r="Q252" s="576"/>
      <c r="R252" s="346"/>
      <c r="S252" s="346"/>
    </row>
    <row r="253" ht="15.75" customHeight="1">
      <c r="B253" s="591"/>
      <c r="C253" s="466"/>
      <c r="D253" s="466"/>
      <c r="E253" s="592"/>
      <c r="F253" s="466"/>
      <c r="G253" s="576"/>
      <c r="H253" s="576"/>
      <c r="I253" s="576"/>
      <c r="J253" s="466"/>
      <c r="K253" s="576"/>
      <c r="L253" s="466"/>
      <c r="M253" s="576"/>
      <c r="N253" s="466"/>
      <c r="O253" s="576"/>
      <c r="P253" s="576"/>
      <c r="Q253" s="576"/>
      <c r="R253" s="346"/>
      <c r="S253" s="346"/>
    </row>
    <row r="254" ht="15.75" customHeight="1">
      <c r="B254" s="591"/>
      <c r="C254" s="466"/>
      <c r="D254" s="466"/>
      <c r="E254" s="592"/>
      <c r="F254" s="466"/>
      <c r="G254" s="576"/>
      <c r="H254" s="576"/>
      <c r="I254" s="576"/>
      <c r="J254" s="466"/>
      <c r="K254" s="576"/>
      <c r="L254" s="466"/>
      <c r="M254" s="576"/>
      <c r="N254" s="466"/>
      <c r="O254" s="576"/>
      <c r="P254" s="576"/>
      <c r="Q254" s="576"/>
      <c r="R254" s="346"/>
      <c r="S254" s="346"/>
    </row>
    <row r="255" ht="15.75" customHeight="1">
      <c r="B255" s="591"/>
      <c r="C255" s="466"/>
      <c r="D255" s="466"/>
      <c r="E255" s="592"/>
      <c r="F255" s="466"/>
      <c r="G255" s="576"/>
      <c r="H255" s="576"/>
      <c r="I255" s="576"/>
      <c r="J255" s="466"/>
      <c r="K255" s="576"/>
      <c r="L255" s="466"/>
      <c r="M255" s="576"/>
      <c r="N255" s="466"/>
      <c r="O255" s="576"/>
      <c r="P255" s="576"/>
      <c r="Q255" s="576"/>
      <c r="R255" s="346"/>
      <c r="S255" s="346"/>
    </row>
    <row r="256" ht="15.75" customHeight="1">
      <c r="B256" s="591"/>
      <c r="C256" s="466"/>
      <c r="D256" s="466"/>
      <c r="E256" s="592"/>
      <c r="F256" s="466"/>
      <c r="G256" s="576"/>
      <c r="H256" s="576"/>
      <c r="I256" s="576"/>
      <c r="J256" s="466"/>
      <c r="K256" s="576"/>
      <c r="L256" s="466"/>
      <c r="M256" s="576"/>
      <c r="N256" s="466"/>
      <c r="O256" s="576"/>
      <c r="P256" s="576"/>
      <c r="Q256" s="576"/>
      <c r="R256" s="346"/>
      <c r="S256" s="346"/>
    </row>
    <row r="257" ht="15.75" customHeight="1">
      <c r="B257" s="591"/>
      <c r="C257" s="466"/>
      <c r="D257" s="466"/>
      <c r="E257" s="592"/>
      <c r="F257" s="466"/>
      <c r="G257" s="576"/>
      <c r="H257" s="576"/>
      <c r="I257" s="576"/>
      <c r="J257" s="466"/>
      <c r="K257" s="576"/>
      <c r="L257" s="466"/>
      <c r="M257" s="576"/>
      <c r="N257" s="466"/>
      <c r="O257" s="576"/>
      <c r="P257" s="576"/>
      <c r="Q257" s="576"/>
      <c r="R257" s="346"/>
      <c r="S257" s="346"/>
    </row>
    <row r="258" ht="15.75" customHeight="1">
      <c r="B258" s="591"/>
      <c r="C258" s="466"/>
      <c r="D258" s="466"/>
      <c r="E258" s="592"/>
      <c r="F258" s="466"/>
      <c r="G258" s="576"/>
      <c r="H258" s="576"/>
      <c r="I258" s="576"/>
      <c r="J258" s="466"/>
      <c r="K258" s="576"/>
      <c r="L258" s="466"/>
      <c r="M258" s="576"/>
      <c r="N258" s="466"/>
      <c r="O258" s="576"/>
      <c r="P258" s="576"/>
      <c r="Q258" s="576"/>
      <c r="R258" s="346"/>
      <c r="S258" s="346"/>
    </row>
    <row r="259" ht="15.75" customHeight="1">
      <c r="B259" s="591"/>
      <c r="C259" s="466"/>
      <c r="D259" s="466"/>
      <c r="E259" s="592"/>
      <c r="F259" s="466"/>
      <c r="G259" s="576"/>
      <c r="H259" s="576"/>
      <c r="I259" s="576"/>
      <c r="J259" s="466"/>
      <c r="K259" s="576"/>
      <c r="L259" s="466"/>
      <c r="M259" s="576"/>
      <c r="N259" s="466"/>
      <c r="O259" s="576"/>
      <c r="P259" s="576"/>
      <c r="Q259" s="576"/>
      <c r="R259" s="346"/>
      <c r="S259" s="346"/>
    </row>
    <row r="260" ht="15.75" customHeight="1">
      <c r="B260" s="591"/>
      <c r="C260" s="466"/>
      <c r="D260" s="466"/>
      <c r="E260" s="592"/>
      <c r="F260" s="466"/>
      <c r="G260" s="576"/>
      <c r="H260" s="576"/>
      <c r="I260" s="576"/>
      <c r="J260" s="466"/>
      <c r="K260" s="576"/>
      <c r="L260" s="466"/>
      <c r="M260" s="576"/>
      <c r="N260" s="466"/>
      <c r="O260" s="576"/>
      <c r="P260" s="576"/>
      <c r="Q260" s="576"/>
      <c r="R260" s="346"/>
      <c r="S260" s="346"/>
    </row>
    <row r="261" ht="15.75" customHeight="1">
      <c r="B261" s="591"/>
      <c r="C261" s="466"/>
      <c r="D261" s="466"/>
      <c r="E261" s="592"/>
      <c r="F261" s="466"/>
      <c r="G261" s="576"/>
      <c r="H261" s="576"/>
      <c r="I261" s="576"/>
      <c r="J261" s="466"/>
      <c r="K261" s="576"/>
      <c r="L261" s="466"/>
      <c r="M261" s="576"/>
      <c r="N261" s="466"/>
      <c r="O261" s="576"/>
      <c r="P261" s="576"/>
      <c r="Q261" s="576"/>
      <c r="R261" s="346"/>
      <c r="S261" s="346"/>
    </row>
    <row r="262" ht="15.75" customHeight="1">
      <c r="B262" s="591"/>
      <c r="C262" s="466"/>
      <c r="D262" s="466"/>
      <c r="E262" s="592"/>
      <c r="F262" s="466"/>
      <c r="G262" s="576"/>
      <c r="H262" s="576"/>
      <c r="I262" s="576"/>
      <c r="J262" s="466"/>
      <c r="K262" s="576"/>
      <c r="L262" s="466"/>
      <c r="M262" s="576"/>
      <c r="N262" s="466"/>
      <c r="O262" s="576"/>
      <c r="P262" s="576"/>
      <c r="Q262" s="576"/>
      <c r="R262" s="346"/>
      <c r="S262" s="346"/>
    </row>
    <row r="263" ht="15.75" customHeight="1">
      <c r="B263" s="591"/>
      <c r="C263" s="466"/>
      <c r="D263" s="466"/>
      <c r="E263" s="592"/>
      <c r="F263" s="466"/>
      <c r="G263" s="576"/>
      <c r="H263" s="576"/>
      <c r="I263" s="576"/>
      <c r="J263" s="466"/>
      <c r="K263" s="576"/>
      <c r="L263" s="466"/>
      <c r="M263" s="576"/>
      <c r="N263" s="466"/>
      <c r="O263" s="576"/>
      <c r="P263" s="576"/>
      <c r="Q263" s="576"/>
      <c r="R263" s="346"/>
      <c r="S263" s="346"/>
    </row>
    <row r="264" ht="15.75" customHeight="1">
      <c r="B264" s="591"/>
      <c r="C264" s="466"/>
      <c r="D264" s="466"/>
      <c r="E264" s="592"/>
      <c r="F264" s="466"/>
      <c r="G264" s="576"/>
      <c r="H264" s="576"/>
      <c r="I264" s="576"/>
      <c r="J264" s="466"/>
      <c r="K264" s="576"/>
      <c r="L264" s="466"/>
      <c r="M264" s="576"/>
      <c r="N264" s="466"/>
      <c r="O264" s="576"/>
      <c r="P264" s="576"/>
      <c r="Q264" s="576"/>
      <c r="R264" s="346"/>
      <c r="S264" s="346"/>
    </row>
    <row r="265" ht="15.75" customHeight="1">
      <c r="B265" s="591"/>
      <c r="C265" s="466"/>
      <c r="D265" s="466"/>
      <c r="E265" s="592"/>
      <c r="F265" s="466"/>
      <c r="G265" s="576"/>
      <c r="H265" s="576"/>
      <c r="I265" s="576"/>
      <c r="J265" s="466"/>
      <c r="K265" s="576"/>
      <c r="L265" s="466"/>
      <c r="M265" s="576"/>
      <c r="N265" s="466"/>
      <c r="O265" s="576"/>
      <c r="P265" s="576"/>
      <c r="Q265" s="576"/>
      <c r="R265" s="346"/>
      <c r="S265" s="346"/>
    </row>
    <row r="266" ht="15.75" customHeight="1">
      <c r="B266" s="591"/>
      <c r="C266" s="466"/>
      <c r="D266" s="466"/>
      <c r="E266" s="592"/>
      <c r="F266" s="466"/>
      <c r="G266" s="576"/>
      <c r="H266" s="576"/>
      <c r="I266" s="576"/>
      <c r="J266" s="466"/>
      <c r="K266" s="576"/>
      <c r="L266" s="466"/>
      <c r="M266" s="576"/>
      <c r="N266" s="466"/>
      <c r="O266" s="576"/>
      <c r="P266" s="576"/>
      <c r="Q266" s="576"/>
      <c r="R266" s="346"/>
      <c r="S266" s="346"/>
    </row>
    <row r="267" ht="15.75" customHeight="1">
      <c r="B267" s="591"/>
      <c r="C267" s="466"/>
      <c r="D267" s="466"/>
      <c r="E267" s="592"/>
      <c r="F267" s="466"/>
      <c r="G267" s="576"/>
      <c r="H267" s="576"/>
      <c r="I267" s="576"/>
      <c r="J267" s="466"/>
      <c r="K267" s="576"/>
      <c r="L267" s="466"/>
      <c r="M267" s="576"/>
      <c r="N267" s="466"/>
      <c r="O267" s="576"/>
      <c r="P267" s="576"/>
      <c r="Q267" s="576"/>
      <c r="R267" s="346"/>
      <c r="S267" s="346"/>
    </row>
    <row r="268" ht="15.75" customHeight="1">
      <c r="B268" s="591"/>
      <c r="C268" s="466"/>
      <c r="D268" s="466"/>
      <c r="E268" s="592"/>
      <c r="F268" s="466"/>
      <c r="G268" s="576"/>
      <c r="H268" s="576"/>
      <c r="I268" s="576"/>
      <c r="J268" s="466"/>
      <c r="K268" s="576"/>
      <c r="L268" s="466"/>
      <c r="M268" s="576"/>
      <c r="N268" s="466"/>
      <c r="O268" s="576"/>
      <c r="P268" s="576"/>
      <c r="Q268" s="576"/>
      <c r="R268" s="346"/>
      <c r="S268" s="346"/>
    </row>
    <row r="269" ht="15.75" customHeight="1">
      <c r="B269" s="591"/>
      <c r="C269" s="466"/>
      <c r="D269" s="466"/>
      <c r="E269" s="592"/>
      <c r="F269" s="466"/>
      <c r="G269" s="576"/>
      <c r="H269" s="576"/>
      <c r="I269" s="576"/>
      <c r="J269" s="466"/>
      <c r="K269" s="576"/>
      <c r="L269" s="466"/>
      <c r="M269" s="576"/>
      <c r="N269" s="466"/>
      <c r="O269" s="576"/>
      <c r="P269" s="576"/>
      <c r="Q269" s="576"/>
      <c r="R269" s="346"/>
      <c r="S269" s="346"/>
    </row>
    <row r="270" ht="15.75" customHeight="1">
      <c r="B270" s="591"/>
      <c r="C270" s="466"/>
      <c r="D270" s="466"/>
      <c r="E270" s="592"/>
      <c r="F270" s="466"/>
      <c r="G270" s="576"/>
      <c r="H270" s="576"/>
      <c r="I270" s="576"/>
      <c r="J270" s="466"/>
      <c r="K270" s="576"/>
      <c r="L270" s="466"/>
      <c r="M270" s="576"/>
      <c r="N270" s="466"/>
      <c r="O270" s="576"/>
      <c r="P270" s="576"/>
      <c r="Q270" s="576"/>
      <c r="R270" s="346"/>
      <c r="S270" s="346"/>
    </row>
    <row r="271" ht="15.75" customHeight="1">
      <c r="B271" s="591"/>
      <c r="C271" s="466"/>
      <c r="D271" s="466"/>
      <c r="E271" s="592"/>
      <c r="F271" s="466"/>
      <c r="G271" s="576"/>
      <c r="H271" s="576"/>
      <c r="I271" s="576"/>
      <c r="J271" s="466"/>
      <c r="K271" s="576"/>
      <c r="L271" s="466"/>
      <c r="M271" s="576"/>
      <c r="N271" s="466"/>
      <c r="O271" s="576"/>
      <c r="P271" s="576"/>
      <c r="Q271" s="576"/>
      <c r="R271" s="346"/>
      <c r="S271" s="346"/>
    </row>
    <row r="272" ht="15.75" customHeight="1">
      <c r="B272" s="591"/>
      <c r="C272" s="466"/>
      <c r="D272" s="466"/>
      <c r="E272" s="592"/>
      <c r="F272" s="466"/>
      <c r="G272" s="576"/>
      <c r="H272" s="576"/>
      <c r="I272" s="576"/>
      <c r="J272" s="466"/>
      <c r="K272" s="576"/>
      <c r="L272" s="466"/>
      <c r="M272" s="576"/>
      <c r="N272" s="466"/>
      <c r="O272" s="576"/>
      <c r="P272" s="576"/>
      <c r="Q272" s="576"/>
      <c r="R272" s="346"/>
      <c r="S272" s="346"/>
    </row>
    <row r="273" ht="15.75" customHeight="1">
      <c r="B273" s="591"/>
      <c r="C273" s="466"/>
      <c r="D273" s="466"/>
      <c r="E273" s="592"/>
      <c r="F273" s="466"/>
      <c r="G273" s="576"/>
      <c r="H273" s="576"/>
      <c r="I273" s="576"/>
      <c r="J273" s="466"/>
      <c r="K273" s="576"/>
      <c r="L273" s="466"/>
      <c r="M273" s="576"/>
      <c r="N273" s="466"/>
      <c r="O273" s="576"/>
      <c r="P273" s="576"/>
      <c r="Q273" s="576"/>
      <c r="R273" s="346"/>
      <c r="S273" s="346"/>
    </row>
    <row r="274" ht="15.75" customHeight="1">
      <c r="B274" s="591"/>
      <c r="C274" s="466"/>
      <c r="D274" s="466"/>
      <c r="E274" s="592"/>
      <c r="F274" s="466"/>
      <c r="G274" s="576"/>
      <c r="H274" s="576"/>
      <c r="I274" s="576"/>
      <c r="J274" s="466"/>
      <c r="K274" s="576"/>
      <c r="L274" s="466"/>
      <c r="M274" s="576"/>
      <c r="N274" s="466"/>
      <c r="O274" s="576"/>
      <c r="P274" s="576"/>
      <c r="Q274" s="576"/>
      <c r="R274" s="346"/>
      <c r="S274" s="346"/>
    </row>
    <row r="275" ht="15.75" customHeight="1">
      <c r="B275" s="591"/>
      <c r="C275" s="466"/>
      <c r="D275" s="466"/>
      <c r="E275" s="592"/>
      <c r="F275" s="466"/>
      <c r="G275" s="576"/>
      <c r="H275" s="576"/>
      <c r="I275" s="576"/>
      <c r="J275" s="466"/>
      <c r="K275" s="576"/>
      <c r="L275" s="466"/>
      <c r="M275" s="576"/>
      <c r="N275" s="466"/>
      <c r="O275" s="576"/>
      <c r="P275" s="576"/>
      <c r="Q275" s="576"/>
      <c r="R275" s="346"/>
      <c r="S275" s="346"/>
    </row>
    <row r="276" ht="15.75" customHeight="1">
      <c r="B276" s="591"/>
      <c r="C276" s="466"/>
      <c r="D276" s="466"/>
      <c r="E276" s="592"/>
      <c r="F276" s="466"/>
      <c r="G276" s="576"/>
      <c r="H276" s="576"/>
      <c r="I276" s="576"/>
      <c r="J276" s="466"/>
      <c r="K276" s="576"/>
      <c r="L276" s="466"/>
      <c r="M276" s="576"/>
      <c r="N276" s="466"/>
      <c r="O276" s="576"/>
      <c r="P276" s="576"/>
      <c r="Q276" s="576"/>
      <c r="R276" s="346"/>
      <c r="S276" s="346"/>
    </row>
    <row r="277" ht="15.75" customHeight="1">
      <c r="B277" s="591"/>
      <c r="C277" s="466"/>
      <c r="D277" s="466"/>
      <c r="E277" s="592"/>
      <c r="F277" s="466"/>
      <c r="G277" s="576"/>
      <c r="H277" s="576"/>
      <c r="I277" s="576"/>
      <c r="J277" s="466"/>
      <c r="K277" s="576"/>
      <c r="L277" s="466"/>
      <c r="M277" s="576"/>
      <c r="N277" s="466"/>
      <c r="O277" s="576"/>
      <c r="P277" s="576"/>
      <c r="Q277" s="576"/>
      <c r="R277" s="346"/>
      <c r="S277" s="346"/>
    </row>
    <row r="278" ht="15.75" customHeight="1">
      <c r="B278" s="591"/>
      <c r="C278" s="466"/>
      <c r="D278" s="466"/>
      <c r="E278" s="592"/>
      <c r="F278" s="466"/>
      <c r="G278" s="576"/>
      <c r="H278" s="576"/>
      <c r="I278" s="576"/>
      <c r="J278" s="466"/>
      <c r="K278" s="576"/>
      <c r="L278" s="466"/>
      <c r="M278" s="576"/>
      <c r="N278" s="466"/>
      <c r="O278" s="576"/>
      <c r="P278" s="576"/>
      <c r="Q278" s="576"/>
      <c r="R278" s="346"/>
      <c r="S278" s="346"/>
    </row>
    <row r="279" ht="15.75" customHeight="1">
      <c r="B279" s="591"/>
      <c r="C279" s="466"/>
      <c r="D279" s="466"/>
      <c r="E279" s="592"/>
      <c r="F279" s="466"/>
      <c r="G279" s="576"/>
      <c r="H279" s="576"/>
      <c r="I279" s="576"/>
      <c r="J279" s="466"/>
      <c r="K279" s="576"/>
      <c r="L279" s="466"/>
      <c r="M279" s="576"/>
      <c r="N279" s="466"/>
      <c r="O279" s="576"/>
      <c r="P279" s="576"/>
      <c r="Q279" s="576"/>
      <c r="R279" s="346"/>
      <c r="S279" s="346"/>
    </row>
    <row r="280" ht="15.75" customHeight="1">
      <c r="B280" s="591"/>
      <c r="C280" s="466"/>
      <c r="D280" s="466"/>
      <c r="E280" s="592"/>
      <c r="F280" s="466"/>
      <c r="G280" s="576"/>
      <c r="H280" s="576"/>
      <c r="I280" s="576"/>
      <c r="J280" s="466"/>
      <c r="K280" s="576"/>
      <c r="L280" s="466"/>
      <c r="M280" s="576"/>
      <c r="N280" s="466"/>
      <c r="O280" s="576"/>
      <c r="P280" s="576"/>
      <c r="Q280" s="576"/>
      <c r="R280" s="346"/>
      <c r="S280" s="346"/>
    </row>
    <row r="281" ht="15.75" customHeight="1">
      <c r="B281" s="591"/>
      <c r="C281" s="466"/>
      <c r="D281" s="466"/>
      <c r="E281" s="592"/>
      <c r="F281" s="466"/>
      <c r="G281" s="576"/>
      <c r="H281" s="576"/>
      <c r="I281" s="576"/>
      <c r="J281" s="466"/>
      <c r="K281" s="576"/>
      <c r="L281" s="466"/>
      <c r="M281" s="576"/>
      <c r="N281" s="466"/>
      <c r="O281" s="576"/>
      <c r="P281" s="576"/>
      <c r="Q281" s="576"/>
      <c r="R281" s="346"/>
      <c r="S281" s="346"/>
    </row>
    <row r="282" ht="15.75" customHeight="1">
      <c r="B282" s="591"/>
      <c r="C282" s="466"/>
      <c r="D282" s="466"/>
      <c r="E282" s="592"/>
      <c r="F282" s="466"/>
      <c r="G282" s="576"/>
      <c r="H282" s="576"/>
      <c r="I282" s="576"/>
      <c r="J282" s="466"/>
      <c r="K282" s="576"/>
      <c r="L282" s="466"/>
      <c r="M282" s="576"/>
      <c r="N282" s="466"/>
      <c r="O282" s="576"/>
      <c r="P282" s="576"/>
      <c r="Q282" s="576"/>
      <c r="R282" s="346"/>
      <c r="S282" s="346"/>
    </row>
    <row r="283" ht="15.75" customHeight="1">
      <c r="B283" s="591"/>
      <c r="C283" s="466"/>
      <c r="D283" s="466"/>
      <c r="E283" s="592"/>
      <c r="F283" s="466"/>
      <c r="G283" s="576"/>
      <c r="H283" s="576"/>
      <c r="I283" s="576"/>
      <c r="J283" s="466"/>
      <c r="K283" s="576"/>
      <c r="L283" s="466"/>
      <c r="M283" s="576"/>
      <c r="N283" s="466"/>
      <c r="O283" s="576"/>
      <c r="P283" s="576"/>
      <c r="Q283" s="576"/>
      <c r="R283" s="346"/>
      <c r="S283" s="346"/>
    </row>
    <row r="284" ht="15.75" customHeight="1">
      <c r="B284" s="591"/>
      <c r="C284" s="466"/>
      <c r="D284" s="466"/>
      <c r="E284" s="592"/>
      <c r="F284" s="466"/>
      <c r="G284" s="576"/>
      <c r="H284" s="576"/>
      <c r="I284" s="576"/>
      <c r="J284" s="466"/>
      <c r="K284" s="576"/>
      <c r="L284" s="466"/>
      <c r="M284" s="576"/>
      <c r="N284" s="466"/>
      <c r="O284" s="576"/>
      <c r="P284" s="576"/>
      <c r="Q284" s="576"/>
      <c r="R284" s="346"/>
      <c r="S284" s="346"/>
    </row>
    <row r="285" ht="15.75" customHeight="1">
      <c r="B285" s="591"/>
      <c r="C285" s="466"/>
      <c r="D285" s="466"/>
      <c r="E285" s="592"/>
      <c r="F285" s="466"/>
      <c r="G285" s="576"/>
      <c r="H285" s="576"/>
      <c r="I285" s="576"/>
      <c r="J285" s="466"/>
      <c r="K285" s="576"/>
      <c r="L285" s="466"/>
      <c r="M285" s="576"/>
      <c r="N285" s="466"/>
      <c r="O285" s="576"/>
      <c r="P285" s="576"/>
      <c r="Q285" s="576"/>
      <c r="R285" s="346"/>
      <c r="S285" s="346"/>
    </row>
    <row r="286" ht="15.75" customHeight="1">
      <c r="B286" s="591"/>
      <c r="C286" s="466"/>
      <c r="D286" s="466"/>
      <c r="E286" s="592"/>
      <c r="F286" s="466"/>
      <c r="G286" s="576"/>
      <c r="H286" s="576"/>
      <c r="I286" s="576"/>
      <c r="J286" s="466"/>
      <c r="K286" s="576"/>
      <c r="L286" s="466"/>
      <c r="M286" s="576"/>
      <c r="N286" s="466"/>
      <c r="O286" s="576"/>
      <c r="P286" s="576"/>
      <c r="Q286" s="576"/>
      <c r="R286" s="346"/>
      <c r="S286" s="346"/>
    </row>
    <row r="287" ht="15.75" customHeight="1">
      <c r="B287" s="591"/>
      <c r="C287" s="466"/>
      <c r="D287" s="466"/>
      <c r="E287" s="592"/>
      <c r="F287" s="466"/>
      <c r="G287" s="576"/>
      <c r="H287" s="576"/>
      <c r="I287" s="576"/>
      <c r="J287" s="466"/>
      <c r="K287" s="576"/>
      <c r="L287" s="466"/>
      <c r="M287" s="576"/>
      <c r="N287" s="466"/>
      <c r="O287" s="576"/>
      <c r="P287" s="576"/>
      <c r="Q287" s="576"/>
      <c r="R287" s="346"/>
      <c r="S287" s="346"/>
    </row>
    <row r="288" ht="15.75" customHeight="1">
      <c r="B288" s="591"/>
      <c r="C288" s="466"/>
      <c r="D288" s="466"/>
      <c r="E288" s="592"/>
      <c r="F288" s="466"/>
      <c r="G288" s="576"/>
      <c r="H288" s="576"/>
      <c r="I288" s="576"/>
      <c r="J288" s="466"/>
      <c r="K288" s="576"/>
      <c r="L288" s="466"/>
      <c r="M288" s="576"/>
      <c r="N288" s="466"/>
      <c r="O288" s="576"/>
      <c r="P288" s="576"/>
      <c r="Q288" s="576"/>
      <c r="R288" s="346"/>
      <c r="S288" s="346"/>
    </row>
    <row r="289" ht="15.75" customHeight="1">
      <c r="B289" s="591"/>
      <c r="C289" s="466"/>
      <c r="D289" s="466"/>
      <c r="E289" s="592"/>
      <c r="F289" s="466"/>
      <c r="G289" s="576"/>
      <c r="H289" s="576"/>
      <c r="I289" s="576"/>
      <c r="J289" s="466"/>
      <c r="K289" s="576"/>
      <c r="L289" s="466"/>
      <c r="M289" s="576"/>
      <c r="N289" s="466"/>
      <c r="O289" s="576"/>
      <c r="P289" s="576"/>
      <c r="Q289" s="576"/>
      <c r="R289" s="346"/>
      <c r="S289" s="346"/>
    </row>
    <row r="290" ht="15.75" customHeight="1">
      <c r="B290" s="591"/>
      <c r="C290" s="466"/>
      <c r="D290" s="466"/>
      <c r="E290" s="592"/>
      <c r="F290" s="466"/>
      <c r="G290" s="576"/>
      <c r="H290" s="576"/>
      <c r="I290" s="576"/>
      <c r="J290" s="466"/>
      <c r="K290" s="576"/>
      <c r="L290" s="466"/>
      <c r="M290" s="576"/>
      <c r="N290" s="466"/>
      <c r="O290" s="576"/>
      <c r="P290" s="576"/>
      <c r="Q290" s="576"/>
      <c r="R290" s="346"/>
      <c r="S290" s="346"/>
    </row>
    <row r="291" ht="15.75" customHeight="1">
      <c r="B291" s="591"/>
      <c r="C291" s="466"/>
      <c r="D291" s="466"/>
      <c r="E291" s="592"/>
      <c r="F291" s="466"/>
      <c r="G291" s="576"/>
      <c r="H291" s="576"/>
      <c r="I291" s="576"/>
      <c r="J291" s="466"/>
      <c r="K291" s="576"/>
      <c r="L291" s="466"/>
      <c r="M291" s="576"/>
      <c r="N291" s="466"/>
      <c r="O291" s="576"/>
      <c r="P291" s="576"/>
      <c r="Q291" s="576"/>
      <c r="R291" s="346"/>
      <c r="S291" s="346"/>
    </row>
    <row r="292" ht="15.75" customHeight="1">
      <c r="B292" s="591"/>
      <c r="C292" s="466"/>
      <c r="D292" s="466"/>
      <c r="E292" s="592"/>
      <c r="F292" s="466"/>
      <c r="G292" s="576"/>
      <c r="H292" s="576"/>
      <c r="I292" s="576"/>
      <c r="J292" s="466"/>
      <c r="K292" s="576"/>
      <c r="L292" s="466"/>
      <c r="M292" s="576"/>
      <c r="N292" s="466"/>
      <c r="O292" s="576"/>
      <c r="P292" s="576"/>
      <c r="Q292" s="576"/>
      <c r="R292" s="346"/>
      <c r="S292" s="346"/>
    </row>
    <row r="293" ht="15.75" customHeight="1">
      <c r="B293" s="591"/>
      <c r="C293" s="466"/>
      <c r="D293" s="466"/>
      <c r="E293" s="592"/>
      <c r="F293" s="466"/>
      <c r="G293" s="576"/>
      <c r="H293" s="576"/>
      <c r="I293" s="576"/>
      <c r="J293" s="466"/>
      <c r="K293" s="576"/>
      <c r="L293" s="466"/>
      <c r="M293" s="576"/>
      <c r="N293" s="466"/>
      <c r="O293" s="576"/>
      <c r="P293" s="576"/>
      <c r="Q293" s="576"/>
      <c r="R293" s="346"/>
      <c r="S293" s="346"/>
    </row>
    <row r="294" ht="15.75" customHeight="1">
      <c r="B294" s="591"/>
      <c r="C294" s="466"/>
      <c r="D294" s="466"/>
      <c r="E294" s="592"/>
      <c r="F294" s="466"/>
      <c r="G294" s="576"/>
      <c r="H294" s="576"/>
      <c r="I294" s="576"/>
      <c r="J294" s="466"/>
      <c r="K294" s="576"/>
      <c r="L294" s="466"/>
      <c r="M294" s="576"/>
      <c r="N294" s="466"/>
      <c r="O294" s="576"/>
      <c r="P294" s="576"/>
      <c r="Q294" s="576"/>
      <c r="R294" s="346"/>
      <c r="S294" s="346"/>
    </row>
    <row r="295" ht="15.75" customHeight="1">
      <c r="B295" s="591"/>
      <c r="C295" s="466"/>
      <c r="D295" s="466"/>
      <c r="E295" s="592"/>
      <c r="F295" s="466"/>
      <c r="G295" s="576"/>
      <c r="H295" s="576"/>
      <c r="I295" s="576"/>
      <c r="J295" s="466"/>
      <c r="K295" s="576"/>
      <c r="L295" s="466"/>
      <c r="M295" s="576"/>
      <c r="N295" s="466"/>
      <c r="O295" s="576"/>
      <c r="P295" s="576"/>
      <c r="Q295" s="576"/>
      <c r="R295" s="346"/>
      <c r="S295" s="346"/>
    </row>
    <row r="296" ht="15.75" customHeight="1">
      <c r="B296" s="591"/>
      <c r="C296" s="466"/>
      <c r="D296" s="466"/>
      <c r="E296" s="592"/>
      <c r="F296" s="466"/>
      <c r="G296" s="576"/>
      <c r="H296" s="576"/>
      <c r="I296" s="576"/>
      <c r="J296" s="466"/>
      <c r="K296" s="576"/>
      <c r="L296" s="466"/>
      <c r="M296" s="576"/>
      <c r="N296" s="466"/>
      <c r="O296" s="576"/>
      <c r="P296" s="576"/>
      <c r="Q296" s="576"/>
      <c r="R296" s="346"/>
      <c r="S296" s="346"/>
    </row>
    <row r="297" ht="15.75" customHeight="1">
      <c r="B297" s="591"/>
      <c r="C297" s="466"/>
      <c r="D297" s="466"/>
      <c r="E297" s="592"/>
      <c r="F297" s="466"/>
      <c r="G297" s="576"/>
      <c r="H297" s="576"/>
      <c r="I297" s="576"/>
      <c r="J297" s="466"/>
      <c r="K297" s="576"/>
      <c r="L297" s="466"/>
      <c r="M297" s="576"/>
      <c r="N297" s="466"/>
      <c r="O297" s="576"/>
      <c r="P297" s="576"/>
      <c r="Q297" s="576"/>
      <c r="R297" s="346"/>
      <c r="S297" s="346"/>
    </row>
    <row r="298" ht="15.75" customHeight="1">
      <c r="B298" s="591"/>
      <c r="C298" s="466"/>
      <c r="D298" s="466"/>
      <c r="E298" s="592"/>
      <c r="F298" s="466"/>
      <c r="G298" s="576"/>
      <c r="H298" s="576"/>
      <c r="I298" s="576"/>
      <c r="J298" s="466"/>
      <c r="K298" s="576"/>
      <c r="L298" s="466"/>
      <c r="M298" s="576"/>
      <c r="N298" s="466"/>
      <c r="O298" s="576"/>
      <c r="P298" s="576"/>
      <c r="Q298" s="576"/>
      <c r="R298" s="346"/>
      <c r="S298" s="346"/>
    </row>
    <row r="299" ht="15.75" customHeight="1">
      <c r="B299" s="591"/>
      <c r="C299" s="466"/>
      <c r="D299" s="466"/>
      <c r="E299" s="592"/>
      <c r="F299" s="466"/>
      <c r="G299" s="576"/>
      <c r="H299" s="576"/>
      <c r="I299" s="576"/>
      <c r="J299" s="466"/>
      <c r="K299" s="576"/>
      <c r="L299" s="466"/>
      <c r="M299" s="576"/>
      <c r="N299" s="466"/>
      <c r="O299" s="576"/>
      <c r="P299" s="576"/>
      <c r="Q299" s="576"/>
      <c r="R299" s="346"/>
      <c r="S299" s="346"/>
    </row>
    <row r="300" ht="15.75" customHeight="1">
      <c r="B300" s="591"/>
      <c r="C300" s="466"/>
      <c r="D300" s="466"/>
      <c r="E300" s="592"/>
      <c r="F300" s="466"/>
      <c r="G300" s="576"/>
      <c r="H300" s="576"/>
      <c r="I300" s="576"/>
      <c r="J300" s="466"/>
      <c r="K300" s="576"/>
      <c r="L300" s="466"/>
      <c r="M300" s="576"/>
      <c r="N300" s="466"/>
      <c r="O300" s="576"/>
      <c r="P300" s="576"/>
      <c r="Q300" s="576"/>
      <c r="R300" s="346"/>
      <c r="S300" s="346"/>
    </row>
    <row r="301" ht="15.75" customHeight="1">
      <c r="B301" s="591"/>
      <c r="C301" s="466"/>
      <c r="D301" s="466"/>
      <c r="E301" s="592"/>
      <c r="F301" s="466"/>
      <c r="G301" s="576"/>
      <c r="H301" s="576"/>
      <c r="I301" s="576"/>
      <c r="J301" s="466"/>
      <c r="K301" s="576"/>
      <c r="L301" s="466"/>
      <c r="M301" s="576"/>
      <c r="N301" s="466"/>
      <c r="O301" s="576"/>
      <c r="P301" s="576"/>
      <c r="Q301" s="576"/>
      <c r="R301" s="346"/>
      <c r="S301" s="346"/>
    </row>
    <row r="302" ht="15.75" customHeight="1">
      <c r="B302" s="591"/>
      <c r="C302" s="466"/>
      <c r="D302" s="466"/>
      <c r="E302" s="592"/>
      <c r="F302" s="466"/>
      <c r="G302" s="576"/>
      <c r="H302" s="576"/>
      <c r="I302" s="576"/>
      <c r="J302" s="466"/>
      <c r="K302" s="576"/>
      <c r="L302" s="466"/>
      <c r="M302" s="576"/>
      <c r="N302" s="466"/>
      <c r="O302" s="576"/>
      <c r="P302" s="576"/>
      <c r="Q302" s="576"/>
      <c r="R302" s="346"/>
      <c r="S302" s="346"/>
    </row>
    <row r="303" ht="15.75" customHeight="1">
      <c r="B303" s="591"/>
      <c r="C303" s="466"/>
      <c r="D303" s="466"/>
      <c r="E303" s="592"/>
      <c r="F303" s="466"/>
      <c r="G303" s="576"/>
      <c r="H303" s="576"/>
      <c r="I303" s="576"/>
      <c r="J303" s="466"/>
      <c r="K303" s="576"/>
      <c r="L303" s="466"/>
      <c r="M303" s="576"/>
      <c r="N303" s="466"/>
      <c r="O303" s="576"/>
      <c r="P303" s="576"/>
      <c r="Q303" s="576"/>
      <c r="R303" s="346"/>
      <c r="S303" s="346"/>
    </row>
    <row r="304" ht="15.75" customHeight="1">
      <c r="B304" s="591"/>
      <c r="C304" s="466"/>
      <c r="D304" s="466"/>
      <c r="E304" s="592"/>
      <c r="F304" s="466"/>
      <c r="G304" s="576"/>
      <c r="H304" s="576"/>
      <c r="I304" s="576"/>
      <c r="J304" s="466"/>
      <c r="K304" s="576"/>
      <c r="L304" s="466"/>
      <c r="M304" s="576"/>
      <c r="N304" s="466"/>
      <c r="O304" s="576"/>
      <c r="P304" s="576"/>
      <c r="Q304" s="576"/>
      <c r="R304" s="346"/>
      <c r="S304" s="346"/>
    </row>
    <row r="305" ht="15.75" customHeight="1">
      <c r="B305" s="591"/>
      <c r="C305" s="466"/>
      <c r="D305" s="466"/>
      <c r="E305" s="592"/>
      <c r="F305" s="466"/>
      <c r="G305" s="576"/>
      <c r="H305" s="576"/>
      <c r="I305" s="576"/>
      <c r="J305" s="466"/>
      <c r="K305" s="576"/>
      <c r="L305" s="466"/>
      <c r="M305" s="576"/>
      <c r="N305" s="466"/>
      <c r="O305" s="576"/>
      <c r="P305" s="576"/>
      <c r="Q305" s="576"/>
      <c r="R305" s="346"/>
      <c r="S305" s="346"/>
    </row>
    <row r="306" ht="15.75" customHeight="1">
      <c r="B306" s="591"/>
      <c r="C306" s="466"/>
      <c r="D306" s="466"/>
      <c r="E306" s="592"/>
      <c r="F306" s="466"/>
      <c r="G306" s="576"/>
      <c r="H306" s="576"/>
      <c r="I306" s="576"/>
      <c r="J306" s="466"/>
      <c r="K306" s="576"/>
      <c r="L306" s="466"/>
      <c r="M306" s="576"/>
      <c r="N306" s="466"/>
      <c r="O306" s="576"/>
      <c r="P306" s="576"/>
      <c r="Q306" s="576"/>
      <c r="R306" s="346"/>
      <c r="S306" s="346"/>
    </row>
    <row r="307" ht="15.75" customHeight="1">
      <c r="B307" s="591"/>
      <c r="C307" s="466"/>
      <c r="D307" s="466"/>
      <c r="E307" s="592"/>
      <c r="F307" s="466"/>
      <c r="G307" s="576"/>
      <c r="H307" s="576"/>
      <c r="I307" s="576"/>
      <c r="J307" s="466"/>
      <c r="K307" s="576"/>
      <c r="L307" s="466"/>
      <c r="M307" s="576"/>
      <c r="N307" s="466"/>
      <c r="O307" s="576"/>
      <c r="P307" s="576"/>
      <c r="Q307" s="576"/>
      <c r="R307" s="346"/>
      <c r="S307" s="346"/>
    </row>
    <row r="308" ht="15.75" customHeight="1">
      <c r="B308" s="591"/>
      <c r="C308" s="466"/>
      <c r="D308" s="466"/>
      <c r="E308" s="592"/>
      <c r="F308" s="466"/>
      <c r="G308" s="576"/>
      <c r="H308" s="576"/>
      <c r="I308" s="576"/>
      <c r="J308" s="466"/>
      <c r="K308" s="576"/>
      <c r="L308" s="466"/>
      <c r="M308" s="576"/>
      <c r="N308" s="466"/>
      <c r="O308" s="576"/>
      <c r="P308" s="576"/>
      <c r="Q308" s="576"/>
      <c r="R308" s="346"/>
      <c r="S308" s="346"/>
    </row>
    <row r="309" ht="15.75" customHeight="1">
      <c r="B309" s="591"/>
      <c r="C309" s="466"/>
      <c r="D309" s="466"/>
      <c r="E309" s="592"/>
      <c r="F309" s="466"/>
      <c r="G309" s="576"/>
      <c r="H309" s="576"/>
      <c r="I309" s="576"/>
      <c r="J309" s="466"/>
      <c r="K309" s="576"/>
      <c r="L309" s="466"/>
      <c r="M309" s="576"/>
      <c r="N309" s="466"/>
      <c r="O309" s="576"/>
      <c r="P309" s="576"/>
      <c r="Q309" s="576"/>
      <c r="R309" s="346"/>
      <c r="S309" s="346"/>
    </row>
    <row r="310" ht="15.75" customHeight="1">
      <c r="B310" s="591"/>
      <c r="C310" s="466"/>
      <c r="D310" s="466"/>
      <c r="E310" s="592"/>
      <c r="F310" s="466"/>
      <c r="G310" s="576"/>
      <c r="H310" s="576"/>
      <c r="I310" s="576"/>
      <c r="J310" s="466"/>
      <c r="K310" s="576"/>
      <c r="L310" s="466"/>
      <c r="M310" s="576"/>
      <c r="N310" s="466"/>
      <c r="O310" s="576"/>
      <c r="P310" s="576"/>
      <c r="Q310" s="576"/>
      <c r="R310" s="346"/>
      <c r="S310" s="346"/>
    </row>
    <row r="311" ht="15.75" customHeight="1">
      <c r="B311" s="591"/>
      <c r="C311" s="466"/>
      <c r="D311" s="466"/>
      <c r="E311" s="592"/>
      <c r="F311" s="466"/>
      <c r="G311" s="576"/>
      <c r="H311" s="576"/>
      <c r="I311" s="576"/>
      <c r="J311" s="466"/>
      <c r="K311" s="576"/>
      <c r="L311" s="466"/>
      <c r="M311" s="576"/>
      <c r="N311" s="466"/>
      <c r="O311" s="576"/>
      <c r="P311" s="576"/>
      <c r="Q311" s="576"/>
      <c r="R311" s="346"/>
      <c r="S311" s="346"/>
    </row>
    <row r="312" ht="15.75" customHeight="1">
      <c r="B312" s="591"/>
      <c r="C312" s="466"/>
      <c r="D312" s="466"/>
      <c r="E312" s="592"/>
      <c r="F312" s="466"/>
      <c r="G312" s="576"/>
      <c r="H312" s="576"/>
      <c r="I312" s="576"/>
      <c r="J312" s="466"/>
      <c r="K312" s="576"/>
      <c r="L312" s="466"/>
      <c r="M312" s="576"/>
      <c r="N312" s="466"/>
      <c r="O312" s="576"/>
      <c r="P312" s="576"/>
      <c r="Q312" s="576"/>
      <c r="R312" s="346"/>
      <c r="S312" s="346"/>
    </row>
    <row r="313" ht="15.75" customHeight="1">
      <c r="B313" s="591"/>
      <c r="C313" s="466"/>
      <c r="D313" s="466"/>
      <c r="E313" s="592"/>
      <c r="F313" s="466"/>
      <c r="G313" s="576"/>
      <c r="H313" s="576"/>
      <c r="I313" s="576"/>
      <c r="J313" s="466"/>
      <c r="K313" s="576"/>
      <c r="L313" s="466"/>
      <c r="M313" s="576"/>
      <c r="N313" s="466"/>
      <c r="O313" s="576"/>
      <c r="P313" s="576"/>
      <c r="Q313" s="576"/>
      <c r="R313" s="346"/>
      <c r="S313" s="346"/>
    </row>
    <row r="314" ht="15.75" customHeight="1">
      <c r="B314" s="591"/>
      <c r="C314" s="466"/>
      <c r="D314" s="466"/>
      <c r="E314" s="592"/>
      <c r="F314" s="466"/>
      <c r="G314" s="576"/>
      <c r="H314" s="576"/>
      <c r="I314" s="576"/>
      <c r="J314" s="466"/>
      <c r="K314" s="576"/>
      <c r="L314" s="466"/>
      <c r="M314" s="576"/>
      <c r="N314" s="466"/>
      <c r="O314" s="576"/>
      <c r="P314" s="576"/>
      <c r="Q314" s="576"/>
      <c r="R314" s="346"/>
      <c r="S314" s="346"/>
    </row>
    <row r="315" ht="15.75" customHeight="1">
      <c r="B315" s="591"/>
      <c r="C315" s="466"/>
      <c r="D315" s="466"/>
      <c r="E315" s="592"/>
      <c r="F315" s="466"/>
      <c r="G315" s="576"/>
      <c r="H315" s="576"/>
      <c r="I315" s="576"/>
      <c r="J315" s="466"/>
      <c r="K315" s="576"/>
      <c r="L315" s="466"/>
      <c r="M315" s="576"/>
      <c r="N315" s="466"/>
      <c r="O315" s="576"/>
      <c r="P315" s="576"/>
      <c r="Q315" s="576"/>
      <c r="R315" s="346"/>
      <c r="S315" s="346"/>
    </row>
    <row r="316" ht="15.75" customHeight="1">
      <c r="B316" s="591"/>
      <c r="C316" s="466"/>
      <c r="D316" s="466"/>
      <c r="E316" s="592"/>
      <c r="F316" s="466"/>
      <c r="G316" s="576"/>
      <c r="H316" s="576"/>
      <c r="I316" s="576"/>
      <c r="J316" s="466"/>
      <c r="K316" s="576"/>
      <c r="L316" s="466"/>
      <c r="M316" s="576"/>
      <c r="N316" s="466"/>
      <c r="O316" s="576"/>
      <c r="P316" s="576"/>
      <c r="Q316" s="576"/>
      <c r="R316" s="346"/>
      <c r="S316" s="346"/>
    </row>
    <row r="317" ht="15.75" customHeight="1">
      <c r="B317" s="591"/>
      <c r="C317" s="466"/>
      <c r="D317" s="466"/>
      <c r="E317" s="592"/>
      <c r="F317" s="466"/>
      <c r="G317" s="576"/>
      <c r="H317" s="576"/>
      <c r="I317" s="576"/>
      <c r="J317" s="466"/>
      <c r="K317" s="576"/>
      <c r="L317" s="466"/>
      <c r="M317" s="576"/>
      <c r="N317" s="466"/>
      <c r="O317" s="576"/>
      <c r="P317" s="576"/>
      <c r="Q317" s="576"/>
      <c r="R317" s="346"/>
      <c r="S317" s="346"/>
    </row>
    <row r="318" ht="15.75" customHeight="1">
      <c r="B318" s="591"/>
      <c r="C318" s="466"/>
      <c r="D318" s="466"/>
      <c r="E318" s="592"/>
      <c r="F318" s="466"/>
      <c r="G318" s="576"/>
      <c r="H318" s="576"/>
      <c r="I318" s="576"/>
      <c r="J318" s="466"/>
      <c r="K318" s="576"/>
      <c r="L318" s="466"/>
      <c r="M318" s="576"/>
      <c r="N318" s="466"/>
      <c r="O318" s="576"/>
      <c r="P318" s="576"/>
      <c r="Q318" s="576"/>
      <c r="R318" s="346"/>
      <c r="S318" s="346"/>
    </row>
    <row r="319" ht="15.75" customHeight="1">
      <c r="B319" s="591"/>
      <c r="C319" s="466"/>
      <c r="D319" s="466"/>
      <c r="E319" s="592"/>
      <c r="F319" s="466"/>
      <c r="G319" s="576"/>
      <c r="H319" s="576"/>
      <c r="I319" s="576"/>
      <c r="J319" s="466"/>
      <c r="K319" s="576"/>
      <c r="L319" s="466"/>
      <c r="M319" s="576"/>
      <c r="N319" s="466"/>
      <c r="O319" s="576"/>
      <c r="P319" s="576"/>
      <c r="Q319" s="576"/>
      <c r="R319" s="346"/>
      <c r="S319" s="346"/>
    </row>
    <row r="320" ht="15.75" customHeight="1">
      <c r="B320" s="591"/>
      <c r="C320" s="466"/>
      <c r="D320" s="466"/>
      <c r="E320" s="592"/>
      <c r="F320" s="466"/>
      <c r="G320" s="576"/>
      <c r="H320" s="576"/>
      <c r="I320" s="576"/>
      <c r="J320" s="466"/>
      <c r="K320" s="576"/>
      <c r="L320" s="466"/>
      <c r="M320" s="576"/>
      <c r="N320" s="466"/>
      <c r="O320" s="576"/>
      <c r="P320" s="576"/>
      <c r="Q320" s="576"/>
      <c r="R320" s="346"/>
      <c r="S320" s="346"/>
    </row>
    <row r="321" ht="15.75" customHeight="1">
      <c r="B321" s="591"/>
      <c r="C321" s="466"/>
      <c r="D321" s="466"/>
      <c r="E321" s="592"/>
      <c r="F321" s="466"/>
      <c r="G321" s="576"/>
      <c r="H321" s="576"/>
      <c r="I321" s="576"/>
      <c r="J321" s="466"/>
      <c r="K321" s="576"/>
      <c r="L321" s="466"/>
      <c r="M321" s="576"/>
      <c r="N321" s="466"/>
      <c r="O321" s="576"/>
      <c r="P321" s="576"/>
      <c r="Q321" s="576"/>
      <c r="R321" s="346"/>
      <c r="S321" s="346"/>
    </row>
    <row r="322" ht="15.75" customHeight="1">
      <c r="B322" s="591"/>
      <c r="C322" s="466"/>
      <c r="D322" s="466"/>
      <c r="E322" s="592"/>
      <c r="F322" s="466"/>
      <c r="G322" s="576"/>
      <c r="H322" s="576"/>
      <c r="I322" s="576"/>
      <c r="J322" s="466"/>
      <c r="K322" s="576"/>
      <c r="L322" s="466"/>
      <c r="M322" s="576"/>
      <c r="N322" s="466"/>
      <c r="O322" s="576"/>
      <c r="P322" s="576"/>
      <c r="Q322" s="576"/>
      <c r="R322" s="346"/>
      <c r="S322" s="346"/>
    </row>
    <row r="323" ht="15.75" customHeight="1">
      <c r="B323" s="591"/>
      <c r="C323" s="466"/>
      <c r="D323" s="466"/>
      <c r="E323" s="592"/>
      <c r="F323" s="466"/>
      <c r="G323" s="576"/>
      <c r="H323" s="576"/>
      <c r="I323" s="576"/>
      <c r="J323" s="466"/>
      <c r="K323" s="576"/>
      <c r="L323" s="466"/>
      <c r="M323" s="576"/>
      <c r="N323" s="466"/>
      <c r="O323" s="576"/>
      <c r="P323" s="576"/>
      <c r="Q323" s="576"/>
      <c r="R323" s="346"/>
      <c r="S323" s="346"/>
    </row>
    <row r="324" ht="15.75" customHeight="1">
      <c r="B324" s="591"/>
      <c r="C324" s="466"/>
      <c r="D324" s="466"/>
      <c r="E324" s="592"/>
      <c r="F324" s="466"/>
      <c r="G324" s="576"/>
      <c r="H324" s="576"/>
      <c r="I324" s="576"/>
      <c r="J324" s="466"/>
      <c r="K324" s="576"/>
      <c r="L324" s="466"/>
      <c r="M324" s="576"/>
      <c r="N324" s="466"/>
      <c r="O324" s="576"/>
      <c r="P324" s="576"/>
      <c r="Q324" s="576"/>
      <c r="R324" s="346"/>
      <c r="S324" s="346"/>
    </row>
    <row r="325" ht="15.75" customHeight="1">
      <c r="B325" s="591"/>
      <c r="C325" s="466"/>
      <c r="D325" s="466"/>
      <c r="E325" s="592"/>
      <c r="F325" s="466"/>
      <c r="G325" s="576"/>
      <c r="H325" s="576"/>
      <c r="I325" s="576"/>
      <c r="J325" s="466"/>
      <c r="K325" s="576"/>
      <c r="L325" s="466"/>
      <c r="M325" s="576"/>
      <c r="N325" s="466"/>
      <c r="O325" s="576"/>
      <c r="P325" s="576"/>
      <c r="Q325" s="576"/>
      <c r="R325" s="346"/>
      <c r="S325" s="346"/>
    </row>
    <row r="326" ht="15.75" customHeight="1">
      <c r="B326" s="591"/>
      <c r="C326" s="466"/>
      <c r="D326" s="466"/>
      <c r="E326" s="592"/>
      <c r="F326" s="466"/>
      <c r="G326" s="576"/>
      <c r="H326" s="576"/>
      <c r="I326" s="576"/>
      <c r="J326" s="466"/>
      <c r="K326" s="576"/>
      <c r="L326" s="466"/>
      <c r="M326" s="576"/>
      <c r="N326" s="466"/>
      <c r="O326" s="576"/>
      <c r="P326" s="576"/>
      <c r="Q326" s="576"/>
      <c r="R326" s="346"/>
      <c r="S326" s="346"/>
    </row>
    <row r="327" ht="15.75" customHeight="1">
      <c r="B327" s="591"/>
      <c r="C327" s="466"/>
      <c r="D327" s="466"/>
      <c r="E327" s="592"/>
      <c r="F327" s="466"/>
      <c r="G327" s="576"/>
      <c r="H327" s="576"/>
      <c r="I327" s="576"/>
      <c r="J327" s="466"/>
      <c r="K327" s="576"/>
      <c r="L327" s="466"/>
      <c r="M327" s="576"/>
      <c r="N327" s="466"/>
      <c r="O327" s="576"/>
      <c r="P327" s="576"/>
      <c r="Q327" s="576"/>
      <c r="R327" s="346"/>
      <c r="S327" s="346"/>
    </row>
    <row r="328" ht="15.75" customHeight="1">
      <c r="B328" s="591"/>
      <c r="C328" s="466"/>
      <c r="D328" s="466"/>
      <c r="E328" s="592"/>
      <c r="F328" s="466"/>
      <c r="G328" s="576"/>
      <c r="H328" s="576"/>
      <c r="I328" s="576"/>
      <c r="J328" s="466"/>
      <c r="K328" s="576"/>
      <c r="L328" s="466"/>
      <c r="M328" s="576"/>
      <c r="N328" s="466"/>
      <c r="O328" s="576"/>
      <c r="P328" s="576"/>
      <c r="Q328" s="576"/>
      <c r="R328" s="346"/>
      <c r="S328" s="346"/>
    </row>
    <row r="329" ht="15.75" customHeight="1">
      <c r="B329" s="591"/>
      <c r="C329" s="466"/>
      <c r="D329" s="466"/>
      <c r="E329" s="592"/>
      <c r="F329" s="466"/>
      <c r="G329" s="576"/>
      <c r="H329" s="576"/>
      <c r="I329" s="576"/>
      <c r="J329" s="466"/>
      <c r="K329" s="576"/>
      <c r="L329" s="466"/>
      <c r="M329" s="576"/>
      <c r="N329" s="466"/>
      <c r="O329" s="576"/>
      <c r="P329" s="576"/>
      <c r="Q329" s="576"/>
      <c r="R329" s="346"/>
      <c r="S329" s="346"/>
    </row>
    <row r="330" ht="15.75" customHeight="1">
      <c r="B330" s="591"/>
      <c r="C330" s="466"/>
      <c r="D330" s="466"/>
      <c r="E330" s="592"/>
      <c r="F330" s="466"/>
      <c r="G330" s="576"/>
      <c r="H330" s="576"/>
      <c r="I330" s="576"/>
      <c r="J330" s="466"/>
      <c r="K330" s="576"/>
      <c r="L330" s="466"/>
      <c r="M330" s="576"/>
      <c r="N330" s="466"/>
      <c r="O330" s="576"/>
      <c r="P330" s="576"/>
      <c r="Q330" s="576"/>
      <c r="R330" s="346"/>
      <c r="S330" s="346"/>
    </row>
    <row r="331" ht="15.75" customHeight="1">
      <c r="B331" s="591"/>
      <c r="C331" s="466"/>
      <c r="D331" s="466"/>
      <c r="E331" s="592"/>
      <c r="F331" s="466"/>
      <c r="G331" s="576"/>
      <c r="H331" s="576"/>
      <c r="I331" s="576"/>
      <c r="J331" s="466"/>
      <c r="K331" s="576"/>
      <c r="L331" s="466"/>
      <c r="M331" s="576"/>
      <c r="N331" s="466"/>
      <c r="O331" s="576"/>
      <c r="P331" s="576"/>
      <c r="Q331" s="576"/>
      <c r="R331" s="346"/>
      <c r="S331" s="346"/>
    </row>
    <row r="332" ht="15.75" customHeight="1">
      <c r="B332" s="591"/>
      <c r="C332" s="466"/>
      <c r="D332" s="466"/>
      <c r="E332" s="592"/>
      <c r="F332" s="466"/>
      <c r="G332" s="576"/>
      <c r="H332" s="576"/>
      <c r="I332" s="576"/>
      <c r="J332" s="466"/>
      <c r="K332" s="576"/>
      <c r="L332" s="466"/>
      <c r="M332" s="576"/>
      <c r="N332" s="466"/>
      <c r="O332" s="576"/>
      <c r="P332" s="576"/>
      <c r="Q332" s="576"/>
      <c r="R332" s="346"/>
      <c r="S332" s="346"/>
    </row>
    <row r="333" ht="15.75" customHeight="1">
      <c r="B333" s="591"/>
      <c r="C333" s="466"/>
      <c r="D333" s="466"/>
      <c r="E333" s="592"/>
      <c r="F333" s="466"/>
      <c r="G333" s="576"/>
      <c r="H333" s="576"/>
      <c r="I333" s="576"/>
      <c r="J333" s="466"/>
      <c r="K333" s="576"/>
      <c r="L333" s="466"/>
      <c r="M333" s="576"/>
      <c r="N333" s="466"/>
      <c r="O333" s="576"/>
      <c r="P333" s="576"/>
      <c r="Q333" s="576"/>
      <c r="R333" s="346"/>
      <c r="S333" s="346"/>
    </row>
    <row r="334" ht="15.75" customHeight="1">
      <c r="B334" s="591"/>
      <c r="C334" s="466"/>
      <c r="D334" s="466"/>
      <c r="E334" s="592"/>
      <c r="F334" s="466"/>
      <c r="G334" s="576"/>
      <c r="H334" s="576"/>
      <c r="I334" s="576"/>
      <c r="J334" s="466"/>
      <c r="K334" s="576"/>
      <c r="L334" s="466"/>
      <c r="M334" s="576"/>
      <c r="N334" s="466"/>
      <c r="O334" s="576"/>
      <c r="P334" s="576"/>
      <c r="Q334" s="576"/>
      <c r="R334" s="346"/>
      <c r="S334" s="346"/>
    </row>
    <row r="335" ht="15.75" customHeight="1">
      <c r="B335" s="591"/>
      <c r="C335" s="466"/>
      <c r="D335" s="466"/>
      <c r="E335" s="592"/>
      <c r="F335" s="466"/>
      <c r="G335" s="576"/>
      <c r="H335" s="576"/>
      <c r="I335" s="576"/>
      <c r="J335" s="466"/>
      <c r="K335" s="576"/>
      <c r="L335" s="466"/>
      <c r="M335" s="576"/>
      <c r="N335" s="466"/>
      <c r="O335" s="576"/>
      <c r="P335" s="576"/>
      <c r="Q335" s="576"/>
      <c r="R335" s="346"/>
      <c r="S335" s="346"/>
    </row>
    <row r="336" ht="15.75" customHeight="1">
      <c r="B336" s="591"/>
      <c r="C336" s="466"/>
      <c r="D336" s="466"/>
      <c r="E336" s="592"/>
      <c r="F336" s="466"/>
      <c r="G336" s="576"/>
      <c r="H336" s="576"/>
      <c r="I336" s="576"/>
      <c r="J336" s="466"/>
      <c r="K336" s="576"/>
      <c r="L336" s="466"/>
      <c r="M336" s="576"/>
      <c r="N336" s="466"/>
      <c r="O336" s="576"/>
      <c r="P336" s="576"/>
      <c r="Q336" s="576"/>
      <c r="R336" s="346"/>
      <c r="S336" s="346"/>
    </row>
    <row r="337" ht="15.75" customHeight="1">
      <c r="B337" s="591"/>
      <c r="C337" s="466"/>
      <c r="D337" s="466"/>
      <c r="E337" s="592"/>
      <c r="F337" s="466"/>
      <c r="G337" s="576"/>
      <c r="H337" s="576"/>
      <c r="I337" s="576"/>
      <c r="J337" s="466"/>
      <c r="K337" s="576"/>
      <c r="L337" s="466"/>
      <c r="M337" s="576"/>
      <c r="N337" s="466"/>
      <c r="O337" s="576"/>
      <c r="P337" s="576"/>
      <c r="Q337" s="576"/>
      <c r="R337" s="346"/>
      <c r="S337" s="346"/>
    </row>
    <row r="338" ht="15.75" customHeight="1">
      <c r="B338" s="591"/>
      <c r="C338" s="466"/>
      <c r="D338" s="466"/>
      <c r="E338" s="592"/>
      <c r="F338" s="466"/>
      <c r="G338" s="576"/>
      <c r="H338" s="576"/>
      <c r="I338" s="576"/>
      <c r="J338" s="466"/>
      <c r="K338" s="576"/>
      <c r="L338" s="466"/>
      <c r="M338" s="576"/>
      <c r="N338" s="466"/>
      <c r="O338" s="576"/>
      <c r="P338" s="576"/>
      <c r="Q338" s="576"/>
      <c r="R338" s="346"/>
      <c r="S338" s="346"/>
    </row>
    <row r="339" ht="15.75" customHeight="1">
      <c r="B339" s="591"/>
      <c r="C339" s="466"/>
      <c r="D339" s="466"/>
      <c r="E339" s="592"/>
      <c r="F339" s="466"/>
      <c r="G339" s="576"/>
      <c r="H339" s="576"/>
      <c r="I339" s="576"/>
      <c r="J339" s="466"/>
      <c r="K339" s="576"/>
      <c r="L339" s="466"/>
      <c r="M339" s="576"/>
      <c r="N339" s="466"/>
      <c r="O339" s="576"/>
      <c r="P339" s="576"/>
      <c r="Q339" s="576"/>
      <c r="R339" s="346"/>
      <c r="S339" s="346"/>
    </row>
    <row r="340" ht="15.75" customHeight="1">
      <c r="B340" s="591"/>
      <c r="C340" s="466"/>
      <c r="D340" s="466"/>
      <c r="E340" s="592"/>
      <c r="F340" s="466"/>
      <c r="G340" s="576"/>
      <c r="H340" s="576"/>
      <c r="I340" s="576"/>
      <c r="J340" s="466"/>
      <c r="K340" s="576"/>
      <c r="L340" s="466"/>
      <c r="M340" s="576"/>
      <c r="N340" s="466"/>
      <c r="O340" s="576"/>
      <c r="P340" s="576"/>
      <c r="Q340" s="576"/>
      <c r="R340" s="346"/>
      <c r="S340" s="346"/>
    </row>
    <row r="341" ht="15.75" customHeight="1">
      <c r="B341" s="591"/>
      <c r="C341" s="466"/>
      <c r="D341" s="466"/>
      <c r="E341" s="592"/>
      <c r="F341" s="466"/>
      <c r="G341" s="576"/>
      <c r="H341" s="576"/>
      <c r="I341" s="576"/>
      <c r="J341" s="466"/>
      <c r="K341" s="576"/>
      <c r="L341" s="466"/>
      <c r="M341" s="576"/>
      <c r="N341" s="466"/>
      <c r="O341" s="576"/>
      <c r="P341" s="576"/>
      <c r="Q341" s="576"/>
      <c r="R341" s="346"/>
      <c r="S341" s="346"/>
    </row>
    <row r="342" ht="15.75" customHeight="1">
      <c r="B342" s="591"/>
      <c r="C342" s="466"/>
      <c r="D342" s="466"/>
      <c r="E342" s="592"/>
      <c r="F342" s="466"/>
      <c r="G342" s="576"/>
      <c r="H342" s="576"/>
      <c r="I342" s="576"/>
      <c r="J342" s="466"/>
      <c r="K342" s="576"/>
      <c r="L342" s="466"/>
      <c r="M342" s="576"/>
      <c r="N342" s="466"/>
      <c r="O342" s="576"/>
      <c r="P342" s="576"/>
      <c r="Q342" s="576"/>
      <c r="R342" s="346"/>
      <c r="S342" s="346"/>
    </row>
    <row r="343" ht="15.75" customHeight="1">
      <c r="B343" s="591"/>
      <c r="C343" s="466"/>
      <c r="D343" s="466"/>
      <c r="E343" s="592"/>
      <c r="F343" s="466"/>
      <c r="G343" s="576"/>
      <c r="H343" s="576"/>
      <c r="I343" s="576"/>
      <c r="J343" s="466"/>
      <c r="K343" s="576"/>
      <c r="L343" s="466"/>
      <c r="M343" s="576"/>
      <c r="N343" s="466"/>
      <c r="O343" s="576"/>
      <c r="P343" s="576"/>
      <c r="Q343" s="576"/>
      <c r="R343" s="346"/>
      <c r="S343" s="346"/>
    </row>
    <row r="344" ht="15.75" customHeight="1">
      <c r="B344" s="591"/>
      <c r="C344" s="466"/>
      <c r="D344" s="466"/>
      <c r="E344" s="592"/>
      <c r="F344" s="466"/>
      <c r="G344" s="576"/>
      <c r="H344" s="576"/>
      <c r="I344" s="576"/>
      <c r="J344" s="466"/>
      <c r="K344" s="576"/>
      <c r="L344" s="466"/>
      <c r="M344" s="576"/>
      <c r="N344" s="466"/>
      <c r="O344" s="576"/>
      <c r="P344" s="576"/>
      <c r="Q344" s="576"/>
      <c r="R344" s="346"/>
      <c r="S344" s="346"/>
    </row>
    <row r="345" ht="15.75" customHeight="1">
      <c r="B345" s="591"/>
      <c r="C345" s="466"/>
      <c r="D345" s="466"/>
      <c r="E345" s="592"/>
      <c r="F345" s="466"/>
      <c r="G345" s="576"/>
      <c r="H345" s="576"/>
      <c r="I345" s="576"/>
      <c r="J345" s="466"/>
      <c r="K345" s="576"/>
      <c r="L345" s="466"/>
      <c r="M345" s="576"/>
      <c r="N345" s="466"/>
      <c r="O345" s="576"/>
      <c r="P345" s="576"/>
      <c r="Q345" s="576"/>
      <c r="R345" s="346"/>
      <c r="S345" s="346"/>
    </row>
    <row r="346" ht="15.75" customHeight="1">
      <c r="B346" s="591"/>
      <c r="C346" s="466"/>
      <c r="D346" s="466"/>
      <c r="E346" s="592"/>
      <c r="F346" s="466"/>
      <c r="G346" s="576"/>
      <c r="H346" s="576"/>
      <c r="I346" s="576"/>
      <c r="J346" s="466"/>
      <c r="K346" s="576"/>
      <c r="L346" s="466"/>
      <c r="M346" s="576"/>
      <c r="N346" s="466"/>
      <c r="O346" s="576"/>
      <c r="P346" s="576"/>
      <c r="Q346" s="576"/>
      <c r="R346" s="346"/>
      <c r="S346" s="346"/>
    </row>
    <row r="347" ht="15.75" customHeight="1">
      <c r="B347" s="591"/>
      <c r="C347" s="466"/>
      <c r="D347" s="466"/>
      <c r="E347" s="592"/>
      <c r="F347" s="466"/>
      <c r="G347" s="576"/>
      <c r="H347" s="576"/>
      <c r="I347" s="576"/>
      <c r="J347" s="466"/>
      <c r="K347" s="576"/>
      <c r="L347" s="466"/>
      <c r="M347" s="576"/>
      <c r="N347" s="466"/>
      <c r="O347" s="576"/>
      <c r="P347" s="576"/>
      <c r="Q347" s="576"/>
      <c r="R347" s="346"/>
      <c r="S347" s="346"/>
    </row>
    <row r="348" ht="15.75" customHeight="1">
      <c r="B348" s="591"/>
      <c r="C348" s="466"/>
      <c r="D348" s="466"/>
      <c r="E348" s="592"/>
      <c r="F348" s="466"/>
      <c r="G348" s="576"/>
      <c r="H348" s="576"/>
      <c r="I348" s="576"/>
      <c r="J348" s="466"/>
      <c r="K348" s="576"/>
      <c r="L348" s="466"/>
      <c r="M348" s="576"/>
      <c r="N348" s="466"/>
      <c r="O348" s="576"/>
      <c r="P348" s="576"/>
      <c r="Q348" s="576"/>
      <c r="R348" s="346"/>
      <c r="S348" s="346"/>
    </row>
    <row r="349" ht="15.75" customHeight="1">
      <c r="B349" s="591"/>
      <c r="C349" s="466"/>
      <c r="D349" s="466"/>
      <c r="E349" s="592"/>
      <c r="F349" s="466"/>
      <c r="G349" s="576"/>
      <c r="H349" s="576"/>
      <c r="I349" s="576"/>
      <c r="J349" s="466"/>
      <c r="K349" s="576"/>
      <c r="L349" s="466"/>
      <c r="M349" s="576"/>
      <c r="N349" s="466"/>
      <c r="O349" s="576"/>
      <c r="P349" s="576"/>
      <c r="Q349" s="576"/>
      <c r="R349" s="346"/>
      <c r="S349" s="346"/>
    </row>
    <row r="350" ht="15.75" customHeight="1">
      <c r="B350" s="591"/>
      <c r="C350" s="466"/>
      <c r="D350" s="466"/>
      <c r="E350" s="592"/>
      <c r="F350" s="466"/>
      <c r="G350" s="576"/>
      <c r="H350" s="576"/>
      <c r="I350" s="576"/>
      <c r="J350" s="466"/>
      <c r="K350" s="576"/>
      <c r="L350" s="466"/>
      <c r="M350" s="576"/>
      <c r="N350" s="466"/>
      <c r="O350" s="576"/>
      <c r="P350" s="576"/>
      <c r="Q350" s="576"/>
      <c r="R350" s="346"/>
      <c r="S350" s="346"/>
    </row>
    <row r="351" ht="15.75" customHeight="1">
      <c r="B351" s="591"/>
      <c r="C351" s="466"/>
      <c r="D351" s="466"/>
      <c r="E351" s="592"/>
      <c r="F351" s="466"/>
      <c r="G351" s="576"/>
      <c r="H351" s="576"/>
      <c r="I351" s="576"/>
      <c r="J351" s="466"/>
      <c r="K351" s="576"/>
      <c r="L351" s="466"/>
      <c r="M351" s="576"/>
      <c r="N351" s="466"/>
      <c r="O351" s="576"/>
      <c r="P351" s="576"/>
      <c r="Q351" s="576"/>
      <c r="R351" s="346"/>
      <c r="S351" s="346"/>
    </row>
    <row r="352" ht="15.75" customHeight="1">
      <c r="B352" s="591"/>
      <c r="C352" s="466"/>
      <c r="D352" s="466"/>
      <c r="E352" s="592"/>
      <c r="F352" s="466"/>
      <c r="G352" s="576"/>
      <c r="H352" s="576"/>
      <c r="I352" s="576"/>
      <c r="J352" s="466"/>
      <c r="K352" s="576"/>
      <c r="L352" s="466"/>
      <c r="M352" s="576"/>
      <c r="N352" s="466"/>
      <c r="O352" s="576"/>
      <c r="P352" s="576"/>
      <c r="Q352" s="576"/>
      <c r="R352" s="346"/>
      <c r="S352" s="346"/>
    </row>
    <row r="353" ht="15.75" customHeight="1">
      <c r="B353" s="591"/>
      <c r="C353" s="466"/>
      <c r="D353" s="466"/>
      <c r="E353" s="592"/>
      <c r="F353" s="466"/>
      <c r="G353" s="576"/>
      <c r="H353" s="576"/>
      <c r="I353" s="576"/>
      <c r="J353" s="466"/>
      <c r="K353" s="576"/>
      <c r="L353" s="466"/>
      <c r="M353" s="576"/>
      <c r="N353" s="466"/>
      <c r="O353" s="576"/>
      <c r="P353" s="576"/>
      <c r="Q353" s="576"/>
      <c r="R353" s="346"/>
      <c r="S353" s="346"/>
    </row>
    <row r="354" ht="15.75" customHeight="1">
      <c r="B354" s="591"/>
      <c r="C354" s="466"/>
      <c r="D354" s="466"/>
      <c r="E354" s="592"/>
      <c r="F354" s="466"/>
      <c r="G354" s="576"/>
      <c r="H354" s="576"/>
      <c r="I354" s="576"/>
      <c r="J354" s="466"/>
      <c r="K354" s="576"/>
      <c r="L354" s="466"/>
      <c r="M354" s="576"/>
      <c r="N354" s="466"/>
      <c r="O354" s="576"/>
      <c r="P354" s="576"/>
      <c r="Q354" s="576"/>
      <c r="R354" s="346"/>
      <c r="S354" s="346"/>
    </row>
    <row r="355" ht="15.75" customHeight="1">
      <c r="B355" s="591"/>
      <c r="C355" s="466"/>
      <c r="D355" s="466"/>
      <c r="E355" s="592"/>
      <c r="F355" s="466"/>
      <c r="G355" s="576"/>
      <c r="H355" s="576"/>
      <c r="I355" s="576"/>
      <c r="J355" s="466"/>
      <c r="K355" s="576"/>
      <c r="L355" s="466"/>
      <c r="M355" s="576"/>
      <c r="N355" s="466"/>
      <c r="O355" s="576"/>
      <c r="P355" s="576"/>
      <c r="Q355" s="576"/>
      <c r="R355" s="346"/>
      <c r="S355" s="346"/>
    </row>
    <row r="356" ht="15.75" customHeight="1">
      <c r="B356" s="591"/>
      <c r="C356" s="466"/>
      <c r="D356" s="466"/>
      <c r="E356" s="592"/>
      <c r="F356" s="466"/>
      <c r="G356" s="576"/>
      <c r="H356" s="576"/>
      <c r="I356" s="576"/>
      <c r="J356" s="466"/>
      <c r="K356" s="576"/>
      <c r="L356" s="466"/>
      <c r="M356" s="576"/>
      <c r="N356" s="466"/>
      <c r="O356" s="576"/>
      <c r="P356" s="576"/>
      <c r="Q356" s="576"/>
      <c r="R356" s="346"/>
      <c r="S356" s="346"/>
    </row>
    <row r="357" ht="15.75" customHeight="1">
      <c r="B357" s="591"/>
      <c r="C357" s="466"/>
      <c r="D357" s="466"/>
      <c r="E357" s="592"/>
      <c r="F357" s="466"/>
      <c r="G357" s="576"/>
      <c r="H357" s="576"/>
      <c r="I357" s="576"/>
      <c r="J357" s="466"/>
      <c r="K357" s="576"/>
      <c r="L357" s="466"/>
      <c r="M357" s="576"/>
      <c r="N357" s="466"/>
      <c r="O357" s="576"/>
      <c r="P357" s="576"/>
      <c r="Q357" s="576"/>
      <c r="R357" s="346"/>
      <c r="S357" s="346"/>
    </row>
    <row r="358" ht="15.75" customHeight="1">
      <c r="B358" s="591"/>
      <c r="C358" s="466"/>
      <c r="D358" s="466"/>
      <c r="E358" s="592"/>
      <c r="F358" s="466"/>
      <c r="G358" s="576"/>
      <c r="H358" s="576"/>
      <c r="I358" s="576"/>
      <c r="J358" s="466"/>
      <c r="K358" s="576"/>
      <c r="L358" s="466"/>
      <c r="M358" s="576"/>
      <c r="N358" s="466"/>
      <c r="O358" s="576"/>
      <c r="P358" s="576"/>
      <c r="Q358" s="576"/>
      <c r="R358" s="346"/>
      <c r="S358" s="346"/>
    </row>
    <row r="359" ht="15.75" customHeight="1">
      <c r="B359" s="591"/>
      <c r="C359" s="466"/>
      <c r="D359" s="466"/>
      <c r="E359" s="592"/>
      <c r="F359" s="466"/>
      <c r="G359" s="576"/>
      <c r="H359" s="576"/>
      <c r="I359" s="576"/>
      <c r="J359" s="466"/>
      <c r="K359" s="576"/>
      <c r="L359" s="466"/>
      <c r="M359" s="576"/>
      <c r="N359" s="466"/>
      <c r="O359" s="576"/>
      <c r="P359" s="576"/>
      <c r="Q359" s="576"/>
      <c r="R359" s="346"/>
      <c r="S359" s="346"/>
    </row>
    <row r="360" ht="15.75" customHeight="1">
      <c r="B360" s="591"/>
      <c r="C360" s="466"/>
      <c r="D360" s="466"/>
      <c r="E360" s="592"/>
      <c r="F360" s="466"/>
      <c r="G360" s="576"/>
      <c r="H360" s="576"/>
      <c r="I360" s="576"/>
      <c r="J360" s="466"/>
      <c r="K360" s="576"/>
      <c r="L360" s="466"/>
      <c r="M360" s="576"/>
      <c r="N360" s="466"/>
      <c r="O360" s="576"/>
      <c r="P360" s="576"/>
      <c r="Q360" s="576"/>
      <c r="R360" s="346"/>
      <c r="S360" s="346"/>
    </row>
    <row r="361" ht="15.75" customHeight="1">
      <c r="B361" s="591"/>
      <c r="C361" s="466"/>
      <c r="D361" s="466"/>
      <c r="E361" s="592"/>
      <c r="F361" s="466"/>
      <c r="G361" s="576"/>
      <c r="H361" s="576"/>
      <c r="I361" s="576"/>
      <c r="J361" s="466"/>
      <c r="K361" s="576"/>
      <c r="L361" s="466"/>
      <c r="M361" s="576"/>
      <c r="N361" s="466"/>
      <c r="O361" s="576"/>
      <c r="P361" s="576"/>
      <c r="Q361" s="576"/>
      <c r="R361" s="346"/>
      <c r="S361" s="346"/>
    </row>
    <row r="362" ht="15.75" customHeight="1">
      <c r="B362" s="591"/>
      <c r="C362" s="466"/>
      <c r="D362" s="466"/>
      <c r="E362" s="592"/>
      <c r="F362" s="466"/>
      <c r="G362" s="576"/>
      <c r="H362" s="576"/>
      <c r="I362" s="576"/>
      <c r="J362" s="466"/>
      <c r="K362" s="576"/>
      <c r="L362" s="466"/>
      <c r="M362" s="576"/>
      <c r="N362" s="466"/>
      <c r="O362" s="576"/>
      <c r="P362" s="576"/>
      <c r="Q362" s="576"/>
      <c r="R362" s="346"/>
      <c r="S362" s="346"/>
    </row>
    <row r="363" ht="15.75" customHeight="1">
      <c r="B363" s="591"/>
      <c r="C363" s="466"/>
      <c r="D363" s="466"/>
      <c r="E363" s="592"/>
      <c r="F363" s="466"/>
      <c r="G363" s="576"/>
      <c r="H363" s="576"/>
      <c r="I363" s="576"/>
      <c r="J363" s="466"/>
      <c r="K363" s="576"/>
      <c r="L363" s="466"/>
      <c r="M363" s="576"/>
      <c r="N363" s="466"/>
      <c r="O363" s="576"/>
      <c r="P363" s="576"/>
      <c r="Q363" s="576"/>
      <c r="R363" s="346"/>
      <c r="S363" s="346"/>
    </row>
    <row r="364" ht="15.75" customHeight="1">
      <c r="B364" s="591"/>
      <c r="C364" s="466"/>
      <c r="D364" s="466"/>
      <c r="E364" s="592"/>
      <c r="F364" s="466"/>
      <c r="G364" s="576"/>
      <c r="H364" s="576"/>
      <c r="I364" s="576"/>
      <c r="J364" s="466"/>
      <c r="K364" s="576"/>
      <c r="L364" s="466"/>
      <c r="M364" s="576"/>
      <c r="N364" s="466"/>
      <c r="O364" s="576"/>
      <c r="P364" s="576"/>
      <c r="Q364" s="576"/>
      <c r="R364" s="346"/>
      <c r="S364" s="346"/>
    </row>
    <row r="365" ht="15.75" customHeight="1">
      <c r="B365" s="591"/>
      <c r="C365" s="466"/>
      <c r="D365" s="466"/>
      <c r="E365" s="592"/>
      <c r="F365" s="466"/>
      <c r="G365" s="576"/>
      <c r="H365" s="576"/>
      <c r="I365" s="576"/>
      <c r="J365" s="466"/>
      <c r="K365" s="576"/>
      <c r="L365" s="466"/>
      <c r="M365" s="576"/>
      <c r="N365" s="466"/>
      <c r="O365" s="576"/>
      <c r="P365" s="576"/>
      <c r="Q365" s="576"/>
      <c r="R365" s="346"/>
      <c r="S365" s="346"/>
    </row>
    <row r="366" ht="15.75" customHeight="1">
      <c r="B366" s="591"/>
      <c r="C366" s="466"/>
      <c r="D366" s="466"/>
      <c r="E366" s="592"/>
      <c r="F366" s="466"/>
      <c r="G366" s="576"/>
      <c r="H366" s="576"/>
      <c r="I366" s="576"/>
      <c r="J366" s="466"/>
      <c r="K366" s="576"/>
      <c r="L366" s="466"/>
      <c r="M366" s="576"/>
      <c r="N366" s="466"/>
      <c r="O366" s="576"/>
      <c r="P366" s="576"/>
      <c r="Q366" s="576"/>
      <c r="R366" s="346"/>
      <c r="S366" s="346"/>
    </row>
    <row r="367" ht="15.75" customHeight="1">
      <c r="B367" s="591"/>
      <c r="C367" s="466"/>
      <c r="D367" s="466"/>
      <c r="E367" s="592"/>
      <c r="F367" s="466"/>
      <c r="G367" s="576"/>
      <c r="H367" s="576"/>
      <c r="I367" s="576"/>
      <c r="J367" s="466"/>
      <c r="K367" s="576"/>
      <c r="L367" s="466"/>
      <c r="M367" s="576"/>
      <c r="N367" s="466"/>
      <c r="O367" s="576"/>
      <c r="P367" s="576"/>
      <c r="Q367" s="576"/>
      <c r="R367" s="346"/>
      <c r="S367" s="346"/>
    </row>
    <row r="368" ht="15.75" customHeight="1">
      <c r="B368" s="591"/>
      <c r="C368" s="466"/>
      <c r="D368" s="466"/>
      <c r="E368" s="592"/>
      <c r="F368" s="466"/>
      <c r="G368" s="576"/>
      <c r="H368" s="576"/>
      <c r="I368" s="576"/>
      <c r="J368" s="466"/>
      <c r="K368" s="576"/>
      <c r="L368" s="466"/>
      <c r="M368" s="576"/>
      <c r="N368" s="466"/>
      <c r="O368" s="576"/>
      <c r="P368" s="576"/>
      <c r="Q368" s="576"/>
      <c r="R368" s="346"/>
      <c r="S368" s="346"/>
    </row>
    <row r="369" ht="15.75" customHeight="1">
      <c r="B369" s="591"/>
      <c r="C369" s="466"/>
      <c r="D369" s="466"/>
      <c r="E369" s="592"/>
      <c r="F369" s="466"/>
      <c r="G369" s="576"/>
      <c r="H369" s="576"/>
      <c r="I369" s="576"/>
      <c r="J369" s="466"/>
      <c r="K369" s="576"/>
      <c r="L369" s="466"/>
      <c r="M369" s="576"/>
      <c r="N369" s="466"/>
      <c r="O369" s="576"/>
      <c r="P369" s="576"/>
      <c r="Q369" s="576"/>
      <c r="R369" s="346"/>
      <c r="S369" s="346"/>
    </row>
    <row r="370" ht="15.75" customHeight="1">
      <c r="B370" s="591"/>
      <c r="C370" s="466"/>
      <c r="D370" s="466"/>
      <c r="E370" s="592"/>
      <c r="F370" s="466"/>
      <c r="G370" s="576"/>
      <c r="H370" s="576"/>
      <c r="I370" s="576"/>
      <c r="J370" s="466"/>
      <c r="K370" s="576"/>
      <c r="L370" s="466"/>
      <c r="M370" s="576"/>
      <c r="N370" s="466"/>
      <c r="O370" s="576"/>
      <c r="P370" s="576"/>
      <c r="Q370" s="576"/>
      <c r="R370" s="346"/>
      <c r="S370" s="346"/>
    </row>
    <row r="371" ht="15.75" customHeight="1">
      <c r="B371" s="591"/>
      <c r="C371" s="466"/>
      <c r="D371" s="466"/>
      <c r="E371" s="592"/>
      <c r="F371" s="466"/>
      <c r="G371" s="576"/>
      <c r="H371" s="576"/>
      <c r="I371" s="576"/>
      <c r="J371" s="466"/>
      <c r="K371" s="576"/>
      <c r="L371" s="466"/>
      <c r="M371" s="576"/>
      <c r="N371" s="466"/>
      <c r="O371" s="576"/>
      <c r="P371" s="576"/>
      <c r="Q371" s="576"/>
      <c r="R371" s="346"/>
      <c r="S371" s="346"/>
    </row>
    <row r="372" ht="15.75" customHeight="1">
      <c r="B372" s="591"/>
      <c r="C372" s="466"/>
      <c r="D372" s="466"/>
      <c r="E372" s="592"/>
      <c r="F372" s="466"/>
      <c r="G372" s="576"/>
      <c r="H372" s="576"/>
      <c r="I372" s="576"/>
      <c r="J372" s="466"/>
      <c r="K372" s="576"/>
      <c r="L372" s="466"/>
      <c r="M372" s="576"/>
      <c r="N372" s="466"/>
      <c r="O372" s="576"/>
      <c r="P372" s="576"/>
      <c r="Q372" s="576"/>
      <c r="R372" s="346"/>
      <c r="S372" s="346"/>
    </row>
    <row r="373" ht="15.75" customHeight="1">
      <c r="B373" s="591"/>
      <c r="C373" s="466"/>
      <c r="D373" s="466"/>
      <c r="E373" s="592"/>
      <c r="F373" s="466"/>
      <c r="G373" s="576"/>
      <c r="H373" s="576"/>
      <c r="I373" s="576"/>
      <c r="J373" s="466"/>
      <c r="K373" s="576"/>
      <c r="L373" s="466"/>
      <c r="M373" s="576"/>
      <c r="N373" s="466"/>
      <c r="O373" s="576"/>
      <c r="P373" s="576"/>
      <c r="Q373" s="576"/>
      <c r="R373" s="346"/>
      <c r="S373" s="346"/>
    </row>
    <row r="374" ht="15.75" customHeight="1">
      <c r="B374" s="591"/>
      <c r="C374" s="466"/>
      <c r="D374" s="466"/>
      <c r="E374" s="592"/>
      <c r="F374" s="466"/>
      <c r="G374" s="576"/>
      <c r="H374" s="576"/>
      <c r="I374" s="576"/>
      <c r="J374" s="466"/>
      <c r="K374" s="576"/>
      <c r="L374" s="466"/>
      <c r="M374" s="576"/>
      <c r="N374" s="466"/>
      <c r="O374" s="576"/>
      <c r="P374" s="576"/>
      <c r="Q374" s="576"/>
      <c r="R374" s="346"/>
      <c r="S374" s="346"/>
    </row>
    <row r="375" ht="15.75" customHeight="1">
      <c r="B375" s="591"/>
      <c r="C375" s="466"/>
      <c r="D375" s="466"/>
      <c r="E375" s="592"/>
      <c r="F375" s="466"/>
      <c r="G375" s="576"/>
      <c r="H375" s="576"/>
      <c r="I375" s="576"/>
      <c r="J375" s="466"/>
      <c r="K375" s="576"/>
      <c r="L375" s="466"/>
      <c r="M375" s="576"/>
      <c r="N375" s="466"/>
      <c r="O375" s="576"/>
      <c r="P375" s="576"/>
      <c r="Q375" s="576"/>
      <c r="R375" s="346"/>
      <c r="S375" s="346"/>
    </row>
    <row r="376" ht="15.75" customHeight="1">
      <c r="B376" s="591"/>
      <c r="C376" s="466"/>
      <c r="D376" s="466"/>
      <c r="E376" s="592"/>
      <c r="F376" s="466"/>
      <c r="G376" s="576"/>
      <c r="H376" s="576"/>
      <c r="I376" s="576"/>
      <c r="J376" s="466"/>
      <c r="K376" s="576"/>
      <c r="L376" s="466"/>
      <c r="M376" s="576"/>
      <c r="N376" s="466"/>
      <c r="O376" s="576"/>
      <c r="P376" s="576"/>
      <c r="Q376" s="576"/>
      <c r="R376" s="346"/>
      <c r="S376" s="346"/>
    </row>
    <row r="377" ht="15.75" customHeight="1">
      <c r="B377" s="591"/>
      <c r="C377" s="466"/>
      <c r="D377" s="466"/>
      <c r="E377" s="592"/>
      <c r="F377" s="466"/>
      <c r="G377" s="576"/>
      <c r="H377" s="576"/>
      <c r="I377" s="576"/>
      <c r="J377" s="466"/>
      <c r="K377" s="576"/>
      <c r="L377" s="466"/>
      <c r="M377" s="576"/>
      <c r="N377" s="466"/>
      <c r="O377" s="576"/>
      <c r="P377" s="576"/>
      <c r="Q377" s="576"/>
      <c r="R377" s="346"/>
      <c r="S377" s="346"/>
    </row>
    <row r="378" ht="15.75" customHeight="1">
      <c r="B378" s="591"/>
      <c r="C378" s="466"/>
      <c r="D378" s="466"/>
      <c r="E378" s="592"/>
      <c r="F378" s="466"/>
      <c r="G378" s="576"/>
      <c r="H378" s="576"/>
      <c r="I378" s="576"/>
      <c r="J378" s="466"/>
      <c r="K378" s="576"/>
      <c r="L378" s="466"/>
      <c r="M378" s="576"/>
      <c r="N378" s="466"/>
      <c r="O378" s="576"/>
      <c r="P378" s="576"/>
      <c r="Q378" s="576"/>
      <c r="R378" s="346"/>
      <c r="S378" s="346"/>
    </row>
    <row r="379" ht="15.75" customHeight="1">
      <c r="B379" s="591"/>
      <c r="C379" s="466"/>
      <c r="D379" s="466"/>
      <c r="E379" s="592"/>
      <c r="F379" s="466"/>
      <c r="G379" s="576"/>
      <c r="H379" s="576"/>
      <c r="I379" s="576"/>
      <c r="J379" s="466"/>
      <c r="K379" s="576"/>
      <c r="L379" s="466"/>
      <c r="M379" s="576"/>
      <c r="N379" s="466"/>
      <c r="O379" s="576"/>
      <c r="P379" s="576"/>
      <c r="Q379" s="576"/>
      <c r="R379" s="346"/>
      <c r="S379" s="346"/>
    </row>
    <row r="380" ht="15.75" customHeight="1">
      <c r="B380" s="591"/>
      <c r="C380" s="466"/>
      <c r="D380" s="466"/>
      <c r="E380" s="592"/>
      <c r="F380" s="466"/>
      <c r="G380" s="576"/>
      <c r="H380" s="576"/>
      <c r="I380" s="576"/>
      <c r="J380" s="466"/>
      <c r="K380" s="576"/>
      <c r="L380" s="466"/>
      <c r="M380" s="576"/>
      <c r="N380" s="466"/>
      <c r="O380" s="576"/>
      <c r="P380" s="576"/>
      <c r="Q380" s="576"/>
      <c r="R380" s="346"/>
      <c r="S380" s="346"/>
    </row>
    <row r="381" ht="15.75" customHeight="1">
      <c r="B381" s="591"/>
      <c r="C381" s="466"/>
      <c r="D381" s="466"/>
      <c r="E381" s="592"/>
      <c r="F381" s="466"/>
      <c r="G381" s="576"/>
      <c r="H381" s="576"/>
      <c r="I381" s="576"/>
      <c r="J381" s="466"/>
      <c r="K381" s="576"/>
      <c r="L381" s="466"/>
      <c r="M381" s="576"/>
      <c r="N381" s="466"/>
      <c r="O381" s="576"/>
      <c r="P381" s="576"/>
      <c r="Q381" s="576"/>
      <c r="R381" s="346"/>
      <c r="S381" s="346"/>
    </row>
    <row r="382" ht="15.75" customHeight="1">
      <c r="B382" s="591"/>
      <c r="C382" s="466"/>
      <c r="D382" s="466"/>
      <c r="E382" s="592"/>
      <c r="F382" s="466"/>
      <c r="G382" s="576"/>
      <c r="H382" s="576"/>
      <c r="I382" s="576"/>
      <c r="J382" s="466"/>
      <c r="K382" s="576"/>
      <c r="L382" s="466"/>
      <c r="M382" s="576"/>
      <c r="N382" s="466"/>
      <c r="O382" s="576"/>
      <c r="P382" s="576"/>
      <c r="Q382" s="576"/>
      <c r="R382" s="346"/>
      <c r="S382" s="346"/>
    </row>
    <row r="383" ht="15.75" customHeight="1">
      <c r="B383" s="591"/>
      <c r="C383" s="466"/>
      <c r="D383" s="466"/>
      <c r="E383" s="592"/>
      <c r="F383" s="466"/>
      <c r="G383" s="576"/>
      <c r="H383" s="576"/>
      <c r="I383" s="576"/>
      <c r="J383" s="466"/>
      <c r="K383" s="576"/>
      <c r="L383" s="466"/>
      <c r="M383" s="576"/>
      <c r="N383" s="466"/>
      <c r="O383" s="576"/>
      <c r="P383" s="576"/>
      <c r="Q383" s="576"/>
      <c r="R383" s="346"/>
      <c r="S383" s="346"/>
    </row>
    <row r="384" ht="15.75" customHeight="1">
      <c r="B384" s="591"/>
      <c r="C384" s="466"/>
      <c r="D384" s="466"/>
      <c r="E384" s="592"/>
      <c r="F384" s="466"/>
      <c r="G384" s="576"/>
      <c r="H384" s="576"/>
      <c r="I384" s="576"/>
      <c r="J384" s="466"/>
      <c r="K384" s="576"/>
      <c r="L384" s="466"/>
      <c r="M384" s="576"/>
      <c r="N384" s="466"/>
      <c r="O384" s="576"/>
      <c r="P384" s="576"/>
      <c r="Q384" s="576"/>
      <c r="R384" s="346"/>
      <c r="S384" s="346"/>
    </row>
    <row r="385" ht="15.75" customHeight="1">
      <c r="B385" s="591"/>
      <c r="C385" s="466"/>
      <c r="D385" s="466"/>
      <c r="E385" s="592"/>
      <c r="F385" s="466"/>
      <c r="G385" s="576"/>
      <c r="H385" s="576"/>
      <c r="I385" s="576"/>
      <c r="J385" s="466"/>
      <c r="K385" s="576"/>
      <c r="L385" s="466"/>
      <c r="M385" s="576"/>
      <c r="N385" s="466"/>
      <c r="O385" s="576"/>
      <c r="P385" s="576"/>
      <c r="Q385" s="576"/>
      <c r="R385" s="346"/>
      <c r="S385" s="346"/>
    </row>
    <row r="386" ht="15.75" customHeight="1">
      <c r="B386" s="591"/>
      <c r="C386" s="466"/>
      <c r="D386" s="466"/>
      <c r="E386" s="592"/>
      <c r="F386" s="466"/>
      <c r="G386" s="576"/>
      <c r="H386" s="576"/>
      <c r="I386" s="576"/>
      <c r="J386" s="466"/>
      <c r="K386" s="576"/>
      <c r="L386" s="466"/>
      <c r="M386" s="576"/>
      <c r="N386" s="466"/>
      <c r="O386" s="576"/>
      <c r="P386" s="576"/>
      <c r="Q386" s="576"/>
      <c r="R386" s="346"/>
      <c r="S386" s="346"/>
    </row>
    <row r="387" ht="15.75" customHeight="1">
      <c r="B387" s="591"/>
      <c r="C387" s="466"/>
      <c r="D387" s="466"/>
      <c r="E387" s="592"/>
      <c r="F387" s="466"/>
      <c r="G387" s="576"/>
      <c r="H387" s="576"/>
      <c r="I387" s="576"/>
      <c r="J387" s="466"/>
      <c r="K387" s="576"/>
      <c r="L387" s="466"/>
      <c r="M387" s="576"/>
      <c r="N387" s="466"/>
      <c r="O387" s="576"/>
      <c r="P387" s="576"/>
      <c r="Q387" s="576"/>
      <c r="R387" s="346"/>
      <c r="S387" s="346"/>
    </row>
    <row r="388" ht="15.75" customHeight="1">
      <c r="B388" s="591"/>
      <c r="C388" s="466"/>
      <c r="D388" s="466"/>
      <c r="E388" s="592"/>
      <c r="F388" s="466"/>
      <c r="G388" s="576"/>
      <c r="H388" s="576"/>
      <c r="I388" s="576"/>
      <c r="J388" s="466"/>
      <c r="K388" s="576"/>
      <c r="L388" s="466"/>
      <c r="M388" s="576"/>
      <c r="N388" s="466"/>
      <c r="O388" s="576"/>
      <c r="P388" s="576"/>
      <c r="Q388" s="576"/>
      <c r="R388" s="346"/>
      <c r="S388" s="346"/>
    </row>
    <row r="389" ht="15.75" customHeight="1">
      <c r="B389" s="591"/>
      <c r="C389" s="466"/>
      <c r="D389" s="466"/>
      <c r="E389" s="592"/>
      <c r="F389" s="466"/>
      <c r="G389" s="576"/>
      <c r="H389" s="576"/>
      <c r="I389" s="576"/>
      <c r="J389" s="466"/>
      <c r="K389" s="576"/>
      <c r="L389" s="466"/>
      <c r="M389" s="576"/>
      <c r="N389" s="466"/>
      <c r="O389" s="576"/>
      <c r="P389" s="576"/>
      <c r="Q389" s="576"/>
      <c r="R389" s="346"/>
      <c r="S389" s="346"/>
    </row>
    <row r="390" ht="15.75" customHeight="1">
      <c r="B390" s="591"/>
      <c r="C390" s="466"/>
      <c r="D390" s="466"/>
      <c r="E390" s="592"/>
      <c r="F390" s="466"/>
      <c r="G390" s="576"/>
      <c r="H390" s="576"/>
      <c r="I390" s="576"/>
      <c r="J390" s="466"/>
      <c r="K390" s="576"/>
      <c r="L390" s="466"/>
      <c r="M390" s="576"/>
      <c r="N390" s="466"/>
      <c r="O390" s="576"/>
      <c r="P390" s="576"/>
      <c r="Q390" s="576"/>
      <c r="R390" s="346"/>
      <c r="S390" s="346"/>
    </row>
    <row r="391" ht="15.75" customHeight="1">
      <c r="B391" s="591"/>
      <c r="C391" s="466"/>
      <c r="D391" s="466"/>
      <c r="E391" s="592"/>
      <c r="F391" s="466"/>
      <c r="G391" s="576"/>
      <c r="H391" s="576"/>
      <c r="I391" s="576"/>
      <c r="J391" s="466"/>
      <c r="K391" s="576"/>
      <c r="L391" s="466"/>
      <c r="M391" s="576"/>
      <c r="N391" s="466"/>
      <c r="O391" s="576"/>
      <c r="P391" s="576"/>
      <c r="Q391" s="576"/>
      <c r="R391" s="346"/>
      <c r="S391" s="346"/>
    </row>
    <row r="392" ht="15.75" customHeight="1">
      <c r="B392" s="591"/>
      <c r="C392" s="466"/>
      <c r="D392" s="466"/>
      <c r="E392" s="592"/>
      <c r="F392" s="466"/>
      <c r="G392" s="576"/>
      <c r="H392" s="576"/>
      <c r="I392" s="576"/>
      <c r="J392" s="466"/>
      <c r="K392" s="576"/>
      <c r="L392" s="466"/>
      <c r="M392" s="576"/>
      <c r="N392" s="466"/>
      <c r="O392" s="576"/>
      <c r="P392" s="576"/>
      <c r="Q392" s="576"/>
      <c r="R392" s="346"/>
      <c r="S392" s="346"/>
    </row>
    <row r="393" ht="15.75" customHeight="1">
      <c r="B393" s="591"/>
      <c r="C393" s="466"/>
      <c r="D393" s="466"/>
      <c r="E393" s="592"/>
      <c r="F393" s="466"/>
      <c r="G393" s="576"/>
      <c r="H393" s="576"/>
      <c r="I393" s="576"/>
      <c r="J393" s="466"/>
      <c r="K393" s="576"/>
      <c r="L393" s="466"/>
      <c r="M393" s="576"/>
      <c r="N393" s="466"/>
      <c r="O393" s="576"/>
      <c r="P393" s="576"/>
      <c r="Q393" s="576"/>
      <c r="R393" s="346"/>
      <c r="S393" s="346"/>
    </row>
    <row r="394" ht="15.75" customHeight="1">
      <c r="B394" s="591"/>
      <c r="C394" s="466"/>
      <c r="D394" s="466"/>
      <c r="E394" s="592"/>
      <c r="F394" s="466"/>
      <c r="G394" s="576"/>
      <c r="H394" s="576"/>
      <c r="I394" s="576"/>
      <c r="J394" s="466"/>
      <c r="K394" s="576"/>
      <c r="L394" s="466"/>
      <c r="M394" s="576"/>
      <c r="N394" s="466"/>
      <c r="O394" s="576"/>
      <c r="P394" s="576"/>
      <c r="Q394" s="576"/>
      <c r="R394" s="346"/>
      <c r="S394" s="346"/>
    </row>
    <row r="395" ht="15.75" customHeight="1">
      <c r="B395" s="591"/>
      <c r="C395" s="466"/>
      <c r="D395" s="466"/>
      <c r="E395" s="592"/>
      <c r="F395" s="466"/>
      <c r="G395" s="576"/>
      <c r="H395" s="576"/>
      <c r="I395" s="576"/>
      <c r="J395" s="466"/>
      <c r="K395" s="576"/>
      <c r="L395" s="466"/>
      <c r="M395" s="576"/>
      <c r="N395" s="466"/>
      <c r="O395" s="576"/>
      <c r="P395" s="576"/>
      <c r="Q395" s="576"/>
      <c r="R395" s="346"/>
      <c r="S395" s="346"/>
    </row>
    <row r="396" ht="15.75" customHeight="1">
      <c r="B396" s="591"/>
      <c r="C396" s="466"/>
      <c r="D396" s="466"/>
      <c r="E396" s="592"/>
      <c r="F396" s="466"/>
      <c r="G396" s="576"/>
      <c r="H396" s="576"/>
      <c r="I396" s="576"/>
      <c r="J396" s="466"/>
      <c r="K396" s="576"/>
      <c r="L396" s="466"/>
      <c r="M396" s="576"/>
      <c r="N396" s="466"/>
      <c r="O396" s="576"/>
      <c r="P396" s="576"/>
      <c r="Q396" s="576"/>
      <c r="R396" s="346"/>
      <c r="S396" s="346"/>
    </row>
    <row r="397" ht="15.75" customHeight="1">
      <c r="B397" s="591"/>
      <c r="C397" s="466"/>
      <c r="D397" s="466"/>
      <c r="E397" s="592"/>
      <c r="F397" s="466"/>
      <c r="G397" s="576"/>
      <c r="H397" s="576"/>
      <c r="I397" s="576"/>
      <c r="J397" s="466"/>
      <c r="K397" s="576"/>
      <c r="L397" s="466"/>
      <c r="M397" s="576"/>
      <c r="N397" s="466"/>
      <c r="O397" s="576"/>
      <c r="P397" s="576"/>
      <c r="Q397" s="576"/>
      <c r="R397" s="346"/>
      <c r="S397" s="346"/>
    </row>
    <row r="398" ht="15.75" customHeight="1">
      <c r="B398" s="591"/>
      <c r="C398" s="466"/>
      <c r="D398" s="466"/>
      <c r="E398" s="592"/>
      <c r="F398" s="466"/>
      <c r="G398" s="576"/>
      <c r="H398" s="576"/>
      <c r="I398" s="576"/>
      <c r="J398" s="466"/>
      <c r="K398" s="576"/>
      <c r="L398" s="466"/>
      <c r="M398" s="576"/>
      <c r="N398" s="466"/>
      <c r="O398" s="576"/>
      <c r="P398" s="576"/>
      <c r="Q398" s="576"/>
      <c r="R398" s="346"/>
      <c r="S398" s="346"/>
    </row>
    <row r="399" ht="15.75" customHeight="1">
      <c r="B399" s="591"/>
      <c r="C399" s="466"/>
      <c r="D399" s="466"/>
      <c r="E399" s="592"/>
      <c r="F399" s="466"/>
      <c r="G399" s="576"/>
      <c r="H399" s="576"/>
      <c r="I399" s="576"/>
      <c r="J399" s="466"/>
      <c r="K399" s="576"/>
      <c r="L399" s="466"/>
      <c r="M399" s="576"/>
      <c r="N399" s="466"/>
      <c r="O399" s="576"/>
      <c r="P399" s="576"/>
      <c r="Q399" s="576"/>
      <c r="R399" s="346"/>
      <c r="S399" s="346"/>
    </row>
    <row r="400" ht="15.75" customHeight="1">
      <c r="B400" s="591"/>
      <c r="C400" s="466"/>
      <c r="D400" s="466"/>
      <c r="E400" s="592"/>
      <c r="F400" s="466"/>
      <c r="G400" s="576"/>
      <c r="H400" s="576"/>
      <c r="I400" s="576"/>
      <c r="J400" s="466"/>
      <c r="K400" s="576"/>
      <c r="L400" s="466"/>
      <c r="M400" s="576"/>
      <c r="N400" s="466"/>
      <c r="O400" s="576"/>
      <c r="P400" s="576"/>
      <c r="Q400" s="576"/>
      <c r="R400" s="346"/>
      <c r="S400" s="346"/>
    </row>
    <row r="401" ht="15.75" customHeight="1">
      <c r="B401" s="591"/>
      <c r="C401" s="466"/>
      <c r="D401" s="466"/>
      <c r="E401" s="592"/>
      <c r="F401" s="466"/>
      <c r="G401" s="576"/>
      <c r="H401" s="576"/>
      <c r="I401" s="576"/>
      <c r="J401" s="466"/>
      <c r="K401" s="576"/>
      <c r="L401" s="466"/>
      <c r="M401" s="576"/>
      <c r="N401" s="466"/>
      <c r="O401" s="576"/>
      <c r="P401" s="576"/>
      <c r="Q401" s="576"/>
      <c r="R401" s="346"/>
      <c r="S401" s="346"/>
    </row>
    <row r="402" ht="15.75" customHeight="1">
      <c r="B402" s="591"/>
      <c r="C402" s="466"/>
      <c r="D402" s="466"/>
      <c r="E402" s="592"/>
      <c r="F402" s="466"/>
      <c r="G402" s="576"/>
      <c r="H402" s="576"/>
      <c r="I402" s="576"/>
      <c r="J402" s="466"/>
      <c r="K402" s="576"/>
      <c r="L402" s="466"/>
      <c r="M402" s="576"/>
      <c r="N402" s="466"/>
      <c r="O402" s="576"/>
      <c r="P402" s="576"/>
      <c r="Q402" s="576"/>
      <c r="R402" s="346"/>
      <c r="S402" s="346"/>
    </row>
    <row r="403" ht="15.75" customHeight="1">
      <c r="B403" s="591"/>
      <c r="C403" s="466"/>
      <c r="D403" s="466"/>
      <c r="E403" s="592"/>
      <c r="F403" s="466"/>
      <c r="G403" s="576"/>
      <c r="H403" s="576"/>
      <c r="I403" s="576"/>
      <c r="J403" s="466"/>
      <c r="K403" s="576"/>
      <c r="L403" s="466"/>
      <c r="M403" s="576"/>
      <c r="N403" s="466"/>
      <c r="O403" s="576"/>
      <c r="P403" s="576"/>
      <c r="Q403" s="576"/>
      <c r="R403" s="346"/>
      <c r="S403" s="346"/>
    </row>
    <row r="404" ht="15.75" customHeight="1">
      <c r="B404" s="591"/>
      <c r="C404" s="466"/>
      <c r="D404" s="466"/>
      <c r="E404" s="592"/>
      <c r="F404" s="466"/>
      <c r="G404" s="576"/>
      <c r="H404" s="576"/>
      <c r="I404" s="576"/>
      <c r="J404" s="466"/>
      <c r="K404" s="576"/>
      <c r="L404" s="466"/>
      <c r="M404" s="576"/>
      <c r="N404" s="466"/>
      <c r="O404" s="576"/>
      <c r="P404" s="576"/>
      <c r="Q404" s="576"/>
      <c r="R404" s="346"/>
      <c r="S404" s="346"/>
    </row>
    <row r="405" ht="15.75" customHeight="1">
      <c r="B405" s="591"/>
      <c r="C405" s="466"/>
      <c r="D405" s="466"/>
      <c r="E405" s="592"/>
      <c r="F405" s="466"/>
      <c r="G405" s="576"/>
      <c r="H405" s="576"/>
      <c r="I405" s="576"/>
      <c r="J405" s="466"/>
      <c r="K405" s="576"/>
      <c r="L405" s="466"/>
      <c r="M405" s="576"/>
      <c r="N405" s="466"/>
      <c r="O405" s="576"/>
      <c r="P405" s="576"/>
      <c r="Q405" s="576"/>
      <c r="R405" s="346"/>
      <c r="S405" s="346"/>
    </row>
    <row r="406" ht="15.75" customHeight="1">
      <c r="B406" s="591"/>
      <c r="C406" s="466"/>
      <c r="D406" s="466"/>
      <c r="E406" s="592"/>
      <c r="F406" s="466"/>
      <c r="G406" s="576"/>
      <c r="H406" s="576"/>
      <c r="I406" s="576"/>
      <c r="J406" s="466"/>
      <c r="K406" s="576"/>
      <c r="L406" s="466"/>
      <c r="M406" s="576"/>
      <c r="N406" s="466"/>
      <c r="O406" s="576"/>
      <c r="P406" s="576"/>
      <c r="Q406" s="576"/>
      <c r="R406" s="346"/>
      <c r="S406" s="346"/>
    </row>
    <row r="407" ht="15.75" customHeight="1">
      <c r="B407" s="591"/>
      <c r="C407" s="466"/>
      <c r="D407" s="466"/>
      <c r="E407" s="592"/>
      <c r="F407" s="466"/>
      <c r="G407" s="576"/>
      <c r="H407" s="576"/>
      <c r="I407" s="576"/>
      <c r="J407" s="466"/>
      <c r="K407" s="576"/>
      <c r="L407" s="466"/>
      <c r="M407" s="576"/>
      <c r="N407" s="466"/>
      <c r="O407" s="576"/>
      <c r="P407" s="576"/>
      <c r="Q407" s="576"/>
      <c r="R407" s="346"/>
      <c r="S407" s="346"/>
    </row>
    <row r="408" ht="15.75" customHeight="1">
      <c r="B408" s="591"/>
      <c r="C408" s="466"/>
      <c r="D408" s="466"/>
      <c r="E408" s="592"/>
      <c r="F408" s="466"/>
      <c r="G408" s="576"/>
      <c r="H408" s="576"/>
      <c r="I408" s="576"/>
      <c r="J408" s="466"/>
      <c r="K408" s="576"/>
      <c r="L408" s="466"/>
      <c r="M408" s="576"/>
      <c r="N408" s="466"/>
      <c r="O408" s="576"/>
      <c r="P408" s="576"/>
      <c r="Q408" s="576"/>
      <c r="R408" s="346"/>
      <c r="S408" s="346"/>
    </row>
    <row r="409" ht="15.75" customHeight="1">
      <c r="B409" s="591"/>
      <c r="C409" s="466"/>
      <c r="D409" s="466"/>
      <c r="E409" s="592"/>
      <c r="F409" s="466"/>
      <c r="G409" s="576"/>
      <c r="H409" s="576"/>
      <c r="I409" s="576"/>
      <c r="J409" s="466"/>
      <c r="K409" s="576"/>
      <c r="L409" s="466"/>
      <c r="M409" s="576"/>
      <c r="N409" s="466"/>
      <c r="O409" s="576"/>
      <c r="P409" s="576"/>
      <c r="Q409" s="576"/>
      <c r="R409" s="346"/>
      <c r="S409" s="346"/>
    </row>
    <row r="410" ht="15.75" customHeight="1">
      <c r="B410" s="591"/>
      <c r="C410" s="466"/>
      <c r="D410" s="466"/>
      <c r="E410" s="592"/>
      <c r="F410" s="466"/>
      <c r="G410" s="576"/>
      <c r="H410" s="576"/>
      <c r="I410" s="576"/>
      <c r="J410" s="466"/>
      <c r="K410" s="576"/>
      <c r="L410" s="466"/>
      <c r="M410" s="576"/>
      <c r="N410" s="466"/>
      <c r="O410" s="576"/>
      <c r="P410" s="576"/>
      <c r="Q410" s="576"/>
      <c r="R410" s="346"/>
      <c r="S410" s="346"/>
    </row>
    <row r="411" ht="15.75" customHeight="1">
      <c r="B411" s="591"/>
      <c r="C411" s="466"/>
      <c r="D411" s="466"/>
      <c r="E411" s="592"/>
      <c r="F411" s="466"/>
      <c r="G411" s="576"/>
      <c r="H411" s="576"/>
      <c r="I411" s="576"/>
      <c r="J411" s="466"/>
      <c r="K411" s="576"/>
      <c r="L411" s="466"/>
      <c r="M411" s="576"/>
      <c r="N411" s="466"/>
      <c r="O411" s="576"/>
      <c r="P411" s="576"/>
      <c r="Q411" s="576"/>
      <c r="R411" s="346"/>
      <c r="S411" s="346"/>
    </row>
    <row r="412" ht="15.75" customHeight="1">
      <c r="B412" s="591"/>
      <c r="C412" s="466"/>
      <c r="D412" s="466"/>
      <c r="E412" s="592"/>
      <c r="F412" s="466"/>
      <c r="G412" s="576"/>
      <c r="H412" s="576"/>
      <c r="I412" s="576"/>
      <c r="J412" s="466"/>
      <c r="K412" s="576"/>
      <c r="L412" s="466"/>
      <c r="M412" s="576"/>
      <c r="N412" s="466"/>
      <c r="O412" s="576"/>
      <c r="P412" s="576"/>
      <c r="Q412" s="576"/>
      <c r="R412" s="346"/>
      <c r="S412" s="346"/>
    </row>
    <row r="413" ht="15.75" customHeight="1">
      <c r="B413" s="591"/>
      <c r="C413" s="466"/>
      <c r="D413" s="466"/>
      <c r="E413" s="592"/>
      <c r="F413" s="466"/>
      <c r="G413" s="576"/>
      <c r="H413" s="576"/>
      <c r="I413" s="576"/>
      <c r="J413" s="466"/>
      <c r="K413" s="576"/>
      <c r="L413" s="466"/>
      <c r="M413" s="576"/>
      <c r="N413" s="466"/>
      <c r="O413" s="576"/>
      <c r="P413" s="576"/>
      <c r="Q413" s="576"/>
      <c r="R413" s="346"/>
      <c r="S413" s="346"/>
    </row>
    <row r="414" ht="15.75" customHeight="1">
      <c r="B414" s="591"/>
      <c r="C414" s="466"/>
      <c r="D414" s="466"/>
      <c r="E414" s="592"/>
      <c r="F414" s="466"/>
      <c r="G414" s="576"/>
      <c r="H414" s="576"/>
      <c r="I414" s="576"/>
      <c r="J414" s="466"/>
      <c r="K414" s="576"/>
      <c r="L414" s="466"/>
      <c r="M414" s="576"/>
      <c r="N414" s="466"/>
      <c r="O414" s="576"/>
      <c r="P414" s="576"/>
      <c r="Q414" s="576"/>
      <c r="R414" s="346"/>
      <c r="S414" s="346"/>
    </row>
    <row r="415" ht="15.75" customHeight="1">
      <c r="B415" s="591"/>
      <c r="C415" s="466"/>
      <c r="D415" s="466"/>
      <c r="E415" s="592"/>
      <c r="F415" s="466"/>
      <c r="G415" s="576"/>
      <c r="H415" s="576"/>
      <c r="I415" s="576"/>
      <c r="J415" s="466"/>
      <c r="K415" s="576"/>
      <c r="L415" s="466"/>
      <c r="M415" s="576"/>
      <c r="N415" s="466"/>
      <c r="O415" s="576"/>
      <c r="P415" s="576"/>
      <c r="Q415" s="576"/>
      <c r="R415" s="346"/>
      <c r="S415" s="346"/>
    </row>
    <row r="416" ht="15.75" customHeight="1">
      <c r="B416" s="591"/>
      <c r="C416" s="466"/>
      <c r="D416" s="466"/>
      <c r="E416" s="592"/>
      <c r="F416" s="466"/>
      <c r="G416" s="576"/>
      <c r="H416" s="576"/>
      <c r="I416" s="576"/>
      <c r="J416" s="466"/>
      <c r="K416" s="576"/>
      <c r="L416" s="466"/>
      <c r="M416" s="576"/>
      <c r="N416" s="466"/>
      <c r="O416" s="576"/>
      <c r="P416" s="576"/>
      <c r="Q416" s="576"/>
      <c r="R416" s="346"/>
      <c r="S416" s="346"/>
    </row>
    <row r="417" ht="15.75" customHeight="1">
      <c r="B417" s="591"/>
      <c r="C417" s="466"/>
      <c r="D417" s="466"/>
      <c r="E417" s="592"/>
      <c r="F417" s="466"/>
      <c r="G417" s="576"/>
      <c r="H417" s="576"/>
      <c r="I417" s="576"/>
      <c r="J417" s="466"/>
      <c r="K417" s="576"/>
      <c r="L417" s="466"/>
      <c r="M417" s="576"/>
      <c r="N417" s="466"/>
      <c r="O417" s="576"/>
      <c r="P417" s="576"/>
      <c r="Q417" s="576"/>
      <c r="R417" s="346"/>
      <c r="S417" s="346"/>
    </row>
    <row r="418" ht="15.75" customHeight="1">
      <c r="B418" s="591"/>
      <c r="C418" s="466"/>
      <c r="D418" s="466"/>
      <c r="E418" s="592"/>
      <c r="F418" s="466"/>
      <c r="G418" s="576"/>
      <c r="H418" s="576"/>
      <c r="I418" s="576"/>
      <c r="J418" s="466"/>
      <c r="K418" s="576"/>
      <c r="L418" s="466"/>
      <c r="M418" s="576"/>
      <c r="N418" s="466"/>
      <c r="O418" s="576"/>
      <c r="P418" s="576"/>
      <c r="Q418" s="576"/>
      <c r="R418" s="346"/>
      <c r="S418" s="346"/>
    </row>
    <row r="419" ht="15.75" customHeight="1">
      <c r="B419" s="591"/>
      <c r="C419" s="466"/>
      <c r="D419" s="466"/>
      <c r="E419" s="592"/>
      <c r="F419" s="466"/>
      <c r="G419" s="576"/>
      <c r="H419" s="576"/>
      <c r="I419" s="576"/>
      <c r="J419" s="466"/>
      <c r="K419" s="576"/>
      <c r="L419" s="466"/>
      <c r="M419" s="576"/>
      <c r="N419" s="466"/>
      <c r="O419" s="576"/>
      <c r="P419" s="576"/>
      <c r="Q419" s="576"/>
      <c r="R419" s="346"/>
      <c r="S419" s="346"/>
    </row>
    <row r="420" ht="15.75" customHeight="1">
      <c r="B420" s="591"/>
      <c r="C420" s="466"/>
      <c r="D420" s="466"/>
      <c r="E420" s="592"/>
      <c r="F420" s="466"/>
      <c r="G420" s="576"/>
      <c r="H420" s="576"/>
      <c r="I420" s="576"/>
      <c r="J420" s="466"/>
      <c r="K420" s="576"/>
      <c r="L420" s="466"/>
      <c r="M420" s="576"/>
      <c r="N420" s="466"/>
      <c r="O420" s="576"/>
      <c r="P420" s="576"/>
      <c r="Q420" s="576"/>
      <c r="R420" s="346"/>
      <c r="S420" s="346"/>
    </row>
    <row r="421" ht="15.75" customHeight="1">
      <c r="B421" s="591"/>
      <c r="C421" s="466"/>
      <c r="D421" s="466"/>
      <c r="E421" s="592"/>
      <c r="F421" s="466"/>
      <c r="G421" s="576"/>
      <c r="H421" s="576"/>
      <c r="I421" s="576"/>
      <c r="J421" s="466"/>
      <c r="K421" s="576"/>
      <c r="L421" s="466"/>
      <c r="M421" s="576"/>
      <c r="N421" s="466"/>
      <c r="O421" s="576"/>
      <c r="P421" s="576"/>
      <c r="Q421" s="576"/>
      <c r="R421" s="346"/>
      <c r="S421" s="346"/>
    </row>
    <row r="422" ht="15.75" customHeight="1">
      <c r="B422" s="591"/>
      <c r="C422" s="466"/>
      <c r="D422" s="466"/>
      <c r="E422" s="592"/>
      <c r="F422" s="466"/>
      <c r="G422" s="576"/>
      <c r="H422" s="576"/>
      <c r="I422" s="576"/>
      <c r="J422" s="466"/>
      <c r="K422" s="576"/>
      <c r="L422" s="466"/>
      <c r="M422" s="576"/>
      <c r="N422" s="466"/>
      <c r="O422" s="576"/>
      <c r="P422" s="576"/>
      <c r="Q422" s="576"/>
      <c r="R422" s="346"/>
      <c r="S422" s="346"/>
    </row>
    <row r="423" ht="15.75" customHeight="1">
      <c r="B423" s="591"/>
      <c r="C423" s="466"/>
      <c r="D423" s="466"/>
      <c r="E423" s="592"/>
      <c r="F423" s="466"/>
      <c r="G423" s="576"/>
      <c r="H423" s="576"/>
      <c r="I423" s="576"/>
      <c r="J423" s="466"/>
      <c r="K423" s="576"/>
      <c r="L423" s="466"/>
      <c r="M423" s="576"/>
      <c r="N423" s="466"/>
      <c r="O423" s="576"/>
      <c r="P423" s="576"/>
      <c r="Q423" s="576"/>
      <c r="R423" s="346"/>
      <c r="S423" s="346"/>
    </row>
    <row r="424" ht="15.75" customHeight="1">
      <c r="B424" s="591"/>
      <c r="C424" s="466"/>
      <c r="D424" s="466"/>
      <c r="E424" s="592"/>
      <c r="F424" s="466"/>
      <c r="G424" s="576"/>
      <c r="H424" s="576"/>
      <c r="I424" s="576"/>
      <c r="J424" s="466"/>
      <c r="K424" s="576"/>
      <c r="L424" s="466"/>
      <c r="M424" s="576"/>
      <c r="N424" s="466"/>
      <c r="O424" s="576"/>
      <c r="P424" s="576"/>
      <c r="Q424" s="576"/>
      <c r="R424" s="346"/>
      <c r="S424" s="346"/>
    </row>
    <row r="425" ht="15.75" customHeight="1">
      <c r="B425" s="591"/>
      <c r="C425" s="466"/>
      <c r="D425" s="466"/>
      <c r="E425" s="592"/>
      <c r="F425" s="466"/>
      <c r="G425" s="576"/>
      <c r="H425" s="576"/>
      <c r="I425" s="576"/>
      <c r="J425" s="466"/>
      <c r="K425" s="576"/>
      <c r="L425" s="466"/>
      <c r="M425" s="576"/>
      <c r="N425" s="466"/>
      <c r="O425" s="576"/>
      <c r="P425" s="576"/>
      <c r="Q425" s="576"/>
      <c r="R425" s="346"/>
      <c r="S425" s="346"/>
    </row>
    <row r="426" ht="15.75" customHeight="1">
      <c r="B426" s="591"/>
      <c r="C426" s="466"/>
      <c r="D426" s="466"/>
      <c r="E426" s="592"/>
      <c r="F426" s="466"/>
      <c r="G426" s="576"/>
      <c r="H426" s="576"/>
      <c r="I426" s="576"/>
      <c r="J426" s="466"/>
      <c r="K426" s="576"/>
      <c r="L426" s="466"/>
      <c r="M426" s="576"/>
      <c r="N426" s="466"/>
      <c r="O426" s="576"/>
      <c r="P426" s="576"/>
      <c r="Q426" s="576"/>
      <c r="R426" s="346"/>
      <c r="S426" s="346"/>
    </row>
    <row r="427" ht="15.75" customHeight="1">
      <c r="B427" s="591"/>
      <c r="C427" s="466"/>
      <c r="D427" s="466"/>
      <c r="E427" s="592"/>
      <c r="F427" s="466"/>
      <c r="G427" s="576"/>
      <c r="H427" s="576"/>
      <c r="I427" s="576"/>
      <c r="J427" s="466"/>
      <c r="K427" s="576"/>
      <c r="L427" s="466"/>
      <c r="M427" s="576"/>
      <c r="N427" s="466"/>
      <c r="O427" s="576"/>
      <c r="P427" s="576"/>
      <c r="Q427" s="576"/>
      <c r="R427" s="346"/>
      <c r="S427" s="346"/>
    </row>
    <row r="428" ht="15.75" customHeight="1">
      <c r="B428" s="591"/>
      <c r="C428" s="466"/>
      <c r="D428" s="466"/>
      <c r="E428" s="592"/>
      <c r="F428" s="466"/>
      <c r="G428" s="576"/>
      <c r="H428" s="576"/>
      <c r="I428" s="576"/>
      <c r="J428" s="466"/>
      <c r="K428" s="576"/>
      <c r="L428" s="466"/>
      <c r="M428" s="576"/>
      <c r="N428" s="466"/>
      <c r="O428" s="576"/>
      <c r="P428" s="576"/>
      <c r="Q428" s="576"/>
      <c r="R428" s="346"/>
      <c r="S428" s="346"/>
    </row>
    <row r="429" ht="15.75" customHeight="1">
      <c r="B429" s="591"/>
      <c r="C429" s="466"/>
      <c r="D429" s="466"/>
      <c r="E429" s="592"/>
      <c r="F429" s="466"/>
      <c r="G429" s="576"/>
      <c r="H429" s="576"/>
      <c r="I429" s="576"/>
      <c r="J429" s="466"/>
      <c r="K429" s="576"/>
      <c r="L429" s="466"/>
      <c r="M429" s="576"/>
      <c r="N429" s="466"/>
      <c r="O429" s="576"/>
      <c r="P429" s="576"/>
      <c r="Q429" s="576"/>
      <c r="R429" s="346"/>
      <c r="S429" s="346"/>
    </row>
    <row r="430" ht="15.75" customHeight="1">
      <c r="B430" s="591"/>
      <c r="C430" s="466"/>
      <c r="D430" s="466"/>
      <c r="E430" s="592"/>
      <c r="F430" s="466"/>
      <c r="G430" s="576"/>
      <c r="H430" s="576"/>
      <c r="I430" s="576"/>
      <c r="J430" s="466"/>
      <c r="K430" s="576"/>
      <c r="L430" s="466"/>
      <c r="M430" s="576"/>
      <c r="N430" s="466"/>
      <c r="O430" s="576"/>
      <c r="P430" s="576"/>
      <c r="Q430" s="576"/>
      <c r="R430" s="346"/>
      <c r="S430" s="346"/>
    </row>
    <row r="431" ht="15.75" customHeight="1">
      <c r="B431" s="591"/>
      <c r="C431" s="466"/>
      <c r="D431" s="466"/>
      <c r="E431" s="592"/>
      <c r="F431" s="466"/>
      <c r="G431" s="576"/>
      <c r="H431" s="576"/>
      <c r="I431" s="576"/>
      <c r="J431" s="466"/>
      <c r="K431" s="576"/>
      <c r="L431" s="466"/>
      <c r="M431" s="576"/>
      <c r="N431" s="466"/>
      <c r="O431" s="576"/>
      <c r="P431" s="576"/>
      <c r="Q431" s="576"/>
      <c r="R431" s="346"/>
      <c r="S431" s="346"/>
    </row>
    <row r="432" ht="15.75" customHeight="1">
      <c r="B432" s="591"/>
      <c r="C432" s="466"/>
      <c r="D432" s="466"/>
      <c r="E432" s="592"/>
      <c r="F432" s="466"/>
      <c r="G432" s="576"/>
      <c r="H432" s="576"/>
      <c r="I432" s="576"/>
      <c r="J432" s="466"/>
      <c r="K432" s="576"/>
      <c r="L432" s="466"/>
      <c r="M432" s="576"/>
      <c r="N432" s="466"/>
      <c r="O432" s="576"/>
      <c r="P432" s="576"/>
      <c r="Q432" s="576"/>
      <c r="R432" s="346"/>
      <c r="S432" s="346"/>
    </row>
    <row r="433" ht="15.75" customHeight="1">
      <c r="B433" s="591"/>
      <c r="C433" s="466"/>
      <c r="D433" s="466"/>
      <c r="E433" s="592"/>
      <c r="F433" s="466"/>
      <c r="G433" s="576"/>
      <c r="H433" s="576"/>
      <c r="I433" s="576"/>
      <c r="J433" s="466"/>
      <c r="K433" s="576"/>
      <c r="L433" s="466"/>
      <c r="M433" s="576"/>
      <c r="N433" s="466"/>
      <c r="O433" s="576"/>
      <c r="P433" s="576"/>
      <c r="Q433" s="576"/>
      <c r="R433" s="346"/>
      <c r="S433" s="346"/>
    </row>
    <row r="434" ht="15.75" customHeight="1">
      <c r="B434" s="591"/>
      <c r="C434" s="466"/>
      <c r="D434" s="466"/>
      <c r="E434" s="592"/>
      <c r="F434" s="466"/>
      <c r="G434" s="576"/>
      <c r="H434" s="576"/>
      <c r="I434" s="576"/>
      <c r="J434" s="466"/>
      <c r="K434" s="576"/>
      <c r="L434" s="466"/>
      <c r="M434" s="576"/>
      <c r="N434" s="466"/>
      <c r="O434" s="576"/>
      <c r="P434" s="576"/>
      <c r="Q434" s="576"/>
      <c r="R434" s="346"/>
      <c r="S434" s="346"/>
    </row>
    <row r="435" ht="15.75" customHeight="1">
      <c r="B435" s="591"/>
      <c r="C435" s="466"/>
      <c r="D435" s="466"/>
      <c r="E435" s="592"/>
      <c r="F435" s="466"/>
      <c r="G435" s="576"/>
      <c r="H435" s="576"/>
      <c r="I435" s="576"/>
      <c r="J435" s="466"/>
      <c r="K435" s="576"/>
      <c r="L435" s="466"/>
      <c r="M435" s="576"/>
      <c r="N435" s="466"/>
      <c r="O435" s="576"/>
      <c r="P435" s="576"/>
      <c r="Q435" s="576"/>
      <c r="R435" s="346"/>
      <c r="S435" s="346"/>
    </row>
    <row r="436" ht="15.75" customHeight="1">
      <c r="B436" s="591"/>
      <c r="C436" s="466"/>
      <c r="D436" s="466"/>
      <c r="E436" s="592"/>
      <c r="F436" s="466"/>
      <c r="G436" s="576"/>
      <c r="H436" s="576"/>
      <c r="I436" s="576"/>
      <c r="J436" s="466"/>
      <c r="K436" s="576"/>
      <c r="L436" s="466"/>
      <c r="M436" s="576"/>
      <c r="N436" s="466"/>
      <c r="O436" s="576"/>
      <c r="P436" s="576"/>
      <c r="Q436" s="576"/>
      <c r="R436" s="346"/>
      <c r="S436" s="346"/>
    </row>
    <row r="437" ht="15.75" customHeight="1">
      <c r="B437" s="591"/>
      <c r="C437" s="466"/>
      <c r="D437" s="466"/>
      <c r="E437" s="592"/>
      <c r="F437" s="466"/>
      <c r="G437" s="576"/>
      <c r="H437" s="576"/>
      <c r="I437" s="576"/>
      <c r="J437" s="466"/>
      <c r="K437" s="576"/>
      <c r="L437" s="466"/>
      <c r="M437" s="576"/>
      <c r="N437" s="466"/>
      <c r="O437" s="576"/>
      <c r="P437" s="576"/>
      <c r="Q437" s="576"/>
      <c r="R437" s="346"/>
      <c r="S437" s="346"/>
    </row>
    <row r="438" ht="15.75" customHeight="1">
      <c r="B438" s="591"/>
      <c r="C438" s="466"/>
      <c r="D438" s="466"/>
      <c r="E438" s="592"/>
      <c r="F438" s="466"/>
      <c r="G438" s="576"/>
      <c r="H438" s="576"/>
      <c r="I438" s="576"/>
      <c r="J438" s="466"/>
      <c r="K438" s="576"/>
      <c r="L438" s="466"/>
      <c r="M438" s="576"/>
      <c r="N438" s="466"/>
      <c r="O438" s="576"/>
      <c r="P438" s="576"/>
      <c r="Q438" s="576"/>
      <c r="R438" s="346"/>
      <c r="S438" s="346"/>
    </row>
    <row r="439" ht="15.75" customHeight="1">
      <c r="B439" s="591"/>
      <c r="C439" s="466"/>
      <c r="D439" s="466"/>
      <c r="E439" s="592"/>
      <c r="F439" s="466"/>
      <c r="G439" s="576"/>
      <c r="H439" s="576"/>
      <c r="I439" s="576"/>
      <c r="J439" s="466"/>
      <c r="K439" s="576"/>
      <c r="L439" s="466"/>
      <c r="M439" s="576"/>
      <c r="N439" s="466"/>
      <c r="O439" s="576"/>
      <c r="P439" s="576"/>
      <c r="Q439" s="576"/>
      <c r="R439" s="346"/>
      <c r="S439" s="346"/>
    </row>
    <row r="440" ht="15.75" customHeight="1">
      <c r="B440" s="591"/>
      <c r="C440" s="466"/>
      <c r="D440" s="466"/>
      <c r="E440" s="592"/>
      <c r="F440" s="466"/>
      <c r="G440" s="576"/>
      <c r="H440" s="576"/>
      <c r="I440" s="576"/>
      <c r="J440" s="466"/>
      <c r="K440" s="576"/>
      <c r="L440" s="466"/>
      <c r="M440" s="576"/>
      <c r="N440" s="466"/>
      <c r="O440" s="576"/>
      <c r="P440" s="576"/>
      <c r="Q440" s="576"/>
      <c r="R440" s="346"/>
      <c r="S440" s="346"/>
    </row>
    <row r="441" ht="15.75" customHeight="1">
      <c r="B441" s="591"/>
      <c r="C441" s="466"/>
      <c r="D441" s="466"/>
      <c r="E441" s="592"/>
      <c r="F441" s="466"/>
      <c r="G441" s="576"/>
      <c r="H441" s="576"/>
      <c r="I441" s="576"/>
      <c r="J441" s="466"/>
      <c r="K441" s="576"/>
      <c r="L441" s="466"/>
      <c r="M441" s="576"/>
      <c r="N441" s="466"/>
      <c r="O441" s="576"/>
      <c r="P441" s="576"/>
      <c r="Q441" s="576"/>
      <c r="R441" s="346"/>
      <c r="S441" s="346"/>
    </row>
    <row r="442" ht="15.75" customHeight="1">
      <c r="B442" s="591"/>
      <c r="C442" s="466"/>
      <c r="D442" s="466"/>
      <c r="E442" s="592"/>
      <c r="F442" s="466"/>
      <c r="G442" s="576"/>
      <c r="H442" s="576"/>
      <c r="I442" s="576"/>
      <c r="J442" s="466"/>
      <c r="K442" s="576"/>
      <c r="L442" s="466"/>
      <c r="M442" s="576"/>
      <c r="N442" s="466"/>
      <c r="O442" s="576"/>
      <c r="P442" s="576"/>
      <c r="Q442" s="576"/>
      <c r="R442" s="346"/>
      <c r="S442" s="346"/>
    </row>
    <row r="443" ht="15.75" customHeight="1">
      <c r="B443" s="591"/>
      <c r="C443" s="466"/>
      <c r="D443" s="466"/>
      <c r="E443" s="592"/>
      <c r="F443" s="466"/>
      <c r="G443" s="576"/>
      <c r="H443" s="576"/>
      <c r="I443" s="576"/>
      <c r="J443" s="466"/>
      <c r="K443" s="576"/>
      <c r="L443" s="466"/>
      <c r="M443" s="576"/>
      <c r="N443" s="466"/>
      <c r="O443" s="576"/>
      <c r="P443" s="576"/>
      <c r="Q443" s="576"/>
      <c r="R443" s="346"/>
      <c r="S443" s="346"/>
    </row>
    <row r="444" ht="15.75" customHeight="1">
      <c r="B444" s="591"/>
      <c r="C444" s="466"/>
      <c r="D444" s="466"/>
      <c r="E444" s="592"/>
      <c r="F444" s="466"/>
      <c r="G444" s="576"/>
      <c r="H444" s="576"/>
      <c r="I444" s="576"/>
      <c r="J444" s="466"/>
      <c r="K444" s="576"/>
      <c r="L444" s="466"/>
      <c r="M444" s="576"/>
      <c r="N444" s="466"/>
      <c r="O444" s="576"/>
      <c r="P444" s="576"/>
      <c r="Q444" s="576"/>
      <c r="R444" s="346"/>
      <c r="S444" s="346"/>
    </row>
    <row r="445" ht="15.75" customHeight="1">
      <c r="B445" s="591"/>
      <c r="C445" s="466"/>
      <c r="D445" s="466"/>
      <c r="E445" s="592"/>
      <c r="F445" s="466"/>
      <c r="G445" s="576"/>
      <c r="H445" s="576"/>
      <c r="I445" s="576"/>
      <c r="J445" s="466"/>
      <c r="K445" s="576"/>
      <c r="L445" s="466"/>
      <c r="M445" s="576"/>
      <c r="N445" s="466"/>
      <c r="O445" s="576"/>
      <c r="P445" s="576"/>
      <c r="Q445" s="576"/>
      <c r="R445" s="346"/>
      <c r="S445" s="346"/>
    </row>
    <row r="446" ht="15.75" customHeight="1">
      <c r="B446" s="591"/>
      <c r="C446" s="466"/>
      <c r="D446" s="466"/>
      <c r="E446" s="592"/>
      <c r="F446" s="466"/>
      <c r="G446" s="576"/>
      <c r="H446" s="576"/>
      <c r="I446" s="576"/>
      <c r="J446" s="466"/>
      <c r="K446" s="576"/>
      <c r="L446" s="466"/>
      <c r="M446" s="576"/>
      <c r="N446" s="466"/>
      <c r="O446" s="576"/>
      <c r="P446" s="576"/>
      <c r="Q446" s="576"/>
      <c r="R446" s="346"/>
      <c r="S446" s="346"/>
    </row>
    <row r="447" ht="15.75" customHeight="1">
      <c r="B447" s="591"/>
      <c r="C447" s="466"/>
      <c r="D447" s="466"/>
      <c r="E447" s="592"/>
      <c r="F447" s="466"/>
      <c r="G447" s="576"/>
      <c r="H447" s="576"/>
      <c r="I447" s="576"/>
      <c r="J447" s="466"/>
      <c r="K447" s="576"/>
      <c r="L447" s="466"/>
      <c r="M447" s="576"/>
      <c r="N447" s="466"/>
      <c r="O447" s="576"/>
      <c r="P447" s="576"/>
      <c r="Q447" s="576"/>
      <c r="R447" s="346"/>
      <c r="S447" s="346"/>
    </row>
    <row r="448" ht="15.75" customHeight="1">
      <c r="B448" s="591"/>
      <c r="C448" s="466"/>
      <c r="D448" s="466"/>
      <c r="E448" s="592"/>
      <c r="F448" s="466"/>
      <c r="G448" s="576"/>
      <c r="H448" s="576"/>
      <c r="I448" s="576"/>
      <c r="J448" s="466"/>
      <c r="K448" s="576"/>
      <c r="L448" s="466"/>
      <c r="M448" s="576"/>
      <c r="N448" s="466"/>
      <c r="O448" s="576"/>
      <c r="P448" s="576"/>
      <c r="Q448" s="576"/>
      <c r="R448" s="346"/>
      <c r="S448" s="346"/>
    </row>
    <row r="449" ht="15.75" customHeight="1">
      <c r="B449" s="591"/>
      <c r="C449" s="466"/>
      <c r="D449" s="466"/>
      <c r="E449" s="592"/>
      <c r="F449" s="466"/>
      <c r="G449" s="576"/>
      <c r="H449" s="576"/>
      <c r="I449" s="576"/>
      <c r="J449" s="466"/>
      <c r="K449" s="576"/>
      <c r="L449" s="466"/>
      <c r="M449" s="576"/>
      <c r="N449" s="466"/>
      <c r="O449" s="576"/>
      <c r="P449" s="576"/>
      <c r="Q449" s="576"/>
      <c r="R449" s="346"/>
      <c r="S449" s="346"/>
    </row>
    <row r="450" ht="15.75" customHeight="1">
      <c r="B450" s="591"/>
      <c r="C450" s="466"/>
      <c r="D450" s="466"/>
      <c r="E450" s="592"/>
      <c r="F450" s="466"/>
      <c r="G450" s="576"/>
      <c r="H450" s="576"/>
      <c r="I450" s="576"/>
      <c r="J450" s="466"/>
      <c r="K450" s="576"/>
      <c r="L450" s="466"/>
      <c r="M450" s="576"/>
      <c r="N450" s="466"/>
      <c r="O450" s="576"/>
      <c r="P450" s="576"/>
      <c r="Q450" s="576"/>
      <c r="R450" s="346"/>
      <c r="S450" s="346"/>
    </row>
    <row r="451" ht="15.75" customHeight="1">
      <c r="B451" s="591"/>
      <c r="C451" s="466"/>
      <c r="D451" s="466"/>
      <c r="E451" s="592"/>
      <c r="F451" s="466"/>
      <c r="G451" s="576"/>
      <c r="H451" s="576"/>
      <c r="I451" s="576"/>
      <c r="J451" s="466"/>
      <c r="K451" s="576"/>
      <c r="L451" s="466"/>
      <c r="M451" s="576"/>
      <c r="N451" s="466"/>
      <c r="O451" s="576"/>
      <c r="P451" s="576"/>
      <c r="Q451" s="576"/>
      <c r="R451" s="346"/>
      <c r="S451" s="346"/>
    </row>
    <row r="452" ht="15.75" customHeight="1">
      <c r="B452" s="591"/>
      <c r="C452" s="466"/>
      <c r="D452" s="466"/>
      <c r="E452" s="592"/>
      <c r="F452" s="466"/>
      <c r="G452" s="576"/>
      <c r="H452" s="576"/>
      <c r="I452" s="576"/>
      <c r="J452" s="466"/>
      <c r="K452" s="576"/>
      <c r="L452" s="466"/>
      <c r="M452" s="576"/>
      <c r="N452" s="466"/>
      <c r="O452" s="576"/>
      <c r="P452" s="576"/>
      <c r="Q452" s="576"/>
      <c r="R452" s="346"/>
      <c r="S452" s="346"/>
    </row>
    <row r="453" ht="15.75" customHeight="1">
      <c r="B453" s="591"/>
      <c r="C453" s="466"/>
      <c r="D453" s="466"/>
      <c r="E453" s="592"/>
      <c r="F453" s="466"/>
      <c r="G453" s="576"/>
      <c r="H453" s="576"/>
      <c r="I453" s="576"/>
      <c r="J453" s="466"/>
      <c r="K453" s="576"/>
      <c r="L453" s="466"/>
      <c r="M453" s="576"/>
      <c r="N453" s="466"/>
      <c r="O453" s="576"/>
      <c r="P453" s="576"/>
      <c r="Q453" s="576"/>
      <c r="R453" s="346"/>
      <c r="S453" s="346"/>
    </row>
    <row r="454" ht="15.75" customHeight="1">
      <c r="B454" s="591"/>
      <c r="C454" s="466"/>
      <c r="D454" s="466"/>
      <c r="E454" s="592"/>
      <c r="F454" s="466"/>
      <c r="G454" s="576"/>
      <c r="H454" s="576"/>
      <c r="I454" s="576"/>
      <c r="J454" s="466"/>
      <c r="K454" s="576"/>
      <c r="L454" s="466"/>
      <c r="M454" s="576"/>
      <c r="N454" s="466"/>
      <c r="O454" s="576"/>
      <c r="P454" s="576"/>
      <c r="Q454" s="576"/>
      <c r="R454" s="346"/>
      <c r="S454" s="346"/>
    </row>
    <row r="455" ht="15.75" customHeight="1">
      <c r="B455" s="591"/>
      <c r="C455" s="466"/>
      <c r="D455" s="466"/>
      <c r="E455" s="592"/>
      <c r="F455" s="466"/>
      <c r="G455" s="576"/>
      <c r="H455" s="576"/>
      <c r="I455" s="576"/>
      <c r="J455" s="466"/>
      <c r="K455" s="576"/>
      <c r="L455" s="466"/>
      <c r="M455" s="576"/>
      <c r="N455" s="466"/>
      <c r="O455" s="576"/>
      <c r="P455" s="576"/>
      <c r="Q455" s="576"/>
      <c r="R455" s="346"/>
      <c r="S455" s="346"/>
    </row>
    <row r="456" ht="15.75" customHeight="1">
      <c r="B456" s="591"/>
      <c r="C456" s="466"/>
      <c r="D456" s="466"/>
      <c r="E456" s="592"/>
      <c r="F456" s="466"/>
      <c r="G456" s="576"/>
      <c r="H456" s="576"/>
      <c r="I456" s="576"/>
      <c r="J456" s="466"/>
      <c r="K456" s="576"/>
      <c r="L456" s="466"/>
      <c r="M456" s="576"/>
      <c r="N456" s="466"/>
      <c r="O456" s="576"/>
      <c r="P456" s="576"/>
      <c r="Q456" s="576"/>
      <c r="R456" s="346"/>
      <c r="S456" s="346"/>
    </row>
    <row r="457" ht="15.75" customHeight="1">
      <c r="B457" s="591"/>
      <c r="C457" s="466"/>
      <c r="D457" s="466"/>
      <c r="E457" s="592"/>
      <c r="F457" s="466"/>
      <c r="G457" s="576"/>
      <c r="H457" s="576"/>
      <c r="I457" s="576"/>
      <c r="J457" s="466"/>
      <c r="K457" s="576"/>
      <c r="L457" s="466"/>
      <c r="M457" s="576"/>
      <c r="N457" s="466"/>
      <c r="O457" s="576"/>
      <c r="P457" s="576"/>
      <c r="Q457" s="576"/>
      <c r="R457" s="346"/>
      <c r="S457" s="346"/>
    </row>
    <row r="458" ht="15.75" customHeight="1">
      <c r="B458" s="591"/>
      <c r="C458" s="466"/>
      <c r="D458" s="466"/>
      <c r="E458" s="592"/>
      <c r="F458" s="466"/>
      <c r="G458" s="576"/>
      <c r="H458" s="576"/>
      <c r="I458" s="576"/>
      <c r="J458" s="466"/>
      <c r="K458" s="576"/>
      <c r="L458" s="466"/>
      <c r="M458" s="576"/>
      <c r="N458" s="466"/>
      <c r="O458" s="576"/>
      <c r="P458" s="576"/>
      <c r="Q458" s="576"/>
      <c r="R458" s="346"/>
      <c r="S458" s="346"/>
    </row>
    <row r="459" ht="15.75" customHeight="1">
      <c r="B459" s="591"/>
      <c r="C459" s="466"/>
      <c r="D459" s="466"/>
      <c r="E459" s="592"/>
      <c r="F459" s="466"/>
      <c r="G459" s="576"/>
      <c r="H459" s="576"/>
      <c r="I459" s="576"/>
      <c r="J459" s="466"/>
      <c r="K459" s="576"/>
      <c r="L459" s="466"/>
      <c r="M459" s="576"/>
      <c r="N459" s="466"/>
      <c r="O459" s="576"/>
      <c r="P459" s="576"/>
      <c r="Q459" s="576"/>
      <c r="R459" s="346"/>
      <c r="S459" s="346"/>
    </row>
    <row r="460" ht="15.75" customHeight="1">
      <c r="B460" s="591"/>
      <c r="C460" s="466"/>
      <c r="D460" s="466"/>
      <c r="E460" s="592"/>
      <c r="F460" s="466"/>
      <c r="G460" s="576"/>
      <c r="H460" s="576"/>
      <c r="I460" s="576"/>
      <c r="J460" s="466"/>
      <c r="K460" s="576"/>
      <c r="L460" s="466"/>
      <c r="M460" s="576"/>
      <c r="N460" s="466"/>
      <c r="O460" s="576"/>
      <c r="P460" s="576"/>
      <c r="Q460" s="576"/>
      <c r="R460" s="346"/>
      <c r="S460" s="346"/>
    </row>
    <row r="461" ht="15.75" customHeight="1">
      <c r="B461" s="591"/>
      <c r="C461" s="466"/>
      <c r="D461" s="466"/>
      <c r="E461" s="592"/>
      <c r="F461" s="466"/>
      <c r="G461" s="576"/>
      <c r="H461" s="576"/>
      <c r="I461" s="576"/>
      <c r="J461" s="466"/>
      <c r="K461" s="576"/>
      <c r="L461" s="466"/>
      <c r="M461" s="576"/>
      <c r="N461" s="466"/>
      <c r="O461" s="576"/>
      <c r="P461" s="576"/>
      <c r="Q461" s="576"/>
      <c r="R461" s="346"/>
      <c r="S461" s="346"/>
    </row>
    <row r="462" ht="15.75" customHeight="1">
      <c r="B462" s="591"/>
      <c r="C462" s="466"/>
      <c r="D462" s="466"/>
      <c r="E462" s="592"/>
      <c r="F462" s="466"/>
      <c r="G462" s="576"/>
      <c r="H462" s="576"/>
      <c r="I462" s="576"/>
      <c r="J462" s="466"/>
      <c r="K462" s="576"/>
      <c r="L462" s="466"/>
      <c r="M462" s="576"/>
      <c r="N462" s="466"/>
      <c r="O462" s="576"/>
      <c r="P462" s="576"/>
      <c r="Q462" s="576"/>
      <c r="R462" s="346"/>
      <c r="S462" s="346"/>
    </row>
    <row r="463" ht="15.75" customHeight="1">
      <c r="B463" s="591"/>
      <c r="C463" s="466"/>
      <c r="D463" s="466"/>
      <c r="E463" s="592"/>
      <c r="F463" s="466"/>
      <c r="G463" s="576"/>
      <c r="H463" s="576"/>
      <c r="I463" s="576"/>
      <c r="J463" s="466"/>
      <c r="K463" s="576"/>
      <c r="L463" s="466"/>
      <c r="M463" s="576"/>
      <c r="N463" s="466"/>
      <c r="O463" s="576"/>
      <c r="P463" s="576"/>
      <c r="Q463" s="576"/>
      <c r="R463" s="346"/>
      <c r="S463" s="346"/>
    </row>
    <row r="464" ht="15.75" customHeight="1">
      <c r="B464" s="591"/>
      <c r="C464" s="466"/>
      <c r="D464" s="466"/>
      <c r="E464" s="592"/>
      <c r="F464" s="466"/>
      <c r="G464" s="576"/>
      <c r="H464" s="576"/>
      <c r="I464" s="576"/>
      <c r="J464" s="466"/>
      <c r="K464" s="576"/>
      <c r="L464" s="466"/>
      <c r="M464" s="576"/>
      <c r="N464" s="466"/>
      <c r="O464" s="576"/>
      <c r="P464" s="576"/>
      <c r="Q464" s="576"/>
      <c r="R464" s="346"/>
      <c r="S464" s="346"/>
    </row>
    <row r="465" ht="15.75" customHeight="1">
      <c r="B465" s="591"/>
      <c r="C465" s="466"/>
      <c r="D465" s="466"/>
      <c r="E465" s="592"/>
      <c r="F465" s="466"/>
      <c r="G465" s="576"/>
      <c r="H465" s="576"/>
      <c r="I465" s="576"/>
      <c r="J465" s="466"/>
      <c r="K465" s="576"/>
      <c r="L465" s="466"/>
      <c r="M465" s="576"/>
      <c r="N465" s="466"/>
      <c r="O465" s="576"/>
      <c r="P465" s="576"/>
      <c r="Q465" s="576"/>
      <c r="R465" s="346"/>
      <c r="S465" s="346"/>
    </row>
    <row r="466" ht="15.75" customHeight="1">
      <c r="B466" s="591"/>
      <c r="C466" s="466"/>
      <c r="D466" s="466"/>
      <c r="E466" s="592"/>
      <c r="F466" s="466"/>
      <c r="G466" s="576"/>
      <c r="H466" s="576"/>
      <c r="I466" s="576"/>
      <c r="J466" s="466"/>
      <c r="K466" s="576"/>
      <c r="L466" s="466"/>
      <c r="M466" s="576"/>
      <c r="N466" s="466"/>
      <c r="O466" s="576"/>
      <c r="P466" s="576"/>
      <c r="Q466" s="576"/>
      <c r="R466" s="346"/>
      <c r="S466" s="346"/>
    </row>
    <row r="467" ht="15.75" customHeight="1">
      <c r="B467" s="591"/>
      <c r="C467" s="466"/>
      <c r="D467" s="466"/>
      <c r="E467" s="592"/>
      <c r="F467" s="466"/>
      <c r="G467" s="576"/>
      <c r="H467" s="576"/>
      <c r="I467" s="576"/>
      <c r="J467" s="466"/>
      <c r="K467" s="576"/>
      <c r="L467" s="466"/>
      <c r="M467" s="576"/>
      <c r="N467" s="466"/>
      <c r="O467" s="576"/>
      <c r="P467" s="576"/>
      <c r="Q467" s="576"/>
      <c r="R467" s="346"/>
      <c r="S467" s="346"/>
    </row>
    <row r="468" ht="15.75" customHeight="1">
      <c r="B468" s="591"/>
      <c r="C468" s="466"/>
      <c r="D468" s="466"/>
      <c r="E468" s="592"/>
      <c r="F468" s="466"/>
      <c r="G468" s="576"/>
      <c r="H468" s="576"/>
      <c r="I468" s="576"/>
      <c r="J468" s="466"/>
      <c r="K468" s="576"/>
      <c r="L468" s="466"/>
      <c r="M468" s="576"/>
      <c r="N468" s="466"/>
      <c r="O468" s="576"/>
      <c r="P468" s="576"/>
      <c r="Q468" s="576"/>
      <c r="R468" s="346"/>
      <c r="S468" s="346"/>
    </row>
    <row r="469" ht="15.75" customHeight="1">
      <c r="B469" s="591"/>
      <c r="C469" s="466"/>
      <c r="D469" s="466"/>
      <c r="E469" s="592"/>
      <c r="F469" s="466"/>
      <c r="G469" s="576"/>
      <c r="H469" s="576"/>
      <c r="I469" s="576"/>
      <c r="J469" s="466"/>
      <c r="K469" s="576"/>
      <c r="L469" s="466"/>
      <c r="M469" s="576"/>
      <c r="N469" s="466"/>
      <c r="O469" s="576"/>
      <c r="P469" s="576"/>
      <c r="Q469" s="576"/>
      <c r="R469" s="346"/>
      <c r="S469" s="346"/>
    </row>
    <row r="470" ht="15.75" customHeight="1">
      <c r="B470" s="591"/>
      <c r="C470" s="466"/>
      <c r="D470" s="466"/>
      <c r="E470" s="592"/>
      <c r="F470" s="466"/>
      <c r="G470" s="576"/>
      <c r="H470" s="576"/>
      <c r="I470" s="576"/>
      <c r="J470" s="466"/>
      <c r="K470" s="576"/>
      <c r="L470" s="466"/>
      <c r="M470" s="576"/>
      <c r="N470" s="466"/>
      <c r="O470" s="576"/>
      <c r="P470" s="576"/>
      <c r="Q470" s="576"/>
      <c r="R470" s="346"/>
      <c r="S470" s="346"/>
    </row>
    <row r="471" ht="15.75" customHeight="1">
      <c r="B471" s="591"/>
      <c r="C471" s="466"/>
      <c r="D471" s="466"/>
      <c r="E471" s="592"/>
      <c r="F471" s="466"/>
      <c r="G471" s="576"/>
      <c r="H471" s="576"/>
      <c r="I471" s="576"/>
      <c r="J471" s="466"/>
      <c r="K471" s="576"/>
      <c r="L471" s="466"/>
      <c r="M471" s="576"/>
      <c r="N471" s="466"/>
      <c r="O471" s="576"/>
      <c r="P471" s="576"/>
      <c r="Q471" s="576"/>
      <c r="R471" s="346"/>
      <c r="S471" s="346"/>
    </row>
    <row r="472" ht="15.75" customHeight="1">
      <c r="B472" s="591"/>
      <c r="C472" s="466"/>
      <c r="D472" s="466"/>
      <c r="E472" s="592"/>
      <c r="F472" s="466"/>
      <c r="G472" s="576"/>
      <c r="H472" s="576"/>
      <c r="I472" s="576"/>
      <c r="J472" s="466"/>
      <c r="K472" s="576"/>
      <c r="L472" s="466"/>
      <c r="M472" s="576"/>
      <c r="N472" s="466"/>
      <c r="O472" s="576"/>
      <c r="P472" s="576"/>
      <c r="Q472" s="576"/>
      <c r="R472" s="346"/>
      <c r="S472" s="346"/>
    </row>
    <row r="473" ht="15.75" customHeight="1">
      <c r="B473" s="591"/>
      <c r="C473" s="466"/>
      <c r="D473" s="466"/>
      <c r="E473" s="592"/>
      <c r="F473" s="466"/>
      <c r="G473" s="576"/>
      <c r="H473" s="576"/>
      <c r="I473" s="576"/>
      <c r="J473" s="466"/>
      <c r="K473" s="576"/>
      <c r="L473" s="466"/>
      <c r="M473" s="576"/>
      <c r="N473" s="466"/>
      <c r="O473" s="576"/>
      <c r="P473" s="576"/>
      <c r="Q473" s="576"/>
      <c r="R473" s="346"/>
      <c r="S473" s="346"/>
    </row>
    <row r="474" ht="15.75" customHeight="1">
      <c r="B474" s="591"/>
      <c r="C474" s="466"/>
      <c r="D474" s="466"/>
      <c r="E474" s="592"/>
      <c r="F474" s="466"/>
      <c r="G474" s="576"/>
      <c r="H474" s="576"/>
      <c r="I474" s="576"/>
      <c r="J474" s="466"/>
      <c r="K474" s="576"/>
      <c r="L474" s="466"/>
      <c r="M474" s="576"/>
      <c r="N474" s="466"/>
      <c r="O474" s="576"/>
      <c r="P474" s="576"/>
      <c r="Q474" s="576"/>
      <c r="R474" s="346"/>
      <c r="S474" s="346"/>
    </row>
    <row r="475" ht="15.75" customHeight="1">
      <c r="B475" s="591"/>
      <c r="C475" s="466"/>
      <c r="D475" s="466"/>
      <c r="E475" s="592"/>
      <c r="F475" s="466"/>
      <c r="G475" s="576"/>
      <c r="H475" s="576"/>
      <c r="I475" s="576"/>
      <c r="J475" s="466"/>
      <c r="K475" s="576"/>
      <c r="L475" s="466"/>
      <c r="M475" s="576"/>
      <c r="N475" s="466"/>
      <c r="O475" s="576"/>
      <c r="P475" s="576"/>
      <c r="Q475" s="576"/>
      <c r="R475" s="346"/>
      <c r="S475" s="346"/>
    </row>
    <row r="476" ht="15.75" customHeight="1">
      <c r="B476" s="591"/>
      <c r="C476" s="466"/>
      <c r="D476" s="466"/>
      <c r="E476" s="592"/>
      <c r="F476" s="466"/>
      <c r="G476" s="576"/>
      <c r="H476" s="576"/>
      <c r="I476" s="576"/>
      <c r="J476" s="466"/>
      <c r="K476" s="576"/>
      <c r="L476" s="466"/>
      <c r="M476" s="576"/>
      <c r="N476" s="466"/>
      <c r="O476" s="576"/>
      <c r="P476" s="576"/>
      <c r="Q476" s="576"/>
      <c r="R476" s="346"/>
      <c r="S476" s="346"/>
    </row>
    <row r="477" ht="15.75" customHeight="1">
      <c r="B477" s="591"/>
      <c r="C477" s="466"/>
      <c r="D477" s="466"/>
      <c r="E477" s="592"/>
      <c r="F477" s="466"/>
      <c r="G477" s="576"/>
      <c r="H477" s="576"/>
      <c r="I477" s="576"/>
      <c r="J477" s="466"/>
      <c r="K477" s="576"/>
      <c r="L477" s="466"/>
      <c r="M477" s="576"/>
      <c r="N477" s="466"/>
      <c r="O477" s="576"/>
      <c r="P477" s="576"/>
      <c r="Q477" s="576"/>
      <c r="R477" s="346"/>
      <c r="S477" s="346"/>
    </row>
    <row r="478" ht="15.75" customHeight="1">
      <c r="B478" s="591"/>
      <c r="C478" s="466"/>
      <c r="D478" s="466"/>
      <c r="E478" s="592"/>
      <c r="F478" s="466"/>
      <c r="G478" s="576"/>
      <c r="H478" s="576"/>
      <c r="I478" s="576"/>
      <c r="J478" s="466"/>
      <c r="K478" s="576"/>
      <c r="L478" s="466"/>
      <c r="M478" s="576"/>
      <c r="N478" s="466"/>
      <c r="O478" s="576"/>
      <c r="P478" s="576"/>
      <c r="Q478" s="576"/>
      <c r="R478" s="346"/>
      <c r="S478" s="346"/>
    </row>
    <row r="479" ht="15.75" customHeight="1">
      <c r="B479" s="591"/>
      <c r="C479" s="466"/>
      <c r="D479" s="466"/>
      <c r="E479" s="592"/>
      <c r="F479" s="466"/>
      <c r="G479" s="576"/>
      <c r="H479" s="576"/>
      <c r="I479" s="576"/>
      <c r="J479" s="466"/>
      <c r="K479" s="576"/>
      <c r="L479" s="466"/>
      <c r="M479" s="576"/>
      <c r="N479" s="466"/>
      <c r="O479" s="576"/>
      <c r="P479" s="576"/>
      <c r="Q479" s="576"/>
      <c r="R479" s="346"/>
      <c r="S479" s="346"/>
    </row>
    <row r="480" ht="15.75" customHeight="1">
      <c r="B480" s="591"/>
      <c r="C480" s="466"/>
      <c r="D480" s="466"/>
      <c r="E480" s="592"/>
      <c r="F480" s="466"/>
      <c r="G480" s="576"/>
      <c r="H480" s="576"/>
      <c r="I480" s="576"/>
      <c r="J480" s="466"/>
      <c r="K480" s="576"/>
      <c r="L480" s="466"/>
      <c r="M480" s="576"/>
      <c r="N480" s="466"/>
      <c r="O480" s="576"/>
      <c r="P480" s="576"/>
      <c r="Q480" s="576"/>
      <c r="R480" s="346"/>
      <c r="S480" s="346"/>
    </row>
    <row r="481" ht="15.75" customHeight="1">
      <c r="B481" s="591"/>
      <c r="C481" s="466"/>
      <c r="D481" s="466"/>
      <c r="E481" s="592"/>
      <c r="F481" s="466"/>
      <c r="G481" s="576"/>
      <c r="H481" s="576"/>
      <c r="I481" s="576"/>
      <c r="J481" s="466"/>
      <c r="K481" s="576"/>
      <c r="L481" s="466"/>
      <c r="M481" s="576"/>
      <c r="N481" s="466"/>
      <c r="O481" s="576"/>
      <c r="P481" s="576"/>
      <c r="Q481" s="576"/>
      <c r="R481" s="346"/>
      <c r="S481" s="346"/>
    </row>
    <row r="482" ht="15.75" customHeight="1">
      <c r="B482" s="591"/>
      <c r="C482" s="466"/>
      <c r="D482" s="466"/>
      <c r="E482" s="592"/>
      <c r="F482" s="466"/>
      <c r="G482" s="576"/>
      <c r="H482" s="576"/>
      <c r="I482" s="576"/>
      <c r="J482" s="466"/>
      <c r="K482" s="576"/>
      <c r="L482" s="466"/>
      <c r="M482" s="576"/>
      <c r="N482" s="466"/>
      <c r="O482" s="576"/>
      <c r="P482" s="576"/>
      <c r="Q482" s="576"/>
      <c r="R482" s="346"/>
      <c r="S482" s="346"/>
    </row>
    <row r="483" ht="15.75" customHeight="1">
      <c r="B483" s="591"/>
      <c r="C483" s="466"/>
      <c r="D483" s="466"/>
      <c r="E483" s="592"/>
      <c r="F483" s="466"/>
      <c r="G483" s="576"/>
      <c r="H483" s="576"/>
      <c r="I483" s="576"/>
      <c r="J483" s="466"/>
      <c r="K483" s="576"/>
      <c r="L483" s="466"/>
      <c r="M483" s="576"/>
      <c r="N483" s="466"/>
      <c r="O483" s="576"/>
      <c r="P483" s="576"/>
      <c r="Q483" s="576"/>
      <c r="R483" s="346"/>
      <c r="S483" s="346"/>
    </row>
    <row r="484" ht="15.75" customHeight="1">
      <c r="B484" s="591"/>
      <c r="C484" s="466"/>
      <c r="D484" s="466"/>
      <c r="E484" s="592"/>
      <c r="F484" s="466"/>
      <c r="G484" s="576"/>
      <c r="H484" s="576"/>
      <c r="I484" s="576"/>
      <c r="J484" s="466"/>
      <c r="K484" s="576"/>
      <c r="L484" s="466"/>
      <c r="M484" s="576"/>
      <c r="N484" s="466"/>
      <c r="O484" s="576"/>
      <c r="P484" s="576"/>
      <c r="Q484" s="576"/>
      <c r="R484" s="346"/>
      <c r="S484" s="346"/>
    </row>
    <row r="485" ht="15.75" customHeight="1">
      <c r="B485" s="591"/>
      <c r="C485" s="466"/>
      <c r="D485" s="466"/>
      <c r="E485" s="592"/>
      <c r="F485" s="466"/>
      <c r="G485" s="576"/>
      <c r="H485" s="576"/>
      <c r="I485" s="576"/>
      <c r="J485" s="466"/>
      <c r="K485" s="576"/>
      <c r="L485" s="466"/>
      <c r="M485" s="576"/>
      <c r="N485" s="466"/>
      <c r="O485" s="576"/>
      <c r="P485" s="576"/>
      <c r="Q485" s="576"/>
      <c r="R485" s="346"/>
      <c r="S485" s="346"/>
    </row>
    <row r="486" ht="15.75" customHeight="1">
      <c r="B486" s="591"/>
      <c r="C486" s="466"/>
      <c r="D486" s="466"/>
      <c r="E486" s="592"/>
      <c r="F486" s="466"/>
      <c r="G486" s="576"/>
      <c r="H486" s="576"/>
      <c r="I486" s="576"/>
      <c r="J486" s="466"/>
      <c r="K486" s="576"/>
      <c r="L486" s="466"/>
      <c r="M486" s="576"/>
      <c r="N486" s="466"/>
      <c r="O486" s="576"/>
      <c r="P486" s="576"/>
      <c r="Q486" s="576"/>
      <c r="R486" s="346"/>
      <c r="S486" s="346"/>
    </row>
    <row r="487" ht="15.75" customHeight="1">
      <c r="B487" s="591"/>
      <c r="C487" s="466"/>
      <c r="D487" s="466"/>
      <c r="E487" s="592"/>
      <c r="F487" s="466"/>
      <c r="G487" s="576"/>
      <c r="H487" s="576"/>
      <c r="I487" s="576"/>
      <c r="J487" s="466"/>
      <c r="K487" s="576"/>
      <c r="L487" s="466"/>
      <c r="M487" s="576"/>
      <c r="N487" s="466"/>
      <c r="O487" s="576"/>
      <c r="P487" s="576"/>
      <c r="Q487" s="576"/>
      <c r="R487" s="346"/>
      <c r="S487" s="346"/>
    </row>
    <row r="488" ht="15.75" customHeight="1">
      <c r="B488" s="591"/>
      <c r="C488" s="466"/>
      <c r="D488" s="466"/>
      <c r="E488" s="592"/>
      <c r="F488" s="466"/>
      <c r="G488" s="576"/>
      <c r="H488" s="576"/>
      <c r="I488" s="576"/>
      <c r="J488" s="466"/>
      <c r="K488" s="576"/>
      <c r="L488" s="466"/>
      <c r="M488" s="576"/>
      <c r="N488" s="466"/>
      <c r="O488" s="576"/>
      <c r="P488" s="576"/>
      <c r="Q488" s="576"/>
      <c r="R488" s="346"/>
      <c r="S488" s="346"/>
    </row>
    <row r="489" ht="15.75" customHeight="1">
      <c r="B489" s="591"/>
      <c r="C489" s="466"/>
      <c r="D489" s="466"/>
      <c r="E489" s="592"/>
      <c r="F489" s="466"/>
      <c r="G489" s="576"/>
      <c r="H489" s="576"/>
      <c r="I489" s="576"/>
      <c r="J489" s="466"/>
      <c r="K489" s="576"/>
      <c r="L489" s="466"/>
      <c r="M489" s="576"/>
      <c r="N489" s="466"/>
      <c r="O489" s="576"/>
      <c r="P489" s="576"/>
      <c r="Q489" s="576"/>
      <c r="R489" s="346"/>
      <c r="S489" s="346"/>
    </row>
    <row r="490" ht="15.75" customHeight="1">
      <c r="B490" s="591"/>
      <c r="C490" s="466"/>
      <c r="D490" s="466"/>
      <c r="E490" s="592"/>
      <c r="F490" s="466"/>
      <c r="G490" s="576"/>
      <c r="H490" s="576"/>
      <c r="I490" s="576"/>
      <c r="J490" s="466"/>
      <c r="K490" s="576"/>
      <c r="L490" s="466"/>
      <c r="M490" s="576"/>
      <c r="N490" s="466"/>
      <c r="O490" s="576"/>
      <c r="P490" s="576"/>
      <c r="Q490" s="576"/>
      <c r="R490" s="346"/>
      <c r="S490" s="346"/>
    </row>
    <row r="491" ht="15.75" customHeight="1">
      <c r="B491" s="591"/>
      <c r="C491" s="466"/>
      <c r="D491" s="466"/>
      <c r="E491" s="592"/>
      <c r="F491" s="466"/>
      <c r="G491" s="576"/>
      <c r="H491" s="576"/>
      <c r="I491" s="576"/>
      <c r="J491" s="466"/>
      <c r="K491" s="576"/>
      <c r="L491" s="466"/>
      <c r="M491" s="576"/>
      <c r="N491" s="466"/>
      <c r="O491" s="576"/>
      <c r="P491" s="576"/>
      <c r="Q491" s="576"/>
      <c r="R491" s="346"/>
      <c r="S491" s="346"/>
    </row>
    <row r="492" ht="15.75" customHeight="1">
      <c r="B492" s="591"/>
      <c r="C492" s="466"/>
      <c r="D492" s="466"/>
      <c r="E492" s="592"/>
      <c r="F492" s="466"/>
      <c r="G492" s="576"/>
      <c r="H492" s="576"/>
      <c r="I492" s="576"/>
      <c r="J492" s="466"/>
      <c r="K492" s="576"/>
      <c r="L492" s="466"/>
      <c r="M492" s="576"/>
      <c r="N492" s="466"/>
      <c r="O492" s="576"/>
      <c r="P492" s="576"/>
      <c r="Q492" s="576"/>
      <c r="R492" s="346"/>
      <c r="S492" s="346"/>
    </row>
    <row r="493" ht="15.75" customHeight="1">
      <c r="B493" s="591"/>
      <c r="C493" s="466"/>
      <c r="D493" s="466"/>
      <c r="E493" s="592"/>
      <c r="F493" s="466"/>
      <c r="G493" s="576"/>
      <c r="H493" s="576"/>
      <c r="I493" s="576"/>
      <c r="J493" s="466"/>
      <c r="K493" s="576"/>
      <c r="L493" s="466"/>
      <c r="M493" s="576"/>
      <c r="N493" s="466"/>
      <c r="O493" s="576"/>
      <c r="P493" s="576"/>
      <c r="Q493" s="576"/>
      <c r="R493" s="346"/>
      <c r="S493" s="346"/>
    </row>
    <row r="494" ht="15.75" customHeight="1">
      <c r="B494" s="591"/>
      <c r="C494" s="466"/>
      <c r="D494" s="466"/>
      <c r="E494" s="592"/>
      <c r="F494" s="466"/>
      <c r="G494" s="576"/>
      <c r="H494" s="576"/>
      <c r="I494" s="576"/>
      <c r="J494" s="466"/>
      <c r="K494" s="576"/>
      <c r="L494" s="466"/>
      <c r="M494" s="576"/>
      <c r="N494" s="466"/>
      <c r="O494" s="576"/>
      <c r="P494" s="576"/>
      <c r="Q494" s="576"/>
      <c r="R494" s="346"/>
      <c r="S494" s="346"/>
    </row>
    <row r="495" ht="15.75" customHeight="1">
      <c r="B495" s="591"/>
      <c r="C495" s="466"/>
      <c r="D495" s="466"/>
      <c r="E495" s="592"/>
      <c r="F495" s="466"/>
      <c r="G495" s="576"/>
      <c r="H495" s="576"/>
      <c r="I495" s="576"/>
      <c r="J495" s="466"/>
      <c r="K495" s="576"/>
      <c r="L495" s="466"/>
      <c r="M495" s="576"/>
      <c r="N495" s="466"/>
      <c r="O495" s="576"/>
      <c r="P495" s="576"/>
      <c r="Q495" s="576"/>
      <c r="R495" s="346"/>
      <c r="S495" s="346"/>
    </row>
    <row r="496" ht="15.75" customHeight="1">
      <c r="B496" s="591"/>
      <c r="C496" s="466"/>
      <c r="D496" s="466"/>
      <c r="E496" s="592"/>
      <c r="F496" s="466"/>
      <c r="G496" s="576"/>
      <c r="H496" s="576"/>
      <c r="I496" s="576"/>
      <c r="J496" s="466"/>
      <c r="K496" s="576"/>
      <c r="L496" s="466"/>
      <c r="M496" s="576"/>
      <c r="N496" s="466"/>
      <c r="O496" s="576"/>
      <c r="P496" s="576"/>
      <c r="Q496" s="576"/>
      <c r="R496" s="346"/>
      <c r="S496" s="346"/>
    </row>
    <row r="497" ht="15.75" customHeight="1">
      <c r="B497" s="591"/>
      <c r="C497" s="466"/>
      <c r="D497" s="466"/>
      <c r="E497" s="592"/>
      <c r="F497" s="466"/>
      <c r="G497" s="576"/>
      <c r="H497" s="576"/>
      <c r="I497" s="576"/>
      <c r="J497" s="466"/>
      <c r="K497" s="576"/>
      <c r="L497" s="466"/>
      <c r="M497" s="576"/>
      <c r="N497" s="466"/>
      <c r="O497" s="576"/>
      <c r="P497" s="576"/>
      <c r="Q497" s="576"/>
      <c r="R497" s="346"/>
      <c r="S497" s="346"/>
    </row>
    <row r="498" ht="15.75" customHeight="1">
      <c r="B498" s="591"/>
      <c r="C498" s="466"/>
      <c r="D498" s="466"/>
      <c r="E498" s="592"/>
      <c r="F498" s="466"/>
      <c r="G498" s="576"/>
      <c r="H498" s="576"/>
      <c r="I498" s="576"/>
      <c r="J498" s="466"/>
      <c r="K498" s="576"/>
      <c r="L498" s="466"/>
      <c r="M498" s="576"/>
      <c r="N498" s="466"/>
      <c r="O498" s="576"/>
      <c r="P498" s="576"/>
      <c r="Q498" s="576"/>
      <c r="R498" s="346"/>
      <c r="S498" s="346"/>
    </row>
    <row r="499" ht="15.75" customHeight="1">
      <c r="B499" s="591"/>
      <c r="C499" s="466"/>
      <c r="D499" s="466"/>
      <c r="E499" s="592"/>
      <c r="F499" s="466"/>
      <c r="G499" s="576"/>
      <c r="H499" s="576"/>
      <c r="I499" s="576"/>
      <c r="J499" s="466"/>
      <c r="K499" s="576"/>
      <c r="L499" s="466"/>
      <c r="M499" s="576"/>
      <c r="N499" s="466"/>
      <c r="O499" s="576"/>
      <c r="P499" s="576"/>
      <c r="Q499" s="576"/>
      <c r="R499" s="346"/>
      <c r="S499" s="346"/>
    </row>
    <row r="500" ht="15.75" customHeight="1">
      <c r="B500" s="591"/>
      <c r="C500" s="466"/>
      <c r="D500" s="466"/>
      <c r="E500" s="592"/>
      <c r="F500" s="466"/>
      <c r="G500" s="576"/>
      <c r="H500" s="576"/>
      <c r="I500" s="576"/>
      <c r="J500" s="466"/>
      <c r="K500" s="576"/>
      <c r="L500" s="466"/>
      <c r="M500" s="576"/>
      <c r="N500" s="466"/>
      <c r="O500" s="576"/>
      <c r="P500" s="576"/>
      <c r="Q500" s="576"/>
      <c r="R500" s="346"/>
      <c r="S500" s="346"/>
    </row>
    <row r="501" ht="15.75" customHeight="1">
      <c r="B501" s="591"/>
      <c r="C501" s="466"/>
      <c r="D501" s="466"/>
      <c r="E501" s="592"/>
      <c r="F501" s="466"/>
      <c r="G501" s="576"/>
      <c r="H501" s="576"/>
      <c r="I501" s="576"/>
      <c r="J501" s="466"/>
      <c r="K501" s="576"/>
      <c r="L501" s="466"/>
      <c r="M501" s="576"/>
      <c r="N501" s="466"/>
      <c r="O501" s="576"/>
      <c r="P501" s="576"/>
      <c r="Q501" s="576"/>
      <c r="R501" s="346"/>
      <c r="S501" s="346"/>
    </row>
    <row r="502" ht="15.75" customHeight="1">
      <c r="B502" s="591"/>
      <c r="C502" s="466"/>
      <c r="D502" s="466"/>
      <c r="E502" s="592"/>
      <c r="F502" s="466"/>
      <c r="G502" s="576"/>
      <c r="H502" s="576"/>
      <c r="I502" s="576"/>
      <c r="J502" s="466"/>
      <c r="K502" s="576"/>
      <c r="L502" s="466"/>
      <c r="M502" s="576"/>
      <c r="N502" s="466"/>
      <c r="O502" s="576"/>
      <c r="P502" s="576"/>
      <c r="Q502" s="576"/>
      <c r="R502" s="346"/>
      <c r="S502" s="346"/>
    </row>
    <row r="503" ht="15.75" customHeight="1">
      <c r="B503" s="591"/>
      <c r="C503" s="466"/>
      <c r="D503" s="466"/>
      <c r="E503" s="592"/>
      <c r="F503" s="466"/>
      <c r="G503" s="576"/>
      <c r="H503" s="576"/>
      <c r="I503" s="576"/>
      <c r="J503" s="466"/>
      <c r="K503" s="576"/>
      <c r="L503" s="466"/>
      <c r="M503" s="576"/>
      <c r="N503" s="466"/>
      <c r="O503" s="576"/>
      <c r="P503" s="576"/>
      <c r="Q503" s="576"/>
      <c r="R503" s="346"/>
      <c r="S503" s="346"/>
    </row>
    <row r="504" ht="15.75" customHeight="1">
      <c r="B504" s="591"/>
      <c r="C504" s="466"/>
      <c r="D504" s="466"/>
      <c r="E504" s="592"/>
      <c r="F504" s="466"/>
      <c r="G504" s="576"/>
      <c r="H504" s="576"/>
      <c r="I504" s="576"/>
      <c r="J504" s="466"/>
      <c r="K504" s="576"/>
      <c r="L504" s="466"/>
      <c r="M504" s="576"/>
      <c r="N504" s="466"/>
      <c r="O504" s="576"/>
      <c r="P504" s="576"/>
      <c r="Q504" s="576"/>
      <c r="R504" s="346"/>
      <c r="S504" s="346"/>
    </row>
    <row r="505" ht="15.75" customHeight="1">
      <c r="B505" s="591"/>
      <c r="C505" s="466"/>
      <c r="D505" s="466"/>
      <c r="E505" s="592"/>
      <c r="F505" s="466"/>
      <c r="G505" s="576"/>
      <c r="H505" s="576"/>
      <c r="I505" s="576"/>
      <c r="J505" s="466"/>
      <c r="K505" s="576"/>
      <c r="L505" s="466"/>
      <c r="M505" s="576"/>
      <c r="N505" s="466"/>
      <c r="O505" s="576"/>
      <c r="P505" s="576"/>
      <c r="Q505" s="576"/>
      <c r="R505" s="346"/>
      <c r="S505" s="346"/>
    </row>
    <row r="506" ht="15.75" customHeight="1">
      <c r="B506" s="591"/>
      <c r="C506" s="466"/>
      <c r="D506" s="466"/>
      <c r="E506" s="592"/>
      <c r="F506" s="466"/>
      <c r="G506" s="576"/>
      <c r="H506" s="576"/>
      <c r="I506" s="576"/>
      <c r="J506" s="466"/>
      <c r="K506" s="576"/>
      <c r="L506" s="466"/>
      <c r="M506" s="576"/>
      <c r="N506" s="466"/>
      <c r="O506" s="576"/>
      <c r="P506" s="576"/>
      <c r="Q506" s="576"/>
      <c r="R506" s="346"/>
      <c r="S506" s="346"/>
    </row>
    <row r="507" ht="15.75" customHeight="1">
      <c r="B507" s="591"/>
      <c r="C507" s="466"/>
      <c r="D507" s="466"/>
      <c r="E507" s="592"/>
      <c r="F507" s="466"/>
      <c r="G507" s="576"/>
      <c r="H507" s="576"/>
      <c r="I507" s="576"/>
      <c r="J507" s="466"/>
      <c r="K507" s="576"/>
      <c r="L507" s="466"/>
      <c r="M507" s="576"/>
      <c r="N507" s="466"/>
      <c r="O507" s="576"/>
      <c r="P507" s="576"/>
      <c r="Q507" s="576"/>
      <c r="R507" s="346"/>
      <c r="S507" s="346"/>
    </row>
    <row r="508" ht="15.75" customHeight="1">
      <c r="B508" s="591"/>
      <c r="C508" s="466"/>
      <c r="D508" s="466"/>
      <c r="E508" s="592"/>
      <c r="F508" s="466"/>
      <c r="G508" s="576"/>
      <c r="H508" s="576"/>
      <c r="I508" s="576"/>
      <c r="J508" s="466"/>
      <c r="K508" s="576"/>
      <c r="L508" s="466"/>
      <c r="M508" s="576"/>
      <c r="N508" s="466"/>
      <c r="O508" s="576"/>
      <c r="P508" s="576"/>
      <c r="Q508" s="576"/>
      <c r="R508" s="346"/>
      <c r="S508" s="346"/>
    </row>
    <row r="509" ht="15.75" customHeight="1">
      <c r="B509" s="591"/>
      <c r="C509" s="466"/>
      <c r="D509" s="466"/>
      <c r="E509" s="592"/>
      <c r="F509" s="466"/>
      <c r="G509" s="576"/>
      <c r="H509" s="576"/>
      <c r="I509" s="576"/>
      <c r="J509" s="466"/>
      <c r="K509" s="576"/>
      <c r="L509" s="466"/>
      <c r="M509" s="576"/>
      <c r="N509" s="466"/>
      <c r="O509" s="576"/>
      <c r="P509" s="576"/>
      <c r="Q509" s="576"/>
      <c r="R509" s="346"/>
      <c r="S509" s="346"/>
    </row>
    <row r="510" ht="15.75" customHeight="1">
      <c r="B510" s="591"/>
      <c r="C510" s="466"/>
      <c r="D510" s="466"/>
      <c r="E510" s="592"/>
      <c r="F510" s="466"/>
      <c r="G510" s="576"/>
      <c r="H510" s="576"/>
      <c r="I510" s="576"/>
      <c r="J510" s="466"/>
      <c r="K510" s="576"/>
      <c r="L510" s="466"/>
      <c r="M510" s="576"/>
      <c r="N510" s="466"/>
      <c r="O510" s="576"/>
      <c r="P510" s="576"/>
      <c r="Q510" s="576"/>
      <c r="R510" s="346"/>
      <c r="S510" s="346"/>
    </row>
    <row r="511" ht="15.75" customHeight="1">
      <c r="B511" s="591"/>
      <c r="C511" s="466"/>
      <c r="D511" s="466"/>
      <c r="E511" s="592"/>
      <c r="F511" s="466"/>
      <c r="G511" s="576"/>
      <c r="H511" s="576"/>
      <c r="I511" s="576"/>
      <c r="J511" s="466"/>
      <c r="K511" s="576"/>
      <c r="L511" s="466"/>
      <c r="M511" s="576"/>
      <c r="N511" s="466"/>
      <c r="O511" s="576"/>
      <c r="P511" s="576"/>
      <c r="Q511" s="576"/>
      <c r="R511" s="346"/>
      <c r="S511" s="346"/>
    </row>
    <row r="512" ht="15.75" customHeight="1">
      <c r="B512" s="591"/>
      <c r="C512" s="466"/>
      <c r="D512" s="466"/>
      <c r="E512" s="592"/>
      <c r="F512" s="466"/>
      <c r="G512" s="576"/>
      <c r="H512" s="576"/>
      <c r="I512" s="576"/>
      <c r="J512" s="466"/>
      <c r="K512" s="576"/>
      <c r="L512" s="466"/>
      <c r="M512" s="576"/>
      <c r="N512" s="466"/>
      <c r="O512" s="576"/>
      <c r="P512" s="576"/>
      <c r="Q512" s="576"/>
      <c r="R512" s="346"/>
      <c r="S512" s="346"/>
    </row>
    <row r="513" ht="15.75" customHeight="1">
      <c r="B513" s="591"/>
      <c r="C513" s="466"/>
      <c r="D513" s="466"/>
      <c r="E513" s="592"/>
      <c r="F513" s="466"/>
      <c r="G513" s="576"/>
      <c r="H513" s="576"/>
      <c r="I513" s="576"/>
      <c r="J513" s="466"/>
      <c r="K513" s="576"/>
      <c r="L513" s="466"/>
      <c r="M513" s="576"/>
      <c r="N513" s="466"/>
      <c r="O513" s="576"/>
      <c r="P513" s="576"/>
      <c r="Q513" s="576"/>
      <c r="R513" s="346"/>
      <c r="S513" s="346"/>
    </row>
    <row r="514" ht="15.75" customHeight="1">
      <c r="B514" s="591"/>
      <c r="C514" s="466"/>
      <c r="D514" s="466"/>
      <c r="E514" s="592"/>
      <c r="F514" s="466"/>
      <c r="G514" s="576"/>
      <c r="H514" s="576"/>
      <c r="I514" s="576"/>
      <c r="J514" s="466"/>
      <c r="K514" s="576"/>
      <c r="L514" s="466"/>
      <c r="M514" s="576"/>
      <c r="N514" s="466"/>
      <c r="O514" s="576"/>
      <c r="P514" s="576"/>
      <c r="Q514" s="576"/>
      <c r="R514" s="346"/>
      <c r="S514" s="346"/>
    </row>
    <row r="515" ht="15.75" customHeight="1">
      <c r="B515" s="591"/>
      <c r="C515" s="466"/>
      <c r="D515" s="466"/>
      <c r="E515" s="592"/>
      <c r="F515" s="466"/>
      <c r="G515" s="576"/>
      <c r="H515" s="576"/>
      <c r="I515" s="576"/>
      <c r="J515" s="466"/>
      <c r="K515" s="576"/>
      <c r="L515" s="466"/>
      <c r="M515" s="576"/>
      <c r="N515" s="466"/>
      <c r="O515" s="576"/>
      <c r="P515" s="576"/>
      <c r="Q515" s="576"/>
      <c r="R515" s="346"/>
      <c r="S515" s="346"/>
    </row>
    <row r="516" ht="15.75" customHeight="1">
      <c r="B516" s="591"/>
      <c r="C516" s="466"/>
      <c r="D516" s="466"/>
      <c r="E516" s="592"/>
      <c r="F516" s="466"/>
      <c r="G516" s="576"/>
      <c r="H516" s="576"/>
      <c r="I516" s="576"/>
      <c r="J516" s="466"/>
      <c r="K516" s="576"/>
      <c r="L516" s="466"/>
      <c r="M516" s="576"/>
      <c r="N516" s="466"/>
      <c r="O516" s="576"/>
      <c r="P516" s="576"/>
      <c r="Q516" s="576"/>
      <c r="R516" s="346"/>
      <c r="S516" s="346"/>
    </row>
    <row r="517" ht="15.75" customHeight="1">
      <c r="B517" s="591"/>
      <c r="C517" s="466"/>
      <c r="D517" s="466"/>
      <c r="E517" s="592"/>
      <c r="F517" s="466"/>
      <c r="G517" s="576"/>
      <c r="H517" s="576"/>
      <c r="I517" s="576"/>
      <c r="J517" s="466"/>
      <c r="K517" s="576"/>
      <c r="L517" s="466"/>
      <c r="M517" s="576"/>
      <c r="N517" s="466"/>
      <c r="O517" s="576"/>
      <c r="P517" s="576"/>
      <c r="Q517" s="576"/>
      <c r="R517" s="346"/>
      <c r="S517" s="346"/>
    </row>
    <row r="518" ht="15.75" customHeight="1">
      <c r="B518" s="591"/>
      <c r="C518" s="466"/>
      <c r="D518" s="466"/>
      <c r="E518" s="592"/>
      <c r="F518" s="466"/>
      <c r="G518" s="576"/>
      <c r="H518" s="576"/>
      <c r="I518" s="576"/>
      <c r="J518" s="466"/>
      <c r="K518" s="576"/>
      <c r="L518" s="466"/>
      <c r="M518" s="576"/>
      <c r="N518" s="466"/>
      <c r="O518" s="576"/>
      <c r="P518" s="576"/>
      <c r="Q518" s="576"/>
      <c r="R518" s="346"/>
      <c r="S518" s="346"/>
    </row>
    <row r="519" ht="15.75" customHeight="1">
      <c r="B519" s="591"/>
      <c r="C519" s="466"/>
      <c r="D519" s="466"/>
      <c r="E519" s="592"/>
      <c r="F519" s="466"/>
      <c r="G519" s="576"/>
      <c r="H519" s="576"/>
      <c r="I519" s="576"/>
      <c r="J519" s="466"/>
      <c r="K519" s="576"/>
      <c r="L519" s="466"/>
      <c r="M519" s="576"/>
      <c r="N519" s="466"/>
      <c r="O519" s="576"/>
      <c r="P519" s="576"/>
      <c r="Q519" s="576"/>
      <c r="R519" s="346"/>
      <c r="S519" s="346"/>
    </row>
    <row r="520" ht="15.75" customHeight="1">
      <c r="B520" s="591"/>
      <c r="C520" s="466"/>
      <c r="D520" s="466"/>
      <c r="E520" s="592"/>
      <c r="F520" s="466"/>
      <c r="G520" s="576"/>
      <c r="H520" s="576"/>
      <c r="I520" s="576"/>
      <c r="J520" s="466"/>
      <c r="K520" s="576"/>
      <c r="L520" s="466"/>
      <c r="M520" s="576"/>
      <c r="N520" s="466"/>
      <c r="O520" s="576"/>
      <c r="P520" s="576"/>
      <c r="Q520" s="576"/>
      <c r="R520" s="346"/>
      <c r="S520" s="346"/>
    </row>
    <row r="521" ht="15.75" customHeight="1">
      <c r="B521" s="591"/>
      <c r="C521" s="466"/>
      <c r="D521" s="466"/>
      <c r="E521" s="592"/>
      <c r="F521" s="466"/>
      <c r="G521" s="576"/>
      <c r="H521" s="576"/>
      <c r="I521" s="576"/>
      <c r="J521" s="466"/>
      <c r="K521" s="576"/>
      <c r="L521" s="466"/>
      <c r="M521" s="576"/>
      <c r="N521" s="466"/>
      <c r="O521" s="576"/>
      <c r="P521" s="576"/>
      <c r="Q521" s="576"/>
      <c r="R521" s="346"/>
      <c r="S521" s="346"/>
    </row>
    <row r="522" ht="15.75" customHeight="1">
      <c r="B522" s="591"/>
      <c r="C522" s="466"/>
      <c r="D522" s="466"/>
      <c r="E522" s="592"/>
      <c r="F522" s="466"/>
      <c r="G522" s="576"/>
      <c r="H522" s="576"/>
      <c r="I522" s="576"/>
      <c r="J522" s="466"/>
      <c r="K522" s="576"/>
      <c r="L522" s="466"/>
      <c r="M522" s="576"/>
      <c r="N522" s="466"/>
      <c r="O522" s="576"/>
      <c r="P522" s="576"/>
      <c r="Q522" s="576"/>
      <c r="R522" s="346"/>
      <c r="S522" s="346"/>
    </row>
    <row r="523" ht="15.75" customHeight="1">
      <c r="B523" s="591"/>
      <c r="C523" s="466"/>
      <c r="D523" s="466"/>
      <c r="E523" s="592"/>
      <c r="F523" s="466"/>
      <c r="G523" s="576"/>
      <c r="H523" s="576"/>
      <c r="I523" s="576"/>
      <c r="J523" s="466"/>
      <c r="K523" s="576"/>
      <c r="L523" s="466"/>
      <c r="M523" s="576"/>
      <c r="N523" s="466"/>
      <c r="O523" s="576"/>
      <c r="P523" s="576"/>
      <c r="Q523" s="576"/>
      <c r="R523" s="346"/>
      <c r="S523" s="346"/>
    </row>
    <row r="524" ht="15.75" customHeight="1">
      <c r="B524" s="591"/>
      <c r="C524" s="466"/>
      <c r="D524" s="466"/>
      <c r="E524" s="592"/>
      <c r="F524" s="466"/>
      <c r="G524" s="576"/>
      <c r="H524" s="576"/>
      <c r="I524" s="576"/>
      <c r="J524" s="466"/>
      <c r="K524" s="576"/>
      <c r="L524" s="466"/>
      <c r="M524" s="576"/>
      <c r="N524" s="466"/>
      <c r="O524" s="576"/>
      <c r="P524" s="576"/>
      <c r="Q524" s="576"/>
      <c r="R524" s="346"/>
      <c r="S524" s="346"/>
    </row>
    <row r="525" ht="15.75" customHeight="1">
      <c r="B525" s="591"/>
      <c r="C525" s="466"/>
      <c r="D525" s="466"/>
      <c r="E525" s="592"/>
      <c r="F525" s="466"/>
      <c r="G525" s="576"/>
      <c r="H525" s="576"/>
      <c r="I525" s="576"/>
      <c r="J525" s="466"/>
      <c r="K525" s="576"/>
      <c r="L525" s="466"/>
      <c r="M525" s="576"/>
      <c r="N525" s="466"/>
      <c r="O525" s="576"/>
      <c r="P525" s="576"/>
      <c r="Q525" s="576"/>
      <c r="R525" s="346"/>
      <c r="S525" s="346"/>
    </row>
    <row r="526" ht="15.75" customHeight="1">
      <c r="B526" s="591"/>
      <c r="C526" s="466"/>
      <c r="D526" s="466"/>
      <c r="E526" s="592"/>
      <c r="F526" s="466"/>
      <c r="G526" s="576"/>
      <c r="H526" s="576"/>
      <c r="I526" s="576"/>
      <c r="J526" s="466"/>
      <c r="K526" s="576"/>
      <c r="L526" s="466"/>
      <c r="M526" s="576"/>
      <c r="N526" s="466"/>
      <c r="O526" s="576"/>
      <c r="P526" s="576"/>
      <c r="Q526" s="576"/>
      <c r="R526" s="346"/>
      <c r="S526" s="346"/>
    </row>
    <row r="527" ht="15.75" customHeight="1">
      <c r="B527" s="591"/>
      <c r="C527" s="466"/>
      <c r="D527" s="466"/>
      <c r="E527" s="592"/>
      <c r="F527" s="466"/>
      <c r="G527" s="576"/>
      <c r="H527" s="576"/>
      <c r="I527" s="576"/>
      <c r="J527" s="466"/>
      <c r="K527" s="576"/>
      <c r="L527" s="466"/>
      <c r="M527" s="576"/>
      <c r="N527" s="466"/>
      <c r="O527" s="576"/>
      <c r="P527" s="576"/>
      <c r="Q527" s="576"/>
      <c r="R527" s="346"/>
      <c r="S527" s="346"/>
    </row>
    <row r="528" ht="15.75" customHeight="1">
      <c r="B528" s="591"/>
      <c r="C528" s="466"/>
      <c r="D528" s="466"/>
      <c r="E528" s="592"/>
      <c r="F528" s="466"/>
      <c r="G528" s="576"/>
      <c r="H528" s="576"/>
      <c r="I528" s="576"/>
      <c r="J528" s="466"/>
      <c r="K528" s="576"/>
      <c r="L528" s="466"/>
      <c r="M528" s="576"/>
      <c r="N528" s="466"/>
      <c r="O528" s="576"/>
      <c r="P528" s="576"/>
      <c r="Q528" s="576"/>
      <c r="R528" s="346"/>
      <c r="S528" s="346"/>
    </row>
    <row r="529" ht="15.75" customHeight="1">
      <c r="B529" s="591"/>
      <c r="C529" s="466"/>
      <c r="D529" s="466"/>
      <c r="E529" s="592"/>
      <c r="F529" s="466"/>
      <c r="G529" s="576"/>
      <c r="H529" s="576"/>
      <c r="I529" s="576"/>
      <c r="J529" s="466"/>
      <c r="K529" s="576"/>
      <c r="L529" s="466"/>
      <c r="M529" s="576"/>
      <c r="N529" s="466"/>
      <c r="O529" s="576"/>
      <c r="P529" s="576"/>
      <c r="Q529" s="576"/>
      <c r="R529" s="346"/>
      <c r="S529" s="346"/>
    </row>
    <row r="530" ht="15.75" customHeight="1">
      <c r="B530" s="591"/>
      <c r="C530" s="466"/>
      <c r="D530" s="466"/>
      <c r="E530" s="592"/>
      <c r="F530" s="466"/>
      <c r="G530" s="576"/>
      <c r="H530" s="576"/>
      <c r="I530" s="576"/>
      <c r="J530" s="466"/>
      <c r="K530" s="576"/>
      <c r="L530" s="466"/>
      <c r="M530" s="576"/>
      <c r="N530" s="466"/>
      <c r="O530" s="576"/>
      <c r="P530" s="576"/>
      <c r="Q530" s="576"/>
      <c r="R530" s="346"/>
      <c r="S530" s="346"/>
    </row>
    <row r="531" ht="15.75" customHeight="1">
      <c r="B531" s="591"/>
      <c r="C531" s="466"/>
      <c r="D531" s="466"/>
      <c r="E531" s="592"/>
      <c r="F531" s="466"/>
      <c r="G531" s="576"/>
      <c r="H531" s="576"/>
      <c r="I531" s="576"/>
      <c r="J531" s="466"/>
      <c r="K531" s="576"/>
      <c r="L531" s="466"/>
      <c r="M531" s="576"/>
      <c r="N531" s="466"/>
      <c r="O531" s="576"/>
      <c r="P531" s="576"/>
      <c r="Q531" s="576"/>
      <c r="R531" s="346"/>
      <c r="S531" s="346"/>
    </row>
    <row r="532" ht="15.75" customHeight="1">
      <c r="B532" s="591"/>
      <c r="C532" s="466"/>
      <c r="D532" s="466"/>
      <c r="E532" s="592"/>
      <c r="F532" s="466"/>
      <c r="G532" s="576"/>
      <c r="H532" s="576"/>
      <c r="I532" s="576"/>
      <c r="J532" s="466"/>
      <c r="K532" s="576"/>
      <c r="L532" s="466"/>
      <c r="M532" s="576"/>
      <c r="N532" s="466"/>
      <c r="O532" s="576"/>
      <c r="P532" s="576"/>
      <c r="Q532" s="576"/>
      <c r="R532" s="346"/>
      <c r="S532" s="346"/>
    </row>
    <row r="533" ht="15.75" customHeight="1">
      <c r="B533" s="591"/>
      <c r="C533" s="466"/>
      <c r="D533" s="466"/>
      <c r="E533" s="592"/>
      <c r="F533" s="466"/>
      <c r="G533" s="576"/>
      <c r="H533" s="576"/>
      <c r="I533" s="576"/>
      <c r="J533" s="466"/>
      <c r="K533" s="576"/>
      <c r="L533" s="466"/>
      <c r="M533" s="576"/>
      <c r="N533" s="466"/>
      <c r="O533" s="576"/>
      <c r="P533" s="576"/>
      <c r="Q533" s="576"/>
      <c r="R533" s="346"/>
      <c r="S533" s="346"/>
    </row>
    <row r="534" ht="15.75" customHeight="1">
      <c r="B534" s="591"/>
      <c r="C534" s="466"/>
      <c r="D534" s="466"/>
      <c r="E534" s="592"/>
      <c r="F534" s="466"/>
      <c r="G534" s="576"/>
      <c r="H534" s="576"/>
      <c r="I534" s="576"/>
      <c r="J534" s="466"/>
      <c r="K534" s="576"/>
      <c r="L534" s="466"/>
      <c r="M534" s="576"/>
      <c r="N534" s="466"/>
      <c r="O534" s="576"/>
      <c r="P534" s="576"/>
      <c r="Q534" s="576"/>
      <c r="R534" s="346"/>
      <c r="S534" s="346"/>
    </row>
    <row r="535" ht="15.75" customHeight="1">
      <c r="B535" s="591"/>
      <c r="C535" s="466"/>
      <c r="D535" s="466"/>
      <c r="E535" s="592"/>
      <c r="F535" s="466"/>
      <c r="G535" s="576"/>
      <c r="H535" s="576"/>
      <c r="I535" s="576"/>
      <c r="J535" s="466"/>
      <c r="K535" s="576"/>
      <c r="L535" s="466"/>
      <c r="M535" s="576"/>
      <c r="N535" s="466"/>
      <c r="O535" s="576"/>
      <c r="P535" s="576"/>
      <c r="Q535" s="576"/>
      <c r="R535" s="346"/>
      <c r="S535" s="346"/>
    </row>
    <row r="536" ht="15.75" customHeight="1">
      <c r="B536" s="591"/>
      <c r="C536" s="466"/>
      <c r="D536" s="466"/>
      <c r="E536" s="592"/>
      <c r="F536" s="466"/>
      <c r="G536" s="576"/>
      <c r="H536" s="576"/>
      <c r="I536" s="576"/>
      <c r="J536" s="466"/>
      <c r="K536" s="576"/>
      <c r="L536" s="466"/>
      <c r="M536" s="576"/>
      <c r="N536" s="466"/>
      <c r="O536" s="576"/>
      <c r="P536" s="576"/>
      <c r="Q536" s="576"/>
      <c r="R536" s="346"/>
      <c r="S536" s="346"/>
    </row>
    <row r="537" ht="15.75" customHeight="1">
      <c r="B537" s="591"/>
      <c r="C537" s="466"/>
      <c r="D537" s="466"/>
      <c r="E537" s="592"/>
      <c r="F537" s="466"/>
      <c r="G537" s="576"/>
      <c r="H537" s="576"/>
      <c r="I537" s="576"/>
      <c r="J537" s="466"/>
      <c r="K537" s="576"/>
      <c r="L537" s="466"/>
      <c r="M537" s="576"/>
      <c r="N537" s="466"/>
      <c r="O537" s="576"/>
      <c r="P537" s="576"/>
      <c r="Q537" s="576"/>
      <c r="R537" s="346"/>
      <c r="S537" s="346"/>
    </row>
    <row r="538" ht="15.75" customHeight="1">
      <c r="B538" s="591"/>
      <c r="C538" s="466"/>
      <c r="D538" s="466"/>
      <c r="E538" s="592"/>
      <c r="F538" s="466"/>
      <c r="G538" s="576"/>
      <c r="H538" s="576"/>
      <c r="I538" s="576"/>
      <c r="J538" s="466"/>
      <c r="K538" s="576"/>
      <c r="L538" s="466"/>
      <c r="M538" s="576"/>
      <c r="N538" s="466"/>
      <c r="O538" s="576"/>
      <c r="P538" s="576"/>
      <c r="Q538" s="576"/>
      <c r="R538" s="346"/>
      <c r="S538" s="346"/>
    </row>
    <row r="539" ht="15.75" customHeight="1">
      <c r="B539" s="591"/>
      <c r="C539" s="466"/>
      <c r="D539" s="466"/>
      <c r="E539" s="592"/>
      <c r="F539" s="466"/>
      <c r="G539" s="576"/>
      <c r="H539" s="576"/>
      <c r="I539" s="576"/>
      <c r="J539" s="466"/>
      <c r="K539" s="576"/>
      <c r="L539" s="466"/>
      <c r="M539" s="576"/>
      <c r="N539" s="466"/>
      <c r="O539" s="576"/>
      <c r="P539" s="576"/>
      <c r="Q539" s="576"/>
      <c r="R539" s="346"/>
      <c r="S539" s="346"/>
    </row>
    <row r="540" ht="15.75" customHeight="1">
      <c r="B540" s="591"/>
      <c r="C540" s="466"/>
      <c r="D540" s="466"/>
      <c r="E540" s="592"/>
      <c r="F540" s="466"/>
      <c r="G540" s="576"/>
      <c r="H540" s="576"/>
      <c r="I540" s="576"/>
      <c r="J540" s="466"/>
      <c r="K540" s="576"/>
      <c r="L540" s="466"/>
      <c r="M540" s="576"/>
      <c r="N540" s="466"/>
      <c r="O540" s="576"/>
      <c r="P540" s="576"/>
      <c r="Q540" s="576"/>
      <c r="R540" s="346"/>
      <c r="S540" s="346"/>
    </row>
    <row r="541" ht="15.75" customHeight="1">
      <c r="B541" s="591"/>
      <c r="C541" s="466"/>
      <c r="D541" s="466"/>
      <c r="E541" s="592"/>
      <c r="F541" s="466"/>
      <c r="G541" s="576"/>
      <c r="H541" s="576"/>
      <c r="I541" s="576"/>
      <c r="J541" s="466"/>
      <c r="K541" s="576"/>
      <c r="L541" s="466"/>
      <c r="M541" s="576"/>
      <c r="N541" s="466"/>
      <c r="O541" s="576"/>
      <c r="P541" s="576"/>
      <c r="Q541" s="576"/>
      <c r="R541" s="346"/>
      <c r="S541" s="346"/>
    </row>
    <row r="542" ht="15.75" customHeight="1">
      <c r="B542" s="591"/>
      <c r="C542" s="466"/>
      <c r="D542" s="466"/>
      <c r="E542" s="592"/>
      <c r="F542" s="466"/>
      <c r="G542" s="576"/>
      <c r="H542" s="576"/>
      <c r="I542" s="576"/>
      <c r="J542" s="466"/>
      <c r="K542" s="576"/>
      <c r="L542" s="466"/>
      <c r="M542" s="576"/>
      <c r="N542" s="466"/>
      <c r="O542" s="576"/>
      <c r="P542" s="576"/>
      <c r="Q542" s="576"/>
      <c r="R542" s="346"/>
      <c r="S542" s="346"/>
    </row>
    <row r="543" ht="15.75" customHeight="1">
      <c r="B543" s="591"/>
      <c r="C543" s="466"/>
      <c r="D543" s="466"/>
      <c r="E543" s="592"/>
      <c r="F543" s="466"/>
      <c r="G543" s="576"/>
      <c r="H543" s="576"/>
      <c r="I543" s="576"/>
      <c r="J543" s="466"/>
      <c r="K543" s="576"/>
      <c r="L543" s="466"/>
      <c r="M543" s="576"/>
      <c r="N543" s="466"/>
      <c r="O543" s="576"/>
      <c r="P543" s="576"/>
      <c r="Q543" s="576"/>
      <c r="R543" s="346"/>
      <c r="S543" s="346"/>
    </row>
    <row r="544" ht="15.75" customHeight="1">
      <c r="B544" s="591"/>
      <c r="C544" s="466"/>
      <c r="D544" s="466"/>
      <c r="E544" s="592"/>
      <c r="F544" s="466"/>
      <c r="G544" s="576"/>
      <c r="H544" s="576"/>
      <c r="I544" s="576"/>
      <c r="J544" s="466"/>
      <c r="K544" s="576"/>
      <c r="L544" s="466"/>
      <c r="M544" s="576"/>
      <c r="N544" s="466"/>
      <c r="O544" s="576"/>
      <c r="P544" s="576"/>
      <c r="Q544" s="576"/>
      <c r="R544" s="346"/>
      <c r="S544" s="346"/>
    </row>
    <row r="545" ht="15.75" customHeight="1">
      <c r="B545" s="591"/>
      <c r="C545" s="466"/>
      <c r="D545" s="466"/>
      <c r="E545" s="592"/>
      <c r="F545" s="466"/>
      <c r="G545" s="576"/>
      <c r="H545" s="576"/>
      <c r="I545" s="576"/>
      <c r="J545" s="466"/>
      <c r="K545" s="576"/>
      <c r="L545" s="466"/>
      <c r="M545" s="576"/>
      <c r="N545" s="466"/>
      <c r="O545" s="576"/>
      <c r="P545" s="576"/>
      <c r="Q545" s="576"/>
      <c r="R545" s="346"/>
      <c r="S545" s="346"/>
    </row>
    <row r="546" ht="15.75" customHeight="1">
      <c r="B546" s="591"/>
      <c r="C546" s="466"/>
      <c r="D546" s="466"/>
      <c r="E546" s="592"/>
      <c r="F546" s="466"/>
      <c r="G546" s="576"/>
      <c r="H546" s="576"/>
      <c r="I546" s="576"/>
      <c r="J546" s="466"/>
      <c r="K546" s="576"/>
      <c r="L546" s="466"/>
      <c r="M546" s="576"/>
      <c r="N546" s="466"/>
      <c r="O546" s="576"/>
      <c r="P546" s="576"/>
      <c r="Q546" s="576"/>
      <c r="R546" s="346"/>
      <c r="S546" s="346"/>
    </row>
    <row r="547" ht="15.75" customHeight="1">
      <c r="B547" s="591"/>
      <c r="C547" s="466"/>
      <c r="D547" s="466"/>
      <c r="E547" s="592"/>
      <c r="F547" s="466"/>
      <c r="G547" s="576"/>
      <c r="H547" s="576"/>
      <c r="I547" s="576"/>
      <c r="J547" s="466"/>
      <c r="K547" s="576"/>
      <c r="L547" s="466"/>
      <c r="M547" s="576"/>
      <c r="N547" s="466"/>
      <c r="O547" s="576"/>
      <c r="P547" s="576"/>
      <c r="Q547" s="576"/>
      <c r="R547" s="346"/>
      <c r="S547" s="346"/>
    </row>
    <row r="548" ht="15.75" customHeight="1">
      <c r="B548" s="591"/>
      <c r="C548" s="466"/>
      <c r="D548" s="466"/>
      <c r="E548" s="592"/>
      <c r="F548" s="466"/>
      <c r="G548" s="576"/>
      <c r="H548" s="576"/>
      <c r="I548" s="576"/>
      <c r="J548" s="466"/>
      <c r="K548" s="576"/>
      <c r="L548" s="466"/>
      <c r="M548" s="576"/>
      <c r="N548" s="466"/>
      <c r="O548" s="576"/>
      <c r="P548" s="576"/>
      <c r="Q548" s="576"/>
      <c r="R548" s="346"/>
      <c r="S548" s="346"/>
    </row>
    <row r="549" ht="15.75" customHeight="1">
      <c r="B549" s="591"/>
      <c r="C549" s="466"/>
      <c r="D549" s="466"/>
      <c r="E549" s="592"/>
      <c r="F549" s="466"/>
      <c r="G549" s="576"/>
      <c r="H549" s="576"/>
      <c r="I549" s="576"/>
      <c r="J549" s="466"/>
      <c r="K549" s="576"/>
      <c r="L549" s="466"/>
      <c r="M549" s="576"/>
      <c r="N549" s="466"/>
      <c r="O549" s="576"/>
      <c r="P549" s="576"/>
      <c r="Q549" s="576"/>
      <c r="R549" s="346"/>
      <c r="S549" s="346"/>
    </row>
    <row r="550" ht="15.75" customHeight="1">
      <c r="B550" s="591"/>
      <c r="C550" s="466"/>
      <c r="D550" s="466"/>
      <c r="E550" s="592"/>
      <c r="F550" s="466"/>
      <c r="G550" s="576"/>
      <c r="H550" s="576"/>
      <c r="I550" s="576"/>
      <c r="J550" s="466"/>
      <c r="K550" s="576"/>
      <c r="L550" s="466"/>
      <c r="M550" s="576"/>
      <c r="N550" s="466"/>
      <c r="O550" s="576"/>
      <c r="P550" s="576"/>
      <c r="Q550" s="576"/>
      <c r="R550" s="346"/>
      <c r="S550" s="346"/>
    </row>
    <row r="551" ht="15.75" customHeight="1">
      <c r="B551" s="591"/>
      <c r="C551" s="466"/>
      <c r="D551" s="466"/>
      <c r="E551" s="592"/>
      <c r="F551" s="466"/>
      <c r="G551" s="576"/>
      <c r="H551" s="576"/>
      <c r="I551" s="576"/>
      <c r="J551" s="466"/>
      <c r="K551" s="576"/>
      <c r="L551" s="466"/>
      <c r="M551" s="576"/>
      <c r="N551" s="466"/>
      <c r="O551" s="576"/>
      <c r="P551" s="576"/>
      <c r="Q551" s="576"/>
      <c r="R551" s="346"/>
      <c r="S551" s="346"/>
    </row>
    <row r="552" ht="15.75" customHeight="1">
      <c r="B552" s="591"/>
      <c r="C552" s="466"/>
      <c r="D552" s="466"/>
      <c r="E552" s="592"/>
      <c r="F552" s="466"/>
      <c r="G552" s="576"/>
      <c r="H552" s="576"/>
      <c r="I552" s="576"/>
      <c r="J552" s="466"/>
      <c r="K552" s="576"/>
      <c r="L552" s="466"/>
      <c r="M552" s="576"/>
      <c r="N552" s="466"/>
      <c r="O552" s="576"/>
      <c r="P552" s="576"/>
      <c r="Q552" s="576"/>
      <c r="R552" s="346"/>
      <c r="S552" s="346"/>
    </row>
    <row r="553" ht="15.75" customHeight="1">
      <c r="B553" s="591"/>
      <c r="C553" s="466"/>
      <c r="D553" s="466"/>
      <c r="E553" s="592"/>
      <c r="F553" s="466"/>
      <c r="G553" s="576"/>
      <c r="H553" s="576"/>
      <c r="I553" s="576"/>
      <c r="J553" s="466"/>
      <c r="K553" s="576"/>
      <c r="L553" s="466"/>
      <c r="M553" s="576"/>
      <c r="N553" s="466"/>
      <c r="O553" s="576"/>
      <c r="P553" s="576"/>
      <c r="Q553" s="576"/>
      <c r="R553" s="346"/>
      <c r="S553" s="346"/>
    </row>
    <row r="554" ht="15.75" customHeight="1">
      <c r="B554" s="591"/>
      <c r="C554" s="466"/>
      <c r="D554" s="466"/>
      <c r="E554" s="592"/>
      <c r="F554" s="466"/>
      <c r="G554" s="576"/>
      <c r="H554" s="576"/>
      <c r="I554" s="576"/>
      <c r="J554" s="466"/>
      <c r="K554" s="576"/>
      <c r="L554" s="466"/>
      <c r="M554" s="576"/>
      <c r="N554" s="466"/>
      <c r="O554" s="576"/>
      <c r="P554" s="576"/>
      <c r="Q554" s="576"/>
      <c r="R554" s="346"/>
      <c r="S554" s="346"/>
    </row>
    <row r="555" ht="15.75" customHeight="1">
      <c r="B555" s="591"/>
      <c r="C555" s="466"/>
      <c r="D555" s="466"/>
      <c r="E555" s="592"/>
      <c r="F555" s="466"/>
      <c r="G555" s="576"/>
      <c r="H555" s="576"/>
      <c r="I555" s="576"/>
      <c r="J555" s="466"/>
      <c r="K555" s="576"/>
      <c r="L555" s="466"/>
      <c r="M555" s="576"/>
      <c r="N555" s="466"/>
      <c r="O555" s="576"/>
      <c r="P555" s="576"/>
      <c r="Q555" s="576"/>
      <c r="R555" s="346"/>
      <c r="S555" s="346"/>
    </row>
    <row r="556" ht="15.75" customHeight="1">
      <c r="B556" s="591"/>
      <c r="C556" s="466"/>
      <c r="D556" s="466"/>
      <c r="E556" s="592"/>
      <c r="F556" s="466"/>
      <c r="G556" s="576"/>
      <c r="H556" s="576"/>
      <c r="I556" s="576"/>
      <c r="J556" s="466"/>
      <c r="K556" s="576"/>
      <c r="L556" s="466"/>
      <c r="M556" s="576"/>
      <c r="N556" s="466"/>
      <c r="O556" s="576"/>
      <c r="P556" s="576"/>
      <c r="Q556" s="576"/>
      <c r="R556" s="346"/>
      <c r="S556" s="346"/>
    </row>
    <row r="557" ht="15.75" customHeight="1">
      <c r="B557" s="591"/>
      <c r="C557" s="466"/>
      <c r="D557" s="466"/>
      <c r="E557" s="592"/>
      <c r="F557" s="466"/>
      <c r="G557" s="576"/>
      <c r="H557" s="576"/>
      <c r="I557" s="576"/>
      <c r="J557" s="466"/>
      <c r="K557" s="576"/>
      <c r="L557" s="466"/>
      <c r="M557" s="576"/>
      <c r="N557" s="466"/>
      <c r="O557" s="576"/>
      <c r="P557" s="576"/>
      <c r="Q557" s="576"/>
      <c r="R557" s="346"/>
      <c r="S557" s="346"/>
    </row>
    <row r="558" ht="15.75" customHeight="1">
      <c r="B558" s="591"/>
      <c r="C558" s="466"/>
      <c r="D558" s="466"/>
      <c r="E558" s="592"/>
      <c r="F558" s="466"/>
      <c r="G558" s="576"/>
      <c r="H558" s="576"/>
      <c r="I558" s="576"/>
      <c r="J558" s="466"/>
      <c r="K558" s="576"/>
      <c r="L558" s="466"/>
      <c r="M558" s="576"/>
      <c r="N558" s="466"/>
      <c r="O558" s="576"/>
      <c r="P558" s="576"/>
      <c r="Q558" s="576"/>
      <c r="R558" s="346"/>
      <c r="S558" s="346"/>
    </row>
    <row r="559" ht="15.75" customHeight="1">
      <c r="B559" s="591"/>
      <c r="C559" s="466"/>
      <c r="D559" s="466"/>
      <c r="E559" s="592"/>
      <c r="F559" s="466"/>
      <c r="G559" s="576"/>
      <c r="H559" s="576"/>
      <c r="I559" s="576"/>
      <c r="J559" s="466"/>
      <c r="K559" s="576"/>
      <c r="L559" s="466"/>
      <c r="M559" s="576"/>
      <c r="N559" s="466"/>
      <c r="O559" s="576"/>
      <c r="P559" s="576"/>
      <c r="Q559" s="576"/>
      <c r="R559" s="346"/>
      <c r="S559" s="346"/>
    </row>
    <row r="560" ht="15.75" customHeight="1">
      <c r="B560" s="591"/>
      <c r="C560" s="466"/>
      <c r="D560" s="466"/>
      <c r="E560" s="592"/>
      <c r="F560" s="466"/>
      <c r="G560" s="576"/>
      <c r="H560" s="576"/>
      <c r="I560" s="576"/>
      <c r="J560" s="466"/>
      <c r="K560" s="576"/>
      <c r="L560" s="466"/>
      <c r="M560" s="576"/>
      <c r="N560" s="466"/>
      <c r="O560" s="576"/>
      <c r="P560" s="576"/>
      <c r="Q560" s="576"/>
      <c r="R560" s="346"/>
      <c r="S560" s="346"/>
    </row>
    <row r="561" ht="15.75" customHeight="1">
      <c r="B561" s="591"/>
      <c r="C561" s="466"/>
      <c r="D561" s="466"/>
      <c r="E561" s="592"/>
      <c r="F561" s="466"/>
      <c r="G561" s="576"/>
      <c r="H561" s="576"/>
      <c r="I561" s="576"/>
      <c r="J561" s="466"/>
      <c r="K561" s="576"/>
      <c r="L561" s="466"/>
      <c r="M561" s="576"/>
      <c r="N561" s="466"/>
      <c r="O561" s="576"/>
      <c r="P561" s="576"/>
      <c r="Q561" s="576"/>
      <c r="R561" s="346"/>
      <c r="S561" s="346"/>
    </row>
    <row r="562" ht="15.75" customHeight="1">
      <c r="B562" s="591"/>
      <c r="C562" s="466"/>
      <c r="D562" s="466"/>
      <c r="E562" s="592"/>
      <c r="F562" s="466"/>
      <c r="G562" s="576"/>
      <c r="H562" s="576"/>
      <c r="I562" s="576"/>
      <c r="J562" s="466"/>
      <c r="K562" s="576"/>
      <c r="L562" s="466"/>
      <c r="M562" s="576"/>
      <c r="N562" s="466"/>
      <c r="O562" s="576"/>
      <c r="P562" s="576"/>
      <c r="Q562" s="576"/>
      <c r="R562" s="346"/>
      <c r="S562" s="346"/>
    </row>
    <row r="563" ht="15.75" customHeight="1">
      <c r="B563" s="591"/>
      <c r="C563" s="466"/>
      <c r="D563" s="466"/>
      <c r="E563" s="592"/>
      <c r="F563" s="466"/>
      <c r="G563" s="576"/>
      <c r="H563" s="576"/>
      <c r="I563" s="576"/>
      <c r="J563" s="466"/>
      <c r="K563" s="576"/>
      <c r="L563" s="466"/>
      <c r="M563" s="576"/>
      <c r="N563" s="466"/>
      <c r="O563" s="576"/>
      <c r="P563" s="576"/>
      <c r="Q563" s="576"/>
      <c r="R563" s="346"/>
      <c r="S563" s="346"/>
    </row>
    <row r="564" ht="15.75" customHeight="1">
      <c r="B564" s="591"/>
      <c r="C564" s="466"/>
      <c r="D564" s="466"/>
      <c r="E564" s="592"/>
      <c r="F564" s="466"/>
      <c r="G564" s="576"/>
      <c r="H564" s="576"/>
      <c r="I564" s="576"/>
      <c r="J564" s="466"/>
      <c r="K564" s="576"/>
      <c r="L564" s="466"/>
      <c r="M564" s="576"/>
      <c r="N564" s="466"/>
      <c r="O564" s="576"/>
      <c r="P564" s="576"/>
      <c r="Q564" s="576"/>
      <c r="R564" s="346"/>
      <c r="S564" s="346"/>
    </row>
    <row r="565" ht="15.75" customHeight="1">
      <c r="B565" s="591"/>
      <c r="C565" s="466"/>
      <c r="D565" s="466"/>
      <c r="E565" s="592"/>
      <c r="F565" s="466"/>
      <c r="G565" s="576"/>
      <c r="H565" s="576"/>
      <c r="I565" s="576"/>
      <c r="J565" s="466"/>
      <c r="K565" s="576"/>
      <c r="L565" s="466"/>
      <c r="M565" s="576"/>
      <c r="N565" s="466"/>
      <c r="O565" s="576"/>
      <c r="P565" s="576"/>
      <c r="Q565" s="576"/>
      <c r="R565" s="346"/>
      <c r="S565" s="346"/>
    </row>
    <row r="566" ht="15.75" customHeight="1">
      <c r="B566" s="591"/>
      <c r="C566" s="466"/>
      <c r="D566" s="466"/>
      <c r="E566" s="592"/>
      <c r="F566" s="466"/>
      <c r="G566" s="576"/>
      <c r="H566" s="576"/>
      <c r="I566" s="576"/>
      <c r="J566" s="466"/>
      <c r="K566" s="576"/>
      <c r="L566" s="466"/>
      <c r="M566" s="576"/>
      <c r="N566" s="466"/>
      <c r="O566" s="576"/>
      <c r="P566" s="576"/>
      <c r="Q566" s="576"/>
      <c r="R566" s="346"/>
      <c r="S566" s="346"/>
    </row>
    <row r="567" ht="15.75" customHeight="1">
      <c r="B567" s="591"/>
      <c r="C567" s="466"/>
      <c r="D567" s="466"/>
      <c r="E567" s="592"/>
      <c r="F567" s="466"/>
      <c r="G567" s="576"/>
      <c r="H567" s="576"/>
      <c r="I567" s="576"/>
      <c r="J567" s="466"/>
      <c r="K567" s="576"/>
      <c r="L567" s="466"/>
      <c r="M567" s="576"/>
      <c r="N567" s="466"/>
      <c r="O567" s="576"/>
      <c r="P567" s="576"/>
      <c r="Q567" s="576"/>
      <c r="R567" s="346"/>
      <c r="S567" s="346"/>
    </row>
    <row r="568" ht="15.75" customHeight="1">
      <c r="B568" s="591"/>
      <c r="C568" s="466"/>
      <c r="D568" s="466"/>
      <c r="E568" s="592"/>
      <c r="F568" s="466"/>
      <c r="G568" s="576"/>
      <c r="H568" s="576"/>
      <c r="I568" s="576"/>
      <c r="J568" s="466"/>
      <c r="K568" s="576"/>
      <c r="L568" s="466"/>
      <c r="M568" s="576"/>
      <c r="N568" s="466"/>
      <c r="O568" s="576"/>
      <c r="P568" s="576"/>
      <c r="Q568" s="576"/>
      <c r="R568" s="346"/>
      <c r="S568" s="346"/>
    </row>
    <row r="569" ht="15.75" customHeight="1">
      <c r="B569" s="591"/>
      <c r="C569" s="466"/>
      <c r="D569" s="466"/>
      <c r="E569" s="592"/>
      <c r="F569" s="466"/>
      <c r="G569" s="576"/>
      <c r="H569" s="576"/>
      <c r="I569" s="576"/>
      <c r="J569" s="466"/>
      <c r="K569" s="576"/>
      <c r="L569" s="466"/>
      <c r="M569" s="576"/>
      <c r="N569" s="466"/>
      <c r="O569" s="576"/>
      <c r="P569" s="576"/>
      <c r="Q569" s="576"/>
      <c r="R569" s="346"/>
      <c r="S569" s="346"/>
    </row>
    <row r="570" ht="15.75" customHeight="1">
      <c r="B570" s="591"/>
      <c r="C570" s="466"/>
      <c r="D570" s="466"/>
      <c r="E570" s="592"/>
      <c r="F570" s="466"/>
      <c r="G570" s="576"/>
      <c r="H570" s="576"/>
      <c r="I570" s="576"/>
      <c r="J570" s="466"/>
      <c r="K570" s="576"/>
      <c r="L570" s="466"/>
      <c r="M570" s="576"/>
      <c r="N570" s="466"/>
      <c r="O570" s="576"/>
      <c r="P570" s="576"/>
      <c r="Q570" s="576"/>
      <c r="R570" s="346"/>
      <c r="S570" s="346"/>
    </row>
    <row r="571" ht="15.75" customHeight="1">
      <c r="B571" s="591"/>
      <c r="C571" s="466"/>
      <c r="D571" s="466"/>
      <c r="E571" s="592"/>
      <c r="F571" s="466"/>
      <c r="G571" s="576"/>
      <c r="H571" s="576"/>
      <c r="I571" s="576"/>
      <c r="J571" s="466"/>
      <c r="K571" s="576"/>
      <c r="L571" s="466"/>
      <c r="M571" s="576"/>
      <c r="N571" s="466"/>
      <c r="O571" s="576"/>
      <c r="P571" s="576"/>
      <c r="Q571" s="576"/>
      <c r="R571" s="346"/>
      <c r="S571" s="346"/>
    </row>
    <row r="572" ht="15.75" customHeight="1">
      <c r="B572" s="591"/>
      <c r="C572" s="466"/>
      <c r="D572" s="466"/>
      <c r="E572" s="592"/>
      <c r="F572" s="466"/>
      <c r="G572" s="576"/>
      <c r="H572" s="576"/>
      <c r="I572" s="576"/>
      <c r="J572" s="466"/>
      <c r="K572" s="576"/>
      <c r="L572" s="466"/>
      <c r="M572" s="576"/>
      <c r="N572" s="466"/>
      <c r="O572" s="576"/>
      <c r="P572" s="576"/>
      <c r="Q572" s="576"/>
      <c r="R572" s="346"/>
      <c r="S572" s="346"/>
    </row>
    <row r="573" ht="15.75" customHeight="1">
      <c r="B573" s="591"/>
      <c r="C573" s="466"/>
      <c r="D573" s="466"/>
      <c r="E573" s="592"/>
      <c r="F573" s="466"/>
      <c r="G573" s="576"/>
      <c r="H573" s="576"/>
      <c r="I573" s="576"/>
      <c r="J573" s="466"/>
      <c r="K573" s="576"/>
      <c r="L573" s="466"/>
      <c r="M573" s="576"/>
      <c r="N573" s="466"/>
      <c r="O573" s="576"/>
      <c r="P573" s="576"/>
      <c r="Q573" s="576"/>
      <c r="R573" s="346"/>
      <c r="S573" s="346"/>
    </row>
    <row r="574" ht="15.75" customHeight="1">
      <c r="B574" s="591"/>
      <c r="C574" s="466"/>
      <c r="D574" s="466"/>
      <c r="E574" s="592"/>
      <c r="F574" s="466"/>
      <c r="G574" s="576"/>
      <c r="H574" s="576"/>
      <c r="I574" s="576"/>
      <c r="J574" s="466"/>
      <c r="K574" s="576"/>
      <c r="L574" s="466"/>
      <c r="M574" s="576"/>
      <c r="N574" s="466"/>
      <c r="O574" s="576"/>
      <c r="P574" s="576"/>
      <c r="Q574" s="576"/>
      <c r="R574" s="346"/>
      <c r="S574" s="346"/>
    </row>
    <row r="575" ht="15.75" customHeight="1">
      <c r="B575" s="591"/>
      <c r="C575" s="466"/>
      <c r="D575" s="466"/>
      <c r="E575" s="592"/>
      <c r="F575" s="466"/>
      <c r="G575" s="576"/>
      <c r="H575" s="576"/>
      <c r="I575" s="576"/>
      <c r="J575" s="466"/>
      <c r="K575" s="576"/>
      <c r="L575" s="466"/>
      <c r="M575" s="576"/>
      <c r="N575" s="466"/>
      <c r="O575" s="576"/>
      <c r="P575" s="576"/>
      <c r="Q575" s="576"/>
      <c r="R575" s="346"/>
      <c r="S575" s="346"/>
    </row>
    <row r="576" ht="15.75" customHeight="1">
      <c r="B576" s="591"/>
      <c r="C576" s="466"/>
      <c r="D576" s="466"/>
      <c r="E576" s="592"/>
      <c r="F576" s="466"/>
      <c r="G576" s="576"/>
      <c r="H576" s="576"/>
      <c r="I576" s="576"/>
      <c r="J576" s="466"/>
      <c r="K576" s="576"/>
      <c r="L576" s="466"/>
      <c r="M576" s="576"/>
      <c r="N576" s="466"/>
      <c r="O576" s="576"/>
      <c r="P576" s="576"/>
      <c r="Q576" s="576"/>
      <c r="R576" s="346"/>
      <c r="S576" s="346"/>
    </row>
    <row r="577" ht="15.75" customHeight="1">
      <c r="B577" s="591"/>
      <c r="C577" s="466"/>
      <c r="D577" s="466"/>
      <c r="E577" s="592"/>
      <c r="F577" s="466"/>
      <c r="G577" s="576"/>
      <c r="H577" s="576"/>
      <c r="I577" s="576"/>
      <c r="J577" s="466"/>
      <c r="K577" s="576"/>
      <c r="L577" s="466"/>
      <c r="M577" s="576"/>
      <c r="N577" s="466"/>
      <c r="O577" s="576"/>
      <c r="P577" s="576"/>
      <c r="Q577" s="576"/>
      <c r="R577" s="346"/>
      <c r="S577" s="346"/>
    </row>
    <row r="578" ht="15.75" customHeight="1">
      <c r="B578" s="591"/>
      <c r="C578" s="466"/>
      <c r="D578" s="466"/>
      <c r="E578" s="592"/>
      <c r="F578" s="466"/>
      <c r="G578" s="576"/>
      <c r="H578" s="576"/>
      <c r="I578" s="576"/>
      <c r="J578" s="466"/>
      <c r="K578" s="576"/>
      <c r="L578" s="466"/>
      <c r="M578" s="576"/>
      <c r="N578" s="466"/>
      <c r="O578" s="576"/>
      <c r="P578" s="576"/>
      <c r="Q578" s="576"/>
      <c r="R578" s="346"/>
      <c r="S578" s="346"/>
    </row>
    <row r="579" ht="15.75" customHeight="1">
      <c r="B579" s="591"/>
      <c r="C579" s="466"/>
      <c r="D579" s="466"/>
      <c r="E579" s="592"/>
      <c r="F579" s="466"/>
      <c r="G579" s="576"/>
      <c r="H579" s="576"/>
      <c r="I579" s="576"/>
      <c r="J579" s="466"/>
      <c r="K579" s="576"/>
      <c r="L579" s="466"/>
      <c r="M579" s="576"/>
      <c r="N579" s="466"/>
      <c r="O579" s="576"/>
      <c r="P579" s="576"/>
      <c r="Q579" s="576"/>
      <c r="R579" s="346"/>
      <c r="S579" s="346"/>
    </row>
    <row r="580" ht="15.75" customHeight="1">
      <c r="B580" s="591"/>
      <c r="C580" s="466"/>
      <c r="D580" s="466"/>
      <c r="E580" s="592"/>
      <c r="F580" s="466"/>
      <c r="G580" s="576"/>
      <c r="H580" s="576"/>
      <c r="I580" s="576"/>
      <c r="J580" s="466"/>
      <c r="K580" s="576"/>
      <c r="L580" s="466"/>
      <c r="M580" s="576"/>
      <c r="N580" s="466"/>
      <c r="O580" s="576"/>
      <c r="P580" s="576"/>
      <c r="Q580" s="576"/>
      <c r="R580" s="346"/>
      <c r="S580" s="346"/>
    </row>
    <row r="581" ht="15.75" customHeight="1">
      <c r="B581" s="591"/>
      <c r="C581" s="466"/>
      <c r="D581" s="466"/>
      <c r="E581" s="592"/>
      <c r="F581" s="466"/>
      <c r="G581" s="576"/>
      <c r="H581" s="576"/>
      <c r="I581" s="576"/>
      <c r="J581" s="466"/>
      <c r="K581" s="576"/>
      <c r="L581" s="466"/>
      <c r="M581" s="576"/>
      <c r="N581" s="466"/>
      <c r="O581" s="576"/>
      <c r="P581" s="576"/>
      <c r="Q581" s="576"/>
      <c r="R581" s="346"/>
      <c r="S581" s="346"/>
    </row>
    <row r="582" ht="15.75" customHeight="1">
      <c r="B582" s="591"/>
      <c r="C582" s="466"/>
      <c r="D582" s="466"/>
      <c r="E582" s="592"/>
      <c r="F582" s="466"/>
      <c r="G582" s="576"/>
      <c r="H582" s="576"/>
      <c r="I582" s="576"/>
      <c r="J582" s="466"/>
      <c r="K582" s="576"/>
      <c r="L582" s="466"/>
      <c r="M582" s="576"/>
      <c r="N582" s="466"/>
      <c r="O582" s="576"/>
      <c r="P582" s="576"/>
      <c r="Q582" s="576"/>
      <c r="R582" s="346"/>
      <c r="S582" s="346"/>
    </row>
    <row r="583" ht="15.75" customHeight="1">
      <c r="B583" s="591"/>
      <c r="C583" s="466"/>
      <c r="D583" s="466"/>
      <c r="E583" s="592"/>
      <c r="F583" s="466"/>
      <c r="G583" s="576"/>
      <c r="H583" s="576"/>
      <c r="I583" s="576"/>
      <c r="J583" s="466"/>
      <c r="K583" s="576"/>
      <c r="L583" s="466"/>
      <c r="M583" s="576"/>
      <c r="N583" s="466"/>
      <c r="O583" s="576"/>
      <c r="P583" s="576"/>
      <c r="Q583" s="576"/>
      <c r="R583" s="346"/>
      <c r="S583" s="346"/>
    </row>
    <row r="584" ht="15.75" customHeight="1">
      <c r="B584" s="591"/>
      <c r="C584" s="466"/>
      <c r="D584" s="466"/>
      <c r="E584" s="592"/>
      <c r="F584" s="466"/>
      <c r="G584" s="576"/>
      <c r="H584" s="576"/>
      <c r="I584" s="576"/>
      <c r="J584" s="466"/>
      <c r="K584" s="576"/>
      <c r="L584" s="466"/>
      <c r="M584" s="576"/>
      <c r="N584" s="466"/>
      <c r="O584" s="576"/>
      <c r="P584" s="576"/>
      <c r="Q584" s="576"/>
      <c r="R584" s="346"/>
      <c r="S584" s="346"/>
    </row>
    <row r="585" ht="15.75" customHeight="1">
      <c r="B585" s="591"/>
      <c r="C585" s="466"/>
      <c r="D585" s="466"/>
      <c r="E585" s="592"/>
      <c r="F585" s="466"/>
      <c r="G585" s="576"/>
      <c r="H585" s="576"/>
      <c r="I585" s="576"/>
      <c r="J585" s="466"/>
      <c r="K585" s="576"/>
      <c r="L585" s="466"/>
      <c r="M585" s="576"/>
      <c r="N585" s="466"/>
      <c r="O585" s="576"/>
      <c r="P585" s="576"/>
      <c r="Q585" s="576"/>
      <c r="R585" s="346"/>
      <c r="S585" s="346"/>
    </row>
    <row r="586" ht="15.75" customHeight="1">
      <c r="B586" s="591"/>
      <c r="C586" s="466"/>
      <c r="D586" s="466"/>
      <c r="E586" s="592"/>
      <c r="F586" s="466"/>
      <c r="G586" s="576"/>
      <c r="H586" s="576"/>
      <c r="I586" s="576"/>
      <c r="J586" s="466"/>
      <c r="K586" s="576"/>
      <c r="L586" s="466"/>
      <c r="M586" s="576"/>
      <c r="N586" s="466"/>
      <c r="O586" s="576"/>
      <c r="P586" s="576"/>
      <c r="Q586" s="576"/>
      <c r="R586" s="346"/>
      <c r="S586" s="346"/>
    </row>
    <row r="587" ht="15.75" customHeight="1">
      <c r="B587" s="591"/>
      <c r="C587" s="466"/>
      <c r="D587" s="466"/>
      <c r="E587" s="592"/>
      <c r="F587" s="466"/>
      <c r="G587" s="576"/>
      <c r="H587" s="576"/>
      <c r="I587" s="576"/>
      <c r="J587" s="466"/>
      <c r="K587" s="576"/>
      <c r="L587" s="466"/>
      <c r="M587" s="576"/>
      <c r="N587" s="466"/>
      <c r="O587" s="576"/>
      <c r="P587" s="576"/>
      <c r="Q587" s="576"/>
      <c r="R587" s="346"/>
      <c r="S587" s="346"/>
    </row>
    <row r="588" ht="15.75" customHeight="1">
      <c r="B588" s="591"/>
      <c r="C588" s="466"/>
      <c r="D588" s="466"/>
      <c r="E588" s="592"/>
      <c r="F588" s="466"/>
      <c r="G588" s="576"/>
      <c r="H588" s="576"/>
      <c r="I588" s="576"/>
      <c r="J588" s="466"/>
      <c r="K588" s="576"/>
      <c r="L588" s="466"/>
      <c r="M588" s="576"/>
      <c r="N588" s="466"/>
      <c r="O588" s="576"/>
      <c r="P588" s="576"/>
      <c r="Q588" s="576"/>
      <c r="R588" s="346"/>
      <c r="S588" s="346"/>
    </row>
    <row r="589" ht="15.75" customHeight="1">
      <c r="B589" s="591"/>
      <c r="C589" s="466"/>
      <c r="D589" s="466"/>
      <c r="E589" s="592"/>
      <c r="F589" s="466"/>
      <c r="G589" s="576"/>
      <c r="H589" s="576"/>
      <c r="I589" s="576"/>
      <c r="J589" s="466"/>
      <c r="K589" s="576"/>
      <c r="L589" s="466"/>
      <c r="M589" s="576"/>
      <c r="N589" s="466"/>
      <c r="O589" s="576"/>
      <c r="P589" s="576"/>
      <c r="Q589" s="576"/>
      <c r="R589" s="346"/>
      <c r="S589" s="346"/>
    </row>
    <row r="590" ht="15.75" customHeight="1">
      <c r="B590" s="591"/>
      <c r="C590" s="466"/>
      <c r="D590" s="466"/>
      <c r="E590" s="592"/>
      <c r="F590" s="466"/>
      <c r="G590" s="576"/>
      <c r="H590" s="576"/>
      <c r="I590" s="576"/>
      <c r="J590" s="466"/>
      <c r="K590" s="576"/>
      <c r="L590" s="466"/>
      <c r="M590" s="576"/>
      <c r="N590" s="466"/>
      <c r="O590" s="576"/>
      <c r="P590" s="576"/>
      <c r="Q590" s="576"/>
      <c r="R590" s="346"/>
      <c r="S590" s="346"/>
    </row>
    <row r="591" ht="15.75" customHeight="1">
      <c r="B591" s="591"/>
      <c r="C591" s="466"/>
      <c r="D591" s="466"/>
      <c r="E591" s="592"/>
      <c r="F591" s="466"/>
      <c r="G591" s="576"/>
      <c r="H591" s="576"/>
      <c r="I591" s="576"/>
      <c r="J591" s="466"/>
      <c r="K591" s="576"/>
      <c r="L591" s="466"/>
      <c r="M591" s="576"/>
      <c r="N591" s="466"/>
      <c r="O591" s="576"/>
      <c r="P591" s="576"/>
      <c r="Q591" s="576"/>
      <c r="R591" s="346"/>
      <c r="S591" s="346"/>
    </row>
    <row r="592" ht="15.75" customHeight="1">
      <c r="B592" s="591"/>
      <c r="C592" s="466"/>
      <c r="D592" s="466"/>
      <c r="E592" s="592"/>
      <c r="F592" s="466"/>
      <c r="G592" s="576"/>
      <c r="H592" s="576"/>
      <c r="I592" s="576"/>
      <c r="J592" s="466"/>
      <c r="K592" s="576"/>
      <c r="L592" s="466"/>
      <c r="M592" s="576"/>
      <c r="N592" s="466"/>
      <c r="O592" s="576"/>
      <c r="P592" s="576"/>
      <c r="Q592" s="576"/>
      <c r="R592" s="346"/>
      <c r="S592" s="346"/>
    </row>
    <row r="593" ht="15.75" customHeight="1">
      <c r="B593" s="591"/>
      <c r="C593" s="466"/>
      <c r="D593" s="466"/>
      <c r="E593" s="592"/>
      <c r="F593" s="466"/>
      <c r="G593" s="576"/>
      <c r="H593" s="576"/>
      <c r="I593" s="576"/>
      <c r="J593" s="466"/>
      <c r="K593" s="576"/>
      <c r="L593" s="466"/>
      <c r="M593" s="576"/>
      <c r="N593" s="466"/>
      <c r="O593" s="576"/>
      <c r="P593" s="576"/>
      <c r="Q593" s="576"/>
      <c r="R593" s="346"/>
      <c r="S593" s="346"/>
    </row>
    <row r="594" ht="15.75" customHeight="1">
      <c r="B594" s="591"/>
      <c r="C594" s="466"/>
      <c r="D594" s="466"/>
      <c r="E594" s="592"/>
      <c r="F594" s="466"/>
      <c r="G594" s="576"/>
      <c r="H594" s="576"/>
      <c r="I594" s="576"/>
      <c r="J594" s="466"/>
      <c r="K594" s="576"/>
      <c r="L594" s="466"/>
      <c r="M594" s="576"/>
      <c r="N594" s="466"/>
      <c r="O594" s="576"/>
      <c r="P594" s="576"/>
      <c r="Q594" s="576"/>
      <c r="R594" s="346"/>
      <c r="S594" s="346"/>
    </row>
    <row r="595" ht="15.75" customHeight="1">
      <c r="B595" s="591"/>
      <c r="C595" s="466"/>
      <c r="D595" s="466"/>
      <c r="E595" s="592"/>
      <c r="F595" s="466"/>
      <c r="G595" s="576"/>
      <c r="H595" s="576"/>
      <c r="I595" s="576"/>
      <c r="J595" s="466"/>
      <c r="K595" s="576"/>
      <c r="L595" s="466"/>
      <c r="M595" s="576"/>
      <c r="N595" s="466"/>
      <c r="O595" s="576"/>
      <c r="P595" s="576"/>
      <c r="Q595" s="576"/>
      <c r="R595" s="346"/>
      <c r="S595" s="346"/>
    </row>
    <row r="596" ht="15.75" customHeight="1">
      <c r="B596" s="591"/>
      <c r="C596" s="466"/>
      <c r="D596" s="466"/>
      <c r="E596" s="592"/>
      <c r="F596" s="466"/>
      <c r="G596" s="576"/>
      <c r="H596" s="576"/>
      <c r="I596" s="576"/>
      <c r="J596" s="466"/>
      <c r="K596" s="576"/>
      <c r="L596" s="466"/>
      <c r="M596" s="576"/>
      <c r="N596" s="466"/>
      <c r="O596" s="576"/>
      <c r="P596" s="576"/>
      <c r="Q596" s="576"/>
      <c r="R596" s="346"/>
      <c r="S596" s="346"/>
    </row>
    <row r="597" ht="15.75" customHeight="1">
      <c r="B597" s="591"/>
      <c r="C597" s="466"/>
      <c r="D597" s="466"/>
      <c r="E597" s="592"/>
      <c r="F597" s="466"/>
      <c r="G597" s="576"/>
      <c r="H597" s="576"/>
      <c r="I597" s="576"/>
      <c r="J597" s="466"/>
      <c r="K597" s="576"/>
      <c r="L597" s="466"/>
      <c r="M597" s="576"/>
      <c r="N597" s="466"/>
      <c r="O597" s="576"/>
      <c r="P597" s="576"/>
      <c r="Q597" s="576"/>
      <c r="R597" s="346"/>
      <c r="S597" s="346"/>
    </row>
    <row r="598" ht="15.75" customHeight="1">
      <c r="B598" s="591"/>
      <c r="C598" s="466"/>
      <c r="D598" s="466"/>
      <c r="E598" s="592"/>
      <c r="F598" s="466"/>
      <c r="G598" s="576"/>
      <c r="H598" s="576"/>
      <c r="I598" s="576"/>
      <c r="J598" s="466"/>
      <c r="K598" s="576"/>
      <c r="L598" s="466"/>
      <c r="M598" s="576"/>
      <c r="N598" s="466"/>
      <c r="O598" s="576"/>
      <c r="P598" s="576"/>
      <c r="Q598" s="576"/>
      <c r="R598" s="346"/>
      <c r="S598" s="346"/>
    </row>
    <row r="599" ht="15.75" customHeight="1">
      <c r="B599" s="591"/>
      <c r="C599" s="466"/>
      <c r="D599" s="466"/>
      <c r="E599" s="592"/>
      <c r="F599" s="466"/>
      <c r="G599" s="576"/>
      <c r="H599" s="576"/>
      <c r="I599" s="576"/>
      <c r="J599" s="466"/>
      <c r="K599" s="576"/>
      <c r="L599" s="466"/>
      <c r="M599" s="576"/>
      <c r="N599" s="466"/>
      <c r="O599" s="576"/>
      <c r="P599" s="576"/>
      <c r="Q599" s="576"/>
      <c r="R599" s="346"/>
      <c r="S599" s="346"/>
    </row>
    <row r="600" ht="15.75" customHeight="1">
      <c r="B600" s="591"/>
      <c r="C600" s="466"/>
      <c r="D600" s="466"/>
      <c r="E600" s="592"/>
      <c r="F600" s="466"/>
      <c r="G600" s="576"/>
      <c r="H600" s="576"/>
      <c r="I600" s="576"/>
      <c r="J600" s="466"/>
      <c r="K600" s="576"/>
      <c r="L600" s="466"/>
      <c r="M600" s="576"/>
      <c r="N600" s="466"/>
      <c r="O600" s="576"/>
      <c r="P600" s="576"/>
      <c r="Q600" s="576"/>
      <c r="R600" s="346"/>
      <c r="S600" s="346"/>
    </row>
    <row r="601" ht="15.75" customHeight="1">
      <c r="B601" s="591"/>
      <c r="C601" s="466"/>
      <c r="D601" s="466"/>
      <c r="E601" s="592"/>
      <c r="F601" s="466"/>
      <c r="G601" s="576"/>
      <c r="H601" s="576"/>
      <c r="I601" s="576"/>
      <c r="J601" s="466"/>
      <c r="K601" s="576"/>
      <c r="L601" s="466"/>
      <c r="M601" s="576"/>
      <c r="N601" s="466"/>
      <c r="O601" s="576"/>
      <c r="P601" s="576"/>
      <c r="Q601" s="576"/>
      <c r="R601" s="346"/>
      <c r="S601" s="346"/>
    </row>
    <row r="602" ht="15.75" customHeight="1">
      <c r="B602" s="591"/>
      <c r="C602" s="466"/>
      <c r="D602" s="466"/>
      <c r="E602" s="592"/>
      <c r="F602" s="466"/>
      <c r="G602" s="576"/>
      <c r="H602" s="576"/>
      <c r="I602" s="576"/>
      <c r="J602" s="466"/>
      <c r="K602" s="576"/>
      <c r="L602" s="466"/>
      <c r="M602" s="576"/>
      <c r="N602" s="466"/>
      <c r="O602" s="576"/>
      <c r="P602" s="576"/>
      <c r="Q602" s="576"/>
      <c r="R602" s="346"/>
      <c r="S602" s="346"/>
    </row>
    <row r="603" ht="15.75" customHeight="1">
      <c r="B603" s="591"/>
      <c r="C603" s="466"/>
      <c r="D603" s="466"/>
      <c r="E603" s="592"/>
      <c r="F603" s="466"/>
      <c r="G603" s="576"/>
      <c r="H603" s="576"/>
      <c r="I603" s="576"/>
      <c r="J603" s="466"/>
      <c r="K603" s="576"/>
      <c r="L603" s="466"/>
      <c r="M603" s="576"/>
      <c r="N603" s="466"/>
      <c r="O603" s="576"/>
      <c r="P603" s="576"/>
      <c r="Q603" s="576"/>
      <c r="R603" s="346"/>
      <c r="S603" s="346"/>
    </row>
    <row r="604" ht="15.75" customHeight="1">
      <c r="B604" s="591"/>
      <c r="C604" s="466"/>
      <c r="D604" s="466"/>
      <c r="E604" s="592"/>
      <c r="F604" s="466"/>
      <c r="G604" s="576"/>
      <c r="H604" s="576"/>
      <c r="I604" s="576"/>
      <c r="J604" s="466"/>
      <c r="K604" s="576"/>
      <c r="L604" s="466"/>
      <c r="M604" s="576"/>
      <c r="N604" s="466"/>
      <c r="O604" s="576"/>
      <c r="P604" s="576"/>
      <c r="Q604" s="576"/>
      <c r="R604" s="346"/>
      <c r="S604" s="346"/>
    </row>
    <row r="605" ht="15.75" customHeight="1">
      <c r="B605" s="591"/>
      <c r="C605" s="466"/>
      <c r="D605" s="466"/>
      <c r="E605" s="592"/>
      <c r="F605" s="466"/>
      <c r="G605" s="576"/>
      <c r="H605" s="576"/>
      <c r="I605" s="576"/>
      <c r="J605" s="466"/>
      <c r="K605" s="576"/>
      <c r="L605" s="466"/>
      <c r="M605" s="576"/>
      <c r="N605" s="466"/>
      <c r="O605" s="576"/>
      <c r="P605" s="576"/>
      <c r="Q605" s="576"/>
      <c r="R605" s="346"/>
      <c r="S605" s="346"/>
    </row>
    <row r="606" ht="15.75" customHeight="1">
      <c r="B606" s="591"/>
      <c r="C606" s="466"/>
      <c r="D606" s="466"/>
      <c r="E606" s="592"/>
      <c r="F606" s="466"/>
      <c r="G606" s="576"/>
      <c r="H606" s="576"/>
      <c r="I606" s="576"/>
      <c r="J606" s="466"/>
      <c r="K606" s="576"/>
      <c r="L606" s="466"/>
      <c r="M606" s="576"/>
      <c r="N606" s="466"/>
      <c r="O606" s="576"/>
      <c r="P606" s="576"/>
      <c r="Q606" s="576"/>
      <c r="R606" s="346"/>
      <c r="S606" s="346"/>
    </row>
    <row r="607" ht="15.75" customHeight="1">
      <c r="B607" s="591"/>
      <c r="C607" s="466"/>
      <c r="D607" s="466"/>
      <c r="E607" s="592"/>
      <c r="F607" s="466"/>
      <c r="G607" s="576"/>
      <c r="H607" s="576"/>
      <c r="I607" s="576"/>
      <c r="J607" s="466"/>
      <c r="K607" s="576"/>
      <c r="L607" s="466"/>
      <c r="M607" s="576"/>
      <c r="N607" s="466"/>
      <c r="O607" s="576"/>
      <c r="P607" s="576"/>
      <c r="Q607" s="576"/>
      <c r="R607" s="346"/>
      <c r="S607" s="346"/>
    </row>
    <row r="608" ht="15.75" customHeight="1">
      <c r="B608" s="591"/>
      <c r="C608" s="466"/>
      <c r="D608" s="466"/>
      <c r="E608" s="592"/>
      <c r="F608" s="466"/>
      <c r="G608" s="576"/>
      <c r="H608" s="576"/>
      <c r="I608" s="576"/>
      <c r="J608" s="466"/>
      <c r="K608" s="576"/>
      <c r="L608" s="466"/>
      <c r="M608" s="576"/>
      <c r="N608" s="466"/>
      <c r="O608" s="576"/>
      <c r="P608" s="576"/>
      <c r="Q608" s="576"/>
      <c r="R608" s="346"/>
      <c r="S608" s="346"/>
    </row>
    <row r="609" ht="15.75" customHeight="1">
      <c r="B609" s="591"/>
      <c r="C609" s="466"/>
      <c r="D609" s="466"/>
      <c r="E609" s="592"/>
      <c r="F609" s="466"/>
      <c r="G609" s="576"/>
      <c r="H609" s="576"/>
      <c r="I609" s="576"/>
      <c r="J609" s="466"/>
      <c r="K609" s="576"/>
      <c r="L609" s="466"/>
      <c r="M609" s="576"/>
      <c r="N609" s="466"/>
      <c r="O609" s="576"/>
      <c r="P609" s="576"/>
      <c r="Q609" s="576"/>
      <c r="R609" s="346"/>
      <c r="S609" s="346"/>
    </row>
    <row r="610" ht="15.75" customHeight="1">
      <c r="B610" s="591"/>
      <c r="C610" s="466"/>
      <c r="D610" s="466"/>
      <c r="E610" s="592"/>
      <c r="F610" s="466"/>
      <c r="G610" s="576"/>
      <c r="H610" s="576"/>
      <c r="I610" s="576"/>
      <c r="J610" s="466"/>
      <c r="K610" s="576"/>
      <c r="L610" s="466"/>
      <c r="M610" s="576"/>
      <c r="N610" s="466"/>
      <c r="O610" s="576"/>
      <c r="P610" s="576"/>
      <c r="Q610" s="576"/>
      <c r="R610" s="346"/>
      <c r="S610" s="346"/>
    </row>
    <row r="611" ht="15.75" customHeight="1">
      <c r="B611" s="591"/>
      <c r="C611" s="466"/>
      <c r="D611" s="466"/>
      <c r="E611" s="592"/>
      <c r="F611" s="466"/>
      <c r="G611" s="576"/>
      <c r="H611" s="576"/>
      <c r="I611" s="576"/>
      <c r="J611" s="466"/>
      <c r="K611" s="576"/>
      <c r="L611" s="466"/>
      <c r="M611" s="576"/>
      <c r="N611" s="466"/>
      <c r="O611" s="576"/>
      <c r="P611" s="576"/>
      <c r="Q611" s="576"/>
      <c r="R611" s="346"/>
      <c r="S611" s="346"/>
    </row>
    <row r="612" ht="15.75" customHeight="1">
      <c r="B612" s="591"/>
      <c r="C612" s="466"/>
      <c r="D612" s="466"/>
      <c r="E612" s="592"/>
      <c r="F612" s="466"/>
      <c r="G612" s="576"/>
      <c r="H612" s="576"/>
      <c r="I612" s="576"/>
      <c r="J612" s="466"/>
      <c r="K612" s="576"/>
      <c r="L612" s="466"/>
      <c r="M612" s="576"/>
      <c r="N612" s="466"/>
      <c r="O612" s="576"/>
      <c r="P612" s="576"/>
      <c r="Q612" s="576"/>
      <c r="R612" s="346"/>
      <c r="S612" s="346"/>
    </row>
    <row r="613" ht="15.75" customHeight="1">
      <c r="B613" s="591"/>
      <c r="C613" s="466"/>
      <c r="D613" s="466"/>
      <c r="E613" s="592"/>
      <c r="F613" s="466"/>
      <c r="G613" s="576"/>
      <c r="H613" s="576"/>
      <c r="I613" s="576"/>
      <c r="J613" s="466"/>
      <c r="K613" s="576"/>
      <c r="L613" s="466"/>
      <c r="M613" s="576"/>
      <c r="N613" s="466"/>
      <c r="O613" s="576"/>
      <c r="P613" s="576"/>
      <c r="Q613" s="576"/>
      <c r="R613" s="346"/>
      <c r="S613" s="346"/>
    </row>
    <row r="614" ht="15.75" customHeight="1">
      <c r="B614" s="591"/>
      <c r="C614" s="466"/>
      <c r="D614" s="466"/>
      <c r="E614" s="592"/>
      <c r="F614" s="466"/>
      <c r="G614" s="576"/>
      <c r="H614" s="576"/>
      <c r="I614" s="576"/>
      <c r="J614" s="466"/>
      <c r="K614" s="576"/>
      <c r="L614" s="466"/>
      <c r="M614" s="576"/>
      <c r="N614" s="466"/>
      <c r="O614" s="576"/>
      <c r="P614" s="576"/>
      <c r="Q614" s="576"/>
      <c r="R614" s="346"/>
      <c r="S614" s="346"/>
    </row>
    <row r="615" ht="15.75" customHeight="1">
      <c r="B615" s="591"/>
      <c r="C615" s="466"/>
      <c r="D615" s="466"/>
      <c r="E615" s="592"/>
      <c r="F615" s="466"/>
      <c r="G615" s="576"/>
      <c r="H615" s="576"/>
      <c r="I615" s="576"/>
      <c r="J615" s="466"/>
      <c r="K615" s="576"/>
      <c r="L615" s="466"/>
      <c r="M615" s="576"/>
      <c r="N615" s="466"/>
      <c r="O615" s="576"/>
      <c r="P615" s="576"/>
      <c r="Q615" s="576"/>
      <c r="R615" s="346"/>
      <c r="S615" s="346"/>
    </row>
    <row r="616" ht="15.75" customHeight="1">
      <c r="B616" s="591"/>
      <c r="C616" s="466"/>
      <c r="D616" s="466"/>
      <c r="E616" s="592"/>
      <c r="F616" s="466"/>
      <c r="G616" s="576"/>
      <c r="H616" s="576"/>
      <c r="I616" s="576"/>
      <c r="J616" s="466"/>
      <c r="K616" s="576"/>
      <c r="L616" s="466"/>
      <c r="M616" s="576"/>
      <c r="N616" s="466"/>
      <c r="O616" s="576"/>
      <c r="P616" s="576"/>
      <c r="Q616" s="576"/>
      <c r="R616" s="346"/>
      <c r="S616" s="346"/>
    </row>
    <row r="617" ht="15.75" customHeight="1">
      <c r="B617" s="591"/>
      <c r="C617" s="466"/>
      <c r="D617" s="466"/>
      <c r="E617" s="592"/>
      <c r="F617" s="466"/>
      <c r="G617" s="576"/>
      <c r="H617" s="576"/>
      <c r="I617" s="576"/>
      <c r="J617" s="466"/>
      <c r="K617" s="576"/>
      <c r="L617" s="466"/>
      <c r="M617" s="576"/>
      <c r="N617" s="466"/>
      <c r="O617" s="576"/>
      <c r="P617" s="576"/>
      <c r="Q617" s="576"/>
      <c r="R617" s="346"/>
      <c r="S617" s="346"/>
    </row>
    <row r="618" ht="15.75" customHeight="1">
      <c r="B618" s="591"/>
      <c r="C618" s="466"/>
      <c r="D618" s="466"/>
      <c r="E618" s="592"/>
      <c r="F618" s="466"/>
      <c r="G618" s="576"/>
      <c r="H618" s="576"/>
      <c r="I618" s="576"/>
      <c r="J618" s="466"/>
      <c r="K618" s="576"/>
      <c r="L618" s="466"/>
      <c r="M618" s="576"/>
      <c r="N618" s="466"/>
      <c r="O618" s="576"/>
      <c r="P618" s="576"/>
      <c r="Q618" s="576"/>
      <c r="R618" s="346"/>
      <c r="S618" s="346"/>
    </row>
    <row r="619" ht="15.75" customHeight="1">
      <c r="B619" s="591"/>
      <c r="C619" s="466"/>
      <c r="D619" s="466"/>
      <c r="E619" s="592"/>
      <c r="F619" s="466"/>
      <c r="G619" s="576"/>
      <c r="H619" s="576"/>
      <c r="I619" s="576"/>
      <c r="J619" s="466"/>
      <c r="K619" s="576"/>
      <c r="L619" s="466"/>
      <c r="M619" s="576"/>
      <c r="N619" s="466"/>
      <c r="O619" s="576"/>
      <c r="P619" s="576"/>
      <c r="Q619" s="576"/>
      <c r="R619" s="346"/>
      <c r="S619" s="346"/>
    </row>
    <row r="620" ht="15.75" customHeight="1">
      <c r="B620" s="591"/>
      <c r="C620" s="466"/>
      <c r="D620" s="466"/>
      <c r="E620" s="592"/>
      <c r="F620" s="466"/>
      <c r="G620" s="576"/>
      <c r="H620" s="576"/>
      <c r="I620" s="576"/>
      <c r="J620" s="466"/>
      <c r="K620" s="576"/>
      <c r="L620" s="466"/>
      <c r="M620" s="576"/>
      <c r="N620" s="466"/>
      <c r="O620" s="576"/>
      <c r="P620" s="576"/>
      <c r="Q620" s="576"/>
      <c r="R620" s="346"/>
      <c r="S620" s="346"/>
    </row>
    <row r="621" ht="15.75" customHeight="1">
      <c r="B621" s="591"/>
      <c r="C621" s="466"/>
      <c r="D621" s="466"/>
      <c r="E621" s="592"/>
      <c r="F621" s="466"/>
      <c r="G621" s="576"/>
      <c r="H621" s="576"/>
      <c r="I621" s="576"/>
      <c r="J621" s="466"/>
      <c r="K621" s="576"/>
      <c r="L621" s="466"/>
      <c r="M621" s="576"/>
      <c r="N621" s="466"/>
      <c r="O621" s="576"/>
      <c r="P621" s="576"/>
      <c r="Q621" s="576"/>
      <c r="R621" s="346"/>
      <c r="S621" s="346"/>
    </row>
    <row r="622" ht="15.75" customHeight="1">
      <c r="B622" s="591"/>
      <c r="C622" s="466"/>
      <c r="D622" s="466"/>
      <c r="E622" s="592"/>
      <c r="F622" s="466"/>
      <c r="G622" s="576"/>
      <c r="H622" s="576"/>
      <c r="I622" s="576"/>
      <c r="J622" s="466"/>
      <c r="K622" s="576"/>
      <c r="L622" s="466"/>
      <c r="M622" s="576"/>
      <c r="N622" s="466"/>
      <c r="O622" s="576"/>
      <c r="P622" s="576"/>
      <c r="Q622" s="576"/>
      <c r="R622" s="346"/>
      <c r="S622" s="346"/>
    </row>
    <row r="623" ht="15.75" customHeight="1">
      <c r="B623" s="591"/>
      <c r="C623" s="466"/>
      <c r="D623" s="466"/>
      <c r="E623" s="592"/>
      <c r="F623" s="466"/>
      <c r="G623" s="576"/>
      <c r="H623" s="576"/>
      <c r="I623" s="576"/>
      <c r="J623" s="466"/>
      <c r="K623" s="576"/>
      <c r="L623" s="466"/>
      <c r="M623" s="576"/>
      <c r="N623" s="466"/>
      <c r="O623" s="576"/>
      <c r="P623" s="576"/>
      <c r="Q623" s="576"/>
      <c r="R623" s="346"/>
      <c r="S623" s="346"/>
    </row>
    <row r="624" ht="15.75" customHeight="1">
      <c r="B624" s="591"/>
      <c r="C624" s="466"/>
      <c r="D624" s="466"/>
      <c r="E624" s="592"/>
      <c r="F624" s="466"/>
      <c r="G624" s="576"/>
      <c r="H624" s="576"/>
      <c r="I624" s="576"/>
      <c r="J624" s="466"/>
      <c r="K624" s="576"/>
      <c r="L624" s="466"/>
      <c r="M624" s="576"/>
      <c r="N624" s="466"/>
      <c r="O624" s="576"/>
      <c r="P624" s="576"/>
      <c r="Q624" s="576"/>
      <c r="R624" s="346"/>
      <c r="S624" s="346"/>
    </row>
    <row r="625" ht="15.75" customHeight="1">
      <c r="B625" s="591"/>
      <c r="C625" s="466"/>
      <c r="D625" s="466"/>
      <c r="E625" s="592"/>
      <c r="F625" s="466"/>
      <c r="G625" s="576"/>
      <c r="H625" s="576"/>
      <c r="I625" s="576"/>
      <c r="J625" s="466"/>
      <c r="K625" s="576"/>
      <c r="L625" s="466"/>
      <c r="M625" s="576"/>
      <c r="N625" s="466"/>
      <c r="O625" s="576"/>
      <c r="P625" s="576"/>
      <c r="Q625" s="576"/>
      <c r="R625" s="346"/>
      <c r="S625" s="346"/>
    </row>
    <row r="626" ht="15.75" customHeight="1">
      <c r="B626" s="591"/>
      <c r="C626" s="466"/>
      <c r="D626" s="466"/>
      <c r="E626" s="592"/>
      <c r="F626" s="466"/>
      <c r="G626" s="576"/>
      <c r="H626" s="576"/>
      <c r="I626" s="576"/>
      <c r="J626" s="466"/>
      <c r="K626" s="576"/>
      <c r="L626" s="466"/>
      <c r="M626" s="576"/>
      <c r="N626" s="466"/>
      <c r="O626" s="576"/>
      <c r="P626" s="576"/>
      <c r="Q626" s="576"/>
      <c r="R626" s="346"/>
      <c r="S626" s="346"/>
    </row>
    <row r="627" ht="15.75" customHeight="1">
      <c r="B627" s="591"/>
      <c r="C627" s="466"/>
      <c r="D627" s="466"/>
      <c r="E627" s="592"/>
      <c r="F627" s="466"/>
      <c r="G627" s="576"/>
      <c r="H627" s="576"/>
      <c r="I627" s="576"/>
      <c r="J627" s="466"/>
      <c r="K627" s="576"/>
      <c r="L627" s="466"/>
      <c r="M627" s="576"/>
      <c r="N627" s="466"/>
      <c r="O627" s="576"/>
      <c r="P627" s="576"/>
      <c r="Q627" s="576"/>
      <c r="R627" s="346"/>
      <c r="S627" s="346"/>
    </row>
    <row r="628" ht="15.75" customHeight="1">
      <c r="B628" s="591"/>
      <c r="C628" s="466"/>
      <c r="D628" s="466"/>
      <c r="E628" s="592"/>
      <c r="F628" s="466"/>
      <c r="G628" s="576"/>
      <c r="H628" s="576"/>
      <c r="I628" s="576"/>
      <c r="J628" s="466"/>
      <c r="K628" s="576"/>
      <c r="L628" s="466"/>
      <c r="M628" s="576"/>
      <c r="N628" s="466"/>
      <c r="O628" s="576"/>
      <c r="P628" s="576"/>
      <c r="Q628" s="576"/>
      <c r="R628" s="346"/>
      <c r="S628" s="346"/>
    </row>
    <row r="629" ht="15.75" customHeight="1">
      <c r="B629" s="591"/>
      <c r="C629" s="466"/>
      <c r="D629" s="466"/>
      <c r="E629" s="592"/>
      <c r="F629" s="466"/>
      <c r="G629" s="576"/>
      <c r="H629" s="576"/>
      <c r="I629" s="576"/>
      <c r="J629" s="466"/>
      <c r="K629" s="576"/>
      <c r="L629" s="466"/>
      <c r="M629" s="576"/>
      <c r="N629" s="466"/>
      <c r="O629" s="576"/>
      <c r="P629" s="576"/>
      <c r="Q629" s="576"/>
      <c r="R629" s="346"/>
      <c r="S629" s="346"/>
    </row>
    <row r="630" ht="15.75" customHeight="1">
      <c r="B630" s="591"/>
      <c r="C630" s="466"/>
      <c r="D630" s="466"/>
      <c r="E630" s="592"/>
      <c r="F630" s="466"/>
      <c r="G630" s="576"/>
      <c r="H630" s="576"/>
      <c r="I630" s="576"/>
      <c r="J630" s="466"/>
      <c r="K630" s="576"/>
      <c r="L630" s="466"/>
      <c r="M630" s="576"/>
      <c r="N630" s="466"/>
      <c r="O630" s="576"/>
      <c r="P630" s="576"/>
      <c r="Q630" s="576"/>
      <c r="R630" s="346"/>
      <c r="S630" s="346"/>
    </row>
    <row r="631" ht="15.75" customHeight="1">
      <c r="B631" s="591"/>
      <c r="C631" s="466"/>
      <c r="D631" s="466"/>
      <c r="E631" s="592"/>
      <c r="F631" s="466"/>
      <c r="G631" s="576"/>
      <c r="H631" s="576"/>
      <c r="I631" s="576"/>
      <c r="J631" s="466"/>
      <c r="K631" s="576"/>
      <c r="L631" s="466"/>
      <c r="M631" s="576"/>
      <c r="N631" s="466"/>
      <c r="O631" s="576"/>
      <c r="P631" s="576"/>
      <c r="Q631" s="576"/>
      <c r="R631" s="346"/>
      <c r="S631" s="346"/>
    </row>
    <row r="632" ht="15.75" customHeight="1">
      <c r="B632" s="591"/>
      <c r="C632" s="466"/>
      <c r="D632" s="466"/>
      <c r="E632" s="592"/>
      <c r="F632" s="466"/>
      <c r="G632" s="576"/>
      <c r="H632" s="576"/>
      <c r="I632" s="576"/>
      <c r="J632" s="466"/>
      <c r="K632" s="576"/>
      <c r="L632" s="466"/>
      <c r="M632" s="576"/>
      <c r="N632" s="466"/>
      <c r="O632" s="576"/>
      <c r="P632" s="576"/>
      <c r="Q632" s="576"/>
      <c r="R632" s="346"/>
      <c r="S632" s="346"/>
    </row>
    <row r="633" ht="15.75" customHeight="1">
      <c r="B633" s="591"/>
      <c r="C633" s="466"/>
      <c r="D633" s="466"/>
      <c r="E633" s="592"/>
      <c r="F633" s="466"/>
      <c r="G633" s="576"/>
      <c r="H633" s="576"/>
      <c r="I633" s="576"/>
      <c r="J633" s="466"/>
      <c r="K633" s="576"/>
      <c r="L633" s="466"/>
      <c r="M633" s="576"/>
      <c r="N633" s="466"/>
      <c r="O633" s="576"/>
      <c r="P633" s="576"/>
      <c r="Q633" s="576"/>
      <c r="R633" s="346"/>
      <c r="S633" s="346"/>
    </row>
    <row r="634" ht="15.75" customHeight="1">
      <c r="B634" s="591"/>
      <c r="C634" s="466"/>
      <c r="D634" s="466"/>
      <c r="E634" s="592"/>
      <c r="F634" s="466"/>
      <c r="G634" s="576"/>
      <c r="H634" s="576"/>
      <c r="I634" s="576"/>
      <c r="J634" s="466"/>
      <c r="K634" s="576"/>
      <c r="L634" s="466"/>
      <c r="M634" s="576"/>
      <c r="N634" s="466"/>
      <c r="O634" s="576"/>
      <c r="P634" s="576"/>
      <c r="Q634" s="576"/>
      <c r="R634" s="346"/>
      <c r="S634" s="346"/>
    </row>
    <row r="635" ht="15.75" customHeight="1">
      <c r="B635" s="591"/>
      <c r="C635" s="466"/>
      <c r="D635" s="466"/>
      <c r="E635" s="592"/>
      <c r="F635" s="466"/>
      <c r="G635" s="576"/>
      <c r="H635" s="576"/>
      <c r="I635" s="576"/>
      <c r="J635" s="466"/>
      <c r="K635" s="576"/>
      <c r="L635" s="466"/>
      <c r="M635" s="576"/>
      <c r="N635" s="466"/>
      <c r="O635" s="576"/>
      <c r="P635" s="576"/>
      <c r="Q635" s="576"/>
      <c r="R635" s="346"/>
      <c r="S635" s="346"/>
    </row>
    <row r="636" ht="15.75" customHeight="1">
      <c r="B636" s="591"/>
      <c r="C636" s="466"/>
      <c r="D636" s="466"/>
      <c r="E636" s="592"/>
      <c r="F636" s="466"/>
      <c r="G636" s="576"/>
      <c r="H636" s="576"/>
      <c r="I636" s="576"/>
      <c r="J636" s="466"/>
      <c r="K636" s="576"/>
      <c r="L636" s="466"/>
      <c r="M636" s="576"/>
      <c r="N636" s="466"/>
      <c r="O636" s="576"/>
      <c r="P636" s="576"/>
      <c r="Q636" s="576"/>
      <c r="R636" s="346"/>
      <c r="S636" s="346"/>
    </row>
    <row r="637" ht="15.75" customHeight="1">
      <c r="B637" s="591"/>
      <c r="C637" s="466"/>
      <c r="D637" s="466"/>
      <c r="E637" s="592"/>
      <c r="F637" s="466"/>
      <c r="G637" s="576"/>
      <c r="H637" s="576"/>
      <c r="I637" s="576"/>
      <c r="J637" s="466"/>
      <c r="K637" s="576"/>
      <c r="L637" s="466"/>
      <c r="M637" s="576"/>
      <c r="N637" s="466"/>
      <c r="O637" s="576"/>
      <c r="P637" s="576"/>
      <c r="Q637" s="576"/>
      <c r="R637" s="346"/>
      <c r="S637" s="346"/>
    </row>
    <row r="638" ht="15.75" customHeight="1">
      <c r="B638" s="591"/>
      <c r="C638" s="466"/>
      <c r="D638" s="466"/>
      <c r="E638" s="592"/>
      <c r="F638" s="466"/>
      <c r="G638" s="576"/>
      <c r="H638" s="576"/>
      <c r="I638" s="576"/>
      <c r="J638" s="466"/>
      <c r="K638" s="576"/>
      <c r="L638" s="466"/>
      <c r="M638" s="576"/>
      <c r="N638" s="466"/>
      <c r="O638" s="576"/>
      <c r="P638" s="576"/>
      <c r="Q638" s="576"/>
      <c r="R638" s="346"/>
      <c r="S638" s="346"/>
    </row>
    <row r="639" ht="15.75" customHeight="1">
      <c r="B639" s="591"/>
      <c r="C639" s="466"/>
      <c r="D639" s="466"/>
      <c r="E639" s="592"/>
      <c r="F639" s="466"/>
      <c r="G639" s="576"/>
      <c r="H639" s="576"/>
      <c r="I639" s="576"/>
      <c r="J639" s="466"/>
      <c r="K639" s="576"/>
      <c r="L639" s="466"/>
      <c r="M639" s="576"/>
      <c r="N639" s="466"/>
      <c r="O639" s="576"/>
      <c r="P639" s="576"/>
      <c r="Q639" s="576"/>
      <c r="R639" s="346"/>
      <c r="S639" s="346"/>
    </row>
    <row r="640" ht="15.75" customHeight="1">
      <c r="B640" s="591"/>
      <c r="C640" s="466"/>
      <c r="D640" s="466"/>
      <c r="E640" s="592"/>
      <c r="F640" s="466"/>
      <c r="G640" s="576"/>
      <c r="H640" s="576"/>
      <c r="I640" s="576"/>
      <c r="J640" s="466"/>
      <c r="K640" s="576"/>
      <c r="L640" s="466"/>
      <c r="M640" s="576"/>
      <c r="N640" s="466"/>
      <c r="O640" s="576"/>
      <c r="P640" s="576"/>
      <c r="Q640" s="576"/>
      <c r="R640" s="346"/>
      <c r="S640" s="346"/>
    </row>
    <row r="641" ht="15.75" customHeight="1">
      <c r="B641" s="591"/>
      <c r="C641" s="466"/>
      <c r="D641" s="466"/>
      <c r="E641" s="592"/>
      <c r="F641" s="466"/>
      <c r="G641" s="576"/>
      <c r="H641" s="576"/>
      <c r="I641" s="576"/>
      <c r="J641" s="466"/>
      <c r="K641" s="576"/>
      <c r="L641" s="466"/>
      <c r="M641" s="576"/>
      <c r="N641" s="466"/>
      <c r="O641" s="576"/>
      <c r="P641" s="576"/>
      <c r="Q641" s="576"/>
      <c r="R641" s="346"/>
      <c r="S641" s="346"/>
    </row>
    <row r="642" ht="15.75" customHeight="1">
      <c r="B642" s="591"/>
      <c r="C642" s="466"/>
      <c r="D642" s="466"/>
      <c r="E642" s="592"/>
      <c r="F642" s="466"/>
      <c r="G642" s="576"/>
      <c r="H642" s="576"/>
      <c r="I642" s="576"/>
      <c r="J642" s="466"/>
      <c r="K642" s="576"/>
      <c r="L642" s="466"/>
      <c r="M642" s="576"/>
      <c r="N642" s="466"/>
      <c r="O642" s="576"/>
      <c r="P642" s="576"/>
      <c r="Q642" s="576"/>
      <c r="R642" s="346"/>
      <c r="S642" s="346"/>
    </row>
    <row r="643" ht="15.75" customHeight="1">
      <c r="B643" s="591"/>
      <c r="C643" s="466"/>
      <c r="D643" s="466"/>
      <c r="E643" s="592"/>
      <c r="F643" s="466"/>
      <c r="G643" s="576"/>
      <c r="H643" s="576"/>
      <c r="I643" s="576"/>
      <c r="J643" s="466"/>
      <c r="K643" s="576"/>
      <c r="L643" s="466"/>
      <c r="M643" s="576"/>
      <c r="N643" s="466"/>
      <c r="O643" s="576"/>
      <c r="P643" s="576"/>
      <c r="Q643" s="576"/>
      <c r="R643" s="346"/>
      <c r="S643" s="346"/>
    </row>
    <row r="644" ht="15.75" customHeight="1">
      <c r="B644" s="591"/>
      <c r="C644" s="466"/>
      <c r="D644" s="466"/>
      <c r="E644" s="592"/>
      <c r="F644" s="466"/>
      <c r="G644" s="576"/>
      <c r="H644" s="576"/>
      <c r="I644" s="576"/>
      <c r="J644" s="466"/>
      <c r="K644" s="576"/>
      <c r="L644" s="466"/>
      <c r="M644" s="576"/>
      <c r="N644" s="466"/>
      <c r="O644" s="576"/>
      <c r="P644" s="576"/>
      <c r="Q644" s="576"/>
      <c r="R644" s="346"/>
      <c r="S644" s="346"/>
    </row>
    <row r="645" ht="15.75" customHeight="1">
      <c r="B645" s="591"/>
      <c r="C645" s="466"/>
      <c r="D645" s="466"/>
      <c r="E645" s="592"/>
      <c r="F645" s="466"/>
      <c r="G645" s="576"/>
      <c r="H645" s="576"/>
      <c r="I645" s="576"/>
      <c r="J645" s="466"/>
      <c r="K645" s="576"/>
      <c r="L645" s="466"/>
      <c r="M645" s="576"/>
      <c r="N645" s="466"/>
      <c r="O645" s="576"/>
      <c r="P645" s="576"/>
      <c r="Q645" s="576"/>
      <c r="R645" s="346"/>
      <c r="S645" s="346"/>
    </row>
    <row r="646" ht="15.75" customHeight="1">
      <c r="B646" s="591"/>
      <c r="C646" s="466"/>
      <c r="D646" s="466"/>
      <c r="E646" s="592"/>
      <c r="F646" s="466"/>
      <c r="G646" s="576"/>
      <c r="H646" s="576"/>
      <c r="I646" s="576"/>
      <c r="J646" s="466"/>
      <c r="K646" s="576"/>
      <c r="L646" s="466"/>
      <c r="M646" s="576"/>
      <c r="N646" s="466"/>
      <c r="O646" s="576"/>
      <c r="P646" s="576"/>
      <c r="Q646" s="576"/>
      <c r="R646" s="346"/>
      <c r="S646" s="346"/>
    </row>
    <row r="647" ht="15.75" customHeight="1">
      <c r="B647" s="591"/>
      <c r="C647" s="466"/>
      <c r="D647" s="466"/>
      <c r="E647" s="592"/>
      <c r="F647" s="466"/>
      <c r="G647" s="576"/>
      <c r="H647" s="576"/>
      <c r="I647" s="576"/>
      <c r="J647" s="466"/>
      <c r="K647" s="576"/>
      <c r="L647" s="466"/>
      <c r="M647" s="576"/>
      <c r="N647" s="466"/>
      <c r="O647" s="576"/>
      <c r="P647" s="576"/>
      <c r="Q647" s="576"/>
      <c r="R647" s="346"/>
      <c r="S647" s="346"/>
    </row>
    <row r="648" ht="15.75" customHeight="1">
      <c r="B648" s="591"/>
      <c r="C648" s="466"/>
      <c r="D648" s="466"/>
      <c r="E648" s="592"/>
      <c r="F648" s="466"/>
      <c r="G648" s="576"/>
      <c r="H648" s="576"/>
      <c r="I648" s="576"/>
      <c r="J648" s="466"/>
      <c r="K648" s="576"/>
      <c r="L648" s="466"/>
      <c r="M648" s="576"/>
      <c r="N648" s="466"/>
      <c r="O648" s="576"/>
      <c r="P648" s="576"/>
      <c r="Q648" s="576"/>
      <c r="R648" s="346"/>
      <c r="S648" s="346"/>
    </row>
    <row r="649" ht="15.75" customHeight="1">
      <c r="B649" s="591"/>
      <c r="C649" s="466"/>
      <c r="D649" s="466"/>
      <c r="E649" s="592"/>
      <c r="F649" s="466"/>
      <c r="G649" s="576"/>
      <c r="H649" s="576"/>
      <c r="I649" s="576"/>
      <c r="J649" s="466"/>
      <c r="K649" s="576"/>
      <c r="L649" s="466"/>
      <c r="M649" s="576"/>
      <c r="N649" s="466"/>
      <c r="O649" s="576"/>
      <c r="P649" s="576"/>
      <c r="Q649" s="576"/>
      <c r="R649" s="346"/>
      <c r="S649" s="346"/>
    </row>
    <row r="650" ht="15.75" customHeight="1">
      <c r="B650" s="591"/>
      <c r="C650" s="466"/>
      <c r="D650" s="466"/>
      <c r="E650" s="592"/>
      <c r="F650" s="466"/>
      <c r="G650" s="576"/>
      <c r="H650" s="576"/>
      <c r="I650" s="576"/>
      <c r="J650" s="466"/>
      <c r="K650" s="576"/>
      <c r="L650" s="466"/>
      <c r="M650" s="576"/>
      <c r="N650" s="466"/>
      <c r="O650" s="576"/>
      <c r="P650" s="576"/>
      <c r="Q650" s="576"/>
      <c r="R650" s="346"/>
      <c r="S650" s="346"/>
    </row>
    <row r="651" ht="15.75" customHeight="1">
      <c r="B651" s="591"/>
      <c r="C651" s="466"/>
      <c r="D651" s="466"/>
      <c r="E651" s="592"/>
      <c r="F651" s="466"/>
      <c r="G651" s="576"/>
      <c r="H651" s="576"/>
      <c r="I651" s="576"/>
      <c r="J651" s="466"/>
      <c r="K651" s="576"/>
      <c r="L651" s="466"/>
      <c r="M651" s="576"/>
      <c r="N651" s="466"/>
      <c r="O651" s="576"/>
      <c r="P651" s="576"/>
      <c r="Q651" s="576"/>
      <c r="R651" s="346"/>
      <c r="S651" s="346"/>
    </row>
    <row r="652" ht="15.75" customHeight="1">
      <c r="B652" s="591"/>
      <c r="C652" s="466"/>
      <c r="D652" s="466"/>
      <c r="E652" s="592"/>
      <c r="F652" s="466"/>
      <c r="G652" s="576"/>
      <c r="H652" s="576"/>
      <c r="I652" s="576"/>
      <c r="J652" s="466"/>
      <c r="K652" s="576"/>
      <c r="L652" s="466"/>
      <c r="M652" s="576"/>
      <c r="N652" s="466"/>
      <c r="O652" s="576"/>
      <c r="P652" s="576"/>
      <c r="Q652" s="576"/>
      <c r="R652" s="346"/>
      <c r="S652" s="346"/>
    </row>
    <row r="653" ht="15.75" customHeight="1">
      <c r="B653" s="591"/>
      <c r="C653" s="466"/>
      <c r="D653" s="466"/>
      <c r="E653" s="592"/>
      <c r="F653" s="466"/>
      <c r="G653" s="576"/>
      <c r="H653" s="576"/>
      <c r="I653" s="576"/>
      <c r="J653" s="466"/>
      <c r="K653" s="576"/>
      <c r="L653" s="466"/>
      <c r="M653" s="576"/>
      <c r="N653" s="466"/>
      <c r="O653" s="576"/>
      <c r="P653" s="576"/>
      <c r="Q653" s="576"/>
      <c r="R653" s="346"/>
      <c r="S653" s="346"/>
    </row>
    <row r="654" ht="15.75" customHeight="1">
      <c r="B654" s="591"/>
      <c r="C654" s="466"/>
      <c r="D654" s="466"/>
      <c r="E654" s="592"/>
      <c r="F654" s="466"/>
      <c r="G654" s="576"/>
      <c r="H654" s="576"/>
      <c r="I654" s="576"/>
      <c r="J654" s="466"/>
      <c r="K654" s="576"/>
      <c r="L654" s="466"/>
      <c r="M654" s="576"/>
      <c r="N654" s="466"/>
      <c r="O654" s="576"/>
      <c r="P654" s="576"/>
      <c r="Q654" s="576"/>
      <c r="R654" s="346"/>
      <c r="S654" s="346"/>
    </row>
    <row r="655" ht="15.75" customHeight="1">
      <c r="B655" s="591"/>
      <c r="C655" s="466"/>
      <c r="D655" s="466"/>
      <c r="E655" s="592"/>
      <c r="F655" s="466"/>
      <c r="G655" s="576"/>
      <c r="H655" s="576"/>
      <c r="I655" s="576"/>
      <c r="J655" s="466"/>
      <c r="K655" s="576"/>
      <c r="L655" s="466"/>
      <c r="M655" s="576"/>
      <c r="N655" s="466"/>
      <c r="O655" s="576"/>
      <c r="P655" s="576"/>
      <c r="Q655" s="576"/>
      <c r="R655" s="346"/>
      <c r="S655" s="346"/>
    </row>
    <row r="656" ht="15.75" customHeight="1">
      <c r="B656" s="591"/>
      <c r="C656" s="466"/>
      <c r="D656" s="466"/>
      <c r="E656" s="592"/>
      <c r="F656" s="466"/>
      <c r="G656" s="576"/>
      <c r="H656" s="576"/>
      <c r="I656" s="576"/>
      <c r="J656" s="466"/>
      <c r="K656" s="576"/>
      <c r="L656" s="466"/>
      <c r="M656" s="576"/>
      <c r="N656" s="466"/>
      <c r="O656" s="576"/>
      <c r="P656" s="576"/>
      <c r="Q656" s="576"/>
      <c r="R656" s="346"/>
      <c r="S656" s="346"/>
    </row>
    <row r="657" ht="15.75" customHeight="1">
      <c r="B657" s="591"/>
      <c r="C657" s="466"/>
      <c r="D657" s="466"/>
      <c r="E657" s="592"/>
      <c r="F657" s="466"/>
      <c r="G657" s="576"/>
      <c r="H657" s="576"/>
      <c r="I657" s="576"/>
      <c r="J657" s="466"/>
      <c r="K657" s="576"/>
      <c r="L657" s="466"/>
      <c r="M657" s="576"/>
      <c r="N657" s="466"/>
      <c r="O657" s="576"/>
      <c r="P657" s="576"/>
      <c r="Q657" s="576"/>
      <c r="R657" s="346"/>
      <c r="S657" s="346"/>
    </row>
    <row r="658" ht="15.75" customHeight="1">
      <c r="B658" s="591"/>
      <c r="C658" s="466"/>
      <c r="D658" s="466"/>
      <c r="E658" s="592"/>
      <c r="F658" s="466"/>
      <c r="G658" s="576"/>
      <c r="H658" s="576"/>
      <c r="I658" s="576"/>
      <c r="J658" s="466"/>
      <c r="K658" s="576"/>
      <c r="L658" s="466"/>
      <c r="M658" s="576"/>
      <c r="N658" s="466"/>
      <c r="O658" s="576"/>
      <c r="P658" s="576"/>
      <c r="Q658" s="576"/>
      <c r="R658" s="346"/>
      <c r="S658" s="346"/>
    </row>
    <row r="659" ht="15.75" customHeight="1">
      <c r="B659" s="591"/>
      <c r="C659" s="466"/>
      <c r="D659" s="466"/>
      <c r="E659" s="592"/>
      <c r="F659" s="466"/>
      <c r="G659" s="576"/>
      <c r="H659" s="576"/>
      <c r="I659" s="576"/>
      <c r="J659" s="466"/>
      <c r="K659" s="576"/>
      <c r="L659" s="466"/>
      <c r="M659" s="576"/>
      <c r="N659" s="466"/>
      <c r="O659" s="576"/>
      <c r="P659" s="576"/>
      <c r="Q659" s="576"/>
      <c r="R659" s="346"/>
      <c r="S659" s="346"/>
    </row>
    <row r="660" ht="15.75" customHeight="1">
      <c r="B660" s="591"/>
      <c r="C660" s="466"/>
      <c r="D660" s="466"/>
      <c r="E660" s="592"/>
      <c r="F660" s="466"/>
      <c r="G660" s="576"/>
      <c r="H660" s="576"/>
      <c r="I660" s="576"/>
      <c r="J660" s="466"/>
      <c r="K660" s="576"/>
      <c r="L660" s="466"/>
      <c r="M660" s="576"/>
      <c r="N660" s="466"/>
      <c r="O660" s="576"/>
      <c r="P660" s="576"/>
      <c r="Q660" s="576"/>
      <c r="R660" s="346"/>
      <c r="S660" s="346"/>
    </row>
    <row r="661" ht="15.75" customHeight="1">
      <c r="B661" s="591"/>
      <c r="C661" s="466"/>
      <c r="D661" s="466"/>
      <c r="E661" s="592"/>
      <c r="F661" s="466"/>
      <c r="G661" s="576"/>
      <c r="H661" s="576"/>
      <c r="I661" s="576"/>
      <c r="J661" s="466"/>
      <c r="K661" s="576"/>
      <c r="L661" s="466"/>
      <c r="M661" s="576"/>
      <c r="N661" s="466"/>
      <c r="O661" s="576"/>
      <c r="P661" s="576"/>
      <c r="Q661" s="576"/>
      <c r="R661" s="346"/>
      <c r="S661" s="346"/>
    </row>
    <row r="662" ht="15.75" customHeight="1">
      <c r="B662" s="591"/>
      <c r="C662" s="466"/>
      <c r="D662" s="466"/>
      <c r="E662" s="592"/>
      <c r="F662" s="466"/>
      <c r="G662" s="576"/>
      <c r="H662" s="576"/>
      <c r="I662" s="576"/>
      <c r="J662" s="466"/>
      <c r="K662" s="576"/>
      <c r="L662" s="466"/>
      <c r="M662" s="576"/>
      <c r="N662" s="466"/>
      <c r="O662" s="576"/>
      <c r="P662" s="576"/>
      <c r="Q662" s="576"/>
      <c r="R662" s="346"/>
      <c r="S662" s="346"/>
    </row>
    <row r="663" ht="15.75" customHeight="1">
      <c r="B663" s="591"/>
      <c r="C663" s="466"/>
      <c r="D663" s="466"/>
      <c r="E663" s="592"/>
      <c r="F663" s="466"/>
      <c r="G663" s="576"/>
      <c r="H663" s="576"/>
      <c r="I663" s="576"/>
      <c r="J663" s="466"/>
      <c r="K663" s="576"/>
      <c r="L663" s="466"/>
      <c r="M663" s="576"/>
      <c r="N663" s="466"/>
      <c r="O663" s="576"/>
      <c r="P663" s="576"/>
      <c r="Q663" s="576"/>
      <c r="R663" s="346"/>
      <c r="S663" s="346"/>
    </row>
    <row r="664" ht="15.75" customHeight="1">
      <c r="B664" s="591"/>
      <c r="C664" s="466"/>
      <c r="D664" s="466"/>
      <c r="E664" s="592"/>
      <c r="F664" s="466"/>
      <c r="G664" s="576"/>
      <c r="H664" s="576"/>
      <c r="I664" s="576"/>
      <c r="J664" s="466"/>
      <c r="K664" s="576"/>
      <c r="L664" s="466"/>
      <c r="M664" s="576"/>
      <c r="N664" s="466"/>
      <c r="O664" s="576"/>
      <c r="P664" s="576"/>
      <c r="Q664" s="576"/>
      <c r="R664" s="346"/>
      <c r="S664" s="346"/>
    </row>
    <row r="665" ht="15.75" customHeight="1">
      <c r="B665" s="591"/>
      <c r="C665" s="466"/>
      <c r="D665" s="466"/>
      <c r="E665" s="592"/>
      <c r="F665" s="466"/>
      <c r="G665" s="576"/>
      <c r="H665" s="576"/>
      <c r="I665" s="576"/>
      <c r="J665" s="466"/>
      <c r="K665" s="576"/>
      <c r="L665" s="466"/>
      <c r="M665" s="576"/>
      <c r="N665" s="466"/>
      <c r="O665" s="576"/>
      <c r="P665" s="576"/>
      <c r="Q665" s="576"/>
      <c r="R665" s="346"/>
      <c r="S665" s="346"/>
    </row>
    <row r="666" ht="15.75" customHeight="1">
      <c r="B666" s="591"/>
      <c r="C666" s="466"/>
      <c r="D666" s="466"/>
      <c r="E666" s="592"/>
      <c r="F666" s="466"/>
      <c r="G666" s="576"/>
      <c r="H666" s="576"/>
      <c r="I666" s="576"/>
      <c r="J666" s="466"/>
      <c r="K666" s="576"/>
      <c r="L666" s="466"/>
      <c r="M666" s="576"/>
      <c r="N666" s="466"/>
      <c r="O666" s="576"/>
      <c r="P666" s="576"/>
      <c r="Q666" s="576"/>
      <c r="R666" s="346"/>
      <c r="S666" s="346"/>
    </row>
    <row r="667" ht="15.75" customHeight="1">
      <c r="B667" s="591"/>
      <c r="C667" s="466"/>
      <c r="D667" s="466"/>
      <c r="E667" s="592"/>
      <c r="F667" s="466"/>
      <c r="G667" s="576"/>
      <c r="H667" s="576"/>
      <c r="I667" s="576"/>
      <c r="J667" s="466"/>
      <c r="K667" s="576"/>
      <c r="L667" s="466"/>
      <c r="M667" s="576"/>
      <c r="N667" s="466"/>
      <c r="O667" s="576"/>
      <c r="P667" s="576"/>
      <c r="Q667" s="576"/>
      <c r="R667" s="346"/>
      <c r="S667" s="346"/>
    </row>
    <row r="668" ht="15.75" customHeight="1">
      <c r="B668" s="591"/>
      <c r="C668" s="466"/>
      <c r="D668" s="466"/>
      <c r="E668" s="592"/>
      <c r="F668" s="466"/>
      <c r="G668" s="576"/>
      <c r="H668" s="576"/>
      <c r="I668" s="576"/>
      <c r="J668" s="466"/>
      <c r="K668" s="576"/>
      <c r="L668" s="466"/>
      <c r="M668" s="576"/>
      <c r="N668" s="466"/>
      <c r="O668" s="576"/>
      <c r="P668" s="576"/>
      <c r="Q668" s="576"/>
      <c r="R668" s="346"/>
      <c r="S668" s="346"/>
    </row>
    <row r="669" ht="15.75" customHeight="1">
      <c r="B669" s="591"/>
      <c r="C669" s="466"/>
      <c r="D669" s="466"/>
      <c r="E669" s="592"/>
      <c r="F669" s="466"/>
      <c r="G669" s="576"/>
      <c r="H669" s="576"/>
      <c r="I669" s="576"/>
      <c r="J669" s="466"/>
      <c r="K669" s="576"/>
      <c r="L669" s="466"/>
      <c r="M669" s="576"/>
      <c r="N669" s="466"/>
      <c r="O669" s="576"/>
      <c r="P669" s="576"/>
      <c r="Q669" s="576"/>
      <c r="R669" s="346"/>
      <c r="S669" s="346"/>
    </row>
    <row r="670" ht="15.75" customHeight="1">
      <c r="B670" s="591"/>
      <c r="C670" s="466"/>
      <c r="D670" s="466"/>
      <c r="E670" s="592"/>
      <c r="F670" s="466"/>
      <c r="G670" s="576"/>
      <c r="H670" s="576"/>
      <c r="I670" s="576"/>
      <c r="J670" s="466"/>
      <c r="K670" s="576"/>
      <c r="L670" s="466"/>
      <c r="M670" s="576"/>
      <c r="N670" s="466"/>
      <c r="O670" s="576"/>
      <c r="P670" s="576"/>
      <c r="Q670" s="576"/>
      <c r="R670" s="346"/>
      <c r="S670" s="346"/>
    </row>
    <row r="671" ht="15.75" customHeight="1">
      <c r="B671" s="591"/>
      <c r="C671" s="466"/>
      <c r="D671" s="466"/>
      <c r="E671" s="592"/>
      <c r="F671" s="466"/>
      <c r="G671" s="576"/>
      <c r="H671" s="576"/>
      <c r="I671" s="576"/>
      <c r="J671" s="466"/>
      <c r="K671" s="576"/>
      <c r="L671" s="466"/>
      <c r="M671" s="576"/>
      <c r="N671" s="466"/>
      <c r="O671" s="576"/>
      <c r="P671" s="576"/>
      <c r="Q671" s="576"/>
      <c r="R671" s="346"/>
      <c r="S671" s="346"/>
    </row>
    <row r="672" ht="15.75" customHeight="1">
      <c r="B672" s="591"/>
      <c r="C672" s="466"/>
      <c r="D672" s="466"/>
      <c r="E672" s="592"/>
      <c r="F672" s="466"/>
      <c r="G672" s="576"/>
      <c r="H672" s="576"/>
      <c r="I672" s="576"/>
      <c r="J672" s="466"/>
      <c r="K672" s="576"/>
      <c r="L672" s="466"/>
      <c r="M672" s="576"/>
      <c r="N672" s="466"/>
      <c r="O672" s="576"/>
      <c r="P672" s="576"/>
      <c r="Q672" s="576"/>
      <c r="R672" s="346"/>
      <c r="S672" s="346"/>
    </row>
    <row r="673" ht="15.75" customHeight="1">
      <c r="B673" s="591"/>
      <c r="C673" s="466"/>
      <c r="D673" s="466"/>
      <c r="E673" s="592"/>
      <c r="F673" s="466"/>
      <c r="G673" s="576"/>
      <c r="H673" s="576"/>
      <c r="I673" s="576"/>
      <c r="J673" s="466"/>
      <c r="K673" s="576"/>
      <c r="L673" s="466"/>
      <c r="M673" s="576"/>
      <c r="N673" s="466"/>
      <c r="O673" s="576"/>
      <c r="P673" s="576"/>
      <c r="Q673" s="576"/>
      <c r="R673" s="346"/>
      <c r="S673" s="346"/>
    </row>
    <row r="674" ht="15.75" customHeight="1">
      <c r="B674" s="591"/>
      <c r="C674" s="466"/>
      <c r="D674" s="466"/>
      <c r="E674" s="592"/>
      <c r="F674" s="466"/>
      <c r="G674" s="576"/>
      <c r="H674" s="576"/>
      <c r="I674" s="576"/>
      <c r="J674" s="466"/>
      <c r="K674" s="576"/>
      <c r="L674" s="466"/>
      <c r="M674" s="576"/>
      <c r="N674" s="466"/>
      <c r="O674" s="576"/>
      <c r="P674" s="576"/>
      <c r="Q674" s="576"/>
      <c r="R674" s="346"/>
      <c r="S674" s="346"/>
    </row>
    <row r="675" ht="15.75" customHeight="1">
      <c r="B675" s="591"/>
      <c r="C675" s="466"/>
      <c r="D675" s="466"/>
      <c r="E675" s="592"/>
      <c r="F675" s="466"/>
      <c r="G675" s="576"/>
      <c r="H675" s="576"/>
      <c r="I675" s="576"/>
      <c r="J675" s="466"/>
      <c r="K675" s="576"/>
      <c r="L675" s="466"/>
      <c r="M675" s="576"/>
      <c r="N675" s="466"/>
      <c r="O675" s="576"/>
      <c r="P675" s="576"/>
      <c r="Q675" s="576"/>
      <c r="R675" s="346"/>
      <c r="S675" s="346"/>
    </row>
    <row r="676" ht="15.75" customHeight="1">
      <c r="B676" s="591"/>
      <c r="C676" s="466"/>
      <c r="D676" s="466"/>
      <c r="E676" s="592"/>
      <c r="F676" s="466"/>
      <c r="G676" s="576"/>
      <c r="H676" s="576"/>
      <c r="I676" s="576"/>
      <c r="J676" s="466"/>
      <c r="K676" s="576"/>
      <c r="L676" s="466"/>
      <c r="M676" s="576"/>
      <c r="N676" s="466"/>
      <c r="O676" s="576"/>
      <c r="P676" s="576"/>
      <c r="Q676" s="576"/>
      <c r="R676" s="346"/>
      <c r="S676" s="346"/>
    </row>
    <row r="677" ht="15.75" customHeight="1">
      <c r="B677" s="591"/>
      <c r="C677" s="466"/>
      <c r="D677" s="466"/>
      <c r="E677" s="592"/>
      <c r="F677" s="466"/>
      <c r="G677" s="576"/>
      <c r="H677" s="576"/>
      <c r="I677" s="576"/>
      <c r="J677" s="466"/>
      <c r="K677" s="576"/>
      <c r="L677" s="466"/>
      <c r="M677" s="576"/>
      <c r="N677" s="466"/>
      <c r="O677" s="576"/>
      <c r="P677" s="576"/>
      <c r="Q677" s="576"/>
      <c r="R677" s="346"/>
      <c r="S677" s="346"/>
    </row>
    <row r="678" ht="15.75" customHeight="1">
      <c r="B678" s="591"/>
      <c r="C678" s="466"/>
      <c r="D678" s="466"/>
      <c r="E678" s="592"/>
      <c r="F678" s="466"/>
      <c r="G678" s="576"/>
      <c r="H678" s="576"/>
      <c r="I678" s="576"/>
      <c r="J678" s="466"/>
      <c r="K678" s="576"/>
      <c r="L678" s="466"/>
      <c r="M678" s="576"/>
      <c r="N678" s="466"/>
      <c r="O678" s="576"/>
      <c r="P678" s="576"/>
      <c r="Q678" s="576"/>
      <c r="R678" s="346"/>
      <c r="S678" s="346"/>
    </row>
    <row r="679" ht="15.75" customHeight="1">
      <c r="B679" s="591"/>
      <c r="C679" s="466"/>
      <c r="D679" s="466"/>
      <c r="E679" s="592"/>
      <c r="F679" s="466"/>
      <c r="G679" s="576"/>
      <c r="H679" s="576"/>
      <c r="I679" s="576"/>
      <c r="J679" s="466"/>
      <c r="K679" s="576"/>
      <c r="L679" s="466"/>
      <c r="M679" s="576"/>
      <c r="N679" s="466"/>
      <c r="O679" s="576"/>
      <c r="P679" s="576"/>
      <c r="Q679" s="576"/>
      <c r="R679" s="346"/>
      <c r="S679" s="346"/>
    </row>
    <row r="680" ht="15.75" customHeight="1">
      <c r="B680" s="591"/>
      <c r="C680" s="466"/>
      <c r="D680" s="466"/>
      <c r="E680" s="592"/>
      <c r="F680" s="466"/>
      <c r="G680" s="576"/>
      <c r="H680" s="576"/>
      <c r="I680" s="576"/>
      <c r="J680" s="466"/>
      <c r="K680" s="576"/>
      <c r="L680" s="466"/>
      <c r="M680" s="576"/>
      <c r="N680" s="466"/>
      <c r="O680" s="576"/>
      <c r="P680" s="576"/>
      <c r="Q680" s="576"/>
      <c r="R680" s="346"/>
      <c r="S680" s="346"/>
    </row>
    <row r="681" ht="15.75" customHeight="1">
      <c r="B681" s="591"/>
      <c r="C681" s="466"/>
      <c r="D681" s="466"/>
      <c r="E681" s="592"/>
      <c r="F681" s="466"/>
      <c r="G681" s="576"/>
      <c r="H681" s="576"/>
      <c r="I681" s="576"/>
      <c r="J681" s="466"/>
      <c r="K681" s="576"/>
      <c r="L681" s="466"/>
      <c r="M681" s="576"/>
      <c r="N681" s="466"/>
      <c r="O681" s="576"/>
      <c r="P681" s="576"/>
      <c r="Q681" s="576"/>
      <c r="R681" s="346"/>
      <c r="S681" s="346"/>
    </row>
    <row r="682" ht="15.75" customHeight="1">
      <c r="B682" s="591"/>
      <c r="C682" s="466"/>
      <c r="D682" s="466"/>
      <c r="E682" s="592"/>
      <c r="F682" s="466"/>
      <c r="G682" s="576"/>
      <c r="H682" s="576"/>
      <c r="I682" s="576"/>
      <c r="J682" s="466"/>
      <c r="K682" s="576"/>
      <c r="L682" s="466"/>
      <c r="M682" s="576"/>
      <c r="N682" s="466"/>
      <c r="O682" s="576"/>
      <c r="P682" s="576"/>
      <c r="Q682" s="576"/>
      <c r="R682" s="346"/>
      <c r="S682" s="346"/>
    </row>
    <row r="683" ht="15.75" customHeight="1">
      <c r="B683" s="591"/>
      <c r="C683" s="466"/>
      <c r="D683" s="466"/>
      <c r="E683" s="592"/>
      <c r="F683" s="466"/>
      <c r="G683" s="576"/>
      <c r="H683" s="576"/>
      <c r="I683" s="576"/>
      <c r="J683" s="466"/>
      <c r="K683" s="576"/>
      <c r="L683" s="466"/>
      <c r="M683" s="576"/>
      <c r="N683" s="466"/>
      <c r="O683" s="576"/>
      <c r="P683" s="576"/>
      <c r="Q683" s="576"/>
      <c r="R683" s="346"/>
      <c r="S683" s="346"/>
    </row>
    <row r="684" ht="15.75" customHeight="1">
      <c r="B684" s="591"/>
      <c r="C684" s="466"/>
      <c r="D684" s="466"/>
      <c r="E684" s="592"/>
      <c r="F684" s="466"/>
      <c r="G684" s="576"/>
      <c r="H684" s="576"/>
      <c r="I684" s="576"/>
      <c r="J684" s="466"/>
      <c r="K684" s="576"/>
      <c r="L684" s="466"/>
      <c r="M684" s="576"/>
      <c r="N684" s="466"/>
      <c r="O684" s="576"/>
      <c r="P684" s="576"/>
      <c r="Q684" s="576"/>
      <c r="R684" s="346"/>
      <c r="S684" s="346"/>
    </row>
    <row r="685" ht="15.75" customHeight="1">
      <c r="B685" s="591"/>
      <c r="C685" s="466"/>
      <c r="D685" s="466"/>
      <c r="E685" s="592"/>
      <c r="F685" s="466"/>
      <c r="G685" s="576"/>
      <c r="H685" s="576"/>
      <c r="I685" s="576"/>
      <c r="J685" s="466"/>
      <c r="K685" s="576"/>
      <c r="L685" s="466"/>
      <c r="M685" s="576"/>
      <c r="N685" s="466"/>
      <c r="O685" s="576"/>
      <c r="P685" s="576"/>
      <c r="Q685" s="576"/>
      <c r="R685" s="346"/>
      <c r="S685" s="346"/>
    </row>
    <row r="686" ht="15.75" customHeight="1">
      <c r="B686" s="591"/>
      <c r="C686" s="466"/>
      <c r="D686" s="466"/>
      <c r="E686" s="592"/>
      <c r="F686" s="466"/>
      <c r="G686" s="576"/>
      <c r="H686" s="576"/>
      <c r="I686" s="576"/>
      <c r="J686" s="466"/>
      <c r="K686" s="576"/>
      <c r="L686" s="466"/>
      <c r="M686" s="576"/>
      <c r="N686" s="466"/>
      <c r="O686" s="576"/>
      <c r="P686" s="576"/>
      <c r="Q686" s="576"/>
      <c r="R686" s="346"/>
      <c r="S686" s="346"/>
    </row>
    <row r="687" ht="15.75" customHeight="1">
      <c r="B687" s="591"/>
      <c r="C687" s="466"/>
      <c r="D687" s="466"/>
      <c r="E687" s="592"/>
      <c r="F687" s="466"/>
      <c r="G687" s="576"/>
      <c r="H687" s="576"/>
      <c r="I687" s="576"/>
      <c r="J687" s="466"/>
      <c r="K687" s="576"/>
      <c r="L687" s="466"/>
      <c r="M687" s="576"/>
      <c r="N687" s="466"/>
      <c r="O687" s="576"/>
      <c r="P687" s="576"/>
      <c r="Q687" s="576"/>
      <c r="R687" s="346"/>
      <c r="S687" s="346"/>
    </row>
    <row r="688" ht="15.75" customHeight="1">
      <c r="B688" s="591"/>
      <c r="C688" s="466"/>
      <c r="D688" s="466"/>
      <c r="E688" s="592"/>
      <c r="F688" s="466"/>
      <c r="G688" s="576"/>
      <c r="H688" s="576"/>
      <c r="I688" s="576"/>
      <c r="J688" s="466"/>
      <c r="K688" s="576"/>
      <c r="L688" s="466"/>
      <c r="M688" s="576"/>
      <c r="N688" s="466"/>
      <c r="O688" s="576"/>
      <c r="P688" s="576"/>
      <c r="Q688" s="576"/>
      <c r="R688" s="346"/>
      <c r="S688" s="346"/>
    </row>
    <row r="689" ht="15.75" customHeight="1">
      <c r="B689" s="591"/>
      <c r="C689" s="466"/>
      <c r="D689" s="466"/>
      <c r="E689" s="592"/>
      <c r="F689" s="466"/>
      <c r="G689" s="576"/>
      <c r="H689" s="576"/>
      <c r="I689" s="576"/>
      <c r="J689" s="466"/>
      <c r="K689" s="576"/>
      <c r="L689" s="466"/>
      <c r="M689" s="576"/>
      <c r="N689" s="466"/>
      <c r="O689" s="576"/>
      <c r="P689" s="576"/>
      <c r="Q689" s="576"/>
      <c r="R689" s="346"/>
      <c r="S689" s="346"/>
    </row>
    <row r="690" ht="15.75" customHeight="1">
      <c r="B690" s="591"/>
      <c r="C690" s="466"/>
      <c r="D690" s="466"/>
      <c r="E690" s="592"/>
      <c r="F690" s="466"/>
      <c r="G690" s="576"/>
      <c r="H690" s="576"/>
      <c r="I690" s="576"/>
      <c r="J690" s="466"/>
      <c r="K690" s="576"/>
      <c r="L690" s="466"/>
      <c r="M690" s="576"/>
      <c r="N690" s="466"/>
      <c r="O690" s="576"/>
      <c r="P690" s="576"/>
      <c r="Q690" s="576"/>
      <c r="R690" s="346"/>
      <c r="S690" s="346"/>
    </row>
    <row r="691" ht="15.75" customHeight="1">
      <c r="B691" s="591"/>
      <c r="C691" s="466"/>
      <c r="D691" s="466"/>
      <c r="E691" s="592"/>
      <c r="F691" s="466"/>
      <c r="G691" s="576"/>
      <c r="H691" s="576"/>
      <c r="I691" s="576"/>
      <c r="J691" s="466"/>
      <c r="K691" s="576"/>
      <c r="L691" s="466"/>
      <c r="M691" s="576"/>
      <c r="N691" s="466"/>
      <c r="O691" s="576"/>
      <c r="P691" s="576"/>
      <c r="Q691" s="576"/>
      <c r="R691" s="346"/>
      <c r="S691" s="346"/>
    </row>
    <row r="692" ht="15.75" customHeight="1">
      <c r="B692" s="591"/>
      <c r="C692" s="466"/>
      <c r="D692" s="466"/>
      <c r="E692" s="592"/>
      <c r="F692" s="466"/>
      <c r="G692" s="576"/>
      <c r="H692" s="576"/>
      <c r="I692" s="576"/>
      <c r="J692" s="466"/>
      <c r="K692" s="576"/>
      <c r="L692" s="466"/>
      <c r="M692" s="576"/>
      <c r="N692" s="466"/>
      <c r="O692" s="576"/>
      <c r="P692" s="576"/>
      <c r="Q692" s="576"/>
      <c r="R692" s="346"/>
      <c r="S692" s="346"/>
    </row>
    <row r="693" ht="15.75" customHeight="1">
      <c r="B693" s="591"/>
      <c r="C693" s="466"/>
      <c r="D693" s="466"/>
      <c r="E693" s="592"/>
      <c r="F693" s="466"/>
      <c r="G693" s="576"/>
      <c r="H693" s="576"/>
      <c r="I693" s="576"/>
      <c r="J693" s="466"/>
      <c r="K693" s="576"/>
      <c r="L693" s="466"/>
      <c r="M693" s="576"/>
      <c r="N693" s="466"/>
      <c r="O693" s="576"/>
      <c r="P693" s="576"/>
      <c r="Q693" s="576"/>
      <c r="R693" s="346"/>
      <c r="S693" s="346"/>
    </row>
    <row r="694" ht="15.75" customHeight="1">
      <c r="B694" s="591"/>
      <c r="C694" s="466"/>
      <c r="D694" s="466"/>
      <c r="E694" s="592"/>
      <c r="F694" s="466"/>
      <c r="G694" s="576"/>
      <c r="H694" s="576"/>
      <c r="I694" s="576"/>
      <c r="J694" s="466"/>
      <c r="K694" s="576"/>
      <c r="L694" s="466"/>
      <c r="M694" s="576"/>
      <c r="N694" s="466"/>
      <c r="O694" s="576"/>
      <c r="P694" s="576"/>
      <c r="Q694" s="576"/>
      <c r="R694" s="346"/>
      <c r="S694" s="346"/>
    </row>
    <row r="695" ht="15.75" customHeight="1">
      <c r="B695" s="591"/>
      <c r="C695" s="466"/>
      <c r="D695" s="466"/>
      <c r="E695" s="592"/>
      <c r="F695" s="466"/>
      <c r="G695" s="576"/>
      <c r="H695" s="576"/>
      <c r="I695" s="576"/>
      <c r="J695" s="466"/>
      <c r="K695" s="576"/>
      <c r="L695" s="466"/>
      <c r="M695" s="576"/>
      <c r="N695" s="466"/>
      <c r="O695" s="576"/>
      <c r="P695" s="576"/>
      <c r="Q695" s="576"/>
      <c r="R695" s="346"/>
      <c r="S695" s="346"/>
    </row>
    <row r="696" ht="15.75" customHeight="1">
      <c r="B696" s="591"/>
      <c r="C696" s="466"/>
      <c r="D696" s="466"/>
      <c r="E696" s="592"/>
      <c r="F696" s="466"/>
      <c r="G696" s="576"/>
      <c r="H696" s="576"/>
      <c r="I696" s="576"/>
      <c r="J696" s="466"/>
      <c r="K696" s="576"/>
      <c r="L696" s="466"/>
      <c r="M696" s="576"/>
      <c r="N696" s="466"/>
      <c r="O696" s="576"/>
      <c r="P696" s="576"/>
      <c r="Q696" s="576"/>
      <c r="R696" s="346"/>
      <c r="S696" s="346"/>
    </row>
    <row r="697" ht="15.75" customHeight="1">
      <c r="B697" s="591"/>
      <c r="C697" s="466"/>
      <c r="D697" s="466"/>
      <c r="E697" s="592"/>
      <c r="F697" s="466"/>
      <c r="G697" s="576"/>
      <c r="H697" s="576"/>
      <c r="I697" s="576"/>
      <c r="J697" s="466"/>
      <c r="K697" s="576"/>
      <c r="L697" s="466"/>
      <c r="M697" s="576"/>
      <c r="N697" s="466"/>
      <c r="O697" s="576"/>
      <c r="P697" s="576"/>
      <c r="Q697" s="576"/>
      <c r="R697" s="346"/>
      <c r="S697" s="346"/>
    </row>
    <row r="698" ht="15.75" customHeight="1">
      <c r="B698" s="591"/>
      <c r="C698" s="466"/>
      <c r="D698" s="466"/>
      <c r="E698" s="592"/>
      <c r="F698" s="466"/>
      <c r="G698" s="576"/>
      <c r="H698" s="576"/>
      <c r="I698" s="576"/>
      <c r="J698" s="466"/>
      <c r="K698" s="576"/>
      <c r="L698" s="466"/>
      <c r="M698" s="576"/>
      <c r="N698" s="466"/>
      <c r="O698" s="576"/>
      <c r="P698" s="576"/>
      <c r="Q698" s="576"/>
      <c r="R698" s="346"/>
      <c r="S698" s="346"/>
    </row>
    <row r="699" ht="15.75" customHeight="1">
      <c r="B699" s="591"/>
      <c r="C699" s="466"/>
      <c r="D699" s="466"/>
      <c r="E699" s="592"/>
      <c r="F699" s="466"/>
      <c r="G699" s="576"/>
      <c r="H699" s="576"/>
      <c r="I699" s="576"/>
      <c r="J699" s="466"/>
      <c r="K699" s="576"/>
      <c r="L699" s="466"/>
      <c r="M699" s="576"/>
      <c r="N699" s="466"/>
      <c r="O699" s="576"/>
      <c r="P699" s="576"/>
      <c r="Q699" s="576"/>
      <c r="R699" s="346"/>
      <c r="S699" s="346"/>
    </row>
    <row r="700" ht="15.75" customHeight="1">
      <c r="B700" s="591"/>
      <c r="C700" s="466"/>
      <c r="D700" s="466"/>
      <c r="E700" s="592"/>
      <c r="F700" s="466"/>
      <c r="G700" s="576"/>
      <c r="H700" s="576"/>
      <c r="I700" s="576"/>
      <c r="J700" s="466"/>
      <c r="K700" s="576"/>
      <c r="L700" s="466"/>
      <c r="M700" s="576"/>
      <c r="N700" s="466"/>
      <c r="O700" s="576"/>
      <c r="P700" s="576"/>
      <c r="Q700" s="576"/>
      <c r="R700" s="346"/>
      <c r="S700" s="346"/>
    </row>
    <row r="701" ht="15.75" customHeight="1">
      <c r="B701" s="591"/>
      <c r="C701" s="466"/>
      <c r="D701" s="466"/>
      <c r="E701" s="592"/>
      <c r="F701" s="466"/>
      <c r="G701" s="576"/>
      <c r="H701" s="576"/>
      <c r="I701" s="576"/>
      <c r="J701" s="466"/>
      <c r="K701" s="576"/>
      <c r="L701" s="466"/>
      <c r="M701" s="576"/>
      <c r="N701" s="466"/>
      <c r="O701" s="576"/>
      <c r="P701" s="576"/>
      <c r="Q701" s="576"/>
      <c r="R701" s="346"/>
      <c r="S701" s="346"/>
    </row>
    <row r="702" ht="15.75" customHeight="1">
      <c r="B702" s="591"/>
      <c r="C702" s="466"/>
      <c r="D702" s="466"/>
      <c r="E702" s="592"/>
      <c r="F702" s="466"/>
      <c r="G702" s="576"/>
      <c r="H702" s="576"/>
      <c r="I702" s="576"/>
      <c r="J702" s="466"/>
      <c r="K702" s="576"/>
      <c r="L702" s="466"/>
      <c r="M702" s="576"/>
      <c r="N702" s="466"/>
      <c r="O702" s="576"/>
      <c r="P702" s="576"/>
      <c r="Q702" s="576"/>
      <c r="R702" s="346"/>
      <c r="S702" s="346"/>
    </row>
    <row r="703" ht="15.75" customHeight="1">
      <c r="B703" s="591"/>
      <c r="C703" s="466"/>
      <c r="D703" s="466"/>
      <c r="E703" s="592"/>
      <c r="F703" s="466"/>
      <c r="G703" s="576"/>
      <c r="H703" s="576"/>
      <c r="I703" s="576"/>
      <c r="J703" s="466"/>
      <c r="K703" s="576"/>
      <c r="L703" s="466"/>
      <c r="M703" s="576"/>
      <c r="N703" s="466"/>
      <c r="O703" s="576"/>
      <c r="P703" s="576"/>
      <c r="Q703" s="576"/>
      <c r="R703" s="346"/>
      <c r="S703" s="346"/>
    </row>
    <row r="704" ht="15.75" customHeight="1">
      <c r="B704" s="591"/>
      <c r="C704" s="466"/>
      <c r="D704" s="466"/>
      <c r="E704" s="592"/>
      <c r="F704" s="466"/>
      <c r="G704" s="576"/>
      <c r="H704" s="576"/>
      <c r="I704" s="576"/>
      <c r="J704" s="466"/>
      <c r="K704" s="576"/>
      <c r="L704" s="466"/>
      <c r="M704" s="576"/>
      <c r="N704" s="466"/>
      <c r="O704" s="576"/>
      <c r="P704" s="576"/>
      <c r="Q704" s="576"/>
      <c r="R704" s="346"/>
      <c r="S704" s="346"/>
    </row>
    <row r="705" ht="15.75" customHeight="1">
      <c r="B705" s="591"/>
      <c r="C705" s="466"/>
      <c r="D705" s="466"/>
      <c r="E705" s="592"/>
      <c r="F705" s="466"/>
      <c r="G705" s="576"/>
      <c r="H705" s="576"/>
      <c r="I705" s="576"/>
      <c r="J705" s="466"/>
      <c r="K705" s="576"/>
      <c r="L705" s="466"/>
      <c r="M705" s="576"/>
      <c r="N705" s="466"/>
      <c r="O705" s="576"/>
      <c r="P705" s="576"/>
      <c r="Q705" s="576"/>
      <c r="R705" s="346"/>
      <c r="S705" s="346"/>
    </row>
    <row r="706" ht="15.75" customHeight="1">
      <c r="B706" s="591"/>
      <c r="C706" s="466"/>
      <c r="D706" s="466"/>
      <c r="E706" s="592"/>
      <c r="F706" s="466"/>
      <c r="G706" s="576"/>
      <c r="H706" s="576"/>
      <c r="I706" s="576"/>
      <c r="J706" s="466"/>
      <c r="K706" s="576"/>
      <c r="L706" s="466"/>
      <c r="M706" s="576"/>
      <c r="N706" s="466"/>
      <c r="O706" s="576"/>
      <c r="P706" s="576"/>
      <c r="Q706" s="576"/>
      <c r="R706" s="346"/>
      <c r="S706" s="346"/>
    </row>
    <row r="707" ht="15.75" customHeight="1">
      <c r="B707" s="591"/>
      <c r="C707" s="466"/>
      <c r="D707" s="466"/>
      <c r="E707" s="592"/>
      <c r="F707" s="466"/>
      <c r="G707" s="576"/>
      <c r="H707" s="576"/>
      <c r="I707" s="576"/>
      <c r="J707" s="466"/>
      <c r="K707" s="576"/>
      <c r="L707" s="466"/>
      <c r="M707" s="576"/>
      <c r="N707" s="466"/>
      <c r="O707" s="576"/>
      <c r="P707" s="576"/>
      <c r="Q707" s="576"/>
      <c r="R707" s="346"/>
      <c r="S707" s="346"/>
    </row>
    <row r="708" ht="15.75" customHeight="1">
      <c r="B708" s="591"/>
      <c r="C708" s="466"/>
      <c r="D708" s="466"/>
      <c r="E708" s="592"/>
      <c r="F708" s="466"/>
      <c r="G708" s="576"/>
      <c r="H708" s="576"/>
      <c r="I708" s="576"/>
      <c r="J708" s="466"/>
      <c r="K708" s="576"/>
      <c r="L708" s="466"/>
      <c r="M708" s="576"/>
      <c r="N708" s="466"/>
      <c r="O708" s="576"/>
      <c r="P708" s="576"/>
      <c r="Q708" s="576"/>
      <c r="R708" s="346"/>
      <c r="S708" s="346"/>
    </row>
    <row r="709" ht="15.75" customHeight="1">
      <c r="B709" s="591"/>
      <c r="C709" s="466"/>
      <c r="D709" s="466"/>
      <c r="E709" s="592"/>
      <c r="F709" s="466"/>
      <c r="G709" s="576"/>
      <c r="H709" s="576"/>
      <c r="I709" s="576"/>
      <c r="J709" s="466"/>
      <c r="K709" s="576"/>
      <c r="L709" s="466"/>
      <c r="M709" s="576"/>
      <c r="N709" s="466"/>
      <c r="O709" s="576"/>
      <c r="P709" s="576"/>
      <c r="Q709" s="576"/>
      <c r="R709" s="346"/>
      <c r="S709" s="346"/>
    </row>
    <row r="710" ht="15.75" customHeight="1">
      <c r="B710" s="591"/>
      <c r="C710" s="466"/>
      <c r="D710" s="466"/>
      <c r="E710" s="592"/>
      <c r="F710" s="466"/>
      <c r="G710" s="576"/>
      <c r="H710" s="576"/>
      <c r="I710" s="576"/>
      <c r="J710" s="466"/>
      <c r="K710" s="576"/>
      <c r="L710" s="466"/>
      <c r="M710" s="576"/>
      <c r="N710" s="466"/>
      <c r="O710" s="576"/>
      <c r="P710" s="576"/>
      <c r="Q710" s="576"/>
      <c r="R710" s="346"/>
      <c r="S710" s="346"/>
    </row>
    <row r="711" ht="15.75" customHeight="1">
      <c r="B711" s="591"/>
      <c r="C711" s="466"/>
      <c r="D711" s="466"/>
      <c r="E711" s="592"/>
      <c r="F711" s="466"/>
      <c r="G711" s="576"/>
      <c r="H711" s="576"/>
      <c r="I711" s="576"/>
      <c r="J711" s="466"/>
      <c r="K711" s="576"/>
      <c r="L711" s="466"/>
      <c r="M711" s="576"/>
      <c r="N711" s="466"/>
      <c r="O711" s="576"/>
      <c r="P711" s="576"/>
      <c r="Q711" s="576"/>
      <c r="R711" s="346"/>
      <c r="S711" s="346"/>
    </row>
    <row r="712" ht="15.75" customHeight="1">
      <c r="B712" s="591"/>
      <c r="C712" s="466"/>
      <c r="D712" s="466"/>
      <c r="E712" s="592"/>
      <c r="F712" s="466"/>
      <c r="G712" s="576"/>
      <c r="H712" s="576"/>
      <c r="I712" s="576"/>
      <c r="J712" s="466"/>
      <c r="K712" s="576"/>
      <c r="L712" s="466"/>
      <c r="M712" s="576"/>
      <c r="N712" s="466"/>
      <c r="O712" s="576"/>
      <c r="P712" s="576"/>
      <c r="Q712" s="576"/>
      <c r="R712" s="346"/>
      <c r="S712" s="346"/>
    </row>
    <row r="713" ht="15.75" customHeight="1">
      <c r="B713" s="591"/>
      <c r="C713" s="466"/>
      <c r="D713" s="466"/>
      <c r="E713" s="592"/>
      <c r="F713" s="466"/>
      <c r="G713" s="576"/>
      <c r="H713" s="576"/>
      <c r="I713" s="576"/>
      <c r="J713" s="466"/>
      <c r="K713" s="576"/>
      <c r="L713" s="466"/>
      <c r="M713" s="576"/>
      <c r="N713" s="466"/>
      <c r="O713" s="576"/>
      <c r="P713" s="576"/>
      <c r="Q713" s="576"/>
      <c r="R713" s="346"/>
      <c r="S713" s="346"/>
    </row>
    <row r="714" ht="15.75" customHeight="1">
      <c r="B714" s="591"/>
      <c r="C714" s="466"/>
      <c r="D714" s="466"/>
      <c r="E714" s="592"/>
      <c r="F714" s="466"/>
      <c r="G714" s="576"/>
      <c r="H714" s="576"/>
      <c r="I714" s="576"/>
      <c r="J714" s="466"/>
      <c r="K714" s="576"/>
      <c r="L714" s="466"/>
      <c r="M714" s="576"/>
      <c r="N714" s="466"/>
      <c r="O714" s="576"/>
      <c r="P714" s="576"/>
      <c r="Q714" s="576"/>
      <c r="R714" s="346"/>
      <c r="S714" s="346"/>
    </row>
    <row r="715" ht="15.75" customHeight="1">
      <c r="B715" s="591"/>
      <c r="C715" s="466"/>
      <c r="D715" s="466"/>
      <c r="E715" s="592"/>
      <c r="F715" s="466"/>
      <c r="G715" s="576"/>
      <c r="H715" s="576"/>
      <c r="I715" s="576"/>
      <c r="J715" s="466"/>
      <c r="K715" s="576"/>
      <c r="L715" s="466"/>
      <c r="M715" s="576"/>
      <c r="N715" s="466"/>
      <c r="O715" s="576"/>
      <c r="P715" s="576"/>
      <c r="Q715" s="576"/>
      <c r="R715" s="346"/>
      <c r="S715" s="346"/>
    </row>
    <row r="716" ht="15.75" customHeight="1">
      <c r="B716" s="591"/>
      <c r="C716" s="466"/>
      <c r="D716" s="466"/>
      <c r="E716" s="592"/>
      <c r="F716" s="466"/>
      <c r="G716" s="576"/>
      <c r="H716" s="576"/>
      <c r="I716" s="576"/>
      <c r="J716" s="466"/>
      <c r="K716" s="576"/>
      <c r="L716" s="466"/>
      <c r="M716" s="576"/>
      <c r="N716" s="466"/>
      <c r="O716" s="576"/>
      <c r="P716" s="576"/>
      <c r="Q716" s="576"/>
      <c r="R716" s="346"/>
      <c r="S716" s="346"/>
    </row>
    <row r="717" ht="15.75" customHeight="1">
      <c r="B717" s="591"/>
      <c r="C717" s="466"/>
      <c r="D717" s="466"/>
      <c r="E717" s="592"/>
      <c r="F717" s="466"/>
      <c r="G717" s="576"/>
      <c r="H717" s="576"/>
      <c r="I717" s="576"/>
      <c r="J717" s="466"/>
      <c r="K717" s="576"/>
      <c r="L717" s="466"/>
      <c r="M717" s="576"/>
      <c r="N717" s="466"/>
      <c r="O717" s="576"/>
      <c r="P717" s="576"/>
      <c r="Q717" s="576"/>
      <c r="R717" s="346"/>
      <c r="S717" s="346"/>
    </row>
    <row r="718" ht="15.75" customHeight="1">
      <c r="B718" s="591"/>
      <c r="C718" s="466"/>
      <c r="D718" s="466"/>
      <c r="E718" s="592"/>
      <c r="F718" s="466"/>
      <c r="G718" s="576"/>
      <c r="H718" s="576"/>
      <c r="I718" s="576"/>
      <c r="J718" s="466"/>
      <c r="K718" s="576"/>
      <c r="L718" s="466"/>
      <c r="M718" s="576"/>
      <c r="N718" s="466"/>
      <c r="O718" s="576"/>
      <c r="P718" s="576"/>
      <c r="Q718" s="576"/>
      <c r="R718" s="346"/>
      <c r="S718" s="346"/>
    </row>
    <row r="719" ht="15.75" customHeight="1">
      <c r="B719" s="591"/>
      <c r="C719" s="466"/>
      <c r="D719" s="466"/>
      <c r="E719" s="592"/>
      <c r="F719" s="466"/>
      <c r="G719" s="576"/>
      <c r="H719" s="576"/>
      <c r="I719" s="576"/>
      <c r="J719" s="466"/>
      <c r="K719" s="576"/>
      <c r="L719" s="466"/>
      <c r="M719" s="576"/>
      <c r="N719" s="466"/>
      <c r="O719" s="576"/>
      <c r="P719" s="576"/>
      <c r="Q719" s="576"/>
      <c r="R719" s="346"/>
      <c r="S719" s="346"/>
    </row>
    <row r="720" ht="15.75" customHeight="1">
      <c r="B720" s="591"/>
      <c r="C720" s="466"/>
      <c r="D720" s="466"/>
      <c r="E720" s="592"/>
      <c r="F720" s="466"/>
      <c r="G720" s="576"/>
      <c r="H720" s="576"/>
      <c r="I720" s="576"/>
      <c r="J720" s="466"/>
      <c r="K720" s="576"/>
      <c r="L720" s="466"/>
      <c r="M720" s="576"/>
      <c r="N720" s="466"/>
      <c r="O720" s="576"/>
      <c r="P720" s="576"/>
      <c r="Q720" s="576"/>
      <c r="R720" s="346"/>
      <c r="S720" s="346"/>
    </row>
    <row r="721" ht="15.75" customHeight="1">
      <c r="B721" s="591"/>
      <c r="C721" s="466"/>
      <c r="D721" s="466"/>
      <c r="E721" s="592"/>
      <c r="F721" s="466"/>
      <c r="G721" s="576"/>
      <c r="H721" s="576"/>
      <c r="I721" s="576"/>
      <c r="J721" s="466"/>
      <c r="K721" s="576"/>
      <c r="L721" s="466"/>
      <c r="M721" s="576"/>
      <c r="N721" s="466"/>
      <c r="O721" s="576"/>
      <c r="P721" s="576"/>
      <c r="Q721" s="576"/>
      <c r="R721" s="346"/>
      <c r="S721" s="346"/>
    </row>
    <row r="722" ht="15.75" customHeight="1">
      <c r="B722" s="591"/>
      <c r="C722" s="466"/>
      <c r="D722" s="466"/>
      <c r="E722" s="592"/>
      <c r="F722" s="466"/>
      <c r="G722" s="576"/>
      <c r="H722" s="576"/>
      <c r="I722" s="576"/>
      <c r="J722" s="466"/>
      <c r="K722" s="576"/>
      <c r="L722" s="466"/>
      <c r="M722" s="576"/>
      <c r="N722" s="466"/>
      <c r="O722" s="576"/>
      <c r="P722" s="576"/>
      <c r="Q722" s="576"/>
      <c r="R722" s="346"/>
      <c r="S722" s="346"/>
    </row>
    <row r="723" ht="15.75" customHeight="1">
      <c r="B723" s="591"/>
      <c r="C723" s="466"/>
      <c r="D723" s="466"/>
      <c r="E723" s="592"/>
      <c r="F723" s="466"/>
      <c r="G723" s="576"/>
      <c r="H723" s="576"/>
      <c r="I723" s="576"/>
      <c r="J723" s="466"/>
      <c r="K723" s="576"/>
      <c r="L723" s="466"/>
      <c r="M723" s="576"/>
      <c r="N723" s="466"/>
      <c r="O723" s="576"/>
      <c r="P723" s="576"/>
      <c r="Q723" s="576"/>
      <c r="R723" s="346"/>
      <c r="S723" s="346"/>
    </row>
    <row r="724" ht="15.75" customHeight="1">
      <c r="B724" s="591"/>
      <c r="C724" s="466"/>
      <c r="D724" s="466"/>
      <c r="E724" s="592"/>
      <c r="F724" s="466"/>
      <c r="G724" s="576"/>
      <c r="H724" s="576"/>
      <c r="I724" s="576"/>
      <c r="J724" s="466"/>
      <c r="K724" s="576"/>
      <c r="L724" s="466"/>
      <c r="M724" s="576"/>
      <c r="N724" s="466"/>
      <c r="O724" s="576"/>
      <c r="P724" s="576"/>
      <c r="Q724" s="576"/>
      <c r="R724" s="346"/>
      <c r="S724" s="346"/>
    </row>
    <row r="725" ht="15.75" customHeight="1">
      <c r="B725" s="591"/>
      <c r="C725" s="466"/>
      <c r="D725" s="466"/>
      <c r="E725" s="592"/>
      <c r="F725" s="466"/>
      <c r="G725" s="576"/>
      <c r="H725" s="576"/>
      <c r="I725" s="576"/>
      <c r="J725" s="466"/>
      <c r="K725" s="576"/>
      <c r="L725" s="466"/>
      <c r="M725" s="576"/>
      <c r="N725" s="466"/>
      <c r="O725" s="576"/>
      <c r="P725" s="576"/>
      <c r="Q725" s="576"/>
      <c r="R725" s="346"/>
      <c r="S725" s="346"/>
    </row>
    <row r="726" ht="15.75" customHeight="1">
      <c r="B726" s="591"/>
      <c r="C726" s="466"/>
      <c r="D726" s="466"/>
      <c r="E726" s="592"/>
      <c r="F726" s="466"/>
      <c r="G726" s="576"/>
      <c r="H726" s="576"/>
      <c r="I726" s="576"/>
      <c r="J726" s="466"/>
      <c r="K726" s="576"/>
      <c r="L726" s="466"/>
      <c r="M726" s="576"/>
      <c r="N726" s="466"/>
      <c r="O726" s="576"/>
      <c r="P726" s="576"/>
      <c r="Q726" s="576"/>
      <c r="R726" s="346"/>
      <c r="S726" s="346"/>
    </row>
    <row r="727" ht="15.75" customHeight="1">
      <c r="B727" s="591"/>
      <c r="C727" s="466"/>
      <c r="D727" s="466"/>
      <c r="E727" s="592"/>
      <c r="F727" s="466"/>
      <c r="G727" s="576"/>
      <c r="H727" s="576"/>
      <c r="I727" s="576"/>
      <c r="J727" s="466"/>
      <c r="K727" s="576"/>
      <c r="L727" s="466"/>
      <c r="M727" s="576"/>
      <c r="N727" s="466"/>
      <c r="O727" s="576"/>
      <c r="P727" s="576"/>
      <c r="Q727" s="576"/>
      <c r="R727" s="346"/>
      <c r="S727" s="346"/>
    </row>
    <row r="728" ht="15.75" customHeight="1">
      <c r="B728" s="591"/>
      <c r="C728" s="466"/>
      <c r="D728" s="466"/>
      <c r="E728" s="592"/>
      <c r="F728" s="466"/>
      <c r="G728" s="576"/>
      <c r="H728" s="576"/>
      <c r="I728" s="576"/>
      <c r="J728" s="466"/>
      <c r="K728" s="576"/>
      <c r="L728" s="466"/>
      <c r="M728" s="576"/>
      <c r="N728" s="466"/>
      <c r="O728" s="576"/>
      <c r="P728" s="576"/>
      <c r="Q728" s="576"/>
      <c r="R728" s="346"/>
      <c r="S728" s="346"/>
    </row>
    <row r="729" ht="15.75" customHeight="1">
      <c r="B729" s="591"/>
      <c r="C729" s="466"/>
      <c r="D729" s="466"/>
      <c r="E729" s="592"/>
      <c r="F729" s="466"/>
      <c r="G729" s="576"/>
      <c r="H729" s="576"/>
      <c r="I729" s="576"/>
      <c r="J729" s="466"/>
      <c r="K729" s="576"/>
      <c r="L729" s="466"/>
      <c r="M729" s="576"/>
      <c r="N729" s="466"/>
      <c r="O729" s="576"/>
      <c r="P729" s="576"/>
      <c r="Q729" s="576"/>
      <c r="R729" s="346"/>
      <c r="S729" s="346"/>
    </row>
    <row r="730" ht="15.75" customHeight="1">
      <c r="B730" s="591"/>
      <c r="C730" s="466"/>
      <c r="D730" s="466"/>
      <c r="E730" s="592"/>
      <c r="F730" s="466"/>
      <c r="G730" s="576"/>
      <c r="H730" s="576"/>
      <c r="I730" s="576"/>
      <c r="J730" s="466"/>
      <c r="K730" s="576"/>
      <c r="L730" s="466"/>
      <c r="M730" s="576"/>
      <c r="N730" s="466"/>
      <c r="O730" s="576"/>
      <c r="P730" s="576"/>
      <c r="Q730" s="576"/>
      <c r="R730" s="346"/>
      <c r="S730" s="346"/>
    </row>
    <row r="731" ht="15.75" customHeight="1">
      <c r="B731" s="591"/>
      <c r="C731" s="466"/>
      <c r="D731" s="466"/>
      <c r="E731" s="592"/>
      <c r="F731" s="466"/>
      <c r="G731" s="576"/>
      <c r="H731" s="576"/>
      <c r="I731" s="576"/>
      <c r="J731" s="466"/>
      <c r="K731" s="576"/>
      <c r="L731" s="466"/>
      <c r="M731" s="576"/>
      <c r="N731" s="466"/>
      <c r="O731" s="576"/>
      <c r="P731" s="576"/>
      <c r="Q731" s="576"/>
      <c r="R731" s="346"/>
      <c r="S731" s="346"/>
    </row>
    <row r="732" ht="15.75" customHeight="1">
      <c r="B732" s="591"/>
      <c r="C732" s="466"/>
      <c r="D732" s="466"/>
      <c r="E732" s="592"/>
      <c r="F732" s="466"/>
      <c r="G732" s="576"/>
      <c r="H732" s="576"/>
      <c r="I732" s="576"/>
      <c r="J732" s="466"/>
      <c r="K732" s="576"/>
      <c r="L732" s="466"/>
      <c r="M732" s="576"/>
      <c r="N732" s="466"/>
      <c r="O732" s="576"/>
      <c r="P732" s="576"/>
      <c r="Q732" s="576"/>
      <c r="R732" s="346"/>
      <c r="S732" s="346"/>
    </row>
    <row r="733" ht="15.75" customHeight="1">
      <c r="B733" s="591"/>
      <c r="C733" s="466"/>
      <c r="D733" s="466"/>
      <c r="E733" s="592"/>
      <c r="F733" s="466"/>
      <c r="G733" s="576"/>
      <c r="H733" s="576"/>
      <c r="I733" s="576"/>
      <c r="J733" s="466"/>
      <c r="K733" s="576"/>
      <c r="L733" s="466"/>
      <c r="M733" s="576"/>
      <c r="N733" s="466"/>
      <c r="O733" s="576"/>
      <c r="P733" s="576"/>
      <c r="Q733" s="576"/>
      <c r="R733" s="346"/>
      <c r="S733" s="346"/>
    </row>
    <row r="734" ht="15.75" customHeight="1">
      <c r="B734" s="591"/>
      <c r="C734" s="466"/>
      <c r="D734" s="466"/>
      <c r="E734" s="592"/>
      <c r="F734" s="466"/>
      <c r="G734" s="576"/>
      <c r="H734" s="576"/>
      <c r="I734" s="576"/>
      <c r="J734" s="466"/>
      <c r="K734" s="576"/>
      <c r="L734" s="466"/>
      <c r="M734" s="576"/>
      <c r="N734" s="466"/>
      <c r="O734" s="576"/>
      <c r="P734" s="576"/>
      <c r="Q734" s="576"/>
      <c r="R734" s="346"/>
      <c r="S734" s="346"/>
    </row>
    <row r="735" ht="15.75" customHeight="1">
      <c r="B735" s="591"/>
      <c r="C735" s="466"/>
      <c r="D735" s="466"/>
      <c r="E735" s="592"/>
      <c r="F735" s="466"/>
      <c r="G735" s="576"/>
      <c r="H735" s="576"/>
      <c r="I735" s="576"/>
      <c r="J735" s="466"/>
      <c r="K735" s="576"/>
      <c r="L735" s="466"/>
      <c r="M735" s="576"/>
      <c r="N735" s="466"/>
      <c r="O735" s="576"/>
      <c r="P735" s="576"/>
      <c r="Q735" s="576"/>
      <c r="R735" s="346"/>
      <c r="S735" s="346"/>
    </row>
    <row r="736" ht="15.75" customHeight="1">
      <c r="B736" s="591"/>
      <c r="C736" s="466"/>
      <c r="D736" s="466"/>
      <c r="E736" s="592"/>
      <c r="F736" s="466"/>
      <c r="G736" s="576"/>
      <c r="H736" s="576"/>
      <c r="I736" s="576"/>
      <c r="J736" s="466"/>
      <c r="K736" s="576"/>
      <c r="L736" s="466"/>
      <c r="M736" s="576"/>
      <c r="N736" s="466"/>
      <c r="O736" s="576"/>
      <c r="P736" s="576"/>
      <c r="Q736" s="576"/>
      <c r="R736" s="346"/>
      <c r="S736" s="346"/>
    </row>
    <row r="737" ht="15.75" customHeight="1">
      <c r="B737" s="591"/>
      <c r="C737" s="466"/>
      <c r="D737" s="466"/>
      <c r="E737" s="592"/>
      <c r="F737" s="466"/>
      <c r="G737" s="576"/>
      <c r="H737" s="576"/>
      <c r="I737" s="576"/>
      <c r="J737" s="466"/>
      <c r="K737" s="576"/>
      <c r="L737" s="466"/>
      <c r="M737" s="576"/>
      <c r="N737" s="466"/>
      <c r="O737" s="576"/>
      <c r="P737" s="576"/>
      <c r="Q737" s="576"/>
      <c r="R737" s="346"/>
      <c r="S737" s="346"/>
    </row>
    <row r="738" ht="15.75" customHeight="1">
      <c r="B738" s="591"/>
      <c r="C738" s="466"/>
      <c r="D738" s="466"/>
      <c r="E738" s="592"/>
      <c r="F738" s="466"/>
      <c r="G738" s="576"/>
      <c r="H738" s="576"/>
      <c r="I738" s="576"/>
      <c r="J738" s="466"/>
      <c r="K738" s="576"/>
      <c r="L738" s="466"/>
      <c r="M738" s="576"/>
      <c r="N738" s="466"/>
      <c r="O738" s="576"/>
      <c r="P738" s="576"/>
      <c r="Q738" s="576"/>
      <c r="R738" s="346"/>
      <c r="S738" s="346"/>
    </row>
    <row r="739" ht="15.75" customHeight="1">
      <c r="B739" s="591"/>
      <c r="C739" s="466"/>
      <c r="D739" s="466"/>
      <c r="E739" s="592"/>
      <c r="F739" s="466"/>
      <c r="G739" s="576"/>
      <c r="H739" s="576"/>
      <c r="I739" s="576"/>
      <c r="J739" s="466"/>
      <c r="K739" s="576"/>
      <c r="L739" s="466"/>
      <c r="M739" s="576"/>
      <c r="N739" s="466"/>
      <c r="O739" s="576"/>
      <c r="P739" s="576"/>
      <c r="Q739" s="576"/>
      <c r="R739" s="346"/>
      <c r="S739" s="346"/>
    </row>
    <row r="740" ht="15.75" customHeight="1">
      <c r="B740" s="591"/>
      <c r="C740" s="466"/>
      <c r="D740" s="466"/>
      <c r="E740" s="592"/>
      <c r="F740" s="466"/>
      <c r="G740" s="576"/>
      <c r="H740" s="576"/>
      <c r="I740" s="576"/>
      <c r="J740" s="466"/>
      <c r="K740" s="576"/>
      <c r="L740" s="466"/>
      <c r="M740" s="576"/>
      <c r="N740" s="466"/>
      <c r="O740" s="576"/>
      <c r="P740" s="576"/>
      <c r="Q740" s="576"/>
      <c r="R740" s="346"/>
      <c r="S740" s="346"/>
    </row>
    <row r="741" ht="15.75" customHeight="1">
      <c r="B741" s="591"/>
      <c r="C741" s="466"/>
      <c r="D741" s="466"/>
      <c r="E741" s="592"/>
      <c r="F741" s="466"/>
      <c r="G741" s="576"/>
      <c r="H741" s="576"/>
      <c r="I741" s="576"/>
      <c r="J741" s="466"/>
      <c r="K741" s="576"/>
      <c r="L741" s="466"/>
      <c r="M741" s="576"/>
      <c r="N741" s="466"/>
      <c r="O741" s="576"/>
      <c r="P741" s="576"/>
      <c r="Q741" s="576"/>
      <c r="R741" s="346"/>
      <c r="S741" s="346"/>
    </row>
    <row r="742" ht="15.75" customHeight="1">
      <c r="B742" s="591"/>
      <c r="C742" s="466"/>
      <c r="D742" s="466"/>
      <c r="E742" s="592"/>
      <c r="F742" s="466"/>
      <c r="G742" s="576"/>
      <c r="H742" s="576"/>
      <c r="I742" s="576"/>
      <c r="J742" s="466"/>
      <c r="K742" s="576"/>
      <c r="L742" s="466"/>
      <c r="M742" s="576"/>
      <c r="N742" s="466"/>
      <c r="O742" s="576"/>
      <c r="P742" s="576"/>
      <c r="Q742" s="576"/>
      <c r="R742" s="346"/>
      <c r="S742" s="346"/>
    </row>
    <row r="743" ht="15.75" customHeight="1">
      <c r="B743" s="591"/>
      <c r="C743" s="466"/>
      <c r="D743" s="466"/>
      <c r="E743" s="592"/>
      <c r="F743" s="466"/>
      <c r="G743" s="576"/>
      <c r="H743" s="576"/>
      <c r="I743" s="576"/>
      <c r="J743" s="466"/>
      <c r="K743" s="576"/>
      <c r="L743" s="466"/>
      <c r="M743" s="576"/>
      <c r="N743" s="466"/>
      <c r="O743" s="576"/>
      <c r="P743" s="576"/>
      <c r="Q743" s="576"/>
      <c r="R743" s="346"/>
      <c r="S743" s="346"/>
    </row>
    <row r="744" ht="15.75" customHeight="1">
      <c r="B744" s="591"/>
      <c r="C744" s="466"/>
      <c r="D744" s="466"/>
      <c r="E744" s="592"/>
      <c r="F744" s="466"/>
      <c r="G744" s="576"/>
      <c r="H744" s="576"/>
      <c r="I744" s="576"/>
      <c r="J744" s="466"/>
      <c r="K744" s="576"/>
      <c r="L744" s="466"/>
      <c r="M744" s="576"/>
      <c r="N744" s="466"/>
      <c r="O744" s="576"/>
      <c r="P744" s="576"/>
      <c r="Q744" s="576"/>
      <c r="R744" s="346"/>
      <c r="S744" s="346"/>
    </row>
    <row r="745" ht="15.75" customHeight="1">
      <c r="B745" s="591"/>
      <c r="C745" s="466"/>
      <c r="D745" s="466"/>
      <c r="E745" s="592"/>
      <c r="F745" s="466"/>
      <c r="G745" s="576"/>
      <c r="H745" s="576"/>
      <c r="I745" s="576"/>
      <c r="J745" s="466"/>
      <c r="K745" s="576"/>
      <c r="L745" s="466"/>
      <c r="M745" s="576"/>
      <c r="N745" s="466"/>
      <c r="O745" s="576"/>
      <c r="P745" s="576"/>
      <c r="Q745" s="576"/>
      <c r="R745" s="346"/>
      <c r="S745" s="346"/>
    </row>
    <row r="746" ht="15.75" customHeight="1">
      <c r="B746" s="591"/>
      <c r="C746" s="466"/>
      <c r="D746" s="466"/>
      <c r="E746" s="592"/>
      <c r="F746" s="466"/>
      <c r="G746" s="576"/>
      <c r="H746" s="576"/>
      <c r="I746" s="576"/>
      <c r="J746" s="466"/>
      <c r="K746" s="576"/>
      <c r="L746" s="466"/>
      <c r="M746" s="576"/>
      <c r="N746" s="466"/>
      <c r="O746" s="576"/>
      <c r="P746" s="576"/>
      <c r="Q746" s="576"/>
      <c r="R746" s="346"/>
      <c r="S746" s="346"/>
    </row>
    <row r="747" ht="15.75" customHeight="1">
      <c r="B747" s="591"/>
      <c r="C747" s="466"/>
      <c r="D747" s="466"/>
      <c r="E747" s="592"/>
      <c r="F747" s="466"/>
      <c r="G747" s="576"/>
      <c r="H747" s="576"/>
      <c r="I747" s="576"/>
      <c r="J747" s="466"/>
      <c r="K747" s="576"/>
      <c r="L747" s="466"/>
      <c r="M747" s="576"/>
      <c r="N747" s="466"/>
      <c r="O747" s="576"/>
      <c r="P747" s="576"/>
      <c r="Q747" s="576"/>
      <c r="R747" s="346"/>
      <c r="S747" s="346"/>
    </row>
    <row r="748" ht="15.75" customHeight="1">
      <c r="B748" s="591"/>
      <c r="C748" s="466"/>
      <c r="D748" s="466"/>
      <c r="E748" s="592"/>
      <c r="F748" s="466"/>
      <c r="G748" s="576"/>
      <c r="H748" s="576"/>
      <c r="I748" s="576"/>
      <c r="J748" s="466"/>
      <c r="K748" s="576"/>
      <c r="L748" s="466"/>
      <c r="M748" s="576"/>
      <c r="N748" s="466"/>
      <c r="O748" s="576"/>
      <c r="P748" s="576"/>
      <c r="Q748" s="576"/>
      <c r="R748" s="346"/>
      <c r="S748" s="346"/>
    </row>
    <row r="749" ht="15.75" customHeight="1">
      <c r="B749" s="591"/>
      <c r="C749" s="466"/>
      <c r="D749" s="466"/>
      <c r="E749" s="592"/>
      <c r="F749" s="466"/>
      <c r="G749" s="576"/>
      <c r="H749" s="576"/>
      <c r="I749" s="576"/>
      <c r="J749" s="466"/>
      <c r="K749" s="576"/>
      <c r="L749" s="466"/>
      <c r="M749" s="576"/>
      <c r="N749" s="466"/>
      <c r="O749" s="576"/>
      <c r="P749" s="576"/>
      <c r="Q749" s="576"/>
      <c r="R749" s="346"/>
      <c r="S749" s="346"/>
    </row>
    <row r="750" ht="15.75" customHeight="1">
      <c r="B750" s="591"/>
      <c r="C750" s="466"/>
      <c r="D750" s="466"/>
      <c r="E750" s="592"/>
      <c r="F750" s="466"/>
      <c r="G750" s="576"/>
      <c r="H750" s="576"/>
      <c r="I750" s="576"/>
      <c r="J750" s="466"/>
      <c r="K750" s="576"/>
      <c r="L750" s="466"/>
      <c r="M750" s="576"/>
      <c r="N750" s="466"/>
      <c r="O750" s="576"/>
      <c r="P750" s="576"/>
      <c r="Q750" s="576"/>
      <c r="R750" s="346"/>
      <c r="S750" s="346"/>
    </row>
    <row r="751" ht="15.75" customHeight="1">
      <c r="B751" s="591"/>
      <c r="C751" s="466"/>
      <c r="D751" s="466"/>
      <c r="E751" s="592"/>
      <c r="F751" s="466"/>
      <c r="G751" s="576"/>
      <c r="H751" s="576"/>
      <c r="I751" s="576"/>
      <c r="J751" s="466"/>
      <c r="K751" s="576"/>
      <c r="L751" s="466"/>
      <c r="M751" s="576"/>
      <c r="N751" s="466"/>
      <c r="O751" s="576"/>
      <c r="P751" s="576"/>
      <c r="Q751" s="576"/>
      <c r="R751" s="346"/>
      <c r="S751" s="346"/>
    </row>
    <row r="752" ht="15.75" customHeight="1">
      <c r="B752" s="591"/>
      <c r="C752" s="466"/>
      <c r="D752" s="466"/>
      <c r="E752" s="592"/>
      <c r="F752" s="466"/>
      <c r="G752" s="576"/>
      <c r="H752" s="576"/>
      <c r="I752" s="576"/>
      <c r="J752" s="466"/>
      <c r="K752" s="576"/>
      <c r="L752" s="466"/>
      <c r="M752" s="576"/>
      <c r="N752" s="466"/>
      <c r="O752" s="576"/>
      <c r="P752" s="576"/>
      <c r="Q752" s="576"/>
      <c r="R752" s="346"/>
      <c r="S752" s="346"/>
    </row>
    <row r="753" ht="15.75" customHeight="1">
      <c r="B753" s="591"/>
      <c r="C753" s="466"/>
      <c r="D753" s="466"/>
      <c r="E753" s="592"/>
      <c r="F753" s="466"/>
      <c r="G753" s="576"/>
      <c r="H753" s="576"/>
      <c r="I753" s="576"/>
      <c r="J753" s="466"/>
      <c r="K753" s="576"/>
      <c r="L753" s="466"/>
      <c r="M753" s="576"/>
      <c r="N753" s="466"/>
      <c r="O753" s="576"/>
      <c r="P753" s="576"/>
      <c r="Q753" s="576"/>
      <c r="R753" s="346"/>
      <c r="S753" s="346"/>
    </row>
    <row r="754" ht="15.75" customHeight="1">
      <c r="B754" s="591"/>
      <c r="C754" s="466"/>
      <c r="D754" s="466"/>
      <c r="E754" s="592"/>
      <c r="F754" s="466"/>
      <c r="G754" s="576"/>
      <c r="H754" s="576"/>
      <c r="I754" s="576"/>
      <c r="J754" s="466"/>
      <c r="K754" s="576"/>
      <c r="L754" s="466"/>
      <c r="M754" s="576"/>
      <c r="N754" s="466"/>
      <c r="O754" s="576"/>
      <c r="P754" s="576"/>
      <c r="Q754" s="576"/>
      <c r="R754" s="346"/>
      <c r="S754" s="346"/>
    </row>
    <row r="755" ht="15.75" customHeight="1">
      <c r="B755" s="591"/>
      <c r="C755" s="466"/>
      <c r="D755" s="466"/>
      <c r="E755" s="592"/>
      <c r="F755" s="466"/>
      <c r="G755" s="576"/>
      <c r="H755" s="576"/>
      <c r="I755" s="576"/>
      <c r="J755" s="466"/>
      <c r="K755" s="576"/>
      <c r="L755" s="466"/>
      <c r="M755" s="576"/>
      <c r="N755" s="466"/>
      <c r="O755" s="576"/>
      <c r="P755" s="576"/>
      <c r="Q755" s="576"/>
      <c r="R755" s="346"/>
      <c r="S755" s="346"/>
    </row>
    <row r="756" ht="15.75" customHeight="1">
      <c r="B756" s="591"/>
      <c r="C756" s="466"/>
      <c r="D756" s="466"/>
      <c r="E756" s="592"/>
      <c r="F756" s="466"/>
      <c r="G756" s="576"/>
      <c r="H756" s="576"/>
      <c r="I756" s="576"/>
      <c r="J756" s="466"/>
      <c r="K756" s="576"/>
      <c r="L756" s="466"/>
      <c r="M756" s="576"/>
      <c r="N756" s="466"/>
      <c r="O756" s="576"/>
      <c r="P756" s="576"/>
      <c r="Q756" s="576"/>
      <c r="R756" s="346"/>
      <c r="S756" s="346"/>
    </row>
    <row r="757" ht="15.75" customHeight="1">
      <c r="B757" s="591"/>
      <c r="C757" s="466"/>
      <c r="D757" s="466"/>
      <c r="E757" s="592"/>
      <c r="F757" s="466"/>
      <c r="G757" s="576"/>
      <c r="H757" s="576"/>
      <c r="I757" s="576"/>
      <c r="J757" s="466"/>
      <c r="K757" s="576"/>
      <c r="L757" s="466"/>
      <c r="M757" s="576"/>
      <c r="N757" s="466"/>
      <c r="O757" s="576"/>
      <c r="P757" s="576"/>
      <c r="Q757" s="576"/>
      <c r="R757" s="346"/>
      <c r="S757" s="346"/>
    </row>
    <row r="758" ht="15.75" customHeight="1">
      <c r="B758" s="591"/>
      <c r="C758" s="466"/>
      <c r="D758" s="466"/>
      <c r="E758" s="592"/>
      <c r="F758" s="466"/>
      <c r="G758" s="576"/>
      <c r="H758" s="576"/>
      <c r="I758" s="576"/>
      <c r="J758" s="466"/>
      <c r="K758" s="576"/>
      <c r="L758" s="466"/>
      <c r="M758" s="576"/>
      <c r="N758" s="466"/>
      <c r="O758" s="576"/>
      <c r="P758" s="576"/>
      <c r="Q758" s="576"/>
      <c r="R758" s="346"/>
      <c r="S758" s="346"/>
    </row>
    <row r="759" ht="15.75" customHeight="1">
      <c r="B759" s="591"/>
      <c r="C759" s="466"/>
      <c r="D759" s="466"/>
      <c r="E759" s="592"/>
      <c r="F759" s="466"/>
      <c r="G759" s="576"/>
      <c r="H759" s="576"/>
      <c r="I759" s="576"/>
      <c r="J759" s="466"/>
      <c r="K759" s="576"/>
      <c r="L759" s="466"/>
      <c r="M759" s="576"/>
      <c r="N759" s="466"/>
      <c r="O759" s="576"/>
      <c r="P759" s="576"/>
      <c r="Q759" s="576"/>
      <c r="R759" s="346"/>
      <c r="S759" s="346"/>
    </row>
    <row r="760" ht="15.75" customHeight="1">
      <c r="B760" s="591"/>
      <c r="C760" s="466"/>
      <c r="D760" s="466"/>
      <c r="E760" s="592"/>
      <c r="F760" s="466"/>
      <c r="G760" s="576"/>
      <c r="H760" s="576"/>
      <c r="I760" s="576"/>
      <c r="J760" s="466"/>
      <c r="K760" s="576"/>
      <c r="L760" s="466"/>
      <c r="M760" s="576"/>
      <c r="N760" s="466"/>
      <c r="O760" s="576"/>
      <c r="P760" s="576"/>
      <c r="Q760" s="576"/>
      <c r="R760" s="346"/>
      <c r="S760" s="346"/>
    </row>
    <row r="761" ht="15.75" customHeight="1">
      <c r="B761" s="591"/>
      <c r="C761" s="466"/>
      <c r="D761" s="466"/>
      <c r="E761" s="592"/>
      <c r="F761" s="466"/>
      <c r="G761" s="576"/>
      <c r="H761" s="576"/>
      <c r="I761" s="576"/>
      <c r="J761" s="466"/>
      <c r="K761" s="576"/>
      <c r="L761" s="466"/>
      <c r="M761" s="576"/>
      <c r="N761" s="466"/>
      <c r="O761" s="576"/>
      <c r="P761" s="576"/>
      <c r="Q761" s="576"/>
      <c r="R761" s="346"/>
      <c r="S761" s="346"/>
    </row>
    <row r="762" ht="15.75" customHeight="1">
      <c r="B762" s="591"/>
      <c r="C762" s="466"/>
      <c r="D762" s="466"/>
      <c r="E762" s="592"/>
      <c r="F762" s="466"/>
      <c r="G762" s="576"/>
      <c r="H762" s="576"/>
      <c r="I762" s="576"/>
      <c r="J762" s="466"/>
      <c r="K762" s="576"/>
      <c r="L762" s="466"/>
      <c r="M762" s="576"/>
      <c r="N762" s="466"/>
      <c r="O762" s="576"/>
      <c r="P762" s="576"/>
      <c r="Q762" s="576"/>
      <c r="R762" s="346"/>
      <c r="S762" s="346"/>
    </row>
    <row r="763" ht="15.75" customHeight="1">
      <c r="B763" s="591"/>
      <c r="C763" s="466"/>
      <c r="D763" s="466"/>
      <c r="E763" s="592"/>
      <c r="F763" s="466"/>
      <c r="G763" s="576"/>
      <c r="H763" s="576"/>
      <c r="I763" s="576"/>
      <c r="J763" s="466"/>
      <c r="K763" s="576"/>
      <c r="L763" s="466"/>
      <c r="M763" s="576"/>
      <c r="N763" s="466"/>
      <c r="O763" s="576"/>
      <c r="P763" s="576"/>
      <c r="Q763" s="576"/>
      <c r="R763" s="346"/>
      <c r="S763" s="346"/>
    </row>
    <row r="764" ht="15.75" customHeight="1">
      <c r="B764" s="591"/>
      <c r="C764" s="466"/>
      <c r="D764" s="466"/>
      <c r="E764" s="592"/>
      <c r="F764" s="466"/>
      <c r="G764" s="576"/>
      <c r="H764" s="576"/>
      <c r="I764" s="576"/>
      <c r="J764" s="466"/>
      <c r="K764" s="576"/>
      <c r="L764" s="466"/>
      <c r="M764" s="576"/>
      <c r="N764" s="466"/>
      <c r="O764" s="576"/>
      <c r="P764" s="576"/>
      <c r="Q764" s="576"/>
      <c r="R764" s="346"/>
      <c r="S764" s="346"/>
    </row>
    <row r="765" ht="15.75" customHeight="1">
      <c r="B765" s="591"/>
      <c r="C765" s="466"/>
      <c r="D765" s="466"/>
      <c r="E765" s="592"/>
      <c r="F765" s="466"/>
      <c r="G765" s="576"/>
      <c r="H765" s="576"/>
      <c r="I765" s="576"/>
      <c r="J765" s="466"/>
      <c r="K765" s="576"/>
      <c r="L765" s="466"/>
      <c r="M765" s="576"/>
      <c r="N765" s="466"/>
      <c r="O765" s="576"/>
      <c r="P765" s="576"/>
      <c r="Q765" s="576"/>
      <c r="R765" s="346"/>
      <c r="S765" s="346"/>
    </row>
    <row r="766" ht="15.75" customHeight="1">
      <c r="B766" s="591"/>
      <c r="C766" s="466"/>
      <c r="D766" s="466"/>
      <c r="E766" s="592"/>
      <c r="F766" s="466"/>
      <c r="G766" s="576"/>
      <c r="H766" s="576"/>
      <c r="I766" s="576"/>
      <c r="J766" s="466"/>
      <c r="K766" s="576"/>
      <c r="L766" s="466"/>
      <c r="M766" s="576"/>
      <c r="N766" s="466"/>
      <c r="O766" s="576"/>
      <c r="P766" s="576"/>
      <c r="Q766" s="576"/>
      <c r="R766" s="346"/>
      <c r="S766" s="346"/>
    </row>
    <row r="767" ht="15.75" customHeight="1">
      <c r="B767" s="591"/>
      <c r="C767" s="466"/>
      <c r="D767" s="466"/>
      <c r="E767" s="592"/>
      <c r="F767" s="466"/>
      <c r="G767" s="576"/>
      <c r="H767" s="576"/>
      <c r="I767" s="576"/>
      <c r="J767" s="466"/>
      <c r="K767" s="576"/>
      <c r="L767" s="466"/>
      <c r="M767" s="576"/>
      <c r="N767" s="466"/>
      <c r="O767" s="576"/>
      <c r="P767" s="576"/>
      <c r="Q767" s="576"/>
      <c r="R767" s="346"/>
      <c r="S767" s="346"/>
    </row>
    <row r="768" ht="15.75" customHeight="1">
      <c r="B768" s="591"/>
      <c r="C768" s="466"/>
      <c r="D768" s="466"/>
      <c r="E768" s="592"/>
      <c r="F768" s="466"/>
      <c r="G768" s="576"/>
      <c r="H768" s="576"/>
      <c r="I768" s="576"/>
      <c r="J768" s="466"/>
      <c r="K768" s="576"/>
      <c r="L768" s="466"/>
      <c r="M768" s="576"/>
      <c r="N768" s="466"/>
      <c r="O768" s="576"/>
      <c r="P768" s="576"/>
      <c r="Q768" s="576"/>
      <c r="R768" s="346"/>
      <c r="S768" s="346"/>
    </row>
    <row r="769" ht="15.75" customHeight="1">
      <c r="B769" s="591"/>
      <c r="C769" s="466"/>
      <c r="D769" s="466"/>
      <c r="E769" s="592"/>
      <c r="F769" s="466"/>
      <c r="G769" s="576"/>
      <c r="H769" s="576"/>
      <c r="I769" s="576"/>
      <c r="J769" s="466"/>
      <c r="K769" s="576"/>
      <c r="L769" s="466"/>
      <c r="M769" s="576"/>
      <c r="N769" s="466"/>
      <c r="O769" s="576"/>
      <c r="P769" s="576"/>
      <c r="Q769" s="576"/>
      <c r="R769" s="346"/>
      <c r="S769" s="346"/>
    </row>
    <row r="770" ht="15.75" customHeight="1">
      <c r="B770" s="591"/>
      <c r="C770" s="466"/>
      <c r="D770" s="466"/>
      <c r="E770" s="592"/>
      <c r="F770" s="466"/>
      <c r="G770" s="576"/>
      <c r="H770" s="576"/>
      <c r="I770" s="576"/>
      <c r="J770" s="466"/>
      <c r="K770" s="576"/>
      <c r="L770" s="466"/>
      <c r="M770" s="576"/>
      <c r="N770" s="466"/>
      <c r="O770" s="576"/>
      <c r="P770" s="576"/>
      <c r="Q770" s="576"/>
      <c r="R770" s="346"/>
      <c r="S770" s="346"/>
    </row>
    <row r="771" ht="15.75" customHeight="1">
      <c r="B771" s="591"/>
      <c r="C771" s="466"/>
      <c r="D771" s="466"/>
      <c r="E771" s="592"/>
      <c r="F771" s="466"/>
      <c r="G771" s="576"/>
      <c r="H771" s="576"/>
      <c r="I771" s="576"/>
      <c r="J771" s="466"/>
      <c r="K771" s="576"/>
      <c r="L771" s="466"/>
      <c r="M771" s="576"/>
      <c r="N771" s="466"/>
      <c r="O771" s="576"/>
      <c r="P771" s="576"/>
      <c r="Q771" s="576"/>
      <c r="R771" s="346"/>
      <c r="S771" s="346"/>
    </row>
    <row r="772" ht="15.75" customHeight="1">
      <c r="B772" s="591"/>
      <c r="C772" s="466"/>
      <c r="D772" s="466"/>
      <c r="E772" s="592"/>
      <c r="F772" s="466"/>
      <c r="G772" s="576"/>
      <c r="H772" s="576"/>
      <c r="I772" s="576"/>
      <c r="J772" s="466"/>
      <c r="K772" s="576"/>
      <c r="L772" s="466"/>
      <c r="M772" s="576"/>
      <c r="N772" s="466"/>
      <c r="O772" s="576"/>
      <c r="P772" s="576"/>
      <c r="Q772" s="576"/>
      <c r="R772" s="346"/>
      <c r="S772" s="346"/>
    </row>
    <row r="773" ht="15.75" customHeight="1">
      <c r="B773" s="591"/>
      <c r="C773" s="466"/>
      <c r="D773" s="466"/>
      <c r="E773" s="592"/>
      <c r="F773" s="466"/>
      <c r="G773" s="576"/>
      <c r="H773" s="576"/>
      <c r="I773" s="576"/>
      <c r="J773" s="466"/>
      <c r="K773" s="576"/>
      <c r="L773" s="466"/>
      <c r="M773" s="576"/>
      <c r="N773" s="466"/>
      <c r="O773" s="576"/>
      <c r="P773" s="576"/>
      <c r="Q773" s="576"/>
      <c r="R773" s="346"/>
      <c r="S773" s="346"/>
    </row>
    <row r="774" ht="15.75" customHeight="1">
      <c r="B774" s="591"/>
      <c r="C774" s="466"/>
      <c r="D774" s="466"/>
      <c r="E774" s="592"/>
      <c r="F774" s="466"/>
      <c r="G774" s="576"/>
      <c r="H774" s="576"/>
      <c r="I774" s="576"/>
      <c r="J774" s="466"/>
      <c r="K774" s="576"/>
      <c r="L774" s="466"/>
      <c r="M774" s="576"/>
      <c r="N774" s="466"/>
      <c r="O774" s="576"/>
      <c r="P774" s="576"/>
      <c r="Q774" s="576"/>
      <c r="R774" s="346"/>
      <c r="S774" s="346"/>
    </row>
    <row r="775" ht="15.75" customHeight="1">
      <c r="B775" s="591"/>
      <c r="C775" s="466"/>
      <c r="D775" s="466"/>
      <c r="E775" s="592"/>
      <c r="F775" s="466"/>
      <c r="G775" s="576"/>
      <c r="H775" s="576"/>
      <c r="I775" s="576"/>
      <c r="J775" s="466"/>
      <c r="K775" s="576"/>
      <c r="L775" s="466"/>
      <c r="M775" s="576"/>
      <c r="N775" s="466"/>
      <c r="O775" s="576"/>
      <c r="P775" s="576"/>
      <c r="Q775" s="576"/>
      <c r="R775" s="346"/>
      <c r="S775" s="346"/>
    </row>
    <row r="776" ht="15.75" customHeight="1">
      <c r="B776" s="591"/>
      <c r="C776" s="466"/>
      <c r="D776" s="466"/>
      <c r="E776" s="592"/>
      <c r="F776" s="466"/>
      <c r="G776" s="576"/>
      <c r="H776" s="576"/>
      <c r="I776" s="576"/>
      <c r="J776" s="466"/>
      <c r="K776" s="576"/>
      <c r="L776" s="466"/>
      <c r="M776" s="576"/>
      <c r="N776" s="466"/>
      <c r="O776" s="576"/>
      <c r="P776" s="576"/>
      <c r="Q776" s="576"/>
      <c r="R776" s="346"/>
      <c r="S776" s="346"/>
    </row>
    <row r="777" ht="15.75" customHeight="1">
      <c r="B777" s="591"/>
      <c r="C777" s="466"/>
      <c r="D777" s="466"/>
      <c r="E777" s="592"/>
      <c r="F777" s="466"/>
      <c r="G777" s="576"/>
      <c r="H777" s="576"/>
      <c r="I777" s="576"/>
      <c r="J777" s="466"/>
      <c r="K777" s="576"/>
      <c r="L777" s="466"/>
      <c r="M777" s="576"/>
      <c r="N777" s="466"/>
      <c r="O777" s="576"/>
      <c r="P777" s="576"/>
      <c r="Q777" s="576"/>
      <c r="R777" s="346"/>
      <c r="S777" s="346"/>
    </row>
    <row r="778" ht="15.75" customHeight="1">
      <c r="B778" s="591"/>
      <c r="C778" s="466"/>
      <c r="D778" s="466"/>
      <c r="E778" s="592"/>
      <c r="F778" s="466"/>
      <c r="G778" s="576"/>
      <c r="H778" s="576"/>
      <c r="I778" s="576"/>
      <c r="J778" s="466"/>
      <c r="K778" s="576"/>
      <c r="L778" s="466"/>
      <c r="M778" s="576"/>
      <c r="N778" s="466"/>
      <c r="O778" s="576"/>
      <c r="P778" s="576"/>
      <c r="Q778" s="576"/>
      <c r="R778" s="346"/>
      <c r="S778" s="346"/>
    </row>
    <row r="779" ht="15.75" customHeight="1">
      <c r="B779" s="591"/>
      <c r="C779" s="466"/>
      <c r="D779" s="466"/>
      <c r="E779" s="592"/>
      <c r="F779" s="466"/>
      <c r="G779" s="576"/>
      <c r="H779" s="576"/>
      <c r="I779" s="576"/>
      <c r="J779" s="466"/>
      <c r="K779" s="576"/>
      <c r="L779" s="466"/>
      <c r="M779" s="576"/>
      <c r="N779" s="466"/>
      <c r="O779" s="576"/>
      <c r="P779" s="576"/>
      <c r="Q779" s="576"/>
      <c r="R779" s="346"/>
      <c r="S779" s="346"/>
    </row>
    <row r="780" ht="15.75" customHeight="1">
      <c r="B780" s="591"/>
      <c r="C780" s="466"/>
      <c r="D780" s="466"/>
      <c r="E780" s="592"/>
      <c r="F780" s="466"/>
      <c r="G780" s="576"/>
      <c r="H780" s="576"/>
      <c r="I780" s="576"/>
      <c r="J780" s="466"/>
      <c r="K780" s="576"/>
      <c r="L780" s="466"/>
      <c r="M780" s="576"/>
      <c r="N780" s="466"/>
      <c r="O780" s="576"/>
      <c r="P780" s="576"/>
      <c r="Q780" s="576"/>
      <c r="R780" s="346"/>
      <c r="S780" s="346"/>
    </row>
    <row r="781" ht="15.75" customHeight="1">
      <c r="B781" s="591"/>
      <c r="C781" s="466"/>
      <c r="D781" s="466"/>
      <c r="E781" s="592"/>
      <c r="F781" s="466"/>
      <c r="G781" s="576"/>
      <c r="H781" s="576"/>
      <c r="I781" s="576"/>
      <c r="J781" s="466"/>
      <c r="K781" s="576"/>
      <c r="L781" s="466"/>
      <c r="M781" s="576"/>
      <c r="N781" s="466"/>
      <c r="O781" s="576"/>
      <c r="P781" s="576"/>
      <c r="Q781" s="576"/>
      <c r="R781" s="346"/>
      <c r="S781" s="346"/>
    </row>
    <row r="782" ht="15.75" customHeight="1">
      <c r="B782" s="591"/>
      <c r="C782" s="466"/>
      <c r="D782" s="466"/>
      <c r="E782" s="592"/>
      <c r="F782" s="466"/>
      <c r="G782" s="576"/>
      <c r="H782" s="576"/>
      <c r="I782" s="576"/>
      <c r="J782" s="466"/>
      <c r="K782" s="576"/>
      <c r="L782" s="466"/>
      <c r="M782" s="576"/>
      <c r="N782" s="466"/>
      <c r="O782" s="576"/>
      <c r="P782" s="576"/>
      <c r="Q782" s="576"/>
      <c r="R782" s="346"/>
      <c r="S782" s="346"/>
    </row>
    <row r="783" ht="15.75" customHeight="1">
      <c r="B783" s="591"/>
      <c r="C783" s="466"/>
      <c r="D783" s="466"/>
      <c r="E783" s="592"/>
      <c r="F783" s="466"/>
      <c r="G783" s="576"/>
      <c r="H783" s="576"/>
      <c r="I783" s="576"/>
      <c r="J783" s="466"/>
      <c r="K783" s="576"/>
      <c r="L783" s="466"/>
      <c r="M783" s="576"/>
      <c r="N783" s="466"/>
      <c r="O783" s="576"/>
      <c r="P783" s="576"/>
      <c r="Q783" s="576"/>
      <c r="R783" s="346"/>
      <c r="S783" s="346"/>
    </row>
    <row r="784" ht="15.75" customHeight="1">
      <c r="B784" s="591"/>
      <c r="C784" s="466"/>
      <c r="D784" s="466"/>
      <c r="E784" s="592"/>
      <c r="F784" s="466"/>
      <c r="G784" s="576"/>
      <c r="H784" s="576"/>
      <c r="I784" s="576"/>
      <c r="J784" s="466"/>
      <c r="K784" s="576"/>
      <c r="L784" s="466"/>
      <c r="M784" s="576"/>
      <c r="N784" s="466"/>
      <c r="O784" s="576"/>
      <c r="P784" s="576"/>
      <c r="Q784" s="576"/>
      <c r="R784" s="346"/>
      <c r="S784" s="346"/>
    </row>
    <row r="785" ht="15.75" customHeight="1">
      <c r="B785" s="591"/>
      <c r="C785" s="466"/>
      <c r="D785" s="466"/>
      <c r="E785" s="592"/>
      <c r="F785" s="466"/>
      <c r="G785" s="576"/>
      <c r="H785" s="576"/>
      <c r="I785" s="576"/>
      <c r="J785" s="466"/>
      <c r="K785" s="576"/>
      <c r="L785" s="466"/>
      <c r="M785" s="576"/>
      <c r="N785" s="466"/>
      <c r="O785" s="576"/>
      <c r="P785" s="576"/>
      <c r="Q785" s="576"/>
      <c r="R785" s="346"/>
      <c r="S785" s="346"/>
    </row>
    <row r="786" ht="15.75" customHeight="1">
      <c r="B786" s="591"/>
      <c r="C786" s="466"/>
      <c r="D786" s="466"/>
      <c r="E786" s="592"/>
      <c r="F786" s="466"/>
      <c r="G786" s="576"/>
      <c r="H786" s="576"/>
      <c r="I786" s="576"/>
      <c r="J786" s="466"/>
      <c r="K786" s="576"/>
      <c r="L786" s="466"/>
      <c r="M786" s="576"/>
      <c r="N786" s="466"/>
      <c r="O786" s="576"/>
      <c r="P786" s="576"/>
      <c r="Q786" s="576"/>
      <c r="R786" s="346"/>
      <c r="S786" s="346"/>
    </row>
    <row r="787" ht="15.75" customHeight="1">
      <c r="B787" s="591"/>
      <c r="C787" s="466"/>
      <c r="D787" s="466"/>
      <c r="E787" s="592"/>
      <c r="F787" s="466"/>
      <c r="G787" s="576"/>
      <c r="H787" s="576"/>
      <c r="I787" s="576"/>
      <c r="J787" s="466"/>
      <c r="K787" s="576"/>
      <c r="L787" s="466"/>
      <c r="M787" s="576"/>
      <c r="N787" s="466"/>
      <c r="O787" s="576"/>
      <c r="P787" s="576"/>
      <c r="Q787" s="576"/>
      <c r="R787" s="346"/>
      <c r="S787" s="346"/>
    </row>
    <row r="788" ht="15.75" customHeight="1">
      <c r="B788" s="591"/>
      <c r="C788" s="466"/>
      <c r="D788" s="466"/>
      <c r="E788" s="592"/>
      <c r="F788" s="466"/>
      <c r="G788" s="576"/>
      <c r="H788" s="576"/>
      <c r="I788" s="576"/>
      <c r="J788" s="466"/>
      <c r="K788" s="576"/>
      <c r="L788" s="466"/>
      <c r="M788" s="576"/>
      <c r="N788" s="466"/>
      <c r="O788" s="576"/>
      <c r="P788" s="576"/>
      <c r="Q788" s="576"/>
      <c r="R788" s="346"/>
      <c r="S788" s="346"/>
    </row>
    <row r="789" ht="15.75" customHeight="1">
      <c r="B789" s="591"/>
      <c r="C789" s="466"/>
      <c r="D789" s="466"/>
      <c r="E789" s="592"/>
      <c r="F789" s="466"/>
      <c r="G789" s="576"/>
      <c r="H789" s="576"/>
      <c r="I789" s="576"/>
      <c r="J789" s="466"/>
      <c r="K789" s="576"/>
      <c r="L789" s="466"/>
      <c r="M789" s="576"/>
      <c r="N789" s="466"/>
      <c r="O789" s="576"/>
      <c r="P789" s="576"/>
      <c r="Q789" s="576"/>
      <c r="R789" s="346"/>
      <c r="S789" s="346"/>
    </row>
    <row r="790" ht="15.75" customHeight="1">
      <c r="B790" s="591"/>
      <c r="C790" s="466"/>
      <c r="D790" s="466"/>
      <c r="E790" s="592"/>
      <c r="F790" s="466"/>
      <c r="G790" s="576"/>
      <c r="H790" s="576"/>
      <c r="I790" s="576"/>
      <c r="J790" s="466"/>
      <c r="K790" s="576"/>
      <c r="L790" s="466"/>
      <c r="M790" s="576"/>
      <c r="N790" s="466"/>
      <c r="O790" s="576"/>
      <c r="P790" s="576"/>
      <c r="Q790" s="576"/>
      <c r="R790" s="346"/>
      <c r="S790" s="346"/>
    </row>
    <row r="791" ht="15.75" customHeight="1">
      <c r="B791" s="591"/>
      <c r="C791" s="466"/>
      <c r="D791" s="466"/>
      <c r="E791" s="592"/>
      <c r="F791" s="466"/>
      <c r="G791" s="576"/>
      <c r="H791" s="576"/>
      <c r="I791" s="576"/>
      <c r="J791" s="466"/>
      <c r="K791" s="576"/>
      <c r="L791" s="466"/>
      <c r="M791" s="576"/>
      <c r="N791" s="466"/>
      <c r="O791" s="576"/>
      <c r="P791" s="576"/>
      <c r="Q791" s="576"/>
      <c r="R791" s="346"/>
      <c r="S791" s="346"/>
    </row>
    <row r="792" ht="15.75" customHeight="1">
      <c r="B792" s="591"/>
      <c r="C792" s="466"/>
      <c r="D792" s="466"/>
      <c r="E792" s="592"/>
      <c r="F792" s="466"/>
      <c r="G792" s="576"/>
      <c r="H792" s="576"/>
      <c r="I792" s="576"/>
      <c r="J792" s="466"/>
      <c r="K792" s="576"/>
      <c r="L792" s="466"/>
      <c r="M792" s="576"/>
      <c r="N792" s="466"/>
      <c r="O792" s="576"/>
      <c r="P792" s="576"/>
      <c r="Q792" s="576"/>
      <c r="R792" s="346"/>
      <c r="S792" s="346"/>
    </row>
    <row r="793" ht="15.75" customHeight="1">
      <c r="B793" s="591"/>
      <c r="C793" s="466"/>
      <c r="D793" s="466"/>
      <c r="E793" s="592"/>
      <c r="F793" s="466"/>
      <c r="G793" s="576"/>
      <c r="H793" s="576"/>
      <c r="I793" s="576"/>
      <c r="J793" s="466"/>
      <c r="K793" s="576"/>
      <c r="L793" s="466"/>
      <c r="M793" s="576"/>
      <c r="N793" s="466"/>
      <c r="O793" s="576"/>
      <c r="P793" s="576"/>
      <c r="Q793" s="576"/>
      <c r="R793" s="346"/>
      <c r="S793" s="346"/>
    </row>
    <row r="794" ht="15.75" customHeight="1">
      <c r="B794" s="591"/>
      <c r="C794" s="466"/>
      <c r="D794" s="466"/>
      <c r="E794" s="592"/>
      <c r="F794" s="466"/>
      <c r="G794" s="576"/>
      <c r="H794" s="576"/>
      <c r="I794" s="576"/>
      <c r="J794" s="466"/>
      <c r="K794" s="576"/>
      <c r="L794" s="466"/>
      <c r="M794" s="576"/>
      <c r="N794" s="466"/>
      <c r="O794" s="576"/>
      <c r="P794" s="576"/>
      <c r="Q794" s="576"/>
      <c r="R794" s="346"/>
      <c r="S794" s="346"/>
    </row>
    <row r="795" ht="15.75" customHeight="1">
      <c r="B795" s="591"/>
      <c r="C795" s="466"/>
      <c r="D795" s="466"/>
      <c r="E795" s="592"/>
      <c r="F795" s="466"/>
      <c r="G795" s="576"/>
      <c r="H795" s="576"/>
      <c r="I795" s="576"/>
      <c r="J795" s="466"/>
      <c r="K795" s="576"/>
      <c r="L795" s="466"/>
      <c r="M795" s="576"/>
      <c r="N795" s="466"/>
      <c r="O795" s="576"/>
      <c r="P795" s="576"/>
      <c r="Q795" s="576"/>
      <c r="R795" s="346"/>
      <c r="S795" s="346"/>
    </row>
    <row r="796" ht="15.75" customHeight="1">
      <c r="B796" s="591"/>
      <c r="C796" s="466"/>
      <c r="D796" s="466"/>
      <c r="E796" s="592"/>
      <c r="F796" s="466"/>
      <c r="G796" s="576"/>
      <c r="H796" s="576"/>
      <c r="I796" s="576"/>
      <c r="J796" s="466"/>
      <c r="K796" s="576"/>
      <c r="L796" s="466"/>
      <c r="M796" s="576"/>
      <c r="N796" s="466"/>
      <c r="O796" s="576"/>
      <c r="P796" s="576"/>
      <c r="Q796" s="576"/>
      <c r="R796" s="346"/>
      <c r="S796" s="346"/>
    </row>
    <row r="797" ht="15.75" customHeight="1">
      <c r="B797" s="591"/>
      <c r="C797" s="466"/>
      <c r="D797" s="466"/>
      <c r="E797" s="592"/>
      <c r="F797" s="466"/>
      <c r="G797" s="576"/>
      <c r="H797" s="576"/>
      <c r="I797" s="576"/>
      <c r="J797" s="466"/>
      <c r="K797" s="576"/>
      <c r="L797" s="466"/>
      <c r="M797" s="576"/>
      <c r="N797" s="466"/>
      <c r="O797" s="576"/>
      <c r="P797" s="576"/>
      <c r="Q797" s="576"/>
      <c r="R797" s="346"/>
      <c r="S797" s="346"/>
    </row>
    <row r="798" ht="15.75" customHeight="1">
      <c r="B798" s="591"/>
      <c r="C798" s="466"/>
      <c r="D798" s="466"/>
      <c r="E798" s="592"/>
      <c r="F798" s="466"/>
      <c r="G798" s="576"/>
      <c r="H798" s="576"/>
      <c r="I798" s="576"/>
      <c r="J798" s="466"/>
      <c r="K798" s="576"/>
      <c r="L798" s="466"/>
      <c r="M798" s="576"/>
      <c r="N798" s="466"/>
      <c r="O798" s="576"/>
      <c r="P798" s="576"/>
      <c r="Q798" s="576"/>
      <c r="R798" s="346"/>
      <c r="S798" s="346"/>
    </row>
    <row r="799" ht="15.75" customHeight="1">
      <c r="B799" s="591"/>
      <c r="C799" s="466"/>
      <c r="D799" s="466"/>
      <c r="E799" s="592"/>
      <c r="F799" s="466"/>
      <c r="G799" s="576"/>
      <c r="H799" s="576"/>
      <c r="I799" s="576"/>
      <c r="J799" s="466"/>
      <c r="K799" s="576"/>
      <c r="L799" s="466"/>
      <c r="M799" s="576"/>
      <c r="N799" s="466"/>
      <c r="O799" s="576"/>
      <c r="P799" s="576"/>
      <c r="Q799" s="576"/>
      <c r="R799" s="346"/>
      <c r="S799" s="346"/>
    </row>
    <row r="800" ht="15.75" customHeight="1">
      <c r="B800" s="591"/>
      <c r="C800" s="466"/>
      <c r="D800" s="466"/>
      <c r="E800" s="592"/>
      <c r="F800" s="466"/>
      <c r="G800" s="576"/>
      <c r="H800" s="576"/>
      <c r="I800" s="576"/>
      <c r="J800" s="466"/>
      <c r="K800" s="576"/>
      <c r="L800" s="466"/>
      <c r="M800" s="576"/>
      <c r="N800" s="466"/>
      <c r="O800" s="576"/>
      <c r="P800" s="576"/>
      <c r="Q800" s="576"/>
      <c r="R800" s="346"/>
      <c r="S800" s="346"/>
    </row>
    <row r="801" ht="15.75" customHeight="1">
      <c r="B801" s="591"/>
      <c r="C801" s="466"/>
      <c r="D801" s="466"/>
      <c r="E801" s="592"/>
      <c r="F801" s="466"/>
      <c r="G801" s="576"/>
      <c r="H801" s="576"/>
      <c r="I801" s="576"/>
      <c r="J801" s="466"/>
      <c r="K801" s="576"/>
      <c r="L801" s="466"/>
      <c r="M801" s="576"/>
      <c r="N801" s="466"/>
      <c r="O801" s="576"/>
      <c r="P801" s="576"/>
      <c r="Q801" s="576"/>
      <c r="R801" s="346"/>
      <c r="S801" s="346"/>
    </row>
    <row r="802" ht="15.75" customHeight="1">
      <c r="B802" s="591"/>
      <c r="C802" s="466"/>
      <c r="D802" s="466"/>
      <c r="E802" s="592"/>
      <c r="F802" s="466"/>
      <c r="G802" s="576"/>
      <c r="H802" s="576"/>
      <c r="I802" s="576"/>
      <c r="J802" s="466"/>
      <c r="K802" s="576"/>
      <c r="L802" s="466"/>
      <c r="M802" s="576"/>
      <c r="N802" s="466"/>
      <c r="O802" s="576"/>
      <c r="P802" s="576"/>
      <c r="Q802" s="576"/>
      <c r="R802" s="346"/>
      <c r="S802" s="346"/>
    </row>
    <row r="803" ht="15.75" customHeight="1">
      <c r="B803" s="591"/>
      <c r="C803" s="466"/>
      <c r="D803" s="466"/>
      <c r="E803" s="592"/>
      <c r="F803" s="466"/>
      <c r="G803" s="576"/>
      <c r="H803" s="576"/>
      <c r="I803" s="576"/>
      <c r="J803" s="466"/>
      <c r="K803" s="576"/>
      <c r="L803" s="466"/>
      <c r="M803" s="576"/>
      <c r="N803" s="466"/>
      <c r="O803" s="576"/>
      <c r="P803" s="576"/>
      <c r="Q803" s="576"/>
      <c r="R803" s="346"/>
      <c r="S803" s="346"/>
    </row>
    <row r="804" ht="15.75" customHeight="1">
      <c r="B804" s="591"/>
      <c r="C804" s="466"/>
      <c r="D804" s="466"/>
      <c r="E804" s="592"/>
      <c r="F804" s="466"/>
      <c r="G804" s="576"/>
      <c r="H804" s="576"/>
      <c r="I804" s="576"/>
      <c r="J804" s="466"/>
      <c r="K804" s="576"/>
      <c r="L804" s="466"/>
      <c r="M804" s="576"/>
      <c r="N804" s="466"/>
      <c r="O804" s="576"/>
      <c r="P804" s="576"/>
      <c r="Q804" s="576"/>
      <c r="R804" s="346"/>
      <c r="S804" s="346"/>
    </row>
    <row r="805" ht="15.75" customHeight="1">
      <c r="B805" s="591"/>
      <c r="C805" s="466"/>
      <c r="D805" s="466"/>
      <c r="E805" s="592"/>
      <c r="F805" s="466"/>
      <c r="G805" s="576"/>
      <c r="H805" s="576"/>
      <c r="I805" s="576"/>
      <c r="J805" s="466"/>
      <c r="K805" s="576"/>
      <c r="L805" s="466"/>
      <c r="M805" s="576"/>
      <c r="N805" s="466"/>
      <c r="O805" s="576"/>
      <c r="P805" s="576"/>
      <c r="Q805" s="576"/>
      <c r="R805" s="346"/>
      <c r="S805" s="346"/>
    </row>
    <row r="806" ht="15.75" customHeight="1">
      <c r="B806" s="591"/>
      <c r="C806" s="466"/>
      <c r="D806" s="466"/>
      <c r="E806" s="592"/>
      <c r="F806" s="466"/>
      <c r="G806" s="576"/>
      <c r="H806" s="576"/>
      <c r="I806" s="576"/>
      <c r="J806" s="466"/>
      <c r="K806" s="576"/>
      <c r="L806" s="466"/>
      <c r="M806" s="576"/>
      <c r="N806" s="466"/>
      <c r="O806" s="576"/>
      <c r="P806" s="576"/>
      <c r="Q806" s="576"/>
      <c r="R806" s="346"/>
      <c r="S806" s="346"/>
    </row>
    <row r="807" ht="15.75" customHeight="1">
      <c r="B807" s="591"/>
      <c r="C807" s="466"/>
      <c r="D807" s="466"/>
      <c r="E807" s="592"/>
      <c r="F807" s="466"/>
      <c r="G807" s="576"/>
      <c r="H807" s="576"/>
      <c r="I807" s="576"/>
      <c r="J807" s="466"/>
      <c r="K807" s="576"/>
      <c r="L807" s="466"/>
      <c r="M807" s="576"/>
      <c r="N807" s="466"/>
      <c r="O807" s="576"/>
      <c r="P807" s="576"/>
      <c r="Q807" s="576"/>
      <c r="R807" s="346"/>
      <c r="S807" s="346"/>
    </row>
    <row r="808" ht="15.75" customHeight="1">
      <c r="B808" s="591"/>
      <c r="C808" s="466"/>
      <c r="D808" s="466"/>
      <c r="E808" s="592"/>
      <c r="F808" s="466"/>
      <c r="G808" s="576"/>
      <c r="H808" s="576"/>
      <c r="I808" s="576"/>
      <c r="J808" s="466"/>
      <c r="K808" s="576"/>
      <c r="L808" s="466"/>
      <c r="M808" s="576"/>
      <c r="N808" s="466"/>
      <c r="O808" s="576"/>
      <c r="P808" s="576"/>
      <c r="Q808" s="576"/>
      <c r="R808" s="346"/>
      <c r="S808" s="346"/>
    </row>
    <row r="809" ht="15.75" customHeight="1">
      <c r="B809" s="591"/>
      <c r="C809" s="466"/>
      <c r="D809" s="466"/>
      <c r="E809" s="592"/>
      <c r="F809" s="466"/>
      <c r="G809" s="576"/>
      <c r="H809" s="576"/>
      <c r="I809" s="576"/>
      <c r="J809" s="466"/>
      <c r="K809" s="576"/>
      <c r="L809" s="466"/>
      <c r="M809" s="576"/>
      <c r="N809" s="466"/>
      <c r="O809" s="576"/>
      <c r="P809" s="576"/>
      <c r="Q809" s="576"/>
      <c r="R809" s="346"/>
      <c r="S809" s="346"/>
    </row>
    <row r="810" ht="15.75" customHeight="1">
      <c r="B810" s="591"/>
      <c r="C810" s="466"/>
      <c r="D810" s="466"/>
      <c r="E810" s="592"/>
      <c r="F810" s="466"/>
      <c r="G810" s="576"/>
      <c r="H810" s="576"/>
      <c r="I810" s="576"/>
      <c r="J810" s="466"/>
      <c r="K810" s="576"/>
      <c r="L810" s="466"/>
      <c r="M810" s="576"/>
      <c r="N810" s="466"/>
      <c r="O810" s="576"/>
      <c r="P810" s="576"/>
      <c r="Q810" s="576"/>
      <c r="R810" s="346"/>
      <c r="S810" s="346"/>
    </row>
    <row r="811" ht="15.75" customHeight="1">
      <c r="B811" s="591"/>
      <c r="C811" s="466"/>
      <c r="D811" s="466"/>
      <c r="E811" s="592"/>
      <c r="F811" s="466"/>
      <c r="G811" s="576"/>
      <c r="H811" s="576"/>
      <c r="I811" s="576"/>
      <c r="J811" s="466"/>
      <c r="K811" s="576"/>
      <c r="L811" s="466"/>
      <c r="M811" s="576"/>
      <c r="N811" s="466"/>
      <c r="O811" s="576"/>
      <c r="P811" s="576"/>
      <c r="Q811" s="576"/>
      <c r="R811" s="346"/>
      <c r="S811" s="346"/>
    </row>
    <row r="812" ht="15.75" customHeight="1">
      <c r="B812" s="591"/>
      <c r="C812" s="466"/>
      <c r="D812" s="466"/>
      <c r="E812" s="592"/>
      <c r="F812" s="466"/>
      <c r="G812" s="576"/>
      <c r="H812" s="576"/>
      <c r="I812" s="576"/>
      <c r="J812" s="466"/>
      <c r="K812" s="576"/>
      <c r="L812" s="466"/>
      <c r="M812" s="576"/>
      <c r="N812" s="466"/>
      <c r="O812" s="576"/>
      <c r="P812" s="576"/>
      <c r="Q812" s="576"/>
      <c r="R812" s="346"/>
      <c r="S812" s="346"/>
    </row>
    <row r="813" ht="15.75" customHeight="1">
      <c r="B813" s="591"/>
      <c r="C813" s="466"/>
      <c r="D813" s="466"/>
      <c r="E813" s="592"/>
      <c r="F813" s="466"/>
      <c r="G813" s="576"/>
      <c r="H813" s="576"/>
      <c r="I813" s="576"/>
      <c r="J813" s="466"/>
      <c r="K813" s="576"/>
      <c r="L813" s="466"/>
      <c r="M813" s="576"/>
      <c r="N813" s="466"/>
      <c r="O813" s="576"/>
      <c r="P813" s="576"/>
      <c r="Q813" s="576"/>
      <c r="R813" s="346"/>
      <c r="S813" s="346"/>
    </row>
    <row r="814" ht="15.75" customHeight="1">
      <c r="B814" s="591"/>
      <c r="C814" s="466"/>
      <c r="D814" s="466"/>
      <c r="E814" s="592"/>
      <c r="F814" s="466"/>
      <c r="G814" s="576"/>
      <c r="H814" s="576"/>
      <c r="I814" s="576"/>
      <c r="J814" s="466"/>
      <c r="K814" s="576"/>
      <c r="L814" s="466"/>
      <c r="M814" s="576"/>
      <c r="N814" s="466"/>
      <c r="O814" s="576"/>
      <c r="P814" s="576"/>
      <c r="Q814" s="576"/>
      <c r="R814" s="346"/>
      <c r="S814" s="346"/>
    </row>
    <row r="815" ht="15.75" customHeight="1">
      <c r="B815" s="591"/>
      <c r="C815" s="466"/>
      <c r="D815" s="466"/>
      <c r="E815" s="592"/>
      <c r="F815" s="466"/>
      <c r="G815" s="576"/>
      <c r="H815" s="576"/>
      <c r="I815" s="576"/>
      <c r="J815" s="466"/>
      <c r="K815" s="576"/>
      <c r="L815" s="466"/>
      <c r="M815" s="576"/>
      <c r="N815" s="466"/>
      <c r="O815" s="576"/>
      <c r="P815" s="576"/>
      <c r="Q815" s="576"/>
      <c r="R815" s="346"/>
      <c r="S815" s="346"/>
    </row>
    <row r="816" ht="15.75" customHeight="1">
      <c r="B816" s="591"/>
      <c r="C816" s="466"/>
      <c r="D816" s="466"/>
      <c r="E816" s="592"/>
      <c r="F816" s="466"/>
      <c r="G816" s="576"/>
      <c r="H816" s="576"/>
      <c r="I816" s="576"/>
      <c r="J816" s="466"/>
      <c r="K816" s="576"/>
      <c r="L816" s="466"/>
      <c r="M816" s="576"/>
      <c r="N816" s="466"/>
      <c r="O816" s="576"/>
      <c r="P816" s="576"/>
      <c r="Q816" s="576"/>
      <c r="R816" s="346"/>
      <c r="S816" s="346"/>
    </row>
    <row r="817" ht="15.75" customHeight="1">
      <c r="B817" s="591"/>
      <c r="C817" s="466"/>
      <c r="D817" s="466"/>
      <c r="E817" s="592"/>
      <c r="F817" s="466"/>
      <c r="G817" s="576"/>
      <c r="H817" s="576"/>
      <c r="I817" s="576"/>
      <c r="J817" s="466"/>
      <c r="K817" s="576"/>
      <c r="L817" s="466"/>
      <c r="M817" s="576"/>
      <c r="N817" s="466"/>
      <c r="O817" s="576"/>
      <c r="P817" s="576"/>
      <c r="Q817" s="576"/>
      <c r="R817" s="346"/>
      <c r="S817" s="346"/>
    </row>
    <row r="818" ht="15.75" customHeight="1">
      <c r="B818" s="591"/>
      <c r="C818" s="466"/>
      <c r="D818" s="466"/>
      <c r="E818" s="592"/>
      <c r="F818" s="466"/>
      <c r="G818" s="576"/>
      <c r="H818" s="576"/>
      <c r="I818" s="576"/>
      <c r="J818" s="466"/>
      <c r="K818" s="576"/>
      <c r="L818" s="466"/>
      <c r="M818" s="576"/>
      <c r="N818" s="466"/>
      <c r="O818" s="576"/>
      <c r="P818" s="576"/>
      <c r="Q818" s="576"/>
      <c r="R818" s="346"/>
      <c r="S818" s="346"/>
    </row>
    <row r="819" ht="15.75" customHeight="1">
      <c r="B819" s="591"/>
      <c r="C819" s="466"/>
      <c r="D819" s="466"/>
      <c r="E819" s="592"/>
      <c r="F819" s="466"/>
      <c r="G819" s="576"/>
      <c r="H819" s="576"/>
      <c r="I819" s="576"/>
      <c r="J819" s="466"/>
      <c r="K819" s="576"/>
      <c r="L819" s="466"/>
      <c r="M819" s="576"/>
      <c r="N819" s="466"/>
      <c r="O819" s="576"/>
      <c r="P819" s="576"/>
      <c r="Q819" s="576"/>
      <c r="R819" s="346"/>
      <c r="S819" s="346"/>
    </row>
    <row r="820" ht="15.75" customHeight="1">
      <c r="B820" s="591"/>
      <c r="C820" s="466"/>
      <c r="D820" s="466"/>
      <c r="E820" s="592"/>
      <c r="F820" s="466"/>
      <c r="G820" s="576"/>
      <c r="H820" s="576"/>
      <c r="I820" s="576"/>
      <c r="J820" s="466"/>
      <c r="K820" s="576"/>
      <c r="L820" s="466"/>
      <c r="M820" s="576"/>
      <c r="N820" s="466"/>
      <c r="O820" s="576"/>
      <c r="P820" s="576"/>
      <c r="Q820" s="576"/>
      <c r="R820" s="346"/>
      <c r="S820" s="346"/>
    </row>
    <row r="821" ht="15.75" customHeight="1">
      <c r="B821" s="591"/>
      <c r="C821" s="466"/>
      <c r="D821" s="466"/>
      <c r="E821" s="592"/>
      <c r="F821" s="466"/>
      <c r="G821" s="576"/>
      <c r="H821" s="576"/>
      <c r="I821" s="576"/>
      <c r="J821" s="466"/>
      <c r="K821" s="576"/>
      <c r="L821" s="466"/>
      <c r="M821" s="576"/>
      <c r="N821" s="466"/>
      <c r="O821" s="576"/>
      <c r="P821" s="576"/>
      <c r="Q821" s="576"/>
      <c r="R821" s="346"/>
      <c r="S821" s="346"/>
    </row>
    <row r="822" ht="15.75" customHeight="1">
      <c r="B822" s="591"/>
      <c r="C822" s="466"/>
      <c r="D822" s="466"/>
      <c r="E822" s="592"/>
      <c r="F822" s="466"/>
      <c r="G822" s="576"/>
      <c r="H822" s="576"/>
      <c r="I822" s="576"/>
      <c r="J822" s="466"/>
      <c r="K822" s="576"/>
      <c r="L822" s="466"/>
      <c r="M822" s="576"/>
      <c r="N822" s="466"/>
      <c r="O822" s="576"/>
      <c r="P822" s="576"/>
      <c r="Q822" s="576"/>
      <c r="R822" s="346"/>
      <c r="S822" s="346"/>
    </row>
    <row r="823" ht="15.75" customHeight="1">
      <c r="B823" s="591"/>
      <c r="C823" s="466"/>
      <c r="D823" s="466"/>
      <c r="E823" s="592"/>
      <c r="F823" s="466"/>
      <c r="G823" s="576"/>
      <c r="H823" s="576"/>
      <c r="I823" s="576"/>
      <c r="J823" s="466"/>
      <c r="K823" s="576"/>
      <c r="L823" s="466"/>
      <c r="M823" s="576"/>
      <c r="N823" s="466"/>
      <c r="O823" s="576"/>
      <c r="P823" s="576"/>
      <c r="Q823" s="576"/>
      <c r="R823" s="346"/>
      <c r="S823" s="346"/>
    </row>
    <row r="824" ht="15.75" customHeight="1">
      <c r="B824" s="591"/>
      <c r="C824" s="466"/>
      <c r="D824" s="466"/>
      <c r="E824" s="592"/>
      <c r="F824" s="466"/>
      <c r="G824" s="576"/>
      <c r="H824" s="576"/>
      <c r="I824" s="576"/>
      <c r="J824" s="466"/>
      <c r="K824" s="576"/>
      <c r="L824" s="466"/>
      <c r="M824" s="576"/>
      <c r="N824" s="466"/>
      <c r="O824" s="576"/>
      <c r="P824" s="576"/>
      <c r="Q824" s="576"/>
      <c r="R824" s="346"/>
      <c r="S824" s="346"/>
    </row>
    <row r="825" ht="15.75" customHeight="1">
      <c r="B825" s="591"/>
      <c r="C825" s="466"/>
      <c r="D825" s="466"/>
      <c r="E825" s="592"/>
      <c r="F825" s="466"/>
      <c r="G825" s="576"/>
      <c r="H825" s="576"/>
      <c r="I825" s="576"/>
      <c r="J825" s="466"/>
      <c r="K825" s="576"/>
      <c r="L825" s="466"/>
      <c r="M825" s="576"/>
      <c r="N825" s="466"/>
      <c r="O825" s="576"/>
      <c r="P825" s="576"/>
      <c r="Q825" s="576"/>
      <c r="R825" s="346"/>
      <c r="S825" s="346"/>
    </row>
    <row r="826" ht="15.75" customHeight="1">
      <c r="B826" s="591"/>
      <c r="C826" s="466"/>
      <c r="D826" s="466"/>
      <c r="E826" s="592"/>
      <c r="F826" s="466"/>
      <c r="G826" s="576"/>
      <c r="H826" s="576"/>
      <c r="I826" s="576"/>
      <c r="J826" s="466"/>
      <c r="K826" s="576"/>
      <c r="L826" s="466"/>
      <c r="M826" s="576"/>
      <c r="N826" s="466"/>
      <c r="O826" s="576"/>
      <c r="P826" s="576"/>
      <c r="Q826" s="576"/>
      <c r="R826" s="346"/>
      <c r="S826" s="346"/>
    </row>
    <row r="827" ht="15.75" customHeight="1">
      <c r="B827" s="591"/>
      <c r="C827" s="466"/>
      <c r="D827" s="466"/>
      <c r="E827" s="592"/>
      <c r="F827" s="466"/>
      <c r="G827" s="576"/>
      <c r="H827" s="576"/>
      <c r="I827" s="576"/>
      <c r="J827" s="466"/>
      <c r="K827" s="576"/>
      <c r="L827" s="466"/>
      <c r="M827" s="576"/>
      <c r="N827" s="466"/>
      <c r="O827" s="576"/>
      <c r="P827" s="576"/>
      <c r="Q827" s="576"/>
      <c r="R827" s="346"/>
      <c r="S827" s="346"/>
    </row>
    <row r="828" ht="15.75" customHeight="1">
      <c r="B828" s="591"/>
      <c r="C828" s="466"/>
      <c r="D828" s="466"/>
      <c r="E828" s="592"/>
      <c r="F828" s="466"/>
      <c r="G828" s="576"/>
      <c r="H828" s="576"/>
      <c r="I828" s="576"/>
      <c r="J828" s="466"/>
      <c r="K828" s="576"/>
      <c r="L828" s="466"/>
      <c r="M828" s="576"/>
      <c r="N828" s="466"/>
      <c r="O828" s="576"/>
      <c r="P828" s="576"/>
      <c r="Q828" s="576"/>
      <c r="R828" s="346"/>
      <c r="S828" s="346"/>
    </row>
    <row r="829" ht="15.75" customHeight="1">
      <c r="B829" s="591"/>
      <c r="C829" s="466"/>
      <c r="D829" s="466"/>
      <c r="E829" s="592"/>
      <c r="F829" s="466"/>
      <c r="G829" s="576"/>
      <c r="H829" s="576"/>
      <c r="I829" s="576"/>
      <c r="J829" s="466"/>
      <c r="K829" s="576"/>
      <c r="L829" s="466"/>
      <c r="M829" s="576"/>
      <c r="N829" s="466"/>
      <c r="O829" s="576"/>
      <c r="P829" s="576"/>
      <c r="Q829" s="576"/>
      <c r="R829" s="346"/>
      <c r="S829" s="346"/>
    </row>
    <row r="830" ht="15.75" customHeight="1">
      <c r="B830" s="591"/>
      <c r="C830" s="466"/>
      <c r="D830" s="466"/>
      <c r="E830" s="592"/>
      <c r="F830" s="466"/>
      <c r="G830" s="576"/>
      <c r="H830" s="576"/>
      <c r="I830" s="576"/>
      <c r="J830" s="466"/>
      <c r="K830" s="576"/>
      <c r="L830" s="466"/>
      <c r="M830" s="576"/>
      <c r="N830" s="466"/>
      <c r="O830" s="576"/>
      <c r="P830" s="576"/>
      <c r="Q830" s="576"/>
      <c r="R830" s="346"/>
      <c r="S830" s="346"/>
    </row>
    <row r="831" ht="15.75" customHeight="1">
      <c r="B831" s="591"/>
      <c r="C831" s="466"/>
      <c r="D831" s="466"/>
      <c r="E831" s="592"/>
      <c r="F831" s="466"/>
      <c r="G831" s="576"/>
      <c r="H831" s="576"/>
      <c r="I831" s="576"/>
      <c r="J831" s="466"/>
      <c r="K831" s="576"/>
      <c r="L831" s="466"/>
      <c r="M831" s="576"/>
      <c r="N831" s="466"/>
      <c r="O831" s="576"/>
      <c r="P831" s="576"/>
      <c r="Q831" s="576"/>
      <c r="R831" s="346"/>
      <c r="S831" s="346"/>
    </row>
    <row r="832" ht="15.75" customHeight="1">
      <c r="B832" s="591"/>
      <c r="C832" s="466"/>
      <c r="D832" s="466"/>
      <c r="E832" s="592"/>
      <c r="F832" s="466"/>
      <c r="G832" s="576"/>
      <c r="H832" s="576"/>
      <c r="I832" s="576"/>
      <c r="J832" s="466"/>
      <c r="K832" s="576"/>
      <c r="L832" s="466"/>
      <c r="M832" s="576"/>
      <c r="N832" s="466"/>
      <c r="O832" s="576"/>
      <c r="P832" s="576"/>
      <c r="Q832" s="576"/>
      <c r="R832" s="346"/>
      <c r="S832" s="346"/>
    </row>
    <row r="833" ht="15.75" customHeight="1">
      <c r="B833" s="591"/>
      <c r="C833" s="466"/>
      <c r="D833" s="466"/>
      <c r="E833" s="592"/>
      <c r="F833" s="466"/>
      <c r="G833" s="576"/>
      <c r="H833" s="576"/>
      <c r="I833" s="576"/>
      <c r="J833" s="466"/>
      <c r="K833" s="576"/>
      <c r="L833" s="466"/>
      <c r="M833" s="576"/>
      <c r="N833" s="466"/>
      <c r="O833" s="576"/>
      <c r="P833" s="576"/>
      <c r="Q833" s="576"/>
      <c r="R833" s="346"/>
      <c r="S833" s="346"/>
    </row>
    <row r="834" ht="15.75" customHeight="1">
      <c r="B834" s="591"/>
      <c r="C834" s="466"/>
      <c r="D834" s="466"/>
      <c r="E834" s="592"/>
      <c r="F834" s="466"/>
      <c r="G834" s="576"/>
      <c r="H834" s="576"/>
      <c r="I834" s="576"/>
      <c r="J834" s="466"/>
      <c r="K834" s="576"/>
      <c r="L834" s="466"/>
      <c r="M834" s="576"/>
      <c r="N834" s="466"/>
      <c r="O834" s="576"/>
      <c r="P834" s="576"/>
      <c r="Q834" s="576"/>
      <c r="R834" s="346"/>
      <c r="S834" s="346"/>
    </row>
    <row r="835" ht="15.75" customHeight="1">
      <c r="B835" s="591"/>
      <c r="C835" s="466"/>
      <c r="D835" s="466"/>
      <c r="E835" s="592"/>
      <c r="F835" s="466"/>
      <c r="G835" s="576"/>
      <c r="H835" s="576"/>
      <c r="I835" s="576"/>
      <c r="J835" s="466"/>
      <c r="K835" s="576"/>
      <c r="L835" s="466"/>
      <c r="M835" s="576"/>
      <c r="N835" s="466"/>
      <c r="O835" s="576"/>
      <c r="P835" s="576"/>
      <c r="Q835" s="576"/>
      <c r="R835" s="346"/>
      <c r="S835" s="346"/>
    </row>
    <row r="836" ht="15.75" customHeight="1">
      <c r="B836" s="591"/>
      <c r="C836" s="466"/>
      <c r="D836" s="466"/>
      <c r="E836" s="592"/>
      <c r="F836" s="466"/>
      <c r="G836" s="576"/>
      <c r="H836" s="576"/>
      <c r="I836" s="576"/>
      <c r="J836" s="466"/>
      <c r="K836" s="576"/>
      <c r="L836" s="466"/>
      <c r="M836" s="576"/>
      <c r="N836" s="466"/>
      <c r="O836" s="576"/>
      <c r="P836" s="576"/>
      <c r="Q836" s="576"/>
      <c r="R836" s="346"/>
      <c r="S836" s="346"/>
    </row>
    <row r="837" ht="15.75" customHeight="1">
      <c r="B837" s="591"/>
      <c r="C837" s="466"/>
      <c r="D837" s="466"/>
      <c r="E837" s="592"/>
      <c r="F837" s="466"/>
      <c r="G837" s="576"/>
      <c r="H837" s="576"/>
      <c r="I837" s="576"/>
      <c r="J837" s="466"/>
      <c r="K837" s="576"/>
      <c r="L837" s="466"/>
      <c r="M837" s="576"/>
      <c r="N837" s="466"/>
      <c r="O837" s="576"/>
      <c r="P837" s="576"/>
      <c r="Q837" s="576"/>
      <c r="R837" s="346"/>
      <c r="S837" s="346"/>
    </row>
    <row r="838" ht="15.75" customHeight="1">
      <c r="B838" s="591"/>
      <c r="C838" s="466"/>
      <c r="D838" s="466"/>
      <c r="E838" s="592"/>
      <c r="F838" s="466"/>
      <c r="G838" s="576"/>
      <c r="H838" s="576"/>
      <c r="I838" s="576"/>
      <c r="J838" s="466"/>
      <c r="K838" s="576"/>
      <c r="L838" s="466"/>
      <c r="M838" s="576"/>
      <c r="N838" s="466"/>
      <c r="O838" s="576"/>
      <c r="P838" s="576"/>
      <c r="Q838" s="576"/>
      <c r="R838" s="346"/>
      <c r="S838" s="346"/>
    </row>
    <row r="839" ht="15.75" customHeight="1">
      <c r="B839" s="591"/>
      <c r="C839" s="466"/>
      <c r="D839" s="466"/>
      <c r="E839" s="592"/>
      <c r="F839" s="466"/>
      <c r="G839" s="576"/>
      <c r="H839" s="576"/>
      <c r="I839" s="576"/>
      <c r="J839" s="466"/>
      <c r="K839" s="576"/>
      <c r="L839" s="466"/>
      <c r="M839" s="576"/>
      <c r="N839" s="466"/>
      <c r="O839" s="576"/>
      <c r="P839" s="576"/>
      <c r="Q839" s="576"/>
      <c r="R839" s="346"/>
      <c r="S839" s="346"/>
    </row>
    <row r="840" ht="15.75" customHeight="1">
      <c r="B840" s="591"/>
      <c r="C840" s="466"/>
      <c r="D840" s="466"/>
      <c r="E840" s="592"/>
      <c r="F840" s="466"/>
      <c r="G840" s="576"/>
      <c r="H840" s="576"/>
      <c r="I840" s="576"/>
      <c r="J840" s="466"/>
      <c r="K840" s="576"/>
      <c r="L840" s="466"/>
      <c r="M840" s="576"/>
      <c r="N840" s="466"/>
      <c r="O840" s="576"/>
      <c r="P840" s="576"/>
      <c r="Q840" s="576"/>
      <c r="R840" s="346"/>
      <c r="S840" s="346"/>
    </row>
    <row r="841" ht="15.75" customHeight="1">
      <c r="B841" s="591"/>
      <c r="C841" s="466"/>
      <c r="D841" s="466"/>
      <c r="E841" s="592"/>
      <c r="F841" s="466"/>
      <c r="G841" s="576"/>
      <c r="H841" s="576"/>
      <c r="I841" s="576"/>
      <c r="J841" s="466"/>
      <c r="K841" s="576"/>
      <c r="L841" s="466"/>
      <c r="M841" s="576"/>
      <c r="N841" s="466"/>
      <c r="O841" s="576"/>
      <c r="P841" s="576"/>
      <c r="Q841" s="576"/>
      <c r="R841" s="346"/>
      <c r="S841" s="346"/>
    </row>
    <row r="842" ht="15.75" customHeight="1">
      <c r="B842" s="591"/>
      <c r="C842" s="466"/>
      <c r="D842" s="466"/>
      <c r="E842" s="592"/>
      <c r="F842" s="466"/>
      <c r="G842" s="576"/>
      <c r="H842" s="576"/>
      <c r="I842" s="576"/>
      <c r="J842" s="466"/>
      <c r="K842" s="576"/>
      <c r="L842" s="466"/>
      <c r="M842" s="576"/>
      <c r="N842" s="466"/>
      <c r="O842" s="576"/>
      <c r="P842" s="576"/>
      <c r="Q842" s="576"/>
      <c r="R842" s="346"/>
      <c r="S842" s="346"/>
    </row>
    <row r="843" ht="15.75" customHeight="1">
      <c r="B843" s="591"/>
      <c r="C843" s="466"/>
      <c r="D843" s="466"/>
      <c r="E843" s="592"/>
      <c r="F843" s="466"/>
      <c r="G843" s="576"/>
      <c r="H843" s="576"/>
      <c r="I843" s="576"/>
      <c r="J843" s="466"/>
      <c r="K843" s="576"/>
      <c r="L843" s="466"/>
      <c r="M843" s="576"/>
      <c r="N843" s="466"/>
      <c r="O843" s="576"/>
      <c r="P843" s="576"/>
      <c r="Q843" s="576"/>
      <c r="R843" s="346"/>
      <c r="S843" s="346"/>
    </row>
    <row r="844" ht="15.75" customHeight="1">
      <c r="B844" s="591"/>
      <c r="C844" s="466"/>
      <c r="D844" s="466"/>
      <c r="E844" s="592"/>
      <c r="F844" s="466"/>
      <c r="G844" s="576"/>
      <c r="H844" s="576"/>
      <c r="I844" s="576"/>
      <c r="J844" s="466"/>
      <c r="K844" s="576"/>
      <c r="L844" s="466"/>
      <c r="M844" s="576"/>
      <c r="N844" s="466"/>
      <c r="O844" s="576"/>
      <c r="P844" s="576"/>
      <c r="Q844" s="576"/>
      <c r="R844" s="346"/>
      <c r="S844" s="346"/>
    </row>
    <row r="845" ht="15.75" customHeight="1">
      <c r="B845" s="591"/>
      <c r="C845" s="466"/>
      <c r="D845" s="466"/>
      <c r="E845" s="592"/>
      <c r="F845" s="466"/>
      <c r="G845" s="576"/>
      <c r="H845" s="576"/>
      <c r="I845" s="576"/>
      <c r="J845" s="466"/>
      <c r="K845" s="576"/>
      <c r="L845" s="466"/>
      <c r="M845" s="576"/>
      <c r="N845" s="466"/>
      <c r="O845" s="576"/>
      <c r="P845" s="576"/>
      <c r="Q845" s="576"/>
      <c r="R845" s="346"/>
      <c r="S845" s="346"/>
    </row>
    <row r="846" ht="15.75" customHeight="1">
      <c r="B846" s="591"/>
      <c r="C846" s="466"/>
      <c r="D846" s="466"/>
      <c r="E846" s="592"/>
      <c r="F846" s="466"/>
      <c r="G846" s="576"/>
      <c r="H846" s="576"/>
      <c r="I846" s="576"/>
      <c r="J846" s="466"/>
      <c r="K846" s="576"/>
      <c r="L846" s="466"/>
      <c r="M846" s="576"/>
      <c r="N846" s="466"/>
      <c r="O846" s="576"/>
      <c r="P846" s="576"/>
      <c r="Q846" s="576"/>
      <c r="R846" s="346"/>
      <c r="S846" s="346"/>
    </row>
    <row r="847" ht="15.75" customHeight="1">
      <c r="B847" s="591"/>
      <c r="C847" s="466"/>
      <c r="D847" s="466"/>
      <c r="E847" s="592"/>
      <c r="F847" s="466"/>
      <c r="G847" s="576"/>
      <c r="H847" s="576"/>
      <c r="I847" s="576"/>
      <c r="J847" s="466"/>
      <c r="K847" s="576"/>
      <c r="L847" s="466"/>
      <c r="M847" s="576"/>
      <c r="N847" s="466"/>
      <c r="O847" s="576"/>
      <c r="P847" s="576"/>
      <c r="Q847" s="576"/>
      <c r="R847" s="346"/>
      <c r="S847" s="346"/>
    </row>
    <row r="848" ht="15.75" customHeight="1">
      <c r="B848" s="591"/>
      <c r="C848" s="466"/>
      <c r="D848" s="466"/>
      <c r="E848" s="592"/>
      <c r="F848" s="466"/>
      <c r="G848" s="576"/>
      <c r="H848" s="576"/>
      <c r="I848" s="576"/>
      <c r="J848" s="466"/>
      <c r="K848" s="576"/>
      <c r="L848" s="466"/>
      <c r="M848" s="576"/>
      <c r="N848" s="466"/>
      <c r="O848" s="576"/>
      <c r="P848" s="576"/>
      <c r="Q848" s="576"/>
      <c r="R848" s="346"/>
      <c r="S848" s="346"/>
    </row>
    <row r="849" ht="15.75" customHeight="1">
      <c r="B849" s="591"/>
      <c r="C849" s="466"/>
      <c r="D849" s="466"/>
      <c r="E849" s="592"/>
      <c r="F849" s="466"/>
      <c r="G849" s="576"/>
      <c r="H849" s="576"/>
      <c r="I849" s="576"/>
      <c r="J849" s="466"/>
      <c r="K849" s="576"/>
      <c r="L849" s="466"/>
      <c r="M849" s="576"/>
      <c r="N849" s="466"/>
      <c r="O849" s="576"/>
      <c r="P849" s="576"/>
      <c r="Q849" s="576"/>
      <c r="R849" s="346"/>
      <c r="S849" s="346"/>
    </row>
    <row r="850" ht="15.75" customHeight="1">
      <c r="B850" s="591"/>
      <c r="C850" s="466"/>
      <c r="D850" s="466"/>
      <c r="E850" s="592"/>
      <c r="F850" s="466"/>
      <c r="G850" s="576"/>
      <c r="H850" s="576"/>
      <c r="I850" s="576"/>
      <c r="J850" s="466"/>
      <c r="K850" s="576"/>
      <c r="L850" s="466"/>
      <c r="M850" s="576"/>
      <c r="N850" s="466"/>
      <c r="O850" s="576"/>
      <c r="P850" s="576"/>
      <c r="Q850" s="576"/>
      <c r="R850" s="346"/>
      <c r="S850" s="346"/>
    </row>
    <row r="851" ht="15.75" customHeight="1">
      <c r="B851" s="591"/>
      <c r="C851" s="466"/>
      <c r="D851" s="466"/>
      <c r="E851" s="592"/>
      <c r="F851" s="466"/>
      <c r="G851" s="576"/>
      <c r="H851" s="576"/>
      <c r="I851" s="576"/>
      <c r="J851" s="466"/>
      <c r="K851" s="576"/>
      <c r="L851" s="466"/>
      <c r="M851" s="576"/>
      <c r="N851" s="466"/>
      <c r="O851" s="576"/>
      <c r="P851" s="576"/>
      <c r="Q851" s="576"/>
      <c r="R851" s="346"/>
      <c r="S851" s="346"/>
    </row>
    <row r="852" ht="15.75" customHeight="1">
      <c r="B852" s="591"/>
      <c r="C852" s="466"/>
      <c r="D852" s="466"/>
      <c r="E852" s="592"/>
      <c r="F852" s="466"/>
      <c r="G852" s="576"/>
      <c r="H852" s="576"/>
      <c r="I852" s="576"/>
      <c r="J852" s="466"/>
      <c r="K852" s="576"/>
      <c r="L852" s="466"/>
      <c r="M852" s="576"/>
      <c r="N852" s="466"/>
      <c r="O852" s="576"/>
      <c r="P852" s="576"/>
      <c r="Q852" s="576"/>
      <c r="R852" s="346"/>
      <c r="S852" s="346"/>
    </row>
    <row r="853" ht="15.75" customHeight="1">
      <c r="B853" s="591"/>
      <c r="C853" s="466"/>
      <c r="D853" s="466"/>
      <c r="E853" s="592"/>
      <c r="F853" s="466"/>
      <c r="G853" s="576"/>
      <c r="H853" s="576"/>
      <c r="I853" s="576"/>
      <c r="J853" s="466"/>
      <c r="K853" s="576"/>
      <c r="L853" s="466"/>
      <c r="M853" s="576"/>
      <c r="N853" s="466"/>
      <c r="O853" s="576"/>
      <c r="P853" s="576"/>
      <c r="Q853" s="576"/>
      <c r="R853" s="346"/>
      <c r="S853" s="346"/>
    </row>
    <row r="854" ht="15.75" customHeight="1">
      <c r="B854" s="591"/>
      <c r="C854" s="466"/>
      <c r="D854" s="466"/>
      <c r="E854" s="592"/>
      <c r="F854" s="466"/>
      <c r="G854" s="576"/>
      <c r="H854" s="576"/>
      <c r="I854" s="576"/>
      <c r="J854" s="466"/>
      <c r="K854" s="576"/>
      <c r="L854" s="466"/>
      <c r="M854" s="576"/>
      <c r="N854" s="466"/>
      <c r="O854" s="576"/>
      <c r="P854" s="576"/>
      <c r="Q854" s="576"/>
      <c r="R854" s="346"/>
      <c r="S854" s="346"/>
    </row>
    <row r="855" ht="15.75" customHeight="1">
      <c r="B855" s="591"/>
      <c r="C855" s="466"/>
      <c r="D855" s="466"/>
      <c r="E855" s="592"/>
      <c r="F855" s="466"/>
      <c r="G855" s="576"/>
      <c r="H855" s="576"/>
      <c r="I855" s="576"/>
      <c r="J855" s="466"/>
      <c r="K855" s="576"/>
      <c r="L855" s="466"/>
      <c r="M855" s="576"/>
      <c r="N855" s="466"/>
      <c r="O855" s="576"/>
      <c r="P855" s="576"/>
      <c r="Q855" s="576"/>
      <c r="R855" s="346"/>
      <c r="S855" s="346"/>
    </row>
    <row r="856" ht="15.75" customHeight="1">
      <c r="B856" s="591"/>
      <c r="C856" s="466"/>
      <c r="D856" s="466"/>
      <c r="E856" s="592"/>
      <c r="F856" s="466"/>
      <c r="G856" s="576"/>
      <c r="H856" s="576"/>
      <c r="I856" s="576"/>
      <c r="J856" s="466"/>
      <c r="K856" s="576"/>
      <c r="L856" s="466"/>
      <c r="M856" s="576"/>
      <c r="N856" s="466"/>
      <c r="O856" s="576"/>
      <c r="P856" s="576"/>
      <c r="Q856" s="576"/>
      <c r="R856" s="346"/>
      <c r="S856" s="346"/>
    </row>
    <row r="857" ht="15.75" customHeight="1">
      <c r="B857" s="591"/>
      <c r="C857" s="466"/>
      <c r="D857" s="466"/>
      <c r="E857" s="592"/>
      <c r="F857" s="466"/>
      <c r="G857" s="576"/>
      <c r="H857" s="576"/>
      <c r="I857" s="576"/>
      <c r="J857" s="466"/>
      <c r="K857" s="576"/>
      <c r="L857" s="466"/>
      <c r="M857" s="576"/>
      <c r="N857" s="466"/>
      <c r="O857" s="576"/>
      <c r="P857" s="576"/>
      <c r="Q857" s="576"/>
      <c r="R857" s="346"/>
      <c r="S857" s="346"/>
    </row>
    <row r="858" ht="15.75" customHeight="1">
      <c r="B858" s="591"/>
      <c r="C858" s="466"/>
      <c r="D858" s="466"/>
      <c r="E858" s="592"/>
      <c r="F858" s="466"/>
      <c r="G858" s="576"/>
      <c r="H858" s="576"/>
      <c r="I858" s="576"/>
      <c r="J858" s="466"/>
      <c r="K858" s="576"/>
      <c r="L858" s="466"/>
      <c r="M858" s="576"/>
      <c r="N858" s="466"/>
      <c r="O858" s="576"/>
      <c r="P858" s="576"/>
      <c r="Q858" s="576"/>
      <c r="R858" s="346"/>
      <c r="S858" s="346"/>
    </row>
    <row r="859" ht="15.75" customHeight="1">
      <c r="B859" s="591"/>
      <c r="C859" s="466"/>
      <c r="D859" s="466"/>
      <c r="E859" s="592"/>
      <c r="F859" s="466"/>
      <c r="G859" s="576"/>
      <c r="H859" s="576"/>
      <c r="I859" s="576"/>
      <c r="J859" s="466"/>
      <c r="K859" s="576"/>
      <c r="L859" s="466"/>
      <c r="M859" s="576"/>
      <c r="N859" s="466"/>
      <c r="O859" s="576"/>
      <c r="P859" s="576"/>
      <c r="Q859" s="576"/>
      <c r="R859" s="346"/>
      <c r="S859" s="346"/>
    </row>
    <row r="860" ht="15.75" customHeight="1">
      <c r="B860" s="591"/>
      <c r="C860" s="466"/>
      <c r="D860" s="466"/>
      <c r="E860" s="592"/>
      <c r="F860" s="466"/>
      <c r="G860" s="576"/>
      <c r="H860" s="576"/>
      <c r="I860" s="576"/>
      <c r="J860" s="466"/>
      <c r="K860" s="576"/>
      <c r="L860" s="466"/>
      <c r="M860" s="576"/>
      <c r="N860" s="466"/>
      <c r="O860" s="576"/>
      <c r="P860" s="576"/>
      <c r="Q860" s="576"/>
      <c r="R860" s="346"/>
      <c r="S860" s="346"/>
    </row>
    <row r="861" ht="15.75" customHeight="1">
      <c r="B861" s="591"/>
      <c r="C861" s="466"/>
      <c r="D861" s="466"/>
      <c r="E861" s="592"/>
      <c r="F861" s="466"/>
      <c r="G861" s="576"/>
      <c r="H861" s="576"/>
      <c r="I861" s="576"/>
      <c r="J861" s="466"/>
      <c r="K861" s="576"/>
      <c r="L861" s="466"/>
      <c r="M861" s="576"/>
      <c r="N861" s="466"/>
      <c r="O861" s="576"/>
      <c r="P861" s="576"/>
      <c r="Q861" s="576"/>
      <c r="R861" s="346"/>
      <c r="S861" s="346"/>
    </row>
    <row r="862" ht="15.75" customHeight="1">
      <c r="B862" s="591"/>
      <c r="C862" s="466"/>
      <c r="D862" s="466"/>
      <c r="E862" s="592"/>
      <c r="F862" s="466"/>
      <c r="G862" s="576"/>
      <c r="H862" s="576"/>
      <c r="I862" s="576"/>
      <c r="J862" s="466"/>
      <c r="K862" s="576"/>
      <c r="L862" s="466"/>
      <c r="M862" s="576"/>
      <c r="N862" s="466"/>
      <c r="O862" s="576"/>
      <c r="P862" s="576"/>
      <c r="Q862" s="576"/>
      <c r="R862" s="346"/>
      <c r="S862" s="346"/>
    </row>
    <row r="863" ht="15.75" customHeight="1">
      <c r="B863" s="591"/>
      <c r="C863" s="466"/>
      <c r="D863" s="466"/>
      <c r="E863" s="592"/>
      <c r="F863" s="466"/>
      <c r="G863" s="576"/>
      <c r="H863" s="576"/>
      <c r="I863" s="576"/>
      <c r="J863" s="466"/>
      <c r="K863" s="576"/>
      <c r="L863" s="466"/>
      <c r="M863" s="576"/>
      <c r="N863" s="466"/>
      <c r="O863" s="576"/>
      <c r="P863" s="576"/>
      <c r="Q863" s="576"/>
      <c r="R863" s="346"/>
      <c r="S863" s="346"/>
    </row>
    <row r="864" ht="15.75" customHeight="1">
      <c r="B864" s="591"/>
      <c r="C864" s="466"/>
      <c r="D864" s="466"/>
      <c r="E864" s="592"/>
      <c r="F864" s="466"/>
      <c r="G864" s="576"/>
      <c r="H864" s="576"/>
      <c r="I864" s="576"/>
      <c r="J864" s="466"/>
      <c r="K864" s="576"/>
      <c r="L864" s="466"/>
      <c r="M864" s="576"/>
      <c r="N864" s="466"/>
      <c r="O864" s="576"/>
      <c r="P864" s="576"/>
      <c r="Q864" s="576"/>
      <c r="R864" s="346"/>
      <c r="S864" s="346"/>
    </row>
    <row r="865" ht="15.75" customHeight="1">
      <c r="B865" s="591"/>
      <c r="C865" s="466"/>
      <c r="D865" s="466"/>
      <c r="E865" s="592"/>
      <c r="F865" s="466"/>
      <c r="G865" s="576"/>
      <c r="H865" s="576"/>
      <c r="I865" s="576"/>
      <c r="J865" s="466"/>
      <c r="K865" s="576"/>
      <c r="L865" s="466"/>
      <c r="M865" s="576"/>
      <c r="N865" s="466"/>
      <c r="O865" s="576"/>
      <c r="P865" s="576"/>
      <c r="Q865" s="576"/>
      <c r="R865" s="346"/>
      <c r="S865" s="346"/>
    </row>
    <row r="866" ht="15.75" customHeight="1">
      <c r="B866" s="591"/>
      <c r="C866" s="466"/>
      <c r="D866" s="466"/>
      <c r="E866" s="592"/>
      <c r="F866" s="466"/>
      <c r="G866" s="576"/>
      <c r="H866" s="576"/>
      <c r="I866" s="576"/>
      <c r="J866" s="466"/>
      <c r="K866" s="576"/>
      <c r="L866" s="466"/>
      <c r="M866" s="576"/>
      <c r="N866" s="466"/>
      <c r="O866" s="576"/>
      <c r="P866" s="576"/>
      <c r="Q866" s="576"/>
      <c r="R866" s="346"/>
      <c r="S866" s="346"/>
    </row>
    <row r="867" ht="15.75" customHeight="1">
      <c r="B867" s="591"/>
      <c r="C867" s="466"/>
      <c r="D867" s="466"/>
      <c r="E867" s="592"/>
      <c r="F867" s="466"/>
      <c r="G867" s="576"/>
      <c r="H867" s="576"/>
      <c r="I867" s="576"/>
      <c r="J867" s="466"/>
      <c r="K867" s="576"/>
      <c r="L867" s="466"/>
      <c r="M867" s="576"/>
      <c r="N867" s="466"/>
      <c r="O867" s="576"/>
      <c r="P867" s="576"/>
      <c r="Q867" s="576"/>
      <c r="R867" s="346"/>
      <c r="S867" s="346"/>
    </row>
    <row r="868" ht="15.75" customHeight="1">
      <c r="B868" s="591"/>
      <c r="C868" s="466"/>
      <c r="D868" s="466"/>
      <c r="E868" s="592"/>
      <c r="F868" s="466"/>
      <c r="G868" s="576"/>
      <c r="H868" s="576"/>
      <c r="I868" s="576"/>
      <c r="J868" s="466"/>
      <c r="K868" s="576"/>
      <c r="L868" s="466"/>
      <c r="M868" s="576"/>
      <c r="N868" s="466"/>
      <c r="O868" s="576"/>
      <c r="P868" s="576"/>
      <c r="Q868" s="576"/>
      <c r="R868" s="346"/>
      <c r="S868" s="346"/>
    </row>
    <row r="869" ht="15.75" customHeight="1">
      <c r="B869" s="591"/>
      <c r="C869" s="466"/>
      <c r="D869" s="466"/>
      <c r="E869" s="592"/>
      <c r="F869" s="466"/>
      <c r="G869" s="576"/>
      <c r="H869" s="576"/>
      <c r="I869" s="576"/>
      <c r="J869" s="466"/>
      <c r="K869" s="576"/>
      <c r="L869" s="466"/>
      <c r="M869" s="576"/>
      <c r="N869" s="466"/>
      <c r="O869" s="576"/>
      <c r="P869" s="576"/>
      <c r="Q869" s="576"/>
      <c r="R869" s="346"/>
      <c r="S869" s="346"/>
    </row>
    <row r="870" ht="15.75" customHeight="1">
      <c r="B870" s="591"/>
      <c r="C870" s="466"/>
      <c r="D870" s="466"/>
      <c r="E870" s="592"/>
      <c r="F870" s="466"/>
      <c r="G870" s="576"/>
      <c r="H870" s="576"/>
      <c r="I870" s="576"/>
      <c r="J870" s="466"/>
      <c r="K870" s="576"/>
      <c r="L870" s="466"/>
      <c r="M870" s="576"/>
      <c r="N870" s="466"/>
      <c r="O870" s="576"/>
      <c r="P870" s="576"/>
      <c r="Q870" s="576"/>
      <c r="R870" s="346"/>
      <c r="S870" s="346"/>
    </row>
    <row r="871" ht="15.75" customHeight="1">
      <c r="B871" s="591"/>
      <c r="C871" s="466"/>
      <c r="D871" s="466"/>
      <c r="E871" s="592"/>
      <c r="F871" s="466"/>
      <c r="G871" s="576"/>
      <c r="H871" s="576"/>
      <c r="I871" s="576"/>
      <c r="J871" s="466"/>
      <c r="K871" s="576"/>
      <c r="L871" s="466"/>
      <c r="M871" s="576"/>
      <c r="N871" s="466"/>
      <c r="O871" s="576"/>
      <c r="P871" s="576"/>
      <c r="Q871" s="576"/>
      <c r="R871" s="346"/>
      <c r="S871" s="346"/>
    </row>
    <row r="872" ht="15.75" customHeight="1">
      <c r="B872" s="591"/>
      <c r="C872" s="466"/>
      <c r="D872" s="466"/>
      <c r="E872" s="592"/>
      <c r="F872" s="466"/>
      <c r="G872" s="576"/>
      <c r="H872" s="576"/>
      <c r="I872" s="576"/>
      <c r="J872" s="466"/>
      <c r="K872" s="576"/>
      <c r="L872" s="466"/>
      <c r="M872" s="576"/>
      <c r="N872" s="466"/>
      <c r="O872" s="576"/>
      <c r="P872" s="576"/>
      <c r="Q872" s="576"/>
      <c r="R872" s="346"/>
      <c r="S872" s="346"/>
    </row>
    <row r="873" ht="15.75" customHeight="1">
      <c r="B873" s="591"/>
      <c r="C873" s="466"/>
      <c r="D873" s="466"/>
      <c r="E873" s="592"/>
      <c r="F873" s="466"/>
      <c r="G873" s="576"/>
      <c r="H873" s="576"/>
      <c r="I873" s="576"/>
      <c r="J873" s="466"/>
      <c r="K873" s="576"/>
      <c r="L873" s="466"/>
      <c r="M873" s="576"/>
      <c r="N873" s="466"/>
      <c r="O873" s="576"/>
      <c r="P873" s="576"/>
      <c r="Q873" s="576"/>
      <c r="R873" s="346"/>
      <c r="S873" s="346"/>
    </row>
    <row r="874" ht="15.75" customHeight="1">
      <c r="B874" s="591"/>
      <c r="C874" s="466"/>
      <c r="D874" s="466"/>
      <c r="E874" s="592"/>
      <c r="F874" s="466"/>
      <c r="G874" s="576"/>
      <c r="H874" s="576"/>
      <c r="I874" s="576"/>
      <c r="J874" s="466"/>
      <c r="K874" s="576"/>
      <c r="L874" s="466"/>
      <c r="M874" s="576"/>
      <c r="N874" s="466"/>
      <c r="O874" s="576"/>
      <c r="P874" s="576"/>
      <c r="Q874" s="576"/>
      <c r="R874" s="346"/>
      <c r="S874" s="346"/>
    </row>
    <row r="875" ht="15.75" customHeight="1">
      <c r="B875" s="591"/>
      <c r="C875" s="466"/>
      <c r="D875" s="466"/>
      <c r="E875" s="592"/>
      <c r="F875" s="466"/>
      <c r="G875" s="576"/>
      <c r="H875" s="576"/>
      <c r="I875" s="576"/>
      <c r="J875" s="466"/>
      <c r="K875" s="576"/>
      <c r="L875" s="466"/>
      <c r="M875" s="576"/>
      <c r="N875" s="466"/>
      <c r="O875" s="576"/>
      <c r="P875" s="576"/>
      <c r="Q875" s="576"/>
      <c r="R875" s="346"/>
      <c r="S875" s="346"/>
    </row>
    <row r="876" ht="15.75" customHeight="1">
      <c r="B876" s="591"/>
      <c r="C876" s="466"/>
      <c r="D876" s="466"/>
      <c r="E876" s="592"/>
      <c r="F876" s="466"/>
      <c r="G876" s="576"/>
      <c r="H876" s="576"/>
      <c r="I876" s="576"/>
      <c r="J876" s="466"/>
      <c r="K876" s="576"/>
      <c r="L876" s="466"/>
      <c r="M876" s="576"/>
      <c r="N876" s="466"/>
      <c r="O876" s="576"/>
      <c r="P876" s="576"/>
      <c r="Q876" s="576"/>
      <c r="R876" s="346"/>
      <c r="S876" s="346"/>
    </row>
    <row r="877" ht="15.75" customHeight="1">
      <c r="B877" s="591"/>
      <c r="C877" s="466"/>
      <c r="D877" s="466"/>
      <c r="E877" s="592"/>
      <c r="F877" s="466"/>
      <c r="G877" s="576"/>
      <c r="H877" s="576"/>
      <c r="I877" s="576"/>
      <c r="J877" s="466"/>
      <c r="K877" s="576"/>
      <c r="L877" s="466"/>
      <c r="M877" s="576"/>
      <c r="N877" s="466"/>
      <c r="O877" s="576"/>
      <c r="P877" s="576"/>
      <c r="Q877" s="576"/>
      <c r="R877" s="346"/>
      <c r="S877" s="346"/>
    </row>
    <row r="878" ht="15.75" customHeight="1">
      <c r="B878" s="591"/>
      <c r="C878" s="466"/>
      <c r="D878" s="466"/>
      <c r="E878" s="592"/>
      <c r="F878" s="466"/>
      <c r="G878" s="576"/>
      <c r="H878" s="576"/>
      <c r="I878" s="576"/>
      <c r="J878" s="466"/>
      <c r="K878" s="576"/>
      <c r="L878" s="466"/>
      <c r="M878" s="576"/>
      <c r="N878" s="466"/>
      <c r="O878" s="576"/>
      <c r="P878" s="576"/>
      <c r="Q878" s="576"/>
      <c r="R878" s="346"/>
      <c r="S878" s="346"/>
    </row>
    <row r="879" ht="15.75" customHeight="1">
      <c r="B879" s="591"/>
      <c r="C879" s="466"/>
      <c r="D879" s="466"/>
      <c r="E879" s="592"/>
      <c r="F879" s="466"/>
      <c r="G879" s="576"/>
      <c r="H879" s="576"/>
      <c r="I879" s="576"/>
      <c r="J879" s="466"/>
      <c r="K879" s="576"/>
      <c r="L879" s="466"/>
      <c r="M879" s="576"/>
      <c r="N879" s="466"/>
      <c r="O879" s="576"/>
      <c r="P879" s="576"/>
      <c r="Q879" s="576"/>
      <c r="R879" s="346"/>
      <c r="S879" s="346"/>
    </row>
    <row r="880" ht="15.75" customHeight="1">
      <c r="B880" s="591"/>
      <c r="C880" s="466"/>
      <c r="D880" s="466"/>
      <c r="E880" s="592"/>
      <c r="F880" s="466"/>
      <c r="G880" s="576"/>
      <c r="H880" s="576"/>
      <c r="I880" s="576"/>
      <c r="J880" s="466"/>
      <c r="K880" s="576"/>
      <c r="L880" s="466"/>
      <c r="M880" s="576"/>
      <c r="N880" s="466"/>
      <c r="O880" s="576"/>
      <c r="P880" s="576"/>
      <c r="Q880" s="576"/>
      <c r="R880" s="346"/>
      <c r="S880" s="346"/>
    </row>
    <row r="881" ht="15.75" customHeight="1">
      <c r="B881" s="591"/>
      <c r="C881" s="466"/>
      <c r="D881" s="466"/>
      <c r="E881" s="592"/>
      <c r="F881" s="466"/>
      <c r="G881" s="576"/>
      <c r="H881" s="576"/>
      <c r="I881" s="576"/>
      <c r="J881" s="466"/>
      <c r="K881" s="576"/>
      <c r="L881" s="466"/>
      <c r="M881" s="576"/>
      <c r="N881" s="466"/>
      <c r="O881" s="576"/>
      <c r="P881" s="576"/>
      <c r="Q881" s="576"/>
      <c r="R881" s="346"/>
      <c r="S881" s="346"/>
    </row>
    <row r="882" ht="15.75" customHeight="1">
      <c r="B882" s="591"/>
      <c r="C882" s="466"/>
      <c r="D882" s="466"/>
      <c r="E882" s="592"/>
      <c r="F882" s="466"/>
      <c r="G882" s="576"/>
      <c r="H882" s="576"/>
      <c r="I882" s="576"/>
      <c r="J882" s="466"/>
      <c r="K882" s="576"/>
      <c r="L882" s="466"/>
      <c r="M882" s="576"/>
      <c r="N882" s="466"/>
      <c r="O882" s="576"/>
      <c r="P882" s="576"/>
      <c r="Q882" s="576"/>
      <c r="R882" s="346"/>
      <c r="S882" s="346"/>
    </row>
    <row r="883" ht="15.75" customHeight="1">
      <c r="B883" s="591"/>
      <c r="C883" s="466"/>
      <c r="D883" s="466"/>
      <c r="E883" s="592"/>
      <c r="F883" s="466"/>
      <c r="G883" s="576"/>
      <c r="H883" s="576"/>
      <c r="I883" s="576"/>
      <c r="J883" s="466"/>
      <c r="K883" s="576"/>
      <c r="L883" s="466"/>
      <c r="M883" s="576"/>
      <c r="N883" s="466"/>
      <c r="O883" s="576"/>
      <c r="P883" s="576"/>
      <c r="Q883" s="576"/>
      <c r="R883" s="346"/>
      <c r="S883" s="346"/>
    </row>
    <row r="884" ht="15.75" customHeight="1">
      <c r="B884" s="591"/>
      <c r="C884" s="466"/>
      <c r="D884" s="466"/>
      <c r="E884" s="592"/>
      <c r="F884" s="466"/>
      <c r="G884" s="576"/>
      <c r="H884" s="576"/>
      <c r="I884" s="576"/>
      <c r="J884" s="466"/>
      <c r="K884" s="576"/>
      <c r="L884" s="466"/>
      <c r="M884" s="576"/>
      <c r="N884" s="466"/>
      <c r="O884" s="576"/>
      <c r="P884" s="576"/>
      <c r="Q884" s="576"/>
      <c r="R884" s="346"/>
      <c r="S884" s="346"/>
    </row>
    <row r="885" ht="15.75" customHeight="1">
      <c r="B885" s="591"/>
      <c r="C885" s="466"/>
      <c r="D885" s="466"/>
      <c r="E885" s="592"/>
      <c r="F885" s="466"/>
      <c r="G885" s="576"/>
      <c r="H885" s="576"/>
      <c r="I885" s="576"/>
      <c r="J885" s="466"/>
      <c r="K885" s="576"/>
      <c r="L885" s="466"/>
      <c r="M885" s="576"/>
      <c r="N885" s="466"/>
      <c r="O885" s="576"/>
      <c r="P885" s="576"/>
      <c r="Q885" s="576"/>
      <c r="R885" s="346"/>
      <c r="S885" s="346"/>
    </row>
    <row r="886" ht="15.75" customHeight="1">
      <c r="B886" s="591"/>
      <c r="C886" s="466"/>
      <c r="D886" s="466"/>
      <c r="E886" s="592"/>
      <c r="F886" s="466"/>
      <c r="G886" s="576"/>
      <c r="H886" s="576"/>
      <c r="I886" s="576"/>
      <c r="J886" s="466"/>
      <c r="K886" s="576"/>
      <c r="L886" s="466"/>
      <c r="M886" s="576"/>
      <c r="N886" s="466"/>
      <c r="O886" s="576"/>
      <c r="P886" s="576"/>
      <c r="Q886" s="576"/>
      <c r="R886" s="346"/>
      <c r="S886" s="346"/>
    </row>
    <row r="887" ht="15.75" customHeight="1">
      <c r="B887" s="591"/>
      <c r="C887" s="466"/>
      <c r="D887" s="466"/>
      <c r="E887" s="592"/>
      <c r="F887" s="466"/>
      <c r="G887" s="576"/>
      <c r="H887" s="576"/>
      <c r="I887" s="576"/>
      <c r="J887" s="466"/>
      <c r="K887" s="576"/>
      <c r="L887" s="466"/>
      <c r="M887" s="576"/>
      <c r="N887" s="466"/>
      <c r="O887" s="576"/>
      <c r="P887" s="576"/>
      <c r="Q887" s="576"/>
      <c r="R887" s="346"/>
      <c r="S887" s="346"/>
    </row>
    <row r="888" ht="15.75" customHeight="1">
      <c r="B888" s="591"/>
      <c r="C888" s="466"/>
      <c r="D888" s="466"/>
      <c r="E888" s="592"/>
      <c r="F888" s="466"/>
      <c r="G888" s="576"/>
      <c r="H888" s="576"/>
      <c r="I888" s="576"/>
      <c r="J888" s="466"/>
      <c r="K888" s="576"/>
      <c r="L888" s="466"/>
      <c r="M888" s="576"/>
      <c r="N888" s="466"/>
      <c r="O888" s="576"/>
      <c r="P888" s="576"/>
      <c r="Q888" s="576"/>
      <c r="R888" s="346"/>
      <c r="S888" s="346"/>
    </row>
    <row r="889" ht="15.75" customHeight="1">
      <c r="B889" s="591"/>
      <c r="C889" s="466"/>
      <c r="D889" s="466"/>
      <c r="E889" s="592"/>
      <c r="F889" s="466"/>
      <c r="G889" s="576"/>
      <c r="H889" s="576"/>
      <c r="I889" s="576"/>
      <c r="J889" s="466"/>
      <c r="K889" s="576"/>
      <c r="L889" s="466"/>
      <c r="M889" s="576"/>
      <c r="N889" s="466"/>
      <c r="O889" s="576"/>
      <c r="P889" s="576"/>
      <c r="Q889" s="576"/>
      <c r="R889" s="346"/>
      <c r="S889" s="346"/>
    </row>
    <row r="890" ht="15.75" customHeight="1">
      <c r="B890" s="591"/>
      <c r="C890" s="466"/>
      <c r="D890" s="466"/>
      <c r="E890" s="592"/>
      <c r="F890" s="466"/>
      <c r="G890" s="576"/>
      <c r="H890" s="576"/>
      <c r="I890" s="576"/>
      <c r="J890" s="466"/>
      <c r="K890" s="576"/>
      <c r="L890" s="466"/>
      <c r="M890" s="576"/>
      <c r="N890" s="466"/>
      <c r="O890" s="576"/>
      <c r="P890" s="576"/>
      <c r="Q890" s="576"/>
      <c r="R890" s="346"/>
      <c r="S890" s="346"/>
    </row>
    <row r="891" ht="15.75" customHeight="1">
      <c r="B891" s="591"/>
      <c r="C891" s="466"/>
      <c r="D891" s="466"/>
      <c r="E891" s="592"/>
      <c r="F891" s="466"/>
      <c r="G891" s="576"/>
      <c r="H891" s="576"/>
      <c r="I891" s="576"/>
      <c r="J891" s="466"/>
      <c r="K891" s="576"/>
      <c r="L891" s="466"/>
      <c r="M891" s="576"/>
      <c r="N891" s="466"/>
      <c r="O891" s="576"/>
      <c r="P891" s="576"/>
      <c r="Q891" s="576"/>
      <c r="R891" s="346"/>
      <c r="S891" s="346"/>
    </row>
    <row r="892" ht="15.75" customHeight="1">
      <c r="B892" s="591"/>
      <c r="C892" s="466"/>
      <c r="D892" s="466"/>
      <c r="E892" s="592"/>
      <c r="F892" s="466"/>
      <c r="G892" s="576"/>
      <c r="H892" s="576"/>
      <c r="I892" s="576"/>
      <c r="J892" s="466"/>
      <c r="K892" s="576"/>
      <c r="L892" s="466"/>
      <c r="M892" s="576"/>
      <c r="N892" s="466"/>
      <c r="O892" s="576"/>
      <c r="P892" s="576"/>
      <c r="Q892" s="576"/>
      <c r="R892" s="346"/>
      <c r="S892" s="346"/>
    </row>
    <row r="893" ht="15.75" customHeight="1">
      <c r="B893" s="591"/>
      <c r="C893" s="466"/>
      <c r="D893" s="466"/>
      <c r="E893" s="592"/>
      <c r="F893" s="466"/>
      <c r="G893" s="576"/>
      <c r="H893" s="576"/>
      <c r="I893" s="576"/>
      <c r="J893" s="466"/>
      <c r="K893" s="576"/>
      <c r="L893" s="466"/>
      <c r="M893" s="576"/>
      <c r="N893" s="466"/>
      <c r="O893" s="576"/>
      <c r="P893" s="576"/>
      <c r="Q893" s="576"/>
      <c r="R893" s="346"/>
      <c r="S893" s="346"/>
    </row>
    <row r="894" ht="15.75" customHeight="1">
      <c r="B894" s="591"/>
      <c r="C894" s="466"/>
      <c r="D894" s="466"/>
      <c r="E894" s="592"/>
      <c r="F894" s="466"/>
      <c r="G894" s="576"/>
      <c r="H894" s="576"/>
      <c r="I894" s="576"/>
      <c r="J894" s="466"/>
      <c r="K894" s="576"/>
      <c r="L894" s="466"/>
      <c r="M894" s="576"/>
      <c r="N894" s="466"/>
      <c r="O894" s="576"/>
      <c r="P894" s="576"/>
      <c r="Q894" s="576"/>
      <c r="R894" s="346"/>
      <c r="S894" s="346"/>
    </row>
    <row r="895" ht="15.75" customHeight="1">
      <c r="B895" s="591"/>
      <c r="C895" s="466"/>
      <c r="D895" s="466"/>
      <c r="E895" s="592"/>
      <c r="F895" s="466"/>
      <c r="G895" s="576"/>
      <c r="H895" s="576"/>
      <c r="I895" s="576"/>
      <c r="J895" s="466"/>
      <c r="K895" s="576"/>
      <c r="L895" s="466"/>
      <c r="M895" s="576"/>
      <c r="N895" s="466"/>
      <c r="O895" s="576"/>
      <c r="P895" s="576"/>
      <c r="Q895" s="576"/>
      <c r="R895" s="346"/>
      <c r="S895" s="346"/>
    </row>
    <row r="896" ht="15.75" customHeight="1">
      <c r="B896" s="591"/>
      <c r="C896" s="466"/>
      <c r="D896" s="466"/>
      <c r="E896" s="592"/>
      <c r="F896" s="466"/>
      <c r="G896" s="576"/>
      <c r="H896" s="576"/>
      <c r="I896" s="576"/>
      <c r="J896" s="466"/>
      <c r="K896" s="576"/>
      <c r="L896" s="466"/>
      <c r="M896" s="576"/>
      <c r="N896" s="466"/>
      <c r="O896" s="576"/>
      <c r="P896" s="576"/>
      <c r="Q896" s="576"/>
      <c r="R896" s="346"/>
      <c r="S896" s="346"/>
    </row>
    <row r="897" ht="15.75" customHeight="1">
      <c r="B897" s="591"/>
      <c r="C897" s="466"/>
      <c r="D897" s="466"/>
      <c r="E897" s="592"/>
      <c r="F897" s="466"/>
      <c r="G897" s="576"/>
      <c r="H897" s="576"/>
      <c r="I897" s="576"/>
      <c r="J897" s="466"/>
      <c r="K897" s="576"/>
      <c r="L897" s="466"/>
      <c r="M897" s="576"/>
      <c r="N897" s="466"/>
      <c r="O897" s="576"/>
      <c r="P897" s="576"/>
      <c r="Q897" s="576"/>
      <c r="R897" s="346"/>
      <c r="S897" s="346"/>
    </row>
    <row r="898" ht="15.75" customHeight="1">
      <c r="B898" s="591"/>
      <c r="C898" s="466"/>
      <c r="D898" s="466"/>
      <c r="E898" s="592"/>
      <c r="F898" s="466"/>
      <c r="G898" s="576"/>
      <c r="H898" s="576"/>
      <c r="I898" s="576"/>
      <c r="J898" s="466"/>
      <c r="K898" s="576"/>
      <c r="L898" s="466"/>
      <c r="M898" s="576"/>
      <c r="N898" s="466"/>
      <c r="O898" s="576"/>
      <c r="P898" s="576"/>
      <c r="Q898" s="576"/>
      <c r="R898" s="346"/>
      <c r="S898" s="346"/>
    </row>
    <row r="899" ht="15.75" customHeight="1">
      <c r="B899" s="591"/>
      <c r="C899" s="466"/>
      <c r="D899" s="466"/>
      <c r="E899" s="592"/>
      <c r="F899" s="466"/>
      <c r="G899" s="576"/>
      <c r="H899" s="576"/>
      <c r="I899" s="576"/>
      <c r="J899" s="466"/>
      <c r="K899" s="576"/>
      <c r="L899" s="466"/>
      <c r="M899" s="576"/>
      <c r="N899" s="466"/>
      <c r="O899" s="576"/>
      <c r="P899" s="576"/>
      <c r="Q899" s="576"/>
      <c r="R899" s="346"/>
      <c r="S899" s="346"/>
    </row>
    <row r="900" ht="15.75" customHeight="1">
      <c r="B900" s="591"/>
      <c r="C900" s="466"/>
      <c r="D900" s="466"/>
      <c r="E900" s="592"/>
      <c r="F900" s="466"/>
      <c r="G900" s="576"/>
      <c r="H900" s="576"/>
      <c r="I900" s="576"/>
      <c r="J900" s="466"/>
      <c r="K900" s="576"/>
      <c r="L900" s="466"/>
      <c r="M900" s="576"/>
      <c r="N900" s="466"/>
      <c r="O900" s="576"/>
      <c r="P900" s="576"/>
      <c r="Q900" s="576"/>
      <c r="R900" s="346"/>
      <c r="S900" s="346"/>
    </row>
    <row r="901" ht="15.75" customHeight="1">
      <c r="B901" s="591"/>
      <c r="C901" s="466"/>
      <c r="D901" s="466"/>
      <c r="E901" s="592"/>
      <c r="F901" s="466"/>
      <c r="G901" s="576"/>
      <c r="H901" s="576"/>
      <c r="I901" s="576"/>
      <c r="J901" s="466"/>
      <c r="K901" s="576"/>
      <c r="L901" s="466"/>
      <c r="M901" s="576"/>
      <c r="N901" s="466"/>
      <c r="O901" s="576"/>
      <c r="P901" s="576"/>
      <c r="Q901" s="576"/>
      <c r="R901" s="346"/>
      <c r="S901" s="346"/>
    </row>
    <row r="902" ht="15.75" customHeight="1">
      <c r="B902" s="591"/>
      <c r="C902" s="466"/>
      <c r="D902" s="466"/>
      <c r="E902" s="592"/>
      <c r="F902" s="466"/>
      <c r="G902" s="576"/>
      <c r="H902" s="576"/>
      <c r="I902" s="576"/>
      <c r="J902" s="466"/>
      <c r="K902" s="576"/>
      <c r="L902" s="466"/>
      <c r="M902" s="576"/>
      <c r="N902" s="466"/>
      <c r="O902" s="576"/>
      <c r="P902" s="576"/>
      <c r="Q902" s="576"/>
      <c r="R902" s="346"/>
      <c r="S902" s="346"/>
    </row>
    <row r="903" ht="15.75" customHeight="1">
      <c r="B903" s="591"/>
      <c r="C903" s="466"/>
      <c r="D903" s="466"/>
      <c r="E903" s="592"/>
      <c r="F903" s="466"/>
      <c r="G903" s="576"/>
      <c r="H903" s="576"/>
      <c r="I903" s="576"/>
      <c r="J903" s="466"/>
      <c r="K903" s="576"/>
      <c r="L903" s="466"/>
      <c r="M903" s="576"/>
      <c r="N903" s="466"/>
      <c r="O903" s="576"/>
      <c r="P903" s="576"/>
      <c r="Q903" s="576"/>
      <c r="R903" s="346"/>
      <c r="S903" s="346"/>
    </row>
    <row r="904" ht="15.75" customHeight="1">
      <c r="B904" s="591"/>
      <c r="C904" s="466"/>
      <c r="D904" s="466"/>
      <c r="E904" s="592"/>
      <c r="F904" s="466"/>
      <c r="G904" s="576"/>
      <c r="H904" s="576"/>
      <c r="I904" s="576"/>
      <c r="J904" s="466"/>
      <c r="K904" s="576"/>
      <c r="L904" s="466"/>
      <c r="M904" s="576"/>
      <c r="N904" s="466"/>
      <c r="O904" s="576"/>
      <c r="P904" s="576"/>
      <c r="Q904" s="576"/>
      <c r="R904" s="346"/>
      <c r="S904" s="346"/>
    </row>
    <row r="905" ht="15.75" customHeight="1">
      <c r="B905" s="591"/>
      <c r="C905" s="466"/>
      <c r="D905" s="466"/>
      <c r="E905" s="592"/>
      <c r="F905" s="466"/>
      <c r="G905" s="576"/>
      <c r="H905" s="576"/>
      <c r="I905" s="576"/>
      <c r="J905" s="466"/>
      <c r="K905" s="576"/>
      <c r="L905" s="466"/>
      <c r="M905" s="576"/>
      <c r="N905" s="466"/>
      <c r="O905" s="576"/>
      <c r="P905" s="576"/>
      <c r="Q905" s="576"/>
      <c r="R905" s="346"/>
      <c r="S905" s="346"/>
    </row>
    <row r="906" ht="15.75" customHeight="1">
      <c r="B906" s="591"/>
      <c r="C906" s="466"/>
      <c r="D906" s="466"/>
      <c r="E906" s="592"/>
      <c r="F906" s="466"/>
      <c r="G906" s="576"/>
      <c r="H906" s="576"/>
      <c r="I906" s="576"/>
      <c r="J906" s="466"/>
      <c r="K906" s="576"/>
      <c r="L906" s="466"/>
      <c r="M906" s="576"/>
      <c r="N906" s="466"/>
      <c r="O906" s="576"/>
      <c r="P906" s="576"/>
      <c r="Q906" s="576"/>
      <c r="R906" s="346"/>
      <c r="S906" s="346"/>
    </row>
    <row r="907" ht="15.75" customHeight="1">
      <c r="B907" s="591"/>
      <c r="C907" s="466"/>
      <c r="D907" s="466"/>
      <c r="E907" s="592"/>
      <c r="F907" s="466"/>
      <c r="G907" s="576"/>
      <c r="H907" s="576"/>
      <c r="I907" s="576"/>
      <c r="J907" s="466"/>
      <c r="K907" s="576"/>
      <c r="L907" s="466"/>
      <c r="M907" s="576"/>
      <c r="N907" s="466"/>
      <c r="O907" s="576"/>
      <c r="P907" s="576"/>
      <c r="Q907" s="576"/>
      <c r="R907" s="346"/>
      <c r="S907" s="346"/>
    </row>
    <row r="908" ht="15.75" customHeight="1">
      <c r="B908" s="591"/>
      <c r="C908" s="466"/>
      <c r="D908" s="466"/>
      <c r="E908" s="592"/>
      <c r="F908" s="466"/>
      <c r="G908" s="576"/>
      <c r="H908" s="576"/>
      <c r="I908" s="576"/>
      <c r="J908" s="466"/>
      <c r="K908" s="576"/>
      <c r="L908" s="466"/>
      <c r="M908" s="576"/>
      <c r="N908" s="466"/>
      <c r="O908" s="576"/>
      <c r="P908" s="576"/>
      <c r="Q908" s="576"/>
      <c r="R908" s="346"/>
      <c r="S908" s="346"/>
    </row>
    <row r="909" ht="15.75" customHeight="1">
      <c r="B909" s="591"/>
      <c r="C909" s="466"/>
      <c r="D909" s="466"/>
      <c r="E909" s="592"/>
      <c r="F909" s="466"/>
      <c r="G909" s="576"/>
      <c r="H909" s="576"/>
      <c r="I909" s="576"/>
      <c r="J909" s="466"/>
      <c r="K909" s="576"/>
      <c r="L909" s="466"/>
      <c r="M909" s="576"/>
      <c r="N909" s="466"/>
      <c r="O909" s="576"/>
      <c r="P909" s="576"/>
      <c r="Q909" s="576"/>
      <c r="R909" s="346"/>
      <c r="S909" s="346"/>
    </row>
    <row r="910" ht="15.75" customHeight="1">
      <c r="B910" s="591"/>
      <c r="C910" s="466"/>
      <c r="D910" s="466"/>
      <c r="E910" s="592"/>
      <c r="F910" s="466"/>
      <c r="G910" s="576"/>
      <c r="H910" s="576"/>
      <c r="I910" s="576"/>
      <c r="J910" s="466"/>
      <c r="K910" s="576"/>
      <c r="L910" s="466"/>
      <c r="M910" s="576"/>
      <c r="N910" s="466"/>
      <c r="O910" s="576"/>
      <c r="P910" s="576"/>
      <c r="Q910" s="576"/>
      <c r="R910" s="346"/>
      <c r="S910" s="346"/>
    </row>
    <row r="911" ht="15.75" customHeight="1">
      <c r="B911" s="591"/>
      <c r="C911" s="466"/>
      <c r="D911" s="466"/>
      <c r="E911" s="592"/>
      <c r="F911" s="466"/>
      <c r="G911" s="576"/>
      <c r="H911" s="576"/>
      <c r="I911" s="576"/>
      <c r="J911" s="466"/>
      <c r="K911" s="576"/>
      <c r="L911" s="466"/>
      <c r="M911" s="576"/>
      <c r="N911" s="466"/>
      <c r="O911" s="576"/>
      <c r="P911" s="576"/>
      <c r="Q911" s="576"/>
      <c r="R911" s="346"/>
      <c r="S911" s="346"/>
    </row>
    <row r="912" ht="15.75" customHeight="1">
      <c r="B912" s="591"/>
      <c r="C912" s="466"/>
      <c r="D912" s="466"/>
      <c r="E912" s="592"/>
      <c r="F912" s="466"/>
      <c r="G912" s="576"/>
      <c r="H912" s="576"/>
      <c r="I912" s="576"/>
      <c r="J912" s="466"/>
      <c r="K912" s="576"/>
      <c r="L912" s="466"/>
      <c r="M912" s="576"/>
      <c r="N912" s="466"/>
      <c r="O912" s="576"/>
      <c r="P912" s="576"/>
      <c r="Q912" s="576"/>
      <c r="R912" s="346"/>
      <c r="S912" s="346"/>
    </row>
    <row r="913" ht="15.75" customHeight="1">
      <c r="B913" s="591"/>
      <c r="C913" s="466"/>
      <c r="D913" s="466"/>
      <c r="E913" s="592"/>
      <c r="F913" s="466"/>
      <c r="G913" s="576"/>
      <c r="H913" s="576"/>
      <c r="I913" s="576"/>
      <c r="J913" s="466"/>
      <c r="K913" s="576"/>
      <c r="L913" s="466"/>
      <c r="M913" s="576"/>
      <c r="N913" s="466"/>
      <c r="O913" s="576"/>
      <c r="P913" s="576"/>
      <c r="Q913" s="576"/>
      <c r="R913" s="346"/>
      <c r="S913" s="346"/>
    </row>
    <row r="914" ht="15.75" customHeight="1">
      <c r="B914" s="591"/>
      <c r="C914" s="466"/>
      <c r="D914" s="466"/>
      <c r="E914" s="592"/>
      <c r="F914" s="466"/>
      <c r="G914" s="576"/>
      <c r="H914" s="576"/>
      <c r="I914" s="576"/>
      <c r="J914" s="466"/>
      <c r="K914" s="576"/>
      <c r="L914" s="466"/>
      <c r="M914" s="576"/>
      <c r="N914" s="466"/>
      <c r="O914" s="576"/>
      <c r="P914" s="576"/>
      <c r="Q914" s="576"/>
      <c r="R914" s="346"/>
      <c r="S914" s="346"/>
    </row>
    <row r="915" ht="15.75" customHeight="1">
      <c r="B915" s="591"/>
      <c r="C915" s="466"/>
      <c r="D915" s="466"/>
      <c r="E915" s="592"/>
      <c r="F915" s="466"/>
      <c r="G915" s="576"/>
      <c r="H915" s="576"/>
      <c r="I915" s="576"/>
      <c r="J915" s="466"/>
      <c r="K915" s="576"/>
      <c r="L915" s="466"/>
      <c r="M915" s="576"/>
      <c r="N915" s="466"/>
      <c r="O915" s="576"/>
      <c r="P915" s="576"/>
      <c r="Q915" s="576"/>
      <c r="R915" s="346"/>
      <c r="S915" s="346"/>
    </row>
    <row r="916" ht="15.75" customHeight="1">
      <c r="B916" s="591"/>
      <c r="C916" s="466"/>
      <c r="D916" s="466"/>
      <c r="E916" s="592"/>
      <c r="F916" s="466"/>
      <c r="G916" s="576"/>
      <c r="H916" s="576"/>
      <c r="I916" s="576"/>
      <c r="J916" s="466"/>
      <c r="K916" s="576"/>
      <c r="L916" s="466"/>
      <c r="M916" s="576"/>
      <c r="N916" s="466"/>
      <c r="O916" s="576"/>
      <c r="P916" s="576"/>
      <c r="Q916" s="576"/>
      <c r="R916" s="346"/>
      <c r="S916" s="346"/>
    </row>
    <row r="917" ht="15.75" customHeight="1">
      <c r="B917" s="591"/>
      <c r="C917" s="466"/>
      <c r="D917" s="466"/>
      <c r="E917" s="592"/>
      <c r="F917" s="466"/>
      <c r="G917" s="576"/>
      <c r="H917" s="576"/>
      <c r="I917" s="576"/>
      <c r="J917" s="466"/>
      <c r="K917" s="576"/>
      <c r="L917" s="466"/>
      <c r="M917" s="576"/>
      <c r="N917" s="466"/>
      <c r="O917" s="576"/>
      <c r="P917" s="576"/>
      <c r="Q917" s="576"/>
      <c r="R917" s="346"/>
      <c r="S917" s="346"/>
    </row>
    <row r="918" ht="15.75" customHeight="1">
      <c r="B918" s="591"/>
      <c r="C918" s="466"/>
      <c r="D918" s="466"/>
      <c r="E918" s="592"/>
      <c r="F918" s="466"/>
      <c r="G918" s="576"/>
      <c r="H918" s="576"/>
      <c r="I918" s="576"/>
      <c r="J918" s="466"/>
      <c r="K918" s="576"/>
      <c r="L918" s="466"/>
      <c r="M918" s="576"/>
      <c r="N918" s="466"/>
      <c r="O918" s="576"/>
      <c r="P918" s="576"/>
      <c r="Q918" s="576"/>
      <c r="R918" s="346"/>
      <c r="S918" s="346"/>
    </row>
    <row r="919" ht="15.75" customHeight="1">
      <c r="B919" s="591"/>
      <c r="C919" s="466"/>
      <c r="D919" s="466"/>
      <c r="E919" s="592"/>
      <c r="F919" s="466"/>
      <c r="G919" s="576"/>
      <c r="H919" s="576"/>
      <c r="I919" s="576"/>
      <c r="J919" s="466"/>
      <c r="K919" s="576"/>
      <c r="L919" s="466"/>
      <c r="M919" s="576"/>
      <c r="N919" s="466"/>
      <c r="O919" s="576"/>
      <c r="P919" s="576"/>
      <c r="Q919" s="576"/>
      <c r="R919" s="346"/>
      <c r="S919" s="346"/>
    </row>
    <row r="920" ht="15.75" customHeight="1">
      <c r="B920" s="591"/>
      <c r="C920" s="466"/>
      <c r="D920" s="466"/>
      <c r="E920" s="592"/>
      <c r="F920" s="466"/>
      <c r="G920" s="576"/>
      <c r="H920" s="576"/>
      <c r="I920" s="576"/>
      <c r="J920" s="466"/>
      <c r="K920" s="576"/>
      <c r="L920" s="466"/>
      <c r="M920" s="576"/>
      <c r="N920" s="466"/>
      <c r="O920" s="576"/>
      <c r="P920" s="576"/>
      <c r="Q920" s="576"/>
      <c r="R920" s="346"/>
      <c r="S920" s="346"/>
    </row>
    <row r="921" ht="15.75" customHeight="1">
      <c r="B921" s="591"/>
      <c r="C921" s="466"/>
      <c r="D921" s="466"/>
      <c r="E921" s="592"/>
      <c r="F921" s="466"/>
      <c r="G921" s="576"/>
      <c r="H921" s="576"/>
      <c r="I921" s="576"/>
      <c r="J921" s="466"/>
      <c r="K921" s="576"/>
      <c r="L921" s="466"/>
      <c r="M921" s="576"/>
      <c r="N921" s="466"/>
      <c r="O921" s="576"/>
      <c r="P921" s="576"/>
      <c r="Q921" s="576"/>
      <c r="R921" s="346"/>
      <c r="S921" s="346"/>
    </row>
    <row r="922" ht="15.75" customHeight="1">
      <c r="B922" s="591"/>
      <c r="C922" s="466"/>
      <c r="D922" s="466"/>
      <c r="E922" s="592"/>
      <c r="F922" s="466"/>
      <c r="G922" s="576"/>
      <c r="H922" s="576"/>
      <c r="I922" s="576"/>
      <c r="J922" s="466"/>
      <c r="K922" s="576"/>
      <c r="L922" s="466"/>
      <c r="M922" s="576"/>
      <c r="N922" s="466"/>
      <c r="O922" s="576"/>
      <c r="P922" s="576"/>
      <c r="Q922" s="576"/>
      <c r="R922" s="346"/>
      <c r="S922" s="346"/>
    </row>
    <row r="923" ht="15.75" customHeight="1">
      <c r="B923" s="591"/>
      <c r="C923" s="466"/>
      <c r="D923" s="466"/>
      <c r="E923" s="592"/>
      <c r="F923" s="466"/>
      <c r="G923" s="576"/>
      <c r="H923" s="576"/>
      <c r="I923" s="576"/>
      <c r="J923" s="466"/>
      <c r="K923" s="576"/>
      <c r="L923" s="466"/>
      <c r="M923" s="576"/>
      <c r="N923" s="466"/>
      <c r="O923" s="576"/>
      <c r="P923" s="576"/>
      <c r="Q923" s="576"/>
      <c r="R923" s="346"/>
      <c r="S923" s="346"/>
    </row>
    <row r="924" ht="15.75" customHeight="1">
      <c r="B924" s="591"/>
      <c r="C924" s="466"/>
      <c r="D924" s="466"/>
      <c r="E924" s="592"/>
      <c r="F924" s="466"/>
      <c r="G924" s="576"/>
      <c r="H924" s="576"/>
      <c r="I924" s="576"/>
      <c r="J924" s="466"/>
      <c r="K924" s="576"/>
      <c r="L924" s="466"/>
      <c r="M924" s="576"/>
      <c r="N924" s="466"/>
      <c r="O924" s="576"/>
      <c r="P924" s="576"/>
      <c r="Q924" s="576"/>
      <c r="R924" s="346"/>
      <c r="S924" s="346"/>
    </row>
    <row r="925" ht="15.75" customHeight="1">
      <c r="B925" s="591"/>
      <c r="C925" s="466"/>
      <c r="D925" s="466"/>
      <c r="E925" s="592"/>
      <c r="F925" s="466"/>
      <c r="G925" s="576"/>
      <c r="H925" s="576"/>
      <c r="I925" s="576"/>
      <c r="J925" s="466"/>
      <c r="K925" s="576"/>
      <c r="L925" s="466"/>
      <c r="M925" s="576"/>
      <c r="N925" s="466"/>
      <c r="O925" s="576"/>
      <c r="P925" s="576"/>
      <c r="Q925" s="576"/>
      <c r="R925" s="346"/>
      <c r="S925" s="346"/>
    </row>
    <row r="926" ht="15.75" customHeight="1">
      <c r="B926" s="591"/>
      <c r="C926" s="466"/>
      <c r="D926" s="466"/>
      <c r="E926" s="592"/>
      <c r="F926" s="466"/>
      <c r="G926" s="576"/>
      <c r="H926" s="576"/>
      <c r="I926" s="576"/>
      <c r="J926" s="466"/>
      <c r="K926" s="576"/>
      <c r="L926" s="466"/>
      <c r="M926" s="576"/>
      <c r="N926" s="466"/>
      <c r="O926" s="576"/>
      <c r="P926" s="576"/>
      <c r="Q926" s="576"/>
      <c r="R926" s="346"/>
      <c r="S926" s="346"/>
    </row>
    <row r="927" ht="15.75" customHeight="1">
      <c r="B927" s="591"/>
      <c r="C927" s="466"/>
      <c r="D927" s="466"/>
      <c r="E927" s="592"/>
      <c r="F927" s="466"/>
      <c r="G927" s="576"/>
      <c r="H927" s="576"/>
      <c r="I927" s="576"/>
      <c r="J927" s="466"/>
      <c r="K927" s="576"/>
      <c r="L927" s="466"/>
      <c r="M927" s="576"/>
      <c r="N927" s="466"/>
      <c r="O927" s="576"/>
      <c r="P927" s="576"/>
      <c r="Q927" s="576"/>
      <c r="R927" s="346"/>
      <c r="S927" s="346"/>
    </row>
    <row r="928" ht="15.75" customHeight="1">
      <c r="B928" s="591"/>
      <c r="C928" s="466"/>
      <c r="D928" s="466"/>
      <c r="E928" s="592"/>
      <c r="F928" s="466"/>
      <c r="G928" s="576"/>
      <c r="H928" s="576"/>
      <c r="I928" s="576"/>
      <c r="J928" s="466"/>
      <c r="K928" s="576"/>
      <c r="L928" s="466"/>
      <c r="M928" s="576"/>
      <c r="N928" s="466"/>
      <c r="O928" s="576"/>
      <c r="P928" s="576"/>
      <c r="Q928" s="576"/>
      <c r="R928" s="346"/>
      <c r="S928" s="346"/>
    </row>
    <row r="929" ht="15.75" customHeight="1">
      <c r="B929" s="591"/>
      <c r="C929" s="466"/>
      <c r="D929" s="466"/>
      <c r="E929" s="592"/>
      <c r="F929" s="466"/>
      <c r="G929" s="576"/>
      <c r="H929" s="576"/>
      <c r="I929" s="576"/>
      <c r="J929" s="466"/>
      <c r="K929" s="576"/>
      <c r="L929" s="466"/>
      <c r="M929" s="576"/>
      <c r="N929" s="466"/>
      <c r="O929" s="576"/>
      <c r="P929" s="576"/>
      <c r="Q929" s="576"/>
      <c r="R929" s="346"/>
      <c r="S929" s="346"/>
    </row>
    <row r="930" ht="15.75" customHeight="1">
      <c r="B930" s="591"/>
      <c r="C930" s="466"/>
      <c r="D930" s="466"/>
      <c r="E930" s="592"/>
      <c r="F930" s="466"/>
      <c r="G930" s="576"/>
      <c r="H930" s="576"/>
      <c r="I930" s="576"/>
      <c r="J930" s="466"/>
      <c r="K930" s="576"/>
      <c r="L930" s="466"/>
      <c r="M930" s="576"/>
      <c r="N930" s="466"/>
      <c r="O930" s="576"/>
      <c r="P930" s="576"/>
      <c r="Q930" s="576"/>
      <c r="R930" s="346"/>
      <c r="S930" s="346"/>
    </row>
    <row r="931" ht="15.75" customHeight="1">
      <c r="B931" s="591"/>
      <c r="C931" s="466"/>
      <c r="D931" s="466"/>
      <c r="E931" s="592"/>
      <c r="F931" s="466"/>
      <c r="G931" s="576"/>
      <c r="H931" s="576"/>
      <c r="I931" s="576"/>
      <c r="J931" s="466"/>
      <c r="K931" s="576"/>
      <c r="L931" s="466"/>
      <c r="M931" s="576"/>
      <c r="N931" s="466"/>
      <c r="O931" s="576"/>
      <c r="P931" s="576"/>
      <c r="Q931" s="576"/>
      <c r="R931" s="346"/>
      <c r="S931" s="346"/>
    </row>
    <row r="932" ht="15.75" customHeight="1">
      <c r="B932" s="591"/>
      <c r="C932" s="466"/>
      <c r="D932" s="466"/>
      <c r="E932" s="592"/>
      <c r="F932" s="466"/>
      <c r="G932" s="576"/>
      <c r="H932" s="576"/>
      <c r="I932" s="576"/>
      <c r="J932" s="466"/>
      <c r="K932" s="576"/>
      <c r="L932" s="466"/>
      <c r="M932" s="576"/>
      <c r="N932" s="466"/>
      <c r="O932" s="576"/>
      <c r="P932" s="576"/>
      <c r="Q932" s="576"/>
      <c r="R932" s="346"/>
      <c r="S932" s="346"/>
    </row>
    <row r="933" ht="15.75" customHeight="1">
      <c r="B933" s="591"/>
      <c r="C933" s="466"/>
      <c r="D933" s="466"/>
      <c r="E933" s="592"/>
      <c r="F933" s="466"/>
      <c r="G933" s="576"/>
      <c r="H933" s="576"/>
      <c r="I933" s="576"/>
      <c r="J933" s="466"/>
      <c r="K933" s="576"/>
      <c r="L933" s="466"/>
      <c r="M933" s="576"/>
      <c r="N933" s="466"/>
      <c r="O933" s="576"/>
      <c r="P933" s="576"/>
      <c r="Q933" s="576"/>
      <c r="R933" s="346"/>
      <c r="S933" s="346"/>
    </row>
    <row r="934" ht="15.75" customHeight="1">
      <c r="B934" s="591"/>
      <c r="C934" s="466"/>
      <c r="D934" s="466"/>
      <c r="E934" s="592"/>
      <c r="F934" s="466"/>
      <c r="G934" s="576"/>
      <c r="H934" s="576"/>
      <c r="I934" s="576"/>
      <c r="J934" s="466"/>
      <c r="K934" s="576"/>
      <c r="L934" s="466"/>
      <c r="M934" s="576"/>
      <c r="N934" s="466"/>
      <c r="O934" s="576"/>
      <c r="P934" s="576"/>
      <c r="Q934" s="576"/>
      <c r="R934" s="346"/>
      <c r="S934" s="346"/>
    </row>
    <row r="935" ht="15.75" customHeight="1">
      <c r="B935" s="591"/>
      <c r="C935" s="466"/>
      <c r="D935" s="466"/>
      <c r="E935" s="592"/>
      <c r="F935" s="466"/>
      <c r="G935" s="576"/>
      <c r="H935" s="576"/>
      <c r="I935" s="576"/>
      <c r="J935" s="466"/>
      <c r="K935" s="576"/>
      <c r="L935" s="466"/>
      <c r="M935" s="576"/>
      <c r="N935" s="466"/>
      <c r="O935" s="576"/>
      <c r="P935" s="576"/>
      <c r="Q935" s="576"/>
      <c r="R935" s="346"/>
      <c r="S935" s="346"/>
    </row>
    <row r="936" ht="15.75" customHeight="1">
      <c r="B936" s="591"/>
      <c r="C936" s="466"/>
      <c r="D936" s="466"/>
      <c r="E936" s="592"/>
      <c r="F936" s="466"/>
      <c r="G936" s="576"/>
      <c r="H936" s="576"/>
      <c r="I936" s="576"/>
      <c r="J936" s="466"/>
      <c r="K936" s="576"/>
      <c r="L936" s="466"/>
      <c r="M936" s="576"/>
      <c r="N936" s="466"/>
      <c r="O936" s="576"/>
      <c r="P936" s="576"/>
      <c r="Q936" s="576"/>
      <c r="R936" s="346"/>
      <c r="S936" s="346"/>
    </row>
    <row r="937" ht="15.75" customHeight="1">
      <c r="B937" s="591"/>
      <c r="C937" s="466"/>
      <c r="D937" s="466"/>
      <c r="E937" s="592"/>
      <c r="F937" s="466"/>
      <c r="G937" s="576"/>
      <c r="H937" s="576"/>
      <c r="I937" s="576"/>
      <c r="J937" s="466"/>
      <c r="K937" s="576"/>
      <c r="L937" s="466"/>
      <c r="M937" s="576"/>
      <c r="N937" s="466"/>
      <c r="O937" s="576"/>
      <c r="P937" s="576"/>
      <c r="Q937" s="576"/>
      <c r="R937" s="346"/>
      <c r="S937" s="346"/>
    </row>
    <row r="938" ht="15.75" customHeight="1">
      <c r="B938" s="591"/>
      <c r="C938" s="466"/>
      <c r="D938" s="466"/>
      <c r="E938" s="592"/>
      <c r="F938" s="466"/>
      <c r="G938" s="576"/>
      <c r="H938" s="576"/>
      <c r="I938" s="576"/>
      <c r="J938" s="466"/>
      <c r="K938" s="576"/>
      <c r="L938" s="466"/>
      <c r="M938" s="576"/>
      <c r="N938" s="466"/>
      <c r="O938" s="576"/>
      <c r="P938" s="576"/>
      <c r="Q938" s="576"/>
      <c r="R938" s="346"/>
      <c r="S938" s="346"/>
    </row>
    <row r="939" ht="15.75" customHeight="1">
      <c r="B939" s="591"/>
      <c r="C939" s="466"/>
      <c r="D939" s="466"/>
      <c r="E939" s="592"/>
      <c r="F939" s="466"/>
      <c r="G939" s="576"/>
      <c r="H939" s="576"/>
      <c r="I939" s="576"/>
      <c r="J939" s="466"/>
      <c r="K939" s="576"/>
      <c r="L939" s="466"/>
      <c r="M939" s="576"/>
      <c r="N939" s="466"/>
      <c r="O939" s="576"/>
      <c r="P939" s="576"/>
      <c r="Q939" s="576"/>
      <c r="R939" s="346"/>
      <c r="S939" s="346"/>
    </row>
    <row r="940" ht="15.75" customHeight="1">
      <c r="B940" s="591"/>
      <c r="C940" s="466"/>
      <c r="D940" s="466"/>
      <c r="E940" s="592"/>
      <c r="F940" s="466"/>
      <c r="G940" s="576"/>
      <c r="H940" s="576"/>
      <c r="I940" s="576"/>
      <c r="J940" s="466"/>
      <c r="K940" s="576"/>
      <c r="L940" s="466"/>
      <c r="M940" s="576"/>
      <c r="N940" s="466"/>
      <c r="O940" s="576"/>
      <c r="P940" s="576"/>
      <c r="Q940" s="576"/>
      <c r="R940" s="346"/>
      <c r="S940" s="346"/>
    </row>
    <row r="941" ht="15.75" customHeight="1">
      <c r="B941" s="591"/>
      <c r="C941" s="466"/>
      <c r="D941" s="466"/>
      <c r="E941" s="592"/>
      <c r="F941" s="466"/>
      <c r="G941" s="576"/>
      <c r="H941" s="576"/>
      <c r="I941" s="576"/>
      <c r="J941" s="466"/>
      <c r="K941" s="576"/>
      <c r="L941" s="466"/>
      <c r="M941" s="576"/>
      <c r="N941" s="466"/>
      <c r="O941" s="576"/>
      <c r="P941" s="576"/>
      <c r="Q941" s="576"/>
      <c r="R941" s="346"/>
      <c r="S941" s="346"/>
    </row>
    <row r="942" ht="15.75" customHeight="1">
      <c r="B942" s="591"/>
      <c r="C942" s="466"/>
      <c r="D942" s="466"/>
      <c r="E942" s="592"/>
      <c r="F942" s="466"/>
      <c r="G942" s="576"/>
      <c r="H942" s="576"/>
      <c r="I942" s="576"/>
      <c r="J942" s="466"/>
      <c r="K942" s="576"/>
      <c r="L942" s="466"/>
      <c r="M942" s="576"/>
      <c r="N942" s="466"/>
      <c r="O942" s="576"/>
      <c r="P942" s="576"/>
      <c r="Q942" s="576"/>
      <c r="R942" s="346"/>
      <c r="S942" s="346"/>
    </row>
    <row r="943" ht="15.75" customHeight="1">
      <c r="B943" s="591"/>
      <c r="C943" s="466"/>
      <c r="D943" s="466"/>
      <c r="E943" s="592"/>
      <c r="F943" s="466"/>
      <c r="G943" s="576"/>
      <c r="H943" s="576"/>
      <c r="I943" s="576"/>
      <c r="J943" s="466"/>
      <c r="K943" s="576"/>
      <c r="L943" s="466"/>
      <c r="M943" s="576"/>
      <c r="N943" s="466"/>
      <c r="O943" s="576"/>
      <c r="P943" s="576"/>
      <c r="Q943" s="576"/>
      <c r="R943" s="346"/>
      <c r="S943" s="346"/>
    </row>
    <row r="944" ht="15.75" customHeight="1">
      <c r="B944" s="591"/>
      <c r="C944" s="466"/>
      <c r="D944" s="466"/>
      <c r="E944" s="592"/>
      <c r="F944" s="466"/>
      <c r="G944" s="576"/>
      <c r="H944" s="576"/>
      <c r="I944" s="576"/>
      <c r="J944" s="466"/>
      <c r="K944" s="576"/>
      <c r="L944" s="466"/>
      <c r="M944" s="576"/>
      <c r="N944" s="466"/>
      <c r="O944" s="576"/>
      <c r="P944" s="576"/>
      <c r="Q944" s="576"/>
      <c r="R944" s="346"/>
      <c r="S944" s="346"/>
    </row>
    <row r="945" ht="15.75" customHeight="1">
      <c r="B945" s="591"/>
      <c r="C945" s="466"/>
      <c r="D945" s="466"/>
      <c r="E945" s="592"/>
      <c r="F945" s="466"/>
      <c r="G945" s="576"/>
      <c r="H945" s="576"/>
      <c r="I945" s="576"/>
      <c r="J945" s="466"/>
      <c r="K945" s="576"/>
      <c r="L945" s="466"/>
      <c r="M945" s="576"/>
      <c r="N945" s="466"/>
      <c r="O945" s="576"/>
      <c r="P945" s="576"/>
      <c r="Q945" s="576"/>
      <c r="R945" s="346"/>
      <c r="S945" s="346"/>
    </row>
    <row r="946" ht="15.75" customHeight="1">
      <c r="B946" s="591"/>
      <c r="C946" s="466"/>
      <c r="D946" s="466"/>
      <c r="E946" s="592"/>
      <c r="F946" s="466"/>
      <c r="G946" s="576"/>
      <c r="H946" s="576"/>
      <c r="I946" s="576"/>
      <c r="J946" s="466"/>
      <c r="K946" s="576"/>
      <c r="L946" s="466"/>
      <c r="M946" s="576"/>
      <c r="N946" s="466"/>
      <c r="O946" s="576"/>
      <c r="P946" s="576"/>
      <c r="Q946" s="576"/>
      <c r="R946" s="346"/>
      <c r="S946" s="346"/>
    </row>
    <row r="947" ht="15.75" customHeight="1">
      <c r="B947" s="591"/>
      <c r="C947" s="466"/>
      <c r="D947" s="466"/>
      <c r="E947" s="592"/>
      <c r="F947" s="466"/>
      <c r="G947" s="576"/>
      <c r="H947" s="576"/>
      <c r="I947" s="576"/>
      <c r="J947" s="466"/>
      <c r="K947" s="576"/>
      <c r="L947" s="466"/>
      <c r="M947" s="576"/>
      <c r="N947" s="466"/>
      <c r="O947" s="576"/>
      <c r="P947" s="576"/>
      <c r="Q947" s="576"/>
      <c r="R947" s="346"/>
      <c r="S947" s="346"/>
    </row>
    <row r="948" ht="15.75" customHeight="1">
      <c r="B948" s="591"/>
      <c r="C948" s="466"/>
      <c r="D948" s="466"/>
      <c r="E948" s="592"/>
      <c r="F948" s="466"/>
      <c r="G948" s="576"/>
      <c r="H948" s="576"/>
      <c r="I948" s="576"/>
      <c r="J948" s="466"/>
      <c r="K948" s="576"/>
      <c r="L948" s="466"/>
      <c r="M948" s="576"/>
      <c r="N948" s="466"/>
      <c r="O948" s="576"/>
      <c r="P948" s="576"/>
      <c r="Q948" s="576"/>
      <c r="R948" s="346"/>
      <c r="S948" s="346"/>
    </row>
    <row r="949" ht="15.75" customHeight="1">
      <c r="B949" s="591"/>
      <c r="C949" s="466"/>
      <c r="D949" s="466"/>
      <c r="E949" s="592"/>
      <c r="F949" s="466"/>
      <c r="G949" s="576"/>
      <c r="H949" s="576"/>
      <c r="I949" s="576"/>
      <c r="J949" s="466"/>
      <c r="K949" s="576"/>
      <c r="L949" s="466"/>
      <c r="M949" s="576"/>
      <c r="N949" s="466"/>
      <c r="O949" s="576"/>
      <c r="P949" s="576"/>
      <c r="Q949" s="576"/>
      <c r="R949" s="346"/>
      <c r="S949" s="346"/>
    </row>
    <row r="950" ht="15.75" customHeight="1">
      <c r="B950" s="591"/>
      <c r="C950" s="466"/>
      <c r="D950" s="466"/>
      <c r="E950" s="592"/>
      <c r="F950" s="466"/>
      <c r="G950" s="576"/>
      <c r="H950" s="576"/>
      <c r="I950" s="576"/>
      <c r="J950" s="466"/>
      <c r="K950" s="576"/>
      <c r="L950" s="466"/>
      <c r="M950" s="576"/>
      <c r="N950" s="466"/>
      <c r="O950" s="576"/>
      <c r="P950" s="576"/>
      <c r="Q950" s="576"/>
      <c r="R950" s="346"/>
      <c r="S950" s="346"/>
    </row>
    <row r="951" ht="15.75" customHeight="1">
      <c r="B951" s="591"/>
      <c r="C951" s="466"/>
      <c r="D951" s="466"/>
      <c r="E951" s="592"/>
      <c r="F951" s="466"/>
      <c r="G951" s="576"/>
      <c r="H951" s="576"/>
      <c r="I951" s="576"/>
      <c r="J951" s="466"/>
      <c r="K951" s="576"/>
      <c r="L951" s="466"/>
      <c r="M951" s="576"/>
      <c r="N951" s="466"/>
      <c r="O951" s="576"/>
      <c r="P951" s="576"/>
      <c r="Q951" s="576"/>
      <c r="R951" s="346"/>
      <c r="S951" s="346"/>
    </row>
    <row r="952" ht="15.75" customHeight="1">
      <c r="B952" s="591"/>
      <c r="C952" s="466"/>
      <c r="D952" s="466"/>
      <c r="E952" s="592"/>
      <c r="F952" s="466"/>
      <c r="G952" s="576"/>
      <c r="H952" s="576"/>
      <c r="I952" s="576"/>
      <c r="J952" s="466"/>
      <c r="K952" s="576"/>
      <c r="L952" s="466"/>
      <c r="M952" s="576"/>
      <c r="N952" s="466"/>
      <c r="O952" s="576"/>
      <c r="P952" s="576"/>
      <c r="Q952" s="576"/>
      <c r="R952" s="346"/>
      <c r="S952" s="346"/>
    </row>
    <row r="953" ht="15.75" customHeight="1">
      <c r="B953" s="591"/>
      <c r="C953" s="466"/>
      <c r="D953" s="466"/>
      <c r="E953" s="592"/>
      <c r="F953" s="466"/>
      <c r="G953" s="576"/>
      <c r="H953" s="576"/>
      <c r="I953" s="576"/>
      <c r="J953" s="466"/>
      <c r="K953" s="576"/>
      <c r="L953" s="466"/>
      <c r="M953" s="576"/>
      <c r="N953" s="466"/>
      <c r="O953" s="576"/>
      <c r="P953" s="576"/>
      <c r="Q953" s="576"/>
      <c r="R953" s="346"/>
      <c r="S953" s="346"/>
    </row>
    <row r="954" ht="15.75" customHeight="1">
      <c r="B954" s="591"/>
      <c r="C954" s="466"/>
      <c r="D954" s="466"/>
      <c r="E954" s="592"/>
      <c r="F954" s="466"/>
      <c r="G954" s="576"/>
      <c r="H954" s="576"/>
      <c r="I954" s="576"/>
      <c r="J954" s="466"/>
      <c r="K954" s="576"/>
      <c r="L954" s="466"/>
      <c r="M954" s="576"/>
      <c r="N954" s="466"/>
      <c r="O954" s="576"/>
      <c r="P954" s="576"/>
      <c r="Q954" s="576"/>
      <c r="R954" s="346"/>
      <c r="S954" s="346"/>
    </row>
    <row r="955" ht="15.75" customHeight="1">
      <c r="B955" s="591"/>
      <c r="C955" s="466"/>
      <c r="D955" s="466"/>
      <c r="E955" s="592"/>
      <c r="F955" s="466"/>
      <c r="G955" s="576"/>
      <c r="H955" s="576"/>
      <c r="I955" s="576"/>
      <c r="J955" s="466"/>
      <c r="K955" s="576"/>
      <c r="L955" s="466"/>
      <c r="M955" s="576"/>
      <c r="N955" s="466"/>
      <c r="O955" s="576"/>
      <c r="P955" s="576"/>
      <c r="Q955" s="576"/>
      <c r="R955" s="346"/>
      <c r="S955" s="346"/>
    </row>
    <row r="956" ht="15.75" customHeight="1">
      <c r="B956" s="591"/>
      <c r="C956" s="466"/>
      <c r="D956" s="466"/>
      <c r="E956" s="592"/>
      <c r="F956" s="466"/>
      <c r="G956" s="576"/>
      <c r="H956" s="576"/>
      <c r="I956" s="576"/>
      <c r="J956" s="466"/>
      <c r="K956" s="576"/>
      <c r="L956" s="466"/>
      <c r="M956" s="576"/>
      <c r="N956" s="466"/>
      <c r="O956" s="576"/>
      <c r="P956" s="576"/>
      <c r="Q956" s="576"/>
      <c r="R956" s="346"/>
      <c r="S956" s="346"/>
    </row>
    <row r="957" ht="15.75" customHeight="1">
      <c r="B957" s="591"/>
      <c r="C957" s="466"/>
      <c r="D957" s="466"/>
      <c r="E957" s="592"/>
      <c r="F957" s="466"/>
      <c r="G957" s="576"/>
      <c r="H957" s="576"/>
      <c r="I957" s="576"/>
      <c r="J957" s="466"/>
      <c r="K957" s="576"/>
      <c r="L957" s="466"/>
      <c r="M957" s="576"/>
      <c r="N957" s="466"/>
      <c r="O957" s="576"/>
      <c r="P957" s="576"/>
      <c r="Q957" s="576"/>
      <c r="R957" s="346"/>
      <c r="S957" s="346"/>
    </row>
    <row r="958" ht="15.75" customHeight="1">
      <c r="B958" s="591"/>
      <c r="C958" s="466"/>
      <c r="D958" s="466"/>
      <c r="E958" s="592"/>
      <c r="F958" s="466"/>
      <c r="G958" s="576"/>
      <c r="H958" s="576"/>
      <c r="I958" s="576"/>
      <c r="J958" s="466"/>
      <c r="K958" s="576"/>
      <c r="L958" s="466"/>
      <c r="M958" s="576"/>
      <c r="N958" s="466"/>
      <c r="O958" s="576"/>
      <c r="P958" s="576"/>
      <c r="Q958" s="576"/>
      <c r="R958" s="346"/>
      <c r="S958" s="346"/>
    </row>
    <row r="959" ht="15.75" customHeight="1">
      <c r="B959" s="591"/>
      <c r="C959" s="466"/>
      <c r="D959" s="466"/>
      <c r="E959" s="592"/>
      <c r="F959" s="466"/>
      <c r="G959" s="576"/>
      <c r="H959" s="576"/>
      <c r="I959" s="576"/>
      <c r="J959" s="466"/>
      <c r="K959" s="576"/>
      <c r="L959" s="466"/>
      <c r="M959" s="576"/>
      <c r="N959" s="466"/>
      <c r="O959" s="576"/>
      <c r="P959" s="576"/>
      <c r="Q959" s="576"/>
      <c r="R959" s="346"/>
      <c r="S959" s="346"/>
    </row>
    <row r="960" ht="15.75" customHeight="1">
      <c r="B960" s="591"/>
      <c r="C960" s="466"/>
      <c r="D960" s="466"/>
      <c r="E960" s="592"/>
      <c r="F960" s="466"/>
      <c r="G960" s="576"/>
      <c r="H960" s="576"/>
      <c r="I960" s="576"/>
      <c r="J960" s="466"/>
      <c r="K960" s="576"/>
      <c r="L960" s="466"/>
      <c r="M960" s="576"/>
      <c r="N960" s="466"/>
      <c r="O960" s="576"/>
      <c r="P960" s="576"/>
      <c r="Q960" s="576"/>
      <c r="R960" s="346"/>
      <c r="S960" s="346"/>
    </row>
    <row r="961" ht="15.75" customHeight="1">
      <c r="B961" s="591"/>
      <c r="C961" s="466"/>
      <c r="D961" s="466"/>
      <c r="E961" s="592"/>
      <c r="F961" s="466"/>
      <c r="G961" s="576"/>
      <c r="H961" s="576"/>
      <c r="I961" s="576"/>
      <c r="J961" s="466"/>
      <c r="K961" s="576"/>
      <c r="L961" s="466"/>
      <c r="M961" s="576"/>
      <c r="N961" s="466"/>
      <c r="O961" s="576"/>
      <c r="P961" s="576"/>
      <c r="Q961" s="576"/>
      <c r="R961" s="346"/>
      <c r="S961" s="346"/>
    </row>
    <row r="962" ht="15.75" customHeight="1">
      <c r="B962" s="591"/>
      <c r="C962" s="466"/>
      <c r="D962" s="466"/>
      <c r="E962" s="592"/>
      <c r="F962" s="466"/>
      <c r="G962" s="576"/>
      <c r="H962" s="576"/>
      <c r="I962" s="576"/>
      <c r="J962" s="466"/>
      <c r="K962" s="576"/>
      <c r="L962" s="466"/>
      <c r="M962" s="576"/>
      <c r="N962" s="466"/>
      <c r="O962" s="576"/>
      <c r="P962" s="576"/>
      <c r="Q962" s="576"/>
      <c r="R962" s="346"/>
      <c r="S962" s="346"/>
    </row>
    <row r="963" ht="15.75" customHeight="1">
      <c r="B963" s="591"/>
      <c r="C963" s="466"/>
      <c r="D963" s="466"/>
      <c r="E963" s="592"/>
      <c r="F963" s="466"/>
      <c r="G963" s="576"/>
      <c r="H963" s="576"/>
      <c r="I963" s="576"/>
      <c r="J963" s="466"/>
      <c r="K963" s="576"/>
      <c r="L963" s="466"/>
      <c r="M963" s="576"/>
      <c r="N963" s="466"/>
      <c r="O963" s="576"/>
      <c r="P963" s="576"/>
      <c r="Q963" s="576"/>
      <c r="R963" s="346"/>
      <c r="S963" s="346"/>
    </row>
    <row r="964" ht="15.75" customHeight="1">
      <c r="B964" s="591"/>
      <c r="C964" s="466"/>
      <c r="D964" s="466"/>
      <c r="E964" s="592"/>
      <c r="F964" s="466"/>
      <c r="G964" s="576"/>
      <c r="H964" s="576"/>
      <c r="I964" s="576"/>
      <c r="J964" s="466"/>
      <c r="K964" s="576"/>
      <c r="L964" s="466"/>
      <c r="M964" s="576"/>
      <c r="N964" s="466"/>
      <c r="O964" s="576"/>
      <c r="P964" s="576"/>
      <c r="Q964" s="576"/>
      <c r="R964" s="346"/>
      <c r="S964" s="346"/>
    </row>
    <row r="965" ht="15.75" customHeight="1">
      <c r="B965" s="591"/>
      <c r="C965" s="466"/>
      <c r="D965" s="466"/>
      <c r="E965" s="592"/>
      <c r="F965" s="466"/>
      <c r="G965" s="576"/>
      <c r="H965" s="576"/>
      <c r="I965" s="576"/>
      <c r="J965" s="466"/>
      <c r="K965" s="576"/>
      <c r="L965" s="466"/>
      <c r="M965" s="576"/>
      <c r="N965" s="466"/>
      <c r="O965" s="576"/>
      <c r="P965" s="576"/>
      <c r="Q965" s="576"/>
      <c r="R965" s="346"/>
      <c r="S965" s="346"/>
    </row>
    <row r="966" ht="15.75" customHeight="1">
      <c r="B966" s="591"/>
      <c r="C966" s="466"/>
      <c r="D966" s="466"/>
      <c r="E966" s="592"/>
      <c r="F966" s="466"/>
      <c r="G966" s="576"/>
      <c r="H966" s="576"/>
      <c r="I966" s="576"/>
      <c r="J966" s="466"/>
      <c r="K966" s="576"/>
      <c r="L966" s="466"/>
      <c r="M966" s="576"/>
      <c r="N966" s="466"/>
      <c r="O966" s="576"/>
      <c r="P966" s="576"/>
      <c r="Q966" s="576"/>
      <c r="R966" s="346"/>
      <c r="S966" s="346"/>
    </row>
    <row r="967" ht="15.75" customHeight="1">
      <c r="B967" s="591"/>
      <c r="C967" s="466"/>
      <c r="D967" s="466"/>
      <c r="E967" s="592"/>
      <c r="F967" s="466"/>
      <c r="G967" s="576"/>
      <c r="H967" s="576"/>
      <c r="I967" s="576"/>
      <c r="J967" s="466"/>
      <c r="K967" s="576"/>
      <c r="L967" s="466"/>
      <c r="M967" s="576"/>
      <c r="N967" s="466"/>
      <c r="O967" s="576"/>
      <c r="P967" s="576"/>
      <c r="Q967" s="576"/>
      <c r="R967" s="346"/>
      <c r="S967" s="346"/>
    </row>
    <row r="968" ht="15.75" customHeight="1">
      <c r="B968" s="591"/>
      <c r="C968" s="466"/>
      <c r="D968" s="466"/>
      <c r="E968" s="592"/>
      <c r="F968" s="466"/>
      <c r="G968" s="576"/>
      <c r="H968" s="576"/>
      <c r="I968" s="576"/>
      <c r="J968" s="466"/>
      <c r="K968" s="576"/>
      <c r="L968" s="466"/>
      <c r="M968" s="576"/>
      <c r="N968" s="466"/>
      <c r="O968" s="576"/>
      <c r="P968" s="576"/>
      <c r="Q968" s="576"/>
      <c r="R968" s="346"/>
      <c r="S968" s="346"/>
    </row>
    <row r="969" ht="15.75" customHeight="1">
      <c r="B969" s="591"/>
      <c r="C969" s="466"/>
      <c r="D969" s="466"/>
      <c r="E969" s="592"/>
      <c r="F969" s="466"/>
      <c r="G969" s="576"/>
      <c r="H969" s="576"/>
      <c r="I969" s="576"/>
      <c r="J969" s="466"/>
      <c r="K969" s="576"/>
      <c r="L969" s="466"/>
      <c r="M969" s="576"/>
      <c r="N969" s="466"/>
      <c r="O969" s="576"/>
      <c r="P969" s="576"/>
      <c r="Q969" s="576"/>
      <c r="R969" s="346"/>
      <c r="S969" s="346"/>
    </row>
    <row r="970" ht="15.75" customHeight="1">
      <c r="B970" s="591"/>
      <c r="C970" s="466"/>
      <c r="D970" s="466"/>
      <c r="E970" s="592"/>
      <c r="F970" s="466"/>
      <c r="G970" s="576"/>
      <c r="H970" s="576"/>
      <c r="I970" s="576"/>
      <c r="J970" s="466"/>
      <c r="K970" s="576"/>
      <c r="L970" s="466"/>
      <c r="M970" s="576"/>
      <c r="N970" s="466"/>
      <c r="O970" s="576"/>
      <c r="P970" s="576"/>
      <c r="Q970" s="576"/>
      <c r="R970" s="346"/>
      <c r="S970" s="346"/>
    </row>
    <row r="971" ht="15.75" customHeight="1">
      <c r="B971" s="591"/>
      <c r="C971" s="466"/>
      <c r="D971" s="466"/>
      <c r="E971" s="592"/>
      <c r="F971" s="466"/>
      <c r="G971" s="576"/>
      <c r="H971" s="576"/>
      <c r="I971" s="576"/>
      <c r="J971" s="466"/>
      <c r="K971" s="576"/>
      <c r="L971" s="466"/>
      <c r="M971" s="576"/>
      <c r="N971" s="466"/>
      <c r="O971" s="576"/>
      <c r="P971" s="576"/>
      <c r="Q971" s="576"/>
      <c r="R971" s="346"/>
      <c r="S971" s="346"/>
    </row>
    <row r="972" ht="15.75" customHeight="1">
      <c r="B972" s="591"/>
      <c r="C972" s="466"/>
      <c r="D972" s="466"/>
      <c r="E972" s="592"/>
      <c r="F972" s="466"/>
      <c r="G972" s="576"/>
      <c r="H972" s="576"/>
      <c r="I972" s="576"/>
      <c r="J972" s="466"/>
      <c r="K972" s="576"/>
      <c r="L972" s="466"/>
      <c r="M972" s="576"/>
      <c r="N972" s="466"/>
      <c r="O972" s="576"/>
      <c r="P972" s="576"/>
      <c r="Q972" s="576"/>
      <c r="R972" s="346"/>
      <c r="S972" s="346"/>
    </row>
    <row r="973" ht="15.75" customHeight="1">
      <c r="B973" s="591"/>
      <c r="C973" s="466"/>
      <c r="D973" s="466"/>
      <c r="E973" s="592"/>
      <c r="F973" s="466"/>
      <c r="G973" s="576"/>
      <c r="H973" s="576"/>
      <c r="I973" s="576"/>
      <c r="J973" s="466"/>
      <c r="K973" s="576"/>
      <c r="L973" s="466"/>
      <c r="M973" s="576"/>
      <c r="N973" s="466"/>
      <c r="O973" s="576"/>
      <c r="P973" s="576"/>
      <c r="Q973" s="576"/>
      <c r="R973" s="346"/>
      <c r="S973" s="346"/>
    </row>
    <row r="974" ht="15.75" customHeight="1">
      <c r="B974" s="591"/>
      <c r="C974" s="466"/>
      <c r="D974" s="466"/>
      <c r="E974" s="592"/>
      <c r="F974" s="466"/>
      <c r="G974" s="576"/>
      <c r="H974" s="576"/>
      <c r="I974" s="576"/>
      <c r="J974" s="466"/>
      <c r="K974" s="576"/>
      <c r="L974" s="466"/>
      <c r="M974" s="576"/>
      <c r="N974" s="466"/>
      <c r="O974" s="576"/>
      <c r="P974" s="576"/>
      <c r="Q974" s="576"/>
      <c r="R974" s="346"/>
      <c r="S974" s="346"/>
    </row>
    <row r="975" ht="15.75" customHeight="1">
      <c r="B975" s="591"/>
      <c r="C975" s="466"/>
      <c r="D975" s="466"/>
      <c r="E975" s="592"/>
      <c r="F975" s="466"/>
      <c r="G975" s="576"/>
      <c r="H975" s="576"/>
      <c r="I975" s="576"/>
      <c r="J975" s="466"/>
      <c r="K975" s="576"/>
      <c r="L975" s="466"/>
      <c r="M975" s="576"/>
      <c r="N975" s="466"/>
      <c r="O975" s="576"/>
      <c r="P975" s="576"/>
      <c r="Q975" s="576"/>
      <c r="R975" s="346"/>
      <c r="S975" s="346"/>
    </row>
    <row r="976" ht="15.75" customHeight="1">
      <c r="B976" s="591"/>
      <c r="C976" s="466"/>
      <c r="D976" s="466"/>
      <c r="E976" s="592"/>
      <c r="F976" s="466"/>
      <c r="G976" s="576"/>
      <c r="H976" s="576"/>
      <c r="I976" s="576"/>
      <c r="J976" s="466"/>
      <c r="K976" s="576"/>
      <c r="L976" s="466"/>
      <c r="M976" s="576"/>
      <c r="N976" s="466"/>
      <c r="O976" s="576"/>
      <c r="P976" s="576"/>
      <c r="Q976" s="576"/>
      <c r="R976" s="346"/>
      <c r="S976" s="346"/>
    </row>
    <row r="977" ht="15.75" customHeight="1">
      <c r="B977" s="591"/>
      <c r="C977" s="466"/>
      <c r="D977" s="466"/>
      <c r="E977" s="592"/>
      <c r="F977" s="466"/>
      <c r="G977" s="576"/>
      <c r="H977" s="576"/>
      <c r="I977" s="576"/>
      <c r="J977" s="466"/>
      <c r="K977" s="576"/>
      <c r="L977" s="466"/>
      <c r="M977" s="576"/>
      <c r="N977" s="466"/>
      <c r="O977" s="576"/>
      <c r="P977" s="576"/>
      <c r="Q977" s="576"/>
      <c r="R977" s="346"/>
      <c r="S977" s="346"/>
    </row>
    <row r="978" ht="15.75" customHeight="1">
      <c r="B978" s="591"/>
      <c r="C978" s="466"/>
      <c r="D978" s="466"/>
      <c r="E978" s="592"/>
      <c r="F978" s="466"/>
      <c r="G978" s="576"/>
      <c r="H978" s="576"/>
      <c r="I978" s="576"/>
      <c r="J978" s="466"/>
      <c r="K978" s="576"/>
      <c r="L978" s="466"/>
      <c r="M978" s="576"/>
      <c r="N978" s="466"/>
      <c r="O978" s="576"/>
      <c r="P978" s="576"/>
      <c r="Q978" s="576"/>
      <c r="R978" s="346"/>
      <c r="S978" s="346"/>
    </row>
    <row r="979" ht="15.75" customHeight="1">
      <c r="B979" s="591"/>
      <c r="C979" s="466"/>
      <c r="D979" s="466"/>
      <c r="E979" s="592"/>
      <c r="F979" s="466"/>
      <c r="G979" s="576"/>
      <c r="H979" s="576"/>
      <c r="I979" s="576"/>
      <c r="J979" s="466"/>
      <c r="K979" s="576"/>
      <c r="L979" s="466"/>
      <c r="M979" s="576"/>
      <c r="N979" s="466"/>
      <c r="O979" s="576"/>
      <c r="P979" s="576"/>
      <c r="Q979" s="576"/>
      <c r="R979" s="346"/>
      <c r="S979" s="346"/>
    </row>
    <row r="980" ht="15.75" customHeight="1">
      <c r="B980" s="591"/>
      <c r="C980" s="466"/>
      <c r="D980" s="466"/>
      <c r="E980" s="592"/>
      <c r="F980" s="466"/>
      <c r="G980" s="576"/>
      <c r="H980" s="576"/>
      <c r="I980" s="576"/>
      <c r="J980" s="466"/>
      <c r="K980" s="576"/>
      <c r="L980" s="466"/>
      <c r="M980" s="576"/>
      <c r="N980" s="466"/>
      <c r="O980" s="576"/>
      <c r="P980" s="576"/>
      <c r="Q980" s="576"/>
      <c r="R980" s="346"/>
      <c r="S980" s="346"/>
    </row>
    <row r="981" ht="15.75" customHeight="1">
      <c r="B981" s="591"/>
      <c r="C981" s="466"/>
      <c r="D981" s="466"/>
      <c r="E981" s="592"/>
      <c r="F981" s="466"/>
      <c r="G981" s="576"/>
      <c r="H981" s="576"/>
      <c r="I981" s="576"/>
      <c r="J981" s="466"/>
      <c r="K981" s="576"/>
      <c r="L981" s="466"/>
      <c r="M981" s="576"/>
      <c r="N981" s="466"/>
      <c r="O981" s="576"/>
      <c r="P981" s="576"/>
      <c r="Q981" s="576"/>
      <c r="R981" s="346"/>
      <c r="S981" s="346"/>
    </row>
    <row r="982" ht="15.75" customHeight="1">
      <c r="B982" s="591"/>
      <c r="C982" s="466"/>
      <c r="D982" s="466"/>
      <c r="E982" s="592"/>
      <c r="F982" s="466"/>
      <c r="G982" s="576"/>
      <c r="H982" s="576"/>
      <c r="I982" s="576"/>
      <c r="J982" s="466"/>
      <c r="K982" s="576"/>
      <c r="L982" s="466"/>
      <c r="M982" s="576"/>
      <c r="N982" s="466"/>
      <c r="O982" s="576"/>
      <c r="P982" s="576"/>
      <c r="Q982" s="576"/>
      <c r="R982" s="346"/>
      <c r="S982" s="346"/>
    </row>
    <row r="983" ht="15.75" customHeight="1">
      <c r="B983" s="591"/>
      <c r="C983" s="466"/>
      <c r="D983" s="466"/>
      <c r="E983" s="592"/>
      <c r="F983" s="466"/>
      <c r="G983" s="576"/>
      <c r="H983" s="576"/>
      <c r="I983" s="576"/>
      <c r="J983" s="466"/>
      <c r="K983" s="576"/>
      <c r="L983" s="466"/>
      <c r="M983" s="576"/>
      <c r="N983" s="466"/>
      <c r="O983" s="576"/>
      <c r="P983" s="576"/>
      <c r="Q983" s="576"/>
      <c r="R983" s="346"/>
      <c r="S983" s="346"/>
    </row>
    <row r="984" ht="15.75" customHeight="1">
      <c r="B984" s="591"/>
      <c r="C984" s="466"/>
      <c r="D984" s="466"/>
      <c r="E984" s="592"/>
      <c r="F984" s="466"/>
      <c r="G984" s="576"/>
      <c r="H984" s="576"/>
      <c r="I984" s="576"/>
      <c r="J984" s="466"/>
      <c r="K984" s="576"/>
      <c r="L984" s="466"/>
      <c r="M984" s="576"/>
      <c r="N984" s="466"/>
      <c r="O984" s="576"/>
      <c r="P984" s="576"/>
      <c r="Q984" s="576"/>
      <c r="R984" s="346"/>
      <c r="S984" s="346"/>
    </row>
    <row r="985" ht="15.75" customHeight="1">
      <c r="B985" s="591"/>
      <c r="C985" s="466"/>
      <c r="D985" s="466"/>
      <c r="E985" s="592"/>
      <c r="F985" s="466"/>
      <c r="G985" s="576"/>
      <c r="H985" s="576"/>
      <c r="I985" s="576"/>
      <c r="J985" s="466"/>
      <c r="K985" s="576"/>
      <c r="L985" s="466"/>
      <c r="M985" s="576"/>
      <c r="N985" s="466"/>
      <c r="O985" s="576"/>
      <c r="P985" s="576"/>
      <c r="Q985" s="576"/>
      <c r="R985" s="346"/>
      <c r="S985" s="346"/>
    </row>
    <row r="986" ht="15.75" customHeight="1">
      <c r="B986" s="591"/>
      <c r="C986" s="466"/>
      <c r="D986" s="466"/>
      <c r="E986" s="592"/>
      <c r="F986" s="466"/>
      <c r="G986" s="576"/>
      <c r="H986" s="576"/>
      <c r="I986" s="576"/>
      <c r="J986" s="466"/>
      <c r="K986" s="576"/>
      <c r="L986" s="466"/>
      <c r="M986" s="576"/>
      <c r="N986" s="466"/>
      <c r="O986" s="576"/>
      <c r="P986" s="576"/>
      <c r="Q986" s="576"/>
      <c r="R986" s="346"/>
      <c r="S986" s="346"/>
    </row>
    <row r="987" ht="15.75" customHeight="1">
      <c r="B987" s="591"/>
      <c r="C987" s="466"/>
      <c r="D987" s="466"/>
      <c r="E987" s="592"/>
      <c r="F987" s="466"/>
      <c r="G987" s="576"/>
      <c r="H987" s="576"/>
      <c r="I987" s="576"/>
      <c r="J987" s="466"/>
      <c r="K987" s="576"/>
      <c r="L987" s="466"/>
      <c r="M987" s="576"/>
      <c r="N987" s="466"/>
      <c r="O987" s="576"/>
      <c r="P987" s="576"/>
      <c r="Q987" s="576"/>
      <c r="R987" s="346"/>
      <c r="S987" s="346"/>
    </row>
    <row r="988" ht="15.75" customHeight="1">
      <c r="B988" s="591"/>
      <c r="C988" s="466"/>
      <c r="D988" s="466"/>
      <c r="E988" s="592"/>
      <c r="F988" s="466"/>
      <c r="G988" s="576"/>
      <c r="H988" s="576"/>
      <c r="I988" s="576"/>
      <c r="J988" s="466"/>
      <c r="K988" s="576"/>
      <c r="L988" s="466"/>
      <c r="M988" s="576"/>
      <c r="N988" s="466"/>
      <c r="O988" s="576"/>
      <c r="P988" s="576"/>
      <c r="Q988" s="576"/>
      <c r="R988" s="346"/>
      <c r="S988" s="346"/>
    </row>
    <row r="989" ht="15.75" customHeight="1">
      <c r="B989" s="591"/>
      <c r="C989" s="466"/>
      <c r="D989" s="466"/>
      <c r="E989" s="592"/>
      <c r="F989" s="466"/>
      <c r="G989" s="576"/>
      <c r="H989" s="576"/>
      <c r="I989" s="576"/>
      <c r="J989" s="466"/>
      <c r="K989" s="576"/>
      <c r="L989" s="466"/>
      <c r="M989" s="576"/>
      <c r="N989" s="466"/>
      <c r="O989" s="576"/>
      <c r="P989" s="576"/>
      <c r="Q989" s="576"/>
      <c r="R989" s="346"/>
      <c r="S989" s="346"/>
    </row>
    <row r="990" ht="15.75" customHeight="1">
      <c r="B990" s="591"/>
      <c r="C990" s="466"/>
      <c r="D990" s="466"/>
      <c r="E990" s="592"/>
      <c r="F990" s="466"/>
      <c r="G990" s="576"/>
      <c r="H990" s="576"/>
      <c r="I990" s="576"/>
      <c r="J990" s="466"/>
      <c r="K990" s="576"/>
      <c r="L990" s="466"/>
      <c r="M990" s="576"/>
      <c r="N990" s="466"/>
      <c r="O990" s="576"/>
      <c r="P990" s="576"/>
      <c r="Q990" s="576"/>
      <c r="R990" s="346"/>
      <c r="S990" s="346"/>
    </row>
    <row r="991" ht="15.75" customHeight="1">
      <c r="B991" s="591"/>
      <c r="C991" s="466"/>
      <c r="D991" s="466"/>
      <c r="E991" s="592"/>
      <c r="F991" s="466"/>
      <c r="G991" s="576"/>
      <c r="H991" s="576"/>
      <c r="I991" s="576"/>
      <c r="J991" s="466"/>
      <c r="K991" s="576"/>
      <c r="L991" s="466"/>
      <c r="M991" s="576"/>
      <c r="N991" s="466"/>
      <c r="O991" s="576"/>
      <c r="P991" s="576"/>
      <c r="Q991" s="576"/>
      <c r="R991" s="346"/>
      <c r="S991" s="346"/>
    </row>
    <row r="992" ht="15.75" customHeight="1">
      <c r="B992" s="591"/>
      <c r="C992" s="466"/>
      <c r="D992" s="466"/>
      <c r="E992" s="592"/>
      <c r="F992" s="466"/>
      <c r="G992" s="576"/>
      <c r="H992" s="576"/>
      <c r="I992" s="576"/>
      <c r="J992" s="466"/>
      <c r="K992" s="576"/>
      <c r="L992" s="466"/>
      <c r="M992" s="576"/>
      <c r="N992" s="466"/>
      <c r="O992" s="576"/>
      <c r="P992" s="576"/>
      <c r="Q992" s="576"/>
      <c r="R992" s="346"/>
      <c r="S992" s="346"/>
    </row>
    <row r="993" ht="15.75" customHeight="1">
      <c r="B993" s="591"/>
      <c r="C993" s="466"/>
      <c r="D993" s="466"/>
      <c r="E993" s="592"/>
      <c r="F993" s="466"/>
      <c r="G993" s="576"/>
      <c r="H993" s="576"/>
      <c r="I993" s="576"/>
      <c r="J993" s="466"/>
      <c r="K993" s="576"/>
      <c r="L993" s="466"/>
      <c r="M993" s="576"/>
      <c r="N993" s="466"/>
      <c r="O993" s="576"/>
      <c r="P993" s="576"/>
      <c r="Q993" s="576"/>
      <c r="R993" s="346"/>
      <c r="S993" s="346"/>
    </row>
    <row r="994" ht="15.75" customHeight="1">
      <c r="B994" s="591"/>
      <c r="C994" s="466"/>
      <c r="D994" s="466"/>
      <c r="E994" s="592"/>
      <c r="F994" s="466"/>
      <c r="G994" s="576"/>
      <c r="H994" s="576"/>
      <c r="I994" s="576"/>
      <c r="J994" s="466"/>
      <c r="K994" s="576"/>
      <c r="L994" s="466"/>
      <c r="M994" s="576"/>
      <c r="N994" s="466"/>
      <c r="O994" s="576"/>
      <c r="P994" s="576"/>
      <c r="Q994" s="576"/>
      <c r="R994" s="346"/>
      <c r="S994" s="346"/>
    </row>
    <row r="995" ht="15.75" customHeight="1">
      <c r="B995" s="591"/>
      <c r="C995" s="466"/>
      <c r="D995" s="466"/>
      <c r="E995" s="592"/>
      <c r="F995" s="466"/>
      <c r="G995" s="576"/>
      <c r="H995" s="576"/>
      <c r="I995" s="576"/>
      <c r="J995" s="466"/>
      <c r="K995" s="576"/>
      <c r="L995" s="466"/>
      <c r="M995" s="576"/>
      <c r="N995" s="466"/>
      <c r="O995" s="576"/>
      <c r="P995" s="576"/>
      <c r="Q995" s="576"/>
      <c r="R995" s="346"/>
      <c r="S995" s="346"/>
    </row>
    <row r="996" ht="15.75" customHeight="1">
      <c r="B996" s="591"/>
      <c r="C996" s="466"/>
      <c r="D996" s="466"/>
      <c r="E996" s="592"/>
      <c r="F996" s="466"/>
      <c r="G996" s="576"/>
      <c r="H996" s="576"/>
      <c r="I996" s="576"/>
      <c r="J996" s="466"/>
      <c r="K996" s="576"/>
      <c r="L996" s="466"/>
      <c r="M996" s="576"/>
      <c r="N996" s="466"/>
      <c r="O996" s="576"/>
      <c r="P996" s="576"/>
      <c r="Q996" s="576"/>
      <c r="R996" s="346"/>
      <c r="S996" s="346"/>
    </row>
    <row r="997" ht="15.75" customHeight="1">
      <c r="B997" s="591"/>
      <c r="C997" s="466"/>
      <c r="D997" s="466"/>
      <c r="E997" s="592"/>
      <c r="F997" s="466"/>
      <c r="G997" s="576"/>
      <c r="H997" s="576"/>
      <c r="I997" s="576"/>
      <c r="J997" s="466"/>
      <c r="K997" s="576"/>
      <c r="L997" s="466"/>
      <c r="M997" s="576"/>
      <c r="N997" s="466"/>
      <c r="O997" s="576"/>
      <c r="P997" s="576"/>
      <c r="Q997" s="576"/>
      <c r="R997" s="346"/>
      <c r="S997" s="346"/>
    </row>
    <row r="998" ht="15.75" customHeight="1">
      <c r="B998" s="591"/>
      <c r="C998" s="466"/>
      <c r="D998" s="466"/>
      <c r="E998" s="592"/>
      <c r="F998" s="466"/>
      <c r="G998" s="576"/>
      <c r="H998" s="576"/>
      <c r="I998" s="576"/>
      <c r="J998" s="466"/>
      <c r="K998" s="576"/>
      <c r="L998" s="466"/>
      <c r="M998" s="576"/>
      <c r="N998" s="466"/>
      <c r="O998" s="576"/>
      <c r="P998" s="576"/>
      <c r="Q998" s="576"/>
      <c r="R998" s="346"/>
      <c r="S998" s="346"/>
    </row>
    <row r="999" ht="15.75" customHeight="1">
      <c r="B999" s="591"/>
      <c r="C999" s="466"/>
      <c r="D999" s="466"/>
      <c r="E999" s="592"/>
      <c r="F999" s="466"/>
      <c r="G999" s="576"/>
      <c r="H999" s="576"/>
      <c r="I999" s="576"/>
      <c r="J999" s="466"/>
      <c r="K999" s="576"/>
      <c r="L999" s="466"/>
      <c r="M999" s="576"/>
      <c r="N999" s="466"/>
      <c r="O999" s="576"/>
      <c r="P999" s="576"/>
      <c r="Q999" s="576"/>
      <c r="R999" s="346"/>
      <c r="S999" s="346"/>
    </row>
    <row r="1000" ht="15.75" customHeight="1">
      <c r="B1000" s="591"/>
      <c r="C1000" s="466"/>
      <c r="D1000" s="466"/>
      <c r="E1000" s="592"/>
      <c r="F1000" s="466"/>
      <c r="G1000" s="576"/>
      <c r="H1000" s="576"/>
      <c r="I1000" s="576"/>
      <c r="J1000" s="466"/>
      <c r="K1000" s="576"/>
      <c r="L1000" s="466"/>
      <c r="M1000" s="576"/>
      <c r="N1000" s="466"/>
      <c r="O1000" s="576"/>
      <c r="P1000" s="576"/>
      <c r="Q1000" s="576"/>
      <c r="R1000" s="346"/>
      <c r="S1000" s="346"/>
    </row>
  </sheetData>
  <mergeCells count="22">
    <mergeCell ref="B1:Q1"/>
    <mergeCell ref="C2:R2"/>
    <mergeCell ref="K3:M3"/>
    <mergeCell ref="O3:Q3"/>
    <mergeCell ref="L4:M4"/>
    <mergeCell ref="B91:Q91"/>
    <mergeCell ref="B92:Q92"/>
    <mergeCell ref="C96:E96"/>
    <mergeCell ref="G96:H96"/>
    <mergeCell ref="I96:L96"/>
    <mergeCell ref="M96:Q96"/>
    <mergeCell ref="C97:E97"/>
    <mergeCell ref="G97:H97"/>
    <mergeCell ref="J97:L97"/>
    <mergeCell ref="M97:Q97"/>
    <mergeCell ref="C93:E93"/>
    <mergeCell ref="G93:H93"/>
    <mergeCell ref="I93:L93"/>
    <mergeCell ref="G94:H94"/>
    <mergeCell ref="K94:L94"/>
    <mergeCell ref="B95:C95"/>
    <mergeCell ref="E95:F95"/>
  </mergeCells>
  <printOptions/>
  <pageMargins bottom="0.7480314960629921" footer="0.0" header="0.0" left="1.3385826771653544" right="0.2362204724409449" top="0.7480314960629921"/>
  <pageSetup paperSize="5" scale="90"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4.43" defaultRowHeight="15.0"/>
  <cols>
    <col customWidth="1" min="1" max="1" width="13.0"/>
    <col customWidth="1" min="2" max="2" width="5.14"/>
    <col customWidth="1" min="3" max="3" width="13.29"/>
    <col customWidth="1" min="4" max="4" width="36.57"/>
    <col customWidth="1" min="5" max="5" width="19.71"/>
    <col customWidth="1" min="6" max="7" width="7.86"/>
    <col customWidth="1" min="8" max="8" width="8.86"/>
    <col customWidth="1" min="9" max="9" width="10.57"/>
    <col customWidth="1" min="10" max="10" width="11.14"/>
    <col customWidth="1" min="11" max="11" width="7.29"/>
    <col customWidth="1" min="12" max="12" width="21.57"/>
    <col customWidth="1" min="13" max="13" width="10.57"/>
    <col customWidth="1" min="14" max="14" width="16.14"/>
    <col customWidth="1" min="15" max="15" width="5.29"/>
    <col customWidth="1" min="16" max="16" width="11.43"/>
    <col customWidth="1" min="17" max="17" width="6.14"/>
    <col customWidth="1" min="18" max="26" width="8.71"/>
  </cols>
  <sheetData>
    <row r="1">
      <c r="A1" s="3"/>
      <c r="B1" s="466" t="s">
        <v>14157</v>
      </c>
      <c r="R1" s="593"/>
      <c r="S1" s="3"/>
      <c r="T1" s="3"/>
      <c r="U1" s="3"/>
      <c r="V1" s="3"/>
      <c r="W1" s="3"/>
      <c r="X1" s="3"/>
      <c r="Y1" s="3"/>
      <c r="Z1" s="3"/>
    </row>
    <row r="2">
      <c r="A2" s="3"/>
      <c r="B2" s="321"/>
      <c r="C2" s="400" t="s">
        <v>15031</v>
      </c>
      <c r="D2" s="6"/>
      <c r="E2" s="6"/>
      <c r="F2" s="6"/>
      <c r="G2" s="6"/>
      <c r="H2" s="6"/>
      <c r="I2" s="6"/>
      <c r="J2" s="6"/>
      <c r="K2" s="6"/>
      <c r="L2" s="6"/>
      <c r="M2" s="6"/>
      <c r="N2" s="6"/>
      <c r="O2" s="6"/>
      <c r="P2" s="6"/>
      <c r="Q2" s="6"/>
      <c r="R2" s="7"/>
      <c r="S2" s="3"/>
      <c r="T2" s="3"/>
      <c r="U2" s="3"/>
      <c r="V2" s="3"/>
      <c r="W2" s="3"/>
      <c r="X2" s="3"/>
      <c r="Y2" s="3"/>
      <c r="Z2" s="3"/>
    </row>
    <row r="3">
      <c r="A3" s="3"/>
      <c r="B3" s="321"/>
      <c r="C3" s="9"/>
      <c r="D3" s="9"/>
      <c r="E3" s="566"/>
      <c r="F3" s="403"/>
      <c r="G3" s="403"/>
      <c r="H3" s="403"/>
      <c r="I3" s="403"/>
      <c r="J3" s="9"/>
      <c r="K3" s="460"/>
      <c r="M3" s="13"/>
      <c r="N3" s="14" t="s">
        <v>3</v>
      </c>
      <c r="O3" s="404" t="s">
        <v>15361</v>
      </c>
      <c r="P3" s="16"/>
      <c r="Q3" s="17"/>
      <c r="R3" s="583"/>
      <c r="S3" s="3"/>
      <c r="T3" s="3"/>
      <c r="U3" s="3"/>
      <c r="V3" s="3"/>
      <c r="W3" s="3"/>
      <c r="X3" s="3"/>
      <c r="Y3" s="3"/>
      <c r="Z3" s="3"/>
    </row>
    <row r="4">
      <c r="A4" s="3"/>
      <c r="B4" s="321"/>
      <c r="C4" s="9"/>
      <c r="D4" s="9"/>
      <c r="E4" s="566"/>
      <c r="F4" s="403"/>
      <c r="G4" s="403"/>
      <c r="H4" s="321"/>
      <c r="I4" s="403"/>
      <c r="J4" s="9"/>
      <c r="K4" s="403"/>
      <c r="L4" s="467"/>
      <c r="M4" s="407"/>
      <c r="N4" s="9"/>
      <c r="O4" s="403"/>
      <c r="P4" s="403"/>
      <c r="Q4" s="403"/>
      <c r="R4" s="594"/>
      <c r="S4" s="3"/>
      <c r="T4" s="3"/>
      <c r="U4" s="3"/>
      <c r="V4" s="3"/>
      <c r="W4" s="3"/>
      <c r="X4" s="3"/>
      <c r="Y4" s="3"/>
      <c r="Z4" s="3"/>
    </row>
    <row r="5">
      <c r="A5" s="3"/>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595" t="s">
        <v>15362</v>
      </c>
      <c r="S5" s="3"/>
      <c r="T5" s="3"/>
      <c r="U5" s="3"/>
      <c r="V5" s="3"/>
      <c r="W5" s="3"/>
      <c r="X5" s="3"/>
      <c r="Y5" s="3"/>
      <c r="Z5" s="3"/>
    </row>
    <row r="6" ht="32.25" customHeight="1">
      <c r="A6" s="3"/>
      <c r="B6" s="342">
        <v>1.0</v>
      </c>
      <c r="C6" s="433" t="s">
        <v>15363</v>
      </c>
      <c r="D6" s="433" t="s">
        <v>15364</v>
      </c>
      <c r="E6" s="434" t="s">
        <v>15365</v>
      </c>
      <c r="F6" s="433" t="s">
        <v>15035</v>
      </c>
      <c r="G6" s="433" t="s">
        <v>29</v>
      </c>
      <c r="H6" s="433" t="s">
        <v>30</v>
      </c>
      <c r="I6" s="433" t="s">
        <v>14812</v>
      </c>
      <c r="J6" s="433" t="s">
        <v>15366</v>
      </c>
      <c r="K6" s="433">
        <v>853.0</v>
      </c>
      <c r="L6" s="433" t="s">
        <v>31</v>
      </c>
      <c r="M6" s="342"/>
      <c r="N6" s="433" t="s">
        <v>15367</v>
      </c>
      <c r="O6" s="342">
        <v>1948.0</v>
      </c>
      <c r="P6" s="433" t="s">
        <v>388</v>
      </c>
      <c r="Q6" s="342">
        <v>1.0</v>
      </c>
      <c r="R6" s="596"/>
      <c r="S6" s="3"/>
      <c r="T6" s="3"/>
      <c r="U6" s="3"/>
      <c r="V6" s="3"/>
      <c r="W6" s="3"/>
      <c r="X6" s="3"/>
      <c r="Y6" s="3"/>
      <c r="Z6" s="3"/>
    </row>
    <row r="7" ht="30.75" customHeight="1">
      <c r="A7" s="3"/>
      <c r="B7" s="28">
        <v>2.0</v>
      </c>
      <c r="C7" s="186" t="s">
        <v>31</v>
      </c>
      <c r="D7" s="191" t="s">
        <v>15368</v>
      </c>
      <c r="E7" s="188" t="s">
        <v>15369</v>
      </c>
      <c r="F7" s="186" t="s">
        <v>15035</v>
      </c>
      <c r="G7" s="186" t="s">
        <v>29</v>
      </c>
      <c r="H7" s="186" t="s">
        <v>30</v>
      </c>
      <c r="I7" s="186" t="s">
        <v>15370</v>
      </c>
      <c r="J7" s="186" t="s">
        <v>15371</v>
      </c>
      <c r="K7" s="186">
        <f>867+9</f>
        <v>876</v>
      </c>
      <c r="L7" s="186" t="s">
        <v>15372</v>
      </c>
      <c r="M7" s="28"/>
      <c r="N7" s="186" t="s">
        <v>15373</v>
      </c>
      <c r="O7" s="28">
        <v>2012.0</v>
      </c>
      <c r="P7" s="191">
        <v>34.0</v>
      </c>
      <c r="Q7" s="28">
        <v>1.0</v>
      </c>
      <c r="R7" s="597">
        <v>1.0</v>
      </c>
      <c r="S7" s="3"/>
      <c r="T7" s="3"/>
      <c r="U7" s="3"/>
      <c r="V7" s="3"/>
      <c r="W7" s="3"/>
      <c r="X7" s="3"/>
      <c r="Y7" s="3"/>
      <c r="Z7" s="3"/>
    </row>
    <row r="8" ht="31.5" customHeight="1">
      <c r="A8" s="3"/>
      <c r="B8" s="342">
        <v>3.0</v>
      </c>
      <c r="C8" s="433" t="s">
        <v>31</v>
      </c>
      <c r="D8" s="433" t="s">
        <v>15374</v>
      </c>
      <c r="E8" s="434" t="s">
        <v>15375</v>
      </c>
      <c r="F8" s="433" t="s">
        <v>15035</v>
      </c>
      <c r="G8" s="433" t="s">
        <v>29</v>
      </c>
      <c r="H8" s="433" t="s">
        <v>30</v>
      </c>
      <c r="I8" s="433" t="s">
        <v>14812</v>
      </c>
      <c r="J8" s="433" t="s">
        <v>15376</v>
      </c>
      <c r="K8" s="433">
        <v>141.0</v>
      </c>
      <c r="L8" s="433" t="s">
        <v>15377</v>
      </c>
      <c r="M8" s="342"/>
      <c r="N8" s="433" t="s">
        <v>15367</v>
      </c>
      <c r="O8" s="342">
        <v>1928.0</v>
      </c>
      <c r="P8" s="433" t="s">
        <v>388</v>
      </c>
      <c r="Q8" s="342">
        <v>1.0</v>
      </c>
      <c r="R8" s="596"/>
      <c r="S8" s="3"/>
      <c r="T8" s="3"/>
      <c r="U8" s="3"/>
      <c r="V8" s="3"/>
      <c r="W8" s="3"/>
      <c r="X8" s="3"/>
      <c r="Y8" s="3"/>
      <c r="Z8" s="3"/>
    </row>
    <row r="9">
      <c r="A9" s="3"/>
      <c r="B9" s="28">
        <v>4.0</v>
      </c>
      <c r="C9" s="186" t="s">
        <v>31</v>
      </c>
      <c r="D9" s="191" t="s">
        <v>15378</v>
      </c>
      <c r="E9" s="188" t="s">
        <v>15379</v>
      </c>
      <c r="F9" s="186" t="s">
        <v>15035</v>
      </c>
      <c r="G9" s="186" t="s">
        <v>29</v>
      </c>
      <c r="H9" s="186" t="s">
        <v>30</v>
      </c>
      <c r="I9" s="186" t="s">
        <v>15370</v>
      </c>
      <c r="J9" s="186" t="s">
        <v>15380</v>
      </c>
      <c r="K9" s="186">
        <f>1331+12</f>
        <v>1343</v>
      </c>
      <c r="L9" s="186" t="s">
        <v>15381</v>
      </c>
      <c r="M9" s="28"/>
      <c r="N9" s="186" t="s">
        <v>9290</v>
      </c>
      <c r="O9" s="28">
        <v>2005.0</v>
      </c>
      <c r="P9" s="191">
        <v>34.0</v>
      </c>
      <c r="Q9" s="31">
        <v>2.0</v>
      </c>
      <c r="R9" s="597">
        <v>2.0</v>
      </c>
      <c r="S9" s="3"/>
      <c r="T9" s="3"/>
      <c r="U9" s="3"/>
      <c r="V9" s="3"/>
      <c r="W9" s="3"/>
      <c r="X9" s="3"/>
      <c r="Y9" s="3"/>
      <c r="Z9" s="3"/>
    </row>
    <row r="10" ht="29.25" customHeight="1">
      <c r="A10" s="3"/>
      <c r="B10" s="28">
        <v>5.0</v>
      </c>
      <c r="C10" s="186"/>
      <c r="D10" s="191" t="s">
        <v>15382</v>
      </c>
      <c r="E10" s="35" t="s">
        <v>15383</v>
      </c>
      <c r="F10" s="186" t="s">
        <v>15035</v>
      </c>
      <c r="G10" s="186" t="s">
        <v>29</v>
      </c>
      <c r="H10" s="186" t="s">
        <v>30</v>
      </c>
      <c r="I10" s="186" t="s">
        <v>15370</v>
      </c>
      <c r="J10" s="186" t="s">
        <v>15384</v>
      </c>
      <c r="K10" s="191">
        <v>986.0</v>
      </c>
      <c r="L10" s="186" t="s">
        <v>15372</v>
      </c>
      <c r="M10" s="28"/>
      <c r="N10" s="186" t="s">
        <v>9290</v>
      </c>
      <c r="O10" s="28">
        <v>2008.0</v>
      </c>
      <c r="P10" s="191">
        <v>34.0</v>
      </c>
      <c r="Q10" s="28">
        <v>1.0</v>
      </c>
      <c r="R10" s="597">
        <v>1.0</v>
      </c>
      <c r="S10" s="3"/>
      <c r="T10" s="3"/>
      <c r="U10" s="3"/>
      <c r="V10" s="3"/>
      <c r="W10" s="3"/>
      <c r="X10" s="3"/>
      <c r="Y10" s="3"/>
      <c r="Z10" s="3"/>
    </row>
    <row r="11" ht="30.75" customHeight="1">
      <c r="A11" s="3"/>
      <c r="B11" s="342">
        <v>6.0</v>
      </c>
      <c r="C11" s="322" t="s">
        <v>31</v>
      </c>
      <c r="D11" s="433" t="s">
        <v>15385</v>
      </c>
      <c r="E11" s="434" t="s">
        <v>15386</v>
      </c>
      <c r="F11" s="433" t="s">
        <v>15035</v>
      </c>
      <c r="G11" s="433" t="s">
        <v>29</v>
      </c>
      <c r="H11" s="433" t="s">
        <v>30</v>
      </c>
      <c r="I11" s="433" t="s">
        <v>15370</v>
      </c>
      <c r="J11" s="433" t="s">
        <v>15387</v>
      </c>
      <c r="K11" s="433">
        <v>498.0</v>
      </c>
      <c r="L11" s="433" t="s">
        <v>15377</v>
      </c>
      <c r="M11" s="342"/>
      <c r="N11" s="433" t="s">
        <v>15388</v>
      </c>
      <c r="O11" s="342">
        <v>1913.0</v>
      </c>
      <c r="P11" s="433" t="s">
        <v>388</v>
      </c>
      <c r="Q11" s="342">
        <v>1.0</v>
      </c>
      <c r="R11" s="596"/>
      <c r="S11" s="3"/>
      <c r="T11" s="3"/>
      <c r="U11" s="3"/>
      <c r="V11" s="3"/>
      <c r="W11" s="3"/>
      <c r="X11" s="3"/>
      <c r="Y11" s="3"/>
      <c r="Z11" s="3"/>
    </row>
    <row r="12" ht="39.0" customHeight="1">
      <c r="A12" s="3"/>
      <c r="B12" s="28">
        <v>7.0</v>
      </c>
      <c r="C12" s="426" t="s">
        <v>31</v>
      </c>
      <c r="D12" s="186" t="s">
        <v>15389</v>
      </c>
      <c r="E12" s="188" t="s">
        <v>15390</v>
      </c>
      <c r="F12" s="186" t="s">
        <v>15035</v>
      </c>
      <c r="G12" s="412" t="s">
        <v>29</v>
      </c>
      <c r="H12" s="412" t="s">
        <v>30</v>
      </c>
      <c r="I12" s="186" t="s">
        <v>14765</v>
      </c>
      <c r="J12" s="186" t="s">
        <v>15391</v>
      </c>
      <c r="K12" s="186">
        <v>1468.0</v>
      </c>
      <c r="L12" s="186" t="s">
        <v>15392</v>
      </c>
      <c r="M12" s="28"/>
      <c r="N12" s="186" t="s">
        <v>9290</v>
      </c>
      <c r="O12" s="598">
        <v>1997.0</v>
      </c>
      <c r="P12" s="191">
        <v>34.0</v>
      </c>
      <c r="Q12" s="28">
        <v>2.0</v>
      </c>
      <c r="R12" s="597">
        <v>2.0</v>
      </c>
      <c r="S12" s="3"/>
      <c r="T12" s="3"/>
      <c r="U12" s="3"/>
      <c r="V12" s="3"/>
      <c r="W12" s="3"/>
      <c r="X12" s="3"/>
      <c r="Y12" s="3"/>
      <c r="Z12" s="3"/>
    </row>
    <row r="13" ht="90.0" customHeight="1">
      <c r="A13" s="3"/>
      <c r="B13" s="28">
        <v>8.0</v>
      </c>
      <c r="C13" s="186" t="s">
        <v>31</v>
      </c>
      <c r="D13" s="191" t="s">
        <v>15393</v>
      </c>
      <c r="E13" s="188" t="s">
        <v>15394</v>
      </c>
      <c r="F13" s="186" t="s">
        <v>15035</v>
      </c>
      <c r="G13" s="412" t="s">
        <v>29</v>
      </c>
      <c r="H13" s="412" t="s">
        <v>30</v>
      </c>
      <c r="I13" s="186" t="s">
        <v>14765</v>
      </c>
      <c r="J13" s="186" t="s">
        <v>15395</v>
      </c>
      <c r="K13" s="186">
        <v>815.0</v>
      </c>
      <c r="L13" s="186" t="s">
        <v>15396</v>
      </c>
      <c r="M13" s="28"/>
      <c r="N13" s="186" t="s">
        <v>9290</v>
      </c>
      <c r="O13" s="598">
        <v>2008.0</v>
      </c>
      <c r="P13" s="191">
        <v>34.0</v>
      </c>
      <c r="Q13" s="28">
        <v>2.0</v>
      </c>
      <c r="R13" s="597">
        <v>2.0</v>
      </c>
      <c r="S13" s="3"/>
      <c r="T13" s="3"/>
      <c r="U13" s="3"/>
      <c r="V13" s="3"/>
      <c r="W13" s="3"/>
      <c r="X13" s="3"/>
      <c r="Y13" s="3"/>
      <c r="Z13" s="3"/>
    </row>
    <row r="14" ht="30.0" customHeight="1">
      <c r="A14" s="3"/>
      <c r="B14" s="28">
        <v>9.0</v>
      </c>
      <c r="C14" s="186" t="s">
        <v>31</v>
      </c>
      <c r="D14" s="191" t="s">
        <v>15397</v>
      </c>
      <c r="E14" s="188" t="s">
        <v>15398</v>
      </c>
      <c r="F14" s="186" t="s">
        <v>15035</v>
      </c>
      <c r="G14" s="412" t="s">
        <v>29</v>
      </c>
      <c r="H14" s="412" t="s">
        <v>30</v>
      </c>
      <c r="I14" s="186" t="s">
        <v>14765</v>
      </c>
      <c r="J14" s="186" t="s">
        <v>15399</v>
      </c>
      <c r="K14" s="186">
        <v>876.0</v>
      </c>
      <c r="L14" s="186" t="s">
        <v>15400</v>
      </c>
      <c r="M14" s="28"/>
      <c r="N14" s="186" t="s">
        <v>9290</v>
      </c>
      <c r="O14" s="598">
        <v>1997.0</v>
      </c>
      <c r="P14" s="191">
        <v>34.0</v>
      </c>
      <c r="Q14" s="28">
        <v>1.0</v>
      </c>
      <c r="R14" s="597">
        <v>1.0</v>
      </c>
      <c r="S14" s="3"/>
      <c r="T14" s="3"/>
      <c r="U14" s="3"/>
      <c r="V14" s="3"/>
      <c r="W14" s="3"/>
      <c r="X14" s="3"/>
      <c r="Y14" s="3"/>
      <c r="Z14" s="3"/>
    </row>
    <row r="15" ht="36.75" customHeight="1">
      <c r="A15" s="3"/>
      <c r="B15" s="28">
        <v>10.0</v>
      </c>
      <c r="C15" s="186" t="s">
        <v>31</v>
      </c>
      <c r="D15" s="186" t="s">
        <v>15401</v>
      </c>
      <c r="E15" s="188" t="s">
        <v>15402</v>
      </c>
      <c r="F15" s="186" t="s">
        <v>15035</v>
      </c>
      <c r="G15" s="412" t="s">
        <v>29</v>
      </c>
      <c r="H15" s="412" t="s">
        <v>30</v>
      </c>
      <c r="I15" s="186" t="s">
        <v>14765</v>
      </c>
      <c r="J15" s="186" t="s">
        <v>15403</v>
      </c>
      <c r="K15" s="186">
        <f>793+10</f>
        <v>803</v>
      </c>
      <c r="L15" s="186" t="s">
        <v>15194</v>
      </c>
      <c r="M15" s="28"/>
      <c r="N15" s="186" t="s">
        <v>9290</v>
      </c>
      <c r="O15" s="598">
        <v>2001.0</v>
      </c>
      <c r="P15" s="191">
        <v>34.0</v>
      </c>
      <c r="Q15" s="28">
        <v>1.0</v>
      </c>
      <c r="R15" s="597">
        <v>1.0</v>
      </c>
      <c r="S15" s="3"/>
      <c r="T15" s="3"/>
      <c r="U15" s="3"/>
      <c r="V15" s="3"/>
      <c r="W15" s="3"/>
      <c r="X15" s="3"/>
      <c r="Y15" s="3"/>
      <c r="Z15" s="3"/>
    </row>
    <row r="16">
      <c r="A16" s="3"/>
      <c r="B16" s="28">
        <v>11.0</v>
      </c>
      <c r="C16" s="186" t="s">
        <v>31</v>
      </c>
      <c r="D16" s="191" t="s">
        <v>15404</v>
      </c>
      <c r="E16" s="188" t="s">
        <v>15405</v>
      </c>
      <c r="F16" s="186" t="s">
        <v>15035</v>
      </c>
      <c r="G16" s="412" t="s">
        <v>29</v>
      </c>
      <c r="H16" s="412" t="s">
        <v>30</v>
      </c>
      <c r="I16" s="186" t="s">
        <v>14765</v>
      </c>
      <c r="J16" s="186" t="s">
        <v>15406</v>
      </c>
      <c r="K16" s="186">
        <v>911.0</v>
      </c>
      <c r="L16" s="186" t="s">
        <v>15407</v>
      </c>
      <c r="M16" s="28"/>
      <c r="N16" s="191" t="s">
        <v>4762</v>
      </c>
      <c r="O16" s="598">
        <v>1997.0</v>
      </c>
      <c r="P16" s="191">
        <v>34.0</v>
      </c>
      <c r="Q16" s="28">
        <v>2.0</v>
      </c>
      <c r="R16" s="597">
        <v>2.0</v>
      </c>
      <c r="S16" s="3"/>
      <c r="T16" s="3"/>
      <c r="U16" s="3"/>
      <c r="V16" s="3"/>
      <c r="W16" s="3"/>
      <c r="X16" s="3"/>
      <c r="Y16" s="3"/>
      <c r="Z16" s="3"/>
    </row>
    <row r="17">
      <c r="A17" s="3"/>
      <c r="B17" s="28">
        <v>12.0</v>
      </c>
      <c r="C17" s="186" t="s">
        <v>31</v>
      </c>
      <c r="D17" s="191" t="s">
        <v>15408</v>
      </c>
      <c r="E17" s="188" t="s">
        <v>15409</v>
      </c>
      <c r="F17" s="186" t="s">
        <v>15035</v>
      </c>
      <c r="G17" s="412" t="s">
        <v>29</v>
      </c>
      <c r="H17" s="412" t="s">
        <v>30</v>
      </c>
      <c r="I17" s="186" t="s">
        <v>14765</v>
      </c>
      <c r="J17" s="186" t="s">
        <v>15410</v>
      </c>
      <c r="K17" s="186">
        <v>972.0</v>
      </c>
      <c r="L17" s="186" t="s">
        <v>15194</v>
      </c>
      <c r="M17" s="28"/>
      <c r="N17" s="186" t="s">
        <v>9290</v>
      </c>
      <c r="O17" s="598">
        <v>2004.0</v>
      </c>
      <c r="P17" s="191">
        <v>34.0</v>
      </c>
      <c r="Q17" s="28">
        <v>1.0</v>
      </c>
      <c r="R17" s="597">
        <v>1.0</v>
      </c>
      <c r="S17" s="3"/>
      <c r="T17" s="3"/>
      <c r="U17" s="3"/>
      <c r="V17" s="3"/>
      <c r="W17" s="3"/>
      <c r="X17" s="3"/>
      <c r="Y17" s="3"/>
      <c r="Z17" s="3"/>
    </row>
    <row r="18">
      <c r="A18" s="3"/>
      <c r="B18" s="28">
        <v>13.0</v>
      </c>
      <c r="C18" s="186" t="s">
        <v>31</v>
      </c>
      <c r="D18" s="191" t="s">
        <v>15411</v>
      </c>
      <c r="E18" s="188" t="s">
        <v>15412</v>
      </c>
      <c r="F18" s="186" t="s">
        <v>15035</v>
      </c>
      <c r="G18" s="412" t="s">
        <v>29</v>
      </c>
      <c r="H18" s="412" t="s">
        <v>30</v>
      </c>
      <c r="I18" s="186" t="s">
        <v>14765</v>
      </c>
      <c r="J18" s="186" t="s">
        <v>15413</v>
      </c>
      <c r="K18" s="186">
        <v>845.0</v>
      </c>
      <c r="L18" s="186" t="s">
        <v>15211</v>
      </c>
      <c r="M18" s="28"/>
      <c r="N18" s="186" t="s">
        <v>9290</v>
      </c>
      <c r="O18" s="598">
        <v>2005.0</v>
      </c>
      <c r="P18" s="191">
        <v>34.0</v>
      </c>
      <c r="Q18" s="28">
        <v>1.0</v>
      </c>
      <c r="R18" s="597">
        <v>1.0</v>
      </c>
      <c r="S18" s="3"/>
      <c r="T18" s="3"/>
      <c r="U18" s="3"/>
      <c r="V18" s="3"/>
      <c r="W18" s="3"/>
      <c r="X18" s="3"/>
      <c r="Y18" s="3"/>
      <c r="Z18" s="3"/>
    </row>
    <row r="19">
      <c r="A19" s="3"/>
      <c r="B19" s="342">
        <v>14.0</v>
      </c>
      <c r="C19" s="430" t="s">
        <v>31</v>
      </c>
      <c r="D19" s="430" t="s">
        <v>15414</v>
      </c>
      <c r="E19" s="432" t="s">
        <v>15415</v>
      </c>
      <c r="F19" s="430" t="s">
        <v>15035</v>
      </c>
      <c r="G19" s="599" t="s">
        <v>29</v>
      </c>
      <c r="H19" s="599" t="s">
        <v>30</v>
      </c>
      <c r="I19" s="430" t="s">
        <v>14765</v>
      </c>
      <c r="J19" s="430" t="s">
        <v>15416</v>
      </c>
      <c r="K19" s="430">
        <v>746.0</v>
      </c>
      <c r="L19" s="430" t="s">
        <v>31</v>
      </c>
      <c r="M19" s="557"/>
      <c r="N19" s="430" t="s">
        <v>15417</v>
      </c>
      <c r="O19" s="600">
        <v>1975.0</v>
      </c>
      <c r="P19" s="430" t="s">
        <v>388</v>
      </c>
      <c r="Q19" s="557">
        <v>1.0</v>
      </c>
      <c r="R19" s="596"/>
      <c r="S19" s="3"/>
      <c r="T19" s="3"/>
      <c r="U19" s="3"/>
      <c r="V19" s="3"/>
      <c r="W19" s="3"/>
      <c r="X19" s="3"/>
      <c r="Y19" s="3"/>
      <c r="Z19" s="3"/>
    </row>
    <row r="20">
      <c r="A20" s="3"/>
      <c r="B20" s="28"/>
      <c r="C20" s="191" t="s">
        <v>15418</v>
      </c>
      <c r="D20" s="191" t="s">
        <v>15419</v>
      </c>
      <c r="E20" s="35" t="s">
        <v>15420</v>
      </c>
      <c r="F20" s="186" t="s">
        <v>15035</v>
      </c>
      <c r="G20" s="186" t="s">
        <v>29</v>
      </c>
      <c r="H20" s="186" t="s">
        <v>30</v>
      </c>
      <c r="I20" s="186" t="s">
        <v>15370</v>
      </c>
      <c r="J20" s="191" t="s">
        <v>15421</v>
      </c>
      <c r="K20" s="191">
        <v>813.0</v>
      </c>
      <c r="L20" s="191" t="s">
        <v>15372</v>
      </c>
      <c r="M20" s="28"/>
      <c r="N20" s="191" t="s">
        <v>15422</v>
      </c>
      <c r="O20" s="601">
        <v>2016.0</v>
      </c>
      <c r="P20" s="191">
        <v>34.0</v>
      </c>
      <c r="Q20" s="31">
        <v>2.0</v>
      </c>
      <c r="R20" s="597">
        <v>2.0</v>
      </c>
      <c r="S20" s="3"/>
      <c r="T20" s="3"/>
      <c r="U20" s="3"/>
      <c r="V20" s="3"/>
      <c r="W20" s="3"/>
      <c r="X20" s="3"/>
      <c r="Y20" s="3"/>
      <c r="Z20" s="3"/>
    </row>
    <row r="21" ht="43.5" customHeight="1">
      <c r="A21" s="3"/>
      <c r="B21" s="28">
        <v>16.0</v>
      </c>
      <c r="C21" s="186"/>
      <c r="D21" s="191" t="s">
        <v>15423</v>
      </c>
      <c r="E21" s="188" t="s">
        <v>15424</v>
      </c>
      <c r="F21" s="186" t="s">
        <v>15035</v>
      </c>
      <c r="G21" s="412" t="s">
        <v>29</v>
      </c>
      <c r="H21" s="412" t="s">
        <v>30</v>
      </c>
      <c r="I21" s="186" t="s">
        <v>14765</v>
      </c>
      <c r="J21" s="186" t="s">
        <v>6663</v>
      </c>
      <c r="K21" s="186">
        <v>736.0</v>
      </c>
      <c r="L21" s="186" t="s">
        <v>15425</v>
      </c>
      <c r="M21" s="28"/>
      <c r="N21" s="186" t="s">
        <v>9290</v>
      </c>
      <c r="O21" s="598">
        <v>2004.0</v>
      </c>
      <c r="P21" s="191">
        <v>34.0</v>
      </c>
      <c r="Q21" s="28">
        <v>1.0</v>
      </c>
      <c r="R21" s="597">
        <v>1.0</v>
      </c>
      <c r="S21" s="3"/>
      <c r="T21" s="3"/>
      <c r="U21" s="3"/>
      <c r="V21" s="3"/>
      <c r="W21" s="3"/>
      <c r="X21" s="3"/>
      <c r="Y21" s="3"/>
      <c r="Z21" s="3"/>
    </row>
    <row r="22" ht="15.75" customHeight="1">
      <c r="A22" s="3"/>
      <c r="B22" s="342">
        <v>17.0</v>
      </c>
      <c r="C22" s="433" t="s">
        <v>31</v>
      </c>
      <c r="D22" s="433" t="s">
        <v>15426</v>
      </c>
      <c r="E22" s="434" t="s">
        <v>15379</v>
      </c>
      <c r="F22" s="433" t="s">
        <v>15035</v>
      </c>
      <c r="G22" s="433" t="s">
        <v>29</v>
      </c>
      <c r="H22" s="433" t="s">
        <v>30</v>
      </c>
      <c r="I22" s="433" t="s">
        <v>15370</v>
      </c>
      <c r="J22" s="433" t="s">
        <v>15380</v>
      </c>
      <c r="K22" s="433">
        <f>1331+4+8</f>
        <v>1343</v>
      </c>
      <c r="L22" s="433" t="s">
        <v>15381</v>
      </c>
      <c r="M22" s="342"/>
      <c r="N22" s="433" t="s">
        <v>9290</v>
      </c>
      <c r="O22" s="342">
        <v>2005.0</v>
      </c>
      <c r="P22" s="433" t="s">
        <v>388</v>
      </c>
      <c r="Q22" s="303">
        <v>1.0</v>
      </c>
      <c r="R22" s="596"/>
      <c r="S22" s="3"/>
      <c r="T22" s="3"/>
      <c r="U22" s="3"/>
      <c r="V22" s="3"/>
      <c r="W22" s="3"/>
      <c r="X22" s="3"/>
      <c r="Y22" s="3"/>
      <c r="Z22" s="3"/>
    </row>
    <row r="23" ht="15.75" customHeight="1">
      <c r="A23" s="3"/>
      <c r="B23" s="28">
        <v>18.0</v>
      </c>
      <c r="C23" s="186" t="s">
        <v>31</v>
      </c>
      <c r="D23" s="191" t="s">
        <v>15427</v>
      </c>
      <c r="E23" s="188" t="s">
        <v>15428</v>
      </c>
      <c r="F23" s="186" t="s">
        <v>15035</v>
      </c>
      <c r="G23" s="412" t="s">
        <v>29</v>
      </c>
      <c r="H23" s="412" t="s">
        <v>30</v>
      </c>
      <c r="I23" s="186" t="s">
        <v>14765</v>
      </c>
      <c r="J23" s="191" t="s">
        <v>15429</v>
      </c>
      <c r="K23" s="186">
        <f>931+7</f>
        <v>938</v>
      </c>
      <c r="L23" s="186" t="s">
        <v>15430</v>
      </c>
      <c r="M23" s="28"/>
      <c r="N23" s="186" t="s">
        <v>9290</v>
      </c>
      <c r="O23" s="598">
        <v>2005.0</v>
      </c>
      <c r="P23" s="191">
        <v>34.0</v>
      </c>
      <c r="Q23" s="28">
        <v>2.0</v>
      </c>
      <c r="R23" s="597">
        <v>2.0</v>
      </c>
      <c r="S23" s="3"/>
      <c r="T23" s="3"/>
      <c r="U23" s="3"/>
      <c r="V23" s="3"/>
      <c r="W23" s="3"/>
      <c r="X23" s="3"/>
      <c r="Y23" s="3"/>
      <c r="Z23" s="3"/>
    </row>
    <row r="24" ht="15.75" customHeight="1">
      <c r="A24" s="3"/>
      <c r="B24" s="28"/>
      <c r="C24" s="186"/>
      <c r="D24" s="191" t="s">
        <v>15431</v>
      </c>
      <c r="E24" s="35" t="s">
        <v>15432</v>
      </c>
      <c r="F24" s="191" t="s">
        <v>15433</v>
      </c>
      <c r="G24" s="186" t="s">
        <v>29</v>
      </c>
      <c r="H24" s="186" t="s">
        <v>30</v>
      </c>
      <c r="I24" s="186" t="s">
        <v>14712</v>
      </c>
      <c r="J24" s="186" t="s">
        <v>15434</v>
      </c>
      <c r="K24" s="191">
        <v>328.0</v>
      </c>
      <c r="L24" s="186"/>
      <c r="M24" s="28"/>
      <c r="N24" s="191" t="s">
        <v>15435</v>
      </c>
      <c r="O24" s="601">
        <v>1955.0</v>
      </c>
      <c r="P24" s="191">
        <v>34.0</v>
      </c>
      <c r="Q24" s="31">
        <v>2.0</v>
      </c>
      <c r="R24" s="597">
        <v>2.0</v>
      </c>
      <c r="S24" s="3"/>
      <c r="T24" s="3"/>
      <c r="U24" s="3"/>
      <c r="V24" s="3"/>
      <c r="W24" s="3"/>
      <c r="X24" s="3"/>
      <c r="Y24" s="3"/>
      <c r="Z24" s="3"/>
    </row>
    <row r="25" ht="15.75" customHeight="1">
      <c r="A25" s="3"/>
      <c r="B25" s="28">
        <v>20.0</v>
      </c>
      <c r="C25" s="186"/>
      <c r="D25" s="191" t="s">
        <v>15436</v>
      </c>
      <c r="E25" s="35" t="s">
        <v>15437</v>
      </c>
      <c r="F25" s="186" t="s">
        <v>15035</v>
      </c>
      <c r="G25" s="186" t="s">
        <v>29</v>
      </c>
      <c r="H25" s="186" t="s">
        <v>30</v>
      </c>
      <c r="I25" s="186" t="s">
        <v>14712</v>
      </c>
      <c r="J25" s="186" t="s">
        <v>15434</v>
      </c>
      <c r="K25" s="186">
        <v>776.0</v>
      </c>
      <c r="L25" s="186" t="s">
        <v>31</v>
      </c>
      <c r="M25" s="28"/>
      <c r="N25" s="186" t="s">
        <v>15367</v>
      </c>
      <c r="O25" s="515">
        <v>1991.0</v>
      </c>
      <c r="P25" s="191">
        <v>34.0</v>
      </c>
      <c r="Q25" s="28">
        <v>1.0</v>
      </c>
      <c r="R25" s="597">
        <v>1.0</v>
      </c>
      <c r="S25" s="3"/>
      <c r="T25" s="3"/>
      <c r="U25" s="3"/>
      <c r="V25" s="3"/>
      <c r="W25" s="3"/>
      <c r="X25" s="3"/>
      <c r="Y25" s="3"/>
      <c r="Z25" s="3"/>
    </row>
    <row r="26" ht="15.75" customHeight="1">
      <c r="A26" s="3"/>
      <c r="B26" s="342">
        <v>21.0</v>
      </c>
      <c r="C26" s="450"/>
      <c r="D26" s="433" t="s">
        <v>15438</v>
      </c>
      <c r="E26" s="434" t="s">
        <v>15439</v>
      </c>
      <c r="F26" s="433" t="s">
        <v>15035</v>
      </c>
      <c r="G26" s="433" t="s">
        <v>29</v>
      </c>
      <c r="H26" s="433" t="s">
        <v>30</v>
      </c>
      <c r="I26" s="433" t="s">
        <v>15440</v>
      </c>
      <c r="J26" s="433" t="s">
        <v>15441</v>
      </c>
      <c r="K26" s="433"/>
      <c r="L26" s="433" t="s">
        <v>31</v>
      </c>
      <c r="M26" s="342"/>
      <c r="N26" s="433" t="s">
        <v>15442</v>
      </c>
      <c r="O26" s="451">
        <v>1911.0</v>
      </c>
      <c r="P26" s="433" t="s">
        <v>388</v>
      </c>
      <c r="Q26" s="342">
        <v>1.0</v>
      </c>
      <c r="R26" s="596"/>
      <c r="S26" s="3"/>
      <c r="T26" s="3"/>
      <c r="U26" s="3"/>
      <c r="V26" s="3"/>
      <c r="W26" s="3"/>
      <c r="X26" s="3"/>
      <c r="Y26" s="3"/>
      <c r="Z26" s="3"/>
    </row>
    <row r="27" ht="15.75" customHeight="1">
      <c r="A27" s="3"/>
      <c r="B27" s="342">
        <v>22.0</v>
      </c>
      <c r="C27" s="450"/>
      <c r="D27" s="433" t="s">
        <v>15017</v>
      </c>
      <c r="E27" s="434" t="s">
        <v>15019</v>
      </c>
      <c r="F27" s="433" t="s">
        <v>15433</v>
      </c>
      <c r="G27" s="433" t="s">
        <v>29</v>
      </c>
      <c r="H27" s="433" t="s">
        <v>30</v>
      </c>
      <c r="I27" s="433" t="s">
        <v>14221</v>
      </c>
      <c r="J27" s="433" t="s">
        <v>14221</v>
      </c>
      <c r="K27" s="433">
        <v>3309.0</v>
      </c>
      <c r="L27" s="433" t="s">
        <v>31</v>
      </c>
      <c r="M27" s="342"/>
      <c r="N27" s="433" t="s">
        <v>15328</v>
      </c>
      <c r="O27" s="451">
        <v>1949.0</v>
      </c>
      <c r="P27" s="433" t="s">
        <v>388</v>
      </c>
      <c r="Q27" s="342">
        <v>1.0</v>
      </c>
      <c r="R27" s="596"/>
      <c r="S27" s="3"/>
      <c r="T27" s="3"/>
      <c r="U27" s="3"/>
      <c r="V27" s="3"/>
      <c r="W27" s="3"/>
      <c r="X27" s="3"/>
      <c r="Y27" s="3"/>
      <c r="Z27" s="3"/>
    </row>
    <row r="28" ht="15.75" customHeight="1">
      <c r="A28" s="3"/>
      <c r="B28" s="28">
        <v>23.0</v>
      </c>
      <c r="C28" s="413" t="s">
        <v>31</v>
      </c>
      <c r="D28" s="80" t="s">
        <v>15443</v>
      </c>
      <c r="E28" s="602" t="s">
        <v>15444</v>
      </c>
      <c r="F28" s="28" t="s">
        <v>15035</v>
      </c>
      <c r="G28" s="83" t="s">
        <v>29</v>
      </c>
      <c r="H28" s="79" t="s">
        <v>38</v>
      </c>
      <c r="I28" s="28" t="s">
        <v>15445</v>
      </c>
      <c r="J28" s="413" t="s">
        <v>15446</v>
      </c>
      <c r="K28" s="79">
        <v>474.0</v>
      </c>
      <c r="L28" s="413"/>
      <c r="M28" s="28"/>
      <c r="N28" s="186" t="s">
        <v>15447</v>
      </c>
      <c r="O28" s="79">
        <v>1952.0</v>
      </c>
      <c r="P28" s="503">
        <v>34.0</v>
      </c>
      <c r="Q28" s="79">
        <v>1.0</v>
      </c>
      <c r="R28" s="597">
        <v>1.0</v>
      </c>
      <c r="S28" s="3"/>
      <c r="T28" s="3"/>
      <c r="U28" s="3"/>
      <c r="V28" s="3"/>
      <c r="W28" s="3"/>
      <c r="X28" s="3"/>
      <c r="Y28" s="3"/>
      <c r="Z28" s="3"/>
    </row>
    <row r="29" ht="15.75" customHeight="1">
      <c r="A29" s="3"/>
      <c r="B29" s="342">
        <v>24.0</v>
      </c>
      <c r="C29" s="603"/>
      <c r="D29" s="604" t="s">
        <v>15448</v>
      </c>
      <c r="E29" s="605" t="s">
        <v>15449</v>
      </c>
      <c r="F29" s="557" t="s">
        <v>15035</v>
      </c>
      <c r="G29" s="606" t="s">
        <v>29</v>
      </c>
      <c r="H29" s="604" t="s">
        <v>131</v>
      </c>
      <c r="I29" s="557" t="s">
        <v>15445</v>
      </c>
      <c r="J29" s="603" t="s">
        <v>15450</v>
      </c>
      <c r="K29" s="604">
        <v>515.0</v>
      </c>
      <c r="L29" s="603"/>
      <c r="M29" s="557"/>
      <c r="N29" s="430" t="s">
        <v>15451</v>
      </c>
      <c r="O29" s="604">
        <v>1926.0</v>
      </c>
      <c r="P29" s="603" t="s">
        <v>388</v>
      </c>
      <c r="Q29" s="604">
        <v>2.0</v>
      </c>
      <c r="R29" s="596"/>
      <c r="S29" s="3"/>
      <c r="T29" s="3"/>
      <c r="U29" s="3"/>
      <c r="V29" s="3"/>
      <c r="W29" s="3"/>
      <c r="X29" s="3"/>
      <c r="Y29" s="3"/>
      <c r="Z29" s="3"/>
    </row>
    <row r="30" ht="15.75" customHeight="1">
      <c r="A30" s="3"/>
      <c r="B30" s="342">
        <v>25.0</v>
      </c>
      <c r="C30" s="450"/>
      <c r="D30" s="552" t="s">
        <v>15374</v>
      </c>
      <c r="E30" s="523" t="s">
        <v>15452</v>
      </c>
      <c r="F30" s="342" t="s">
        <v>15035</v>
      </c>
      <c r="G30" s="347" t="s">
        <v>29</v>
      </c>
      <c r="H30" s="552" t="s">
        <v>30</v>
      </c>
      <c r="I30" s="342" t="s">
        <v>14812</v>
      </c>
      <c r="J30" s="450" t="s">
        <v>15366</v>
      </c>
      <c r="K30" s="552">
        <v>853.0</v>
      </c>
      <c r="L30" s="450"/>
      <c r="M30" s="342"/>
      <c r="N30" s="607" t="s">
        <v>15453</v>
      </c>
      <c r="O30" s="552">
        <v>1948.0</v>
      </c>
      <c r="P30" s="608" t="s">
        <v>388</v>
      </c>
      <c r="Q30" s="552" t="s">
        <v>15454</v>
      </c>
      <c r="R30" s="596"/>
      <c r="S30" s="3"/>
      <c r="T30" s="3"/>
      <c r="U30" s="3"/>
      <c r="V30" s="3"/>
      <c r="W30" s="3"/>
      <c r="X30" s="3"/>
      <c r="Y30" s="3"/>
      <c r="Z30" s="3"/>
    </row>
    <row r="31" ht="15.75" customHeight="1">
      <c r="A31" s="3"/>
      <c r="B31" s="342">
        <v>26.0</v>
      </c>
      <c r="C31" s="450"/>
      <c r="D31" s="552" t="s">
        <v>15374</v>
      </c>
      <c r="E31" s="523" t="s">
        <v>15375</v>
      </c>
      <c r="F31" s="342" t="s">
        <v>15035</v>
      </c>
      <c r="G31" s="347" t="s">
        <v>29</v>
      </c>
      <c r="H31" s="552" t="s">
        <v>30</v>
      </c>
      <c r="I31" s="342" t="s">
        <v>14812</v>
      </c>
      <c r="J31" s="450" t="s">
        <v>15376</v>
      </c>
      <c r="K31" s="552">
        <v>146.0</v>
      </c>
      <c r="L31" s="450"/>
      <c r="M31" s="342"/>
      <c r="N31" s="607" t="s">
        <v>15455</v>
      </c>
      <c r="O31" s="552">
        <v>1928.0</v>
      </c>
      <c r="P31" s="608" t="s">
        <v>388</v>
      </c>
      <c r="Q31" s="552">
        <v>1.0</v>
      </c>
      <c r="R31" s="596"/>
      <c r="S31" s="3"/>
      <c r="T31" s="3"/>
      <c r="U31" s="3"/>
      <c r="V31" s="3"/>
      <c r="W31" s="3"/>
      <c r="X31" s="3"/>
      <c r="Y31" s="3"/>
      <c r="Z31" s="3"/>
    </row>
    <row r="32" ht="15.75" customHeight="1">
      <c r="A32" s="3"/>
      <c r="B32" s="342">
        <v>27.0</v>
      </c>
      <c r="C32" s="450"/>
      <c r="D32" s="552" t="s">
        <v>15374</v>
      </c>
      <c r="E32" s="523" t="s">
        <v>15456</v>
      </c>
      <c r="F32" s="342" t="s">
        <v>15035</v>
      </c>
      <c r="G32" s="347" t="s">
        <v>29</v>
      </c>
      <c r="H32" s="552" t="s">
        <v>30</v>
      </c>
      <c r="I32" s="342" t="s">
        <v>14812</v>
      </c>
      <c r="J32" s="450" t="s">
        <v>15457</v>
      </c>
      <c r="K32" s="552">
        <v>411.0</v>
      </c>
      <c r="L32" s="450"/>
      <c r="M32" s="342"/>
      <c r="N32" s="607" t="s">
        <v>15458</v>
      </c>
      <c r="O32" s="552">
        <v>1951.0</v>
      </c>
      <c r="P32" s="608" t="s">
        <v>388</v>
      </c>
      <c r="Q32" s="552">
        <v>1.0</v>
      </c>
      <c r="R32" s="596"/>
      <c r="S32" s="3"/>
      <c r="T32" s="3"/>
      <c r="U32" s="3"/>
      <c r="V32" s="3"/>
      <c r="W32" s="3"/>
      <c r="X32" s="3"/>
      <c r="Y32" s="3"/>
      <c r="Z32" s="3"/>
    </row>
    <row r="33" ht="15.75" customHeight="1">
      <c r="A33" s="3"/>
      <c r="B33" s="28">
        <v>28.0</v>
      </c>
      <c r="C33" s="413"/>
      <c r="D33" s="80" t="s">
        <v>15459</v>
      </c>
      <c r="E33" s="602" t="s">
        <v>15460</v>
      </c>
      <c r="F33" s="28" t="s">
        <v>15035</v>
      </c>
      <c r="G33" s="83" t="s">
        <v>29</v>
      </c>
      <c r="H33" s="79" t="s">
        <v>30</v>
      </c>
      <c r="I33" s="28" t="s">
        <v>14765</v>
      </c>
      <c r="J33" s="413" t="s">
        <v>15461</v>
      </c>
      <c r="K33" s="79">
        <f>679+8</f>
        <v>687</v>
      </c>
      <c r="L33" s="413"/>
      <c r="M33" s="28"/>
      <c r="N33" s="609" t="s">
        <v>9290</v>
      </c>
      <c r="O33" s="79">
        <v>2005.0</v>
      </c>
      <c r="P33" s="610">
        <v>34.0</v>
      </c>
      <c r="Q33" s="79">
        <v>1.0</v>
      </c>
      <c r="R33" s="597">
        <v>1.0</v>
      </c>
      <c r="S33" s="3"/>
      <c r="T33" s="3"/>
      <c r="U33" s="3"/>
      <c r="V33" s="3"/>
      <c r="W33" s="3"/>
      <c r="X33" s="3"/>
      <c r="Y33" s="3"/>
      <c r="Z33" s="3"/>
    </row>
    <row r="34" ht="15.75" customHeight="1">
      <c r="A34" s="3"/>
      <c r="B34" s="28"/>
      <c r="C34" s="413"/>
      <c r="D34" s="80" t="s">
        <v>15462</v>
      </c>
      <c r="E34" s="558" t="s">
        <v>15463</v>
      </c>
      <c r="F34" s="31" t="s">
        <v>15035</v>
      </c>
      <c r="G34" s="83" t="s">
        <v>29</v>
      </c>
      <c r="H34" s="79" t="s">
        <v>30</v>
      </c>
      <c r="I34" s="31" t="s">
        <v>14712</v>
      </c>
      <c r="J34" s="503" t="s">
        <v>15464</v>
      </c>
      <c r="K34" s="80">
        <v>394.0</v>
      </c>
      <c r="L34" s="413"/>
      <c r="M34" s="28"/>
      <c r="N34" s="611" t="s">
        <v>15465</v>
      </c>
      <c r="O34" s="80">
        <v>2000.0</v>
      </c>
      <c r="P34" s="612">
        <v>34.0</v>
      </c>
      <c r="Q34" s="80">
        <v>1.0</v>
      </c>
      <c r="R34" s="597">
        <v>1.0</v>
      </c>
      <c r="S34" s="3"/>
      <c r="T34" s="3"/>
      <c r="U34" s="3"/>
      <c r="V34" s="3"/>
      <c r="W34" s="3"/>
      <c r="X34" s="3"/>
      <c r="Y34" s="3"/>
      <c r="Z34" s="3"/>
    </row>
    <row r="35" ht="15.75" customHeight="1">
      <c r="A35" s="3"/>
      <c r="B35" s="28"/>
      <c r="C35" s="503" t="s">
        <v>15466</v>
      </c>
      <c r="D35" s="80" t="s">
        <v>15467</v>
      </c>
      <c r="E35" s="558" t="s">
        <v>15468</v>
      </c>
      <c r="F35" s="31" t="s">
        <v>15035</v>
      </c>
      <c r="G35" s="86" t="s">
        <v>29</v>
      </c>
      <c r="H35" s="80" t="s">
        <v>30</v>
      </c>
      <c r="I35" s="31" t="s">
        <v>14712</v>
      </c>
      <c r="J35" s="503" t="s">
        <v>15469</v>
      </c>
      <c r="K35" s="80">
        <v>923.0</v>
      </c>
      <c r="L35" s="413"/>
      <c r="M35" s="28"/>
      <c r="N35" s="611" t="s">
        <v>15470</v>
      </c>
      <c r="O35" s="80">
        <v>2007.0</v>
      </c>
      <c r="P35" s="612">
        <v>34.0</v>
      </c>
      <c r="Q35" s="80">
        <v>1.0</v>
      </c>
      <c r="R35" s="597">
        <v>1.0</v>
      </c>
      <c r="S35" s="3"/>
      <c r="T35" s="3"/>
      <c r="U35" s="3"/>
      <c r="V35" s="3"/>
      <c r="W35" s="3"/>
      <c r="X35" s="3"/>
      <c r="Y35" s="3"/>
      <c r="Z35" s="3"/>
    </row>
    <row r="36" ht="15.75" customHeight="1">
      <c r="A36" s="3"/>
      <c r="B36" s="342"/>
      <c r="C36" s="450"/>
      <c r="D36" s="552"/>
      <c r="E36" s="523"/>
      <c r="F36" s="342"/>
      <c r="G36" s="347"/>
      <c r="H36" s="552"/>
      <c r="I36" s="342"/>
      <c r="J36" s="450"/>
      <c r="K36" s="552"/>
      <c r="L36" s="450"/>
      <c r="M36" s="342"/>
      <c r="N36" s="607"/>
      <c r="O36" s="552"/>
      <c r="P36" s="608"/>
      <c r="Q36" s="552"/>
      <c r="R36" s="596"/>
      <c r="S36" s="3"/>
      <c r="T36" s="3"/>
      <c r="U36" s="3"/>
      <c r="V36" s="3"/>
      <c r="W36" s="3"/>
      <c r="X36" s="3"/>
      <c r="Y36" s="3"/>
      <c r="Z36" s="3"/>
    </row>
    <row r="37" ht="15.75" customHeight="1">
      <c r="A37" s="3"/>
      <c r="B37" s="342"/>
      <c r="C37" s="450"/>
      <c r="D37" s="552"/>
      <c r="E37" s="523"/>
      <c r="F37" s="342"/>
      <c r="G37" s="347"/>
      <c r="H37" s="552"/>
      <c r="I37" s="342"/>
      <c r="J37" s="450"/>
      <c r="K37" s="552"/>
      <c r="L37" s="450"/>
      <c r="M37" s="342"/>
      <c r="N37" s="607"/>
      <c r="O37" s="552"/>
      <c r="P37" s="608"/>
      <c r="Q37" s="552"/>
      <c r="R37" s="596"/>
      <c r="S37" s="3"/>
      <c r="T37" s="3"/>
      <c r="U37" s="3"/>
      <c r="V37" s="3"/>
      <c r="W37" s="3"/>
      <c r="X37" s="3"/>
      <c r="Y37" s="3"/>
      <c r="Z37" s="3"/>
    </row>
    <row r="38" ht="15.75" customHeight="1">
      <c r="A38" s="3"/>
      <c r="B38" s="342"/>
      <c r="C38" s="450"/>
      <c r="D38" s="552"/>
      <c r="E38" s="523"/>
      <c r="F38" s="342"/>
      <c r="G38" s="347"/>
      <c r="H38" s="552"/>
      <c r="I38" s="342"/>
      <c r="J38" s="450"/>
      <c r="K38" s="552"/>
      <c r="L38" s="450"/>
      <c r="M38" s="342"/>
      <c r="N38" s="607"/>
      <c r="O38" s="552"/>
      <c r="P38" s="608"/>
      <c r="Q38" s="552"/>
      <c r="R38" s="596"/>
      <c r="S38" s="3"/>
      <c r="T38" s="3"/>
      <c r="U38" s="3"/>
      <c r="V38" s="3"/>
      <c r="W38" s="3"/>
      <c r="X38" s="3"/>
      <c r="Y38" s="3"/>
      <c r="Z38" s="3"/>
    </row>
    <row r="39" ht="15.75" customHeight="1">
      <c r="A39" s="3"/>
      <c r="B39" s="342"/>
      <c r="C39" s="450"/>
      <c r="D39" s="552"/>
      <c r="E39" s="523"/>
      <c r="F39" s="342"/>
      <c r="G39" s="347"/>
      <c r="H39" s="552"/>
      <c r="I39" s="342"/>
      <c r="J39" s="450"/>
      <c r="K39" s="552"/>
      <c r="L39" s="450"/>
      <c r="M39" s="342"/>
      <c r="N39" s="607"/>
      <c r="O39" s="552"/>
      <c r="P39" s="608"/>
      <c r="Q39" s="552"/>
      <c r="R39" s="596"/>
      <c r="S39" s="3"/>
      <c r="T39" s="3"/>
      <c r="U39" s="3"/>
      <c r="V39" s="3"/>
      <c r="W39" s="3"/>
      <c r="X39" s="3"/>
      <c r="Y39" s="3"/>
      <c r="Z39" s="3"/>
    </row>
    <row r="40" ht="15.75" customHeight="1">
      <c r="A40" s="3"/>
      <c r="B40" s="342"/>
      <c r="C40" s="450"/>
      <c r="D40" s="552"/>
      <c r="E40" s="523"/>
      <c r="F40" s="342"/>
      <c r="G40" s="347"/>
      <c r="H40" s="552"/>
      <c r="I40" s="342"/>
      <c r="J40" s="450"/>
      <c r="K40" s="552"/>
      <c r="L40" s="450"/>
      <c r="M40" s="342"/>
      <c r="N40" s="607"/>
      <c r="O40" s="552"/>
      <c r="P40" s="608"/>
      <c r="Q40" s="552"/>
      <c r="R40" s="596"/>
      <c r="S40" s="3"/>
      <c r="T40" s="3"/>
      <c r="U40" s="3"/>
      <c r="V40" s="3"/>
      <c r="W40" s="3"/>
      <c r="X40" s="3"/>
      <c r="Y40" s="3"/>
      <c r="Z40" s="3"/>
    </row>
    <row r="41" ht="15.75" customHeight="1">
      <c r="A41" s="3"/>
      <c r="B41" s="342"/>
      <c r="C41" s="450"/>
      <c r="D41" s="552"/>
      <c r="E41" s="523"/>
      <c r="F41" s="342"/>
      <c r="G41" s="347"/>
      <c r="H41" s="552"/>
      <c r="I41" s="342"/>
      <c r="J41" s="450"/>
      <c r="K41" s="552"/>
      <c r="L41" s="450"/>
      <c r="M41" s="342"/>
      <c r="N41" s="607"/>
      <c r="O41" s="552"/>
      <c r="P41" s="608"/>
      <c r="Q41" s="552"/>
      <c r="R41" s="596"/>
      <c r="S41" s="3"/>
      <c r="T41" s="3"/>
      <c r="U41" s="3"/>
      <c r="V41" s="3"/>
      <c r="W41" s="3"/>
      <c r="X41" s="3"/>
      <c r="Y41" s="3"/>
      <c r="Z41" s="3"/>
    </row>
    <row r="42" ht="15.75" customHeight="1">
      <c r="A42" s="3"/>
      <c r="B42" s="342"/>
      <c r="C42" s="450"/>
      <c r="D42" s="552"/>
      <c r="E42" s="523"/>
      <c r="F42" s="342"/>
      <c r="G42" s="347"/>
      <c r="H42" s="552"/>
      <c r="I42" s="342"/>
      <c r="J42" s="450"/>
      <c r="K42" s="552"/>
      <c r="L42" s="450"/>
      <c r="M42" s="342"/>
      <c r="N42" s="607"/>
      <c r="O42" s="552"/>
      <c r="P42" s="608"/>
      <c r="Q42" s="552"/>
      <c r="R42" s="596"/>
      <c r="S42" s="3"/>
      <c r="T42" s="3"/>
      <c r="U42" s="3"/>
      <c r="V42" s="3"/>
      <c r="W42" s="3"/>
      <c r="X42" s="3"/>
      <c r="Y42" s="3"/>
      <c r="Z42" s="3"/>
    </row>
    <row r="43" ht="15.75" customHeight="1">
      <c r="A43" s="3"/>
      <c r="B43" s="342"/>
      <c r="C43" s="450"/>
      <c r="D43" s="552"/>
      <c r="E43" s="523"/>
      <c r="F43" s="342"/>
      <c r="G43" s="347"/>
      <c r="H43" s="552"/>
      <c r="I43" s="342"/>
      <c r="J43" s="450"/>
      <c r="K43" s="552"/>
      <c r="L43" s="450"/>
      <c r="M43" s="342"/>
      <c r="N43" s="607"/>
      <c r="O43" s="552"/>
      <c r="P43" s="608"/>
      <c r="Q43" s="552"/>
      <c r="R43" s="596"/>
      <c r="S43" s="3"/>
      <c r="T43" s="3"/>
      <c r="U43" s="3"/>
      <c r="V43" s="3"/>
      <c r="W43" s="3"/>
      <c r="X43" s="3"/>
      <c r="Y43" s="3"/>
      <c r="Z43" s="3"/>
    </row>
    <row r="44" ht="15.75" customHeight="1">
      <c r="A44" s="3"/>
      <c r="B44" s="342"/>
      <c r="C44" s="450"/>
      <c r="D44" s="552"/>
      <c r="E44" s="523"/>
      <c r="F44" s="342"/>
      <c r="G44" s="347"/>
      <c r="H44" s="552"/>
      <c r="I44" s="342"/>
      <c r="J44" s="450"/>
      <c r="K44" s="552"/>
      <c r="L44" s="450"/>
      <c r="M44" s="342"/>
      <c r="N44" s="607"/>
      <c r="O44" s="552"/>
      <c r="P44" s="608"/>
      <c r="Q44" s="552"/>
      <c r="R44" s="596"/>
      <c r="S44" s="3"/>
      <c r="T44" s="3"/>
      <c r="U44" s="3"/>
      <c r="V44" s="3"/>
      <c r="W44" s="3"/>
      <c r="X44" s="3"/>
      <c r="Y44" s="3"/>
      <c r="Z44" s="3"/>
    </row>
    <row r="45" ht="15.75" customHeight="1">
      <c r="A45" s="3"/>
      <c r="B45" s="343"/>
      <c r="C45" s="450"/>
      <c r="D45" s="552"/>
      <c r="E45" s="523"/>
      <c r="F45" s="342"/>
      <c r="G45" s="347"/>
      <c r="H45" s="552"/>
      <c r="I45" s="342"/>
      <c r="J45" s="450"/>
      <c r="K45" s="552"/>
      <c r="L45" s="450"/>
      <c r="M45" s="342"/>
      <c r="N45" s="607"/>
      <c r="O45" s="552"/>
      <c r="P45" s="608"/>
      <c r="Q45" s="552">
        <f>SUM(Q6:Q44)</f>
        <v>37</v>
      </c>
      <c r="R45" s="613">
        <f>sum(R6:R44)</f>
        <v>26</v>
      </c>
      <c r="S45" s="3"/>
      <c r="T45" s="3"/>
      <c r="U45" s="3"/>
      <c r="V45" s="3"/>
      <c r="W45" s="3"/>
      <c r="X45" s="3"/>
      <c r="Y45" s="3"/>
      <c r="Z45" s="3"/>
    </row>
    <row r="46" ht="15.75" customHeight="1">
      <c r="A46" s="3"/>
      <c r="B46" s="472"/>
      <c r="C46" s="455"/>
      <c r="D46" s="455"/>
      <c r="E46" s="455"/>
      <c r="F46" s="455"/>
      <c r="G46" s="455"/>
      <c r="H46" s="455"/>
      <c r="I46" s="455"/>
      <c r="J46" s="455"/>
      <c r="K46" s="455"/>
      <c r="L46" s="455"/>
      <c r="M46" s="455"/>
      <c r="N46" s="455"/>
      <c r="O46" s="455"/>
      <c r="P46" s="455"/>
      <c r="Q46" s="456"/>
      <c r="R46" s="614"/>
      <c r="S46" s="3"/>
      <c r="T46" s="3"/>
      <c r="U46" s="3"/>
      <c r="V46" s="3"/>
      <c r="W46" s="3"/>
      <c r="X46" s="3"/>
      <c r="Y46" s="3"/>
      <c r="Z46" s="3"/>
    </row>
    <row r="47" ht="15.75" customHeight="1">
      <c r="A47" s="3"/>
      <c r="B47" s="457"/>
      <c r="C47" s="6"/>
      <c r="D47" s="6"/>
      <c r="E47" s="6"/>
      <c r="F47" s="6"/>
      <c r="G47" s="6"/>
      <c r="H47" s="6"/>
      <c r="I47" s="6"/>
      <c r="J47" s="6"/>
      <c r="K47" s="6"/>
      <c r="L47" s="6"/>
      <c r="M47" s="6"/>
      <c r="N47" s="6"/>
      <c r="O47" s="6"/>
      <c r="P47" s="6"/>
      <c r="Q47" s="7"/>
      <c r="R47" s="614"/>
      <c r="S47" s="3"/>
      <c r="T47" s="3"/>
      <c r="U47" s="3"/>
      <c r="V47" s="3"/>
      <c r="W47" s="3"/>
      <c r="X47" s="3"/>
      <c r="Y47" s="3"/>
      <c r="Z47" s="3"/>
    </row>
    <row r="48" ht="15.75" customHeight="1">
      <c r="A48" s="3"/>
      <c r="B48" s="457" t="s">
        <v>15471</v>
      </c>
      <c r="C48" s="6"/>
      <c r="D48" s="6"/>
      <c r="E48" s="6"/>
      <c r="F48" s="6"/>
      <c r="G48" s="6"/>
      <c r="H48" s="6"/>
      <c r="I48" s="6"/>
      <c r="J48" s="6"/>
      <c r="K48" s="6"/>
      <c r="L48" s="6"/>
      <c r="M48" s="6"/>
      <c r="N48" s="6"/>
      <c r="O48" s="6"/>
      <c r="P48" s="6"/>
      <c r="Q48" s="7"/>
      <c r="R48" s="614"/>
      <c r="S48" s="3"/>
      <c r="T48" s="3"/>
      <c r="U48" s="3"/>
      <c r="V48" s="3"/>
      <c r="W48" s="3"/>
      <c r="X48" s="3"/>
      <c r="Y48" s="3"/>
      <c r="Z48" s="3"/>
    </row>
    <row r="49" ht="15.75" customHeight="1">
      <c r="A49" s="3"/>
      <c r="B49" s="327" t="s">
        <v>14150</v>
      </c>
      <c r="C49" s="457" t="s">
        <v>14151</v>
      </c>
      <c r="D49" s="6"/>
      <c r="E49" s="7"/>
      <c r="F49" s="458"/>
      <c r="G49" s="459"/>
      <c r="H49" s="7"/>
      <c r="I49" s="459"/>
      <c r="J49" s="6"/>
      <c r="K49" s="6"/>
      <c r="L49" s="7"/>
      <c r="M49" s="460"/>
      <c r="N49" s="461" t="s">
        <v>15140</v>
      </c>
      <c r="O49" s="461"/>
      <c r="P49" s="461"/>
      <c r="Q49" s="461"/>
      <c r="R49" s="614"/>
      <c r="S49" s="3"/>
      <c r="T49" s="3"/>
      <c r="U49" s="3"/>
      <c r="V49" s="3"/>
      <c r="W49" s="3"/>
      <c r="X49" s="3"/>
      <c r="Y49" s="3"/>
      <c r="Z49" s="3"/>
    </row>
    <row r="50" ht="15.75" customHeight="1">
      <c r="A50" s="3"/>
      <c r="B50" s="321"/>
      <c r="C50" s="399"/>
      <c r="D50" s="458"/>
      <c r="E50" s="462"/>
      <c r="F50" s="458"/>
      <c r="G50" s="463"/>
      <c r="H50" s="7"/>
      <c r="I50" s="321"/>
      <c r="J50" s="321"/>
      <c r="K50" s="463"/>
      <c r="L50" s="7"/>
      <c r="M50" s="321"/>
      <c r="N50" s="321"/>
      <c r="O50" s="321"/>
      <c r="P50" s="321"/>
      <c r="Q50" s="321"/>
      <c r="R50" s="614"/>
      <c r="S50" s="3"/>
      <c r="T50" s="3"/>
      <c r="U50" s="3"/>
      <c r="V50" s="3"/>
      <c r="W50" s="3"/>
      <c r="X50" s="3"/>
      <c r="Y50" s="3"/>
      <c r="Z50" s="3"/>
    </row>
    <row r="51" ht="15.75" customHeight="1">
      <c r="A51" s="3"/>
      <c r="B51" s="463"/>
      <c r="C51" s="7"/>
      <c r="D51" s="458"/>
      <c r="E51" s="463"/>
      <c r="F51" s="7"/>
      <c r="G51" s="321"/>
      <c r="H51" s="321"/>
      <c r="I51" s="321"/>
      <c r="J51" s="321"/>
      <c r="K51" s="321"/>
      <c r="L51" s="321"/>
      <c r="M51" s="321"/>
      <c r="N51" s="321"/>
      <c r="O51" s="321"/>
      <c r="P51" s="321"/>
      <c r="Q51" s="321"/>
      <c r="R51" s="614"/>
      <c r="S51" s="3"/>
      <c r="T51" s="3"/>
      <c r="U51" s="3"/>
      <c r="V51" s="3"/>
      <c r="W51" s="3"/>
      <c r="X51" s="3"/>
      <c r="Y51" s="3"/>
      <c r="Z51" s="3"/>
    </row>
    <row r="52" ht="15.75" customHeight="1">
      <c r="A52" s="3"/>
      <c r="B52" s="321"/>
      <c r="C52" s="457" t="s">
        <v>14153</v>
      </c>
      <c r="D52" s="6"/>
      <c r="E52" s="7"/>
      <c r="F52" s="458"/>
      <c r="G52" s="457"/>
      <c r="H52" s="7"/>
      <c r="I52" s="457"/>
      <c r="J52" s="6"/>
      <c r="K52" s="6"/>
      <c r="L52" s="7"/>
      <c r="M52" s="457" t="s">
        <v>14154</v>
      </c>
      <c r="N52" s="6"/>
      <c r="O52" s="6"/>
      <c r="P52" s="6"/>
      <c r="Q52" s="7"/>
      <c r="R52" s="614"/>
      <c r="S52" s="3"/>
      <c r="T52" s="3"/>
      <c r="U52" s="3"/>
      <c r="V52" s="3"/>
      <c r="W52" s="3"/>
      <c r="X52" s="3"/>
      <c r="Y52" s="3"/>
      <c r="Z52" s="3"/>
    </row>
    <row r="53" ht="15.75" customHeight="1">
      <c r="A53" s="3"/>
      <c r="B53" s="321"/>
      <c r="C53" s="457" t="s">
        <v>14155</v>
      </c>
      <c r="D53" s="6"/>
      <c r="E53" s="7"/>
      <c r="F53" s="458"/>
      <c r="G53" s="457"/>
      <c r="H53" s="7"/>
      <c r="I53" s="327"/>
      <c r="J53" s="457"/>
      <c r="K53" s="6"/>
      <c r="L53" s="7"/>
      <c r="M53" s="457" t="s">
        <v>14156</v>
      </c>
      <c r="N53" s="6"/>
      <c r="O53" s="6"/>
      <c r="P53" s="6"/>
      <c r="Q53" s="7"/>
      <c r="S53" s="3"/>
      <c r="T53" s="3"/>
      <c r="U53" s="3"/>
      <c r="V53" s="3"/>
      <c r="W53" s="3"/>
      <c r="X53" s="3"/>
      <c r="Y53" s="3"/>
      <c r="Z53" s="3"/>
    </row>
    <row r="54" ht="15.75" customHeight="1">
      <c r="A54" s="3"/>
      <c r="B54" s="2"/>
      <c r="C54" s="2"/>
      <c r="D54" s="2"/>
      <c r="E54" s="464"/>
      <c r="F54" s="2"/>
      <c r="G54" s="2"/>
      <c r="H54" s="2"/>
      <c r="I54" s="2"/>
      <c r="J54" s="2"/>
      <c r="K54" s="2"/>
      <c r="L54" s="2"/>
      <c r="M54" s="2"/>
      <c r="N54" s="2"/>
      <c r="O54" s="2"/>
      <c r="P54" s="2"/>
      <c r="Q54" s="2"/>
      <c r="S54" s="3"/>
      <c r="T54" s="3"/>
      <c r="U54" s="3"/>
      <c r="V54" s="3"/>
      <c r="W54" s="3"/>
      <c r="X54" s="3"/>
      <c r="Y54" s="3"/>
      <c r="Z54" s="3"/>
    </row>
    <row r="55" ht="15.75" customHeight="1">
      <c r="A55" s="3"/>
      <c r="B55" s="2"/>
      <c r="C55" s="2"/>
      <c r="D55" s="2"/>
      <c r="E55" s="464"/>
      <c r="F55" s="2"/>
      <c r="G55" s="2"/>
      <c r="H55" s="2"/>
      <c r="I55" s="2"/>
      <c r="J55" s="2"/>
      <c r="K55" s="2"/>
      <c r="L55" s="2"/>
      <c r="M55" s="2"/>
      <c r="N55" s="2"/>
      <c r="O55" s="2"/>
      <c r="P55" s="2"/>
      <c r="Q55" s="2"/>
      <c r="S55" s="3"/>
      <c r="T55" s="3"/>
      <c r="U55" s="3"/>
      <c r="V55" s="3"/>
      <c r="W55" s="3"/>
      <c r="X55" s="3"/>
      <c r="Y55" s="3"/>
      <c r="Z55" s="3"/>
    </row>
    <row r="56" ht="15.75" customHeight="1">
      <c r="A56" s="3"/>
      <c r="B56" s="2"/>
      <c r="C56" s="2"/>
      <c r="D56" s="2"/>
      <c r="E56" s="464"/>
      <c r="F56" s="2"/>
      <c r="G56" s="2"/>
      <c r="H56" s="2"/>
      <c r="I56" s="2"/>
      <c r="J56" s="2"/>
      <c r="K56" s="2"/>
      <c r="L56" s="2"/>
      <c r="M56" s="2"/>
      <c r="N56" s="2"/>
      <c r="O56" s="2"/>
      <c r="P56" s="2"/>
      <c r="Q56" s="2"/>
      <c r="S56" s="3"/>
      <c r="T56" s="3"/>
      <c r="U56" s="3"/>
      <c r="V56" s="3"/>
      <c r="W56" s="3"/>
      <c r="X56" s="3"/>
      <c r="Y56" s="3"/>
      <c r="Z56" s="3"/>
    </row>
    <row r="57" ht="15.75" customHeight="1">
      <c r="A57" s="3"/>
      <c r="B57" s="2"/>
      <c r="C57" s="2"/>
      <c r="D57" s="2"/>
      <c r="E57" s="464"/>
      <c r="F57" s="2"/>
      <c r="G57" s="2"/>
      <c r="H57" s="2"/>
      <c r="I57" s="2"/>
      <c r="J57" s="2"/>
      <c r="K57" s="2"/>
      <c r="L57" s="2"/>
      <c r="M57" s="2"/>
      <c r="N57" s="2"/>
      <c r="O57" s="2"/>
      <c r="P57" s="2"/>
      <c r="Q57" s="2"/>
      <c r="S57" s="3"/>
      <c r="T57" s="3"/>
      <c r="U57" s="3"/>
      <c r="V57" s="3"/>
      <c r="W57" s="3"/>
      <c r="X57" s="3"/>
      <c r="Y57" s="3"/>
      <c r="Z57" s="3"/>
    </row>
    <row r="58" ht="15.75" customHeight="1">
      <c r="A58" s="3"/>
      <c r="B58" s="2"/>
      <c r="C58" s="2"/>
      <c r="D58" s="2"/>
      <c r="E58" s="464"/>
      <c r="F58" s="2"/>
      <c r="G58" s="2"/>
      <c r="H58" s="2"/>
      <c r="I58" s="2"/>
      <c r="J58" s="2"/>
      <c r="K58" s="2"/>
      <c r="L58" s="2"/>
      <c r="M58" s="2"/>
      <c r="N58" s="2"/>
      <c r="O58" s="2"/>
      <c r="P58" s="2"/>
      <c r="Q58" s="2"/>
      <c r="S58" s="3"/>
      <c r="T58" s="3"/>
      <c r="U58" s="3"/>
      <c r="V58" s="3"/>
      <c r="W58" s="3"/>
      <c r="X58" s="3"/>
      <c r="Y58" s="3"/>
      <c r="Z58" s="3"/>
    </row>
    <row r="59" ht="15.75" customHeight="1">
      <c r="A59" s="3"/>
      <c r="B59" s="2"/>
      <c r="C59" s="2"/>
      <c r="D59" s="2"/>
      <c r="E59" s="464"/>
      <c r="F59" s="2"/>
      <c r="G59" s="2"/>
      <c r="H59" s="2"/>
      <c r="I59" s="2"/>
      <c r="J59" s="2"/>
      <c r="K59" s="2"/>
      <c r="L59" s="2"/>
      <c r="M59" s="2"/>
      <c r="N59" s="2"/>
      <c r="O59" s="2"/>
      <c r="P59" s="2"/>
      <c r="Q59" s="2"/>
      <c r="S59" s="3"/>
      <c r="T59" s="3"/>
      <c r="U59" s="3"/>
      <c r="V59" s="3"/>
      <c r="W59" s="3"/>
      <c r="X59" s="3"/>
      <c r="Y59" s="3"/>
      <c r="Z59" s="3"/>
    </row>
    <row r="60" ht="15.75" customHeight="1">
      <c r="A60" s="3"/>
      <c r="B60" s="2"/>
      <c r="C60" s="2"/>
      <c r="D60" s="2"/>
      <c r="E60" s="464"/>
      <c r="F60" s="2"/>
      <c r="G60" s="2"/>
      <c r="H60" s="2"/>
      <c r="I60" s="2"/>
      <c r="J60" s="2"/>
      <c r="K60" s="2"/>
      <c r="L60" s="2"/>
      <c r="M60" s="2"/>
      <c r="N60" s="2"/>
      <c r="O60" s="2"/>
      <c r="P60" s="2"/>
      <c r="Q60" s="2"/>
      <c r="S60" s="3"/>
      <c r="T60" s="3"/>
      <c r="U60" s="3"/>
      <c r="V60" s="3"/>
      <c r="W60" s="3"/>
      <c r="X60" s="3"/>
      <c r="Y60" s="3"/>
      <c r="Z60" s="3"/>
    </row>
    <row r="61" ht="15.75" customHeight="1">
      <c r="A61" s="3"/>
      <c r="B61" s="2"/>
      <c r="C61" s="2"/>
      <c r="D61" s="2"/>
      <c r="E61" s="464"/>
      <c r="F61" s="2"/>
      <c r="G61" s="2"/>
      <c r="H61" s="2"/>
      <c r="I61" s="2"/>
      <c r="J61" s="2"/>
      <c r="K61" s="2"/>
      <c r="L61" s="2"/>
      <c r="M61" s="2"/>
      <c r="N61" s="2"/>
      <c r="O61" s="2"/>
      <c r="P61" s="2"/>
      <c r="Q61" s="2"/>
      <c r="S61" s="3"/>
      <c r="T61" s="3"/>
      <c r="U61" s="3"/>
      <c r="V61" s="3"/>
      <c r="W61" s="3"/>
      <c r="X61" s="3"/>
      <c r="Y61" s="3"/>
      <c r="Z61" s="3"/>
    </row>
    <row r="62" ht="15.75" customHeight="1">
      <c r="A62" s="3"/>
      <c r="B62" s="2"/>
      <c r="C62" s="2"/>
      <c r="D62" s="2"/>
      <c r="E62" s="464"/>
      <c r="F62" s="2"/>
      <c r="G62" s="2"/>
      <c r="H62" s="2"/>
      <c r="I62" s="2"/>
      <c r="J62" s="2"/>
      <c r="K62" s="2"/>
      <c r="L62" s="2"/>
      <c r="M62" s="2"/>
      <c r="N62" s="2"/>
      <c r="O62" s="2"/>
      <c r="P62" s="2"/>
      <c r="Q62" s="2"/>
      <c r="S62" s="3"/>
      <c r="T62" s="3"/>
      <c r="U62" s="3"/>
      <c r="V62" s="3"/>
      <c r="W62" s="3"/>
      <c r="X62" s="3"/>
      <c r="Y62" s="3"/>
      <c r="Z62" s="3"/>
    </row>
    <row r="63" ht="15.75" customHeight="1">
      <c r="A63" s="3"/>
      <c r="B63" s="2"/>
      <c r="C63" s="2"/>
      <c r="D63" s="2"/>
      <c r="E63" s="464"/>
      <c r="F63" s="2"/>
      <c r="G63" s="2"/>
      <c r="H63" s="2"/>
      <c r="I63" s="2"/>
      <c r="J63" s="2"/>
      <c r="K63" s="2"/>
      <c r="L63" s="2"/>
      <c r="M63" s="2"/>
      <c r="N63" s="2"/>
      <c r="O63" s="2"/>
      <c r="P63" s="2"/>
      <c r="Q63" s="2"/>
      <c r="S63" s="3"/>
      <c r="T63" s="3"/>
      <c r="U63" s="3"/>
      <c r="V63" s="3"/>
      <c r="W63" s="3"/>
      <c r="X63" s="3"/>
      <c r="Y63" s="3"/>
      <c r="Z63" s="3"/>
    </row>
    <row r="64" ht="15.75" customHeight="1">
      <c r="A64" s="3"/>
      <c r="B64" s="2"/>
      <c r="C64" s="2"/>
      <c r="D64" s="2"/>
      <c r="E64" s="464"/>
      <c r="F64" s="2"/>
      <c r="G64" s="2"/>
      <c r="H64" s="2"/>
      <c r="I64" s="2"/>
      <c r="J64" s="2"/>
      <c r="K64" s="2"/>
      <c r="L64" s="2"/>
      <c r="M64" s="2"/>
      <c r="N64" s="2"/>
      <c r="O64" s="2"/>
      <c r="P64" s="2"/>
      <c r="Q64" s="2"/>
      <c r="S64" s="3"/>
      <c r="T64" s="3"/>
      <c r="U64" s="3"/>
      <c r="V64" s="3"/>
      <c r="W64" s="3"/>
      <c r="X64" s="3"/>
      <c r="Y64" s="3"/>
      <c r="Z64" s="3"/>
    </row>
    <row r="65" ht="15.75" customHeight="1">
      <c r="A65" s="3"/>
      <c r="B65" s="2"/>
      <c r="C65" s="2"/>
      <c r="D65" s="2"/>
      <c r="E65" s="464"/>
      <c r="F65" s="2"/>
      <c r="G65" s="2"/>
      <c r="H65" s="2"/>
      <c r="I65" s="2"/>
      <c r="J65" s="2"/>
      <c r="K65" s="2"/>
      <c r="L65" s="2"/>
      <c r="M65" s="2"/>
      <c r="N65" s="2"/>
      <c r="O65" s="2"/>
      <c r="P65" s="2"/>
      <c r="Q65" s="2"/>
      <c r="S65" s="3"/>
      <c r="T65" s="3"/>
      <c r="U65" s="3"/>
      <c r="V65" s="3"/>
      <c r="W65" s="3"/>
      <c r="X65" s="3"/>
      <c r="Y65" s="3"/>
      <c r="Z65" s="3"/>
    </row>
    <row r="66" ht="15.75" customHeight="1">
      <c r="A66" s="3"/>
      <c r="B66" s="2"/>
      <c r="C66" s="2"/>
      <c r="D66" s="2"/>
      <c r="E66" s="464"/>
      <c r="F66" s="2"/>
      <c r="G66" s="2"/>
      <c r="H66" s="2"/>
      <c r="I66" s="2"/>
      <c r="J66" s="2"/>
      <c r="K66" s="2"/>
      <c r="L66" s="2"/>
      <c r="M66" s="2"/>
      <c r="N66" s="2"/>
      <c r="O66" s="2"/>
      <c r="P66" s="2"/>
      <c r="Q66" s="2"/>
      <c r="S66" s="3"/>
      <c r="T66" s="3"/>
      <c r="U66" s="3"/>
      <c r="V66" s="3"/>
      <c r="W66" s="3"/>
      <c r="X66" s="3"/>
      <c r="Y66" s="3"/>
      <c r="Z66" s="3"/>
    </row>
    <row r="67" ht="15.75" customHeight="1">
      <c r="A67" s="3"/>
      <c r="B67" s="2"/>
      <c r="C67" s="2"/>
      <c r="D67" s="2"/>
      <c r="E67" s="464"/>
      <c r="F67" s="2"/>
      <c r="G67" s="2"/>
      <c r="H67" s="2"/>
      <c r="I67" s="2"/>
      <c r="J67" s="2"/>
      <c r="K67" s="2"/>
      <c r="L67" s="2"/>
      <c r="M67" s="2"/>
      <c r="N67" s="2"/>
      <c r="O67" s="2"/>
      <c r="P67" s="2"/>
      <c r="Q67" s="2"/>
      <c r="S67" s="3"/>
      <c r="T67" s="3"/>
      <c r="U67" s="3"/>
      <c r="V67" s="3"/>
      <c r="W67" s="3"/>
      <c r="X67" s="3"/>
      <c r="Y67" s="3"/>
      <c r="Z67" s="3"/>
    </row>
    <row r="68" ht="15.75" customHeight="1">
      <c r="A68" s="3"/>
      <c r="B68" s="2"/>
      <c r="C68" s="2"/>
      <c r="D68" s="2"/>
      <c r="E68" s="464"/>
      <c r="F68" s="2"/>
      <c r="G68" s="2"/>
      <c r="H68" s="2"/>
      <c r="I68" s="2"/>
      <c r="J68" s="2"/>
      <c r="K68" s="2"/>
      <c r="L68" s="2"/>
      <c r="M68" s="2"/>
      <c r="N68" s="2"/>
      <c r="O68" s="2"/>
      <c r="P68" s="2"/>
      <c r="Q68" s="2"/>
      <c r="S68" s="3"/>
      <c r="T68" s="3"/>
      <c r="U68" s="3"/>
      <c r="V68" s="3"/>
      <c r="W68" s="3"/>
      <c r="X68" s="3"/>
      <c r="Y68" s="3"/>
      <c r="Z68" s="3"/>
    </row>
    <row r="69" ht="15.75" customHeight="1">
      <c r="A69" s="3"/>
      <c r="B69" s="2"/>
      <c r="C69" s="2"/>
      <c r="D69" s="2"/>
      <c r="E69" s="464"/>
      <c r="F69" s="2"/>
      <c r="G69" s="2"/>
      <c r="H69" s="2"/>
      <c r="I69" s="2"/>
      <c r="J69" s="2"/>
      <c r="K69" s="2"/>
      <c r="L69" s="2"/>
      <c r="M69" s="2"/>
      <c r="N69" s="2"/>
      <c r="O69" s="2"/>
      <c r="P69" s="2"/>
      <c r="Q69" s="2"/>
      <c r="S69" s="3"/>
      <c r="T69" s="3"/>
      <c r="U69" s="3"/>
      <c r="V69" s="3"/>
      <c r="W69" s="3"/>
      <c r="X69" s="3"/>
      <c r="Y69" s="3"/>
      <c r="Z69" s="3"/>
    </row>
    <row r="70" ht="15.75" customHeight="1">
      <c r="A70" s="3"/>
      <c r="B70" s="2"/>
      <c r="C70" s="2"/>
      <c r="D70" s="2"/>
      <c r="E70" s="464"/>
      <c r="F70" s="2"/>
      <c r="G70" s="2"/>
      <c r="H70" s="2"/>
      <c r="I70" s="2"/>
      <c r="J70" s="2"/>
      <c r="K70" s="2"/>
      <c r="L70" s="2"/>
      <c r="M70" s="2"/>
      <c r="N70" s="2"/>
      <c r="O70" s="2"/>
      <c r="P70" s="2"/>
      <c r="Q70" s="2"/>
      <c r="S70" s="3"/>
      <c r="T70" s="3"/>
      <c r="U70" s="3"/>
      <c r="V70" s="3"/>
      <c r="W70" s="3"/>
      <c r="X70" s="3"/>
      <c r="Y70" s="3"/>
      <c r="Z70" s="3"/>
    </row>
    <row r="71" ht="15.75" customHeight="1">
      <c r="A71" s="3"/>
      <c r="B71" s="2"/>
      <c r="C71" s="2"/>
      <c r="D71" s="2"/>
      <c r="E71" s="464"/>
      <c r="F71" s="2"/>
      <c r="G71" s="2"/>
      <c r="H71" s="2"/>
      <c r="I71" s="2"/>
      <c r="J71" s="2"/>
      <c r="K71" s="2"/>
      <c r="L71" s="2"/>
      <c r="M71" s="2"/>
      <c r="N71" s="2"/>
      <c r="O71" s="2"/>
      <c r="P71" s="2"/>
      <c r="Q71" s="2"/>
      <c r="S71" s="3"/>
      <c r="T71" s="3"/>
      <c r="U71" s="3"/>
      <c r="V71" s="3"/>
      <c r="W71" s="3"/>
      <c r="X71" s="3"/>
      <c r="Y71" s="3"/>
      <c r="Z71" s="3"/>
    </row>
    <row r="72" ht="15.75" customHeight="1">
      <c r="A72" s="3"/>
      <c r="B72" s="2"/>
      <c r="C72" s="2"/>
      <c r="D72" s="2"/>
      <c r="E72" s="464"/>
      <c r="F72" s="2"/>
      <c r="G72" s="2"/>
      <c r="H72" s="2"/>
      <c r="I72" s="2"/>
      <c r="J72" s="2"/>
      <c r="K72" s="2"/>
      <c r="L72" s="2"/>
      <c r="M72" s="2"/>
      <c r="N72" s="2"/>
      <c r="O72" s="2"/>
      <c r="P72" s="2"/>
      <c r="Q72" s="2"/>
      <c r="S72" s="3"/>
      <c r="T72" s="3"/>
      <c r="U72" s="3"/>
      <c r="V72" s="3"/>
      <c r="W72" s="3"/>
      <c r="X72" s="3"/>
      <c r="Y72" s="3"/>
      <c r="Z72" s="3"/>
    </row>
    <row r="73" ht="15.75" customHeight="1">
      <c r="A73" s="3"/>
      <c r="B73" s="2"/>
      <c r="C73" s="2"/>
      <c r="D73" s="2"/>
      <c r="E73" s="464"/>
      <c r="F73" s="2"/>
      <c r="G73" s="2"/>
      <c r="H73" s="2"/>
      <c r="I73" s="2"/>
      <c r="J73" s="2"/>
      <c r="K73" s="2"/>
      <c r="L73" s="2"/>
      <c r="M73" s="2"/>
      <c r="N73" s="2"/>
      <c r="O73" s="2"/>
      <c r="P73" s="2"/>
      <c r="Q73" s="2"/>
      <c r="S73" s="3"/>
      <c r="T73" s="3"/>
      <c r="U73" s="3"/>
      <c r="V73" s="3"/>
      <c r="W73" s="3"/>
      <c r="X73" s="3"/>
      <c r="Y73" s="3"/>
      <c r="Z73" s="3"/>
    </row>
    <row r="74" ht="15.75" customHeight="1">
      <c r="A74" s="3"/>
      <c r="B74" s="2"/>
      <c r="C74" s="2"/>
      <c r="D74" s="2"/>
      <c r="E74" s="464"/>
      <c r="F74" s="2"/>
      <c r="G74" s="2"/>
      <c r="H74" s="2"/>
      <c r="I74" s="2"/>
      <c r="J74" s="2"/>
      <c r="K74" s="2"/>
      <c r="L74" s="2"/>
      <c r="M74" s="2"/>
      <c r="N74" s="2"/>
      <c r="O74" s="2"/>
      <c r="P74" s="2"/>
      <c r="Q74" s="2"/>
      <c r="S74" s="3"/>
      <c r="T74" s="3"/>
      <c r="U74" s="3"/>
      <c r="V74" s="3"/>
      <c r="W74" s="3"/>
      <c r="X74" s="3"/>
      <c r="Y74" s="3"/>
      <c r="Z74" s="3"/>
    </row>
    <row r="75" ht="15.75" customHeight="1">
      <c r="A75" s="3"/>
      <c r="B75" s="2"/>
      <c r="C75" s="2"/>
      <c r="D75" s="2"/>
      <c r="E75" s="464"/>
      <c r="F75" s="2"/>
      <c r="G75" s="2"/>
      <c r="H75" s="2"/>
      <c r="I75" s="2"/>
      <c r="J75" s="2"/>
      <c r="K75" s="2"/>
      <c r="L75" s="2"/>
      <c r="M75" s="2"/>
      <c r="N75" s="2"/>
      <c r="O75" s="2"/>
      <c r="P75" s="2"/>
      <c r="Q75" s="2"/>
      <c r="S75" s="3"/>
      <c r="T75" s="3"/>
      <c r="U75" s="3"/>
      <c r="V75" s="3"/>
      <c r="W75" s="3"/>
      <c r="X75" s="3"/>
      <c r="Y75" s="3"/>
      <c r="Z75" s="3"/>
    </row>
    <row r="76" ht="15.75" customHeight="1">
      <c r="A76" s="3"/>
      <c r="B76" s="2"/>
      <c r="C76" s="2"/>
      <c r="D76" s="2"/>
      <c r="E76" s="464"/>
      <c r="F76" s="2"/>
      <c r="G76" s="2"/>
      <c r="H76" s="2"/>
      <c r="I76" s="2"/>
      <c r="J76" s="2"/>
      <c r="K76" s="2"/>
      <c r="L76" s="2"/>
      <c r="M76" s="2"/>
      <c r="N76" s="2"/>
      <c r="O76" s="2"/>
      <c r="P76" s="2"/>
      <c r="Q76" s="2"/>
      <c r="S76" s="3"/>
      <c r="T76" s="3"/>
      <c r="U76" s="3"/>
      <c r="V76" s="3"/>
      <c r="W76" s="3"/>
      <c r="X76" s="3"/>
      <c r="Y76" s="3"/>
      <c r="Z76" s="3"/>
    </row>
    <row r="77" ht="15.75" customHeight="1">
      <c r="A77" s="3"/>
      <c r="B77" s="2"/>
      <c r="C77" s="2"/>
      <c r="D77" s="2"/>
      <c r="E77" s="464"/>
      <c r="F77" s="2"/>
      <c r="G77" s="2"/>
      <c r="H77" s="2"/>
      <c r="I77" s="2"/>
      <c r="J77" s="2"/>
      <c r="K77" s="2"/>
      <c r="L77" s="2"/>
      <c r="M77" s="2"/>
      <c r="N77" s="2"/>
      <c r="O77" s="2"/>
      <c r="P77" s="2"/>
      <c r="Q77" s="2"/>
      <c r="S77" s="3"/>
      <c r="T77" s="3"/>
      <c r="U77" s="3"/>
      <c r="V77" s="3"/>
      <c r="W77" s="3"/>
      <c r="X77" s="3"/>
      <c r="Y77" s="3"/>
      <c r="Z77" s="3"/>
    </row>
    <row r="78" ht="15.75" customHeight="1">
      <c r="A78" s="3"/>
      <c r="B78" s="2"/>
      <c r="C78" s="2"/>
      <c r="D78" s="2"/>
      <c r="E78" s="464"/>
      <c r="F78" s="2"/>
      <c r="G78" s="2"/>
      <c r="H78" s="2"/>
      <c r="I78" s="2"/>
      <c r="J78" s="2"/>
      <c r="K78" s="2"/>
      <c r="L78" s="2"/>
      <c r="M78" s="2"/>
      <c r="N78" s="2"/>
      <c r="O78" s="2"/>
      <c r="P78" s="2"/>
      <c r="Q78" s="2"/>
      <c r="S78" s="3"/>
      <c r="T78" s="3"/>
      <c r="U78" s="3"/>
      <c r="V78" s="3"/>
      <c r="W78" s="3"/>
      <c r="X78" s="3"/>
      <c r="Y78" s="3"/>
      <c r="Z78" s="3"/>
    </row>
    <row r="79" ht="15.75" customHeight="1">
      <c r="A79" s="3"/>
      <c r="B79" s="2"/>
      <c r="C79" s="2"/>
      <c r="D79" s="2"/>
      <c r="E79" s="464"/>
      <c r="F79" s="2"/>
      <c r="G79" s="2"/>
      <c r="H79" s="2"/>
      <c r="I79" s="2"/>
      <c r="J79" s="2"/>
      <c r="K79" s="2"/>
      <c r="L79" s="2"/>
      <c r="M79" s="2"/>
      <c r="N79" s="2"/>
      <c r="O79" s="2"/>
      <c r="P79" s="2"/>
      <c r="Q79" s="2"/>
      <c r="S79" s="3"/>
      <c r="T79" s="3"/>
      <c r="U79" s="3"/>
      <c r="V79" s="3"/>
      <c r="W79" s="3"/>
      <c r="X79" s="3"/>
      <c r="Y79" s="3"/>
      <c r="Z79" s="3"/>
    </row>
    <row r="80" ht="15.75" customHeight="1">
      <c r="A80" s="3"/>
      <c r="B80" s="2"/>
      <c r="C80" s="2"/>
      <c r="D80" s="2"/>
      <c r="E80" s="464"/>
      <c r="F80" s="2"/>
      <c r="G80" s="2"/>
      <c r="H80" s="2"/>
      <c r="I80" s="2"/>
      <c r="J80" s="2"/>
      <c r="K80" s="2"/>
      <c r="L80" s="2"/>
      <c r="M80" s="2"/>
      <c r="N80" s="2"/>
      <c r="O80" s="2"/>
      <c r="P80" s="2"/>
      <c r="Q80" s="2"/>
      <c r="S80" s="3"/>
      <c r="T80" s="3"/>
      <c r="U80" s="3"/>
      <c r="V80" s="3"/>
      <c r="W80" s="3"/>
      <c r="X80" s="3"/>
      <c r="Y80" s="3"/>
      <c r="Z80" s="3"/>
    </row>
    <row r="81" ht="15.75" customHeight="1">
      <c r="A81" s="3"/>
      <c r="B81" s="2"/>
      <c r="C81" s="2"/>
      <c r="D81" s="2"/>
      <c r="E81" s="464"/>
      <c r="F81" s="2"/>
      <c r="G81" s="2"/>
      <c r="H81" s="2"/>
      <c r="I81" s="2"/>
      <c r="J81" s="2"/>
      <c r="K81" s="2"/>
      <c r="L81" s="2"/>
      <c r="M81" s="2"/>
      <c r="N81" s="2"/>
      <c r="O81" s="2"/>
      <c r="P81" s="2"/>
      <c r="Q81" s="2"/>
      <c r="S81" s="3"/>
      <c r="T81" s="3"/>
      <c r="U81" s="3"/>
      <c r="V81" s="3"/>
      <c r="W81" s="3"/>
      <c r="X81" s="3"/>
      <c r="Y81" s="3"/>
      <c r="Z81" s="3"/>
    </row>
    <row r="82" ht="15.75" customHeight="1">
      <c r="A82" s="3"/>
      <c r="B82" s="2"/>
      <c r="C82" s="2"/>
      <c r="D82" s="2"/>
      <c r="E82" s="464"/>
      <c r="F82" s="2"/>
      <c r="G82" s="2"/>
      <c r="H82" s="2"/>
      <c r="I82" s="2"/>
      <c r="J82" s="2"/>
      <c r="K82" s="2"/>
      <c r="L82" s="2"/>
      <c r="M82" s="2"/>
      <c r="N82" s="2"/>
      <c r="O82" s="2"/>
      <c r="P82" s="2"/>
      <c r="Q82" s="2"/>
      <c r="S82" s="3"/>
      <c r="T82" s="3"/>
      <c r="U82" s="3"/>
      <c r="V82" s="3"/>
      <c r="W82" s="3"/>
      <c r="X82" s="3"/>
      <c r="Y82" s="3"/>
      <c r="Z82" s="3"/>
    </row>
    <row r="83" ht="15.75" customHeight="1">
      <c r="A83" s="3"/>
      <c r="B83" s="2"/>
      <c r="C83" s="2"/>
      <c r="D83" s="2"/>
      <c r="E83" s="464"/>
      <c r="F83" s="2"/>
      <c r="G83" s="2"/>
      <c r="H83" s="2"/>
      <c r="I83" s="2"/>
      <c r="J83" s="2"/>
      <c r="K83" s="2"/>
      <c r="L83" s="2"/>
      <c r="M83" s="2"/>
      <c r="N83" s="2"/>
      <c r="O83" s="2"/>
      <c r="P83" s="2"/>
      <c r="Q83" s="2"/>
      <c r="S83" s="3"/>
      <c r="T83" s="3"/>
      <c r="U83" s="3"/>
      <c r="V83" s="3"/>
      <c r="W83" s="3"/>
      <c r="X83" s="3"/>
      <c r="Y83" s="3"/>
      <c r="Z83" s="3"/>
    </row>
    <row r="84" ht="15.75" customHeight="1">
      <c r="A84" s="3"/>
      <c r="B84" s="2"/>
      <c r="C84" s="2"/>
      <c r="D84" s="2"/>
      <c r="E84" s="464"/>
      <c r="F84" s="2"/>
      <c r="G84" s="2"/>
      <c r="H84" s="2"/>
      <c r="I84" s="2"/>
      <c r="J84" s="2"/>
      <c r="K84" s="2"/>
      <c r="L84" s="2"/>
      <c r="M84" s="2"/>
      <c r="N84" s="2"/>
      <c r="O84" s="2"/>
      <c r="P84" s="2"/>
      <c r="Q84" s="2"/>
      <c r="S84" s="3"/>
      <c r="T84" s="3"/>
      <c r="U84" s="3"/>
      <c r="V84" s="3"/>
      <c r="W84" s="3"/>
      <c r="X84" s="3"/>
      <c r="Y84" s="3"/>
      <c r="Z84" s="3"/>
    </row>
    <row r="85" ht="15.75" customHeight="1">
      <c r="A85" s="3"/>
      <c r="B85" s="2"/>
      <c r="C85" s="2"/>
      <c r="D85" s="2"/>
      <c r="E85" s="464"/>
      <c r="F85" s="2"/>
      <c r="G85" s="2"/>
      <c r="H85" s="2"/>
      <c r="I85" s="2"/>
      <c r="J85" s="2"/>
      <c r="K85" s="2"/>
      <c r="L85" s="2"/>
      <c r="M85" s="2"/>
      <c r="N85" s="2"/>
      <c r="O85" s="2"/>
      <c r="P85" s="2"/>
      <c r="Q85" s="2"/>
      <c r="S85" s="3"/>
      <c r="T85" s="3"/>
      <c r="U85" s="3"/>
      <c r="V85" s="3"/>
      <c r="W85" s="3"/>
      <c r="X85" s="3"/>
      <c r="Y85" s="3"/>
      <c r="Z85" s="3"/>
    </row>
    <row r="86" ht="15.75" customHeight="1">
      <c r="A86" s="3"/>
      <c r="B86" s="2"/>
      <c r="C86" s="2"/>
      <c r="D86" s="2"/>
      <c r="E86" s="464"/>
      <c r="F86" s="2"/>
      <c r="G86" s="2"/>
      <c r="H86" s="2"/>
      <c r="I86" s="2"/>
      <c r="J86" s="2"/>
      <c r="K86" s="2"/>
      <c r="L86" s="2"/>
      <c r="M86" s="2"/>
      <c r="N86" s="2"/>
      <c r="O86" s="2"/>
      <c r="P86" s="2"/>
      <c r="Q86" s="2"/>
      <c r="S86" s="3"/>
      <c r="T86" s="3"/>
      <c r="U86" s="3"/>
      <c r="V86" s="3"/>
      <c r="W86" s="3"/>
      <c r="X86" s="3"/>
      <c r="Y86" s="3"/>
      <c r="Z86" s="3"/>
    </row>
    <row r="87" ht="15.75" customHeight="1">
      <c r="A87" s="3"/>
      <c r="B87" s="2"/>
      <c r="C87" s="2"/>
      <c r="D87" s="2"/>
      <c r="E87" s="464"/>
      <c r="F87" s="2"/>
      <c r="G87" s="2"/>
      <c r="H87" s="2"/>
      <c r="I87" s="2"/>
      <c r="J87" s="2"/>
      <c r="K87" s="2"/>
      <c r="L87" s="2"/>
      <c r="M87" s="2"/>
      <c r="N87" s="2"/>
      <c r="O87" s="2"/>
      <c r="P87" s="2"/>
      <c r="Q87" s="2"/>
      <c r="S87" s="3"/>
      <c r="T87" s="3"/>
      <c r="U87" s="3"/>
      <c r="V87" s="3"/>
      <c r="W87" s="3"/>
      <c r="X87" s="3"/>
      <c r="Y87" s="3"/>
      <c r="Z87" s="3"/>
    </row>
    <row r="88" ht="15.75" customHeight="1">
      <c r="A88" s="3"/>
      <c r="B88" s="2"/>
      <c r="C88" s="2"/>
      <c r="D88" s="2"/>
      <c r="E88" s="464"/>
      <c r="F88" s="2"/>
      <c r="G88" s="2"/>
      <c r="H88" s="2"/>
      <c r="I88" s="2"/>
      <c r="J88" s="2"/>
      <c r="K88" s="2"/>
      <c r="L88" s="2"/>
      <c r="M88" s="2"/>
      <c r="N88" s="2"/>
      <c r="O88" s="2"/>
      <c r="P88" s="2"/>
      <c r="Q88" s="2"/>
      <c r="S88" s="3"/>
      <c r="T88" s="3"/>
      <c r="U88" s="3"/>
      <c r="V88" s="3"/>
      <c r="W88" s="3"/>
      <c r="X88" s="3"/>
      <c r="Y88" s="3"/>
      <c r="Z88" s="3"/>
    </row>
    <row r="89" ht="15.75" customHeight="1">
      <c r="A89" s="3"/>
      <c r="B89" s="2"/>
      <c r="C89" s="2"/>
      <c r="D89" s="2"/>
      <c r="E89" s="464"/>
      <c r="F89" s="2"/>
      <c r="G89" s="2"/>
      <c r="H89" s="2"/>
      <c r="I89" s="2"/>
      <c r="J89" s="2"/>
      <c r="K89" s="2"/>
      <c r="L89" s="2"/>
      <c r="M89" s="2"/>
      <c r="N89" s="2"/>
      <c r="O89" s="2"/>
      <c r="P89" s="2"/>
      <c r="Q89" s="2"/>
      <c r="S89" s="3"/>
      <c r="T89" s="3"/>
      <c r="U89" s="3"/>
      <c r="V89" s="3"/>
      <c r="W89" s="3"/>
      <c r="X89" s="3"/>
      <c r="Y89" s="3"/>
      <c r="Z89" s="3"/>
    </row>
    <row r="90" ht="15.75" customHeight="1">
      <c r="A90" s="3"/>
      <c r="B90" s="2"/>
      <c r="C90" s="2"/>
      <c r="D90" s="2"/>
      <c r="E90" s="464"/>
      <c r="F90" s="2"/>
      <c r="G90" s="2"/>
      <c r="H90" s="2"/>
      <c r="I90" s="2"/>
      <c r="J90" s="2"/>
      <c r="K90" s="2"/>
      <c r="L90" s="2"/>
      <c r="M90" s="2"/>
      <c r="N90" s="2"/>
      <c r="O90" s="2"/>
      <c r="P90" s="2"/>
      <c r="Q90" s="2"/>
      <c r="S90" s="3"/>
      <c r="T90" s="3"/>
      <c r="U90" s="3"/>
      <c r="V90" s="3"/>
      <c r="W90" s="3"/>
      <c r="X90" s="3"/>
      <c r="Y90" s="3"/>
      <c r="Z90" s="3"/>
    </row>
    <row r="91" ht="15.75" customHeight="1">
      <c r="A91" s="3"/>
      <c r="B91" s="2"/>
      <c r="C91" s="2"/>
      <c r="D91" s="2"/>
      <c r="E91" s="464"/>
      <c r="F91" s="2"/>
      <c r="G91" s="2"/>
      <c r="H91" s="2"/>
      <c r="I91" s="2"/>
      <c r="J91" s="2"/>
      <c r="K91" s="2"/>
      <c r="L91" s="2"/>
      <c r="M91" s="2"/>
      <c r="N91" s="2"/>
      <c r="O91" s="2"/>
      <c r="P91" s="2"/>
      <c r="Q91" s="2"/>
      <c r="S91" s="3"/>
      <c r="T91" s="3"/>
      <c r="U91" s="3"/>
      <c r="V91" s="3"/>
      <c r="W91" s="3"/>
      <c r="X91" s="3"/>
      <c r="Y91" s="3"/>
      <c r="Z91" s="3"/>
    </row>
    <row r="92" ht="15.75" customHeight="1">
      <c r="A92" s="3"/>
      <c r="B92" s="2"/>
      <c r="C92" s="2"/>
      <c r="D92" s="2"/>
      <c r="E92" s="464"/>
      <c r="F92" s="2"/>
      <c r="G92" s="2"/>
      <c r="H92" s="2"/>
      <c r="I92" s="2"/>
      <c r="J92" s="2"/>
      <c r="K92" s="2"/>
      <c r="L92" s="2"/>
      <c r="M92" s="2"/>
      <c r="N92" s="2"/>
      <c r="O92" s="2"/>
      <c r="P92" s="2"/>
      <c r="Q92" s="2"/>
      <c r="S92" s="3"/>
      <c r="T92" s="3"/>
      <c r="U92" s="3"/>
      <c r="V92" s="3"/>
      <c r="W92" s="3"/>
      <c r="X92" s="3"/>
      <c r="Y92" s="3"/>
      <c r="Z92" s="3"/>
    </row>
    <row r="93" ht="15.75" customHeight="1">
      <c r="A93" s="3"/>
      <c r="B93" s="2"/>
      <c r="C93" s="2"/>
      <c r="D93" s="2"/>
      <c r="E93" s="464"/>
      <c r="F93" s="2"/>
      <c r="G93" s="2"/>
      <c r="H93" s="2"/>
      <c r="I93" s="2"/>
      <c r="J93" s="2"/>
      <c r="K93" s="2"/>
      <c r="L93" s="2"/>
      <c r="M93" s="2"/>
      <c r="N93" s="2"/>
      <c r="O93" s="2"/>
      <c r="P93" s="2"/>
      <c r="Q93" s="2"/>
      <c r="S93" s="3"/>
      <c r="T93" s="3"/>
      <c r="U93" s="3"/>
      <c r="V93" s="3"/>
      <c r="W93" s="3"/>
      <c r="X93" s="3"/>
      <c r="Y93" s="3"/>
      <c r="Z93" s="3"/>
    </row>
    <row r="94" ht="15.75" customHeight="1">
      <c r="A94" s="3"/>
      <c r="B94" s="2"/>
      <c r="C94" s="2"/>
      <c r="D94" s="2"/>
      <c r="E94" s="464"/>
      <c r="F94" s="2"/>
      <c r="G94" s="2"/>
      <c r="H94" s="2"/>
      <c r="I94" s="2"/>
      <c r="J94" s="2"/>
      <c r="K94" s="2"/>
      <c r="L94" s="2"/>
      <c r="M94" s="2"/>
      <c r="N94" s="2"/>
      <c r="O94" s="2"/>
      <c r="P94" s="2"/>
      <c r="Q94" s="2"/>
      <c r="S94" s="3"/>
      <c r="T94" s="3"/>
      <c r="U94" s="3"/>
      <c r="V94" s="3"/>
      <c r="W94" s="3"/>
      <c r="X94" s="3"/>
      <c r="Y94" s="3"/>
      <c r="Z94" s="3"/>
    </row>
    <row r="95" ht="15.75" customHeight="1">
      <c r="A95" s="3"/>
      <c r="B95" s="2"/>
      <c r="C95" s="2"/>
      <c r="D95" s="2"/>
      <c r="E95" s="464"/>
      <c r="F95" s="2"/>
      <c r="G95" s="2"/>
      <c r="H95" s="2"/>
      <c r="I95" s="2"/>
      <c r="J95" s="2"/>
      <c r="K95" s="2"/>
      <c r="L95" s="2"/>
      <c r="M95" s="2"/>
      <c r="N95" s="2"/>
      <c r="O95" s="2"/>
      <c r="P95" s="2"/>
      <c r="Q95" s="2"/>
      <c r="S95" s="3"/>
      <c r="T95" s="3"/>
      <c r="U95" s="3"/>
      <c r="V95" s="3"/>
      <c r="W95" s="3"/>
      <c r="X95" s="3"/>
      <c r="Y95" s="3"/>
      <c r="Z95" s="3"/>
    </row>
    <row r="96" ht="15.75" customHeight="1">
      <c r="A96" s="3"/>
      <c r="B96" s="2"/>
      <c r="C96" s="2"/>
      <c r="D96" s="2"/>
      <c r="E96" s="464"/>
      <c r="F96" s="2"/>
      <c r="G96" s="2"/>
      <c r="H96" s="2"/>
      <c r="I96" s="2"/>
      <c r="J96" s="2"/>
      <c r="K96" s="2"/>
      <c r="L96" s="2"/>
      <c r="M96" s="2"/>
      <c r="N96" s="2"/>
      <c r="O96" s="2"/>
      <c r="P96" s="2"/>
      <c r="Q96" s="2"/>
      <c r="S96" s="3"/>
      <c r="T96" s="3"/>
      <c r="U96" s="3"/>
      <c r="V96" s="3"/>
      <c r="W96" s="3"/>
      <c r="X96" s="3"/>
      <c r="Y96" s="3"/>
      <c r="Z96" s="3"/>
    </row>
    <row r="97" ht="15.75" customHeight="1">
      <c r="A97" s="3"/>
      <c r="B97" s="2"/>
      <c r="C97" s="2"/>
      <c r="D97" s="2"/>
      <c r="E97" s="464"/>
      <c r="F97" s="2"/>
      <c r="G97" s="2"/>
      <c r="H97" s="2"/>
      <c r="I97" s="2"/>
      <c r="J97" s="2"/>
      <c r="K97" s="2"/>
      <c r="L97" s="2"/>
      <c r="M97" s="2"/>
      <c r="N97" s="2"/>
      <c r="O97" s="2"/>
      <c r="P97" s="2"/>
      <c r="Q97" s="2"/>
      <c r="S97" s="3"/>
      <c r="T97" s="3"/>
      <c r="U97" s="3"/>
      <c r="V97" s="3"/>
      <c r="W97" s="3"/>
      <c r="X97" s="3"/>
      <c r="Y97" s="3"/>
      <c r="Z97" s="3"/>
    </row>
    <row r="98" ht="15.75" customHeight="1">
      <c r="A98" s="3"/>
      <c r="B98" s="2"/>
      <c r="C98" s="2"/>
      <c r="D98" s="2"/>
      <c r="E98" s="464"/>
      <c r="F98" s="2"/>
      <c r="G98" s="2"/>
      <c r="H98" s="2"/>
      <c r="I98" s="2"/>
      <c r="J98" s="2"/>
      <c r="K98" s="2"/>
      <c r="L98" s="2"/>
      <c r="M98" s="2"/>
      <c r="N98" s="2"/>
      <c r="O98" s="2"/>
      <c r="P98" s="2"/>
      <c r="Q98" s="2"/>
      <c r="S98" s="3"/>
      <c r="T98" s="3"/>
      <c r="U98" s="3"/>
      <c r="V98" s="3"/>
      <c r="W98" s="3"/>
      <c r="X98" s="3"/>
      <c r="Y98" s="3"/>
      <c r="Z98" s="3"/>
    </row>
    <row r="99" ht="15.75" customHeight="1">
      <c r="A99" s="3"/>
      <c r="B99" s="2"/>
      <c r="C99" s="2"/>
      <c r="D99" s="2"/>
      <c r="E99" s="464"/>
      <c r="F99" s="2"/>
      <c r="G99" s="2"/>
      <c r="H99" s="2"/>
      <c r="I99" s="2"/>
      <c r="J99" s="2"/>
      <c r="K99" s="2"/>
      <c r="L99" s="2"/>
      <c r="M99" s="2"/>
      <c r="N99" s="2"/>
      <c r="O99" s="2"/>
      <c r="P99" s="2"/>
      <c r="Q99" s="2"/>
      <c r="S99" s="3"/>
      <c r="T99" s="3"/>
      <c r="U99" s="3"/>
      <c r="V99" s="3"/>
      <c r="W99" s="3"/>
      <c r="X99" s="3"/>
      <c r="Y99" s="3"/>
      <c r="Z99" s="3"/>
    </row>
    <row r="100" ht="15.75" customHeight="1">
      <c r="A100" s="3"/>
      <c r="B100" s="2"/>
      <c r="C100" s="2"/>
      <c r="D100" s="2"/>
      <c r="E100" s="464"/>
      <c r="F100" s="2"/>
      <c r="G100" s="2"/>
      <c r="H100" s="2"/>
      <c r="I100" s="2"/>
      <c r="J100" s="2"/>
      <c r="K100" s="2"/>
      <c r="L100" s="2"/>
      <c r="M100" s="2"/>
      <c r="N100" s="2"/>
      <c r="O100" s="2"/>
      <c r="P100" s="2"/>
      <c r="Q100" s="2"/>
      <c r="S100" s="3"/>
      <c r="T100" s="3"/>
      <c r="U100" s="3"/>
      <c r="V100" s="3"/>
      <c r="W100" s="3"/>
      <c r="X100" s="3"/>
      <c r="Y100" s="3"/>
      <c r="Z100" s="3"/>
    </row>
    <row r="101" ht="15.75" customHeight="1">
      <c r="A101" s="3"/>
      <c r="B101" s="2"/>
      <c r="C101" s="2"/>
      <c r="D101" s="2"/>
      <c r="E101" s="464"/>
      <c r="F101" s="2"/>
      <c r="G101" s="2"/>
      <c r="H101" s="2"/>
      <c r="I101" s="2"/>
      <c r="J101" s="2"/>
      <c r="K101" s="2"/>
      <c r="L101" s="2"/>
      <c r="M101" s="2"/>
      <c r="N101" s="2"/>
      <c r="O101" s="2"/>
      <c r="P101" s="2"/>
      <c r="Q101" s="2"/>
      <c r="S101" s="3"/>
      <c r="T101" s="3"/>
      <c r="U101" s="3"/>
      <c r="V101" s="3"/>
      <c r="W101" s="3"/>
      <c r="X101" s="3"/>
      <c r="Y101" s="3"/>
      <c r="Z101" s="3"/>
    </row>
    <row r="102" ht="15.75" customHeight="1">
      <c r="A102" s="3"/>
      <c r="B102" s="2"/>
      <c r="C102" s="2"/>
      <c r="D102" s="2"/>
      <c r="E102" s="464"/>
      <c r="F102" s="2"/>
      <c r="G102" s="2"/>
      <c r="H102" s="2"/>
      <c r="I102" s="2"/>
      <c r="J102" s="2"/>
      <c r="K102" s="2"/>
      <c r="L102" s="2"/>
      <c r="M102" s="2"/>
      <c r="N102" s="2"/>
      <c r="O102" s="2"/>
      <c r="P102" s="2"/>
      <c r="Q102" s="2"/>
      <c r="S102" s="3"/>
      <c r="T102" s="3"/>
      <c r="U102" s="3"/>
      <c r="V102" s="3"/>
      <c r="W102" s="3"/>
      <c r="X102" s="3"/>
      <c r="Y102" s="3"/>
      <c r="Z102" s="3"/>
    </row>
    <row r="103" ht="15.75" customHeight="1">
      <c r="A103" s="3"/>
      <c r="B103" s="2"/>
      <c r="C103" s="2"/>
      <c r="D103" s="2"/>
      <c r="E103" s="464"/>
      <c r="F103" s="2"/>
      <c r="G103" s="2"/>
      <c r="H103" s="2"/>
      <c r="I103" s="2"/>
      <c r="J103" s="2"/>
      <c r="K103" s="2"/>
      <c r="L103" s="2"/>
      <c r="M103" s="2"/>
      <c r="N103" s="2"/>
      <c r="O103" s="2"/>
      <c r="P103" s="2"/>
      <c r="Q103" s="2"/>
      <c r="S103" s="3"/>
      <c r="T103" s="3"/>
      <c r="U103" s="3"/>
      <c r="V103" s="3"/>
      <c r="W103" s="3"/>
      <c r="X103" s="3"/>
      <c r="Y103" s="3"/>
      <c r="Z103" s="3"/>
    </row>
    <row r="104" ht="15.75" customHeight="1">
      <c r="A104" s="3"/>
      <c r="B104" s="2"/>
      <c r="C104" s="2"/>
      <c r="D104" s="2"/>
      <c r="E104" s="464"/>
      <c r="F104" s="2"/>
      <c r="G104" s="2"/>
      <c r="H104" s="2"/>
      <c r="I104" s="2"/>
      <c r="J104" s="2"/>
      <c r="K104" s="2"/>
      <c r="L104" s="2"/>
      <c r="M104" s="2"/>
      <c r="N104" s="2"/>
      <c r="O104" s="2"/>
      <c r="P104" s="2"/>
      <c r="Q104" s="2"/>
      <c r="S104" s="3"/>
      <c r="T104" s="3"/>
      <c r="U104" s="3"/>
      <c r="V104" s="3"/>
      <c r="W104" s="3"/>
      <c r="X104" s="3"/>
      <c r="Y104" s="3"/>
      <c r="Z104" s="3"/>
    </row>
    <row r="105" ht="15.75" customHeight="1">
      <c r="A105" s="3"/>
      <c r="B105" s="2"/>
      <c r="C105" s="2"/>
      <c r="D105" s="2"/>
      <c r="E105" s="464"/>
      <c r="F105" s="2"/>
      <c r="G105" s="2"/>
      <c r="H105" s="2"/>
      <c r="I105" s="2"/>
      <c r="J105" s="2"/>
      <c r="K105" s="2"/>
      <c r="L105" s="2"/>
      <c r="M105" s="2"/>
      <c r="N105" s="2"/>
      <c r="O105" s="2"/>
      <c r="P105" s="2"/>
      <c r="Q105" s="2"/>
      <c r="S105" s="3"/>
      <c r="T105" s="3"/>
      <c r="U105" s="3"/>
      <c r="V105" s="3"/>
      <c r="W105" s="3"/>
      <c r="X105" s="3"/>
      <c r="Y105" s="3"/>
      <c r="Z105" s="3"/>
    </row>
    <row r="106" ht="15.75" customHeight="1">
      <c r="A106" s="3"/>
      <c r="B106" s="2"/>
      <c r="C106" s="2"/>
      <c r="D106" s="2"/>
      <c r="E106" s="464"/>
      <c r="F106" s="2"/>
      <c r="G106" s="2"/>
      <c r="H106" s="2"/>
      <c r="I106" s="2"/>
      <c r="J106" s="2"/>
      <c r="K106" s="2"/>
      <c r="L106" s="2"/>
      <c r="M106" s="2"/>
      <c r="N106" s="2"/>
      <c r="O106" s="2"/>
      <c r="P106" s="2"/>
      <c r="Q106" s="2"/>
      <c r="S106" s="3"/>
      <c r="T106" s="3"/>
      <c r="U106" s="3"/>
      <c r="V106" s="3"/>
      <c r="W106" s="3"/>
      <c r="X106" s="3"/>
      <c r="Y106" s="3"/>
      <c r="Z106" s="3"/>
    </row>
    <row r="107" ht="15.75" customHeight="1">
      <c r="A107" s="3"/>
      <c r="B107" s="2"/>
      <c r="C107" s="2"/>
      <c r="D107" s="2"/>
      <c r="E107" s="464"/>
      <c r="F107" s="2"/>
      <c r="G107" s="2"/>
      <c r="H107" s="2"/>
      <c r="I107" s="2"/>
      <c r="J107" s="2"/>
      <c r="K107" s="2"/>
      <c r="L107" s="2"/>
      <c r="M107" s="2"/>
      <c r="N107" s="2"/>
      <c r="O107" s="2"/>
      <c r="P107" s="2"/>
      <c r="Q107" s="2"/>
      <c r="S107" s="3"/>
      <c r="T107" s="3"/>
      <c r="U107" s="3"/>
      <c r="V107" s="3"/>
      <c r="W107" s="3"/>
      <c r="X107" s="3"/>
      <c r="Y107" s="3"/>
      <c r="Z107" s="3"/>
    </row>
    <row r="108" ht="15.75" customHeight="1">
      <c r="A108" s="3"/>
      <c r="B108" s="2"/>
      <c r="C108" s="2"/>
      <c r="D108" s="2"/>
      <c r="E108" s="464"/>
      <c r="F108" s="2"/>
      <c r="G108" s="2"/>
      <c r="H108" s="2"/>
      <c r="I108" s="2"/>
      <c r="J108" s="2"/>
      <c r="K108" s="2"/>
      <c r="L108" s="2"/>
      <c r="M108" s="2"/>
      <c r="N108" s="2"/>
      <c r="O108" s="2"/>
      <c r="P108" s="2"/>
      <c r="Q108" s="2"/>
      <c r="S108" s="3"/>
      <c r="T108" s="3"/>
      <c r="U108" s="3"/>
      <c r="V108" s="3"/>
      <c r="W108" s="3"/>
      <c r="X108" s="3"/>
      <c r="Y108" s="3"/>
      <c r="Z108" s="3"/>
    </row>
    <row r="109" ht="15.75" customHeight="1">
      <c r="A109" s="3"/>
      <c r="B109" s="2"/>
      <c r="C109" s="2"/>
      <c r="D109" s="2"/>
      <c r="E109" s="464"/>
      <c r="F109" s="2"/>
      <c r="G109" s="2"/>
      <c r="H109" s="2"/>
      <c r="I109" s="2"/>
      <c r="J109" s="2"/>
      <c r="K109" s="2"/>
      <c r="L109" s="2"/>
      <c r="M109" s="2"/>
      <c r="N109" s="2"/>
      <c r="O109" s="2"/>
      <c r="P109" s="2"/>
      <c r="Q109" s="2"/>
      <c r="S109" s="3"/>
      <c r="T109" s="3"/>
      <c r="U109" s="3"/>
      <c r="V109" s="3"/>
      <c r="W109" s="3"/>
      <c r="X109" s="3"/>
      <c r="Y109" s="3"/>
      <c r="Z109" s="3"/>
    </row>
    <row r="110" ht="15.75" customHeight="1">
      <c r="A110" s="3"/>
      <c r="B110" s="2"/>
      <c r="C110" s="2"/>
      <c r="D110" s="2"/>
      <c r="E110" s="464"/>
      <c r="F110" s="2"/>
      <c r="G110" s="2"/>
      <c r="H110" s="2"/>
      <c r="I110" s="2"/>
      <c r="J110" s="2"/>
      <c r="K110" s="2"/>
      <c r="L110" s="2"/>
      <c r="M110" s="2"/>
      <c r="N110" s="2"/>
      <c r="O110" s="2"/>
      <c r="P110" s="2"/>
      <c r="Q110" s="2"/>
      <c r="S110" s="3"/>
      <c r="T110" s="3"/>
      <c r="U110" s="3"/>
      <c r="V110" s="3"/>
      <c r="W110" s="3"/>
      <c r="X110" s="3"/>
      <c r="Y110" s="3"/>
      <c r="Z110" s="3"/>
    </row>
    <row r="111" ht="15.75" customHeight="1">
      <c r="A111" s="3"/>
      <c r="B111" s="2"/>
      <c r="C111" s="2"/>
      <c r="D111" s="2"/>
      <c r="E111" s="464"/>
      <c r="F111" s="2"/>
      <c r="G111" s="2"/>
      <c r="H111" s="2"/>
      <c r="I111" s="2"/>
      <c r="J111" s="2"/>
      <c r="K111" s="2"/>
      <c r="L111" s="2"/>
      <c r="M111" s="2"/>
      <c r="N111" s="2"/>
      <c r="O111" s="2"/>
      <c r="P111" s="2"/>
      <c r="Q111" s="2"/>
      <c r="S111" s="3"/>
      <c r="T111" s="3"/>
      <c r="U111" s="3"/>
      <c r="V111" s="3"/>
      <c r="W111" s="3"/>
      <c r="X111" s="3"/>
      <c r="Y111" s="3"/>
      <c r="Z111" s="3"/>
    </row>
    <row r="112" ht="15.75" customHeight="1">
      <c r="A112" s="3"/>
      <c r="B112" s="2"/>
      <c r="C112" s="2"/>
      <c r="D112" s="2"/>
      <c r="E112" s="464"/>
      <c r="F112" s="2"/>
      <c r="G112" s="2"/>
      <c r="H112" s="2"/>
      <c r="I112" s="2"/>
      <c r="J112" s="2"/>
      <c r="K112" s="2"/>
      <c r="L112" s="2"/>
      <c r="M112" s="2"/>
      <c r="N112" s="2"/>
      <c r="O112" s="2"/>
      <c r="P112" s="2"/>
      <c r="Q112" s="2"/>
      <c r="S112" s="3"/>
      <c r="T112" s="3"/>
      <c r="U112" s="3"/>
      <c r="V112" s="3"/>
      <c r="W112" s="3"/>
      <c r="X112" s="3"/>
      <c r="Y112" s="3"/>
      <c r="Z112" s="3"/>
    </row>
    <row r="113" ht="15.75" customHeight="1">
      <c r="A113" s="3"/>
      <c r="B113" s="2"/>
      <c r="C113" s="2"/>
      <c r="D113" s="2"/>
      <c r="E113" s="464"/>
      <c r="F113" s="2"/>
      <c r="G113" s="2"/>
      <c r="H113" s="2"/>
      <c r="I113" s="2"/>
      <c r="J113" s="2"/>
      <c r="K113" s="2"/>
      <c r="L113" s="2"/>
      <c r="M113" s="2"/>
      <c r="N113" s="2"/>
      <c r="O113" s="2"/>
      <c r="P113" s="2"/>
      <c r="Q113" s="2"/>
      <c r="S113" s="3"/>
      <c r="T113" s="3"/>
      <c r="U113" s="3"/>
      <c r="V113" s="3"/>
      <c r="W113" s="3"/>
      <c r="X113" s="3"/>
      <c r="Y113" s="3"/>
      <c r="Z113" s="3"/>
    </row>
    <row r="114" ht="15.75" customHeight="1">
      <c r="A114" s="3"/>
      <c r="B114" s="2"/>
      <c r="C114" s="2"/>
      <c r="D114" s="2"/>
      <c r="E114" s="464"/>
      <c r="F114" s="2"/>
      <c r="G114" s="2"/>
      <c r="H114" s="2"/>
      <c r="I114" s="2"/>
      <c r="J114" s="2"/>
      <c r="K114" s="2"/>
      <c r="L114" s="2"/>
      <c r="M114" s="2"/>
      <c r="N114" s="2"/>
      <c r="O114" s="2"/>
      <c r="P114" s="2"/>
      <c r="Q114" s="2"/>
      <c r="S114" s="3"/>
      <c r="T114" s="3"/>
      <c r="U114" s="3"/>
      <c r="V114" s="3"/>
      <c r="W114" s="3"/>
      <c r="X114" s="3"/>
      <c r="Y114" s="3"/>
      <c r="Z114" s="3"/>
    </row>
    <row r="115" ht="15.75" customHeight="1">
      <c r="A115" s="3"/>
      <c r="B115" s="2"/>
      <c r="C115" s="2"/>
      <c r="D115" s="2"/>
      <c r="E115" s="464"/>
      <c r="F115" s="2"/>
      <c r="G115" s="2"/>
      <c r="H115" s="2"/>
      <c r="I115" s="2"/>
      <c r="J115" s="2"/>
      <c r="K115" s="2"/>
      <c r="L115" s="2"/>
      <c r="M115" s="2"/>
      <c r="N115" s="2"/>
      <c r="O115" s="2"/>
      <c r="P115" s="2"/>
      <c r="Q115" s="2"/>
      <c r="S115" s="3"/>
      <c r="T115" s="3"/>
      <c r="U115" s="3"/>
      <c r="V115" s="3"/>
      <c r="W115" s="3"/>
      <c r="X115" s="3"/>
      <c r="Y115" s="3"/>
      <c r="Z115" s="3"/>
    </row>
    <row r="116" ht="15.75" customHeight="1">
      <c r="A116" s="3"/>
      <c r="B116" s="2"/>
      <c r="C116" s="2"/>
      <c r="D116" s="2"/>
      <c r="E116" s="464"/>
      <c r="F116" s="2"/>
      <c r="G116" s="2"/>
      <c r="H116" s="2"/>
      <c r="I116" s="2"/>
      <c r="J116" s="2"/>
      <c r="K116" s="2"/>
      <c r="L116" s="2"/>
      <c r="M116" s="2"/>
      <c r="N116" s="2"/>
      <c r="O116" s="2"/>
      <c r="P116" s="2"/>
      <c r="Q116" s="2"/>
      <c r="S116" s="3"/>
      <c r="T116" s="3"/>
      <c r="U116" s="3"/>
      <c r="V116" s="3"/>
      <c r="W116" s="3"/>
      <c r="X116" s="3"/>
      <c r="Y116" s="3"/>
      <c r="Z116" s="3"/>
    </row>
    <row r="117" ht="15.75" customHeight="1">
      <c r="A117" s="3"/>
      <c r="B117" s="2"/>
      <c r="C117" s="2"/>
      <c r="D117" s="2"/>
      <c r="E117" s="464"/>
      <c r="F117" s="2"/>
      <c r="G117" s="2"/>
      <c r="H117" s="2"/>
      <c r="I117" s="2"/>
      <c r="J117" s="2"/>
      <c r="K117" s="2"/>
      <c r="L117" s="2"/>
      <c r="M117" s="2"/>
      <c r="N117" s="2"/>
      <c r="O117" s="2"/>
      <c r="P117" s="2"/>
      <c r="Q117" s="2"/>
      <c r="S117" s="3"/>
      <c r="T117" s="3"/>
      <c r="U117" s="3"/>
      <c r="V117" s="3"/>
      <c r="W117" s="3"/>
      <c r="X117" s="3"/>
      <c r="Y117" s="3"/>
      <c r="Z117" s="3"/>
    </row>
    <row r="118" ht="15.75" customHeight="1">
      <c r="A118" s="3"/>
      <c r="B118" s="2"/>
      <c r="C118" s="2"/>
      <c r="D118" s="2"/>
      <c r="E118" s="464"/>
      <c r="F118" s="2"/>
      <c r="G118" s="2"/>
      <c r="H118" s="2"/>
      <c r="I118" s="2"/>
      <c r="J118" s="2"/>
      <c r="K118" s="2"/>
      <c r="L118" s="2"/>
      <c r="M118" s="2"/>
      <c r="N118" s="2"/>
      <c r="O118" s="2"/>
      <c r="P118" s="2"/>
      <c r="Q118" s="2"/>
      <c r="S118" s="3"/>
      <c r="T118" s="3"/>
      <c r="U118" s="3"/>
      <c r="V118" s="3"/>
      <c r="W118" s="3"/>
      <c r="X118" s="3"/>
      <c r="Y118" s="3"/>
      <c r="Z118" s="3"/>
    </row>
    <row r="119" ht="15.75" customHeight="1">
      <c r="A119" s="3"/>
      <c r="B119" s="2"/>
      <c r="C119" s="2"/>
      <c r="D119" s="2"/>
      <c r="E119" s="464"/>
      <c r="F119" s="2"/>
      <c r="G119" s="2"/>
      <c r="H119" s="2"/>
      <c r="I119" s="2"/>
      <c r="J119" s="2"/>
      <c r="K119" s="2"/>
      <c r="L119" s="2"/>
      <c r="M119" s="2"/>
      <c r="N119" s="2"/>
      <c r="O119" s="2"/>
      <c r="P119" s="2"/>
      <c r="Q119" s="2"/>
      <c r="S119" s="3"/>
      <c r="T119" s="3"/>
      <c r="U119" s="3"/>
      <c r="V119" s="3"/>
      <c r="W119" s="3"/>
      <c r="X119" s="3"/>
      <c r="Y119" s="3"/>
      <c r="Z119" s="3"/>
    </row>
    <row r="120" ht="15.75" customHeight="1">
      <c r="A120" s="3"/>
      <c r="B120" s="2"/>
      <c r="C120" s="2"/>
      <c r="D120" s="2"/>
      <c r="E120" s="464"/>
      <c r="F120" s="2"/>
      <c r="G120" s="2"/>
      <c r="H120" s="2"/>
      <c r="I120" s="2"/>
      <c r="J120" s="2"/>
      <c r="K120" s="2"/>
      <c r="L120" s="2"/>
      <c r="M120" s="2"/>
      <c r="N120" s="2"/>
      <c r="O120" s="2"/>
      <c r="P120" s="2"/>
      <c r="Q120" s="2"/>
      <c r="S120" s="3"/>
      <c r="T120" s="3"/>
      <c r="U120" s="3"/>
      <c r="V120" s="3"/>
      <c r="W120" s="3"/>
      <c r="X120" s="3"/>
      <c r="Y120" s="3"/>
      <c r="Z120" s="3"/>
    </row>
    <row r="121" ht="15.75" customHeight="1">
      <c r="A121" s="3"/>
      <c r="B121" s="2"/>
      <c r="C121" s="2"/>
      <c r="D121" s="2"/>
      <c r="E121" s="464"/>
      <c r="F121" s="2"/>
      <c r="G121" s="2"/>
      <c r="H121" s="2"/>
      <c r="I121" s="2"/>
      <c r="J121" s="2"/>
      <c r="K121" s="2"/>
      <c r="L121" s="2"/>
      <c r="M121" s="2"/>
      <c r="N121" s="2"/>
      <c r="O121" s="2"/>
      <c r="P121" s="2"/>
      <c r="Q121" s="2"/>
      <c r="S121" s="3"/>
      <c r="T121" s="3"/>
      <c r="U121" s="3"/>
      <c r="V121" s="3"/>
      <c r="W121" s="3"/>
      <c r="X121" s="3"/>
      <c r="Y121" s="3"/>
      <c r="Z121" s="3"/>
    </row>
    <row r="122" ht="15.75" customHeight="1">
      <c r="A122" s="3"/>
      <c r="B122" s="2"/>
      <c r="C122" s="2"/>
      <c r="D122" s="2"/>
      <c r="E122" s="464"/>
      <c r="F122" s="2"/>
      <c r="G122" s="2"/>
      <c r="H122" s="2"/>
      <c r="I122" s="2"/>
      <c r="J122" s="2"/>
      <c r="K122" s="2"/>
      <c r="L122" s="2"/>
      <c r="M122" s="2"/>
      <c r="N122" s="2"/>
      <c r="O122" s="2"/>
      <c r="P122" s="2"/>
      <c r="Q122" s="2"/>
      <c r="S122" s="3"/>
      <c r="T122" s="3"/>
      <c r="U122" s="3"/>
      <c r="V122" s="3"/>
      <c r="W122" s="3"/>
      <c r="X122" s="3"/>
      <c r="Y122" s="3"/>
      <c r="Z122" s="3"/>
    </row>
    <row r="123" ht="15.75" customHeight="1">
      <c r="A123" s="3"/>
      <c r="B123" s="2"/>
      <c r="C123" s="2"/>
      <c r="D123" s="2"/>
      <c r="E123" s="464"/>
      <c r="F123" s="2"/>
      <c r="G123" s="2"/>
      <c r="H123" s="2"/>
      <c r="I123" s="2"/>
      <c r="J123" s="2"/>
      <c r="K123" s="2"/>
      <c r="L123" s="2"/>
      <c r="M123" s="2"/>
      <c r="N123" s="2"/>
      <c r="O123" s="2"/>
      <c r="P123" s="2"/>
      <c r="Q123" s="2"/>
      <c r="S123" s="3"/>
      <c r="T123" s="3"/>
      <c r="U123" s="3"/>
      <c r="V123" s="3"/>
      <c r="W123" s="3"/>
      <c r="X123" s="3"/>
      <c r="Y123" s="3"/>
      <c r="Z123" s="3"/>
    </row>
    <row r="124" ht="15.75" customHeight="1">
      <c r="A124" s="3"/>
      <c r="B124" s="2"/>
      <c r="C124" s="2"/>
      <c r="D124" s="2"/>
      <c r="E124" s="464"/>
      <c r="F124" s="2"/>
      <c r="G124" s="2"/>
      <c r="H124" s="2"/>
      <c r="I124" s="2"/>
      <c r="J124" s="2"/>
      <c r="K124" s="2"/>
      <c r="L124" s="2"/>
      <c r="M124" s="2"/>
      <c r="N124" s="2"/>
      <c r="O124" s="2"/>
      <c r="P124" s="2"/>
      <c r="Q124" s="2"/>
      <c r="S124" s="3"/>
      <c r="T124" s="3"/>
      <c r="U124" s="3"/>
      <c r="V124" s="3"/>
      <c r="W124" s="3"/>
      <c r="X124" s="3"/>
      <c r="Y124" s="3"/>
      <c r="Z124" s="3"/>
    </row>
    <row r="125" ht="15.75" customHeight="1">
      <c r="A125" s="3"/>
      <c r="B125" s="2"/>
      <c r="C125" s="2"/>
      <c r="D125" s="2"/>
      <c r="E125" s="464"/>
      <c r="F125" s="2"/>
      <c r="G125" s="2"/>
      <c r="H125" s="2"/>
      <c r="I125" s="2"/>
      <c r="J125" s="2"/>
      <c r="K125" s="2"/>
      <c r="L125" s="2"/>
      <c r="M125" s="2"/>
      <c r="N125" s="2"/>
      <c r="O125" s="2"/>
      <c r="P125" s="2"/>
      <c r="Q125" s="2"/>
      <c r="S125" s="3"/>
      <c r="T125" s="3"/>
      <c r="U125" s="3"/>
      <c r="V125" s="3"/>
      <c r="W125" s="3"/>
      <c r="X125" s="3"/>
      <c r="Y125" s="3"/>
      <c r="Z125" s="3"/>
    </row>
    <row r="126" ht="15.75" customHeight="1">
      <c r="A126" s="3"/>
      <c r="B126" s="2"/>
      <c r="C126" s="2"/>
      <c r="D126" s="2"/>
      <c r="E126" s="464"/>
      <c r="F126" s="2"/>
      <c r="G126" s="2"/>
      <c r="H126" s="2"/>
      <c r="I126" s="2"/>
      <c r="J126" s="2"/>
      <c r="K126" s="2"/>
      <c r="L126" s="2"/>
      <c r="M126" s="2"/>
      <c r="N126" s="2"/>
      <c r="O126" s="2"/>
      <c r="P126" s="2"/>
      <c r="Q126" s="2"/>
      <c r="S126" s="3"/>
      <c r="T126" s="3"/>
      <c r="U126" s="3"/>
      <c r="V126" s="3"/>
      <c r="W126" s="3"/>
      <c r="X126" s="3"/>
      <c r="Y126" s="3"/>
      <c r="Z126" s="3"/>
    </row>
    <row r="127" ht="15.75" customHeight="1">
      <c r="A127" s="3"/>
      <c r="B127" s="2"/>
      <c r="C127" s="2"/>
      <c r="D127" s="2"/>
      <c r="E127" s="464"/>
      <c r="F127" s="2"/>
      <c r="G127" s="2"/>
      <c r="H127" s="2"/>
      <c r="I127" s="2"/>
      <c r="J127" s="2"/>
      <c r="K127" s="2"/>
      <c r="L127" s="2"/>
      <c r="M127" s="2"/>
      <c r="N127" s="2"/>
      <c r="O127" s="2"/>
      <c r="P127" s="2"/>
      <c r="Q127" s="2"/>
      <c r="S127" s="3"/>
      <c r="T127" s="3"/>
      <c r="U127" s="3"/>
      <c r="V127" s="3"/>
      <c r="W127" s="3"/>
      <c r="X127" s="3"/>
      <c r="Y127" s="3"/>
      <c r="Z127" s="3"/>
    </row>
    <row r="128" ht="15.75" customHeight="1">
      <c r="A128" s="3"/>
      <c r="B128" s="2"/>
      <c r="C128" s="2"/>
      <c r="D128" s="2"/>
      <c r="E128" s="464"/>
      <c r="F128" s="2"/>
      <c r="G128" s="2"/>
      <c r="H128" s="2"/>
      <c r="I128" s="2"/>
      <c r="J128" s="2"/>
      <c r="K128" s="2"/>
      <c r="L128" s="2"/>
      <c r="M128" s="2"/>
      <c r="N128" s="2"/>
      <c r="O128" s="2"/>
      <c r="P128" s="2"/>
      <c r="Q128" s="2"/>
      <c r="S128" s="3"/>
      <c r="T128" s="3"/>
      <c r="U128" s="3"/>
      <c r="V128" s="3"/>
      <c r="W128" s="3"/>
      <c r="X128" s="3"/>
      <c r="Y128" s="3"/>
      <c r="Z128" s="3"/>
    </row>
    <row r="129" ht="15.75" customHeight="1">
      <c r="A129" s="3"/>
      <c r="B129" s="2"/>
      <c r="C129" s="2"/>
      <c r="D129" s="2"/>
      <c r="E129" s="464"/>
      <c r="F129" s="2"/>
      <c r="G129" s="2"/>
      <c r="H129" s="2"/>
      <c r="I129" s="2"/>
      <c r="J129" s="2"/>
      <c r="K129" s="2"/>
      <c r="L129" s="2"/>
      <c r="M129" s="2"/>
      <c r="N129" s="2"/>
      <c r="O129" s="2"/>
      <c r="P129" s="2"/>
      <c r="Q129" s="2"/>
      <c r="S129" s="3"/>
      <c r="T129" s="3"/>
      <c r="U129" s="3"/>
      <c r="V129" s="3"/>
      <c r="W129" s="3"/>
      <c r="X129" s="3"/>
      <c r="Y129" s="3"/>
      <c r="Z129" s="3"/>
    </row>
    <row r="130" ht="15.75" customHeight="1">
      <c r="A130" s="3"/>
      <c r="B130" s="2"/>
      <c r="C130" s="2"/>
      <c r="D130" s="2"/>
      <c r="E130" s="464"/>
      <c r="F130" s="2"/>
      <c r="G130" s="2"/>
      <c r="H130" s="2"/>
      <c r="I130" s="2"/>
      <c r="J130" s="2"/>
      <c r="K130" s="2"/>
      <c r="L130" s="2"/>
      <c r="M130" s="2"/>
      <c r="N130" s="2"/>
      <c r="O130" s="2"/>
      <c r="P130" s="2"/>
      <c r="Q130" s="2"/>
      <c r="S130" s="3"/>
      <c r="T130" s="3"/>
      <c r="U130" s="3"/>
      <c r="V130" s="3"/>
      <c r="W130" s="3"/>
      <c r="X130" s="3"/>
      <c r="Y130" s="3"/>
      <c r="Z130" s="3"/>
    </row>
    <row r="131" ht="15.75" customHeight="1">
      <c r="A131" s="3"/>
      <c r="B131" s="2"/>
      <c r="C131" s="2"/>
      <c r="D131" s="2"/>
      <c r="E131" s="464"/>
      <c r="F131" s="2"/>
      <c r="G131" s="2"/>
      <c r="H131" s="2"/>
      <c r="I131" s="2"/>
      <c r="J131" s="2"/>
      <c r="K131" s="2"/>
      <c r="L131" s="2"/>
      <c r="M131" s="2"/>
      <c r="N131" s="2"/>
      <c r="O131" s="2"/>
      <c r="P131" s="2"/>
      <c r="Q131" s="2"/>
      <c r="S131" s="3"/>
      <c r="T131" s="3"/>
      <c r="U131" s="3"/>
      <c r="V131" s="3"/>
      <c r="W131" s="3"/>
      <c r="X131" s="3"/>
      <c r="Y131" s="3"/>
      <c r="Z131" s="3"/>
    </row>
    <row r="132" ht="15.75" customHeight="1">
      <c r="A132" s="3"/>
      <c r="B132" s="2"/>
      <c r="C132" s="2"/>
      <c r="D132" s="2"/>
      <c r="E132" s="464"/>
      <c r="F132" s="2"/>
      <c r="G132" s="2"/>
      <c r="H132" s="2"/>
      <c r="I132" s="2"/>
      <c r="J132" s="2"/>
      <c r="K132" s="2"/>
      <c r="L132" s="2"/>
      <c r="M132" s="2"/>
      <c r="N132" s="2"/>
      <c r="O132" s="2"/>
      <c r="P132" s="2"/>
      <c r="Q132" s="2"/>
      <c r="S132" s="3"/>
      <c r="T132" s="3"/>
      <c r="U132" s="3"/>
      <c r="V132" s="3"/>
      <c r="W132" s="3"/>
      <c r="X132" s="3"/>
      <c r="Y132" s="3"/>
      <c r="Z132" s="3"/>
    </row>
    <row r="133" ht="15.75" customHeight="1">
      <c r="A133" s="3"/>
      <c r="B133" s="2"/>
      <c r="C133" s="2"/>
      <c r="D133" s="2"/>
      <c r="E133" s="464"/>
      <c r="F133" s="2"/>
      <c r="G133" s="2"/>
      <c r="H133" s="2"/>
      <c r="I133" s="2"/>
      <c r="J133" s="2"/>
      <c r="K133" s="2"/>
      <c r="L133" s="2"/>
      <c r="M133" s="2"/>
      <c r="N133" s="2"/>
      <c r="O133" s="2"/>
      <c r="P133" s="2"/>
      <c r="Q133" s="2"/>
      <c r="S133" s="3"/>
      <c r="T133" s="3"/>
      <c r="U133" s="3"/>
      <c r="V133" s="3"/>
      <c r="W133" s="3"/>
      <c r="X133" s="3"/>
      <c r="Y133" s="3"/>
      <c r="Z133" s="3"/>
    </row>
    <row r="134" ht="15.75" customHeight="1">
      <c r="A134" s="3"/>
      <c r="B134" s="2"/>
      <c r="C134" s="2"/>
      <c r="D134" s="2"/>
      <c r="E134" s="464"/>
      <c r="F134" s="2"/>
      <c r="G134" s="2"/>
      <c r="H134" s="2"/>
      <c r="I134" s="2"/>
      <c r="J134" s="2"/>
      <c r="K134" s="2"/>
      <c r="L134" s="2"/>
      <c r="M134" s="2"/>
      <c r="N134" s="2"/>
      <c r="O134" s="2"/>
      <c r="P134" s="2"/>
      <c r="Q134" s="2"/>
      <c r="S134" s="3"/>
      <c r="T134" s="3"/>
      <c r="U134" s="3"/>
      <c r="V134" s="3"/>
      <c r="W134" s="3"/>
      <c r="X134" s="3"/>
      <c r="Y134" s="3"/>
      <c r="Z134" s="3"/>
    </row>
    <row r="135" ht="15.75" customHeight="1">
      <c r="A135" s="3"/>
      <c r="B135" s="2"/>
      <c r="C135" s="2"/>
      <c r="D135" s="2"/>
      <c r="E135" s="464"/>
      <c r="F135" s="2"/>
      <c r="G135" s="2"/>
      <c r="H135" s="2"/>
      <c r="I135" s="2"/>
      <c r="J135" s="2"/>
      <c r="K135" s="2"/>
      <c r="L135" s="2"/>
      <c r="M135" s="2"/>
      <c r="N135" s="2"/>
      <c r="O135" s="2"/>
      <c r="P135" s="2"/>
      <c r="Q135" s="2"/>
      <c r="S135" s="3"/>
      <c r="T135" s="3"/>
      <c r="U135" s="3"/>
      <c r="V135" s="3"/>
      <c r="W135" s="3"/>
      <c r="X135" s="3"/>
      <c r="Y135" s="3"/>
      <c r="Z135" s="3"/>
    </row>
    <row r="136" ht="15.75" customHeight="1">
      <c r="A136" s="3"/>
      <c r="B136" s="2"/>
      <c r="C136" s="2"/>
      <c r="D136" s="2"/>
      <c r="E136" s="464"/>
      <c r="F136" s="2"/>
      <c r="G136" s="2"/>
      <c r="H136" s="2"/>
      <c r="I136" s="2"/>
      <c r="J136" s="2"/>
      <c r="K136" s="2"/>
      <c r="L136" s="2"/>
      <c r="M136" s="2"/>
      <c r="N136" s="2"/>
      <c r="O136" s="2"/>
      <c r="P136" s="2"/>
      <c r="Q136" s="2"/>
      <c r="S136" s="3"/>
      <c r="T136" s="3"/>
      <c r="U136" s="3"/>
      <c r="V136" s="3"/>
      <c r="W136" s="3"/>
      <c r="X136" s="3"/>
      <c r="Y136" s="3"/>
      <c r="Z136" s="3"/>
    </row>
    <row r="137" ht="15.75" customHeight="1">
      <c r="A137" s="3"/>
      <c r="B137" s="2"/>
      <c r="C137" s="2"/>
      <c r="D137" s="2"/>
      <c r="E137" s="464"/>
      <c r="F137" s="2"/>
      <c r="G137" s="2"/>
      <c r="H137" s="2"/>
      <c r="I137" s="2"/>
      <c r="J137" s="2"/>
      <c r="K137" s="2"/>
      <c r="L137" s="2"/>
      <c r="M137" s="2"/>
      <c r="N137" s="2"/>
      <c r="O137" s="2"/>
      <c r="P137" s="2"/>
      <c r="Q137" s="2"/>
      <c r="S137" s="3"/>
      <c r="T137" s="3"/>
      <c r="U137" s="3"/>
      <c r="V137" s="3"/>
      <c r="W137" s="3"/>
      <c r="X137" s="3"/>
      <c r="Y137" s="3"/>
      <c r="Z137" s="3"/>
    </row>
    <row r="138" ht="15.75" customHeight="1">
      <c r="A138" s="3"/>
      <c r="B138" s="2"/>
      <c r="C138" s="2"/>
      <c r="D138" s="2"/>
      <c r="E138" s="464"/>
      <c r="F138" s="2"/>
      <c r="G138" s="2"/>
      <c r="H138" s="2"/>
      <c r="I138" s="2"/>
      <c r="J138" s="2"/>
      <c r="K138" s="2"/>
      <c r="L138" s="2"/>
      <c r="M138" s="2"/>
      <c r="N138" s="2"/>
      <c r="O138" s="2"/>
      <c r="P138" s="2"/>
      <c r="Q138" s="2"/>
      <c r="S138" s="3"/>
      <c r="T138" s="3"/>
      <c r="U138" s="3"/>
      <c r="V138" s="3"/>
      <c r="W138" s="3"/>
      <c r="X138" s="3"/>
      <c r="Y138" s="3"/>
      <c r="Z138" s="3"/>
    </row>
    <row r="139" ht="15.75" customHeight="1">
      <c r="A139" s="3"/>
      <c r="B139" s="2"/>
      <c r="C139" s="2"/>
      <c r="D139" s="2"/>
      <c r="E139" s="464"/>
      <c r="F139" s="2"/>
      <c r="G139" s="2"/>
      <c r="H139" s="2"/>
      <c r="I139" s="2"/>
      <c r="J139" s="2"/>
      <c r="K139" s="2"/>
      <c r="L139" s="2"/>
      <c r="M139" s="2"/>
      <c r="N139" s="2"/>
      <c r="O139" s="2"/>
      <c r="P139" s="2"/>
      <c r="Q139" s="2"/>
      <c r="S139" s="3"/>
      <c r="T139" s="3"/>
      <c r="U139" s="3"/>
      <c r="V139" s="3"/>
      <c r="W139" s="3"/>
      <c r="X139" s="3"/>
      <c r="Y139" s="3"/>
      <c r="Z139" s="3"/>
    </row>
    <row r="140" ht="15.75" customHeight="1">
      <c r="A140" s="3"/>
      <c r="B140" s="2"/>
      <c r="C140" s="2"/>
      <c r="D140" s="2"/>
      <c r="E140" s="464"/>
      <c r="F140" s="2"/>
      <c r="G140" s="2"/>
      <c r="H140" s="2"/>
      <c r="I140" s="2"/>
      <c r="J140" s="2"/>
      <c r="K140" s="2"/>
      <c r="L140" s="2"/>
      <c r="M140" s="2"/>
      <c r="N140" s="2"/>
      <c r="O140" s="2"/>
      <c r="P140" s="2"/>
      <c r="Q140" s="2"/>
      <c r="S140" s="3"/>
      <c r="T140" s="3"/>
      <c r="U140" s="3"/>
      <c r="V140" s="3"/>
      <c r="W140" s="3"/>
      <c r="X140" s="3"/>
      <c r="Y140" s="3"/>
      <c r="Z140" s="3"/>
    </row>
    <row r="141" ht="15.75" customHeight="1">
      <c r="A141" s="3"/>
      <c r="B141" s="2"/>
      <c r="C141" s="2"/>
      <c r="D141" s="2"/>
      <c r="E141" s="464"/>
      <c r="F141" s="2"/>
      <c r="G141" s="2"/>
      <c r="H141" s="2"/>
      <c r="I141" s="2"/>
      <c r="J141" s="2"/>
      <c r="K141" s="2"/>
      <c r="L141" s="2"/>
      <c r="M141" s="2"/>
      <c r="N141" s="2"/>
      <c r="O141" s="2"/>
      <c r="P141" s="2"/>
      <c r="Q141" s="2"/>
      <c r="S141" s="3"/>
      <c r="T141" s="3"/>
      <c r="U141" s="3"/>
      <c r="V141" s="3"/>
      <c r="W141" s="3"/>
      <c r="X141" s="3"/>
      <c r="Y141" s="3"/>
      <c r="Z141" s="3"/>
    </row>
    <row r="142" ht="15.75" customHeight="1">
      <c r="A142" s="3"/>
      <c r="B142" s="2"/>
      <c r="C142" s="2"/>
      <c r="D142" s="2"/>
      <c r="E142" s="464"/>
      <c r="F142" s="2"/>
      <c r="G142" s="2"/>
      <c r="H142" s="2"/>
      <c r="I142" s="2"/>
      <c r="J142" s="2"/>
      <c r="K142" s="2"/>
      <c r="L142" s="2"/>
      <c r="M142" s="2"/>
      <c r="N142" s="2"/>
      <c r="O142" s="2"/>
      <c r="P142" s="2"/>
      <c r="Q142" s="2"/>
      <c r="S142" s="3"/>
      <c r="T142" s="3"/>
      <c r="U142" s="3"/>
      <c r="V142" s="3"/>
      <c r="W142" s="3"/>
      <c r="X142" s="3"/>
      <c r="Y142" s="3"/>
      <c r="Z142" s="3"/>
    </row>
    <row r="143" ht="15.75" customHeight="1">
      <c r="A143" s="3"/>
      <c r="B143" s="2"/>
      <c r="C143" s="2"/>
      <c r="D143" s="2"/>
      <c r="E143" s="464"/>
      <c r="F143" s="2"/>
      <c r="G143" s="2"/>
      <c r="H143" s="2"/>
      <c r="I143" s="2"/>
      <c r="J143" s="2"/>
      <c r="K143" s="2"/>
      <c r="L143" s="2"/>
      <c r="M143" s="2"/>
      <c r="N143" s="2"/>
      <c r="O143" s="2"/>
      <c r="P143" s="2"/>
      <c r="Q143" s="2"/>
      <c r="S143" s="3"/>
      <c r="T143" s="3"/>
      <c r="U143" s="3"/>
      <c r="V143" s="3"/>
      <c r="W143" s="3"/>
      <c r="X143" s="3"/>
      <c r="Y143" s="3"/>
      <c r="Z143" s="3"/>
    </row>
    <row r="144" ht="15.75" customHeight="1">
      <c r="A144" s="3"/>
      <c r="B144" s="2"/>
      <c r="C144" s="2"/>
      <c r="D144" s="2"/>
      <c r="E144" s="464"/>
      <c r="F144" s="2"/>
      <c r="G144" s="2"/>
      <c r="H144" s="2"/>
      <c r="I144" s="2"/>
      <c r="J144" s="2"/>
      <c r="K144" s="2"/>
      <c r="L144" s="2"/>
      <c r="M144" s="2"/>
      <c r="N144" s="2"/>
      <c r="O144" s="2"/>
      <c r="P144" s="2"/>
      <c r="Q144" s="2"/>
      <c r="S144" s="3"/>
      <c r="T144" s="3"/>
      <c r="U144" s="3"/>
      <c r="V144" s="3"/>
      <c r="W144" s="3"/>
      <c r="X144" s="3"/>
      <c r="Y144" s="3"/>
      <c r="Z144" s="3"/>
    </row>
    <row r="145" ht="15.75" customHeight="1">
      <c r="A145" s="3"/>
      <c r="B145" s="2"/>
      <c r="C145" s="2"/>
      <c r="D145" s="2"/>
      <c r="E145" s="464"/>
      <c r="F145" s="2"/>
      <c r="G145" s="2"/>
      <c r="H145" s="2"/>
      <c r="I145" s="2"/>
      <c r="J145" s="2"/>
      <c r="K145" s="2"/>
      <c r="L145" s="2"/>
      <c r="M145" s="2"/>
      <c r="N145" s="2"/>
      <c r="O145" s="2"/>
      <c r="P145" s="2"/>
      <c r="Q145" s="2"/>
      <c r="S145" s="3"/>
      <c r="T145" s="3"/>
      <c r="U145" s="3"/>
      <c r="V145" s="3"/>
      <c r="W145" s="3"/>
      <c r="X145" s="3"/>
      <c r="Y145" s="3"/>
      <c r="Z145" s="3"/>
    </row>
    <row r="146" ht="15.75" customHeight="1">
      <c r="A146" s="3"/>
      <c r="B146" s="2"/>
      <c r="C146" s="2"/>
      <c r="D146" s="2"/>
      <c r="E146" s="464"/>
      <c r="F146" s="2"/>
      <c r="G146" s="2"/>
      <c r="H146" s="2"/>
      <c r="I146" s="2"/>
      <c r="J146" s="2"/>
      <c r="K146" s="2"/>
      <c r="L146" s="2"/>
      <c r="M146" s="2"/>
      <c r="N146" s="2"/>
      <c r="O146" s="2"/>
      <c r="P146" s="2"/>
      <c r="Q146" s="2"/>
      <c r="S146" s="3"/>
      <c r="T146" s="3"/>
      <c r="U146" s="3"/>
      <c r="V146" s="3"/>
      <c r="W146" s="3"/>
      <c r="X146" s="3"/>
      <c r="Y146" s="3"/>
      <c r="Z146" s="3"/>
    </row>
    <row r="147" ht="15.75" customHeight="1">
      <c r="A147" s="3"/>
      <c r="B147" s="2"/>
      <c r="C147" s="2"/>
      <c r="D147" s="2"/>
      <c r="E147" s="464"/>
      <c r="F147" s="2"/>
      <c r="G147" s="2"/>
      <c r="H147" s="2"/>
      <c r="I147" s="2"/>
      <c r="J147" s="2"/>
      <c r="K147" s="2"/>
      <c r="L147" s="2"/>
      <c r="M147" s="2"/>
      <c r="N147" s="2"/>
      <c r="O147" s="2"/>
      <c r="P147" s="2"/>
      <c r="Q147" s="2"/>
      <c r="S147" s="3"/>
      <c r="T147" s="3"/>
      <c r="U147" s="3"/>
      <c r="V147" s="3"/>
      <c r="W147" s="3"/>
      <c r="X147" s="3"/>
      <c r="Y147" s="3"/>
      <c r="Z147" s="3"/>
    </row>
    <row r="148" ht="15.75" customHeight="1">
      <c r="A148" s="3"/>
      <c r="B148" s="2"/>
      <c r="C148" s="2"/>
      <c r="D148" s="2"/>
      <c r="E148" s="464"/>
      <c r="F148" s="2"/>
      <c r="G148" s="2"/>
      <c r="H148" s="2"/>
      <c r="I148" s="2"/>
      <c r="J148" s="2"/>
      <c r="K148" s="2"/>
      <c r="L148" s="2"/>
      <c r="M148" s="2"/>
      <c r="N148" s="2"/>
      <c r="O148" s="2"/>
      <c r="P148" s="2"/>
      <c r="Q148" s="2"/>
      <c r="S148" s="3"/>
      <c r="T148" s="3"/>
      <c r="U148" s="3"/>
      <c r="V148" s="3"/>
      <c r="W148" s="3"/>
      <c r="X148" s="3"/>
      <c r="Y148" s="3"/>
      <c r="Z148" s="3"/>
    </row>
    <row r="149" ht="15.75" customHeight="1">
      <c r="A149" s="3"/>
      <c r="B149" s="2"/>
      <c r="C149" s="2"/>
      <c r="D149" s="2"/>
      <c r="E149" s="464"/>
      <c r="F149" s="2"/>
      <c r="G149" s="2"/>
      <c r="H149" s="2"/>
      <c r="I149" s="2"/>
      <c r="J149" s="2"/>
      <c r="K149" s="2"/>
      <c r="L149" s="2"/>
      <c r="M149" s="2"/>
      <c r="N149" s="2"/>
      <c r="O149" s="2"/>
      <c r="P149" s="2"/>
      <c r="Q149" s="2"/>
      <c r="S149" s="3"/>
      <c r="T149" s="3"/>
      <c r="U149" s="3"/>
      <c r="V149" s="3"/>
      <c r="W149" s="3"/>
      <c r="X149" s="3"/>
      <c r="Y149" s="3"/>
      <c r="Z149" s="3"/>
    </row>
    <row r="150" ht="15.75" customHeight="1">
      <c r="A150" s="3"/>
      <c r="B150" s="2"/>
      <c r="C150" s="2"/>
      <c r="D150" s="2"/>
      <c r="E150" s="464"/>
      <c r="F150" s="2"/>
      <c r="G150" s="2"/>
      <c r="H150" s="2"/>
      <c r="I150" s="2"/>
      <c r="J150" s="2"/>
      <c r="K150" s="2"/>
      <c r="L150" s="2"/>
      <c r="M150" s="2"/>
      <c r="N150" s="2"/>
      <c r="O150" s="2"/>
      <c r="P150" s="2"/>
      <c r="Q150" s="2"/>
      <c r="S150" s="3"/>
      <c r="T150" s="3"/>
      <c r="U150" s="3"/>
      <c r="V150" s="3"/>
      <c r="W150" s="3"/>
      <c r="X150" s="3"/>
      <c r="Y150" s="3"/>
      <c r="Z150" s="3"/>
    </row>
    <row r="151" ht="15.75" customHeight="1">
      <c r="A151" s="3"/>
      <c r="B151" s="2"/>
      <c r="C151" s="2"/>
      <c r="D151" s="2"/>
      <c r="E151" s="464"/>
      <c r="F151" s="2"/>
      <c r="G151" s="2"/>
      <c r="H151" s="2"/>
      <c r="I151" s="2"/>
      <c r="J151" s="2"/>
      <c r="K151" s="2"/>
      <c r="L151" s="2"/>
      <c r="M151" s="2"/>
      <c r="N151" s="2"/>
      <c r="O151" s="2"/>
      <c r="P151" s="2"/>
      <c r="Q151" s="2"/>
      <c r="S151" s="3"/>
      <c r="T151" s="3"/>
      <c r="U151" s="3"/>
      <c r="V151" s="3"/>
      <c r="W151" s="3"/>
      <c r="X151" s="3"/>
      <c r="Y151" s="3"/>
      <c r="Z151" s="3"/>
    </row>
    <row r="152" ht="15.75" customHeight="1">
      <c r="A152" s="3"/>
      <c r="B152" s="2"/>
      <c r="C152" s="2"/>
      <c r="D152" s="2"/>
      <c r="E152" s="464"/>
      <c r="F152" s="2"/>
      <c r="G152" s="2"/>
      <c r="H152" s="2"/>
      <c r="I152" s="2"/>
      <c r="J152" s="2"/>
      <c r="K152" s="2"/>
      <c r="L152" s="2"/>
      <c r="M152" s="2"/>
      <c r="N152" s="2"/>
      <c r="O152" s="2"/>
      <c r="P152" s="2"/>
      <c r="Q152" s="2"/>
      <c r="S152" s="3"/>
      <c r="T152" s="3"/>
      <c r="U152" s="3"/>
      <c r="V152" s="3"/>
      <c r="W152" s="3"/>
      <c r="X152" s="3"/>
      <c r="Y152" s="3"/>
      <c r="Z152" s="3"/>
    </row>
    <row r="153" ht="15.75" customHeight="1">
      <c r="A153" s="3"/>
      <c r="B153" s="2"/>
      <c r="C153" s="2"/>
      <c r="D153" s="2"/>
      <c r="E153" s="464"/>
      <c r="F153" s="2"/>
      <c r="G153" s="2"/>
      <c r="H153" s="2"/>
      <c r="I153" s="2"/>
      <c r="J153" s="2"/>
      <c r="K153" s="2"/>
      <c r="L153" s="2"/>
      <c r="M153" s="2"/>
      <c r="N153" s="2"/>
      <c r="O153" s="2"/>
      <c r="P153" s="2"/>
      <c r="Q153" s="2"/>
      <c r="S153" s="3"/>
      <c r="T153" s="3"/>
      <c r="U153" s="3"/>
      <c r="V153" s="3"/>
      <c r="W153" s="3"/>
      <c r="X153" s="3"/>
      <c r="Y153" s="3"/>
      <c r="Z153" s="3"/>
    </row>
    <row r="154" ht="15.75" customHeight="1">
      <c r="A154" s="3"/>
      <c r="B154" s="2"/>
      <c r="C154" s="2"/>
      <c r="D154" s="2"/>
      <c r="E154" s="464"/>
      <c r="F154" s="2"/>
      <c r="G154" s="2"/>
      <c r="H154" s="2"/>
      <c r="I154" s="2"/>
      <c r="J154" s="2"/>
      <c r="K154" s="2"/>
      <c r="L154" s="2"/>
      <c r="M154" s="2"/>
      <c r="N154" s="2"/>
      <c r="O154" s="2"/>
      <c r="P154" s="2"/>
      <c r="Q154" s="2"/>
      <c r="S154" s="3"/>
      <c r="T154" s="3"/>
      <c r="U154" s="3"/>
      <c r="V154" s="3"/>
      <c r="W154" s="3"/>
      <c r="X154" s="3"/>
      <c r="Y154" s="3"/>
      <c r="Z154" s="3"/>
    </row>
    <row r="155" ht="15.75" customHeight="1">
      <c r="A155" s="3"/>
      <c r="B155" s="2"/>
      <c r="C155" s="2"/>
      <c r="D155" s="2"/>
      <c r="E155" s="464"/>
      <c r="F155" s="2"/>
      <c r="G155" s="2"/>
      <c r="H155" s="2"/>
      <c r="I155" s="2"/>
      <c r="J155" s="2"/>
      <c r="K155" s="2"/>
      <c r="L155" s="2"/>
      <c r="M155" s="2"/>
      <c r="N155" s="2"/>
      <c r="O155" s="2"/>
      <c r="P155" s="2"/>
      <c r="Q155" s="2"/>
      <c r="S155" s="3"/>
      <c r="T155" s="3"/>
      <c r="U155" s="3"/>
      <c r="V155" s="3"/>
      <c r="W155" s="3"/>
      <c r="X155" s="3"/>
      <c r="Y155" s="3"/>
      <c r="Z155" s="3"/>
    </row>
    <row r="156" ht="15.75" customHeight="1">
      <c r="A156" s="3"/>
      <c r="B156" s="2"/>
      <c r="C156" s="2"/>
      <c r="D156" s="2"/>
      <c r="E156" s="464"/>
      <c r="F156" s="2"/>
      <c r="G156" s="2"/>
      <c r="H156" s="2"/>
      <c r="I156" s="2"/>
      <c r="J156" s="2"/>
      <c r="K156" s="2"/>
      <c r="L156" s="2"/>
      <c r="M156" s="2"/>
      <c r="N156" s="2"/>
      <c r="O156" s="2"/>
      <c r="P156" s="2"/>
      <c r="Q156" s="2"/>
      <c r="S156" s="3"/>
      <c r="T156" s="3"/>
      <c r="U156" s="3"/>
      <c r="V156" s="3"/>
      <c r="W156" s="3"/>
      <c r="X156" s="3"/>
      <c r="Y156" s="3"/>
      <c r="Z156" s="3"/>
    </row>
    <row r="157" ht="15.75" customHeight="1">
      <c r="A157" s="3"/>
      <c r="B157" s="2"/>
      <c r="C157" s="2"/>
      <c r="D157" s="2"/>
      <c r="E157" s="464"/>
      <c r="F157" s="2"/>
      <c r="G157" s="2"/>
      <c r="H157" s="2"/>
      <c r="I157" s="2"/>
      <c r="J157" s="2"/>
      <c r="K157" s="2"/>
      <c r="L157" s="2"/>
      <c r="M157" s="2"/>
      <c r="N157" s="2"/>
      <c r="O157" s="2"/>
      <c r="P157" s="2"/>
      <c r="Q157" s="2"/>
      <c r="S157" s="3"/>
      <c r="T157" s="3"/>
      <c r="U157" s="3"/>
      <c r="V157" s="3"/>
      <c r="W157" s="3"/>
      <c r="X157" s="3"/>
      <c r="Y157" s="3"/>
      <c r="Z157" s="3"/>
    </row>
    <row r="158" ht="15.75" customHeight="1">
      <c r="A158" s="3"/>
      <c r="B158" s="2"/>
      <c r="C158" s="2"/>
      <c r="D158" s="2"/>
      <c r="E158" s="464"/>
      <c r="F158" s="2"/>
      <c r="G158" s="2"/>
      <c r="H158" s="2"/>
      <c r="I158" s="2"/>
      <c r="J158" s="2"/>
      <c r="K158" s="2"/>
      <c r="L158" s="2"/>
      <c r="M158" s="2"/>
      <c r="N158" s="2"/>
      <c r="O158" s="2"/>
      <c r="P158" s="2"/>
      <c r="Q158" s="2"/>
      <c r="S158" s="3"/>
      <c r="T158" s="3"/>
      <c r="U158" s="3"/>
      <c r="V158" s="3"/>
      <c r="W158" s="3"/>
      <c r="X158" s="3"/>
      <c r="Y158" s="3"/>
      <c r="Z158" s="3"/>
    </row>
    <row r="159" ht="15.75" customHeight="1">
      <c r="A159" s="3"/>
      <c r="B159" s="2"/>
      <c r="C159" s="2"/>
      <c r="D159" s="2"/>
      <c r="E159" s="464"/>
      <c r="F159" s="2"/>
      <c r="G159" s="2"/>
      <c r="H159" s="2"/>
      <c r="I159" s="2"/>
      <c r="J159" s="2"/>
      <c r="K159" s="2"/>
      <c r="L159" s="2"/>
      <c r="M159" s="2"/>
      <c r="N159" s="2"/>
      <c r="O159" s="2"/>
      <c r="P159" s="2"/>
      <c r="Q159" s="2"/>
      <c r="S159" s="3"/>
      <c r="T159" s="3"/>
      <c r="U159" s="3"/>
      <c r="V159" s="3"/>
      <c r="W159" s="3"/>
      <c r="X159" s="3"/>
      <c r="Y159" s="3"/>
      <c r="Z159" s="3"/>
    </row>
    <row r="160" ht="15.75" customHeight="1">
      <c r="A160" s="3"/>
      <c r="B160" s="2"/>
      <c r="C160" s="2"/>
      <c r="D160" s="2"/>
      <c r="E160" s="464"/>
      <c r="F160" s="2"/>
      <c r="G160" s="2"/>
      <c r="H160" s="2"/>
      <c r="I160" s="2"/>
      <c r="J160" s="2"/>
      <c r="K160" s="2"/>
      <c r="L160" s="2"/>
      <c r="M160" s="2"/>
      <c r="N160" s="2"/>
      <c r="O160" s="2"/>
      <c r="P160" s="2"/>
      <c r="Q160" s="2"/>
      <c r="S160" s="3"/>
      <c r="T160" s="3"/>
      <c r="U160" s="3"/>
      <c r="V160" s="3"/>
      <c r="W160" s="3"/>
      <c r="X160" s="3"/>
      <c r="Y160" s="3"/>
      <c r="Z160" s="3"/>
    </row>
    <row r="161" ht="15.75" customHeight="1">
      <c r="A161" s="3"/>
      <c r="B161" s="2"/>
      <c r="C161" s="2"/>
      <c r="D161" s="2"/>
      <c r="E161" s="464"/>
      <c r="F161" s="2"/>
      <c r="G161" s="2"/>
      <c r="H161" s="2"/>
      <c r="I161" s="2"/>
      <c r="J161" s="2"/>
      <c r="K161" s="2"/>
      <c r="L161" s="2"/>
      <c r="M161" s="2"/>
      <c r="N161" s="2"/>
      <c r="O161" s="2"/>
      <c r="P161" s="2"/>
      <c r="Q161" s="2"/>
      <c r="S161" s="3"/>
      <c r="T161" s="3"/>
      <c r="U161" s="3"/>
      <c r="V161" s="3"/>
      <c r="W161" s="3"/>
      <c r="X161" s="3"/>
      <c r="Y161" s="3"/>
      <c r="Z161" s="3"/>
    </row>
    <row r="162" ht="15.75" customHeight="1">
      <c r="A162" s="3"/>
      <c r="B162" s="2"/>
      <c r="C162" s="2"/>
      <c r="D162" s="2"/>
      <c r="E162" s="464"/>
      <c r="F162" s="2"/>
      <c r="G162" s="2"/>
      <c r="H162" s="2"/>
      <c r="I162" s="2"/>
      <c r="J162" s="2"/>
      <c r="K162" s="2"/>
      <c r="L162" s="2"/>
      <c r="M162" s="2"/>
      <c r="N162" s="2"/>
      <c r="O162" s="2"/>
      <c r="P162" s="2"/>
      <c r="Q162" s="2"/>
      <c r="S162" s="3"/>
      <c r="T162" s="3"/>
      <c r="U162" s="3"/>
      <c r="V162" s="3"/>
      <c r="W162" s="3"/>
      <c r="X162" s="3"/>
      <c r="Y162" s="3"/>
      <c r="Z162" s="3"/>
    </row>
    <row r="163" ht="15.75" customHeight="1">
      <c r="A163" s="3"/>
      <c r="B163" s="2"/>
      <c r="C163" s="2"/>
      <c r="D163" s="2"/>
      <c r="E163" s="464"/>
      <c r="F163" s="2"/>
      <c r="G163" s="2"/>
      <c r="H163" s="2"/>
      <c r="I163" s="2"/>
      <c r="J163" s="2"/>
      <c r="K163" s="2"/>
      <c r="L163" s="2"/>
      <c r="M163" s="2"/>
      <c r="N163" s="2"/>
      <c r="O163" s="2"/>
      <c r="P163" s="2"/>
      <c r="Q163" s="2"/>
      <c r="S163" s="3"/>
      <c r="T163" s="3"/>
      <c r="U163" s="3"/>
      <c r="V163" s="3"/>
      <c r="W163" s="3"/>
      <c r="X163" s="3"/>
      <c r="Y163" s="3"/>
      <c r="Z163" s="3"/>
    </row>
    <row r="164" ht="15.75" customHeight="1">
      <c r="A164" s="3"/>
      <c r="B164" s="2"/>
      <c r="C164" s="2"/>
      <c r="D164" s="2"/>
      <c r="E164" s="464"/>
      <c r="F164" s="2"/>
      <c r="G164" s="2"/>
      <c r="H164" s="2"/>
      <c r="I164" s="2"/>
      <c r="J164" s="2"/>
      <c r="K164" s="2"/>
      <c r="L164" s="2"/>
      <c r="M164" s="2"/>
      <c r="N164" s="2"/>
      <c r="O164" s="2"/>
      <c r="P164" s="2"/>
      <c r="Q164" s="2"/>
      <c r="S164" s="3"/>
      <c r="T164" s="3"/>
      <c r="U164" s="3"/>
      <c r="V164" s="3"/>
      <c r="W164" s="3"/>
      <c r="X164" s="3"/>
      <c r="Y164" s="3"/>
      <c r="Z164" s="3"/>
    </row>
    <row r="165" ht="15.75" customHeight="1">
      <c r="A165" s="3"/>
      <c r="B165" s="2"/>
      <c r="C165" s="2"/>
      <c r="D165" s="2"/>
      <c r="E165" s="464"/>
      <c r="F165" s="2"/>
      <c r="G165" s="2"/>
      <c r="H165" s="2"/>
      <c r="I165" s="2"/>
      <c r="J165" s="2"/>
      <c r="K165" s="2"/>
      <c r="L165" s="2"/>
      <c r="M165" s="2"/>
      <c r="N165" s="2"/>
      <c r="O165" s="2"/>
      <c r="P165" s="2"/>
      <c r="Q165" s="2"/>
      <c r="S165" s="3"/>
      <c r="T165" s="3"/>
      <c r="U165" s="3"/>
      <c r="V165" s="3"/>
      <c r="W165" s="3"/>
      <c r="X165" s="3"/>
      <c r="Y165" s="3"/>
      <c r="Z165" s="3"/>
    </row>
    <row r="166" ht="15.75" customHeight="1">
      <c r="A166" s="3"/>
      <c r="B166" s="2"/>
      <c r="C166" s="2"/>
      <c r="D166" s="2"/>
      <c r="E166" s="464"/>
      <c r="F166" s="2"/>
      <c r="G166" s="2"/>
      <c r="H166" s="2"/>
      <c r="I166" s="2"/>
      <c r="J166" s="2"/>
      <c r="K166" s="2"/>
      <c r="L166" s="2"/>
      <c r="M166" s="2"/>
      <c r="N166" s="2"/>
      <c r="O166" s="2"/>
      <c r="P166" s="2"/>
      <c r="Q166" s="2"/>
      <c r="S166" s="3"/>
      <c r="T166" s="3"/>
      <c r="U166" s="3"/>
      <c r="V166" s="3"/>
      <c r="W166" s="3"/>
      <c r="X166" s="3"/>
      <c r="Y166" s="3"/>
      <c r="Z166" s="3"/>
    </row>
    <row r="167" ht="15.75" customHeight="1">
      <c r="A167" s="3"/>
      <c r="B167" s="2"/>
      <c r="C167" s="2"/>
      <c r="D167" s="2"/>
      <c r="E167" s="464"/>
      <c r="F167" s="2"/>
      <c r="G167" s="2"/>
      <c r="H167" s="2"/>
      <c r="I167" s="2"/>
      <c r="J167" s="2"/>
      <c r="K167" s="2"/>
      <c r="L167" s="2"/>
      <c r="M167" s="2"/>
      <c r="N167" s="2"/>
      <c r="O167" s="2"/>
      <c r="P167" s="2"/>
      <c r="Q167" s="2"/>
      <c r="S167" s="3"/>
      <c r="T167" s="3"/>
      <c r="U167" s="3"/>
      <c r="V167" s="3"/>
      <c r="W167" s="3"/>
      <c r="X167" s="3"/>
      <c r="Y167" s="3"/>
      <c r="Z167" s="3"/>
    </row>
    <row r="168" ht="15.75" customHeight="1">
      <c r="A168" s="3"/>
      <c r="B168" s="2"/>
      <c r="C168" s="2"/>
      <c r="D168" s="2"/>
      <c r="E168" s="464"/>
      <c r="F168" s="2"/>
      <c r="G168" s="2"/>
      <c r="H168" s="2"/>
      <c r="I168" s="2"/>
      <c r="J168" s="2"/>
      <c r="K168" s="2"/>
      <c r="L168" s="2"/>
      <c r="M168" s="2"/>
      <c r="N168" s="2"/>
      <c r="O168" s="2"/>
      <c r="P168" s="2"/>
      <c r="Q168" s="2"/>
      <c r="S168" s="3"/>
      <c r="T168" s="3"/>
      <c r="U168" s="3"/>
      <c r="V168" s="3"/>
      <c r="W168" s="3"/>
      <c r="X168" s="3"/>
      <c r="Y168" s="3"/>
      <c r="Z168" s="3"/>
    </row>
    <row r="169" ht="15.75" customHeight="1">
      <c r="A169" s="3"/>
      <c r="B169" s="2"/>
      <c r="C169" s="2"/>
      <c r="D169" s="2"/>
      <c r="E169" s="464"/>
      <c r="F169" s="2"/>
      <c r="G169" s="2"/>
      <c r="H169" s="2"/>
      <c r="I169" s="2"/>
      <c r="J169" s="2"/>
      <c r="K169" s="2"/>
      <c r="L169" s="2"/>
      <c r="M169" s="2"/>
      <c r="N169" s="2"/>
      <c r="O169" s="2"/>
      <c r="P169" s="2"/>
      <c r="Q169" s="2"/>
      <c r="S169" s="3"/>
      <c r="T169" s="3"/>
      <c r="U169" s="3"/>
      <c r="V169" s="3"/>
      <c r="W169" s="3"/>
      <c r="X169" s="3"/>
      <c r="Y169" s="3"/>
      <c r="Z169" s="3"/>
    </row>
    <row r="170" ht="15.75" customHeight="1">
      <c r="A170" s="3"/>
      <c r="B170" s="2"/>
      <c r="C170" s="2"/>
      <c r="D170" s="2"/>
      <c r="E170" s="464"/>
      <c r="F170" s="2"/>
      <c r="G170" s="2"/>
      <c r="H170" s="2"/>
      <c r="I170" s="2"/>
      <c r="J170" s="2"/>
      <c r="K170" s="2"/>
      <c r="L170" s="2"/>
      <c r="M170" s="2"/>
      <c r="N170" s="2"/>
      <c r="O170" s="2"/>
      <c r="P170" s="2"/>
      <c r="Q170" s="2"/>
      <c r="S170" s="3"/>
      <c r="T170" s="3"/>
      <c r="U170" s="3"/>
      <c r="V170" s="3"/>
      <c r="W170" s="3"/>
      <c r="X170" s="3"/>
      <c r="Y170" s="3"/>
      <c r="Z170" s="3"/>
    </row>
    <row r="171" ht="15.75" customHeight="1">
      <c r="A171" s="3"/>
      <c r="B171" s="2"/>
      <c r="C171" s="2"/>
      <c r="D171" s="2"/>
      <c r="E171" s="464"/>
      <c r="F171" s="2"/>
      <c r="G171" s="2"/>
      <c r="H171" s="2"/>
      <c r="I171" s="2"/>
      <c r="J171" s="2"/>
      <c r="K171" s="2"/>
      <c r="L171" s="2"/>
      <c r="M171" s="2"/>
      <c r="N171" s="2"/>
      <c r="O171" s="2"/>
      <c r="P171" s="2"/>
      <c r="Q171" s="2"/>
      <c r="S171" s="3"/>
      <c r="T171" s="3"/>
      <c r="U171" s="3"/>
      <c r="V171" s="3"/>
      <c r="W171" s="3"/>
      <c r="X171" s="3"/>
      <c r="Y171" s="3"/>
      <c r="Z171" s="3"/>
    </row>
    <row r="172" ht="15.75" customHeight="1">
      <c r="A172" s="3"/>
      <c r="B172" s="2"/>
      <c r="C172" s="2"/>
      <c r="D172" s="2"/>
      <c r="E172" s="464"/>
      <c r="F172" s="2"/>
      <c r="G172" s="2"/>
      <c r="H172" s="2"/>
      <c r="I172" s="2"/>
      <c r="J172" s="2"/>
      <c r="K172" s="2"/>
      <c r="L172" s="2"/>
      <c r="M172" s="2"/>
      <c r="N172" s="2"/>
      <c r="O172" s="2"/>
      <c r="P172" s="2"/>
      <c r="Q172" s="2"/>
      <c r="S172" s="3"/>
      <c r="T172" s="3"/>
      <c r="U172" s="3"/>
      <c r="V172" s="3"/>
      <c r="W172" s="3"/>
      <c r="X172" s="3"/>
      <c r="Y172" s="3"/>
      <c r="Z172" s="3"/>
    </row>
    <row r="173" ht="15.75" customHeight="1">
      <c r="A173" s="3"/>
      <c r="B173" s="2"/>
      <c r="C173" s="2"/>
      <c r="D173" s="2"/>
      <c r="E173" s="464"/>
      <c r="F173" s="2"/>
      <c r="G173" s="2"/>
      <c r="H173" s="2"/>
      <c r="I173" s="2"/>
      <c r="J173" s="2"/>
      <c r="K173" s="2"/>
      <c r="L173" s="2"/>
      <c r="M173" s="2"/>
      <c r="N173" s="2"/>
      <c r="O173" s="2"/>
      <c r="P173" s="2"/>
      <c r="Q173" s="2"/>
      <c r="S173" s="3"/>
      <c r="T173" s="3"/>
      <c r="U173" s="3"/>
      <c r="V173" s="3"/>
      <c r="W173" s="3"/>
      <c r="X173" s="3"/>
      <c r="Y173" s="3"/>
      <c r="Z173" s="3"/>
    </row>
    <row r="174" ht="15.75" customHeight="1">
      <c r="A174" s="3"/>
      <c r="B174" s="2"/>
      <c r="C174" s="2"/>
      <c r="D174" s="2"/>
      <c r="E174" s="464"/>
      <c r="F174" s="2"/>
      <c r="G174" s="2"/>
      <c r="H174" s="2"/>
      <c r="I174" s="2"/>
      <c r="J174" s="2"/>
      <c r="K174" s="2"/>
      <c r="L174" s="2"/>
      <c r="M174" s="2"/>
      <c r="N174" s="2"/>
      <c r="O174" s="2"/>
      <c r="P174" s="2"/>
      <c r="Q174" s="2"/>
      <c r="S174" s="3"/>
      <c r="T174" s="3"/>
      <c r="U174" s="3"/>
      <c r="V174" s="3"/>
      <c r="W174" s="3"/>
      <c r="X174" s="3"/>
      <c r="Y174" s="3"/>
      <c r="Z174" s="3"/>
    </row>
    <row r="175" ht="15.75" customHeight="1">
      <c r="A175" s="3"/>
      <c r="B175" s="2"/>
      <c r="C175" s="2"/>
      <c r="D175" s="2"/>
      <c r="E175" s="464"/>
      <c r="F175" s="2"/>
      <c r="G175" s="2"/>
      <c r="H175" s="2"/>
      <c r="I175" s="2"/>
      <c r="J175" s="2"/>
      <c r="K175" s="2"/>
      <c r="L175" s="2"/>
      <c r="M175" s="2"/>
      <c r="N175" s="2"/>
      <c r="O175" s="2"/>
      <c r="P175" s="2"/>
      <c r="Q175" s="2"/>
      <c r="S175" s="3"/>
      <c r="T175" s="3"/>
      <c r="U175" s="3"/>
      <c r="V175" s="3"/>
      <c r="W175" s="3"/>
      <c r="X175" s="3"/>
      <c r="Y175" s="3"/>
      <c r="Z175" s="3"/>
    </row>
    <row r="176" ht="15.75" customHeight="1">
      <c r="A176" s="3"/>
      <c r="B176" s="2"/>
      <c r="C176" s="2"/>
      <c r="D176" s="2"/>
      <c r="E176" s="464"/>
      <c r="F176" s="2"/>
      <c r="G176" s="2"/>
      <c r="H176" s="2"/>
      <c r="I176" s="2"/>
      <c r="J176" s="2"/>
      <c r="K176" s="2"/>
      <c r="L176" s="2"/>
      <c r="M176" s="2"/>
      <c r="N176" s="2"/>
      <c r="O176" s="2"/>
      <c r="P176" s="2"/>
      <c r="Q176" s="2"/>
      <c r="S176" s="3"/>
      <c r="T176" s="3"/>
      <c r="U176" s="3"/>
      <c r="V176" s="3"/>
      <c r="W176" s="3"/>
      <c r="X176" s="3"/>
      <c r="Y176" s="3"/>
      <c r="Z176" s="3"/>
    </row>
    <row r="177" ht="15.75" customHeight="1">
      <c r="A177" s="3"/>
      <c r="B177" s="2"/>
      <c r="C177" s="2"/>
      <c r="D177" s="2"/>
      <c r="E177" s="464"/>
      <c r="F177" s="2"/>
      <c r="G177" s="2"/>
      <c r="H177" s="2"/>
      <c r="I177" s="2"/>
      <c r="J177" s="2"/>
      <c r="K177" s="2"/>
      <c r="L177" s="2"/>
      <c r="M177" s="2"/>
      <c r="N177" s="2"/>
      <c r="O177" s="2"/>
      <c r="P177" s="2"/>
      <c r="Q177" s="2"/>
      <c r="S177" s="3"/>
      <c r="T177" s="3"/>
      <c r="U177" s="3"/>
      <c r="V177" s="3"/>
      <c r="W177" s="3"/>
      <c r="X177" s="3"/>
      <c r="Y177" s="3"/>
      <c r="Z177" s="3"/>
    </row>
    <row r="178" ht="15.75" customHeight="1">
      <c r="A178" s="3"/>
      <c r="B178" s="2"/>
      <c r="C178" s="2"/>
      <c r="D178" s="2"/>
      <c r="E178" s="464"/>
      <c r="F178" s="2"/>
      <c r="G178" s="2"/>
      <c r="H178" s="2"/>
      <c r="I178" s="2"/>
      <c r="J178" s="2"/>
      <c r="K178" s="2"/>
      <c r="L178" s="2"/>
      <c r="M178" s="2"/>
      <c r="N178" s="2"/>
      <c r="O178" s="2"/>
      <c r="P178" s="2"/>
      <c r="Q178" s="2"/>
      <c r="S178" s="3"/>
      <c r="T178" s="3"/>
      <c r="U178" s="3"/>
      <c r="V178" s="3"/>
      <c r="W178" s="3"/>
      <c r="X178" s="3"/>
      <c r="Y178" s="3"/>
      <c r="Z178" s="3"/>
    </row>
    <row r="179" ht="15.75" customHeight="1">
      <c r="A179" s="3"/>
      <c r="B179" s="2"/>
      <c r="C179" s="2"/>
      <c r="D179" s="2"/>
      <c r="E179" s="464"/>
      <c r="F179" s="2"/>
      <c r="G179" s="2"/>
      <c r="H179" s="2"/>
      <c r="I179" s="2"/>
      <c r="J179" s="2"/>
      <c r="K179" s="2"/>
      <c r="L179" s="2"/>
      <c r="M179" s="2"/>
      <c r="N179" s="2"/>
      <c r="O179" s="2"/>
      <c r="P179" s="2"/>
      <c r="Q179" s="2"/>
      <c r="S179" s="3"/>
      <c r="T179" s="3"/>
      <c r="U179" s="3"/>
      <c r="V179" s="3"/>
      <c r="W179" s="3"/>
      <c r="X179" s="3"/>
      <c r="Y179" s="3"/>
      <c r="Z179" s="3"/>
    </row>
    <row r="180" ht="15.75" customHeight="1">
      <c r="A180" s="3"/>
      <c r="B180" s="2"/>
      <c r="C180" s="2"/>
      <c r="D180" s="2"/>
      <c r="E180" s="464"/>
      <c r="F180" s="2"/>
      <c r="G180" s="2"/>
      <c r="H180" s="2"/>
      <c r="I180" s="2"/>
      <c r="J180" s="2"/>
      <c r="K180" s="2"/>
      <c r="L180" s="2"/>
      <c r="M180" s="2"/>
      <c r="N180" s="2"/>
      <c r="O180" s="2"/>
      <c r="P180" s="2"/>
      <c r="Q180" s="2"/>
      <c r="S180" s="3"/>
      <c r="T180" s="3"/>
      <c r="U180" s="3"/>
      <c r="V180" s="3"/>
      <c r="W180" s="3"/>
      <c r="X180" s="3"/>
      <c r="Y180" s="3"/>
      <c r="Z180" s="3"/>
    </row>
    <row r="181" ht="15.75" customHeight="1">
      <c r="A181" s="3"/>
      <c r="B181" s="2"/>
      <c r="C181" s="2"/>
      <c r="D181" s="2"/>
      <c r="E181" s="464"/>
      <c r="F181" s="2"/>
      <c r="G181" s="2"/>
      <c r="H181" s="2"/>
      <c r="I181" s="2"/>
      <c r="J181" s="2"/>
      <c r="K181" s="2"/>
      <c r="L181" s="2"/>
      <c r="M181" s="2"/>
      <c r="N181" s="2"/>
      <c r="O181" s="2"/>
      <c r="P181" s="2"/>
      <c r="Q181" s="2"/>
      <c r="S181" s="3"/>
      <c r="T181" s="3"/>
      <c r="U181" s="3"/>
      <c r="V181" s="3"/>
      <c r="W181" s="3"/>
      <c r="X181" s="3"/>
      <c r="Y181" s="3"/>
      <c r="Z181" s="3"/>
    </row>
    <row r="182" ht="15.75" customHeight="1">
      <c r="A182" s="3"/>
      <c r="B182" s="2"/>
      <c r="C182" s="2"/>
      <c r="D182" s="2"/>
      <c r="E182" s="464"/>
      <c r="F182" s="2"/>
      <c r="G182" s="2"/>
      <c r="H182" s="2"/>
      <c r="I182" s="2"/>
      <c r="J182" s="2"/>
      <c r="K182" s="2"/>
      <c r="L182" s="2"/>
      <c r="M182" s="2"/>
      <c r="N182" s="2"/>
      <c r="O182" s="2"/>
      <c r="P182" s="2"/>
      <c r="Q182" s="2"/>
      <c r="S182" s="3"/>
      <c r="T182" s="3"/>
      <c r="U182" s="3"/>
      <c r="V182" s="3"/>
      <c r="W182" s="3"/>
      <c r="X182" s="3"/>
      <c r="Y182" s="3"/>
      <c r="Z182" s="3"/>
    </row>
    <row r="183" ht="15.75" customHeight="1">
      <c r="A183" s="3"/>
      <c r="B183" s="2"/>
      <c r="C183" s="2"/>
      <c r="D183" s="2"/>
      <c r="E183" s="464"/>
      <c r="F183" s="2"/>
      <c r="G183" s="2"/>
      <c r="H183" s="2"/>
      <c r="I183" s="2"/>
      <c r="J183" s="2"/>
      <c r="K183" s="2"/>
      <c r="L183" s="2"/>
      <c r="M183" s="2"/>
      <c r="N183" s="2"/>
      <c r="O183" s="2"/>
      <c r="P183" s="2"/>
      <c r="Q183" s="2"/>
      <c r="S183" s="3"/>
      <c r="T183" s="3"/>
      <c r="U183" s="3"/>
      <c r="V183" s="3"/>
      <c r="W183" s="3"/>
      <c r="X183" s="3"/>
      <c r="Y183" s="3"/>
      <c r="Z183" s="3"/>
    </row>
    <row r="184" ht="15.75" customHeight="1">
      <c r="A184" s="3"/>
      <c r="B184" s="2"/>
      <c r="C184" s="2"/>
      <c r="D184" s="2"/>
      <c r="E184" s="464"/>
      <c r="F184" s="2"/>
      <c r="G184" s="2"/>
      <c r="H184" s="2"/>
      <c r="I184" s="2"/>
      <c r="J184" s="2"/>
      <c r="K184" s="2"/>
      <c r="L184" s="2"/>
      <c r="M184" s="2"/>
      <c r="N184" s="2"/>
      <c r="O184" s="2"/>
      <c r="P184" s="2"/>
      <c r="Q184" s="2"/>
      <c r="S184" s="3"/>
      <c r="T184" s="3"/>
      <c r="U184" s="3"/>
      <c r="V184" s="3"/>
      <c r="W184" s="3"/>
      <c r="X184" s="3"/>
      <c r="Y184" s="3"/>
      <c r="Z184" s="3"/>
    </row>
    <row r="185" ht="15.75" customHeight="1">
      <c r="A185" s="3"/>
      <c r="B185" s="2"/>
      <c r="C185" s="2"/>
      <c r="D185" s="2"/>
      <c r="E185" s="464"/>
      <c r="F185" s="2"/>
      <c r="G185" s="2"/>
      <c r="H185" s="2"/>
      <c r="I185" s="2"/>
      <c r="J185" s="2"/>
      <c r="K185" s="2"/>
      <c r="L185" s="2"/>
      <c r="M185" s="2"/>
      <c r="N185" s="2"/>
      <c r="O185" s="2"/>
      <c r="P185" s="2"/>
      <c r="Q185" s="2"/>
      <c r="S185" s="3"/>
      <c r="T185" s="3"/>
      <c r="U185" s="3"/>
      <c r="V185" s="3"/>
      <c r="W185" s="3"/>
      <c r="X185" s="3"/>
      <c r="Y185" s="3"/>
      <c r="Z185" s="3"/>
    </row>
    <row r="186" ht="15.75" customHeight="1">
      <c r="A186" s="3"/>
      <c r="B186" s="2"/>
      <c r="C186" s="2"/>
      <c r="D186" s="2"/>
      <c r="E186" s="464"/>
      <c r="F186" s="2"/>
      <c r="G186" s="2"/>
      <c r="H186" s="2"/>
      <c r="I186" s="2"/>
      <c r="J186" s="2"/>
      <c r="K186" s="2"/>
      <c r="L186" s="2"/>
      <c r="M186" s="2"/>
      <c r="N186" s="2"/>
      <c r="O186" s="2"/>
      <c r="P186" s="2"/>
      <c r="Q186" s="2"/>
      <c r="S186" s="3"/>
      <c r="T186" s="3"/>
      <c r="U186" s="3"/>
      <c r="V186" s="3"/>
      <c r="W186" s="3"/>
      <c r="X186" s="3"/>
      <c r="Y186" s="3"/>
      <c r="Z186" s="3"/>
    </row>
    <row r="187" ht="15.75" customHeight="1">
      <c r="A187" s="3"/>
      <c r="B187" s="2"/>
      <c r="C187" s="2"/>
      <c r="D187" s="2"/>
      <c r="E187" s="464"/>
      <c r="F187" s="2"/>
      <c r="G187" s="2"/>
      <c r="H187" s="2"/>
      <c r="I187" s="2"/>
      <c r="J187" s="2"/>
      <c r="K187" s="2"/>
      <c r="L187" s="2"/>
      <c r="M187" s="2"/>
      <c r="N187" s="2"/>
      <c r="O187" s="2"/>
      <c r="P187" s="2"/>
      <c r="Q187" s="2"/>
      <c r="S187" s="3"/>
      <c r="T187" s="3"/>
      <c r="U187" s="3"/>
      <c r="V187" s="3"/>
      <c r="W187" s="3"/>
      <c r="X187" s="3"/>
      <c r="Y187" s="3"/>
      <c r="Z187" s="3"/>
    </row>
    <row r="188" ht="15.75" customHeight="1">
      <c r="A188" s="3"/>
      <c r="B188" s="2"/>
      <c r="C188" s="2"/>
      <c r="D188" s="2"/>
      <c r="E188" s="464"/>
      <c r="F188" s="2"/>
      <c r="G188" s="2"/>
      <c r="H188" s="2"/>
      <c r="I188" s="2"/>
      <c r="J188" s="2"/>
      <c r="K188" s="2"/>
      <c r="L188" s="2"/>
      <c r="M188" s="2"/>
      <c r="N188" s="2"/>
      <c r="O188" s="2"/>
      <c r="P188" s="2"/>
      <c r="Q188" s="2"/>
      <c r="S188" s="3"/>
      <c r="T188" s="3"/>
      <c r="U188" s="3"/>
      <c r="V188" s="3"/>
      <c r="W188" s="3"/>
      <c r="X188" s="3"/>
      <c r="Y188" s="3"/>
      <c r="Z188" s="3"/>
    </row>
    <row r="189" ht="15.75" customHeight="1">
      <c r="A189" s="3"/>
      <c r="B189" s="2"/>
      <c r="C189" s="2"/>
      <c r="D189" s="2"/>
      <c r="E189" s="464"/>
      <c r="F189" s="2"/>
      <c r="G189" s="2"/>
      <c r="H189" s="2"/>
      <c r="I189" s="2"/>
      <c r="J189" s="2"/>
      <c r="K189" s="2"/>
      <c r="L189" s="2"/>
      <c r="M189" s="2"/>
      <c r="N189" s="2"/>
      <c r="O189" s="2"/>
      <c r="P189" s="2"/>
      <c r="Q189" s="2"/>
      <c r="S189" s="3"/>
      <c r="T189" s="3"/>
      <c r="U189" s="3"/>
      <c r="V189" s="3"/>
      <c r="W189" s="3"/>
      <c r="X189" s="3"/>
      <c r="Y189" s="3"/>
      <c r="Z189" s="3"/>
    </row>
    <row r="190" ht="15.75" customHeight="1">
      <c r="A190" s="3"/>
      <c r="B190" s="2"/>
      <c r="C190" s="2"/>
      <c r="D190" s="2"/>
      <c r="E190" s="464"/>
      <c r="F190" s="2"/>
      <c r="G190" s="2"/>
      <c r="H190" s="2"/>
      <c r="I190" s="2"/>
      <c r="J190" s="2"/>
      <c r="K190" s="2"/>
      <c r="L190" s="2"/>
      <c r="M190" s="2"/>
      <c r="N190" s="2"/>
      <c r="O190" s="2"/>
      <c r="P190" s="2"/>
      <c r="Q190" s="2"/>
      <c r="S190" s="3"/>
      <c r="T190" s="3"/>
      <c r="U190" s="3"/>
      <c r="V190" s="3"/>
      <c r="W190" s="3"/>
      <c r="X190" s="3"/>
      <c r="Y190" s="3"/>
      <c r="Z190" s="3"/>
    </row>
    <row r="191" ht="15.75" customHeight="1">
      <c r="A191" s="3"/>
      <c r="B191" s="2"/>
      <c r="C191" s="2"/>
      <c r="D191" s="2"/>
      <c r="E191" s="464"/>
      <c r="F191" s="2"/>
      <c r="G191" s="2"/>
      <c r="H191" s="2"/>
      <c r="I191" s="2"/>
      <c r="J191" s="2"/>
      <c r="K191" s="2"/>
      <c r="L191" s="2"/>
      <c r="M191" s="2"/>
      <c r="N191" s="2"/>
      <c r="O191" s="2"/>
      <c r="P191" s="2"/>
      <c r="Q191" s="2"/>
      <c r="S191" s="3"/>
      <c r="T191" s="3"/>
      <c r="U191" s="3"/>
      <c r="V191" s="3"/>
      <c r="W191" s="3"/>
      <c r="X191" s="3"/>
      <c r="Y191" s="3"/>
      <c r="Z191" s="3"/>
    </row>
    <row r="192" ht="15.75" customHeight="1">
      <c r="A192" s="3"/>
      <c r="B192" s="2"/>
      <c r="C192" s="2"/>
      <c r="D192" s="2"/>
      <c r="E192" s="464"/>
      <c r="F192" s="2"/>
      <c r="G192" s="2"/>
      <c r="H192" s="2"/>
      <c r="I192" s="2"/>
      <c r="J192" s="2"/>
      <c r="K192" s="2"/>
      <c r="L192" s="2"/>
      <c r="M192" s="2"/>
      <c r="N192" s="2"/>
      <c r="O192" s="2"/>
      <c r="P192" s="2"/>
      <c r="Q192" s="2"/>
      <c r="S192" s="3"/>
      <c r="T192" s="3"/>
      <c r="U192" s="3"/>
      <c r="V192" s="3"/>
      <c r="W192" s="3"/>
      <c r="X192" s="3"/>
      <c r="Y192" s="3"/>
      <c r="Z192" s="3"/>
    </row>
    <row r="193" ht="15.75" customHeight="1">
      <c r="A193" s="3"/>
      <c r="B193" s="2"/>
      <c r="C193" s="2"/>
      <c r="D193" s="2"/>
      <c r="E193" s="464"/>
      <c r="F193" s="2"/>
      <c r="G193" s="2"/>
      <c r="H193" s="2"/>
      <c r="I193" s="2"/>
      <c r="J193" s="2"/>
      <c r="K193" s="2"/>
      <c r="L193" s="2"/>
      <c r="M193" s="2"/>
      <c r="N193" s="2"/>
      <c r="O193" s="2"/>
      <c r="P193" s="2"/>
      <c r="Q193" s="2"/>
      <c r="S193" s="3"/>
      <c r="T193" s="3"/>
      <c r="U193" s="3"/>
      <c r="V193" s="3"/>
      <c r="W193" s="3"/>
      <c r="X193" s="3"/>
      <c r="Y193" s="3"/>
      <c r="Z193" s="3"/>
    </row>
    <row r="194" ht="15.75" customHeight="1">
      <c r="A194" s="3"/>
      <c r="B194" s="2"/>
      <c r="C194" s="2"/>
      <c r="D194" s="2"/>
      <c r="E194" s="464"/>
      <c r="F194" s="2"/>
      <c r="G194" s="2"/>
      <c r="H194" s="2"/>
      <c r="I194" s="2"/>
      <c r="J194" s="2"/>
      <c r="K194" s="2"/>
      <c r="L194" s="2"/>
      <c r="M194" s="2"/>
      <c r="N194" s="2"/>
      <c r="O194" s="2"/>
      <c r="P194" s="2"/>
      <c r="Q194" s="2"/>
      <c r="S194" s="3"/>
      <c r="T194" s="3"/>
      <c r="U194" s="3"/>
      <c r="V194" s="3"/>
      <c r="W194" s="3"/>
      <c r="X194" s="3"/>
      <c r="Y194" s="3"/>
      <c r="Z194" s="3"/>
    </row>
    <row r="195" ht="15.75" customHeight="1">
      <c r="A195" s="3"/>
      <c r="B195" s="2"/>
      <c r="C195" s="2"/>
      <c r="D195" s="2"/>
      <c r="E195" s="464"/>
      <c r="F195" s="2"/>
      <c r="G195" s="2"/>
      <c r="H195" s="2"/>
      <c r="I195" s="2"/>
      <c r="J195" s="2"/>
      <c r="K195" s="2"/>
      <c r="L195" s="2"/>
      <c r="M195" s="2"/>
      <c r="N195" s="2"/>
      <c r="O195" s="2"/>
      <c r="P195" s="2"/>
      <c r="Q195" s="2"/>
      <c r="S195" s="3"/>
      <c r="T195" s="3"/>
      <c r="U195" s="3"/>
      <c r="V195" s="3"/>
      <c r="W195" s="3"/>
      <c r="X195" s="3"/>
      <c r="Y195" s="3"/>
      <c r="Z195" s="3"/>
    </row>
    <row r="196" ht="15.75" customHeight="1">
      <c r="A196" s="3"/>
      <c r="B196" s="2"/>
      <c r="C196" s="2"/>
      <c r="D196" s="2"/>
      <c r="E196" s="464"/>
      <c r="F196" s="2"/>
      <c r="G196" s="2"/>
      <c r="H196" s="2"/>
      <c r="I196" s="2"/>
      <c r="J196" s="2"/>
      <c r="K196" s="2"/>
      <c r="L196" s="2"/>
      <c r="M196" s="2"/>
      <c r="N196" s="2"/>
      <c r="O196" s="2"/>
      <c r="P196" s="2"/>
      <c r="Q196" s="2"/>
      <c r="S196" s="3"/>
      <c r="T196" s="3"/>
      <c r="U196" s="3"/>
      <c r="V196" s="3"/>
      <c r="W196" s="3"/>
      <c r="X196" s="3"/>
      <c r="Y196" s="3"/>
      <c r="Z196" s="3"/>
    </row>
    <row r="197" ht="15.75" customHeight="1">
      <c r="A197" s="3"/>
      <c r="B197" s="2"/>
      <c r="C197" s="2"/>
      <c r="D197" s="2"/>
      <c r="E197" s="464"/>
      <c r="F197" s="2"/>
      <c r="G197" s="2"/>
      <c r="H197" s="2"/>
      <c r="I197" s="2"/>
      <c r="J197" s="2"/>
      <c r="K197" s="2"/>
      <c r="L197" s="2"/>
      <c r="M197" s="2"/>
      <c r="N197" s="2"/>
      <c r="O197" s="2"/>
      <c r="P197" s="2"/>
      <c r="Q197" s="2"/>
      <c r="S197" s="3"/>
      <c r="T197" s="3"/>
      <c r="U197" s="3"/>
      <c r="V197" s="3"/>
      <c r="W197" s="3"/>
      <c r="X197" s="3"/>
      <c r="Y197" s="3"/>
      <c r="Z197" s="3"/>
    </row>
    <row r="198" ht="15.75" customHeight="1">
      <c r="A198" s="3"/>
      <c r="B198" s="2"/>
      <c r="C198" s="2"/>
      <c r="D198" s="2"/>
      <c r="E198" s="464"/>
      <c r="F198" s="2"/>
      <c r="G198" s="2"/>
      <c r="H198" s="2"/>
      <c r="I198" s="2"/>
      <c r="J198" s="2"/>
      <c r="K198" s="2"/>
      <c r="L198" s="2"/>
      <c r="M198" s="2"/>
      <c r="N198" s="2"/>
      <c r="O198" s="2"/>
      <c r="P198" s="2"/>
      <c r="Q198" s="2"/>
      <c r="S198" s="3"/>
      <c r="T198" s="3"/>
      <c r="U198" s="3"/>
      <c r="V198" s="3"/>
      <c r="W198" s="3"/>
      <c r="X198" s="3"/>
      <c r="Y198" s="3"/>
      <c r="Z198" s="3"/>
    </row>
    <row r="199" ht="15.75" customHeight="1">
      <c r="A199" s="3"/>
      <c r="B199" s="2"/>
      <c r="C199" s="2"/>
      <c r="D199" s="2"/>
      <c r="E199" s="464"/>
      <c r="F199" s="2"/>
      <c r="G199" s="2"/>
      <c r="H199" s="2"/>
      <c r="I199" s="2"/>
      <c r="J199" s="2"/>
      <c r="K199" s="2"/>
      <c r="L199" s="2"/>
      <c r="M199" s="2"/>
      <c r="N199" s="2"/>
      <c r="O199" s="2"/>
      <c r="P199" s="2"/>
      <c r="Q199" s="2"/>
      <c r="S199" s="3"/>
      <c r="T199" s="3"/>
      <c r="U199" s="3"/>
      <c r="V199" s="3"/>
      <c r="W199" s="3"/>
      <c r="X199" s="3"/>
      <c r="Y199" s="3"/>
      <c r="Z199" s="3"/>
    </row>
    <row r="200" ht="15.75" customHeight="1">
      <c r="A200" s="3"/>
      <c r="B200" s="2"/>
      <c r="C200" s="2"/>
      <c r="D200" s="2"/>
      <c r="E200" s="464"/>
      <c r="F200" s="2"/>
      <c r="G200" s="2"/>
      <c r="H200" s="2"/>
      <c r="I200" s="2"/>
      <c r="J200" s="2"/>
      <c r="K200" s="2"/>
      <c r="L200" s="2"/>
      <c r="M200" s="2"/>
      <c r="N200" s="2"/>
      <c r="O200" s="2"/>
      <c r="P200" s="2"/>
      <c r="Q200" s="2"/>
      <c r="S200" s="3"/>
      <c r="T200" s="3"/>
      <c r="U200" s="3"/>
      <c r="V200" s="3"/>
      <c r="W200" s="3"/>
      <c r="X200" s="3"/>
      <c r="Y200" s="3"/>
      <c r="Z200" s="3"/>
    </row>
    <row r="201" ht="15.75" customHeight="1">
      <c r="A201" s="3"/>
      <c r="B201" s="2"/>
      <c r="C201" s="2"/>
      <c r="D201" s="2"/>
      <c r="E201" s="464"/>
      <c r="F201" s="2"/>
      <c r="G201" s="2"/>
      <c r="H201" s="2"/>
      <c r="I201" s="2"/>
      <c r="J201" s="2"/>
      <c r="K201" s="2"/>
      <c r="L201" s="2"/>
      <c r="M201" s="2"/>
      <c r="N201" s="2"/>
      <c r="O201" s="2"/>
      <c r="P201" s="2"/>
      <c r="Q201" s="2"/>
      <c r="S201" s="3"/>
      <c r="T201" s="3"/>
      <c r="U201" s="3"/>
      <c r="V201" s="3"/>
      <c r="W201" s="3"/>
      <c r="X201" s="3"/>
      <c r="Y201" s="3"/>
      <c r="Z201" s="3"/>
    </row>
    <row r="202" ht="15.75" customHeight="1">
      <c r="A202" s="3"/>
      <c r="B202" s="2"/>
      <c r="C202" s="2"/>
      <c r="D202" s="2"/>
      <c r="E202" s="464"/>
      <c r="F202" s="2"/>
      <c r="G202" s="2"/>
      <c r="H202" s="2"/>
      <c r="I202" s="2"/>
      <c r="J202" s="2"/>
      <c r="K202" s="2"/>
      <c r="L202" s="2"/>
      <c r="M202" s="2"/>
      <c r="N202" s="2"/>
      <c r="O202" s="2"/>
      <c r="P202" s="2"/>
      <c r="Q202" s="2"/>
      <c r="S202" s="3"/>
      <c r="T202" s="3"/>
      <c r="U202" s="3"/>
      <c r="V202" s="3"/>
      <c r="W202" s="3"/>
      <c r="X202" s="3"/>
      <c r="Y202" s="3"/>
      <c r="Z202" s="3"/>
    </row>
    <row r="203" ht="15.75" customHeight="1">
      <c r="A203" s="3"/>
      <c r="B203" s="2"/>
      <c r="C203" s="2"/>
      <c r="D203" s="2"/>
      <c r="E203" s="464"/>
      <c r="F203" s="2"/>
      <c r="G203" s="2"/>
      <c r="H203" s="2"/>
      <c r="I203" s="2"/>
      <c r="J203" s="2"/>
      <c r="K203" s="2"/>
      <c r="L203" s="2"/>
      <c r="M203" s="2"/>
      <c r="N203" s="2"/>
      <c r="O203" s="2"/>
      <c r="P203" s="2"/>
      <c r="Q203" s="2"/>
      <c r="S203" s="3"/>
      <c r="T203" s="3"/>
      <c r="U203" s="3"/>
      <c r="V203" s="3"/>
      <c r="W203" s="3"/>
      <c r="X203" s="3"/>
      <c r="Y203" s="3"/>
      <c r="Z203" s="3"/>
    </row>
    <row r="204" ht="15.75" customHeight="1">
      <c r="A204" s="3"/>
      <c r="B204" s="2"/>
      <c r="C204" s="2"/>
      <c r="D204" s="2"/>
      <c r="E204" s="464"/>
      <c r="F204" s="2"/>
      <c r="G204" s="2"/>
      <c r="H204" s="2"/>
      <c r="I204" s="2"/>
      <c r="J204" s="2"/>
      <c r="K204" s="2"/>
      <c r="L204" s="2"/>
      <c r="M204" s="2"/>
      <c r="N204" s="2"/>
      <c r="O204" s="2"/>
      <c r="P204" s="2"/>
      <c r="Q204" s="2"/>
      <c r="S204" s="3"/>
      <c r="T204" s="3"/>
      <c r="U204" s="3"/>
      <c r="V204" s="3"/>
      <c r="W204" s="3"/>
      <c r="X204" s="3"/>
      <c r="Y204" s="3"/>
      <c r="Z204" s="3"/>
    </row>
    <row r="205" ht="15.75" customHeight="1">
      <c r="A205" s="3"/>
      <c r="B205" s="2"/>
      <c r="C205" s="2"/>
      <c r="D205" s="2"/>
      <c r="E205" s="464"/>
      <c r="F205" s="2"/>
      <c r="G205" s="2"/>
      <c r="H205" s="2"/>
      <c r="I205" s="2"/>
      <c r="J205" s="2"/>
      <c r="K205" s="2"/>
      <c r="L205" s="2"/>
      <c r="M205" s="2"/>
      <c r="N205" s="2"/>
      <c r="O205" s="2"/>
      <c r="P205" s="2"/>
      <c r="Q205" s="2"/>
      <c r="S205" s="3"/>
      <c r="T205" s="3"/>
      <c r="U205" s="3"/>
      <c r="V205" s="3"/>
      <c r="W205" s="3"/>
      <c r="X205" s="3"/>
      <c r="Y205" s="3"/>
      <c r="Z205" s="3"/>
    </row>
    <row r="206" ht="15.75" customHeight="1">
      <c r="A206" s="3"/>
      <c r="B206" s="2"/>
      <c r="C206" s="2"/>
      <c r="D206" s="2"/>
      <c r="E206" s="464"/>
      <c r="F206" s="2"/>
      <c r="G206" s="2"/>
      <c r="H206" s="2"/>
      <c r="I206" s="2"/>
      <c r="J206" s="2"/>
      <c r="K206" s="2"/>
      <c r="L206" s="2"/>
      <c r="M206" s="2"/>
      <c r="N206" s="2"/>
      <c r="O206" s="2"/>
      <c r="P206" s="2"/>
      <c r="Q206" s="2"/>
      <c r="S206" s="3"/>
      <c r="T206" s="3"/>
      <c r="U206" s="3"/>
      <c r="V206" s="3"/>
      <c r="W206" s="3"/>
      <c r="X206" s="3"/>
      <c r="Y206" s="3"/>
      <c r="Z206" s="3"/>
    </row>
    <row r="207" ht="15.75" customHeight="1">
      <c r="A207" s="3"/>
      <c r="B207" s="2"/>
      <c r="C207" s="2"/>
      <c r="D207" s="2"/>
      <c r="E207" s="464"/>
      <c r="F207" s="2"/>
      <c r="G207" s="2"/>
      <c r="H207" s="2"/>
      <c r="I207" s="2"/>
      <c r="J207" s="2"/>
      <c r="K207" s="2"/>
      <c r="L207" s="2"/>
      <c r="M207" s="2"/>
      <c r="N207" s="2"/>
      <c r="O207" s="2"/>
      <c r="P207" s="2"/>
      <c r="Q207" s="2"/>
      <c r="S207" s="3"/>
      <c r="T207" s="3"/>
      <c r="U207" s="3"/>
      <c r="V207" s="3"/>
      <c r="W207" s="3"/>
      <c r="X207" s="3"/>
      <c r="Y207" s="3"/>
      <c r="Z207" s="3"/>
    </row>
    <row r="208" ht="15.75" customHeight="1">
      <c r="A208" s="3"/>
      <c r="B208" s="2"/>
      <c r="C208" s="2"/>
      <c r="D208" s="2"/>
      <c r="E208" s="464"/>
      <c r="F208" s="2"/>
      <c r="G208" s="2"/>
      <c r="H208" s="2"/>
      <c r="I208" s="2"/>
      <c r="J208" s="2"/>
      <c r="K208" s="2"/>
      <c r="L208" s="2"/>
      <c r="M208" s="2"/>
      <c r="N208" s="2"/>
      <c r="O208" s="2"/>
      <c r="P208" s="2"/>
      <c r="Q208" s="2"/>
      <c r="S208" s="3"/>
      <c r="T208" s="3"/>
      <c r="U208" s="3"/>
      <c r="V208" s="3"/>
      <c r="W208" s="3"/>
      <c r="X208" s="3"/>
      <c r="Y208" s="3"/>
      <c r="Z208" s="3"/>
    </row>
    <row r="209" ht="15.75" customHeight="1">
      <c r="A209" s="3"/>
      <c r="B209" s="2"/>
      <c r="C209" s="2"/>
      <c r="D209" s="2"/>
      <c r="E209" s="464"/>
      <c r="F209" s="2"/>
      <c r="G209" s="2"/>
      <c r="H209" s="2"/>
      <c r="I209" s="2"/>
      <c r="J209" s="2"/>
      <c r="K209" s="2"/>
      <c r="L209" s="2"/>
      <c r="M209" s="2"/>
      <c r="N209" s="2"/>
      <c r="O209" s="2"/>
      <c r="P209" s="2"/>
      <c r="Q209" s="2"/>
      <c r="S209" s="3"/>
      <c r="T209" s="3"/>
      <c r="U209" s="3"/>
      <c r="V209" s="3"/>
      <c r="W209" s="3"/>
      <c r="X209" s="3"/>
      <c r="Y209" s="3"/>
      <c r="Z209" s="3"/>
    </row>
    <row r="210" ht="15.75" customHeight="1">
      <c r="A210" s="3"/>
      <c r="B210" s="2"/>
      <c r="C210" s="2"/>
      <c r="D210" s="2"/>
      <c r="E210" s="464"/>
      <c r="F210" s="2"/>
      <c r="G210" s="2"/>
      <c r="H210" s="2"/>
      <c r="I210" s="2"/>
      <c r="J210" s="2"/>
      <c r="K210" s="2"/>
      <c r="L210" s="2"/>
      <c r="M210" s="2"/>
      <c r="N210" s="2"/>
      <c r="O210" s="2"/>
      <c r="P210" s="2"/>
      <c r="Q210" s="2"/>
      <c r="S210" s="3"/>
      <c r="T210" s="3"/>
      <c r="U210" s="3"/>
      <c r="V210" s="3"/>
      <c r="W210" s="3"/>
      <c r="X210" s="3"/>
      <c r="Y210" s="3"/>
      <c r="Z210" s="3"/>
    </row>
    <row r="211" ht="15.75" customHeight="1">
      <c r="A211" s="3"/>
      <c r="B211" s="2"/>
      <c r="C211" s="2"/>
      <c r="D211" s="2"/>
      <c r="E211" s="464"/>
      <c r="F211" s="2"/>
      <c r="G211" s="2"/>
      <c r="H211" s="2"/>
      <c r="I211" s="2"/>
      <c r="J211" s="2"/>
      <c r="K211" s="2"/>
      <c r="L211" s="2"/>
      <c r="M211" s="2"/>
      <c r="N211" s="2"/>
      <c r="O211" s="2"/>
      <c r="P211" s="2"/>
      <c r="Q211" s="2"/>
      <c r="S211" s="3"/>
      <c r="T211" s="3"/>
      <c r="U211" s="3"/>
      <c r="V211" s="3"/>
      <c r="W211" s="3"/>
      <c r="X211" s="3"/>
      <c r="Y211" s="3"/>
      <c r="Z211" s="3"/>
    </row>
    <row r="212" ht="15.75" customHeight="1">
      <c r="A212" s="3"/>
      <c r="B212" s="2"/>
      <c r="C212" s="2"/>
      <c r="D212" s="2"/>
      <c r="E212" s="464"/>
      <c r="F212" s="2"/>
      <c r="G212" s="2"/>
      <c r="H212" s="2"/>
      <c r="I212" s="2"/>
      <c r="J212" s="2"/>
      <c r="K212" s="2"/>
      <c r="L212" s="2"/>
      <c r="M212" s="2"/>
      <c r="N212" s="2"/>
      <c r="O212" s="2"/>
      <c r="P212" s="2"/>
      <c r="Q212" s="2"/>
      <c r="S212" s="3"/>
      <c r="T212" s="3"/>
      <c r="U212" s="3"/>
      <c r="V212" s="3"/>
      <c r="W212" s="3"/>
      <c r="X212" s="3"/>
      <c r="Y212" s="3"/>
      <c r="Z212" s="3"/>
    </row>
    <row r="213" ht="15.75" customHeight="1">
      <c r="A213" s="3"/>
      <c r="B213" s="2"/>
      <c r="C213" s="2"/>
      <c r="D213" s="2"/>
      <c r="E213" s="464"/>
      <c r="F213" s="2"/>
      <c r="G213" s="2"/>
      <c r="H213" s="2"/>
      <c r="I213" s="2"/>
      <c r="J213" s="2"/>
      <c r="K213" s="2"/>
      <c r="L213" s="2"/>
      <c r="M213" s="2"/>
      <c r="N213" s="2"/>
      <c r="O213" s="2"/>
      <c r="P213" s="2"/>
      <c r="Q213" s="2"/>
      <c r="S213" s="3"/>
      <c r="T213" s="3"/>
      <c r="U213" s="3"/>
      <c r="V213" s="3"/>
      <c r="W213" s="3"/>
      <c r="X213" s="3"/>
      <c r="Y213" s="3"/>
      <c r="Z213" s="3"/>
    </row>
    <row r="214" ht="15.75" customHeight="1">
      <c r="A214" s="3"/>
      <c r="B214" s="2"/>
      <c r="C214" s="2"/>
      <c r="D214" s="2"/>
      <c r="E214" s="464"/>
      <c r="F214" s="2"/>
      <c r="G214" s="2"/>
      <c r="H214" s="2"/>
      <c r="I214" s="2"/>
      <c r="J214" s="2"/>
      <c r="K214" s="2"/>
      <c r="L214" s="2"/>
      <c r="M214" s="2"/>
      <c r="N214" s="2"/>
      <c r="O214" s="2"/>
      <c r="P214" s="2"/>
      <c r="Q214" s="2"/>
      <c r="S214" s="3"/>
      <c r="T214" s="3"/>
      <c r="U214" s="3"/>
      <c r="V214" s="3"/>
      <c r="W214" s="3"/>
      <c r="X214" s="3"/>
      <c r="Y214" s="3"/>
      <c r="Z214" s="3"/>
    </row>
    <row r="215" ht="15.75" customHeight="1">
      <c r="A215" s="3"/>
      <c r="B215" s="2"/>
      <c r="C215" s="2"/>
      <c r="D215" s="2"/>
      <c r="E215" s="464"/>
      <c r="F215" s="2"/>
      <c r="G215" s="2"/>
      <c r="H215" s="2"/>
      <c r="I215" s="2"/>
      <c r="J215" s="2"/>
      <c r="K215" s="2"/>
      <c r="L215" s="2"/>
      <c r="M215" s="2"/>
      <c r="N215" s="2"/>
      <c r="O215" s="2"/>
      <c r="P215" s="2"/>
      <c r="Q215" s="2"/>
      <c r="S215" s="3"/>
      <c r="T215" s="3"/>
      <c r="U215" s="3"/>
      <c r="V215" s="3"/>
      <c r="W215" s="3"/>
      <c r="X215" s="3"/>
      <c r="Y215" s="3"/>
      <c r="Z215" s="3"/>
    </row>
    <row r="216" ht="15.75" customHeight="1">
      <c r="A216" s="3"/>
      <c r="B216" s="2"/>
      <c r="C216" s="2"/>
      <c r="D216" s="2"/>
      <c r="E216" s="464"/>
      <c r="F216" s="2"/>
      <c r="G216" s="2"/>
      <c r="H216" s="2"/>
      <c r="I216" s="2"/>
      <c r="J216" s="2"/>
      <c r="K216" s="2"/>
      <c r="L216" s="2"/>
      <c r="M216" s="2"/>
      <c r="N216" s="2"/>
      <c r="O216" s="2"/>
      <c r="P216" s="2"/>
      <c r="Q216" s="2"/>
      <c r="S216" s="3"/>
      <c r="T216" s="3"/>
      <c r="U216" s="3"/>
      <c r="V216" s="3"/>
      <c r="W216" s="3"/>
      <c r="X216" s="3"/>
      <c r="Y216" s="3"/>
      <c r="Z216" s="3"/>
    </row>
    <row r="217" ht="15.75" customHeight="1">
      <c r="A217" s="3"/>
      <c r="B217" s="2"/>
      <c r="C217" s="2"/>
      <c r="D217" s="2"/>
      <c r="E217" s="464"/>
      <c r="F217" s="2"/>
      <c r="G217" s="2"/>
      <c r="H217" s="2"/>
      <c r="I217" s="2"/>
      <c r="J217" s="2"/>
      <c r="K217" s="2"/>
      <c r="L217" s="2"/>
      <c r="M217" s="2"/>
      <c r="N217" s="2"/>
      <c r="O217" s="2"/>
      <c r="P217" s="2"/>
      <c r="Q217" s="2"/>
      <c r="S217" s="3"/>
      <c r="T217" s="3"/>
      <c r="U217" s="3"/>
      <c r="V217" s="3"/>
      <c r="W217" s="3"/>
      <c r="X217" s="3"/>
      <c r="Y217" s="3"/>
      <c r="Z217" s="3"/>
    </row>
    <row r="218" ht="15.75" customHeight="1">
      <c r="A218" s="3"/>
      <c r="B218" s="2"/>
      <c r="C218" s="2"/>
      <c r="D218" s="2"/>
      <c r="E218" s="464"/>
      <c r="F218" s="2"/>
      <c r="G218" s="2"/>
      <c r="H218" s="2"/>
      <c r="I218" s="2"/>
      <c r="J218" s="2"/>
      <c r="K218" s="2"/>
      <c r="L218" s="2"/>
      <c r="M218" s="2"/>
      <c r="N218" s="2"/>
      <c r="O218" s="2"/>
      <c r="P218" s="2"/>
      <c r="Q218" s="2"/>
      <c r="S218" s="3"/>
      <c r="T218" s="3"/>
      <c r="U218" s="3"/>
      <c r="V218" s="3"/>
      <c r="W218" s="3"/>
      <c r="X218" s="3"/>
      <c r="Y218" s="3"/>
      <c r="Z218" s="3"/>
    </row>
    <row r="219" ht="15.75" customHeight="1">
      <c r="A219" s="3"/>
      <c r="B219" s="2"/>
      <c r="C219" s="2"/>
      <c r="D219" s="2"/>
      <c r="E219" s="464"/>
      <c r="F219" s="2"/>
      <c r="G219" s="2"/>
      <c r="H219" s="2"/>
      <c r="I219" s="2"/>
      <c r="J219" s="2"/>
      <c r="K219" s="2"/>
      <c r="L219" s="2"/>
      <c r="M219" s="2"/>
      <c r="N219" s="2"/>
      <c r="O219" s="2"/>
      <c r="P219" s="2"/>
      <c r="Q219" s="2"/>
      <c r="S219" s="3"/>
      <c r="T219" s="3"/>
      <c r="U219" s="3"/>
      <c r="V219" s="3"/>
      <c r="W219" s="3"/>
      <c r="X219" s="3"/>
      <c r="Y219" s="3"/>
      <c r="Z219" s="3"/>
    </row>
    <row r="220" ht="15.75" customHeight="1">
      <c r="A220" s="3"/>
      <c r="B220" s="2"/>
      <c r="C220" s="2"/>
      <c r="D220" s="2"/>
      <c r="E220" s="464"/>
      <c r="F220" s="2"/>
      <c r="G220" s="2"/>
      <c r="H220" s="2"/>
      <c r="I220" s="2"/>
      <c r="J220" s="2"/>
      <c r="K220" s="2"/>
      <c r="L220" s="2"/>
      <c r="M220" s="2"/>
      <c r="N220" s="2"/>
      <c r="O220" s="2"/>
      <c r="P220" s="2"/>
      <c r="Q220" s="2"/>
      <c r="S220" s="3"/>
      <c r="T220" s="3"/>
      <c r="U220" s="3"/>
      <c r="V220" s="3"/>
      <c r="W220" s="3"/>
      <c r="X220" s="3"/>
      <c r="Y220" s="3"/>
      <c r="Z220" s="3"/>
    </row>
    <row r="221" ht="15.75" customHeight="1">
      <c r="A221" s="3"/>
      <c r="B221" s="2"/>
      <c r="C221" s="2"/>
      <c r="D221" s="2"/>
      <c r="E221" s="464"/>
      <c r="F221" s="2"/>
      <c r="G221" s="2"/>
      <c r="H221" s="2"/>
      <c r="I221" s="2"/>
      <c r="J221" s="2"/>
      <c r="K221" s="2"/>
      <c r="L221" s="2"/>
      <c r="M221" s="2"/>
      <c r="N221" s="2"/>
      <c r="O221" s="2"/>
      <c r="P221" s="2"/>
      <c r="Q221" s="2"/>
      <c r="S221" s="3"/>
      <c r="T221" s="3"/>
      <c r="U221" s="3"/>
      <c r="V221" s="3"/>
      <c r="W221" s="3"/>
      <c r="X221" s="3"/>
      <c r="Y221" s="3"/>
      <c r="Z221" s="3"/>
    </row>
    <row r="222" ht="15.75" customHeight="1">
      <c r="A222" s="3"/>
      <c r="B222" s="2"/>
      <c r="C222" s="2"/>
      <c r="D222" s="2"/>
      <c r="E222" s="464"/>
      <c r="F222" s="2"/>
      <c r="G222" s="2"/>
      <c r="H222" s="2"/>
      <c r="I222" s="2"/>
      <c r="J222" s="2"/>
      <c r="K222" s="2"/>
      <c r="L222" s="2"/>
      <c r="M222" s="2"/>
      <c r="N222" s="2"/>
      <c r="O222" s="2"/>
      <c r="P222" s="2"/>
      <c r="Q222" s="2"/>
      <c r="S222" s="3"/>
      <c r="T222" s="3"/>
      <c r="U222" s="3"/>
      <c r="V222" s="3"/>
      <c r="W222" s="3"/>
      <c r="X222" s="3"/>
      <c r="Y222" s="3"/>
      <c r="Z222" s="3"/>
    </row>
    <row r="223" ht="15.75" customHeight="1">
      <c r="A223" s="3"/>
      <c r="B223" s="2"/>
      <c r="C223" s="2"/>
      <c r="D223" s="2"/>
      <c r="E223" s="464"/>
      <c r="F223" s="2"/>
      <c r="G223" s="2"/>
      <c r="H223" s="2"/>
      <c r="I223" s="2"/>
      <c r="J223" s="2"/>
      <c r="K223" s="2"/>
      <c r="L223" s="2"/>
      <c r="M223" s="2"/>
      <c r="N223" s="2"/>
      <c r="O223" s="2"/>
      <c r="P223" s="2"/>
      <c r="Q223" s="2"/>
      <c r="S223" s="3"/>
      <c r="T223" s="3"/>
      <c r="U223" s="3"/>
      <c r="V223" s="3"/>
      <c r="W223" s="3"/>
      <c r="X223" s="3"/>
      <c r="Y223" s="3"/>
      <c r="Z223" s="3"/>
    </row>
    <row r="224" ht="15.75" customHeight="1">
      <c r="A224" s="3"/>
      <c r="B224" s="2"/>
      <c r="C224" s="2"/>
      <c r="D224" s="2"/>
      <c r="E224" s="464"/>
      <c r="F224" s="2"/>
      <c r="G224" s="2"/>
      <c r="H224" s="2"/>
      <c r="I224" s="2"/>
      <c r="J224" s="2"/>
      <c r="K224" s="2"/>
      <c r="L224" s="2"/>
      <c r="M224" s="2"/>
      <c r="N224" s="2"/>
      <c r="O224" s="2"/>
      <c r="P224" s="2"/>
      <c r="Q224" s="2"/>
      <c r="S224" s="3"/>
      <c r="T224" s="3"/>
      <c r="U224" s="3"/>
      <c r="V224" s="3"/>
      <c r="W224" s="3"/>
      <c r="X224" s="3"/>
      <c r="Y224" s="3"/>
      <c r="Z224" s="3"/>
    </row>
    <row r="225" ht="15.75" customHeight="1">
      <c r="A225" s="3"/>
      <c r="B225" s="2"/>
      <c r="C225" s="2"/>
      <c r="D225" s="2"/>
      <c r="E225" s="464"/>
      <c r="F225" s="2"/>
      <c r="G225" s="2"/>
      <c r="H225" s="2"/>
      <c r="I225" s="2"/>
      <c r="J225" s="2"/>
      <c r="K225" s="2"/>
      <c r="L225" s="2"/>
      <c r="M225" s="2"/>
      <c r="N225" s="2"/>
      <c r="O225" s="2"/>
      <c r="P225" s="2"/>
      <c r="Q225" s="2"/>
      <c r="S225" s="3"/>
      <c r="T225" s="3"/>
      <c r="U225" s="3"/>
      <c r="V225" s="3"/>
      <c r="W225" s="3"/>
      <c r="X225" s="3"/>
      <c r="Y225" s="3"/>
      <c r="Z225" s="3"/>
    </row>
    <row r="226" ht="15.75" customHeight="1">
      <c r="A226" s="3"/>
      <c r="B226" s="2"/>
      <c r="C226" s="2"/>
      <c r="D226" s="2"/>
      <c r="E226" s="464"/>
      <c r="F226" s="2"/>
      <c r="G226" s="2"/>
      <c r="H226" s="2"/>
      <c r="I226" s="2"/>
      <c r="J226" s="2"/>
      <c r="K226" s="2"/>
      <c r="L226" s="2"/>
      <c r="M226" s="2"/>
      <c r="N226" s="2"/>
      <c r="O226" s="2"/>
      <c r="P226" s="2"/>
      <c r="Q226" s="2"/>
      <c r="S226" s="3"/>
      <c r="T226" s="3"/>
      <c r="U226" s="3"/>
      <c r="V226" s="3"/>
      <c r="W226" s="3"/>
      <c r="X226" s="3"/>
      <c r="Y226" s="3"/>
      <c r="Z226" s="3"/>
    </row>
    <row r="227" ht="15.75" customHeight="1">
      <c r="A227" s="3"/>
      <c r="B227" s="2"/>
      <c r="C227" s="2"/>
      <c r="D227" s="2"/>
      <c r="E227" s="464"/>
      <c r="F227" s="2"/>
      <c r="G227" s="2"/>
      <c r="H227" s="2"/>
      <c r="I227" s="2"/>
      <c r="J227" s="2"/>
      <c r="K227" s="2"/>
      <c r="L227" s="2"/>
      <c r="M227" s="2"/>
      <c r="N227" s="2"/>
      <c r="O227" s="2"/>
      <c r="P227" s="2"/>
      <c r="Q227" s="2"/>
      <c r="S227" s="3"/>
      <c r="T227" s="3"/>
      <c r="U227" s="3"/>
      <c r="V227" s="3"/>
      <c r="W227" s="3"/>
      <c r="X227" s="3"/>
      <c r="Y227" s="3"/>
      <c r="Z227" s="3"/>
    </row>
    <row r="228" ht="15.75" customHeight="1">
      <c r="A228" s="3"/>
      <c r="B228" s="2"/>
      <c r="C228" s="2"/>
      <c r="D228" s="2"/>
      <c r="E228" s="464"/>
      <c r="F228" s="2"/>
      <c r="G228" s="2"/>
      <c r="H228" s="2"/>
      <c r="I228" s="2"/>
      <c r="J228" s="2"/>
      <c r="K228" s="2"/>
      <c r="L228" s="2"/>
      <c r="M228" s="2"/>
      <c r="N228" s="2"/>
      <c r="O228" s="2"/>
      <c r="P228" s="2"/>
      <c r="Q228" s="2"/>
      <c r="S228" s="3"/>
      <c r="T228" s="3"/>
      <c r="U228" s="3"/>
      <c r="V228" s="3"/>
      <c r="W228" s="3"/>
      <c r="X228" s="3"/>
      <c r="Y228" s="3"/>
      <c r="Z228" s="3"/>
    </row>
    <row r="229" ht="15.75" customHeight="1">
      <c r="A229" s="3"/>
      <c r="B229" s="2"/>
      <c r="C229" s="2"/>
      <c r="D229" s="2"/>
      <c r="E229" s="464"/>
      <c r="F229" s="2"/>
      <c r="G229" s="2"/>
      <c r="H229" s="2"/>
      <c r="I229" s="2"/>
      <c r="J229" s="2"/>
      <c r="K229" s="2"/>
      <c r="L229" s="2"/>
      <c r="M229" s="2"/>
      <c r="N229" s="2"/>
      <c r="O229" s="2"/>
      <c r="P229" s="2"/>
      <c r="Q229" s="2"/>
      <c r="S229" s="3"/>
      <c r="T229" s="3"/>
      <c r="U229" s="3"/>
      <c r="V229" s="3"/>
      <c r="W229" s="3"/>
      <c r="X229" s="3"/>
      <c r="Y229" s="3"/>
      <c r="Z229" s="3"/>
    </row>
    <row r="230" ht="15.75" customHeight="1">
      <c r="A230" s="3"/>
      <c r="B230" s="2"/>
      <c r="C230" s="2"/>
      <c r="D230" s="2"/>
      <c r="E230" s="464"/>
      <c r="F230" s="2"/>
      <c r="G230" s="2"/>
      <c r="H230" s="2"/>
      <c r="I230" s="2"/>
      <c r="J230" s="2"/>
      <c r="K230" s="2"/>
      <c r="L230" s="2"/>
      <c r="M230" s="2"/>
      <c r="N230" s="2"/>
      <c r="O230" s="2"/>
      <c r="P230" s="2"/>
      <c r="Q230" s="2"/>
      <c r="S230" s="3"/>
      <c r="T230" s="3"/>
      <c r="U230" s="3"/>
      <c r="V230" s="3"/>
      <c r="W230" s="3"/>
      <c r="X230" s="3"/>
      <c r="Y230" s="3"/>
      <c r="Z230" s="3"/>
    </row>
    <row r="231" ht="15.75" customHeight="1">
      <c r="A231" s="3"/>
      <c r="B231" s="2"/>
      <c r="C231" s="2"/>
      <c r="D231" s="2"/>
      <c r="E231" s="464"/>
      <c r="F231" s="2"/>
      <c r="G231" s="2"/>
      <c r="H231" s="2"/>
      <c r="I231" s="2"/>
      <c r="J231" s="2"/>
      <c r="K231" s="2"/>
      <c r="L231" s="2"/>
      <c r="M231" s="2"/>
      <c r="N231" s="2"/>
      <c r="O231" s="2"/>
      <c r="P231" s="2"/>
      <c r="Q231" s="2"/>
      <c r="S231" s="3"/>
      <c r="T231" s="3"/>
      <c r="U231" s="3"/>
      <c r="V231" s="3"/>
      <c r="W231" s="3"/>
      <c r="X231" s="3"/>
      <c r="Y231" s="3"/>
      <c r="Z231" s="3"/>
    </row>
    <row r="232" ht="15.75" customHeight="1">
      <c r="A232" s="3"/>
      <c r="B232" s="2"/>
      <c r="C232" s="2"/>
      <c r="D232" s="2"/>
      <c r="E232" s="464"/>
      <c r="F232" s="2"/>
      <c r="G232" s="2"/>
      <c r="H232" s="2"/>
      <c r="I232" s="2"/>
      <c r="J232" s="2"/>
      <c r="K232" s="2"/>
      <c r="L232" s="2"/>
      <c r="M232" s="2"/>
      <c r="N232" s="2"/>
      <c r="O232" s="2"/>
      <c r="P232" s="2"/>
      <c r="Q232" s="2"/>
      <c r="S232" s="3"/>
      <c r="T232" s="3"/>
      <c r="U232" s="3"/>
      <c r="V232" s="3"/>
      <c r="W232" s="3"/>
      <c r="X232" s="3"/>
      <c r="Y232" s="3"/>
      <c r="Z232" s="3"/>
    </row>
    <row r="233" ht="15.75" customHeight="1">
      <c r="A233" s="3"/>
      <c r="B233" s="2"/>
      <c r="C233" s="2"/>
      <c r="D233" s="2"/>
      <c r="E233" s="464"/>
      <c r="F233" s="2"/>
      <c r="G233" s="2"/>
      <c r="H233" s="2"/>
      <c r="I233" s="2"/>
      <c r="J233" s="2"/>
      <c r="K233" s="2"/>
      <c r="L233" s="2"/>
      <c r="M233" s="2"/>
      <c r="N233" s="2"/>
      <c r="O233" s="2"/>
      <c r="P233" s="2"/>
      <c r="Q233" s="2"/>
      <c r="S233" s="3"/>
      <c r="T233" s="3"/>
      <c r="U233" s="3"/>
      <c r="V233" s="3"/>
      <c r="W233" s="3"/>
      <c r="X233" s="3"/>
      <c r="Y233" s="3"/>
      <c r="Z233" s="3"/>
    </row>
    <row r="234" ht="15.75" customHeight="1">
      <c r="A234" s="3"/>
      <c r="B234" s="2"/>
      <c r="C234" s="2"/>
      <c r="D234" s="2"/>
      <c r="E234" s="464"/>
      <c r="F234" s="2"/>
      <c r="G234" s="2"/>
      <c r="H234" s="2"/>
      <c r="I234" s="2"/>
      <c r="J234" s="2"/>
      <c r="K234" s="2"/>
      <c r="L234" s="2"/>
      <c r="M234" s="2"/>
      <c r="N234" s="2"/>
      <c r="O234" s="2"/>
      <c r="P234" s="2"/>
      <c r="Q234" s="2"/>
      <c r="S234" s="3"/>
      <c r="T234" s="3"/>
      <c r="U234" s="3"/>
      <c r="V234" s="3"/>
      <c r="W234" s="3"/>
      <c r="X234" s="3"/>
      <c r="Y234" s="3"/>
      <c r="Z234" s="3"/>
    </row>
    <row r="235" ht="15.75" customHeight="1">
      <c r="A235" s="3"/>
      <c r="B235" s="2"/>
      <c r="C235" s="2"/>
      <c r="D235" s="2"/>
      <c r="E235" s="464"/>
      <c r="F235" s="2"/>
      <c r="G235" s="2"/>
      <c r="H235" s="2"/>
      <c r="I235" s="2"/>
      <c r="J235" s="2"/>
      <c r="K235" s="2"/>
      <c r="L235" s="2"/>
      <c r="M235" s="2"/>
      <c r="N235" s="2"/>
      <c r="O235" s="2"/>
      <c r="P235" s="2"/>
      <c r="Q235" s="2"/>
      <c r="S235" s="3"/>
      <c r="T235" s="3"/>
      <c r="U235" s="3"/>
      <c r="V235" s="3"/>
      <c r="W235" s="3"/>
      <c r="X235" s="3"/>
      <c r="Y235" s="3"/>
      <c r="Z235" s="3"/>
    </row>
    <row r="236" ht="15.75" customHeight="1">
      <c r="A236" s="3"/>
      <c r="B236" s="2"/>
      <c r="C236" s="2"/>
      <c r="D236" s="2"/>
      <c r="E236" s="464"/>
      <c r="F236" s="2"/>
      <c r="G236" s="2"/>
      <c r="H236" s="2"/>
      <c r="I236" s="2"/>
      <c r="J236" s="2"/>
      <c r="K236" s="2"/>
      <c r="L236" s="2"/>
      <c r="M236" s="2"/>
      <c r="N236" s="2"/>
      <c r="O236" s="2"/>
      <c r="P236" s="2"/>
      <c r="Q236" s="2"/>
      <c r="S236" s="3"/>
      <c r="T236" s="3"/>
      <c r="U236" s="3"/>
      <c r="V236" s="3"/>
      <c r="W236" s="3"/>
      <c r="X236" s="3"/>
      <c r="Y236" s="3"/>
      <c r="Z236" s="3"/>
    </row>
    <row r="237" ht="15.75" customHeight="1">
      <c r="A237" s="3"/>
      <c r="B237" s="2"/>
      <c r="C237" s="2"/>
      <c r="D237" s="2"/>
      <c r="E237" s="464"/>
      <c r="F237" s="2"/>
      <c r="G237" s="2"/>
      <c r="H237" s="2"/>
      <c r="I237" s="2"/>
      <c r="J237" s="2"/>
      <c r="K237" s="2"/>
      <c r="L237" s="2"/>
      <c r="M237" s="2"/>
      <c r="N237" s="2"/>
      <c r="O237" s="2"/>
      <c r="P237" s="2"/>
      <c r="Q237" s="2"/>
      <c r="S237" s="3"/>
      <c r="T237" s="3"/>
      <c r="U237" s="3"/>
      <c r="V237" s="3"/>
      <c r="W237" s="3"/>
      <c r="X237" s="3"/>
      <c r="Y237" s="3"/>
      <c r="Z237" s="3"/>
    </row>
    <row r="238" ht="15.75" customHeight="1">
      <c r="A238" s="3"/>
      <c r="B238" s="2"/>
      <c r="C238" s="2"/>
      <c r="D238" s="2"/>
      <c r="E238" s="464"/>
      <c r="F238" s="2"/>
      <c r="G238" s="2"/>
      <c r="H238" s="2"/>
      <c r="I238" s="2"/>
      <c r="J238" s="2"/>
      <c r="K238" s="2"/>
      <c r="L238" s="2"/>
      <c r="M238" s="2"/>
      <c r="N238" s="2"/>
      <c r="O238" s="2"/>
      <c r="P238" s="2"/>
      <c r="Q238" s="2"/>
      <c r="S238" s="3"/>
      <c r="T238" s="3"/>
      <c r="U238" s="3"/>
      <c r="V238" s="3"/>
      <c r="W238" s="3"/>
      <c r="X238" s="3"/>
      <c r="Y238" s="3"/>
      <c r="Z238" s="3"/>
    </row>
    <row r="239" ht="15.75" customHeight="1">
      <c r="A239" s="3"/>
      <c r="B239" s="2"/>
      <c r="C239" s="2"/>
      <c r="D239" s="2"/>
      <c r="E239" s="464"/>
      <c r="F239" s="2"/>
      <c r="G239" s="2"/>
      <c r="H239" s="2"/>
      <c r="I239" s="2"/>
      <c r="J239" s="2"/>
      <c r="K239" s="2"/>
      <c r="L239" s="2"/>
      <c r="M239" s="2"/>
      <c r="N239" s="2"/>
      <c r="O239" s="2"/>
      <c r="P239" s="2"/>
      <c r="Q239" s="2"/>
      <c r="S239" s="3"/>
      <c r="T239" s="3"/>
      <c r="U239" s="3"/>
      <c r="V239" s="3"/>
      <c r="W239" s="3"/>
      <c r="X239" s="3"/>
      <c r="Y239" s="3"/>
      <c r="Z239" s="3"/>
    </row>
    <row r="240" ht="15.75" customHeight="1">
      <c r="A240" s="3"/>
      <c r="B240" s="2"/>
      <c r="C240" s="2"/>
      <c r="D240" s="2"/>
      <c r="E240" s="464"/>
      <c r="F240" s="2"/>
      <c r="G240" s="2"/>
      <c r="H240" s="2"/>
      <c r="I240" s="2"/>
      <c r="J240" s="2"/>
      <c r="K240" s="2"/>
      <c r="L240" s="2"/>
      <c r="M240" s="2"/>
      <c r="N240" s="2"/>
      <c r="O240" s="2"/>
      <c r="P240" s="2"/>
      <c r="Q240" s="2"/>
      <c r="S240" s="3"/>
      <c r="T240" s="3"/>
      <c r="U240" s="3"/>
      <c r="V240" s="3"/>
      <c r="W240" s="3"/>
      <c r="X240" s="3"/>
      <c r="Y240" s="3"/>
      <c r="Z240" s="3"/>
    </row>
    <row r="241" ht="15.75" customHeight="1">
      <c r="A241" s="3"/>
      <c r="B241" s="2"/>
      <c r="C241" s="2"/>
      <c r="D241" s="2"/>
      <c r="E241" s="464"/>
      <c r="F241" s="2"/>
      <c r="G241" s="2"/>
      <c r="H241" s="2"/>
      <c r="I241" s="2"/>
      <c r="J241" s="2"/>
      <c r="K241" s="2"/>
      <c r="L241" s="2"/>
      <c r="M241" s="2"/>
      <c r="N241" s="2"/>
      <c r="O241" s="2"/>
      <c r="P241" s="2"/>
      <c r="Q241" s="2"/>
      <c r="S241" s="3"/>
      <c r="T241" s="3"/>
      <c r="U241" s="3"/>
      <c r="V241" s="3"/>
      <c r="W241" s="3"/>
      <c r="X241" s="3"/>
      <c r="Y241" s="3"/>
      <c r="Z241" s="3"/>
    </row>
    <row r="242" ht="15.75" customHeight="1">
      <c r="A242" s="3"/>
      <c r="B242" s="2"/>
      <c r="C242" s="2"/>
      <c r="D242" s="2"/>
      <c r="E242" s="464"/>
      <c r="F242" s="2"/>
      <c r="G242" s="2"/>
      <c r="H242" s="2"/>
      <c r="I242" s="2"/>
      <c r="J242" s="2"/>
      <c r="K242" s="2"/>
      <c r="L242" s="2"/>
      <c r="M242" s="2"/>
      <c r="N242" s="2"/>
      <c r="O242" s="2"/>
      <c r="P242" s="2"/>
      <c r="Q242" s="2"/>
      <c r="S242" s="3"/>
      <c r="T242" s="3"/>
      <c r="U242" s="3"/>
      <c r="V242" s="3"/>
      <c r="W242" s="3"/>
      <c r="X242" s="3"/>
      <c r="Y242" s="3"/>
      <c r="Z242" s="3"/>
    </row>
    <row r="243" ht="15.75" customHeight="1">
      <c r="A243" s="3"/>
      <c r="B243" s="2"/>
      <c r="C243" s="2"/>
      <c r="D243" s="2"/>
      <c r="E243" s="464"/>
      <c r="F243" s="2"/>
      <c r="G243" s="2"/>
      <c r="H243" s="2"/>
      <c r="I243" s="2"/>
      <c r="J243" s="2"/>
      <c r="K243" s="2"/>
      <c r="L243" s="2"/>
      <c r="M243" s="2"/>
      <c r="N243" s="2"/>
      <c r="O243" s="2"/>
      <c r="P243" s="2"/>
      <c r="Q243" s="2"/>
      <c r="S243" s="3"/>
      <c r="T243" s="3"/>
      <c r="U243" s="3"/>
      <c r="V243" s="3"/>
      <c r="W243" s="3"/>
      <c r="X243" s="3"/>
      <c r="Y243" s="3"/>
      <c r="Z243" s="3"/>
    </row>
    <row r="244" ht="15.75" customHeight="1">
      <c r="A244" s="3"/>
      <c r="B244" s="2"/>
      <c r="C244" s="2"/>
      <c r="D244" s="2"/>
      <c r="E244" s="464"/>
      <c r="F244" s="2"/>
      <c r="G244" s="2"/>
      <c r="H244" s="2"/>
      <c r="I244" s="2"/>
      <c r="J244" s="2"/>
      <c r="K244" s="2"/>
      <c r="L244" s="2"/>
      <c r="M244" s="2"/>
      <c r="N244" s="2"/>
      <c r="O244" s="2"/>
      <c r="P244" s="2"/>
      <c r="Q244" s="2"/>
      <c r="S244" s="3"/>
      <c r="T244" s="3"/>
      <c r="U244" s="3"/>
      <c r="V244" s="3"/>
      <c r="W244" s="3"/>
      <c r="X244" s="3"/>
      <c r="Y244" s="3"/>
      <c r="Z244" s="3"/>
    </row>
    <row r="245" ht="15.75" customHeight="1">
      <c r="A245" s="3"/>
      <c r="B245" s="2"/>
      <c r="C245" s="2"/>
      <c r="D245" s="2"/>
      <c r="E245" s="464"/>
      <c r="F245" s="2"/>
      <c r="G245" s="2"/>
      <c r="H245" s="2"/>
      <c r="I245" s="2"/>
      <c r="J245" s="2"/>
      <c r="K245" s="2"/>
      <c r="L245" s="2"/>
      <c r="M245" s="2"/>
      <c r="N245" s="2"/>
      <c r="O245" s="2"/>
      <c r="P245" s="2"/>
      <c r="Q245" s="2"/>
      <c r="S245" s="3"/>
      <c r="T245" s="3"/>
      <c r="U245" s="3"/>
      <c r="V245" s="3"/>
      <c r="W245" s="3"/>
      <c r="X245" s="3"/>
      <c r="Y245" s="3"/>
      <c r="Z245" s="3"/>
    </row>
    <row r="246" ht="15.75" customHeight="1">
      <c r="A246" s="3"/>
      <c r="B246" s="2"/>
      <c r="C246" s="2"/>
      <c r="D246" s="2"/>
      <c r="E246" s="464"/>
      <c r="F246" s="2"/>
      <c r="G246" s="2"/>
      <c r="H246" s="2"/>
      <c r="I246" s="2"/>
      <c r="J246" s="2"/>
      <c r="K246" s="2"/>
      <c r="L246" s="2"/>
      <c r="M246" s="2"/>
      <c r="N246" s="2"/>
      <c r="O246" s="2"/>
      <c r="P246" s="2"/>
      <c r="Q246" s="2"/>
      <c r="S246" s="3"/>
      <c r="T246" s="3"/>
      <c r="U246" s="3"/>
      <c r="V246" s="3"/>
      <c r="W246" s="3"/>
      <c r="X246" s="3"/>
      <c r="Y246" s="3"/>
      <c r="Z246" s="3"/>
    </row>
    <row r="247" ht="15.75" customHeight="1">
      <c r="A247" s="3"/>
      <c r="B247" s="2"/>
      <c r="C247" s="2"/>
      <c r="D247" s="2"/>
      <c r="E247" s="464"/>
      <c r="F247" s="2"/>
      <c r="G247" s="2"/>
      <c r="H247" s="2"/>
      <c r="I247" s="2"/>
      <c r="J247" s="2"/>
      <c r="K247" s="2"/>
      <c r="L247" s="2"/>
      <c r="M247" s="2"/>
      <c r="N247" s="2"/>
      <c r="O247" s="2"/>
      <c r="P247" s="2"/>
      <c r="Q247" s="2"/>
      <c r="S247" s="3"/>
      <c r="T247" s="3"/>
      <c r="U247" s="3"/>
      <c r="V247" s="3"/>
      <c r="W247" s="3"/>
      <c r="X247" s="3"/>
      <c r="Y247" s="3"/>
      <c r="Z247" s="3"/>
    </row>
    <row r="248" ht="15.75" customHeight="1">
      <c r="A248" s="3"/>
      <c r="B248" s="2"/>
      <c r="C248" s="2"/>
      <c r="D248" s="2"/>
      <c r="E248" s="464"/>
      <c r="F248" s="2"/>
      <c r="G248" s="2"/>
      <c r="H248" s="2"/>
      <c r="I248" s="2"/>
      <c r="J248" s="2"/>
      <c r="K248" s="2"/>
      <c r="L248" s="2"/>
      <c r="M248" s="2"/>
      <c r="N248" s="2"/>
      <c r="O248" s="2"/>
      <c r="P248" s="2"/>
      <c r="Q248" s="2"/>
      <c r="S248" s="3"/>
      <c r="T248" s="3"/>
      <c r="U248" s="3"/>
      <c r="V248" s="3"/>
      <c r="W248" s="3"/>
      <c r="X248" s="3"/>
      <c r="Y248" s="3"/>
      <c r="Z248" s="3"/>
    </row>
    <row r="249" ht="15.75" customHeight="1">
      <c r="A249" s="3"/>
      <c r="B249" s="2"/>
      <c r="C249" s="2"/>
      <c r="D249" s="2"/>
      <c r="E249" s="464"/>
      <c r="F249" s="2"/>
      <c r="G249" s="2"/>
      <c r="H249" s="2"/>
      <c r="I249" s="2"/>
      <c r="J249" s="2"/>
      <c r="K249" s="2"/>
      <c r="L249" s="2"/>
      <c r="M249" s="2"/>
      <c r="N249" s="2"/>
      <c r="O249" s="2"/>
      <c r="P249" s="2"/>
      <c r="Q249" s="2"/>
      <c r="S249" s="3"/>
      <c r="T249" s="3"/>
      <c r="U249" s="3"/>
      <c r="V249" s="3"/>
      <c r="W249" s="3"/>
      <c r="X249" s="3"/>
      <c r="Y249" s="3"/>
      <c r="Z249" s="3"/>
    </row>
    <row r="250" ht="15.75" customHeight="1">
      <c r="A250" s="3"/>
      <c r="B250" s="2"/>
      <c r="C250" s="2"/>
      <c r="D250" s="2"/>
      <c r="E250" s="464"/>
      <c r="F250" s="2"/>
      <c r="G250" s="2"/>
      <c r="H250" s="2"/>
      <c r="I250" s="2"/>
      <c r="J250" s="2"/>
      <c r="K250" s="2"/>
      <c r="L250" s="2"/>
      <c r="M250" s="2"/>
      <c r="N250" s="2"/>
      <c r="O250" s="2"/>
      <c r="P250" s="2"/>
      <c r="Q250" s="2"/>
      <c r="S250" s="3"/>
      <c r="T250" s="3"/>
      <c r="U250" s="3"/>
      <c r="V250" s="3"/>
      <c r="W250" s="3"/>
      <c r="X250" s="3"/>
      <c r="Y250" s="3"/>
      <c r="Z250" s="3"/>
    </row>
    <row r="251" ht="15.75" customHeight="1">
      <c r="A251" s="3"/>
      <c r="B251" s="2"/>
      <c r="C251" s="2"/>
      <c r="D251" s="2"/>
      <c r="E251" s="464"/>
      <c r="F251" s="2"/>
      <c r="G251" s="2"/>
      <c r="H251" s="2"/>
      <c r="I251" s="2"/>
      <c r="J251" s="2"/>
      <c r="K251" s="2"/>
      <c r="L251" s="2"/>
      <c r="M251" s="2"/>
      <c r="N251" s="2"/>
      <c r="O251" s="2"/>
      <c r="P251" s="2"/>
      <c r="Q251" s="2"/>
      <c r="S251" s="3"/>
      <c r="T251" s="3"/>
      <c r="U251" s="3"/>
      <c r="V251" s="3"/>
      <c r="W251" s="3"/>
      <c r="X251" s="3"/>
      <c r="Y251" s="3"/>
      <c r="Z251" s="3"/>
    </row>
    <row r="252" ht="15.75" customHeight="1">
      <c r="A252" s="3"/>
      <c r="B252" s="2"/>
      <c r="C252" s="2"/>
      <c r="D252" s="2"/>
      <c r="E252" s="464"/>
      <c r="F252" s="2"/>
      <c r="G252" s="2"/>
      <c r="H252" s="2"/>
      <c r="I252" s="2"/>
      <c r="J252" s="2"/>
      <c r="K252" s="2"/>
      <c r="L252" s="2"/>
      <c r="M252" s="2"/>
      <c r="N252" s="2"/>
      <c r="O252" s="2"/>
      <c r="P252" s="2"/>
      <c r="Q252" s="2"/>
      <c r="S252" s="3"/>
      <c r="T252" s="3"/>
      <c r="U252" s="3"/>
      <c r="V252" s="3"/>
      <c r="W252" s="3"/>
      <c r="X252" s="3"/>
      <c r="Y252" s="3"/>
      <c r="Z252" s="3"/>
    </row>
    <row r="253" ht="15.75" customHeight="1">
      <c r="A253" s="3"/>
      <c r="B253" s="2"/>
      <c r="C253" s="2"/>
      <c r="D253" s="2"/>
      <c r="E253" s="464"/>
      <c r="F253" s="2"/>
      <c r="G253" s="2"/>
      <c r="H253" s="2"/>
      <c r="I253" s="2"/>
      <c r="J253" s="2"/>
      <c r="K253" s="2"/>
      <c r="L253" s="2"/>
      <c r="M253" s="2"/>
      <c r="N253" s="2"/>
      <c r="O253" s="2"/>
      <c r="P253" s="2"/>
      <c r="Q253" s="2"/>
      <c r="S253" s="3"/>
      <c r="T253" s="3"/>
      <c r="U253" s="3"/>
      <c r="V253" s="3"/>
      <c r="W253" s="3"/>
      <c r="X253" s="3"/>
      <c r="Y253" s="3"/>
      <c r="Z253" s="3"/>
    </row>
    <row r="254" ht="15.75" customHeight="1">
      <c r="A254" s="3"/>
      <c r="B254" s="2"/>
      <c r="C254" s="2"/>
      <c r="D254" s="2"/>
      <c r="E254" s="464"/>
      <c r="F254" s="2"/>
      <c r="G254" s="2"/>
      <c r="H254" s="2"/>
      <c r="I254" s="2"/>
      <c r="J254" s="2"/>
      <c r="K254" s="2"/>
      <c r="L254" s="2"/>
      <c r="M254" s="2"/>
      <c r="N254" s="2"/>
      <c r="O254" s="2"/>
      <c r="P254" s="2"/>
      <c r="Q254" s="2"/>
      <c r="S254" s="3"/>
      <c r="T254" s="3"/>
      <c r="U254" s="3"/>
      <c r="V254" s="3"/>
      <c r="W254" s="3"/>
      <c r="X254" s="3"/>
      <c r="Y254" s="3"/>
      <c r="Z254" s="3"/>
    </row>
    <row r="255" ht="15.75" customHeight="1">
      <c r="A255" s="3"/>
      <c r="B255" s="2"/>
      <c r="C255" s="2"/>
      <c r="D255" s="2"/>
      <c r="E255" s="464"/>
      <c r="F255" s="2"/>
      <c r="G255" s="2"/>
      <c r="H255" s="2"/>
      <c r="I255" s="2"/>
      <c r="J255" s="2"/>
      <c r="K255" s="2"/>
      <c r="L255" s="2"/>
      <c r="M255" s="2"/>
      <c r="N255" s="2"/>
      <c r="O255" s="2"/>
      <c r="P255" s="2"/>
      <c r="Q255" s="2"/>
      <c r="S255" s="3"/>
      <c r="T255" s="3"/>
      <c r="U255" s="3"/>
      <c r="V255" s="3"/>
      <c r="W255" s="3"/>
      <c r="X255" s="3"/>
      <c r="Y255" s="3"/>
      <c r="Z255" s="3"/>
    </row>
    <row r="256" ht="15.75" customHeight="1">
      <c r="A256" s="3"/>
      <c r="B256" s="2"/>
      <c r="C256" s="2"/>
      <c r="D256" s="2"/>
      <c r="E256" s="464"/>
      <c r="F256" s="2"/>
      <c r="G256" s="2"/>
      <c r="H256" s="2"/>
      <c r="I256" s="2"/>
      <c r="J256" s="2"/>
      <c r="K256" s="2"/>
      <c r="L256" s="2"/>
      <c r="M256" s="2"/>
      <c r="N256" s="2"/>
      <c r="O256" s="2"/>
      <c r="P256" s="2"/>
      <c r="Q256" s="2"/>
      <c r="S256" s="3"/>
      <c r="T256" s="3"/>
      <c r="U256" s="3"/>
      <c r="V256" s="3"/>
      <c r="W256" s="3"/>
      <c r="X256" s="3"/>
      <c r="Y256" s="3"/>
      <c r="Z256" s="3"/>
    </row>
    <row r="257" ht="15.75" customHeight="1">
      <c r="A257" s="3"/>
      <c r="B257" s="2"/>
      <c r="C257" s="2"/>
      <c r="D257" s="2"/>
      <c r="E257" s="464"/>
      <c r="F257" s="2"/>
      <c r="G257" s="2"/>
      <c r="H257" s="2"/>
      <c r="I257" s="2"/>
      <c r="J257" s="2"/>
      <c r="K257" s="2"/>
      <c r="L257" s="2"/>
      <c r="M257" s="2"/>
      <c r="N257" s="2"/>
      <c r="O257" s="2"/>
      <c r="P257" s="2"/>
      <c r="Q257" s="2"/>
      <c r="S257" s="3"/>
      <c r="T257" s="3"/>
      <c r="U257" s="3"/>
      <c r="V257" s="3"/>
      <c r="W257" s="3"/>
      <c r="X257" s="3"/>
      <c r="Y257" s="3"/>
      <c r="Z257" s="3"/>
    </row>
    <row r="258" ht="15.75" customHeight="1">
      <c r="A258" s="3"/>
      <c r="B258" s="2"/>
      <c r="C258" s="2"/>
      <c r="D258" s="2"/>
      <c r="E258" s="464"/>
      <c r="F258" s="2"/>
      <c r="G258" s="2"/>
      <c r="H258" s="2"/>
      <c r="I258" s="2"/>
      <c r="J258" s="2"/>
      <c r="K258" s="2"/>
      <c r="L258" s="2"/>
      <c r="M258" s="2"/>
      <c r="N258" s="2"/>
      <c r="O258" s="2"/>
      <c r="P258" s="2"/>
      <c r="Q258" s="2"/>
      <c r="S258" s="3"/>
      <c r="T258" s="3"/>
      <c r="U258" s="3"/>
      <c r="V258" s="3"/>
      <c r="W258" s="3"/>
      <c r="X258" s="3"/>
      <c r="Y258" s="3"/>
      <c r="Z258" s="3"/>
    </row>
    <row r="259" ht="15.75" customHeight="1">
      <c r="A259" s="3"/>
      <c r="B259" s="2"/>
      <c r="C259" s="2"/>
      <c r="D259" s="2"/>
      <c r="E259" s="464"/>
      <c r="F259" s="2"/>
      <c r="G259" s="2"/>
      <c r="H259" s="2"/>
      <c r="I259" s="2"/>
      <c r="J259" s="2"/>
      <c r="K259" s="2"/>
      <c r="L259" s="2"/>
      <c r="M259" s="2"/>
      <c r="N259" s="2"/>
      <c r="O259" s="2"/>
      <c r="P259" s="2"/>
      <c r="Q259" s="2"/>
      <c r="S259" s="3"/>
      <c r="T259" s="3"/>
      <c r="U259" s="3"/>
      <c r="V259" s="3"/>
      <c r="W259" s="3"/>
      <c r="X259" s="3"/>
      <c r="Y259" s="3"/>
      <c r="Z259" s="3"/>
    </row>
    <row r="260" ht="15.75" customHeight="1">
      <c r="A260" s="3"/>
      <c r="B260" s="2"/>
      <c r="C260" s="2"/>
      <c r="D260" s="2"/>
      <c r="E260" s="464"/>
      <c r="F260" s="2"/>
      <c r="G260" s="2"/>
      <c r="H260" s="2"/>
      <c r="I260" s="2"/>
      <c r="J260" s="2"/>
      <c r="K260" s="2"/>
      <c r="L260" s="2"/>
      <c r="M260" s="2"/>
      <c r="N260" s="2"/>
      <c r="O260" s="2"/>
      <c r="P260" s="2"/>
      <c r="Q260" s="2"/>
      <c r="S260" s="3"/>
      <c r="T260" s="3"/>
      <c r="U260" s="3"/>
      <c r="V260" s="3"/>
      <c r="W260" s="3"/>
      <c r="X260" s="3"/>
      <c r="Y260" s="3"/>
      <c r="Z260" s="3"/>
    </row>
    <row r="261" ht="15.75" customHeight="1">
      <c r="A261" s="3"/>
      <c r="B261" s="2"/>
      <c r="C261" s="2"/>
      <c r="D261" s="2"/>
      <c r="E261" s="464"/>
      <c r="F261" s="2"/>
      <c r="G261" s="2"/>
      <c r="H261" s="2"/>
      <c r="I261" s="2"/>
      <c r="J261" s="2"/>
      <c r="K261" s="2"/>
      <c r="L261" s="2"/>
      <c r="M261" s="2"/>
      <c r="N261" s="2"/>
      <c r="O261" s="2"/>
      <c r="P261" s="2"/>
      <c r="Q261" s="2"/>
      <c r="S261" s="3"/>
      <c r="T261" s="3"/>
      <c r="U261" s="3"/>
      <c r="V261" s="3"/>
      <c r="W261" s="3"/>
      <c r="X261" s="3"/>
      <c r="Y261" s="3"/>
      <c r="Z261" s="3"/>
    </row>
    <row r="262" ht="15.75" customHeight="1">
      <c r="A262" s="3"/>
      <c r="B262" s="2"/>
      <c r="C262" s="2"/>
      <c r="D262" s="2"/>
      <c r="E262" s="464"/>
      <c r="F262" s="2"/>
      <c r="G262" s="2"/>
      <c r="H262" s="2"/>
      <c r="I262" s="2"/>
      <c r="J262" s="2"/>
      <c r="K262" s="2"/>
      <c r="L262" s="2"/>
      <c r="M262" s="2"/>
      <c r="N262" s="2"/>
      <c r="O262" s="2"/>
      <c r="P262" s="2"/>
      <c r="Q262" s="2"/>
      <c r="S262" s="3"/>
      <c r="T262" s="3"/>
      <c r="U262" s="3"/>
      <c r="V262" s="3"/>
      <c r="W262" s="3"/>
      <c r="X262" s="3"/>
      <c r="Y262" s="3"/>
      <c r="Z262" s="3"/>
    </row>
    <row r="263" ht="15.75" customHeight="1">
      <c r="A263" s="3"/>
      <c r="B263" s="2"/>
      <c r="C263" s="2"/>
      <c r="D263" s="2"/>
      <c r="E263" s="464"/>
      <c r="F263" s="2"/>
      <c r="G263" s="2"/>
      <c r="H263" s="2"/>
      <c r="I263" s="2"/>
      <c r="J263" s="2"/>
      <c r="K263" s="2"/>
      <c r="L263" s="2"/>
      <c r="M263" s="2"/>
      <c r="N263" s="2"/>
      <c r="O263" s="2"/>
      <c r="P263" s="2"/>
      <c r="Q263" s="2"/>
      <c r="S263" s="3"/>
      <c r="T263" s="3"/>
      <c r="U263" s="3"/>
      <c r="V263" s="3"/>
      <c r="W263" s="3"/>
      <c r="X263" s="3"/>
      <c r="Y263" s="3"/>
      <c r="Z263" s="3"/>
    </row>
    <row r="264" ht="15.75" customHeight="1">
      <c r="A264" s="3"/>
      <c r="B264" s="2"/>
      <c r="C264" s="2"/>
      <c r="D264" s="2"/>
      <c r="E264" s="464"/>
      <c r="F264" s="2"/>
      <c r="G264" s="2"/>
      <c r="H264" s="2"/>
      <c r="I264" s="2"/>
      <c r="J264" s="2"/>
      <c r="K264" s="2"/>
      <c r="L264" s="2"/>
      <c r="M264" s="2"/>
      <c r="N264" s="2"/>
      <c r="O264" s="2"/>
      <c r="P264" s="2"/>
      <c r="Q264" s="2"/>
      <c r="S264" s="3"/>
      <c r="T264" s="3"/>
      <c r="U264" s="3"/>
      <c r="V264" s="3"/>
      <c r="W264" s="3"/>
      <c r="X264" s="3"/>
      <c r="Y264" s="3"/>
      <c r="Z264" s="3"/>
    </row>
    <row r="265" ht="15.75" customHeight="1">
      <c r="A265" s="3"/>
      <c r="B265" s="2"/>
      <c r="C265" s="2"/>
      <c r="D265" s="2"/>
      <c r="E265" s="464"/>
      <c r="F265" s="2"/>
      <c r="G265" s="2"/>
      <c r="H265" s="2"/>
      <c r="I265" s="2"/>
      <c r="J265" s="2"/>
      <c r="K265" s="2"/>
      <c r="L265" s="2"/>
      <c r="M265" s="2"/>
      <c r="N265" s="2"/>
      <c r="O265" s="2"/>
      <c r="P265" s="2"/>
      <c r="Q265" s="2"/>
      <c r="S265" s="3"/>
      <c r="T265" s="3"/>
      <c r="U265" s="3"/>
      <c r="V265" s="3"/>
      <c r="W265" s="3"/>
      <c r="X265" s="3"/>
      <c r="Y265" s="3"/>
      <c r="Z265" s="3"/>
    </row>
    <row r="266" ht="15.75" customHeight="1">
      <c r="A266" s="3"/>
      <c r="B266" s="2"/>
      <c r="C266" s="2"/>
      <c r="D266" s="2"/>
      <c r="E266" s="464"/>
      <c r="F266" s="2"/>
      <c r="G266" s="2"/>
      <c r="H266" s="2"/>
      <c r="I266" s="2"/>
      <c r="J266" s="2"/>
      <c r="K266" s="2"/>
      <c r="L266" s="2"/>
      <c r="M266" s="2"/>
      <c r="N266" s="2"/>
      <c r="O266" s="2"/>
      <c r="P266" s="2"/>
      <c r="Q266" s="2"/>
      <c r="S266" s="3"/>
      <c r="T266" s="3"/>
      <c r="U266" s="3"/>
      <c r="V266" s="3"/>
      <c r="W266" s="3"/>
      <c r="X266" s="3"/>
      <c r="Y266" s="3"/>
      <c r="Z266" s="3"/>
    </row>
    <row r="267" ht="15.75" customHeight="1">
      <c r="A267" s="3"/>
      <c r="B267" s="2"/>
      <c r="C267" s="2"/>
      <c r="D267" s="2"/>
      <c r="E267" s="464"/>
      <c r="F267" s="2"/>
      <c r="G267" s="2"/>
      <c r="H267" s="2"/>
      <c r="I267" s="2"/>
      <c r="J267" s="2"/>
      <c r="K267" s="2"/>
      <c r="L267" s="2"/>
      <c r="M267" s="2"/>
      <c r="N267" s="2"/>
      <c r="O267" s="2"/>
      <c r="P267" s="2"/>
      <c r="Q267" s="2"/>
      <c r="S267" s="3"/>
      <c r="T267" s="3"/>
      <c r="U267" s="3"/>
      <c r="V267" s="3"/>
      <c r="W267" s="3"/>
      <c r="X267" s="3"/>
      <c r="Y267" s="3"/>
      <c r="Z267" s="3"/>
    </row>
    <row r="268" ht="15.75" customHeight="1">
      <c r="A268" s="3"/>
      <c r="B268" s="2"/>
      <c r="C268" s="2"/>
      <c r="D268" s="2"/>
      <c r="E268" s="464"/>
      <c r="F268" s="2"/>
      <c r="G268" s="2"/>
      <c r="H268" s="2"/>
      <c r="I268" s="2"/>
      <c r="J268" s="2"/>
      <c r="K268" s="2"/>
      <c r="L268" s="2"/>
      <c r="M268" s="2"/>
      <c r="N268" s="2"/>
      <c r="O268" s="2"/>
      <c r="P268" s="2"/>
      <c r="Q268" s="2"/>
      <c r="S268" s="3"/>
      <c r="T268" s="3"/>
      <c r="U268" s="3"/>
      <c r="V268" s="3"/>
      <c r="W268" s="3"/>
      <c r="X268" s="3"/>
      <c r="Y268" s="3"/>
      <c r="Z268" s="3"/>
    </row>
    <row r="269" ht="15.75" customHeight="1">
      <c r="A269" s="3"/>
      <c r="B269" s="2"/>
      <c r="C269" s="2"/>
      <c r="D269" s="2"/>
      <c r="E269" s="464"/>
      <c r="F269" s="2"/>
      <c r="G269" s="2"/>
      <c r="H269" s="2"/>
      <c r="I269" s="2"/>
      <c r="J269" s="2"/>
      <c r="K269" s="2"/>
      <c r="L269" s="2"/>
      <c r="M269" s="2"/>
      <c r="N269" s="2"/>
      <c r="O269" s="2"/>
      <c r="P269" s="2"/>
      <c r="Q269" s="2"/>
      <c r="S269" s="3"/>
      <c r="T269" s="3"/>
      <c r="U269" s="3"/>
      <c r="V269" s="3"/>
      <c r="W269" s="3"/>
      <c r="X269" s="3"/>
      <c r="Y269" s="3"/>
      <c r="Z269" s="3"/>
    </row>
    <row r="270" ht="15.75" customHeight="1">
      <c r="A270" s="3"/>
      <c r="B270" s="2"/>
      <c r="C270" s="2"/>
      <c r="D270" s="2"/>
      <c r="E270" s="464"/>
      <c r="F270" s="2"/>
      <c r="G270" s="2"/>
      <c r="H270" s="2"/>
      <c r="I270" s="2"/>
      <c r="J270" s="2"/>
      <c r="K270" s="2"/>
      <c r="L270" s="2"/>
      <c r="M270" s="2"/>
      <c r="N270" s="2"/>
      <c r="O270" s="2"/>
      <c r="P270" s="2"/>
      <c r="Q270" s="2"/>
      <c r="S270" s="3"/>
      <c r="T270" s="3"/>
      <c r="U270" s="3"/>
      <c r="V270" s="3"/>
      <c r="W270" s="3"/>
      <c r="X270" s="3"/>
      <c r="Y270" s="3"/>
      <c r="Z270" s="3"/>
    </row>
    <row r="271" ht="15.75" customHeight="1">
      <c r="A271" s="3"/>
      <c r="B271" s="2"/>
      <c r="C271" s="2"/>
      <c r="D271" s="2"/>
      <c r="E271" s="464"/>
      <c r="F271" s="2"/>
      <c r="G271" s="2"/>
      <c r="H271" s="2"/>
      <c r="I271" s="2"/>
      <c r="J271" s="2"/>
      <c r="K271" s="2"/>
      <c r="L271" s="2"/>
      <c r="M271" s="2"/>
      <c r="N271" s="2"/>
      <c r="O271" s="2"/>
      <c r="P271" s="2"/>
      <c r="Q271" s="2"/>
      <c r="S271" s="3"/>
      <c r="T271" s="3"/>
      <c r="U271" s="3"/>
      <c r="V271" s="3"/>
      <c r="W271" s="3"/>
      <c r="X271" s="3"/>
      <c r="Y271" s="3"/>
      <c r="Z271" s="3"/>
    </row>
    <row r="272" ht="15.75" customHeight="1">
      <c r="A272" s="3"/>
      <c r="B272" s="2"/>
      <c r="C272" s="2"/>
      <c r="D272" s="2"/>
      <c r="E272" s="464"/>
      <c r="F272" s="2"/>
      <c r="G272" s="2"/>
      <c r="H272" s="2"/>
      <c r="I272" s="2"/>
      <c r="J272" s="2"/>
      <c r="K272" s="2"/>
      <c r="L272" s="2"/>
      <c r="M272" s="2"/>
      <c r="N272" s="2"/>
      <c r="O272" s="2"/>
      <c r="P272" s="2"/>
      <c r="Q272" s="2"/>
      <c r="S272" s="3"/>
      <c r="T272" s="3"/>
      <c r="U272" s="3"/>
      <c r="V272" s="3"/>
      <c r="W272" s="3"/>
      <c r="X272" s="3"/>
      <c r="Y272" s="3"/>
      <c r="Z272" s="3"/>
    </row>
    <row r="273" ht="15.75" customHeight="1">
      <c r="A273" s="3"/>
      <c r="B273" s="2"/>
      <c r="C273" s="2"/>
      <c r="D273" s="2"/>
      <c r="E273" s="464"/>
      <c r="F273" s="2"/>
      <c r="G273" s="2"/>
      <c r="H273" s="2"/>
      <c r="I273" s="2"/>
      <c r="J273" s="2"/>
      <c r="K273" s="2"/>
      <c r="L273" s="2"/>
      <c r="M273" s="2"/>
      <c r="N273" s="2"/>
      <c r="O273" s="2"/>
      <c r="P273" s="2"/>
      <c r="Q273" s="2"/>
      <c r="S273" s="3"/>
      <c r="T273" s="3"/>
      <c r="U273" s="3"/>
      <c r="V273" s="3"/>
      <c r="W273" s="3"/>
      <c r="X273" s="3"/>
      <c r="Y273" s="3"/>
      <c r="Z273" s="3"/>
    </row>
    <row r="274" ht="15.75" customHeight="1">
      <c r="A274" s="3"/>
      <c r="B274" s="2"/>
      <c r="C274" s="2"/>
      <c r="D274" s="2"/>
      <c r="E274" s="464"/>
      <c r="F274" s="2"/>
      <c r="G274" s="2"/>
      <c r="H274" s="2"/>
      <c r="I274" s="2"/>
      <c r="J274" s="2"/>
      <c r="K274" s="2"/>
      <c r="L274" s="2"/>
      <c r="M274" s="2"/>
      <c r="N274" s="2"/>
      <c r="O274" s="2"/>
      <c r="P274" s="2"/>
      <c r="Q274" s="2"/>
      <c r="S274" s="3"/>
      <c r="T274" s="3"/>
      <c r="U274" s="3"/>
      <c r="V274" s="3"/>
      <c r="W274" s="3"/>
      <c r="X274" s="3"/>
      <c r="Y274" s="3"/>
      <c r="Z274" s="3"/>
    </row>
    <row r="275" ht="15.75" customHeight="1">
      <c r="A275" s="3"/>
      <c r="B275" s="2"/>
      <c r="C275" s="2"/>
      <c r="D275" s="2"/>
      <c r="E275" s="464"/>
      <c r="F275" s="2"/>
      <c r="G275" s="2"/>
      <c r="H275" s="2"/>
      <c r="I275" s="2"/>
      <c r="J275" s="2"/>
      <c r="K275" s="2"/>
      <c r="L275" s="2"/>
      <c r="M275" s="2"/>
      <c r="N275" s="2"/>
      <c r="O275" s="2"/>
      <c r="P275" s="2"/>
      <c r="Q275" s="2"/>
      <c r="S275" s="3"/>
      <c r="T275" s="3"/>
      <c r="U275" s="3"/>
      <c r="V275" s="3"/>
      <c r="W275" s="3"/>
      <c r="X275" s="3"/>
      <c r="Y275" s="3"/>
      <c r="Z275" s="3"/>
    </row>
    <row r="276" ht="15.75" customHeight="1">
      <c r="A276" s="3"/>
      <c r="B276" s="2"/>
      <c r="C276" s="2"/>
      <c r="D276" s="2"/>
      <c r="E276" s="464"/>
      <c r="F276" s="2"/>
      <c r="G276" s="2"/>
      <c r="H276" s="2"/>
      <c r="I276" s="2"/>
      <c r="J276" s="2"/>
      <c r="K276" s="2"/>
      <c r="L276" s="2"/>
      <c r="M276" s="2"/>
      <c r="N276" s="2"/>
      <c r="O276" s="2"/>
      <c r="P276" s="2"/>
      <c r="Q276" s="2"/>
      <c r="S276" s="3"/>
      <c r="T276" s="3"/>
      <c r="U276" s="3"/>
      <c r="V276" s="3"/>
      <c r="W276" s="3"/>
      <c r="X276" s="3"/>
      <c r="Y276" s="3"/>
      <c r="Z276" s="3"/>
    </row>
    <row r="277" ht="15.75" customHeight="1">
      <c r="A277" s="3"/>
      <c r="B277" s="2"/>
      <c r="C277" s="2"/>
      <c r="D277" s="2"/>
      <c r="E277" s="464"/>
      <c r="F277" s="2"/>
      <c r="G277" s="2"/>
      <c r="H277" s="2"/>
      <c r="I277" s="2"/>
      <c r="J277" s="2"/>
      <c r="K277" s="2"/>
      <c r="L277" s="2"/>
      <c r="M277" s="2"/>
      <c r="N277" s="2"/>
      <c r="O277" s="2"/>
      <c r="P277" s="2"/>
      <c r="Q277" s="2"/>
      <c r="S277" s="3"/>
      <c r="T277" s="3"/>
      <c r="U277" s="3"/>
      <c r="V277" s="3"/>
      <c r="W277" s="3"/>
      <c r="X277" s="3"/>
      <c r="Y277" s="3"/>
      <c r="Z277" s="3"/>
    </row>
    <row r="278" ht="15.75" customHeight="1">
      <c r="A278" s="3"/>
      <c r="B278" s="2"/>
      <c r="C278" s="2"/>
      <c r="D278" s="2"/>
      <c r="E278" s="464"/>
      <c r="F278" s="2"/>
      <c r="G278" s="2"/>
      <c r="H278" s="2"/>
      <c r="I278" s="2"/>
      <c r="J278" s="2"/>
      <c r="K278" s="2"/>
      <c r="L278" s="2"/>
      <c r="M278" s="2"/>
      <c r="N278" s="2"/>
      <c r="O278" s="2"/>
      <c r="P278" s="2"/>
      <c r="Q278" s="2"/>
      <c r="S278" s="3"/>
      <c r="T278" s="3"/>
      <c r="U278" s="3"/>
      <c r="V278" s="3"/>
      <c r="W278" s="3"/>
      <c r="X278" s="3"/>
      <c r="Y278" s="3"/>
      <c r="Z278" s="3"/>
    </row>
    <row r="279" ht="15.75" customHeight="1">
      <c r="A279" s="3"/>
      <c r="B279" s="2"/>
      <c r="C279" s="2"/>
      <c r="D279" s="2"/>
      <c r="E279" s="464"/>
      <c r="F279" s="2"/>
      <c r="G279" s="2"/>
      <c r="H279" s="2"/>
      <c r="I279" s="2"/>
      <c r="J279" s="2"/>
      <c r="K279" s="2"/>
      <c r="L279" s="2"/>
      <c r="M279" s="2"/>
      <c r="N279" s="2"/>
      <c r="O279" s="2"/>
      <c r="P279" s="2"/>
      <c r="Q279" s="2"/>
      <c r="S279" s="3"/>
      <c r="T279" s="3"/>
      <c r="U279" s="3"/>
      <c r="V279" s="3"/>
      <c r="W279" s="3"/>
      <c r="X279" s="3"/>
      <c r="Y279" s="3"/>
      <c r="Z279" s="3"/>
    </row>
    <row r="280" ht="15.75" customHeight="1">
      <c r="A280" s="3"/>
      <c r="B280" s="2"/>
      <c r="C280" s="2"/>
      <c r="D280" s="2"/>
      <c r="E280" s="464"/>
      <c r="F280" s="2"/>
      <c r="G280" s="2"/>
      <c r="H280" s="2"/>
      <c r="I280" s="2"/>
      <c r="J280" s="2"/>
      <c r="K280" s="2"/>
      <c r="L280" s="2"/>
      <c r="M280" s="2"/>
      <c r="N280" s="2"/>
      <c r="O280" s="2"/>
      <c r="P280" s="2"/>
      <c r="Q280" s="2"/>
      <c r="S280" s="3"/>
      <c r="T280" s="3"/>
      <c r="U280" s="3"/>
      <c r="V280" s="3"/>
      <c r="W280" s="3"/>
      <c r="X280" s="3"/>
      <c r="Y280" s="3"/>
      <c r="Z280" s="3"/>
    </row>
    <row r="281" ht="15.75" customHeight="1">
      <c r="A281" s="3"/>
      <c r="B281" s="2"/>
      <c r="C281" s="2"/>
      <c r="D281" s="2"/>
      <c r="E281" s="464"/>
      <c r="F281" s="2"/>
      <c r="G281" s="2"/>
      <c r="H281" s="2"/>
      <c r="I281" s="2"/>
      <c r="J281" s="2"/>
      <c r="K281" s="2"/>
      <c r="L281" s="2"/>
      <c r="M281" s="2"/>
      <c r="N281" s="2"/>
      <c r="O281" s="2"/>
      <c r="P281" s="2"/>
      <c r="Q281" s="2"/>
      <c r="S281" s="3"/>
      <c r="T281" s="3"/>
      <c r="U281" s="3"/>
      <c r="V281" s="3"/>
      <c r="W281" s="3"/>
      <c r="X281" s="3"/>
      <c r="Y281" s="3"/>
      <c r="Z281" s="3"/>
    </row>
    <row r="282" ht="15.75" customHeight="1">
      <c r="A282" s="3"/>
      <c r="B282" s="2"/>
      <c r="C282" s="2"/>
      <c r="D282" s="2"/>
      <c r="E282" s="464"/>
      <c r="F282" s="2"/>
      <c r="G282" s="2"/>
      <c r="H282" s="2"/>
      <c r="I282" s="2"/>
      <c r="J282" s="2"/>
      <c r="K282" s="2"/>
      <c r="L282" s="2"/>
      <c r="M282" s="2"/>
      <c r="N282" s="2"/>
      <c r="O282" s="2"/>
      <c r="P282" s="2"/>
      <c r="Q282" s="2"/>
      <c r="S282" s="3"/>
      <c r="T282" s="3"/>
      <c r="U282" s="3"/>
      <c r="V282" s="3"/>
      <c r="W282" s="3"/>
      <c r="X282" s="3"/>
      <c r="Y282" s="3"/>
      <c r="Z282" s="3"/>
    </row>
    <row r="283" ht="15.75" customHeight="1">
      <c r="A283" s="3"/>
      <c r="B283" s="2"/>
      <c r="C283" s="2"/>
      <c r="D283" s="2"/>
      <c r="E283" s="464"/>
      <c r="F283" s="2"/>
      <c r="G283" s="2"/>
      <c r="H283" s="2"/>
      <c r="I283" s="2"/>
      <c r="J283" s="2"/>
      <c r="K283" s="2"/>
      <c r="L283" s="2"/>
      <c r="M283" s="2"/>
      <c r="N283" s="2"/>
      <c r="O283" s="2"/>
      <c r="P283" s="2"/>
      <c r="Q283" s="2"/>
      <c r="S283" s="3"/>
      <c r="T283" s="3"/>
      <c r="U283" s="3"/>
      <c r="V283" s="3"/>
      <c r="W283" s="3"/>
      <c r="X283" s="3"/>
      <c r="Y283" s="3"/>
      <c r="Z283" s="3"/>
    </row>
    <row r="284" ht="15.75" customHeight="1">
      <c r="A284" s="3"/>
      <c r="B284" s="2"/>
      <c r="C284" s="2"/>
      <c r="D284" s="2"/>
      <c r="E284" s="464"/>
      <c r="F284" s="2"/>
      <c r="G284" s="2"/>
      <c r="H284" s="2"/>
      <c r="I284" s="2"/>
      <c r="J284" s="2"/>
      <c r="K284" s="2"/>
      <c r="L284" s="2"/>
      <c r="M284" s="2"/>
      <c r="N284" s="2"/>
      <c r="O284" s="2"/>
      <c r="P284" s="2"/>
      <c r="Q284" s="2"/>
      <c r="S284" s="3"/>
      <c r="T284" s="3"/>
      <c r="U284" s="3"/>
      <c r="V284" s="3"/>
      <c r="W284" s="3"/>
      <c r="X284" s="3"/>
      <c r="Y284" s="3"/>
      <c r="Z284" s="3"/>
    </row>
    <row r="285" ht="15.75" customHeight="1">
      <c r="A285" s="3"/>
      <c r="B285" s="2"/>
      <c r="C285" s="2"/>
      <c r="D285" s="2"/>
      <c r="E285" s="464"/>
      <c r="F285" s="2"/>
      <c r="G285" s="2"/>
      <c r="H285" s="2"/>
      <c r="I285" s="2"/>
      <c r="J285" s="2"/>
      <c r="K285" s="2"/>
      <c r="L285" s="2"/>
      <c r="M285" s="2"/>
      <c r="N285" s="2"/>
      <c r="O285" s="2"/>
      <c r="P285" s="2"/>
      <c r="Q285" s="2"/>
      <c r="S285" s="3"/>
      <c r="T285" s="3"/>
      <c r="U285" s="3"/>
      <c r="V285" s="3"/>
      <c r="W285" s="3"/>
      <c r="X285" s="3"/>
      <c r="Y285" s="3"/>
      <c r="Z285" s="3"/>
    </row>
    <row r="286" ht="15.75" customHeight="1">
      <c r="A286" s="3"/>
      <c r="B286" s="2"/>
      <c r="C286" s="2"/>
      <c r="D286" s="2"/>
      <c r="E286" s="464"/>
      <c r="F286" s="2"/>
      <c r="G286" s="2"/>
      <c r="H286" s="2"/>
      <c r="I286" s="2"/>
      <c r="J286" s="2"/>
      <c r="K286" s="2"/>
      <c r="L286" s="2"/>
      <c r="M286" s="2"/>
      <c r="N286" s="2"/>
      <c r="O286" s="2"/>
      <c r="P286" s="2"/>
      <c r="Q286" s="2"/>
      <c r="S286" s="3"/>
      <c r="T286" s="3"/>
      <c r="U286" s="3"/>
      <c r="V286" s="3"/>
      <c r="W286" s="3"/>
      <c r="X286" s="3"/>
      <c r="Y286" s="3"/>
      <c r="Z286" s="3"/>
    </row>
    <row r="287" ht="15.75" customHeight="1">
      <c r="A287" s="3"/>
      <c r="B287" s="2"/>
      <c r="C287" s="2"/>
      <c r="D287" s="2"/>
      <c r="E287" s="464"/>
      <c r="F287" s="2"/>
      <c r="G287" s="2"/>
      <c r="H287" s="2"/>
      <c r="I287" s="2"/>
      <c r="J287" s="2"/>
      <c r="K287" s="2"/>
      <c r="L287" s="2"/>
      <c r="M287" s="2"/>
      <c r="N287" s="2"/>
      <c r="O287" s="2"/>
      <c r="P287" s="2"/>
      <c r="Q287" s="2"/>
      <c r="S287" s="3"/>
      <c r="T287" s="3"/>
      <c r="U287" s="3"/>
      <c r="V287" s="3"/>
      <c r="W287" s="3"/>
      <c r="X287" s="3"/>
      <c r="Y287" s="3"/>
      <c r="Z287" s="3"/>
    </row>
    <row r="288" ht="15.75" customHeight="1">
      <c r="A288" s="3"/>
      <c r="B288" s="2"/>
      <c r="C288" s="2"/>
      <c r="D288" s="2"/>
      <c r="E288" s="464"/>
      <c r="F288" s="2"/>
      <c r="G288" s="2"/>
      <c r="H288" s="2"/>
      <c r="I288" s="2"/>
      <c r="J288" s="2"/>
      <c r="K288" s="2"/>
      <c r="L288" s="2"/>
      <c r="M288" s="2"/>
      <c r="N288" s="2"/>
      <c r="O288" s="2"/>
      <c r="P288" s="2"/>
      <c r="Q288" s="2"/>
      <c r="S288" s="3"/>
      <c r="T288" s="3"/>
      <c r="U288" s="3"/>
      <c r="V288" s="3"/>
      <c r="W288" s="3"/>
      <c r="X288" s="3"/>
      <c r="Y288" s="3"/>
      <c r="Z288" s="3"/>
    </row>
    <row r="289" ht="15.75" customHeight="1">
      <c r="A289" s="3"/>
      <c r="B289" s="2"/>
      <c r="C289" s="2"/>
      <c r="D289" s="2"/>
      <c r="E289" s="464"/>
      <c r="F289" s="2"/>
      <c r="G289" s="2"/>
      <c r="H289" s="2"/>
      <c r="I289" s="2"/>
      <c r="J289" s="2"/>
      <c r="K289" s="2"/>
      <c r="L289" s="2"/>
      <c r="M289" s="2"/>
      <c r="N289" s="2"/>
      <c r="O289" s="2"/>
      <c r="P289" s="2"/>
      <c r="Q289" s="2"/>
      <c r="S289" s="3"/>
      <c r="T289" s="3"/>
      <c r="U289" s="3"/>
      <c r="V289" s="3"/>
      <c r="W289" s="3"/>
      <c r="X289" s="3"/>
      <c r="Y289" s="3"/>
      <c r="Z289" s="3"/>
    </row>
    <row r="290" ht="15.75" customHeight="1">
      <c r="A290" s="3"/>
      <c r="B290" s="2"/>
      <c r="C290" s="2"/>
      <c r="D290" s="2"/>
      <c r="E290" s="464"/>
      <c r="F290" s="2"/>
      <c r="G290" s="2"/>
      <c r="H290" s="2"/>
      <c r="I290" s="2"/>
      <c r="J290" s="2"/>
      <c r="K290" s="2"/>
      <c r="L290" s="2"/>
      <c r="M290" s="2"/>
      <c r="N290" s="2"/>
      <c r="O290" s="2"/>
      <c r="P290" s="2"/>
      <c r="Q290" s="2"/>
      <c r="S290" s="3"/>
      <c r="T290" s="3"/>
      <c r="U290" s="3"/>
      <c r="V290" s="3"/>
      <c r="W290" s="3"/>
      <c r="X290" s="3"/>
      <c r="Y290" s="3"/>
      <c r="Z290" s="3"/>
    </row>
    <row r="291" ht="15.75" customHeight="1">
      <c r="A291" s="3"/>
      <c r="B291" s="2"/>
      <c r="C291" s="2"/>
      <c r="D291" s="2"/>
      <c r="E291" s="464"/>
      <c r="F291" s="2"/>
      <c r="G291" s="2"/>
      <c r="H291" s="2"/>
      <c r="I291" s="2"/>
      <c r="J291" s="2"/>
      <c r="K291" s="2"/>
      <c r="L291" s="2"/>
      <c r="M291" s="2"/>
      <c r="N291" s="2"/>
      <c r="O291" s="2"/>
      <c r="P291" s="2"/>
      <c r="Q291" s="2"/>
      <c r="S291" s="3"/>
      <c r="T291" s="3"/>
      <c r="U291" s="3"/>
      <c r="V291" s="3"/>
      <c r="W291" s="3"/>
      <c r="X291" s="3"/>
      <c r="Y291" s="3"/>
      <c r="Z291" s="3"/>
    </row>
    <row r="292" ht="15.75" customHeight="1">
      <c r="A292" s="3"/>
      <c r="B292" s="2"/>
      <c r="C292" s="2"/>
      <c r="D292" s="2"/>
      <c r="E292" s="464"/>
      <c r="F292" s="2"/>
      <c r="G292" s="2"/>
      <c r="H292" s="2"/>
      <c r="I292" s="2"/>
      <c r="J292" s="2"/>
      <c r="K292" s="2"/>
      <c r="L292" s="2"/>
      <c r="M292" s="2"/>
      <c r="N292" s="2"/>
      <c r="O292" s="2"/>
      <c r="P292" s="2"/>
      <c r="Q292" s="2"/>
      <c r="S292" s="3"/>
      <c r="T292" s="3"/>
      <c r="U292" s="3"/>
      <c r="V292" s="3"/>
      <c r="W292" s="3"/>
      <c r="X292" s="3"/>
      <c r="Y292" s="3"/>
      <c r="Z292" s="3"/>
    </row>
    <row r="293" ht="15.75" customHeight="1">
      <c r="A293" s="3"/>
      <c r="B293" s="2"/>
      <c r="C293" s="2"/>
      <c r="D293" s="2"/>
      <c r="E293" s="464"/>
      <c r="F293" s="2"/>
      <c r="G293" s="2"/>
      <c r="H293" s="2"/>
      <c r="I293" s="2"/>
      <c r="J293" s="2"/>
      <c r="K293" s="2"/>
      <c r="L293" s="2"/>
      <c r="M293" s="2"/>
      <c r="N293" s="2"/>
      <c r="O293" s="2"/>
      <c r="P293" s="2"/>
      <c r="Q293" s="2"/>
      <c r="S293" s="3"/>
      <c r="T293" s="3"/>
      <c r="U293" s="3"/>
      <c r="V293" s="3"/>
      <c r="W293" s="3"/>
      <c r="X293" s="3"/>
      <c r="Y293" s="3"/>
      <c r="Z293" s="3"/>
    </row>
    <row r="294" ht="15.75" customHeight="1">
      <c r="A294" s="3"/>
      <c r="B294" s="2"/>
      <c r="C294" s="2"/>
      <c r="D294" s="2"/>
      <c r="E294" s="464"/>
      <c r="F294" s="2"/>
      <c r="G294" s="2"/>
      <c r="H294" s="2"/>
      <c r="I294" s="2"/>
      <c r="J294" s="2"/>
      <c r="K294" s="2"/>
      <c r="L294" s="2"/>
      <c r="M294" s="2"/>
      <c r="N294" s="2"/>
      <c r="O294" s="2"/>
      <c r="P294" s="2"/>
      <c r="Q294" s="2"/>
      <c r="S294" s="3"/>
      <c r="T294" s="3"/>
      <c r="U294" s="3"/>
      <c r="V294" s="3"/>
      <c r="W294" s="3"/>
      <c r="X294" s="3"/>
      <c r="Y294" s="3"/>
      <c r="Z294" s="3"/>
    </row>
    <row r="295" ht="15.75" customHeight="1">
      <c r="A295" s="3"/>
      <c r="B295" s="2"/>
      <c r="C295" s="2"/>
      <c r="D295" s="2"/>
      <c r="E295" s="464"/>
      <c r="F295" s="2"/>
      <c r="G295" s="2"/>
      <c r="H295" s="2"/>
      <c r="I295" s="2"/>
      <c r="J295" s="2"/>
      <c r="K295" s="2"/>
      <c r="L295" s="2"/>
      <c r="M295" s="2"/>
      <c r="N295" s="2"/>
      <c r="O295" s="2"/>
      <c r="P295" s="2"/>
      <c r="Q295" s="2"/>
      <c r="S295" s="3"/>
      <c r="T295" s="3"/>
      <c r="U295" s="3"/>
      <c r="V295" s="3"/>
      <c r="W295" s="3"/>
      <c r="X295" s="3"/>
      <c r="Y295" s="3"/>
      <c r="Z295" s="3"/>
    </row>
    <row r="296" ht="15.75" customHeight="1">
      <c r="A296" s="3"/>
      <c r="B296" s="2"/>
      <c r="C296" s="2"/>
      <c r="D296" s="2"/>
      <c r="E296" s="464"/>
      <c r="F296" s="2"/>
      <c r="G296" s="2"/>
      <c r="H296" s="2"/>
      <c r="I296" s="2"/>
      <c r="J296" s="2"/>
      <c r="K296" s="2"/>
      <c r="L296" s="2"/>
      <c r="M296" s="2"/>
      <c r="N296" s="2"/>
      <c r="O296" s="2"/>
      <c r="P296" s="2"/>
      <c r="Q296" s="2"/>
      <c r="S296" s="3"/>
      <c r="T296" s="3"/>
      <c r="U296" s="3"/>
      <c r="V296" s="3"/>
      <c r="W296" s="3"/>
      <c r="X296" s="3"/>
      <c r="Y296" s="3"/>
      <c r="Z296" s="3"/>
    </row>
    <row r="297" ht="15.75" customHeight="1">
      <c r="A297" s="3"/>
      <c r="B297" s="2"/>
      <c r="C297" s="2"/>
      <c r="D297" s="2"/>
      <c r="E297" s="464"/>
      <c r="F297" s="2"/>
      <c r="G297" s="2"/>
      <c r="H297" s="2"/>
      <c r="I297" s="2"/>
      <c r="J297" s="2"/>
      <c r="K297" s="2"/>
      <c r="L297" s="2"/>
      <c r="M297" s="2"/>
      <c r="N297" s="2"/>
      <c r="O297" s="2"/>
      <c r="P297" s="2"/>
      <c r="Q297" s="2"/>
      <c r="S297" s="3"/>
      <c r="T297" s="3"/>
      <c r="U297" s="3"/>
      <c r="V297" s="3"/>
      <c r="W297" s="3"/>
      <c r="X297" s="3"/>
      <c r="Y297" s="3"/>
      <c r="Z297" s="3"/>
    </row>
    <row r="298" ht="15.75" customHeight="1">
      <c r="A298" s="3"/>
      <c r="B298" s="2"/>
      <c r="C298" s="2"/>
      <c r="D298" s="2"/>
      <c r="E298" s="464"/>
      <c r="F298" s="2"/>
      <c r="G298" s="2"/>
      <c r="H298" s="2"/>
      <c r="I298" s="2"/>
      <c r="J298" s="2"/>
      <c r="K298" s="2"/>
      <c r="L298" s="2"/>
      <c r="M298" s="2"/>
      <c r="N298" s="2"/>
      <c r="O298" s="2"/>
      <c r="P298" s="2"/>
      <c r="Q298" s="2"/>
      <c r="S298" s="3"/>
      <c r="T298" s="3"/>
      <c r="U298" s="3"/>
      <c r="V298" s="3"/>
      <c r="W298" s="3"/>
      <c r="X298" s="3"/>
      <c r="Y298" s="3"/>
      <c r="Z298" s="3"/>
    </row>
    <row r="299" ht="15.75" customHeight="1">
      <c r="A299" s="3"/>
      <c r="B299" s="2"/>
      <c r="C299" s="2"/>
      <c r="D299" s="2"/>
      <c r="E299" s="464"/>
      <c r="F299" s="2"/>
      <c r="G299" s="2"/>
      <c r="H299" s="2"/>
      <c r="I299" s="2"/>
      <c r="J299" s="2"/>
      <c r="K299" s="2"/>
      <c r="L299" s="2"/>
      <c r="M299" s="2"/>
      <c r="N299" s="2"/>
      <c r="O299" s="2"/>
      <c r="P299" s="2"/>
      <c r="Q299" s="2"/>
      <c r="S299" s="3"/>
      <c r="T299" s="3"/>
      <c r="U299" s="3"/>
      <c r="V299" s="3"/>
      <c r="W299" s="3"/>
      <c r="X299" s="3"/>
      <c r="Y299" s="3"/>
      <c r="Z299" s="3"/>
    </row>
    <row r="300" ht="15.75" customHeight="1">
      <c r="A300" s="3"/>
      <c r="B300" s="2"/>
      <c r="C300" s="2"/>
      <c r="D300" s="2"/>
      <c r="E300" s="464"/>
      <c r="F300" s="2"/>
      <c r="G300" s="2"/>
      <c r="H300" s="2"/>
      <c r="I300" s="2"/>
      <c r="J300" s="2"/>
      <c r="K300" s="2"/>
      <c r="L300" s="2"/>
      <c r="M300" s="2"/>
      <c r="N300" s="2"/>
      <c r="O300" s="2"/>
      <c r="P300" s="2"/>
      <c r="Q300" s="2"/>
      <c r="S300" s="3"/>
      <c r="T300" s="3"/>
      <c r="U300" s="3"/>
      <c r="V300" s="3"/>
      <c r="W300" s="3"/>
      <c r="X300" s="3"/>
      <c r="Y300" s="3"/>
      <c r="Z300" s="3"/>
    </row>
    <row r="301" ht="15.75" customHeight="1">
      <c r="A301" s="3"/>
      <c r="B301" s="2"/>
      <c r="C301" s="2"/>
      <c r="D301" s="2"/>
      <c r="E301" s="464"/>
      <c r="F301" s="2"/>
      <c r="G301" s="2"/>
      <c r="H301" s="2"/>
      <c r="I301" s="2"/>
      <c r="J301" s="2"/>
      <c r="K301" s="2"/>
      <c r="L301" s="2"/>
      <c r="M301" s="2"/>
      <c r="N301" s="2"/>
      <c r="O301" s="2"/>
      <c r="P301" s="2"/>
      <c r="Q301" s="2"/>
      <c r="S301" s="3"/>
      <c r="T301" s="3"/>
      <c r="U301" s="3"/>
      <c r="V301" s="3"/>
      <c r="W301" s="3"/>
      <c r="X301" s="3"/>
      <c r="Y301" s="3"/>
      <c r="Z301" s="3"/>
    </row>
    <row r="302" ht="15.75" customHeight="1">
      <c r="A302" s="3"/>
      <c r="B302" s="2"/>
      <c r="C302" s="2"/>
      <c r="D302" s="2"/>
      <c r="E302" s="464"/>
      <c r="F302" s="2"/>
      <c r="G302" s="2"/>
      <c r="H302" s="2"/>
      <c r="I302" s="2"/>
      <c r="J302" s="2"/>
      <c r="K302" s="2"/>
      <c r="L302" s="2"/>
      <c r="M302" s="2"/>
      <c r="N302" s="2"/>
      <c r="O302" s="2"/>
      <c r="P302" s="2"/>
      <c r="Q302" s="2"/>
      <c r="S302" s="3"/>
      <c r="T302" s="3"/>
      <c r="U302" s="3"/>
      <c r="V302" s="3"/>
      <c r="W302" s="3"/>
      <c r="X302" s="3"/>
      <c r="Y302" s="3"/>
      <c r="Z302" s="3"/>
    </row>
    <row r="303" ht="15.75" customHeight="1">
      <c r="A303" s="3"/>
      <c r="B303" s="2"/>
      <c r="C303" s="2"/>
      <c r="D303" s="2"/>
      <c r="E303" s="464"/>
      <c r="F303" s="2"/>
      <c r="G303" s="2"/>
      <c r="H303" s="2"/>
      <c r="I303" s="2"/>
      <c r="J303" s="2"/>
      <c r="K303" s="2"/>
      <c r="L303" s="2"/>
      <c r="M303" s="2"/>
      <c r="N303" s="2"/>
      <c r="O303" s="2"/>
      <c r="P303" s="2"/>
      <c r="Q303" s="2"/>
      <c r="S303" s="3"/>
      <c r="T303" s="3"/>
      <c r="U303" s="3"/>
      <c r="V303" s="3"/>
      <c r="W303" s="3"/>
      <c r="X303" s="3"/>
      <c r="Y303" s="3"/>
      <c r="Z303" s="3"/>
    </row>
    <row r="304" ht="15.75" customHeight="1">
      <c r="A304" s="3"/>
      <c r="B304" s="2"/>
      <c r="C304" s="2"/>
      <c r="D304" s="2"/>
      <c r="E304" s="464"/>
      <c r="F304" s="2"/>
      <c r="G304" s="2"/>
      <c r="H304" s="2"/>
      <c r="I304" s="2"/>
      <c r="J304" s="2"/>
      <c r="K304" s="2"/>
      <c r="L304" s="2"/>
      <c r="M304" s="2"/>
      <c r="N304" s="2"/>
      <c r="O304" s="2"/>
      <c r="P304" s="2"/>
      <c r="Q304" s="2"/>
      <c r="S304" s="3"/>
      <c r="T304" s="3"/>
      <c r="U304" s="3"/>
      <c r="V304" s="3"/>
      <c r="W304" s="3"/>
      <c r="X304" s="3"/>
      <c r="Y304" s="3"/>
      <c r="Z304" s="3"/>
    </row>
    <row r="305" ht="15.75" customHeight="1">
      <c r="A305" s="3"/>
      <c r="B305" s="2"/>
      <c r="C305" s="2"/>
      <c r="D305" s="2"/>
      <c r="E305" s="464"/>
      <c r="F305" s="2"/>
      <c r="G305" s="2"/>
      <c r="H305" s="2"/>
      <c r="I305" s="2"/>
      <c r="J305" s="2"/>
      <c r="K305" s="2"/>
      <c r="L305" s="2"/>
      <c r="M305" s="2"/>
      <c r="N305" s="2"/>
      <c r="O305" s="2"/>
      <c r="P305" s="2"/>
      <c r="Q305" s="2"/>
      <c r="S305" s="3"/>
      <c r="T305" s="3"/>
      <c r="U305" s="3"/>
      <c r="V305" s="3"/>
      <c r="W305" s="3"/>
      <c r="X305" s="3"/>
      <c r="Y305" s="3"/>
      <c r="Z305" s="3"/>
    </row>
    <row r="306" ht="15.75" customHeight="1">
      <c r="A306" s="3"/>
      <c r="B306" s="2"/>
      <c r="C306" s="2"/>
      <c r="D306" s="2"/>
      <c r="E306" s="464"/>
      <c r="F306" s="2"/>
      <c r="G306" s="2"/>
      <c r="H306" s="2"/>
      <c r="I306" s="2"/>
      <c r="J306" s="2"/>
      <c r="K306" s="2"/>
      <c r="L306" s="2"/>
      <c r="M306" s="2"/>
      <c r="N306" s="2"/>
      <c r="O306" s="2"/>
      <c r="P306" s="2"/>
      <c r="Q306" s="2"/>
      <c r="S306" s="3"/>
      <c r="T306" s="3"/>
      <c r="U306" s="3"/>
      <c r="V306" s="3"/>
      <c r="W306" s="3"/>
      <c r="X306" s="3"/>
      <c r="Y306" s="3"/>
      <c r="Z306" s="3"/>
    </row>
    <row r="307" ht="15.75" customHeight="1">
      <c r="A307" s="3"/>
      <c r="B307" s="2"/>
      <c r="C307" s="2"/>
      <c r="D307" s="2"/>
      <c r="E307" s="464"/>
      <c r="F307" s="2"/>
      <c r="G307" s="2"/>
      <c r="H307" s="2"/>
      <c r="I307" s="2"/>
      <c r="J307" s="2"/>
      <c r="K307" s="2"/>
      <c r="L307" s="2"/>
      <c r="M307" s="2"/>
      <c r="N307" s="2"/>
      <c r="O307" s="2"/>
      <c r="P307" s="2"/>
      <c r="Q307" s="2"/>
      <c r="S307" s="3"/>
      <c r="T307" s="3"/>
      <c r="U307" s="3"/>
      <c r="V307" s="3"/>
      <c r="W307" s="3"/>
      <c r="X307" s="3"/>
      <c r="Y307" s="3"/>
      <c r="Z307" s="3"/>
    </row>
    <row r="308" ht="15.75" customHeight="1">
      <c r="A308" s="3"/>
      <c r="B308" s="2"/>
      <c r="C308" s="2"/>
      <c r="D308" s="2"/>
      <c r="E308" s="464"/>
      <c r="F308" s="2"/>
      <c r="G308" s="2"/>
      <c r="H308" s="2"/>
      <c r="I308" s="2"/>
      <c r="J308" s="2"/>
      <c r="K308" s="2"/>
      <c r="L308" s="2"/>
      <c r="M308" s="2"/>
      <c r="N308" s="2"/>
      <c r="O308" s="2"/>
      <c r="P308" s="2"/>
      <c r="Q308" s="2"/>
      <c r="S308" s="3"/>
      <c r="T308" s="3"/>
      <c r="U308" s="3"/>
      <c r="V308" s="3"/>
      <c r="W308" s="3"/>
      <c r="X308" s="3"/>
      <c r="Y308" s="3"/>
      <c r="Z308" s="3"/>
    </row>
    <row r="309" ht="15.75" customHeight="1">
      <c r="A309" s="3"/>
      <c r="B309" s="2"/>
      <c r="C309" s="2"/>
      <c r="D309" s="2"/>
      <c r="E309" s="464"/>
      <c r="F309" s="2"/>
      <c r="G309" s="2"/>
      <c r="H309" s="2"/>
      <c r="I309" s="2"/>
      <c r="J309" s="2"/>
      <c r="K309" s="2"/>
      <c r="L309" s="2"/>
      <c r="M309" s="2"/>
      <c r="N309" s="2"/>
      <c r="O309" s="2"/>
      <c r="P309" s="2"/>
      <c r="Q309" s="2"/>
      <c r="S309" s="3"/>
      <c r="T309" s="3"/>
      <c r="U309" s="3"/>
      <c r="V309" s="3"/>
      <c r="W309" s="3"/>
      <c r="X309" s="3"/>
      <c r="Y309" s="3"/>
      <c r="Z309" s="3"/>
    </row>
    <row r="310" ht="15.75" customHeight="1">
      <c r="A310" s="3"/>
      <c r="B310" s="2"/>
      <c r="C310" s="2"/>
      <c r="D310" s="2"/>
      <c r="E310" s="464"/>
      <c r="F310" s="2"/>
      <c r="G310" s="2"/>
      <c r="H310" s="2"/>
      <c r="I310" s="2"/>
      <c r="J310" s="2"/>
      <c r="K310" s="2"/>
      <c r="L310" s="2"/>
      <c r="M310" s="2"/>
      <c r="N310" s="2"/>
      <c r="O310" s="2"/>
      <c r="P310" s="2"/>
      <c r="Q310" s="2"/>
      <c r="S310" s="3"/>
      <c r="T310" s="3"/>
      <c r="U310" s="3"/>
      <c r="V310" s="3"/>
      <c r="W310" s="3"/>
      <c r="X310" s="3"/>
      <c r="Y310" s="3"/>
      <c r="Z310" s="3"/>
    </row>
    <row r="311" ht="15.75" customHeight="1">
      <c r="A311" s="3"/>
      <c r="B311" s="2"/>
      <c r="C311" s="2"/>
      <c r="D311" s="2"/>
      <c r="E311" s="464"/>
      <c r="F311" s="2"/>
      <c r="G311" s="2"/>
      <c r="H311" s="2"/>
      <c r="I311" s="2"/>
      <c r="J311" s="2"/>
      <c r="K311" s="2"/>
      <c r="L311" s="2"/>
      <c r="M311" s="2"/>
      <c r="N311" s="2"/>
      <c r="O311" s="2"/>
      <c r="P311" s="2"/>
      <c r="Q311" s="2"/>
      <c r="S311" s="3"/>
      <c r="T311" s="3"/>
      <c r="U311" s="3"/>
      <c r="V311" s="3"/>
      <c r="W311" s="3"/>
      <c r="X311" s="3"/>
      <c r="Y311" s="3"/>
      <c r="Z311" s="3"/>
    </row>
    <row r="312" ht="15.75" customHeight="1">
      <c r="A312" s="3"/>
      <c r="B312" s="2"/>
      <c r="C312" s="2"/>
      <c r="D312" s="2"/>
      <c r="E312" s="464"/>
      <c r="F312" s="2"/>
      <c r="G312" s="2"/>
      <c r="H312" s="2"/>
      <c r="I312" s="2"/>
      <c r="J312" s="2"/>
      <c r="K312" s="2"/>
      <c r="L312" s="2"/>
      <c r="M312" s="2"/>
      <c r="N312" s="2"/>
      <c r="O312" s="2"/>
      <c r="P312" s="2"/>
      <c r="Q312" s="2"/>
      <c r="S312" s="3"/>
      <c r="T312" s="3"/>
      <c r="U312" s="3"/>
      <c r="V312" s="3"/>
      <c r="W312" s="3"/>
      <c r="X312" s="3"/>
      <c r="Y312" s="3"/>
      <c r="Z312" s="3"/>
    </row>
    <row r="313" ht="15.75" customHeight="1">
      <c r="A313" s="3"/>
      <c r="B313" s="2"/>
      <c r="C313" s="2"/>
      <c r="D313" s="2"/>
      <c r="E313" s="464"/>
      <c r="F313" s="2"/>
      <c r="G313" s="2"/>
      <c r="H313" s="2"/>
      <c r="I313" s="2"/>
      <c r="J313" s="2"/>
      <c r="K313" s="2"/>
      <c r="L313" s="2"/>
      <c r="M313" s="2"/>
      <c r="N313" s="2"/>
      <c r="O313" s="2"/>
      <c r="P313" s="2"/>
      <c r="Q313" s="2"/>
      <c r="S313" s="3"/>
      <c r="T313" s="3"/>
      <c r="U313" s="3"/>
      <c r="V313" s="3"/>
      <c r="W313" s="3"/>
      <c r="X313" s="3"/>
      <c r="Y313" s="3"/>
      <c r="Z313" s="3"/>
    </row>
    <row r="314" ht="15.75" customHeight="1">
      <c r="A314" s="3"/>
      <c r="B314" s="2"/>
      <c r="C314" s="2"/>
      <c r="D314" s="2"/>
      <c r="E314" s="464"/>
      <c r="F314" s="2"/>
      <c r="G314" s="2"/>
      <c r="H314" s="2"/>
      <c r="I314" s="2"/>
      <c r="J314" s="2"/>
      <c r="K314" s="2"/>
      <c r="L314" s="2"/>
      <c r="M314" s="2"/>
      <c r="N314" s="2"/>
      <c r="O314" s="2"/>
      <c r="P314" s="2"/>
      <c r="Q314" s="2"/>
      <c r="S314" s="3"/>
      <c r="T314" s="3"/>
      <c r="U314" s="3"/>
      <c r="V314" s="3"/>
      <c r="W314" s="3"/>
      <c r="X314" s="3"/>
      <c r="Y314" s="3"/>
      <c r="Z314" s="3"/>
    </row>
    <row r="315" ht="15.75" customHeight="1">
      <c r="A315" s="3"/>
      <c r="B315" s="2"/>
      <c r="C315" s="2"/>
      <c r="D315" s="2"/>
      <c r="E315" s="464"/>
      <c r="F315" s="2"/>
      <c r="G315" s="2"/>
      <c r="H315" s="2"/>
      <c r="I315" s="2"/>
      <c r="J315" s="2"/>
      <c r="K315" s="2"/>
      <c r="L315" s="2"/>
      <c r="M315" s="2"/>
      <c r="N315" s="2"/>
      <c r="O315" s="2"/>
      <c r="P315" s="2"/>
      <c r="Q315" s="2"/>
      <c r="S315" s="3"/>
      <c r="T315" s="3"/>
      <c r="U315" s="3"/>
      <c r="V315" s="3"/>
      <c r="W315" s="3"/>
      <c r="X315" s="3"/>
      <c r="Y315" s="3"/>
      <c r="Z315" s="3"/>
    </row>
    <row r="316" ht="15.75" customHeight="1">
      <c r="A316" s="3"/>
      <c r="B316" s="2"/>
      <c r="C316" s="2"/>
      <c r="D316" s="2"/>
      <c r="E316" s="464"/>
      <c r="F316" s="2"/>
      <c r="G316" s="2"/>
      <c r="H316" s="2"/>
      <c r="I316" s="2"/>
      <c r="J316" s="2"/>
      <c r="K316" s="2"/>
      <c r="L316" s="2"/>
      <c r="M316" s="2"/>
      <c r="N316" s="2"/>
      <c r="O316" s="2"/>
      <c r="P316" s="2"/>
      <c r="Q316" s="2"/>
      <c r="S316" s="3"/>
      <c r="T316" s="3"/>
      <c r="U316" s="3"/>
      <c r="V316" s="3"/>
      <c r="W316" s="3"/>
      <c r="X316" s="3"/>
      <c r="Y316" s="3"/>
      <c r="Z316" s="3"/>
    </row>
    <row r="317" ht="15.75" customHeight="1">
      <c r="A317" s="3"/>
      <c r="B317" s="2"/>
      <c r="C317" s="2"/>
      <c r="D317" s="2"/>
      <c r="E317" s="464"/>
      <c r="F317" s="2"/>
      <c r="G317" s="2"/>
      <c r="H317" s="2"/>
      <c r="I317" s="2"/>
      <c r="J317" s="2"/>
      <c r="K317" s="2"/>
      <c r="L317" s="2"/>
      <c r="M317" s="2"/>
      <c r="N317" s="2"/>
      <c r="O317" s="2"/>
      <c r="P317" s="2"/>
      <c r="Q317" s="2"/>
      <c r="S317" s="3"/>
      <c r="T317" s="3"/>
      <c r="U317" s="3"/>
      <c r="V317" s="3"/>
      <c r="W317" s="3"/>
      <c r="X317" s="3"/>
      <c r="Y317" s="3"/>
      <c r="Z317" s="3"/>
    </row>
    <row r="318" ht="15.75" customHeight="1">
      <c r="A318" s="3"/>
      <c r="B318" s="2"/>
      <c r="C318" s="2"/>
      <c r="D318" s="2"/>
      <c r="E318" s="464"/>
      <c r="F318" s="2"/>
      <c r="G318" s="2"/>
      <c r="H318" s="2"/>
      <c r="I318" s="2"/>
      <c r="J318" s="2"/>
      <c r="K318" s="2"/>
      <c r="L318" s="2"/>
      <c r="M318" s="2"/>
      <c r="N318" s="2"/>
      <c r="O318" s="2"/>
      <c r="P318" s="2"/>
      <c r="Q318" s="2"/>
      <c r="S318" s="3"/>
      <c r="T318" s="3"/>
      <c r="U318" s="3"/>
      <c r="V318" s="3"/>
      <c r="W318" s="3"/>
      <c r="X318" s="3"/>
      <c r="Y318" s="3"/>
      <c r="Z318" s="3"/>
    </row>
    <row r="319" ht="15.75" customHeight="1">
      <c r="A319" s="3"/>
      <c r="B319" s="2"/>
      <c r="C319" s="2"/>
      <c r="D319" s="2"/>
      <c r="E319" s="464"/>
      <c r="F319" s="2"/>
      <c r="G319" s="2"/>
      <c r="H319" s="2"/>
      <c r="I319" s="2"/>
      <c r="J319" s="2"/>
      <c r="K319" s="2"/>
      <c r="L319" s="2"/>
      <c r="M319" s="2"/>
      <c r="N319" s="2"/>
      <c r="O319" s="2"/>
      <c r="P319" s="2"/>
      <c r="Q319" s="2"/>
      <c r="S319" s="3"/>
      <c r="T319" s="3"/>
      <c r="U319" s="3"/>
      <c r="V319" s="3"/>
      <c r="W319" s="3"/>
      <c r="X319" s="3"/>
      <c r="Y319" s="3"/>
      <c r="Z319" s="3"/>
    </row>
    <row r="320" ht="15.75" customHeight="1">
      <c r="A320" s="3"/>
      <c r="B320" s="2"/>
      <c r="C320" s="2"/>
      <c r="D320" s="2"/>
      <c r="E320" s="464"/>
      <c r="F320" s="2"/>
      <c r="G320" s="2"/>
      <c r="H320" s="2"/>
      <c r="I320" s="2"/>
      <c r="J320" s="2"/>
      <c r="K320" s="2"/>
      <c r="L320" s="2"/>
      <c r="M320" s="2"/>
      <c r="N320" s="2"/>
      <c r="O320" s="2"/>
      <c r="P320" s="2"/>
      <c r="Q320" s="2"/>
      <c r="S320" s="3"/>
      <c r="T320" s="3"/>
      <c r="U320" s="3"/>
      <c r="V320" s="3"/>
      <c r="W320" s="3"/>
      <c r="X320" s="3"/>
      <c r="Y320" s="3"/>
      <c r="Z320" s="3"/>
    </row>
    <row r="321" ht="15.75" customHeight="1">
      <c r="A321" s="3"/>
      <c r="B321" s="2"/>
      <c r="C321" s="2"/>
      <c r="D321" s="2"/>
      <c r="E321" s="464"/>
      <c r="F321" s="2"/>
      <c r="G321" s="2"/>
      <c r="H321" s="2"/>
      <c r="I321" s="2"/>
      <c r="J321" s="2"/>
      <c r="K321" s="2"/>
      <c r="L321" s="2"/>
      <c r="M321" s="2"/>
      <c r="N321" s="2"/>
      <c r="O321" s="2"/>
      <c r="P321" s="2"/>
      <c r="Q321" s="2"/>
      <c r="S321" s="3"/>
      <c r="T321" s="3"/>
      <c r="U321" s="3"/>
      <c r="V321" s="3"/>
      <c r="W321" s="3"/>
      <c r="X321" s="3"/>
      <c r="Y321" s="3"/>
      <c r="Z321" s="3"/>
    </row>
    <row r="322" ht="15.75" customHeight="1">
      <c r="A322" s="3"/>
      <c r="B322" s="2"/>
      <c r="C322" s="2"/>
      <c r="D322" s="2"/>
      <c r="E322" s="464"/>
      <c r="F322" s="2"/>
      <c r="G322" s="2"/>
      <c r="H322" s="2"/>
      <c r="I322" s="2"/>
      <c r="J322" s="2"/>
      <c r="K322" s="2"/>
      <c r="L322" s="2"/>
      <c r="M322" s="2"/>
      <c r="N322" s="2"/>
      <c r="O322" s="2"/>
      <c r="P322" s="2"/>
      <c r="Q322" s="2"/>
      <c r="S322" s="3"/>
      <c r="T322" s="3"/>
      <c r="U322" s="3"/>
      <c r="V322" s="3"/>
      <c r="W322" s="3"/>
      <c r="X322" s="3"/>
      <c r="Y322" s="3"/>
      <c r="Z322" s="3"/>
    </row>
    <row r="323" ht="15.75" customHeight="1">
      <c r="A323" s="3"/>
      <c r="B323" s="2"/>
      <c r="C323" s="2"/>
      <c r="D323" s="2"/>
      <c r="E323" s="464"/>
      <c r="F323" s="2"/>
      <c r="G323" s="2"/>
      <c r="H323" s="2"/>
      <c r="I323" s="2"/>
      <c r="J323" s="2"/>
      <c r="K323" s="2"/>
      <c r="L323" s="2"/>
      <c r="M323" s="2"/>
      <c r="N323" s="2"/>
      <c r="O323" s="2"/>
      <c r="P323" s="2"/>
      <c r="Q323" s="2"/>
      <c r="S323" s="3"/>
      <c r="T323" s="3"/>
      <c r="U323" s="3"/>
      <c r="V323" s="3"/>
      <c r="W323" s="3"/>
      <c r="X323" s="3"/>
      <c r="Y323" s="3"/>
      <c r="Z323" s="3"/>
    </row>
    <row r="324" ht="15.75" customHeight="1">
      <c r="A324" s="3"/>
      <c r="B324" s="2"/>
      <c r="C324" s="2"/>
      <c r="D324" s="2"/>
      <c r="E324" s="464"/>
      <c r="F324" s="2"/>
      <c r="G324" s="2"/>
      <c r="H324" s="2"/>
      <c r="I324" s="2"/>
      <c r="J324" s="2"/>
      <c r="K324" s="2"/>
      <c r="L324" s="2"/>
      <c r="M324" s="2"/>
      <c r="N324" s="2"/>
      <c r="O324" s="2"/>
      <c r="P324" s="2"/>
      <c r="Q324" s="2"/>
      <c r="S324" s="3"/>
      <c r="T324" s="3"/>
      <c r="U324" s="3"/>
      <c r="V324" s="3"/>
      <c r="W324" s="3"/>
      <c r="X324" s="3"/>
      <c r="Y324" s="3"/>
      <c r="Z324" s="3"/>
    </row>
    <row r="325" ht="15.75" customHeight="1">
      <c r="A325" s="3"/>
      <c r="B325" s="2"/>
      <c r="C325" s="2"/>
      <c r="D325" s="2"/>
      <c r="E325" s="464"/>
      <c r="F325" s="2"/>
      <c r="G325" s="2"/>
      <c r="H325" s="2"/>
      <c r="I325" s="2"/>
      <c r="J325" s="2"/>
      <c r="K325" s="2"/>
      <c r="L325" s="2"/>
      <c r="M325" s="2"/>
      <c r="N325" s="2"/>
      <c r="O325" s="2"/>
      <c r="P325" s="2"/>
      <c r="Q325" s="2"/>
      <c r="S325" s="3"/>
      <c r="T325" s="3"/>
      <c r="U325" s="3"/>
      <c r="V325" s="3"/>
      <c r="W325" s="3"/>
      <c r="X325" s="3"/>
      <c r="Y325" s="3"/>
      <c r="Z325" s="3"/>
    </row>
    <row r="326" ht="15.75" customHeight="1">
      <c r="A326" s="3"/>
      <c r="B326" s="2"/>
      <c r="C326" s="2"/>
      <c r="D326" s="2"/>
      <c r="E326" s="464"/>
      <c r="F326" s="2"/>
      <c r="G326" s="2"/>
      <c r="H326" s="2"/>
      <c r="I326" s="2"/>
      <c r="J326" s="2"/>
      <c r="K326" s="2"/>
      <c r="L326" s="2"/>
      <c r="M326" s="2"/>
      <c r="N326" s="2"/>
      <c r="O326" s="2"/>
      <c r="P326" s="2"/>
      <c r="Q326" s="2"/>
      <c r="S326" s="3"/>
      <c r="T326" s="3"/>
      <c r="U326" s="3"/>
      <c r="V326" s="3"/>
      <c r="W326" s="3"/>
      <c r="X326" s="3"/>
      <c r="Y326" s="3"/>
      <c r="Z326" s="3"/>
    </row>
    <row r="327" ht="15.75" customHeight="1">
      <c r="A327" s="3"/>
      <c r="B327" s="2"/>
      <c r="C327" s="2"/>
      <c r="D327" s="2"/>
      <c r="E327" s="464"/>
      <c r="F327" s="2"/>
      <c r="G327" s="2"/>
      <c r="H327" s="2"/>
      <c r="I327" s="2"/>
      <c r="J327" s="2"/>
      <c r="K327" s="2"/>
      <c r="L327" s="2"/>
      <c r="M327" s="2"/>
      <c r="N327" s="2"/>
      <c r="O327" s="2"/>
      <c r="P327" s="2"/>
      <c r="Q327" s="2"/>
      <c r="S327" s="3"/>
      <c r="T327" s="3"/>
      <c r="U327" s="3"/>
      <c r="V327" s="3"/>
      <c r="W327" s="3"/>
      <c r="X327" s="3"/>
      <c r="Y327" s="3"/>
      <c r="Z327" s="3"/>
    </row>
    <row r="328" ht="15.75" customHeight="1">
      <c r="A328" s="3"/>
      <c r="B328" s="2"/>
      <c r="C328" s="2"/>
      <c r="D328" s="2"/>
      <c r="E328" s="464"/>
      <c r="F328" s="2"/>
      <c r="G328" s="2"/>
      <c r="H328" s="2"/>
      <c r="I328" s="2"/>
      <c r="J328" s="2"/>
      <c r="K328" s="2"/>
      <c r="L328" s="2"/>
      <c r="M328" s="2"/>
      <c r="N328" s="2"/>
      <c r="O328" s="2"/>
      <c r="P328" s="2"/>
      <c r="Q328" s="2"/>
      <c r="S328" s="3"/>
      <c r="T328" s="3"/>
      <c r="U328" s="3"/>
      <c r="V328" s="3"/>
      <c r="W328" s="3"/>
      <c r="X328" s="3"/>
      <c r="Y328" s="3"/>
      <c r="Z328" s="3"/>
    </row>
    <row r="329" ht="15.75" customHeight="1">
      <c r="A329" s="3"/>
      <c r="B329" s="2"/>
      <c r="C329" s="2"/>
      <c r="D329" s="2"/>
      <c r="E329" s="464"/>
      <c r="F329" s="2"/>
      <c r="G329" s="2"/>
      <c r="H329" s="2"/>
      <c r="I329" s="2"/>
      <c r="J329" s="2"/>
      <c r="K329" s="2"/>
      <c r="L329" s="2"/>
      <c r="M329" s="2"/>
      <c r="N329" s="2"/>
      <c r="O329" s="2"/>
      <c r="P329" s="2"/>
      <c r="Q329" s="2"/>
      <c r="S329" s="3"/>
      <c r="T329" s="3"/>
      <c r="U329" s="3"/>
      <c r="V329" s="3"/>
      <c r="W329" s="3"/>
      <c r="X329" s="3"/>
      <c r="Y329" s="3"/>
      <c r="Z329" s="3"/>
    </row>
    <row r="330" ht="15.75" customHeight="1">
      <c r="A330" s="3"/>
      <c r="B330" s="2"/>
      <c r="C330" s="2"/>
      <c r="D330" s="2"/>
      <c r="E330" s="464"/>
      <c r="F330" s="2"/>
      <c r="G330" s="2"/>
      <c r="H330" s="2"/>
      <c r="I330" s="2"/>
      <c r="J330" s="2"/>
      <c r="K330" s="2"/>
      <c r="L330" s="2"/>
      <c r="M330" s="2"/>
      <c r="N330" s="2"/>
      <c r="O330" s="2"/>
      <c r="P330" s="2"/>
      <c r="Q330" s="2"/>
      <c r="S330" s="3"/>
      <c r="T330" s="3"/>
      <c r="U330" s="3"/>
      <c r="V330" s="3"/>
      <c r="W330" s="3"/>
      <c r="X330" s="3"/>
      <c r="Y330" s="3"/>
      <c r="Z330" s="3"/>
    </row>
    <row r="331" ht="15.75" customHeight="1">
      <c r="A331" s="3"/>
      <c r="B331" s="2"/>
      <c r="C331" s="2"/>
      <c r="D331" s="2"/>
      <c r="E331" s="464"/>
      <c r="F331" s="2"/>
      <c r="G331" s="2"/>
      <c r="H331" s="2"/>
      <c r="I331" s="2"/>
      <c r="J331" s="2"/>
      <c r="K331" s="2"/>
      <c r="L331" s="2"/>
      <c r="M331" s="2"/>
      <c r="N331" s="2"/>
      <c r="O331" s="2"/>
      <c r="P331" s="2"/>
      <c r="Q331" s="2"/>
      <c r="S331" s="3"/>
      <c r="T331" s="3"/>
      <c r="U331" s="3"/>
      <c r="V331" s="3"/>
      <c r="W331" s="3"/>
      <c r="X331" s="3"/>
      <c r="Y331" s="3"/>
      <c r="Z331" s="3"/>
    </row>
    <row r="332" ht="15.75" customHeight="1">
      <c r="A332" s="3"/>
      <c r="B332" s="2"/>
      <c r="C332" s="2"/>
      <c r="D332" s="2"/>
      <c r="E332" s="464"/>
      <c r="F332" s="2"/>
      <c r="G332" s="2"/>
      <c r="H332" s="2"/>
      <c r="I332" s="2"/>
      <c r="J332" s="2"/>
      <c r="K332" s="2"/>
      <c r="L332" s="2"/>
      <c r="M332" s="2"/>
      <c r="N332" s="2"/>
      <c r="O332" s="2"/>
      <c r="P332" s="2"/>
      <c r="Q332" s="2"/>
      <c r="S332" s="3"/>
      <c r="T332" s="3"/>
      <c r="U332" s="3"/>
      <c r="V332" s="3"/>
      <c r="W332" s="3"/>
      <c r="X332" s="3"/>
      <c r="Y332" s="3"/>
      <c r="Z332" s="3"/>
    </row>
    <row r="333" ht="15.75" customHeight="1">
      <c r="A333" s="3"/>
      <c r="B333" s="2"/>
      <c r="C333" s="2"/>
      <c r="D333" s="2"/>
      <c r="E333" s="464"/>
      <c r="F333" s="2"/>
      <c r="G333" s="2"/>
      <c r="H333" s="2"/>
      <c r="I333" s="2"/>
      <c r="J333" s="2"/>
      <c r="K333" s="2"/>
      <c r="L333" s="2"/>
      <c r="M333" s="2"/>
      <c r="N333" s="2"/>
      <c r="O333" s="2"/>
      <c r="P333" s="2"/>
      <c r="Q333" s="2"/>
      <c r="S333" s="3"/>
      <c r="T333" s="3"/>
      <c r="U333" s="3"/>
      <c r="V333" s="3"/>
      <c r="W333" s="3"/>
      <c r="X333" s="3"/>
      <c r="Y333" s="3"/>
      <c r="Z333" s="3"/>
    </row>
    <row r="334" ht="15.75" customHeight="1">
      <c r="A334" s="3"/>
      <c r="B334" s="2"/>
      <c r="C334" s="2"/>
      <c r="D334" s="2"/>
      <c r="E334" s="464"/>
      <c r="F334" s="2"/>
      <c r="G334" s="2"/>
      <c r="H334" s="2"/>
      <c r="I334" s="2"/>
      <c r="J334" s="2"/>
      <c r="K334" s="2"/>
      <c r="L334" s="2"/>
      <c r="M334" s="2"/>
      <c r="N334" s="2"/>
      <c r="O334" s="2"/>
      <c r="P334" s="2"/>
      <c r="Q334" s="2"/>
      <c r="S334" s="3"/>
      <c r="T334" s="3"/>
      <c r="U334" s="3"/>
      <c r="V334" s="3"/>
      <c r="W334" s="3"/>
      <c r="X334" s="3"/>
      <c r="Y334" s="3"/>
      <c r="Z334" s="3"/>
    </row>
    <row r="335" ht="15.75" customHeight="1">
      <c r="A335" s="3"/>
      <c r="B335" s="2"/>
      <c r="C335" s="2"/>
      <c r="D335" s="2"/>
      <c r="E335" s="464"/>
      <c r="F335" s="2"/>
      <c r="G335" s="2"/>
      <c r="H335" s="2"/>
      <c r="I335" s="2"/>
      <c r="J335" s="2"/>
      <c r="K335" s="2"/>
      <c r="L335" s="2"/>
      <c r="M335" s="2"/>
      <c r="N335" s="2"/>
      <c r="O335" s="2"/>
      <c r="P335" s="2"/>
      <c r="Q335" s="2"/>
      <c r="S335" s="3"/>
      <c r="T335" s="3"/>
      <c r="U335" s="3"/>
      <c r="V335" s="3"/>
      <c r="W335" s="3"/>
      <c r="X335" s="3"/>
      <c r="Y335" s="3"/>
      <c r="Z335" s="3"/>
    </row>
    <row r="336" ht="15.75" customHeight="1">
      <c r="A336" s="3"/>
      <c r="B336" s="2"/>
      <c r="C336" s="2"/>
      <c r="D336" s="2"/>
      <c r="E336" s="464"/>
      <c r="F336" s="2"/>
      <c r="G336" s="2"/>
      <c r="H336" s="2"/>
      <c r="I336" s="2"/>
      <c r="J336" s="2"/>
      <c r="K336" s="2"/>
      <c r="L336" s="2"/>
      <c r="M336" s="2"/>
      <c r="N336" s="2"/>
      <c r="O336" s="2"/>
      <c r="P336" s="2"/>
      <c r="Q336" s="2"/>
      <c r="S336" s="3"/>
      <c r="T336" s="3"/>
      <c r="U336" s="3"/>
      <c r="V336" s="3"/>
      <c r="W336" s="3"/>
      <c r="X336" s="3"/>
      <c r="Y336" s="3"/>
      <c r="Z336" s="3"/>
    </row>
    <row r="337" ht="15.75" customHeight="1">
      <c r="A337" s="3"/>
      <c r="B337" s="2"/>
      <c r="C337" s="2"/>
      <c r="D337" s="2"/>
      <c r="E337" s="464"/>
      <c r="F337" s="2"/>
      <c r="G337" s="2"/>
      <c r="H337" s="2"/>
      <c r="I337" s="2"/>
      <c r="J337" s="2"/>
      <c r="K337" s="2"/>
      <c r="L337" s="2"/>
      <c r="M337" s="2"/>
      <c r="N337" s="2"/>
      <c r="O337" s="2"/>
      <c r="P337" s="2"/>
      <c r="Q337" s="2"/>
      <c r="S337" s="3"/>
      <c r="T337" s="3"/>
      <c r="U337" s="3"/>
      <c r="V337" s="3"/>
      <c r="W337" s="3"/>
      <c r="X337" s="3"/>
      <c r="Y337" s="3"/>
      <c r="Z337" s="3"/>
    </row>
    <row r="338" ht="15.75" customHeight="1">
      <c r="A338" s="3"/>
      <c r="B338" s="2"/>
      <c r="C338" s="2"/>
      <c r="D338" s="2"/>
      <c r="E338" s="464"/>
      <c r="F338" s="2"/>
      <c r="G338" s="2"/>
      <c r="H338" s="2"/>
      <c r="I338" s="2"/>
      <c r="J338" s="2"/>
      <c r="K338" s="2"/>
      <c r="L338" s="2"/>
      <c r="M338" s="2"/>
      <c r="N338" s="2"/>
      <c r="O338" s="2"/>
      <c r="P338" s="2"/>
      <c r="Q338" s="2"/>
      <c r="S338" s="3"/>
      <c r="T338" s="3"/>
      <c r="U338" s="3"/>
      <c r="V338" s="3"/>
      <c r="W338" s="3"/>
      <c r="X338" s="3"/>
      <c r="Y338" s="3"/>
      <c r="Z338" s="3"/>
    </row>
    <row r="339" ht="15.75" customHeight="1">
      <c r="A339" s="3"/>
      <c r="B339" s="2"/>
      <c r="C339" s="2"/>
      <c r="D339" s="2"/>
      <c r="E339" s="464"/>
      <c r="F339" s="2"/>
      <c r="G339" s="2"/>
      <c r="H339" s="2"/>
      <c r="I339" s="2"/>
      <c r="J339" s="2"/>
      <c r="K339" s="2"/>
      <c r="L339" s="2"/>
      <c r="M339" s="2"/>
      <c r="N339" s="2"/>
      <c r="O339" s="2"/>
      <c r="P339" s="2"/>
      <c r="Q339" s="2"/>
      <c r="S339" s="3"/>
      <c r="T339" s="3"/>
      <c r="U339" s="3"/>
      <c r="V339" s="3"/>
      <c r="W339" s="3"/>
      <c r="X339" s="3"/>
      <c r="Y339" s="3"/>
      <c r="Z339" s="3"/>
    </row>
    <row r="340" ht="15.75" customHeight="1">
      <c r="A340" s="3"/>
      <c r="B340" s="2"/>
      <c r="C340" s="2"/>
      <c r="D340" s="2"/>
      <c r="E340" s="464"/>
      <c r="F340" s="2"/>
      <c r="G340" s="2"/>
      <c r="H340" s="2"/>
      <c r="I340" s="2"/>
      <c r="J340" s="2"/>
      <c r="K340" s="2"/>
      <c r="L340" s="2"/>
      <c r="M340" s="2"/>
      <c r="N340" s="2"/>
      <c r="O340" s="2"/>
      <c r="P340" s="2"/>
      <c r="Q340" s="2"/>
      <c r="S340" s="3"/>
      <c r="T340" s="3"/>
      <c r="U340" s="3"/>
      <c r="V340" s="3"/>
      <c r="W340" s="3"/>
      <c r="X340" s="3"/>
      <c r="Y340" s="3"/>
      <c r="Z340" s="3"/>
    </row>
    <row r="341" ht="15.75" customHeight="1">
      <c r="A341" s="3"/>
      <c r="B341" s="2"/>
      <c r="C341" s="2"/>
      <c r="D341" s="2"/>
      <c r="E341" s="464"/>
      <c r="F341" s="2"/>
      <c r="G341" s="2"/>
      <c r="H341" s="2"/>
      <c r="I341" s="2"/>
      <c r="J341" s="2"/>
      <c r="K341" s="2"/>
      <c r="L341" s="2"/>
      <c r="M341" s="2"/>
      <c r="N341" s="2"/>
      <c r="O341" s="2"/>
      <c r="P341" s="2"/>
      <c r="Q341" s="2"/>
      <c r="S341" s="3"/>
      <c r="T341" s="3"/>
      <c r="U341" s="3"/>
      <c r="V341" s="3"/>
      <c r="W341" s="3"/>
      <c r="X341" s="3"/>
      <c r="Y341" s="3"/>
      <c r="Z341" s="3"/>
    </row>
    <row r="342" ht="15.75" customHeight="1">
      <c r="A342" s="3"/>
      <c r="B342" s="2"/>
      <c r="C342" s="2"/>
      <c r="D342" s="2"/>
      <c r="E342" s="464"/>
      <c r="F342" s="2"/>
      <c r="G342" s="2"/>
      <c r="H342" s="2"/>
      <c r="I342" s="2"/>
      <c r="J342" s="2"/>
      <c r="K342" s="2"/>
      <c r="L342" s="2"/>
      <c r="M342" s="2"/>
      <c r="N342" s="2"/>
      <c r="O342" s="2"/>
      <c r="P342" s="2"/>
      <c r="Q342" s="2"/>
      <c r="S342" s="3"/>
      <c r="T342" s="3"/>
      <c r="U342" s="3"/>
      <c r="V342" s="3"/>
      <c r="W342" s="3"/>
      <c r="X342" s="3"/>
      <c r="Y342" s="3"/>
      <c r="Z342" s="3"/>
    </row>
    <row r="343" ht="15.75" customHeight="1">
      <c r="A343" s="3"/>
      <c r="B343" s="2"/>
      <c r="C343" s="2"/>
      <c r="D343" s="2"/>
      <c r="E343" s="464"/>
      <c r="F343" s="2"/>
      <c r="G343" s="2"/>
      <c r="H343" s="2"/>
      <c r="I343" s="2"/>
      <c r="J343" s="2"/>
      <c r="K343" s="2"/>
      <c r="L343" s="2"/>
      <c r="M343" s="2"/>
      <c r="N343" s="2"/>
      <c r="O343" s="2"/>
      <c r="P343" s="2"/>
      <c r="Q343" s="2"/>
      <c r="S343" s="3"/>
      <c r="T343" s="3"/>
      <c r="U343" s="3"/>
      <c r="V343" s="3"/>
      <c r="W343" s="3"/>
      <c r="X343" s="3"/>
      <c r="Y343" s="3"/>
      <c r="Z343" s="3"/>
    </row>
    <row r="344" ht="15.75" customHeight="1">
      <c r="A344" s="3"/>
      <c r="B344" s="2"/>
      <c r="C344" s="2"/>
      <c r="D344" s="2"/>
      <c r="E344" s="464"/>
      <c r="F344" s="2"/>
      <c r="G344" s="2"/>
      <c r="H344" s="2"/>
      <c r="I344" s="2"/>
      <c r="J344" s="2"/>
      <c r="K344" s="2"/>
      <c r="L344" s="2"/>
      <c r="M344" s="2"/>
      <c r="N344" s="2"/>
      <c r="O344" s="2"/>
      <c r="P344" s="2"/>
      <c r="Q344" s="2"/>
      <c r="S344" s="3"/>
      <c r="T344" s="3"/>
      <c r="U344" s="3"/>
      <c r="V344" s="3"/>
      <c r="W344" s="3"/>
      <c r="X344" s="3"/>
      <c r="Y344" s="3"/>
      <c r="Z344" s="3"/>
    </row>
    <row r="345" ht="15.75" customHeight="1">
      <c r="A345" s="3"/>
      <c r="B345" s="2"/>
      <c r="C345" s="2"/>
      <c r="D345" s="2"/>
      <c r="E345" s="464"/>
      <c r="F345" s="2"/>
      <c r="G345" s="2"/>
      <c r="H345" s="2"/>
      <c r="I345" s="2"/>
      <c r="J345" s="2"/>
      <c r="K345" s="2"/>
      <c r="L345" s="2"/>
      <c r="M345" s="2"/>
      <c r="N345" s="2"/>
      <c r="O345" s="2"/>
      <c r="P345" s="2"/>
      <c r="Q345" s="2"/>
      <c r="S345" s="3"/>
      <c r="T345" s="3"/>
      <c r="U345" s="3"/>
      <c r="V345" s="3"/>
      <c r="W345" s="3"/>
      <c r="X345" s="3"/>
      <c r="Y345" s="3"/>
      <c r="Z345" s="3"/>
    </row>
    <row r="346" ht="15.75" customHeight="1">
      <c r="A346" s="3"/>
      <c r="B346" s="2"/>
      <c r="C346" s="2"/>
      <c r="D346" s="2"/>
      <c r="E346" s="464"/>
      <c r="F346" s="2"/>
      <c r="G346" s="2"/>
      <c r="H346" s="2"/>
      <c r="I346" s="2"/>
      <c r="J346" s="2"/>
      <c r="K346" s="2"/>
      <c r="L346" s="2"/>
      <c r="M346" s="2"/>
      <c r="N346" s="2"/>
      <c r="O346" s="2"/>
      <c r="P346" s="2"/>
      <c r="Q346" s="2"/>
      <c r="S346" s="3"/>
      <c r="T346" s="3"/>
      <c r="U346" s="3"/>
      <c r="V346" s="3"/>
      <c r="W346" s="3"/>
      <c r="X346" s="3"/>
      <c r="Y346" s="3"/>
      <c r="Z346" s="3"/>
    </row>
    <row r="347" ht="15.75" customHeight="1">
      <c r="A347" s="3"/>
      <c r="B347" s="2"/>
      <c r="C347" s="2"/>
      <c r="D347" s="2"/>
      <c r="E347" s="464"/>
      <c r="F347" s="2"/>
      <c r="G347" s="2"/>
      <c r="H347" s="2"/>
      <c r="I347" s="2"/>
      <c r="J347" s="2"/>
      <c r="K347" s="2"/>
      <c r="L347" s="2"/>
      <c r="M347" s="2"/>
      <c r="N347" s="2"/>
      <c r="O347" s="2"/>
      <c r="P347" s="2"/>
      <c r="Q347" s="2"/>
      <c r="S347" s="3"/>
      <c r="T347" s="3"/>
      <c r="U347" s="3"/>
      <c r="V347" s="3"/>
      <c r="W347" s="3"/>
      <c r="X347" s="3"/>
      <c r="Y347" s="3"/>
      <c r="Z347" s="3"/>
    </row>
    <row r="348" ht="15.75" customHeight="1">
      <c r="A348" s="3"/>
      <c r="B348" s="2"/>
      <c r="C348" s="2"/>
      <c r="D348" s="2"/>
      <c r="E348" s="464"/>
      <c r="F348" s="2"/>
      <c r="G348" s="2"/>
      <c r="H348" s="2"/>
      <c r="I348" s="2"/>
      <c r="J348" s="2"/>
      <c r="K348" s="2"/>
      <c r="L348" s="2"/>
      <c r="M348" s="2"/>
      <c r="N348" s="2"/>
      <c r="O348" s="2"/>
      <c r="P348" s="2"/>
      <c r="Q348" s="2"/>
      <c r="S348" s="3"/>
      <c r="T348" s="3"/>
      <c r="U348" s="3"/>
      <c r="V348" s="3"/>
      <c r="W348" s="3"/>
      <c r="X348" s="3"/>
      <c r="Y348" s="3"/>
      <c r="Z348" s="3"/>
    </row>
    <row r="349" ht="15.75" customHeight="1">
      <c r="A349" s="3"/>
      <c r="B349" s="2"/>
      <c r="C349" s="2"/>
      <c r="D349" s="2"/>
      <c r="E349" s="464"/>
      <c r="F349" s="2"/>
      <c r="G349" s="2"/>
      <c r="H349" s="2"/>
      <c r="I349" s="2"/>
      <c r="J349" s="2"/>
      <c r="K349" s="2"/>
      <c r="L349" s="2"/>
      <c r="M349" s="2"/>
      <c r="N349" s="2"/>
      <c r="O349" s="2"/>
      <c r="P349" s="2"/>
      <c r="Q349" s="2"/>
      <c r="S349" s="3"/>
      <c r="T349" s="3"/>
      <c r="U349" s="3"/>
      <c r="V349" s="3"/>
      <c r="W349" s="3"/>
      <c r="X349" s="3"/>
      <c r="Y349" s="3"/>
      <c r="Z349" s="3"/>
    </row>
    <row r="350" ht="15.75" customHeight="1">
      <c r="A350" s="3"/>
      <c r="B350" s="2"/>
      <c r="C350" s="2"/>
      <c r="D350" s="2"/>
      <c r="E350" s="464"/>
      <c r="F350" s="2"/>
      <c r="G350" s="2"/>
      <c r="H350" s="2"/>
      <c r="I350" s="2"/>
      <c r="J350" s="2"/>
      <c r="K350" s="2"/>
      <c r="L350" s="2"/>
      <c r="M350" s="2"/>
      <c r="N350" s="2"/>
      <c r="O350" s="2"/>
      <c r="P350" s="2"/>
      <c r="Q350" s="2"/>
      <c r="S350" s="3"/>
      <c r="T350" s="3"/>
      <c r="U350" s="3"/>
      <c r="V350" s="3"/>
      <c r="W350" s="3"/>
      <c r="X350" s="3"/>
      <c r="Y350" s="3"/>
      <c r="Z350" s="3"/>
    </row>
    <row r="351" ht="15.75" customHeight="1">
      <c r="A351" s="3"/>
      <c r="B351" s="2"/>
      <c r="C351" s="2"/>
      <c r="D351" s="2"/>
      <c r="E351" s="464"/>
      <c r="F351" s="2"/>
      <c r="G351" s="2"/>
      <c r="H351" s="2"/>
      <c r="I351" s="2"/>
      <c r="J351" s="2"/>
      <c r="K351" s="2"/>
      <c r="L351" s="2"/>
      <c r="M351" s="2"/>
      <c r="N351" s="2"/>
      <c r="O351" s="2"/>
      <c r="P351" s="2"/>
      <c r="Q351" s="2"/>
      <c r="S351" s="3"/>
      <c r="T351" s="3"/>
      <c r="U351" s="3"/>
      <c r="V351" s="3"/>
      <c r="W351" s="3"/>
      <c r="X351" s="3"/>
      <c r="Y351" s="3"/>
      <c r="Z351" s="3"/>
    </row>
    <row r="352" ht="15.75" customHeight="1">
      <c r="A352" s="3"/>
      <c r="B352" s="2"/>
      <c r="C352" s="2"/>
      <c r="D352" s="2"/>
      <c r="E352" s="464"/>
      <c r="F352" s="2"/>
      <c r="G352" s="2"/>
      <c r="H352" s="2"/>
      <c r="I352" s="2"/>
      <c r="J352" s="2"/>
      <c r="K352" s="2"/>
      <c r="L352" s="2"/>
      <c r="M352" s="2"/>
      <c r="N352" s="2"/>
      <c r="O352" s="2"/>
      <c r="P352" s="2"/>
      <c r="Q352" s="2"/>
      <c r="S352" s="3"/>
      <c r="T352" s="3"/>
      <c r="U352" s="3"/>
      <c r="V352" s="3"/>
      <c r="W352" s="3"/>
      <c r="X352" s="3"/>
      <c r="Y352" s="3"/>
      <c r="Z352" s="3"/>
    </row>
    <row r="353" ht="15.75" customHeight="1">
      <c r="A353" s="3"/>
      <c r="B353" s="2"/>
      <c r="C353" s="2"/>
      <c r="D353" s="2"/>
      <c r="E353" s="464"/>
      <c r="F353" s="2"/>
      <c r="G353" s="2"/>
      <c r="H353" s="2"/>
      <c r="I353" s="2"/>
      <c r="J353" s="2"/>
      <c r="K353" s="2"/>
      <c r="L353" s="2"/>
      <c r="M353" s="2"/>
      <c r="N353" s="2"/>
      <c r="O353" s="2"/>
      <c r="P353" s="2"/>
      <c r="Q353" s="2"/>
      <c r="S353" s="3"/>
      <c r="T353" s="3"/>
      <c r="U353" s="3"/>
      <c r="V353" s="3"/>
      <c r="W353" s="3"/>
      <c r="X353" s="3"/>
      <c r="Y353" s="3"/>
      <c r="Z353" s="3"/>
    </row>
    <row r="354" ht="15.75" customHeight="1">
      <c r="A354" s="3"/>
      <c r="B354" s="2"/>
      <c r="C354" s="2"/>
      <c r="D354" s="2"/>
      <c r="E354" s="464"/>
      <c r="F354" s="2"/>
      <c r="G354" s="2"/>
      <c r="H354" s="2"/>
      <c r="I354" s="2"/>
      <c r="J354" s="2"/>
      <c r="K354" s="2"/>
      <c r="L354" s="2"/>
      <c r="M354" s="2"/>
      <c r="N354" s="2"/>
      <c r="O354" s="2"/>
      <c r="P354" s="2"/>
      <c r="Q354" s="2"/>
      <c r="S354" s="3"/>
      <c r="T354" s="3"/>
      <c r="U354" s="3"/>
      <c r="V354" s="3"/>
      <c r="W354" s="3"/>
      <c r="X354" s="3"/>
      <c r="Y354" s="3"/>
      <c r="Z354" s="3"/>
    </row>
    <row r="355" ht="15.75" customHeight="1">
      <c r="A355" s="3"/>
      <c r="B355" s="2"/>
      <c r="C355" s="2"/>
      <c r="D355" s="2"/>
      <c r="E355" s="464"/>
      <c r="F355" s="2"/>
      <c r="G355" s="2"/>
      <c r="H355" s="2"/>
      <c r="I355" s="2"/>
      <c r="J355" s="2"/>
      <c r="K355" s="2"/>
      <c r="L355" s="2"/>
      <c r="M355" s="2"/>
      <c r="N355" s="2"/>
      <c r="O355" s="2"/>
      <c r="P355" s="2"/>
      <c r="Q355" s="2"/>
      <c r="S355" s="3"/>
      <c r="T355" s="3"/>
      <c r="U355" s="3"/>
      <c r="V355" s="3"/>
      <c r="W355" s="3"/>
      <c r="X355" s="3"/>
      <c r="Y355" s="3"/>
      <c r="Z355" s="3"/>
    </row>
    <row r="356" ht="15.75" customHeight="1">
      <c r="A356" s="3"/>
      <c r="B356" s="2"/>
      <c r="C356" s="2"/>
      <c r="D356" s="2"/>
      <c r="E356" s="464"/>
      <c r="F356" s="2"/>
      <c r="G356" s="2"/>
      <c r="H356" s="2"/>
      <c r="I356" s="2"/>
      <c r="J356" s="2"/>
      <c r="K356" s="2"/>
      <c r="L356" s="2"/>
      <c r="M356" s="2"/>
      <c r="N356" s="2"/>
      <c r="O356" s="2"/>
      <c r="P356" s="2"/>
      <c r="Q356" s="2"/>
      <c r="S356" s="3"/>
      <c r="T356" s="3"/>
      <c r="U356" s="3"/>
      <c r="V356" s="3"/>
      <c r="W356" s="3"/>
      <c r="X356" s="3"/>
      <c r="Y356" s="3"/>
      <c r="Z356" s="3"/>
    </row>
    <row r="357" ht="15.75" customHeight="1">
      <c r="A357" s="3"/>
      <c r="B357" s="2"/>
      <c r="C357" s="2"/>
      <c r="D357" s="2"/>
      <c r="E357" s="464"/>
      <c r="F357" s="2"/>
      <c r="G357" s="2"/>
      <c r="H357" s="2"/>
      <c r="I357" s="2"/>
      <c r="J357" s="2"/>
      <c r="K357" s="2"/>
      <c r="L357" s="2"/>
      <c r="M357" s="2"/>
      <c r="N357" s="2"/>
      <c r="O357" s="2"/>
      <c r="P357" s="2"/>
      <c r="Q357" s="2"/>
      <c r="S357" s="3"/>
      <c r="T357" s="3"/>
      <c r="U357" s="3"/>
      <c r="V357" s="3"/>
      <c r="W357" s="3"/>
      <c r="X357" s="3"/>
      <c r="Y357" s="3"/>
      <c r="Z357" s="3"/>
    </row>
    <row r="358" ht="15.75" customHeight="1">
      <c r="A358" s="3"/>
      <c r="B358" s="2"/>
      <c r="C358" s="2"/>
      <c r="D358" s="2"/>
      <c r="E358" s="464"/>
      <c r="F358" s="2"/>
      <c r="G358" s="2"/>
      <c r="H358" s="2"/>
      <c r="I358" s="2"/>
      <c r="J358" s="2"/>
      <c r="K358" s="2"/>
      <c r="L358" s="2"/>
      <c r="M358" s="2"/>
      <c r="N358" s="2"/>
      <c r="O358" s="2"/>
      <c r="P358" s="2"/>
      <c r="Q358" s="2"/>
      <c r="S358" s="3"/>
      <c r="T358" s="3"/>
      <c r="U358" s="3"/>
      <c r="V358" s="3"/>
      <c r="W358" s="3"/>
      <c r="X358" s="3"/>
      <c r="Y358" s="3"/>
      <c r="Z358" s="3"/>
    </row>
    <row r="359" ht="15.75" customHeight="1">
      <c r="A359" s="3"/>
      <c r="B359" s="2"/>
      <c r="C359" s="2"/>
      <c r="D359" s="2"/>
      <c r="E359" s="464"/>
      <c r="F359" s="2"/>
      <c r="G359" s="2"/>
      <c r="H359" s="2"/>
      <c r="I359" s="2"/>
      <c r="J359" s="2"/>
      <c r="K359" s="2"/>
      <c r="L359" s="2"/>
      <c r="M359" s="2"/>
      <c r="N359" s="2"/>
      <c r="O359" s="2"/>
      <c r="P359" s="2"/>
      <c r="Q359" s="2"/>
      <c r="S359" s="3"/>
      <c r="T359" s="3"/>
      <c r="U359" s="3"/>
      <c r="V359" s="3"/>
      <c r="W359" s="3"/>
      <c r="X359" s="3"/>
      <c r="Y359" s="3"/>
      <c r="Z359" s="3"/>
    </row>
    <row r="360" ht="15.75" customHeight="1">
      <c r="A360" s="3"/>
      <c r="B360" s="2"/>
      <c r="C360" s="2"/>
      <c r="D360" s="2"/>
      <c r="E360" s="464"/>
      <c r="F360" s="2"/>
      <c r="G360" s="2"/>
      <c r="H360" s="2"/>
      <c r="I360" s="2"/>
      <c r="J360" s="2"/>
      <c r="K360" s="2"/>
      <c r="L360" s="2"/>
      <c r="M360" s="2"/>
      <c r="N360" s="2"/>
      <c r="O360" s="2"/>
      <c r="P360" s="2"/>
      <c r="Q360" s="2"/>
      <c r="S360" s="3"/>
      <c r="T360" s="3"/>
      <c r="U360" s="3"/>
      <c r="V360" s="3"/>
      <c r="W360" s="3"/>
      <c r="X360" s="3"/>
      <c r="Y360" s="3"/>
      <c r="Z360" s="3"/>
    </row>
    <row r="361" ht="15.75" customHeight="1">
      <c r="A361" s="3"/>
      <c r="B361" s="2"/>
      <c r="C361" s="2"/>
      <c r="D361" s="2"/>
      <c r="E361" s="464"/>
      <c r="F361" s="2"/>
      <c r="G361" s="2"/>
      <c r="H361" s="2"/>
      <c r="I361" s="2"/>
      <c r="J361" s="2"/>
      <c r="K361" s="2"/>
      <c r="L361" s="2"/>
      <c r="M361" s="2"/>
      <c r="N361" s="2"/>
      <c r="O361" s="2"/>
      <c r="P361" s="2"/>
      <c r="Q361" s="2"/>
      <c r="S361" s="3"/>
      <c r="T361" s="3"/>
      <c r="U361" s="3"/>
      <c r="V361" s="3"/>
      <c r="W361" s="3"/>
      <c r="X361" s="3"/>
      <c r="Y361" s="3"/>
      <c r="Z361" s="3"/>
    </row>
    <row r="362" ht="15.75" customHeight="1">
      <c r="A362" s="3"/>
      <c r="B362" s="2"/>
      <c r="C362" s="2"/>
      <c r="D362" s="2"/>
      <c r="E362" s="464"/>
      <c r="F362" s="2"/>
      <c r="G362" s="2"/>
      <c r="H362" s="2"/>
      <c r="I362" s="2"/>
      <c r="J362" s="2"/>
      <c r="K362" s="2"/>
      <c r="L362" s="2"/>
      <c r="M362" s="2"/>
      <c r="N362" s="2"/>
      <c r="O362" s="2"/>
      <c r="P362" s="2"/>
      <c r="Q362" s="2"/>
      <c r="S362" s="3"/>
      <c r="T362" s="3"/>
      <c r="U362" s="3"/>
      <c r="V362" s="3"/>
      <c r="W362" s="3"/>
      <c r="X362" s="3"/>
      <c r="Y362" s="3"/>
      <c r="Z362" s="3"/>
    </row>
    <row r="363" ht="15.75" customHeight="1">
      <c r="A363" s="3"/>
      <c r="B363" s="2"/>
      <c r="C363" s="2"/>
      <c r="D363" s="2"/>
      <c r="E363" s="464"/>
      <c r="F363" s="2"/>
      <c r="G363" s="2"/>
      <c r="H363" s="2"/>
      <c r="I363" s="2"/>
      <c r="J363" s="2"/>
      <c r="K363" s="2"/>
      <c r="L363" s="2"/>
      <c r="M363" s="2"/>
      <c r="N363" s="2"/>
      <c r="O363" s="2"/>
      <c r="P363" s="2"/>
      <c r="Q363" s="2"/>
      <c r="S363" s="3"/>
      <c r="T363" s="3"/>
      <c r="U363" s="3"/>
      <c r="V363" s="3"/>
      <c r="W363" s="3"/>
      <c r="X363" s="3"/>
      <c r="Y363" s="3"/>
      <c r="Z363" s="3"/>
    </row>
    <row r="364" ht="15.75" customHeight="1">
      <c r="A364" s="3"/>
      <c r="B364" s="2"/>
      <c r="C364" s="2"/>
      <c r="D364" s="2"/>
      <c r="E364" s="464"/>
      <c r="F364" s="2"/>
      <c r="G364" s="2"/>
      <c r="H364" s="2"/>
      <c r="I364" s="2"/>
      <c r="J364" s="2"/>
      <c r="K364" s="2"/>
      <c r="L364" s="2"/>
      <c r="M364" s="2"/>
      <c r="N364" s="2"/>
      <c r="O364" s="2"/>
      <c r="P364" s="2"/>
      <c r="Q364" s="2"/>
      <c r="S364" s="3"/>
      <c r="T364" s="3"/>
      <c r="U364" s="3"/>
      <c r="V364" s="3"/>
      <c r="W364" s="3"/>
      <c r="X364" s="3"/>
      <c r="Y364" s="3"/>
      <c r="Z364" s="3"/>
    </row>
    <row r="365" ht="15.75" customHeight="1">
      <c r="A365" s="3"/>
      <c r="B365" s="2"/>
      <c r="C365" s="2"/>
      <c r="D365" s="2"/>
      <c r="E365" s="464"/>
      <c r="F365" s="2"/>
      <c r="G365" s="2"/>
      <c r="H365" s="2"/>
      <c r="I365" s="2"/>
      <c r="J365" s="2"/>
      <c r="K365" s="2"/>
      <c r="L365" s="2"/>
      <c r="M365" s="2"/>
      <c r="N365" s="2"/>
      <c r="O365" s="2"/>
      <c r="P365" s="2"/>
      <c r="Q365" s="2"/>
      <c r="S365" s="3"/>
      <c r="T365" s="3"/>
      <c r="U365" s="3"/>
      <c r="V365" s="3"/>
      <c r="W365" s="3"/>
      <c r="X365" s="3"/>
      <c r="Y365" s="3"/>
      <c r="Z365" s="3"/>
    </row>
    <row r="366" ht="15.75" customHeight="1">
      <c r="A366" s="3"/>
      <c r="B366" s="2"/>
      <c r="C366" s="2"/>
      <c r="D366" s="2"/>
      <c r="E366" s="464"/>
      <c r="F366" s="2"/>
      <c r="G366" s="2"/>
      <c r="H366" s="2"/>
      <c r="I366" s="2"/>
      <c r="J366" s="2"/>
      <c r="K366" s="2"/>
      <c r="L366" s="2"/>
      <c r="M366" s="2"/>
      <c r="N366" s="2"/>
      <c r="O366" s="2"/>
      <c r="P366" s="2"/>
      <c r="Q366" s="2"/>
      <c r="S366" s="3"/>
      <c r="T366" s="3"/>
      <c r="U366" s="3"/>
      <c r="V366" s="3"/>
      <c r="W366" s="3"/>
      <c r="X366" s="3"/>
      <c r="Y366" s="3"/>
      <c r="Z366" s="3"/>
    </row>
    <row r="367" ht="15.75" customHeight="1">
      <c r="A367" s="3"/>
      <c r="B367" s="2"/>
      <c r="C367" s="2"/>
      <c r="D367" s="2"/>
      <c r="E367" s="464"/>
      <c r="F367" s="2"/>
      <c r="G367" s="2"/>
      <c r="H367" s="2"/>
      <c r="I367" s="2"/>
      <c r="J367" s="2"/>
      <c r="K367" s="2"/>
      <c r="L367" s="2"/>
      <c r="M367" s="2"/>
      <c r="N367" s="2"/>
      <c r="O367" s="2"/>
      <c r="P367" s="2"/>
      <c r="Q367" s="2"/>
      <c r="S367" s="3"/>
      <c r="T367" s="3"/>
      <c r="U367" s="3"/>
      <c r="V367" s="3"/>
      <c r="W367" s="3"/>
      <c r="X367" s="3"/>
      <c r="Y367" s="3"/>
      <c r="Z367" s="3"/>
    </row>
    <row r="368" ht="15.75" customHeight="1">
      <c r="A368" s="3"/>
      <c r="B368" s="2"/>
      <c r="C368" s="2"/>
      <c r="D368" s="2"/>
      <c r="E368" s="464"/>
      <c r="F368" s="2"/>
      <c r="G368" s="2"/>
      <c r="H368" s="2"/>
      <c r="I368" s="2"/>
      <c r="J368" s="2"/>
      <c r="K368" s="2"/>
      <c r="L368" s="2"/>
      <c r="M368" s="2"/>
      <c r="N368" s="2"/>
      <c r="O368" s="2"/>
      <c r="P368" s="2"/>
      <c r="Q368" s="2"/>
      <c r="S368" s="3"/>
      <c r="T368" s="3"/>
      <c r="U368" s="3"/>
      <c r="V368" s="3"/>
      <c r="W368" s="3"/>
      <c r="X368" s="3"/>
      <c r="Y368" s="3"/>
      <c r="Z368" s="3"/>
    </row>
    <row r="369" ht="15.75" customHeight="1">
      <c r="A369" s="3"/>
      <c r="B369" s="2"/>
      <c r="C369" s="2"/>
      <c r="D369" s="2"/>
      <c r="E369" s="464"/>
      <c r="F369" s="2"/>
      <c r="G369" s="2"/>
      <c r="H369" s="2"/>
      <c r="I369" s="2"/>
      <c r="J369" s="2"/>
      <c r="K369" s="2"/>
      <c r="L369" s="2"/>
      <c r="M369" s="2"/>
      <c r="N369" s="2"/>
      <c r="O369" s="2"/>
      <c r="P369" s="2"/>
      <c r="Q369" s="2"/>
      <c r="S369" s="3"/>
      <c r="T369" s="3"/>
      <c r="U369" s="3"/>
      <c r="V369" s="3"/>
      <c r="W369" s="3"/>
      <c r="X369" s="3"/>
      <c r="Y369" s="3"/>
      <c r="Z369" s="3"/>
    </row>
    <row r="370" ht="15.75" customHeight="1">
      <c r="A370" s="3"/>
      <c r="B370" s="2"/>
      <c r="C370" s="2"/>
      <c r="D370" s="2"/>
      <c r="E370" s="464"/>
      <c r="F370" s="2"/>
      <c r="G370" s="2"/>
      <c r="H370" s="2"/>
      <c r="I370" s="2"/>
      <c r="J370" s="2"/>
      <c r="K370" s="2"/>
      <c r="L370" s="2"/>
      <c r="M370" s="2"/>
      <c r="N370" s="2"/>
      <c r="O370" s="2"/>
      <c r="P370" s="2"/>
      <c r="Q370" s="2"/>
      <c r="S370" s="3"/>
      <c r="T370" s="3"/>
      <c r="U370" s="3"/>
      <c r="V370" s="3"/>
      <c r="W370" s="3"/>
      <c r="X370" s="3"/>
      <c r="Y370" s="3"/>
      <c r="Z370" s="3"/>
    </row>
    <row r="371" ht="15.75" customHeight="1">
      <c r="A371" s="3"/>
      <c r="B371" s="2"/>
      <c r="C371" s="2"/>
      <c r="D371" s="2"/>
      <c r="E371" s="464"/>
      <c r="F371" s="2"/>
      <c r="G371" s="2"/>
      <c r="H371" s="2"/>
      <c r="I371" s="2"/>
      <c r="J371" s="2"/>
      <c r="K371" s="2"/>
      <c r="L371" s="2"/>
      <c r="M371" s="2"/>
      <c r="N371" s="2"/>
      <c r="O371" s="2"/>
      <c r="P371" s="2"/>
      <c r="Q371" s="2"/>
      <c r="S371" s="3"/>
      <c r="T371" s="3"/>
      <c r="U371" s="3"/>
      <c r="V371" s="3"/>
      <c r="W371" s="3"/>
      <c r="X371" s="3"/>
      <c r="Y371" s="3"/>
      <c r="Z371" s="3"/>
    </row>
    <row r="372" ht="15.75" customHeight="1">
      <c r="A372" s="3"/>
      <c r="B372" s="2"/>
      <c r="C372" s="2"/>
      <c r="D372" s="2"/>
      <c r="E372" s="464"/>
      <c r="F372" s="2"/>
      <c r="G372" s="2"/>
      <c r="H372" s="2"/>
      <c r="I372" s="2"/>
      <c r="J372" s="2"/>
      <c r="K372" s="2"/>
      <c r="L372" s="2"/>
      <c r="M372" s="2"/>
      <c r="N372" s="2"/>
      <c r="O372" s="2"/>
      <c r="P372" s="2"/>
      <c r="Q372" s="2"/>
      <c r="S372" s="3"/>
      <c r="T372" s="3"/>
      <c r="U372" s="3"/>
      <c r="V372" s="3"/>
      <c r="W372" s="3"/>
      <c r="X372" s="3"/>
      <c r="Y372" s="3"/>
      <c r="Z372" s="3"/>
    </row>
    <row r="373" ht="15.75" customHeight="1">
      <c r="A373" s="3"/>
      <c r="B373" s="2"/>
      <c r="C373" s="2"/>
      <c r="D373" s="2"/>
      <c r="E373" s="464"/>
      <c r="F373" s="2"/>
      <c r="G373" s="2"/>
      <c r="H373" s="2"/>
      <c r="I373" s="2"/>
      <c r="J373" s="2"/>
      <c r="K373" s="2"/>
      <c r="L373" s="2"/>
      <c r="M373" s="2"/>
      <c r="N373" s="2"/>
      <c r="O373" s="2"/>
      <c r="P373" s="2"/>
      <c r="Q373" s="2"/>
      <c r="S373" s="3"/>
      <c r="T373" s="3"/>
      <c r="U373" s="3"/>
      <c r="V373" s="3"/>
      <c r="W373" s="3"/>
      <c r="X373" s="3"/>
      <c r="Y373" s="3"/>
      <c r="Z373" s="3"/>
    </row>
    <row r="374" ht="15.75" customHeight="1">
      <c r="A374" s="3"/>
      <c r="B374" s="2"/>
      <c r="C374" s="2"/>
      <c r="D374" s="2"/>
      <c r="E374" s="464"/>
      <c r="F374" s="2"/>
      <c r="G374" s="2"/>
      <c r="H374" s="2"/>
      <c r="I374" s="2"/>
      <c r="J374" s="2"/>
      <c r="K374" s="2"/>
      <c r="L374" s="2"/>
      <c r="M374" s="2"/>
      <c r="N374" s="2"/>
      <c r="O374" s="2"/>
      <c r="P374" s="2"/>
      <c r="Q374" s="2"/>
      <c r="S374" s="3"/>
      <c r="T374" s="3"/>
      <c r="U374" s="3"/>
      <c r="V374" s="3"/>
      <c r="W374" s="3"/>
      <c r="X374" s="3"/>
      <c r="Y374" s="3"/>
      <c r="Z374" s="3"/>
    </row>
    <row r="375" ht="15.75" customHeight="1">
      <c r="A375" s="3"/>
      <c r="B375" s="2"/>
      <c r="C375" s="2"/>
      <c r="D375" s="2"/>
      <c r="E375" s="464"/>
      <c r="F375" s="2"/>
      <c r="G375" s="2"/>
      <c r="H375" s="2"/>
      <c r="I375" s="2"/>
      <c r="J375" s="2"/>
      <c r="K375" s="2"/>
      <c r="L375" s="2"/>
      <c r="M375" s="2"/>
      <c r="N375" s="2"/>
      <c r="O375" s="2"/>
      <c r="P375" s="2"/>
      <c r="Q375" s="2"/>
      <c r="S375" s="3"/>
      <c r="T375" s="3"/>
      <c r="U375" s="3"/>
      <c r="V375" s="3"/>
      <c r="W375" s="3"/>
      <c r="X375" s="3"/>
      <c r="Y375" s="3"/>
      <c r="Z375" s="3"/>
    </row>
    <row r="376" ht="15.75" customHeight="1">
      <c r="A376" s="3"/>
      <c r="B376" s="2"/>
      <c r="C376" s="2"/>
      <c r="D376" s="2"/>
      <c r="E376" s="464"/>
      <c r="F376" s="2"/>
      <c r="G376" s="2"/>
      <c r="H376" s="2"/>
      <c r="I376" s="2"/>
      <c r="J376" s="2"/>
      <c r="K376" s="2"/>
      <c r="L376" s="2"/>
      <c r="M376" s="2"/>
      <c r="N376" s="2"/>
      <c r="O376" s="2"/>
      <c r="P376" s="2"/>
      <c r="Q376" s="2"/>
      <c r="S376" s="3"/>
      <c r="T376" s="3"/>
      <c r="U376" s="3"/>
      <c r="V376" s="3"/>
      <c r="W376" s="3"/>
      <c r="X376" s="3"/>
      <c r="Y376" s="3"/>
      <c r="Z376" s="3"/>
    </row>
    <row r="377" ht="15.75" customHeight="1">
      <c r="A377" s="3"/>
      <c r="B377" s="2"/>
      <c r="C377" s="2"/>
      <c r="D377" s="2"/>
      <c r="E377" s="464"/>
      <c r="F377" s="2"/>
      <c r="G377" s="2"/>
      <c r="H377" s="2"/>
      <c r="I377" s="2"/>
      <c r="J377" s="2"/>
      <c r="K377" s="2"/>
      <c r="L377" s="2"/>
      <c r="M377" s="2"/>
      <c r="N377" s="2"/>
      <c r="O377" s="2"/>
      <c r="P377" s="2"/>
      <c r="Q377" s="2"/>
      <c r="S377" s="3"/>
      <c r="T377" s="3"/>
      <c r="U377" s="3"/>
      <c r="V377" s="3"/>
      <c r="W377" s="3"/>
      <c r="X377" s="3"/>
      <c r="Y377" s="3"/>
      <c r="Z377" s="3"/>
    </row>
    <row r="378" ht="15.75" customHeight="1">
      <c r="A378" s="3"/>
      <c r="B378" s="2"/>
      <c r="C378" s="2"/>
      <c r="D378" s="2"/>
      <c r="E378" s="464"/>
      <c r="F378" s="2"/>
      <c r="G378" s="2"/>
      <c r="H378" s="2"/>
      <c r="I378" s="2"/>
      <c r="J378" s="2"/>
      <c r="K378" s="2"/>
      <c r="L378" s="2"/>
      <c r="M378" s="2"/>
      <c r="N378" s="2"/>
      <c r="O378" s="2"/>
      <c r="P378" s="2"/>
      <c r="Q378" s="2"/>
      <c r="S378" s="3"/>
      <c r="T378" s="3"/>
      <c r="U378" s="3"/>
      <c r="V378" s="3"/>
      <c r="W378" s="3"/>
      <c r="X378" s="3"/>
      <c r="Y378" s="3"/>
      <c r="Z378" s="3"/>
    </row>
    <row r="379" ht="15.75" customHeight="1">
      <c r="A379" s="3"/>
      <c r="B379" s="2"/>
      <c r="C379" s="2"/>
      <c r="D379" s="2"/>
      <c r="E379" s="464"/>
      <c r="F379" s="2"/>
      <c r="G379" s="2"/>
      <c r="H379" s="2"/>
      <c r="I379" s="2"/>
      <c r="J379" s="2"/>
      <c r="K379" s="2"/>
      <c r="L379" s="2"/>
      <c r="M379" s="2"/>
      <c r="N379" s="2"/>
      <c r="O379" s="2"/>
      <c r="P379" s="2"/>
      <c r="Q379" s="2"/>
      <c r="S379" s="3"/>
      <c r="T379" s="3"/>
      <c r="U379" s="3"/>
      <c r="V379" s="3"/>
      <c r="W379" s="3"/>
      <c r="X379" s="3"/>
      <c r="Y379" s="3"/>
      <c r="Z379" s="3"/>
    </row>
    <row r="380" ht="15.75" customHeight="1">
      <c r="A380" s="3"/>
      <c r="B380" s="2"/>
      <c r="C380" s="2"/>
      <c r="D380" s="2"/>
      <c r="E380" s="464"/>
      <c r="F380" s="2"/>
      <c r="G380" s="2"/>
      <c r="H380" s="2"/>
      <c r="I380" s="2"/>
      <c r="J380" s="2"/>
      <c r="K380" s="2"/>
      <c r="L380" s="2"/>
      <c r="M380" s="2"/>
      <c r="N380" s="2"/>
      <c r="O380" s="2"/>
      <c r="P380" s="2"/>
      <c r="Q380" s="2"/>
      <c r="S380" s="3"/>
      <c r="T380" s="3"/>
      <c r="U380" s="3"/>
      <c r="V380" s="3"/>
      <c r="W380" s="3"/>
      <c r="X380" s="3"/>
      <c r="Y380" s="3"/>
      <c r="Z380" s="3"/>
    </row>
    <row r="381" ht="15.75" customHeight="1">
      <c r="A381" s="3"/>
      <c r="B381" s="2"/>
      <c r="C381" s="2"/>
      <c r="D381" s="2"/>
      <c r="E381" s="464"/>
      <c r="F381" s="2"/>
      <c r="G381" s="2"/>
      <c r="H381" s="2"/>
      <c r="I381" s="2"/>
      <c r="J381" s="2"/>
      <c r="K381" s="2"/>
      <c r="L381" s="2"/>
      <c r="M381" s="2"/>
      <c r="N381" s="2"/>
      <c r="O381" s="2"/>
      <c r="P381" s="2"/>
      <c r="Q381" s="2"/>
      <c r="S381" s="3"/>
      <c r="T381" s="3"/>
      <c r="U381" s="3"/>
      <c r="V381" s="3"/>
      <c r="W381" s="3"/>
      <c r="X381" s="3"/>
      <c r="Y381" s="3"/>
      <c r="Z381" s="3"/>
    </row>
    <row r="382" ht="15.75" customHeight="1">
      <c r="A382" s="3"/>
      <c r="B382" s="2"/>
      <c r="C382" s="2"/>
      <c r="D382" s="2"/>
      <c r="E382" s="464"/>
      <c r="F382" s="2"/>
      <c r="G382" s="2"/>
      <c r="H382" s="2"/>
      <c r="I382" s="2"/>
      <c r="J382" s="2"/>
      <c r="K382" s="2"/>
      <c r="L382" s="2"/>
      <c r="M382" s="2"/>
      <c r="N382" s="2"/>
      <c r="O382" s="2"/>
      <c r="P382" s="2"/>
      <c r="Q382" s="2"/>
      <c r="S382" s="3"/>
      <c r="T382" s="3"/>
      <c r="U382" s="3"/>
      <c r="V382" s="3"/>
      <c r="W382" s="3"/>
      <c r="X382" s="3"/>
      <c r="Y382" s="3"/>
      <c r="Z382" s="3"/>
    </row>
    <row r="383" ht="15.75" customHeight="1">
      <c r="A383" s="3"/>
      <c r="B383" s="2"/>
      <c r="C383" s="2"/>
      <c r="D383" s="2"/>
      <c r="E383" s="464"/>
      <c r="F383" s="2"/>
      <c r="G383" s="2"/>
      <c r="H383" s="2"/>
      <c r="I383" s="2"/>
      <c r="J383" s="2"/>
      <c r="K383" s="2"/>
      <c r="L383" s="2"/>
      <c r="M383" s="2"/>
      <c r="N383" s="2"/>
      <c r="O383" s="2"/>
      <c r="P383" s="2"/>
      <c r="Q383" s="2"/>
      <c r="S383" s="3"/>
      <c r="T383" s="3"/>
      <c r="U383" s="3"/>
      <c r="V383" s="3"/>
      <c r="W383" s="3"/>
      <c r="X383" s="3"/>
      <c r="Y383" s="3"/>
      <c r="Z383" s="3"/>
    </row>
    <row r="384" ht="15.75" customHeight="1">
      <c r="A384" s="3"/>
      <c r="B384" s="2"/>
      <c r="C384" s="2"/>
      <c r="D384" s="2"/>
      <c r="E384" s="464"/>
      <c r="F384" s="2"/>
      <c r="G384" s="2"/>
      <c r="H384" s="2"/>
      <c r="I384" s="2"/>
      <c r="J384" s="2"/>
      <c r="K384" s="2"/>
      <c r="L384" s="2"/>
      <c r="M384" s="2"/>
      <c r="N384" s="2"/>
      <c r="O384" s="2"/>
      <c r="P384" s="2"/>
      <c r="Q384" s="2"/>
      <c r="S384" s="3"/>
      <c r="T384" s="3"/>
      <c r="U384" s="3"/>
      <c r="V384" s="3"/>
      <c r="W384" s="3"/>
      <c r="X384" s="3"/>
      <c r="Y384" s="3"/>
      <c r="Z384" s="3"/>
    </row>
    <row r="385" ht="15.75" customHeight="1">
      <c r="A385" s="3"/>
      <c r="B385" s="2"/>
      <c r="C385" s="2"/>
      <c r="D385" s="2"/>
      <c r="E385" s="464"/>
      <c r="F385" s="2"/>
      <c r="G385" s="2"/>
      <c r="H385" s="2"/>
      <c r="I385" s="2"/>
      <c r="J385" s="2"/>
      <c r="K385" s="2"/>
      <c r="L385" s="2"/>
      <c r="M385" s="2"/>
      <c r="N385" s="2"/>
      <c r="O385" s="2"/>
      <c r="P385" s="2"/>
      <c r="Q385" s="2"/>
      <c r="S385" s="3"/>
      <c r="T385" s="3"/>
      <c r="U385" s="3"/>
      <c r="V385" s="3"/>
      <c r="W385" s="3"/>
      <c r="X385" s="3"/>
      <c r="Y385" s="3"/>
      <c r="Z385" s="3"/>
    </row>
    <row r="386" ht="15.75" customHeight="1">
      <c r="A386" s="3"/>
      <c r="B386" s="2"/>
      <c r="C386" s="2"/>
      <c r="D386" s="2"/>
      <c r="E386" s="464"/>
      <c r="F386" s="2"/>
      <c r="G386" s="2"/>
      <c r="H386" s="2"/>
      <c r="I386" s="2"/>
      <c r="J386" s="2"/>
      <c r="K386" s="2"/>
      <c r="L386" s="2"/>
      <c r="M386" s="2"/>
      <c r="N386" s="2"/>
      <c r="O386" s="2"/>
      <c r="P386" s="2"/>
      <c r="Q386" s="2"/>
      <c r="S386" s="3"/>
      <c r="T386" s="3"/>
      <c r="U386" s="3"/>
      <c r="V386" s="3"/>
      <c r="W386" s="3"/>
      <c r="X386" s="3"/>
      <c r="Y386" s="3"/>
      <c r="Z386" s="3"/>
    </row>
    <row r="387" ht="15.75" customHeight="1">
      <c r="A387" s="3"/>
      <c r="B387" s="2"/>
      <c r="C387" s="2"/>
      <c r="D387" s="2"/>
      <c r="E387" s="464"/>
      <c r="F387" s="2"/>
      <c r="G387" s="2"/>
      <c r="H387" s="2"/>
      <c r="I387" s="2"/>
      <c r="J387" s="2"/>
      <c r="K387" s="2"/>
      <c r="L387" s="2"/>
      <c r="M387" s="2"/>
      <c r="N387" s="2"/>
      <c r="O387" s="2"/>
      <c r="P387" s="2"/>
      <c r="Q387" s="2"/>
      <c r="S387" s="3"/>
      <c r="T387" s="3"/>
      <c r="U387" s="3"/>
      <c r="V387" s="3"/>
      <c r="W387" s="3"/>
      <c r="X387" s="3"/>
      <c r="Y387" s="3"/>
      <c r="Z387" s="3"/>
    </row>
    <row r="388" ht="15.75" customHeight="1">
      <c r="A388" s="3"/>
      <c r="B388" s="2"/>
      <c r="C388" s="2"/>
      <c r="D388" s="2"/>
      <c r="E388" s="464"/>
      <c r="F388" s="2"/>
      <c r="G388" s="2"/>
      <c r="H388" s="2"/>
      <c r="I388" s="2"/>
      <c r="J388" s="2"/>
      <c r="K388" s="2"/>
      <c r="L388" s="2"/>
      <c r="M388" s="2"/>
      <c r="N388" s="2"/>
      <c r="O388" s="2"/>
      <c r="P388" s="2"/>
      <c r="Q388" s="2"/>
      <c r="S388" s="3"/>
      <c r="T388" s="3"/>
      <c r="U388" s="3"/>
      <c r="V388" s="3"/>
      <c r="W388" s="3"/>
      <c r="X388" s="3"/>
      <c r="Y388" s="3"/>
      <c r="Z388" s="3"/>
    </row>
    <row r="389" ht="15.75" customHeight="1">
      <c r="A389" s="3"/>
      <c r="B389" s="2"/>
      <c r="C389" s="2"/>
      <c r="D389" s="2"/>
      <c r="E389" s="464"/>
      <c r="F389" s="2"/>
      <c r="G389" s="2"/>
      <c r="H389" s="2"/>
      <c r="I389" s="2"/>
      <c r="J389" s="2"/>
      <c r="K389" s="2"/>
      <c r="L389" s="2"/>
      <c r="M389" s="2"/>
      <c r="N389" s="2"/>
      <c r="O389" s="2"/>
      <c r="P389" s="2"/>
      <c r="Q389" s="2"/>
      <c r="S389" s="3"/>
      <c r="T389" s="3"/>
      <c r="U389" s="3"/>
      <c r="V389" s="3"/>
      <c r="W389" s="3"/>
      <c r="X389" s="3"/>
      <c r="Y389" s="3"/>
      <c r="Z389" s="3"/>
    </row>
    <row r="390" ht="15.75" customHeight="1">
      <c r="A390" s="3"/>
      <c r="B390" s="2"/>
      <c r="C390" s="2"/>
      <c r="D390" s="2"/>
      <c r="E390" s="464"/>
      <c r="F390" s="2"/>
      <c r="G390" s="2"/>
      <c r="H390" s="2"/>
      <c r="I390" s="2"/>
      <c r="J390" s="2"/>
      <c r="K390" s="2"/>
      <c r="L390" s="2"/>
      <c r="M390" s="2"/>
      <c r="N390" s="2"/>
      <c r="O390" s="2"/>
      <c r="P390" s="2"/>
      <c r="Q390" s="2"/>
      <c r="S390" s="3"/>
      <c r="T390" s="3"/>
      <c r="U390" s="3"/>
      <c r="V390" s="3"/>
      <c r="W390" s="3"/>
      <c r="X390" s="3"/>
      <c r="Y390" s="3"/>
      <c r="Z390" s="3"/>
    </row>
    <row r="391" ht="15.75" customHeight="1">
      <c r="A391" s="3"/>
      <c r="B391" s="2"/>
      <c r="C391" s="2"/>
      <c r="D391" s="2"/>
      <c r="E391" s="464"/>
      <c r="F391" s="2"/>
      <c r="G391" s="2"/>
      <c r="H391" s="2"/>
      <c r="I391" s="2"/>
      <c r="J391" s="2"/>
      <c r="K391" s="2"/>
      <c r="L391" s="2"/>
      <c r="M391" s="2"/>
      <c r="N391" s="2"/>
      <c r="O391" s="2"/>
      <c r="P391" s="2"/>
      <c r="Q391" s="2"/>
      <c r="S391" s="3"/>
      <c r="T391" s="3"/>
      <c r="U391" s="3"/>
      <c r="V391" s="3"/>
      <c r="W391" s="3"/>
      <c r="X391" s="3"/>
      <c r="Y391" s="3"/>
      <c r="Z391" s="3"/>
    </row>
    <row r="392" ht="15.75" customHeight="1">
      <c r="A392" s="3"/>
      <c r="B392" s="2"/>
      <c r="C392" s="2"/>
      <c r="D392" s="2"/>
      <c r="E392" s="464"/>
      <c r="F392" s="2"/>
      <c r="G392" s="2"/>
      <c r="H392" s="2"/>
      <c r="I392" s="2"/>
      <c r="J392" s="2"/>
      <c r="K392" s="2"/>
      <c r="L392" s="2"/>
      <c r="M392" s="2"/>
      <c r="N392" s="2"/>
      <c r="O392" s="2"/>
      <c r="P392" s="2"/>
      <c r="Q392" s="2"/>
      <c r="S392" s="3"/>
      <c r="T392" s="3"/>
      <c r="U392" s="3"/>
      <c r="V392" s="3"/>
      <c r="W392" s="3"/>
      <c r="X392" s="3"/>
      <c r="Y392" s="3"/>
      <c r="Z392" s="3"/>
    </row>
    <row r="393" ht="15.75" customHeight="1">
      <c r="A393" s="3"/>
      <c r="B393" s="2"/>
      <c r="C393" s="2"/>
      <c r="D393" s="2"/>
      <c r="E393" s="464"/>
      <c r="F393" s="2"/>
      <c r="G393" s="2"/>
      <c r="H393" s="2"/>
      <c r="I393" s="2"/>
      <c r="J393" s="2"/>
      <c r="K393" s="2"/>
      <c r="L393" s="2"/>
      <c r="M393" s="2"/>
      <c r="N393" s="2"/>
      <c r="O393" s="2"/>
      <c r="P393" s="2"/>
      <c r="Q393" s="2"/>
      <c r="S393" s="3"/>
      <c r="T393" s="3"/>
      <c r="U393" s="3"/>
      <c r="V393" s="3"/>
      <c r="W393" s="3"/>
      <c r="X393" s="3"/>
      <c r="Y393" s="3"/>
      <c r="Z393" s="3"/>
    </row>
    <row r="394" ht="15.75" customHeight="1">
      <c r="A394" s="3"/>
      <c r="B394" s="2"/>
      <c r="C394" s="2"/>
      <c r="D394" s="2"/>
      <c r="E394" s="464"/>
      <c r="F394" s="2"/>
      <c r="G394" s="2"/>
      <c r="H394" s="2"/>
      <c r="I394" s="2"/>
      <c r="J394" s="2"/>
      <c r="K394" s="2"/>
      <c r="L394" s="2"/>
      <c r="M394" s="2"/>
      <c r="N394" s="2"/>
      <c r="O394" s="2"/>
      <c r="P394" s="2"/>
      <c r="Q394" s="2"/>
      <c r="S394" s="3"/>
      <c r="T394" s="3"/>
      <c r="U394" s="3"/>
      <c r="V394" s="3"/>
      <c r="W394" s="3"/>
      <c r="X394" s="3"/>
      <c r="Y394" s="3"/>
      <c r="Z394" s="3"/>
    </row>
    <row r="395" ht="15.75" customHeight="1">
      <c r="A395" s="3"/>
      <c r="B395" s="2"/>
      <c r="C395" s="2"/>
      <c r="D395" s="2"/>
      <c r="E395" s="464"/>
      <c r="F395" s="2"/>
      <c r="G395" s="2"/>
      <c r="H395" s="2"/>
      <c r="I395" s="2"/>
      <c r="J395" s="2"/>
      <c r="K395" s="2"/>
      <c r="L395" s="2"/>
      <c r="M395" s="2"/>
      <c r="N395" s="2"/>
      <c r="O395" s="2"/>
      <c r="P395" s="2"/>
      <c r="Q395" s="2"/>
      <c r="S395" s="3"/>
      <c r="T395" s="3"/>
      <c r="U395" s="3"/>
      <c r="V395" s="3"/>
      <c r="W395" s="3"/>
      <c r="X395" s="3"/>
      <c r="Y395" s="3"/>
      <c r="Z395" s="3"/>
    </row>
    <row r="396" ht="15.75" customHeight="1">
      <c r="A396" s="3"/>
      <c r="B396" s="2"/>
      <c r="C396" s="2"/>
      <c r="D396" s="2"/>
      <c r="E396" s="464"/>
      <c r="F396" s="2"/>
      <c r="G396" s="2"/>
      <c r="H396" s="2"/>
      <c r="I396" s="2"/>
      <c r="J396" s="2"/>
      <c r="K396" s="2"/>
      <c r="L396" s="2"/>
      <c r="M396" s="2"/>
      <c r="N396" s="2"/>
      <c r="O396" s="2"/>
      <c r="P396" s="2"/>
      <c r="Q396" s="2"/>
      <c r="S396" s="3"/>
      <c r="T396" s="3"/>
      <c r="U396" s="3"/>
      <c r="V396" s="3"/>
      <c r="W396" s="3"/>
      <c r="X396" s="3"/>
      <c r="Y396" s="3"/>
      <c r="Z396" s="3"/>
    </row>
    <row r="397" ht="15.75" customHeight="1">
      <c r="A397" s="3"/>
      <c r="B397" s="2"/>
      <c r="C397" s="2"/>
      <c r="D397" s="2"/>
      <c r="E397" s="464"/>
      <c r="F397" s="2"/>
      <c r="G397" s="2"/>
      <c r="H397" s="2"/>
      <c r="I397" s="2"/>
      <c r="J397" s="2"/>
      <c r="K397" s="2"/>
      <c r="L397" s="2"/>
      <c r="M397" s="2"/>
      <c r="N397" s="2"/>
      <c r="O397" s="2"/>
      <c r="P397" s="2"/>
      <c r="Q397" s="2"/>
      <c r="S397" s="3"/>
      <c r="T397" s="3"/>
      <c r="U397" s="3"/>
      <c r="V397" s="3"/>
      <c r="W397" s="3"/>
      <c r="X397" s="3"/>
      <c r="Y397" s="3"/>
      <c r="Z397" s="3"/>
    </row>
    <row r="398" ht="15.75" customHeight="1">
      <c r="A398" s="3"/>
      <c r="B398" s="2"/>
      <c r="C398" s="2"/>
      <c r="D398" s="2"/>
      <c r="E398" s="464"/>
      <c r="F398" s="2"/>
      <c r="G398" s="2"/>
      <c r="H398" s="2"/>
      <c r="I398" s="2"/>
      <c r="J398" s="2"/>
      <c r="K398" s="2"/>
      <c r="L398" s="2"/>
      <c r="M398" s="2"/>
      <c r="N398" s="2"/>
      <c r="O398" s="2"/>
      <c r="P398" s="2"/>
      <c r="Q398" s="2"/>
      <c r="S398" s="3"/>
      <c r="T398" s="3"/>
      <c r="U398" s="3"/>
      <c r="V398" s="3"/>
      <c r="W398" s="3"/>
      <c r="X398" s="3"/>
      <c r="Y398" s="3"/>
      <c r="Z398" s="3"/>
    </row>
    <row r="399" ht="15.75" customHeight="1">
      <c r="A399" s="3"/>
      <c r="B399" s="2"/>
      <c r="C399" s="2"/>
      <c r="D399" s="2"/>
      <c r="E399" s="464"/>
      <c r="F399" s="2"/>
      <c r="G399" s="2"/>
      <c r="H399" s="2"/>
      <c r="I399" s="2"/>
      <c r="J399" s="2"/>
      <c r="K399" s="2"/>
      <c r="L399" s="2"/>
      <c r="M399" s="2"/>
      <c r="N399" s="2"/>
      <c r="O399" s="2"/>
      <c r="P399" s="2"/>
      <c r="Q399" s="2"/>
      <c r="S399" s="3"/>
      <c r="T399" s="3"/>
      <c r="U399" s="3"/>
      <c r="V399" s="3"/>
      <c r="W399" s="3"/>
      <c r="X399" s="3"/>
      <c r="Y399" s="3"/>
      <c r="Z399" s="3"/>
    </row>
    <row r="400" ht="15.75" customHeight="1">
      <c r="A400" s="3"/>
      <c r="B400" s="2"/>
      <c r="C400" s="2"/>
      <c r="D400" s="2"/>
      <c r="E400" s="464"/>
      <c r="F400" s="2"/>
      <c r="G400" s="2"/>
      <c r="H400" s="2"/>
      <c r="I400" s="2"/>
      <c r="J400" s="2"/>
      <c r="K400" s="2"/>
      <c r="L400" s="2"/>
      <c r="M400" s="2"/>
      <c r="N400" s="2"/>
      <c r="O400" s="2"/>
      <c r="P400" s="2"/>
      <c r="Q400" s="2"/>
      <c r="S400" s="3"/>
      <c r="T400" s="3"/>
      <c r="U400" s="3"/>
      <c r="V400" s="3"/>
      <c r="W400" s="3"/>
      <c r="X400" s="3"/>
      <c r="Y400" s="3"/>
      <c r="Z400" s="3"/>
    </row>
    <row r="401" ht="15.75" customHeight="1">
      <c r="A401" s="3"/>
      <c r="B401" s="2"/>
      <c r="C401" s="2"/>
      <c r="D401" s="2"/>
      <c r="E401" s="464"/>
      <c r="F401" s="2"/>
      <c r="G401" s="2"/>
      <c r="H401" s="2"/>
      <c r="I401" s="2"/>
      <c r="J401" s="2"/>
      <c r="K401" s="2"/>
      <c r="L401" s="2"/>
      <c r="M401" s="2"/>
      <c r="N401" s="2"/>
      <c r="O401" s="2"/>
      <c r="P401" s="2"/>
      <c r="Q401" s="2"/>
      <c r="S401" s="3"/>
      <c r="T401" s="3"/>
      <c r="U401" s="3"/>
      <c r="V401" s="3"/>
      <c r="W401" s="3"/>
      <c r="X401" s="3"/>
      <c r="Y401" s="3"/>
      <c r="Z401" s="3"/>
    </row>
    <row r="402" ht="15.75" customHeight="1">
      <c r="A402" s="3"/>
      <c r="B402" s="2"/>
      <c r="C402" s="2"/>
      <c r="D402" s="2"/>
      <c r="E402" s="464"/>
      <c r="F402" s="2"/>
      <c r="G402" s="2"/>
      <c r="H402" s="2"/>
      <c r="I402" s="2"/>
      <c r="J402" s="2"/>
      <c r="K402" s="2"/>
      <c r="L402" s="2"/>
      <c r="M402" s="2"/>
      <c r="N402" s="2"/>
      <c r="O402" s="2"/>
      <c r="P402" s="2"/>
      <c r="Q402" s="2"/>
      <c r="S402" s="3"/>
      <c r="T402" s="3"/>
      <c r="U402" s="3"/>
      <c r="V402" s="3"/>
      <c r="W402" s="3"/>
      <c r="X402" s="3"/>
      <c r="Y402" s="3"/>
      <c r="Z402" s="3"/>
    </row>
    <row r="403" ht="15.75" customHeight="1">
      <c r="A403" s="3"/>
      <c r="B403" s="2"/>
      <c r="C403" s="2"/>
      <c r="D403" s="2"/>
      <c r="E403" s="464"/>
      <c r="F403" s="2"/>
      <c r="G403" s="2"/>
      <c r="H403" s="2"/>
      <c r="I403" s="2"/>
      <c r="J403" s="2"/>
      <c r="K403" s="2"/>
      <c r="L403" s="2"/>
      <c r="M403" s="2"/>
      <c r="N403" s="2"/>
      <c r="O403" s="2"/>
      <c r="P403" s="2"/>
      <c r="Q403" s="2"/>
      <c r="S403" s="3"/>
      <c r="T403" s="3"/>
      <c r="U403" s="3"/>
      <c r="V403" s="3"/>
      <c r="W403" s="3"/>
      <c r="X403" s="3"/>
      <c r="Y403" s="3"/>
      <c r="Z403" s="3"/>
    </row>
    <row r="404" ht="15.75" customHeight="1">
      <c r="A404" s="3"/>
      <c r="B404" s="2"/>
      <c r="C404" s="2"/>
      <c r="D404" s="2"/>
      <c r="E404" s="464"/>
      <c r="F404" s="2"/>
      <c r="G404" s="2"/>
      <c r="H404" s="2"/>
      <c r="I404" s="2"/>
      <c r="J404" s="2"/>
      <c r="K404" s="2"/>
      <c r="L404" s="2"/>
      <c r="M404" s="2"/>
      <c r="N404" s="2"/>
      <c r="O404" s="2"/>
      <c r="P404" s="2"/>
      <c r="Q404" s="2"/>
      <c r="S404" s="3"/>
      <c r="T404" s="3"/>
      <c r="U404" s="3"/>
      <c r="V404" s="3"/>
      <c r="W404" s="3"/>
      <c r="X404" s="3"/>
      <c r="Y404" s="3"/>
      <c r="Z404" s="3"/>
    </row>
    <row r="405" ht="15.75" customHeight="1">
      <c r="A405" s="3"/>
      <c r="B405" s="2"/>
      <c r="C405" s="2"/>
      <c r="D405" s="2"/>
      <c r="E405" s="464"/>
      <c r="F405" s="2"/>
      <c r="G405" s="2"/>
      <c r="H405" s="2"/>
      <c r="I405" s="2"/>
      <c r="J405" s="2"/>
      <c r="K405" s="2"/>
      <c r="L405" s="2"/>
      <c r="M405" s="2"/>
      <c r="N405" s="2"/>
      <c r="O405" s="2"/>
      <c r="P405" s="2"/>
      <c r="Q405" s="2"/>
      <c r="S405" s="3"/>
      <c r="T405" s="3"/>
      <c r="U405" s="3"/>
      <c r="V405" s="3"/>
      <c r="W405" s="3"/>
      <c r="X405" s="3"/>
      <c r="Y405" s="3"/>
      <c r="Z405" s="3"/>
    </row>
    <row r="406" ht="15.75" customHeight="1">
      <c r="A406" s="3"/>
      <c r="B406" s="2"/>
      <c r="C406" s="2"/>
      <c r="D406" s="2"/>
      <c r="E406" s="464"/>
      <c r="F406" s="2"/>
      <c r="G406" s="2"/>
      <c r="H406" s="2"/>
      <c r="I406" s="2"/>
      <c r="J406" s="2"/>
      <c r="K406" s="2"/>
      <c r="L406" s="2"/>
      <c r="M406" s="2"/>
      <c r="N406" s="2"/>
      <c r="O406" s="2"/>
      <c r="P406" s="2"/>
      <c r="Q406" s="2"/>
      <c r="S406" s="3"/>
      <c r="T406" s="3"/>
      <c r="U406" s="3"/>
      <c r="V406" s="3"/>
      <c r="W406" s="3"/>
      <c r="X406" s="3"/>
      <c r="Y406" s="3"/>
      <c r="Z406" s="3"/>
    </row>
    <row r="407" ht="15.75" customHeight="1">
      <c r="A407" s="3"/>
      <c r="B407" s="2"/>
      <c r="C407" s="2"/>
      <c r="D407" s="2"/>
      <c r="E407" s="464"/>
      <c r="F407" s="2"/>
      <c r="G407" s="2"/>
      <c r="H407" s="2"/>
      <c r="I407" s="2"/>
      <c r="J407" s="2"/>
      <c r="K407" s="2"/>
      <c r="L407" s="2"/>
      <c r="M407" s="2"/>
      <c r="N407" s="2"/>
      <c r="O407" s="2"/>
      <c r="P407" s="2"/>
      <c r="Q407" s="2"/>
      <c r="S407" s="3"/>
      <c r="T407" s="3"/>
      <c r="U407" s="3"/>
      <c r="V407" s="3"/>
      <c r="W407" s="3"/>
      <c r="X407" s="3"/>
      <c r="Y407" s="3"/>
      <c r="Z407" s="3"/>
    </row>
    <row r="408" ht="15.75" customHeight="1">
      <c r="A408" s="3"/>
      <c r="B408" s="2"/>
      <c r="C408" s="2"/>
      <c r="D408" s="2"/>
      <c r="E408" s="464"/>
      <c r="F408" s="2"/>
      <c r="G408" s="2"/>
      <c r="H408" s="2"/>
      <c r="I408" s="2"/>
      <c r="J408" s="2"/>
      <c r="K408" s="2"/>
      <c r="L408" s="2"/>
      <c r="M408" s="2"/>
      <c r="N408" s="2"/>
      <c r="O408" s="2"/>
      <c r="P408" s="2"/>
      <c r="Q408" s="2"/>
      <c r="S408" s="3"/>
      <c r="T408" s="3"/>
      <c r="U408" s="3"/>
      <c r="V408" s="3"/>
      <c r="W408" s="3"/>
      <c r="X408" s="3"/>
      <c r="Y408" s="3"/>
      <c r="Z408" s="3"/>
    </row>
    <row r="409" ht="15.75" customHeight="1">
      <c r="A409" s="3"/>
      <c r="B409" s="2"/>
      <c r="C409" s="2"/>
      <c r="D409" s="2"/>
      <c r="E409" s="464"/>
      <c r="F409" s="2"/>
      <c r="G409" s="2"/>
      <c r="H409" s="2"/>
      <c r="I409" s="2"/>
      <c r="J409" s="2"/>
      <c r="K409" s="2"/>
      <c r="L409" s="2"/>
      <c r="M409" s="2"/>
      <c r="N409" s="2"/>
      <c r="O409" s="2"/>
      <c r="P409" s="2"/>
      <c r="Q409" s="2"/>
      <c r="S409" s="3"/>
      <c r="T409" s="3"/>
      <c r="U409" s="3"/>
      <c r="V409" s="3"/>
      <c r="W409" s="3"/>
      <c r="X409" s="3"/>
      <c r="Y409" s="3"/>
      <c r="Z409" s="3"/>
    </row>
    <row r="410" ht="15.75" customHeight="1">
      <c r="A410" s="3"/>
      <c r="B410" s="2"/>
      <c r="C410" s="2"/>
      <c r="D410" s="2"/>
      <c r="E410" s="464"/>
      <c r="F410" s="2"/>
      <c r="G410" s="2"/>
      <c r="H410" s="2"/>
      <c r="I410" s="2"/>
      <c r="J410" s="2"/>
      <c r="K410" s="2"/>
      <c r="L410" s="2"/>
      <c r="M410" s="2"/>
      <c r="N410" s="2"/>
      <c r="O410" s="2"/>
      <c r="P410" s="2"/>
      <c r="Q410" s="2"/>
      <c r="S410" s="3"/>
      <c r="T410" s="3"/>
      <c r="U410" s="3"/>
      <c r="V410" s="3"/>
      <c r="W410" s="3"/>
      <c r="X410" s="3"/>
      <c r="Y410" s="3"/>
      <c r="Z410" s="3"/>
    </row>
    <row r="411" ht="15.75" customHeight="1">
      <c r="A411" s="3"/>
      <c r="B411" s="2"/>
      <c r="C411" s="2"/>
      <c r="D411" s="2"/>
      <c r="E411" s="464"/>
      <c r="F411" s="2"/>
      <c r="G411" s="2"/>
      <c r="H411" s="2"/>
      <c r="I411" s="2"/>
      <c r="J411" s="2"/>
      <c r="K411" s="2"/>
      <c r="L411" s="2"/>
      <c r="M411" s="2"/>
      <c r="N411" s="2"/>
      <c r="O411" s="2"/>
      <c r="P411" s="2"/>
      <c r="Q411" s="2"/>
      <c r="S411" s="3"/>
      <c r="T411" s="3"/>
      <c r="U411" s="3"/>
      <c r="V411" s="3"/>
      <c r="W411" s="3"/>
      <c r="X411" s="3"/>
      <c r="Y411" s="3"/>
      <c r="Z411" s="3"/>
    </row>
    <row r="412" ht="15.75" customHeight="1">
      <c r="A412" s="3"/>
      <c r="B412" s="2"/>
      <c r="C412" s="2"/>
      <c r="D412" s="2"/>
      <c r="E412" s="464"/>
      <c r="F412" s="2"/>
      <c r="G412" s="2"/>
      <c r="H412" s="2"/>
      <c r="I412" s="2"/>
      <c r="J412" s="2"/>
      <c r="K412" s="2"/>
      <c r="L412" s="2"/>
      <c r="M412" s="2"/>
      <c r="N412" s="2"/>
      <c r="O412" s="2"/>
      <c r="P412" s="2"/>
      <c r="Q412" s="2"/>
      <c r="S412" s="3"/>
      <c r="T412" s="3"/>
      <c r="U412" s="3"/>
      <c r="V412" s="3"/>
      <c r="W412" s="3"/>
      <c r="X412" s="3"/>
      <c r="Y412" s="3"/>
      <c r="Z412" s="3"/>
    </row>
    <row r="413" ht="15.75" customHeight="1">
      <c r="A413" s="3"/>
      <c r="B413" s="2"/>
      <c r="C413" s="2"/>
      <c r="D413" s="2"/>
      <c r="E413" s="464"/>
      <c r="F413" s="2"/>
      <c r="G413" s="2"/>
      <c r="H413" s="2"/>
      <c r="I413" s="2"/>
      <c r="J413" s="2"/>
      <c r="K413" s="2"/>
      <c r="L413" s="2"/>
      <c r="M413" s="2"/>
      <c r="N413" s="2"/>
      <c r="O413" s="2"/>
      <c r="P413" s="2"/>
      <c r="Q413" s="2"/>
      <c r="S413" s="3"/>
      <c r="T413" s="3"/>
      <c r="U413" s="3"/>
      <c r="V413" s="3"/>
      <c r="W413" s="3"/>
      <c r="X413" s="3"/>
      <c r="Y413" s="3"/>
      <c r="Z413" s="3"/>
    </row>
    <row r="414" ht="15.75" customHeight="1">
      <c r="A414" s="3"/>
      <c r="B414" s="2"/>
      <c r="C414" s="2"/>
      <c r="D414" s="2"/>
      <c r="E414" s="464"/>
      <c r="F414" s="2"/>
      <c r="G414" s="2"/>
      <c r="H414" s="2"/>
      <c r="I414" s="2"/>
      <c r="J414" s="2"/>
      <c r="K414" s="2"/>
      <c r="L414" s="2"/>
      <c r="M414" s="2"/>
      <c r="N414" s="2"/>
      <c r="O414" s="2"/>
      <c r="P414" s="2"/>
      <c r="Q414" s="2"/>
      <c r="S414" s="3"/>
      <c r="T414" s="3"/>
      <c r="U414" s="3"/>
      <c r="V414" s="3"/>
      <c r="W414" s="3"/>
      <c r="X414" s="3"/>
      <c r="Y414" s="3"/>
      <c r="Z414" s="3"/>
    </row>
    <row r="415" ht="15.75" customHeight="1">
      <c r="A415" s="3"/>
      <c r="B415" s="2"/>
      <c r="C415" s="2"/>
      <c r="D415" s="2"/>
      <c r="E415" s="464"/>
      <c r="F415" s="2"/>
      <c r="G415" s="2"/>
      <c r="H415" s="2"/>
      <c r="I415" s="2"/>
      <c r="J415" s="2"/>
      <c r="K415" s="2"/>
      <c r="L415" s="2"/>
      <c r="M415" s="2"/>
      <c r="N415" s="2"/>
      <c r="O415" s="2"/>
      <c r="P415" s="2"/>
      <c r="Q415" s="2"/>
      <c r="S415" s="3"/>
      <c r="T415" s="3"/>
      <c r="U415" s="3"/>
      <c r="V415" s="3"/>
      <c r="W415" s="3"/>
      <c r="X415" s="3"/>
      <c r="Y415" s="3"/>
      <c r="Z415" s="3"/>
    </row>
    <row r="416" ht="15.75" customHeight="1">
      <c r="A416" s="3"/>
      <c r="B416" s="2"/>
      <c r="C416" s="2"/>
      <c r="D416" s="2"/>
      <c r="E416" s="464"/>
      <c r="F416" s="2"/>
      <c r="G416" s="2"/>
      <c r="H416" s="2"/>
      <c r="I416" s="2"/>
      <c r="J416" s="2"/>
      <c r="K416" s="2"/>
      <c r="L416" s="2"/>
      <c r="M416" s="2"/>
      <c r="N416" s="2"/>
      <c r="O416" s="2"/>
      <c r="P416" s="2"/>
      <c r="Q416" s="2"/>
      <c r="S416" s="3"/>
      <c r="T416" s="3"/>
      <c r="U416" s="3"/>
      <c r="V416" s="3"/>
      <c r="W416" s="3"/>
      <c r="X416" s="3"/>
      <c r="Y416" s="3"/>
      <c r="Z416" s="3"/>
    </row>
    <row r="417" ht="15.75" customHeight="1">
      <c r="A417" s="3"/>
      <c r="B417" s="2"/>
      <c r="C417" s="2"/>
      <c r="D417" s="2"/>
      <c r="E417" s="464"/>
      <c r="F417" s="2"/>
      <c r="G417" s="2"/>
      <c r="H417" s="2"/>
      <c r="I417" s="2"/>
      <c r="J417" s="2"/>
      <c r="K417" s="2"/>
      <c r="L417" s="2"/>
      <c r="M417" s="2"/>
      <c r="N417" s="2"/>
      <c r="O417" s="2"/>
      <c r="P417" s="2"/>
      <c r="Q417" s="2"/>
      <c r="S417" s="3"/>
      <c r="T417" s="3"/>
      <c r="U417" s="3"/>
      <c r="V417" s="3"/>
      <c r="W417" s="3"/>
      <c r="X417" s="3"/>
      <c r="Y417" s="3"/>
      <c r="Z417" s="3"/>
    </row>
    <row r="418" ht="15.75" customHeight="1">
      <c r="A418" s="3"/>
      <c r="B418" s="2"/>
      <c r="C418" s="2"/>
      <c r="D418" s="2"/>
      <c r="E418" s="464"/>
      <c r="F418" s="2"/>
      <c r="G418" s="2"/>
      <c r="H418" s="2"/>
      <c r="I418" s="2"/>
      <c r="J418" s="2"/>
      <c r="K418" s="2"/>
      <c r="L418" s="2"/>
      <c r="M418" s="2"/>
      <c r="N418" s="2"/>
      <c r="O418" s="2"/>
      <c r="P418" s="2"/>
      <c r="Q418" s="2"/>
      <c r="S418" s="3"/>
      <c r="T418" s="3"/>
      <c r="U418" s="3"/>
      <c r="V418" s="3"/>
      <c r="W418" s="3"/>
      <c r="X418" s="3"/>
      <c r="Y418" s="3"/>
      <c r="Z418" s="3"/>
    </row>
    <row r="419" ht="15.75" customHeight="1">
      <c r="A419" s="3"/>
      <c r="B419" s="2"/>
      <c r="C419" s="2"/>
      <c r="D419" s="2"/>
      <c r="E419" s="464"/>
      <c r="F419" s="2"/>
      <c r="G419" s="2"/>
      <c r="H419" s="2"/>
      <c r="I419" s="2"/>
      <c r="J419" s="2"/>
      <c r="K419" s="2"/>
      <c r="L419" s="2"/>
      <c r="M419" s="2"/>
      <c r="N419" s="2"/>
      <c r="O419" s="2"/>
      <c r="P419" s="2"/>
      <c r="Q419" s="2"/>
      <c r="S419" s="3"/>
      <c r="T419" s="3"/>
      <c r="U419" s="3"/>
      <c r="V419" s="3"/>
      <c r="W419" s="3"/>
      <c r="X419" s="3"/>
      <c r="Y419" s="3"/>
      <c r="Z419" s="3"/>
    </row>
    <row r="420" ht="15.75" customHeight="1">
      <c r="A420" s="3"/>
      <c r="B420" s="2"/>
      <c r="C420" s="2"/>
      <c r="D420" s="2"/>
      <c r="E420" s="464"/>
      <c r="F420" s="2"/>
      <c r="G420" s="2"/>
      <c r="H420" s="2"/>
      <c r="I420" s="2"/>
      <c r="J420" s="2"/>
      <c r="K420" s="2"/>
      <c r="L420" s="2"/>
      <c r="M420" s="2"/>
      <c r="N420" s="2"/>
      <c r="O420" s="2"/>
      <c r="P420" s="2"/>
      <c r="Q420" s="2"/>
      <c r="S420" s="3"/>
      <c r="T420" s="3"/>
      <c r="U420" s="3"/>
      <c r="V420" s="3"/>
      <c r="W420" s="3"/>
      <c r="X420" s="3"/>
      <c r="Y420" s="3"/>
      <c r="Z420" s="3"/>
    </row>
    <row r="421" ht="15.75" customHeight="1">
      <c r="A421" s="3"/>
      <c r="B421" s="2"/>
      <c r="C421" s="2"/>
      <c r="D421" s="2"/>
      <c r="E421" s="464"/>
      <c r="F421" s="2"/>
      <c r="G421" s="2"/>
      <c r="H421" s="2"/>
      <c r="I421" s="2"/>
      <c r="J421" s="2"/>
      <c r="K421" s="2"/>
      <c r="L421" s="2"/>
      <c r="M421" s="2"/>
      <c r="N421" s="2"/>
      <c r="O421" s="2"/>
      <c r="P421" s="2"/>
      <c r="Q421" s="2"/>
      <c r="S421" s="3"/>
      <c r="T421" s="3"/>
      <c r="U421" s="3"/>
      <c r="V421" s="3"/>
      <c r="W421" s="3"/>
      <c r="X421" s="3"/>
      <c r="Y421" s="3"/>
      <c r="Z421" s="3"/>
    </row>
    <row r="422" ht="15.75" customHeight="1">
      <c r="A422" s="3"/>
      <c r="B422" s="2"/>
      <c r="C422" s="2"/>
      <c r="D422" s="2"/>
      <c r="E422" s="464"/>
      <c r="F422" s="2"/>
      <c r="G422" s="2"/>
      <c r="H422" s="2"/>
      <c r="I422" s="2"/>
      <c r="J422" s="2"/>
      <c r="K422" s="2"/>
      <c r="L422" s="2"/>
      <c r="M422" s="2"/>
      <c r="N422" s="2"/>
      <c r="O422" s="2"/>
      <c r="P422" s="2"/>
      <c r="Q422" s="2"/>
      <c r="S422" s="3"/>
      <c r="T422" s="3"/>
      <c r="U422" s="3"/>
      <c r="V422" s="3"/>
      <c r="W422" s="3"/>
      <c r="X422" s="3"/>
      <c r="Y422" s="3"/>
      <c r="Z422" s="3"/>
    </row>
    <row r="423" ht="15.75" customHeight="1">
      <c r="A423" s="3"/>
      <c r="B423" s="2"/>
      <c r="C423" s="2"/>
      <c r="D423" s="2"/>
      <c r="E423" s="464"/>
      <c r="F423" s="2"/>
      <c r="G423" s="2"/>
      <c r="H423" s="2"/>
      <c r="I423" s="2"/>
      <c r="J423" s="2"/>
      <c r="K423" s="2"/>
      <c r="L423" s="2"/>
      <c r="M423" s="2"/>
      <c r="N423" s="2"/>
      <c r="O423" s="2"/>
      <c r="P423" s="2"/>
      <c r="Q423" s="2"/>
      <c r="S423" s="3"/>
      <c r="T423" s="3"/>
      <c r="U423" s="3"/>
      <c r="V423" s="3"/>
      <c r="W423" s="3"/>
      <c r="X423" s="3"/>
      <c r="Y423" s="3"/>
      <c r="Z423" s="3"/>
    </row>
    <row r="424" ht="15.75" customHeight="1">
      <c r="A424" s="3"/>
      <c r="B424" s="2"/>
      <c r="C424" s="2"/>
      <c r="D424" s="2"/>
      <c r="E424" s="464"/>
      <c r="F424" s="2"/>
      <c r="G424" s="2"/>
      <c r="H424" s="2"/>
      <c r="I424" s="2"/>
      <c r="J424" s="2"/>
      <c r="K424" s="2"/>
      <c r="L424" s="2"/>
      <c r="M424" s="2"/>
      <c r="N424" s="2"/>
      <c r="O424" s="2"/>
      <c r="P424" s="2"/>
      <c r="Q424" s="2"/>
      <c r="S424" s="3"/>
      <c r="T424" s="3"/>
      <c r="U424" s="3"/>
      <c r="V424" s="3"/>
      <c r="W424" s="3"/>
      <c r="X424" s="3"/>
      <c r="Y424" s="3"/>
      <c r="Z424" s="3"/>
    </row>
    <row r="425" ht="15.75" customHeight="1">
      <c r="A425" s="3"/>
      <c r="B425" s="2"/>
      <c r="C425" s="2"/>
      <c r="D425" s="2"/>
      <c r="E425" s="464"/>
      <c r="F425" s="2"/>
      <c r="G425" s="2"/>
      <c r="H425" s="2"/>
      <c r="I425" s="2"/>
      <c r="J425" s="2"/>
      <c r="K425" s="2"/>
      <c r="L425" s="2"/>
      <c r="M425" s="2"/>
      <c r="N425" s="2"/>
      <c r="O425" s="2"/>
      <c r="P425" s="2"/>
      <c r="Q425" s="2"/>
      <c r="S425" s="3"/>
      <c r="T425" s="3"/>
      <c r="U425" s="3"/>
      <c r="V425" s="3"/>
      <c r="W425" s="3"/>
      <c r="X425" s="3"/>
      <c r="Y425" s="3"/>
      <c r="Z425" s="3"/>
    </row>
    <row r="426" ht="15.75" customHeight="1">
      <c r="A426" s="3"/>
      <c r="B426" s="2"/>
      <c r="C426" s="2"/>
      <c r="D426" s="2"/>
      <c r="E426" s="464"/>
      <c r="F426" s="2"/>
      <c r="G426" s="2"/>
      <c r="H426" s="2"/>
      <c r="I426" s="2"/>
      <c r="J426" s="2"/>
      <c r="K426" s="2"/>
      <c r="L426" s="2"/>
      <c r="M426" s="2"/>
      <c r="N426" s="2"/>
      <c r="O426" s="2"/>
      <c r="P426" s="2"/>
      <c r="Q426" s="2"/>
      <c r="S426" s="3"/>
      <c r="T426" s="3"/>
      <c r="U426" s="3"/>
      <c r="V426" s="3"/>
      <c r="W426" s="3"/>
      <c r="X426" s="3"/>
      <c r="Y426" s="3"/>
      <c r="Z426" s="3"/>
    </row>
    <row r="427" ht="15.75" customHeight="1">
      <c r="A427" s="3"/>
      <c r="B427" s="2"/>
      <c r="C427" s="2"/>
      <c r="D427" s="2"/>
      <c r="E427" s="464"/>
      <c r="F427" s="2"/>
      <c r="G427" s="2"/>
      <c r="H427" s="2"/>
      <c r="I427" s="2"/>
      <c r="J427" s="2"/>
      <c r="K427" s="2"/>
      <c r="L427" s="2"/>
      <c r="M427" s="2"/>
      <c r="N427" s="2"/>
      <c r="O427" s="2"/>
      <c r="P427" s="2"/>
      <c r="Q427" s="2"/>
      <c r="S427" s="3"/>
      <c r="T427" s="3"/>
      <c r="U427" s="3"/>
      <c r="V427" s="3"/>
      <c r="W427" s="3"/>
      <c r="X427" s="3"/>
      <c r="Y427" s="3"/>
      <c r="Z427" s="3"/>
    </row>
    <row r="428" ht="15.75" customHeight="1">
      <c r="A428" s="3"/>
      <c r="B428" s="2"/>
      <c r="C428" s="2"/>
      <c r="D428" s="2"/>
      <c r="E428" s="464"/>
      <c r="F428" s="2"/>
      <c r="G428" s="2"/>
      <c r="H428" s="2"/>
      <c r="I428" s="2"/>
      <c r="J428" s="2"/>
      <c r="K428" s="2"/>
      <c r="L428" s="2"/>
      <c r="M428" s="2"/>
      <c r="N428" s="2"/>
      <c r="O428" s="2"/>
      <c r="P428" s="2"/>
      <c r="Q428" s="2"/>
      <c r="S428" s="3"/>
      <c r="T428" s="3"/>
      <c r="U428" s="3"/>
      <c r="V428" s="3"/>
      <c r="W428" s="3"/>
      <c r="X428" s="3"/>
      <c r="Y428" s="3"/>
      <c r="Z428" s="3"/>
    </row>
    <row r="429" ht="15.75" customHeight="1">
      <c r="A429" s="3"/>
      <c r="B429" s="2"/>
      <c r="C429" s="2"/>
      <c r="D429" s="2"/>
      <c r="E429" s="464"/>
      <c r="F429" s="2"/>
      <c r="G429" s="2"/>
      <c r="H429" s="2"/>
      <c r="I429" s="2"/>
      <c r="J429" s="2"/>
      <c r="K429" s="2"/>
      <c r="L429" s="2"/>
      <c r="M429" s="2"/>
      <c r="N429" s="2"/>
      <c r="O429" s="2"/>
      <c r="P429" s="2"/>
      <c r="Q429" s="2"/>
      <c r="S429" s="3"/>
      <c r="T429" s="3"/>
      <c r="U429" s="3"/>
      <c r="V429" s="3"/>
      <c r="W429" s="3"/>
      <c r="X429" s="3"/>
      <c r="Y429" s="3"/>
      <c r="Z429" s="3"/>
    </row>
    <row r="430" ht="15.75" customHeight="1">
      <c r="A430" s="3"/>
      <c r="B430" s="2"/>
      <c r="C430" s="2"/>
      <c r="D430" s="2"/>
      <c r="E430" s="464"/>
      <c r="F430" s="2"/>
      <c r="G430" s="2"/>
      <c r="H430" s="2"/>
      <c r="I430" s="2"/>
      <c r="J430" s="2"/>
      <c r="K430" s="2"/>
      <c r="L430" s="2"/>
      <c r="M430" s="2"/>
      <c r="N430" s="2"/>
      <c r="O430" s="2"/>
      <c r="P430" s="2"/>
      <c r="Q430" s="2"/>
      <c r="S430" s="3"/>
      <c r="T430" s="3"/>
      <c r="U430" s="3"/>
      <c r="V430" s="3"/>
      <c r="W430" s="3"/>
      <c r="X430" s="3"/>
      <c r="Y430" s="3"/>
      <c r="Z430" s="3"/>
    </row>
    <row r="431" ht="15.75" customHeight="1">
      <c r="A431" s="3"/>
      <c r="B431" s="2"/>
      <c r="C431" s="2"/>
      <c r="D431" s="2"/>
      <c r="E431" s="464"/>
      <c r="F431" s="2"/>
      <c r="G431" s="2"/>
      <c r="H431" s="2"/>
      <c r="I431" s="2"/>
      <c r="J431" s="2"/>
      <c r="K431" s="2"/>
      <c r="L431" s="2"/>
      <c r="M431" s="2"/>
      <c r="N431" s="2"/>
      <c r="O431" s="2"/>
      <c r="P431" s="2"/>
      <c r="Q431" s="2"/>
      <c r="S431" s="3"/>
      <c r="T431" s="3"/>
      <c r="U431" s="3"/>
      <c r="V431" s="3"/>
      <c r="W431" s="3"/>
      <c r="X431" s="3"/>
      <c r="Y431" s="3"/>
      <c r="Z431" s="3"/>
    </row>
    <row r="432" ht="15.75" customHeight="1">
      <c r="A432" s="3"/>
      <c r="B432" s="2"/>
      <c r="C432" s="2"/>
      <c r="D432" s="2"/>
      <c r="E432" s="464"/>
      <c r="F432" s="2"/>
      <c r="G432" s="2"/>
      <c r="H432" s="2"/>
      <c r="I432" s="2"/>
      <c r="J432" s="2"/>
      <c r="K432" s="2"/>
      <c r="L432" s="2"/>
      <c r="M432" s="2"/>
      <c r="N432" s="2"/>
      <c r="O432" s="2"/>
      <c r="P432" s="2"/>
      <c r="Q432" s="2"/>
      <c r="S432" s="3"/>
      <c r="T432" s="3"/>
      <c r="U432" s="3"/>
      <c r="V432" s="3"/>
      <c r="W432" s="3"/>
      <c r="X432" s="3"/>
      <c r="Y432" s="3"/>
      <c r="Z432" s="3"/>
    </row>
    <row r="433" ht="15.75" customHeight="1">
      <c r="A433" s="3"/>
      <c r="B433" s="2"/>
      <c r="C433" s="2"/>
      <c r="D433" s="2"/>
      <c r="E433" s="464"/>
      <c r="F433" s="2"/>
      <c r="G433" s="2"/>
      <c r="H433" s="2"/>
      <c r="I433" s="2"/>
      <c r="J433" s="2"/>
      <c r="K433" s="2"/>
      <c r="L433" s="2"/>
      <c r="M433" s="2"/>
      <c r="N433" s="2"/>
      <c r="O433" s="2"/>
      <c r="P433" s="2"/>
      <c r="Q433" s="2"/>
      <c r="S433" s="3"/>
      <c r="T433" s="3"/>
      <c r="U433" s="3"/>
      <c r="V433" s="3"/>
      <c r="W433" s="3"/>
      <c r="X433" s="3"/>
      <c r="Y433" s="3"/>
      <c r="Z433" s="3"/>
    </row>
    <row r="434" ht="15.75" customHeight="1">
      <c r="A434" s="3"/>
      <c r="B434" s="2"/>
      <c r="C434" s="2"/>
      <c r="D434" s="2"/>
      <c r="E434" s="464"/>
      <c r="F434" s="2"/>
      <c r="G434" s="2"/>
      <c r="H434" s="2"/>
      <c r="I434" s="2"/>
      <c r="J434" s="2"/>
      <c r="K434" s="2"/>
      <c r="L434" s="2"/>
      <c r="M434" s="2"/>
      <c r="N434" s="2"/>
      <c r="O434" s="2"/>
      <c r="P434" s="2"/>
      <c r="Q434" s="2"/>
      <c r="S434" s="3"/>
      <c r="T434" s="3"/>
      <c r="U434" s="3"/>
      <c r="V434" s="3"/>
      <c r="W434" s="3"/>
      <c r="X434" s="3"/>
      <c r="Y434" s="3"/>
      <c r="Z434" s="3"/>
    </row>
    <row r="435" ht="15.75" customHeight="1">
      <c r="A435" s="3"/>
      <c r="B435" s="2"/>
      <c r="C435" s="2"/>
      <c r="D435" s="2"/>
      <c r="E435" s="464"/>
      <c r="F435" s="2"/>
      <c r="G435" s="2"/>
      <c r="H435" s="2"/>
      <c r="I435" s="2"/>
      <c r="J435" s="2"/>
      <c r="K435" s="2"/>
      <c r="L435" s="2"/>
      <c r="M435" s="2"/>
      <c r="N435" s="2"/>
      <c r="O435" s="2"/>
      <c r="P435" s="2"/>
      <c r="Q435" s="2"/>
      <c r="S435" s="3"/>
      <c r="T435" s="3"/>
      <c r="U435" s="3"/>
      <c r="V435" s="3"/>
      <c r="W435" s="3"/>
      <c r="X435" s="3"/>
      <c r="Y435" s="3"/>
      <c r="Z435" s="3"/>
    </row>
    <row r="436" ht="15.75" customHeight="1">
      <c r="A436" s="3"/>
      <c r="B436" s="2"/>
      <c r="C436" s="2"/>
      <c r="D436" s="2"/>
      <c r="E436" s="464"/>
      <c r="F436" s="2"/>
      <c r="G436" s="2"/>
      <c r="H436" s="2"/>
      <c r="I436" s="2"/>
      <c r="J436" s="2"/>
      <c r="K436" s="2"/>
      <c r="L436" s="2"/>
      <c r="M436" s="2"/>
      <c r="N436" s="2"/>
      <c r="O436" s="2"/>
      <c r="P436" s="2"/>
      <c r="Q436" s="2"/>
      <c r="S436" s="3"/>
      <c r="T436" s="3"/>
      <c r="U436" s="3"/>
      <c r="V436" s="3"/>
      <c r="W436" s="3"/>
      <c r="X436" s="3"/>
      <c r="Y436" s="3"/>
      <c r="Z436" s="3"/>
    </row>
    <row r="437" ht="15.75" customHeight="1">
      <c r="A437" s="3"/>
      <c r="B437" s="2"/>
      <c r="C437" s="2"/>
      <c r="D437" s="2"/>
      <c r="E437" s="464"/>
      <c r="F437" s="2"/>
      <c r="G437" s="2"/>
      <c r="H437" s="2"/>
      <c r="I437" s="2"/>
      <c r="J437" s="2"/>
      <c r="K437" s="2"/>
      <c r="L437" s="2"/>
      <c r="M437" s="2"/>
      <c r="N437" s="2"/>
      <c r="O437" s="2"/>
      <c r="P437" s="2"/>
      <c r="Q437" s="2"/>
      <c r="S437" s="3"/>
      <c r="T437" s="3"/>
      <c r="U437" s="3"/>
      <c r="V437" s="3"/>
      <c r="W437" s="3"/>
      <c r="X437" s="3"/>
      <c r="Y437" s="3"/>
      <c r="Z437" s="3"/>
    </row>
    <row r="438" ht="15.75" customHeight="1">
      <c r="A438" s="3"/>
      <c r="B438" s="2"/>
      <c r="C438" s="2"/>
      <c r="D438" s="2"/>
      <c r="E438" s="464"/>
      <c r="F438" s="2"/>
      <c r="G438" s="2"/>
      <c r="H438" s="2"/>
      <c r="I438" s="2"/>
      <c r="J438" s="2"/>
      <c r="K438" s="2"/>
      <c r="L438" s="2"/>
      <c r="M438" s="2"/>
      <c r="N438" s="2"/>
      <c r="O438" s="2"/>
      <c r="P438" s="2"/>
      <c r="Q438" s="2"/>
      <c r="S438" s="3"/>
      <c r="T438" s="3"/>
      <c r="U438" s="3"/>
      <c r="V438" s="3"/>
      <c r="W438" s="3"/>
      <c r="X438" s="3"/>
      <c r="Y438" s="3"/>
      <c r="Z438" s="3"/>
    </row>
    <row r="439" ht="15.75" customHeight="1">
      <c r="A439" s="3"/>
      <c r="B439" s="2"/>
      <c r="C439" s="2"/>
      <c r="D439" s="2"/>
      <c r="E439" s="464"/>
      <c r="F439" s="2"/>
      <c r="G439" s="2"/>
      <c r="H439" s="2"/>
      <c r="I439" s="2"/>
      <c r="J439" s="2"/>
      <c r="K439" s="2"/>
      <c r="L439" s="2"/>
      <c r="M439" s="2"/>
      <c r="N439" s="2"/>
      <c r="O439" s="2"/>
      <c r="P439" s="2"/>
      <c r="Q439" s="2"/>
      <c r="S439" s="3"/>
      <c r="T439" s="3"/>
      <c r="U439" s="3"/>
      <c r="V439" s="3"/>
      <c r="W439" s="3"/>
      <c r="X439" s="3"/>
      <c r="Y439" s="3"/>
      <c r="Z439" s="3"/>
    </row>
    <row r="440" ht="15.75" customHeight="1">
      <c r="A440" s="3"/>
      <c r="B440" s="2"/>
      <c r="C440" s="2"/>
      <c r="D440" s="2"/>
      <c r="E440" s="464"/>
      <c r="F440" s="2"/>
      <c r="G440" s="2"/>
      <c r="H440" s="2"/>
      <c r="I440" s="2"/>
      <c r="J440" s="2"/>
      <c r="K440" s="2"/>
      <c r="L440" s="2"/>
      <c r="M440" s="2"/>
      <c r="N440" s="2"/>
      <c r="O440" s="2"/>
      <c r="P440" s="2"/>
      <c r="Q440" s="2"/>
      <c r="S440" s="3"/>
      <c r="T440" s="3"/>
      <c r="U440" s="3"/>
      <c r="V440" s="3"/>
      <c r="W440" s="3"/>
      <c r="X440" s="3"/>
      <c r="Y440" s="3"/>
      <c r="Z440" s="3"/>
    </row>
    <row r="441" ht="15.75" customHeight="1">
      <c r="A441" s="3"/>
      <c r="B441" s="2"/>
      <c r="C441" s="2"/>
      <c r="D441" s="2"/>
      <c r="E441" s="464"/>
      <c r="F441" s="2"/>
      <c r="G441" s="2"/>
      <c r="H441" s="2"/>
      <c r="I441" s="2"/>
      <c r="J441" s="2"/>
      <c r="K441" s="2"/>
      <c r="L441" s="2"/>
      <c r="M441" s="2"/>
      <c r="N441" s="2"/>
      <c r="O441" s="2"/>
      <c r="P441" s="2"/>
      <c r="Q441" s="2"/>
      <c r="S441" s="3"/>
      <c r="T441" s="3"/>
      <c r="U441" s="3"/>
      <c r="V441" s="3"/>
      <c r="W441" s="3"/>
      <c r="X441" s="3"/>
      <c r="Y441" s="3"/>
      <c r="Z441" s="3"/>
    </row>
    <row r="442" ht="15.75" customHeight="1">
      <c r="A442" s="3"/>
      <c r="B442" s="2"/>
      <c r="C442" s="2"/>
      <c r="D442" s="2"/>
      <c r="E442" s="464"/>
      <c r="F442" s="2"/>
      <c r="G442" s="2"/>
      <c r="H442" s="2"/>
      <c r="I442" s="2"/>
      <c r="J442" s="2"/>
      <c r="K442" s="2"/>
      <c r="L442" s="2"/>
      <c r="M442" s="2"/>
      <c r="N442" s="2"/>
      <c r="O442" s="2"/>
      <c r="P442" s="2"/>
      <c r="Q442" s="2"/>
      <c r="S442" s="3"/>
      <c r="T442" s="3"/>
      <c r="U442" s="3"/>
      <c r="V442" s="3"/>
      <c r="W442" s="3"/>
      <c r="X442" s="3"/>
      <c r="Y442" s="3"/>
      <c r="Z442" s="3"/>
    </row>
    <row r="443" ht="15.75" customHeight="1">
      <c r="A443" s="3"/>
      <c r="B443" s="2"/>
      <c r="C443" s="2"/>
      <c r="D443" s="2"/>
      <c r="E443" s="464"/>
      <c r="F443" s="2"/>
      <c r="G443" s="2"/>
      <c r="H443" s="2"/>
      <c r="I443" s="2"/>
      <c r="J443" s="2"/>
      <c r="K443" s="2"/>
      <c r="L443" s="2"/>
      <c r="M443" s="2"/>
      <c r="N443" s="2"/>
      <c r="O443" s="2"/>
      <c r="P443" s="2"/>
      <c r="Q443" s="2"/>
      <c r="S443" s="3"/>
      <c r="T443" s="3"/>
      <c r="U443" s="3"/>
      <c r="V443" s="3"/>
      <c r="W443" s="3"/>
      <c r="X443" s="3"/>
      <c r="Y443" s="3"/>
      <c r="Z443" s="3"/>
    </row>
    <row r="444" ht="15.75" customHeight="1">
      <c r="A444" s="3"/>
      <c r="B444" s="2"/>
      <c r="C444" s="2"/>
      <c r="D444" s="2"/>
      <c r="E444" s="464"/>
      <c r="F444" s="2"/>
      <c r="G444" s="2"/>
      <c r="H444" s="2"/>
      <c r="I444" s="2"/>
      <c r="J444" s="2"/>
      <c r="K444" s="2"/>
      <c r="L444" s="2"/>
      <c r="M444" s="2"/>
      <c r="N444" s="2"/>
      <c r="O444" s="2"/>
      <c r="P444" s="2"/>
      <c r="Q444" s="2"/>
      <c r="S444" s="3"/>
      <c r="T444" s="3"/>
      <c r="U444" s="3"/>
      <c r="V444" s="3"/>
      <c r="W444" s="3"/>
      <c r="X444" s="3"/>
      <c r="Y444" s="3"/>
      <c r="Z444" s="3"/>
    </row>
    <row r="445" ht="15.75" customHeight="1">
      <c r="A445" s="3"/>
      <c r="B445" s="2"/>
      <c r="C445" s="2"/>
      <c r="D445" s="2"/>
      <c r="E445" s="464"/>
      <c r="F445" s="2"/>
      <c r="G445" s="2"/>
      <c r="H445" s="2"/>
      <c r="I445" s="2"/>
      <c r="J445" s="2"/>
      <c r="K445" s="2"/>
      <c r="L445" s="2"/>
      <c r="M445" s="2"/>
      <c r="N445" s="2"/>
      <c r="O445" s="2"/>
      <c r="P445" s="2"/>
      <c r="Q445" s="2"/>
      <c r="S445" s="3"/>
      <c r="T445" s="3"/>
      <c r="U445" s="3"/>
      <c r="V445" s="3"/>
      <c r="W445" s="3"/>
      <c r="X445" s="3"/>
      <c r="Y445" s="3"/>
      <c r="Z445" s="3"/>
    </row>
    <row r="446" ht="15.75" customHeight="1">
      <c r="A446" s="3"/>
      <c r="B446" s="2"/>
      <c r="C446" s="2"/>
      <c r="D446" s="2"/>
      <c r="E446" s="464"/>
      <c r="F446" s="2"/>
      <c r="G446" s="2"/>
      <c r="H446" s="2"/>
      <c r="I446" s="2"/>
      <c r="J446" s="2"/>
      <c r="K446" s="2"/>
      <c r="L446" s="2"/>
      <c r="M446" s="2"/>
      <c r="N446" s="2"/>
      <c r="O446" s="2"/>
      <c r="P446" s="2"/>
      <c r="Q446" s="2"/>
      <c r="S446" s="3"/>
      <c r="T446" s="3"/>
      <c r="U446" s="3"/>
      <c r="V446" s="3"/>
      <c r="W446" s="3"/>
      <c r="X446" s="3"/>
      <c r="Y446" s="3"/>
      <c r="Z446" s="3"/>
    </row>
    <row r="447" ht="15.75" customHeight="1">
      <c r="A447" s="3"/>
      <c r="B447" s="2"/>
      <c r="C447" s="2"/>
      <c r="D447" s="2"/>
      <c r="E447" s="464"/>
      <c r="F447" s="2"/>
      <c r="G447" s="2"/>
      <c r="H447" s="2"/>
      <c r="I447" s="2"/>
      <c r="J447" s="2"/>
      <c r="K447" s="2"/>
      <c r="L447" s="2"/>
      <c r="M447" s="2"/>
      <c r="N447" s="2"/>
      <c r="O447" s="2"/>
      <c r="P447" s="2"/>
      <c r="Q447" s="2"/>
      <c r="S447" s="3"/>
      <c r="T447" s="3"/>
      <c r="U447" s="3"/>
      <c r="V447" s="3"/>
      <c r="W447" s="3"/>
      <c r="X447" s="3"/>
      <c r="Y447" s="3"/>
      <c r="Z447" s="3"/>
    </row>
    <row r="448" ht="15.75" customHeight="1">
      <c r="A448" s="3"/>
      <c r="B448" s="2"/>
      <c r="C448" s="2"/>
      <c r="D448" s="2"/>
      <c r="E448" s="464"/>
      <c r="F448" s="2"/>
      <c r="G448" s="2"/>
      <c r="H448" s="2"/>
      <c r="I448" s="2"/>
      <c r="J448" s="2"/>
      <c r="K448" s="2"/>
      <c r="L448" s="2"/>
      <c r="M448" s="2"/>
      <c r="N448" s="2"/>
      <c r="O448" s="2"/>
      <c r="P448" s="2"/>
      <c r="Q448" s="2"/>
      <c r="S448" s="3"/>
      <c r="T448" s="3"/>
      <c r="U448" s="3"/>
      <c r="V448" s="3"/>
      <c r="W448" s="3"/>
      <c r="X448" s="3"/>
      <c r="Y448" s="3"/>
      <c r="Z448" s="3"/>
    </row>
    <row r="449" ht="15.75" customHeight="1">
      <c r="A449" s="3"/>
      <c r="B449" s="2"/>
      <c r="C449" s="2"/>
      <c r="D449" s="2"/>
      <c r="E449" s="464"/>
      <c r="F449" s="2"/>
      <c r="G449" s="2"/>
      <c r="H449" s="2"/>
      <c r="I449" s="2"/>
      <c r="J449" s="2"/>
      <c r="K449" s="2"/>
      <c r="L449" s="2"/>
      <c r="M449" s="2"/>
      <c r="N449" s="2"/>
      <c r="O449" s="2"/>
      <c r="P449" s="2"/>
      <c r="Q449" s="2"/>
      <c r="S449" s="3"/>
      <c r="T449" s="3"/>
      <c r="U449" s="3"/>
      <c r="V449" s="3"/>
      <c r="W449" s="3"/>
      <c r="X449" s="3"/>
      <c r="Y449" s="3"/>
      <c r="Z449" s="3"/>
    </row>
    <row r="450" ht="15.75" customHeight="1">
      <c r="A450" s="3"/>
      <c r="B450" s="2"/>
      <c r="C450" s="2"/>
      <c r="D450" s="2"/>
      <c r="E450" s="464"/>
      <c r="F450" s="2"/>
      <c r="G450" s="2"/>
      <c r="H450" s="2"/>
      <c r="I450" s="2"/>
      <c r="J450" s="2"/>
      <c r="K450" s="2"/>
      <c r="L450" s="2"/>
      <c r="M450" s="2"/>
      <c r="N450" s="2"/>
      <c r="O450" s="2"/>
      <c r="P450" s="2"/>
      <c r="Q450" s="2"/>
      <c r="S450" s="3"/>
      <c r="T450" s="3"/>
      <c r="U450" s="3"/>
      <c r="V450" s="3"/>
      <c r="W450" s="3"/>
      <c r="X450" s="3"/>
      <c r="Y450" s="3"/>
      <c r="Z450" s="3"/>
    </row>
    <row r="451" ht="15.75" customHeight="1">
      <c r="A451" s="3"/>
      <c r="B451" s="2"/>
      <c r="C451" s="2"/>
      <c r="D451" s="2"/>
      <c r="E451" s="464"/>
      <c r="F451" s="2"/>
      <c r="G451" s="2"/>
      <c r="H451" s="2"/>
      <c r="I451" s="2"/>
      <c r="J451" s="2"/>
      <c r="K451" s="2"/>
      <c r="L451" s="2"/>
      <c r="M451" s="2"/>
      <c r="N451" s="2"/>
      <c r="O451" s="2"/>
      <c r="P451" s="2"/>
      <c r="Q451" s="2"/>
      <c r="S451" s="3"/>
      <c r="T451" s="3"/>
      <c r="U451" s="3"/>
      <c r="V451" s="3"/>
      <c r="W451" s="3"/>
      <c r="X451" s="3"/>
      <c r="Y451" s="3"/>
      <c r="Z451" s="3"/>
    </row>
    <row r="452" ht="15.75" customHeight="1">
      <c r="A452" s="3"/>
      <c r="B452" s="2"/>
      <c r="C452" s="2"/>
      <c r="D452" s="2"/>
      <c r="E452" s="464"/>
      <c r="F452" s="2"/>
      <c r="G452" s="2"/>
      <c r="H452" s="2"/>
      <c r="I452" s="2"/>
      <c r="J452" s="2"/>
      <c r="K452" s="2"/>
      <c r="L452" s="2"/>
      <c r="M452" s="2"/>
      <c r="N452" s="2"/>
      <c r="O452" s="2"/>
      <c r="P452" s="2"/>
      <c r="Q452" s="2"/>
      <c r="S452" s="3"/>
      <c r="T452" s="3"/>
      <c r="U452" s="3"/>
      <c r="V452" s="3"/>
      <c r="W452" s="3"/>
      <c r="X452" s="3"/>
      <c r="Y452" s="3"/>
      <c r="Z452" s="3"/>
    </row>
    <row r="453" ht="15.75" customHeight="1">
      <c r="A453" s="3"/>
      <c r="B453" s="2"/>
      <c r="C453" s="2"/>
      <c r="D453" s="2"/>
      <c r="E453" s="464"/>
      <c r="F453" s="2"/>
      <c r="G453" s="2"/>
      <c r="H453" s="2"/>
      <c r="I453" s="2"/>
      <c r="J453" s="2"/>
      <c r="K453" s="2"/>
      <c r="L453" s="2"/>
      <c r="M453" s="2"/>
      <c r="N453" s="2"/>
      <c r="O453" s="2"/>
      <c r="P453" s="2"/>
      <c r="Q453" s="2"/>
      <c r="S453" s="3"/>
      <c r="T453" s="3"/>
      <c r="U453" s="3"/>
      <c r="V453" s="3"/>
      <c r="W453" s="3"/>
      <c r="X453" s="3"/>
      <c r="Y453" s="3"/>
      <c r="Z453" s="3"/>
    </row>
    <row r="454" ht="15.75" customHeight="1">
      <c r="A454" s="3"/>
      <c r="B454" s="2"/>
      <c r="C454" s="2"/>
      <c r="D454" s="2"/>
      <c r="E454" s="464"/>
      <c r="F454" s="2"/>
      <c r="G454" s="2"/>
      <c r="H454" s="2"/>
      <c r="I454" s="2"/>
      <c r="J454" s="2"/>
      <c r="K454" s="2"/>
      <c r="L454" s="2"/>
      <c r="M454" s="2"/>
      <c r="N454" s="2"/>
      <c r="O454" s="2"/>
      <c r="P454" s="2"/>
      <c r="Q454" s="2"/>
      <c r="S454" s="3"/>
      <c r="T454" s="3"/>
      <c r="U454" s="3"/>
      <c r="V454" s="3"/>
      <c r="W454" s="3"/>
      <c r="X454" s="3"/>
      <c r="Y454" s="3"/>
      <c r="Z454" s="3"/>
    </row>
    <row r="455" ht="15.75" customHeight="1">
      <c r="A455" s="3"/>
      <c r="B455" s="2"/>
      <c r="C455" s="2"/>
      <c r="D455" s="2"/>
      <c r="E455" s="464"/>
      <c r="F455" s="2"/>
      <c r="G455" s="2"/>
      <c r="H455" s="2"/>
      <c r="I455" s="2"/>
      <c r="J455" s="2"/>
      <c r="K455" s="2"/>
      <c r="L455" s="2"/>
      <c r="M455" s="2"/>
      <c r="N455" s="2"/>
      <c r="O455" s="2"/>
      <c r="P455" s="2"/>
      <c r="Q455" s="2"/>
      <c r="S455" s="3"/>
      <c r="T455" s="3"/>
      <c r="U455" s="3"/>
      <c r="V455" s="3"/>
      <c r="W455" s="3"/>
      <c r="X455" s="3"/>
      <c r="Y455" s="3"/>
      <c r="Z455" s="3"/>
    </row>
    <row r="456" ht="15.75" customHeight="1">
      <c r="A456" s="3"/>
      <c r="B456" s="2"/>
      <c r="C456" s="2"/>
      <c r="D456" s="2"/>
      <c r="E456" s="464"/>
      <c r="F456" s="2"/>
      <c r="G456" s="2"/>
      <c r="H456" s="2"/>
      <c r="I456" s="2"/>
      <c r="J456" s="2"/>
      <c r="K456" s="2"/>
      <c r="L456" s="2"/>
      <c r="M456" s="2"/>
      <c r="N456" s="2"/>
      <c r="O456" s="2"/>
      <c r="P456" s="2"/>
      <c r="Q456" s="2"/>
      <c r="S456" s="3"/>
      <c r="T456" s="3"/>
      <c r="U456" s="3"/>
      <c r="V456" s="3"/>
      <c r="W456" s="3"/>
      <c r="X456" s="3"/>
      <c r="Y456" s="3"/>
      <c r="Z456" s="3"/>
    </row>
    <row r="457" ht="15.75" customHeight="1">
      <c r="A457" s="3"/>
      <c r="B457" s="2"/>
      <c r="C457" s="2"/>
      <c r="D457" s="2"/>
      <c r="E457" s="464"/>
      <c r="F457" s="2"/>
      <c r="G457" s="2"/>
      <c r="H457" s="2"/>
      <c r="I457" s="2"/>
      <c r="J457" s="2"/>
      <c r="K457" s="2"/>
      <c r="L457" s="2"/>
      <c r="M457" s="2"/>
      <c r="N457" s="2"/>
      <c r="O457" s="2"/>
      <c r="P457" s="2"/>
      <c r="Q457" s="2"/>
      <c r="S457" s="3"/>
      <c r="T457" s="3"/>
      <c r="U457" s="3"/>
      <c r="V457" s="3"/>
      <c r="W457" s="3"/>
      <c r="X457" s="3"/>
      <c r="Y457" s="3"/>
      <c r="Z457" s="3"/>
    </row>
    <row r="458" ht="15.75" customHeight="1">
      <c r="A458" s="3"/>
      <c r="B458" s="2"/>
      <c r="C458" s="2"/>
      <c r="D458" s="2"/>
      <c r="E458" s="464"/>
      <c r="F458" s="2"/>
      <c r="G458" s="2"/>
      <c r="H458" s="2"/>
      <c r="I458" s="2"/>
      <c r="J458" s="2"/>
      <c r="K458" s="2"/>
      <c r="L458" s="2"/>
      <c r="M458" s="2"/>
      <c r="N458" s="2"/>
      <c r="O458" s="2"/>
      <c r="P458" s="2"/>
      <c r="Q458" s="2"/>
      <c r="S458" s="3"/>
      <c r="T458" s="3"/>
      <c r="U458" s="3"/>
      <c r="V458" s="3"/>
      <c r="W458" s="3"/>
      <c r="X458" s="3"/>
      <c r="Y458" s="3"/>
      <c r="Z458" s="3"/>
    </row>
    <row r="459" ht="15.75" customHeight="1">
      <c r="A459" s="3"/>
      <c r="B459" s="2"/>
      <c r="C459" s="2"/>
      <c r="D459" s="2"/>
      <c r="E459" s="464"/>
      <c r="F459" s="2"/>
      <c r="G459" s="2"/>
      <c r="H459" s="2"/>
      <c r="I459" s="2"/>
      <c r="J459" s="2"/>
      <c r="K459" s="2"/>
      <c r="L459" s="2"/>
      <c r="M459" s="2"/>
      <c r="N459" s="2"/>
      <c r="O459" s="2"/>
      <c r="P459" s="2"/>
      <c r="Q459" s="2"/>
      <c r="S459" s="3"/>
      <c r="T459" s="3"/>
      <c r="U459" s="3"/>
      <c r="V459" s="3"/>
      <c r="W459" s="3"/>
      <c r="X459" s="3"/>
      <c r="Y459" s="3"/>
      <c r="Z459" s="3"/>
    </row>
    <row r="460" ht="15.75" customHeight="1">
      <c r="A460" s="3"/>
      <c r="B460" s="2"/>
      <c r="C460" s="2"/>
      <c r="D460" s="2"/>
      <c r="E460" s="464"/>
      <c r="F460" s="2"/>
      <c r="G460" s="2"/>
      <c r="H460" s="2"/>
      <c r="I460" s="2"/>
      <c r="J460" s="2"/>
      <c r="K460" s="2"/>
      <c r="L460" s="2"/>
      <c r="M460" s="2"/>
      <c r="N460" s="2"/>
      <c r="O460" s="2"/>
      <c r="P460" s="2"/>
      <c r="Q460" s="2"/>
      <c r="S460" s="3"/>
      <c r="T460" s="3"/>
      <c r="U460" s="3"/>
      <c r="V460" s="3"/>
      <c r="W460" s="3"/>
      <c r="X460" s="3"/>
      <c r="Y460" s="3"/>
      <c r="Z460" s="3"/>
    </row>
    <row r="461" ht="15.75" customHeight="1">
      <c r="A461" s="3"/>
      <c r="B461" s="2"/>
      <c r="C461" s="2"/>
      <c r="D461" s="2"/>
      <c r="E461" s="464"/>
      <c r="F461" s="2"/>
      <c r="G461" s="2"/>
      <c r="H461" s="2"/>
      <c r="I461" s="2"/>
      <c r="J461" s="2"/>
      <c r="K461" s="2"/>
      <c r="L461" s="2"/>
      <c r="M461" s="2"/>
      <c r="N461" s="2"/>
      <c r="O461" s="2"/>
      <c r="P461" s="2"/>
      <c r="Q461" s="2"/>
      <c r="S461" s="3"/>
      <c r="T461" s="3"/>
      <c r="U461" s="3"/>
      <c r="V461" s="3"/>
      <c r="W461" s="3"/>
      <c r="X461" s="3"/>
      <c r="Y461" s="3"/>
      <c r="Z461" s="3"/>
    </row>
    <row r="462" ht="15.75" customHeight="1">
      <c r="A462" s="3"/>
      <c r="B462" s="2"/>
      <c r="C462" s="2"/>
      <c r="D462" s="2"/>
      <c r="E462" s="464"/>
      <c r="F462" s="2"/>
      <c r="G462" s="2"/>
      <c r="H462" s="2"/>
      <c r="I462" s="2"/>
      <c r="J462" s="2"/>
      <c r="K462" s="2"/>
      <c r="L462" s="2"/>
      <c r="M462" s="2"/>
      <c r="N462" s="2"/>
      <c r="O462" s="2"/>
      <c r="P462" s="2"/>
      <c r="Q462" s="2"/>
      <c r="S462" s="3"/>
      <c r="T462" s="3"/>
      <c r="U462" s="3"/>
      <c r="V462" s="3"/>
      <c r="W462" s="3"/>
      <c r="X462" s="3"/>
      <c r="Y462" s="3"/>
      <c r="Z462" s="3"/>
    </row>
    <row r="463" ht="15.75" customHeight="1">
      <c r="A463" s="3"/>
      <c r="B463" s="2"/>
      <c r="C463" s="2"/>
      <c r="D463" s="2"/>
      <c r="E463" s="464"/>
      <c r="F463" s="2"/>
      <c r="G463" s="2"/>
      <c r="H463" s="2"/>
      <c r="I463" s="2"/>
      <c r="J463" s="2"/>
      <c r="K463" s="2"/>
      <c r="L463" s="2"/>
      <c r="M463" s="2"/>
      <c r="N463" s="2"/>
      <c r="O463" s="2"/>
      <c r="P463" s="2"/>
      <c r="Q463" s="2"/>
      <c r="S463" s="3"/>
      <c r="T463" s="3"/>
      <c r="U463" s="3"/>
      <c r="V463" s="3"/>
      <c r="W463" s="3"/>
      <c r="X463" s="3"/>
      <c r="Y463" s="3"/>
      <c r="Z463" s="3"/>
    </row>
    <row r="464" ht="15.75" customHeight="1">
      <c r="A464" s="3"/>
      <c r="B464" s="2"/>
      <c r="C464" s="2"/>
      <c r="D464" s="2"/>
      <c r="E464" s="464"/>
      <c r="F464" s="2"/>
      <c r="G464" s="2"/>
      <c r="H464" s="2"/>
      <c r="I464" s="2"/>
      <c r="J464" s="2"/>
      <c r="K464" s="2"/>
      <c r="L464" s="2"/>
      <c r="M464" s="2"/>
      <c r="N464" s="2"/>
      <c r="O464" s="2"/>
      <c r="P464" s="2"/>
      <c r="Q464" s="2"/>
      <c r="S464" s="3"/>
      <c r="T464" s="3"/>
      <c r="U464" s="3"/>
      <c r="V464" s="3"/>
      <c r="W464" s="3"/>
      <c r="X464" s="3"/>
      <c r="Y464" s="3"/>
      <c r="Z464" s="3"/>
    </row>
    <row r="465" ht="15.75" customHeight="1">
      <c r="A465" s="3"/>
      <c r="B465" s="2"/>
      <c r="C465" s="2"/>
      <c r="D465" s="2"/>
      <c r="E465" s="464"/>
      <c r="F465" s="2"/>
      <c r="G465" s="2"/>
      <c r="H465" s="2"/>
      <c r="I465" s="2"/>
      <c r="J465" s="2"/>
      <c r="K465" s="2"/>
      <c r="L465" s="2"/>
      <c r="M465" s="2"/>
      <c r="N465" s="2"/>
      <c r="O465" s="2"/>
      <c r="P465" s="2"/>
      <c r="Q465" s="2"/>
      <c r="S465" s="3"/>
      <c r="T465" s="3"/>
      <c r="U465" s="3"/>
      <c r="V465" s="3"/>
      <c r="W465" s="3"/>
      <c r="X465" s="3"/>
      <c r="Y465" s="3"/>
      <c r="Z465" s="3"/>
    </row>
    <row r="466" ht="15.75" customHeight="1">
      <c r="A466" s="3"/>
      <c r="B466" s="2"/>
      <c r="C466" s="2"/>
      <c r="D466" s="2"/>
      <c r="E466" s="464"/>
      <c r="F466" s="2"/>
      <c r="G466" s="2"/>
      <c r="H466" s="2"/>
      <c r="I466" s="2"/>
      <c r="J466" s="2"/>
      <c r="K466" s="2"/>
      <c r="L466" s="2"/>
      <c r="M466" s="2"/>
      <c r="N466" s="2"/>
      <c r="O466" s="2"/>
      <c r="P466" s="2"/>
      <c r="Q466" s="2"/>
      <c r="S466" s="3"/>
      <c r="T466" s="3"/>
      <c r="U466" s="3"/>
      <c r="V466" s="3"/>
      <c r="W466" s="3"/>
      <c r="X466" s="3"/>
      <c r="Y466" s="3"/>
      <c r="Z466" s="3"/>
    </row>
    <row r="467" ht="15.75" customHeight="1">
      <c r="A467" s="3"/>
      <c r="B467" s="2"/>
      <c r="C467" s="2"/>
      <c r="D467" s="2"/>
      <c r="E467" s="464"/>
      <c r="F467" s="2"/>
      <c r="G467" s="2"/>
      <c r="H467" s="2"/>
      <c r="I467" s="2"/>
      <c r="J467" s="2"/>
      <c r="K467" s="2"/>
      <c r="L467" s="2"/>
      <c r="M467" s="2"/>
      <c r="N467" s="2"/>
      <c r="O467" s="2"/>
      <c r="P467" s="2"/>
      <c r="Q467" s="2"/>
      <c r="S467" s="3"/>
      <c r="T467" s="3"/>
      <c r="U467" s="3"/>
      <c r="V467" s="3"/>
      <c r="W467" s="3"/>
      <c r="X467" s="3"/>
      <c r="Y467" s="3"/>
      <c r="Z467" s="3"/>
    </row>
    <row r="468" ht="15.75" customHeight="1">
      <c r="A468" s="3"/>
      <c r="B468" s="2"/>
      <c r="C468" s="2"/>
      <c r="D468" s="2"/>
      <c r="E468" s="464"/>
      <c r="F468" s="2"/>
      <c r="G468" s="2"/>
      <c r="H468" s="2"/>
      <c r="I468" s="2"/>
      <c r="J468" s="2"/>
      <c r="K468" s="2"/>
      <c r="L468" s="2"/>
      <c r="M468" s="2"/>
      <c r="N468" s="2"/>
      <c r="O468" s="2"/>
      <c r="P468" s="2"/>
      <c r="Q468" s="2"/>
      <c r="S468" s="3"/>
      <c r="T468" s="3"/>
      <c r="U468" s="3"/>
      <c r="V468" s="3"/>
      <c r="W468" s="3"/>
      <c r="X468" s="3"/>
      <c r="Y468" s="3"/>
      <c r="Z468" s="3"/>
    </row>
    <row r="469" ht="15.75" customHeight="1">
      <c r="A469" s="3"/>
      <c r="B469" s="2"/>
      <c r="C469" s="2"/>
      <c r="D469" s="2"/>
      <c r="E469" s="464"/>
      <c r="F469" s="2"/>
      <c r="G469" s="2"/>
      <c r="H469" s="2"/>
      <c r="I469" s="2"/>
      <c r="J469" s="2"/>
      <c r="K469" s="2"/>
      <c r="L469" s="2"/>
      <c r="M469" s="2"/>
      <c r="N469" s="2"/>
      <c r="O469" s="2"/>
      <c r="P469" s="2"/>
      <c r="Q469" s="2"/>
      <c r="S469" s="3"/>
      <c r="T469" s="3"/>
      <c r="U469" s="3"/>
      <c r="V469" s="3"/>
      <c r="W469" s="3"/>
      <c r="X469" s="3"/>
      <c r="Y469" s="3"/>
      <c r="Z469" s="3"/>
    </row>
    <row r="470" ht="15.75" customHeight="1">
      <c r="A470" s="3"/>
      <c r="B470" s="2"/>
      <c r="C470" s="2"/>
      <c r="D470" s="2"/>
      <c r="E470" s="464"/>
      <c r="F470" s="2"/>
      <c r="G470" s="2"/>
      <c r="H470" s="2"/>
      <c r="I470" s="2"/>
      <c r="J470" s="2"/>
      <c r="K470" s="2"/>
      <c r="L470" s="2"/>
      <c r="M470" s="2"/>
      <c r="N470" s="2"/>
      <c r="O470" s="2"/>
      <c r="P470" s="2"/>
      <c r="Q470" s="2"/>
      <c r="S470" s="3"/>
      <c r="T470" s="3"/>
      <c r="U470" s="3"/>
      <c r="V470" s="3"/>
      <c r="W470" s="3"/>
      <c r="X470" s="3"/>
      <c r="Y470" s="3"/>
      <c r="Z470" s="3"/>
    </row>
    <row r="471" ht="15.75" customHeight="1">
      <c r="A471" s="3"/>
      <c r="B471" s="2"/>
      <c r="C471" s="2"/>
      <c r="D471" s="2"/>
      <c r="E471" s="464"/>
      <c r="F471" s="2"/>
      <c r="G471" s="2"/>
      <c r="H471" s="2"/>
      <c r="I471" s="2"/>
      <c r="J471" s="2"/>
      <c r="K471" s="2"/>
      <c r="L471" s="2"/>
      <c r="M471" s="2"/>
      <c r="N471" s="2"/>
      <c r="O471" s="2"/>
      <c r="P471" s="2"/>
      <c r="Q471" s="2"/>
      <c r="S471" s="3"/>
      <c r="T471" s="3"/>
      <c r="U471" s="3"/>
      <c r="V471" s="3"/>
      <c r="W471" s="3"/>
      <c r="X471" s="3"/>
      <c r="Y471" s="3"/>
      <c r="Z471" s="3"/>
    </row>
    <row r="472" ht="15.75" customHeight="1">
      <c r="A472" s="3"/>
      <c r="B472" s="2"/>
      <c r="C472" s="2"/>
      <c r="D472" s="2"/>
      <c r="E472" s="464"/>
      <c r="F472" s="2"/>
      <c r="G472" s="2"/>
      <c r="H472" s="2"/>
      <c r="I472" s="2"/>
      <c r="J472" s="2"/>
      <c r="K472" s="2"/>
      <c r="L472" s="2"/>
      <c r="M472" s="2"/>
      <c r="N472" s="2"/>
      <c r="O472" s="2"/>
      <c r="P472" s="2"/>
      <c r="Q472" s="2"/>
      <c r="S472" s="3"/>
      <c r="T472" s="3"/>
      <c r="U472" s="3"/>
      <c r="V472" s="3"/>
      <c r="W472" s="3"/>
      <c r="X472" s="3"/>
      <c r="Y472" s="3"/>
      <c r="Z472" s="3"/>
    </row>
    <row r="473" ht="15.75" customHeight="1">
      <c r="A473" s="3"/>
      <c r="B473" s="2"/>
      <c r="C473" s="2"/>
      <c r="D473" s="2"/>
      <c r="E473" s="464"/>
      <c r="F473" s="2"/>
      <c r="G473" s="2"/>
      <c r="H473" s="2"/>
      <c r="I473" s="2"/>
      <c r="J473" s="2"/>
      <c r="K473" s="2"/>
      <c r="L473" s="2"/>
      <c r="M473" s="2"/>
      <c r="N473" s="2"/>
      <c r="O473" s="2"/>
      <c r="P473" s="2"/>
      <c r="Q473" s="2"/>
      <c r="S473" s="3"/>
      <c r="T473" s="3"/>
      <c r="U473" s="3"/>
      <c r="V473" s="3"/>
      <c r="W473" s="3"/>
      <c r="X473" s="3"/>
      <c r="Y473" s="3"/>
      <c r="Z473" s="3"/>
    </row>
    <row r="474" ht="15.75" customHeight="1">
      <c r="A474" s="3"/>
      <c r="B474" s="2"/>
      <c r="C474" s="2"/>
      <c r="D474" s="2"/>
      <c r="E474" s="464"/>
      <c r="F474" s="2"/>
      <c r="G474" s="2"/>
      <c r="H474" s="2"/>
      <c r="I474" s="2"/>
      <c r="J474" s="2"/>
      <c r="K474" s="2"/>
      <c r="L474" s="2"/>
      <c r="M474" s="2"/>
      <c r="N474" s="2"/>
      <c r="O474" s="2"/>
      <c r="P474" s="2"/>
      <c r="Q474" s="2"/>
      <c r="S474" s="3"/>
      <c r="T474" s="3"/>
      <c r="U474" s="3"/>
      <c r="V474" s="3"/>
      <c r="W474" s="3"/>
      <c r="X474" s="3"/>
      <c r="Y474" s="3"/>
      <c r="Z474" s="3"/>
    </row>
    <row r="475" ht="15.75" customHeight="1">
      <c r="A475" s="3"/>
      <c r="B475" s="2"/>
      <c r="C475" s="2"/>
      <c r="D475" s="2"/>
      <c r="E475" s="464"/>
      <c r="F475" s="2"/>
      <c r="G475" s="2"/>
      <c r="H475" s="2"/>
      <c r="I475" s="2"/>
      <c r="J475" s="2"/>
      <c r="K475" s="2"/>
      <c r="L475" s="2"/>
      <c r="M475" s="2"/>
      <c r="N475" s="2"/>
      <c r="O475" s="2"/>
      <c r="P475" s="2"/>
      <c r="Q475" s="2"/>
      <c r="S475" s="3"/>
      <c r="T475" s="3"/>
      <c r="U475" s="3"/>
      <c r="V475" s="3"/>
      <c r="W475" s="3"/>
      <c r="X475" s="3"/>
      <c r="Y475" s="3"/>
      <c r="Z475" s="3"/>
    </row>
    <row r="476" ht="15.75" customHeight="1">
      <c r="A476" s="3"/>
      <c r="B476" s="2"/>
      <c r="C476" s="2"/>
      <c r="D476" s="2"/>
      <c r="E476" s="464"/>
      <c r="F476" s="2"/>
      <c r="G476" s="2"/>
      <c r="H476" s="2"/>
      <c r="I476" s="2"/>
      <c r="J476" s="2"/>
      <c r="K476" s="2"/>
      <c r="L476" s="2"/>
      <c r="M476" s="2"/>
      <c r="N476" s="2"/>
      <c r="O476" s="2"/>
      <c r="P476" s="2"/>
      <c r="Q476" s="2"/>
      <c r="S476" s="3"/>
      <c r="T476" s="3"/>
      <c r="U476" s="3"/>
      <c r="V476" s="3"/>
      <c r="W476" s="3"/>
      <c r="X476" s="3"/>
      <c r="Y476" s="3"/>
      <c r="Z476" s="3"/>
    </row>
    <row r="477" ht="15.75" customHeight="1">
      <c r="A477" s="3"/>
      <c r="B477" s="2"/>
      <c r="C477" s="2"/>
      <c r="D477" s="2"/>
      <c r="E477" s="464"/>
      <c r="F477" s="2"/>
      <c r="G477" s="2"/>
      <c r="H477" s="2"/>
      <c r="I477" s="2"/>
      <c r="J477" s="2"/>
      <c r="K477" s="2"/>
      <c r="L477" s="2"/>
      <c r="M477" s="2"/>
      <c r="N477" s="2"/>
      <c r="O477" s="2"/>
      <c r="P477" s="2"/>
      <c r="Q477" s="2"/>
      <c r="S477" s="3"/>
      <c r="T477" s="3"/>
      <c r="U477" s="3"/>
      <c r="V477" s="3"/>
      <c r="W477" s="3"/>
      <c r="X477" s="3"/>
      <c r="Y477" s="3"/>
      <c r="Z477" s="3"/>
    </row>
    <row r="478" ht="15.75" customHeight="1">
      <c r="A478" s="3"/>
      <c r="B478" s="2"/>
      <c r="C478" s="2"/>
      <c r="D478" s="2"/>
      <c r="E478" s="464"/>
      <c r="F478" s="2"/>
      <c r="G478" s="2"/>
      <c r="H478" s="2"/>
      <c r="I478" s="2"/>
      <c r="J478" s="2"/>
      <c r="K478" s="2"/>
      <c r="L478" s="2"/>
      <c r="M478" s="2"/>
      <c r="N478" s="2"/>
      <c r="O478" s="2"/>
      <c r="P478" s="2"/>
      <c r="Q478" s="2"/>
      <c r="S478" s="3"/>
      <c r="T478" s="3"/>
      <c r="U478" s="3"/>
      <c r="V478" s="3"/>
      <c r="W478" s="3"/>
      <c r="X478" s="3"/>
      <c r="Y478" s="3"/>
      <c r="Z478" s="3"/>
    </row>
    <row r="479" ht="15.75" customHeight="1">
      <c r="A479" s="3"/>
      <c r="B479" s="2"/>
      <c r="C479" s="2"/>
      <c r="D479" s="2"/>
      <c r="E479" s="464"/>
      <c r="F479" s="2"/>
      <c r="G479" s="2"/>
      <c r="H479" s="2"/>
      <c r="I479" s="2"/>
      <c r="J479" s="2"/>
      <c r="K479" s="2"/>
      <c r="L479" s="2"/>
      <c r="M479" s="2"/>
      <c r="N479" s="2"/>
      <c r="O479" s="2"/>
      <c r="P479" s="2"/>
      <c r="Q479" s="2"/>
      <c r="S479" s="3"/>
      <c r="T479" s="3"/>
      <c r="U479" s="3"/>
      <c r="V479" s="3"/>
      <c r="W479" s="3"/>
      <c r="X479" s="3"/>
      <c r="Y479" s="3"/>
      <c r="Z479" s="3"/>
    </row>
    <row r="480" ht="15.75" customHeight="1">
      <c r="A480" s="3"/>
      <c r="B480" s="2"/>
      <c r="C480" s="2"/>
      <c r="D480" s="2"/>
      <c r="E480" s="464"/>
      <c r="F480" s="2"/>
      <c r="G480" s="2"/>
      <c r="H480" s="2"/>
      <c r="I480" s="2"/>
      <c r="J480" s="2"/>
      <c r="K480" s="2"/>
      <c r="L480" s="2"/>
      <c r="M480" s="2"/>
      <c r="N480" s="2"/>
      <c r="O480" s="2"/>
      <c r="P480" s="2"/>
      <c r="Q480" s="2"/>
      <c r="S480" s="3"/>
      <c r="T480" s="3"/>
      <c r="U480" s="3"/>
      <c r="V480" s="3"/>
      <c r="W480" s="3"/>
      <c r="X480" s="3"/>
      <c r="Y480" s="3"/>
      <c r="Z480" s="3"/>
    </row>
    <row r="481" ht="15.75" customHeight="1">
      <c r="A481" s="3"/>
      <c r="B481" s="2"/>
      <c r="C481" s="2"/>
      <c r="D481" s="2"/>
      <c r="E481" s="464"/>
      <c r="F481" s="2"/>
      <c r="G481" s="2"/>
      <c r="H481" s="2"/>
      <c r="I481" s="2"/>
      <c r="J481" s="2"/>
      <c r="K481" s="2"/>
      <c r="L481" s="2"/>
      <c r="M481" s="2"/>
      <c r="N481" s="2"/>
      <c r="O481" s="2"/>
      <c r="P481" s="2"/>
      <c r="Q481" s="2"/>
      <c r="S481" s="3"/>
      <c r="T481" s="3"/>
      <c r="U481" s="3"/>
      <c r="V481" s="3"/>
      <c r="W481" s="3"/>
      <c r="X481" s="3"/>
      <c r="Y481" s="3"/>
      <c r="Z481" s="3"/>
    </row>
    <row r="482" ht="15.75" customHeight="1">
      <c r="A482" s="3"/>
      <c r="B482" s="2"/>
      <c r="C482" s="2"/>
      <c r="D482" s="2"/>
      <c r="E482" s="464"/>
      <c r="F482" s="2"/>
      <c r="G482" s="2"/>
      <c r="H482" s="2"/>
      <c r="I482" s="2"/>
      <c r="J482" s="2"/>
      <c r="K482" s="2"/>
      <c r="L482" s="2"/>
      <c r="M482" s="2"/>
      <c r="N482" s="2"/>
      <c r="O482" s="2"/>
      <c r="P482" s="2"/>
      <c r="Q482" s="2"/>
      <c r="S482" s="3"/>
      <c r="T482" s="3"/>
      <c r="U482" s="3"/>
      <c r="V482" s="3"/>
      <c r="W482" s="3"/>
      <c r="X482" s="3"/>
      <c r="Y482" s="3"/>
      <c r="Z482" s="3"/>
    </row>
    <row r="483" ht="15.75" customHeight="1">
      <c r="A483" s="3"/>
      <c r="B483" s="2"/>
      <c r="C483" s="2"/>
      <c r="D483" s="2"/>
      <c r="E483" s="464"/>
      <c r="F483" s="2"/>
      <c r="G483" s="2"/>
      <c r="H483" s="2"/>
      <c r="I483" s="2"/>
      <c r="J483" s="2"/>
      <c r="K483" s="2"/>
      <c r="L483" s="2"/>
      <c r="M483" s="2"/>
      <c r="N483" s="2"/>
      <c r="O483" s="2"/>
      <c r="P483" s="2"/>
      <c r="Q483" s="2"/>
      <c r="S483" s="3"/>
      <c r="T483" s="3"/>
      <c r="U483" s="3"/>
      <c r="V483" s="3"/>
      <c r="W483" s="3"/>
      <c r="X483" s="3"/>
      <c r="Y483" s="3"/>
      <c r="Z483" s="3"/>
    </row>
    <row r="484" ht="15.75" customHeight="1">
      <c r="A484" s="3"/>
      <c r="B484" s="2"/>
      <c r="C484" s="2"/>
      <c r="D484" s="2"/>
      <c r="E484" s="464"/>
      <c r="F484" s="2"/>
      <c r="G484" s="2"/>
      <c r="H484" s="2"/>
      <c r="I484" s="2"/>
      <c r="J484" s="2"/>
      <c r="K484" s="2"/>
      <c r="L484" s="2"/>
      <c r="M484" s="2"/>
      <c r="N484" s="2"/>
      <c r="O484" s="2"/>
      <c r="P484" s="2"/>
      <c r="Q484" s="2"/>
      <c r="S484" s="3"/>
      <c r="T484" s="3"/>
      <c r="U484" s="3"/>
      <c r="V484" s="3"/>
      <c r="W484" s="3"/>
      <c r="X484" s="3"/>
      <c r="Y484" s="3"/>
      <c r="Z484" s="3"/>
    </row>
    <row r="485" ht="15.75" customHeight="1">
      <c r="A485" s="3"/>
      <c r="B485" s="2"/>
      <c r="C485" s="2"/>
      <c r="D485" s="2"/>
      <c r="E485" s="464"/>
      <c r="F485" s="2"/>
      <c r="G485" s="2"/>
      <c r="H485" s="2"/>
      <c r="I485" s="2"/>
      <c r="J485" s="2"/>
      <c r="K485" s="2"/>
      <c r="L485" s="2"/>
      <c r="M485" s="2"/>
      <c r="N485" s="2"/>
      <c r="O485" s="2"/>
      <c r="P485" s="2"/>
      <c r="Q485" s="2"/>
      <c r="S485" s="3"/>
      <c r="T485" s="3"/>
      <c r="U485" s="3"/>
      <c r="V485" s="3"/>
      <c r="W485" s="3"/>
      <c r="X485" s="3"/>
      <c r="Y485" s="3"/>
      <c r="Z485" s="3"/>
    </row>
    <row r="486" ht="15.75" customHeight="1">
      <c r="A486" s="3"/>
      <c r="B486" s="2"/>
      <c r="C486" s="2"/>
      <c r="D486" s="2"/>
      <c r="E486" s="464"/>
      <c r="F486" s="2"/>
      <c r="G486" s="2"/>
      <c r="H486" s="2"/>
      <c r="I486" s="2"/>
      <c r="J486" s="2"/>
      <c r="K486" s="2"/>
      <c r="L486" s="2"/>
      <c r="M486" s="2"/>
      <c r="N486" s="2"/>
      <c r="O486" s="2"/>
      <c r="P486" s="2"/>
      <c r="Q486" s="2"/>
      <c r="S486" s="3"/>
      <c r="T486" s="3"/>
      <c r="U486" s="3"/>
      <c r="V486" s="3"/>
      <c r="W486" s="3"/>
      <c r="X486" s="3"/>
      <c r="Y486" s="3"/>
      <c r="Z486" s="3"/>
    </row>
    <row r="487" ht="15.75" customHeight="1">
      <c r="A487" s="3"/>
      <c r="B487" s="2"/>
      <c r="C487" s="2"/>
      <c r="D487" s="2"/>
      <c r="E487" s="464"/>
      <c r="F487" s="2"/>
      <c r="G487" s="2"/>
      <c r="H487" s="2"/>
      <c r="I487" s="2"/>
      <c r="J487" s="2"/>
      <c r="K487" s="2"/>
      <c r="L487" s="2"/>
      <c r="M487" s="2"/>
      <c r="N487" s="2"/>
      <c r="O487" s="2"/>
      <c r="P487" s="2"/>
      <c r="Q487" s="2"/>
      <c r="S487" s="3"/>
      <c r="T487" s="3"/>
      <c r="U487" s="3"/>
      <c r="V487" s="3"/>
      <c r="W487" s="3"/>
      <c r="X487" s="3"/>
      <c r="Y487" s="3"/>
      <c r="Z487" s="3"/>
    </row>
    <row r="488" ht="15.75" customHeight="1">
      <c r="A488" s="3"/>
      <c r="B488" s="2"/>
      <c r="C488" s="2"/>
      <c r="D488" s="2"/>
      <c r="E488" s="464"/>
      <c r="F488" s="2"/>
      <c r="G488" s="2"/>
      <c r="H488" s="2"/>
      <c r="I488" s="2"/>
      <c r="J488" s="2"/>
      <c r="K488" s="2"/>
      <c r="L488" s="2"/>
      <c r="M488" s="2"/>
      <c r="N488" s="2"/>
      <c r="O488" s="2"/>
      <c r="P488" s="2"/>
      <c r="Q488" s="2"/>
      <c r="S488" s="3"/>
      <c r="T488" s="3"/>
      <c r="U488" s="3"/>
      <c r="V488" s="3"/>
      <c r="W488" s="3"/>
      <c r="X488" s="3"/>
      <c r="Y488" s="3"/>
      <c r="Z488" s="3"/>
    </row>
    <row r="489" ht="15.75" customHeight="1">
      <c r="A489" s="3"/>
      <c r="B489" s="2"/>
      <c r="C489" s="2"/>
      <c r="D489" s="2"/>
      <c r="E489" s="464"/>
      <c r="F489" s="2"/>
      <c r="G489" s="2"/>
      <c r="H489" s="2"/>
      <c r="I489" s="2"/>
      <c r="J489" s="2"/>
      <c r="K489" s="2"/>
      <c r="L489" s="2"/>
      <c r="M489" s="2"/>
      <c r="N489" s="2"/>
      <c r="O489" s="2"/>
      <c r="P489" s="2"/>
      <c r="Q489" s="2"/>
      <c r="S489" s="3"/>
      <c r="T489" s="3"/>
      <c r="U489" s="3"/>
      <c r="V489" s="3"/>
      <c r="W489" s="3"/>
      <c r="X489" s="3"/>
      <c r="Y489" s="3"/>
      <c r="Z489" s="3"/>
    </row>
    <row r="490" ht="15.75" customHeight="1">
      <c r="A490" s="3"/>
      <c r="B490" s="2"/>
      <c r="C490" s="2"/>
      <c r="D490" s="2"/>
      <c r="E490" s="464"/>
      <c r="F490" s="2"/>
      <c r="G490" s="2"/>
      <c r="H490" s="2"/>
      <c r="I490" s="2"/>
      <c r="J490" s="2"/>
      <c r="K490" s="2"/>
      <c r="L490" s="2"/>
      <c r="M490" s="2"/>
      <c r="N490" s="2"/>
      <c r="O490" s="2"/>
      <c r="P490" s="2"/>
      <c r="Q490" s="2"/>
      <c r="S490" s="3"/>
      <c r="T490" s="3"/>
      <c r="U490" s="3"/>
      <c r="V490" s="3"/>
      <c r="W490" s="3"/>
      <c r="X490" s="3"/>
      <c r="Y490" s="3"/>
      <c r="Z490" s="3"/>
    </row>
    <row r="491" ht="15.75" customHeight="1">
      <c r="A491" s="3"/>
      <c r="B491" s="2"/>
      <c r="C491" s="2"/>
      <c r="D491" s="2"/>
      <c r="E491" s="464"/>
      <c r="F491" s="2"/>
      <c r="G491" s="2"/>
      <c r="H491" s="2"/>
      <c r="I491" s="2"/>
      <c r="J491" s="2"/>
      <c r="K491" s="2"/>
      <c r="L491" s="2"/>
      <c r="M491" s="2"/>
      <c r="N491" s="2"/>
      <c r="O491" s="2"/>
      <c r="P491" s="2"/>
      <c r="Q491" s="2"/>
      <c r="S491" s="3"/>
      <c r="T491" s="3"/>
      <c r="U491" s="3"/>
      <c r="V491" s="3"/>
      <c r="W491" s="3"/>
      <c r="X491" s="3"/>
      <c r="Y491" s="3"/>
      <c r="Z491" s="3"/>
    </row>
    <row r="492" ht="15.75" customHeight="1">
      <c r="A492" s="3"/>
      <c r="B492" s="2"/>
      <c r="C492" s="2"/>
      <c r="D492" s="2"/>
      <c r="E492" s="464"/>
      <c r="F492" s="2"/>
      <c r="G492" s="2"/>
      <c r="H492" s="2"/>
      <c r="I492" s="2"/>
      <c r="J492" s="2"/>
      <c r="K492" s="2"/>
      <c r="L492" s="2"/>
      <c r="M492" s="2"/>
      <c r="N492" s="2"/>
      <c r="O492" s="2"/>
      <c r="P492" s="2"/>
      <c r="Q492" s="2"/>
      <c r="S492" s="3"/>
      <c r="T492" s="3"/>
      <c r="U492" s="3"/>
      <c r="V492" s="3"/>
      <c r="W492" s="3"/>
      <c r="X492" s="3"/>
      <c r="Y492" s="3"/>
      <c r="Z492" s="3"/>
    </row>
    <row r="493" ht="15.75" customHeight="1">
      <c r="A493" s="3"/>
      <c r="B493" s="2"/>
      <c r="C493" s="2"/>
      <c r="D493" s="2"/>
      <c r="E493" s="464"/>
      <c r="F493" s="2"/>
      <c r="G493" s="2"/>
      <c r="H493" s="2"/>
      <c r="I493" s="2"/>
      <c r="J493" s="2"/>
      <c r="K493" s="2"/>
      <c r="L493" s="2"/>
      <c r="M493" s="2"/>
      <c r="N493" s="2"/>
      <c r="O493" s="2"/>
      <c r="P493" s="2"/>
      <c r="Q493" s="2"/>
      <c r="S493" s="3"/>
      <c r="T493" s="3"/>
      <c r="U493" s="3"/>
      <c r="V493" s="3"/>
      <c r="W493" s="3"/>
      <c r="X493" s="3"/>
      <c r="Y493" s="3"/>
      <c r="Z493" s="3"/>
    </row>
    <row r="494" ht="15.75" customHeight="1">
      <c r="A494" s="3"/>
      <c r="B494" s="2"/>
      <c r="C494" s="2"/>
      <c r="D494" s="2"/>
      <c r="E494" s="464"/>
      <c r="F494" s="2"/>
      <c r="G494" s="2"/>
      <c r="H494" s="2"/>
      <c r="I494" s="2"/>
      <c r="J494" s="2"/>
      <c r="K494" s="2"/>
      <c r="L494" s="2"/>
      <c r="M494" s="2"/>
      <c r="N494" s="2"/>
      <c r="O494" s="2"/>
      <c r="P494" s="2"/>
      <c r="Q494" s="2"/>
      <c r="S494" s="3"/>
      <c r="T494" s="3"/>
      <c r="U494" s="3"/>
      <c r="V494" s="3"/>
      <c r="W494" s="3"/>
      <c r="X494" s="3"/>
      <c r="Y494" s="3"/>
      <c r="Z494" s="3"/>
    </row>
    <row r="495" ht="15.75" customHeight="1">
      <c r="A495" s="3"/>
      <c r="B495" s="2"/>
      <c r="C495" s="2"/>
      <c r="D495" s="2"/>
      <c r="E495" s="464"/>
      <c r="F495" s="2"/>
      <c r="G495" s="2"/>
      <c r="H495" s="2"/>
      <c r="I495" s="2"/>
      <c r="J495" s="2"/>
      <c r="K495" s="2"/>
      <c r="L495" s="2"/>
      <c r="M495" s="2"/>
      <c r="N495" s="2"/>
      <c r="O495" s="2"/>
      <c r="P495" s="2"/>
      <c r="Q495" s="2"/>
      <c r="S495" s="3"/>
      <c r="T495" s="3"/>
      <c r="U495" s="3"/>
      <c r="V495" s="3"/>
      <c r="W495" s="3"/>
      <c r="X495" s="3"/>
      <c r="Y495" s="3"/>
      <c r="Z495" s="3"/>
    </row>
    <row r="496" ht="15.75" customHeight="1">
      <c r="A496" s="3"/>
      <c r="B496" s="2"/>
      <c r="C496" s="2"/>
      <c r="D496" s="2"/>
      <c r="E496" s="464"/>
      <c r="F496" s="2"/>
      <c r="G496" s="2"/>
      <c r="H496" s="2"/>
      <c r="I496" s="2"/>
      <c r="J496" s="2"/>
      <c r="K496" s="2"/>
      <c r="L496" s="2"/>
      <c r="M496" s="2"/>
      <c r="N496" s="2"/>
      <c r="O496" s="2"/>
      <c r="P496" s="2"/>
      <c r="Q496" s="2"/>
      <c r="S496" s="3"/>
      <c r="T496" s="3"/>
      <c r="U496" s="3"/>
      <c r="V496" s="3"/>
      <c r="W496" s="3"/>
      <c r="X496" s="3"/>
      <c r="Y496" s="3"/>
      <c r="Z496" s="3"/>
    </row>
    <row r="497" ht="15.75" customHeight="1">
      <c r="A497" s="3"/>
      <c r="B497" s="2"/>
      <c r="C497" s="2"/>
      <c r="D497" s="2"/>
      <c r="E497" s="464"/>
      <c r="F497" s="2"/>
      <c r="G497" s="2"/>
      <c r="H497" s="2"/>
      <c r="I497" s="2"/>
      <c r="J497" s="2"/>
      <c r="K497" s="2"/>
      <c r="L497" s="2"/>
      <c r="M497" s="2"/>
      <c r="N497" s="2"/>
      <c r="O497" s="2"/>
      <c r="P497" s="2"/>
      <c r="Q497" s="2"/>
      <c r="S497" s="3"/>
      <c r="T497" s="3"/>
      <c r="U497" s="3"/>
      <c r="V497" s="3"/>
      <c r="W497" s="3"/>
      <c r="X497" s="3"/>
      <c r="Y497" s="3"/>
      <c r="Z497" s="3"/>
    </row>
    <row r="498" ht="15.75" customHeight="1">
      <c r="A498" s="3"/>
      <c r="B498" s="2"/>
      <c r="C498" s="2"/>
      <c r="D498" s="2"/>
      <c r="E498" s="464"/>
      <c r="F498" s="2"/>
      <c r="G498" s="2"/>
      <c r="H498" s="2"/>
      <c r="I498" s="2"/>
      <c r="J498" s="2"/>
      <c r="K498" s="2"/>
      <c r="L498" s="2"/>
      <c r="M498" s="2"/>
      <c r="N498" s="2"/>
      <c r="O498" s="2"/>
      <c r="P498" s="2"/>
      <c r="Q498" s="2"/>
      <c r="S498" s="3"/>
      <c r="T498" s="3"/>
      <c r="U498" s="3"/>
      <c r="V498" s="3"/>
      <c r="W498" s="3"/>
      <c r="X498" s="3"/>
      <c r="Y498" s="3"/>
      <c r="Z498" s="3"/>
    </row>
    <row r="499" ht="15.75" customHeight="1">
      <c r="A499" s="3"/>
      <c r="B499" s="2"/>
      <c r="C499" s="2"/>
      <c r="D499" s="2"/>
      <c r="E499" s="464"/>
      <c r="F499" s="2"/>
      <c r="G499" s="2"/>
      <c r="H499" s="2"/>
      <c r="I499" s="2"/>
      <c r="J499" s="2"/>
      <c r="K499" s="2"/>
      <c r="L499" s="2"/>
      <c r="M499" s="2"/>
      <c r="N499" s="2"/>
      <c r="O499" s="2"/>
      <c r="P499" s="2"/>
      <c r="Q499" s="2"/>
      <c r="S499" s="3"/>
      <c r="T499" s="3"/>
      <c r="U499" s="3"/>
      <c r="V499" s="3"/>
      <c r="W499" s="3"/>
      <c r="X499" s="3"/>
      <c r="Y499" s="3"/>
      <c r="Z499" s="3"/>
    </row>
    <row r="500" ht="15.75" customHeight="1">
      <c r="A500" s="3"/>
      <c r="B500" s="2"/>
      <c r="C500" s="2"/>
      <c r="D500" s="2"/>
      <c r="E500" s="464"/>
      <c r="F500" s="2"/>
      <c r="G500" s="2"/>
      <c r="H500" s="2"/>
      <c r="I500" s="2"/>
      <c r="J500" s="2"/>
      <c r="K500" s="2"/>
      <c r="L500" s="2"/>
      <c r="M500" s="2"/>
      <c r="N500" s="2"/>
      <c r="O500" s="2"/>
      <c r="P500" s="2"/>
      <c r="Q500" s="2"/>
      <c r="S500" s="3"/>
      <c r="T500" s="3"/>
      <c r="U500" s="3"/>
      <c r="V500" s="3"/>
      <c r="W500" s="3"/>
      <c r="X500" s="3"/>
      <c r="Y500" s="3"/>
      <c r="Z500" s="3"/>
    </row>
    <row r="501" ht="15.75" customHeight="1">
      <c r="A501" s="3"/>
      <c r="B501" s="2"/>
      <c r="C501" s="2"/>
      <c r="D501" s="2"/>
      <c r="E501" s="464"/>
      <c r="F501" s="2"/>
      <c r="G501" s="2"/>
      <c r="H501" s="2"/>
      <c r="I501" s="2"/>
      <c r="J501" s="2"/>
      <c r="K501" s="2"/>
      <c r="L501" s="2"/>
      <c r="M501" s="2"/>
      <c r="N501" s="2"/>
      <c r="O501" s="2"/>
      <c r="P501" s="2"/>
      <c r="Q501" s="2"/>
      <c r="S501" s="3"/>
      <c r="T501" s="3"/>
      <c r="U501" s="3"/>
      <c r="V501" s="3"/>
      <c r="W501" s="3"/>
      <c r="X501" s="3"/>
      <c r="Y501" s="3"/>
      <c r="Z501" s="3"/>
    </row>
    <row r="502" ht="15.75" customHeight="1">
      <c r="A502" s="3"/>
      <c r="B502" s="2"/>
      <c r="C502" s="2"/>
      <c r="D502" s="2"/>
      <c r="E502" s="464"/>
      <c r="F502" s="2"/>
      <c r="G502" s="2"/>
      <c r="H502" s="2"/>
      <c r="I502" s="2"/>
      <c r="J502" s="2"/>
      <c r="K502" s="2"/>
      <c r="L502" s="2"/>
      <c r="M502" s="2"/>
      <c r="N502" s="2"/>
      <c r="O502" s="2"/>
      <c r="P502" s="2"/>
      <c r="Q502" s="2"/>
      <c r="S502" s="3"/>
      <c r="T502" s="3"/>
      <c r="U502" s="3"/>
      <c r="V502" s="3"/>
      <c r="W502" s="3"/>
      <c r="X502" s="3"/>
      <c r="Y502" s="3"/>
      <c r="Z502" s="3"/>
    </row>
    <row r="503" ht="15.75" customHeight="1">
      <c r="A503" s="3"/>
      <c r="B503" s="2"/>
      <c r="C503" s="2"/>
      <c r="D503" s="2"/>
      <c r="E503" s="464"/>
      <c r="F503" s="2"/>
      <c r="G503" s="2"/>
      <c r="H503" s="2"/>
      <c r="I503" s="2"/>
      <c r="J503" s="2"/>
      <c r="K503" s="2"/>
      <c r="L503" s="2"/>
      <c r="M503" s="2"/>
      <c r="N503" s="2"/>
      <c r="O503" s="2"/>
      <c r="P503" s="2"/>
      <c r="Q503" s="2"/>
      <c r="S503" s="3"/>
      <c r="T503" s="3"/>
      <c r="U503" s="3"/>
      <c r="V503" s="3"/>
      <c r="W503" s="3"/>
      <c r="X503" s="3"/>
      <c r="Y503" s="3"/>
      <c r="Z503" s="3"/>
    </row>
    <row r="504" ht="15.75" customHeight="1">
      <c r="A504" s="3"/>
      <c r="B504" s="2"/>
      <c r="C504" s="2"/>
      <c r="D504" s="2"/>
      <c r="E504" s="464"/>
      <c r="F504" s="2"/>
      <c r="G504" s="2"/>
      <c r="H504" s="2"/>
      <c r="I504" s="2"/>
      <c r="J504" s="2"/>
      <c r="K504" s="2"/>
      <c r="L504" s="2"/>
      <c r="M504" s="2"/>
      <c r="N504" s="2"/>
      <c r="O504" s="2"/>
      <c r="P504" s="2"/>
      <c r="Q504" s="2"/>
      <c r="S504" s="3"/>
      <c r="T504" s="3"/>
      <c r="U504" s="3"/>
      <c r="V504" s="3"/>
      <c r="W504" s="3"/>
      <c r="X504" s="3"/>
      <c r="Y504" s="3"/>
      <c r="Z504" s="3"/>
    </row>
    <row r="505" ht="15.75" customHeight="1">
      <c r="A505" s="3"/>
      <c r="B505" s="2"/>
      <c r="C505" s="2"/>
      <c r="D505" s="2"/>
      <c r="E505" s="464"/>
      <c r="F505" s="2"/>
      <c r="G505" s="2"/>
      <c r="H505" s="2"/>
      <c r="I505" s="2"/>
      <c r="J505" s="2"/>
      <c r="K505" s="2"/>
      <c r="L505" s="2"/>
      <c r="M505" s="2"/>
      <c r="N505" s="2"/>
      <c r="O505" s="2"/>
      <c r="P505" s="2"/>
      <c r="Q505" s="2"/>
      <c r="S505" s="3"/>
      <c r="T505" s="3"/>
      <c r="U505" s="3"/>
      <c r="V505" s="3"/>
      <c r="W505" s="3"/>
      <c r="X505" s="3"/>
      <c r="Y505" s="3"/>
      <c r="Z505" s="3"/>
    </row>
    <row r="506" ht="15.75" customHeight="1">
      <c r="A506" s="3"/>
      <c r="B506" s="2"/>
      <c r="C506" s="2"/>
      <c r="D506" s="2"/>
      <c r="E506" s="464"/>
      <c r="F506" s="2"/>
      <c r="G506" s="2"/>
      <c r="H506" s="2"/>
      <c r="I506" s="2"/>
      <c r="J506" s="2"/>
      <c r="K506" s="2"/>
      <c r="L506" s="2"/>
      <c r="M506" s="2"/>
      <c r="N506" s="2"/>
      <c r="O506" s="2"/>
      <c r="P506" s="2"/>
      <c r="Q506" s="2"/>
      <c r="S506" s="3"/>
      <c r="T506" s="3"/>
      <c r="U506" s="3"/>
      <c r="V506" s="3"/>
      <c r="W506" s="3"/>
      <c r="X506" s="3"/>
      <c r="Y506" s="3"/>
      <c r="Z506" s="3"/>
    </row>
    <row r="507" ht="15.75" customHeight="1">
      <c r="A507" s="3"/>
      <c r="B507" s="2"/>
      <c r="C507" s="2"/>
      <c r="D507" s="2"/>
      <c r="E507" s="464"/>
      <c r="F507" s="2"/>
      <c r="G507" s="2"/>
      <c r="H507" s="2"/>
      <c r="I507" s="2"/>
      <c r="J507" s="2"/>
      <c r="K507" s="2"/>
      <c r="L507" s="2"/>
      <c r="M507" s="2"/>
      <c r="N507" s="2"/>
      <c r="O507" s="2"/>
      <c r="P507" s="2"/>
      <c r="Q507" s="2"/>
      <c r="S507" s="3"/>
      <c r="T507" s="3"/>
      <c r="U507" s="3"/>
      <c r="V507" s="3"/>
      <c r="W507" s="3"/>
      <c r="X507" s="3"/>
      <c r="Y507" s="3"/>
      <c r="Z507" s="3"/>
    </row>
    <row r="508" ht="15.75" customHeight="1">
      <c r="A508" s="3"/>
      <c r="B508" s="2"/>
      <c r="C508" s="2"/>
      <c r="D508" s="2"/>
      <c r="E508" s="464"/>
      <c r="F508" s="2"/>
      <c r="G508" s="2"/>
      <c r="H508" s="2"/>
      <c r="I508" s="2"/>
      <c r="J508" s="2"/>
      <c r="K508" s="2"/>
      <c r="L508" s="2"/>
      <c r="M508" s="2"/>
      <c r="N508" s="2"/>
      <c r="O508" s="2"/>
      <c r="P508" s="2"/>
      <c r="Q508" s="2"/>
      <c r="S508" s="3"/>
      <c r="T508" s="3"/>
      <c r="U508" s="3"/>
      <c r="V508" s="3"/>
      <c r="W508" s="3"/>
      <c r="X508" s="3"/>
      <c r="Y508" s="3"/>
      <c r="Z508" s="3"/>
    </row>
    <row r="509" ht="15.75" customHeight="1">
      <c r="A509" s="3"/>
      <c r="B509" s="2"/>
      <c r="C509" s="2"/>
      <c r="D509" s="2"/>
      <c r="E509" s="464"/>
      <c r="F509" s="2"/>
      <c r="G509" s="2"/>
      <c r="H509" s="2"/>
      <c r="I509" s="2"/>
      <c r="J509" s="2"/>
      <c r="K509" s="2"/>
      <c r="L509" s="2"/>
      <c r="M509" s="2"/>
      <c r="N509" s="2"/>
      <c r="O509" s="2"/>
      <c r="P509" s="2"/>
      <c r="Q509" s="2"/>
      <c r="S509" s="3"/>
      <c r="T509" s="3"/>
      <c r="U509" s="3"/>
      <c r="V509" s="3"/>
      <c r="W509" s="3"/>
      <c r="X509" s="3"/>
      <c r="Y509" s="3"/>
      <c r="Z509" s="3"/>
    </row>
    <row r="510" ht="15.75" customHeight="1">
      <c r="A510" s="3"/>
      <c r="B510" s="2"/>
      <c r="C510" s="2"/>
      <c r="D510" s="2"/>
      <c r="E510" s="464"/>
      <c r="F510" s="2"/>
      <c r="G510" s="2"/>
      <c r="H510" s="2"/>
      <c r="I510" s="2"/>
      <c r="J510" s="2"/>
      <c r="K510" s="2"/>
      <c r="L510" s="2"/>
      <c r="M510" s="2"/>
      <c r="N510" s="2"/>
      <c r="O510" s="2"/>
      <c r="P510" s="2"/>
      <c r="Q510" s="2"/>
      <c r="S510" s="3"/>
      <c r="T510" s="3"/>
      <c r="U510" s="3"/>
      <c r="V510" s="3"/>
      <c r="W510" s="3"/>
      <c r="X510" s="3"/>
      <c r="Y510" s="3"/>
      <c r="Z510" s="3"/>
    </row>
    <row r="511" ht="15.75" customHeight="1">
      <c r="A511" s="3"/>
      <c r="B511" s="2"/>
      <c r="C511" s="2"/>
      <c r="D511" s="2"/>
      <c r="E511" s="464"/>
      <c r="F511" s="2"/>
      <c r="G511" s="2"/>
      <c r="H511" s="2"/>
      <c r="I511" s="2"/>
      <c r="J511" s="2"/>
      <c r="K511" s="2"/>
      <c r="L511" s="2"/>
      <c r="M511" s="2"/>
      <c r="N511" s="2"/>
      <c r="O511" s="2"/>
      <c r="P511" s="2"/>
      <c r="Q511" s="2"/>
      <c r="S511" s="3"/>
      <c r="T511" s="3"/>
      <c r="U511" s="3"/>
      <c r="V511" s="3"/>
      <c r="W511" s="3"/>
      <c r="X511" s="3"/>
      <c r="Y511" s="3"/>
      <c r="Z511" s="3"/>
    </row>
    <row r="512" ht="15.75" customHeight="1">
      <c r="A512" s="3"/>
      <c r="B512" s="2"/>
      <c r="C512" s="2"/>
      <c r="D512" s="2"/>
      <c r="E512" s="464"/>
      <c r="F512" s="2"/>
      <c r="G512" s="2"/>
      <c r="H512" s="2"/>
      <c r="I512" s="2"/>
      <c r="J512" s="2"/>
      <c r="K512" s="2"/>
      <c r="L512" s="2"/>
      <c r="M512" s="2"/>
      <c r="N512" s="2"/>
      <c r="O512" s="2"/>
      <c r="P512" s="2"/>
      <c r="Q512" s="2"/>
      <c r="S512" s="3"/>
      <c r="T512" s="3"/>
      <c r="U512" s="3"/>
      <c r="V512" s="3"/>
      <c r="W512" s="3"/>
      <c r="X512" s="3"/>
      <c r="Y512" s="3"/>
      <c r="Z512" s="3"/>
    </row>
    <row r="513" ht="15.75" customHeight="1">
      <c r="A513" s="3"/>
      <c r="B513" s="2"/>
      <c r="C513" s="2"/>
      <c r="D513" s="2"/>
      <c r="E513" s="464"/>
      <c r="F513" s="2"/>
      <c r="G513" s="2"/>
      <c r="H513" s="2"/>
      <c r="I513" s="2"/>
      <c r="J513" s="2"/>
      <c r="K513" s="2"/>
      <c r="L513" s="2"/>
      <c r="M513" s="2"/>
      <c r="N513" s="2"/>
      <c r="O513" s="2"/>
      <c r="P513" s="2"/>
      <c r="Q513" s="2"/>
      <c r="S513" s="3"/>
      <c r="T513" s="3"/>
      <c r="U513" s="3"/>
      <c r="V513" s="3"/>
      <c r="W513" s="3"/>
      <c r="X513" s="3"/>
      <c r="Y513" s="3"/>
      <c r="Z513" s="3"/>
    </row>
    <row r="514" ht="15.75" customHeight="1">
      <c r="A514" s="3"/>
      <c r="B514" s="2"/>
      <c r="C514" s="2"/>
      <c r="D514" s="2"/>
      <c r="E514" s="464"/>
      <c r="F514" s="2"/>
      <c r="G514" s="2"/>
      <c r="H514" s="2"/>
      <c r="I514" s="2"/>
      <c r="J514" s="2"/>
      <c r="K514" s="2"/>
      <c r="L514" s="2"/>
      <c r="M514" s="2"/>
      <c r="N514" s="2"/>
      <c r="O514" s="2"/>
      <c r="P514" s="2"/>
      <c r="Q514" s="2"/>
      <c r="S514" s="3"/>
      <c r="T514" s="3"/>
      <c r="U514" s="3"/>
      <c r="V514" s="3"/>
      <c r="W514" s="3"/>
      <c r="X514" s="3"/>
      <c r="Y514" s="3"/>
      <c r="Z514" s="3"/>
    </row>
    <row r="515" ht="15.75" customHeight="1">
      <c r="A515" s="3"/>
      <c r="B515" s="2"/>
      <c r="C515" s="2"/>
      <c r="D515" s="2"/>
      <c r="E515" s="464"/>
      <c r="F515" s="2"/>
      <c r="G515" s="2"/>
      <c r="H515" s="2"/>
      <c r="I515" s="2"/>
      <c r="J515" s="2"/>
      <c r="K515" s="2"/>
      <c r="L515" s="2"/>
      <c r="M515" s="2"/>
      <c r="N515" s="2"/>
      <c r="O515" s="2"/>
      <c r="P515" s="2"/>
      <c r="Q515" s="2"/>
      <c r="S515" s="3"/>
      <c r="T515" s="3"/>
      <c r="U515" s="3"/>
      <c r="V515" s="3"/>
      <c r="W515" s="3"/>
      <c r="X515" s="3"/>
      <c r="Y515" s="3"/>
      <c r="Z515" s="3"/>
    </row>
    <row r="516" ht="15.75" customHeight="1">
      <c r="A516" s="3"/>
      <c r="B516" s="2"/>
      <c r="C516" s="2"/>
      <c r="D516" s="2"/>
      <c r="E516" s="464"/>
      <c r="F516" s="2"/>
      <c r="G516" s="2"/>
      <c r="H516" s="2"/>
      <c r="I516" s="2"/>
      <c r="J516" s="2"/>
      <c r="K516" s="2"/>
      <c r="L516" s="2"/>
      <c r="M516" s="2"/>
      <c r="N516" s="2"/>
      <c r="O516" s="2"/>
      <c r="P516" s="2"/>
      <c r="Q516" s="2"/>
      <c r="S516" s="3"/>
      <c r="T516" s="3"/>
      <c r="U516" s="3"/>
      <c r="V516" s="3"/>
      <c r="W516" s="3"/>
      <c r="X516" s="3"/>
      <c r="Y516" s="3"/>
      <c r="Z516" s="3"/>
    </row>
    <row r="517" ht="15.75" customHeight="1">
      <c r="A517" s="3"/>
      <c r="B517" s="2"/>
      <c r="C517" s="2"/>
      <c r="D517" s="2"/>
      <c r="E517" s="464"/>
      <c r="F517" s="2"/>
      <c r="G517" s="2"/>
      <c r="H517" s="2"/>
      <c r="I517" s="2"/>
      <c r="J517" s="2"/>
      <c r="K517" s="2"/>
      <c r="L517" s="2"/>
      <c r="M517" s="2"/>
      <c r="N517" s="2"/>
      <c r="O517" s="2"/>
      <c r="P517" s="2"/>
      <c r="Q517" s="2"/>
      <c r="S517" s="3"/>
      <c r="T517" s="3"/>
      <c r="U517" s="3"/>
      <c r="V517" s="3"/>
      <c r="W517" s="3"/>
      <c r="X517" s="3"/>
      <c r="Y517" s="3"/>
      <c r="Z517" s="3"/>
    </row>
    <row r="518" ht="15.75" customHeight="1">
      <c r="A518" s="3"/>
      <c r="B518" s="2"/>
      <c r="C518" s="2"/>
      <c r="D518" s="2"/>
      <c r="E518" s="464"/>
      <c r="F518" s="2"/>
      <c r="G518" s="2"/>
      <c r="H518" s="2"/>
      <c r="I518" s="2"/>
      <c r="J518" s="2"/>
      <c r="K518" s="2"/>
      <c r="L518" s="2"/>
      <c r="M518" s="2"/>
      <c r="N518" s="2"/>
      <c r="O518" s="2"/>
      <c r="P518" s="2"/>
      <c r="Q518" s="2"/>
      <c r="S518" s="3"/>
      <c r="T518" s="3"/>
      <c r="U518" s="3"/>
      <c r="V518" s="3"/>
      <c r="W518" s="3"/>
      <c r="X518" s="3"/>
      <c r="Y518" s="3"/>
      <c r="Z518" s="3"/>
    </row>
    <row r="519" ht="15.75" customHeight="1">
      <c r="A519" s="3"/>
      <c r="B519" s="2"/>
      <c r="C519" s="2"/>
      <c r="D519" s="2"/>
      <c r="E519" s="464"/>
      <c r="F519" s="2"/>
      <c r="G519" s="2"/>
      <c r="H519" s="2"/>
      <c r="I519" s="2"/>
      <c r="J519" s="2"/>
      <c r="K519" s="2"/>
      <c r="L519" s="2"/>
      <c r="M519" s="2"/>
      <c r="N519" s="2"/>
      <c r="O519" s="2"/>
      <c r="P519" s="2"/>
      <c r="Q519" s="2"/>
      <c r="S519" s="3"/>
      <c r="T519" s="3"/>
      <c r="U519" s="3"/>
      <c r="V519" s="3"/>
      <c r="W519" s="3"/>
      <c r="X519" s="3"/>
      <c r="Y519" s="3"/>
      <c r="Z519" s="3"/>
    </row>
    <row r="520" ht="15.75" customHeight="1">
      <c r="A520" s="3"/>
      <c r="B520" s="2"/>
      <c r="C520" s="2"/>
      <c r="D520" s="2"/>
      <c r="E520" s="464"/>
      <c r="F520" s="2"/>
      <c r="G520" s="2"/>
      <c r="H520" s="2"/>
      <c r="I520" s="2"/>
      <c r="J520" s="2"/>
      <c r="K520" s="2"/>
      <c r="L520" s="2"/>
      <c r="M520" s="2"/>
      <c r="N520" s="2"/>
      <c r="O520" s="2"/>
      <c r="P520" s="2"/>
      <c r="Q520" s="2"/>
      <c r="S520" s="3"/>
      <c r="T520" s="3"/>
      <c r="U520" s="3"/>
      <c r="V520" s="3"/>
      <c r="W520" s="3"/>
      <c r="X520" s="3"/>
      <c r="Y520" s="3"/>
      <c r="Z520" s="3"/>
    </row>
    <row r="521" ht="15.75" customHeight="1">
      <c r="A521" s="3"/>
      <c r="B521" s="2"/>
      <c r="C521" s="2"/>
      <c r="D521" s="2"/>
      <c r="E521" s="464"/>
      <c r="F521" s="2"/>
      <c r="G521" s="2"/>
      <c r="H521" s="2"/>
      <c r="I521" s="2"/>
      <c r="J521" s="2"/>
      <c r="K521" s="2"/>
      <c r="L521" s="2"/>
      <c r="M521" s="2"/>
      <c r="N521" s="2"/>
      <c r="O521" s="2"/>
      <c r="P521" s="2"/>
      <c r="Q521" s="2"/>
      <c r="S521" s="3"/>
      <c r="T521" s="3"/>
      <c r="U521" s="3"/>
      <c r="V521" s="3"/>
      <c r="W521" s="3"/>
      <c r="X521" s="3"/>
      <c r="Y521" s="3"/>
      <c r="Z521" s="3"/>
    </row>
    <row r="522" ht="15.75" customHeight="1">
      <c r="A522" s="3"/>
      <c r="B522" s="2"/>
      <c r="C522" s="2"/>
      <c r="D522" s="2"/>
      <c r="E522" s="464"/>
      <c r="F522" s="2"/>
      <c r="G522" s="2"/>
      <c r="H522" s="2"/>
      <c r="I522" s="2"/>
      <c r="J522" s="2"/>
      <c r="K522" s="2"/>
      <c r="L522" s="2"/>
      <c r="M522" s="2"/>
      <c r="N522" s="2"/>
      <c r="O522" s="2"/>
      <c r="P522" s="2"/>
      <c r="Q522" s="2"/>
      <c r="S522" s="3"/>
      <c r="T522" s="3"/>
      <c r="U522" s="3"/>
      <c r="V522" s="3"/>
      <c r="W522" s="3"/>
      <c r="X522" s="3"/>
      <c r="Y522" s="3"/>
      <c r="Z522" s="3"/>
    </row>
    <row r="523" ht="15.75" customHeight="1">
      <c r="A523" s="3"/>
      <c r="B523" s="2"/>
      <c r="C523" s="2"/>
      <c r="D523" s="2"/>
      <c r="E523" s="464"/>
      <c r="F523" s="2"/>
      <c r="G523" s="2"/>
      <c r="H523" s="2"/>
      <c r="I523" s="2"/>
      <c r="J523" s="2"/>
      <c r="K523" s="2"/>
      <c r="L523" s="2"/>
      <c r="M523" s="2"/>
      <c r="N523" s="2"/>
      <c r="O523" s="2"/>
      <c r="P523" s="2"/>
      <c r="Q523" s="2"/>
      <c r="S523" s="3"/>
      <c r="T523" s="3"/>
      <c r="U523" s="3"/>
      <c r="V523" s="3"/>
      <c r="W523" s="3"/>
      <c r="X523" s="3"/>
      <c r="Y523" s="3"/>
      <c r="Z523" s="3"/>
    </row>
    <row r="524" ht="15.75" customHeight="1">
      <c r="A524" s="3"/>
      <c r="B524" s="2"/>
      <c r="C524" s="2"/>
      <c r="D524" s="2"/>
      <c r="E524" s="464"/>
      <c r="F524" s="2"/>
      <c r="G524" s="2"/>
      <c r="H524" s="2"/>
      <c r="I524" s="2"/>
      <c r="J524" s="2"/>
      <c r="K524" s="2"/>
      <c r="L524" s="2"/>
      <c r="M524" s="2"/>
      <c r="N524" s="2"/>
      <c r="O524" s="2"/>
      <c r="P524" s="2"/>
      <c r="Q524" s="2"/>
      <c r="S524" s="3"/>
      <c r="T524" s="3"/>
      <c r="U524" s="3"/>
      <c r="V524" s="3"/>
      <c r="W524" s="3"/>
      <c r="X524" s="3"/>
      <c r="Y524" s="3"/>
      <c r="Z524" s="3"/>
    </row>
    <row r="525" ht="15.75" customHeight="1">
      <c r="A525" s="3"/>
      <c r="B525" s="2"/>
      <c r="C525" s="2"/>
      <c r="D525" s="2"/>
      <c r="E525" s="464"/>
      <c r="F525" s="2"/>
      <c r="G525" s="2"/>
      <c r="H525" s="2"/>
      <c r="I525" s="2"/>
      <c r="J525" s="2"/>
      <c r="K525" s="2"/>
      <c r="L525" s="2"/>
      <c r="M525" s="2"/>
      <c r="N525" s="2"/>
      <c r="O525" s="2"/>
      <c r="P525" s="2"/>
      <c r="Q525" s="2"/>
      <c r="S525" s="3"/>
      <c r="T525" s="3"/>
      <c r="U525" s="3"/>
      <c r="V525" s="3"/>
      <c r="W525" s="3"/>
      <c r="X525" s="3"/>
      <c r="Y525" s="3"/>
      <c r="Z525" s="3"/>
    </row>
    <row r="526" ht="15.75" customHeight="1">
      <c r="A526" s="3"/>
      <c r="B526" s="2"/>
      <c r="C526" s="2"/>
      <c r="D526" s="2"/>
      <c r="E526" s="464"/>
      <c r="F526" s="2"/>
      <c r="G526" s="2"/>
      <c r="H526" s="2"/>
      <c r="I526" s="2"/>
      <c r="J526" s="2"/>
      <c r="K526" s="2"/>
      <c r="L526" s="2"/>
      <c r="M526" s="2"/>
      <c r="N526" s="2"/>
      <c r="O526" s="2"/>
      <c r="P526" s="2"/>
      <c r="Q526" s="2"/>
      <c r="S526" s="3"/>
      <c r="T526" s="3"/>
      <c r="U526" s="3"/>
      <c r="V526" s="3"/>
      <c r="W526" s="3"/>
      <c r="X526" s="3"/>
      <c r="Y526" s="3"/>
      <c r="Z526" s="3"/>
    </row>
    <row r="527" ht="15.75" customHeight="1">
      <c r="A527" s="3"/>
      <c r="B527" s="2"/>
      <c r="C527" s="2"/>
      <c r="D527" s="2"/>
      <c r="E527" s="464"/>
      <c r="F527" s="2"/>
      <c r="G527" s="2"/>
      <c r="H527" s="2"/>
      <c r="I527" s="2"/>
      <c r="J527" s="2"/>
      <c r="K527" s="2"/>
      <c r="L527" s="2"/>
      <c r="M527" s="2"/>
      <c r="N527" s="2"/>
      <c r="O527" s="2"/>
      <c r="P527" s="2"/>
      <c r="Q527" s="2"/>
      <c r="S527" s="3"/>
      <c r="T527" s="3"/>
      <c r="U527" s="3"/>
      <c r="V527" s="3"/>
      <c r="W527" s="3"/>
      <c r="X527" s="3"/>
      <c r="Y527" s="3"/>
      <c r="Z527" s="3"/>
    </row>
    <row r="528" ht="15.75" customHeight="1">
      <c r="A528" s="3"/>
      <c r="B528" s="2"/>
      <c r="C528" s="2"/>
      <c r="D528" s="2"/>
      <c r="E528" s="464"/>
      <c r="F528" s="2"/>
      <c r="G528" s="2"/>
      <c r="H528" s="2"/>
      <c r="I528" s="2"/>
      <c r="J528" s="2"/>
      <c r="K528" s="2"/>
      <c r="L528" s="2"/>
      <c r="M528" s="2"/>
      <c r="N528" s="2"/>
      <c r="O528" s="2"/>
      <c r="P528" s="2"/>
      <c r="Q528" s="2"/>
      <c r="S528" s="3"/>
      <c r="T528" s="3"/>
      <c r="U528" s="3"/>
      <c r="V528" s="3"/>
      <c r="W528" s="3"/>
      <c r="X528" s="3"/>
      <c r="Y528" s="3"/>
      <c r="Z528" s="3"/>
    </row>
    <row r="529" ht="15.75" customHeight="1">
      <c r="A529" s="3"/>
      <c r="B529" s="2"/>
      <c r="C529" s="2"/>
      <c r="D529" s="2"/>
      <c r="E529" s="464"/>
      <c r="F529" s="2"/>
      <c r="G529" s="2"/>
      <c r="H529" s="2"/>
      <c r="I529" s="2"/>
      <c r="J529" s="2"/>
      <c r="K529" s="2"/>
      <c r="L529" s="2"/>
      <c r="M529" s="2"/>
      <c r="N529" s="2"/>
      <c r="O529" s="2"/>
      <c r="P529" s="2"/>
      <c r="Q529" s="2"/>
      <c r="S529" s="3"/>
      <c r="T529" s="3"/>
      <c r="U529" s="3"/>
      <c r="V529" s="3"/>
      <c r="W529" s="3"/>
      <c r="X529" s="3"/>
      <c r="Y529" s="3"/>
      <c r="Z529" s="3"/>
    </row>
    <row r="530" ht="15.75" customHeight="1">
      <c r="A530" s="3"/>
      <c r="B530" s="2"/>
      <c r="C530" s="2"/>
      <c r="D530" s="2"/>
      <c r="E530" s="464"/>
      <c r="F530" s="2"/>
      <c r="G530" s="2"/>
      <c r="H530" s="2"/>
      <c r="I530" s="2"/>
      <c r="J530" s="2"/>
      <c r="K530" s="2"/>
      <c r="L530" s="2"/>
      <c r="M530" s="2"/>
      <c r="N530" s="2"/>
      <c r="O530" s="2"/>
      <c r="P530" s="2"/>
      <c r="Q530" s="2"/>
      <c r="S530" s="3"/>
      <c r="T530" s="3"/>
      <c r="U530" s="3"/>
      <c r="V530" s="3"/>
      <c r="W530" s="3"/>
      <c r="X530" s="3"/>
      <c r="Y530" s="3"/>
      <c r="Z530" s="3"/>
    </row>
    <row r="531" ht="15.75" customHeight="1">
      <c r="A531" s="3"/>
      <c r="B531" s="2"/>
      <c r="C531" s="2"/>
      <c r="D531" s="2"/>
      <c r="E531" s="464"/>
      <c r="F531" s="2"/>
      <c r="G531" s="2"/>
      <c r="H531" s="2"/>
      <c r="I531" s="2"/>
      <c r="J531" s="2"/>
      <c r="K531" s="2"/>
      <c r="L531" s="2"/>
      <c r="M531" s="2"/>
      <c r="N531" s="2"/>
      <c r="O531" s="2"/>
      <c r="P531" s="2"/>
      <c r="Q531" s="2"/>
      <c r="S531" s="3"/>
      <c r="T531" s="3"/>
      <c r="U531" s="3"/>
      <c r="V531" s="3"/>
      <c r="W531" s="3"/>
      <c r="X531" s="3"/>
      <c r="Y531" s="3"/>
      <c r="Z531" s="3"/>
    </row>
    <row r="532" ht="15.75" customHeight="1">
      <c r="A532" s="3"/>
      <c r="B532" s="2"/>
      <c r="C532" s="2"/>
      <c r="D532" s="2"/>
      <c r="E532" s="464"/>
      <c r="F532" s="2"/>
      <c r="G532" s="2"/>
      <c r="H532" s="2"/>
      <c r="I532" s="2"/>
      <c r="J532" s="2"/>
      <c r="K532" s="2"/>
      <c r="L532" s="2"/>
      <c r="M532" s="2"/>
      <c r="N532" s="2"/>
      <c r="O532" s="2"/>
      <c r="P532" s="2"/>
      <c r="Q532" s="2"/>
      <c r="S532" s="3"/>
      <c r="T532" s="3"/>
      <c r="U532" s="3"/>
      <c r="V532" s="3"/>
      <c r="W532" s="3"/>
      <c r="X532" s="3"/>
      <c r="Y532" s="3"/>
      <c r="Z532" s="3"/>
    </row>
    <row r="533" ht="15.75" customHeight="1">
      <c r="A533" s="3"/>
      <c r="B533" s="2"/>
      <c r="C533" s="2"/>
      <c r="D533" s="2"/>
      <c r="E533" s="464"/>
      <c r="F533" s="2"/>
      <c r="G533" s="2"/>
      <c r="H533" s="2"/>
      <c r="I533" s="2"/>
      <c r="J533" s="2"/>
      <c r="K533" s="2"/>
      <c r="L533" s="2"/>
      <c r="M533" s="2"/>
      <c r="N533" s="2"/>
      <c r="O533" s="2"/>
      <c r="P533" s="2"/>
      <c r="Q533" s="2"/>
      <c r="S533" s="3"/>
      <c r="T533" s="3"/>
      <c r="U533" s="3"/>
      <c r="V533" s="3"/>
      <c r="W533" s="3"/>
      <c r="X533" s="3"/>
      <c r="Y533" s="3"/>
      <c r="Z533" s="3"/>
    </row>
    <row r="534" ht="15.75" customHeight="1">
      <c r="A534" s="3"/>
      <c r="B534" s="2"/>
      <c r="C534" s="2"/>
      <c r="D534" s="2"/>
      <c r="E534" s="464"/>
      <c r="F534" s="2"/>
      <c r="G534" s="2"/>
      <c r="H534" s="2"/>
      <c r="I534" s="2"/>
      <c r="J534" s="2"/>
      <c r="K534" s="2"/>
      <c r="L534" s="2"/>
      <c r="M534" s="2"/>
      <c r="N534" s="2"/>
      <c r="O534" s="2"/>
      <c r="P534" s="2"/>
      <c r="Q534" s="2"/>
      <c r="S534" s="3"/>
      <c r="T534" s="3"/>
      <c r="U534" s="3"/>
      <c r="V534" s="3"/>
      <c r="W534" s="3"/>
      <c r="X534" s="3"/>
      <c r="Y534" s="3"/>
      <c r="Z534" s="3"/>
    </row>
    <row r="535" ht="15.75" customHeight="1">
      <c r="A535" s="3"/>
      <c r="B535" s="2"/>
      <c r="C535" s="2"/>
      <c r="D535" s="2"/>
      <c r="E535" s="464"/>
      <c r="F535" s="2"/>
      <c r="G535" s="2"/>
      <c r="H535" s="2"/>
      <c r="I535" s="2"/>
      <c r="J535" s="2"/>
      <c r="K535" s="2"/>
      <c r="L535" s="2"/>
      <c r="M535" s="2"/>
      <c r="N535" s="2"/>
      <c r="O535" s="2"/>
      <c r="P535" s="2"/>
      <c r="Q535" s="2"/>
      <c r="S535" s="3"/>
      <c r="T535" s="3"/>
      <c r="U535" s="3"/>
      <c r="V535" s="3"/>
      <c r="W535" s="3"/>
      <c r="X535" s="3"/>
      <c r="Y535" s="3"/>
      <c r="Z535" s="3"/>
    </row>
    <row r="536" ht="15.75" customHeight="1">
      <c r="A536" s="3"/>
      <c r="B536" s="2"/>
      <c r="C536" s="2"/>
      <c r="D536" s="2"/>
      <c r="E536" s="464"/>
      <c r="F536" s="2"/>
      <c r="G536" s="2"/>
      <c r="H536" s="2"/>
      <c r="I536" s="2"/>
      <c r="J536" s="2"/>
      <c r="K536" s="2"/>
      <c r="L536" s="2"/>
      <c r="M536" s="2"/>
      <c r="N536" s="2"/>
      <c r="O536" s="2"/>
      <c r="P536" s="2"/>
      <c r="Q536" s="2"/>
      <c r="S536" s="3"/>
      <c r="T536" s="3"/>
      <c r="U536" s="3"/>
      <c r="V536" s="3"/>
      <c r="W536" s="3"/>
      <c r="X536" s="3"/>
      <c r="Y536" s="3"/>
      <c r="Z536" s="3"/>
    </row>
    <row r="537" ht="15.75" customHeight="1">
      <c r="A537" s="3"/>
      <c r="B537" s="2"/>
      <c r="C537" s="2"/>
      <c r="D537" s="2"/>
      <c r="E537" s="464"/>
      <c r="F537" s="2"/>
      <c r="G537" s="2"/>
      <c r="H537" s="2"/>
      <c r="I537" s="2"/>
      <c r="J537" s="2"/>
      <c r="K537" s="2"/>
      <c r="L537" s="2"/>
      <c r="M537" s="2"/>
      <c r="N537" s="2"/>
      <c r="O537" s="2"/>
      <c r="P537" s="2"/>
      <c r="Q537" s="2"/>
      <c r="S537" s="3"/>
      <c r="T537" s="3"/>
      <c r="U537" s="3"/>
      <c r="V537" s="3"/>
      <c r="W537" s="3"/>
      <c r="X537" s="3"/>
      <c r="Y537" s="3"/>
      <c r="Z537" s="3"/>
    </row>
    <row r="538" ht="15.75" customHeight="1">
      <c r="A538" s="3"/>
      <c r="B538" s="2"/>
      <c r="C538" s="2"/>
      <c r="D538" s="2"/>
      <c r="E538" s="464"/>
      <c r="F538" s="2"/>
      <c r="G538" s="2"/>
      <c r="H538" s="2"/>
      <c r="I538" s="2"/>
      <c r="J538" s="2"/>
      <c r="K538" s="2"/>
      <c r="L538" s="2"/>
      <c r="M538" s="2"/>
      <c r="N538" s="2"/>
      <c r="O538" s="2"/>
      <c r="P538" s="2"/>
      <c r="Q538" s="2"/>
      <c r="S538" s="3"/>
      <c r="T538" s="3"/>
      <c r="U538" s="3"/>
      <c r="V538" s="3"/>
      <c r="W538" s="3"/>
      <c r="X538" s="3"/>
      <c r="Y538" s="3"/>
      <c r="Z538" s="3"/>
    </row>
    <row r="539" ht="15.75" customHeight="1">
      <c r="A539" s="3"/>
      <c r="B539" s="2"/>
      <c r="C539" s="2"/>
      <c r="D539" s="2"/>
      <c r="E539" s="464"/>
      <c r="F539" s="2"/>
      <c r="G539" s="2"/>
      <c r="H539" s="2"/>
      <c r="I539" s="2"/>
      <c r="J539" s="2"/>
      <c r="K539" s="2"/>
      <c r="L539" s="2"/>
      <c r="M539" s="2"/>
      <c r="N539" s="2"/>
      <c r="O539" s="2"/>
      <c r="P539" s="2"/>
      <c r="Q539" s="2"/>
      <c r="S539" s="3"/>
      <c r="T539" s="3"/>
      <c r="U539" s="3"/>
      <c r="V539" s="3"/>
      <c r="W539" s="3"/>
      <c r="X539" s="3"/>
      <c r="Y539" s="3"/>
      <c r="Z539" s="3"/>
    </row>
    <row r="540" ht="15.75" customHeight="1">
      <c r="A540" s="3"/>
      <c r="B540" s="2"/>
      <c r="C540" s="2"/>
      <c r="D540" s="2"/>
      <c r="E540" s="464"/>
      <c r="F540" s="2"/>
      <c r="G540" s="2"/>
      <c r="H540" s="2"/>
      <c r="I540" s="2"/>
      <c r="J540" s="2"/>
      <c r="K540" s="2"/>
      <c r="L540" s="2"/>
      <c r="M540" s="2"/>
      <c r="N540" s="2"/>
      <c r="O540" s="2"/>
      <c r="P540" s="2"/>
      <c r="Q540" s="2"/>
      <c r="S540" s="3"/>
      <c r="T540" s="3"/>
      <c r="U540" s="3"/>
      <c r="V540" s="3"/>
      <c r="W540" s="3"/>
      <c r="X540" s="3"/>
      <c r="Y540" s="3"/>
      <c r="Z540" s="3"/>
    </row>
    <row r="541" ht="15.75" customHeight="1">
      <c r="A541" s="3"/>
      <c r="B541" s="2"/>
      <c r="C541" s="2"/>
      <c r="D541" s="2"/>
      <c r="E541" s="464"/>
      <c r="F541" s="2"/>
      <c r="G541" s="2"/>
      <c r="H541" s="2"/>
      <c r="I541" s="2"/>
      <c r="J541" s="2"/>
      <c r="K541" s="2"/>
      <c r="L541" s="2"/>
      <c r="M541" s="2"/>
      <c r="N541" s="2"/>
      <c r="O541" s="2"/>
      <c r="P541" s="2"/>
      <c r="Q541" s="2"/>
      <c r="S541" s="3"/>
      <c r="T541" s="3"/>
      <c r="U541" s="3"/>
      <c r="V541" s="3"/>
      <c r="W541" s="3"/>
      <c r="X541" s="3"/>
      <c r="Y541" s="3"/>
      <c r="Z541" s="3"/>
    </row>
    <row r="542" ht="15.75" customHeight="1">
      <c r="A542" s="3"/>
      <c r="B542" s="2"/>
      <c r="C542" s="2"/>
      <c r="D542" s="2"/>
      <c r="E542" s="464"/>
      <c r="F542" s="2"/>
      <c r="G542" s="2"/>
      <c r="H542" s="2"/>
      <c r="I542" s="2"/>
      <c r="J542" s="2"/>
      <c r="K542" s="2"/>
      <c r="L542" s="2"/>
      <c r="M542" s="2"/>
      <c r="N542" s="2"/>
      <c r="O542" s="2"/>
      <c r="P542" s="2"/>
      <c r="Q542" s="2"/>
      <c r="S542" s="3"/>
      <c r="T542" s="3"/>
      <c r="U542" s="3"/>
      <c r="V542" s="3"/>
      <c r="W542" s="3"/>
      <c r="X542" s="3"/>
      <c r="Y542" s="3"/>
      <c r="Z542" s="3"/>
    </row>
    <row r="543" ht="15.75" customHeight="1">
      <c r="A543" s="3"/>
      <c r="B543" s="2"/>
      <c r="C543" s="2"/>
      <c r="D543" s="2"/>
      <c r="E543" s="464"/>
      <c r="F543" s="2"/>
      <c r="G543" s="2"/>
      <c r="H543" s="2"/>
      <c r="I543" s="2"/>
      <c r="J543" s="2"/>
      <c r="K543" s="2"/>
      <c r="L543" s="2"/>
      <c r="M543" s="2"/>
      <c r="N543" s="2"/>
      <c r="O543" s="2"/>
      <c r="P543" s="2"/>
      <c r="Q543" s="2"/>
      <c r="S543" s="3"/>
      <c r="T543" s="3"/>
      <c r="U543" s="3"/>
      <c r="V543" s="3"/>
      <c r="W543" s="3"/>
      <c r="X543" s="3"/>
      <c r="Y543" s="3"/>
      <c r="Z543" s="3"/>
    </row>
    <row r="544" ht="15.75" customHeight="1">
      <c r="A544" s="3"/>
      <c r="B544" s="2"/>
      <c r="C544" s="2"/>
      <c r="D544" s="2"/>
      <c r="E544" s="464"/>
      <c r="F544" s="2"/>
      <c r="G544" s="2"/>
      <c r="H544" s="2"/>
      <c r="I544" s="2"/>
      <c r="J544" s="2"/>
      <c r="K544" s="2"/>
      <c r="L544" s="2"/>
      <c r="M544" s="2"/>
      <c r="N544" s="2"/>
      <c r="O544" s="2"/>
      <c r="P544" s="2"/>
      <c r="Q544" s="2"/>
      <c r="S544" s="3"/>
      <c r="T544" s="3"/>
      <c r="U544" s="3"/>
      <c r="V544" s="3"/>
      <c r="W544" s="3"/>
      <c r="X544" s="3"/>
      <c r="Y544" s="3"/>
      <c r="Z544" s="3"/>
    </row>
    <row r="545" ht="15.75" customHeight="1">
      <c r="A545" s="3"/>
      <c r="B545" s="2"/>
      <c r="C545" s="2"/>
      <c r="D545" s="2"/>
      <c r="E545" s="464"/>
      <c r="F545" s="2"/>
      <c r="G545" s="2"/>
      <c r="H545" s="2"/>
      <c r="I545" s="2"/>
      <c r="J545" s="2"/>
      <c r="K545" s="2"/>
      <c r="L545" s="2"/>
      <c r="M545" s="2"/>
      <c r="N545" s="2"/>
      <c r="O545" s="2"/>
      <c r="P545" s="2"/>
      <c r="Q545" s="2"/>
      <c r="S545" s="3"/>
      <c r="T545" s="3"/>
      <c r="U545" s="3"/>
      <c r="V545" s="3"/>
      <c r="W545" s="3"/>
      <c r="X545" s="3"/>
      <c r="Y545" s="3"/>
      <c r="Z545" s="3"/>
    </row>
    <row r="546" ht="15.75" customHeight="1">
      <c r="A546" s="3"/>
      <c r="B546" s="2"/>
      <c r="C546" s="2"/>
      <c r="D546" s="2"/>
      <c r="E546" s="464"/>
      <c r="F546" s="2"/>
      <c r="G546" s="2"/>
      <c r="H546" s="2"/>
      <c r="I546" s="2"/>
      <c r="J546" s="2"/>
      <c r="K546" s="2"/>
      <c r="L546" s="2"/>
      <c r="M546" s="2"/>
      <c r="N546" s="2"/>
      <c r="O546" s="2"/>
      <c r="P546" s="2"/>
      <c r="Q546" s="2"/>
      <c r="S546" s="3"/>
      <c r="T546" s="3"/>
      <c r="U546" s="3"/>
      <c r="V546" s="3"/>
      <c r="W546" s="3"/>
      <c r="X546" s="3"/>
      <c r="Y546" s="3"/>
      <c r="Z546" s="3"/>
    </row>
    <row r="547" ht="15.75" customHeight="1">
      <c r="A547" s="3"/>
      <c r="B547" s="2"/>
      <c r="C547" s="2"/>
      <c r="D547" s="2"/>
      <c r="E547" s="464"/>
      <c r="F547" s="2"/>
      <c r="G547" s="2"/>
      <c r="H547" s="2"/>
      <c r="I547" s="2"/>
      <c r="J547" s="2"/>
      <c r="K547" s="2"/>
      <c r="L547" s="2"/>
      <c r="M547" s="2"/>
      <c r="N547" s="2"/>
      <c r="O547" s="2"/>
      <c r="P547" s="2"/>
      <c r="Q547" s="2"/>
      <c r="S547" s="3"/>
      <c r="T547" s="3"/>
      <c r="U547" s="3"/>
      <c r="V547" s="3"/>
      <c r="W547" s="3"/>
      <c r="X547" s="3"/>
      <c r="Y547" s="3"/>
      <c r="Z547" s="3"/>
    </row>
    <row r="548" ht="15.75" customHeight="1">
      <c r="A548" s="3"/>
      <c r="B548" s="2"/>
      <c r="C548" s="2"/>
      <c r="D548" s="2"/>
      <c r="E548" s="464"/>
      <c r="F548" s="2"/>
      <c r="G548" s="2"/>
      <c r="H548" s="2"/>
      <c r="I548" s="2"/>
      <c r="J548" s="2"/>
      <c r="K548" s="2"/>
      <c r="L548" s="2"/>
      <c r="M548" s="2"/>
      <c r="N548" s="2"/>
      <c r="O548" s="2"/>
      <c r="P548" s="2"/>
      <c r="Q548" s="2"/>
      <c r="S548" s="3"/>
      <c r="T548" s="3"/>
      <c r="U548" s="3"/>
      <c r="V548" s="3"/>
      <c r="W548" s="3"/>
      <c r="X548" s="3"/>
      <c r="Y548" s="3"/>
      <c r="Z548" s="3"/>
    </row>
    <row r="549" ht="15.75" customHeight="1">
      <c r="A549" s="3"/>
      <c r="B549" s="2"/>
      <c r="C549" s="2"/>
      <c r="D549" s="2"/>
      <c r="E549" s="464"/>
      <c r="F549" s="2"/>
      <c r="G549" s="2"/>
      <c r="H549" s="2"/>
      <c r="I549" s="2"/>
      <c r="J549" s="2"/>
      <c r="K549" s="2"/>
      <c r="L549" s="2"/>
      <c r="M549" s="2"/>
      <c r="N549" s="2"/>
      <c r="O549" s="2"/>
      <c r="P549" s="2"/>
      <c r="Q549" s="2"/>
      <c r="S549" s="3"/>
      <c r="T549" s="3"/>
      <c r="U549" s="3"/>
      <c r="V549" s="3"/>
      <c r="W549" s="3"/>
      <c r="X549" s="3"/>
      <c r="Y549" s="3"/>
      <c r="Z549" s="3"/>
    </row>
    <row r="550" ht="15.75" customHeight="1">
      <c r="A550" s="3"/>
      <c r="B550" s="2"/>
      <c r="C550" s="2"/>
      <c r="D550" s="2"/>
      <c r="E550" s="464"/>
      <c r="F550" s="2"/>
      <c r="G550" s="2"/>
      <c r="H550" s="2"/>
      <c r="I550" s="2"/>
      <c r="J550" s="2"/>
      <c r="K550" s="2"/>
      <c r="L550" s="2"/>
      <c r="M550" s="2"/>
      <c r="N550" s="2"/>
      <c r="O550" s="2"/>
      <c r="P550" s="2"/>
      <c r="Q550" s="2"/>
      <c r="S550" s="3"/>
      <c r="T550" s="3"/>
      <c r="U550" s="3"/>
      <c r="V550" s="3"/>
      <c r="W550" s="3"/>
      <c r="X550" s="3"/>
      <c r="Y550" s="3"/>
      <c r="Z550" s="3"/>
    </row>
    <row r="551" ht="15.75" customHeight="1">
      <c r="A551" s="3"/>
      <c r="B551" s="2"/>
      <c r="C551" s="2"/>
      <c r="D551" s="2"/>
      <c r="E551" s="464"/>
      <c r="F551" s="2"/>
      <c r="G551" s="2"/>
      <c r="H551" s="2"/>
      <c r="I551" s="2"/>
      <c r="J551" s="2"/>
      <c r="K551" s="2"/>
      <c r="L551" s="2"/>
      <c r="M551" s="2"/>
      <c r="N551" s="2"/>
      <c r="O551" s="2"/>
      <c r="P551" s="2"/>
      <c r="Q551" s="2"/>
      <c r="S551" s="3"/>
      <c r="T551" s="3"/>
      <c r="U551" s="3"/>
      <c r="V551" s="3"/>
      <c r="W551" s="3"/>
      <c r="X551" s="3"/>
      <c r="Y551" s="3"/>
      <c r="Z551" s="3"/>
    </row>
    <row r="552" ht="15.75" customHeight="1">
      <c r="A552" s="3"/>
      <c r="B552" s="2"/>
      <c r="C552" s="2"/>
      <c r="D552" s="2"/>
      <c r="E552" s="464"/>
      <c r="F552" s="2"/>
      <c r="G552" s="2"/>
      <c r="H552" s="2"/>
      <c r="I552" s="2"/>
      <c r="J552" s="2"/>
      <c r="K552" s="2"/>
      <c r="L552" s="2"/>
      <c r="M552" s="2"/>
      <c r="N552" s="2"/>
      <c r="O552" s="2"/>
      <c r="P552" s="2"/>
      <c r="Q552" s="2"/>
      <c r="S552" s="3"/>
      <c r="T552" s="3"/>
      <c r="U552" s="3"/>
      <c r="V552" s="3"/>
      <c r="W552" s="3"/>
      <c r="X552" s="3"/>
      <c r="Y552" s="3"/>
      <c r="Z552" s="3"/>
    </row>
    <row r="553" ht="15.75" customHeight="1">
      <c r="A553" s="3"/>
      <c r="B553" s="2"/>
      <c r="C553" s="2"/>
      <c r="D553" s="2"/>
      <c r="E553" s="464"/>
      <c r="F553" s="2"/>
      <c r="G553" s="2"/>
      <c r="H553" s="2"/>
      <c r="I553" s="2"/>
      <c r="J553" s="2"/>
      <c r="K553" s="2"/>
      <c r="L553" s="2"/>
      <c r="M553" s="2"/>
      <c r="N553" s="2"/>
      <c r="O553" s="2"/>
      <c r="P553" s="2"/>
      <c r="Q553" s="2"/>
      <c r="S553" s="3"/>
      <c r="T553" s="3"/>
      <c r="U553" s="3"/>
      <c r="V553" s="3"/>
      <c r="W553" s="3"/>
      <c r="X553" s="3"/>
      <c r="Y553" s="3"/>
      <c r="Z553" s="3"/>
    </row>
    <row r="554" ht="15.75" customHeight="1">
      <c r="A554" s="3"/>
      <c r="B554" s="2"/>
      <c r="C554" s="2"/>
      <c r="D554" s="2"/>
      <c r="E554" s="464"/>
      <c r="F554" s="2"/>
      <c r="G554" s="2"/>
      <c r="H554" s="2"/>
      <c r="I554" s="2"/>
      <c r="J554" s="2"/>
      <c r="K554" s="2"/>
      <c r="L554" s="2"/>
      <c r="M554" s="2"/>
      <c r="N554" s="2"/>
      <c r="O554" s="2"/>
      <c r="P554" s="2"/>
      <c r="Q554" s="2"/>
      <c r="S554" s="3"/>
      <c r="T554" s="3"/>
      <c r="U554" s="3"/>
      <c r="V554" s="3"/>
      <c r="W554" s="3"/>
      <c r="X554" s="3"/>
      <c r="Y554" s="3"/>
      <c r="Z554" s="3"/>
    </row>
    <row r="555" ht="15.75" customHeight="1">
      <c r="A555" s="3"/>
      <c r="B555" s="2"/>
      <c r="C555" s="2"/>
      <c r="D555" s="2"/>
      <c r="E555" s="464"/>
      <c r="F555" s="2"/>
      <c r="G555" s="2"/>
      <c r="H555" s="2"/>
      <c r="I555" s="2"/>
      <c r="J555" s="2"/>
      <c r="K555" s="2"/>
      <c r="L555" s="2"/>
      <c r="M555" s="2"/>
      <c r="N555" s="2"/>
      <c r="O555" s="2"/>
      <c r="P555" s="2"/>
      <c r="Q555" s="2"/>
      <c r="S555" s="3"/>
      <c r="T555" s="3"/>
      <c r="U555" s="3"/>
      <c r="V555" s="3"/>
      <c r="W555" s="3"/>
      <c r="X555" s="3"/>
      <c r="Y555" s="3"/>
      <c r="Z555" s="3"/>
    </row>
    <row r="556" ht="15.75" customHeight="1">
      <c r="A556" s="3"/>
      <c r="B556" s="2"/>
      <c r="C556" s="2"/>
      <c r="D556" s="2"/>
      <c r="E556" s="464"/>
      <c r="F556" s="2"/>
      <c r="G556" s="2"/>
      <c r="H556" s="2"/>
      <c r="I556" s="2"/>
      <c r="J556" s="2"/>
      <c r="K556" s="2"/>
      <c r="L556" s="2"/>
      <c r="M556" s="2"/>
      <c r="N556" s="2"/>
      <c r="O556" s="2"/>
      <c r="P556" s="2"/>
      <c r="Q556" s="2"/>
      <c r="S556" s="3"/>
      <c r="T556" s="3"/>
      <c r="U556" s="3"/>
      <c r="V556" s="3"/>
      <c r="W556" s="3"/>
      <c r="X556" s="3"/>
      <c r="Y556" s="3"/>
      <c r="Z556" s="3"/>
    </row>
    <row r="557" ht="15.75" customHeight="1">
      <c r="A557" s="3"/>
      <c r="B557" s="2"/>
      <c r="C557" s="2"/>
      <c r="D557" s="2"/>
      <c r="E557" s="464"/>
      <c r="F557" s="2"/>
      <c r="G557" s="2"/>
      <c r="H557" s="2"/>
      <c r="I557" s="2"/>
      <c r="J557" s="2"/>
      <c r="K557" s="2"/>
      <c r="L557" s="2"/>
      <c r="M557" s="2"/>
      <c r="N557" s="2"/>
      <c r="O557" s="2"/>
      <c r="P557" s="2"/>
      <c r="Q557" s="2"/>
      <c r="S557" s="3"/>
      <c r="T557" s="3"/>
      <c r="U557" s="3"/>
      <c r="V557" s="3"/>
      <c r="W557" s="3"/>
      <c r="X557" s="3"/>
      <c r="Y557" s="3"/>
      <c r="Z557" s="3"/>
    </row>
    <row r="558" ht="15.75" customHeight="1">
      <c r="A558" s="3"/>
      <c r="B558" s="2"/>
      <c r="C558" s="2"/>
      <c r="D558" s="2"/>
      <c r="E558" s="464"/>
      <c r="F558" s="2"/>
      <c r="G558" s="2"/>
      <c r="H558" s="2"/>
      <c r="I558" s="2"/>
      <c r="J558" s="2"/>
      <c r="K558" s="2"/>
      <c r="L558" s="2"/>
      <c r="M558" s="2"/>
      <c r="N558" s="2"/>
      <c r="O558" s="2"/>
      <c r="P558" s="2"/>
      <c r="Q558" s="2"/>
      <c r="S558" s="3"/>
      <c r="T558" s="3"/>
      <c r="U558" s="3"/>
      <c r="V558" s="3"/>
      <c r="W558" s="3"/>
      <c r="X558" s="3"/>
      <c r="Y558" s="3"/>
      <c r="Z558" s="3"/>
    </row>
    <row r="559" ht="15.75" customHeight="1">
      <c r="A559" s="3"/>
      <c r="B559" s="2"/>
      <c r="C559" s="2"/>
      <c r="D559" s="2"/>
      <c r="E559" s="464"/>
      <c r="F559" s="2"/>
      <c r="G559" s="2"/>
      <c r="H559" s="2"/>
      <c r="I559" s="2"/>
      <c r="J559" s="2"/>
      <c r="K559" s="2"/>
      <c r="L559" s="2"/>
      <c r="M559" s="2"/>
      <c r="N559" s="2"/>
      <c r="O559" s="2"/>
      <c r="P559" s="2"/>
      <c r="Q559" s="2"/>
      <c r="S559" s="3"/>
      <c r="T559" s="3"/>
      <c r="U559" s="3"/>
      <c r="V559" s="3"/>
      <c r="W559" s="3"/>
      <c r="X559" s="3"/>
      <c r="Y559" s="3"/>
      <c r="Z559" s="3"/>
    </row>
    <row r="560" ht="15.75" customHeight="1">
      <c r="A560" s="3"/>
      <c r="B560" s="2"/>
      <c r="C560" s="2"/>
      <c r="D560" s="2"/>
      <c r="E560" s="464"/>
      <c r="F560" s="2"/>
      <c r="G560" s="2"/>
      <c r="H560" s="2"/>
      <c r="I560" s="2"/>
      <c r="J560" s="2"/>
      <c r="K560" s="2"/>
      <c r="L560" s="2"/>
      <c r="M560" s="2"/>
      <c r="N560" s="2"/>
      <c r="O560" s="2"/>
      <c r="P560" s="2"/>
      <c r="Q560" s="2"/>
      <c r="S560" s="3"/>
      <c r="T560" s="3"/>
      <c r="U560" s="3"/>
      <c r="V560" s="3"/>
      <c r="W560" s="3"/>
      <c r="X560" s="3"/>
      <c r="Y560" s="3"/>
      <c r="Z560" s="3"/>
    </row>
    <row r="561" ht="15.75" customHeight="1">
      <c r="A561" s="3"/>
      <c r="B561" s="2"/>
      <c r="C561" s="2"/>
      <c r="D561" s="2"/>
      <c r="E561" s="464"/>
      <c r="F561" s="2"/>
      <c r="G561" s="2"/>
      <c r="H561" s="2"/>
      <c r="I561" s="2"/>
      <c r="J561" s="2"/>
      <c r="K561" s="2"/>
      <c r="L561" s="2"/>
      <c r="M561" s="2"/>
      <c r="N561" s="2"/>
      <c r="O561" s="2"/>
      <c r="P561" s="2"/>
      <c r="Q561" s="2"/>
      <c r="S561" s="3"/>
      <c r="T561" s="3"/>
      <c r="U561" s="3"/>
      <c r="V561" s="3"/>
      <c r="W561" s="3"/>
      <c r="X561" s="3"/>
      <c r="Y561" s="3"/>
      <c r="Z561" s="3"/>
    </row>
    <row r="562" ht="15.75" customHeight="1">
      <c r="A562" s="3"/>
      <c r="B562" s="2"/>
      <c r="C562" s="2"/>
      <c r="D562" s="2"/>
      <c r="E562" s="464"/>
      <c r="F562" s="2"/>
      <c r="G562" s="2"/>
      <c r="H562" s="2"/>
      <c r="I562" s="2"/>
      <c r="J562" s="2"/>
      <c r="K562" s="2"/>
      <c r="L562" s="2"/>
      <c r="M562" s="2"/>
      <c r="N562" s="2"/>
      <c r="O562" s="2"/>
      <c r="P562" s="2"/>
      <c r="Q562" s="2"/>
      <c r="S562" s="3"/>
      <c r="T562" s="3"/>
      <c r="U562" s="3"/>
      <c r="V562" s="3"/>
      <c r="W562" s="3"/>
      <c r="X562" s="3"/>
      <c r="Y562" s="3"/>
      <c r="Z562" s="3"/>
    </row>
    <row r="563" ht="15.75" customHeight="1">
      <c r="A563" s="3"/>
      <c r="B563" s="2"/>
      <c r="C563" s="2"/>
      <c r="D563" s="2"/>
      <c r="E563" s="464"/>
      <c r="F563" s="2"/>
      <c r="G563" s="2"/>
      <c r="H563" s="2"/>
      <c r="I563" s="2"/>
      <c r="J563" s="2"/>
      <c r="K563" s="2"/>
      <c r="L563" s="2"/>
      <c r="M563" s="2"/>
      <c r="N563" s="2"/>
      <c r="O563" s="2"/>
      <c r="P563" s="2"/>
      <c r="Q563" s="2"/>
      <c r="S563" s="3"/>
      <c r="T563" s="3"/>
      <c r="U563" s="3"/>
      <c r="V563" s="3"/>
      <c r="W563" s="3"/>
      <c r="X563" s="3"/>
      <c r="Y563" s="3"/>
      <c r="Z563" s="3"/>
    </row>
    <row r="564" ht="15.75" customHeight="1">
      <c r="A564" s="3"/>
      <c r="B564" s="2"/>
      <c r="C564" s="2"/>
      <c r="D564" s="2"/>
      <c r="E564" s="464"/>
      <c r="F564" s="2"/>
      <c r="G564" s="2"/>
      <c r="H564" s="2"/>
      <c r="I564" s="2"/>
      <c r="J564" s="2"/>
      <c r="K564" s="2"/>
      <c r="L564" s="2"/>
      <c r="M564" s="2"/>
      <c r="N564" s="2"/>
      <c r="O564" s="2"/>
      <c r="P564" s="2"/>
      <c r="Q564" s="2"/>
      <c r="S564" s="3"/>
      <c r="T564" s="3"/>
      <c r="U564" s="3"/>
      <c r="V564" s="3"/>
      <c r="W564" s="3"/>
      <c r="X564" s="3"/>
      <c r="Y564" s="3"/>
      <c r="Z564" s="3"/>
    </row>
    <row r="565" ht="15.75" customHeight="1">
      <c r="A565" s="3"/>
      <c r="B565" s="2"/>
      <c r="C565" s="2"/>
      <c r="D565" s="2"/>
      <c r="E565" s="464"/>
      <c r="F565" s="2"/>
      <c r="G565" s="2"/>
      <c r="H565" s="2"/>
      <c r="I565" s="2"/>
      <c r="J565" s="2"/>
      <c r="K565" s="2"/>
      <c r="L565" s="2"/>
      <c r="M565" s="2"/>
      <c r="N565" s="2"/>
      <c r="O565" s="2"/>
      <c r="P565" s="2"/>
      <c r="Q565" s="2"/>
      <c r="S565" s="3"/>
      <c r="T565" s="3"/>
      <c r="U565" s="3"/>
      <c r="V565" s="3"/>
      <c r="W565" s="3"/>
      <c r="X565" s="3"/>
      <c r="Y565" s="3"/>
      <c r="Z565" s="3"/>
    </row>
    <row r="566" ht="15.75" customHeight="1">
      <c r="A566" s="3"/>
      <c r="B566" s="2"/>
      <c r="C566" s="2"/>
      <c r="D566" s="2"/>
      <c r="E566" s="464"/>
      <c r="F566" s="2"/>
      <c r="G566" s="2"/>
      <c r="H566" s="2"/>
      <c r="I566" s="2"/>
      <c r="J566" s="2"/>
      <c r="K566" s="2"/>
      <c r="L566" s="2"/>
      <c r="M566" s="2"/>
      <c r="N566" s="2"/>
      <c r="O566" s="2"/>
      <c r="P566" s="2"/>
      <c r="Q566" s="2"/>
      <c r="S566" s="3"/>
      <c r="T566" s="3"/>
      <c r="U566" s="3"/>
      <c r="V566" s="3"/>
      <c r="W566" s="3"/>
      <c r="X566" s="3"/>
      <c r="Y566" s="3"/>
      <c r="Z566" s="3"/>
    </row>
    <row r="567" ht="15.75" customHeight="1">
      <c r="A567" s="3"/>
      <c r="B567" s="2"/>
      <c r="C567" s="2"/>
      <c r="D567" s="2"/>
      <c r="E567" s="464"/>
      <c r="F567" s="2"/>
      <c r="G567" s="2"/>
      <c r="H567" s="2"/>
      <c r="I567" s="2"/>
      <c r="J567" s="2"/>
      <c r="K567" s="2"/>
      <c r="L567" s="2"/>
      <c r="M567" s="2"/>
      <c r="N567" s="2"/>
      <c r="O567" s="2"/>
      <c r="P567" s="2"/>
      <c r="Q567" s="2"/>
      <c r="S567" s="3"/>
      <c r="T567" s="3"/>
      <c r="U567" s="3"/>
      <c r="V567" s="3"/>
      <c r="W567" s="3"/>
      <c r="X567" s="3"/>
      <c r="Y567" s="3"/>
      <c r="Z567" s="3"/>
    </row>
    <row r="568" ht="15.75" customHeight="1">
      <c r="A568" s="3"/>
      <c r="B568" s="2"/>
      <c r="C568" s="2"/>
      <c r="D568" s="2"/>
      <c r="E568" s="464"/>
      <c r="F568" s="2"/>
      <c r="G568" s="2"/>
      <c r="H568" s="2"/>
      <c r="I568" s="2"/>
      <c r="J568" s="2"/>
      <c r="K568" s="2"/>
      <c r="L568" s="2"/>
      <c r="M568" s="2"/>
      <c r="N568" s="2"/>
      <c r="O568" s="2"/>
      <c r="P568" s="2"/>
      <c r="Q568" s="2"/>
      <c r="S568" s="3"/>
      <c r="T568" s="3"/>
      <c r="U568" s="3"/>
      <c r="V568" s="3"/>
      <c r="W568" s="3"/>
      <c r="X568" s="3"/>
      <c r="Y568" s="3"/>
      <c r="Z568" s="3"/>
    </row>
    <row r="569" ht="15.75" customHeight="1">
      <c r="A569" s="3"/>
      <c r="B569" s="2"/>
      <c r="C569" s="2"/>
      <c r="D569" s="2"/>
      <c r="E569" s="464"/>
      <c r="F569" s="2"/>
      <c r="G569" s="2"/>
      <c r="H569" s="2"/>
      <c r="I569" s="2"/>
      <c r="J569" s="2"/>
      <c r="K569" s="2"/>
      <c r="L569" s="2"/>
      <c r="M569" s="2"/>
      <c r="N569" s="2"/>
      <c r="O569" s="2"/>
      <c r="P569" s="2"/>
      <c r="Q569" s="2"/>
      <c r="S569" s="3"/>
      <c r="T569" s="3"/>
      <c r="U569" s="3"/>
      <c r="V569" s="3"/>
      <c r="W569" s="3"/>
      <c r="X569" s="3"/>
      <c r="Y569" s="3"/>
      <c r="Z569" s="3"/>
    </row>
    <row r="570" ht="15.75" customHeight="1">
      <c r="A570" s="3"/>
      <c r="B570" s="2"/>
      <c r="C570" s="2"/>
      <c r="D570" s="2"/>
      <c r="E570" s="464"/>
      <c r="F570" s="2"/>
      <c r="G570" s="2"/>
      <c r="H570" s="2"/>
      <c r="I570" s="2"/>
      <c r="J570" s="2"/>
      <c r="K570" s="2"/>
      <c r="L570" s="2"/>
      <c r="M570" s="2"/>
      <c r="N570" s="2"/>
      <c r="O570" s="2"/>
      <c r="P570" s="2"/>
      <c r="Q570" s="2"/>
      <c r="S570" s="3"/>
      <c r="T570" s="3"/>
      <c r="U570" s="3"/>
      <c r="V570" s="3"/>
      <c r="W570" s="3"/>
      <c r="X570" s="3"/>
      <c r="Y570" s="3"/>
      <c r="Z570" s="3"/>
    </row>
    <row r="571" ht="15.75" customHeight="1">
      <c r="A571" s="3"/>
      <c r="B571" s="2"/>
      <c r="C571" s="2"/>
      <c r="D571" s="2"/>
      <c r="E571" s="464"/>
      <c r="F571" s="2"/>
      <c r="G571" s="2"/>
      <c r="H571" s="2"/>
      <c r="I571" s="2"/>
      <c r="J571" s="2"/>
      <c r="K571" s="2"/>
      <c r="L571" s="2"/>
      <c r="M571" s="2"/>
      <c r="N571" s="2"/>
      <c r="O571" s="2"/>
      <c r="P571" s="2"/>
      <c r="Q571" s="2"/>
      <c r="S571" s="3"/>
      <c r="T571" s="3"/>
      <c r="U571" s="3"/>
      <c r="V571" s="3"/>
      <c r="W571" s="3"/>
      <c r="X571" s="3"/>
      <c r="Y571" s="3"/>
      <c r="Z571" s="3"/>
    </row>
    <row r="572" ht="15.75" customHeight="1">
      <c r="A572" s="3"/>
      <c r="B572" s="2"/>
      <c r="C572" s="2"/>
      <c r="D572" s="2"/>
      <c r="E572" s="464"/>
      <c r="F572" s="2"/>
      <c r="G572" s="2"/>
      <c r="H572" s="2"/>
      <c r="I572" s="2"/>
      <c r="J572" s="2"/>
      <c r="K572" s="2"/>
      <c r="L572" s="2"/>
      <c r="M572" s="2"/>
      <c r="N572" s="2"/>
      <c r="O572" s="2"/>
      <c r="P572" s="2"/>
      <c r="Q572" s="2"/>
      <c r="S572" s="3"/>
      <c r="T572" s="3"/>
      <c r="U572" s="3"/>
      <c r="V572" s="3"/>
      <c r="W572" s="3"/>
      <c r="X572" s="3"/>
      <c r="Y572" s="3"/>
      <c r="Z572" s="3"/>
    </row>
    <row r="573" ht="15.75" customHeight="1">
      <c r="A573" s="3"/>
      <c r="B573" s="2"/>
      <c r="C573" s="2"/>
      <c r="D573" s="2"/>
      <c r="E573" s="464"/>
      <c r="F573" s="2"/>
      <c r="G573" s="2"/>
      <c r="H573" s="2"/>
      <c r="I573" s="2"/>
      <c r="J573" s="2"/>
      <c r="K573" s="2"/>
      <c r="L573" s="2"/>
      <c r="M573" s="2"/>
      <c r="N573" s="2"/>
      <c r="O573" s="2"/>
      <c r="P573" s="2"/>
      <c r="Q573" s="2"/>
      <c r="S573" s="3"/>
      <c r="T573" s="3"/>
      <c r="U573" s="3"/>
      <c r="V573" s="3"/>
      <c r="W573" s="3"/>
      <c r="X573" s="3"/>
      <c r="Y573" s="3"/>
      <c r="Z573" s="3"/>
    </row>
    <row r="574" ht="15.75" customHeight="1">
      <c r="A574" s="3"/>
      <c r="B574" s="2"/>
      <c r="C574" s="2"/>
      <c r="D574" s="2"/>
      <c r="E574" s="464"/>
      <c r="F574" s="2"/>
      <c r="G574" s="2"/>
      <c r="H574" s="2"/>
      <c r="I574" s="2"/>
      <c r="J574" s="2"/>
      <c r="K574" s="2"/>
      <c r="L574" s="2"/>
      <c r="M574" s="2"/>
      <c r="N574" s="2"/>
      <c r="O574" s="2"/>
      <c r="P574" s="2"/>
      <c r="Q574" s="2"/>
      <c r="S574" s="3"/>
      <c r="T574" s="3"/>
      <c r="U574" s="3"/>
      <c r="V574" s="3"/>
      <c r="W574" s="3"/>
      <c r="X574" s="3"/>
      <c r="Y574" s="3"/>
      <c r="Z574" s="3"/>
    </row>
    <row r="575" ht="15.75" customHeight="1">
      <c r="A575" s="3"/>
      <c r="B575" s="2"/>
      <c r="C575" s="2"/>
      <c r="D575" s="2"/>
      <c r="E575" s="464"/>
      <c r="F575" s="2"/>
      <c r="G575" s="2"/>
      <c r="H575" s="2"/>
      <c r="I575" s="2"/>
      <c r="J575" s="2"/>
      <c r="K575" s="2"/>
      <c r="L575" s="2"/>
      <c r="M575" s="2"/>
      <c r="N575" s="2"/>
      <c r="O575" s="2"/>
      <c r="P575" s="2"/>
      <c r="Q575" s="2"/>
      <c r="S575" s="3"/>
      <c r="T575" s="3"/>
      <c r="U575" s="3"/>
      <c r="V575" s="3"/>
      <c r="W575" s="3"/>
      <c r="X575" s="3"/>
      <c r="Y575" s="3"/>
      <c r="Z575" s="3"/>
    </row>
    <row r="576" ht="15.75" customHeight="1">
      <c r="A576" s="3"/>
      <c r="B576" s="2"/>
      <c r="C576" s="2"/>
      <c r="D576" s="2"/>
      <c r="E576" s="464"/>
      <c r="F576" s="2"/>
      <c r="G576" s="2"/>
      <c r="H576" s="2"/>
      <c r="I576" s="2"/>
      <c r="J576" s="2"/>
      <c r="K576" s="2"/>
      <c r="L576" s="2"/>
      <c r="M576" s="2"/>
      <c r="N576" s="2"/>
      <c r="O576" s="2"/>
      <c r="P576" s="2"/>
      <c r="Q576" s="2"/>
      <c r="S576" s="3"/>
      <c r="T576" s="3"/>
      <c r="U576" s="3"/>
      <c r="V576" s="3"/>
      <c r="W576" s="3"/>
      <c r="X576" s="3"/>
      <c r="Y576" s="3"/>
      <c r="Z576" s="3"/>
    </row>
    <row r="577" ht="15.75" customHeight="1">
      <c r="A577" s="3"/>
      <c r="B577" s="2"/>
      <c r="C577" s="2"/>
      <c r="D577" s="2"/>
      <c r="E577" s="464"/>
      <c r="F577" s="2"/>
      <c r="G577" s="2"/>
      <c r="H577" s="2"/>
      <c r="I577" s="2"/>
      <c r="J577" s="2"/>
      <c r="K577" s="2"/>
      <c r="L577" s="2"/>
      <c r="M577" s="2"/>
      <c r="N577" s="2"/>
      <c r="O577" s="2"/>
      <c r="P577" s="2"/>
      <c r="Q577" s="2"/>
      <c r="S577" s="3"/>
      <c r="T577" s="3"/>
      <c r="U577" s="3"/>
      <c r="V577" s="3"/>
      <c r="W577" s="3"/>
      <c r="X577" s="3"/>
      <c r="Y577" s="3"/>
      <c r="Z577" s="3"/>
    </row>
    <row r="578" ht="15.75" customHeight="1">
      <c r="A578" s="3"/>
      <c r="B578" s="2"/>
      <c r="C578" s="2"/>
      <c r="D578" s="2"/>
      <c r="E578" s="464"/>
      <c r="F578" s="2"/>
      <c r="G578" s="2"/>
      <c r="H578" s="2"/>
      <c r="I578" s="2"/>
      <c r="J578" s="2"/>
      <c r="K578" s="2"/>
      <c r="L578" s="2"/>
      <c r="M578" s="2"/>
      <c r="N578" s="2"/>
      <c r="O578" s="2"/>
      <c r="P578" s="2"/>
      <c r="Q578" s="2"/>
      <c r="S578" s="3"/>
      <c r="T578" s="3"/>
      <c r="U578" s="3"/>
      <c r="V578" s="3"/>
      <c r="W578" s="3"/>
      <c r="X578" s="3"/>
      <c r="Y578" s="3"/>
      <c r="Z578" s="3"/>
    </row>
    <row r="579" ht="15.75" customHeight="1">
      <c r="A579" s="3"/>
      <c r="B579" s="2"/>
      <c r="C579" s="2"/>
      <c r="D579" s="2"/>
      <c r="E579" s="464"/>
      <c r="F579" s="2"/>
      <c r="G579" s="2"/>
      <c r="H579" s="2"/>
      <c r="I579" s="2"/>
      <c r="J579" s="2"/>
      <c r="K579" s="2"/>
      <c r="L579" s="2"/>
      <c r="M579" s="2"/>
      <c r="N579" s="2"/>
      <c r="O579" s="2"/>
      <c r="P579" s="2"/>
      <c r="Q579" s="2"/>
      <c r="S579" s="3"/>
      <c r="T579" s="3"/>
      <c r="U579" s="3"/>
      <c r="V579" s="3"/>
      <c r="W579" s="3"/>
      <c r="X579" s="3"/>
      <c r="Y579" s="3"/>
      <c r="Z579" s="3"/>
    </row>
    <row r="580" ht="15.75" customHeight="1">
      <c r="A580" s="3"/>
      <c r="B580" s="2"/>
      <c r="C580" s="2"/>
      <c r="D580" s="2"/>
      <c r="E580" s="464"/>
      <c r="F580" s="2"/>
      <c r="G580" s="2"/>
      <c r="H580" s="2"/>
      <c r="I580" s="2"/>
      <c r="J580" s="2"/>
      <c r="K580" s="2"/>
      <c r="L580" s="2"/>
      <c r="M580" s="2"/>
      <c r="N580" s="2"/>
      <c r="O580" s="2"/>
      <c r="P580" s="2"/>
      <c r="Q580" s="2"/>
      <c r="S580" s="3"/>
      <c r="T580" s="3"/>
      <c r="U580" s="3"/>
      <c r="V580" s="3"/>
      <c r="W580" s="3"/>
      <c r="X580" s="3"/>
      <c r="Y580" s="3"/>
      <c r="Z580" s="3"/>
    </row>
    <row r="581" ht="15.75" customHeight="1">
      <c r="A581" s="3"/>
      <c r="B581" s="2"/>
      <c r="C581" s="2"/>
      <c r="D581" s="2"/>
      <c r="E581" s="464"/>
      <c r="F581" s="2"/>
      <c r="G581" s="2"/>
      <c r="H581" s="2"/>
      <c r="I581" s="2"/>
      <c r="J581" s="2"/>
      <c r="K581" s="2"/>
      <c r="L581" s="2"/>
      <c r="M581" s="2"/>
      <c r="N581" s="2"/>
      <c r="O581" s="2"/>
      <c r="P581" s="2"/>
      <c r="Q581" s="2"/>
      <c r="S581" s="3"/>
      <c r="T581" s="3"/>
      <c r="U581" s="3"/>
      <c r="V581" s="3"/>
      <c r="W581" s="3"/>
      <c r="X581" s="3"/>
      <c r="Y581" s="3"/>
      <c r="Z581" s="3"/>
    </row>
    <row r="582" ht="15.75" customHeight="1">
      <c r="A582" s="3"/>
      <c r="B582" s="2"/>
      <c r="C582" s="2"/>
      <c r="D582" s="2"/>
      <c r="E582" s="464"/>
      <c r="F582" s="2"/>
      <c r="G582" s="2"/>
      <c r="H582" s="2"/>
      <c r="I582" s="2"/>
      <c r="J582" s="2"/>
      <c r="K582" s="2"/>
      <c r="L582" s="2"/>
      <c r="M582" s="2"/>
      <c r="N582" s="2"/>
      <c r="O582" s="2"/>
      <c r="P582" s="2"/>
      <c r="Q582" s="2"/>
      <c r="S582" s="3"/>
      <c r="T582" s="3"/>
      <c r="U582" s="3"/>
      <c r="V582" s="3"/>
      <c r="W582" s="3"/>
      <c r="X582" s="3"/>
      <c r="Y582" s="3"/>
      <c r="Z582" s="3"/>
    </row>
    <row r="583" ht="15.75" customHeight="1">
      <c r="A583" s="3"/>
      <c r="B583" s="2"/>
      <c r="C583" s="2"/>
      <c r="D583" s="2"/>
      <c r="E583" s="464"/>
      <c r="F583" s="2"/>
      <c r="G583" s="2"/>
      <c r="H583" s="2"/>
      <c r="I583" s="2"/>
      <c r="J583" s="2"/>
      <c r="K583" s="2"/>
      <c r="L583" s="2"/>
      <c r="M583" s="2"/>
      <c r="N583" s="2"/>
      <c r="O583" s="2"/>
      <c r="P583" s="2"/>
      <c r="Q583" s="2"/>
      <c r="S583" s="3"/>
      <c r="T583" s="3"/>
      <c r="U583" s="3"/>
      <c r="V583" s="3"/>
      <c r="W583" s="3"/>
      <c r="X583" s="3"/>
      <c r="Y583" s="3"/>
      <c r="Z583" s="3"/>
    </row>
    <row r="584" ht="15.75" customHeight="1">
      <c r="A584" s="3"/>
      <c r="B584" s="2"/>
      <c r="C584" s="2"/>
      <c r="D584" s="2"/>
      <c r="E584" s="464"/>
      <c r="F584" s="2"/>
      <c r="G584" s="2"/>
      <c r="H584" s="2"/>
      <c r="I584" s="2"/>
      <c r="J584" s="2"/>
      <c r="K584" s="2"/>
      <c r="L584" s="2"/>
      <c r="M584" s="2"/>
      <c r="N584" s="2"/>
      <c r="O584" s="2"/>
      <c r="P584" s="2"/>
      <c r="Q584" s="2"/>
      <c r="S584" s="3"/>
      <c r="T584" s="3"/>
      <c r="U584" s="3"/>
      <c r="V584" s="3"/>
      <c r="W584" s="3"/>
      <c r="X584" s="3"/>
      <c r="Y584" s="3"/>
      <c r="Z584" s="3"/>
    </row>
    <row r="585" ht="15.75" customHeight="1">
      <c r="A585" s="3"/>
      <c r="B585" s="2"/>
      <c r="C585" s="2"/>
      <c r="D585" s="2"/>
      <c r="E585" s="464"/>
      <c r="F585" s="2"/>
      <c r="G585" s="2"/>
      <c r="H585" s="2"/>
      <c r="I585" s="2"/>
      <c r="J585" s="2"/>
      <c r="K585" s="2"/>
      <c r="L585" s="2"/>
      <c r="M585" s="2"/>
      <c r="N585" s="2"/>
      <c r="O585" s="2"/>
      <c r="P585" s="2"/>
      <c r="Q585" s="2"/>
      <c r="S585" s="3"/>
      <c r="T585" s="3"/>
      <c r="U585" s="3"/>
      <c r="V585" s="3"/>
      <c r="W585" s="3"/>
      <c r="X585" s="3"/>
      <c r="Y585" s="3"/>
      <c r="Z585" s="3"/>
    </row>
    <row r="586" ht="15.75" customHeight="1">
      <c r="A586" s="3"/>
      <c r="B586" s="2"/>
      <c r="C586" s="2"/>
      <c r="D586" s="2"/>
      <c r="E586" s="464"/>
      <c r="F586" s="2"/>
      <c r="G586" s="2"/>
      <c r="H586" s="2"/>
      <c r="I586" s="2"/>
      <c r="J586" s="2"/>
      <c r="K586" s="2"/>
      <c r="L586" s="2"/>
      <c r="M586" s="2"/>
      <c r="N586" s="2"/>
      <c r="O586" s="2"/>
      <c r="P586" s="2"/>
      <c r="Q586" s="2"/>
      <c r="S586" s="3"/>
      <c r="T586" s="3"/>
      <c r="U586" s="3"/>
      <c r="V586" s="3"/>
      <c r="W586" s="3"/>
      <c r="X586" s="3"/>
      <c r="Y586" s="3"/>
      <c r="Z586" s="3"/>
    </row>
    <row r="587" ht="15.75" customHeight="1">
      <c r="A587" s="3"/>
      <c r="B587" s="2"/>
      <c r="C587" s="2"/>
      <c r="D587" s="2"/>
      <c r="E587" s="464"/>
      <c r="F587" s="2"/>
      <c r="G587" s="2"/>
      <c r="H587" s="2"/>
      <c r="I587" s="2"/>
      <c r="J587" s="2"/>
      <c r="K587" s="2"/>
      <c r="L587" s="2"/>
      <c r="M587" s="2"/>
      <c r="N587" s="2"/>
      <c r="O587" s="2"/>
      <c r="P587" s="2"/>
      <c r="Q587" s="2"/>
      <c r="S587" s="3"/>
      <c r="T587" s="3"/>
      <c r="U587" s="3"/>
      <c r="V587" s="3"/>
      <c r="W587" s="3"/>
      <c r="X587" s="3"/>
      <c r="Y587" s="3"/>
      <c r="Z587" s="3"/>
    </row>
    <row r="588" ht="15.75" customHeight="1">
      <c r="A588" s="3"/>
      <c r="B588" s="2"/>
      <c r="C588" s="2"/>
      <c r="D588" s="2"/>
      <c r="E588" s="464"/>
      <c r="F588" s="2"/>
      <c r="G588" s="2"/>
      <c r="H588" s="2"/>
      <c r="I588" s="2"/>
      <c r="J588" s="2"/>
      <c r="K588" s="2"/>
      <c r="L588" s="2"/>
      <c r="M588" s="2"/>
      <c r="N588" s="2"/>
      <c r="O588" s="2"/>
      <c r="P588" s="2"/>
      <c r="Q588" s="2"/>
      <c r="S588" s="3"/>
      <c r="T588" s="3"/>
      <c r="U588" s="3"/>
      <c r="V588" s="3"/>
      <c r="W588" s="3"/>
      <c r="X588" s="3"/>
      <c r="Y588" s="3"/>
      <c r="Z588" s="3"/>
    </row>
    <row r="589" ht="15.75" customHeight="1">
      <c r="A589" s="3"/>
      <c r="B589" s="2"/>
      <c r="C589" s="2"/>
      <c r="D589" s="2"/>
      <c r="E589" s="464"/>
      <c r="F589" s="2"/>
      <c r="G589" s="2"/>
      <c r="H589" s="2"/>
      <c r="I589" s="2"/>
      <c r="J589" s="2"/>
      <c r="K589" s="2"/>
      <c r="L589" s="2"/>
      <c r="M589" s="2"/>
      <c r="N589" s="2"/>
      <c r="O589" s="2"/>
      <c r="P589" s="2"/>
      <c r="Q589" s="2"/>
      <c r="S589" s="3"/>
      <c r="T589" s="3"/>
      <c r="U589" s="3"/>
      <c r="V589" s="3"/>
      <c r="W589" s="3"/>
      <c r="X589" s="3"/>
      <c r="Y589" s="3"/>
      <c r="Z589" s="3"/>
    </row>
    <row r="590" ht="15.75" customHeight="1">
      <c r="A590" s="3"/>
      <c r="B590" s="2"/>
      <c r="C590" s="2"/>
      <c r="D590" s="2"/>
      <c r="E590" s="464"/>
      <c r="F590" s="2"/>
      <c r="G590" s="2"/>
      <c r="H590" s="2"/>
      <c r="I590" s="2"/>
      <c r="J590" s="2"/>
      <c r="K590" s="2"/>
      <c r="L590" s="2"/>
      <c r="M590" s="2"/>
      <c r="N590" s="2"/>
      <c r="O590" s="2"/>
      <c r="P590" s="2"/>
      <c r="Q590" s="2"/>
      <c r="S590" s="3"/>
      <c r="T590" s="3"/>
      <c r="U590" s="3"/>
      <c r="V590" s="3"/>
      <c r="W590" s="3"/>
      <c r="X590" s="3"/>
      <c r="Y590" s="3"/>
      <c r="Z590" s="3"/>
    </row>
    <row r="591" ht="15.75" customHeight="1">
      <c r="A591" s="3"/>
      <c r="B591" s="2"/>
      <c r="C591" s="2"/>
      <c r="D591" s="2"/>
      <c r="E591" s="464"/>
      <c r="F591" s="2"/>
      <c r="G591" s="2"/>
      <c r="H591" s="2"/>
      <c r="I591" s="2"/>
      <c r="J591" s="2"/>
      <c r="K591" s="2"/>
      <c r="L591" s="2"/>
      <c r="M591" s="2"/>
      <c r="N591" s="2"/>
      <c r="O591" s="2"/>
      <c r="P591" s="2"/>
      <c r="Q591" s="2"/>
      <c r="S591" s="3"/>
      <c r="T591" s="3"/>
      <c r="U591" s="3"/>
      <c r="V591" s="3"/>
      <c r="W591" s="3"/>
      <c r="X591" s="3"/>
      <c r="Y591" s="3"/>
      <c r="Z591" s="3"/>
    </row>
    <row r="592" ht="15.75" customHeight="1">
      <c r="A592" s="3"/>
      <c r="B592" s="2"/>
      <c r="C592" s="2"/>
      <c r="D592" s="2"/>
      <c r="E592" s="464"/>
      <c r="F592" s="2"/>
      <c r="G592" s="2"/>
      <c r="H592" s="2"/>
      <c r="I592" s="2"/>
      <c r="J592" s="2"/>
      <c r="K592" s="2"/>
      <c r="L592" s="2"/>
      <c r="M592" s="2"/>
      <c r="N592" s="2"/>
      <c r="O592" s="2"/>
      <c r="P592" s="2"/>
      <c r="Q592" s="2"/>
      <c r="S592" s="3"/>
      <c r="T592" s="3"/>
      <c r="U592" s="3"/>
      <c r="V592" s="3"/>
      <c r="W592" s="3"/>
      <c r="X592" s="3"/>
      <c r="Y592" s="3"/>
      <c r="Z592" s="3"/>
    </row>
    <row r="593" ht="15.75" customHeight="1">
      <c r="A593" s="3"/>
      <c r="B593" s="2"/>
      <c r="C593" s="2"/>
      <c r="D593" s="2"/>
      <c r="E593" s="464"/>
      <c r="F593" s="2"/>
      <c r="G593" s="2"/>
      <c r="H593" s="2"/>
      <c r="I593" s="2"/>
      <c r="J593" s="2"/>
      <c r="K593" s="2"/>
      <c r="L593" s="2"/>
      <c r="M593" s="2"/>
      <c r="N593" s="2"/>
      <c r="O593" s="2"/>
      <c r="P593" s="2"/>
      <c r="Q593" s="2"/>
      <c r="S593" s="3"/>
      <c r="T593" s="3"/>
      <c r="U593" s="3"/>
      <c r="V593" s="3"/>
      <c r="W593" s="3"/>
      <c r="X593" s="3"/>
      <c r="Y593" s="3"/>
      <c r="Z593" s="3"/>
    </row>
    <row r="594" ht="15.75" customHeight="1">
      <c r="A594" s="3"/>
      <c r="B594" s="2"/>
      <c r="C594" s="2"/>
      <c r="D594" s="2"/>
      <c r="E594" s="464"/>
      <c r="F594" s="2"/>
      <c r="G594" s="2"/>
      <c r="H594" s="2"/>
      <c r="I594" s="2"/>
      <c r="J594" s="2"/>
      <c r="K594" s="2"/>
      <c r="L594" s="2"/>
      <c r="M594" s="2"/>
      <c r="N594" s="2"/>
      <c r="O594" s="2"/>
      <c r="P594" s="2"/>
      <c r="Q594" s="2"/>
      <c r="S594" s="3"/>
      <c r="T594" s="3"/>
      <c r="U594" s="3"/>
      <c r="V594" s="3"/>
      <c r="W594" s="3"/>
      <c r="X594" s="3"/>
      <c r="Y594" s="3"/>
      <c r="Z594" s="3"/>
    </row>
    <row r="595" ht="15.75" customHeight="1">
      <c r="A595" s="3"/>
      <c r="B595" s="2"/>
      <c r="C595" s="2"/>
      <c r="D595" s="2"/>
      <c r="E595" s="464"/>
      <c r="F595" s="2"/>
      <c r="G595" s="2"/>
      <c r="H595" s="2"/>
      <c r="I595" s="2"/>
      <c r="J595" s="2"/>
      <c r="K595" s="2"/>
      <c r="L595" s="2"/>
      <c r="M595" s="2"/>
      <c r="N595" s="2"/>
      <c r="O595" s="2"/>
      <c r="P595" s="2"/>
      <c r="Q595" s="2"/>
      <c r="S595" s="3"/>
      <c r="T595" s="3"/>
      <c r="U595" s="3"/>
      <c r="V595" s="3"/>
      <c r="W595" s="3"/>
      <c r="X595" s="3"/>
      <c r="Y595" s="3"/>
      <c r="Z595" s="3"/>
    </row>
    <row r="596" ht="15.75" customHeight="1">
      <c r="A596" s="3"/>
      <c r="B596" s="2"/>
      <c r="C596" s="2"/>
      <c r="D596" s="2"/>
      <c r="E596" s="464"/>
      <c r="F596" s="2"/>
      <c r="G596" s="2"/>
      <c r="H596" s="2"/>
      <c r="I596" s="2"/>
      <c r="J596" s="2"/>
      <c r="K596" s="2"/>
      <c r="L596" s="2"/>
      <c r="M596" s="2"/>
      <c r="N596" s="2"/>
      <c r="O596" s="2"/>
      <c r="P596" s="2"/>
      <c r="Q596" s="2"/>
      <c r="S596" s="3"/>
      <c r="T596" s="3"/>
      <c r="U596" s="3"/>
      <c r="V596" s="3"/>
      <c r="W596" s="3"/>
      <c r="X596" s="3"/>
      <c r="Y596" s="3"/>
      <c r="Z596" s="3"/>
    </row>
    <row r="597" ht="15.75" customHeight="1">
      <c r="A597" s="3"/>
      <c r="B597" s="2"/>
      <c r="C597" s="2"/>
      <c r="D597" s="2"/>
      <c r="E597" s="464"/>
      <c r="F597" s="2"/>
      <c r="G597" s="2"/>
      <c r="H597" s="2"/>
      <c r="I597" s="2"/>
      <c r="J597" s="2"/>
      <c r="K597" s="2"/>
      <c r="L597" s="2"/>
      <c r="M597" s="2"/>
      <c r="N597" s="2"/>
      <c r="O597" s="2"/>
      <c r="P597" s="2"/>
      <c r="Q597" s="2"/>
      <c r="S597" s="3"/>
      <c r="T597" s="3"/>
      <c r="U597" s="3"/>
      <c r="V597" s="3"/>
      <c r="W597" s="3"/>
      <c r="X597" s="3"/>
      <c r="Y597" s="3"/>
      <c r="Z597" s="3"/>
    </row>
    <row r="598" ht="15.75" customHeight="1">
      <c r="A598" s="3"/>
      <c r="B598" s="2"/>
      <c r="C598" s="2"/>
      <c r="D598" s="2"/>
      <c r="E598" s="464"/>
      <c r="F598" s="2"/>
      <c r="G598" s="2"/>
      <c r="H598" s="2"/>
      <c r="I598" s="2"/>
      <c r="J598" s="2"/>
      <c r="K598" s="2"/>
      <c r="L598" s="2"/>
      <c r="M598" s="2"/>
      <c r="N598" s="2"/>
      <c r="O598" s="2"/>
      <c r="P598" s="2"/>
      <c r="Q598" s="2"/>
      <c r="S598" s="3"/>
      <c r="T598" s="3"/>
      <c r="U598" s="3"/>
      <c r="V598" s="3"/>
      <c r="W598" s="3"/>
      <c r="X598" s="3"/>
      <c r="Y598" s="3"/>
      <c r="Z598" s="3"/>
    </row>
    <row r="599" ht="15.75" customHeight="1">
      <c r="A599" s="3"/>
      <c r="B599" s="2"/>
      <c r="C599" s="2"/>
      <c r="D599" s="2"/>
      <c r="E599" s="464"/>
      <c r="F599" s="2"/>
      <c r="G599" s="2"/>
      <c r="H599" s="2"/>
      <c r="I599" s="2"/>
      <c r="J599" s="2"/>
      <c r="K599" s="2"/>
      <c r="L599" s="2"/>
      <c r="M599" s="2"/>
      <c r="N599" s="2"/>
      <c r="O599" s="2"/>
      <c r="P599" s="2"/>
      <c r="Q599" s="2"/>
      <c r="S599" s="3"/>
      <c r="T599" s="3"/>
      <c r="U599" s="3"/>
      <c r="V599" s="3"/>
      <c r="W599" s="3"/>
      <c r="X599" s="3"/>
      <c r="Y599" s="3"/>
      <c r="Z599" s="3"/>
    </row>
    <row r="600" ht="15.75" customHeight="1">
      <c r="A600" s="3"/>
      <c r="B600" s="2"/>
      <c r="C600" s="2"/>
      <c r="D600" s="2"/>
      <c r="E600" s="464"/>
      <c r="F600" s="2"/>
      <c r="G600" s="2"/>
      <c r="H600" s="2"/>
      <c r="I600" s="2"/>
      <c r="J600" s="2"/>
      <c r="K600" s="2"/>
      <c r="L600" s="2"/>
      <c r="M600" s="2"/>
      <c r="N600" s="2"/>
      <c r="O600" s="2"/>
      <c r="P600" s="2"/>
      <c r="Q600" s="2"/>
      <c r="S600" s="3"/>
      <c r="T600" s="3"/>
      <c r="U600" s="3"/>
      <c r="V600" s="3"/>
      <c r="W600" s="3"/>
      <c r="X600" s="3"/>
      <c r="Y600" s="3"/>
      <c r="Z600" s="3"/>
    </row>
    <row r="601" ht="15.75" customHeight="1">
      <c r="A601" s="3"/>
      <c r="B601" s="2"/>
      <c r="C601" s="2"/>
      <c r="D601" s="2"/>
      <c r="E601" s="464"/>
      <c r="F601" s="2"/>
      <c r="G601" s="2"/>
      <c r="H601" s="2"/>
      <c r="I601" s="2"/>
      <c r="J601" s="2"/>
      <c r="K601" s="2"/>
      <c r="L601" s="2"/>
      <c r="M601" s="2"/>
      <c r="N601" s="2"/>
      <c r="O601" s="2"/>
      <c r="P601" s="2"/>
      <c r="Q601" s="2"/>
      <c r="S601" s="3"/>
      <c r="T601" s="3"/>
      <c r="U601" s="3"/>
      <c r="V601" s="3"/>
      <c r="W601" s="3"/>
      <c r="X601" s="3"/>
      <c r="Y601" s="3"/>
      <c r="Z601" s="3"/>
    </row>
    <row r="602" ht="15.75" customHeight="1">
      <c r="A602" s="3"/>
      <c r="B602" s="2"/>
      <c r="C602" s="2"/>
      <c r="D602" s="2"/>
      <c r="E602" s="464"/>
      <c r="F602" s="2"/>
      <c r="G602" s="2"/>
      <c r="H602" s="2"/>
      <c r="I602" s="2"/>
      <c r="J602" s="2"/>
      <c r="K602" s="2"/>
      <c r="L602" s="2"/>
      <c r="M602" s="2"/>
      <c r="N602" s="2"/>
      <c r="O602" s="2"/>
      <c r="P602" s="2"/>
      <c r="Q602" s="2"/>
      <c r="S602" s="3"/>
      <c r="T602" s="3"/>
      <c r="U602" s="3"/>
      <c r="V602" s="3"/>
      <c r="W602" s="3"/>
      <c r="X602" s="3"/>
      <c r="Y602" s="3"/>
      <c r="Z602" s="3"/>
    </row>
    <row r="603" ht="15.75" customHeight="1">
      <c r="A603" s="3"/>
      <c r="B603" s="2"/>
      <c r="C603" s="2"/>
      <c r="D603" s="2"/>
      <c r="E603" s="464"/>
      <c r="F603" s="2"/>
      <c r="G603" s="2"/>
      <c r="H603" s="2"/>
      <c r="I603" s="2"/>
      <c r="J603" s="2"/>
      <c r="K603" s="2"/>
      <c r="L603" s="2"/>
      <c r="M603" s="2"/>
      <c r="N603" s="2"/>
      <c r="O603" s="2"/>
      <c r="P603" s="2"/>
      <c r="Q603" s="2"/>
      <c r="S603" s="3"/>
      <c r="T603" s="3"/>
      <c r="U603" s="3"/>
      <c r="V603" s="3"/>
      <c r="W603" s="3"/>
      <c r="X603" s="3"/>
      <c r="Y603" s="3"/>
      <c r="Z603" s="3"/>
    </row>
    <row r="604" ht="15.75" customHeight="1">
      <c r="A604" s="3"/>
      <c r="B604" s="2"/>
      <c r="C604" s="2"/>
      <c r="D604" s="2"/>
      <c r="E604" s="464"/>
      <c r="F604" s="2"/>
      <c r="G604" s="2"/>
      <c r="H604" s="2"/>
      <c r="I604" s="2"/>
      <c r="J604" s="2"/>
      <c r="K604" s="2"/>
      <c r="L604" s="2"/>
      <c r="M604" s="2"/>
      <c r="N604" s="2"/>
      <c r="O604" s="2"/>
      <c r="P604" s="2"/>
      <c r="Q604" s="2"/>
      <c r="S604" s="3"/>
      <c r="T604" s="3"/>
      <c r="U604" s="3"/>
      <c r="V604" s="3"/>
      <c r="W604" s="3"/>
      <c r="X604" s="3"/>
      <c r="Y604" s="3"/>
      <c r="Z604" s="3"/>
    </row>
    <row r="605" ht="15.75" customHeight="1">
      <c r="A605" s="3"/>
      <c r="B605" s="2"/>
      <c r="C605" s="2"/>
      <c r="D605" s="2"/>
      <c r="E605" s="464"/>
      <c r="F605" s="2"/>
      <c r="G605" s="2"/>
      <c r="H605" s="2"/>
      <c r="I605" s="2"/>
      <c r="J605" s="2"/>
      <c r="K605" s="2"/>
      <c r="L605" s="2"/>
      <c r="M605" s="2"/>
      <c r="N605" s="2"/>
      <c r="O605" s="2"/>
      <c r="P605" s="2"/>
      <c r="Q605" s="2"/>
      <c r="S605" s="3"/>
      <c r="T605" s="3"/>
      <c r="U605" s="3"/>
      <c r="V605" s="3"/>
      <c r="W605" s="3"/>
      <c r="X605" s="3"/>
      <c r="Y605" s="3"/>
      <c r="Z605" s="3"/>
    </row>
    <row r="606" ht="15.75" customHeight="1">
      <c r="A606" s="3"/>
      <c r="B606" s="2"/>
      <c r="C606" s="2"/>
      <c r="D606" s="2"/>
      <c r="E606" s="464"/>
      <c r="F606" s="2"/>
      <c r="G606" s="2"/>
      <c r="H606" s="2"/>
      <c r="I606" s="2"/>
      <c r="J606" s="2"/>
      <c r="K606" s="2"/>
      <c r="L606" s="2"/>
      <c r="M606" s="2"/>
      <c r="N606" s="2"/>
      <c r="O606" s="2"/>
      <c r="P606" s="2"/>
      <c r="Q606" s="2"/>
      <c r="S606" s="3"/>
      <c r="T606" s="3"/>
      <c r="U606" s="3"/>
      <c r="V606" s="3"/>
      <c r="W606" s="3"/>
      <c r="X606" s="3"/>
      <c r="Y606" s="3"/>
      <c r="Z606" s="3"/>
    </row>
    <row r="607" ht="15.75" customHeight="1">
      <c r="A607" s="3"/>
      <c r="B607" s="2"/>
      <c r="C607" s="2"/>
      <c r="D607" s="2"/>
      <c r="E607" s="464"/>
      <c r="F607" s="2"/>
      <c r="G607" s="2"/>
      <c r="H607" s="2"/>
      <c r="I607" s="2"/>
      <c r="J607" s="2"/>
      <c r="K607" s="2"/>
      <c r="L607" s="2"/>
      <c r="M607" s="2"/>
      <c r="N607" s="2"/>
      <c r="O607" s="2"/>
      <c r="P607" s="2"/>
      <c r="Q607" s="2"/>
      <c r="S607" s="3"/>
      <c r="T607" s="3"/>
      <c r="U607" s="3"/>
      <c r="V607" s="3"/>
      <c r="W607" s="3"/>
      <c r="X607" s="3"/>
      <c r="Y607" s="3"/>
      <c r="Z607" s="3"/>
    </row>
    <row r="608" ht="15.75" customHeight="1">
      <c r="A608" s="3"/>
      <c r="B608" s="2"/>
      <c r="C608" s="2"/>
      <c r="D608" s="2"/>
      <c r="E608" s="464"/>
      <c r="F608" s="2"/>
      <c r="G608" s="2"/>
      <c r="H608" s="2"/>
      <c r="I608" s="2"/>
      <c r="J608" s="2"/>
      <c r="K608" s="2"/>
      <c r="L608" s="2"/>
      <c r="M608" s="2"/>
      <c r="N608" s="2"/>
      <c r="O608" s="2"/>
      <c r="P608" s="2"/>
      <c r="Q608" s="2"/>
      <c r="S608" s="3"/>
      <c r="T608" s="3"/>
      <c r="U608" s="3"/>
      <c r="V608" s="3"/>
      <c r="W608" s="3"/>
      <c r="X608" s="3"/>
      <c r="Y608" s="3"/>
      <c r="Z608" s="3"/>
    </row>
    <row r="609" ht="15.75" customHeight="1">
      <c r="A609" s="3"/>
      <c r="B609" s="2"/>
      <c r="C609" s="2"/>
      <c r="D609" s="2"/>
      <c r="E609" s="464"/>
      <c r="F609" s="2"/>
      <c r="G609" s="2"/>
      <c r="H609" s="2"/>
      <c r="I609" s="2"/>
      <c r="J609" s="2"/>
      <c r="K609" s="2"/>
      <c r="L609" s="2"/>
      <c r="M609" s="2"/>
      <c r="N609" s="2"/>
      <c r="O609" s="2"/>
      <c r="P609" s="2"/>
      <c r="Q609" s="2"/>
      <c r="S609" s="3"/>
      <c r="T609" s="3"/>
      <c r="U609" s="3"/>
      <c r="V609" s="3"/>
      <c r="W609" s="3"/>
      <c r="X609" s="3"/>
      <c r="Y609" s="3"/>
      <c r="Z609" s="3"/>
    </row>
    <row r="610" ht="15.75" customHeight="1">
      <c r="A610" s="3"/>
      <c r="B610" s="2"/>
      <c r="C610" s="2"/>
      <c r="D610" s="2"/>
      <c r="E610" s="464"/>
      <c r="F610" s="2"/>
      <c r="G610" s="2"/>
      <c r="H610" s="2"/>
      <c r="I610" s="2"/>
      <c r="J610" s="2"/>
      <c r="K610" s="2"/>
      <c r="L610" s="2"/>
      <c r="M610" s="2"/>
      <c r="N610" s="2"/>
      <c r="O610" s="2"/>
      <c r="P610" s="2"/>
      <c r="Q610" s="2"/>
      <c r="S610" s="3"/>
      <c r="T610" s="3"/>
      <c r="U610" s="3"/>
      <c r="V610" s="3"/>
      <c r="W610" s="3"/>
      <c r="X610" s="3"/>
      <c r="Y610" s="3"/>
      <c r="Z610" s="3"/>
    </row>
    <row r="611" ht="15.75" customHeight="1">
      <c r="A611" s="3"/>
      <c r="B611" s="2"/>
      <c r="C611" s="2"/>
      <c r="D611" s="2"/>
      <c r="E611" s="464"/>
      <c r="F611" s="2"/>
      <c r="G611" s="2"/>
      <c r="H611" s="2"/>
      <c r="I611" s="2"/>
      <c r="J611" s="2"/>
      <c r="K611" s="2"/>
      <c r="L611" s="2"/>
      <c r="M611" s="2"/>
      <c r="N611" s="2"/>
      <c r="O611" s="2"/>
      <c r="P611" s="2"/>
      <c r="Q611" s="2"/>
      <c r="S611" s="3"/>
      <c r="T611" s="3"/>
      <c r="U611" s="3"/>
      <c r="V611" s="3"/>
      <c r="W611" s="3"/>
      <c r="X611" s="3"/>
      <c r="Y611" s="3"/>
      <c r="Z611" s="3"/>
    </row>
    <row r="612" ht="15.75" customHeight="1">
      <c r="A612" s="3"/>
      <c r="B612" s="2"/>
      <c r="C612" s="2"/>
      <c r="D612" s="2"/>
      <c r="E612" s="464"/>
      <c r="F612" s="2"/>
      <c r="G612" s="2"/>
      <c r="H612" s="2"/>
      <c r="I612" s="2"/>
      <c r="J612" s="2"/>
      <c r="K612" s="2"/>
      <c r="L612" s="2"/>
      <c r="M612" s="2"/>
      <c r="N612" s="2"/>
      <c r="O612" s="2"/>
      <c r="P612" s="2"/>
      <c r="Q612" s="2"/>
      <c r="S612" s="3"/>
      <c r="T612" s="3"/>
      <c r="U612" s="3"/>
      <c r="V612" s="3"/>
      <c r="W612" s="3"/>
      <c r="X612" s="3"/>
      <c r="Y612" s="3"/>
      <c r="Z612" s="3"/>
    </row>
    <row r="613" ht="15.75" customHeight="1">
      <c r="A613" s="3"/>
      <c r="B613" s="2"/>
      <c r="C613" s="2"/>
      <c r="D613" s="2"/>
      <c r="E613" s="464"/>
      <c r="F613" s="2"/>
      <c r="G613" s="2"/>
      <c r="H613" s="2"/>
      <c r="I613" s="2"/>
      <c r="J613" s="2"/>
      <c r="K613" s="2"/>
      <c r="L613" s="2"/>
      <c r="M613" s="2"/>
      <c r="N613" s="2"/>
      <c r="O613" s="2"/>
      <c r="P613" s="2"/>
      <c r="Q613" s="2"/>
      <c r="S613" s="3"/>
      <c r="T613" s="3"/>
      <c r="U613" s="3"/>
      <c r="V613" s="3"/>
      <c r="W613" s="3"/>
      <c r="X613" s="3"/>
      <c r="Y613" s="3"/>
      <c r="Z613" s="3"/>
    </row>
    <row r="614" ht="15.75" customHeight="1">
      <c r="A614" s="3"/>
      <c r="B614" s="2"/>
      <c r="C614" s="2"/>
      <c r="D614" s="2"/>
      <c r="E614" s="464"/>
      <c r="F614" s="2"/>
      <c r="G614" s="2"/>
      <c r="H614" s="2"/>
      <c r="I614" s="2"/>
      <c r="J614" s="2"/>
      <c r="K614" s="2"/>
      <c r="L614" s="2"/>
      <c r="M614" s="2"/>
      <c r="N614" s="2"/>
      <c r="O614" s="2"/>
      <c r="P614" s="2"/>
      <c r="Q614" s="2"/>
      <c r="S614" s="3"/>
      <c r="T614" s="3"/>
      <c r="U614" s="3"/>
      <c r="V614" s="3"/>
      <c r="W614" s="3"/>
      <c r="X614" s="3"/>
      <c r="Y614" s="3"/>
      <c r="Z614" s="3"/>
    </row>
    <row r="615" ht="15.75" customHeight="1">
      <c r="A615" s="3"/>
      <c r="B615" s="2"/>
      <c r="C615" s="2"/>
      <c r="D615" s="2"/>
      <c r="E615" s="464"/>
      <c r="F615" s="2"/>
      <c r="G615" s="2"/>
      <c r="H615" s="2"/>
      <c r="I615" s="2"/>
      <c r="J615" s="2"/>
      <c r="K615" s="2"/>
      <c r="L615" s="2"/>
      <c r="M615" s="2"/>
      <c r="N615" s="2"/>
      <c r="O615" s="2"/>
      <c r="P615" s="2"/>
      <c r="Q615" s="2"/>
      <c r="S615" s="3"/>
      <c r="T615" s="3"/>
      <c r="U615" s="3"/>
      <c r="V615" s="3"/>
      <c r="W615" s="3"/>
      <c r="X615" s="3"/>
      <c r="Y615" s="3"/>
      <c r="Z615" s="3"/>
    </row>
    <row r="616" ht="15.75" customHeight="1">
      <c r="A616" s="3"/>
      <c r="B616" s="2"/>
      <c r="C616" s="2"/>
      <c r="D616" s="2"/>
      <c r="E616" s="464"/>
      <c r="F616" s="2"/>
      <c r="G616" s="2"/>
      <c r="H616" s="2"/>
      <c r="I616" s="2"/>
      <c r="J616" s="2"/>
      <c r="K616" s="2"/>
      <c r="L616" s="2"/>
      <c r="M616" s="2"/>
      <c r="N616" s="2"/>
      <c r="O616" s="2"/>
      <c r="P616" s="2"/>
      <c r="Q616" s="2"/>
      <c r="S616" s="3"/>
      <c r="T616" s="3"/>
      <c r="U616" s="3"/>
      <c r="V616" s="3"/>
      <c r="W616" s="3"/>
      <c r="X616" s="3"/>
      <c r="Y616" s="3"/>
      <c r="Z616" s="3"/>
    </row>
    <row r="617" ht="15.75" customHeight="1">
      <c r="A617" s="3"/>
      <c r="B617" s="2"/>
      <c r="C617" s="2"/>
      <c r="D617" s="2"/>
      <c r="E617" s="464"/>
      <c r="F617" s="2"/>
      <c r="G617" s="2"/>
      <c r="H617" s="2"/>
      <c r="I617" s="2"/>
      <c r="J617" s="2"/>
      <c r="K617" s="2"/>
      <c r="L617" s="2"/>
      <c r="M617" s="2"/>
      <c r="N617" s="2"/>
      <c r="O617" s="2"/>
      <c r="P617" s="2"/>
      <c r="Q617" s="2"/>
      <c r="S617" s="3"/>
      <c r="T617" s="3"/>
      <c r="U617" s="3"/>
      <c r="V617" s="3"/>
      <c r="W617" s="3"/>
      <c r="X617" s="3"/>
      <c r="Y617" s="3"/>
      <c r="Z617" s="3"/>
    </row>
    <row r="618" ht="15.75" customHeight="1">
      <c r="A618" s="3"/>
      <c r="B618" s="2"/>
      <c r="C618" s="2"/>
      <c r="D618" s="2"/>
      <c r="E618" s="464"/>
      <c r="F618" s="2"/>
      <c r="G618" s="2"/>
      <c r="H618" s="2"/>
      <c r="I618" s="2"/>
      <c r="J618" s="2"/>
      <c r="K618" s="2"/>
      <c r="L618" s="2"/>
      <c r="M618" s="2"/>
      <c r="N618" s="2"/>
      <c r="O618" s="2"/>
      <c r="P618" s="2"/>
      <c r="Q618" s="2"/>
      <c r="S618" s="3"/>
      <c r="T618" s="3"/>
      <c r="U618" s="3"/>
      <c r="V618" s="3"/>
      <c r="W618" s="3"/>
      <c r="X618" s="3"/>
      <c r="Y618" s="3"/>
      <c r="Z618" s="3"/>
    </row>
    <row r="619" ht="15.75" customHeight="1">
      <c r="A619" s="3"/>
      <c r="B619" s="2"/>
      <c r="C619" s="2"/>
      <c r="D619" s="2"/>
      <c r="E619" s="464"/>
      <c r="F619" s="2"/>
      <c r="G619" s="2"/>
      <c r="H619" s="2"/>
      <c r="I619" s="2"/>
      <c r="J619" s="2"/>
      <c r="K619" s="2"/>
      <c r="L619" s="2"/>
      <c r="M619" s="2"/>
      <c r="N619" s="2"/>
      <c r="O619" s="2"/>
      <c r="P619" s="2"/>
      <c r="Q619" s="2"/>
      <c r="S619" s="3"/>
      <c r="T619" s="3"/>
      <c r="U619" s="3"/>
      <c r="V619" s="3"/>
      <c r="W619" s="3"/>
      <c r="X619" s="3"/>
      <c r="Y619" s="3"/>
      <c r="Z619" s="3"/>
    </row>
    <row r="620" ht="15.75" customHeight="1">
      <c r="A620" s="3"/>
      <c r="B620" s="2"/>
      <c r="C620" s="2"/>
      <c r="D620" s="2"/>
      <c r="E620" s="464"/>
      <c r="F620" s="2"/>
      <c r="G620" s="2"/>
      <c r="H620" s="2"/>
      <c r="I620" s="2"/>
      <c r="J620" s="2"/>
      <c r="K620" s="2"/>
      <c r="L620" s="2"/>
      <c r="M620" s="2"/>
      <c r="N620" s="2"/>
      <c r="O620" s="2"/>
      <c r="P620" s="2"/>
      <c r="Q620" s="2"/>
      <c r="S620" s="3"/>
      <c r="T620" s="3"/>
      <c r="U620" s="3"/>
      <c r="V620" s="3"/>
      <c r="W620" s="3"/>
      <c r="X620" s="3"/>
      <c r="Y620" s="3"/>
      <c r="Z620" s="3"/>
    </row>
    <row r="621" ht="15.75" customHeight="1">
      <c r="A621" s="3"/>
      <c r="B621" s="2"/>
      <c r="C621" s="2"/>
      <c r="D621" s="2"/>
      <c r="E621" s="464"/>
      <c r="F621" s="2"/>
      <c r="G621" s="2"/>
      <c r="H621" s="2"/>
      <c r="I621" s="2"/>
      <c r="J621" s="2"/>
      <c r="K621" s="2"/>
      <c r="L621" s="2"/>
      <c r="M621" s="2"/>
      <c r="N621" s="2"/>
      <c r="O621" s="2"/>
      <c r="P621" s="2"/>
      <c r="Q621" s="2"/>
      <c r="S621" s="3"/>
      <c r="T621" s="3"/>
      <c r="U621" s="3"/>
      <c r="V621" s="3"/>
      <c r="W621" s="3"/>
      <c r="X621" s="3"/>
      <c r="Y621" s="3"/>
      <c r="Z621" s="3"/>
    </row>
    <row r="622" ht="15.75" customHeight="1">
      <c r="A622" s="3"/>
      <c r="B622" s="2"/>
      <c r="C622" s="2"/>
      <c r="D622" s="2"/>
      <c r="E622" s="464"/>
      <c r="F622" s="2"/>
      <c r="G622" s="2"/>
      <c r="H622" s="2"/>
      <c r="I622" s="2"/>
      <c r="J622" s="2"/>
      <c r="K622" s="2"/>
      <c r="L622" s="2"/>
      <c r="M622" s="2"/>
      <c r="N622" s="2"/>
      <c r="O622" s="2"/>
      <c r="P622" s="2"/>
      <c r="Q622" s="2"/>
      <c r="S622" s="3"/>
      <c r="T622" s="3"/>
      <c r="U622" s="3"/>
      <c r="V622" s="3"/>
      <c r="W622" s="3"/>
      <c r="X622" s="3"/>
      <c r="Y622" s="3"/>
      <c r="Z622" s="3"/>
    </row>
    <row r="623" ht="15.75" customHeight="1">
      <c r="A623" s="3"/>
      <c r="B623" s="2"/>
      <c r="C623" s="2"/>
      <c r="D623" s="2"/>
      <c r="E623" s="464"/>
      <c r="F623" s="2"/>
      <c r="G623" s="2"/>
      <c r="H623" s="2"/>
      <c r="I623" s="2"/>
      <c r="J623" s="2"/>
      <c r="K623" s="2"/>
      <c r="L623" s="2"/>
      <c r="M623" s="2"/>
      <c r="N623" s="2"/>
      <c r="O623" s="2"/>
      <c r="P623" s="2"/>
      <c r="Q623" s="2"/>
      <c r="S623" s="3"/>
      <c r="T623" s="3"/>
      <c r="U623" s="3"/>
      <c r="V623" s="3"/>
      <c r="W623" s="3"/>
      <c r="X623" s="3"/>
      <c r="Y623" s="3"/>
      <c r="Z623" s="3"/>
    </row>
    <row r="624" ht="15.75" customHeight="1">
      <c r="A624" s="3"/>
      <c r="B624" s="2"/>
      <c r="C624" s="2"/>
      <c r="D624" s="2"/>
      <c r="E624" s="464"/>
      <c r="F624" s="2"/>
      <c r="G624" s="2"/>
      <c r="H624" s="2"/>
      <c r="I624" s="2"/>
      <c r="J624" s="2"/>
      <c r="K624" s="2"/>
      <c r="L624" s="2"/>
      <c r="M624" s="2"/>
      <c r="N624" s="2"/>
      <c r="O624" s="2"/>
      <c r="P624" s="2"/>
      <c r="Q624" s="2"/>
      <c r="S624" s="3"/>
      <c r="T624" s="3"/>
      <c r="U624" s="3"/>
      <c r="V624" s="3"/>
      <c r="W624" s="3"/>
      <c r="X624" s="3"/>
      <c r="Y624" s="3"/>
      <c r="Z624" s="3"/>
    </row>
    <row r="625" ht="15.75" customHeight="1">
      <c r="A625" s="3"/>
      <c r="B625" s="2"/>
      <c r="C625" s="2"/>
      <c r="D625" s="2"/>
      <c r="E625" s="464"/>
      <c r="F625" s="2"/>
      <c r="G625" s="2"/>
      <c r="H625" s="2"/>
      <c r="I625" s="2"/>
      <c r="J625" s="2"/>
      <c r="K625" s="2"/>
      <c r="L625" s="2"/>
      <c r="M625" s="2"/>
      <c r="N625" s="2"/>
      <c r="O625" s="2"/>
      <c r="P625" s="2"/>
      <c r="Q625" s="2"/>
      <c r="S625" s="3"/>
      <c r="T625" s="3"/>
      <c r="U625" s="3"/>
      <c r="V625" s="3"/>
      <c r="W625" s="3"/>
      <c r="X625" s="3"/>
      <c r="Y625" s="3"/>
      <c r="Z625" s="3"/>
    </row>
    <row r="626" ht="15.75" customHeight="1">
      <c r="A626" s="3"/>
      <c r="B626" s="2"/>
      <c r="C626" s="2"/>
      <c r="D626" s="2"/>
      <c r="E626" s="464"/>
      <c r="F626" s="2"/>
      <c r="G626" s="2"/>
      <c r="H626" s="2"/>
      <c r="I626" s="2"/>
      <c r="J626" s="2"/>
      <c r="K626" s="2"/>
      <c r="L626" s="2"/>
      <c r="M626" s="2"/>
      <c r="N626" s="2"/>
      <c r="O626" s="2"/>
      <c r="P626" s="2"/>
      <c r="Q626" s="2"/>
      <c r="S626" s="3"/>
      <c r="T626" s="3"/>
      <c r="U626" s="3"/>
      <c r="V626" s="3"/>
      <c r="W626" s="3"/>
      <c r="X626" s="3"/>
      <c r="Y626" s="3"/>
      <c r="Z626" s="3"/>
    </row>
    <row r="627" ht="15.75" customHeight="1">
      <c r="A627" s="3"/>
      <c r="B627" s="2"/>
      <c r="C627" s="2"/>
      <c r="D627" s="2"/>
      <c r="E627" s="464"/>
      <c r="F627" s="2"/>
      <c r="G627" s="2"/>
      <c r="H627" s="2"/>
      <c r="I627" s="2"/>
      <c r="J627" s="2"/>
      <c r="K627" s="2"/>
      <c r="L627" s="2"/>
      <c r="M627" s="2"/>
      <c r="N627" s="2"/>
      <c r="O627" s="2"/>
      <c r="P627" s="2"/>
      <c r="Q627" s="2"/>
      <c r="S627" s="3"/>
      <c r="T627" s="3"/>
      <c r="U627" s="3"/>
      <c r="V627" s="3"/>
      <c r="W627" s="3"/>
      <c r="X627" s="3"/>
      <c r="Y627" s="3"/>
      <c r="Z627" s="3"/>
    </row>
    <row r="628" ht="15.75" customHeight="1">
      <c r="A628" s="3"/>
      <c r="B628" s="2"/>
      <c r="C628" s="2"/>
      <c r="D628" s="2"/>
      <c r="E628" s="464"/>
      <c r="F628" s="2"/>
      <c r="G628" s="2"/>
      <c r="H628" s="2"/>
      <c r="I628" s="2"/>
      <c r="J628" s="2"/>
      <c r="K628" s="2"/>
      <c r="L628" s="2"/>
      <c r="M628" s="2"/>
      <c r="N628" s="2"/>
      <c r="O628" s="2"/>
      <c r="P628" s="2"/>
      <c r="Q628" s="2"/>
      <c r="S628" s="3"/>
      <c r="T628" s="3"/>
      <c r="U628" s="3"/>
      <c r="V628" s="3"/>
      <c r="W628" s="3"/>
      <c r="X628" s="3"/>
      <c r="Y628" s="3"/>
      <c r="Z628" s="3"/>
    </row>
    <row r="629" ht="15.75" customHeight="1">
      <c r="A629" s="3"/>
      <c r="B629" s="2"/>
      <c r="C629" s="2"/>
      <c r="D629" s="2"/>
      <c r="E629" s="464"/>
      <c r="F629" s="2"/>
      <c r="G629" s="2"/>
      <c r="H629" s="2"/>
      <c r="I629" s="2"/>
      <c r="J629" s="2"/>
      <c r="K629" s="2"/>
      <c r="L629" s="2"/>
      <c r="M629" s="2"/>
      <c r="N629" s="2"/>
      <c r="O629" s="2"/>
      <c r="P629" s="2"/>
      <c r="Q629" s="2"/>
      <c r="S629" s="3"/>
      <c r="T629" s="3"/>
      <c r="U629" s="3"/>
      <c r="V629" s="3"/>
      <c r="W629" s="3"/>
      <c r="X629" s="3"/>
      <c r="Y629" s="3"/>
      <c r="Z629" s="3"/>
    </row>
    <row r="630" ht="15.75" customHeight="1">
      <c r="A630" s="3"/>
      <c r="B630" s="2"/>
      <c r="C630" s="2"/>
      <c r="D630" s="2"/>
      <c r="E630" s="464"/>
      <c r="F630" s="2"/>
      <c r="G630" s="2"/>
      <c r="H630" s="2"/>
      <c r="I630" s="2"/>
      <c r="J630" s="2"/>
      <c r="K630" s="2"/>
      <c r="L630" s="2"/>
      <c r="M630" s="2"/>
      <c r="N630" s="2"/>
      <c r="O630" s="2"/>
      <c r="P630" s="2"/>
      <c r="Q630" s="2"/>
      <c r="S630" s="3"/>
      <c r="T630" s="3"/>
      <c r="U630" s="3"/>
      <c r="V630" s="3"/>
      <c r="W630" s="3"/>
      <c r="X630" s="3"/>
      <c r="Y630" s="3"/>
      <c r="Z630" s="3"/>
    </row>
    <row r="631" ht="15.75" customHeight="1">
      <c r="A631" s="3"/>
      <c r="B631" s="2"/>
      <c r="C631" s="2"/>
      <c r="D631" s="2"/>
      <c r="E631" s="464"/>
      <c r="F631" s="2"/>
      <c r="G631" s="2"/>
      <c r="H631" s="2"/>
      <c r="I631" s="2"/>
      <c r="J631" s="2"/>
      <c r="K631" s="2"/>
      <c r="L631" s="2"/>
      <c r="M631" s="2"/>
      <c r="N631" s="2"/>
      <c r="O631" s="2"/>
      <c r="P631" s="2"/>
      <c r="Q631" s="2"/>
      <c r="S631" s="3"/>
      <c r="T631" s="3"/>
      <c r="U631" s="3"/>
      <c r="V631" s="3"/>
      <c r="W631" s="3"/>
      <c r="X631" s="3"/>
      <c r="Y631" s="3"/>
      <c r="Z631" s="3"/>
    </row>
    <row r="632" ht="15.75" customHeight="1">
      <c r="A632" s="3"/>
      <c r="B632" s="2"/>
      <c r="C632" s="2"/>
      <c r="D632" s="2"/>
      <c r="E632" s="464"/>
      <c r="F632" s="2"/>
      <c r="G632" s="2"/>
      <c r="H632" s="2"/>
      <c r="I632" s="2"/>
      <c r="J632" s="2"/>
      <c r="K632" s="2"/>
      <c r="L632" s="2"/>
      <c r="M632" s="2"/>
      <c r="N632" s="2"/>
      <c r="O632" s="2"/>
      <c r="P632" s="2"/>
      <c r="Q632" s="2"/>
      <c r="S632" s="3"/>
      <c r="T632" s="3"/>
      <c r="U632" s="3"/>
      <c r="V632" s="3"/>
      <c r="W632" s="3"/>
      <c r="X632" s="3"/>
      <c r="Y632" s="3"/>
      <c r="Z632" s="3"/>
    </row>
    <row r="633" ht="15.75" customHeight="1">
      <c r="A633" s="3"/>
      <c r="B633" s="2"/>
      <c r="C633" s="2"/>
      <c r="D633" s="2"/>
      <c r="E633" s="464"/>
      <c r="F633" s="2"/>
      <c r="G633" s="2"/>
      <c r="H633" s="2"/>
      <c r="I633" s="2"/>
      <c r="J633" s="2"/>
      <c r="K633" s="2"/>
      <c r="L633" s="2"/>
      <c r="M633" s="2"/>
      <c r="N633" s="2"/>
      <c r="O633" s="2"/>
      <c r="P633" s="2"/>
      <c r="Q633" s="2"/>
      <c r="S633" s="3"/>
      <c r="T633" s="3"/>
      <c r="U633" s="3"/>
      <c r="V633" s="3"/>
      <c r="W633" s="3"/>
      <c r="X633" s="3"/>
      <c r="Y633" s="3"/>
      <c r="Z633" s="3"/>
    </row>
    <row r="634" ht="15.75" customHeight="1">
      <c r="A634" s="3"/>
      <c r="B634" s="2"/>
      <c r="C634" s="2"/>
      <c r="D634" s="2"/>
      <c r="E634" s="464"/>
      <c r="F634" s="2"/>
      <c r="G634" s="2"/>
      <c r="H634" s="2"/>
      <c r="I634" s="2"/>
      <c r="J634" s="2"/>
      <c r="K634" s="2"/>
      <c r="L634" s="2"/>
      <c r="M634" s="2"/>
      <c r="N634" s="2"/>
      <c r="O634" s="2"/>
      <c r="P634" s="2"/>
      <c r="Q634" s="2"/>
      <c r="S634" s="3"/>
      <c r="T634" s="3"/>
      <c r="U634" s="3"/>
      <c r="V634" s="3"/>
      <c r="W634" s="3"/>
      <c r="X634" s="3"/>
      <c r="Y634" s="3"/>
      <c r="Z634" s="3"/>
    </row>
    <row r="635" ht="15.75" customHeight="1">
      <c r="A635" s="3"/>
      <c r="B635" s="2"/>
      <c r="C635" s="2"/>
      <c r="D635" s="2"/>
      <c r="E635" s="464"/>
      <c r="F635" s="2"/>
      <c r="G635" s="2"/>
      <c r="H635" s="2"/>
      <c r="I635" s="2"/>
      <c r="J635" s="2"/>
      <c r="K635" s="2"/>
      <c r="L635" s="2"/>
      <c r="M635" s="2"/>
      <c r="N635" s="2"/>
      <c r="O635" s="2"/>
      <c r="P635" s="2"/>
      <c r="Q635" s="2"/>
      <c r="S635" s="3"/>
      <c r="T635" s="3"/>
      <c r="U635" s="3"/>
      <c r="V635" s="3"/>
      <c r="W635" s="3"/>
      <c r="X635" s="3"/>
      <c r="Y635" s="3"/>
      <c r="Z635" s="3"/>
    </row>
    <row r="636" ht="15.75" customHeight="1">
      <c r="A636" s="3"/>
      <c r="B636" s="2"/>
      <c r="C636" s="2"/>
      <c r="D636" s="2"/>
      <c r="E636" s="464"/>
      <c r="F636" s="2"/>
      <c r="G636" s="2"/>
      <c r="H636" s="2"/>
      <c r="I636" s="2"/>
      <c r="J636" s="2"/>
      <c r="K636" s="2"/>
      <c r="L636" s="2"/>
      <c r="M636" s="2"/>
      <c r="N636" s="2"/>
      <c r="O636" s="2"/>
      <c r="P636" s="2"/>
      <c r="Q636" s="2"/>
      <c r="S636" s="3"/>
      <c r="T636" s="3"/>
      <c r="U636" s="3"/>
      <c r="V636" s="3"/>
      <c r="W636" s="3"/>
      <c r="X636" s="3"/>
      <c r="Y636" s="3"/>
      <c r="Z636" s="3"/>
    </row>
    <row r="637" ht="15.75" customHeight="1">
      <c r="A637" s="3"/>
      <c r="B637" s="2"/>
      <c r="C637" s="2"/>
      <c r="D637" s="2"/>
      <c r="E637" s="464"/>
      <c r="F637" s="2"/>
      <c r="G637" s="2"/>
      <c r="H637" s="2"/>
      <c r="I637" s="2"/>
      <c r="J637" s="2"/>
      <c r="K637" s="2"/>
      <c r="L637" s="2"/>
      <c r="M637" s="2"/>
      <c r="N637" s="2"/>
      <c r="O637" s="2"/>
      <c r="P637" s="2"/>
      <c r="Q637" s="2"/>
      <c r="S637" s="3"/>
      <c r="T637" s="3"/>
      <c r="U637" s="3"/>
      <c r="V637" s="3"/>
      <c r="W637" s="3"/>
      <c r="X637" s="3"/>
      <c r="Y637" s="3"/>
      <c r="Z637" s="3"/>
    </row>
    <row r="638" ht="15.75" customHeight="1">
      <c r="A638" s="3"/>
      <c r="B638" s="2"/>
      <c r="C638" s="2"/>
      <c r="D638" s="2"/>
      <c r="E638" s="464"/>
      <c r="F638" s="2"/>
      <c r="G638" s="2"/>
      <c r="H638" s="2"/>
      <c r="I638" s="2"/>
      <c r="J638" s="2"/>
      <c r="K638" s="2"/>
      <c r="L638" s="2"/>
      <c r="M638" s="2"/>
      <c r="N638" s="2"/>
      <c r="O638" s="2"/>
      <c r="P638" s="2"/>
      <c r="Q638" s="2"/>
      <c r="S638" s="3"/>
      <c r="T638" s="3"/>
      <c r="U638" s="3"/>
      <c r="V638" s="3"/>
      <c r="W638" s="3"/>
      <c r="X638" s="3"/>
      <c r="Y638" s="3"/>
      <c r="Z638" s="3"/>
    </row>
    <row r="639" ht="15.75" customHeight="1">
      <c r="A639" s="3"/>
      <c r="B639" s="2"/>
      <c r="C639" s="2"/>
      <c r="D639" s="2"/>
      <c r="E639" s="464"/>
      <c r="F639" s="2"/>
      <c r="G639" s="2"/>
      <c r="H639" s="2"/>
      <c r="I639" s="2"/>
      <c r="J639" s="2"/>
      <c r="K639" s="2"/>
      <c r="L639" s="2"/>
      <c r="M639" s="2"/>
      <c r="N639" s="2"/>
      <c r="O639" s="2"/>
      <c r="P639" s="2"/>
      <c r="Q639" s="2"/>
      <c r="S639" s="3"/>
      <c r="T639" s="3"/>
      <c r="U639" s="3"/>
      <c r="V639" s="3"/>
      <c r="W639" s="3"/>
      <c r="X639" s="3"/>
      <c r="Y639" s="3"/>
      <c r="Z639" s="3"/>
    </row>
    <row r="640" ht="15.75" customHeight="1">
      <c r="A640" s="3"/>
      <c r="B640" s="2"/>
      <c r="C640" s="2"/>
      <c r="D640" s="2"/>
      <c r="E640" s="464"/>
      <c r="F640" s="2"/>
      <c r="G640" s="2"/>
      <c r="H640" s="2"/>
      <c r="I640" s="2"/>
      <c r="J640" s="2"/>
      <c r="K640" s="2"/>
      <c r="L640" s="2"/>
      <c r="M640" s="2"/>
      <c r="N640" s="2"/>
      <c r="O640" s="2"/>
      <c r="P640" s="2"/>
      <c r="Q640" s="2"/>
      <c r="S640" s="3"/>
      <c r="T640" s="3"/>
      <c r="U640" s="3"/>
      <c r="V640" s="3"/>
      <c r="W640" s="3"/>
      <c r="X640" s="3"/>
      <c r="Y640" s="3"/>
      <c r="Z640" s="3"/>
    </row>
    <row r="641" ht="15.75" customHeight="1">
      <c r="A641" s="3"/>
      <c r="B641" s="2"/>
      <c r="C641" s="2"/>
      <c r="D641" s="2"/>
      <c r="E641" s="464"/>
      <c r="F641" s="2"/>
      <c r="G641" s="2"/>
      <c r="H641" s="2"/>
      <c r="I641" s="2"/>
      <c r="J641" s="2"/>
      <c r="K641" s="2"/>
      <c r="L641" s="2"/>
      <c r="M641" s="2"/>
      <c r="N641" s="2"/>
      <c r="O641" s="2"/>
      <c r="P641" s="2"/>
      <c r="Q641" s="2"/>
      <c r="S641" s="3"/>
      <c r="T641" s="3"/>
      <c r="U641" s="3"/>
      <c r="V641" s="3"/>
      <c r="W641" s="3"/>
      <c r="X641" s="3"/>
      <c r="Y641" s="3"/>
      <c r="Z641" s="3"/>
    </row>
    <row r="642" ht="15.75" customHeight="1">
      <c r="A642" s="3"/>
      <c r="B642" s="2"/>
      <c r="C642" s="2"/>
      <c r="D642" s="2"/>
      <c r="E642" s="464"/>
      <c r="F642" s="2"/>
      <c r="G642" s="2"/>
      <c r="H642" s="2"/>
      <c r="I642" s="2"/>
      <c r="J642" s="2"/>
      <c r="K642" s="2"/>
      <c r="L642" s="2"/>
      <c r="M642" s="2"/>
      <c r="N642" s="2"/>
      <c r="O642" s="2"/>
      <c r="P642" s="2"/>
      <c r="Q642" s="2"/>
      <c r="S642" s="3"/>
      <c r="T642" s="3"/>
      <c r="U642" s="3"/>
      <c r="V642" s="3"/>
      <c r="W642" s="3"/>
      <c r="X642" s="3"/>
      <c r="Y642" s="3"/>
      <c r="Z642" s="3"/>
    </row>
    <row r="643" ht="15.75" customHeight="1">
      <c r="A643" s="3"/>
      <c r="B643" s="2"/>
      <c r="C643" s="2"/>
      <c r="D643" s="2"/>
      <c r="E643" s="464"/>
      <c r="F643" s="2"/>
      <c r="G643" s="2"/>
      <c r="H643" s="2"/>
      <c r="I643" s="2"/>
      <c r="J643" s="2"/>
      <c r="K643" s="2"/>
      <c r="L643" s="2"/>
      <c r="M643" s="2"/>
      <c r="N643" s="2"/>
      <c r="O643" s="2"/>
      <c r="P643" s="2"/>
      <c r="Q643" s="2"/>
      <c r="S643" s="3"/>
      <c r="T643" s="3"/>
      <c r="U643" s="3"/>
      <c r="V643" s="3"/>
      <c r="W643" s="3"/>
      <c r="X643" s="3"/>
      <c r="Y643" s="3"/>
      <c r="Z643" s="3"/>
    </row>
    <row r="644" ht="15.75" customHeight="1">
      <c r="A644" s="3"/>
      <c r="B644" s="2"/>
      <c r="C644" s="2"/>
      <c r="D644" s="2"/>
      <c r="E644" s="464"/>
      <c r="F644" s="2"/>
      <c r="G644" s="2"/>
      <c r="H644" s="2"/>
      <c r="I644" s="2"/>
      <c r="J644" s="2"/>
      <c r="K644" s="2"/>
      <c r="L644" s="2"/>
      <c r="M644" s="2"/>
      <c r="N644" s="2"/>
      <c r="O644" s="2"/>
      <c r="P644" s="2"/>
      <c r="Q644" s="2"/>
      <c r="S644" s="3"/>
      <c r="T644" s="3"/>
      <c r="U644" s="3"/>
      <c r="V644" s="3"/>
      <c r="W644" s="3"/>
      <c r="X644" s="3"/>
      <c r="Y644" s="3"/>
      <c r="Z644" s="3"/>
    </row>
    <row r="645" ht="15.75" customHeight="1">
      <c r="A645" s="3"/>
      <c r="B645" s="2"/>
      <c r="C645" s="2"/>
      <c r="D645" s="2"/>
      <c r="E645" s="464"/>
      <c r="F645" s="2"/>
      <c r="G645" s="2"/>
      <c r="H645" s="2"/>
      <c r="I645" s="2"/>
      <c r="J645" s="2"/>
      <c r="K645" s="2"/>
      <c r="L645" s="2"/>
      <c r="M645" s="2"/>
      <c r="N645" s="2"/>
      <c r="O645" s="2"/>
      <c r="P645" s="2"/>
      <c r="Q645" s="2"/>
      <c r="S645" s="3"/>
      <c r="T645" s="3"/>
      <c r="U645" s="3"/>
      <c r="V645" s="3"/>
      <c r="W645" s="3"/>
      <c r="X645" s="3"/>
      <c r="Y645" s="3"/>
      <c r="Z645" s="3"/>
    </row>
    <row r="646" ht="15.75" customHeight="1">
      <c r="A646" s="3"/>
      <c r="B646" s="2"/>
      <c r="C646" s="2"/>
      <c r="D646" s="2"/>
      <c r="E646" s="464"/>
      <c r="F646" s="2"/>
      <c r="G646" s="2"/>
      <c r="H646" s="2"/>
      <c r="I646" s="2"/>
      <c r="J646" s="2"/>
      <c r="K646" s="2"/>
      <c r="L646" s="2"/>
      <c r="M646" s="2"/>
      <c r="N646" s="2"/>
      <c r="O646" s="2"/>
      <c r="P646" s="2"/>
      <c r="Q646" s="2"/>
      <c r="S646" s="3"/>
      <c r="T646" s="3"/>
      <c r="U646" s="3"/>
      <c r="V646" s="3"/>
      <c r="W646" s="3"/>
      <c r="X646" s="3"/>
      <c r="Y646" s="3"/>
      <c r="Z646" s="3"/>
    </row>
    <row r="647" ht="15.75" customHeight="1">
      <c r="A647" s="3"/>
      <c r="B647" s="2"/>
      <c r="C647" s="2"/>
      <c r="D647" s="2"/>
      <c r="E647" s="464"/>
      <c r="F647" s="2"/>
      <c r="G647" s="2"/>
      <c r="H647" s="2"/>
      <c r="I647" s="2"/>
      <c r="J647" s="2"/>
      <c r="K647" s="2"/>
      <c r="L647" s="2"/>
      <c r="M647" s="2"/>
      <c r="N647" s="2"/>
      <c r="O647" s="2"/>
      <c r="P647" s="2"/>
      <c r="Q647" s="2"/>
      <c r="S647" s="3"/>
      <c r="T647" s="3"/>
      <c r="U647" s="3"/>
      <c r="V647" s="3"/>
      <c r="W647" s="3"/>
      <c r="X647" s="3"/>
      <c r="Y647" s="3"/>
      <c r="Z647" s="3"/>
    </row>
    <row r="648" ht="15.75" customHeight="1">
      <c r="A648" s="3"/>
      <c r="B648" s="2"/>
      <c r="C648" s="2"/>
      <c r="D648" s="2"/>
      <c r="E648" s="464"/>
      <c r="F648" s="2"/>
      <c r="G648" s="2"/>
      <c r="H648" s="2"/>
      <c r="I648" s="2"/>
      <c r="J648" s="2"/>
      <c r="K648" s="2"/>
      <c r="L648" s="2"/>
      <c r="M648" s="2"/>
      <c r="N648" s="2"/>
      <c r="O648" s="2"/>
      <c r="P648" s="2"/>
      <c r="Q648" s="2"/>
      <c r="S648" s="3"/>
      <c r="T648" s="3"/>
      <c r="U648" s="3"/>
      <c r="V648" s="3"/>
      <c r="W648" s="3"/>
      <c r="X648" s="3"/>
      <c r="Y648" s="3"/>
      <c r="Z648" s="3"/>
    </row>
    <row r="649" ht="15.75" customHeight="1">
      <c r="A649" s="3"/>
      <c r="B649" s="2"/>
      <c r="C649" s="2"/>
      <c r="D649" s="2"/>
      <c r="E649" s="464"/>
      <c r="F649" s="2"/>
      <c r="G649" s="2"/>
      <c r="H649" s="2"/>
      <c r="I649" s="2"/>
      <c r="J649" s="2"/>
      <c r="K649" s="2"/>
      <c r="L649" s="2"/>
      <c r="M649" s="2"/>
      <c r="N649" s="2"/>
      <c r="O649" s="2"/>
      <c r="P649" s="2"/>
      <c r="Q649" s="2"/>
      <c r="S649" s="3"/>
      <c r="T649" s="3"/>
      <c r="U649" s="3"/>
      <c r="V649" s="3"/>
      <c r="W649" s="3"/>
      <c r="X649" s="3"/>
      <c r="Y649" s="3"/>
      <c r="Z649" s="3"/>
    </row>
    <row r="650" ht="15.75" customHeight="1">
      <c r="A650" s="3"/>
      <c r="B650" s="2"/>
      <c r="C650" s="2"/>
      <c r="D650" s="2"/>
      <c r="E650" s="464"/>
      <c r="F650" s="2"/>
      <c r="G650" s="2"/>
      <c r="H650" s="2"/>
      <c r="I650" s="2"/>
      <c r="J650" s="2"/>
      <c r="K650" s="2"/>
      <c r="L650" s="2"/>
      <c r="M650" s="2"/>
      <c r="N650" s="2"/>
      <c r="O650" s="2"/>
      <c r="P650" s="2"/>
      <c r="Q650" s="2"/>
      <c r="S650" s="3"/>
      <c r="T650" s="3"/>
      <c r="U650" s="3"/>
      <c r="V650" s="3"/>
      <c r="W650" s="3"/>
      <c r="X650" s="3"/>
      <c r="Y650" s="3"/>
      <c r="Z650" s="3"/>
    </row>
    <row r="651" ht="15.75" customHeight="1">
      <c r="A651" s="3"/>
      <c r="B651" s="2"/>
      <c r="C651" s="2"/>
      <c r="D651" s="2"/>
      <c r="E651" s="464"/>
      <c r="F651" s="2"/>
      <c r="G651" s="2"/>
      <c r="H651" s="2"/>
      <c r="I651" s="2"/>
      <c r="J651" s="2"/>
      <c r="K651" s="2"/>
      <c r="L651" s="2"/>
      <c r="M651" s="2"/>
      <c r="N651" s="2"/>
      <c r="O651" s="2"/>
      <c r="P651" s="2"/>
      <c r="Q651" s="2"/>
      <c r="S651" s="3"/>
      <c r="T651" s="3"/>
      <c r="U651" s="3"/>
      <c r="V651" s="3"/>
      <c r="W651" s="3"/>
      <c r="X651" s="3"/>
      <c r="Y651" s="3"/>
      <c r="Z651" s="3"/>
    </row>
    <row r="652" ht="15.75" customHeight="1">
      <c r="A652" s="3"/>
      <c r="B652" s="2"/>
      <c r="C652" s="2"/>
      <c r="D652" s="2"/>
      <c r="E652" s="464"/>
      <c r="F652" s="2"/>
      <c r="G652" s="2"/>
      <c r="H652" s="2"/>
      <c r="I652" s="2"/>
      <c r="J652" s="2"/>
      <c r="K652" s="2"/>
      <c r="L652" s="2"/>
      <c r="M652" s="2"/>
      <c r="N652" s="2"/>
      <c r="O652" s="2"/>
      <c r="P652" s="2"/>
      <c r="Q652" s="2"/>
      <c r="S652" s="3"/>
      <c r="T652" s="3"/>
      <c r="U652" s="3"/>
      <c r="V652" s="3"/>
      <c r="W652" s="3"/>
      <c r="X652" s="3"/>
      <c r="Y652" s="3"/>
      <c r="Z652" s="3"/>
    </row>
    <row r="653" ht="15.75" customHeight="1">
      <c r="A653" s="3"/>
      <c r="B653" s="2"/>
      <c r="C653" s="2"/>
      <c r="D653" s="2"/>
      <c r="E653" s="464"/>
      <c r="F653" s="2"/>
      <c r="G653" s="2"/>
      <c r="H653" s="2"/>
      <c r="I653" s="2"/>
      <c r="J653" s="2"/>
      <c r="K653" s="2"/>
      <c r="L653" s="2"/>
      <c r="M653" s="2"/>
      <c r="N653" s="2"/>
      <c r="O653" s="2"/>
      <c r="P653" s="2"/>
      <c r="Q653" s="2"/>
      <c r="S653" s="3"/>
      <c r="T653" s="3"/>
      <c r="U653" s="3"/>
      <c r="V653" s="3"/>
      <c r="W653" s="3"/>
      <c r="X653" s="3"/>
      <c r="Y653" s="3"/>
      <c r="Z653" s="3"/>
    </row>
    <row r="654" ht="15.75" customHeight="1">
      <c r="A654" s="3"/>
      <c r="B654" s="2"/>
      <c r="C654" s="2"/>
      <c r="D654" s="2"/>
      <c r="E654" s="464"/>
      <c r="F654" s="2"/>
      <c r="G654" s="2"/>
      <c r="H654" s="2"/>
      <c r="I654" s="2"/>
      <c r="J654" s="2"/>
      <c r="K654" s="2"/>
      <c r="L654" s="2"/>
      <c r="M654" s="2"/>
      <c r="N654" s="2"/>
      <c r="O654" s="2"/>
      <c r="P654" s="2"/>
      <c r="Q654" s="2"/>
      <c r="S654" s="3"/>
      <c r="T654" s="3"/>
      <c r="U654" s="3"/>
      <c r="V654" s="3"/>
      <c r="W654" s="3"/>
      <c r="X654" s="3"/>
      <c r="Y654" s="3"/>
      <c r="Z654" s="3"/>
    </row>
    <row r="655" ht="15.75" customHeight="1">
      <c r="A655" s="3"/>
      <c r="B655" s="2"/>
      <c r="C655" s="2"/>
      <c r="D655" s="2"/>
      <c r="E655" s="464"/>
      <c r="F655" s="2"/>
      <c r="G655" s="2"/>
      <c r="H655" s="2"/>
      <c r="I655" s="2"/>
      <c r="J655" s="2"/>
      <c r="K655" s="2"/>
      <c r="L655" s="2"/>
      <c r="M655" s="2"/>
      <c r="N655" s="2"/>
      <c r="O655" s="2"/>
      <c r="P655" s="2"/>
      <c r="Q655" s="2"/>
      <c r="S655" s="3"/>
      <c r="T655" s="3"/>
      <c r="U655" s="3"/>
      <c r="V655" s="3"/>
      <c r="W655" s="3"/>
      <c r="X655" s="3"/>
      <c r="Y655" s="3"/>
      <c r="Z655" s="3"/>
    </row>
    <row r="656" ht="15.75" customHeight="1">
      <c r="A656" s="3"/>
      <c r="B656" s="2"/>
      <c r="C656" s="2"/>
      <c r="D656" s="2"/>
      <c r="E656" s="464"/>
      <c r="F656" s="2"/>
      <c r="G656" s="2"/>
      <c r="H656" s="2"/>
      <c r="I656" s="2"/>
      <c r="J656" s="2"/>
      <c r="K656" s="2"/>
      <c r="L656" s="2"/>
      <c r="M656" s="2"/>
      <c r="N656" s="2"/>
      <c r="O656" s="2"/>
      <c r="P656" s="2"/>
      <c r="Q656" s="2"/>
      <c r="S656" s="3"/>
      <c r="T656" s="3"/>
      <c r="U656" s="3"/>
      <c r="V656" s="3"/>
      <c r="W656" s="3"/>
      <c r="X656" s="3"/>
      <c r="Y656" s="3"/>
      <c r="Z656" s="3"/>
    </row>
    <row r="657" ht="15.75" customHeight="1">
      <c r="A657" s="3"/>
      <c r="B657" s="2"/>
      <c r="C657" s="2"/>
      <c r="D657" s="2"/>
      <c r="E657" s="464"/>
      <c r="F657" s="2"/>
      <c r="G657" s="2"/>
      <c r="H657" s="2"/>
      <c r="I657" s="2"/>
      <c r="J657" s="2"/>
      <c r="K657" s="2"/>
      <c r="L657" s="2"/>
      <c r="M657" s="2"/>
      <c r="N657" s="2"/>
      <c r="O657" s="2"/>
      <c r="P657" s="2"/>
      <c r="Q657" s="2"/>
      <c r="S657" s="3"/>
      <c r="T657" s="3"/>
      <c r="U657" s="3"/>
      <c r="V657" s="3"/>
      <c r="W657" s="3"/>
      <c r="X657" s="3"/>
      <c r="Y657" s="3"/>
      <c r="Z657" s="3"/>
    </row>
    <row r="658" ht="15.75" customHeight="1">
      <c r="A658" s="3"/>
      <c r="B658" s="2"/>
      <c r="C658" s="2"/>
      <c r="D658" s="2"/>
      <c r="E658" s="464"/>
      <c r="F658" s="2"/>
      <c r="G658" s="2"/>
      <c r="H658" s="2"/>
      <c r="I658" s="2"/>
      <c r="J658" s="2"/>
      <c r="K658" s="2"/>
      <c r="L658" s="2"/>
      <c r="M658" s="2"/>
      <c r="N658" s="2"/>
      <c r="O658" s="2"/>
      <c r="P658" s="2"/>
      <c r="Q658" s="2"/>
      <c r="S658" s="3"/>
      <c r="T658" s="3"/>
      <c r="U658" s="3"/>
      <c r="V658" s="3"/>
      <c r="W658" s="3"/>
      <c r="X658" s="3"/>
      <c r="Y658" s="3"/>
      <c r="Z658" s="3"/>
    </row>
    <row r="659" ht="15.75" customHeight="1">
      <c r="A659" s="3"/>
      <c r="B659" s="2"/>
      <c r="C659" s="2"/>
      <c r="D659" s="2"/>
      <c r="E659" s="464"/>
      <c r="F659" s="2"/>
      <c r="G659" s="2"/>
      <c r="H659" s="2"/>
      <c r="I659" s="2"/>
      <c r="J659" s="2"/>
      <c r="K659" s="2"/>
      <c r="L659" s="2"/>
      <c r="M659" s="2"/>
      <c r="N659" s="2"/>
      <c r="O659" s="2"/>
      <c r="P659" s="2"/>
      <c r="Q659" s="2"/>
      <c r="S659" s="3"/>
      <c r="T659" s="3"/>
      <c r="U659" s="3"/>
      <c r="V659" s="3"/>
      <c r="W659" s="3"/>
      <c r="X659" s="3"/>
      <c r="Y659" s="3"/>
      <c r="Z659" s="3"/>
    </row>
    <row r="660" ht="15.75" customHeight="1">
      <c r="A660" s="3"/>
      <c r="B660" s="2"/>
      <c r="C660" s="2"/>
      <c r="D660" s="2"/>
      <c r="E660" s="464"/>
      <c r="F660" s="2"/>
      <c r="G660" s="2"/>
      <c r="H660" s="2"/>
      <c r="I660" s="2"/>
      <c r="J660" s="2"/>
      <c r="K660" s="2"/>
      <c r="L660" s="2"/>
      <c r="M660" s="2"/>
      <c r="N660" s="2"/>
      <c r="O660" s="2"/>
      <c r="P660" s="2"/>
      <c r="Q660" s="2"/>
      <c r="S660" s="3"/>
      <c r="T660" s="3"/>
      <c r="U660" s="3"/>
      <c r="V660" s="3"/>
      <c r="W660" s="3"/>
      <c r="X660" s="3"/>
      <c r="Y660" s="3"/>
      <c r="Z660" s="3"/>
    </row>
    <row r="661" ht="15.75" customHeight="1">
      <c r="A661" s="3"/>
      <c r="B661" s="2"/>
      <c r="C661" s="2"/>
      <c r="D661" s="2"/>
      <c r="E661" s="464"/>
      <c r="F661" s="2"/>
      <c r="G661" s="2"/>
      <c r="H661" s="2"/>
      <c r="I661" s="2"/>
      <c r="J661" s="2"/>
      <c r="K661" s="2"/>
      <c r="L661" s="2"/>
      <c r="M661" s="2"/>
      <c r="N661" s="2"/>
      <c r="O661" s="2"/>
      <c r="P661" s="2"/>
      <c r="Q661" s="2"/>
      <c r="S661" s="3"/>
      <c r="T661" s="3"/>
      <c r="U661" s="3"/>
      <c r="V661" s="3"/>
      <c r="W661" s="3"/>
      <c r="X661" s="3"/>
      <c r="Y661" s="3"/>
      <c r="Z661" s="3"/>
    </row>
    <row r="662" ht="15.75" customHeight="1">
      <c r="A662" s="3"/>
      <c r="B662" s="2"/>
      <c r="C662" s="2"/>
      <c r="D662" s="2"/>
      <c r="E662" s="464"/>
      <c r="F662" s="2"/>
      <c r="G662" s="2"/>
      <c r="H662" s="2"/>
      <c r="I662" s="2"/>
      <c r="J662" s="2"/>
      <c r="K662" s="2"/>
      <c r="L662" s="2"/>
      <c r="M662" s="2"/>
      <c r="N662" s="2"/>
      <c r="O662" s="2"/>
      <c r="P662" s="2"/>
      <c r="Q662" s="2"/>
      <c r="S662" s="3"/>
      <c r="T662" s="3"/>
      <c r="U662" s="3"/>
      <c r="V662" s="3"/>
      <c r="W662" s="3"/>
      <c r="X662" s="3"/>
      <c r="Y662" s="3"/>
      <c r="Z662" s="3"/>
    </row>
    <row r="663" ht="15.75" customHeight="1">
      <c r="A663" s="3"/>
      <c r="B663" s="2"/>
      <c r="C663" s="2"/>
      <c r="D663" s="2"/>
      <c r="E663" s="464"/>
      <c r="F663" s="2"/>
      <c r="G663" s="2"/>
      <c r="H663" s="2"/>
      <c r="I663" s="2"/>
      <c r="J663" s="2"/>
      <c r="K663" s="2"/>
      <c r="L663" s="2"/>
      <c r="M663" s="2"/>
      <c r="N663" s="2"/>
      <c r="O663" s="2"/>
      <c r="P663" s="2"/>
      <c r="Q663" s="2"/>
      <c r="S663" s="3"/>
      <c r="T663" s="3"/>
      <c r="U663" s="3"/>
      <c r="V663" s="3"/>
      <c r="W663" s="3"/>
      <c r="X663" s="3"/>
      <c r="Y663" s="3"/>
      <c r="Z663" s="3"/>
    </row>
    <row r="664" ht="15.75" customHeight="1">
      <c r="A664" s="3"/>
      <c r="B664" s="2"/>
      <c r="C664" s="2"/>
      <c r="D664" s="2"/>
      <c r="E664" s="464"/>
      <c r="F664" s="2"/>
      <c r="G664" s="2"/>
      <c r="H664" s="2"/>
      <c r="I664" s="2"/>
      <c r="J664" s="2"/>
      <c r="K664" s="2"/>
      <c r="L664" s="2"/>
      <c r="M664" s="2"/>
      <c r="N664" s="2"/>
      <c r="O664" s="2"/>
      <c r="P664" s="2"/>
      <c r="Q664" s="2"/>
      <c r="S664" s="3"/>
      <c r="T664" s="3"/>
      <c r="U664" s="3"/>
      <c r="V664" s="3"/>
      <c r="W664" s="3"/>
      <c r="X664" s="3"/>
      <c r="Y664" s="3"/>
      <c r="Z664" s="3"/>
    </row>
    <row r="665" ht="15.75" customHeight="1">
      <c r="A665" s="3"/>
      <c r="B665" s="2"/>
      <c r="C665" s="2"/>
      <c r="D665" s="2"/>
      <c r="E665" s="464"/>
      <c r="F665" s="2"/>
      <c r="G665" s="2"/>
      <c r="H665" s="2"/>
      <c r="I665" s="2"/>
      <c r="J665" s="2"/>
      <c r="K665" s="2"/>
      <c r="L665" s="2"/>
      <c r="M665" s="2"/>
      <c r="N665" s="2"/>
      <c r="O665" s="2"/>
      <c r="P665" s="2"/>
      <c r="Q665" s="2"/>
      <c r="S665" s="3"/>
      <c r="T665" s="3"/>
      <c r="U665" s="3"/>
      <c r="V665" s="3"/>
      <c r="W665" s="3"/>
      <c r="X665" s="3"/>
      <c r="Y665" s="3"/>
      <c r="Z665" s="3"/>
    </row>
    <row r="666" ht="15.75" customHeight="1">
      <c r="A666" s="3"/>
      <c r="B666" s="2"/>
      <c r="C666" s="2"/>
      <c r="D666" s="2"/>
      <c r="E666" s="464"/>
      <c r="F666" s="2"/>
      <c r="G666" s="2"/>
      <c r="H666" s="2"/>
      <c r="I666" s="2"/>
      <c r="J666" s="2"/>
      <c r="K666" s="2"/>
      <c r="L666" s="2"/>
      <c r="M666" s="2"/>
      <c r="N666" s="2"/>
      <c r="O666" s="2"/>
      <c r="P666" s="2"/>
      <c r="Q666" s="2"/>
      <c r="S666" s="3"/>
      <c r="T666" s="3"/>
      <c r="U666" s="3"/>
      <c r="V666" s="3"/>
      <c r="W666" s="3"/>
      <c r="X666" s="3"/>
      <c r="Y666" s="3"/>
      <c r="Z666" s="3"/>
    </row>
    <row r="667" ht="15.75" customHeight="1">
      <c r="A667" s="3"/>
      <c r="B667" s="2"/>
      <c r="C667" s="2"/>
      <c r="D667" s="2"/>
      <c r="E667" s="464"/>
      <c r="F667" s="2"/>
      <c r="G667" s="2"/>
      <c r="H667" s="2"/>
      <c r="I667" s="2"/>
      <c r="J667" s="2"/>
      <c r="K667" s="2"/>
      <c r="L667" s="2"/>
      <c r="M667" s="2"/>
      <c r="N667" s="2"/>
      <c r="O667" s="2"/>
      <c r="P667" s="2"/>
      <c r="Q667" s="2"/>
      <c r="S667" s="3"/>
      <c r="T667" s="3"/>
      <c r="U667" s="3"/>
      <c r="V667" s="3"/>
      <c r="W667" s="3"/>
      <c r="X667" s="3"/>
      <c r="Y667" s="3"/>
      <c r="Z667" s="3"/>
    </row>
    <row r="668" ht="15.75" customHeight="1">
      <c r="A668" s="3"/>
      <c r="B668" s="2"/>
      <c r="C668" s="2"/>
      <c r="D668" s="2"/>
      <c r="E668" s="464"/>
      <c r="F668" s="2"/>
      <c r="G668" s="2"/>
      <c r="H668" s="2"/>
      <c r="I668" s="2"/>
      <c r="J668" s="2"/>
      <c r="K668" s="2"/>
      <c r="L668" s="2"/>
      <c r="M668" s="2"/>
      <c r="N668" s="2"/>
      <c r="O668" s="2"/>
      <c r="P668" s="2"/>
      <c r="Q668" s="2"/>
      <c r="S668" s="3"/>
      <c r="T668" s="3"/>
      <c r="U668" s="3"/>
      <c r="V668" s="3"/>
      <c r="W668" s="3"/>
      <c r="X668" s="3"/>
      <c r="Y668" s="3"/>
      <c r="Z668" s="3"/>
    </row>
    <row r="669" ht="15.75" customHeight="1">
      <c r="A669" s="3"/>
      <c r="B669" s="2"/>
      <c r="C669" s="2"/>
      <c r="D669" s="2"/>
      <c r="E669" s="464"/>
      <c r="F669" s="2"/>
      <c r="G669" s="2"/>
      <c r="H669" s="2"/>
      <c r="I669" s="2"/>
      <c r="J669" s="2"/>
      <c r="K669" s="2"/>
      <c r="L669" s="2"/>
      <c r="M669" s="2"/>
      <c r="N669" s="2"/>
      <c r="O669" s="2"/>
      <c r="P669" s="2"/>
      <c r="Q669" s="2"/>
      <c r="S669" s="3"/>
      <c r="T669" s="3"/>
      <c r="U669" s="3"/>
      <c r="V669" s="3"/>
      <c r="W669" s="3"/>
      <c r="X669" s="3"/>
      <c r="Y669" s="3"/>
      <c r="Z669" s="3"/>
    </row>
    <row r="670" ht="15.75" customHeight="1">
      <c r="A670" s="3"/>
      <c r="B670" s="2"/>
      <c r="C670" s="2"/>
      <c r="D670" s="2"/>
      <c r="E670" s="464"/>
      <c r="F670" s="2"/>
      <c r="G670" s="2"/>
      <c r="H670" s="2"/>
      <c r="I670" s="2"/>
      <c r="J670" s="2"/>
      <c r="K670" s="2"/>
      <c r="L670" s="2"/>
      <c r="M670" s="2"/>
      <c r="N670" s="2"/>
      <c r="O670" s="2"/>
      <c r="P670" s="2"/>
      <c r="Q670" s="2"/>
      <c r="S670" s="3"/>
      <c r="T670" s="3"/>
      <c r="U670" s="3"/>
      <c r="V670" s="3"/>
      <c r="W670" s="3"/>
      <c r="X670" s="3"/>
      <c r="Y670" s="3"/>
      <c r="Z670" s="3"/>
    </row>
    <row r="671" ht="15.75" customHeight="1">
      <c r="A671" s="3"/>
      <c r="B671" s="2"/>
      <c r="C671" s="2"/>
      <c r="D671" s="2"/>
      <c r="E671" s="464"/>
      <c r="F671" s="2"/>
      <c r="G671" s="2"/>
      <c r="H671" s="2"/>
      <c r="I671" s="2"/>
      <c r="J671" s="2"/>
      <c r="K671" s="2"/>
      <c r="L671" s="2"/>
      <c r="M671" s="2"/>
      <c r="N671" s="2"/>
      <c r="O671" s="2"/>
      <c r="P671" s="2"/>
      <c r="Q671" s="2"/>
      <c r="S671" s="3"/>
      <c r="T671" s="3"/>
      <c r="U671" s="3"/>
      <c r="V671" s="3"/>
      <c r="W671" s="3"/>
      <c r="X671" s="3"/>
      <c r="Y671" s="3"/>
      <c r="Z671" s="3"/>
    </row>
    <row r="672" ht="15.75" customHeight="1">
      <c r="A672" s="3"/>
      <c r="B672" s="2"/>
      <c r="C672" s="2"/>
      <c r="D672" s="2"/>
      <c r="E672" s="464"/>
      <c r="F672" s="2"/>
      <c r="G672" s="2"/>
      <c r="H672" s="2"/>
      <c r="I672" s="2"/>
      <c r="J672" s="2"/>
      <c r="K672" s="2"/>
      <c r="L672" s="2"/>
      <c r="M672" s="2"/>
      <c r="N672" s="2"/>
      <c r="O672" s="2"/>
      <c r="P672" s="2"/>
      <c r="Q672" s="2"/>
      <c r="S672" s="3"/>
      <c r="T672" s="3"/>
      <c r="U672" s="3"/>
      <c r="V672" s="3"/>
      <c r="W672" s="3"/>
      <c r="X672" s="3"/>
      <c r="Y672" s="3"/>
      <c r="Z672" s="3"/>
    </row>
    <row r="673" ht="15.75" customHeight="1">
      <c r="A673" s="3"/>
      <c r="B673" s="2"/>
      <c r="C673" s="2"/>
      <c r="D673" s="2"/>
      <c r="E673" s="464"/>
      <c r="F673" s="2"/>
      <c r="G673" s="2"/>
      <c r="H673" s="2"/>
      <c r="I673" s="2"/>
      <c r="J673" s="2"/>
      <c r="K673" s="2"/>
      <c r="L673" s="2"/>
      <c r="M673" s="2"/>
      <c r="N673" s="2"/>
      <c r="O673" s="2"/>
      <c r="P673" s="2"/>
      <c r="Q673" s="2"/>
      <c r="S673" s="3"/>
      <c r="T673" s="3"/>
      <c r="U673" s="3"/>
      <c r="V673" s="3"/>
      <c r="W673" s="3"/>
      <c r="X673" s="3"/>
      <c r="Y673" s="3"/>
      <c r="Z673" s="3"/>
    </row>
    <row r="674" ht="15.75" customHeight="1">
      <c r="A674" s="3"/>
      <c r="B674" s="2"/>
      <c r="C674" s="2"/>
      <c r="D674" s="2"/>
      <c r="E674" s="464"/>
      <c r="F674" s="2"/>
      <c r="G674" s="2"/>
      <c r="H674" s="2"/>
      <c r="I674" s="2"/>
      <c r="J674" s="2"/>
      <c r="K674" s="2"/>
      <c r="L674" s="2"/>
      <c r="M674" s="2"/>
      <c r="N674" s="2"/>
      <c r="O674" s="2"/>
      <c r="P674" s="2"/>
      <c r="Q674" s="2"/>
      <c r="S674" s="3"/>
      <c r="T674" s="3"/>
      <c r="U674" s="3"/>
      <c r="V674" s="3"/>
      <c r="W674" s="3"/>
      <c r="X674" s="3"/>
      <c r="Y674" s="3"/>
      <c r="Z674" s="3"/>
    </row>
    <row r="675" ht="15.75" customHeight="1">
      <c r="A675" s="3"/>
      <c r="B675" s="2"/>
      <c r="C675" s="2"/>
      <c r="D675" s="2"/>
      <c r="E675" s="464"/>
      <c r="F675" s="2"/>
      <c r="G675" s="2"/>
      <c r="H675" s="2"/>
      <c r="I675" s="2"/>
      <c r="J675" s="2"/>
      <c r="K675" s="2"/>
      <c r="L675" s="2"/>
      <c r="M675" s="2"/>
      <c r="N675" s="2"/>
      <c r="O675" s="2"/>
      <c r="P675" s="2"/>
      <c r="Q675" s="2"/>
      <c r="S675" s="3"/>
      <c r="T675" s="3"/>
      <c r="U675" s="3"/>
      <c r="V675" s="3"/>
      <c r="W675" s="3"/>
      <c r="X675" s="3"/>
      <c r="Y675" s="3"/>
      <c r="Z675" s="3"/>
    </row>
    <row r="676" ht="15.75" customHeight="1">
      <c r="A676" s="3"/>
      <c r="B676" s="2"/>
      <c r="C676" s="2"/>
      <c r="D676" s="2"/>
      <c r="E676" s="464"/>
      <c r="F676" s="2"/>
      <c r="G676" s="2"/>
      <c r="H676" s="2"/>
      <c r="I676" s="2"/>
      <c r="J676" s="2"/>
      <c r="K676" s="2"/>
      <c r="L676" s="2"/>
      <c r="M676" s="2"/>
      <c r="N676" s="2"/>
      <c r="O676" s="2"/>
      <c r="P676" s="2"/>
      <c r="Q676" s="2"/>
      <c r="S676" s="3"/>
      <c r="T676" s="3"/>
      <c r="U676" s="3"/>
      <c r="V676" s="3"/>
      <c r="W676" s="3"/>
      <c r="X676" s="3"/>
      <c r="Y676" s="3"/>
      <c r="Z676" s="3"/>
    </row>
    <row r="677" ht="15.75" customHeight="1">
      <c r="A677" s="3"/>
      <c r="B677" s="2"/>
      <c r="C677" s="2"/>
      <c r="D677" s="2"/>
      <c r="E677" s="464"/>
      <c r="F677" s="2"/>
      <c r="G677" s="2"/>
      <c r="H677" s="2"/>
      <c r="I677" s="2"/>
      <c r="J677" s="2"/>
      <c r="K677" s="2"/>
      <c r="L677" s="2"/>
      <c r="M677" s="2"/>
      <c r="N677" s="2"/>
      <c r="O677" s="2"/>
      <c r="P677" s="2"/>
      <c r="Q677" s="2"/>
      <c r="S677" s="3"/>
      <c r="T677" s="3"/>
      <c r="U677" s="3"/>
      <c r="V677" s="3"/>
      <c r="W677" s="3"/>
      <c r="X677" s="3"/>
      <c r="Y677" s="3"/>
      <c r="Z677" s="3"/>
    </row>
    <row r="678" ht="15.75" customHeight="1">
      <c r="A678" s="3"/>
      <c r="B678" s="2"/>
      <c r="C678" s="2"/>
      <c r="D678" s="2"/>
      <c r="E678" s="464"/>
      <c r="F678" s="2"/>
      <c r="G678" s="2"/>
      <c r="H678" s="2"/>
      <c r="I678" s="2"/>
      <c r="J678" s="2"/>
      <c r="K678" s="2"/>
      <c r="L678" s="2"/>
      <c r="M678" s="2"/>
      <c r="N678" s="2"/>
      <c r="O678" s="2"/>
      <c r="P678" s="2"/>
      <c r="Q678" s="2"/>
      <c r="S678" s="3"/>
      <c r="T678" s="3"/>
      <c r="U678" s="3"/>
      <c r="V678" s="3"/>
      <c r="W678" s="3"/>
      <c r="X678" s="3"/>
      <c r="Y678" s="3"/>
      <c r="Z678" s="3"/>
    </row>
    <row r="679" ht="15.75" customHeight="1">
      <c r="A679" s="3"/>
      <c r="B679" s="2"/>
      <c r="C679" s="2"/>
      <c r="D679" s="2"/>
      <c r="E679" s="464"/>
      <c r="F679" s="2"/>
      <c r="G679" s="2"/>
      <c r="H679" s="2"/>
      <c r="I679" s="2"/>
      <c r="J679" s="2"/>
      <c r="K679" s="2"/>
      <c r="L679" s="2"/>
      <c r="M679" s="2"/>
      <c r="N679" s="2"/>
      <c r="O679" s="2"/>
      <c r="P679" s="2"/>
      <c r="Q679" s="2"/>
      <c r="S679" s="3"/>
      <c r="T679" s="3"/>
      <c r="U679" s="3"/>
      <c r="V679" s="3"/>
      <c r="W679" s="3"/>
      <c r="X679" s="3"/>
      <c r="Y679" s="3"/>
      <c r="Z679" s="3"/>
    </row>
    <row r="680" ht="15.75" customHeight="1">
      <c r="A680" s="3"/>
      <c r="B680" s="2"/>
      <c r="C680" s="2"/>
      <c r="D680" s="2"/>
      <c r="E680" s="464"/>
      <c r="F680" s="2"/>
      <c r="G680" s="2"/>
      <c r="H680" s="2"/>
      <c r="I680" s="2"/>
      <c r="J680" s="2"/>
      <c r="K680" s="2"/>
      <c r="L680" s="2"/>
      <c r="M680" s="2"/>
      <c r="N680" s="2"/>
      <c r="O680" s="2"/>
      <c r="P680" s="2"/>
      <c r="Q680" s="2"/>
      <c r="S680" s="3"/>
      <c r="T680" s="3"/>
      <c r="U680" s="3"/>
      <c r="V680" s="3"/>
      <c r="W680" s="3"/>
      <c r="X680" s="3"/>
      <c r="Y680" s="3"/>
      <c r="Z680" s="3"/>
    </row>
    <row r="681" ht="15.75" customHeight="1">
      <c r="A681" s="3"/>
      <c r="B681" s="2"/>
      <c r="C681" s="2"/>
      <c r="D681" s="2"/>
      <c r="E681" s="464"/>
      <c r="F681" s="2"/>
      <c r="G681" s="2"/>
      <c r="H681" s="2"/>
      <c r="I681" s="2"/>
      <c r="J681" s="2"/>
      <c r="K681" s="2"/>
      <c r="L681" s="2"/>
      <c r="M681" s="2"/>
      <c r="N681" s="2"/>
      <c r="O681" s="2"/>
      <c r="P681" s="2"/>
      <c r="Q681" s="2"/>
      <c r="S681" s="3"/>
      <c r="T681" s="3"/>
      <c r="U681" s="3"/>
      <c r="V681" s="3"/>
      <c r="W681" s="3"/>
      <c r="X681" s="3"/>
      <c r="Y681" s="3"/>
      <c r="Z681" s="3"/>
    </row>
    <row r="682" ht="15.75" customHeight="1">
      <c r="A682" s="3"/>
      <c r="B682" s="2"/>
      <c r="C682" s="2"/>
      <c r="D682" s="2"/>
      <c r="E682" s="464"/>
      <c r="F682" s="2"/>
      <c r="G682" s="2"/>
      <c r="H682" s="2"/>
      <c r="I682" s="2"/>
      <c r="J682" s="2"/>
      <c r="K682" s="2"/>
      <c r="L682" s="2"/>
      <c r="M682" s="2"/>
      <c r="N682" s="2"/>
      <c r="O682" s="2"/>
      <c r="P682" s="2"/>
      <c r="Q682" s="2"/>
      <c r="S682" s="3"/>
      <c r="T682" s="3"/>
      <c r="U682" s="3"/>
      <c r="V682" s="3"/>
      <c r="W682" s="3"/>
      <c r="X682" s="3"/>
      <c r="Y682" s="3"/>
      <c r="Z682" s="3"/>
    </row>
    <row r="683" ht="15.75" customHeight="1">
      <c r="A683" s="3"/>
      <c r="B683" s="2"/>
      <c r="C683" s="2"/>
      <c r="D683" s="2"/>
      <c r="E683" s="464"/>
      <c r="F683" s="2"/>
      <c r="G683" s="2"/>
      <c r="H683" s="2"/>
      <c r="I683" s="2"/>
      <c r="J683" s="2"/>
      <c r="K683" s="2"/>
      <c r="L683" s="2"/>
      <c r="M683" s="2"/>
      <c r="N683" s="2"/>
      <c r="O683" s="2"/>
      <c r="P683" s="2"/>
      <c r="Q683" s="2"/>
      <c r="S683" s="3"/>
      <c r="T683" s="3"/>
      <c r="U683" s="3"/>
      <c r="V683" s="3"/>
      <c r="W683" s="3"/>
      <c r="X683" s="3"/>
      <c r="Y683" s="3"/>
      <c r="Z683" s="3"/>
    </row>
    <row r="684" ht="15.75" customHeight="1">
      <c r="A684" s="3"/>
      <c r="B684" s="2"/>
      <c r="C684" s="2"/>
      <c r="D684" s="2"/>
      <c r="E684" s="464"/>
      <c r="F684" s="2"/>
      <c r="G684" s="2"/>
      <c r="H684" s="2"/>
      <c r="I684" s="2"/>
      <c r="J684" s="2"/>
      <c r="K684" s="2"/>
      <c r="L684" s="2"/>
      <c r="M684" s="2"/>
      <c r="N684" s="2"/>
      <c r="O684" s="2"/>
      <c r="P684" s="2"/>
      <c r="Q684" s="2"/>
      <c r="S684" s="3"/>
      <c r="T684" s="3"/>
      <c r="U684" s="3"/>
      <c r="V684" s="3"/>
      <c r="W684" s="3"/>
      <c r="X684" s="3"/>
      <c r="Y684" s="3"/>
      <c r="Z684" s="3"/>
    </row>
    <row r="685" ht="15.75" customHeight="1">
      <c r="A685" s="3"/>
      <c r="B685" s="2"/>
      <c r="C685" s="2"/>
      <c r="D685" s="2"/>
      <c r="E685" s="464"/>
      <c r="F685" s="2"/>
      <c r="G685" s="2"/>
      <c r="H685" s="2"/>
      <c r="I685" s="2"/>
      <c r="J685" s="2"/>
      <c r="K685" s="2"/>
      <c r="L685" s="2"/>
      <c r="M685" s="2"/>
      <c r="N685" s="2"/>
      <c r="O685" s="2"/>
      <c r="P685" s="2"/>
      <c r="Q685" s="2"/>
      <c r="S685" s="3"/>
      <c r="T685" s="3"/>
      <c r="U685" s="3"/>
      <c r="V685" s="3"/>
      <c r="W685" s="3"/>
      <c r="X685" s="3"/>
      <c r="Y685" s="3"/>
      <c r="Z685" s="3"/>
    </row>
    <row r="686" ht="15.75" customHeight="1">
      <c r="A686" s="3"/>
      <c r="B686" s="2"/>
      <c r="C686" s="2"/>
      <c r="D686" s="2"/>
      <c r="E686" s="464"/>
      <c r="F686" s="2"/>
      <c r="G686" s="2"/>
      <c r="H686" s="2"/>
      <c r="I686" s="2"/>
      <c r="J686" s="2"/>
      <c r="K686" s="2"/>
      <c r="L686" s="2"/>
      <c r="M686" s="2"/>
      <c r="N686" s="2"/>
      <c r="O686" s="2"/>
      <c r="P686" s="2"/>
      <c r="Q686" s="2"/>
      <c r="S686" s="3"/>
      <c r="T686" s="3"/>
      <c r="U686" s="3"/>
      <c r="V686" s="3"/>
      <c r="W686" s="3"/>
      <c r="X686" s="3"/>
      <c r="Y686" s="3"/>
      <c r="Z686" s="3"/>
    </row>
    <row r="687" ht="15.75" customHeight="1">
      <c r="A687" s="3"/>
      <c r="B687" s="2"/>
      <c r="C687" s="2"/>
      <c r="D687" s="2"/>
      <c r="E687" s="464"/>
      <c r="F687" s="2"/>
      <c r="G687" s="2"/>
      <c r="H687" s="2"/>
      <c r="I687" s="2"/>
      <c r="J687" s="2"/>
      <c r="K687" s="2"/>
      <c r="L687" s="2"/>
      <c r="M687" s="2"/>
      <c r="N687" s="2"/>
      <c r="O687" s="2"/>
      <c r="P687" s="2"/>
      <c r="Q687" s="2"/>
      <c r="S687" s="3"/>
      <c r="T687" s="3"/>
      <c r="U687" s="3"/>
      <c r="V687" s="3"/>
      <c r="W687" s="3"/>
      <c r="X687" s="3"/>
      <c r="Y687" s="3"/>
      <c r="Z687" s="3"/>
    </row>
    <row r="688" ht="15.75" customHeight="1">
      <c r="A688" s="3"/>
      <c r="B688" s="2"/>
      <c r="C688" s="2"/>
      <c r="D688" s="2"/>
      <c r="E688" s="464"/>
      <c r="F688" s="2"/>
      <c r="G688" s="2"/>
      <c r="H688" s="2"/>
      <c r="I688" s="2"/>
      <c r="J688" s="2"/>
      <c r="K688" s="2"/>
      <c r="L688" s="2"/>
      <c r="M688" s="2"/>
      <c r="N688" s="2"/>
      <c r="O688" s="2"/>
      <c r="P688" s="2"/>
      <c r="Q688" s="2"/>
      <c r="S688" s="3"/>
      <c r="T688" s="3"/>
      <c r="U688" s="3"/>
      <c r="V688" s="3"/>
      <c r="W688" s="3"/>
      <c r="X688" s="3"/>
      <c r="Y688" s="3"/>
      <c r="Z688" s="3"/>
    </row>
    <row r="689" ht="15.75" customHeight="1">
      <c r="A689" s="3"/>
      <c r="B689" s="2"/>
      <c r="C689" s="2"/>
      <c r="D689" s="2"/>
      <c r="E689" s="464"/>
      <c r="F689" s="2"/>
      <c r="G689" s="2"/>
      <c r="H689" s="2"/>
      <c r="I689" s="2"/>
      <c r="J689" s="2"/>
      <c r="K689" s="2"/>
      <c r="L689" s="2"/>
      <c r="M689" s="2"/>
      <c r="N689" s="2"/>
      <c r="O689" s="2"/>
      <c r="P689" s="2"/>
      <c r="Q689" s="2"/>
      <c r="S689" s="3"/>
      <c r="T689" s="3"/>
      <c r="U689" s="3"/>
      <c r="V689" s="3"/>
      <c r="W689" s="3"/>
      <c r="X689" s="3"/>
      <c r="Y689" s="3"/>
      <c r="Z689" s="3"/>
    </row>
    <row r="690" ht="15.75" customHeight="1">
      <c r="A690" s="3"/>
      <c r="B690" s="2"/>
      <c r="C690" s="2"/>
      <c r="D690" s="2"/>
      <c r="E690" s="464"/>
      <c r="F690" s="2"/>
      <c r="G690" s="2"/>
      <c r="H690" s="2"/>
      <c r="I690" s="2"/>
      <c r="J690" s="2"/>
      <c r="K690" s="2"/>
      <c r="L690" s="2"/>
      <c r="M690" s="2"/>
      <c r="N690" s="2"/>
      <c r="O690" s="2"/>
      <c r="P690" s="2"/>
      <c r="Q690" s="2"/>
      <c r="S690" s="3"/>
      <c r="T690" s="3"/>
      <c r="U690" s="3"/>
      <c r="V690" s="3"/>
      <c r="W690" s="3"/>
      <c r="X690" s="3"/>
      <c r="Y690" s="3"/>
      <c r="Z690" s="3"/>
    </row>
    <row r="691" ht="15.75" customHeight="1">
      <c r="A691" s="3"/>
      <c r="B691" s="2"/>
      <c r="C691" s="2"/>
      <c r="D691" s="2"/>
      <c r="E691" s="464"/>
      <c r="F691" s="2"/>
      <c r="G691" s="2"/>
      <c r="H691" s="2"/>
      <c r="I691" s="2"/>
      <c r="J691" s="2"/>
      <c r="K691" s="2"/>
      <c r="L691" s="2"/>
      <c r="M691" s="2"/>
      <c r="N691" s="2"/>
      <c r="O691" s="2"/>
      <c r="P691" s="2"/>
      <c r="Q691" s="2"/>
      <c r="S691" s="3"/>
      <c r="T691" s="3"/>
      <c r="U691" s="3"/>
      <c r="V691" s="3"/>
      <c r="W691" s="3"/>
      <c r="X691" s="3"/>
      <c r="Y691" s="3"/>
      <c r="Z691" s="3"/>
    </row>
    <row r="692" ht="15.75" customHeight="1">
      <c r="A692" s="3"/>
      <c r="B692" s="2"/>
      <c r="C692" s="2"/>
      <c r="D692" s="2"/>
      <c r="E692" s="464"/>
      <c r="F692" s="2"/>
      <c r="G692" s="2"/>
      <c r="H692" s="2"/>
      <c r="I692" s="2"/>
      <c r="J692" s="2"/>
      <c r="K692" s="2"/>
      <c r="L692" s="2"/>
      <c r="M692" s="2"/>
      <c r="N692" s="2"/>
      <c r="O692" s="2"/>
      <c r="P692" s="2"/>
      <c r="Q692" s="2"/>
      <c r="S692" s="3"/>
      <c r="T692" s="3"/>
      <c r="U692" s="3"/>
      <c r="V692" s="3"/>
      <c r="W692" s="3"/>
      <c r="X692" s="3"/>
      <c r="Y692" s="3"/>
      <c r="Z692" s="3"/>
    </row>
    <row r="693" ht="15.75" customHeight="1">
      <c r="A693" s="3"/>
      <c r="B693" s="2"/>
      <c r="C693" s="2"/>
      <c r="D693" s="2"/>
      <c r="E693" s="464"/>
      <c r="F693" s="2"/>
      <c r="G693" s="2"/>
      <c r="H693" s="2"/>
      <c r="I693" s="2"/>
      <c r="J693" s="2"/>
      <c r="K693" s="2"/>
      <c r="L693" s="2"/>
      <c r="M693" s="2"/>
      <c r="N693" s="2"/>
      <c r="O693" s="2"/>
      <c r="P693" s="2"/>
      <c r="Q693" s="2"/>
      <c r="S693" s="3"/>
      <c r="T693" s="3"/>
      <c r="U693" s="3"/>
      <c r="V693" s="3"/>
      <c r="W693" s="3"/>
      <c r="X693" s="3"/>
      <c r="Y693" s="3"/>
      <c r="Z693" s="3"/>
    </row>
    <row r="694" ht="15.75" customHeight="1">
      <c r="A694" s="3"/>
      <c r="B694" s="2"/>
      <c r="C694" s="2"/>
      <c r="D694" s="2"/>
      <c r="E694" s="464"/>
      <c r="F694" s="2"/>
      <c r="G694" s="2"/>
      <c r="H694" s="2"/>
      <c r="I694" s="2"/>
      <c r="J694" s="2"/>
      <c r="K694" s="2"/>
      <c r="L694" s="2"/>
      <c r="M694" s="2"/>
      <c r="N694" s="2"/>
      <c r="O694" s="2"/>
      <c r="P694" s="2"/>
      <c r="Q694" s="2"/>
      <c r="S694" s="3"/>
      <c r="T694" s="3"/>
      <c r="U694" s="3"/>
      <c r="V694" s="3"/>
      <c r="W694" s="3"/>
      <c r="X694" s="3"/>
      <c r="Y694" s="3"/>
      <c r="Z694" s="3"/>
    </row>
    <row r="695" ht="15.75" customHeight="1">
      <c r="A695" s="3"/>
      <c r="B695" s="2"/>
      <c r="C695" s="2"/>
      <c r="D695" s="2"/>
      <c r="E695" s="464"/>
      <c r="F695" s="2"/>
      <c r="G695" s="2"/>
      <c r="H695" s="2"/>
      <c r="I695" s="2"/>
      <c r="J695" s="2"/>
      <c r="K695" s="2"/>
      <c r="L695" s="2"/>
      <c r="M695" s="2"/>
      <c r="N695" s="2"/>
      <c r="O695" s="2"/>
      <c r="P695" s="2"/>
      <c r="Q695" s="2"/>
      <c r="S695" s="3"/>
      <c r="T695" s="3"/>
      <c r="U695" s="3"/>
      <c r="V695" s="3"/>
      <c r="W695" s="3"/>
      <c r="X695" s="3"/>
      <c r="Y695" s="3"/>
      <c r="Z695" s="3"/>
    </row>
    <row r="696" ht="15.75" customHeight="1">
      <c r="A696" s="3"/>
      <c r="B696" s="2"/>
      <c r="C696" s="2"/>
      <c r="D696" s="2"/>
      <c r="E696" s="464"/>
      <c r="F696" s="2"/>
      <c r="G696" s="2"/>
      <c r="H696" s="2"/>
      <c r="I696" s="2"/>
      <c r="J696" s="2"/>
      <c r="K696" s="2"/>
      <c r="L696" s="2"/>
      <c r="M696" s="2"/>
      <c r="N696" s="2"/>
      <c r="O696" s="2"/>
      <c r="P696" s="2"/>
      <c r="Q696" s="2"/>
      <c r="S696" s="3"/>
      <c r="T696" s="3"/>
      <c r="U696" s="3"/>
      <c r="V696" s="3"/>
      <c r="W696" s="3"/>
      <c r="X696" s="3"/>
      <c r="Y696" s="3"/>
      <c r="Z696" s="3"/>
    </row>
    <row r="697" ht="15.75" customHeight="1">
      <c r="A697" s="3"/>
      <c r="B697" s="2"/>
      <c r="C697" s="2"/>
      <c r="D697" s="2"/>
      <c r="E697" s="464"/>
      <c r="F697" s="2"/>
      <c r="G697" s="2"/>
      <c r="H697" s="2"/>
      <c r="I697" s="2"/>
      <c r="J697" s="2"/>
      <c r="K697" s="2"/>
      <c r="L697" s="2"/>
      <c r="M697" s="2"/>
      <c r="N697" s="2"/>
      <c r="O697" s="2"/>
      <c r="P697" s="2"/>
      <c r="Q697" s="2"/>
      <c r="S697" s="3"/>
      <c r="T697" s="3"/>
      <c r="U697" s="3"/>
      <c r="V697" s="3"/>
      <c r="W697" s="3"/>
      <c r="X697" s="3"/>
      <c r="Y697" s="3"/>
      <c r="Z697" s="3"/>
    </row>
    <row r="698" ht="15.75" customHeight="1">
      <c r="A698" s="3"/>
      <c r="B698" s="2"/>
      <c r="C698" s="2"/>
      <c r="D698" s="2"/>
      <c r="E698" s="464"/>
      <c r="F698" s="2"/>
      <c r="G698" s="2"/>
      <c r="H698" s="2"/>
      <c r="I698" s="2"/>
      <c r="J698" s="2"/>
      <c r="K698" s="2"/>
      <c r="L698" s="2"/>
      <c r="M698" s="2"/>
      <c r="N698" s="2"/>
      <c r="O698" s="2"/>
      <c r="P698" s="2"/>
      <c r="Q698" s="2"/>
      <c r="S698" s="3"/>
      <c r="T698" s="3"/>
      <c r="U698" s="3"/>
      <c r="V698" s="3"/>
      <c r="W698" s="3"/>
      <c r="X698" s="3"/>
      <c r="Y698" s="3"/>
      <c r="Z698" s="3"/>
    </row>
    <row r="699" ht="15.75" customHeight="1">
      <c r="A699" s="3"/>
      <c r="B699" s="2"/>
      <c r="C699" s="2"/>
      <c r="D699" s="2"/>
      <c r="E699" s="464"/>
      <c r="F699" s="2"/>
      <c r="G699" s="2"/>
      <c r="H699" s="2"/>
      <c r="I699" s="2"/>
      <c r="J699" s="2"/>
      <c r="K699" s="2"/>
      <c r="L699" s="2"/>
      <c r="M699" s="2"/>
      <c r="N699" s="2"/>
      <c r="O699" s="2"/>
      <c r="P699" s="2"/>
      <c r="Q699" s="2"/>
      <c r="S699" s="3"/>
      <c r="T699" s="3"/>
      <c r="U699" s="3"/>
      <c r="V699" s="3"/>
      <c r="W699" s="3"/>
      <c r="X699" s="3"/>
      <c r="Y699" s="3"/>
      <c r="Z699" s="3"/>
    </row>
    <row r="700" ht="15.75" customHeight="1">
      <c r="A700" s="3"/>
      <c r="B700" s="2"/>
      <c r="C700" s="2"/>
      <c r="D700" s="2"/>
      <c r="E700" s="464"/>
      <c r="F700" s="2"/>
      <c r="G700" s="2"/>
      <c r="H700" s="2"/>
      <c r="I700" s="2"/>
      <c r="J700" s="2"/>
      <c r="K700" s="2"/>
      <c r="L700" s="2"/>
      <c r="M700" s="2"/>
      <c r="N700" s="2"/>
      <c r="O700" s="2"/>
      <c r="P700" s="2"/>
      <c r="Q700" s="2"/>
      <c r="S700" s="3"/>
      <c r="T700" s="3"/>
      <c r="U700" s="3"/>
      <c r="V700" s="3"/>
      <c r="W700" s="3"/>
      <c r="X700" s="3"/>
      <c r="Y700" s="3"/>
      <c r="Z700" s="3"/>
    </row>
    <row r="701" ht="15.75" customHeight="1">
      <c r="A701" s="3"/>
      <c r="B701" s="2"/>
      <c r="C701" s="2"/>
      <c r="D701" s="2"/>
      <c r="E701" s="464"/>
      <c r="F701" s="2"/>
      <c r="G701" s="2"/>
      <c r="H701" s="2"/>
      <c r="I701" s="2"/>
      <c r="J701" s="2"/>
      <c r="K701" s="2"/>
      <c r="L701" s="2"/>
      <c r="M701" s="2"/>
      <c r="N701" s="2"/>
      <c r="O701" s="2"/>
      <c r="P701" s="2"/>
      <c r="Q701" s="2"/>
      <c r="S701" s="3"/>
      <c r="T701" s="3"/>
      <c r="U701" s="3"/>
      <c r="V701" s="3"/>
      <c r="W701" s="3"/>
      <c r="X701" s="3"/>
      <c r="Y701" s="3"/>
      <c r="Z701" s="3"/>
    </row>
    <row r="702" ht="15.75" customHeight="1">
      <c r="A702" s="3"/>
      <c r="B702" s="2"/>
      <c r="C702" s="2"/>
      <c r="D702" s="2"/>
      <c r="E702" s="464"/>
      <c r="F702" s="2"/>
      <c r="G702" s="2"/>
      <c r="H702" s="2"/>
      <c r="I702" s="2"/>
      <c r="J702" s="2"/>
      <c r="K702" s="2"/>
      <c r="L702" s="2"/>
      <c r="M702" s="2"/>
      <c r="N702" s="2"/>
      <c r="O702" s="2"/>
      <c r="P702" s="2"/>
      <c r="Q702" s="2"/>
      <c r="S702" s="3"/>
      <c r="T702" s="3"/>
      <c r="U702" s="3"/>
      <c r="V702" s="3"/>
      <c r="W702" s="3"/>
      <c r="X702" s="3"/>
      <c r="Y702" s="3"/>
      <c r="Z702" s="3"/>
    </row>
    <row r="703" ht="15.75" customHeight="1">
      <c r="A703" s="3"/>
      <c r="B703" s="2"/>
      <c r="C703" s="2"/>
      <c r="D703" s="2"/>
      <c r="E703" s="464"/>
      <c r="F703" s="2"/>
      <c r="G703" s="2"/>
      <c r="H703" s="2"/>
      <c r="I703" s="2"/>
      <c r="J703" s="2"/>
      <c r="K703" s="2"/>
      <c r="L703" s="2"/>
      <c r="M703" s="2"/>
      <c r="N703" s="2"/>
      <c r="O703" s="2"/>
      <c r="P703" s="2"/>
      <c r="Q703" s="2"/>
      <c r="S703" s="3"/>
      <c r="T703" s="3"/>
      <c r="U703" s="3"/>
      <c r="V703" s="3"/>
      <c r="W703" s="3"/>
      <c r="X703" s="3"/>
      <c r="Y703" s="3"/>
      <c r="Z703" s="3"/>
    </row>
    <row r="704" ht="15.75" customHeight="1">
      <c r="A704" s="3"/>
      <c r="B704" s="2"/>
      <c r="C704" s="2"/>
      <c r="D704" s="2"/>
      <c r="E704" s="464"/>
      <c r="F704" s="2"/>
      <c r="G704" s="2"/>
      <c r="H704" s="2"/>
      <c r="I704" s="2"/>
      <c r="J704" s="2"/>
      <c r="K704" s="2"/>
      <c r="L704" s="2"/>
      <c r="M704" s="2"/>
      <c r="N704" s="2"/>
      <c r="O704" s="2"/>
      <c r="P704" s="2"/>
      <c r="Q704" s="2"/>
      <c r="S704" s="3"/>
      <c r="T704" s="3"/>
      <c r="U704" s="3"/>
      <c r="V704" s="3"/>
      <c r="W704" s="3"/>
      <c r="X704" s="3"/>
      <c r="Y704" s="3"/>
      <c r="Z704" s="3"/>
    </row>
    <row r="705" ht="15.75" customHeight="1">
      <c r="A705" s="3"/>
      <c r="B705" s="2"/>
      <c r="C705" s="2"/>
      <c r="D705" s="2"/>
      <c r="E705" s="464"/>
      <c r="F705" s="2"/>
      <c r="G705" s="2"/>
      <c r="H705" s="2"/>
      <c r="I705" s="2"/>
      <c r="J705" s="2"/>
      <c r="K705" s="2"/>
      <c r="L705" s="2"/>
      <c r="M705" s="2"/>
      <c r="N705" s="2"/>
      <c r="O705" s="2"/>
      <c r="P705" s="2"/>
      <c r="Q705" s="2"/>
      <c r="S705" s="3"/>
      <c r="T705" s="3"/>
      <c r="U705" s="3"/>
      <c r="V705" s="3"/>
      <c r="W705" s="3"/>
      <c r="X705" s="3"/>
      <c r="Y705" s="3"/>
      <c r="Z705" s="3"/>
    </row>
    <row r="706" ht="15.75" customHeight="1">
      <c r="A706" s="3"/>
      <c r="B706" s="2"/>
      <c r="C706" s="2"/>
      <c r="D706" s="2"/>
      <c r="E706" s="464"/>
      <c r="F706" s="2"/>
      <c r="G706" s="2"/>
      <c r="H706" s="2"/>
      <c r="I706" s="2"/>
      <c r="J706" s="2"/>
      <c r="K706" s="2"/>
      <c r="L706" s="2"/>
      <c r="M706" s="2"/>
      <c r="N706" s="2"/>
      <c r="O706" s="2"/>
      <c r="P706" s="2"/>
      <c r="Q706" s="2"/>
      <c r="S706" s="3"/>
      <c r="T706" s="3"/>
      <c r="U706" s="3"/>
      <c r="V706" s="3"/>
      <c r="W706" s="3"/>
      <c r="X706" s="3"/>
      <c r="Y706" s="3"/>
      <c r="Z706" s="3"/>
    </row>
    <row r="707" ht="15.75" customHeight="1">
      <c r="A707" s="3"/>
      <c r="B707" s="2"/>
      <c r="C707" s="2"/>
      <c r="D707" s="2"/>
      <c r="E707" s="464"/>
      <c r="F707" s="2"/>
      <c r="G707" s="2"/>
      <c r="H707" s="2"/>
      <c r="I707" s="2"/>
      <c r="J707" s="2"/>
      <c r="K707" s="2"/>
      <c r="L707" s="2"/>
      <c r="M707" s="2"/>
      <c r="N707" s="2"/>
      <c r="O707" s="2"/>
      <c r="P707" s="2"/>
      <c r="Q707" s="2"/>
      <c r="S707" s="3"/>
      <c r="T707" s="3"/>
      <c r="U707" s="3"/>
      <c r="V707" s="3"/>
      <c r="W707" s="3"/>
      <c r="X707" s="3"/>
      <c r="Y707" s="3"/>
      <c r="Z707" s="3"/>
    </row>
    <row r="708" ht="15.75" customHeight="1">
      <c r="A708" s="3"/>
      <c r="B708" s="2"/>
      <c r="C708" s="2"/>
      <c r="D708" s="2"/>
      <c r="E708" s="464"/>
      <c r="F708" s="2"/>
      <c r="G708" s="2"/>
      <c r="H708" s="2"/>
      <c r="I708" s="2"/>
      <c r="J708" s="2"/>
      <c r="K708" s="2"/>
      <c r="L708" s="2"/>
      <c r="M708" s="2"/>
      <c r="N708" s="2"/>
      <c r="O708" s="2"/>
      <c r="P708" s="2"/>
      <c r="Q708" s="2"/>
      <c r="S708" s="3"/>
      <c r="T708" s="3"/>
      <c r="U708" s="3"/>
      <c r="V708" s="3"/>
      <c r="W708" s="3"/>
      <c r="X708" s="3"/>
      <c r="Y708" s="3"/>
      <c r="Z708" s="3"/>
    </row>
    <row r="709" ht="15.75" customHeight="1">
      <c r="A709" s="3"/>
      <c r="B709" s="2"/>
      <c r="C709" s="2"/>
      <c r="D709" s="2"/>
      <c r="E709" s="464"/>
      <c r="F709" s="2"/>
      <c r="G709" s="2"/>
      <c r="H709" s="2"/>
      <c r="I709" s="2"/>
      <c r="J709" s="2"/>
      <c r="K709" s="2"/>
      <c r="L709" s="2"/>
      <c r="M709" s="2"/>
      <c r="N709" s="2"/>
      <c r="O709" s="2"/>
      <c r="P709" s="2"/>
      <c r="Q709" s="2"/>
      <c r="S709" s="3"/>
      <c r="T709" s="3"/>
      <c r="U709" s="3"/>
      <c r="V709" s="3"/>
      <c r="W709" s="3"/>
      <c r="X709" s="3"/>
      <c r="Y709" s="3"/>
      <c r="Z709" s="3"/>
    </row>
    <row r="710" ht="15.75" customHeight="1">
      <c r="A710" s="3"/>
      <c r="B710" s="2"/>
      <c r="C710" s="2"/>
      <c r="D710" s="2"/>
      <c r="E710" s="464"/>
      <c r="F710" s="2"/>
      <c r="G710" s="2"/>
      <c r="H710" s="2"/>
      <c r="I710" s="2"/>
      <c r="J710" s="2"/>
      <c r="K710" s="2"/>
      <c r="L710" s="2"/>
      <c r="M710" s="2"/>
      <c r="N710" s="2"/>
      <c r="O710" s="2"/>
      <c r="P710" s="2"/>
      <c r="Q710" s="2"/>
      <c r="S710" s="3"/>
      <c r="T710" s="3"/>
      <c r="U710" s="3"/>
      <c r="V710" s="3"/>
      <c r="W710" s="3"/>
      <c r="X710" s="3"/>
      <c r="Y710" s="3"/>
      <c r="Z710" s="3"/>
    </row>
    <row r="711" ht="15.75" customHeight="1">
      <c r="A711" s="3"/>
      <c r="B711" s="2"/>
      <c r="C711" s="2"/>
      <c r="D711" s="2"/>
      <c r="E711" s="464"/>
      <c r="F711" s="2"/>
      <c r="G711" s="2"/>
      <c r="H711" s="2"/>
      <c r="I711" s="2"/>
      <c r="J711" s="2"/>
      <c r="K711" s="2"/>
      <c r="L711" s="2"/>
      <c r="M711" s="2"/>
      <c r="N711" s="2"/>
      <c r="O711" s="2"/>
      <c r="P711" s="2"/>
      <c r="Q711" s="2"/>
      <c r="S711" s="3"/>
      <c r="T711" s="3"/>
      <c r="U711" s="3"/>
      <c r="V711" s="3"/>
      <c r="W711" s="3"/>
      <c r="X711" s="3"/>
      <c r="Y711" s="3"/>
      <c r="Z711" s="3"/>
    </row>
    <row r="712" ht="15.75" customHeight="1">
      <c r="A712" s="3"/>
      <c r="B712" s="2"/>
      <c r="C712" s="2"/>
      <c r="D712" s="2"/>
      <c r="E712" s="464"/>
      <c r="F712" s="2"/>
      <c r="G712" s="2"/>
      <c r="H712" s="2"/>
      <c r="I712" s="2"/>
      <c r="J712" s="2"/>
      <c r="K712" s="2"/>
      <c r="L712" s="2"/>
      <c r="M712" s="2"/>
      <c r="N712" s="2"/>
      <c r="O712" s="2"/>
      <c r="P712" s="2"/>
      <c r="Q712" s="2"/>
      <c r="S712" s="3"/>
      <c r="T712" s="3"/>
      <c r="U712" s="3"/>
      <c r="V712" s="3"/>
      <c r="W712" s="3"/>
      <c r="X712" s="3"/>
      <c r="Y712" s="3"/>
      <c r="Z712" s="3"/>
    </row>
    <row r="713" ht="15.75" customHeight="1">
      <c r="A713" s="3"/>
      <c r="B713" s="2"/>
      <c r="C713" s="2"/>
      <c r="D713" s="2"/>
      <c r="E713" s="464"/>
      <c r="F713" s="2"/>
      <c r="G713" s="2"/>
      <c r="H713" s="2"/>
      <c r="I713" s="2"/>
      <c r="J713" s="2"/>
      <c r="K713" s="2"/>
      <c r="L713" s="2"/>
      <c r="M713" s="2"/>
      <c r="N713" s="2"/>
      <c r="O713" s="2"/>
      <c r="P713" s="2"/>
      <c r="Q713" s="2"/>
      <c r="S713" s="3"/>
      <c r="T713" s="3"/>
      <c r="U713" s="3"/>
      <c r="V713" s="3"/>
      <c r="W713" s="3"/>
      <c r="X713" s="3"/>
      <c r="Y713" s="3"/>
      <c r="Z713" s="3"/>
    </row>
    <row r="714" ht="15.75" customHeight="1">
      <c r="A714" s="3"/>
      <c r="B714" s="2"/>
      <c r="C714" s="2"/>
      <c r="D714" s="2"/>
      <c r="E714" s="464"/>
      <c r="F714" s="2"/>
      <c r="G714" s="2"/>
      <c r="H714" s="2"/>
      <c r="I714" s="2"/>
      <c r="J714" s="2"/>
      <c r="K714" s="2"/>
      <c r="L714" s="2"/>
      <c r="M714" s="2"/>
      <c r="N714" s="2"/>
      <c r="O714" s="2"/>
      <c r="P714" s="2"/>
      <c r="Q714" s="2"/>
      <c r="S714" s="3"/>
      <c r="T714" s="3"/>
      <c r="U714" s="3"/>
      <c r="V714" s="3"/>
      <c r="W714" s="3"/>
      <c r="X714" s="3"/>
      <c r="Y714" s="3"/>
      <c r="Z714" s="3"/>
    </row>
    <row r="715" ht="15.75" customHeight="1">
      <c r="A715" s="3"/>
      <c r="B715" s="2"/>
      <c r="C715" s="2"/>
      <c r="D715" s="2"/>
      <c r="E715" s="464"/>
      <c r="F715" s="2"/>
      <c r="G715" s="2"/>
      <c r="H715" s="2"/>
      <c r="I715" s="2"/>
      <c r="J715" s="2"/>
      <c r="K715" s="2"/>
      <c r="L715" s="2"/>
      <c r="M715" s="2"/>
      <c r="N715" s="2"/>
      <c r="O715" s="2"/>
      <c r="P715" s="2"/>
      <c r="Q715" s="2"/>
      <c r="S715" s="3"/>
      <c r="T715" s="3"/>
      <c r="U715" s="3"/>
      <c r="V715" s="3"/>
      <c r="W715" s="3"/>
      <c r="X715" s="3"/>
      <c r="Y715" s="3"/>
      <c r="Z715" s="3"/>
    </row>
    <row r="716" ht="15.75" customHeight="1">
      <c r="A716" s="3"/>
      <c r="B716" s="2"/>
      <c r="C716" s="2"/>
      <c r="D716" s="2"/>
      <c r="E716" s="464"/>
      <c r="F716" s="2"/>
      <c r="G716" s="2"/>
      <c r="H716" s="2"/>
      <c r="I716" s="2"/>
      <c r="J716" s="2"/>
      <c r="K716" s="2"/>
      <c r="L716" s="2"/>
      <c r="M716" s="2"/>
      <c r="N716" s="2"/>
      <c r="O716" s="2"/>
      <c r="P716" s="2"/>
      <c r="Q716" s="2"/>
      <c r="S716" s="3"/>
      <c r="T716" s="3"/>
      <c r="U716" s="3"/>
      <c r="V716" s="3"/>
      <c r="W716" s="3"/>
      <c r="X716" s="3"/>
      <c r="Y716" s="3"/>
      <c r="Z716" s="3"/>
    </row>
    <row r="717" ht="15.75" customHeight="1">
      <c r="A717" s="3"/>
      <c r="B717" s="2"/>
      <c r="C717" s="2"/>
      <c r="D717" s="2"/>
      <c r="E717" s="464"/>
      <c r="F717" s="2"/>
      <c r="G717" s="2"/>
      <c r="H717" s="2"/>
      <c r="I717" s="2"/>
      <c r="J717" s="2"/>
      <c r="K717" s="2"/>
      <c r="L717" s="2"/>
      <c r="M717" s="2"/>
      <c r="N717" s="2"/>
      <c r="O717" s="2"/>
      <c r="P717" s="2"/>
      <c r="Q717" s="2"/>
      <c r="S717" s="3"/>
      <c r="T717" s="3"/>
      <c r="U717" s="3"/>
      <c r="V717" s="3"/>
      <c r="W717" s="3"/>
      <c r="X717" s="3"/>
      <c r="Y717" s="3"/>
      <c r="Z717" s="3"/>
    </row>
    <row r="718" ht="15.75" customHeight="1">
      <c r="A718" s="3"/>
      <c r="B718" s="2"/>
      <c r="C718" s="2"/>
      <c r="D718" s="2"/>
      <c r="E718" s="464"/>
      <c r="F718" s="2"/>
      <c r="G718" s="2"/>
      <c r="H718" s="2"/>
      <c r="I718" s="2"/>
      <c r="J718" s="2"/>
      <c r="K718" s="2"/>
      <c r="L718" s="2"/>
      <c r="M718" s="2"/>
      <c r="N718" s="2"/>
      <c r="O718" s="2"/>
      <c r="P718" s="2"/>
      <c r="Q718" s="2"/>
      <c r="S718" s="3"/>
      <c r="T718" s="3"/>
      <c r="U718" s="3"/>
      <c r="V718" s="3"/>
      <c r="W718" s="3"/>
      <c r="X718" s="3"/>
      <c r="Y718" s="3"/>
      <c r="Z718" s="3"/>
    </row>
    <row r="719" ht="15.75" customHeight="1">
      <c r="A719" s="3"/>
      <c r="B719" s="2"/>
      <c r="C719" s="2"/>
      <c r="D719" s="2"/>
      <c r="E719" s="464"/>
      <c r="F719" s="2"/>
      <c r="G719" s="2"/>
      <c r="H719" s="2"/>
      <c r="I719" s="2"/>
      <c r="J719" s="2"/>
      <c r="K719" s="2"/>
      <c r="L719" s="2"/>
      <c r="M719" s="2"/>
      <c r="N719" s="2"/>
      <c r="O719" s="2"/>
      <c r="P719" s="2"/>
      <c r="Q719" s="2"/>
      <c r="S719" s="3"/>
      <c r="T719" s="3"/>
      <c r="U719" s="3"/>
      <c r="V719" s="3"/>
      <c r="W719" s="3"/>
      <c r="X719" s="3"/>
      <c r="Y719" s="3"/>
      <c r="Z719" s="3"/>
    </row>
    <row r="720" ht="15.75" customHeight="1">
      <c r="A720" s="3"/>
      <c r="B720" s="2"/>
      <c r="C720" s="2"/>
      <c r="D720" s="2"/>
      <c r="E720" s="464"/>
      <c r="F720" s="2"/>
      <c r="G720" s="2"/>
      <c r="H720" s="2"/>
      <c r="I720" s="2"/>
      <c r="J720" s="2"/>
      <c r="K720" s="2"/>
      <c r="L720" s="2"/>
      <c r="M720" s="2"/>
      <c r="N720" s="2"/>
      <c r="O720" s="2"/>
      <c r="P720" s="2"/>
      <c r="Q720" s="2"/>
      <c r="S720" s="3"/>
      <c r="T720" s="3"/>
      <c r="U720" s="3"/>
      <c r="V720" s="3"/>
      <c r="W720" s="3"/>
      <c r="X720" s="3"/>
      <c r="Y720" s="3"/>
      <c r="Z720" s="3"/>
    </row>
    <row r="721" ht="15.75" customHeight="1">
      <c r="A721" s="3"/>
      <c r="B721" s="2"/>
      <c r="C721" s="2"/>
      <c r="D721" s="2"/>
      <c r="E721" s="464"/>
      <c r="F721" s="2"/>
      <c r="G721" s="2"/>
      <c r="H721" s="2"/>
      <c r="I721" s="2"/>
      <c r="J721" s="2"/>
      <c r="K721" s="2"/>
      <c r="L721" s="2"/>
      <c r="M721" s="2"/>
      <c r="N721" s="2"/>
      <c r="O721" s="2"/>
      <c r="P721" s="2"/>
      <c r="Q721" s="2"/>
      <c r="S721" s="3"/>
      <c r="T721" s="3"/>
      <c r="U721" s="3"/>
      <c r="V721" s="3"/>
      <c r="W721" s="3"/>
      <c r="X721" s="3"/>
      <c r="Y721" s="3"/>
      <c r="Z721" s="3"/>
    </row>
    <row r="722" ht="15.75" customHeight="1">
      <c r="A722" s="3"/>
      <c r="B722" s="2"/>
      <c r="C722" s="2"/>
      <c r="D722" s="2"/>
      <c r="E722" s="464"/>
      <c r="F722" s="2"/>
      <c r="G722" s="2"/>
      <c r="H722" s="2"/>
      <c r="I722" s="2"/>
      <c r="J722" s="2"/>
      <c r="K722" s="2"/>
      <c r="L722" s="2"/>
      <c r="M722" s="2"/>
      <c r="N722" s="2"/>
      <c r="O722" s="2"/>
      <c r="P722" s="2"/>
      <c r="Q722" s="2"/>
      <c r="S722" s="3"/>
      <c r="T722" s="3"/>
      <c r="U722" s="3"/>
      <c r="V722" s="3"/>
      <c r="W722" s="3"/>
      <c r="X722" s="3"/>
      <c r="Y722" s="3"/>
      <c r="Z722" s="3"/>
    </row>
    <row r="723" ht="15.75" customHeight="1">
      <c r="A723" s="3"/>
      <c r="B723" s="2"/>
      <c r="C723" s="2"/>
      <c r="D723" s="2"/>
      <c r="E723" s="464"/>
      <c r="F723" s="2"/>
      <c r="G723" s="2"/>
      <c r="H723" s="2"/>
      <c r="I723" s="2"/>
      <c r="J723" s="2"/>
      <c r="K723" s="2"/>
      <c r="L723" s="2"/>
      <c r="M723" s="2"/>
      <c r="N723" s="2"/>
      <c r="O723" s="2"/>
      <c r="P723" s="2"/>
      <c r="Q723" s="2"/>
      <c r="S723" s="3"/>
      <c r="T723" s="3"/>
      <c r="U723" s="3"/>
      <c r="V723" s="3"/>
      <c r="W723" s="3"/>
      <c r="X723" s="3"/>
      <c r="Y723" s="3"/>
      <c r="Z723" s="3"/>
    </row>
    <row r="724" ht="15.75" customHeight="1">
      <c r="A724" s="3"/>
      <c r="B724" s="2"/>
      <c r="C724" s="2"/>
      <c r="D724" s="2"/>
      <c r="E724" s="464"/>
      <c r="F724" s="2"/>
      <c r="G724" s="2"/>
      <c r="H724" s="2"/>
      <c r="I724" s="2"/>
      <c r="J724" s="2"/>
      <c r="K724" s="2"/>
      <c r="L724" s="2"/>
      <c r="M724" s="2"/>
      <c r="N724" s="2"/>
      <c r="O724" s="2"/>
      <c r="P724" s="2"/>
      <c r="Q724" s="2"/>
      <c r="S724" s="3"/>
      <c r="T724" s="3"/>
      <c r="U724" s="3"/>
      <c r="V724" s="3"/>
      <c r="W724" s="3"/>
      <c r="X724" s="3"/>
      <c r="Y724" s="3"/>
      <c r="Z724" s="3"/>
    </row>
    <row r="725" ht="15.75" customHeight="1">
      <c r="A725" s="3"/>
      <c r="B725" s="2"/>
      <c r="C725" s="2"/>
      <c r="D725" s="2"/>
      <c r="E725" s="464"/>
      <c r="F725" s="2"/>
      <c r="G725" s="2"/>
      <c r="H725" s="2"/>
      <c r="I725" s="2"/>
      <c r="J725" s="2"/>
      <c r="K725" s="2"/>
      <c r="L725" s="2"/>
      <c r="M725" s="2"/>
      <c r="N725" s="2"/>
      <c r="O725" s="2"/>
      <c r="P725" s="2"/>
      <c r="Q725" s="2"/>
      <c r="S725" s="3"/>
      <c r="T725" s="3"/>
      <c r="U725" s="3"/>
      <c r="V725" s="3"/>
      <c r="W725" s="3"/>
      <c r="X725" s="3"/>
      <c r="Y725" s="3"/>
      <c r="Z725" s="3"/>
    </row>
    <row r="726" ht="15.75" customHeight="1">
      <c r="A726" s="3"/>
      <c r="B726" s="2"/>
      <c r="C726" s="2"/>
      <c r="D726" s="2"/>
      <c r="E726" s="464"/>
      <c r="F726" s="2"/>
      <c r="G726" s="2"/>
      <c r="H726" s="2"/>
      <c r="I726" s="2"/>
      <c r="J726" s="2"/>
      <c r="K726" s="2"/>
      <c r="L726" s="2"/>
      <c r="M726" s="2"/>
      <c r="N726" s="2"/>
      <c r="O726" s="2"/>
      <c r="P726" s="2"/>
      <c r="Q726" s="2"/>
      <c r="S726" s="3"/>
      <c r="T726" s="3"/>
      <c r="U726" s="3"/>
      <c r="V726" s="3"/>
      <c r="W726" s="3"/>
      <c r="X726" s="3"/>
      <c r="Y726" s="3"/>
      <c r="Z726" s="3"/>
    </row>
    <row r="727" ht="15.75" customHeight="1">
      <c r="A727" s="3"/>
      <c r="B727" s="2"/>
      <c r="C727" s="2"/>
      <c r="D727" s="2"/>
      <c r="E727" s="464"/>
      <c r="F727" s="2"/>
      <c r="G727" s="2"/>
      <c r="H727" s="2"/>
      <c r="I727" s="2"/>
      <c r="J727" s="2"/>
      <c r="K727" s="2"/>
      <c r="L727" s="2"/>
      <c r="M727" s="2"/>
      <c r="N727" s="2"/>
      <c r="O727" s="2"/>
      <c r="P727" s="2"/>
      <c r="Q727" s="2"/>
      <c r="S727" s="3"/>
      <c r="T727" s="3"/>
      <c r="U727" s="3"/>
      <c r="V727" s="3"/>
      <c r="W727" s="3"/>
      <c r="X727" s="3"/>
      <c r="Y727" s="3"/>
      <c r="Z727" s="3"/>
    </row>
    <row r="728" ht="15.75" customHeight="1">
      <c r="A728" s="3"/>
      <c r="B728" s="2"/>
      <c r="C728" s="2"/>
      <c r="D728" s="2"/>
      <c r="E728" s="464"/>
      <c r="F728" s="2"/>
      <c r="G728" s="2"/>
      <c r="H728" s="2"/>
      <c r="I728" s="2"/>
      <c r="J728" s="2"/>
      <c r="K728" s="2"/>
      <c r="L728" s="2"/>
      <c r="M728" s="2"/>
      <c r="N728" s="2"/>
      <c r="O728" s="2"/>
      <c r="P728" s="2"/>
      <c r="Q728" s="2"/>
      <c r="S728" s="3"/>
      <c r="T728" s="3"/>
      <c r="U728" s="3"/>
      <c r="V728" s="3"/>
      <c r="W728" s="3"/>
      <c r="X728" s="3"/>
      <c r="Y728" s="3"/>
      <c r="Z728" s="3"/>
    </row>
    <row r="729" ht="15.75" customHeight="1">
      <c r="A729" s="3"/>
      <c r="B729" s="2"/>
      <c r="C729" s="2"/>
      <c r="D729" s="2"/>
      <c r="E729" s="464"/>
      <c r="F729" s="2"/>
      <c r="G729" s="2"/>
      <c r="H729" s="2"/>
      <c r="I729" s="2"/>
      <c r="J729" s="2"/>
      <c r="K729" s="2"/>
      <c r="L729" s="2"/>
      <c r="M729" s="2"/>
      <c r="N729" s="2"/>
      <c r="O729" s="2"/>
      <c r="P729" s="2"/>
      <c r="Q729" s="2"/>
      <c r="S729" s="3"/>
      <c r="T729" s="3"/>
      <c r="U729" s="3"/>
      <c r="V729" s="3"/>
      <c r="W729" s="3"/>
      <c r="X729" s="3"/>
      <c r="Y729" s="3"/>
      <c r="Z729" s="3"/>
    </row>
    <row r="730" ht="15.75" customHeight="1">
      <c r="A730" s="3"/>
      <c r="B730" s="2"/>
      <c r="C730" s="2"/>
      <c r="D730" s="2"/>
      <c r="E730" s="464"/>
      <c r="F730" s="2"/>
      <c r="G730" s="2"/>
      <c r="H730" s="2"/>
      <c r="I730" s="2"/>
      <c r="J730" s="2"/>
      <c r="K730" s="2"/>
      <c r="L730" s="2"/>
      <c r="M730" s="2"/>
      <c r="N730" s="2"/>
      <c r="O730" s="2"/>
      <c r="P730" s="2"/>
      <c r="Q730" s="2"/>
      <c r="S730" s="3"/>
      <c r="T730" s="3"/>
      <c r="U730" s="3"/>
      <c r="V730" s="3"/>
      <c r="W730" s="3"/>
      <c r="X730" s="3"/>
      <c r="Y730" s="3"/>
      <c r="Z730" s="3"/>
    </row>
    <row r="731" ht="15.75" customHeight="1">
      <c r="A731" s="3"/>
      <c r="B731" s="2"/>
      <c r="C731" s="2"/>
      <c r="D731" s="2"/>
      <c r="E731" s="464"/>
      <c r="F731" s="2"/>
      <c r="G731" s="2"/>
      <c r="H731" s="2"/>
      <c r="I731" s="2"/>
      <c r="J731" s="2"/>
      <c r="K731" s="2"/>
      <c r="L731" s="2"/>
      <c r="M731" s="2"/>
      <c r="N731" s="2"/>
      <c r="O731" s="2"/>
      <c r="P731" s="2"/>
      <c r="Q731" s="2"/>
      <c r="S731" s="3"/>
      <c r="T731" s="3"/>
      <c r="U731" s="3"/>
      <c r="V731" s="3"/>
      <c r="W731" s="3"/>
      <c r="X731" s="3"/>
      <c r="Y731" s="3"/>
      <c r="Z731" s="3"/>
    </row>
    <row r="732" ht="15.75" customHeight="1">
      <c r="A732" s="3"/>
      <c r="B732" s="2"/>
      <c r="C732" s="2"/>
      <c r="D732" s="2"/>
      <c r="E732" s="464"/>
      <c r="F732" s="2"/>
      <c r="G732" s="2"/>
      <c r="H732" s="2"/>
      <c r="I732" s="2"/>
      <c r="J732" s="2"/>
      <c r="K732" s="2"/>
      <c r="L732" s="2"/>
      <c r="M732" s="2"/>
      <c r="N732" s="2"/>
      <c r="O732" s="2"/>
      <c r="P732" s="2"/>
      <c r="Q732" s="2"/>
      <c r="S732" s="3"/>
      <c r="T732" s="3"/>
      <c r="U732" s="3"/>
      <c r="V732" s="3"/>
      <c r="W732" s="3"/>
      <c r="X732" s="3"/>
      <c r="Y732" s="3"/>
      <c r="Z732" s="3"/>
    </row>
    <row r="733" ht="15.75" customHeight="1">
      <c r="A733" s="3"/>
      <c r="B733" s="2"/>
      <c r="C733" s="2"/>
      <c r="D733" s="2"/>
      <c r="E733" s="464"/>
      <c r="F733" s="2"/>
      <c r="G733" s="2"/>
      <c r="H733" s="2"/>
      <c r="I733" s="2"/>
      <c r="J733" s="2"/>
      <c r="K733" s="2"/>
      <c r="L733" s="2"/>
      <c r="M733" s="2"/>
      <c r="N733" s="2"/>
      <c r="O733" s="2"/>
      <c r="P733" s="2"/>
      <c r="Q733" s="2"/>
      <c r="S733" s="3"/>
      <c r="T733" s="3"/>
      <c r="U733" s="3"/>
      <c r="V733" s="3"/>
      <c r="W733" s="3"/>
      <c r="X733" s="3"/>
      <c r="Y733" s="3"/>
      <c r="Z733" s="3"/>
    </row>
    <row r="734" ht="15.75" customHeight="1">
      <c r="A734" s="3"/>
      <c r="B734" s="2"/>
      <c r="C734" s="2"/>
      <c r="D734" s="2"/>
      <c r="E734" s="464"/>
      <c r="F734" s="2"/>
      <c r="G734" s="2"/>
      <c r="H734" s="2"/>
      <c r="I734" s="2"/>
      <c r="J734" s="2"/>
      <c r="K734" s="2"/>
      <c r="L734" s="2"/>
      <c r="M734" s="2"/>
      <c r="N734" s="2"/>
      <c r="O734" s="2"/>
      <c r="P734" s="2"/>
      <c r="Q734" s="2"/>
      <c r="S734" s="3"/>
      <c r="T734" s="3"/>
      <c r="U734" s="3"/>
      <c r="V734" s="3"/>
      <c r="W734" s="3"/>
      <c r="X734" s="3"/>
      <c r="Y734" s="3"/>
      <c r="Z734" s="3"/>
    </row>
    <row r="735" ht="15.75" customHeight="1">
      <c r="A735" s="3"/>
      <c r="B735" s="2"/>
      <c r="C735" s="2"/>
      <c r="D735" s="2"/>
      <c r="E735" s="464"/>
      <c r="F735" s="2"/>
      <c r="G735" s="2"/>
      <c r="H735" s="2"/>
      <c r="I735" s="2"/>
      <c r="J735" s="2"/>
      <c r="K735" s="2"/>
      <c r="L735" s="2"/>
      <c r="M735" s="2"/>
      <c r="N735" s="2"/>
      <c r="O735" s="2"/>
      <c r="P735" s="2"/>
      <c r="Q735" s="2"/>
      <c r="S735" s="3"/>
      <c r="T735" s="3"/>
      <c r="U735" s="3"/>
      <c r="V735" s="3"/>
      <c r="W735" s="3"/>
      <c r="X735" s="3"/>
      <c r="Y735" s="3"/>
      <c r="Z735" s="3"/>
    </row>
    <row r="736" ht="15.75" customHeight="1">
      <c r="A736" s="3"/>
      <c r="B736" s="2"/>
      <c r="C736" s="2"/>
      <c r="D736" s="2"/>
      <c r="E736" s="464"/>
      <c r="F736" s="2"/>
      <c r="G736" s="2"/>
      <c r="H736" s="2"/>
      <c r="I736" s="2"/>
      <c r="J736" s="2"/>
      <c r="K736" s="2"/>
      <c r="L736" s="2"/>
      <c r="M736" s="2"/>
      <c r="N736" s="2"/>
      <c r="O736" s="2"/>
      <c r="P736" s="2"/>
      <c r="Q736" s="2"/>
      <c r="S736" s="3"/>
      <c r="T736" s="3"/>
      <c r="U736" s="3"/>
      <c r="V736" s="3"/>
      <c r="W736" s="3"/>
      <c r="X736" s="3"/>
      <c r="Y736" s="3"/>
      <c r="Z736" s="3"/>
    </row>
    <row r="737" ht="15.75" customHeight="1">
      <c r="A737" s="3"/>
      <c r="B737" s="2"/>
      <c r="C737" s="2"/>
      <c r="D737" s="2"/>
      <c r="E737" s="464"/>
      <c r="F737" s="2"/>
      <c r="G737" s="2"/>
      <c r="H737" s="2"/>
      <c r="I737" s="2"/>
      <c r="J737" s="2"/>
      <c r="K737" s="2"/>
      <c r="L737" s="2"/>
      <c r="M737" s="2"/>
      <c r="N737" s="2"/>
      <c r="O737" s="2"/>
      <c r="P737" s="2"/>
      <c r="Q737" s="2"/>
      <c r="S737" s="3"/>
      <c r="T737" s="3"/>
      <c r="U737" s="3"/>
      <c r="V737" s="3"/>
      <c r="W737" s="3"/>
      <c r="X737" s="3"/>
      <c r="Y737" s="3"/>
      <c r="Z737" s="3"/>
    </row>
    <row r="738" ht="15.75" customHeight="1">
      <c r="A738" s="3"/>
      <c r="B738" s="2"/>
      <c r="C738" s="2"/>
      <c r="D738" s="2"/>
      <c r="E738" s="464"/>
      <c r="F738" s="2"/>
      <c r="G738" s="2"/>
      <c r="H738" s="2"/>
      <c r="I738" s="2"/>
      <c r="J738" s="2"/>
      <c r="K738" s="2"/>
      <c r="L738" s="2"/>
      <c r="M738" s="2"/>
      <c r="N738" s="2"/>
      <c r="O738" s="2"/>
      <c r="P738" s="2"/>
      <c r="Q738" s="2"/>
      <c r="S738" s="3"/>
      <c r="T738" s="3"/>
      <c r="U738" s="3"/>
      <c r="V738" s="3"/>
      <c r="W738" s="3"/>
      <c r="X738" s="3"/>
      <c r="Y738" s="3"/>
      <c r="Z738" s="3"/>
    </row>
    <row r="739" ht="15.75" customHeight="1">
      <c r="A739" s="3"/>
      <c r="B739" s="2"/>
      <c r="C739" s="2"/>
      <c r="D739" s="2"/>
      <c r="E739" s="464"/>
      <c r="F739" s="2"/>
      <c r="G739" s="2"/>
      <c r="H739" s="2"/>
      <c r="I739" s="2"/>
      <c r="J739" s="2"/>
      <c r="K739" s="2"/>
      <c r="L739" s="2"/>
      <c r="M739" s="2"/>
      <c r="N739" s="2"/>
      <c r="O739" s="2"/>
      <c r="P739" s="2"/>
      <c r="Q739" s="2"/>
      <c r="S739" s="3"/>
      <c r="T739" s="3"/>
      <c r="U739" s="3"/>
      <c r="V739" s="3"/>
      <c r="W739" s="3"/>
      <c r="X739" s="3"/>
      <c r="Y739" s="3"/>
      <c r="Z739" s="3"/>
    </row>
    <row r="740" ht="15.75" customHeight="1">
      <c r="A740" s="3"/>
      <c r="B740" s="2"/>
      <c r="C740" s="2"/>
      <c r="D740" s="2"/>
      <c r="E740" s="464"/>
      <c r="F740" s="2"/>
      <c r="G740" s="2"/>
      <c r="H740" s="2"/>
      <c r="I740" s="2"/>
      <c r="J740" s="2"/>
      <c r="K740" s="2"/>
      <c r="L740" s="2"/>
      <c r="M740" s="2"/>
      <c r="N740" s="2"/>
      <c r="O740" s="2"/>
      <c r="P740" s="2"/>
      <c r="Q740" s="2"/>
      <c r="S740" s="3"/>
      <c r="T740" s="3"/>
      <c r="U740" s="3"/>
      <c r="V740" s="3"/>
      <c r="W740" s="3"/>
      <c r="X740" s="3"/>
      <c r="Y740" s="3"/>
      <c r="Z740" s="3"/>
    </row>
    <row r="741" ht="15.75" customHeight="1">
      <c r="A741" s="3"/>
      <c r="B741" s="2"/>
      <c r="C741" s="2"/>
      <c r="D741" s="2"/>
      <c r="E741" s="464"/>
      <c r="F741" s="2"/>
      <c r="G741" s="2"/>
      <c r="H741" s="2"/>
      <c r="I741" s="2"/>
      <c r="J741" s="2"/>
      <c r="K741" s="2"/>
      <c r="L741" s="2"/>
      <c r="M741" s="2"/>
      <c r="N741" s="2"/>
      <c r="O741" s="2"/>
      <c r="P741" s="2"/>
      <c r="Q741" s="2"/>
      <c r="S741" s="3"/>
      <c r="T741" s="3"/>
      <c r="U741" s="3"/>
      <c r="V741" s="3"/>
      <c r="W741" s="3"/>
      <c r="X741" s="3"/>
      <c r="Y741" s="3"/>
      <c r="Z741" s="3"/>
    </row>
    <row r="742" ht="15.75" customHeight="1">
      <c r="A742" s="3"/>
      <c r="B742" s="2"/>
      <c r="C742" s="2"/>
      <c r="D742" s="2"/>
      <c r="E742" s="464"/>
      <c r="F742" s="2"/>
      <c r="G742" s="2"/>
      <c r="H742" s="2"/>
      <c r="I742" s="2"/>
      <c r="J742" s="2"/>
      <c r="K742" s="2"/>
      <c r="L742" s="2"/>
      <c r="M742" s="2"/>
      <c r="N742" s="2"/>
      <c r="O742" s="2"/>
      <c r="P742" s="2"/>
      <c r="Q742" s="2"/>
      <c r="S742" s="3"/>
      <c r="T742" s="3"/>
      <c r="U742" s="3"/>
      <c r="V742" s="3"/>
      <c r="W742" s="3"/>
      <c r="X742" s="3"/>
      <c r="Y742" s="3"/>
      <c r="Z742" s="3"/>
    </row>
    <row r="743" ht="15.75" customHeight="1">
      <c r="A743" s="3"/>
      <c r="B743" s="2"/>
      <c r="C743" s="2"/>
      <c r="D743" s="2"/>
      <c r="E743" s="464"/>
      <c r="F743" s="2"/>
      <c r="G743" s="2"/>
      <c r="H743" s="2"/>
      <c r="I743" s="2"/>
      <c r="J743" s="2"/>
      <c r="K743" s="2"/>
      <c r="L743" s="2"/>
      <c r="M743" s="2"/>
      <c r="N743" s="2"/>
      <c r="O743" s="2"/>
      <c r="P743" s="2"/>
      <c r="Q743" s="2"/>
      <c r="S743" s="3"/>
      <c r="T743" s="3"/>
      <c r="U743" s="3"/>
      <c r="V743" s="3"/>
      <c r="W743" s="3"/>
      <c r="X743" s="3"/>
      <c r="Y743" s="3"/>
      <c r="Z743" s="3"/>
    </row>
    <row r="744" ht="15.75" customHeight="1">
      <c r="A744" s="3"/>
      <c r="B744" s="2"/>
      <c r="C744" s="2"/>
      <c r="D744" s="2"/>
      <c r="E744" s="464"/>
      <c r="F744" s="2"/>
      <c r="G744" s="2"/>
      <c r="H744" s="2"/>
      <c r="I744" s="2"/>
      <c r="J744" s="2"/>
      <c r="K744" s="2"/>
      <c r="L744" s="2"/>
      <c r="M744" s="2"/>
      <c r="N744" s="2"/>
      <c r="O744" s="2"/>
      <c r="P744" s="2"/>
      <c r="Q744" s="2"/>
      <c r="S744" s="3"/>
      <c r="T744" s="3"/>
      <c r="U744" s="3"/>
      <c r="V744" s="3"/>
      <c r="W744" s="3"/>
      <c r="X744" s="3"/>
      <c r="Y744" s="3"/>
      <c r="Z744" s="3"/>
    </row>
    <row r="745" ht="15.75" customHeight="1">
      <c r="A745" s="3"/>
      <c r="B745" s="2"/>
      <c r="C745" s="2"/>
      <c r="D745" s="2"/>
      <c r="E745" s="464"/>
      <c r="F745" s="2"/>
      <c r="G745" s="2"/>
      <c r="H745" s="2"/>
      <c r="I745" s="2"/>
      <c r="J745" s="2"/>
      <c r="K745" s="2"/>
      <c r="L745" s="2"/>
      <c r="M745" s="2"/>
      <c r="N745" s="2"/>
      <c r="O745" s="2"/>
      <c r="P745" s="2"/>
      <c r="Q745" s="2"/>
      <c r="S745" s="3"/>
      <c r="T745" s="3"/>
      <c r="U745" s="3"/>
      <c r="V745" s="3"/>
      <c r="W745" s="3"/>
      <c r="X745" s="3"/>
      <c r="Y745" s="3"/>
      <c r="Z745" s="3"/>
    </row>
    <row r="746" ht="15.75" customHeight="1">
      <c r="A746" s="3"/>
      <c r="B746" s="2"/>
      <c r="C746" s="2"/>
      <c r="D746" s="2"/>
      <c r="E746" s="464"/>
      <c r="F746" s="2"/>
      <c r="G746" s="2"/>
      <c r="H746" s="2"/>
      <c r="I746" s="2"/>
      <c r="J746" s="2"/>
      <c r="K746" s="2"/>
      <c r="L746" s="2"/>
      <c r="M746" s="2"/>
      <c r="N746" s="2"/>
      <c r="O746" s="2"/>
      <c r="P746" s="2"/>
      <c r="Q746" s="2"/>
      <c r="S746" s="3"/>
      <c r="T746" s="3"/>
      <c r="U746" s="3"/>
      <c r="V746" s="3"/>
      <c r="W746" s="3"/>
      <c r="X746" s="3"/>
      <c r="Y746" s="3"/>
      <c r="Z746" s="3"/>
    </row>
    <row r="747" ht="15.75" customHeight="1">
      <c r="A747" s="3"/>
      <c r="B747" s="2"/>
      <c r="C747" s="2"/>
      <c r="D747" s="2"/>
      <c r="E747" s="464"/>
      <c r="F747" s="2"/>
      <c r="G747" s="2"/>
      <c r="H747" s="2"/>
      <c r="I747" s="2"/>
      <c r="J747" s="2"/>
      <c r="K747" s="2"/>
      <c r="L747" s="2"/>
      <c r="M747" s="2"/>
      <c r="N747" s="2"/>
      <c r="O747" s="2"/>
      <c r="P747" s="2"/>
      <c r="Q747" s="2"/>
      <c r="S747" s="3"/>
      <c r="T747" s="3"/>
      <c r="U747" s="3"/>
      <c r="V747" s="3"/>
      <c r="W747" s="3"/>
      <c r="X747" s="3"/>
      <c r="Y747" s="3"/>
      <c r="Z747" s="3"/>
    </row>
    <row r="748" ht="15.75" customHeight="1">
      <c r="A748" s="3"/>
      <c r="B748" s="2"/>
      <c r="C748" s="2"/>
      <c r="D748" s="2"/>
      <c r="E748" s="464"/>
      <c r="F748" s="2"/>
      <c r="G748" s="2"/>
      <c r="H748" s="2"/>
      <c r="I748" s="2"/>
      <c r="J748" s="2"/>
      <c r="K748" s="2"/>
      <c r="L748" s="2"/>
      <c r="M748" s="2"/>
      <c r="N748" s="2"/>
      <c r="O748" s="2"/>
      <c r="P748" s="2"/>
      <c r="Q748" s="2"/>
      <c r="S748" s="3"/>
      <c r="T748" s="3"/>
      <c r="U748" s="3"/>
      <c r="V748" s="3"/>
      <c r="W748" s="3"/>
      <c r="X748" s="3"/>
      <c r="Y748" s="3"/>
      <c r="Z748" s="3"/>
    </row>
    <row r="749" ht="15.75" customHeight="1">
      <c r="A749" s="3"/>
      <c r="B749" s="2"/>
      <c r="C749" s="2"/>
      <c r="D749" s="2"/>
      <c r="E749" s="464"/>
      <c r="F749" s="2"/>
      <c r="G749" s="2"/>
      <c r="H749" s="2"/>
      <c r="I749" s="2"/>
      <c r="J749" s="2"/>
      <c r="K749" s="2"/>
      <c r="L749" s="2"/>
      <c r="M749" s="2"/>
      <c r="N749" s="2"/>
      <c r="O749" s="2"/>
      <c r="P749" s="2"/>
      <c r="Q749" s="2"/>
      <c r="S749" s="3"/>
      <c r="T749" s="3"/>
      <c r="U749" s="3"/>
      <c r="V749" s="3"/>
      <c r="W749" s="3"/>
      <c r="X749" s="3"/>
      <c r="Y749" s="3"/>
      <c r="Z749" s="3"/>
    </row>
    <row r="750" ht="15.75" customHeight="1">
      <c r="A750" s="3"/>
      <c r="B750" s="2"/>
      <c r="C750" s="2"/>
      <c r="D750" s="2"/>
      <c r="E750" s="464"/>
      <c r="F750" s="2"/>
      <c r="G750" s="2"/>
      <c r="H750" s="2"/>
      <c r="I750" s="2"/>
      <c r="J750" s="2"/>
      <c r="K750" s="2"/>
      <c r="L750" s="2"/>
      <c r="M750" s="2"/>
      <c r="N750" s="2"/>
      <c r="O750" s="2"/>
      <c r="P750" s="2"/>
      <c r="Q750" s="2"/>
      <c r="S750" s="3"/>
      <c r="T750" s="3"/>
      <c r="U750" s="3"/>
      <c r="V750" s="3"/>
      <c r="W750" s="3"/>
      <c r="X750" s="3"/>
      <c r="Y750" s="3"/>
      <c r="Z750" s="3"/>
    </row>
    <row r="751" ht="15.75" customHeight="1">
      <c r="A751" s="3"/>
      <c r="B751" s="2"/>
      <c r="C751" s="2"/>
      <c r="D751" s="2"/>
      <c r="E751" s="464"/>
      <c r="F751" s="2"/>
      <c r="G751" s="2"/>
      <c r="H751" s="2"/>
      <c r="I751" s="2"/>
      <c r="J751" s="2"/>
      <c r="K751" s="2"/>
      <c r="L751" s="2"/>
      <c r="M751" s="2"/>
      <c r="N751" s="2"/>
      <c r="O751" s="2"/>
      <c r="P751" s="2"/>
      <c r="Q751" s="2"/>
      <c r="S751" s="3"/>
      <c r="T751" s="3"/>
      <c r="U751" s="3"/>
      <c r="V751" s="3"/>
      <c r="W751" s="3"/>
      <c r="X751" s="3"/>
      <c r="Y751" s="3"/>
      <c r="Z751" s="3"/>
    </row>
    <row r="752" ht="15.75" customHeight="1">
      <c r="A752" s="3"/>
      <c r="B752" s="2"/>
      <c r="C752" s="2"/>
      <c r="D752" s="2"/>
      <c r="E752" s="464"/>
      <c r="F752" s="2"/>
      <c r="G752" s="2"/>
      <c r="H752" s="2"/>
      <c r="I752" s="2"/>
      <c r="J752" s="2"/>
      <c r="K752" s="2"/>
      <c r="L752" s="2"/>
      <c r="M752" s="2"/>
      <c r="N752" s="2"/>
      <c r="O752" s="2"/>
      <c r="P752" s="2"/>
      <c r="Q752" s="2"/>
      <c r="S752" s="3"/>
      <c r="T752" s="3"/>
      <c r="U752" s="3"/>
      <c r="V752" s="3"/>
      <c r="W752" s="3"/>
      <c r="X752" s="3"/>
      <c r="Y752" s="3"/>
      <c r="Z752" s="3"/>
    </row>
    <row r="753" ht="15.75" customHeight="1">
      <c r="A753" s="3"/>
      <c r="B753" s="2"/>
      <c r="C753" s="2"/>
      <c r="D753" s="2"/>
      <c r="E753" s="464"/>
      <c r="F753" s="2"/>
      <c r="G753" s="2"/>
      <c r="H753" s="2"/>
      <c r="I753" s="2"/>
      <c r="J753" s="2"/>
      <c r="K753" s="2"/>
      <c r="L753" s="2"/>
      <c r="M753" s="2"/>
      <c r="N753" s="2"/>
      <c r="O753" s="2"/>
      <c r="P753" s="2"/>
      <c r="Q753" s="2"/>
      <c r="S753" s="3"/>
      <c r="T753" s="3"/>
      <c r="U753" s="3"/>
      <c r="V753" s="3"/>
      <c r="W753" s="3"/>
      <c r="X753" s="3"/>
      <c r="Y753" s="3"/>
      <c r="Z753" s="3"/>
    </row>
    <row r="754" ht="15.75" customHeight="1">
      <c r="A754" s="3"/>
      <c r="B754" s="2"/>
      <c r="C754" s="2"/>
      <c r="D754" s="2"/>
      <c r="E754" s="464"/>
      <c r="F754" s="2"/>
      <c r="G754" s="2"/>
      <c r="H754" s="2"/>
      <c r="I754" s="2"/>
      <c r="J754" s="2"/>
      <c r="K754" s="2"/>
      <c r="L754" s="2"/>
      <c r="M754" s="2"/>
      <c r="N754" s="2"/>
      <c r="O754" s="2"/>
      <c r="P754" s="2"/>
      <c r="Q754" s="2"/>
      <c r="S754" s="3"/>
      <c r="T754" s="3"/>
      <c r="U754" s="3"/>
      <c r="V754" s="3"/>
      <c r="W754" s="3"/>
      <c r="X754" s="3"/>
      <c r="Y754" s="3"/>
      <c r="Z754" s="3"/>
    </row>
    <row r="755" ht="15.75" customHeight="1">
      <c r="A755" s="3"/>
      <c r="B755" s="2"/>
      <c r="C755" s="2"/>
      <c r="D755" s="2"/>
      <c r="E755" s="464"/>
      <c r="F755" s="2"/>
      <c r="G755" s="2"/>
      <c r="H755" s="2"/>
      <c r="I755" s="2"/>
      <c r="J755" s="2"/>
      <c r="K755" s="2"/>
      <c r="L755" s="2"/>
      <c r="M755" s="2"/>
      <c r="N755" s="2"/>
      <c r="O755" s="2"/>
      <c r="P755" s="2"/>
      <c r="Q755" s="2"/>
      <c r="S755" s="3"/>
      <c r="T755" s="3"/>
      <c r="U755" s="3"/>
      <c r="V755" s="3"/>
      <c r="W755" s="3"/>
      <c r="X755" s="3"/>
      <c r="Y755" s="3"/>
      <c r="Z755" s="3"/>
    </row>
    <row r="756" ht="15.75" customHeight="1">
      <c r="A756" s="3"/>
      <c r="B756" s="2"/>
      <c r="C756" s="2"/>
      <c r="D756" s="2"/>
      <c r="E756" s="464"/>
      <c r="F756" s="2"/>
      <c r="G756" s="2"/>
      <c r="H756" s="2"/>
      <c r="I756" s="2"/>
      <c r="J756" s="2"/>
      <c r="K756" s="2"/>
      <c r="L756" s="2"/>
      <c r="M756" s="2"/>
      <c r="N756" s="2"/>
      <c r="O756" s="2"/>
      <c r="P756" s="2"/>
      <c r="Q756" s="2"/>
      <c r="S756" s="3"/>
      <c r="T756" s="3"/>
      <c r="U756" s="3"/>
      <c r="V756" s="3"/>
      <c r="W756" s="3"/>
      <c r="X756" s="3"/>
      <c r="Y756" s="3"/>
      <c r="Z756" s="3"/>
    </row>
    <row r="757" ht="15.75" customHeight="1">
      <c r="A757" s="3"/>
      <c r="B757" s="2"/>
      <c r="C757" s="2"/>
      <c r="D757" s="2"/>
      <c r="E757" s="464"/>
      <c r="F757" s="2"/>
      <c r="G757" s="2"/>
      <c r="H757" s="2"/>
      <c r="I757" s="2"/>
      <c r="J757" s="2"/>
      <c r="K757" s="2"/>
      <c r="L757" s="2"/>
      <c r="M757" s="2"/>
      <c r="N757" s="2"/>
      <c r="O757" s="2"/>
      <c r="P757" s="2"/>
      <c r="Q757" s="2"/>
      <c r="S757" s="3"/>
      <c r="T757" s="3"/>
      <c r="U757" s="3"/>
      <c r="V757" s="3"/>
      <c r="W757" s="3"/>
      <c r="X757" s="3"/>
      <c r="Y757" s="3"/>
      <c r="Z757" s="3"/>
    </row>
    <row r="758" ht="15.75" customHeight="1">
      <c r="A758" s="3"/>
      <c r="B758" s="2"/>
      <c r="C758" s="2"/>
      <c r="D758" s="2"/>
      <c r="E758" s="464"/>
      <c r="F758" s="2"/>
      <c r="G758" s="2"/>
      <c r="H758" s="2"/>
      <c r="I758" s="2"/>
      <c r="J758" s="2"/>
      <c r="K758" s="2"/>
      <c r="L758" s="2"/>
      <c r="M758" s="2"/>
      <c r="N758" s="2"/>
      <c r="O758" s="2"/>
      <c r="P758" s="2"/>
      <c r="Q758" s="2"/>
      <c r="S758" s="3"/>
      <c r="T758" s="3"/>
      <c r="U758" s="3"/>
      <c r="V758" s="3"/>
      <c r="W758" s="3"/>
      <c r="X758" s="3"/>
      <c r="Y758" s="3"/>
      <c r="Z758" s="3"/>
    </row>
    <row r="759" ht="15.75" customHeight="1">
      <c r="A759" s="3"/>
      <c r="B759" s="2"/>
      <c r="C759" s="2"/>
      <c r="D759" s="2"/>
      <c r="E759" s="464"/>
      <c r="F759" s="2"/>
      <c r="G759" s="2"/>
      <c r="H759" s="2"/>
      <c r="I759" s="2"/>
      <c r="J759" s="2"/>
      <c r="K759" s="2"/>
      <c r="L759" s="2"/>
      <c r="M759" s="2"/>
      <c r="N759" s="2"/>
      <c r="O759" s="2"/>
      <c r="P759" s="2"/>
      <c r="Q759" s="2"/>
      <c r="S759" s="3"/>
      <c r="T759" s="3"/>
      <c r="U759" s="3"/>
      <c r="V759" s="3"/>
      <c r="W759" s="3"/>
      <c r="X759" s="3"/>
      <c r="Y759" s="3"/>
      <c r="Z759" s="3"/>
    </row>
    <row r="760" ht="15.75" customHeight="1">
      <c r="A760" s="3"/>
      <c r="B760" s="2"/>
      <c r="C760" s="2"/>
      <c r="D760" s="2"/>
      <c r="E760" s="464"/>
      <c r="F760" s="2"/>
      <c r="G760" s="2"/>
      <c r="H760" s="2"/>
      <c r="I760" s="2"/>
      <c r="J760" s="2"/>
      <c r="K760" s="2"/>
      <c r="L760" s="2"/>
      <c r="M760" s="2"/>
      <c r="N760" s="2"/>
      <c r="O760" s="2"/>
      <c r="P760" s="2"/>
      <c r="Q760" s="2"/>
      <c r="S760" s="3"/>
      <c r="T760" s="3"/>
      <c r="U760" s="3"/>
      <c r="V760" s="3"/>
      <c r="W760" s="3"/>
      <c r="X760" s="3"/>
      <c r="Y760" s="3"/>
      <c r="Z760" s="3"/>
    </row>
    <row r="761" ht="15.75" customHeight="1">
      <c r="A761" s="3"/>
      <c r="B761" s="2"/>
      <c r="C761" s="2"/>
      <c r="D761" s="2"/>
      <c r="E761" s="464"/>
      <c r="F761" s="2"/>
      <c r="G761" s="2"/>
      <c r="H761" s="2"/>
      <c r="I761" s="2"/>
      <c r="J761" s="2"/>
      <c r="K761" s="2"/>
      <c r="L761" s="2"/>
      <c r="M761" s="2"/>
      <c r="N761" s="2"/>
      <c r="O761" s="2"/>
      <c r="P761" s="2"/>
      <c r="Q761" s="2"/>
      <c r="S761" s="3"/>
      <c r="T761" s="3"/>
      <c r="U761" s="3"/>
      <c r="V761" s="3"/>
      <c r="W761" s="3"/>
      <c r="X761" s="3"/>
      <c r="Y761" s="3"/>
      <c r="Z761" s="3"/>
    </row>
    <row r="762" ht="15.75" customHeight="1">
      <c r="A762" s="3"/>
      <c r="B762" s="2"/>
      <c r="C762" s="2"/>
      <c r="D762" s="2"/>
      <c r="E762" s="464"/>
      <c r="F762" s="2"/>
      <c r="G762" s="2"/>
      <c r="H762" s="2"/>
      <c r="I762" s="2"/>
      <c r="J762" s="2"/>
      <c r="K762" s="2"/>
      <c r="L762" s="2"/>
      <c r="M762" s="2"/>
      <c r="N762" s="2"/>
      <c r="O762" s="2"/>
      <c r="P762" s="2"/>
      <c r="Q762" s="2"/>
      <c r="S762" s="3"/>
      <c r="T762" s="3"/>
      <c r="U762" s="3"/>
      <c r="V762" s="3"/>
      <c r="W762" s="3"/>
      <c r="X762" s="3"/>
      <c r="Y762" s="3"/>
      <c r="Z762" s="3"/>
    </row>
    <row r="763" ht="15.75" customHeight="1">
      <c r="A763" s="3"/>
      <c r="B763" s="2"/>
      <c r="C763" s="2"/>
      <c r="D763" s="2"/>
      <c r="E763" s="464"/>
      <c r="F763" s="2"/>
      <c r="G763" s="2"/>
      <c r="H763" s="2"/>
      <c r="I763" s="2"/>
      <c r="J763" s="2"/>
      <c r="K763" s="2"/>
      <c r="L763" s="2"/>
      <c r="M763" s="2"/>
      <c r="N763" s="2"/>
      <c r="O763" s="2"/>
      <c r="P763" s="2"/>
      <c r="Q763" s="2"/>
      <c r="S763" s="3"/>
      <c r="T763" s="3"/>
      <c r="U763" s="3"/>
      <c r="V763" s="3"/>
      <c r="W763" s="3"/>
      <c r="X763" s="3"/>
      <c r="Y763" s="3"/>
      <c r="Z763" s="3"/>
    </row>
    <row r="764" ht="15.75" customHeight="1">
      <c r="A764" s="3"/>
      <c r="B764" s="2"/>
      <c r="C764" s="2"/>
      <c r="D764" s="2"/>
      <c r="E764" s="464"/>
      <c r="F764" s="2"/>
      <c r="G764" s="2"/>
      <c r="H764" s="2"/>
      <c r="I764" s="2"/>
      <c r="J764" s="2"/>
      <c r="K764" s="2"/>
      <c r="L764" s="2"/>
      <c r="M764" s="2"/>
      <c r="N764" s="2"/>
      <c r="O764" s="2"/>
      <c r="P764" s="2"/>
      <c r="Q764" s="2"/>
      <c r="S764" s="3"/>
      <c r="T764" s="3"/>
      <c r="U764" s="3"/>
      <c r="V764" s="3"/>
      <c r="W764" s="3"/>
      <c r="X764" s="3"/>
      <c r="Y764" s="3"/>
      <c r="Z764" s="3"/>
    </row>
    <row r="765" ht="15.75" customHeight="1">
      <c r="A765" s="3"/>
      <c r="B765" s="2"/>
      <c r="C765" s="2"/>
      <c r="D765" s="2"/>
      <c r="E765" s="464"/>
      <c r="F765" s="2"/>
      <c r="G765" s="2"/>
      <c r="H765" s="2"/>
      <c r="I765" s="2"/>
      <c r="J765" s="2"/>
      <c r="K765" s="2"/>
      <c r="L765" s="2"/>
      <c r="M765" s="2"/>
      <c r="N765" s="2"/>
      <c r="O765" s="2"/>
      <c r="P765" s="2"/>
      <c r="Q765" s="2"/>
      <c r="S765" s="3"/>
      <c r="T765" s="3"/>
      <c r="U765" s="3"/>
      <c r="V765" s="3"/>
      <c r="W765" s="3"/>
      <c r="X765" s="3"/>
      <c r="Y765" s="3"/>
      <c r="Z765" s="3"/>
    </row>
    <row r="766" ht="15.75" customHeight="1">
      <c r="A766" s="3"/>
      <c r="B766" s="2"/>
      <c r="C766" s="2"/>
      <c r="D766" s="2"/>
      <c r="E766" s="464"/>
      <c r="F766" s="2"/>
      <c r="G766" s="2"/>
      <c r="H766" s="2"/>
      <c r="I766" s="2"/>
      <c r="J766" s="2"/>
      <c r="K766" s="2"/>
      <c r="L766" s="2"/>
      <c r="M766" s="2"/>
      <c r="N766" s="2"/>
      <c r="O766" s="2"/>
      <c r="P766" s="2"/>
      <c r="Q766" s="2"/>
      <c r="S766" s="3"/>
      <c r="T766" s="3"/>
      <c r="U766" s="3"/>
      <c r="V766" s="3"/>
      <c r="W766" s="3"/>
      <c r="X766" s="3"/>
      <c r="Y766" s="3"/>
      <c r="Z766" s="3"/>
    </row>
    <row r="767" ht="15.75" customHeight="1">
      <c r="A767" s="3"/>
      <c r="B767" s="2"/>
      <c r="C767" s="2"/>
      <c r="D767" s="2"/>
      <c r="E767" s="464"/>
      <c r="F767" s="2"/>
      <c r="G767" s="2"/>
      <c r="H767" s="2"/>
      <c r="I767" s="2"/>
      <c r="J767" s="2"/>
      <c r="K767" s="2"/>
      <c r="L767" s="2"/>
      <c r="M767" s="2"/>
      <c r="N767" s="2"/>
      <c r="O767" s="2"/>
      <c r="P767" s="2"/>
      <c r="Q767" s="2"/>
      <c r="S767" s="3"/>
      <c r="T767" s="3"/>
      <c r="U767" s="3"/>
      <c r="V767" s="3"/>
      <c r="W767" s="3"/>
      <c r="X767" s="3"/>
      <c r="Y767" s="3"/>
      <c r="Z767" s="3"/>
    </row>
    <row r="768" ht="15.75" customHeight="1">
      <c r="A768" s="3"/>
      <c r="B768" s="2"/>
      <c r="C768" s="2"/>
      <c r="D768" s="2"/>
      <c r="E768" s="464"/>
      <c r="F768" s="2"/>
      <c r="G768" s="2"/>
      <c r="H768" s="2"/>
      <c r="I768" s="2"/>
      <c r="J768" s="2"/>
      <c r="K768" s="2"/>
      <c r="L768" s="2"/>
      <c r="M768" s="2"/>
      <c r="N768" s="2"/>
      <c r="O768" s="2"/>
      <c r="P768" s="2"/>
      <c r="Q768" s="2"/>
      <c r="S768" s="3"/>
      <c r="T768" s="3"/>
      <c r="U768" s="3"/>
      <c r="V768" s="3"/>
      <c r="W768" s="3"/>
      <c r="X768" s="3"/>
      <c r="Y768" s="3"/>
      <c r="Z768" s="3"/>
    </row>
    <row r="769" ht="15.75" customHeight="1">
      <c r="A769" s="3"/>
      <c r="B769" s="2"/>
      <c r="C769" s="2"/>
      <c r="D769" s="2"/>
      <c r="E769" s="464"/>
      <c r="F769" s="2"/>
      <c r="G769" s="2"/>
      <c r="H769" s="2"/>
      <c r="I769" s="2"/>
      <c r="J769" s="2"/>
      <c r="K769" s="2"/>
      <c r="L769" s="2"/>
      <c r="M769" s="2"/>
      <c r="N769" s="2"/>
      <c r="O769" s="2"/>
      <c r="P769" s="2"/>
      <c r="Q769" s="2"/>
      <c r="S769" s="3"/>
      <c r="T769" s="3"/>
      <c r="U769" s="3"/>
      <c r="V769" s="3"/>
      <c r="W769" s="3"/>
      <c r="X769" s="3"/>
      <c r="Y769" s="3"/>
      <c r="Z769" s="3"/>
    </row>
    <row r="770" ht="15.75" customHeight="1">
      <c r="A770" s="3"/>
      <c r="B770" s="2"/>
      <c r="C770" s="2"/>
      <c r="D770" s="2"/>
      <c r="E770" s="464"/>
      <c r="F770" s="2"/>
      <c r="G770" s="2"/>
      <c r="H770" s="2"/>
      <c r="I770" s="2"/>
      <c r="J770" s="2"/>
      <c r="K770" s="2"/>
      <c r="L770" s="2"/>
      <c r="M770" s="2"/>
      <c r="N770" s="2"/>
      <c r="O770" s="2"/>
      <c r="P770" s="2"/>
      <c r="Q770" s="2"/>
      <c r="S770" s="3"/>
      <c r="T770" s="3"/>
      <c r="U770" s="3"/>
      <c r="V770" s="3"/>
      <c r="W770" s="3"/>
      <c r="X770" s="3"/>
      <c r="Y770" s="3"/>
      <c r="Z770" s="3"/>
    </row>
    <row r="771" ht="15.75" customHeight="1">
      <c r="A771" s="3"/>
      <c r="B771" s="2"/>
      <c r="C771" s="2"/>
      <c r="D771" s="2"/>
      <c r="E771" s="464"/>
      <c r="F771" s="2"/>
      <c r="G771" s="2"/>
      <c r="H771" s="2"/>
      <c r="I771" s="2"/>
      <c r="J771" s="2"/>
      <c r="K771" s="2"/>
      <c r="L771" s="2"/>
      <c r="M771" s="2"/>
      <c r="N771" s="2"/>
      <c r="O771" s="2"/>
      <c r="P771" s="2"/>
      <c r="Q771" s="2"/>
      <c r="S771" s="3"/>
      <c r="T771" s="3"/>
      <c r="U771" s="3"/>
      <c r="V771" s="3"/>
      <c r="W771" s="3"/>
      <c r="X771" s="3"/>
      <c r="Y771" s="3"/>
      <c r="Z771" s="3"/>
    </row>
    <row r="772" ht="15.75" customHeight="1">
      <c r="A772" s="3"/>
      <c r="B772" s="2"/>
      <c r="C772" s="2"/>
      <c r="D772" s="2"/>
      <c r="E772" s="464"/>
      <c r="F772" s="2"/>
      <c r="G772" s="2"/>
      <c r="H772" s="2"/>
      <c r="I772" s="2"/>
      <c r="J772" s="2"/>
      <c r="K772" s="2"/>
      <c r="L772" s="2"/>
      <c r="M772" s="2"/>
      <c r="N772" s="2"/>
      <c r="O772" s="2"/>
      <c r="P772" s="2"/>
      <c r="Q772" s="2"/>
      <c r="S772" s="3"/>
      <c r="T772" s="3"/>
      <c r="U772" s="3"/>
      <c r="V772" s="3"/>
      <c r="W772" s="3"/>
      <c r="X772" s="3"/>
      <c r="Y772" s="3"/>
      <c r="Z772" s="3"/>
    </row>
    <row r="773" ht="15.75" customHeight="1">
      <c r="A773" s="3"/>
      <c r="B773" s="2"/>
      <c r="C773" s="2"/>
      <c r="D773" s="2"/>
      <c r="E773" s="464"/>
      <c r="F773" s="2"/>
      <c r="G773" s="2"/>
      <c r="H773" s="2"/>
      <c r="I773" s="2"/>
      <c r="J773" s="2"/>
      <c r="K773" s="2"/>
      <c r="L773" s="2"/>
      <c r="M773" s="2"/>
      <c r="N773" s="2"/>
      <c r="O773" s="2"/>
      <c r="P773" s="2"/>
      <c r="Q773" s="2"/>
      <c r="S773" s="3"/>
      <c r="T773" s="3"/>
      <c r="U773" s="3"/>
      <c r="V773" s="3"/>
      <c r="W773" s="3"/>
      <c r="X773" s="3"/>
      <c r="Y773" s="3"/>
      <c r="Z773" s="3"/>
    </row>
    <row r="774" ht="15.75" customHeight="1">
      <c r="A774" s="3"/>
      <c r="B774" s="2"/>
      <c r="C774" s="2"/>
      <c r="D774" s="2"/>
      <c r="E774" s="464"/>
      <c r="F774" s="2"/>
      <c r="G774" s="2"/>
      <c r="H774" s="2"/>
      <c r="I774" s="2"/>
      <c r="J774" s="2"/>
      <c r="K774" s="2"/>
      <c r="L774" s="2"/>
      <c r="M774" s="2"/>
      <c r="N774" s="2"/>
      <c r="O774" s="2"/>
      <c r="P774" s="2"/>
      <c r="Q774" s="2"/>
      <c r="S774" s="3"/>
      <c r="T774" s="3"/>
      <c r="U774" s="3"/>
      <c r="V774" s="3"/>
      <c r="W774" s="3"/>
      <c r="X774" s="3"/>
      <c r="Y774" s="3"/>
      <c r="Z774" s="3"/>
    </row>
    <row r="775" ht="15.75" customHeight="1">
      <c r="A775" s="3"/>
      <c r="B775" s="2"/>
      <c r="C775" s="2"/>
      <c r="D775" s="2"/>
      <c r="E775" s="464"/>
      <c r="F775" s="2"/>
      <c r="G775" s="2"/>
      <c r="H775" s="2"/>
      <c r="I775" s="2"/>
      <c r="J775" s="2"/>
      <c r="K775" s="2"/>
      <c r="L775" s="2"/>
      <c r="M775" s="2"/>
      <c r="N775" s="2"/>
      <c r="O775" s="2"/>
      <c r="P775" s="2"/>
      <c r="Q775" s="2"/>
      <c r="S775" s="3"/>
      <c r="T775" s="3"/>
      <c r="U775" s="3"/>
      <c r="V775" s="3"/>
      <c r="W775" s="3"/>
      <c r="X775" s="3"/>
      <c r="Y775" s="3"/>
      <c r="Z775" s="3"/>
    </row>
    <row r="776" ht="15.75" customHeight="1">
      <c r="A776" s="3"/>
      <c r="B776" s="2"/>
      <c r="C776" s="2"/>
      <c r="D776" s="2"/>
      <c r="E776" s="464"/>
      <c r="F776" s="2"/>
      <c r="G776" s="2"/>
      <c r="H776" s="2"/>
      <c r="I776" s="2"/>
      <c r="J776" s="2"/>
      <c r="K776" s="2"/>
      <c r="L776" s="2"/>
      <c r="M776" s="2"/>
      <c r="N776" s="2"/>
      <c r="O776" s="2"/>
      <c r="P776" s="2"/>
      <c r="Q776" s="2"/>
      <c r="S776" s="3"/>
      <c r="T776" s="3"/>
      <c r="U776" s="3"/>
      <c r="V776" s="3"/>
      <c r="W776" s="3"/>
      <c r="X776" s="3"/>
      <c r="Y776" s="3"/>
      <c r="Z776" s="3"/>
    </row>
    <row r="777" ht="15.75" customHeight="1">
      <c r="A777" s="3"/>
      <c r="B777" s="2"/>
      <c r="C777" s="2"/>
      <c r="D777" s="2"/>
      <c r="E777" s="464"/>
      <c r="F777" s="2"/>
      <c r="G777" s="2"/>
      <c r="H777" s="2"/>
      <c r="I777" s="2"/>
      <c r="J777" s="2"/>
      <c r="K777" s="2"/>
      <c r="L777" s="2"/>
      <c r="M777" s="2"/>
      <c r="N777" s="2"/>
      <c r="O777" s="2"/>
      <c r="P777" s="2"/>
      <c r="Q777" s="2"/>
      <c r="S777" s="3"/>
      <c r="T777" s="3"/>
      <c r="U777" s="3"/>
      <c r="V777" s="3"/>
      <c r="W777" s="3"/>
      <c r="X777" s="3"/>
      <c r="Y777" s="3"/>
      <c r="Z777" s="3"/>
    </row>
    <row r="778" ht="15.75" customHeight="1">
      <c r="A778" s="3"/>
      <c r="B778" s="2"/>
      <c r="C778" s="2"/>
      <c r="D778" s="2"/>
      <c r="E778" s="464"/>
      <c r="F778" s="2"/>
      <c r="G778" s="2"/>
      <c r="H778" s="2"/>
      <c r="I778" s="2"/>
      <c r="J778" s="2"/>
      <c r="K778" s="2"/>
      <c r="L778" s="2"/>
      <c r="M778" s="2"/>
      <c r="N778" s="2"/>
      <c r="O778" s="2"/>
      <c r="P778" s="2"/>
      <c r="Q778" s="2"/>
      <c r="S778" s="3"/>
      <c r="T778" s="3"/>
      <c r="U778" s="3"/>
      <c r="V778" s="3"/>
      <c r="W778" s="3"/>
      <c r="X778" s="3"/>
      <c r="Y778" s="3"/>
      <c r="Z778" s="3"/>
    </row>
    <row r="779" ht="15.75" customHeight="1">
      <c r="A779" s="3"/>
      <c r="B779" s="2"/>
      <c r="C779" s="2"/>
      <c r="D779" s="2"/>
      <c r="E779" s="464"/>
      <c r="F779" s="2"/>
      <c r="G779" s="2"/>
      <c r="H779" s="2"/>
      <c r="I779" s="2"/>
      <c r="J779" s="2"/>
      <c r="K779" s="2"/>
      <c r="L779" s="2"/>
      <c r="M779" s="2"/>
      <c r="N779" s="2"/>
      <c r="O779" s="2"/>
      <c r="P779" s="2"/>
      <c r="Q779" s="2"/>
      <c r="S779" s="3"/>
      <c r="T779" s="3"/>
      <c r="U779" s="3"/>
      <c r="V779" s="3"/>
      <c r="W779" s="3"/>
      <c r="X779" s="3"/>
      <c r="Y779" s="3"/>
      <c r="Z779" s="3"/>
    </row>
    <row r="780" ht="15.75" customHeight="1">
      <c r="A780" s="3"/>
      <c r="B780" s="2"/>
      <c r="C780" s="2"/>
      <c r="D780" s="2"/>
      <c r="E780" s="464"/>
      <c r="F780" s="2"/>
      <c r="G780" s="2"/>
      <c r="H780" s="2"/>
      <c r="I780" s="2"/>
      <c r="J780" s="2"/>
      <c r="K780" s="2"/>
      <c r="L780" s="2"/>
      <c r="M780" s="2"/>
      <c r="N780" s="2"/>
      <c r="O780" s="2"/>
      <c r="P780" s="2"/>
      <c r="Q780" s="2"/>
      <c r="S780" s="3"/>
      <c r="T780" s="3"/>
      <c r="U780" s="3"/>
      <c r="V780" s="3"/>
      <c r="W780" s="3"/>
      <c r="X780" s="3"/>
      <c r="Y780" s="3"/>
      <c r="Z780" s="3"/>
    </row>
    <row r="781" ht="15.75" customHeight="1">
      <c r="A781" s="3"/>
      <c r="B781" s="2"/>
      <c r="C781" s="2"/>
      <c r="D781" s="2"/>
      <c r="E781" s="464"/>
      <c r="F781" s="2"/>
      <c r="G781" s="2"/>
      <c r="H781" s="2"/>
      <c r="I781" s="2"/>
      <c r="J781" s="2"/>
      <c r="K781" s="2"/>
      <c r="L781" s="2"/>
      <c r="M781" s="2"/>
      <c r="N781" s="2"/>
      <c r="O781" s="2"/>
      <c r="P781" s="2"/>
      <c r="Q781" s="2"/>
      <c r="S781" s="3"/>
      <c r="T781" s="3"/>
      <c r="U781" s="3"/>
      <c r="V781" s="3"/>
      <c r="W781" s="3"/>
      <c r="X781" s="3"/>
      <c r="Y781" s="3"/>
      <c r="Z781" s="3"/>
    </row>
    <row r="782" ht="15.75" customHeight="1">
      <c r="A782" s="3"/>
      <c r="B782" s="2"/>
      <c r="C782" s="2"/>
      <c r="D782" s="2"/>
      <c r="E782" s="464"/>
      <c r="F782" s="2"/>
      <c r="G782" s="2"/>
      <c r="H782" s="2"/>
      <c r="I782" s="2"/>
      <c r="J782" s="2"/>
      <c r="K782" s="2"/>
      <c r="L782" s="2"/>
      <c r="M782" s="2"/>
      <c r="N782" s="2"/>
      <c r="O782" s="2"/>
      <c r="P782" s="2"/>
      <c r="Q782" s="2"/>
      <c r="S782" s="3"/>
      <c r="T782" s="3"/>
      <c r="U782" s="3"/>
      <c r="V782" s="3"/>
      <c r="W782" s="3"/>
      <c r="X782" s="3"/>
      <c r="Y782" s="3"/>
      <c r="Z782" s="3"/>
    </row>
    <row r="783" ht="15.75" customHeight="1">
      <c r="A783" s="3"/>
      <c r="B783" s="2"/>
      <c r="C783" s="2"/>
      <c r="D783" s="2"/>
      <c r="E783" s="464"/>
      <c r="F783" s="2"/>
      <c r="G783" s="2"/>
      <c r="H783" s="2"/>
      <c r="I783" s="2"/>
      <c r="J783" s="2"/>
      <c r="K783" s="2"/>
      <c r="L783" s="2"/>
      <c r="M783" s="2"/>
      <c r="N783" s="2"/>
      <c r="O783" s="2"/>
      <c r="P783" s="2"/>
      <c r="Q783" s="2"/>
      <c r="S783" s="3"/>
      <c r="T783" s="3"/>
      <c r="U783" s="3"/>
      <c r="V783" s="3"/>
      <c r="W783" s="3"/>
      <c r="X783" s="3"/>
      <c r="Y783" s="3"/>
      <c r="Z783" s="3"/>
    </row>
    <row r="784" ht="15.75" customHeight="1">
      <c r="A784" s="3"/>
      <c r="B784" s="2"/>
      <c r="C784" s="2"/>
      <c r="D784" s="2"/>
      <c r="E784" s="464"/>
      <c r="F784" s="2"/>
      <c r="G784" s="2"/>
      <c r="H784" s="2"/>
      <c r="I784" s="2"/>
      <c r="J784" s="2"/>
      <c r="K784" s="2"/>
      <c r="L784" s="2"/>
      <c r="M784" s="2"/>
      <c r="N784" s="2"/>
      <c r="O784" s="2"/>
      <c r="P784" s="2"/>
      <c r="Q784" s="2"/>
      <c r="S784" s="3"/>
      <c r="T784" s="3"/>
      <c r="U784" s="3"/>
      <c r="V784" s="3"/>
      <c r="W784" s="3"/>
      <c r="X784" s="3"/>
      <c r="Y784" s="3"/>
      <c r="Z784" s="3"/>
    </row>
    <row r="785" ht="15.75" customHeight="1">
      <c r="A785" s="3"/>
      <c r="B785" s="2"/>
      <c r="C785" s="2"/>
      <c r="D785" s="2"/>
      <c r="E785" s="464"/>
      <c r="F785" s="2"/>
      <c r="G785" s="2"/>
      <c r="H785" s="2"/>
      <c r="I785" s="2"/>
      <c r="J785" s="2"/>
      <c r="K785" s="2"/>
      <c r="L785" s="2"/>
      <c r="M785" s="2"/>
      <c r="N785" s="2"/>
      <c r="O785" s="2"/>
      <c r="P785" s="2"/>
      <c r="Q785" s="2"/>
      <c r="S785" s="3"/>
      <c r="T785" s="3"/>
      <c r="U785" s="3"/>
      <c r="V785" s="3"/>
      <c r="W785" s="3"/>
      <c r="X785" s="3"/>
      <c r="Y785" s="3"/>
      <c r="Z785" s="3"/>
    </row>
    <row r="786" ht="15.75" customHeight="1">
      <c r="A786" s="3"/>
      <c r="B786" s="2"/>
      <c r="C786" s="2"/>
      <c r="D786" s="2"/>
      <c r="E786" s="464"/>
      <c r="F786" s="2"/>
      <c r="G786" s="2"/>
      <c r="H786" s="2"/>
      <c r="I786" s="2"/>
      <c r="J786" s="2"/>
      <c r="K786" s="2"/>
      <c r="L786" s="2"/>
      <c r="M786" s="2"/>
      <c r="N786" s="2"/>
      <c r="O786" s="2"/>
      <c r="P786" s="2"/>
      <c r="Q786" s="2"/>
      <c r="S786" s="3"/>
      <c r="T786" s="3"/>
      <c r="U786" s="3"/>
      <c r="V786" s="3"/>
      <c r="W786" s="3"/>
      <c r="X786" s="3"/>
      <c r="Y786" s="3"/>
      <c r="Z786" s="3"/>
    </row>
    <row r="787" ht="15.75" customHeight="1">
      <c r="A787" s="3"/>
      <c r="B787" s="2"/>
      <c r="C787" s="2"/>
      <c r="D787" s="2"/>
      <c r="E787" s="464"/>
      <c r="F787" s="2"/>
      <c r="G787" s="2"/>
      <c r="H787" s="2"/>
      <c r="I787" s="2"/>
      <c r="J787" s="2"/>
      <c r="K787" s="2"/>
      <c r="L787" s="2"/>
      <c r="M787" s="2"/>
      <c r="N787" s="2"/>
      <c r="O787" s="2"/>
      <c r="P787" s="2"/>
      <c r="Q787" s="2"/>
      <c r="S787" s="3"/>
      <c r="T787" s="3"/>
      <c r="U787" s="3"/>
      <c r="V787" s="3"/>
      <c r="W787" s="3"/>
      <c r="X787" s="3"/>
      <c r="Y787" s="3"/>
      <c r="Z787" s="3"/>
    </row>
    <row r="788" ht="15.75" customHeight="1">
      <c r="A788" s="3"/>
      <c r="B788" s="2"/>
      <c r="C788" s="2"/>
      <c r="D788" s="2"/>
      <c r="E788" s="464"/>
      <c r="F788" s="2"/>
      <c r="G788" s="2"/>
      <c r="H788" s="2"/>
      <c r="I788" s="2"/>
      <c r="J788" s="2"/>
      <c r="K788" s="2"/>
      <c r="L788" s="2"/>
      <c r="M788" s="2"/>
      <c r="N788" s="2"/>
      <c r="O788" s="2"/>
      <c r="P788" s="2"/>
      <c r="Q788" s="2"/>
      <c r="S788" s="3"/>
      <c r="T788" s="3"/>
      <c r="U788" s="3"/>
      <c r="V788" s="3"/>
      <c r="W788" s="3"/>
      <c r="X788" s="3"/>
      <c r="Y788" s="3"/>
      <c r="Z788" s="3"/>
    </row>
    <row r="789" ht="15.75" customHeight="1">
      <c r="A789" s="3"/>
      <c r="B789" s="2"/>
      <c r="C789" s="2"/>
      <c r="D789" s="2"/>
      <c r="E789" s="464"/>
      <c r="F789" s="2"/>
      <c r="G789" s="2"/>
      <c r="H789" s="2"/>
      <c r="I789" s="2"/>
      <c r="J789" s="2"/>
      <c r="K789" s="2"/>
      <c r="L789" s="2"/>
      <c r="M789" s="2"/>
      <c r="N789" s="2"/>
      <c r="O789" s="2"/>
      <c r="P789" s="2"/>
      <c r="Q789" s="2"/>
      <c r="S789" s="3"/>
      <c r="T789" s="3"/>
      <c r="U789" s="3"/>
      <c r="V789" s="3"/>
      <c r="W789" s="3"/>
      <c r="X789" s="3"/>
      <c r="Y789" s="3"/>
      <c r="Z789" s="3"/>
    </row>
    <row r="790" ht="15.75" customHeight="1">
      <c r="A790" s="3"/>
      <c r="B790" s="2"/>
      <c r="C790" s="2"/>
      <c r="D790" s="2"/>
      <c r="E790" s="464"/>
      <c r="F790" s="2"/>
      <c r="G790" s="2"/>
      <c r="H790" s="2"/>
      <c r="I790" s="2"/>
      <c r="J790" s="2"/>
      <c r="K790" s="2"/>
      <c r="L790" s="2"/>
      <c r="M790" s="2"/>
      <c r="N790" s="2"/>
      <c r="O790" s="2"/>
      <c r="P790" s="2"/>
      <c r="Q790" s="2"/>
      <c r="S790" s="3"/>
      <c r="T790" s="3"/>
      <c r="U790" s="3"/>
      <c r="V790" s="3"/>
      <c r="W790" s="3"/>
      <c r="X790" s="3"/>
      <c r="Y790" s="3"/>
      <c r="Z790" s="3"/>
    </row>
    <row r="791" ht="15.75" customHeight="1">
      <c r="A791" s="3"/>
      <c r="B791" s="2"/>
      <c r="C791" s="2"/>
      <c r="D791" s="2"/>
      <c r="E791" s="464"/>
      <c r="F791" s="2"/>
      <c r="G791" s="2"/>
      <c r="H791" s="2"/>
      <c r="I791" s="2"/>
      <c r="J791" s="2"/>
      <c r="K791" s="2"/>
      <c r="L791" s="2"/>
      <c r="M791" s="2"/>
      <c r="N791" s="2"/>
      <c r="O791" s="2"/>
      <c r="P791" s="2"/>
      <c r="Q791" s="2"/>
      <c r="S791" s="3"/>
      <c r="T791" s="3"/>
      <c r="U791" s="3"/>
      <c r="V791" s="3"/>
      <c r="W791" s="3"/>
      <c r="X791" s="3"/>
      <c r="Y791" s="3"/>
      <c r="Z791" s="3"/>
    </row>
    <row r="792" ht="15.75" customHeight="1">
      <c r="A792" s="3"/>
      <c r="B792" s="2"/>
      <c r="C792" s="2"/>
      <c r="D792" s="2"/>
      <c r="E792" s="464"/>
      <c r="F792" s="2"/>
      <c r="G792" s="2"/>
      <c r="H792" s="2"/>
      <c r="I792" s="2"/>
      <c r="J792" s="2"/>
      <c r="K792" s="2"/>
      <c r="L792" s="2"/>
      <c r="M792" s="2"/>
      <c r="N792" s="2"/>
      <c r="O792" s="2"/>
      <c r="P792" s="2"/>
      <c r="Q792" s="2"/>
      <c r="S792" s="3"/>
      <c r="T792" s="3"/>
      <c r="U792" s="3"/>
      <c r="V792" s="3"/>
      <c r="W792" s="3"/>
      <c r="X792" s="3"/>
      <c r="Y792" s="3"/>
      <c r="Z792" s="3"/>
    </row>
    <row r="793" ht="15.75" customHeight="1">
      <c r="A793" s="3"/>
      <c r="B793" s="2"/>
      <c r="C793" s="2"/>
      <c r="D793" s="2"/>
      <c r="E793" s="464"/>
      <c r="F793" s="2"/>
      <c r="G793" s="2"/>
      <c r="H793" s="2"/>
      <c r="I793" s="2"/>
      <c r="J793" s="2"/>
      <c r="K793" s="2"/>
      <c r="L793" s="2"/>
      <c r="M793" s="2"/>
      <c r="N793" s="2"/>
      <c r="O793" s="2"/>
      <c r="P793" s="2"/>
      <c r="Q793" s="2"/>
      <c r="S793" s="3"/>
      <c r="T793" s="3"/>
      <c r="U793" s="3"/>
      <c r="V793" s="3"/>
      <c r="W793" s="3"/>
      <c r="X793" s="3"/>
      <c r="Y793" s="3"/>
      <c r="Z793" s="3"/>
    </row>
    <row r="794" ht="15.75" customHeight="1">
      <c r="A794" s="3"/>
      <c r="B794" s="2"/>
      <c r="C794" s="2"/>
      <c r="D794" s="2"/>
      <c r="E794" s="464"/>
      <c r="F794" s="2"/>
      <c r="G794" s="2"/>
      <c r="H794" s="2"/>
      <c r="I794" s="2"/>
      <c r="J794" s="2"/>
      <c r="K794" s="2"/>
      <c r="L794" s="2"/>
      <c r="M794" s="2"/>
      <c r="N794" s="2"/>
      <c r="O794" s="2"/>
      <c r="P794" s="2"/>
      <c r="Q794" s="2"/>
      <c r="S794" s="3"/>
      <c r="T794" s="3"/>
      <c r="U794" s="3"/>
      <c r="V794" s="3"/>
      <c r="W794" s="3"/>
      <c r="X794" s="3"/>
      <c r="Y794" s="3"/>
      <c r="Z794" s="3"/>
    </row>
    <row r="795" ht="15.75" customHeight="1">
      <c r="A795" s="3"/>
      <c r="B795" s="2"/>
      <c r="C795" s="2"/>
      <c r="D795" s="2"/>
      <c r="E795" s="464"/>
      <c r="F795" s="2"/>
      <c r="G795" s="2"/>
      <c r="H795" s="2"/>
      <c r="I795" s="2"/>
      <c r="J795" s="2"/>
      <c r="K795" s="2"/>
      <c r="L795" s="2"/>
      <c r="M795" s="2"/>
      <c r="N795" s="2"/>
      <c r="O795" s="2"/>
      <c r="P795" s="2"/>
      <c r="Q795" s="2"/>
      <c r="S795" s="3"/>
      <c r="T795" s="3"/>
      <c r="U795" s="3"/>
      <c r="V795" s="3"/>
      <c r="W795" s="3"/>
      <c r="X795" s="3"/>
      <c r="Y795" s="3"/>
      <c r="Z795" s="3"/>
    </row>
    <row r="796" ht="15.75" customHeight="1">
      <c r="A796" s="3"/>
      <c r="B796" s="2"/>
      <c r="C796" s="2"/>
      <c r="D796" s="2"/>
      <c r="E796" s="464"/>
      <c r="F796" s="2"/>
      <c r="G796" s="2"/>
      <c r="H796" s="2"/>
      <c r="I796" s="2"/>
      <c r="J796" s="2"/>
      <c r="K796" s="2"/>
      <c r="L796" s="2"/>
      <c r="M796" s="2"/>
      <c r="N796" s="2"/>
      <c r="O796" s="2"/>
      <c r="P796" s="2"/>
      <c r="Q796" s="2"/>
      <c r="S796" s="3"/>
      <c r="T796" s="3"/>
      <c r="U796" s="3"/>
      <c r="V796" s="3"/>
      <c r="W796" s="3"/>
      <c r="X796" s="3"/>
      <c r="Y796" s="3"/>
      <c r="Z796" s="3"/>
    </row>
    <row r="797" ht="15.75" customHeight="1">
      <c r="A797" s="3"/>
      <c r="B797" s="2"/>
      <c r="C797" s="2"/>
      <c r="D797" s="2"/>
      <c r="E797" s="464"/>
      <c r="F797" s="2"/>
      <c r="G797" s="2"/>
      <c r="H797" s="2"/>
      <c r="I797" s="2"/>
      <c r="J797" s="2"/>
      <c r="K797" s="2"/>
      <c r="L797" s="2"/>
      <c r="M797" s="2"/>
      <c r="N797" s="2"/>
      <c r="O797" s="2"/>
      <c r="P797" s="2"/>
      <c r="Q797" s="2"/>
      <c r="S797" s="3"/>
      <c r="T797" s="3"/>
      <c r="U797" s="3"/>
      <c r="V797" s="3"/>
      <c r="W797" s="3"/>
      <c r="X797" s="3"/>
      <c r="Y797" s="3"/>
      <c r="Z797" s="3"/>
    </row>
    <row r="798" ht="15.75" customHeight="1">
      <c r="A798" s="3"/>
      <c r="B798" s="2"/>
      <c r="C798" s="2"/>
      <c r="D798" s="2"/>
      <c r="E798" s="464"/>
      <c r="F798" s="2"/>
      <c r="G798" s="2"/>
      <c r="H798" s="2"/>
      <c r="I798" s="2"/>
      <c r="J798" s="2"/>
      <c r="K798" s="2"/>
      <c r="L798" s="2"/>
      <c r="M798" s="2"/>
      <c r="N798" s="2"/>
      <c r="O798" s="2"/>
      <c r="P798" s="2"/>
      <c r="Q798" s="2"/>
      <c r="S798" s="3"/>
      <c r="T798" s="3"/>
      <c r="U798" s="3"/>
      <c r="V798" s="3"/>
      <c r="W798" s="3"/>
      <c r="X798" s="3"/>
      <c r="Y798" s="3"/>
      <c r="Z798" s="3"/>
    </row>
    <row r="799" ht="15.75" customHeight="1">
      <c r="A799" s="3"/>
      <c r="B799" s="2"/>
      <c r="C799" s="2"/>
      <c r="D799" s="2"/>
      <c r="E799" s="464"/>
      <c r="F799" s="2"/>
      <c r="G799" s="2"/>
      <c r="H799" s="2"/>
      <c r="I799" s="2"/>
      <c r="J799" s="2"/>
      <c r="K799" s="2"/>
      <c r="L799" s="2"/>
      <c r="M799" s="2"/>
      <c r="N799" s="2"/>
      <c r="O799" s="2"/>
      <c r="P799" s="2"/>
      <c r="Q799" s="2"/>
      <c r="S799" s="3"/>
      <c r="T799" s="3"/>
      <c r="U799" s="3"/>
      <c r="V799" s="3"/>
      <c r="W799" s="3"/>
      <c r="X799" s="3"/>
      <c r="Y799" s="3"/>
      <c r="Z799" s="3"/>
    </row>
    <row r="800" ht="15.75" customHeight="1">
      <c r="A800" s="3"/>
      <c r="B800" s="2"/>
      <c r="C800" s="2"/>
      <c r="D800" s="2"/>
      <c r="E800" s="464"/>
      <c r="F800" s="2"/>
      <c r="G800" s="2"/>
      <c r="H800" s="2"/>
      <c r="I800" s="2"/>
      <c r="J800" s="2"/>
      <c r="K800" s="2"/>
      <c r="L800" s="2"/>
      <c r="M800" s="2"/>
      <c r="N800" s="2"/>
      <c r="O800" s="2"/>
      <c r="P800" s="2"/>
      <c r="Q800" s="2"/>
      <c r="S800" s="3"/>
      <c r="T800" s="3"/>
      <c r="U800" s="3"/>
      <c r="V800" s="3"/>
      <c r="W800" s="3"/>
      <c r="X800" s="3"/>
      <c r="Y800" s="3"/>
      <c r="Z800" s="3"/>
    </row>
    <row r="801" ht="15.75" customHeight="1">
      <c r="A801" s="3"/>
      <c r="B801" s="2"/>
      <c r="C801" s="2"/>
      <c r="D801" s="2"/>
      <c r="E801" s="464"/>
      <c r="F801" s="2"/>
      <c r="G801" s="2"/>
      <c r="H801" s="2"/>
      <c r="I801" s="2"/>
      <c r="J801" s="2"/>
      <c r="K801" s="2"/>
      <c r="L801" s="2"/>
      <c r="M801" s="2"/>
      <c r="N801" s="2"/>
      <c r="O801" s="2"/>
      <c r="P801" s="2"/>
      <c r="Q801" s="2"/>
      <c r="S801" s="3"/>
      <c r="T801" s="3"/>
      <c r="U801" s="3"/>
      <c r="V801" s="3"/>
      <c r="W801" s="3"/>
      <c r="X801" s="3"/>
      <c r="Y801" s="3"/>
      <c r="Z801" s="3"/>
    </row>
    <row r="802" ht="15.75" customHeight="1">
      <c r="A802" s="3"/>
      <c r="B802" s="2"/>
      <c r="C802" s="2"/>
      <c r="D802" s="2"/>
      <c r="E802" s="464"/>
      <c r="F802" s="2"/>
      <c r="G802" s="2"/>
      <c r="H802" s="2"/>
      <c r="I802" s="2"/>
      <c r="J802" s="2"/>
      <c r="K802" s="2"/>
      <c r="L802" s="2"/>
      <c r="M802" s="2"/>
      <c r="N802" s="2"/>
      <c r="O802" s="2"/>
      <c r="P802" s="2"/>
      <c r="Q802" s="2"/>
      <c r="S802" s="3"/>
      <c r="T802" s="3"/>
      <c r="U802" s="3"/>
      <c r="V802" s="3"/>
      <c r="W802" s="3"/>
      <c r="X802" s="3"/>
      <c r="Y802" s="3"/>
      <c r="Z802" s="3"/>
    </row>
    <row r="803" ht="15.75" customHeight="1">
      <c r="A803" s="3"/>
      <c r="B803" s="2"/>
      <c r="C803" s="2"/>
      <c r="D803" s="2"/>
      <c r="E803" s="464"/>
      <c r="F803" s="2"/>
      <c r="G803" s="2"/>
      <c r="H803" s="2"/>
      <c r="I803" s="2"/>
      <c r="J803" s="2"/>
      <c r="K803" s="2"/>
      <c r="L803" s="2"/>
      <c r="M803" s="2"/>
      <c r="N803" s="2"/>
      <c r="O803" s="2"/>
      <c r="P803" s="2"/>
      <c r="Q803" s="2"/>
      <c r="S803" s="3"/>
      <c r="T803" s="3"/>
      <c r="U803" s="3"/>
      <c r="V803" s="3"/>
      <c r="W803" s="3"/>
      <c r="X803" s="3"/>
      <c r="Y803" s="3"/>
      <c r="Z803" s="3"/>
    </row>
    <row r="804" ht="15.75" customHeight="1">
      <c r="A804" s="3"/>
      <c r="B804" s="2"/>
      <c r="C804" s="2"/>
      <c r="D804" s="2"/>
      <c r="E804" s="464"/>
      <c r="F804" s="2"/>
      <c r="G804" s="2"/>
      <c r="H804" s="2"/>
      <c r="I804" s="2"/>
      <c r="J804" s="2"/>
      <c r="K804" s="2"/>
      <c r="L804" s="2"/>
      <c r="M804" s="2"/>
      <c r="N804" s="2"/>
      <c r="O804" s="2"/>
      <c r="P804" s="2"/>
      <c r="Q804" s="2"/>
      <c r="S804" s="3"/>
      <c r="T804" s="3"/>
      <c r="U804" s="3"/>
      <c r="V804" s="3"/>
      <c r="W804" s="3"/>
      <c r="X804" s="3"/>
      <c r="Y804" s="3"/>
      <c r="Z804" s="3"/>
    </row>
    <row r="805" ht="15.75" customHeight="1">
      <c r="A805" s="3"/>
      <c r="B805" s="2"/>
      <c r="C805" s="2"/>
      <c r="D805" s="2"/>
      <c r="E805" s="464"/>
      <c r="F805" s="2"/>
      <c r="G805" s="2"/>
      <c r="H805" s="2"/>
      <c r="I805" s="2"/>
      <c r="J805" s="2"/>
      <c r="K805" s="2"/>
      <c r="L805" s="2"/>
      <c r="M805" s="2"/>
      <c r="N805" s="2"/>
      <c r="O805" s="2"/>
      <c r="P805" s="2"/>
      <c r="Q805" s="2"/>
      <c r="S805" s="3"/>
      <c r="T805" s="3"/>
      <c r="U805" s="3"/>
      <c r="V805" s="3"/>
      <c r="W805" s="3"/>
      <c r="X805" s="3"/>
      <c r="Y805" s="3"/>
      <c r="Z805" s="3"/>
    </row>
    <row r="806" ht="15.75" customHeight="1">
      <c r="A806" s="3"/>
      <c r="B806" s="2"/>
      <c r="C806" s="2"/>
      <c r="D806" s="2"/>
      <c r="E806" s="464"/>
      <c r="F806" s="2"/>
      <c r="G806" s="2"/>
      <c r="H806" s="2"/>
      <c r="I806" s="2"/>
      <c r="J806" s="2"/>
      <c r="K806" s="2"/>
      <c r="L806" s="2"/>
      <c r="M806" s="2"/>
      <c r="N806" s="2"/>
      <c r="O806" s="2"/>
      <c r="P806" s="2"/>
      <c r="Q806" s="2"/>
      <c r="S806" s="3"/>
      <c r="T806" s="3"/>
      <c r="U806" s="3"/>
      <c r="V806" s="3"/>
      <c r="W806" s="3"/>
      <c r="X806" s="3"/>
      <c r="Y806" s="3"/>
      <c r="Z806" s="3"/>
    </row>
    <row r="807" ht="15.75" customHeight="1">
      <c r="A807" s="3"/>
      <c r="B807" s="2"/>
      <c r="C807" s="2"/>
      <c r="D807" s="2"/>
      <c r="E807" s="464"/>
      <c r="F807" s="2"/>
      <c r="G807" s="2"/>
      <c r="H807" s="2"/>
      <c r="I807" s="2"/>
      <c r="J807" s="2"/>
      <c r="K807" s="2"/>
      <c r="L807" s="2"/>
      <c r="M807" s="2"/>
      <c r="N807" s="2"/>
      <c r="O807" s="2"/>
      <c r="P807" s="2"/>
      <c r="Q807" s="2"/>
      <c r="S807" s="3"/>
      <c r="T807" s="3"/>
      <c r="U807" s="3"/>
      <c r="V807" s="3"/>
      <c r="W807" s="3"/>
      <c r="X807" s="3"/>
      <c r="Y807" s="3"/>
      <c r="Z807" s="3"/>
    </row>
    <row r="808" ht="15.75" customHeight="1">
      <c r="A808" s="3"/>
      <c r="B808" s="2"/>
      <c r="C808" s="2"/>
      <c r="D808" s="2"/>
      <c r="E808" s="464"/>
      <c r="F808" s="2"/>
      <c r="G808" s="2"/>
      <c r="H808" s="2"/>
      <c r="I808" s="2"/>
      <c r="J808" s="2"/>
      <c r="K808" s="2"/>
      <c r="L808" s="2"/>
      <c r="M808" s="2"/>
      <c r="N808" s="2"/>
      <c r="O808" s="2"/>
      <c r="P808" s="2"/>
      <c r="Q808" s="2"/>
      <c r="S808" s="3"/>
      <c r="T808" s="3"/>
      <c r="U808" s="3"/>
      <c r="V808" s="3"/>
      <c r="W808" s="3"/>
      <c r="X808" s="3"/>
      <c r="Y808" s="3"/>
      <c r="Z808" s="3"/>
    </row>
    <row r="809" ht="15.75" customHeight="1">
      <c r="A809" s="3"/>
      <c r="B809" s="2"/>
      <c r="C809" s="2"/>
      <c r="D809" s="2"/>
      <c r="E809" s="464"/>
      <c r="F809" s="2"/>
      <c r="G809" s="2"/>
      <c r="H809" s="2"/>
      <c r="I809" s="2"/>
      <c r="J809" s="2"/>
      <c r="K809" s="2"/>
      <c r="L809" s="2"/>
      <c r="M809" s="2"/>
      <c r="N809" s="2"/>
      <c r="O809" s="2"/>
      <c r="P809" s="2"/>
      <c r="Q809" s="2"/>
      <c r="S809" s="3"/>
      <c r="T809" s="3"/>
      <c r="U809" s="3"/>
      <c r="V809" s="3"/>
      <c r="W809" s="3"/>
      <c r="X809" s="3"/>
      <c r="Y809" s="3"/>
      <c r="Z809" s="3"/>
    </row>
    <row r="810" ht="15.75" customHeight="1">
      <c r="A810" s="3"/>
      <c r="B810" s="2"/>
      <c r="C810" s="2"/>
      <c r="D810" s="2"/>
      <c r="E810" s="464"/>
      <c r="F810" s="2"/>
      <c r="G810" s="2"/>
      <c r="H810" s="2"/>
      <c r="I810" s="2"/>
      <c r="J810" s="2"/>
      <c r="K810" s="2"/>
      <c r="L810" s="2"/>
      <c r="M810" s="2"/>
      <c r="N810" s="2"/>
      <c r="O810" s="2"/>
      <c r="P810" s="2"/>
      <c r="Q810" s="2"/>
      <c r="S810" s="3"/>
      <c r="T810" s="3"/>
      <c r="U810" s="3"/>
      <c r="V810" s="3"/>
      <c r="W810" s="3"/>
      <c r="X810" s="3"/>
      <c r="Y810" s="3"/>
      <c r="Z810" s="3"/>
    </row>
    <row r="811" ht="15.75" customHeight="1">
      <c r="A811" s="3"/>
      <c r="B811" s="2"/>
      <c r="C811" s="2"/>
      <c r="D811" s="2"/>
      <c r="E811" s="464"/>
      <c r="F811" s="2"/>
      <c r="G811" s="2"/>
      <c r="H811" s="2"/>
      <c r="I811" s="2"/>
      <c r="J811" s="2"/>
      <c r="K811" s="2"/>
      <c r="L811" s="2"/>
      <c r="M811" s="2"/>
      <c r="N811" s="2"/>
      <c r="O811" s="2"/>
      <c r="P811" s="2"/>
      <c r="Q811" s="2"/>
      <c r="S811" s="3"/>
      <c r="T811" s="3"/>
      <c r="U811" s="3"/>
      <c r="V811" s="3"/>
      <c r="W811" s="3"/>
      <c r="X811" s="3"/>
      <c r="Y811" s="3"/>
      <c r="Z811" s="3"/>
    </row>
    <row r="812" ht="15.75" customHeight="1">
      <c r="A812" s="3"/>
      <c r="B812" s="2"/>
      <c r="C812" s="2"/>
      <c r="D812" s="2"/>
      <c r="E812" s="464"/>
      <c r="F812" s="2"/>
      <c r="G812" s="2"/>
      <c r="H812" s="2"/>
      <c r="I812" s="2"/>
      <c r="J812" s="2"/>
      <c r="K812" s="2"/>
      <c r="L812" s="2"/>
      <c r="M812" s="2"/>
      <c r="N812" s="2"/>
      <c r="O812" s="2"/>
      <c r="P812" s="2"/>
      <c r="Q812" s="2"/>
      <c r="S812" s="3"/>
      <c r="T812" s="3"/>
      <c r="U812" s="3"/>
      <c r="V812" s="3"/>
      <c r="W812" s="3"/>
      <c r="X812" s="3"/>
      <c r="Y812" s="3"/>
      <c r="Z812" s="3"/>
    </row>
    <row r="813" ht="15.75" customHeight="1">
      <c r="A813" s="3"/>
      <c r="B813" s="2"/>
      <c r="C813" s="2"/>
      <c r="D813" s="2"/>
      <c r="E813" s="464"/>
      <c r="F813" s="2"/>
      <c r="G813" s="2"/>
      <c r="H813" s="2"/>
      <c r="I813" s="2"/>
      <c r="J813" s="2"/>
      <c r="K813" s="2"/>
      <c r="L813" s="2"/>
      <c r="M813" s="2"/>
      <c r="N813" s="2"/>
      <c r="O813" s="2"/>
      <c r="P813" s="2"/>
      <c r="Q813" s="2"/>
      <c r="S813" s="3"/>
      <c r="T813" s="3"/>
      <c r="U813" s="3"/>
      <c r="V813" s="3"/>
      <c r="W813" s="3"/>
      <c r="X813" s="3"/>
      <c r="Y813" s="3"/>
      <c r="Z813" s="3"/>
    </row>
    <row r="814" ht="15.75" customHeight="1">
      <c r="A814" s="3"/>
      <c r="B814" s="2"/>
      <c r="C814" s="2"/>
      <c r="D814" s="2"/>
      <c r="E814" s="464"/>
      <c r="F814" s="2"/>
      <c r="G814" s="2"/>
      <c r="H814" s="2"/>
      <c r="I814" s="2"/>
      <c r="J814" s="2"/>
      <c r="K814" s="2"/>
      <c r="L814" s="2"/>
      <c r="M814" s="2"/>
      <c r="N814" s="2"/>
      <c r="O814" s="2"/>
      <c r="P814" s="2"/>
      <c r="Q814" s="2"/>
      <c r="S814" s="3"/>
      <c r="T814" s="3"/>
      <c r="U814" s="3"/>
      <c r="V814" s="3"/>
      <c r="W814" s="3"/>
      <c r="X814" s="3"/>
      <c r="Y814" s="3"/>
      <c r="Z814" s="3"/>
    </row>
    <row r="815" ht="15.75" customHeight="1">
      <c r="A815" s="3"/>
      <c r="B815" s="2"/>
      <c r="C815" s="2"/>
      <c r="D815" s="2"/>
      <c r="E815" s="464"/>
      <c r="F815" s="2"/>
      <c r="G815" s="2"/>
      <c r="H815" s="2"/>
      <c r="I815" s="2"/>
      <c r="J815" s="2"/>
      <c r="K815" s="2"/>
      <c r="L815" s="2"/>
      <c r="M815" s="2"/>
      <c r="N815" s="2"/>
      <c r="O815" s="2"/>
      <c r="P815" s="2"/>
      <c r="Q815" s="2"/>
      <c r="S815" s="3"/>
      <c r="T815" s="3"/>
      <c r="U815" s="3"/>
      <c r="V815" s="3"/>
      <c r="W815" s="3"/>
      <c r="X815" s="3"/>
      <c r="Y815" s="3"/>
      <c r="Z815" s="3"/>
    </row>
    <row r="816" ht="15.75" customHeight="1">
      <c r="A816" s="3"/>
      <c r="B816" s="2"/>
      <c r="C816" s="2"/>
      <c r="D816" s="2"/>
      <c r="E816" s="464"/>
      <c r="F816" s="2"/>
      <c r="G816" s="2"/>
      <c r="H816" s="2"/>
      <c r="I816" s="2"/>
      <c r="J816" s="2"/>
      <c r="K816" s="2"/>
      <c r="L816" s="2"/>
      <c r="M816" s="2"/>
      <c r="N816" s="2"/>
      <c r="O816" s="2"/>
      <c r="P816" s="2"/>
      <c r="Q816" s="2"/>
      <c r="S816" s="3"/>
      <c r="T816" s="3"/>
      <c r="U816" s="3"/>
      <c r="V816" s="3"/>
      <c r="W816" s="3"/>
      <c r="X816" s="3"/>
      <c r="Y816" s="3"/>
      <c r="Z816" s="3"/>
    </row>
    <row r="817" ht="15.75" customHeight="1">
      <c r="A817" s="3"/>
      <c r="B817" s="2"/>
      <c r="C817" s="2"/>
      <c r="D817" s="2"/>
      <c r="E817" s="464"/>
      <c r="F817" s="2"/>
      <c r="G817" s="2"/>
      <c r="H817" s="2"/>
      <c r="I817" s="2"/>
      <c r="J817" s="2"/>
      <c r="K817" s="2"/>
      <c r="L817" s="2"/>
      <c r="M817" s="2"/>
      <c r="N817" s="2"/>
      <c r="O817" s="2"/>
      <c r="P817" s="2"/>
      <c r="Q817" s="2"/>
      <c r="S817" s="3"/>
      <c r="T817" s="3"/>
      <c r="U817" s="3"/>
      <c r="V817" s="3"/>
      <c r="W817" s="3"/>
      <c r="X817" s="3"/>
      <c r="Y817" s="3"/>
      <c r="Z817" s="3"/>
    </row>
    <row r="818" ht="15.75" customHeight="1">
      <c r="A818" s="3"/>
      <c r="B818" s="2"/>
      <c r="C818" s="2"/>
      <c r="D818" s="2"/>
      <c r="E818" s="464"/>
      <c r="F818" s="2"/>
      <c r="G818" s="2"/>
      <c r="H818" s="2"/>
      <c r="I818" s="2"/>
      <c r="J818" s="2"/>
      <c r="K818" s="2"/>
      <c r="L818" s="2"/>
      <c r="M818" s="2"/>
      <c r="N818" s="2"/>
      <c r="O818" s="2"/>
      <c r="P818" s="2"/>
      <c r="Q818" s="2"/>
      <c r="S818" s="3"/>
      <c r="T818" s="3"/>
      <c r="U818" s="3"/>
      <c r="V818" s="3"/>
      <c r="W818" s="3"/>
      <c r="X818" s="3"/>
      <c r="Y818" s="3"/>
      <c r="Z818" s="3"/>
    </row>
    <row r="819" ht="15.75" customHeight="1">
      <c r="A819" s="3"/>
      <c r="B819" s="2"/>
      <c r="C819" s="2"/>
      <c r="D819" s="2"/>
      <c r="E819" s="464"/>
      <c r="F819" s="2"/>
      <c r="G819" s="2"/>
      <c r="H819" s="2"/>
      <c r="I819" s="2"/>
      <c r="J819" s="2"/>
      <c r="K819" s="2"/>
      <c r="L819" s="2"/>
      <c r="M819" s="2"/>
      <c r="N819" s="2"/>
      <c r="O819" s="2"/>
      <c r="P819" s="2"/>
      <c r="Q819" s="2"/>
      <c r="S819" s="3"/>
      <c r="T819" s="3"/>
      <c r="U819" s="3"/>
      <c r="V819" s="3"/>
      <c r="W819" s="3"/>
      <c r="X819" s="3"/>
      <c r="Y819" s="3"/>
      <c r="Z819" s="3"/>
    </row>
    <row r="820" ht="15.75" customHeight="1">
      <c r="A820" s="3"/>
      <c r="B820" s="2"/>
      <c r="C820" s="2"/>
      <c r="D820" s="2"/>
      <c r="E820" s="464"/>
      <c r="F820" s="2"/>
      <c r="G820" s="2"/>
      <c r="H820" s="2"/>
      <c r="I820" s="2"/>
      <c r="J820" s="2"/>
      <c r="K820" s="2"/>
      <c r="L820" s="2"/>
      <c r="M820" s="2"/>
      <c r="N820" s="2"/>
      <c r="O820" s="2"/>
      <c r="P820" s="2"/>
      <c r="Q820" s="2"/>
      <c r="S820" s="3"/>
      <c r="T820" s="3"/>
      <c r="U820" s="3"/>
      <c r="V820" s="3"/>
      <c r="W820" s="3"/>
      <c r="X820" s="3"/>
      <c r="Y820" s="3"/>
      <c r="Z820" s="3"/>
    </row>
    <row r="821" ht="15.75" customHeight="1">
      <c r="A821" s="3"/>
      <c r="B821" s="2"/>
      <c r="C821" s="2"/>
      <c r="D821" s="2"/>
      <c r="E821" s="464"/>
      <c r="F821" s="2"/>
      <c r="G821" s="2"/>
      <c r="H821" s="2"/>
      <c r="I821" s="2"/>
      <c r="J821" s="2"/>
      <c r="K821" s="2"/>
      <c r="L821" s="2"/>
      <c r="M821" s="2"/>
      <c r="N821" s="2"/>
      <c r="O821" s="2"/>
      <c r="P821" s="2"/>
      <c r="Q821" s="2"/>
      <c r="S821" s="3"/>
      <c r="T821" s="3"/>
      <c r="U821" s="3"/>
      <c r="V821" s="3"/>
      <c r="W821" s="3"/>
      <c r="X821" s="3"/>
      <c r="Y821" s="3"/>
      <c r="Z821" s="3"/>
    </row>
    <row r="822" ht="15.75" customHeight="1">
      <c r="A822" s="3"/>
      <c r="B822" s="2"/>
      <c r="C822" s="2"/>
      <c r="D822" s="2"/>
      <c r="E822" s="464"/>
      <c r="F822" s="2"/>
      <c r="G822" s="2"/>
      <c r="H822" s="2"/>
      <c r="I822" s="2"/>
      <c r="J822" s="2"/>
      <c r="K822" s="2"/>
      <c r="L822" s="2"/>
      <c r="M822" s="2"/>
      <c r="N822" s="2"/>
      <c r="O822" s="2"/>
      <c r="P822" s="2"/>
      <c r="Q822" s="2"/>
      <c r="S822" s="3"/>
      <c r="T822" s="3"/>
      <c r="U822" s="3"/>
      <c r="V822" s="3"/>
      <c r="W822" s="3"/>
      <c r="X822" s="3"/>
      <c r="Y822" s="3"/>
      <c r="Z822" s="3"/>
    </row>
    <row r="823" ht="15.75" customHeight="1">
      <c r="A823" s="3"/>
      <c r="B823" s="2"/>
      <c r="C823" s="2"/>
      <c r="D823" s="2"/>
      <c r="E823" s="464"/>
      <c r="F823" s="2"/>
      <c r="G823" s="2"/>
      <c r="H823" s="2"/>
      <c r="I823" s="2"/>
      <c r="J823" s="2"/>
      <c r="K823" s="2"/>
      <c r="L823" s="2"/>
      <c r="M823" s="2"/>
      <c r="N823" s="2"/>
      <c r="O823" s="2"/>
      <c r="P823" s="2"/>
      <c r="Q823" s="2"/>
      <c r="S823" s="3"/>
      <c r="T823" s="3"/>
      <c r="U823" s="3"/>
      <c r="V823" s="3"/>
      <c r="W823" s="3"/>
      <c r="X823" s="3"/>
      <c r="Y823" s="3"/>
      <c r="Z823" s="3"/>
    </row>
    <row r="824" ht="15.75" customHeight="1">
      <c r="A824" s="3"/>
      <c r="B824" s="2"/>
      <c r="C824" s="2"/>
      <c r="D824" s="2"/>
      <c r="E824" s="464"/>
      <c r="F824" s="2"/>
      <c r="G824" s="2"/>
      <c r="H824" s="2"/>
      <c r="I824" s="2"/>
      <c r="J824" s="2"/>
      <c r="K824" s="2"/>
      <c r="L824" s="2"/>
      <c r="M824" s="2"/>
      <c r="N824" s="2"/>
      <c r="O824" s="2"/>
      <c r="P824" s="2"/>
      <c r="Q824" s="2"/>
      <c r="S824" s="3"/>
      <c r="T824" s="3"/>
      <c r="U824" s="3"/>
      <c r="V824" s="3"/>
      <c r="W824" s="3"/>
      <c r="X824" s="3"/>
      <c r="Y824" s="3"/>
      <c r="Z824" s="3"/>
    </row>
    <row r="825" ht="15.75" customHeight="1">
      <c r="A825" s="3"/>
      <c r="B825" s="2"/>
      <c r="C825" s="2"/>
      <c r="D825" s="2"/>
      <c r="E825" s="464"/>
      <c r="F825" s="2"/>
      <c r="G825" s="2"/>
      <c r="H825" s="2"/>
      <c r="I825" s="2"/>
      <c r="J825" s="2"/>
      <c r="K825" s="2"/>
      <c r="L825" s="2"/>
      <c r="M825" s="2"/>
      <c r="N825" s="2"/>
      <c r="O825" s="2"/>
      <c r="P825" s="2"/>
      <c r="Q825" s="2"/>
      <c r="S825" s="3"/>
      <c r="T825" s="3"/>
      <c r="U825" s="3"/>
      <c r="V825" s="3"/>
      <c r="W825" s="3"/>
      <c r="X825" s="3"/>
      <c r="Y825" s="3"/>
      <c r="Z825" s="3"/>
    </row>
    <row r="826" ht="15.75" customHeight="1">
      <c r="A826" s="3"/>
      <c r="B826" s="2"/>
      <c r="C826" s="2"/>
      <c r="D826" s="2"/>
      <c r="E826" s="464"/>
      <c r="F826" s="2"/>
      <c r="G826" s="2"/>
      <c r="H826" s="2"/>
      <c r="I826" s="2"/>
      <c r="J826" s="2"/>
      <c r="K826" s="2"/>
      <c r="L826" s="2"/>
      <c r="M826" s="2"/>
      <c r="N826" s="2"/>
      <c r="O826" s="2"/>
      <c r="P826" s="2"/>
      <c r="Q826" s="2"/>
      <c r="S826" s="3"/>
      <c r="T826" s="3"/>
      <c r="U826" s="3"/>
      <c r="V826" s="3"/>
      <c r="W826" s="3"/>
      <c r="X826" s="3"/>
      <c r="Y826" s="3"/>
      <c r="Z826" s="3"/>
    </row>
    <row r="827" ht="15.75" customHeight="1">
      <c r="A827" s="3"/>
      <c r="B827" s="2"/>
      <c r="C827" s="2"/>
      <c r="D827" s="2"/>
      <c r="E827" s="464"/>
      <c r="F827" s="2"/>
      <c r="G827" s="2"/>
      <c r="H827" s="2"/>
      <c r="I827" s="2"/>
      <c r="J827" s="2"/>
      <c r="K827" s="2"/>
      <c r="L827" s="2"/>
      <c r="M827" s="2"/>
      <c r="N827" s="2"/>
      <c r="O827" s="2"/>
      <c r="P827" s="2"/>
      <c r="Q827" s="2"/>
      <c r="S827" s="3"/>
      <c r="T827" s="3"/>
      <c r="U827" s="3"/>
      <c r="V827" s="3"/>
      <c r="W827" s="3"/>
      <c r="X827" s="3"/>
      <c r="Y827" s="3"/>
      <c r="Z827" s="3"/>
    </row>
    <row r="828" ht="15.75" customHeight="1">
      <c r="A828" s="3"/>
      <c r="B828" s="2"/>
      <c r="C828" s="2"/>
      <c r="D828" s="2"/>
      <c r="E828" s="464"/>
      <c r="F828" s="2"/>
      <c r="G828" s="2"/>
      <c r="H828" s="2"/>
      <c r="I828" s="2"/>
      <c r="J828" s="2"/>
      <c r="K828" s="2"/>
      <c r="L828" s="2"/>
      <c r="M828" s="2"/>
      <c r="N828" s="2"/>
      <c r="O828" s="2"/>
      <c r="P828" s="2"/>
      <c r="Q828" s="2"/>
      <c r="S828" s="3"/>
      <c r="T828" s="3"/>
      <c r="U828" s="3"/>
      <c r="V828" s="3"/>
      <c r="W828" s="3"/>
      <c r="X828" s="3"/>
      <c r="Y828" s="3"/>
      <c r="Z828" s="3"/>
    </row>
    <row r="829" ht="15.75" customHeight="1">
      <c r="A829" s="3"/>
      <c r="B829" s="2"/>
      <c r="C829" s="2"/>
      <c r="D829" s="2"/>
      <c r="E829" s="464"/>
      <c r="F829" s="2"/>
      <c r="G829" s="2"/>
      <c r="H829" s="2"/>
      <c r="I829" s="2"/>
      <c r="J829" s="2"/>
      <c r="K829" s="2"/>
      <c r="L829" s="2"/>
      <c r="M829" s="2"/>
      <c r="N829" s="2"/>
      <c r="O829" s="2"/>
      <c r="P829" s="2"/>
      <c r="Q829" s="2"/>
      <c r="S829" s="3"/>
      <c r="T829" s="3"/>
      <c r="U829" s="3"/>
      <c r="V829" s="3"/>
      <c r="W829" s="3"/>
      <c r="X829" s="3"/>
      <c r="Y829" s="3"/>
      <c r="Z829" s="3"/>
    </row>
    <row r="830" ht="15.75" customHeight="1">
      <c r="A830" s="3"/>
      <c r="B830" s="2"/>
      <c r="C830" s="2"/>
      <c r="D830" s="2"/>
      <c r="E830" s="464"/>
      <c r="F830" s="2"/>
      <c r="G830" s="2"/>
      <c r="H830" s="2"/>
      <c r="I830" s="2"/>
      <c r="J830" s="2"/>
      <c r="K830" s="2"/>
      <c r="L830" s="2"/>
      <c r="M830" s="2"/>
      <c r="N830" s="2"/>
      <c r="O830" s="2"/>
      <c r="P830" s="2"/>
      <c r="Q830" s="2"/>
      <c r="S830" s="3"/>
      <c r="T830" s="3"/>
      <c r="U830" s="3"/>
      <c r="V830" s="3"/>
      <c r="W830" s="3"/>
      <c r="X830" s="3"/>
      <c r="Y830" s="3"/>
      <c r="Z830" s="3"/>
    </row>
    <row r="831" ht="15.75" customHeight="1">
      <c r="A831" s="3"/>
      <c r="B831" s="2"/>
      <c r="C831" s="2"/>
      <c r="D831" s="2"/>
      <c r="E831" s="464"/>
      <c r="F831" s="2"/>
      <c r="G831" s="2"/>
      <c r="H831" s="2"/>
      <c r="I831" s="2"/>
      <c r="J831" s="2"/>
      <c r="K831" s="2"/>
      <c r="L831" s="2"/>
      <c r="M831" s="2"/>
      <c r="N831" s="2"/>
      <c r="O831" s="2"/>
      <c r="P831" s="2"/>
      <c r="Q831" s="2"/>
      <c r="S831" s="3"/>
      <c r="T831" s="3"/>
      <c r="U831" s="3"/>
      <c r="V831" s="3"/>
      <c r="W831" s="3"/>
      <c r="X831" s="3"/>
      <c r="Y831" s="3"/>
      <c r="Z831" s="3"/>
    </row>
    <row r="832" ht="15.75" customHeight="1">
      <c r="A832" s="3"/>
      <c r="B832" s="2"/>
      <c r="C832" s="2"/>
      <c r="D832" s="2"/>
      <c r="E832" s="464"/>
      <c r="F832" s="2"/>
      <c r="G832" s="2"/>
      <c r="H832" s="2"/>
      <c r="I832" s="2"/>
      <c r="J832" s="2"/>
      <c r="K832" s="2"/>
      <c r="L832" s="2"/>
      <c r="M832" s="2"/>
      <c r="N832" s="2"/>
      <c r="O832" s="2"/>
      <c r="P832" s="2"/>
      <c r="Q832" s="2"/>
      <c r="S832" s="3"/>
      <c r="T832" s="3"/>
      <c r="U832" s="3"/>
      <c r="V832" s="3"/>
      <c r="W832" s="3"/>
      <c r="X832" s="3"/>
      <c r="Y832" s="3"/>
      <c r="Z832" s="3"/>
    </row>
    <row r="833" ht="15.75" customHeight="1">
      <c r="A833" s="3"/>
      <c r="B833" s="2"/>
      <c r="C833" s="2"/>
      <c r="D833" s="2"/>
      <c r="E833" s="464"/>
      <c r="F833" s="2"/>
      <c r="G833" s="2"/>
      <c r="H833" s="2"/>
      <c r="I833" s="2"/>
      <c r="J833" s="2"/>
      <c r="K833" s="2"/>
      <c r="L833" s="2"/>
      <c r="M833" s="2"/>
      <c r="N833" s="2"/>
      <c r="O833" s="2"/>
      <c r="P833" s="2"/>
      <c r="Q833" s="2"/>
      <c r="S833" s="3"/>
      <c r="T833" s="3"/>
      <c r="U833" s="3"/>
      <c r="V833" s="3"/>
      <c r="W833" s="3"/>
      <c r="X833" s="3"/>
      <c r="Y833" s="3"/>
      <c r="Z833" s="3"/>
    </row>
    <row r="834" ht="15.75" customHeight="1">
      <c r="A834" s="3"/>
      <c r="B834" s="2"/>
      <c r="C834" s="2"/>
      <c r="D834" s="2"/>
      <c r="E834" s="464"/>
      <c r="F834" s="2"/>
      <c r="G834" s="2"/>
      <c r="H834" s="2"/>
      <c r="I834" s="2"/>
      <c r="J834" s="2"/>
      <c r="K834" s="2"/>
      <c r="L834" s="2"/>
      <c r="M834" s="2"/>
      <c r="N834" s="2"/>
      <c r="O834" s="2"/>
      <c r="P834" s="2"/>
      <c r="Q834" s="2"/>
      <c r="S834" s="3"/>
      <c r="T834" s="3"/>
      <c r="U834" s="3"/>
      <c r="V834" s="3"/>
      <c r="W834" s="3"/>
      <c r="X834" s="3"/>
      <c r="Y834" s="3"/>
      <c r="Z834" s="3"/>
    </row>
    <row r="835" ht="15.75" customHeight="1">
      <c r="A835" s="3"/>
      <c r="B835" s="2"/>
      <c r="C835" s="2"/>
      <c r="D835" s="2"/>
      <c r="E835" s="464"/>
      <c r="F835" s="2"/>
      <c r="G835" s="2"/>
      <c r="H835" s="2"/>
      <c r="I835" s="2"/>
      <c r="J835" s="2"/>
      <c r="K835" s="2"/>
      <c r="L835" s="2"/>
      <c r="M835" s="2"/>
      <c r="N835" s="2"/>
      <c r="O835" s="2"/>
      <c r="P835" s="2"/>
      <c r="Q835" s="2"/>
      <c r="S835" s="3"/>
      <c r="T835" s="3"/>
      <c r="U835" s="3"/>
      <c r="V835" s="3"/>
      <c r="W835" s="3"/>
      <c r="X835" s="3"/>
      <c r="Y835" s="3"/>
      <c r="Z835" s="3"/>
    </row>
    <row r="836" ht="15.75" customHeight="1">
      <c r="A836" s="3"/>
      <c r="B836" s="2"/>
      <c r="C836" s="2"/>
      <c r="D836" s="2"/>
      <c r="E836" s="464"/>
      <c r="F836" s="2"/>
      <c r="G836" s="2"/>
      <c r="H836" s="2"/>
      <c r="I836" s="2"/>
      <c r="J836" s="2"/>
      <c r="K836" s="2"/>
      <c r="L836" s="2"/>
      <c r="M836" s="2"/>
      <c r="N836" s="2"/>
      <c r="O836" s="2"/>
      <c r="P836" s="2"/>
      <c r="Q836" s="2"/>
      <c r="S836" s="3"/>
      <c r="T836" s="3"/>
      <c r="U836" s="3"/>
      <c r="V836" s="3"/>
      <c r="W836" s="3"/>
      <c r="X836" s="3"/>
      <c r="Y836" s="3"/>
      <c r="Z836" s="3"/>
    </row>
    <row r="837" ht="15.75" customHeight="1">
      <c r="A837" s="3"/>
      <c r="B837" s="2"/>
      <c r="C837" s="2"/>
      <c r="D837" s="2"/>
      <c r="E837" s="464"/>
      <c r="F837" s="2"/>
      <c r="G837" s="2"/>
      <c r="H837" s="2"/>
      <c r="I837" s="2"/>
      <c r="J837" s="2"/>
      <c r="K837" s="2"/>
      <c r="L837" s="2"/>
      <c r="M837" s="2"/>
      <c r="N837" s="2"/>
      <c r="O837" s="2"/>
      <c r="P837" s="2"/>
      <c r="Q837" s="2"/>
      <c r="S837" s="3"/>
      <c r="T837" s="3"/>
      <c r="U837" s="3"/>
      <c r="V837" s="3"/>
      <c r="W837" s="3"/>
      <c r="X837" s="3"/>
      <c r="Y837" s="3"/>
      <c r="Z837" s="3"/>
    </row>
    <row r="838" ht="15.75" customHeight="1">
      <c r="A838" s="3"/>
      <c r="B838" s="2"/>
      <c r="C838" s="2"/>
      <c r="D838" s="2"/>
      <c r="E838" s="464"/>
      <c r="F838" s="2"/>
      <c r="G838" s="2"/>
      <c r="H838" s="2"/>
      <c r="I838" s="2"/>
      <c r="J838" s="2"/>
      <c r="K838" s="2"/>
      <c r="L838" s="2"/>
      <c r="M838" s="2"/>
      <c r="N838" s="2"/>
      <c r="O838" s="2"/>
      <c r="P838" s="2"/>
      <c r="Q838" s="2"/>
      <c r="S838" s="3"/>
      <c r="T838" s="3"/>
      <c r="U838" s="3"/>
      <c r="V838" s="3"/>
      <c r="W838" s="3"/>
      <c r="X838" s="3"/>
      <c r="Y838" s="3"/>
      <c r="Z838" s="3"/>
    </row>
    <row r="839" ht="15.75" customHeight="1">
      <c r="A839" s="3"/>
      <c r="B839" s="2"/>
      <c r="C839" s="2"/>
      <c r="D839" s="2"/>
      <c r="E839" s="464"/>
      <c r="F839" s="2"/>
      <c r="G839" s="2"/>
      <c r="H839" s="2"/>
      <c r="I839" s="2"/>
      <c r="J839" s="2"/>
      <c r="K839" s="2"/>
      <c r="L839" s="2"/>
      <c r="M839" s="2"/>
      <c r="N839" s="2"/>
      <c r="O839" s="2"/>
      <c r="P839" s="2"/>
      <c r="Q839" s="2"/>
      <c r="S839" s="3"/>
      <c r="T839" s="3"/>
      <c r="U839" s="3"/>
      <c r="V839" s="3"/>
      <c r="W839" s="3"/>
      <c r="X839" s="3"/>
      <c r="Y839" s="3"/>
      <c r="Z839" s="3"/>
    </row>
    <row r="840" ht="15.75" customHeight="1">
      <c r="A840" s="3"/>
      <c r="B840" s="2"/>
      <c r="C840" s="2"/>
      <c r="D840" s="2"/>
      <c r="E840" s="464"/>
      <c r="F840" s="2"/>
      <c r="G840" s="2"/>
      <c r="H840" s="2"/>
      <c r="I840" s="2"/>
      <c r="J840" s="2"/>
      <c r="K840" s="2"/>
      <c r="L840" s="2"/>
      <c r="M840" s="2"/>
      <c r="N840" s="2"/>
      <c r="O840" s="2"/>
      <c r="P840" s="2"/>
      <c r="Q840" s="2"/>
      <c r="S840" s="3"/>
      <c r="T840" s="3"/>
      <c r="U840" s="3"/>
      <c r="V840" s="3"/>
      <c r="W840" s="3"/>
      <c r="X840" s="3"/>
      <c r="Y840" s="3"/>
      <c r="Z840" s="3"/>
    </row>
    <row r="841" ht="15.75" customHeight="1">
      <c r="A841" s="3"/>
      <c r="B841" s="2"/>
      <c r="C841" s="2"/>
      <c r="D841" s="2"/>
      <c r="E841" s="464"/>
      <c r="F841" s="2"/>
      <c r="G841" s="2"/>
      <c r="H841" s="2"/>
      <c r="I841" s="2"/>
      <c r="J841" s="2"/>
      <c r="K841" s="2"/>
      <c r="L841" s="2"/>
      <c r="M841" s="2"/>
      <c r="N841" s="2"/>
      <c r="O841" s="2"/>
      <c r="P841" s="2"/>
      <c r="Q841" s="2"/>
      <c r="S841" s="3"/>
      <c r="T841" s="3"/>
      <c r="U841" s="3"/>
      <c r="V841" s="3"/>
      <c r="W841" s="3"/>
      <c r="X841" s="3"/>
      <c r="Y841" s="3"/>
      <c r="Z841" s="3"/>
    </row>
    <row r="842" ht="15.75" customHeight="1">
      <c r="A842" s="3"/>
      <c r="B842" s="2"/>
      <c r="C842" s="2"/>
      <c r="D842" s="2"/>
      <c r="E842" s="464"/>
      <c r="F842" s="2"/>
      <c r="G842" s="2"/>
      <c r="H842" s="2"/>
      <c r="I842" s="2"/>
      <c r="J842" s="2"/>
      <c r="K842" s="2"/>
      <c r="L842" s="2"/>
      <c r="M842" s="2"/>
      <c r="N842" s="2"/>
      <c r="O842" s="2"/>
      <c r="P842" s="2"/>
      <c r="Q842" s="2"/>
      <c r="S842" s="3"/>
      <c r="T842" s="3"/>
      <c r="U842" s="3"/>
      <c r="V842" s="3"/>
      <c r="W842" s="3"/>
      <c r="X842" s="3"/>
      <c r="Y842" s="3"/>
      <c r="Z842" s="3"/>
    </row>
    <row r="843" ht="15.75" customHeight="1">
      <c r="A843" s="3"/>
      <c r="B843" s="2"/>
      <c r="C843" s="2"/>
      <c r="D843" s="2"/>
      <c r="E843" s="464"/>
      <c r="F843" s="2"/>
      <c r="G843" s="2"/>
      <c r="H843" s="2"/>
      <c r="I843" s="2"/>
      <c r="J843" s="2"/>
      <c r="K843" s="2"/>
      <c r="L843" s="2"/>
      <c r="M843" s="2"/>
      <c r="N843" s="2"/>
      <c r="O843" s="2"/>
      <c r="P843" s="2"/>
      <c r="Q843" s="2"/>
      <c r="S843" s="3"/>
      <c r="T843" s="3"/>
      <c r="U843" s="3"/>
      <c r="V843" s="3"/>
      <c r="W843" s="3"/>
      <c r="X843" s="3"/>
      <c r="Y843" s="3"/>
      <c r="Z843" s="3"/>
    </row>
    <row r="844" ht="15.75" customHeight="1">
      <c r="A844" s="3"/>
      <c r="B844" s="2"/>
      <c r="C844" s="2"/>
      <c r="D844" s="2"/>
      <c r="E844" s="464"/>
      <c r="F844" s="2"/>
      <c r="G844" s="2"/>
      <c r="H844" s="2"/>
      <c r="I844" s="2"/>
      <c r="J844" s="2"/>
      <c r="K844" s="2"/>
      <c r="L844" s="2"/>
      <c r="M844" s="2"/>
      <c r="N844" s="2"/>
      <c r="O844" s="2"/>
      <c r="P844" s="2"/>
      <c r="Q844" s="2"/>
      <c r="S844" s="3"/>
      <c r="T844" s="3"/>
      <c r="U844" s="3"/>
      <c r="V844" s="3"/>
      <c r="W844" s="3"/>
      <c r="X844" s="3"/>
      <c r="Y844" s="3"/>
      <c r="Z844" s="3"/>
    </row>
    <row r="845" ht="15.75" customHeight="1">
      <c r="A845" s="3"/>
      <c r="B845" s="2"/>
      <c r="C845" s="2"/>
      <c r="D845" s="2"/>
      <c r="E845" s="464"/>
      <c r="F845" s="2"/>
      <c r="G845" s="2"/>
      <c r="H845" s="2"/>
      <c r="I845" s="2"/>
      <c r="J845" s="2"/>
      <c r="K845" s="2"/>
      <c r="L845" s="2"/>
      <c r="M845" s="2"/>
      <c r="N845" s="2"/>
      <c r="O845" s="2"/>
      <c r="P845" s="2"/>
      <c r="Q845" s="2"/>
      <c r="S845" s="3"/>
      <c r="T845" s="3"/>
      <c r="U845" s="3"/>
      <c r="V845" s="3"/>
      <c r="W845" s="3"/>
      <c r="X845" s="3"/>
      <c r="Y845" s="3"/>
      <c r="Z845" s="3"/>
    </row>
    <row r="846" ht="15.75" customHeight="1">
      <c r="A846" s="3"/>
      <c r="B846" s="2"/>
      <c r="C846" s="2"/>
      <c r="D846" s="2"/>
      <c r="E846" s="464"/>
      <c r="F846" s="2"/>
      <c r="G846" s="2"/>
      <c r="H846" s="2"/>
      <c r="I846" s="2"/>
      <c r="J846" s="2"/>
      <c r="K846" s="2"/>
      <c r="L846" s="2"/>
      <c r="M846" s="2"/>
      <c r="N846" s="2"/>
      <c r="O846" s="2"/>
      <c r="P846" s="2"/>
      <c r="Q846" s="2"/>
      <c r="S846" s="3"/>
      <c r="T846" s="3"/>
      <c r="U846" s="3"/>
      <c r="V846" s="3"/>
      <c r="W846" s="3"/>
      <c r="X846" s="3"/>
      <c r="Y846" s="3"/>
      <c r="Z846" s="3"/>
    </row>
    <row r="847" ht="15.75" customHeight="1">
      <c r="A847" s="3"/>
      <c r="B847" s="2"/>
      <c r="C847" s="2"/>
      <c r="D847" s="2"/>
      <c r="E847" s="464"/>
      <c r="F847" s="2"/>
      <c r="G847" s="2"/>
      <c r="H847" s="2"/>
      <c r="I847" s="2"/>
      <c r="J847" s="2"/>
      <c r="K847" s="2"/>
      <c r="L847" s="2"/>
      <c r="M847" s="2"/>
      <c r="N847" s="2"/>
      <c r="O847" s="2"/>
      <c r="P847" s="2"/>
      <c r="Q847" s="2"/>
      <c r="S847" s="3"/>
      <c r="T847" s="3"/>
      <c r="U847" s="3"/>
      <c r="V847" s="3"/>
      <c r="W847" s="3"/>
      <c r="X847" s="3"/>
      <c r="Y847" s="3"/>
      <c r="Z847" s="3"/>
    </row>
    <row r="848" ht="15.75" customHeight="1">
      <c r="A848" s="3"/>
      <c r="B848" s="2"/>
      <c r="C848" s="2"/>
      <c r="D848" s="2"/>
      <c r="E848" s="464"/>
      <c r="F848" s="2"/>
      <c r="G848" s="2"/>
      <c r="H848" s="2"/>
      <c r="I848" s="2"/>
      <c r="J848" s="2"/>
      <c r="K848" s="2"/>
      <c r="L848" s="2"/>
      <c r="M848" s="2"/>
      <c r="N848" s="2"/>
      <c r="O848" s="2"/>
      <c r="P848" s="2"/>
      <c r="Q848" s="2"/>
      <c r="S848" s="3"/>
      <c r="T848" s="3"/>
      <c r="U848" s="3"/>
      <c r="V848" s="3"/>
      <c r="W848" s="3"/>
      <c r="X848" s="3"/>
      <c r="Y848" s="3"/>
      <c r="Z848" s="3"/>
    </row>
    <row r="849" ht="15.75" customHeight="1">
      <c r="A849" s="3"/>
      <c r="B849" s="2"/>
      <c r="C849" s="2"/>
      <c r="D849" s="2"/>
      <c r="E849" s="464"/>
      <c r="F849" s="2"/>
      <c r="G849" s="2"/>
      <c r="H849" s="2"/>
      <c r="I849" s="2"/>
      <c r="J849" s="2"/>
      <c r="K849" s="2"/>
      <c r="L849" s="2"/>
      <c r="M849" s="2"/>
      <c r="N849" s="2"/>
      <c r="O849" s="2"/>
      <c r="P849" s="2"/>
      <c r="Q849" s="2"/>
      <c r="S849" s="3"/>
      <c r="T849" s="3"/>
      <c r="U849" s="3"/>
      <c r="V849" s="3"/>
      <c r="W849" s="3"/>
      <c r="X849" s="3"/>
      <c r="Y849" s="3"/>
      <c r="Z849" s="3"/>
    </row>
    <row r="850" ht="15.75" customHeight="1">
      <c r="A850" s="3"/>
      <c r="B850" s="2"/>
      <c r="C850" s="2"/>
      <c r="D850" s="2"/>
      <c r="E850" s="464"/>
      <c r="F850" s="2"/>
      <c r="G850" s="2"/>
      <c r="H850" s="2"/>
      <c r="I850" s="2"/>
      <c r="J850" s="2"/>
      <c r="K850" s="2"/>
      <c r="L850" s="2"/>
      <c r="M850" s="2"/>
      <c r="N850" s="2"/>
      <c r="O850" s="2"/>
      <c r="P850" s="2"/>
      <c r="Q850" s="2"/>
      <c r="S850" s="3"/>
      <c r="T850" s="3"/>
      <c r="U850" s="3"/>
      <c r="V850" s="3"/>
      <c r="W850" s="3"/>
      <c r="X850" s="3"/>
      <c r="Y850" s="3"/>
      <c r="Z850" s="3"/>
    </row>
    <row r="851" ht="15.75" customHeight="1">
      <c r="A851" s="3"/>
      <c r="B851" s="2"/>
      <c r="C851" s="2"/>
      <c r="D851" s="2"/>
      <c r="E851" s="464"/>
      <c r="F851" s="2"/>
      <c r="G851" s="2"/>
      <c r="H851" s="2"/>
      <c r="I851" s="2"/>
      <c r="J851" s="2"/>
      <c r="K851" s="2"/>
      <c r="L851" s="2"/>
      <c r="M851" s="2"/>
      <c r="N851" s="2"/>
      <c r="O851" s="2"/>
      <c r="P851" s="2"/>
      <c r="Q851" s="2"/>
      <c r="S851" s="3"/>
      <c r="T851" s="3"/>
      <c r="U851" s="3"/>
      <c r="V851" s="3"/>
      <c r="W851" s="3"/>
      <c r="X851" s="3"/>
      <c r="Y851" s="3"/>
      <c r="Z851" s="3"/>
    </row>
    <row r="852" ht="15.75" customHeight="1">
      <c r="A852" s="3"/>
      <c r="B852" s="2"/>
      <c r="C852" s="2"/>
      <c r="D852" s="2"/>
      <c r="E852" s="464"/>
      <c r="F852" s="2"/>
      <c r="G852" s="2"/>
      <c r="H852" s="2"/>
      <c r="I852" s="2"/>
      <c r="J852" s="2"/>
      <c r="K852" s="2"/>
      <c r="L852" s="2"/>
      <c r="M852" s="2"/>
      <c r="N852" s="2"/>
      <c r="O852" s="2"/>
      <c r="P852" s="2"/>
      <c r="Q852" s="2"/>
      <c r="S852" s="3"/>
      <c r="T852" s="3"/>
      <c r="U852" s="3"/>
      <c r="V852" s="3"/>
      <c r="W852" s="3"/>
      <c r="X852" s="3"/>
      <c r="Y852" s="3"/>
      <c r="Z852" s="3"/>
    </row>
    <row r="853" ht="15.75" customHeight="1">
      <c r="A853" s="3"/>
      <c r="B853" s="2"/>
      <c r="C853" s="2"/>
      <c r="D853" s="2"/>
      <c r="E853" s="464"/>
      <c r="F853" s="2"/>
      <c r="G853" s="2"/>
      <c r="H853" s="2"/>
      <c r="I853" s="2"/>
      <c r="J853" s="2"/>
      <c r="K853" s="2"/>
      <c r="L853" s="2"/>
      <c r="M853" s="2"/>
      <c r="N853" s="2"/>
      <c r="O853" s="2"/>
      <c r="P853" s="2"/>
      <c r="Q853" s="2"/>
      <c r="S853" s="3"/>
      <c r="T853" s="3"/>
      <c r="U853" s="3"/>
      <c r="V853" s="3"/>
      <c r="W853" s="3"/>
      <c r="X853" s="3"/>
      <c r="Y853" s="3"/>
      <c r="Z853" s="3"/>
    </row>
    <row r="854" ht="15.75" customHeight="1">
      <c r="A854" s="3"/>
      <c r="B854" s="2"/>
      <c r="C854" s="2"/>
      <c r="D854" s="2"/>
      <c r="E854" s="464"/>
      <c r="F854" s="2"/>
      <c r="G854" s="2"/>
      <c r="H854" s="2"/>
      <c r="I854" s="2"/>
      <c r="J854" s="2"/>
      <c r="K854" s="2"/>
      <c r="L854" s="2"/>
      <c r="M854" s="2"/>
      <c r="N854" s="2"/>
      <c r="O854" s="2"/>
      <c r="P854" s="2"/>
      <c r="Q854" s="2"/>
      <c r="S854" s="3"/>
      <c r="T854" s="3"/>
      <c r="U854" s="3"/>
      <c r="V854" s="3"/>
      <c r="W854" s="3"/>
      <c r="X854" s="3"/>
      <c r="Y854" s="3"/>
      <c r="Z854" s="3"/>
    </row>
    <row r="855" ht="15.75" customHeight="1">
      <c r="A855" s="3"/>
      <c r="B855" s="2"/>
      <c r="C855" s="2"/>
      <c r="D855" s="2"/>
      <c r="E855" s="464"/>
      <c r="F855" s="2"/>
      <c r="G855" s="2"/>
      <c r="H855" s="2"/>
      <c r="I855" s="2"/>
      <c r="J855" s="2"/>
      <c r="K855" s="2"/>
      <c r="L855" s="2"/>
      <c r="M855" s="2"/>
      <c r="N855" s="2"/>
      <c r="O855" s="2"/>
      <c r="P855" s="2"/>
      <c r="Q855" s="2"/>
      <c r="S855" s="3"/>
      <c r="T855" s="3"/>
      <c r="U855" s="3"/>
      <c r="V855" s="3"/>
      <c r="W855" s="3"/>
      <c r="X855" s="3"/>
      <c r="Y855" s="3"/>
      <c r="Z855" s="3"/>
    </row>
    <row r="856" ht="15.75" customHeight="1">
      <c r="A856" s="3"/>
      <c r="B856" s="2"/>
      <c r="C856" s="2"/>
      <c r="D856" s="2"/>
      <c r="E856" s="464"/>
      <c r="F856" s="2"/>
      <c r="G856" s="2"/>
      <c r="H856" s="2"/>
      <c r="I856" s="2"/>
      <c r="J856" s="2"/>
      <c r="K856" s="2"/>
      <c r="L856" s="2"/>
      <c r="M856" s="2"/>
      <c r="N856" s="2"/>
      <c r="O856" s="2"/>
      <c r="P856" s="2"/>
      <c r="Q856" s="2"/>
      <c r="S856" s="3"/>
      <c r="T856" s="3"/>
      <c r="U856" s="3"/>
      <c r="V856" s="3"/>
      <c r="W856" s="3"/>
      <c r="X856" s="3"/>
      <c r="Y856" s="3"/>
      <c r="Z856" s="3"/>
    </row>
    <row r="857" ht="15.75" customHeight="1">
      <c r="A857" s="3"/>
      <c r="B857" s="2"/>
      <c r="C857" s="2"/>
      <c r="D857" s="2"/>
      <c r="E857" s="464"/>
      <c r="F857" s="2"/>
      <c r="G857" s="2"/>
      <c r="H857" s="2"/>
      <c r="I857" s="2"/>
      <c r="J857" s="2"/>
      <c r="K857" s="2"/>
      <c r="L857" s="2"/>
      <c r="M857" s="2"/>
      <c r="N857" s="2"/>
      <c r="O857" s="2"/>
      <c r="P857" s="2"/>
      <c r="Q857" s="2"/>
      <c r="S857" s="3"/>
      <c r="T857" s="3"/>
      <c r="U857" s="3"/>
      <c r="V857" s="3"/>
      <c r="W857" s="3"/>
      <c r="X857" s="3"/>
      <c r="Y857" s="3"/>
      <c r="Z857" s="3"/>
    </row>
    <row r="858" ht="15.75" customHeight="1">
      <c r="A858" s="3"/>
      <c r="B858" s="2"/>
      <c r="C858" s="2"/>
      <c r="D858" s="2"/>
      <c r="E858" s="464"/>
      <c r="F858" s="2"/>
      <c r="G858" s="2"/>
      <c r="H858" s="2"/>
      <c r="I858" s="2"/>
      <c r="J858" s="2"/>
      <c r="K858" s="2"/>
      <c r="L858" s="2"/>
      <c r="M858" s="2"/>
      <c r="N858" s="2"/>
      <c r="O858" s="2"/>
      <c r="P858" s="2"/>
      <c r="Q858" s="2"/>
      <c r="S858" s="3"/>
      <c r="T858" s="3"/>
      <c r="U858" s="3"/>
      <c r="V858" s="3"/>
      <c r="W858" s="3"/>
      <c r="X858" s="3"/>
      <c r="Y858" s="3"/>
      <c r="Z858" s="3"/>
    </row>
    <row r="859" ht="15.75" customHeight="1">
      <c r="A859" s="3"/>
      <c r="B859" s="2"/>
      <c r="C859" s="2"/>
      <c r="D859" s="2"/>
      <c r="E859" s="464"/>
      <c r="F859" s="2"/>
      <c r="G859" s="2"/>
      <c r="H859" s="2"/>
      <c r="I859" s="2"/>
      <c r="J859" s="2"/>
      <c r="K859" s="2"/>
      <c r="L859" s="2"/>
      <c r="M859" s="2"/>
      <c r="N859" s="2"/>
      <c r="O859" s="2"/>
      <c r="P859" s="2"/>
      <c r="Q859" s="2"/>
      <c r="S859" s="3"/>
      <c r="T859" s="3"/>
      <c r="U859" s="3"/>
      <c r="V859" s="3"/>
      <c r="W859" s="3"/>
      <c r="X859" s="3"/>
      <c r="Y859" s="3"/>
      <c r="Z859" s="3"/>
    </row>
    <row r="860" ht="15.75" customHeight="1">
      <c r="A860" s="3"/>
      <c r="B860" s="2"/>
      <c r="C860" s="2"/>
      <c r="D860" s="2"/>
      <c r="E860" s="464"/>
      <c r="F860" s="2"/>
      <c r="G860" s="2"/>
      <c r="H860" s="2"/>
      <c r="I860" s="2"/>
      <c r="J860" s="2"/>
      <c r="K860" s="2"/>
      <c r="L860" s="2"/>
      <c r="M860" s="2"/>
      <c r="N860" s="2"/>
      <c r="O860" s="2"/>
      <c r="P860" s="2"/>
      <c r="Q860" s="2"/>
      <c r="S860" s="3"/>
      <c r="T860" s="3"/>
      <c r="U860" s="3"/>
      <c r="V860" s="3"/>
      <c r="W860" s="3"/>
      <c r="X860" s="3"/>
      <c r="Y860" s="3"/>
      <c r="Z860" s="3"/>
    </row>
    <row r="861" ht="15.75" customHeight="1">
      <c r="A861" s="3"/>
      <c r="B861" s="2"/>
      <c r="C861" s="2"/>
      <c r="D861" s="2"/>
      <c r="E861" s="464"/>
      <c r="F861" s="2"/>
      <c r="G861" s="2"/>
      <c r="H861" s="2"/>
      <c r="I861" s="2"/>
      <c r="J861" s="2"/>
      <c r="K861" s="2"/>
      <c r="L861" s="2"/>
      <c r="M861" s="2"/>
      <c r="N861" s="2"/>
      <c r="O861" s="2"/>
      <c r="P861" s="2"/>
      <c r="Q861" s="2"/>
      <c r="S861" s="3"/>
      <c r="T861" s="3"/>
      <c r="U861" s="3"/>
      <c r="V861" s="3"/>
      <c r="W861" s="3"/>
      <c r="X861" s="3"/>
      <c r="Y861" s="3"/>
      <c r="Z861" s="3"/>
    </row>
    <row r="862" ht="15.75" customHeight="1">
      <c r="A862" s="3"/>
      <c r="B862" s="2"/>
      <c r="C862" s="2"/>
      <c r="D862" s="2"/>
      <c r="E862" s="464"/>
      <c r="F862" s="2"/>
      <c r="G862" s="2"/>
      <c r="H862" s="2"/>
      <c r="I862" s="2"/>
      <c r="J862" s="2"/>
      <c r="K862" s="2"/>
      <c r="L862" s="2"/>
      <c r="M862" s="2"/>
      <c r="N862" s="2"/>
      <c r="O862" s="2"/>
      <c r="P862" s="2"/>
      <c r="Q862" s="2"/>
      <c r="S862" s="3"/>
      <c r="T862" s="3"/>
      <c r="U862" s="3"/>
      <c r="V862" s="3"/>
      <c r="W862" s="3"/>
      <c r="X862" s="3"/>
      <c r="Y862" s="3"/>
      <c r="Z862" s="3"/>
    </row>
    <row r="863" ht="15.75" customHeight="1">
      <c r="A863" s="3"/>
      <c r="B863" s="2"/>
      <c r="C863" s="2"/>
      <c r="D863" s="2"/>
      <c r="E863" s="464"/>
      <c r="F863" s="2"/>
      <c r="G863" s="2"/>
      <c r="H863" s="2"/>
      <c r="I863" s="2"/>
      <c r="J863" s="2"/>
      <c r="K863" s="2"/>
      <c r="L863" s="2"/>
      <c r="M863" s="2"/>
      <c r="N863" s="2"/>
      <c r="O863" s="2"/>
      <c r="P863" s="2"/>
      <c r="Q863" s="2"/>
      <c r="S863" s="3"/>
      <c r="T863" s="3"/>
      <c r="U863" s="3"/>
      <c r="V863" s="3"/>
      <c r="W863" s="3"/>
      <c r="X863" s="3"/>
      <c r="Y863" s="3"/>
      <c r="Z863" s="3"/>
    </row>
    <row r="864" ht="15.75" customHeight="1">
      <c r="A864" s="3"/>
      <c r="B864" s="2"/>
      <c r="C864" s="2"/>
      <c r="D864" s="2"/>
      <c r="E864" s="464"/>
      <c r="F864" s="2"/>
      <c r="G864" s="2"/>
      <c r="H864" s="2"/>
      <c r="I864" s="2"/>
      <c r="J864" s="2"/>
      <c r="K864" s="2"/>
      <c r="L864" s="2"/>
      <c r="M864" s="2"/>
      <c r="N864" s="2"/>
      <c r="O864" s="2"/>
      <c r="P864" s="2"/>
      <c r="Q864" s="2"/>
      <c r="S864" s="3"/>
      <c r="T864" s="3"/>
      <c r="U864" s="3"/>
      <c r="V864" s="3"/>
      <c r="W864" s="3"/>
      <c r="X864" s="3"/>
      <c r="Y864" s="3"/>
      <c r="Z864" s="3"/>
    </row>
    <row r="865" ht="15.75" customHeight="1">
      <c r="A865" s="3"/>
      <c r="B865" s="2"/>
      <c r="C865" s="2"/>
      <c r="D865" s="2"/>
      <c r="E865" s="464"/>
      <c r="F865" s="2"/>
      <c r="G865" s="2"/>
      <c r="H865" s="2"/>
      <c r="I865" s="2"/>
      <c r="J865" s="2"/>
      <c r="K865" s="2"/>
      <c r="L865" s="2"/>
      <c r="M865" s="2"/>
      <c r="N865" s="2"/>
      <c r="O865" s="2"/>
      <c r="P865" s="2"/>
      <c r="Q865" s="2"/>
      <c r="S865" s="3"/>
      <c r="T865" s="3"/>
      <c r="U865" s="3"/>
      <c r="V865" s="3"/>
      <c r="W865" s="3"/>
      <c r="X865" s="3"/>
      <c r="Y865" s="3"/>
      <c r="Z865" s="3"/>
    </row>
    <row r="866" ht="15.75" customHeight="1">
      <c r="A866" s="3"/>
      <c r="B866" s="2"/>
      <c r="C866" s="2"/>
      <c r="D866" s="2"/>
      <c r="E866" s="464"/>
      <c r="F866" s="2"/>
      <c r="G866" s="2"/>
      <c r="H866" s="2"/>
      <c r="I866" s="2"/>
      <c r="J866" s="2"/>
      <c r="K866" s="2"/>
      <c r="L866" s="2"/>
      <c r="M866" s="2"/>
      <c r="N866" s="2"/>
      <c r="O866" s="2"/>
      <c r="P866" s="2"/>
      <c r="Q866" s="2"/>
      <c r="S866" s="3"/>
      <c r="T866" s="3"/>
      <c r="U866" s="3"/>
      <c r="V866" s="3"/>
      <c r="W866" s="3"/>
      <c r="X866" s="3"/>
      <c r="Y866" s="3"/>
      <c r="Z866" s="3"/>
    </row>
    <row r="867" ht="15.75" customHeight="1">
      <c r="A867" s="3"/>
      <c r="B867" s="2"/>
      <c r="C867" s="2"/>
      <c r="D867" s="2"/>
      <c r="E867" s="464"/>
      <c r="F867" s="2"/>
      <c r="G867" s="2"/>
      <c r="H867" s="2"/>
      <c r="I867" s="2"/>
      <c r="J867" s="2"/>
      <c r="K867" s="2"/>
      <c r="L867" s="2"/>
      <c r="M867" s="2"/>
      <c r="N867" s="2"/>
      <c r="O867" s="2"/>
      <c r="P867" s="2"/>
      <c r="Q867" s="2"/>
      <c r="S867" s="3"/>
      <c r="T867" s="3"/>
      <c r="U867" s="3"/>
      <c r="V867" s="3"/>
      <c r="W867" s="3"/>
      <c r="X867" s="3"/>
      <c r="Y867" s="3"/>
      <c r="Z867" s="3"/>
    </row>
    <row r="868" ht="15.75" customHeight="1">
      <c r="A868" s="3"/>
      <c r="B868" s="2"/>
      <c r="C868" s="2"/>
      <c r="D868" s="2"/>
      <c r="E868" s="464"/>
      <c r="F868" s="2"/>
      <c r="G868" s="2"/>
      <c r="H868" s="2"/>
      <c r="I868" s="2"/>
      <c r="J868" s="2"/>
      <c r="K868" s="2"/>
      <c r="L868" s="2"/>
      <c r="M868" s="2"/>
      <c r="N868" s="2"/>
      <c r="O868" s="2"/>
      <c r="P868" s="2"/>
      <c r="Q868" s="2"/>
      <c r="S868" s="3"/>
      <c r="T868" s="3"/>
      <c r="U868" s="3"/>
      <c r="V868" s="3"/>
      <c r="W868" s="3"/>
      <c r="X868" s="3"/>
      <c r="Y868" s="3"/>
      <c r="Z868" s="3"/>
    </row>
    <row r="869" ht="15.75" customHeight="1">
      <c r="A869" s="3"/>
      <c r="B869" s="2"/>
      <c r="C869" s="2"/>
      <c r="D869" s="2"/>
      <c r="E869" s="464"/>
      <c r="F869" s="2"/>
      <c r="G869" s="2"/>
      <c r="H869" s="2"/>
      <c r="I869" s="2"/>
      <c r="J869" s="2"/>
      <c r="K869" s="2"/>
      <c r="L869" s="2"/>
      <c r="M869" s="2"/>
      <c r="N869" s="2"/>
      <c r="O869" s="2"/>
      <c r="P869" s="2"/>
      <c r="Q869" s="2"/>
      <c r="S869" s="3"/>
      <c r="T869" s="3"/>
      <c r="U869" s="3"/>
      <c r="V869" s="3"/>
      <c r="W869" s="3"/>
      <c r="X869" s="3"/>
      <c r="Y869" s="3"/>
      <c r="Z869" s="3"/>
    </row>
    <row r="870" ht="15.75" customHeight="1">
      <c r="A870" s="3"/>
      <c r="B870" s="2"/>
      <c r="C870" s="2"/>
      <c r="D870" s="2"/>
      <c r="E870" s="464"/>
      <c r="F870" s="2"/>
      <c r="G870" s="2"/>
      <c r="H870" s="2"/>
      <c r="I870" s="2"/>
      <c r="J870" s="2"/>
      <c r="K870" s="2"/>
      <c r="L870" s="2"/>
      <c r="M870" s="2"/>
      <c r="N870" s="2"/>
      <c r="O870" s="2"/>
      <c r="P870" s="2"/>
      <c r="Q870" s="2"/>
      <c r="S870" s="3"/>
      <c r="T870" s="3"/>
      <c r="U870" s="3"/>
      <c r="V870" s="3"/>
      <c r="W870" s="3"/>
      <c r="X870" s="3"/>
      <c r="Y870" s="3"/>
      <c r="Z870" s="3"/>
    </row>
    <row r="871" ht="15.75" customHeight="1">
      <c r="A871" s="3"/>
      <c r="B871" s="2"/>
      <c r="C871" s="2"/>
      <c r="D871" s="2"/>
      <c r="E871" s="464"/>
      <c r="F871" s="2"/>
      <c r="G871" s="2"/>
      <c r="H871" s="2"/>
      <c r="I871" s="2"/>
      <c r="J871" s="2"/>
      <c r="K871" s="2"/>
      <c r="L871" s="2"/>
      <c r="M871" s="2"/>
      <c r="N871" s="2"/>
      <c r="O871" s="2"/>
      <c r="P871" s="2"/>
      <c r="Q871" s="2"/>
      <c r="S871" s="3"/>
      <c r="T871" s="3"/>
      <c r="U871" s="3"/>
      <c r="V871" s="3"/>
      <c r="W871" s="3"/>
      <c r="X871" s="3"/>
      <c r="Y871" s="3"/>
      <c r="Z871" s="3"/>
    </row>
    <row r="872" ht="15.75" customHeight="1">
      <c r="A872" s="3"/>
      <c r="B872" s="2"/>
      <c r="C872" s="2"/>
      <c r="D872" s="2"/>
      <c r="E872" s="464"/>
      <c r="F872" s="2"/>
      <c r="G872" s="2"/>
      <c r="H872" s="2"/>
      <c r="I872" s="2"/>
      <c r="J872" s="2"/>
      <c r="K872" s="2"/>
      <c r="L872" s="2"/>
      <c r="M872" s="2"/>
      <c r="N872" s="2"/>
      <c r="O872" s="2"/>
      <c r="P872" s="2"/>
      <c r="Q872" s="2"/>
      <c r="S872" s="3"/>
      <c r="T872" s="3"/>
      <c r="U872" s="3"/>
      <c r="V872" s="3"/>
      <c r="W872" s="3"/>
      <c r="X872" s="3"/>
      <c r="Y872" s="3"/>
      <c r="Z872" s="3"/>
    </row>
    <row r="873" ht="15.75" customHeight="1">
      <c r="A873" s="3"/>
      <c r="B873" s="2"/>
      <c r="C873" s="2"/>
      <c r="D873" s="2"/>
      <c r="E873" s="464"/>
      <c r="F873" s="2"/>
      <c r="G873" s="2"/>
      <c r="H873" s="2"/>
      <c r="I873" s="2"/>
      <c r="J873" s="2"/>
      <c r="K873" s="2"/>
      <c r="L873" s="2"/>
      <c r="M873" s="2"/>
      <c r="N873" s="2"/>
      <c r="O873" s="2"/>
      <c r="P873" s="2"/>
      <c r="Q873" s="2"/>
      <c r="S873" s="3"/>
      <c r="T873" s="3"/>
      <c r="U873" s="3"/>
      <c r="V873" s="3"/>
      <c r="W873" s="3"/>
      <c r="X873" s="3"/>
      <c r="Y873" s="3"/>
      <c r="Z873" s="3"/>
    </row>
    <row r="874" ht="15.75" customHeight="1">
      <c r="A874" s="3"/>
      <c r="B874" s="2"/>
      <c r="C874" s="2"/>
      <c r="D874" s="2"/>
      <c r="E874" s="464"/>
      <c r="F874" s="2"/>
      <c r="G874" s="2"/>
      <c r="H874" s="2"/>
      <c r="I874" s="2"/>
      <c r="J874" s="2"/>
      <c r="K874" s="2"/>
      <c r="L874" s="2"/>
      <c r="M874" s="2"/>
      <c r="N874" s="2"/>
      <c r="O874" s="2"/>
      <c r="P874" s="2"/>
      <c r="Q874" s="2"/>
      <c r="S874" s="3"/>
      <c r="T874" s="3"/>
      <c r="U874" s="3"/>
      <c r="V874" s="3"/>
      <c r="W874" s="3"/>
      <c r="X874" s="3"/>
      <c r="Y874" s="3"/>
      <c r="Z874" s="3"/>
    </row>
    <row r="875" ht="15.75" customHeight="1">
      <c r="A875" s="3"/>
      <c r="B875" s="2"/>
      <c r="C875" s="2"/>
      <c r="D875" s="2"/>
      <c r="E875" s="464"/>
      <c r="F875" s="2"/>
      <c r="G875" s="2"/>
      <c r="H875" s="2"/>
      <c r="I875" s="2"/>
      <c r="J875" s="2"/>
      <c r="K875" s="2"/>
      <c r="L875" s="2"/>
      <c r="M875" s="2"/>
      <c r="N875" s="2"/>
      <c r="O875" s="2"/>
      <c r="P875" s="2"/>
      <c r="Q875" s="2"/>
      <c r="S875" s="3"/>
      <c r="T875" s="3"/>
      <c r="U875" s="3"/>
      <c r="V875" s="3"/>
      <c r="W875" s="3"/>
      <c r="X875" s="3"/>
      <c r="Y875" s="3"/>
      <c r="Z875" s="3"/>
    </row>
    <row r="876" ht="15.75" customHeight="1">
      <c r="A876" s="3"/>
      <c r="B876" s="2"/>
      <c r="C876" s="2"/>
      <c r="D876" s="2"/>
      <c r="E876" s="464"/>
      <c r="F876" s="2"/>
      <c r="G876" s="2"/>
      <c r="H876" s="2"/>
      <c r="I876" s="2"/>
      <c r="J876" s="2"/>
      <c r="K876" s="2"/>
      <c r="L876" s="2"/>
      <c r="M876" s="2"/>
      <c r="N876" s="2"/>
      <c r="O876" s="2"/>
      <c r="P876" s="2"/>
      <c r="Q876" s="2"/>
      <c r="S876" s="3"/>
      <c r="T876" s="3"/>
      <c r="U876" s="3"/>
      <c r="V876" s="3"/>
      <c r="W876" s="3"/>
      <c r="X876" s="3"/>
      <c r="Y876" s="3"/>
      <c r="Z876" s="3"/>
    </row>
    <row r="877" ht="15.75" customHeight="1">
      <c r="A877" s="3"/>
      <c r="B877" s="2"/>
      <c r="C877" s="2"/>
      <c r="D877" s="2"/>
      <c r="E877" s="464"/>
      <c r="F877" s="2"/>
      <c r="G877" s="2"/>
      <c r="H877" s="2"/>
      <c r="I877" s="2"/>
      <c r="J877" s="2"/>
      <c r="K877" s="2"/>
      <c r="L877" s="2"/>
      <c r="M877" s="2"/>
      <c r="N877" s="2"/>
      <c r="O877" s="2"/>
      <c r="P877" s="2"/>
      <c r="Q877" s="2"/>
      <c r="S877" s="3"/>
      <c r="T877" s="3"/>
      <c r="U877" s="3"/>
      <c r="V877" s="3"/>
      <c r="W877" s="3"/>
      <c r="X877" s="3"/>
      <c r="Y877" s="3"/>
      <c r="Z877" s="3"/>
    </row>
    <row r="878" ht="15.75" customHeight="1">
      <c r="A878" s="3"/>
      <c r="B878" s="2"/>
      <c r="C878" s="2"/>
      <c r="D878" s="2"/>
      <c r="E878" s="464"/>
      <c r="F878" s="2"/>
      <c r="G878" s="2"/>
      <c r="H878" s="2"/>
      <c r="I878" s="2"/>
      <c r="J878" s="2"/>
      <c r="K878" s="2"/>
      <c r="L878" s="2"/>
      <c r="M878" s="2"/>
      <c r="N878" s="2"/>
      <c r="O878" s="2"/>
      <c r="P878" s="2"/>
      <c r="Q878" s="2"/>
      <c r="S878" s="3"/>
      <c r="T878" s="3"/>
      <c r="U878" s="3"/>
      <c r="V878" s="3"/>
      <c r="W878" s="3"/>
      <c r="X878" s="3"/>
      <c r="Y878" s="3"/>
      <c r="Z878" s="3"/>
    </row>
    <row r="879" ht="15.75" customHeight="1">
      <c r="A879" s="3"/>
      <c r="B879" s="2"/>
      <c r="C879" s="2"/>
      <c r="D879" s="2"/>
      <c r="E879" s="464"/>
      <c r="F879" s="2"/>
      <c r="G879" s="2"/>
      <c r="H879" s="2"/>
      <c r="I879" s="2"/>
      <c r="J879" s="2"/>
      <c r="K879" s="2"/>
      <c r="L879" s="2"/>
      <c r="M879" s="2"/>
      <c r="N879" s="2"/>
      <c r="O879" s="2"/>
      <c r="P879" s="2"/>
      <c r="Q879" s="2"/>
      <c r="S879" s="3"/>
      <c r="T879" s="3"/>
      <c r="U879" s="3"/>
      <c r="V879" s="3"/>
      <c r="W879" s="3"/>
      <c r="X879" s="3"/>
      <c r="Y879" s="3"/>
      <c r="Z879" s="3"/>
    </row>
    <row r="880" ht="15.75" customHeight="1">
      <c r="A880" s="3"/>
      <c r="B880" s="2"/>
      <c r="C880" s="2"/>
      <c r="D880" s="2"/>
      <c r="E880" s="464"/>
      <c r="F880" s="2"/>
      <c r="G880" s="2"/>
      <c r="H880" s="2"/>
      <c r="I880" s="2"/>
      <c r="J880" s="2"/>
      <c r="K880" s="2"/>
      <c r="L880" s="2"/>
      <c r="M880" s="2"/>
      <c r="N880" s="2"/>
      <c r="O880" s="2"/>
      <c r="P880" s="2"/>
      <c r="Q880" s="2"/>
      <c r="S880" s="3"/>
      <c r="T880" s="3"/>
      <c r="U880" s="3"/>
      <c r="V880" s="3"/>
      <c r="W880" s="3"/>
      <c r="X880" s="3"/>
      <c r="Y880" s="3"/>
      <c r="Z880" s="3"/>
    </row>
    <row r="881" ht="15.75" customHeight="1">
      <c r="A881" s="3"/>
      <c r="B881" s="2"/>
      <c r="C881" s="2"/>
      <c r="D881" s="2"/>
      <c r="E881" s="464"/>
      <c r="F881" s="2"/>
      <c r="G881" s="2"/>
      <c r="H881" s="2"/>
      <c r="I881" s="2"/>
      <c r="J881" s="2"/>
      <c r="K881" s="2"/>
      <c r="L881" s="2"/>
      <c r="M881" s="2"/>
      <c r="N881" s="2"/>
      <c r="O881" s="2"/>
      <c r="P881" s="2"/>
      <c r="Q881" s="2"/>
      <c r="S881" s="3"/>
      <c r="T881" s="3"/>
      <c r="U881" s="3"/>
      <c r="V881" s="3"/>
      <c r="W881" s="3"/>
      <c r="X881" s="3"/>
      <c r="Y881" s="3"/>
      <c r="Z881" s="3"/>
    </row>
    <row r="882" ht="15.75" customHeight="1">
      <c r="A882" s="3"/>
      <c r="B882" s="2"/>
      <c r="C882" s="2"/>
      <c r="D882" s="2"/>
      <c r="E882" s="464"/>
      <c r="F882" s="2"/>
      <c r="G882" s="2"/>
      <c r="H882" s="2"/>
      <c r="I882" s="2"/>
      <c r="J882" s="2"/>
      <c r="K882" s="2"/>
      <c r="L882" s="2"/>
      <c r="M882" s="2"/>
      <c r="N882" s="2"/>
      <c r="O882" s="2"/>
      <c r="P882" s="2"/>
      <c r="Q882" s="2"/>
      <c r="S882" s="3"/>
      <c r="T882" s="3"/>
      <c r="U882" s="3"/>
      <c r="V882" s="3"/>
      <c r="W882" s="3"/>
      <c r="X882" s="3"/>
      <c r="Y882" s="3"/>
      <c r="Z882" s="3"/>
    </row>
    <row r="883" ht="15.75" customHeight="1">
      <c r="A883" s="3"/>
      <c r="B883" s="2"/>
      <c r="C883" s="2"/>
      <c r="D883" s="2"/>
      <c r="E883" s="464"/>
      <c r="F883" s="2"/>
      <c r="G883" s="2"/>
      <c r="H883" s="2"/>
      <c r="I883" s="2"/>
      <c r="J883" s="2"/>
      <c r="K883" s="2"/>
      <c r="L883" s="2"/>
      <c r="M883" s="2"/>
      <c r="N883" s="2"/>
      <c r="O883" s="2"/>
      <c r="P883" s="2"/>
      <c r="Q883" s="2"/>
      <c r="S883" s="3"/>
      <c r="T883" s="3"/>
      <c r="U883" s="3"/>
      <c r="V883" s="3"/>
      <c r="W883" s="3"/>
      <c r="X883" s="3"/>
      <c r="Y883" s="3"/>
      <c r="Z883" s="3"/>
    </row>
    <row r="884" ht="15.75" customHeight="1">
      <c r="A884" s="3"/>
      <c r="B884" s="2"/>
      <c r="C884" s="2"/>
      <c r="D884" s="2"/>
      <c r="E884" s="464"/>
      <c r="F884" s="2"/>
      <c r="G884" s="2"/>
      <c r="H884" s="2"/>
      <c r="I884" s="2"/>
      <c r="J884" s="2"/>
      <c r="K884" s="2"/>
      <c r="L884" s="2"/>
      <c r="M884" s="2"/>
      <c r="N884" s="2"/>
      <c r="O884" s="2"/>
      <c r="P884" s="2"/>
      <c r="Q884" s="2"/>
      <c r="S884" s="3"/>
      <c r="T884" s="3"/>
      <c r="U884" s="3"/>
      <c r="V884" s="3"/>
      <c r="W884" s="3"/>
      <c r="X884" s="3"/>
      <c r="Y884" s="3"/>
      <c r="Z884" s="3"/>
    </row>
    <row r="885" ht="15.75" customHeight="1">
      <c r="A885" s="3"/>
      <c r="B885" s="2"/>
      <c r="C885" s="2"/>
      <c r="D885" s="2"/>
      <c r="E885" s="464"/>
      <c r="F885" s="2"/>
      <c r="G885" s="2"/>
      <c r="H885" s="2"/>
      <c r="I885" s="2"/>
      <c r="J885" s="2"/>
      <c r="K885" s="2"/>
      <c r="L885" s="2"/>
      <c r="M885" s="2"/>
      <c r="N885" s="2"/>
      <c r="O885" s="2"/>
      <c r="P885" s="2"/>
      <c r="Q885" s="2"/>
      <c r="S885" s="3"/>
      <c r="T885" s="3"/>
      <c r="U885" s="3"/>
      <c r="V885" s="3"/>
      <c r="W885" s="3"/>
      <c r="X885" s="3"/>
      <c r="Y885" s="3"/>
      <c r="Z885" s="3"/>
    </row>
    <row r="886" ht="15.75" customHeight="1">
      <c r="A886" s="3"/>
      <c r="B886" s="2"/>
      <c r="C886" s="2"/>
      <c r="D886" s="2"/>
      <c r="E886" s="464"/>
      <c r="F886" s="2"/>
      <c r="G886" s="2"/>
      <c r="H886" s="2"/>
      <c r="I886" s="2"/>
      <c r="J886" s="2"/>
      <c r="K886" s="2"/>
      <c r="L886" s="2"/>
      <c r="M886" s="2"/>
      <c r="N886" s="2"/>
      <c r="O886" s="2"/>
      <c r="P886" s="2"/>
      <c r="Q886" s="2"/>
      <c r="S886" s="3"/>
      <c r="T886" s="3"/>
      <c r="U886" s="3"/>
      <c r="V886" s="3"/>
      <c r="W886" s="3"/>
      <c r="X886" s="3"/>
      <c r="Y886" s="3"/>
      <c r="Z886" s="3"/>
    </row>
    <row r="887" ht="15.75" customHeight="1">
      <c r="A887" s="3"/>
      <c r="B887" s="2"/>
      <c r="C887" s="2"/>
      <c r="D887" s="2"/>
      <c r="E887" s="464"/>
      <c r="F887" s="2"/>
      <c r="G887" s="2"/>
      <c r="H887" s="2"/>
      <c r="I887" s="2"/>
      <c r="J887" s="2"/>
      <c r="K887" s="2"/>
      <c r="L887" s="2"/>
      <c r="M887" s="2"/>
      <c r="N887" s="2"/>
      <c r="O887" s="2"/>
      <c r="P887" s="2"/>
      <c r="Q887" s="2"/>
      <c r="S887" s="3"/>
      <c r="T887" s="3"/>
      <c r="U887" s="3"/>
      <c r="V887" s="3"/>
      <c r="W887" s="3"/>
      <c r="X887" s="3"/>
      <c r="Y887" s="3"/>
      <c r="Z887" s="3"/>
    </row>
    <row r="888" ht="15.75" customHeight="1">
      <c r="A888" s="3"/>
      <c r="B888" s="2"/>
      <c r="C888" s="2"/>
      <c r="D888" s="2"/>
      <c r="E888" s="464"/>
      <c r="F888" s="2"/>
      <c r="G888" s="2"/>
      <c r="H888" s="2"/>
      <c r="I888" s="2"/>
      <c r="J888" s="2"/>
      <c r="K888" s="2"/>
      <c r="L888" s="2"/>
      <c r="M888" s="2"/>
      <c r="N888" s="2"/>
      <c r="O888" s="2"/>
      <c r="P888" s="2"/>
      <c r="Q888" s="2"/>
      <c r="S888" s="3"/>
      <c r="T888" s="3"/>
      <c r="U888" s="3"/>
      <c r="V888" s="3"/>
      <c r="W888" s="3"/>
      <c r="X888" s="3"/>
      <c r="Y888" s="3"/>
      <c r="Z888" s="3"/>
    </row>
    <row r="889" ht="15.75" customHeight="1">
      <c r="A889" s="3"/>
      <c r="B889" s="2"/>
      <c r="C889" s="2"/>
      <c r="D889" s="2"/>
      <c r="E889" s="464"/>
      <c r="F889" s="2"/>
      <c r="G889" s="2"/>
      <c r="H889" s="2"/>
      <c r="I889" s="2"/>
      <c r="J889" s="2"/>
      <c r="K889" s="2"/>
      <c r="L889" s="2"/>
      <c r="M889" s="2"/>
      <c r="N889" s="2"/>
      <c r="O889" s="2"/>
      <c r="P889" s="2"/>
      <c r="Q889" s="2"/>
      <c r="S889" s="3"/>
      <c r="T889" s="3"/>
      <c r="U889" s="3"/>
      <c r="V889" s="3"/>
      <c r="W889" s="3"/>
      <c r="X889" s="3"/>
      <c r="Y889" s="3"/>
      <c r="Z889" s="3"/>
    </row>
    <row r="890" ht="15.75" customHeight="1">
      <c r="A890" s="3"/>
      <c r="B890" s="2"/>
      <c r="C890" s="2"/>
      <c r="D890" s="2"/>
      <c r="E890" s="464"/>
      <c r="F890" s="2"/>
      <c r="G890" s="2"/>
      <c r="H890" s="2"/>
      <c r="I890" s="2"/>
      <c r="J890" s="2"/>
      <c r="K890" s="2"/>
      <c r="L890" s="2"/>
      <c r="M890" s="2"/>
      <c r="N890" s="2"/>
      <c r="O890" s="2"/>
      <c r="P890" s="2"/>
      <c r="Q890" s="2"/>
      <c r="S890" s="3"/>
      <c r="T890" s="3"/>
      <c r="U890" s="3"/>
      <c r="V890" s="3"/>
      <c r="W890" s="3"/>
      <c r="X890" s="3"/>
      <c r="Y890" s="3"/>
      <c r="Z890" s="3"/>
    </row>
    <row r="891" ht="15.75" customHeight="1">
      <c r="A891" s="3"/>
      <c r="B891" s="2"/>
      <c r="C891" s="2"/>
      <c r="D891" s="2"/>
      <c r="E891" s="464"/>
      <c r="F891" s="2"/>
      <c r="G891" s="2"/>
      <c r="H891" s="2"/>
      <c r="I891" s="2"/>
      <c r="J891" s="2"/>
      <c r="K891" s="2"/>
      <c r="L891" s="2"/>
      <c r="M891" s="2"/>
      <c r="N891" s="2"/>
      <c r="O891" s="2"/>
      <c r="P891" s="2"/>
      <c r="Q891" s="2"/>
      <c r="S891" s="3"/>
      <c r="T891" s="3"/>
      <c r="U891" s="3"/>
      <c r="V891" s="3"/>
      <c r="W891" s="3"/>
      <c r="X891" s="3"/>
      <c r="Y891" s="3"/>
      <c r="Z891" s="3"/>
    </row>
    <row r="892" ht="15.75" customHeight="1">
      <c r="A892" s="3"/>
      <c r="B892" s="2"/>
      <c r="C892" s="2"/>
      <c r="D892" s="2"/>
      <c r="E892" s="464"/>
      <c r="F892" s="2"/>
      <c r="G892" s="2"/>
      <c r="H892" s="2"/>
      <c r="I892" s="2"/>
      <c r="J892" s="2"/>
      <c r="K892" s="2"/>
      <c r="L892" s="2"/>
      <c r="M892" s="2"/>
      <c r="N892" s="2"/>
      <c r="O892" s="2"/>
      <c r="P892" s="2"/>
      <c r="Q892" s="2"/>
      <c r="S892" s="3"/>
      <c r="T892" s="3"/>
      <c r="U892" s="3"/>
      <c r="V892" s="3"/>
      <c r="W892" s="3"/>
      <c r="X892" s="3"/>
      <c r="Y892" s="3"/>
      <c r="Z892" s="3"/>
    </row>
    <row r="893" ht="15.75" customHeight="1">
      <c r="A893" s="3"/>
      <c r="B893" s="2"/>
      <c r="C893" s="2"/>
      <c r="D893" s="2"/>
      <c r="E893" s="464"/>
      <c r="F893" s="2"/>
      <c r="G893" s="2"/>
      <c r="H893" s="2"/>
      <c r="I893" s="2"/>
      <c r="J893" s="2"/>
      <c r="K893" s="2"/>
      <c r="L893" s="2"/>
      <c r="M893" s="2"/>
      <c r="N893" s="2"/>
      <c r="O893" s="2"/>
      <c r="P893" s="2"/>
      <c r="Q893" s="2"/>
      <c r="S893" s="3"/>
      <c r="T893" s="3"/>
      <c r="U893" s="3"/>
      <c r="V893" s="3"/>
      <c r="W893" s="3"/>
      <c r="X893" s="3"/>
      <c r="Y893" s="3"/>
      <c r="Z893" s="3"/>
    </row>
    <row r="894" ht="15.75" customHeight="1">
      <c r="A894" s="3"/>
      <c r="B894" s="2"/>
      <c r="C894" s="2"/>
      <c r="D894" s="2"/>
      <c r="E894" s="464"/>
      <c r="F894" s="2"/>
      <c r="G894" s="2"/>
      <c r="H894" s="2"/>
      <c r="I894" s="2"/>
      <c r="J894" s="2"/>
      <c r="K894" s="2"/>
      <c r="L894" s="2"/>
      <c r="M894" s="2"/>
      <c r="N894" s="2"/>
      <c r="O894" s="2"/>
      <c r="P894" s="2"/>
      <c r="Q894" s="2"/>
      <c r="S894" s="3"/>
      <c r="T894" s="3"/>
      <c r="U894" s="3"/>
      <c r="V894" s="3"/>
      <c r="W894" s="3"/>
      <c r="X894" s="3"/>
      <c r="Y894" s="3"/>
      <c r="Z894" s="3"/>
    </row>
    <row r="895" ht="15.75" customHeight="1">
      <c r="A895" s="3"/>
      <c r="B895" s="2"/>
      <c r="C895" s="2"/>
      <c r="D895" s="2"/>
      <c r="E895" s="464"/>
      <c r="F895" s="2"/>
      <c r="G895" s="2"/>
      <c r="H895" s="2"/>
      <c r="I895" s="2"/>
      <c r="J895" s="2"/>
      <c r="K895" s="2"/>
      <c r="L895" s="2"/>
      <c r="M895" s="2"/>
      <c r="N895" s="2"/>
      <c r="O895" s="2"/>
      <c r="P895" s="2"/>
      <c r="Q895" s="2"/>
      <c r="S895" s="3"/>
      <c r="T895" s="3"/>
      <c r="U895" s="3"/>
      <c r="V895" s="3"/>
      <c r="W895" s="3"/>
      <c r="X895" s="3"/>
      <c r="Y895" s="3"/>
      <c r="Z895" s="3"/>
    </row>
    <row r="896" ht="15.75" customHeight="1">
      <c r="A896" s="3"/>
      <c r="B896" s="2"/>
      <c r="C896" s="2"/>
      <c r="D896" s="2"/>
      <c r="E896" s="464"/>
      <c r="F896" s="2"/>
      <c r="G896" s="2"/>
      <c r="H896" s="2"/>
      <c r="I896" s="2"/>
      <c r="J896" s="2"/>
      <c r="K896" s="2"/>
      <c r="L896" s="2"/>
      <c r="M896" s="2"/>
      <c r="N896" s="2"/>
      <c r="O896" s="2"/>
      <c r="P896" s="2"/>
      <c r="Q896" s="2"/>
      <c r="S896" s="3"/>
      <c r="T896" s="3"/>
      <c r="U896" s="3"/>
      <c r="V896" s="3"/>
      <c r="W896" s="3"/>
      <c r="X896" s="3"/>
      <c r="Y896" s="3"/>
      <c r="Z896" s="3"/>
    </row>
    <row r="897" ht="15.75" customHeight="1">
      <c r="A897" s="3"/>
      <c r="B897" s="2"/>
      <c r="C897" s="2"/>
      <c r="D897" s="2"/>
      <c r="E897" s="464"/>
      <c r="F897" s="2"/>
      <c r="G897" s="2"/>
      <c r="H897" s="2"/>
      <c r="I897" s="2"/>
      <c r="J897" s="2"/>
      <c r="K897" s="2"/>
      <c r="L897" s="2"/>
      <c r="M897" s="2"/>
      <c r="N897" s="2"/>
      <c r="O897" s="2"/>
      <c r="P897" s="2"/>
      <c r="Q897" s="2"/>
      <c r="S897" s="3"/>
      <c r="T897" s="3"/>
      <c r="U897" s="3"/>
      <c r="V897" s="3"/>
      <c r="W897" s="3"/>
      <c r="X897" s="3"/>
      <c r="Y897" s="3"/>
      <c r="Z897" s="3"/>
    </row>
    <row r="898" ht="15.75" customHeight="1">
      <c r="A898" s="3"/>
      <c r="B898" s="2"/>
      <c r="C898" s="2"/>
      <c r="D898" s="2"/>
      <c r="E898" s="464"/>
      <c r="F898" s="2"/>
      <c r="G898" s="2"/>
      <c r="H898" s="2"/>
      <c r="I898" s="2"/>
      <c r="J898" s="2"/>
      <c r="K898" s="2"/>
      <c r="L898" s="2"/>
      <c r="M898" s="2"/>
      <c r="N898" s="2"/>
      <c r="O898" s="2"/>
      <c r="P898" s="2"/>
      <c r="Q898" s="2"/>
      <c r="S898" s="3"/>
      <c r="T898" s="3"/>
      <c r="U898" s="3"/>
      <c r="V898" s="3"/>
      <c r="W898" s="3"/>
      <c r="X898" s="3"/>
      <c r="Y898" s="3"/>
      <c r="Z898" s="3"/>
    </row>
    <row r="899" ht="15.75" customHeight="1">
      <c r="A899" s="3"/>
      <c r="B899" s="2"/>
      <c r="C899" s="2"/>
      <c r="D899" s="2"/>
      <c r="E899" s="464"/>
      <c r="F899" s="2"/>
      <c r="G899" s="2"/>
      <c r="H899" s="2"/>
      <c r="I899" s="2"/>
      <c r="J899" s="2"/>
      <c r="K899" s="2"/>
      <c r="L899" s="2"/>
      <c r="M899" s="2"/>
      <c r="N899" s="2"/>
      <c r="O899" s="2"/>
      <c r="P899" s="2"/>
      <c r="Q899" s="2"/>
      <c r="S899" s="3"/>
      <c r="T899" s="3"/>
      <c r="U899" s="3"/>
      <c r="V899" s="3"/>
      <c r="W899" s="3"/>
      <c r="X899" s="3"/>
      <c r="Y899" s="3"/>
      <c r="Z899" s="3"/>
    </row>
    <row r="900" ht="15.75" customHeight="1">
      <c r="A900" s="3"/>
      <c r="B900" s="2"/>
      <c r="C900" s="2"/>
      <c r="D900" s="2"/>
      <c r="E900" s="464"/>
      <c r="F900" s="2"/>
      <c r="G900" s="2"/>
      <c r="H900" s="2"/>
      <c r="I900" s="2"/>
      <c r="J900" s="2"/>
      <c r="K900" s="2"/>
      <c r="L900" s="2"/>
      <c r="M900" s="2"/>
      <c r="N900" s="2"/>
      <c r="O900" s="2"/>
      <c r="P900" s="2"/>
      <c r="Q900" s="2"/>
      <c r="S900" s="3"/>
      <c r="T900" s="3"/>
      <c r="U900" s="3"/>
      <c r="V900" s="3"/>
      <c r="W900" s="3"/>
      <c r="X900" s="3"/>
      <c r="Y900" s="3"/>
      <c r="Z900" s="3"/>
    </row>
    <row r="901" ht="15.75" customHeight="1">
      <c r="A901" s="3"/>
      <c r="B901" s="2"/>
      <c r="C901" s="2"/>
      <c r="D901" s="2"/>
      <c r="E901" s="464"/>
      <c r="F901" s="2"/>
      <c r="G901" s="2"/>
      <c r="H901" s="2"/>
      <c r="I901" s="2"/>
      <c r="J901" s="2"/>
      <c r="K901" s="2"/>
      <c r="L901" s="2"/>
      <c r="M901" s="2"/>
      <c r="N901" s="2"/>
      <c r="O901" s="2"/>
      <c r="P901" s="2"/>
      <c r="Q901" s="2"/>
      <c r="S901" s="3"/>
      <c r="T901" s="3"/>
      <c r="U901" s="3"/>
      <c r="V901" s="3"/>
      <c r="W901" s="3"/>
      <c r="X901" s="3"/>
      <c r="Y901" s="3"/>
      <c r="Z901" s="3"/>
    </row>
    <row r="902" ht="15.75" customHeight="1">
      <c r="A902" s="3"/>
      <c r="B902" s="2"/>
      <c r="C902" s="2"/>
      <c r="D902" s="2"/>
      <c r="E902" s="464"/>
      <c r="F902" s="2"/>
      <c r="G902" s="2"/>
      <c r="H902" s="2"/>
      <c r="I902" s="2"/>
      <c r="J902" s="2"/>
      <c r="K902" s="2"/>
      <c r="L902" s="2"/>
      <c r="M902" s="2"/>
      <c r="N902" s="2"/>
      <c r="O902" s="2"/>
      <c r="P902" s="2"/>
      <c r="Q902" s="2"/>
      <c r="S902" s="3"/>
      <c r="T902" s="3"/>
      <c r="U902" s="3"/>
      <c r="V902" s="3"/>
      <c r="W902" s="3"/>
      <c r="X902" s="3"/>
      <c r="Y902" s="3"/>
      <c r="Z902" s="3"/>
    </row>
    <row r="903" ht="15.75" customHeight="1">
      <c r="A903" s="3"/>
      <c r="B903" s="2"/>
      <c r="C903" s="2"/>
      <c r="D903" s="2"/>
      <c r="E903" s="464"/>
      <c r="F903" s="2"/>
      <c r="G903" s="2"/>
      <c r="H903" s="2"/>
      <c r="I903" s="2"/>
      <c r="J903" s="2"/>
      <c r="K903" s="2"/>
      <c r="L903" s="2"/>
      <c r="M903" s="2"/>
      <c r="N903" s="2"/>
      <c r="O903" s="2"/>
      <c r="P903" s="2"/>
      <c r="Q903" s="2"/>
      <c r="S903" s="3"/>
      <c r="T903" s="3"/>
      <c r="U903" s="3"/>
      <c r="V903" s="3"/>
      <c r="W903" s="3"/>
      <c r="X903" s="3"/>
      <c r="Y903" s="3"/>
      <c r="Z903" s="3"/>
    </row>
    <row r="904" ht="15.75" customHeight="1">
      <c r="A904" s="3"/>
      <c r="B904" s="2"/>
      <c r="C904" s="2"/>
      <c r="D904" s="2"/>
      <c r="E904" s="464"/>
      <c r="F904" s="2"/>
      <c r="G904" s="2"/>
      <c r="H904" s="2"/>
      <c r="I904" s="2"/>
      <c r="J904" s="2"/>
      <c r="K904" s="2"/>
      <c r="L904" s="2"/>
      <c r="M904" s="2"/>
      <c r="N904" s="2"/>
      <c r="O904" s="2"/>
      <c r="P904" s="2"/>
      <c r="Q904" s="2"/>
      <c r="S904" s="3"/>
      <c r="T904" s="3"/>
      <c r="U904" s="3"/>
      <c r="V904" s="3"/>
      <c r="W904" s="3"/>
      <c r="X904" s="3"/>
      <c r="Y904" s="3"/>
      <c r="Z904" s="3"/>
    </row>
    <row r="905" ht="15.75" customHeight="1">
      <c r="A905" s="3"/>
      <c r="B905" s="2"/>
      <c r="C905" s="2"/>
      <c r="D905" s="2"/>
      <c r="E905" s="464"/>
      <c r="F905" s="2"/>
      <c r="G905" s="2"/>
      <c r="H905" s="2"/>
      <c r="I905" s="2"/>
      <c r="J905" s="2"/>
      <c r="K905" s="2"/>
      <c r="L905" s="2"/>
      <c r="M905" s="2"/>
      <c r="N905" s="2"/>
      <c r="O905" s="2"/>
      <c r="P905" s="2"/>
      <c r="Q905" s="2"/>
      <c r="S905" s="3"/>
      <c r="T905" s="3"/>
      <c r="U905" s="3"/>
      <c r="V905" s="3"/>
      <c r="W905" s="3"/>
      <c r="X905" s="3"/>
      <c r="Y905" s="3"/>
      <c r="Z905" s="3"/>
    </row>
    <row r="906" ht="15.75" customHeight="1">
      <c r="A906" s="3"/>
      <c r="B906" s="2"/>
      <c r="C906" s="2"/>
      <c r="D906" s="2"/>
      <c r="E906" s="464"/>
      <c r="F906" s="2"/>
      <c r="G906" s="2"/>
      <c r="H906" s="2"/>
      <c r="I906" s="2"/>
      <c r="J906" s="2"/>
      <c r="K906" s="2"/>
      <c r="L906" s="2"/>
      <c r="M906" s="2"/>
      <c r="N906" s="2"/>
      <c r="O906" s="2"/>
      <c r="P906" s="2"/>
      <c r="Q906" s="2"/>
      <c r="S906" s="3"/>
      <c r="T906" s="3"/>
      <c r="U906" s="3"/>
      <c r="V906" s="3"/>
      <c r="W906" s="3"/>
      <c r="X906" s="3"/>
      <c r="Y906" s="3"/>
      <c r="Z906" s="3"/>
    </row>
    <row r="907" ht="15.75" customHeight="1">
      <c r="A907" s="3"/>
      <c r="B907" s="2"/>
      <c r="C907" s="2"/>
      <c r="D907" s="2"/>
      <c r="E907" s="464"/>
      <c r="F907" s="2"/>
      <c r="G907" s="2"/>
      <c r="H907" s="2"/>
      <c r="I907" s="2"/>
      <c r="J907" s="2"/>
      <c r="K907" s="2"/>
      <c r="L907" s="2"/>
      <c r="M907" s="2"/>
      <c r="N907" s="2"/>
      <c r="O907" s="2"/>
      <c r="P907" s="2"/>
      <c r="Q907" s="2"/>
      <c r="S907" s="3"/>
      <c r="T907" s="3"/>
      <c r="U907" s="3"/>
      <c r="V907" s="3"/>
      <c r="W907" s="3"/>
      <c r="X907" s="3"/>
      <c r="Y907" s="3"/>
      <c r="Z907" s="3"/>
    </row>
    <row r="908" ht="15.75" customHeight="1">
      <c r="A908" s="3"/>
      <c r="B908" s="2"/>
      <c r="C908" s="2"/>
      <c r="D908" s="2"/>
      <c r="E908" s="464"/>
      <c r="F908" s="2"/>
      <c r="G908" s="2"/>
      <c r="H908" s="2"/>
      <c r="I908" s="2"/>
      <c r="J908" s="2"/>
      <c r="K908" s="2"/>
      <c r="L908" s="2"/>
      <c r="M908" s="2"/>
      <c r="N908" s="2"/>
      <c r="O908" s="2"/>
      <c r="P908" s="2"/>
      <c r="Q908" s="2"/>
      <c r="S908" s="3"/>
      <c r="T908" s="3"/>
      <c r="U908" s="3"/>
      <c r="V908" s="3"/>
      <c r="W908" s="3"/>
      <c r="X908" s="3"/>
      <c r="Y908" s="3"/>
      <c r="Z908" s="3"/>
    </row>
    <row r="909" ht="15.75" customHeight="1">
      <c r="A909" s="3"/>
      <c r="B909" s="2"/>
      <c r="C909" s="2"/>
      <c r="D909" s="2"/>
      <c r="E909" s="464"/>
      <c r="F909" s="2"/>
      <c r="G909" s="2"/>
      <c r="H909" s="2"/>
      <c r="I909" s="2"/>
      <c r="J909" s="2"/>
      <c r="K909" s="2"/>
      <c r="L909" s="2"/>
      <c r="M909" s="2"/>
      <c r="N909" s="2"/>
      <c r="O909" s="2"/>
      <c r="P909" s="2"/>
      <c r="Q909" s="2"/>
      <c r="S909" s="3"/>
      <c r="T909" s="3"/>
      <c r="U909" s="3"/>
      <c r="V909" s="3"/>
      <c r="W909" s="3"/>
      <c r="X909" s="3"/>
      <c r="Y909" s="3"/>
      <c r="Z909" s="3"/>
    </row>
    <row r="910" ht="15.75" customHeight="1">
      <c r="A910" s="3"/>
      <c r="B910" s="2"/>
      <c r="C910" s="2"/>
      <c r="D910" s="2"/>
      <c r="E910" s="464"/>
      <c r="F910" s="2"/>
      <c r="G910" s="2"/>
      <c r="H910" s="2"/>
      <c r="I910" s="2"/>
      <c r="J910" s="2"/>
      <c r="K910" s="2"/>
      <c r="L910" s="2"/>
      <c r="M910" s="2"/>
      <c r="N910" s="2"/>
      <c r="O910" s="2"/>
      <c r="P910" s="2"/>
      <c r="Q910" s="2"/>
      <c r="S910" s="3"/>
      <c r="T910" s="3"/>
      <c r="U910" s="3"/>
      <c r="V910" s="3"/>
      <c r="W910" s="3"/>
      <c r="X910" s="3"/>
      <c r="Y910" s="3"/>
      <c r="Z910" s="3"/>
    </row>
    <row r="911" ht="15.75" customHeight="1">
      <c r="A911" s="3"/>
      <c r="B911" s="2"/>
      <c r="C911" s="2"/>
      <c r="D911" s="2"/>
      <c r="E911" s="464"/>
      <c r="F911" s="2"/>
      <c r="G911" s="2"/>
      <c r="H911" s="2"/>
      <c r="I911" s="2"/>
      <c r="J911" s="2"/>
      <c r="K911" s="2"/>
      <c r="L911" s="2"/>
      <c r="M911" s="2"/>
      <c r="N911" s="2"/>
      <c r="O911" s="2"/>
      <c r="P911" s="2"/>
      <c r="Q911" s="2"/>
      <c r="S911" s="3"/>
      <c r="T911" s="3"/>
      <c r="U911" s="3"/>
      <c r="V911" s="3"/>
      <c r="W911" s="3"/>
      <c r="X911" s="3"/>
      <c r="Y911" s="3"/>
      <c r="Z911" s="3"/>
    </row>
    <row r="912" ht="15.75" customHeight="1">
      <c r="A912" s="3"/>
      <c r="B912" s="2"/>
      <c r="C912" s="2"/>
      <c r="D912" s="2"/>
      <c r="E912" s="464"/>
      <c r="F912" s="2"/>
      <c r="G912" s="2"/>
      <c r="H912" s="2"/>
      <c r="I912" s="2"/>
      <c r="J912" s="2"/>
      <c r="K912" s="2"/>
      <c r="L912" s="2"/>
      <c r="M912" s="2"/>
      <c r="N912" s="2"/>
      <c r="O912" s="2"/>
      <c r="P912" s="2"/>
      <c r="Q912" s="2"/>
      <c r="S912" s="3"/>
      <c r="T912" s="3"/>
      <c r="U912" s="3"/>
      <c r="V912" s="3"/>
      <c r="W912" s="3"/>
      <c r="X912" s="3"/>
      <c r="Y912" s="3"/>
      <c r="Z912" s="3"/>
    </row>
    <row r="913" ht="15.75" customHeight="1">
      <c r="A913" s="3"/>
      <c r="B913" s="2"/>
      <c r="C913" s="2"/>
      <c r="D913" s="2"/>
      <c r="E913" s="464"/>
      <c r="F913" s="2"/>
      <c r="G913" s="2"/>
      <c r="H913" s="2"/>
      <c r="I913" s="2"/>
      <c r="J913" s="2"/>
      <c r="K913" s="2"/>
      <c r="L913" s="2"/>
      <c r="M913" s="2"/>
      <c r="N913" s="2"/>
      <c r="O913" s="2"/>
      <c r="P913" s="2"/>
      <c r="Q913" s="2"/>
      <c r="S913" s="3"/>
      <c r="T913" s="3"/>
      <c r="U913" s="3"/>
      <c r="V913" s="3"/>
      <c r="W913" s="3"/>
      <c r="X913" s="3"/>
      <c r="Y913" s="3"/>
      <c r="Z913" s="3"/>
    </row>
    <row r="914" ht="15.75" customHeight="1">
      <c r="A914" s="3"/>
      <c r="B914" s="2"/>
      <c r="C914" s="2"/>
      <c r="D914" s="2"/>
      <c r="E914" s="464"/>
      <c r="F914" s="2"/>
      <c r="G914" s="2"/>
      <c r="H914" s="2"/>
      <c r="I914" s="2"/>
      <c r="J914" s="2"/>
      <c r="K914" s="2"/>
      <c r="L914" s="2"/>
      <c r="M914" s="2"/>
      <c r="N914" s="2"/>
      <c r="O914" s="2"/>
      <c r="P914" s="2"/>
      <c r="Q914" s="2"/>
      <c r="S914" s="3"/>
      <c r="T914" s="3"/>
      <c r="U914" s="3"/>
      <c r="V914" s="3"/>
      <c r="W914" s="3"/>
      <c r="X914" s="3"/>
      <c r="Y914" s="3"/>
      <c r="Z914" s="3"/>
    </row>
    <row r="915" ht="15.75" customHeight="1">
      <c r="A915" s="3"/>
      <c r="B915" s="2"/>
      <c r="C915" s="2"/>
      <c r="D915" s="2"/>
      <c r="E915" s="464"/>
      <c r="F915" s="2"/>
      <c r="G915" s="2"/>
      <c r="H915" s="2"/>
      <c r="I915" s="2"/>
      <c r="J915" s="2"/>
      <c r="K915" s="2"/>
      <c r="L915" s="2"/>
      <c r="M915" s="2"/>
      <c r="N915" s="2"/>
      <c r="O915" s="2"/>
      <c r="P915" s="2"/>
      <c r="Q915" s="2"/>
      <c r="S915" s="3"/>
      <c r="T915" s="3"/>
      <c r="U915" s="3"/>
      <c r="V915" s="3"/>
      <c r="W915" s="3"/>
      <c r="X915" s="3"/>
      <c r="Y915" s="3"/>
      <c r="Z915" s="3"/>
    </row>
    <row r="916" ht="15.75" customHeight="1">
      <c r="A916" s="3"/>
      <c r="B916" s="2"/>
      <c r="C916" s="2"/>
      <c r="D916" s="2"/>
      <c r="E916" s="464"/>
      <c r="F916" s="2"/>
      <c r="G916" s="2"/>
      <c r="H916" s="2"/>
      <c r="I916" s="2"/>
      <c r="J916" s="2"/>
      <c r="K916" s="2"/>
      <c r="L916" s="2"/>
      <c r="M916" s="2"/>
      <c r="N916" s="2"/>
      <c r="O916" s="2"/>
      <c r="P916" s="2"/>
      <c r="Q916" s="2"/>
      <c r="S916" s="3"/>
      <c r="T916" s="3"/>
      <c r="U916" s="3"/>
      <c r="V916" s="3"/>
      <c r="W916" s="3"/>
      <c r="X916" s="3"/>
      <c r="Y916" s="3"/>
      <c r="Z916" s="3"/>
    </row>
    <row r="917" ht="15.75" customHeight="1">
      <c r="A917" s="3"/>
      <c r="B917" s="2"/>
      <c r="C917" s="2"/>
      <c r="D917" s="2"/>
      <c r="E917" s="464"/>
      <c r="F917" s="2"/>
      <c r="G917" s="2"/>
      <c r="H917" s="2"/>
      <c r="I917" s="2"/>
      <c r="J917" s="2"/>
      <c r="K917" s="2"/>
      <c r="L917" s="2"/>
      <c r="M917" s="2"/>
      <c r="N917" s="2"/>
      <c r="O917" s="2"/>
      <c r="P917" s="2"/>
      <c r="Q917" s="2"/>
      <c r="S917" s="3"/>
      <c r="T917" s="3"/>
      <c r="U917" s="3"/>
      <c r="V917" s="3"/>
      <c r="W917" s="3"/>
      <c r="X917" s="3"/>
      <c r="Y917" s="3"/>
      <c r="Z917" s="3"/>
    </row>
    <row r="918" ht="15.75" customHeight="1">
      <c r="A918" s="3"/>
      <c r="B918" s="2"/>
      <c r="C918" s="2"/>
      <c r="D918" s="2"/>
      <c r="E918" s="464"/>
      <c r="F918" s="2"/>
      <c r="G918" s="2"/>
      <c r="H918" s="2"/>
      <c r="I918" s="2"/>
      <c r="J918" s="2"/>
      <c r="K918" s="2"/>
      <c r="L918" s="2"/>
      <c r="M918" s="2"/>
      <c r="N918" s="2"/>
      <c r="O918" s="2"/>
      <c r="P918" s="2"/>
      <c r="Q918" s="2"/>
      <c r="S918" s="3"/>
      <c r="T918" s="3"/>
      <c r="U918" s="3"/>
      <c r="V918" s="3"/>
      <c r="W918" s="3"/>
      <c r="X918" s="3"/>
      <c r="Y918" s="3"/>
      <c r="Z918" s="3"/>
    </row>
    <row r="919" ht="15.75" customHeight="1">
      <c r="A919" s="3"/>
      <c r="B919" s="2"/>
      <c r="C919" s="2"/>
      <c r="D919" s="2"/>
      <c r="E919" s="464"/>
      <c r="F919" s="2"/>
      <c r="G919" s="2"/>
      <c r="H919" s="2"/>
      <c r="I919" s="2"/>
      <c r="J919" s="2"/>
      <c r="K919" s="2"/>
      <c r="L919" s="2"/>
      <c r="M919" s="2"/>
      <c r="N919" s="2"/>
      <c r="O919" s="2"/>
      <c r="P919" s="2"/>
      <c r="Q919" s="2"/>
      <c r="S919" s="3"/>
      <c r="T919" s="3"/>
      <c r="U919" s="3"/>
      <c r="V919" s="3"/>
      <c r="W919" s="3"/>
      <c r="X919" s="3"/>
      <c r="Y919" s="3"/>
      <c r="Z919" s="3"/>
    </row>
    <row r="920" ht="15.75" customHeight="1">
      <c r="A920" s="3"/>
      <c r="B920" s="2"/>
      <c r="C920" s="2"/>
      <c r="D920" s="2"/>
      <c r="E920" s="464"/>
      <c r="F920" s="2"/>
      <c r="G920" s="2"/>
      <c r="H920" s="2"/>
      <c r="I920" s="2"/>
      <c r="J920" s="2"/>
      <c r="K920" s="2"/>
      <c r="L920" s="2"/>
      <c r="M920" s="2"/>
      <c r="N920" s="2"/>
      <c r="O920" s="2"/>
      <c r="P920" s="2"/>
      <c r="Q920" s="2"/>
      <c r="S920" s="3"/>
      <c r="T920" s="3"/>
      <c r="U920" s="3"/>
      <c r="V920" s="3"/>
      <c r="W920" s="3"/>
      <c r="X920" s="3"/>
      <c r="Y920" s="3"/>
      <c r="Z920" s="3"/>
    </row>
    <row r="921" ht="15.75" customHeight="1">
      <c r="A921" s="3"/>
      <c r="B921" s="2"/>
      <c r="C921" s="2"/>
      <c r="D921" s="2"/>
      <c r="E921" s="464"/>
      <c r="F921" s="2"/>
      <c r="G921" s="2"/>
      <c r="H921" s="2"/>
      <c r="I921" s="2"/>
      <c r="J921" s="2"/>
      <c r="K921" s="2"/>
      <c r="L921" s="2"/>
      <c r="M921" s="2"/>
      <c r="N921" s="2"/>
      <c r="O921" s="2"/>
      <c r="P921" s="2"/>
      <c r="Q921" s="2"/>
      <c r="S921" s="3"/>
      <c r="T921" s="3"/>
      <c r="U921" s="3"/>
      <c r="V921" s="3"/>
      <c r="W921" s="3"/>
      <c r="X921" s="3"/>
      <c r="Y921" s="3"/>
      <c r="Z921" s="3"/>
    </row>
    <row r="922" ht="15.75" customHeight="1">
      <c r="A922" s="3"/>
      <c r="B922" s="2"/>
      <c r="C922" s="2"/>
      <c r="D922" s="2"/>
      <c r="E922" s="464"/>
      <c r="F922" s="2"/>
      <c r="G922" s="2"/>
      <c r="H922" s="2"/>
      <c r="I922" s="2"/>
      <c r="J922" s="2"/>
      <c r="K922" s="2"/>
      <c r="L922" s="2"/>
      <c r="M922" s="2"/>
      <c r="N922" s="2"/>
      <c r="O922" s="2"/>
      <c r="P922" s="2"/>
      <c r="Q922" s="2"/>
      <c r="S922" s="3"/>
      <c r="T922" s="3"/>
      <c r="U922" s="3"/>
      <c r="V922" s="3"/>
      <c r="W922" s="3"/>
      <c r="X922" s="3"/>
      <c r="Y922" s="3"/>
      <c r="Z922" s="3"/>
    </row>
    <row r="923" ht="15.75" customHeight="1">
      <c r="A923" s="3"/>
      <c r="B923" s="2"/>
      <c r="C923" s="2"/>
      <c r="D923" s="2"/>
      <c r="E923" s="464"/>
      <c r="F923" s="2"/>
      <c r="G923" s="2"/>
      <c r="H923" s="2"/>
      <c r="I923" s="2"/>
      <c r="J923" s="2"/>
      <c r="K923" s="2"/>
      <c r="L923" s="2"/>
      <c r="M923" s="2"/>
      <c r="N923" s="2"/>
      <c r="O923" s="2"/>
      <c r="P923" s="2"/>
      <c r="Q923" s="2"/>
      <c r="S923" s="3"/>
      <c r="T923" s="3"/>
      <c r="U923" s="3"/>
      <c r="V923" s="3"/>
      <c r="W923" s="3"/>
      <c r="X923" s="3"/>
      <c r="Y923" s="3"/>
      <c r="Z923" s="3"/>
    </row>
    <row r="924" ht="15.75" customHeight="1">
      <c r="A924" s="3"/>
      <c r="B924" s="2"/>
      <c r="C924" s="2"/>
      <c r="D924" s="2"/>
      <c r="E924" s="464"/>
      <c r="F924" s="2"/>
      <c r="G924" s="2"/>
      <c r="H924" s="2"/>
      <c r="I924" s="2"/>
      <c r="J924" s="2"/>
      <c r="K924" s="2"/>
      <c r="L924" s="2"/>
      <c r="M924" s="2"/>
      <c r="N924" s="2"/>
      <c r="O924" s="2"/>
      <c r="P924" s="2"/>
      <c r="Q924" s="2"/>
      <c r="S924" s="3"/>
      <c r="T924" s="3"/>
      <c r="U924" s="3"/>
      <c r="V924" s="3"/>
      <c r="W924" s="3"/>
      <c r="X924" s="3"/>
      <c r="Y924" s="3"/>
      <c r="Z924" s="3"/>
    </row>
    <row r="925" ht="15.75" customHeight="1">
      <c r="A925" s="3"/>
      <c r="B925" s="2"/>
      <c r="C925" s="2"/>
      <c r="D925" s="2"/>
      <c r="E925" s="464"/>
      <c r="F925" s="2"/>
      <c r="G925" s="2"/>
      <c r="H925" s="2"/>
      <c r="I925" s="2"/>
      <c r="J925" s="2"/>
      <c r="K925" s="2"/>
      <c r="L925" s="2"/>
      <c r="M925" s="2"/>
      <c r="N925" s="2"/>
      <c r="O925" s="2"/>
      <c r="P925" s="2"/>
      <c r="Q925" s="2"/>
      <c r="S925" s="3"/>
      <c r="T925" s="3"/>
      <c r="U925" s="3"/>
      <c r="V925" s="3"/>
      <c r="W925" s="3"/>
      <c r="X925" s="3"/>
      <c r="Y925" s="3"/>
      <c r="Z925" s="3"/>
    </row>
    <row r="926" ht="15.75" customHeight="1">
      <c r="A926" s="3"/>
      <c r="B926" s="2"/>
      <c r="C926" s="2"/>
      <c r="D926" s="2"/>
      <c r="E926" s="464"/>
      <c r="F926" s="2"/>
      <c r="G926" s="2"/>
      <c r="H926" s="2"/>
      <c r="I926" s="2"/>
      <c r="J926" s="2"/>
      <c r="K926" s="2"/>
      <c r="L926" s="2"/>
      <c r="M926" s="2"/>
      <c r="N926" s="2"/>
      <c r="O926" s="2"/>
      <c r="P926" s="2"/>
      <c r="Q926" s="2"/>
      <c r="S926" s="3"/>
      <c r="T926" s="3"/>
      <c r="U926" s="3"/>
      <c r="V926" s="3"/>
      <c r="W926" s="3"/>
      <c r="X926" s="3"/>
      <c r="Y926" s="3"/>
      <c r="Z926" s="3"/>
    </row>
    <row r="927" ht="15.75" customHeight="1">
      <c r="A927" s="3"/>
      <c r="B927" s="2"/>
      <c r="C927" s="2"/>
      <c r="D927" s="2"/>
      <c r="E927" s="464"/>
      <c r="F927" s="2"/>
      <c r="G927" s="2"/>
      <c r="H927" s="2"/>
      <c r="I927" s="2"/>
      <c r="J927" s="2"/>
      <c r="K927" s="2"/>
      <c r="L927" s="2"/>
      <c r="M927" s="2"/>
      <c r="N927" s="2"/>
      <c r="O927" s="2"/>
      <c r="P927" s="2"/>
      <c r="Q927" s="2"/>
      <c r="S927" s="3"/>
      <c r="T927" s="3"/>
      <c r="U927" s="3"/>
      <c r="V927" s="3"/>
      <c r="W927" s="3"/>
      <c r="X927" s="3"/>
      <c r="Y927" s="3"/>
      <c r="Z927" s="3"/>
    </row>
    <row r="928" ht="15.75" customHeight="1">
      <c r="A928" s="3"/>
      <c r="B928" s="2"/>
      <c r="C928" s="2"/>
      <c r="D928" s="2"/>
      <c r="E928" s="464"/>
      <c r="F928" s="2"/>
      <c r="G928" s="2"/>
      <c r="H928" s="2"/>
      <c r="I928" s="2"/>
      <c r="J928" s="2"/>
      <c r="K928" s="2"/>
      <c r="L928" s="2"/>
      <c r="M928" s="2"/>
      <c r="N928" s="2"/>
      <c r="O928" s="2"/>
      <c r="P928" s="2"/>
      <c r="Q928" s="2"/>
      <c r="S928" s="3"/>
      <c r="T928" s="3"/>
      <c r="U928" s="3"/>
      <c r="V928" s="3"/>
      <c r="W928" s="3"/>
      <c r="X928" s="3"/>
      <c r="Y928" s="3"/>
      <c r="Z928" s="3"/>
    </row>
    <row r="929" ht="15.75" customHeight="1">
      <c r="A929" s="3"/>
      <c r="B929" s="2"/>
      <c r="C929" s="2"/>
      <c r="D929" s="2"/>
      <c r="E929" s="464"/>
      <c r="F929" s="2"/>
      <c r="G929" s="2"/>
      <c r="H929" s="2"/>
      <c r="I929" s="2"/>
      <c r="J929" s="2"/>
      <c r="K929" s="2"/>
      <c r="L929" s="2"/>
      <c r="M929" s="2"/>
      <c r="N929" s="2"/>
      <c r="O929" s="2"/>
      <c r="P929" s="2"/>
      <c r="Q929" s="2"/>
      <c r="S929" s="3"/>
      <c r="T929" s="3"/>
      <c r="U929" s="3"/>
      <c r="V929" s="3"/>
      <c r="W929" s="3"/>
      <c r="X929" s="3"/>
      <c r="Y929" s="3"/>
      <c r="Z929" s="3"/>
    </row>
    <row r="930" ht="15.75" customHeight="1">
      <c r="A930" s="3"/>
      <c r="B930" s="2"/>
      <c r="C930" s="2"/>
      <c r="D930" s="2"/>
      <c r="E930" s="464"/>
      <c r="F930" s="2"/>
      <c r="G930" s="2"/>
      <c r="H930" s="2"/>
      <c r="I930" s="2"/>
      <c r="J930" s="2"/>
      <c r="K930" s="2"/>
      <c r="L930" s="2"/>
      <c r="M930" s="2"/>
      <c r="N930" s="2"/>
      <c r="O930" s="2"/>
      <c r="P930" s="2"/>
      <c r="Q930" s="2"/>
      <c r="S930" s="3"/>
      <c r="T930" s="3"/>
      <c r="U930" s="3"/>
      <c r="V930" s="3"/>
      <c r="W930" s="3"/>
      <c r="X930" s="3"/>
      <c r="Y930" s="3"/>
      <c r="Z930" s="3"/>
    </row>
    <row r="931" ht="15.75" customHeight="1">
      <c r="A931" s="3"/>
      <c r="B931" s="2"/>
      <c r="C931" s="2"/>
      <c r="D931" s="2"/>
      <c r="E931" s="464"/>
      <c r="F931" s="2"/>
      <c r="G931" s="2"/>
      <c r="H931" s="2"/>
      <c r="I931" s="2"/>
      <c r="J931" s="2"/>
      <c r="K931" s="2"/>
      <c r="L931" s="2"/>
      <c r="M931" s="2"/>
      <c r="N931" s="2"/>
      <c r="O931" s="2"/>
      <c r="P931" s="2"/>
      <c r="Q931" s="2"/>
      <c r="S931" s="3"/>
      <c r="T931" s="3"/>
      <c r="U931" s="3"/>
      <c r="V931" s="3"/>
      <c r="W931" s="3"/>
      <c r="X931" s="3"/>
      <c r="Y931" s="3"/>
      <c r="Z931" s="3"/>
    </row>
    <row r="932" ht="15.75" customHeight="1">
      <c r="A932" s="3"/>
      <c r="B932" s="2"/>
      <c r="C932" s="2"/>
      <c r="D932" s="2"/>
      <c r="E932" s="464"/>
      <c r="F932" s="2"/>
      <c r="G932" s="2"/>
      <c r="H932" s="2"/>
      <c r="I932" s="2"/>
      <c r="J932" s="2"/>
      <c r="K932" s="2"/>
      <c r="L932" s="2"/>
      <c r="M932" s="2"/>
      <c r="N932" s="2"/>
      <c r="O932" s="2"/>
      <c r="P932" s="2"/>
      <c r="Q932" s="2"/>
      <c r="S932" s="3"/>
      <c r="T932" s="3"/>
      <c r="U932" s="3"/>
      <c r="V932" s="3"/>
      <c r="W932" s="3"/>
      <c r="X932" s="3"/>
      <c r="Y932" s="3"/>
      <c r="Z932" s="3"/>
    </row>
    <row r="933" ht="15.75" customHeight="1">
      <c r="A933" s="3"/>
      <c r="B933" s="2"/>
      <c r="C933" s="2"/>
      <c r="D933" s="2"/>
      <c r="E933" s="464"/>
      <c r="F933" s="2"/>
      <c r="G933" s="2"/>
      <c r="H933" s="2"/>
      <c r="I933" s="2"/>
      <c r="J933" s="2"/>
      <c r="K933" s="2"/>
      <c r="L933" s="2"/>
      <c r="M933" s="2"/>
      <c r="N933" s="2"/>
      <c r="O933" s="2"/>
      <c r="P933" s="2"/>
      <c r="Q933" s="2"/>
      <c r="S933" s="3"/>
      <c r="T933" s="3"/>
      <c r="U933" s="3"/>
      <c r="V933" s="3"/>
      <c r="W933" s="3"/>
      <c r="X933" s="3"/>
      <c r="Y933" s="3"/>
      <c r="Z933" s="3"/>
    </row>
    <row r="934" ht="15.75" customHeight="1">
      <c r="A934" s="3"/>
      <c r="B934" s="2"/>
      <c r="C934" s="2"/>
      <c r="D934" s="2"/>
      <c r="E934" s="464"/>
      <c r="F934" s="2"/>
      <c r="G934" s="2"/>
      <c r="H934" s="2"/>
      <c r="I934" s="2"/>
      <c r="J934" s="2"/>
      <c r="K934" s="2"/>
      <c r="L934" s="2"/>
      <c r="M934" s="2"/>
      <c r="N934" s="2"/>
      <c r="O934" s="2"/>
      <c r="P934" s="2"/>
      <c r="Q934" s="2"/>
      <c r="S934" s="3"/>
      <c r="T934" s="3"/>
      <c r="U934" s="3"/>
      <c r="V934" s="3"/>
      <c r="W934" s="3"/>
      <c r="X934" s="3"/>
      <c r="Y934" s="3"/>
      <c r="Z934" s="3"/>
    </row>
    <row r="935" ht="15.75" customHeight="1">
      <c r="A935" s="3"/>
      <c r="B935" s="2"/>
      <c r="C935" s="2"/>
      <c r="D935" s="2"/>
      <c r="E935" s="464"/>
      <c r="F935" s="2"/>
      <c r="G935" s="2"/>
      <c r="H935" s="2"/>
      <c r="I935" s="2"/>
      <c r="J935" s="2"/>
      <c r="K935" s="2"/>
      <c r="L935" s="2"/>
      <c r="M935" s="2"/>
      <c r="N935" s="2"/>
      <c r="O935" s="2"/>
      <c r="P935" s="2"/>
      <c r="Q935" s="2"/>
      <c r="S935" s="3"/>
      <c r="T935" s="3"/>
      <c r="U935" s="3"/>
      <c r="V935" s="3"/>
      <c r="W935" s="3"/>
      <c r="X935" s="3"/>
      <c r="Y935" s="3"/>
      <c r="Z935" s="3"/>
    </row>
    <row r="936" ht="15.75" customHeight="1">
      <c r="A936" s="3"/>
      <c r="B936" s="2"/>
      <c r="C936" s="2"/>
      <c r="D936" s="2"/>
      <c r="E936" s="464"/>
      <c r="F936" s="2"/>
      <c r="G936" s="2"/>
      <c r="H936" s="2"/>
      <c r="I936" s="2"/>
      <c r="J936" s="2"/>
      <c r="K936" s="2"/>
      <c r="L936" s="2"/>
      <c r="M936" s="2"/>
      <c r="N936" s="2"/>
      <c r="O936" s="2"/>
      <c r="P936" s="2"/>
      <c r="Q936" s="2"/>
      <c r="S936" s="3"/>
      <c r="T936" s="3"/>
      <c r="U936" s="3"/>
      <c r="V936" s="3"/>
      <c r="W936" s="3"/>
      <c r="X936" s="3"/>
      <c r="Y936" s="3"/>
      <c r="Z936" s="3"/>
    </row>
    <row r="937" ht="15.75" customHeight="1">
      <c r="A937" s="3"/>
      <c r="B937" s="2"/>
      <c r="C937" s="2"/>
      <c r="D937" s="2"/>
      <c r="E937" s="464"/>
      <c r="F937" s="2"/>
      <c r="G937" s="2"/>
      <c r="H937" s="2"/>
      <c r="I937" s="2"/>
      <c r="J937" s="2"/>
      <c r="K937" s="2"/>
      <c r="L937" s="2"/>
      <c r="M937" s="2"/>
      <c r="N937" s="2"/>
      <c r="O937" s="2"/>
      <c r="P937" s="2"/>
      <c r="Q937" s="2"/>
      <c r="S937" s="3"/>
      <c r="T937" s="3"/>
      <c r="U937" s="3"/>
      <c r="V937" s="3"/>
      <c r="W937" s="3"/>
      <c r="X937" s="3"/>
      <c r="Y937" s="3"/>
      <c r="Z937" s="3"/>
    </row>
    <row r="938" ht="15.75" customHeight="1">
      <c r="A938" s="3"/>
      <c r="B938" s="2"/>
      <c r="C938" s="2"/>
      <c r="D938" s="2"/>
      <c r="E938" s="464"/>
      <c r="F938" s="2"/>
      <c r="G938" s="2"/>
      <c r="H938" s="2"/>
      <c r="I938" s="2"/>
      <c r="J938" s="2"/>
      <c r="K938" s="2"/>
      <c r="L938" s="2"/>
      <c r="M938" s="2"/>
      <c r="N938" s="2"/>
      <c r="O938" s="2"/>
      <c r="P938" s="2"/>
      <c r="Q938" s="2"/>
      <c r="S938" s="3"/>
      <c r="T938" s="3"/>
      <c r="U938" s="3"/>
      <c r="V938" s="3"/>
      <c r="W938" s="3"/>
      <c r="X938" s="3"/>
      <c r="Y938" s="3"/>
      <c r="Z938" s="3"/>
    </row>
    <row r="939" ht="15.75" customHeight="1">
      <c r="A939" s="3"/>
      <c r="B939" s="2"/>
      <c r="C939" s="2"/>
      <c r="D939" s="2"/>
      <c r="E939" s="464"/>
      <c r="F939" s="2"/>
      <c r="G939" s="2"/>
      <c r="H939" s="2"/>
      <c r="I939" s="2"/>
      <c r="J939" s="2"/>
      <c r="K939" s="2"/>
      <c r="L939" s="2"/>
      <c r="M939" s="2"/>
      <c r="N939" s="2"/>
      <c r="O939" s="2"/>
      <c r="P939" s="2"/>
      <c r="Q939" s="2"/>
      <c r="S939" s="3"/>
      <c r="T939" s="3"/>
      <c r="U939" s="3"/>
      <c r="V939" s="3"/>
      <c r="W939" s="3"/>
      <c r="X939" s="3"/>
      <c r="Y939" s="3"/>
      <c r="Z939" s="3"/>
    </row>
    <row r="940" ht="15.75" customHeight="1">
      <c r="A940" s="3"/>
      <c r="B940" s="2"/>
      <c r="C940" s="2"/>
      <c r="D940" s="2"/>
      <c r="E940" s="464"/>
      <c r="F940" s="2"/>
      <c r="G940" s="2"/>
      <c r="H940" s="2"/>
      <c r="I940" s="2"/>
      <c r="J940" s="2"/>
      <c r="K940" s="2"/>
      <c r="L940" s="2"/>
      <c r="M940" s="2"/>
      <c r="N940" s="2"/>
      <c r="O940" s="2"/>
      <c r="P940" s="2"/>
      <c r="Q940" s="2"/>
      <c r="S940" s="3"/>
      <c r="T940" s="3"/>
      <c r="U940" s="3"/>
      <c r="V940" s="3"/>
      <c r="W940" s="3"/>
      <c r="X940" s="3"/>
      <c r="Y940" s="3"/>
      <c r="Z940" s="3"/>
    </row>
    <row r="941" ht="15.75" customHeight="1">
      <c r="A941" s="3"/>
      <c r="B941" s="2"/>
      <c r="C941" s="2"/>
      <c r="D941" s="2"/>
      <c r="E941" s="464"/>
      <c r="F941" s="2"/>
      <c r="G941" s="2"/>
      <c r="H941" s="2"/>
      <c r="I941" s="2"/>
      <c r="J941" s="2"/>
      <c r="K941" s="2"/>
      <c r="L941" s="2"/>
      <c r="M941" s="2"/>
      <c r="N941" s="2"/>
      <c r="O941" s="2"/>
      <c r="P941" s="2"/>
      <c r="Q941" s="2"/>
      <c r="S941" s="3"/>
      <c r="T941" s="3"/>
      <c r="U941" s="3"/>
      <c r="V941" s="3"/>
      <c r="W941" s="3"/>
      <c r="X941" s="3"/>
      <c r="Y941" s="3"/>
      <c r="Z941" s="3"/>
    </row>
    <row r="942" ht="15.75" customHeight="1">
      <c r="A942" s="3"/>
      <c r="B942" s="2"/>
      <c r="C942" s="2"/>
      <c r="D942" s="2"/>
      <c r="E942" s="464"/>
      <c r="F942" s="2"/>
      <c r="G942" s="2"/>
      <c r="H942" s="2"/>
      <c r="I942" s="2"/>
      <c r="J942" s="2"/>
      <c r="K942" s="2"/>
      <c r="L942" s="2"/>
      <c r="M942" s="2"/>
      <c r="N942" s="2"/>
      <c r="O942" s="2"/>
      <c r="P942" s="2"/>
      <c r="Q942" s="2"/>
      <c r="S942" s="3"/>
      <c r="T942" s="3"/>
      <c r="U942" s="3"/>
      <c r="V942" s="3"/>
      <c r="W942" s="3"/>
      <c r="X942" s="3"/>
      <c r="Y942" s="3"/>
      <c r="Z942" s="3"/>
    </row>
    <row r="943" ht="15.75" customHeight="1">
      <c r="A943" s="3"/>
      <c r="B943" s="2"/>
      <c r="C943" s="2"/>
      <c r="D943" s="2"/>
      <c r="E943" s="464"/>
      <c r="F943" s="2"/>
      <c r="G943" s="2"/>
      <c r="H943" s="2"/>
      <c r="I943" s="2"/>
      <c r="J943" s="2"/>
      <c r="K943" s="2"/>
      <c r="L943" s="2"/>
      <c r="M943" s="2"/>
      <c r="N943" s="2"/>
      <c r="O943" s="2"/>
      <c r="P943" s="2"/>
      <c r="Q943" s="2"/>
      <c r="S943" s="3"/>
      <c r="T943" s="3"/>
      <c r="U943" s="3"/>
      <c r="V943" s="3"/>
      <c r="W943" s="3"/>
      <c r="X943" s="3"/>
      <c r="Y943" s="3"/>
      <c r="Z943" s="3"/>
    </row>
    <row r="944" ht="15.75" customHeight="1">
      <c r="A944" s="3"/>
      <c r="B944" s="2"/>
      <c r="C944" s="2"/>
      <c r="D944" s="2"/>
      <c r="E944" s="464"/>
      <c r="F944" s="2"/>
      <c r="G944" s="2"/>
      <c r="H944" s="2"/>
      <c r="I944" s="2"/>
      <c r="J944" s="2"/>
      <c r="K944" s="2"/>
      <c r="L944" s="2"/>
      <c r="M944" s="2"/>
      <c r="N944" s="2"/>
      <c r="O944" s="2"/>
      <c r="P944" s="2"/>
      <c r="Q944" s="2"/>
      <c r="S944" s="3"/>
      <c r="T944" s="3"/>
      <c r="U944" s="3"/>
      <c r="V944" s="3"/>
      <c r="W944" s="3"/>
      <c r="X944" s="3"/>
      <c r="Y944" s="3"/>
      <c r="Z944" s="3"/>
    </row>
    <row r="945" ht="15.75" customHeight="1">
      <c r="A945" s="3"/>
      <c r="B945" s="2"/>
      <c r="C945" s="2"/>
      <c r="D945" s="2"/>
      <c r="E945" s="464"/>
      <c r="F945" s="2"/>
      <c r="G945" s="2"/>
      <c r="H945" s="2"/>
      <c r="I945" s="2"/>
      <c r="J945" s="2"/>
      <c r="K945" s="2"/>
      <c r="L945" s="2"/>
      <c r="M945" s="2"/>
      <c r="N945" s="2"/>
      <c r="O945" s="2"/>
      <c r="P945" s="2"/>
      <c r="Q945" s="2"/>
      <c r="S945" s="3"/>
      <c r="T945" s="3"/>
      <c r="U945" s="3"/>
      <c r="V945" s="3"/>
      <c r="W945" s="3"/>
      <c r="X945" s="3"/>
      <c r="Y945" s="3"/>
      <c r="Z945" s="3"/>
    </row>
    <row r="946" ht="15.75" customHeight="1">
      <c r="A946" s="3"/>
      <c r="B946" s="2"/>
      <c r="C946" s="2"/>
      <c r="D946" s="2"/>
      <c r="E946" s="464"/>
      <c r="F946" s="2"/>
      <c r="G946" s="2"/>
      <c r="H946" s="2"/>
      <c r="I946" s="2"/>
      <c r="J946" s="2"/>
      <c r="K946" s="2"/>
      <c r="L946" s="2"/>
      <c r="M946" s="2"/>
      <c r="N946" s="2"/>
      <c r="O946" s="2"/>
      <c r="P946" s="2"/>
      <c r="Q946" s="2"/>
      <c r="S946" s="3"/>
      <c r="T946" s="3"/>
      <c r="U946" s="3"/>
      <c r="V946" s="3"/>
      <c r="W946" s="3"/>
      <c r="X946" s="3"/>
      <c r="Y946" s="3"/>
      <c r="Z946" s="3"/>
    </row>
    <row r="947" ht="15.75" customHeight="1">
      <c r="A947" s="3"/>
      <c r="B947" s="2"/>
      <c r="C947" s="2"/>
      <c r="D947" s="2"/>
      <c r="E947" s="464"/>
      <c r="F947" s="2"/>
      <c r="G947" s="2"/>
      <c r="H947" s="2"/>
      <c r="I947" s="2"/>
      <c r="J947" s="2"/>
      <c r="K947" s="2"/>
      <c r="L947" s="2"/>
      <c r="M947" s="2"/>
      <c r="N947" s="2"/>
      <c r="O947" s="2"/>
      <c r="P947" s="2"/>
      <c r="Q947" s="2"/>
      <c r="S947" s="3"/>
      <c r="T947" s="3"/>
      <c r="U947" s="3"/>
      <c r="V947" s="3"/>
      <c r="W947" s="3"/>
      <c r="X947" s="3"/>
      <c r="Y947" s="3"/>
      <c r="Z947" s="3"/>
    </row>
    <row r="948" ht="15.75" customHeight="1">
      <c r="A948" s="3"/>
      <c r="B948" s="2"/>
      <c r="C948" s="2"/>
      <c r="D948" s="2"/>
      <c r="E948" s="464"/>
      <c r="F948" s="2"/>
      <c r="G948" s="2"/>
      <c r="H948" s="2"/>
      <c r="I948" s="2"/>
      <c r="J948" s="2"/>
      <c r="K948" s="2"/>
      <c r="L948" s="2"/>
      <c r="M948" s="2"/>
      <c r="N948" s="2"/>
      <c r="O948" s="2"/>
      <c r="P948" s="2"/>
      <c r="Q948" s="2"/>
      <c r="S948" s="3"/>
      <c r="T948" s="3"/>
      <c r="U948" s="3"/>
      <c r="V948" s="3"/>
      <c r="W948" s="3"/>
      <c r="X948" s="3"/>
      <c r="Y948" s="3"/>
      <c r="Z948" s="3"/>
    </row>
    <row r="949" ht="15.75" customHeight="1">
      <c r="A949" s="3"/>
      <c r="B949" s="2"/>
      <c r="C949" s="2"/>
      <c r="D949" s="2"/>
      <c r="E949" s="464"/>
      <c r="F949" s="2"/>
      <c r="G949" s="2"/>
      <c r="H949" s="2"/>
      <c r="I949" s="2"/>
      <c r="J949" s="2"/>
      <c r="K949" s="2"/>
      <c r="L949" s="2"/>
      <c r="M949" s="2"/>
      <c r="N949" s="2"/>
      <c r="O949" s="2"/>
      <c r="P949" s="2"/>
      <c r="Q949" s="2"/>
      <c r="S949" s="3"/>
      <c r="T949" s="3"/>
      <c r="U949" s="3"/>
      <c r="V949" s="3"/>
      <c r="W949" s="3"/>
      <c r="X949" s="3"/>
      <c r="Y949" s="3"/>
      <c r="Z949" s="3"/>
    </row>
    <row r="950" ht="15.75" customHeight="1">
      <c r="A950" s="3"/>
      <c r="B950" s="2"/>
      <c r="C950" s="2"/>
      <c r="D950" s="2"/>
      <c r="E950" s="464"/>
      <c r="F950" s="2"/>
      <c r="G950" s="2"/>
      <c r="H950" s="2"/>
      <c r="I950" s="2"/>
      <c r="J950" s="2"/>
      <c r="K950" s="2"/>
      <c r="L950" s="2"/>
      <c r="M950" s="2"/>
      <c r="N950" s="2"/>
      <c r="O950" s="2"/>
      <c r="P950" s="2"/>
      <c r="Q950" s="2"/>
      <c r="S950" s="3"/>
      <c r="T950" s="3"/>
      <c r="U950" s="3"/>
      <c r="V950" s="3"/>
      <c r="W950" s="3"/>
      <c r="X950" s="3"/>
      <c r="Y950" s="3"/>
      <c r="Z950" s="3"/>
    </row>
    <row r="951" ht="15.75" customHeight="1">
      <c r="A951" s="3"/>
      <c r="B951" s="2"/>
      <c r="C951" s="2"/>
      <c r="D951" s="2"/>
      <c r="E951" s="464"/>
      <c r="F951" s="2"/>
      <c r="G951" s="2"/>
      <c r="H951" s="2"/>
      <c r="I951" s="2"/>
      <c r="J951" s="2"/>
      <c r="K951" s="2"/>
      <c r="L951" s="2"/>
      <c r="M951" s="2"/>
      <c r="N951" s="2"/>
      <c r="O951" s="2"/>
      <c r="P951" s="2"/>
      <c r="Q951" s="2"/>
      <c r="S951" s="3"/>
      <c r="T951" s="3"/>
      <c r="U951" s="3"/>
      <c r="V951" s="3"/>
      <c r="W951" s="3"/>
      <c r="X951" s="3"/>
      <c r="Y951" s="3"/>
      <c r="Z951" s="3"/>
    </row>
    <row r="952" ht="15.75" customHeight="1">
      <c r="A952" s="3"/>
      <c r="B952" s="2"/>
      <c r="C952" s="2"/>
      <c r="D952" s="2"/>
      <c r="E952" s="464"/>
      <c r="F952" s="2"/>
      <c r="G952" s="2"/>
      <c r="H952" s="2"/>
      <c r="I952" s="2"/>
      <c r="J952" s="2"/>
      <c r="K952" s="2"/>
      <c r="L952" s="2"/>
      <c r="M952" s="2"/>
      <c r="N952" s="2"/>
      <c r="O952" s="2"/>
      <c r="P952" s="2"/>
      <c r="Q952" s="2"/>
      <c r="S952" s="3"/>
      <c r="T952" s="3"/>
      <c r="U952" s="3"/>
      <c r="V952" s="3"/>
      <c r="W952" s="3"/>
      <c r="X952" s="3"/>
      <c r="Y952" s="3"/>
      <c r="Z952" s="3"/>
    </row>
    <row r="953" ht="15.75" customHeight="1">
      <c r="A953" s="3"/>
      <c r="B953" s="2"/>
      <c r="C953" s="2"/>
      <c r="D953" s="2"/>
      <c r="E953" s="464"/>
      <c r="F953" s="2"/>
      <c r="G953" s="2"/>
      <c r="H953" s="2"/>
      <c r="I953" s="2"/>
      <c r="J953" s="2"/>
      <c r="K953" s="2"/>
      <c r="L953" s="2"/>
      <c r="M953" s="2"/>
      <c r="N953" s="2"/>
      <c r="O953" s="2"/>
      <c r="P953" s="2"/>
      <c r="Q953" s="2"/>
      <c r="S953" s="3"/>
      <c r="T953" s="3"/>
      <c r="U953" s="3"/>
      <c r="V953" s="3"/>
      <c r="W953" s="3"/>
      <c r="X953" s="3"/>
      <c r="Y953" s="3"/>
      <c r="Z953" s="3"/>
    </row>
    <row r="954" ht="15.75" customHeight="1">
      <c r="A954" s="3"/>
      <c r="B954" s="2"/>
      <c r="C954" s="2"/>
      <c r="D954" s="2"/>
      <c r="E954" s="464"/>
      <c r="F954" s="2"/>
      <c r="G954" s="2"/>
      <c r="H954" s="2"/>
      <c r="I954" s="2"/>
      <c r="J954" s="2"/>
      <c r="K954" s="2"/>
      <c r="L954" s="2"/>
      <c r="M954" s="2"/>
      <c r="N954" s="2"/>
      <c r="O954" s="2"/>
      <c r="P954" s="2"/>
      <c r="Q954" s="2"/>
      <c r="S954" s="3"/>
      <c r="T954" s="3"/>
      <c r="U954" s="3"/>
      <c r="V954" s="3"/>
      <c r="W954" s="3"/>
      <c r="X954" s="3"/>
      <c r="Y954" s="3"/>
      <c r="Z954" s="3"/>
    </row>
    <row r="955" ht="15.75" customHeight="1">
      <c r="A955" s="3"/>
      <c r="B955" s="2"/>
      <c r="C955" s="2"/>
      <c r="D955" s="2"/>
      <c r="E955" s="464"/>
      <c r="F955" s="2"/>
      <c r="G955" s="2"/>
      <c r="H955" s="2"/>
      <c r="I955" s="2"/>
      <c r="J955" s="2"/>
      <c r="K955" s="2"/>
      <c r="L955" s="2"/>
      <c r="M955" s="2"/>
      <c r="N955" s="2"/>
      <c r="O955" s="2"/>
      <c r="P955" s="2"/>
      <c r="Q955" s="2"/>
      <c r="S955" s="3"/>
      <c r="T955" s="3"/>
      <c r="U955" s="3"/>
      <c r="V955" s="3"/>
      <c r="W955" s="3"/>
      <c r="X955" s="3"/>
      <c r="Y955" s="3"/>
      <c r="Z955" s="3"/>
    </row>
    <row r="956" ht="15.75" customHeight="1">
      <c r="A956" s="3"/>
      <c r="B956" s="2"/>
      <c r="C956" s="2"/>
      <c r="D956" s="2"/>
      <c r="E956" s="464"/>
      <c r="F956" s="2"/>
      <c r="G956" s="2"/>
      <c r="H956" s="2"/>
      <c r="I956" s="2"/>
      <c r="J956" s="2"/>
      <c r="K956" s="2"/>
      <c r="L956" s="2"/>
      <c r="M956" s="2"/>
      <c r="N956" s="2"/>
      <c r="O956" s="2"/>
      <c r="P956" s="2"/>
      <c r="Q956" s="2"/>
      <c r="S956" s="3"/>
      <c r="T956" s="3"/>
      <c r="U956" s="3"/>
      <c r="V956" s="3"/>
      <c r="W956" s="3"/>
      <c r="X956" s="3"/>
      <c r="Y956" s="3"/>
      <c r="Z956" s="3"/>
    </row>
    <row r="957" ht="15.75" customHeight="1">
      <c r="A957" s="3"/>
      <c r="B957" s="2"/>
      <c r="C957" s="2"/>
      <c r="D957" s="2"/>
      <c r="E957" s="464"/>
      <c r="F957" s="2"/>
      <c r="G957" s="2"/>
      <c r="H957" s="2"/>
      <c r="I957" s="2"/>
      <c r="J957" s="2"/>
      <c r="K957" s="2"/>
      <c r="L957" s="2"/>
      <c r="M957" s="2"/>
      <c r="N957" s="2"/>
      <c r="O957" s="2"/>
      <c r="P957" s="2"/>
      <c r="Q957" s="2"/>
      <c r="S957" s="3"/>
      <c r="T957" s="3"/>
      <c r="U957" s="3"/>
      <c r="V957" s="3"/>
      <c r="W957" s="3"/>
      <c r="X957" s="3"/>
      <c r="Y957" s="3"/>
      <c r="Z957" s="3"/>
    </row>
    <row r="958" ht="15.75" customHeight="1">
      <c r="A958" s="3"/>
      <c r="B958" s="2"/>
      <c r="C958" s="2"/>
      <c r="D958" s="2"/>
      <c r="E958" s="464"/>
      <c r="F958" s="2"/>
      <c r="G958" s="2"/>
      <c r="H958" s="2"/>
      <c r="I958" s="2"/>
      <c r="J958" s="2"/>
      <c r="K958" s="2"/>
      <c r="L958" s="2"/>
      <c r="M958" s="2"/>
      <c r="N958" s="2"/>
      <c r="O958" s="2"/>
      <c r="P958" s="2"/>
      <c r="Q958" s="2"/>
      <c r="S958" s="3"/>
      <c r="T958" s="3"/>
      <c r="U958" s="3"/>
      <c r="V958" s="3"/>
      <c r="W958" s="3"/>
      <c r="X958" s="3"/>
      <c r="Y958" s="3"/>
      <c r="Z958" s="3"/>
    </row>
    <row r="959" ht="15.75" customHeight="1">
      <c r="A959" s="3"/>
      <c r="B959" s="2"/>
      <c r="C959" s="2"/>
      <c r="D959" s="2"/>
      <c r="E959" s="464"/>
      <c r="F959" s="2"/>
      <c r="G959" s="2"/>
      <c r="H959" s="2"/>
      <c r="I959" s="2"/>
      <c r="J959" s="2"/>
      <c r="K959" s="2"/>
      <c r="L959" s="2"/>
      <c r="M959" s="2"/>
      <c r="N959" s="2"/>
      <c r="O959" s="2"/>
      <c r="P959" s="2"/>
      <c r="Q959" s="2"/>
      <c r="S959" s="3"/>
      <c r="T959" s="3"/>
      <c r="U959" s="3"/>
      <c r="V959" s="3"/>
      <c r="W959" s="3"/>
      <c r="X959" s="3"/>
      <c r="Y959" s="3"/>
      <c r="Z959" s="3"/>
    </row>
    <row r="960" ht="15.75" customHeight="1">
      <c r="A960" s="3"/>
      <c r="B960" s="2"/>
      <c r="C960" s="2"/>
      <c r="D960" s="2"/>
      <c r="E960" s="464"/>
      <c r="F960" s="2"/>
      <c r="G960" s="2"/>
      <c r="H960" s="2"/>
      <c r="I960" s="2"/>
      <c r="J960" s="2"/>
      <c r="K960" s="2"/>
      <c r="L960" s="2"/>
      <c r="M960" s="2"/>
      <c r="N960" s="2"/>
      <c r="O960" s="2"/>
      <c r="P960" s="2"/>
      <c r="Q960" s="2"/>
      <c r="S960" s="3"/>
      <c r="T960" s="3"/>
      <c r="U960" s="3"/>
      <c r="V960" s="3"/>
      <c r="W960" s="3"/>
      <c r="X960" s="3"/>
      <c r="Y960" s="3"/>
      <c r="Z960" s="3"/>
    </row>
    <row r="961" ht="15.75" customHeight="1">
      <c r="A961" s="3"/>
      <c r="B961" s="2"/>
      <c r="C961" s="2"/>
      <c r="D961" s="2"/>
      <c r="E961" s="464"/>
      <c r="F961" s="2"/>
      <c r="G961" s="2"/>
      <c r="H961" s="2"/>
      <c r="I961" s="2"/>
      <c r="J961" s="2"/>
      <c r="K961" s="2"/>
      <c r="L961" s="2"/>
      <c r="M961" s="2"/>
      <c r="N961" s="2"/>
      <c r="O961" s="2"/>
      <c r="P961" s="2"/>
      <c r="Q961" s="2"/>
      <c r="S961" s="3"/>
      <c r="T961" s="3"/>
      <c r="U961" s="3"/>
      <c r="V961" s="3"/>
      <c r="W961" s="3"/>
      <c r="X961" s="3"/>
      <c r="Y961" s="3"/>
      <c r="Z961" s="3"/>
    </row>
    <row r="962" ht="15.75" customHeight="1">
      <c r="A962" s="3"/>
      <c r="B962" s="2"/>
      <c r="C962" s="2"/>
      <c r="D962" s="2"/>
      <c r="E962" s="464"/>
      <c r="F962" s="2"/>
      <c r="G962" s="2"/>
      <c r="H962" s="2"/>
      <c r="I962" s="2"/>
      <c r="J962" s="2"/>
      <c r="K962" s="2"/>
      <c r="L962" s="2"/>
      <c r="M962" s="2"/>
      <c r="N962" s="2"/>
      <c r="O962" s="2"/>
      <c r="P962" s="2"/>
      <c r="Q962" s="2"/>
      <c r="S962" s="3"/>
      <c r="T962" s="3"/>
      <c r="U962" s="3"/>
      <c r="V962" s="3"/>
      <c r="W962" s="3"/>
      <c r="X962" s="3"/>
      <c r="Y962" s="3"/>
      <c r="Z962" s="3"/>
    </row>
    <row r="963" ht="15.75" customHeight="1">
      <c r="A963" s="3"/>
      <c r="B963" s="2"/>
      <c r="C963" s="2"/>
      <c r="D963" s="2"/>
      <c r="E963" s="464"/>
      <c r="F963" s="2"/>
      <c r="G963" s="2"/>
      <c r="H963" s="2"/>
      <c r="I963" s="2"/>
      <c r="J963" s="2"/>
      <c r="K963" s="2"/>
      <c r="L963" s="2"/>
      <c r="M963" s="2"/>
      <c r="N963" s="2"/>
      <c r="O963" s="2"/>
      <c r="P963" s="2"/>
      <c r="Q963" s="2"/>
      <c r="S963" s="3"/>
      <c r="T963" s="3"/>
      <c r="U963" s="3"/>
      <c r="V963" s="3"/>
      <c r="W963" s="3"/>
      <c r="X963" s="3"/>
      <c r="Y963" s="3"/>
      <c r="Z963" s="3"/>
    </row>
    <row r="964" ht="15.75" customHeight="1">
      <c r="A964" s="3"/>
      <c r="B964" s="2"/>
      <c r="C964" s="2"/>
      <c r="D964" s="2"/>
      <c r="E964" s="464"/>
      <c r="F964" s="2"/>
      <c r="G964" s="2"/>
      <c r="H964" s="2"/>
      <c r="I964" s="2"/>
      <c r="J964" s="2"/>
      <c r="K964" s="2"/>
      <c r="L964" s="2"/>
      <c r="M964" s="2"/>
      <c r="N964" s="2"/>
      <c r="O964" s="2"/>
      <c r="P964" s="2"/>
      <c r="Q964" s="2"/>
      <c r="S964" s="3"/>
      <c r="T964" s="3"/>
      <c r="U964" s="3"/>
      <c r="V964" s="3"/>
      <c r="W964" s="3"/>
      <c r="X964" s="3"/>
      <c r="Y964" s="3"/>
      <c r="Z964" s="3"/>
    </row>
    <row r="965" ht="15.75" customHeight="1">
      <c r="A965" s="3"/>
      <c r="B965" s="2"/>
      <c r="C965" s="2"/>
      <c r="D965" s="2"/>
      <c r="E965" s="464"/>
      <c r="F965" s="2"/>
      <c r="G965" s="2"/>
      <c r="H965" s="2"/>
      <c r="I965" s="2"/>
      <c r="J965" s="2"/>
      <c r="K965" s="2"/>
      <c r="L965" s="2"/>
      <c r="M965" s="2"/>
      <c r="N965" s="2"/>
      <c r="O965" s="2"/>
      <c r="P965" s="2"/>
      <c r="Q965" s="2"/>
      <c r="S965" s="3"/>
      <c r="T965" s="3"/>
      <c r="U965" s="3"/>
      <c r="V965" s="3"/>
      <c r="W965" s="3"/>
      <c r="X965" s="3"/>
      <c r="Y965" s="3"/>
      <c r="Z965" s="3"/>
    </row>
    <row r="966" ht="15.75" customHeight="1">
      <c r="A966" s="3"/>
      <c r="B966" s="2"/>
      <c r="C966" s="2"/>
      <c r="D966" s="2"/>
      <c r="E966" s="464"/>
      <c r="F966" s="2"/>
      <c r="G966" s="2"/>
      <c r="H966" s="2"/>
      <c r="I966" s="2"/>
      <c r="J966" s="2"/>
      <c r="K966" s="2"/>
      <c r="L966" s="2"/>
      <c r="M966" s="2"/>
      <c r="N966" s="2"/>
      <c r="O966" s="2"/>
      <c r="P966" s="2"/>
      <c r="Q966" s="2"/>
      <c r="S966" s="3"/>
      <c r="T966" s="3"/>
      <c r="U966" s="3"/>
      <c r="V966" s="3"/>
      <c r="W966" s="3"/>
      <c r="X966" s="3"/>
      <c r="Y966" s="3"/>
      <c r="Z966" s="3"/>
    </row>
    <row r="967" ht="15.75" customHeight="1">
      <c r="A967" s="3"/>
      <c r="B967" s="2"/>
      <c r="C967" s="2"/>
      <c r="D967" s="2"/>
      <c r="E967" s="464"/>
      <c r="F967" s="2"/>
      <c r="G967" s="2"/>
      <c r="H967" s="2"/>
      <c r="I967" s="2"/>
      <c r="J967" s="2"/>
      <c r="K967" s="2"/>
      <c r="L967" s="2"/>
      <c r="M967" s="2"/>
      <c r="N967" s="2"/>
      <c r="O967" s="2"/>
      <c r="P967" s="2"/>
      <c r="Q967" s="2"/>
      <c r="S967" s="3"/>
      <c r="T967" s="3"/>
      <c r="U967" s="3"/>
      <c r="V967" s="3"/>
      <c r="W967" s="3"/>
      <c r="X967" s="3"/>
      <c r="Y967" s="3"/>
      <c r="Z967" s="3"/>
    </row>
    <row r="968" ht="15.75" customHeight="1">
      <c r="A968" s="3"/>
      <c r="B968" s="2"/>
      <c r="C968" s="2"/>
      <c r="D968" s="2"/>
      <c r="E968" s="464"/>
      <c r="F968" s="2"/>
      <c r="G968" s="2"/>
      <c r="H968" s="2"/>
      <c r="I968" s="2"/>
      <c r="J968" s="2"/>
      <c r="K968" s="2"/>
      <c r="L968" s="2"/>
      <c r="M968" s="2"/>
      <c r="N968" s="2"/>
      <c r="O968" s="2"/>
      <c r="P968" s="2"/>
      <c r="Q968" s="2"/>
      <c r="S968" s="3"/>
      <c r="T968" s="3"/>
      <c r="U968" s="3"/>
      <c r="V968" s="3"/>
      <c r="W968" s="3"/>
      <c r="X968" s="3"/>
      <c r="Y968" s="3"/>
      <c r="Z968" s="3"/>
    </row>
    <row r="969" ht="15.75" customHeight="1">
      <c r="A969" s="3"/>
      <c r="B969" s="2"/>
      <c r="C969" s="2"/>
      <c r="D969" s="2"/>
      <c r="E969" s="464"/>
      <c r="F969" s="2"/>
      <c r="G969" s="2"/>
      <c r="H969" s="2"/>
      <c r="I969" s="2"/>
      <c r="J969" s="2"/>
      <c r="K969" s="2"/>
      <c r="L969" s="2"/>
      <c r="M969" s="2"/>
      <c r="N969" s="2"/>
      <c r="O969" s="2"/>
      <c r="P969" s="2"/>
      <c r="Q969" s="2"/>
      <c r="S969" s="3"/>
      <c r="T969" s="3"/>
      <c r="U969" s="3"/>
      <c r="V969" s="3"/>
      <c r="W969" s="3"/>
      <c r="X969" s="3"/>
      <c r="Y969" s="3"/>
      <c r="Z969" s="3"/>
    </row>
    <row r="970" ht="15.75" customHeight="1">
      <c r="A970" s="3"/>
      <c r="B970" s="2"/>
      <c r="C970" s="2"/>
      <c r="D970" s="2"/>
      <c r="E970" s="464"/>
      <c r="F970" s="2"/>
      <c r="G970" s="2"/>
      <c r="H970" s="2"/>
      <c r="I970" s="2"/>
      <c r="J970" s="2"/>
      <c r="K970" s="2"/>
      <c r="L970" s="2"/>
      <c r="M970" s="2"/>
      <c r="N970" s="2"/>
      <c r="O970" s="2"/>
      <c r="P970" s="2"/>
      <c r="Q970" s="2"/>
      <c r="S970" s="3"/>
      <c r="T970" s="3"/>
      <c r="U970" s="3"/>
      <c r="V970" s="3"/>
      <c r="W970" s="3"/>
      <c r="X970" s="3"/>
      <c r="Y970" s="3"/>
      <c r="Z970" s="3"/>
    </row>
    <row r="971" ht="15.75" customHeight="1">
      <c r="A971" s="3"/>
      <c r="B971" s="2"/>
      <c r="C971" s="2"/>
      <c r="D971" s="2"/>
      <c r="E971" s="464"/>
      <c r="F971" s="2"/>
      <c r="G971" s="2"/>
      <c r="H971" s="2"/>
      <c r="I971" s="2"/>
      <c r="J971" s="2"/>
      <c r="K971" s="2"/>
      <c r="L971" s="2"/>
      <c r="M971" s="2"/>
      <c r="N971" s="2"/>
      <c r="O971" s="2"/>
      <c r="P971" s="2"/>
      <c r="Q971" s="2"/>
      <c r="S971" s="3"/>
      <c r="T971" s="3"/>
      <c r="U971" s="3"/>
      <c r="V971" s="3"/>
      <c r="W971" s="3"/>
      <c r="X971" s="3"/>
      <c r="Y971" s="3"/>
      <c r="Z971" s="3"/>
    </row>
    <row r="972" ht="15.75" customHeight="1">
      <c r="A972" s="3"/>
      <c r="B972" s="2"/>
      <c r="C972" s="2"/>
      <c r="D972" s="2"/>
      <c r="E972" s="464"/>
      <c r="F972" s="2"/>
      <c r="G972" s="2"/>
      <c r="H972" s="2"/>
      <c r="I972" s="2"/>
      <c r="J972" s="2"/>
      <c r="K972" s="2"/>
      <c r="L972" s="2"/>
      <c r="M972" s="2"/>
      <c r="N972" s="2"/>
      <c r="O972" s="2"/>
      <c r="P972" s="2"/>
      <c r="Q972" s="2"/>
      <c r="S972" s="3"/>
      <c r="T972" s="3"/>
      <c r="U972" s="3"/>
      <c r="V972" s="3"/>
      <c r="W972" s="3"/>
      <c r="X972" s="3"/>
      <c r="Y972" s="3"/>
      <c r="Z972" s="3"/>
    </row>
    <row r="973" ht="15.75" customHeight="1">
      <c r="A973" s="3"/>
      <c r="B973" s="2"/>
      <c r="C973" s="2"/>
      <c r="D973" s="2"/>
      <c r="E973" s="464"/>
      <c r="F973" s="2"/>
      <c r="G973" s="2"/>
      <c r="H973" s="2"/>
      <c r="I973" s="2"/>
      <c r="J973" s="2"/>
      <c r="K973" s="2"/>
      <c r="L973" s="2"/>
      <c r="M973" s="2"/>
      <c r="N973" s="2"/>
      <c r="O973" s="2"/>
      <c r="P973" s="2"/>
      <c r="Q973" s="2"/>
      <c r="S973" s="3"/>
      <c r="T973" s="3"/>
      <c r="U973" s="3"/>
      <c r="V973" s="3"/>
      <c r="W973" s="3"/>
      <c r="X973" s="3"/>
      <c r="Y973" s="3"/>
      <c r="Z973" s="3"/>
    </row>
    <row r="974" ht="15.75" customHeight="1">
      <c r="A974" s="3"/>
      <c r="B974" s="2"/>
      <c r="C974" s="2"/>
      <c r="D974" s="2"/>
      <c r="E974" s="464"/>
      <c r="F974" s="2"/>
      <c r="G974" s="2"/>
      <c r="H974" s="2"/>
      <c r="I974" s="2"/>
      <c r="J974" s="2"/>
      <c r="K974" s="2"/>
      <c r="L974" s="2"/>
      <c r="M974" s="2"/>
      <c r="N974" s="2"/>
      <c r="O974" s="2"/>
      <c r="P974" s="2"/>
      <c r="Q974" s="2"/>
      <c r="S974" s="3"/>
      <c r="T974" s="3"/>
      <c r="U974" s="3"/>
      <c r="V974" s="3"/>
      <c r="W974" s="3"/>
      <c r="X974" s="3"/>
      <c r="Y974" s="3"/>
      <c r="Z974" s="3"/>
    </row>
    <row r="975" ht="15.75" customHeight="1">
      <c r="A975" s="3"/>
      <c r="B975" s="2"/>
      <c r="C975" s="2"/>
      <c r="D975" s="2"/>
      <c r="E975" s="464"/>
      <c r="F975" s="2"/>
      <c r="G975" s="2"/>
      <c r="H975" s="2"/>
      <c r="I975" s="2"/>
      <c r="J975" s="2"/>
      <c r="K975" s="2"/>
      <c r="L975" s="2"/>
      <c r="M975" s="2"/>
      <c r="N975" s="2"/>
      <c r="O975" s="2"/>
      <c r="P975" s="2"/>
      <c r="Q975" s="2"/>
      <c r="S975" s="3"/>
      <c r="T975" s="3"/>
      <c r="U975" s="3"/>
      <c r="V975" s="3"/>
      <c r="W975" s="3"/>
      <c r="X975" s="3"/>
      <c r="Y975" s="3"/>
      <c r="Z975" s="3"/>
    </row>
    <row r="976" ht="15.75" customHeight="1">
      <c r="A976" s="3"/>
      <c r="B976" s="2"/>
      <c r="C976" s="2"/>
      <c r="D976" s="2"/>
      <c r="E976" s="464"/>
      <c r="F976" s="2"/>
      <c r="G976" s="2"/>
      <c r="H976" s="2"/>
      <c r="I976" s="2"/>
      <c r="J976" s="2"/>
      <c r="K976" s="2"/>
      <c r="L976" s="2"/>
      <c r="M976" s="2"/>
      <c r="N976" s="2"/>
      <c r="O976" s="2"/>
      <c r="P976" s="2"/>
      <c r="Q976" s="2"/>
      <c r="S976" s="3"/>
      <c r="T976" s="3"/>
      <c r="U976" s="3"/>
      <c r="V976" s="3"/>
      <c r="W976" s="3"/>
      <c r="X976" s="3"/>
      <c r="Y976" s="3"/>
      <c r="Z976" s="3"/>
    </row>
    <row r="977" ht="15.75" customHeight="1">
      <c r="A977" s="3"/>
      <c r="B977" s="2"/>
      <c r="C977" s="2"/>
      <c r="D977" s="2"/>
      <c r="E977" s="464"/>
      <c r="F977" s="2"/>
      <c r="G977" s="2"/>
      <c r="H977" s="2"/>
      <c r="I977" s="2"/>
      <c r="J977" s="2"/>
      <c r="K977" s="2"/>
      <c r="L977" s="2"/>
      <c r="M977" s="2"/>
      <c r="N977" s="2"/>
      <c r="O977" s="2"/>
      <c r="P977" s="2"/>
      <c r="Q977" s="2"/>
      <c r="S977" s="3"/>
      <c r="T977" s="3"/>
      <c r="U977" s="3"/>
      <c r="V977" s="3"/>
      <c r="W977" s="3"/>
      <c r="X977" s="3"/>
      <c r="Y977" s="3"/>
      <c r="Z977" s="3"/>
    </row>
    <row r="978" ht="15.75" customHeight="1">
      <c r="A978" s="3"/>
      <c r="B978" s="2"/>
      <c r="C978" s="2"/>
      <c r="D978" s="2"/>
      <c r="E978" s="464"/>
      <c r="F978" s="2"/>
      <c r="G978" s="2"/>
      <c r="H978" s="2"/>
      <c r="I978" s="2"/>
      <c r="J978" s="2"/>
      <c r="K978" s="2"/>
      <c r="L978" s="2"/>
      <c r="M978" s="2"/>
      <c r="N978" s="2"/>
      <c r="O978" s="2"/>
      <c r="P978" s="2"/>
      <c r="Q978" s="2"/>
      <c r="S978" s="3"/>
      <c r="T978" s="3"/>
      <c r="U978" s="3"/>
      <c r="V978" s="3"/>
      <c r="W978" s="3"/>
      <c r="X978" s="3"/>
      <c r="Y978" s="3"/>
      <c r="Z978" s="3"/>
    </row>
    <row r="979" ht="15.75" customHeight="1">
      <c r="A979" s="3"/>
      <c r="B979" s="2"/>
      <c r="C979" s="2"/>
      <c r="D979" s="2"/>
      <c r="E979" s="464"/>
      <c r="F979" s="2"/>
      <c r="G979" s="2"/>
      <c r="H979" s="2"/>
      <c r="I979" s="2"/>
      <c r="J979" s="2"/>
      <c r="K979" s="2"/>
      <c r="L979" s="2"/>
      <c r="M979" s="2"/>
      <c r="N979" s="2"/>
      <c r="O979" s="2"/>
      <c r="P979" s="2"/>
      <c r="Q979" s="2"/>
      <c r="S979" s="3"/>
      <c r="T979" s="3"/>
      <c r="U979" s="3"/>
      <c r="V979" s="3"/>
      <c r="W979" s="3"/>
      <c r="X979" s="3"/>
      <c r="Y979" s="3"/>
      <c r="Z979" s="3"/>
    </row>
    <row r="980" ht="15.75" customHeight="1">
      <c r="A980" s="3"/>
      <c r="B980" s="2"/>
      <c r="C980" s="2"/>
      <c r="D980" s="2"/>
      <c r="E980" s="464"/>
      <c r="F980" s="2"/>
      <c r="G980" s="2"/>
      <c r="H980" s="2"/>
      <c r="I980" s="2"/>
      <c r="J980" s="2"/>
      <c r="K980" s="2"/>
      <c r="L980" s="2"/>
      <c r="M980" s="2"/>
      <c r="N980" s="2"/>
      <c r="O980" s="2"/>
      <c r="P980" s="2"/>
      <c r="Q980" s="2"/>
      <c r="S980" s="3"/>
      <c r="T980" s="3"/>
      <c r="U980" s="3"/>
      <c r="V980" s="3"/>
      <c r="W980" s="3"/>
      <c r="X980" s="3"/>
      <c r="Y980" s="3"/>
      <c r="Z980" s="3"/>
    </row>
    <row r="981" ht="15.75" customHeight="1">
      <c r="A981" s="3"/>
      <c r="B981" s="2"/>
      <c r="C981" s="2"/>
      <c r="D981" s="2"/>
      <c r="E981" s="464"/>
      <c r="F981" s="2"/>
      <c r="G981" s="2"/>
      <c r="H981" s="2"/>
      <c r="I981" s="2"/>
      <c r="J981" s="2"/>
      <c r="K981" s="2"/>
      <c r="L981" s="2"/>
      <c r="M981" s="2"/>
      <c r="N981" s="2"/>
      <c r="O981" s="2"/>
      <c r="P981" s="2"/>
      <c r="Q981" s="2"/>
      <c r="S981" s="3"/>
      <c r="T981" s="3"/>
      <c r="U981" s="3"/>
      <c r="V981" s="3"/>
      <c r="W981" s="3"/>
      <c r="X981" s="3"/>
      <c r="Y981" s="3"/>
      <c r="Z981" s="3"/>
    </row>
    <row r="982" ht="15.75" customHeight="1">
      <c r="A982" s="3"/>
      <c r="B982" s="2"/>
      <c r="C982" s="2"/>
      <c r="D982" s="2"/>
      <c r="E982" s="464"/>
      <c r="F982" s="2"/>
      <c r="G982" s="2"/>
      <c r="H982" s="2"/>
      <c r="I982" s="2"/>
      <c r="J982" s="2"/>
      <c r="K982" s="2"/>
      <c r="L982" s="2"/>
      <c r="M982" s="2"/>
      <c r="N982" s="2"/>
      <c r="O982" s="2"/>
      <c r="P982" s="2"/>
      <c r="Q982" s="2"/>
      <c r="S982" s="3"/>
      <c r="T982" s="3"/>
      <c r="U982" s="3"/>
      <c r="V982" s="3"/>
      <c r="W982" s="3"/>
      <c r="X982" s="3"/>
      <c r="Y982" s="3"/>
      <c r="Z982" s="3"/>
    </row>
    <row r="983" ht="15.75" customHeight="1">
      <c r="A983" s="3"/>
      <c r="B983" s="2"/>
      <c r="C983" s="2"/>
      <c r="D983" s="2"/>
      <c r="E983" s="464"/>
      <c r="F983" s="2"/>
      <c r="G983" s="2"/>
      <c r="H983" s="2"/>
      <c r="I983" s="2"/>
      <c r="J983" s="2"/>
      <c r="K983" s="2"/>
      <c r="L983" s="2"/>
      <c r="M983" s="2"/>
      <c r="N983" s="2"/>
      <c r="O983" s="2"/>
      <c r="P983" s="2"/>
      <c r="Q983" s="2"/>
      <c r="S983" s="3"/>
      <c r="T983" s="3"/>
      <c r="U983" s="3"/>
      <c r="V983" s="3"/>
      <c r="W983" s="3"/>
      <c r="X983" s="3"/>
      <c r="Y983" s="3"/>
      <c r="Z983" s="3"/>
    </row>
    <row r="984" ht="15.75" customHeight="1">
      <c r="A984" s="3"/>
      <c r="B984" s="2"/>
      <c r="C984" s="2"/>
      <c r="D984" s="2"/>
      <c r="E984" s="464"/>
      <c r="F984" s="2"/>
      <c r="G984" s="2"/>
      <c r="H984" s="2"/>
      <c r="I984" s="2"/>
      <c r="J984" s="2"/>
      <c r="K984" s="2"/>
      <c r="L984" s="2"/>
      <c r="M984" s="2"/>
      <c r="N984" s="2"/>
      <c r="O984" s="2"/>
      <c r="P984" s="2"/>
      <c r="Q984" s="2"/>
      <c r="S984" s="3"/>
      <c r="T984" s="3"/>
      <c r="U984" s="3"/>
      <c r="V984" s="3"/>
      <c r="W984" s="3"/>
      <c r="X984" s="3"/>
      <c r="Y984" s="3"/>
      <c r="Z984" s="3"/>
    </row>
    <row r="985" ht="15.75" customHeight="1">
      <c r="A985" s="3"/>
      <c r="B985" s="2"/>
      <c r="C985" s="2"/>
      <c r="D985" s="2"/>
      <c r="E985" s="464"/>
      <c r="F985" s="2"/>
      <c r="G985" s="2"/>
      <c r="H985" s="2"/>
      <c r="I985" s="2"/>
      <c r="J985" s="2"/>
      <c r="K985" s="2"/>
      <c r="L985" s="2"/>
      <c r="M985" s="2"/>
      <c r="N985" s="2"/>
      <c r="O985" s="2"/>
      <c r="P985" s="2"/>
      <c r="Q985" s="2"/>
      <c r="S985" s="3"/>
      <c r="T985" s="3"/>
      <c r="U985" s="3"/>
      <c r="V985" s="3"/>
      <c r="W985" s="3"/>
      <c r="X985" s="3"/>
      <c r="Y985" s="3"/>
      <c r="Z985" s="3"/>
    </row>
    <row r="986" ht="15.75" customHeight="1">
      <c r="A986" s="3"/>
      <c r="B986" s="2"/>
      <c r="C986" s="2"/>
      <c r="D986" s="2"/>
      <c r="E986" s="464"/>
      <c r="F986" s="2"/>
      <c r="G986" s="2"/>
      <c r="H986" s="2"/>
      <c r="I986" s="2"/>
      <c r="J986" s="2"/>
      <c r="K986" s="2"/>
      <c r="L986" s="2"/>
      <c r="M986" s="2"/>
      <c r="N986" s="2"/>
      <c r="O986" s="2"/>
      <c r="P986" s="2"/>
      <c r="Q986" s="2"/>
      <c r="S986" s="3"/>
      <c r="T986" s="3"/>
      <c r="U986" s="3"/>
      <c r="V986" s="3"/>
      <c r="W986" s="3"/>
      <c r="X986" s="3"/>
      <c r="Y986" s="3"/>
      <c r="Z986" s="3"/>
    </row>
    <row r="987" ht="15.75" customHeight="1">
      <c r="A987" s="3"/>
      <c r="B987" s="2"/>
      <c r="C987" s="2"/>
      <c r="D987" s="2"/>
      <c r="E987" s="464"/>
      <c r="F987" s="2"/>
      <c r="G987" s="2"/>
      <c r="H987" s="2"/>
      <c r="I987" s="2"/>
      <c r="J987" s="2"/>
      <c r="K987" s="2"/>
      <c r="L987" s="2"/>
      <c r="M987" s="2"/>
      <c r="N987" s="2"/>
      <c r="O987" s="2"/>
      <c r="P987" s="2"/>
      <c r="Q987" s="2"/>
      <c r="S987" s="3"/>
      <c r="T987" s="3"/>
      <c r="U987" s="3"/>
      <c r="V987" s="3"/>
      <c r="W987" s="3"/>
      <c r="X987" s="3"/>
      <c r="Y987" s="3"/>
      <c r="Z987" s="3"/>
    </row>
    <row r="988" ht="15.75" customHeight="1">
      <c r="A988" s="3"/>
      <c r="B988" s="2"/>
      <c r="C988" s="2"/>
      <c r="D988" s="2"/>
      <c r="E988" s="464"/>
      <c r="F988" s="2"/>
      <c r="G988" s="2"/>
      <c r="H988" s="2"/>
      <c r="I988" s="2"/>
      <c r="J988" s="2"/>
      <c r="K988" s="2"/>
      <c r="L988" s="2"/>
      <c r="M988" s="2"/>
      <c r="N988" s="2"/>
      <c r="O988" s="2"/>
      <c r="P988" s="2"/>
      <c r="Q988" s="2"/>
      <c r="S988" s="3"/>
      <c r="T988" s="3"/>
      <c r="U988" s="3"/>
      <c r="V988" s="3"/>
      <c r="W988" s="3"/>
      <c r="X988" s="3"/>
      <c r="Y988" s="3"/>
      <c r="Z988" s="3"/>
    </row>
    <row r="989" ht="15.75" customHeight="1">
      <c r="A989" s="3"/>
      <c r="B989" s="2"/>
      <c r="C989" s="2"/>
      <c r="D989" s="2"/>
      <c r="E989" s="464"/>
      <c r="F989" s="2"/>
      <c r="G989" s="2"/>
      <c r="H989" s="2"/>
      <c r="I989" s="2"/>
      <c r="J989" s="2"/>
      <c r="K989" s="2"/>
      <c r="L989" s="2"/>
      <c r="M989" s="2"/>
      <c r="N989" s="2"/>
      <c r="O989" s="2"/>
      <c r="P989" s="2"/>
      <c r="Q989" s="2"/>
      <c r="S989" s="3"/>
      <c r="T989" s="3"/>
      <c r="U989" s="3"/>
      <c r="V989" s="3"/>
      <c r="W989" s="3"/>
      <c r="X989" s="3"/>
      <c r="Y989" s="3"/>
      <c r="Z989" s="3"/>
    </row>
    <row r="990" ht="15.75" customHeight="1">
      <c r="A990" s="3"/>
      <c r="B990" s="2"/>
      <c r="C990" s="2"/>
      <c r="D990" s="2"/>
      <c r="E990" s="464"/>
      <c r="F990" s="2"/>
      <c r="G990" s="2"/>
      <c r="H990" s="2"/>
      <c r="I990" s="2"/>
      <c r="J990" s="2"/>
      <c r="K990" s="2"/>
      <c r="L990" s="2"/>
      <c r="M990" s="2"/>
      <c r="N990" s="2"/>
      <c r="O990" s="2"/>
      <c r="P990" s="2"/>
      <c r="Q990" s="2"/>
      <c r="S990" s="3"/>
      <c r="T990" s="3"/>
      <c r="U990" s="3"/>
      <c r="V990" s="3"/>
      <c r="W990" s="3"/>
      <c r="X990" s="3"/>
      <c r="Y990" s="3"/>
      <c r="Z990" s="3"/>
    </row>
    <row r="991" ht="15.75" customHeight="1">
      <c r="A991" s="3"/>
      <c r="B991" s="2"/>
      <c r="C991" s="2"/>
      <c r="D991" s="2"/>
      <c r="E991" s="464"/>
      <c r="F991" s="2"/>
      <c r="G991" s="2"/>
      <c r="H991" s="2"/>
      <c r="I991" s="2"/>
      <c r="J991" s="2"/>
      <c r="K991" s="2"/>
      <c r="L991" s="2"/>
      <c r="M991" s="2"/>
      <c r="N991" s="2"/>
      <c r="O991" s="2"/>
      <c r="P991" s="2"/>
      <c r="Q991" s="2"/>
      <c r="S991" s="3"/>
      <c r="T991" s="3"/>
      <c r="U991" s="3"/>
      <c r="V991" s="3"/>
      <c r="W991" s="3"/>
      <c r="X991" s="3"/>
      <c r="Y991" s="3"/>
      <c r="Z991" s="3"/>
    </row>
    <row r="992" ht="15.75" customHeight="1">
      <c r="A992" s="3"/>
      <c r="B992" s="2"/>
      <c r="C992" s="2"/>
      <c r="D992" s="2"/>
      <c r="E992" s="464"/>
      <c r="F992" s="2"/>
      <c r="G992" s="2"/>
      <c r="H992" s="2"/>
      <c r="I992" s="2"/>
      <c r="J992" s="2"/>
      <c r="K992" s="2"/>
      <c r="L992" s="2"/>
      <c r="M992" s="2"/>
      <c r="N992" s="2"/>
      <c r="O992" s="2"/>
      <c r="P992" s="2"/>
      <c r="Q992" s="2"/>
      <c r="S992" s="3"/>
      <c r="T992" s="3"/>
      <c r="U992" s="3"/>
      <c r="V992" s="3"/>
      <c r="W992" s="3"/>
      <c r="X992" s="3"/>
      <c r="Y992" s="3"/>
      <c r="Z992" s="3"/>
    </row>
    <row r="993" ht="15.75" customHeight="1">
      <c r="A993" s="3"/>
      <c r="B993" s="2"/>
      <c r="C993" s="2"/>
      <c r="D993" s="2"/>
      <c r="E993" s="464"/>
      <c r="F993" s="2"/>
      <c r="G993" s="2"/>
      <c r="H993" s="2"/>
      <c r="I993" s="2"/>
      <c r="J993" s="2"/>
      <c r="K993" s="2"/>
      <c r="L993" s="2"/>
      <c r="M993" s="2"/>
      <c r="N993" s="2"/>
      <c r="O993" s="2"/>
      <c r="P993" s="2"/>
      <c r="Q993" s="2"/>
      <c r="S993" s="3"/>
      <c r="T993" s="3"/>
      <c r="U993" s="3"/>
      <c r="V993" s="3"/>
      <c r="W993" s="3"/>
      <c r="X993" s="3"/>
      <c r="Y993" s="3"/>
      <c r="Z993" s="3"/>
    </row>
    <row r="994" ht="15.75" customHeight="1">
      <c r="A994" s="3"/>
      <c r="B994" s="2"/>
      <c r="C994" s="2"/>
      <c r="D994" s="2"/>
      <c r="E994" s="464"/>
      <c r="F994" s="2"/>
      <c r="G994" s="2"/>
      <c r="H994" s="2"/>
      <c r="I994" s="2"/>
      <c r="J994" s="2"/>
      <c r="K994" s="2"/>
      <c r="L994" s="2"/>
      <c r="M994" s="2"/>
      <c r="N994" s="2"/>
      <c r="O994" s="2"/>
      <c r="P994" s="2"/>
      <c r="Q994" s="2"/>
      <c r="S994" s="3"/>
      <c r="T994" s="3"/>
      <c r="U994" s="3"/>
      <c r="V994" s="3"/>
      <c r="W994" s="3"/>
      <c r="X994" s="3"/>
      <c r="Y994" s="3"/>
      <c r="Z994" s="3"/>
    </row>
    <row r="995" ht="15.75" customHeight="1">
      <c r="A995" s="3"/>
      <c r="B995" s="2"/>
      <c r="C995" s="2"/>
      <c r="D995" s="2"/>
      <c r="E995" s="464"/>
      <c r="F995" s="2"/>
      <c r="G995" s="2"/>
      <c r="H995" s="2"/>
      <c r="I995" s="2"/>
      <c r="J995" s="2"/>
      <c r="K995" s="2"/>
      <c r="L995" s="2"/>
      <c r="M995" s="2"/>
      <c r="N995" s="2"/>
      <c r="O995" s="2"/>
      <c r="P995" s="2"/>
      <c r="Q995" s="2"/>
      <c r="S995" s="3"/>
      <c r="T995" s="3"/>
      <c r="U995" s="3"/>
      <c r="V995" s="3"/>
      <c r="W995" s="3"/>
      <c r="X995" s="3"/>
      <c r="Y995" s="3"/>
      <c r="Z995" s="3"/>
    </row>
    <row r="996" ht="15.75" customHeight="1">
      <c r="A996" s="3"/>
      <c r="B996" s="2"/>
      <c r="C996" s="2"/>
      <c r="D996" s="2"/>
      <c r="E996" s="464"/>
      <c r="F996" s="2"/>
      <c r="G996" s="2"/>
      <c r="H996" s="2"/>
      <c r="I996" s="2"/>
      <c r="J996" s="2"/>
      <c r="K996" s="2"/>
      <c r="L996" s="2"/>
      <c r="M996" s="2"/>
      <c r="N996" s="2"/>
      <c r="O996" s="2"/>
      <c r="P996" s="2"/>
      <c r="Q996" s="2"/>
      <c r="S996" s="3"/>
      <c r="T996" s="3"/>
      <c r="U996" s="3"/>
      <c r="V996" s="3"/>
      <c r="W996" s="3"/>
      <c r="X996" s="3"/>
      <c r="Y996" s="3"/>
      <c r="Z996" s="3"/>
    </row>
    <row r="997" ht="15.75" customHeight="1">
      <c r="A997" s="3"/>
      <c r="B997" s="2"/>
      <c r="C997" s="2"/>
      <c r="D997" s="2"/>
      <c r="E997" s="464"/>
      <c r="F997" s="2"/>
      <c r="G997" s="2"/>
      <c r="H997" s="2"/>
      <c r="I997" s="2"/>
      <c r="J997" s="2"/>
      <c r="K997" s="2"/>
      <c r="L997" s="2"/>
      <c r="M997" s="2"/>
      <c r="N997" s="2"/>
      <c r="O997" s="2"/>
      <c r="P997" s="2"/>
      <c r="Q997" s="2"/>
      <c r="S997" s="3"/>
      <c r="T997" s="3"/>
      <c r="U997" s="3"/>
      <c r="V997" s="3"/>
      <c r="W997" s="3"/>
      <c r="X997" s="3"/>
      <c r="Y997" s="3"/>
      <c r="Z997" s="3"/>
    </row>
    <row r="998" ht="15.75" customHeight="1">
      <c r="A998" s="3"/>
      <c r="B998" s="2"/>
      <c r="C998" s="2"/>
      <c r="D998" s="2"/>
      <c r="E998" s="464"/>
      <c r="F998" s="2"/>
      <c r="G998" s="2"/>
      <c r="H998" s="2"/>
      <c r="I998" s="2"/>
      <c r="J998" s="2"/>
      <c r="K998" s="2"/>
      <c r="L998" s="2"/>
      <c r="M998" s="2"/>
      <c r="N998" s="2"/>
      <c r="O998" s="2"/>
      <c r="P998" s="2"/>
      <c r="Q998" s="2"/>
      <c r="S998" s="3"/>
      <c r="T998" s="3"/>
      <c r="U998" s="3"/>
      <c r="V998" s="3"/>
      <c r="W998" s="3"/>
      <c r="X998" s="3"/>
      <c r="Y998" s="3"/>
      <c r="Z998" s="3"/>
    </row>
    <row r="999" ht="15.75" customHeight="1">
      <c r="A999" s="3"/>
      <c r="B999" s="2"/>
      <c r="C999" s="2"/>
      <c r="D999" s="2"/>
      <c r="E999" s="464"/>
      <c r="F999" s="2"/>
      <c r="G999" s="2"/>
      <c r="H999" s="2"/>
      <c r="I999" s="2"/>
      <c r="J999" s="2"/>
      <c r="K999" s="2"/>
      <c r="L999" s="2"/>
      <c r="M999" s="2"/>
      <c r="N999" s="2"/>
      <c r="O999" s="2"/>
      <c r="P999" s="2"/>
      <c r="Q999" s="2"/>
      <c r="S999" s="3"/>
      <c r="T999" s="3"/>
      <c r="U999" s="3"/>
      <c r="V999" s="3"/>
      <c r="W999" s="3"/>
      <c r="X999" s="3"/>
      <c r="Y999" s="3"/>
      <c r="Z999" s="3"/>
    </row>
    <row r="1000" ht="15.75" customHeight="1">
      <c r="A1000" s="3"/>
      <c r="B1000" s="2"/>
      <c r="C1000" s="2"/>
      <c r="D1000" s="2"/>
      <c r="E1000" s="464"/>
      <c r="F1000" s="2"/>
      <c r="G1000" s="2"/>
      <c r="H1000" s="2"/>
      <c r="I1000" s="2"/>
      <c r="J1000" s="2"/>
      <c r="K1000" s="2"/>
      <c r="L1000" s="2"/>
      <c r="M1000" s="2"/>
      <c r="N1000" s="2"/>
      <c r="O1000" s="2"/>
      <c r="P1000" s="2"/>
      <c r="Q1000" s="2"/>
      <c r="S1000" s="3"/>
      <c r="T1000" s="3"/>
      <c r="U1000" s="3"/>
      <c r="V1000" s="3"/>
      <c r="W1000" s="3"/>
      <c r="X1000" s="3"/>
      <c r="Y1000" s="3"/>
      <c r="Z1000" s="3"/>
    </row>
  </sheetData>
  <mergeCells count="23">
    <mergeCell ref="B1:Q1"/>
    <mergeCell ref="C2:R2"/>
    <mergeCell ref="K3:M3"/>
    <mergeCell ref="O3:Q3"/>
    <mergeCell ref="L4:M4"/>
    <mergeCell ref="B46:Q46"/>
    <mergeCell ref="B47:Q47"/>
    <mergeCell ref="B48:Q48"/>
    <mergeCell ref="C49:E49"/>
    <mergeCell ref="G49:H49"/>
    <mergeCell ref="I49:L49"/>
    <mergeCell ref="G50:H50"/>
    <mergeCell ref="K50:L50"/>
    <mergeCell ref="B51:C51"/>
    <mergeCell ref="J53:L53"/>
    <mergeCell ref="M53:Q53"/>
    <mergeCell ref="E51:F51"/>
    <mergeCell ref="C52:E52"/>
    <mergeCell ref="G52:H52"/>
    <mergeCell ref="I52:L52"/>
    <mergeCell ref="M52:Q52"/>
    <mergeCell ref="C53:E53"/>
    <mergeCell ref="G53:H53"/>
  </mergeCells>
  <printOptions/>
  <pageMargins bottom="0.7480314960629921" footer="0.0" header="0.0" left="0.7086614173228347" right="0.7086614173228347" top="0.7480314960629921"/>
  <pageSetup paperSize="5" scale="85"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13.0"/>
    <col customWidth="1" min="2" max="2" width="5.14"/>
    <col customWidth="1" min="3" max="3" width="20.14"/>
    <col customWidth="1" min="4" max="4" width="42.0"/>
    <col customWidth="1" min="5" max="5" width="65.43"/>
    <col customWidth="1" min="6" max="7" width="7.86"/>
    <col customWidth="1" min="8" max="8" width="8.43"/>
    <col customWidth="1" min="9" max="9" width="7.57"/>
    <col customWidth="1" min="10" max="10" width="9.0"/>
    <col customWidth="1" min="11" max="11" width="7.29"/>
    <col customWidth="1" min="12" max="12" width="23.43"/>
    <col customWidth="1" min="13" max="13" width="10.57"/>
    <col customWidth="1" min="14" max="14" width="16.71"/>
    <col customWidth="1" min="15" max="15" width="5.29"/>
    <col customWidth="1" min="16" max="16" width="12.57"/>
    <col customWidth="1" min="17" max="17" width="6.14"/>
    <col customWidth="1" min="18" max="38" width="8.71"/>
  </cols>
  <sheetData>
    <row r="1">
      <c r="A1" s="615"/>
      <c r="B1" s="465" t="s">
        <v>14157</v>
      </c>
      <c r="R1" s="61"/>
      <c r="S1" s="3"/>
      <c r="T1" s="3"/>
      <c r="U1" s="3"/>
      <c r="V1" s="3"/>
      <c r="W1" s="3"/>
      <c r="X1" s="3"/>
      <c r="Y1" s="3"/>
      <c r="Z1" s="3"/>
      <c r="AA1" s="3"/>
      <c r="AB1" s="3"/>
      <c r="AC1" s="3"/>
      <c r="AD1" s="3"/>
      <c r="AE1" s="3"/>
      <c r="AF1" s="3"/>
      <c r="AG1" s="3"/>
      <c r="AH1" s="3"/>
      <c r="AI1" s="3"/>
      <c r="AJ1" s="3"/>
      <c r="AK1" s="3"/>
      <c r="AL1" s="3"/>
    </row>
    <row r="2">
      <c r="A2" s="45"/>
      <c r="B2" s="321"/>
      <c r="C2" s="400" t="s">
        <v>15031</v>
      </c>
      <c r="D2" s="6"/>
      <c r="E2" s="6"/>
      <c r="F2" s="6"/>
      <c r="G2" s="6"/>
      <c r="H2" s="6"/>
      <c r="I2" s="6"/>
      <c r="J2" s="6"/>
      <c r="K2" s="6"/>
      <c r="L2" s="6"/>
      <c r="M2" s="6"/>
      <c r="N2" s="6"/>
      <c r="O2" s="6"/>
      <c r="P2" s="6"/>
      <c r="Q2" s="6"/>
      <c r="R2" s="7"/>
      <c r="S2" s="3"/>
      <c r="T2" s="3"/>
      <c r="U2" s="3"/>
      <c r="V2" s="3"/>
      <c r="W2" s="3"/>
      <c r="X2" s="3"/>
      <c r="Y2" s="3"/>
      <c r="Z2" s="3"/>
      <c r="AA2" s="3"/>
      <c r="AB2" s="3"/>
      <c r="AC2" s="3"/>
      <c r="AD2" s="3"/>
      <c r="AE2" s="3"/>
      <c r="AF2" s="3"/>
      <c r="AG2" s="3"/>
      <c r="AH2" s="3"/>
      <c r="AI2" s="3"/>
      <c r="AJ2" s="3"/>
      <c r="AK2" s="3"/>
      <c r="AL2" s="3"/>
    </row>
    <row r="3">
      <c r="A3" s="45"/>
      <c r="B3" s="321"/>
      <c r="C3" s="9"/>
      <c r="D3" s="9"/>
      <c r="E3" s="402"/>
      <c r="F3" s="403"/>
      <c r="G3" s="403"/>
      <c r="H3" s="403"/>
      <c r="I3" s="403"/>
      <c r="J3" s="9"/>
      <c r="K3" s="460"/>
      <c r="M3" s="13"/>
      <c r="N3" s="14" t="s">
        <v>3</v>
      </c>
      <c r="O3" s="404" t="s">
        <v>15472</v>
      </c>
      <c r="P3" s="16"/>
      <c r="Q3" s="17"/>
      <c r="R3" s="74"/>
      <c r="S3" s="3"/>
      <c r="T3" s="3"/>
      <c r="U3" s="3"/>
      <c r="V3" s="3"/>
      <c r="W3" s="3"/>
      <c r="X3" s="3"/>
      <c r="Y3" s="3"/>
      <c r="Z3" s="3"/>
      <c r="AA3" s="3"/>
      <c r="AB3" s="3"/>
      <c r="AC3" s="3"/>
      <c r="AD3" s="3"/>
      <c r="AE3" s="3"/>
      <c r="AF3" s="3"/>
      <c r="AG3" s="3"/>
      <c r="AH3" s="3"/>
      <c r="AI3" s="3"/>
      <c r="AJ3" s="3"/>
      <c r="AK3" s="3"/>
      <c r="AL3" s="3"/>
    </row>
    <row r="4">
      <c r="A4" s="45"/>
      <c r="B4" s="321"/>
      <c r="C4" s="9"/>
      <c r="D4" s="9"/>
      <c r="E4" s="402"/>
      <c r="F4" s="403"/>
      <c r="G4" s="403"/>
      <c r="H4" s="321"/>
      <c r="I4" s="403"/>
      <c r="J4" s="9"/>
      <c r="K4" s="403"/>
      <c r="L4" s="467"/>
      <c r="M4" s="407"/>
      <c r="N4" s="9"/>
      <c r="O4" s="403"/>
      <c r="P4" s="403"/>
      <c r="Q4" s="403"/>
      <c r="R4" s="550"/>
      <c r="S4" s="3"/>
      <c r="T4" s="3"/>
      <c r="U4" s="3"/>
      <c r="V4" s="3"/>
      <c r="W4" s="3"/>
      <c r="X4" s="3"/>
      <c r="Y4" s="3"/>
      <c r="Z4" s="3"/>
      <c r="AA4" s="3"/>
      <c r="AB4" s="3"/>
      <c r="AC4" s="3"/>
      <c r="AD4" s="3"/>
      <c r="AE4" s="3"/>
      <c r="AF4" s="3"/>
      <c r="AG4" s="3"/>
      <c r="AH4" s="3"/>
      <c r="AI4" s="3"/>
      <c r="AJ4" s="3"/>
      <c r="AK4" s="3"/>
      <c r="AL4" s="3"/>
    </row>
    <row r="5">
      <c r="A5" s="4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616" t="s">
        <v>15142</v>
      </c>
      <c r="S5" s="617" t="s">
        <v>15473</v>
      </c>
      <c r="T5" s="3"/>
      <c r="U5" s="3"/>
      <c r="V5" s="3"/>
      <c r="W5" s="3"/>
      <c r="X5" s="3"/>
      <c r="Y5" s="3"/>
      <c r="Z5" s="3"/>
      <c r="AA5" s="3"/>
      <c r="AB5" s="3"/>
      <c r="AC5" s="3"/>
      <c r="AD5" s="3"/>
      <c r="AE5" s="3"/>
      <c r="AF5" s="3"/>
      <c r="AG5" s="3"/>
      <c r="AH5" s="3"/>
      <c r="AI5" s="3"/>
      <c r="AJ5" s="3"/>
      <c r="AK5" s="3"/>
      <c r="AL5" s="3"/>
    </row>
    <row r="6">
      <c r="A6" s="45"/>
      <c r="B6" s="557">
        <v>1.0</v>
      </c>
      <c r="C6" s="618" t="s">
        <v>31</v>
      </c>
      <c r="D6" s="557" t="s">
        <v>15474</v>
      </c>
      <c r="E6" s="432" t="s">
        <v>15475</v>
      </c>
      <c r="F6" s="430"/>
      <c r="G6" s="430" t="s">
        <v>29</v>
      </c>
      <c r="H6" s="430" t="s">
        <v>38</v>
      </c>
      <c r="I6" s="430"/>
      <c r="J6" s="430" t="s">
        <v>38</v>
      </c>
      <c r="K6" s="430">
        <v>1266.0</v>
      </c>
      <c r="L6" s="430" t="s">
        <v>15430</v>
      </c>
      <c r="M6" s="557"/>
      <c r="N6" s="430" t="s">
        <v>15476</v>
      </c>
      <c r="O6" s="557">
        <v>1966.0</v>
      </c>
      <c r="P6" s="430" t="s">
        <v>388</v>
      </c>
      <c r="Q6" s="557">
        <v>1.0</v>
      </c>
      <c r="R6" s="619"/>
      <c r="S6" s="620"/>
      <c r="T6" s="3"/>
      <c r="U6" s="3"/>
      <c r="V6" s="3"/>
      <c r="W6" s="3"/>
      <c r="X6" s="3"/>
      <c r="Y6" s="3"/>
      <c r="Z6" s="3"/>
      <c r="AA6" s="3"/>
      <c r="AB6" s="3"/>
      <c r="AC6" s="3"/>
      <c r="AD6" s="3"/>
      <c r="AE6" s="3"/>
      <c r="AF6" s="3"/>
      <c r="AG6" s="3"/>
      <c r="AH6" s="3"/>
      <c r="AI6" s="3"/>
      <c r="AJ6" s="3"/>
      <c r="AK6" s="3"/>
      <c r="AL6" s="3"/>
    </row>
    <row r="7">
      <c r="A7" s="45"/>
      <c r="B7" s="557">
        <v>2.0</v>
      </c>
      <c r="C7" s="618" t="s">
        <v>31</v>
      </c>
      <c r="D7" s="557" t="s">
        <v>15477</v>
      </c>
      <c r="E7" s="432" t="s">
        <v>15478</v>
      </c>
      <c r="F7" s="430"/>
      <c r="G7" s="430" t="s">
        <v>29</v>
      </c>
      <c r="H7" s="430" t="s">
        <v>37</v>
      </c>
      <c r="I7" s="430"/>
      <c r="J7" s="430" t="s">
        <v>38</v>
      </c>
      <c r="K7" s="430">
        <v>240.0</v>
      </c>
      <c r="L7" s="557" t="s">
        <v>31</v>
      </c>
      <c r="M7" s="557"/>
      <c r="N7" s="430" t="s">
        <v>15479</v>
      </c>
      <c r="O7" s="557">
        <v>1964.0</v>
      </c>
      <c r="P7" s="430" t="s">
        <v>388</v>
      </c>
      <c r="Q7" s="557">
        <v>1.0</v>
      </c>
      <c r="R7" s="619"/>
      <c r="S7" s="620"/>
      <c r="T7" s="3"/>
      <c r="U7" s="3"/>
      <c r="V7" s="3"/>
      <c r="W7" s="3"/>
      <c r="X7" s="3"/>
      <c r="Y7" s="3"/>
      <c r="Z7" s="3"/>
      <c r="AA7" s="3"/>
      <c r="AB7" s="3"/>
      <c r="AC7" s="3"/>
      <c r="AD7" s="3"/>
      <c r="AE7" s="3"/>
      <c r="AF7" s="3"/>
      <c r="AG7" s="3"/>
      <c r="AH7" s="3"/>
      <c r="AI7" s="3"/>
      <c r="AJ7" s="3"/>
      <c r="AK7" s="3"/>
      <c r="AL7" s="3"/>
    </row>
    <row r="8">
      <c r="A8" s="45"/>
      <c r="B8" s="342">
        <v>3.0</v>
      </c>
      <c r="C8" s="449" t="s">
        <v>31</v>
      </c>
      <c r="D8" s="342" t="s">
        <v>15480</v>
      </c>
      <c r="E8" s="434" t="s">
        <v>15481</v>
      </c>
      <c r="F8" s="433"/>
      <c r="G8" s="433" t="s">
        <v>29</v>
      </c>
      <c r="H8" s="433" t="s">
        <v>37</v>
      </c>
      <c r="I8" s="433"/>
      <c r="J8" s="433" t="s">
        <v>38</v>
      </c>
      <c r="K8" s="433">
        <v>274.0</v>
      </c>
      <c r="L8" s="342" t="s">
        <v>31</v>
      </c>
      <c r="M8" s="342"/>
      <c r="N8" s="433" t="s">
        <v>15479</v>
      </c>
      <c r="O8" s="342">
        <v>1965.0</v>
      </c>
      <c r="P8" s="433" t="s">
        <v>388</v>
      </c>
      <c r="Q8" s="342">
        <v>1.0</v>
      </c>
      <c r="R8" s="619"/>
      <c r="S8" s="620"/>
      <c r="T8" s="3"/>
      <c r="U8" s="3"/>
      <c r="V8" s="3"/>
      <c r="W8" s="3"/>
      <c r="X8" s="3"/>
      <c r="Y8" s="3"/>
      <c r="Z8" s="3"/>
      <c r="AA8" s="3"/>
      <c r="AB8" s="3"/>
      <c r="AC8" s="3"/>
      <c r="AD8" s="3"/>
      <c r="AE8" s="3"/>
      <c r="AF8" s="3"/>
      <c r="AG8" s="3"/>
      <c r="AH8" s="3"/>
      <c r="AI8" s="3"/>
      <c r="AJ8" s="3"/>
      <c r="AK8" s="3"/>
      <c r="AL8" s="3"/>
    </row>
    <row r="9">
      <c r="A9" s="45"/>
      <c r="B9" s="557">
        <v>4.0</v>
      </c>
      <c r="C9" s="618" t="s">
        <v>15482</v>
      </c>
      <c r="D9" s="557" t="s">
        <v>15480</v>
      </c>
      <c r="E9" s="432" t="s">
        <v>15483</v>
      </c>
      <c r="F9" s="430" t="s">
        <v>2355</v>
      </c>
      <c r="G9" s="430" t="s">
        <v>29</v>
      </c>
      <c r="H9" s="430" t="s">
        <v>38</v>
      </c>
      <c r="I9" s="430"/>
      <c r="J9" s="430" t="s">
        <v>38</v>
      </c>
      <c r="K9" s="430">
        <v>1007.0</v>
      </c>
      <c r="L9" s="557" t="s">
        <v>31</v>
      </c>
      <c r="M9" s="557"/>
      <c r="N9" s="430" t="s">
        <v>14168</v>
      </c>
      <c r="O9" s="557">
        <v>1975.0</v>
      </c>
      <c r="P9" s="430" t="s">
        <v>388</v>
      </c>
      <c r="Q9" s="557">
        <v>1.0</v>
      </c>
      <c r="R9" s="619"/>
      <c r="S9" s="620"/>
      <c r="T9" s="3"/>
      <c r="U9" s="3"/>
      <c r="V9" s="3"/>
      <c r="W9" s="3"/>
      <c r="X9" s="3"/>
      <c r="Y9" s="3"/>
      <c r="Z9" s="3"/>
      <c r="AA9" s="3"/>
      <c r="AB9" s="3"/>
      <c r="AC9" s="3"/>
      <c r="AD9" s="3"/>
      <c r="AE9" s="3"/>
      <c r="AF9" s="3"/>
      <c r="AG9" s="3"/>
      <c r="AH9" s="3"/>
      <c r="AI9" s="3"/>
      <c r="AJ9" s="3"/>
      <c r="AK9" s="3"/>
      <c r="AL9" s="3"/>
    </row>
    <row r="10">
      <c r="A10" s="45"/>
      <c r="B10" s="342">
        <v>5.0</v>
      </c>
      <c r="C10" s="449" t="s">
        <v>15484</v>
      </c>
      <c r="D10" s="342" t="s">
        <v>31</v>
      </c>
      <c r="E10" s="434" t="s">
        <v>15485</v>
      </c>
      <c r="F10" s="433" t="s">
        <v>2355</v>
      </c>
      <c r="G10" s="433" t="s">
        <v>29</v>
      </c>
      <c r="H10" s="433" t="s">
        <v>38</v>
      </c>
      <c r="I10" s="433"/>
      <c r="J10" s="433" t="s">
        <v>38</v>
      </c>
      <c r="K10" s="433">
        <v>1041.0</v>
      </c>
      <c r="L10" s="342" t="s">
        <v>31</v>
      </c>
      <c r="M10" s="342"/>
      <c r="N10" s="433" t="s">
        <v>15476</v>
      </c>
      <c r="O10" s="342">
        <v>1977.0</v>
      </c>
      <c r="P10" s="433" t="s">
        <v>388</v>
      </c>
      <c r="Q10" s="342">
        <v>1.0</v>
      </c>
      <c r="R10" s="619"/>
      <c r="S10" s="620"/>
      <c r="T10" s="3"/>
      <c r="U10" s="3"/>
      <c r="V10" s="3"/>
      <c r="W10" s="3"/>
      <c r="X10" s="3"/>
      <c r="Y10" s="3"/>
      <c r="Z10" s="3"/>
      <c r="AA10" s="3"/>
      <c r="AB10" s="3"/>
      <c r="AC10" s="3"/>
      <c r="AD10" s="3"/>
      <c r="AE10" s="3"/>
      <c r="AF10" s="3"/>
      <c r="AG10" s="3"/>
      <c r="AH10" s="3"/>
      <c r="AI10" s="3"/>
      <c r="AJ10" s="3"/>
      <c r="AK10" s="3"/>
      <c r="AL10" s="3"/>
    </row>
    <row r="11">
      <c r="A11" s="45"/>
      <c r="B11" s="557">
        <v>6.0</v>
      </c>
      <c r="C11" s="618" t="s">
        <v>31</v>
      </c>
      <c r="D11" s="557" t="s">
        <v>15486</v>
      </c>
      <c r="E11" s="432" t="s">
        <v>15487</v>
      </c>
      <c r="F11" s="430" t="s">
        <v>2355</v>
      </c>
      <c r="G11" s="430" t="s">
        <v>29</v>
      </c>
      <c r="H11" s="430" t="s">
        <v>38</v>
      </c>
      <c r="I11" s="430"/>
      <c r="J11" s="430" t="s">
        <v>38</v>
      </c>
      <c r="K11" s="430">
        <v>336.0</v>
      </c>
      <c r="L11" s="557" t="s">
        <v>31</v>
      </c>
      <c r="M11" s="557"/>
      <c r="N11" s="430" t="s">
        <v>72</v>
      </c>
      <c r="O11" s="557">
        <v>1970.0</v>
      </c>
      <c r="P11" s="430" t="s">
        <v>388</v>
      </c>
      <c r="Q11" s="557">
        <v>2.0</v>
      </c>
      <c r="R11" s="619"/>
      <c r="S11" s="620"/>
      <c r="T11" s="3"/>
      <c r="U11" s="3"/>
      <c r="V11" s="3"/>
      <c r="W11" s="3"/>
      <c r="X11" s="3"/>
      <c r="Y11" s="3"/>
      <c r="Z11" s="3"/>
      <c r="AA11" s="3"/>
      <c r="AB11" s="3"/>
      <c r="AC11" s="3"/>
      <c r="AD11" s="3"/>
      <c r="AE11" s="3"/>
      <c r="AF11" s="3"/>
      <c r="AG11" s="3"/>
      <c r="AH11" s="3"/>
      <c r="AI11" s="3"/>
      <c r="AJ11" s="3"/>
      <c r="AK11" s="3"/>
      <c r="AL11" s="3"/>
    </row>
    <row r="12">
      <c r="A12" s="45"/>
      <c r="B12" s="557"/>
      <c r="C12" s="618" t="s">
        <v>31</v>
      </c>
      <c r="D12" s="557" t="s">
        <v>15488</v>
      </c>
      <c r="E12" s="432" t="s">
        <v>15487</v>
      </c>
      <c r="F12" s="430" t="s">
        <v>2355</v>
      </c>
      <c r="G12" s="430" t="s">
        <v>29</v>
      </c>
      <c r="H12" s="430" t="s">
        <v>38</v>
      </c>
      <c r="I12" s="430"/>
      <c r="J12" s="430" t="s">
        <v>38</v>
      </c>
      <c r="K12" s="430">
        <v>1511.0</v>
      </c>
      <c r="L12" s="557" t="s">
        <v>31</v>
      </c>
      <c r="M12" s="557"/>
      <c r="N12" s="430" t="s">
        <v>72</v>
      </c>
      <c r="O12" s="557">
        <v>1971.0</v>
      </c>
      <c r="P12" s="430" t="s">
        <v>388</v>
      </c>
      <c r="Q12" s="557">
        <v>1.0</v>
      </c>
      <c r="R12" s="619"/>
      <c r="S12" s="620"/>
      <c r="T12" s="3"/>
      <c r="U12" s="3"/>
      <c r="V12" s="3"/>
      <c r="W12" s="3"/>
      <c r="X12" s="3"/>
      <c r="Y12" s="3"/>
      <c r="Z12" s="3"/>
      <c r="AA12" s="3"/>
      <c r="AB12" s="3"/>
      <c r="AC12" s="3"/>
      <c r="AD12" s="3"/>
      <c r="AE12" s="3"/>
      <c r="AF12" s="3"/>
      <c r="AG12" s="3"/>
      <c r="AH12" s="3"/>
      <c r="AI12" s="3"/>
      <c r="AJ12" s="3"/>
      <c r="AK12" s="3"/>
      <c r="AL12" s="3"/>
    </row>
    <row r="13">
      <c r="A13" s="45"/>
      <c r="B13" s="557">
        <v>7.0</v>
      </c>
      <c r="C13" s="618" t="s">
        <v>31</v>
      </c>
      <c r="D13" s="557" t="s">
        <v>15489</v>
      </c>
      <c r="E13" s="432" t="s">
        <v>15490</v>
      </c>
      <c r="F13" s="430" t="s">
        <v>2355</v>
      </c>
      <c r="G13" s="430" t="s">
        <v>29</v>
      </c>
      <c r="H13" s="430" t="s">
        <v>37</v>
      </c>
      <c r="I13" s="430"/>
      <c r="J13" s="430" t="s">
        <v>38</v>
      </c>
      <c r="K13" s="430">
        <v>1806.0</v>
      </c>
      <c r="L13" s="430" t="s">
        <v>15430</v>
      </c>
      <c r="M13" s="557"/>
      <c r="N13" s="430" t="s">
        <v>15491</v>
      </c>
      <c r="O13" s="557">
        <v>1970.0</v>
      </c>
      <c r="P13" s="430" t="s">
        <v>388</v>
      </c>
      <c r="Q13" s="557">
        <v>1.0</v>
      </c>
      <c r="R13" s="619"/>
      <c r="S13" s="620"/>
      <c r="T13" s="3"/>
      <c r="U13" s="3"/>
      <c r="V13" s="3"/>
      <c r="W13" s="3"/>
      <c r="X13" s="3"/>
      <c r="Y13" s="3"/>
      <c r="Z13" s="3"/>
      <c r="AA13" s="3"/>
      <c r="AB13" s="3"/>
      <c r="AC13" s="3"/>
      <c r="AD13" s="3"/>
      <c r="AE13" s="3"/>
      <c r="AF13" s="3"/>
      <c r="AG13" s="3"/>
      <c r="AH13" s="3"/>
      <c r="AI13" s="3"/>
      <c r="AJ13" s="3"/>
      <c r="AK13" s="3"/>
      <c r="AL13" s="3"/>
    </row>
    <row r="14">
      <c r="A14" s="45"/>
      <c r="B14" s="557"/>
      <c r="C14" s="618" t="s">
        <v>31</v>
      </c>
      <c r="D14" s="557" t="s">
        <v>15489</v>
      </c>
      <c r="E14" s="432" t="s">
        <v>15492</v>
      </c>
      <c r="F14" s="430" t="s">
        <v>2355</v>
      </c>
      <c r="G14" s="430" t="s">
        <v>29</v>
      </c>
      <c r="H14" s="430" t="s">
        <v>37</v>
      </c>
      <c r="I14" s="430"/>
      <c r="J14" s="430" t="s">
        <v>38</v>
      </c>
      <c r="K14" s="430">
        <f>1347+1+401+57</f>
        <v>1806</v>
      </c>
      <c r="L14" s="430" t="s">
        <v>15430</v>
      </c>
      <c r="M14" s="557"/>
      <c r="N14" s="430" t="s">
        <v>15491</v>
      </c>
      <c r="O14" s="557">
        <v>1970.0</v>
      </c>
      <c r="P14" s="430" t="s">
        <v>388</v>
      </c>
      <c r="Q14" s="557">
        <v>1.0</v>
      </c>
      <c r="R14" s="619"/>
      <c r="S14" s="620"/>
      <c r="T14" s="3"/>
      <c r="U14" s="3"/>
      <c r="V14" s="3"/>
      <c r="W14" s="3"/>
      <c r="X14" s="3"/>
      <c r="Y14" s="3"/>
      <c r="Z14" s="3"/>
      <c r="AA14" s="3"/>
      <c r="AB14" s="3"/>
      <c r="AC14" s="3"/>
      <c r="AD14" s="3"/>
      <c r="AE14" s="3"/>
      <c r="AF14" s="3"/>
      <c r="AG14" s="3"/>
      <c r="AH14" s="3"/>
      <c r="AI14" s="3"/>
      <c r="AJ14" s="3"/>
      <c r="AK14" s="3"/>
      <c r="AL14" s="3"/>
    </row>
    <row r="15">
      <c r="A15" s="45"/>
      <c r="B15" s="557"/>
      <c r="C15" s="618" t="s">
        <v>31</v>
      </c>
      <c r="D15" s="557" t="s">
        <v>15493</v>
      </c>
      <c r="E15" s="432" t="s">
        <v>15494</v>
      </c>
      <c r="F15" s="430" t="s">
        <v>2355</v>
      </c>
      <c r="G15" s="430" t="s">
        <v>29</v>
      </c>
      <c r="H15" s="430" t="s">
        <v>38</v>
      </c>
      <c r="I15" s="430"/>
      <c r="J15" s="430" t="s">
        <v>38</v>
      </c>
      <c r="K15" s="430">
        <f>1035+16</f>
        <v>1051</v>
      </c>
      <c r="L15" s="430"/>
      <c r="M15" s="557"/>
      <c r="N15" s="430" t="s">
        <v>72</v>
      </c>
      <c r="O15" s="557">
        <v>1970.0</v>
      </c>
      <c r="P15" s="430" t="s">
        <v>388</v>
      </c>
      <c r="Q15" s="557">
        <v>1.0</v>
      </c>
      <c r="R15" s="619"/>
      <c r="S15" s="620"/>
      <c r="T15" s="3"/>
      <c r="U15" s="3"/>
      <c r="V15" s="3"/>
      <c r="W15" s="3"/>
      <c r="X15" s="3"/>
      <c r="Y15" s="3"/>
      <c r="Z15" s="3"/>
      <c r="AA15" s="3"/>
      <c r="AB15" s="3"/>
      <c r="AC15" s="3"/>
      <c r="AD15" s="3"/>
      <c r="AE15" s="3"/>
      <c r="AF15" s="3"/>
      <c r="AG15" s="3"/>
      <c r="AH15" s="3"/>
      <c r="AI15" s="3"/>
      <c r="AJ15" s="3"/>
      <c r="AK15" s="3"/>
      <c r="AL15" s="3"/>
    </row>
    <row r="16">
      <c r="A16" s="45"/>
      <c r="B16" s="342">
        <v>8.0</v>
      </c>
      <c r="C16" s="449" t="s">
        <v>31</v>
      </c>
      <c r="D16" s="433" t="s">
        <v>15495</v>
      </c>
      <c r="E16" s="434" t="s">
        <v>15496</v>
      </c>
      <c r="F16" s="433" t="s">
        <v>2355</v>
      </c>
      <c r="G16" s="433" t="s">
        <v>29</v>
      </c>
      <c r="H16" s="433" t="s">
        <v>37</v>
      </c>
      <c r="I16" s="433"/>
      <c r="J16" s="433" t="s">
        <v>38</v>
      </c>
      <c r="K16" s="433">
        <v>439.0</v>
      </c>
      <c r="L16" s="433" t="s">
        <v>15497</v>
      </c>
      <c r="M16" s="342"/>
      <c r="N16" s="433" t="s">
        <v>15479</v>
      </c>
      <c r="O16" s="342">
        <v>1980.0</v>
      </c>
      <c r="P16" s="433" t="s">
        <v>388</v>
      </c>
      <c r="Q16" s="342">
        <v>1.0</v>
      </c>
      <c r="R16" s="619"/>
      <c r="S16" s="620"/>
      <c r="T16" s="3"/>
      <c r="U16" s="3"/>
      <c r="V16" s="3"/>
      <c r="W16" s="3"/>
      <c r="X16" s="3"/>
      <c r="Y16" s="3"/>
      <c r="Z16" s="3"/>
      <c r="AA16" s="3"/>
      <c r="AB16" s="3"/>
      <c r="AC16" s="3"/>
      <c r="AD16" s="3"/>
      <c r="AE16" s="3"/>
      <c r="AF16" s="3"/>
      <c r="AG16" s="3"/>
      <c r="AH16" s="3"/>
      <c r="AI16" s="3"/>
      <c r="AJ16" s="3"/>
      <c r="AK16" s="3"/>
      <c r="AL16" s="3"/>
    </row>
    <row r="17">
      <c r="A17" s="45"/>
      <c r="B17" s="342">
        <v>9.0</v>
      </c>
      <c r="C17" s="449" t="s">
        <v>15498</v>
      </c>
      <c r="D17" s="433" t="s">
        <v>15499</v>
      </c>
      <c r="E17" s="434" t="s">
        <v>15500</v>
      </c>
      <c r="F17" s="433" t="s">
        <v>2355</v>
      </c>
      <c r="G17" s="433" t="s">
        <v>29</v>
      </c>
      <c r="H17" s="433" t="s">
        <v>38</v>
      </c>
      <c r="I17" s="433"/>
      <c r="J17" s="433" t="s">
        <v>166</v>
      </c>
      <c r="K17" s="433">
        <v>1264.0</v>
      </c>
      <c r="L17" s="621" t="s">
        <v>31</v>
      </c>
      <c r="M17" s="342"/>
      <c r="N17" s="433" t="s">
        <v>8068</v>
      </c>
      <c r="O17" s="342">
        <v>1993.0</v>
      </c>
      <c r="P17" s="433" t="s">
        <v>388</v>
      </c>
      <c r="Q17" s="342">
        <v>3.0</v>
      </c>
      <c r="R17" s="619"/>
      <c r="S17" s="620"/>
      <c r="T17" s="3"/>
      <c r="U17" s="3"/>
      <c r="V17" s="3"/>
      <c r="W17" s="3"/>
      <c r="X17" s="3"/>
      <c r="Y17" s="3"/>
      <c r="Z17" s="3"/>
      <c r="AA17" s="3"/>
      <c r="AB17" s="3"/>
      <c r="AC17" s="3"/>
      <c r="AD17" s="3"/>
      <c r="AE17" s="3"/>
      <c r="AF17" s="3"/>
      <c r="AG17" s="3"/>
      <c r="AH17" s="3"/>
      <c r="AI17" s="3"/>
      <c r="AJ17" s="3"/>
      <c r="AK17" s="3"/>
      <c r="AL17" s="3"/>
    </row>
    <row r="18">
      <c r="A18" s="45"/>
      <c r="B18" s="342">
        <v>10.0</v>
      </c>
      <c r="C18" s="449" t="s">
        <v>31</v>
      </c>
      <c r="D18" s="342" t="s">
        <v>15501</v>
      </c>
      <c r="E18" s="434" t="s">
        <v>15502</v>
      </c>
      <c r="F18" s="433" t="s">
        <v>2355</v>
      </c>
      <c r="G18" s="433" t="s">
        <v>29</v>
      </c>
      <c r="H18" s="433" t="s">
        <v>38</v>
      </c>
      <c r="I18" s="433"/>
      <c r="J18" s="433" t="s">
        <v>38</v>
      </c>
      <c r="K18" s="433">
        <v>327.0</v>
      </c>
      <c r="L18" s="621" t="s">
        <v>31</v>
      </c>
      <c r="M18" s="342"/>
      <c r="N18" s="433" t="s">
        <v>15503</v>
      </c>
      <c r="O18" s="342">
        <v>1964.0</v>
      </c>
      <c r="P18" s="433" t="s">
        <v>388</v>
      </c>
      <c r="Q18" s="342">
        <v>2.0</v>
      </c>
      <c r="R18" s="619"/>
      <c r="S18" s="620"/>
      <c r="T18" s="3"/>
      <c r="U18" s="3"/>
      <c r="V18" s="3"/>
      <c r="W18" s="3"/>
      <c r="X18" s="3"/>
      <c r="Y18" s="3"/>
      <c r="Z18" s="3"/>
      <c r="AA18" s="3"/>
      <c r="AB18" s="3"/>
      <c r="AC18" s="3"/>
      <c r="AD18" s="3"/>
      <c r="AE18" s="3"/>
      <c r="AF18" s="3"/>
      <c r="AG18" s="3"/>
      <c r="AH18" s="3"/>
      <c r="AI18" s="3"/>
      <c r="AJ18" s="3"/>
      <c r="AK18" s="3"/>
      <c r="AL18" s="3"/>
    </row>
    <row r="19">
      <c r="A19" s="45"/>
      <c r="B19" s="342">
        <v>11.0</v>
      </c>
      <c r="C19" s="449" t="s">
        <v>15504</v>
      </c>
      <c r="D19" s="433" t="s">
        <v>15505</v>
      </c>
      <c r="E19" s="434" t="s">
        <v>15506</v>
      </c>
      <c r="F19" s="433" t="s">
        <v>2355</v>
      </c>
      <c r="G19" s="433" t="s">
        <v>29</v>
      </c>
      <c r="H19" s="433" t="s">
        <v>38</v>
      </c>
      <c r="I19" s="433"/>
      <c r="J19" s="433" t="s">
        <v>38</v>
      </c>
      <c r="K19" s="433">
        <v>1437.0</v>
      </c>
      <c r="L19" s="621" t="s">
        <v>31</v>
      </c>
      <c r="M19" s="342"/>
      <c r="N19" s="433" t="s">
        <v>15503</v>
      </c>
      <c r="O19" s="342">
        <v>1972.0</v>
      </c>
      <c r="P19" s="433" t="s">
        <v>388</v>
      </c>
      <c r="Q19" s="342">
        <v>2.0</v>
      </c>
      <c r="R19" s="619"/>
      <c r="S19" s="620"/>
      <c r="T19" s="3"/>
      <c r="U19" s="3"/>
      <c r="V19" s="3"/>
      <c r="W19" s="3"/>
      <c r="X19" s="3"/>
      <c r="Y19" s="3"/>
      <c r="Z19" s="3"/>
      <c r="AA19" s="3"/>
      <c r="AB19" s="3"/>
      <c r="AC19" s="3"/>
      <c r="AD19" s="3"/>
      <c r="AE19" s="3"/>
      <c r="AF19" s="3"/>
      <c r="AG19" s="3"/>
      <c r="AH19" s="3"/>
      <c r="AI19" s="3"/>
      <c r="AJ19" s="3"/>
      <c r="AK19" s="3"/>
      <c r="AL19" s="3"/>
    </row>
    <row r="20">
      <c r="A20" s="45"/>
      <c r="B20" s="342">
        <v>12.0</v>
      </c>
      <c r="C20" s="449" t="s">
        <v>15507</v>
      </c>
      <c r="D20" s="433" t="s">
        <v>15508</v>
      </c>
      <c r="E20" s="434" t="s">
        <v>15496</v>
      </c>
      <c r="F20" s="433" t="s">
        <v>2355</v>
      </c>
      <c r="G20" s="433" t="s">
        <v>29</v>
      </c>
      <c r="H20" s="433" t="s">
        <v>6968</v>
      </c>
      <c r="I20" s="433"/>
      <c r="J20" s="433" t="s">
        <v>38</v>
      </c>
      <c r="K20" s="433">
        <v>1457.0</v>
      </c>
      <c r="L20" s="433" t="s">
        <v>15509</v>
      </c>
      <c r="M20" s="342"/>
      <c r="N20" s="433" t="s">
        <v>15510</v>
      </c>
      <c r="O20" s="342">
        <v>1993.0</v>
      </c>
      <c r="P20" s="433" t="s">
        <v>388</v>
      </c>
      <c r="Q20" s="342">
        <v>1.0</v>
      </c>
      <c r="R20" s="619"/>
      <c r="S20" s="620"/>
      <c r="T20" s="3"/>
      <c r="U20" s="3"/>
      <c r="V20" s="3"/>
      <c r="W20" s="3"/>
      <c r="X20" s="3"/>
      <c r="Y20" s="3"/>
      <c r="Z20" s="3"/>
      <c r="AA20" s="3"/>
      <c r="AB20" s="3"/>
      <c r="AC20" s="3"/>
      <c r="AD20" s="3"/>
      <c r="AE20" s="3"/>
      <c r="AF20" s="3"/>
      <c r="AG20" s="3"/>
      <c r="AH20" s="3"/>
      <c r="AI20" s="3"/>
      <c r="AJ20" s="3"/>
      <c r="AK20" s="3"/>
      <c r="AL20" s="3"/>
    </row>
    <row r="21" ht="15.75" customHeight="1">
      <c r="A21" s="45"/>
      <c r="B21" s="342">
        <v>13.0</v>
      </c>
      <c r="C21" s="449" t="s">
        <v>31</v>
      </c>
      <c r="D21" s="433" t="s">
        <v>15511</v>
      </c>
      <c r="E21" s="434" t="s">
        <v>15496</v>
      </c>
      <c r="F21" s="433" t="s">
        <v>2355</v>
      </c>
      <c r="G21" s="433" t="s">
        <v>29</v>
      </c>
      <c r="H21" s="433" t="s">
        <v>37</v>
      </c>
      <c r="I21" s="433"/>
      <c r="J21" s="433" t="s">
        <v>38</v>
      </c>
      <c r="K21" s="433">
        <v>439.0</v>
      </c>
      <c r="L21" s="433" t="s">
        <v>15512</v>
      </c>
      <c r="M21" s="342"/>
      <c r="N21" s="433" t="s">
        <v>15479</v>
      </c>
      <c r="O21" s="342">
        <v>1980.0</v>
      </c>
      <c r="P21" s="433" t="s">
        <v>388</v>
      </c>
      <c r="Q21" s="342">
        <v>1.0</v>
      </c>
      <c r="R21" s="619"/>
      <c r="S21" s="620"/>
      <c r="T21" s="3"/>
      <c r="U21" s="3"/>
      <c r="V21" s="3"/>
      <c r="W21" s="3"/>
      <c r="X21" s="3"/>
      <c r="Y21" s="3"/>
      <c r="Z21" s="3"/>
      <c r="AA21" s="3"/>
      <c r="AB21" s="3"/>
      <c r="AC21" s="3"/>
      <c r="AD21" s="3"/>
      <c r="AE21" s="3"/>
      <c r="AF21" s="3"/>
      <c r="AG21" s="3"/>
      <c r="AH21" s="3"/>
      <c r="AI21" s="3"/>
      <c r="AJ21" s="3"/>
      <c r="AK21" s="3"/>
      <c r="AL21" s="3"/>
    </row>
    <row r="22" ht="15.75" customHeight="1">
      <c r="A22" s="45"/>
      <c r="B22" s="342">
        <v>14.0</v>
      </c>
      <c r="C22" s="449" t="s">
        <v>15513</v>
      </c>
      <c r="D22" s="433" t="s">
        <v>15514</v>
      </c>
      <c r="E22" s="434" t="s">
        <v>15515</v>
      </c>
      <c r="F22" s="433" t="s">
        <v>2355</v>
      </c>
      <c r="G22" s="433" t="s">
        <v>29</v>
      </c>
      <c r="H22" s="433" t="s">
        <v>37</v>
      </c>
      <c r="I22" s="433"/>
      <c r="J22" s="433" t="s">
        <v>38</v>
      </c>
      <c r="K22" s="433">
        <v>610.0</v>
      </c>
      <c r="L22" s="433" t="s">
        <v>15516</v>
      </c>
      <c r="M22" s="342"/>
      <c r="N22" s="433" t="s">
        <v>72</v>
      </c>
      <c r="O22" s="342">
        <v>1977.0</v>
      </c>
      <c r="P22" s="433" t="s">
        <v>388</v>
      </c>
      <c r="Q22" s="342">
        <v>1.0</v>
      </c>
      <c r="R22" s="619"/>
      <c r="S22" s="620"/>
      <c r="T22" s="3"/>
      <c r="U22" s="3"/>
      <c r="V22" s="3"/>
      <c r="W22" s="3"/>
      <c r="X22" s="3"/>
      <c r="Y22" s="3"/>
      <c r="Z22" s="3"/>
      <c r="AA22" s="3"/>
      <c r="AB22" s="3"/>
      <c r="AC22" s="3"/>
      <c r="AD22" s="3"/>
      <c r="AE22" s="3"/>
      <c r="AF22" s="3"/>
      <c r="AG22" s="3"/>
      <c r="AH22" s="3"/>
      <c r="AI22" s="3"/>
      <c r="AJ22" s="3"/>
      <c r="AK22" s="3"/>
      <c r="AL22" s="3"/>
    </row>
    <row r="23" ht="15.75" customHeight="1">
      <c r="A23" s="45"/>
      <c r="B23" s="342">
        <v>15.0</v>
      </c>
      <c r="C23" s="449" t="s">
        <v>15517</v>
      </c>
      <c r="D23" s="433" t="s">
        <v>15518</v>
      </c>
      <c r="E23" s="434" t="s">
        <v>15519</v>
      </c>
      <c r="F23" s="433" t="s">
        <v>2355</v>
      </c>
      <c r="G23" s="433" t="s">
        <v>29</v>
      </c>
      <c r="H23" s="433" t="s">
        <v>38</v>
      </c>
      <c r="I23" s="433"/>
      <c r="J23" s="433" t="s">
        <v>38</v>
      </c>
      <c r="K23" s="433">
        <v>9763.0</v>
      </c>
      <c r="L23" s="342" t="s">
        <v>31</v>
      </c>
      <c r="M23" s="342"/>
      <c r="N23" s="433" t="s">
        <v>15520</v>
      </c>
      <c r="O23" s="342">
        <v>1975.0</v>
      </c>
      <c r="P23" s="433" t="s">
        <v>388</v>
      </c>
      <c r="Q23" s="342">
        <v>1.0</v>
      </c>
      <c r="R23" s="619"/>
      <c r="S23" s="620"/>
      <c r="T23" s="3"/>
      <c r="U23" s="3"/>
      <c r="V23" s="3"/>
      <c r="W23" s="3"/>
      <c r="X23" s="3"/>
      <c r="Y23" s="3"/>
      <c r="Z23" s="3"/>
      <c r="AA23" s="3"/>
      <c r="AB23" s="3"/>
      <c r="AC23" s="3"/>
      <c r="AD23" s="3"/>
      <c r="AE23" s="3"/>
      <c r="AF23" s="3"/>
      <c r="AG23" s="3"/>
      <c r="AH23" s="3"/>
      <c r="AI23" s="3"/>
      <c r="AJ23" s="3"/>
      <c r="AK23" s="3"/>
      <c r="AL23" s="3"/>
    </row>
    <row r="24" ht="15.75" customHeight="1">
      <c r="A24" s="71"/>
      <c r="B24" s="622"/>
      <c r="C24" s="623"/>
      <c r="D24" s="622"/>
      <c r="E24" s="624"/>
      <c r="F24" s="538"/>
      <c r="G24" s="538"/>
      <c r="H24" s="538"/>
      <c r="I24" s="538"/>
      <c r="J24" s="538"/>
      <c r="K24" s="538"/>
      <c r="L24" s="622"/>
      <c r="M24" s="622"/>
      <c r="N24" s="538"/>
      <c r="O24" s="622"/>
      <c r="P24" s="538"/>
      <c r="Q24" s="622"/>
      <c r="R24" s="625"/>
      <c r="S24" s="626"/>
      <c r="T24" s="627"/>
      <c r="U24" s="627"/>
      <c r="V24" s="627"/>
      <c r="W24" s="627"/>
      <c r="X24" s="627"/>
      <c r="Y24" s="627"/>
      <c r="Z24" s="627"/>
      <c r="AA24" s="627"/>
      <c r="AB24" s="627"/>
      <c r="AC24" s="627"/>
      <c r="AD24" s="627"/>
      <c r="AE24" s="627"/>
      <c r="AF24" s="627"/>
      <c r="AG24" s="627"/>
      <c r="AH24" s="627"/>
      <c r="AI24" s="627"/>
      <c r="AJ24" s="627"/>
      <c r="AK24" s="627"/>
      <c r="AL24" s="627"/>
    </row>
    <row r="25" ht="15.75" customHeight="1">
      <c r="A25" s="45"/>
      <c r="B25" s="342">
        <v>17.0</v>
      </c>
      <c r="C25" s="449" t="s">
        <v>15521</v>
      </c>
      <c r="D25" s="342" t="s">
        <v>15522</v>
      </c>
      <c r="E25" s="434" t="s">
        <v>15523</v>
      </c>
      <c r="F25" s="433"/>
      <c r="G25" s="433" t="s">
        <v>29</v>
      </c>
      <c r="H25" s="433" t="s">
        <v>38</v>
      </c>
      <c r="I25" s="433"/>
      <c r="J25" s="433" t="s">
        <v>38</v>
      </c>
      <c r="K25" s="433" t="s">
        <v>31</v>
      </c>
      <c r="L25" s="433" t="s">
        <v>15207</v>
      </c>
      <c r="M25" s="342"/>
      <c r="N25" s="433" t="s">
        <v>15524</v>
      </c>
      <c r="O25" s="342" t="s">
        <v>31</v>
      </c>
      <c r="P25" s="433" t="s">
        <v>388</v>
      </c>
      <c r="Q25" s="342">
        <v>1.0</v>
      </c>
      <c r="R25" s="619"/>
      <c r="S25" s="620"/>
      <c r="T25" s="3"/>
      <c r="U25" s="3"/>
      <c r="V25" s="3"/>
      <c r="W25" s="3"/>
      <c r="X25" s="3"/>
      <c r="Y25" s="3"/>
      <c r="Z25" s="3"/>
      <c r="AA25" s="3"/>
      <c r="AB25" s="3"/>
      <c r="AC25" s="3"/>
      <c r="AD25" s="3"/>
      <c r="AE25" s="3"/>
      <c r="AF25" s="3"/>
      <c r="AG25" s="3"/>
      <c r="AH25" s="3"/>
      <c r="AI25" s="3"/>
      <c r="AJ25" s="3"/>
      <c r="AK25" s="3"/>
      <c r="AL25" s="3"/>
    </row>
    <row r="26" ht="15.75" customHeight="1">
      <c r="A26" s="45"/>
      <c r="B26" s="342">
        <v>18.0</v>
      </c>
      <c r="C26" s="449" t="s">
        <v>31</v>
      </c>
      <c r="D26" s="342" t="s">
        <v>15525</v>
      </c>
      <c r="E26" s="434" t="s">
        <v>15526</v>
      </c>
      <c r="F26" s="433"/>
      <c r="G26" s="433" t="s">
        <v>29</v>
      </c>
      <c r="H26" s="433" t="s">
        <v>37</v>
      </c>
      <c r="I26" s="433"/>
      <c r="J26" s="433" t="s">
        <v>38</v>
      </c>
      <c r="K26" s="433">
        <v>1087.0</v>
      </c>
      <c r="L26" s="342" t="s">
        <v>31</v>
      </c>
      <c r="M26" s="342"/>
      <c r="N26" s="433" t="s">
        <v>15479</v>
      </c>
      <c r="O26" s="342">
        <v>1974.0</v>
      </c>
      <c r="P26" s="433" t="s">
        <v>388</v>
      </c>
      <c r="Q26" s="342">
        <v>1.0</v>
      </c>
      <c r="R26" s="619"/>
      <c r="S26" s="620"/>
      <c r="T26" s="3"/>
      <c r="U26" s="3"/>
      <c r="V26" s="3"/>
      <c r="W26" s="3"/>
      <c r="X26" s="3"/>
      <c r="Y26" s="3"/>
      <c r="Z26" s="3"/>
      <c r="AA26" s="3"/>
      <c r="AB26" s="3"/>
      <c r="AC26" s="3"/>
      <c r="AD26" s="3"/>
      <c r="AE26" s="3"/>
      <c r="AF26" s="3"/>
      <c r="AG26" s="3"/>
      <c r="AH26" s="3"/>
      <c r="AI26" s="3"/>
      <c r="AJ26" s="3"/>
      <c r="AK26" s="3"/>
      <c r="AL26" s="3"/>
    </row>
    <row r="27" ht="15.75" customHeight="1">
      <c r="A27" s="45"/>
      <c r="B27" s="342">
        <v>19.0</v>
      </c>
      <c r="C27" s="449" t="s">
        <v>31</v>
      </c>
      <c r="D27" s="342" t="s">
        <v>15527</v>
      </c>
      <c r="E27" s="434" t="s">
        <v>15496</v>
      </c>
      <c r="F27" s="433"/>
      <c r="G27" s="433" t="s">
        <v>29</v>
      </c>
      <c r="H27" s="433" t="s">
        <v>127</v>
      </c>
      <c r="I27" s="433"/>
      <c r="J27" s="433" t="s">
        <v>38</v>
      </c>
      <c r="K27" s="433" t="s">
        <v>31</v>
      </c>
      <c r="L27" s="433" t="s">
        <v>15528</v>
      </c>
      <c r="M27" s="342"/>
      <c r="N27" s="433" t="s">
        <v>15510</v>
      </c>
      <c r="O27" s="342">
        <v>1985.0</v>
      </c>
      <c r="P27" s="433" t="s">
        <v>388</v>
      </c>
      <c r="Q27" s="342">
        <v>1.0</v>
      </c>
      <c r="R27" s="619"/>
      <c r="S27" s="620"/>
      <c r="T27" s="3"/>
      <c r="U27" s="3"/>
      <c r="V27" s="3"/>
      <c r="W27" s="3"/>
      <c r="X27" s="3"/>
      <c r="Y27" s="3"/>
      <c r="Z27" s="3"/>
      <c r="AA27" s="3"/>
      <c r="AB27" s="3"/>
      <c r="AC27" s="3"/>
      <c r="AD27" s="3"/>
      <c r="AE27" s="3"/>
      <c r="AF27" s="3"/>
      <c r="AG27" s="3"/>
      <c r="AH27" s="3"/>
      <c r="AI27" s="3"/>
      <c r="AJ27" s="3"/>
      <c r="AK27" s="3"/>
      <c r="AL27" s="3"/>
    </row>
    <row r="28" ht="15.75" customHeight="1">
      <c r="A28" s="45"/>
      <c r="B28" s="342"/>
      <c r="C28" s="449"/>
      <c r="D28" s="342"/>
      <c r="E28" s="434"/>
      <c r="F28" s="433"/>
      <c r="G28" s="433"/>
      <c r="H28" s="433"/>
      <c r="I28" s="433"/>
      <c r="J28" s="433"/>
      <c r="K28" s="433"/>
      <c r="L28" s="433"/>
      <c r="M28" s="342"/>
      <c r="N28" s="433"/>
      <c r="O28" s="342"/>
      <c r="P28" s="433"/>
      <c r="Q28" s="342"/>
      <c r="R28" s="619"/>
      <c r="S28" s="620"/>
      <c r="T28" s="3"/>
      <c r="U28" s="3"/>
      <c r="V28" s="3"/>
      <c r="W28" s="3"/>
      <c r="X28" s="3"/>
      <c r="Y28" s="3"/>
      <c r="Z28" s="3"/>
      <c r="AA28" s="3"/>
      <c r="AB28" s="3"/>
      <c r="AC28" s="3"/>
      <c r="AD28" s="3"/>
      <c r="AE28" s="3"/>
      <c r="AF28" s="3"/>
      <c r="AG28" s="3"/>
      <c r="AH28" s="3"/>
      <c r="AI28" s="3"/>
      <c r="AJ28" s="3"/>
      <c r="AK28" s="3"/>
      <c r="AL28" s="3"/>
    </row>
    <row r="29" ht="15.75" customHeight="1">
      <c r="A29" s="45"/>
      <c r="B29" s="342">
        <v>21.0</v>
      </c>
      <c r="C29" s="449" t="s">
        <v>15529</v>
      </c>
      <c r="D29" s="433" t="s">
        <v>15530</v>
      </c>
      <c r="E29" s="434"/>
      <c r="F29" s="433"/>
      <c r="G29" s="433" t="s">
        <v>29</v>
      </c>
      <c r="H29" s="433" t="s">
        <v>37</v>
      </c>
      <c r="I29" s="433"/>
      <c r="J29" s="433" t="s">
        <v>38</v>
      </c>
      <c r="K29" s="433">
        <v>1284.0</v>
      </c>
      <c r="L29" s="433" t="s">
        <v>31</v>
      </c>
      <c r="M29" s="342"/>
      <c r="N29" s="433" t="s">
        <v>15531</v>
      </c>
      <c r="O29" s="342">
        <v>1976.0</v>
      </c>
      <c r="P29" s="433" t="s">
        <v>388</v>
      </c>
      <c r="Q29" s="342">
        <v>2.0</v>
      </c>
      <c r="R29" s="619"/>
      <c r="S29" s="620"/>
      <c r="T29" s="3"/>
      <c r="U29" s="3"/>
      <c r="V29" s="3"/>
      <c r="W29" s="3"/>
      <c r="X29" s="3"/>
      <c r="Y29" s="3"/>
      <c r="Z29" s="3"/>
      <c r="AA29" s="3"/>
      <c r="AB29" s="3"/>
      <c r="AC29" s="3"/>
      <c r="AD29" s="3"/>
      <c r="AE29" s="3"/>
      <c r="AF29" s="3"/>
      <c r="AG29" s="3"/>
      <c r="AH29" s="3"/>
      <c r="AI29" s="3"/>
      <c r="AJ29" s="3"/>
      <c r="AK29" s="3"/>
      <c r="AL29" s="3"/>
    </row>
    <row r="30" ht="15.75" customHeight="1">
      <c r="A30" s="45"/>
      <c r="B30" s="557">
        <v>22.0</v>
      </c>
      <c r="C30" s="618" t="s">
        <v>15532</v>
      </c>
      <c r="D30" s="430" t="s">
        <v>15533</v>
      </c>
      <c r="E30" s="432" t="s">
        <v>15534</v>
      </c>
      <c r="F30" s="430"/>
      <c r="G30" s="430" t="s">
        <v>29</v>
      </c>
      <c r="H30" s="430" t="s">
        <v>5297</v>
      </c>
      <c r="I30" s="430"/>
      <c r="J30" s="430" t="s">
        <v>38</v>
      </c>
      <c r="K30" s="430">
        <f>582+2+32+4</f>
        <v>620</v>
      </c>
      <c r="L30" s="557" t="s">
        <v>4612</v>
      </c>
      <c r="M30" s="557"/>
      <c r="N30" s="430" t="s">
        <v>3233</v>
      </c>
      <c r="O30" s="557" t="s">
        <v>31</v>
      </c>
      <c r="P30" s="430" t="s">
        <v>388</v>
      </c>
      <c r="Q30" s="557">
        <v>1.0</v>
      </c>
      <c r="R30" s="619"/>
      <c r="S30" s="620"/>
      <c r="T30" s="3"/>
      <c r="U30" s="3"/>
      <c r="V30" s="3"/>
      <c r="W30" s="3"/>
      <c r="X30" s="3"/>
      <c r="Y30" s="3"/>
      <c r="Z30" s="3"/>
      <c r="AA30" s="3"/>
      <c r="AB30" s="3"/>
      <c r="AC30" s="3"/>
      <c r="AD30" s="3"/>
      <c r="AE30" s="3"/>
      <c r="AF30" s="3"/>
      <c r="AG30" s="3"/>
      <c r="AH30" s="3"/>
      <c r="AI30" s="3"/>
      <c r="AJ30" s="3"/>
      <c r="AK30" s="3"/>
      <c r="AL30" s="3"/>
    </row>
    <row r="31" ht="15.75" customHeight="1">
      <c r="A31" s="45"/>
      <c r="B31" s="342">
        <v>23.0</v>
      </c>
      <c r="C31" s="449" t="s">
        <v>15535</v>
      </c>
      <c r="D31" s="342" t="s">
        <v>15536</v>
      </c>
      <c r="E31" s="434" t="s">
        <v>15537</v>
      </c>
      <c r="F31" s="433"/>
      <c r="G31" s="433" t="s">
        <v>29</v>
      </c>
      <c r="H31" s="433" t="s">
        <v>37</v>
      </c>
      <c r="I31" s="433"/>
      <c r="J31" s="433" t="s">
        <v>38</v>
      </c>
      <c r="K31" s="433">
        <v>1391.0</v>
      </c>
      <c r="L31" s="342" t="s">
        <v>31</v>
      </c>
      <c r="M31" s="342"/>
      <c r="N31" s="433" t="s">
        <v>14369</v>
      </c>
      <c r="O31" s="342">
        <v>1983.0</v>
      </c>
      <c r="P31" s="433" t="s">
        <v>388</v>
      </c>
      <c r="Q31" s="342">
        <v>1.0</v>
      </c>
      <c r="R31" s="619"/>
      <c r="S31" s="620"/>
      <c r="T31" s="3"/>
      <c r="U31" s="3"/>
      <c r="V31" s="3"/>
      <c r="W31" s="3"/>
      <c r="X31" s="3"/>
      <c r="Y31" s="3"/>
      <c r="Z31" s="3"/>
      <c r="AA31" s="3"/>
      <c r="AB31" s="3"/>
      <c r="AC31" s="3"/>
      <c r="AD31" s="3"/>
      <c r="AE31" s="3"/>
      <c r="AF31" s="3"/>
      <c r="AG31" s="3"/>
      <c r="AH31" s="3"/>
      <c r="AI31" s="3"/>
      <c r="AJ31" s="3"/>
      <c r="AK31" s="3"/>
      <c r="AL31" s="3"/>
    </row>
    <row r="32" ht="15.75" customHeight="1">
      <c r="A32" s="45"/>
      <c r="B32" s="342">
        <v>24.0</v>
      </c>
      <c r="C32" s="449" t="s">
        <v>31</v>
      </c>
      <c r="D32" s="342" t="s">
        <v>31</v>
      </c>
      <c r="E32" s="434" t="s">
        <v>15538</v>
      </c>
      <c r="F32" s="433"/>
      <c r="G32" s="433" t="s">
        <v>29</v>
      </c>
      <c r="H32" s="433" t="s">
        <v>37</v>
      </c>
      <c r="I32" s="433"/>
      <c r="J32" s="433" t="s">
        <v>38</v>
      </c>
      <c r="K32" s="433" t="s">
        <v>31</v>
      </c>
      <c r="L32" s="433" t="s">
        <v>15516</v>
      </c>
      <c r="M32" s="342"/>
      <c r="N32" s="433" t="s">
        <v>15479</v>
      </c>
      <c r="O32" s="342">
        <v>1979.0</v>
      </c>
      <c r="P32" s="433" t="s">
        <v>388</v>
      </c>
      <c r="Q32" s="342">
        <v>1.0</v>
      </c>
      <c r="R32" s="619"/>
      <c r="S32" s="620"/>
      <c r="T32" s="3"/>
      <c r="U32" s="3"/>
      <c r="V32" s="3"/>
      <c r="W32" s="3"/>
      <c r="X32" s="3"/>
      <c r="Y32" s="3"/>
      <c r="Z32" s="3"/>
      <c r="AA32" s="3"/>
      <c r="AB32" s="3"/>
      <c r="AC32" s="3"/>
      <c r="AD32" s="3"/>
      <c r="AE32" s="3"/>
      <c r="AF32" s="3"/>
      <c r="AG32" s="3"/>
      <c r="AH32" s="3"/>
      <c r="AI32" s="3"/>
      <c r="AJ32" s="3"/>
      <c r="AK32" s="3"/>
      <c r="AL32" s="3"/>
    </row>
    <row r="33" ht="15.75" customHeight="1">
      <c r="A33" s="45"/>
      <c r="B33" s="557">
        <v>25.0</v>
      </c>
      <c r="C33" s="618" t="s">
        <v>15539</v>
      </c>
      <c r="D33" s="430" t="s">
        <v>15540</v>
      </c>
      <c r="E33" s="432" t="s">
        <v>15541</v>
      </c>
      <c r="F33" s="430"/>
      <c r="G33" s="430" t="s">
        <v>29</v>
      </c>
      <c r="H33" s="430" t="s">
        <v>38</v>
      </c>
      <c r="I33" s="430"/>
      <c r="J33" s="430" t="s">
        <v>38</v>
      </c>
      <c r="K33" s="430" t="s">
        <v>31</v>
      </c>
      <c r="L33" s="557" t="s">
        <v>31</v>
      </c>
      <c r="M33" s="557"/>
      <c r="N33" s="430" t="s">
        <v>4744</v>
      </c>
      <c r="O33" s="557">
        <v>1971.0</v>
      </c>
      <c r="P33" s="430" t="s">
        <v>388</v>
      </c>
      <c r="Q33" s="557">
        <v>1.0</v>
      </c>
      <c r="R33" s="619"/>
      <c r="S33" s="620"/>
      <c r="T33" s="3"/>
      <c r="U33" s="3"/>
      <c r="V33" s="3"/>
      <c r="W33" s="3"/>
      <c r="X33" s="3"/>
      <c r="Y33" s="3"/>
      <c r="Z33" s="3"/>
      <c r="AA33" s="3"/>
      <c r="AB33" s="3"/>
      <c r="AC33" s="3"/>
      <c r="AD33" s="3"/>
      <c r="AE33" s="3"/>
      <c r="AF33" s="3"/>
      <c r="AG33" s="3"/>
      <c r="AH33" s="3"/>
      <c r="AI33" s="3"/>
      <c r="AJ33" s="3"/>
      <c r="AK33" s="3"/>
      <c r="AL33" s="3"/>
    </row>
    <row r="34" ht="15.75" customHeight="1">
      <c r="A34" s="45"/>
      <c r="B34" s="342"/>
      <c r="C34" s="449"/>
      <c r="D34" s="433"/>
      <c r="E34" s="434"/>
      <c r="F34" s="433"/>
      <c r="G34" s="433"/>
      <c r="H34" s="433"/>
      <c r="I34" s="433"/>
      <c r="J34" s="433"/>
      <c r="K34" s="433"/>
      <c r="L34" s="342"/>
      <c r="M34" s="342"/>
      <c r="N34" s="433"/>
      <c r="O34" s="342"/>
      <c r="P34" s="433"/>
      <c r="Q34" s="342"/>
      <c r="R34" s="619"/>
      <c r="S34" s="620"/>
      <c r="T34" s="3"/>
      <c r="U34" s="3"/>
      <c r="V34" s="3"/>
      <c r="W34" s="3"/>
      <c r="X34" s="3"/>
      <c r="Y34" s="3"/>
      <c r="Z34" s="3"/>
      <c r="AA34" s="3"/>
      <c r="AB34" s="3"/>
      <c r="AC34" s="3"/>
      <c r="AD34" s="3"/>
      <c r="AE34" s="3"/>
      <c r="AF34" s="3"/>
      <c r="AG34" s="3"/>
      <c r="AH34" s="3"/>
      <c r="AI34" s="3"/>
      <c r="AJ34" s="3"/>
      <c r="AK34" s="3"/>
      <c r="AL34" s="3"/>
    </row>
    <row r="35" ht="15.75" customHeight="1">
      <c r="A35" s="45"/>
      <c r="B35" s="342">
        <v>27.0</v>
      </c>
      <c r="C35" s="449"/>
      <c r="D35" s="342" t="s">
        <v>31</v>
      </c>
      <c r="E35" s="434" t="s">
        <v>15538</v>
      </c>
      <c r="F35" s="433"/>
      <c r="G35" s="433" t="s">
        <v>29</v>
      </c>
      <c r="H35" s="433" t="s">
        <v>37</v>
      </c>
      <c r="I35" s="433"/>
      <c r="J35" s="433" t="s">
        <v>38</v>
      </c>
      <c r="K35" s="433" t="s">
        <v>31</v>
      </c>
      <c r="L35" s="433" t="s">
        <v>15516</v>
      </c>
      <c r="M35" s="342"/>
      <c r="N35" s="433" t="s">
        <v>15479</v>
      </c>
      <c r="O35" s="342">
        <v>1991.0</v>
      </c>
      <c r="P35" s="433" t="s">
        <v>388</v>
      </c>
      <c r="Q35" s="342">
        <v>1.0</v>
      </c>
      <c r="R35" s="619"/>
      <c r="S35" s="620"/>
      <c r="T35" s="3"/>
      <c r="U35" s="3"/>
      <c r="V35" s="3"/>
      <c r="W35" s="3"/>
      <c r="X35" s="3"/>
      <c r="Y35" s="3"/>
      <c r="Z35" s="3"/>
      <c r="AA35" s="3"/>
      <c r="AB35" s="3"/>
      <c r="AC35" s="3"/>
      <c r="AD35" s="3"/>
      <c r="AE35" s="3"/>
      <c r="AF35" s="3"/>
      <c r="AG35" s="3"/>
      <c r="AH35" s="3"/>
      <c r="AI35" s="3"/>
      <c r="AJ35" s="3"/>
      <c r="AK35" s="3"/>
      <c r="AL35" s="3"/>
    </row>
    <row r="36" ht="15.75" customHeight="1">
      <c r="A36" s="45"/>
      <c r="B36" s="342">
        <v>28.0</v>
      </c>
      <c r="C36" s="449" t="s">
        <v>15542</v>
      </c>
      <c r="D36" s="342"/>
      <c r="E36" s="434" t="s">
        <v>15538</v>
      </c>
      <c r="F36" s="433"/>
      <c r="G36" s="433" t="s">
        <v>29</v>
      </c>
      <c r="H36" s="433" t="s">
        <v>37</v>
      </c>
      <c r="I36" s="433"/>
      <c r="J36" s="433" t="s">
        <v>38</v>
      </c>
      <c r="K36" s="433" t="s">
        <v>31</v>
      </c>
      <c r="L36" s="433" t="s">
        <v>15516</v>
      </c>
      <c r="M36" s="342"/>
      <c r="N36" s="433" t="s">
        <v>15479</v>
      </c>
      <c r="O36" s="342">
        <v>1985.0</v>
      </c>
      <c r="P36" s="433" t="s">
        <v>388</v>
      </c>
      <c r="Q36" s="342">
        <v>1.0</v>
      </c>
      <c r="R36" s="619"/>
      <c r="S36" s="620"/>
      <c r="T36" s="3"/>
      <c r="U36" s="3"/>
      <c r="V36" s="3"/>
      <c r="W36" s="3"/>
      <c r="X36" s="3"/>
      <c r="Y36" s="3"/>
      <c r="Z36" s="3"/>
      <c r="AA36" s="3"/>
      <c r="AB36" s="3"/>
      <c r="AC36" s="3"/>
      <c r="AD36" s="3"/>
      <c r="AE36" s="3"/>
      <c r="AF36" s="3"/>
      <c r="AG36" s="3"/>
      <c r="AH36" s="3"/>
      <c r="AI36" s="3"/>
      <c r="AJ36" s="3"/>
      <c r="AK36" s="3"/>
      <c r="AL36" s="3"/>
    </row>
    <row r="37" ht="15.75" customHeight="1">
      <c r="A37" s="45"/>
      <c r="B37" s="342">
        <v>29.0</v>
      </c>
      <c r="C37" s="449" t="s">
        <v>31</v>
      </c>
      <c r="D37" s="342" t="s">
        <v>31</v>
      </c>
      <c r="E37" s="434" t="s">
        <v>15543</v>
      </c>
      <c r="F37" s="433"/>
      <c r="G37" s="433" t="s">
        <v>29</v>
      </c>
      <c r="H37" s="433" t="s">
        <v>81</v>
      </c>
      <c r="I37" s="433"/>
      <c r="J37" s="433" t="s">
        <v>38</v>
      </c>
      <c r="K37" s="433">
        <v>1454.0</v>
      </c>
      <c r="L37" s="342" t="s">
        <v>31</v>
      </c>
      <c r="M37" s="342"/>
      <c r="N37" s="433" t="s">
        <v>15544</v>
      </c>
      <c r="O37" s="342">
        <v>2002.0</v>
      </c>
      <c r="P37" s="433" t="s">
        <v>388</v>
      </c>
      <c r="Q37" s="342">
        <v>2.0</v>
      </c>
      <c r="R37" s="619"/>
      <c r="S37" s="620"/>
      <c r="T37" s="3"/>
      <c r="U37" s="3"/>
      <c r="V37" s="3"/>
      <c r="W37" s="3"/>
      <c r="X37" s="3"/>
      <c r="Y37" s="3"/>
      <c r="Z37" s="3"/>
      <c r="AA37" s="3"/>
      <c r="AB37" s="3"/>
      <c r="AC37" s="3"/>
      <c r="AD37" s="3"/>
      <c r="AE37" s="3"/>
      <c r="AF37" s="3"/>
      <c r="AG37" s="3"/>
      <c r="AH37" s="3"/>
      <c r="AI37" s="3"/>
      <c r="AJ37" s="3"/>
      <c r="AK37" s="3"/>
      <c r="AL37" s="3"/>
    </row>
    <row r="38" ht="15.75" customHeight="1">
      <c r="A38" s="45"/>
      <c r="B38" s="342">
        <v>30.0</v>
      </c>
      <c r="C38" s="449" t="s">
        <v>15545</v>
      </c>
      <c r="D38" s="342" t="s">
        <v>15501</v>
      </c>
      <c r="E38" s="434" t="s">
        <v>15496</v>
      </c>
      <c r="F38" s="433"/>
      <c r="G38" s="433" t="s">
        <v>29</v>
      </c>
      <c r="H38" s="433" t="s">
        <v>38</v>
      </c>
      <c r="I38" s="433"/>
      <c r="J38" s="433" t="s">
        <v>38</v>
      </c>
      <c r="K38" s="433">
        <v>1294.0</v>
      </c>
      <c r="L38" s="433" t="s">
        <v>15546</v>
      </c>
      <c r="M38" s="342"/>
      <c r="N38" s="433" t="s">
        <v>15547</v>
      </c>
      <c r="O38" s="342">
        <v>1987.0</v>
      </c>
      <c r="P38" s="433" t="s">
        <v>388</v>
      </c>
      <c r="Q38" s="342">
        <v>1.0</v>
      </c>
      <c r="R38" s="619"/>
      <c r="S38" s="620"/>
      <c r="T38" s="3"/>
      <c r="U38" s="3"/>
      <c r="V38" s="3"/>
      <c r="W38" s="3"/>
      <c r="X38" s="3"/>
      <c r="Y38" s="3"/>
      <c r="Z38" s="3"/>
      <c r="AA38" s="3"/>
      <c r="AB38" s="3"/>
      <c r="AC38" s="3"/>
      <c r="AD38" s="3"/>
      <c r="AE38" s="3"/>
      <c r="AF38" s="3"/>
      <c r="AG38" s="3"/>
      <c r="AH38" s="3"/>
      <c r="AI38" s="3"/>
      <c r="AJ38" s="3"/>
      <c r="AK38" s="3"/>
      <c r="AL38" s="3"/>
    </row>
    <row r="39" ht="15.75" customHeight="1">
      <c r="A39" s="45"/>
      <c r="B39" s="342">
        <v>31.0</v>
      </c>
      <c r="C39" s="449" t="s">
        <v>31</v>
      </c>
      <c r="D39" s="342"/>
      <c r="E39" s="434" t="s">
        <v>15548</v>
      </c>
      <c r="F39" s="433"/>
      <c r="G39" s="433" t="s">
        <v>29</v>
      </c>
      <c r="H39" s="433" t="s">
        <v>37</v>
      </c>
      <c r="I39" s="433"/>
      <c r="J39" s="433" t="s">
        <v>38</v>
      </c>
      <c r="K39" s="433">
        <v>1009.0</v>
      </c>
      <c r="L39" s="433" t="s">
        <v>15549</v>
      </c>
      <c r="M39" s="342"/>
      <c r="N39" s="433" t="s">
        <v>15550</v>
      </c>
      <c r="O39" s="342">
        <v>1990.0</v>
      </c>
      <c r="P39" s="433" t="s">
        <v>388</v>
      </c>
      <c r="Q39" s="342">
        <v>1.0</v>
      </c>
      <c r="R39" s="619"/>
      <c r="S39" s="620"/>
      <c r="T39" s="3"/>
      <c r="U39" s="3"/>
      <c r="V39" s="3"/>
      <c r="W39" s="3"/>
      <c r="X39" s="3"/>
      <c r="Y39" s="3"/>
      <c r="Z39" s="3"/>
      <c r="AA39" s="3"/>
      <c r="AB39" s="3"/>
      <c r="AC39" s="3"/>
      <c r="AD39" s="3"/>
      <c r="AE39" s="3"/>
      <c r="AF39" s="3"/>
      <c r="AG39" s="3"/>
      <c r="AH39" s="3"/>
      <c r="AI39" s="3"/>
      <c r="AJ39" s="3"/>
      <c r="AK39" s="3"/>
      <c r="AL39" s="3"/>
    </row>
    <row r="40" ht="15.75" customHeight="1">
      <c r="A40" s="45"/>
      <c r="B40" s="342">
        <v>32.0</v>
      </c>
      <c r="C40" s="449" t="s">
        <v>15551</v>
      </c>
      <c r="D40" s="342" t="s">
        <v>31</v>
      </c>
      <c r="E40" s="434" t="s">
        <v>15543</v>
      </c>
      <c r="F40" s="433"/>
      <c r="G40" s="433" t="s">
        <v>29</v>
      </c>
      <c r="H40" s="433" t="s">
        <v>81</v>
      </c>
      <c r="I40" s="433"/>
      <c r="J40" s="433" t="s">
        <v>38</v>
      </c>
      <c r="K40" s="433">
        <v>1454.0</v>
      </c>
      <c r="L40" s="342" t="s">
        <v>31</v>
      </c>
      <c r="M40" s="342"/>
      <c r="N40" s="433" t="s">
        <v>15544</v>
      </c>
      <c r="O40" s="342">
        <v>1994.0</v>
      </c>
      <c r="P40" s="433" t="s">
        <v>388</v>
      </c>
      <c r="Q40" s="342">
        <v>1.0</v>
      </c>
      <c r="R40" s="619"/>
      <c r="S40" s="620"/>
      <c r="T40" s="3"/>
      <c r="U40" s="3"/>
      <c r="V40" s="3"/>
      <c r="W40" s="3"/>
      <c r="X40" s="3"/>
      <c r="Y40" s="3"/>
      <c r="Z40" s="3"/>
      <c r="AA40" s="3"/>
      <c r="AB40" s="3"/>
      <c r="AC40" s="3"/>
      <c r="AD40" s="3"/>
      <c r="AE40" s="3"/>
      <c r="AF40" s="3"/>
      <c r="AG40" s="3"/>
      <c r="AH40" s="3"/>
      <c r="AI40" s="3"/>
      <c r="AJ40" s="3"/>
      <c r="AK40" s="3"/>
      <c r="AL40" s="3"/>
    </row>
    <row r="41" ht="15.75" customHeight="1">
      <c r="A41" s="45"/>
      <c r="B41" s="342">
        <v>33.0</v>
      </c>
      <c r="C41" s="449" t="s">
        <v>31</v>
      </c>
      <c r="D41" s="433" t="s">
        <v>15552</v>
      </c>
      <c r="E41" s="434" t="s">
        <v>15553</v>
      </c>
      <c r="F41" s="433"/>
      <c r="G41" s="433" t="s">
        <v>29</v>
      </c>
      <c r="H41" s="433" t="s">
        <v>37</v>
      </c>
      <c r="I41" s="433"/>
      <c r="J41" s="433" t="s">
        <v>38</v>
      </c>
      <c r="K41" s="433">
        <v>251.0</v>
      </c>
      <c r="L41" s="342"/>
      <c r="M41" s="342"/>
      <c r="N41" s="433" t="s">
        <v>14369</v>
      </c>
      <c r="O41" s="342">
        <v>1989.0</v>
      </c>
      <c r="P41" s="433" t="s">
        <v>388</v>
      </c>
      <c r="Q41" s="342">
        <v>1.0</v>
      </c>
      <c r="R41" s="619"/>
      <c r="S41" s="620"/>
      <c r="T41" s="3"/>
      <c r="U41" s="3"/>
      <c r="V41" s="3"/>
      <c r="W41" s="3"/>
      <c r="X41" s="3"/>
      <c r="Y41" s="3"/>
      <c r="Z41" s="3"/>
      <c r="AA41" s="3"/>
      <c r="AB41" s="3"/>
      <c r="AC41" s="3"/>
      <c r="AD41" s="3"/>
      <c r="AE41" s="3"/>
      <c r="AF41" s="3"/>
      <c r="AG41" s="3"/>
      <c r="AH41" s="3"/>
      <c r="AI41" s="3"/>
      <c r="AJ41" s="3"/>
      <c r="AK41" s="3"/>
      <c r="AL41" s="3"/>
    </row>
    <row r="42" ht="15.75" customHeight="1">
      <c r="A42" s="45"/>
      <c r="B42" s="342">
        <v>34.0</v>
      </c>
      <c r="C42" s="449" t="s">
        <v>15554</v>
      </c>
      <c r="D42" s="342" t="s">
        <v>31</v>
      </c>
      <c r="E42" s="434" t="s">
        <v>15555</v>
      </c>
      <c r="F42" s="433"/>
      <c r="G42" s="433" t="s">
        <v>29</v>
      </c>
      <c r="H42" s="433" t="s">
        <v>37</v>
      </c>
      <c r="I42" s="433"/>
      <c r="J42" s="433" t="s">
        <v>38</v>
      </c>
      <c r="K42" s="433">
        <v>1473.0</v>
      </c>
      <c r="L42" s="433" t="s">
        <v>15556</v>
      </c>
      <c r="M42" s="342"/>
      <c r="N42" s="433" t="s">
        <v>14369</v>
      </c>
      <c r="O42" s="342">
        <v>1995.0</v>
      </c>
      <c r="P42" s="433" t="s">
        <v>388</v>
      </c>
      <c r="Q42" s="342">
        <v>2.0</v>
      </c>
      <c r="R42" s="619"/>
      <c r="S42" s="620"/>
      <c r="T42" s="3"/>
      <c r="U42" s="3"/>
      <c r="V42" s="3"/>
      <c r="W42" s="3"/>
      <c r="X42" s="3"/>
      <c r="Y42" s="3"/>
      <c r="Z42" s="3"/>
      <c r="AA42" s="3"/>
      <c r="AB42" s="3"/>
      <c r="AC42" s="3"/>
      <c r="AD42" s="3"/>
      <c r="AE42" s="3"/>
      <c r="AF42" s="3"/>
      <c r="AG42" s="3"/>
      <c r="AH42" s="3"/>
      <c r="AI42" s="3"/>
      <c r="AJ42" s="3"/>
      <c r="AK42" s="3"/>
      <c r="AL42" s="3"/>
    </row>
    <row r="43" ht="15.75" customHeight="1">
      <c r="A43" s="45"/>
      <c r="B43" s="557">
        <v>35.0</v>
      </c>
      <c r="C43" s="618" t="s">
        <v>31</v>
      </c>
      <c r="D43" s="430" t="s">
        <v>15557</v>
      </c>
      <c r="E43" s="432" t="s">
        <v>15339</v>
      </c>
      <c r="F43" s="430"/>
      <c r="G43" s="430" t="s">
        <v>29</v>
      </c>
      <c r="H43" s="430" t="s">
        <v>38</v>
      </c>
      <c r="I43" s="430"/>
      <c r="J43" s="430" t="s">
        <v>38</v>
      </c>
      <c r="K43" s="430">
        <v>1532.0</v>
      </c>
      <c r="L43" s="557" t="s">
        <v>31</v>
      </c>
      <c r="M43" s="557"/>
      <c r="N43" s="430" t="s">
        <v>15558</v>
      </c>
      <c r="O43" s="557">
        <v>1970.0</v>
      </c>
      <c r="P43" s="430" t="s">
        <v>388</v>
      </c>
      <c r="Q43" s="557">
        <v>1.0</v>
      </c>
      <c r="R43" s="619"/>
      <c r="S43" s="620"/>
      <c r="T43" s="3"/>
      <c r="U43" s="3"/>
      <c r="V43" s="3"/>
      <c r="W43" s="3"/>
      <c r="X43" s="3"/>
      <c r="Y43" s="3"/>
      <c r="Z43" s="3"/>
      <c r="AA43" s="3"/>
      <c r="AB43" s="3"/>
      <c r="AC43" s="3"/>
      <c r="AD43" s="3"/>
      <c r="AE43" s="3"/>
      <c r="AF43" s="3"/>
      <c r="AG43" s="3"/>
      <c r="AH43" s="3"/>
      <c r="AI43" s="3"/>
      <c r="AJ43" s="3"/>
      <c r="AK43" s="3"/>
      <c r="AL43" s="3"/>
    </row>
    <row r="44" ht="15.75" customHeight="1">
      <c r="A44" s="45"/>
      <c r="B44" s="557">
        <v>36.0</v>
      </c>
      <c r="C44" s="618" t="s">
        <v>31</v>
      </c>
      <c r="D44" s="430" t="s">
        <v>15559</v>
      </c>
      <c r="E44" s="432" t="s">
        <v>15560</v>
      </c>
      <c r="F44" s="430"/>
      <c r="G44" s="430" t="s">
        <v>29</v>
      </c>
      <c r="H44" s="430" t="s">
        <v>37</v>
      </c>
      <c r="I44" s="430"/>
      <c r="J44" s="430" t="s">
        <v>38</v>
      </c>
      <c r="K44" s="430">
        <v>1167.0</v>
      </c>
      <c r="L44" s="557" t="s">
        <v>31</v>
      </c>
      <c r="M44" s="557"/>
      <c r="N44" s="430" t="s">
        <v>3233</v>
      </c>
      <c r="O44" s="557">
        <v>1989.0</v>
      </c>
      <c r="P44" s="430" t="s">
        <v>388</v>
      </c>
      <c r="Q44" s="557">
        <v>2.0</v>
      </c>
      <c r="R44" s="619"/>
      <c r="S44" s="620"/>
      <c r="T44" s="3"/>
      <c r="U44" s="3"/>
      <c r="V44" s="3"/>
      <c r="W44" s="3"/>
      <c r="X44" s="3"/>
      <c r="Y44" s="3"/>
      <c r="Z44" s="3"/>
      <c r="AA44" s="3"/>
      <c r="AB44" s="3"/>
      <c r="AC44" s="3"/>
      <c r="AD44" s="3"/>
      <c r="AE44" s="3"/>
      <c r="AF44" s="3"/>
      <c r="AG44" s="3"/>
      <c r="AH44" s="3"/>
      <c r="AI44" s="3"/>
      <c r="AJ44" s="3"/>
      <c r="AK44" s="3"/>
      <c r="AL44" s="3"/>
    </row>
    <row r="45" ht="15.75" customHeight="1">
      <c r="A45" s="45"/>
      <c r="B45" s="342">
        <v>37.0</v>
      </c>
      <c r="C45" s="449"/>
      <c r="D45" s="342" t="s">
        <v>31</v>
      </c>
      <c r="E45" s="434" t="s">
        <v>15561</v>
      </c>
      <c r="F45" s="433"/>
      <c r="G45" s="433" t="s">
        <v>29</v>
      </c>
      <c r="H45" s="433" t="s">
        <v>81</v>
      </c>
      <c r="I45" s="433"/>
      <c r="J45" s="433" t="s">
        <v>38</v>
      </c>
      <c r="K45" s="433">
        <v>1454.0</v>
      </c>
      <c r="L45" s="342"/>
      <c r="M45" s="342"/>
      <c r="N45" s="433" t="s">
        <v>15544</v>
      </c>
      <c r="O45" s="433"/>
      <c r="P45" s="433" t="s">
        <v>388</v>
      </c>
      <c r="Q45" s="342">
        <v>1.0</v>
      </c>
      <c r="R45" s="619"/>
      <c r="S45" s="620"/>
      <c r="T45" s="3"/>
      <c r="U45" s="3"/>
      <c r="V45" s="3"/>
      <c r="W45" s="3"/>
      <c r="X45" s="3"/>
      <c r="Y45" s="3"/>
      <c r="Z45" s="3"/>
      <c r="AA45" s="3"/>
      <c r="AB45" s="3"/>
      <c r="AC45" s="3"/>
      <c r="AD45" s="3"/>
      <c r="AE45" s="3"/>
      <c r="AF45" s="3"/>
      <c r="AG45" s="3"/>
      <c r="AH45" s="3"/>
      <c r="AI45" s="3"/>
      <c r="AJ45" s="3"/>
      <c r="AK45" s="3"/>
      <c r="AL45" s="3"/>
    </row>
    <row r="46" ht="15.75" customHeight="1">
      <c r="A46" s="45"/>
      <c r="B46" s="342">
        <v>38.0</v>
      </c>
      <c r="C46" s="449"/>
      <c r="D46" s="433" t="s">
        <v>15562</v>
      </c>
      <c r="E46" s="434" t="s">
        <v>15563</v>
      </c>
      <c r="F46" s="433"/>
      <c r="G46" s="433" t="s">
        <v>29</v>
      </c>
      <c r="H46" s="433" t="s">
        <v>37</v>
      </c>
      <c r="I46" s="433"/>
      <c r="J46" s="433" t="s">
        <v>38</v>
      </c>
      <c r="K46" s="433">
        <v>1524.0</v>
      </c>
      <c r="L46" s="433" t="s">
        <v>15564</v>
      </c>
      <c r="M46" s="342"/>
      <c r="N46" s="433" t="s">
        <v>3233</v>
      </c>
      <c r="O46" s="342" t="s">
        <v>31</v>
      </c>
      <c r="P46" s="433" t="s">
        <v>388</v>
      </c>
      <c r="Q46" s="342">
        <v>1.0</v>
      </c>
      <c r="R46" s="619"/>
      <c r="S46" s="620"/>
      <c r="T46" s="3"/>
      <c r="U46" s="3"/>
      <c r="V46" s="3"/>
      <c r="W46" s="3"/>
      <c r="X46" s="3"/>
      <c r="Y46" s="3"/>
      <c r="Z46" s="3"/>
      <c r="AA46" s="3"/>
      <c r="AB46" s="3"/>
      <c r="AC46" s="3"/>
      <c r="AD46" s="3"/>
      <c r="AE46" s="3"/>
      <c r="AF46" s="3"/>
      <c r="AG46" s="3"/>
      <c r="AH46" s="3"/>
      <c r="AI46" s="3"/>
      <c r="AJ46" s="3"/>
      <c r="AK46" s="3"/>
      <c r="AL46" s="3"/>
    </row>
    <row r="47" ht="15.75" customHeight="1">
      <c r="A47" s="45"/>
      <c r="B47" s="628">
        <v>39.0</v>
      </c>
      <c r="C47" s="629" t="s">
        <v>15565</v>
      </c>
      <c r="D47" s="630" t="s">
        <v>15566</v>
      </c>
      <c r="E47" s="631" t="s">
        <v>15567</v>
      </c>
      <c r="F47" s="630"/>
      <c r="G47" s="630" t="s">
        <v>29</v>
      </c>
      <c r="H47" s="630" t="s">
        <v>38</v>
      </c>
      <c r="I47" s="630"/>
      <c r="J47" s="630" t="s">
        <v>38</v>
      </c>
      <c r="K47" s="630" t="s">
        <v>31</v>
      </c>
      <c r="L47" s="628" t="s">
        <v>31</v>
      </c>
      <c r="M47" s="628"/>
      <c r="N47" s="630" t="s">
        <v>4744</v>
      </c>
      <c r="O47" s="628">
        <v>1986.0</v>
      </c>
      <c r="P47" s="630" t="s">
        <v>388</v>
      </c>
      <c r="Q47" s="628">
        <v>1.0</v>
      </c>
      <c r="R47" s="632">
        <v>1.0</v>
      </c>
      <c r="S47" s="140"/>
      <c r="T47" s="149"/>
      <c r="U47" s="45"/>
      <c r="V47" s="45"/>
      <c r="W47" s="45"/>
      <c r="X47" s="45"/>
      <c r="Y47" s="45"/>
      <c r="Z47" s="45"/>
      <c r="AA47" s="45"/>
      <c r="AB47" s="45"/>
      <c r="AC47" s="45"/>
      <c r="AD47" s="45"/>
      <c r="AE47" s="45"/>
      <c r="AF47" s="45"/>
      <c r="AG47" s="45"/>
      <c r="AH47" s="45"/>
      <c r="AI47" s="45"/>
      <c r="AJ47" s="45"/>
      <c r="AK47" s="45"/>
      <c r="AL47" s="45"/>
    </row>
    <row r="48" ht="15.75" customHeight="1">
      <c r="A48" s="45"/>
      <c r="B48" s="342">
        <v>40.0</v>
      </c>
      <c r="C48" s="449" t="s">
        <v>31</v>
      </c>
      <c r="D48" s="433" t="s">
        <v>15568</v>
      </c>
      <c r="E48" s="434" t="s">
        <v>15569</v>
      </c>
      <c r="F48" s="433"/>
      <c r="G48" s="433" t="s">
        <v>29</v>
      </c>
      <c r="H48" s="433" t="s">
        <v>37</v>
      </c>
      <c r="I48" s="433"/>
      <c r="J48" s="433" t="s">
        <v>38</v>
      </c>
      <c r="K48" s="433">
        <v>2371.0</v>
      </c>
      <c r="L48" s="433" t="s">
        <v>15570</v>
      </c>
      <c r="M48" s="342"/>
      <c r="N48" s="433" t="s">
        <v>15550</v>
      </c>
      <c r="O48" s="342">
        <v>1982.0</v>
      </c>
      <c r="P48" s="433" t="s">
        <v>388</v>
      </c>
      <c r="Q48" s="342">
        <v>1.0</v>
      </c>
      <c r="R48" s="619"/>
      <c r="S48" s="620"/>
      <c r="T48" s="3"/>
      <c r="U48" s="3"/>
      <c r="V48" s="3"/>
      <c r="W48" s="3"/>
      <c r="X48" s="3"/>
      <c r="Y48" s="3"/>
      <c r="Z48" s="3"/>
      <c r="AA48" s="3"/>
      <c r="AB48" s="3"/>
      <c r="AC48" s="3"/>
      <c r="AD48" s="3"/>
      <c r="AE48" s="3"/>
      <c r="AF48" s="3"/>
      <c r="AG48" s="3"/>
      <c r="AH48" s="3"/>
      <c r="AI48" s="3"/>
      <c r="AJ48" s="3"/>
      <c r="AK48" s="3"/>
      <c r="AL48" s="3"/>
    </row>
    <row r="49" ht="15.75" customHeight="1">
      <c r="A49" s="45"/>
      <c r="B49" s="342">
        <v>42.0</v>
      </c>
      <c r="C49" s="449" t="s">
        <v>15571</v>
      </c>
      <c r="D49" s="433" t="s">
        <v>15508</v>
      </c>
      <c r="E49" s="434" t="s">
        <v>15572</v>
      </c>
      <c r="F49" s="433"/>
      <c r="G49" s="433" t="s">
        <v>29</v>
      </c>
      <c r="H49" s="433" t="s">
        <v>5297</v>
      </c>
      <c r="I49" s="433"/>
      <c r="J49" s="433" t="s">
        <v>38</v>
      </c>
      <c r="K49" s="433">
        <v>1294.0</v>
      </c>
      <c r="L49" s="433" t="s">
        <v>15573</v>
      </c>
      <c r="M49" s="342"/>
      <c r="N49" s="433" t="s">
        <v>15547</v>
      </c>
      <c r="O49" s="342">
        <v>1988.0</v>
      </c>
      <c r="P49" s="433" t="s">
        <v>388</v>
      </c>
      <c r="Q49" s="342">
        <v>1.0</v>
      </c>
      <c r="R49" s="619"/>
      <c r="S49" s="620"/>
      <c r="T49" s="3"/>
      <c r="U49" s="3"/>
      <c r="V49" s="3"/>
      <c r="W49" s="3"/>
      <c r="X49" s="3"/>
      <c r="Y49" s="3"/>
      <c r="Z49" s="3"/>
      <c r="AA49" s="3"/>
      <c r="AB49" s="3"/>
      <c r="AC49" s="3"/>
      <c r="AD49" s="3"/>
      <c r="AE49" s="3"/>
      <c r="AF49" s="3"/>
      <c r="AG49" s="3"/>
      <c r="AH49" s="3"/>
      <c r="AI49" s="3"/>
      <c r="AJ49" s="3"/>
      <c r="AK49" s="3"/>
      <c r="AL49" s="3"/>
    </row>
    <row r="50" ht="15.75" customHeight="1">
      <c r="A50" s="45"/>
      <c r="B50" s="342">
        <v>43.0</v>
      </c>
      <c r="C50" s="449" t="s">
        <v>31</v>
      </c>
      <c r="D50" s="342" t="s">
        <v>31</v>
      </c>
      <c r="E50" s="434" t="s">
        <v>15574</v>
      </c>
      <c r="F50" s="433"/>
      <c r="G50" s="433" t="s">
        <v>29</v>
      </c>
      <c r="H50" s="433" t="s">
        <v>37</v>
      </c>
      <c r="I50" s="433"/>
      <c r="J50" s="433" t="s">
        <v>38</v>
      </c>
      <c r="K50" s="433">
        <v>820.0</v>
      </c>
      <c r="L50" s="433" t="s">
        <v>15575</v>
      </c>
      <c r="M50" s="342"/>
      <c r="N50" s="433" t="s">
        <v>3233</v>
      </c>
      <c r="O50" s="342">
        <v>1989.0</v>
      </c>
      <c r="P50" s="433" t="s">
        <v>388</v>
      </c>
      <c r="Q50" s="342">
        <v>1.0</v>
      </c>
      <c r="R50" s="619"/>
      <c r="S50" s="620"/>
      <c r="T50" s="3"/>
      <c r="U50" s="3"/>
      <c r="V50" s="3"/>
      <c r="W50" s="3"/>
      <c r="X50" s="3"/>
      <c r="Y50" s="3"/>
      <c r="Z50" s="3"/>
      <c r="AA50" s="3"/>
      <c r="AB50" s="3"/>
      <c r="AC50" s="3"/>
      <c r="AD50" s="3"/>
      <c r="AE50" s="3"/>
      <c r="AF50" s="3"/>
      <c r="AG50" s="3"/>
      <c r="AH50" s="3"/>
      <c r="AI50" s="3"/>
      <c r="AJ50" s="3"/>
      <c r="AK50" s="3"/>
      <c r="AL50" s="3"/>
    </row>
    <row r="51" ht="15.75" customHeight="1">
      <c r="A51" s="45"/>
      <c r="B51" s="342">
        <v>44.0</v>
      </c>
      <c r="C51" s="449" t="s">
        <v>15576</v>
      </c>
      <c r="D51" s="342" t="s">
        <v>31</v>
      </c>
      <c r="E51" s="434" t="s">
        <v>15577</v>
      </c>
      <c r="F51" s="433"/>
      <c r="G51" s="433" t="s">
        <v>29</v>
      </c>
      <c r="H51" s="433" t="s">
        <v>37</v>
      </c>
      <c r="I51" s="433"/>
      <c r="J51" s="433" t="s">
        <v>38</v>
      </c>
      <c r="K51" s="433">
        <v>2693.0</v>
      </c>
      <c r="L51" s="433" t="s">
        <v>15578</v>
      </c>
      <c r="M51" s="342"/>
      <c r="N51" s="433" t="s">
        <v>15479</v>
      </c>
      <c r="O51" s="342">
        <v>1992.0</v>
      </c>
      <c r="P51" s="433" t="s">
        <v>388</v>
      </c>
      <c r="Q51" s="342">
        <v>1.0</v>
      </c>
      <c r="R51" s="619"/>
      <c r="S51" s="620"/>
      <c r="T51" s="3"/>
      <c r="U51" s="3"/>
      <c r="V51" s="3"/>
      <c r="W51" s="3"/>
      <c r="X51" s="3"/>
      <c r="Y51" s="3"/>
      <c r="Z51" s="3"/>
      <c r="AA51" s="3"/>
      <c r="AB51" s="3"/>
      <c r="AC51" s="3"/>
      <c r="AD51" s="3"/>
      <c r="AE51" s="3"/>
      <c r="AF51" s="3"/>
      <c r="AG51" s="3"/>
      <c r="AH51" s="3"/>
      <c r="AI51" s="3"/>
      <c r="AJ51" s="3"/>
      <c r="AK51" s="3"/>
      <c r="AL51" s="3"/>
    </row>
    <row r="52" ht="15.75" customHeight="1">
      <c r="A52" s="45"/>
      <c r="B52" s="342">
        <v>45.0</v>
      </c>
      <c r="C52" s="449" t="s">
        <v>31</v>
      </c>
      <c r="D52" s="433" t="s">
        <v>15508</v>
      </c>
      <c r="E52" s="434" t="s">
        <v>15579</v>
      </c>
      <c r="F52" s="433"/>
      <c r="G52" s="433" t="s">
        <v>29</v>
      </c>
      <c r="H52" s="433" t="s">
        <v>37</v>
      </c>
      <c r="I52" s="433"/>
      <c r="J52" s="433" t="s">
        <v>38</v>
      </c>
      <c r="K52" s="433">
        <v>1303.0</v>
      </c>
      <c r="L52" s="433" t="s">
        <v>15580</v>
      </c>
      <c r="M52" s="342"/>
      <c r="N52" s="433"/>
      <c r="O52" s="342"/>
      <c r="P52" s="433" t="s">
        <v>388</v>
      </c>
      <c r="Q52" s="342">
        <v>1.0</v>
      </c>
      <c r="R52" s="619"/>
      <c r="S52" s="620"/>
      <c r="T52" s="3"/>
      <c r="U52" s="3"/>
      <c r="V52" s="3"/>
      <c r="W52" s="3"/>
      <c r="X52" s="3"/>
      <c r="Y52" s="3"/>
      <c r="Z52" s="3"/>
      <c r="AA52" s="3"/>
      <c r="AB52" s="3"/>
      <c r="AC52" s="3"/>
      <c r="AD52" s="3"/>
      <c r="AE52" s="3"/>
      <c r="AF52" s="3"/>
      <c r="AG52" s="3"/>
      <c r="AH52" s="3"/>
      <c r="AI52" s="3"/>
      <c r="AJ52" s="3"/>
      <c r="AK52" s="3"/>
      <c r="AL52" s="3"/>
    </row>
    <row r="53" ht="15.75" customHeight="1">
      <c r="A53" s="45"/>
      <c r="B53" s="342">
        <v>46.0</v>
      </c>
      <c r="C53" s="449" t="s">
        <v>31</v>
      </c>
      <c r="D53" s="342" t="s">
        <v>15581</v>
      </c>
      <c r="E53" s="434" t="s">
        <v>15538</v>
      </c>
      <c r="F53" s="433"/>
      <c r="G53" s="433" t="s">
        <v>29</v>
      </c>
      <c r="H53" s="433" t="s">
        <v>37</v>
      </c>
      <c r="I53" s="433"/>
      <c r="J53" s="433" t="s">
        <v>38</v>
      </c>
      <c r="K53" s="433">
        <v>487.0</v>
      </c>
      <c r="L53" s="433" t="s">
        <v>15582</v>
      </c>
      <c r="M53" s="342"/>
      <c r="N53" s="433" t="s">
        <v>15479</v>
      </c>
      <c r="O53" s="342">
        <v>1980.0</v>
      </c>
      <c r="P53" s="433" t="s">
        <v>388</v>
      </c>
      <c r="Q53" s="342">
        <v>1.0</v>
      </c>
      <c r="R53" s="619"/>
      <c r="S53" s="620"/>
      <c r="T53" s="3"/>
      <c r="U53" s="3"/>
      <c r="V53" s="3"/>
      <c r="W53" s="3"/>
      <c r="X53" s="3"/>
      <c r="Y53" s="3"/>
      <c r="Z53" s="3"/>
      <c r="AA53" s="3"/>
      <c r="AB53" s="3"/>
      <c r="AC53" s="3"/>
      <c r="AD53" s="3"/>
      <c r="AE53" s="3"/>
      <c r="AF53" s="3"/>
      <c r="AG53" s="3"/>
      <c r="AH53" s="3"/>
      <c r="AI53" s="3"/>
      <c r="AJ53" s="3"/>
      <c r="AK53" s="3"/>
      <c r="AL53" s="3"/>
    </row>
    <row r="54" ht="15.75" customHeight="1">
      <c r="A54" s="45"/>
      <c r="B54" s="342">
        <v>47.0</v>
      </c>
      <c r="C54" s="449" t="s">
        <v>31</v>
      </c>
      <c r="D54" s="342" t="s">
        <v>15583</v>
      </c>
      <c r="E54" s="434" t="s">
        <v>15584</v>
      </c>
      <c r="F54" s="433"/>
      <c r="G54" s="433" t="s">
        <v>29</v>
      </c>
      <c r="H54" s="433" t="s">
        <v>37</v>
      </c>
      <c r="I54" s="433"/>
      <c r="J54" s="433" t="s">
        <v>38</v>
      </c>
      <c r="K54" s="433">
        <v>1008.0</v>
      </c>
      <c r="L54" s="433" t="s">
        <v>15585</v>
      </c>
      <c r="M54" s="342"/>
      <c r="N54" s="433" t="s">
        <v>15479</v>
      </c>
      <c r="O54" s="342">
        <v>1989.0</v>
      </c>
      <c r="P54" s="433" t="s">
        <v>388</v>
      </c>
      <c r="Q54" s="342">
        <v>1.0</v>
      </c>
      <c r="R54" s="619"/>
      <c r="S54" s="620"/>
      <c r="T54" s="3"/>
      <c r="U54" s="3"/>
      <c r="V54" s="3"/>
      <c r="W54" s="3"/>
      <c r="X54" s="3"/>
      <c r="Y54" s="3"/>
      <c r="Z54" s="3"/>
      <c r="AA54" s="3"/>
      <c r="AB54" s="3"/>
      <c r="AC54" s="3"/>
      <c r="AD54" s="3"/>
      <c r="AE54" s="3"/>
      <c r="AF54" s="3"/>
      <c r="AG54" s="3"/>
      <c r="AH54" s="3"/>
      <c r="AI54" s="3"/>
      <c r="AJ54" s="3"/>
      <c r="AK54" s="3"/>
      <c r="AL54" s="3"/>
    </row>
    <row r="55" ht="15.75" customHeight="1">
      <c r="A55" s="45"/>
      <c r="B55" s="342">
        <v>48.0</v>
      </c>
      <c r="C55" s="449" t="s">
        <v>31</v>
      </c>
      <c r="D55" s="433" t="s">
        <v>15552</v>
      </c>
      <c r="E55" s="434" t="s">
        <v>15560</v>
      </c>
      <c r="F55" s="433"/>
      <c r="G55" s="433" t="s">
        <v>29</v>
      </c>
      <c r="H55" s="433" t="s">
        <v>37</v>
      </c>
      <c r="I55" s="433"/>
      <c r="J55" s="433" t="s">
        <v>38</v>
      </c>
      <c r="K55" s="433">
        <v>1167.0</v>
      </c>
      <c r="L55" s="342" t="s">
        <v>31</v>
      </c>
      <c r="M55" s="342"/>
      <c r="N55" s="433" t="s">
        <v>3233</v>
      </c>
      <c r="O55" s="342">
        <v>1989.0</v>
      </c>
      <c r="P55" s="433" t="s">
        <v>388</v>
      </c>
      <c r="Q55" s="342">
        <v>1.0</v>
      </c>
      <c r="R55" s="619"/>
      <c r="S55" s="620"/>
      <c r="T55" s="3"/>
      <c r="U55" s="3"/>
      <c r="V55" s="3"/>
      <c r="W55" s="3"/>
      <c r="X55" s="3"/>
      <c r="Y55" s="3"/>
      <c r="Z55" s="3"/>
      <c r="AA55" s="3"/>
      <c r="AB55" s="3"/>
      <c r="AC55" s="3"/>
      <c r="AD55" s="3"/>
      <c r="AE55" s="3"/>
      <c r="AF55" s="3"/>
      <c r="AG55" s="3"/>
      <c r="AH55" s="3"/>
      <c r="AI55" s="3"/>
      <c r="AJ55" s="3"/>
      <c r="AK55" s="3"/>
      <c r="AL55" s="3"/>
    </row>
    <row r="56" ht="15.75" customHeight="1">
      <c r="A56" s="45"/>
      <c r="B56" s="342">
        <v>49.0</v>
      </c>
      <c r="C56" s="449" t="s">
        <v>31</v>
      </c>
      <c r="D56" s="342" t="s">
        <v>31</v>
      </c>
      <c r="E56" s="434" t="s">
        <v>15586</v>
      </c>
      <c r="F56" s="433"/>
      <c r="G56" s="433" t="s">
        <v>29</v>
      </c>
      <c r="H56" s="433" t="s">
        <v>37</v>
      </c>
      <c r="I56" s="433"/>
      <c r="J56" s="433" t="s">
        <v>38</v>
      </c>
      <c r="K56" s="433">
        <v>2008.0</v>
      </c>
      <c r="L56" s="433" t="s">
        <v>15211</v>
      </c>
      <c r="M56" s="342"/>
      <c r="N56" s="433" t="s">
        <v>15479</v>
      </c>
      <c r="O56" s="342">
        <v>1989.0</v>
      </c>
      <c r="P56" s="433" t="s">
        <v>388</v>
      </c>
      <c r="Q56" s="342">
        <v>1.0</v>
      </c>
      <c r="R56" s="619"/>
      <c r="S56" s="620"/>
      <c r="T56" s="3"/>
      <c r="U56" s="3"/>
      <c r="V56" s="3"/>
      <c r="W56" s="3"/>
      <c r="X56" s="3"/>
      <c r="Y56" s="3"/>
      <c r="Z56" s="3"/>
      <c r="AA56" s="3"/>
      <c r="AB56" s="3"/>
      <c r="AC56" s="3"/>
      <c r="AD56" s="3"/>
      <c r="AE56" s="3"/>
      <c r="AF56" s="3"/>
      <c r="AG56" s="3"/>
      <c r="AH56" s="3"/>
      <c r="AI56" s="3"/>
      <c r="AJ56" s="3"/>
      <c r="AK56" s="3"/>
      <c r="AL56" s="3"/>
    </row>
    <row r="57" ht="15.75" customHeight="1">
      <c r="A57" s="45"/>
      <c r="B57" s="342">
        <v>50.0</v>
      </c>
      <c r="C57" s="449" t="s">
        <v>15587</v>
      </c>
      <c r="D57" s="342" t="s">
        <v>15508</v>
      </c>
      <c r="E57" s="434" t="s">
        <v>15588</v>
      </c>
      <c r="F57" s="433"/>
      <c r="G57" s="433" t="s">
        <v>29</v>
      </c>
      <c r="H57" s="433" t="s">
        <v>5297</v>
      </c>
      <c r="I57" s="433"/>
      <c r="J57" s="433" t="s">
        <v>38</v>
      </c>
      <c r="K57" s="433" t="s">
        <v>31</v>
      </c>
      <c r="L57" s="433" t="s">
        <v>15589</v>
      </c>
      <c r="M57" s="342"/>
      <c r="N57" s="433" t="s">
        <v>15547</v>
      </c>
      <c r="O57" s="342">
        <v>1988.0</v>
      </c>
      <c r="P57" s="433" t="s">
        <v>388</v>
      </c>
      <c r="Q57" s="342">
        <v>1.0</v>
      </c>
      <c r="R57" s="619"/>
      <c r="S57" s="620"/>
      <c r="T57" s="3"/>
      <c r="U57" s="3"/>
      <c r="V57" s="3"/>
      <c r="W57" s="3"/>
      <c r="X57" s="3"/>
      <c r="Y57" s="3"/>
      <c r="Z57" s="3"/>
      <c r="AA57" s="3"/>
      <c r="AB57" s="3"/>
      <c r="AC57" s="3"/>
      <c r="AD57" s="3"/>
      <c r="AE57" s="3"/>
      <c r="AF57" s="3"/>
      <c r="AG57" s="3"/>
      <c r="AH57" s="3"/>
      <c r="AI57" s="3"/>
      <c r="AJ57" s="3"/>
      <c r="AK57" s="3"/>
      <c r="AL57" s="3"/>
    </row>
    <row r="58" ht="15.75" customHeight="1">
      <c r="A58" s="45"/>
      <c r="B58" s="28">
        <v>51.0</v>
      </c>
      <c r="C58" s="198" t="s">
        <v>15590</v>
      </c>
      <c r="D58" s="31" t="s">
        <v>15591</v>
      </c>
      <c r="E58" s="188" t="s">
        <v>15592</v>
      </c>
      <c r="F58" s="186"/>
      <c r="G58" s="186" t="s">
        <v>29</v>
      </c>
      <c r="H58" s="186" t="s">
        <v>81</v>
      </c>
      <c r="I58" s="186"/>
      <c r="J58" s="186" t="s">
        <v>38</v>
      </c>
      <c r="K58" s="186">
        <v>1642.0</v>
      </c>
      <c r="L58" s="186" t="s">
        <v>15593</v>
      </c>
      <c r="M58" s="28"/>
      <c r="N58" s="186" t="s">
        <v>15544</v>
      </c>
      <c r="O58" s="28">
        <v>1995.0</v>
      </c>
      <c r="P58" s="191">
        <v>30.0</v>
      </c>
      <c r="Q58" s="28">
        <v>1.0</v>
      </c>
      <c r="R58" s="632">
        <v>1.0</v>
      </c>
      <c r="S58" s="620"/>
      <c r="T58" s="3"/>
      <c r="U58" s="3"/>
      <c r="V58" s="3"/>
      <c r="W58" s="3"/>
      <c r="X58" s="3"/>
      <c r="Y58" s="3"/>
      <c r="Z58" s="3"/>
      <c r="AA58" s="3"/>
      <c r="AB58" s="3"/>
      <c r="AC58" s="3"/>
      <c r="AD58" s="3"/>
      <c r="AE58" s="3"/>
      <c r="AF58" s="3"/>
      <c r="AG58" s="3"/>
      <c r="AH58" s="3"/>
      <c r="AI58" s="3"/>
      <c r="AJ58" s="3"/>
      <c r="AK58" s="3"/>
      <c r="AL58" s="3"/>
    </row>
    <row r="59" ht="15.75" customHeight="1">
      <c r="A59" s="45"/>
      <c r="B59" s="342">
        <v>52.0</v>
      </c>
      <c r="C59" s="449" t="s">
        <v>15594</v>
      </c>
      <c r="D59" s="342" t="s">
        <v>15595</v>
      </c>
      <c r="E59" s="434" t="s">
        <v>15596</v>
      </c>
      <c r="F59" s="433"/>
      <c r="G59" s="433" t="s">
        <v>29</v>
      </c>
      <c r="H59" s="433" t="s">
        <v>38</v>
      </c>
      <c r="I59" s="433"/>
      <c r="J59" s="433" t="s">
        <v>38</v>
      </c>
      <c r="K59" s="433">
        <v>1294.0</v>
      </c>
      <c r="L59" s="342"/>
      <c r="M59" s="342"/>
      <c r="N59" s="433" t="s">
        <v>8068</v>
      </c>
      <c r="O59" s="342">
        <v>1993.0</v>
      </c>
      <c r="P59" s="433" t="s">
        <v>388</v>
      </c>
      <c r="Q59" s="342">
        <v>1.0</v>
      </c>
      <c r="R59" s="619"/>
      <c r="S59" s="620"/>
      <c r="T59" s="3"/>
      <c r="U59" s="3"/>
      <c r="V59" s="3"/>
      <c r="W59" s="3"/>
      <c r="X59" s="3"/>
      <c r="Y59" s="3"/>
      <c r="Z59" s="3"/>
      <c r="AA59" s="3"/>
      <c r="AB59" s="3"/>
      <c r="AC59" s="3"/>
      <c r="AD59" s="3"/>
      <c r="AE59" s="3"/>
      <c r="AF59" s="3"/>
      <c r="AG59" s="3"/>
      <c r="AH59" s="3"/>
      <c r="AI59" s="3"/>
      <c r="AJ59" s="3"/>
      <c r="AK59" s="3"/>
      <c r="AL59" s="3"/>
    </row>
    <row r="60" ht="15.75" customHeight="1">
      <c r="A60" s="45"/>
      <c r="B60" s="633"/>
      <c r="C60" s="634"/>
      <c r="D60" s="303"/>
      <c r="E60" s="420"/>
      <c r="F60" s="322"/>
      <c r="G60" s="322"/>
      <c r="H60" s="322"/>
      <c r="I60" s="322"/>
      <c r="J60" s="322"/>
      <c r="K60" s="322"/>
      <c r="L60" s="322"/>
      <c r="M60" s="303"/>
      <c r="N60" s="322"/>
      <c r="O60" s="303"/>
      <c r="P60" s="322"/>
      <c r="Q60" s="303"/>
      <c r="R60" s="619"/>
      <c r="S60" s="140"/>
      <c r="T60" s="149"/>
      <c r="U60" s="45"/>
      <c r="V60" s="45"/>
      <c r="W60" s="45"/>
      <c r="X60" s="45"/>
      <c r="Y60" s="45"/>
      <c r="Z60" s="45"/>
      <c r="AA60" s="45"/>
      <c r="AB60" s="45"/>
      <c r="AC60" s="45"/>
      <c r="AD60" s="45"/>
      <c r="AE60" s="45"/>
      <c r="AF60" s="45"/>
      <c r="AG60" s="45"/>
      <c r="AH60" s="45"/>
      <c r="AI60" s="45"/>
      <c r="AJ60" s="45"/>
      <c r="AK60" s="45"/>
      <c r="AL60" s="45"/>
    </row>
    <row r="61" ht="15.75" customHeight="1">
      <c r="A61" s="45"/>
      <c r="B61" s="557">
        <v>54.0</v>
      </c>
      <c r="C61" s="618" t="s">
        <v>31</v>
      </c>
      <c r="D61" s="557" t="s">
        <v>15597</v>
      </c>
      <c r="E61" s="432" t="s">
        <v>15598</v>
      </c>
      <c r="F61" s="430"/>
      <c r="G61" s="430" t="s">
        <v>29</v>
      </c>
      <c r="H61" s="430" t="s">
        <v>37</v>
      </c>
      <c r="I61" s="430"/>
      <c r="J61" s="430" t="s">
        <v>38</v>
      </c>
      <c r="K61" s="430">
        <v>1614.0</v>
      </c>
      <c r="L61" s="430" t="s">
        <v>15599</v>
      </c>
      <c r="M61" s="557"/>
      <c r="N61" s="430" t="s">
        <v>15600</v>
      </c>
      <c r="O61" s="557">
        <v>1986.0</v>
      </c>
      <c r="P61" s="430" t="s">
        <v>388</v>
      </c>
      <c r="Q61" s="557">
        <v>1.0</v>
      </c>
      <c r="R61" s="619"/>
      <c r="S61" s="620"/>
      <c r="T61" s="3"/>
      <c r="U61" s="3"/>
      <c r="V61" s="3"/>
      <c r="W61" s="3"/>
      <c r="X61" s="3"/>
      <c r="Y61" s="3"/>
      <c r="Z61" s="3"/>
      <c r="AA61" s="3"/>
      <c r="AB61" s="3"/>
      <c r="AC61" s="3"/>
      <c r="AD61" s="3"/>
      <c r="AE61" s="3"/>
      <c r="AF61" s="3"/>
      <c r="AG61" s="3"/>
      <c r="AH61" s="3"/>
      <c r="AI61" s="3"/>
      <c r="AJ61" s="3"/>
      <c r="AK61" s="3"/>
      <c r="AL61" s="3"/>
    </row>
    <row r="62" ht="15.75" customHeight="1">
      <c r="A62" s="45"/>
      <c r="B62" s="342"/>
      <c r="C62" s="449"/>
      <c r="D62" s="342"/>
      <c r="E62" s="434"/>
      <c r="F62" s="433"/>
      <c r="G62" s="433"/>
      <c r="H62" s="433"/>
      <c r="I62" s="433"/>
      <c r="J62" s="433"/>
      <c r="K62" s="433"/>
      <c r="L62" s="433"/>
      <c r="M62" s="342"/>
      <c r="N62" s="433"/>
      <c r="O62" s="342"/>
      <c r="P62" s="433"/>
      <c r="Q62" s="342"/>
      <c r="R62" s="619"/>
      <c r="S62" s="620"/>
      <c r="T62" s="3"/>
      <c r="U62" s="3"/>
      <c r="V62" s="3"/>
      <c r="W62" s="3"/>
      <c r="X62" s="3"/>
      <c r="Y62" s="3"/>
      <c r="Z62" s="3"/>
      <c r="AA62" s="3"/>
      <c r="AB62" s="3"/>
      <c r="AC62" s="3"/>
      <c r="AD62" s="3"/>
      <c r="AE62" s="3"/>
      <c r="AF62" s="3"/>
      <c r="AG62" s="3"/>
      <c r="AH62" s="3"/>
      <c r="AI62" s="3"/>
      <c r="AJ62" s="3"/>
      <c r="AK62" s="3"/>
      <c r="AL62" s="3"/>
    </row>
    <row r="63" ht="15.75" customHeight="1">
      <c r="A63" s="45"/>
      <c r="B63" s="557">
        <v>56.0</v>
      </c>
      <c r="C63" s="618" t="s">
        <v>31</v>
      </c>
      <c r="D63" s="557" t="s">
        <v>15601</v>
      </c>
      <c r="E63" s="432" t="s">
        <v>15602</v>
      </c>
      <c r="F63" s="430"/>
      <c r="G63" s="430" t="s">
        <v>29</v>
      </c>
      <c r="H63" s="430" t="s">
        <v>38</v>
      </c>
      <c r="I63" s="430"/>
      <c r="J63" s="430" t="s">
        <v>38</v>
      </c>
      <c r="K63" s="430">
        <v>1604.0</v>
      </c>
      <c r="L63" s="430" t="s">
        <v>15603</v>
      </c>
      <c r="M63" s="557"/>
      <c r="N63" s="430" t="s">
        <v>15604</v>
      </c>
      <c r="O63" s="557">
        <v>1965.0</v>
      </c>
      <c r="P63" s="430" t="s">
        <v>388</v>
      </c>
      <c r="Q63" s="557">
        <v>1.0</v>
      </c>
      <c r="R63" s="619"/>
      <c r="S63" s="620"/>
      <c r="T63" s="3"/>
      <c r="U63" s="3"/>
      <c r="V63" s="3"/>
      <c r="W63" s="3"/>
      <c r="X63" s="3"/>
      <c r="Y63" s="3"/>
      <c r="Z63" s="3"/>
      <c r="AA63" s="3"/>
      <c r="AB63" s="3"/>
      <c r="AC63" s="3"/>
      <c r="AD63" s="3"/>
      <c r="AE63" s="3"/>
      <c r="AF63" s="3"/>
      <c r="AG63" s="3"/>
      <c r="AH63" s="3"/>
      <c r="AI63" s="3"/>
      <c r="AJ63" s="3"/>
      <c r="AK63" s="3"/>
      <c r="AL63" s="3"/>
    </row>
    <row r="64" ht="15.75" customHeight="1">
      <c r="A64" s="45"/>
      <c r="B64" s="557">
        <v>57.0</v>
      </c>
      <c r="C64" s="618" t="s">
        <v>31</v>
      </c>
      <c r="D64" s="430" t="s">
        <v>15605</v>
      </c>
      <c r="E64" s="432" t="s">
        <v>15606</v>
      </c>
      <c r="F64" s="430"/>
      <c r="G64" s="430" t="s">
        <v>29</v>
      </c>
      <c r="H64" s="430" t="s">
        <v>37</v>
      </c>
      <c r="I64" s="430"/>
      <c r="J64" s="430" t="s">
        <v>38</v>
      </c>
      <c r="K64" s="430">
        <v>1122.0</v>
      </c>
      <c r="L64" s="430" t="s">
        <v>15607</v>
      </c>
      <c r="M64" s="557"/>
      <c r="N64" s="430" t="s">
        <v>15479</v>
      </c>
      <c r="O64" s="557">
        <v>1978.0</v>
      </c>
      <c r="P64" s="430" t="s">
        <v>388</v>
      </c>
      <c r="Q64" s="557">
        <v>1.0</v>
      </c>
      <c r="R64" s="619"/>
      <c r="S64" s="620"/>
      <c r="T64" s="3"/>
      <c r="U64" s="3"/>
      <c r="V64" s="3"/>
      <c r="W64" s="3"/>
      <c r="X64" s="3"/>
      <c r="Y64" s="3"/>
      <c r="Z64" s="3"/>
      <c r="AA64" s="3"/>
      <c r="AB64" s="3"/>
      <c r="AC64" s="3"/>
      <c r="AD64" s="3"/>
      <c r="AE64" s="3"/>
      <c r="AF64" s="3"/>
      <c r="AG64" s="3"/>
      <c r="AH64" s="3"/>
      <c r="AI64" s="3"/>
      <c r="AJ64" s="3"/>
      <c r="AK64" s="3"/>
      <c r="AL64" s="3"/>
    </row>
    <row r="65" ht="15.75" customHeight="1">
      <c r="A65" s="45"/>
      <c r="B65" s="342">
        <v>58.0</v>
      </c>
      <c r="C65" s="449" t="s">
        <v>31</v>
      </c>
      <c r="D65" s="433" t="s">
        <v>15608</v>
      </c>
      <c r="E65" s="434" t="s">
        <v>15602</v>
      </c>
      <c r="F65" s="433"/>
      <c r="G65" s="433" t="s">
        <v>29</v>
      </c>
      <c r="H65" s="433" t="s">
        <v>38</v>
      </c>
      <c r="I65" s="433"/>
      <c r="J65" s="433" t="s">
        <v>38</v>
      </c>
      <c r="K65" s="433">
        <v>1604.0</v>
      </c>
      <c r="L65" s="342" t="s">
        <v>31</v>
      </c>
      <c r="M65" s="342"/>
      <c r="N65" s="433" t="s">
        <v>15604</v>
      </c>
      <c r="O65" s="342">
        <v>1965.0</v>
      </c>
      <c r="P65" s="433" t="s">
        <v>388</v>
      </c>
      <c r="Q65" s="342">
        <v>1.0</v>
      </c>
      <c r="R65" s="619"/>
      <c r="S65" s="620"/>
      <c r="T65" s="3"/>
      <c r="U65" s="3"/>
      <c r="V65" s="3"/>
      <c r="W65" s="3"/>
      <c r="X65" s="3"/>
      <c r="Y65" s="3"/>
      <c r="Z65" s="3"/>
      <c r="AA65" s="3"/>
      <c r="AB65" s="3"/>
      <c r="AC65" s="3"/>
      <c r="AD65" s="3"/>
      <c r="AE65" s="3"/>
      <c r="AF65" s="3"/>
      <c r="AG65" s="3"/>
      <c r="AH65" s="3"/>
      <c r="AI65" s="3"/>
      <c r="AJ65" s="3"/>
      <c r="AK65" s="3"/>
      <c r="AL65" s="3"/>
    </row>
    <row r="66" ht="15.75" customHeight="1">
      <c r="A66" s="45"/>
      <c r="B66" s="342">
        <v>59.0</v>
      </c>
      <c r="C66" s="449" t="s">
        <v>15609</v>
      </c>
      <c r="D66" s="433" t="s">
        <v>15610</v>
      </c>
      <c r="E66" s="434" t="s">
        <v>15611</v>
      </c>
      <c r="F66" s="433"/>
      <c r="G66" s="433" t="s">
        <v>29</v>
      </c>
      <c r="H66" s="433" t="s">
        <v>38</v>
      </c>
      <c r="I66" s="433"/>
      <c r="J66" s="433" t="s">
        <v>38</v>
      </c>
      <c r="K66" s="433">
        <v>1819.0</v>
      </c>
      <c r="L66" s="342" t="s">
        <v>31</v>
      </c>
      <c r="M66" s="342"/>
      <c r="N66" s="433" t="s">
        <v>15520</v>
      </c>
      <c r="O66" s="342">
        <v>1975.0</v>
      </c>
      <c r="P66" s="433" t="s">
        <v>388</v>
      </c>
      <c r="Q66" s="342">
        <v>1.0</v>
      </c>
      <c r="R66" s="619"/>
      <c r="S66" s="620"/>
      <c r="T66" s="3"/>
      <c r="U66" s="3"/>
      <c r="V66" s="3"/>
      <c r="W66" s="3"/>
      <c r="X66" s="3"/>
      <c r="Y66" s="3"/>
      <c r="Z66" s="3"/>
      <c r="AA66" s="3"/>
      <c r="AB66" s="3"/>
      <c r="AC66" s="3"/>
      <c r="AD66" s="3"/>
      <c r="AE66" s="3"/>
      <c r="AF66" s="3"/>
      <c r="AG66" s="3"/>
      <c r="AH66" s="3"/>
      <c r="AI66" s="3"/>
      <c r="AJ66" s="3"/>
      <c r="AK66" s="3"/>
      <c r="AL66" s="3"/>
    </row>
    <row r="67" ht="15.75" customHeight="1">
      <c r="A67" s="45"/>
      <c r="B67" s="342">
        <v>60.0</v>
      </c>
      <c r="C67" s="449" t="s">
        <v>31</v>
      </c>
      <c r="D67" s="433" t="s">
        <v>15612</v>
      </c>
      <c r="E67" s="434" t="s">
        <v>15613</v>
      </c>
      <c r="F67" s="433"/>
      <c r="G67" s="433" t="s">
        <v>29</v>
      </c>
      <c r="H67" s="433" t="s">
        <v>37</v>
      </c>
      <c r="I67" s="433"/>
      <c r="J67" s="433" t="s">
        <v>38</v>
      </c>
      <c r="K67" s="433">
        <v>1101.0</v>
      </c>
      <c r="L67" s="433" t="s">
        <v>15614</v>
      </c>
      <c r="M67" s="342"/>
      <c r="N67" s="433" t="s">
        <v>15479</v>
      </c>
      <c r="O67" s="342">
        <v>1965.0</v>
      </c>
      <c r="P67" s="433" t="s">
        <v>388</v>
      </c>
      <c r="Q67" s="342">
        <v>1.0</v>
      </c>
      <c r="R67" s="619"/>
      <c r="S67" s="620"/>
      <c r="T67" s="3"/>
      <c r="U67" s="3"/>
      <c r="V67" s="3"/>
      <c r="W67" s="3"/>
      <c r="X67" s="3"/>
      <c r="Y67" s="3"/>
      <c r="Z67" s="3"/>
      <c r="AA67" s="3"/>
      <c r="AB67" s="3"/>
      <c r="AC67" s="3"/>
      <c r="AD67" s="3"/>
      <c r="AE67" s="3"/>
      <c r="AF67" s="3"/>
      <c r="AG67" s="3"/>
      <c r="AH67" s="3"/>
      <c r="AI67" s="3"/>
      <c r="AJ67" s="3"/>
      <c r="AK67" s="3"/>
      <c r="AL67" s="3"/>
    </row>
    <row r="68" ht="15.75" customHeight="1">
      <c r="A68" s="45"/>
      <c r="B68" s="477">
        <v>61.0</v>
      </c>
      <c r="C68" s="635"/>
      <c r="D68" s="476" t="s">
        <v>15615</v>
      </c>
      <c r="E68" s="482" t="s">
        <v>15616</v>
      </c>
      <c r="F68" s="476"/>
      <c r="G68" s="476" t="s">
        <v>29</v>
      </c>
      <c r="H68" s="476" t="s">
        <v>37</v>
      </c>
      <c r="I68" s="476"/>
      <c r="J68" s="476" t="s">
        <v>38</v>
      </c>
      <c r="K68" s="476">
        <v>1795.0</v>
      </c>
      <c r="L68" s="476" t="s">
        <v>15211</v>
      </c>
      <c r="M68" s="477"/>
      <c r="N68" s="476" t="s">
        <v>15491</v>
      </c>
      <c r="O68" s="477">
        <v>1970.0</v>
      </c>
      <c r="P68" s="476" t="s">
        <v>388</v>
      </c>
      <c r="Q68" s="477">
        <v>2.0</v>
      </c>
      <c r="R68" s="632">
        <v>2.0</v>
      </c>
      <c r="S68" s="140"/>
      <c r="T68" s="149"/>
      <c r="U68" s="45"/>
      <c r="V68" s="45"/>
      <c r="W68" s="45"/>
      <c r="X68" s="45"/>
      <c r="Y68" s="45"/>
      <c r="Z68" s="45"/>
      <c r="AA68" s="45"/>
      <c r="AB68" s="45"/>
      <c r="AC68" s="45"/>
      <c r="AD68" s="45"/>
      <c r="AE68" s="45"/>
      <c r="AF68" s="45"/>
      <c r="AG68" s="45"/>
      <c r="AH68" s="45"/>
      <c r="AI68" s="45"/>
      <c r="AJ68" s="45"/>
      <c r="AK68" s="45"/>
      <c r="AL68" s="45"/>
    </row>
    <row r="69" ht="15.75" customHeight="1">
      <c r="A69" s="45"/>
      <c r="B69" s="303">
        <v>62.0</v>
      </c>
      <c r="C69" s="636" t="s">
        <v>31</v>
      </c>
      <c r="D69" s="322" t="s">
        <v>15501</v>
      </c>
      <c r="E69" s="420" t="s">
        <v>15483</v>
      </c>
      <c r="F69" s="322"/>
      <c r="G69" s="322" t="s">
        <v>29</v>
      </c>
      <c r="H69" s="322" t="s">
        <v>38</v>
      </c>
      <c r="I69" s="322"/>
      <c r="J69" s="322" t="s">
        <v>38</v>
      </c>
      <c r="K69" s="322">
        <v>1004.0</v>
      </c>
      <c r="L69" s="322" t="s">
        <v>15211</v>
      </c>
      <c r="M69" s="303"/>
      <c r="N69" s="322" t="s">
        <v>15476</v>
      </c>
      <c r="O69" s="303">
        <v>1966.0</v>
      </c>
      <c r="P69" s="322" t="s">
        <v>388</v>
      </c>
      <c r="Q69" s="303">
        <v>1.0</v>
      </c>
      <c r="R69" s="619"/>
      <c r="S69" s="620"/>
      <c r="T69" s="3"/>
      <c r="U69" s="3"/>
      <c r="V69" s="3"/>
      <c r="W69" s="3"/>
      <c r="X69" s="3"/>
      <c r="Y69" s="3"/>
      <c r="Z69" s="3"/>
      <c r="AA69" s="3"/>
      <c r="AB69" s="3"/>
      <c r="AC69" s="3"/>
      <c r="AD69" s="3"/>
      <c r="AE69" s="3"/>
      <c r="AF69" s="3"/>
      <c r="AG69" s="3"/>
      <c r="AH69" s="3"/>
      <c r="AI69" s="3"/>
      <c r="AJ69" s="3"/>
      <c r="AK69" s="3"/>
      <c r="AL69" s="3"/>
    </row>
    <row r="70" ht="15.75" customHeight="1">
      <c r="A70" s="45"/>
      <c r="B70" s="342">
        <v>63.0</v>
      </c>
      <c r="C70" s="449" t="s">
        <v>31</v>
      </c>
      <c r="D70" s="342" t="s">
        <v>15617</v>
      </c>
      <c r="E70" s="434" t="s">
        <v>15618</v>
      </c>
      <c r="F70" s="433"/>
      <c r="G70" s="433" t="s">
        <v>29</v>
      </c>
      <c r="H70" s="433" t="s">
        <v>38</v>
      </c>
      <c r="I70" s="433"/>
      <c r="J70" s="433" t="s">
        <v>38</v>
      </c>
      <c r="K70" s="433">
        <v>447.0</v>
      </c>
      <c r="L70" s="342" t="s">
        <v>31</v>
      </c>
      <c r="M70" s="342"/>
      <c r="N70" s="433" t="s">
        <v>15619</v>
      </c>
      <c r="O70" s="342">
        <v>1961.0</v>
      </c>
      <c r="P70" s="433" t="s">
        <v>388</v>
      </c>
      <c r="Q70" s="342">
        <v>1.0</v>
      </c>
      <c r="R70" s="619"/>
      <c r="S70" s="620"/>
      <c r="T70" s="3"/>
      <c r="U70" s="3"/>
      <c r="V70" s="3"/>
      <c r="W70" s="3"/>
      <c r="X70" s="3"/>
      <c r="Y70" s="3"/>
      <c r="Z70" s="3"/>
      <c r="AA70" s="3"/>
      <c r="AB70" s="3"/>
      <c r="AC70" s="3"/>
      <c r="AD70" s="3"/>
      <c r="AE70" s="3"/>
      <c r="AF70" s="3"/>
      <c r="AG70" s="3"/>
      <c r="AH70" s="3"/>
      <c r="AI70" s="3"/>
      <c r="AJ70" s="3"/>
      <c r="AK70" s="3"/>
      <c r="AL70" s="3"/>
    </row>
    <row r="71" ht="15.75" customHeight="1">
      <c r="A71" s="45"/>
      <c r="B71" s="342">
        <v>64.0</v>
      </c>
      <c r="C71" s="449" t="s">
        <v>31</v>
      </c>
      <c r="D71" s="433" t="s">
        <v>15620</v>
      </c>
      <c r="E71" s="434" t="s">
        <v>15621</v>
      </c>
      <c r="F71" s="433"/>
      <c r="G71" s="433" t="s">
        <v>29</v>
      </c>
      <c r="H71" s="433" t="s">
        <v>38</v>
      </c>
      <c r="I71" s="433"/>
      <c r="J71" s="433" t="s">
        <v>38</v>
      </c>
      <c r="K71" s="433">
        <v>1366.0</v>
      </c>
      <c r="L71" s="342" t="s">
        <v>31</v>
      </c>
      <c r="M71" s="342"/>
      <c r="N71" s="433" t="s">
        <v>15619</v>
      </c>
      <c r="O71" s="342">
        <v>1970.0</v>
      </c>
      <c r="P71" s="433" t="s">
        <v>388</v>
      </c>
      <c r="Q71" s="342">
        <v>1.0</v>
      </c>
      <c r="R71" s="619"/>
      <c r="S71" s="620"/>
      <c r="T71" s="3"/>
      <c r="U71" s="3"/>
      <c r="V71" s="3"/>
      <c r="W71" s="3"/>
      <c r="X71" s="3"/>
      <c r="Y71" s="3"/>
      <c r="Z71" s="3"/>
      <c r="AA71" s="3"/>
      <c r="AB71" s="3"/>
      <c r="AC71" s="3"/>
      <c r="AD71" s="3"/>
      <c r="AE71" s="3"/>
      <c r="AF71" s="3"/>
      <c r="AG71" s="3"/>
      <c r="AH71" s="3"/>
      <c r="AI71" s="3"/>
      <c r="AJ71" s="3"/>
      <c r="AK71" s="3"/>
      <c r="AL71" s="3"/>
    </row>
    <row r="72" ht="15.75" customHeight="1">
      <c r="A72" s="45"/>
      <c r="B72" s="342">
        <v>66.0</v>
      </c>
      <c r="C72" s="449" t="s">
        <v>31</v>
      </c>
      <c r="D72" s="433" t="s">
        <v>15622</v>
      </c>
      <c r="E72" s="434" t="s">
        <v>15623</v>
      </c>
      <c r="F72" s="433"/>
      <c r="G72" s="433" t="s">
        <v>29</v>
      </c>
      <c r="H72" s="433" t="s">
        <v>37</v>
      </c>
      <c r="I72" s="433"/>
      <c r="J72" s="433" t="s">
        <v>38</v>
      </c>
      <c r="K72" s="433">
        <v>1696.0</v>
      </c>
      <c r="L72" s="433" t="s">
        <v>15624</v>
      </c>
      <c r="M72" s="342"/>
      <c r="N72" s="433" t="s">
        <v>3233</v>
      </c>
      <c r="O72" s="342" t="s">
        <v>31</v>
      </c>
      <c r="P72" s="433" t="s">
        <v>388</v>
      </c>
      <c r="Q72" s="342">
        <v>1.0</v>
      </c>
      <c r="R72" s="619"/>
      <c r="S72" s="620"/>
      <c r="T72" s="3"/>
      <c r="U72" s="3"/>
      <c r="V72" s="3"/>
      <c r="W72" s="3"/>
      <c r="X72" s="3"/>
      <c r="Y72" s="3"/>
      <c r="Z72" s="3"/>
      <c r="AA72" s="3"/>
      <c r="AB72" s="3"/>
      <c r="AC72" s="3"/>
      <c r="AD72" s="3"/>
      <c r="AE72" s="3"/>
      <c r="AF72" s="3"/>
      <c r="AG72" s="3"/>
      <c r="AH72" s="3"/>
      <c r="AI72" s="3"/>
      <c r="AJ72" s="3"/>
      <c r="AK72" s="3"/>
      <c r="AL72" s="3"/>
    </row>
    <row r="73" ht="15.75" customHeight="1">
      <c r="A73" s="45"/>
      <c r="B73" s="342">
        <v>67.0</v>
      </c>
      <c r="C73" s="449" t="s">
        <v>31</v>
      </c>
      <c r="D73" s="433" t="s">
        <v>15625</v>
      </c>
      <c r="E73" s="434" t="s">
        <v>15626</v>
      </c>
      <c r="F73" s="433"/>
      <c r="G73" s="433" t="s">
        <v>29</v>
      </c>
      <c r="H73" s="433" t="s">
        <v>37</v>
      </c>
      <c r="I73" s="433"/>
      <c r="J73" s="433" t="s">
        <v>38</v>
      </c>
      <c r="K73" s="433">
        <v>1308.0</v>
      </c>
      <c r="L73" s="433" t="s">
        <v>15614</v>
      </c>
      <c r="M73" s="342"/>
      <c r="N73" s="433" t="s">
        <v>15479</v>
      </c>
      <c r="O73" s="342">
        <v>1984.0</v>
      </c>
      <c r="P73" s="433" t="s">
        <v>388</v>
      </c>
      <c r="Q73" s="342">
        <v>1.0</v>
      </c>
      <c r="R73" s="619"/>
      <c r="S73" s="620"/>
      <c r="T73" s="3"/>
      <c r="U73" s="3"/>
      <c r="V73" s="3"/>
      <c r="W73" s="3"/>
      <c r="X73" s="3"/>
      <c r="Y73" s="3"/>
      <c r="Z73" s="3"/>
      <c r="AA73" s="3"/>
      <c r="AB73" s="3"/>
      <c r="AC73" s="3"/>
      <c r="AD73" s="3"/>
      <c r="AE73" s="3"/>
      <c r="AF73" s="3"/>
      <c r="AG73" s="3"/>
      <c r="AH73" s="3"/>
      <c r="AI73" s="3"/>
      <c r="AJ73" s="3"/>
      <c r="AK73" s="3"/>
      <c r="AL73" s="3"/>
    </row>
    <row r="74" ht="15.75" customHeight="1">
      <c r="A74" s="45"/>
      <c r="B74" s="342">
        <v>68.0</v>
      </c>
      <c r="C74" s="449" t="s">
        <v>31</v>
      </c>
      <c r="D74" s="433" t="s">
        <v>15627</v>
      </c>
      <c r="E74" s="434" t="s">
        <v>15496</v>
      </c>
      <c r="F74" s="433"/>
      <c r="G74" s="433" t="s">
        <v>29</v>
      </c>
      <c r="H74" s="433" t="s">
        <v>37</v>
      </c>
      <c r="I74" s="433"/>
      <c r="J74" s="433" t="s">
        <v>38</v>
      </c>
      <c r="K74" s="433">
        <v>1509.0</v>
      </c>
      <c r="L74" s="433" t="s">
        <v>15628</v>
      </c>
      <c r="M74" s="342"/>
      <c r="N74" s="433" t="s">
        <v>15479</v>
      </c>
      <c r="O74" s="342">
        <v>1989.0</v>
      </c>
      <c r="P74" s="433" t="s">
        <v>388</v>
      </c>
      <c r="Q74" s="342">
        <v>1.0</v>
      </c>
      <c r="R74" s="619"/>
      <c r="S74" s="620"/>
      <c r="T74" s="3"/>
      <c r="U74" s="3"/>
      <c r="V74" s="3"/>
      <c r="W74" s="3"/>
      <c r="X74" s="3"/>
      <c r="Y74" s="3"/>
      <c r="Z74" s="3"/>
      <c r="AA74" s="3"/>
      <c r="AB74" s="3"/>
      <c r="AC74" s="3"/>
      <c r="AD74" s="3"/>
      <c r="AE74" s="3"/>
      <c r="AF74" s="3"/>
      <c r="AG74" s="3"/>
      <c r="AH74" s="3"/>
      <c r="AI74" s="3"/>
      <c r="AJ74" s="3"/>
      <c r="AK74" s="3"/>
      <c r="AL74" s="3"/>
    </row>
    <row r="75" ht="15.75" customHeight="1">
      <c r="A75" s="45"/>
      <c r="B75" s="342">
        <v>69.0</v>
      </c>
      <c r="C75" s="449" t="s">
        <v>15629</v>
      </c>
      <c r="D75" s="433"/>
      <c r="E75" s="434" t="s">
        <v>15630</v>
      </c>
      <c r="F75" s="433"/>
      <c r="G75" s="433" t="s">
        <v>29</v>
      </c>
      <c r="H75" s="433" t="s">
        <v>37</v>
      </c>
      <c r="I75" s="433"/>
      <c r="J75" s="433" t="s">
        <v>38</v>
      </c>
      <c r="K75" s="433">
        <v>1329.0</v>
      </c>
      <c r="L75" s="433" t="s">
        <v>15631</v>
      </c>
      <c r="M75" s="342"/>
      <c r="N75" s="433" t="s">
        <v>15235</v>
      </c>
      <c r="O75" s="342">
        <v>1979.0</v>
      </c>
      <c r="P75" s="433" t="s">
        <v>388</v>
      </c>
      <c r="Q75" s="342">
        <v>2.0</v>
      </c>
      <c r="R75" s="619"/>
      <c r="S75" s="620"/>
      <c r="T75" s="3"/>
      <c r="U75" s="3"/>
      <c r="V75" s="3"/>
      <c r="W75" s="3"/>
      <c r="X75" s="3"/>
      <c r="Y75" s="3"/>
      <c r="Z75" s="3"/>
      <c r="AA75" s="3"/>
      <c r="AB75" s="3"/>
      <c r="AC75" s="3"/>
      <c r="AD75" s="3"/>
      <c r="AE75" s="3"/>
      <c r="AF75" s="3"/>
      <c r="AG75" s="3"/>
      <c r="AH75" s="3"/>
      <c r="AI75" s="3"/>
      <c r="AJ75" s="3"/>
      <c r="AK75" s="3"/>
      <c r="AL75" s="3"/>
    </row>
    <row r="76" ht="15.75" customHeight="1">
      <c r="A76" s="45"/>
      <c r="B76" s="342">
        <v>71.0</v>
      </c>
      <c r="C76" s="449" t="s">
        <v>15545</v>
      </c>
      <c r="D76" s="433" t="s">
        <v>15501</v>
      </c>
      <c r="E76" s="434" t="s">
        <v>15632</v>
      </c>
      <c r="F76" s="322"/>
      <c r="G76" s="433" t="s">
        <v>29</v>
      </c>
      <c r="H76" s="433" t="s">
        <v>5297</v>
      </c>
      <c r="I76" s="433"/>
      <c r="J76" s="433" t="s">
        <v>38</v>
      </c>
      <c r="K76" s="433">
        <v>1307.0</v>
      </c>
      <c r="L76" s="433" t="s">
        <v>15633</v>
      </c>
      <c r="M76" s="342"/>
      <c r="N76" s="433" t="s">
        <v>15547</v>
      </c>
      <c r="O76" s="342">
        <v>1988.0</v>
      </c>
      <c r="P76" s="433" t="s">
        <v>388</v>
      </c>
      <c r="Q76" s="342">
        <v>1.0</v>
      </c>
      <c r="R76" s="619"/>
      <c r="S76" s="620"/>
      <c r="T76" s="3"/>
      <c r="U76" s="3"/>
      <c r="V76" s="3"/>
      <c r="W76" s="3"/>
      <c r="X76" s="3"/>
      <c r="Y76" s="3"/>
      <c r="Z76" s="3"/>
      <c r="AA76" s="3"/>
      <c r="AB76" s="3"/>
      <c r="AC76" s="3"/>
      <c r="AD76" s="3"/>
      <c r="AE76" s="3"/>
      <c r="AF76" s="3"/>
      <c r="AG76" s="3"/>
      <c r="AH76" s="3"/>
      <c r="AI76" s="3"/>
      <c r="AJ76" s="3"/>
      <c r="AK76" s="3"/>
      <c r="AL76" s="3"/>
    </row>
    <row r="77" ht="15.75" customHeight="1">
      <c r="A77" s="45"/>
      <c r="B77" s="342">
        <v>72.0</v>
      </c>
      <c r="C77" s="449" t="s">
        <v>15634</v>
      </c>
      <c r="D77" s="342" t="s">
        <v>31</v>
      </c>
      <c r="E77" s="434" t="s">
        <v>15635</v>
      </c>
      <c r="F77" s="322"/>
      <c r="G77" s="433" t="s">
        <v>29</v>
      </c>
      <c r="H77" s="433" t="s">
        <v>81</v>
      </c>
      <c r="I77" s="433"/>
      <c r="J77" s="433" t="s">
        <v>38</v>
      </c>
      <c r="K77" s="433">
        <v>656.0</v>
      </c>
      <c r="L77" s="433" t="s">
        <v>15636</v>
      </c>
      <c r="M77" s="342"/>
      <c r="N77" s="433" t="s">
        <v>15544</v>
      </c>
      <c r="O77" s="342">
        <v>2002.0</v>
      </c>
      <c r="P77" s="433" t="s">
        <v>388</v>
      </c>
      <c r="Q77" s="342">
        <v>1.0</v>
      </c>
      <c r="R77" s="619"/>
      <c r="S77" s="620"/>
      <c r="T77" s="3"/>
      <c r="U77" s="3"/>
      <c r="V77" s="3"/>
      <c r="W77" s="3"/>
      <c r="X77" s="3"/>
      <c r="Y77" s="3"/>
      <c r="Z77" s="3"/>
      <c r="AA77" s="3"/>
      <c r="AB77" s="3"/>
      <c r="AC77" s="3"/>
      <c r="AD77" s="3"/>
      <c r="AE77" s="3"/>
      <c r="AF77" s="3"/>
      <c r="AG77" s="3"/>
      <c r="AH77" s="3"/>
      <c r="AI77" s="3"/>
      <c r="AJ77" s="3"/>
      <c r="AK77" s="3"/>
      <c r="AL77" s="3"/>
    </row>
    <row r="78" ht="15.75" customHeight="1">
      <c r="A78" s="45"/>
      <c r="B78" s="28">
        <v>73.0</v>
      </c>
      <c r="C78" s="198" t="s">
        <v>15637</v>
      </c>
      <c r="D78" s="31" t="s">
        <v>15638</v>
      </c>
      <c r="E78" s="188" t="s">
        <v>15639</v>
      </c>
      <c r="F78" s="186"/>
      <c r="G78" s="186" t="s">
        <v>29</v>
      </c>
      <c r="H78" s="186" t="s">
        <v>81</v>
      </c>
      <c r="I78" s="186"/>
      <c r="J78" s="186" t="s">
        <v>38</v>
      </c>
      <c r="K78" s="186">
        <v>1474.0</v>
      </c>
      <c r="L78" s="186" t="s">
        <v>15640</v>
      </c>
      <c r="M78" s="28"/>
      <c r="N78" s="186" t="s">
        <v>15544</v>
      </c>
      <c r="O78" s="28">
        <v>2002.0</v>
      </c>
      <c r="P78" s="191">
        <v>30.0</v>
      </c>
      <c r="Q78" s="28">
        <v>1.0</v>
      </c>
      <c r="R78" s="632">
        <v>1.0</v>
      </c>
      <c r="S78" s="620"/>
      <c r="T78" s="3"/>
      <c r="U78" s="3"/>
      <c r="V78" s="3"/>
      <c r="W78" s="3"/>
      <c r="X78" s="3"/>
      <c r="Y78" s="3"/>
      <c r="Z78" s="3"/>
      <c r="AA78" s="3"/>
      <c r="AB78" s="3"/>
      <c r="AC78" s="3"/>
      <c r="AD78" s="3"/>
      <c r="AE78" s="3"/>
      <c r="AF78" s="3"/>
      <c r="AG78" s="3"/>
      <c r="AH78" s="3"/>
      <c r="AI78" s="3"/>
      <c r="AJ78" s="3"/>
      <c r="AK78" s="3"/>
      <c r="AL78" s="3"/>
    </row>
    <row r="79" ht="15.75" customHeight="1">
      <c r="A79" s="45"/>
      <c r="B79" s="342">
        <v>74.0</v>
      </c>
      <c r="C79" s="449" t="s">
        <v>31</v>
      </c>
      <c r="D79" s="433" t="s">
        <v>15641</v>
      </c>
      <c r="E79" s="434" t="s">
        <v>15642</v>
      </c>
      <c r="F79" s="322"/>
      <c r="G79" s="433" t="s">
        <v>29</v>
      </c>
      <c r="H79" s="433" t="s">
        <v>15304</v>
      </c>
      <c r="I79" s="433"/>
      <c r="J79" s="433" t="s">
        <v>11166</v>
      </c>
      <c r="K79" s="433">
        <v>2487.0</v>
      </c>
      <c r="L79" s="433" t="s">
        <v>15643</v>
      </c>
      <c r="M79" s="342"/>
      <c r="N79" s="433" t="s">
        <v>15644</v>
      </c>
      <c r="O79" s="342">
        <v>1998.0</v>
      </c>
      <c r="P79" s="433" t="s">
        <v>388</v>
      </c>
      <c r="Q79" s="342">
        <v>1.0</v>
      </c>
      <c r="R79" s="619"/>
      <c r="S79" s="620"/>
      <c r="T79" s="3"/>
      <c r="U79" s="3"/>
      <c r="V79" s="3"/>
      <c r="W79" s="3"/>
      <c r="X79" s="3"/>
      <c r="Y79" s="3"/>
      <c r="Z79" s="3"/>
      <c r="AA79" s="3"/>
      <c r="AB79" s="3"/>
      <c r="AC79" s="3"/>
      <c r="AD79" s="3"/>
      <c r="AE79" s="3"/>
      <c r="AF79" s="3"/>
      <c r="AG79" s="3"/>
      <c r="AH79" s="3"/>
      <c r="AI79" s="3"/>
      <c r="AJ79" s="3"/>
      <c r="AK79" s="3"/>
      <c r="AL79" s="3"/>
    </row>
    <row r="80" ht="15.75" customHeight="1">
      <c r="A80" s="45"/>
      <c r="B80" s="342">
        <v>75.0</v>
      </c>
      <c r="C80" s="449" t="s">
        <v>31</v>
      </c>
      <c r="D80" s="342"/>
      <c r="E80" s="434" t="s">
        <v>15645</v>
      </c>
      <c r="F80" s="322"/>
      <c r="G80" s="433" t="s">
        <v>29</v>
      </c>
      <c r="H80" s="433" t="s">
        <v>15646</v>
      </c>
      <c r="I80" s="433"/>
      <c r="J80" s="433" t="s">
        <v>15647</v>
      </c>
      <c r="K80" s="433">
        <v>1020.0</v>
      </c>
      <c r="L80" s="433" t="s">
        <v>15648</v>
      </c>
      <c r="M80" s="342"/>
      <c r="N80" s="433" t="s">
        <v>3233</v>
      </c>
      <c r="O80" s="342" t="s">
        <v>31</v>
      </c>
      <c r="P80" s="433" t="s">
        <v>388</v>
      </c>
      <c r="Q80" s="342">
        <v>1.0</v>
      </c>
      <c r="R80" s="619"/>
      <c r="S80" s="620"/>
      <c r="T80" s="3"/>
      <c r="U80" s="3"/>
      <c r="V80" s="3"/>
      <c r="W80" s="3"/>
      <c r="X80" s="3"/>
      <c r="Y80" s="3"/>
      <c r="Z80" s="3"/>
      <c r="AA80" s="3"/>
      <c r="AB80" s="3"/>
      <c r="AC80" s="3"/>
      <c r="AD80" s="3"/>
      <c r="AE80" s="3"/>
      <c r="AF80" s="3"/>
      <c r="AG80" s="3"/>
      <c r="AH80" s="3"/>
      <c r="AI80" s="3"/>
      <c r="AJ80" s="3"/>
      <c r="AK80" s="3"/>
      <c r="AL80" s="3"/>
    </row>
    <row r="81" ht="15.75" customHeight="1">
      <c r="A81" s="45"/>
      <c r="B81" s="557">
        <v>77.0</v>
      </c>
      <c r="C81" s="618" t="s">
        <v>15649</v>
      </c>
      <c r="D81" s="430" t="s">
        <v>15650</v>
      </c>
      <c r="E81" s="432" t="s">
        <v>15651</v>
      </c>
      <c r="F81" s="430" t="s">
        <v>12445</v>
      </c>
      <c r="G81" s="430" t="s">
        <v>29</v>
      </c>
      <c r="H81" s="430" t="s">
        <v>37</v>
      </c>
      <c r="I81" s="430"/>
      <c r="J81" s="430" t="s">
        <v>14410</v>
      </c>
      <c r="K81" s="430"/>
      <c r="L81" s="430" t="s">
        <v>15652</v>
      </c>
      <c r="M81" s="557"/>
      <c r="N81" s="430" t="s">
        <v>3233</v>
      </c>
      <c r="O81" s="557">
        <v>1992.0</v>
      </c>
      <c r="P81" s="430" t="s">
        <v>388</v>
      </c>
      <c r="Q81" s="557">
        <v>1.0</v>
      </c>
      <c r="R81" s="619"/>
      <c r="S81" s="620"/>
      <c r="T81" s="3"/>
      <c r="U81" s="3"/>
      <c r="V81" s="3"/>
      <c r="W81" s="3"/>
      <c r="X81" s="3"/>
      <c r="Y81" s="3"/>
      <c r="Z81" s="3"/>
      <c r="AA81" s="3"/>
      <c r="AB81" s="3"/>
      <c r="AC81" s="3"/>
      <c r="AD81" s="3"/>
      <c r="AE81" s="3"/>
      <c r="AF81" s="3"/>
      <c r="AG81" s="3"/>
      <c r="AH81" s="3"/>
      <c r="AI81" s="3"/>
      <c r="AJ81" s="3"/>
      <c r="AK81" s="3"/>
      <c r="AL81" s="3"/>
    </row>
    <row r="82" ht="15.75" customHeight="1">
      <c r="A82" s="45"/>
      <c r="B82" s="342">
        <v>78.0</v>
      </c>
      <c r="C82" s="449" t="s">
        <v>15482</v>
      </c>
      <c r="D82" s="342" t="s">
        <v>15653</v>
      </c>
      <c r="E82" s="434" t="s">
        <v>15574</v>
      </c>
      <c r="F82" s="322"/>
      <c r="G82" s="433" t="s">
        <v>29</v>
      </c>
      <c r="H82" s="433" t="s">
        <v>37</v>
      </c>
      <c r="I82" s="433"/>
      <c r="J82" s="433" t="s">
        <v>38</v>
      </c>
      <c r="K82" s="433">
        <v>1007.0</v>
      </c>
      <c r="L82" s="342" t="s">
        <v>31</v>
      </c>
      <c r="M82" s="342"/>
      <c r="N82" s="433" t="s">
        <v>15520</v>
      </c>
      <c r="O82" s="342">
        <v>1975.0</v>
      </c>
      <c r="P82" s="433" t="s">
        <v>388</v>
      </c>
      <c r="Q82" s="342">
        <v>1.0</v>
      </c>
      <c r="R82" s="619"/>
      <c r="S82" s="620"/>
      <c r="T82" s="3"/>
      <c r="U82" s="3"/>
      <c r="V82" s="3"/>
      <c r="W82" s="3"/>
      <c r="X82" s="3"/>
      <c r="Y82" s="3"/>
      <c r="Z82" s="3"/>
      <c r="AA82" s="3"/>
      <c r="AB82" s="3"/>
      <c r="AC82" s="3"/>
      <c r="AD82" s="3"/>
      <c r="AE82" s="3"/>
      <c r="AF82" s="3"/>
      <c r="AG82" s="3"/>
      <c r="AH82" s="3"/>
      <c r="AI82" s="3"/>
      <c r="AJ82" s="3"/>
      <c r="AK82" s="3"/>
      <c r="AL82" s="3"/>
    </row>
    <row r="83" ht="15.75" customHeight="1">
      <c r="A83" s="45"/>
      <c r="B83" s="342">
        <v>79.0</v>
      </c>
      <c r="C83" s="449" t="s">
        <v>31</v>
      </c>
      <c r="D83" s="342" t="s">
        <v>15654</v>
      </c>
      <c r="E83" s="434" t="s">
        <v>15574</v>
      </c>
      <c r="F83" s="322"/>
      <c r="G83" s="433" t="s">
        <v>29</v>
      </c>
      <c r="H83" s="433" t="s">
        <v>37</v>
      </c>
      <c r="I83" s="433"/>
      <c r="J83" s="433" t="s">
        <v>38</v>
      </c>
      <c r="K83" s="433">
        <v>1116.0</v>
      </c>
      <c r="L83" s="433" t="s">
        <v>15655</v>
      </c>
      <c r="M83" s="342"/>
      <c r="N83" s="433" t="s">
        <v>15479</v>
      </c>
      <c r="O83" s="342">
        <v>1963.0</v>
      </c>
      <c r="P83" s="433" t="s">
        <v>388</v>
      </c>
      <c r="Q83" s="342">
        <v>1.0</v>
      </c>
      <c r="R83" s="619"/>
      <c r="S83" s="620"/>
      <c r="T83" s="3"/>
      <c r="U83" s="3"/>
      <c r="V83" s="3"/>
      <c r="W83" s="3"/>
      <c r="X83" s="3"/>
      <c r="Y83" s="3"/>
      <c r="Z83" s="3"/>
      <c r="AA83" s="3"/>
      <c r="AB83" s="3"/>
      <c r="AC83" s="3"/>
      <c r="AD83" s="3"/>
      <c r="AE83" s="3"/>
      <c r="AF83" s="3"/>
      <c r="AG83" s="3"/>
      <c r="AH83" s="3"/>
      <c r="AI83" s="3"/>
      <c r="AJ83" s="3"/>
      <c r="AK83" s="3"/>
      <c r="AL83" s="3"/>
    </row>
    <row r="84" ht="15.75" customHeight="1">
      <c r="A84" s="45"/>
      <c r="B84" s="342">
        <v>80.0</v>
      </c>
      <c r="C84" s="449" t="s">
        <v>31</v>
      </c>
      <c r="D84" s="342" t="s">
        <v>15656</v>
      </c>
      <c r="E84" s="434" t="s">
        <v>15657</v>
      </c>
      <c r="F84" s="433"/>
      <c r="G84" s="433" t="s">
        <v>29</v>
      </c>
      <c r="H84" s="433" t="s">
        <v>37</v>
      </c>
      <c r="I84" s="433"/>
      <c r="J84" s="433" t="s">
        <v>38</v>
      </c>
      <c r="K84" s="433">
        <v>1179.0</v>
      </c>
      <c r="L84" s="433" t="s">
        <v>15658</v>
      </c>
      <c r="M84" s="342"/>
      <c r="N84" s="433" t="s">
        <v>3233</v>
      </c>
      <c r="O84" s="342">
        <v>1974.0</v>
      </c>
      <c r="P84" s="433" t="s">
        <v>388</v>
      </c>
      <c r="Q84" s="342">
        <v>1.0</v>
      </c>
      <c r="R84" s="619"/>
      <c r="S84" s="620"/>
      <c r="T84" s="3"/>
      <c r="U84" s="3"/>
      <c r="V84" s="3"/>
      <c r="W84" s="3"/>
      <c r="X84" s="3"/>
      <c r="Y84" s="3"/>
      <c r="Z84" s="3"/>
      <c r="AA84" s="3"/>
      <c r="AB84" s="3"/>
      <c r="AC84" s="3"/>
      <c r="AD84" s="3"/>
      <c r="AE84" s="3"/>
      <c r="AF84" s="3"/>
      <c r="AG84" s="3"/>
      <c r="AH84" s="3"/>
      <c r="AI84" s="3"/>
      <c r="AJ84" s="3"/>
      <c r="AK84" s="3"/>
      <c r="AL84" s="3"/>
    </row>
    <row r="85" ht="15.75" customHeight="1">
      <c r="A85" s="45"/>
      <c r="B85" s="342">
        <v>81.0</v>
      </c>
      <c r="C85" s="449" t="s">
        <v>31</v>
      </c>
      <c r="D85" s="342" t="s">
        <v>15480</v>
      </c>
      <c r="E85" s="434" t="s">
        <v>15574</v>
      </c>
      <c r="F85" s="433"/>
      <c r="G85" s="433" t="s">
        <v>29</v>
      </c>
      <c r="H85" s="433" t="s">
        <v>38</v>
      </c>
      <c r="I85" s="433"/>
      <c r="J85" s="466"/>
      <c r="K85" s="433">
        <v>1270.0</v>
      </c>
      <c r="L85" s="433" t="s">
        <v>15659</v>
      </c>
      <c r="M85" s="342"/>
      <c r="N85" s="433" t="s">
        <v>15660</v>
      </c>
      <c r="O85" s="342">
        <v>1983.0</v>
      </c>
      <c r="P85" s="433" t="s">
        <v>388</v>
      </c>
      <c r="Q85" s="342">
        <v>1.0</v>
      </c>
      <c r="R85" s="619"/>
      <c r="S85" s="620"/>
      <c r="T85" s="3"/>
      <c r="U85" s="3"/>
      <c r="V85" s="3"/>
      <c r="W85" s="3"/>
      <c r="X85" s="3"/>
      <c r="Y85" s="3"/>
      <c r="Z85" s="3"/>
      <c r="AA85" s="3"/>
      <c r="AB85" s="3"/>
      <c r="AC85" s="3"/>
      <c r="AD85" s="3"/>
      <c r="AE85" s="3"/>
      <c r="AF85" s="3"/>
      <c r="AG85" s="3"/>
      <c r="AH85" s="3"/>
      <c r="AI85" s="3"/>
      <c r="AJ85" s="3"/>
      <c r="AK85" s="3"/>
      <c r="AL85" s="3"/>
    </row>
    <row r="86" ht="15.75" customHeight="1">
      <c r="A86" s="45"/>
      <c r="B86" s="342">
        <v>82.0</v>
      </c>
      <c r="C86" s="449" t="s">
        <v>31</v>
      </c>
      <c r="D86" s="342" t="s">
        <v>15480</v>
      </c>
      <c r="E86" s="434" t="s">
        <v>15661</v>
      </c>
      <c r="F86" s="322"/>
      <c r="G86" s="433" t="s">
        <v>29</v>
      </c>
      <c r="H86" s="433" t="s">
        <v>38</v>
      </c>
      <c r="I86" s="433"/>
      <c r="J86" s="433" t="s">
        <v>38</v>
      </c>
      <c r="K86" s="433">
        <v>1008.0</v>
      </c>
      <c r="L86" s="433" t="s">
        <v>15662</v>
      </c>
      <c r="M86" s="342"/>
      <c r="N86" s="433" t="s">
        <v>15663</v>
      </c>
      <c r="O86" s="342" t="s">
        <v>31</v>
      </c>
      <c r="P86" s="433" t="s">
        <v>388</v>
      </c>
      <c r="Q86" s="342">
        <v>1.0</v>
      </c>
      <c r="R86" s="619"/>
      <c r="S86" s="620"/>
      <c r="T86" s="3"/>
      <c r="U86" s="3"/>
      <c r="V86" s="3"/>
      <c r="W86" s="3"/>
      <c r="X86" s="3"/>
      <c r="Y86" s="3"/>
      <c r="Z86" s="3"/>
      <c r="AA86" s="3"/>
      <c r="AB86" s="3"/>
      <c r="AC86" s="3"/>
      <c r="AD86" s="3"/>
      <c r="AE86" s="3"/>
      <c r="AF86" s="3"/>
      <c r="AG86" s="3"/>
      <c r="AH86" s="3"/>
      <c r="AI86" s="3"/>
      <c r="AJ86" s="3"/>
      <c r="AK86" s="3"/>
      <c r="AL86" s="3"/>
    </row>
    <row r="87" ht="15.75" customHeight="1">
      <c r="A87" s="45"/>
      <c r="B87" s="342">
        <v>83.0</v>
      </c>
      <c r="C87" s="449" t="s">
        <v>15664</v>
      </c>
      <c r="D87" s="342" t="s">
        <v>15665</v>
      </c>
      <c r="E87" s="434" t="s">
        <v>15666</v>
      </c>
      <c r="F87" s="433"/>
      <c r="G87" s="433" t="s">
        <v>29</v>
      </c>
      <c r="H87" s="433" t="s">
        <v>37</v>
      </c>
      <c r="I87" s="433"/>
      <c r="J87" s="433" t="s">
        <v>38</v>
      </c>
      <c r="K87" s="433">
        <v>1490.0</v>
      </c>
      <c r="L87" s="433" t="s">
        <v>15211</v>
      </c>
      <c r="M87" s="342"/>
      <c r="N87" s="433" t="s">
        <v>15667</v>
      </c>
      <c r="O87" s="342">
        <v>2000.0</v>
      </c>
      <c r="P87" s="433" t="s">
        <v>388</v>
      </c>
      <c r="Q87" s="342">
        <v>1.0</v>
      </c>
      <c r="R87" s="619"/>
      <c r="S87" s="620"/>
      <c r="T87" s="3"/>
      <c r="U87" s="3"/>
      <c r="V87" s="3"/>
      <c r="W87" s="3"/>
      <c r="X87" s="3"/>
      <c r="Y87" s="3"/>
      <c r="Z87" s="3"/>
      <c r="AA87" s="3"/>
      <c r="AB87" s="3"/>
      <c r="AC87" s="3"/>
      <c r="AD87" s="3"/>
      <c r="AE87" s="3"/>
      <c r="AF87" s="3"/>
      <c r="AG87" s="3"/>
      <c r="AH87" s="3"/>
      <c r="AI87" s="3"/>
      <c r="AJ87" s="3"/>
      <c r="AK87" s="3"/>
      <c r="AL87" s="3"/>
    </row>
    <row r="88" ht="15.75" customHeight="1">
      <c r="A88" s="45"/>
      <c r="B88" s="342">
        <v>84.0</v>
      </c>
      <c r="C88" s="449" t="s">
        <v>15668</v>
      </c>
      <c r="D88" s="342" t="s">
        <v>15669</v>
      </c>
      <c r="E88" s="434" t="s">
        <v>15670</v>
      </c>
      <c r="F88" s="433"/>
      <c r="G88" s="433" t="s">
        <v>29</v>
      </c>
      <c r="H88" s="433" t="s">
        <v>37</v>
      </c>
      <c r="I88" s="433"/>
      <c r="J88" s="433" t="s">
        <v>38</v>
      </c>
      <c r="K88" s="433">
        <v>1303.0</v>
      </c>
      <c r="L88" s="433" t="s">
        <v>15671</v>
      </c>
      <c r="M88" s="342"/>
      <c r="N88" s="433" t="s">
        <v>15479</v>
      </c>
      <c r="O88" s="342">
        <v>1976.0</v>
      </c>
      <c r="P88" s="433" t="s">
        <v>388</v>
      </c>
      <c r="Q88" s="342">
        <v>1.0</v>
      </c>
      <c r="R88" s="619"/>
      <c r="S88" s="620"/>
      <c r="T88" s="3"/>
      <c r="U88" s="3"/>
      <c r="V88" s="3"/>
      <c r="W88" s="3"/>
      <c r="X88" s="3"/>
      <c r="Y88" s="3"/>
      <c r="Z88" s="3"/>
      <c r="AA88" s="3"/>
      <c r="AB88" s="3"/>
      <c r="AC88" s="3"/>
      <c r="AD88" s="3"/>
      <c r="AE88" s="3"/>
      <c r="AF88" s="3"/>
      <c r="AG88" s="3"/>
      <c r="AH88" s="3"/>
      <c r="AI88" s="3"/>
      <c r="AJ88" s="3"/>
      <c r="AK88" s="3"/>
      <c r="AL88" s="3"/>
    </row>
    <row r="89" ht="15.75" customHeight="1">
      <c r="A89" s="45"/>
      <c r="B89" s="557">
        <v>85.0</v>
      </c>
      <c r="C89" s="618" t="s">
        <v>31</v>
      </c>
      <c r="D89" s="557" t="s">
        <v>15672</v>
      </c>
      <c r="E89" s="432" t="s">
        <v>15673</v>
      </c>
      <c r="F89" s="557"/>
      <c r="G89" s="430" t="s">
        <v>29</v>
      </c>
      <c r="H89" s="430" t="s">
        <v>37</v>
      </c>
      <c r="I89" s="430"/>
      <c r="J89" s="430" t="s">
        <v>38</v>
      </c>
      <c r="K89" s="430">
        <v>2385.0</v>
      </c>
      <c r="L89" s="430" t="s">
        <v>15674</v>
      </c>
      <c r="M89" s="557"/>
      <c r="N89" s="430" t="s">
        <v>15550</v>
      </c>
      <c r="O89" s="557">
        <v>1978.0</v>
      </c>
      <c r="P89" s="430" t="s">
        <v>388</v>
      </c>
      <c r="Q89" s="557">
        <v>2.0</v>
      </c>
      <c r="R89" s="619"/>
      <c r="S89" s="620"/>
      <c r="T89" s="3"/>
      <c r="U89" s="3"/>
      <c r="V89" s="3"/>
      <c r="W89" s="3"/>
      <c r="X89" s="3"/>
      <c r="Y89" s="3"/>
      <c r="Z89" s="3"/>
      <c r="AA89" s="3"/>
      <c r="AB89" s="3"/>
      <c r="AC89" s="3"/>
      <c r="AD89" s="3"/>
      <c r="AE89" s="3"/>
      <c r="AF89" s="3"/>
      <c r="AG89" s="3"/>
      <c r="AH89" s="3"/>
      <c r="AI89" s="3"/>
      <c r="AJ89" s="3"/>
      <c r="AK89" s="3"/>
      <c r="AL89" s="3"/>
    </row>
    <row r="90" ht="15.75" customHeight="1">
      <c r="A90" s="45"/>
      <c r="B90" s="557">
        <v>86.0</v>
      </c>
      <c r="C90" s="618" t="s">
        <v>15675</v>
      </c>
      <c r="D90" s="430" t="s">
        <v>15676</v>
      </c>
      <c r="E90" s="432" t="s">
        <v>15677</v>
      </c>
      <c r="F90" s="557" t="s">
        <v>2355</v>
      </c>
      <c r="G90" s="430" t="s">
        <v>2355</v>
      </c>
      <c r="H90" s="430" t="s">
        <v>8203</v>
      </c>
      <c r="I90" s="430"/>
      <c r="J90" s="430" t="s">
        <v>38</v>
      </c>
      <c r="K90" s="430">
        <v>1403.0</v>
      </c>
      <c r="L90" s="430" t="s">
        <v>15678</v>
      </c>
      <c r="M90" s="557"/>
      <c r="N90" s="430" t="s">
        <v>4207</v>
      </c>
      <c r="O90" s="557">
        <v>1976.0</v>
      </c>
      <c r="P90" s="430" t="s">
        <v>388</v>
      </c>
      <c r="Q90" s="557">
        <v>1.0</v>
      </c>
      <c r="R90" s="619"/>
      <c r="S90" s="620"/>
      <c r="T90" s="3"/>
      <c r="U90" s="3"/>
      <c r="V90" s="3"/>
      <c r="W90" s="3"/>
      <c r="X90" s="3"/>
      <c r="Y90" s="3"/>
      <c r="Z90" s="3"/>
      <c r="AA90" s="3"/>
      <c r="AB90" s="3"/>
      <c r="AC90" s="3"/>
      <c r="AD90" s="3"/>
      <c r="AE90" s="3"/>
      <c r="AF90" s="3"/>
      <c r="AG90" s="3"/>
      <c r="AH90" s="3"/>
      <c r="AI90" s="3"/>
      <c r="AJ90" s="3"/>
      <c r="AK90" s="3"/>
      <c r="AL90" s="3"/>
    </row>
    <row r="91" ht="15.75" customHeight="1">
      <c r="A91" s="45"/>
      <c r="B91" s="342"/>
      <c r="C91" s="449"/>
      <c r="D91" s="433"/>
      <c r="E91" s="434"/>
      <c r="F91" s="342"/>
      <c r="G91" s="433"/>
      <c r="H91" s="433"/>
      <c r="I91" s="433"/>
      <c r="J91" s="433"/>
      <c r="K91" s="433"/>
      <c r="L91" s="342"/>
      <c r="M91" s="342"/>
      <c r="N91" s="433"/>
      <c r="O91" s="342"/>
      <c r="P91" s="433"/>
      <c r="Q91" s="342"/>
      <c r="R91" s="619"/>
      <c r="S91" s="620"/>
      <c r="T91" s="3"/>
      <c r="U91" s="3"/>
      <c r="V91" s="3"/>
      <c r="W91" s="3"/>
      <c r="X91" s="3"/>
      <c r="Y91" s="3"/>
      <c r="Z91" s="3"/>
      <c r="AA91" s="3"/>
      <c r="AB91" s="3"/>
      <c r="AC91" s="3"/>
      <c r="AD91" s="3"/>
      <c r="AE91" s="3"/>
      <c r="AF91" s="3"/>
      <c r="AG91" s="3"/>
      <c r="AH91" s="3"/>
      <c r="AI91" s="3"/>
      <c r="AJ91" s="3"/>
      <c r="AK91" s="3"/>
      <c r="AL91" s="3"/>
    </row>
    <row r="92" ht="15.75" customHeight="1">
      <c r="A92" s="45"/>
      <c r="B92" s="342">
        <v>88.0</v>
      </c>
      <c r="C92" s="449" t="s">
        <v>15679</v>
      </c>
      <c r="D92" s="433" t="s">
        <v>15680</v>
      </c>
      <c r="E92" s="434" t="s">
        <v>15681</v>
      </c>
      <c r="F92" s="342"/>
      <c r="G92" s="433" t="s">
        <v>29</v>
      </c>
      <c r="H92" s="433" t="s">
        <v>37</v>
      </c>
      <c r="I92" s="433"/>
      <c r="J92" s="433" t="s">
        <v>38</v>
      </c>
      <c r="K92" s="433">
        <v>1561.0</v>
      </c>
      <c r="L92" s="433" t="s">
        <v>15682</v>
      </c>
      <c r="M92" s="342"/>
      <c r="N92" s="433" t="s">
        <v>3233</v>
      </c>
      <c r="O92" s="342" t="s">
        <v>31</v>
      </c>
      <c r="P92" s="433" t="s">
        <v>388</v>
      </c>
      <c r="Q92" s="342">
        <v>1.0</v>
      </c>
      <c r="R92" s="619"/>
      <c r="S92" s="620"/>
      <c r="T92" s="3"/>
      <c r="U92" s="3"/>
      <c r="V92" s="3"/>
      <c r="W92" s="3"/>
      <c r="X92" s="3"/>
      <c r="Y92" s="3"/>
      <c r="Z92" s="3"/>
      <c r="AA92" s="3"/>
      <c r="AB92" s="3"/>
      <c r="AC92" s="3"/>
      <c r="AD92" s="3"/>
      <c r="AE92" s="3"/>
      <c r="AF92" s="3"/>
      <c r="AG92" s="3"/>
      <c r="AH92" s="3"/>
      <c r="AI92" s="3"/>
      <c r="AJ92" s="3"/>
      <c r="AK92" s="3"/>
      <c r="AL92" s="3"/>
    </row>
    <row r="93" ht="15.75" customHeight="1">
      <c r="A93" s="45"/>
      <c r="B93" s="342">
        <v>89.0</v>
      </c>
      <c r="C93" s="449" t="s">
        <v>31</v>
      </c>
      <c r="D93" s="433" t="s">
        <v>15683</v>
      </c>
      <c r="E93" s="434" t="s">
        <v>15684</v>
      </c>
      <c r="F93" s="342"/>
      <c r="G93" s="433" t="s">
        <v>29</v>
      </c>
      <c r="H93" s="433" t="s">
        <v>37</v>
      </c>
      <c r="I93" s="433"/>
      <c r="J93" s="433" t="s">
        <v>38</v>
      </c>
      <c r="K93" s="433">
        <v>1323.0</v>
      </c>
      <c r="L93" s="433" t="s">
        <v>15685</v>
      </c>
      <c r="M93" s="342"/>
      <c r="N93" s="433" t="s">
        <v>15479</v>
      </c>
      <c r="O93" s="342">
        <v>1984.0</v>
      </c>
      <c r="P93" s="433" t="s">
        <v>388</v>
      </c>
      <c r="Q93" s="342">
        <v>1.0</v>
      </c>
      <c r="R93" s="619"/>
      <c r="S93" s="620"/>
      <c r="T93" s="3"/>
      <c r="U93" s="3"/>
      <c r="V93" s="3"/>
      <c r="W93" s="3"/>
      <c r="X93" s="3"/>
      <c r="Y93" s="3"/>
      <c r="Z93" s="3"/>
      <c r="AA93" s="3"/>
      <c r="AB93" s="3"/>
      <c r="AC93" s="3"/>
      <c r="AD93" s="3"/>
      <c r="AE93" s="3"/>
      <c r="AF93" s="3"/>
      <c r="AG93" s="3"/>
      <c r="AH93" s="3"/>
      <c r="AI93" s="3"/>
      <c r="AJ93" s="3"/>
      <c r="AK93" s="3"/>
      <c r="AL93" s="3"/>
    </row>
    <row r="94" ht="15.75" customHeight="1">
      <c r="A94" s="45"/>
      <c r="B94" s="342">
        <v>90.0</v>
      </c>
      <c r="C94" s="449" t="s">
        <v>31</v>
      </c>
      <c r="D94" s="433" t="s">
        <v>15627</v>
      </c>
      <c r="E94" s="434" t="s">
        <v>15686</v>
      </c>
      <c r="F94" s="342"/>
      <c r="G94" s="433" t="s">
        <v>29</v>
      </c>
      <c r="H94" s="433" t="s">
        <v>37</v>
      </c>
      <c r="I94" s="433"/>
      <c r="J94" s="433" t="s">
        <v>38</v>
      </c>
      <c r="K94" s="433">
        <v>1522.0</v>
      </c>
      <c r="L94" s="433" t="s">
        <v>15687</v>
      </c>
      <c r="M94" s="342"/>
      <c r="N94" s="433" t="s">
        <v>15479</v>
      </c>
      <c r="O94" s="342">
        <v>1989.0</v>
      </c>
      <c r="P94" s="433" t="s">
        <v>388</v>
      </c>
      <c r="Q94" s="342">
        <v>1.0</v>
      </c>
      <c r="R94" s="619"/>
      <c r="S94" s="620"/>
      <c r="T94" s="3"/>
      <c r="U94" s="3"/>
      <c r="V94" s="3"/>
      <c r="W94" s="3"/>
      <c r="X94" s="3"/>
      <c r="Y94" s="3"/>
      <c r="Z94" s="3"/>
      <c r="AA94" s="3"/>
      <c r="AB94" s="3"/>
      <c r="AC94" s="3"/>
      <c r="AD94" s="3"/>
      <c r="AE94" s="3"/>
      <c r="AF94" s="3"/>
      <c r="AG94" s="3"/>
      <c r="AH94" s="3"/>
      <c r="AI94" s="3"/>
      <c r="AJ94" s="3"/>
      <c r="AK94" s="3"/>
      <c r="AL94" s="3"/>
    </row>
    <row r="95" ht="15.75" customHeight="1">
      <c r="A95" s="45"/>
      <c r="B95" s="28">
        <v>91.0</v>
      </c>
      <c r="C95" s="198" t="s">
        <v>15688</v>
      </c>
      <c r="D95" s="31" t="s">
        <v>15689</v>
      </c>
      <c r="E95" s="188" t="s">
        <v>15690</v>
      </c>
      <c r="F95" s="28"/>
      <c r="G95" s="186" t="s">
        <v>29</v>
      </c>
      <c r="H95" s="186" t="s">
        <v>37</v>
      </c>
      <c r="I95" s="186"/>
      <c r="J95" s="186" t="s">
        <v>38</v>
      </c>
      <c r="K95" s="186">
        <v>2197.0</v>
      </c>
      <c r="L95" s="186" t="s">
        <v>15691</v>
      </c>
      <c r="M95" s="28"/>
      <c r="N95" s="186" t="s">
        <v>524</v>
      </c>
      <c r="O95" s="28">
        <v>1995.0</v>
      </c>
      <c r="P95" s="191">
        <v>30.0</v>
      </c>
      <c r="Q95" s="31">
        <v>2.0</v>
      </c>
      <c r="R95" s="632">
        <v>2.0</v>
      </c>
      <c r="S95" s="620"/>
      <c r="T95" s="3"/>
      <c r="U95" s="3"/>
      <c r="V95" s="3"/>
      <c r="W95" s="3"/>
      <c r="X95" s="3"/>
      <c r="Y95" s="3"/>
      <c r="Z95" s="3"/>
      <c r="AA95" s="3"/>
      <c r="AB95" s="3"/>
      <c r="AC95" s="3"/>
      <c r="AD95" s="3"/>
      <c r="AE95" s="3"/>
      <c r="AF95" s="3"/>
      <c r="AG95" s="3"/>
      <c r="AH95" s="3"/>
      <c r="AI95" s="3"/>
      <c r="AJ95" s="3"/>
      <c r="AK95" s="3"/>
      <c r="AL95" s="3"/>
    </row>
    <row r="96" ht="15.75" customHeight="1">
      <c r="A96" s="45"/>
      <c r="B96" s="342">
        <v>92.0</v>
      </c>
      <c r="C96" s="449" t="s">
        <v>15692</v>
      </c>
      <c r="D96" s="342" t="s">
        <v>31</v>
      </c>
      <c r="E96" s="434" t="s">
        <v>15693</v>
      </c>
      <c r="F96" s="342"/>
      <c r="G96" s="433" t="s">
        <v>29</v>
      </c>
      <c r="H96" s="433" t="s">
        <v>37</v>
      </c>
      <c r="I96" s="433"/>
      <c r="J96" s="433" t="s">
        <v>38</v>
      </c>
      <c r="K96" s="433">
        <v>428.0</v>
      </c>
      <c r="L96" s="433" t="s">
        <v>15694</v>
      </c>
      <c r="M96" s="342"/>
      <c r="N96" s="433" t="s">
        <v>1176</v>
      </c>
      <c r="O96" s="342">
        <v>2002.0</v>
      </c>
      <c r="P96" s="433" t="s">
        <v>388</v>
      </c>
      <c r="Q96" s="342">
        <v>1.0</v>
      </c>
      <c r="R96" s="619"/>
      <c r="S96" s="620"/>
      <c r="T96" s="3"/>
      <c r="U96" s="3"/>
      <c r="V96" s="3"/>
      <c r="W96" s="3"/>
      <c r="X96" s="3"/>
      <c r="Y96" s="3"/>
      <c r="Z96" s="3"/>
      <c r="AA96" s="3"/>
      <c r="AB96" s="3"/>
      <c r="AC96" s="3"/>
      <c r="AD96" s="3"/>
      <c r="AE96" s="3"/>
      <c r="AF96" s="3"/>
      <c r="AG96" s="3"/>
      <c r="AH96" s="3"/>
      <c r="AI96" s="3"/>
      <c r="AJ96" s="3"/>
      <c r="AK96" s="3"/>
      <c r="AL96" s="3"/>
    </row>
    <row r="97" ht="15.75" customHeight="1">
      <c r="A97" s="45"/>
      <c r="B97" s="557">
        <v>93.0</v>
      </c>
      <c r="C97" s="618" t="s">
        <v>15695</v>
      </c>
      <c r="D97" s="557" t="s">
        <v>15696</v>
      </c>
      <c r="E97" s="432" t="s">
        <v>15697</v>
      </c>
      <c r="F97" s="557"/>
      <c r="G97" s="430" t="s">
        <v>29</v>
      </c>
      <c r="H97" s="430" t="s">
        <v>38</v>
      </c>
      <c r="I97" s="430"/>
      <c r="J97" s="430" t="s">
        <v>38</v>
      </c>
      <c r="K97" s="430">
        <v>1006.0</v>
      </c>
      <c r="L97" s="430" t="s">
        <v>15698</v>
      </c>
      <c r="M97" s="557"/>
      <c r="N97" s="430" t="s">
        <v>15300</v>
      </c>
      <c r="O97" s="557">
        <v>1993.0</v>
      </c>
      <c r="P97" s="430" t="s">
        <v>388</v>
      </c>
      <c r="Q97" s="557">
        <v>1.0</v>
      </c>
      <c r="R97" s="619"/>
      <c r="S97" s="620"/>
      <c r="T97" s="3"/>
      <c r="U97" s="3"/>
      <c r="V97" s="3"/>
      <c r="W97" s="3"/>
      <c r="X97" s="3"/>
      <c r="Y97" s="3"/>
      <c r="Z97" s="3"/>
      <c r="AA97" s="3"/>
      <c r="AB97" s="3"/>
      <c r="AC97" s="3"/>
      <c r="AD97" s="3"/>
      <c r="AE97" s="3"/>
      <c r="AF97" s="3"/>
      <c r="AG97" s="3"/>
      <c r="AH97" s="3"/>
      <c r="AI97" s="3"/>
      <c r="AJ97" s="3"/>
      <c r="AK97" s="3"/>
      <c r="AL97" s="3"/>
    </row>
    <row r="98" ht="15.75" customHeight="1">
      <c r="A98" s="45"/>
      <c r="B98" s="342">
        <v>94.0</v>
      </c>
      <c r="C98" s="449" t="s">
        <v>15699</v>
      </c>
      <c r="D98" s="342" t="s">
        <v>15700</v>
      </c>
      <c r="E98" s="434" t="s">
        <v>15701</v>
      </c>
      <c r="F98" s="342"/>
      <c r="G98" s="433" t="s">
        <v>29</v>
      </c>
      <c r="H98" s="433" t="s">
        <v>37</v>
      </c>
      <c r="I98" s="433"/>
      <c r="J98" s="433" t="s">
        <v>38</v>
      </c>
      <c r="K98" s="433">
        <v>2220.0</v>
      </c>
      <c r="L98" s="433" t="s">
        <v>15702</v>
      </c>
      <c r="M98" s="342"/>
      <c r="N98" s="433" t="s">
        <v>4744</v>
      </c>
      <c r="O98" s="342">
        <v>2004.0</v>
      </c>
      <c r="P98" s="433" t="s">
        <v>388</v>
      </c>
      <c r="Q98" s="342">
        <v>2.0</v>
      </c>
      <c r="R98" s="619"/>
      <c r="S98" s="620"/>
      <c r="T98" s="3"/>
      <c r="U98" s="3"/>
      <c r="V98" s="3"/>
      <c r="W98" s="3"/>
      <c r="X98" s="3"/>
      <c r="Y98" s="3"/>
      <c r="Z98" s="3"/>
      <c r="AA98" s="3"/>
      <c r="AB98" s="3"/>
      <c r="AC98" s="3"/>
      <c r="AD98" s="3"/>
      <c r="AE98" s="3"/>
      <c r="AF98" s="3"/>
      <c r="AG98" s="3"/>
      <c r="AH98" s="3"/>
      <c r="AI98" s="3"/>
      <c r="AJ98" s="3"/>
      <c r="AK98" s="3"/>
      <c r="AL98" s="3"/>
    </row>
    <row r="99" ht="15.75" customHeight="1">
      <c r="A99" s="45"/>
      <c r="B99" s="342">
        <v>95.0</v>
      </c>
      <c r="C99" s="618" t="s">
        <v>15703</v>
      </c>
      <c r="D99" s="557" t="s">
        <v>15704</v>
      </c>
      <c r="E99" s="432" t="s">
        <v>15705</v>
      </c>
      <c r="F99" s="557"/>
      <c r="G99" s="430" t="s">
        <v>29</v>
      </c>
      <c r="H99" s="430" t="s">
        <v>37</v>
      </c>
      <c r="I99" s="430"/>
      <c r="J99" s="430" t="s">
        <v>38</v>
      </c>
      <c r="K99" s="430">
        <v>1018.0</v>
      </c>
      <c r="L99" s="430" t="s">
        <v>15211</v>
      </c>
      <c r="M99" s="557"/>
      <c r="N99" s="430" t="s">
        <v>4744</v>
      </c>
      <c r="O99" s="557">
        <v>2007.0</v>
      </c>
      <c r="P99" s="430" t="s">
        <v>388</v>
      </c>
      <c r="Q99" s="557">
        <v>1.0</v>
      </c>
      <c r="R99" s="619"/>
      <c r="S99" s="620"/>
      <c r="T99" s="3"/>
      <c r="U99" s="3"/>
      <c r="V99" s="3"/>
      <c r="W99" s="3"/>
      <c r="X99" s="3"/>
      <c r="Y99" s="3"/>
      <c r="Z99" s="3"/>
      <c r="AA99" s="3"/>
      <c r="AB99" s="3"/>
      <c r="AC99" s="3"/>
      <c r="AD99" s="3"/>
      <c r="AE99" s="3"/>
      <c r="AF99" s="3"/>
      <c r="AG99" s="3"/>
      <c r="AH99" s="3"/>
      <c r="AI99" s="3"/>
      <c r="AJ99" s="3"/>
      <c r="AK99" s="3"/>
      <c r="AL99" s="3"/>
    </row>
    <row r="100" ht="15.75" customHeight="1">
      <c r="A100" s="45"/>
      <c r="B100" s="342">
        <v>96.0</v>
      </c>
      <c r="C100" s="449" t="s">
        <v>15706</v>
      </c>
      <c r="D100" s="342" t="s">
        <v>15707</v>
      </c>
      <c r="E100" s="434" t="s">
        <v>15708</v>
      </c>
      <c r="F100" s="342"/>
      <c r="G100" s="433" t="s">
        <v>29</v>
      </c>
      <c r="H100" s="433" t="s">
        <v>37</v>
      </c>
      <c r="I100" s="433"/>
      <c r="J100" s="433" t="s">
        <v>38</v>
      </c>
      <c r="K100" s="433">
        <v>2447.0</v>
      </c>
      <c r="L100" s="433" t="s">
        <v>15211</v>
      </c>
      <c r="M100" s="342"/>
      <c r="N100" s="433" t="s">
        <v>4744</v>
      </c>
      <c r="O100" s="342">
        <v>2007.0</v>
      </c>
      <c r="P100" s="433" t="s">
        <v>388</v>
      </c>
      <c r="Q100" s="342">
        <v>1.0</v>
      </c>
      <c r="R100" s="619"/>
      <c r="S100" s="620"/>
      <c r="T100" s="3"/>
      <c r="U100" s="3"/>
      <c r="V100" s="3"/>
      <c r="W100" s="3"/>
      <c r="X100" s="3"/>
      <c r="Y100" s="3"/>
      <c r="Z100" s="3"/>
      <c r="AA100" s="3"/>
      <c r="AB100" s="3"/>
      <c r="AC100" s="3"/>
      <c r="AD100" s="3"/>
      <c r="AE100" s="3"/>
      <c r="AF100" s="3"/>
      <c r="AG100" s="3"/>
      <c r="AH100" s="3"/>
      <c r="AI100" s="3"/>
      <c r="AJ100" s="3"/>
      <c r="AK100" s="3"/>
      <c r="AL100" s="3"/>
    </row>
    <row r="101" ht="15.75" customHeight="1">
      <c r="A101" s="45"/>
      <c r="B101" s="342">
        <v>97.0</v>
      </c>
      <c r="C101" s="449" t="s">
        <v>2344</v>
      </c>
      <c r="D101" s="433" t="s">
        <v>15709</v>
      </c>
      <c r="E101" s="434" t="s">
        <v>15710</v>
      </c>
      <c r="F101" s="342"/>
      <c r="G101" s="433" t="s">
        <v>29</v>
      </c>
      <c r="H101" s="433" t="s">
        <v>15711</v>
      </c>
      <c r="I101" s="433"/>
      <c r="J101" s="433" t="s">
        <v>38</v>
      </c>
      <c r="K101" s="433">
        <v>3241.0</v>
      </c>
      <c r="L101" s="342" t="s">
        <v>31</v>
      </c>
      <c r="M101" s="342"/>
      <c r="N101" s="433" t="s">
        <v>524</v>
      </c>
      <c r="O101" s="342">
        <v>1999.0</v>
      </c>
      <c r="P101" s="433" t="s">
        <v>388</v>
      </c>
      <c r="Q101" s="342">
        <v>1.0</v>
      </c>
      <c r="R101" s="619"/>
      <c r="S101" s="620"/>
      <c r="T101" s="3"/>
      <c r="U101" s="3"/>
      <c r="V101" s="3"/>
      <c r="W101" s="3"/>
      <c r="X101" s="3"/>
      <c r="Y101" s="3"/>
      <c r="Z101" s="3"/>
      <c r="AA101" s="3"/>
      <c r="AB101" s="3"/>
      <c r="AC101" s="3"/>
      <c r="AD101" s="3"/>
      <c r="AE101" s="3"/>
      <c r="AF101" s="3"/>
      <c r="AG101" s="3"/>
      <c r="AH101" s="3"/>
      <c r="AI101" s="3"/>
      <c r="AJ101" s="3"/>
      <c r="AK101" s="3"/>
      <c r="AL101" s="3"/>
    </row>
    <row r="102" ht="15.75" customHeight="1">
      <c r="A102" s="45"/>
      <c r="B102" s="28">
        <v>98.0</v>
      </c>
      <c r="C102" s="198" t="s">
        <v>15712</v>
      </c>
      <c r="D102" s="191" t="s">
        <v>15713</v>
      </c>
      <c r="E102" s="188" t="s">
        <v>15714</v>
      </c>
      <c r="F102" s="413"/>
      <c r="G102" s="186" t="s">
        <v>29</v>
      </c>
      <c r="H102" s="186" t="s">
        <v>15711</v>
      </c>
      <c r="I102" s="186"/>
      <c r="J102" s="186" t="s">
        <v>38</v>
      </c>
      <c r="K102" s="186">
        <v>1632.0</v>
      </c>
      <c r="L102" s="186" t="s">
        <v>15211</v>
      </c>
      <c r="M102" s="413"/>
      <c r="N102" s="186" t="s">
        <v>15550</v>
      </c>
      <c r="O102" s="28">
        <v>1989.0</v>
      </c>
      <c r="P102" s="191">
        <v>30.0</v>
      </c>
      <c r="Q102" s="28">
        <v>1.0</v>
      </c>
      <c r="R102" s="632">
        <v>1.0</v>
      </c>
      <c r="S102" s="620"/>
      <c r="T102" s="3"/>
      <c r="U102" s="3"/>
      <c r="V102" s="3"/>
      <c r="W102" s="3"/>
      <c r="X102" s="3"/>
      <c r="Y102" s="3"/>
      <c r="Z102" s="3"/>
      <c r="AA102" s="3"/>
      <c r="AB102" s="3"/>
      <c r="AC102" s="3"/>
      <c r="AD102" s="3"/>
      <c r="AE102" s="3"/>
      <c r="AF102" s="3"/>
      <c r="AG102" s="3"/>
      <c r="AH102" s="3"/>
      <c r="AI102" s="3"/>
      <c r="AJ102" s="3"/>
      <c r="AK102" s="3"/>
      <c r="AL102" s="3"/>
    </row>
    <row r="103" ht="15.75" customHeight="1">
      <c r="A103" s="45"/>
      <c r="B103" s="63">
        <v>99.0</v>
      </c>
      <c r="C103" s="637" t="s">
        <v>15715</v>
      </c>
      <c r="D103" s="63" t="s">
        <v>15716</v>
      </c>
      <c r="E103" s="638" t="s">
        <v>15717</v>
      </c>
      <c r="F103" s="639"/>
      <c r="G103" s="586" t="s">
        <v>29</v>
      </c>
      <c r="H103" s="586" t="s">
        <v>15711</v>
      </c>
      <c r="I103" s="586"/>
      <c r="J103" s="586" t="s">
        <v>38</v>
      </c>
      <c r="K103" s="586">
        <v>1170.0</v>
      </c>
      <c r="L103" s="586" t="s">
        <v>15211</v>
      </c>
      <c r="M103" s="639"/>
      <c r="N103" s="586" t="s">
        <v>83</v>
      </c>
      <c r="O103" s="63">
        <v>2009.0</v>
      </c>
      <c r="P103" s="586" t="s">
        <v>388</v>
      </c>
      <c r="Q103" s="63">
        <v>1.0</v>
      </c>
      <c r="R103" s="619">
        <v>1.0</v>
      </c>
      <c r="S103" s="140"/>
      <c r="T103" s="149"/>
      <c r="U103" s="45"/>
      <c r="V103" s="45"/>
      <c r="W103" s="45"/>
      <c r="X103" s="45"/>
      <c r="Y103" s="45"/>
      <c r="Z103" s="45"/>
      <c r="AA103" s="45"/>
      <c r="AB103" s="45"/>
      <c r="AC103" s="45"/>
      <c r="AD103" s="45"/>
      <c r="AE103" s="45"/>
      <c r="AF103" s="45"/>
      <c r="AG103" s="45"/>
      <c r="AH103" s="45"/>
      <c r="AI103" s="45"/>
      <c r="AJ103" s="45"/>
      <c r="AK103" s="45"/>
      <c r="AL103" s="45"/>
    </row>
    <row r="104" ht="15.75" customHeight="1">
      <c r="A104" s="45"/>
      <c r="B104" s="342">
        <v>100.0</v>
      </c>
      <c r="C104" s="449" t="s">
        <v>15718</v>
      </c>
      <c r="D104" s="342" t="s">
        <v>15719</v>
      </c>
      <c r="E104" s="434" t="s">
        <v>15720</v>
      </c>
      <c r="F104" s="450"/>
      <c r="G104" s="433" t="s">
        <v>29</v>
      </c>
      <c r="H104" s="433" t="s">
        <v>37</v>
      </c>
      <c r="I104" s="433"/>
      <c r="J104" s="433" t="s">
        <v>38</v>
      </c>
      <c r="K104" s="433">
        <v>2136.0</v>
      </c>
      <c r="L104" s="342" t="s">
        <v>31</v>
      </c>
      <c r="M104" s="450"/>
      <c r="N104" s="433" t="s">
        <v>4744</v>
      </c>
      <c r="O104" s="342">
        <v>1996.0</v>
      </c>
      <c r="P104" s="433" t="s">
        <v>388</v>
      </c>
      <c r="Q104" s="342">
        <v>1.0</v>
      </c>
      <c r="R104" s="619"/>
      <c r="S104" s="620"/>
      <c r="T104" s="3"/>
      <c r="U104" s="3"/>
      <c r="V104" s="3"/>
      <c r="W104" s="3"/>
      <c r="X104" s="3"/>
      <c r="Y104" s="3"/>
      <c r="Z104" s="3"/>
      <c r="AA104" s="3"/>
      <c r="AB104" s="3"/>
      <c r="AC104" s="3"/>
      <c r="AD104" s="3"/>
      <c r="AE104" s="3"/>
      <c r="AF104" s="3"/>
      <c r="AG104" s="3"/>
      <c r="AH104" s="3"/>
      <c r="AI104" s="3"/>
      <c r="AJ104" s="3"/>
      <c r="AK104" s="3"/>
      <c r="AL104" s="3"/>
    </row>
    <row r="105" ht="15.75" customHeight="1">
      <c r="A105" s="45"/>
      <c r="B105" s="557">
        <v>101.0</v>
      </c>
      <c r="C105" s="618" t="s">
        <v>15721</v>
      </c>
      <c r="D105" s="557" t="s">
        <v>15722</v>
      </c>
      <c r="E105" s="432" t="s">
        <v>15723</v>
      </c>
      <c r="F105" s="603"/>
      <c r="G105" s="430" t="s">
        <v>29</v>
      </c>
      <c r="H105" s="430" t="s">
        <v>37</v>
      </c>
      <c r="I105" s="430"/>
      <c r="J105" s="430" t="s">
        <v>38</v>
      </c>
      <c r="K105" s="430">
        <v>1686.0</v>
      </c>
      <c r="L105" s="430" t="s">
        <v>15724</v>
      </c>
      <c r="M105" s="603"/>
      <c r="N105" s="430" t="s">
        <v>15725</v>
      </c>
      <c r="O105" s="557">
        <v>1998.0</v>
      </c>
      <c r="P105" s="430" t="s">
        <v>388</v>
      </c>
      <c r="Q105" s="557">
        <v>2.0</v>
      </c>
      <c r="R105" s="619"/>
      <c r="S105" s="620"/>
      <c r="T105" s="3"/>
      <c r="U105" s="3"/>
      <c r="V105" s="3"/>
      <c r="W105" s="3"/>
      <c r="X105" s="3"/>
      <c r="Y105" s="3"/>
      <c r="Z105" s="3"/>
      <c r="AA105" s="3"/>
      <c r="AB105" s="3"/>
      <c r="AC105" s="3"/>
      <c r="AD105" s="3"/>
      <c r="AE105" s="3"/>
      <c r="AF105" s="3"/>
      <c r="AG105" s="3"/>
      <c r="AH105" s="3"/>
      <c r="AI105" s="3"/>
      <c r="AJ105" s="3"/>
      <c r="AK105" s="3"/>
      <c r="AL105" s="3"/>
    </row>
    <row r="106" ht="15.75" customHeight="1">
      <c r="A106" s="45"/>
      <c r="B106" s="557">
        <v>102.0</v>
      </c>
      <c r="C106" s="618" t="s">
        <v>15726</v>
      </c>
      <c r="D106" s="430" t="s">
        <v>15727</v>
      </c>
      <c r="E106" s="432" t="s">
        <v>15728</v>
      </c>
      <c r="F106" s="603"/>
      <c r="G106" s="430" t="s">
        <v>29</v>
      </c>
      <c r="H106" s="430" t="s">
        <v>37</v>
      </c>
      <c r="I106" s="430"/>
      <c r="J106" s="430" t="s">
        <v>38</v>
      </c>
      <c r="K106" s="430">
        <v>1457.0</v>
      </c>
      <c r="L106" s="430" t="s">
        <v>15729</v>
      </c>
      <c r="M106" s="603"/>
      <c r="N106" s="430" t="s">
        <v>524</v>
      </c>
      <c r="O106" s="557">
        <v>1986.0</v>
      </c>
      <c r="P106" s="430" t="s">
        <v>388</v>
      </c>
      <c r="Q106" s="557">
        <v>1.0</v>
      </c>
      <c r="R106" s="619"/>
      <c r="S106" s="620"/>
      <c r="T106" s="3"/>
      <c r="U106" s="3"/>
      <c r="V106" s="3"/>
      <c r="W106" s="3"/>
      <c r="X106" s="3"/>
      <c r="Y106" s="3"/>
      <c r="Z106" s="3"/>
      <c r="AA106" s="3"/>
      <c r="AB106" s="3"/>
      <c r="AC106" s="3"/>
      <c r="AD106" s="3"/>
      <c r="AE106" s="3"/>
      <c r="AF106" s="3"/>
      <c r="AG106" s="3"/>
      <c r="AH106" s="3"/>
      <c r="AI106" s="3"/>
      <c r="AJ106" s="3"/>
      <c r="AK106" s="3"/>
      <c r="AL106" s="3"/>
    </row>
    <row r="107" ht="15.75" customHeight="1">
      <c r="A107" s="45"/>
      <c r="B107" s="63">
        <v>103.0</v>
      </c>
      <c r="C107" s="637" t="s">
        <v>15730</v>
      </c>
      <c r="D107" s="586" t="s">
        <v>15731</v>
      </c>
      <c r="E107" s="638" t="s">
        <v>15732</v>
      </c>
      <c r="F107" s="639"/>
      <c r="G107" s="586" t="s">
        <v>29</v>
      </c>
      <c r="H107" s="586" t="s">
        <v>37</v>
      </c>
      <c r="I107" s="586"/>
      <c r="J107" s="586" t="s">
        <v>38</v>
      </c>
      <c r="K107" s="586">
        <v>451.0</v>
      </c>
      <c r="L107" s="586" t="s">
        <v>15733</v>
      </c>
      <c r="M107" s="639"/>
      <c r="N107" s="586" t="s">
        <v>365</v>
      </c>
      <c r="O107" s="63">
        <v>1982.0</v>
      </c>
      <c r="P107" s="586" t="s">
        <v>388</v>
      </c>
      <c r="Q107" s="63">
        <v>1.0</v>
      </c>
      <c r="R107" s="619">
        <v>1.0</v>
      </c>
      <c r="S107" s="140"/>
      <c r="T107" s="149"/>
      <c r="U107" s="45"/>
      <c r="V107" s="45"/>
      <c r="W107" s="45"/>
      <c r="X107" s="45"/>
      <c r="Y107" s="45"/>
      <c r="Z107" s="45"/>
      <c r="AA107" s="45"/>
      <c r="AB107" s="45"/>
      <c r="AC107" s="45"/>
      <c r="AD107" s="45"/>
      <c r="AE107" s="45"/>
      <c r="AF107" s="45"/>
      <c r="AG107" s="45"/>
      <c r="AH107" s="45"/>
      <c r="AI107" s="45"/>
      <c r="AJ107" s="45"/>
      <c r="AK107" s="45"/>
      <c r="AL107" s="45"/>
    </row>
    <row r="108" ht="15.75" customHeight="1">
      <c r="A108" s="45"/>
      <c r="B108" s="557">
        <v>104.0</v>
      </c>
      <c r="C108" s="618" t="s">
        <v>15734</v>
      </c>
      <c r="D108" s="430" t="s">
        <v>15735</v>
      </c>
      <c r="E108" s="432" t="s">
        <v>15736</v>
      </c>
      <c r="F108" s="603"/>
      <c r="G108" s="430" t="s">
        <v>29</v>
      </c>
      <c r="H108" s="430" t="s">
        <v>127</v>
      </c>
      <c r="I108" s="430"/>
      <c r="J108" s="430" t="s">
        <v>38</v>
      </c>
      <c r="K108" s="430">
        <v>2030.0</v>
      </c>
      <c r="L108" s="430" t="s">
        <v>15737</v>
      </c>
      <c r="M108" s="603"/>
      <c r="N108" s="430" t="s">
        <v>15738</v>
      </c>
      <c r="O108" s="557">
        <v>2010.0</v>
      </c>
      <c r="P108" s="430" t="s">
        <v>388</v>
      </c>
      <c r="Q108" s="557">
        <v>1.0</v>
      </c>
      <c r="R108" s="619"/>
      <c r="S108" s="620"/>
      <c r="T108" s="3"/>
      <c r="U108" s="3"/>
      <c r="V108" s="3"/>
      <c r="W108" s="3"/>
      <c r="X108" s="3"/>
      <c r="Y108" s="3"/>
      <c r="Z108" s="3"/>
      <c r="AA108" s="3"/>
      <c r="AB108" s="3"/>
      <c r="AC108" s="3"/>
      <c r="AD108" s="3"/>
      <c r="AE108" s="3"/>
      <c r="AF108" s="3"/>
      <c r="AG108" s="3"/>
      <c r="AH108" s="3"/>
      <c r="AI108" s="3"/>
      <c r="AJ108" s="3"/>
      <c r="AK108" s="3"/>
      <c r="AL108" s="3"/>
    </row>
    <row r="109" ht="15.75" customHeight="1">
      <c r="A109" s="45"/>
      <c r="B109" s="557">
        <v>105.0</v>
      </c>
      <c r="C109" s="618" t="s">
        <v>15739</v>
      </c>
      <c r="D109" s="430" t="s">
        <v>15740</v>
      </c>
      <c r="E109" s="432" t="s">
        <v>15741</v>
      </c>
      <c r="F109" s="603"/>
      <c r="G109" s="430" t="s">
        <v>29</v>
      </c>
      <c r="H109" s="430" t="s">
        <v>37</v>
      </c>
      <c r="I109" s="430"/>
      <c r="J109" s="430" t="s">
        <v>38</v>
      </c>
      <c r="K109" s="430">
        <v>1673.0</v>
      </c>
      <c r="L109" s="430" t="s">
        <v>15211</v>
      </c>
      <c r="M109" s="603"/>
      <c r="N109" s="430" t="s">
        <v>72</v>
      </c>
      <c r="O109" s="557">
        <v>1990.0</v>
      </c>
      <c r="P109" s="430" t="s">
        <v>388</v>
      </c>
      <c r="Q109" s="557">
        <v>1.0</v>
      </c>
      <c r="R109" s="619"/>
      <c r="S109" s="620"/>
      <c r="T109" s="3"/>
      <c r="U109" s="3"/>
      <c r="V109" s="3"/>
      <c r="W109" s="3"/>
      <c r="X109" s="3"/>
      <c r="Y109" s="3"/>
      <c r="Z109" s="3"/>
      <c r="AA109" s="3"/>
      <c r="AB109" s="3"/>
      <c r="AC109" s="3"/>
      <c r="AD109" s="3"/>
      <c r="AE109" s="3"/>
      <c r="AF109" s="3"/>
      <c r="AG109" s="3"/>
      <c r="AH109" s="3"/>
      <c r="AI109" s="3"/>
      <c r="AJ109" s="3"/>
      <c r="AK109" s="3"/>
      <c r="AL109" s="3"/>
    </row>
    <row r="110" ht="15.75" customHeight="1">
      <c r="A110" s="45"/>
      <c r="B110" s="28">
        <v>106.0</v>
      </c>
      <c r="C110" s="198" t="s">
        <v>15742</v>
      </c>
      <c r="D110" s="31" t="s">
        <v>15743</v>
      </c>
      <c r="E110" s="188" t="s">
        <v>15744</v>
      </c>
      <c r="F110" s="413"/>
      <c r="G110" s="186" t="s">
        <v>29</v>
      </c>
      <c r="H110" s="186" t="s">
        <v>37</v>
      </c>
      <c r="I110" s="186"/>
      <c r="J110" s="186" t="s">
        <v>38</v>
      </c>
      <c r="K110" s="186">
        <v>1236.0</v>
      </c>
      <c r="L110" s="28" t="s">
        <v>31</v>
      </c>
      <c r="M110" s="413"/>
      <c r="N110" s="186" t="s">
        <v>14369</v>
      </c>
      <c r="O110" s="28">
        <v>1983.0</v>
      </c>
      <c r="P110" s="191">
        <v>30.0</v>
      </c>
      <c r="Q110" s="28">
        <v>1.0</v>
      </c>
      <c r="R110" s="632">
        <v>2.0</v>
      </c>
      <c r="S110" s="620"/>
      <c r="T110" s="3"/>
      <c r="U110" s="3"/>
      <c r="V110" s="3"/>
      <c r="W110" s="3"/>
      <c r="X110" s="3"/>
      <c r="Y110" s="3"/>
      <c r="Z110" s="3"/>
      <c r="AA110" s="3"/>
      <c r="AB110" s="3"/>
      <c r="AC110" s="3"/>
      <c r="AD110" s="3"/>
      <c r="AE110" s="3"/>
      <c r="AF110" s="3"/>
      <c r="AG110" s="3"/>
      <c r="AH110" s="3"/>
      <c r="AI110" s="3"/>
      <c r="AJ110" s="3"/>
      <c r="AK110" s="3"/>
      <c r="AL110" s="3"/>
    </row>
    <row r="111" ht="15.75" customHeight="1">
      <c r="A111" s="45"/>
      <c r="B111" s="342">
        <v>107.0</v>
      </c>
      <c r="C111" s="449"/>
      <c r="D111" s="433"/>
      <c r="E111" s="434"/>
      <c r="F111" s="450"/>
      <c r="G111" s="433"/>
      <c r="H111" s="433"/>
      <c r="I111" s="433"/>
      <c r="J111" s="433"/>
      <c r="K111" s="433"/>
      <c r="L111" s="342"/>
      <c r="M111" s="450"/>
      <c r="N111" s="433"/>
      <c r="O111" s="342"/>
      <c r="P111" s="433"/>
      <c r="Q111" s="342"/>
      <c r="R111" s="640"/>
      <c r="S111" s="620"/>
      <c r="T111" s="3"/>
      <c r="U111" s="3"/>
      <c r="V111" s="3"/>
      <c r="W111" s="3"/>
      <c r="X111" s="3"/>
      <c r="Y111" s="3"/>
      <c r="Z111" s="3"/>
      <c r="AA111" s="3"/>
      <c r="AB111" s="3"/>
      <c r="AC111" s="3"/>
      <c r="AD111" s="3"/>
      <c r="AE111" s="3"/>
      <c r="AF111" s="3"/>
      <c r="AG111" s="3"/>
      <c r="AH111" s="3"/>
      <c r="AI111" s="3"/>
      <c r="AJ111" s="3"/>
      <c r="AK111" s="3"/>
      <c r="AL111" s="3"/>
    </row>
    <row r="112" ht="15.75" customHeight="1">
      <c r="A112" s="45"/>
      <c r="B112" s="342">
        <v>108.0</v>
      </c>
      <c r="C112" s="449" t="s">
        <v>31</v>
      </c>
      <c r="D112" s="342" t="s">
        <v>31</v>
      </c>
      <c r="E112" s="434" t="s">
        <v>15745</v>
      </c>
      <c r="F112" s="450"/>
      <c r="G112" s="433" t="s">
        <v>29</v>
      </c>
      <c r="H112" s="433" t="s">
        <v>37</v>
      </c>
      <c r="I112" s="433"/>
      <c r="J112" s="433" t="s">
        <v>38</v>
      </c>
      <c r="K112" s="433">
        <v>1021.0</v>
      </c>
      <c r="L112" s="342" t="s">
        <v>31</v>
      </c>
      <c r="M112" s="450"/>
      <c r="N112" s="433" t="s">
        <v>15746</v>
      </c>
      <c r="O112" s="342">
        <v>1971.0</v>
      </c>
      <c r="P112" s="433" t="s">
        <v>388</v>
      </c>
      <c r="Q112" s="342">
        <v>1.0</v>
      </c>
      <c r="R112" s="641"/>
      <c r="S112" s="620"/>
      <c r="T112" s="3"/>
      <c r="U112" s="3"/>
      <c r="V112" s="3"/>
      <c r="W112" s="3"/>
      <c r="X112" s="3"/>
      <c r="Y112" s="3"/>
      <c r="Z112" s="3"/>
      <c r="AA112" s="3"/>
      <c r="AB112" s="3"/>
      <c r="AC112" s="3"/>
      <c r="AD112" s="3"/>
      <c r="AE112" s="3"/>
      <c r="AF112" s="3"/>
      <c r="AG112" s="3"/>
      <c r="AH112" s="3"/>
      <c r="AI112" s="3"/>
      <c r="AJ112" s="3"/>
      <c r="AK112" s="3"/>
      <c r="AL112" s="3"/>
    </row>
    <row r="113" ht="15.75" customHeight="1">
      <c r="A113" s="45"/>
      <c r="B113" s="342">
        <v>109.0</v>
      </c>
      <c r="C113" s="449" t="s">
        <v>4515</v>
      </c>
      <c r="D113" s="433" t="s">
        <v>15747</v>
      </c>
      <c r="E113" s="434" t="s">
        <v>15748</v>
      </c>
      <c r="F113" s="450"/>
      <c r="G113" s="433" t="s">
        <v>29</v>
      </c>
      <c r="H113" s="433" t="s">
        <v>37</v>
      </c>
      <c r="I113" s="433"/>
      <c r="J113" s="433" t="s">
        <v>38</v>
      </c>
      <c r="K113" s="433">
        <v>294.0</v>
      </c>
      <c r="L113" s="342" t="s">
        <v>31</v>
      </c>
      <c r="M113" s="450"/>
      <c r="N113" s="433" t="s">
        <v>15749</v>
      </c>
      <c r="O113" s="342">
        <v>1995.0</v>
      </c>
      <c r="P113" s="433" t="s">
        <v>388</v>
      </c>
      <c r="Q113" s="342">
        <v>1.0</v>
      </c>
      <c r="R113" s="641"/>
      <c r="S113" s="620"/>
      <c r="T113" s="3"/>
      <c r="U113" s="3"/>
      <c r="V113" s="3"/>
      <c r="W113" s="3"/>
      <c r="X113" s="3"/>
      <c r="Y113" s="3"/>
      <c r="Z113" s="3"/>
      <c r="AA113" s="3"/>
      <c r="AB113" s="3"/>
      <c r="AC113" s="3"/>
      <c r="AD113" s="3"/>
      <c r="AE113" s="3"/>
      <c r="AF113" s="3"/>
      <c r="AG113" s="3"/>
      <c r="AH113" s="3"/>
      <c r="AI113" s="3"/>
      <c r="AJ113" s="3"/>
      <c r="AK113" s="3"/>
      <c r="AL113" s="3"/>
    </row>
    <row r="114" ht="15.75" customHeight="1">
      <c r="A114" s="45"/>
      <c r="B114" s="342">
        <v>110.0</v>
      </c>
      <c r="C114" s="449" t="s">
        <v>15750</v>
      </c>
      <c r="D114" s="433" t="s">
        <v>15751</v>
      </c>
      <c r="E114" s="434" t="s">
        <v>15752</v>
      </c>
      <c r="F114" s="450"/>
      <c r="G114" s="433" t="s">
        <v>29</v>
      </c>
      <c r="H114" s="433" t="s">
        <v>37</v>
      </c>
      <c r="I114" s="433"/>
      <c r="J114" s="433" t="s">
        <v>38</v>
      </c>
      <c r="K114" s="433">
        <v>1178.0</v>
      </c>
      <c r="L114" s="342" t="s">
        <v>31</v>
      </c>
      <c r="M114" s="450"/>
      <c r="N114" s="433" t="s">
        <v>3233</v>
      </c>
      <c r="O114" s="342">
        <v>1989.0</v>
      </c>
      <c r="P114" s="433" t="s">
        <v>388</v>
      </c>
      <c r="Q114" s="342">
        <v>1.0</v>
      </c>
      <c r="R114" s="641"/>
      <c r="S114" s="620"/>
      <c r="T114" s="3"/>
      <c r="U114" s="3"/>
      <c r="V114" s="3"/>
      <c r="W114" s="3"/>
      <c r="X114" s="3"/>
      <c r="Y114" s="3"/>
      <c r="Z114" s="3"/>
      <c r="AA114" s="3"/>
      <c r="AB114" s="3"/>
      <c r="AC114" s="3"/>
      <c r="AD114" s="3"/>
      <c r="AE114" s="3"/>
      <c r="AF114" s="3"/>
      <c r="AG114" s="3"/>
      <c r="AH114" s="3"/>
      <c r="AI114" s="3"/>
      <c r="AJ114" s="3"/>
      <c r="AK114" s="3"/>
      <c r="AL114" s="3"/>
    </row>
    <row r="115" ht="15.75" customHeight="1">
      <c r="A115" s="45"/>
      <c r="B115" s="342"/>
      <c r="C115" s="449"/>
      <c r="D115" s="342"/>
      <c r="E115" s="434"/>
      <c r="F115" s="450"/>
      <c r="G115" s="433"/>
      <c r="H115" s="433"/>
      <c r="I115" s="433"/>
      <c r="J115" s="433"/>
      <c r="K115" s="433"/>
      <c r="L115" s="433"/>
      <c r="M115" s="450"/>
      <c r="N115" s="433"/>
      <c r="O115" s="342"/>
      <c r="P115" s="433"/>
      <c r="Q115" s="342"/>
      <c r="R115" s="641"/>
      <c r="S115" s="620"/>
      <c r="T115" s="3"/>
      <c r="U115" s="3"/>
      <c r="V115" s="3"/>
      <c r="W115" s="3"/>
      <c r="X115" s="3"/>
      <c r="Y115" s="3"/>
      <c r="Z115" s="3"/>
      <c r="AA115" s="3"/>
      <c r="AB115" s="3"/>
      <c r="AC115" s="3"/>
      <c r="AD115" s="3"/>
      <c r="AE115" s="3"/>
      <c r="AF115" s="3"/>
      <c r="AG115" s="3"/>
      <c r="AH115" s="3"/>
      <c r="AI115" s="3"/>
      <c r="AJ115" s="3"/>
      <c r="AK115" s="3"/>
      <c r="AL115" s="3"/>
    </row>
    <row r="116" ht="15.75" customHeight="1">
      <c r="A116" s="45"/>
      <c r="B116" s="342">
        <v>112.0</v>
      </c>
      <c r="C116" s="449" t="s">
        <v>15753</v>
      </c>
      <c r="D116" s="342" t="s">
        <v>31</v>
      </c>
      <c r="E116" s="434" t="s">
        <v>15754</v>
      </c>
      <c r="F116" s="450"/>
      <c r="G116" s="433" t="s">
        <v>29</v>
      </c>
      <c r="H116" s="433" t="s">
        <v>127</v>
      </c>
      <c r="I116" s="433"/>
      <c r="J116" s="433" t="s">
        <v>15755</v>
      </c>
      <c r="K116" s="433">
        <v>2057.0</v>
      </c>
      <c r="L116" s="433" t="s">
        <v>15211</v>
      </c>
      <c r="M116" s="450"/>
      <c r="N116" s="433" t="s">
        <v>8959</v>
      </c>
      <c r="O116" s="342">
        <v>2012.0</v>
      </c>
      <c r="P116" s="433" t="s">
        <v>388</v>
      </c>
      <c r="Q116" s="342">
        <v>1.0</v>
      </c>
      <c r="R116" s="641"/>
      <c r="S116" s="620"/>
      <c r="T116" s="3"/>
      <c r="U116" s="3"/>
      <c r="V116" s="3"/>
      <c r="W116" s="3"/>
      <c r="X116" s="3"/>
      <c r="Y116" s="3"/>
      <c r="Z116" s="3"/>
      <c r="AA116" s="3"/>
      <c r="AB116" s="3"/>
      <c r="AC116" s="3"/>
      <c r="AD116" s="3"/>
      <c r="AE116" s="3"/>
      <c r="AF116" s="3"/>
      <c r="AG116" s="3"/>
      <c r="AH116" s="3"/>
      <c r="AI116" s="3"/>
      <c r="AJ116" s="3"/>
      <c r="AK116" s="3"/>
      <c r="AL116" s="3"/>
    </row>
    <row r="117" ht="15.75" customHeight="1">
      <c r="A117" s="45"/>
      <c r="B117" s="342">
        <v>113.0</v>
      </c>
      <c r="C117" s="449"/>
      <c r="D117" s="342"/>
      <c r="E117" s="434" t="s">
        <v>15756</v>
      </c>
      <c r="F117" s="450"/>
      <c r="G117" s="433" t="s">
        <v>29</v>
      </c>
      <c r="H117" s="433" t="s">
        <v>37</v>
      </c>
      <c r="I117" s="433"/>
      <c r="J117" s="433" t="s">
        <v>15755</v>
      </c>
      <c r="K117" s="538"/>
      <c r="L117" s="622"/>
      <c r="M117" s="450"/>
      <c r="N117" s="466"/>
      <c r="O117" s="342">
        <v>2008.0</v>
      </c>
      <c r="P117" s="433" t="s">
        <v>388</v>
      </c>
      <c r="Q117" s="342">
        <v>1.0</v>
      </c>
      <c r="R117" s="641"/>
      <c r="S117" s="620"/>
      <c r="T117" s="3"/>
      <c r="U117" s="3"/>
      <c r="V117" s="3"/>
      <c r="W117" s="3"/>
      <c r="X117" s="3"/>
      <c r="Y117" s="3"/>
      <c r="Z117" s="3"/>
      <c r="AA117" s="3"/>
      <c r="AB117" s="3"/>
      <c r="AC117" s="3"/>
      <c r="AD117" s="3"/>
      <c r="AE117" s="3"/>
      <c r="AF117" s="3"/>
      <c r="AG117" s="3"/>
      <c r="AH117" s="3"/>
      <c r="AI117" s="3"/>
      <c r="AJ117" s="3"/>
      <c r="AK117" s="3"/>
      <c r="AL117" s="3"/>
    </row>
    <row r="118" ht="15.75" customHeight="1">
      <c r="A118" s="45"/>
      <c r="B118" s="557">
        <v>114.0</v>
      </c>
      <c r="C118" s="618" t="s">
        <v>15757</v>
      </c>
      <c r="D118" s="557" t="s">
        <v>31</v>
      </c>
      <c r="E118" s="432" t="s">
        <v>15758</v>
      </c>
      <c r="F118" s="603"/>
      <c r="G118" s="430" t="s">
        <v>29</v>
      </c>
      <c r="H118" s="430" t="s">
        <v>81</v>
      </c>
      <c r="I118" s="430"/>
      <c r="J118" s="430" t="s">
        <v>38</v>
      </c>
      <c r="K118" s="430">
        <v>1642.0</v>
      </c>
      <c r="L118" s="430" t="s">
        <v>15759</v>
      </c>
      <c r="M118" s="603"/>
      <c r="N118" s="430" t="s">
        <v>15544</v>
      </c>
      <c r="O118" s="557">
        <v>2002.0</v>
      </c>
      <c r="P118" s="430" t="s">
        <v>388</v>
      </c>
      <c r="Q118" s="557">
        <v>1.0</v>
      </c>
      <c r="R118" s="641"/>
      <c r="S118" s="620"/>
      <c r="T118" s="3"/>
      <c r="U118" s="3"/>
      <c r="V118" s="3"/>
      <c r="W118" s="3"/>
      <c r="X118" s="3"/>
      <c r="Y118" s="3"/>
      <c r="Z118" s="3"/>
      <c r="AA118" s="3"/>
      <c r="AB118" s="3"/>
      <c r="AC118" s="3"/>
      <c r="AD118" s="3"/>
      <c r="AE118" s="3"/>
      <c r="AF118" s="3"/>
      <c r="AG118" s="3"/>
      <c r="AH118" s="3"/>
      <c r="AI118" s="3"/>
      <c r="AJ118" s="3"/>
      <c r="AK118" s="3"/>
      <c r="AL118" s="3"/>
    </row>
    <row r="119" ht="15.75" customHeight="1">
      <c r="A119" s="45"/>
      <c r="B119" s="342">
        <v>115.0</v>
      </c>
      <c r="C119" s="449" t="s">
        <v>15760</v>
      </c>
      <c r="D119" s="433" t="s">
        <v>15761</v>
      </c>
      <c r="E119" s="434" t="s">
        <v>15762</v>
      </c>
      <c r="F119" s="450"/>
      <c r="G119" s="433" t="s">
        <v>29</v>
      </c>
      <c r="H119" s="433" t="s">
        <v>37</v>
      </c>
      <c r="I119" s="433"/>
      <c r="J119" s="433" t="s">
        <v>38</v>
      </c>
      <c r="K119" s="433">
        <v>1262.0</v>
      </c>
      <c r="L119" s="433" t="s">
        <v>15211</v>
      </c>
      <c r="M119" s="450"/>
      <c r="N119" s="433" t="s">
        <v>219</v>
      </c>
      <c r="O119" s="342" t="s">
        <v>14092</v>
      </c>
      <c r="P119" s="433" t="s">
        <v>388</v>
      </c>
      <c r="Q119" s="342">
        <v>1.0</v>
      </c>
      <c r="R119" s="641"/>
      <c r="S119" s="620"/>
      <c r="T119" s="3"/>
      <c r="U119" s="3"/>
      <c r="V119" s="3"/>
      <c r="W119" s="3"/>
      <c r="X119" s="3"/>
      <c r="Y119" s="3"/>
      <c r="Z119" s="3"/>
      <c r="AA119" s="3"/>
      <c r="AB119" s="3"/>
      <c r="AC119" s="3"/>
      <c r="AD119" s="3"/>
      <c r="AE119" s="3"/>
      <c r="AF119" s="3"/>
      <c r="AG119" s="3"/>
      <c r="AH119" s="3"/>
      <c r="AI119" s="3"/>
      <c r="AJ119" s="3"/>
      <c r="AK119" s="3"/>
      <c r="AL119" s="3"/>
    </row>
    <row r="120" ht="15.75" customHeight="1">
      <c r="A120" s="45"/>
      <c r="B120" s="342">
        <v>116.0</v>
      </c>
      <c r="C120" s="449" t="s">
        <v>15763</v>
      </c>
      <c r="D120" s="433" t="s">
        <v>15562</v>
      </c>
      <c r="E120" s="434" t="s">
        <v>15481</v>
      </c>
      <c r="F120" s="450"/>
      <c r="G120" s="433" t="s">
        <v>29</v>
      </c>
      <c r="H120" s="433" t="s">
        <v>37</v>
      </c>
      <c r="I120" s="433"/>
      <c r="J120" s="433" t="s">
        <v>38</v>
      </c>
      <c r="K120" s="433">
        <v>1124.0</v>
      </c>
      <c r="L120" s="433" t="s">
        <v>15764</v>
      </c>
      <c r="M120" s="450"/>
      <c r="N120" s="433" t="s">
        <v>15479</v>
      </c>
      <c r="O120" s="342">
        <v>1865.0</v>
      </c>
      <c r="P120" s="433" t="s">
        <v>388</v>
      </c>
      <c r="Q120" s="342">
        <v>2.0</v>
      </c>
      <c r="R120" s="641"/>
      <c r="S120" s="620"/>
      <c r="T120" s="3"/>
      <c r="U120" s="3"/>
      <c r="V120" s="3"/>
      <c r="W120" s="3"/>
      <c r="X120" s="3"/>
      <c r="Y120" s="3"/>
      <c r="Z120" s="3"/>
      <c r="AA120" s="3"/>
      <c r="AB120" s="3"/>
      <c r="AC120" s="3"/>
      <c r="AD120" s="3"/>
      <c r="AE120" s="3"/>
      <c r="AF120" s="3"/>
      <c r="AG120" s="3"/>
      <c r="AH120" s="3"/>
      <c r="AI120" s="3"/>
      <c r="AJ120" s="3"/>
      <c r="AK120" s="3"/>
      <c r="AL120" s="3"/>
    </row>
    <row r="121" ht="15.75" customHeight="1">
      <c r="A121" s="45"/>
      <c r="B121" s="342">
        <v>117.0</v>
      </c>
      <c r="C121" s="449" t="s">
        <v>15765</v>
      </c>
      <c r="D121" s="433" t="s">
        <v>15766</v>
      </c>
      <c r="E121" s="434" t="s">
        <v>15767</v>
      </c>
      <c r="F121" s="450"/>
      <c r="G121" s="433" t="s">
        <v>29</v>
      </c>
      <c r="H121" s="433" t="s">
        <v>6505</v>
      </c>
      <c r="I121" s="433"/>
      <c r="J121" s="433" t="s">
        <v>15768</v>
      </c>
      <c r="K121" s="433">
        <v>1891.0</v>
      </c>
      <c r="L121" s="433" t="s">
        <v>15769</v>
      </c>
      <c r="M121" s="450"/>
      <c r="N121" s="433" t="s">
        <v>15770</v>
      </c>
      <c r="O121" s="342">
        <v>1992.0</v>
      </c>
      <c r="P121" s="433" t="s">
        <v>388</v>
      </c>
      <c r="Q121" s="342">
        <v>1.0</v>
      </c>
      <c r="R121" s="641"/>
      <c r="S121" s="620"/>
      <c r="T121" s="3"/>
      <c r="U121" s="3"/>
      <c r="V121" s="3"/>
      <c r="W121" s="3"/>
      <c r="X121" s="3"/>
      <c r="Y121" s="3"/>
      <c r="Z121" s="3"/>
      <c r="AA121" s="3"/>
      <c r="AB121" s="3"/>
      <c r="AC121" s="3"/>
      <c r="AD121" s="3"/>
      <c r="AE121" s="3"/>
      <c r="AF121" s="3"/>
      <c r="AG121" s="3"/>
      <c r="AH121" s="3"/>
      <c r="AI121" s="3"/>
      <c r="AJ121" s="3"/>
      <c r="AK121" s="3"/>
      <c r="AL121" s="3"/>
    </row>
    <row r="122" ht="15.75" customHeight="1">
      <c r="A122" s="45"/>
      <c r="B122" s="342">
        <v>118.0</v>
      </c>
      <c r="C122" s="449" t="s">
        <v>31</v>
      </c>
      <c r="D122" s="433" t="s">
        <v>15771</v>
      </c>
      <c r="E122" s="434" t="s">
        <v>15772</v>
      </c>
      <c r="F122" s="450"/>
      <c r="G122" s="433" t="s">
        <v>29</v>
      </c>
      <c r="H122" s="433" t="s">
        <v>37</v>
      </c>
      <c r="I122" s="433"/>
      <c r="J122" s="433" t="s">
        <v>38</v>
      </c>
      <c r="K122" s="433">
        <v>1098.0</v>
      </c>
      <c r="L122" s="433" t="s">
        <v>15211</v>
      </c>
      <c r="M122" s="450"/>
      <c r="N122" s="433" t="s">
        <v>15479</v>
      </c>
      <c r="O122" s="342">
        <v>1966.0</v>
      </c>
      <c r="P122" s="433" t="s">
        <v>388</v>
      </c>
      <c r="Q122" s="342">
        <v>1.0</v>
      </c>
      <c r="R122" s="641"/>
      <c r="S122" s="620"/>
      <c r="T122" s="3"/>
      <c r="U122" s="3"/>
      <c r="V122" s="3"/>
      <c r="W122" s="3"/>
      <c r="X122" s="3"/>
      <c r="Y122" s="3"/>
      <c r="Z122" s="3"/>
      <c r="AA122" s="3"/>
      <c r="AB122" s="3"/>
      <c r="AC122" s="3"/>
      <c r="AD122" s="3"/>
      <c r="AE122" s="3"/>
      <c r="AF122" s="3"/>
      <c r="AG122" s="3"/>
      <c r="AH122" s="3"/>
      <c r="AI122" s="3"/>
      <c r="AJ122" s="3"/>
      <c r="AK122" s="3"/>
      <c r="AL122" s="3"/>
    </row>
    <row r="123" ht="15.75" customHeight="1">
      <c r="A123" s="45"/>
      <c r="B123" s="557">
        <v>119.0</v>
      </c>
      <c r="C123" s="618" t="s">
        <v>15773</v>
      </c>
      <c r="D123" s="557" t="s">
        <v>15774</v>
      </c>
      <c r="E123" s="432" t="s">
        <v>15775</v>
      </c>
      <c r="F123" s="603"/>
      <c r="G123" s="430" t="s">
        <v>29</v>
      </c>
      <c r="H123" s="430" t="s">
        <v>81</v>
      </c>
      <c r="I123" s="430"/>
      <c r="J123" s="430" t="s">
        <v>38</v>
      </c>
      <c r="K123" s="430">
        <v>1656.0</v>
      </c>
      <c r="L123" s="430" t="s">
        <v>15776</v>
      </c>
      <c r="M123" s="603"/>
      <c r="N123" s="430" t="s">
        <v>15544</v>
      </c>
      <c r="O123" s="557">
        <v>2000.0</v>
      </c>
      <c r="P123" s="430" t="s">
        <v>388</v>
      </c>
      <c r="Q123" s="557">
        <v>1.0</v>
      </c>
      <c r="R123" s="641"/>
      <c r="S123" s="620"/>
      <c r="T123" s="3"/>
      <c r="U123" s="3"/>
      <c r="V123" s="3"/>
      <c r="W123" s="3"/>
      <c r="X123" s="3"/>
      <c r="Y123" s="3"/>
      <c r="Z123" s="3"/>
      <c r="AA123" s="3"/>
      <c r="AB123" s="3"/>
      <c r="AC123" s="3"/>
      <c r="AD123" s="3"/>
      <c r="AE123" s="3"/>
      <c r="AF123" s="3"/>
      <c r="AG123" s="3"/>
      <c r="AH123" s="3"/>
      <c r="AI123" s="3"/>
      <c r="AJ123" s="3"/>
      <c r="AK123" s="3"/>
      <c r="AL123" s="3"/>
    </row>
    <row r="124" ht="15.75" customHeight="1">
      <c r="A124" s="45"/>
      <c r="B124" s="342">
        <v>120.0</v>
      </c>
      <c r="C124" s="449" t="s">
        <v>31</v>
      </c>
      <c r="D124" s="342" t="s">
        <v>31</v>
      </c>
      <c r="E124" s="642" t="s">
        <v>15777</v>
      </c>
      <c r="F124" s="450"/>
      <c r="G124" s="433" t="s">
        <v>29</v>
      </c>
      <c r="H124" s="433" t="s">
        <v>37</v>
      </c>
      <c r="I124" s="433"/>
      <c r="J124" s="433" t="s">
        <v>38</v>
      </c>
      <c r="K124" s="433">
        <v>879.0</v>
      </c>
      <c r="L124" s="433" t="s">
        <v>15778</v>
      </c>
      <c r="M124" s="450"/>
      <c r="N124" s="433" t="s">
        <v>15479</v>
      </c>
      <c r="O124" s="342">
        <v>1991.0</v>
      </c>
      <c r="P124" s="433" t="s">
        <v>388</v>
      </c>
      <c r="Q124" s="342">
        <v>2.0</v>
      </c>
      <c r="R124" s="641"/>
      <c r="S124" s="620"/>
      <c r="T124" s="3"/>
      <c r="U124" s="3"/>
      <c r="V124" s="3"/>
      <c r="W124" s="3"/>
      <c r="X124" s="3"/>
      <c r="Y124" s="3"/>
      <c r="Z124" s="3"/>
      <c r="AA124" s="3"/>
      <c r="AB124" s="3"/>
      <c r="AC124" s="3"/>
      <c r="AD124" s="3"/>
      <c r="AE124" s="3"/>
      <c r="AF124" s="3"/>
      <c r="AG124" s="3"/>
      <c r="AH124" s="3"/>
      <c r="AI124" s="3"/>
      <c r="AJ124" s="3"/>
      <c r="AK124" s="3"/>
      <c r="AL124" s="3"/>
    </row>
    <row r="125" ht="15.75" customHeight="1">
      <c r="A125" s="45"/>
      <c r="B125" s="557">
        <v>121.0</v>
      </c>
      <c r="C125" s="618" t="s">
        <v>15779</v>
      </c>
      <c r="D125" s="557" t="s">
        <v>31</v>
      </c>
      <c r="E125" s="432" t="s">
        <v>15780</v>
      </c>
      <c r="F125" s="603"/>
      <c r="G125" s="430" t="s">
        <v>29</v>
      </c>
      <c r="H125" s="430" t="s">
        <v>31</v>
      </c>
      <c r="I125" s="430"/>
      <c r="J125" s="430" t="s">
        <v>38</v>
      </c>
      <c r="K125" s="430">
        <v>567.0</v>
      </c>
      <c r="L125" s="557" t="s">
        <v>31</v>
      </c>
      <c r="M125" s="603"/>
      <c r="N125" s="430" t="s">
        <v>54</v>
      </c>
      <c r="O125" s="557">
        <v>2001.0</v>
      </c>
      <c r="P125" s="430" t="s">
        <v>388</v>
      </c>
      <c r="Q125" s="557">
        <v>1.0</v>
      </c>
      <c r="R125" s="641"/>
      <c r="S125" s="620"/>
      <c r="T125" s="3"/>
      <c r="U125" s="3"/>
      <c r="V125" s="3"/>
      <c r="W125" s="3"/>
      <c r="X125" s="3"/>
      <c r="Y125" s="3"/>
      <c r="Z125" s="3"/>
      <c r="AA125" s="3"/>
      <c r="AB125" s="3"/>
      <c r="AC125" s="3"/>
      <c r="AD125" s="3"/>
      <c r="AE125" s="3"/>
      <c r="AF125" s="3"/>
      <c r="AG125" s="3"/>
      <c r="AH125" s="3"/>
      <c r="AI125" s="3"/>
      <c r="AJ125" s="3"/>
      <c r="AK125" s="3"/>
      <c r="AL125" s="3"/>
    </row>
    <row r="126" ht="15.75" customHeight="1">
      <c r="A126" s="45"/>
      <c r="B126" s="342">
        <v>122.0</v>
      </c>
      <c r="C126" s="449" t="s">
        <v>31</v>
      </c>
      <c r="D126" s="342" t="s">
        <v>15533</v>
      </c>
      <c r="E126" s="434" t="s">
        <v>15781</v>
      </c>
      <c r="F126" s="450"/>
      <c r="G126" s="433" t="s">
        <v>29</v>
      </c>
      <c r="H126" s="433" t="s">
        <v>37</v>
      </c>
      <c r="I126" s="433"/>
      <c r="J126" s="433" t="s">
        <v>38</v>
      </c>
      <c r="K126" s="433">
        <v>1768.0</v>
      </c>
      <c r="L126" s="433" t="s">
        <v>15782</v>
      </c>
      <c r="M126" s="450"/>
      <c r="N126" s="433" t="s">
        <v>3233</v>
      </c>
      <c r="O126" s="342">
        <v>1986.0</v>
      </c>
      <c r="P126" s="433" t="s">
        <v>388</v>
      </c>
      <c r="Q126" s="342">
        <v>1.0</v>
      </c>
      <c r="R126" s="641"/>
      <c r="S126" s="620"/>
      <c r="T126" s="3"/>
      <c r="U126" s="3"/>
      <c r="V126" s="3"/>
      <c r="W126" s="3"/>
      <c r="X126" s="3"/>
      <c r="Y126" s="3"/>
      <c r="Z126" s="3"/>
      <c r="AA126" s="3"/>
      <c r="AB126" s="3"/>
      <c r="AC126" s="3"/>
      <c r="AD126" s="3"/>
      <c r="AE126" s="3"/>
      <c r="AF126" s="3"/>
      <c r="AG126" s="3"/>
      <c r="AH126" s="3"/>
      <c r="AI126" s="3"/>
      <c r="AJ126" s="3"/>
      <c r="AK126" s="3"/>
      <c r="AL126" s="3"/>
    </row>
    <row r="127" ht="15.75" customHeight="1">
      <c r="A127" s="45"/>
      <c r="B127" s="342">
        <v>123.0</v>
      </c>
      <c r="C127" s="449" t="s">
        <v>15783</v>
      </c>
      <c r="D127" s="342" t="s">
        <v>31</v>
      </c>
      <c r="E127" s="434" t="s">
        <v>15784</v>
      </c>
      <c r="F127" s="450"/>
      <c r="G127" s="433" t="s">
        <v>29</v>
      </c>
      <c r="H127" s="433" t="s">
        <v>6505</v>
      </c>
      <c r="I127" s="433"/>
      <c r="J127" s="433" t="s">
        <v>38</v>
      </c>
      <c r="K127" s="433">
        <v>2073.0</v>
      </c>
      <c r="L127" s="433" t="s">
        <v>15785</v>
      </c>
      <c r="M127" s="450"/>
      <c r="N127" s="433" t="s">
        <v>15786</v>
      </c>
      <c r="O127" s="342">
        <v>1994.0</v>
      </c>
      <c r="P127" s="433" t="s">
        <v>388</v>
      </c>
      <c r="Q127" s="342">
        <v>1.0</v>
      </c>
      <c r="R127" s="641"/>
      <c r="S127" s="620"/>
      <c r="T127" s="3"/>
      <c r="U127" s="3"/>
      <c r="V127" s="3"/>
      <c r="W127" s="3"/>
      <c r="X127" s="3"/>
      <c r="Y127" s="3"/>
      <c r="Z127" s="3"/>
      <c r="AA127" s="3"/>
      <c r="AB127" s="3"/>
      <c r="AC127" s="3"/>
      <c r="AD127" s="3"/>
      <c r="AE127" s="3"/>
      <c r="AF127" s="3"/>
      <c r="AG127" s="3"/>
      <c r="AH127" s="3"/>
      <c r="AI127" s="3"/>
      <c r="AJ127" s="3"/>
      <c r="AK127" s="3"/>
      <c r="AL127" s="3"/>
    </row>
    <row r="128" ht="15.75" customHeight="1">
      <c r="A128" s="45"/>
      <c r="B128" s="342">
        <v>124.0</v>
      </c>
      <c r="C128" s="449" t="s">
        <v>31</v>
      </c>
      <c r="D128" s="342" t="s">
        <v>31</v>
      </c>
      <c r="E128" s="434" t="s">
        <v>15787</v>
      </c>
      <c r="F128" s="450"/>
      <c r="G128" s="433" t="s">
        <v>29</v>
      </c>
      <c r="H128" s="433" t="s">
        <v>37</v>
      </c>
      <c r="I128" s="433"/>
      <c r="J128" s="433" t="s">
        <v>38</v>
      </c>
      <c r="K128" s="433">
        <v>633.0</v>
      </c>
      <c r="L128" s="342" t="s">
        <v>31</v>
      </c>
      <c r="M128" s="450"/>
      <c r="N128" s="433" t="s">
        <v>15788</v>
      </c>
      <c r="O128" s="342">
        <v>1987.0</v>
      </c>
      <c r="P128" s="433" t="s">
        <v>388</v>
      </c>
      <c r="Q128" s="342">
        <v>1.0</v>
      </c>
      <c r="R128" s="641"/>
      <c r="S128" s="620"/>
      <c r="T128" s="3"/>
      <c r="U128" s="3"/>
      <c r="V128" s="3"/>
      <c r="W128" s="3"/>
      <c r="X128" s="3"/>
      <c r="Y128" s="3"/>
      <c r="Z128" s="3"/>
      <c r="AA128" s="3"/>
      <c r="AB128" s="3"/>
      <c r="AC128" s="3"/>
      <c r="AD128" s="3"/>
      <c r="AE128" s="3"/>
      <c r="AF128" s="3"/>
      <c r="AG128" s="3"/>
      <c r="AH128" s="3"/>
      <c r="AI128" s="3"/>
      <c r="AJ128" s="3"/>
      <c r="AK128" s="3"/>
      <c r="AL128" s="3"/>
    </row>
    <row r="129" ht="15.75" customHeight="1">
      <c r="A129" s="45"/>
      <c r="B129" s="342">
        <v>125.0</v>
      </c>
      <c r="C129" s="449" t="s">
        <v>15789</v>
      </c>
      <c r="D129" s="433" t="s">
        <v>15790</v>
      </c>
      <c r="E129" s="434" t="s">
        <v>15791</v>
      </c>
      <c r="F129" s="450" t="s">
        <v>2355</v>
      </c>
      <c r="G129" s="433"/>
      <c r="H129" s="433" t="s">
        <v>37</v>
      </c>
      <c r="I129" s="433"/>
      <c r="J129" s="433" t="s">
        <v>38</v>
      </c>
      <c r="K129" s="433">
        <v>1003.0</v>
      </c>
      <c r="L129" s="342" t="s">
        <v>31</v>
      </c>
      <c r="M129" s="450"/>
      <c r="N129" s="433" t="s">
        <v>15792</v>
      </c>
      <c r="O129" s="342">
        <v>1987.0</v>
      </c>
      <c r="P129" s="433" t="s">
        <v>388</v>
      </c>
      <c r="Q129" s="342">
        <v>1.0</v>
      </c>
      <c r="R129" s="641"/>
      <c r="S129" s="620"/>
      <c r="T129" s="3"/>
      <c r="U129" s="3"/>
      <c r="V129" s="3"/>
      <c r="W129" s="3"/>
      <c r="X129" s="3"/>
      <c r="Y129" s="3"/>
      <c r="Z129" s="3"/>
      <c r="AA129" s="3"/>
      <c r="AB129" s="3"/>
      <c r="AC129" s="3"/>
      <c r="AD129" s="3"/>
      <c r="AE129" s="3"/>
      <c r="AF129" s="3"/>
      <c r="AG129" s="3"/>
      <c r="AH129" s="3"/>
      <c r="AI129" s="3"/>
      <c r="AJ129" s="3"/>
      <c r="AK129" s="3"/>
      <c r="AL129" s="3"/>
    </row>
    <row r="130" ht="15.75" customHeight="1">
      <c r="A130" s="45"/>
      <c r="B130" s="342">
        <v>126.0</v>
      </c>
      <c r="C130" s="449" t="s">
        <v>31</v>
      </c>
      <c r="D130" s="342" t="s">
        <v>31</v>
      </c>
      <c r="E130" s="434" t="s">
        <v>15793</v>
      </c>
      <c r="F130" s="450" t="s">
        <v>2355</v>
      </c>
      <c r="G130" s="433"/>
      <c r="H130" s="433" t="s">
        <v>37</v>
      </c>
      <c r="I130" s="433"/>
      <c r="J130" s="433" t="s">
        <v>38</v>
      </c>
      <c r="K130" s="433">
        <v>1564.0</v>
      </c>
      <c r="L130" s="433" t="s">
        <v>15794</v>
      </c>
      <c r="M130" s="450"/>
      <c r="N130" s="433" t="s">
        <v>15479</v>
      </c>
      <c r="O130" s="342">
        <v>1998.0</v>
      </c>
      <c r="P130" s="433" t="s">
        <v>388</v>
      </c>
      <c r="Q130" s="562">
        <v>0.0</v>
      </c>
      <c r="R130" s="641"/>
      <c r="S130" s="620"/>
      <c r="T130" s="3"/>
      <c r="U130" s="3"/>
      <c r="V130" s="3"/>
      <c r="W130" s="3"/>
      <c r="X130" s="3"/>
      <c r="Y130" s="3"/>
      <c r="Z130" s="3"/>
      <c r="AA130" s="3"/>
      <c r="AB130" s="3"/>
      <c r="AC130" s="3"/>
      <c r="AD130" s="3"/>
      <c r="AE130" s="3"/>
      <c r="AF130" s="3"/>
      <c r="AG130" s="3"/>
      <c r="AH130" s="3"/>
      <c r="AI130" s="3"/>
      <c r="AJ130" s="3"/>
      <c r="AK130" s="3"/>
      <c r="AL130" s="3"/>
    </row>
    <row r="131" ht="15.75" customHeight="1">
      <c r="A131" s="45"/>
      <c r="B131" s="557"/>
      <c r="C131" s="618" t="s">
        <v>31</v>
      </c>
      <c r="D131" s="557" t="s">
        <v>15795</v>
      </c>
      <c r="E131" s="432" t="s">
        <v>15796</v>
      </c>
      <c r="F131" s="603" t="s">
        <v>2355</v>
      </c>
      <c r="G131" s="430"/>
      <c r="H131" s="430" t="s">
        <v>37</v>
      </c>
      <c r="I131" s="430"/>
      <c r="J131" s="430" t="s">
        <v>38</v>
      </c>
      <c r="K131" s="430">
        <f>522+5+14</f>
        <v>541</v>
      </c>
      <c r="L131" s="430" t="s">
        <v>15797</v>
      </c>
      <c r="M131" s="603"/>
      <c r="N131" s="430" t="s">
        <v>4836</v>
      </c>
      <c r="O131" s="557">
        <v>1992.0</v>
      </c>
      <c r="P131" s="430" t="s">
        <v>388</v>
      </c>
      <c r="Q131" s="557">
        <v>1.0</v>
      </c>
      <c r="R131" s="641"/>
      <c r="S131" s="620"/>
      <c r="T131" s="3"/>
      <c r="U131" s="3"/>
      <c r="V131" s="3"/>
      <c r="W131" s="3"/>
      <c r="X131" s="3"/>
      <c r="Y131" s="3"/>
      <c r="Z131" s="3"/>
      <c r="AA131" s="3"/>
      <c r="AB131" s="3"/>
      <c r="AC131" s="3"/>
      <c r="AD131" s="3"/>
      <c r="AE131" s="3"/>
      <c r="AF131" s="3"/>
      <c r="AG131" s="3"/>
      <c r="AH131" s="3"/>
      <c r="AI131" s="3"/>
      <c r="AJ131" s="3"/>
      <c r="AK131" s="3"/>
      <c r="AL131" s="3"/>
    </row>
    <row r="132" ht="15.75" customHeight="1">
      <c r="A132" s="45"/>
      <c r="B132" s="557">
        <v>127.0</v>
      </c>
      <c r="C132" s="618" t="s">
        <v>31</v>
      </c>
      <c r="D132" s="430" t="s">
        <v>15798</v>
      </c>
      <c r="E132" s="432" t="s">
        <v>15799</v>
      </c>
      <c r="F132" s="603"/>
      <c r="G132" s="430"/>
      <c r="H132" s="430" t="s">
        <v>37</v>
      </c>
      <c r="I132" s="430"/>
      <c r="J132" s="430" t="s">
        <v>38</v>
      </c>
      <c r="K132" s="430"/>
      <c r="L132" s="430" t="s">
        <v>15392</v>
      </c>
      <c r="M132" s="603"/>
      <c r="N132" s="430" t="s">
        <v>14369</v>
      </c>
      <c r="O132" s="557">
        <v>1991.0</v>
      </c>
      <c r="P132" s="430" t="s">
        <v>388</v>
      </c>
      <c r="Q132" s="557">
        <v>1.0</v>
      </c>
      <c r="R132" s="641"/>
      <c r="S132" s="620"/>
      <c r="T132" s="3"/>
      <c r="U132" s="3"/>
      <c r="V132" s="3"/>
      <c r="W132" s="3"/>
      <c r="X132" s="3"/>
      <c r="Y132" s="3"/>
      <c r="Z132" s="3"/>
      <c r="AA132" s="3"/>
      <c r="AB132" s="3"/>
      <c r="AC132" s="3"/>
      <c r="AD132" s="3"/>
      <c r="AE132" s="3"/>
      <c r="AF132" s="3"/>
      <c r="AG132" s="3"/>
      <c r="AH132" s="3"/>
      <c r="AI132" s="3"/>
      <c r="AJ132" s="3"/>
      <c r="AK132" s="3"/>
      <c r="AL132" s="3"/>
    </row>
    <row r="133" ht="15.75" customHeight="1">
      <c r="A133" s="45"/>
      <c r="B133" s="342">
        <v>128.0</v>
      </c>
      <c r="C133" s="449" t="s">
        <v>15800</v>
      </c>
      <c r="D133" s="576"/>
      <c r="E133" s="434" t="s">
        <v>15801</v>
      </c>
      <c r="F133" s="450"/>
      <c r="G133" s="433"/>
      <c r="H133" s="433" t="s">
        <v>37</v>
      </c>
      <c r="I133" s="433"/>
      <c r="J133" s="433" t="s">
        <v>38</v>
      </c>
      <c r="K133" s="433">
        <v>298.0</v>
      </c>
      <c r="L133" s="342"/>
      <c r="M133" s="450"/>
      <c r="N133" s="433" t="s">
        <v>15479</v>
      </c>
      <c r="O133" s="342">
        <v>2012.0</v>
      </c>
      <c r="P133" s="433" t="s">
        <v>388</v>
      </c>
      <c r="Q133" s="342">
        <v>1.0</v>
      </c>
      <c r="R133" s="641"/>
      <c r="S133" s="620"/>
      <c r="T133" s="3"/>
      <c r="U133" s="3"/>
      <c r="V133" s="3"/>
      <c r="W133" s="3"/>
      <c r="X133" s="3"/>
      <c r="Y133" s="3"/>
      <c r="Z133" s="3"/>
      <c r="AA133" s="3"/>
      <c r="AB133" s="3"/>
      <c r="AC133" s="3"/>
      <c r="AD133" s="3"/>
      <c r="AE133" s="3"/>
      <c r="AF133" s="3"/>
      <c r="AG133" s="3"/>
      <c r="AH133" s="3"/>
      <c r="AI133" s="3"/>
      <c r="AJ133" s="3"/>
      <c r="AK133" s="3"/>
      <c r="AL133" s="3"/>
    </row>
    <row r="134" ht="15.75" customHeight="1">
      <c r="A134" s="45"/>
      <c r="B134" s="342">
        <v>129.0</v>
      </c>
      <c r="C134" s="449" t="s">
        <v>15802</v>
      </c>
      <c r="D134" s="433" t="s">
        <v>15803</v>
      </c>
      <c r="E134" s="434" t="s">
        <v>15804</v>
      </c>
      <c r="F134" s="450"/>
      <c r="G134" s="433"/>
      <c r="H134" s="433" t="s">
        <v>37</v>
      </c>
      <c r="I134" s="433"/>
      <c r="J134" s="433" t="s">
        <v>38</v>
      </c>
      <c r="K134" s="577">
        <v>2062.0</v>
      </c>
      <c r="L134" s="433" t="s">
        <v>15805</v>
      </c>
      <c r="M134" s="450"/>
      <c r="N134" s="433" t="s">
        <v>54</v>
      </c>
      <c r="O134" s="342">
        <v>1992.0</v>
      </c>
      <c r="P134" s="433" t="s">
        <v>388</v>
      </c>
      <c r="Q134" s="342">
        <v>1.0</v>
      </c>
      <c r="R134" s="641"/>
      <c r="S134" s="620"/>
      <c r="T134" s="3"/>
      <c r="U134" s="3"/>
      <c r="V134" s="3"/>
      <c r="W134" s="3"/>
      <c r="X134" s="3"/>
      <c r="Y134" s="3"/>
      <c r="Z134" s="3"/>
      <c r="AA134" s="3"/>
      <c r="AB134" s="3"/>
      <c r="AC134" s="3"/>
      <c r="AD134" s="3"/>
      <c r="AE134" s="3"/>
      <c r="AF134" s="3"/>
      <c r="AG134" s="3"/>
      <c r="AH134" s="3"/>
      <c r="AI134" s="3"/>
      <c r="AJ134" s="3"/>
      <c r="AK134" s="3"/>
      <c r="AL134" s="3"/>
    </row>
    <row r="135" ht="15.75" customHeight="1">
      <c r="A135" s="45"/>
      <c r="B135" s="557">
        <v>130.0</v>
      </c>
      <c r="C135" s="618" t="s">
        <v>15806</v>
      </c>
      <c r="D135" s="557" t="s">
        <v>15807</v>
      </c>
      <c r="E135" s="432" t="s">
        <v>15808</v>
      </c>
      <c r="F135" s="603"/>
      <c r="G135" s="430"/>
      <c r="H135" s="430" t="s">
        <v>15809</v>
      </c>
      <c r="I135" s="430"/>
      <c r="J135" s="430" t="s">
        <v>38</v>
      </c>
      <c r="K135" s="430">
        <v>1804.0</v>
      </c>
      <c r="L135" s="430" t="s">
        <v>15810</v>
      </c>
      <c r="M135" s="603"/>
      <c r="N135" s="430" t="s">
        <v>12447</v>
      </c>
      <c r="O135" s="557" t="s">
        <v>15811</v>
      </c>
      <c r="P135" s="430" t="s">
        <v>388</v>
      </c>
      <c r="Q135" s="557">
        <v>1.0</v>
      </c>
      <c r="R135" s="640"/>
      <c r="S135" s="620"/>
      <c r="T135" s="3"/>
      <c r="U135" s="3"/>
      <c r="V135" s="3"/>
      <c r="W135" s="3"/>
      <c r="X135" s="3"/>
      <c r="Y135" s="3"/>
      <c r="Z135" s="3"/>
      <c r="AA135" s="3"/>
      <c r="AB135" s="3"/>
      <c r="AC135" s="3"/>
      <c r="AD135" s="3"/>
      <c r="AE135" s="3"/>
      <c r="AF135" s="3"/>
      <c r="AG135" s="3"/>
      <c r="AH135" s="3"/>
      <c r="AI135" s="3"/>
      <c r="AJ135" s="3"/>
      <c r="AK135" s="3"/>
      <c r="AL135" s="3"/>
    </row>
    <row r="136" ht="15.75" customHeight="1">
      <c r="A136" s="45"/>
      <c r="B136" s="342">
        <v>131.0</v>
      </c>
      <c r="C136" s="449" t="s">
        <v>31</v>
      </c>
      <c r="D136" s="433" t="s">
        <v>15812</v>
      </c>
      <c r="E136" s="434" t="s">
        <v>15813</v>
      </c>
      <c r="F136" s="450"/>
      <c r="G136" s="433"/>
      <c r="H136" s="433" t="s">
        <v>5563</v>
      </c>
      <c r="I136" s="433"/>
      <c r="J136" s="433" t="s">
        <v>15814</v>
      </c>
      <c r="K136" s="433">
        <v>778.0</v>
      </c>
      <c r="L136" s="342" t="s">
        <v>31</v>
      </c>
      <c r="M136" s="450"/>
      <c r="N136" s="433" t="s">
        <v>7817</v>
      </c>
      <c r="O136" s="342">
        <v>1988.0</v>
      </c>
      <c r="P136" s="433" t="s">
        <v>388</v>
      </c>
      <c r="Q136" s="342">
        <v>1.0</v>
      </c>
      <c r="R136" s="640"/>
      <c r="S136" s="620"/>
      <c r="T136" s="3"/>
      <c r="U136" s="3"/>
      <c r="V136" s="3"/>
      <c r="W136" s="3"/>
      <c r="X136" s="3"/>
      <c r="Y136" s="3"/>
      <c r="Z136" s="3"/>
      <c r="AA136" s="3"/>
      <c r="AB136" s="3"/>
      <c r="AC136" s="3"/>
      <c r="AD136" s="3"/>
      <c r="AE136" s="3"/>
      <c r="AF136" s="3"/>
      <c r="AG136" s="3"/>
      <c r="AH136" s="3"/>
      <c r="AI136" s="3"/>
      <c r="AJ136" s="3"/>
      <c r="AK136" s="3"/>
      <c r="AL136" s="3"/>
    </row>
    <row r="137" ht="15.75" customHeight="1">
      <c r="A137" s="45"/>
      <c r="B137" s="342">
        <v>132.0</v>
      </c>
      <c r="C137" s="449" t="s">
        <v>15815</v>
      </c>
      <c r="D137" s="433" t="s">
        <v>15816</v>
      </c>
      <c r="E137" s="434" t="s">
        <v>15817</v>
      </c>
      <c r="F137" s="450"/>
      <c r="G137" s="433"/>
      <c r="H137" s="433" t="s">
        <v>5747</v>
      </c>
      <c r="I137" s="433"/>
      <c r="J137" s="433" t="s">
        <v>15818</v>
      </c>
      <c r="K137" s="433">
        <v>819.0</v>
      </c>
      <c r="L137" s="433" t="s">
        <v>15207</v>
      </c>
      <c r="M137" s="450"/>
      <c r="N137" s="433" t="s">
        <v>15278</v>
      </c>
      <c r="O137" s="342">
        <v>2008.0</v>
      </c>
      <c r="P137" s="433" t="s">
        <v>388</v>
      </c>
      <c r="Q137" s="342">
        <v>1.0</v>
      </c>
      <c r="R137" s="640"/>
      <c r="S137" s="620"/>
      <c r="T137" s="3"/>
      <c r="U137" s="3"/>
      <c r="V137" s="3"/>
      <c r="W137" s="3"/>
      <c r="X137" s="3"/>
      <c r="Y137" s="3"/>
      <c r="Z137" s="3"/>
      <c r="AA137" s="3"/>
      <c r="AB137" s="3"/>
      <c r="AC137" s="3"/>
      <c r="AD137" s="3"/>
      <c r="AE137" s="3"/>
      <c r="AF137" s="3"/>
      <c r="AG137" s="3"/>
      <c r="AH137" s="3"/>
      <c r="AI137" s="3"/>
      <c r="AJ137" s="3"/>
      <c r="AK137" s="3"/>
      <c r="AL137" s="3"/>
    </row>
    <row r="138" ht="15.75" customHeight="1">
      <c r="A138" s="45"/>
      <c r="B138" s="342"/>
      <c r="C138" s="449"/>
      <c r="D138" s="433"/>
      <c r="E138" s="434"/>
      <c r="F138" s="450"/>
      <c r="G138" s="433"/>
      <c r="H138" s="433"/>
      <c r="I138" s="433"/>
      <c r="J138" s="433"/>
      <c r="K138" s="433"/>
      <c r="L138" s="342"/>
      <c r="M138" s="450"/>
      <c r="N138" s="433"/>
      <c r="O138" s="342"/>
      <c r="P138" s="433"/>
      <c r="Q138" s="342"/>
      <c r="R138" s="640"/>
      <c r="S138" s="620"/>
      <c r="T138" s="3"/>
      <c r="U138" s="3"/>
      <c r="V138" s="3"/>
      <c r="W138" s="3"/>
      <c r="X138" s="3"/>
      <c r="Y138" s="3"/>
      <c r="Z138" s="3"/>
      <c r="AA138" s="3"/>
      <c r="AB138" s="3"/>
      <c r="AC138" s="3"/>
      <c r="AD138" s="3"/>
      <c r="AE138" s="3"/>
      <c r="AF138" s="3"/>
      <c r="AG138" s="3"/>
      <c r="AH138" s="3"/>
      <c r="AI138" s="3"/>
      <c r="AJ138" s="3"/>
      <c r="AK138" s="3"/>
      <c r="AL138" s="3"/>
    </row>
    <row r="139" ht="15.75" customHeight="1">
      <c r="A139" s="45"/>
      <c r="B139" s="28">
        <v>134.0</v>
      </c>
      <c r="C139" s="198" t="s">
        <v>15819</v>
      </c>
      <c r="D139" s="31" t="s">
        <v>15820</v>
      </c>
      <c r="E139" s="188" t="s">
        <v>15821</v>
      </c>
      <c r="F139" s="413"/>
      <c r="G139" s="186"/>
      <c r="H139" s="186" t="s">
        <v>37</v>
      </c>
      <c r="I139" s="186"/>
      <c r="J139" s="186" t="s">
        <v>38</v>
      </c>
      <c r="K139" s="186">
        <v>2065.0</v>
      </c>
      <c r="L139" s="186" t="s">
        <v>15211</v>
      </c>
      <c r="M139" s="413"/>
      <c r="N139" s="186" t="s">
        <v>524</v>
      </c>
      <c r="O139" s="28">
        <v>2002.0</v>
      </c>
      <c r="P139" s="191">
        <v>30.0</v>
      </c>
      <c r="Q139" s="28">
        <v>1.0</v>
      </c>
      <c r="R139" s="643">
        <v>1.0</v>
      </c>
      <c r="S139" s="620"/>
      <c r="T139" s="3"/>
      <c r="U139" s="3"/>
      <c r="V139" s="3"/>
      <c r="W139" s="3"/>
      <c r="X139" s="3"/>
      <c r="Y139" s="3"/>
      <c r="Z139" s="3"/>
      <c r="AA139" s="3"/>
      <c r="AB139" s="3"/>
      <c r="AC139" s="3"/>
      <c r="AD139" s="3"/>
      <c r="AE139" s="3"/>
      <c r="AF139" s="3"/>
      <c r="AG139" s="3"/>
      <c r="AH139" s="3"/>
      <c r="AI139" s="3"/>
      <c r="AJ139" s="3"/>
      <c r="AK139" s="3"/>
      <c r="AL139" s="3"/>
    </row>
    <row r="140" ht="15.75" customHeight="1">
      <c r="A140" s="45"/>
      <c r="B140" s="342">
        <v>135.0</v>
      </c>
      <c r="C140" s="449" t="s">
        <v>15822</v>
      </c>
      <c r="D140" s="342" t="s">
        <v>31</v>
      </c>
      <c r="E140" s="434" t="s">
        <v>15823</v>
      </c>
      <c r="F140" s="450"/>
      <c r="G140" s="433"/>
      <c r="H140" s="433" t="s">
        <v>81</v>
      </c>
      <c r="I140" s="433"/>
      <c r="J140" s="433" t="s">
        <v>38</v>
      </c>
      <c r="K140" s="433">
        <v>1477.0</v>
      </c>
      <c r="L140" s="433" t="s">
        <v>15824</v>
      </c>
      <c r="M140" s="450"/>
      <c r="N140" s="433" t="s">
        <v>15544</v>
      </c>
      <c r="O140" s="342">
        <v>1994.0</v>
      </c>
      <c r="P140" s="433" t="s">
        <v>388</v>
      </c>
      <c r="Q140" s="342">
        <v>1.0</v>
      </c>
      <c r="R140" s="640"/>
      <c r="S140" s="620"/>
      <c r="T140" s="3"/>
      <c r="U140" s="3"/>
      <c r="V140" s="3"/>
      <c r="W140" s="3"/>
      <c r="X140" s="3"/>
      <c r="Y140" s="3"/>
      <c r="Z140" s="3"/>
      <c r="AA140" s="3"/>
      <c r="AB140" s="3"/>
      <c r="AC140" s="3"/>
      <c r="AD140" s="3"/>
      <c r="AE140" s="3"/>
      <c r="AF140" s="3"/>
      <c r="AG140" s="3"/>
      <c r="AH140" s="3"/>
      <c r="AI140" s="3"/>
      <c r="AJ140" s="3"/>
      <c r="AK140" s="3"/>
      <c r="AL140" s="3"/>
    </row>
    <row r="141" ht="15.75" customHeight="1">
      <c r="A141" s="45"/>
      <c r="B141" s="342">
        <v>136.0</v>
      </c>
      <c r="C141" s="449" t="s">
        <v>15825</v>
      </c>
      <c r="D141" s="433" t="s">
        <v>15826</v>
      </c>
      <c r="E141" s="434" t="s">
        <v>15827</v>
      </c>
      <c r="F141" s="450"/>
      <c r="G141" s="433"/>
      <c r="H141" s="433" t="s">
        <v>37</v>
      </c>
      <c r="I141" s="433"/>
      <c r="J141" s="433" t="s">
        <v>38</v>
      </c>
      <c r="K141" s="433">
        <v>563.0</v>
      </c>
      <c r="L141" s="342" t="s">
        <v>31</v>
      </c>
      <c r="M141" s="450"/>
      <c r="N141" s="433" t="s">
        <v>8959</v>
      </c>
      <c r="O141" s="342">
        <v>2006.0</v>
      </c>
      <c r="P141" s="433" t="s">
        <v>388</v>
      </c>
      <c r="Q141" s="342">
        <v>1.0</v>
      </c>
      <c r="R141" s="640"/>
      <c r="S141" s="620"/>
      <c r="T141" s="3"/>
      <c r="U141" s="3"/>
      <c r="V141" s="3"/>
      <c r="W141" s="3"/>
      <c r="X141" s="3"/>
      <c r="Y141" s="3"/>
      <c r="Z141" s="3"/>
      <c r="AA141" s="3"/>
      <c r="AB141" s="3"/>
      <c r="AC141" s="3"/>
      <c r="AD141" s="3"/>
      <c r="AE141" s="3"/>
      <c r="AF141" s="3"/>
      <c r="AG141" s="3"/>
      <c r="AH141" s="3"/>
      <c r="AI141" s="3"/>
      <c r="AJ141" s="3"/>
      <c r="AK141" s="3"/>
      <c r="AL141" s="3"/>
    </row>
    <row r="142" ht="15.75" customHeight="1">
      <c r="A142" s="45"/>
      <c r="B142" s="342">
        <v>137.0</v>
      </c>
      <c r="C142" s="449" t="s">
        <v>31</v>
      </c>
      <c r="D142" s="342" t="s">
        <v>31</v>
      </c>
      <c r="E142" s="434" t="s">
        <v>15602</v>
      </c>
      <c r="F142" s="450"/>
      <c r="G142" s="433"/>
      <c r="H142" s="433" t="s">
        <v>38</v>
      </c>
      <c r="I142" s="433"/>
      <c r="J142" s="433" t="s">
        <v>38</v>
      </c>
      <c r="K142" s="433">
        <v>919.0</v>
      </c>
      <c r="L142" s="342" t="s">
        <v>31</v>
      </c>
      <c r="M142" s="450"/>
      <c r="N142" s="433" t="s">
        <v>83</v>
      </c>
      <c r="O142" s="342">
        <v>1965.0</v>
      </c>
      <c r="P142" s="433" t="s">
        <v>388</v>
      </c>
      <c r="Q142" s="342">
        <v>1.0</v>
      </c>
      <c r="R142" s="640"/>
      <c r="S142" s="620"/>
      <c r="T142" s="3"/>
      <c r="U142" s="3"/>
      <c r="V142" s="3"/>
      <c r="W142" s="3"/>
      <c r="X142" s="3"/>
      <c r="Y142" s="3"/>
      <c r="Z142" s="3"/>
      <c r="AA142" s="3"/>
      <c r="AB142" s="3"/>
      <c r="AC142" s="3"/>
      <c r="AD142" s="3"/>
      <c r="AE142" s="3"/>
      <c r="AF142" s="3"/>
      <c r="AG142" s="3"/>
      <c r="AH142" s="3"/>
      <c r="AI142" s="3"/>
      <c r="AJ142" s="3"/>
      <c r="AK142" s="3"/>
      <c r="AL142" s="3"/>
    </row>
    <row r="143" ht="15.75" customHeight="1">
      <c r="A143" s="45"/>
      <c r="B143" s="342">
        <v>138.0</v>
      </c>
      <c r="C143" s="449" t="s">
        <v>15828</v>
      </c>
      <c r="D143" s="342" t="s">
        <v>31</v>
      </c>
      <c r="E143" s="434" t="s">
        <v>15829</v>
      </c>
      <c r="F143" s="450"/>
      <c r="G143" s="433"/>
      <c r="H143" s="433" t="s">
        <v>37</v>
      </c>
      <c r="I143" s="433"/>
      <c r="J143" s="433" t="s">
        <v>38</v>
      </c>
      <c r="K143" s="433">
        <v>768.0</v>
      </c>
      <c r="L143" s="433" t="s">
        <v>15392</v>
      </c>
      <c r="M143" s="450"/>
      <c r="N143" s="433" t="s">
        <v>14369</v>
      </c>
      <c r="O143" s="342">
        <v>1991.0</v>
      </c>
      <c r="P143" s="433" t="s">
        <v>388</v>
      </c>
      <c r="Q143" s="342">
        <v>1.0</v>
      </c>
      <c r="R143" s="640"/>
      <c r="S143" s="620"/>
      <c r="T143" s="3"/>
      <c r="U143" s="3"/>
      <c r="V143" s="3"/>
      <c r="W143" s="3"/>
      <c r="X143" s="3"/>
      <c r="Y143" s="3"/>
      <c r="Z143" s="3"/>
      <c r="AA143" s="3"/>
      <c r="AB143" s="3"/>
      <c r="AC143" s="3"/>
      <c r="AD143" s="3"/>
      <c r="AE143" s="3"/>
      <c r="AF143" s="3"/>
      <c r="AG143" s="3"/>
      <c r="AH143" s="3"/>
      <c r="AI143" s="3"/>
      <c r="AJ143" s="3"/>
      <c r="AK143" s="3"/>
      <c r="AL143" s="3"/>
    </row>
    <row r="144" ht="15.75" customHeight="1">
      <c r="A144" s="45"/>
      <c r="B144" s="342">
        <v>139.0</v>
      </c>
      <c r="C144" s="449" t="s">
        <v>31</v>
      </c>
      <c r="D144" s="433" t="s">
        <v>15830</v>
      </c>
      <c r="E144" s="434" t="s">
        <v>15586</v>
      </c>
      <c r="F144" s="450"/>
      <c r="G144" s="433"/>
      <c r="H144" s="433" t="s">
        <v>37</v>
      </c>
      <c r="I144" s="433"/>
      <c r="J144" s="433" t="s">
        <v>38</v>
      </c>
      <c r="K144" s="433">
        <v>1178.0</v>
      </c>
      <c r="L144" s="342" t="s">
        <v>31</v>
      </c>
      <c r="M144" s="450"/>
      <c r="N144" s="433" t="s">
        <v>3233</v>
      </c>
      <c r="O144" s="342">
        <v>1989.0</v>
      </c>
      <c r="P144" s="433" t="s">
        <v>388</v>
      </c>
      <c r="Q144" s="342">
        <v>1.0</v>
      </c>
      <c r="R144" s="640"/>
      <c r="S144" s="620"/>
      <c r="T144" s="3"/>
      <c r="U144" s="3"/>
      <c r="V144" s="3"/>
      <c r="W144" s="3"/>
      <c r="X144" s="3"/>
      <c r="Y144" s="3"/>
      <c r="Z144" s="3"/>
      <c r="AA144" s="3"/>
      <c r="AB144" s="3"/>
      <c r="AC144" s="3"/>
      <c r="AD144" s="3"/>
      <c r="AE144" s="3"/>
      <c r="AF144" s="3"/>
      <c r="AG144" s="3"/>
      <c r="AH144" s="3"/>
      <c r="AI144" s="3"/>
      <c r="AJ144" s="3"/>
      <c r="AK144" s="3"/>
      <c r="AL144" s="3"/>
    </row>
    <row r="145" ht="15.75" customHeight="1">
      <c r="A145" s="45"/>
      <c r="B145" s="342">
        <v>140.0</v>
      </c>
      <c r="C145" s="449" t="s">
        <v>15668</v>
      </c>
      <c r="D145" s="577" t="s">
        <v>15831</v>
      </c>
      <c r="E145" s="434" t="s">
        <v>15626</v>
      </c>
      <c r="F145" s="450"/>
      <c r="G145" s="433"/>
      <c r="H145" s="433" t="s">
        <v>37</v>
      </c>
      <c r="I145" s="433"/>
      <c r="J145" s="433" t="s">
        <v>38</v>
      </c>
      <c r="K145" s="433">
        <v>1301.0</v>
      </c>
      <c r="L145" s="433" t="s">
        <v>15832</v>
      </c>
      <c r="M145" s="450"/>
      <c r="N145" s="433" t="s">
        <v>54</v>
      </c>
      <c r="O145" s="342">
        <v>1986.0</v>
      </c>
      <c r="P145" s="433" t="s">
        <v>388</v>
      </c>
      <c r="Q145" s="342">
        <v>1.0</v>
      </c>
      <c r="R145" s="640"/>
      <c r="S145" s="620"/>
      <c r="T145" s="3"/>
      <c r="U145" s="3"/>
      <c r="V145" s="3"/>
      <c r="W145" s="3"/>
      <c r="X145" s="3"/>
      <c r="Y145" s="3"/>
      <c r="Z145" s="3"/>
      <c r="AA145" s="3"/>
      <c r="AB145" s="3"/>
      <c r="AC145" s="3"/>
      <c r="AD145" s="3"/>
      <c r="AE145" s="3"/>
      <c r="AF145" s="3"/>
      <c r="AG145" s="3"/>
      <c r="AH145" s="3"/>
      <c r="AI145" s="3"/>
      <c r="AJ145" s="3"/>
      <c r="AK145" s="3"/>
      <c r="AL145" s="3"/>
    </row>
    <row r="146" ht="15.75" customHeight="1">
      <c r="A146" s="45"/>
      <c r="B146" s="342">
        <v>141.0</v>
      </c>
      <c r="C146" s="449" t="s">
        <v>15833</v>
      </c>
      <c r="D146" s="342" t="s">
        <v>15834</v>
      </c>
      <c r="E146" s="434" t="s">
        <v>15835</v>
      </c>
      <c r="F146" s="450"/>
      <c r="G146" s="433"/>
      <c r="H146" s="433" t="s">
        <v>15225</v>
      </c>
      <c r="I146" s="433"/>
      <c r="J146" s="433" t="s">
        <v>131</v>
      </c>
      <c r="K146" s="433">
        <v>1053.0</v>
      </c>
      <c r="L146" s="433" t="s">
        <v>15211</v>
      </c>
      <c r="M146" s="450"/>
      <c r="N146" s="433" t="s">
        <v>15836</v>
      </c>
      <c r="O146" s="342">
        <v>1988.0</v>
      </c>
      <c r="P146" s="433" t="s">
        <v>388</v>
      </c>
      <c r="Q146" s="342">
        <v>1.0</v>
      </c>
      <c r="R146" s="640"/>
      <c r="S146" s="620"/>
      <c r="T146" s="3"/>
      <c r="U146" s="3"/>
      <c r="V146" s="3"/>
      <c r="W146" s="3"/>
      <c r="X146" s="3"/>
      <c r="Y146" s="3"/>
      <c r="Z146" s="3"/>
      <c r="AA146" s="3"/>
      <c r="AB146" s="3"/>
      <c r="AC146" s="3"/>
      <c r="AD146" s="3"/>
      <c r="AE146" s="3"/>
      <c r="AF146" s="3"/>
      <c r="AG146" s="3"/>
      <c r="AH146" s="3"/>
      <c r="AI146" s="3"/>
      <c r="AJ146" s="3"/>
      <c r="AK146" s="3"/>
      <c r="AL146" s="3"/>
    </row>
    <row r="147" ht="15.75" customHeight="1">
      <c r="A147" s="45"/>
      <c r="B147" s="342">
        <v>142.0</v>
      </c>
      <c r="C147" s="449" t="s">
        <v>15837</v>
      </c>
      <c r="D147" s="342" t="s">
        <v>15838</v>
      </c>
      <c r="E147" s="434" t="s">
        <v>15839</v>
      </c>
      <c r="F147" s="450"/>
      <c r="G147" s="433"/>
      <c r="H147" s="433" t="s">
        <v>15840</v>
      </c>
      <c r="I147" s="433"/>
      <c r="J147" s="433" t="s">
        <v>15841</v>
      </c>
      <c r="K147" s="433">
        <v>1064.0</v>
      </c>
      <c r="L147" s="342" t="s">
        <v>31</v>
      </c>
      <c r="M147" s="450"/>
      <c r="N147" s="433" t="s">
        <v>15842</v>
      </c>
      <c r="O147" s="342">
        <v>1988.0</v>
      </c>
      <c r="P147" s="433" t="s">
        <v>388</v>
      </c>
      <c r="Q147" s="342">
        <v>1.0</v>
      </c>
      <c r="R147" s="640"/>
      <c r="S147" s="620"/>
      <c r="T147" s="3"/>
      <c r="U147" s="3"/>
      <c r="V147" s="3"/>
      <c r="W147" s="3"/>
      <c r="X147" s="3"/>
      <c r="Y147" s="3"/>
      <c r="Z147" s="3"/>
      <c r="AA147" s="3"/>
      <c r="AB147" s="3"/>
      <c r="AC147" s="3"/>
      <c r="AD147" s="3"/>
      <c r="AE147" s="3"/>
      <c r="AF147" s="3"/>
      <c r="AG147" s="3"/>
      <c r="AH147" s="3"/>
      <c r="AI147" s="3"/>
      <c r="AJ147" s="3"/>
      <c r="AK147" s="3"/>
      <c r="AL147" s="3"/>
    </row>
    <row r="148" ht="15.75" customHeight="1">
      <c r="A148" s="45"/>
      <c r="B148" s="342">
        <v>143.0</v>
      </c>
      <c r="C148" s="449" t="s">
        <v>31</v>
      </c>
      <c r="D148" s="342" t="s">
        <v>15843</v>
      </c>
      <c r="E148" s="434" t="s">
        <v>15844</v>
      </c>
      <c r="F148" s="450"/>
      <c r="G148" s="433"/>
      <c r="H148" s="433" t="s">
        <v>6151</v>
      </c>
      <c r="I148" s="433"/>
      <c r="J148" s="433" t="s">
        <v>15845</v>
      </c>
      <c r="K148" s="538"/>
      <c r="L148" s="342" t="s">
        <v>31</v>
      </c>
      <c r="M148" s="450"/>
      <c r="N148" s="433" t="s">
        <v>15846</v>
      </c>
      <c r="O148" s="342">
        <v>1974.0</v>
      </c>
      <c r="P148" s="433" t="s">
        <v>388</v>
      </c>
      <c r="Q148" s="342">
        <v>1.0</v>
      </c>
      <c r="R148" s="640"/>
      <c r="S148" s="620"/>
      <c r="T148" s="3"/>
      <c r="U148" s="3"/>
      <c r="V148" s="3"/>
      <c r="W148" s="3"/>
      <c r="X148" s="3"/>
      <c r="Y148" s="3"/>
      <c r="Z148" s="3"/>
      <c r="AA148" s="3"/>
      <c r="AB148" s="3"/>
      <c r="AC148" s="3"/>
      <c r="AD148" s="3"/>
      <c r="AE148" s="3"/>
      <c r="AF148" s="3"/>
      <c r="AG148" s="3"/>
      <c r="AH148" s="3"/>
      <c r="AI148" s="3"/>
      <c r="AJ148" s="3"/>
      <c r="AK148" s="3"/>
      <c r="AL148" s="3"/>
    </row>
    <row r="149" ht="15.75" customHeight="1">
      <c r="A149" s="45"/>
      <c r="B149" s="342">
        <v>144.0</v>
      </c>
      <c r="C149" s="449" t="s">
        <v>31</v>
      </c>
      <c r="D149" s="342" t="s">
        <v>31</v>
      </c>
      <c r="E149" s="434" t="s">
        <v>15847</v>
      </c>
      <c r="F149" s="450"/>
      <c r="G149" s="433"/>
      <c r="H149" s="433" t="s">
        <v>12129</v>
      </c>
      <c r="I149" s="433"/>
      <c r="J149" s="433" t="s">
        <v>12129</v>
      </c>
      <c r="K149" s="433">
        <v>528.0</v>
      </c>
      <c r="L149" s="433" t="s">
        <v>15764</v>
      </c>
      <c r="M149" s="450"/>
      <c r="N149" s="433" t="s">
        <v>15848</v>
      </c>
      <c r="O149" s="342">
        <v>2010.0</v>
      </c>
      <c r="P149" s="433" t="s">
        <v>388</v>
      </c>
      <c r="Q149" s="342">
        <v>1.0</v>
      </c>
      <c r="R149" s="640"/>
      <c r="S149" s="620"/>
      <c r="T149" s="3"/>
      <c r="U149" s="3"/>
      <c r="V149" s="3"/>
      <c r="W149" s="3"/>
      <c r="X149" s="3"/>
      <c r="Y149" s="3"/>
      <c r="Z149" s="3"/>
      <c r="AA149" s="3"/>
      <c r="AB149" s="3"/>
      <c r="AC149" s="3"/>
      <c r="AD149" s="3"/>
      <c r="AE149" s="3"/>
      <c r="AF149" s="3"/>
      <c r="AG149" s="3"/>
      <c r="AH149" s="3"/>
      <c r="AI149" s="3"/>
      <c r="AJ149" s="3"/>
      <c r="AK149" s="3"/>
      <c r="AL149" s="3"/>
    </row>
    <row r="150" ht="15.75" customHeight="1">
      <c r="A150" s="45"/>
      <c r="B150" s="342">
        <v>145.0</v>
      </c>
      <c r="C150" s="449" t="s">
        <v>31</v>
      </c>
      <c r="D150" s="342" t="s">
        <v>31</v>
      </c>
      <c r="E150" s="434" t="s">
        <v>15849</v>
      </c>
      <c r="F150" s="450"/>
      <c r="G150" s="433"/>
      <c r="H150" s="433" t="s">
        <v>12129</v>
      </c>
      <c r="I150" s="433"/>
      <c r="J150" s="433" t="s">
        <v>12129</v>
      </c>
      <c r="K150" s="433">
        <v>774.0</v>
      </c>
      <c r="L150" s="433" t="s">
        <v>15850</v>
      </c>
      <c r="M150" s="450"/>
      <c r="N150" s="433" t="s">
        <v>15848</v>
      </c>
      <c r="O150" s="342">
        <v>2010.0</v>
      </c>
      <c r="P150" s="433" t="s">
        <v>388</v>
      </c>
      <c r="Q150" s="342">
        <v>1.0</v>
      </c>
      <c r="R150" s="640"/>
      <c r="S150" s="620"/>
      <c r="T150" s="3"/>
      <c r="U150" s="3"/>
      <c r="V150" s="3"/>
      <c r="W150" s="3"/>
      <c r="X150" s="3"/>
      <c r="Y150" s="3"/>
      <c r="Z150" s="3"/>
      <c r="AA150" s="3"/>
      <c r="AB150" s="3"/>
      <c r="AC150" s="3"/>
      <c r="AD150" s="3"/>
      <c r="AE150" s="3"/>
      <c r="AF150" s="3"/>
      <c r="AG150" s="3"/>
      <c r="AH150" s="3"/>
      <c r="AI150" s="3"/>
      <c r="AJ150" s="3"/>
      <c r="AK150" s="3"/>
      <c r="AL150" s="3"/>
    </row>
    <row r="151" ht="15.75" customHeight="1">
      <c r="A151" s="45"/>
      <c r="B151" s="342">
        <v>146.0</v>
      </c>
      <c r="C151" s="449" t="s">
        <v>31</v>
      </c>
      <c r="D151" s="433" t="s">
        <v>15527</v>
      </c>
      <c r="E151" s="434" t="s">
        <v>15851</v>
      </c>
      <c r="F151" s="450"/>
      <c r="G151" s="433"/>
      <c r="H151" s="433" t="s">
        <v>37</v>
      </c>
      <c r="I151" s="433"/>
      <c r="J151" s="433" t="s">
        <v>38</v>
      </c>
      <c r="K151" s="433">
        <v>693.0</v>
      </c>
      <c r="L151" s="433" t="s">
        <v>15764</v>
      </c>
      <c r="M151" s="450"/>
      <c r="N151" s="433" t="s">
        <v>15479</v>
      </c>
      <c r="O151" s="342">
        <v>1987.0</v>
      </c>
      <c r="P151" s="433" t="s">
        <v>388</v>
      </c>
      <c r="Q151" s="342">
        <v>1.0</v>
      </c>
      <c r="R151" s="640"/>
      <c r="S151" s="620"/>
      <c r="T151" s="3"/>
      <c r="U151" s="3"/>
      <c r="V151" s="3"/>
      <c r="W151" s="3"/>
      <c r="X151" s="3"/>
      <c r="Y151" s="3"/>
      <c r="Z151" s="3"/>
      <c r="AA151" s="3"/>
      <c r="AB151" s="3"/>
      <c r="AC151" s="3"/>
      <c r="AD151" s="3"/>
      <c r="AE151" s="3"/>
      <c r="AF151" s="3"/>
      <c r="AG151" s="3"/>
      <c r="AH151" s="3"/>
      <c r="AI151" s="3"/>
      <c r="AJ151" s="3"/>
      <c r="AK151" s="3"/>
      <c r="AL151" s="3"/>
    </row>
    <row r="152" ht="15.75" customHeight="1">
      <c r="A152" s="45"/>
      <c r="B152" s="303">
        <v>147.0</v>
      </c>
      <c r="C152" s="636" t="s">
        <v>31</v>
      </c>
      <c r="D152" s="322" t="s">
        <v>15852</v>
      </c>
      <c r="E152" s="420" t="s">
        <v>15853</v>
      </c>
      <c r="F152" s="555"/>
      <c r="G152" s="322"/>
      <c r="H152" s="322" t="s">
        <v>37</v>
      </c>
      <c r="I152" s="322"/>
      <c r="J152" s="322" t="s">
        <v>38</v>
      </c>
      <c r="K152" s="322">
        <v>881.0</v>
      </c>
      <c r="L152" s="322" t="s">
        <v>15854</v>
      </c>
      <c r="M152" s="555"/>
      <c r="N152" s="322" t="s">
        <v>15479</v>
      </c>
      <c r="O152" s="303">
        <v>1972.0</v>
      </c>
      <c r="P152" s="322" t="s">
        <v>388</v>
      </c>
      <c r="Q152" s="303">
        <v>2.0</v>
      </c>
      <c r="R152" s="640"/>
      <c r="S152" s="620"/>
      <c r="T152" s="3"/>
      <c r="U152" s="3"/>
      <c r="V152" s="3"/>
      <c r="W152" s="3"/>
      <c r="X152" s="3"/>
      <c r="Y152" s="3"/>
      <c r="Z152" s="3"/>
      <c r="AA152" s="3"/>
      <c r="AB152" s="3"/>
      <c r="AC152" s="3"/>
      <c r="AD152" s="3"/>
      <c r="AE152" s="3"/>
      <c r="AF152" s="3"/>
      <c r="AG152" s="3"/>
      <c r="AH152" s="3"/>
      <c r="AI152" s="3"/>
      <c r="AJ152" s="3"/>
      <c r="AK152" s="3"/>
      <c r="AL152" s="3"/>
    </row>
    <row r="153" ht="15.75" customHeight="1">
      <c r="A153" s="45"/>
      <c r="B153" s="557"/>
      <c r="C153" s="603" t="s">
        <v>15535</v>
      </c>
      <c r="D153" s="432" t="s">
        <v>15855</v>
      </c>
      <c r="E153" s="432" t="s">
        <v>15856</v>
      </c>
      <c r="F153" s="603" t="s">
        <v>2355</v>
      </c>
      <c r="G153" s="430" t="s">
        <v>29</v>
      </c>
      <c r="H153" s="430" t="s">
        <v>37</v>
      </c>
      <c r="I153" s="430"/>
      <c r="J153" s="430" t="s">
        <v>38</v>
      </c>
      <c r="K153" s="430">
        <f>1391+2+44</f>
        <v>1437</v>
      </c>
      <c r="L153" s="557" t="s">
        <v>15857</v>
      </c>
      <c r="M153" s="603"/>
      <c r="N153" s="430" t="s">
        <v>14369</v>
      </c>
      <c r="O153" s="557">
        <v>1983.0</v>
      </c>
      <c r="P153" s="430" t="s">
        <v>388</v>
      </c>
      <c r="Q153" s="557">
        <v>1.0</v>
      </c>
      <c r="R153" s="640"/>
      <c r="S153" s="620"/>
      <c r="T153" s="3"/>
      <c r="U153" s="3"/>
      <c r="V153" s="3"/>
      <c r="W153" s="3"/>
      <c r="X153" s="3"/>
      <c r="Y153" s="3"/>
      <c r="Z153" s="3"/>
      <c r="AA153" s="3"/>
      <c r="AB153" s="3"/>
      <c r="AC153" s="3"/>
      <c r="AD153" s="3"/>
      <c r="AE153" s="3"/>
      <c r="AF153" s="3"/>
      <c r="AG153" s="3"/>
      <c r="AH153" s="3"/>
      <c r="AI153" s="3"/>
      <c r="AJ153" s="3"/>
      <c r="AK153" s="3"/>
      <c r="AL153" s="3"/>
    </row>
    <row r="154" ht="15.75" customHeight="1">
      <c r="A154" s="45"/>
      <c r="B154" s="342"/>
      <c r="C154" s="449"/>
      <c r="D154" s="433"/>
      <c r="E154" s="434"/>
      <c r="F154" s="450"/>
      <c r="G154" s="433"/>
      <c r="H154" s="433"/>
      <c r="I154" s="433"/>
      <c r="J154" s="433"/>
      <c r="K154" s="433"/>
      <c r="L154" s="342"/>
      <c r="M154" s="450"/>
      <c r="N154" s="433"/>
      <c r="O154" s="342"/>
      <c r="P154" s="433"/>
      <c r="Q154" s="342"/>
      <c r="R154" s="640"/>
      <c r="S154" s="620"/>
      <c r="T154" s="3"/>
      <c r="U154" s="3"/>
      <c r="V154" s="3"/>
      <c r="W154" s="3"/>
      <c r="X154" s="3"/>
      <c r="Y154" s="3"/>
      <c r="Z154" s="3"/>
      <c r="AA154" s="3"/>
      <c r="AB154" s="3"/>
      <c r="AC154" s="3"/>
      <c r="AD154" s="3"/>
      <c r="AE154" s="3"/>
      <c r="AF154" s="3"/>
      <c r="AG154" s="3"/>
      <c r="AH154" s="3"/>
      <c r="AI154" s="3"/>
      <c r="AJ154" s="3"/>
      <c r="AK154" s="3"/>
      <c r="AL154" s="3"/>
    </row>
    <row r="155" ht="15.75" customHeight="1">
      <c r="A155" s="45"/>
      <c r="B155" s="342">
        <v>150.0</v>
      </c>
      <c r="C155" s="449" t="s">
        <v>31</v>
      </c>
      <c r="D155" s="433" t="s">
        <v>15858</v>
      </c>
      <c r="E155" s="434" t="s">
        <v>15859</v>
      </c>
      <c r="F155" s="450"/>
      <c r="G155" s="433"/>
      <c r="H155" s="433" t="s">
        <v>37</v>
      </c>
      <c r="I155" s="433"/>
      <c r="J155" s="433" t="s">
        <v>38</v>
      </c>
      <c r="K155" s="433">
        <v>1101.0</v>
      </c>
      <c r="L155" s="433" t="s">
        <v>15860</v>
      </c>
      <c r="M155" s="450"/>
      <c r="N155" s="433" t="s">
        <v>15479</v>
      </c>
      <c r="O155" s="342">
        <v>1968.0</v>
      </c>
      <c r="P155" s="433" t="s">
        <v>388</v>
      </c>
      <c r="Q155" s="342">
        <v>2.0</v>
      </c>
      <c r="R155" s="640"/>
      <c r="S155" s="620"/>
      <c r="T155" s="3"/>
      <c r="U155" s="3"/>
      <c r="V155" s="3"/>
      <c r="W155" s="3"/>
      <c r="X155" s="3"/>
      <c r="Y155" s="3"/>
      <c r="Z155" s="3"/>
      <c r="AA155" s="3"/>
      <c r="AB155" s="3"/>
      <c r="AC155" s="3"/>
      <c r="AD155" s="3"/>
      <c r="AE155" s="3"/>
      <c r="AF155" s="3"/>
      <c r="AG155" s="3"/>
      <c r="AH155" s="3"/>
      <c r="AI155" s="3"/>
      <c r="AJ155" s="3"/>
      <c r="AK155" s="3"/>
      <c r="AL155" s="3"/>
    </row>
    <row r="156" ht="15.75" customHeight="1">
      <c r="A156" s="45"/>
      <c r="B156" s="342">
        <v>151.0</v>
      </c>
      <c r="C156" s="449" t="s">
        <v>31</v>
      </c>
      <c r="D156" s="433" t="s">
        <v>15480</v>
      </c>
      <c r="E156" s="434" t="s">
        <v>15861</v>
      </c>
      <c r="F156" s="450"/>
      <c r="G156" s="433"/>
      <c r="H156" s="433" t="s">
        <v>37</v>
      </c>
      <c r="I156" s="433"/>
      <c r="J156" s="433" t="s">
        <v>38</v>
      </c>
      <c r="K156" s="433">
        <v>1126.0</v>
      </c>
      <c r="L156" s="342" t="s">
        <v>31</v>
      </c>
      <c r="M156" s="450"/>
      <c r="N156" s="433" t="s">
        <v>15479</v>
      </c>
      <c r="O156" s="342">
        <v>1978.0</v>
      </c>
      <c r="P156" s="433" t="s">
        <v>388</v>
      </c>
      <c r="Q156" s="342">
        <v>1.0</v>
      </c>
      <c r="R156" s="640"/>
      <c r="S156" s="620"/>
      <c r="T156" s="3"/>
      <c r="U156" s="3"/>
      <c r="V156" s="3"/>
      <c r="W156" s="3"/>
      <c r="X156" s="3"/>
      <c r="Y156" s="3"/>
      <c r="Z156" s="3"/>
      <c r="AA156" s="3"/>
      <c r="AB156" s="3"/>
      <c r="AC156" s="3"/>
      <c r="AD156" s="3"/>
      <c r="AE156" s="3"/>
      <c r="AF156" s="3"/>
      <c r="AG156" s="3"/>
      <c r="AH156" s="3"/>
      <c r="AI156" s="3"/>
      <c r="AJ156" s="3"/>
      <c r="AK156" s="3"/>
      <c r="AL156" s="3"/>
    </row>
    <row r="157" ht="15.75" customHeight="1">
      <c r="A157" s="45"/>
      <c r="B157" s="342">
        <v>152.0</v>
      </c>
      <c r="C157" s="449" t="s">
        <v>5990</v>
      </c>
      <c r="D157" s="433" t="s">
        <v>15862</v>
      </c>
      <c r="E157" s="434" t="s">
        <v>5992</v>
      </c>
      <c r="F157" s="450"/>
      <c r="G157" s="433"/>
      <c r="H157" s="433" t="s">
        <v>38</v>
      </c>
      <c r="I157" s="433"/>
      <c r="J157" s="433" t="s">
        <v>38</v>
      </c>
      <c r="K157" s="433">
        <v>590.0</v>
      </c>
      <c r="L157" s="577" t="s">
        <v>15863</v>
      </c>
      <c r="M157" s="450"/>
      <c r="N157" s="433" t="s">
        <v>15476</v>
      </c>
      <c r="O157" s="342">
        <v>1973.0</v>
      </c>
      <c r="P157" s="433" t="s">
        <v>388</v>
      </c>
      <c r="Q157" s="342">
        <v>3.0</v>
      </c>
      <c r="R157" s="640"/>
      <c r="S157" s="620"/>
      <c r="T157" s="3"/>
      <c r="U157" s="3"/>
      <c r="V157" s="3"/>
      <c r="W157" s="3"/>
      <c r="X157" s="3"/>
      <c r="Y157" s="3"/>
      <c r="Z157" s="3"/>
      <c r="AA157" s="3"/>
      <c r="AB157" s="3"/>
      <c r="AC157" s="3"/>
      <c r="AD157" s="3"/>
      <c r="AE157" s="3"/>
      <c r="AF157" s="3"/>
      <c r="AG157" s="3"/>
      <c r="AH157" s="3"/>
      <c r="AI157" s="3"/>
      <c r="AJ157" s="3"/>
      <c r="AK157" s="3"/>
      <c r="AL157" s="3"/>
    </row>
    <row r="158" ht="15.75" customHeight="1">
      <c r="A158" s="45"/>
      <c r="B158" s="342">
        <v>153.0</v>
      </c>
      <c r="C158" s="449" t="s">
        <v>15864</v>
      </c>
      <c r="D158" s="342" t="s">
        <v>31</v>
      </c>
      <c r="E158" s="434" t="s">
        <v>15865</v>
      </c>
      <c r="F158" s="450"/>
      <c r="G158" s="433"/>
      <c r="H158" s="433" t="s">
        <v>37</v>
      </c>
      <c r="I158" s="433"/>
      <c r="J158" s="433" t="s">
        <v>15866</v>
      </c>
      <c r="K158" s="433">
        <v>1041.0</v>
      </c>
      <c r="L158" s="433" t="s">
        <v>15867</v>
      </c>
      <c r="M158" s="450"/>
      <c r="N158" s="433" t="s">
        <v>15479</v>
      </c>
      <c r="O158" s="342" t="s">
        <v>31</v>
      </c>
      <c r="P158" s="433" t="s">
        <v>388</v>
      </c>
      <c r="Q158" s="342">
        <v>1.0</v>
      </c>
      <c r="R158" s="640"/>
      <c r="S158" s="620"/>
      <c r="T158" s="3"/>
      <c r="U158" s="3"/>
      <c r="V158" s="3"/>
      <c r="W158" s="3"/>
      <c r="X158" s="3"/>
      <c r="Y158" s="3"/>
      <c r="Z158" s="3"/>
      <c r="AA158" s="3"/>
      <c r="AB158" s="3"/>
      <c r="AC158" s="3"/>
      <c r="AD158" s="3"/>
      <c r="AE158" s="3"/>
      <c r="AF158" s="3"/>
      <c r="AG158" s="3"/>
      <c r="AH158" s="3"/>
      <c r="AI158" s="3"/>
      <c r="AJ158" s="3"/>
      <c r="AK158" s="3"/>
      <c r="AL158" s="3"/>
    </row>
    <row r="159" ht="15.75" customHeight="1">
      <c r="A159" s="45"/>
      <c r="B159" s="342">
        <v>154.0</v>
      </c>
      <c r="C159" s="449" t="s">
        <v>31</v>
      </c>
      <c r="D159" s="433" t="s">
        <v>15868</v>
      </c>
      <c r="E159" s="434" t="s">
        <v>15869</v>
      </c>
      <c r="F159" s="450"/>
      <c r="G159" s="433"/>
      <c r="H159" s="433" t="s">
        <v>37</v>
      </c>
      <c r="I159" s="433"/>
      <c r="J159" s="433" t="s">
        <v>38</v>
      </c>
      <c r="K159" s="433">
        <v>950.0</v>
      </c>
      <c r="L159" s="433" t="s">
        <v>15867</v>
      </c>
      <c r="M159" s="450"/>
      <c r="N159" s="433" t="s">
        <v>15479</v>
      </c>
      <c r="O159" s="342">
        <v>1978.0</v>
      </c>
      <c r="P159" s="433" t="s">
        <v>388</v>
      </c>
      <c r="Q159" s="342">
        <v>1.0</v>
      </c>
      <c r="R159" s="640"/>
      <c r="S159" s="620"/>
      <c r="T159" s="3"/>
      <c r="U159" s="3"/>
      <c r="V159" s="3"/>
      <c r="W159" s="3"/>
      <c r="X159" s="3"/>
      <c r="Y159" s="3"/>
      <c r="Z159" s="3"/>
      <c r="AA159" s="3"/>
      <c r="AB159" s="3"/>
      <c r="AC159" s="3"/>
      <c r="AD159" s="3"/>
      <c r="AE159" s="3"/>
      <c r="AF159" s="3"/>
      <c r="AG159" s="3"/>
      <c r="AH159" s="3"/>
      <c r="AI159" s="3"/>
      <c r="AJ159" s="3"/>
      <c r="AK159" s="3"/>
      <c r="AL159" s="3"/>
    </row>
    <row r="160" ht="15.75" customHeight="1">
      <c r="A160" s="45"/>
      <c r="B160" s="342">
        <v>155.0</v>
      </c>
      <c r="C160" s="449" t="s">
        <v>31</v>
      </c>
      <c r="D160" s="444" t="s">
        <v>15870</v>
      </c>
      <c r="E160" s="434" t="s">
        <v>15871</v>
      </c>
      <c r="F160" s="450"/>
      <c r="G160" s="433"/>
      <c r="H160" s="433" t="s">
        <v>37</v>
      </c>
      <c r="I160" s="433"/>
      <c r="J160" s="433" t="s">
        <v>38</v>
      </c>
      <c r="K160" s="433">
        <v>977.0</v>
      </c>
      <c r="L160" s="433" t="s">
        <v>15872</v>
      </c>
      <c r="M160" s="450"/>
      <c r="N160" s="433" t="s">
        <v>15479</v>
      </c>
      <c r="O160" s="342">
        <v>1968.0</v>
      </c>
      <c r="P160" s="433" t="s">
        <v>388</v>
      </c>
      <c r="Q160" s="342">
        <v>2.0</v>
      </c>
      <c r="R160" s="640"/>
      <c r="S160" s="620"/>
      <c r="T160" s="3"/>
      <c r="U160" s="3"/>
      <c r="V160" s="3"/>
      <c r="W160" s="3"/>
      <c r="X160" s="3"/>
      <c r="Y160" s="3"/>
      <c r="Z160" s="3"/>
      <c r="AA160" s="3"/>
      <c r="AB160" s="3"/>
      <c r="AC160" s="3"/>
      <c r="AD160" s="3"/>
      <c r="AE160" s="3"/>
      <c r="AF160" s="3"/>
      <c r="AG160" s="3"/>
      <c r="AH160" s="3"/>
      <c r="AI160" s="3"/>
      <c r="AJ160" s="3"/>
      <c r="AK160" s="3"/>
      <c r="AL160" s="3"/>
    </row>
    <row r="161" ht="15.75" customHeight="1">
      <c r="A161" s="45"/>
      <c r="B161" s="342">
        <v>156.0</v>
      </c>
      <c r="C161" s="449" t="s">
        <v>15873</v>
      </c>
      <c r="D161" s="342" t="s">
        <v>15874</v>
      </c>
      <c r="E161" s="434" t="s">
        <v>15875</v>
      </c>
      <c r="F161" s="450"/>
      <c r="G161" s="433"/>
      <c r="H161" s="433" t="s">
        <v>37</v>
      </c>
      <c r="I161" s="433"/>
      <c r="J161" s="433" t="s">
        <v>15876</v>
      </c>
      <c r="K161" s="433">
        <v>822.0</v>
      </c>
      <c r="L161" s="342"/>
      <c r="M161" s="450"/>
      <c r="N161" s="433" t="s">
        <v>15547</v>
      </c>
      <c r="O161" s="342">
        <v>1988.0</v>
      </c>
      <c r="P161" s="433" t="s">
        <v>388</v>
      </c>
      <c r="Q161" s="342">
        <v>1.0</v>
      </c>
      <c r="R161" s="640"/>
      <c r="S161" s="620"/>
      <c r="T161" s="3"/>
      <c r="U161" s="3"/>
      <c r="V161" s="3"/>
      <c r="W161" s="3"/>
      <c r="X161" s="3"/>
      <c r="Y161" s="3"/>
      <c r="Z161" s="3"/>
      <c r="AA161" s="3"/>
      <c r="AB161" s="3"/>
      <c r="AC161" s="3"/>
      <c r="AD161" s="3"/>
      <c r="AE161" s="3"/>
      <c r="AF161" s="3"/>
      <c r="AG161" s="3"/>
      <c r="AH161" s="3"/>
      <c r="AI161" s="3"/>
      <c r="AJ161" s="3"/>
      <c r="AK161" s="3"/>
      <c r="AL161" s="3"/>
    </row>
    <row r="162" ht="15.75" customHeight="1">
      <c r="A162" s="45"/>
      <c r="B162" s="342">
        <v>157.0</v>
      </c>
      <c r="C162" s="449" t="s">
        <v>31</v>
      </c>
      <c r="D162" s="433" t="s">
        <v>15868</v>
      </c>
      <c r="E162" s="434" t="s">
        <v>15877</v>
      </c>
      <c r="F162" s="450"/>
      <c r="G162" s="433"/>
      <c r="H162" s="433" t="s">
        <v>37</v>
      </c>
      <c r="I162" s="433"/>
      <c r="J162" s="433" t="s">
        <v>38</v>
      </c>
      <c r="K162" s="433">
        <v>686.0</v>
      </c>
      <c r="L162" s="433" t="s">
        <v>15211</v>
      </c>
      <c r="M162" s="450"/>
      <c r="N162" s="433" t="s">
        <v>15479</v>
      </c>
      <c r="O162" s="342">
        <v>1988.0</v>
      </c>
      <c r="P162" s="433" t="s">
        <v>388</v>
      </c>
      <c r="Q162" s="342">
        <v>1.0</v>
      </c>
      <c r="R162" s="640"/>
      <c r="S162" s="620"/>
      <c r="T162" s="3"/>
      <c r="U162" s="3"/>
      <c r="V162" s="3"/>
      <c r="W162" s="3"/>
      <c r="X162" s="3"/>
      <c r="Y162" s="3"/>
      <c r="Z162" s="3"/>
      <c r="AA162" s="3"/>
      <c r="AB162" s="3"/>
      <c r="AC162" s="3"/>
      <c r="AD162" s="3"/>
      <c r="AE162" s="3"/>
      <c r="AF162" s="3"/>
      <c r="AG162" s="3"/>
      <c r="AH162" s="3"/>
      <c r="AI162" s="3"/>
      <c r="AJ162" s="3"/>
      <c r="AK162" s="3"/>
      <c r="AL162" s="3"/>
    </row>
    <row r="163" ht="15.75" customHeight="1">
      <c r="A163" s="45"/>
      <c r="B163" s="342">
        <v>158.0</v>
      </c>
      <c r="C163" s="449" t="s">
        <v>31</v>
      </c>
      <c r="D163" s="433" t="s">
        <v>15868</v>
      </c>
      <c r="E163" s="434" t="s">
        <v>15878</v>
      </c>
      <c r="F163" s="450"/>
      <c r="G163" s="433"/>
      <c r="H163" s="433" t="s">
        <v>37</v>
      </c>
      <c r="I163" s="433"/>
      <c r="J163" s="433" t="s">
        <v>38</v>
      </c>
      <c r="K163" s="433">
        <v>266.0</v>
      </c>
      <c r="L163" s="433" t="s">
        <v>15805</v>
      </c>
      <c r="M163" s="450"/>
      <c r="N163" s="433" t="s">
        <v>15479</v>
      </c>
      <c r="O163" s="342">
        <v>1988.0</v>
      </c>
      <c r="P163" s="433" t="s">
        <v>388</v>
      </c>
      <c r="Q163" s="342">
        <v>1.0</v>
      </c>
      <c r="R163" s="640"/>
      <c r="S163" s="620"/>
      <c r="T163" s="3"/>
      <c r="U163" s="3"/>
      <c r="V163" s="3"/>
      <c r="W163" s="3"/>
      <c r="X163" s="3"/>
      <c r="Y163" s="3"/>
      <c r="Z163" s="3"/>
      <c r="AA163" s="3"/>
      <c r="AB163" s="3"/>
      <c r="AC163" s="3"/>
      <c r="AD163" s="3"/>
      <c r="AE163" s="3"/>
      <c r="AF163" s="3"/>
      <c r="AG163" s="3"/>
      <c r="AH163" s="3"/>
      <c r="AI163" s="3"/>
      <c r="AJ163" s="3"/>
      <c r="AK163" s="3"/>
      <c r="AL163" s="3"/>
    </row>
    <row r="164" ht="15.75" customHeight="1">
      <c r="A164" s="45"/>
      <c r="B164" s="342">
        <v>159.0</v>
      </c>
      <c r="C164" s="449" t="s">
        <v>31</v>
      </c>
      <c r="D164" s="433" t="s">
        <v>15879</v>
      </c>
      <c r="E164" s="434" t="s">
        <v>15880</v>
      </c>
      <c r="F164" s="450"/>
      <c r="G164" s="433"/>
      <c r="H164" s="433" t="s">
        <v>37</v>
      </c>
      <c r="I164" s="433"/>
      <c r="J164" s="433" t="s">
        <v>38</v>
      </c>
      <c r="K164" s="433">
        <v>695.0</v>
      </c>
      <c r="L164" s="433" t="s">
        <v>15881</v>
      </c>
      <c r="M164" s="450"/>
      <c r="N164" s="433" t="s">
        <v>15479</v>
      </c>
      <c r="O164" s="342">
        <v>1986.0</v>
      </c>
      <c r="P164" s="433" t="s">
        <v>388</v>
      </c>
      <c r="Q164" s="342">
        <v>2.0</v>
      </c>
      <c r="R164" s="640"/>
      <c r="S164" s="620"/>
      <c r="T164" s="3"/>
      <c r="U164" s="3"/>
      <c r="V164" s="3"/>
      <c r="W164" s="3"/>
      <c r="X164" s="3"/>
      <c r="Y164" s="3"/>
      <c r="Z164" s="3"/>
      <c r="AA164" s="3"/>
      <c r="AB164" s="3"/>
      <c r="AC164" s="3"/>
      <c r="AD164" s="3"/>
      <c r="AE164" s="3"/>
      <c r="AF164" s="3"/>
      <c r="AG164" s="3"/>
      <c r="AH164" s="3"/>
      <c r="AI164" s="3"/>
      <c r="AJ164" s="3"/>
      <c r="AK164" s="3"/>
      <c r="AL164" s="3"/>
    </row>
    <row r="165" ht="15.75" customHeight="1">
      <c r="A165" s="45"/>
      <c r="B165" s="342">
        <v>160.0</v>
      </c>
      <c r="C165" s="449" t="s">
        <v>31</v>
      </c>
      <c r="D165" s="433" t="s">
        <v>15868</v>
      </c>
      <c r="E165" s="434" t="s">
        <v>15882</v>
      </c>
      <c r="F165" s="450"/>
      <c r="G165" s="433"/>
      <c r="H165" s="433" t="s">
        <v>37</v>
      </c>
      <c r="I165" s="433"/>
      <c r="J165" s="433" t="s">
        <v>38</v>
      </c>
      <c r="K165" s="433">
        <v>605.0</v>
      </c>
      <c r="L165" s="433" t="s">
        <v>15881</v>
      </c>
      <c r="M165" s="450"/>
      <c r="N165" s="433" t="s">
        <v>15479</v>
      </c>
      <c r="O165" s="342">
        <v>1971.0</v>
      </c>
      <c r="P165" s="433" t="s">
        <v>388</v>
      </c>
      <c r="Q165" s="342">
        <v>4.0</v>
      </c>
      <c r="R165" s="640"/>
      <c r="S165" s="620"/>
      <c r="T165" s="3"/>
      <c r="U165" s="3"/>
      <c r="V165" s="3"/>
      <c r="W165" s="3"/>
      <c r="X165" s="3"/>
      <c r="Y165" s="3"/>
      <c r="Z165" s="3"/>
      <c r="AA165" s="3"/>
      <c r="AB165" s="3"/>
      <c r="AC165" s="3"/>
      <c r="AD165" s="3"/>
      <c r="AE165" s="3"/>
      <c r="AF165" s="3"/>
      <c r="AG165" s="3"/>
      <c r="AH165" s="3"/>
      <c r="AI165" s="3"/>
      <c r="AJ165" s="3"/>
      <c r="AK165" s="3"/>
      <c r="AL165" s="3"/>
    </row>
    <row r="166" ht="15.75" customHeight="1">
      <c r="A166" s="45"/>
      <c r="B166" s="342">
        <v>161.0</v>
      </c>
      <c r="C166" s="449" t="s">
        <v>31</v>
      </c>
      <c r="D166" s="342" t="s">
        <v>31</v>
      </c>
      <c r="E166" s="434" t="s">
        <v>15883</v>
      </c>
      <c r="F166" s="450"/>
      <c r="G166" s="433"/>
      <c r="H166" s="433" t="s">
        <v>37</v>
      </c>
      <c r="I166" s="433"/>
      <c r="J166" s="433" t="s">
        <v>38</v>
      </c>
      <c r="K166" s="433">
        <v>695.0</v>
      </c>
      <c r="L166" s="433" t="s">
        <v>15211</v>
      </c>
      <c r="M166" s="450"/>
      <c r="N166" s="433" t="s">
        <v>15479</v>
      </c>
      <c r="O166" s="342">
        <v>1977.0</v>
      </c>
      <c r="P166" s="433" t="s">
        <v>388</v>
      </c>
      <c r="Q166" s="342">
        <v>1.0</v>
      </c>
      <c r="R166" s="640"/>
      <c r="S166" s="620"/>
      <c r="T166" s="3"/>
      <c r="U166" s="3"/>
      <c r="V166" s="3"/>
      <c r="W166" s="3"/>
      <c r="X166" s="3"/>
      <c r="Y166" s="3"/>
      <c r="Z166" s="3"/>
      <c r="AA166" s="3"/>
      <c r="AB166" s="3"/>
      <c r="AC166" s="3"/>
      <c r="AD166" s="3"/>
      <c r="AE166" s="3"/>
      <c r="AF166" s="3"/>
      <c r="AG166" s="3"/>
      <c r="AH166" s="3"/>
      <c r="AI166" s="3"/>
      <c r="AJ166" s="3"/>
      <c r="AK166" s="3"/>
      <c r="AL166" s="3"/>
    </row>
    <row r="167" ht="15.75" customHeight="1">
      <c r="A167" s="45"/>
      <c r="B167" s="342">
        <v>162.0</v>
      </c>
      <c r="C167" s="449" t="s">
        <v>15884</v>
      </c>
      <c r="D167" s="342" t="s">
        <v>31</v>
      </c>
      <c r="E167" s="434" t="s">
        <v>15885</v>
      </c>
      <c r="F167" s="450"/>
      <c r="G167" s="433"/>
      <c r="H167" s="433" t="s">
        <v>37</v>
      </c>
      <c r="I167" s="433"/>
      <c r="J167" s="433" t="s">
        <v>38</v>
      </c>
      <c r="K167" s="433">
        <v>760.0</v>
      </c>
      <c r="L167" s="433" t="s">
        <v>15392</v>
      </c>
      <c r="M167" s="450"/>
      <c r="N167" s="433" t="s">
        <v>54</v>
      </c>
      <c r="O167" s="342">
        <v>1986.0</v>
      </c>
      <c r="P167" s="433" t="s">
        <v>388</v>
      </c>
      <c r="Q167" s="342">
        <v>1.0</v>
      </c>
      <c r="R167" s="640"/>
      <c r="S167" s="620"/>
      <c r="T167" s="3"/>
      <c r="U167" s="3"/>
      <c r="V167" s="3"/>
      <c r="W167" s="3"/>
      <c r="X167" s="3"/>
      <c r="Y167" s="3"/>
      <c r="Z167" s="3"/>
      <c r="AA167" s="3"/>
      <c r="AB167" s="3"/>
      <c r="AC167" s="3"/>
      <c r="AD167" s="3"/>
      <c r="AE167" s="3"/>
      <c r="AF167" s="3"/>
      <c r="AG167" s="3"/>
      <c r="AH167" s="3"/>
      <c r="AI167" s="3"/>
      <c r="AJ167" s="3"/>
      <c r="AK167" s="3"/>
      <c r="AL167" s="3"/>
    </row>
    <row r="168" ht="15.75" customHeight="1">
      <c r="A168" s="45"/>
      <c r="B168" s="342">
        <v>163.0</v>
      </c>
      <c r="C168" s="449" t="s">
        <v>31</v>
      </c>
      <c r="D168" s="433" t="s">
        <v>15886</v>
      </c>
      <c r="E168" s="434" t="s">
        <v>15887</v>
      </c>
      <c r="F168" s="450"/>
      <c r="G168" s="433"/>
      <c r="H168" s="433" t="s">
        <v>37</v>
      </c>
      <c r="I168" s="433"/>
      <c r="J168" s="433" t="s">
        <v>38</v>
      </c>
      <c r="K168" s="433">
        <v>543.0</v>
      </c>
      <c r="L168" s="342" t="s">
        <v>31</v>
      </c>
      <c r="M168" s="450"/>
      <c r="N168" s="433" t="s">
        <v>3233</v>
      </c>
      <c r="O168" s="342">
        <v>1982.0</v>
      </c>
      <c r="P168" s="433" t="s">
        <v>388</v>
      </c>
      <c r="Q168" s="342">
        <v>1.0</v>
      </c>
      <c r="R168" s="640"/>
      <c r="S168" s="620"/>
      <c r="T168" s="3"/>
      <c r="U168" s="3"/>
      <c r="V168" s="3"/>
      <c r="W168" s="3"/>
      <c r="X168" s="3"/>
      <c r="Y168" s="3"/>
      <c r="Z168" s="3"/>
      <c r="AA168" s="3"/>
      <c r="AB168" s="3"/>
      <c r="AC168" s="3"/>
      <c r="AD168" s="3"/>
      <c r="AE168" s="3"/>
      <c r="AF168" s="3"/>
      <c r="AG168" s="3"/>
      <c r="AH168" s="3"/>
      <c r="AI168" s="3"/>
      <c r="AJ168" s="3"/>
      <c r="AK168" s="3"/>
      <c r="AL168" s="3"/>
    </row>
    <row r="169" ht="15.75" customHeight="1">
      <c r="A169" s="45"/>
      <c r="B169" s="342">
        <v>164.0</v>
      </c>
      <c r="C169" s="449" t="s">
        <v>15888</v>
      </c>
      <c r="D169" s="342" t="s">
        <v>31</v>
      </c>
      <c r="E169" s="434" t="s">
        <v>15889</v>
      </c>
      <c r="F169" s="450"/>
      <c r="G169" s="433"/>
      <c r="H169" s="433" t="s">
        <v>81</v>
      </c>
      <c r="I169" s="433"/>
      <c r="J169" s="433" t="s">
        <v>38</v>
      </c>
      <c r="K169" s="433">
        <v>1110.0</v>
      </c>
      <c r="L169" s="433" t="s">
        <v>15890</v>
      </c>
      <c r="M169" s="450"/>
      <c r="N169" s="433" t="s">
        <v>15544</v>
      </c>
      <c r="O169" s="342">
        <v>2002.0</v>
      </c>
      <c r="P169" s="433" t="s">
        <v>388</v>
      </c>
      <c r="Q169" s="342">
        <v>1.0</v>
      </c>
      <c r="R169" s="640"/>
      <c r="S169" s="620"/>
      <c r="T169" s="3"/>
      <c r="U169" s="3"/>
      <c r="V169" s="3"/>
      <c r="W169" s="3"/>
      <c r="X169" s="3"/>
      <c r="Y169" s="3"/>
      <c r="Z169" s="3"/>
      <c r="AA169" s="3"/>
      <c r="AB169" s="3"/>
      <c r="AC169" s="3"/>
      <c r="AD169" s="3"/>
      <c r="AE169" s="3"/>
      <c r="AF169" s="3"/>
      <c r="AG169" s="3"/>
      <c r="AH169" s="3"/>
      <c r="AI169" s="3"/>
      <c r="AJ169" s="3"/>
      <c r="AK169" s="3"/>
      <c r="AL169" s="3"/>
    </row>
    <row r="170" ht="15.75" customHeight="1">
      <c r="A170" s="45"/>
      <c r="B170" s="342">
        <v>165.0</v>
      </c>
      <c r="C170" s="449" t="s">
        <v>31</v>
      </c>
      <c r="D170" s="433" t="s">
        <v>15891</v>
      </c>
      <c r="E170" s="434" t="s">
        <v>15892</v>
      </c>
      <c r="F170" s="450"/>
      <c r="G170" s="433"/>
      <c r="H170" s="433" t="s">
        <v>15809</v>
      </c>
      <c r="I170" s="433"/>
      <c r="J170" s="433" t="s">
        <v>38</v>
      </c>
      <c r="K170" s="433">
        <v>637.0</v>
      </c>
      <c r="L170" s="433" t="s">
        <v>15893</v>
      </c>
      <c r="M170" s="450"/>
      <c r="N170" s="433" t="s">
        <v>5866</v>
      </c>
      <c r="O170" s="342">
        <v>1969.0</v>
      </c>
      <c r="P170" s="433" t="s">
        <v>388</v>
      </c>
      <c r="Q170" s="342">
        <v>1.0</v>
      </c>
      <c r="R170" s="640"/>
      <c r="S170" s="620"/>
      <c r="T170" s="3"/>
      <c r="U170" s="3"/>
      <c r="V170" s="3"/>
      <c r="W170" s="3"/>
      <c r="X170" s="3"/>
      <c r="Y170" s="3"/>
      <c r="Z170" s="3"/>
      <c r="AA170" s="3"/>
      <c r="AB170" s="3"/>
      <c r="AC170" s="3"/>
      <c r="AD170" s="3"/>
      <c r="AE170" s="3"/>
      <c r="AF170" s="3"/>
      <c r="AG170" s="3"/>
      <c r="AH170" s="3"/>
      <c r="AI170" s="3"/>
      <c r="AJ170" s="3"/>
      <c r="AK170" s="3"/>
      <c r="AL170" s="3"/>
    </row>
    <row r="171" ht="15.75" customHeight="1">
      <c r="A171" s="45"/>
      <c r="B171" s="342">
        <v>166.0</v>
      </c>
      <c r="C171" s="449" t="s">
        <v>31</v>
      </c>
      <c r="D171" s="433" t="s">
        <v>15894</v>
      </c>
      <c r="E171" s="434" t="s">
        <v>15895</v>
      </c>
      <c r="F171" s="450"/>
      <c r="G171" s="433"/>
      <c r="H171" s="433" t="s">
        <v>37</v>
      </c>
      <c r="I171" s="433"/>
      <c r="J171" s="433" t="s">
        <v>38</v>
      </c>
      <c r="K171" s="433">
        <v>500.0</v>
      </c>
      <c r="L171" s="342" t="s">
        <v>31</v>
      </c>
      <c r="M171" s="450"/>
      <c r="N171" s="433" t="s">
        <v>15479</v>
      </c>
      <c r="O171" s="342">
        <v>1984.0</v>
      </c>
      <c r="P171" s="433" t="s">
        <v>388</v>
      </c>
      <c r="Q171" s="342">
        <v>2.0</v>
      </c>
      <c r="R171" s="640"/>
      <c r="S171" s="620"/>
      <c r="T171" s="3"/>
      <c r="U171" s="3"/>
      <c r="V171" s="3"/>
      <c r="W171" s="3"/>
      <c r="X171" s="3"/>
      <c r="Y171" s="3"/>
      <c r="Z171" s="3"/>
      <c r="AA171" s="3"/>
      <c r="AB171" s="3"/>
      <c r="AC171" s="3"/>
      <c r="AD171" s="3"/>
      <c r="AE171" s="3"/>
      <c r="AF171" s="3"/>
      <c r="AG171" s="3"/>
      <c r="AH171" s="3"/>
      <c r="AI171" s="3"/>
      <c r="AJ171" s="3"/>
      <c r="AK171" s="3"/>
      <c r="AL171" s="3"/>
    </row>
    <row r="172" ht="15.75" customHeight="1">
      <c r="A172" s="45"/>
      <c r="B172" s="342">
        <v>167.0</v>
      </c>
      <c r="C172" s="449" t="s">
        <v>15896</v>
      </c>
      <c r="D172" s="433" t="s">
        <v>15897</v>
      </c>
      <c r="E172" s="434" t="s">
        <v>15898</v>
      </c>
      <c r="F172" s="450"/>
      <c r="G172" s="433"/>
      <c r="H172" s="433" t="s">
        <v>38</v>
      </c>
      <c r="I172" s="433"/>
      <c r="J172" s="433" t="s">
        <v>38</v>
      </c>
      <c r="K172" s="433">
        <v>1005.0</v>
      </c>
      <c r="L172" s="433" t="s">
        <v>15899</v>
      </c>
      <c r="M172" s="450"/>
      <c r="N172" s="433" t="s">
        <v>15900</v>
      </c>
      <c r="O172" s="342">
        <v>1964.0</v>
      </c>
      <c r="P172" s="433" t="s">
        <v>388</v>
      </c>
      <c r="Q172" s="342">
        <v>1.0</v>
      </c>
      <c r="R172" s="640"/>
      <c r="S172" s="620"/>
      <c r="T172" s="3"/>
      <c r="U172" s="3"/>
      <c r="V172" s="3"/>
      <c r="W172" s="3"/>
      <c r="X172" s="3"/>
      <c r="Y172" s="3"/>
      <c r="Z172" s="3"/>
      <c r="AA172" s="3"/>
      <c r="AB172" s="3"/>
      <c r="AC172" s="3"/>
      <c r="AD172" s="3"/>
      <c r="AE172" s="3"/>
      <c r="AF172" s="3"/>
      <c r="AG172" s="3"/>
      <c r="AH172" s="3"/>
      <c r="AI172" s="3"/>
      <c r="AJ172" s="3"/>
      <c r="AK172" s="3"/>
      <c r="AL172" s="3"/>
    </row>
    <row r="173" ht="15.75" customHeight="1">
      <c r="A173" s="45"/>
      <c r="B173" s="342">
        <v>168.0</v>
      </c>
      <c r="C173" s="449" t="s">
        <v>31</v>
      </c>
      <c r="D173" s="433" t="s">
        <v>15901</v>
      </c>
      <c r="E173" s="434" t="s">
        <v>15902</v>
      </c>
      <c r="F173" s="450"/>
      <c r="G173" s="433"/>
      <c r="H173" s="433" t="s">
        <v>37</v>
      </c>
      <c r="I173" s="433"/>
      <c r="J173" s="433" t="s">
        <v>38</v>
      </c>
      <c r="K173" s="433">
        <v>572.0</v>
      </c>
      <c r="L173" s="433" t="s">
        <v>15903</v>
      </c>
      <c r="M173" s="450"/>
      <c r="N173" s="433" t="s">
        <v>15904</v>
      </c>
      <c r="O173" s="342">
        <v>1969.0</v>
      </c>
      <c r="P173" s="433" t="s">
        <v>388</v>
      </c>
      <c r="Q173" s="342">
        <v>1.0</v>
      </c>
      <c r="R173" s="640"/>
      <c r="S173" s="620"/>
      <c r="T173" s="3"/>
      <c r="U173" s="3"/>
      <c r="V173" s="3"/>
      <c r="W173" s="3"/>
      <c r="X173" s="3"/>
      <c r="Y173" s="3"/>
      <c r="Z173" s="3"/>
      <c r="AA173" s="3"/>
      <c r="AB173" s="3"/>
      <c r="AC173" s="3"/>
      <c r="AD173" s="3"/>
      <c r="AE173" s="3"/>
      <c r="AF173" s="3"/>
      <c r="AG173" s="3"/>
      <c r="AH173" s="3"/>
      <c r="AI173" s="3"/>
      <c r="AJ173" s="3"/>
      <c r="AK173" s="3"/>
      <c r="AL173" s="3"/>
    </row>
    <row r="174" ht="15.75" customHeight="1">
      <c r="A174" s="45"/>
      <c r="B174" s="557">
        <v>169.0</v>
      </c>
      <c r="C174" s="618" t="s">
        <v>15905</v>
      </c>
      <c r="D174" s="557" t="s">
        <v>15906</v>
      </c>
      <c r="E174" s="432" t="s">
        <v>15907</v>
      </c>
      <c r="F174" s="603"/>
      <c r="G174" s="430"/>
      <c r="H174" s="430" t="s">
        <v>81</v>
      </c>
      <c r="I174" s="430"/>
      <c r="J174" s="430" t="s">
        <v>38</v>
      </c>
      <c r="K174" s="430">
        <v>574.0</v>
      </c>
      <c r="L174" s="430" t="s">
        <v>15057</v>
      </c>
      <c r="M174" s="603"/>
      <c r="N174" s="430" t="s">
        <v>15544</v>
      </c>
      <c r="O174" s="557">
        <v>1995.0</v>
      </c>
      <c r="P174" s="430" t="s">
        <v>388</v>
      </c>
      <c r="Q174" s="557">
        <v>1.0</v>
      </c>
      <c r="R174" s="640"/>
      <c r="S174" s="620"/>
      <c r="T174" s="3"/>
      <c r="U174" s="3"/>
      <c r="V174" s="3"/>
      <c r="W174" s="3"/>
      <c r="X174" s="3"/>
      <c r="Y174" s="3"/>
      <c r="Z174" s="3"/>
      <c r="AA174" s="3"/>
      <c r="AB174" s="3"/>
      <c r="AC174" s="3"/>
      <c r="AD174" s="3"/>
      <c r="AE174" s="3"/>
      <c r="AF174" s="3"/>
      <c r="AG174" s="3"/>
      <c r="AH174" s="3"/>
      <c r="AI174" s="3"/>
      <c r="AJ174" s="3"/>
      <c r="AK174" s="3"/>
      <c r="AL174" s="3"/>
    </row>
    <row r="175" ht="15.75" customHeight="1">
      <c r="A175" s="45"/>
      <c r="B175" s="342">
        <v>170.0</v>
      </c>
      <c r="C175" s="449" t="s">
        <v>31</v>
      </c>
      <c r="D175" s="433" t="s">
        <v>31</v>
      </c>
      <c r="E175" s="434" t="s">
        <v>15908</v>
      </c>
      <c r="F175" s="450"/>
      <c r="G175" s="433"/>
      <c r="H175" s="433" t="s">
        <v>37</v>
      </c>
      <c r="I175" s="433"/>
      <c r="J175" s="433" t="s">
        <v>38</v>
      </c>
      <c r="K175" s="433">
        <v>604.0</v>
      </c>
      <c r="L175" s="433" t="s">
        <v>15909</v>
      </c>
      <c r="M175" s="450"/>
      <c r="N175" s="433" t="s">
        <v>15479</v>
      </c>
      <c r="O175" s="342">
        <v>1969.0</v>
      </c>
      <c r="P175" s="433" t="s">
        <v>388</v>
      </c>
      <c r="Q175" s="342">
        <v>1.0</v>
      </c>
      <c r="R175" s="640"/>
      <c r="S175" s="620"/>
      <c r="T175" s="3"/>
      <c r="U175" s="3"/>
      <c r="V175" s="3"/>
      <c r="W175" s="3"/>
      <c r="X175" s="3"/>
      <c r="Y175" s="3"/>
      <c r="Z175" s="3"/>
      <c r="AA175" s="3"/>
      <c r="AB175" s="3"/>
      <c r="AC175" s="3"/>
      <c r="AD175" s="3"/>
      <c r="AE175" s="3"/>
      <c r="AF175" s="3"/>
      <c r="AG175" s="3"/>
      <c r="AH175" s="3"/>
      <c r="AI175" s="3"/>
      <c r="AJ175" s="3"/>
      <c r="AK175" s="3"/>
      <c r="AL175" s="3"/>
    </row>
    <row r="176" ht="15.75" customHeight="1">
      <c r="A176" s="45"/>
      <c r="B176" s="342">
        <v>171.0</v>
      </c>
      <c r="C176" s="449" t="s">
        <v>31</v>
      </c>
      <c r="D176" s="433" t="s">
        <v>15910</v>
      </c>
      <c r="E176" s="434" t="s">
        <v>15911</v>
      </c>
      <c r="F176" s="450"/>
      <c r="G176" s="433"/>
      <c r="H176" s="433" t="s">
        <v>37</v>
      </c>
      <c r="I176" s="433"/>
      <c r="J176" s="433" t="s">
        <v>38</v>
      </c>
      <c r="K176" s="433"/>
      <c r="L176" s="433" t="s">
        <v>15912</v>
      </c>
      <c r="M176" s="450"/>
      <c r="N176" s="433" t="s">
        <v>15479</v>
      </c>
      <c r="O176" s="342">
        <v>1968.0</v>
      </c>
      <c r="P176" s="433" t="s">
        <v>388</v>
      </c>
      <c r="Q176" s="342">
        <v>1.0</v>
      </c>
      <c r="R176" s="640"/>
      <c r="S176" s="620"/>
      <c r="T176" s="3"/>
      <c r="U176" s="3"/>
      <c r="V176" s="3"/>
      <c r="W176" s="3"/>
      <c r="X176" s="3"/>
      <c r="Y176" s="3"/>
      <c r="Z176" s="3"/>
      <c r="AA176" s="3"/>
      <c r="AB176" s="3"/>
      <c r="AC176" s="3"/>
      <c r="AD176" s="3"/>
      <c r="AE176" s="3"/>
      <c r="AF176" s="3"/>
      <c r="AG176" s="3"/>
      <c r="AH176" s="3"/>
      <c r="AI176" s="3"/>
      <c r="AJ176" s="3"/>
      <c r="AK176" s="3"/>
      <c r="AL176" s="3"/>
    </row>
    <row r="177" ht="15.75" customHeight="1">
      <c r="A177" s="45"/>
      <c r="B177" s="342">
        <v>172.0</v>
      </c>
      <c r="C177" s="449" t="s">
        <v>15913</v>
      </c>
      <c r="D177" s="433" t="s">
        <v>15914</v>
      </c>
      <c r="E177" s="434" t="s">
        <v>15915</v>
      </c>
      <c r="F177" s="450"/>
      <c r="G177" s="433"/>
      <c r="H177" s="433" t="s">
        <v>37</v>
      </c>
      <c r="I177" s="433"/>
      <c r="J177" s="433" t="s">
        <v>38</v>
      </c>
      <c r="K177" s="433">
        <v>655.0</v>
      </c>
      <c r="L177" s="342" t="s">
        <v>31</v>
      </c>
      <c r="M177" s="450"/>
      <c r="N177" s="433" t="s">
        <v>4744</v>
      </c>
      <c r="O177" s="342">
        <v>1971.0</v>
      </c>
      <c r="P177" s="433" t="s">
        <v>388</v>
      </c>
      <c r="Q177" s="342">
        <v>1.0</v>
      </c>
      <c r="R177" s="640"/>
      <c r="S177" s="620"/>
      <c r="T177" s="3"/>
      <c r="U177" s="3"/>
      <c r="V177" s="3"/>
      <c r="W177" s="3"/>
      <c r="X177" s="3"/>
      <c r="Y177" s="3"/>
      <c r="Z177" s="3"/>
      <c r="AA177" s="3"/>
      <c r="AB177" s="3"/>
      <c r="AC177" s="3"/>
      <c r="AD177" s="3"/>
      <c r="AE177" s="3"/>
      <c r="AF177" s="3"/>
      <c r="AG177" s="3"/>
      <c r="AH177" s="3"/>
      <c r="AI177" s="3"/>
      <c r="AJ177" s="3"/>
      <c r="AK177" s="3"/>
      <c r="AL177" s="3"/>
    </row>
    <row r="178" ht="15.75" customHeight="1">
      <c r="A178" s="45"/>
      <c r="B178" s="342">
        <v>173.0</v>
      </c>
      <c r="C178" s="449" t="s">
        <v>31</v>
      </c>
      <c r="D178" s="433" t="s">
        <v>15916</v>
      </c>
      <c r="E178" s="434" t="s">
        <v>15917</v>
      </c>
      <c r="F178" s="450"/>
      <c r="G178" s="433"/>
      <c r="H178" s="433" t="s">
        <v>37</v>
      </c>
      <c r="I178" s="433"/>
      <c r="J178" s="433" t="s">
        <v>38</v>
      </c>
      <c r="K178" s="433">
        <v>665.0</v>
      </c>
      <c r="L178" s="433" t="s">
        <v>15912</v>
      </c>
      <c r="M178" s="450"/>
      <c r="N178" s="433" t="s">
        <v>15479</v>
      </c>
      <c r="O178" s="342">
        <v>1971.0</v>
      </c>
      <c r="P178" s="433" t="s">
        <v>388</v>
      </c>
      <c r="Q178" s="342">
        <v>1.0</v>
      </c>
      <c r="R178" s="640"/>
      <c r="S178" s="620"/>
      <c r="T178" s="3"/>
      <c r="U178" s="3"/>
      <c r="V178" s="3"/>
      <c r="W178" s="3"/>
      <c r="X178" s="3"/>
      <c r="Y178" s="3"/>
      <c r="Z178" s="3"/>
      <c r="AA178" s="3"/>
      <c r="AB178" s="3"/>
      <c r="AC178" s="3"/>
      <c r="AD178" s="3"/>
      <c r="AE178" s="3"/>
      <c r="AF178" s="3"/>
      <c r="AG178" s="3"/>
      <c r="AH178" s="3"/>
      <c r="AI178" s="3"/>
      <c r="AJ178" s="3"/>
      <c r="AK178" s="3"/>
      <c r="AL178" s="3"/>
    </row>
    <row r="179" ht="15.75" customHeight="1">
      <c r="A179" s="45"/>
      <c r="B179" s="342">
        <v>174.0</v>
      </c>
      <c r="C179" s="449" t="s">
        <v>31</v>
      </c>
      <c r="D179" s="433" t="s">
        <v>15868</v>
      </c>
      <c r="E179" s="434" t="s">
        <v>15918</v>
      </c>
      <c r="F179" s="450"/>
      <c r="G179" s="433"/>
      <c r="H179" s="433" t="s">
        <v>37</v>
      </c>
      <c r="I179" s="433"/>
      <c r="J179" s="433" t="s">
        <v>38</v>
      </c>
      <c r="K179" s="433">
        <v>604.0</v>
      </c>
      <c r="L179" s="433" t="s">
        <v>15912</v>
      </c>
      <c r="M179" s="450"/>
      <c r="N179" s="433" t="s">
        <v>15479</v>
      </c>
      <c r="O179" s="342">
        <v>1969.0</v>
      </c>
      <c r="P179" s="433" t="s">
        <v>388</v>
      </c>
      <c r="Q179" s="342">
        <v>1.0</v>
      </c>
      <c r="R179" s="640"/>
      <c r="S179" s="620"/>
      <c r="T179" s="3"/>
      <c r="U179" s="3"/>
      <c r="V179" s="3"/>
      <c r="W179" s="3"/>
      <c r="X179" s="3"/>
      <c r="Y179" s="3"/>
      <c r="Z179" s="3"/>
      <c r="AA179" s="3"/>
      <c r="AB179" s="3"/>
      <c r="AC179" s="3"/>
      <c r="AD179" s="3"/>
      <c r="AE179" s="3"/>
      <c r="AF179" s="3"/>
      <c r="AG179" s="3"/>
      <c r="AH179" s="3"/>
      <c r="AI179" s="3"/>
      <c r="AJ179" s="3"/>
      <c r="AK179" s="3"/>
      <c r="AL179" s="3"/>
    </row>
    <row r="180" ht="15.75" customHeight="1">
      <c r="A180" s="45"/>
      <c r="B180" s="342">
        <v>175.0</v>
      </c>
      <c r="C180" s="449" t="s">
        <v>31</v>
      </c>
      <c r="D180" s="433" t="s">
        <v>15868</v>
      </c>
      <c r="E180" s="434" t="s">
        <v>15851</v>
      </c>
      <c r="F180" s="450"/>
      <c r="G180" s="433"/>
      <c r="H180" s="433" t="s">
        <v>127</v>
      </c>
      <c r="I180" s="433"/>
      <c r="J180" s="433" t="s">
        <v>38</v>
      </c>
      <c r="K180" s="433">
        <v>323.0</v>
      </c>
      <c r="L180" s="342" t="s">
        <v>31</v>
      </c>
      <c r="M180" s="450"/>
      <c r="N180" s="433" t="s">
        <v>15919</v>
      </c>
      <c r="O180" s="342"/>
      <c r="P180" s="433" t="s">
        <v>388</v>
      </c>
      <c r="Q180" s="342">
        <v>1.0</v>
      </c>
      <c r="R180" s="640"/>
      <c r="S180" s="620"/>
      <c r="T180" s="3"/>
      <c r="U180" s="3"/>
      <c r="V180" s="3"/>
      <c r="W180" s="3"/>
      <c r="X180" s="3"/>
      <c r="Y180" s="3"/>
      <c r="Z180" s="3"/>
      <c r="AA180" s="3"/>
      <c r="AB180" s="3"/>
      <c r="AC180" s="3"/>
      <c r="AD180" s="3"/>
      <c r="AE180" s="3"/>
      <c r="AF180" s="3"/>
      <c r="AG180" s="3"/>
      <c r="AH180" s="3"/>
      <c r="AI180" s="3"/>
      <c r="AJ180" s="3"/>
      <c r="AK180" s="3"/>
      <c r="AL180" s="3"/>
    </row>
    <row r="181" ht="15.75" customHeight="1">
      <c r="A181" s="45"/>
      <c r="B181" s="342">
        <v>176.0</v>
      </c>
      <c r="C181" s="449" t="s">
        <v>31</v>
      </c>
      <c r="D181" s="433" t="s">
        <v>15868</v>
      </c>
      <c r="E181" s="434" t="s">
        <v>15920</v>
      </c>
      <c r="F181" s="450"/>
      <c r="G181" s="433"/>
      <c r="H181" s="433" t="s">
        <v>37</v>
      </c>
      <c r="I181" s="433"/>
      <c r="J181" s="433" t="s">
        <v>38</v>
      </c>
      <c r="K181" s="433">
        <v>659.0</v>
      </c>
      <c r="L181" s="342" t="s">
        <v>31</v>
      </c>
      <c r="M181" s="450"/>
      <c r="N181" s="433" t="s">
        <v>4744</v>
      </c>
      <c r="O181" s="342">
        <v>1967.0</v>
      </c>
      <c r="P181" s="433" t="s">
        <v>388</v>
      </c>
      <c r="Q181" s="342">
        <v>1.0</v>
      </c>
      <c r="R181" s="640"/>
      <c r="S181" s="620"/>
      <c r="T181" s="3"/>
      <c r="U181" s="3"/>
      <c r="V181" s="3"/>
      <c r="W181" s="3"/>
      <c r="X181" s="3"/>
      <c r="Y181" s="3"/>
      <c r="Z181" s="3"/>
      <c r="AA181" s="3"/>
      <c r="AB181" s="3"/>
      <c r="AC181" s="3"/>
      <c r="AD181" s="3"/>
      <c r="AE181" s="3"/>
      <c r="AF181" s="3"/>
      <c r="AG181" s="3"/>
      <c r="AH181" s="3"/>
      <c r="AI181" s="3"/>
      <c r="AJ181" s="3"/>
      <c r="AK181" s="3"/>
      <c r="AL181" s="3"/>
    </row>
    <row r="182" ht="15.75" customHeight="1">
      <c r="A182" s="45"/>
      <c r="B182" s="342">
        <v>177.0</v>
      </c>
      <c r="C182" s="449" t="s">
        <v>15921</v>
      </c>
      <c r="D182" s="433" t="s">
        <v>15922</v>
      </c>
      <c r="E182" s="434" t="s">
        <v>15923</v>
      </c>
      <c r="F182" s="450"/>
      <c r="G182" s="433"/>
      <c r="H182" s="433" t="s">
        <v>38</v>
      </c>
      <c r="I182" s="433"/>
      <c r="J182" s="433" t="s">
        <v>38</v>
      </c>
      <c r="K182" s="433">
        <v>590.0</v>
      </c>
      <c r="L182" s="433" t="s">
        <v>15924</v>
      </c>
      <c r="M182" s="450"/>
      <c r="N182" s="433" t="s">
        <v>15476</v>
      </c>
      <c r="O182" s="342">
        <v>1977.0</v>
      </c>
      <c r="P182" s="433" t="s">
        <v>388</v>
      </c>
      <c r="Q182" s="342">
        <v>2.0</v>
      </c>
      <c r="R182" s="640"/>
      <c r="S182" s="620"/>
      <c r="T182" s="3"/>
      <c r="U182" s="3"/>
      <c r="V182" s="3"/>
      <c r="W182" s="3"/>
      <c r="X182" s="3"/>
      <c r="Y182" s="3"/>
      <c r="Z182" s="3"/>
      <c r="AA182" s="3"/>
      <c r="AB182" s="3"/>
      <c r="AC182" s="3"/>
      <c r="AD182" s="3"/>
      <c r="AE182" s="3"/>
      <c r="AF182" s="3"/>
      <c r="AG182" s="3"/>
      <c r="AH182" s="3"/>
      <c r="AI182" s="3"/>
      <c r="AJ182" s="3"/>
      <c r="AK182" s="3"/>
      <c r="AL182" s="3"/>
    </row>
    <row r="183" ht="15.75" customHeight="1">
      <c r="A183" s="45"/>
      <c r="B183" s="342">
        <v>178.0</v>
      </c>
      <c r="C183" s="449" t="s">
        <v>31</v>
      </c>
      <c r="D183" s="433" t="s">
        <v>15925</v>
      </c>
      <c r="E183" s="434" t="s">
        <v>15926</v>
      </c>
      <c r="F183" s="450"/>
      <c r="G183" s="433"/>
      <c r="H183" s="433" t="s">
        <v>37</v>
      </c>
      <c r="I183" s="433"/>
      <c r="J183" s="433" t="s">
        <v>38</v>
      </c>
      <c r="K183" s="433">
        <v>583.0</v>
      </c>
      <c r="L183" s="342" t="s">
        <v>31</v>
      </c>
      <c r="M183" s="450"/>
      <c r="N183" s="433" t="s">
        <v>15550</v>
      </c>
      <c r="O183" s="342">
        <v>1974.0</v>
      </c>
      <c r="P183" s="433" t="s">
        <v>388</v>
      </c>
      <c r="Q183" s="342">
        <v>1.0</v>
      </c>
      <c r="R183" s="640"/>
      <c r="S183" s="620"/>
      <c r="T183" s="3"/>
      <c r="U183" s="3"/>
      <c r="V183" s="3"/>
      <c r="W183" s="3"/>
      <c r="X183" s="3"/>
      <c r="Y183" s="3"/>
      <c r="Z183" s="3"/>
      <c r="AA183" s="3"/>
      <c r="AB183" s="3"/>
      <c r="AC183" s="3"/>
      <c r="AD183" s="3"/>
      <c r="AE183" s="3"/>
      <c r="AF183" s="3"/>
      <c r="AG183" s="3"/>
      <c r="AH183" s="3"/>
      <c r="AI183" s="3"/>
      <c r="AJ183" s="3"/>
      <c r="AK183" s="3"/>
      <c r="AL183" s="3"/>
    </row>
    <row r="184" ht="15.75" customHeight="1">
      <c r="A184" s="45"/>
      <c r="B184" s="342">
        <v>179.0</v>
      </c>
      <c r="C184" s="449" t="s">
        <v>31</v>
      </c>
      <c r="D184" s="342" t="s">
        <v>31</v>
      </c>
      <c r="E184" s="434" t="s">
        <v>15927</v>
      </c>
      <c r="F184" s="450"/>
      <c r="G184" s="433"/>
      <c r="H184" s="433" t="s">
        <v>37</v>
      </c>
      <c r="I184" s="433"/>
      <c r="J184" s="433" t="s">
        <v>38</v>
      </c>
      <c r="K184" s="433">
        <v>686.0</v>
      </c>
      <c r="L184" s="433" t="s">
        <v>15928</v>
      </c>
      <c r="M184" s="450"/>
      <c r="N184" s="433" t="s">
        <v>15479</v>
      </c>
      <c r="O184" s="342">
        <v>1977.0</v>
      </c>
      <c r="P184" s="433" t="s">
        <v>388</v>
      </c>
      <c r="Q184" s="342">
        <v>1.0</v>
      </c>
      <c r="R184" s="640"/>
      <c r="S184" s="620"/>
      <c r="T184" s="3"/>
      <c r="U184" s="3"/>
      <c r="V184" s="3"/>
      <c r="W184" s="3"/>
      <c r="X184" s="3"/>
      <c r="Y184" s="3"/>
      <c r="Z184" s="3"/>
      <c r="AA184" s="3"/>
      <c r="AB184" s="3"/>
      <c r="AC184" s="3"/>
      <c r="AD184" s="3"/>
      <c r="AE184" s="3"/>
      <c r="AF184" s="3"/>
      <c r="AG184" s="3"/>
      <c r="AH184" s="3"/>
      <c r="AI184" s="3"/>
      <c r="AJ184" s="3"/>
      <c r="AK184" s="3"/>
      <c r="AL184" s="3"/>
    </row>
    <row r="185" ht="15.75" customHeight="1">
      <c r="A185" s="45"/>
      <c r="B185" s="342">
        <v>180.0</v>
      </c>
      <c r="C185" s="449" t="s">
        <v>15929</v>
      </c>
      <c r="D185" s="342" t="s">
        <v>31</v>
      </c>
      <c r="E185" s="434" t="s">
        <v>15930</v>
      </c>
      <c r="F185" s="450"/>
      <c r="G185" s="433"/>
      <c r="H185" s="433" t="s">
        <v>38</v>
      </c>
      <c r="I185" s="433"/>
      <c r="J185" s="433" t="s">
        <v>38</v>
      </c>
      <c r="K185" s="433">
        <v>695.0</v>
      </c>
      <c r="L185" s="433" t="s">
        <v>15931</v>
      </c>
      <c r="M185" s="450"/>
      <c r="N185" s="433" t="s">
        <v>15932</v>
      </c>
      <c r="O185" s="342">
        <v>1986.0</v>
      </c>
      <c r="P185" s="433" t="s">
        <v>388</v>
      </c>
      <c r="Q185" s="342">
        <v>1.0</v>
      </c>
      <c r="R185" s="640"/>
      <c r="S185" s="620"/>
      <c r="T185" s="3"/>
      <c r="U185" s="3"/>
      <c r="V185" s="3"/>
      <c r="W185" s="3"/>
      <c r="X185" s="3"/>
      <c r="Y185" s="3"/>
      <c r="Z185" s="3"/>
      <c r="AA185" s="3"/>
      <c r="AB185" s="3"/>
      <c r="AC185" s="3"/>
      <c r="AD185" s="3"/>
      <c r="AE185" s="3"/>
      <c r="AF185" s="3"/>
      <c r="AG185" s="3"/>
      <c r="AH185" s="3"/>
      <c r="AI185" s="3"/>
      <c r="AJ185" s="3"/>
      <c r="AK185" s="3"/>
      <c r="AL185" s="3"/>
    </row>
    <row r="186" ht="15.75" customHeight="1">
      <c r="A186" s="45"/>
      <c r="B186" s="342">
        <v>181.0</v>
      </c>
      <c r="C186" s="449" t="s">
        <v>15933</v>
      </c>
      <c r="D186" s="342" t="s">
        <v>15934</v>
      </c>
      <c r="E186" s="434" t="s">
        <v>15935</v>
      </c>
      <c r="F186" s="450"/>
      <c r="G186" s="433"/>
      <c r="H186" s="433" t="s">
        <v>37</v>
      </c>
      <c r="I186" s="433"/>
      <c r="J186" s="433" t="s">
        <v>38</v>
      </c>
      <c r="K186" s="433">
        <v>937.0</v>
      </c>
      <c r="L186" s="433" t="s">
        <v>15685</v>
      </c>
      <c r="M186" s="450"/>
      <c r="N186" s="433" t="s">
        <v>15936</v>
      </c>
      <c r="O186" s="342">
        <v>1971.0</v>
      </c>
      <c r="P186" s="433" t="s">
        <v>388</v>
      </c>
      <c r="Q186" s="342">
        <v>2.0</v>
      </c>
      <c r="R186" s="640"/>
      <c r="S186" s="620"/>
      <c r="T186" s="3"/>
      <c r="U186" s="3"/>
      <c r="V186" s="3"/>
      <c r="W186" s="3"/>
      <c r="X186" s="3"/>
      <c r="Y186" s="3"/>
      <c r="Z186" s="3"/>
      <c r="AA186" s="3"/>
      <c r="AB186" s="3"/>
      <c r="AC186" s="3"/>
      <c r="AD186" s="3"/>
      <c r="AE186" s="3"/>
      <c r="AF186" s="3"/>
      <c r="AG186" s="3"/>
      <c r="AH186" s="3"/>
      <c r="AI186" s="3"/>
      <c r="AJ186" s="3"/>
      <c r="AK186" s="3"/>
      <c r="AL186" s="3"/>
    </row>
    <row r="187" ht="15.75" customHeight="1">
      <c r="A187" s="45"/>
      <c r="B187" s="342">
        <v>182.0</v>
      </c>
      <c r="C187" s="449" t="s">
        <v>15937</v>
      </c>
      <c r="D187" s="342" t="s">
        <v>31</v>
      </c>
      <c r="E187" s="434" t="s">
        <v>15938</v>
      </c>
      <c r="F187" s="450"/>
      <c r="G187" s="433"/>
      <c r="H187" s="433" t="s">
        <v>81</v>
      </c>
      <c r="I187" s="433"/>
      <c r="J187" s="433" t="s">
        <v>38</v>
      </c>
      <c r="K187" s="433">
        <v>619.0</v>
      </c>
      <c r="L187" s="342" t="s">
        <v>31</v>
      </c>
      <c r="M187" s="450"/>
      <c r="N187" s="433" t="s">
        <v>15544</v>
      </c>
      <c r="O187" s="342">
        <v>2002.0</v>
      </c>
      <c r="P187" s="433" t="s">
        <v>388</v>
      </c>
      <c r="Q187" s="342">
        <v>1.0</v>
      </c>
      <c r="R187" s="640"/>
      <c r="S187" s="620"/>
      <c r="T187" s="3"/>
      <c r="U187" s="3"/>
      <c r="V187" s="3"/>
      <c r="W187" s="3"/>
      <c r="X187" s="3"/>
      <c r="Y187" s="3"/>
      <c r="Z187" s="3"/>
      <c r="AA187" s="3"/>
      <c r="AB187" s="3"/>
      <c r="AC187" s="3"/>
      <c r="AD187" s="3"/>
      <c r="AE187" s="3"/>
      <c r="AF187" s="3"/>
      <c r="AG187" s="3"/>
      <c r="AH187" s="3"/>
      <c r="AI187" s="3"/>
      <c r="AJ187" s="3"/>
      <c r="AK187" s="3"/>
      <c r="AL187" s="3"/>
    </row>
    <row r="188" ht="15.75" customHeight="1">
      <c r="A188" s="45"/>
      <c r="B188" s="342">
        <v>183.0</v>
      </c>
      <c r="C188" s="449" t="s">
        <v>31</v>
      </c>
      <c r="D188" s="342" t="s">
        <v>31</v>
      </c>
      <c r="E188" s="434" t="s">
        <v>15939</v>
      </c>
      <c r="F188" s="450"/>
      <c r="G188" s="433"/>
      <c r="H188" s="433" t="s">
        <v>37</v>
      </c>
      <c r="I188" s="433"/>
      <c r="J188" s="433" t="s">
        <v>38</v>
      </c>
      <c r="K188" s="433">
        <v>508.0</v>
      </c>
      <c r="L188" s="342" t="s">
        <v>31</v>
      </c>
      <c r="M188" s="450"/>
      <c r="N188" s="433" t="s">
        <v>15788</v>
      </c>
      <c r="O188" s="342">
        <v>1988.0</v>
      </c>
      <c r="P188" s="433" t="s">
        <v>388</v>
      </c>
      <c r="Q188" s="342">
        <v>1.0</v>
      </c>
      <c r="R188" s="640"/>
      <c r="S188" s="620"/>
      <c r="T188" s="3"/>
      <c r="U188" s="3"/>
      <c r="V188" s="3"/>
      <c r="W188" s="3"/>
      <c r="X188" s="3"/>
      <c r="Y188" s="3"/>
      <c r="Z188" s="3"/>
      <c r="AA188" s="3"/>
      <c r="AB188" s="3"/>
      <c r="AC188" s="3"/>
      <c r="AD188" s="3"/>
      <c r="AE188" s="3"/>
      <c r="AF188" s="3"/>
      <c r="AG188" s="3"/>
      <c r="AH188" s="3"/>
      <c r="AI188" s="3"/>
      <c r="AJ188" s="3"/>
      <c r="AK188" s="3"/>
      <c r="AL188" s="3"/>
    </row>
    <row r="189" ht="15.75" customHeight="1">
      <c r="A189" s="45"/>
      <c r="B189" s="342">
        <v>184.0</v>
      </c>
      <c r="C189" s="449" t="s">
        <v>15940</v>
      </c>
      <c r="D189" s="342" t="s">
        <v>31</v>
      </c>
      <c r="E189" s="434" t="s">
        <v>15941</v>
      </c>
      <c r="F189" s="450"/>
      <c r="G189" s="433"/>
      <c r="H189" s="433" t="s">
        <v>81</v>
      </c>
      <c r="I189" s="433"/>
      <c r="J189" s="433" t="s">
        <v>38</v>
      </c>
      <c r="K189" s="433">
        <v>653.0</v>
      </c>
      <c r="L189" s="433" t="s">
        <v>15942</v>
      </c>
      <c r="M189" s="450"/>
      <c r="N189" s="433" t="s">
        <v>15544</v>
      </c>
      <c r="O189" s="342">
        <v>1994.0</v>
      </c>
      <c r="P189" s="433" t="s">
        <v>388</v>
      </c>
      <c r="Q189" s="342">
        <v>1.0</v>
      </c>
      <c r="R189" s="640"/>
      <c r="S189" s="620"/>
      <c r="T189" s="3"/>
      <c r="U189" s="3"/>
      <c r="V189" s="3"/>
      <c r="W189" s="3"/>
      <c r="X189" s="3"/>
      <c r="Y189" s="3"/>
      <c r="Z189" s="3"/>
      <c r="AA189" s="3"/>
      <c r="AB189" s="3"/>
      <c r="AC189" s="3"/>
      <c r="AD189" s="3"/>
      <c r="AE189" s="3"/>
      <c r="AF189" s="3"/>
      <c r="AG189" s="3"/>
      <c r="AH189" s="3"/>
      <c r="AI189" s="3"/>
      <c r="AJ189" s="3"/>
      <c r="AK189" s="3"/>
      <c r="AL189" s="3"/>
    </row>
    <row r="190" ht="15.75" customHeight="1">
      <c r="A190" s="45"/>
      <c r="B190" s="303">
        <v>185.0</v>
      </c>
      <c r="C190" s="636" t="s">
        <v>31</v>
      </c>
      <c r="D190" s="322" t="s">
        <v>15943</v>
      </c>
      <c r="E190" s="420" t="s">
        <v>15944</v>
      </c>
      <c r="F190" s="555"/>
      <c r="G190" s="322"/>
      <c r="H190" s="322" t="s">
        <v>37</v>
      </c>
      <c r="I190" s="322"/>
      <c r="J190" s="322" t="s">
        <v>38</v>
      </c>
      <c r="K190" s="322">
        <v>735.0</v>
      </c>
      <c r="L190" s="322" t="s">
        <v>15945</v>
      </c>
      <c r="M190" s="555"/>
      <c r="N190" s="322" t="s">
        <v>15479</v>
      </c>
      <c r="O190" s="303">
        <v>1986.0</v>
      </c>
      <c r="P190" s="322" t="s">
        <v>388</v>
      </c>
      <c r="Q190" s="303">
        <v>2.0</v>
      </c>
      <c r="R190" s="640"/>
      <c r="S190" s="620"/>
      <c r="T190" s="3"/>
      <c r="U190" s="3"/>
      <c r="V190" s="3"/>
      <c r="W190" s="3"/>
      <c r="X190" s="3"/>
      <c r="Y190" s="3"/>
      <c r="Z190" s="3"/>
      <c r="AA190" s="3"/>
      <c r="AB190" s="3"/>
      <c r="AC190" s="3"/>
      <c r="AD190" s="3"/>
      <c r="AE190" s="3"/>
      <c r="AF190" s="3"/>
      <c r="AG190" s="3"/>
      <c r="AH190" s="3"/>
      <c r="AI190" s="3"/>
      <c r="AJ190" s="3"/>
      <c r="AK190" s="3"/>
      <c r="AL190" s="3"/>
    </row>
    <row r="191" ht="15.75" customHeight="1">
      <c r="A191" s="45"/>
      <c r="B191" s="557"/>
      <c r="C191" s="618" t="s">
        <v>31</v>
      </c>
      <c r="D191" s="430"/>
      <c r="E191" s="432" t="s">
        <v>15944</v>
      </c>
      <c r="F191" s="603"/>
      <c r="G191" s="430"/>
      <c r="H191" s="430" t="s">
        <v>37</v>
      </c>
      <c r="I191" s="430"/>
      <c r="J191" s="430" t="s">
        <v>38</v>
      </c>
      <c r="K191" s="430">
        <f>726+7</f>
        <v>733</v>
      </c>
      <c r="L191" s="430" t="s">
        <v>15945</v>
      </c>
      <c r="M191" s="603"/>
      <c r="N191" s="430" t="s">
        <v>15479</v>
      </c>
      <c r="O191" s="557">
        <v>1977.0</v>
      </c>
      <c r="P191" s="430" t="s">
        <v>388</v>
      </c>
      <c r="Q191" s="557">
        <v>1.0</v>
      </c>
      <c r="R191" s="640"/>
      <c r="S191" s="620"/>
      <c r="T191" s="3"/>
      <c r="U191" s="3"/>
      <c r="V191" s="3"/>
      <c r="W191" s="3"/>
      <c r="X191" s="3"/>
      <c r="Y191" s="3"/>
      <c r="Z191" s="3"/>
      <c r="AA191" s="3"/>
      <c r="AB191" s="3"/>
      <c r="AC191" s="3"/>
      <c r="AD191" s="3"/>
      <c r="AE191" s="3"/>
      <c r="AF191" s="3"/>
      <c r="AG191" s="3"/>
      <c r="AH191" s="3"/>
      <c r="AI191" s="3"/>
      <c r="AJ191" s="3"/>
      <c r="AK191" s="3"/>
      <c r="AL191" s="3"/>
    </row>
    <row r="192" ht="15.75" customHeight="1">
      <c r="A192" s="45"/>
      <c r="B192" s="342">
        <v>186.0</v>
      </c>
      <c r="C192" s="449" t="s">
        <v>31</v>
      </c>
      <c r="D192" s="433" t="s">
        <v>15508</v>
      </c>
      <c r="E192" s="434" t="s">
        <v>15946</v>
      </c>
      <c r="F192" s="450"/>
      <c r="G192" s="433"/>
      <c r="H192" s="433" t="s">
        <v>37</v>
      </c>
      <c r="I192" s="433"/>
      <c r="J192" s="433" t="s">
        <v>38</v>
      </c>
      <c r="K192" s="433" t="s">
        <v>15947</v>
      </c>
      <c r="L192" s="433" t="s">
        <v>15948</v>
      </c>
      <c r="M192" s="450"/>
      <c r="N192" s="433" t="s">
        <v>54</v>
      </c>
      <c r="O192" s="342">
        <v>1977.0</v>
      </c>
      <c r="P192" s="433" t="s">
        <v>388</v>
      </c>
      <c r="Q192" s="342">
        <v>2.0</v>
      </c>
      <c r="R192" s="640"/>
      <c r="S192" s="620"/>
      <c r="T192" s="3"/>
      <c r="U192" s="3"/>
      <c r="V192" s="3"/>
      <c r="W192" s="3"/>
      <c r="X192" s="3"/>
      <c r="Y192" s="3"/>
      <c r="Z192" s="3"/>
      <c r="AA192" s="3"/>
      <c r="AB192" s="3"/>
      <c r="AC192" s="3"/>
      <c r="AD192" s="3"/>
      <c r="AE192" s="3"/>
      <c r="AF192" s="3"/>
      <c r="AG192" s="3"/>
      <c r="AH192" s="3"/>
      <c r="AI192" s="3"/>
      <c r="AJ192" s="3"/>
      <c r="AK192" s="3"/>
      <c r="AL192" s="3"/>
    </row>
    <row r="193" ht="15.75" customHeight="1">
      <c r="A193" s="45"/>
      <c r="B193" s="342">
        <v>187.0</v>
      </c>
      <c r="C193" s="449" t="s">
        <v>31</v>
      </c>
      <c r="D193" s="433" t="s">
        <v>15949</v>
      </c>
      <c r="E193" s="434" t="s">
        <v>1223</v>
      </c>
      <c r="F193" s="450"/>
      <c r="G193" s="433"/>
      <c r="H193" s="433" t="s">
        <v>37</v>
      </c>
      <c r="I193" s="433"/>
      <c r="J193" s="433" t="s">
        <v>15950</v>
      </c>
      <c r="K193" s="433">
        <v>975.0</v>
      </c>
      <c r="L193" s="433" t="s">
        <v>15951</v>
      </c>
      <c r="M193" s="450"/>
      <c r="N193" s="433" t="s">
        <v>15952</v>
      </c>
      <c r="O193" s="342">
        <v>1966.0</v>
      </c>
      <c r="P193" s="433" t="s">
        <v>388</v>
      </c>
      <c r="Q193" s="342">
        <v>2.0</v>
      </c>
      <c r="R193" s="640"/>
      <c r="S193" s="620"/>
      <c r="T193" s="3"/>
      <c r="U193" s="3"/>
      <c r="V193" s="3"/>
      <c r="W193" s="3"/>
      <c r="X193" s="3"/>
      <c r="Y193" s="3"/>
      <c r="Z193" s="3"/>
      <c r="AA193" s="3"/>
      <c r="AB193" s="3"/>
      <c r="AC193" s="3"/>
      <c r="AD193" s="3"/>
      <c r="AE193" s="3"/>
      <c r="AF193" s="3"/>
      <c r="AG193" s="3"/>
      <c r="AH193" s="3"/>
      <c r="AI193" s="3"/>
      <c r="AJ193" s="3"/>
      <c r="AK193" s="3"/>
      <c r="AL193" s="3"/>
    </row>
    <row r="194" ht="15.75" customHeight="1">
      <c r="A194" s="45"/>
      <c r="B194" s="477">
        <v>188.0</v>
      </c>
      <c r="C194" s="635" t="s">
        <v>15953</v>
      </c>
      <c r="D194" s="477" t="s">
        <v>15954</v>
      </c>
      <c r="E194" s="482" t="s">
        <v>15955</v>
      </c>
      <c r="F194" s="644"/>
      <c r="G194" s="476"/>
      <c r="H194" s="476" t="s">
        <v>81</v>
      </c>
      <c r="I194" s="476"/>
      <c r="J194" s="476" t="s">
        <v>38</v>
      </c>
      <c r="K194" s="476">
        <v>619.0</v>
      </c>
      <c r="L194" s="477" t="s">
        <v>31</v>
      </c>
      <c r="M194" s="644"/>
      <c r="N194" s="476" t="s">
        <v>15544</v>
      </c>
      <c r="O194" s="477">
        <v>2000.0</v>
      </c>
      <c r="P194" s="476" t="s">
        <v>388</v>
      </c>
      <c r="Q194" s="477">
        <v>1.0</v>
      </c>
      <c r="R194" s="643">
        <v>1.0</v>
      </c>
      <c r="S194" s="140"/>
      <c r="T194" s="149"/>
      <c r="U194" s="45"/>
      <c r="V194" s="45"/>
      <c r="W194" s="45"/>
      <c r="X194" s="45"/>
      <c r="Y194" s="45"/>
      <c r="Z194" s="45"/>
      <c r="AA194" s="45"/>
      <c r="AB194" s="45"/>
      <c r="AC194" s="45"/>
      <c r="AD194" s="45"/>
      <c r="AE194" s="45"/>
      <c r="AF194" s="45"/>
      <c r="AG194" s="45"/>
      <c r="AH194" s="45"/>
      <c r="AI194" s="45"/>
      <c r="AJ194" s="45"/>
      <c r="AK194" s="45"/>
      <c r="AL194" s="45"/>
    </row>
    <row r="195" ht="15.75" customHeight="1">
      <c r="A195" s="45"/>
      <c r="B195" s="342">
        <v>189.0</v>
      </c>
      <c r="C195" s="449" t="s">
        <v>31</v>
      </c>
      <c r="D195" s="433" t="s">
        <v>15956</v>
      </c>
      <c r="E195" s="434" t="s">
        <v>15957</v>
      </c>
      <c r="F195" s="450"/>
      <c r="G195" s="433"/>
      <c r="H195" s="433" t="s">
        <v>37</v>
      </c>
      <c r="I195" s="433"/>
      <c r="J195" s="433" t="s">
        <v>38</v>
      </c>
      <c r="K195" s="433">
        <v>536.0</v>
      </c>
      <c r="L195" s="433" t="s">
        <v>15764</v>
      </c>
      <c r="M195" s="450"/>
      <c r="N195" s="433" t="s">
        <v>15479</v>
      </c>
      <c r="O195" s="433">
        <v>1992.0</v>
      </c>
      <c r="P195" s="433" t="s">
        <v>388</v>
      </c>
      <c r="Q195" s="342">
        <v>1.0</v>
      </c>
      <c r="R195" s="640"/>
      <c r="S195" s="620"/>
      <c r="T195" s="3"/>
      <c r="U195" s="3"/>
      <c r="V195" s="3"/>
      <c r="W195" s="3"/>
      <c r="X195" s="3"/>
      <c r="Y195" s="3"/>
      <c r="Z195" s="3"/>
      <c r="AA195" s="3"/>
      <c r="AB195" s="3"/>
      <c r="AC195" s="3"/>
      <c r="AD195" s="3"/>
      <c r="AE195" s="3"/>
      <c r="AF195" s="3"/>
      <c r="AG195" s="3"/>
      <c r="AH195" s="3"/>
      <c r="AI195" s="3"/>
      <c r="AJ195" s="3"/>
      <c r="AK195" s="3"/>
      <c r="AL195" s="3"/>
    </row>
    <row r="196" ht="15.75" customHeight="1">
      <c r="A196" s="45"/>
      <c r="B196" s="342">
        <v>190.0</v>
      </c>
      <c r="C196" s="449" t="s">
        <v>31</v>
      </c>
      <c r="D196" s="433" t="s">
        <v>15958</v>
      </c>
      <c r="E196" s="434" t="s">
        <v>15957</v>
      </c>
      <c r="F196" s="450"/>
      <c r="G196" s="433"/>
      <c r="H196" s="433" t="s">
        <v>37</v>
      </c>
      <c r="I196" s="433"/>
      <c r="J196" s="433" t="s">
        <v>38</v>
      </c>
      <c r="K196" s="433">
        <v>430.0</v>
      </c>
      <c r="L196" s="433" t="s">
        <v>15959</v>
      </c>
      <c r="M196" s="450"/>
      <c r="N196" s="433" t="s">
        <v>15479</v>
      </c>
      <c r="O196" s="342">
        <v>1991.0</v>
      </c>
      <c r="P196" s="433" t="s">
        <v>388</v>
      </c>
      <c r="Q196" s="342">
        <v>2.0</v>
      </c>
      <c r="R196" s="640"/>
      <c r="S196" s="620"/>
      <c r="T196" s="3"/>
      <c r="U196" s="3"/>
      <c r="V196" s="3"/>
      <c r="W196" s="3"/>
      <c r="X196" s="3"/>
      <c r="Y196" s="3"/>
      <c r="Z196" s="3"/>
      <c r="AA196" s="3"/>
      <c r="AB196" s="3"/>
      <c r="AC196" s="3"/>
      <c r="AD196" s="3"/>
      <c r="AE196" s="3"/>
      <c r="AF196" s="3"/>
      <c r="AG196" s="3"/>
      <c r="AH196" s="3"/>
      <c r="AI196" s="3"/>
      <c r="AJ196" s="3"/>
      <c r="AK196" s="3"/>
      <c r="AL196" s="3"/>
    </row>
    <row r="197" ht="15.75" customHeight="1">
      <c r="A197" s="45"/>
      <c r="B197" s="342">
        <v>191.0</v>
      </c>
      <c r="C197" s="449" t="s">
        <v>15960</v>
      </c>
      <c r="D197" s="433" t="s">
        <v>15868</v>
      </c>
      <c r="E197" s="434" t="s">
        <v>15961</v>
      </c>
      <c r="F197" s="450"/>
      <c r="G197" s="433"/>
      <c r="H197" s="433" t="s">
        <v>37</v>
      </c>
      <c r="I197" s="433"/>
      <c r="J197" s="433" t="s">
        <v>38</v>
      </c>
      <c r="K197" s="433">
        <v>479.0</v>
      </c>
      <c r="L197" s="433" t="s">
        <v>15959</v>
      </c>
      <c r="M197" s="450"/>
      <c r="N197" s="433" t="s">
        <v>15962</v>
      </c>
      <c r="O197" s="342">
        <v>1987.0</v>
      </c>
      <c r="P197" s="433" t="s">
        <v>388</v>
      </c>
      <c r="Q197" s="342">
        <v>1.0</v>
      </c>
      <c r="R197" s="640"/>
      <c r="S197" s="620"/>
      <c r="T197" s="3"/>
      <c r="U197" s="3"/>
      <c r="V197" s="3"/>
      <c r="W197" s="3"/>
      <c r="X197" s="3"/>
      <c r="Y197" s="3"/>
      <c r="Z197" s="3"/>
      <c r="AA197" s="3"/>
      <c r="AB197" s="3"/>
      <c r="AC197" s="3"/>
      <c r="AD197" s="3"/>
      <c r="AE197" s="3"/>
      <c r="AF197" s="3"/>
      <c r="AG197" s="3"/>
      <c r="AH197" s="3"/>
      <c r="AI197" s="3"/>
      <c r="AJ197" s="3"/>
      <c r="AK197" s="3"/>
      <c r="AL197" s="3"/>
    </row>
    <row r="198" ht="15.75" customHeight="1">
      <c r="A198" s="71"/>
      <c r="B198" s="622"/>
      <c r="C198" s="623"/>
      <c r="D198" s="538"/>
      <c r="E198" s="624"/>
      <c r="F198" s="645"/>
      <c r="G198" s="538"/>
      <c r="H198" s="538"/>
      <c r="I198" s="538"/>
      <c r="J198" s="538"/>
      <c r="K198" s="538"/>
      <c r="L198" s="622"/>
      <c r="M198" s="645"/>
      <c r="N198" s="538"/>
      <c r="O198" s="622"/>
      <c r="P198" s="538"/>
      <c r="Q198" s="622"/>
      <c r="R198" s="646"/>
      <c r="S198" s="626"/>
      <c r="T198" s="627"/>
      <c r="U198" s="627"/>
      <c r="V198" s="627"/>
      <c r="W198" s="627"/>
      <c r="X198" s="627"/>
      <c r="Y198" s="627"/>
      <c r="Z198" s="627"/>
      <c r="AA198" s="627"/>
      <c r="AB198" s="627"/>
      <c r="AC198" s="627"/>
      <c r="AD198" s="627"/>
      <c r="AE198" s="627"/>
      <c r="AF198" s="627"/>
      <c r="AG198" s="627"/>
      <c r="AH198" s="627"/>
      <c r="AI198" s="627"/>
      <c r="AJ198" s="627"/>
      <c r="AK198" s="627"/>
      <c r="AL198" s="627"/>
    </row>
    <row r="199" ht="15.75" customHeight="1">
      <c r="A199" s="45"/>
      <c r="B199" s="342">
        <v>193.0</v>
      </c>
      <c r="C199" s="449" t="s">
        <v>15963</v>
      </c>
      <c r="D199" s="342" t="s">
        <v>31</v>
      </c>
      <c r="E199" s="434" t="s">
        <v>15964</v>
      </c>
      <c r="F199" s="450"/>
      <c r="G199" s="433"/>
      <c r="H199" s="433" t="s">
        <v>5395</v>
      </c>
      <c r="I199" s="433"/>
      <c r="J199" s="433" t="s">
        <v>38</v>
      </c>
      <c r="K199" s="433">
        <v>424.0</v>
      </c>
      <c r="L199" s="342" t="s">
        <v>31</v>
      </c>
      <c r="M199" s="450"/>
      <c r="N199" s="433" t="s">
        <v>15965</v>
      </c>
      <c r="O199" s="342">
        <v>1996.0</v>
      </c>
      <c r="P199" s="433" t="s">
        <v>388</v>
      </c>
      <c r="Q199" s="342">
        <v>1.0</v>
      </c>
      <c r="R199" s="640"/>
      <c r="S199" s="620"/>
      <c r="T199" s="3"/>
      <c r="U199" s="3"/>
      <c r="V199" s="3"/>
      <c r="W199" s="3"/>
      <c r="X199" s="3"/>
      <c r="Y199" s="3"/>
      <c r="Z199" s="3"/>
      <c r="AA199" s="3"/>
      <c r="AB199" s="3"/>
      <c r="AC199" s="3"/>
      <c r="AD199" s="3"/>
      <c r="AE199" s="3"/>
      <c r="AF199" s="3"/>
      <c r="AG199" s="3"/>
      <c r="AH199" s="3"/>
      <c r="AI199" s="3"/>
      <c r="AJ199" s="3"/>
      <c r="AK199" s="3"/>
      <c r="AL199" s="3"/>
    </row>
    <row r="200" ht="15.75" customHeight="1">
      <c r="A200" s="45"/>
      <c r="B200" s="342">
        <v>194.0</v>
      </c>
      <c r="C200" s="449" t="s">
        <v>1167</v>
      </c>
      <c r="D200" s="342" t="s">
        <v>15966</v>
      </c>
      <c r="E200" s="434" t="s">
        <v>15967</v>
      </c>
      <c r="F200" s="450"/>
      <c r="G200" s="433"/>
      <c r="H200" s="433" t="s">
        <v>37</v>
      </c>
      <c r="I200" s="433"/>
      <c r="J200" s="433" t="s">
        <v>38</v>
      </c>
      <c r="K200" s="433">
        <v>798.0</v>
      </c>
      <c r="L200" s="342" t="s">
        <v>31</v>
      </c>
      <c r="M200" s="450"/>
      <c r="N200" s="433" t="s">
        <v>54</v>
      </c>
      <c r="O200" s="342">
        <v>1975.0</v>
      </c>
      <c r="P200" s="433" t="s">
        <v>388</v>
      </c>
      <c r="Q200" s="342">
        <v>1.0</v>
      </c>
      <c r="R200" s="640"/>
      <c r="S200" s="620"/>
      <c r="T200" s="3"/>
      <c r="U200" s="3"/>
      <c r="V200" s="3"/>
      <c r="W200" s="3"/>
      <c r="X200" s="3"/>
      <c r="Y200" s="3"/>
      <c r="Z200" s="3"/>
      <c r="AA200" s="3"/>
      <c r="AB200" s="3"/>
      <c r="AC200" s="3"/>
      <c r="AD200" s="3"/>
      <c r="AE200" s="3"/>
      <c r="AF200" s="3"/>
      <c r="AG200" s="3"/>
      <c r="AH200" s="3"/>
      <c r="AI200" s="3"/>
      <c r="AJ200" s="3"/>
      <c r="AK200" s="3"/>
      <c r="AL200" s="3"/>
    </row>
    <row r="201" ht="15.75" customHeight="1">
      <c r="A201" s="45"/>
      <c r="B201" s="342">
        <v>195.0</v>
      </c>
      <c r="C201" s="449" t="s">
        <v>31</v>
      </c>
      <c r="D201" s="433" t="s">
        <v>15968</v>
      </c>
      <c r="E201" s="434" t="s">
        <v>15969</v>
      </c>
      <c r="F201" s="450"/>
      <c r="G201" s="433"/>
      <c r="H201" s="433" t="s">
        <v>37</v>
      </c>
      <c r="I201" s="433"/>
      <c r="J201" s="433" t="s">
        <v>38</v>
      </c>
      <c r="K201" s="433">
        <v>98.0</v>
      </c>
      <c r="L201" s="342" t="s">
        <v>31</v>
      </c>
      <c r="M201" s="450"/>
      <c r="N201" s="433" t="s">
        <v>15479</v>
      </c>
      <c r="O201" s="342">
        <v>1964.0</v>
      </c>
      <c r="P201" s="433" t="s">
        <v>388</v>
      </c>
      <c r="Q201" s="342">
        <v>2.0</v>
      </c>
      <c r="R201" s="640"/>
      <c r="S201" s="620"/>
      <c r="T201" s="3"/>
      <c r="U201" s="3"/>
      <c r="V201" s="3"/>
      <c r="W201" s="3"/>
      <c r="X201" s="3"/>
      <c r="Y201" s="3"/>
      <c r="Z201" s="3"/>
      <c r="AA201" s="3"/>
      <c r="AB201" s="3"/>
      <c r="AC201" s="3"/>
      <c r="AD201" s="3"/>
      <c r="AE201" s="3"/>
      <c r="AF201" s="3"/>
      <c r="AG201" s="3"/>
      <c r="AH201" s="3"/>
      <c r="AI201" s="3"/>
      <c r="AJ201" s="3"/>
      <c r="AK201" s="3"/>
      <c r="AL201" s="3"/>
    </row>
    <row r="202" ht="15.75" customHeight="1">
      <c r="A202" s="45"/>
      <c r="B202" s="342">
        <v>196.0</v>
      </c>
      <c r="C202" s="449" t="s">
        <v>31</v>
      </c>
      <c r="D202" s="342" t="s">
        <v>31</v>
      </c>
      <c r="E202" s="434" t="s">
        <v>15970</v>
      </c>
      <c r="F202" s="450"/>
      <c r="G202" s="433"/>
      <c r="H202" s="433" t="s">
        <v>6354</v>
      </c>
      <c r="I202" s="433"/>
      <c r="J202" s="433" t="s">
        <v>38</v>
      </c>
      <c r="K202" s="433">
        <v>351.0</v>
      </c>
      <c r="L202" s="433" t="s">
        <v>15685</v>
      </c>
      <c r="M202" s="450"/>
      <c r="N202" s="433" t="s">
        <v>15971</v>
      </c>
      <c r="O202" s="342">
        <v>1979.0</v>
      </c>
      <c r="P202" s="433" t="s">
        <v>388</v>
      </c>
      <c r="Q202" s="342">
        <v>1.0</v>
      </c>
      <c r="R202" s="640"/>
      <c r="S202" s="620"/>
      <c r="T202" s="3"/>
      <c r="U202" s="3"/>
      <c r="V202" s="3"/>
      <c r="W202" s="3"/>
      <c r="X202" s="3"/>
      <c r="Y202" s="3"/>
      <c r="Z202" s="3"/>
      <c r="AA202" s="3"/>
      <c r="AB202" s="3"/>
      <c r="AC202" s="3"/>
      <c r="AD202" s="3"/>
      <c r="AE202" s="3"/>
      <c r="AF202" s="3"/>
      <c r="AG202" s="3"/>
      <c r="AH202" s="3"/>
      <c r="AI202" s="3"/>
      <c r="AJ202" s="3"/>
      <c r="AK202" s="3"/>
      <c r="AL202" s="3"/>
    </row>
    <row r="203" ht="15.75" customHeight="1">
      <c r="A203" s="45"/>
      <c r="B203" s="342">
        <v>197.0</v>
      </c>
      <c r="C203" s="449" t="s">
        <v>15972</v>
      </c>
      <c r="D203" s="342" t="s">
        <v>31</v>
      </c>
      <c r="E203" s="434" t="s">
        <v>15973</v>
      </c>
      <c r="F203" s="450"/>
      <c r="G203" s="433"/>
      <c r="H203" s="433" t="s">
        <v>81</v>
      </c>
      <c r="I203" s="433"/>
      <c r="J203" s="433" t="s">
        <v>38</v>
      </c>
      <c r="K203" s="433">
        <v>619.0</v>
      </c>
      <c r="L203" s="342" t="s">
        <v>31</v>
      </c>
      <c r="M203" s="450"/>
      <c r="N203" s="433" t="s">
        <v>15544</v>
      </c>
      <c r="O203" s="342">
        <v>2002.0</v>
      </c>
      <c r="P203" s="433" t="s">
        <v>388</v>
      </c>
      <c r="Q203" s="342">
        <v>1.0</v>
      </c>
      <c r="R203" s="640"/>
      <c r="S203" s="620"/>
      <c r="T203" s="3"/>
      <c r="U203" s="3"/>
      <c r="V203" s="3"/>
      <c r="W203" s="3"/>
      <c r="X203" s="3"/>
      <c r="Y203" s="3"/>
      <c r="Z203" s="3"/>
      <c r="AA203" s="3"/>
      <c r="AB203" s="3"/>
      <c r="AC203" s="3"/>
      <c r="AD203" s="3"/>
      <c r="AE203" s="3"/>
      <c r="AF203" s="3"/>
      <c r="AG203" s="3"/>
      <c r="AH203" s="3"/>
      <c r="AI203" s="3"/>
      <c r="AJ203" s="3"/>
      <c r="AK203" s="3"/>
      <c r="AL203" s="3"/>
    </row>
    <row r="204" ht="15.75" customHeight="1">
      <c r="A204" s="45"/>
      <c r="B204" s="342">
        <v>198.0</v>
      </c>
      <c r="C204" s="449" t="s">
        <v>15504</v>
      </c>
      <c r="D204" s="433" t="s">
        <v>15530</v>
      </c>
      <c r="E204" s="434" t="s">
        <v>15974</v>
      </c>
      <c r="F204" s="450"/>
      <c r="G204" s="433"/>
      <c r="H204" s="433" t="s">
        <v>38</v>
      </c>
      <c r="I204" s="433"/>
      <c r="J204" s="433" t="s">
        <v>38</v>
      </c>
      <c r="K204" s="433">
        <v>1450.0</v>
      </c>
      <c r="L204" s="433" t="s">
        <v>15975</v>
      </c>
      <c r="M204" s="450"/>
      <c r="N204" s="433" t="s">
        <v>15503</v>
      </c>
      <c r="O204" s="342">
        <v>1972.0</v>
      </c>
      <c r="P204" s="433" t="s">
        <v>388</v>
      </c>
      <c r="Q204" s="342">
        <v>1.0</v>
      </c>
      <c r="R204" s="640"/>
      <c r="S204" s="620"/>
      <c r="T204" s="3"/>
      <c r="U204" s="3"/>
      <c r="V204" s="3"/>
      <c r="W204" s="3"/>
      <c r="X204" s="3"/>
      <c r="Y204" s="3"/>
      <c r="Z204" s="3"/>
      <c r="AA204" s="3"/>
      <c r="AB204" s="3"/>
      <c r="AC204" s="3"/>
      <c r="AD204" s="3"/>
      <c r="AE204" s="3"/>
      <c r="AF204" s="3"/>
      <c r="AG204" s="3"/>
      <c r="AH204" s="3"/>
      <c r="AI204" s="3"/>
      <c r="AJ204" s="3"/>
      <c r="AK204" s="3"/>
      <c r="AL204" s="3"/>
    </row>
    <row r="205" ht="15.75" customHeight="1">
      <c r="A205" s="45"/>
      <c r="B205" s="342">
        <v>199.0</v>
      </c>
      <c r="C205" s="449" t="s">
        <v>15976</v>
      </c>
      <c r="D205" s="342" t="s">
        <v>15977</v>
      </c>
      <c r="E205" s="434" t="s">
        <v>15978</v>
      </c>
      <c r="F205" s="450"/>
      <c r="G205" s="433"/>
      <c r="H205" s="433" t="s">
        <v>98</v>
      </c>
      <c r="I205" s="433"/>
      <c r="J205" s="433" t="s">
        <v>15950</v>
      </c>
      <c r="K205" s="433">
        <v>871.0</v>
      </c>
      <c r="L205" s="433" t="s">
        <v>15979</v>
      </c>
      <c r="M205" s="450"/>
      <c r="N205" s="433" t="s">
        <v>15980</v>
      </c>
      <c r="O205" s="342">
        <v>1981.0</v>
      </c>
      <c r="P205" s="433" t="s">
        <v>388</v>
      </c>
      <c r="Q205" s="342">
        <v>1.0</v>
      </c>
      <c r="R205" s="640"/>
      <c r="S205" s="620"/>
      <c r="T205" s="3"/>
      <c r="U205" s="3"/>
      <c r="V205" s="3"/>
      <c r="W205" s="3"/>
      <c r="X205" s="3"/>
      <c r="Y205" s="3"/>
      <c r="Z205" s="3"/>
      <c r="AA205" s="3"/>
      <c r="AB205" s="3"/>
      <c r="AC205" s="3"/>
      <c r="AD205" s="3"/>
      <c r="AE205" s="3"/>
      <c r="AF205" s="3"/>
      <c r="AG205" s="3"/>
      <c r="AH205" s="3"/>
      <c r="AI205" s="3"/>
      <c r="AJ205" s="3"/>
      <c r="AK205" s="3"/>
      <c r="AL205" s="3"/>
    </row>
    <row r="206" ht="15.75" customHeight="1">
      <c r="A206" s="45"/>
      <c r="B206" s="342">
        <v>200.0</v>
      </c>
      <c r="C206" s="449" t="s">
        <v>31</v>
      </c>
      <c r="D206" s="342" t="s">
        <v>15981</v>
      </c>
      <c r="E206" s="434" t="s">
        <v>15982</v>
      </c>
      <c r="F206" s="450"/>
      <c r="G206" s="433"/>
      <c r="H206" s="433" t="s">
        <v>15809</v>
      </c>
      <c r="I206" s="433"/>
      <c r="J206" s="433" t="s">
        <v>38</v>
      </c>
      <c r="K206" s="433">
        <v>572.0</v>
      </c>
      <c r="L206" s="433" t="s">
        <v>15903</v>
      </c>
      <c r="M206" s="450"/>
      <c r="N206" s="433" t="s">
        <v>15904</v>
      </c>
      <c r="O206" s="342">
        <v>1969.0</v>
      </c>
      <c r="P206" s="433" t="s">
        <v>388</v>
      </c>
      <c r="Q206" s="342">
        <v>1.0</v>
      </c>
      <c r="R206" s="640"/>
      <c r="S206" s="620"/>
      <c r="T206" s="3"/>
      <c r="U206" s="3"/>
      <c r="V206" s="3"/>
      <c r="W206" s="3"/>
      <c r="X206" s="3"/>
      <c r="Y206" s="3"/>
      <c r="Z206" s="3"/>
      <c r="AA206" s="3"/>
      <c r="AB206" s="3"/>
      <c r="AC206" s="3"/>
      <c r="AD206" s="3"/>
      <c r="AE206" s="3"/>
      <c r="AF206" s="3"/>
      <c r="AG206" s="3"/>
      <c r="AH206" s="3"/>
      <c r="AI206" s="3"/>
      <c r="AJ206" s="3"/>
      <c r="AK206" s="3"/>
      <c r="AL206" s="3"/>
    </row>
    <row r="207" ht="15.75" customHeight="1">
      <c r="A207" s="45"/>
      <c r="B207" s="557">
        <v>201.0</v>
      </c>
      <c r="C207" s="618" t="s">
        <v>15960</v>
      </c>
      <c r="D207" s="557" t="s">
        <v>15983</v>
      </c>
      <c r="E207" s="432" t="s">
        <v>15984</v>
      </c>
      <c r="F207" s="603"/>
      <c r="G207" s="430"/>
      <c r="H207" s="430" t="s">
        <v>15193</v>
      </c>
      <c r="I207" s="430"/>
      <c r="J207" s="430" t="s">
        <v>38</v>
      </c>
      <c r="K207" s="430">
        <v>479.0</v>
      </c>
      <c r="L207" s="430" t="s">
        <v>15985</v>
      </c>
      <c r="M207" s="603"/>
      <c r="N207" s="430" t="s">
        <v>15986</v>
      </c>
      <c r="O207" s="557">
        <v>1988.0</v>
      </c>
      <c r="P207" s="430" t="s">
        <v>388</v>
      </c>
      <c r="Q207" s="557">
        <v>1.0</v>
      </c>
      <c r="R207" s="640"/>
      <c r="S207" s="620"/>
      <c r="T207" s="3"/>
      <c r="U207" s="3"/>
      <c r="V207" s="3"/>
      <c r="W207" s="3"/>
      <c r="X207" s="3"/>
      <c r="Y207" s="3"/>
      <c r="Z207" s="3"/>
      <c r="AA207" s="3"/>
      <c r="AB207" s="3"/>
      <c r="AC207" s="3"/>
      <c r="AD207" s="3"/>
      <c r="AE207" s="3"/>
      <c r="AF207" s="3"/>
      <c r="AG207" s="3"/>
      <c r="AH207" s="3"/>
      <c r="AI207" s="3"/>
      <c r="AJ207" s="3"/>
      <c r="AK207" s="3"/>
      <c r="AL207" s="3"/>
    </row>
    <row r="208" ht="15.75" customHeight="1">
      <c r="A208" s="45"/>
      <c r="B208" s="342"/>
      <c r="C208" s="449"/>
      <c r="D208" s="433"/>
      <c r="E208" s="434"/>
      <c r="F208" s="450"/>
      <c r="G208" s="433"/>
      <c r="H208" s="433"/>
      <c r="I208" s="433"/>
      <c r="J208" s="433"/>
      <c r="K208" s="433"/>
      <c r="L208" s="342"/>
      <c r="M208" s="450"/>
      <c r="N208" s="433"/>
      <c r="O208" s="342"/>
      <c r="P208" s="433"/>
      <c r="Q208" s="342"/>
      <c r="R208" s="640"/>
      <c r="S208" s="620"/>
      <c r="T208" s="3"/>
      <c r="U208" s="3"/>
      <c r="V208" s="3"/>
      <c r="W208" s="3"/>
      <c r="X208" s="3"/>
      <c r="Y208" s="3"/>
      <c r="Z208" s="3"/>
      <c r="AA208" s="3"/>
      <c r="AB208" s="3"/>
      <c r="AC208" s="3"/>
      <c r="AD208" s="3"/>
      <c r="AE208" s="3"/>
      <c r="AF208" s="3"/>
      <c r="AG208" s="3"/>
      <c r="AH208" s="3"/>
      <c r="AI208" s="3"/>
      <c r="AJ208" s="3"/>
      <c r="AK208" s="3"/>
      <c r="AL208" s="3"/>
    </row>
    <row r="209" ht="15.75" customHeight="1">
      <c r="A209" s="45"/>
      <c r="B209" s="342">
        <v>203.0</v>
      </c>
      <c r="C209" s="449" t="s">
        <v>15987</v>
      </c>
      <c r="D209" s="342" t="s">
        <v>31</v>
      </c>
      <c r="E209" s="434" t="s">
        <v>15572</v>
      </c>
      <c r="F209" s="450"/>
      <c r="G209" s="433"/>
      <c r="H209" s="433" t="s">
        <v>15840</v>
      </c>
      <c r="I209" s="433"/>
      <c r="J209" s="433" t="s">
        <v>38</v>
      </c>
      <c r="K209" s="433">
        <v>374.0</v>
      </c>
      <c r="L209" s="433" t="s">
        <v>15832</v>
      </c>
      <c r="M209" s="450"/>
      <c r="N209" s="433" t="s">
        <v>15842</v>
      </c>
      <c r="O209" s="342">
        <v>2010.0</v>
      </c>
      <c r="P209" s="433" t="s">
        <v>388</v>
      </c>
      <c r="Q209" s="342">
        <v>1.0</v>
      </c>
      <c r="R209" s="640"/>
      <c r="S209" s="620"/>
      <c r="T209" s="3"/>
      <c r="U209" s="3"/>
      <c r="V209" s="3"/>
      <c r="W209" s="3"/>
      <c r="X209" s="3"/>
      <c r="Y209" s="3"/>
      <c r="Z209" s="3"/>
      <c r="AA209" s="3"/>
      <c r="AB209" s="3"/>
      <c r="AC209" s="3"/>
      <c r="AD209" s="3"/>
      <c r="AE209" s="3"/>
      <c r="AF209" s="3"/>
      <c r="AG209" s="3"/>
      <c r="AH209" s="3"/>
      <c r="AI209" s="3"/>
      <c r="AJ209" s="3"/>
      <c r="AK209" s="3"/>
      <c r="AL209" s="3"/>
    </row>
    <row r="210" ht="15.75" customHeight="1">
      <c r="A210" s="45"/>
      <c r="B210" s="557">
        <v>204.0</v>
      </c>
      <c r="C210" s="618" t="s">
        <v>31</v>
      </c>
      <c r="D210" s="430" t="s">
        <v>15988</v>
      </c>
      <c r="E210" s="432" t="s">
        <v>15989</v>
      </c>
      <c r="F210" s="603"/>
      <c r="G210" s="430"/>
      <c r="H210" s="430" t="s">
        <v>37</v>
      </c>
      <c r="I210" s="430"/>
      <c r="J210" s="430" t="s">
        <v>38</v>
      </c>
      <c r="K210" s="430">
        <v>9204.0</v>
      </c>
      <c r="L210" s="430" t="s">
        <v>15990</v>
      </c>
      <c r="M210" s="603"/>
      <c r="N210" s="430" t="s">
        <v>15479</v>
      </c>
      <c r="O210" s="557">
        <v>1976.0</v>
      </c>
      <c r="P210" s="430" t="s">
        <v>388</v>
      </c>
      <c r="Q210" s="557">
        <v>1.0</v>
      </c>
      <c r="R210" s="640"/>
      <c r="S210" s="620"/>
      <c r="T210" s="3"/>
      <c r="U210" s="3"/>
      <c r="V210" s="3"/>
      <c r="W210" s="3"/>
      <c r="X210" s="3"/>
      <c r="Y210" s="3"/>
      <c r="Z210" s="3"/>
      <c r="AA210" s="3"/>
      <c r="AB210" s="3"/>
      <c r="AC210" s="3"/>
      <c r="AD210" s="3"/>
      <c r="AE210" s="3"/>
      <c r="AF210" s="3"/>
      <c r="AG210" s="3"/>
      <c r="AH210" s="3"/>
      <c r="AI210" s="3"/>
      <c r="AJ210" s="3"/>
      <c r="AK210" s="3"/>
      <c r="AL210" s="3"/>
    </row>
    <row r="211" ht="15.75" customHeight="1">
      <c r="A211" s="45"/>
      <c r="B211" s="342">
        <v>205.0</v>
      </c>
      <c r="C211" s="449" t="s">
        <v>31</v>
      </c>
      <c r="D211" s="433" t="s">
        <v>15868</v>
      </c>
      <c r="E211" s="434" t="s">
        <v>15991</v>
      </c>
      <c r="F211" s="450"/>
      <c r="G211" s="433"/>
      <c r="H211" s="433" t="s">
        <v>37</v>
      </c>
      <c r="I211" s="433"/>
      <c r="J211" s="433" t="s">
        <v>38</v>
      </c>
      <c r="K211" s="433">
        <v>538.0</v>
      </c>
      <c r="L211" s="433" t="s">
        <v>15992</v>
      </c>
      <c r="M211" s="450"/>
      <c r="N211" s="433" t="s">
        <v>15479</v>
      </c>
      <c r="O211" s="342">
        <v>1970.0</v>
      </c>
      <c r="P211" s="433" t="s">
        <v>388</v>
      </c>
      <c r="Q211" s="342">
        <v>1.0</v>
      </c>
      <c r="R211" s="640"/>
      <c r="S211" s="620"/>
      <c r="T211" s="3"/>
      <c r="U211" s="3"/>
      <c r="V211" s="3"/>
      <c r="W211" s="3"/>
      <c r="X211" s="3"/>
      <c r="Y211" s="3"/>
      <c r="Z211" s="3"/>
      <c r="AA211" s="3"/>
      <c r="AB211" s="3"/>
      <c r="AC211" s="3"/>
      <c r="AD211" s="3"/>
      <c r="AE211" s="3"/>
      <c r="AF211" s="3"/>
      <c r="AG211" s="3"/>
      <c r="AH211" s="3"/>
      <c r="AI211" s="3"/>
      <c r="AJ211" s="3"/>
      <c r="AK211" s="3"/>
      <c r="AL211" s="3"/>
    </row>
    <row r="212" ht="15.75" customHeight="1">
      <c r="A212" s="45"/>
      <c r="B212" s="342">
        <v>206.0</v>
      </c>
      <c r="C212" s="449" t="s">
        <v>31</v>
      </c>
      <c r="D212" s="562" t="s">
        <v>15993</v>
      </c>
      <c r="E212" s="434" t="s">
        <v>15994</v>
      </c>
      <c r="F212" s="450"/>
      <c r="G212" s="433"/>
      <c r="H212" s="433" t="s">
        <v>37</v>
      </c>
      <c r="I212" s="433"/>
      <c r="J212" s="433" t="s">
        <v>38</v>
      </c>
      <c r="K212" s="433">
        <v>431.0</v>
      </c>
      <c r="L212" s="342" t="s">
        <v>31</v>
      </c>
      <c r="M212" s="450"/>
      <c r="N212" s="433" t="s">
        <v>15479</v>
      </c>
      <c r="O212" s="342">
        <v>1973.0</v>
      </c>
      <c r="P212" s="433" t="s">
        <v>388</v>
      </c>
      <c r="Q212" s="342">
        <v>2.0</v>
      </c>
      <c r="R212" s="640"/>
      <c r="S212" s="620"/>
      <c r="T212" s="3"/>
      <c r="U212" s="3"/>
      <c r="V212" s="3"/>
      <c r="W212" s="3"/>
      <c r="X212" s="3"/>
      <c r="Y212" s="3"/>
      <c r="Z212" s="3"/>
      <c r="AA212" s="3"/>
      <c r="AB212" s="3"/>
      <c r="AC212" s="3"/>
      <c r="AD212" s="3"/>
      <c r="AE212" s="3"/>
      <c r="AF212" s="3"/>
      <c r="AG212" s="3"/>
      <c r="AH212" s="3"/>
      <c r="AI212" s="3"/>
      <c r="AJ212" s="3"/>
      <c r="AK212" s="3"/>
      <c r="AL212" s="3"/>
    </row>
    <row r="213" ht="15.75" customHeight="1">
      <c r="A213" s="45"/>
      <c r="B213" s="342">
        <v>207.0</v>
      </c>
      <c r="C213" s="449" t="s">
        <v>31</v>
      </c>
      <c r="E213" s="561" t="s">
        <v>15995</v>
      </c>
      <c r="F213" s="450"/>
      <c r="G213" s="433"/>
      <c r="H213" s="433" t="s">
        <v>37</v>
      </c>
      <c r="I213" s="433"/>
      <c r="J213" s="433" t="s">
        <v>38</v>
      </c>
      <c r="K213" s="433">
        <v>376.0</v>
      </c>
      <c r="L213" s="433" t="s">
        <v>15211</v>
      </c>
      <c r="M213" s="450"/>
      <c r="N213" s="433" t="s">
        <v>15479</v>
      </c>
      <c r="O213" s="342">
        <v>1966.0</v>
      </c>
      <c r="P213" s="433" t="s">
        <v>388</v>
      </c>
      <c r="Q213" s="342">
        <v>1.0</v>
      </c>
      <c r="R213" s="640"/>
      <c r="S213" s="620"/>
      <c r="T213" s="3"/>
      <c r="U213" s="3"/>
      <c r="V213" s="3"/>
      <c r="W213" s="3"/>
      <c r="X213" s="3"/>
      <c r="Y213" s="3"/>
      <c r="Z213" s="3"/>
      <c r="AA213" s="3"/>
      <c r="AB213" s="3"/>
      <c r="AC213" s="3"/>
      <c r="AD213" s="3"/>
      <c r="AE213" s="3"/>
      <c r="AF213" s="3"/>
      <c r="AG213" s="3"/>
      <c r="AH213" s="3"/>
      <c r="AI213" s="3"/>
      <c r="AJ213" s="3"/>
      <c r="AK213" s="3"/>
      <c r="AL213" s="3"/>
    </row>
    <row r="214" ht="15.75" customHeight="1">
      <c r="A214" s="45"/>
      <c r="B214" s="342">
        <v>208.0</v>
      </c>
      <c r="C214" s="449" t="s">
        <v>15884</v>
      </c>
      <c r="D214" s="342" t="s">
        <v>31</v>
      </c>
      <c r="E214" s="434" t="s">
        <v>15996</v>
      </c>
      <c r="F214" s="450"/>
      <c r="G214" s="433"/>
      <c r="H214" s="433" t="s">
        <v>37</v>
      </c>
      <c r="I214" s="433"/>
      <c r="J214" s="433" t="s">
        <v>38</v>
      </c>
      <c r="K214" s="433">
        <v>1186.0</v>
      </c>
      <c r="L214" s="433" t="s">
        <v>15997</v>
      </c>
      <c r="M214" s="450"/>
      <c r="N214" s="433" t="s">
        <v>54</v>
      </c>
      <c r="O214" s="342">
        <v>1985.0</v>
      </c>
      <c r="P214" s="433" t="s">
        <v>388</v>
      </c>
      <c r="Q214" s="342">
        <v>3.0</v>
      </c>
      <c r="R214" s="640"/>
      <c r="S214" s="620"/>
      <c r="T214" s="3"/>
      <c r="U214" s="3"/>
      <c r="V214" s="3"/>
      <c r="W214" s="3"/>
      <c r="X214" s="3"/>
      <c r="Y214" s="3"/>
      <c r="Z214" s="3"/>
      <c r="AA214" s="3"/>
      <c r="AB214" s="3"/>
      <c r="AC214" s="3"/>
      <c r="AD214" s="3"/>
      <c r="AE214" s="3"/>
      <c r="AF214" s="3"/>
      <c r="AG214" s="3"/>
      <c r="AH214" s="3"/>
      <c r="AI214" s="3"/>
      <c r="AJ214" s="3"/>
      <c r="AK214" s="3"/>
      <c r="AL214" s="3"/>
    </row>
    <row r="215" ht="15.75" customHeight="1">
      <c r="A215" s="45"/>
      <c r="B215" s="557">
        <v>209.0</v>
      </c>
      <c r="C215" s="618" t="s">
        <v>31</v>
      </c>
      <c r="D215" s="430" t="s">
        <v>15998</v>
      </c>
      <c r="E215" s="432" t="s">
        <v>15999</v>
      </c>
      <c r="F215" s="603"/>
      <c r="G215" s="430"/>
      <c r="H215" s="430" t="s">
        <v>1195</v>
      </c>
      <c r="I215" s="430"/>
      <c r="J215" s="430" t="s">
        <v>1195</v>
      </c>
      <c r="K215" s="430">
        <v>738.0</v>
      </c>
      <c r="L215" s="557" t="s">
        <v>31</v>
      </c>
      <c r="M215" s="603"/>
      <c r="N215" s="430" t="s">
        <v>16000</v>
      </c>
      <c r="O215" s="557">
        <v>1987.0</v>
      </c>
      <c r="P215" s="430" t="s">
        <v>388</v>
      </c>
      <c r="Q215" s="557">
        <v>1.0</v>
      </c>
      <c r="R215" s="640"/>
      <c r="S215" s="620"/>
      <c r="T215" s="3"/>
      <c r="U215" s="3"/>
      <c r="V215" s="3"/>
      <c r="W215" s="3"/>
      <c r="X215" s="3"/>
      <c r="Y215" s="3"/>
      <c r="Z215" s="3"/>
      <c r="AA215" s="3"/>
      <c r="AB215" s="3"/>
      <c r="AC215" s="3"/>
      <c r="AD215" s="3"/>
      <c r="AE215" s="3"/>
      <c r="AF215" s="3"/>
      <c r="AG215" s="3"/>
      <c r="AH215" s="3"/>
      <c r="AI215" s="3"/>
      <c r="AJ215" s="3"/>
      <c r="AK215" s="3"/>
      <c r="AL215" s="3"/>
    </row>
    <row r="216" ht="15.75" customHeight="1">
      <c r="A216" s="45"/>
      <c r="B216" s="342">
        <v>210.0</v>
      </c>
      <c r="C216" s="449" t="s">
        <v>31</v>
      </c>
      <c r="D216" s="433" t="s">
        <v>16001</v>
      </c>
      <c r="E216" s="434" t="s">
        <v>1267</v>
      </c>
      <c r="F216" s="450"/>
      <c r="G216" s="433"/>
      <c r="H216" s="433" t="s">
        <v>37</v>
      </c>
      <c r="I216" s="433"/>
      <c r="J216" s="433" t="s">
        <v>38</v>
      </c>
      <c r="K216" s="433">
        <v>182.0</v>
      </c>
      <c r="L216" s="433" t="s">
        <v>16002</v>
      </c>
      <c r="M216" s="450"/>
      <c r="N216" s="433" t="s">
        <v>14168</v>
      </c>
      <c r="O216" s="342">
        <v>1967.0</v>
      </c>
      <c r="P216" s="433" t="s">
        <v>388</v>
      </c>
      <c r="Q216" s="342">
        <v>1.0</v>
      </c>
      <c r="R216" s="640"/>
      <c r="S216" s="620"/>
      <c r="T216" s="3"/>
      <c r="U216" s="3"/>
      <c r="V216" s="3"/>
      <c r="W216" s="3"/>
      <c r="X216" s="3"/>
      <c r="Y216" s="3"/>
      <c r="Z216" s="3"/>
      <c r="AA216" s="3"/>
      <c r="AB216" s="3"/>
      <c r="AC216" s="3"/>
      <c r="AD216" s="3"/>
      <c r="AE216" s="3"/>
      <c r="AF216" s="3"/>
      <c r="AG216" s="3"/>
      <c r="AH216" s="3"/>
      <c r="AI216" s="3"/>
      <c r="AJ216" s="3"/>
      <c r="AK216" s="3"/>
      <c r="AL216" s="3"/>
    </row>
    <row r="217" ht="15.75" customHeight="1">
      <c r="A217" s="45"/>
      <c r="B217" s="342">
        <v>211.0</v>
      </c>
      <c r="C217" s="449" t="s">
        <v>31</v>
      </c>
      <c r="D217" s="433" t="s">
        <v>16003</v>
      </c>
      <c r="E217" s="434" t="s">
        <v>15969</v>
      </c>
      <c r="F217" s="450"/>
      <c r="G217" s="433"/>
      <c r="H217" s="433" t="s">
        <v>37</v>
      </c>
      <c r="I217" s="433"/>
      <c r="J217" s="433" t="s">
        <v>38</v>
      </c>
      <c r="K217" s="433">
        <v>193.0</v>
      </c>
      <c r="L217" s="433" t="s">
        <v>16002</v>
      </c>
      <c r="M217" s="450"/>
      <c r="N217" s="433" t="s">
        <v>14168</v>
      </c>
      <c r="O217" s="342">
        <v>1979.0</v>
      </c>
      <c r="P217" s="433" t="s">
        <v>388</v>
      </c>
      <c r="Q217" s="342">
        <v>1.0</v>
      </c>
      <c r="R217" s="640"/>
      <c r="S217" s="620"/>
      <c r="T217" s="3"/>
      <c r="U217" s="3"/>
      <c r="V217" s="3"/>
      <c r="W217" s="3"/>
      <c r="X217" s="3"/>
      <c r="Y217" s="3"/>
      <c r="Z217" s="3"/>
      <c r="AA217" s="3"/>
      <c r="AB217" s="3"/>
      <c r="AC217" s="3"/>
      <c r="AD217" s="3"/>
      <c r="AE217" s="3"/>
      <c r="AF217" s="3"/>
      <c r="AG217" s="3"/>
      <c r="AH217" s="3"/>
      <c r="AI217" s="3"/>
      <c r="AJ217" s="3"/>
      <c r="AK217" s="3"/>
      <c r="AL217" s="3"/>
    </row>
    <row r="218" ht="15.75" customHeight="1">
      <c r="A218" s="45"/>
      <c r="B218" s="342">
        <v>212.0</v>
      </c>
      <c r="C218" s="449"/>
      <c r="D218" s="433" t="s">
        <v>16003</v>
      </c>
      <c r="E218" s="434" t="s">
        <v>16004</v>
      </c>
      <c r="F218" s="450"/>
      <c r="G218" s="433"/>
      <c r="H218" s="433" t="s">
        <v>37</v>
      </c>
      <c r="I218" s="433"/>
      <c r="J218" s="433" t="s">
        <v>38</v>
      </c>
      <c r="K218" s="433">
        <v>422.0</v>
      </c>
      <c r="L218" s="342" t="s">
        <v>31</v>
      </c>
      <c r="M218" s="450"/>
      <c r="N218" s="433" t="s">
        <v>15479</v>
      </c>
      <c r="O218" s="342">
        <v>1965.0</v>
      </c>
      <c r="P218" s="433" t="s">
        <v>388</v>
      </c>
      <c r="Q218" s="342">
        <v>1.0</v>
      </c>
      <c r="R218" s="640"/>
      <c r="S218" s="620"/>
      <c r="T218" s="3"/>
      <c r="U218" s="3"/>
      <c r="V218" s="3"/>
      <c r="W218" s="3"/>
      <c r="X218" s="3"/>
      <c r="Y218" s="3"/>
      <c r="Z218" s="3"/>
      <c r="AA218" s="3"/>
      <c r="AB218" s="3"/>
      <c r="AC218" s="3"/>
      <c r="AD218" s="3"/>
      <c r="AE218" s="3"/>
      <c r="AF218" s="3"/>
      <c r="AG218" s="3"/>
      <c r="AH218" s="3"/>
      <c r="AI218" s="3"/>
      <c r="AJ218" s="3"/>
      <c r="AK218" s="3"/>
      <c r="AL218" s="3"/>
    </row>
    <row r="219" ht="15.75" customHeight="1">
      <c r="A219" s="45"/>
      <c r="B219" s="342">
        <v>213.0</v>
      </c>
      <c r="C219" s="449" t="s">
        <v>15913</v>
      </c>
      <c r="D219" s="342" t="s">
        <v>15868</v>
      </c>
      <c r="E219" s="434" t="s">
        <v>15915</v>
      </c>
      <c r="F219" s="450"/>
      <c r="G219" s="433"/>
      <c r="H219" s="433" t="s">
        <v>37</v>
      </c>
      <c r="I219" s="433"/>
      <c r="J219" s="433" t="s">
        <v>38</v>
      </c>
      <c r="K219" s="433">
        <v>655.0</v>
      </c>
      <c r="L219" s="342" t="s">
        <v>31</v>
      </c>
      <c r="M219" s="450"/>
      <c r="N219" s="433" t="s">
        <v>4744</v>
      </c>
      <c r="O219" s="342">
        <v>1971.0</v>
      </c>
      <c r="P219" s="433" t="s">
        <v>388</v>
      </c>
      <c r="Q219" s="342">
        <v>1.0</v>
      </c>
      <c r="R219" s="640"/>
      <c r="S219" s="620"/>
      <c r="T219" s="3"/>
      <c r="U219" s="3"/>
      <c r="V219" s="3"/>
      <c r="W219" s="3"/>
      <c r="X219" s="3"/>
      <c r="Y219" s="3"/>
      <c r="Z219" s="3"/>
      <c r="AA219" s="3"/>
      <c r="AB219" s="3"/>
      <c r="AC219" s="3"/>
      <c r="AD219" s="3"/>
      <c r="AE219" s="3"/>
      <c r="AF219" s="3"/>
      <c r="AG219" s="3"/>
      <c r="AH219" s="3"/>
      <c r="AI219" s="3"/>
      <c r="AJ219" s="3"/>
      <c r="AK219" s="3"/>
      <c r="AL219" s="3"/>
    </row>
    <row r="220" ht="15.75" customHeight="1">
      <c r="A220" s="45"/>
      <c r="B220" s="342">
        <v>214.0</v>
      </c>
      <c r="C220" s="449" t="s">
        <v>31</v>
      </c>
      <c r="D220" s="342" t="s">
        <v>16005</v>
      </c>
      <c r="E220" s="434" t="s">
        <v>16006</v>
      </c>
      <c r="F220" s="450"/>
      <c r="G220" s="433"/>
      <c r="H220" s="433" t="s">
        <v>37</v>
      </c>
      <c r="I220" s="433"/>
      <c r="J220" s="433" t="s">
        <v>38</v>
      </c>
      <c r="K220" s="433">
        <v>571.0</v>
      </c>
      <c r="L220" s="433" t="s">
        <v>15392</v>
      </c>
      <c r="M220" s="450"/>
      <c r="N220" s="433" t="s">
        <v>15479</v>
      </c>
      <c r="O220" s="342">
        <v>1978.0</v>
      </c>
      <c r="P220" s="433" t="s">
        <v>388</v>
      </c>
      <c r="Q220" s="342">
        <v>1.0</v>
      </c>
      <c r="R220" s="640"/>
      <c r="S220" s="620"/>
      <c r="T220" s="3"/>
      <c r="U220" s="3"/>
      <c r="V220" s="3"/>
      <c r="W220" s="3"/>
      <c r="X220" s="3"/>
      <c r="Y220" s="3"/>
      <c r="Z220" s="3"/>
      <c r="AA220" s="3"/>
      <c r="AB220" s="3"/>
      <c r="AC220" s="3"/>
      <c r="AD220" s="3"/>
      <c r="AE220" s="3"/>
      <c r="AF220" s="3"/>
      <c r="AG220" s="3"/>
      <c r="AH220" s="3"/>
      <c r="AI220" s="3"/>
      <c r="AJ220" s="3"/>
      <c r="AK220" s="3"/>
      <c r="AL220" s="3"/>
    </row>
    <row r="221" ht="15.75" customHeight="1">
      <c r="A221" s="45"/>
      <c r="B221" s="342">
        <v>215.0</v>
      </c>
      <c r="C221" s="449" t="s">
        <v>31</v>
      </c>
      <c r="D221" s="342" t="s">
        <v>31</v>
      </c>
      <c r="E221" s="434" t="s">
        <v>16007</v>
      </c>
      <c r="F221" s="450"/>
      <c r="G221" s="433"/>
      <c r="H221" s="433" t="s">
        <v>37</v>
      </c>
      <c r="I221" s="433"/>
      <c r="J221" s="433" t="s">
        <v>38</v>
      </c>
      <c r="K221" s="433">
        <v>633.0</v>
      </c>
      <c r="L221" s="342" t="s">
        <v>31</v>
      </c>
      <c r="M221" s="450"/>
      <c r="N221" s="433" t="s">
        <v>15290</v>
      </c>
      <c r="O221" s="342">
        <v>1988.0</v>
      </c>
      <c r="P221" s="433" t="s">
        <v>388</v>
      </c>
      <c r="Q221" s="342">
        <v>1.0</v>
      </c>
      <c r="R221" s="640"/>
      <c r="S221" s="620"/>
      <c r="T221" s="3"/>
      <c r="U221" s="3"/>
      <c r="V221" s="3"/>
      <c r="W221" s="3"/>
      <c r="X221" s="3"/>
      <c r="Y221" s="3"/>
      <c r="Z221" s="3"/>
      <c r="AA221" s="3"/>
      <c r="AB221" s="3"/>
      <c r="AC221" s="3"/>
      <c r="AD221" s="3"/>
      <c r="AE221" s="3"/>
      <c r="AF221" s="3"/>
      <c r="AG221" s="3"/>
      <c r="AH221" s="3"/>
      <c r="AI221" s="3"/>
      <c r="AJ221" s="3"/>
      <c r="AK221" s="3"/>
      <c r="AL221" s="3"/>
    </row>
    <row r="222" ht="15.75" customHeight="1">
      <c r="A222" s="45"/>
      <c r="B222" s="342">
        <v>216.0</v>
      </c>
      <c r="C222" s="449" t="s">
        <v>31</v>
      </c>
      <c r="D222" s="433" t="s">
        <v>15868</v>
      </c>
      <c r="E222" s="434" t="s">
        <v>16008</v>
      </c>
      <c r="F222" s="450"/>
      <c r="G222" s="433"/>
      <c r="H222" s="433" t="s">
        <v>37</v>
      </c>
      <c r="I222" s="433"/>
      <c r="J222" s="433" t="s">
        <v>38</v>
      </c>
      <c r="K222" s="433">
        <v>538.0</v>
      </c>
      <c r="L222" s="433" t="s">
        <v>15392</v>
      </c>
      <c r="M222" s="450"/>
      <c r="N222" s="433" t="s">
        <v>15479</v>
      </c>
      <c r="O222" s="342">
        <v>1968.0</v>
      </c>
      <c r="P222" s="433" t="s">
        <v>388</v>
      </c>
      <c r="Q222" s="342">
        <v>1.0</v>
      </c>
      <c r="R222" s="640"/>
      <c r="S222" s="620"/>
      <c r="T222" s="3"/>
      <c r="U222" s="3"/>
      <c r="V222" s="3"/>
      <c r="W222" s="3"/>
      <c r="X222" s="3"/>
      <c r="Y222" s="3"/>
      <c r="Z222" s="3"/>
      <c r="AA222" s="3"/>
      <c r="AB222" s="3"/>
      <c r="AC222" s="3"/>
      <c r="AD222" s="3"/>
      <c r="AE222" s="3"/>
      <c r="AF222" s="3"/>
      <c r="AG222" s="3"/>
      <c r="AH222" s="3"/>
      <c r="AI222" s="3"/>
      <c r="AJ222" s="3"/>
      <c r="AK222" s="3"/>
      <c r="AL222" s="3"/>
    </row>
    <row r="223" ht="15.75" customHeight="1">
      <c r="A223" s="45"/>
      <c r="B223" s="342">
        <v>217.0</v>
      </c>
      <c r="C223" s="449" t="s">
        <v>16009</v>
      </c>
      <c r="D223" s="433" t="s">
        <v>16009</v>
      </c>
      <c r="E223" s="434" t="s">
        <v>16010</v>
      </c>
      <c r="F223" s="450" t="s">
        <v>12445</v>
      </c>
      <c r="G223" s="433"/>
      <c r="H223" s="433" t="s">
        <v>37</v>
      </c>
      <c r="I223" s="433"/>
      <c r="J223" s="433" t="s">
        <v>38</v>
      </c>
      <c r="K223" s="433"/>
      <c r="L223" s="433" t="s">
        <v>16011</v>
      </c>
      <c r="M223" s="450"/>
      <c r="N223" s="433" t="s">
        <v>15479</v>
      </c>
      <c r="O223" s="342">
        <v>1965.0</v>
      </c>
      <c r="P223" s="433" t="s">
        <v>388</v>
      </c>
      <c r="Q223" s="342">
        <v>1.0</v>
      </c>
      <c r="R223" s="640"/>
      <c r="S223" s="620"/>
      <c r="T223" s="3"/>
      <c r="U223" s="3"/>
      <c r="V223" s="3"/>
      <c r="W223" s="3"/>
      <c r="X223" s="3"/>
      <c r="Y223" s="3"/>
      <c r="Z223" s="3"/>
      <c r="AA223" s="3"/>
      <c r="AB223" s="3"/>
      <c r="AC223" s="3"/>
      <c r="AD223" s="3"/>
      <c r="AE223" s="3"/>
      <c r="AF223" s="3"/>
      <c r="AG223" s="3"/>
      <c r="AH223" s="3"/>
      <c r="AI223" s="3"/>
      <c r="AJ223" s="3"/>
      <c r="AK223" s="3"/>
      <c r="AL223" s="3"/>
    </row>
    <row r="224" ht="75.75" customHeight="1">
      <c r="A224" s="45"/>
      <c r="B224" s="342"/>
      <c r="C224" s="449"/>
      <c r="D224" s="433"/>
      <c r="E224" s="434"/>
      <c r="F224" s="450"/>
      <c r="G224" s="433"/>
      <c r="H224" s="433"/>
      <c r="I224" s="433"/>
      <c r="J224" s="433"/>
      <c r="K224" s="433"/>
      <c r="L224" s="433"/>
      <c r="M224" s="450"/>
      <c r="N224" s="433"/>
      <c r="O224" s="342"/>
      <c r="P224" s="433"/>
      <c r="Q224" s="342"/>
      <c r="R224" s="640"/>
      <c r="S224" s="620"/>
      <c r="T224" s="3"/>
      <c r="U224" s="3"/>
      <c r="V224" s="3"/>
      <c r="W224" s="3"/>
      <c r="X224" s="3"/>
      <c r="Y224" s="3"/>
      <c r="Z224" s="3"/>
      <c r="AA224" s="3"/>
      <c r="AB224" s="3"/>
      <c r="AC224" s="3"/>
      <c r="AD224" s="3"/>
      <c r="AE224" s="3"/>
      <c r="AF224" s="3"/>
      <c r="AG224" s="3"/>
      <c r="AH224" s="3"/>
      <c r="AI224" s="3"/>
      <c r="AJ224" s="3"/>
      <c r="AK224" s="3"/>
      <c r="AL224" s="3"/>
    </row>
    <row r="225" ht="15.0" customHeight="1">
      <c r="A225" s="45"/>
      <c r="B225" s="342"/>
      <c r="C225" s="449"/>
      <c r="D225" s="433"/>
      <c r="E225" s="434"/>
      <c r="F225" s="450"/>
      <c r="G225" s="433"/>
      <c r="H225" s="433"/>
      <c r="I225" s="433"/>
      <c r="J225" s="433"/>
      <c r="K225" s="433"/>
      <c r="L225" s="433"/>
      <c r="M225" s="450"/>
      <c r="N225" s="433"/>
      <c r="O225" s="342"/>
      <c r="P225" s="433"/>
      <c r="Q225" s="342"/>
      <c r="R225" s="640"/>
      <c r="S225" s="620"/>
      <c r="T225" s="3"/>
      <c r="U225" s="3"/>
      <c r="V225" s="3"/>
      <c r="W225" s="3"/>
      <c r="X225" s="3"/>
      <c r="Y225" s="3"/>
      <c r="Z225" s="3"/>
      <c r="AA225" s="3"/>
      <c r="AB225" s="3"/>
      <c r="AC225" s="3"/>
      <c r="AD225" s="3"/>
      <c r="AE225" s="3"/>
      <c r="AF225" s="3"/>
      <c r="AG225" s="3"/>
      <c r="AH225" s="3"/>
      <c r="AI225" s="3"/>
      <c r="AJ225" s="3"/>
      <c r="AK225" s="3"/>
      <c r="AL225" s="3"/>
    </row>
    <row r="226" ht="15.75" customHeight="1">
      <c r="A226" s="45"/>
      <c r="B226" s="342">
        <v>218.0</v>
      </c>
      <c r="C226" s="449" t="s">
        <v>31</v>
      </c>
      <c r="D226" s="433" t="s">
        <v>15968</v>
      </c>
      <c r="E226" s="434" t="s">
        <v>16012</v>
      </c>
      <c r="F226" s="450" t="s">
        <v>12445</v>
      </c>
      <c r="G226" s="433"/>
      <c r="H226" s="433" t="s">
        <v>38</v>
      </c>
      <c r="I226" s="433"/>
      <c r="J226" s="433" t="s">
        <v>38</v>
      </c>
      <c r="K226" s="433">
        <v>384.0</v>
      </c>
      <c r="L226" s="342" t="s">
        <v>31</v>
      </c>
      <c r="M226" s="450"/>
      <c r="N226" s="433" t="s">
        <v>15476</v>
      </c>
      <c r="O226" s="342" t="s">
        <v>31</v>
      </c>
      <c r="P226" s="433" t="s">
        <v>388</v>
      </c>
      <c r="Q226" s="342">
        <v>1.0</v>
      </c>
      <c r="R226" s="640"/>
      <c r="S226" s="620"/>
      <c r="T226" s="3"/>
      <c r="U226" s="3"/>
      <c r="V226" s="3"/>
      <c r="W226" s="3"/>
      <c r="X226" s="3"/>
      <c r="Y226" s="3"/>
      <c r="Z226" s="3"/>
      <c r="AA226" s="3"/>
      <c r="AB226" s="3"/>
      <c r="AC226" s="3"/>
      <c r="AD226" s="3"/>
      <c r="AE226" s="3"/>
      <c r="AF226" s="3"/>
      <c r="AG226" s="3"/>
      <c r="AH226" s="3"/>
      <c r="AI226" s="3"/>
      <c r="AJ226" s="3"/>
      <c r="AK226" s="3"/>
      <c r="AL226" s="3"/>
    </row>
    <row r="227" ht="15.75" customHeight="1">
      <c r="A227" s="45"/>
      <c r="B227" s="342">
        <v>219.0</v>
      </c>
      <c r="C227" s="449" t="s">
        <v>16013</v>
      </c>
      <c r="D227" s="433" t="s">
        <v>15868</v>
      </c>
      <c r="E227" s="434" t="s">
        <v>16014</v>
      </c>
      <c r="F227" s="450" t="s">
        <v>12445</v>
      </c>
      <c r="G227" s="433"/>
      <c r="H227" s="433" t="s">
        <v>37</v>
      </c>
      <c r="I227" s="433"/>
      <c r="J227" s="433" t="s">
        <v>38</v>
      </c>
      <c r="K227" s="433">
        <v>755.0</v>
      </c>
      <c r="L227" s="433" t="s">
        <v>15392</v>
      </c>
      <c r="M227" s="450"/>
      <c r="N227" s="433" t="s">
        <v>54</v>
      </c>
      <c r="O227" s="342">
        <v>1985.0</v>
      </c>
      <c r="P227" s="433" t="s">
        <v>388</v>
      </c>
      <c r="Q227" s="342">
        <v>1.0</v>
      </c>
      <c r="R227" s="640"/>
      <c r="S227" s="620"/>
      <c r="T227" s="3"/>
      <c r="U227" s="3"/>
      <c r="V227" s="3"/>
      <c r="W227" s="3"/>
      <c r="X227" s="3"/>
      <c r="Y227" s="3"/>
      <c r="Z227" s="3"/>
      <c r="AA227" s="3"/>
      <c r="AB227" s="3"/>
      <c r="AC227" s="3"/>
      <c r="AD227" s="3"/>
      <c r="AE227" s="3"/>
      <c r="AF227" s="3"/>
      <c r="AG227" s="3"/>
      <c r="AH227" s="3"/>
      <c r="AI227" s="3"/>
      <c r="AJ227" s="3"/>
      <c r="AK227" s="3"/>
      <c r="AL227" s="3"/>
    </row>
    <row r="228" ht="15.75" customHeight="1">
      <c r="A228" s="45"/>
      <c r="B228" s="603">
        <v>220.0</v>
      </c>
      <c r="C228" s="603" t="s">
        <v>31</v>
      </c>
      <c r="D228" s="603" t="s">
        <v>16015</v>
      </c>
      <c r="E228" s="605" t="s">
        <v>16016</v>
      </c>
      <c r="F228" s="603" t="s">
        <v>2355</v>
      </c>
      <c r="G228" s="603" t="s">
        <v>29</v>
      </c>
      <c r="H228" s="603" t="s">
        <v>37</v>
      </c>
      <c r="I228" s="603"/>
      <c r="J228" s="603" t="s">
        <v>38</v>
      </c>
      <c r="K228" s="603">
        <f>1188+12</f>
        <v>1200</v>
      </c>
      <c r="L228" s="603" t="s">
        <v>16017</v>
      </c>
      <c r="M228" s="603"/>
      <c r="N228" s="603" t="s">
        <v>4836</v>
      </c>
      <c r="O228" s="603">
        <v>1992.0</v>
      </c>
      <c r="P228" s="603" t="s">
        <v>388</v>
      </c>
      <c r="Q228" s="603" t="s">
        <v>16018</v>
      </c>
      <c r="R228" s="640"/>
      <c r="S228" s="620"/>
      <c r="T228" s="3"/>
      <c r="U228" s="3"/>
      <c r="V228" s="3"/>
      <c r="W228" s="3"/>
      <c r="X228" s="3"/>
      <c r="Y228" s="3"/>
      <c r="Z228" s="3"/>
      <c r="AA228" s="3"/>
      <c r="AB228" s="3"/>
      <c r="AC228" s="3"/>
      <c r="AD228" s="3"/>
      <c r="AE228" s="3"/>
      <c r="AF228" s="3"/>
      <c r="AG228" s="3"/>
      <c r="AH228" s="3"/>
      <c r="AI228" s="3"/>
      <c r="AJ228" s="3"/>
      <c r="AK228" s="3"/>
      <c r="AL228" s="3"/>
    </row>
    <row r="229" ht="15.75" customHeight="1">
      <c r="A229" s="45"/>
      <c r="B229" s="450">
        <v>221.0</v>
      </c>
      <c r="C229" s="450" t="s">
        <v>16019</v>
      </c>
      <c r="D229" s="450" t="s">
        <v>16015</v>
      </c>
      <c r="E229" s="523" t="s">
        <v>16020</v>
      </c>
      <c r="F229" s="450" t="s">
        <v>2355</v>
      </c>
      <c r="G229" s="450" t="s">
        <v>29</v>
      </c>
      <c r="H229" s="450" t="s">
        <v>127</v>
      </c>
      <c r="I229" s="450"/>
      <c r="J229" s="450" t="s">
        <v>38</v>
      </c>
      <c r="K229" s="450">
        <f>923+14</f>
        <v>937</v>
      </c>
      <c r="L229" s="450" t="s">
        <v>31</v>
      </c>
      <c r="M229" s="450"/>
      <c r="N229" s="450" t="s">
        <v>15919</v>
      </c>
      <c r="O229" s="450">
        <v>1991.0</v>
      </c>
      <c r="P229" s="450" t="s">
        <v>388</v>
      </c>
      <c r="Q229" s="450">
        <v>1.0</v>
      </c>
      <c r="R229" s="640"/>
      <c r="S229" s="620"/>
      <c r="T229" s="3"/>
      <c r="U229" s="3"/>
      <c r="V229" s="3"/>
      <c r="W229" s="3"/>
      <c r="X229" s="3"/>
      <c r="Y229" s="3"/>
      <c r="Z229" s="3"/>
      <c r="AA229" s="3"/>
      <c r="AB229" s="3"/>
      <c r="AC229" s="3"/>
      <c r="AD229" s="3"/>
      <c r="AE229" s="3"/>
      <c r="AF229" s="3"/>
      <c r="AG229" s="3"/>
      <c r="AH229" s="3"/>
      <c r="AI229" s="3"/>
      <c r="AJ229" s="3"/>
      <c r="AK229" s="3"/>
      <c r="AL229" s="3"/>
    </row>
    <row r="230" ht="15.75" customHeight="1">
      <c r="A230" s="45"/>
      <c r="B230" s="450">
        <v>222.0</v>
      </c>
      <c r="C230" s="450" t="s">
        <v>31</v>
      </c>
      <c r="D230" s="450" t="s">
        <v>16021</v>
      </c>
      <c r="E230" s="523" t="s">
        <v>16022</v>
      </c>
      <c r="F230" s="450" t="s">
        <v>2355</v>
      </c>
      <c r="G230" s="450" t="s">
        <v>29</v>
      </c>
      <c r="H230" s="450" t="s">
        <v>81</v>
      </c>
      <c r="I230" s="450"/>
      <c r="J230" s="450" t="s">
        <v>38</v>
      </c>
      <c r="K230" s="450">
        <f>1458+21</f>
        <v>1479</v>
      </c>
      <c r="L230" s="450" t="s">
        <v>31</v>
      </c>
      <c r="M230" s="450"/>
      <c r="N230" s="450" t="s">
        <v>16023</v>
      </c>
      <c r="O230" s="450">
        <v>1976.0</v>
      </c>
      <c r="P230" s="450" t="s">
        <v>388</v>
      </c>
      <c r="Q230" s="450">
        <v>1.0</v>
      </c>
      <c r="R230" s="640"/>
      <c r="S230" s="620"/>
      <c r="T230" s="3"/>
      <c r="U230" s="3"/>
      <c r="V230" s="3"/>
      <c r="W230" s="3"/>
      <c r="X230" s="3"/>
      <c r="Y230" s="3"/>
      <c r="Z230" s="3"/>
      <c r="AA230" s="3"/>
      <c r="AB230" s="3"/>
      <c r="AC230" s="3"/>
      <c r="AD230" s="3"/>
      <c r="AE230" s="3"/>
      <c r="AF230" s="3"/>
      <c r="AG230" s="3"/>
      <c r="AH230" s="3"/>
      <c r="AI230" s="3"/>
      <c r="AJ230" s="3"/>
      <c r="AK230" s="3"/>
      <c r="AL230" s="3"/>
    </row>
    <row r="231" ht="15.75" customHeight="1">
      <c r="A231" s="45"/>
      <c r="B231" s="413">
        <v>223.0</v>
      </c>
      <c r="C231" s="413" t="s">
        <v>31</v>
      </c>
      <c r="D231" s="413" t="s">
        <v>16024</v>
      </c>
      <c r="E231" s="602" t="s">
        <v>15356</v>
      </c>
      <c r="F231" s="413" t="s">
        <v>2355</v>
      </c>
      <c r="G231" s="413" t="s">
        <v>29</v>
      </c>
      <c r="H231" s="413" t="s">
        <v>37</v>
      </c>
      <c r="I231" s="413"/>
      <c r="J231" s="413" t="s">
        <v>38</v>
      </c>
      <c r="K231" s="413">
        <f>946+13</f>
        <v>959</v>
      </c>
      <c r="L231" s="413" t="s">
        <v>31</v>
      </c>
      <c r="M231" s="413"/>
      <c r="N231" s="413" t="s">
        <v>15300</v>
      </c>
      <c r="O231" s="413">
        <v>1984.0</v>
      </c>
      <c r="P231" s="413" t="s">
        <v>388</v>
      </c>
      <c r="Q231" s="503">
        <v>30.0</v>
      </c>
      <c r="R231" s="643">
        <v>1.0</v>
      </c>
      <c r="S231" s="620"/>
      <c r="T231" s="3"/>
      <c r="U231" s="3"/>
      <c r="V231" s="3"/>
      <c r="W231" s="3"/>
      <c r="X231" s="3"/>
      <c r="Y231" s="3"/>
      <c r="Z231" s="3"/>
      <c r="AA231" s="3"/>
      <c r="AB231" s="3"/>
      <c r="AC231" s="3"/>
      <c r="AD231" s="3"/>
      <c r="AE231" s="3"/>
      <c r="AF231" s="3"/>
      <c r="AG231" s="3"/>
      <c r="AH231" s="3"/>
      <c r="AI231" s="3"/>
      <c r="AJ231" s="3"/>
      <c r="AK231" s="3"/>
      <c r="AL231" s="3"/>
    </row>
    <row r="232" ht="15.75" customHeight="1">
      <c r="A232" s="45"/>
      <c r="B232" s="603">
        <v>234.0</v>
      </c>
      <c r="C232" s="603" t="s">
        <v>31</v>
      </c>
      <c r="D232" s="603" t="s">
        <v>16025</v>
      </c>
      <c r="E232" s="605" t="s">
        <v>16026</v>
      </c>
      <c r="F232" s="603" t="s">
        <v>2355</v>
      </c>
      <c r="G232" s="603" t="s">
        <v>29</v>
      </c>
      <c r="H232" s="603" t="s">
        <v>37</v>
      </c>
      <c r="I232" s="603"/>
      <c r="J232" s="603" t="s">
        <v>38</v>
      </c>
      <c r="K232" s="603">
        <v>701.0</v>
      </c>
      <c r="L232" s="603" t="s">
        <v>31</v>
      </c>
      <c r="M232" s="603"/>
      <c r="N232" s="603" t="s">
        <v>15300</v>
      </c>
      <c r="O232" s="603">
        <v>1984.0</v>
      </c>
      <c r="P232" s="603" t="s">
        <v>388</v>
      </c>
      <c r="Q232" s="603">
        <v>1.0</v>
      </c>
      <c r="R232" s="640"/>
      <c r="S232" s="620"/>
      <c r="T232" s="3"/>
      <c r="U232" s="3"/>
      <c r="V232" s="3"/>
      <c r="W232" s="3"/>
      <c r="X232" s="3"/>
      <c r="Y232" s="3"/>
      <c r="Z232" s="3"/>
      <c r="AA232" s="3"/>
      <c r="AB232" s="3"/>
      <c r="AC232" s="3"/>
      <c r="AD232" s="3"/>
      <c r="AE232" s="3"/>
      <c r="AF232" s="3"/>
      <c r="AG232" s="3"/>
      <c r="AH232" s="3"/>
      <c r="AI232" s="3"/>
      <c r="AJ232" s="3"/>
      <c r="AK232" s="3"/>
      <c r="AL232" s="3"/>
    </row>
    <row r="233" ht="15.75" customHeight="1">
      <c r="A233" s="45"/>
      <c r="B233" s="450">
        <v>235.0</v>
      </c>
      <c r="C233" s="450" t="s">
        <v>16027</v>
      </c>
      <c r="D233" s="450" t="s">
        <v>16028</v>
      </c>
      <c r="E233" s="523" t="s">
        <v>16029</v>
      </c>
      <c r="F233" s="450" t="s">
        <v>12445</v>
      </c>
      <c r="G233" s="450" t="s">
        <v>29</v>
      </c>
      <c r="H233" s="450" t="s">
        <v>81</v>
      </c>
      <c r="I233" s="450"/>
      <c r="J233" s="450" t="s">
        <v>38</v>
      </c>
      <c r="K233" s="450">
        <f>560+13</f>
        <v>573</v>
      </c>
      <c r="L233" s="450" t="s">
        <v>15797</v>
      </c>
      <c r="M233" s="450"/>
      <c r="N233" s="450" t="s">
        <v>16030</v>
      </c>
      <c r="O233" s="450">
        <v>1998.0</v>
      </c>
      <c r="P233" s="450" t="s">
        <v>388</v>
      </c>
      <c r="Q233" s="450">
        <v>1.0</v>
      </c>
      <c r="R233" s="640"/>
      <c r="S233" s="620"/>
      <c r="T233" s="3"/>
      <c r="U233" s="3"/>
      <c r="V233" s="3"/>
      <c r="W233" s="3"/>
      <c r="X233" s="3"/>
      <c r="Y233" s="3"/>
      <c r="Z233" s="3"/>
      <c r="AA233" s="3"/>
      <c r="AB233" s="3"/>
      <c r="AC233" s="3"/>
      <c r="AD233" s="3"/>
      <c r="AE233" s="3"/>
      <c r="AF233" s="3"/>
      <c r="AG233" s="3"/>
      <c r="AH233" s="3"/>
      <c r="AI233" s="3"/>
      <c r="AJ233" s="3"/>
      <c r="AK233" s="3"/>
      <c r="AL233" s="3"/>
    </row>
    <row r="234" ht="15.75" customHeight="1">
      <c r="A234" s="45"/>
      <c r="B234" s="603">
        <v>236.0</v>
      </c>
      <c r="C234" s="603"/>
      <c r="D234" s="603" t="s">
        <v>16031</v>
      </c>
      <c r="E234" s="605" t="s">
        <v>16032</v>
      </c>
      <c r="F234" s="603" t="s">
        <v>2355</v>
      </c>
      <c r="G234" s="603" t="s">
        <v>29</v>
      </c>
      <c r="H234" s="603" t="s">
        <v>16033</v>
      </c>
      <c r="I234" s="603"/>
      <c r="J234" s="603" t="s">
        <v>16034</v>
      </c>
      <c r="K234" s="603"/>
      <c r="L234" s="603" t="s">
        <v>31</v>
      </c>
      <c r="M234" s="603"/>
      <c r="N234" s="603"/>
      <c r="O234" s="603">
        <v>1985.0</v>
      </c>
      <c r="P234" s="603" t="s">
        <v>388</v>
      </c>
      <c r="Q234" s="603">
        <v>1.0</v>
      </c>
      <c r="R234" s="640"/>
      <c r="S234" s="140"/>
      <c r="T234" s="149"/>
      <c r="U234" s="45"/>
      <c r="V234" s="45"/>
      <c r="W234" s="45"/>
      <c r="X234" s="45"/>
      <c r="Y234" s="45"/>
      <c r="Z234" s="45"/>
      <c r="AA234" s="45"/>
      <c r="AB234" s="45"/>
      <c r="AC234" s="45"/>
      <c r="AD234" s="45"/>
      <c r="AE234" s="45"/>
      <c r="AF234" s="45"/>
      <c r="AG234" s="45"/>
      <c r="AH234" s="45"/>
      <c r="AI234" s="45"/>
      <c r="AJ234" s="45"/>
      <c r="AK234" s="45"/>
      <c r="AL234" s="45"/>
    </row>
    <row r="235" ht="15.75" customHeight="1">
      <c r="A235" s="45"/>
      <c r="B235" s="603">
        <v>237.0</v>
      </c>
      <c r="C235" s="603" t="s">
        <v>16035</v>
      </c>
      <c r="D235" s="603" t="s">
        <v>16036</v>
      </c>
      <c r="E235" s="605" t="s">
        <v>15801</v>
      </c>
      <c r="F235" s="603" t="s">
        <v>15035</v>
      </c>
      <c r="G235" s="603" t="s">
        <v>29</v>
      </c>
      <c r="H235" s="603" t="s">
        <v>37</v>
      </c>
      <c r="I235" s="603"/>
      <c r="J235" s="603" t="s">
        <v>38</v>
      </c>
      <c r="K235" s="603">
        <v>372.0</v>
      </c>
      <c r="L235" s="603"/>
      <c r="M235" s="603"/>
      <c r="N235" s="603" t="s">
        <v>15337</v>
      </c>
      <c r="O235" s="603">
        <v>1992.0</v>
      </c>
      <c r="P235" s="603" t="s">
        <v>388</v>
      </c>
      <c r="Q235" s="603">
        <v>1.0</v>
      </c>
      <c r="R235" s="640"/>
      <c r="S235" s="140"/>
      <c r="T235" s="149"/>
      <c r="U235" s="45"/>
      <c r="V235" s="45"/>
      <c r="W235" s="45"/>
      <c r="X235" s="45"/>
      <c r="Y235" s="45"/>
      <c r="Z235" s="45"/>
      <c r="AA235" s="45"/>
      <c r="AB235" s="45"/>
      <c r="AC235" s="45"/>
      <c r="AD235" s="45"/>
      <c r="AE235" s="45"/>
      <c r="AF235" s="45"/>
      <c r="AG235" s="45"/>
      <c r="AH235" s="45"/>
      <c r="AI235" s="45"/>
      <c r="AJ235" s="45"/>
      <c r="AK235" s="45"/>
      <c r="AL235" s="45"/>
    </row>
    <row r="236" ht="15.75" customHeight="1">
      <c r="A236" s="45"/>
      <c r="B236" s="603">
        <v>238.0</v>
      </c>
      <c r="C236" s="603" t="s">
        <v>31</v>
      </c>
      <c r="D236" s="603" t="s">
        <v>16037</v>
      </c>
      <c r="E236" s="605" t="s">
        <v>16038</v>
      </c>
      <c r="F236" s="603" t="s">
        <v>15035</v>
      </c>
      <c r="G236" s="603" t="s">
        <v>29</v>
      </c>
      <c r="H236" s="603" t="s">
        <v>37</v>
      </c>
      <c r="I236" s="603"/>
      <c r="J236" s="603" t="s">
        <v>38</v>
      </c>
      <c r="K236" s="603">
        <f>692+10</f>
        <v>702</v>
      </c>
      <c r="L236" s="603"/>
      <c r="M236" s="603"/>
      <c r="N236" s="603" t="s">
        <v>10580</v>
      </c>
      <c r="O236" s="603">
        <v>1991.0</v>
      </c>
      <c r="P236" s="603" t="s">
        <v>388</v>
      </c>
      <c r="Q236" s="603">
        <v>1.0</v>
      </c>
      <c r="R236" s="640"/>
      <c r="S236" s="620"/>
      <c r="T236" s="3"/>
      <c r="U236" s="3"/>
      <c r="V236" s="3"/>
      <c r="W236" s="3"/>
      <c r="X236" s="3"/>
      <c r="Y236" s="3"/>
      <c r="Z236" s="3"/>
      <c r="AA236" s="3"/>
      <c r="AB236" s="3"/>
      <c r="AC236" s="3"/>
      <c r="AD236" s="3"/>
      <c r="AE236" s="3"/>
      <c r="AF236" s="3"/>
      <c r="AG236" s="3"/>
      <c r="AH236" s="3"/>
      <c r="AI236" s="3"/>
      <c r="AJ236" s="3"/>
      <c r="AK236" s="3"/>
      <c r="AL236" s="3"/>
    </row>
    <row r="237" ht="15.75" customHeight="1">
      <c r="A237" s="45"/>
      <c r="B237" s="603">
        <v>239.0</v>
      </c>
      <c r="C237" s="603" t="s">
        <v>31</v>
      </c>
      <c r="D237" s="603" t="s">
        <v>16039</v>
      </c>
      <c r="E237" s="605" t="s">
        <v>13238</v>
      </c>
      <c r="F237" s="603" t="s">
        <v>2355</v>
      </c>
      <c r="G237" s="603" t="s">
        <v>29</v>
      </c>
      <c r="H237" s="603" t="s">
        <v>37</v>
      </c>
      <c r="I237" s="603"/>
      <c r="J237" s="603" t="s">
        <v>38</v>
      </c>
      <c r="K237" s="603">
        <f>1514+192+2+14</f>
        <v>1722</v>
      </c>
      <c r="L237" s="603"/>
      <c r="M237" s="603"/>
      <c r="N237" s="603" t="s">
        <v>16040</v>
      </c>
      <c r="O237" s="603">
        <v>1987.0</v>
      </c>
      <c r="P237" s="603" t="s">
        <v>388</v>
      </c>
      <c r="Q237" s="603">
        <v>1.0</v>
      </c>
      <c r="R237" s="640"/>
      <c r="S237" s="620"/>
      <c r="T237" s="3"/>
      <c r="U237" s="3"/>
      <c r="V237" s="3"/>
      <c r="W237" s="3"/>
      <c r="X237" s="3"/>
      <c r="Y237" s="3"/>
      <c r="Z237" s="3"/>
      <c r="AA237" s="3"/>
      <c r="AB237" s="3"/>
      <c r="AC237" s="3"/>
      <c r="AD237" s="3"/>
      <c r="AE237" s="3"/>
      <c r="AF237" s="3"/>
      <c r="AG237" s="3"/>
      <c r="AH237" s="3"/>
      <c r="AI237" s="3"/>
      <c r="AJ237" s="3"/>
      <c r="AK237" s="3"/>
      <c r="AL237" s="3"/>
    </row>
    <row r="238" ht="15.75" customHeight="1">
      <c r="A238" s="45"/>
      <c r="B238" s="603">
        <v>230.0</v>
      </c>
      <c r="C238" s="603"/>
      <c r="D238" s="603" t="s">
        <v>16041</v>
      </c>
      <c r="E238" s="605" t="s">
        <v>16042</v>
      </c>
      <c r="F238" s="603" t="s">
        <v>2355</v>
      </c>
      <c r="G238" s="603" t="s">
        <v>29</v>
      </c>
      <c r="H238" s="603" t="s">
        <v>37</v>
      </c>
      <c r="I238" s="603"/>
      <c r="J238" s="603" t="s">
        <v>38</v>
      </c>
      <c r="K238" s="603">
        <f>1146+12</f>
        <v>1158</v>
      </c>
      <c r="L238" s="603"/>
      <c r="M238" s="603"/>
      <c r="N238" s="603" t="s">
        <v>83</v>
      </c>
      <c r="O238" s="603">
        <v>2009.0</v>
      </c>
      <c r="P238" s="603" t="s">
        <v>388</v>
      </c>
      <c r="Q238" s="603">
        <v>1.0</v>
      </c>
      <c r="R238" s="640"/>
      <c r="S238" s="620"/>
      <c r="T238" s="3"/>
      <c r="U238" s="3"/>
      <c r="V238" s="3"/>
      <c r="W238" s="3"/>
      <c r="X238" s="3"/>
      <c r="Y238" s="3"/>
      <c r="Z238" s="3"/>
      <c r="AA238" s="3"/>
      <c r="AB238" s="3"/>
      <c r="AC238" s="3"/>
      <c r="AD238" s="3"/>
      <c r="AE238" s="3"/>
      <c r="AF238" s="3"/>
      <c r="AG238" s="3"/>
      <c r="AH238" s="3"/>
      <c r="AI238" s="3"/>
      <c r="AJ238" s="3"/>
      <c r="AK238" s="3"/>
      <c r="AL238" s="3"/>
    </row>
    <row r="239" ht="15.75" customHeight="1">
      <c r="A239" s="45"/>
      <c r="B239" s="603">
        <v>231.0</v>
      </c>
      <c r="C239" s="603"/>
      <c r="D239" s="603" t="s">
        <v>16043</v>
      </c>
      <c r="E239" s="605" t="s">
        <v>16044</v>
      </c>
      <c r="F239" s="603" t="s">
        <v>2355</v>
      </c>
      <c r="G239" s="603" t="s">
        <v>29</v>
      </c>
      <c r="H239" s="603" t="s">
        <v>37</v>
      </c>
      <c r="I239" s="603"/>
      <c r="J239" s="603" t="s">
        <v>38</v>
      </c>
      <c r="K239" s="603">
        <f>1391+2+32+12</f>
        <v>1437</v>
      </c>
      <c r="L239" s="603"/>
      <c r="M239" s="603"/>
      <c r="N239" s="603" t="s">
        <v>4033</v>
      </c>
      <c r="O239" s="603">
        <v>1983.0</v>
      </c>
      <c r="P239" s="603" t="s">
        <v>388</v>
      </c>
      <c r="Q239" s="603">
        <v>1.0</v>
      </c>
      <c r="R239" s="640"/>
      <c r="S239" s="620"/>
      <c r="T239" s="3"/>
      <c r="U239" s="3"/>
      <c r="V239" s="3"/>
      <c r="W239" s="3"/>
      <c r="X239" s="3"/>
      <c r="Y239" s="3"/>
      <c r="Z239" s="3"/>
      <c r="AA239" s="3"/>
      <c r="AB239" s="3"/>
      <c r="AC239" s="3"/>
      <c r="AD239" s="3"/>
      <c r="AE239" s="3"/>
      <c r="AF239" s="3"/>
      <c r="AG239" s="3"/>
      <c r="AH239" s="3"/>
      <c r="AI239" s="3"/>
      <c r="AJ239" s="3"/>
      <c r="AK239" s="3"/>
      <c r="AL239" s="3"/>
    </row>
    <row r="240" ht="15.75" customHeight="1">
      <c r="A240" s="45"/>
      <c r="B240" s="603">
        <v>232.0</v>
      </c>
      <c r="C240" s="603"/>
      <c r="D240" s="603" t="s">
        <v>16045</v>
      </c>
      <c r="E240" s="605" t="s">
        <v>16046</v>
      </c>
      <c r="F240" s="603" t="s">
        <v>2355</v>
      </c>
      <c r="G240" s="603" t="s">
        <v>29</v>
      </c>
      <c r="H240" s="603" t="s">
        <v>37</v>
      </c>
      <c r="I240" s="603"/>
      <c r="J240" s="603" t="s">
        <v>38</v>
      </c>
      <c r="K240" s="603">
        <f>2168+14+27</f>
        <v>2209</v>
      </c>
      <c r="L240" s="603"/>
      <c r="M240" s="603"/>
      <c r="N240" s="603" t="s">
        <v>524</v>
      </c>
      <c r="O240" s="603">
        <v>1995.0</v>
      </c>
      <c r="P240" s="603" t="s">
        <v>388</v>
      </c>
      <c r="Q240" s="603">
        <v>2.0</v>
      </c>
      <c r="R240" s="640"/>
      <c r="S240" s="620"/>
      <c r="T240" s="3"/>
      <c r="U240" s="3"/>
      <c r="V240" s="3"/>
      <c r="W240" s="3"/>
      <c r="X240" s="3"/>
      <c r="Y240" s="3"/>
      <c r="Z240" s="3"/>
      <c r="AA240" s="3"/>
      <c r="AB240" s="3"/>
      <c r="AC240" s="3"/>
      <c r="AD240" s="3"/>
      <c r="AE240" s="3"/>
      <c r="AF240" s="3"/>
      <c r="AG240" s="3"/>
      <c r="AH240" s="3"/>
      <c r="AI240" s="3"/>
      <c r="AJ240" s="3"/>
      <c r="AK240" s="3"/>
      <c r="AL240" s="3"/>
    </row>
    <row r="241" ht="15.75" customHeight="1">
      <c r="A241" s="425"/>
      <c r="B241" s="647" t="s">
        <v>16047</v>
      </c>
      <c r="C241" s="648"/>
      <c r="D241" s="649" t="s">
        <v>16048</v>
      </c>
      <c r="E241" s="648" t="s">
        <v>16049</v>
      </c>
      <c r="F241" s="648" t="s">
        <v>2355</v>
      </c>
      <c r="G241" s="648" t="s">
        <v>29</v>
      </c>
      <c r="H241" s="648" t="s">
        <v>81</v>
      </c>
      <c r="I241" s="648"/>
      <c r="J241" s="648" t="s">
        <v>38</v>
      </c>
      <c r="K241" s="649">
        <f>1454+22</f>
        <v>1476</v>
      </c>
      <c r="L241" s="648"/>
      <c r="M241" s="648"/>
      <c r="N241" s="648" t="s">
        <v>16050</v>
      </c>
      <c r="O241" s="650">
        <v>2001.0</v>
      </c>
      <c r="P241" s="648" t="s">
        <v>388</v>
      </c>
      <c r="Q241" s="648">
        <v>1.0</v>
      </c>
      <c r="R241" s="619"/>
      <c r="S241" s="651"/>
      <c r="T241" s="652"/>
      <c r="U241" s="652"/>
      <c r="V241" s="652"/>
      <c r="W241" s="652"/>
      <c r="X241" s="652"/>
      <c r="Y241" s="652"/>
      <c r="Z241" s="652"/>
      <c r="AA241" s="652"/>
      <c r="AB241" s="652"/>
      <c r="AC241" s="652"/>
      <c r="AD241" s="652"/>
      <c r="AE241" s="652"/>
      <c r="AF241" s="652"/>
      <c r="AG241" s="652"/>
      <c r="AH241" s="652"/>
      <c r="AI241" s="652"/>
      <c r="AJ241" s="652"/>
      <c r="AK241" s="652"/>
      <c r="AL241" s="652"/>
    </row>
    <row r="242" ht="15.75" customHeight="1">
      <c r="A242" s="425"/>
      <c r="B242" s="647" t="s">
        <v>16051</v>
      </c>
      <c r="C242" s="648"/>
      <c r="D242" s="649" t="s">
        <v>16052</v>
      </c>
      <c r="E242" s="648" t="s">
        <v>16053</v>
      </c>
      <c r="F242" s="648" t="s">
        <v>2355</v>
      </c>
      <c r="G242" s="648" t="s">
        <v>29</v>
      </c>
      <c r="H242" s="648" t="s">
        <v>38</v>
      </c>
      <c r="I242" s="648"/>
      <c r="J242" s="648" t="s">
        <v>38</v>
      </c>
      <c r="K242" s="649">
        <f>932+358</f>
        <v>1290</v>
      </c>
      <c r="L242" s="648"/>
      <c r="M242" s="648"/>
      <c r="N242" s="648" t="s">
        <v>2953</v>
      </c>
      <c r="O242" s="650">
        <v>1986.0</v>
      </c>
      <c r="P242" s="648" t="s">
        <v>388</v>
      </c>
      <c r="Q242" s="648">
        <v>1.0</v>
      </c>
      <c r="R242" s="619"/>
      <c r="S242" s="651"/>
      <c r="T242" s="652"/>
      <c r="U242" s="652"/>
      <c r="V242" s="652"/>
      <c r="W242" s="652"/>
      <c r="X242" s="652"/>
      <c r="Y242" s="652"/>
      <c r="Z242" s="652"/>
      <c r="AA242" s="652"/>
      <c r="AB242" s="652"/>
      <c r="AC242" s="652"/>
      <c r="AD242" s="652"/>
      <c r="AE242" s="652"/>
      <c r="AF242" s="652"/>
      <c r="AG242" s="652"/>
      <c r="AH242" s="652"/>
      <c r="AI242" s="652"/>
      <c r="AJ242" s="652"/>
      <c r="AK242" s="652"/>
      <c r="AL242" s="652"/>
    </row>
    <row r="243" ht="15.75" customHeight="1">
      <c r="A243" s="425"/>
      <c r="B243" s="647" t="s">
        <v>16054</v>
      </c>
      <c r="C243" s="648"/>
      <c r="D243" s="649" t="s">
        <v>16055</v>
      </c>
      <c r="E243" s="648" t="s">
        <v>16056</v>
      </c>
      <c r="F243" s="648" t="s">
        <v>2355</v>
      </c>
      <c r="G243" s="648" t="s">
        <v>29</v>
      </c>
      <c r="H243" s="648" t="s">
        <v>37</v>
      </c>
      <c r="I243" s="648"/>
      <c r="J243" s="648" t="s">
        <v>38</v>
      </c>
      <c r="K243" s="649">
        <f>916+251+2</f>
        <v>1169</v>
      </c>
      <c r="L243" s="648"/>
      <c r="M243" s="648"/>
      <c r="N243" s="648" t="s">
        <v>16057</v>
      </c>
      <c r="O243" s="650">
        <v>1989.0</v>
      </c>
      <c r="P243" s="648" t="s">
        <v>388</v>
      </c>
      <c r="Q243" s="648">
        <v>1.0</v>
      </c>
      <c r="R243" s="619"/>
      <c r="S243" s="651"/>
      <c r="T243" s="652"/>
      <c r="U243" s="652"/>
      <c r="V243" s="652"/>
      <c r="W243" s="652"/>
      <c r="X243" s="652"/>
      <c r="Y243" s="652"/>
      <c r="Z243" s="652"/>
      <c r="AA243" s="652"/>
      <c r="AB243" s="652"/>
      <c r="AC243" s="652"/>
      <c r="AD243" s="652"/>
      <c r="AE243" s="652"/>
      <c r="AF243" s="652"/>
      <c r="AG243" s="652"/>
      <c r="AH243" s="652"/>
      <c r="AI243" s="652"/>
      <c r="AJ243" s="652"/>
      <c r="AK243" s="652"/>
      <c r="AL243" s="652"/>
    </row>
    <row r="244" ht="15.75" customHeight="1">
      <c r="A244" s="425"/>
      <c r="B244" s="647" t="s">
        <v>16058</v>
      </c>
      <c r="C244" s="648"/>
      <c r="D244" s="649" t="s">
        <v>16059</v>
      </c>
      <c r="E244" s="648" t="s">
        <v>16060</v>
      </c>
      <c r="F244" s="648" t="s">
        <v>2355</v>
      </c>
      <c r="G244" s="648" t="s">
        <v>29</v>
      </c>
      <c r="H244" s="648" t="s">
        <v>37</v>
      </c>
      <c r="I244" s="648"/>
      <c r="J244" s="648" t="s">
        <v>38</v>
      </c>
      <c r="K244" s="649">
        <f>774+2+237</f>
        <v>1013</v>
      </c>
      <c r="L244" s="648"/>
      <c r="M244" s="648"/>
      <c r="N244" s="648" t="s">
        <v>16061</v>
      </c>
      <c r="O244" s="650">
        <v>1971.0</v>
      </c>
      <c r="P244" s="648" t="s">
        <v>388</v>
      </c>
      <c r="Q244" s="648">
        <v>1.0</v>
      </c>
      <c r="R244" s="619"/>
      <c r="S244" s="651"/>
      <c r="T244" s="652"/>
      <c r="U244" s="652"/>
      <c r="V244" s="652"/>
      <c r="W244" s="652"/>
      <c r="X244" s="652"/>
      <c r="Y244" s="652"/>
      <c r="Z244" s="652"/>
      <c r="AA244" s="652"/>
      <c r="AB244" s="652"/>
      <c r="AC244" s="652"/>
      <c r="AD244" s="652"/>
      <c r="AE244" s="652"/>
      <c r="AF244" s="652"/>
      <c r="AG244" s="652"/>
      <c r="AH244" s="652"/>
      <c r="AI244" s="652"/>
      <c r="AJ244" s="652"/>
      <c r="AK244" s="652"/>
      <c r="AL244" s="652"/>
    </row>
    <row r="245" ht="15.75" customHeight="1">
      <c r="A245" s="425"/>
      <c r="B245" s="647" t="s">
        <v>16062</v>
      </c>
      <c r="C245" s="648"/>
      <c r="D245" s="649" t="s">
        <v>16063</v>
      </c>
      <c r="E245" s="648" t="s">
        <v>16064</v>
      </c>
      <c r="F245" s="648" t="s">
        <v>2355</v>
      </c>
      <c r="G245" s="648" t="s">
        <v>29</v>
      </c>
      <c r="H245" s="648" t="s">
        <v>37</v>
      </c>
      <c r="I245" s="648"/>
      <c r="J245" s="648" t="s">
        <v>38</v>
      </c>
      <c r="K245" s="649">
        <f>1340+2+355+6+12</f>
        <v>1715</v>
      </c>
      <c r="L245" s="648"/>
      <c r="M245" s="648"/>
      <c r="N245" s="648" t="s">
        <v>16065</v>
      </c>
      <c r="O245" s="650">
        <v>1968.0</v>
      </c>
      <c r="P245" s="648" t="s">
        <v>388</v>
      </c>
      <c r="Q245" s="648">
        <v>2.0</v>
      </c>
      <c r="R245" s="619"/>
      <c r="S245" s="651"/>
      <c r="T245" s="652"/>
      <c r="U245" s="652"/>
      <c r="V245" s="652"/>
      <c r="W245" s="652"/>
      <c r="X245" s="652"/>
      <c r="Y245" s="652"/>
      <c r="Z245" s="652"/>
      <c r="AA245" s="652"/>
      <c r="AB245" s="652"/>
      <c r="AC245" s="652"/>
      <c r="AD245" s="652"/>
      <c r="AE245" s="652"/>
      <c r="AF245" s="652"/>
      <c r="AG245" s="652"/>
      <c r="AH245" s="652"/>
      <c r="AI245" s="652"/>
      <c r="AJ245" s="652"/>
      <c r="AK245" s="652"/>
      <c r="AL245" s="652"/>
    </row>
    <row r="246" ht="15.75" customHeight="1">
      <c r="A246" s="425"/>
      <c r="B246" s="647" t="s">
        <v>16066</v>
      </c>
      <c r="C246" s="648"/>
      <c r="D246" s="649" t="s">
        <v>16067</v>
      </c>
      <c r="E246" s="648" t="s">
        <v>16068</v>
      </c>
      <c r="F246" s="648" t="s">
        <v>2355</v>
      </c>
      <c r="G246" s="648" t="s">
        <v>29</v>
      </c>
      <c r="H246" s="648" t="s">
        <v>38</v>
      </c>
      <c r="I246" s="648"/>
      <c r="J246" s="648" t="s">
        <v>38</v>
      </c>
      <c r="K246" s="649">
        <f>1166+10+336</f>
        <v>1512</v>
      </c>
      <c r="L246" s="648"/>
      <c r="M246" s="648"/>
      <c r="N246" s="648" t="s">
        <v>72</v>
      </c>
      <c r="O246" s="650">
        <v>1970.0</v>
      </c>
      <c r="P246" s="648" t="s">
        <v>388</v>
      </c>
      <c r="Q246" s="648">
        <v>1.0</v>
      </c>
      <c r="R246" s="619"/>
      <c r="S246" s="651"/>
      <c r="T246" s="652"/>
      <c r="U246" s="652"/>
      <c r="V246" s="652"/>
      <c r="W246" s="652"/>
      <c r="X246" s="652"/>
      <c r="Y246" s="652"/>
      <c r="Z246" s="652"/>
      <c r="AA246" s="652"/>
      <c r="AB246" s="652"/>
      <c r="AC246" s="652"/>
      <c r="AD246" s="652"/>
      <c r="AE246" s="652"/>
      <c r="AF246" s="652"/>
      <c r="AG246" s="652"/>
      <c r="AH246" s="652"/>
      <c r="AI246" s="652"/>
      <c r="AJ246" s="652"/>
      <c r="AK246" s="652"/>
      <c r="AL246" s="652"/>
    </row>
    <row r="247" ht="15.75" customHeight="1">
      <c r="A247" s="425"/>
      <c r="B247" s="647" t="s">
        <v>16069</v>
      </c>
      <c r="C247" s="648"/>
      <c r="D247" s="649" t="s">
        <v>16070</v>
      </c>
      <c r="E247" s="648" t="s">
        <v>16071</v>
      </c>
      <c r="F247" s="648" t="s">
        <v>12445</v>
      </c>
      <c r="G247" s="648" t="s">
        <v>29</v>
      </c>
      <c r="H247" s="648" t="s">
        <v>6354</v>
      </c>
      <c r="I247" s="648"/>
      <c r="J247" s="648" t="s">
        <v>16072</v>
      </c>
      <c r="K247" s="649">
        <f>764+2+6</f>
        <v>772</v>
      </c>
      <c r="L247" s="648"/>
      <c r="M247" s="648"/>
      <c r="N247" s="648" t="s">
        <v>16073</v>
      </c>
      <c r="O247" s="650">
        <v>1982.0</v>
      </c>
      <c r="P247" s="648" t="s">
        <v>388</v>
      </c>
      <c r="Q247" s="648">
        <v>1.0</v>
      </c>
      <c r="R247" s="619"/>
      <c r="S247" s="651"/>
      <c r="T247" s="652"/>
      <c r="U247" s="652"/>
      <c r="V247" s="652"/>
      <c r="W247" s="652"/>
      <c r="X247" s="652"/>
      <c r="Y247" s="652"/>
      <c r="Z247" s="652"/>
      <c r="AA247" s="652"/>
      <c r="AB247" s="652"/>
      <c r="AC247" s="652"/>
      <c r="AD247" s="652"/>
      <c r="AE247" s="652"/>
      <c r="AF247" s="652"/>
      <c r="AG247" s="652"/>
      <c r="AH247" s="652"/>
      <c r="AI247" s="652"/>
      <c r="AJ247" s="652"/>
      <c r="AK247" s="652"/>
      <c r="AL247" s="652"/>
    </row>
    <row r="248" ht="15.75" customHeight="1">
      <c r="A248" s="425"/>
      <c r="B248" s="647" t="s">
        <v>16074</v>
      </c>
      <c r="C248" s="648"/>
      <c r="D248" s="649" t="s">
        <v>16075</v>
      </c>
      <c r="E248" s="648" t="s">
        <v>16076</v>
      </c>
      <c r="F248" s="648" t="s">
        <v>2355</v>
      </c>
      <c r="G248" s="648" t="s">
        <v>29</v>
      </c>
      <c r="H248" s="648" t="s">
        <v>81</v>
      </c>
      <c r="I248" s="648"/>
      <c r="J248" s="648" t="s">
        <v>38</v>
      </c>
      <c r="K248" s="649">
        <f>1458+22</f>
        <v>1480</v>
      </c>
      <c r="L248" s="648"/>
      <c r="M248" s="648"/>
      <c r="N248" s="648" t="s">
        <v>16077</v>
      </c>
      <c r="O248" s="650">
        <v>1992.0</v>
      </c>
      <c r="P248" s="648" t="s">
        <v>388</v>
      </c>
      <c r="Q248" s="648">
        <v>1.0</v>
      </c>
      <c r="R248" s="619"/>
      <c r="S248" s="651"/>
      <c r="T248" s="652"/>
      <c r="U248" s="652"/>
      <c r="V248" s="652"/>
      <c r="W248" s="652"/>
      <c r="X248" s="652"/>
      <c r="Y248" s="652"/>
      <c r="Z248" s="652"/>
      <c r="AA248" s="652"/>
      <c r="AB248" s="652"/>
      <c r="AC248" s="652"/>
      <c r="AD248" s="652"/>
      <c r="AE248" s="652"/>
      <c r="AF248" s="652"/>
      <c r="AG248" s="652"/>
      <c r="AH248" s="652"/>
      <c r="AI248" s="652"/>
      <c r="AJ248" s="652"/>
      <c r="AK248" s="652"/>
      <c r="AL248" s="652"/>
    </row>
    <row r="249" ht="15.75" customHeight="1">
      <c r="A249" s="425"/>
      <c r="B249" s="647" t="s">
        <v>16078</v>
      </c>
      <c r="C249" s="648"/>
      <c r="D249" s="649" t="s">
        <v>16079</v>
      </c>
      <c r="E249" s="648" t="s">
        <v>16080</v>
      </c>
      <c r="F249" s="648" t="s">
        <v>2355</v>
      </c>
      <c r="G249" s="648" t="s">
        <v>29</v>
      </c>
      <c r="H249" s="648" t="s">
        <v>37</v>
      </c>
      <c r="I249" s="648"/>
      <c r="J249" s="648" t="s">
        <v>38</v>
      </c>
      <c r="K249" s="649">
        <f>686+8+8</f>
        <v>702</v>
      </c>
      <c r="L249" s="648"/>
      <c r="M249" s="648"/>
      <c r="N249" s="648" t="s">
        <v>4836</v>
      </c>
      <c r="O249" s="650">
        <v>1977.0</v>
      </c>
      <c r="P249" s="648" t="s">
        <v>388</v>
      </c>
      <c r="Q249" s="648">
        <v>1.0</v>
      </c>
      <c r="R249" s="619"/>
      <c r="S249" s="651"/>
      <c r="T249" s="652"/>
      <c r="U249" s="652"/>
      <c r="V249" s="652"/>
      <c r="W249" s="652"/>
      <c r="X249" s="652"/>
      <c r="Y249" s="652"/>
      <c r="Z249" s="652"/>
      <c r="AA249" s="652"/>
      <c r="AB249" s="652"/>
      <c r="AC249" s="652"/>
      <c r="AD249" s="652"/>
      <c r="AE249" s="652"/>
      <c r="AF249" s="652"/>
      <c r="AG249" s="652"/>
      <c r="AH249" s="652"/>
      <c r="AI249" s="652"/>
      <c r="AJ249" s="652"/>
      <c r="AK249" s="652"/>
      <c r="AL249" s="652"/>
    </row>
    <row r="250" ht="15.75" customHeight="1">
      <c r="A250" s="425"/>
      <c r="B250" s="647" t="s">
        <v>16081</v>
      </c>
      <c r="C250" s="648"/>
      <c r="D250" s="649" t="s">
        <v>16082</v>
      </c>
      <c r="E250" s="648" t="s">
        <v>16083</v>
      </c>
      <c r="F250" s="648" t="s">
        <v>12445</v>
      </c>
      <c r="G250" s="648" t="s">
        <v>29</v>
      </c>
      <c r="H250" s="648" t="s">
        <v>37</v>
      </c>
      <c r="I250" s="648"/>
      <c r="J250" s="648" t="s">
        <v>38</v>
      </c>
      <c r="K250" s="649">
        <f>560+14</f>
        <v>574</v>
      </c>
      <c r="L250" s="648"/>
      <c r="M250" s="648"/>
      <c r="N250" s="648" t="s">
        <v>16077</v>
      </c>
      <c r="O250" s="650">
        <v>1998.0</v>
      </c>
      <c r="P250" s="648" t="s">
        <v>388</v>
      </c>
      <c r="Q250" s="648">
        <v>1.0</v>
      </c>
      <c r="R250" s="619"/>
      <c r="S250" s="651"/>
      <c r="T250" s="652"/>
      <c r="U250" s="652"/>
      <c r="V250" s="652"/>
      <c r="W250" s="652"/>
      <c r="X250" s="652"/>
      <c r="Y250" s="652"/>
      <c r="Z250" s="652"/>
      <c r="AA250" s="652"/>
      <c r="AB250" s="652"/>
      <c r="AC250" s="652"/>
      <c r="AD250" s="652"/>
      <c r="AE250" s="652"/>
      <c r="AF250" s="652"/>
      <c r="AG250" s="652"/>
      <c r="AH250" s="652"/>
      <c r="AI250" s="652"/>
      <c r="AJ250" s="652"/>
      <c r="AK250" s="652"/>
      <c r="AL250" s="652"/>
    </row>
    <row r="251" ht="15.75" customHeight="1">
      <c r="A251" s="425"/>
      <c r="B251" s="647" t="s">
        <v>16084</v>
      </c>
      <c r="C251" s="648"/>
      <c r="D251" s="649" t="s">
        <v>16085</v>
      </c>
      <c r="E251" s="648" t="s">
        <v>16086</v>
      </c>
      <c r="F251" s="648" t="s">
        <v>12445</v>
      </c>
      <c r="G251" s="648" t="s">
        <v>29</v>
      </c>
      <c r="H251" s="648" t="s">
        <v>37</v>
      </c>
      <c r="I251" s="648"/>
      <c r="J251" s="648" t="s">
        <v>38</v>
      </c>
      <c r="K251" s="649">
        <f>599+6</f>
        <v>605</v>
      </c>
      <c r="L251" s="648"/>
      <c r="M251" s="648"/>
      <c r="N251" s="648" t="s">
        <v>4836</v>
      </c>
      <c r="O251" s="650">
        <v>1966.0</v>
      </c>
      <c r="P251" s="648" t="s">
        <v>388</v>
      </c>
      <c r="Q251" s="648">
        <v>1.0</v>
      </c>
      <c r="R251" s="619"/>
      <c r="S251" s="651"/>
      <c r="T251" s="652"/>
      <c r="U251" s="652"/>
      <c r="V251" s="652"/>
      <c r="W251" s="652"/>
      <c r="X251" s="652"/>
      <c r="Y251" s="652"/>
      <c r="Z251" s="652"/>
      <c r="AA251" s="652"/>
      <c r="AB251" s="652"/>
      <c r="AC251" s="652"/>
      <c r="AD251" s="652"/>
      <c r="AE251" s="652"/>
      <c r="AF251" s="652"/>
      <c r="AG251" s="652"/>
      <c r="AH251" s="652"/>
      <c r="AI251" s="652"/>
      <c r="AJ251" s="652"/>
      <c r="AK251" s="652"/>
      <c r="AL251" s="652"/>
    </row>
    <row r="252" ht="15.75" customHeight="1">
      <c r="A252" s="425"/>
      <c r="B252" s="647" t="s">
        <v>16087</v>
      </c>
      <c r="C252" s="648" t="s">
        <v>15664</v>
      </c>
      <c r="D252" s="649" t="s">
        <v>16088</v>
      </c>
      <c r="E252" s="648" t="s">
        <v>16089</v>
      </c>
      <c r="F252" s="648" t="s">
        <v>2355</v>
      </c>
      <c r="G252" s="648" t="s">
        <v>29</v>
      </c>
      <c r="H252" s="648" t="s">
        <v>37</v>
      </c>
      <c r="I252" s="648"/>
      <c r="J252" s="648" t="s">
        <v>38</v>
      </c>
      <c r="K252" s="649">
        <f>1472+18</f>
        <v>1490</v>
      </c>
      <c r="L252" s="648"/>
      <c r="M252" s="648"/>
      <c r="N252" s="648" t="s">
        <v>16090</v>
      </c>
      <c r="O252" s="650">
        <v>2000.0</v>
      </c>
      <c r="P252" s="648" t="s">
        <v>388</v>
      </c>
      <c r="Q252" s="648">
        <v>1.0</v>
      </c>
      <c r="R252" s="619"/>
      <c r="S252" s="651"/>
      <c r="T252" s="652"/>
      <c r="U252" s="652"/>
      <c r="V252" s="652"/>
      <c r="W252" s="652"/>
      <c r="X252" s="652"/>
      <c r="Y252" s="652"/>
      <c r="Z252" s="652"/>
      <c r="AA252" s="652"/>
      <c r="AB252" s="652"/>
      <c r="AC252" s="652"/>
      <c r="AD252" s="652"/>
      <c r="AE252" s="652"/>
      <c r="AF252" s="652"/>
      <c r="AG252" s="652"/>
      <c r="AH252" s="652"/>
      <c r="AI252" s="652"/>
      <c r="AJ252" s="652"/>
      <c r="AK252" s="652"/>
      <c r="AL252" s="652"/>
    </row>
    <row r="253" ht="15.75" customHeight="1">
      <c r="A253" s="425"/>
      <c r="B253" s="647" t="s">
        <v>16091</v>
      </c>
      <c r="C253" s="648" t="s">
        <v>16092</v>
      </c>
      <c r="D253" s="649" t="s">
        <v>16093</v>
      </c>
      <c r="E253" s="648" t="s">
        <v>16089</v>
      </c>
      <c r="F253" s="648" t="s">
        <v>2355</v>
      </c>
      <c r="G253" s="648" t="s">
        <v>29</v>
      </c>
      <c r="H253" s="648" t="s">
        <v>37</v>
      </c>
      <c r="I253" s="648"/>
      <c r="J253" s="648" t="s">
        <v>38</v>
      </c>
      <c r="K253" s="649">
        <f>931+1+358+14</f>
        <v>1304</v>
      </c>
      <c r="L253" s="648"/>
      <c r="M253" s="648"/>
      <c r="N253" s="648" t="s">
        <v>4207</v>
      </c>
      <c r="O253" s="650">
        <v>1986.0</v>
      </c>
      <c r="P253" s="648" t="s">
        <v>388</v>
      </c>
      <c r="Q253" s="648">
        <v>1.0</v>
      </c>
      <c r="R253" s="619"/>
      <c r="S253" s="651"/>
      <c r="T253" s="652"/>
      <c r="U253" s="652"/>
      <c r="V253" s="652"/>
      <c r="W253" s="652"/>
      <c r="X253" s="652"/>
      <c r="Y253" s="652"/>
      <c r="Z253" s="652"/>
      <c r="AA253" s="652"/>
      <c r="AB253" s="652"/>
      <c r="AC253" s="652"/>
      <c r="AD253" s="652"/>
      <c r="AE253" s="652"/>
      <c r="AF253" s="652"/>
      <c r="AG253" s="652"/>
      <c r="AH253" s="652"/>
      <c r="AI253" s="652"/>
      <c r="AJ253" s="652"/>
      <c r="AK253" s="652"/>
      <c r="AL253" s="652"/>
    </row>
    <row r="254" ht="15.75" customHeight="1">
      <c r="A254" s="425"/>
      <c r="B254" s="647" t="s">
        <v>16094</v>
      </c>
      <c r="C254" s="648"/>
      <c r="D254" s="649" t="s">
        <v>16095</v>
      </c>
      <c r="E254" s="648" t="s">
        <v>16096</v>
      </c>
      <c r="F254" s="648" t="s">
        <v>2355</v>
      </c>
      <c r="G254" s="648" t="s">
        <v>29</v>
      </c>
      <c r="H254" s="648" t="s">
        <v>38</v>
      </c>
      <c r="I254" s="648"/>
      <c r="J254" s="648" t="s">
        <v>38</v>
      </c>
      <c r="K254" s="649">
        <f t="shared" ref="K254:K255" si="1">1166+8+336+1+21</f>
        <v>1532</v>
      </c>
      <c r="L254" s="648"/>
      <c r="M254" s="648"/>
      <c r="N254" s="648" t="s">
        <v>16097</v>
      </c>
      <c r="O254" s="650">
        <v>1970.0</v>
      </c>
      <c r="P254" s="648" t="s">
        <v>388</v>
      </c>
      <c r="Q254" s="648">
        <v>1.0</v>
      </c>
      <c r="R254" s="619"/>
      <c r="S254" s="651"/>
      <c r="T254" s="652"/>
      <c r="U254" s="652"/>
      <c r="V254" s="652"/>
      <c r="W254" s="652"/>
      <c r="X254" s="652"/>
      <c r="Y254" s="652"/>
      <c r="Z254" s="652"/>
      <c r="AA254" s="652"/>
      <c r="AB254" s="652"/>
      <c r="AC254" s="652"/>
      <c r="AD254" s="652"/>
      <c r="AE254" s="652"/>
      <c r="AF254" s="652"/>
      <c r="AG254" s="652"/>
      <c r="AH254" s="652"/>
      <c r="AI254" s="652"/>
      <c r="AJ254" s="652"/>
      <c r="AK254" s="652"/>
      <c r="AL254" s="652"/>
    </row>
    <row r="255" ht="15.75" customHeight="1">
      <c r="A255" s="425"/>
      <c r="B255" s="647" t="s">
        <v>16098</v>
      </c>
      <c r="C255" s="648"/>
      <c r="D255" s="649" t="s">
        <v>16099</v>
      </c>
      <c r="E255" s="648" t="s">
        <v>16100</v>
      </c>
      <c r="F255" s="648" t="s">
        <v>2355</v>
      </c>
      <c r="G255" s="648" t="s">
        <v>29</v>
      </c>
      <c r="H255" s="648" t="s">
        <v>38</v>
      </c>
      <c r="I255" s="648"/>
      <c r="J255" s="648" t="s">
        <v>38</v>
      </c>
      <c r="K255" s="649">
        <f t="shared" si="1"/>
        <v>1532</v>
      </c>
      <c r="L255" s="648"/>
      <c r="M255" s="648"/>
      <c r="N255" s="648" t="s">
        <v>16097</v>
      </c>
      <c r="O255" s="650">
        <v>1970.0</v>
      </c>
      <c r="P255" s="648" t="s">
        <v>388</v>
      </c>
      <c r="Q255" s="648">
        <v>1.0</v>
      </c>
      <c r="R255" s="619"/>
      <c r="S255" s="651"/>
      <c r="T255" s="652"/>
      <c r="U255" s="652"/>
      <c r="V255" s="652"/>
      <c r="W255" s="652"/>
      <c r="X255" s="652"/>
      <c r="Y255" s="652"/>
      <c r="Z255" s="652"/>
      <c r="AA255" s="652"/>
      <c r="AB255" s="652"/>
      <c r="AC255" s="652"/>
      <c r="AD255" s="652"/>
      <c r="AE255" s="652"/>
      <c r="AF255" s="652"/>
      <c r="AG255" s="652"/>
      <c r="AH255" s="652"/>
      <c r="AI255" s="652"/>
      <c r="AJ255" s="652"/>
      <c r="AK255" s="652"/>
      <c r="AL255" s="652"/>
    </row>
    <row r="256" ht="15.75" customHeight="1">
      <c r="A256" s="425"/>
      <c r="B256" s="647" t="s">
        <v>16101</v>
      </c>
      <c r="C256" s="648"/>
      <c r="D256" s="649" t="s">
        <v>16102</v>
      </c>
      <c r="E256" s="648" t="s">
        <v>16103</v>
      </c>
      <c r="F256" s="648" t="s">
        <v>12445</v>
      </c>
      <c r="G256" s="648" t="s">
        <v>29</v>
      </c>
      <c r="H256" s="648" t="s">
        <v>37</v>
      </c>
      <c r="I256" s="648"/>
      <c r="J256" s="648" t="s">
        <v>38</v>
      </c>
      <c r="K256" s="649">
        <f>726+10</f>
        <v>736</v>
      </c>
      <c r="L256" s="648"/>
      <c r="M256" s="648"/>
      <c r="N256" s="648" t="s">
        <v>4836</v>
      </c>
      <c r="O256" s="650">
        <v>1977.0</v>
      </c>
      <c r="P256" s="648" t="s">
        <v>388</v>
      </c>
      <c r="Q256" s="648">
        <v>1.0</v>
      </c>
      <c r="R256" s="619"/>
      <c r="S256" s="651"/>
      <c r="T256" s="652"/>
      <c r="U256" s="652"/>
      <c r="V256" s="652"/>
      <c r="W256" s="652"/>
      <c r="X256" s="652"/>
      <c r="Y256" s="652"/>
      <c r="Z256" s="652"/>
      <c r="AA256" s="652"/>
      <c r="AB256" s="652"/>
      <c r="AC256" s="652"/>
      <c r="AD256" s="652"/>
      <c r="AE256" s="652"/>
      <c r="AF256" s="652"/>
      <c r="AG256" s="652"/>
      <c r="AH256" s="652"/>
      <c r="AI256" s="652"/>
      <c r="AJ256" s="652"/>
      <c r="AK256" s="652"/>
      <c r="AL256" s="652"/>
    </row>
    <row r="257" ht="15.75" customHeight="1">
      <c r="A257" s="425"/>
      <c r="B257" s="647" t="s">
        <v>16104</v>
      </c>
      <c r="C257" s="648" t="s">
        <v>4778</v>
      </c>
      <c r="D257" s="649" t="s">
        <v>16105</v>
      </c>
      <c r="E257" s="648" t="s">
        <v>16106</v>
      </c>
      <c r="F257" s="648" t="s">
        <v>2355</v>
      </c>
      <c r="G257" s="648" t="s">
        <v>29</v>
      </c>
      <c r="H257" s="648" t="s">
        <v>37</v>
      </c>
      <c r="I257" s="648"/>
      <c r="J257" s="648" t="s">
        <v>38</v>
      </c>
      <c r="K257" s="649">
        <f>834+17</f>
        <v>851</v>
      </c>
      <c r="L257" s="648"/>
      <c r="M257" s="648"/>
      <c r="N257" s="648" t="s">
        <v>13093</v>
      </c>
      <c r="O257" s="650">
        <v>2011.0</v>
      </c>
      <c r="P257" s="648" t="s">
        <v>388</v>
      </c>
      <c r="Q257" s="648">
        <v>1.0</v>
      </c>
      <c r="R257" s="619"/>
      <c r="S257" s="651"/>
      <c r="T257" s="652"/>
      <c r="U257" s="652"/>
      <c r="V257" s="652"/>
      <c r="W257" s="652"/>
      <c r="X257" s="652"/>
      <c r="Y257" s="652"/>
      <c r="Z257" s="652"/>
      <c r="AA257" s="652"/>
      <c r="AB257" s="652"/>
      <c r="AC257" s="652"/>
      <c r="AD257" s="652"/>
      <c r="AE257" s="652"/>
      <c r="AF257" s="652"/>
      <c r="AG257" s="652"/>
      <c r="AH257" s="652"/>
      <c r="AI257" s="652"/>
      <c r="AJ257" s="652"/>
      <c r="AK257" s="652"/>
      <c r="AL257" s="652"/>
    </row>
    <row r="258" ht="15.75" customHeight="1">
      <c r="A258" s="425"/>
      <c r="B258" s="653" t="s">
        <v>16107</v>
      </c>
      <c r="C258" s="98" t="s">
        <v>16108</v>
      </c>
      <c r="D258" s="99" t="s">
        <v>16109</v>
      </c>
      <c r="E258" s="654" t="s">
        <v>16110</v>
      </c>
      <c r="F258" s="654" t="s">
        <v>2355</v>
      </c>
      <c r="G258" s="654" t="s">
        <v>29</v>
      </c>
      <c r="H258" s="654" t="s">
        <v>37</v>
      </c>
      <c r="I258" s="654"/>
      <c r="J258" s="654" t="s">
        <v>38</v>
      </c>
      <c r="K258" s="96">
        <f>2128+14+36</f>
        <v>2178</v>
      </c>
      <c r="L258" s="654"/>
      <c r="M258" s="654"/>
      <c r="N258" s="654" t="s">
        <v>2869</v>
      </c>
      <c r="O258" s="655">
        <v>2006.0</v>
      </c>
      <c r="P258" s="98">
        <v>30.0</v>
      </c>
      <c r="Q258" s="654">
        <v>2.0</v>
      </c>
      <c r="R258" s="632">
        <v>2.0</v>
      </c>
      <c r="S258" s="651"/>
      <c r="T258" s="652"/>
      <c r="U258" s="652"/>
      <c r="V258" s="652"/>
      <c r="W258" s="652"/>
      <c r="X258" s="652"/>
      <c r="Y258" s="652"/>
      <c r="Z258" s="652"/>
      <c r="AA258" s="652"/>
      <c r="AB258" s="652"/>
      <c r="AC258" s="652"/>
      <c r="AD258" s="652"/>
      <c r="AE258" s="652"/>
      <c r="AF258" s="652"/>
      <c r="AG258" s="652"/>
      <c r="AH258" s="652"/>
      <c r="AI258" s="652"/>
      <c r="AJ258" s="652"/>
      <c r="AK258" s="652"/>
      <c r="AL258" s="652"/>
    </row>
    <row r="259" ht="15.75" customHeight="1">
      <c r="A259" s="425"/>
      <c r="B259" s="647" t="s">
        <v>16111</v>
      </c>
      <c r="C259" s="648"/>
      <c r="D259" s="649" t="s">
        <v>16112</v>
      </c>
      <c r="E259" s="648" t="s">
        <v>15892</v>
      </c>
      <c r="F259" s="648" t="s">
        <v>12445</v>
      </c>
      <c r="G259" s="648" t="s">
        <v>29</v>
      </c>
      <c r="H259" s="648"/>
      <c r="I259" s="648"/>
      <c r="J259" s="648" t="s">
        <v>38</v>
      </c>
      <c r="K259" s="649">
        <f>596+6</f>
        <v>602</v>
      </c>
      <c r="L259" s="648"/>
      <c r="M259" s="648"/>
      <c r="N259" s="648" t="s">
        <v>16113</v>
      </c>
      <c r="O259" s="650">
        <v>1969.0</v>
      </c>
      <c r="P259" s="648" t="s">
        <v>388</v>
      </c>
      <c r="Q259" s="648">
        <v>1.0</v>
      </c>
      <c r="R259" s="619"/>
      <c r="S259" s="651"/>
      <c r="T259" s="652"/>
      <c r="U259" s="652"/>
      <c r="V259" s="652"/>
      <c r="W259" s="652"/>
      <c r="X259" s="652"/>
      <c r="Y259" s="652"/>
      <c r="Z259" s="652"/>
      <c r="AA259" s="652"/>
      <c r="AB259" s="652"/>
      <c r="AC259" s="652"/>
      <c r="AD259" s="652"/>
      <c r="AE259" s="652"/>
      <c r="AF259" s="652"/>
      <c r="AG259" s="652"/>
      <c r="AH259" s="652"/>
      <c r="AI259" s="652"/>
      <c r="AJ259" s="652"/>
      <c r="AK259" s="652"/>
      <c r="AL259" s="652"/>
    </row>
    <row r="260" ht="15.75" customHeight="1">
      <c r="A260" s="425"/>
      <c r="B260" s="647" t="s">
        <v>16114</v>
      </c>
      <c r="C260" s="648"/>
      <c r="D260" s="649" t="s">
        <v>16115</v>
      </c>
      <c r="E260" s="648" t="s">
        <v>16116</v>
      </c>
      <c r="F260" s="648" t="s">
        <v>2355</v>
      </c>
      <c r="G260" s="648" t="s">
        <v>29</v>
      </c>
      <c r="H260" s="648" t="s">
        <v>38</v>
      </c>
      <c r="I260" s="648"/>
      <c r="J260" s="648" t="s">
        <v>38</v>
      </c>
      <c r="K260" s="649">
        <f>1444+14</f>
        <v>1458</v>
      </c>
      <c r="L260" s="648"/>
      <c r="M260" s="648"/>
      <c r="N260" s="648" t="s">
        <v>16117</v>
      </c>
      <c r="O260" s="650">
        <v>1972.0</v>
      </c>
      <c r="P260" s="648" t="s">
        <v>388</v>
      </c>
      <c r="Q260" s="649">
        <v>1.0</v>
      </c>
      <c r="R260" s="619"/>
      <c r="S260" s="651"/>
      <c r="T260" s="652"/>
      <c r="U260" s="652"/>
      <c r="V260" s="652"/>
      <c r="W260" s="652"/>
      <c r="X260" s="652"/>
      <c r="Y260" s="652"/>
      <c r="Z260" s="652"/>
      <c r="AA260" s="652"/>
      <c r="AB260" s="652"/>
      <c r="AC260" s="652"/>
      <c r="AD260" s="652"/>
      <c r="AE260" s="652"/>
      <c r="AF260" s="652"/>
      <c r="AG260" s="652"/>
      <c r="AH260" s="652"/>
      <c r="AI260" s="652"/>
      <c r="AJ260" s="652"/>
      <c r="AK260" s="652"/>
      <c r="AL260" s="652"/>
    </row>
    <row r="261" ht="15.75" customHeight="1">
      <c r="A261" s="425"/>
      <c r="B261" s="647" t="s">
        <v>16118</v>
      </c>
      <c r="C261" s="648"/>
      <c r="D261" s="649" t="s">
        <v>16119</v>
      </c>
      <c r="E261" s="648" t="s">
        <v>16120</v>
      </c>
      <c r="F261" s="648" t="s">
        <v>2355</v>
      </c>
      <c r="G261" s="648" t="s">
        <v>29</v>
      </c>
      <c r="H261" s="648" t="s">
        <v>37</v>
      </c>
      <c r="I261" s="648"/>
      <c r="J261" s="648" t="s">
        <v>38</v>
      </c>
      <c r="K261" s="649">
        <f>916+2+251</f>
        <v>1169</v>
      </c>
      <c r="L261" s="648"/>
      <c r="M261" s="648"/>
      <c r="N261" s="648" t="s">
        <v>16057</v>
      </c>
      <c r="O261" s="650">
        <v>1994.0</v>
      </c>
      <c r="P261" s="648" t="s">
        <v>388</v>
      </c>
      <c r="Q261" s="649">
        <v>1.0</v>
      </c>
      <c r="R261" s="619"/>
      <c r="S261" s="651"/>
      <c r="T261" s="652"/>
      <c r="U261" s="652"/>
      <c r="V261" s="652"/>
      <c r="W261" s="652"/>
      <c r="X261" s="652"/>
      <c r="Y261" s="652"/>
      <c r="Z261" s="652"/>
      <c r="AA261" s="652"/>
      <c r="AB261" s="652"/>
      <c r="AC261" s="652"/>
      <c r="AD261" s="652"/>
      <c r="AE261" s="652"/>
      <c r="AF261" s="652"/>
      <c r="AG261" s="652"/>
      <c r="AH261" s="652"/>
      <c r="AI261" s="652"/>
      <c r="AJ261" s="652"/>
      <c r="AK261" s="652"/>
      <c r="AL261" s="652"/>
    </row>
    <row r="262" ht="15.75" customHeight="1">
      <c r="A262" s="425"/>
      <c r="B262" s="647" t="s">
        <v>16121</v>
      </c>
      <c r="C262" s="603" t="s">
        <v>16122</v>
      </c>
      <c r="D262" s="603" t="s">
        <v>16123</v>
      </c>
      <c r="E262" s="656" t="s">
        <v>16124</v>
      </c>
      <c r="F262" s="656" t="s">
        <v>12445</v>
      </c>
      <c r="G262" s="656" t="s">
        <v>29</v>
      </c>
      <c r="H262" s="656" t="s">
        <v>81</v>
      </c>
      <c r="I262" s="656"/>
      <c r="J262" s="656" t="s">
        <v>38</v>
      </c>
      <c r="K262" s="603">
        <f>560+14</f>
        <v>574</v>
      </c>
      <c r="L262" s="656"/>
      <c r="M262" s="656"/>
      <c r="N262" s="656" t="s">
        <v>16077</v>
      </c>
      <c r="O262" s="656">
        <v>1995.0</v>
      </c>
      <c r="P262" s="656" t="s">
        <v>388</v>
      </c>
      <c r="Q262" s="603">
        <v>1.0</v>
      </c>
      <c r="R262" s="619"/>
      <c r="S262" s="651"/>
      <c r="T262" s="652"/>
      <c r="U262" s="652"/>
      <c r="V262" s="652"/>
      <c r="W262" s="652"/>
      <c r="X262" s="652"/>
      <c r="Y262" s="652"/>
      <c r="Z262" s="652"/>
      <c r="AA262" s="652"/>
      <c r="AB262" s="652"/>
      <c r="AC262" s="652"/>
      <c r="AD262" s="652"/>
      <c r="AE262" s="652"/>
      <c r="AF262" s="652"/>
      <c r="AG262" s="652"/>
      <c r="AH262" s="652"/>
      <c r="AI262" s="652"/>
      <c r="AJ262" s="652"/>
      <c r="AK262" s="652"/>
      <c r="AL262" s="652"/>
    </row>
    <row r="263" ht="15.75" customHeight="1">
      <c r="A263" s="425"/>
      <c r="B263" s="647" t="s">
        <v>16125</v>
      </c>
      <c r="C263" s="603" t="s">
        <v>16126</v>
      </c>
      <c r="D263" s="603" t="s">
        <v>16127</v>
      </c>
      <c r="E263" s="605" t="s">
        <v>16128</v>
      </c>
      <c r="F263" s="605" t="s">
        <v>2355</v>
      </c>
      <c r="G263" s="605" t="s">
        <v>29</v>
      </c>
      <c r="H263" s="605" t="s">
        <v>5395</v>
      </c>
      <c r="I263" s="603"/>
      <c r="J263" s="605" t="s">
        <v>38</v>
      </c>
      <c r="K263" s="603">
        <f>191+7</f>
        <v>198</v>
      </c>
      <c r="L263" s="603"/>
      <c r="M263" s="603"/>
      <c r="N263" s="603" t="s">
        <v>16129</v>
      </c>
      <c r="O263" s="603">
        <v>2007.0</v>
      </c>
      <c r="P263" s="603" t="s">
        <v>388</v>
      </c>
      <c r="Q263" s="603">
        <v>1.0</v>
      </c>
      <c r="R263" s="619"/>
      <c r="S263" s="651"/>
      <c r="T263" s="652"/>
      <c r="U263" s="652"/>
      <c r="V263" s="652"/>
      <c r="W263" s="652"/>
      <c r="X263" s="652"/>
      <c r="Y263" s="652"/>
      <c r="Z263" s="652"/>
      <c r="AA263" s="652"/>
      <c r="AB263" s="652"/>
      <c r="AC263" s="652"/>
      <c r="AD263" s="652"/>
      <c r="AE263" s="652"/>
      <c r="AF263" s="652"/>
      <c r="AG263" s="652"/>
      <c r="AH263" s="652"/>
      <c r="AI263" s="652"/>
      <c r="AJ263" s="652"/>
      <c r="AK263" s="652"/>
      <c r="AL263" s="652"/>
    </row>
    <row r="264" ht="15.75" customHeight="1">
      <c r="A264" s="425"/>
      <c r="B264" s="647" t="s">
        <v>16130</v>
      </c>
      <c r="C264" s="605" t="s">
        <v>16131</v>
      </c>
      <c r="D264" s="603" t="s">
        <v>16132</v>
      </c>
      <c r="E264" s="605" t="s">
        <v>16133</v>
      </c>
      <c r="F264" s="605" t="s">
        <v>12445</v>
      </c>
      <c r="G264" s="605" t="s">
        <v>29</v>
      </c>
      <c r="H264" s="605" t="s">
        <v>37</v>
      </c>
      <c r="I264" s="605"/>
      <c r="J264" s="605" t="s">
        <v>38</v>
      </c>
      <c r="K264" s="603">
        <f>281+9</f>
        <v>290</v>
      </c>
      <c r="L264" s="605"/>
      <c r="M264" s="605"/>
      <c r="N264" s="605" t="s">
        <v>16134</v>
      </c>
      <c r="O264" s="605">
        <v>2012.0</v>
      </c>
      <c r="P264" s="605" t="s">
        <v>388</v>
      </c>
      <c r="Q264" s="603">
        <v>1.0</v>
      </c>
      <c r="R264" s="619"/>
      <c r="S264" s="651"/>
      <c r="T264" s="652"/>
      <c r="U264" s="652"/>
      <c r="V264" s="652"/>
      <c r="W264" s="652"/>
      <c r="X264" s="652"/>
      <c r="Y264" s="652"/>
      <c r="Z264" s="652"/>
      <c r="AA264" s="652"/>
      <c r="AB264" s="652"/>
      <c r="AC264" s="652"/>
      <c r="AD264" s="652"/>
      <c r="AE264" s="652"/>
      <c r="AF264" s="652"/>
      <c r="AG264" s="652"/>
      <c r="AH264" s="652"/>
      <c r="AI264" s="652"/>
      <c r="AJ264" s="652"/>
      <c r="AK264" s="652"/>
      <c r="AL264" s="652"/>
    </row>
    <row r="265" ht="15.75" customHeight="1">
      <c r="A265" s="425"/>
      <c r="B265" s="647" t="s">
        <v>16135</v>
      </c>
      <c r="C265" s="603"/>
      <c r="D265" s="603" t="s">
        <v>16136</v>
      </c>
      <c r="E265" s="605" t="s">
        <v>16137</v>
      </c>
      <c r="F265" s="603" t="s">
        <v>2355</v>
      </c>
      <c r="G265" s="603" t="s">
        <v>29</v>
      </c>
      <c r="H265" s="605" t="s">
        <v>37</v>
      </c>
      <c r="I265" s="603"/>
      <c r="J265" s="605" t="s">
        <v>38</v>
      </c>
      <c r="K265" s="603">
        <f>870+14+12</f>
        <v>896</v>
      </c>
      <c r="L265" s="603"/>
      <c r="M265" s="603"/>
      <c r="N265" s="603" t="s">
        <v>4836</v>
      </c>
      <c r="O265" s="603">
        <v>1991.0</v>
      </c>
      <c r="P265" s="603" t="s">
        <v>388</v>
      </c>
      <c r="Q265" s="603">
        <v>1.0</v>
      </c>
      <c r="R265" s="619"/>
      <c r="S265" s="651"/>
      <c r="T265" s="652"/>
      <c r="U265" s="652"/>
      <c r="V265" s="652"/>
      <c r="W265" s="652"/>
      <c r="X265" s="652"/>
      <c r="Y265" s="652"/>
      <c r="Z265" s="652"/>
      <c r="AA265" s="652"/>
      <c r="AB265" s="652"/>
      <c r="AC265" s="652"/>
      <c r="AD265" s="652"/>
      <c r="AE265" s="652"/>
      <c r="AF265" s="652"/>
      <c r="AG265" s="652"/>
      <c r="AH265" s="652"/>
      <c r="AI265" s="652"/>
      <c r="AJ265" s="652"/>
      <c r="AK265" s="652"/>
      <c r="AL265" s="652"/>
    </row>
    <row r="266" ht="15.75" customHeight="1">
      <c r="A266" s="425"/>
      <c r="B266" s="647" t="s">
        <v>16138</v>
      </c>
      <c r="C266" s="603"/>
      <c r="D266" s="603" t="s">
        <v>16139</v>
      </c>
      <c r="E266" s="605" t="s">
        <v>15299</v>
      </c>
      <c r="F266" s="603" t="s">
        <v>12445</v>
      </c>
      <c r="G266" s="603" t="s">
        <v>29</v>
      </c>
      <c r="H266" s="603"/>
      <c r="I266" s="603"/>
      <c r="J266" s="605" t="s">
        <v>38</v>
      </c>
      <c r="K266" s="603">
        <f>266+3</f>
        <v>269</v>
      </c>
      <c r="L266" s="603"/>
      <c r="M266" s="603"/>
      <c r="N266" s="603" t="s">
        <v>15300</v>
      </c>
      <c r="O266" s="603">
        <v>1997.0</v>
      </c>
      <c r="P266" s="603" t="s">
        <v>388</v>
      </c>
      <c r="Q266" s="603">
        <v>1.0</v>
      </c>
      <c r="R266" s="619"/>
      <c r="S266" s="651"/>
      <c r="T266" s="652"/>
      <c r="U266" s="652"/>
      <c r="V266" s="652"/>
      <c r="W266" s="652"/>
      <c r="X266" s="652"/>
      <c r="Y266" s="652"/>
      <c r="Z266" s="652"/>
      <c r="AA266" s="652"/>
      <c r="AB266" s="652"/>
      <c r="AC266" s="652"/>
      <c r="AD266" s="652"/>
      <c r="AE266" s="652"/>
      <c r="AF266" s="652"/>
      <c r="AG266" s="652"/>
      <c r="AH266" s="652"/>
      <c r="AI266" s="652"/>
      <c r="AJ266" s="652"/>
      <c r="AK266" s="652"/>
      <c r="AL266" s="652"/>
    </row>
    <row r="267" ht="15.75" customHeight="1">
      <c r="A267" s="425"/>
      <c r="B267" s="647" t="s">
        <v>16140</v>
      </c>
      <c r="C267" s="603" t="s">
        <v>15294</v>
      </c>
      <c r="D267" s="603" t="s">
        <v>16141</v>
      </c>
      <c r="E267" s="605" t="s">
        <v>15296</v>
      </c>
      <c r="F267" s="603" t="s">
        <v>12445</v>
      </c>
      <c r="G267" s="603" t="s">
        <v>29</v>
      </c>
      <c r="H267" s="656" t="s">
        <v>37</v>
      </c>
      <c r="I267" s="603"/>
      <c r="J267" s="605" t="s">
        <v>38</v>
      </c>
      <c r="K267" s="603"/>
      <c r="L267" s="603"/>
      <c r="M267" s="603"/>
      <c r="N267" s="603" t="s">
        <v>15297</v>
      </c>
      <c r="O267" s="603">
        <v>1991.0</v>
      </c>
      <c r="P267" s="603" t="s">
        <v>388</v>
      </c>
      <c r="Q267" s="603">
        <v>1.0</v>
      </c>
      <c r="R267" s="619"/>
      <c r="S267" s="651"/>
      <c r="T267" s="652"/>
      <c r="U267" s="652"/>
      <c r="V267" s="652"/>
      <c r="W267" s="652"/>
      <c r="X267" s="652"/>
      <c r="Y267" s="652"/>
      <c r="Z267" s="652"/>
      <c r="AA267" s="652"/>
      <c r="AB267" s="652"/>
      <c r="AC267" s="652"/>
      <c r="AD267" s="652"/>
      <c r="AE267" s="652"/>
      <c r="AF267" s="652"/>
      <c r="AG267" s="652"/>
      <c r="AH267" s="652"/>
      <c r="AI267" s="652"/>
      <c r="AJ267" s="652"/>
      <c r="AK267" s="652"/>
      <c r="AL267" s="652"/>
    </row>
    <row r="268" ht="15.75" customHeight="1">
      <c r="A268" s="425"/>
      <c r="B268" s="653" t="s">
        <v>16142</v>
      </c>
      <c r="C268" s="413"/>
      <c r="D268" s="503" t="s">
        <v>16143</v>
      </c>
      <c r="E268" s="602" t="s">
        <v>16144</v>
      </c>
      <c r="F268" s="413" t="s">
        <v>2355</v>
      </c>
      <c r="G268" s="413" t="s">
        <v>29</v>
      </c>
      <c r="H268" s="657" t="s">
        <v>37</v>
      </c>
      <c r="I268" s="413"/>
      <c r="J268" s="602" t="s">
        <v>38</v>
      </c>
      <c r="K268" s="413">
        <f>1547+25+18</f>
        <v>1590</v>
      </c>
      <c r="L268" s="413"/>
      <c r="M268" s="413"/>
      <c r="N268" s="413" t="s">
        <v>4836</v>
      </c>
      <c r="O268" s="413">
        <v>1995.0</v>
      </c>
      <c r="P268" s="503">
        <v>30.0</v>
      </c>
      <c r="Q268" s="413">
        <v>1.0</v>
      </c>
      <c r="R268" s="632">
        <v>1.0</v>
      </c>
      <c r="S268" s="651"/>
      <c r="T268" s="652"/>
      <c r="U268" s="652"/>
      <c r="V268" s="652"/>
      <c r="W268" s="652"/>
      <c r="X268" s="652"/>
      <c r="Y268" s="652"/>
      <c r="Z268" s="652"/>
      <c r="AA268" s="652"/>
      <c r="AB268" s="652"/>
      <c r="AC268" s="652"/>
      <c r="AD268" s="652"/>
      <c r="AE268" s="652"/>
      <c r="AF268" s="652"/>
      <c r="AG268" s="652"/>
      <c r="AH268" s="652"/>
      <c r="AI268" s="652"/>
      <c r="AJ268" s="652"/>
      <c r="AK268" s="652"/>
      <c r="AL268" s="652"/>
    </row>
    <row r="269" ht="15.75" customHeight="1">
      <c r="A269" s="425"/>
      <c r="B269" s="647" t="s">
        <v>16145</v>
      </c>
      <c r="C269" s="603" t="s">
        <v>16146</v>
      </c>
      <c r="D269" s="603" t="s">
        <v>16147</v>
      </c>
      <c r="E269" s="605" t="s">
        <v>16148</v>
      </c>
      <c r="F269" s="603" t="s">
        <v>2355</v>
      </c>
      <c r="G269" s="603" t="s">
        <v>29</v>
      </c>
      <c r="H269" s="605" t="s">
        <v>37</v>
      </c>
      <c r="I269" s="603"/>
      <c r="J269" s="605" t="s">
        <v>38</v>
      </c>
      <c r="K269" s="603">
        <f>2058+128+22</f>
        <v>2208</v>
      </c>
      <c r="L269" s="603"/>
      <c r="M269" s="603"/>
      <c r="N269" s="603" t="s">
        <v>4033</v>
      </c>
      <c r="O269" s="603">
        <v>1995.0</v>
      </c>
      <c r="P269" s="603" t="s">
        <v>388</v>
      </c>
      <c r="Q269" s="603">
        <v>1.0</v>
      </c>
      <c r="R269" s="619"/>
      <c r="S269" s="651"/>
      <c r="T269" s="652"/>
      <c r="U269" s="652"/>
      <c r="V269" s="652"/>
      <c r="W269" s="652"/>
      <c r="X269" s="652"/>
      <c r="Y269" s="652"/>
      <c r="Z269" s="652"/>
      <c r="AA269" s="652"/>
      <c r="AB269" s="652"/>
      <c r="AC269" s="652"/>
      <c r="AD269" s="652"/>
      <c r="AE269" s="652"/>
      <c r="AF269" s="652"/>
      <c r="AG269" s="652"/>
      <c r="AH269" s="652"/>
      <c r="AI269" s="652"/>
      <c r="AJ269" s="652"/>
      <c r="AK269" s="652"/>
      <c r="AL269" s="652"/>
    </row>
    <row r="270" ht="15.75" customHeight="1">
      <c r="A270" s="425"/>
      <c r="B270" s="647" t="s">
        <v>16149</v>
      </c>
      <c r="C270" s="603"/>
      <c r="D270" s="603" t="s">
        <v>16150</v>
      </c>
      <c r="E270" s="605" t="s">
        <v>16151</v>
      </c>
      <c r="F270" s="603" t="s">
        <v>2355</v>
      </c>
      <c r="G270" s="603" t="s">
        <v>29</v>
      </c>
      <c r="H270" s="605" t="s">
        <v>15646</v>
      </c>
      <c r="I270" s="603"/>
      <c r="J270" s="605" t="s">
        <v>38</v>
      </c>
      <c r="K270" s="603">
        <f>684+2+126+2</f>
        <v>814</v>
      </c>
      <c r="L270" s="603"/>
      <c r="M270" s="603"/>
      <c r="N270" s="603" t="s">
        <v>16152</v>
      </c>
      <c r="O270" s="603"/>
      <c r="P270" s="603" t="s">
        <v>388</v>
      </c>
      <c r="Q270" s="603">
        <v>1.0</v>
      </c>
      <c r="R270" s="619"/>
      <c r="S270" s="651"/>
      <c r="T270" s="652"/>
      <c r="U270" s="652"/>
      <c r="V270" s="652"/>
      <c r="W270" s="652"/>
      <c r="X270" s="652"/>
      <c r="Y270" s="652"/>
      <c r="Z270" s="652"/>
      <c r="AA270" s="652"/>
      <c r="AB270" s="652"/>
      <c r="AC270" s="652"/>
      <c r="AD270" s="652"/>
      <c r="AE270" s="652"/>
      <c r="AF270" s="652"/>
      <c r="AG270" s="652"/>
      <c r="AH270" s="652"/>
      <c r="AI270" s="652"/>
      <c r="AJ270" s="652"/>
      <c r="AK270" s="652"/>
      <c r="AL270" s="652"/>
    </row>
    <row r="271" ht="15.75" customHeight="1">
      <c r="A271" s="425"/>
      <c r="B271" s="647" t="s">
        <v>16153</v>
      </c>
      <c r="C271" s="603" t="s">
        <v>16154</v>
      </c>
      <c r="D271" s="603" t="s">
        <v>16155</v>
      </c>
      <c r="E271" s="605" t="s">
        <v>16156</v>
      </c>
      <c r="F271" s="603" t="s">
        <v>12445</v>
      </c>
      <c r="G271" s="603" t="s">
        <v>29</v>
      </c>
      <c r="H271" s="603" t="s">
        <v>81</v>
      </c>
      <c r="I271" s="603"/>
      <c r="J271" s="603" t="s">
        <v>38</v>
      </c>
      <c r="K271" s="603">
        <f>619</f>
        <v>619</v>
      </c>
      <c r="L271" s="603"/>
      <c r="M271" s="603"/>
      <c r="N271" s="603" t="s">
        <v>16077</v>
      </c>
      <c r="O271" s="603">
        <v>2002.0</v>
      </c>
      <c r="P271" s="603" t="s">
        <v>388</v>
      </c>
      <c r="Q271" s="603">
        <v>1.0</v>
      </c>
      <c r="R271" s="619"/>
      <c r="S271" s="651"/>
      <c r="T271" s="652"/>
      <c r="U271" s="652"/>
      <c r="V271" s="652"/>
      <c r="W271" s="652"/>
      <c r="X271" s="652"/>
      <c r="Y271" s="652"/>
      <c r="Z271" s="652"/>
      <c r="AA271" s="652"/>
      <c r="AB271" s="652"/>
      <c r="AC271" s="652"/>
      <c r="AD271" s="652"/>
      <c r="AE271" s="652"/>
      <c r="AF271" s="652"/>
      <c r="AG271" s="652"/>
      <c r="AH271" s="652"/>
      <c r="AI271" s="652"/>
      <c r="AJ271" s="652"/>
      <c r="AK271" s="652"/>
      <c r="AL271" s="652"/>
    </row>
    <row r="272" ht="15.75" customHeight="1">
      <c r="A272" s="425"/>
      <c r="B272" s="647" t="s">
        <v>10799</v>
      </c>
      <c r="C272" s="603"/>
      <c r="D272" s="603" t="s">
        <v>16157</v>
      </c>
      <c r="E272" s="605" t="s">
        <v>16158</v>
      </c>
      <c r="F272" s="603" t="s">
        <v>12445</v>
      </c>
      <c r="G272" s="603" t="s">
        <v>29</v>
      </c>
      <c r="H272" s="605" t="s">
        <v>37</v>
      </c>
      <c r="I272" s="603"/>
      <c r="J272" s="603" t="s">
        <v>38</v>
      </c>
      <c r="K272" s="603">
        <v>98.0</v>
      </c>
      <c r="L272" s="603"/>
      <c r="M272" s="603"/>
      <c r="N272" s="603" t="s">
        <v>4836</v>
      </c>
      <c r="O272" s="603">
        <v>1964.0</v>
      </c>
      <c r="P272" s="603" t="s">
        <v>388</v>
      </c>
      <c r="Q272" s="603">
        <v>1.0</v>
      </c>
      <c r="R272" s="619"/>
      <c r="S272" s="651"/>
      <c r="T272" s="652"/>
      <c r="U272" s="652"/>
      <c r="V272" s="652"/>
      <c r="W272" s="652"/>
      <c r="X272" s="652"/>
      <c r="Y272" s="652"/>
      <c r="Z272" s="652"/>
      <c r="AA272" s="652"/>
      <c r="AB272" s="652"/>
      <c r="AC272" s="652"/>
      <c r="AD272" s="652"/>
      <c r="AE272" s="652"/>
      <c r="AF272" s="652"/>
      <c r="AG272" s="652"/>
      <c r="AH272" s="652"/>
      <c r="AI272" s="652"/>
      <c r="AJ272" s="652"/>
      <c r="AK272" s="652"/>
      <c r="AL272" s="652"/>
    </row>
    <row r="273" ht="15.75" customHeight="1">
      <c r="A273" s="425"/>
      <c r="B273" s="647" t="s">
        <v>16159</v>
      </c>
      <c r="C273" s="603"/>
      <c r="D273" s="603" t="s">
        <v>16160</v>
      </c>
      <c r="E273" s="605" t="s">
        <v>16161</v>
      </c>
      <c r="F273" s="603" t="s">
        <v>12445</v>
      </c>
      <c r="G273" s="603" t="s">
        <v>29</v>
      </c>
      <c r="H273" s="605" t="s">
        <v>38</v>
      </c>
      <c r="I273" s="603"/>
      <c r="J273" s="603" t="s">
        <v>38</v>
      </c>
      <c r="K273" s="603">
        <f>346+4</f>
        <v>350</v>
      </c>
      <c r="L273" s="603"/>
      <c r="M273" s="603"/>
      <c r="N273" s="603" t="s">
        <v>14168</v>
      </c>
      <c r="O273" s="603">
        <v>1979.0</v>
      </c>
      <c r="P273" s="603" t="s">
        <v>388</v>
      </c>
      <c r="Q273" s="603">
        <v>1.0</v>
      </c>
      <c r="R273" s="619"/>
      <c r="S273" s="651"/>
      <c r="T273" s="652"/>
      <c r="U273" s="652"/>
      <c r="V273" s="652"/>
      <c r="W273" s="652"/>
      <c r="X273" s="652"/>
      <c r="Y273" s="652"/>
      <c r="Z273" s="652"/>
      <c r="AA273" s="652"/>
      <c r="AB273" s="652"/>
      <c r="AC273" s="652"/>
      <c r="AD273" s="652"/>
      <c r="AE273" s="652"/>
      <c r="AF273" s="652"/>
      <c r="AG273" s="652"/>
      <c r="AH273" s="652"/>
      <c r="AI273" s="652"/>
      <c r="AJ273" s="652"/>
      <c r="AK273" s="652"/>
      <c r="AL273" s="652"/>
    </row>
    <row r="274" ht="15.75" customHeight="1">
      <c r="A274" s="425"/>
      <c r="B274" s="603">
        <v>266.0</v>
      </c>
      <c r="C274" s="603" t="s">
        <v>15815</v>
      </c>
      <c r="D274" s="603" t="s">
        <v>16162</v>
      </c>
      <c r="E274" s="605" t="s">
        <v>16163</v>
      </c>
      <c r="F274" s="603" t="s">
        <v>12445</v>
      </c>
      <c r="G274" s="603" t="s">
        <v>29</v>
      </c>
      <c r="H274" s="605" t="s">
        <v>5747</v>
      </c>
      <c r="I274" s="603"/>
      <c r="J274" s="603" t="s">
        <v>16164</v>
      </c>
      <c r="K274" s="603">
        <f>705+14</f>
        <v>719</v>
      </c>
      <c r="L274" s="603"/>
      <c r="M274" s="603"/>
      <c r="N274" s="603" t="s">
        <v>15278</v>
      </c>
      <c r="O274" s="603">
        <v>2008.0</v>
      </c>
      <c r="P274" s="603" t="s">
        <v>388</v>
      </c>
      <c r="Q274" s="603">
        <v>1.0</v>
      </c>
      <c r="R274" s="619"/>
      <c r="S274" s="651"/>
      <c r="T274" s="652"/>
      <c r="U274" s="652"/>
      <c r="V274" s="652"/>
      <c r="W274" s="652"/>
      <c r="X274" s="652"/>
      <c r="Y274" s="652"/>
      <c r="Z274" s="652"/>
      <c r="AA274" s="652"/>
      <c r="AB274" s="652"/>
      <c r="AC274" s="652"/>
      <c r="AD274" s="652"/>
      <c r="AE274" s="652"/>
      <c r="AF274" s="652"/>
      <c r="AG274" s="652"/>
      <c r="AH274" s="652"/>
      <c r="AI274" s="652"/>
      <c r="AJ274" s="652"/>
      <c r="AK274" s="652"/>
      <c r="AL274" s="652"/>
    </row>
    <row r="275" ht="15.75" customHeight="1">
      <c r="A275" s="425"/>
      <c r="B275" s="603">
        <v>267.0</v>
      </c>
      <c r="C275" s="603" t="s">
        <v>15334</v>
      </c>
      <c r="D275" s="603" t="s">
        <v>16165</v>
      </c>
      <c r="E275" s="605" t="s">
        <v>16166</v>
      </c>
      <c r="F275" s="603" t="s">
        <v>2355</v>
      </c>
      <c r="G275" s="603" t="s">
        <v>29</v>
      </c>
      <c r="H275" s="605" t="s">
        <v>37</v>
      </c>
      <c r="I275" s="603"/>
      <c r="J275" s="603" t="s">
        <v>38</v>
      </c>
      <c r="K275" s="603">
        <f>1645+2+578+22</f>
        <v>2247</v>
      </c>
      <c r="L275" s="603"/>
      <c r="M275" s="603"/>
      <c r="N275" s="603" t="s">
        <v>15337</v>
      </c>
      <c r="O275" s="603">
        <v>2014.0</v>
      </c>
      <c r="P275" s="603" t="s">
        <v>388</v>
      </c>
      <c r="Q275" s="603">
        <v>1.0</v>
      </c>
      <c r="R275" s="619"/>
      <c r="S275" s="651"/>
      <c r="T275" s="652"/>
      <c r="U275" s="652"/>
      <c r="V275" s="652"/>
      <c r="W275" s="652"/>
      <c r="X275" s="652"/>
      <c r="Y275" s="652"/>
      <c r="Z275" s="652"/>
      <c r="AA275" s="652"/>
      <c r="AB275" s="652"/>
      <c r="AC275" s="652"/>
      <c r="AD275" s="652"/>
      <c r="AE275" s="652"/>
      <c r="AF275" s="652"/>
      <c r="AG275" s="652"/>
      <c r="AH275" s="652"/>
      <c r="AI275" s="652"/>
      <c r="AJ275" s="652"/>
      <c r="AK275" s="652"/>
      <c r="AL275" s="652"/>
    </row>
    <row r="276" ht="15.75" customHeight="1">
      <c r="A276" s="425"/>
      <c r="B276" s="647" t="s">
        <v>16167</v>
      </c>
      <c r="C276" s="603" t="s">
        <v>15789</v>
      </c>
      <c r="D276" s="603" t="s">
        <v>16168</v>
      </c>
      <c r="E276" s="605" t="s">
        <v>16169</v>
      </c>
      <c r="F276" s="603" t="s">
        <v>2355</v>
      </c>
      <c r="G276" s="603" t="s">
        <v>29</v>
      </c>
      <c r="H276" s="603"/>
      <c r="I276" s="603"/>
      <c r="J276" s="603" t="s">
        <v>38</v>
      </c>
      <c r="K276" s="603">
        <f>1003+14</f>
        <v>1017</v>
      </c>
      <c r="L276" s="603"/>
      <c r="M276" s="603"/>
      <c r="N276" s="603" t="s">
        <v>16057</v>
      </c>
      <c r="O276" s="603">
        <v>1987.0</v>
      </c>
      <c r="P276" s="603" t="s">
        <v>388</v>
      </c>
      <c r="Q276" s="603">
        <v>1.0</v>
      </c>
      <c r="R276" s="619"/>
      <c r="S276" s="651"/>
      <c r="T276" s="652"/>
      <c r="U276" s="652"/>
      <c r="V276" s="652"/>
      <c r="W276" s="652"/>
      <c r="X276" s="652"/>
      <c r="Y276" s="652"/>
      <c r="Z276" s="652"/>
      <c r="AA276" s="652"/>
      <c r="AB276" s="652"/>
      <c r="AC276" s="652"/>
      <c r="AD276" s="652"/>
      <c r="AE276" s="652"/>
      <c r="AF276" s="652"/>
      <c r="AG276" s="652"/>
      <c r="AH276" s="652"/>
      <c r="AI276" s="652"/>
      <c r="AJ276" s="652"/>
      <c r="AK276" s="652"/>
      <c r="AL276" s="652"/>
    </row>
    <row r="277" ht="15.75" customHeight="1">
      <c r="A277" s="425"/>
      <c r="B277" s="658" t="s">
        <v>16170</v>
      </c>
      <c r="C277" s="639" t="s">
        <v>16171</v>
      </c>
      <c r="D277" s="639" t="s">
        <v>16172</v>
      </c>
      <c r="E277" s="659" t="s">
        <v>16173</v>
      </c>
      <c r="F277" s="639" t="s">
        <v>2355</v>
      </c>
      <c r="G277" s="639" t="s">
        <v>29</v>
      </c>
      <c r="H277" s="639" t="s">
        <v>37</v>
      </c>
      <c r="I277" s="639"/>
      <c r="J277" s="639" t="s">
        <v>38</v>
      </c>
      <c r="K277" s="639">
        <f>2168+51</f>
        <v>2219</v>
      </c>
      <c r="L277" s="639" t="s">
        <v>16174</v>
      </c>
      <c r="M277" s="639"/>
      <c r="N277" s="639" t="s">
        <v>16175</v>
      </c>
      <c r="O277" s="639">
        <v>2012.0</v>
      </c>
      <c r="P277" s="639" t="s">
        <v>388</v>
      </c>
      <c r="Q277" s="639">
        <v>1.0</v>
      </c>
      <c r="R277" s="619">
        <v>1.0</v>
      </c>
      <c r="S277" s="651"/>
      <c r="T277" s="424"/>
      <c r="U277" s="425"/>
      <c r="V277" s="425"/>
      <c r="W277" s="425"/>
      <c r="X277" s="425"/>
      <c r="Y277" s="425"/>
      <c r="Z277" s="425"/>
      <c r="AA277" s="425"/>
      <c r="AB277" s="425"/>
      <c r="AC277" s="425"/>
      <c r="AD277" s="425"/>
      <c r="AE277" s="425"/>
      <c r="AF277" s="425"/>
      <c r="AG277" s="425"/>
      <c r="AH277" s="425"/>
      <c r="AI277" s="425"/>
      <c r="AJ277" s="425"/>
      <c r="AK277" s="425"/>
      <c r="AL277" s="425"/>
    </row>
    <row r="278" ht="15.75" customHeight="1">
      <c r="A278" s="425"/>
      <c r="B278" s="647" t="s">
        <v>16176</v>
      </c>
      <c r="C278" s="603" t="s">
        <v>15718</v>
      </c>
      <c r="D278" s="603" t="s">
        <v>16177</v>
      </c>
      <c r="E278" s="605" t="s">
        <v>16178</v>
      </c>
      <c r="F278" s="603" t="s">
        <v>2355</v>
      </c>
      <c r="G278" s="603" t="s">
        <v>29</v>
      </c>
      <c r="H278" s="603" t="s">
        <v>37</v>
      </c>
      <c r="I278" s="603"/>
      <c r="J278" s="603" t="s">
        <v>38</v>
      </c>
      <c r="K278" s="603">
        <f>2110+26</f>
        <v>2136</v>
      </c>
      <c r="L278" s="603"/>
      <c r="M278" s="603"/>
      <c r="N278" s="603" t="s">
        <v>16175</v>
      </c>
      <c r="O278" s="603">
        <v>1996.0</v>
      </c>
      <c r="P278" s="603" t="s">
        <v>388</v>
      </c>
      <c r="Q278" s="603">
        <v>1.0</v>
      </c>
      <c r="R278" s="619"/>
      <c r="S278" s="651"/>
      <c r="T278" s="652"/>
      <c r="U278" s="652"/>
      <c r="V278" s="652"/>
      <c r="W278" s="652"/>
      <c r="X278" s="652"/>
      <c r="Y278" s="652"/>
      <c r="Z278" s="652"/>
      <c r="AA278" s="652"/>
      <c r="AB278" s="652"/>
      <c r="AC278" s="652"/>
      <c r="AD278" s="652"/>
      <c r="AE278" s="652"/>
      <c r="AF278" s="652"/>
      <c r="AG278" s="652"/>
      <c r="AH278" s="652"/>
      <c r="AI278" s="652"/>
      <c r="AJ278" s="652"/>
      <c r="AK278" s="652"/>
      <c r="AL278" s="652"/>
    </row>
    <row r="279" ht="15.75" customHeight="1">
      <c r="A279" s="425"/>
      <c r="B279" s="647" t="s">
        <v>16179</v>
      </c>
      <c r="C279" s="603" t="s">
        <v>16180</v>
      </c>
      <c r="D279" s="603" t="s">
        <v>16181</v>
      </c>
      <c r="E279" s="605" t="s">
        <v>16182</v>
      </c>
      <c r="F279" s="603" t="s">
        <v>2355</v>
      </c>
      <c r="G279" s="603" t="s">
        <v>29</v>
      </c>
      <c r="H279" s="603" t="s">
        <v>37</v>
      </c>
      <c r="I279" s="603"/>
      <c r="J279" s="603" t="s">
        <v>38</v>
      </c>
      <c r="K279" s="603">
        <f>3223+18</f>
        <v>3241</v>
      </c>
      <c r="L279" s="603"/>
      <c r="M279" s="603"/>
      <c r="N279" s="603" t="s">
        <v>382</v>
      </c>
      <c r="O279" s="603">
        <v>1999.0</v>
      </c>
      <c r="P279" s="603" t="s">
        <v>388</v>
      </c>
      <c r="Q279" s="603">
        <v>1.0</v>
      </c>
      <c r="R279" s="619"/>
      <c r="S279" s="651"/>
      <c r="T279" s="652"/>
      <c r="U279" s="652"/>
      <c r="V279" s="652"/>
      <c r="W279" s="652"/>
      <c r="X279" s="652"/>
      <c r="Y279" s="652"/>
      <c r="Z279" s="652"/>
      <c r="AA279" s="652"/>
      <c r="AB279" s="652"/>
      <c r="AC279" s="652"/>
      <c r="AD279" s="652"/>
      <c r="AE279" s="652"/>
      <c r="AF279" s="652"/>
      <c r="AG279" s="652"/>
      <c r="AH279" s="652"/>
      <c r="AI279" s="652"/>
      <c r="AJ279" s="652"/>
      <c r="AK279" s="652"/>
      <c r="AL279" s="652"/>
    </row>
    <row r="280" ht="15.75" customHeight="1">
      <c r="A280" s="425"/>
      <c r="B280" s="647" t="s">
        <v>16183</v>
      </c>
      <c r="C280" s="603" t="s">
        <v>16184</v>
      </c>
      <c r="D280" s="603" t="s">
        <v>16185</v>
      </c>
      <c r="E280" s="605" t="s">
        <v>16186</v>
      </c>
      <c r="F280" s="603" t="s">
        <v>2355</v>
      </c>
      <c r="G280" s="603" t="s">
        <v>29</v>
      </c>
      <c r="H280" s="603" t="s">
        <v>37</v>
      </c>
      <c r="I280" s="603"/>
      <c r="J280" s="603" t="s">
        <v>38</v>
      </c>
      <c r="K280" s="603">
        <f>1663+13+29</f>
        <v>1705</v>
      </c>
      <c r="L280" s="603" t="s">
        <v>16187</v>
      </c>
      <c r="M280" s="603"/>
      <c r="N280" s="603" t="s">
        <v>10580</v>
      </c>
      <c r="O280" s="603">
        <v>2008.0</v>
      </c>
      <c r="P280" s="603" t="s">
        <v>388</v>
      </c>
      <c r="Q280" s="603">
        <v>1.0</v>
      </c>
      <c r="R280" s="651"/>
      <c r="S280" s="651"/>
      <c r="T280" s="652"/>
      <c r="U280" s="652"/>
      <c r="V280" s="652"/>
      <c r="W280" s="652"/>
      <c r="X280" s="652"/>
      <c r="Y280" s="652"/>
      <c r="Z280" s="652"/>
      <c r="AA280" s="652"/>
      <c r="AB280" s="652"/>
      <c r="AC280" s="652"/>
      <c r="AD280" s="652"/>
      <c r="AE280" s="652"/>
      <c r="AF280" s="652"/>
      <c r="AG280" s="652"/>
      <c r="AH280" s="652"/>
      <c r="AI280" s="652"/>
      <c r="AJ280" s="652"/>
      <c r="AK280" s="652"/>
      <c r="AL280" s="652"/>
    </row>
    <row r="281" ht="15.75" customHeight="1">
      <c r="A281" s="425"/>
      <c r="B281" s="647" t="s">
        <v>16188</v>
      </c>
      <c r="C281" s="603" t="s">
        <v>16189</v>
      </c>
      <c r="D281" s="603" t="s">
        <v>16190</v>
      </c>
      <c r="E281" s="605" t="s">
        <v>16191</v>
      </c>
      <c r="F281" s="603" t="s">
        <v>2355</v>
      </c>
      <c r="G281" s="603" t="s">
        <v>29</v>
      </c>
      <c r="H281" s="603" t="s">
        <v>38</v>
      </c>
      <c r="I281" s="603"/>
      <c r="J281" s="603" t="s">
        <v>38</v>
      </c>
      <c r="K281" s="603">
        <f>1397+32</f>
        <v>1429</v>
      </c>
      <c r="L281" s="603" t="s">
        <v>16192</v>
      </c>
      <c r="M281" s="603"/>
      <c r="N281" s="603" t="s">
        <v>72</v>
      </c>
      <c r="O281" s="603">
        <v>1992.0</v>
      </c>
      <c r="P281" s="603" t="s">
        <v>388</v>
      </c>
      <c r="Q281" s="603">
        <v>1.0</v>
      </c>
      <c r="R281" s="651"/>
      <c r="S281" s="651"/>
      <c r="T281" s="652"/>
      <c r="U281" s="652"/>
      <c r="V281" s="652"/>
      <c r="W281" s="652"/>
      <c r="X281" s="652"/>
      <c r="Y281" s="652"/>
      <c r="Z281" s="652"/>
      <c r="AA281" s="652"/>
      <c r="AB281" s="652"/>
      <c r="AC281" s="652"/>
      <c r="AD281" s="652"/>
      <c r="AE281" s="652"/>
      <c r="AF281" s="652"/>
      <c r="AG281" s="652"/>
      <c r="AH281" s="652"/>
      <c r="AI281" s="652"/>
      <c r="AJ281" s="652"/>
      <c r="AK281" s="652"/>
      <c r="AL281" s="652"/>
    </row>
    <row r="282" ht="15.75" customHeight="1">
      <c r="A282" s="425"/>
      <c r="B282" s="647" t="s">
        <v>16193</v>
      </c>
      <c r="C282" s="603" t="s">
        <v>16194</v>
      </c>
      <c r="D282" s="603" t="s">
        <v>16195</v>
      </c>
      <c r="E282" s="605" t="s">
        <v>16196</v>
      </c>
      <c r="F282" s="603" t="s">
        <v>2355</v>
      </c>
      <c r="G282" s="603" t="s">
        <v>29</v>
      </c>
      <c r="H282" s="603" t="s">
        <v>7816</v>
      </c>
      <c r="I282" s="603"/>
      <c r="J282" s="603" t="s">
        <v>38</v>
      </c>
      <c r="K282" s="603">
        <f>2272</f>
        <v>2272</v>
      </c>
      <c r="L282" s="603"/>
      <c r="M282" s="603"/>
      <c r="N282" s="603" t="s">
        <v>7816</v>
      </c>
      <c r="O282" s="603">
        <v>2003.0</v>
      </c>
      <c r="P282" s="603" t="s">
        <v>388</v>
      </c>
      <c r="Q282" s="603">
        <v>1.0</v>
      </c>
      <c r="R282" s="651"/>
      <c r="S282" s="651"/>
      <c r="T282" s="652"/>
      <c r="U282" s="652"/>
      <c r="V282" s="652"/>
      <c r="W282" s="652"/>
      <c r="X282" s="652"/>
      <c r="Y282" s="652"/>
      <c r="Z282" s="652"/>
      <c r="AA282" s="652"/>
      <c r="AB282" s="652"/>
      <c r="AC282" s="652"/>
      <c r="AD282" s="652"/>
      <c r="AE282" s="652"/>
      <c r="AF282" s="652"/>
      <c r="AG282" s="652"/>
      <c r="AH282" s="652"/>
      <c r="AI282" s="652"/>
      <c r="AJ282" s="652"/>
      <c r="AK282" s="652"/>
      <c r="AL282" s="652"/>
    </row>
    <row r="283" ht="15.75" customHeight="1">
      <c r="A283" s="425"/>
      <c r="B283" s="647" t="s">
        <v>16197</v>
      </c>
      <c r="C283" s="603" t="s">
        <v>16198</v>
      </c>
      <c r="D283" s="603" t="s">
        <v>16199</v>
      </c>
      <c r="E283" s="605" t="s">
        <v>16200</v>
      </c>
      <c r="F283" s="603" t="s">
        <v>2355</v>
      </c>
      <c r="G283" s="603" t="s">
        <v>29</v>
      </c>
      <c r="H283" s="603" t="s">
        <v>37</v>
      </c>
      <c r="I283" s="603"/>
      <c r="J283" s="603" t="s">
        <v>38</v>
      </c>
      <c r="K283" s="603">
        <f>1244+16</f>
        <v>1260</v>
      </c>
      <c r="L283" s="603" t="s">
        <v>16201</v>
      </c>
      <c r="M283" s="603"/>
      <c r="N283" s="603" t="s">
        <v>16202</v>
      </c>
      <c r="O283" s="603">
        <v>1968.0</v>
      </c>
      <c r="P283" s="603" t="s">
        <v>388</v>
      </c>
      <c r="Q283" s="603">
        <v>1.0</v>
      </c>
      <c r="R283" s="651"/>
      <c r="S283" s="651"/>
      <c r="T283" s="652"/>
      <c r="U283" s="652"/>
      <c r="V283" s="652"/>
      <c r="W283" s="652"/>
      <c r="X283" s="652"/>
      <c r="Y283" s="652"/>
      <c r="Z283" s="652"/>
      <c r="AA283" s="652"/>
      <c r="AB283" s="652"/>
      <c r="AC283" s="652"/>
      <c r="AD283" s="652"/>
      <c r="AE283" s="652"/>
      <c r="AF283" s="652"/>
      <c r="AG283" s="652"/>
      <c r="AH283" s="652"/>
      <c r="AI283" s="652"/>
      <c r="AJ283" s="652"/>
      <c r="AK283" s="652"/>
      <c r="AL283" s="652"/>
    </row>
    <row r="284" ht="15.75" customHeight="1">
      <c r="A284" s="425"/>
      <c r="B284" s="647" t="s">
        <v>16203</v>
      </c>
      <c r="C284" s="430" t="s">
        <v>4515</v>
      </c>
      <c r="D284" s="430" t="s">
        <v>16204</v>
      </c>
      <c r="E284" s="432" t="s">
        <v>4517</v>
      </c>
      <c r="F284" s="430" t="s">
        <v>2355</v>
      </c>
      <c r="G284" s="430" t="s">
        <v>29</v>
      </c>
      <c r="H284" s="430" t="s">
        <v>37</v>
      </c>
      <c r="I284" s="430"/>
      <c r="J284" s="430" t="s">
        <v>38</v>
      </c>
      <c r="K284" s="430">
        <f>288+8</f>
        <v>296</v>
      </c>
      <c r="L284" s="430"/>
      <c r="M284" s="430" t="s">
        <v>4518</v>
      </c>
      <c r="N284" s="430" t="s">
        <v>15749</v>
      </c>
      <c r="O284" s="430">
        <v>1995.0</v>
      </c>
      <c r="P284" s="430" t="s">
        <v>388</v>
      </c>
      <c r="Q284" s="430">
        <v>1.0</v>
      </c>
      <c r="R284" s="651"/>
      <c r="S284" s="651"/>
      <c r="T284" s="652"/>
      <c r="U284" s="652"/>
      <c r="V284" s="652"/>
      <c r="W284" s="652"/>
      <c r="X284" s="652"/>
      <c r="Y284" s="652"/>
      <c r="Z284" s="652"/>
      <c r="AA284" s="652"/>
      <c r="AB284" s="652"/>
      <c r="AC284" s="652"/>
      <c r="AD284" s="652"/>
      <c r="AE284" s="652"/>
      <c r="AF284" s="652"/>
      <c r="AG284" s="652"/>
      <c r="AH284" s="652"/>
      <c r="AI284" s="652"/>
      <c r="AJ284" s="652"/>
      <c r="AK284" s="652"/>
      <c r="AL284" s="652"/>
    </row>
    <row r="285" ht="15.75" customHeight="1">
      <c r="A285" s="425"/>
      <c r="B285" s="647" t="s">
        <v>16205</v>
      </c>
      <c r="C285" s="430" t="s">
        <v>15232</v>
      </c>
      <c r="D285" s="430" t="s">
        <v>16206</v>
      </c>
      <c r="E285" s="432" t="s">
        <v>16207</v>
      </c>
      <c r="F285" s="430" t="s">
        <v>2355</v>
      </c>
      <c r="G285" s="430" t="s">
        <v>29</v>
      </c>
      <c r="H285" s="430" t="s">
        <v>30</v>
      </c>
      <c r="I285" s="430"/>
      <c r="J285" s="430" t="s">
        <v>30</v>
      </c>
      <c r="K285" s="430">
        <f>320</f>
        <v>320</v>
      </c>
      <c r="L285" s="430"/>
      <c r="M285" s="430"/>
      <c r="N285" s="430" t="s">
        <v>15235</v>
      </c>
      <c r="O285" s="430">
        <v>1986.0</v>
      </c>
      <c r="P285" s="430" t="s">
        <v>388</v>
      </c>
      <c r="Q285" s="430">
        <v>1.0</v>
      </c>
      <c r="R285" s="651"/>
      <c r="S285" s="651"/>
      <c r="T285" s="652"/>
      <c r="U285" s="652"/>
      <c r="V285" s="652"/>
      <c r="W285" s="652"/>
      <c r="X285" s="652"/>
      <c r="Y285" s="652"/>
      <c r="Z285" s="652"/>
      <c r="AA285" s="652"/>
      <c r="AB285" s="652"/>
      <c r="AC285" s="652"/>
      <c r="AD285" s="652"/>
      <c r="AE285" s="652"/>
      <c r="AF285" s="652"/>
      <c r="AG285" s="652"/>
      <c r="AH285" s="652"/>
      <c r="AI285" s="652"/>
      <c r="AJ285" s="652"/>
      <c r="AK285" s="652"/>
      <c r="AL285" s="652"/>
    </row>
    <row r="286" ht="15.75" customHeight="1">
      <c r="A286" s="425"/>
      <c r="B286" s="653" t="s">
        <v>16208</v>
      </c>
      <c r="C286" s="191" t="s">
        <v>16209</v>
      </c>
      <c r="D286" s="186" t="s">
        <v>16210</v>
      </c>
      <c r="E286" s="188" t="s">
        <v>16211</v>
      </c>
      <c r="F286" s="186" t="s">
        <v>2355</v>
      </c>
      <c r="G286" s="186" t="s">
        <v>29</v>
      </c>
      <c r="H286" s="186" t="s">
        <v>37</v>
      </c>
      <c r="I286" s="186"/>
      <c r="J286" s="186" t="s">
        <v>38</v>
      </c>
      <c r="K286" s="186">
        <f t="shared" ref="K286:K287" si="2">848+272+2+11</f>
        <v>1133</v>
      </c>
      <c r="L286" s="186"/>
      <c r="M286" s="186"/>
      <c r="N286" s="186" t="s">
        <v>4836</v>
      </c>
      <c r="O286" s="186" t="s">
        <v>31</v>
      </c>
      <c r="P286" s="191">
        <v>30.0</v>
      </c>
      <c r="Q286" s="186">
        <v>1.0</v>
      </c>
      <c r="R286" s="660">
        <v>1.0</v>
      </c>
      <c r="S286" s="651"/>
      <c r="T286" s="652"/>
      <c r="U286" s="652"/>
      <c r="V286" s="652"/>
      <c r="W286" s="652"/>
      <c r="X286" s="652"/>
      <c r="Y286" s="652"/>
      <c r="Z286" s="652"/>
      <c r="AA286" s="652"/>
      <c r="AB286" s="652"/>
      <c r="AC286" s="652"/>
      <c r="AD286" s="652"/>
      <c r="AE286" s="652"/>
      <c r="AF286" s="652"/>
      <c r="AG286" s="652"/>
      <c r="AH286" s="652"/>
      <c r="AI286" s="652"/>
      <c r="AJ286" s="652"/>
      <c r="AK286" s="652"/>
      <c r="AL286" s="652"/>
    </row>
    <row r="287" ht="15.75" customHeight="1">
      <c r="A287" s="425"/>
      <c r="B287" s="647" t="s">
        <v>16212</v>
      </c>
      <c r="C287" s="430" t="s">
        <v>16213</v>
      </c>
      <c r="D287" s="430" t="s">
        <v>16214</v>
      </c>
      <c r="E287" s="432" t="s">
        <v>16211</v>
      </c>
      <c r="F287" s="430" t="s">
        <v>2355</v>
      </c>
      <c r="G287" s="430" t="s">
        <v>29</v>
      </c>
      <c r="H287" s="430" t="s">
        <v>37</v>
      </c>
      <c r="I287" s="430"/>
      <c r="J287" s="430" t="s">
        <v>38</v>
      </c>
      <c r="K287" s="430">
        <f t="shared" si="2"/>
        <v>1133</v>
      </c>
      <c r="L287" s="430"/>
      <c r="M287" s="430"/>
      <c r="N287" s="430" t="s">
        <v>4836</v>
      </c>
      <c r="O287" s="430">
        <v>1980.0</v>
      </c>
      <c r="P287" s="430" t="s">
        <v>388</v>
      </c>
      <c r="Q287" s="430">
        <v>1.0</v>
      </c>
      <c r="R287" s="651"/>
      <c r="S287" s="651"/>
      <c r="T287" s="652"/>
      <c r="U287" s="652"/>
      <c r="V287" s="652"/>
      <c r="W287" s="652"/>
      <c r="X287" s="652"/>
      <c r="Y287" s="652"/>
      <c r="Z287" s="652"/>
      <c r="AA287" s="652"/>
      <c r="AB287" s="652"/>
      <c r="AC287" s="652"/>
      <c r="AD287" s="652"/>
      <c r="AE287" s="652"/>
      <c r="AF287" s="652"/>
      <c r="AG287" s="652"/>
      <c r="AH287" s="652"/>
      <c r="AI287" s="652"/>
      <c r="AJ287" s="652"/>
      <c r="AK287" s="652"/>
      <c r="AL287" s="652"/>
    </row>
    <row r="288" ht="15.75" customHeight="1">
      <c r="A288" s="425"/>
      <c r="B288" s="647" t="s">
        <v>16215</v>
      </c>
      <c r="C288" s="430" t="s">
        <v>16216</v>
      </c>
      <c r="D288" s="430" t="s">
        <v>16217</v>
      </c>
      <c r="E288" s="432" t="s">
        <v>16218</v>
      </c>
      <c r="F288" s="430" t="s">
        <v>2355</v>
      </c>
      <c r="G288" s="430" t="s">
        <v>29</v>
      </c>
      <c r="H288" s="430" t="s">
        <v>37</v>
      </c>
      <c r="I288" s="430"/>
      <c r="J288" s="430" t="s">
        <v>38</v>
      </c>
      <c r="K288" s="430">
        <f>1473+4+22</f>
        <v>1499</v>
      </c>
      <c r="L288" s="430"/>
      <c r="M288" s="430"/>
      <c r="N288" s="430" t="s">
        <v>4033</v>
      </c>
      <c r="O288" s="430">
        <v>1995.0</v>
      </c>
      <c r="P288" s="430" t="s">
        <v>388</v>
      </c>
      <c r="Q288" s="430">
        <v>1.0</v>
      </c>
      <c r="R288" s="651"/>
      <c r="S288" s="651"/>
      <c r="T288" s="652"/>
      <c r="U288" s="652"/>
      <c r="V288" s="652"/>
      <c r="W288" s="652"/>
      <c r="X288" s="652"/>
      <c r="Y288" s="652"/>
      <c r="Z288" s="652"/>
      <c r="AA288" s="652"/>
      <c r="AB288" s="652"/>
      <c r="AC288" s="652"/>
      <c r="AD288" s="652"/>
      <c r="AE288" s="652"/>
      <c r="AF288" s="652"/>
      <c r="AG288" s="652"/>
      <c r="AH288" s="652"/>
      <c r="AI288" s="652"/>
      <c r="AJ288" s="652"/>
      <c r="AK288" s="652"/>
      <c r="AL288" s="652"/>
    </row>
    <row r="289" ht="15.75" customHeight="1">
      <c r="A289" s="425"/>
      <c r="B289" s="653" t="s">
        <v>16219</v>
      </c>
      <c r="C289" s="413" t="s">
        <v>16220</v>
      </c>
      <c r="D289" s="503" t="s">
        <v>16221</v>
      </c>
      <c r="E289" s="558" t="s">
        <v>16222</v>
      </c>
      <c r="F289" s="413" t="s">
        <v>2355</v>
      </c>
      <c r="G289" s="413" t="s">
        <v>29</v>
      </c>
      <c r="H289" s="413" t="s">
        <v>37</v>
      </c>
      <c r="I289" s="413"/>
      <c r="J289" s="413" t="s">
        <v>38</v>
      </c>
      <c r="K289" s="413">
        <f>1646+16+2</f>
        <v>1664</v>
      </c>
      <c r="L289" s="413"/>
      <c r="M289" s="413"/>
      <c r="N289" s="413" t="s">
        <v>16223</v>
      </c>
      <c r="O289" s="413">
        <v>1990.0</v>
      </c>
      <c r="P289" s="503">
        <v>30.0</v>
      </c>
      <c r="Q289" s="413">
        <v>1.0</v>
      </c>
      <c r="R289" s="660">
        <v>1.0</v>
      </c>
      <c r="S289" s="651"/>
      <c r="T289" s="652"/>
      <c r="U289" s="652"/>
      <c r="V289" s="652"/>
      <c r="W289" s="652"/>
      <c r="X289" s="652"/>
      <c r="Y289" s="652"/>
      <c r="Z289" s="652"/>
      <c r="AA289" s="652"/>
      <c r="AB289" s="652"/>
      <c r="AC289" s="652"/>
      <c r="AD289" s="652"/>
      <c r="AE289" s="652"/>
      <c r="AF289" s="652"/>
      <c r="AG289" s="652"/>
      <c r="AH289" s="652"/>
      <c r="AI289" s="652"/>
      <c r="AJ289" s="652"/>
      <c r="AK289" s="652"/>
      <c r="AL289" s="652"/>
    </row>
    <row r="290" ht="15.75" customHeight="1">
      <c r="A290" s="425"/>
      <c r="B290" s="647" t="s">
        <v>16224</v>
      </c>
      <c r="C290" s="603" t="s">
        <v>16225</v>
      </c>
      <c r="D290" s="603" t="s">
        <v>16226</v>
      </c>
      <c r="E290" s="605" t="s">
        <v>16227</v>
      </c>
      <c r="F290" s="603" t="s">
        <v>2355</v>
      </c>
      <c r="G290" s="603" t="s">
        <v>29</v>
      </c>
      <c r="H290" s="603" t="s">
        <v>37</v>
      </c>
      <c r="I290" s="603"/>
      <c r="J290" s="603" t="s">
        <v>38</v>
      </c>
      <c r="K290" s="603">
        <f>1460+18</f>
        <v>1478</v>
      </c>
      <c r="L290" s="603"/>
      <c r="M290" s="603"/>
      <c r="N290" s="603" t="s">
        <v>16228</v>
      </c>
      <c r="O290" s="603">
        <v>2009.0</v>
      </c>
      <c r="P290" s="603" t="s">
        <v>388</v>
      </c>
      <c r="Q290" s="603">
        <v>1.0</v>
      </c>
      <c r="R290" s="651"/>
      <c r="S290" s="651"/>
      <c r="T290" s="652"/>
      <c r="U290" s="652"/>
      <c r="V290" s="652"/>
      <c r="W290" s="652"/>
      <c r="X290" s="652"/>
      <c r="Y290" s="652"/>
      <c r="Z290" s="652"/>
      <c r="AA290" s="652"/>
      <c r="AB290" s="652"/>
      <c r="AC290" s="652"/>
      <c r="AD290" s="652"/>
      <c r="AE290" s="652"/>
      <c r="AF290" s="652"/>
      <c r="AG290" s="652"/>
      <c r="AH290" s="652"/>
      <c r="AI290" s="652"/>
      <c r="AJ290" s="652"/>
      <c r="AK290" s="652"/>
      <c r="AL290" s="652"/>
    </row>
    <row r="291" ht="15.75" customHeight="1">
      <c r="A291" s="425"/>
      <c r="B291" s="647" t="s">
        <v>16229</v>
      </c>
      <c r="C291" s="603" t="s">
        <v>16230</v>
      </c>
      <c r="D291" s="603" t="s">
        <v>16231</v>
      </c>
      <c r="E291" s="605" t="s">
        <v>16232</v>
      </c>
      <c r="F291" s="603" t="s">
        <v>2355</v>
      </c>
      <c r="G291" s="603" t="s">
        <v>29</v>
      </c>
      <c r="H291" s="603" t="s">
        <v>127</v>
      </c>
      <c r="I291" s="603"/>
      <c r="J291" s="603" t="s">
        <v>38</v>
      </c>
      <c r="K291" s="603">
        <f>923+4+14</f>
        <v>941</v>
      </c>
      <c r="L291" s="603"/>
      <c r="M291" s="603"/>
      <c r="N291" s="603" t="s">
        <v>15919</v>
      </c>
      <c r="O291" s="603">
        <v>1991.0</v>
      </c>
      <c r="P291" s="603" t="s">
        <v>388</v>
      </c>
      <c r="Q291" s="603">
        <v>1.0</v>
      </c>
      <c r="R291" s="651"/>
      <c r="S291" s="651"/>
      <c r="T291" s="652"/>
      <c r="U291" s="652"/>
      <c r="V291" s="652"/>
      <c r="W291" s="652"/>
      <c r="X291" s="652"/>
      <c r="Y291" s="652"/>
      <c r="Z291" s="652"/>
      <c r="AA291" s="652"/>
      <c r="AB291" s="652"/>
      <c r="AC291" s="652"/>
      <c r="AD291" s="652"/>
      <c r="AE291" s="652"/>
      <c r="AF291" s="652"/>
      <c r="AG291" s="652"/>
      <c r="AH291" s="652"/>
      <c r="AI291" s="652"/>
      <c r="AJ291" s="652"/>
      <c r="AK291" s="652"/>
      <c r="AL291" s="652"/>
    </row>
    <row r="292" ht="15.75" customHeight="1">
      <c r="A292" s="425"/>
      <c r="B292" s="647" t="s">
        <v>16233</v>
      </c>
      <c r="C292" s="603" t="s">
        <v>16234</v>
      </c>
      <c r="D292" s="603" t="s">
        <v>16235</v>
      </c>
      <c r="E292" s="605" t="s">
        <v>16236</v>
      </c>
      <c r="F292" s="603" t="s">
        <v>2355</v>
      </c>
      <c r="G292" s="603" t="s">
        <v>29</v>
      </c>
      <c r="H292" s="603" t="s">
        <v>37</v>
      </c>
      <c r="I292" s="603"/>
      <c r="J292" s="603" t="s">
        <v>38</v>
      </c>
      <c r="K292" s="603">
        <f>1130+22</f>
        <v>1152</v>
      </c>
      <c r="L292" s="603"/>
      <c r="M292" s="603"/>
      <c r="N292" s="603" t="s">
        <v>16237</v>
      </c>
      <c r="O292" s="603">
        <v>2011.0</v>
      </c>
      <c r="P292" s="603" t="s">
        <v>388</v>
      </c>
      <c r="Q292" s="603">
        <v>1.0</v>
      </c>
      <c r="R292" s="651"/>
      <c r="S292" s="651"/>
      <c r="T292" s="652"/>
      <c r="U292" s="652"/>
      <c r="V292" s="652"/>
      <c r="W292" s="652"/>
      <c r="X292" s="652"/>
      <c r="Y292" s="652"/>
      <c r="Z292" s="652"/>
      <c r="AA292" s="652"/>
      <c r="AB292" s="652"/>
      <c r="AC292" s="652"/>
      <c r="AD292" s="652"/>
      <c r="AE292" s="652"/>
      <c r="AF292" s="652"/>
      <c r="AG292" s="652"/>
      <c r="AH292" s="652"/>
      <c r="AI292" s="652"/>
      <c r="AJ292" s="652"/>
      <c r="AK292" s="652"/>
      <c r="AL292" s="652"/>
    </row>
    <row r="293" ht="15.75" customHeight="1">
      <c r="A293" s="425"/>
      <c r="B293" s="647" t="s">
        <v>16238</v>
      </c>
      <c r="C293" s="603"/>
      <c r="D293" s="603" t="s">
        <v>16239</v>
      </c>
      <c r="E293" s="605" t="s">
        <v>16240</v>
      </c>
      <c r="F293" s="603" t="s">
        <v>2355</v>
      </c>
      <c r="G293" s="603" t="s">
        <v>29</v>
      </c>
      <c r="H293" s="603" t="s">
        <v>38</v>
      </c>
      <c r="I293" s="603"/>
      <c r="J293" s="603" t="s">
        <v>38</v>
      </c>
      <c r="K293" s="603">
        <f>943+1+291+31</f>
        <v>1266</v>
      </c>
      <c r="L293" s="603"/>
      <c r="M293" s="603"/>
      <c r="N293" s="603" t="s">
        <v>16241</v>
      </c>
      <c r="O293" s="603"/>
      <c r="P293" s="603" t="s">
        <v>388</v>
      </c>
      <c r="Q293" s="603">
        <v>1.0</v>
      </c>
      <c r="R293" s="651"/>
      <c r="S293" s="651"/>
      <c r="T293" s="652"/>
      <c r="U293" s="652"/>
      <c r="V293" s="652"/>
      <c r="W293" s="652"/>
      <c r="X293" s="652"/>
      <c r="Y293" s="652"/>
      <c r="Z293" s="652"/>
      <c r="AA293" s="652"/>
      <c r="AB293" s="652"/>
      <c r="AC293" s="652"/>
      <c r="AD293" s="652"/>
      <c r="AE293" s="652"/>
      <c r="AF293" s="652"/>
      <c r="AG293" s="652"/>
      <c r="AH293" s="652"/>
      <c r="AI293" s="652"/>
      <c r="AJ293" s="652"/>
      <c r="AK293" s="652"/>
      <c r="AL293" s="652"/>
    </row>
    <row r="294" ht="15.75" customHeight="1">
      <c r="A294" s="425"/>
      <c r="B294" s="647" t="s">
        <v>16242</v>
      </c>
      <c r="C294" s="603" t="s">
        <v>16243</v>
      </c>
      <c r="D294" s="603" t="s">
        <v>16244</v>
      </c>
      <c r="E294" s="605" t="s">
        <v>16245</v>
      </c>
      <c r="F294" s="603" t="s">
        <v>2355</v>
      </c>
      <c r="G294" s="603" t="s">
        <v>29</v>
      </c>
      <c r="H294" s="603" t="s">
        <v>37</v>
      </c>
      <c r="I294" s="603"/>
      <c r="J294" s="603" t="s">
        <v>38</v>
      </c>
      <c r="K294" s="603">
        <f>1942+20+4+18</f>
        <v>1984</v>
      </c>
      <c r="L294" s="603"/>
      <c r="M294" s="603"/>
      <c r="N294" s="603" t="s">
        <v>10580</v>
      </c>
      <c r="O294" s="603">
        <v>2014.0</v>
      </c>
      <c r="P294" s="603" t="s">
        <v>388</v>
      </c>
      <c r="Q294" s="603">
        <v>1.0</v>
      </c>
      <c r="R294" s="651"/>
      <c r="S294" s="651"/>
      <c r="T294" s="652"/>
      <c r="U294" s="652"/>
      <c r="V294" s="652"/>
      <c r="W294" s="652"/>
      <c r="X294" s="652"/>
      <c r="Y294" s="652"/>
      <c r="Z294" s="652"/>
      <c r="AA294" s="652"/>
      <c r="AB294" s="652"/>
      <c r="AC294" s="652"/>
      <c r="AD294" s="652"/>
      <c r="AE294" s="652"/>
      <c r="AF294" s="652"/>
      <c r="AG294" s="652"/>
      <c r="AH294" s="652"/>
      <c r="AI294" s="652"/>
      <c r="AJ294" s="652"/>
      <c r="AK294" s="652"/>
      <c r="AL294" s="652"/>
    </row>
    <row r="295" ht="15.75" customHeight="1">
      <c r="A295" s="425"/>
      <c r="B295" s="647" t="s">
        <v>16246</v>
      </c>
      <c r="C295" s="603" t="s">
        <v>16247</v>
      </c>
      <c r="D295" s="603" t="s">
        <v>16248</v>
      </c>
      <c r="E295" s="605" t="s">
        <v>16249</v>
      </c>
      <c r="F295" s="603" t="s">
        <v>2355</v>
      </c>
      <c r="G295" s="603" t="s">
        <v>29</v>
      </c>
      <c r="H295" s="603" t="s">
        <v>37</v>
      </c>
      <c r="I295" s="603"/>
      <c r="J295" s="603" t="s">
        <v>38</v>
      </c>
      <c r="K295" s="603">
        <f>2025+22</f>
        <v>2047</v>
      </c>
      <c r="L295" s="603"/>
      <c r="M295" s="603"/>
      <c r="N295" s="603" t="s">
        <v>382</v>
      </c>
      <c r="O295" s="603">
        <v>1999.0</v>
      </c>
      <c r="P295" s="603" t="s">
        <v>388</v>
      </c>
      <c r="Q295" s="603">
        <v>1.0</v>
      </c>
      <c r="R295" s="651"/>
      <c r="S295" s="651"/>
      <c r="T295" s="652"/>
      <c r="U295" s="652"/>
      <c r="V295" s="652"/>
      <c r="W295" s="652"/>
      <c r="X295" s="652"/>
      <c r="Y295" s="652"/>
      <c r="Z295" s="652"/>
      <c r="AA295" s="652"/>
      <c r="AB295" s="652"/>
      <c r="AC295" s="652"/>
      <c r="AD295" s="652"/>
      <c r="AE295" s="652"/>
      <c r="AF295" s="652"/>
      <c r="AG295" s="652"/>
      <c r="AH295" s="652"/>
      <c r="AI295" s="652"/>
      <c r="AJ295" s="652"/>
      <c r="AK295" s="652"/>
      <c r="AL295" s="652"/>
    </row>
    <row r="296" ht="15.75" customHeight="1">
      <c r="A296" s="425"/>
      <c r="B296" s="647" t="s">
        <v>16250</v>
      </c>
      <c r="C296" s="603"/>
      <c r="D296" s="603" t="s">
        <v>16251</v>
      </c>
      <c r="E296" s="605" t="s">
        <v>16252</v>
      </c>
      <c r="F296" s="603" t="s">
        <v>2355</v>
      </c>
      <c r="G296" s="603" t="s">
        <v>29</v>
      </c>
      <c r="H296" s="603" t="s">
        <v>37</v>
      </c>
      <c r="I296" s="603"/>
      <c r="J296" s="603" t="s">
        <v>38</v>
      </c>
      <c r="K296" s="603">
        <f>593+3+183+46</f>
        <v>825</v>
      </c>
      <c r="L296" s="603"/>
      <c r="M296" s="603"/>
      <c r="N296" s="603" t="s">
        <v>16057</v>
      </c>
      <c r="O296" s="603">
        <v>1989.0</v>
      </c>
      <c r="P296" s="603" t="s">
        <v>388</v>
      </c>
      <c r="Q296" s="603">
        <v>1.0</v>
      </c>
      <c r="R296" s="651"/>
      <c r="S296" s="651"/>
      <c r="T296" s="652"/>
      <c r="U296" s="652"/>
      <c r="V296" s="652"/>
      <c r="W296" s="652"/>
      <c r="X296" s="652"/>
      <c r="Y296" s="652"/>
      <c r="Z296" s="652"/>
      <c r="AA296" s="652"/>
      <c r="AB296" s="652"/>
      <c r="AC296" s="652"/>
      <c r="AD296" s="652"/>
      <c r="AE296" s="652"/>
      <c r="AF296" s="652"/>
      <c r="AG296" s="652"/>
      <c r="AH296" s="652"/>
      <c r="AI296" s="652"/>
      <c r="AJ296" s="652"/>
      <c r="AK296" s="652"/>
      <c r="AL296" s="652"/>
    </row>
    <row r="297" ht="15.75" customHeight="1">
      <c r="A297" s="425"/>
      <c r="B297" s="647" t="s">
        <v>16253</v>
      </c>
      <c r="C297" s="603"/>
      <c r="D297" s="603" t="s">
        <v>16254</v>
      </c>
      <c r="E297" s="605" t="s">
        <v>16255</v>
      </c>
      <c r="F297" s="603" t="s">
        <v>2355</v>
      </c>
      <c r="G297" s="603" t="s">
        <v>29</v>
      </c>
      <c r="H297" s="603" t="s">
        <v>37</v>
      </c>
      <c r="I297" s="603"/>
      <c r="J297" s="603" t="s">
        <v>38</v>
      </c>
      <c r="K297" s="603">
        <f>1012+12</f>
        <v>1024</v>
      </c>
      <c r="L297" s="603"/>
      <c r="M297" s="603"/>
      <c r="N297" s="603" t="s">
        <v>16223</v>
      </c>
      <c r="O297" s="603">
        <v>1990.0</v>
      </c>
      <c r="P297" s="603" t="s">
        <v>388</v>
      </c>
      <c r="Q297" s="603">
        <v>1.0</v>
      </c>
      <c r="R297" s="651"/>
      <c r="S297" s="651"/>
      <c r="T297" s="652"/>
      <c r="U297" s="652"/>
      <c r="V297" s="652"/>
      <c r="W297" s="652"/>
      <c r="X297" s="652"/>
      <c r="Y297" s="652"/>
      <c r="Z297" s="652"/>
      <c r="AA297" s="652"/>
      <c r="AB297" s="652"/>
      <c r="AC297" s="652"/>
      <c r="AD297" s="652"/>
      <c r="AE297" s="652"/>
      <c r="AF297" s="652"/>
      <c r="AG297" s="652"/>
      <c r="AH297" s="652"/>
      <c r="AI297" s="652"/>
      <c r="AJ297" s="652"/>
      <c r="AK297" s="652"/>
      <c r="AL297" s="652"/>
    </row>
    <row r="298" ht="15.75" customHeight="1">
      <c r="A298" s="425"/>
      <c r="B298" s="647" t="s">
        <v>16256</v>
      </c>
      <c r="C298" s="603"/>
      <c r="D298" s="603" t="s">
        <v>16257</v>
      </c>
      <c r="E298" s="605" t="s">
        <v>16258</v>
      </c>
      <c r="F298" s="603" t="s">
        <v>2355</v>
      </c>
      <c r="G298" s="603" t="s">
        <v>29</v>
      </c>
      <c r="H298" s="603" t="s">
        <v>37</v>
      </c>
      <c r="I298" s="603"/>
      <c r="J298" s="603" t="s">
        <v>38</v>
      </c>
      <c r="K298" s="603">
        <f>1133+3+12</f>
        <v>1148</v>
      </c>
      <c r="L298" s="603"/>
      <c r="M298" s="603"/>
      <c r="N298" s="603" t="s">
        <v>4836</v>
      </c>
      <c r="O298" s="603">
        <v>1989.0</v>
      </c>
      <c r="P298" s="603" t="s">
        <v>388</v>
      </c>
      <c r="Q298" s="603">
        <v>1.0</v>
      </c>
      <c r="R298" s="651"/>
      <c r="S298" s="651"/>
      <c r="T298" s="652"/>
      <c r="U298" s="652"/>
      <c r="V298" s="652"/>
      <c r="W298" s="652"/>
      <c r="X298" s="652"/>
      <c r="Y298" s="652"/>
      <c r="Z298" s="652"/>
      <c r="AA298" s="652"/>
      <c r="AB298" s="652"/>
      <c r="AC298" s="652"/>
      <c r="AD298" s="652"/>
      <c r="AE298" s="652"/>
      <c r="AF298" s="652"/>
      <c r="AG298" s="652"/>
      <c r="AH298" s="652"/>
      <c r="AI298" s="652"/>
      <c r="AJ298" s="652"/>
      <c r="AK298" s="652"/>
      <c r="AL298" s="652"/>
    </row>
    <row r="299" ht="15.75" customHeight="1">
      <c r="A299" s="425"/>
      <c r="B299" s="647" t="s">
        <v>16259</v>
      </c>
      <c r="C299" s="603"/>
      <c r="D299" s="603" t="s">
        <v>16260</v>
      </c>
      <c r="E299" s="605" t="s">
        <v>16261</v>
      </c>
      <c r="F299" s="603" t="s">
        <v>2355</v>
      </c>
      <c r="G299" s="603" t="s">
        <v>29</v>
      </c>
      <c r="H299" s="603" t="s">
        <v>37</v>
      </c>
      <c r="I299" s="603"/>
      <c r="J299" s="603" t="s">
        <v>38</v>
      </c>
      <c r="K299" s="603">
        <f>848+274+4</f>
        <v>1126</v>
      </c>
      <c r="L299" s="603"/>
      <c r="M299" s="603"/>
      <c r="N299" s="603" t="s">
        <v>4836</v>
      </c>
      <c r="O299" s="603">
        <v>1965.0</v>
      </c>
      <c r="P299" s="603" t="s">
        <v>388</v>
      </c>
      <c r="Q299" s="603">
        <v>1.0</v>
      </c>
      <c r="R299" s="651"/>
      <c r="S299" s="651"/>
      <c r="T299" s="652"/>
      <c r="U299" s="652"/>
      <c r="V299" s="652"/>
      <c r="W299" s="652"/>
      <c r="X299" s="652"/>
      <c r="Y299" s="652"/>
      <c r="Z299" s="652"/>
      <c r="AA299" s="652"/>
      <c r="AB299" s="652"/>
      <c r="AC299" s="652"/>
      <c r="AD299" s="652"/>
      <c r="AE299" s="652"/>
      <c r="AF299" s="652"/>
      <c r="AG299" s="652"/>
      <c r="AH299" s="652"/>
      <c r="AI299" s="652"/>
      <c r="AJ299" s="652"/>
      <c r="AK299" s="652"/>
      <c r="AL299" s="652"/>
    </row>
    <row r="300" ht="15.75" customHeight="1">
      <c r="A300" s="425"/>
      <c r="B300" s="647" t="s">
        <v>16262</v>
      </c>
      <c r="C300" s="603"/>
      <c r="D300" s="603" t="s">
        <v>16263</v>
      </c>
      <c r="E300" s="605" t="s">
        <v>15574</v>
      </c>
      <c r="F300" s="603" t="s">
        <v>2355</v>
      </c>
      <c r="G300" s="603" t="s">
        <v>29</v>
      </c>
      <c r="H300" s="603" t="s">
        <v>37</v>
      </c>
      <c r="I300" s="603"/>
      <c r="J300" s="603" t="s">
        <v>38</v>
      </c>
      <c r="K300" s="603">
        <f>843+3+242+16</f>
        <v>1104</v>
      </c>
      <c r="L300" s="603" t="s">
        <v>16264</v>
      </c>
      <c r="M300" s="603"/>
      <c r="N300" s="603" t="s">
        <v>4836</v>
      </c>
      <c r="O300" s="603">
        <v>1965.0</v>
      </c>
      <c r="P300" s="603" t="s">
        <v>388</v>
      </c>
      <c r="Q300" s="603">
        <v>1.0</v>
      </c>
      <c r="R300" s="651"/>
      <c r="S300" s="651"/>
      <c r="T300" s="652"/>
      <c r="U300" s="652"/>
      <c r="V300" s="652"/>
      <c r="W300" s="652"/>
      <c r="X300" s="652"/>
      <c r="Y300" s="652"/>
      <c r="Z300" s="652"/>
      <c r="AA300" s="652"/>
      <c r="AB300" s="652"/>
      <c r="AC300" s="652"/>
      <c r="AD300" s="652"/>
      <c r="AE300" s="652"/>
      <c r="AF300" s="652"/>
      <c r="AG300" s="652"/>
      <c r="AH300" s="652"/>
      <c r="AI300" s="652"/>
      <c r="AJ300" s="652"/>
      <c r="AK300" s="652"/>
      <c r="AL300" s="652"/>
    </row>
    <row r="301" ht="15.75" customHeight="1">
      <c r="A301" s="425"/>
      <c r="B301" s="647" t="s">
        <v>16265</v>
      </c>
      <c r="C301" s="603"/>
      <c r="D301" s="603" t="s">
        <v>16266</v>
      </c>
      <c r="E301" s="605" t="s">
        <v>16267</v>
      </c>
      <c r="F301" s="603" t="s">
        <v>2355</v>
      </c>
      <c r="G301" s="603" t="s">
        <v>29</v>
      </c>
      <c r="H301" s="603" t="s">
        <v>37</v>
      </c>
      <c r="I301" s="603"/>
      <c r="J301" s="603" t="s">
        <v>38</v>
      </c>
      <c r="K301" s="603">
        <f>1175+13+12</f>
        <v>1200</v>
      </c>
      <c r="L301" s="603" t="s">
        <v>16192</v>
      </c>
      <c r="M301" s="603"/>
      <c r="N301" s="603" t="s">
        <v>4836</v>
      </c>
      <c r="O301" s="603"/>
      <c r="P301" s="603" t="s">
        <v>388</v>
      </c>
      <c r="Q301" s="603">
        <v>1.0</v>
      </c>
      <c r="R301" s="651"/>
      <c r="S301" s="651"/>
      <c r="T301" s="652"/>
      <c r="U301" s="652"/>
      <c r="V301" s="652"/>
      <c r="W301" s="652"/>
      <c r="X301" s="652"/>
      <c r="Y301" s="652"/>
      <c r="Z301" s="652"/>
      <c r="AA301" s="652"/>
      <c r="AB301" s="652"/>
      <c r="AC301" s="652"/>
      <c r="AD301" s="652"/>
      <c r="AE301" s="652"/>
      <c r="AF301" s="652"/>
      <c r="AG301" s="652"/>
      <c r="AH301" s="652"/>
      <c r="AI301" s="652"/>
      <c r="AJ301" s="652"/>
      <c r="AK301" s="652"/>
      <c r="AL301" s="652"/>
    </row>
    <row r="302" ht="15.75" customHeight="1">
      <c r="A302" s="425"/>
      <c r="B302" s="647" t="s">
        <v>16268</v>
      </c>
      <c r="C302" s="603"/>
      <c r="D302" s="603" t="s">
        <v>16269</v>
      </c>
      <c r="E302" s="605" t="s">
        <v>16270</v>
      </c>
      <c r="F302" s="603" t="s">
        <v>2355</v>
      </c>
      <c r="G302" s="603" t="s">
        <v>29</v>
      </c>
      <c r="H302" s="603" t="s">
        <v>38</v>
      </c>
      <c r="I302" s="603"/>
      <c r="J302" s="603" t="s">
        <v>38</v>
      </c>
      <c r="K302" s="603">
        <f>878+269+2+128+8</f>
        <v>1285</v>
      </c>
      <c r="L302" s="603"/>
      <c r="M302" s="603"/>
      <c r="N302" s="603" t="s">
        <v>16271</v>
      </c>
      <c r="O302" s="603"/>
      <c r="P302" s="603" t="s">
        <v>388</v>
      </c>
      <c r="Q302" s="603">
        <v>1.0</v>
      </c>
      <c r="R302" s="651"/>
      <c r="S302" s="651"/>
      <c r="T302" s="652"/>
      <c r="U302" s="652"/>
      <c r="V302" s="652"/>
      <c r="W302" s="652"/>
      <c r="X302" s="652"/>
      <c r="Y302" s="652"/>
      <c r="Z302" s="652"/>
      <c r="AA302" s="652"/>
      <c r="AB302" s="652"/>
      <c r="AC302" s="652"/>
      <c r="AD302" s="652"/>
      <c r="AE302" s="652"/>
      <c r="AF302" s="652"/>
      <c r="AG302" s="652"/>
      <c r="AH302" s="652"/>
      <c r="AI302" s="652"/>
      <c r="AJ302" s="652"/>
      <c r="AK302" s="652"/>
      <c r="AL302" s="652"/>
    </row>
    <row r="303" ht="15.75" customHeight="1">
      <c r="A303" s="425"/>
      <c r="B303" s="647" t="s">
        <v>16272</v>
      </c>
      <c r="C303" s="603"/>
      <c r="D303" s="603" t="s">
        <v>16273</v>
      </c>
      <c r="E303" s="661" t="s">
        <v>16274</v>
      </c>
      <c r="F303" s="603" t="s">
        <v>2355</v>
      </c>
      <c r="G303" s="603" t="s">
        <v>29</v>
      </c>
      <c r="H303" s="603" t="s">
        <v>37</v>
      </c>
      <c r="I303" s="603"/>
      <c r="J303" s="603" t="s">
        <v>38</v>
      </c>
      <c r="K303" s="603"/>
      <c r="L303" s="603" t="s">
        <v>16201</v>
      </c>
      <c r="M303" s="603"/>
      <c r="N303" s="603" t="s">
        <v>4836</v>
      </c>
      <c r="O303" s="603"/>
      <c r="P303" s="603" t="s">
        <v>388</v>
      </c>
      <c r="Q303" s="603">
        <v>1.0</v>
      </c>
      <c r="R303" s="651"/>
      <c r="S303" s="651"/>
      <c r="T303" s="652"/>
      <c r="U303" s="652"/>
      <c r="V303" s="652"/>
      <c r="W303" s="652"/>
      <c r="X303" s="652"/>
      <c r="Y303" s="652"/>
      <c r="Z303" s="652"/>
      <c r="AA303" s="652"/>
      <c r="AB303" s="652"/>
      <c r="AC303" s="652"/>
      <c r="AD303" s="652"/>
      <c r="AE303" s="652"/>
      <c r="AF303" s="652"/>
      <c r="AG303" s="652"/>
      <c r="AH303" s="652"/>
      <c r="AI303" s="652"/>
      <c r="AJ303" s="652"/>
      <c r="AK303" s="652"/>
      <c r="AL303" s="652"/>
    </row>
    <row r="304" ht="15.75" customHeight="1">
      <c r="A304" s="425"/>
      <c r="B304" s="647" t="s">
        <v>16275</v>
      </c>
      <c r="C304" s="603"/>
      <c r="D304" s="603" t="s">
        <v>16214</v>
      </c>
      <c r="E304" s="605" t="s">
        <v>16276</v>
      </c>
      <c r="F304" s="603" t="s">
        <v>2355</v>
      </c>
      <c r="G304" s="603" t="s">
        <v>29</v>
      </c>
      <c r="H304" s="603" t="s">
        <v>37</v>
      </c>
      <c r="I304" s="603"/>
      <c r="J304" s="603" t="s">
        <v>38</v>
      </c>
      <c r="K304" s="603">
        <f>405+45+5+1318</f>
        <v>1773</v>
      </c>
      <c r="L304" s="603" t="s">
        <v>4612</v>
      </c>
      <c r="M304" s="603"/>
      <c r="N304" s="603" t="s">
        <v>16277</v>
      </c>
      <c r="O304" s="603"/>
      <c r="P304" s="603" t="s">
        <v>388</v>
      </c>
      <c r="Q304" s="603">
        <v>1.0</v>
      </c>
      <c r="R304" s="651"/>
      <c r="S304" s="651"/>
      <c r="T304" s="652"/>
      <c r="U304" s="652"/>
      <c r="V304" s="652"/>
      <c r="W304" s="652"/>
      <c r="X304" s="652"/>
      <c r="Y304" s="652"/>
      <c r="Z304" s="652"/>
      <c r="AA304" s="652"/>
      <c r="AB304" s="652"/>
      <c r="AC304" s="652"/>
      <c r="AD304" s="652"/>
      <c r="AE304" s="652"/>
      <c r="AF304" s="652"/>
      <c r="AG304" s="652"/>
      <c r="AH304" s="652"/>
      <c r="AI304" s="652"/>
      <c r="AJ304" s="652"/>
      <c r="AK304" s="652"/>
      <c r="AL304" s="652"/>
    </row>
    <row r="305" ht="15.75" customHeight="1">
      <c r="A305" s="425"/>
      <c r="B305" s="647" t="s">
        <v>16278</v>
      </c>
      <c r="C305" s="603"/>
      <c r="D305" s="603" t="s">
        <v>16279</v>
      </c>
      <c r="E305" s="605" t="s">
        <v>16280</v>
      </c>
      <c r="F305" s="603" t="s">
        <v>2355</v>
      </c>
      <c r="G305" s="603" t="s">
        <v>29</v>
      </c>
      <c r="H305" s="603" t="s">
        <v>38</v>
      </c>
      <c r="I305" s="603"/>
      <c r="J305" s="603" t="s">
        <v>38</v>
      </c>
      <c r="K305" s="603">
        <f>1266+9</f>
        <v>1275</v>
      </c>
      <c r="L305" s="603" t="s">
        <v>137</v>
      </c>
      <c r="M305" s="603"/>
      <c r="N305" s="603" t="s">
        <v>6409</v>
      </c>
      <c r="O305" s="603"/>
      <c r="P305" s="603" t="s">
        <v>388</v>
      </c>
      <c r="Q305" s="603">
        <v>1.0</v>
      </c>
      <c r="R305" s="651"/>
      <c r="S305" s="651"/>
      <c r="T305" s="652"/>
      <c r="U305" s="652"/>
      <c r="V305" s="652"/>
      <c r="W305" s="652"/>
      <c r="X305" s="652"/>
      <c r="Y305" s="652"/>
      <c r="Z305" s="652"/>
      <c r="AA305" s="652"/>
      <c r="AB305" s="652"/>
      <c r="AC305" s="652"/>
      <c r="AD305" s="652"/>
      <c r="AE305" s="652"/>
      <c r="AF305" s="652"/>
      <c r="AG305" s="652"/>
      <c r="AH305" s="652"/>
      <c r="AI305" s="652"/>
      <c r="AJ305" s="652"/>
      <c r="AK305" s="652"/>
      <c r="AL305" s="652"/>
    </row>
    <row r="306" ht="15.75" customHeight="1">
      <c r="A306" s="425"/>
      <c r="B306" s="647" t="s">
        <v>16281</v>
      </c>
      <c r="C306" s="603"/>
      <c r="D306" s="603" t="s">
        <v>16282</v>
      </c>
      <c r="E306" s="605" t="s">
        <v>16283</v>
      </c>
      <c r="F306" s="603" t="s">
        <v>2355</v>
      </c>
      <c r="G306" s="603" t="s">
        <v>29</v>
      </c>
      <c r="H306" s="603"/>
      <c r="I306" s="603"/>
      <c r="J306" s="603" t="s">
        <v>38</v>
      </c>
      <c r="K306" s="603">
        <f>878+269+32+34</f>
        <v>1213</v>
      </c>
      <c r="L306" s="603" t="s">
        <v>4612</v>
      </c>
      <c r="M306" s="603"/>
      <c r="N306" s="603" t="s">
        <v>16277</v>
      </c>
      <c r="O306" s="603"/>
      <c r="P306" s="603" t="s">
        <v>388</v>
      </c>
      <c r="Q306" s="603">
        <v>1.0</v>
      </c>
      <c r="R306" s="651"/>
      <c r="S306" s="651"/>
      <c r="T306" s="652"/>
      <c r="U306" s="652"/>
      <c r="V306" s="652"/>
      <c r="W306" s="652"/>
      <c r="X306" s="652"/>
      <c r="Y306" s="652"/>
      <c r="Z306" s="652"/>
      <c r="AA306" s="652"/>
      <c r="AB306" s="652"/>
      <c r="AC306" s="652"/>
      <c r="AD306" s="652"/>
      <c r="AE306" s="652"/>
      <c r="AF306" s="652"/>
      <c r="AG306" s="652"/>
      <c r="AH306" s="652"/>
      <c r="AI306" s="652"/>
      <c r="AJ306" s="652"/>
      <c r="AK306" s="652"/>
      <c r="AL306" s="652"/>
    </row>
    <row r="307" ht="15.75" customHeight="1">
      <c r="A307" s="425"/>
      <c r="B307" s="647" t="s">
        <v>16284</v>
      </c>
      <c r="C307" s="603"/>
      <c r="D307" s="603" t="s">
        <v>16285</v>
      </c>
      <c r="E307" s="605" t="s">
        <v>16286</v>
      </c>
      <c r="F307" s="603" t="s">
        <v>2355</v>
      </c>
      <c r="G307" s="603" t="s">
        <v>29</v>
      </c>
      <c r="H307" s="603" t="s">
        <v>38</v>
      </c>
      <c r="I307" s="603"/>
      <c r="J307" s="603" t="s">
        <v>38</v>
      </c>
      <c r="K307" s="603">
        <f>943+1+291+31+6</f>
        <v>1272</v>
      </c>
      <c r="L307" s="603" t="s">
        <v>4612</v>
      </c>
      <c r="M307" s="603"/>
      <c r="N307" s="603" t="s">
        <v>16241</v>
      </c>
      <c r="O307" s="603"/>
      <c r="P307" s="603" t="s">
        <v>388</v>
      </c>
      <c r="Q307" s="603">
        <v>1.0</v>
      </c>
      <c r="R307" s="651"/>
      <c r="S307" s="651"/>
      <c r="T307" s="652"/>
      <c r="U307" s="652"/>
      <c r="V307" s="652"/>
      <c r="W307" s="652"/>
      <c r="X307" s="652"/>
      <c r="Y307" s="652"/>
      <c r="Z307" s="652"/>
      <c r="AA307" s="652"/>
      <c r="AB307" s="652"/>
      <c r="AC307" s="652"/>
      <c r="AD307" s="652"/>
      <c r="AE307" s="652"/>
      <c r="AF307" s="652"/>
      <c r="AG307" s="652"/>
      <c r="AH307" s="652"/>
      <c r="AI307" s="652"/>
      <c r="AJ307" s="652"/>
      <c r="AK307" s="652"/>
      <c r="AL307" s="652"/>
    </row>
    <row r="308" ht="15.75" customHeight="1">
      <c r="A308" s="425"/>
      <c r="B308" s="647" t="s">
        <v>16287</v>
      </c>
      <c r="C308" s="603"/>
      <c r="D308" s="603" t="s">
        <v>16288</v>
      </c>
      <c r="E308" s="605" t="s">
        <v>16289</v>
      </c>
      <c r="F308" s="603" t="s">
        <v>2355</v>
      </c>
      <c r="G308" s="603" t="s">
        <v>29</v>
      </c>
      <c r="H308" s="603" t="s">
        <v>38</v>
      </c>
      <c r="I308" s="603"/>
      <c r="J308" s="603" t="s">
        <v>38</v>
      </c>
      <c r="K308" s="603">
        <f>748+255+15</f>
        <v>1018</v>
      </c>
      <c r="L308" s="603"/>
      <c r="M308" s="603"/>
      <c r="N308" s="603" t="s">
        <v>16290</v>
      </c>
      <c r="O308" s="603"/>
      <c r="P308" s="603" t="s">
        <v>388</v>
      </c>
      <c r="Q308" s="603">
        <v>1.0</v>
      </c>
      <c r="R308" s="651"/>
      <c r="S308" s="651"/>
      <c r="T308" s="652"/>
      <c r="U308" s="652"/>
      <c r="V308" s="652"/>
      <c r="W308" s="652"/>
      <c r="X308" s="652"/>
      <c r="Y308" s="652"/>
      <c r="Z308" s="652"/>
      <c r="AA308" s="652"/>
      <c r="AB308" s="652"/>
      <c r="AC308" s="652"/>
      <c r="AD308" s="652"/>
      <c r="AE308" s="652"/>
      <c r="AF308" s="652"/>
      <c r="AG308" s="652"/>
      <c r="AH308" s="652"/>
      <c r="AI308" s="652"/>
      <c r="AJ308" s="652"/>
      <c r="AK308" s="652"/>
      <c r="AL308" s="652"/>
    </row>
    <row r="309" ht="15.75" customHeight="1">
      <c r="A309" s="425"/>
      <c r="B309" s="647" t="s">
        <v>16291</v>
      </c>
      <c r="C309" s="603"/>
      <c r="D309" s="603" t="s">
        <v>16292</v>
      </c>
      <c r="E309" s="605" t="s">
        <v>16293</v>
      </c>
      <c r="F309" s="603" t="s">
        <v>2355</v>
      </c>
      <c r="G309" s="603" t="s">
        <v>29</v>
      </c>
      <c r="H309" s="603" t="s">
        <v>6151</v>
      </c>
      <c r="I309" s="603"/>
      <c r="J309" s="603" t="s">
        <v>38</v>
      </c>
      <c r="K309" s="603">
        <f>1481+3+410+8+24+6</f>
        <v>1932</v>
      </c>
      <c r="L309" s="603"/>
      <c r="M309" s="603"/>
      <c r="N309" s="603" t="s">
        <v>16294</v>
      </c>
      <c r="O309" s="603"/>
      <c r="P309" s="603" t="s">
        <v>388</v>
      </c>
      <c r="Q309" s="603">
        <v>1.0</v>
      </c>
      <c r="R309" s="651"/>
      <c r="S309" s="651"/>
      <c r="T309" s="652"/>
      <c r="U309" s="652"/>
      <c r="V309" s="652"/>
      <c r="W309" s="652"/>
      <c r="X309" s="652"/>
      <c r="Y309" s="652"/>
      <c r="Z309" s="652"/>
      <c r="AA309" s="652"/>
      <c r="AB309" s="652"/>
      <c r="AC309" s="652"/>
      <c r="AD309" s="652"/>
      <c r="AE309" s="652"/>
      <c r="AF309" s="652"/>
      <c r="AG309" s="652"/>
      <c r="AH309" s="652"/>
      <c r="AI309" s="652"/>
      <c r="AJ309" s="652"/>
      <c r="AK309" s="652"/>
      <c r="AL309" s="652"/>
    </row>
    <row r="310" ht="15.75" customHeight="1">
      <c r="A310" s="425"/>
      <c r="B310" s="647" t="s">
        <v>16295</v>
      </c>
      <c r="C310" s="603"/>
      <c r="D310" s="603" t="s">
        <v>16296</v>
      </c>
      <c r="E310" s="605" t="s">
        <v>16297</v>
      </c>
      <c r="F310" s="603" t="s">
        <v>2355</v>
      </c>
      <c r="G310" s="603" t="s">
        <v>29</v>
      </c>
      <c r="H310" s="603"/>
      <c r="I310" s="603"/>
      <c r="J310" s="603" t="s">
        <v>38</v>
      </c>
      <c r="K310" s="603">
        <f>1053+323+126+2+8</f>
        <v>1512</v>
      </c>
      <c r="L310" s="603" t="s">
        <v>16192</v>
      </c>
      <c r="M310" s="603"/>
      <c r="N310" s="603" t="s">
        <v>16277</v>
      </c>
      <c r="O310" s="603"/>
      <c r="P310" s="603" t="s">
        <v>388</v>
      </c>
      <c r="Q310" s="603">
        <v>1.0</v>
      </c>
      <c r="R310" s="651"/>
      <c r="S310" s="651"/>
      <c r="T310" s="652"/>
      <c r="U310" s="652"/>
      <c r="V310" s="652"/>
      <c r="W310" s="652"/>
      <c r="X310" s="652"/>
      <c r="Y310" s="652"/>
      <c r="Z310" s="652"/>
      <c r="AA310" s="652"/>
      <c r="AB310" s="652"/>
      <c r="AC310" s="652"/>
      <c r="AD310" s="652"/>
      <c r="AE310" s="652"/>
      <c r="AF310" s="652"/>
      <c r="AG310" s="652"/>
      <c r="AH310" s="652"/>
      <c r="AI310" s="652"/>
      <c r="AJ310" s="652"/>
      <c r="AK310" s="652"/>
      <c r="AL310" s="652"/>
    </row>
    <row r="311" ht="15.75" customHeight="1">
      <c r="A311" s="425"/>
      <c r="B311" s="647" t="s">
        <v>16298</v>
      </c>
      <c r="C311" s="603" t="s">
        <v>16299</v>
      </c>
      <c r="D311" s="603" t="s">
        <v>16300</v>
      </c>
      <c r="E311" s="605" t="s">
        <v>16301</v>
      </c>
      <c r="F311" s="603" t="s">
        <v>2355</v>
      </c>
      <c r="G311" s="603" t="s">
        <v>29</v>
      </c>
      <c r="H311" s="603" t="s">
        <v>37</v>
      </c>
      <c r="I311" s="603"/>
      <c r="J311" s="603" t="s">
        <v>38</v>
      </c>
      <c r="K311" s="603">
        <f>1340+355+5+11</f>
        <v>1711</v>
      </c>
      <c r="L311" s="603" t="s">
        <v>16302</v>
      </c>
      <c r="M311" s="603"/>
      <c r="N311" s="603" t="s">
        <v>156</v>
      </c>
      <c r="O311" s="603"/>
      <c r="P311" s="603" t="s">
        <v>388</v>
      </c>
      <c r="Q311" s="603">
        <v>1.0</v>
      </c>
      <c r="R311" s="651"/>
      <c r="S311" s="651"/>
      <c r="T311" s="652"/>
      <c r="U311" s="652"/>
      <c r="V311" s="652"/>
      <c r="W311" s="652"/>
      <c r="X311" s="652"/>
      <c r="Y311" s="652"/>
      <c r="Z311" s="652"/>
      <c r="AA311" s="652"/>
      <c r="AB311" s="652"/>
      <c r="AC311" s="652"/>
      <c r="AD311" s="652"/>
      <c r="AE311" s="652"/>
      <c r="AF311" s="652"/>
      <c r="AG311" s="652"/>
      <c r="AH311" s="652"/>
      <c r="AI311" s="652"/>
      <c r="AJ311" s="652"/>
      <c r="AK311" s="652"/>
      <c r="AL311" s="652"/>
    </row>
    <row r="312" ht="15.75" customHeight="1">
      <c r="A312" s="425"/>
      <c r="B312" s="647" t="s">
        <v>16303</v>
      </c>
      <c r="C312" s="603" t="s">
        <v>13794</v>
      </c>
      <c r="D312" s="603" t="s">
        <v>16304</v>
      </c>
      <c r="E312" s="605" t="s">
        <v>16305</v>
      </c>
      <c r="F312" s="603" t="s">
        <v>12445</v>
      </c>
      <c r="G312" s="603" t="s">
        <v>29</v>
      </c>
      <c r="H312" s="603" t="s">
        <v>37</v>
      </c>
      <c r="I312" s="603"/>
      <c r="J312" s="603" t="s">
        <v>38</v>
      </c>
      <c r="K312" s="603">
        <f>810+48</f>
        <v>858</v>
      </c>
      <c r="L312" s="603"/>
      <c r="M312" s="603"/>
      <c r="N312" s="603" t="s">
        <v>10580</v>
      </c>
      <c r="O312" s="603"/>
      <c r="P312" s="603" t="s">
        <v>388</v>
      </c>
      <c r="Q312" s="603">
        <v>1.0</v>
      </c>
      <c r="R312" s="651"/>
      <c r="S312" s="651"/>
      <c r="T312" s="652"/>
      <c r="U312" s="652"/>
      <c r="V312" s="652"/>
      <c r="W312" s="652"/>
      <c r="X312" s="652"/>
      <c r="Y312" s="652"/>
      <c r="Z312" s="652"/>
      <c r="AA312" s="652"/>
      <c r="AB312" s="652"/>
      <c r="AC312" s="652"/>
      <c r="AD312" s="652"/>
      <c r="AE312" s="652"/>
      <c r="AF312" s="652"/>
      <c r="AG312" s="652"/>
      <c r="AH312" s="652"/>
      <c r="AI312" s="652"/>
      <c r="AJ312" s="652"/>
      <c r="AK312" s="652"/>
      <c r="AL312" s="652"/>
    </row>
    <row r="313" ht="15.75" customHeight="1">
      <c r="A313" s="425"/>
      <c r="B313" s="647" t="s">
        <v>16306</v>
      </c>
      <c r="C313" s="603" t="s">
        <v>7147</v>
      </c>
      <c r="D313" s="603" t="s">
        <v>16307</v>
      </c>
      <c r="E313" s="605" t="s">
        <v>16308</v>
      </c>
      <c r="F313" s="603" t="s">
        <v>12445</v>
      </c>
      <c r="G313" s="603" t="s">
        <v>29</v>
      </c>
      <c r="H313" s="603" t="s">
        <v>37</v>
      </c>
      <c r="I313" s="603"/>
      <c r="J313" s="603" t="s">
        <v>38</v>
      </c>
      <c r="K313" s="603">
        <f>516+24</f>
        <v>540</v>
      </c>
      <c r="L313" s="603"/>
      <c r="M313" s="603"/>
      <c r="N313" s="603" t="s">
        <v>16309</v>
      </c>
      <c r="O313" s="603"/>
      <c r="P313" s="603" t="s">
        <v>388</v>
      </c>
      <c r="Q313" s="603">
        <v>1.0</v>
      </c>
      <c r="R313" s="651"/>
      <c r="S313" s="651"/>
      <c r="T313" s="652"/>
      <c r="U313" s="652"/>
      <c r="V313" s="652"/>
      <c r="W313" s="652"/>
      <c r="X313" s="652"/>
      <c r="Y313" s="652"/>
      <c r="Z313" s="652"/>
      <c r="AA313" s="652"/>
      <c r="AB313" s="652"/>
      <c r="AC313" s="652"/>
      <c r="AD313" s="652"/>
      <c r="AE313" s="652"/>
      <c r="AF313" s="652"/>
      <c r="AG313" s="652"/>
      <c r="AH313" s="652"/>
      <c r="AI313" s="652"/>
      <c r="AJ313" s="652"/>
      <c r="AK313" s="652"/>
      <c r="AL313" s="652"/>
    </row>
    <row r="314" ht="15.75" customHeight="1">
      <c r="A314" s="425"/>
      <c r="B314" s="647" t="s">
        <v>16310</v>
      </c>
      <c r="C314" s="603" t="s">
        <v>15884</v>
      </c>
      <c r="D314" s="603" t="s">
        <v>16311</v>
      </c>
      <c r="E314" s="605" t="s">
        <v>16312</v>
      </c>
      <c r="F314" s="603" t="s">
        <v>12445</v>
      </c>
      <c r="G314" s="603" t="s">
        <v>29</v>
      </c>
      <c r="H314" s="603" t="s">
        <v>38</v>
      </c>
      <c r="I314" s="603"/>
      <c r="J314" s="603" t="s">
        <v>38</v>
      </c>
      <c r="K314" s="603">
        <f>792+6</f>
        <v>798</v>
      </c>
      <c r="L314" s="603"/>
      <c r="M314" s="603"/>
      <c r="N314" s="603" t="s">
        <v>15235</v>
      </c>
      <c r="O314" s="603"/>
      <c r="P314" s="603" t="s">
        <v>388</v>
      </c>
      <c r="Q314" s="603">
        <v>1.0</v>
      </c>
      <c r="R314" s="651"/>
      <c r="S314" s="651"/>
      <c r="T314" s="652"/>
      <c r="U314" s="652"/>
      <c r="V314" s="652"/>
      <c r="W314" s="652"/>
      <c r="X314" s="652"/>
      <c r="Y314" s="652"/>
      <c r="Z314" s="652"/>
      <c r="AA314" s="652"/>
      <c r="AB314" s="652"/>
      <c r="AC314" s="652"/>
      <c r="AD314" s="652"/>
      <c r="AE314" s="652"/>
      <c r="AF314" s="652"/>
      <c r="AG314" s="652"/>
      <c r="AH314" s="652"/>
      <c r="AI314" s="652"/>
      <c r="AJ314" s="652"/>
      <c r="AK314" s="652"/>
      <c r="AL314" s="652"/>
    </row>
    <row r="315" ht="15.75" customHeight="1">
      <c r="A315" s="425"/>
      <c r="B315" s="603" t="s">
        <v>16313</v>
      </c>
      <c r="C315" s="603"/>
      <c r="D315" s="603" t="s">
        <v>16314</v>
      </c>
      <c r="E315" s="605" t="s">
        <v>16315</v>
      </c>
      <c r="F315" s="603" t="s">
        <v>12445</v>
      </c>
      <c r="G315" s="603" t="s">
        <v>29</v>
      </c>
      <c r="H315" s="603" t="s">
        <v>37</v>
      </c>
      <c r="I315" s="603"/>
      <c r="J315" s="603" t="s">
        <v>38</v>
      </c>
      <c r="K315" s="603">
        <f>538+4</f>
        <v>542</v>
      </c>
      <c r="L315" s="603"/>
      <c r="M315" s="603"/>
      <c r="N315" s="603" t="s">
        <v>4836</v>
      </c>
      <c r="O315" s="603"/>
      <c r="P315" s="603" t="s">
        <v>388</v>
      </c>
      <c r="Q315" s="603">
        <v>1.0</v>
      </c>
      <c r="R315" s="651"/>
      <c r="S315" s="651"/>
      <c r="T315" s="652"/>
      <c r="U315" s="652"/>
      <c r="V315" s="652"/>
      <c r="W315" s="652"/>
      <c r="X315" s="652"/>
      <c r="Y315" s="652"/>
      <c r="Z315" s="652"/>
      <c r="AA315" s="652"/>
      <c r="AB315" s="652"/>
      <c r="AC315" s="652"/>
      <c r="AD315" s="652"/>
      <c r="AE315" s="652"/>
      <c r="AF315" s="652"/>
      <c r="AG315" s="652"/>
      <c r="AH315" s="652"/>
      <c r="AI315" s="652"/>
      <c r="AJ315" s="652"/>
      <c r="AK315" s="652"/>
      <c r="AL315" s="652"/>
    </row>
    <row r="316" ht="15.75" customHeight="1">
      <c r="A316" s="425"/>
      <c r="B316" s="603" t="s">
        <v>16316</v>
      </c>
      <c r="C316" s="433"/>
      <c r="D316" s="444" t="s">
        <v>16317</v>
      </c>
      <c r="E316" s="433" t="s">
        <v>16318</v>
      </c>
      <c r="F316" s="433"/>
      <c r="G316" s="433"/>
      <c r="H316" s="433" t="s">
        <v>16319</v>
      </c>
      <c r="I316" s="433"/>
      <c r="J316" s="577" t="s">
        <v>16320</v>
      </c>
      <c r="K316" s="433">
        <v>818.0</v>
      </c>
      <c r="L316" s="433" t="s">
        <v>31</v>
      </c>
      <c r="M316" s="433"/>
      <c r="N316" s="433" t="s">
        <v>16321</v>
      </c>
      <c r="O316" s="433">
        <v>1986.0</v>
      </c>
      <c r="P316" s="433" t="s">
        <v>388</v>
      </c>
      <c r="Q316" s="449">
        <v>1.0</v>
      </c>
      <c r="R316" s="651"/>
      <c r="S316" s="651"/>
      <c r="T316" s="652"/>
      <c r="U316" s="652"/>
      <c r="V316" s="652"/>
      <c r="W316" s="652"/>
      <c r="X316" s="652"/>
      <c r="Y316" s="652"/>
      <c r="Z316" s="652"/>
      <c r="AA316" s="652"/>
      <c r="AB316" s="652"/>
      <c r="AC316" s="652"/>
      <c r="AD316" s="652"/>
      <c r="AE316" s="652"/>
      <c r="AF316" s="652"/>
      <c r="AG316" s="652"/>
      <c r="AH316" s="652"/>
      <c r="AI316" s="652"/>
      <c r="AJ316" s="652"/>
      <c r="AK316" s="652"/>
      <c r="AL316" s="652"/>
    </row>
    <row r="317" ht="15.75" customHeight="1">
      <c r="A317" s="425"/>
      <c r="B317" s="603" t="s">
        <v>16322</v>
      </c>
      <c r="C317" s="433"/>
      <c r="D317" s="433" t="s">
        <v>16323</v>
      </c>
      <c r="E317" s="433" t="s">
        <v>16324</v>
      </c>
      <c r="F317" s="433"/>
      <c r="G317" s="433"/>
      <c r="H317" s="433" t="s">
        <v>37</v>
      </c>
      <c r="I317" s="433"/>
      <c r="J317" s="433" t="s">
        <v>16325</v>
      </c>
      <c r="K317" s="433">
        <v>562.0</v>
      </c>
      <c r="L317" s="433"/>
      <c r="M317" s="433"/>
      <c r="N317" s="433" t="s">
        <v>16326</v>
      </c>
      <c r="O317" s="433"/>
      <c r="P317" s="433" t="s">
        <v>388</v>
      </c>
      <c r="Q317" s="449">
        <v>1.0</v>
      </c>
      <c r="R317" s="651"/>
      <c r="S317" s="651"/>
      <c r="T317" s="652"/>
      <c r="U317" s="652"/>
      <c r="V317" s="652"/>
      <c r="W317" s="652"/>
      <c r="X317" s="652"/>
      <c r="Y317" s="652"/>
      <c r="Z317" s="652"/>
      <c r="AA317" s="652"/>
      <c r="AB317" s="652"/>
      <c r="AC317" s="652"/>
      <c r="AD317" s="652"/>
      <c r="AE317" s="652"/>
      <c r="AF317" s="652"/>
      <c r="AG317" s="652"/>
      <c r="AH317" s="652"/>
      <c r="AI317" s="652"/>
      <c r="AJ317" s="652"/>
      <c r="AK317" s="652"/>
      <c r="AL317" s="652"/>
    </row>
    <row r="318" ht="15.75" customHeight="1">
      <c r="A318" s="425"/>
      <c r="B318" s="603" t="s">
        <v>16327</v>
      </c>
      <c r="C318" s="433" t="s">
        <v>31</v>
      </c>
      <c r="D318" s="433" t="s">
        <v>16328</v>
      </c>
      <c r="E318" s="433" t="s">
        <v>16329</v>
      </c>
      <c r="F318" s="433"/>
      <c r="G318" s="433"/>
      <c r="H318" s="433" t="s">
        <v>6505</v>
      </c>
      <c r="I318" s="433"/>
      <c r="J318" s="433" t="s">
        <v>16330</v>
      </c>
      <c r="K318" s="433">
        <v>727.0</v>
      </c>
      <c r="L318" s="433" t="s">
        <v>16331</v>
      </c>
      <c r="M318" s="433"/>
      <c r="N318" s="433" t="s">
        <v>16332</v>
      </c>
      <c r="O318" s="433">
        <v>1984.0</v>
      </c>
      <c r="P318" s="433" t="s">
        <v>388</v>
      </c>
      <c r="Q318" s="449">
        <v>2.0</v>
      </c>
      <c r="R318" s="651"/>
      <c r="S318" s="651"/>
      <c r="T318" s="652"/>
      <c r="U318" s="652"/>
      <c r="V318" s="652"/>
      <c r="W318" s="652"/>
      <c r="X318" s="652"/>
      <c r="Y318" s="652"/>
      <c r="Z318" s="652"/>
      <c r="AA318" s="652"/>
      <c r="AB318" s="652"/>
      <c r="AC318" s="652"/>
      <c r="AD318" s="652"/>
      <c r="AE318" s="652"/>
      <c r="AF318" s="652"/>
      <c r="AG318" s="652"/>
      <c r="AH318" s="652"/>
      <c r="AI318" s="652"/>
      <c r="AJ318" s="652"/>
      <c r="AK318" s="652"/>
      <c r="AL318" s="652"/>
    </row>
    <row r="319" ht="15.75" customHeight="1">
      <c r="A319" s="425"/>
      <c r="B319" s="603" t="s">
        <v>16333</v>
      </c>
      <c r="C319" s="433" t="s">
        <v>31</v>
      </c>
      <c r="D319" s="433">
        <v>225.81</v>
      </c>
      <c r="E319" s="433" t="s">
        <v>16334</v>
      </c>
      <c r="F319" s="433"/>
      <c r="G319" s="433"/>
      <c r="H319" s="433" t="s">
        <v>15304</v>
      </c>
      <c r="I319" s="433"/>
      <c r="J319" s="433" t="s">
        <v>16335</v>
      </c>
      <c r="K319" s="433">
        <v>506.0</v>
      </c>
      <c r="L319" s="433" t="s">
        <v>31</v>
      </c>
      <c r="M319" s="433"/>
      <c r="N319" s="433" t="s">
        <v>16336</v>
      </c>
      <c r="O319" s="433">
        <v>1988.0</v>
      </c>
      <c r="P319" s="433" t="s">
        <v>388</v>
      </c>
      <c r="Q319" s="449">
        <v>1.0</v>
      </c>
      <c r="R319" s="651"/>
      <c r="S319" s="651"/>
      <c r="T319" s="652"/>
      <c r="U319" s="652"/>
      <c r="V319" s="652"/>
      <c r="W319" s="652"/>
      <c r="X319" s="652"/>
      <c r="Y319" s="652"/>
      <c r="Z319" s="652"/>
      <c r="AA319" s="652"/>
      <c r="AB319" s="652"/>
      <c r="AC319" s="652"/>
      <c r="AD319" s="652"/>
      <c r="AE319" s="652"/>
      <c r="AF319" s="652"/>
      <c r="AG319" s="652"/>
      <c r="AH319" s="652"/>
      <c r="AI319" s="652"/>
      <c r="AJ319" s="652"/>
      <c r="AK319" s="652"/>
      <c r="AL319" s="652"/>
    </row>
    <row r="320" ht="15.75" customHeight="1">
      <c r="A320" s="425"/>
      <c r="B320" s="603" t="s">
        <v>16337</v>
      </c>
      <c r="C320" s="433" t="s">
        <v>31</v>
      </c>
      <c r="D320" s="433" t="s">
        <v>16338</v>
      </c>
      <c r="E320" s="433" t="s">
        <v>16339</v>
      </c>
      <c r="F320" s="433"/>
      <c r="G320" s="433"/>
      <c r="H320" s="433"/>
      <c r="I320" s="433"/>
      <c r="J320" s="433" t="s">
        <v>16340</v>
      </c>
      <c r="K320" s="433">
        <v>755.0</v>
      </c>
      <c r="L320" s="433" t="s">
        <v>15211</v>
      </c>
      <c r="M320" s="433"/>
      <c r="N320" s="433" t="s">
        <v>16341</v>
      </c>
      <c r="O320" s="433">
        <v>1988.0</v>
      </c>
      <c r="P320" s="433" t="s">
        <v>388</v>
      </c>
      <c r="Q320" s="449">
        <v>1.0</v>
      </c>
      <c r="R320" s="651"/>
      <c r="S320" s="651"/>
      <c r="T320" s="652"/>
      <c r="U320" s="652"/>
      <c r="V320" s="652"/>
      <c r="W320" s="652"/>
      <c r="X320" s="652"/>
      <c r="Y320" s="652"/>
      <c r="Z320" s="652"/>
      <c r="AA320" s="652"/>
      <c r="AB320" s="652"/>
      <c r="AC320" s="652"/>
      <c r="AD320" s="652"/>
      <c r="AE320" s="652"/>
      <c r="AF320" s="652"/>
      <c r="AG320" s="652"/>
      <c r="AH320" s="652"/>
      <c r="AI320" s="652"/>
      <c r="AJ320" s="652"/>
      <c r="AK320" s="652"/>
      <c r="AL320" s="652"/>
    </row>
    <row r="321" ht="15.75" customHeight="1">
      <c r="A321" s="425"/>
      <c r="B321" s="603" t="s">
        <v>16342</v>
      </c>
      <c r="C321" s="433"/>
      <c r="D321" s="433" t="s">
        <v>16343</v>
      </c>
      <c r="E321" s="433" t="s">
        <v>16344</v>
      </c>
      <c r="F321" s="433"/>
      <c r="G321" s="433"/>
      <c r="H321" s="433" t="s">
        <v>15304</v>
      </c>
      <c r="I321" s="433"/>
      <c r="J321" s="433"/>
      <c r="K321" s="433">
        <v>334.0</v>
      </c>
      <c r="L321" s="433" t="s">
        <v>31</v>
      </c>
      <c r="M321" s="433"/>
      <c r="N321" s="433" t="s">
        <v>16336</v>
      </c>
      <c r="O321" s="433">
        <v>1985.0</v>
      </c>
      <c r="P321" s="433" t="s">
        <v>388</v>
      </c>
      <c r="Q321" s="449">
        <v>1.0</v>
      </c>
      <c r="R321" s="651"/>
      <c r="S321" s="651"/>
      <c r="T321" s="652"/>
      <c r="U321" s="652"/>
      <c r="V321" s="652"/>
      <c r="W321" s="652"/>
      <c r="X321" s="652"/>
      <c r="Y321" s="652"/>
      <c r="Z321" s="652"/>
      <c r="AA321" s="652"/>
      <c r="AB321" s="652"/>
      <c r="AC321" s="652"/>
      <c r="AD321" s="652"/>
      <c r="AE321" s="652"/>
      <c r="AF321" s="652"/>
      <c r="AG321" s="652"/>
      <c r="AH321" s="652"/>
      <c r="AI321" s="652"/>
      <c r="AJ321" s="652"/>
      <c r="AK321" s="652"/>
      <c r="AL321" s="652"/>
    </row>
    <row r="322" ht="15.75" customHeight="1">
      <c r="A322" s="425"/>
      <c r="B322" s="555"/>
      <c r="C322" s="555"/>
      <c r="D322" s="662"/>
      <c r="E322" s="662"/>
      <c r="F322" s="555"/>
      <c r="G322" s="555"/>
      <c r="H322" s="555"/>
      <c r="I322" s="555"/>
      <c r="J322" s="555"/>
      <c r="K322" s="555"/>
      <c r="L322" s="555"/>
      <c r="M322" s="555"/>
      <c r="N322" s="555"/>
      <c r="O322" s="555"/>
      <c r="P322" s="555"/>
      <c r="Q322" s="555"/>
      <c r="R322" s="651"/>
      <c r="S322" s="651"/>
      <c r="T322" s="652"/>
      <c r="U322" s="652"/>
      <c r="V322" s="652"/>
      <c r="W322" s="652"/>
      <c r="X322" s="652"/>
      <c r="Y322" s="652"/>
      <c r="Z322" s="652"/>
      <c r="AA322" s="652"/>
      <c r="AB322" s="652"/>
      <c r="AC322" s="652"/>
      <c r="AD322" s="652"/>
      <c r="AE322" s="652"/>
      <c r="AF322" s="652"/>
      <c r="AG322" s="652"/>
      <c r="AH322" s="652"/>
      <c r="AI322" s="652"/>
      <c r="AJ322" s="652"/>
      <c r="AK322" s="652"/>
      <c r="AL322" s="652"/>
    </row>
    <row r="323" ht="15.75" customHeight="1">
      <c r="A323" s="425"/>
      <c r="B323" s="555"/>
      <c r="C323" s="555"/>
      <c r="D323" s="662"/>
      <c r="E323" s="662"/>
      <c r="F323" s="555"/>
      <c r="G323" s="555"/>
      <c r="H323" s="555"/>
      <c r="I323" s="555"/>
      <c r="J323" s="555"/>
      <c r="K323" s="555"/>
      <c r="L323" s="555"/>
      <c r="M323" s="555"/>
      <c r="N323" s="555"/>
      <c r="O323" s="555"/>
      <c r="P323" s="555"/>
      <c r="Q323" s="555"/>
      <c r="R323" s="651"/>
      <c r="S323" s="651"/>
      <c r="T323" s="652"/>
      <c r="U323" s="652"/>
      <c r="V323" s="652"/>
      <c r="W323" s="652"/>
      <c r="X323" s="652"/>
      <c r="Y323" s="652"/>
      <c r="Z323" s="652"/>
      <c r="AA323" s="652"/>
      <c r="AB323" s="652"/>
      <c r="AC323" s="652"/>
      <c r="AD323" s="652"/>
      <c r="AE323" s="652"/>
      <c r="AF323" s="652"/>
      <c r="AG323" s="652"/>
      <c r="AH323" s="652"/>
      <c r="AI323" s="652"/>
      <c r="AJ323" s="652"/>
      <c r="AK323" s="652"/>
      <c r="AL323" s="652"/>
    </row>
    <row r="324" ht="15.75" customHeight="1">
      <c r="A324" s="425"/>
      <c r="B324" s="450"/>
      <c r="C324" s="450"/>
      <c r="D324" s="450"/>
      <c r="E324" s="523"/>
      <c r="F324" s="450"/>
      <c r="G324" s="450"/>
      <c r="H324" s="450"/>
      <c r="I324" s="450"/>
      <c r="J324" s="450"/>
      <c r="K324" s="450"/>
      <c r="L324" s="450"/>
      <c r="M324" s="450"/>
      <c r="N324" s="450"/>
      <c r="O324" s="450"/>
      <c r="P324" s="450"/>
      <c r="Q324" s="450"/>
      <c r="R324" s="651"/>
      <c r="S324" s="651"/>
      <c r="T324" s="652"/>
      <c r="U324" s="652"/>
      <c r="V324" s="652"/>
      <c r="W324" s="652"/>
      <c r="X324" s="652"/>
      <c r="Y324" s="652"/>
      <c r="Z324" s="652"/>
      <c r="AA324" s="652"/>
      <c r="AB324" s="652"/>
      <c r="AC324" s="652"/>
      <c r="AD324" s="652"/>
      <c r="AE324" s="652"/>
      <c r="AF324" s="652"/>
      <c r="AG324" s="652"/>
      <c r="AH324" s="652"/>
      <c r="AI324" s="652"/>
      <c r="AJ324" s="652"/>
      <c r="AK324" s="652"/>
      <c r="AL324" s="652"/>
    </row>
    <row r="325" ht="15.75" customHeight="1">
      <c r="A325" s="425"/>
      <c r="B325" s="450"/>
      <c r="C325" s="450"/>
      <c r="D325" s="450"/>
      <c r="E325" s="523"/>
      <c r="F325" s="450"/>
      <c r="G325" s="450"/>
      <c r="H325" s="450"/>
      <c r="I325" s="450"/>
      <c r="J325" s="450"/>
      <c r="K325" s="450"/>
      <c r="L325" s="450"/>
      <c r="M325" s="450"/>
      <c r="N325" s="450"/>
      <c r="O325" s="450"/>
      <c r="P325" s="450"/>
      <c r="Q325" s="450"/>
      <c r="R325" s="651"/>
      <c r="S325" s="651"/>
      <c r="T325" s="652"/>
      <c r="U325" s="652"/>
      <c r="V325" s="652"/>
      <c r="W325" s="652"/>
      <c r="X325" s="652"/>
      <c r="Y325" s="652"/>
      <c r="Z325" s="652"/>
      <c r="AA325" s="652"/>
      <c r="AB325" s="652"/>
      <c r="AC325" s="652"/>
      <c r="AD325" s="652"/>
      <c r="AE325" s="652"/>
      <c r="AF325" s="652"/>
      <c r="AG325" s="652"/>
      <c r="AH325" s="652"/>
      <c r="AI325" s="652"/>
      <c r="AJ325" s="652"/>
      <c r="AK325" s="652"/>
      <c r="AL325" s="652"/>
    </row>
    <row r="326" ht="15.75" customHeight="1">
      <c r="A326" s="425"/>
      <c r="B326" s="450"/>
      <c r="C326" s="450"/>
      <c r="D326" s="450"/>
      <c r="E326" s="523"/>
      <c r="F326" s="450"/>
      <c r="G326" s="450"/>
      <c r="H326" s="450"/>
      <c r="I326" s="450"/>
      <c r="J326" s="450"/>
      <c r="K326" s="450"/>
      <c r="L326" s="450"/>
      <c r="M326" s="450"/>
      <c r="N326" s="450"/>
      <c r="O326" s="450"/>
      <c r="P326" s="450"/>
      <c r="Q326" s="450">
        <f t="shared" ref="Q326:R326" si="3">SUM(Q6:Q325)</f>
        <v>370</v>
      </c>
      <c r="R326" s="651">
        <f t="shared" si="3"/>
        <v>21</v>
      </c>
      <c r="S326" s="651"/>
      <c r="T326" s="652"/>
      <c r="U326" s="652"/>
      <c r="V326" s="652"/>
      <c r="W326" s="652"/>
      <c r="X326" s="652"/>
      <c r="Y326" s="652"/>
      <c r="Z326" s="652"/>
      <c r="AA326" s="652"/>
      <c r="AB326" s="652"/>
      <c r="AC326" s="652"/>
      <c r="AD326" s="652"/>
      <c r="AE326" s="652"/>
      <c r="AF326" s="652"/>
      <c r="AG326" s="652"/>
      <c r="AH326" s="652"/>
      <c r="AI326" s="652"/>
      <c r="AJ326" s="652"/>
      <c r="AK326" s="652"/>
      <c r="AL326" s="652"/>
    </row>
    <row r="327" ht="15.75" customHeight="1">
      <c r="A327" s="425"/>
      <c r="B327" s="576"/>
      <c r="C327" s="466"/>
      <c r="D327" s="576"/>
      <c r="E327" s="663"/>
      <c r="F327" s="576"/>
      <c r="G327" s="576"/>
      <c r="H327" s="576"/>
      <c r="I327" s="576"/>
      <c r="J327" s="576"/>
      <c r="K327" s="576"/>
      <c r="L327" s="576"/>
      <c r="M327" s="576"/>
      <c r="N327" s="466"/>
      <c r="O327" s="576"/>
      <c r="P327" s="576"/>
      <c r="Q327" s="576"/>
      <c r="R327" s="652"/>
      <c r="S327" s="652"/>
      <c r="T327" s="652"/>
      <c r="U327" s="652"/>
      <c r="V327" s="652"/>
      <c r="W327" s="652"/>
      <c r="X327" s="652"/>
      <c r="Y327" s="652"/>
      <c r="Z327" s="652"/>
      <c r="AA327" s="652"/>
      <c r="AB327" s="652"/>
      <c r="AC327" s="652"/>
      <c r="AD327" s="652"/>
      <c r="AE327" s="652"/>
      <c r="AF327" s="652"/>
      <c r="AG327" s="652"/>
      <c r="AH327" s="652"/>
      <c r="AI327" s="652"/>
      <c r="AJ327" s="652"/>
      <c r="AK327" s="652"/>
      <c r="AL327" s="652"/>
    </row>
    <row r="328" ht="15.75" customHeight="1">
      <c r="A328" s="425"/>
      <c r="B328" s="576"/>
      <c r="C328" s="466"/>
      <c r="D328" s="576"/>
      <c r="E328" s="663"/>
      <c r="F328" s="576"/>
      <c r="G328" s="576"/>
      <c r="H328" s="576"/>
      <c r="I328" s="576"/>
      <c r="J328" s="576"/>
      <c r="K328" s="576"/>
      <c r="L328" s="576"/>
      <c r="M328" s="576"/>
      <c r="N328" s="466"/>
      <c r="O328" s="576"/>
      <c r="P328" s="576"/>
      <c r="Q328" s="576"/>
      <c r="R328" s="652"/>
      <c r="S328" s="652"/>
      <c r="T328" s="652"/>
      <c r="U328" s="652"/>
      <c r="V328" s="652"/>
      <c r="W328" s="652"/>
      <c r="X328" s="652"/>
      <c r="Y328" s="652"/>
      <c r="Z328" s="652"/>
      <c r="AA328" s="652"/>
      <c r="AB328" s="652"/>
      <c r="AC328" s="652"/>
      <c r="AD328" s="652"/>
      <c r="AE328" s="652"/>
      <c r="AF328" s="652"/>
      <c r="AG328" s="652"/>
      <c r="AH328" s="652"/>
      <c r="AI328" s="652"/>
      <c r="AJ328" s="652"/>
      <c r="AK328" s="652"/>
      <c r="AL328" s="652"/>
    </row>
    <row r="329" ht="15.75" customHeight="1">
      <c r="A329" s="425"/>
      <c r="B329" s="576"/>
      <c r="C329" s="466"/>
      <c r="D329" s="576"/>
      <c r="E329" s="663"/>
      <c r="F329" s="576"/>
      <c r="G329" s="576"/>
      <c r="H329" s="576"/>
      <c r="I329" s="576"/>
      <c r="J329" s="576"/>
      <c r="K329" s="576"/>
      <c r="L329" s="576"/>
      <c r="M329" s="576"/>
      <c r="N329" s="466"/>
      <c r="O329" s="576"/>
      <c r="P329" s="576"/>
      <c r="Q329" s="576"/>
      <c r="R329" s="652"/>
      <c r="S329" s="652"/>
      <c r="T329" s="652"/>
      <c r="U329" s="652"/>
      <c r="V329" s="652"/>
      <c r="W329" s="652"/>
      <c r="X329" s="652"/>
      <c r="Y329" s="652"/>
      <c r="Z329" s="652"/>
      <c r="AA329" s="652"/>
      <c r="AB329" s="652"/>
      <c r="AC329" s="652"/>
      <c r="AD329" s="652"/>
      <c r="AE329" s="652"/>
      <c r="AF329" s="652"/>
      <c r="AG329" s="652"/>
      <c r="AH329" s="652"/>
      <c r="AI329" s="652"/>
      <c r="AJ329" s="652"/>
      <c r="AK329" s="652"/>
      <c r="AL329" s="652"/>
    </row>
    <row r="330" ht="15.75" customHeight="1">
      <c r="A330" s="425"/>
      <c r="B330" s="576"/>
      <c r="C330" s="466"/>
      <c r="D330" s="576"/>
      <c r="E330" s="663"/>
      <c r="F330" s="576"/>
      <c r="G330" s="576"/>
      <c r="H330" s="576"/>
      <c r="I330" s="576"/>
      <c r="J330" s="576"/>
      <c r="K330" s="576"/>
      <c r="L330" s="576"/>
      <c r="M330" s="576"/>
      <c r="N330" s="466"/>
      <c r="O330" s="576"/>
      <c r="P330" s="576"/>
      <c r="Q330" s="576"/>
      <c r="R330" s="652"/>
      <c r="S330" s="652"/>
      <c r="T330" s="652"/>
      <c r="U330" s="652"/>
      <c r="V330" s="652"/>
      <c r="W330" s="652"/>
      <c r="X330" s="652"/>
      <c r="Y330" s="652"/>
      <c r="Z330" s="652"/>
      <c r="AA330" s="652"/>
      <c r="AB330" s="652"/>
      <c r="AC330" s="652"/>
      <c r="AD330" s="652"/>
      <c r="AE330" s="652"/>
      <c r="AF330" s="652"/>
      <c r="AG330" s="652"/>
      <c r="AH330" s="652"/>
      <c r="AI330" s="652"/>
      <c r="AJ330" s="652"/>
      <c r="AK330" s="652"/>
      <c r="AL330" s="652"/>
    </row>
    <row r="331" ht="15.75" customHeight="1">
      <c r="A331" s="425"/>
      <c r="B331" s="576"/>
      <c r="C331" s="466"/>
      <c r="D331" s="576"/>
      <c r="E331" s="663"/>
      <c r="F331" s="576"/>
      <c r="G331" s="576"/>
      <c r="H331" s="576"/>
      <c r="I331" s="576"/>
      <c r="J331" s="576"/>
      <c r="K331" s="576"/>
      <c r="L331" s="576"/>
      <c r="M331" s="576"/>
      <c r="N331" s="466"/>
      <c r="O331" s="576"/>
      <c r="P331" s="576"/>
      <c r="Q331" s="576"/>
      <c r="R331" s="652"/>
      <c r="S331" s="652"/>
      <c r="T331" s="652"/>
      <c r="U331" s="652"/>
      <c r="V331" s="652"/>
      <c r="W331" s="652"/>
      <c r="X331" s="652"/>
      <c r="Y331" s="652"/>
      <c r="Z331" s="652"/>
      <c r="AA331" s="652"/>
      <c r="AB331" s="652"/>
      <c r="AC331" s="652"/>
      <c r="AD331" s="652"/>
      <c r="AE331" s="652"/>
      <c r="AF331" s="652"/>
      <c r="AG331" s="652"/>
      <c r="AH331" s="652"/>
      <c r="AI331" s="652"/>
      <c r="AJ331" s="652"/>
      <c r="AK331" s="652"/>
      <c r="AL331" s="652"/>
    </row>
    <row r="332" ht="15.75" customHeight="1">
      <c r="A332" s="425"/>
      <c r="B332" s="576"/>
      <c r="C332" s="466"/>
      <c r="D332" s="576"/>
      <c r="E332" s="663"/>
      <c r="F332" s="576"/>
      <c r="G332" s="576"/>
      <c r="H332" s="576"/>
      <c r="I332" s="576"/>
      <c r="J332" s="576"/>
      <c r="K332" s="576"/>
      <c r="L332" s="576"/>
      <c r="M332" s="576"/>
      <c r="N332" s="466"/>
      <c r="O332" s="576"/>
      <c r="P332" s="576"/>
      <c r="Q332" s="576"/>
      <c r="R332" s="652"/>
      <c r="S332" s="652"/>
      <c r="T332" s="652"/>
      <c r="U332" s="652"/>
      <c r="V332" s="652"/>
      <c r="W332" s="652"/>
      <c r="X332" s="652"/>
      <c r="Y332" s="652"/>
      <c r="Z332" s="652"/>
      <c r="AA332" s="652"/>
      <c r="AB332" s="652"/>
      <c r="AC332" s="652"/>
      <c r="AD332" s="652"/>
      <c r="AE332" s="652"/>
      <c r="AF332" s="652"/>
      <c r="AG332" s="652"/>
      <c r="AH332" s="652"/>
      <c r="AI332" s="652"/>
      <c r="AJ332" s="652"/>
      <c r="AK332" s="652"/>
      <c r="AL332" s="652"/>
    </row>
    <row r="333" ht="15.75" customHeight="1">
      <c r="A333" s="425"/>
      <c r="B333" s="576"/>
      <c r="C333" s="466"/>
      <c r="D333" s="576"/>
      <c r="E333" s="663"/>
      <c r="F333" s="576"/>
      <c r="G333" s="576"/>
      <c r="H333" s="576"/>
      <c r="I333" s="576"/>
      <c r="J333" s="576"/>
      <c r="K333" s="576"/>
      <c r="L333" s="576"/>
      <c r="M333" s="576"/>
      <c r="N333" s="466"/>
      <c r="O333" s="576"/>
      <c r="P333" s="576"/>
      <c r="Q333" s="576"/>
      <c r="R333" s="652"/>
      <c r="S333" s="652"/>
      <c r="T333" s="652"/>
      <c r="U333" s="652"/>
      <c r="V333" s="652"/>
      <c r="W333" s="652"/>
      <c r="X333" s="652"/>
      <c r="Y333" s="652"/>
      <c r="Z333" s="652"/>
      <c r="AA333" s="652"/>
      <c r="AB333" s="652"/>
      <c r="AC333" s="652"/>
      <c r="AD333" s="652"/>
      <c r="AE333" s="652"/>
      <c r="AF333" s="652"/>
      <c r="AG333" s="652"/>
      <c r="AH333" s="652"/>
      <c r="AI333" s="652"/>
      <c r="AJ333" s="652"/>
      <c r="AK333" s="652"/>
      <c r="AL333" s="652"/>
    </row>
    <row r="334" ht="15.75" customHeight="1">
      <c r="A334" s="425"/>
      <c r="B334" s="576"/>
      <c r="C334" s="466"/>
      <c r="D334" s="576"/>
      <c r="E334" s="663"/>
      <c r="F334" s="576"/>
      <c r="G334" s="576"/>
      <c r="H334" s="576"/>
      <c r="I334" s="576"/>
      <c r="J334" s="576"/>
      <c r="K334" s="576"/>
      <c r="L334" s="576"/>
      <c r="M334" s="576"/>
      <c r="N334" s="466"/>
      <c r="O334" s="576"/>
      <c r="P334" s="576"/>
      <c r="Q334" s="576"/>
      <c r="R334" s="652"/>
      <c r="S334" s="652"/>
      <c r="T334" s="652"/>
      <c r="U334" s="652"/>
      <c r="V334" s="652"/>
      <c r="W334" s="652"/>
      <c r="X334" s="652"/>
      <c r="Y334" s="652"/>
      <c r="Z334" s="652"/>
      <c r="AA334" s="652"/>
      <c r="AB334" s="652"/>
      <c r="AC334" s="652"/>
      <c r="AD334" s="652"/>
      <c r="AE334" s="652"/>
      <c r="AF334" s="652"/>
      <c r="AG334" s="652"/>
      <c r="AH334" s="652"/>
      <c r="AI334" s="652"/>
      <c r="AJ334" s="652"/>
      <c r="AK334" s="652"/>
      <c r="AL334" s="652"/>
    </row>
    <row r="335" ht="15.75" customHeight="1">
      <c r="A335" s="425"/>
      <c r="B335" s="576"/>
      <c r="C335" s="466"/>
      <c r="D335" s="576"/>
      <c r="E335" s="663"/>
      <c r="F335" s="576"/>
      <c r="G335" s="576"/>
      <c r="H335" s="576"/>
      <c r="I335" s="576"/>
      <c r="J335" s="576"/>
      <c r="K335" s="576"/>
      <c r="L335" s="576"/>
      <c r="M335" s="576"/>
      <c r="N335" s="466"/>
      <c r="O335" s="576"/>
      <c r="P335" s="576"/>
      <c r="Q335" s="576"/>
      <c r="R335" s="652"/>
      <c r="S335" s="652"/>
      <c r="T335" s="652"/>
      <c r="U335" s="652"/>
      <c r="V335" s="652"/>
      <c r="W335" s="652"/>
      <c r="X335" s="652"/>
      <c r="Y335" s="652"/>
      <c r="Z335" s="652"/>
      <c r="AA335" s="652"/>
      <c r="AB335" s="652"/>
      <c r="AC335" s="652"/>
      <c r="AD335" s="652"/>
      <c r="AE335" s="652"/>
      <c r="AF335" s="652"/>
      <c r="AG335" s="652"/>
      <c r="AH335" s="652"/>
      <c r="AI335" s="652"/>
      <c r="AJ335" s="652"/>
      <c r="AK335" s="652"/>
      <c r="AL335" s="652"/>
    </row>
    <row r="336" ht="15.75" customHeight="1">
      <c r="A336" s="425"/>
      <c r="B336" s="576"/>
      <c r="C336" s="466"/>
      <c r="D336" s="576"/>
      <c r="E336" s="663"/>
      <c r="F336" s="576"/>
      <c r="G336" s="576"/>
      <c r="H336" s="576"/>
      <c r="I336" s="576"/>
      <c r="J336" s="576"/>
      <c r="K336" s="576"/>
      <c r="L336" s="576"/>
      <c r="M336" s="576"/>
      <c r="N336" s="466"/>
      <c r="O336" s="576"/>
      <c r="P336" s="576"/>
      <c r="Q336" s="576"/>
      <c r="R336" s="652"/>
      <c r="S336" s="652"/>
      <c r="T336" s="652"/>
      <c r="U336" s="652"/>
      <c r="V336" s="652"/>
      <c r="W336" s="652"/>
      <c r="X336" s="652"/>
      <c r="Y336" s="652"/>
      <c r="Z336" s="652"/>
      <c r="AA336" s="652"/>
      <c r="AB336" s="652"/>
      <c r="AC336" s="652"/>
      <c r="AD336" s="652"/>
      <c r="AE336" s="652"/>
      <c r="AF336" s="652"/>
      <c r="AG336" s="652"/>
      <c r="AH336" s="652"/>
      <c r="AI336" s="652"/>
      <c r="AJ336" s="652"/>
      <c r="AK336" s="652"/>
      <c r="AL336" s="652"/>
    </row>
    <row r="337" ht="15.75" customHeight="1">
      <c r="A337" s="425"/>
      <c r="B337" s="576"/>
      <c r="C337" s="466"/>
      <c r="D337" s="576"/>
      <c r="E337" s="663"/>
      <c r="F337" s="576"/>
      <c r="G337" s="576"/>
      <c r="H337" s="576"/>
      <c r="I337" s="576"/>
      <c r="J337" s="576"/>
      <c r="K337" s="576"/>
      <c r="L337" s="576"/>
      <c r="M337" s="576"/>
      <c r="N337" s="466"/>
      <c r="O337" s="576"/>
      <c r="P337" s="576"/>
      <c r="Q337" s="576"/>
      <c r="R337" s="652"/>
      <c r="S337" s="652"/>
      <c r="T337" s="652"/>
      <c r="U337" s="652"/>
      <c r="V337" s="652"/>
      <c r="W337" s="652"/>
      <c r="X337" s="652"/>
      <c r="Y337" s="652"/>
      <c r="Z337" s="652"/>
      <c r="AA337" s="652"/>
      <c r="AB337" s="652"/>
      <c r="AC337" s="652"/>
      <c r="AD337" s="652"/>
      <c r="AE337" s="652"/>
      <c r="AF337" s="652"/>
      <c r="AG337" s="652"/>
      <c r="AH337" s="652"/>
      <c r="AI337" s="652"/>
      <c r="AJ337" s="652"/>
      <c r="AK337" s="652"/>
      <c r="AL337" s="652"/>
    </row>
    <row r="338" ht="15.75" customHeight="1">
      <c r="A338" s="425"/>
      <c r="B338" s="576"/>
      <c r="C338" s="466"/>
      <c r="D338" s="576"/>
      <c r="E338" s="663"/>
      <c r="F338" s="576"/>
      <c r="G338" s="576"/>
      <c r="H338" s="576"/>
      <c r="I338" s="576"/>
      <c r="J338" s="576"/>
      <c r="K338" s="576"/>
      <c r="L338" s="576"/>
      <c r="M338" s="576"/>
      <c r="N338" s="466"/>
      <c r="O338" s="576"/>
      <c r="P338" s="576"/>
      <c r="Q338" s="576"/>
      <c r="R338" s="652"/>
      <c r="S338" s="652"/>
      <c r="T338" s="652"/>
      <c r="U338" s="652"/>
      <c r="V338" s="652"/>
      <c r="W338" s="652"/>
      <c r="X338" s="652"/>
      <c r="Y338" s="652"/>
      <c r="Z338" s="652"/>
      <c r="AA338" s="652"/>
      <c r="AB338" s="652"/>
      <c r="AC338" s="652"/>
      <c r="AD338" s="652"/>
      <c r="AE338" s="652"/>
      <c r="AF338" s="652"/>
      <c r="AG338" s="652"/>
      <c r="AH338" s="652"/>
      <c r="AI338" s="652"/>
      <c r="AJ338" s="652"/>
      <c r="AK338" s="652"/>
      <c r="AL338" s="652"/>
    </row>
    <row r="339" ht="15.75" customHeight="1">
      <c r="A339" s="425"/>
      <c r="B339" s="576"/>
      <c r="C339" s="466"/>
      <c r="D339" s="576"/>
      <c r="E339" s="663"/>
      <c r="F339" s="576"/>
      <c r="G339" s="576"/>
      <c r="H339" s="576"/>
      <c r="I339" s="576"/>
      <c r="J339" s="576"/>
      <c r="K339" s="576"/>
      <c r="L339" s="576"/>
      <c r="M339" s="576"/>
      <c r="N339" s="466"/>
      <c r="O339" s="576"/>
      <c r="P339" s="576"/>
      <c r="Q339" s="576"/>
      <c r="R339" s="652"/>
      <c r="S339" s="652"/>
      <c r="T339" s="652"/>
      <c r="U339" s="652"/>
      <c r="V339" s="652"/>
      <c r="W339" s="652"/>
      <c r="X339" s="652"/>
      <c r="Y339" s="652"/>
      <c r="Z339" s="652"/>
      <c r="AA339" s="652"/>
      <c r="AB339" s="652"/>
      <c r="AC339" s="652"/>
      <c r="AD339" s="652"/>
      <c r="AE339" s="652"/>
      <c r="AF339" s="652"/>
      <c r="AG339" s="652"/>
      <c r="AH339" s="652"/>
      <c r="AI339" s="652"/>
      <c r="AJ339" s="652"/>
      <c r="AK339" s="652"/>
      <c r="AL339" s="652"/>
    </row>
    <row r="340" ht="15.75" customHeight="1">
      <c r="A340" s="425"/>
      <c r="B340" s="576"/>
      <c r="C340" s="466"/>
      <c r="D340" s="576"/>
      <c r="E340" s="663"/>
      <c r="F340" s="576"/>
      <c r="G340" s="576"/>
      <c r="H340" s="576"/>
      <c r="I340" s="576"/>
      <c r="J340" s="576"/>
      <c r="K340" s="576"/>
      <c r="L340" s="576"/>
      <c r="M340" s="576"/>
      <c r="N340" s="466"/>
      <c r="O340" s="576"/>
      <c r="P340" s="576"/>
      <c r="Q340" s="576"/>
      <c r="R340" s="652"/>
      <c r="S340" s="652"/>
      <c r="T340" s="652"/>
      <c r="U340" s="652"/>
      <c r="V340" s="652"/>
      <c r="W340" s="652"/>
      <c r="X340" s="652"/>
      <c r="Y340" s="652"/>
      <c r="Z340" s="652"/>
      <c r="AA340" s="652"/>
      <c r="AB340" s="652"/>
      <c r="AC340" s="652"/>
      <c r="AD340" s="652"/>
      <c r="AE340" s="652"/>
      <c r="AF340" s="652"/>
      <c r="AG340" s="652"/>
      <c r="AH340" s="652"/>
      <c r="AI340" s="652"/>
      <c r="AJ340" s="652"/>
      <c r="AK340" s="652"/>
      <c r="AL340" s="652"/>
    </row>
    <row r="341" ht="15.75" customHeight="1">
      <c r="A341" s="425"/>
      <c r="B341" s="576"/>
      <c r="C341" s="466"/>
      <c r="D341" s="576"/>
      <c r="E341" s="663"/>
      <c r="F341" s="576"/>
      <c r="G341" s="576"/>
      <c r="H341" s="576"/>
      <c r="I341" s="576"/>
      <c r="J341" s="576"/>
      <c r="K341" s="576"/>
      <c r="L341" s="576"/>
      <c r="M341" s="576"/>
      <c r="N341" s="466"/>
      <c r="O341" s="576"/>
      <c r="P341" s="576"/>
      <c r="Q341" s="576"/>
      <c r="R341" s="652"/>
      <c r="S341" s="652"/>
      <c r="T341" s="652"/>
      <c r="U341" s="652"/>
      <c r="V341" s="652"/>
      <c r="W341" s="652"/>
      <c r="X341" s="652"/>
      <c r="Y341" s="652"/>
      <c r="Z341" s="652"/>
      <c r="AA341" s="652"/>
      <c r="AB341" s="652"/>
      <c r="AC341" s="652"/>
      <c r="AD341" s="652"/>
      <c r="AE341" s="652"/>
      <c r="AF341" s="652"/>
      <c r="AG341" s="652"/>
      <c r="AH341" s="652"/>
      <c r="AI341" s="652"/>
      <c r="AJ341" s="652"/>
      <c r="AK341" s="652"/>
      <c r="AL341" s="652"/>
    </row>
    <row r="342" ht="15.75" customHeight="1">
      <c r="A342" s="425"/>
      <c r="B342" s="576"/>
      <c r="C342" s="466"/>
      <c r="D342" s="576"/>
      <c r="E342" s="663"/>
      <c r="F342" s="576"/>
      <c r="G342" s="576"/>
      <c r="H342" s="576"/>
      <c r="I342" s="576"/>
      <c r="J342" s="576"/>
      <c r="K342" s="576"/>
      <c r="L342" s="576"/>
      <c r="M342" s="576"/>
      <c r="N342" s="466"/>
      <c r="O342" s="576"/>
      <c r="P342" s="576"/>
      <c r="Q342" s="576"/>
      <c r="R342" s="652"/>
      <c r="S342" s="652"/>
      <c r="T342" s="652"/>
      <c r="U342" s="652"/>
      <c r="V342" s="652"/>
      <c r="W342" s="652"/>
      <c r="X342" s="652"/>
      <c r="Y342" s="652"/>
      <c r="Z342" s="652"/>
      <c r="AA342" s="652"/>
      <c r="AB342" s="652"/>
      <c r="AC342" s="652"/>
      <c r="AD342" s="652"/>
      <c r="AE342" s="652"/>
      <c r="AF342" s="652"/>
      <c r="AG342" s="652"/>
      <c r="AH342" s="652"/>
      <c r="AI342" s="652"/>
      <c r="AJ342" s="652"/>
      <c r="AK342" s="652"/>
      <c r="AL342" s="652"/>
    </row>
    <row r="343" ht="15.75" customHeight="1">
      <c r="A343" s="425"/>
      <c r="B343" s="576"/>
      <c r="C343" s="466"/>
      <c r="D343" s="576"/>
      <c r="E343" s="663"/>
      <c r="F343" s="576"/>
      <c r="G343" s="576"/>
      <c r="H343" s="576"/>
      <c r="I343" s="576"/>
      <c r="J343" s="576"/>
      <c r="K343" s="576"/>
      <c r="L343" s="576"/>
      <c r="M343" s="576"/>
      <c r="N343" s="466"/>
      <c r="O343" s="576"/>
      <c r="P343" s="576"/>
      <c r="Q343" s="576"/>
      <c r="R343" s="652"/>
      <c r="S343" s="652"/>
      <c r="T343" s="652"/>
      <c r="U343" s="652"/>
      <c r="V343" s="652"/>
      <c r="W343" s="652"/>
      <c r="X343" s="652"/>
      <c r="Y343" s="652"/>
      <c r="Z343" s="652"/>
      <c r="AA343" s="652"/>
      <c r="AB343" s="652"/>
      <c r="AC343" s="652"/>
      <c r="AD343" s="652"/>
      <c r="AE343" s="652"/>
      <c r="AF343" s="652"/>
      <c r="AG343" s="652"/>
      <c r="AH343" s="652"/>
      <c r="AI343" s="652"/>
      <c r="AJ343" s="652"/>
      <c r="AK343" s="652"/>
      <c r="AL343" s="652"/>
    </row>
    <row r="344" ht="15.75" customHeight="1">
      <c r="A344" s="425"/>
      <c r="B344" s="576"/>
      <c r="C344" s="466"/>
      <c r="D344" s="576"/>
      <c r="E344" s="663"/>
      <c r="F344" s="576"/>
      <c r="G344" s="576"/>
      <c r="H344" s="576"/>
      <c r="I344" s="576"/>
      <c r="J344" s="576"/>
      <c r="K344" s="576"/>
      <c r="L344" s="576"/>
      <c r="M344" s="576"/>
      <c r="N344" s="466"/>
      <c r="O344" s="576"/>
      <c r="P344" s="576"/>
      <c r="Q344" s="576"/>
      <c r="R344" s="652"/>
      <c r="S344" s="652"/>
      <c r="T344" s="652"/>
      <c r="U344" s="652"/>
      <c r="V344" s="652"/>
      <c r="W344" s="652"/>
      <c r="X344" s="652"/>
      <c r="Y344" s="652"/>
      <c r="Z344" s="652"/>
      <c r="AA344" s="652"/>
      <c r="AB344" s="652"/>
      <c r="AC344" s="652"/>
      <c r="AD344" s="652"/>
      <c r="AE344" s="652"/>
      <c r="AF344" s="652"/>
      <c r="AG344" s="652"/>
      <c r="AH344" s="652"/>
      <c r="AI344" s="652"/>
      <c r="AJ344" s="652"/>
      <c r="AK344" s="652"/>
      <c r="AL344" s="652"/>
    </row>
    <row r="345" ht="15.75" customHeight="1">
      <c r="A345" s="425"/>
      <c r="B345" s="576"/>
      <c r="C345" s="466"/>
      <c r="D345" s="576"/>
      <c r="E345" s="663"/>
      <c r="F345" s="576"/>
      <c r="G345" s="576"/>
      <c r="H345" s="576"/>
      <c r="I345" s="576"/>
      <c r="J345" s="576"/>
      <c r="K345" s="576"/>
      <c r="L345" s="576"/>
      <c r="M345" s="576"/>
      <c r="N345" s="466"/>
      <c r="O345" s="576"/>
      <c r="P345" s="576"/>
      <c r="Q345" s="576"/>
      <c r="R345" s="652"/>
      <c r="S345" s="652"/>
      <c r="T345" s="652"/>
      <c r="U345" s="652"/>
      <c r="V345" s="652"/>
      <c r="W345" s="652"/>
      <c r="X345" s="652"/>
      <c r="Y345" s="652"/>
      <c r="Z345" s="652"/>
      <c r="AA345" s="652"/>
      <c r="AB345" s="652"/>
      <c r="AC345" s="652"/>
      <c r="AD345" s="652"/>
      <c r="AE345" s="652"/>
      <c r="AF345" s="652"/>
      <c r="AG345" s="652"/>
      <c r="AH345" s="652"/>
      <c r="AI345" s="652"/>
      <c r="AJ345" s="652"/>
      <c r="AK345" s="652"/>
      <c r="AL345" s="652"/>
    </row>
    <row r="346" ht="15.75" customHeight="1">
      <c r="A346" s="425"/>
      <c r="B346" s="576"/>
      <c r="C346" s="466"/>
      <c r="D346" s="576"/>
      <c r="E346" s="663"/>
      <c r="F346" s="576"/>
      <c r="G346" s="576"/>
      <c r="H346" s="576"/>
      <c r="I346" s="576"/>
      <c r="J346" s="576"/>
      <c r="K346" s="576"/>
      <c r="L346" s="576"/>
      <c r="M346" s="576"/>
      <c r="N346" s="466"/>
      <c r="O346" s="576"/>
      <c r="P346" s="576"/>
      <c r="Q346" s="576"/>
      <c r="R346" s="652"/>
      <c r="S346" s="652"/>
      <c r="T346" s="652"/>
      <c r="U346" s="652"/>
      <c r="V346" s="652"/>
      <c r="W346" s="652"/>
      <c r="X346" s="652"/>
      <c r="Y346" s="652"/>
      <c r="Z346" s="652"/>
      <c r="AA346" s="652"/>
      <c r="AB346" s="652"/>
      <c r="AC346" s="652"/>
      <c r="AD346" s="652"/>
      <c r="AE346" s="652"/>
      <c r="AF346" s="652"/>
      <c r="AG346" s="652"/>
      <c r="AH346" s="652"/>
      <c r="AI346" s="652"/>
      <c r="AJ346" s="652"/>
      <c r="AK346" s="652"/>
      <c r="AL346" s="652"/>
    </row>
    <row r="347" ht="15.75" customHeight="1">
      <c r="A347" s="425"/>
      <c r="B347" s="576"/>
      <c r="C347" s="466"/>
      <c r="D347" s="576"/>
      <c r="E347" s="663"/>
      <c r="F347" s="576"/>
      <c r="G347" s="576"/>
      <c r="H347" s="576"/>
      <c r="I347" s="576"/>
      <c r="J347" s="576"/>
      <c r="K347" s="576"/>
      <c r="L347" s="576"/>
      <c r="M347" s="576"/>
      <c r="N347" s="466"/>
      <c r="O347" s="576"/>
      <c r="P347" s="576"/>
      <c r="Q347" s="576"/>
      <c r="R347" s="652"/>
      <c r="S347" s="652"/>
      <c r="T347" s="652"/>
      <c r="U347" s="652"/>
      <c r="V347" s="652"/>
      <c r="W347" s="652"/>
      <c r="X347" s="652"/>
      <c r="Y347" s="652"/>
      <c r="Z347" s="652"/>
      <c r="AA347" s="652"/>
      <c r="AB347" s="652"/>
      <c r="AC347" s="652"/>
      <c r="AD347" s="652"/>
      <c r="AE347" s="652"/>
      <c r="AF347" s="652"/>
      <c r="AG347" s="652"/>
      <c r="AH347" s="652"/>
      <c r="AI347" s="652"/>
      <c r="AJ347" s="652"/>
      <c r="AK347" s="652"/>
      <c r="AL347" s="652"/>
    </row>
    <row r="348" ht="15.75" customHeight="1">
      <c r="A348" s="425"/>
      <c r="B348" s="576"/>
      <c r="C348" s="466"/>
      <c r="D348" s="576"/>
      <c r="E348" s="663"/>
      <c r="F348" s="576"/>
      <c r="G348" s="576"/>
      <c r="H348" s="576"/>
      <c r="I348" s="576"/>
      <c r="J348" s="576"/>
      <c r="K348" s="576"/>
      <c r="L348" s="576"/>
      <c r="M348" s="576"/>
      <c r="N348" s="466"/>
      <c r="O348" s="576"/>
      <c r="P348" s="576"/>
      <c r="Q348" s="576"/>
      <c r="R348" s="652"/>
      <c r="S348" s="652"/>
      <c r="T348" s="652"/>
      <c r="U348" s="652"/>
      <c r="V348" s="652"/>
      <c r="W348" s="652"/>
      <c r="X348" s="652"/>
      <c r="Y348" s="652"/>
      <c r="Z348" s="652"/>
      <c r="AA348" s="652"/>
      <c r="AB348" s="652"/>
      <c r="AC348" s="652"/>
      <c r="AD348" s="652"/>
      <c r="AE348" s="652"/>
      <c r="AF348" s="652"/>
      <c r="AG348" s="652"/>
      <c r="AH348" s="652"/>
      <c r="AI348" s="652"/>
      <c r="AJ348" s="652"/>
      <c r="AK348" s="652"/>
      <c r="AL348" s="652"/>
    </row>
    <row r="349" ht="15.75" customHeight="1">
      <c r="A349" s="425"/>
      <c r="B349" s="576"/>
      <c r="C349" s="466"/>
      <c r="D349" s="576"/>
      <c r="E349" s="663"/>
      <c r="F349" s="576"/>
      <c r="G349" s="576"/>
      <c r="H349" s="576"/>
      <c r="I349" s="576"/>
      <c r="J349" s="576"/>
      <c r="K349" s="576"/>
      <c r="L349" s="576"/>
      <c r="M349" s="576"/>
      <c r="N349" s="466"/>
      <c r="O349" s="576"/>
      <c r="P349" s="576"/>
      <c r="Q349" s="576"/>
      <c r="R349" s="652"/>
      <c r="S349" s="652"/>
      <c r="T349" s="652"/>
      <c r="U349" s="652"/>
      <c r="V349" s="652"/>
      <c r="W349" s="652"/>
      <c r="X349" s="652"/>
      <c r="Y349" s="652"/>
      <c r="Z349" s="652"/>
      <c r="AA349" s="652"/>
      <c r="AB349" s="652"/>
      <c r="AC349" s="652"/>
      <c r="AD349" s="652"/>
      <c r="AE349" s="652"/>
      <c r="AF349" s="652"/>
      <c r="AG349" s="652"/>
      <c r="AH349" s="652"/>
      <c r="AI349" s="652"/>
      <c r="AJ349" s="652"/>
      <c r="AK349" s="652"/>
      <c r="AL349" s="652"/>
    </row>
    <row r="350" ht="15.75" customHeight="1">
      <c r="A350" s="425"/>
      <c r="B350" s="576"/>
      <c r="C350" s="466"/>
      <c r="D350" s="576"/>
      <c r="E350" s="663"/>
      <c r="F350" s="576"/>
      <c r="G350" s="576"/>
      <c r="H350" s="576"/>
      <c r="I350" s="576"/>
      <c r="J350" s="576"/>
      <c r="K350" s="576"/>
      <c r="L350" s="576"/>
      <c r="M350" s="576"/>
      <c r="N350" s="466"/>
      <c r="O350" s="576"/>
      <c r="P350" s="576"/>
      <c r="Q350" s="576"/>
      <c r="R350" s="652"/>
      <c r="S350" s="652"/>
      <c r="T350" s="652"/>
      <c r="U350" s="652"/>
      <c r="V350" s="652"/>
      <c r="W350" s="652"/>
      <c r="X350" s="652"/>
      <c r="Y350" s="652"/>
      <c r="Z350" s="652"/>
      <c r="AA350" s="652"/>
      <c r="AB350" s="652"/>
      <c r="AC350" s="652"/>
      <c r="AD350" s="652"/>
      <c r="AE350" s="652"/>
      <c r="AF350" s="652"/>
      <c r="AG350" s="652"/>
      <c r="AH350" s="652"/>
      <c r="AI350" s="652"/>
      <c r="AJ350" s="652"/>
      <c r="AK350" s="652"/>
      <c r="AL350" s="652"/>
    </row>
    <row r="351" ht="15.75" customHeight="1">
      <c r="A351" s="425"/>
      <c r="B351" s="576"/>
      <c r="C351" s="466"/>
      <c r="D351" s="576"/>
      <c r="E351" s="663"/>
      <c r="F351" s="576"/>
      <c r="G351" s="576"/>
      <c r="H351" s="576"/>
      <c r="I351" s="576"/>
      <c r="J351" s="576"/>
      <c r="K351" s="576"/>
      <c r="L351" s="576"/>
      <c r="M351" s="576"/>
      <c r="N351" s="466"/>
      <c r="O351" s="576"/>
      <c r="P351" s="576"/>
      <c r="Q351" s="576"/>
      <c r="R351" s="652"/>
      <c r="S351" s="652"/>
      <c r="T351" s="652"/>
      <c r="U351" s="652"/>
      <c r="V351" s="652"/>
      <c r="W351" s="652"/>
      <c r="X351" s="652"/>
      <c r="Y351" s="652"/>
      <c r="Z351" s="652"/>
      <c r="AA351" s="652"/>
      <c r="AB351" s="652"/>
      <c r="AC351" s="652"/>
      <c r="AD351" s="652"/>
      <c r="AE351" s="652"/>
      <c r="AF351" s="652"/>
      <c r="AG351" s="652"/>
      <c r="AH351" s="652"/>
      <c r="AI351" s="652"/>
      <c r="AJ351" s="652"/>
      <c r="AK351" s="652"/>
      <c r="AL351" s="652"/>
    </row>
    <row r="352" ht="15.75" customHeight="1">
      <c r="A352" s="425"/>
      <c r="B352" s="576"/>
      <c r="C352" s="466"/>
      <c r="D352" s="576"/>
      <c r="E352" s="663"/>
      <c r="F352" s="576"/>
      <c r="G352" s="576"/>
      <c r="H352" s="576"/>
      <c r="I352" s="576"/>
      <c r="J352" s="576"/>
      <c r="K352" s="576"/>
      <c r="L352" s="576"/>
      <c r="M352" s="576"/>
      <c r="N352" s="466"/>
      <c r="O352" s="576"/>
      <c r="P352" s="576"/>
      <c r="Q352" s="576"/>
      <c r="R352" s="652"/>
      <c r="S352" s="652"/>
      <c r="T352" s="652"/>
      <c r="U352" s="652"/>
      <c r="V352" s="652"/>
      <c r="W352" s="652"/>
      <c r="X352" s="652"/>
      <c r="Y352" s="652"/>
      <c r="Z352" s="652"/>
      <c r="AA352" s="652"/>
      <c r="AB352" s="652"/>
      <c r="AC352" s="652"/>
      <c r="AD352" s="652"/>
      <c r="AE352" s="652"/>
      <c r="AF352" s="652"/>
      <c r="AG352" s="652"/>
      <c r="AH352" s="652"/>
      <c r="AI352" s="652"/>
      <c r="AJ352" s="652"/>
      <c r="AK352" s="652"/>
      <c r="AL352" s="652"/>
    </row>
    <row r="353" ht="15.75" customHeight="1">
      <c r="A353" s="425"/>
      <c r="B353" s="576"/>
      <c r="C353" s="466"/>
      <c r="D353" s="576"/>
      <c r="E353" s="663"/>
      <c r="F353" s="576"/>
      <c r="G353" s="576"/>
      <c r="H353" s="576"/>
      <c r="I353" s="576"/>
      <c r="J353" s="576"/>
      <c r="K353" s="576"/>
      <c r="L353" s="576"/>
      <c r="M353" s="576"/>
      <c r="N353" s="466"/>
      <c r="O353" s="576"/>
      <c r="P353" s="576"/>
      <c r="Q353" s="576"/>
      <c r="R353" s="652"/>
      <c r="S353" s="652"/>
      <c r="T353" s="652"/>
      <c r="U353" s="652"/>
      <c r="V353" s="652"/>
      <c r="W353" s="652"/>
      <c r="X353" s="652"/>
      <c r="Y353" s="652"/>
      <c r="Z353" s="652"/>
      <c r="AA353" s="652"/>
      <c r="AB353" s="652"/>
      <c r="AC353" s="652"/>
      <c r="AD353" s="652"/>
      <c r="AE353" s="652"/>
      <c r="AF353" s="652"/>
      <c r="AG353" s="652"/>
      <c r="AH353" s="652"/>
      <c r="AI353" s="652"/>
      <c r="AJ353" s="652"/>
      <c r="AK353" s="652"/>
      <c r="AL353" s="652"/>
    </row>
    <row r="354" ht="15.75" customHeight="1">
      <c r="A354" s="425"/>
      <c r="B354" s="576"/>
      <c r="C354" s="466"/>
      <c r="D354" s="576"/>
      <c r="E354" s="663"/>
      <c r="F354" s="576"/>
      <c r="G354" s="576"/>
      <c r="H354" s="576"/>
      <c r="I354" s="576"/>
      <c r="J354" s="576"/>
      <c r="K354" s="576"/>
      <c r="L354" s="576"/>
      <c r="M354" s="576"/>
      <c r="N354" s="466"/>
      <c r="O354" s="576"/>
      <c r="P354" s="576"/>
      <c r="Q354" s="576"/>
      <c r="R354" s="652"/>
      <c r="S354" s="652"/>
      <c r="T354" s="652"/>
      <c r="U354" s="652"/>
      <c r="V354" s="652"/>
      <c r="W354" s="652"/>
      <c r="X354" s="652"/>
      <c r="Y354" s="652"/>
      <c r="Z354" s="652"/>
      <c r="AA354" s="652"/>
      <c r="AB354" s="652"/>
      <c r="AC354" s="652"/>
      <c r="AD354" s="652"/>
      <c r="AE354" s="652"/>
      <c r="AF354" s="652"/>
      <c r="AG354" s="652"/>
      <c r="AH354" s="652"/>
      <c r="AI354" s="652"/>
      <c r="AJ354" s="652"/>
      <c r="AK354" s="652"/>
      <c r="AL354" s="652"/>
    </row>
    <row r="355" ht="15.75" customHeight="1">
      <c r="A355" s="425"/>
      <c r="B355" s="576"/>
      <c r="C355" s="466"/>
      <c r="D355" s="576"/>
      <c r="E355" s="663"/>
      <c r="F355" s="576"/>
      <c r="G355" s="576"/>
      <c r="H355" s="576"/>
      <c r="I355" s="576"/>
      <c r="J355" s="576"/>
      <c r="K355" s="576"/>
      <c r="L355" s="576"/>
      <c r="M355" s="576"/>
      <c r="N355" s="466"/>
      <c r="O355" s="576"/>
      <c r="P355" s="576"/>
      <c r="Q355" s="576"/>
      <c r="R355" s="652"/>
      <c r="S355" s="652"/>
      <c r="T355" s="652"/>
      <c r="U355" s="652"/>
      <c r="V355" s="652"/>
      <c r="W355" s="652"/>
      <c r="X355" s="652"/>
      <c r="Y355" s="652"/>
      <c r="Z355" s="652"/>
      <c r="AA355" s="652"/>
      <c r="AB355" s="652"/>
      <c r="AC355" s="652"/>
      <c r="AD355" s="652"/>
      <c r="AE355" s="652"/>
      <c r="AF355" s="652"/>
      <c r="AG355" s="652"/>
      <c r="AH355" s="652"/>
      <c r="AI355" s="652"/>
      <c r="AJ355" s="652"/>
      <c r="AK355" s="652"/>
      <c r="AL355" s="652"/>
    </row>
    <row r="356" ht="15.75" customHeight="1">
      <c r="A356" s="425"/>
      <c r="B356" s="576"/>
      <c r="C356" s="466"/>
      <c r="D356" s="576"/>
      <c r="E356" s="663"/>
      <c r="F356" s="576"/>
      <c r="G356" s="576"/>
      <c r="H356" s="576"/>
      <c r="I356" s="576"/>
      <c r="J356" s="576"/>
      <c r="K356" s="576"/>
      <c r="L356" s="576"/>
      <c r="M356" s="576"/>
      <c r="N356" s="466"/>
      <c r="O356" s="576"/>
      <c r="P356" s="576"/>
      <c r="Q356" s="576"/>
      <c r="R356" s="652"/>
      <c r="S356" s="652"/>
      <c r="T356" s="652"/>
      <c r="U356" s="652"/>
      <c r="V356" s="652"/>
      <c r="W356" s="652"/>
      <c r="X356" s="652"/>
      <c r="Y356" s="652"/>
      <c r="Z356" s="652"/>
      <c r="AA356" s="652"/>
      <c r="AB356" s="652"/>
      <c r="AC356" s="652"/>
      <c r="AD356" s="652"/>
      <c r="AE356" s="652"/>
      <c r="AF356" s="652"/>
      <c r="AG356" s="652"/>
      <c r="AH356" s="652"/>
      <c r="AI356" s="652"/>
      <c r="AJ356" s="652"/>
      <c r="AK356" s="652"/>
      <c r="AL356" s="652"/>
    </row>
    <row r="357" ht="15.75" customHeight="1">
      <c r="A357" s="425"/>
      <c r="B357" s="576"/>
      <c r="C357" s="466"/>
      <c r="D357" s="576"/>
      <c r="E357" s="663"/>
      <c r="F357" s="576"/>
      <c r="G357" s="576"/>
      <c r="H357" s="576"/>
      <c r="I357" s="576"/>
      <c r="J357" s="576"/>
      <c r="K357" s="576"/>
      <c r="L357" s="576"/>
      <c r="M357" s="576"/>
      <c r="N357" s="466"/>
      <c r="O357" s="576"/>
      <c r="P357" s="576"/>
      <c r="Q357" s="576"/>
      <c r="R357" s="652"/>
      <c r="S357" s="652"/>
      <c r="T357" s="652"/>
      <c r="U357" s="652"/>
      <c r="V357" s="652"/>
      <c r="W357" s="652"/>
      <c r="X357" s="652"/>
      <c r="Y357" s="652"/>
      <c r="Z357" s="652"/>
      <c r="AA357" s="652"/>
      <c r="AB357" s="652"/>
      <c r="AC357" s="652"/>
      <c r="AD357" s="652"/>
      <c r="AE357" s="652"/>
      <c r="AF357" s="652"/>
      <c r="AG357" s="652"/>
      <c r="AH357" s="652"/>
      <c r="AI357" s="652"/>
      <c r="AJ357" s="652"/>
      <c r="AK357" s="652"/>
      <c r="AL357" s="652"/>
    </row>
    <row r="358" ht="15.75" customHeight="1">
      <c r="A358" s="425"/>
      <c r="B358" s="576"/>
      <c r="C358" s="466"/>
      <c r="D358" s="576"/>
      <c r="E358" s="663"/>
      <c r="F358" s="576"/>
      <c r="G358" s="576"/>
      <c r="H358" s="576"/>
      <c r="I358" s="576"/>
      <c r="J358" s="576"/>
      <c r="K358" s="576"/>
      <c r="L358" s="576"/>
      <c r="M358" s="576"/>
      <c r="N358" s="466"/>
      <c r="O358" s="576"/>
      <c r="P358" s="576"/>
      <c r="Q358" s="576"/>
      <c r="R358" s="652"/>
      <c r="S358" s="652"/>
      <c r="T358" s="652"/>
      <c r="U358" s="652"/>
      <c r="V358" s="652"/>
      <c r="W358" s="652"/>
      <c r="X358" s="652"/>
      <c r="Y358" s="652"/>
      <c r="Z358" s="652"/>
      <c r="AA358" s="652"/>
      <c r="AB358" s="652"/>
      <c r="AC358" s="652"/>
      <c r="AD358" s="652"/>
      <c r="AE358" s="652"/>
      <c r="AF358" s="652"/>
      <c r="AG358" s="652"/>
      <c r="AH358" s="652"/>
      <c r="AI358" s="652"/>
      <c r="AJ358" s="652"/>
      <c r="AK358" s="652"/>
      <c r="AL358" s="652"/>
    </row>
    <row r="359" ht="15.75" customHeight="1">
      <c r="A359" s="425"/>
      <c r="B359" s="576"/>
      <c r="C359" s="466"/>
      <c r="D359" s="576"/>
      <c r="E359" s="663"/>
      <c r="F359" s="576"/>
      <c r="G359" s="576"/>
      <c r="H359" s="576"/>
      <c r="I359" s="576"/>
      <c r="J359" s="576"/>
      <c r="K359" s="576"/>
      <c r="L359" s="576"/>
      <c r="M359" s="576"/>
      <c r="N359" s="466"/>
      <c r="O359" s="576"/>
      <c r="P359" s="576"/>
      <c r="Q359" s="576"/>
      <c r="R359" s="652"/>
      <c r="S359" s="652"/>
      <c r="T359" s="652"/>
      <c r="U359" s="652"/>
      <c r="V359" s="652"/>
      <c r="W359" s="652"/>
      <c r="X359" s="652"/>
      <c r="Y359" s="652"/>
      <c r="Z359" s="652"/>
      <c r="AA359" s="652"/>
      <c r="AB359" s="652"/>
      <c r="AC359" s="652"/>
      <c r="AD359" s="652"/>
      <c r="AE359" s="652"/>
      <c r="AF359" s="652"/>
      <c r="AG359" s="652"/>
      <c r="AH359" s="652"/>
      <c r="AI359" s="652"/>
      <c r="AJ359" s="652"/>
      <c r="AK359" s="652"/>
      <c r="AL359" s="652"/>
    </row>
    <row r="360" ht="15.75" customHeight="1">
      <c r="A360" s="425"/>
      <c r="B360" s="576"/>
      <c r="C360" s="466"/>
      <c r="D360" s="576"/>
      <c r="E360" s="663"/>
      <c r="F360" s="576"/>
      <c r="G360" s="576"/>
      <c r="H360" s="576"/>
      <c r="I360" s="576"/>
      <c r="J360" s="576"/>
      <c r="K360" s="576"/>
      <c r="L360" s="576"/>
      <c r="M360" s="576"/>
      <c r="N360" s="466"/>
      <c r="O360" s="576"/>
      <c r="P360" s="576"/>
      <c r="Q360" s="576"/>
      <c r="R360" s="652"/>
      <c r="S360" s="652"/>
      <c r="T360" s="652"/>
      <c r="U360" s="652"/>
      <c r="V360" s="652"/>
      <c r="W360" s="652"/>
      <c r="X360" s="652"/>
      <c r="Y360" s="652"/>
      <c r="Z360" s="652"/>
      <c r="AA360" s="652"/>
      <c r="AB360" s="652"/>
      <c r="AC360" s="652"/>
      <c r="AD360" s="652"/>
      <c r="AE360" s="652"/>
      <c r="AF360" s="652"/>
      <c r="AG360" s="652"/>
      <c r="AH360" s="652"/>
      <c r="AI360" s="652"/>
      <c r="AJ360" s="652"/>
      <c r="AK360" s="652"/>
      <c r="AL360" s="652"/>
    </row>
    <row r="361" ht="15.75" customHeight="1">
      <c r="A361" s="425"/>
      <c r="B361" s="576"/>
      <c r="C361" s="466"/>
      <c r="D361" s="576"/>
      <c r="E361" s="663"/>
      <c r="F361" s="576"/>
      <c r="G361" s="576"/>
      <c r="H361" s="576"/>
      <c r="I361" s="576"/>
      <c r="J361" s="576"/>
      <c r="K361" s="576"/>
      <c r="L361" s="576"/>
      <c r="M361" s="576"/>
      <c r="N361" s="466"/>
      <c r="O361" s="576"/>
      <c r="P361" s="576"/>
      <c r="Q361" s="576"/>
      <c r="R361" s="652"/>
      <c r="S361" s="652"/>
      <c r="T361" s="652"/>
      <c r="U361" s="652"/>
      <c r="V361" s="652"/>
      <c r="W361" s="652"/>
      <c r="X361" s="652"/>
      <c r="Y361" s="652"/>
      <c r="Z361" s="652"/>
      <c r="AA361" s="652"/>
      <c r="AB361" s="652"/>
      <c r="AC361" s="652"/>
      <c r="AD361" s="652"/>
      <c r="AE361" s="652"/>
      <c r="AF361" s="652"/>
      <c r="AG361" s="652"/>
      <c r="AH361" s="652"/>
      <c r="AI361" s="652"/>
      <c r="AJ361" s="652"/>
      <c r="AK361" s="652"/>
      <c r="AL361" s="652"/>
    </row>
    <row r="362" ht="15.75" customHeight="1">
      <c r="A362" s="425"/>
      <c r="B362" s="576"/>
      <c r="C362" s="466"/>
      <c r="D362" s="576"/>
      <c r="E362" s="663"/>
      <c r="F362" s="576"/>
      <c r="G362" s="576"/>
      <c r="H362" s="576"/>
      <c r="I362" s="576"/>
      <c r="J362" s="576"/>
      <c r="K362" s="576"/>
      <c r="L362" s="576"/>
      <c r="M362" s="576"/>
      <c r="N362" s="466"/>
      <c r="O362" s="576"/>
      <c r="P362" s="576"/>
      <c r="Q362" s="576"/>
      <c r="R362" s="652"/>
      <c r="S362" s="652"/>
      <c r="T362" s="652"/>
      <c r="U362" s="652"/>
      <c r="V362" s="652"/>
      <c r="W362" s="652"/>
      <c r="X362" s="652"/>
      <c r="Y362" s="652"/>
      <c r="Z362" s="652"/>
      <c r="AA362" s="652"/>
      <c r="AB362" s="652"/>
      <c r="AC362" s="652"/>
      <c r="AD362" s="652"/>
      <c r="AE362" s="652"/>
      <c r="AF362" s="652"/>
      <c r="AG362" s="652"/>
      <c r="AH362" s="652"/>
      <c r="AI362" s="652"/>
      <c r="AJ362" s="652"/>
      <c r="AK362" s="652"/>
      <c r="AL362" s="652"/>
    </row>
    <row r="363" ht="15.75" customHeight="1">
      <c r="A363" s="425"/>
      <c r="B363" s="664"/>
      <c r="C363" s="665"/>
      <c r="D363" s="664"/>
      <c r="E363" s="666"/>
      <c r="F363" s="664"/>
      <c r="G363" s="664"/>
      <c r="H363" s="664"/>
      <c r="I363" s="664"/>
      <c r="J363" s="664"/>
      <c r="K363" s="664"/>
      <c r="L363" s="664"/>
      <c r="M363" s="664"/>
      <c r="N363" s="665"/>
      <c r="O363" s="664"/>
      <c r="P363" s="664"/>
      <c r="Q363" s="664"/>
      <c r="R363" s="652"/>
      <c r="S363" s="652"/>
      <c r="T363" s="652"/>
      <c r="U363" s="652"/>
      <c r="V363" s="652"/>
      <c r="W363" s="652"/>
      <c r="X363" s="652"/>
      <c r="Y363" s="652"/>
      <c r="Z363" s="652"/>
      <c r="AA363" s="652"/>
      <c r="AB363" s="652"/>
      <c r="AC363" s="652"/>
      <c r="AD363" s="652"/>
      <c r="AE363" s="652"/>
      <c r="AF363" s="652"/>
      <c r="AG363" s="652"/>
      <c r="AH363" s="652"/>
      <c r="AI363" s="652"/>
      <c r="AJ363" s="652"/>
      <c r="AK363" s="652"/>
      <c r="AL363" s="652"/>
    </row>
    <row r="364" ht="15.75" customHeight="1">
      <c r="A364" s="425"/>
      <c r="B364" s="664"/>
      <c r="C364" s="665"/>
      <c r="D364" s="664"/>
      <c r="E364" s="666"/>
      <c r="F364" s="664"/>
      <c r="G364" s="664"/>
      <c r="H364" s="664"/>
      <c r="I364" s="664"/>
      <c r="J364" s="664"/>
      <c r="K364" s="664"/>
      <c r="L364" s="664"/>
      <c r="M364" s="664"/>
      <c r="N364" s="665"/>
      <c r="O364" s="664"/>
      <c r="P364" s="664"/>
      <c r="Q364" s="664"/>
      <c r="R364" s="652"/>
      <c r="S364" s="652"/>
      <c r="T364" s="652"/>
      <c r="U364" s="652"/>
      <c r="V364" s="652"/>
      <c r="W364" s="652"/>
      <c r="X364" s="652"/>
      <c r="Y364" s="652"/>
      <c r="Z364" s="652"/>
      <c r="AA364" s="652"/>
      <c r="AB364" s="652"/>
      <c r="AC364" s="652"/>
      <c r="AD364" s="652"/>
      <c r="AE364" s="652"/>
      <c r="AF364" s="652"/>
      <c r="AG364" s="652"/>
      <c r="AH364" s="652"/>
      <c r="AI364" s="652"/>
      <c r="AJ364" s="652"/>
      <c r="AK364" s="652"/>
      <c r="AL364" s="652"/>
    </row>
    <row r="365" ht="15.75" customHeight="1">
      <c r="A365" s="425"/>
      <c r="B365" s="664"/>
      <c r="C365" s="665"/>
      <c r="D365" s="664"/>
      <c r="E365" s="666"/>
      <c r="F365" s="664"/>
      <c r="G365" s="664"/>
      <c r="H365" s="664"/>
      <c r="I365" s="664"/>
      <c r="J365" s="664"/>
      <c r="K365" s="664"/>
      <c r="L365" s="664"/>
      <c r="M365" s="664"/>
      <c r="N365" s="665"/>
      <c r="O365" s="664"/>
      <c r="P365" s="664"/>
      <c r="Q365" s="664"/>
      <c r="R365" s="652"/>
      <c r="S365" s="652"/>
      <c r="T365" s="652"/>
      <c r="U365" s="652"/>
      <c r="V365" s="652"/>
      <c r="W365" s="652"/>
      <c r="X365" s="652"/>
      <c r="Y365" s="652"/>
      <c r="Z365" s="652"/>
      <c r="AA365" s="652"/>
      <c r="AB365" s="652"/>
      <c r="AC365" s="652"/>
      <c r="AD365" s="652"/>
      <c r="AE365" s="652"/>
      <c r="AF365" s="652"/>
      <c r="AG365" s="652"/>
      <c r="AH365" s="652"/>
      <c r="AI365" s="652"/>
      <c r="AJ365" s="652"/>
      <c r="AK365" s="652"/>
      <c r="AL365" s="652"/>
    </row>
    <row r="366" ht="15.75" customHeight="1">
      <c r="A366" s="425"/>
      <c r="B366" s="664"/>
      <c r="C366" s="665"/>
      <c r="D366" s="664"/>
      <c r="E366" s="666"/>
      <c r="F366" s="664"/>
      <c r="G366" s="664"/>
      <c r="H366" s="664"/>
      <c r="I366" s="664"/>
      <c r="J366" s="664"/>
      <c r="K366" s="664"/>
      <c r="L366" s="664"/>
      <c r="M366" s="664"/>
      <c r="N366" s="665"/>
      <c r="O366" s="664"/>
      <c r="P366" s="664"/>
      <c r="Q366" s="664"/>
      <c r="R366" s="652"/>
      <c r="S366" s="652"/>
      <c r="T366" s="652"/>
      <c r="U366" s="652"/>
      <c r="V366" s="652"/>
      <c r="W366" s="652"/>
      <c r="X366" s="652"/>
      <c r="Y366" s="652"/>
      <c r="Z366" s="652"/>
      <c r="AA366" s="652"/>
      <c r="AB366" s="652"/>
      <c r="AC366" s="652"/>
      <c r="AD366" s="652"/>
      <c r="AE366" s="652"/>
      <c r="AF366" s="652"/>
      <c r="AG366" s="652"/>
      <c r="AH366" s="652"/>
      <c r="AI366" s="652"/>
      <c r="AJ366" s="652"/>
      <c r="AK366" s="652"/>
      <c r="AL366" s="652"/>
    </row>
    <row r="367" ht="15.75" customHeight="1">
      <c r="A367" s="425"/>
      <c r="B367" s="664"/>
      <c r="C367" s="665"/>
      <c r="D367" s="664"/>
      <c r="E367" s="666"/>
      <c r="F367" s="664"/>
      <c r="G367" s="664"/>
      <c r="H367" s="664"/>
      <c r="I367" s="664"/>
      <c r="J367" s="664"/>
      <c r="K367" s="664"/>
      <c r="L367" s="664"/>
      <c r="M367" s="664"/>
      <c r="N367" s="665"/>
      <c r="O367" s="664"/>
      <c r="P367" s="664"/>
      <c r="Q367" s="664"/>
      <c r="R367" s="652"/>
      <c r="S367" s="652"/>
      <c r="T367" s="652"/>
      <c r="U367" s="652"/>
      <c r="V367" s="652"/>
      <c r="W367" s="652"/>
      <c r="X367" s="652"/>
      <c r="Y367" s="652"/>
      <c r="Z367" s="652"/>
      <c r="AA367" s="652"/>
      <c r="AB367" s="652"/>
      <c r="AC367" s="652"/>
      <c r="AD367" s="652"/>
      <c r="AE367" s="652"/>
      <c r="AF367" s="652"/>
      <c r="AG367" s="652"/>
      <c r="AH367" s="652"/>
      <c r="AI367" s="652"/>
      <c r="AJ367" s="652"/>
      <c r="AK367" s="652"/>
      <c r="AL367" s="652"/>
    </row>
    <row r="368" ht="15.75" customHeight="1">
      <c r="A368" s="425"/>
      <c r="B368" s="664"/>
      <c r="C368" s="665"/>
      <c r="D368" s="664"/>
      <c r="E368" s="666"/>
      <c r="F368" s="664"/>
      <c r="G368" s="664"/>
      <c r="H368" s="664"/>
      <c r="I368" s="664"/>
      <c r="J368" s="664"/>
      <c r="K368" s="664"/>
      <c r="L368" s="664"/>
      <c r="M368" s="664"/>
      <c r="N368" s="665"/>
      <c r="O368" s="664"/>
      <c r="P368" s="664"/>
      <c r="Q368" s="664"/>
      <c r="R368" s="652"/>
      <c r="S368" s="652"/>
      <c r="T368" s="652"/>
      <c r="U368" s="652"/>
      <c r="V368" s="652"/>
      <c r="W368" s="652"/>
      <c r="X368" s="652"/>
      <c r="Y368" s="652"/>
      <c r="Z368" s="652"/>
      <c r="AA368" s="652"/>
      <c r="AB368" s="652"/>
      <c r="AC368" s="652"/>
      <c r="AD368" s="652"/>
      <c r="AE368" s="652"/>
      <c r="AF368" s="652"/>
      <c r="AG368" s="652"/>
      <c r="AH368" s="652"/>
      <c r="AI368" s="652"/>
      <c r="AJ368" s="652"/>
      <c r="AK368" s="652"/>
      <c r="AL368" s="652"/>
    </row>
    <row r="369" ht="15.75" customHeight="1">
      <c r="A369" s="425"/>
      <c r="B369" s="664"/>
      <c r="C369" s="665"/>
      <c r="D369" s="664"/>
      <c r="E369" s="666"/>
      <c r="F369" s="664"/>
      <c r="G369" s="664"/>
      <c r="H369" s="664"/>
      <c r="I369" s="664"/>
      <c r="J369" s="664"/>
      <c r="K369" s="664"/>
      <c r="L369" s="664"/>
      <c r="M369" s="664"/>
      <c r="N369" s="665"/>
      <c r="O369" s="664"/>
      <c r="P369" s="664"/>
      <c r="Q369" s="664"/>
      <c r="R369" s="652"/>
      <c r="S369" s="652"/>
      <c r="T369" s="652"/>
      <c r="U369" s="652"/>
      <c r="V369" s="652"/>
      <c r="W369" s="652"/>
      <c r="X369" s="652"/>
      <c r="Y369" s="652"/>
      <c r="Z369" s="652"/>
      <c r="AA369" s="652"/>
      <c r="AB369" s="652"/>
      <c r="AC369" s="652"/>
      <c r="AD369" s="652"/>
      <c r="AE369" s="652"/>
      <c r="AF369" s="652"/>
      <c r="AG369" s="652"/>
      <c r="AH369" s="652"/>
      <c r="AI369" s="652"/>
      <c r="AJ369" s="652"/>
      <c r="AK369" s="652"/>
      <c r="AL369" s="652"/>
    </row>
    <row r="370" ht="15.75" customHeight="1">
      <c r="A370" s="425"/>
      <c r="B370" s="664"/>
      <c r="C370" s="665"/>
      <c r="D370" s="664"/>
      <c r="E370" s="666"/>
      <c r="F370" s="664"/>
      <c r="G370" s="664"/>
      <c r="H370" s="664"/>
      <c r="I370" s="664"/>
      <c r="J370" s="664"/>
      <c r="K370" s="664"/>
      <c r="L370" s="664"/>
      <c r="M370" s="664"/>
      <c r="N370" s="665"/>
      <c r="O370" s="664"/>
      <c r="P370" s="664"/>
      <c r="Q370" s="664"/>
      <c r="R370" s="652"/>
      <c r="S370" s="652"/>
      <c r="T370" s="652"/>
      <c r="U370" s="652"/>
      <c r="V370" s="652"/>
      <c r="W370" s="652"/>
      <c r="X370" s="652"/>
      <c r="Y370" s="652"/>
      <c r="Z370" s="652"/>
      <c r="AA370" s="652"/>
      <c r="AB370" s="652"/>
      <c r="AC370" s="652"/>
      <c r="AD370" s="652"/>
      <c r="AE370" s="652"/>
      <c r="AF370" s="652"/>
      <c r="AG370" s="652"/>
      <c r="AH370" s="652"/>
      <c r="AI370" s="652"/>
      <c r="AJ370" s="652"/>
      <c r="AK370" s="652"/>
      <c r="AL370" s="652"/>
    </row>
    <row r="371" ht="15.75" customHeight="1">
      <c r="A371" s="425"/>
      <c r="B371" s="664"/>
      <c r="C371" s="665"/>
      <c r="D371" s="664"/>
      <c r="E371" s="666"/>
      <c r="F371" s="664"/>
      <c r="G371" s="664"/>
      <c r="H371" s="664"/>
      <c r="I371" s="664"/>
      <c r="J371" s="664"/>
      <c r="K371" s="664"/>
      <c r="L371" s="664"/>
      <c r="M371" s="664"/>
      <c r="N371" s="665"/>
      <c r="O371" s="664"/>
      <c r="P371" s="664"/>
      <c r="Q371" s="664"/>
      <c r="R371" s="652"/>
      <c r="S371" s="652"/>
      <c r="T371" s="652"/>
      <c r="U371" s="652"/>
      <c r="V371" s="652"/>
      <c r="W371" s="652"/>
      <c r="X371" s="652"/>
      <c r="Y371" s="652"/>
      <c r="Z371" s="652"/>
      <c r="AA371" s="652"/>
      <c r="AB371" s="652"/>
      <c r="AC371" s="652"/>
      <c r="AD371" s="652"/>
      <c r="AE371" s="652"/>
      <c r="AF371" s="652"/>
      <c r="AG371" s="652"/>
      <c r="AH371" s="652"/>
      <c r="AI371" s="652"/>
      <c r="AJ371" s="652"/>
      <c r="AK371" s="652"/>
      <c r="AL371" s="652"/>
    </row>
    <row r="372" ht="15.75" customHeight="1">
      <c r="A372" s="425"/>
      <c r="B372" s="664"/>
      <c r="C372" s="665"/>
      <c r="D372" s="664"/>
      <c r="E372" s="666"/>
      <c r="F372" s="664"/>
      <c r="G372" s="664"/>
      <c r="H372" s="664"/>
      <c r="I372" s="664"/>
      <c r="J372" s="664"/>
      <c r="K372" s="664"/>
      <c r="L372" s="664"/>
      <c r="M372" s="664"/>
      <c r="N372" s="665"/>
      <c r="O372" s="664"/>
      <c r="P372" s="664"/>
      <c r="Q372" s="664"/>
      <c r="R372" s="652"/>
      <c r="S372" s="652"/>
      <c r="T372" s="652"/>
      <c r="U372" s="652"/>
      <c r="V372" s="652"/>
      <c r="W372" s="652"/>
      <c r="X372" s="652"/>
      <c r="Y372" s="652"/>
      <c r="Z372" s="652"/>
      <c r="AA372" s="652"/>
      <c r="AB372" s="652"/>
      <c r="AC372" s="652"/>
      <c r="AD372" s="652"/>
      <c r="AE372" s="652"/>
      <c r="AF372" s="652"/>
      <c r="AG372" s="652"/>
      <c r="AH372" s="652"/>
      <c r="AI372" s="652"/>
      <c r="AJ372" s="652"/>
      <c r="AK372" s="652"/>
      <c r="AL372" s="652"/>
    </row>
    <row r="373" ht="15.75" customHeight="1">
      <c r="A373" s="425"/>
      <c r="B373" s="664"/>
      <c r="C373" s="665"/>
      <c r="D373" s="664"/>
      <c r="E373" s="666"/>
      <c r="F373" s="664"/>
      <c r="G373" s="664"/>
      <c r="H373" s="664"/>
      <c r="I373" s="664"/>
      <c r="J373" s="664"/>
      <c r="K373" s="664"/>
      <c r="L373" s="664"/>
      <c r="M373" s="664"/>
      <c r="N373" s="665"/>
      <c r="O373" s="664"/>
      <c r="P373" s="664"/>
      <c r="Q373" s="664"/>
      <c r="R373" s="652"/>
      <c r="S373" s="652"/>
      <c r="T373" s="652"/>
      <c r="U373" s="652"/>
      <c r="V373" s="652"/>
      <c r="W373" s="652"/>
      <c r="X373" s="652"/>
      <c r="Y373" s="652"/>
      <c r="Z373" s="652"/>
      <c r="AA373" s="652"/>
      <c r="AB373" s="652"/>
      <c r="AC373" s="652"/>
      <c r="AD373" s="652"/>
      <c r="AE373" s="652"/>
      <c r="AF373" s="652"/>
      <c r="AG373" s="652"/>
      <c r="AH373" s="652"/>
      <c r="AI373" s="652"/>
      <c r="AJ373" s="652"/>
      <c r="AK373" s="652"/>
      <c r="AL373" s="652"/>
    </row>
    <row r="374" ht="15.75" customHeight="1">
      <c r="A374" s="425"/>
      <c r="B374" s="664"/>
      <c r="C374" s="665"/>
      <c r="D374" s="664"/>
      <c r="E374" s="666"/>
      <c r="F374" s="664"/>
      <c r="G374" s="664"/>
      <c r="H374" s="664"/>
      <c r="I374" s="664"/>
      <c r="J374" s="664"/>
      <c r="K374" s="664"/>
      <c r="L374" s="664"/>
      <c r="M374" s="664"/>
      <c r="N374" s="665"/>
      <c r="O374" s="664"/>
      <c r="P374" s="664"/>
      <c r="Q374" s="664"/>
      <c r="R374" s="652"/>
      <c r="S374" s="652"/>
      <c r="T374" s="652"/>
      <c r="U374" s="652"/>
      <c r="V374" s="652"/>
      <c r="W374" s="652"/>
      <c r="X374" s="652"/>
      <c r="Y374" s="652"/>
      <c r="Z374" s="652"/>
      <c r="AA374" s="652"/>
      <c r="AB374" s="652"/>
      <c r="AC374" s="652"/>
      <c r="AD374" s="652"/>
      <c r="AE374" s="652"/>
      <c r="AF374" s="652"/>
      <c r="AG374" s="652"/>
      <c r="AH374" s="652"/>
      <c r="AI374" s="652"/>
      <c r="AJ374" s="652"/>
      <c r="AK374" s="652"/>
      <c r="AL374" s="652"/>
    </row>
    <row r="375" ht="15.75" customHeight="1">
      <c r="A375" s="425"/>
      <c r="B375" s="664"/>
      <c r="C375" s="665"/>
      <c r="D375" s="664"/>
      <c r="E375" s="666"/>
      <c r="F375" s="664"/>
      <c r="G375" s="664"/>
      <c r="H375" s="664"/>
      <c r="I375" s="664"/>
      <c r="J375" s="664"/>
      <c r="K375" s="664"/>
      <c r="L375" s="664"/>
      <c r="M375" s="664"/>
      <c r="N375" s="665"/>
      <c r="O375" s="664"/>
      <c r="P375" s="664"/>
      <c r="Q375" s="664"/>
      <c r="R375" s="652"/>
      <c r="S375" s="652"/>
      <c r="T375" s="652"/>
      <c r="U375" s="652"/>
      <c r="V375" s="652"/>
      <c r="W375" s="652"/>
      <c r="X375" s="652"/>
      <c r="Y375" s="652"/>
      <c r="Z375" s="652"/>
      <c r="AA375" s="652"/>
      <c r="AB375" s="652"/>
      <c r="AC375" s="652"/>
      <c r="AD375" s="652"/>
      <c r="AE375" s="652"/>
      <c r="AF375" s="652"/>
      <c r="AG375" s="652"/>
      <c r="AH375" s="652"/>
      <c r="AI375" s="652"/>
      <c r="AJ375" s="652"/>
      <c r="AK375" s="652"/>
      <c r="AL375" s="652"/>
    </row>
    <row r="376" ht="15.75" customHeight="1">
      <c r="A376" s="425"/>
      <c r="B376" s="664"/>
      <c r="C376" s="665"/>
      <c r="D376" s="664"/>
      <c r="E376" s="666"/>
      <c r="F376" s="664"/>
      <c r="G376" s="664"/>
      <c r="H376" s="664"/>
      <c r="I376" s="664"/>
      <c r="J376" s="664"/>
      <c r="K376" s="664"/>
      <c r="L376" s="664"/>
      <c r="M376" s="664"/>
      <c r="N376" s="665"/>
      <c r="O376" s="664"/>
      <c r="P376" s="664"/>
      <c r="Q376" s="664"/>
      <c r="R376" s="652"/>
      <c r="S376" s="652"/>
      <c r="T376" s="652"/>
      <c r="U376" s="652"/>
      <c r="V376" s="652"/>
      <c r="W376" s="652"/>
      <c r="X376" s="652"/>
      <c r="Y376" s="652"/>
      <c r="Z376" s="652"/>
      <c r="AA376" s="652"/>
      <c r="AB376" s="652"/>
      <c r="AC376" s="652"/>
      <c r="AD376" s="652"/>
      <c r="AE376" s="652"/>
      <c r="AF376" s="652"/>
      <c r="AG376" s="652"/>
      <c r="AH376" s="652"/>
      <c r="AI376" s="652"/>
      <c r="AJ376" s="652"/>
      <c r="AK376" s="652"/>
      <c r="AL376" s="652"/>
    </row>
    <row r="377" ht="15.75" customHeight="1">
      <c r="A377" s="425"/>
      <c r="B377" s="664"/>
      <c r="C377" s="665"/>
      <c r="D377" s="664"/>
      <c r="E377" s="666"/>
      <c r="F377" s="664"/>
      <c r="G377" s="664"/>
      <c r="H377" s="664"/>
      <c r="I377" s="664"/>
      <c r="J377" s="664"/>
      <c r="K377" s="664"/>
      <c r="L377" s="664"/>
      <c r="M377" s="664"/>
      <c r="N377" s="665"/>
      <c r="O377" s="664"/>
      <c r="P377" s="664"/>
      <c r="Q377" s="664"/>
      <c r="R377" s="652"/>
      <c r="S377" s="652"/>
      <c r="T377" s="652"/>
      <c r="U377" s="652"/>
      <c r="V377" s="652"/>
      <c r="W377" s="652"/>
      <c r="X377" s="652"/>
      <c r="Y377" s="652"/>
      <c r="Z377" s="652"/>
      <c r="AA377" s="652"/>
      <c r="AB377" s="652"/>
      <c r="AC377" s="652"/>
      <c r="AD377" s="652"/>
      <c r="AE377" s="652"/>
      <c r="AF377" s="652"/>
      <c r="AG377" s="652"/>
      <c r="AH377" s="652"/>
      <c r="AI377" s="652"/>
      <c r="AJ377" s="652"/>
      <c r="AK377" s="652"/>
      <c r="AL377" s="652"/>
    </row>
    <row r="378" ht="15.75" customHeight="1">
      <c r="A378" s="425"/>
      <c r="B378" s="664"/>
      <c r="C378" s="665"/>
      <c r="D378" s="664"/>
      <c r="E378" s="666"/>
      <c r="F378" s="664"/>
      <c r="G378" s="664"/>
      <c r="H378" s="664"/>
      <c r="I378" s="664"/>
      <c r="J378" s="664"/>
      <c r="K378" s="664"/>
      <c r="L378" s="664"/>
      <c r="M378" s="664"/>
      <c r="N378" s="665"/>
      <c r="O378" s="664"/>
      <c r="P378" s="664"/>
      <c r="Q378" s="664"/>
      <c r="R378" s="652"/>
      <c r="S378" s="652"/>
      <c r="T378" s="652"/>
      <c r="U378" s="652"/>
      <c r="V378" s="652"/>
      <c r="W378" s="652"/>
      <c r="X378" s="652"/>
      <c r="Y378" s="652"/>
      <c r="Z378" s="652"/>
      <c r="AA378" s="652"/>
      <c r="AB378" s="652"/>
      <c r="AC378" s="652"/>
      <c r="AD378" s="652"/>
      <c r="AE378" s="652"/>
      <c r="AF378" s="652"/>
      <c r="AG378" s="652"/>
      <c r="AH378" s="652"/>
      <c r="AI378" s="652"/>
      <c r="AJ378" s="652"/>
      <c r="AK378" s="652"/>
      <c r="AL378" s="652"/>
    </row>
    <row r="379" ht="15.75" customHeight="1">
      <c r="A379" s="425"/>
      <c r="B379" s="664"/>
      <c r="C379" s="665"/>
      <c r="D379" s="664"/>
      <c r="E379" s="666"/>
      <c r="F379" s="664"/>
      <c r="G379" s="664"/>
      <c r="H379" s="664"/>
      <c r="I379" s="664"/>
      <c r="J379" s="664"/>
      <c r="K379" s="664"/>
      <c r="L379" s="664"/>
      <c r="M379" s="664"/>
      <c r="N379" s="665"/>
      <c r="O379" s="664"/>
      <c r="P379" s="664"/>
      <c r="Q379" s="664"/>
      <c r="R379" s="652"/>
      <c r="S379" s="652"/>
      <c r="T379" s="652"/>
      <c r="U379" s="652"/>
      <c r="V379" s="652"/>
      <c r="W379" s="652"/>
      <c r="X379" s="652"/>
      <c r="Y379" s="652"/>
      <c r="Z379" s="652"/>
      <c r="AA379" s="652"/>
      <c r="AB379" s="652"/>
      <c r="AC379" s="652"/>
      <c r="AD379" s="652"/>
      <c r="AE379" s="652"/>
      <c r="AF379" s="652"/>
      <c r="AG379" s="652"/>
      <c r="AH379" s="652"/>
      <c r="AI379" s="652"/>
      <c r="AJ379" s="652"/>
      <c r="AK379" s="652"/>
      <c r="AL379" s="652"/>
    </row>
    <row r="380" ht="15.75" customHeight="1">
      <c r="A380" s="425"/>
      <c r="B380" s="664"/>
      <c r="C380" s="665"/>
      <c r="D380" s="664"/>
      <c r="E380" s="666"/>
      <c r="F380" s="664"/>
      <c r="G380" s="664"/>
      <c r="H380" s="664"/>
      <c r="I380" s="664"/>
      <c r="J380" s="664"/>
      <c r="K380" s="664"/>
      <c r="L380" s="664"/>
      <c r="M380" s="664"/>
      <c r="N380" s="665"/>
      <c r="O380" s="664"/>
      <c r="P380" s="664"/>
      <c r="Q380" s="664"/>
      <c r="R380" s="652"/>
      <c r="S380" s="652"/>
      <c r="T380" s="652"/>
      <c r="U380" s="652"/>
      <c r="V380" s="652"/>
      <c r="W380" s="652"/>
      <c r="X380" s="652"/>
      <c r="Y380" s="652"/>
      <c r="Z380" s="652"/>
      <c r="AA380" s="652"/>
      <c r="AB380" s="652"/>
      <c r="AC380" s="652"/>
      <c r="AD380" s="652"/>
      <c r="AE380" s="652"/>
      <c r="AF380" s="652"/>
      <c r="AG380" s="652"/>
      <c r="AH380" s="652"/>
      <c r="AI380" s="652"/>
      <c r="AJ380" s="652"/>
      <c r="AK380" s="652"/>
      <c r="AL380" s="652"/>
    </row>
    <row r="381" ht="15.75" customHeight="1">
      <c r="A381" s="425"/>
      <c r="B381" s="664"/>
      <c r="C381" s="665"/>
      <c r="D381" s="664"/>
      <c r="E381" s="666"/>
      <c r="F381" s="664"/>
      <c r="G381" s="664"/>
      <c r="H381" s="664"/>
      <c r="I381" s="664"/>
      <c r="J381" s="664"/>
      <c r="K381" s="664"/>
      <c r="L381" s="664"/>
      <c r="M381" s="664"/>
      <c r="N381" s="665"/>
      <c r="O381" s="664"/>
      <c r="P381" s="664"/>
      <c r="Q381" s="664"/>
      <c r="R381" s="652"/>
      <c r="S381" s="652"/>
      <c r="T381" s="652"/>
      <c r="U381" s="652"/>
      <c r="V381" s="652"/>
      <c r="W381" s="652"/>
      <c r="X381" s="652"/>
      <c r="Y381" s="652"/>
      <c r="Z381" s="652"/>
      <c r="AA381" s="652"/>
      <c r="AB381" s="652"/>
      <c r="AC381" s="652"/>
      <c r="AD381" s="652"/>
      <c r="AE381" s="652"/>
      <c r="AF381" s="652"/>
      <c r="AG381" s="652"/>
      <c r="AH381" s="652"/>
      <c r="AI381" s="652"/>
      <c r="AJ381" s="652"/>
      <c r="AK381" s="652"/>
      <c r="AL381" s="652"/>
    </row>
    <row r="382" ht="15.75" customHeight="1">
      <c r="A382" s="425"/>
      <c r="B382" s="664"/>
      <c r="C382" s="665"/>
      <c r="D382" s="664"/>
      <c r="E382" s="666"/>
      <c r="F382" s="664"/>
      <c r="G382" s="664"/>
      <c r="H382" s="664"/>
      <c r="I382" s="664"/>
      <c r="J382" s="664"/>
      <c r="K382" s="664"/>
      <c r="L382" s="664"/>
      <c r="M382" s="664"/>
      <c r="N382" s="665"/>
      <c r="O382" s="664"/>
      <c r="P382" s="664"/>
      <c r="Q382" s="664"/>
      <c r="R382" s="652"/>
      <c r="S382" s="652"/>
      <c r="T382" s="652"/>
      <c r="U382" s="652"/>
      <c r="V382" s="652"/>
      <c r="W382" s="652"/>
      <c r="X382" s="652"/>
      <c r="Y382" s="652"/>
      <c r="Z382" s="652"/>
      <c r="AA382" s="652"/>
      <c r="AB382" s="652"/>
      <c r="AC382" s="652"/>
      <c r="AD382" s="652"/>
      <c r="AE382" s="652"/>
      <c r="AF382" s="652"/>
      <c r="AG382" s="652"/>
      <c r="AH382" s="652"/>
      <c r="AI382" s="652"/>
      <c r="AJ382" s="652"/>
      <c r="AK382" s="652"/>
      <c r="AL382" s="652"/>
    </row>
    <row r="383" ht="15.75" customHeight="1">
      <c r="A383" s="425"/>
      <c r="B383" s="664"/>
      <c r="C383" s="665"/>
      <c r="D383" s="664"/>
      <c r="E383" s="666"/>
      <c r="F383" s="664"/>
      <c r="G383" s="664"/>
      <c r="H383" s="664"/>
      <c r="I383" s="664"/>
      <c r="J383" s="664"/>
      <c r="K383" s="664"/>
      <c r="L383" s="664"/>
      <c r="M383" s="664"/>
      <c r="N383" s="665"/>
      <c r="O383" s="664"/>
      <c r="P383" s="664"/>
      <c r="Q383" s="664"/>
      <c r="R383" s="652"/>
      <c r="S383" s="652"/>
      <c r="T383" s="652"/>
      <c r="U383" s="652"/>
      <c r="V383" s="652"/>
      <c r="W383" s="652"/>
      <c r="X383" s="652"/>
      <c r="Y383" s="652"/>
      <c r="Z383" s="652"/>
      <c r="AA383" s="652"/>
      <c r="AB383" s="652"/>
      <c r="AC383" s="652"/>
      <c r="AD383" s="652"/>
      <c r="AE383" s="652"/>
      <c r="AF383" s="652"/>
      <c r="AG383" s="652"/>
      <c r="AH383" s="652"/>
      <c r="AI383" s="652"/>
      <c r="AJ383" s="652"/>
      <c r="AK383" s="652"/>
      <c r="AL383" s="652"/>
    </row>
    <row r="384" ht="15.75" customHeight="1">
      <c r="A384" s="425"/>
      <c r="B384" s="664"/>
      <c r="C384" s="665"/>
      <c r="D384" s="664"/>
      <c r="E384" s="666"/>
      <c r="F384" s="664"/>
      <c r="G384" s="664"/>
      <c r="H384" s="664"/>
      <c r="I384" s="664"/>
      <c r="J384" s="664"/>
      <c r="K384" s="664"/>
      <c r="L384" s="664"/>
      <c r="M384" s="664"/>
      <c r="N384" s="665"/>
      <c r="O384" s="664"/>
      <c r="P384" s="664"/>
      <c r="Q384" s="664"/>
      <c r="R384" s="652"/>
      <c r="S384" s="652"/>
      <c r="T384" s="652"/>
      <c r="U384" s="652"/>
      <c r="V384" s="652"/>
      <c r="W384" s="652"/>
      <c r="X384" s="652"/>
      <c r="Y384" s="652"/>
      <c r="Z384" s="652"/>
      <c r="AA384" s="652"/>
      <c r="AB384" s="652"/>
      <c r="AC384" s="652"/>
      <c r="AD384" s="652"/>
      <c r="AE384" s="652"/>
      <c r="AF384" s="652"/>
      <c r="AG384" s="652"/>
      <c r="AH384" s="652"/>
      <c r="AI384" s="652"/>
      <c r="AJ384" s="652"/>
      <c r="AK384" s="652"/>
      <c r="AL384" s="652"/>
    </row>
    <row r="385" ht="15.75" customHeight="1">
      <c r="A385" s="425"/>
      <c r="B385" s="664"/>
      <c r="C385" s="665"/>
      <c r="D385" s="664"/>
      <c r="E385" s="666"/>
      <c r="F385" s="664"/>
      <c r="G385" s="664"/>
      <c r="H385" s="664"/>
      <c r="I385" s="664"/>
      <c r="J385" s="664"/>
      <c r="K385" s="664"/>
      <c r="L385" s="664"/>
      <c r="M385" s="664"/>
      <c r="N385" s="665"/>
      <c r="O385" s="664"/>
      <c r="P385" s="664"/>
      <c r="Q385" s="664"/>
      <c r="R385" s="652"/>
      <c r="S385" s="652"/>
      <c r="T385" s="652"/>
      <c r="U385" s="652"/>
      <c r="V385" s="652"/>
      <c r="W385" s="652"/>
      <c r="X385" s="652"/>
      <c r="Y385" s="652"/>
      <c r="Z385" s="652"/>
      <c r="AA385" s="652"/>
      <c r="AB385" s="652"/>
      <c r="AC385" s="652"/>
      <c r="AD385" s="652"/>
      <c r="AE385" s="652"/>
      <c r="AF385" s="652"/>
      <c r="AG385" s="652"/>
      <c r="AH385" s="652"/>
      <c r="AI385" s="652"/>
      <c r="AJ385" s="652"/>
      <c r="AK385" s="652"/>
      <c r="AL385" s="652"/>
    </row>
    <row r="386" ht="15.75" customHeight="1">
      <c r="A386" s="425"/>
      <c r="B386" s="664"/>
      <c r="C386" s="665"/>
      <c r="D386" s="664"/>
      <c r="E386" s="666"/>
      <c r="F386" s="664"/>
      <c r="G386" s="664"/>
      <c r="H386" s="664"/>
      <c r="I386" s="664"/>
      <c r="J386" s="664"/>
      <c r="K386" s="664"/>
      <c r="L386" s="664"/>
      <c r="M386" s="664"/>
      <c r="N386" s="665"/>
      <c r="O386" s="664"/>
      <c r="P386" s="664"/>
      <c r="Q386" s="664"/>
      <c r="R386" s="652"/>
      <c r="S386" s="652"/>
      <c r="T386" s="652"/>
      <c r="U386" s="652"/>
      <c r="V386" s="652"/>
      <c r="W386" s="652"/>
      <c r="X386" s="652"/>
      <c r="Y386" s="652"/>
      <c r="Z386" s="652"/>
      <c r="AA386" s="652"/>
      <c r="AB386" s="652"/>
      <c r="AC386" s="652"/>
      <c r="AD386" s="652"/>
      <c r="AE386" s="652"/>
      <c r="AF386" s="652"/>
      <c r="AG386" s="652"/>
      <c r="AH386" s="652"/>
      <c r="AI386" s="652"/>
      <c r="AJ386" s="652"/>
      <c r="AK386" s="652"/>
      <c r="AL386" s="652"/>
    </row>
    <row r="387" ht="15.75" customHeight="1">
      <c r="A387" s="425"/>
      <c r="B387" s="664"/>
      <c r="C387" s="665"/>
      <c r="D387" s="664"/>
      <c r="E387" s="666"/>
      <c r="F387" s="664"/>
      <c r="G387" s="664"/>
      <c r="H387" s="664"/>
      <c r="I387" s="664"/>
      <c r="J387" s="664"/>
      <c r="K387" s="664"/>
      <c r="L387" s="664"/>
      <c r="M387" s="664"/>
      <c r="N387" s="665"/>
      <c r="O387" s="664"/>
      <c r="P387" s="664"/>
      <c r="Q387" s="664"/>
      <c r="R387" s="652"/>
      <c r="S387" s="652"/>
      <c r="T387" s="652"/>
      <c r="U387" s="652"/>
      <c r="V387" s="652"/>
      <c r="W387" s="652"/>
      <c r="X387" s="652"/>
      <c r="Y387" s="652"/>
      <c r="Z387" s="652"/>
      <c r="AA387" s="652"/>
      <c r="AB387" s="652"/>
      <c r="AC387" s="652"/>
      <c r="AD387" s="652"/>
      <c r="AE387" s="652"/>
      <c r="AF387" s="652"/>
      <c r="AG387" s="652"/>
      <c r="AH387" s="652"/>
      <c r="AI387" s="652"/>
      <c r="AJ387" s="652"/>
      <c r="AK387" s="652"/>
      <c r="AL387" s="652"/>
    </row>
    <row r="388" ht="15.75" customHeight="1">
      <c r="A388" s="425"/>
      <c r="B388" s="664"/>
      <c r="C388" s="665"/>
      <c r="D388" s="664"/>
      <c r="E388" s="666"/>
      <c r="F388" s="664"/>
      <c r="G388" s="664"/>
      <c r="H388" s="664"/>
      <c r="I388" s="664"/>
      <c r="J388" s="664"/>
      <c r="K388" s="664"/>
      <c r="L388" s="664"/>
      <c r="M388" s="664"/>
      <c r="N388" s="665"/>
      <c r="O388" s="664"/>
      <c r="P388" s="664"/>
      <c r="Q388" s="664"/>
      <c r="R388" s="652"/>
      <c r="S388" s="652"/>
      <c r="T388" s="652"/>
      <c r="U388" s="652"/>
      <c r="V388" s="652"/>
      <c r="W388" s="652"/>
      <c r="X388" s="652"/>
      <c r="Y388" s="652"/>
      <c r="Z388" s="652"/>
      <c r="AA388" s="652"/>
      <c r="AB388" s="652"/>
      <c r="AC388" s="652"/>
      <c r="AD388" s="652"/>
      <c r="AE388" s="652"/>
      <c r="AF388" s="652"/>
      <c r="AG388" s="652"/>
      <c r="AH388" s="652"/>
      <c r="AI388" s="652"/>
      <c r="AJ388" s="652"/>
      <c r="AK388" s="652"/>
      <c r="AL388" s="652"/>
    </row>
    <row r="389" ht="15.75" customHeight="1">
      <c r="A389" s="425"/>
      <c r="B389" s="664"/>
      <c r="C389" s="665"/>
      <c r="D389" s="664"/>
      <c r="E389" s="666"/>
      <c r="F389" s="664"/>
      <c r="G389" s="664"/>
      <c r="H389" s="664"/>
      <c r="I389" s="664"/>
      <c r="J389" s="664"/>
      <c r="K389" s="664"/>
      <c r="L389" s="664"/>
      <c r="M389" s="664"/>
      <c r="N389" s="665"/>
      <c r="O389" s="664"/>
      <c r="P389" s="664"/>
      <c r="Q389" s="664"/>
      <c r="R389" s="652"/>
      <c r="S389" s="652"/>
      <c r="T389" s="652"/>
      <c r="U389" s="652"/>
      <c r="V389" s="652"/>
      <c r="W389" s="652"/>
      <c r="X389" s="652"/>
      <c r="Y389" s="652"/>
      <c r="Z389" s="652"/>
      <c r="AA389" s="652"/>
      <c r="AB389" s="652"/>
      <c r="AC389" s="652"/>
      <c r="AD389" s="652"/>
      <c r="AE389" s="652"/>
      <c r="AF389" s="652"/>
      <c r="AG389" s="652"/>
      <c r="AH389" s="652"/>
      <c r="AI389" s="652"/>
      <c r="AJ389" s="652"/>
      <c r="AK389" s="652"/>
      <c r="AL389" s="652"/>
    </row>
    <row r="390" ht="15.75" customHeight="1">
      <c r="A390" s="425"/>
      <c r="B390" s="664"/>
      <c r="C390" s="665"/>
      <c r="D390" s="664"/>
      <c r="E390" s="666"/>
      <c r="F390" s="664"/>
      <c r="G390" s="664"/>
      <c r="H390" s="664"/>
      <c r="I390" s="664"/>
      <c r="J390" s="664"/>
      <c r="K390" s="664"/>
      <c r="L390" s="664"/>
      <c r="M390" s="664"/>
      <c r="N390" s="665"/>
      <c r="O390" s="664"/>
      <c r="P390" s="664"/>
      <c r="Q390" s="664"/>
      <c r="R390" s="652"/>
      <c r="S390" s="652"/>
      <c r="T390" s="652"/>
      <c r="U390" s="652"/>
      <c r="V390" s="652"/>
      <c r="W390" s="652"/>
      <c r="X390" s="652"/>
      <c r="Y390" s="652"/>
      <c r="Z390" s="652"/>
      <c r="AA390" s="652"/>
      <c r="AB390" s="652"/>
      <c r="AC390" s="652"/>
      <c r="AD390" s="652"/>
      <c r="AE390" s="652"/>
      <c r="AF390" s="652"/>
      <c r="AG390" s="652"/>
      <c r="AH390" s="652"/>
      <c r="AI390" s="652"/>
      <c r="AJ390" s="652"/>
      <c r="AK390" s="652"/>
      <c r="AL390" s="652"/>
    </row>
    <row r="391" ht="15.75" customHeight="1">
      <c r="A391" s="425"/>
      <c r="B391" s="664"/>
      <c r="C391" s="665"/>
      <c r="D391" s="664"/>
      <c r="E391" s="666"/>
      <c r="F391" s="664"/>
      <c r="G391" s="664"/>
      <c r="H391" s="664"/>
      <c r="I391" s="664"/>
      <c r="J391" s="664"/>
      <c r="K391" s="664"/>
      <c r="L391" s="664"/>
      <c r="M391" s="664"/>
      <c r="N391" s="665"/>
      <c r="O391" s="664"/>
      <c r="P391" s="664"/>
      <c r="Q391" s="664"/>
      <c r="R391" s="652"/>
      <c r="S391" s="652"/>
      <c r="T391" s="652"/>
      <c r="U391" s="652"/>
      <c r="V391" s="652"/>
      <c r="W391" s="652"/>
      <c r="X391" s="652"/>
      <c r="Y391" s="652"/>
      <c r="Z391" s="652"/>
      <c r="AA391" s="652"/>
      <c r="AB391" s="652"/>
      <c r="AC391" s="652"/>
      <c r="AD391" s="652"/>
      <c r="AE391" s="652"/>
      <c r="AF391" s="652"/>
      <c r="AG391" s="652"/>
      <c r="AH391" s="652"/>
      <c r="AI391" s="652"/>
      <c r="AJ391" s="652"/>
      <c r="AK391" s="652"/>
      <c r="AL391" s="652"/>
    </row>
    <row r="392" ht="15.75" customHeight="1">
      <c r="A392" s="425"/>
      <c r="B392" s="664"/>
      <c r="C392" s="665"/>
      <c r="D392" s="664"/>
      <c r="E392" s="666"/>
      <c r="F392" s="664"/>
      <c r="G392" s="664"/>
      <c r="H392" s="664"/>
      <c r="I392" s="664"/>
      <c r="J392" s="664"/>
      <c r="K392" s="664"/>
      <c r="L392" s="664"/>
      <c r="M392" s="664"/>
      <c r="N392" s="665"/>
      <c r="O392" s="664"/>
      <c r="P392" s="664"/>
      <c r="Q392" s="664"/>
      <c r="R392" s="652"/>
      <c r="S392" s="652"/>
      <c r="T392" s="652"/>
      <c r="U392" s="652"/>
      <c r="V392" s="652"/>
      <c r="W392" s="652"/>
      <c r="X392" s="652"/>
      <c r="Y392" s="652"/>
      <c r="Z392" s="652"/>
      <c r="AA392" s="652"/>
      <c r="AB392" s="652"/>
      <c r="AC392" s="652"/>
      <c r="AD392" s="652"/>
      <c r="AE392" s="652"/>
      <c r="AF392" s="652"/>
      <c r="AG392" s="652"/>
      <c r="AH392" s="652"/>
      <c r="AI392" s="652"/>
      <c r="AJ392" s="652"/>
      <c r="AK392" s="652"/>
      <c r="AL392" s="652"/>
    </row>
    <row r="393" ht="15.75" customHeight="1">
      <c r="A393" s="425"/>
      <c r="B393" s="664"/>
      <c r="C393" s="665"/>
      <c r="D393" s="664"/>
      <c r="E393" s="666"/>
      <c r="F393" s="664"/>
      <c r="G393" s="664"/>
      <c r="H393" s="664"/>
      <c r="I393" s="664"/>
      <c r="J393" s="664"/>
      <c r="K393" s="664"/>
      <c r="L393" s="664"/>
      <c r="M393" s="664"/>
      <c r="N393" s="665"/>
      <c r="O393" s="664"/>
      <c r="P393" s="664"/>
      <c r="Q393" s="664"/>
      <c r="R393" s="652"/>
      <c r="S393" s="652"/>
      <c r="T393" s="652"/>
      <c r="U393" s="652"/>
      <c r="V393" s="652"/>
      <c r="W393" s="652"/>
      <c r="X393" s="652"/>
      <c r="Y393" s="652"/>
      <c r="Z393" s="652"/>
      <c r="AA393" s="652"/>
      <c r="AB393" s="652"/>
      <c r="AC393" s="652"/>
      <c r="AD393" s="652"/>
      <c r="AE393" s="652"/>
      <c r="AF393" s="652"/>
      <c r="AG393" s="652"/>
      <c r="AH393" s="652"/>
      <c r="AI393" s="652"/>
      <c r="AJ393" s="652"/>
      <c r="AK393" s="652"/>
      <c r="AL393" s="652"/>
    </row>
    <row r="394" ht="15.75" customHeight="1">
      <c r="A394" s="425"/>
      <c r="B394" s="664"/>
      <c r="C394" s="665"/>
      <c r="D394" s="664"/>
      <c r="E394" s="666"/>
      <c r="F394" s="664"/>
      <c r="G394" s="664"/>
      <c r="H394" s="664"/>
      <c r="I394" s="664"/>
      <c r="J394" s="664"/>
      <c r="K394" s="664"/>
      <c r="L394" s="664"/>
      <c r="M394" s="664"/>
      <c r="N394" s="665"/>
      <c r="O394" s="664"/>
      <c r="P394" s="664"/>
      <c r="Q394" s="664"/>
      <c r="R394" s="652"/>
      <c r="S394" s="652"/>
      <c r="T394" s="652"/>
      <c r="U394" s="652"/>
      <c r="V394" s="652"/>
      <c r="W394" s="652"/>
      <c r="X394" s="652"/>
      <c r="Y394" s="652"/>
      <c r="Z394" s="652"/>
      <c r="AA394" s="652"/>
      <c r="AB394" s="652"/>
      <c r="AC394" s="652"/>
      <c r="AD394" s="652"/>
      <c r="AE394" s="652"/>
      <c r="AF394" s="652"/>
      <c r="AG394" s="652"/>
      <c r="AH394" s="652"/>
      <c r="AI394" s="652"/>
      <c r="AJ394" s="652"/>
      <c r="AK394" s="652"/>
      <c r="AL394" s="652"/>
    </row>
    <row r="395" ht="15.75" customHeight="1">
      <c r="A395" s="425"/>
      <c r="B395" s="664"/>
      <c r="C395" s="665"/>
      <c r="D395" s="664"/>
      <c r="E395" s="666"/>
      <c r="F395" s="664"/>
      <c r="G395" s="664"/>
      <c r="H395" s="664"/>
      <c r="I395" s="664"/>
      <c r="J395" s="664"/>
      <c r="K395" s="664"/>
      <c r="L395" s="664"/>
      <c r="M395" s="664"/>
      <c r="N395" s="665"/>
      <c r="O395" s="664"/>
      <c r="P395" s="664"/>
      <c r="Q395" s="664"/>
      <c r="R395" s="652"/>
      <c r="S395" s="652"/>
      <c r="T395" s="652"/>
      <c r="U395" s="652"/>
      <c r="V395" s="652"/>
      <c r="W395" s="652"/>
      <c r="X395" s="652"/>
      <c r="Y395" s="652"/>
      <c r="Z395" s="652"/>
      <c r="AA395" s="652"/>
      <c r="AB395" s="652"/>
      <c r="AC395" s="652"/>
      <c r="AD395" s="652"/>
      <c r="AE395" s="652"/>
      <c r="AF395" s="652"/>
      <c r="AG395" s="652"/>
      <c r="AH395" s="652"/>
      <c r="AI395" s="652"/>
      <c r="AJ395" s="652"/>
      <c r="AK395" s="652"/>
      <c r="AL395" s="652"/>
    </row>
    <row r="396" ht="15.75" customHeight="1">
      <c r="A396" s="425"/>
      <c r="B396" s="664"/>
      <c r="C396" s="665"/>
      <c r="D396" s="664"/>
      <c r="E396" s="666"/>
      <c r="F396" s="664"/>
      <c r="G396" s="664"/>
      <c r="H396" s="664"/>
      <c r="I396" s="664"/>
      <c r="J396" s="664"/>
      <c r="K396" s="664"/>
      <c r="L396" s="664"/>
      <c r="M396" s="664"/>
      <c r="N396" s="665"/>
      <c r="O396" s="664"/>
      <c r="P396" s="664"/>
      <c r="Q396" s="664"/>
      <c r="R396" s="652"/>
      <c r="S396" s="652"/>
      <c r="T396" s="652"/>
      <c r="U396" s="652"/>
      <c r="V396" s="652"/>
      <c r="W396" s="652"/>
      <c r="X396" s="652"/>
      <c r="Y396" s="652"/>
      <c r="Z396" s="652"/>
      <c r="AA396" s="652"/>
      <c r="AB396" s="652"/>
      <c r="AC396" s="652"/>
      <c r="AD396" s="652"/>
      <c r="AE396" s="652"/>
      <c r="AF396" s="652"/>
      <c r="AG396" s="652"/>
      <c r="AH396" s="652"/>
      <c r="AI396" s="652"/>
      <c r="AJ396" s="652"/>
      <c r="AK396" s="652"/>
      <c r="AL396" s="652"/>
    </row>
    <row r="397" ht="15.75" customHeight="1">
      <c r="A397" s="425"/>
      <c r="B397" s="664"/>
      <c r="C397" s="665"/>
      <c r="D397" s="664"/>
      <c r="E397" s="666"/>
      <c r="F397" s="664"/>
      <c r="G397" s="664"/>
      <c r="H397" s="664"/>
      <c r="I397" s="664"/>
      <c r="J397" s="664"/>
      <c r="K397" s="664"/>
      <c r="L397" s="664"/>
      <c r="M397" s="664"/>
      <c r="N397" s="665"/>
      <c r="O397" s="664"/>
      <c r="P397" s="664"/>
      <c r="Q397" s="664"/>
      <c r="R397" s="652"/>
      <c r="S397" s="652"/>
      <c r="T397" s="652"/>
      <c r="U397" s="652"/>
      <c r="V397" s="652"/>
      <c r="W397" s="652"/>
      <c r="X397" s="652"/>
      <c r="Y397" s="652"/>
      <c r="Z397" s="652"/>
      <c r="AA397" s="652"/>
      <c r="AB397" s="652"/>
      <c r="AC397" s="652"/>
      <c r="AD397" s="652"/>
      <c r="AE397" s="652"/>
      <c r="AF397" s="652"/>
      <c r="AG397" s="652"/>
      <c r="AH397" s="652"/>
      <c r="AI397" s="652"/>
      <c r="AJ397" s="652"/>
      <c r="AK397" s="652"/>
      <c r="AL397" s="652"/>
    </row>
    <row r="398" ht="15.75" customHeight="1">
      <c r="A398" s="425"/>
      <c r="B398" s="664"/>
      <c r="C398" s="665"/>
      <c r="D398" s="664"/>
      <c r="E398" s="666"/>
      <c r="F398" s="664"/>
      <c r="G398" s="664"/>
      <c r="H398" s="664"/>
      <c r="I398" s="664"/>
      <c r="J398" s="664"/>
      <c r="K398" s="664"/>
      <c r="L398" s="664"/>
      <c r="M398" s="664"/>
      <c r="N398" s="665"/>
      <c r="O398" s="664"/>
      <c r="P398" s="664"/>
      <c r="Q398" s="664"/>
      <c r="R398" s="652"/>
      <c r="S398" s="652"/>
      <c r="T398" s="652"/>
      <c r="U398" s="652"/>
      <c r="V398" s="652"/>
      <c r="W398" s="652"/>
      <c r="X398" s="652"/>
      <c r="Y398" s="652"/>
      <c r="Z398" s="652"/>
      <c r="AA398" s="652"/>
      <c r="AB398" s="652"/>
      <c r="AC398" s="652"/>
      <c r="AD398" s="652"/>
      <c r="AE398" s="652"/>
      <c r="AF398" s="652"/>
      <c r="AG398" s="652"/>
      <c r="AH398" s="652"/>
      <c r="AI398" s="652"/>
      <c r="AJ398" s="652"/>
      <c r="AK398" s="652"/>
      <c r="AL398" s="652"/>
    </row>
    <row r="399" ht="15.75" customHeight="1">
      <c r="A399" s="425"/>
      <c r="B399" s="664"/>
      <c r="C399" s="665"/>
      <c r="D399" s="664"/>
      <c r="E399" s="666"/>
      <c r="F399" s="664"/>
      <c r="G399" s="664"/>
      <c r="H399" s="664"/>
      <c r="I399" s="664"/>
      <c r="J399" s="664"/>
      <c r="K399" s="664"/>
      <c r="L399" s="664"/>
      <c r="M399" s="664"/>
      <c r="N399" s="665"/>
      <c r="O399" s="664"/>
      <c r="P399" s="664"/>
      <c r="Q399" s="664"/>
      <c r="R399" s="652"/>
      <c r="S399" s="652"/>
      <c r="T399" s="652"/>
      <c r="U399" s="652"/>
      <c r="V399" s="652"/>
      <c r="W399" s="652"/>
      <c r="X399" s="652"/>
      <c r="Y399" s="652"/>
      <c r="Z399" s="652"/>
      <c r="AA399" s="652"/>
      <c r="AB399" s="652"/>
      <c r="AC399" s="652"/>
      <c r="AD399" s="652"/>
      <c r="AE399" s="652"/>
      <c r="AF399" s="652"/>
      <c r="AG399" s="652"/>
      <c r="AH399" s="652"/>
      <c r="AI399" s="652"/>
      <c r="AJ399" s="652"/>
      <c r="AK399" s="652"/>
      <c r="AL399" s="652"/>
    </row>
    <row r="400" ht="15.75" customHeight="1">
      <c r="A400" s="425"/>
      <c r="B400" s="664"/>
      <c r="C400" s="665"/>
      <c r="D400" s="664"/>
      <c r="E400" s="666"/>
      <c r="F400" s="664"/>
      <c r="G400" s="664"/>
      <c r="H400" s="664"/>
      <c r="I400" s="664"/>
      <c r="J400" s="664"/>
      <c r="K400" s="664"/>
      <c r="L400" s="664"/>
      <c r="M400" s="664"/>
      <c r="N400" s="665"/>
      <c r="O400" s="664"/>
      <c r="P400" s="664"/>
      <c r="Q400" s="664"/>
      <c r="R400" s="652"/>
      <c r="S400" s="652"/>
      <c r="T400" s="652"/>
      <c r="U400" s="652"/>
      <c r="V400" s="652"/>
      <c r="W400" s="652"/>
      <c r="X400" s="652"/>
      <c r="Y400" s="652"/>
      <c r="Z400" s="652"/>
      <c r="AA400" s="652"/>
      <c r="AB400" s="652"/>
      <c r="AC400" s="652"/>
      <c r="AD400" s="652"/>
      <c r="AE400" s="652"/>
      <c r="AF400" s="652"/>
      <c r="AG400" s="652"/>
      <c r="AH400" s="652"/>
      <c r="AI400" s="652"/>
      <c r="AJ400" s="652"/>
      <c r="AK400" s="652"/>
      <c r="AL400" s="652"/>
    </row>
    <row r="401" ht="15.75" customHeight="1">
      <c r="A401" s="425"/>
      <c r="B401" s="664"/>
      <c r="C401" s="665"/>
      <c r="D401" s="664"/>
      <c r="E401" s="666"/>
      <c r="F401" s="664"/>
      <c r="G401" s="664"/>
      <c r="H401" s="664"/>
      <c r="I401" s="664"/>
      <c r="J401" s="664"/>
      <c r="K401" s="664"/>
      <c r="L401" s="664"/>
      <c r="M401" s="664"/>
      <c r="N401" s="665"/>
      <c r="O401" s="664"/>
      <c r="P401" s="664"/>
      <c r="Q401" s="664"/>
      <c r="R401" s="652"/>
      <c r="S401" s="652"/>
      <c r="T401" s="652"/>
      <c r="U401" s="652"/>
      <c r="V401" s="652"/>
      <c r="W401" s="652"/>
      <c r="X401" s="652"/>
      <c r="Y401" s="652"/>
      <c r="Z401" s="652"/>
      <c r="AA401" s="652"/>
      <c r="AB401" s="652"/>
      <c r="AC401" s="652"/>
      <c r="AD401" s="652"/>
      <c r="AE401" s="652"/>
      <c r="AF401" s="652"/>
      <c r="AG401" s="652"/>
      <c r="AH401" s="652"/>
      <c r="AI401" s="652"/>
      <c r="AJ401" s="652"/>
      <c r="AK401" s="652"/>
      <c r="AL401" s="652"/>
    </row>
    <row r="402" ht="15.75" customHeight="1">
      <c r="A402" s="425"/>
      <c r="B402" s="664"/>
      <c r="C402" s="665"/>
      <c r="D402" s="664"/>
      <c r="E402" s="666"/>
      <c r="F402" s="664"/>
      <c r="G402" s="664"/>
      <c r="H402" s="664"/>
      <c r="I402" s="664"/>
      <c r="J402" s="664"/>
      <c r="K402" s="664"/>
      <c r="L402" s="664"/>
      <c r="M402" s="664"/>
      <c r="N402" s="665"/>
      <c r="O402" s="664"/>
      <c r="P402" s="664"/>
      <c r="Q402" s="664"/>
      <c r="R402" s="652"/>
      <c r="S402" s="652"/>
      <c r="T402" s="652"/>
      <c r="U402" s="652"/>
      <c r="V402" s="652"/>
      <c r="W402" s="652"/>
      <c r="X402" s="652"/>
      <c r="Y402" s="652"/>
      <c r="Z402" s="652"/>
      <c r="AA402" s="652"/>
      <c r="AB402" s="652"/>
      <c r="AC402" s="652"/>
      <c r="AD402" s="652"/>
      <c r="AE402" s="652"/>
      <c r="AF402" s="652"/>
      <c r="AG402" s="652"/>
      <c r="AH402" s="652"/>
      <c r="AI402" s="652"/>
      <c r="AJ402" s="652"/>
      <c r="AK402" s="652"/>
      <c r="AL402" s="652"/>
    </row>
    <row r="403" ht="15.75" customHeight="1">
      <c r="A403" s="425"/>
      <c r="B403" s="664"/>
      <c r="C403" s="665"/>
      <c r="D403" s="664"/>
      <c r="E403" s="666"/>
      <c r="F403" s="664"/>
      <c r="G403" s="664"/>
      <c r="H403" s="664"/>
      <c r="I403" s="664"/>
      <c r="J403" s="664"/>
      <c r="K403" s="664"/>
      <c r="L403" s="664"/>
      <c r="M403" s="664"/>
      <c r="N403" s="665"/>
      <c r="O403" s="664"/>
      <c r="P403" s="664"/>
      <c r="Q403" s="664"/>
      <c r="R403" s="652"/>
      <c r="S403" s="652"/>
      <c r="T403" s="652"/>
      <c r="U403" s="652"/>
      <c r="V403" s="652"/>
      <c r="W403" s="652"/>
      <c r="X403" s="652"/>
      <c r="Y403" s="652"/>
      <c r="Z403" s="652"/>
      <c r="AA403" s="652"/>
      <c r="AB403" s="652"/>
      <c r="AC403" s="652"/>
      <c r="AD403" s="652"/>
      <c r="AE403" s="652"/>
      <c r="AF403" s="652"/>
      <c r="AG403" s="652"/>
      <c r="AH403" s="652"/>
      <c r="AI403" s="652"/>
      <c r="AJ403" s="652"/>
      <c r="AK403" s="652"/>
      <c r="AL403" s="652"/>
    </row>
    <row r="404" ht="15.75" customHeight="1">
      <c r="A404" s="425"/>
      <c r="B404" s="664"/>
      <c r="C404" s="665"/>
      <c r="D404" s="664"/>
      <c r="E404" s="666"/>
      <c r="F404" s="664"/>
      <c r="G404" s="664"/>
      <c r="H404" s="664"/>
      <c r="I404" s="664"/>
      <c r="J404" s="664"/>
      <c r="K404" s="664"/>
      <c r="L404" s="664"/>
      <c r="M404" s="664"/>
      <c r="N404" s="665"/>
      <c r="O404" s="664"/>
      <c r="P404" s="664"/>
      <c r="Q404" s="664"/>
      <c r="R404" s="652"/>
      <c r="S404" s="652"/>
      <c r="T404" s="652"/>
      <c r="U404" s="652"/>
      <c r="V404" s="652"/>
      <c r="W404" s="652"/>
      <c r="X404" s="652"/>
      <c r="Y404" s="652"/>
      <c r="Z404" s="652"/>
      <c r="AA404" s="652"/>
      <c r="AB404" s="652"/>
      <c r="AC404" s="652"/>
      <c r="AD404" s="652"/>
      <c r="AE404" s="652"/>
      <c r="AF404" s="652"/>
      <c r="AG404" s="652"/>
      <c r="AH404" s="652"/>
      <c r="AI404" s="652"/>
      <c r="AJ404" s="652"/>
      <c r="AK404" s="652"/>
      <c r="AL404" s="652"/>
    </row>
    <row r="405" ht="15.75" customHeight="1">
      <c r="A405" s="425"/>
      <c r="B405" s="664"/>
      <c r="C405" s="665"/>
      <c r="D405" s="664"/>
      <c r="E405" s="666"/>
      <c r="F405" s="664"/>
      <c r="G405" s="664"/>
      <c r="H405" s="664"/>
      <c r="I405" s="664"/>
      <c r="J405" s="664"/>
      <c r="K405" s="664"/>
      <c r="L405" s="664"/>
      <c r="M405" s="664"/>
      <c r="N405" s="665"/>
      <c r="O405" s="664"/>
      <c r="P405" s="664"/>
      <c r="Q405" s="664"/>
      <c r="R405" s="652"/>
      <c r="S405" s="652"/>
      <c r="T405" s="652"/>
      <c r="U405" s="652"/>
      <c r="V405" s="652"/>
      <c r="W405" s="652"/>
      <c r="X405" s="652"/>
      <c r="Y405" s="652"/>
      <c r="Z405" s="652"/>
      <c r="AA405" s="652"/>
      <c r="AB405" s="652"/>
      <c r="AC405" s="652"/>
      <c r="AD405" s="652"/>
      <c r="AE405" s="652"/>
      <c r="AF405" s="652"/>
      <c r="AG405" s="652"/>
      <c r="AH405" s="652"/>
      <c r="AI405" s="652"/>
      <c r="AJ405" s="652"/>
      <c r="AK405" s="652"/>
      <c r="AL405" s="652"/>
    </row>
    <row r="406" ht="15.75" customHeight="1">
      <c r="A406" s="425"/>
      <c r="B406" s="664"/>
      <c r="C406" s="665"/>
      <c r="D406" s="664"/>
      <c r="E406" s="666"/>
      <c r="F406" s="664"/>
      <c r="G406" s="664"/>
      <c r="H406" s="664"/>
      <c r="I406" s="664"/>
      <c r="J406" s="664"/>
      <c r="K406" s="664"/>
      <c r="L406" s="664"/>
      <c r="M406" s="664"/>
      <c r="N406" s="665"/>
      <c r="O406" s="664"/>
      <c r="P406" s="664"/>
      <c r="Q406" s="664"/>
      <c r="R406" s="652"/>
      <c r="S406" s="652"/>
      <c r="T406" s="652"/>
      <c r="U406" s="652"/>
      <c r="V406" s="652"/>
      <c r="W406" s="652"/>
      <c r="X406" s="652"/>
      <c r="Y406" s="652"/>
      <c r="Z406" s="652"/>
      <c r="AA406" s="652"/>
      <c r="AB406" s="652"/>
      <c r="AC406" s="652"/>
      <c r="AD406" s="652"/>
      <c r="AE406" s="652"/>
      <c r="AF406" s="652"/>
      <c r="AG406" s="652"/>
      <c r="AH406" s="652"/>
      <c r="AI406" s="652"/>
      <c r="AJ406" s="652"/>
      <c r="AK406" s="652"/>
      <c r="AL406" s="652"/>
    </row>
    <row r="407" ht="15.75" customHeight="1">
      <c r="A407" s="425"/>
      <c r="B407" s="664"/>
      <c r="C407" s="665"/>
      <c r="D407" s="664"/>
      <c r="E407" s="666"/>
      <c r="F407" s="664"/>
      <c r="G407" s="664"/>
      <c r="H407" s="664"/>
      <c r="I407" s="664"/>
      <c r="J407" s="664"/>
      <c r="K407" s="664"/>
      <c r="L407" s="664"/>
      <c r="M407" s="664"/>
      <c r="N407" s="665"/>
      <c r="O407" s="664"/>
      <c r="P407" s="664"/>
      <c r="Q407" s="664"/>
      <c r="R407" s="652"/>
      <c r="S407" s="652"/>
      <c r="T407" s="652"/>
      <c r="U407" s="652"/>
      <c r="V407" s="652"/>
      <c r="W407" s="652"/>
      <c r="X407" s="652"/>
      <c r="Y407" s="652"/>
      <c r="Z407" s="652"/>
      <c r="AA407" s="652"/>
      <c r="AB407" s="652"/>
      <c r="AC407" s="652"/>
      <c r="AD407" s="652"/>
      <c r="AE407" s="652"/>
      <c r="AF407" s="652"/>
      <c r="AG407" s="652"/>
      <c r="AH407" s="652"/>
      <c r="AI407" s="652"/>
      <c r="AJ407" s="652"/>
      <c r="AK407" s="652"/>
      <c r="AL407" s="652"/>
    </row>
    <row r="408" ht="15.75" customHeight="1">
      <c r="A408" s="425"/>
      <c r="B408" s="664"/>
      <c r="C408" s="665"/>
      <c r="D408" s="664"/>
      <c r="E408" s="666"/>
      <c r="F408" s="664"/>
      <c r="G408" s="664"/>
      <c r="H408" s="664"/>
      <c r="I408" s="664"/>
      <c r="J408" s="664"/>
      <c r="K408" s="664"/>
      <c r="L408" s="664"/>
      <c r="M408" s="664"/>
      <c r="N408" s="665"/>
      <c r="O408" s="664"/>
      <c r="P408" s="664"/>
      <c r="Q408" s="664"/>
      <c r="R408" s="652"/>
      <c r="S408" s="652"/>
      <c r="T408" s="652"/>
      <c r="U408" s="652"/>
      <c r="V408" s="652"/>
      <c r="W408" s="652"/>
      <c r="X408" s="652"/>
      <c r="Y408" s="652"/>
      <c r="Z408" s="652"/>
      <c r="AA408" s="652"/>
      <c r="AB408" s="652"/>
      <c r="AC408" s="652"/>
      <c r="AD408" s="652"/>
      <c r="AE408" s="652"/>
      <c r="AF408" s="652"/>
      <c r="AG408" s="652"/>
      <c r="AH408" s="652"/>
      <c r="AI408" s="652"/>
      <c r="AJ408" s="652"/>
      <c r="AK408" s="652"/>
      <c r="AL408" s="652"/>
    </row>
    <row r="409" ht="15.75" customHeight="1">
      <c r="A409" s="425"/>
      <c r="B409" s="664"/>
      <c r="C409" s="665"/>
      <c r="D409" s="664"/>
      <c r="E409" s="666"/>
      <c r="F409" s="664"/>
      <c r="G409" s="664"/>
      <c r="H409" s="664"/>
      <c r="I409" s="664"/>
      <c r="J409" s="664"/>
      <c r="K409" s="664"/>
      <c r="L409" s="664"/>
      <c r="M409" s="664"/>
      <c r="N409" s="665"/>
      <c r="O409" s="664"/>
      <c r="P409" s="664"/>
      <c r="Q409" s="664"/>
      <c r="R409" s="652"/>
      <c r="S409" s="652"/>
      <c r="T409" s="652"/>
      <c r="U409" s="652"/>
      <c r="V409" s="652"/>
      <c r="W409" s="652"/>
      <c r="X409" s="652"/>
      <c r="Y409" s="652"/>
      <c r="Z409" s="652"/>
      <c r="AA409" s="652"/>
      <c r="AB409" s="652"/>
      <c r="AC409" s="652"/>
      <c r="AD409" s="652"/>
      <c r="AE409" s="652"/>
      <c r="AF409" s="652"/>
      <c r="AG409" s="652"/>
      <c r="AH409" s="652"/>
      <c r="AI409" s="652"/>
      <c r="AJ409" s="652"/>
      <c r="AK409" s="652"/>
      <c r="AL409" s="652"/>
    </row>
    <row r="410" ht="15.75" customHeight="1">
      <c r="A410" s="425"/>
      <c r="B410" s="664"/>
      <c r="C410" s="665"/>
      <c r="D410" s="664"/>
      <c r="E410" s="666"/>
      <c r="F410" s="664"/>
      <c r="G410" s="664"/>
      <c r="H410" s="664"/>
      <c r="I410" s="664"/>
      <c r="J410" s="664"/>
      <c r="K410" s="664"/>
      <c r="L410" s="664"/>
      <c r="M410" s="664"/>
      <c r="N410" s="665"/>
      <c r="O410" s="664"/>
      <c r="P410" s="664"/>
      <c r="Q410" s="664"/>
      <c r="R410" s="652"/>
      <c r="S410" s="652"/>
      <c r="T410" s="652"/>
      <c r="U410" s="652"/>
      <c r="V410" s="652"/>
      <c r="W410" s="652"/>
      <c r="X410" s="652"/>
      <c r="Y410" s="652"/>
      <c r="Z410" s="652"/>
      <c r="AA410" s="652"/>
      <c r="AB410" s="652"/>
      <c r="AC410" s="652"/>
      <c r="AD410" s="652"/>
      <c r="AE410" s="652"/>
      <c r="AF410" s="652"/>
      <c r="AG410" s="652"/>
      <c r="AH410" s="652"/>
      <c r="AI410" s="652"/>
      <c r="AJ410" s="652"/>
      <c r="AK410" s="652"/>
      <c r="AL410" s="652"/>
    </row>
    <row r="411" ht="15.75" customHeight="1">
      <c r="A411" s="425"/>
      <c r="B411" s="664"/>
      <c r="C411" s="665"/>
      <c r="D411" s="664"/>
      <c r="E411" s="666"/>
      <c r="F411" s="664"/>
      <c r="G411" s="664"/>
      <c r="H411" s="664"/>
      <c r="I411" s="664"/>
      <c r="J411" s="664"/>
      <c r="K411" s="664"/>
      <c r="L411" s="664"/>
      <c r="M411" s="664"/>
      <c r="N411" s="665"/>
      <c r="O411" s="664"/>
      <c r="P411" s="664"/>
      <c r="Q411" s="664"/>
      <c r="R411" s="652"/>
      <c r="S411" s="652"/>
      <c r="T411" s="652"/>
      <c r="U411" s="652"/>
      <c r="V411" s="652"/>
      <c r="W411" s="652"/>
      <c r="X411" s="652"/>
      <c r="Y411" s="652"/>
      <c r="Z411" s="652"/>
      <c r="AA411" s="652"/>
      <c r="AB411" s="652"/>
      <c r="AC411" s="652"/>
      <c r="AD411" s="652"/>
      <c r="AE411" s="652"/>
      <c r="AF411" s="652"/>
      <c r="AG411" s="652"/>
      <c r="AH411" s="652"/>
      <c r="AI411" s="652"/>
      <c r="AJ411" s="652"/>
      <c r="AK411" s="652"/>
      <c r="AL411" s="652"/>
    </row>
    <row r="412" ht="15.75" customHeight="1">
      <c r="A412" s="425"/>
      <c r="B412" s="664"/>
      <c r="C412" s="665"/>
      <c r="D412" s="664"/>
      <c r="E412" s="666"/>
      <c r="F412" s="664"/>
      <c r="G412" s="664"/>
      <c r="H412" s="664"/>
      <c r="I412" s="664"/>
      <c r="J412" s="664"/>
      <c r="K412" s="664"/>
      <c r="L412" s="664"/>
      <c r="M412" s="664"/>
      <c r="N412" s="665"/>
      <c r="O412" s="664"/>
      <c r="P412" s="664"/>
      <c r="Q412" s="664"/>
      <c r="R412" s="652"/>
      <c r="S412" s="652"/>
      <c r="T412" s="652"/>
      <c r="U412" s="652"/>
      <c r="V412" s="652"/>
      <c r="W412" s="652"/>
      <c r="X412" s="652"/>
      <c r="Y412" s="652"/>
      <c r="Z412" s="652"/>
      <c r="AA412" s="652"/>
      <c r="AB412" s="652"/>
      <c r="AC412" s="652"/>
      <c r="AD412" s="652"/>
      <c r="AE412" s="652"/>
      <c r="AF412" s="652"/>
      <c r="AG412" s="652"/>
      <c r="AH412" s="652"/>
      <c r="AI412" s="652"/>
      <c r="AJ412" s="652"/>
      <c r="AK412" s="652"/>
      <c r="AL412" s="652"/>
    </row>
    <row r="413" ht="15.75" customHeight="1">
      <c r="A413" s="425"/>
      <c r="B413" s="664"/>
      <c r="C413" s="665"/>
      <c r="D413" s="664"/>
      <c r="E413" s="666"/>
      <c r="F413" s="664"/>
      <c r="G413" s="664"/>
      <c r="H413" s="664"/>
      <c r="I413" s="664"/>
      <c r="J413" s="664"/>
      <c r="K413" s="664"/>
      <c r="L413" s="664"/>
      <c r="M413" s="664"/>
      <c r="N413" s="665"/>
      <c r="O413" s="664"/>
      <c r="P413" s="664"/>
      <c r="Q413" s="664"/>
      <c r="R413" s="652"/>
      <c r="S413" s="652"/>
      <c r="T413" s="652"/>
      <c r="U413" s="652"/>
      <c r="V413" s="652"/>
      <c r="W413" s="652"/>
      <c r="X413" s="652"/>
      <c r="Y413" s="652"/>
      <c r="Z413" s="652"/>
      <c r="AA413" s="652"/>
      <c r="AB413" s="652"/>
      <c r="AC413" s="652"/>
      <c r="AD413" s="652"/>
      <c r="AE413" s="652"/>
      <c r="AF413" s="652"/>
      <c r="AG413" s="652"/>
      <c r="AH413" s="652"/>
      <c r="AI413" s="652"/>
      <c r="AJ413" s="652"/>
      <c r="AK413" s="652"/>
      <c r="AL413" s="652"/>
    </row>
    <row r="414" ht="15.75" customHeight="1">
      <c r="A414" s="425"/>
      <c r="B414" s="664"/>
      <c r="C414" s="665"/>
      <c r="D414" s="664"/>
      <c r="E414" s="666"/>
      <c r="F414" s="664"/>
      <c r="G414" s="664"/>
      <c r="H414" s="664"/>
      <c r="I414" s="664"/>
      <c r="J414" s="664"/>
      <c r="K414" s="664"/>
      <c r="L414" s="664"/>
      <c r="M414" s="664"/>
      <c r="N414" s="665"/>
      <c r="O414" s="664"/>
      <c r="P414" s="664"/>
      <c r="Q414" s="664"/>
      <c r="R414" s="652"/>
      <c r="S414" s="652"/>
      <c r="T414" s="652"/>
      <c r="U414" s="652"/>
      <c r="V414" s="652"/>
      <c r="W414" s="652"/>
      <c r="X414" s="652"/>
      <c r="Y414" s="652"/>
      <c r="Z414" s="652"/>
      <c r="AA414" s="652"/>
      <c r="AB414" s="652"/>
      <c r="AC414" s="652"/>
      <c r="AD414" s="652"/>
      <c r="AE414" s="652"/>
      <c r="AF414" s="652"/>
      <c r="AG414" s="652"/>
      <c r="AH414" s="652"/>
      <c r="AI414" s="652"/>
      <c r="AJ414" s="652"/>
      <c r="AK414" s="652"/>
      <c r="AL414" s="652"/>
    </row>
    <row r="415" ht="15.75" customHeight="1">
      <c r="A415" s="425"/>
      <c r="B415" s="664"/>
      <c r="C415" s="665"/>
      <c r="D415" s="664"/>
      <c r="E415" s="666"/>
      <c r="F415" s="664"/>
      <c r="G415" s="664"/>
      <c r="H415" s="664"/>
      <c r="I415" s="664"/>
      <c r="J415" s="664"/>
      <c r="K415" s="664"/>
      <c r="L415" s="664"/>
      <c r="M415" s="664"/>
      <c r="N415" s="665"/>
      <c r="O415" s="664"/>
      <c r="P415" s="664"/>
      <c r="Q415" s="664"/>
      <c r="R415" s="652"/>
      <c r="S415" s="652"/>
      <c r="T415" s="652"/>
      <c r="U415" s="652"/>
      <c r="V415" s="652"/>
      <c r="W415" s="652"/>
      <c r="X415" s="652"/>
      <c r="Y415" s="652"/>
      <c r="Z415" s="652"/>
      <c r="AA415" s="652"/>
      <c r="AB415" s="652"/>
      <c r="AC415" s="652"/>
      <c r="AD415" s="652"/>
      <c r="AE415" s="652"/>
      <c r="AF415" s="652"/>
      <c r="AG415" s="652"/>
      <c r="AH415" s="652"/>
      <c r="AI415" s="652"/>
      <c r="AJ415" s="652"/>
      <c r="AK415" s="652"/>
      <c r="AL415" s="652"/>
    </row>
    <row r="416" ht="15.75" customHeight="1">
      <c r="A416" s="425"/>
      <c r="B416" s="664"/>
      <c r="C416" s="665"/>
      <c r="D416" s="664"/>
      <c r="E416" s="666"/>
      <c r="F416" s="664"/>
      <c r="G416" s="664"/>
      <c r="H416" s="664"/>
      <c r="I416" s="664"/>
      <c r="J416" s="664"/>
      <c r="K416" s="664"/>
      <c r="L416" s="664"/>
      <c r="M416" s="664"/>
      <c r="N416" s="665"/>
      <c r="O416" s="664"/>
      <c r="P416" s="664"/>
      <c r="Q416" s="664"/>
      <c r="R416" s="652"/>
      <c r="S416" s="652"/>
      <c r="T416" s="652"/>
      <c r="U416" s="652"/>
      <c r="V416" s="652"/>
      <c r="W416" s="652"/>
      <c r="X416" s="652"/>
      <c r="Y416" s="652"/>
      <c r="Z416" s="652"/>
      <c r="AA416" s="652"/>
      <c r="AB416" s="652"/>
      <c r="AC416" s="652"/>
      <c r="AD416" s="652"/>
      <c r="AE416" s="652"/>
      <c r="AF416" s="652"/>
      <c r="AG416" s="652"/>
      <c r="AH416" s="652"/>
      <c r="AI416" s="652"/>
      <c r="AJ416" s="652"/>
      <c r="AK416" s="652"/>
      <c r="AL416" s="652"/>
    </row>
    <row r="417" ht="15.75" customHeight="1">
      <c r="A417" s="425"/>
      <c r="B417" s="664"/>
      <c r="C417" s="665"/>
      <c r="D417" s="664"/>
      <c r="E417" s="666"/>
      <c r="F417" s="664"/>
      <c r="G417" s="664"/>
      <c r="H417" s="664"/>
      <c r="I417" s="664"/>
      <c r="J417" s="664"/>
      <c r="K417" s="664"/>
      <c r="L417" s="664"/>
      <c r="M417" s="664"/>
      <c r="N417" s="665"/>
      <c r="O417" s="664"/>
      <c r="P417" s="664"/>
      <c r="Q417" s="664"/>
      <c r="R417" s="652"/>
      <c r="S417" s="652"/>
      <c r="T417" s="652"/>
      <c r="U417" s="652"/>
      <c r="V417" s="652"/>
      <c r="W417" s="652"/>
      <c r="X417" s="652"/>
      <c r="Y417" s="652"/>
      <c r="Z417" s="652"/>
      <c r="AA417" s="652"/>
      <c r="AB417" s="652"/>
      <c r="AC417" s="652"/>
      <c r="AD417" s="652"/>
      <c r="AE417" s="652"/>
      <c r="AF417" s="652"/>
      <c r="AG417" s="652"/>
      <c r="AH417" s="652"/>
      <c r="AI417" s="652"/>
      <c r="AJ417" s="652"/>
      <c r="AK417" s="652"/>
      <c r="AL417" s="652"/>
    </row>
    <row r="418" ht="15.75" customHeight="1">
      <c r="A418" s="45"/>
      <c r="B418" s="2"/>
      <c r="C418" s="667"/>
      <c r="D418" s="2"/>
      <c r="E418" s="668"/>
      <c r="F418" s="2"/>
      <c r="G418" s="2"/>
      <c r="H418" s="2"/>
      <c r="I418" s="2"/>
      <c r="J418" s="2"/>
      <c r="K418" s="2"/>
      <c r="L418" s="2"/>
      <c r="M418" s="2"/>
      <c r="N418" s="667"/>
      <c r="O418" s="2"/>
      <c r="P418" s="2"/>
      <c r="Q418" s="2"/>
      <c r="R418" s="3"/>
      <c r="S418" s="3"/>
      <c r="T418" s="3"/>
      <c r="U418" s="3"/>
      <c r="V418" s="3"/>
      <c r="W418" s="3"/>
      <c r="X418" s="3"/>
      <c r="Y418" s="3"/>
      <c r="Z418" s="3"/>
      <c r="AA418" s="3"/>
      <c r="AB418" s="3"/>
      <c r="AC418" s="3"/>
      <c r="AD418" s="3"/>
      <c r="AE418" s="3"/>
      <c r="AF418" s="3"/>
      <c r="AG418" s="3"/>
      <c r="AH418" s="3"/>
      <c r="AI418" s="3"/>
      <c r="AJ418" s="3"/>
      <c r="AK418" s="3"/>
      <c r="AL418" s="3"/>
    </row>
    <row r="419" ht="15.75" customHeight="1">
      <c r="A419" s="45"/>
      <c r="B419" s="2"/>
      <c r="C419" s="667"/>
      <c r="D419" s="2"/>
      <c r="E419" s="668"/>
      <c r="F419" s="2"/>
      <c r="G419" s="2"/>
      <c r="H419" s="2"/>
      <c r="I419" s="2"/>
      <c r="J419" s="2"/>
      <c r="K419" s="2"/>
      <c r="L419" s="2"/>
      <c r="M419" s="2"/>
      <c r="N419" s="667"/>
      <c r="O419" s="2"/>
      <c r="P419" s="2"/>
      <c r="Q419" s="2"/>
      <c r="R419" s="3"/>
      <c r="S419" s="3"/>
      <c r="T419" s="3"/>
      <c r="U419" s="3"/>
      <c r="V419" s="3"/>
      <c r="W419" s="3"/>
      <c r="X419" s="3"/>
      <c r="Y419" s="3"/>
      <c r="Z419" s="3"/>
      <c r="AA419" s="3"/>
      <c r="AB419" s="3"/>
      <c r="AC419" s="3"/>
      <c r="AD419" s="3"/>
      <c r="AE419" s="3"/>
      <c r="AF419" s="3"/>
      <c r="AG419" s="3"/>
      <c r="AH419" s="3"/>
      <c r="AI419" s="3"/>
      <c r="AJ419" s="3"/>
      <c r="AK419" s="3"/>
      <c r="AL419" s="3"/>
    </row>
    <row r="420" ht="15.75" customHeight="1">
      <c r="A420" s="45"/>
      <c r="B420" s="2"/>
      <c r="C420" s="667"/>
      <c r="D420" s="2"/>
      <c r="E420" s="668"/>
      <c r="F420" s="2"/>
      <c r="G420" s="2"/>
      <c r="H420" s="2"/>
      <c r="I420" s="2"/>
      <c r="J420" s="2"/>
      <c r="K420" s="2"/>
      <c r="L420" s="2"/>
      <c r="M420" s="2"/>
      <c r="N420" s="667"/>
      <c r="O420" s="2"/>
      <c r="P420" s="2"/>
      <c r="Q420" s="2"/>
      <c r="R420" s="3"/>
      <c r="S420" s="3"/>
      <c r="T420" s="3"/>
      <c r="U420" s="3"/>
      <c r="V420" s="3"/>
      <c r="W420" s="3"/>
      <c r="X420" s="3"/>
      <c r="Y420" s="3"/>
      <c r="Z420" s="3"/>
      <c r="AA420" s="3"/>
      <c r="AB420" s="3"/>
      <c r="AC420" s="3"/>
      <c r="AD420" s="3"/>
      <c r="AE420" s="3"/>
      <c r="AF420" s="3"/>
      <c r="AG420" s="3"/>
      <c r="AH420" s="3"/>
      <c r="AI420" s="3"/>
      <c r="AJ420" s="3"/>
      <c r="AK420" s="3"/>
      <c r="AL420" s="3"/>
    </row>
    <row r="421" ht="15.75" customHeight="1">
      <c r="A421" s="45"/>
      <c r="B421" s="2"/>
      <c r="C421" s="667"/>
      <c r="D421" s="2"/>
      <c r="E421" s="668"/>
      <c r="F421" s="2"/>
      <c r="G421" s="2"/>
      <c r="H421" s="2"/>
      <c r="I421" s="2"/>
      <c r="J421" s="2"/>
      <c r="K421" s="2"/>
      <c r="L421" s="2"/>
      <c r="M421" s="2"/>
      <c r="N421" s="667"/>
      <c r="O421" s="2"/>
      <c r="P421" s="2"/>
      <c r="Q421" s="2"/>
      <c r="R421" s="3"/>
      <c r="S421" s="3"/>
      <c r="T421" s="3"/>
      <c r="U421" s="3"/>
      <c r="V421" s="3"/>
      <c r="W421" s="3"/>
      <c r="X421" s="3"/>
      <c r="Y421" s="3"/>
      <c r="Z421" s="3"/>
      <c r="AA421" s="3"/>
      <c r="AB421" s="3"/>
      <c r="AC421" s="3"/>
      <c r="AD421" s="3"/>
      <c r="AE421" s="3"/>
      <c r="AF421" s="3"/>
      <c r="AG421" s="3"/>
      <c r="AH421" s="3"/>
      <c r="AI421" s="3"/>
      <c r="AJ421" s="3"/>
      <c r="AK421" s="3"/>
      <c r="AL421" s="3"/>
    </row>
    <row r="422" ht="15.75" customHeight="1">
      <c r="A422" s="45"/>
      <c r="B422" s="2"/>
      <c r="C422" s="667"/>
      <c r="D422" s="2"/>
      <c r="E422" s="668"/>
      <c r="F422" s="2"/>
      <c r="G422" s="2"/>
      <c r="H422" s="2"/>
      <c r="I422" s="2"/>
      <c r="J422" s="2"/>
      <c r="K422" s="2"/>
      <c r="L422" s="2"/>
      <c r="M422" s="2"/>
      <c r="N422" s="667"/>
      <c r="O422" s="2"/>
      <c r="P422" s="2"/>
      <c r="Q422" s="2"/>
      <c r="R422" s="3"/>
      <c r="S422" s="3"/>
      <c r="T422" s="3"/>
      <c r="U422" s="3"/>
      <c r="V422" s="3"/>
      <c r="W422" s="3"/>
      <c r="X422" s="3"/>
      <c r="Y422" s="3"/>
      <c r="Z422" s="3"/>
      <c r="AA422" s="3"/>
      <c r="AB422" s="3"/>
      <c r="AC422" s="3"/>
      <c r="AD422" s="3"/>
      <c r="AE422" s="3"/>
      <c r="AF422" s="3"/>
      <c r="AG422" s="3"/>
      <c r="AH422" s="3"/>
      <c r="AI422" s="3"/>
      <c r="AJ422" s="3"/>
      <c r="AK422" s="3"/>
      <c r="AL422" s="3"/>
    </row>
    <row r="423" ht="15.75" customHeight="1">
      <c r="A423" s="45"/>
      <c r="B423" s="2"/>
      <c r="C423" s="667"/>
      <c r="D423" s="2"/>
      <c r="E423" s="668"/>
      <c r="F423" s="2"/>
      <c r="G423" s="2"/>
      <c r="H423" s="2"/>
      <c r="I423" s="2"/>
      <c r="J423" s="2"/>
      <c r="K423" s="2"/>
      <c r="L423" s="2"/>
      <c r="M423" s="2"/>
      <c r="N423" s="667"/>
      <c r="O423" s="2"/>
      <c r="P423" s="2"/>
      <c r="Q423" s="2"/>
      <c r="R423" s="3"/>
      <c r="S423" s="3"/>
      <c r="T423" s="3"/>
      <c r="U423" s="3"/>
      <c r="V423" s="3"/>
      <c r="W423" s="3"/>
      <c r="X423" s="3"/>
      <c r="Y423" s="3"/>
      <c r="Z423" s="3"/>
      <c r="AA423" s="3"/>
      <c r="AB423" s="3"/>
      <c r="AC423" s="3"/>
      <c r="AD423" s="3"/>
      <c r="AE423" s="3"/>
      <c r="AF423" s="3"/>
      <c r="AG423" s="3"/>
      <c r="AH423" s="3"/>
      <c r="AI423" s="3"/>
      <c r="AJ423" s="3"/>
      <c r="AK423" s="3"/>
      <c r="AL423" s="3"/>
    </row>
    <row r="424" ht="15.75" customHeight="1">
      <c r="A424" s="45"/>
      <c r="B424" s="2"/>
      <c r="C424" s="667"/>
      <c r="D424" s="2"/>
      <c r="E424" s="668"/>
      <c r="F424" s="2"/>
      <c r="G424" s="2"/>
      <c r="H424" s="2"/>
      <c r="I424" s="2"/>
      <c r="J424" s="2"/>
      <c r="K424" s="2"/>
      <c r="L424" s="2"/>
      <c r="M424" s="2"/>
      <c r="N424" s="667"/>
      <c r="O424" s="2"/>
      <c r="P424" s="2"/>
      <c r="Q424" s="2"/>
      <c r="R424" s="3"/>
      <c r="S424" s="3"/>
      <c r="T424" s="3"/>
      <c r="U424" s="3"/>
      <c r="V424" s="3"/>
      <c r="W424" s="3"/>
      <c r="X424" s="3"/>
      <c r="Y424" s="3"/>
      <c r="Z424" s="3"/>
      <c r="AA424" s="3"/>
      <c r="AB424" s="3"/>
      <c r="AC424" s="3"/>
      <c r="AD424" s="3"/>
      <c r="AE424" s="3"/>
      <c r="AF424" s="3"/>
      <c r="AG424" s="3"/>
      <c r="AH424" s="3"/>
      <c r="AI424" s="3"/>
      <c r="AJ424" s="3"/>
      <c r="AK424" s="3"/>
      <c r="AL424" s="3"/>
    </row>
    <row r="425" ht="15.75" customHeight="1">
      <c r="A425" s="45"/>
      <c r="B425" s="2"/>
      <c r="C425" s="667"/>
      <c r="D425" s="2"/>
      <c r="E425" s="668"/>
      <c r="F425" s="2"/>
      <c r="G425" s="2"/>
      <c r="H425" s="2"/>
      <c r="I425" s="2"/>
      <c r="J425" s="2"/>
      <c r="K425" s="2"/>
      <c r="L425" s="2"/>
      <c r="M425" s="2"/>
      <c r="N425" s="667"/>
      <c r="O425" s="2"/>
      <c r="P425" s="2"/>
      <c r="Q425" s="2"/>
      <c r="R425" s="3"/>
      <c r="S425" s="3"/>
      <c r="T425" s="3"/>
      <c r="U425" s="3"/>
      <c r="V425" s="3"/>
      <c r="W425" s="3"/>
      <c r="X425" s="3"/>
      <c r="Y425" s="3"/>
      <c r="Z425" s="3"/>
      <c r="AA425" s="3"/>
      <c r="AB425" s="3"/>
      <c r="AC425" s="3"/>
      <c r="AD425" s="3"/>
      <c r="AE425" s="3"/>
      <c r="AF425" s="3"/>
      <c r="AG425" s="3"/>
      <c r="AH425" s="3"/>
      <c r="AI425" s="3"/>
      <c r="AJ425" s="3"/>
      <c r="AK425" s="3"/>
      <c r="AL425" s="3"/>
    </row>
    <row r="426" ht="15.75" customHeight="1">
      <c r="A426" s="45"/>
      <c r="B426" s="2"/>
      <c r="C426" s="667"/>
      <c r="D426" s="2"/>
      <c r="E426" s="668"/>
      <c r="F426" s="2"/>
      <c r="G426" s="2"/>
      <c r="H426" s="2"/>
      <c r="I426" s="2"/>
      <c r="J426" s="2"/>
      <c r="K426" s="2"/>
      <c r="L426" s="2"/>
      <c r="M426" s="2"/>
      <c r="N426" s="667"/>
      <c r="O426" s="2"/>
      <c r="P426" s="2"/>
      <c r="Q426" s="2"/>
      <c r="R426" s="3"/>
      <c r="S426" s="3"/>
      <c r="T426" s="3"/>
      <c r="U426" s="3"/>
      <c r="V426" s="3"/>
      <c r="W426" s="3"/>
      <c r="X426" s="3"/>
      <c r="Y426" s="3"/>
      <c r="Z426" s="3"/>
      <c r="AA426" s="3"/>
      <c r="AB426" s="3"/>
      <c r="AC426" s="3"/>
      <c r="AD426" s="3"/>
      <c r="AE426" s="3"/>
      <c r="AF426" s="3"/>
      <c r="AG426" s="3"/>
      <c r="AH426" s="3"/>
      <c r="AI426" s="3"/>
      <c r="AJ426" s="3"/>
      <c r="AK426" s="3"/>
      <c r="AL426" s="3"/>
    </row>
    <row r="427" ht="15.75" customHeight="1">
      <c r="A427" s="45"/>
      <c r="B427" s="2"/>
      <c r="C427" s="667"/>
      <c r="D427" s="2"/>
      <c r="E427" s="668"/>
      <c r="F427" s="2"/>
      <c r="G427" s="2"/>
      <c r="H427" s="2"/>
      <c r="I427" s="2"/>
      <c r="J427" s="2"/>
      <c r="K427" s="2"/>
      <c r="L427" s="2"/>
      <c r="M427" s="2"/>
      <c r="N427" s="667"/>
      <c r="O427" s="2"/>
      <c r="P427" s="2"/>
      <c r="Q427" s="2"/>
      <c r="R427" s="3"/>
      <c r="S427" s="3"/>
      <c r="T427" s="3"/>
      <c r="U427" s="3"/>
      <c r="V427" s="3"/>
      <c r="W427" s="3"/>
      <c r="X427" s="3"/>
      <c r="Y427" s="3"/>
      <c r="Z427" s="3"/>
      <c r="AA427" s="3"/>
      <c r="AB427" s="3"/>
      <c r="AC427" s="3"/>
      <c r="AD427" s="3"/>
      <c r="AE427" s="3"/>
      <c r="AF427" s="3"/>
      <c r="AG427" s="3"/>
      <c r="AH427" s="3"/>
      <c r="AI427" s="3"/>
      <c r="AJ427" s="3"/>
      <c r="AK427" s="3"/>
      <c r="AL427" s="3"/>
    </row>
    <row r="428" ht="15.75" customHeight="1">
      <c r="A428" s="45"/>
      <c r="B428" s="2"/>
      <c r="C428" s="667"/>
      <c r="D428" s="2"/>
      <c r="E428" s="668"/>
      <c r="F428" s="2"/>
      <c r="G428" s="2"/>
      <c r="H428" s="2"/>
      <c r="I428" s="2"/>
      <c r="J428" s="2"/>
      <c r="K428" s="2"/>
      <c r="L428" s="2"/>
      <c r="M428" s="2"/>
      <c r="N428" s="667"/>
      <c r="O428" s="2"/>
      <c r="P428" s="2"/>
      <c r="Q428" s="2"/>
      <c r="R428" s="3"/>
      <c r="S428" s="3"/>
      <c r="T428" s="3"/>
      <c r="U428" s="3"/>
      <c r="V428" s="3"/>
      <c r="W428" s="3"/>
      <c r="X428" s="3"/>
      <c r="Y428" s="3"/>
      <c r="Z428" s="3"/>
      <c r="AA428" s="3"/>
      <c r="AB428" s="3"/>
      <c r="AC428" s="3"/>
      <c r="AD428" s="3"/>
      <c r="AE428" s="3"/>
      <c r="AF428" s="3"/>
      <c r="AG428" s="3"/>
      <c r="AH428" s="3"/>
      <c r="AI428" s="3"/>
      <c r="AJ428" s="3"/>
      <c r="AK428" s="3"/>
      <c r="AL428" s="3"/>
    </row>
    <row r="429" ht="15.75" customHeight="1">
      <c r="A429" s="45"/>
      <c r="B429" s="2"/>
      <c r="C429" s="667"/>
      <c r="D429" s="2"/>
      <c r="E429" s="668"/>
      <c r="F429" s="2"/>
      <c r="G429" s="2"/>
      <c r="H429" s="2"/>
      <c r="I429" s="2"/>
      <c r="J429" s="2"/>
      <c r="K429" s="2"/>
      <c r="L429" s="2"/>
      <c r="M429" s="2"/>
      <c r="N429" s="667"/>
      <c r="O429" s="2"/>
      <c r="P429" s="2"/>
      <c r="Q429" s="2"/>
      <c r="R429" s="3"/>
      <c r="S429" s="3"/>
      <c r="T429" s="3"/>
      <c r="U429" s="3"/>
      <c r="V429" s="3"/>
      <c r="W429" s="3"/>
      <c r="X429" s="3"/>
      <c r="Y429" s="3"/>
      <c r="Z429" s="3"/>
      <c r="AA429" s="3"/>
      <c r="AB429" s="3"/>
      <c r="AC429" s="3"/>
      <c r="AD429" s="3"/>
      <c r="AE429" s="3"/>
      <c r="AF429" s="3"/>
      <c r="AG429" s="3"/>
      <c r="AH429" s="3"/>
      <c r="AI429" s="3"/>
      <c r="AJ429" s="3"/>
      <c r="AK429" s="3"/>
      <c r="AL429" s="3"/>
    </row>
    <row r="430" ht="15.75" customHeight="1">
      <c r="A430" s="45"/>
      <c r="B430" s="2"/>
      <c r="C430" s="667"/>
      <c r="D430" s="2"/>
      <c r="E430" s="668"/>
      <c r="F430" s="2"/>
      <c r="G430" s="2"/>
      <c r="H430" s="2"/>
      <c r="I430" s="2"/>
      <c r="J430" s="2"/>
      <c r="K430" s="2"/>
      <c r="L430" s="2"/>
      <c r="M430" s="2"/>
      <c r="N430" s="667"/>
      <c r="O430" s="2"/>
      <c r="P430" s="2"/>
      <c r="Q430" s="2"/>
      <c r="R430" s="3"/>
      <c r="S430" s="3"/>
      <c r="T430" s="3"/>
      <c r="U430" s="3"/>
      <c r="V430" s="3"/>
      <c r="W430" s="3"/>
      <c r="X430" s="3"/>
      <c r="Y430" s="3"/>
      <c r="Z430" s="3"/>
      <c r="AA430" s="3"/>
      <c r="AB430" s="3"/>
      <c r="AC430" s="3"/>
      <c r="AD430" s="3"/>
      <c r="AE430" s="3"/>
      <c r="AF430" s="3"/>
      <c r="AG430" s="3"/>
      <c r="AH430" s="3"/>
      <c r="AI430" s="3"/>
      <c r="AJ430" s="3"/>
      <c r="AK430" s="3"/>
      <c r="AL430" s="3"/>
    </row>
    <row r="431" ht="15.75" customHeight="1">
      <c r="A431" s="45"/>
      <c r="B431" s="2"/>
      <c r="C431" s="667"/>
      <c r="D431" s="2"/>
      <c r="E431" s="668"/>
      <c r="F431" s="2"/>
      <c r="G431" s="2"/>
      <c r="H431" s="2"/>
      <c r="I431" s="2"/>
      <c r="J431" s="2"/>
      <c r="K431" s="2"/>
      <c r="L431" s="2"/>
      <c r="M431" s="2"/>
      <c r="N431" s="667"/>
      <c r="O431" s="2"/>
      <c r="P431" s="2"/>
      <c r="Q431" s="2"/>
      <c r="R431" s="3"/>
      <c r="S431" s="3"/>
      <c r="T431" s="3"/>
      <c r="U431" s="3"/>
      <c r="V431" s="3"/>
      <c r="W431" s="3"/>
      <c r="X431" s="3"/>
      <c r="Y431" s="3"/>
      <c r="Z431" s="3"/>
      <c r="AA431" s="3"/>
      <c r="AB431" s="3"/>
      <c r="AC431" s="3"/>
      <c r="AD431" s="3"/>
      <c r="AE431" s="3"/>
      <c r="AF431" s="3"/>
      <c r="AG431" s="3"/>
      <c r="AH431" s="3"/>
      <c r="AI431" s="3"/>
      <c r="AJ431" s="3"/>
      <c r="AK431" s="3"/>
      <c r="AL431" s="3"/>
    </row>
    <row r="432" ht="15.75" customHeight="1">
      <c r="A432" s="45"/>
      <c r="B432" s="2"/>
      <c r="C432" s="667"/>
      <c r="D432" s="2"/>
      <c r="E432" s="668"/>
      <c r="F432" s="2"/>
      <c r="G432" s="2"/>
      <c r="H432" s="2"/>
      <c r="I432" s="2"/>
      <c r="J432" s="2"/>
      <c r="K432" s="2"/>
      <c r="L432" s="2"/>
      <c r="M432" s="2"/>
      <c r="N432" s="667"/>
      <c r="O432" s="2"/>
      <c r="P432" s="2"/>
      <c r="Q432" s="2"/>
      <c r="R432" s="3"/>
      <c r="S432" s="3"/>
      <c r="T432" s="3"/>
      <c r="U432" s="3"/>
      <c r="V432" s="3"/>
      <c r="W432" s="3"/>
      <c r="X432" s="3"/>
      <c r="Y432" s="3"/>
      <c r="Z432" s="3"/>
      <c r="AA432" s="3"/>
      <c r="AB432" s="3"/>
      <c r="AC432" s="3"/>
      <c r="AD432" s="3"/>
      <c r="AE432" s="3"/>
      <c r="AF432" s="3"/>
      <c r="AG432" s="3"/>
      <c r="AH432" s="3"/>
      <c r="AI432" s="3"/>
      <c r="AJ432" s="3"/>
      <c r="AK432" s="3"/>
      <c r="AL432" s="3"/>
    </row>
    <row r="433" ht="15.75" customHeight="1">
      <c r="A433" s="45"/>
      <c r="B433" s="2"/>
      <c r="C433" s="667"/>
      <c r="D433" s="2"/>
      <c r="E433" s="668"/>
      <c r="F433" s="2"/>
      <c r="G433" s="2"/>
      <c r="H433" s="2"/>
      <c r="I433" s="2"/>
      <c r="J433" s="2"/>
      <c r="K433" s="2"/>
      <c r="L433" s="2"/>
      <c r="M433" s="2"/>
      <c r="N433" s="667"/>
      <c r="O433" s="2"/>
      <c r="P433" s="2"/>
      <c r="Q433" s="2"/>
      <c r="R433" s="3"/>
      <c r="S433" s="3"/>
      <c r="T433" s="3"/>
      <c r="U433" s="3"/>
      <c r="V433" s="3"/>
      <c r="W433" s="3"/>
      <c r="X433" s="3"/>
      <c r="Y433" s="3"/>
      <c r="Z433" s="3"/>
      <c r="AA433" s="3"/>
      <c r="AB433" s="3"/>
      <c r="AC433" s="3"/>
      <c r="AD433" s="3"/>
      <c r="AE433" s="3"/>
      <c r="AF433" s="3"/>
      <c r="AG433" s="3"/>
      <c r="AH433" s="3"/>
      <c r="AI433" s="3"/>
      <c r="AJ433" s="3"/>
      <c r="AK433" s="3"/>
      <c r="AL433" s="3"/>
    </row>
    <row r="434" ht="15.75" customHeight="1">
      <c r="A434" s="45"/>
      <c r="B434" s="2"/>
      <c r="C434" s="667"/>
      <c r="D434" s="2"/>
      <c r="E434" s="668"/>
      <c r="F434" s="2"/>
      <c r="G434" s="2"/>
      <c r="H434" s="2"/>
      <c r="I434" s="2"/>
      <c r="J434" s="2"/>
      <c r="K434" s="2"/>
      <c r="L434" s="2"/>
      <c r="M434" s="2"/>
      <c r="N434" s="667"/>
      <c r="O434" s="2"/>
      <c r="P434" s="2"/>
      <c r="Q434" s="2"/>
      <c r="R434" s="3"/>
      <c r="S434" s="3"/>
      <c r="T434" s="3"/>
      <c r="U434" s="3"/>
      <c r="V434" s="3"/>
      <c r="W434" s="3"/>
      <c r="X434" s="3"/>
      <c r="Y434" s="3"/>
      <c r="Z434" s="3"/>
      <c r="AA434" s="3"/>
      <c r="AB434" s="3"/>
      <c r="AC434" s="3"/>
      <c r="AD434" s="3"/>
      <c r="AE434" s="3"/>
      <c r="AF434" s="3"/>
      <c r="AG434" s="3"/>
      <c r="AH434" s="3"/>
      <c r="AI434" s="3"/>
      <c r="AJ434" s="3"/>
      <c r="AK434" s="3"/>
      <c r="AL434" s="3"/>
    </row>
    <row r="435" ht="15.75" customHeight="1">
      <c r="A435" s="45"/>
      <c r="B435" s="2"/>
      <c r="C435" s="667"/>
      <c r="D435" s="2"/>
      <c r="E435" s="668"/>
      <c r="F435" s="2"/>
      <c r="G435" s="2"/>
      <c r="H435" s="2"/>
      <c r="I435" s="2"/>
      <c r="J435" s="2"/>
      <c r="K435" s="2"/>
      <c r="L435" s="2"/>
      <c r="M435" s="2"/>
      <c r="N435" s="667"/>
      <c r="O435" s="2"/>
      <c r="P435" s="2"/>
      <c r="Q435" s="2"/>
      <c r="R435" s="3"/>
      <c r="S435" s="3"/>
      <c r="T435" s="3"/>
      <c r="U435" s="3"/>
      <c r="V435" s="3"/>
      <c r="W435" s="3"/>
      <c r="X435" s="3"/>
      <c r="Y435" s="3"/>
      <c r="Z435" s="3"/>
      <c r="AA435" s="3"/>
      <c r="AB435" s="3"/>
      <c r="AC435" s="3"/>
      <c r="AD435" s="3"/>
      <c r="AE435" s="3"/>
      <c r="AF435" s="3"/>
      <c r="AG435" s="3"/>
      <c r="AH435" s="3"/>
      <c r="AI435" s="3"/>
      <c r="AJ435" s="3"/>
      <c r="AK435" s="3"/>
      <c r="AL435" s="3"/>
    </row>
    <row r="436" ht="15.75" customHeight="1">
      <c r="A436" s="45"/>
      <c r="B436" s="2"/>
      <c r="C436" s="667"/>
      <c r="D436" s="2"/>
      <c r="E436" s="668"/>
      <c r="F436" s="2"/>
      <c r="G436" s="2"/>
      <c r="H436" s="2"/>
      <c r="I436" s="2"/>
      <c r="J436" s="2"/>
      <c r="K436" s="2"/>
      <c r="L436" s="2"/>
      <c r="M436" s="2"/>
      <c r="N436" s="667"/>
      <c r="O436" s="2"/>
      <c r="P436" s="2"/>
      <c r="Q436" s="2"/>
      <c r="R436" s="3"/>
      <c r="S436" s="3"/>
      <c r="T436" s="3"/>
      <c r="U436" s="3"/>
      <c r="V436" s="3"/>
      <c r="W436" s="3"/>
      <c r="X436" s="3"/>
      <c r="Y436" s="3"/>
      <c r="Z436" s="3"/>
      <c r="AA436" s="3"/>
      <c r="AB436" s="3"/>
      <c r="AC436" s="3"/>
      <c r="AD436" s="3"/>
      <c r="AE436" s="3"/>
      <c r="AF436" s="3"/>
      <c r="AG436" s="3"/>
      <c r="AH436" s="3"/>
      <c r="AI436" s="3"/>
      <c r="AJ436" s="3"/>
      <c r="AK436" s="3"/>
      <c r="AL436" s="3"/>
    </row>
    <row r="437" ht="15.75" customHeight="1">
      <c r="A437" s="45"/>
      <c r="B437" s="2"/>
      <c r="C437" s="667"/>
      <c r="D437" s="2"/>
      <c r="E437" s="668"/>
      <c r="F437" s="2"/>
      <c r="G437" s="2"/>
      <c r="H437" s="2"/>
      <c r="I437" s="2"/>
      <c r="J437" s="2"/>
      <c r="K437" s="2"/>
      <c r="L437" s="2"/>
      <c r="M437" s="2"/>
      <c r="N437" s="667"/>
      <c r="O437" s="2"/>
      <c r="P437" s="2"/>
      <c r="Q437" s="2"/>
      <c r="R437" s="3"/>
      <c r="S437" s="3"/>
      <c r="T437" s="3"/>
      <c r="U437" s="3"/>
      <c r="V437" s="3"/>
      <c r="W437" s="3"/>
      <c r="X437" s="3"/>
      <c r="Y437" s="3"/>
      <c r="Z437" s="3"/>
      <c r="AA437" s="3"/>
      <c r="AB437" s="3"/>
      <c r="AC437" s="3"/>
      <c r="AD437" s="3"/>
      <c r="AE437" s="3"/>
      <c r="AF437" s="3"/>
      <c r="AG437" s="3"/>
      <c r="AH437" s="3"/>
      <c r="AI437" s="3"/>
      <c r="AJ437" s="3"/>
      <c r="AK437" s="3"/>
      <c r="AL437" s="3"/>
    </row>
    <row r="438" ht="15.75" customHeight="1">
      <c r="A438" s="45"/>
      <c r="B438" s="2"/>
      <c r="C438" s="667"/>
      <c r="D438" s="2"/>
      <c r="E438" s="668"/>
      <c r="F438" s="2"/>
      <c r="G438" s="2"/>
      <c r="H438" s="2"/>
      <c r="I438" s="2"/>
      <c r="J438" s="2"/>
      <c r="K438" s="2"/>
      <c r="L438" s="2"/>
      <c r="M438" s="2"/>
      <c r="N438" s="667"/>
      <c r="O438" s="2"/>
      <c r="P438" s="2"/>
      <c r="Q438" s="2"/>
      <c r="R438" s="3"/>
      <c r="S438" s="3"/>
      <c r="T438" s="3"/>
      <c r="U438" s="3"/>
      <c r="V438" s="3"/>
      <c r="W438" s="3"/>
      <c r="X438" s="3"/>
      <c r="Y438" s="3"/>
      <c r="Z438" s="3"/>
      <c r="AA438" s="3"/>
      <c r="AB438" s="3"/>
      <c r="AC438" s="3"/>
      <c r="AD438" s="3"/>
      <c r="AE438" s="3"/>
      <c r="AF438" s="3"/>
      <c r="AG438" s="3"/>
      <c r="AH438" s="3"/>
      <c r="AI438" s="3"/>
      <c r="AJ438" s="3"/>
      <c r="AK438" s="3"/>
      <c r="AL438" s="3"/>
    </row>
    <row r="439" ht="15.75" customHeight="1">
      <c r="A439" s="45"/>
      <c r="B439" s="2"/>
      <c r="C439" s="667"/>
      <c r="D439" s="2"/>
      <c r="E439" s="668"/>
      <c r="F439" s="2"/>
      <c r="G439" s="2"/>
      <c r="H439" s="2"/>
      <c r="I439" s="2"/>
      <c r="J439" s="2"/>
      <c r="K439" s="2"/>
      <c r="L439" s="2"/>
      <c r="M439" s="2"/>
      <c r="N439" s="667"/>
      <c r="O439" s="2"/>
      <c r="P439" s="2"/>
      <c r="Q439" s="2"/>
      <c r="R439" s="3"/>
      <c r="S439" s="3"/>
      <c r="T439" s="3"/>
      <c r="U439" s="3"/>
      <c r="V439" s="3"/>
      <c r="W439" s="3"/>
      <c r="X439" s="3"/>
      <c r="Y439" s="3"/>
      <c r="Z439" s="3"/>
      <c r="AA439" s="3"/>
      <c r="AB439" s="3"/>
      <c r="AC439" s="3"/>
      <c r="AD439" s="3"/>
      <c r="AE439" s="3"/>
      <c r="AF439" s="3"/>
      <c r="AG439" s="3"/>
      <c r="AH439" s="3"/>
      <c r="AI439" s="3"/>
      <c r="AJ439" s="3"/>
      <c r="AK439" s="3"/>
      <c r="AL439" s="3"/>
    </row>
    <row r="440" ht="15.75" customHeight="1">
      <c r="A440" s="45"/>
      <c r="B440" s="2"/>
      <c r="C440" s="667"/>
      <c r="D440" s="2"/>
      <c r="E440" s="668"/>
      <c r="F440" s="2"/>
      <c r="G440" s="2"/>
      <c r="H440" s="2"/>
      <c r="I440" s="2"/>
      <c r="J440" s="2"/>
      <c r="K440" s="2"/>
      <c r="L440" s="2"/>
      <c r="M440" s="2"/>
      <c r="N440" s="667"/>
      <c r="O440" s="2"/>
      <c r="P440" s="2"/>
      <c r="Q440" s="2"/>
      <c r="R440" s="3"/>
      <c r="S440" s="3"/>
      <c r="T440" s="3"/>
      <c r="U440" s="3"/>
      <c r="V440" s="3"/>
      <c r="W440" s="3"/>
      <c r="X440" s="3"/>
      <c r="Y440" s="3"/>
      <c r="Z440" s="3"/>
      <c r="AA440" s="3"/>
      <c r="AB440" s="3"/>
      <c r="AC440" s="3"/>
      <c r="AD440" s="3"/>
      <c r="AE440" s="3"/>
      <c r="AF440" s="3"/>
      <c r="AG440" s="3"/>
      <c r="AH440" s="3"/>
      <c r="AI440" s="3"/>
      <c r="AJ440" s="3"/>
      <c r="AK440" s="3"/>
      <c r="AL440" s="3"/>
    </row>
    <row r="441" ht="15.75" customHeight="1">
      <c r="A441" s="45"/>
      <c r="B441" s="2"/>
      <c r="C441" s="667"/>
      <c r="D441" s="2"/>
      <c r="E441" s="668"/>
      <c r="F441" s="2"/>
      <c r="G441" s="2"/>
      <c r="H441" s="2"/>
      <c r="I441" s="2"/>
      <c r="J441" s="2"/>
      <c r="K441" s="2"/>
      <c r="L441" s="2"/>
      <c r="M441" s="2"/>
      <c r="N441" s="667"/>
      <c r="O441" s="2"/>
      <c r="P441" s="2"/>
      <c r="Q441" s="2"/>
      <c r="R441" s="3"/>
      <c r="S441" s="3"/>
      <c r="T441" s="3"/>
      <c r="U441" s="3"/>
      <c r="V441" s="3"/>
      <c r="W441" s="3"/>
      <c r="X441" s="3"/>
      <c r="Y441" s="3"/>
      <c r="Z441" s="3"/>
      <c r="AA441" s="3"/>
      <c r="AB441" s="3"/>
      <c r="AC441" s="3"/>
      <c r="AD441" s="3"/>
      <c r="AE441" s="3"/>
      <c r="AF441" s="3"/>
      <c r="AG441" s="3"/>
      <c r="AH441" s="3"/>
      <c r="AI441" s="3"/>
      <c r="AJ441" s="3"/>
      <c r="AK441" s="3"/>
      <c r="AL441" s="3"/>
    </row>
    <row r="442" ht="15.75" customHeight="1">
      <c r="A442" s="45"/>
      <c r="B442" s="2"/>
      <c r="C442" s="667"/>
      <c r="D442" s="2"/>
      <c r="E442" s="668"/>
      <c r="F442" s="2"/>
      <c r="G442" s="2"/>
      <c r="H442" s="2"/>
      <c r="I442" s="2"/>
      <c r="J442" s="2"/>
      <c r="K442" s="2"/>
      <c r="L442" s="2"/>
      <c r="M442" s="2"/>
      <c r="N442" s="667"/>
      <c r="O442" s="2"/>
      <c r="P442" s="2"/>
      <c r="Q442" s="2"/>
      <c r="R442" s="3"/>
      <c r="S442" s="3"/>
      <c r="T442" s="3"/>
      <c r="U442" s="3"/>
      <c r="V442" s="3"/>
      <c r="W442" s="3"/>
      <c r="X442" s="3"/>
      <c r="Y442" s="3"/>
      <c r="Z442" s="3"/>
      <c r="AA442" s="3"/>
      <c r="AB442" s="3"/>
      <c r="AC442" s="3"/>
      <c r="AD442" s="3"/>
      <c r="AE442" s="3"/>
      <c r="AF442" s="3"/>
      <c r="AG442" s="3"/>
      <c r="AH442" s="3"/>
      <c r="AI442" s="3"/>
      <c r="AJ442" s="3"/>
      <c r="AK442" s="3"/>
      <c r="AL442" s="3"/>
    </row>
    <row r="443" ht="15.75" customHeight="1">
      <c r="A443" s="45"/>
      <c r="B443" s="2"/>
      <c r="C443" s="667"/>
      <c r="D443" s="2"/>
      <c r="E443" s="668"/>
      <c r="F443" s="2"/>
      <c r="G443" s="2"/>
      <c r="H443" s="2"/>
      <c r="I443" s="2"/>
      <c r="J443" s="2"/>
      <c r="K443" s="2"/>
      <c r="L443" s="2"/>
      <c r="M443" s="2"/>
      <c r="N443" s="667"/>
      <c r="O443" s="2"/>
      <c r="P443" s="2"/>
      <c r="Q443" s="2"/>
      <c r="R443" s="3"/>
      <c r="S443" s="3"/>
      <c r="T443" s="3"/>
      <c r="U443" s="3"/>
      <c r="V443" s="3"/>
      <c r="W443" s="3"/>
      <c r="X443" s="3"/>
      <c r="Y443" s="3"/>
      <c r="Z443" s="3"/>
      <c r="AA443" s="3"/>
      <c r="AB443" s="3"/>
      <c r="AC443" s="3"/>
      <c r="AD443" s="3"/>
      <c r="AE443" s="3"/>
      <c r="AF443" s="3"/>
      <c r="AG443" s="3"/>
      <c r="AH443" s="3"/>
      <c r="AI443" s="3"/>
      <c r="AJ443" s="3"/>
      <c r="AK443" s="3"/>
      <c r="AL443" s="3"/>
    </row>
    <row r="444" ht="15.75" customHeight="1">
      <c r="A444" s="45"/>
      <c r="B444" s="2"/>
      <c r="C444" s="667"/>
      <c r="D444" s="2"/>
      <c r="E444" s="668"/>
      <c r="F444" s="2"/>
      <c r="G444" s="2"/>
      <c r="H444" s="2"/>
      <c r="I444" s="2"/>
      <c r="J444" s="2"/>
      <c r="K444" s="2"/>
      <c r="L444" s="2"/>
      <c r="M444" s="2"/>
      <c r="N444" s="667"/>
      <c r="O444" s="2"/>
      <c r="P444" s="2"/>
      <c r="Q444" s="2"/>
      <c r="R444" s="3"/>
      <c r="S444" s="3"/>
      <c r="T444" s="3"/>
      <c r="U444" s="3"/>
      <c r="V444" s="3"/>
      <c r="W444" s="3"/>
      <c r="X444" s="3"/>
      <c r="Y444" s="3"/>
      <c r="Z444" s="3"/>
      <c r="AA444" s="3"/>
      <c r="AB444" s="3"/>
      <c r="AC444" s="3"/>
      <c r="AD444" s="3"/>
      <c r="AE444" s="3"/>
      <c r="AF444" s="3"/>
      <c r="AG444" s="3"/>
      <c r="AH444" s="3"/>
      <c r="AI444" s="3"/>
      <c r="AJ444" s="3"/>
      <c r="AK444" s="3"/>
      <c r="AL444" s="3"/>
    </row>
    <row r="445" ht="15.75" customHeight="1">
      <c r="A445" s="45"/>
      <c r="B445" s="2"/>
      <c r="C445" s="667"/>
      <c r="D445" s="2"/>
      <c r="E445" s="668"/>
      <c r="F445" s="2"/>
      <c r="G445" s="2"/>
      <c r="H445" s="2"/>
      <c r="I445" s="2"/>
      <c r="J445" s="2"/>
      <c r="K445" s="2"/>
      <c r="L445" s="2"/>
      <c r="M445" s="2"/>
      <c r="N445" s="667"/>
      <c r="O445" s="2"/>
      <c r="P445" s="2"/>
      <c r="Q445" s="2"/>
      <c r="R445" s="3"/>
      <c r="S445" s="3"/>
      <c r="T445" s="3"/>
      <c r="U445" s="3"/>
      <c r="V445" s="3"/>
      <c r="W445" s="3"/>
      <c r="X445" s="3"/>
      <c r="Y445" s="3"/>
      <c r="Z445" s="3"/>
      <c r="AA445" s="3"/>
      <c r="AB445" s="3"/>
      <c r="AC445" s="3"/>
      <c r="AD445" s="3"/>
      <c r="AE445" s="3"/>
      <c r="AF445" s="3"/>
      <c r="AG445" s="3"/>
      <c r="AH445" s="3"/>
      <c r="AI445" s="3"/>
      <c r="AJ445" s="3"/>
      <c r="AK445" s="3"/>
      <c r="AL445" s="3"/>
    </row>
    <row r="446" ht="15.75" customHeight="1">
      <c r="A446" s="45"/>
      <c r="B446" s="2"/>
      <c r="C446" s="667"/>
      <c r="D446" s="2"/>
      <c r="E446" s="668"/>
      <c r="F446" s="2"/>
      <c r="G446" s="2"/>
      <c r="H446" s="2"/>
      <c r="I446" s="2"/>
      <c r="J446" s="2"/>
      <c r="K446" s="2"/>
      <c r="L446" s="2"/>
      <c r="M446" s="2"/>
      <c r="N446" s="667"/>
      <c r="O446" s="2"/>
      <c r="P446" s="2"/>
      <c r="Q446" s="2"/>
      <c r="R446" s="3"/>
      <c r="S446" s="3"/>
      <c r="T446" s="3"/>
      <c r="U446" s="3"/>
      <c r="V446" s="3"/>
      <c r="W446" s="3"/>
      <c r="X446" s="3"/>
      <c r="Y446" s="3"/>
      <c r="Z446" s="3"/>
      <c r="AA446" s="3"/>
      <c r="AB446" s="3"/>
      <c r="AC446" s="3"/>
      <c r="AD446" s="3"/>
      <c r="AE446" s="3"/>
      <c r="AF446" s="3"/>
      <c r="AG446" s="3"/>
      <c r="AH446" s="3"/>
      <c r="AI446" s="3"/>
      <c r="AJ446" s="3"/>
      <c r="AK446" s="3"/>
      <c r="AL446" s="3"/>
    </row>
    <row r="447" ht="15.75" customHeight="1">
      <c r="A447" s="45"/>
      <c r="B447" s="2"/>
      <c r="C447" s="667"/>
      <c r="D447" s="2"/>
      <c r="E447" s="668"/>
      <c r="F447" s="2"/>
      <c r="G447" s="2"/>
      <c r="H447" s="2"/>
      <c r="I447" s="2"/>
      <c r="J447" s="2"/>
      <c r="K447" s="2"/>
      <c r="L447" s="2"/>
      <c r="M447" s="2"/>
      <c r="N447" s="667"/>
      <c r="O447" s="2"/>
      <c r="P447" s="2"/>
      <c r="Q447" s="2"/>
      <c r="R447" s="3"/>
      <c r="S447" s="3"/>
      <c r="T447" s="3"/>
      <c r="U447" s="3"/>
      <c r="V447" s="3"/>
      <c r="W447" s="3"/>
      <c r="X447" s="3"/>
      <c r="Y447" s="3"/>
      <c r="Z447" s="3"/>
      <c r="AA447" s="3"/>
      <c r="AB447" s="3"/>
      <c r="AC447" s="3"/>
      <c r="AD447" s="3"/>
      <c r="AE447" s="3"/>
      <c r="AF447" s="3"/>
      <c r="AG447" s="3"/>
      <c r="AH447" s="3"/>
      <c r="AI447" s="3"/>
      <c r="AJ447" s="3"/>
      <c r="AK447" s="3"/>
      <c r="AL447" s="3"/>
    </row>
    <row r="448" ht="15.75" customHeight="1">
      <c r="A448" s="45"/>
      <c r="B448" s="2"/>
      <c r="C448" s="667"/>
      <c r="D448" s="2"/>
      <c r="E448" s="668"/>
      <c r="F448" s="2"/>
      <c r="G448" s="2"/>
      <c r="H448" s="2"/>
      <c r="I448" s="2"/>
      <c r="J448" s="2"/>
      <c r="K448" s="2"/>
      <c r="L448" s="2"/>
      <c r="M448" s="2"/>
      <c r="N448" s="667"/>
      <c r="O448" s="2"/>
      <c r="P448" s="2"/>
      <c r="Q448" s="2"/>
      <c r="R448" s="3"/>
      <c r="S448" s="3"/>
      <c r="T448" s="3"/>
      <c r="U448" s="3"/>
      <c r="V448" s="3"/>
      <c r="W448" s="3"/>
      <c r="X448" s="3"/>
      <c r="Y448" s="3"/>
      <c r="Z448" s="3"/>
      <c r="AA448" s="3"/>
      <c r="AB448" s="3"/>
      <c r="AC448" s="3"/>
      <c r="AD448" s="3"/>
      <c r="AE448" s="3"/>
      <c r="AF448" s="3"/>
      <c r="AG448" s="3"/>
      <c r="AH448" s="3"/>
      <c r="AI448" s="3"/>
      <c r="AJ448" s="3"/>
      <c r="AK448" s="3"/>
      <c r="AL448" s="3"/>
    </row>
    <row r="449" ht="15.75" customHeight="1">
      <c r="A449" s="45"/>
      <c r="B449" s="2"/>
      <c r="C449" s="667"/>
      <c r="D449" s="2"/>
      <c r="E449" s="668"/>
      <c r="F449" s="2"/>
      <c r="G449" s="2"/>
      <c r="H449" s="2"/>
      <c r="I449" s="2"/>
      <c r="J449" s="2"/>
      <c r="K449" s="2"/>
      <c r="L449" s="2"/>
      <c r="M449" s="2"/>
      <c r="N449" s="667"/>
      <c r="O449" s="2"/>
      <c r="P449" s="2"/>
      <c r="Q449" s="2"/>
      <c r="R449" s="3"/>
      <c r="S449" s="3"/>
      <c r="T449" s="3"/>
      <c r="U449" s="3"/>
      <c r="V449" s="3"/>
      <c r="W449" s="3"/>
      <c r="X449" s="3"/>
      <c r="Y449" s="3"/>
      <c r="Z449" s="3"/>
      <c r="AA449" s="3"/>
      <c r="AB449" s="3"/>
      <c r="AC449" s="3"/>
      <c r="AD449" s="3"/>
      <c r="AE449" s="3"/>
      <c r="AF449" s="3"/>
      <c r="AG449" s="3"/>
      <c r="AH449" s="3"/>
      <c r="AI449" s="3"/>
      <c r="AJ449" s="3"/>
      <c r="AK449" s="3"/>
      <c r="AL449" s="3"/>
    </row>
    <row r="450" ht="15.75" customHeight="1">
      <c r="A450" s="45"/>
      <c r="B450" s="2"/>
      <c r="C450" s="667"/>
      <c r="D450" s="2"/>
      <c r="E450" s="668"/>
      <c r="F450" s="2"/>
      <c r="G450" s="2"/>
      <c r="H450" s="2"/>
      <c r="I450" s="2"/>
      <c r="J450" s="2"/>
      <c r="K450" s="2"/>
      <c r="L450" s="2"/>
      <c r="M450" s="2"/>
      <c r="N450" s="667"/>
      <c r="O450" s="2"/>
      <c r="P450" s="2"/>
      <c r="Q450" s="2"/>
      <c r="R450" s="3"/>
      <c r="S450" s="3"/>
      <c r="T450" s="3"/>
      <c r="U450" s="3"/>
      <c r="V450" s="3"/>
      <c r="W450" s="3"/>
      <c r="X450" s="3"/>
      <c r="Y450" s="3"/>
      <c r="Z450" s="3"/>
      <c r="AA450" s="3"/>
      <c r="AB450" s="3"/>
      <c r="AC450" s="3"/>
      <c r="AD450" s="3"/>
      <c r="AE450" s="3"/>
      <c r="AF450" s="3"/>
      <c r="AG450" s="3"/>
      <c r="AH450" s="3"/>
      <c r="AI450" s="3"/>
      <c r="AJ450" s="3"/>
      <c r="AK450" s="3"/>
      <c r="AL450" s="3"/>
    </row>
    <row r="451" ht="15.75" customHeight="1">
      <c r="A451" s="45"/>
      <c r="B451" s="2"/>
      <c r="C451" s="667"/>
      <c r="D451" s="2"/>
      <c r="E451" s="668"/>
      <c r="F451" s="2"/>
      <c r="G451" s="2"/>
      <c r="H451" s="2"/>
      <c r="I451" s="2"/>
      <c r="J451" s="2"/>
      <c r="K451" s="2"/>
      <c r="L451" s="2"/>
      <c r="M451" s="2"/>
      <c r="N451" s="667"/>
      <c r="O451" s="2"/>
      <c r="P451" s="2"/>
      <c r="Q451" s="2"/>
      <c r="R451" s="3"/>
      <c r="S451" s="3"/>
      <c r="T451" s="3"/>
      <c r="U451" s="3"/>
      <c r="V451" s="3"/>
      <c r="W451" s="3"/>
      <c r="X451" s="3"/>
      <c r="Y451" s="3"/>
      <c r="Z451" s="3"/>
      <c r="AA451" s="3"/>
      <c r="AB451" s="3"/>
      <c r="AC451" s="3"/>
      <c r="AD451" s="3"/>
      <c r="AE451" s="3"/>
      <c r="AF451" s="3"/>
      <c r="AG451" s="3"/>
      <c r="AH451" s="3"/>
      <c r="AI451" s="3"/>
      <c r="AJ451" s="3"/>
      <c r="AK451" s="3"/>
      <c r="AL451" s="3"/>
    </row>
    <row r="452" ht="15.75" customHeight="1">
      <c r="A452" s="45"/>
      <c r="B452" s="2"/>
      <c r="C452" s="667"/>
      <c r="D452" s="2"/>
      <c r="E452" s="668"/>
      <c r="F452" s="2"/>
      <c r="G452" s="2"/>
      <c r="H452" s="2"/>
      <c r="I452" s="2"/>
      <c r="J452" s="2"/>
      <c r="K452" s="2"/>
      <c r="L452" s="2"/>
      <c r="M452" s="2"/>
      <c r="N452" s="667"/>
      <c r="O452" s="2"/>
      <c r="P452" s="2"/>
      <c r="Q452" s="2"/>
      <c r="R452" s="3"/>
      <c r="S452" s="3"/>
      <c r="T452" s="3"/>
      <c r="U452" s="3"/>
      <c r="V452" s="3"/>
      <c r="W452" s="3"/>
      <c r="X452" s="3"/>
      <c r="Y452" s="3"/>
      <c r="Z452" s="3"/>
      <c r="AA452" s="3"/>
      <c r="AB452" s="3"/>
      <c r="AC452" s="3"/>
      <c r="AD452" s="3"/>
      <c r="AE452" s="3"/>
      <c r="AF452" s="3"/>
      <c r="AG452" s="3"/>
      <c r="AH452" s="3"/>
      <c r="AI452" s="3"/>
      <c r="AJ452" s="3"/>
      <c r="AK452" s="3"/>
      <c r="AL452" s="3"/>
    </row>
    <row r="453" ht="15.75" customHeight="1">
      <c r="A453" s="45"/>
      <c r="B453" s="2"/>
      <c r="C453" s="667"/>
      <c r="D453" s="2"/>
      <c r="E453" s="668"/>
      <c r="F453" s="2"/>
      <c r="G453" s="2"/>
      <c r="H453" s="2"/>
      <c r="I453" s="2"/>
      <c r="J453" s="2"/>
      <c r="K453" s="2"/>
      <c r="L453" s="2"/>
      <c r="M453" s="2"/>
      <c r="N453" s="667"/>
      <c r="O453" s="2"/>
      <c r="P453" s="2"/>
      <c r="Q453" s="2"/>
      <c r="R453" s="3"/>
      <c r="S453" s="3"/>
      <c r="T453" s="3"/>
      <c r="U453" s="3"/>
      <c r="V453" s="3"/>
      <c r="W453" s="3"/>
      <c r="X453" s="3"/>
      <c r="Y453" s="3"/>
      <c r="Z453" s="3"/>
      <c r="AA453" s="3"/>
      <c r="AB453" s="3"/>
      <c r="AC453" s="3"/>
      <c r="AD453" s="3"/>
      <c r="AE453" s="3"/>
      <c r="AF453" s="3"/>
      <c r="AG453" s="3"/>
      <c r="AH453" s="3"/>
      <c r="AI453" s="3"/>
      <c r="AJ453" s="3"/>
      <c r="AK453" s="3"/>
      <c r="AL453" s="3"/>
    </row>
    <row r="454" ht="15.75" customHeight="1">
      <c r="A454" s="45"/>
      <c r="B454" s="2"/>
      <c r="C454" s="667"/>
      <c r="D454" s="2"/>
      <c r="E454" s="668"/>
      <c r="F454" s="2"/>
      <c r="G454" s="2"/>
      <c r="H454" s="2"/>
      <c r="I454" s="2"/>
      <c r="J454" s="2"/>
      <c r="K454" s="2"/>
      <c r="L454" s="2"/>
      <c r="M454" s="2"/>
      <c r="N454" s="667"/>
      <c r="O454" s="2"/>
      <c r="P454" s="2"/>
      <c r="Q454" s="2"/>
      <c r="R454" s="3"/>
      <c r="S454" s="3"/>
      <c r="T454" s="3"/>
      <c r="U454" s="3"/>
      <c r="V454" s="3"/>
      <c r="W454" s="3"/>
      <c r="X454" s="3"/>
      <c r="Y454" s="3"/>
      <c r="Z454" s="3"/>
      <c r="AA454" s="3"/>
      <c r="AB454" s="3"/>
      <c r="AC454" s="3"/>
      <c r="AD454" s="3"/>
      <c r="AE454" s="3"/>
      <c r="AF454" s="3"/>
      <c r="AG454" s="3"/>
      <c r="AH454" s="3"/>
      <c r="AI454" s="3"/>
      <c r="AJ454" s="3"/>
      <c r="AK454" s="3"/>
      <c r="AL454" s="3"/>
    </row>
    <row r="455" ht="15.75" customHeight="1">
      <c r="A455" s="45"/>
      <c r="B455" s="2"/>
      <c r="C455" s="667"/>
      <c r="D455" s="2"/>
      <c r="E455" s="668"/>
      <c r="F455" s="2"/>
      <c r="G455" s="2"/>
      <c r="H455" s="2"/>
      <c r="I455" s="2"/>
      <c r="J455" s="2"/>
      <c r="K455" s="2"/>
      <c r="L455" s="2"/>
      <c r="M455" s="2"/>
      <c r="N455" s="667"/>
      <c r="O455" s="2"/>
      <c r="P455" s="2"/>
      <c r="Q455" s="2"/>
      <c r="R455" s="3"/>
      <c r="S455" s="3"/>
      <c r="T455" s="3"/>
      <c r="U455" s="3"/>
      <c r="V455" s="3"/>
      <c r="W455" s="3"/>
      <c r="X455" s="3"/>
      <c r="Y455" s="3"/>
      <c r="Z455" s="3"/>
      <c r="AA455" s="3"/>
      <c r="AB455" s="3"/>
      <c r="AC455" s="3"/>
      <c r="AD455" s="3"/>
      <c r="AE455" s="3"/>
      <c r="AF455" s="3"/>
      <c r="AG455" s="3"/>
      <c r="AH455" s="3"/>
      <c r="AI455" s="3"/>
      <c r="AJ455" s="3"/>
      <c r="AK455" s="3"/>
      <c r="AL455" s="3"/>
    </row>
    <row r="456" ht="15.75" customHeight="1">
      <c r="A456" s="45"/>
      <c r="B456" s="2"/>
      <c r="C456" s="667"/>
      <c r="D456" s="2"/>
      <c r="E456" s="668"/>
      <c r="F456" s="2"/>
      <c r="G456" s="2"/>
      <c r="H456" s="2"/>
      <c r="I456" s="2"/>
      <c r="J456" s="2"/>
      <c r="K456" s="2"/>
      <c r="L456" s="2"/>
      <c r="M456" s="2"/>
      <c r="N456" s="667"/>
      <c r="O456" s="2"/>
      <c r="P456" s="2"/>
      <c r="Q456" s="2"/>
      <c r="R456" s="3"/>
      <c r="S456" s="3"/>
      <c r="T456" s="3"/>
      <c r="U456" s="3"/>
      <c r="V456" s="3"/>
      <c r="W456" s="3"/>
      <c r="X456" s="3"/>
      <c r="Y456" s="3"/>
      <c r="Z456" s="3"/>
      <c r="AA456" s="3"/>
      <c r="AB456" s="3"/>
      <c r="AC456" s="3"/>
      <c r="AD456" s="3"/>
      <c r="AE456" s="3"/>
      <c r="AF456" s="3"/>
      <c r="AG456" s="3"/>
      <c r="AH456" s="3"/>
      <c r="AI456" s="3"/>
      <c r="AJ456" s="3"/>
      <c r="AK456" s="3"/>
      <c r="AL456" s="3"/>
    </row>
    <row r="457" ht="15.75" customHeight="1">
      <c r="A457" s="45"/>
      <c r="B457" s="2"/>
      <c r="C457" s="667"/>
      <c r="D457" s="2"/>
      <c r="E457" s="668"/>
      <c r="F457" s="2"/>
      <c r="G457" s="2"/>
      <c r="H457" s="2"/>
      <c r="I457" s="2"/>
      <c r="J457" s="2"/>
      <c r="K457" s="2"/>
      <c r="L457" s="2"/>
      <c r="M457" s="2"/>
      <c r="N457" s="667"/>
      <c r="O457" s="2"/>
      <c r="P457" s="2"/>
      <c r="Q457" s="2"/>
      <c r="R457" s="3"/>
      <c r="S457" s="3"/>
      <c r="T457" s="3"/>
      <c r="U457" s="3"/>
      <c r="V457" s="3"/>
      <c r="W457" s="3"/>
      <c r="X457" s="3"/>
      <c r="Y457" s="3"/>
      <c r="Z457" s="3"/>
      <c r="AA457" s="3"/>
      <c r="AB457" s="3"/>
      <c r="AC457" s="3"/>
      <c r="AD457" s="3"/>
      <c r="AE457" s="3"/>
      <c r="AF457" s="3"/>
      <c r="AG457" s="3"/>
      <c r="AH457" s="3"/>
      <c r="AI457" s="3"/>
      <c r="AJ457" s="3"/>
      <c r="AK457" s="3"/>
      <c r="AL457" s="3"/>
    </row>
    <row r="458" ht="15.75" customHeight="1">
      <c r="A458" s="45"/>
      <c r="B458" s="2"/>
      <c r="C458" s="667"/>
      <c r="D458" s="2"/>
      <c r="E458" s="668"/>
      <c r="F458" s="2"/>
      <c r="G458" s="2"/>
      <c r="H458" s="2"/>
      <c r="I458" s="2"/>
      <c r="J458" s="2"/>
      <c r="K458" s="2"/>
      <c r="L458" s="2"/>
      <c r="M458" s="2"/>
      <c r="N458" s="667"/>
      <c r="O458" s="2"/>
      <c r="P458" s="2"/>
      <c r="Q458" s="2"/>
      <c r="R458" s="3"/>
      <c r="S458" s="3"/>
      <c r="T458" s="3"/>
      <c r="U458" s="3"/>
      <c r="V458" s="3"/>
      <c r="W458" s="3"/>
      <c r="X458" s="3"/>
      <c r="Y458" s="3"/>
      <c r="Z458" s="3"/>
      <c r="AA458" s="3"/>
      <c r="AB458" s="3"/>
      <c r="AC458" s="3"/>
      <c r="AD458" s="3"/>
      <c r="AE458" s="3"/>
      <c r="AF458" s="3"/>
      <c r="AG458" s="3"/>
      <c r="AH458" s="3"/>
      <c r="AI458" s="3"/>
      <c r="AJ458" s="3"/>
      <c r="AK458" s="3"/>
      <c r="AL458" s="3"/>
    </row>
    <row r="459" ht="15.75" customHeight="1">
      <c r="A459" s="45"/>
      <c r="B459" s="2"/>
      <c r="C459" s="667"/>
      <c r="D459" s="2"/>
      <c r="E459" s="668"/>
      <c r="F459" s="2"/>
      <c r="G459" s="2"/>
      <c r="H459" s="2"/>
      <c r="I459" s="2"/>
      <c r="J459" s="2"/>
      <c r="K459" s="2"/>
      <c r="L459" s="2"/>
      <c r="M459" s="2"/>
      <c r="N459" s="667"/>
      <c r="O459" s="2"/>
      <c r="P459" s="2"/>
      <c r="Q459" s="2"/>
      <c r="R459" s="3"/>
      <c r="S459" s="3"/>
      <c r="T459" s="3"/>
      <c r="U459" s="3"/>
      <c r="V459" s="3"/>
      <c r="W459" s="3"/>
      <c r="X459" s="3"/>
      <c r="Y459" s="3"/>
      <c r="Z459" s="3"/>
      <c r="AA459" s="3"/>
      <c r="AB459" s="3"/>
      <c r="AC459" s="3"/>
      <c r="AD459" s="3"/>
      <c r="AE459" s="3"/>
      <c r="AF459" s="3"/>
      <c r="AG459" s="3"/>
      <c r="AH459" s="3"/>
      <c r="AI459" s="3"/>
      <c r="AJ459" s="3"/>
      <c r="AK459" s="3"/>
      <c r="AL459" s="3"/>
    </row>
    <row r="460" ht="15.75" customHeight="1">
      <c r="A460" s="45"/>
      <c r="B460" s="2"/>
      <c r="C460" s="667"/>
      <c r="D460" s="2"/>
      <c r="E460" s="668"/>
      <c r="F460" s="2"/>
      <c r="G460" s="2"/>
      <c r="H460" s="2"/>
      <c r="I460" s="2"/>
      <c r="J460" s="2"/>
      <c r="K460" s="2"/>
      <c r="L460" s="2"/>
      <c r="M460" s="2"/>
      <c r="N460" s="667"/>
      <c r="O460" s="2"/>
      <c r="P460" s="2"/>
      <c r="Q460" s="2"/>
      <c r="R460" s="3"/>
      <c r="S460" s="3"/>
      <c r="T460" s="3"/>
      <c r="U460" s="3"/>
      <c r="V460" s="3"/>
      <c r="W460" s="3"/>
      <c r="X460" s="3"/>
      <c r="Y460" s="3"/>
      <c r="Z460" s="3"/>
      <c r="AA460" s="3"/>
      <c r="AB460" s="3"/>
      <c r="AC460" s="3"/>
      <c r="AD460" s="3"/>
      <c r="AE460" s="3"/>
      <c r="AF460" s="3"/>
      <c r="AG460" s="3"/>
      <c r="AH460" s="3"/>
      <c r="AI460" s="3"/>
      <c r="AJ460" s="3"/>
      <c r="AK460" s="3"/>
      <c r="AL460" s="3"/>
    </row>
    <row r="461" ht="15.75" customHeight="1">
      <c r="A461" s="45"/>
      <c r="B461" s="2"/>
      <c r="C461" s="667"/>
      <c r="D461" s="2"/>
      <c r="E461" s="668"/>
      <c r="F461" s="2"/>
      <c r="G461" s="2"/>
      <c r="H461" s="2"/>
      <c r="I461" s="2"/>
      <c r="J461" s="2"/>
      <c r="K461" s="2"/>
      <c r="L461" s="2"/>
      <c r="M461" s="2"/>
      <c r="N461" s="667"/>
      <c r="O461" s="2"/>
      <c r="P461" s="2"/>
      <c r="Q461" s="2"/>
      <c r="R461" s="3"/>
      <c r="S461" s="3"/>
      <c r="T461" s="3"/>
      <c r="U461" s="3"/>
      <c r="V461" s="3"/>
      <c r="W461" s="3"/>
      <c r="X461" s="3"/>
      <c r="Y461" s="3"/>
      <c r="Z461" s="3"/>
      <c r="AA461" s="3"/>
      <c r="AB461" s="3"/>
      <c r="AC461" s="3"/>
      <c r="AD461" s="3"/>
      <c r="AE461" s="3"/>
      <c r="AF461" s="3"/>
      <c r="AG461" s="3"/>
      <c r="AH461" s="3"/>
      <c r="AI461" s="3"/>
      <c r="AJ461" s="3"/>
      <c r="AK461" s="3"/>
      <c r="AL461" s="3"/>
    </row>
    <row r="462" ht="15.75" customHeight="1">
      <c r="A462" s="45"/>
      <c r="B462" s="2"/>
      <c r="C462" s="667"/>
      <c r="D462" s="2"/>
      <c r="E462" s="668"/>
      <c r="F462" s="2"/>
      <c r="G462" s="2"/>
      <c r="H462" s="2"/>
      <c r="I462" s="2"/>
      <c r="J462" s="2"/>
      <c r="K462" s="2"/>
      <c r="L462" s="2"/>
      <c r="M462" s="2"/>
      <c r="N462" s="667"/>
      <c r="O462" s="2"/>
      <c r="P462" s="2"/>
      <c r="Q462" s="2"/>
      <c r="R462" s="3"/>
      <c r="S462" s="3"/>
      <c r="T462" s="3"/>
      <c r="U462" s="3"/>
      <c r="V462" s="3"/>
      <c r="W462" s="3"/>
      <c r="X462" s="3"/>
      <c r="Y462" s="3"/>
      <c r="Z462" s="3"/>
      <c r="AA462" s="3"/>
      <c r="AB462" s="3"/>
      <c r="AC462" s="3"/>
      <c r="AD462" s="3"/>
      <c r="AE462" s="3"/>
      <c r="AF462" s="3"/>
      <c r="AG462" s="3"/>
      <c r="AH462" s="3"/>
      <c r="AI462" s="3"/>
      <c r="AJ462" s="3"/>
      <c r="AK462" s="3"/>
      <c r="AL462" s="3"/>
    </row>
    <row r="463" ht="15.75" customHeight="1">
      <c r="A463" s="45"/>
      <c r="B463" s="2"/>
      <c r="C463" s="667"/>
      <c r="D463" s="2"/>
      <c r="E463" s="668"/>
      <c r="F463" s="2"/>
      <c r="G463" s="2"/>
      <c r="H463" s="2"/>
      <c r="I463" s="2"/>
      <c r="J463" s="2"/>
      <c r="K463" s="2"/>
      <c r="L463" s="2"/>
      <c r="M463" s="2"/>
      <c r="N463" s="667"/>
      <c r="O463" s="2"/>
      <c r="P463" s="2"/>
      <c r="Q463" s="2"/>
      <c r="R463" s="3"/>
      <c r="S463" s="3"/>
      <c r="T463" s="3"/>
      <c r="U463" s="3"/>
      <c r="V463" s="3"/>
      <c r="W463" s="3"/>
      <c r="X463" s="3"/>
      <c r="Y463" s="3"/>
      <c r="Z463" s="3"/>
      <c r="AA463" s="3"/>
      <c r="AB463" s="3"/>
      <c r="AC463" s="3"/>
      <c r="AD463" s="3"/>
      <c r="AE463" s="3"/>
      <c r="AF463" s="3"/>
      <c r="AG463" s="3"/>
      <c r="AH463" s="3"/>
      <c r="AI463" s="3"/>
      <c r="AJ463" s="3"/>
      <c r="AK463" s="3"/>
      <c r="AL463" s="3"/>
    </row>
    <row r="464" ht="15.75" customHeight="1">
      <c r="A464" s="45"/>
      <c r="B464" s="2"/>
      <c r="C464" s="667"/>
      <c r="D464" s="2"/>
      <c r="E464" s="668"/>
      <c r="F464" s="2"/>
      <c r="G464" s="2"/>
      <c r="H464" s="2"/>
      <c r="I464" s="2"/>
      <c r="J464" s="2"/>
      <c r="K464" s="2"/>
      <c r="L464" s="2"/>
      <c r="M464" s="2"/>
      <c r="N464" s="667"/>
      <c r="O464" s="2"/>
      <c r="P464" s="2"/>
      <c r="Q464" s="2"/>
      <c r="R464" s="3"/>
      <c r="S464" s="3"/>
      <c r="T464" s="3"/>
      <c r="U464" s="3"/>
      <c r="V464" s="3"/>
      <c r="W464" s="3"/>
      <c r="X464" s="3"/>
      <c r="Y464" s="3"/>
      <c r="Z464" s="3"/>
      <c r="AA464" s="3"/>
      <c r="AB464" s="3"/>
      <c r="AC464" s="3"/>
      <c r="AD464" s="3"/>
      <c r="AE464" s="3"/>
      <c r="AF464" s="3"/>
      <c r="AG464" s="3"/>
      <c r="AH464" s="3"/>
      <c r="AI464" s="3"/>
      <c r="AJ464" s="3"/>
      <c r="AK464" s="3"/>
      <c r="AL464" s="3"/>
    </row>
    <row r="465" ht="15.75" customHeight="1">
      <c r="A465" s="45"/>
      <c r="B465" s="2"/>
      <c r="C465" s="667"/>
      <c r="D465" s="2"/>
      <c r="E465" s="668"/>
      <c r="F465" s="2"/>
      <c r="G465" s="2"/>
      <c r="H465" s="2"/>
      <c r="I465" s="2"/>
      <c r="J465" s="2"/>
      <c r="K465" s="2"/>
      <c r="L465" s="2"/>
      <c r="M465" s="2"/>
      <c r="N465" s="667"/>
      <c r="O465" s="2"/>
      <c r="P465" s="2"/>
      <c r="Q465" s="2"/>
      <c r="R465" s="3"/>
      <c r="S465" s="3"/>
      <c r="T465" s="3"/>
      <c r="U465" s="3"/>
      <c r="V465" s="3"/>
      <c r="W465" s="3"/>
      <c r="X465" s="3"/>
      <c r="Y465" s="3"/>
      <c r="Z465" s="3"/>
      <c r="AA465" s="3"/>
      <c r="AB465" s="3"/>
      <c r="AC465" s="3"/>
      <c r="AD465" s="3"/>
      <c r="AE465" s="3"/>
      <c r="AF465" s="3"/>
      <c r="AG465" s="3"/>
      <c r="AH465" s="3"/>
      <c r="AI465" s="3"/>
      <c r="AJ465" s="3"/>
      <c r="AK465" s="3"/>
      <c r="AL465" s="3"/>
    </row>
    <row r="466" ht="15.75" customHeight="1">
      <c r="A466" s="45"/>
      <c r="B466" s="2"/>
      <c r="C466" s="667"/>
      <c r="D466" s="2"/>
      <c r="E466" s="668"/>
      <c r="F466" s="2"/>
      <c r="G466" s="2"/>
      <c r="H466" s="2"/>
      <c r="I466" s="2"/>
      <c r="J466" s="2"/>
      <c r="K466" s="2"/>
      <c r="L466" s="2"/>
      <c r="M466" s="2"/>
      <c r="N466" s="667"/>
      <c r="O466" s="2"/>
      <c r="P466" s="2"/>
      <c r="Q466" s="2"/>
      <c r="R466" s="3"/>
      <c r="S466" s="3"/>
      <c r="T466" s="3"/>
      <c r="U466" s="3"/>
      <c r="V466" s="3"/>
      <c r="W466" s="3"/>
      <c r="X466" s="3"/>
      <c r="Y466" s="3"/>
      <c r="Z466" s="3"/>
      <c r="AA466" s="3"/>
      <c r="AB466" s="3"/>
      <c r="AC466" s="3"/>
      <c r="AD466" s="3"/>
      <c r="AE466" s="3"/>
      <c r="AF466" s="3"/>
      <c r="AG466" s="3"/>
      <c r="AH466" s="3"/>
      <c r="AI466" s="3"/>
      <c r="AJ466" s="3"/>
      <c r="AK466" s="3"/>
      <c r="AL466" s="3"/>
    </row>
    <row r="467" ht="15.75" customHeight="1">
      <c r="A467" s="45"/>
      <c r="B467" s="2"/>
      <c r="C467" s="667"/>
      <c r="D467" s="2"/>
      <c r="E467" s="668"/>
      <c r="F467" s="2"/>
      <c r="G467" s="2"/>
      <c r="H467" s="2"/>
      <c r="I467" s="2"/>
      <c r="J467" s="2"/>
      <c r="K467" s="2"/>
      <c r="L467" s="2"/>
      <c r="M467" s="2"/>
      <c r="N467" s="667"/>
      <c r="O467" s="2"/>
      <c r="P467" s="2"/>
      <c r="Q467" s="2"/>
      <c r="R467" s="3"/>
      <c r="S467" s="3"/>
      <c r="T467" s="3"/>
      <c r="U467" s="3"/>
      <c r="V467" s="3"/>
      <c r="W467" s="3"/>
      <c r="X467" s="3"/>
      <c r="Y467" s="3"/>
      <c r="Z467" s="3"/>
      <c r="AA467" s="3"/>
      <c r="AB467" s="3"/>
      <c r="AC467" s="3"/>
      <c r="AD467" s="3"/>
      <c r="AE467" s="3"/>
      <c r="AF467" s="3"/>
      <c r="AG467" s="3"/>
      <c r="AH467" s="3"/>
      <c r="AI467" s="3"/>
      <c r="AJ467" s="3"/>
      <c r="AK467" s="3"/>
      <c r="AL467" s="3"/>
    </row>
    <row r="468" ht="15.75" customHeight="1">
      <c r="A468" s="45"/>
      <c r="B468" s="2"/>
      <c r="C468" s="667"/>
      <c r="D468" s="2"/>
      <c r="E468" s="668"/>
      <c r="F468" s="2"/>
      <c r="G468" s="2"/>
      <c r="H468" s="2"/>
      <c r="I468" s="2"/>
      <c r="J468" s="2"/>
      <c r="K468" s="2"/>
      <c r="L468" s="2"/>
      <c r="M468" s="2"/>
      <c r="N468" s="667"/>
      <c r="O468" s="2"/>
      <c r="P468" s="2"/>
      <c r="Q468" s="2"/>
      <c r="R468" s="3"/>
      <c r="S468" s="3"/>
      <c r="T468" s="3"/>
      <c r="U468" s="3"/>
      <c r="V468" s="3"/>
      <c r="W468" s="3"/>
      <c r="X468" s="3"/>
      <c r="Y468" s="3"/>
      <c r="Z468" s="3"/>
      <c r="AA468" s="3"/>
      <c r="AB468" s="3"/>
      <c r="AC468" s="3"/>
      <c r="AD468" s="3"/>
      <c r="AE468" s="3"/>
      <c r="AF468" s="3"/>
      <c r="AG468" s="3"/>
      <c r="AH468" s="3"/>
      <c r="AI468" s="3"/>
      <c r="AJ468" s="3"/>
      <c r="AK468" s="3"/>
      <c r="AL468" s="3"/>
    </row>
    <row r="469" ht="15.75" customHeight="1">
      <c r="A469" s="45"/>
      <c r="B469" s="2"/>
      <c r="C469" s="667"/>
      <c r="D469" s="2"/>
      <c r="E469" s="668"/>
      <c r="F469" s="2"/>
      <c r="G469" s="2"/>
      <c r="H469" s="2"/>
      <c r="I469" s="2"/>
      <c r="J469" s="2"/>
      <c r="K469" s="2"/>
      <c r="L469" s="2"/>
      <c r="M469" s="2"/>
      <c r="N469" s="667"/>
      <c r="O469" s="2"/>
      <c r="P469" s="2"/>
      <c r="Q469" s="2"/>
      <c r="R469" s="3"/>
      <c r="S469" s="3"/>
      <c r="T469" s="3"/>
      <c r="U469" s="3"/>
      <c r="V469" s="3"/>
      <c r="W469" s="3"/>
      <c r="X469" s="3"/>
      <c r="Y469" s="3"/>
      <c r="Z469" s="3"/>
      <c r="AA469" s="3"/>
      <c r="AB469" s="3"/>
      <c r="AC469" s="3"/>
      <c r="AD469" s="3"/>
      <c r="AE469" s="3"/>
      <c r="AF469" s="3"/>
      <c r="AG469" s="3"/>
      <c r="AH469" s="3"/>
      <c r="AI469" s="3"/>
      <c r="AJ469" s="3"/>
      <c r="AK469" s="3"/>
      <c r="AL469" s="3"/>
    </row>
    <row r="470" ht="15.75" customHeight="1">
      <c r="A470" s="45"/>
      <c r="B470" s="2"/>
      <c r="C470" s="667"/>
      <c r="D470" s="2"/>
      <c r="E470" s="668"/>
      <c r="F470" s="2"/>
      <c r="G470" s="2"/>
      <c r="H470" s="2"/>
      <c r="I470" s="2"/>
      <c r="J470" s="2"/>
      <c r="K470" s="2"/>
      <c r="L470" s="2"/>
      <c r="M470" s="2"/>
      <c r="N470" s="667"/>
      <c r="O470" s="2"/>
      <c r="P470" s="2"/>
      <c r="Q470" s="2"/>
      <c r="R470" s="3"/>
      <c r="S470" s="3"/>
      <c r="T470" s="3"/>
      <c r="U470" s="3"/>
      <c r="V470" s="3"/>
      <c r="W470" s="3"/>
      <c r="X470" s="3"/>
      <c r="Y470" s="3"/>
      <c r="Z470" s="3"/>
      <c r="AA470" s="3"/>
      <c r="AB470" s="3"/>
      <c r="AC470" s="3"/>
      <c r="AD470" s="3"/>
      <c r="AE470" s="3"/>
      <c r="AF470" s="3"/>
      <c r="AG470" s="3"/>
      <c r="AH470" s="3"/>
      <c r="AI470" s="3"/>
      <c r="AJ470" s="3"/>
      <c r="AK470" s="3"/>
      <c r="AL470" s="3"/>
    </row>
    <row r="471" ht="15.75" customHeight="1">
      <c r="A471" s="45"/>
      <c r="B471" s="2"/>
      <c r="C471" s="667"/>
      <c r="D471" s="2"/>
      <c r="E471" s="668"/>
      <c r="F471" s="2"/>
      <c r="G471" s="2"/>
      <c r="H471" s="2"/>
      <c r="I471" s="2"/>
      <c r="J471" s="2"/>
      <c r="K471" s="2"/>
      <c r="L471" s="2"/>
      <c r="M471" s="2"/>
      <c r="N471" s="667"/>
      <c r="O471" s="2"/>
      <c r="P471" s="2"/>
      <c r="Q471" s="2"/>
      <c r="R471" s="3"/>
      <c r="S471" s="3"/>
      <c r="T471" s="3"/>
      <c r="U471" s="3"/>
      <c r="V471" s="3"/>
      <c r="W471" s="3"/>
      <c r="X471" s="3"/>
      <c r="Y471" s="3"/>
      <c r="Z471" s="3"/>
      <c r="AA471" s="3"/>
      <c r="AB471" s="3"/>
      <c r="AC471" s="3"/>
      <c r="AD471" s="3"/>
      <c r="AE471" s="3"/>
      <c r="AF471" s="3"/>
      <c r="AG471" s="3"/>
      <c r="AH471" s="3"/>
      <c r="AI471" s="3"/>
      <c r="AJ471" s="3"/>
      <c r="AK471" s="3"/>
      <c r="AL471" s="3"/>
    </row>
    <row r="472" ht="15.75" customHeight="1">
      <c r="A472" s="45"/>
      <c r="B472" s="2"/>
      <c r="C472" s="667"/>
      <c r="D472" s="2"/>
      <c r="E472" s="668"/>
      <c r="F472" s="2"/>
      <c r="G472" s="2"/>
      <c r="H472" s="2"/>
      <c r="I472" s="2"/>
      <c r="J472" s="2"/>
      <c r="K472" s="2"/>
      <c r="L472" s="2"/>
      <c r="M472" s="2"/>
      <c r="N472" s="667"/>
      <c r="O472" s="2"/>
      <c r="P472" s="2"/>
      <c r="Q472" s="2"/>
      <c r="R472" s="3"/>
      <c r="S472" s="3"/>
      <c r="T472" s="3"/>
      <c r="U472" s="3"/>
      <c r="V472" s="3"/>
      <c r="W472" s="3"/>
      <c r="X472" s="3"/>
      <c r="Y472" s="3"/>
      <c r="Z472" s="3"/>
      <c r="AA472" s="3"/>
      <c r="AB472" s="3"/>
      <c r="AC472" s="3"/>
      <c r="AD472" s="3"/>
      <c r="AE472" s="3"/>
      <c r="AF472" s="3"/>
      <c r="AG472" s="3"/>
      <c r="AH472" s="3"/>
      <c r="AI472" s="3"/>
      <c r="AJ472" s="3"/>
      <c r="AK472" s="3"/>
      <c r="AL472" s="3"/>
    </row>
    <row r="473" ht="15.75" customHeight="1">
      <c r="A473" s="45"/>
      <c r="B473" s="2"/>
      <c r="C473" s="667"/>
      <c r="D473" s="2"/>
      <c r="E473" s="668"/>
      <c r="F473" s="2"/>
      <c r="G473" s="2"/>
      <c r="H473" s="2"/>
      <c r="I473" s="2"/>
      <c r="J473" s="2"/>
      <c r="K473" s="2"/>
      <c r="L473" s="2"/>
      <c r="M473" s="2"/>
      <c r="N473" s="667"/>
      <c r="O473" s="2"/>
      <c r="P473" s="2"/>
      <c r="Q473" s="2"/>
      <c r="R473" s="3"/>
      <c r="S473" s="3"/>
      <c r="T473" s="3"/>
      <c r="U473" s="3"/>
      <c r="V473" s="3"/>
      <c r="W473" s="3"/>
      <c r="X473" s="3"/>
      <c r="Y473" s="3"/>
      <c r="Z473" s="3"/>
      <c r="AA473" s="3"/>
      <c r="AB473" s="3"/>
      <c r="AC473" s="3"/>
      <c r="AD473" s="3"/>
      <c r="AE473" s="3"/>
      <c r="AF473" s="3"/>
      <c r="AG473" s="3"/>
      <c r="AH473" s="3"/>
      <c r="AI473" s="3"/>
      <c r="AJ473" s="3"/>
      <c r="AK473" s="3"/>
      <c r="AL473" s="3"/>
    </row>
    <row r="474" ht="15.75" customHeight="1">
      <c r="A474" s="45"/>
      <c r="B474" s="2"/>
      <c r="C474" s="667"/>
      <c r="D474" s="2"/>
      <c r="E474" s="668"/>
      <c r="F474" s="2"/>
      <c r="G474" s="2"/>
      <c r="H474" s="2"/>
      <c r="I474" s="2"/>
      <c r="J474" s="2"/>
      <c r="K474" s="2"/>
      <c r="L474" s="2"/>
      <c r="M474" s="2"/>
      <c r="N474" s="667"/>
      <c r="O474" s="2"/>
      <c r="P474" s="2"/>
      <c r="Q474" s="2"/>
      <c r="R474" s="3"/>
      <c r="S474" s="3"/>
      <c r="T474" s="3"/>
      <c r="U474" s="3"/>
      <c r="V474" s="3"/>
      <c r="W474" s="3"/>
      <c r="X474" s="3"/>
      <c r="Y474" s="3"/>
      <c r="Z474" s="3"/>
      <c r="AA474" s="3"/>
      <c r="AB474" s="3"/>
      <c r="AC474" s="3"/>
      <c r="AD474" s="3"/>
      <c r="AE474" s="3"/>
      <c r="AF474" s="3"/>
      <c r="AG474" s="3"/>
      <c r="AH474" s="3"/>
      <c r="AI474" s="3"/>
      <c r="AJ474" s="3"/>
      <c r="AK474" s="3"/>
      <c r="AL474" s="3"/>
    </row>
    <row r="475" ht="15.75" customHeight="1">
      <c r="A475" s="45"/>
      <c r="B475" s="2"/>
      <c r="C475" s="667"/>
      <c r="D475" s="2"/>
      <c r="E475" s="668"/>
      <c r="F475" s="2"/>
      <c r="G475" s="2"/>
      <c r="H475" s="2"/>
      <c r="I475" s="2"/>
      <c r="J475" s="2"/>
      <c r="K475" s="2"/>
      <c r="L475" s="2"/>
      <c r="M475" s="2"/>
      <c r="N475" s="667"/>
      <c r="O475" s="2"/>
      <c r="P475" s="2"/>
      <c r="Q475" s="2"/>
      <c r="R475" s="3"/>
      <c r="S475" s="3"/>
      <c r="T475" s="3"/>
      <c r="U475" s="3"/>
      <c r="V475" s="3"/>
      <c r="W475" s="3"/>
      <c r="X475" s="3"/>
      <c r="Y475" s="3"/>
      <c r="Z475" s="3"/>
      <c r="AA475" s="3"/>
      <c r="AB475" s="3"/>
      <c r="AC475" s="3"/>
      <c r="AD475" s="3"/>
      <c r="AE475" s="3"/>
      <c r="AF475" s="3"/>
      <c r="AG475" s="3"/>
      <c r="AH475" s="3"/>
      <c r="AI475" s="3"/>
      <c r="AJ475" s="3"/>
      <c r="AK475" s="3"/>
      <c r="AL475" s="3"/>
    </row>
    <row r="476" ht="15.75" customHeight="1">
      <c r="A476" s="45"/>
      <c r="B476" s="2"/>
      <c r="C476" s="667"/>
      <c r="D476" s="2"/>
      <c r="E476" s="668"/>
      <c r="F476" s="2"/>
      <c r="G476" s="2"/>
      <c r="H476" s="2"/>
      <c r="I476" s="2"/>
      <c r="J476" s="2"/>
      <c r="K476" s="2"/>
      <c r="L476" s="2"/>
      <c r="M476" s="2"/>
      <c r="N476" s="667"/>
      <c r="O476" s="2"/>
      <c r="P476" s="2"/>
      <c r="Q476" s="2"/>
      <c r="R476" s="3"/>
      <c r="S476" s="3"/>
      <c r="T476" s="3"/>
      <c r="U476" s="3"/>
      <c r="V476" s="3"/>
      <c r="W476" s="3"/>
      <c r="X476" s="3"/>
      <c r="Y476" s="3"/>
      <c r="Z476" s="3"/>
      <c r="AA476" s="3"/>
      <c r="AB476" s="3"/>
      <c r="AC476" s="3"/>
      <c r="AD476" s="3"/>
      <c r="AE476" s="3"/>
      <c r="AF476" s="3"/>
      <c r="AG476" s="3"/>
      <c r="AH476" s="3"/>
      <c r="AI476" s="3"/>
      <c r="AJ476" s="3"/>
      <c r="AK476" s="3"/>
      <c r="AL476" s="3"/>
    </row>
    <row r="477" ht="15.75" customHeight="1">
      <c r="A477" s="45"/>
      <c r="B477" s="2"/>
      <c r="C477" s="667"/>
      <c r="D477" s="2"/>
      <c r="E477" s="668"/>
      <c r="F477" s="2"/>
      <c r="G477" s="2"/>
      <c r="H477" s="2"/>
      <c r="I477" s="2"/>
      <c r="J477" s="2"/>
      <c r="K477" s="2"/>
      <c r="L477" s="2"/>
      <c r="M477" s="2"/>
      <c r="N477" s="667"/>
      <c r="O477" s="2"/>
      <c r="P477" s="2"/>
      <c r="Q477" s="2"/>
      <c r="R477" s="3"/>
      <c r="S477" s="3"/>
      <c r="T477" s="3"/>
      <c r="U477" s="3"/>
      <c r="V477" s="3"/>
      <c r="W477" s="3"/>
      <c r="X477" s="3"/>
      <c r="Y477" s="3"/>
      <c r="Z477" s="3"/>
      <c r="AA477" s="3"/>
      <c r="AB477" s="3"/>
      <c r="AC477" s="3"/>
      <c r="AD477" s="3"/>
      <c r="AE477" s="3"/>
      <c r="AF477" s="3"/>
      <c r="AG477" s="3"/>
      <c r="AH477" s="3"/>
      <c r="AI477" s="3"/>
      <c r="AJ477" s="3"/>
      <c r="AK477" s="3"/>
      <c r="AL477" s="3"/>
    </row>
    <row r="478" ht="15.75" customHeight="1">
      <c r="A478" s="45"/>
      <c r="B478" s="2"/>
      <c r="C478" s="667"/>
      <c r="D478" s="2"/>
      <c r="E478" s="668"/>
      <c r="F478" s="2"/>
      <c r="G478" s="2"/>
      <c r="H478" s="2"/>
      <c r="I478" s="2"/>
      <c r="J478" s="2"/>
      <c r="K478" s="2"/>
      <c r="L478" s="2"/>
      <c r="M478" s="2"/>
      <c r="N478" s="667"/>
      <c r="O478" s="2"/>
      <c r="P478" s="2"/>
      <c r="Q478" s="2"/>
      <c r="R478" s="3"/>
      <c r="S478" s="3"/>
      <c r="T478" s="3"/>
      <c r="U478" s="3"/>
      <c r="V478" s="3"/>
      <c r="W478" s="3"/>
      <c r="X478" s="3"/>
      <c r="Y478" s="3"/>
      <c r="Z478" s="3"/>
      <c r="AA478" s="3"/>
      <c r="AB478" s="3"/>
      <c r="AC478" s="3"/>
      <c r="AD478" s="3"/>
      <c r="AE478" s="3"/>
      <c r="AF478" s="3"/>
      <c r="AG478" s="3"/>
      <c r="AH478" s="3"/>
      <c r="AI478" s="3"/>
      <c r="AJ478" s="3"/>
      <c r="AK478" s="3"/>
      <c r="AL478" s="3"/>
    </row>
    <row r="479" ht="15.75" customHeight="1">
      <c r="A479" s="45"/>
      <c r="B479" s="2"/>
      <c r="C479" s="667"/>
      <c r="D479" s="2"/>
      <c r="E479" s="668"/>
      <c r="F479" s="2"/>
      <c r="G479" s="2"/>
      <c r="H479" s="2"/>
      <c r="I479" s="2"/>
      <c r="J479" s="2"/>
      <c r="K479" s="2"/>
      <c r="L479" s="2"/>
      <c r="M479" s="2"/>
      <c r="N479" s="667"/>
      <c r="O479" s="2"/>
      <c r="P479" s="2"/>
      <c r="Q479" s="2"/>
      <c r="R479" s="3"/>
      <c r="S479" s="3"/>
      <c r="T479" s="3"/>
      <c r="U479" s="3"/>
      <c r="V479" s="3"/>
      <c r="W479" s="3"/>
      <c r="X479" s="3"/>
      <c r="Y479" s="3"/>
      <c r="Z479" s="3"/>
      <c r="AA479" s="3"/>
      <c r="AB479" s="3"/>
      <c r="AC479" s="3"/>
      <c r="AD479" s="3"/>
      <c r="AE479" s="3"/>
      <c r="AF479" s="3"/>
      <c r="AG479" s="3"/>
      <c r="AH479" s="3"/>
      <c r="AI479" s="3"/>
      <c r="AJ479" s="3"/>
      <c r="AK479" s="3"/>
      <c r="AL479" s="3"/>
    </row>
    <row r="480" ht="15.75" customHeight="1">
      <c r="A480" s="45"/>
      <c r="B480" s="2"/>
      <c r="C480" s="667"/>
      <c r="D480" s="2"/>
      <c r="E480" s="668"/>
      <c r="F480" s="2"/>
      <c r="G480" s="2"/>
      <c r="H480" s="2"/>
      <c r="I480" s="2"/>
      <c r="J480" s="2"/>
      <c r="K480" s="2"/>
      <c r="L480" s="2"/>
      <c r="M480" s="2"/>
      <c r="N480" s="667"/>
      <c r="O480" s="2"/>
      <c r="P480" s="2"/>
      <c r="Q480" s="2"/>
      <c r="R480" s="3"/>
      <c r="S480" s="3"/>
      <c r="T480" s="3"/>
      <c r="U480" s="3"/>
      <c r="V480" s="3"/>
      <c r="W480" s="3"/>
      <c r="X480" s="3"/>
      <c r="Y480" s="3"/>
      <c r="Z480" s="3"/>
      <c r="AA480" s="3"/>
      <c r="AB480" s="3"/>
      <c r="AC480" s="3"/>
      <c r="AD480" s="3"/>
      <c r="AE480" s="3"/>
      <c r="AF480" s="3"/>
      <c r="AG480" s="3"/>
      <c r="AH480" s="3"/>
      <c r="AI480" s="3"/>
      <c r="AJ480" s="3"/>
      <c r="AK480" s="3"/>
      <c r="AL480" s="3"/>
    </row>
    <row r="481" ht="15.75" customHeight="1">
      <c r="A481" s="45"/>
      <c r="B481" s="2"/>
      <c r="C481" s="667"/>
      <c r="D481" s="2"/>
      <c r="E481" s="668"/>
      <c r="F481" s="2"/>
      <c r="G481" s="2"/>
      <c r="H481" s="2"/>
      <c r="I481" s="2"/>
      <c r="J481" s="2"/>
      <c r="K481" s="2"/>
      <c r="L481" s="2"/>
      <c r="M481" s="2"/>
      <c r="N481" s="667"/>
      <c r="O481" s="2"/>
      <c r="P481" s="2"/>
      <c r="Q481" s="2"/>
      <c r="R481" s="3"/>
      <c r="S481" s="3"/>
      <c r="T481" s="3"/>
      <c r="U481" s="3"/>
      <c r="V481" s="3"/>
      <c r="W481" s="3"/>
      <c r="X481" s="3"/>
      <c r="Y481" s="3"/>
      <c r="Z481" s="3"/>
      <c r="AA481" s="3"/>
      <c r="AB481" s="3"/>
      <c r="AC481" s="3"/>
      <c r="AD481" s="3"/>
      <c r="AE481" s="3"/>
      <c r="AF481" s="3"/>
      <c r="AG481" s="3"/>
      <c r="AH481" s="3"/>
      <c r="AI481" s="3"/>
      <c r="AJ481" s="3"/>
      <c r="AK481" s="3"/>
      <c r="AL481" s="3"/>
    </row>
    <row r="482" ht="15.75" customHeight="1">
      <c r="A482" s="45"/>
      <c r="B482" s="2"/>
      <c r="C482" s="667"/>
      <c r="D482" s="2"/>
      <c r="E482" s="668"/>
      <c r="F482" s="2"/>
      <c r="G482" s="2"/>
      <c r="H482" s="2"/>
      <c r="I482" s="2"/>
      <c r="J482" s="2"/>
      <c r="K482" s="2"/>
      <c r="L482" s="2"/>
      <c r="M482" s="2"/>
      <c r="N482" s="667"/>
      <c r="O482" s="2"/>
      <c r="P482" s="2"/>
      <c r="Q482" s="2"/>
      <c r="R482" s="3"/>
      <c r="S482" s="3"/>
      <c r="T482" s="3"/>
      <c r="U482" s="3"/>
      <c r="V482" s="3"/>
      <c r="W482" s="3"/>
      <c r="X482" s="3"/>
      <c r="Y482" s="3"/>
      <c r="Z482" s="3"/>
      <c r="AA482" s="3"/>
      <c r="AB482" s="3"/>
      <c r="AC482" s="3"/>
      <c r="AD482" s="3"/>
      <c r="AE482" s="3"/>
      <c r="AF482" s="3"/>
      <c r="AG482" s="3"/>
      <c r="AH482" s="3"/>
      <c r="AI482" s="3"/>
      <c r="AJ482" s="3"/>
      <c r="AK482" s="3"/>
      <c r="AL482" s="3"/>
    </row>
    <row r="483" ht="15.75" customHeight="1">
      <c r="A483" s="45"/>
      <c r="B483" s="2"/>
      <c r="C483" s="667"/>
      <c r="D483" s="2"/>
      <c r="E483" s="668"/>
      <c r="F483" s="2"/>
      <c r="G483" s="2"/>
      <c r="H483" s="2"/>
      <c r="I483" s="2"/>
      <c r="J483" s="2"/>
      <c r="K483" s="2"/>
      <c r="L483" s="2"/>
      <c r="M483" s="2"/>
      <c r="N483" s="667"/>
      <c r="O483" s="2"/>
      <c r="P483" s="2"/>
      <c r="Q483" s="2"/>
      <c r="R483" s="3"/>
      <c r="S483" s="3"/>
      <c r="T483" s="3"/>
      <c r="U483" s="3"/>
      <c r="V483" s="3"/>
      <c r="W483" s="3"/>
      <c r="X483" s="3"/>
      <c r="Y483" s="3"/>
      <c r="Z483" s="3"/>
      <c r="AA483" s="3"/>
      <c r="AB483" s="3"/>
      <c r="AC483" s="3"/>
      <c r="AD483" s="3"/>
      <c r="AE483" s="3"/>
      <c r="AF483" s="3"/>
      <c r="AG483" s="3"/>
      <c r="AH483" s="3"/>
      <c r="AI483" s="3"/>
      <c r="AJ483" s="3"/>
      <c r="AK483" s="3"/>
      <c r="AL483" s="3"/>
    </row>
    <row r="484" ht="15.75" customHeight="1">
      <c r="A484" s="45"/>
      <c r="B484" s="2"/>
      <c r="C484" s="667"/>
      <c r="D484" s="2"/>
      <c r="E484" s="668"/>
      <c r="F484" s="2"/>
      <c r="G484" s="2"/>
      <c r="H484" s="2"/>
      <c r="I484" s="2"/>
      <c r="J484" s="2"/>
      <c r="K484" s="2"/>
      <c r="L484" s="2"/>
      <c r="M484" s="2"/>
      <c r="N484" s="667"/>
      <c r="O484" s="2"/>
      <c r="P484" s="2"/>
      <c r="Q484" s="2"/>
      <c r="R484" s="3"/>
      <c r="S484" s="3"/>
      <c r="T484" s="3"/>
      <c r="U484" s="3"/>
      <c r="V484" s="3"/>
      <c r="W484" s="3"/>
      <c r="X484" s="3"/>
      <c r="Y484" s="3"/>
      <c r="Z484" s="3"/>
      <c r="AA484" s="3"/>
      <c r="AB484" s="3"/>
      <c r="AC484" s="3"/>
      <c r="AD484" s="3"/>
      <c r="AE484" s="3"/>
      <c r="AF484" s="3"/>
      <c r="AG484" s="3"/>
      <c r="AH484" s="3"/>
      <c r="AI484" s="3"/>
      <c r="AJ484" s="3"/>
      <c r="AK484" s="3"/>
      <c r="AL484" s="3"/>
    </row>
    <row r="485" ht="15.75" customHeight="1">
      <c r="A485" s="45"/>
      <c r="B485" s="2"/>
      <c r="C485" s="667"/>
      <c r="D485" s="2"/>
      <c r="E485" s="668"/>
      <c r="F485" s="2"/>
      <c r="G485" s="2"/>
      <c r="H485" s="2"/>
      <c r="I485" s="2"/>
      <c r="J485" s="2"/>
      <c r="K485" s="2"/>
      <c r="L485" s="2"/>
      <c r="M485" s="2"/>
      <c r="N485" s="667"/>
      <c r="O485" s="2"/>
      <c r="P485" s="2"/>
      <c r="Q485" s="2"/>
      <c r="R485" s="3"/>
      <c r="S485" s="3"/>
      <c r="T485" s="3"/>
      <c r="U485" s="3"/>
      <c r="V485" s="3"/>
      <c r="W485" s="3"/>
      <c r="X485" s="3"/>
      <c r="Y485" s="3"/>
      <c r="Z485" s="3"/>
      <c r="AA485" s="3"/>
      <c r="AB485" s="3"/>
      <c r="AC485" s="3"/>
      <c r="AD485" s="3"/>
      <c r="AE485" s="3"/>
      <c r="AF485" s="3"/>
      <c r="AG485" s="3"/>
      <c r="AH485" s="3"/>
      <c r="AI485" s="3"/>
      <c r="AJ485" s="3"/>
      <c r="AK485" s="3"/>
      <c r="AL485" s="3"/>
    </row>
    <row r="486" ht="15.75" customHeight="1">
      <c r="A486" s="45"/>
      <c r="B486" s="2"/>
      <c r="C486" s="667"/>
      <c r="D486" s="2"/>
      <c r="E486" s="668"/>
      <c r="F486" s="2"/>
      <c r="G486" s="2"/>
      <c r="H486" s="2"/>
      <c r="I486" s="2"/>
      <c r="J486" s="2"/>
      <c r="K486" s="2"/>
      <c r="L486" s="2"/>
      <c r="M486" s="2"/>
      <c r="N486" s="667"/>
      <c r="O486" s="2"/>
      <c r="P486" s="2"/>
      <c r="Q486" s="2"/>
      <c r="R486" s="3"/>
      <c r="S486" s="3"/>
      <c r="T486" s="3"/>
      <c r="U486" s="3"/>
      <c r="V486" s="3"/>
      <c r="W486" s="3"/>
      <c r="X486" s="3"/>
      <c r="Y486" s="3"/>
      <c r="Z486" s="3"/>
      <c r="AA486" s="3"/>
      <c r="AB486" s="3"/>
      <c r="AC486" s="3"/>
      <c r="AD486" s="3"/>
      <c r="AE486" s="3"/>
      <c r="AF486" s="3"/>
      <c r="AG486" s="3"/>
      <c r="AH486" s="3"/>
      <c r="AI486" s="3"/>
      <c r="AJ486" s="3"/>
      <c r="AK486" s="3"/>
      <c r="AL486" s="3"/>
    </row>
    <row r="487" ht="15.75" customHeight="1">
      <c r="A487" s="45"/>
      <c r="B487" s="2"/>
      <c r="C487" s="667"/>
      <c r="D487" s="2"/>
      <c r="E487" s="668"/>
      <c r="F487" s="2"/>
      <c r="G487" s="2"/>
      <c r="H487" s="2"/>
      <c r="I487" s="2"/>
      <c r="J487" s="2"/>
      <c r="K487" s="2"/>
      <c r="L487" s="2"/>
      <c r="M487" s="2"/>
      <c r="N487" s="667"/>
      <c r="O487" s="2"/>
      <c r="P487" s="2"/>
      <c r="Q487" s="2"/>
      <c r="R487" s="3"/>
      <c r="S487" s="3"/>
      <c r="T487" s="3"/>
      <c r="U487" s="3"/>
      <c r="V487" s="3"/>
      <c r="W487" s="3"/>
      <c r="X487" s="3"/>
      <c r="Y487" s="3"/>
      <c r="Z487" s="3"/>
      <c r="AA487" s="3"/>
      <c r="AB487" s="3"/>
      <c r="AC487" s="3"/>
      <c r="AD487" s="3"/>
      <c r="AE487" s="3"/>
      <c r="AF487" s="3"/>
      <c r="AG487" s="3"/>
      <c r="AH487" s="3"/>
      <c r="AI487" s="3"/>
      <c r="AJ487" s="3"/>
      <c r="AK487" s="3"/>
      <c r="AL487" s="3"/>
    </row>
    <row r="488" ht="15.75" customHeight="1">
      <c r="A488" s="45"/>
      <c r="B488" s="2"/>
      <c r="C488" s="667"/>
      <c r="D488" s="2"/>
      <c r="E488" s="668"/>
      <c r="F488" s="2"/>
      <c r="G488" s="2"/>
      <c r="H488" s="2"/>
      <c r="I488" s="2"/>
      <c r="J488" s="2"/>
      <c r="K488" s="2"/>
      <c r="L488" s="2"/>
      <c r="M488" s="2"/>
      <c r="N488" s="667"/>
      <c r="O488" s="2"/>
      <c r="P488" s="2"/>
      <c r="Q488" s="2"/>
      <c r="R488" s="3"/>
      <c r="S488" s="3"/>
      <c r="T488" s="3"/>
      <c r="U488" s="3"/>
      <c r="V488" s="3"/>
      <c r="W488" s="3"/>
      <c r="X488" s="3"/>
      <c r="Y488" s="3"/>
      <c r="Z488" s="3"/>
      <c r="AA488" s="3"/>
      <c r="AB488" s="3"/>
      <c r="AC488" s="3"/>
      <c r="AD488" s="3"/>
      <c r="AE488" s="3"/>
      <c r="AF488" s="3"/>
      <c r="AG488" s="3"/>
      <c r="AH488" s="3"/>
      <c r="AI488" s="3"/>
      <c r="AJ488" s="3"/>
      <c r="AK488" s="3"/>
      <c r="AL488" s="3"/>
    </row>
    <row r="489" ht="15.75" customHeight="1">
      <c r="A489" s="45"/>
      <c r="B489" s="2"/>
      <c r="C489" s="667"/>
      <c r="D489" s="2"/>
      <c r="E489" s="668"/>
      <c r="F489" s="2"/>
      <c r="G489" s="2"/>
      <c r="H489" s="2"/>
      <c r="I489" s="2"/>
      <c r="J489" s="2"/>
      <c r="K489" s="2"/>
      <c r="L489" s="2"/>
      <c r="M489" s="2"/>
      <c r="N489" s="667"/>
      <c r="O489" s="2"/>
      <c r="P489" s="2"/>
      <c r="Q489" s="2"/>
      <c r="R489" s="3"/>
      <c r="S489" s="3"/>
      <c r="T489" s="3"/>
      <c r="U489" s="3"/>
      <c r="V489" s="3"/>
      <c r="W489" s="3"/>
      <c r="X489" s="3"/>
      <c r="Y489" s="3"/>
      <c r="Z489" s="3"/>
      <c r="AA489" s="3"/>
      <c r="AB489" s="3"/>
      <c r="AC489" s="3"/>
      <c r="AD489" s="3"/>
      <c r="AE489" s="3"/>
      <c r="AF489" s="3"/>
      <c r="AG489" s="3"/>
      <c r="AH489" s="3"/>
      <c r="AI489" s="3"/>
      <c r="AJ489" s="3"/>
      <c r="AK489" s="3"/>
      <c r="AL489" s="3"/>
    </row>
    <row r="490" ht="15.75" customHeight="1">
      <c r="A490" s="45"/>
      <c r="B490" s="2"/>
      <c r="C490" s="667"/>
      <c r="D490" s="2"/>
      <c r="E490" s="668"/>
      <c r="F490" s="2"/>
      <c r="G490" s="2"/>
      <c r="H490" s="2"/>
      <c r="I490" s="2"/>
      <c r="J490" s="2"/>
      <c r="K490" s="2"/>
      <c r="L490" s="2"/>
      <c r="M490" s="2"/>
      <c r="N490" s="667"/>
      <c r="O490" s="2"/>
      <c r="P490" s="2"/>
      <c r="Q490" s="2"/>
      <c r="R490" s="3"/>
      <c r="S490" s="3"/>
      <c r="T490" s="3"/>
      <c r="U490" s="3"/>
      <c r="V490" s="3"/>
      <c r="W490" s="3"/>
      <c r="X490" s="3"/>
      <c r="Y490" s="3"/>
      <c r="Z490" s="3"/>
      <c r="AA490" s="3"/>
      <c r="AB490" s="3"/>
      <c r="AC490" s="3"/>
      <c r="AD490" s="3"/>
      <c r="AE490" s="3"/>
      <c r="AF490" s="3"/>
      <c r="AG490" s="3"/>
      <c r="AH490" s="3"/>
      <c r="AI490" s="3"/>
      <c r="AJ490" s="3"/>
      <c r="AK490" s="3"/>
      <c r="AL490" s="3"/>
    </row>
    <row r="491" ht="15.75" customHeight="1">
      <c r="A491" s="45"/>
      <c r="B491" s="2"/>
      <c r="C491" s="667"/>
      <c r="D491" s="2"/>
      <c r="E491" s="668"/>
      <c r="F491" s="2"/>
      <c r="G491" s="2"/>
      <c r="H491" s="2"/>
      <c r="I491" s="2"/>
      <c r="J491" s="2"/>
      <c r="K491" s="2"/>
      <c r="L491" s="2"/>
      <c r="M491" s="2"/>
      <c r="N491" s="667"/>
      <c r="O491" s="2"/>
      <c r="P491" s="2"/>
      <c r="Q491" s="2"/>
      <c r="R491" s="3"/>
      <c r="S491" s="3"/>
      <c r="T491" s="3"/>
      <c r="U491" s="3"/>
      <c r="V491" s="3"/>
      <c r="W491" s="3"/>
      <c r="X491" s="3"/>
      <c r="Y491" s="3"/>
      <c r="Z491" s="3"/>
      <c r="AA491" s="3"/>
      <c r="AB491" s="3"/>
      <c r="AC491" s="3"/>
      <c r="AD491" s="3"/>
      <c r="AE491" s="3"/>
      <c r="AF491" s="3"/>
      <c r="AG491" s="3"/>
      <c r="AH491" s="3"/>
      <c r="AI491" s="3"/>
      <c r="AJ491" s="3"/>
      <c r="AK491" s="3"/>
      <c r="AL491" s="3"/>
    </row>
    <row r="492" ht="15.75" customHeight="1">
      <c r="A492" s="45"/>
      <c r="B492" s="2"/>
      <c r="C492" s="667"/>
      <c r="D492" s="2"/>
      <c r="E492" s="668"/>
      <c r="F492" s="2"/>
      <c r="G492" s="2"/>
      <c r="H492" s="2"/>
      <c r="I492" s="2"/>
      <c r="J492" s="2"/>
      <c r="K492" s="2"/>
      <c r="L492" s="2"/>
      <c r="M492" s="2"/>
      <c r="N492" s="667"/>
      <c r="O492" s="2"/>
      <c r="P492" s="2"/>
      <c r="Q492" s="2"/>
      <c r="R492" s="3"/>
      <c r="S492" s="3"/>
      <c r="T492" s="3"/>
      <c r="U492" s="3"/>
      <c r="V492" s="3"/>
      <c r="W492" s="3"/>
      <c r="X492" s="3"/>
      <c r="Y492" s="3"/>
      <c r="Z492" s="3"/>
      <c r="AA492" s="3"/>
      <c r="AB492" s="3"/>
      <c r="AC492" s="3"/>
      <c r="AD492" s="3"/>
      <c r="AE492" s="3"/>
      <c r="AF492" s="3"/>
      <c r="AG492" s="3"/>
      <c r="AH492" s="3"/>
      <c r="AI492" s="3"/>
      <c r="AJ492" s="3"/>
      <c r="AK492" s="3"/>
      <c r="AL492" s="3"/>
    </row>
    <row r="493" ht="15.75" customHeight="1">
      <c r="A493" s="45"/>
      <c r="B493" s="2"/>
      <c r="C493" s="667"/>
      <c r="D493" s="2"/>
      <c r="E493" s="668"/>
      <c r="F493" s="2"/>
      <c r="G493" s="2"/>
      <c r="H493" s="2"/>
      <c r="I493" s="2"/>
      <c r="J493" s="2"/>
      <c r="K493" s="2"/>
      <c r="L493" s="2"/>
      <c r="M493" s="2"/>
      <c r="N493" s="667"/>
      <c r="O493" s="2"/>
      <c r="P493" s="2"/>
      <c r="Q493" s="2"/>
      <c r="R493" s="3"/>
      <c r="S493" s="3"/>
      <c r="T493" s="3"/>
      <c r="U493" s="3"/>
      <c r="V493" s="3"/>
      <c r="W493" s="3"/>
      <c r="X493" s="3"/>
      <c r="Y493" s="3"/>
      <c r="Z493" s="3"/>
      <c r="AA493" s="3"/>
      <c r="AB493" s="3"/>
      <c r="AC493" s="3"/>
      <c r="AD493" s="3"/>
      <c r="AE493" s="3"/>
      <c r="AF493" s="3"/>
      <c r="AG493" s="3"/>
      <c r="AH493" s="3"/>
      <c r="AI493" s="3"/>
      <c r="AJ493" s="3"/>
      <c r="AK493" s="3"/>
      <c r="AL493" s="3"/>
    </row>
    <row r="494" ht="15.75" customHeight="1">
      <c r="A494" s="45"/>
      <c r="B494" s="2"/>
      <c r="C494" s="667"/>
      <c r="D494" s="2"/>
      <c r="E494" s="668"/>
      <c r="F494" s="2"/>
      <c r="G494" s="2"/>
      <c r="H494" s="2"/>
      <c r="I494" s="2"/>
      <c r="J494" s="2"/>
      <c r="K494" s="2"/>
      <c r="L494" s="2"/>
      <c r="M494" s="2"/>
      <c r="N494" s="667"/>
      <c r="O494" s="2"/>
      <c r="P494" s="2"/>
      <c r="Q494" s="2"/>
      <c r="R494" s="3"/>
      <c r="S494" s="3"/>
      <c r="T494" s="3"/>
      <c r="U494" s="3"/>
      <c r="V494" s="3"/>
      <c r="W494" s="3"/>
      <c r="X494" s="3"/>
      <c r="Y494" s="3"/>
      <c r="Z494" s="3"/>
      <c r="AA494" s="3"/>
      <c r="AB494" s="3"/>
      <c r="AC494" s="3"/>
      <c r="AD494" s="3"/>
      <c r="AE494" s="3"/>
      <c r="AF494" s="3"/>
      <c r="AG494" s="3"/>
      <c r="AH494" s="3"/>
      <c r="AI494" s="3"/>
      <c r="AJ494" s="3"/>
      <c r="AK494" s="3"/>
      <c r="AL494" s="3"/>
    </row>
    <row r="495" ht="15.75" customHeight="1">
      <c r="A495" s="45"/>
      <c r="B495" s="2"/>
      <c r="C495" s="667"/>
      <c r="D495" s="2"/>
      <c r="E495" s="668"/>
      <c r="F495" s="2"/>
      <c r="G495" s="2"/>
      <c r="H495" s="2"/>
      <c r="I495" s="2"/>
      <c r="J495" s="2"/>
      <c r="K495" s="2"/>
      <c r="L495" s="2"/>
      <c r="M495" s="2"/>
      <c r="N495" s="667"/>
      <c r="O495" s="2"/>
      <c r="P495" s="2"/>
      <c r="Q495" s="2"/>
      <c r="R495" s="3"/>
      <c r="S495" s="3"/>
      <c r="T495" s="3"/>
      <c r="U495" s="3"/>
      <c r="V495" s="3"/>
      <c r="W495" s="3"/>
      <c r="X495" s="3"/>
      <c r="Y495" s="3"/>
      <c r="Z495" s="3"/>
      <c r="AA495" s="3"/>
      <c r="AB495" s="3"/>
      <c r="AC495" s="3"/>
      <c r="AD495" s="3"/>
      <c r="AE495" s="3"/>
      <c r="AF495" s="3"/>
      <c r="AG495" s="3"/>
      <c r="AH495" s="3"/>
      <c r="AI495" s="3"/>
      <c r="AJ495" s="3"/>
      <c r="AK495" s="3"/>
      <c r="AL495" s="3"/>
    </row>
    <row r="496" ht="15.75" customHeight="1">
      <c r="A496" s="45"/>
      <c r="B496" s="2"/>
      <c r="C496" s="667"/>
      <c r="D496" s="2"/>
      <c r="E496" s="668"/>
      <c r="F496" s="2"/>
      <c r="G496" s="2"/>
      <c r="H496" s="2"/>
      <c r="I496" s="2"/>
      <c r="J496" s="2"/>
      <c r="K496" s="2"/>
      <c r="L496" s="2"/>
      <c r="M496" s="2"/>
      <c r="N496" s="667"/>
      <c r="O496" s="2"/>
      <c r="P496" s="2"/>
      <c r="Q496" s="2"/>
      <c r="R496" s="3"/>
      <c r="S496" s="3"/>
      <c r="T496" s="3"/>
      <c r="U496" s="3"/>
      <c r="V496" s="3"/>
      <c r="W496" s="3"/>
      <c r="X496" s="3"/>
      <c r="Y496" s="3"/>
      <c r="Z496" s="3"/>
      <c r="AA496" s="3"/>
      <c r="AB496" s="3"/>
      <c r="AC496" s="3"/>
      <c r="AD496" s="3"/>
      <c r="AE496" s="3"/>
      <c r="AF496" s="3"/>
      <c r="AG496" s="3"/>
      <c r="AH496" s="3"/>
      <c r="AI496" s="3"/>
      <c r="AJ496" s="3"/>
      <c r="AK496" s="3"/>
      <c r="AL496" s="3"/>
    </row>
    <row r="497" ht="15.75" customHeight="1">
      <c r="A497" s="45"/>
      <c r="B497" s="2"/>
      <c r="C497" s="667"/>
      <c r="D497" s="2"/>
      <c r="E497" s="668"/>
      <c r="F497" s="2"/>
      <c r="G497" s="2"/>
      <c r="H497" s="2"/>
      <c r="I497" s="2"/>
      <c r="J497" s="2"/>
      <c r="K497" s="2"/>
      <c r="L497" s="2"/>
      <c r="M497" s="2"/>
      <c r="N497" s="667"/>
      <c r="O497" s="2"/>
      <c r="P497" s="2"/>
      <c r="Q497" s="2"/>
      <c r="R497" s="3"/>
      <c r="S497" s="3"/>
      <c r="T497" s="3"/>
      <c r="U497" s="3"/>
      <c r="V497" s="3"/>
      <c r="W497" s="3"/>
      <c r="X497" s="3"/>
      <c r="Y497" s="3"/>
      <c r="Z497" s="3"/>
      <c r="AA497" s="3"/>
      <c r="AB497" s="3"/>
      <c r="AC497" s="3"/>
      <c r="AD497" s="3"/>
      <c r="AE497" s="3"/>
      <c r="AF497" s="3"/>
      <c r="AG497" s="3"/>
      <c r="AH497" s="3"/>
      <c r="AI497" s="3"/>
      <c r="AJ497" s="3"/>
      <c r="AK497" s="3"/>
      <c r="AL497" s="3"/>
    </row>
    <row r="498" ht="15.75" customHeight="1">
      <c r="A498" s="45"/>
      <c r="B498" s="2"/>
      <c r="C498" s="667"/>
      <c r="D498" s="2"/>
      <c r="E498" s="668"/>
      <c r="F498" s="2"/>
      <c r="G498" s="2"/>
      <c r="H498" s="2"/>
      <c r="I498" s="2"/>
      <c r="J498" s="2"/>
      <c r="K498" s="2"/>
      <c r="L498" s="2"/>
      <c r="M498" s="2"/>
      <c r="N498" s="667"/>
      <c r="O498" s="2"/>
      <c r="P498" s="2"/>
      <c r="Q498" s="2"/>
      <c r="R498" s="3"/>
      <c r="S498" s="3"/>
      <c r="T498" s="3"/>
      <c r="U498" s="3"/>
      <c r="V498" s="3"/>
      <c r="W498" s="3"/>
      <c r="X498" s="3"/>
      <c r="Y498" s="3"/>
      <c r="Z498" s="3"/>
      <c r="AA498" s="3"/>
      <c r="AB498" s="3"/>
      <c r="AC498" s="3"/>
      <c r="AD498" s="3"/>
      <c r="AE498" s="3"/>
      <c r="AF498" s="3"/>
      <c r="AG498" s="3"/>
      <c r="AH498" s="3"/>
      <c r="AI498" s="3"/>
      <c r="AJ498" s="3"/>
      <c r="AK498" s="3"/>
      <c r="AL498" s="3"/>
    </row>
    <row r="499" ht="15.75" customHeight="1">
      <c r="A499" s="45"/>
      <c r="B499" s="2"/>
      <c r="C499" s="667"/>
      <c r="D499" s="2"/>
      <c r="E499" s="668"/>
      <c r="F499" s="2"/>
      <c r="G499" s="2"/>
      <c r="H499" s="2"/>
      <c r="I499" s="2"/>
      <c r="J499" s="2"/>
      <c r="K499" s="2"/>
      <c r="L499" s="2"/>
      <c r="M499" s="2"/>
      <c r="N499" s="667"/>
      <c r="O499" s="2"/>
      <c r="P499" s="2"/>
      <c r="Q499" s="2"/>
      <c r="R499" s="3"/>
      <c r="S499" s="3"/>
      <c r="T499" s="3"/>
      <c r="U499" s="3"/>
      <c r="V499" s="3"/>
      <c r="W499" s="3"/>
      <c r="X499" s="3"/>
      <c r="Y499" s="3"/>
      <c r="Z499" s="3"/>
      <c r="AA499" s="3"/>
      <c r="AB499" s="3"/>
      <c r="AC499" s="3"/>
      <c r="AD499" s="3"/>
      <c r="AE499" s="3"/>
      <c r="AF499" s="3"/>
      <c r="AG499" s="3"/>
      <c r="AH499" s="3"/>
      <c r="AI499" s="3"/>
      <c r="AJ499" s="3"/>
      <c r="AK499" s="3"/>
      <c r="AL499" s="3"/>
    </row>
    <row r="500" ht="15.75" customHeight="1">
      <c r="A500" s="45"/>
      <c r="B500" s="2"/>
      <c r="C500" s="667"/>
      <c r="D500" s="2"/>
      <c r="E500" s="668"/>
      <c r="F500" s="2"/>
      <c r="G500" s="2"/>
      <c r="H500" s="2"/>
      <c r="I500" s="2"/>
      <c r="J500" s="2"/>
      <c r="K500" s="2"/>
      <c r="L500" s="2"/>
      <c r="M500" s="2"/>
      <c r="N500" s="667"/>
      <c r="O500" s="2"/>
      <c r="P500" s="2"/>
      <c r="Q500" s="2"/>
      <c r="R500" s="3"/>
      <c r="S500" s="3"/>
      <c r="T500" s="3"/>
      <c r="U500" s="3"/>
      <c r="V500" s="3"/>
      <c r="W500" s="3"/>
      <c r="X500" s="3"/>
      <c r="Y500" s="3"/>
      <c r="Z500" s="3"/>
      <c r="AA500" s="3"/>
      <c r="AB500" s="3"/>
      <c r="AC500" s="3"/>
      <c r="AD500" s="3"/>
      <c r="AE500" s="3"/>
      <c r="AF500" s="3"/>
      <c r="AG500" s="3"/>
      <c r="AH500" s="3"/>
      <c r="AI500" s="3"/>
      <c r="AJ500" s="3"/>
      <c r="AK500" s="3"/>
      <c r="AL500" s="3"/>
    </row>
    <row r="501" ht="15.75" customHeight="1">
      <c r="A501" s="45"/>
      <c r="B501" s="2"/>
      <c r="C501" s="667"/>
      <c r="D501" s="2"/>
      <c r="E501" s="668"/>
      <c r="F501" s="2"/>
      <c r="G501" s="2"/>
      <c r="H501" s="2"/>
      <c r="I501" s="2"/>
      <c r="J501" s="2"/>
      <c r="K501" s="2"/>
      <c r="L501" s="2"/>
      <c r="M501" s="2"/>
      <c r="N501" s="667"/>
      <c r="O501" s="2"/>
      <c r="P501" s="2"/>
      <c r="Q501" s="2"/>
      <c r="R501" s="3"/>
      <c r="S501" s="3"/>
      <c r="T501" s="3"/>
      <c r="U501" s="3"/>
      <c r="V501" s="3"/>
      <c r="W501" s="3"/>
      <c r="X501" s="3"/>
      <c r="Y501" s="3"/>
      <c r="Z501" s="3"/>
      <c r="AA501" s="3"/>
      <c r="AB501" s="3"/>
      <c r="AC501" s="3"/>
      <c r="AD501" s="3"/>
      <c r="AE501" s="3"/>
      <c r="AF501" s="3"/>
      <c r="AG501" s="3"/>
      <c r="AH501" s="3"/>
      <c r="AI501" s="3"/>
      <c r="AJ501" s="3"/>
      <c r="AK501" s="3"/>
      <c r="AL501" s="3"/>
    </row>
    <row r="502" ht="15.75" customHeight="1">
      <c r="A502" s="45"/>
      <c r="B502" s="2"/>
      <c r="C502" s="667"/>
      <c r="D502" s="2"/>
      <c r="E502" s="668"/>
      <c r="F502" s="2"/>
      <c r="G502" s="2"/>
      <c r="H502" s="2"/>
      <c r="I502" s="2"/>
      <c r="J502" s="2"/>
      <c r="K502" s="2"/>
      <c r="L502" s="2"/>
      <c r="M502" s="2"/>
      <c r="N502" s="667"/>
      <c r="O502" s="2"/>
      <c r="P502" s="2"/>
      <c r="Q502" s="2"/>
      <c r="R502" s="3"/>
      <c r="S502" s="3"/>
      <c r="T502" s="3"/>
      <c r="U502" s="3"/>
      <c r="V502" s="3"/>
      <c r="W502" s="3"/>
      <c r="X502" s="3"/>
      <c r="Y502" s="3"/>
      <c r="Z502" s="3"/>
      <c r="AA502" s="3"/>
      <c r="AB502" s="3"/>
      <c r="AC502" s="3"/>
      <c r="AD502" s="3"/>
      <c r="AE502" s="3"/>
      <c r="AF502" s="3"/>
      <c r="AG502" s="3"/>
      <c r="AH502" s="3"/>
      <c r="AI502" s="3"/>
      <c r="AJ502" s="3"/>
      <c r="AK502" s="3"/>
      <c r="AL502" s="3"/>
    </row>
    <row r="503" ht="15.75" customHeight="1">
      <c r="A503" s="45"/>
      <c r="B503" s="2"/>
      <c r="C503" s="667"/>
      <c r="D503" s="2"/>
      <c r="E503" s="668"/>
      <c r="F503" s="2"/>
      <c r="G503" s="2"/>
      <c r="H503" s="2"/>
      <c r="I503" s="2"/>
      <c r="J503" s="2"/>
      <c r="K503" s="2"/>
      <c r="L503" s="2"/>
      <c r="M503" s="2"/>
      <c r="N503" s="667"/>
      <c r="O503" s="2"/>
      <c r="P503" s="2"/>
      <c r="Q503" s="2"/>
      <c r="R503" s="3"/>
      <c r="S503" s="3"/>
      <c r="T503" s="3"/>
      <c r="U503" s="3"/>
      <c r="V503" s="3"/>
      <c r="W503" s="3"/>
      <c r="X503" s="3"/>
      <c r="Y503" s="3"/>
      <c r="Z503" s="3"/>
      <c r="AA503" s="3"/>
      <c r="AB503" s="3"/>
      <c r="AC503" s="3"/>
      <c r="AD503" s="3"/>
      <c r="AE503" s="3"/>
      <c r="AF503" s="3"/>
      <c r="AG503" s="3"/>
      <c r="AH503" s="3"/>
      <c r="AI503" s="3"/>
      <c r="AJ503" s="3"/>
      <c r="AK503" s="3"/>
      <c r="AL503" s="3"/>
    </row>
    <row r="504" ht="15.75" customHeight="1">
      <c r="A504" s="45"/>
      <c r="B504" s="2"/>
      <c r="C504" s="667"/>
      <c r="D504" s="2"/>
      <c r="E504" s="668"/>
      <c r="F504" s="2"/>
      <c r="G504" s="2"/>
      <c r="H504" s="2"/>
      <c r="I504" s="2"/>
      <c r="J504" s="2"/>
      <c r="K504" s="2"/>
      <c r="L504" s="2"/>
      <c r="M504" s="2"/>
      <c r="N504" s="667"/>
      <c r="O504" s="2"/>
      <c r="P504" s="2"/>
      <c r="Q504" s="2"/>
      <c r="R504" s="3"/>
      <c r="S504" s="3"/>
      <c r="T504" s="3"/>
      <c r="U504" s="3"/>
      <c r="V504" s="3"/>
      <c r="W504" s="3"/>
      <c r="X504" s="3"/>
      <c r="Y504" s="3"/>
      <c r="Z504" s="3"/>
      <c r="AA504" s="3"/>
      <c r="AB504" s="3"/>
      <c r="AC504" s="3"/>
      <c r="AD504" s="3"/>
      <c r="AE504" s="3"/>
      <c r="AF504" s="3"/>
      <c r="AG504" s="3"/>
      <c r="AH504" s="3"/>
      <c r="AI504" s="3"/>
      <c r="AJ504" s="3"/>
      <c r="AK504" s="3"/>
      <c r="AL504" s="3"/>
    </row>
    <row r="505" ht="15.75" customHeight="1">
      <c r="A505" s="45"/>
      <c r="B505" s="2"/>
      <c r="C505" s="667"/>
      <c r="D505" s="2"/>
      <c r="E505" s="668"/>
      <c r="F505" s="2"/>
      <c r="G505" s="2"/>
      <c r="H505" s="2"/>
      <c r="I505" s="2"/>
      <c r="J505" s="2"/>
      <c r="K505" s="2"/>
      <c r="L505" s="2"/>
      <c r="M505" s="2"/>
      <c r="N505" s="667"/>
      <c r="O505" s="2"/>
      <c r="P505" s="2"/>
      <c r="Q505" s="2"/>
      <c r="R505" s="3"/>
      <c r="S505" s="3"/>
      <c r="T505" s="3"/>
      <c r="U505" s="3"/>
      <c r="V505" s="3"/>
      <c r="W505" s="3"/>
      <c r="X505" s="3"/>
      <c r="Y505" s="3"/>
      <c r="Z505" s="3"/>
      <c r="AA505" s="3"/>
      <c r="AB505" s="3"/>
      <c r="AC505" s="3"/>
      <c r="AD505" s="3"/>
      <c r="AE505" s="3"/>
      <c r="AF505" s="3"/>
      <c r="AG505" s="3"/>
      <c r="AH505" s="3"/>
      <c r="AI505" s="3"/>
      <c r="AJ505" s="3"/>
      <c r="AK505" s="3"/>
      <c r="AL505" s="3"/>
    </row>
    <row r="506" ht="15.75" customHeight="1">
      <c r="A506" s="45"/>
      <c r="B506" s="2"/>
      <c r="C506" s="667"/>
      <c r="D506" s="2"/>
      <c r="E506" s="668"/>
      <c r="F506" s="2"/>
      <c r="G506" s="2"/>
      <c r="H506" s="2"/>
      <c r="I506" s="2"/>
      <c r="J506" s="2"/>
      <c r="K506" s="2"/>
      <c r="L506" s="2"/>
      <c r="M506" s="2"/>
      <c r="N506" s="667"/>
      <c r="O506" s="2"/>
      <c r="P506" s="2"/>
      <c r="Q506" s="2"/>
      <c r="R506" s="3"/>
      <c r="S506" s="3"/>
      <c r="T506" s="3"/>
      <c r="U506" s="3"/>
      <c r="V506" s="3"/>
      <c r="W506" s="3"/>
      <c r="X506" s="3"/>
      <c r="Y506" s="3"/>
      <c r="Z506" s="3"/>
      <c r="AA506" s="3"/>
      <c r="AB506" s="3"/>
      <c r="AC506" s="3"/>
      <c r="AD506" s="3"/>
      <c r="AE506" s="3"/>
      <c r="AF506" s="3"/>
      <c r="AG506" s="3"/>
      <c r="AH506" s="3"/>
      <c r="AI506" s="3"/>
      <c r="AJ506" s="3"/>
      <c r="AK506" s="3"/>
      <c r="AL506" s="3"/>
    </row>
    <row r="507" ht="15.75" customHeight="1">
      <c r="A507" s="45"/>
      <c r="B507" s="2"/>
      <c r="C507" s="667"/>
      <c r="D507" s="2"/>
      <c r="E507" s="668"/>
      <c r="F507" s="2"/>
      <c r="G507" s="2"/>
      <c r="H507" s="2"/>
      <c r="I507" s="2"/>
      <c r="J507" s="2"/>
      <c r="K507" s="2"/>
      <c r="L507" s="2"/>
      <c r="M507" s="2"/>
      <c r="N507" s="667"/>
      <c r="O507" s="2"/>
      <c r="P507" s="2"/>
      <c r="Q507" s="2"/>
      <c r="R507" s="3"/>
      <c r="S507" s="3"/>
      <c r="T507" s="3"/>
      <c r="U507" s="3"/>
      <c r="V507" s="3"/>
      <c r="W507" s="3"/>
      <c r="X507" s="3"/>
      <c r="Y507" s="3"/>
      <c r="Z507" s="3"/>
      <c r="AA507" s="3"/>
      <c r="AB507" s="3"/>
      <c r="AC507" s="3"/>
      <c r="AD507" s="3"/>
      <c r="AE507" s="3"/>
      <c r="AF507" s="3"/>
      <c r="AG507" s="3"/>
      <c r="AH507" s="3"/>
      <c r="AI507" s="3"/>
      <c r="AJ507" s="3"/>
      <c r="AK507" s="3"/>
      <c r="AL507" s="3"/>
    </row>
    <row r="508" ht="15.75" customHeight="1">
      <c r="A508" s="45"/>
      <c r="B508" s="2"/>
      <c r="C508" s="667"/>
      <c r="D508" s="2"/>
      <c r="E508" s="668"/>
      <c r="F508" s="2"/>
      <c r="G508" s="2"/>
      <c r="H508" s="2"/>
      <c r="I508" s="2"/>
      <c r="J508" s="2"/>
      <c r="K508" s="2"/>
      <c r="L508" s="2"/>
      <c r="M508" s="2"/>
      <c r="N508" s="667"/>
      <c r="O508" s="2"/>
      <c r="P508" s="2"/>
      <c r="Q508" s="2"/>
      <c r="R508" s="3"/>
      <c r="S508" s="3"/>
      <c r="T508" s="3"/>
      <c r="U508" s="3"/>
      <c r="V508" s="3"/>
      <c r="W508" s="3"/>
      <c r="X508" s="3"/>
      <c r="Y508" s="3"/>
      <c r="Z508" s="3"/>
      <c r="AA508" s="3"/>
      <c r="AB508" s="3"/>
      <c r="AC508" s="3"/>
      <c r="AD508" s="3"/>
      <c r="AE508" s="3"/>
      <c r="AF508" s="3"/>
      <c r="AG508" s="3"/>
      <c r="AH508" s="3"/>
      <c r="AI508" s="3"/>
      <c r="AJ508" s="3"/>
      <c r="AK508" s="3"/>
      <c r="AL508" s="3"/>
    </row>
    <row r="509" ht="15.75" customHeight="1">
      <c r="A509" s="45"/>
      <c r="B509" s="2"/>
      <c r="C509" s="667"/>
      <c r="D509" s="2"/>
      <c r="E509" s="668"/>
      <c r="F509" s="2"/>
      <c r="G509" s="2"/>
      <c r="H509" s="2"/>
      <c r="I509" s="2"/>
      <c r="J509" s="2"/>
      <c r="K509" s="2"/>
      <c r="L509" s="2"/>
      <c r="M509" s="2"/>
      <c r="N509" s="667"/>
      <c r="O509" s="2"/>
      <c r="P509" s="2"/>
      <c r="Q509" s="2"/>
      <c r="R509" s="3"/>
      <c r="S509" s="3"/>
      <c r="T509" s="3"/>
      <c r="U509" s="3"/>
      <c r="V509" s="3"/>
      <c r="W509" s="3"/>
      <c r="X509" s="3"/>
      <c r="Y509" s="3"/>
      <c r="Z509" s="3"/>
      <c r="AA509" s="3"/>
      <c r="AB509" s="3"/>
      <c r="AC509" s="3"/>
      <c r="AD509" s="3"/>
      <c r="AE509" s="3"/>
      <c r="AF509" s="3"/>
      <c r="AG509" s="3"/>
      <c r="AH509" s="3"/>
      <c r="AI509" s="3"/>
      <c r="AJ509" s="3"/>
      <c r="AK509" s="3"/>
      <c r="AL509" s="3"/>
    </row>
    <row r="510" ht="15.75" customHeight="1">
      <c r="A510" s="45"/>
      <c r="B510" s="2"/>
      <c r="C510" s="667"/>
      <c r="D510" s="2"/>
      <c r="E510" s="668"/>
      <c r="F510" s="2"/>
      <c r="G510" s="2"/>
      <c r="H510" s="2"/>
      <c r="I510" s="2"/>
      <c r="J510" s="2"/>
      <c r="K510" s="2"/>
      <c r="L510" s="2"/>
      <c r="M510" s="2"/>
      <c r="N510" s="667"/>
      <c r="O510" s="2"/>
      <c r="P510" s="2"/>
      <c r="Q510" s="2"/>
      <c r="R510" s="3"/>
      <c r="S510" s="3"/>
      <c r="T510" s="3"/>
      <c r="U510" s="3"/>
      <c r="V510" s="3"/>
      <c r="W510" s="3"/>
      <c r="X510" s="3"/>
      <c r="Y510" s="3"/>
      <c r="Z510" s="3"/>
      <c r="AA510" s="3"/>
      <c r="AB510" s="3"/>
      <c r="AC510" s="3"/>
      <c r="AD510" s="3"/>
      <c r="AE510" s="3"/>
      <c r="AF510" s="3"/>
      <c r="AG510" s="3"/>
      <c r="AH510" s="3"/>
      <c r="AI510" s="3"/>
      <c r="AJ510" s="3"/>
      <c r="AK510" s="3"/>
      <c r="AL510" s="3"/>
    </row>
    <row r="511" ht="15.75" customHeight="1">
      <c r="A511" s="45"/>
      <c r="B511" s="2"/>
      <c r="C511" s="667"/>
      <c r="D511" s="2"/>
      <c r="E511" s="668"/>
      <c r="F511" s="2"/>
      <c r="G511" s="2"/>
      <c r="H511" s="2"/>
      <c r="I511" s="2"/>
      <c r="J511" s="2"/>
      <c r="K511" s="2"/>
      <c r="L511" s="2"/>
      <c r="M511" s="2"/>
      <c r="N511" s="667"/>
      <c r="O511" s="2"/>
      <c r="P511" s="2"/>
      <c r="Q511" s="2"/>
      <c r="R511" s="3"/>
      <c r="S511" s="3"/>
      <c r="T511" s="3"/>
      <c r="U511" s="3"/>
      <c r="V511" s="3"/>
      <c r="W511" s="3"/>
      <c r="X511" s="3"/>
      <c r="Y511" s="3"/>
      <c r="Z511" s="3"/>
      <c r="AA511" s="3"/>
      <c r="AB511" s="3"/>
      <c r="AC511" s="3"/>
      <c r="AD511" s="3"/>
      <c r="AE511" s="3"/>
      <c r="AF511" s="3"/>
      <c r="AG511" s="3"/>
      <c r="AH511" s="3"/>
      <c r="AI511" s="3"/>
      <c r="AJ511" s="3"/>
      <c r="AK511" s="3"/>
      <c r="AL511" s="3"/>
    </row>
    <row r="512" ht="15.75" customHeight="1">
      <c r="A512" s="45"/>
      <c r="B512" s="2"/>
      <c r="C512" s="667"/>
      <c r="D512" s="2"/>
      <c r="E512" s="668"/>
      <c r="F512" s="2"/>
      <c r="G512" s="2"/>
      <c r="H512" s="2"/>
      <c r="I512" s="2"/>
      <c r="J512" s="2"/>
      <c r="K512" s="2"/>
      <c r="L512" s="2"/>
      <c r="M512" s="2"/>
      <c r="N512" s="667"/>
      <c r="O512" s="2"/>
      <c r="P512" s="2"/>
      <c r="Q512" s="2"/>
      <c r="R512" s="3"/>
      <c r="S512" s="3"/>
      <c r="T512" s="3"/>
      <c r="U512" s="3"/>
      <c r="V512" s="3"/>
      <c r="W512" s="3"/>
      <c r="X512" s="3"/>
      <c r="Y512" s="3"/>
      <c r="Z512" s="3"/>
      <c r="AA512" s="3"/>
      <c r="AB512" s="3"/>
      <c r="AC512" s="3"/>
      <c r="AD512" s="3"/>
      <c r="AE512" s="3"/>
      <c r="AF512" s="3"/>
      <c r="AG512" s="3"/>
      <c r="AH512" s="3"/>
      <c r="AI512" s="3"/>
      <c r="AJ512" s="3"/>
      <c r="AK512" s="3"/>
      <c r="AL512" s="3"/>
    </row>
    <row r="513" ht="15.75" customHeight="1">
      <c r="A513" s="45"/>
      <c r="B513" s="2"/>
      <c r="C513" s="667"/>
      <c r="D513" s="2"/>
      <c r="E513" s="668"/>
      <c r="F513" s="2"/>
      <c r="G513" s="2"/>
      <c r="H513" s="2"/>
      <c r="I513" s="2"/>
      <c r="J513" s="2"/>
      <c r="K513" s="2"/>
      <c r="L513" s="2"/>
      <c r="M513" s="2"/>
      <c r="N513" s="667"/>
      <c r="O513" s="2"/>
      <c r="P513" s="2"/>
      <c r="Q513" s="2"/>
      <c r="R513" s="3"/>
      <c r="S513" s="3"/>
      <c r="T513" s="3"/>
      <c r="U513" s="3"/>
      <c r="V513" s="3"/>
      <c r="W513" s="3"/>
      <c r="X513" s="3"/>
      <c r="Y513" s="3"/>
      <c r="Z513" s="3"/>
      <c r="AA513" s="3"/>
      <c r="AB513" s="3"/>
      <c r="AC513" s="3"/>
      <c r="AD513" s="3"/>
      <c r="AE513" s="3"/>
      <c r="AF513" s="3"/>
      <c r="AG513" s="3"/>
      <c r="AH513" s="3"/>
      <c r="AI513" s="3"/>
      <c r="AJ513" s="3"/>
      <c r="AK513" s="3"/>
      <c r="AL513" s="3"/>
    </row>
    <row r="514" ht="15.75" customHeight="1">
      <c r="A514" s="45"/>
      <c r="B514" s="2"/>
      <c r="C514" s="667"/>
      <c r="D514" s="2"/>
      <c r="E514" s="668"/>
      <c r="F514" s="2"/>
      <c r="G514" s="2"/>
      <c r="H514" s="2"/>
      <c r="I514" s="2"/>
      <c r="J514" s="2"/>
      <c r="K514" s="2"/>
      <c r="L514" s="2"/>
      <c r="M514" s="2"/>
      <c r="N514" s="667"/>
      <c r="O514" s="2"/>
      <c r="P514" s="2"/>
      <c r="Q514" s="2"/>
      <c r="R514" s="3"/>
      <c r="S514" s="3"/>
      <c r="T514" s="3"/>
      <c r="U514" s="3"/>
      <c r="V514" s="3"/>
      <c r="W514" s="3"/>
      <c r="X514" s="3"/>
      <c r="Y514" s="3"/>
      <c r="Z514" s="3"/>
      <c r="AA514" s="3"/>
      <c r="AB514" s="3"/>
      <c r="AC514" s="3"/>
      <c r="AD514" s="3"/>
      <c r="AE514" s="3"/>
      <c r="AF514" s="3"/>
      <c r="AG514" s="3"/>
      <c r="AH514" s="3"/>
      <c r="AI514" s="3"/>
      <c r="AJ514" s="3"/>
      <c r="AK514" s="3"/>
      <c r="AL514" s="3"/>
    </row>
    <row r="515" ht="15.75" customHeight="1">
      <c r="A515" s="45"/>
      <c r="B515" s="2"/>
      <c r="C515" s="667"/>
      <c r="D515" s="2"/>
      <c r="E515" s="668"/>
      <c r="F515" s="2"/>
      <c r="G515" s="2"/>
      <c r="H515" s="2"/>
      <c r="I515" s="2"/>
      <c r="J515" s="2"/>
      <c r="K515" s="2"/>
      <c r="L515" s="2"/>
      <c r="M515" s="2"/>
      <c r="N515" s="667"/>
      <c r="O515" s="2"/>
      <c r="P515" s="2"/>
      <c r="Q515" s="2"/>
      <c r="R515" s="3"/>
      <c r="S515" s="3"/>
      <c r="T515" s="3"/>
      <c r="U515" s="3"/>
      <c r="V515" s="3"/>
      <c r="W515" s="3"/>
      <c r="X515" s="3"/>
      <c r="Y515" s="3"/>
      <c r="Z515" s="3"/>
      <c r="AA515" s="3"/>
      <c r="AB515" s="3"/>
      <c r="AC515" s="3"/>
      <c r="AD515" s="3"/>
      <c r="AE515" s="3"/>
      <c r="AF515" s="3"/>
      <c r="AG515" s="3"/>
      <c r="AH515" s="3"/>
      <c r="AI515" s="3"/>
      <c r="AJ515" s="3"/>
      <c r="AK515" s="3"/>
      <c r="AL515" s="3"/>
    </row>
    <row r="516" ht="15.75" customHeight="1">
      <c r="A516" s="45"/>
      <c r="B516" s="2"/>
      <c r="C516" s="667"/>
      <c r="D516" s="2"/>
      <c r="E516" s="668"/>
      <c r="F516" s="2"/>
      <c r="G516" s="2"/>
      <c r="H516" s="2"/>
      <c r="I516" s="2"/>
      <c r="J516" s="2"/>
      <c r="K516" s="2"/>
      <c r="L516" s="2"/>
      <c r="M516" s="2"/>
      <c r="N516" s="667"/>
      <c r="O516" s="2"/>
      <c r="P516" s="2"/>
      <c r="Q516" s="2"/>
      <c r="R516" s="3"/>
      <c r="S516" s="3"/>
      <c r="T516" s="3"/>
      <c r="U516" s="3"/>
      <c r="V516" s="3"/>
      <c r="W516" s="3"/>
      <c r="X516" s="3"/>
      <c r="Y516" s="3"/>
      <c r="Z516" s="3"/>
      <c r="AA516" s="3"/>
      <c r="AB516" s="3"/>
      <c r="AC516" s="3"/>
      <c r="AD516" s="3"/>
      <c r="AE516" s="3"/>
      <c r="AF516" s="3"/>
      <c r="AG516" s="3"/>
      <c r="AH516" s="3"/>
      <c r="AI516" s="3"/>
      <c r="AJ516" s="3"/>
      <c r="AK516" s="3"/>
      <c r="AL516" s="3"/>
    </row>
    <row r="517" ht="15.75" customHeight="1">
      <c r="A517" s="45"/>
      <c r="B517" s="2"/>
      <c r="C517" s="667"/>
      <c r="D517" s="2"/>
      <c r="E517" s="668"/>
      <c r="F517" s="2"/>
      <c r="G517" s="2"/>
      <c r="H517" s="2"/>
      <c r="I517" s="2"/>
      <c r="J517" s="2"/>
      <c r="K517" s="2"/>
      <c r="L517" s="2"/>
      <c r="M517" s="2"/>
      <c r="N517" s="667"/>
      <c r="O517" s="2"/>
      <c r="P517" s="2"/>
      <c r="Q517" s="2"/>
      <c r="R517" s="3"/>
      <c r="S517" s="3"/>
      <c r="T517" s="3"/>
      <c r="U517" s="3"/>
      <c r="V517" s="3"/>
      <c r="W517" s="3"/>
      <c r="X517" s="3"/>
      <c r="Y517" s="3"/>
      <c r="Z517" s="3"/>
      <c r="AA517" s="3"/>
      <c r="AB517" s="3"/>
      <c r="AC517" s="3"/>
      <c r="AD517" s="3"/>
      <c r="AE517" s="3"/>
      <c r="AF517" s="3"/>
      <c r="AG517" s="3"/>
      <c r="AH517" s="3"/>
      <c r="AI517" s="3"/>
      <c r="AJ517" s="3"/>
      <c r="AK517" s="3"/>
      <c r="AL517" s="3"/>
    </row>
    <row r="518" ht="15.75" customHeight="1">
      <c r="A518" s="45"/>
      <c r="B518" s="2"/>
      <c r="C518" s="667"/>
      <c r="D518" s="2"/>
      <c r="E518" s="668"/>
      <c r="F518" s="2"/>
      <c r="G518" s="2"/>
      <c r="H518" s="2"/>
      <c r="I518" s="2"/>
      <c r="J518" s="2"/>
      <c r="K518" s="2"/>
      <c r="L518" s="2"/>
      <c r="M518" s="2"/>
      <c r="N518" s="667"/>
      <c r="O518" s="2"/>
      <c r="P518" s="2"/>
      <c r="Q518" s="2"/>
      <c r="R518" s="3"/>
      <c r="S518" s="3"/>
      <c r="T518" s="3"/>
      <c r="U518" s="3"/>
      <c r="V518" s="3"/>
      <c r="W518" s="3"/>
      <c r="X518" s="3"/>
      <c r="Y518" s="3"/>
      <c r="Z518" s="3"/>
      <c r="AA518" s="3"/>
      <c r="AB518" s="3"/>
      <c r="AC518" s="3"/>
      <c r="AD518" s="3"/>
      <c r="AE518" s="3"/>
      <c r="AF518" s="3"/>
      <c r="AG518" s="3"/>
      <c r="AH518" s="3"/>
      <c r="AI518" s="3"/>
      <c r="AJ518" s="3"/>
      <c r="AK518" s="3"/>
      <c r="AL518" s="3"/>
    </row>
    <row r="519" ht="15.75" customHeight="1">
      <c r="A519" s="45"/>
      <c r="B519" s="2"/>
      <c r="C519" s="667"/>
      <c r="D519" s="2"/>
      <c r="E519" s="668"/>
      <c r="F519" s="2"/>
      <c r="G519" s="2"/>
      <c r="H519" s="2"/>
      <c r="I519" s="2"/>
      <c r="J519" s="2"/>
      <c r="K519" s="2"/>
      <c r="L519" s="2"/>
      <c r="M519" s="2"/>
      <c r="N519" s="667"/>
      <c r="O519" s="2"/>
      <c r="P519" s="2"/>
      <c r="Q519" s="2"/>
      <c r="R519" s="3"/>
      <c r="S519" s="3"/>
      <c r="T519" s="3"/>
      <c r="U519" s="3"/>
      <c r="V519" s="3"/>
      <c r="W519" s="3"/>
      <c r="X519" s="3"/>
      <c r="Y519" s="3"/>
      <c r="Z519" s="3"/>
      <c r="AA519" s="3"/>
      <c r="AB519" s="3"/>
      <c r="AC519" s="3"/>
      <c r="AD519" s="3"/>
      <c r="AE519" s="3"/>
      <c r="AF519" s="3"/>
      <c r="AG519" s="3"/>
      <c r="AH519" s="3"/>
      <c r="AI519" s="3"/>
      <c r="AJ519" s="3"/>
      <c r="AK519" s="3"/>
      <c r="AL519" s="3"/>
    </row>
    <row r="520" ht="15.75" customHeight="1">
      <c r="A520" s="45"/>
      <c r="B520" s="2"/>
      <c r="C520" s="667"/>
      <c r="D520" s="2"/>
      <c r="E520" s="668"/>
      <c r="F520" s="2"/>
      <c r="G520" s="2"/>
      <c r="H520" s="2"/>
      <c r="I520" s="2"/>
      <c r="J520" s="2"/>
      <c r="K520" s="2"/>
      <c r="L520" s="2"/>
      <c r="M520" s="2"/>
      <c r="N520" s="667"/>
      <c r="O520" s="2"/>
      <c r="P520" s="2"/>
      <c r="Q520" s="2"/>
      <c r="R520" s="3"/>
      <c r="S520" s="3"/>
      <c r="T520" s="3"/>
      <c r="U520" s="3"/>
      <c r="V520" s="3"/>
      <c r="W520" s="3"/>
      <c r="X520" s="3"/>
      <c r="Y520" s="3"/>
      <c r="Z520" s="3"/>
      <c r="AA520" s="3"/>
      <c r="AB520" s="3"/>
      <c r="AC520" s="3"/>
      <c r="AD520" s="3"/>
      <c r="AE520" s="3"/>
      <c r="AF520" s="3"/>
      <c r="AG520" s="3"/>
      <c r="AH520" s="3"/>
      <c r="AI520" s="3"/>
      <c r="AJ520" s="3"/>
      <c r="AK520" s="3"/>
      <c r="AL520" s="3"/>
    </row>
    <row r="521" ht="15.75" customHeight="1">
      <c r="A521" s="45"/>
      <c r="B521" s="2"/>
      <c r="C521" s="667"/>
      <c r="D521" s="2"/>
      <c r="E521" s="668"/>
      <c r="F521" s="2"/>
      <c r="G521" s="2"/>
      <c r="H521" s="2"/>
      <c r="I521" s="2"/>
      <c r="J521" s="2"/>
      <c r="K521" s="2"/>
      <c r="L521" s="2"/>
      <c r="M521" s="2"/>
      <c r="N521" s="667"/>
      <c r="O521" s="2"/>
      <c r="P521" s="2"/>
      <c r="Q521" s="2"/>
      <c r="R521" s="3"/>
      <c r="S521" s="3"/>
      <c r="T521" s="3"/>
      <c r="U521" s="3"/>
      <c r="V521" s="3"/>
      <c r="W521" s="3"/>
      <c r="X521" s="3"/>
      <c r="Y521" s="3"/>
      <c r="Z521" s="3"/>
      <c r="AA521" s="3"/>
      <c r="AB521" s="3"/>
      <c r="AC521" s="3"/>
      <c r="AD521" s="3"/>
      <c r="AE521" s="3"/>
      <c r="AF521" s="3"/>
      <c r="AG521" s="3"/>
      <c r="AH521" s="3"/>
      <c r="AI521" s="3"/>
      <c r="AJ521" s="3"/>
      <c r="AK521" s="3"/>
      <c r="AL521" s="3"/>
    </row>
    <row r="522" ht="15.75" customHeight="1">
      <c r="A522" s="45"/>
      <c r="B522" s="2"/>
      <c r="C522" s="667"/>
      <c r="D522" s="2"/>
      <c r="E522" s="668"/>
      <c r="F522" s="2"/>
      <c r="G522" s="2"/>
      <c r="H522" s="2"/>
      <c r="I522" s="2"/>
      <c r="J522" s="2"/>
      <c r="K522" s="2"/>
      <c r="L522" s="2"/>
      <c r="M522" s="2"/>
      <c r="N522" s="667"/>
      <c r="O522" s="2"/>
      <c r="P522" s="2"/>
      <c r="Q522" s="2"/>
      <c r="R522" s="3"/>
      <c r="S522" s="3"/>
      <c r="T522" s="3"/>
      <c r="U522" s="3"/>
      <c r="V522" s="3"/>
      <c r="W522" s="3"/>
      <c r="X522" s="3"/>
      <c r="Y522" s="3"/>
      <c r="Z522" s="3"/>
      <c r="AA522" s="3"/>
      <c r="AB522" s="3"/>
      <c r="AC522" s="3"/>
      <c r="AD522" s="3"/>
      <c r="AE522" s="3"/>
      <c r="AF522" s="3"/>
      <c r="AG522" s="3"/>
      <c r="AH522" s="3"/>
      <c r="AI522" s="3"/>
      <c r="AJ522" s="3"/>
      <c r="AK522" s="3"/>
      <c r="AL522" s="3"/>
    </row>
    <row r="523" ht="15.75" customHeight="1">
      <c r="A523" s="45"/>
      <c r="B523" s="2"/>
      <c r="C523" s="667"/>
      <c r="D523" s="2"/>
      <c r="E523" s="668"/>
      <c r="F523" s="2"/>
      <c r="G523" s="2"/>
      <c r="H523" s="2"/>
      <c r="I523" s="2"/>
      <c r="J523" s="2"/>
      <c r="K523" s="2"/>
      <c r="L523" s="2"/>
      <c r="M523" s="2"/>
      <c r="N523" s="667"/>
      <c r="O523" s="2"/>
      <c r="P523" s="2"/>
      <c r="Q523" s="2"/>
      <c r="R523" s="3"/>
      <c r="S523" s="3"/>
      <c r="T523" s="3"/>
      <c r="U523" s="3"/>
      <c r="V523" s="3"/>
      <c r="W523" s="3"/>
      <c r="X523" s="3"/>
      <c r="Y523" s="3"/>
      <c r="Z523" s="3"/>
      <c r="AA523" s="3"/>
      <c r="AB523" s="3"/>
      <c r="AC523" s="3"/>
      <c r="AD523" s="3"/>
      <c r="AE523" s="3"/>
      <c r="AF523" s="3"/>
      <c r="AG523" s="3"/>
      <c r="AH523" s="3"/>
      <c r="AI523" s="3"/>
      <c r="AJ523" s="3"/>
      <c r="AK523" s="3"/>
      <c r="AL523" s="3"/>
    </row>
    <row r="524" ht="15.75" customHeight="1">
      <c r="A524" s="45"/>
      <c r="B524" s="2"/>
      <c r="C524" s="667"/>
      <c r="D524" s="2"/>
      <c r="E524" s="668"/>
      <c r="F524" s="2"/>
      <c r="G524" s="2"/>
      <c r="H524" s="2"/>
      <c r="I524" s="2"/>
      <c r="J524" s="2"/>
      <c r="K524" s="2"/>
      <c r="L524" s="2"/>
      <c r="M524" s="2"/>
      <c r="N524" s="667"/>
      <c r="O524" s="2"/>
      <c r="P524" s="2"/>
      <c r="Q524" s="2"/>
      <c r="R524" s="3"/>
      <c r="S524" s="3"/>
      <c r="T524" s="3"/>
      <c r="U524" s="3"/>
      <c r="V524" s="3"/>
      <c r="W524" s="3"/>
      <c r="X524" s="3"/>
      <c r="Y524" s="3"/>
      <c r="Z524" s="3"/>
      <c r="AA524" s="3"/>
      <c r="AB524" s="3"/>
      <c r="AC524" s="3"/>
      <c r="AD524" s="3"/>
      <c r="AE524" s="3"/>
      <c r="AF524" s="3"/>
      <c r="AG524" s="3"/>
      <c r="AH524" s="3"/>
      <c r="AI524" s="3"/>
      <c r="AJ524" s="3"/>
      <c r="AK524" s="3"/>
      <c r="AL524" s="3"/>
    </row>
    <row r="525" ht="15.75" customHeight="1">
      <c r="A525" s="45"/>
      <c r="B525" s="2"/>
      <c r="C525" s="667"/>
      <c r="D525" s="2"/>
      <c r="E525" s="668"/>
      <c r="F525" s="2"/>
      <c r="G525" s="2"/>
      <c r="H525" s="2"/>
      <c r="I525" s="2"/>
      <c r="J525" s="2"/>
      <c r="K525" s="2"/>
      <c r="L525" s="2"/>
      <c r="M525" s="2"/>
      <c r="N525" s="667"/>
      <c r="O525" s="2"/>
      <c r="P525" s="2"/>
      <c r="Q525" s="2"/>
      <c r="R525" s="3"/>
      <c r="S525" s="3"/>
      <c r="T525" s="3"/>
      <c r="U525" s="3"/>
      <c r="V525" s="3"/>
      <c r="W525" s="3"/>
      <c r="X525" s="3"/>
      <c r="Y525" s="3"/>
      <c r="Z525" s="3"/>
      <c r="AA525" s="3"/>
      <c r="AB525" s="3"/>
      <c r="AC525" s="3"/>
      <c r="AD525" s="3"/>
      <c r="AE525" s="3"/>
      <c r="AF525" s="3"/>
      <c r="AG525" s="3"/>
      <c r="AH525" s="3"/>
      <c r="AI525" s="3"/>
      <c r="AJ525" s="3"/>
      <c r="AK525" s="3"/>
      <c r="AL525" s="3"/>
    </row>
    <row r="526" ht="15.75" customHeight="1">
      <c r="A526" s="45"/>
      <c r="B526" s="2"/>
      <c r="C526" s="667"/>
      <c r="D526" s="2"/>
      <c r="E526" s="668"/>
      <c r="F526" s="2"/>
      <c r="G526" s="2"/>
      <c r="H526" s="2"/>
      <c r="I526" s="2"/>
      <c r="J526" s="2"/>
      <c r="K526" s="2"/>
      <c r="L526" s="2"/>
      <c r="M526" s="2"/>
      <c r="N526" s="667"/>
      <c r="O526" s="2"/>
      <c r="P526" s="2"/>
      <c r="Q526" s="2"/>
      <c r="R526" s="3"/>
      <c r="S526" s="3"/>
      <c r="T526" s="3"/>
      <c r="U526" s="3"/>
      <c r="V526" s="3"/>
      <c r="W526" s="3"/>
      <c r="X526" s="3"/>
      <c r="Y526" s="3"/>
      <c r="Z526" s="3"/>
      <c r="AA526" s="3"/>
      <c r="AB526" s="3"/>
      <c r="AC526" s="3"/>
      <c r="AD526" s="3"/>
      <c r="AE526" s="3"/>
      <c r="AF526" s="3"/>
      <c r="AG526" s="3"/>
      <c r="AH526" s="3"/>
      <c r="AI526" s="3"/>
      <c r="AJ526" s="3"/>
      <c r="AK526" s="3"/>
      <c r="AL526" s="3"/>
    </row>
    <row r="527" ht="15.75" customHeight="1">
      <c r="A527" s="45"/>
      <c r="B527" s="2"/>
      <c r="C527" s="667"/>
      <c r="D527" s="2"/>
      <c r="E527" s="668"/>
      <c r="F527" s="2"/>
      <c r="G527" s="2"/>
      <c r="H527" s="2"/>
      <c r="I527" s="2"/>
      <c r="J527" s="2"/>
      <c r="K527" s="2"/>
      <c r="L527" s="2"/>
      <c r="M527" s="2"/>
      <c r="N527" s="667"/>
      <c r="O527" s="2"/>
      <c r="P527" s="2"/>
      <c r="Q527" s="2"/>
      <c r="R527" s="3"/>
      <c r="S527" s="3"/>
      <c r="T527" s="3"/>
      <c r="U527" s="3"/>
      <c r="V527" s="3"/>
      <c r="W527" s="3"/>
      <c r="X527" s="3"/>
      <c r="Y527" s="3"/>
      <c r="Z527" s="3"/>
      <c r="AA527" s="3"/>
      <c r="AB527" s="3"/>
      <c r="AC527" s="3"/>
      <c r="AD527" s="3"/>
      <c r="AE527" s="3"/>
      <c r="AF527" s="3"/>
      <c r="AG527" s="3"/>
      <c r="AH527" s="3"/>
      <c r="AI527" s="3"/>
      <c r="AJ527" s="3"/>
      <c r="AK527" s="3"/>
      <c r="AL527" s="3"/>
    </row>
    <row r="528" ht="15.75" customHeight="1">
      <c r="A528" s="45"/>
      <c r="B528" s="2"/>
      <c r="C528" s="667"/>
      <c r="D528" s="2"/>
      <c r="E528" s="668"/>
      <c r="F528" s="2"/>
      <c r="G528" s="2"/>
      <c r="H528" s="2"/>
      <c r="I528" s="2"/>
      <c r="J528" s="2"/>
      <c r="K528" s="2"/>
      <c r="L528" s="2"/>
      <c r="M528" s="2"/>
      <c r="N528" s="667"/>
      <c r="O528" s="2"/>
      <c r="P528" s="2"/>
      <c r="Q528" s="2"/>
      <c r="R528" s="3"/>
      <c r="S528" s="3"/>
      <c r="T528" s="3"/>
      <c r="U528" s="3"/>
      <c r="V528" s="3"/>
      <c r="W528" s="3"/>
      <c r="X528" s="3"/>
      <c r="Y528" s="3"/>
      <c r="Z528" s="3"/>
      <c r="AA528" s="3"/>
      <c r="AB528" s="3"/>
      <c r="AC528" s="3"/>
      <c r="AD528" s="3"/>
      <c r="AE528" s="3"/>
      <c r="AF528" s="3"/>
      <c r="AG528" s="3"/>
      <c r="AH528" s="3"/>
      <c r="AI528" s="3"/>
      <c r="AJ528" s="3"/>
      <c r="AK528" s="3"/>
      <c r="AL528" s="3"/>
    </row>
    <row r="529" ht="15.75" customHeight="1">
      <c r="A529" s="45"/>
      <c r="B529" s="2"/>
      <c r="C529" s="667"/>
      <c r="D529" s="2"/>
      <c r="E529" s="668"/>
      <c r="F529" s="2"/>
      <c r="G529" s="2"/>
      <c r="H529" s="2"/>
      <c r="I529" s="2"/>
      <c r="J529" s="2"/>
      <c r="K529" s="2"/>
      <c r="L529" s="2"/>
      <c r="M529" s="2"/>
      <c r="N529" s="667"/>
      <c r="O529" s="2"/>
      <c r="P529" s="2"/>
      <c r="Q529" s="2"/>
      <c r="R529" s="3"/>
      <c r="S529" s="3"/>
      <c r="T529" s="3"/>
      <c r="U529" s="3"/>
      <c r="V529" s="3"/>
      <c r="W529" s="3"/>
      <c r="X529" s="3"/>
      <c r="Y529" s="3"/>
      <c r="Z529" s="3"/>
      <c r="AA529" s="3"/>
      <c r="AB529" s="3"/>
      <c r="AC529" s="3"/>
      <c r="AD529" s="3"/>
      <c r="AE529" s="3"/>
      <c r="AF529" s="3"/>
      <c r="AG529" s="3"/>
      <c r="AH529" s="3"/>
      <c r="AI529" s="3"/>
      <c r="AJ529" s="3"/>
      <c r="AK529" s="3"/>
      <c r="AL529" s="3"/>
    </row>
    <row r="530" ht="15.75" customHeight="1">
      <c r="A530" s="45"/>
      <c r="B530" s="2"/>
      <c r="C530" s="667"/>
      <c r="D530" s="2"/>
      <c r="E530" s="668"/>
      <c r="F530" s="2"/>
      <c r="G530" s="2"/>
      <c r="H530" s="2"/>
      <c r="I530" s="2"/>
      <c r="J530" s="2"/>
      <c r="K530" s="2"/>
      <c r="L530" s="2"/>
      <c r="M530" s="2"/>
      <c r="N530" s="667"/>
      <c r="O530" s="2"/>
      <c r="P530" s="2"/>
      <c r="Q530" s="2"/>
      <c r="R530" s="3"/>
      <c r="S530" s="3"/>
      <c r="T530" s="3"/>
      <c r="U530" s="3"/>
      <c r="V530" s="3"/>
      <c r="W530" s="3"/>
      <c r="X530" s="3"/>
      <c r="Y530" s="3"/>
      <c r="Z530" s="3"/>
      <c r="AA530" s="3"/>
      <c r="AB530" s="3"/>
      <c r="AC530" s="3"/>
      <c r="AD530" s="3"/>
      <c r="AE530" s="3"/>
      <c r="AF530" s="3"/>
      <c r="AG530" s="3"/>
      <c r="AH530" s="3"/>
      <c r="AI530" s="3"/>
      <c r="AJ530" s="3"/>
      <c r="AK530" s="3"/>
      <c r="AL530" s="3"/>
    </row>
    <row r="531" ht="15.75" customHeight="1">
      <c r="A531" s="45"/>
      <c r="B531" s="2"/>
      <c r="C531" s="667"/>
      <c r="D531" s="2"/>
      <c r="E531" s="668"/>
      <c r="F531" s="2"/>
      <c r="G531" s="2"/>
      <c r="H531" s="2"/>
      <c r="I531" s="2"/>
      <c r="J531" s="2"/>
      <c r="K531" s="2"/>
      <c r="L531" s="2"/>
      <c r="M531" s="2"/>
      <c r="N531" s="667"/>
      <c r="O531" s="2"/>
      <c r="P531" s="2"/>
      <c r="Q531" s="2"/>
      <c r="R531" s="3"/>
      <c r="S531" s="3"/>
      <c r="T531" s="3"/>
      <c r="U531" s="3"/>
      <c r="V531" s="3"/>
      <c r="W531" s="3"/>
      <c r="X531" s="3"/>
      <c r="Y531" s="3"/>
      <c r="Z531" s="3"/>
      <c r="AA531" s="3"/>
      <c r="AB531" s="3"/>
      <c r="AC531" s="3"/>
      <c r="AD531" s="3"/>
      <c r="AE531" s="3"/>
      <c r="AF531" s="3"/>
      <c r="AG531" s="3"/>
      <c r="AH531" s="3"/>
      <c r="AI531" s="3"/>
      <c r="AJ531" s="3"/>
      <c r="AK531" s="3"/>
      <c r="AL531" s="3"/>
    </row>
    <row r="532" ht="15.75" customHeight="1">
      <c r="A532" s="45"/>
      <c r="B532" s="2"/>
      <c r="C532" s="667"/>
      <c r="D532" s="2"/>
      <c r="E532" s="668"/>
      <c r="F532" s="2"/>
      <c r="G532" s="2"/>
      <c r="H532" s="2"/>
      <c r="I532" s="2"/>
      <c r="J532" s="2"/>
      <c r="K532" s="2"/>
      <c r="L532" s="2"/>
      <c r="M532" s="2"/>
      <c r="N532" s="667"/>
      <c r="O532" s="2"/>
      <c r="P532" s="2"/>
      <c r="Q532" s="2"/>
      <c r="R532" s="3"/>
      <c r="S532" s="3"/>
      <c r="T532" s="3"/>
      <c r="U532" s="3"/>
      <c r="V532" s="3"/>
      <c r="W532" s="3"/>
      <c r="X532" s="3"/>
      <c r="Y532" s="3"/>
      <c r="Z532" s="3"/>
      <c r="AA532" s="3"/>
      <c r="AB532" s="3"/>
      <c r="AC532" s="3"/>
      <c r="AD532" s="3"/>
      <c r="AE532" s="3"/>
      <c r="AF532" s="3"/>
      <c r="AG532" s="3"/>
      <c r="AH532" s="3"/>
      <c r="AI532" s="3"/>
      <c r="AJ532" s="3"/>
      <c r="AK532" s="3"/>
      <c r="AL532" s="3"/>
    </row>
    <row r="533" ht="15.75" customHeight="1">
      <c r="A533" s="45"/>
      <c r="B533" s="2"/>
      <c r="C533" s="667"/>
      <c r="D533" s="2"/>
      <c r="E533" s="668"/>
      <c r="F533" s="2"/>
      <c r="G533" s="2"/>
      <c r="H533" s="2"/>
      <c r="I533" s="2"/>
      <c r="J533" s="2"/>
      <c r="K533" s="2"/>
      <c r="L533" s="2"/>
      <c r="M533" s="2"/>
      <c r="N533" s="667"/>
      <c r="O533" s="2"/>
      <c r="P533" s="2"/>
      <c r="Q533" s="2"/>
      <c r="R533" s="3"/>
      <c r="S533" s="3"/>
      <c r="T533" s="3"/>
      <c r="U533" s="3"/>
      <c r="V533" s="3"/>
      <c r="W533" s="3"/>
      <c r="X533" s="3"/>
      <c r="Y533" s="3"/>
      <c r="Z533" s="3"/>
      <c r="AA533" s="3"/>
      <c r="AB533" s="3"/>
      <c r="AC533" s="3"/>
      <c r="AD533" s="3"/>
      <c r="AE533" s="3"/>
      <c r="AF533" s="3"/>
      <c r="AG533" s="3"/>
      <c r="AH533" s="3"/>
      <c r="AI533" s="3"/>
      <c r="AJ533" s="3"/>
      <c r="AK533" s="3"/>
      <c r="AL533" s="3"/>
    </row>
    <row r="534" ht="15.75" customHeight="1">
      <c r="A534" s="45"/>
      <c r="B534" s="2"/>
      <c r="C534" s="667"/>
      <c r="D534" s="2"/>
      <c r="E534" s="668"/>
      <c r="F534" s="2"/>
      <c r="G534" s="2"/>
      <c r="H534" s="2"/>
      <c r="I534" s="2"/>
      <c r="J534" s="2"/>
      <c r="K534" s="2"/>
      <c r="L534" s="2"/>
      <c r="M534" s="2"/>
      <c r="N534" s="667"/>
      <c r="O534" s="2"/>
      <c r="P534" s="2"/>
      <c r="Q534" s="2"/>
      <c r="R534" s="3"/>
      <c r="S534" s="3"/>
      <c r="T534" s="3"/>
      <c r="U534" s="3"/>
      <c r="V534" s="3"/>
      <c r="W534" s="3"/>
      <c r="X534" s="3"/>
      <c r="Y534" s="3"/>
      <c r="Z534" s="3"/>
      <c r="AA534" s="3"/>
      <c r="AB534" s="3"/>
      <c r="AC534" s="3"/>
      <c r="AD534" s="3"/>
      <c r="AE534" s="3"/>
      <c r="AF534" s="3"/>
      <c r="AG534" s="3"/>
      <c r="AH534" s="3"/>
      <c r="AI534" s="3"/>
      <c r="AJ534" s="3"/>
      <c r="AK534" s="3"/>
      <c r="AL534" s="3"/>
    </row>
    <row r="535" ht="15.75" customHeight="1">
      <c r="A535" s="45"/>
      <c r="B535" s="2"/>
      <c r="C535" s="667"/>
      <c r="D535" s="2"/>
      <c r="E535" s="668"/>
      <c r="F535" s="2"/>
      <c r="G535" s="2"/>
      <c r="H535" s="2"/>
      <c r="I535" s="2"/>
      <c r="J535" s="2"/>
      <c r="K535" s="2"/>
      <c r="L535" s="2"/>
      <c r="M535" s="2"/>
      <c r="N535" s="667"/>
      <c r="O535" s="2"/>
      <c r="P535" s="2"/>
      <c r="Q535" s="2"/>
      <c r="R535" s="3"/>
      <c r="S535" s="3"/>
      <c r="T535" s="3"/>
      <c r="U535" s="3"/>
      <c r="V535" s="3"/>
      <c r="W535" s="3"/>
      <c r="X535" s="3"/>
      <c r="Y535" s="3"/>
      <c r="Z535" s="3"/>
      <c r="AA535" s="3"/>
      <c r="AB535" s="3"/>
      <c r="AC535" s="3"/>
      <c r="AD535" s="3"/>
      <c r="AE535" s="3"/>
      <c r="AF535" s="3"/>
      <c r="AG535" s="3"/>
      <c r="AH535" s="3"/>
      <c r="AI535" s="3"/>
      <c r="AJ535" s="3"/>
      <c r="AK535" s="3"/>
      <c r="AL535" s="3"/>
    </row>
    <row r="536" ht="15.75" customHeight="1">
      <c r="A536" s="45"/>
      <c r="B536" s="2"/>
      <c r="C536" s="667"/>
      <c r="D536" s="2"/>
      <c r="E536" s="668"/>
      <c r="F536" s="2"/>
      <c r="G536" s="2"/>
      <c r="H536" s="2"/>
      <c r="I536" s="2"/>
      <c r="J536" s="2"/>
      <c r="K536" s="2"/>
      <c r="L536" s="2"/>
      <c r="M536" s="2"/>
      <c r="N536" s="667"/>
      <c r="O536" s="2"/>
      <c r="P536" s="2"/>
      <c r="Q536" s="2"/>
      <c r="R536" s="3"/>
      <c r="S536" s="3"/>
      <c r="T536" s="3"/>
      <c r="U536" s="3"/>
      <c r="V536" s="3"/>
      <c r="W536" s="3"/>
      <c r="X536" s="3"/>
      <c r="Y536" s="3"/>
      <c r="Z536" s="3"/>
      <c r="AA536" s="3"/>
      <c r="AB536" s="3"/>
      <c r="AC536" s="3"/>
      <c r="AD536" s="3"/>
      <c r="AE536" s="3"/>
      <c r="AF536" s="3"/>
      <c r="AG536" s="3"/>
      <c r="AH536" s="3"/>
      <c r="AI536" s="3"/>
      <c r="AJ536" s="3"/>
      <c r="AK536" s="3"/>
      <c r="AL536" s="3"/>
    </row>
    <row r="537" ht="15.75" customHeight="1">
      <c r="A537" s="45"/>
      <c r="B537" s="2"/>
      <c r="C537" s="667"/>
      <c r="D537" s="2"/>
      <c r="E537" s="668"/>
      <c r="F537" s="2"/>
      <c r="G537" s="2"/>
      <c r="H537" s="2"/>
      <c r="I537" s="2"/>
      <c r="J537" s="2"/>
      <c r="K537" s="2"/>
      <c r="L537" s="2"/>
      <c r="M537" s="2"/>
      <c r="N537" s="667"/>
      <c r="O537" s="2"/>
      <c r="P537" s="2"/>
      <c r="Q537" s="2"/>
      <c r="R537" s="3"/>
      <c r="S537" s="3"/>
      <c r="T537" s="3"/>
      <c r="U537" s="3"/>
      <c r="V537" s="3"/>
      <c r="W537" s="3"/>
      <c r="X537" s="3"/>
      <c r="Y537" s="3"/>
      <c r="Z537" s="3"/>
      <c r="AA537" s="3"/>
      <c r="AB537" s="3"/>
      <c r="AC537" s="3"/>
      <c r="AD537" s="3"/>
      <c r="AE537" s="3"/>
      <c r="AF537" s="3"/>
      <c r="AG537" s="3"/>
      <c r="AH537" s="3"/>
      <c r="AI537" s="3"/>
      <c r="AJ537" s="3"/>
      <c r="AK537" s="3"/>
      <c r="AL537" s="3"/>
    </row>
    <row r="538" ht="15.75" customHeight="1">
      <c r="A538" s="45"/>
      <c r="B538" s="2"/>
      <c r="C538" s="667"/>
      <c r="D538" s="2"/>
      <c r="E538" s="668"/>
      <c r="F538" s="2"/>
      <c r="G538" s="2"/>
      <c r="H538" s="2"/>
      <c r="I538" s="2"/>
      <c r="J538" s="2"/>
      <c r="K538" s="2"/>
      <c r="L538" s="2"/>
      <c r="M538" s="2"/>
      <c r="N538" s="667"/>
      <c r="O538" s="2"/>
      <c r="P538" s="2"/>
      <c r="Q538" s="2"/>
      <c r="R538" s="3"/>
      <c r="S538" s="3"/>
      <c r="T538" s="3"/>
      <c r="U538" s="3"/>
      <c r="V538" s="3"/>
      <c r="W538" s="3"/>
      <c r="X538" s="3"/>
      <c r="Y538" s="3"/>
      <c r="Z538" s="3"/>
      <c r="AA538" s="3"/>
      <c r="AB538" s="3"/>
      <c r="AC538" s="3"/>
      <c r="AD538" s="3"/>
      <c r="AE538" s="3"/>
      <c r="AF538" s="3"/>
      <c r="AG538" s="3"/>
      <c r="AH538" s="3"/>
      <c r="AI538" s="3"/>
      <c r="AJ538" s="3"/>
      <c r="AK538" s="3"/>
      <c r="AL538" s="3"/>
    </row>
    <row r="539" ht="15.75" customHeight="1">
      <c r="A539" s="45"/>
      <c r="B539" s="2"/>
      <c r="C539" s="667"/>
      <c r="D539" s="2"/>
      <c r="E539" s="668"/>
      <c r="F539" s="2"/>
      <c r="G539" s="2"/>
      <c r="H539" s="2"/>
      <c r="I539" s="2"/>
      <c r="J539" s="2"/>
      <c r="K539" s="2"/>
      <c r="L539" s="2"/>
      <c r="M539" s="2"/>
      <c r="N539" s="667"/>
      <c r="O539" s="2"/>
      <c r="P539" s="2"/>
      <c r="Q539" s="2"/>
      <c r="R539" s="3"/>
      <c r="S539" s="3"/>
      <c r="T539" s="3"/>
      <c r="U539" s="3"/>
      <c r="V539" s="3"/>
      <c r="W539" s="3"/>
      <c r="X539" s="3"/>
      <c r="Y539" s="3"/>
      <c r="Z539" s="3"/>
      <c r="AA539" s="3"/>
      <c r="AB539" s="3"/>
      <c r="AC539" s="3"/>
      <c r="AD539" s="3"/>
      <c r="AE539" s="3"/>
      <c r="AF539" s="3"/>
      <c r="AG539" s="3"/>
      <c r="AH539" s="3"/>
      <c r="AI539" s="3"/>
      <c r="AJ539" s="3"/>
      <c r="AK539" s="3"/>
      <c r="AL539" s="3"/>
    </row>
    <row r="540" ht="15.75" customHeight="1">
      <c r="A540" s="45"/>
      <c r="B540" s="2"/>
      <c r="C540" s="667"/>
      <c r="D540" s="2"/>
      <c r="E540" s="668"/>
      <c r="F540" s="2"/>
      <c r="G540" s="2"/>
      <c r="H540" s="2"/>
      <c r="I540" s="2"/>
      <c r="J540" s="2"/>
      <c r="K540" s="2"/>
      <c r="L540" s="2"/>
      <c r="M540" s="2"/>
      <c r="N540" s="667"/>
      <c r="O540" s="2"/>
      <c r="P540" s="2"/>
      <c r="Q540" s="2"/>
      <c r="R540" s="3"/>
      <c r="S540" s="3"/>
      <c r="T540" s="3"/>
      <c r="U540" s="3"/>
      <c r="V540" s="3"/>
      <c r="W540" s="3"/>
      <c r="X540" s="3"/>
      <c r="Y540" s="3"/>
      <c r="Z540" s="3"/>
      <c r="AA540" s="3"/>
      <c r="AB540" s="3"/>
      <c r="AC540" s="3"/>
      <c r="AD540" s="3"/>
      <c r="AE540" s="3"/>
      <c r="AF540" s="3"/>
      <c r="AG540" s="3"/>
      <c r="AH540" s="3"/>
      <c r="AI540" s="3"/>
      <c r="AJ540" s="3"/>
      <c r="AK540" s="3"/>
      <c r="AL540" s="3"/>
    </row>
    <row r="541" ht="15.75" customHeight="1">
      <c r="A541" s="45"/>
      <c r="B541" s="2"/>
      <c r="C541" s="667"/>
      <c r="D541" s="2"/>
      <c r="E541" s="668"/>
      <c r="F541" s="2"/>
      <c r="G541" s="2"/>
      <c r="H541" s="2"/>
      <c r="I541" s="2"/>
      <c r="J541" s="2"/>
      <c r="K541" s="2"/>
      <c r="L541" s="2"/>
      <c r="M541" s="2"/>
      <c r="N541" s="667"/>
      <c r="O541" s="2"/>
      <c r="P541" s="2"/>
      <c r="Q541" s="2"/>
      <c r="R541" s="3"/>
      <c r="S541" s="3"/>
      <c r="T541" s="3"/>
      <c r="U541" s="3"/>
      <c r="V541" s="3"/>
      <c r="W541" s="3"/>
      <c r="X541" s="3"/>
      <c r="Y541" s="3"/>
      <c r="Z541" s="3"/>
      <c r="AA541" s="3"/>
      <c r="AB541" s="3"/>
      <c r="AC541" s="3"/>
      <c r="AD541" s="3"/>
      <c r="AE541" s="3"/>
      <c r="AF541" s="3"/>
      <c r="AG541" s="3"/>
      <c r="AH541" s="3"/>
      <c r="AI541" s="3"/>
      <c r="AJ541" s="3"/>
      <c r="AK541" s="3"/>
      <c r="AL541" s="3"/>
    </row>
    <row r="542" ht="15.75" customHeight="1">
      <c r="A542" s="45"/>
      <c r="B542" s="2"/>
      <c r="C542" s="667"/>
      <c r="D542" s="2"/>
      <c r="E542" s="668"/>
      <c r="F542" s="2"/>
      <c r="G542" s="2"/>
      <c r="H542" s="2"/>
      <c r="I542" s="2"/>
      <c r="J542" s="2"/>
      <c r="K542" s="2"/>
      <c r="L542" s="2"/>
      <c r="M542" s="2"/>
      <c r="N542" s="667"/>
      <c r="O542" s="2"/>
      <c r="P542" s="2"/>
      <c r="Q542" s="2"/>
      <c r="R542" s="3"/>
      <c r="S542" s="3"/>
      <c r="T542" s="3"/>
      <c r="U542" s="3"/>
      <c r="V542" s="3"/>
      <c r="W542" s="3"/>
      <c r="X542" s="3"/>
      <c r="Y542" s="3"/>
      <c r="Z542" s="3"/>
      <c r="AA542" s="3"/>
      <c r="AB542" s="3"/>
      <c r="AC542" s="3"/>
      <c r="AD542" s="3"/>
      <c r="AE542" s="3"/>
      <c r="AF542" s="3"/>
      <c r="AG542" s="3"/>
      <c r="AH542" s="3"/>
      <c r="AI542" s="3"/>
      <c r="AJ542" s="3"/>
      <c r="AK542" s="3"/>
      <c r="AL542" s="3"/>
    </row>
    <row r="543" ht="15.75" customHeight="1">
      <c r="A543" s="45"/>
      <c r="B543" s="2"/>
      <c r="C543" s="667"/>
      <c r="D543" s="2"/>
      <c r="E543" s="668"/>
      <c r="F543" s="2"/>
      <c r="G543" s="2"/>
      <c r="H543" s="2"/>
      <c r="I543" s="2"/>
      <c r="J543" s="2"/>
      <c r="K543" s="2"/>
      <c r="L543" s="2"/>
      <c r="M543" s="2"/>
      <c r="N543" s="667"/>
      <c r="O543" s="2"/>
      <c r="P543" s="2"/>
      <c r="Q543" s="2"/>
      <c r="R543" s="3"/>
      <c r="S543" s="3"/>
      <c r="T543" s="3"/>
      <c r="U543" s="3"/>
      <c r="V543" s="3"/>
      <c r="W543" s="3"/>
      <c r="X543" s="3"/>
      <c r="Y543" s="3"/>
      <c r="Z543" s="3"/>
      <c r="AA543" s="3"/>
      <c r="AB543" s="3"/>
      <c r="AC543" s="3"/>
      <c r="AD543" s="3"/>
      <c r="AE543" s="3"/>
      <c r="AF543" s="3"/>
      <c r="AG543" s="3"/>
      <c r="AH543" s="3"/>
      <c r="AI543" s="3"/>
      <c r="AJ543" s="3"/>
      <c r="AK543" s="3"/>
      <c r="AL543" s="3"/>
    </row>
    <row r="544" ht="15.75" customHeight="1">
      <c r="A544" s="45"/>
      <c r="B544" s="2"/>
      <c r="C544" s="667"/>
      <c r="D544" s="2"/>
      <c r="E544" s="668"/>
      <c r="F544" s="2"/>
      <c r="G544" s="2"/>
      <c r="H544" s="2"/>
      <c r="I544" s="2"/>
      <c r="J544" s="2"/>
      <c r="K544" s="2"/>
      <c r="L544" s="2"/>
      <c r="M544" s="2"/>
      <c r="N544" s="667"/>
      <c r="O544" s="2"/>
      <c r="P544" s="2"/>
      <c r="Q544" s="2"/>
      <c r="R544" s="3"/>
      <c r="S544" s="3"/>
      <c r="T544" s="3"/>
      <c r="U544" s="3"/>
      <c r="V544" s="3"/>
      <c r="W544" s="3"/>
      <c r="X544" s="3"/>
      <c r="Y544" s="3"/>
      <c r="Z544" s="3"/>
      <c r="AA544" s="3"/>
      <c r="AB544" s="3"/>
      <c r="AC544" s="3"/>
      <c r="AD544" s="3"/>
      <c r="AE544" s="3"/>
      <c r="AF544" s="3"/>
      <c r="AG544" s="3"/>
      <c r="AH544" s="3"/>
      <c r="AI544" s="3"/>
      <c r="AJ544" s="3"/>
      <c r="AK544" s="3"/>
      <c r="AL544" s="3"/>
    </row>
    <row r="545" ht="15.75" customHeight="1">
      <c r="A545" s="45"/>
      <c r="B545" s="2"/>
      <c r="C545" s="667"/>
      <c r="D545" s="2"/>
      <c r="E545" s="668"/>
      <c r="F545" s="2"/>
      <c r="G545" s="2"/>
      <c r="H545" s="2"/>
      <c r="I545" s="2"/>
      <c r="J545" s="2"/>
      <c r="K545" s="2"/>
      <c r="L545" s="2"/>
      <c r="M545" s="2"/>
      <c r="N545" s="667"/>
      <c r="O545" s="2"/>
      <c r="P545" s="2"/>
      <c r="Q545" s="2"/>
      <c r="R545" s="3"/>
      <c r="S545" s="3"/>
      <c r="T545" s="3"/>
      <c r="U545" s="3"/>
      <c r="V545" s="3"/>
      <c r="W545" s="3"/>
      <c r="X545" s="3"/>
      <c r="Y545" s="3"/>
      <c r="Z545" s="3"/>
      <c r="AA545" s="3"/>
      <c r="AB545" s="3"/>
      <c r="AC545" s="3"/>
      <c r="AD545" s="3"/>
      <c r="AE545" s="3"/>
      <c r="AF545" s="3"/>
      <c r="AG545" s="3"/>
      <c r="AH545" s="3"/>
      <c r="AI545" s="3"/>
      <c r="AJ545" s="3"/>
      <c r="AK545" s="3"/>
      <c r="AL545" s="3"/>
    </row>
    <row r="546" ht="15.75" customHeight="1">
      <c r="A546" s="45"/>
      <c r="B546" s="2"/>
      <c r="C546" s="667"/>
      <c r="D546" s="2"/>
      <c r="E546" s="668"/>
      <c r="F546" s="2"/>
      <c r="G546" s="2"/>
      <c r="H546" s="2"/>
      <c r="I546" s="2"/>
      <c r="J546" s="2"/>
      <c r="K546" s="2"/>
      <c r="L546" s="2"/>
      <c r="M546" s="2"/>
      <c r="N546" s="667"/>
      <c r="O546" s="2"/>
      <c r="P546" s="2"/>
      <c r="Q546" s="2"/>
      <c r="R546" s="3"/>
      <c r="S546" s="3"/>
      <c r="T546" s="3"/>
      <c r="U546" s="3"/>
      <c r="V546" s="3"/>
      <c r="W546" s="3"/>
      <c r="X546" s="3"/>
      <c r="Y546" s="3"/>
      <c r="Z546" s="3"/>
      <c r="AA546" s="3"/>
      <c r="AB546" s="3"/>
      <c r="AC546" s="3"/>
      <c r="AD546" s="3"/>
      <c r="AE546" s="3"/>
      <c r="AF546" s="3"/>
      <c r="AG546" s="3"/>
      <c r="AH546" s="3"/>
      <c r="AI546" s="3"/>
      <c r="AJ546" s="3"/>
      <c r="AK546" s="3"/>
      <c r="AL546" s="3"/>
    </row>
    <row r="547" ht="15.75" customHeight="1">
      <c r="A547" s="45"/>
      <c r="B547" s="2"/>
      <c r="C547" s="667"/>
      <c r="D547" s="2"/>
      <c r="E547" s="668"/>
      <c r="F547" s="2"/>
      <c r="G547" s="2"/>
      <c r="H547" s="2"/>
      <c r="I547" s="2"/>
      <c r="J547" s="2"/>
      <c r="K547" s="2"/>
      <c r="L547" s="2"/>
      <c r="M547" s="2"/>
      <c r="N547" s="667"/>
      <c r="O547" s="2"/>
      <c r="P547" s="2"/>
      <c r="Q547" s="2"/>
      <c r="R547" s="3"/>
      <c r="S547" s="3"/>
      <c r="T547" s="3"/>
      <c r="U547" s="3"/>
      <c r="V547" s="3"/>
      <c r="W547" s="3"/>
      <c r="X547" s="3"/>
      <c r="Y547" s="3"/>
      <c r="Z547" s="3"/>
      <c r="AA547" s="3"/>
      <c r="AB547" s="3"/>
      <c r="AC547" s="3"/>
      <c r="AD547" s="3"/>
      <c r="AE547" s="3"/>
      <c r="AF547" s="3"/>
      <c r="AG547" s="3"/>
      <c r="AH547" s="3"/>
      <c r="AI547" s="3"/>
      <c r="AJ547" s="3"/>
      <c r="AK547" s="3"/>
      <c r="AL547" s="3"/>
    </row>
    <row r="548" ht="15.75" customHeight="1">
      <c r="A548" s="45"/>
      <c r="B548" s="2"/>
      <c r="C548" s="667"/>
      <c r="D548" s="2"/>
      <c r="E548" s="668"/>
      <c r="F548" s="2"/>
      <c r="G548" s="2"/>
      <c r="H548" s="2"/>
      <c r="I548" s="2"/>
      <c r="J548" s="2"/>
      <c r="K548" s="2"/>
      <c r="L548" s="2"/>
      <c r="M548" s="2"/>
      <c r="N548" s="667"/>
      <c r="O548" s="2"/>
      <c r="P548" s="2"/>
      <c r="Q548" s="2"/>
      <c r="R548" s="3"/>
      <c r="S548" s="3"/>
      <c r="T548" s="3"/>
      <c r="U548" s="3"/>
      <c r="V548" s="3"/>
      <c r="W548" s="3"/>
      <c r="X548" s="3"/>
      <c r="Y548" s="3"/>
      <c r="Z548" s="3"/>
      <c r="AA548" s="3"/>
      <c r="AB548" s="3"/>
      <c r="AC548" s="3"/>
      <c r="AD548" s="3"/>
      <c r="AE548" s="3"/>
      <c r="AF548" s="3"/>
      <c r="AG548" s="3"/>
      <c r="AH548" s="3"/>
      <c r="AI548" s="3"/>
      <c r="AJ548" s="3"/>
      <c r="AK548" s="3"/>
      <c r="AL548" s="3"/>
    </row>
    <row r="549" ht="15.75" customHeight="1">
      <c r="A549" s="45"/>
      <c r="B549" s="2"/>
      <c r="C549" s="667"/>
      <c r="D549" s="2"/>
      <c r="E549" s="668"/>
      <c r="F549" s="2"/>
      <c r="G549" s="2"/>
      <c r="H549" s="2"/>
      <c r="I549" s="2"/>
      <c r="J549" s="2"/>
      <c r="K549" s="2"/>
      <c r="L549" s="2"/>
      <c r="M549" s="2"/>
      <c r="N549" s="667"/>
      <c r="O549" s="2"/>
      <c r="P549" s="2"/>
      <c r="Q549" s="2"/>
      <c r="R549" s="3"/>
      <c r="S549" s="3"/>
      <c r="T549" s="3"/>
      <c r="U549" s="3"/>
      <c r="V549" s="3"/>
      <c r="W549" s="3"/>
      <c r="X549" s="3"/>
      <c r="Y549" s="3"/>
      <c r="Z549" s="3"/>
      <c r="AA549" s="3"/>
      <c r="AB549" s="3"/>
      <c r="AC549" s="3"/>
      <c r="AD549" s="3"/>
      <c r="AE549" s="3"/>
      <c r="AF549" s="3"/>
      <c r="AG549" s="3"/>
      <c r="AH549" s="3"/>
      <c r="AI549" s="3"/>
      <c r="AJ549" s="3"/>
      <c r="AK549" s="3"/>
      <c r="AL549" s="3"/>
    </row>
    <row r="550" ht="15.75" customHeight="1">
      <c r="A550" s="45"/>
      <c r="B550" s="2"/>
      <c r="C550" s="667"/>
      <c r="D550" s="2"/>
      <c r="E550" s="668"/>
      <c r="F550" s="2"/>
      <c r="G550" s="2"/>
      <c r="H550" s="2"/>
      <c r="I550" s="2"/>
      <c r="J550" s="2"/>
      <c r="K550" s="2"/>
      <c r="L550" s="2"/>
      <c r="M550" s="2"/>
      <c r="N550" s="667"/>
      <c r="O550" s="2"/>
      <c r="P550" s="2"/>
      <c r="Q550" s="2"/>
      <c r="R550" s="3"/>
      <c r="S550" s="3"/>
      <c r="T550" s="3"/>
      <c r="U550" s="3"/>
      <c r="V550" s="3"/>
      <c r="W550" s="3"/>
      <c r="X550" s="3"/>
      <c r="Y550" s="3"/>
      <c r="Z550" s="3"/>
      <c r="AA550" s="3"/>
      <c r="AB550" s="3"/>
      <c r="AC550" s="3"/>
      <c r="AD550" s="3"/>
      <c r="AE550" s="3"/>
      <c r="AF550" s="3"/>
      <c r="AG550" s="3"/>
      <c r="AH550" s="3"/>
      <c r="AI550" s="3"/>
      <c r="AJ550" s="3"/>
      <c r="AK550" s="3"/>
      <c r="AL550" s="3"/>
    </row>
    <row r="551" ht="15.75" customHeight="1">
      <c r="A551" s="45"/>
      <c r="B551" s="2"/>
      <c r="C551" s="667"/>
      <c r="D551" s="2"/>
      <c r="E551" s="668"/>
      <c r="F551" s="2"/>
      <c r="G551" s="2"/>
      <c r="H551" s="2"/>
      <c r="I551" s="2"/>
      <c r="J551" s="2"/>
      <c r="K551" s="2"/>
      <c r="L551" s="2"/>
      <c r="M551" s="2"/>
      <c r="N551" s="667"/>
      <c r="O551" s="2"/>
      <c r="P551" s="2"/>
      <c r="Q551" s="2"/>
      <c r="R551" s="3"/>
      <c r="S551" s="3"/>
      <c r="T551" s="3"/>
      <c r="U551" s="3"/>
      <c r="V551" s="3"/>
      <c r="W551" s="3"/>
      <c r="X551" s="3"/>
      <c r="Y551" s="3"/>
      <c r="Z551" s="3"/>
      <c r="AA551" s="3"/>
      <c r="AB551" s="3"/>
      <c r="AC551" s="3"/>
      <c r="AD551" s="3"/>
      <c r="AE551" s="3"/>
      <c r="AF551" s="3"/>
      <c r="AG551" s="3"/>
      <c r="AH551" s="3"/>
      <c r="AI551" s="3"/>
      <c r="AJ551" s="3"/>
      <c r="AK551" s="3"/>
      <c r="AL551" s="3"/>
    </row>
    <row r="552" ht="15.75" customHeight="1">
      <c r="A552" s="45"/>
      <c r="B552" s="2"/>
      <c r="C552" s="667"/>
      <c r="D552" s="2"/>
      <c r="E552" s="668"/>
      <c r="F552" s="2"/>
      <c r="G552" s="2"/>
      <c r="H552" s="2"/>
      <c r="I552" s="2"/>
      <c r="J552" s="2"/>
      <c r="K552" s="2"/>
      <c r="L552" s="2"/>
      <c r="M552" s="2"/>
      <c r="N552" s="667"/>
      <c r="O552" s="2"/>
      <c r="P552" s="2"/>
      <c r="Q552" s="2"/>
      <c r="R552" s="3"/>
      <c r="S552" s="3"/>
      <c r="T552" s="3"/>
      <c r="U552" s="3"/>
      <c r="V552" s="3"/>
      <c r="W552" s="3"/>
      <c r="X552" s="3"/>
      <c r="Y552" s="3"/>
      <c r="Z552" s="3"/>
      <c r="AA552" s="3"/>
      <c r="AB552" s="3"/>
      <c r="AC552" s="3"/>
      <c r="AD552" s="3"/>
      <c r="AE552" s="3"/>
      <c r="AF552" s="3"/>
      <c r="AG552" s="3"/>
      <c r="AH552" s="3"/>
      <c r="AI552" s="3"/>
      <c r="AJ552" s="3"/>
      <c r="AK552" s="3"/>
      <c r="AL552" s="3"/>
    </row>
    <row r="553" ht="15.75" customHeight="1">
      <c r="A553" s="45"/>
      <c r="B553" s="2"/>
      <c r="C553" s="667"/>
      <c r="D553" s="2"/>
      <c r="E553" s="668"/>
      <c r="F553" s="2"/>
      <c r="G553" s="2"/>
      <c r="H553" s="2"/>
      <c r="I553" s="2"/>
      <c r="J553" s="2"/>
      <c r="K553" s="2"/>
      <c r="L553" s="2"/>
      <c r="M553" s="2"/>
      <c r="N553" s="667"/>
      <c r="O553" s="2"/>
      <c r="P553" s="2"/>
      <c r="Q553" s="2"/>
      <c r="R553" s="3"/>
      <c r="S553" s="3"/>
      <c r="T553" s="3"/>
      <c r="U553" s="3"/>
      <c r="V553" s="3"/>
      <c r="W553" s="3"/>
      <c r="X553" s="3"/>
      <c r="Y553" s="3"/>
      <c r="Z553" s="3"/>
      <c r="AA553" s="3"/>
      <c r="AB553" s="3"/>
      <c r="AC553" s="3"/>
      <c r="AD553" s="3"/>
      <c r="AE553" s="3"/>
      <c r="AF553" s="3"/>
      <c r="AG553" s="3"/>
      <c r="AH553" s="3"/>
      <c r="AI553" s="3"/>
      <c r="AJ553" s="3"/>
      <c r="AK553" s="3"/>
      <c r="AL553" s="3"/>
    </row>
    <row r="554" ht="15.75" customHeight="1">
      <c r="A554" s="45"/>
      <c r="B554" s="2"/>
      <c r="C554" s="667"/>
      <c r="D554" s="2"/>
      <c r="E554" s="668"/>
      <c r="F554" s="2"/>
      <c r="G554" s="2"/>
      <c r="H554" s="2"/>
      <c r="I554" s="2"/>
      <c r="J554" s="2"/>
      <c r="K554" s="2"/>
      <c r="L554" s="2"/>
      <c r="M554" s="2"/>
      <c r="N554" s="667"/>
      <c r="O554" s="2"/>
      <c r="P554" s="2"/>
      <c r="Q554" s="2"/>
      <c r="R554" s="3"/>
      <c r="S554" s="3"/>
      <c r="T554" s="3"/>
      <c r="U554" s="3"/>
      <c r="V554" s="3"/>
      <c r="W554" s="3"/>
      <c r="X554" s="3"/>
      <c r="Y554" s="3"/>
      <c r="Z554" s="3"/>
      <c r="AA554" s="3"/>
      <c r="AB554" s="3"/>
      <c r="AC554" s="3"/>
      <c r="AD554" s="3"/>
      <c r="AE554" s="3"/>
      <c r="AF554" s="3"/>
      <c r="AG554" s="3"/>
      <c r="AH554" s="3"/>
      <c r="AI554" s="3"/>
      <c r="AJ554" s="3"/>
      <c r="AK554" s="3"/>
      <c r="AL554" s="3"/>
    </row>
    <row r="555" ht="15.75" customHeight="1">
      <c r="A555" s="45"/>
      <c r="B555" s="2"/>
      <c r="C555" s="667"/>
      <c r="D555" s="2"/>
      <c r="E555" s="668"/>
      <c r="F555" s="2"/>
      <c r="G555" s="2"/>
      <c r="H555" s="2"/>
      <c r="I555" s="2"/>
      <c r="J555" s="2"/>
      <c r="K555" s="2"/>
      <c r="L555" s="2"/>
      <c r="M555" s="2"/>
      <c r="N555" s="667"/>
      <c r="O555" s="2"/>
      <c r="P555" s="2"/>
      <c r="Q555" s="2"/>
      <c r="R555" s="3"/>
      <c r="S555" s="3"/>
      <c r="T555" s="3"/>
      <c r="U555" s="3"/>
      <c r="V555" s="3"/>
      <c r="W555" s="3"/>
      <c r="X555" s="3"/>
      <c r="Y555" s="3"/>
      <c r="Z555" s="3"/>
      <c r="AA555" s="3"/>
      <c r="AB555" s="3"/>
      <c r="AC555" s="3"/>
      <c r="AD555" s="3"/>
      <c r="AE555" s="3"/>
      <c r="AF555" s="3"/>
      <c r="AG555" s="3"/>
      <c r="AH555" s="3"/>
      <c r="AI555" s="3"/>
      <c r="AJ555" s="3"/>
      <c r="AK555" s="3"/>
      <c r="AL555" s="3"/>
    </row>
    <row r="556" ht="15.75" customHeight="1">
      <c r="A556" s="45"/>
      <c r="B556" s="2"/>
      <c r="C556" s="667"/>
      <c r="D556" s="2"/>
      <c r="E556" s="668"/>
      <c r="F556" s="2"/>
      <c r="G556" s="2"/>
      <c r="H556" s="2"/>
      <c r="I556" s="2"/>
      <c r="J556" s="2"/>
      <c r="K556" s="2"/>
      <c r="L556" s="2"/>
      <c r="M556" s="2"/>
      <c r="N556" s="667"/>
      <c r="O556" s="2"/>
      <c r="P556" s="2"/>
      <c r="Q556" s="2"/>
      <c r="R556" s="3"/>
      <c r="S556" s="3"/>
      <c r="T556" s="3"/>
      <c r="U556" s="3"/>
      <c r="V556" s="3"/>
      <c r="W556" s="3"/>
      <c r="X556" s="3"/>
      <c r="Y556" s="3"/>
      <c r="Z556" s="3"/>
      <c r="AA556" s="3"/>
      <c r="AB556" s="3"/>
      <c r="AC556" s="3"/>
      <c r="AD556" s="3"/>
      <c r="AE556" s="3"/>
      <c r="AF556" s="3"/>
      <c r="AG556" s="3"/>
      <c r="AH556" s="3"/>
      <c r="AI556" s="3"/>
      <c r="AJ556" s="3"/>
      <c r="AK556" s="3"/>
      <c r="AL556" s="3"/>
    </row>
    <row r="557" ht="15.75" customHeight="1">
      <c r="A557" s="45"/>
      <c r="B557" s="2"/>
      <c r="C557" s="667"/>
      <c r="D557" s="2"/>
      <c r="E557" s="668"/>
      <c r="F557" s="2"/>
      <c r="G557" s="2"/>
      <c r="H557" s="2"/>
      <c r="I557" s="2"/>
      <c r="J557" s="2"/>
      <c r="K557" s="2"/>
      <c r="L557" s="2"/>
      <c r="M557" s="2"/>
      <c r="N557" s="667"/>
      <c r="O557" s="2"/>
      <c r="P557" s="2"/>
      <c r="Q557" s="2"/>
      <c r="R557" s="3"/>
      <c r="S557" s="3"/>
      <c r="T557" s="3"/>
      <c r="U557" s="3"/>
      <c r="V557" s="3"/>
      <c r="W557" s="3"/>
      <c r="X557" s="3"/>
      <c r="Y557" s="3"/>
      <c r="Z557" s="3"/>
      <c r="AA557" s="3"/>
      <c r="AB557" s="3"/>
      <c r="AC557" s="3"/>
      <c r="AD557" s="3"/>
      <c r="AE557" s="3"/>
      <c r="AF557" s="3"/>
      <c r="AG557" s="3"/>
      <c r="AH557" s="3"/>
      <c r="AI557" s="3"/>
      <c r="AJ557" s="3"/>
      <c r="AK557" s="3"/>
      <c r="AL557" s="3"/>
    </row>
    <row r="558" ht="15.75" customHeight="1">
      <c r="A558" s="45"/>
      <c r="B558" s="2"/>
      <c r="C558" s="667"/>
      <c r="D558" s="2"/>
      <c r="E558" s="668"/>
      <c r="F558" s="2"/>
      <c r="G558" s="2"/>
      <c r="H558" s="2"/>
      <c r="I558" s="2"/>
      <c r="J558" s="2"/>
      <c r="K558" s="2"/>
      <c r="L558" s="2"/>
      <c r="M558" s="2"/>
      <c r="N558" s="667"/>
      <c r="O558" s="2"/>
      <c r="P558" s="2"/>
      <c r="Q558" s="2"/>
      <c r="R558" s="3"/>
      <c r="S558" s="3"/>
      <c r="T558" s="3"/>
      <c r="U558" s="3"/>
      <c r="V558" s="3"/>
      <c r="W558" s="3"/>
      <c r="X558" s="3"/>
      <c r="Y558" s="3"/>
      <c r="Z558" s="3"/>
      <c r="AA558" s="3"/>
      <c r="AB558" s="3"/>
      <c r="AC558" s="3"/>
      <c r="AD558" s="3"/>
      <c r="AE558" s="3"/>
      <c r="AF558" s="3"/>
      <c r="AG558" s="3"/>
      <c r="AH558" s="3"/>
      <c r="AI558" s="3"/>
      <c r="AJ558" s="3"/>
      <c r="AK558" s="3"/>
      <c r="AL558" s="3"/>
    </row>
    <row r="559" ht="15.75" customHeight="1">
      <c r="A559" s="45"/>
      <c r="B559" s="2"/>
      <c r="C559" s="667"/>
      <c r="D559" s="2"/>
      <c r="E559" s="668"/>
      <c r="F559" s="2"/>
      <c r="G559" s="2"/>
      <c r="H559" s="2"/>
      <c r="I559" s="2"/>
      <c r="J559" s="2"/>
      <c r="K559" s="2"/>
      <c r="L559" s="2"/>
      <c r="M559" s="2"/>
      <c r="N559" s="667"/>
      <c r="O559" s="2"/>
      <c r="P559" s="2"/>
      <c r="Q559" s="2"/>
      <c r="R559" s="3"/>
      <c r="S559" s="3"/>
      <c r="T559" s="3"/>
      <c r="U559" s="3"/>
      <c r="V559" s="3"/>
      <c r="W559" s="3"/>
      <c r="X559" s="3"/>
      <c r="Y559" s="3"/>
      <c r="Z559" s="3"/>
      <c r="AA559" s="3"/>
      <c r="AB559" s="3"/>
      <c r="AC559" s="3"/>
      <c r="AD559" s="3"/>
      <c r="AE559" s="3"/>
      <c r="AF559" s="3"/>
      <c r="AG559" s="3"/>
      <c r="AH559" s="3"/>
      <c r="AI559" s="3"/>
      <c r="AJ559" s="3"/>
      <c r="AK559" s="3"/>
      <c r="AL559" s="3"/>
    </row>
    <row r="560" ht="15.75" customHeight="1">
      <c r="A560" s="45"/>
      <c r="B560" s="2"/>
      <c r="C560" s="667"/>
      <c r="D560" s="2"/>
      <c r="E560" s="668"/>
      <c r="F560" s="2"/>
      <c r="G560" s="2"/>
      <c r="H560" s="2"/>
      <c r="I560" s="2"/>
      <c r="J560" s="2"/>
      <c r="K560" s="2"/>
      <c r="L560" s="2"/>
      <c r="M560" s="2"/>
      <c r="N560" s="667"/>
      <c r="O560" s="2"/>
      <c r="P560" s="2"/>
      <c r="Q560" s="2"/>
      <c r="R560" s="3"/>
      <c r="S560" s="3"/>
      <c r="T560" s="3"/>
      <c r="U560" s="3"/>
      <c r="V560" s="3"/>
      <c r="W560" s="3"/>
      <c r="X560" s="3"/>
      <c r="Y560" s="3"/>
      <c r="Z560" s="3"/>
      <c r="AA560" s="3"/>
      <c r="AB560" s="3"/>
      <c r="AC560" s="3"/>
      <c r="AD560" s="3"/>
      <c r="AE560" s="3"/>
      <c r="AF560" s="3"/>
      <c r="AG560" s="3"/>
      <c r="AH560" s="3"/>
      <c r="AI560" s="3"/>
      <c r="AJ560" s="3"/>
      <c r="AK560" s="3"/>
      <c r="AL560" s="3"/>
    </row>
    <row r="561" ht="15.75" customHeight="1">
      <c r="A561" s="45"/>
      <c r="B561" s="2"/>
      <c r="C561" s="667"/>
      <c r="D561" s="2"/>
      <c r="E561" s="668"/>
      <c r="F561" s="2"/>
      <c r="G561" s="2"/>
      <c r="H561" s="2"/>
      <c r="I561" s="2"/>
      <c r="J561" s="2"/>
      <c r="K561" s="2"/>
      <c r="L561" s="2"/>
      <c r="M561" s="2"/>
      <c r="N561" s="667"/>
      <c r="O561" s="2"/>
      <c r="P561" s="2"/>
      <c r="Q561" s="2"/>
      <c r="R561" s="3"/>
      <c r="S561" s="3"/>
      <c r="T561" s="3"/>
      <c r="U561" s="3"/>
      <c r="V561" s="3"/>
      <c r="W561" s="3"/>
      <c r="X561" s="3"/>
      <c r="Y561" s="3"/>
      <c r="Z561" s="3"/>
      <c r="AA561" s="3"/>
      <c r="AB561" s="3"/>
      <c r="AC561" s="3"/>
      <c r="AD561" s="3"/>
      <c r="AE561" s="3"/>
      <c r="AF561" s="3"/>
      <c r="AG561" s="3"/>
      <c r="AH561" s="3"/>
      <c r="AI561" s="3"/>
      <c r="AJ561" s="3"/>
      <c r="AK561" s="3"/>
      <c r="AL561" s="3"/>
    </row>
    <row r="562" ht="15.75" customHeight="1">
      <c r="A562" s="45"/>
      <c r="B562" s="2"/>
      <c r="C562" s="667"/>
      <c r="D562" s="2"/>
      <c r="E562" s="668"/>
      <c r="F562" s="2"/>
      <c r="G562" s="2"/>
      <c r="H562" s="2"/>
      <c r="I562" s="2"/>
      <c r="J562" s="2"/>
      <c r="K562" s="2"/>
      <c r="L562" s="2"/>
      <c r="M562" s="2"/>
      <c r="N562" s="667"/>
      <c r="O562" s="2"/>
      <c r="P562" s="2"/>
      <c r="Q562" s="2"/>
      <c r="R562" s="3"/>
      <c r="S562" s="3"/>
      <c r="T562" s="3"/>
      <c r="U562" s="3"/>
      <c r="V562" s="3"/>
      <c r="W562" s="3"/>
      <c r="X562" s="3"/>
      <c r="Y562" s="3"/>
      <c r="Z562" s="3"/>
      <c r="AA562" s="3"/>
      <c r="AB562" s="3"/>
      <c r="AC562" s="3"/>
      <c r="AD562" s="3"/>
      <c r="AE562" s="3"/>
      <c r="AF562" s="3"/>
      <c r="AG562" s="3"/>
      <c r="AH562" s="3"/>
      <c r="AI562" s="3"/>
      <c r="AJ562" s="3"/>
      <c r="AK562" s="3"/>
      <c r="AL562" s="3"/>
    </row>
    <row r="563" ht="15.75" customHeight="1">
      <c r="A563" s="45"/>
      <c r="B563" s="2"/>
      <c r="C563" s="667"/>
      <c r="D563" s="2"/>
      <c r="E563" s="668"/>
      <c r="F563" s="2"/>
      <c r="G563" s="2"/>
      <c r="H563" s="2"/>
      <c r="I563" s="2"/>
      <c r="J563" s="2"/>
      <c r="K563" s="2"/>
      <c r="L563" s="2"/>
      <c r="M563" s="2"/>
      <c r="N563" s="667"/>
      <c r="O563" s="2"/>
      <c r="P563" s="2"/>
      <c r="Q563" s="2"/>
      <c r="R563" s="3"/>
      <c r="S563" s="3"/>
      <c r="T563" s="3"/>
      <c r="U563" s="3"/>
      <c r="V563" s="3"/>
      <c r="W563" s="3"/>
      <c r="X563" s="3"/>
      <c r="Y563" s="3"/>
      <c r="Z563" s="3"/>
      <c r="AA563" s="3"/>
      <c r="AB563" s="3"/>
      <c r="AC563" s="3"/>
      <c r="AD563" s="3"/>
      <c r="AE563" s="3"/>
      <c r="AF563" s="3"/>
      <c r="AG563" s="3"/>
      <c r="AH563" s="3"/>
      <c r="AI563" s="3"/>
      <c r="AJ563" s="3"/>
      <c r="AK563" s="3"/>
      <c r="AL563" s="3"/>
    </row>
    <row r="564" ht="15.75" customHeight="1">
      <c r="A564" s="45"/>
      <c r="B564" s="2"/>
      <c r="C564" s="667"/>
      <c r="D564" s="2"/>
      <c r="E564" s="668"/>
      <c r="F564" s="2"/>
      <c r="G564" s="2"/>
      <c r="H564" s="2"/>
      <c r="I564" s="2"/>
      <c r="J564" s="2"/>
      <c r="K564" s="2"/>
      <c r="L564" s="2"/>
      <c r="M564" s="2"/>
      <c r="N564" s="667"/>
      <c r="O564" s="2"/>
      <c r="P564" s="2"/>
      <c r="Q564" s="2"/>
      <c r="R564" s="3"/>
      <c r="S564" s="3"/>
      <c r="T564" s="3"/>
      <c r="U564" s="3"/>
      <c r="V564" s="3"/>
      <c r="W564" s="3"/>
      <c r="X564" s="3"/>
      <c r="Y564" s="3"/>
      <c r="Z564" s="3"/>
      <c r="AA564" s="3"/>
      <c r="AB564" s="3"/>
      <c r="AC564" s="3"/>
      <c r="AD564" s="3"/>
      <c r="AE564" s="3"/>
      <c r="AF564" s="3"/>
      <c r="AG564" s="3"/>
      <c r="AH564" s="3"/>
      <c r="AI564" s="3"/>
      <c r="AJ564" s="3"/>
      <c r="AK564" s="3"/>
      <c r="AL564" s="3"/>
    </row>
    <row r="565" ht="15.75" customHeight="1">
      <c r="A565" s="45"/>
      <c r="B565" s="2"/>
      <c r="C565" s="667"/>
      <c r="D565" s="2"/>
      <c r="E565" s="668"/>
      <c r="F565" s="2"/>
      <c r="G565" s="2"/>
      <c r="H565" s="2"/>
      <c r="I565" s="2"/>
      <c r="J565" s="2"/>
      <c r="K565" s="2"/>
      <c r="L565" s="2"/>
      <c r="M565" s="2"/>
      <c r="N565" s="667"/>
      <c r="O565" s="2"/>
      <c r="P565" s="2"/>
      <c r="Q565" s="2"/>
      <c r="R565" s="3"/>
      <c r="S565" s="3"/>
      <c r="T565" s="3"/>
      <c r="U565" s="3"/>
      <c r="V565" s="3"/>
      <c r="W565" s="3"/>
      <c r="X565" s="3"/>
      <c r="Y565" s="3"/>
      <c r="Z565" s="3"/>
      <c r="AA565" s="3"/>
      <c r="AB565" s="3"/>
      <c r="AC565" s="3"/>
      <c r="AD565" s="3"/>
      <c r="AE565" s="3"/>
      <c r="AF565" s="3"/>
      <c r="AG565" s="3"/>
      <c r="AH565" s="3"/>
      <c r="AI565" s="3"/>
      <c r="AJ565" s="3"/>
      <c r="AK565" s="3"/>
      <c r="AL565" s="3"/>
    </row>
    <row r="566" ht="15.75" customHeight="1">
      <c r="A566" s="45"/>
      <c r="B566" s="2"/>
      <c r="C566" s="667"/>
      <c r="D566" s="2"/>
      <c r="E566" s="668"/>
      <c r="F566" s="2"/>
      <c r="G566" s="2"/>
      <c r="H566" s="2"/>
      <c r="I566" s="2"/>
      <c r="J566" s="2"/>
      <c r="K566" s="2"/>
      <c r="L566" s="2"/>
      <c r="M566" s="2"/>
      <c r="N566" s="667"/>
      <c r="O566" s="2"/>
      <c r="P566" s="2"/>
      <c r="Q566" s="2"/>
      <c r="R566" s="3"/>
      <c r="S566" s="3"/>
      <c r="T566" s="3"/>
      <c r="U566" s="3"/>
      <c r="V566" s="3"/>
      <c r="W566" s="3"/>
      <c r="X566" s="3"/>
      <c r="Y566" s="3"/>
      <c r="Z566" s="3"/>
      <c r="AA566" s="3"/>
      <c r="AB566" s="3"/>
      <c r="AC566" s="3"/>
      <c r="AD566" s="3"/>
      <c r="AE566" s="3"/>
      <c r="AF566" s="3"/>
      <c r="AG566" s="3"/>
      <c r="AH566" s="3"/>
      <c r="AI566" s="3"/>
      <c r="AJ566" s="3"/>
      <c r="AK566" s="3"/>
      <c r="AL566" s="3"/>
    </row>
    <row r="567" ht="15.75" customHeight="1">
      <c r="A567" s="45"/>
      <c r="B567" s="2"/>
      <c r="C567" s="667"/>
      <c r="D567" s="2"/>
      <c r="E567" s="668"/>
      <c r="F567" s="2"/>
      <c r="G567" s="2"/>
      <c r="H567" s="2"/>
      <c r="I567" s="2"/>
      <c r="J567" s="2"/>
      <c r="K567" s="2"/>
      <c r="L567" s="2"/>
      <c r="M567" s="2"/>
      <c r="N567" s="667"/>
      <c r="O567" s="2"/>
      <c r="P567" s="2"/>
      <c r="Q567" s="2"/>
      <c r="R567" s="3"/>
      <c r="S567" s="3"/>
      <c r="T567" s="3"/>
      <c r="U567" s="3"/>
      <c r="V567" s="3"/>
      <c r="W567" s="3"/>
      <c r="X567" s="3"/>
      <c r="Y567" s="3"/>
      <c r="Z567" s="3"/>
      <c r="AA567" s="3"/>
      <c r="AB567" s="3"/>
      <c r="AC567" s="3"/>
      <c r="AD567" s="3"/>
      <c r="AE567" s="3"/>
      <c r="AF567" s="3"/>
      <c r="AG567" s="3"/>
      <c r="AH567" s="3"/>
      <c r="AI567" s="3"/>
      <c r="AJ567" s="3"/>
      <c r="AK567" s="3"/>
      <c r="AL567" s="3"/>
    </row>
    <row r="568" ht="15.75" customHeight="1">
      <c r="A568" s="45"/>
      <c r="B568" s="2"/>
      <c r="C568" s="667"/>
      <c r="D568" s="2"/>
      <c r="E568" s="668"/>
      <c r="F568" s="2"/>
      <c r="G568" s="2"/>
      <c r="H568" s="2"/>
      <c r="I568" s="2"/>
      <c r="J568" s="2"/>
      <c r="K568" s="2"/>
      <c r="L568" s="2"/>
      <c r="M568" s="2"/>
      <c r="N568" s="667"/>
      <c r="O568" s="2"/>
      <c r="P568" s="2"/>
      <c r="Q568" s="2"/>
      <c r="R568" s="3"/>
      <c r="S568" s="3"/>
      <c r="T568" s="3"/>
      <c r="U568" s="3"/>
      <c r="V568" s="3"/>
      <c r="W568" s="3"/>
      <c r="X568" s="3"/>
      <c r="Y568" s="3"/>
      <c r="Z568" s="3"/>
      <c r="AA568" s="3"/>
      <c r="AB568" s="3"/>
      <c r="AC568" s="3"/>
      <c r="AD568" s="3"/>
      <c r="AE568" s="3"/>
      <c r="AF568" s="3"/>
      <c r="AG568" s="3"/>
      <c r="AH568" s="3"/>
      <c r="AI568" s="3"/>
      <c r="AJ568" s="3"/>
      <c r="AK568" s="3"/>
      <c r="AL568" s="3"/>
    </row>
    <row r="569" ht="15.75" customHeight="1">
      <c r="A569" s="45"/>
      <c r="B569" s="2"/>
      <c r="C569" s="667"/>
      <c r="D569" s="2"/>
      <c r="E569" s="668"/>
      <c r="F569" s="2"/>
      <c r="G569" s="2"/>
      <c r="H569" s="2"/>
      <c r="I569" s="2"/>
      <c r="J569" s="2"/>
      <c r="K569" s="2"/>
      <c r="L569" s="2"/>
      <c r="M569" s="2"/>
      <c r="N569" s="667"/>
      <c r="O569" s="2"/>
      <c r="P569" s="2"/>
      <c r="Q569" s="2"/>
      <c r="R569" s="3"/>
      <c r="S569" s="3"/>
      <c r="T569" s="3"/>
      <c r="U569" s="3"/>
      <c r="V569" s="3"/>
      <c r="W569" s="3"/>
      <c r="X569" s="3"/>
      <c r="Y569" s="3"/>
      <c r="Z569" s="3"/>
      <c r="AA569" s="3"/>
      <c r="AB569" s="3"/>
      <c r="AC569" s="3"/>
      <c r="AD569" s="3"/>
      <c r="AE569" s="3"/>
      <c r="AF569" s="3"/>
      <c r="AG569" s="3"/>
      <c r="AH569" s="3"/>
      <c r="AI569" s="3"/>
      <c r="AJ569" s="3"/>
      <c r="AK569" s="3"/>
      <c r="AL569" s="3"/>
    </row>
    <row r="570" ht="15.75" customHeight="1">
      <c r="A570" s="45"/>
      <c r="B570" s="2"/>
      <c r="C570" s="667"/>
      <c r="D570" s="2"/>
      <c r="E570" s="668"/>
      <c r="F570" s="2"/>
      <c r="G570" s="2"/>
      <c r="H570" s="2"/>
      <c r="I570" s="2"/>
      <c r="J570" s="2"/>
      <c r="K570" s="2"/>
      <c r="L570" s="2"/>
      <c r="M570" s="2"/>
      <c r="N570" s="667"/>
      <c r="O570" s="2"/>
      <c r="P570" s="2"/>
      <c r="Q570" s="2"/>
      <c r="R570" s="3"/>
      <c r="S570" s="3"/>
      <c r="T570" s="3"/>
      <c r="U570" s="3"/>
      <c r="V570" s="3"/>
      <c r="W570" s="3"/>
      <c r="X570" s="3"/>
      <c r="Y570" s="3"/>
      <c r="Z570" s="3"/>
      <c r="AA570" s="3"/>
      <c r="AB570" s="3"/>
      <c r="AC570" s="3"/>
      <c r="AD570" s="3"/>
      <c r="AE570" s="3"/>
      <c r="AF570" s="3"/>
      <c r="AG570" s="3"/>
      <c r="AH570" s="3"/>
      <c r="AI570" s="3"/>
      <c r="AJ570" s="3"/>
      <c r="AK570" s="3"/>
      <c r="AL570" s="3"/>
    </row>
    <row r="571" ht="15.75" customHeight="1">
      <c r="A571" s="45"/>
      <c r="B571" s="2"/>
      <c r="C571" s="667"/>
      <c r="D571" s="2"/>
      <c r="E571" s="668"/>
      <c r="F571" s="2"/>
      <c r="G571" s="2"/>
      <c r="H571" s="2"/>
      <c r="I571" s="2"/>
      <c r="J571" s="2"/>
      <c r="K571" s="2"/>
      <c r="L571" s="2"/>
      <c r="M571" s="2"/>
      <c r="N571" s="667"/>
      <c r="O571" s="2"/>
      <c r="P571" s="2"/>
      <c r="Q571" s="2"/>
      <c r="R571" s="3"/>
      <c r="S571" s="3"/>
      <c r="T571" s="3"/>
      <c r="U571" s="3"/>
      <c r="V571" s="3"/>
      <c r="W571" s="3"/>
      <c r="X571" s="3"/>
      <c r="Y571" s="3"/>
      <c r="Z571" s="3"/>
      <c r="AA571" s="3"/>
      <c r="AB571" s="3"/>
      <c r="AC571" s="3"/>
      <c r="AD571" s="3"/>
      <c r="AE571" s="3"/>
      <c r="AF571" s="3"/>
      <c r="AG571" s="3"/>
      <c r="AH571" s="3"/>
      <c r="AI571" s="3"/>
      <c r="AJ571" s="3"/>
      <c r="AK571" s="3"/>
      <c r="AL571" s="3"/>
    </row>
    <row r="572" ht="15.75" customHeight="1">
      <c r="A572" s="45"/>
      <c r="B572" s="2"/>
      <c r="C572" s="667"/>
      <c r="D572" s="2"/>
      <c r="E572" s="668"/>
      <c r="F572" s="2"/>
      <c r="G572" s="2"/>
      <c r="H572" s="2"/>
      <c r="I572" s="2"/>
      <c r="J572" s="2"/>
      <c r="K572" s="2"/>
      <c r="L572" s="2"/>
      <c r="M572" s="2"/>
      <c r="N572" s="667"/>
      <c r="O572" s="2"/>
      <c r="P572" s="2"/>
      <c r="Q572" s="2"/>
      <c r="R572" s="3"/>
      <c r="S572" s="3"/>
      <c r="T572" s="3"/>
      <c r="U572" s="3"/>
      <c r="V572" s="3"/>
      <c r="W572" s="3"/>
      <c r="X572" s="3"/>
      <c r="Y572" s="3"/>
      <c r="Z572" s="3"/>
      <c r="AA572" s="3"/>
      <c r="AB572" s="3"/>
      <c r="AC572" s="3"/>
      <c r="AD572" s="3"/>
      <c r="AE572" s="3"/>
      <c r="AF572" s="3"/>
      <c r="AG572" s="3"/>
      <c r="AH572" s="3"/>
      <c r="AI572" s="3"/>
      <c r="AJ572" s="3"/>
      <c r="AK572" s="3"/>
      <c r="AL572" s="3"/>
    </row>
    <row r="573" ht="15.75" customHeight="1">
      <c r="A573" s="45"/>
      <c r="B573" s="2"/>
      <c r="C573" s="667"/>
      <c r="D573" s="2"/>
      <c r="E573" s="668"/>
      <c r="F573" s="2"/>
      <c r="G573" s="2"/>
      <c r="H573" s="2"/>
      <c r="I573" s="2"/>
      <c r="J573" s="2"/>
      <c r="K573" s="2"/>
      <c r="L573" s="2"/>
      <c r="M573" s="2"/>
      <c r="N573" s="667"/>
      <c r="O573" s="2"/>
      <c r="P573" s="2"/>
      <c r="Q573" s="2"/>
      <c r="R573" s="3"/>
      <c r="S573" s="3"/>
      <c r="T573" s="3"/>
      <c r="U573" s="3"/>
      <c r="V573" s="3"/>
      <c r="W573" s="3"/>
      <c r="X573" s="3"/>
      <c r="Y573" s="3"/>
      <c r="Z573" s="3"/>
      <c r="AA573" s="3"/>
      <c r="AB573" s="3"/>
      <c r="AC573" s="3"/>
      <c r="AD573" s="3"/>
      <c r="AE573" s="3"/>
      <c r="AF573" s="3"/>
      <c r="AG573" s="3"/>
      <c r="AH573" s="3"/>
      <c r="AI573" s="3"/>
      <c r="AJ573" s="3"/>
      <c r="AK573" s="3"/>
      <c r="AL573" s="3"/>
    </row>
    <row r="574" ht="15.75" customHeight="1">
      <c r="A574" s="45"/>
      <c r="B574" s="2"/>
      <c r="C574" s="667"/>
      <c r="D574" s="2"/>
      <c r="E574" s="668"/>
      <c r="F574" s="2"/>
      <c r="G574" s="2"/>
      <c r="H574" s="2"/>
      <c r="I574" s="2"/>
      <c r="J574" s="2"/>
      <c r="K574" s="2"/>
      <c r="L574" s="2"/>
      <c r="M574" s="2"/>
      <c r="N574" s="667"/>
      <c r="O574" s="2"/>
      <c r="P574" s="2"/>
      <c r="Q574" s="2"/>
      <c r="R574" s="3"/>
      <c r="S574" s="3"/>
      <c r="T574" s="3"/>
      <c r="U574" s="3"/>
      <c r="V574" s="3"/>
      <c r="W574" s="3"/>
      <c r="X574" s="3"/>
      <c r="Y574" s="3"/>
      <c r="Z574" s="3"/>
      <c r="AA574" s="3"/>
      <c r="AB574" s="3"/>
      <c r="AC574" s="3"/>
      <c r="AD574" s="3"/>
      <c r="AE574" s="3"/>
      <c r="AF574" s="3"/>
      <c r="AG574" s="3"/>
      <c r="AH574" s="3"/>
      <c r="AI574" s="3"/>
      <c r="AJ574" s="3"/>
      <c r="AK574" s="3"/>
      <c r="AL574" s="3"/>
    </row>
    <row r="575" ht="15.75" customHeight="1">
      <c r="A575" s="45"/>
      <c r="B575" s="2"/>
      <c r="C575" s="667"/>
      <c r="D575" s="2"/>
      <c r="E575" s="668"/>
      <c r="F575" s="2"/>
      <c r="G575" s="2"/>
      <c r="H575" s="2"/>
      <c r="I575" s="2"/>
      <c r="J575" s="2"/>
      <c r="K575" s="2"/>
      <c r="L575" s="2"/>
      <c r="M575" s="2"/>
      <c r="N575" s="667"/>
      <c r="O575" s="2"/>
      <c r="P575" s="2"/>
      <c r="Q575" s="2"/>
      <c r="R575" s="3"/>
      <c r="S575" s="3"/>
      <c r="T575" s="3"/>
      <c r="U575" s="3"/>
      <c r="V575" s="3"/>
      <c r="W575" s="3"/>
      <c r="X575" s="3"/>
      <c r="Y575" s="3"/>
      <c r="Z575" s="3"/>
      <c r="AA575" s="3"/>
      <c r="AB575" s="3"/>
      <c r="AC575" s="3"/>
      <c r="AD575" s="3"/>
      <c r="AE575" s="3"/>
      <c r="AF575" s="3"/>
      <c r="AG575" s="3"/>
      <c r="AH575" s="3"/>
      <c r="AI575" s="3"/>
      <c r="AJ575" s="3"/>
      <c r="AK575" s="3"/>
      <c r="AL575" s="3"/>
    </row>
    <row r="576" ht="15.75" customHeight="1">
      <c r="A576" s="45"/>
      <c r="B576" s="2"/>
      <c r="C576" s="667"/>
      <c r="D576" s="2"/>
      <c r="E576" s="668"/>
      <c r="F576" s="2"/>
      <c r="G576" s="2"/>
      <c r="H576" s="2"/>
      <c r="I576" s="2"/>
      <c r="J576" s="2"/>
      <c r="K576" s="2"/>
      <c r="L576" s="2"/>
      <c r="M576" s="2"/>
      <c r="N576" s="667"/>
      <c r="O576" s="2"/>
      <c r="P576" s="2"/>
      <c r="Q576" s="2"/>
      <c r="R576" s="3"/>
      <c r="S576" s="3"/>
      <c r="T576" s="3"/>
      <c r="U576" s="3"/>
      <c r="V576" s="3"/>
      <c r="W576" s="3"/>
      <c r="X576" s="3"/>
      <c r="Y576" s="3"/>
      <c r="Z576" s="3"/>
      <c r="AA576" s="3"/>
      <c r="AB576" s="3"/>
      <c r="AC576" s="3"/>
      <c r="AD576" s="3"/>
      <c r="AE576" s="3"/>
      <c r="AF576" s="3"/>
      <c r="AG576" s="3"/>
      <c r="AH576" s="3"/>
      <c r="AI576" s="3"/>
      <c r="AJ576" s="3"/>
      <c r="AK576" s="3"/>
      <c r="AL576" s="3"/>
    </row>
    <row r="577" ht="15.75" customHeight="1">
      <c r="A577" s="45"/>
      <c r="B577" s="2"/>
      <c r="C577" s="667"/>
      <c r="D577" s="2"/>
      <c r="E577" s="668"/>
      <c r="F577" s="2"/>
      <c r="G577" s="2"/>
      <c r="H577" s="2"/>
      <c r="I577" s="2"/>
      <c r="J577" s="2"/>
      <c r="K577" s="2"/>
      <c r="L577" s="2"/>
      <c r="M577" s="2"/>
      <c r="N577" s="667"/>
      <c r="O577" s="2"/>
      <c r="P577" s="2"/>
      <c r="Q577" s="2"/>
      <c r="R577" s="3"/>
      <c r="S577" s="3"/>
      <c r="T577" s="3"/>
      <c r="U577" s="3"/>
      <c r="V577" s="3"/>
      <c r="W577" s="3"/>
      <c r="X577" s="3"/>
      <c r="Y577" s="3"/>
      <c r="Z577" s="3"/>
      <c r="AA577" s="3"/>
      <c r="AB577" s="3"/>
      <c r="AC577" s="3"/>
      <c r="AD577" s="3"/>
      <c r="AE577" s="3"/>
      <c r="AF577" s="3"/>
      <c r="AG577" s="3"/>
      <c r="AH577" s="3"/>
      <c r="AI577" s="3"/>
      <c r="AJ577" s="3"/>
      <c r="AK577" s="3"/>
      <c r="AL577" s="3"/>
    </row>
    <row r="578" ht="15.75" customHeight="1">
      <c r="A578" s="45"/>
      <c r="B578" s="2"/>
      <c r="C578" s="667"/>
      <c r="D578" s="2"/>
      <c r="E578" s="668"/>
      <c r="F578" s="2"/>
      <c r="G578" s="2"/>
      <c r="H578" s="2"/>
      <c r="I578" s="2"/>
      <c r="J578" s="2"/>
      <c r="K578" s="2"/>
      <c r="L578" s="2"/>
      <c r="M578" s="2"/>
      <c r="N578" s="667"/>
      <c r="O578" s="2"/>
      <c r="P578" s="2"/>
      <c r="Q578" s="2"/>
      <c r="R578" s="3"/>
      <c r="S578" s="3"/>
      <c r="T578" s="3"/>
      <c r="U578" s="3"/>
      <c r="V578" s="3"/>
      <c r="W578" s="3"/>
      <c r="X578" s="3"/>
      <c r="Y578" s="3"/>
      <c r="Z578" s="3"/>
      <c r="AA578" s="3"/>
      <c r="AB578" s="3"/>
      <c r="AC578" s="3"/>
      <c r="AD578" s="3"/>
      <c r="AE578" s="3"/>
      <c r="AF578" s="3"/>
      <c r="AG578" s="3"/>
      <c r="AH578" s="3"/>
      <c r="AI578" s="3"/>
      <c r="AJ578" s="3"/>
      <c r="AK578" s="3"/>
      <c r="AL578" s="3"/>
    </row>
    <row r="579" ht="15.75" customHeight="1">
      <c r="A579" s="45"/>
      <c r="B579" s="2"/>
      <c r="C579" s="667"/>
      <c r="D579" s="2"/>
      <c r="E579" s="668"/>
      <c r="F579" s="2"/>
      <c r="G579" s="2"/>
      <c r="H579" s="2"/>
      <c r="I579" s="2"/>
      <c r="J579" s="2"/>
      <c r="K579" s="2"/>
      <c r="L579" s="2"/>
      <c r="M579" s="2"/>
      <c r="N579" s="667"/>
      <c r="O579" s="2"/>
      <c r="P579" s="2"/>
      <c r="Q579" s="2"/>
      <c r="R579" s="3"/>
      <c r="S579" s="3"/>
      <c r="T579" s="3"/>
      <c r="U579" s="3"/>
      <c r="V579" s="3"/>
      <c r="W579" s="3"/>
      <c r="X579" s="3"/>
      <c r="Y579" s="3"/>
      <c r="Z579" s="3"/>
      <c r="AA579" s="3"/>
      <c r="AB579" s="3"/>
      <c r="AC579" s="3"/>
      <c r="AD579" s="3"/>
      <c r="AE579" s="3"/>
      <c r="AF579" s="3"/>
      <c r="AG579" s="3"/>
      <c r="AH579" s="3"/>
      <c r="AI579" s="3"/>
      <c r="AJ579" s="3"/>
      <c r="AK579" s="3"/>
      <c r="AL579" s="3"/>
    </row>
    <row r="580" ht="15.75" customHeight="1">
      <c r="A580" s="45"/>
      <c r="B580" s="2"/>
      <c r="C580" s="667"/>
      <c r="D580" s="2"/>
      <c r="E580" s="668"/>
      <c r="F580" s="2"/>
      <c r="G580" s="2"/>
      <c r="H580" s="2"/>
      <c r="I580" s="2"/>
      <c r="J580" s="2"/>
      <c r="K580" s="2"/>
      <c r="L580" s="2"/>
      <c r="M580" s="2"/>
      <c r="N580" s="667"/>
      <c r="O580" s="2"/>
      <c r="P580" s="2"/>
      <c r="Q580" s="2"/>
      <c r="R580" s="3"/>
      <c r="S580" s="3"/>
      <c r="T580" s="3"/>
      <c r="U580" s="3"/>
      <c r="V580" s="3"/>
      <c r="W580" s="3"/>
      <c r="X580" s="3"/>
      <c r="Y580" s="3"/>
      <c r="Z580" s="3"/>
      <c r="AA580" s="3"/>
      <c r="AB580" s="3"/>
      <c r="AC580" s="3"/>
      <c r="AD580" s="3"/>
      <c r="AE580" s="3"/>
      <c r="AF580" s="3"/>
      <c r="AG580" s="3"/>
      <c r="AH580" s="3"/>
      <c r="AI580" s="3"/>
      <c r="AJ580" s="3"/>
      <c r="AK580" s="3"/>
      <c r="AL580" s="3"/>
    </row>
    <row r="581" ht="15.75" customHeight="1">
      <c r="A581" s="45"/>
      <c r="B581" s="2"/>
      <c r="C581" s="667"/>
      <c r="D581" s="2"/>
      <c r="E581" s="668"/>
      <c r="F581" s="2"/>
      <c r="G581" s="2"/>
      <c r="H581" s="2"/>
      <c r="I581" s="2"/>
      <c r="J581" s="2"/>
      <c r="K581" s="2"/>
      <c r="L581" s="2"/>
      <c r="M581" s="2"/>
      <c r="N581" s="667"/>
      <c r="O581" s="2"/>
      <c r="P581" s="2"/>
      <c r="Q581" s="2"/>
      <c r="R581" s="3"/>
      <c r="S581" s="3"/>
      <c r="T581" s="3"/>
      <c r="U581" s="3"/>
      <c r="V581" s="3"/>
      <c r="W581" s="3"/>
      <c r="X581" s="3"/>
      <c r="Y581" s="3"/>
      <c r="Z581" s="3"/>
      <c r="AA581" s="3"/>
      <c r="AB581" s="3"/>
      <c r="AC581" s="3"/>
      <c r="AD581" s="3"/>
      <c r="AE581" s="3"/>
      <c r="AF581" s="3"/>
      <c r="AG581" s="3"/>
      <c r="AH581" s="3"/>
      <c r="AI581" s="3"/>
      <c r="AJ581" s="3"/>
      <c r="AK581" s="3"/>
      <c r="AL581" s="3"/>
    </row>
    <row r="582" ht="15.75" customHeight="1">
      <c r="A582" s="45"/>
      <c r="B582" s="2"/>
      <c r="C582" s="667"/>
      <c r="D582" s="2"/>
      <c r="E582" s="668"/>
      <c r="F582" s="2"/>
      <c r="G582" s="2"/>
      <c r="H582" s="2"/>
      <c r="I582" s="2"/>
      <c r="J582" s="2"/>
      <c r="K582" s="2"/>
      <c r="L582" s="2"/>
      <c r="M582" s="2"/>
      <c r="N582" s="667"/>
      <c r="O582" s="2"/>
      <c r="P582" s="2"/>
      <c r="Q582" s="2"/>
      <c r="R582" s="3"/>
      <c r="S582" s="3"/>
      <c r="T582" s="3"/>
      <c r="U582" s="3"/>
      <c r="V582" s="3"/>
      <c r="W582" s="3"/>
      <c r="X582" s="3"/>
      <c r="Y582" s="3"/>
      <c r="Z582" s="3"/>
      <c r="AA582" s="3"/>
      <c r="AB582" s="3"/>
      <c r="AC582" s="3"/>
      <c r="AD582" s="3"/>
      <c r="AE582" s="3"/>
      <c r="AF582" s="3"/>
      <c r="AG582" s="3"/>
      <c r="AH582" s="3"/>
      <c r="AI582" s="3"/>
      <c r="AJ582" s="3"/>
      <c r="AK582" s="3"/>
      <c r="AL582" s="3"/>
    </row>
    <row r="583" ht="15.75" customHeight="1">
      <c r="A583" s="45"/>
      <c r="B583" s="2"/>
      <c r="C583" s="667"/>
      <c r="D583" s="2"/>
      <c r="E583" s="668"/>
      <c r="F583" s="2"/>
      <c r="G583" s="2"/>
      <c r="H583" s="2"/>
      <c r="I583" s="2"/>
      <c r="J583" s="2"/>
      <c r="K583" s="2"/>
      <c r="L583" s="2"/>
      <c r="M583" s="2"/>
      <c r="N583" s="667"/>
      <c r="O583" s="2"/>
      <c r="P583" s="2"/>
      <c r="Q583" s="2"/>
      <c r="R583" s="3"/>
      <c r="S583" s="3"/>
      <c r="T583" s="3"/>
      <c r="U583" s="3"/>
      <c r="V583" s="3"/>
      <c r="W583" s="3"/>
      <c r="X583" s="3"/>
      <c r="Y583" s="3"/>
      <c r="Z583" s="3"/>
      <c r="AA583" s="3"/>
      <c r="AB583" s="3"/>
      <c r="AC583" s="3"/>
      <c r="AD583" s="3"/>
      <c r="AE583" s="3"/>
      <c r="AF583" s="3"/>
      <c r="AG583" s="3"/>
      <c r="AH583" s="3"/>
      <c r="AI583" s="3"/>
      <c r="AJ583" s="3"/>
      <c r="AK583" s="3"/>
      <c r="AL583" s="3"/>
    </row>
    <row r="584" ht="15.75" customHeight="1">
      <c r="A584" s="45"/>
      <c r="B584" s="2"/>
      <c r="C584" s="667"/>
      <c r="D584" s="2"/>
      <c r="E584" s="668"/>
      <c r="F584" s="2"/>
      <c r="G584" s="2"/>
      <c r="H584" s="2"/>
      <c r="I584" s="2"/>
      <c r="J584" s="2"/>
      <c r="K584" s="2"/>
      <c r="L584" s="2"/>
      <c r="M584" s="2"/>
      <c r="N584" s="667"/>
      <c r="O584" s="2"/>
      <c r="P584" s="2"/>
      <c r="Q584" s="2"/>
      <c r="R584" s="3"/>
      <c r="S584" s="3"/>
      <c r="T584" s="3"/>
      <c r="U584" s="3"/>
      <c r="V584" s="3"/>
      <c r="W584" s="3"/>
      <c r="X584" s="3"/>
      <c r="Y584" s="3"/>
      <c r="Z584" s="3"/>
      <c r="AA584" s="3"/>
      <c r="AB584" s="3"/>
      <c r="AC584" s="3"/>
      <c r="AD584" s="3"/>
      <c r="AE584" s="3"/>
      <c r="AF584" s="3"/>
      <c r="AG584" s="3"/>
      <c r="AH584" s="3"/>
      <c r="AI584" s="3"/>
      <c r="AJ584" s="3"/>
      <c r="AK584" s="3"/>
      <c r="AL584" s="3"/>
    </row>
    <row r="585" ht="15.75" customHeight="1">
      <c r="A585" s="45"/>
      <c r="B585" s="2"/>
      <c r="C585" s="667"/>
      <c r="D585" s="2"/>
      <c r="E585" s="668"/>
      <c r="F585" s="2"/>
      <c r="G585" s="2"/>
      <c r="H585" s="2"/>
      <c r="I585" s="2"/>
      <c r="J585" s="2"/>
      <c r="K585" s="2"/>
      <c r="L585" s="2"/>
      <c r="M585" s="2"/>
      <c r="N585" s="667"/>
      <c r="O585" s="2"/>
      <c r="P585" s="2"/>
      <c r="Q585" s="2"/>
      <c r="R585" s="3"/>
      <c r="S585" s="3"/>
      <c r="T585" s="3"/>
      <c r="U585" s="3"/>
      <c r="V585" s="3"/>
      <c r="W585" s="3"/>
      <c r="X585" s="3"/>
      <c r="Y585" s="3"/>
      <c r="Z585" s="3"/>
      <c r="AA585" s="3"/>
      <c r="AB585" s="3"/>
      <c r="AC585" s="3"/>
      <c r="AD585" s="3"/>
      <c r="AE585" s="3"/>
      <c r="AF585" s="3"/>
      <c r="AG585" s="3"/>
      <c r="AH585" s="3"/>
      <c r="AI585" s="3"/>
      <c r="AJ585" s="3"/>
      <c r="AK585" s="3"/>
      <c r="AL585" s="3"/>
    </row>
    <row r="586" ht="15.75" customHeight="1">
      <c r="A586" s="45"/>
      <c r="B586" s="2"/>
      <c r="C586" s="667"/>
      <c r="D586" s="2"/>
      <c r="E586" s="668"/>
      <c r="F586" s="2"/>
      <c r="G586" s="2"/>
      <c r="H586" s="2"/>
      <c r="I586" s="2"/>
      <c r="J586" s="2"/>
      <c r="K586" s="2"/>
      <c r="L586" s="2"/>
      <c r="M586" s="2"/>
      <c r="N586" s="667"/>
      <c r="O586" s="2"/>
      <c r="P586" s="2"/>
      <c r="Q586" s="2"/>
      <c r="R586" s="3"/>
      <c r="S586" s="3"/>
      <c r="T586" s="3"/>
      <c r="U586" s="3"/>
      <c r="V586" s="3"/>
      <c r="W586" s="3"/>
      <c r="X586" s="3"/>
      <c r="Y586" s="3"/>
      <c r="Z586" s="3"/>
      <c r="AA586" s="3"/>
      <c r="AB586" s="3"/>
      <c r="AC586" s="3"/>
      <c r="AD586" s="3"/>
      <c r="AE586" s="3"/>
      <c r="AF586" s="3"/>
      <c r="AG586" s="3"/>
      <c r="AH586" s="3"/>
      <c r="AI586" s="3"/>
      <c r="AJ586" s="3"/>
      <c r="AK586" s="3"/>
      <c r="AL586" s="3"/>
    </row>
    <row r="587" ht="15.75" customHeight="1">
      <c r="A587" s="45"/>
      <c r="B587" s="2"/>
      <c r="C587" s="667"/>
      <c r="D587" s="2"/>
      <c r="E587" s="668"/>
      <c r="F587" s="2"/>
      <c r="G587" s="2"/>
      <c r="H587" s="2"/>
      <c r="I587" s="2"/>
      <c r="J587" s="2"/>
      <c r="K587" s="2"/>
      <c r="L587" s="2"/>
      <c r="M587" s="2"/>
      <c r="N587" s="667"/>
      <c r="O587" s="2"/>
      <c r="P587" s="2"/>
      <c r="Q587" s="2"/>
      <c r="R587" s="3"/>
      <c r="S587" s="3"/>
      <c r="T587" s="3"/>
      <c r="U587" s="3"/>
      <c r="V587" s="3"/>
      <c r="W587" s="3"/>
      <c r="X587" s="3"/>
      <c r="Y587" s="3"/>
      <c r="Z587" s="3"/>
      <c r="AA587" s="3"/>
      <c r="AB587" s="3"/>
      <c r="AC587" s="3"/>
      <c r="AD587" s="3"/>
      <c r="AE587" s="3"/>
      <c r="AF587" s="3"/>
      <c r="AG587" s="3"/>
      <c r="AH587" s="3"/>
      <c r="AI587" s="3"/>
      <c r="AJ587" s="3"/>
      <c r="AK587" s="3"/>
      <c r="AL587" s="3"/>
    </row>
    <row r="588" ht="15.75" customHeight="1">
      <c r="A588" s="45"/>
      <c r="B588" s="2"/>
      <c r="C588" s="667"/>
      <c r="D588" s="2"/>
      <c r="E588" s="668"/>
      <c r="F588" s="2"/>
      <c r="G588" s="2"/>
      <c r="H588" s="2"/>
      <c r="I588" s="2"/>
      <c r="J588" s="2"/>
      <c r="K588" s="2"/>
      <c r="L588" s="2"/>
      <c r="M588" s="2"/>
      <c r="N588" s="667"/>
      <c r="O588" s="2"/>
      <c r="P588" s="2"/>
      <c r="Q588" s="2"/>
      <c r="R588" s="3"/>
      <c r="S588" s="3"/>
      <c r="T588" s="3"/>
      <c r="U588" s="3"/>
      <c r="V588" s="3"/>
      <c r="W588" s="3"/>
      <c r="X588" s="3"/>
      <c r="Y588" s="3"/>
      <c r="Z588" s="3"/>
      <c r="AA588" s="3"/>
      <c r="AB588" s="3"/>
      <c r="AC588" s="3"/>
      <c r="AD588" s="3"/>
      <c r="AE588" s="3"/>
      <c r="AF588" s="3"/>
      <c r="AG588" s="3"/>
      <c r="AH588" s="3"/>
      <c r="AI588" s="3"/>
      <c r="AJ588" s="3"/>
      <c r="AK588" s="3"/>
      <c r="AL588" s="3"/>
    </row>
    <row r="589" ht="15.75" customHeight="1">
      <c r="A589" s="45"/>
      <c r="B589" s="2"/>
      <c r="C589" s="667"/>
      <c r="D589" s="2"/>
      <c r="E589" s="668"/>
      <c r="F589" s="2"/>
      <c r="G589" s="2"/>
      <c r="H589" s="2"/>
      <c r="I589" s="2"/>
      <c r="J589" s="2"/>
      <c r="K589" s="2"/>
      <c r="L589" s="2"/>
      <c r="M589" s="2"/>
      <c r="N589" s="667"/>
      <c r="O589" s="2"/>
      <c r="P589" s="2"/>
      <c r="Q589" s="2"/>
      <c r="R589" s="3"/>
      <c r="S589" s="3"/>
      <c r="T589" s="3"/>
      <c r="U589" s="3"/>
      <c r="V589" s="3"/>
      <c r="W589" s="3"/>
      <c r="X589" s="3"/>
      <c r="Y589" s="3"/>
      <c r="Z589" s="3"/>
      <c r="AA589" s="3"/>
      <c r="AB589" s="3"/>
      <c r="AC589" s="3"/>
      <c r="AD589" s="3"/>
      <c r="AE589" s="3"/>
      <c r="AF589" s="3"/>
      <c r="AG589" s="3"/>
      <c r="AH589" s="3"/>
      <c r="AI589" s="3"/>
      <c r="AJ589" s="3"/>
      <c r="AK589" s="3"/>
      <c r="AL589" s="3"/>
    </row>
    <row r="590" ht="15.75" customHeight="1">
      <c r="A590" s="45"/>
      <c r="B590" s="2"/>
      <c r="C590" s="667"/>
      <c r="D590" s="2"/>
      <c r="E590" s="668"/>
      <c r="F590" s="2"/>
      <c r="G590" s="2"/>
      <c r="H590" s="2"/>
      <c r="I590" s="2"/>
      <c r="J590" s="2"/>
      <c r="K590" s="2"/>
      <c r="L590" s="2"/>
      <c r="M590" s="2"/>
      <c r="N590" s="667"/>
      <c r="O590" s="2"/>
      <c r="P590" s="2"/>
      <c r="Q590" s="2"/>
      <c r="R590" s="3"/>
      <c r="S590" s="3"/>
      <c r="T590" s="3"/>
      <c r="U590" s="3"/>
      <c r="V590" s="3"/>
      <c r="W590" s="3"/>
      <c r="X590" s="3"/>
      <c r="Y590" s="3"/>
      <c r="Z590" s="3"/>
      <c r="AA590" s="3"/>
      <c r="AB590" s="3"/>
      <c r="AC590" s="3"/>
      <c r="AD590" s="3"/>
      <c r="AE590" s="3"/>
      <c r="AF590" s="3"/>
      <c r="AG590" s="3"/>
      <c r="AH590" s="3"/>
      <c r="AI590" s="3"/>
      <c r="AJ590" s="3"/>
      <c r="AK590" s="3"/>
      <c r="AL590" s="3"/>
    </row>
    <row r="591" ht="15.75" customHeight="1">
      <c r="A591" s="45"/>
      <c r="B591" s="2"/>
      <c r="C591" s="667"/>
      <c r="D591" s="2"/>
      <c r="E591" s="668"/>
      <c r="F591" s="2"/>
      <c r="G591" s="2"/>
      <c r="H591" s="2"/>
      <c r="I591" s="2"/>
      <c r="J591" s="2"/>
      <c r="K591" s="2"/>
      <c r="L591" s="2"/>
      <c r="M591" s="2"/>
      <c r="N591" s="667"/>
      <c r="O591" s="2"/>
      <c r="P591" s="2"/>
      <c r="Q591" s="2"/>
      <c r="R591" s="3"/>
      <c r="S591" s="3"/>
      <c r="T591" s="3"/>
      <c r="U591" s="3"/>
      <c r="V591" s="3"/>
      <c r="W591" s="3"/>
      <c r="X591" s="3"/>
      <c r="Y591" s="3"/>
      <c r="Z591" s="3"/>
      <c r="AA591" s="3"/>
      <c r="AB591" s="3"/>
      <c r="AC591" s="3"/>
      <c r="AD591" s="3"/>
      <c r="AE591" s="3"/>
      <c r="AF591" s="3"/>
      <c r="AG591" s="3"/>
      <c r="AH591" s="3"/>
      <c r="AI591" s="3"/>
      <c r="AJ591" s="3"/>
      <c r="AK591" s="3"/>
      <c r="AL591" s="3"/>
    </row>
    <row r="592" ht="15.75" customHeight="1">
      <c r="A592" s="45"/>
      <c r="B592" s="2"/>
      <c r="C592" s="667"/>
      <c r="D592" s="2"/>
      <c r="E592" s="668"/>
      <c r="F592" s="2"/>
      <c r="G592" s="2"/>
      <c r="H592" s="2"/>
      <c r="I592" s="2"/>
      <c r="J592" s="2"/>
      <c r="K592" s="2"/>
      <c r="L592" s="2"/>
      <c r="M592" s="2"/>
      <c r="N592" s="667"/>
      <c r="O592" s="2"/>
      <c r="P592" s="2"/>
      <c r="Q592" s="2"/>
      <c r="R592" s="3"/>
      <c r="S592" s="3"/>
      <c r="T592" s="3"/>
      <c r="U592" s="3"/>
      <c r="V592" s="3"/>
      <c r="W592" s="3"/>
      <c r="X592" s="3"/>
      <c r="Y592" s="3"/>
      <c r="Z592" s="3"/>
      <c r="AA592" s="3"/>
      <c r="AB592" s="3"/>
      <c r="AC592" s="3"/>
      <c r="AD592" s="3"/>
      <c r="AE592" s="3"/>
      <c r="AF592" s="3"/>
      <c r="AG592" s="3"/>
      <c r="AH592" s="3"/>
      <c r="AI592" s="3"/>
      <c r="AJ592" s="3"/>
      <c r="AK592" s="3"/>
      <c r="AL592" s="3"/>
    </row>
    <row r="593" ht="15.75" customHeight="1">
      <c r="A593" s="45"/>
      <c r="B593" s="2"/>
      <c r="C593" s="667"/>
      <c r="D593" s="2"/>
      <c r="E593" s="668"/>
      <c r="F593" s="2"/>
      <c r="G593" s="2"/>
      <c r="H593" s="2"/>
      <c r="I593" s="2"/>
      <c r="J593" s="2"/>
      <c r="K593" s="2"/>
      <c r="L593" s="2"/>
      <c r="M593" s="2"/>
      <c r="N593" s="667"/>
      <c r="O593" s="2"/>
      <c r="P593" s="2"/>
      <c r="Q593" s="2"/>
      <c r="R593" s="3"/>
      <c r="S593" s="3"/>
      <c r="T593" s="3"/>
      <c r="U593" s="3"/>
      <c r="V593" s="3"/>
      <c r="W593" s="3"/>
      <c r="X593" s="3"/>
      <c r="Y593" s="3"/>
      <c r="Z593" s="3"/>
      <c r="AA593" s="3"/>
      <c r="AB593" s="3"/>
      <c r="AC593" s="3"/>
      <c r="AD593" s="3"/>
      <c r="AE593" s="3"/>
      <c r="AF593" s="3"/>
      <c r="AG593" s="3"/>
      <c r="AH593" s="3"/>
      <c r="AI593" s="3"/>
      <c r="AJ593" s="3"/>
      <c r="AK593" s="3"/>
      <c r="AL593" s="3"/>
    </row>
    <row r="594" ht="15.75" customHeight="1">
      <c r="A594" s="45"/>
      <c r="B594" s="2"/>
      <c r="C594" s="667"/>
      <c r="D594" s="2"/>
      <c r="E594" s="668"/>
      <c r="F594" s="2"/>
      <c r="G594" s="2"/>
      <c r="H594" s="2"/>
      <c r="I594" s="2"/>
      <c r="J594" s="2"/>
      <c r="K594" s="2"/>
      <c r="L594" s="2"/>
      <c r="M594" s="2"/>
      <c r="N594" s="667"/>
      <c r="O594" s="2"/>
      <c r="P594" s="2"/>
      <c r="Q594" s="2"/>
      <c r="R594" s="3"/>
      <c r="S594" s="3"/>
      <c r="T594" s="3"/>
      <c r="U594" s="3"/>
      <c r="V594" s="3"/>
      <c r="W594" s="3"/>
      <c r="X594" s="3"/>
      <c r="Y594" s="3"/>
      <c r="Z594" s="3"/>
      <c r="AA594" s="3"/>
      <c r="AB594" s="3"/>
      <c r="AC594" s="3"/>
      <c r="AD594" s="3"/>
      <c r="AE594" s="3"/>
      <c r="AF594" s="3"/>
      <c r="AG594" s="3"/>
      <c r="AH594" s="3"/>
      <c r="AI594" s="3"/>
      <c r="AJ594" s="3"/>
      <c r="AK594" s="3"/>
      <c r="AL594" s="3"/>
    </row>
    <row r="595" ht="15.75" customHeight="1">
      <c r="A595" s="45"/>
      <c r="B595" s="2"/>
      <c r="C595" s="667"/>
      <c r="D595" s="2"/>
      <c r="E595" s="668"/>
      <c r="F595" s="2"/>
      <c r="G595" s="2"/>
      <c r="H595" s="2"/>
      <c r="I595" s="2"/>
      <c r="J595" s="2"/>
      <c r="K595" s="2"/>
      <c r="L595" s="2"/>
      <c r="M595" s="2"/>
      <c r="N595" s="667"/>
      <c r="O595" s="2"/>
      <c r="P595" s="2"/>
      <c r="Q595" s="2"/>
      <c r="R595" s="3"/>
      <c r="S595" s="3"/>
      <c r="T595" s="3"/>
      <c r="U595" s="3"/>
      <c r="V595" s="3"/>
      <c r="W595" s="3"/>
      <c r="X595" s="3"/>
      <c r="Y595" s="3"/>
      <c r="Z595" s="3"/>
      <c r="AA595" s="3"/>
      <c r="AB595" s="3"/>
      <c r="AC595" s="3"/>
      <c r="AD595" s="3"/>
      <c r="AE595" s="3"/>
      <c r="AF595" s="3"/>
      <c r="AG595" s="3"/>
      <c r="AH595" s="3"/>
      <c r="AI595" s="3"/>
      <c r="AJ595" s="3"/>
      <c r="AK595" s="3"/>
      <c r="AL595" s="3"/>
    </row>
    <row r="596" ht="15.75" customHeight="1">
      <c r="A596" s="45"/>
      <c r="B596" s="2"/>
      <c r="C596" s="667"/>
      <c r="D596" s="2"/>
      <c r="E596" s="668"/>
      <c r="F596" s="2"/>
      <c r="G596" s="2"/>
      <c r="H596" s="2"/>
      <c r="I596" s="2"/>
      <c r="J596" s="2"/>
      <c r="K596" s="2"/>
      <c r="L596" s="2"/>
      <c r="M596" s="2"/>
      <c r="N596" s="667"/>
      <c r="O596" s="2"/>
      <c r="P596" s="2"/>
      <c r="Q596" s="2"/>
      <c r="R596" s="3"/>
      <c r="S596" s="3"/>
      <c r="T596" s="3"/>
      <c r="U596" s="3"/>
      <c r="V596" s="3"/>
      <c r="W596" s="3"/>
      <c r="X596" s="3"/>
      <c r="Y596" s="3"/>
      <c r="Z596" s="3"/>
      <c r="AA596" s="3"/>
      <c r="AB596" s="3"/>
      <c r="AC596" s="3"/>
      <c r="AD596" s="3"/>
      <c r="AE596" s="3"/>
      <c r="AF596" s="3"/>
      <c r="AG596" s="3"/>
      <c r="AH596" s="3"/>
      <c r="AI596" s="3"/>
      <c r="AJ596" s="3"/>
      <c r="AK596" s="3"/>
      <c r="AL596" s="3"/>
    </row>
    <row r="597" ht="15.75" customHeight="1">
      <c r="A597" s="45"/>
      <c r="B597" s="2"/>
      <c r="C597" s="667"/>
      <c r="D597" s="2"/>
      <c r="E597" s="668"/>
      <c r="F597" s="2"/>
      <c r="G597" s="2"/>
      <c r="H597" s="2"/>
      <c r="I597" s="2"/>
      <c r="J597" s="2"/>
      <c r="K597" s="2"/>
      <c r="L597" s="2"/>
      <c r="M597" s="2"/>
      <c r="N597" s="667"/>
      <c r="O597" s="2"/>
      <c r="P597" s="2"/>
      <c r="Q597" s="2"/>
      <c r="R597" s="3"/>
      <c r="S597" s="3"/>
      <c r="T597" s="3"/>
      <c r="U597" s="3"/>
      <c r="V597" s="3"/>
      <c r="W597" s="3"/>
      <c r="X597" s="3"/>
      <c r="Y597" s="3"/>
      <c r="Z597" s="3"/>
      <c r="AA597" s="3"/>
      <c r="AB597" s="3"/>
      <c r="AC597" s="3"/>
      <c r="AD597" s="3"/>
      <c r="AE597" s="3"/>
      <c r="AF597" s="3"/>
      <c r="AG597" s="3"/>
      <c r="AH597" s="3"/>
      <c r="AI597" s="3"/>
      <c r="AJ597" s="3"/>
      <c r="AK597" s="3"/>
      <c r="AL597" s="3"/>
    </row>
    <row r="598" ht="15.75" customHeight="1">
      <c r="A598" s="45"/>
      <c r="B598" s="2"/>
      <c r="C598" s="667"/>
      <c r="D598" s="2"/>
      <c r="E598" s="668"/>
      <c r="F598" s="2"/>
      <c r="G598" s="2"/>
      <c r="H598" s="2"/>
      <c r="I598" s="2"/>
      <c r="J598" s="2"/>
      <c r="K598" s="2"/>
      <c r="L598" s="2"/>
      <c r="M598" s="2"/>
      <c r="N598" s="667"/>
      <c r="O598" s="2"/>
      <c r="P598" s="2"/>
      <c r="Q598" s="2"/>
      <c r="R598" s="3"/>
      <c r="S598" s="3"/>
      <c r="T598" s="3"/>
      <c r="U598" s="3"/>
      <c r="V598" s="3"/>
      <c r="W598" s="3"/>
      <c r="X598" s="3"/>
      <c r="Y598" s="3"/>
      <c r="Z598" s="3"/>
      <c r="AA598" s="3"/>
      <c r="AB598" s="3"/>
      <c r="AC598" s="3"/>
      <c r="AD598" s="3"/>
      <c r="AE598" s="3"/>
      <c r="AF598" s="3"/>
      <c r="AG598" s="3"/>
      <c r="AH598" s="3"/>
      <c r="AI598" s="3"/>
      <c r="AJ598" s="3"/>
      <c r="AK598" s="3"/>
      <c r="AL598" s="3"/>
    </row>
    <row r="599" ht="15.75" customHeight="1">
      <c r="A599" s="45"/>
      <c r="B599" s="2"/>
      <c r="C599" s="667"/>
      <c r="D599" s="2"/>
      <c r="E599" s="668"/>
      <c r="F599" s="2"/>
      <c r="G599" s="2"/>
      <c r="H599" s="2"/>
      <c r="I599" s="2"/>
      <c r="J599" s="2"/>
      <c r="K599" s="2"/>
      <c r="L599" s="2"/>
      <c r="M599" s="2"/>
      <c r="N599" s="667"/>
      <c r="O599" s="2"/>
      <c r="P599" s="2"/>
      <c r="Q599" s="2"/>
      <c r="R599" s="3"/>
      <c r="S599" s="3"/>
      <c r="T599" s="3"/>
      <c r="U599" s="3"/>
      <c r="V599" s="3"/>
      <c r="W599" s="3"/>
      <c r="X599" s="3"/>
      <c r="Y599" s="3"/>
      <c r="Z599" s="3"/>
      <c r="AA599" s="3"/>
      <c r="AB599" s="3"/>
      <c r="AC599" s="3"/>
      <c r="AD599" s="3"/>
      <c r="AE599" s="3"/>
      <c r="AF599" s="3"/>
      <c r="AG599" s="3"/>
      <c r="AH599" s="3"/>
      <c r="AI599" s="3"/>
      <c r="AJ599" s="3"/>
      <c r="AK599" s="3"/>
      <c r="AL599" s="3"/>
    </row>
    <row r="600" ht="15.75" customHeight="1">
      <c r="A600" s="45"/>
      <c r="B600" s="2"/>
      <c r="C600" s="667"/>
      <c r="D600" s="2"/>
      <c r="E600" s="668"/>
      <c r="F600" s="2"/>
      <c r="G600" s="2"/>
      <c r="H600" s="2"/>
      <c r="I600" s="2"/>
      <c r="J600" s="2"/>
      <c r="K600" s="2"/>
      <c r="L600" s="2"/>
      <c r="M600" s="2"/>
      <c r="N600" s="667"/>
      <c r="O600" s="2"/>
      <c r="P600" s="2"/>
      <c r="Q600" s="2"/>
      <c r="R600" s="3"/>
      <c r="S600" s="3"/>
      <c r="T600" s="3"/>
      <c r="U600" s="3"/>
      <c r="V600" s="3"/>
      <c r="W600" s="3"/>
      <c r="X600" s="3"/>
      <c r="Y600" s="3"/>
      <c r="Z600" s="3"/>
      <c r="AA600" s="3"/>
      <c r="AB600" s="3"/>
      <c r="AC600" s="3"/>
      <c r="AD600" s="3"/>
      <c r="AE600" s="3"/>
      <c r="AF600" s="3"/>
      <c r="AG600" s="3"/>
      <c r="AH600" s="3"/>
      <c r="AI600" s="3"/>
      <c r="AJ600" s="3"/>
      <c r="AK600" s="3"/>
      <c r="AL600" s="3"/>
    </row>
    <row r="601" ht="15.75" customHeight="1">
      <c r="A601" s="45"/>
      <c r="B601" s="2"/>
      <c r="C601" s="667"/>
      <c r="D601" s="2"/>
      <c r="E601" s="668"/>
      <c r="F601" s="2"/>
      <c r="G601" s="2"/>
      <c r="H601" s="2"/>
      <c r="I601" s="2"/>
      <c r="J601" s="2"/>
      <c r="K601" s="2"/>
      <c r="L601" s="2"/>
      <c r="M601" s="2"/>
      <c r="N601" s="667"/>
      <c r="O601" s="2"/>
      <c r="P601" s="2"/>
      <c r="Q601" s="2"/>
      <c r="R601" s="3"/>
      <c r="S601" s="3"/>
      <c r="T601" s="3"/>
      <c r="U601" s="3"/>
      <c r="V601" s="3"/>
      <c r="W601" s="3"/>
      <c r="X601" s="3"/>
      <c r="Y601" s="3"/>
      <c r="Z601" s="3"/>
      <c r="AA601" s="3"/>
      <c r="AB601" s="3"/>
      <c r="AC601" s="3"/>
      <c r="AD601" s="3"/>
      <c r="AE601" s="3"/>
      <c r="AF601" s="3"/>
      <c r="AG601" s="3"/>
      <c r="AH601" s="3"/>
      <c r="AI601" s="3"/>
      <c r="AJ601" s="3"/>
      <c r="AK601" s="3"/>
      <c r="AL601" s="3"/>
    </row>
    <row r="602" ht="15.75" customHeight="1">
      <c r="A602" s="45"/>
      <c r="B602" s="2"/>
      <c r="C602" s="667"/>
      <c r="D602" s="2"/>
      <c r="E602" s="668"/>
      <c r="F602" s="2"/>
      <c r="G602" s="2"/>
      <c r="H602" s="2"/>
      <c r="I602" s="2"/>
      <c r="J602" s="2"/>
      <c r="K602" s="2"/>
      <c r="L602" s="2"/>
      <c r="M602" s="2"/>
      <c r="N602" s="667"/>
      <c r="O602" s="2"/>
      <c r="P602" s="2"/>
      <c r="Q602" s="2"/>
      <c r="R602" s="3"/>
      <c r="S602" s="3"/>
      <c r="T602" s="3"/>
      <c r="U602" s="3"/>
      <c r="V602" s="3"/>
      <c r="W602" s="3"/>
      <c r="X602" s="3"/>
      <c r="Y602" s="3"/>
      <c r="Z602" s="3"/>
      <c r="AA602" s="3"/>
      <c r="AB602" s="3"/>
      <c r="AC602" s="3"/>
      <c r="AD602" s="3"/>
      <c r="AE602" s="3"/>
      <c r="AF602" s="3"/>
      <c r="AG602" s="3"/>
      <c r="AH602" s="3"/>
      <c r="AI602" s="3"/>
      <c r="AJ602" s="3"/>
      <c r="AK602" s="3"/>
      <c r="AL602" s="3"/>
    </row>
    <row r="603" ht="15.75" customHeight="1">
      <c r="A603" s="45"/>
      <c r="B603" s="2"/>
      <c r="C603" s="667"/>
      <c r="D603" s="2"/>
      <c r="E603" s="668"/>
      <c r="F603" s="2"/>
      <c r="G603" s="2"/>
      <c r="H603" s="2"/>
      <c r="I603" s="2"/>
      <c r="J603" s="2"/>
      <c r="K603" s="2"/>
      <c r="L603" s="2"/>
      <c r="M603" s="2"/>
      <c r="N603" s="667"/>
      <c r="O603" s="2"/>
      <c r="P603" s="2"/>
      <c r="Q603" s="2"/>
      <c r="R603" s="3"/>
      <c r="S603" s="3"/>
      <c r="T603" s="3"/>
      <c r="U603" s="3"/>
      <c r="V603" s="3"/>
      <c r="W603" s="3"/>
      <c r="X603" s="3"/>
      <c r="Y603" s="3"/>
      <c r="Z603" s="3"/>
      <c r="AA603" s="3"/>
      <c r="AB603" s="3"/>
      <c r="AC603" s="3"/>
      <c r="AD603" s="3"/>
      <c r="AE603" s="3"/>
      <c r="AF603" s="3"/>
      <c r="AG603" s="3"/>
      <c r="AH603" s="3"/>
      <c r="AI603" s="3"/>
      <c r="AJ603" s="3"/>
      <c r="AK603" s="3"/>
      <c r="AL603" s="3"/>
    </row>
    <row r="604" ht="15.75" customHeight="1">
      <c r="A604" s="45"/>
      <c r="B604" s="2"/>
      <c r="C604" s="667"/>
      <c r="D604" s="2"/>
      <c r="E604" s="668"/>
      <c r="F604" s="2"/>
      <c r="G604" s="2"/>
      <c r="H604" s="2"/>
      <c r="I604" s="2"/>
      <c r="J604" s="2"/>
      <c r="K604" s="2"/>
      <c r="L604" s="2"/>
      <c r="M604" s="2"/>
      <c r="N604" s="667"/>
      <c r="O604" s="2"/>
      <c r="P604" s="2"/>
      <c r="Q604" s="2"/>
      <c r="R604" s="3"/>
      <c r="S604" s="3"/>
      <c r="T604" s="3"/>
      <c r="U604" s="3"/>
      <c r="V604" s="3"/>
      <c r="W604" s="3"/>
      <c r="X604" s="3"/>
      <c r="Y604" s="3"/>
      <c r="Z604" s="3"/>
      <c r="AA604" s="3"/>
      <c r="AB604" s="3"/>
      <c r="AC604" s="3"/>
      <c r="AD604" s="3"/>
      <c r="AE604" s="3"/>
      <c r="AF604" s="3"/>
      <c r="AG604" s="3"/>
      <c r="AH604" s="3"/>
      <c r="AI604" s="3"/>
      <c r="AJ604" s="3"/>
      <c r="AK604" s="3"/>
      <c r="AL604" s="3"/>
    </row>
    <row r="605" ht="15.75" customHeight="1">
      <c r="A605" s="45"/>
      <c r="B605" s="2"/>
      <c r="C605" s="667"/>
      <c r="D605" s="2"/>
      <c r="E605" s="668"/>
      <c r="F605" s="2"/>
      <c r="G605" s="2"/>
      <c r="H605" s="2"/>
      <c r="I605" s="2"/>
      <c r="J605" s="2"/>
      <c r="K605" s="2"/>
      <c r="L605" s="2"/>
      <c r="M605" s="2"/>
      <c r="N605" s="667"/>
      <c r="O605" s="2"/>
      <c r="P605" s="2"/>
      <c r="Q605" s="2"/>
      <c r="R605" s="3"/>
      <c r="S605" s="3"/>
      <c r="T605" s="3"/>
      <c r="U605" s="3"/>
      <c r="V605" s="3"/>
      <c r="W605" s="3"/>
      <c r="X605" s="3"/>
      <c r="Y605" s="3"/>
      <c r="Z605" s="3"/>
      <c r="AA605" s="3"/>
      <c r="AB605" s="3"/>
      <c r="AC605" s="3"/>
      <c r="AD605" s="3"/>
      <c r="AE605" s="3"/>
      <c r="AF605" s="3"/>
      <c r="AG605" s="3"/>
      <c r="AH605" s="3"/>
      <c r="AI605" s="3"/>
      <c r="AJ605" s="3"/>
      <c r="AK605" s="3"/>
      <c r="AL605" s="3"/>
    </row>
    <row r="606" ht="15.75" customHeight="1">
      <c r="A606" s="45"/>
      <c r="B606" s="2"/>
      <c r="C606" s="667"/>
      <c r="D606" s="2"/>
      <c r="E606" s="668"/>
      <c r="F606" s="2"/>
      <c r="G606" s="2"/>
      <c r="H606" s="2"/>
      <c r="I606" s="2"/>
      <c r="J606" s="2"/>
      <c r="K606" s="2"/>
      <c r="L606" s="2"/>
      <c r="M606" s="2"/>
      <c r="N606" s="667"/>
      <c r="O606" s="2"/>
      <c r="P606" s="2"/>
      <c r="Q606" s="2"/>
      <c r="R606" s="3"/>
      <c r="S606" s="3"/>
      <c r="T606" s="3"/>
      <c r="U606" s="3"/>
      <c r="V606" s="3"/>
      <c r="W606" s="3"/>
      <c r="X606" s="3"/>
      <c r="Y606" s="3"/>
      <c r="Z606" s="3"/>
      <c r="AA606" s="3"/>
      <c r="AB606" s="3"/>
      <c r="AC606" s="3"/>
      <c r="AD606" s="3"/>
      <c r="AE606" s="3"/>
      <c r="AF606" s="3"/>
      <c r="AG606" s="3"/>
      <c r="AH606" s="3"/>
      <c r="AI606" s="3"/>
      <c r="AJ606" s="3"/>
      <c r="AK606" s="3"/>
      <c r="AL606" s="3"/>
    </row>
    <row r="607" ht="15.75" customHeight="1">
      <c r="A607" s="45"/>
      <c r="B607" s="2"/>
      <c r="C607" s="667"/>
      <c r="D607" s="2"/>
      <c r="E607" s="668"/>
      <c r="F607" s="2"/>
      <c r="G607" s="2"/>
      <c r="H607" s="2"/>
      <c r="I607" s="2"/>
      <c r="J607" s="2"/>
      <c r="K607" s="2"/>
      <c r="L607" s="2"/>
      <c r="M607" s="2"/>
      <c r="N607" s="667"/>
      <c r="O607" s="2"/>
      <c r="P607" s="2"/>
      <c r="Q607" s="2"/>
      <c r="R607" s="3"/>
      <c r="S607" s="3"/>
      <c r="T607" s="3"/>
      <c r="U607" s="3"/>
      <c r="V607" s="3"/>
      <c r="W607" s="3"/>
      <c r="X607" s="3"/>
      <c r="Y607" s="3"/>
      <c r="Z607" s="3"/>
      <c r="AA607" s="3"/>
      <c r="AB607" s="3"/>
      <c r="AC607" s="3"/>
      <c r="AD607" s="3"/>
      <c r="AE607" s="3"/>
      <c r="AF607" s="3"/>
      <c r="AG607" s="3"/>
      <c r="AH607" s="3"/>
      <c r="AI607" s="3"/>
      <c r="AJ607" s="3"/>
      <c r="AK607" s="3"/>
      <c r="AL607" s="3"/>
    </row>
    <row r="608" ht="15.75" customHeight="1">
      <c r="A608" s="45"/>
      <c r="B608" s="2"/>
      <c r="C608" s="667"/>
      <c r="D608" s="2"/>
      <c r="E608" s="668"/>
      <c r="F608" s="2"/>
      <c r="G608" s="2"/>
      <c r="H608" s="2"/>
      <c r="I608" s="2"/>
      <c r="J608" s="2"/>
      <c r="K608" s="2"/>
      <c r="L608" s="2"/>
      <c r="M608" s="2"/>
      <c r="N608" s="667"/>
      <c r="O608" s="2"/>
      <c r="P608" s="2"/>
      <c r="Q608" s="2"/>
      <c r="R608" s="3"/>
      <c r="S608" s="3"/>
      <c r="T608" s="3"/>
      <c r="U608" s="3"/>
      <c r="V608" s="3"/>
      <c r="W608" s="3"/>
      <c r="X608" s="3"/>
      <c r="Y608" s="3"/>
      <c r="Z608" s="3"/>
      <c r="AA608" s="3"/>
      <c r="AB608" s="3"/>
      <c r="AC608" s="3"/>
      <c r="AD608" s="3"/>
      <c r="AE608" s="3"/>
      <c r="AF608" s="3"/>
      <c r="AG608" s="3"/>
      <c r="AH608" s="3"/>
      <c r="AI608" s="3"/>
      <c r="AJ608" s="3"/>
      <c r="AK608" s="3"/>
      <c r="AL608" s="3"/>
    </row>
    <row r="609" ht="15.75" customHeight="1">
      <c r="A609" s="45"/>
      <c r="B609" s="2"/>
      <c r="C609" s="667"/>
      <c r="D609" s="2"/>
      <c r="E609" s="668"/>
      <c r="F609" s="2"/>
      <c r="G609" s="2"/>
      <c r="H609" s="2"/>
      <c r="I609" s="2"/>
      <c r="J609" s="2"/>
      <c r="K609" s="2"/>
      <c r="L609" s="2"/>
      <c r="M609" s="2"/>
      <c r="N609" s="667"/>
      <c r="O609" s="2"/>
      <c r="P609" s="2"/>
      <c r="Q609" s="2"/>
      <c r="R609" s="3"/>
      <c r="S609" s="3"/>
      <c r="T609" s="3"/>
      <c r="U609" s="3"/>
      <c r="V609" s="3"/>
      <c r="W609" s="3"/>
      <c r="X609" s="3"/>
      <c r="Y609" s="3"/>
      <c r="Z609" s="3"/>
      <c r="AA609" s="3"/>
      <c r="AB609" s="3"/>
      <c r="AC609" s="3"/>
      <c r="AD609" s="3"/>
      <c r="AE609" s="3"/>
      <c r="AF609" s="3"/>
      <c r="AG609" s="3"/>
      <c r="AH609" s="3"/>
      <c r="AI609" s="3"/>
      <c r="AJ609" s="3"/>
      <c r="AK609" s="3"/>
      <c r="AL609" s="3"/>
    </row>
    <row r="610" ht="15.75" customHeight="1">
      <c r="A610" s="45"/>
      <c r="B610" s="2"/>
      <c r="C610" s="667"/>
      <c r="D610" s="2"/>
      <c r="E610" s="668"/>
      <c r="F610" s="2"/>
      <c r="G610" s="2"/>
      <c r="H610" s="2"/>
      <c r="I610" s="2"/>
      <c r="J610" s="2"/>
      <c r="K610" s="2"/>
      <c r="L610" s="2"/>
      <c r="M610" s="2"/>
      <c r="N610" s="667"/>
      <c r="O610" s="2"/>
      <c r="P610" s="2"/>
      <c r="Q610" s="2"/>
      <c r="R610" s="3"/>
      <c r="S610" s="3"/>
      <c r="T610" s="3"/>
      <c r="U610" s="3"/>
      <c r="V610" s="3"/>
      <c r="W610" s="3"/>
      <c r="X610" s="3"/>
      <c r="Y610" s="3"/>
      <c r="Z610" s="3"/>
      <c r="AA610" s="3"/>
      <c r="AB610" s="3"/>
      <c r="AC610" s="3"/>
      <c r="AD610" s="3"/>
      <c r="AE610" s="3"/>
      <c r="AF610" s="3"/>
      <c r="AG610" s="3"/>
      <c r="AH610" s="3"/>
      <c r="AI610" s="3"/>
      <c r="AJ610" s="3"/>
      <c r="AK610" s="3"/>
      <c r="AL610" s="3"/>
    </row>
    <row r="611" ht="15.75" customHeight="1">
      <c r="A611" s="45"/>
      <c r="B611" s="2"/>
      <c r="C611" s="667"/>
      <c r="D611" s="2"/>
      <c r="E611" s="668"/>
      <c r="F611" s="2"/>
      <c r="G611" s="2"/>
      <c r="H611" s="2"/>
      <c r="I611" s="2"/>
      <c r="J611" s="2"/>
      <c r="K611" s="2"/>
      <c r="L611" s="2"/>
      <c r="M611" s="2"/>
      <c r="N611" s="667"/>
      <c r="O611" s="2"/>
      <c r="P611" s="2"/>
      <c r="Q611" s="2"/>
      <c r="R611" s="3"/>
      <c r="S611" s="3"/>
      <c r="T611" s="3"/>
      <c r="U611" s="3"/>
      <c r="V611" s="3"/>
      <c r="W611" s="3"/>
      <c r="X611" s="3"/>
      <c r="Y611" s="3"/>
      <c r="Z611" s="3"/>
      <c r="AA611" s="3"/>
      <c r="AB611" s="3"/>
      <c r="AC611" s="3"/>
      <c r="AD611" s="3"/>
      <c r="AE611" s="3"/>
      <c r="AF611" s="3"/>
      <c r="AG611" s="3"/>
      <c r="AH611" s="3"/>
      <c r="AI611" s="3"/>
      <c r="AJ611" s="3"/>
      <c r="AK611" s="3"/>
      <c r="AL611" s="3"/>
    </row>
    <row r="612" ht="15.75" customHeight="1">
      <c r="A612" s="45"/>
      <c r="B612" s="2"/>
      <c r="C612" s="667"/>
      <c r="D612" s="2"/>
      <c r="E612" s="668"/>
      <c r="F612" s="2"/>
      <c r="G612" s="2"/>
      <c r="H612" s="2"/>
      <c r="I612" s="2"/>
      <c r="J612" s="2"/>
      <c r="K612" s="2"/>
      <c r="L612" s="2"/>
      <c r="M612" s="2"/>
      <c r="N612" s="667"/>
      <c r="O612" s="2"/>
      <c r="P612" s="2"/>
      <c r="Q612" s="2"/>
      <c r="R612" s="3"/>
      <c r="S612" s="3"/>
      <c r="T612" s="3"/>
      <c r="U612" s="3"/>
      <c r="V612" s="3"/>
      <c r="W612" s="3"/>
      <c r="X612" s="3"/>
      <c r="Y612" s="3"/>
      <c r="Z612" s="3"/>
      <c r="AA612" s="3"/>
      <c r="AB612" s="3"/>
      <c r="AC612" s="3"/>
      <c r="AD612" s="3"/>
      <c r="AE612" s="3"/>
      <c r="AF612" s="3"/>
      <c r="AG612" s="3"/>
      <c r="AH612" s="3"/>
      <c r="AI612" s="3"/>
      <c r="AJ612" s="3"/>
      <c r="AK612" s="3"/>
      <c r="AL612" s="3"/>
    </row>
    <row r="613" ht="15.75" customHeight="1">
      <c r="A613" s="45"/>
      <c r="B613" s="2"/>
      <c r="C613" s="667"/>
      <c r="D613" s="2"/>
      <c r="E613" s="668"/>
      <c r="F613" s="2"/>
      <c r="G613" s="2"/>
      <c r="H613" s="2"/>
      <c r="I613" s="2"/>
      <c r="J613" s="2"/>
      <c r="K613" s="2"/>
      <c r="L613" s="2"/>
      <c r="M613" s="2"/>
      <c r="N613" s="667"/>
      <c r="O613" s="2"/>
      <c r="P613" s="2"/>
      <c r="Q613" s="2"/>
      <c r="R613" s="3"/>
      <c r="S613" s="3"/>
      <c r="T613" s="3"/>
      <c r="U613" s="3"/>
      <c r="V613" s="3"/>
      <c r="W613" s="3"/>
      <c r="X613" s="3"/>
      <c r="Y613" s="3"/>
      <c r="Z613" s="3"/>
      <c r="AA613" s="3"/>
      <c r="AB613" s="3"/>
      <c r="AC613" s="3"/>
      <c r="AD613" s="3"/>
      <c r="AE613" s="3"/>
      <c r="AF613" s="3"/>
      <c r="AG613" s="3"/>
      <c r="AH613" s="3"/>
      <c r="AI613" s="3"/>
      <c r="AJ613" s="3"/>
      <c r="AK613" s="3"/>
      <c r="AL613" s="3"/>
    </row>
    <row r="614" ht="15.75" customHeight="1">
      <c r="A614" s="45"/>
      <c r="B614" s="2"/>
      <c r="C614" s="667"/>
      <c r="D614" s="2"/>
      <c r="E614" s="668"/>
      <c r="F614" s="2"/>
      <c r="G614" s="2"/>
      <c r="H614" s="2"/>
      <c r="I614" s="2"/>
      <c r="J614" s="2"/>
      <c r="K614" s="2"/>
      <c r="L614" s="2"/>
      <c r="M614" s="2"/>
      <c r="N614" s="667"/>
      <c r="O614" s="2"/>
      <c r="P614" s="2"/>
      <c r="Q614" s="2"/>
      <c r="R614" s="3"/>
      <c r="S614" s="3"/>
      <c r="T614" s="3"/>
      <c r="U614" s="3"/>
      <c r="V614" s="3"/>
      <c r="W614" s="3"/>
      <c r="X614" s="3"/>
      <c r="Y614" s="3"/>
      <c r="Z614" s="3"/>
      <c r="AA614" s="3"/>
      <c r="AB614" s="3"/>
      <c r="AC614" s="3"/>
      <c r="AD614" s="3"/>
      <c r="AE614" s="3"/>
      <c r="AF614" s="3"/>
      <c r="AG614" s="3"/>
      <c r="AH614" s="3"/>
      <c r="AI614" s="3"/>
      <c r="AJ614" s="3"/>
      <c r="AK614" s="3"/>
      <c r="AL614" s="3"/>
    </row>
    <row r="615" ht="15.75" customHeight="1">
      <c r="A615" s="45"/>
      <c r="B615" s="2"/>
      <c r="C615" s="667"/>
      <c r="D615" s="2"/>
      <c r="E615" s="668"/>
      <c r="F615" s="2"/>
      <c r="G615" s="2"/>
      <c r="H615" s="2"/>
      <c r="I615" s="2"/>
      <c r="J615" s="2"/>
      <c r="K615" s="2"/>
      <c r="L615" s="2"/>
      <c r="M615" s="2"/>
      <c r="N615" s="667"/>
      <c r="O615" s="2"/>
      <c r="P615" s="2"/>
      <c r="Q615" s="2"/>
      <c r="R615" s="3"/>
      <c r="S615" s="3"/>
      <c r="T615" s="3"/>
      <c r="U615" s="3"/>
      <c r="V615" s="3"/>
      <c r="W615" s="3"/>
      <c r="X615" s="3"/>
      <c r="Y615" s="3"/>
      <c r="Z615" s="3"/>
      <c r="AA615" s="3"/>
      <c r="AB615" s="3"/>
      <c r="AC615" s="3"/>
      <c r="AD615" s="3"/>
      <c r="AE615" s="3"/>
      <c r="AF615" s="3"/>
      <c r="AG615" s="3"/>
      <c r="AH615" s="3"/>
      <c r="AI615" s="3"/>
      <c r="AJ615" s="3"/>
      <c r="AK615" s="3"/>
      <c r="AL615" s="3"/>
    </row>
    <row r="616" ht="15.75" customHeight="1">
      <c r="A616" s="45"/>
      <c r="B616" s="2"/>
      <c r="C616" s="667"/>
      <c r="D616" s="2"/>
      <c r="E616" s="668"/>
      <c r="F616" s="2"/>
      <c r="G616" s="2"/>
      <c r="H616" s="2"/>
      <c r="I616" s="2"/>
      <c r="J616" s="2"/>
      <c r="K616" s="2"/>
      <c r="L616" s="2"/>
      <c r="M616" s="2"/>
      <c r="N616" s="667"/>
      <c r="O616" s="2"/>
      <c r="P616" s="2"/>
      <c r="Q616" s="2"/>
      <c r="R616" s="3"/>
      <c r="S616" s="3"/>
      <c r="T616" s="3"/>
      <c r="U616" s="3"/>
      <c r="V616" s="3"/>
      <c r="W616" s="3"/>
      <c r="X616" s="3"/>
      <c r="Y616" s="3"/>
      <c r="Z616" s="3"/>
      <c r="AA616" s="3"/>
      <c r="AB616" s="3"/>
      <c r="AC616" s="3"/>
      <c r="AD616" s="3"/>
      <c r="AE616" s="3"/>
      <c r="AF616" s="3"/>
      <c r="AG616" s="3"/>
      <c r="AH616" s="3"/>
      <c r="AI616" s="3"/>
      <c r="AJ616" s="3"/>
      <c r="AK616" s="3"/>
      <c r="AL616" s="3"/>
    </row>
    <row r="617" ht="15.75" customHeight="1">
      <c r="A617" s="45"/>
      <c r="B617" s="2"/>
      <c r="C617" s="667"/>
      <c r="D617" s="2"/>
      <c r="E617" s="668"/>
      <c r="F617" s="2"/>
      <c r="G617" s="2"/>
      <c r="H617" s="2"/>
      <c r="I617" s="2"/>
      <c r="J617" s="2"/>
      <c r="K617" s="2"/>
      <c r="L617" s="2"/>
      <c r="M617" s="2"/>
      <c r="N617" s="667"/>
      <c r="O617" s="2"/>
      <c r="P617" s="2"/>
      <c r="Q617" s="2"/>
      <c r="R617" s="3"/>
      <c r="S617" s="3"/>
      <c r="T617" s="3"/>
      <c r="U617" s="3"/>
      <c r="V617" s="3"/>
      <c r="W617" s="3"/>
      <c r="X617" s="3"/>
      <c r="Y617" s="3"/>
      <c r="Z617" s="3"/>
      <c r="AA617" s="3"/>
      <c r="AB617" s="3"/>
      <c r="AC617" s="3"/>
      <c r="AD617" s="3"/>
      <c r="AE617" s="3"/>
      <c r="AF617" s="3"/>
      <c r="AG617" s="3"/>
      <c r="AH617" s="3"/>
      <c r="AI617" s="3"/>
      <c r="AJ617" s="3"/>
      <c r="AK617" s="3"/>
      <c r="AL617" s="3"/>
    </row>
    <row r="618" ht="15.75" customHeight="1">
      <c r="A618" s="45"/>
      <c r="B618" s="2"/>
      <c r="C618" s="667"/>
      <c r="D618" s="2"/>
      <c r="E618" s="668"/>
      <c r="F618" s="2"/>
      <c r="G618" s="2"/>
      <c r="H618" s="2"/>
      <c r="I618" s="2"/>
      <c r="J618" s="2"/>
      <c r="K618" s="2"/>
      <c r="L618" s="2"/>
      <c r="M618" s="2"/>
      <c r="N618" s="667"/>
      <c r="O618" s="2"/>
      <c r="P618" s="2"/>
      <c r="Q618" s="2"/>
      <c r="R618" s="3"/>
      <c r="S618" s="3"/>
      <c r="T618" s="3"/>
      <c r="U618" s="3"/>
      <c r="V618" s="3"/>
      <c r="W618" s="3"/>
      <c r="X618" s="3"/>
      <c r="Y618" s="3"/>
      <c r="Z618" s="3"/>
      <c r="AA618" s="3"/>
      <c r="AB618" s="3"/>
      <c r="AC618" s="3"/>
      <c r="AD618" s="3"/>
      <c r="AE618" s="3"/>
      <c r="AF618" s="3"/>
      <c r="AG618" s="3"/>
      <c r="AH618" s="3"/>
      <c r="AI618" s="3"/>
      <c r="AJ618" s="3"/>
      <c r="AK618" s="3"/>
      <c r="AL618" s="3"/>
    </row>
    <row r="619" ht="15.75" customHeight="1">
      <c r="A619" s="45"/>
      <c r="B619" s="2"/>
      <c r="C619" s="667"/>
      <c r="D619" s="2"/>
      <c r="E619" s="668"/>
      <c r="F619" s="2"/>
      <c r="G619" s="2"/>
      <c r="H619" s="2"/>
      <c r="I619" s="2"/>
      <c r="J619" s="2"/>
      <c r="K619" s="2"/>
      <c r="L619" s="2"/>
      <c r="M619" s="2"/>
      <c r="N619" s="667"/>
      <c r="O619" s="2"/>
      <c r="P619" s="2"/>
      <c r="Q619" s="2"/>
      <c r="R619" s="3"/>
      <c r="S619" s="3"/>
      <c r="T619" s="3"/>
      <c r="U619" s="3"/>
      <c r="V619" s="3"/>
      <c r="W619" s="3"/>
      <c r="X619" s="3"/>
      <c r="Y619" s="3"/>
      <c r="Z619" s="3"/>
      <c r="AA619" s="3"/>
      <c r="AB619" s="3"/>
      <c r="AC619" s="3"/>
      <c r="AD619" s="3"/>
      <c r="AE619" s="3"/>
      <c r="AF619" s="3"/>
      <c r="AG619" s="3"/>
      <c r="AH619" s="3"/>
      <c r="AI619" s="3"/>
      <c r="AJ619" s="3"/>
      <c r="AK619" s="3"/>
      <c r="AL619" s="3"/>
    </row>
    <row r="620" ht="15.75" customHeight="1">
      <c r="A620" s="45"/>
      <c r="B620" s="2"/>
      <c r="C620" s="667"/>
      <c r="D620" s="2"/>
      <c r="E620" s="668"/>
      <c r="F620" s="2"/>
      <c r="G620" s="2"/>
      <c r="H620" s="2"/>
      <c r="I620" s="2"/>
      <c r="J620" s="2"/>
      <c r="K620" s="2"/>
      <c r="L620" s="2"/>
      <c r="M620" s="2"/>
      <c r="N620" s="667"/>
      <c r="O620" s="2"/>
      <c r="P620" s="2"/>
      <c r="Q620" s="2"/>
      <c r="R620" s="3"/>
      <c r="S620" s="3"/>
      <c r="T620" s="3"/>
      <c r="U620" s="3"/>
      <c r="V620" s="3"/>
      <c r="W620" s="3"/>
      <c r="X620" s="3"/>
      <c r="Y620" s="3"/>
      <c r="Z620" s="3"/>
      <c r="AA620" s="3"/>
      <c r="AB620" s="3"/>
      <c r="AC620" s="3"/>
      <c r="AD620" s="3"/>
      <c r="AE620" s="3"/>
      <c r="AF620" s="3"/>
      <c r="AG620" s="3"/>
      <c r="AH620" s="3"/>
      <c r="AI620" s="3"/>
      <c r="AJ620" s="3"/>
      <c r="AK620" s="3"/>
      <c r="AL620" s="3"/>
    </row>
    <row r="621" ht="15.75" customHeight="1">
      <c r="A621" s="45"/>
      <c r="B621" s="2"/>
      <c r="C621" s="667"/>
      <c r="D621" s="2"/>
      <c r="E621" s="668"/>
      <c r="F621" s="2"/>
      <c r="G621" s="2"/>
      <c r="H621" s="2"/>
      <c r="I621" s="2"/>
      <c r="J621" s="2"/>
      <c r="K621" s="2"/>
      <c r="L621" s="2"/>
      <c r="M621" s="2"/>
      <c r="N621" s="667"/>
      <c r="O621" s="2"/>
      <c r="P621" s="2"/>
      <c r="Q621" s="2"/>
      <c r="R621" s="3"/>
      <c r="S621" s="3"/>
      <c r="T621" s="3"/>
      <c r="U621" s="3"/>
      <c r="V621" s="3"/>
      <c r="W621" s="3"/>
      <c r="X621" s="3"/>
      <c r="Y621" s="3"/>
      <c r="Z621" s="3"/>
      <c r="AA621" s="3"/>
      <c r="AB621" s="3"/>
      <c r="AC621" s="3"/>
      <c r="AD621" s="3"/>
      <c r="AE621" s="3"/>
      <c r="AF621" s="3"/>
      <c r="AG621" s="3"/>
      <c r="AH621" s="3"/>
      <c r="AI621" s="3"/>
      <c r="AJ621" s="3"/>
      <c r="AK621" s="3"/>
      <c r="AL621" s="3"/>
    </row>
    <row r="622" ht="15.75" customHeight="1">
      <c r="A622" s="45"/>
      <c r="B622" s="2"/>
      <c r="C622" s="667"/>
      <c r="D622" s="2"/>
      <c r="E622" s="668"/>
      <c r="F622" s="2"/>
      <c r="G622" s="2"/>
      <c r="H622" s="2"/>
      <c r="I622" s="2"/>
      <c r="J622" s="2"/>
      <c r="K622" s="2"/>
      <c r="L622" s="2"/>
      <c r="M622" s="2"/>
      <c r="N622" s="667"/>
      <c r="O622" s="2"/>
      <c r="P622" s="2"/>
      <c r="Q622" s="2"/>
      <c r="R622" s="3"/>
      <c r="S622" s="3"/>
      <c r="T622" s="3"/>
      <c r="U622" s="3"/>
      <c r="V622" s="3"/>
      <c r="W622" s="3"/>
      <c r="X622" s="3"/>
      <c r="Y622" s="3"/>
      <c r="Z622" s="3"/>
      <c r="AA622" s="3"/>
      <c r="AB622" s="3"/>
      <c r="AC622" s="3"/>
      <c r="AD622" s="3"/>
      <c r="AE622" s="3"/>
      <c r="AF622" s="3"/>
      <c r="AG622" s="3"/>
      <c r="AH622" s="3"/>
      <c r="AI622" s="3"/>
      <c r="AJ622" s="3"/>
      <c r="AK622" s="3"/>
      <c r="AL622" s="3"/>
    </row>
    <row r="623" ht="15.75" customHeight="1">
      <c r="A623" s="45"/>
      <c r="B623" s="2"/>
      <c r="C623" s="667"/>
      <c r="D623" s="2"/>
      <c r="E623" s="668"/>
      <c r="F623" s="2"/>
      <c r="G623" s="2"/>
      <c r="H623" s="2"/>
      <c r="I623" s="2"/>
      <c r="J623" s="2"/>
      <c r="K623" s="2"/>
      <c r="L623" s="2"/>
      <c r="M623" s="2"/>
      <c r="N623" s="667"/>
      <c r="O623" s="2"/>
      <c r="P623" s="2"/>
      <c r="Q623" s="2"/>
      <c r="R623" s="3"/>
      <c r="S623" s="3"/>
      <c r="T623" s="3"/>
      <c r="U623" s="3"/>
      <c r="V623" s="3"/>
      <c r="W623" s="3"/>
      <c r="X623" s="3"/>
      <c r="Y623" s="3"/>
      <c r="Z623" s="3"/>
      <c r="AA623" s="3"/>
      <c r="AB623" s="3"/>
      <c r="AC623" s="3"/>
      <c r="AD623" s="3"/>
      <c r="AE623" s="3"/>
      <c r="AF623" s="3"/>
      <c r="AG623" s="3"/>
      <c r="AH623" s="3"/>
      <c r="AI623" s="3"/>
      <c r="AJ623" s="3"/>
      <c r="AK623" s="3"/>
      <c r="AL623" s="3"/>
    </row>
    <row r="624" ht="15.75" customHeight="1">
      <c r="A624" s="45"/>
      <c r="B624" s="2"/>
      <c r="C624" s="667"/>
      <c r="D624" s="2"/>
      <c r="E624" s="668"/>
      <c r="F624" s="2"/>
      <c r="G624" s="2"/>
      <c r="H624" s="2"/>
      <c r="I624" s="2"/>
      <c r="J624" s="2"/>
      <c r="K624" s="2"/>
      <c r="L624" s="2"/>
      <c r="M624" s="2"/>
      <c r="N624" s="667"/>
      <c r="O624" s="2"/>
      <c r="P624" s="2"/>
      <c r="Q624" s="2"/>
      <c r="R624" s="3"/>
      <c r="S624" s="3"/>
      <c r="T624" s="3"/>
      <c r="U624" s="3"/>
      <c r="V624" s="3"/>
      <c r="W624" s="3"/>
      <c r="X624" s="3"/>
      <c r="Y624" s="3"/>
      <c r="Z624" s="3"/>
      <c r="AA624" s="3"/>
      <c r="AB624" s="3"/>
      <c r="AC624" s="3"/>
      <c r="AD624" s="3"/>
      <c r="AE624" s="3"/>
      <c r="AF624" s="3"/>
      <c r="AG624" s="3"/>
      <c r="AH624" s="3"/>
      <c r="AI624" s="3"/>
      <c r="AJ624" s="3"/>
      <c r="AK624" s="3"/>
      <c r="AL624" s="3"/>
    </row>
    <row r="625" ht="15.75" customHeight="1">
      <c r="A625" s="45"/>
      <c r="B625" s="2"/>
      <c r="C625" s="667"/>
      <c r="D625" s="2"/>
      <c r="E625" s="668"/>
      <c r="F625" s="2"/>
      <c r="G625" s="2"/>
      <c r="H625" s="2"/>
      <c r="I625" s="2"/>
      <c r="J625" s="2"/>
      <c r="K625" s="2"/>
      <c r="L625" s="2"/>
      <c r="M625" s="2"/>
      <c r="N625" s="667"/>
      <c r="O625" s="2"/>
      <c r="P625" s="2"/>
      <c r="Q625" s="2"/>
      <c r="R625" s="3"/>
      <c r="S625" s="3"/>
      <c r="T625" s="3"/>
      <c r="U625" s="3"/>
      <c r="V625" s="3"/>
      <c r="W625" s="3"/>
      <c r="X625" s="3"/>
      <c r="Y625" s="3"/>
      <c r="Z625" s="3"/>
      <c r="AA625" s="3"/>
      <c r="AB625" s="3"/>
      <c r="AC625" s="3"/>
      <c r="AD625" s="3"/>
      <c r="AE625" s="3"/>
      <c r="AF625" s="3"/>
      <c r="AG625" s="3"/>
      <c r="AH625" s="3"/>
      <c r="AI625" s="3"/>
      <c r="AJ625" s="3"/>
      <c r="AK625" s="3"/>
      <c r="AL625" s="3"/>
    </row>
    <row r="626" ht="15.75" customHeight="1">
      <c r="A626" s="45"/>
      <c r="B626" s="2"/>
      <c r="C626" s="667"/>
      <c r="D626" s="2"/>
      <c r="E626" s="668"/>
      <c r="F626" s="2"/>
      <c r="G626" s="2"/>
      <c r="H626" s="2"/>
      <c r="I626" s="2"/>
      <c r="J626" s="2"/>
      <c r="K626" s="2"/>
      <c r="L626" s="2"/>
      <c r="M626" s="2"/>
      <c r="N626" s="667"/>
      <c r="O626" s="2"/>
      <c r="P626" s="2"/>
      <c r="Q626" s="2"/>
      <c r="R626" s="3"/>
      <c r="S626" s="3"/>
      <c r="T626" s="3"/>
      <c r="U626" s="3"/>
      <c r="V626" s="3"/>
      <c r="W626" s="3"/>
      <c r="X626" s="3"/>
      <c r="Y626" s="3"/>
      <c r="Z626" s="3"/>
      <c r="AA626" s="3"/>
      <c r="AB626" s="3"/>
      <c r="AC626" s="3"/>
      <c r="AD626" s="3"/>
      <c r="AE626" s="3"/>
      <c r="AF626" s="3"/>
      <c r="AG626" s="3"/>
      <c r="AH626" s="3"/>
      <c r="AI626" s="3"/>
      <c r="AJ626" s="3"/>
      <c r="AK626" s="3"/>
      <c r="AL626" s="3"/>
    </row>
    <row r="627" ht="15.75" customHeight="1">
      <c r="A627" s="45"/>
      <c r="B627" s="2"/>
      <c r="C627" s="667"/>
      <c r="D627" s="2"/>
      <c r="E627" s="668"/>
      <c r="F627" s="2"/>
      <c r="G627" s="2"/>
      <c r="H627" s="2"/>
      <c r="I627" s="2"/>
      <c r="J627" s="2"/>
      <c r="K627" s="2"/>
      <c r="L627" s="2"/>
      <c r="M627" s="2"/>
      <c r="N627" s="667"/>
      <c r="O627" s="2"/>
      <c r="P627" s="2"/>
      <c r="Q627" s="2"/>
      <c r="R627" s="3"/>
      <c r="S627" s="3"/>
      <c r="T627" s="3"/>
      <c r="U627" s="3"/>
      <c r="V627" s="3"/>
      <c r="W627" s="3"/>
      <c r="X627" s="3"/>
      <c r="Y627" s="3"/>
      <c r="Z627" s="3"/>
      <c r="AA627" s="3"/>
      <c r="AB627" s="3"/>
      <c r="AC627" s="3"/>
      <c r="AD627" s="3"/>
      <c r="AE627" s="3"/>
      <c r="AF627" s="3"/>
      <c r="AG627" s="3"/>
      <c r="AH627" s="3"/>
      <c r="AI627" s="3"/>
      <c r="AJ627" s="3"/>
      <c r="AK627" s="3"/>
      <c r="AL627" s="3"/>
    </row>
    <row r="628" ht="15.75" customHeight="1">
      <c r="A628" s="45"/>
      <c r="B628" s="2"/>
      <c r="C628" s="667"/>
      <c r="D628" s="2"/>
      <c r="E628" s="668"/>
      <c r="F628" s="2"/>
      <c r="G628" s="2"/>
      <c r="H628" s="2"/>
      <c r="I628" s="2"/>
      <c r="J628" s="2"/>
      <c r="K628" s="2"/>
      <c r="L628" s="2"/>
      <c r="M628" s="2"/>
      <c r="N628" s="667"/>
      <c r="O628" s="2"/>
      <c r="P628" s="2"/>
      <c r="Q628" s="2"/>
      <c r="R628" s="3"/>
      <c r="S628" s="3"/>
      <c r="T628" s="3"/>
      <c r="U628" s="3"/>
      <c r="V628" s="3"/>
      <c r="W628" s="3"/>
      <c r="X628" s="3"/>
      <c r="Y628" s="3"/>
      <c r="Z628" s="3"/>
      <c r="AA628" s="3"/>
      <c r="AB628" s="3"/>
      <c r="AC628" s="3"/>
      <c r="AD628" s="3"/>
      <c r="AE628" s="3"/>
      <c r="AF628" s="3"/>
      <c r="AG628" s="3"/>
      <c r="AH628" s="3"/>
      <c r="AI628" s="3"/>
      <c r="AJ628" s="3"/>
      <c r="AK628" s="3"/>
      <c r="AL628" s="3"/>
    </row>
    <row r="629" ht="15.75" customHeight="1">
      <c r="A629" s="45"/>
      <c r="B629" s="2"/>
      <c r="C629" s="667"/>
      <c r="D629" s="2"/>
      <c r="E629" s="668"/>
      <c r="F629" s="2"/>
      <c r="G629" s="2"/>
      <c r="H629" s="2"/>
      <c r="I629" s="2"/>
      <c r="J629" s="2"/>
      <c r="K629" s="2"/>
      <c r="L629" s="2"/>
      <c r="M629" s="2"/>
      <c r="N629" s="667"/>
      <c r="O629" s="2"/>
      <c r="P629" s="2"/>
      <c r="Q629" s="2"/>
      <c r="R629" s="3"/>
      <c r="S629" s="3"/>
      <c r="T629" s="3"/>
      <c r="U629" s="3"/>
      <c r="V629" s="3"/>
      <c r="W629" s="3"/>
      <c r="X629" s="3"/>
      <c r="Y629" s="3"/>
      <c r="Z629" s="3"/>
      <c r="AA629" s="3"/>
      <c r="AB629" s="3"/>
      <c r="AC629" s="3"/>
      <c r="AD629" s="3"/>
      <c r="AE629" s="3"/>
      <c r="AF629" s="3"/>
      <c r="AG629" s="3"/>
      <c r="AH629" s="3"/>
      <c r="AI629" s="3"/>
      <c r="AJ629" s="3"/>
      <c r="AK629" s="3"/>
      <c r="AL629" s="3"/>
    </row>
    <row r="630" ht="15.75" customHeight="1">
      <c r="A630" s="45"/>
      <c r="B630" s="2"/>
      <c r="C630" s="667"/>
      <c r="D630" s="2"/>
      <c r="E630" s="668"/>
      <c r="F630" s="2"/>
      <c r="G630" s="2"/>
      <c r="H630" s="2"/>
      <c r="I630" s="2"/>
      <c r="J630" s="2"/>
      <c r="K630" s="2"/>
      <c r="L630" s="2"/>
      <c r="M630" s="2"/>
      <c r="N630" s="667"/>
      <c r="O630" s="2"/>
      <c r="P630" s="2"/>
      <c r="Q630" s="2"/>
      <c r="R630" s="3"/>
      <c r="S630" s="3"/>
      <c r="T630" s="3"/>
      <c r="U630" s="3"/>
      <c r="V630" s="3"/>
      <c r="W630" s="3"/>
      <c r="X630" s="3"/>
      <c r="Y630" s="3"/>
      <c r="Z630" s="3"/>
      <c r="AA630" s="3"/>
      <c r="AB630" s="3"/>
      <c r="AC630" s="3"/>
      <c r="AD630" s="3"/>
      <c r="AE630" s="3"/>
      <c r="AF630" s="3"/>
      <c r="AG630" s="3"/>
      <c r="AH630" s="3"/>
      <c r="AI630" s="3"/>
      <c r="AJ630" s="3"/>
      <c r="AK630" s="3"/>
      <c r="AL630" s="3"/>
    </row>
    <row r="631" ht="15.75" customHeight="1">
      <c r="A631" s="45"/>
      <c r="B631" s="2"/>
      <c r="C631" s="667"/>
      <c r="D631" s="2"/>
      <c r="E631" s="668"/>
      <c r="F631" s="2"/>
      <c r="G631" s="2"/>
      <c r="H631" s="2"/>
      <c r="I631" s="2"/>
      <c r="J631" s="2"/>
      <c r="K631" s="2"/>
      <c r="L631" s="2"/>
      <c r="M631" s="2"/>
      <c r="N631" s="667"/>
      <c r="O631" s="2"/>
      <c r="P631" s="2"/>
      <c r="Q631" s="2"/>
      <c r="R631" s="3"/>
      <c r="S631" s="3"/>
      <c r="T631" s="3"/>
      <c r="U631" s="3"/>
      <c r="V631" s="3"/>
      <c r="W631" s="3"/>
      <c r="X631" s="3"/>
      <c r="Y631" s="3"/>
      <c r="Z631" s="3"/>
      <c r="AA631" s="3"/>
      <c r="AB631" s="3"/>
      <c r="AC631" s="3"/>
      <c r="AD631" s="3"/>
      <c r="AE631" s="3"/>
      <c r="AF631" s="3"/>
      <c r="AG631" s="3"/>
      <c r="AH631" s="3"/>
      <c r="AI631" s="3"/>
      <c r="AJ631" s="3"/>
      <c r="AK631" s="3"/>
      <c r="AL631" s="3"/>
    </row>
    <row r="632" ht="15.75" customHeight="1">
      <c r="A632" s="45"/>
      <c r="B632" s="2"/>
      <c r="C632" s="667"/>
      <c r="D632" s="2"/>
      <c r="E632" s="668"/>
      <c r="F632" s="2"/>
      <c r="G632" s="2"/>
      <c r="H632" s="2"/>
      <c r="I632" s="2"/>
      <c r="J632" s="2"/>
      <c r="K632" s="2"/>
      <c r="L632" s="2"/>
      <c r="M632" s="2"/>
      <c r="N632" s="667"/>
      <c r="O632" s="2"/>
      <c r="P632" s="2"/>
      <c r="Q632" s="2"/>
      <c r="R632" s="3"/>
      <c r="S632" s="3"/>
      <c r="T632" s="3"/>
      <c r="U632" s="3"/>
      <c r="V632" s="3"/>
      <c r="W632" s="3"/>
      <c r="X632" s="3"/>
      <c r="Y632" s="3"/>
      <c r="Z632" s="3"/>
      <c r="AA632" s="3"/>
      <c r="AB632" s="3"/>
      <c r="AC632" s="3"/>
      <c r="AD632" s="3"/>
      <c r="AE632" s="3"/>
      <c r="AF632" s="3"/>
      <c r="AG632" s="3"/>
      <c r="AH632" s="3"/>
      <c r="AI632" s="3"/>
      <c r="AJ632" s="3"/>
      <c r="AK632" s="3"/>
      <c r="AL632" s="3"/>
    </row>
    <row r="633" ht="15.75" customHeight="1">
      <c r="A633" s="45"/>
      <c r="B633" s="2"/>
      <c r="C633" s="667"/>
      <c r="D633" s="2"/>
      <c r="E633" s="668"/>
      <c r="F633" s="2"/>
      <c r="G633" s="2"/>
      <c r="H633" s="2"/>
      <c r="I633" s="2"/>
      <c r="J633" s="2"/>
      <c r="K633" s="2"/>
      <c r="L633" s="2"/>
      <c r="M633" s="2"/>
      <c r="N633" s="667"/>
      <c r="O633" s="2"/>
      <c r="P633" s="2"/>
      <c r="Q633" s="2"/>
      <c r="R633" s="3"/>
      <c r="S633" s="3"/>
      <c r="T633" s="3"/>
      <c r="U633" s="3"/>
      <c r="V633" s="3"/>
      <c r="W633" s="3"/>
      <c r="X633" s="3"/>
      <c r="Y633" s="3"/>
      <c r="Z633" s="3"/>
      <c r="AA633" s="3"/>
      <c r="AB633" s="3"/>
      <c r="AC633" s="3"/>
      <c r="AD633" s="3"/>
      <c r="AE633" s="3"/>
      <c r="AF633" s="3"/>
      <c r="AG633" s="3"/>
      <c r="AH633" s="3"/>
      <c r="AI633" s="3"/>
      <c r="AJ633" s="3"/>
      <c r="AK633" s="3"/>
      <c r="AL633" s="3"/>
    </row>
    <row r="634" ht="15.75" customHeight="1">
      <c r="A634" s="45"/>
      <c r="B634" s="2"/>
      <c r="C634" s="667"/>
      <c r="D634" s="2"/>
      <c r="E634" s="668"/>
      <c r="F634" s="2"/>
      <c r="G634" s="2"/>
      <c r="H634" s="2"/>
      <c r="I634" s="2"/>
      <c r="J634" s="2"/>
      <c r="K634" s="2"/>
      <c r="L634" s="2"/>
      <c r="M634" s="2"/>
      <c r="N634" s="667"/>
      <c r="O634" s="2"/>
      <c r="P634" s="2"/>
      <c r="Q634" s="2"/>
      <c r="R634" s="3"/>
      <c r="S634" s="3"/>
      <c r="T634" s="3"/>
      <c r="U634" s="3"/>
      <c r="V634" s="3"/>
      <c r="W634" s="3"/>
      <c r="X634" s="3"/>
      <c r="Y634" s="3"/>
      <c r="Z634" s="3"/>
      <c r="AA634" s="3"/>
      <c r="AB634" s="3"/>
      <c r="AC634" s="3"/>
      <c r="AD634" s="3"/>
      <c r="AE634" s="3"/>
      <c r="AF634" s="3"/>
      <c r="AG634" s="3"/>
      <c r="AH634" s="3"/>
      <c r="AI634" s="3"/>
      <c r="AJ634" s="3"/>
      <c r="AK634" s="3"/>
      <c r="AL634" s="3"/>
    </row>
    <row r="635" ht="15.75" customHeight="1">
      <c r="A635" s="45"/>
      <c r="B635" s="2"/>
      <c r="C635" s="667"/>
      <c r="D635" s="2"/>
      <c r="E635" s="668"/>
      <c r="F635" s="2"/>
      <c r="G635" s="2"/>
      <c r="H635" s="2"/>
      <c r="I635" s="2"/>
      <c r="J635" s="2"/>
      <c r="K635" s="2"/>
      <c r="L635" s="2"/>
      <c r="M635" s="2"/>
      <c r="N635" s="667"/>
      <c r="O635" s="2"/>
      <c r="P635" s="2"/>
      <c r="Q635" s="2"/>
      <c r="R635" s="3"/>
      <c r="S635" s="3"/>
      <c r="T635" s="3"/>
      <c r="U635" s="3"/>
      <c r="V635" s="3"/>
      <c r="W635" s="3"/>
      <c r="X635" s="3"/>
      <c r="Y635" s="3"/>
      <c r="Z635" s="3"/>
      <c r="AA635" s="3"/>
      <c r="AB635" s="3"/>
      <c r="AC635" s="3"/>
      <c r="AD635" s="3"/>
      <c r="AE635" s="3"/>
      <c r="AF635" s="3"/>
      <c r="AG635" s="3"/>
      <c r="AH635" s="3"/>
      <c r="AI635" s="3"/>
      <c r="AJ635" s="3"/>
      <c r="AK635" s="3"/>
      <c r="AL635" s="3"/>
    </row>
    <row r="636" ht="15.75" customHeight="1">
      <c r="A636" s="45"/>
      <c r="B636" s="2"/>
      <c r="C636" s="667"/>
      <c r="D636" s="2"/>
      <c r="E636" s="668"/>
      <c r="F636" s="2"/>
      <c r="G636" s="2"/>
      <c r="H636" s="2"/>
      <c r="I636" s="2"/>
      <c r="J636" s="2"/>
      <c r="K636" s="2"/>
      <c r="L636" s="2"/>
      <c r="M636" s="2"/>
      <c r="N636" s="667"/>
      <c r="O636" s="2"/>
      <c r="P636" s="2"/>
      <c r="Q636" s="2"/>
      <c r="R636" s="3"/>
      <c r="S636" s="3"/>
      <c r="T636" s="3"/>
      <c r="U636" s="3"/>
      <c r="V636" s="3"/>
      <c r="W636" s="3"/>
      <c r="X636" s="3"/>
      <c r="Y636" s="3"/>
      <c r="Z636" s="3"/>
      <c r="AA636" s="3"/>
      <c r="AB636" s="3"/>
      <c r="AC636" s="3"/>
      <c r="AD636" s="3"/>
      <c r="AE636" s="3"/>
      <c r="AF636" s="3"/>
      <c r="AG636" s="3"/>
      <c r="AH636" s="3"/>
      <c r="AI636" s="3"/>
      <c r="AJ636" s="3"/>
      <c r="AK636" s="3"/>
      <c r="AL636" s="3"/>
    </row>
    <row r="637" ht="15.75" customHeight="1">
      <c r="A637" s="45"/>
      <c r="B637" s="2"/>
      <c r="C637" s="667"/>
      <c r="D637" s="2"/>
      <c r="E637" s="668"/>
      <c r="F637" s="2"/>
      <c r="G637" s="2"/>
      <c r="H637" s="2"/>
      <c r="I637" s="2"/>
      <c r="J637" s="2"/>
      <c r="K637" s="2"/>
      <c r="L637" s="2"/>
      <c r="M637" s="2"/>
      <c r="N637" s="667"/>
      <c r="O637" s="2"/>
      <c r="P637" s="2"/>
      <c r="Q637" s="2"/>
      <c r="R637" s="3"/>
      <c r="S637" s="3"/>
      <c r="T637" s="3"/>
      <c r="U637" s="3"/>
      <c r="V637" s="3"/>
      <c r="W637" s="3"/>
      <c r="X637" s="3"/>
      <c r="Y637" s="3"/>
      <c r="Z637" s="3"/>
      <c r="AA637" s="3"/>
      <c r="AB637" s="3"/>
      <c r="AC637" s="3"/>
      <c r="AD637" s="3"/>
      <c r="AE637" s="3"/>
      <c r="AF637" s="3"/>
      <c r="AG637" s="3"/>
      <c r="AH637" s="3"/>
      <c r="AI637" s="3"/>
      <c r="AJ637" s="3"/>
      <c r="AK637" s="3"/>
      <c r="AL637" s="3"/>
    </row>
    <row r="638" ht="15.75" customHeight="1">
      <c r="A638" s="45"/>
      <c r="B638" s="2"/>
      <c r="C638" s="667"/>
      <c r="D638" s="2"/>
      <c r="E638" s="668"/>
      <c r="F638" s="2"/>
      <c r="G638" s="2"/>
      <c r="H638" s="2"/>
      <c r="I638" s="2"/>
      <c r="J638" s="2"/>
      <c r="K638" s="2"/>
      <c r="L638" s="2"/>
      <c r="M638" s="2"/>
      <c r="N638" s="667"/>
      <c r="O638" s="2"/>
      <c r="P638" s="2"/>
      <c r="Q638" s="2"/>
      <c r="R638" s="3"/>
      <c r="S638" s="3"/>
      <c r="T638" s="3"/>
      <c r="U638" s="3"/>
      <c r="V638" s="3"/>
      <c r="W638" s="3"/>
      <c r="X638" s="3"/>
      <c r="Y638" s="3"/>
      <c r="Z638" s="3"/>
      <c r="AA638" s="3"/>
      <c r="AB638" s="3"/>
      <c r="AC638" s="3"/>
      <c r="AD638" s="3"/>
      <c r="AE638" s="3"/>
      <c r="AF638" s="3"/>
      <c r="AG638" s="3"/>
      <c r="AH638" s="3"/>
      <c r="AI638" s="3"/>
      <c r="AJ638" s="3"/>
      <c r="AK638" s="3"/>
      <c r="AL638" s="3"/>
    </row>
    <row r="639" ht="15.75" customHeight="1">
      <c r="A639" s="45"/>
      <c r="B639" s="2"/>
      <c r="C639" s="667"/>
      <c r="D639" s="2"/>
      <c r="E639" s="668"/>
      <c r="F639" s="2"/>
      <c r="G639" s="2"/>
      <c r="H639" s="2"/>
      <c r="I639" s="2"/>
      <c r="J639" s="2"/>
      <c r="K639" s="2"/>
      <c r="L639" s="2"/>
      <c r="M639" s="2"/>
      <c r="N639" s="667"/>
      <c r="O639" s="2"/>
      <c r="P639" s="2"/>
      <c r="Q639" s="2"/>
      <c r="R639" s="3"/>
      <c r="S639" s="3"/>
      <c r="T639" s="3"/>
      <c r="U639" s="3"/>
      <c r="V639" s="3"/>
      <c r="W639" s="3"/>
      <c r="X639" s="3"/>
      <c r="Y639" s="3"/>
      <c r="Z639" s="3"/>
      <c r="AA639" s="3"/>
      <c r="AB639" s="3"/>
      <c r="AC639" s="3"/>
      <c r="AD639" s="3"/>
      <c r="AE639" s="3"/>
      <c r="AF639" s="3"/>
      <c r="AG639" s="3"/>
      <c r="AH639" s="3"/>
      <c r="AI639" s="3"/>
      <c r="AJ639" s="3"/>
      <c r="AK639" s="3"/>
      <c r="AL639" s="3"/>
    </row>
    <row r="640" ht="15.75" customHeight="1">
      <c r="A640" s="45"/>
      <c r="B640" s="2"/>
      <c r="C640" s="667"/>
      <c r="D640" s="2"/>
      <c r="E640" s="668"/>
      <c r="F640" s="2"/>
      <c r="G640" s="2"/>
      <c r="H640" s="2"/>
      <c r="I640" s="2"/>
      <c r="J640" s="2"/>
      <c r="K640" s="2"/>
      <c r="L640" s="2"/>
      <c r="M640" s="2"/>
      <c r="N640" s="667"/>
      <c r="O640" s="2"/>
      <c r="P640" s="2"/>
      <c r="Q640" s="2"/>
      <c r="R640" s="3"/>
      <c r="S640" s="3"/>
      <c r="T640" s="3"/>
      <c r="U640" s="3"/>
      <c r="V640" s="3"/>
      <c r="W640" s="3"/>
      <c r="X640" s="3"/>
      <c r="Y640" s="3"/>
      <c r="Z640" s="3"/>
      <c r="AA640" s="3"/>
      <c r="AB640" s="3"/>
      <c r="AC640" s="3"/>
      <c r="AD640" s="3"/>
      <c r="AE640" s="3"/>
      <c r="AF640" s="3"/>
      <c r="AG640" s="3"/>
      <c r="AH640" s="3"/>
      <c r="AI640" s="3"/>
      <c r="AJ640" s="3"/>
      <c r="AK640" s="3"/>
      <c r="AL640" s="3"/>
    </row>
    <row r="641" ht="15.75" customHeight="1">
      <c r="A641" s="45"/>
      <c r="B641" s="2"/>
      <c r="C641" s="667"/>
      <c r="D641" s="2"/>
      <c r="E641" s="668"/>
      <c r="F641" s="2"/>
      <c r="G641" s="2"/>
      <c r="H641" s="2"/>
      <c r="I641" s="2"/>
      <c r="J641" s="2"/>
      <c r="K641" s="2"/>
      <c r="L641" s="2"/>
      <c r="M641" s="2"/>
      <c r="N641" s="667"/>
      <c r="O641" s="2"/>
      <c r="P641" s="2"/>
      <c r="Q641" s="2"/>
      <c r="R641" s="3"/>
      <c r="S641" s="3"/>
      <c r="T641" s="3"/>
      <c r="U641" s="3"/>
      <c r="V641" s="3"/>
      <c r="W641" s="3"/>
      <c r="X641" s="3"/>
      <c r="Y641" s="3"/>
      <c r="Z641" s="3"/>
      <c r="AA641" s="3"/>
      <c r="AB641" s="3"/>
      <c r="AC641" s="3"/>
      <c r="AD641" s="3"/>
      <c r="AE641" s="3"/>
      <c r="AF641" s="3"/>
      <c r="AG641" s="3"/>
      <c r="AH641" s="3"/>
      <c r="AI641" s="3"/>
      <c r="AJ641" s="3"/>
      <c r="AK641" s="3"/>
      <c r="AL641" s="3"/>
    </row>
    <row r="642" ht="15.75" customHeight="1">
      <c r="A642" s="45"/>
      <c r="B642" s="2"/>
      <c r="C642" s="667"/>
      <c r="D642" s="2"/>
      <c r="E642" s="668"/>
      <c r="F642" s="2"/>
      <c r="G642" s="2"/>
      <c r="H642" s="2"/>
      <c r="I642" s="2"/>
      <c r="J642" s="2"/>
      <c r="K642" s="2"/>
      <c r="L642" s="2"/>
      <c r="M642" s="2"/>
      <c r="N642" s="667"/>
      <c r="O642" s="2"/>
      <c r="P642" s="2"/>
      <c r="Q642" s="2"/>
      <c r="R642" s="3"/>
      <c r="S642" s="3"/>
      <c r="T642" s="3"/>
      <c r="U642" s="3"/>
      <c r="V642" s="3"/>
      <c r="W642" s="3"/>
      <c r="X642" s="3"/>
      <c r="Y642" s="3"/>
      <c r="Z642" s="3"/>
      <c r="AA642" s="3"/>
      <c r="AB642" s="3"/>
      <c r="AC642" s="3"/>
      <c r="AD642" s="3"/>
      <c r="AE642" s="3"/>
      <c r="AF642" s="3"/>
      <c r="AG642" s="3"/>
      <c r="AH642" s="3"/>
      <c r="AI642" s="3"/>
      <c r="AJ642" s="3"/>
      <c r="AK642" s="3"/>
      <c r="AL642" s="3"/>
    </row>
    <row r="643" ht="15.75" customHeight="1">
      <c r="A643" s="45"/>
      <c r="B643" s="2"/>
      <c r="C643" s="667"/>
      <c r="D643" s="2"/>
      <c r="E643" s="668"/>
      <c r="F643" s="2"/>
      <c r="G643" s="2"/>
      <c r="H643" s="2"/>
      <c r="I643" s="2"/>
      <c r="J643" s="2"/>
      <c r="K643" s="2"/>
      <c r="L643" s="2"/>
      <c r="M643" s="2"/>
      <c r="N643" s="667"/>
      <c r="O643" s="2"/>
      <c r="P643" s="2"/>
      <c r="Q643" s="2"/>
      <c r="R643" s="3"/>
      <c r="S643" s="3"/>
      <c r="T643" s="3"/>
      <c r="U643" s="3"/>
      <c r="V643" s="3"/>
      <c r="W643" s="3"/>
      <c r="X643" s="3"/>
      <c r="Y643" s="3"/>
      <c r="Z643" s="3"/>
      <c r="AA643" s="3"/>
      <c r="AB643" s="3"/>
      <c r="AC643" s="3"/>
      <c r="AD643" s="3"/>
      <c r="AE643" s="3"/>
      <c r="AF643" s="3"/>
      <c r="AG643" s="3"/>
      <c r="AH643" s="3"/>
      <c r="AI643" s="3"/>
      <c r="AJ643" s="3"/>
      <c r="AK643" s="3"/>
      <c r="AL643" s="3"/>
    </row>
    <row r="644" ht="15.75" customHeight="1">
      <c r="A644" s="45"/>
      <c r="B644" s="2"/>
      <c r="C644" s="667"/>
      <c r="D644" s="2"/>
      <c r="E644" s="668"/>
      <c r="F644" s="2"/>
      <c r="G644" s="2"/>
      <c r="H644" s="2"/>
      <c r="I644" s="2"/>
      <c r="J644" s="2"/>
      <c r="K644" s="2"/>
      <c r="L644" s="2"/>
      <c r="M644" s="2"/>
      <c r="N644" s="667"/>
      <c r="O644" s="2"/>
      <c r="P644" s="2"/>
      <c r="Q644" s="2"/>
      <c r="R644" s="3"/>
      <c r="S644" s="3"/>
      <c r="T644" s="3"/>
      <c r="U644" s="3"/>
      <c r="V644" s="3"/>
      <c r="W644" s="3"/>
      <c r="X644" s="3"/>
      <c r="Y644" s="3"/>
      <c r="Z644" s="3"/>
      <c r="AA644" s="3"/>
      <c r="AB644" s="3"/>
      <c r="AC644" s="3"/>
      <c r="AD644" s="3"/>
      <c r="AE644" s="3"/>
      <c r="AF644" s="3"/>
      <c r="AG644" s="3"/>
      <c r="AH644" s="3"/>
      <c r="AI644" s="3"/>
      <c r="AJ644" s="3"/>
      <c r="AK644" s="3"/>
      <c r="AL644" s="3"/>
    </row>
    <row r="645" ht="15.75" customHeight="1">
      <c r="A645" s="45"/>
      <c r="B645" s="2"/>
      <c r="C645" s="667"/>
      <c r="D645" s="2"/>
      <c r="E645" s="668"/>
      <c r="F645" s="2"/>
      <c r="G645" s="2"/>
      <c r="H645" s="2"/>
      <c r="I645" s="2"/>
      <c r="J645" s="2"/>
      <c r="K645" s="2"/>
      <c r="L645" s="2"/>
      <c r="M645" s="2"/>
      <c r="N645" s="667"/>
      <c r="O645" s="2"/>
      <c r="P645" s="2"/>
      <c r="Q645" s="2"/>
      <c r="R645" s="3"/>
      <c r="S645" s="3"/>
      <c r="T645" s="3"/>
      <c r="U645" s="3"/>
      <c r="V645" s="3"/>
      <c r="W645" s="3"/>
      <c r="X645" s="3"/>
      <c r="Y645" s="3"/>
      <c r="Z645" s="3"/>
      <c r="AA645" s="3"/>
      <c r="AB645" s="3"/>
      <c r="AC645" s="3"/>
      <c r="AD645" s="3"/>
      <c r="AE645" s="3"/>
      <c r="AF645" s="3"/>
      <c r="AG645" s="3"/>
      <c r="AH645" s="3"/>
      <c r="AI645" s="3"/>
      <c r="AJ645" s="3"/>
      <c r="AK645" s="3"/>
      <c r="AL645" s="3"/>
    </row>
    <row r="646" ht="15.75" customHeight="1">
      <c r="A646" s="45"/>
      <c r="B646" s="2"/>
      <c r="C646" s="667"/>
      <c r="D646" s="2"/>
      <c r="E646" s="668"/>
      <c r="F646" s="2"/>
      <c r="G646" s="2"/>
      <c r="H646" s="2"/>
      <c r="I646" s="2"/>
      <c r="J646" s="2"/>
      <c r="K646" s="2"/>
      <c r="L646" s="2"/>
      <c r="M646" s="2"/>
      <c r="N646" s="667"/>
      <c r="O646" s="2"/>
      <c r="P646" s="2"/>
      <c r="Q646" s="2"/>
      <c r="R646" s="3"/>
      <c r="S646" s="3"/>
      <c r="T646" s="3"/>
      <c r="U646" s="3"/>
      <c r="V646" s="3"/>
      <c r="W646" s="3"/>
      <c r="X646" s="3"/>
      <c r="Y646" s="3"/>
      <c r="Z646" s="3"/>
      <c r="AA646" s="3"/>
      <c r="AB646" s="3"/>
      <c r="AC646" s="3"/>
      <c r="AD646" s="3"/>
      <c r="AE646" s="3"/>
      <c r="AF646" s="3"/>
      <c r="AG646" s="3"/>
      <c r="AH646" s="3"/>
      <c r="AI646" s="3"/>
      <c r="AJ646" s="3"/>
      <c r="AK646" s="3"/>
      <c r="AL646" s="3"/>
    </row>
    <row r="647" ht="15.75" customHeight="1">
      <c r="A647" s="45"/>
      <c r="B647" s="2"/>
      <c r="C647" s="667"/>
      <c r="D647" s="2"/>
      <c r="E647" s="668"/>
      <c r="F647" s="2"/>
      <c r="G647" s="2"/>
      <c r="H647" s="2"/>
      <c r="I647" s="2"/>
      <c r="J647" s="2"/>
      <c r="K647" s="2"/>
      <c r="L647" s="2"/>
      <c r="M647" s="2"/>
      <c r="N647" s="667"/>
      <c r="O647" s="2"/>
      <c r="P647" s="2"/>
      <c r="Q647" s="2"/>
      <c r="R647" s="3"/>
      <c r="S647" s="3"/>
      <c r="T647" s="3"/>
      <c r="U647" s="3"/>
      <c r="V647" s="3"/>
      <c r="W647" s="3"/>
      <c r="X647" s="3"/>
      <c r="Y647" s="3"/>
      <c r="Z647" s="3"/>
      <c r="AA647" s="3"/>
      <c r="AB647" s="3"/>
      <c r="AC647" s="3"/>
      <c r="AD647" s="3"/>
      <c r="AE647" s="3"/>
      <c r="AF647" s="3"/>
      <c r="AG647" s="3"/>
      <c r="AH647" s="3"/>
      <c r="AI647" s="3"/>
      <c r="AJ647" s="3"/>
      <c r="AK647" s="3"/>
      <c r="AL647" s="3"/>
    </row>
    <row r="648" ht="15.75" customHeight="1">
      <c r="A648" s="45"/>
      <c r="B648" s="2"/>
      <c r="C648" s="667"/>
      <c r="D648" s="2"/>
      <c r="E648" s="668"/>
      <c r="F648" s="2"/>
      <c r="G648" s="2"/>
      <c r="H648" s="2"/>
      <c r="I648" s="2"/>
      <c r="J648" s="2"/>
      <c r="K648" s="2"/>
      <c r="L648" s="2"/>
      <c r="M648" s="2"/>
      <c r="N648" s="667"/>
      <c r="O648" s="2"/>
      <c r="P648" s="2"/>
      <c r="Q648" s="2"/>
      <c r="R648" s="3"/>
      <c r="S648" s="3"/>
      <c r="T648" s="3"/>
      <c r="U648" s="3"/>
      <c r="V648" s="3"/>
      <c r="W648" s="3"/>
      <c r="X648" s="3"/>
      <c r="Y648" s="3"/>
      <c r="Z648" s="3"/>
      <c r="AA648" s="3"/>
      <c r="AB648" s="3"/>
      <c r="AC648" s="3"/>
      <c r="AD648" s="3"/>
      <c r="AE648" s="3"/>
      <c r="AF648" s="3"/>
      <c r="AG648" s="3"/>
      <c r="AH648" s="3"/>
      <c r="AI648" s="3"/>
      <c r="AJ648" s="3"/>
      <c r="AK648" s="3"/>
      <c r="AL648" s="3"/>
    </row>
    <row r="649" ht="15.75" customHeight="1">
      <c r="A649" s="45"/>
      <c r="B649" s="2"/>
      <c r="C649" s="667"/>
      <c r="D649" s="2"/>
      <c r="E649" s="668"/>
      <c r="F649" s="2"/>
      <c r="G649" s="2"/>
      <c r="H649" s="2"/>
      <c r="I649" s="2"/>
      <c r="J649" s="2"/>
      <c r="K649" s="2"/>
      <c r="L649" s="2"/>
      <c r="M649" s="2"/>
      <c r="N649" s="667"/>
      <c r="O649" s="2"/>
      <c r="P649" s="2"/>
      <c r="Q649" s="2"/>
      <c r="R649" s="3"/>
      <c r="S649" s="3"/>
      <c r="T649" s="3"/>
      <c r="U649" s="3"/>
      <c r="V649" s="3"/>
      <c r="W649" s="3"/>
      <c r="X649" s="3"/>
      <c r="Y649" s="3"/>
      <c r="Z649" s="3"/>
      <c r="AA649" s="3"/>
      <c r="AB649" s="3"/>
      <c r="AC649" s="3"/>
      <c r="AD649" s="3"/>
      <c r="AE649" s="3"/>
      <c r="AF649" s="3"/>
      <c r="AG649" s="3"/>
      <c r="AH649" s="3"/>
      <c r="AI649" s="3"/>
      <c r="AJ649" s="3"/>
      <c r="AK649" s="3"/>
      <c r="AL649" s="3"/>
    </row>
    <row r="650" ht="15.75" customHeight="1">
      <c r="A650" s="45"/>
      <c r="B650" s="2"/>
      <c r="C650" s="667"/>
      <c r="D650" s="2"/>
      <c r="E650" s="668"/>
      <c r="F650" s="2"/>
      <c r="G650" s="2"/>
      <c r="H650" s="2"/>
      <c r="I650" s="2"/>
      <c r="J650" s="2"/>
      <c r="K650" s="2"/>
      <c r="L650" s="2"/>
      <c r="M650" s="2"/>
      <c r="N650" s="667"/>
      <c r="O650" s="2"/>
      <c r="P650" s="2"/>
      <c r="Q650" s="2"/>
      <c r="R650" s="3"/>
      <c r="S650" s="3"/>
      <c r="T650" s="3"/>
      <c r="U650" s="3"/>
      <c r="V650" s="3"/>
      <c r="W650" s="3"/>
      <c r="X650" s="3"/>
      <c r="Y650" s="3"/>
      <c r="Z650" s="3"/>
      <c r="AA650" s="3"/>
      <c r="AB650" s="3"/>
      <c r="AC650" s="3"/>
      <c r="AD650" s="3"/>
      <c r="AE650" s="3"/>
      <c r="AF650" s="3"/>
      <c r="AG650" s="3"/>
      <c r="AH650" s="3"/>
      <c r="AI650" s="3"/>
      <c r="AJ650" s="3"/>
      <c r="AK650" s="3"/>
      <c r="AL650" s="3"/>
    </row>
    <row r="651" ht="15.75" customHeight="1">
      <c r="A651" s="45"/>
      <c r="B651" s="2"/>
      <c r="C651" s="667"/>
      <c r="D651" s="2"/>
      <c r="E651" s="668"/>
      <c r="F651" s="2"/>
      <c r="G651" s="2"/>
      <c r="H651" s="2"/>
      <c r="I651" s="2"/>
      <c r="J651" s="2"/>
      <c r="K651" s="2"/>
      <c r="L651" s="2"/>
      <c r="M651" s="2"/>
      <c r="N651" s="667"/>
      <c r="O651" s="2"/>
      <c r="P651" s="2"/>
      <c r="Q651" s="2"/>
      <c r="R651" s="3"/>
      <c r="S651" s="3"/>
      <c r="T651" s="3"/>
      <c r="U651" s="3"/>
      <c r="V651" s="3"/>
      <c r="W651" s="3"/>
      <c r="X651" s="3"/>
      <c r="Y651" s="3"/>
      <c r="Z651" s="3"/>
      <c r="AA651" s="3"/>
      <c r="AB651" s="3"/>
      <c r="AC651" s="3"/>
      <c r="AD651" s="3"/>
      <c r="AE651" s="3"/>
      <c r="AF651" s="3"/>
      <c r="AG651" s="3"/>
      <c r="AH651" s="3"/>
      <c r="AI651" s="3"/>
      <c r="AJ651" s="3"/>
      <c r="AK651" s="3"/>
      <c r="AL651" s="3"/>
    </row>
    <row r="652" ht="15.75" customHeight="1">
      <c r="A652" s="45"/>
      <c r="B652" s="2"/>
      <c r="C652" s="667"/>
      <c r="D652" s="2"/>
      <c r="E652" s="668"/>
      <c r="F652" s="2"/>
      <c r="G652" s="2"/>
      <c r="H652" s="2"/>
      <c r="I652" s="2"/>
      <c r="J652" s="2"/>
      <c r="K652" s="2"/>
      <c r="L652" s="2"/>
      <c r="M652" s="2"/>
      <c r="N652" s="667"/>
      <c r="O652" s="2"/>
      <c r="P652" s="2"/>
      <c r="Q652" s="2"/>
      <c r="R652" s="3"/>
      <c r="S652" s="3"/>
      <c r="T652" s="3"/>
      <c r="U652" s="3"/>
      <c r="V652" s="3"/>
      <c r="W652" s="3"/>
      <c r="X652" s="3"/>
      <c r="Y652" s="3"/>
      <c r="Z652" s="3"/>
      <c r="AA652" s="3"/>
      <c r="AB652" s="3"/>
      <c r="AC652" s="3"/>
      <c r="AD652" s="3"/>
      <c r="AE652" s="3"/>
      <c r="AF652" s="3"/>
      <c r="AG652" s="3"/>
      <c r="AH652" s="3"/>
      <c r="AI652" s="3"/>
      <c r="AJ652" s="3"/>
      <c r="AK652" s="3"/>
      <c r="AL652" s="3"/>
    </row>
    <row r="653" ht="15.75" customHeight="1">
      <c r="A653" s="45"/>
      <c r="B653" s="2"/>
      <c r="C653" s="667"/>
      <c r="D653" s="2"/>
      <c r="E653" s="668"/>
      <c r="F653" s="2"/>
      <c r="G653" s="2"/>
      <c r="H653" s="2"/>
      <c r="I653" s="2"/>
      <c r="J653" s="2"/>
      <c r="K653" s="2"/>
      <c r="L653" s="2"/>
      <c r="M653" s="2"/>
      <c r="N653" s="667"/>
      <c r="O653" s="2"/>
      <c r="P653" s="2"/>
      <c r="Q653" s="2"/>
      <c r="R653" s="3"/>
      <c r="S653" s="3"/>
      <c r="T653" s="3"/>
      <c r="U653" s="3"/>
      <c r="V653" s="3"/>
      <c r="W653" s="3"/>
      <c r="X653" s="3"/>
      <c r="Y653" s="3"/>
      <c r="Z653" s="3"/>
      <c r="AA653" s="3"/>
      <c r="AB653" s="3"/>
      <c r="AC653" s="3"/>
      <c r="AD653" s="3"/>
      <c r="AE653" s="3"/>
      <c r="AF653" s="3"/>
      <c r="AG653" s="3"/>
      <c r="AH653" s="3"/>
      <c r="AI653" s="3"/>
      <c r="AJ653" s="3"/>
      <c r="AK653" s="3"/>
      <c r="AL653" s="3"/>
    </row>
    <row r="654" ht="15.75" customHeight="1">
      <c r="A654" s="45"/>
      <c r="B654" s="2"/>
      <c r="C654" s="667"/>
      <c r="D654" s="2"/>
      <c r="E654" s="668"/>
      <c r="F654" s="2"/>
      <c r="G654" s="2"/>
      <c r="H654" s="2"/>
      <c r="I654" s="2"/>
      <c r="J654" s="2"/>
      <c r="K654" s="2"/>
      <c r="L654" s="2"/>
      <c r="M654" s="2"/>
      <c r="N654" s="667"/>
      <c r="O654" s="2"/>
      <c r="P654" s="2"/>
      <c r="Q654" s="2"/>
      <c r="R654" s="3"/>
      <c r="S654" s="3"/>
      <c r="T654" s="3"/>
      <c r="U654" s="3"/>
      <c r="V654" s="3"/>
      <c r="W654" s="3"/>
      <c r="X654" s="3"/>
      <c r="Y654" s="3"/>
      <c r="Z654" s="3"/>
      <c r="AA654" s="3"/>
      <c r="AB654" s="3"/>
      <c r="AC654" s="3"/>
      <c r="AD654" s="3"/>
      <c r="AE654" s="3"/>
      <c r="AF654" s="3"/>
      <c r="AG654" s="3"/>
      <c r="AH654" s="3"/>
      <c r="AI654" s="3"/>
      <c r="AJ654" s="3"/>
      <c r="AK654" s="3"/>
      <c r="AL654" s="3"/>
    </row>
    <row r="655" ht="15.75" customHeight="1">
      <c r="A655" s="45"/>
      <c r="B655" s="2"/>
      <c r="C655" s="667"/>
      <c r="D655" s="2"/>
      <c r="E655" s="668"/>
      <c r="F655" s="2"/>
      <c r="G655" s="2"/>
      <c r="H655" s="2"/>
      <c r="I655" s="2"/>
      <c r="J655" s="2"/>
      <c r="K655" s="2"/>
      <c r="L655" s="2"/>
      <c r="M655" s="2"/>
      <c r="N655" s="667"/>
      <c r="O655" s="2"/>
      <c r="P655" s="2"/>
      <c r="Q655" s="2"/>
      <c r="R655" s="3"/>
      <c r="S655" s="3"/>
      <c r="T655" s="3"/>
      <c r="U655" s="3"/>
      <c r="V655" s="3"/>
      <c r="W655" s="3"/>
      <c r="X655" s="3"/>
      <c r="Y655" s="3"/>
      <c r="Z655" s="3"/>
      <c r="AA655" s="3"/>
      <c r="AB655" s="3"/>
      <c r="AC655" s="3"/>
      <c r="AD655" s="3"/>
      <c r="AE655" s="3"/>
      <c r="AF655" s="3"/>
      <c r="AG655" s="3"/>
      <c r="AH655" s="3"/>
      <c r="AI655" s="3"/>
      <c r="AJ655" s="3"/>
      <c r="AK655" s="3"/>
      <c r="AL655" s="3"/>
    </row>
    <row r="656" ht="15.75" customHeight="1">
      <c r="A656" s="45"/>
      <c r="B656" s="2"/>
      <c r="C656" s="667"/>
      <c r="D656" s="2"/>
      <c r="E656" s="668"/>
      <c r="F656" s="2"/>
      <c r="G656" s="2"/>
      <c r="H656" s="2"/>
      <c r="I656" s="2"/>
      <c r="J656" s="2"/>
      <c r="K656" s="2"/>
      <c r="L656" s="2"/>
      <c r="M656" s="2"/>
      <c r="N656" s="667"/>
      <c r="O656" s="2"/>
      <c r="P656" s="2"/>
      <c r="Q656" s="2"/>
      <c r="R656" s="3"/>
      <c r="S656" s="3"/>
      <c r="T656" s="3"/>
      <c r="U656" s="3"/>
      <c r="V656" s="3"/>
      <c r="W656" s="3"/>
      <c r="X656" s="3"/>
      <c r="Y656" s="3"/>
      <c r="Z656" s="3"/>
      <c r="AA656" s="3"/>
      <c r="AB656" s="3"/>
      <c r="AC656" s="3"/>
      <c r="AD656" s="3"/>
      <c r="AE656" s="3"/>
      <c r="AF656" s="3"/>
      <c r="AG656" s="3"/>
      <c r="AH656" s="3"/>
      <c r="AI656" s="3"/>
      <c r="AJ656" s="3"/>
      <c r="AK656" s="3"/>
      <c r="AL656" s="3"/>
    </row>
    <row r="657" ht="15.75" customHeight="1">
      <c r="A657" s="45"/>
      <c r="B657" s="2"/>
      <c r="C657" s="667"/>
      <c r="D657" s="2"/>
      <c r="E657" s="668"/>
      <c r="F657" s="2"/>
      <c r="G657" s="2"/>
      <c r="H657" s="2"/>
      <c r="I657" s="2"/>
      <c r="J657" s="2"/>
      <c r="K657" s="2"/>
      <c r="L657" s="2"/>
      <c r="M657" s="2"/>
      <c r="N657" s="667"/>
      <c r="O657" s="2"/>
      <c r="P657" s="2"/>
      <c r="Q657" s="2"/>
      <c r="R657" s="3"/>
      <c r="S657" s="3"/>
      <c r="T657" s="3"/>
      <c r="U657" s="3"/>
      <c r="V657" s="3"/>
      <c r="W657" s="3"/>
      <c r="X657" s="3"/>
      <c r="Y657" s="3"/>
      <c r="Z657" s="3"/>
      <c r="AA657" s="3"/>
      <c r="AB657" s="3"/>
      <c r="AC657" s="3"/>
      <c r="AD657" s="3"/>
      <c r="AE657" s="3"/>
      <c r="AF657" s="3"/>
      <c r="AG657" s="3"/>
      <c r="AH657" s="3"/>
      <c r="AI657" s="3"/>
      <c r="AJ657" s="3"/>
      <c r="AK657" s="3"/>
      <c r="AL657" s="3"/>
    </row>
    <row r="658" ht="15.75" customHeight="1">
      <c r="A658" s="45"/>
      <c r="B658" s="2"/>
      <c r="C658" s="667"/>
      <c r="D658" s="2"/>
      <c r="E658" s="668"/>
      <c r="F658" s="2"/>
      <c r="G658" s="2"/>
      <c r="H658" s="2"/>
      <c r="I658" s="2"/>
      <c r="J658" s="2"/>
      <c r="K658" s="2"/>
      <c r="L658" s="2"/>
      <c r="M658" s="2"/>
      <c r="N658" s="667"/>
      <c r="O658" s="2"/>
      <c r="P658" s="2"/>
      <c r="Q658" s="2"/>
      <c r="R658" s="3"/>
      <c r="S658" s="3"/>
      <c r="T658" s="3"/>
      <c r="U658" s="3"/>
      <c r="V658" s="3"/>
      <c r="W658" s="3"/>
      <c r="X658" s="3"/>
      <c r="Y658" s="3"/>
      <c r="Z658" s="3"/>
      <c r="AA658" s="3"/>
      <c r="AB658" s="3"/>
      <c r="AC658" s="3"/>
      <c r="AD658" s="3"/>
      <c r="AE658" s="3"/>
      <c r="AF658" s="3"/>
      <c r="AG658" s="3"/>
      <c r="AH658" s="3"/>
      <c r="AI658" s="3"/>
      <c r="AJ658" s="3"/>
      <c r="AK658" s="3"/>
      <c r="AL658" s="3"/>
    </row>
    <row r="659" ht="15.75" customHeight="1">
      <c r="A659" s="45"/>
      <c r="B659" s="2"/>
      <c r="C659" s="667"/>
      <c r="D659" s="2"/>
      <c r="E659" s="668"/>
      <c r="F659" s="2"/>
      <c r="G659" s="2"/>
      <c r="H659" s="2"/>
      <c r="I659" s="2"/>
      <c r="J659" s="2"/>
      <c r="K659" s="2"/>
      <c r="L659" s="2"/>
      <c r="M659" s="2"/>
      <c r="N659" s="667"/>
      <c r="O659" s="2"/>
      <c r="P659" s="2"/>
      <c r="Q659" s="2"/>
      <c r="R659" s="3"/>
      <c r="S659" s="3"/>
      <c r="T659" s="3"/>
      <c r="U659" s="3"/>
      <c r="V659" s="3"/>
      <c r="W659" s="3"/>
      <c r="X659" s="3"/>
      <c r="Y659" s="3"/>
      <c r="Z659" s="3"/>
      <c r="AA659" s="3"/>
      <c r="AB659" s="3"/>
      <c r="AC659" s="3"/>
      <c r="AD659" s="3"/>
      <c r="AE659" s="3"/>
      <c r="AF659" s="3"/>
      <c r="AG659" s="3"/>
      <c r="AH659" s="3"/>
      <c r="AI659" s="3"/>
      <c r="AJ659" s="3"/>
      <c r="AK659" s="3"/>
      <c r="AL659" s="3"/>
    </row>
    <row r="660" ht="15.75" customHeight="1">
      <c r="A660" s="45"/>
      <c r="B660" s="2"/>
      <c r="C660" s="667"/>
      <c r="D660" s="2"/>
      <c r="E660" s="668"/>
      <c r="F660" s="2"/>
      <c r="G660" s="2"/>
      <c r="H660" s="2"/>
      <c r="I660" s="2"/>
      <c r="J660" s="2"/>
      <c r="K660" s="2"/>
      <c r="L660" s="2"/>
      <c r="M660" s="2"/>
      <c r="N660" s="667"/>
      <c r="O660" s="2"/>
      <c r="P660" s="2"/>
      <c r="Q660" s="2"/>
      <c r="R660" s="3"/>
      <c r="S660" s="3"/>
      <c r="T660" s="3"/>
      <c r="U660" s="3"/>
      <c r="V660" s="3"/>
      <c r="W660" s="3"/>
      <c r="X660" s="3"/>
      <c r="Y660" s="3"/>
      <c r="Z660" s="3"/>
      <c r="AA660" s="3"/>
      <c r="AB660" s="3"/>
      <c r="AC660" s="3"/>
      <c r="AD660" s="3"/>
      <c r="AE660" s="3"/>
      <c r="AF660" s="3"/>
      <c r="AG660" s="3"/>
      <c r="AH660" s="3"/>
      <c r="AI660" s="3"/>
      <c r="AJ660" s="3"/>
      <c r="AK660" s="3"/>
      <c r="AL660" s="3"/>
    </row>
    <row r="661" ht="15.75" customHeight="1">
      <c r="A661" s="45"/>
      <c r="B661" s="2"/>
      <c r="C661" s="667"/>
      <c r="D661" s="2"/>
      <c r="E661" s="668"/>
      <c r="F661" s="2"/>
      <c r="G661" s="2"/>
      <c r="H661" s="2"/>
      <c r="I661" s="2"/>
      <c r="J661" s="2"/>
      <c r="K661" s="2"/>
      <c r="L661" s="2"/>
      <c r="M661" s="2"/>
      <c r="N661" s="667"/>
      <c r="O661" s="2"/>
      <c r="P661" s="2"/>
      <c r="Q661" s="2"/>
      <c r="R661" s="3"/>
      <c r="S661" s="3"/>
      <c r="T661" s="3"/>
      <c r="U661" s="3"/>
      <c r="V661" s="3"/>
      <c r="W661" s="3"/>
      <c r="X661" s="3"/>
      <c r="Y661" s="3"/>
      <c r="Z661" s="3"/>
      <c r="AA661" s="3"/>
      <c r="AB661" s="3"/>
      <c r="AC661" s="3"/>
      <c r="AD661" s="3"/>
      <c r="AE661" s="3"/>
      <c r="AF661" s="3"/>
      <c r="AG661" s="3"/>
      <c r="AH661" s="3"/>
      <c r="AI661" s="3"/>
      <c r="AJ661" s="3"/>
      <c r="AK661" s="3"/>
      <c r="AL661" s="3"/>
    </row>
    <row r="662" ht="15.75" customHeight="1">
      <c r="A662" s="45"/>
      <c r="B662" s="2"/>
      <c r="C662" s="667"/>
      <c r="D662" s="2"/>
      <c r="E662" s="668"/>
      <c r="F662" s="2"/>
      <c r="G662" s="2"/>
      <c r="H662" s="2"/>
      <c r="I662" s="2"/>
      <c r="J662" s="2"/>
      <c r="K662" s="2"/>
      <c r="L662" s="2"/>
      <c r="M662" s="2"/>
      <c r="N662" s="667"/>
      <c r="O662" s="2"/>
      <c r="P662" s="2"/>
      <c r="Q662" s="2"/>
      <c r="R662" s="3"/>
      <c r="S662" s="3"/>
      <c r="T662" s="3"/>
      <c r="U662" s="3"/>
      <c r="V662" s="3"/>
      <c r="W662" s="3"/>
      <c r="X662" s="3"/>
      <c r="Y662" s="3"/>
      <c r="Z662" s="3"/>
      <c r="AA662" s="3"/>
      <c r="AB662" s="3"/>
      <c r="AC662" s="3"/>
      <c r="AD662" s="3"/>
      <c r="AE662" s="3"/>
      <c r="AF662" s="3"/>
      <c r="AG662" s="3"/>
      <c r="AH662" s="3"/>
      <c r="AI662" s="3"/>
      <c r="AJ662" s="3"/>
      <c r="AK662" s="3"/>
      <c r="AL662" s="3"/>
    </row>
    <row r="663" ht="15.75" customHeight="1">
      <c r="A663" s="45"/>
      <c r="B663" s="2"/>
      <c r="C663" s="667"/>
      <c r="D663" s="2"/>
      <c r="E663" s="668"/>
      <c r="F663" s="2"/>
      <c r="G663" s="2"/>
      <c r="H663" s="2"/>
      <c r="I663" s="2"/>
      <c r="J663" s="2"/>
      <c r="K663" s="2"/>
      <c r="L663" s="2"/>
      <c r="M663" s="2"/>
      <c r="N663" s="667"/>
      <c r="O663" s="2"/>
      <c r="P663" s="2"/>
      <c r="Q663" s="2"/>
      <c r="R663" s="3"/>
      <c r="S663" s="3"/>
      <c r="T663" s="3"/>
      <c r="U663" s="3"/>
      <c r="V663" s="3"/>
      <c r="W663" s="3"/>
      <c r="X663" s="3"/>
      <c r="Y663" s="3"/>
      <c r="Z663" s="3"/>
      <c r="AA663" s="3"/>
      <c r="AB663" s="3"/>
      <c r="AC663" s="3"/>
      <c r="AD663" s="3"/>
      <c r="AE663" s="3"/>
      <c r="AF663" s="3"/>
      <c r="AG663" s="3"/>
      <c r="AH663" s="3"/>
      <c r="AI663" s="3"/>
      <c r="AJ663" s="3"/>
      <c r="AK663" s="3"/>
      <c r="AL663" s="3"/>
    </row>
    <row r="664" ht="15.75" customHeight="1">
      <c r="A664" s="45"/>
      <c r="B664" s="2"/>
      <c r="C664" s="667"/>
      <c r="D664" s="2"/>
      <c r="E664" s="668"/>
      <c r="F664" s="2"/>
      <c r="G664" s="2"/>
      <c r="H664" s="2"/>
      <c r="I664" s="2"/>
      <c r="J664" s="2"/>
      <c r="K664" s="2"/>
      <c r="L664" s="2"/>
      <c r="M664" s="2"/>
      <c r="N664" s="667"/>
      <c r="O664" s="2"/>
      <c r="P664" s="2"/>
      <c r="Q664" s="2"/>
      <c r="R664" s="3"/>
      <c r="S664" s="3"/>
      <c r="T664" s="3"/>
      <c r="U664" s="3"/>
      <c r="V664" s="3"/>
      <c r="W664" s="3"/>
      <c r="X664" s="3"/>
      <c r="Y664" s="3"/>
      <c r="Z664" s="3"/>
      <c r="AA664" s="3"/>
      <c r="AB664" s="3"/>
      <c r="AC664" s="3"/>
      <c r="AD664" s="3"/>
      <c r="AE664" s="3"/>
      <c r="AF664" s="3"/>
      <c r="AG664" s="3"/>
      <c r="AH664" s="3"/>
      <c r="AI664" s="3"/>
      <c r="AJ664" s="3"/>
      <c r="AK664" s="3"/>
      <c r="AL664" s="3"/>
    </row>
    <row r="665" ht="15.75" customHeight="1">
      <c r="A665" s="45"/>
      <c r="B665" s="2"/>
      <c r="C665" s="667"/>
      <c r="D665" s="2"/>
      <c r="E665" s="668"/>
      <c r="F665" s="2"/>
      <c r="G665" s="2"/>
      <c r="H665" s="2"/>
      <c r="I665" s="2"/>
      <c r="J665" s="2"/>
      <c r="K665" s="2"/>
      <c r="L665" s="2"/>
      <c r="M665" s="2"/>
      <c r="N665" s="667"/>
      <c r="O665" s="2"/>
      <c r="P665" s="2"/>
      <c r="Q665" s="2"/>
      <c r="R665" s="3"/>
      <c r="S665" s="3"/>
      <c r="T665" s="3"/>
      <c r="U665" s="3"/>
      <c r="V665" s="3"/>
      <c r="W665" s="3"/>
      <c r="X665" s="3"/>
      <c r="Y665" s="3"/>
      <c r="Z665" s="3"/>
      <c r="AA665" s="3"/>
      <c r="AB665" s="3"/>
      <c r="AC665" s="3"/>
      <c r="AD665" s="3"/>
      <c r="AE665" s="3"/>
      <c r="AF665" s="3"/>
      <c r="AG665" s="3"/>
      <c r="AH665" s="3"/>
      <c r="AI665" s="3"/>
      <c r="AJ665" s="3"/>
      <c r="AK665" s="3"/>
      <c r="AL665" s="3"/>
    </row>
    <row r="666" ht="15.75" customHeight="1">
      <c r="A666" s="45"/>
      <c r="B666" s="2"/>
      <c r="C666" s="667"/>
      <c r="D666" s="2"/>
      <c r="E666" s="668"/>
      <c r="F666" s="2"/>
      <c r="G666" s="2"/>
      <c r="H666" s="2"/>
      <c r="I666" s="2"/>
      <c r="J666" s="2"/>
      <c r="K666" s="2"/>
      <c r="L666" s="2"/>
      <c r="M666" s="2"/>
      <c r="N666" s="667"/>
      <c r="O666" s="2"/>
      <c r="P666" s="2"/>
      <c r="Q666" s="2"/>
      <c r="R666" s="3"/>
      <c r="S666" s="3"/>
      <c r="T666" s="3"/>
      <c r="U666" s="3"/>
      <c r="V666" s="3"/>
      <c r="W666" s="3"/>
      <c r="X666" s="3"/>
      <c r="Y666" s="3"/>
      <c r="Z666" s="3"/>
      <c r="AA666" s="3"/>
      <c r="AB666" s="3"/>
      <c r="AC666" s="3"/>
      <c r="AD666" s="3"/>
      <c r="AE666" s="3"/>
      <c r="AF666" s="3"/>
      <c r="AG666" s="3"/>
      <c r="AH666" s="3"/>
      <c r="AI666" s="3"/>
      <c r="AJ666" s="3"/>
      <c r="AK666" s="3"/>
      <c r="AL666" s="3"/>
    </row>
    <row r="667" ht="15.75" customHeight="1">
      <c r="A667" s="45"/>
      <c r="B667" s="2"/>
      <c r="C667" s="667"/>
      <c r="D667" s="2"/>
      <c r="E667" s="668"/>
      <c r="F667" s="2"/>
      <c r="G667" s="2"/>
      <c r="H667" s="2"/>
      <c r="I667" s="2"/>
      <c r="J667" s="2"/>
      <c r="K667" s="2"/>
      <c r="L667" s="2"/>
      <c r="M667" s="2"/>
      <c r="N667" s="667"/>
      <c r="O667" s="2"/>
      <c r="P667" s="2"/>
      <c r="Q667" s="2"/>
      <c r="R667" s="3"/>
      <c r="S667" s="3"/>
      <c r="T667" s="3"/>
      <c r="U667" s="3"/>
      <c r="V667" s="3"/>
      <c r="W667" s="3"/>
      <c r="X667" s="3"/>
      <c r="Y667" s="3"/>
      <c r="Z667" s="3"/>
      <c r="AA667" s="3"/>
      <c r="AB667" s="3"/>
      <c r="AC667" s="3"/>
      <c r="AD667" s="3"/>
      <c r="AE667" s="3"/>
      <c r="AF667" s="3"/>
      <c r="AG667" s="3"/>
      <c r="AH667" s="3"/>
      <c r="AI667" s="3"/>
      <c r="AJ667" s="3"/>
      <c r="AK667" s="3"/>
      <c r="AL667" s="3"/>
    </row>
    <row r="668" ht="15.75" customHeight="1">
      <c r="A668" s="45"/>
      <c r="B668" s="2"/>
      <c r="C668" s="667"/>
      <c r="D668" s="2"/>
      <c r="E668" s="668"/>
      <c r="F668" s="2"/>
      <c r="G668" s="2"/>
      <c r="H668" s="2"/>
      <c r="I668" s="2"/>
      <c r="J668" s="2"/>
      <c r="K668" s="2"/>
      <c r="L668" s="2"/>
      <c r="M668" s="2"/>
      <c r="N668" s="667"/>
      <c r="O668" s="2"/>
      <c r="P668" s="2"/>
      <c r="Q668" s="2"/>
      <c r="R668" s="3"/>
      <c r="S668" s="3"/>
      <c r="T668" s="3"/>
      <c r="U668" s="3"/>
      <c r="V668" s="3"/>
      <c r="W668" s="3"/>
      <c r="X668" s="3"/>
      <c r="Y668" s="3"/>
      <c r="Z668" s="3"/>
      <c r="AA668" s="3"/>
      <c r="AB668" s="3"/>
      <c r="AC668" s="3"/>
      <c r="AD668" s="3"/>
      <c r="AE668" s="3"/>
      <c r="AF668" s="3"/>
      <c r="AG668" s="3"/>
      <c r="AH668" s="3"/>
      <c r="AI668" s="3"/>
      <c r="AJ668" s="3"/>
      <c r="AK668" s="3"/>
      <c r="AL668" s="3"/>
    </row>
    <row r="669" ht="15.75" customHeight="1">
      <c r="A669" s="45"/>
      <c r="B669" s="2"/>
      <c r="C669" s="667"/>
      <c r="D669" s="2"/>
      <c r="E669" s="668"/>
      <c r="F669" s="2"/>
      <c r="G669" s="2"/>
      <c r="H669" s="2"/>
      <c r="I669" s="2"/>
      <c r="J669" s="2"/>
      <c r="K669" s="2"/>
      <c r="L669" s="2"/>
      <c r="M669" s="2"/>
      <c r="N669" s="667"/>
      <c r="O669" s="2"/>
      <c r="P669" s="2"/>
      <c r="Q669" s="2"/>
      <c r="R669" s="3"/>
      <c r="S669" s="3"/>
      <c r="T669" s="3"/>
      <c r="U669" s="3"/>
      <c r="V669" s="3"/>
      <c r="W669" s="3"/>
      <c r="X669" s="3"/>
      <c r="Y669" s="3"/>
      <c r="Z669" s="3"/>
      <c r="AA669" s="3"/>
      <c r="AB669" s="3"/>
      <c r="AC669" s="3"/>
      <c r="AD669" s="3"/>
      <c r="AE669" s="3"/>
      <c r="AF669" s="3"/>
      <c r="AG669" s="3"/>
      <c r="AH669" s="3"/>
      <c r="AI669" s="3"/>
      <c r="AJ669" s="3"/>
      <c r="AK669" s="3"/>
      <c r="AL669" s="3"/>
    </row>
    <row r="670" ht="15.75" customHeight="1">
      <c r="A670" s="45"/>
      <c r="B670" s="2"/>
      <c r="C670" s="667"/>
      <c r="D670" s="2"/>
      <c r="E670" s="668"/>
      <c r="F670" s="2"/>
      <c r="G670" s="2"/>
      <c r="H670" s="2"/>
      <c r="I670" s="2"/>
      <c r="J670" s="2"/>
      <c r="K670" s="2"/>
      <c r="L670" s="2"/>
      <c r="M670" s="2"/>
      <c r="N670" s="667"/>
      <c r="O670" s="2"/>
      <c r="P670" s="2"/>
      <c r="Q670" s="2"/>
      <c r="R670" s="3"/>
      <c r="S670" s="3"/>
      <c r="T670" s="3"/>
      <c r="U670" s="3"/>
      <c r="V670" s="3"/>
      <c r="W670" s="3"/>
      <c r="X670" s="3"/>
      <c r="Y670" s="3"/>
      <c r="Z670" s="3"/>
      <c r="AA670" s="3"/>
      <c r="AB670" s="3"/>
      <c r="AC670" s="3"/>
      <c r="AD670" s="3"/>
      <c r="AE670" s="3"/>
      <c r="AF670" s="3"/>
      <c r="AG670" s="3"/>
      <c r="AH670" s="3"/>
      <c r="AI670" s="3"/>
      <c r="AJ670" s="3"/>
      <c r="AK670" s="3"/>
      <c r="AL670" s="3"/>
    </row>
    <row r="671" ht="15.75" customHeight="1">
      <c r="A671" s="45"/>
      <c r="B671" s="2"/>
      <c r="C671" s="667"/>
      <c r="D671" s="2"/>
      <c r="E671" s="668"/>
      <c r="F671" s="2"/>
      <c r="G671" s="2"/>
      <c r="H671" s="2"/>
      <c r="I671" s="2"/>
      <c r="J671" s="2"/>
      <c r="K671" s="2"/>
      <c r="L671" s="2"/>
      <c r="M671" s="2"/>
      <c r="N671" s="667"/>
      <c r="O671" s="2"/>
      <c r="P671" s="2"/>
      <c r="Q671" s="2"/>
      <c r="R671" s="3"/>
      <c r="S671" s="3"/>
      <c r="T671" s="3"/>
      <c r="U671" s="3"/>
      <c r="V671" s="3"/>
      <c r="W671" s="3"/>
      <c r="X671" s="3"/>
      <c r="Y671" s="3"/>
      <c r="Z671" s="3"/>
      <c r="AA671" s="3"/>
      <c r="AB671" s="3"/>
      <c r="AC671" s="3"/>
      <c r="AD671" s="3"/>
      <c r="AE671" s="3"/>
      <c r="AF671" s="3"/>
      <c r="AG671" s="3"/>
      <c r="AH671" s="3"/>
      <c r="AI671" s="3"/>
      <c r="AJ671" s="3"/>
      <c r="AK671" s="3"/>
      <c r="AL671" s="3"/>
    </row>
    <row r="672" ht="15.75" customHeight="1">
      <c r="A672" s="45"/>
      <c r="B672" s="2"/>
      <c r="C672" s="667"/>
      <c r="D672" s="2"/>
      <c r="E672" s="668"/>
      <c r="F672" s="2"/>
      <c r="G672" s="2"/>
      <c r="H672" s="2"/>
      <c r="I672" s="2"/>
      <c r="J672" s="2"/>
      <c r="K672" s="2"/>
      <c r="L672" s="2"/>
      <c r="M672" s="2"/>
      <c r="N672" s="667"/>
      <c r="O672" s="2"/>
      <c r="P672" s="2"/>
      <c r="Q672" s="2"/>
      <c r="R672" s="3"/>
      <c r="S672" s="3"/>
      <c r="T672" s="3"/>
      <c r="U672" s="3"/>
      <c r="V672" s="3"/>
      <c r="W672" s="3"/>
      <c r="X672" s="3"/>
      <c r="Y672" s="3"/>
      <c r="Z672" s="3"/>
      <c r="AA672" s="3"/>
      <c r="AB672" s="3"/>
      <c r="AC672" s="3"/>
      <c r="AD672" s="3"/>
      <c r="AE672" s="3"/>
      <c r="AF672" s="3"/>
      <c r="AG672" s="3"/>
      <c r="AH672" s="3"/>
      <c r="AI672" s="3"/>
      <c r="AJ672" s="3"/>
      <c r="AK672" s="3"/>
      <c r="AL672" s="3"/>
    </row>
    <row r="673" ht="15.75" customHeight="1">
      <c r="A673" s="45"/>
      <c r="B673" s="2"/>
      <c r="C673" s="667"/>
      <c r="D673" s="2"/>
      <c r="E673" s="668"/>
      <c r="F673" s="2"/>
      <c r="G673" s="2"/>
      <c r="H673" s="2"/>
      <c r="I673" s="2"/>
      <c r="J673" s="2"/>
      <c r="K673" s="2"/>
      <c r="L673" s="2"/>
      <c r="M673" s="2"/>
      <c r="N673" s="667"/>
      <c r="O673" s="2"/>
      <c r="P673" s="2"/>
      <c r="Q673" s="2"/>
      <c r="R673" s="3"/>
      <c r="S673" s="3"/>
      <c r="T673" s="3"/>
      <c r="U673" s="3"/>
      <c r="V673" s="3"/>
      <c r="W673" s="3"/>
      <c r="X673" s="3"/>
      <c r="Y673" s="3"/>
      <c r="Z673" s="3"/>
      <c r="AA673" s="3"/>
      <c r="AB673" s="3"/>
      <c r="AC673" s="3"/>
      <c r="AD673" s="3"/>
      <c r="AE673" s="3"/>
      <c r="AF673" s="3"/>
      <c r="AG673" s="3"/>
      <c r="AH673" s="3"/>
      <c r="AI673" s="3"/>
      <c r="AJ673" s="3"/>
      <c r="AK673" s="3"/>
      <c r="AL673" s="3"/>
    </row>
    <row r="674" ht="15.75" customHeight="1">
      <c r="A674" s="45"/>
      <c r="B674" s="2"/>
      <c r="C674" s="667"/>
      <c r="D674" s="2"/>
      <c r="E674" s="668"/>
      <c r="F674" s="2"/>
      <c r="G674" s="2"/>
      <c r="H674" s="2"/>
      <c r="I674" s="2"/>
      <c r="J674" s="2"/>
      <c r="K674" s="2"/>
      <c r="L674" s="2"/>
      <c r="M674" s="2"/>
      <c r="N674" s="667"/>
      <c r="O674" s="2"/>
      <c r="P674" s="2"/>
      <c r="Q674" s="2"/>
      <c r="R674" s="3"/>
      <c r="S674" s="3"/>
      <c r="T674" s="3"/>
      <c r="U674" s="3"/>
      <c r="V674" s="3"/>
      <c r="W674" s="3"/>
      <c r="X674" s="3"/>
      <c r="Y674" s="3"/>
      <c r="Z674" s="3"/>
      <c r="AA674" s="3"/>
      <c r="AB674" s="3"/>
      <c r="AC674" s="3"/>
      <c r="AD674" s="3"/>
      <c r="AE674" s="3"/>
      <c r="AF674" s="3"/>
      <c r="AG674" s="3"/>
      <c r="AH674" s="3"/>
      <c r="AI674" s="3"/>
      <c r="AJ674" s="3"/>
      <c r="AK674" s="3"/>
      <c r="AL674" s="3"/>
    </row>
    <row r="675" ht="15.75" customHeight="1">
      <c r="A675" s="45"/>
      <c r="B675" s="2"/>
      <c r="C675" s="667"/>
      <c r="D675" s="2"/>
      <c r="E675" s="668"/>
      <c r="F675" s="2"/>
      <c r="G675" s="2"/>
      <c r="H675" s="2"/>
      <c r="I675" s="2"/>
      <c r="J675" s="2"/>
      <c r="K675" s="2"/>
      <c r="L675" s="2"/>
      <c r="M675" s="2"/>
      <c r="N675" s="667"/>
      <c r="O675" s="2"/>
      <c r="P675" s="2"/>
      <c r="Q675" s="2"/>
      <c r="R675" s="3"/>
      <c r="S675" s="3"/>
      <c r="T675" s="3"/>
      <c r="U675" s="3"/>
      <c r="V675" s="3"/>
      <c r="W675" s="3"/>
      <c r="X675" s="3"/>
      <c r="Y675" s="3"/>
      <c r="Z675" s="3"/>
      <c r="AA675" s="3"/>
      <c r="AB675" s="3"/>
      <c r="AC675" s="3"/>
      <c r="AD675" s="3"/>
      <c r="AE675" s="3"/>
      <c r="AF675" s="3"/>
      <c r="AG675" s="3"/>
      <c r="AH675" s="3"/>
      <c r="AI675" s="3"/>
      <c r="AJ675" s="3"/>
      <c r="AK675" s="3"/>
      <c r="AL675" s="3"/>
    </row>
    <row r="676" ht="15.75" customHeight="1">
      <c r="A676" s="45"/>
      <c r="B676" s="2"/>
      <c r="C676" s="667"/>
      <c r="D676" s="2"/>
      <c r="E676" s="668"/>
      <c r="F676" s="2"/>
      <c r="G676" s="2"/>
      <c r="H676" s="2"/>
      <c r="I676" s="2"/>
      <c r="J676" s="2"/>
      <c r="K676" s="2"/>
      <c r="L676" s="2"/>
      <c r="M676" s="2"/>
      <c r="N676" s="667"/>
      <c r="O676" s="2"/>
      <c r="P676" s="2"/>
      <c r="Q676" s="2"/>
      <c r="R676" s="3"/>
      <c r="S676" s="3"/>
      <c r="T676" s="3"/>
      <c r="U676" s="3"/>
      <c r="V676" s="3"/>
      <c r="W676" s="3"/>
      <c r="X676" s="3"/>
      <c r="Y676" s="3"/>
      <c r="Z676" s="3"/>
      <c r="AA676" s="3"/>
      <c r="AB676" s="3"/>
      <c r="AC676" s="3"/>
      <c r="AD676" s="3"/>
      <c r="AE676" s="3"/>
      <c r="AF676" s="3"/>
      <c r="AG676" s="3"/>
      <c r="AH676" s="3"/>
      <c r="AI676" s="3"/>
      <c r="AJ676" s="3"/>
      <c r="AK676" s="3"/>
      <c r="AL676" s="3"/>
    </row>
    <row r="677" ht="15.75" customHeight="1">
      <c r="A677" s="45"/>
      <c r="B677" s="2"/>
      <c r="C677" s="667"/>
      <c r="D677" s="2"/>
      <c r="E677" s="668"/>
      <c r="F677" s="2"/>
      <c r="G677" s="2"/>
      <c r="H677" s="2"/>
      <c r="I677" s="2"/>
      <c r="J677" s="2"/>
      <c r="K677" s="2"/>
      <c r="L677" s="2"/>
      <c r="M677" s="2"/>
      <c r="N677" s="667"/>
      <c r="O677" s="2"/>
      <c r="P677" s="2"/>
      <c r="Q677" s="2"/>
      <c r="R677" s="3"/>
      <c r="S677" s="3"/>
      <c r="T677" s="3"/>
      <c r="U677" s="3"/>
      <c r="V677" s="3"/>
      <c r="W677" s="3"/>
      <c r="X677" s="3"/>
      <c r="Y677" s="3"/>
      <c r="Z677" s="3"/>
      <c r="AA677" s="3"/>
      <c r="AB677" s="3"/>
      <c r="AC677" s="3"/>
      <c r="AD677" s="3"/>
      <c r="AE677" s="3"/>
      <c r="AF677" s="3"/>
      <c r="AG677" s="3"/>
      <c r="AH677" s="3"/>
      <c r="AI677" s="3"/>
      <c r="AJ677" s="3"/>
      <c r="AK677" s="3"/>
      <c r="AL677" s="3"/>
    </row>
    <row r="678" ht="15.75" customHeight="1">
      <c r="A678" s="45"/>
      <c r="B678" s="2"/>
      <c r="C678" s="667"/>
      <c r="D678" s="2"/>
      <c r="E678" s="668"/>
      <c r="F678" s="2"/>
      <c r="G678" s="2"/>
      <c r="H678" s="2"/>
      <c r="I678" s="2"/>
      <c r="J678" s="2"/>
      <c r="K678" s="2"/>
      <c r="L678" s="2"/>
      <c r="M678" s="2"/>
      <c r="N678" s="667"/>
      <c r="O678" s="2"/>
      <c r="P678" s="2"/>
      <c r="Q678" s="2"/>
      <c r="R678" s="3"/>
      <c r="S678" s="3"/>
      <c r="T678" s="3"/>
      <c r="U678" s="3"/>
      <c r="V678" s="3"/>
      <c r="W678" s="3"/>
      <c r="X678" s="3"/>
      <c r="Y678" s="3"/>
      <c r="Z678" s="3"/>
      <c r="AA678" s="3"/>
      <c r="AB678" s="3"/>
      <c r="AC678" s="3"/>
      <c r="AD678" s="3"/>
      <c r="AE678" s="3"/>
      <c r="AF678" s="3"/>
      <c r="AG678" s="3"/>
      <c r="AH678" s="3"/>
      <c r="AI678" s="3"/>
      <c r="AJ678" s="3"/>
      <c r="AK678" s="3"/>
      <c r="AL678" s="3"/>
    </row>
    <row r="679" ht="15.75" customHeight="1">
      <c r="A679" s="45"/>
      <c r="B679" s="2"/>
      <c r="C679" s="667"/>
      <c r="D679" s="2"/>
      <c r="E679" s="668"/>
      <c r="F679" s="2"/>
      <c r="G679" s="2"/>
      <c r="H679" s="2"/>
      <c r="I679" s="2"/>
      <c r="J679" s="2"/>
      <c r="K679" s="2"/>
      <c r="L679" s="2"/>
      <c r="M679" s="2"/>
      <c r="N679" s="667"/>
      <c r="O679" s="2"/>
      <c r="P679" s="2"/>
      <c r="Q679" s="2"/>
      <c r="R679" s="3"/>
      <c r="S679" s="3"/>
      <c r="T679" s="3"/>
      <c r="U679" s="3"/>
      <c r="V679" s="3"/>
      <c r="W679" s="3"/>
      <c r="X679" s="3"/>
      <c r="Y679" s="3"/>
      <c r="Z679" s="3"/>
      <c r="AA679" s="3"/>
      <c r="AB679" s="3"/>
      <c r="AC679" s="3"/>
      <c r="AD679" s="3"/>
      <c r="AE679" s="3"/>
      <c r="AF679" s="3"/>
      <c r="AG679" s="3"/>
      <c r="AH679" s="3"/>
      <c r="AI679" s="3"/>
      <c r="AJ679" s="3"/>
      <c r="AK679" s="3"/>
      <c r="AL679" s="3"/>
    </row>
    <row r="680" ht="15.75" customHeight="1">
      <c r="A680" s="45"/>
      <c r="B680" s="2"/>
      <c r="C680" s="667"/>
      <c r="D680" s="2"/>
      <c r="E680" s="668"/>
      <c r="F680" s="2"/>
      <c r="G680" s="2"/>
      <c r="H680" s="2"/>
      <c r="I680" s="2"/>
      <c r="J680" s="2"/>
      <c r="K680" s="2"/>
      <c r="L680" s="2"/>
      <c r="M680" s="2"/>
      <c r="N680" s="667"/>
      <c r="O680" s="2"/>
      <c r="P680" s="2"/>
      <c r="Q680" s="2"/>
      <c r="R680" s="3"/>
      <c r="S680" s="3"/>
      <c r="T680" s="3"/>
      <c r="U680" s="3"/>
      <c r="V680" s="3"/>
      <c r="W680" s="3"/>
      <c r="X680" s="3"/>
      <c r="Y680" s="3"/>
      <c r="Z680" s="3"/>
      <c r="AA680" s="3"/>
      <c r="AB680" s="3"/>
      <c r="AC680" s="3"/>
      <c r="AD680" s="3"/>
      <c r="AE680" s="3"/>
      <c r="AF680" s="3"/>
      <c r="AG680" s="3"/>
      <c r="AH680" s="3"/>
      <c r="AI680" s="3"/>
      <c r="AJ680" s="3"/>
      <c r="AK680" s="3"/>
      <c r="AL680" s="3"/>
    </row>
    <row r="681" ht="15.75" customHeight="1">
      <c r="A681" s="45"/>
      <c r="B681" s="2"/>
      <c r="C681" s="667"/>
      <c r="D681" s="2"/>
      <c r="E681" s="668"/>
      <c r="F681" s="2"/>
      <c r="G681" s="2"/>
      <c r="H681" s="2"/>
      <c r="I681" s="2"/>
      <c r="J681" s="2"/>
      <c r="K681" s="2"/>
      <c r="L681" s="2"/>
      <c r="M681" s="2"/>
      <c r="N681" s="667"/>
      <c r="O681" s="2"/>
      <c r="P681" s="2"/>
      <c r="Q681" s="2"/>
      <c r="R681" s="3"/>
      <c r="S681" s="3"/>
      <c r="T681" s="3"/>
      <c r="U681" s="3"/>
      <c r="V681" s="3"/>
      <c r="W681" s="3"/>
      <c r="X681" s="3"/>
      <c r="Y681" s="3"/>
      <c r="Z681" s="3"/>
      <c r="AA681" s="3"/>
      <c r="AB681" s="3"/>
      <c r="AC681" s="3"/>
      <c r="AD681" s="3"/>
      <c r="AE681" s="3"/>
      <c r="AF681" s="3"/>
      <c r="AG681" s="3"/>
      <c r="AH681" s="3"/>
      <c r="AI681" s="3"/>
      <c r="AJ681" s="3"/>
      <c r="AK681" s="3"/>
      <c r="AL681" s="3"/>
    </row>
    <row r="682" ht="15.75" customHeight="1">
      <c r="A682" s="45"/>
      <c r="B682" s="2"/>
      <c r="C682" s="667"/>
      <c r="D682" s="2"/>
      <c r="E682" s="668"/>
      <c r="F682" s="2"/>
      <c r="G682" s="2"/>
      <c r="H682" s="2"/>
      <c r="I682" s="2"/>
      <c r="J682" s="2"/>
      <c r="K682" s="2"/>
      <c r="L682" s="2"/>
      <c r="M682" s="2"/>
      <c r="N682" s="667"/>
      <c r="O682" s="2"/>
      <c r="P682" s="2"/>
      <c r="Q682" s="2"/>
      <c r="R682" s="3"/>
      <c r="S682" s="3"/>
      <c r="T682" s="3"/>
      <c r="U682" s="3"/>
      <c r="V682" s="3"/>
      <c r="W682" s="3"/>
      <c r="X682" s="3"/>
      <c r="Y682" s="3"/>
      <c r="Z682" s="3"/>
      <c r="AA682" s="3"/>
      <c r="AB682" s="3"/>
      <c r="AC682" s="3"/>
      <c r="AD682" s="3"/>
      <c r="AE682" s="3"/>
      <c r="AF682" s="3"/>
      <c r="AG682" s="3"/>
      <c r="AH682" s="3"/>
      <c r="AI682" s="3"/>
      <c r="AJ682" s="3"/>
      <c r="AK682" s="3"/>
      <c r="AL682" s="3"/>
    </row>
    <row r="683" ht="15.75" customHeight="1">
      <c r="A683" s="45"/>
      <c r="B683" s="2"/>
      <c r="C683" s="667"/>
      <c r="D683" s="2"/>
      <c r="E683" s="668"/>
      <c r="F683" s="2"/>
      <c r="G683" s="2"/>
      <c r="H683" s="2"/>
      <c r="I683" s="2"/>
      <c r="J683" s="2"/>
      <c r="K683" s="2"/>
      <c r="L683" s="2"/>
      <c r="M683" s="2"/>
      <c r="N683" s="667"/>
      <c r="O683" s="2"/>
      <c r="P683" s="2"/>
      <c r="Q683" s="2"/>
      <c r="R683" s="3"/>
      <c r="S683" s="3"/>
      <c r="T683" s="3"/>
      <c r="U683" s="3"/>
      <c r="V683" s="3"/>
      <c r="W683" s="3"/>
      <c r="X683" s="3"/>
      <c r="Y683" s="3"/>
      <c r="Z683" s="3"/>
      <c r="AA683" s="3"/>
      <c r="AB683" s="3"/>
      <c r="AC683" s="3"/>
      <c r="AD683" s="3"/>
      <c r="AE683" s="3"/>
      <c r="AF683" s="3"/>
      <c r="AG683" s="3"/>
      <c r="AH683" s="3"/>
      <c r="AI683" s="3"/>
      <c r="AJ683" s="3"/>
      <c r="AK683" s="3"/>
      <c r="AL683" s="3"/>
    </row>
    <row r="684" ht="15.75" customHeight="1">
      <c r="A684" s="45"/>
      <c r="B684" s="2"/>
      <c r="C684" s="667"/>
      <c r="D684" s="2"/>
      <c r="E684" s="668"/>
      <c r="F684" s="2"/>
      <c r="G684" s="2"/>
      <c r="H684" s="2"/>
      <c r="I684" s="2"/>
      <c r="J684" s="2"/>
      <c r="K684" s="2"/>
      <c r="L684" s="2"/>
      <c r="M684" s="2"/>
      <c r="N684" s="667"/>
      <c r="O684" s="2"/>
      <c r="P684" s="2"/>
      <c r="Q684" s="2"/>
      <c r="R684" s="3"/>
      <c r="S684" s="3"/>
      <c r="T684" s="3"/>
      <c r="U684" s="3"/>
      <c r="V684" s="3"/>
      <c r="W684" s="3"/>
      <c r="X684" s="3"/>
      <c r="Y684" s="3"/>
      <c r="Z684" s="3"/>
      <c r="AA684" s="3"/>
      <c r="AB684" s="3"/>
      <c r="AC684" s="3"/>
      <c r="AD684" s="3"/>
      <c r="AE684" s="3"/>
      <c r="AF684" s="3"/>
      <c r="AG684" s="3"/>
      <c r="AH684" s="3"/>
      <c r="AI684" s="3"/>
      <c r="AJ684" s="3"/>
      <c r="AK684" s="3"/>
      <c r="AL684" s="3"/>
    </row>
    <row r="685" ht="15.75" customHeight="1">
      <c r="A685" s="45"/>
      <c r="B685" s="2"/>
      <c r="C685" s="667"/>
      <c r="D685" s="2"/>
      <c r="E685" s="668"/>
      <c r="F685" s="2"/>
      <c r="G685" s="2"/>
      <c r="H685" s="2"/>
      <c r="I685" s="2"/>
      <c r="J685" s="2"/>
      <c r="K685" s="2"/>
      <c r="L685" s="2"/>
      <c r="M685" s="2"/>
      <c r="N685" s="667"/>
      <c r="O685" s="2"/>
      <c r="P685" s="2"/>
      <c r="Q685" s="2"/>
      <c r="R685" s="3"/>
      <c r="S685" s="3"/>
      <c r="T685" s="3"/>
      <c r="U685" s="3"/>
      <c r="V685" s="3"/>
      <c r="W685" s="3"/>
      <c r="X685" s="3"/>
      <c r="Y685" s="3"/>
      <c r="Z685" s="3"/>
      <c r="AA685" s="3"/>
      <c r="AB685" s="3"/>
      <c r="AC685" s="3"/>
      <c r="AD685" s="3"/>
      <c r="AE685" s="3"/>
      <c r="AF685" s="3"/>
      <c r="AG685" s="3"/>
      <c r="AH685" s="3"/>
      <c r="AI685" s="3"/>
      <c r="AJ685" s="3"/>
      <c r="AK685" s="3"/>
      <c r="AL685" s="3"/>
    </row>
    <row r="686" ht="15.75" customHeight="1">
      <c r="A686" s="45"/>
      <c r="B686" s="2"/>
      <c r="C686" s="667"/>
      <c r="D686" s="2"/>
      <c r="E686" s="668"/>
      <c r="F686" s="2"/>
      <c r="G686" s="2"/>
      <c r="H686" s="2"/>
      <c r="I686" s="2"/>
      <c r="J686" s="2"/>
      <c r="K686" s="2"/>
      <c r="L686" s="2"/>
      <c r="M686" s="2"/>
      <c r="N686" s="667"/>
      <c r="O686" s="2"/>
      <c r="P686" s="2"/>
      <c r="Q686" s="2"/>
      <c r="R686" s="3"/>
      <c r="S686" s="3"/>
      <c r="T686" s="3"/>
      <c r="U686" s="3"/>
      <c r="V686" s="3"/>
      <c r="W686" s="3"/>
      <c r="X686" s="3"/>
      <c r="Y686" s="3"/>
      <c r="Z686" s="3"/>
      <c r="AA686" s="3"/>
      <c r="AB686" s="3"/>
      <c r="AC686" s="3"/>
      <c r="AD686" s="3"/>
      <c r="AE686" s="3"/>
      <c r="AF686" s="3"/>
      <c r="AG686" s="3"/>
      <c r="AH686" s="3"/>
      <c r="AI686" s="3"/>
      <c r="AJ686" s="3"/>
      <c r="AK686" s="3"/>
      <c r="AL686" s="3"/>
    </row>
    <row r="687" ht="15.75" customHeight="1">
      <c r="A687" s="45"/>
      <c r="B687" s="2"/>
      <c r="C687" s="667"/>
      <c r="D687" s="2"/>
      <c r="E687" s="668"/>
      <c r="F687" s="2"/>
      <c r="G687" s="2"/>
      <c r="H687" s="2"/>
      <c r="I687" s="2"/>
      <c r="J687" s="2"/>
      <c r="K687" s="2"/>
      <c r="L687" s="2"/>
      <c r="M687" s="2"/>
      <c r="N687" s="667"/>
      <c r="O687" s="2"/>
      <c r="P687" s="2"/>
      <c r="Q687" s="2"/>
      <c r="R687" s="3"/>
      <c r="S687" s="3"/>
      <c r="T687" s="3"/>
      <c r="U687" s="3"/>
      <c r="V687" s="3"/>
      <c r="W687" s="3"/>
      <c r="X687" s="3"/>
      <c r="Y687" s="3"/>
      <c r="Z687" s="3"/>
      <c r="AA687" s="3"/>
      <c r="AB687" s="3"/>
      <c r="AC687" s="3"/>
      <c r="AD687" s="3"/>
      <c r="AE687" s="3"/>
      <c r="AF687" s="3"/>
      <c r="AG687" s="3"/>
      <c r="AH687" s="3"/>
      <c r="AI687" s="3"/>
      <c r="AJ687" s="3"/>
      <c r="AK687" s="3"/>
      <c r="AL687" s="3"/>
    </row>
    <row r="688" ht="15.75" customHeight="1">
      <c r="A688" s="45"/>
      <c r="B688" s="2"/>
      <c r="C688" s="667"/>
      <c r="D688" s="2"/>
      <c r="E688" s="668"/>
      <c r="F688" s="2"/>
      <c r="G688" s="2"/>
      <c r="H688" s="2"/>
      <c r="I688" s="2"/>
      <c r="J688" s="2"/>
      <c r="K688" s="2"/>
      <c r="L688" s="2"/>
      <c r="M688" s="2"/>
      <c r="N688" s="667"/>
      <c r="O688" s="2"/>
      <c r="P688" s="2"/>
      <c r="Q688" s="2"/>
      <c r="R688" s="3"/>
      <c r="S688" s="3"/>
      <c r="T688" s="3"/>
      <c r="U688" s="3"/>
      <c r="V688" s="3"/>
      <c r="W688" s="3"/>
      <c r="X688" s="3"/>
      <c r="Y688" s="3"/>
      <c r="Z688" s="3"/>
      <c r="AA688" s="3"/>
      <c r="AB688" s="3"/>
      <c r="AC688" s="3"/>
      <c r="AD688" s="3"/>
      <c r="AE688" s="3"/>
      <c r="AF688" s="3"/>
      <c r="AG688" s="3"/>
      <c r="AH688" s="3"/>
      <c r="AI688" s="3"/>
      <c r="AJ688" s="3"/>
      <c r="AK688" s="3"/>
      <c r="AL688" s="3"/>
    </row>
    <row r="689" ht="15.75" customHeight="1">
      <c r="A689" s="45"/>
      <c r="B689" s="2"/>
      <c r="C689" s="667"/>
      <c r="D689" s="2"/>
      <c r="E689" s="668"/>
      <c r="F689" s="2"/>
      <c r="G689" s="2"/>
      <c r="H689" s="2"/>
      <c r="I689" s="2"/>
      <c r="J689" s="2"/>
      <c r="K689" s="2"/>
      <c r="L689" s="2"/>
      <c r="M689" s="2"/>
      <c r="N689" s="667"/>
      <c r="O689" s="2"/>
      <c r="P689" s="2"/>
      <c r="Q689" s="2"/>
      <c r="R689" s="3"/>
      <c r="S689" s="3"/>
      <c r="T689" s="3"/>
      <c r="U689" s="3"/>
      <c r="V689" s="3"/>
      <c r="W689" s="3"/>
      <c r="X689" s="3"/>
      <c r="Y689" s="3"/>
      <c r="Z689" s="3"/>
      <c r="AA689" s="3"/>
      <c r="AB689" s="3"/>
      <c r="AC689" s="3"/>
      <c r="AD689" s="3"/>
      <c r="AE689" s="3"/>
      <c r="AF689" s="3"/>
      <c r="AG689" s="3"/>
      <c r="AH689" s="3"/>
      <c r="AI689" s="3"/>
      <c r="AJ689" s="3"/>
      <c r="AK689" s="3"/>
      <c r="AL689" s="3"/>
    </row>
    <row r="690" ht="15.75" customHeight="1">
      <c r="A690" s="45"/>
      <c r="B690" s="2"/>
      <c r="C690" s="667"/>
      <c r="D690" s="2"/>
      <c r="E690" s="668"/>
      <c r="F690" s="2"/>
      <c r="G690" s="2"/>
      <c r="H690" s="2"/>
      <c r="I690" s="2"/>
      <c r="J690" s="2"/>
      <c r="K690" s="2"/>
      <c r="L690" s="2"/>
      <c r="M690" s="2"/>
      <c r="N690" s="667"/>
      <c r="O690" s="2"/>
      <c r="P690" s="2"/>
      <c r="Q690" s="2"/>
      <c r="R690" s="3"/>
      <c r="S690" s="3"/>
      <c r="T690" s="3"/>
      <c r="U690" s="3"/>
      <c r="V690" s="3"/>
      <c r="W690" s="3"/>
      <c r="X690" s="3"/>
      <c r="Y690" s="3"/>
      <c r="Z690" s="3"/>
      <c r="AA690" s="3"/>
      <c r="AB690" s="3"/>
      <c r="AC690" s="3"/>
      <c r="AD690" s="3"/>
      <c r="AE690" s="3"/>
      <c r="AF690" s="3"/>
      <c r="AG690" s="3"/>
      <c r="AH690" s="3"/>
      <c r="AI690" s="3"/>
      <c r="AJ690" s="3"/>
      <c r="AK690" s="3"/>
      <c r="AL690" s="3"/>
    </row>
    <row r="691" ht="15.75" customHeight="1">
      <c r="A691" s="45"/>
      <c r="B691" s="2"/>
      <c r="C691" s="667"/>
      <c r="D691" s="2"/>
      <c r="E691" s="668"/>
      <c r="F691" s="2"/>
      <c r="G691" s="2"/>
      <c r="H691" s="2"/>
      <c r="I691" s="2"/>
      <c r="J691" s="2"/>
      <c r="K691" s="2"/>
      <c r="L691" s="2"/>
      <c r="M691" s="2"/>
      <c r="N691" s="667"/>
      <c r="O691" s="2"/>
      <c r="P691" s="2"/>
      <c r="Q691" s="2"/>
      <c r="R691" s="3"/>
      <c r="S691" s="3"/>
      <c r="T691" s="3"/>
      <c r="U691" s="3"/>
      <c r="V691" s="3"/>
      <c r="W691" s="3"/>
      <c r="X691" s="3"/>
      <c r="Y691" s="3"/>
      <c r="Z691" s="3"/>
      <c r="AA691" s="3"/>
      <c r="AB691" s="3"/>
      <c r="AC691" s="3"/>
      <c r="AD691" s="3"/>
      <c r="AE691" s="3"/>
      <c r="AF691" s="3"/>
      <c r="AG691" s="3"/>
      <c r="AH691" s="3"/>
      <c r="AI691" s="3"/>
      <c r="AJ691" s="3"/>
      <c r="AK691" s="3"/>
      <c r="AL691" s="3"/>
    </row>
    <row r="692" ht="15.75" customHeight="1">
      <c r="A692" s="45"/>
      <c r="B692" s="2"/>
      <c r="C692" s="667"/>
      <c r="D692" s="2"/>
      <c r="E692" s="668"/>
      <c r="F692" s="2"/>
      <c r="G692" s="2"/>
      <c r="H692" s="2"/>
      <c r="I692" s="2"/>
      <c r="J692" s="2"/>
      <c r="K692" s="2"/>
      <c r="L692" s="2"/>
      <c r="M692" s="2"/>
      <c r="N692" s="667"/>
      <c r="O692" s="2"/>
      <c r="P692" s="2"/>
      <c r="Q692" s="2"/>
      <c r="R692" s="3"/>
      <c r="S692" s="3"/>
      <c r="T692" s="3"/>
      <c r="U692" s="3"/>
      <c r="V692" s="3"/>
      <c r="W692" s="3"/>
      <c r="X692" s="3"/>
      <c r="Y692" s="3"/>
      <c r="Z692" s="3"/>
      <c r="AA692" s="3"/>
      <c r="AB692" s="3"/>
      <c r="AC692" s="3"/>
      <c r="AD692" s="3"/>
      <c r="AE692" s="3"/>
      <c r="AF692" s="3"/>
      <c r="AG692" s="3"/>
      <c r="AH692" s="3"/>
      <c r="AI692" s="3"/>
      <c r="AJ692" s="3"/>
      <c r="AK692" s="3"/>
      <c r="AL692" s="3"/>
    </row>
    <row r="693" ht="15.75" customHeight="1">
      <c r="A693" s="45"/>
      <c r="B693" s="2"/>
      <c r="C693" s="667"/>
      <c r="D693" s="2"/>
      <c r="E693" s="668"/>
      <c r="F693" s="2"/>
      <c r="G693" s="2"/>
      <c r="H693" s="2"/>
      <c r="I693" s="2"/>
      <c r="J693" s="2"/>
      <c r="K693" s="2"/>
      <c r="L693" s="2"/>
      <c r="M693" s="2"/>
      <c r="N693" s="667"/>
      <c r="O693" s="2"/>
      <c r="P693" s="2"/>
      <c r="Q693" s="2"/>
      <c r="R693" s="3"/>
      <c r="S693" s="3"/>
      <c r="T693" s="3"/>
      <c r="U693" s="3"/>
      <c r="V693" s="3"/>
      <c r="W693" s="3"/>
      <c r="X693" s="3"/>
      <c r="Y693" s="3"/>
      <c r="Z693" s="3"/>
      <c r="AA693" s="3"/>
      <c r="AB693" s="3"/>
      <c r="AC693" s="3"/>
      <c r="AD693" s="3"/>
      <c r="AE693" s="3"/>
      <c r="AF693" s="3"/>
      <c r="AG693" s="3"/>
      <c r="AH693" s="3"/>
      <c r="AI693" s="3"/>
      <c r="AJ693" s="3"/>
      <c r="AK693" s="3"/>
      <c r="AL693" s="3"/>
    </row>
    <row r="694" ht="15.75" customHeight="1">
      <c r="A694" s="45"/>
      <c r="B694" s="2"/>
      <c r="C694" s="667"/>
      <c r="D694" s="2"/>
      <c r="E694" s="668"/>
      <c r="F694" s="2"/>
      <c r="G694" s="2"/>
      <c r="H694" s="2"/>
      <c r="I694" s="2"/>
      <c r="J694" s="2"/>
      <c r="K694" s="2"/>
      <c r="L694" s="2"/>
      <c r="M694" s="2"/>
      <c r="N694" s="667"/>
      <c r="O694" s="2"/>
      <c r="P694" s="2"/>
      <c r="Q694" s="2"/>
      <c r="R694" s="3"/>
      <c r="S694" s="3"/>
      <c r="T694" s="3"/>
      <c r="U694" s="3"/>
      <c r="V694" s="3"/>
      <c r="W694" s="3"/>
      <c r="X694" s="3"/>
      <c r="Y694" s="3"/>
      <c r="Z694" s="3"/>
      <c r="AA694" s="3"/>
      <c r="AB694" s="3"/>
      <c r="AC694" s="3"/>
      <c r="AD694" s="3"/>
      <c r="AE694" s="3"/>
      <c r="AF694" s="3"/>
      <c r="AG694" s="3"/>
      <c r="AH694" s="3"/>
      <c r="AI694" s="3"/>
      <c r="AJ694" s="3"/>
      <c r="AK694" s="3"/>
      <c r="AL694" s="3"/>
    </row>
    <row r="695" ht="15.75" customHeight="1">
      <c r="A695" s="45"/>
      <c r="B695" s="2"/>
      <c r="C695" s="667"/>
      <c r="D695" s="2"/>
      <c r="E695" s="668"/>
      <c r="F695" s="2"/>
      <c r="G695" s="2"/>
      <c r="H695" s="2"/>
      <c r="I695" s="2"/>
      <c r="J695" s="2"/>
      <c r="K695" s="2"/>
      <c r="L695" s="2"/>
      <c r="M695" s="2"/>
      <c r="N695" s="667"/>
      <c r="O695" s="2"/>
      <c r="P695" s="2"/>
      <c r="Q695" s="2"/>
      <c r="R695" s="3"/>
      <c r="S695" s="3"/>
      <c r="T695" s="3"/>
      <c r="U695" s="3"/>
      <c r="V695" s="3"/>
      <c r="W695" s="3"/>
      <c r="X695" s="3"/>
      <c r="Y695" s="3"/>
      <c r="Z695" s="3"/>
      <c r="AA695" s="3"/>
      <c r="AB695" s="3"/>
      <c r="AC695" s="3"/>
      <c r="AD695" s="3"/>
      <c r="AE695" s="3"/>
      <c r="AF695" s="3"/>
      <c r="AG695" s="3"/>
      <c r="AH695" s="3"/>
      <c r="AI695" s="3"/>
      <c r="AJ695" s="3"/>
      <c r="AK695" s="3"/>
      <c r="AL695" s="3"/>
    </row>
    <row r="696" ht="15.75" customHeight="1">
      <c r="A696" s="45"/>
      <c r="B696" s="2"/>
      <c r="C696" s="667"/>
      <c r="D696" s="2"/>
      <c r="E696" s="668"/>
      <c r="F696" s="2"/>
      <c r="G696" s="2"/>
      <c r="H696" s="2"/>
      <c r="I696" s="2"/>
      <c r="J696" s="2"/>
      <c r="K696" s="2"/>
      <c r="L696" s="2"/>
      <c r="M696" s="2"/>
      <c r="N696" s="667"/>
      <c r="O696" s="2"/>
      <c r="P696" s="2"/>
      <c r="Q696" s="2"/>
      <c r="R696" s="3"/>
      <c r="S696" s="3"/>
      <c r="T696" s="3"/>
      <c r="U696" s="3"/>
      <c r="V696" s="3"/>
      <c r="W696" s="3"/>
      <c r="X696" s="3"/>
      <c r="Y696" s="3"/>
      <c r="Z696" s="3"/>
      <c r="AA696" s="3"/>
      <c r="AB696" s="3"/>
      <c r="AC696" s="3"/>
      <c r="AD696" s="3"/>
      <c r="AE696" s="3"/>
      <c r="AF696" s="3"/>
      <c r="AG696" s="3"/>
      <c r="AH696" s="3"/>
      <c r="AI696" s="3"/>
      <c r="AJ696" s="3"/>
      <c r="AK696" s="3"/>
      <c r="AL696" s="3"/>
    </row>
    <row r="697" ht="15.75" customHeight="1">
      <c r="A697" s="45"/>
      <c r="B697" s="2"/>
      <c r="C697" s="667"/>
      <c r="D697" s="2"/>
      <c r="E697" s="668"/>
      <c r="F697" s="2"/>
      <c r="G697" s="2"/>
      <c r="H697" s="2"/>
      <c r="I697" s="2"/>
      <c r="J697" s="2"/>
      <c r="K697" s="2"/>
      <c r="L697" s="2"/>
      <c r="M697" s="2"/>
      <c r="N697" s="667"/>
      <c r="O697" s="2"/>
      <c r="P697" s="2"/>
      <c r="Q697" s="2"/>
      <c r="R697" s="3"/>
      <c r="S697" s="3"/>
      <c r="T697" s="3"/>
      <c r="U697" s="3"/>
      <c r="V697" s="3"/>
      <c r="W697" s="3"/>
      <c r="X697" s="3"/>
      <c r="Y697" s="3"/>
      <c r="Z697" s="3"/>
      <c r="AA697" s="3"/>
      <c r="AB697" s="3"/>
      <c r="AC697" s="3"/>
      <c r="AD697" s="3"/>
      <c r="AE697" s="3"/>
      <c r="AF697" s="3"/>
      <c r="AG697" s="3"/>
      <c r="AH697" s="3"/>
      <c r="AI697" s="3"/>
      <c r="AJ697" s="3"/>
      <c r="AK697" s="3"/>
      <c r="AL697" s="3"/>
    </row>
    <row r="698" ht="15.75" customHeight="1">
      <c r="A698" s="45"/>
      <c r="B698" s="2"/>
      <c r="C698" s="667"/>
      <c r="D698" s="2"/>
      <c r="E698" s="668"/>
      <c r="F698" s="2"/>
      <c r="G698" s="2"/>
      <c r="H698" s="2"/>
      <c r="I698" s="2"/>
      <c r="J698" s="2"/>
      <c r="K698" s="2"/>
      <c r="L698" s="2"/>
      <c r="M698" s="2"/>
      <c r="N698" s="667"/>
      <c r="O698" s="2"/>
      <c r="P698" s="2"/>
      <c r="Q698" s="2"/>
      <c r="R698" s="3"/>
      <c r="S698" s="3"/>
      <c r="T698" s="3"/>
      <c r="U698" s="3"/>
      <c r="V698" s="3"/>
      <c r="W698" s="3"/>
      <c r="X698" s="3"/>
      <c r="Y698" s="3"/>
      <c r="Z698" s="3"/>
      <c r="AA698" s="3"/>
      <c r="AB698" s="3"/>
      <c r="AC698" s="3"/>
      <c r="AD698" s="3"/>
      <c r="AE698" s="3"/>
      <c r="AF698" s="3"/>
      <c r="AG698" s="3"/>
      <c r="AH698" s="3"/>
      <c r="AI698" s="3"/>
      <c r="AJ698" s="3"/>
      <c r="AK698" s="3"/>
      <c r="AL698" s="3"/>
    </row>
    <row r="699" ht="15.75" customHeight="1">
      <c r="A699" s="45"/>
      <c r="B699" s="2"/>
      <c r="C699" s="667"/>
      <c r="D699" s="2"/>
      <c r="E699" s="668"/>
      <c r="F699" s="2"/>
      <c r="G699" s="2"/>
      <c r="H699" s="2"/>
      <c r="I699" s="2"/>
      <c r="J699" s="2"/>
      <c r="K699" s="2"/>
      <c r="L699" s="2"/>
      <c r="M699" s="2"/>
      <c r="N699" s="667"/>
      <c r="O699" s="2"/>
      <c r="P699" s="2"/>
      <c r="Q699" s="2"/>
      <c r="R699" s="3"/>
      <c r="S699" s="3"/>
      <c r="T699" s="3"/>
      <c r="U699" s="3"/>
      <c r="V699" s="3"/>
      <c r="W699" s="3"/>
      <c r="X699" s="3"/>
      <c r="Y699" s="3"/>
      <c r="Z699" s="3"/>
      <c r="AA699" s="3"/>
      <c r="AB699" s="3"/>
      <c r="AC699" s="3"/>
      <c r="AD699" s="3"/>
      <c r="AE699" s="3"/>
      <c r="AF699" s="3"/>
      <c r="AG699" s="3"/>
      <c r="AH699" s="3"/>
      <c r="AI699" s="3"/>
      <c r="AJ699" s="3"/>
      <c r="AK699" s="3"/>
      <c r="AL699" s="3"/>
    </row>
    <row r="700" ht="15.75" customHeight="1">
      <c r="A700" s="45"/>
      <c r="B700" s="2"/>
      <c r="C700" s="667"/>
      <c r="D700" s="2"/>
      <c r="E700" s="668"/>
      <c r="F700" s="2"/>
      <c r="G700" s="2"/>
      <c r="H700" s="2"/>
      <c r="I700" s="2"/>
      <c r="J700" s="2"/>
      <c r="K700" s="2"/>
      <c r="L700" s="2"/>
      <c r="M700" s="2"/>
      <c r="N700" s="667"/>
      <c r="O700" s="2"/>
      <c r="P700" s="2"/>
      <c r="Q700" s="2"/>
      <c r="R700" s="3"/>
      <c r="S700" s="3"/>
      <c r="T700" s="3"/>
      <c r="U700" s="3"/>
      <c r="V700" s="3"/>
      <c r="W700" s="3"/>
      <c r="X700" s="3"/>
      <c r="Y700" s="3"/>
      <c r="Z700" s="3"/>
      <c r="AA700" s="3"/>
      <c r="AB700" s="3"/>
      <c r="AC700" s="3"/>
      <c r="AD700" s="3"/>
      <c r="AE700" s="3"/>
      <c r="AF700" s="3"/>
      <c r="AG700" s="3"/>
      <c r="AH700" s="3"/>
      <c r="AI700" s="3"/>
      <c r="AJ700" s="3"/>
      <c r="AK700" s="3"/>
      <c r="AL700" s="3"/>
    </row>
    <row r="701" ht="15.75" customHeight="1">
      <c r="A701" s="45"/>
      <c r="B701" s="2"/>
      <c r="C701" s="667"/>
      <c r="D701" s="2"/>
      <c r="E701" s="668"/>
      <c r="F701" s="2"/>
      <c r="G701" s="2"/>
      <c r="H701" s="2"/>
      <c r="I701" s="2"/>
      <c r="J701" s="2"/>
      <c r="K701" s="2"/>
      <c r="L701" s="2"/>
      <c r="M701" s="2"/>
      <c r="N701" s="667"/>
      <c r="O701" s="2"/>
      <c r="P701" s="2"/>
      <c r="Q701" s="2"/>
      <c r="R701" s="3"/>
      <c r="S701" s="3"/>
      <c r="T701" s="3"/>
      <c r="U701" s="3"/>
      <c r="V701" s="3"/>
      <c r="W701" s="3"/>
      <c r="X701" s="3"/>
      <c r="Y701" s="3"/>
      <c r="Z701" s="3"/>
      <c r="AA701" s="3"/>
      <c r="AB701" s="3"/>
      <c r="AC701" s="3"/>
      <c r="AD701" s="3"/>
      <c r="AE701" s="3"/>
      <c r="AF701" s="3"/>
      <c r="AG701" s="3"/>
      <c r="AH701" s="3"/>
      <c r="AI701" s="3"/>
      <c r="AJ701" s="3"/>
      <c r="AK701" s="3"/>
      <c r="AL701" s="3"/>
    </row>
    <row r="702" ht="15.75" customHeight="1">
      <c r="A702" s="45"/>
      <c r="B702" s="2"/>
      <c r="C702" s="667"/>
      <c r="D702" s="2"/>
      <c r="E702" s="668"/>
      <c r="F702" s="2"/>
      <c r="G702" s="2"/>
      <c r="H702" s="2"/>
      <c r="I702" s="2"/>
      <c r="J702" s="2"/>
      <c r="K702" s="2"/>
      <c r="L702" s="2"/>
      <c r="M702" s="2"/>
      <c r="N702" s="667"/>
      <c r="O702" s="2"/>
      <c r="P702" s="2"/>
      <c r="Q702" s="2"/>
      <c r="R702" s="3"/>
      <c r="S702" s="3"/>
      <c r="T702" s="3"/>
      <c r="U702" s="3"/>
      <c r="V702" s="3"/>
      <c r="W702" s="3"/>
      <c r="X702" s="3"/>
      <c r="Y702" s="3"/>
      <c r="Z702" s="3"/>
      <c r="AA702" s="3"/>
      <c r="AB702" s="3"/>
      <c r="AC702" s="3"/>
      <c r="AD702" s="3"/>
      <c r="AE702" s="3"/>
      <c r="AF702" s="3"/>
      <c r="AG702" s="3"/>
      <c r="AH702" s="3"/>
      <c r="AI702" s="3"/>
      <c r="AJ702" s="3"/>
      <c r="AK702" s="3"/>
      <c r="AL702" s="3"/>
    </row>
    <row r="703" ht="15.75" customHeight="1">
      <c r="A703" s="45"/>
      <c r="B703" s="2"/>
      <c r="C703" s="667"/>
      <c r="D703" s="2"/>
      <c r="E703" s="668"/>
      <c r="F703" s="2"/>
      <c r="G703" s="2"/>
      <c r="H703" s="2"/>
      <c r="I703" s="2"/>
      <c r="J703" s="2"/>
      <c r="K703" s="2"/>
      <c r="L703" s="2"/>
      <c r="M703" s="2"/>
      <c r="N703" s="667"/>
      <c r="O703" s="2"/>
      <c r="P703" s="2"/>
      <c r="Q703" s="2"/>
      <c r="R703" s="3"/>
      <c r="S703" s="3"/>
      <c r="T703" s="3"/>
      <c r="U703" s="3"/>
      <c r="V703" s="3"/>
      <c r="W703" s="3"/>
      <c r="X703" s="3"/>
      <c r="Y703" s="3"/>
      <c r="Z703" s="3"/>
      <c r="AA703" s="3"/>
      <c r="AB703" s="3"/>
      <c r="AC703" s="3"/>
      <c r="AD703" s="3"/>
      <c r="AE703" s="3"/>
      <c r="AF703" s="3"/>
      <c r="AG703" s="3"/>
      <c r="AH703" s="3"/>
      <c r="AI703" s="3"/>
      <c r="AJ703" s="3"/>
      <c r="AK703" s="3"/>
      <c r="AL703" s="3"/>
    </row>
    <row r="704" ht="15.75" customHeight="1">
      <c r="A704" s="45"/>
      <c r="B704" s="2"/>
      <c r="C704" s="667"/>
      <c r="D704" s="2"/>
      <c r="E704" s="668"/>
      <c r="F704" s="2"/>
      <c r="G704" s="2"/>
      <c r="H704" s="2"/>
      <c r="I704" s="2"/>
      <c r="J704" s="2"/>
      <c r="K704" s="2"/>
      <c r="L704" s="2"/>
      <c r="M704" s="2"/>
      <c r="N704" s="667"/>
      <c r="O704" s="2"/>
      <c r="P704" s="2"/>
      <c r="Q704" s="2"/>
      <c r="R704" s="3"/>
      <c r="S704" s="3"/>
      <c r="T704" s="3"/>
      <c r="U704" s="3"/>
      <c r="V704" s="3"/>
      <c r="W704" s="3"/>
      <c r="X704" s="3"/>
      <c r="Y704" s="3"/>
      <c r="Z704" s="3"/>
      <c r="AA704" s="3"/>
      <c r="AB704" s="3"/>
      <c r="AC704" s="3"/>
      <c r="AD704" s="3"/>
      <c r="AE704" s="3"/>
      <c r="AF704" s="3"/>
      <c r="AG704" s="3"/>
      <c r="AH704" s="3"/>
      <c r="AI704" s="3"/>
      <c r="AJ704" s="3"/>
      <c r="AK704" s="3"/>
      <c r="AL704" s="3"/>
    </row>
    <row r="705" ht="15.75" customHeight="1">
      <c r="A705" s="45"/>
      <c r="B705" s="2"/>
      <c r="C705" s="667"/>
      <c r="D705" s="2"/>
      <c r="E705" s="668"/>
      <c r="F705" s="2"/>
      <c r="G705" s="2"/>
      <c r="H705" s="2"/>
      <c r="I705" s="2"/>
      <c r="J705" s="2"/>
      <c r="K705" s="2"/>
      <c r="L705" s="2"/>
      <c r="M705" s="2"/>
      <c r="N705" s="667"/>
      <c r="O705" s="2"/>
      <c r="P705" s="2"/>
      <c r="Q705" s="2"/>
      <c r="R705" s="3"/>
      <c r="S705" s="3"/>
      <c r="T705" s="3"/>
      <c r="U705" s="3"/>
      <c r="V705" s="3"/>
      <c r="W705" s="3"/>
      <c r="X705" s="3"/>
      <c r="Y705" s="3"/>
      <c r="Z705" s="3"/>
      <c r="AA705" s="3"/>
      <c r="AB705" s="3"/>
      <c r="AC705" s="3"/>
      <c r="AD705" s="3"/>
      <c r="AE705" s="3"/>
      <c r="AF705" s="3"/>
      <c r="AG705" s="3"/>
      <c r="AH705" s="3"/>
      <c r="AI705" s="3"/>
      <c r="AJ705" s="3"/>
      <c r="AK705" s="3"/>
      <c r="AL705" s="3"/>
    </row>
    <row r="706" ht="15.75" customHeight="1">
      <c r="A706" s="45"/>
      <c r="B706" s="2"/>
      <c r="C706" s="667"/>
      <c r="D706" s="2"/>
      <c r="E706" s="668"/>
      <c r="F706" s="2"/>
      <c r="G706" s="2"/>
      <c r="H706" s="2"/>
      <c r="I706" s="2"/>
      <c r="J706" s="2"/>
      <c r="K706" s="2"/>
      <c r="L706" s="2"/>
      <c r="M706" s="2"/>
      <c r="N706" s="667"/>
      <c r="O706" s="2"/>
      <c r="P706" s="2"/>
      <c r="Q706" s="2"/>
      <c r="R706" s="3"/>
      <c r="S706" s="3"/>
      <c r="T706" s="3"/>
      <c r="U706" s="3"/>
      <c r="V706" s="3"/>
      <c r="W706" s="3"/>
      <c r="X706" s="3"/>
      <c r="Y706" s="3"/>
      <c r="Z706" s="3"/>
      <c r="AA706" s="3"/>
      <c r="AB706" s="3"/>
      <c r="AC706" s="3"/>
      <c r="AD706" s="3"/>
      <c r="AE706" s="3"/>
      <c r="AF706" s="3"/>
      <c r="AG706" s="3"/>
      <c r="AH706" s="3"/>
      <c r="AI706" s="3"/>
      <c r="AJ706" s="3"/>
      <c r="AK706" s="3"/>
      <c r="AL706" s="3"/>
    </row>
    <row r="707" ht="15.75" customHeight="1">
      <c r="A707" s="45"/>
      <c r="B707" s="2"/>
      <c r="C707" s="667"/>
      <c r="D707" s="2"/>
      <c r="E707" s="668"/>
      <c r="F707" s="2"/>
      <c r="G707" s="2"/>
      <c r="H707" s="2"/>
      <c r="I707" s="2"/>
      <c r="J707" s="2"/>
      <c r="K707" s="2"/>
      <c r="L707" s="2"/>
      <c r="M707" s="2"/>
      <c r="N707" s="667"/>
      <c r="O707" s="2"/>
      <c r="P707" s="2"/>
      <c r="Q707" s="2"/>
      <c r="R707" s="3"/>
      <c r="S707" s="3"/>
      <c r="T707" s="3"/>
      <c r="U707" s="3"/>
      <c r="V707" s="3"/>
      <c r="W707" s="3"/>
      <c r="X707" s="3"/>
      <c r="Y707" s="3"/>
      <c r="Z707" s="3"/>
      <c r="AA707" s="3"/>
      <c r="AB707" s="3"/>
      <c r="AC707" s="3"/>
      <c r="AD707" s="3"/>
      <c r="AE707" s="3"/>
      <c r="AF707" s="3"/>
      <c r="AG707" s="3"/>
      <c r="AH707" s="3"/>
      <c r="AI707" s="3"/>
      <c r="AJ707" s="3"/>
      <c r="AK707" s="3"/>
      <c r="AL707" s="3"/>
    </row>
    <row r="708" ht="15.75" customHeight="1">
      <c r="A708" s="45"/>
      <c r="B708" s="2"/>
      <c r="C708" s="667"/>
      <c r="D708" s="2"/>
      <c r="E708" s="668"/>
      <c r="F708" s="2"/>
      <c r="G708" s="2"/>
      <c r="H708" s="2"/>
      <c r="I708" s="2"/>
      <c r="J708" s="2"/>
      <c r="K708" s="2"/>
      <c r="L708" s="2"/>
      <c r="M708" s="2"/>
      <c r="N708" s="667"/>
      <c r="O708" s="2"/>
      <c r="P708" s="2"/>
      <c r="Q708" s="2"/>
      <c r="R708" s="3"/>
      <c r="S708" s="3"/>
      <c r="T708" s="3"/>
      <c r="U708" s="3"/>
      <c r="V708" s="3"/>
      <c r="W708" s="3"/>
      <c r="X708" s="3"/>
      <c r="Y708" s="3"/>
      <c r="Z708" s="3"/>
      <c r="AA708" s="3"/>
      <c r="AB708" s="3"/>
      <c r="AC708" s="3"/>
      <c r="AD708" s="3"/>
      <c r="AE708" s="3"/>
      <c r="AF708" s="3"/>
      <c r="AG708" s="3"/>
      <c r="AH708" s="3"/>
      <c r="AI708" s="3"/>
      <c r="AJ708" s="3"/>
      <c r="AK708" s="3"/>
      <c r="AL708" s="3"/>
    </row>
    <row r="709" ht="15.75" customHeight="1">
      <c r="A709" s="45"/>
      <c r="B709" s="2"/>
      <c r="C709" s="667"/>
      <c r="D709" s="2"/>
      <c r="E709" s="668"/>
      <c r="F709" s="2"/>
      <c r="G709" s="2"/>
      <c r="H709" s="2"/>
      <c r="I709" s="2"/>
      <c r="J709" s="2"/>
      <c r="K709" s="2"/>
      <c r="L709" s="2"/>
      <c r="M709" s="2"/>
      <c r="N709" s="667"/>
      <c r="O709" s="2"/>
      <c r="P709" s="2"/>
      <c r="Q709" s="2"/>
      <c r="R709" s="3"/>
      <c r="S709" s="3"/>
      <c r="T709" s="3"/>
      <c r="U709" s="3"/>
      <c r="V709" s="3"/>
      <c r="W709" s="3"/>
      <c r="X709" s="3"/>
      <c r="Y709" s="3"/>
      <c r="Z709" s="3"/>
      <c r="AA709" s="3"/>
      <c r="AB709" s="3"/>
      <c r="AC709" s="3"/>
      <c r="AD709" s="3"/>
      <c r="AE709" s="3"/>
      <c r="AF709" s="3"/>
      <c r="AG709" s="3"/>
      <c r="AH709" s="3"/>
      <c r="AI709" s="3"/>
      <c r="AJ709" s="3"/>
      <c r="AK709" s="3"/>
      <c r="AL709" s="3"/>
    </row>
    <row r="710" ht="15.75" customHeight="1">
      <c r="A710" s="45"/>
      <c r="B710" s="2"/>
      <c r="C710" s="667"/>
      <c r="D710" s="2"/>
      <c r="E710" s="668"/>
      <c r="F710" s="2"/>
      <c r="G710" s="2"/>
      <c r="H710" s="2"/>
      <c r="I710" s="2"/>
      <c r="J710" s="2"/>
      <c r="K710" s="2"/>
      <c r="L710" s="2"/>
      <c r="M710" s="2"/>
      <c r="N710" s="667"/>
      <c r="O710" s="2"/>
      <c r="P710" s="2"/>
      <c r="Q710" s="2"/>
      <c r="R710" s="3"/>
      <c r="S710" s="3"/>
      <c r="T710" s="3"/>
      <c r="U710" s="3"/>
      <c r="V710" s="3"/>
      <c r="W710" s="3"/>
      <c r="X710" s="3"/>
      <c r="Y710" s="3"/>
      <c r="Z710" s="3"/>
      <c r="AA710" s="3"/>
      <c r="AB710" s="3"/>
      <c r="AC710" s="3"/>
      <c r="AD710" s="3"/>
      <c r="AE710" s="3"/>
      <c r="AF710" s="3"/>
      <c r="AG710" s="3"/>
      <c r="AH710" s="3"/>
      <c r="AI710" s="3"/>
      <c r="AJ710" s="3"/>
      <c r="AK710" s="3"/>
      <c r="AL710" s="3"/>
    </row>
    <row r="711" ht="15.75" customHeight="1">
      <c r="A711" s="45"/>
      <c r="B711" s="2"/>
      <c r="C711" s="667"/>
      <c r="D711" s="2"/>
      <c r="E711" s="668"/>
      <c r="F711" s="2"/>
      <c r="G711" s="2"/>
      <c r="H711" s="2"/>
      <c r="I711" s="2"/>
      <c r="J711" s="2"/>
      <c r="K711" s="2"/>
      <c r="L711" s="2"/>
      <c r="M711" s="2"/>
      <c r="N711" s="667"/>
      <c r="O711" s="2"/>
      <c r="P711" s="2"/>
      <c r="Q711" s="2"/>
      <c r="R711" s="3"/>
      <c r="S711" s="3"/>
      <c r="T711" s="3"/>
      <c r="U711" s="3"/>
      <c r="V711" s="3"/>
      <c r="W711" s="3"/>
      <c r="X711" s="3"/>
      <c r="Y711" s="3"/>
      <c r="Z711" s="3"/>
      <c r="AA711" s="3"/>
      <c r="AB711" s="3"/>
      <c r="AC711" s="3"/>
      <c r="AD711" s="3"/>
      <c r="AE711" s="3"/>
      <c r="AF711" s="3"/>
      <c r="AG711" s="3"/>
      <c r="AH711" s="3"/>
      <c r="AI711" s="3"/>
      <c r="AJ711" s="3"/>
      <c r="AK711" s="3"/>
      <c r="AL711" s="3"/>
    </row>
    <row r="712" ht="15.75" customHeight="1">
      <c r="A712" s="45"/>
      <c r="B712" s="2"/>
      <c r="C712" s="667"/>
      <c r="D712" s="2"/>
      <c r="E712" s="668"/>
      <c r="F712" s="2"/>
      <c r="G712" s="2"/>
      <c r="H712" s="2"/>
      <c r="I712" s="2"/>
      <c r="J712" s="2"/>
      <c r="K712" s="2"/>
      <c r="L712" s="2"/>
      <c r="M712" s="2"/>
      <c r="N712" s="667"/>
      <c r="O712" s="2"/>
      <c r="P712" s="2"/>
      <c r="Q712" s="2"/>
      <c r="R712" s="3"/>
      <c r="S712" s="3"/>
      <c r="T712" s="3"/>
      <c r="U712" s="3"/>
      <c r="V712" s="3"/>
      <c r="W712" s="3"/>
      <c r="X712" s="3"/>
      <c r="Y712" s="3"/>
      <c r="Z712" s="3"/>
      <c r="AA712" s="3"/>
      <c r="AB712" s="3"/>
      <c r="AC712" s="3"/>
      <c r="AD712" s="3"/>
      <c r="AE712" s="3"/>
      <c r="AF712" s="3"/>
      <c r="AG712" s="3"/>
      <c r="AH712" s="3"/>
      <c r="AI712" s="3"/>
      <c r="AJ712" s="3"/>
      <c r="AK712" s="3"/>
      <c r="AL712" s="3"/>
    </row>
    <row r="713" ht="15.75" customHeight="1">
      <c r="A713" s="45"/>
      <c r="B713" s="2"/>
      <c r="C713" s="667"/>
      <c r="D713" s="2"/>
      <c r="E713" s="668"/>
      <c r="F713" s="2"/>
      <c r="G713" s="2"/>
      <c r="H713" s="2"/>
      <c r="I713" s="2"/>
      <c r="J713" s="2"/>
      <c r="K713" s="2"/>
      <c r="L713" s="2"/>
      <c r="M713" s="2"/>
      <c r="N713" s="667"/>
      <c r="O713" s="2"/>
      <c r="P713" s="2"/>
      <c r="Q713" s="2"/>
      <c r="R713" s="3"/>
      <c r="S713" s="3"/>
      <c r="T713" s="3"/>
      <c r="U713" s="3"/>
      <c r="V713" s="3"/>
      <c r="W713" s="3"/>
      <c r="X713" s="3"/>
      <c r="Y713" s="3"/>
      <c r="Z713" s="3"/>
      <c r="AA713" s="3"/>
      <c r="AB713" s="3"/>
      <c r="AC713" s="3"/>
      <c r="AD713" s="3"/>
      <c r="AE713" s="3"/>
      <c r="AF713" s="3"/>
      <c r="AG713" s="3"/>
      <c r="AH713" s="3"/>
      <c r="AI713" s="3"/>
      <c r="AJ713" s="3"/>
      <c r="AK713" s="3"/>
      <c r="AL713" s="3"/>
    </row>
    <row r="714" ht="15.75" customHeight="1">
      <c r="A714" s="45"/>
      <c r="B714" s="2"/>
      <c r="C714" s="667"/>
      <c r="D714" s="2"/>
      <c r="E714" s="668"/>
      <c r="F714" s="2"/>
      <c r="G714" s="2"/>
      <c r="H714" s="2"/>
      <c r="I714" s="2"/>
      <c r="J714" s="2"/>
      <c r="K714" s="2"/>
      <c r="L714" s="2"/>
      <c r="M714" s="2"/>
      <c r="N714" s="667"/>
      <c r="O714" s="2"/>
      <c r="P714" s="2"/>
      <c r="Q714" s="2"/>
      <c r="R714" s="3"/>
      <c r="S714" s="3"/>
      <c r="T714" s="3"/>
      <c r="U714" s="3"/>
      <c r="V714" s="3"/>
      <c r="W714" s="3"/>
      <c r="X714" s="3"/>
      <c r="Y714" s="3"/>
      <c r="Z714" s="3"/>
      <c r="AA714" s="3"/>
      <c r="AB714" s="3"/>
      <c r="AC714" s="3"/>
      <c r="AD714" s="3"/>
      <c r="AE714" s="3"/>
      <c r="AF714" s="3"/>
      <c r="AG714" s="3"/>
      <c r="AH714" s="3"/>
      <c r="AI714" s="3"/>
      <c r="AJ714" s="3"/>
      <c r="AK714" s="3"/>
      <c r="AL714" s="3"/>
    </row>
    <row r="715" ht="15.75" customHeight="1">
      <c r="A715" s="45"/>
      <c r="B715" s="2"/>
      <c r="C715" s="667"/>
      <c r="D715" s="2"/>
      <c r="E715" s="668"/>
      <c r="F715" s="2"/>
      <c r="G715" s="2"/>
      <c r="H715" s="2"/>
      <c r="I715" s="2"/>
      <c r="J715" s="2"/>
      <c r="K715" s="2"/>
      <c r="L715" s="2"/>
      <c r="M715" s="2"/>
      <c r="N715" s="667"/>
      <c r="O715" s="2"/>
      <c r="P715" s="2"/>
      <c r="Q715" s="2"/>
      <c r="R715" s="3"/>
      <c r="S715" s="3"/>
      <c r="T715" s="3"/>
      <c r="U715" s="3"/>
      <c r="V715" s="3"/>
      <c r="W715" s="3"/>
      <c r="X715" s="3"/>
      <c r="Y715" s="3"/>
      <c r="Z715" s="3"/>
      <c r="AA715" s="3"/>
      <c r="AB715" s="3"/>
      <c r="AC715" s="3"/>
      <c r="AD715" s="3"/>
      <c r="AE715" s="3"/>
      <c r="AF715" s="3"/>
      <c r="AG715" s="3"/>
      <c r="AH715" s="3"/>
      <c r="AI715" s="3"/>
      <c r="AJ715" s="3"/>
      <c r="AK715" s="3"/>
      <c r="AL715" s="3"/>
    </row>
    <row r="716" ht="15.75" customHeight="1">
      <c r="A716" s="45"/>
      <c r="B716" s="2"/>
      <c r="C716" s="667"/>
      <c r="D716" s="2"/>
      <c r="E716" s="668"/>
      <c r="F716" s="2"/>
      <c r="G716" s="2"/>
      <c r="H716" s="2"/>
      <c r="I716" s="2"/>
      <c r="J716" s="2"/>
      <c r="K716" s="2"/>
      <c r="L716" s="2"/>
      <c r="M716" s="2"/>
      <c r="N716" s="667"/>
      <c r="O716" s="2"/>
      <c r="P716" s="2"/>
      <c r="Q716" s="2"/>
      <c r="R716" s="3"/>
      <c r="S716" s="3"/>
      <c r="T716" s="3"/>
      <c r="U716" s="3"/>
      <c r="V716" s="3"/>
      <c r="W716" s="3"/>
      <c r="X716" s="3"/>
      <c r="Y716" s="3"/>
      <c r="Z716" s="3"/>
      <c r="AA716" s="3"/>
      <c r="AB716" s="3"/>
      <c r="AC716" s="3"/>
      <c r="AD716" s="3"/>
      <c r="AE716" s="3"/>
      <c r="AF716" s="3"/>
      <c r="AG716" s="3"/>
      <c r="AH716" s="3"/>
      <c r="AI716" s="3"/>
      <c r="AJ716" s="3"/>
      <c r="AK716" s="3"/>
      <c r="AL716" s="3"/>
    </row>
    <row r="717" ht="15.75" customHeight="1">
      <c r="A717" s="45"/>
      <c r="B717" s="2"/>
      <c r="C717" s="667"/>
      <c r="D717" s="2"/>
      <c r="E717" s="668"/>
      <c r="F717" s="2"/>
      <c r="G717" s="2"/>
      <c r="H717" s="2"/>
      <c r="I717" s="2"/>
      <c r="J717" s="2"/>
      <c r="K717" s="2"/>
      <c r="L717" s="2"/>
      <c r="M717" s="2"/>
      <c r="N717" s="667"/>
      <c r="O717" s="2"/>
      <c r="P717" s="2"/>
      <c r="Q717" s="2"/>
      <c r="R717" s="3"/>
      <c r="S717" s="3"/>
      <c r="T717" s="3"/>
      <c r="U717" s="3"/>
      <c r="V717" s="3"/>
      <c r="W717" s="3"/>
      <c r="X717" s="3"/>
      <c r="Y717" s="3"/>
      <c r="Z717" s="3"/>
      <c r="AA717" s="3"/>
      <c r="AB717" s="3"/>
      <c r="AC717" s="3"/>
      <c r="AD717" s="3"/>
      <c r="AE717" s="3"/>
      <c r="AF717" s="3"/>
      <c r="AG717" s="3"/>
      <c r="AH717" s="3"/>
      <c r="AI717" s="3"/>
      <c r="AJ717" s="3"/>
      <c r="AK717" s="3"/>
      <c r="AL717" s="3"/>
    </row>
    <row r="718" ht="15.75" customHeight="1">
      <c r="A718" s="45"/>
      <c r="B718" s="2"/>
      <c r="C718" s="667"/>
      <c r="D718" s="2"/>
      <c r="E718" s="668"/>
      <c r="F718" s="2"/>
      <c r="G718" s="2"/>
      <c r="H718" s="2"/>
      <c r="I718" s="2"/>
      <c r="J718" s="2"/>
      <c r="K718" s="2"/>
      <c r="L718" s="2"/>
      <c r="M718" s="2"/>
      <c r="N718" s="667"/>
      <c r="O718" s="2"/>
      <c r="P718" s="2"/>
      <c r="Q718" s="2"/>
      <c r="R718" s="3"/>
      <c r="S718" s="3"/>
      <c r="T718" s="3"/>
      <c r="U718" s="3"/>
      <c r="V718" s="3"/>
      <c r="W718" s="3"/>
      <c r="X718" s="3"/>
      <c r="Y718" s="3"/>
      <c r="Z718" s="3"/>
      <c r="AA718" s="3"/>
      <c r="AB718" s="3"/>
      <c r="AC718" s="3"/>
      <c r="AD718" s="3"/>
      <c r="AE718" s="3"/>
      <c r="AF718" s="3"/>
      <c r="AG718" s="3"/>
      <c r="AH718" s="3"/>
      <c r="AI718" s="3"/>
      <c r="AJ718" s="3"/>
      <c r="AK718" s="3"/>
      <c r="AL718" s="3"/>
    </row>
    <row r="719" ht="15.75" customHeight="1">
      <c r="A719" s="45"/>
      <c r="B719" s="2"/>
      <c r="C719" s="667"/>
      <c r="D719" s="2"/>
      <c r="E719" s="668"/>
      <c r="F719" s="2"/>
      <c r="G719" s="2"/>
      <c r="H719" s="2"/>
      <c r="I719" s="2"/>
      <c r="J719" s="2"/>
      <c r="K719" s="2"/>
      <c r="L719" s="2"/>
      <c r="M719" s="2"/>
      <c r="N719" s="667"/>
      <c r="O719" s="2"/>
      <c r="P719" s="2"/>
      <c r="Q719" s="2"/>
      <c r="R719" s="3"/>
      <c r="S719" s="3"/>
      <c r="T719" s="3"/>
      <c r="U719" s="3"/>
      <c r="V719" s="3"/>
      <c r="W719" s="3"/>
      <c r="X719" s="3"/>
      <c r="Y719" s="3"/>
      <c r="Z719" s="3"/>
      <c r="AA719" s="3"/>
      <c r="AB719" s="3"/>
      <c r="AC719" s="3"/>
      <c r="AD719" s="3"/>
      <c r="AE719" s="3"/>
      <c r="AF719" s="3"/>
      <c r="AG719" s="3"/>
      <c r="AH719" s="3"/>
      <c r="AI719" s="3"/>
      <c r="AJ719" s="3"/>
      <c r="AK719" s="3"/>
      <c r="AL719" s="3"/>
    </row>
    <row r="720" ht="15.75" customHeight="1">
      <c r="A720" s="45"/>
      <c r="B720" s="2"/>
      <c r="C720" s="667"/>
      <c r="D720" s="2"/>
      <c r="E720" s="668"/>
      <c r="F720" s="2"/>
      <c r="G720" s="2"/>
      <c r="H720" s="2"/>
      <c r="I720" s="2"/>
      <c r="J720" s="2"/>
      <c r="K720" s="2"/>
      <c r="L720" s="2"/>
      <c r="M720" s="2"/>
      <c r="N720" s="667"/>
      <c r="O720" s="2"/>
      <c r="P720" s="2"/>
      <c r="Q720" s="2"/>
      <c r="R720" s="3"/>
      <c r="S720" s="3"/>
      <c r="T720" s="3"/>
      <c r="U720" s="3"/>
      <c r="V720" s="3"/>
      <c r="W720" s="3"/>
      <c r="X720" s="3"/>
      <c r="Y720" s="3"/>
      <c r="Z720" s="3"/>
      <c r="AA720" s="3"/>
      <c r="AB720" s="3"/>
      <c r="AC720" s="3"/>
      <c r="AD720" s="3"/>
      <c r="AE720" s="3"/>
      <c r="AF720" s="3"/>
      <c r="AG720" s="3"/>
      <c r="AH720" s="3"/>
      <c r="AI720" s="3"/>
      <c r="AJ720" s="3"/>
      <c r="AK720" s="3"/>
      <c r="AL720" s="3"/>
    </row>
    <row r="721" ht="15.75" customHeight="1">
      <c r="A721" s="45"/>
      <c r="B721" s="2"/>
      <c r="C721" s="667"/>
      <c r="D721" s="2"/>
      <c r="E721" s="668"/>
      <c r="F721" s="2"/>
      <c r="G721" s="2"/>
      <c r="H721" s="2"/>
      <c r="I721" s="2"/>
      <c r="J721" s="2"/>
      <c r="K721" s="2"/>
      <c r="L721" s="2"/>
      <c r="M721" s="2"/>
      <c r="N721" s="667"/>
      <c r="O721" s="2"/>
      <c r="P721" s="2"/>
      <c r="Q721" s="2"/>
      <c r="R721" s="3"/>
      <c r="S721" s="3"/>
      <c r="T721" s="3"/>
      <c r="U721" s="3"/>
      <c r="V721" s="3"/>
      <c r="W721" s="3"/>
      <c r="X721" s="3"/>
      <c r="Y721" s="3"/>
      <c r="Z721" s="3"/>
      <c r="AA721" s="3"/>
      <c r="AB721" s="3"/>
      <c r="AC721" s="3"/>
      <c r="AD721" s="3"/>
      <c r="AE721" s="3"/>
      <c r="AF721" s="3"/>
      <c r="AG721" s="3"/>
      <c r="AH721" s="3"/>
      <c r="AI721" s="3"/>
      <c r="AJ721" s="3"/>
      <c r="AK721" s="3"/>
      <c r="AL721" s="3"/>
    </row>
    <row r="722" ht="15.75" customHeight="1">
      <c r="A722" s="45"/>
      <c r="B722" s="2"/>
      <c r="C722" s="667"/>
      <c r="D722" s="2"/>
      <c r="E722" s="668"/>
      <c r="F722" s="2"/>
      <c r="G722" s="2"/>
      <c r="H722" s="2"/>
      <c r="I722" s="2"/>
      <c r="J722" s="2"/>
      <c r="K722" s="2"/>
      <c r="L722" s="2"/>
      <c r="M722" s="2"/>
      <c r="N722" s="667"/>
      <c r="O722" s="2"/>
      <c r="P722" s="2"/>
      <c r="Q722" s="2"/>
      <c r="R722" s="3"/>
      <c r="S722" s="3"/>
      <c r="T722" s="3"/>
      <c r="U722" s="3"/>
      <c r="V722" s="3"/>
      <c r="W722" s="3"/>
      <c r="X722" s="3"/>
      <c r="Y722" s="3"/>
      <c r="Z722" s="3"/>
      <c r="AA722" s="3"/>
      <c r="AB722" s="3"/>
      <c r="AC722" s="3"/>
      <c r="AD722" s="3"/>
      <c r="AE722" s="3"/>
      <c r="AF722" s="3"/>
      <c r="AG722" s="3"/>
      <c r="AH722" s="3"/>
      <c r="AI722" s="3"/>
      <c r="AJ722" s="3"/>
      <c r="AK722" s="3"/>
      <c r="AL722" s="3"/>
    </row>
    <row r="723" ht="15.75" customHeight="1">
      <c r="A723" s="45"/>
      <c r="B723" s="2"/>
      <c r="C723" s="667"/>
      <c r="D723" s="2"/>
      <c r="E723" s="668"/>
      <c r="F723" s="2"/>
      <c r="G723" s="2"/>
      <c r="H723" s="2"/>
      <c r="I723" s="2"/>
      <c r="J723" s="2"/>
      <c r="K723" s="2"/>
      <c r="L723" s="2"/>
      <c r="M723" s="2"/>
      <c r="N723" s="667"/>
      <c r="O723" s="2"/>
      <c r="P723" s="2"/>
      <c r="Q723" s="2"/>
      <c r="R723" s="3"/>
      <c r="S723" s="3"/>
      <c r="T723" s="3"/>
      <c r="U723" s="3"/>
      <c r="V723" s="3"/>
      <c r="W723" s="3"/>
      <c r="X723" s="3"/>
      <c r="Y723" s="3"/>
      <c r="Z723" s="3"/>
      <c r="AA723" s="3"/>
      <c r="AB723" s="3"/>
      <c r="AC723" s="3"/>
      <c r="AD723" s="3"/>
      <c r="AE723" s="3"/>
      <c r="AF723" s="3"/>
      <c r="AG723" s="3"/>
      <c r="AH723" s="3"/>
      <c r="AI723" s="3"/>
      <c r="AJ723" s="3"/>
      <c r="AK723" s="3"/>
      <c r="AL723" s="3"/>
    </row>
    <row r="724" ht="15.75" customHeight="1">
      <c r="A724" s="45"/>
      <c r="B724" s="2"/>
      <c r="C724" s="667"/>
      <c r="D724" s="2"/>
      <c r="E724" s="668"/>
      <c r="F724" s="2"/>
      <c r="G724" s="2"/>
      <c r="H724" s="2"/>
      <c r="I724" s="2"/>
      <c r="J724" s="2"/>
      <c r="K724" s="2"/>
      <c r="L724" s="2"/>
      <c r="M724" s="2"/>
      <c r="N724" s="667"/>
      <c r="O724" s="2"/>
      <c r="P724" s="2"/>
      <c r="Q724" s="2"/>
      <c r="R724" s="3"/>
      <c r="S724" s="3"/>
      <c r="T724" s="3"/>
      <c r="U724" s="3"/>
      <c r="V724" s="3"/>
      <c r="W724" s="3"/>
      <c r="X724" s="3"/>
      <c r="Y724" s="3"/>
      <c r="Z724" s="3"/>
      <c r="AA724" s="3"/>
      <c r="AB724" s="3"/>
      <c r="AC724" s="3"/>
      <c r="AD724" s="3"/>
      <c r="AE724" s="3"/>
      <c r="AF724" s="3"/>
      <c r="AG724" s="3"/>
      <c r="AH724" s="3"/>
      <c r="AI724" s="3"/>
      <c r="AJ724" s="3"/>
      <c r="AK724" s="3"/>
      <c r="AL724" s="3"/>
    </row>
    <row r="725" ht="15.75" customHeight="1">
      <c r="A725" s="45"/>
      <c r="B725" s="2"/>
      <c r="C725" s="667"/>
      <c r="D725" s="2"/>
      <c r="E725" s="668"/>
      <c r="F725" s="2"/>
      <c r="G725" s="2"/>
      <c r="H725" s="2"/>
      <c r="I725" s="2"/>
      <c r="J725" s="2"/>
      <c r="K725" s="2"/>
      <c r="L725" s="2"/>
      <c r="M725" s="2"/>
      <c r="N725" s="667"/>
      <c r="O725" s="2"/>
      <c r="P725" s="2"/>
      <c r="Q725" s="2"/>
      <c r="R725" s="3"/>
      <c r="S725" s="3"/>
      <c r="T725" s="3"/>
      <c r="U725" s="3"/>
      <c r="V725" s="3"/>
      <c r="W725" s="3"/>
      <c r="X725" s="3"/>
      <c r="Y725" s="3"/>
      <c r="Z725" s="3"/>
      <c r="AA725" s="3"/>
      <c r="AB725" s="3"/>
      <c r="AC725" s="3"/>
      <c r="AD725" s="3"/>
      <c r="AE725" s="3"/>
      <c r="AF725" s="3"/>
      <c r="AG725" s="3"/>
      <c r="AH725" s="3"/>
      <c r="AI725" s="3"/>
      <c r="AJ725" s="3"/>
      <c r="AK725" s="3"/>
      <c r="AL725" s="3"/>
    </row>
    <row r="726" ht="15.75" customHeight="1">
      <c r="A726" s="45"/>
      <c r="B726" s="2"/>
      <c r="C726" s="667"/>
      <c r="D726" s="2"/>
      <c r="E726" s="668"/>
      <c r="F726" s="2"/>
      <c r="G726" s="2"/>
      <c r="H726" s="2"/>
      <c r="I726" s="2"/>
      <c r="J726" s="2"/>
      <c r="K726" s="2"/>
      <c r="L726" s="2"/>
      <c r="M726" s="2"/>
      <c r="N726" s="667"/>
      <c r="O726" s="2"/>
      <c r="P726" s="2"/>
      <c r="Q726" s="2"/>
      <c r="R726" s="3"/>
      <c r="S726" s="3"/>
      <c r="T726" s="3"/>
      <c r="U726" s="3"/>
      <c r="V726" s="3"/>
      <c r="W726" s="3"/>
      <c r="X726" s="3"/>
      <c r="Y726" s="3"/>
      <c r="Z726" s="3"/>
      <c r="AA726" s="3"/>
      <c r="AB726" s="3"/>
      <c r="AC726" s="3"/>
      <c r="AD726" s="3"/>
      <c r="AE726" s="3"/>
      <c r="AF726" s="3"/>
      <c r="AG726" s="3"/>
      <c r="AH726" s="3"/>
      <c r="AI726" s="3"/>
      <c r="AJ726" s="3"/>
      <c r="AK726" s="3"/>
      <c r="AL726" s="3"/>
    </row>
    <row r="727" ht="15.75" customHeight="1">
      <c r="A727" s="45"/>
      <c r="B727" s="2"/>
      <c r="C727" s="667"/>
      <c r="D727" s="2"/>
      <c r="E727" s="668"/>
      <c r="F727" s="2"/>
      <c r="G727" s="2"/>
      <c r="H727" s="2"/>
      <c r="I727" s="2"/>
      <c r="J727" s="2"/>
      <c r="K727" s="2"/>
      <c r="L727" s="2"/>
      <c r="M727" s="2"/>
      <c r="N727" s="667"/>
      <c r="O727" s="2"/>
      <c r="P727" s="2"/>
      <c r="Q727" s="2"/>
      <c r="R727" s="3"/>
      <c r="S727" s="3"/>
      <c r="T727" s="3"/>
      <c r="U727" s="3"/>
      <c r="V727" s="3"/>
      <c r="W727" s="3"/>
      <c r="X727" s="3"/>
      <c r="Y727" s="3"/>
      <c r="Z727" s="3"/>
      <c r="AA727" s="3"/>
      <c r="AB727" s="3"/>
      <c r="AC727" s="3"/>
      <c r="AD727" s="3"/>
      <c r="AE727" s="3"/>
      <c r="AF727" s="3"/>
      <c r="AG727" s="3"/>
      <c r="AH727" s="3"/>
      <c r="AI727" s="3"/>
      <c r="AJ727" s="3"/>
      <c r="AK727" s="3"/>
      <c r="AL727" s="3"/>
    </row>
    <row r="728" ht="15.75" customHeight="1">
      <c r="A728" s="45"/>
      <c r="B728" s="2"/>
      <c r="C728" s="667"/>
      <c r="D728" s="2"/>
      <c r="E728" s="668"/>
      <c r="F728" s="2"/>
      <c r="G728" s="2"/>
      <c r="H728" s="2"/>
      <c r="I728" s="2"/>
      <c r="J728" s="2"/>
      <c r="K728" s="2"/>
      <c r="L728" s="2"/>
      <c r="M728" s="2"/>
      <c r="N728" s="667"/>
      <c r="O728" s="2"/>
      <c r="P728" s="2"/>
      <c r="Q728" s="2"/>
      <c r="R728" s="3"/>
      <c r="S728" s="3"/>
      <c r="T728" s="3"/>
      <c r="U728" s="3"/>
      <c r="V728" s="3"/>
      <c r="W728" s="3"/>
      <c r="X728" s="3"/>
      <c r="Y728" s="3"/>
      <c r="Z728" s="3"/>
      <c r="AA728" s="3"/>
      <c r="AB728" s="3"/>
      <c r="AC728" s="3"/>
      <c r="AD728" s="3"/>
      <c r="AE728" s="3"/>
      <c r="AF728" s="3"/>
      <c r="AG728" s="3"/>
      <c r="AH728" s="3"/>
      <c r="AI728" s="3"/>
      <c r="AJ728" s="3"/>
      <c r="AK728" s="3"/>
      <c r="AL728" s="3"/>
    </row>
    <row r="729" ht="15.75" customHeight="1">
      <c r="A729" s="45"/>
      <c r="B729" s="2"/>
      <c r="C729" s="667"/>
      <c r="D729" s="2"/>
      <c r="E729" s="668"/>
      <c r="F729" s="2"/>
      <c r="G729" s="2"/>
      <c r="H729" s="2"/>
      <c r="I729" s="2"/>
      <c r="J729" s="2"/>
      <c r="K729" s="2"/>
      <c r="L729" s="2"/>
      <c r="M729" s="2"/>
      <c r="N729" s="667"/>
      <c r="O729" s="2"/>
      <c r="P729" s="2"/>
      <c r="Q729" s="2"/>
      <c r="R729" s="3"/>
      <c r="S729" s="3"/>
      <c r="T729" s="3"/>
      <c r="U729" s="3"/>
      <c r="V729" s="3"/>
      <c r="W729" s="3"/>
      <c r="X729" s="3"/>
      <c r="Y729" s="3"/>
      <c r="Z729" s="3"/>
      <c r="AA729" s="3"/>
      <c r="AB729" s="3"/>
      <c r="AC729" s="3"/>
      <c r="AD729" s="3"/>
      <c r="AE729" s="3"/>
      <c r="AF729" s="3"/>
      <c r="AG729" s="3"/>
      <c r="AH729" s="3"/>
      <c r="AI729" s="3"/>
      <c r="AJ729" s="3"/>
      <c r="AK729" s="3"/>
      <c r="AL729" s="3"/>
    </row>
    <row r="730" ht="15.75" customHeight="1">
      <c r="A730" s="45"/>
      <c r="B730" s="2"/>
      <c r="C730" s="667"/>
      <c r="D730" s="2"/>
      <c r="E730" s="668"/>
      <c r="F730" s="2"/>
      <c r="G730" s="2"/>
      <c r="H730" s="2"/>
      <c r="I730" s="2"/>
      <c r="J730" s="2"/>
      <c r="K730" s="2"/>
      <c r="L730" s="2"/>
      <c r="M730" s="2"/>
      <c r="N730" s="667"/>
      <c r="O730" s="2"/>
      <c r="P730" s="2"/>
      <c r="Q730" s="2"/>
      <c r="R730" s="3"/>
      <c r="S730" s="3"/>
      <c r="T730" s="3"/>
      <c r="U730" s="3"/>
      <c r="V730" s="3"/>
      <c r="W730" s="3"/>
      <c r="X730" s="3"/>
      <c r="Y730" s="3"/>
      <c r="Z730" s="3"/>
      <c r="AA730" s="3"/>
      <c r="AB730" s="3"/>
      <c r="AC730" s="3"/>
      <c r="AD730" s="3"/>
      <c r="AE730" s="3"/>
      <c r="AF730" s="3"/>
      <c r="AG730" s="3"/>
      <c r="AH730" s="3"/>
      <c r="AI730" s="3"/>
      <c r="AJ730" s="3"/>
      <c r="AK730" s="3"/>
      <c r="AL730" s="3"/>
    </row>
    <row r="731" ht="15.75" customHeight="1">
      <c r="A731" s="45"/>
      <c r="B731" s="2"/>
      <c r="C731" s="667"/>
      <c r="D731" s="2"/>
      <c r="E731" s="668"/>
      <c r="F731" s="2"/>
      <c r="G731" s="2"/>
      <c r="H731" s="2"/>
      <c r="I731" s="2"/>
      <c r="J731" s="2"/>
      <c r="K731" s="2"/>
      <c r="L731" s="2"/>
      <c r="M731" s="2"/>
      <c r="N731" s="667"/>
      <c r="O731" s="2"/>
      <c r="P731" s="2"/>
      <c r="Q731" s="2"/>
      <c r="R731" s="3"/>
      <c r="S731" s="3"/>
      <c r="T731" s="3"/>
      <c r="U731" s="3"/>
      <c r="V731" s="3"/>
      <c r="W731" s="3"/>
      <c r="X731" s="3"/>
      <c r="Y731" s="3"/>
      <c r="Z731" s="3"/>
      <c r="AA731" s="3"/>
      <c r="AB731" s="3"/>
      <c r="AC731" s="3"/>
      <c r="AD731" s="3"/>
      <c r="AE731" s="3"/>
      <c r="AF731" s="3"/>
      <c r="AG731" s="3"/>
      <c r="AH731" s="3"/>
      <c r="AI731" s="3"/>
      <c r="AJ731" s="3"/>
      <c r="AK731" s="3"/>
      <c r="AL731" s="3"/>
    </row>
    <row r="732" ht="15.75" customHeight="1">
      <c r="A732" s="45"/>
      <c r="B732" s="2"/>
      <c r="C732" s="667"/>
      <c r="D732" s="2"/>
      <c r="E732" s="668"/>
      <c r="F732" s="2"/>
      <c r="G732" s="2"/>
      <c r="H732" s="2"/>
      <c r="I732" s="2"/>
      <c r="J732" s="2"/>
      <c r="K732" s="2"/>
      <c r="L732" s="2"/>
      <c r="M732" s="2"/>
      <c r="N732" s="667"/>
      <c r="O732" s="2"/>
      <c r="P732" s="2"/>
      <c r="Q732" s="2"/>
      <c r="R732" s="3"/>
      <c r="S732" s="3"/>
      <c r="T732" s="3"/>
      <c r="U732" s="3"/>
      <c r="V732" s="3"/>
      <c r="W732" s="3"/>
      <c r="X732" s="3"/>
      <c r="Y732" s="3"/>
      <c r="Z732" s="3"/>
      <c r="AA732" s="3"/>
      <c r="AB732" s="3"/>
      <c r="AC732" s="3"/>
      <c r="AD732" s="3"/>
      <c r="AE732" s="3"/>
      <c r="AF732" s="3"/>
      <c r="AG732" s="3"/>
      <c r="AH732" s="3"/>
      <c r="AI732" s="3"/>
      <c r="AJ732" s="3"/>
      <c r="AK732" s="3"/>
      <c r="AL732" s="3"/>
    </row>
    <row r="733" ht="15.75" customHeight="1">
      <c r="A733" s="45"/>
      <c r="B733" s="2"/>
      <c r="C733" s="667"/>
      <c r="D733" s="2"/>
      <c r="E733" s="668"/>
      <c r="F733" s="2"/>
      <c r="G733" s="2"/>
      <c r="H733" s="2"/>
      <c r="I733" s="2"/>
      <c r="J733" s="2"/>
      <c r="K733" s="2"/>
      <c r="L733" s="2"/>
      <c r="M733" s="2"/>
      <c r="N733" s="667"/>
      <c r="O733" s="2"/>
      <c r="P733" s="2"/>
      <c r="Q733" s="2"/>
      <c r="R733" s="3"/>
      <c r="S733" s="3"/>
      <c r="T733" s="3"/>
      <c r="U733" s="3"/>
      <c r="V733" s="3"/>
      <c r="W733" s="3"/>
      <c r="X733" s="3"/>
      <c r="Y733" s="3"/>
      <c r="Z733" s="3"/>
      <c r="AA733" s="3"/>
      <c r="AB733" s="3"/>
      <c r="AC733" s="3"/>
      <c r="AD733" s="3"/>
      <c r="AE733" s="3"/>
      <c r="AF733" s="3"/>
      <c r="AG733" s="3"/>
      <c r="AH733" s="3"/>
      <c r="AI733" s="3"/>
      <c r="AJ733" s="3"/>
      <c r="AK733" s="3"/>
      <c r="AL733" s="3"/>
    </row>
    <row r="734" ht="15.75" customHeight="1">
      <c r="A734" s="45"/>
      <c r="B734" s="2"/>
      <c r="C734" s="667"/>
      <c r="D734" s="2"/>
      <c r="E734" s="668"/>
      <c r="F734" s="2"/>
      <c r="G734" s="2"/>
      <c r="H734" s="2"/>
      <c r="I734" s="2"/>
      <c r="J734" s="2"/>
      <c r="K734" s="2"/>
      <c r="L734" s="2"/>
      <c r="M734" s="2"/>
      <c r="N734" s="667"/>
      <c r="O734" s="2"/>
      <c r="P734" s="2"/>
      <c r="Q734" s="2"/>
      <c r="R734" s="3"/>
      <c r="S734" s="3"/>
      <c r="T734" s="3"/>
      <c r="U734" s="3"/>
      <c r="V734" s="3"/>
      <c r="W734" s="3"/>
      <c r="X734" s="3"/>
      <c r="Y734" s="3"/>
      <c r="Z734" s="3"/>
      <c r="AA734" s="3"/>
      <c r="AB734" s="3"/>
      <c r="AC734" s="3"/>
      <c r="AD734" s="3"/>
      <c r="AE734" s="3"/>
      <c r="AF734" s="3"/>
      <c r="AG734" s="3"/>
      <c r="AH734" s="3"/>
      <c r="AI734" s="3"/>
      <c r="AJ734" s="3"/>
      <c r="AK734" s="3"/>
      <c r="AL734" s="3"/>
    </row>
    <row r="735" ht="15.75" customHeight="1">
      <c r="A735" s="45"/>
      <c r="B735" s="2"/>
      <c r="C735" s="667"/>
      <c r="D735" s="2"/>
      <c r="E735" s="668"/>
      <c r="F735" s="2"/>
      <c r="G735" s="2"/>
      <c r="H735" s="2"/>
      <c r="I735" s="2"/>
      <c r="J735" s="2"/>
      <c r="K735" s="2"/>
      <c r="L735" s="2"/>
      <c r="M735" s="2"/>
      <c r="N735" s="667"/>
      <c r="O735" s="2"/>
      <c r="P735" s="2"/>
      <c r="Q735" s="2"/>
      <c r="R735" s="3"/>
      <c r="S735" s="3"/>
      <c r="T735" s="3"/>
      <c r="U735" s="3"/>
      <c r="V735" s="3"/>
      <c r="W735" s="3"/>
      <c r="X735" s="3"/>
      <c r="Y735" s="3"/>
      <c r="Z735" s="3"/>
      <c r="AA735" s="3"/>
      <c r="AB735" s="3"/>
      <c r="AC735" s="3"/>
      <c r="AD735" s="3"/>
      <c r="AE735" s="3"/>
      <c r="AF735" s="3"/>
      <c r="AG735" s="3"/>
      <c r="AH735" s="3"/>
      <c r="AI735" s="3"/>
      <c r="AJ735" s="3"/>
      <c r="AK735" s="3"/>
      <c r="AL735" s="3"/>
    </row>
    <row r="736" ht="15.75" customHeight="1">
      <c r="A736" s="45"/>
      <c r="B736" s="2"/>
      <c r="C736" s="667"/>
      <c r="D736" s="2"/>
      <c r="E736" s="668"/>
      <c r="F736" s="2"/>
      <c r="G736" s="2"/>
      <c r="H736" s="2"/>
      <c r="I736" s="2"/>
      <c r="J736" s="2"/>
      <c r="K736" s="2"/>
      <c r="L736" s="2"/>
      <c r="M736" s="2"/>
      <c r="N736" s="667"/>
      <c r="O736" s="2"/>
      <c r="P736" s="2"/>
      <c r="Q736" s="2"/>
      <c r="R736" s="3"/>
      <c r="S736" s="3"/>
      <c r="T736" s="3"/>
      <c r="U736" s="3"/>
      <c r="V736" s="3"/>
      <c r="W736" s="3"/>
      <c r="X736" s="3"/>
      <c r="Y736" s="3"/>
      <c r="Z736" s="3"/>
      <c r="AA736" s="3"/>
      <c r="AB736" s="3"/>
      <c r="AC736" s="3"/>
      <c r="AD736" s="3"/>
      <c r="AE736" s="3"/>
      <c r="AF736" s="3"/>
      <c r="AG736" s="3"/>
      <c r="AH736" s="3"/>
      <c r="AI736" s="3"/>
      <c r="AJ736" s="3"/>
      <c r="AK736" s="3"/>
      <c r="AL736" s="3"/>
    </row>
    <row r="737" ht="15.75" customHeight="1">
      <c r="A737" s="45"/>
      <c r="B737" s="2"/>
      <c r="C737" s="667"/>
      <c r="D737" s="2"/>
      <c r="E737" s="668"/>
      <c r="F737" s="2"/>
      <c r="G737" s="2"/>
      <c r="H737" s="2"/>
      <c r="I737" s="2"/>
      <c r="J737" s="2"/>
      <c r="K737" s="2"/>
      <c r="L737" s="2"/>
      <c r="M737" s="2"/>
      <c r="N737" s="667"/>
      <c r="O737" s="2"/>
      <c r="P737" s="2"/>
      <c r="Q737" s="2"/>
      <c r="R737" s="3"/>
      <c r="S737" s="3"/>
      <c r="T737" s="3"/>
      <c r="U737" s="3"/>
      <c r="V737" s="3"/>
      <c r="W737" s="3"/>
      <c r="X737" s="3"/>
      <c r="Y737" s="3"/>
      <c r="Z737" s="3"/>
      <c r="AA737" s="3"/>
      <c r="AB737" s="3"/>
      <c r="AC737" s="3"/>
      <c r="AD737" s="3"/>
      <c r="AE737" s="3"/>
      <c r="AF737" s="3"/>
      <c r="AG737" s="3"/>
      <c r="AH737" s="3"/>
      <c r="AI737" s="3"/>
      <c r="AJ737" s="3"/>
      <c r="AK737" s="3"/>
      <c r="AL737" s="3"/>
    </row>
    <row r="738" ht="15.75" customHeight="1">
      <c r="A738" s="45"/>
      <c r="B738" s="2"/>
      <c r="C738" s="667"/>
      <c r="D738" s="2"/>
      <c r="E738" s="668"/>
      <c r="F738" s="2"/>
      <c r="G738" s="2"/>
      <c r="H738" s="2"/>
      <c r="I738" s="2"/>
      <c r="J738" s="2"/>
      <c r="K738" s="2"/>
      <c r="L738" s="2"/>
      <c r="M738" s="2"/>
      <c r="N738" s="667"/>
      <c r="O738" s="2"/>
      <c r="P738" s="2"/>
      <c r="Q738" s="2"/>
      <c r="R738" s="3"/>
      <c r="S738" s="3"/>
      <c r="T738" s="3"/>
      <c r="U738" s="3"/>
      <c r="V738" s="3"/>
      <c r="W738" s="3"/>
      <c r="X738" s="3"/>
      <c r="Y738" s="3"/>
      <c r="Z738" s="3"/>
      <c r="AA738" s="3"/>
      <c r="AB738" s="3"/>
      <c r="AC738" s="3"/>
      <c r="AD738" s="3"/>
      <c r="AE738" s="3"/>
      <c r="AF738" s="3"/>
      <c r="AG738" s="3"/>
      <c r="AH738" s="3"/>
      <c r="AI738" s="3"/>
      <c r="AJ738" s="3"/>
      <c r="AK738" s="3"/>
      <c r="AL738" s="3"/>
    </row>
    <row r="739" ht="15.75" customHeight="1">
      <c r="A739" s="45"/>
      <c r="B739" s="2"/>
      <c r="C739" s="667"/>
      <c r="D739" s="2"/>
      <c r="E739" s="668"/>
      <c r="F739" s="2"/>
      <c r="G739" s="2"/>
      <c r="H739" s="2"/>
      <c r="I739" s="2"/>
      <c r="J739" s="2"/>
      <c r="K739" s="2"/>
      <c r="L739" s="2"/>
      <c r="M739" s="2"/>
      <c r="N739" s="667"/>
      <c r="O739" s="2"/>
      <c r="P739" s="2"/>
      <c r="Q739" s="2"/>
      <c r="R739" s="3"/>
      <c r="S739" s="3"/>
      <c r="T739" s="3"/>
      <c r="U739" s="3"/>
      <c r="V739" s="3"/>
      <c r="W739" s="3"/>
      <c r="X739" s="3"/>
      <c r="Y739" s="3"/>
      <c r="Z739" s="3"/>
      <c r="AA739" s="3"/>
      <c r="AB739" s="3"/>
      <c r="AC739" s="3"/>
      <c r="AD739" s="3"/>
      <c r="AE739" s="3"/>
      <c r="AF739" s="3"/>
      <c r="AG739" s="3"/>
      <c r="AH739" s="3"/>
      <c r="AI739" s="3"/>
      <c r="AJ739" s="3"/>
      <c r="AK739" s="3"/>
      <c r="AL739" s="3"/>
    </row>
    <row r="740" ht="15.75" customHeight="1">
      <c r="A740" s="45"/>
      <c r="B740" s="2"/>
      <c r="C740" s="667"/>
      <c r="D740" s="2"/>
      <c r="E740" s="668"/>
      <c r="F740" s="2"/>
      <c r="G740" s="2"/>
      <c r="H740" s="2"/>
      <c r="I740" s="2"/>
      <c r="J740" s="2"/>
      <c r="K740" s="2"/>
      <c r="L740" s="2"/>
      <c r="M740" s="2"/>
      <c r="N740" s="667"/>
      <c r="O740" s="2"/>
      <c r="P740" s="2"/>
      <c r="Q740" s="2"/>
      <c r="R740" s="3"/>
      <c r="S740" s="3"/>
      <c r="T740" s="3"/>
      <c r="U740" s="3"/>
      <c r="V740" s="3"/>
      <c r="W740" s="3"/>
      <c r="X740" s="3"/>
      <c r="Y740" s="3"/>
      <c r="Z740" s="3"/>
      <c r="AA740" s="3"/>
      <c r="AB740" s="3"/>
      <c r="AC740" s="3"/>
      <c r="AD740" s="3"/>
      <c r="AE740" s="3"/>
      <c r="AF740" s="3"/>
      <c r="AG740" s="3"/>
      <c r="AH740" s="3"/>
      <c r="AI740" s="3"/>
      <c r="AJ740" s="3"/>
      <c r="AK740" s="3"/>
      <c r="AL740" s="3"/>
    </row>
    <row r="741" ht="15.75" customHeight="1">
      <c r="A741" s="45"/>
      <c r="B741" s="2"/>
      <c r="C741" s="667"/>
      <c r="D741" s="2"/>
      <c r="E741" s="668"/>
      <c r="F741" s="2"/>
      <c r="G741" s="2"/>
      <c r="H741" s="2"/>
      <c r="I741" s="2"/>
      <c r="J741" s="2"/>
      <c r="K741" s="2"/>
      <c r="L741" s="2"/>
      <c r="M741" s="2"/>
      <c r="N741" s="667"/>
      <c r="O741" s="2"/>
      <c r="P741" s="2"/>
      <c r="Q741" s="2"/>
      <c r="R741" s="3"/>
      <c r="S741" s="3"/>
      <c r="T741" s="3"/>
      <c r="U741" s="3"/>
      <c r="V741" s="3"/>
      <c r="W741" s="3"/>
      <c r="X741" s="3"/>
      <c r="Y741" s="3"/>
      <c r="Z741" s="3"/>
      <c r="AA741" s="3"/>
      <c r="AB741" s="3"/>
      <c r="AC741" s="3"/>
      <c r="AD741" s="3"/>
      <c r="AE741" s="3"/>
      <c r="AF741" s="3"/>
      <c r="AG741" s="3"/>
      <c r="AH741" s="3"/>
      <c r="AI741" s="3"/>
      <c r="AJ741" s="3"/>
      <c r="AK741" s="3"/>
      <c r="AL741" s="3"/>
    </row>
    <row r="742" ht="15.75" customHeight="1">
      <c r="A742" s="45"/>
      <c r="B742" s="2"/>
      <c r="C742" s="667"/>
      <c r="D742" s="2"/>
      <c r="E742" s="668"/>
      <c r="F742" s="2"/>
      <c r="G742" s="2"/>
      <c r="H742" s="2"/>
      <c r="I742" s="2"/>
      <c r="J742" s="2"/>
      <c r="K742" s="2"/>
      <c r="L742" s="2"/>
      <c r="M742" s="2"/>
      <c r="N742" s="667"/>
      <c r="O742" s="2"/>
      <c r="P742" s="2"/>
      <c r="Q742" s="2"/>
      <c r="R742" s="3"/>
      <c r="S742" s="3"/>
      <c r="T742" s="3"/>
      <c r="U742" s="3"/>
      <c r="V742" s="3"/>
      <c r="W742" s="3"/>
      <c r="X742" s="3"/>
      <c r="Y742" s="3"/>
      <c r="Z742" s="3"/>
      <c r="AA742" s="3"/>
      <c r="AB742" s="3"/>
      <c r="AC742" s="3"/>
      <c r="AD742" s="3"/>
      <c r="AE742" s="3"/>
      <c r="AF742" s="3"/>
      <c r="AG742" s="3"/>
      <c r="AH742" s="3"/>
      <c r="AI742" s="3"/>
      <c r="AJ742" s="3"/>
      <c r="AK742" s="3"/>
      <c r="AL742" s="3"/>
    </row>
    <row r="743" ht="15.75" customHeight="1">
      <c r="A743" s="45"/>
      <c r="B743" s="2"/>
      <c r="C743" s="667"/>
      <c r="D743" s="2"/>
      <c r="E743" s="668"/>
      <c r="F743" s="2"/>
      <c r="G743" s="2"/>
      <c r="H743" s="2"/>
      <c r="I743" s="2"/>
      <c r="J743" s="2"/>
      <c r="K743" s="2"/>
      <c r="L743" s="2"/>
      <c r="M743" s="2"/>
      <c r="N743" s="667"/>
      <c r="O743" s="2"/>
      <c r="P743" s="2"/>
      <c r="Q743" s="2"/>
      <c r="R743" s="3"/>
      <c r="S743" s="3"/>
      <c r="T743" s="3"/>
      <c r="U743" s="3"/>
      <c r="V743" s="3"/>
      <c r="W743" s="3"/>
      <c r="X743" s="3"/>
      <c r="Y743" s="3"/>
      <c r="Z743" s="3"/>
      <c r="AA743" s="3"/>
      <c r="AB743" s="3"/>
      <c r="AC743" s="3"/>
      <c r="AD743" s="3"/>
      <c r="AE743" s="3"/>
      <c r="AF743" s="3"/>
      <c r="AG743" s="3"/>
      <c r="AH743" s="3"/>
      <c r="AI743" s="3"/>
      <c r="AJ743" s="3"/>
      <c r="AK743" s="3"/>
      <c r="AL743" s="3"/>
    </row>
    <row r="744" ht="15.75" customHeight="1">
      <c r="A744" s="45"/>
      <c r="B744" s="2"/>
      <c r="C744" s="667"/>
      <c r="D744" s="2"/>
      <c r="E744" s="668"/>
      <c r="F744" s="2"/>
      <c r="G744" s="2"/>
      <c r="H744" s="2"/>
      <c r="I744" s="2"/>
      <c r="J744" s="2"/>
      <c r="K744" s="2"/>
      <c r="L744" s="2"/>
      <c r="M744" s="2"/>
      <c r="N744" s="667"/>
      <c r="O744" s="2"/>
      <c r="P744" s="2"/>
      <c r="Q744" s="2"/>
      <c r="R744" s="3"/>
      <c r="S744" s="3"/>
      <c r="T744" s="3"/>
      <c r="U744" s="3"/>
      <c r="V744" s="3"/>
      <c r="W744" s="3"/>
      <c r="X744" s="3"/>
      <c r="Y744" s="3"/>
      <c r="Z744" s="3"/>
      <c r="AA744" s="3"/>
      <c r="AB744" s="3"/>
      <c r="AC744" s="3"/>
      <c r="AD744" s="3"/>
      <c r="AE744" s="3"/>
      <c r="AF744" s="3"/>
      <c r="AG744" s="3"/>
      <c r="AH744" s="3"/>
      <c r="AI744" s="3"/>
      <c r="AJ744" s="3"/>
      <c r="AK744" s="3"/>
      <c r="AL744" s="3"/>
    </row>
    <row r="745" ht="15.75" customHeight="1">
      <c r="A745" s="45"/>
      <c r="B745" s="2"/>
      <c r="C745" s="667"/>
      <c r="D745" s="2"/>
      <c r="E745" s="668"/>
      <c r="F745" s="2"/>
      <c r="G745" s="2"/>
      <c r="H745" s="2"/>
      <c r="I745" s="2"/>
      <c r="J745" s="2"/>
      <c r="K745" s="2"/>
      <c r="L745" s="2"/>
      <c r="M745" s="2"/>
      <c r="N745" s="667"/>
      <c r="O745" s="2"/>
      <c r="P745" s="2"/>
      <c r="Q745" s="2"/>
      <c r="R745" s="3"/>
      <c r="S745" s="3"/>
      <c r="T745" s="3"/>
      <c r="U745" s="3"/>
      <c r="V745" s="3"/>
      <c r="W745" s="3"/>
      <c r="X745" s="3"/>
      <c r="Y745" s="3"/>
      <c r="Z745" s="3"/>
      <c r="AA745" s="3"/>
      <c r="AB745" s="3"/>
      <c r="AC745" s="3"/>
      <c r="AD745" s="3"/>
      <c r="AE745" s="3"/>
      <c r="AF745" s="3"/>
      <c r="AG745" s="3"/>
      <c r="AH745" s="3"/>
      <c r="AI745" s="3"/>
      <c r="AJ745" s="3"/>
      <c r="AK745" s="3"/>
      <c r="AL745" s="3"/>
    </row>
    <row r="746" ht="15.75" customHeight="1">
      <c r="A746" s="45"/>
      <c r="B746" s="2"/>
      <c r="C746" s="667"/>
      <c r="D746" s="2"/>
      <c r="E746" s="668"/>
      <c r="F746" s="2"/>
      <c r="G746" s="2"/>
      <c r="H746" s="2"/>
      <c r="I746" s="2"/>
      <c r="J746" s="2"/>
      <c r="K746" s="2"/>
      <c r="L746" s="2"/>
      <c r="M746" s="2"/>
      <c r="N746" s="667"/>
      <c r="O746" s="2"/>
      <c r="P746" s="2"/>
      <c r="Q746" s="2"/>
      <c r="R746" s="3"/>
      <c r="S746" s="3"/>
      <c r="T746" s="3"/>
      <c r="U746" s="3"/>
      <c r="V746" s="3"/>
      <c r="W746" s="3"/>
      <c r="X746" s="3"/>
      <c r="Y746" s="3"/>
      <c r="Z746" s="3"/>
      <c r="AA746" s="3"/>
      <c r="AB746" s="3"/>
      <c r="AC746" s="3"/>
      <c r="AD746" s="3"/>
      <c r="AE746" s="3"/>
      <c r="AF746" s="3"/>
      <c r="AG746" s="3"/>
      <c r="AH746" s="3"/>
      <c r="AI746" s="3"/>
      <c r="AJ746" s="3"/>
      <c r="AK746" s="3"/>
      <c r="AL746" s="3"/>
    </row>
    <row r="747" ht="15.75" customHeight="1">
      <c r="A747" s="45"/>
      <c r="B747" s="2"/>
      <c r="C747" s="667"/>
      <c r="D747" s="2"/>
      <c r="E747" s="668"/>
      <c r="F747" s="2"/>
      <c r="G747" s="2"/>
      <c r="H747" s="2"/>
      <c r="I747" s="2"/>
      <c r="J747" s="2"/>
      <c r="K747" s="2"/>
      <c r="L747" s="2"/>
      <c r="M747" s="2"/>
      <c r="N747" s="667"/>
      <c r="O747" s="2"/>
      <c r="P747" s="2"/>
      <c r="Q747" s="2"/>
      <c r="R747" s="3"/>
      <c r="S747" s="3"/>
      <c r="T747" s="3"/>
      <c r="U747" s="3"/>
      <c r="V747" s="3"/>
      <c r="W747" s="3"/>
      <c r="X747" s="3"/>
      <c r="Y747" s="3"/>
      <c r="Z747" s="3"/>
      <c r="AA747" s="3"/>
      <c r="AB747" s="3"/>
      <c r="AC747" s="3"/>
      <c r="AD747" s="3"/>
      <c r="AE747" s="3"/>
      <c r="AF747" s="3"/>
      <c r="AG747" s="3"/>
      <c r="AH747" s="3"/>
      <c r="AI747" s="3"/>
      <c r="AJ747" s="3"/>
      <c r="AK747" s="3"/>
      <c r="AL747" s="3"/>
    </row>
    <row r="748" ht="15.75" customHeight="1">
      <c r="A748" s="45"/>
      <c r="B748" s="2"/>
      <c r="C748" s="667"/>
      <c r="D748" s="2"/>
      <c r="E748" s="668"/>
      <c r="F748" s="2"/>
      <c r="G748" s="2"/>
      <c r="H748" s="2"/>
      <c r="I748" s="2"/>
      <c r="J748" s="2"/>
      <c r="K748" s="2"/>
      <c r="L748" s="2"/>
      <c r="M748" s="2"/>
      <c r="N748" s="667"/>
      <c r="O748" s="2"/>
      <c r="P748" s="2"/>
      <c r="Q748" s="2"/>
      <c r="R748" s="3"/>
      <c r="S748" s="3"/>
      <c r="T748" s="3"/>
      <c r="U748" s="3"/>
      <c r="V748" s="3"/>
      <c r="W748" s="3"/>
      <c r="X748" s="3"/>
      <c r="Y748" s="3"/>
      <c r="Z748" s="3"/>
      <c r="AA748" s="3"/>
      <c r="AB748" s="3"/>
      <c r="AC748" s="3"/>
      <c r="AD748" s="3"/>
      <c r="AE748" s="3"/>
      <c r="AF748" s="3"/>
      <c r="AG748" s="3"/>
      <c r="AH748" s="3"/>
      <c r="AI748" s="3"/>
      <c r="AJ748" s="3"/>
      <c r="AK748" s="3"/>
      <c r="AL748" s="3"/>
    </row>
    <row r="749" ht="15.75" customHeight="1">
      <c r="A749" s="45"/>
      <c r="B749" s="2"/>
      <c r="C749" s="667"/>
      <c r="D749" s="2"/>
      <c r="E749" s="668"/>
      <c r="F749" s="2"/>
      <c r="G749" s="2"/>
      <c r="H749" s="2"/>
      <c r="I749" s="2"/>
      <c r="J749" s="2"/>
      <c r="K749" s="2"/>
      <c r="L749" s="2"/>
      <c r="M749" s="2"/>
      <c r="N749" s="667"/>
      <c r="O749" s="2"/>
      <c r="P749" s="2"/>
      <c r="Q749" s="2"/>
      <c r="R749" s="3"/>
      <c r="S749" s="3"/>
      <c r="T749" s="3"/>
      <c r="U749" s="3"/>
      <c r="V749" s="3"/>
      <c r="W749" s="3"/>
      <c r="X749" s="3"/>
      <c r="Y749" s="3"/>
      <c r="Z749" s="3"/>
      <c r="AA749" s="3"/>
      <c r="AB749" s="3"/>
      <c r="AC749" s="3"/>
      <c r="AD749" s="3"/>
      <c r="AE749" s="3"/>
      <c r="AF749" s="3"/>
      <c r="AG749" s="3"/>
      <c r="AH749" s="3"/>
      <c r="AI749" s="3"/>
      <c r="AJ749" s="3"/>
      <c r="AK749" s="3"/>
      <c r="AL749" s="3"/>
    </row>
    <row r="750" ht="15.75" customHeight="1">
      <c r="A750" s="45"/>
      <c r="B750" s="2"/>
      <c r="C750" s="667"/>
      <c r="D750" s="2"/>
      <c r="E750" s="668"/>
      <c r="F750" s="2"/>
      <c r="G750" s="2"/>
      <c r="H750" s="2"/>
      <c r="I750" s="2"/>
      <c r="J750" s="2"/>
      <c r="K750" s="2"/>
      <c r="L750" s="2"/>
      <c r="M750" s="2"/>
      <c r="N750" s="667"/>
      <c r="O750" s="2"/>
      <c r="P750" s="2"/>
      <c r="Q750" s="2"/>
      <c r="R750" s="3"/>
      <c r="S750" s="3"/>
      <c r="T750" s="3"/>
      <c r="U750" s="3"/>
      <c r="V750" s="3"/>
      <c r="W750" s="3"/>
      <c r="X750" s="3"/>
      <c r="Y750" s="3"/>
      <c r="Z750" s="3"/>
      <c r="AA750" s="3"/>
      <c r="AB750" s="3"/>
      <c r="AC750" s="3"/>
      <c r="AD750" s="3"/>
      <c r="AE750" s="3"/>
      <c r="AF750" s="3"/>
      <c r="AG750" s="3"/>
      <c r="AH750" s="3"/>
      <c r="AI750" s="3"/>
      <c r="AJ750" s="3"/>
      <c r="AK750" s="3"/>
      <c r="AL750" s="3"/>
    </row>
    <row r="751" ht="15.75" customHeight="1">
      <c r="A751" s="45"/>
      <c r="B751" s="2"/>
      <c r="C751" s="667"/>
      <c r="D751" s="2"/>
      <c r="E751" s="668"/>
      <c r="F751" s="2"/>
      <c r="G751" s="2"/>
      <c r="H751" s="2"/>
      <c r="I751" s="2"/>
      <c r="J751" s="2"/>
      <c r="K751" s="2"/>
      <c r="L751" s="2"/>
      <c r="M751" s="2"/>
      <c r="N751" s="667"/>
      <c r="O751" s="2"/>
      <c r="P751" s="2"/>
      <c r="Q751" s="2"/>
      <c r="R751" s="3"/>
      <c r="S751" s="3"/>
      <c r="T751" s="3"/>
      <c r="U751" s="3"/>
      <c r="V751" s="3"/>
      <c r="W751" s="3"/>
      <c r="X751" s="3"/>
      <c r="Y751" s="3"/>
      <c r="Z751" s="3"/>
      <c r="AA751" s="3"/>
      <c r="AB751" s="3"/>
      <c r="AC751" s="3"/>
      <c r="AD751" s="3"/>
      <c r="AE751" s="3"/>
      <c r="AF751" s="3"/>
      <c r="AG751" s="3"/>
      <c r="AH751" s="3"/>
      <c r="AI751" s="3"/>
      <c r="AJ751" s="3"/>
      <c r="AK751" s="3"/>
      <c r="AL751" s="3"/>
    </row>
    <row r="752" ht="15.75" customHeight="1">
      <c r="A752" s="45"/>
      <c r="B752" s="2"/>
      <c r="C752" s="667"/>
      <c r="D752" s="2"/>
      <c r="E752" s="668"/>
      <c r="F752" s="2"/>
      <c r="G752" s="2"/>
      <c r="H752" s="2"/>
      <c r="I752" s="2"/>
      <c r="J752" s="2"/>
      <c r="K752" s="2"/>
      <c r="L752" s="2"/>
      <c r="M752" s="2"/>
      <c r="N752" s="667"/>
      <c r="O752" s="2"/>
      <c r="P752" s="2"/>
      <c r="Q752" s="2"/>
      <c r="R752" s="3"/>
      <c r="S752" s="3"/>
      <c r="T752" s="3"/>
      <c r="U752" s="3"/>
      <c r="V752" s="3"/>
      <c r="W752" s="3"/>
      <c r="X752" s="3"/>
      <c r="Y752" s="3"/>
      <c r="Z752" s="3"/>
      <c r="AA752" s="3"/>
      <c r="AB752" s="3"/>
      <c r="AC752" s="3"/>
      <c r="AD752" s="3"/>
      <c r="AE752" s="3"/>
      <c r="AF752" s="3"/>
      <c r="AG752" s="3"/>
      <c r="AH752" s="3"/>
      <c r="AI752" s="3"/>
      <c r="AJ752" s="3"/>
      <c r="AK752" s="3"/>
      <c r="AL752" s="3"/>
    </row>
    <row r="753" ht="15.75" customHeight="1">
      <c r="A753" s="45"/>
      <c r="B753" s="2"/>
      <c r="C753" s="667"/>
      <c r="D753" s="2"/>
      <c r="E753" s="668"/>
      <c r="F753" s="2"/>
      <c r="G753" s="2"/>
      <c r="H753" s="2"/>
      <c r="I753" s="2"/>
      <c r="J753" s="2"/>
      <c r="K753" s="2"/>
      <c r="L753" s="2"/>
      <c r="M753" s="2"/>
      <c r="N753" s="667"/>
      <c r="O753" s="2"/>
      <c r="P753" s="2"/>
      <c r="Q753" s="2"/>
      <c r="R753" s="3"/>
      <c r="S753" s="3"/>
      <c r="T753" s="3"/>
      <c r="U753" s="3"/>
      <c r="V753" s="3"/>
      <c r="W753" s="3"/>
      <c r="X753" s="3"/>
      <c r="Y753" s="3"/>
      <c r="Z753" s="3"/>
      <c r="AA753" s="3"/>
      <c r="AB753" s="3"/>
      <c r="AC753" s="3"/>
      <c r="AD753" s="3"/>
      <c r="AE753" s="3"/>
      <c r="AF753" s="3"/>
      <c r="AG753" s="3"/>
      <c r="AH753" s="3"/>
      <c r="AI753" s="3"/>
      <c r="AJ753" s="3"/>
      <c r="AK753" s="3"/>
      <c r="AL753" s="3"/>
    </row>
    <row r="754" ht="15.75" customHeight="1">
      <c r="A754" s="45"/>
      <c r="B754" s="2"/>
      <c r="C754" s="667"/>
      <c r="D754" s="2"/>
      <c r="E754" s="668"/>
      <c r="F754" s="2"/>
      <c r="G754" s="2"/>
      <c r="H754" s="2"/>
      <c r="I754" s="2"/>
      <c r="J754" s="2"/>
      <c r="K754" s="2"/>
      <c r="L754" s="2"/>
      <c r="M754" s="2"/>
      <c r="N754" s="667"/>
      <c r="O754" s="2"/>
      <c r="P754" s="2"/>
      <c r="Q754" s="2"/>
      <c r="R754" s="3"/>
      <c r="S754" s="3"/>
      <c r="T754" s="3"/>
      <c r="U754" s="3"/>
      <c r="V754" s="3"/>
      <c r="W754" s="3"/>
      <c r="X754" s="3"/>
      <c r="Y754" s="3"/>
      <c r="Z754" s="3"/>
      <c r="AA754" s="3"/>
      <c r="AB754" s="3"/>
      <c r="AC754" s="3"/>
      <c r="AD754" s="3"/>
      <c r="AE754" s="3"/>
      <c r="AF754" s="3"/>
      <c r="AG754" s="3"/>
      <c r="AH754" s="3"/>
      <c r="AI754" s="3"/>
      <c r="AJ754" s="3"/>
      <c r="AK754" s="3"/>
      <c r="AL754" s="3"/>
    </row>
    <row r="755" ht="15.75" customHeight="1">
      <c r="A755" s="45"/>
      <c r="B755" s="2"/>
      <c r="C755" s="667"/>
      <c r="D755" s="2"/>
      <c r="E755" s="668"/>
      <c r="F755" s="2"/>
      <c r="G755" s="2"/>
      <c r="H755" s="2"/>
      <c r="I755" s="2"/>
      <c r="J755" s="2"/>
      <c r="K755" s="2"/>
      <c r="L755" s="2"/>
      <c r="M755" s="2"/>
      <c r="N755" s="667"/>
      <c r="O755" s="2"/>
      <c r="P755" s="2"/>
      <c r="Q755" s="2"/>
      <c r="R755" s="3"/>
      <c r="S755" s="3"/>
      <c r="T755" s="3"/>
      <c r="U755" s="3"/>
      <c r="V755" s="3"/>
      <c r="W755" s="3"/>
      <c r="X755" s="3"/>
      <c r="Y755" s="3"/>
      <c r="Z755" s="3"/>
      <c r="AA755" s="3"/>
      <c r="AB755" s="3"/>
      <c r="AC755" s="3"/>
      <c r="AD755" s="3"/>
      <c r="AE755" s="3"/>
      <c r="AF755" s="3"/>
      <c r="AG755" s="3"/>
      <c r="AH755" s="3"/>
      <c r="AI755" s="3"/>
      <c r="AJ755" s="3"/>
      <c r="AK755" s="3"/>
      <c r="AL755" s="3"/>
    </row>
    <row r="756" ht="15.75" customHeight="1">
      <c r="A756" s="45"/>
      <c r="B756" s="2"/>
      <c r="C756" s="667"/>
      <c r="D756" s="2"/>
      <c r="E756" s="668"/>
      <c r="F756" s="2"/>
      <c r="G756" s="2"/>
      <c r="H756" s="2"/>
      <c r="I756" s="2"/>
      <c r="J756" s="2"/>
      <c r="K756" s="2"/>
      <c r="L756" s="2"/>
      <c r="M756" s="2"/>
      <c r="N756" s="667"/>
      <c r="O756" s="2"/>
      <c r="P756" s="2"/>
      <c r="Q756" s="2"/>
      <c r="R756" s="3"/>
      <c r="S756" s="3"/>
      <c r="T756" s="3"/>
      <c r="U756" s="3"/>
      <c r="V756" s="3"/>
      <c r="W756" s="3"/>
      <c r="X756" s="3"/>
      <c r="Y756" s="3"/>
      <c r="Z756" s="3"/>
      <c r="AA756" s="3"/>
      <c r="AB756" s="3"/>
      <c r="AC756" s="3"/>
      <c r="AD756" s="3"/>
      <c r="AE756" s="3"/>
      <c r="AF756" s="3"/>
      <c r="AG756" s="3"/>
      <c r="AH756" s="3"/>
      <c r="AI756" s="3"/>
      <c r="AJ756" s="3"/>
      <c r="AK756" s="3"/>
      <c r="AL756" s="3"/>
    </row>
    <row r="757" ht="15.75" customHeight="1">
      <c r="A757" s="45"/>
      <c r="B757" s="2"/>
      <c r="C757" s="667"/>
      <c r="D757" s="2"/>
      <c r="E757" s="668"/>
      <c r="F757" s="2"/>
      <c r="G757" s="2"/>
      <c r="H757" s="2"/>
      <c r="I757" s="2"/>
      <c r="J757" s="2"/>
      <c r="K757" s="2"/>
      <c r="L757" s="2"/>
      <c r="M757" s="2"/>
      <c r="N757" s="667"/>
      <c r="O757" s="2"/>
      <c r="P757" s="2"/>
      <c r="Q757" s="2"/>
      <c r="R757" s="3"/>
      <c r="S757" s="3"/>
      <c r="T757" s="3"/>
      <c r="U757" s="3"/>
      <c r="V757" s="3"/>
      <c r="W757" s="3"/>
      <c r="X757" s="3"/>
      <c r="Y757" s="3"/>
      <c r="Z757" s="3"/>
      <c r="AA757" s="3"/>
      <c r="AB757" s="3"/>
      <c r="AC757" s="3"/>
      <c r="AD757" s="3"/>
      <c r="AE757" s="3"/>
      <c r="AF757" s="3"/>
      <c r="AG757" s="3"/>
      <c r="AH757" s="3"/>
      <c r="AI757" s="3"/>
      <c r="AJ757" s="3"/>
      <c r="AK757" s="3"/>
      <c r="AL757" s="3"/>
    </row>
    <row r="758" ht="15.75" customHeight="1">
      <c r="A758" s="45"/>
      <c r="B758" s="2"/>
      <c r="C758" s="667"/>
      <c r="D758" s="2"/>
      <c r="E758" s="668"/>
      <c r="F758" s="2"/>
      <c r="G758" s="2"/>
      <c r="H758" s="2"/>
      <c r="I758" s="2"/>
      <c r="J758" s="2"/>
      <c r="K758" s="2"/>
      <c r="L758" s="2"/>
      <c r="M758" s="2"/>
      <c r="N758" s="667"/>
      <c r="O758" s="2"/>
      <c r="P758" s="2"/>
      <c r="Q758" s="2"/>
      <c r="R758" s="3"/>
      <c r="S758" s="3"/>
      <c r="T758" s="3"/>
      <c r="U758" s="3"/>
      <c r="V758" s="3"/>
      <c r="W758" s="3"/>
      <c r="X758" s="3"/>
      <c r="Y758" s="3"/>
      <c r="Z758" s="3"/>
      <c r="AA758" s="3"/>
      <c r="AB758" s="3"/>
      <c r="AC758" s="3"/>
      <c r="AD758" s="3"/>
      <c r="AE758" s="3"/>
      <c r="AF758" s="3"/>
      <c r="AG758" s="3"/>
      <c r="AH758" s="3"/>
      <c r="AI758" s="3"/>
      <c r="AJ758" s="3"/>
      <c r="AK758" s="3"/>
      <c r="AL758" s="3"/>
    </row>
    <row r="759" ht="15.75" customHeight="1">
      <c r="A759" s="45"/>
      <c r="B759" s="2"/>
      <c r="C759" s="667"/>
      <c r="D759" s="2"/>
      <c r="E759" s="668"/>
      <c r="F759" s="2"/>
      <c r="G759" s="2"/>
      <c r="H759" s="2"/>
      <c r="I759" s="2"/>
      <c r="J759" s="2"/>
      <c r="K759" s="2"/>
      <c r="L759" s="2"/>
      <c r="M759" s="2"/>
      <c r="N759" s="667"/>
      <c r="O759" s="2"/>
      <c r="P759" s="2"/>
      <c r="Q759" s="2"/>
      <c r="R759" s="3"/>
      <c r="S759" s="3"/>
      <c r="T759" s="3"/>
      <c r="U759" s="3"/>
      <c r="V759" s="3"/>
      <c r="W759" s="3"/>
      <c r="X759" s="3"/>
      <c r="Y759" s="3"/>
      <c r="Z759" s="3"/>
      <c r="AA759" s="3"/>
      <c r="AB759" s="3"/>
      <c r="AC759" s="3"/>
      <c r="AD759" s="3"/>
      <c r="AE759" s="3"/>
      <c r="AF759" s="3"/>
      <c r="AG759" s="3"/>
      <c r="AH759" s="3"/>
      <c r="AI759" s="3"/>
      <c r="AJ759" s="3"/>
      <c r="AK759" s="3"/>
      <c r="AL759" s="3"/>
    </row>
    <row r="760" ht="15.75" customHeight="1">
      <c r="A760" s="45"/>
      <c r="B760" s="2"/>
      <c r="C760" s="667"/>
      <c r="D760" s="2"/>
      <c r="E760" s="668"/>
      <c r="F760" s="2"/>
      <c r="G760" s="2"/>
      <c r="H760" s="2"/>
      <c r="I760" s="2"/>
      <c r="J760" s="2"/>
      <c r="K760" s="2"/>
      <c r="L760" s="2"/>
      <c r="M760" s="2"/>
      <c r="N760" s="667"/>
      <c r="O760" s="2"/>
      <c r="P760" s="2"/>
      <c r="Q760" s="2"/>
      <c r="R760" s="3"/>
      <c r="S760" s="3"/>
      <c r="T760" s="3"/>
      <c r="U760" s="3"/>
      <c r="V760" s="3"/>
      <c r="W760" s="3"/>
      <c r="X760" s="3"/>
      <c r="Y760" s="3"/>
      <c r="Z760" s="3"/>
      <c r="AA760" s="3"/>
      <c r="AB760" s="3"/>
      <c r="AC760" s="3"/>
      <c r="AD760" s="3"/>
      <c r="AE760" s="3"/>
      <c r="AF760" s="3"/>
      <c r="AG760" s="3"/>
      <c r="AH760" s="3"/>
      <c r="AI760" s="3"/>
      <c r="AJ760" s="3"/>
      <c r="AK760" s="3"/>
      <c r="AL760" s="3"/>
    </row>
    <row r="761" ht="15.75" customHeight="1">
      <c r="A761" s="45"/>
      <c r="B761" s="2"/>
      <c r="C761" s="667"/>
      <c r="D761" s="2"/>
      <c r="E761" s="668"/>
      <c r="F761" s="2"/>
      <c r="G761" s="2"/>
      <c r="H761" s="2"/>
      <c r="I761" s="2"/>
      <c r="J761" s="2"/>
      <c r="K761" s="2"/>
      <c r="L761" s="2"/>
      <c r="M761" s="2"/>
      <c r="N761" s="667"/>
      <c r="O761" s="2"/>
      <c r="P761" s="2"/>
      <c r="Q761" s="2"/>
      <c r="R761" s="3"/>
      <c r="S761" s="3"/>
      <c r="T761" s="3"/>
      <c r="U761" s="3"/>
      <c r="V761" s="3"/>
      <c r="W761" s="3"/>
      <c r="X761" s="3"/>
      <c r="Y761" s="3"/>
      <c r="Z761" s="3"/>
      <c r="AA761" s="3"/>
      <c r="AB761" s="3"/>
      <c r="AC761" s="3"/>
      <c r="AD761" s="3"/>
      <c r="AE761" s="3"/>
      <c r="AF761" s="3"/>
      <c r="AG761" s="3"/>
      <c r="AH761" s="3"/>
      <c r="AI761" s="3"/>
      <c r="AJ761" s="3"/>
      <c r="AK761" s="3"/>
      <c r="AL761" s="3"/>
    </row>
    <row r="762" ht="15.75" customHeight="1">
      <c r="A762" s="45"/>
      <c r="B762" s="2"/>
      <c r="C762" s="667"/>
      <c r="D762" s="2"/>
      <c r="E762" s="668"/>
      <c r="F762" s="2"/>
      <c r="G762" s="2"/>
      <c r="H762" s="2"/>
      <c r="I762" s="2"/>
      <c r="J762" s="2"/>
      <c r="K762" s="2"/>
      <c r="L762" s="2"/>
      <c r="M762" s="2"/>
      <c r="N762" s="667"/>
      <c r="O762" s="2"/>
      <c r="P762" s="2"/>
      <c r="Q762" s="2"/>
      <c r="R762" s="3"/>
      <c r="S762" s="3"/>
      <c r="T762" s="3"/>
      <c r="U762" s="3"/>
      <c r="V762" s="3"/>
      <c r="W762" s="3"/>
      <c r="X762" s="3"/>
      <c r="Y762" s="3"/>
      <c r="Z762" s="3"/>
      <c r="AA762" s="3"/>
      <c r="AB762" s="3"/>
      <c r="AC762" s="3"/>
      <c r="AD762" s="3"/>
      <c r="AE762" s="3"/>
      <c r="AF762" s="3"/>
      <c r="AG762" s="3"/>
      <c r="AH762" s="3"/>
      <c r="AI762" s="3"/>
      <c r="AJ762" s="3"/>
      <c r="AK762" s="3"/>
      <c r="AL762" s="3"/>
    </row>
    <row r="763" ht="15.75" customHeight="1">
      <c r="A763" s="45"/>
      <c r="B763" s="2"/>
      <c r="C763" s="667"/>
      <c r="D763" s="2"/>
      <c r="E763" s="668"/>
      <c r="F763" s="2"/>
      <c r="G763" s="2"/>
      <c r="H763" s="2"/>
      <c r="I763" s="2"/>
      <c r="J763" s="2"/>
      <c r="K763" s="2"/>
      <c r="L763" s="2"/>
      <c r="M763" s="2"/>
      <c r="N763" s="667"/>
      <c r="O763" s="2"/>
      <c r="P763" s="2"/>
      <c r="Q763" s="2"/>
      <c r="R763" s="3"/>
      <c r="S763" s="3"/>
      <c r="T763" s="3"/>
      <c r="U763" s="3"/>
      <c r="V763" s="3"/>
      <c r="W763" s="3"/>
      <c r="X763" s="3"/>
      <c r="Y763" s="3"/>
      <c r="Z763" s="3"/>
      <c r="AA763" s="3"/>
      <c r="AB763" s="3"/>
      <c r="AC763" s="3"/>
      <c r="AD763" s="3"/>
      <c r="AE763" s="3"/>
      <c r="AF763" s="3"/>
      <c r="AG763" s="3"/>
      <c r="AH763" s="3"/>
      <c r="AI763" s="3"/>
      <c r="AJ763" s="3"/>
      <c r="AK763" s="3"/>
      <c r="AL763" s="3"/>
    </row>
    <row r="764" ht="15.75" customHeight="1">
      <c r="A764" s="45"/>
      <c r="B764" s="2"/>
      <c r="C764" s="667"/>
      <c r="D764" s="2"/>
      <c r="E764" s="668"/>
      <c r="F764" s="2"/>
      <c r="G764" s="2"/>
      <c r="H764" s="2"/>
      <c r="I764" s="2"/>
      <c r="J764" s="2"/>
      <c r="K764" s="2"/>
      <c r="L764" s="2"/>
      <c r="M764" s="2"/>
      <c r="N764" s="667"/>
      <c r="O764" s="2"/>
      <c r="P764" s="2"/>
      <c r="Q764" s="2"/>
      <c r="R764" s="3"/>
      <c r="S764" s="3"/>
      <c r="T764" s="3"/>
      <c r="U764" s="3"/>
      <c r="V764" s="3"/>
      <c r="W764" s="3"/>
      <c r="X764" s="3"/>
      <c r="Y764" s="3"/>
      <c r="Z764" s="3"/>
      <c r="AA764" s="3"/>
      <c r="AB764" s="3"/>
      <c r="AC764" s="3"/>
      <c r="AD764" s="3"/>
      <c r="AE764" s="3"/>
      <c r="AF764" s="3"/>
      <c r="AG764" s="3"/>
      <c r="AH764" s="3"/>
      <c r="AI764" s="3"/>
      <c r="AJ764" s="3"/>
      <c r="AK764" s="3"/>
      <c r="AL764" s="3"/>
    </row>
    <row r="765" ht="15.75" customHeight="1">
      <c r="A765" s="45"/>
      <c r="B765" s="2"/>
      <c r="C765" s="667"/>
      <c r="D765" s="2"/>
      <c r="E765" s="668"/>
      <c r="F765" s="2"/>
      <c r="G765" s="2"/>
      <c r="H765" s="2"/>
      <c r="I765" s="2"/>
      <c r="J765" s="2"/>
      <c r="K765" s="2"/>
      <c r="L765" s="2"/>
      <c r="M765" s="2"/>
      <c r="N765" s="667"/>
      <c r="O765" s="2"/>
      <c r="P765" s="2"/>
      <c r="Q765" s="2"/>
      <c r="R765" s="3"/>
      <c r="S765" s="3"/>
      <c r="T765" s="3"/>
      <c r="U765" s="3"/>
      <c r="V765" s="3"/>
      <c r="W765" s="3"/>
      <c r="X765" s="3"/>
      <c r="Y765" s="3"/>
      <c r="Z765" s="3"/>
      <c r="AA765" s="3"/>
      <c r="AB765" s="3"/>
      <c r="AC765" s="3"/>
      <c r="AD765" s="3"/>
      <c r="AE765" s="3"/>
      <c r="AF765" s="3"/>
      <c r="AG765" s="3"/>
      <c r="AH765" s="3"/>
      <c r="AI765" s="3"/>
      <c r="AJ765" s="3"/>
      <c r="AK765" s="3"/>
      <c r="AL765" s="3"/>
    </row>
    <row r="766" ht="15.75" customHeight="1">
      <c r="A766" s="45"/>
      <c r="B766" s="2"/>
      <c r="C766" s="667"/>
      <c r="D766" s="2"/>
      <c r="E766" s="668"/>
      <c r="F766" s="2"/>
      <c r="G766" s="2"/>
      <c r="H766" s="2"/>
      <c r="I766" s="2"/>
      <c r="J766" s="2"/>
      <c r="K766" s="2"/>
      <c r="L766" s="2"/>
      <c r="M766" s="2"/>
      <c r="N766" s="667"/>
      <c r="O766" s="2"/>
      <c r="P766" s="2"/>
      <c r="Q766" s="2"/>
      <c r="R766" s="3"/>
      <c r="S766" s="3"/>
      <c r="T766" s="3"/>
      <c r="U766" s="3"/>
      <c r="V766" s="3"/>
      <c r="W766" s="3"/>
      <c r="X766" s="3"/>
      <c r="Y766" s="3"/>
      <c r="Z766" s="3"/>
      <c r="AA766" s="3"/>
      <c r="AB766" s="3"/>
      <c r="AC766" s="3"/>
      <c r="AD766" s="3"/>
      <c r="AE766" s="3"/>
      <c r="AF766" s="3"/>
      <c r="AG766" s="3"/>
      <c r="AH766" s="3"/>
      <c r="AI766" s="3"/>
      <c r="AJ766" s="3"/>
      <c r="AK766" s="3"/>
      <c r="AL766" s="3"/>
    </row>
    <row r="767" ht="15.75" customHeight="1">
      <c r="A767" s="45"/>
      <c r="B767" s="2"/>
      <c r="C767" s="667"/>
      <c r="D767" s="2"/>
      <c r="E767" s="668"/>
      <c r="F767" s="2"/>
      <c r="G767" s="2"/>
      <c r="H767" s="2"/>
      <c r="I767" s="2"/>
      <c r="J767" s="2"/>
      <c r="K767" s="2"/>
      <c r="L767" s="2"/>
      <c r="M767" s="2"/>
      <c r="N767" s="667"/>
      <c r="O767" s="2"/>
      <c r="P767" s="2"/>
      <c r="Q767" s="2"/>
      <c r="R767" s="3"/>
      <c r="S767" s="3"/>
      <c r="T767" s="3"/>
      <c r="U767" s="3"/>
      <c r="V767" s="3"/>
      <c r="W767" s="3"/>
      <c r="X767" s="3"/>
      <c r="Y767" s="3"/>
      <c r="Z767" s="3"/>
      <c r="AA767" s="3"/>
      <c r="AB767" s="3"/>
      <c r="AC767" s="3"/>
      <c r="AD767" s="3"/>
      <c r="AE767" s="3"/>
      <c r="AF767" s="3"/>
      <c r="AG767" s="3"/>
      <c r="AH767" s="3"/>
      <c r="AI767" s="3"/>
      <c r="AJ767" s="3"/>
      <c r="AK767" s="3"/>
      <c r="AL767" s="3"/>
    </row>
    <row r="768" ht="15.75" customHeight="1">
      <c r="A768" s="45"/>
      <c r="B768" s="2"/>
      <c r="C768" s="667"/>
      <c r="D768" s="2"/>
      <c r="E768" s="668"/>
      <c r="F768" s="2"/>
      <c r="G768" s="2"/>
      <c r="H768" s="2"/>
      <c r="I768" s="2"/>
      <c r="J768" s="2"/>
      <c r="K768" s="2"/>
      <c r="L768" s="2"/>
      <c r="M768" s="2"/>
      <c r="N768" s="667"/>
      <c r="O768" s="2"/>
      <c r="P768" s="2"/>
      <c r="Q768" s="2"/>
      <c r="R768" s="3"/>
      <c r="S768" s="3"/>
      <c r="T768" s="3"/>
      <c r="U768" s="3"/>
      <c r="V768" s="3"/>
      <c r="W768" s="3"/>
      <c r="X768" s="3"/>
      <c r="Y768" s="3"/>
      <c r="Z768" s="3"/>
      <c r="AA768" s="3"/>
      <c r="AB768" s="3"/>
      <c r="AC768" s="3"/>
      <c r="AD768" s="3"/>
      <c r="AE768" s="3"/>
      <c r="AF768" s="3"/>
      <c r="AG768" s="3"/>
      <c r="AH768" s="3"/>
      <c r="AI768" s="3"/>
      <c r="AJ768" s="3"/>
      <c r="AK768" s="3"/>
      <c r="AL768" s="3"/>
    </row>
    <row r="769" ht="15.75" customHeight="1">
      <c r="A769" s="45"/>
      <c r="B769" s="2"/>
      <c r="C769" s="667"/>
      <c r="D769" s="2"/>
      <c r="E769" s="668"/>
      <c r="F769" s="2"/>
      <c r="G769" s="2"/>
      <c r="H769" s="2"/>
      <c r="I769" s="2"/>
      <c r="J769" s="2"/>
      <c r="K769" s="2"/>
      <c r="L769" s="2"/>
      <c r="M769" s="2"/>
      <c r="N769" s="667"/>
      <c r="O769" s="2"/>
      <c r="P769" s="2"/>
      <c r="Q769" s="2"/>
      <c r="R769" s="3"/>
      <c r="S769" s="3"/>
      <c r="T769" s="3"/>
      <c r="U769" s="3"/>
      <c r="V769" s="3"/>
      <c r="W769" s="3"/>
      <c r="X769" s="3"/>
      <c r="Y769" s="3"/>
      <c r="Z769" s="3"/>
      <c r="AA769" s="3"/>
      <c r="AB769" s="3"/>
      <c r="AC769" s="3"/>
      <c r="AD769" s="3"/>
      <c r="AE769" s="3"/>
      <c r="AF769" s="3"/>
      <c r="AG769" s="3"/>
      <c r="AH769" s="3"/>
      <c r="AI769" s="3"/>
      <c r="AJ769" s="3"/>
      <c r="AK769" s="3"/>
      <c r="AL769" s="3"/>
    </row>
    <row r="770" ht="15.75" customHeight="1">
      <c r="A770" s="45"/>
      <c r="B770" s="2"/>
      <c r="C770" s="667"/>
      <c r="D770" s="2"/>
      <c r="E770" s="668"/>
      <c r="F770" s="2"/>
      <c r="G770" s="2"/>
      <c r="H770" s="2"/>
      <c r="I770" s="2"/>
      <c r="J770" s="2"/>
      <c r="K770" s="2"/>
      <c r="L770" s="2"/>
      <c r="M770" s="2"/>
      <c r="N770" s="667"/>
      <c r="O770" s="2"/>
      <c r="P770" s="2"/>
      <c r="Q770" s="2"/>
      <c r="R770" s="3"/>
      <c r="S770" s="3"/>
      <c r="T770" s="3"/>
      <c r="U770" s="3"/>
      <c r="V770" s="3"/>
      <c r="W770" s="3"/>
      <c r="X770" s="3"/>
      <c r="Y770" s="3"/>
      <c r="Z770" s="3"/>
      <c r="AA770" s="3"/>
      <c r="AB770" s="3"/>
      <c r="AC770" s="3"/>
      <c r="AD770" s="3"/>
      <c r="AE770" s="3"/>
      <c r="AF770" s="3"/>
      <c r="AG770" s="3"/>
      <c r="AH770" s="3"/>
      <c r="AI770" s="3"/>
      <c r="AJ770" s="3"/>
      <c r="AK770" s="3"/>
      <c r="AL770" s="3"/>
    </row>
    <row r="771" ht="15.75" customHeight="1">
      <c r="A771" s="45"/>
      <c r="B771" s="2"/>
      <c r="C771" s="667"/>
      <c r="D771" s="2"/>
      <c r="E771" s="668"/>
      <c r="F771" s="2"/>
      <c r="G771" s="2"/>
      <c r="H771" s="2"/>
      <c r="I771" s="2"/>
      <c r="J771" s="2"/>
      <c r="K771" s="2"/>
      <c r="L771" s="2"/>
      <c r="M771" s="2"/>
      <c r="N771" s="667"/>
      <c r="O771" s="2"/>
      <c r="P771" s="2"/>
      <c r="Q771" s="2"/>
      <c r="R771" s="3"/>
      <c r="S771" s="3"/>
      <c r="T771" s="3"/>
      <c r="U771" s="3"/>
      <c r="V771" s="3"/>
      <c r="W771" s="3"/>
      <c r="X771" s="3"/>
      <c r="Y771" s="3"/>
      <c r="Z771" s="3"/>
      <c r="AA771" s="3"/>
      <c r="AB771" s="3"/>
      <c r="AC771" s="3"/>
      <c r="AD771" s="3"/>
      <c r="AE771" s="3"/>
      <c r="AF771" s="3"/>
      <c r="AG771" s="3"/>
      <c r="AH771" s="3"/>
      <c r="AI771" s="3"/>
      <c r="AJ771" s="3"/>
      <c r="AK771" s="3"/>
      <c r="AL771" s="3"/>
    </row>
    <row r="772" ht="15.75" customHeight="1">
      <c r="A772" s="45"/>
      <c r="B772" s="2"/>
      <c r="C772" s="667"/>
      <c r="D772" s="2"/>
      <c r="E772" s="668"/>
      <c r="F772" s="2"/>
      <c r="G772" s="2"/>
      <c r="H772" s="2"/>
      <c r="I772" s="2"/>
      <c r="J772" s="2"/>
      <c r="K772" s="2"/>
      <c r="L772" s="2"/>
      <c r="M772" s="2"/>
      <c r="N772" s="667"/>
      <c r="O772" s="2"/>
      <c r="P772" s="2"/>
      <c r="Q772" s="2"/>
      <c r="R772" s="3"/>
      <c r="S772" s="3"/>
      <c r="T772" s="3"/>
      <c r="U772" s="3"/>
      <c r="V772" s="3"/>
      <c r="W772" s="3"/>
      <c r="X772" s="3"/>
      <c r="Y772" s="3"/>
      <c r="Z772" s="3"/>
      <c r="AA772" s="3"/>
      <c r="AB772" s="3"/>
      <c r="AC772" s="3"/>
      <c r="AD772" s="3"/>
      <c r="AE772" s="3"/>
      <c r="AF772" s="3"/>
      <c r="AG772" s="3"/>
      <c r="AH772" s="3"/>
      <c r="AI772" s="3"/>
      <c r="AJ772" s="3"/>
      <c r="AK772" s="3"/>
      <c r="AL772" s="3"/>
    </row>
    <row r="773" ht="15.75" customHeight="1">
      <c r="A773" s="45"/>
      <c r="B773" s="2"/>
      <c r="C773" s="667"/>
      <c r="D773" s="2"/>
      <c r="E773" s="668"/>
      <c r="F773" s="2"/>
      <c r="G773" s="2"/>
      <c r="H773" s="2"/>
      <c r="I773" s="2"/>
      <c r="J773" s="2"/>
      <c r="K773" s="2"/>
      <c r="L773" s="2"/>
      <c r="M773" s="2"/>
      <c r="N773" s="667"/>
      <c r="O773" s="2"/>
      <c r="P773" s="2"/>
      <c r="Q773" s="2"/>
      <c r="R773" s="3"/>
      <c r="S773" s="3"/>
      <c r="T773" s="3"/>
      <c r="U773" s="3"/>
      <c r="V773" s="3"/>
      <c r="W773" s="3"/>
      <c r="X773" s="3"/>
      <c r="Y773" s="3"/>
      <c r="Z773" s="3"/>
      <c r="AA773" s="3"/>
      <c r="AB773" s="3"/>
      <c r="AC773" s="3"/>
      <c r="AD773" s="3"/>
      <c r="AE773" s="3"/>
      <c r="AF773" s="3"/>
      <c r="AG773" s="3"/>
      <c r="AH773" s="3"/>
      <c r="AI773" s="3"/>
      <c r="AJ773" s="3"/>
      <c r="AK773" s="3"/>
      <c r="AL773" s="3"/>
    </row>
    <row r="774" ht="15.75" customHeight="1">
      <c r="A774" s="45"/>
      <c r="B774" s="2"/>
      <c r="C774" s="667"/>
      <c r="D774" s="2"/>
      <c r="E774" s="668"/>
      <c r="F774" s="2"/>
      <c r="G774" s="2"/>
      <c r="H774" s="2"/>
      <c r="I774" s="2"/>
      <c r="J774" s="2"/>
      <c r="K774" s="2"/>
      <c r="L774" s="2"/>
      <c r="M774" s="2"/>
      <c r="N774" s="667"/>
      <c r="O774" s="2"/>
      <c r="P774" s="2"/>
      <c r="Q774" s="2"/>
      <c r="R774" s="3"/>
      <c r="S774" s="3"/>
      <c r="T774" s="3"/>
      <c r="U774" s="3"/>
      <c r="V774" s="3"/>
      <c r="W774" s="3"/>
      <c r="X774" s="3"/>
      <c r="Y774" s="3"/>
      <c r="Z774" s="3"/>
      <c r="AA774" s="3"/>
      <c r="AB774" s="3"/>
      <c r="AC774" s="3"/>
      <c r="AD774" s="3"/>
      <c r="AE774" s="3"/>
      <c r="AF774" s="3"/>
      <c r="AG774" s="3"/>
      <c r="AH774" s="3"/>
      <c r="AI774" s="3"/>
      <c r="AJ774" s="3"/>
      <c r="AK774" s="3"/>
      <c r="AL774" s="3"/>
    </row>
    <row r="775" ht="15.75" customHeight="1">
      <c r="A775" s="45"/>
      <c r="B775" s="2"/>
      <c r="C775" s="667"/>
      <c r="D775" s="2"/>
      <c r="E775" s="668"/>
      <c r="F775" s="2"/>
      <c r="G775" s="2"/>
      <c r="H775" s="2"/>
      <c r="I775" s="2"/>
      <c r="J775" s="2"/>
      <c r="K775" s="2"/>
      <c r="L775" s="2"/>
      <c r="M775" s="2"/>
      <c r="N775" s="667"/>
      <c r="O775" s="2"/>
      <c r="P775" s="2"/>
      <c r="Q775" s="2"/>
      <c r="R775" s="3"/>
      <c r="S775" s="3"/>
      <c r="T775" s="3"/>
      <c r="U775" s="3"/>
      <c r="V775" s="3"/>
      <c r="W775" s="3"/>
      <c r="X775" s="3"/>
      <c r="Y775" s="3"/>
      <c r="Z775" s="3"/>
      <c r="AA775" s="3"/>
      <c r="AB775" s="3"/>
      <c r="AC775" s="3"/>
      <c r="AD775" s="3"/>
      <c r="AE775" s="3"/>
      <c r="AF775" s="3"/>
      <c r="AG775" s="3"/>
      <c r="AH775" s="3"/>
      <c r="AI775" s="3"/>
      <c r="AJ775" s="3"/>
      <c r="AK775" s="3"/>
      <c r="AL775" s="3"/>
    </row>
    <row r="776" ht="15.75" customHeight="1">
      <c r="A776" s="45"/>
      <c r="B776" s="2"/>
      <c r="C776" s="667"/>
      <c r="D776" s="2"/>
      <c r="E776" s="668"/>
      <c r="F776" s="2"/>
      <c r="G776" s="2"/>
      <c r="H776" s="2"/>
      <c r="I776" s="2"/>
      <c r="J776" s="2"/>
      <c r="K776" s="2"/>
      <c r="L776" s="2"/>
      <c r="M776" s="2"/>
      <c r="N776" s="667"/>
      <c r="O776" s="2"/>
      <c r="P776" s="2"/>
      <c r="Q776" s="2"/>
      <c r="R776" s="3"/>
      <c r="S776" s="3"/>
      <c r="T776" s="3"/>
      <c r="U776" s="3"/>
      <c r="V776" s="3"/>
      <c r="W776" s="3"/>
      <c r="X776" s="3"/>
      <c r="Y776" s="3"/>
      <c r="Z776" s="3"/>
      <c r="AA776" s="3"/>
      <c r="AB776" s="3"/>
      <c r="AC776" s="3"/>
      <c r="AD776" s="3"/>
      <c r="AE776" s="3"/>
      <c r="AF776" s="3"/>
      <c r="AG776" s="3"/>
      <c r="AH776" s="3"/>
      <c r="AI776" s="3"/>
      <c r="AJ776" s="3"/>
      <c r="AK776" s="3"/>
      <c r="AL776" s="3"/>
    </row>
    <row r="777" ht="15.75" customHeight="1">
      <c r="A777" s="45"/>
      <c r="B777" s="2"/>
      <c r="C777" s="667"/>
      <c r="D777" s="2"/>
      <c r="E777" s="668"/>
      <c r="F777" s="2"/>
      <c r="G777" s="2"/>
      <c r="H777" s="2"/>
      <c r="I777" s="2"/>
      <c r="J777" s="2"/>
      <c r="K777" s="2"/>
      <c r="L777" s="2"/>
      <c r="M777" s="2"/>
      <c r="N777" s="667"/>
      <c r="O777" s="2"/>
      <c r="P777" s="2"/>
      <c r="Q777" s="2"/>
      <c r="R777" s="3"/>
      <c r="S777" s="3"/>
      <c r="T777" s="3"/>
      <c r="U777" s="3"/>
      <c r="V777" s="3"/>
      <c r="W777" s="3"/>
      <c r="X777" s="3"/>
      <c r="Y777" s="3"/>
      <c r="Z777" s="3"/>
      <c r="AA777" s="3"/>
      <c r="AB777" s="3"/>
      <c r="AC777" s="3"/>
      <c r="AD777" s="3"/>
      <c r="AE777" s="3"/>
      <c r="AF777" s="3"/>
      <c r="AG777" s="3"/>
      <c r="AH777" s="3"/>
      <c r="AI777" s="3"/>
      <c r="AJ777" s="3"/>
      <c r="AK777" s="3"/>
      <c r="AL777" s="3"/>
    </row>
    <row r="778" ht="15.75" customHeight="1">
      <c r="A778" s="45"/>
      <c r="B778" s="2"/>
      <c r="C778" s="667"/>
      <c r="D778" s="2"/>
      <c r="E778" s="668"/>
      <c r="F778" s="2"/>
      <c r="G778" s="2"/>
      <c r="H778" s="2"/>
      <c r="I778" s="2"/>
      <c r="J778" s="2"/>
      <c r="K778" s="2"/>
      <c r="L778" s="2"/>
      <c r="M778" s="2"/>
      <c r="N778" s="667"/>
      <c r="O778" s="2"/>
      <c r="P778" s="2"/>
      <c r="Q778" s="2"/>
      <c r="R778" s="3"/>
      <c r="S778" s="3"/>
      <c r="T778" s="3"/>
      <c r="U778" s="3"/>
      <c r="V778" s="3"/>
      <c r="W778" s="3"/>
      <c r="X778" s="3"/>
      <c r="Y778" s="3"/>
      <c r="Z778" s="3"/>
      <c r="AA778" s="3"/>
      <c r="AB778" s="3"/>
      <c r="AC778" s="3"/>
      <c r="AD778" s="3"/>
      <c r="AE778" s="3"/>
      <c r="AF778" s="3"/>
      <c r="AG778" s="3"/>
      <c r="AH778" s="3"/>
      <c r="AI778" s="3"/>
      <c r="AJ778" s="3"/>
      <c r="AK778" s="3"/>
      <c r="AL778" s="3"/>
    </row>
    <row r="779" ht="15.75" customHeight="1">
      <c r="A779" s="45"/>
      <c r="B779" s="2"/>
      <c r="C779" s="667"/>
      <c r="D779" s="2"/>
      <c r="E779" s="668"/>
      <c r="F779" s="2"/>
      <c r="G779" s="2"/>
      <c r="H779" s="2"/>
      <c r="I779" s="2"/>
      <c r="J779" s="2"/>
      <c r="K779" s="2"/>
      <c r="L779" s="2"/>
      <c r="M779" s="2"/>
      <c r="N779" s="667"/>
      <c r="O779" s="2"/>
      <c r="P779" s="2"/>
      <c r="Q779" s="2"/>
      <c r="R779" s="3"/>
      <c r="S779" s="3"/>
      <c r="T779" s="3"/>
      <c r="U779" s="3"/>
      <c r="V779" s="3"/>
      <c r="W779" s="3"/>
      <c r="X779" s="3"/>
      <c r="Y779" s="3"/>
      <c r="Z779" s="3"/>
      <c r="AA779" s="3"/>
      <c r="AB779" s="3"/>
      <c r="AC779" s="3"/>
      <c r="AD779" s="3"/>
      <c r="AE779" s="3"/>
      <c r="AF779" s="3"/>
      <c r="AG779" s="3"/>
      <c r="AH779" s="3"/>
      <c r="AI779" s="3"/>
      <c r="AJ779" s="3"/>
      <c r="AK779" s="3"/>
      <c r="AL779" s="3"/>
    </row>
    <row r="780" ht="15.75" customHeight="1">
      <c r="A780" s="45"/>
      <c r="B780" s="2"/>
      <c r="C780" s="667"/>
      <c r="D780" s="2"/>
      <c r="E780" s="668"/>
      <c r="F780" s="2"/>
      <c r="G780" s="2"/>
      <c r="H780" s="2"/>
      <c r="I780" s="2"/>
      <c r="J780" s="2"/>
      <c r="K780" s="2"/>
      <c r="L780" s="2"/>
      <c r="M780" s="2"/>
      <c r="N780" s="667"/>
      <c r="O780" s="2"/>
      <c r="P780" s="2"/>
      <c r="Q780" s="2"/>
      <c r="R780" s="3"/>
      <c r="S780" s="3"/>
      <c r="T780" s="3"/>
      <c r="U780" s="3"/>
      <c r="V780" s="3"/>
      <c r="W780" s="3"/>
      <c r="X780" s="3"/>
      <c r="Y780" s="3"/>
      <c r="Z780" s="3"/>
      <c r="AA780" s="3"/>
      <c r="AB780" s="3"/>
      <c r="AC780" s="3"/>
      <c r="AD780" s="3"/>
      <c r="AE780" s="3"/>
      <c r="AF780" s="3"/>
      <c r="AG780" s="3"/>
      <c r="AH780" s="3"/>
      <c r="AI780" s="3"/>
      <c r="AJ780" s="3"/>
      <c r="AK780" s="3"/>
      <c r="AL780" s="3"/>
    </row>
    <row r="781" ht="15.75" customHeight="1">
      <c r="A781" s="45"/>
      <c r="B781" s="2"/>
      <c r="C781" s="667"/>
      <c r="D781" s="2"/>
      <c r="E781" s="668"/>
      <c r="F781" s="2"/>
      <c r="G781" s="2"/>
      <c r="H781" s="2"/>
      <c r="I781" s="2"/>
      <c r="J781" s="2"/>
      <c r="K781" s="2"/>
      <c r="L781" s="2"/>
      <c r="M781" s="2"/>
      <c r="N781" s="667"/>
      <c r="O781" s="2"/>
      <c r="P781" s="2"/>
      <c r="Q781" s="2"/>
      <c r="R781" s="3"/>
      <c r="S781" s="3"/>
      <c r="T781" s="3"/>
      <c r="U781" s="3"/>
      <c r="V781" s="3"/>
      <c r="W781" s="3"/>
      <c r="X781" s="3"/>
      <c r="Y781" s="3"/>
      <c r="Z781" s="3"/>
      <c r="AA781" s="3"/>
      <c r="AB781" s="3"/>
      <c r="AC781" s="3"/>
      <c r="AD781" s="3"/>
      <c r="AE781" s="3"/>
      <c r="AF781" s="3"/>
      <c r="AG781" s="3"/>
      <c r="AH781" s="3"/>
      <c r="AI781" s="3"/>
      <c r="AJ781" s="3"/>
      <c r="AK781" s="3"/>
      <c r="AL781" s="3"/>
    </row>
    <row r="782" ht="15.75" customHeight="1">
      <c r="A782" s="45"/>
      <c r="B782" s="2"/>
      <c r="C782" s="667"/>
      <c r="D782" s="2"/>
      <c r="E782" s="668"/>
      <c r="F782" s="2"/>
      <c r="G782" s="2"/>
      <c r="H782" s="2"/>
      <c r="I782" s="2"/>
      <c r="J782" s="2"/>
      <c r="K782" s="2"/>
      <c r="L782" s="2"/>
      <c r="M782" s="2"/>
      <c r="N782" s="667"/>
      <c r="O782" s="2"/>
      <c r="P782" s="2"/>
      <c r="Q782" s="2"/>
      <c r="R782" s="3"/>
      <c r="S782" s="3"/>
      <c r="T782" s="3"/>
      <c r="U782" s="3"/>
      <c r="V782" s="3"/>
      <c r="W782" s="3"/>
      <c r="X782" s="3"/>
      <c r="Y782" s="3"/>
      <c r="Z782" s="3"/>
      <c r="AA782" s="3"/>
      <c r="AB782" s="3"/>
      <c r="AC782" s="3"/>
      <c r="AD782" s="3"/>
      <c r="AE782" s="3"/>
      <c r="AF782" s="3"/>
      <c r="AG782" s="3"/>
      <c r="AH782" s="3"/>
      <c r="AI782" s="3"/>
      <c r="AJ782" s="3"/>
      <c r="AK782" s="3"/>
      <c r="AL782" s="3"/>
    </row>
    <row r="783" ht="15.75" customHeight="1">
      <c r="A783" s="45"/>
      <c r="B783" s="2"/>
      <c r="C783" s="667"/>
      <c r="D783" s="2"/>
      <c r="E783" s="668"/>
      <c r="F783" s="2"/>
      <c r="G783" s="2"/>
      <c r="H783" s="2"/>
      <c r="I783" s="2"/>
      <c r="J783" s="2"/>
      <c r="K783" s="2"/>
      <c r="L783" s="2"/>
      <c r="M783" s="2"/>
      <c r="N783" s="667"/>
      <c r="O783" s="2"/>
      <c r="P783" s="2"/>
      <c r="Q783" s="2"/>
      <c r="R783" s="3"/>
      <c r="S783" s="3"/>
      <c r="T783" s="3"/>
      <c r="U783" s="3"/>
      <c r="V783" s="3"/>
      <c r="W783" s="3"/>
      <c r="X783" s="3"/>
      <c r="Y783" s="3"/>
      <c r="Z783" s="3"/>
      <c r="AA783" s="3"/>
      <c r="AB783" s="3"/>
      <c r="AC783" s="3"/>
      <c r="AD783" s="3"/>
      <c r="AE783" s="3"/>
      <c r="AF783" s="3"/>
      <c r="AG783" s="3"/>
      <c r="AH783" s="3"/>
      <c r="AI783" s="3"/>
      <c r="AJ783" s="3"/>
      <c r="AK783" s="3"/>
      <c r="AL783" s="3"/>
    </row>
    <row r="784" ht="15.75" customHeight="1">
      <c r="A784" s="45"/>
      <c r="B784" s="2"/>
      <c r="C784" s="667"/>
      <c r="D784" s="2"/>
      <c r="E784" s="668"/>
      <c r="F784" s="2"/>
      <c r="G784" s="2"/>
      <c r="H784" s="2"/>
      <c r="I784" s="2"/>
      <c r="J784" s="2"/>
      <c r="K784" s="2"/>
      <c r="L784" s="2"/>
      <c r="M784" s="2"/>
      <c r="N784" s="667"/>
      <c r="O784" s="2"/>
      <c r="P784" s="2"/>
      <c r="Q784" s="2"/>
      <c r="R784" s="3"/>
      <c r="S784" s="3"/>
      <c r="T784" s="3"/>
      <c r="U784" s="3"/>
      <c r="V784" s="3"/>
      <c r="W784" s="3"/>
      <c r="X784" s="3"/>
      <c r="Y784" s="3"/>
      <c r="Z784" s="3"/>
      <c r="AA784" s="3"/>
      <c r="AB784" s="3"/>
      <c r="AC784" s="3"/>
      <c r="AD784" s="3"/>
      <c r="AE784" s="3"/>
      <c r="AF784" s="3"/>
      <c r="AG784" s="3"/>
      <c r="AH784" s="3"/>
      <c r="AI784" s="3"/>
      <c r="AJ784" s="3"/>
      <c r="AK784" s="3"/>
      <c r="AL784" s="3"/>
    </row>
    <row r="785" ht="15.75" customHeight="1">
      <c r="A785" s="45"/>
      <c r="B785" s="2"/>
      <c r="C785" s="667"/>
      <c r="D785" s="2"/>
      <c r="E785" s="668"/>
      <c r="F785" s="2"/>
      <c r="G785" s="2"/>
      <c r="H785" s="2"/>
      <c r="I785" s="2"/>
      <c r="J785" s="2"/>
      <c r="K785" s="2"/>
      <c r="L785" s="2"/>
      <c r="M785" s="2"/>
      <c r="N785" s="667"/>
      <c r="O785" s="2"/>
      <c r="P785" s="2"/>
      <c r="Q785" s="2"/>
      <c r="R785" s="3"/>
      <c r="S785" s="3"/>
      <c r="T785" s="3"/>
      <c r="U785" s="3"/>
      <c r="V785" s="3"/>
      <c r="W785" s="3"/>
      <c r="X785" s="3"/>
      <c r="Y785" s="3"/>
      <c r="Z785" s="3"/>
      <c r="AA785" s="3"/>
      <c r="AB785" s="3"/>
      <c r="AC785" s="3"/>
      <c r="AD785" s="3"/>
      <c r="AE785" s="3"/>
      <c r="AF785" s="3"/>
      <c r="AG785" s="3"/>
      <c r="AH785" s="3"/>
      <c r="AI785" s="3"/>
      <c r="AJ785" s="3"/>
      <c r="AK785" s="3"/>
      <c r="AL785" s="3"/>
    </row>
    <row r="786" ht="15.75" customHeight="1">
      <c r="A786" s="45"/>
      <c r="B786" s="2"/>
      <c r="C786" s="667"/>
      <c r="D786" s="2"/>
      <c r="E786" s="668"/>
      <c r="F786" s="2"/>
      <c r="G786" s="2"/>
      <c r="H786" s="2"/>
      <c r="I786" s="2"/>
      <c r="J786" s="2"/>
      <c r="K786" s="2"/>
      <c r="L786" s="2"/>
      <c r="M786" s="2"/>
      <c r="N786" s="667"/>
      <c r="O786" s="2"/>
      <c r="P786" s="2"/>
      <c r="Q786" s="2"/>
      <c r="R786" s="3"/>
      <c r="S786" s="3"/>
      <c r="T786" s="3"/>
      <c r="U786" s="3"/>
      <c r="V786" s="3"/>
      <c r="W786" s="3"/>
      <c r="X786" s="3"/>
      <c r="Y786" s="3"/>
      <c r="Z786" s="3"/>
      <c r="AA786" s="3"/>
      <c r="AB786" s="3"/>
      <c r="AC786" s="3"/>
      <c r="AD786" s="3"/>
      <c r="AE786" s="3"/>
      <c r="AF786" s="3"/>
      <c r="AG786" s="3"/>
      <c r="AH786" s="3"/>
      <c r="AI786" s="3"/>
      <c r="AJ786" s="3"/>
      <c r="AK786" s="3"/>
      <c r="AL786" s="3"/>
    </row>
    <row r="787" ht="15.75" customHeight="1">
      <c r="A787" s="45"/>
      <c r="B787" s="2"/>
      <c r="C787" s="667"/>
      <c r="D787" s="2"/>
      <c r="E787" s="668"/>
      <c r="F787" s="2"/>
      <c r="G787" s="2"/>
      <c r="H787" s="2"/>
      <c r="I787" s="2"/>
      <c r="J787" s="2"/>
      <c r="K787" s="2"/>
      <c r="L787" s="2"/>
      <c r="M787" s="2"/>
      <c r="N787" s="667"/>
      <c r="O787" s="2"/>
      <c r="P787" s="2"/>
      <c r="Q787" s="2"/>
      <c r="R787" s="3"/>
      <c r="S787" s="3"/>
      <c r="T787" s="3"/>
      <c r="U787" s="3"/>
      <c r="V787" s="3"/>
      <c r="W787" s="3"/>
      <c r="X787" s="3"/>
      <c r="Y787" s="3"/>
      <c r="Z787" s="3"/>
      <c r="AA787" s="3"/>
      <c r="AB787" s="3"/>
      <c r="AC787" s="3"/>
      <c r="AD787" s="3"/>
      <c r="AE787" s="3"/>
      <c r="AF787" s="3"/>
      <c r="AG787" s="3"/>
      <c r="AH787" s="3"/>
      <c r="AI787" s="3"/>
      <c r="AJ787" s="3"/>
      <c r="AK787" s="3"/>
      <c r="AL787" s="3"/>
    </row>
    <row r="788" ht="15.75" customHeight="1">
      <c r="A788" s="45"/>
      <c r="B788" s="2"/>
      <c r="C788" s="667"/>
      <c r="D788" s="2"/>
      <c r="E788" s="668"/>
      <c r="F788" s="2"/>
      <c r="G788" s="2"/>
      <c r="H788" s="2"/>
      <c r="I788" s="2"/>
      <c r="J788" s="2"/>
      <c r="K788" s="2"/>
      <c r="L788" s="2"/>
      <c r="M788" s="2"/>
      <c r="N788" s="667"/>
      <c r="O788" s="2"/>
      <c r="P788" s="2"/>
      <c r="Q788" s="2"/>
      <c r="R788" s="3"/>
      <c r="S788" s="3"/>
      <c r="T788" s="3"/>
      <c r="U788" s="3"/>
      <c r="V788" s="3"/>
      <c r="W788" s="3"/>
      <c r="X788" s="3"/>
      <c r="Y788" s="3"/>
      <c r="Z788" s="3"/>
      <c r="AA788" s="3"/>
      <c r="AB788" s="3"/>
      <c r="AC788" s="3"/>
      <c r="AD788" s="3"/>
      <c r="AE788" s="3"/>
      <c r="AF788" s="3"/>
      <c r="AG788" s="3"/>
      <c r="AH788" s="3"/>
      <c r="AI788" s="3"/>
      <c r="AJ788" s="3"/>
      <c r="AK788" s="3"/>
      <c r="AL788" s="3"/>
    </row>
    <row r="789" ht="15.75" customHeight="1">
      <c r="A789" s="45"/>
      <c r="B789" s="2"/>
      <c r="C789" s="667"/>
      <c r="D789" s="2"/>
      <c r="E789" s="668"/>
      <c r="F789" s="2"/>
      <c r="G789" s="2"/>
      <c r="H789" s="2"/>
      <c r="I789" s="2"/>
      <c r="J789" s="2"/>
      <c r="K789" s="2"/>
      <c r="L789" s="2"/>
      <c r="M789" s="2"/>
      <c r="N789" s="667"/>
      <c r="O789" s="2"/>
      <c r="P789" s="2"/>
      <c r="Q789" s="2"/>
      <c r="R789" s="3"/>
      <c r="S789" s="3"/>
      <c r="T789" s="3"/>
      <c r="U789" s="3"/>
      <c r="V789" s="3"/>
      <c r="W789" s="3"/>
      <c r="X789" s="3"/>
      <c r="Y789" s="3"/>
      <c r="Z789" s="3"/>
      <c r="AA789" s="3"/>
      <c r="AB789" s="3"/>
      <c r="AC789" s="3"/>
      <c r="AD789" s="3"/>
      <c r="AE789" s="3"/>
      <c r="AF789" s="3"/>
      <c r="AG789" s="3"/>
      <c r="AH789" s="3"/>
      <c r="AI789" s="3"/>
      <c r="AJ789" s="3"/>
      <c r="AK789" s="3"/>
      <c r="AL789" s="3"/>
    </row>
    <row r="790" ht="15.75" customHeight="1">
      <c r="A790" s="45"/>
      <c r="B790" s="2"/>
      <c r="C790" s="667"/>
      <c r="D790" s="2"/>
      <c r="E790" s="668"/>
      <c r="F790" s="2"/>
      <c r="G790" s="2"/>
      <c r="H790" s="2"/>
      <c r="I790" s="2"/>
      <c r="J790" s="2"/>
      <c r="K790" s="2"/>
      <c r="L790" s="2"/>
      <c r="M790" s="2"/>
      <c r="N790" s="667"/>
      <c r="O790" s="2"/>
      <c r="P790" s="2"/>
      <c r="Q790" s="2"/>
      <c r="R790" s="3"/>
      <c r="S790" s="3"/>
      <c r="T790" s="3"/>
      <c r="U790" s="3"/>
      <c r="V790" s="3"/>
      <c r="W790" s="3"/>
      <c r="X790" s="3"/>
      <c r="Y790" s="3"/>
      <c r="Z790" s="3"/>
      <c r="AA790" s="3"/>
      <c r="AB790" s="3"/>
      <c r="AC790" s="3"/>
      <c r="AD790" s="3"/>
      <c r="AE790" s="3"/>
      <c r="AF790" s="3"/>
      <c r="AG790" s="3"/>
      <c r="AH790" s="3"/>
      <c r="AI790" s="3"/>
      <c r="AJ790" s="3"/>
      <c r="AK790" s="3"/>
      <c r="AL790" s="3"/>
    </row>
    <row r="791" ht="15.75" customHeight="1">
      <c r="A791" s="45"/>
      <c r="B791" s="2"/>
      <c r="C791" s="667"/>
      <c r="D791" s="2"/>
      <c r="E791" s="668"/>
      <c r="F791" s="2"/>
      <c r="G791" s="2"/>
      <c r="H791" s="2"/>
      <c r="I791" s="2"/>
      <c r="J791" s="2"/>
      <c r="K791" s="2"/>
      <c r="L791" s="2"/>
      <c r="M791" s="2"/>
      <c r="N791" s="667"/>
      <c r="O791" s="2"/>
      <c r="P791" s="2"/>
      <c r="Q791" s="2"/>
      <c r="R791" s="3"/>
      <c r="S791" s="3"/>
      <c r="T791" s="3"/>
      <c r="U791" s="3"/>
      <c r="V791" s="3"/>
      <c r="W791" s="3"/>
      <c r="X791" s="3"/>
      <c r="Y791" s="3"/>
      <c r="Z791" s="3"/>
      <c r="AA791" s="3"/>
      <c r="AB791" s="3"/>
      <c r="AC791" s="3"/>
      <c r="AD791" s="3"/>
      <c r="AE791" s="3"/>
      <c r="AF791" s="3"/>
      <c r="AG791" s="3"/>
      <c r="AH791" s="3"/>
      <c r="AI791" s="3"/>
      <c r="AJ791" s="3"/>
      <c r="AK791" s="3"/>
      <c r="AL791" s="3"/>
    </row>
    <row r="792" ht="15.75" customHeight="1">
      <c r="A792" s="45"/>
      <c r="B792" s="2"/>
      <c r="C792" s="667"/>
      <c r="D792" s="2"/>
      <c r="E792" s="668"/>
      <c r="F792" s="2"/>
      <c r="G792" s="2"/>
      <c r="H792" s="2"/>
      <c r="I792" s="2"/>
      <c r="J792" s="2"/>
      <c r="K792" s="2"/>
      <c r="L792" s="2"/>
      <c r="M792" s="2"/>
      <c r="N792" s="667"/>
      <c r="O792" s="2"/>
      <c r="P792" s="2"/>
      <c r="Q792" s="2"/>
      <c r="R792" s="3"/>
      <c r="S792" s="3"/>
      <c r="T792" s="3"/>
      <c r="U792" s="3"/>
      <c r="V792" s="3"/>
      <c r="W792" s="3"/>
      <c r="X792" s="3"/>
      <c r="Y792" s="3"/>
      <c r="Z792" s="3"/>
      <c r="AA792" s="3"/>
      <c r="AB792" s="3"/>
      <c r="AC792" s="3"/>
      <c r="AD792" s="3"/>
      <c r="AE792" s="3"/>
      <c r="AF792" s="3"/>
      <c r="AG792" s="3"/>
      <c r="AH792" s="3"/>
      <c r="AI792" s="3"/>
      <c r="AJ792" s="3"/>
      <c r="AK792" s="3"/>
      <c r="AL792" s="3"/>
    </row>
    <row r="793" ht="15.75" customHeight="1">
      <c r="A793" s="45"/>
      <c r="B793" s="2"/>
      <c r="C793" s="667"/>
      <c r="D793" s="2"/>
      <c r="E793" s="668"/>
      <c r="F793" s="2"/>
      <c r="G793" s="2"/>
      <c r="H793" s="2"/>
      <c r="I793" s="2"/>
      <c r="J793" s="2"/>
      <c r="K793" s="2"/>
      <c r="L793" s="2"/>
      <c r="M793" s="2"/>
      <c r="N793" s="667"/>
      <c r="O793" s="2"/>
      <c r="P793" s="2"/>
      <c r="Q793" s="2"/>
      <c r="R793" s="3"/>
      <c r="S793" s="3"/>
      <c r="T793" s="3"/>
      <c r="U793" s="3"/>
      <c r="V793" s="3"/>
      <c r="W793" s="3"/>
      <c r="X793" s="3"/>
      <c r="Y793" s="3"/>
      <c r="Z793" s="3"/>
      <c r="AA793" s="3"/>
      <c r="AB793" s="3"/>
      <c r="AC793" s="3"/>
      <c r="AD793" s="3"/>
      <c r="AE793" s="3"/>
      <c r="AF793" s="3"/>
      <c r="AG793" s="3"/>
      <c r="AH793" s="3"/>
      <c r="AI793" s="3"/>
      <c r="AJ793" s="3"/>
      <c r="AK793" s="3"/>
      <c r="AL793" s="3"/>
    </row>
    <row r="794" ht="15.75" customHeight="1">
      <c r="A794" s="45"/>
      <c r="B794" s="2"/>
      <c r="C794" s="667"/>
      <c r="D794" s="2"/>
      <c r="E794" s="668"/>
      <c r="F794" s="2"/>
      <c r="G794" s="2"/>
      <c r="H794" s="2"/>
      <c r="I794" s="2"/>
      <c r="J794" s="2"/>
      <c r="K794" s="2"/>
      <c r="L794" s="2"/>
      <c r="M794" s="2"/>
      <c r="N794" s="667"/>
      <c r="O794" s="2"/>
      <c r="P794" s="2"/>
      <c r="Q794" s="2"/>
      <c r="R794" s="3"/>
      <c r="S794" s="3"/>
      <c r="T794" s="3"/>
      <c r="U794" s="3"/>
      <c r="V794" s="3"/>
      <c r="W794" s="3"/>
      <c r="X794" s="3"/>
      <c r="Y794" s="3"/>
      <c r="Z794" s="3"/>
      <c r="AA794" s="3"/>
      <c r="AB794" s="3"/>
      <c r="AC794" s="3"/>
      <c r="AD794" s="3"/>
      <c r="AE794" s="3"/>
      <c r="AF794" s="3"/>
      <c r="AG794" s="3"/>
      <c r="AH794" s="3"/>
      <c r="AI794" s="3"/>
      <c r="AJ794" s="3"/>
      <c r="AK794" s="3"/>
      <c r="AL794" s="3"/>
    </row>
    <row r="795" ht="15.75" customHeight="1">
      <c r="A795" s="45"/>
      <c r="B795" s="2"/>
      <c r="C795" s="667"/>
      <c r="D795" s="2"/>
      <c r="E795" s="668"/>
      <c r="F795" s="2"/>
      <c r="G795" s="2"/>
      <c r="H795" s="2"/>
      <c r="I795" s="2"/>
      <c r="J795" s="2"/>
      <c r="K795" s="2"/>
      <c r="L795" s="2"/>
      <c r="M795" s="2"/>
      <c r="N795" s="667"/>
      <c r="O795" s="2"/>
      <c r="P795" s="2"/>
      <c r="Q795" s="2"/>
      <c r="R795" s="3"/>
      <c r="S795" s="3"/>
      <c r="T795" s="3"/>
      <c r="U795" s="3"/>
      <c r="V795" s="3"/>
      <c r="W795" s="3"/>
      <c r="X795" s="3"/>
      <c r="Y795" s="3"/>
      <c r="Z795" s="3"/>
      <c r="AA795" s="3"/>
      <c r="AB795" s="3"/>
      <c r="AC795" s="3"/>
      <c r="AD795" s="3"/>
      <c r="AE795" s="3"/>
      <c r="AF795" s="3"/>
      <c r="AG795" s="3"/>
      <c r="AH795" s="3"/>
      <c r="AI795" s="3"/>
      <c r="AJ795" s="3"/>
      <c r="AK795" s="3"/>
      <c r="AL795" s="3"/>
    </row>
    <row r="796" ht="15.75" customHeight="1">
      <c r="A796" s="45"/>
      <c r="B796" s="2"/>
      <c r="C796" s="667"/>
      <c r="D796" s="2"/>
      <c r="E796" s="668"/>
      <c r="F796" s="2"/>
      <c r="G796" s="2"/>
      <c r="H796" s="2"/>
      <c r="I796" s="2"/>
      <c r="J796" s="2"/>
      <c r="K796" s="2"/>
      <c r="L796" s="2"/>
      <c r="M796" s="2"/>
      <c r="N796" s="667"/>
      <c r="O796" s="2"/>
      <c r="P796" s="2"/>
      <c r="Q796" s="2"/>
      <c r="R796" s="3"/>
      <c r="S796" s="3"/>
      <c r="T796" s="3"/>
      <c r="U796" s="3"/>
      <c r="V796" s="3"/>
      <c r="W796" s="3"/>
      <c r="X796" s="3"/>
      <c r="Y796" s="3"/>
      <c r="Z796" s="3"/>
      <c r="AA796" s="3"/>
      <c r="AB796" s="3"/>
      <c r="AC796" s="3"/>
      <c r="AD796" s="3"/>
      <c r="AE796" s="3"/>
      <c r="AF796" s="3"/>
      <c r="AG796" s="3"/>
      <c r="AH796" s="3"/>
      <c r="AI796" s="3"/>
      <c r="AJ796" s="3"/>
      <c r="AK796" s="3"/>
      <c r="AL796" s="3"/>
    </row>
    <row r="797" ht="15.75" customHeight="1">
      <c r="A797" s="45"/>
      <c r="B797" s="2"/>
      <c r="C797" s="667"/>
      <c r="D797" s="2"/>
      <c r="E797" s="668"/>
      <c r="F797" s="2"/>
      <c r="G797" s="2"/>
      <c r="H797" s="2"/>
      <c r="I797" s="2"/>
      <c r="J797" s="2"/>
      <c r="K797" s="2"/>
      <c r="L797" s="2"/>
      <c r="M797" s="2"/>
      <c r="N797" s="667"/>
      <c r="O797" s="2"/>
      <c r="P797" s="2"/>
      <c r="Q797" s="2"/>
      <c r="R797" s="3"/>
      <c r="S797" s="3"/>
      <c r="T797" s="3"/>
      <c r="U797" s="3"/>
      <c r="V797" s="3"/>
      <c r="W797" s="3"/>
      <c r="X797" s="3"/>
      <c r="Y797" s="3"/>
      <c r="Z797" s="3"/>
      <c r="AA797" s="3"/>
      <c r="AB797" s="3"/>
      <c r="AC797" s="3"/>
      <c r="AD797" s="3"/>
      <c r="AE797" s="3"/>
      <c r="AF797" s="3"/>
      <c r="AG797" s="3"/>
      <c r="AH797" s="3"/>
      <c r="AI797" s="3"/>
      <c r="AJ797" s="3"/>
      <c r="AK797" s="3"/>
      <c r="AL797" s="3"/>
    </row>
    <row r="798" ht="15.75" customHeight="1">
      <c r="A798" s="45"/>
      <c r="B798" s="2"/>
      <c r="C798" s="667"/>
      <c r="D798" s="2"/>
      <c r="E798" s="668"/>
      <c r="F798" s="2"/>
      <c r="G798" s="2"/>
      <c r="H798" s="2"/>
      <c r="I798" s="2"/>
      <c r="J798" s="2"/>
      <c r="K798" s="2"/>
      <c r="L798" s="2"/>
      <c r="M798" s="2"/>
      <c r="N798" s="667"/>
      <c r="O798" s="2"/>
      <c r="P798" s="2"/>
      <c r="Q798" s="2"/>
      <c r="R798" s="3"/>
      <c r="S798" s="3"/>
      <c r="T798" s="3"/>
      <c r="U798" s="3"/>
      <c r="V798" s="3"/>
      <c r="W798" s="3"/>
      <c r="X798" s="3"/>
      <c r="Y798" s="3"/>
      <c r="Z798" s="3"/>
      <c r="AA798" s="3"/>
      <c r="AB798" s="3"/>
      <c r="AC798" s="3"/>
      <c r="AD798" s="3"/>
      <c r="AE798" s="3"/>
      <c r="AF798" s="3"/>
      <c r="AG798" s="3"/>
      <c r="AH798" s="3"/>
      <c r="AI798" s="3"/>
      <c r="AJ798" s="3"/>
      <c r="AK798" s="3"/>
      <c r="AL798" s="3"/>
    </row>
    <row r="799" ht="15.75" customHeight="1">
      <c r="A799" s="45"/>
      <c r="B799" s="2"/>
      <c r="C799" s="667"/>
      <c r="D799" s="2"/>
      <c r="E799" s="668"/>
      <c r="F799" s="2"/>
      <c r="G799" s="2"/>
      <c r="H799" s="2"/>
      <c r="I799" s="2"/>
      <c r="J799" s="2"/>
      <c r="K799" s="2"/>
      <c r="L799" s="2"/>
      <c r="M799" s="2"/>
      <c r="N799" s="667"/>
      <c r="O799" s="2"/>
      <c r="P799" s="2"/>
      <c r="Q799" s="2"/>
      <c r="R799" s="3"/>
      <c r="S799" s="3"/>
      <c r="T799" s="3"/>
      <c r="U799" s="3"/>
      <c r="V799" s="3"/>
      <c r="W799" s="3"/>
      <c r="X799" s="3"/>
      <c r="Y799" s="3"/>
      <c r="Z799" s="3"/>
      <c r="AA799" s="3"/>
      <c r="AB799" s="3"/>
      <c r="AC799" s="3"/>
      <c r="AD799" s="3"/>
      <c r="AE799" s="3"/>
      <c r="AF799" s="3"/>
      <c r="AG799" s="3"/>
      <c r="AH799" s="3"/>
      <c r="AI799" s="3"/>
      <c r="AJ799" s="3"/>
      <c r="AK799" s="3"/>
      <c r="AL799" s="3"/>
    </row>
    <row r="800" ht="15.75" customHeight="1">
      <c r="A800" s="45"/>
      <c r="B800" s="2"/>
      <c r="C800" s="667"/>
      <c r="D800" s="2"/>
      <c r="E800" s="668"/>
      <c r="F800" s="2"/>
      <c r="G800" s="2"/>
      <c r="H800" s="2"/>
      <c r="I800" s="2"/>
      <c r="J800" s="2"/>
      <c r="K800" s="2"/>
      <c r="L800" s="2"/>
      <c r="M800" s="2"/>
      <c r="N800" s="667"/>
      <c r="O800" s="2"/>
      <c r="P800" s="2"/>
      <c r="Q800" s="2"/>
      <c r="R800" s="3"/>
      <c r="S800" s="3"/>
      <c r="T800" s="3"/>
      <c r="U800" s="3"/>
      <c r="V800" s="3"/>
      <c r="W800" s="3"/>
      <c r="X800" s="3"/>
      <c r="Y800" s="3"/>
      <c r="Z800" s="3"/>
      <c r="AA800" s="3"/>
      <c r="AB800" s="3"/>
      <c r="AC800" s="3"/>
      <c r="AD800" s="3"/>
      <c r="AE800" s="3"/>
      <c r="AF800" s="3"/>
      <c r="AG800" s="3"/>
      <c r="AH800" s="3"/>
      <c r="AI800" s="3"/>
      <c r="AJ800" s="3"/>
      <c r="AK800" s="3"/>
      <c r="AL800" s="3"/>
    </row>
    <row r="801" ht="15.75" customHeight="1">
      <c r="A801" s="45"/>
      <c r="B801" s="2"/>
      <c r="C801" s="667"/>
      <c r="D801" s="2"/>
      <c r="E801" s="668"/>
      <c r="F801" s="2"/>
      <c r="G801" s="2"/>
      <c r="H801" s="2"/>
      <c r="I801" s="2"/>
      <c r="J801" s="2"/>
      <c r="K801" s="2"/>
      <c r="L801" s="2"/>
      <c r="M801" s="2"/>
      <c r="N801" s="667"/>
      <c r="O801" s="2"/>
      <c r="P801" s="2"/>
      <c r="Q801" s="2"/>
      <c r="R801" s="3"/>
      <c r="S801" s="3"/>
      <c r="T801" s="3"/>
      <c r="U801" s="3"/>
      <c r="V801" s="3"/>
      <c r="W801" s="3"/>
      <c r="X801" s="3"/>
      <c r="Y801" s="3"/>
      <c r="Z801" s="3"/>
      <c r="AA801" s="3"/>
      <c r="AB801" s="3"/>
      <c r="AC801" s="3"/>
      <c r="AD801" s="3"/>
      <c r="AE801" s="3"/>
      <c r="AF801" s="3"/>
      <c r="AG801" s="3"/>
      <c r="AH801" s="3"/>
      <c r="AI801" s="3"/>
      <c r="AJ801" s="3"/>
      <c r="AK801" s="3"/>
      <c r="AL801" s="3"/>
    </row>
    <row r="802" ht="15.75" customHeight="1">
      <c r="A802" s="45"/>
      <c r="B802" s="2"/>
      <c r="C802" s="667"/>
      <c r="D802" s="2"/>
      <c r="E802" s="668"/>
      <c r="F802" s="2"/>
      <c r="G802" s="2"/>
      <c r="H802" s="2"/>
      <c r="I802" s="2"/>
      <c r="J802" s="2"/>
      <c r="K802" s="2"/>
      <c r="L802" s="2"/>
      <c r="M802" s="2"/>
      <c r="N802" s="667"/>
      <c r="O802" s="2"/>
      <c r="P802" s="2"/>
      <c r="Q802" s="2"/>
      <c r="R802" s="3"/>
      <c r="S802" s="3"/>
      <c r="T802" s="3"/>
      <c r="U802" s="3"/>
      <c r="V802" s="3"/>
      <c r="W802" s="3"/>
      <c r="X802" s="3"/>
      <c r="Y802" s="3"/>
      <c r="Z802" s="3"/>
      <c r="AA802" s="3"/>
      <c r="AB802" s="3"/>
      <c r="AC802" s="3"/>
      <c r="AD802" s="3"/>
      <c r="AE802" s="3"/>
      <c r="AF802" s="3"/>
      <c r="AG802" s="3"/>
      <c r="AH802" s="3"/>
      <c r="AI802" s="3"/>
      <c r="AJ802" s="3"/>
      <c r="AK802" s="3"/>
      <c r="AL802" s="3"/>
    </row>
    <row r="803" ht="15.75" customHeight="1">
      <c r="A803" s="45"/>
      <c r="B803" s="2"/>
      <c r="C803" s="667"/>
      <c r="D803" s="2"/>
      <c r="E803" s="668"/>
      <c r="F803" s="2"/>
      <c r="G803" s="2"/>
      <c r="H803" s="2"/>
      <c r="I803" s="2"/>
      <c r="J803" s="2"/>
      <c r="K803" s="2"/>
      <c r="L803" s="2"/>
      <c r="M803" s="2"/>
      <c r="N803" s="667"/>
      <c r="O803" s="2"/>
      <c r="P803" s="2"/>
      <c r="Q803" s="2"/>
      <c r="R803" s="3"/>
      <c r="S803" s="3"/>
      <c r="T803" s="3"/>
      <c r="U803" s="3"/>
      <c r="V803" s="3"/>
      <c r="W803" s="3"/>
      <c r="X803" s="3"/>
      <c r="Y803" s="3"/>
      <c r="Z803" s="3"/>
      <c r="AA803" s="3"/>
      <c r="AB803" s="3"/>
      <c r="AC803" s="3"/>
      <c r="AD803" s="3"/>
      <c r="AE803" s="3"/>
      <c r="AF803" s="3"/>
      <c r="AG803" s="3"/>
      <c r="AH803" s="3"/>
      <c r="AI803" s="3"/>
      <c r="AJ803" s="3"/>
      <c r="AK803" s="3"/>
      <c r="AL803" s="3"/>
    </row>
    <row r="804" ht="15.75" customHeight="1">
      <c r="A804" s="45"/>
      <c r="B804" s="2"/>
      <c r="C804" s="667"/>
      <c r="D804" s="2"/>
      <c r="E804" s="668"/>
      <c r="F804" s="2"/>
      <c r="G804" s="2"/>
      <c r="H804" s="2"/>
      <c r="I804" s="2"/>
      <c r="J804" s="2"/>
      <c r="K804" s="2"/>
      <c r="L804" s="2"/>
      <c r="M804" s="2"/>
      <c r="N804" s="667"/>
      <c r="O804" s="2"/>
      <c r="P804" s="2"/>
      <c r="Q804" s="2"/>
      <c r="R804" s="3"/>
      <c r="S804" s="3"/>
      <c r="T804" s="3"/>
      <c r="U804" s="3"/>
      <c r="V804" s="3"/>
      <c r="W804" s="3"/>
      <c r="X804" s="3"/>
      <c r="Y804" s="3"/>
      <c r="Z804" s="3"/>
      <c r="AA804" s="3"/>
      <c r="AB804" s="3"/>
      <c r="AC804" s="3"/>
      <c r="AD804" s="3"/>
      <c r="AE804" s="3"/>
      <c r="AF804" s="3"/>
      <c r="AG804" s="3"/>
      <c r="AH804" s="3"/>
      <c r="AI804" s="3"/>
      <c r="AJ804" s="3"/>
      <c r="AK804" s="3"/>
      <c r="AL804" s="3"/>
    </row>
    <row r="805" ht="15.75" customHeight="1">
      <c r="A805" s="45"/>
      <c r="B805" s="2"/>
      <c r="C805" s="667"/>
      <c r="D805" s="2"/>
      <c r="E805" s="668"/>
      <c r="F805" s="2"/>
      <c r="G805" s="2"/>
      <c r="H805" s="2"/>
      <c r="I805" s="2"/>
      <c r="J805" s="2"/>
      <c r="K805" s="2"/>
      <c r="L805" s="2"/>
      <c r="M805" s="2"/>
      <c r="N805" s="667"/>
      <c r="O805" s="2"/>
      <c r="P805" s="2"/>
      <c r="Q805" s="2"/>
      <c r="R805" s="3"/>
      <c r="S805" s="3"/>
      <c r="T805" s="3"/>
      <c r="U805" s="3"/>
      <c r="V805" s="3"/>
      <c r="W805" s="3"/>
      <c r="X805" s="3"/>
      <c r="Y805" s="3"/>
      <c r="Z805" s="3"/>
      <c r="AA805" s="3"/>
      <c r="AB805" s="3"/>
      <c r="AC805" s="3"/>
      <c r="AD805" s="3"/>
      <c r="AE805" s="3"/>
      <c r="AF805" s="3"/>
      <c r="AG805" s="3"/>
      <c r="AH805" s="3"/>
      <c r="AI805" s="3"/>
      <c r="AJ805" s="3"/>
      <c r="AK805" s="3"/>
      <c r="AL805" s="3"/>
    </row>
    <row r="806" ht="15.75" customHeight="1">
      <c r="A806" s="45"/>
      <c r="B806" s="2"/>
      <c r="C806" s="667"/>
      <c r="D806" s="2"/>
      <c r="E806" s="668"/>
      <c r="F806" s="2"/>
      <c r="G806" s="2"/>
      <c r="H806" s="2"/>
      <c r="I806" s="2"/>
      <c r="J806" s="2"/>
      <c r="K806" s="2"/>
      <c r="L806" s="2"/>
      <c r="M806" s="2"/>
      <c r="N806" s="667"/>
      <c r="O806" s="2"/>
      <c r="P806" s="2"/>
      <c r="Q806" s="2"/>
      <c r="R806" s="3"/>
      <c r="S806" s="3"/>
      <c r="T806" s="3"/>
      <c r="U806" s="3"/>
      <c r="V806" s="3"/>
      <c r="W806" s="3"/>
      <c r="X806" s="3"/>
      <c r="Y806" s="3"/>
      <c r="Z806" s="3"/>
      <c r="AA806" s="3"/>
      <c r="AB806" s="3"/>
      <c r="AC806" s="3"/>
      <c r="AD806" s="3"/>
      <c r="AE806" s="3"/>
      <c r="AF806" s="3"/>
      <c r="AG806" s="3"/>
      <c r="AH806" s="3"/>
      <c r="AI806" s="3"/>
      <c r="AJ806" s="3"/>
      <c r="AK806" s="3"/>
      <c r="AL806" s="3"/>
    </row>
    <row r="807" ht="15.75" customHeight="1">
      <c r="A807" s="45"/>
      <c r="B807" s="2"/>
      <c r="C807" s="667"/>
      <c r="D807" s="2"/>
      <c r="E807" s="668"/>
      <c r="F807" s="2"/>
      <c r="G807" s="2"/>
      <c r="H807" s="2"/>
      <c r="I807" s="2"/>
      <c r="J807" s="2"/>
      <c r="K807" s="2"/>
      <c r="L807" s="2"/>
      <c r="M807" s="2"/>
      <c r="N807" s="667"/>
      <c r="O807" s="2"/>
      <c r="P807" s="2"/>
      <c r="Q807" s="2"/>
      <c r="R807" s="3"/>
      <c r="S807" s="3"/>
      <c r="T807" s="3"/>
      <c r="U807" s="3"/>
      <c r="V807" s="3"/>
      <c r="W807" s="3"/>
      <c r="X807" s="3"/>
      <c r="Y807" s="3"/>
      <c r="Z807" s="3"/>
      <c r="AA807" s="3"/>
      <c r="AB807" s="3"/>
      <c r="AC807" s="3"/>
      <c r="AD807" s="3"/>
      <c r="AE807" s="3"/>
      <c r="AF807" s="3"/>
      <c r="AG807" s="3"/>
      <c r="AH807" s="3"/>
      <c r="AI807" s="3"/>
      <c r="AJ807" s="3"/>
      <c r="AK807" s="3"/>
      <c r="AL807" s="3"/>
    </row>
    <row r="808" ht="15.75" customHeight="1">
      <c r="A808" s="45"/>
      <c r="B808" s="2"/>
      <c r="C808" s="667"/>
      <c r="D808" s="2"/>
      <c r="E808" s="668"/>
      <c r="F808" s="2"/>
      <c r="G808" s="2"/>
      <c r="H808" s="2"/>
      <c r="I808" s="2"/>
      <c r="J808" s="2"/>
      <c r="K808" s="2"/>
      <c r="L808" s="2"/>
      <c r="M808" s="2"/>
      <c r="N808" s="667"/>
      <c r="O808" s="2"/>
      <c r="P808" s="2"/>
      <c r="Q808" s="2"/>
      <c r="R808" s="3"/>
      <c r="S808" s="3"/>
      <c r="T808" s="3"/>
      <c r="U808" s="3"/>
      <c r="V808" s="3"/>
      <c r="W808" s="3"/>
      <c r="X808" s="3"/>
      <c r="Y808" s="3"/>
      <c r="Z808" s="3"/>
      <c r="AA808" s="3"/>
      <c r="AB808" s="3"/>
      <c r="AC808" s="3"/>
      <c r="AD808" s="3"/>
      <c r="AE808" s="3"/>
      <c r="AF808" s="3"/>
      <c r="AG808" s="3"/>
      <c r="AH808" s="3"/>
      <c r="AI808" s="3"/>
      <c r="AJ808" s="3"/>
      <c r="AK808" s="3"/>
      <c r="AL808" s="3"/>
    </row>
    <row r="809" ht="15.75" customHeight="1">
      <c r="A809" s="45"/>
      <c r="B809" s="2"/>
      <c r="C809" s="667"/>
      <c r="D809" s="2"/>
      <c r="E809" s="668"/>
      <c r="F809" s="2"/>
      <c r="G809" s="2"/>
      <c r="H809" s="2"/>
      <c r="I809" s="2"/>
      <c r="J809" s="2"/>
      <c r="K809" s="2"/>
      <c r="L809" s="2"/>
      <c r="M809" s="2"/>
      <c r="N809" s="667"/>
      <c r="O809" s="2"/>
      <c r="P809" s="2"/>
      <c r="Q809" s="2"/>
      <c r="R809" s="3"/>
      <c r="S809" s="3"/>
      <c r="T809" s="3"/>
      <c r="U809" s="3"/>
      <c r="V809" s="3"/>
      <c r="W809" s="3"/>
      <c r="X809" s="3"/>
      <c r="Y809" s="3"/>
      <c r="Z809" s="3"/>
      <c r="AA809" s="3"/>
      <c r="AB809" s="3"/>
      <c r="AC809" s="3"/>
      <c r="AD809" s="3"/>
      <c r="AE809" s="3"/>
      <c r="AF809" s="3"/>
      <c r="AG809" s="3"/>
      <c r="AH809" s="3"/>
      <c r="AI809" s="3"/>
      <c r="AJ809" s="3"/>
      <c r="AK809" s="3"/>
      <c r="AL809" s="3"/>
    </row>
    <row r="810" ht="15.75" customHeight="1">
      <c r="A810" s="45"/>
      <c r="B810" s="2"/>
      <c r="C810" s="667"/>
      <c r="D810" s="2"/>
      <c r="E810" s="668"/>
      <c r="F810" s="2"/>
      <c r="G810" s="2"/>
      <c r="H810" s="2"/>
      <c r="I810" s="2"/>
      <c r="J810" s="2"/>
      <c r="K810" s="2"/>
      <c r="L810" s="2"/>
      <c r="M810" s="2"/>
      <c r="N810" s="667"/>
      <c r="O810" s="2"/>
      <c r="P810" s="2"/>
      <c r="Q810" s="2"/>
      <c r="R810" s="3"/>
      <c r="S810" s="3"/>
      <c r="T810" s="3"/>
      <c r="U810" s="3"/>
      <c r="V810" s="3"/>
      <c r="W810" s="3"/>
      <c r="X810" s="3"/>
      <c r="Y810" s="3"/>
      <c r="Z810" s="3"/>
      <c r="AA810" s="3"/>
      <c r="AB810" s="3"/>
      <c r="AC810" s="3"/>
      <c r="AD810" s="3"/>
      <c r="AE810" s="3"/>
      <c r="AF810" s="3"/>
      <c r="AG810" s="3"/>
      <c r="AH810" s="3"/>
      <c r="AI810" s="3"/>
      <c r="AJ810" s="3"/>
      <c r="AK810" s="3"/>
      <c r="AL810" s="3"/>
    </row>
    <row r="811" ht="15.75" customHeight="1">
      <c r="A811" s="45"/>
      <c r="B811" s="2"/>
      <c r="C811" s="667"/>
      <c r="D811" s="2"/>
      <c r="E811" s="668"/>
      <c r="F811" s="2"/>
      <c r="G811" s="2"/>
      <c r="H811" s="2"/>
      <c r="I811" s="2"/>
      <c r="J811" s="2"/>
      <c r="K811" s="2"/>
      <c r="L811" s="2"/>
      <c r="M811" s="2"/>
      <c r="N811" s="667"/>
      <c r="O811" s="2"/>
      <c r="P811" s="2"/>
      <c r="Q811" s="2"/>
      <c r="R811" s="3"/>
      <c r="S811" s="3"/>
      <c r="T811" s="3"/>
      <c r="U811" s="3"/>
      <c r="V811" s="3"/>
      <c r="W811" s="3"/>
      <c r="X811" s="3"/>
      <c r="Y811" s="3"/>
      <c r="Z811" s="3"/>
      <c r="AA811" s="3"/>
      <c r="AB811" s="3"/>
      <c r="AC811" s="3"/>
      <c r="AD811" s="3"/>
      <c r="AE811" s="3"/>
      <c r="AF811" s="3"/>
      <c r="AG811" s="3"/>
      <c r="AH811" s="3"/>
      <c r="AI811" s="3"/>
      <c r="AJ811" s="3"/>
      <c r="AK811" s="3"/>
      <c r="AL811" s="3"/>
    </row>
    <row r="812" ht="15.75" customHeight="1">
      <c r="A812" s="45"/>
      <c r="B812" s="2"/>
      <c r="C812" s="667"/>
      <c r="D812" s="2"/>
      <c r="E812" s="668"/>
      <c r="F812" s="2"/>
      <c r="G812" s="2"/>
      <c r="H812" s="2"/>
      <c r="I812" s="2"/>
      <c r="J812" s="2"/>
      <c r="K812" s="2"/>
      <c r="L812" s="2"/>
      <c r="M812" s="2"/>
      <c r="N812" s="667"/>
      <c r="O812" s="2"/>
      <c r="P812" s="2"/>
      <c r="Q812" s="2"/>
      <c r="R812" s="3"/>
      <c r="S812" s="3"/>
      <c r="T812" s="3"/>
      <c r="U812" s="3"/>
      <c r="V812" s="3"/>
      <c r="W812" s="3"/>
      <c r="X812" s="3"/>
      <c r="Y812" s="3"/>
      <c r="Z812" s="3"/>
      <c r="AA812" s="3"/>
      <c r="AB812" s="3"/>
      <c r="AC812" s="3"/>
      <c r="AD812" s="3"/>
      <c r="AE812" s="3"/>
      <c r="AF812" s="3"/>
      <c r="AG812" s="3"/>
      <c r="AH812" s="3"/>
      <c r="AI812" s="3"/>
      <c r="AJ812" s="3"/>
      <c r="AK812" s="3"/>
      <c r="AL812" s="3"/>
    </row>
    <row r="813" ht="15.75" customHeight="1">
      <c r="A813" s="45"/>
      <c r="B813" s="2"/>
      <c r="C813" s="667"/>
      <c r="D813" s="2"/>
      <c r="E813" s="668"/>
      <c r="F813" s="2"/>
      <c r="G813" s="2"/>
      <c r="H813" s="2"/>
      <c r="I813" s="2"/>
      <c r="J813" s="2"/>
      <c r="K813" s="2"/>
      <c r="L813" s="2"/>
      <c r="M813" s="2"/>
      <c r="N813" s="667"/>
      <c r="O813" s="2"/>
      <c r="P813" s="2"/>
      <c r="Q813" s="2"/>
      <c r="R813" s="3"/>
      <c r="S813" s="3"/>
      <c r="T813" s="3"/>
      <c r="U813" s="3"/>
      <c r="V813" s="3"/>
      <c r="W813" s="3"/>
      <c r="X813" s="3"/>
      <c r="Y813" s="3"/>
      <c r="Z813" s="3"/>
      <c r="AA813" s="3"/>
      <c r="AB813" s="3"/>
      <c r="AC813" s="3"/>
      <c r="AD813" s="3"/>
      <c r="AE813" s="3"/>
      <c r="AF813" s="3"/>
      <c r="AG813" s="3"/>
      <c r="AH813" s="3"/>
      <c r="AI813" s="3"/>
      <c r="AJ813" s="3"/>
      <c r="AK813" s="3"/>
      <c r="AL813" s="3"/>
    </row>
    <row r="814" ht="15.75" customHeight="1">
      <c r="A814" s="45"/>
      <c r="B814" s="2"/>
      <c r="C814" s="667"/>
      <c r="D814" s="2"/>
      <c r="E814" s="668"/>
      <c r="F814" s="2"/>
      <c r="G814" s="2"/>
      <c r="H814" s="2"/>
      <c r="I814" s="2"/>
      <c r="J814" s="2"/>
      <c r="K814" s="2"/>
      <c r="L814" s="2"/>
      <c r="M814" s="2"/>
      <c r="N814" s="667"/>
      <c r="O814" s="2"/>
      <c r="P814" s="2"/>
      <c r="Q814" s="2"/>
      <c r="R814" s="3"/>
      <c r="S814" s="3"/>
      <c r="T814" s="3"/>
      <c r="U814" s="3"/>
      <c r="V814" s="3"/>
      <c r="W814" s="3"/>
      <c r="X814" s="3"/>
      <c r="Y814" s="3"/>
      <c r="Z814" s="3"/>
      <c r="AA814" s="3"/>
      <c r="AB814" s="3"/>
      <c r="AC814" s="3"/>
      <c r="AD814" s="3"/>
      <c r="AE814" s="3"/>
      <c r="AF814" s="3"/>
      <c r="AG814" s="3"/>
      <c r="AH814" s="3"/>
      <c r="AI814" s="3"/>
      <c r="AJ814" s="3"/>
      <c r="AK814" s="3"/>
      <c r="AL814" s="3"/>
    </row>
    <row r="815" ht="15.75" customHeight="1">
      <c r="A815" s="45"/>
      <c r="B815" s="2"/>
      <c r="C815" s="667"/>
      <c r="D815" s="2"/>
      <c r="E815" s="668"/>
      <c r="F815" s="2"/>
      <c r="G815" s="2"/>
      <c r="H815" s="2"/>
      <c r="I815" s="2"/>
      <c r="J815" s="2"/>
      <c r="K815" s="2"/>
      <c r="L815" s="2"/>
      <c r="M815" s="2"/>
      <c r="N815" s="667"/>
      <c r="O815" s="2"/>
      <c r="P815" s="2"/>
      <c r="Q815" s="2"/>
      <c r="R815" s="3"/>
      <c r="S815" s="3"/>
      <c r="T815" s="3"/>
      <c r="U815" s="3"/>
      <c r="V815" s="3"/>
      <c r="W815" s="3"/>
      <c r="X815" s="3"/>
      <c r="Y815" s="3"/>
      <c r="Z815" s="3"/>
      <c r="AA815" s="3"/>
      <c r="AB815" s="3"/>
      <c r="AC815" s="3"/>
      <c r="AD815" s="3"/>
      <c r="AE815" s="3"/>
      <c r="AF815" s="3"/>
      <c r="AG815" s="3"/>
      <c r="AH815" s="3"/>
      <c r="AI815" s="3"/>
      <c r="AJ815" s="3"/>
      <c r="AK815" s="3"/>
      <c r="AL815" s="3"/>
    </row>
    <row r="816" ht="15.75" customHeight="1">
      <c r="A816" s="45"/>
      <c r="B816" s="2"/>
      <c r="C816" s="667"/>
      <c r="D816" s="2"/>
      <c r="E816" s="668"/>
      <c r="F816" s="2"/>
      <c r="G816" s="2"/>
      <c r="H816" s="2"/>
      <c r="I816" s="2"/>
      <c r="J816" s="2"/>
      <c r="K816" s="2"/>
      <c r="L816" s="2"/>
      <c r="M816" s="2"/>
      <c r="N816" s="667"/>
      <c r="O816" s="2"/>
      <c r="P816" s="2"/>
      <c r="Q816" s="2"/>
      <c r="R816" s="3"/>
      <c r="S816" s="3"/>
      <c r="T816" s="3"/>
      <c r="U816" s="3"/>
      <c r="V816" s="3"/>
      <c r="W816" s="3"/>
      <c r="X816" s="3"/>
      <c r="Y816" s="3"/>
      <c r="Z816" s="3"/>
      <c r="AA816" s="3"/>
      <c r="AB816" s="3"/>
      <c r="AC816" s="3"/>
      <c r="AD816" s="3"/>
      <c r="AE816" s="3"/>
      <c r="AF816" s="3"/>
      <c r="AG816" s="3"/>
      <c r="AH816" s="3"/>
      <c r="AI816" s="3"/>
      <c r="AJ816" s="3"/>
      <c r="AK816" s="3"/>
      <c r="AL816" s="3"/>
    </row>
    <row r="817" ht="15.75" customHeight="1">
      <c r="A817" s="45"/>
      <c r="B817" s="2"/>
      <c r="C817" s="667"/>
      <c r="D817" s="2"/>
      <c r="E817" s="668"/>
      <c r="F817" s="2"/>
      <c r="G817" s="2"/>
      <c r="H817" s="2"/>
      <c r="I817" s="2"/>
      <c r="J817" s="2"/>
      <c r="K817" s="2"/>
      <c r="L817" s="2"/>
      <c r="M817" s="2"/>
      <c r="N817" s="667"/>
      <c r="O817" s="2"/>
      <c r="P817" s="2"/>
      <c r="Q817" s="2"/>
      <c r="R817" s="3"/>
      <c r="S817" s="3"/>
      <c r="T817" s="3"/>
      <c r="U817" s="3"/>
      <c r="V817" s="3"/>
      <c r="W817" s="3"/>
      <c r="X817" s="3"/>
      <c r="Y817" s="3"/>
      <c r="Z817" s="3"/>
      <c r="AA817" s="3"/>
      <c r="AB817" s="3"/>
      <c r="AC817" s="3"/>
      <c r="AD817" s="3"/>
      <c r="AE817" s="3"/>
      <c r="AF817" s="3"/>
      <c r="AG817" s="3"/>
      <c r="AH817" s="3"/>
      <c r="AI817" s="3"/>
      <c r="AJ817" s="3"/>
      <c r="AK817" s="3"/>
      <c r="AL817" s="3"/>
    </row>
    <row r="818" ht="15.75" customHeight="1">
      <c r="A818" s="45"/>
      <c r="B818" s="2"/>
      <c r="C818" s="667"/>
      <c r="D818" s="2"/>
      <c r="E818" s="668"/>
      <c r="F818" s="2"/>
      <c r="G818" s="2"/>
      <c r="H818" s="2"/>
      <c r="I818" s="2"/>
      <c r="J818" s="2"/>
      <c r="K818" s="2"/>
      <c r="L818" s="2"/>
      <c r="M818" s="2"/>
      <c r="N818" s="667"/>
      <c r="O818" s="2"/>
      <c r="P818" s="2"/>
      <c r="Q818" s="2"/>
      <c r="R818" s="3"/>
      <c r="S818" s="3"/>
      <c r="T818" s="3"/>
      <c r="U818" s="3"/>
      <c r="V818" s="3"/>
      <c r="W818" s="3"/>
      <c r="X818" s="3"/>
      <c r="Y818" s="3"/>
      <c r="Z818" s="3"/>
      <c r="AA818" s="3"/>
      <c r="AB818" s="3"/>
      <c r="AC818" s="3"/>
      <c r="AD818" s="3"/>
      <c r="AE818" s="3"/>
      <c r="AF818" s="3"/>
      <c r="AG818" s="3"/>
      <c r="AH818" s="3"/>
      <c r="AI818" s="3"/>
      <c r="AJ818" s="3"/>
      <c r="AK818" s="3"/>
      <c r="AL818" s="3"/>
    </row>
    <row r="819" ht="15.75" customHeight="1">
      <c r="A819" s="45"/>
      <c r="B819" s="2"/>
      <c r="C819" s="667"/>
      <c r="D819" s="2"/>
      <c r="E819" s="668"/>
      <c r="F819" s="2"/>
      <c r="G819" s="2"/>
      <c r="H819" s="2"/>
      <c r="I819" s="2"/>
      <c r="J819" s="2"/>
      <c r="K819" s="2"/>
      <c r="L819" s="2"/>
      <c r="M819" s="2"/>
      <c r="N819" s="667"/>
      <c r="O819" s="2"/>
      <c r="P819" s="2"/>
      <c r="Q819" s="2"/>
      <c r="R819" s="3"/>
      <c r="S819" s="3"/>
      <c r="T819" s="3"/>
      <c r="U819" s="3"/>
      <c r="V819" s="3"/>
      <c r="W819" s="3"/>
      <c r="X819" s="3"/>
      <c r="Y819" s="3"/>
      <c r="Z819" s="3"/>
      <c r="AA819" s="3"/>
      <c r="AB819" s="3"/>
      <c r="AC819" s="3"/>
      <c r="AD819" s="3"/>
      <c r="AE819" s="3"/>
      <c r="AF819" s="3"/>
      <c r="AG819" s="3"/>
      <c r="AH819" s="3"/>
      <c r="AI819" s="3"/>
      <c r="AJ819" s="3"/>
      <c r="AK819" s="3"/>
      <c r="AL819" s="3"/>
    </row>
    <row r="820" ht="15.75" customHeight="1">
      <c r="A820" s="45"/>
      <c r="B820" s="2"/>
      <c r="C820" s="667"/>
      <c r="D820" s="2"/>
      <c r="E820" s="668"/>
      <c r="F820" s="2"/>
      <c r="G820" s="2"/>
      <c r="H820" s="2"/>
      <c r="I820" s="2"/>
      <c r="J820" s="2"/>
      <c r="K820" s="2"/>
      <c r="L820" s="2"/>
      <c r="M820" s="2"/>
      <c r="N820" s="667"/>
      <c r="O820" s="2"/>
      <c r="P820" s="2"/>
      <c r="Q820" s="2"/>
      <c r="R820" s="3"/>
      <c r="S820" s="3"/>
      <c r="T820" s="3"/>
      <c r="U820" s="3"/>
      <c r="V820" s="3"/>
      <c r="W820" s="3"/>
      <c r="X820" s="3"/>
      <c r="Y820" s="3"/>
      <c r="Z820" s="3"/>
      <c r="AA820" s="3"/>
      <c r="AB820" s="3"/>
      <c r="AC820" s="3"/>
      <c r="AD820" s="3"/>
      <c r="AE820" s="3"/>
      <c r="AF820" s="3"/>
      <c r="AG820" s="3"/>
      <c r="AH820" s="3"/>
      <c r="AI820" s="3"/>
      <c r="AJ820" s="3"/>
      <c r="AK820" s="3"/>
      <c r="AL820" s="3"/>
    </row>
    <row r="821" ht="15.75" customHeight="1">
      <c r="A821" s="45"/>
      <c r="B821" s="2"/>
      <c r="C821" s="667"/>
      <c r="D821" s="2"/>
      <c r="E821" s="668"/>
      <c r="F821" s="2"/>
      <c r="G821" s="2"/>
      <c r="H821" s="2"/>
      <c r="I821" s="2"/>
      <c r="J821" s="2"/>
      <c r="K821" s="2"/>
      <c r="L821" s="2"/>
      <c r="M821" s="2"/>
      <c r="N821" s="667"/>
      <c r="O821" s="2"/>
      <c r="P821" s="2"/>
      <c r="Q821" s="2"/>
      <c r="R821" s="3"/>
      <c r="S821" s="3"/>
      <c r="T821" s="3"/>
      <c r="U821" s="3"/>
      <c r="V821" s="3"/>
      <c r="W821" s="3"/>
      <c r="X821" s="3"/>
      <c r="Y821" s="3"/>
      <c r="Z821" s="3"/>
      <c r="AA821" s="3"/>
      <c r="AB821" s="3"/>
      <c r="AC821" s="3"/>
      <c r="AD821" s="3"/>
      <c r="AE821" s="3"/>
      <c r="AF821" s="3"/>
      <c r="AG821" s="3"/>
      <c r="AH821" s="3"/>
      <c r="AI821" s="3"/>
      <c r="AJ821" s="3"/>
      <c r="AK821" s="3"/>
      <c r="AL821" s="3"/>
    </row>
    <row r="822" ht="15.75" customHeight="1">
      <c r="A822" s="45"/>
      <c r="B822" s="2"/>
      <c r="C822" s="667"/>
      <c r="D822" s="2"/>
      <c r="E822" s="668"/>
      <c r="F822" s="2"/>
      <c r="G822" s="2"/>
      <c r="H822" s="2"/>
      <c r="I822" s="2"/>
      <c r="J822" s="2"/>
      <c r="K822" s="2"/>
      <c r="L822" s="2"/>
      <c r="M822" s="2"/>
      <c r="N822" s="667"/>
      <c r="O822" s="2"/>
      <c r="P822" s="2"/>
      <c r="Q822" s="2"/>
      <c r="R822" s="3"/>
      <c r="S822" s="3"/>
      <c r="T822" s="3"/>
      <c r="U822" s="3"/>
      <c r="V822" s="3"/>
      <c r="W822" s="3"/>
      <c r="X822" s="3"/>
      <c r="Y822" s="3"/>
      <c r="Z822" s="3"/>
      <c r="AA822" s="3"/>
      <c r="AB822" s="3"/>
      <c r="AC822" s="3"/>
      <c r="AD822" s="3"/>
      <c r="AE822" s="3"/>
      <c r="AF822" s="3"/>
      <c r="AG822" s="3"/>
      <c r="AH822" s="3"/>
      <c r="AI822" s="3"/>
      <c r="AJ822" s="3"/>
      <c r="AK822" s="3"/>
      <c r="AL822" s="3"/>
    </row>
    <row r="823" ht="15.75" customHeight="1">
      <c r="A823" s="45"/>
      <c r="B823" s="2"/>
      <c r="C823" s="667"/>
      <c r="D823" s="2"/>
      <c r="E823" s="668"/>
      <c r="F823" s="2"/>
      <c r="G823" s="2"/>
      <c r="H823" s="2"/>
      <c r="I823" s="2"/>
      <c r="J823" s="2"/>
      <c r="K823" s="2"/>
      <c r="L823" s="2"/>
      <c r="M823" s="2"/>
      <c r="N823" s="667"/>
      <c r="O823" s="2"/>
      <c r="P823" s="2"/>
      <c r="Q823" s="2"/>
      <c r="R823" s="3"/>
      <c r="S823" s="3"/>
      <c r="T823" s="3"/>
      <c r="U823" s="3"/>
      <c r="V823" s="3"/>
      <c r="W823" s="3"/>
      <c r="X823" s="3"/>
      <c r="Y823" s="3"/>
      <c r="Z823" s="3"/>
      <c r="AA823" s="3"/>
      <c r="AB823" s="3"/>
      <c r="AC823" s="3"/>
      <c r="AD823" s="3"/>
      <c r="AE823" s="3"/>
      <c r="AF823" s="3"/>
      <c r="AG823" s="3"/>
      <c r="AH823" s="3"/>
      <c r="AI823" s="3"/>
      <c r="AJ823" s="3"/>
      <c r="AK823" s="3"/>
      <c r="AL823" s="3"/>
    </row>
    <row r="824" ht="15.75" customHeight="1">
      <c r="A824" s="45"/>
      <c r="B824" s="2"/>
      <c r="C824" s="667"/>
      <c r="D824" s="2"/>
      <c r="E824" s="668"/>
      <c r="F824" s="2"/>
      <c r="G824" s="2"/>
      <c r="H824" s="2"/>
      <c r="I824" s="2"/>
      <c r="J824" s="2"/>
      <c r="K824" s="2"/>
      <c r="L824" s="2"/>
      <c r="M824" s="2"/>
      <c r="N824" s="667"/>
      <c r="O824" s="2"/>
      <c r="P824" s="2"/>
      <c r="Q824" s="2"/>
      <c r="R824" s="3"/>
      <c r="S824" s="3"/>
      <c r="T824" s="3"/>
      <c r="U824" s="3"/>
      <c r="V824" s="3"/>
      <c r="W824" s="3"/>
      <c r="X824" s="3"/>
      <c r="Y824" s="3"/>
      <c r="Z824" s="3"/>
      <c r="AA824" s="3"/>
      <c r="AB824" s="3"/>
      <c r="AC824" s="3"/>
      <c r="AD824" s="3"/>
      <c r="AE824" s="3"/>
      <c r="AF824" s="3"/>
      <c r="AG824" s="3"/>
      <c r="AH824" s="3"/>
      <c r="AI824" s="3"/>
      <c r="AJ824" s="3"/>
      <c r="AK824" s="3"/>
      <c r="AL824" s="3"/>
    </row>
    <row r="825" ht="15.75" customHeight="1">
      <c r="A825" s="45"/>
      <c r="B825" s="2"/>
      <c r="C825" s="667"/>
      <c r="D825" s="2"/>
      <c r="E825" s="668"/>
      <c r="F825" s="2"/>
      <c r="G825" s="2"/>
      <c r="H825" s="2"/>
      <c r="I825" s="2"/>
      <c r="J825" s="2"/>
      <c r="K825" s="2"/>
      <c r="L825" s="2"/>
      <c r="M825" s="2"/>
      <c r="N825" s="667"/>
      <c r="O825" s="2"/>
      <c r="P825" s="2"/>
      <c r="Q825" s="2"/>
      <c r="R825" s="3"/>
      <c r="S825" s="3"/>
      <c r="T825" s="3"/>
      <c r="U825" s="3"/>
      <c r="V825" s="3"/>
      <c r="W825" s="3"/>
      <c r="X825" s="3"/>
      <c r="Y825" s="3"/>
      <c r="Z825" s="3"/>
      <c r="AA825" s="3"/>
      <c r="AB825" s="3"/>
      <c r="AC825" s="3"/>
      <c r="AD825" s="3"/>
      <c r="AE825" s="3"/>
      <c r="AF825" s="3"/>
      <c r="AG825" s="3"/>
      <c r="AH825" s="3"/>
      <c r="AI825" s="3"/>
      <c r="AJ825" s="3"/>
      <c r="AK825" s="3"/>
      <c r="AL825" s="3"/>
    </row>
    <row r="826" ht="15.75" customHeight="1">
      <c r="A826" s="45"/>
      <c r="B826" s="2"/>
      <c r="C826" s="667"/>
      <c r="D826" s="2"/>
      <c r="E826" s="668"/>
      <c r="F826" s="2"/>
      <c r="G826" s="2"/>
      <c r="H826" s="2"/>
      <c r="I826" s="2"/>
      <c r="J826" s="2"/>
      <c r="K826" s="2"/>
      <c r="L826" s="2"/>
      <c r="M826" s="2"/>
      <c r="N826" s="667"/>
      <c r="O826" s="2"/>
      <c r="P826" s="2"/>
      <c r="Q826" s="2"/>
      <c r="R826" s="3"/>
      <c r="S826" s="3"/>
      <c r="T826" s="3"/>
      <c r="U826" s="3"/>
      <c r="V826" s="3"/>
      <c r="W826" s="3"/>
      <c r="X826" s="3"/>
      <c r="Y826" s="3"/>
      <c r="Z826" s="3"/>
      <c r="AA826" s="3"/>
      <c r="AB826" s="3"/>
      <c r="AC826" s="3"/>
      <c r="AD826" s="3"/>
      <c r="AE826" s="3"/>
      <c r="AF826" s="3"/>
      <c r="AG826" s="3"/>
      <c r="AH826" s="3"/>
      <c r="AI826" s="3"/>
      <c r="AJ826" s="3"/>
      <c r="AK826" s="3"/>
      <c r="AL826" s="3"/>
    </row>
    <row r="827" ht="15.75" customHeight="1">
      <c r="A827" s="45"/>
      <c r="B827" s="2"/>
      <c r="C827" s="667"/>
      <c r="D827" s="2"/>
      <c r="E827" s="668"/>
      <c r="F827" s="2"/>
      <c r="G827" s="2"/>
      <c r="H827" s="2"/>
      <c r="I827" s="2"/>
      <c r="J827" s="2"/>
      <c r="K827" s="2"/>
      <c r="L827" s="2"/>
      <c r="M827" s="2"/>
      <c r="N827" s="667"/>
      <c r="O827" s="2"/>
      <c r="P827" s="2"/>
      <c r="Q827" s="2"/>
      <c r="R827" s="3"/>
      <c r="S827" s="3"/>
      <c r="T827" s="3"/>
      <c r="U827" s="3"/>
      <c r="V827" s="3"/>
      <c r="W827" s="3"/>
      <c r="X827" s="3"/>
      <c r="Y827" s="3"/>
      <c r="Z827" s="3"/>
      <c r="AA827" s="3"/>
      <c r="AB827" s="3"/>
      <c r="AC827" s="3"/>
      <c r="AD827" s="3"/>
      <c r="AE827" s="3"/>
      <c r="AF827" s="3"/>
      <c r="AG827" s="3"/>
      <c r="AH827" s="3"/>
      <c r="AI827" s="3"/>
      <c r="AJ827" s="3"/>
      <c r="AK827" s="3"/>
      <c r="AL827" s="3"/>
    </row>
    <row r="828" ht="15.75" customHeight="1">
      <c r="A828" s="45"/>
      <c r="B828" s="2"/>
      <c r="C828" s="667"/>
      <c r="D828" s="2"/>
      <c r="E828" s="668"/>
      <c r="F828" s="2"/>
      <c r="G828" s="2"/>
      <c r="H828" s="2"/>
      <c r="I828" s="2"/>
      <c r="J828" s="2"/>
      <c r="K828" s="2"/>
      <c r="L828" s="2"/>
      <c r="M828" s="2"/>
      <c r="N828" s="667"/>
      <c r="O828" s="2"/>
      <c r="P828" s="2"/>
      <c r="Q828" s="2"/>
      <c r="R828" s="3"/>
      <c r="S828" s="3"/>
      <c r="T828" s="3"/>
      <c r="U828" s="3"/>
      <c r="V828" s="3"/>
      <c r="W828" s="3"/>
      <c r="X828" s="3"/>
      <c r="Y828" s="3"/>
      <c r="Z828" s="3"/>
      <c r="AA828" s="3"/>
      <c r="AB828" s="3"/>
      <c r="AC828" s="3"/>
      <c r="AD828" s="3"/>
      <c r="AE828" s="3"/>
      <c r="AF828" s="3"/>
      <c r="AG828" s="3"/>
      <c r="AH828" s="3"/>
      <c r="AI828" s="3"/>
      <c r="AJ828" s="3"/>
      <c r="AK828" s="3"/>
      <c r="AL828" s="3"/>
    </row>
    <row r="829" ht="15.75" customHeight="1">
      <c r="A829" s="45"/>
      <c r="B829" s="2"/>
      <c r="C829" s="667"/>
      <c r="D829" s="2"/>
      <c r="E829" s="668"/>
      <c r="F829" s="2"/>
      <c r="G829" s="2"/>
      <c r="H829" s="2"/>
      <c r="I829" s="2"/>
      <c r="J829" s="2"/>
      <c r="K829" s="2"/>
      <c r="L829" s="2"/>
      <c r="M829" s="2"/>
      <c r="N829" s="667"/>
      <c r="O829" s="2"/>
      <c r="P829" s="2"/>
      <c r="Q829" s="2"/>
      <c r="R829" s="3"/>
      <c r="S829" s="3"/>
      <c r="T829" s="3"/>
      <c r="U829" s="3"/>
      <c r="V829" s="3"/>
      <c r="W829" s="3"/>
      <c r="X829" s="3"/>
      <c r="Y829" s="3"/>
      <c r="Z829" s="3"/>
      <c r="AA829" s="3"/>
      <c r="AB829" s="3"/>
      <c r="AC829" s="3"/>
      <c r="AD829" s="3"/>
      <c r="AE829" s="3"/>
      <c r="AF829" s="3"/>
      <c r="AG829" s="3"/>
      <c r="AH829" s="3"/>
      <c r="AI829" s="3"/>
      <c r="AJ829" s="3"/>
      <c r="AK829" s="3"/>
      <c r="AL829" s="3"/>
    </row>
    <row r="830" ht="15.75" customHeight="1">
      <c r="A830" s="45"/>
      <c r="B830" s="2"/>
      <c r="C830" s="667"/>
      <c r="D830" s="2"/>
      <c r="E830" s="668"/>
      <c r="F830" s="2"/>
      <c r="G830" s="2"/>
      <c r="H830" s="2"/>
      <c r="I830" s="2"/>
      <c r="J830" s="2"/>
      <c r="K830" s="2"/>
      <c r="L830" s="2"/>
      <c r="M830" s="2"/>
      <c r="N830" s="667"/>
      <c r="O830" s="2"/>
      <c r="P830" s="2"/>
      <c r="Q830" s="2"/>
      <c r="R830" s="3"/>
      <c r="S830" s="3"/>
      <c r="T830" s="3"/>
      <c r="U830" s="3"/>
      <c r="V830" s="3"/>
      <c r="W830" s="3"/>
      <c r="X830" s="3"/>
      <c r="Y830" s="3"/>
      <c r="Z830" s="3"/>
      <c r="AA830" s="3"/>
      <c r="AB830" s="3"/>
      <c r="AC830" s="3"/>
      <c r="AD830" s="3"/>
      <c r="AE830" s="3"/>
      <c r="AF830" s="3"/>
      <c r="AG830" s="3"/>
      <c r="AH830" s="3"/>
      <c r="AI830" s="3"/>
      <c r="AJ830" s="3"/>
      <c r="AK830" s="3"/>
      <c r="AL830" s="3"/>
    </row>
    <row r="831" ht="15.75" customHeight="1">
      <c r="A831" s="45"/>
      <c r="B831" s="2"/>
      <c r="C831" s="667"/>
      <c r="D831" s="2"/>
      <c r="E831" s="668"/>
      <c r="F831" s="2"/>
      <c r="G831" s="2"/>
      <c r="H831" s="2"/>
      <c r="I831" s="2"/>
      <c r="J831" s="2"/>
      <c r="K831" s="2"/>
      <c r="L831" s="2"/>
      <c r="M831" s="2"/>
      <c r="N831" s="667"/>
      <c r="O831" s="2"/>
      <c r="P831" s="2"/>
      <c r="Q831" s="2"/>
      <c r="R831" s="3"/>
      <c r="S831" s="3"/>
      <c r="T831" s="3"/>
      <c r="U831" s="3"/>
      <c r="V831" s="3"/>
      <c r="W831" s="3"/>
      <c r="X831" s="3"/>
      <c r="Y831" s="3"/>
      <c r="Z831" s="3"/>
      <c r="AA831" s="3"/>
      <c r="AB831" s="3"/>
      <c r="AC831" s="3"/>
      <c r="AD831" s="3"/>
      <c r="AE831" s="3"/>
      <c r="AF831" s="3"/>
      <c r="AG831" s="3"/>
      <c r="AH831" s="3"/>
      <c r="AI831" s="3"/>
      <c r="AJ831" s="3"/>
      <c r="AK831" s="3"/>
      <c r="AL831" s="3"/>
    </row>
    <row r="832" ht="15.75" customHeight="1">
      <c r="A832" s="45"/>
      <c r="B832" s="2"/>
      <c r="C832" s="667"/>
      <c r="D832" s="2"/>
      <c r="E832" s="668"/>
      <c r="F832" s="2"/>
      <c r="G832" s="2"/>
      <c r="H832" s="2"/>
      <c r="I832" s="2"/>
      <c r="J832" s="2"/>
      <c r="K832" s="2"/>
      <c r="L832" s="2"/>
      <c r="M832" s="2"/>
      <c r="N832" s="667"/>
      <c r="O832" s="2"/>
      <c r="P832" s="2"/>
      <c r="Q832" s="2"/>
      <c r="R832" s="3"/>
      <c r="S832" s="3"/>
      <c r="T832" s="3"/>
      <c r="U832" s="3"/>
      <c r="V832" s="3"/>
      <c r="W832" s="3"/>
      <c r="X832" s="3"/>
      <c r="Y832" s="3"/>
      <c r="Z832" s="3"/>
      <c r="AA832" s="3"/>
      <c r="AB832" s="3"/>
      <c r="AC832" s="3"/>
      <c r="AD832" s="3"/>
      <c r="AE832" s="3"/>
      <c r="AF832" s="3"/>
      <c r="AG832" s="3"/>
      <c r="AH832" s="3"/>
      <c r="AI832" s="3"/>
      <c r="AJ832" s="3"/>
      <c r="AK832" s="3"/>
      <c r="AL832" s="3"/>
    </row>
    <row r="833" ht="15.75" customHeight="1">
      <c r="A833" s="45"/>
      <c r="B833" s="2"/>
      <c r="C833" s="667"/>
      <c r="D833" s="2"/>
      <c r="E833" s="668"/>
      <c r="F833" s="2"/>
      <c r="G833" s="2"/>
      <c r="H833" s="2"/>
      <c r="I833" s="2"/>
      <c r="J833" s="2"/>
      <c r="K833" s="2"/>
      <c r="L833" s="2"/>
      <c r="M833" s="2"/>
      <c r="N833" s="667"/>
      <c r="O833" s="2"/>
      <c r="P833" s="2"/>
      <c r="Q833" s="2"/>
      <c r="R833" s="3"/>
      <c r="S833" s="3"/>
      <c r="T833" s="3"/>
      <c r="U833" s="3"/>
      <c r="V833" s="3"/>
      <c r="W833" s="3"/>
      <c r="X833" s="3"/>
      <c r="Y833" s="3"/>
      <c r="Z833" s="3"/>
      <c r="AA833" s="3"/>
      <c r="AB833" s="3"/>
      <c r="AC833" s="3"/>
      <c r="AD833" s="3"/>
      <c r="AE833" s="3"/>
      <c r="AF833" s="3"/>
      <c r="AG833" s="3"/>
      <c r="AH833" s="3"/>
      <c r="AI833" s="3"/>
      <c r="AJ833" s="3"/>
      <c r="AK833" s="3"/>
      <c r="AL833" s="3"/>
    </row>
    <row r="834" ht="15.75" customHeight="1">
      <c r="A834" s="45"/>
      <c r="B834" s="2"/>
      <c r="C834" s="667"/>
      <c r="D834" s="2"/>
      <c r="E834" s="668"/>
      <c r="F834" s="2"/>
      <c r="G834" s="2"/>
      <c r="H834" s="2"/>
      <c r="I834" s="2"/>
      <c r="J834" s="2"/>
      <c r="K834" s="2"/>
      <c r="L834" s="2"/>
      <c r="M834" s="2"/>
      <c r="N834" s="667"/>
      <c r="O834" s="2"/>
      <c r="P834" s="2"/>
      <c r="Q834" s="2"/>
      <c r="R834" s="3"/>
      <c r="S834" s="3"/>
      <c r="T834" s="3"/>
      <c r="U834" s="3"/>
      <c r="V834" s="3"/>
      <c r="W834" s="3"/>
      <c r="X834" s="3"/>
      <c r="Y834" s="3"/>
      <c r="Z834" s="3"/>
      <c r="AA834" s="3"/>
      <c r="AB834" s="3"/>
      <c r="AC834" s="3"/>
      <c r="AD834" s="3"/>
      <c r="AE834" s="3"/>
      <c r="AF834" s="3"/>
      <c r="AG834" s="3"/>
      <c r="AH834" s="3"/>
      <c r="AI834" s="3"/>
      <c r="AJ834" s="3"/>
      <c r="AK834" s="3"/>
      <c r="AL834" s="3"/>
    </row>
    <row r="835" ht="15.75" customHeight="1">
      <c r="A835" s="45"/>
      <c r="B835" s="2"/>
      <c r="C835" s="667"/>
      <c r="D835" s="2"/>
      <c r="E835" s="668"/>
      <c r="F835" s="2"/>
      <c r="G835" s="2"/>
      <c r="H835" s="2"/>
      <c r="I835" s="2"/>
      <c r="J835" s="2"/>
      <c r="K835" s="2"/>
      <c r="L835" s="2"/>
      <c r="M835" s="2"/>
      <c r="N835" s="667"/>
      <c r="O835" s="2"/>
      <c r="P835" s="2"/>
      <c r="Q835" s="2"/>
      <c r="R835" s="3"/>
      <c r="S835" s="3"/>
      <c r="T835" s="3"/>
      <c r="U835" s="3"/>
      <c r="V835" s="3"/>
      <c r="W835" s="3"/>
      <c r="X835" s="3"/>
      <c r="Y835" s="3"/>
      <c r="Z835" s="3"/>
      <c r="AA835" s="3"/>
      <c r="AB835" s="3"/>
      <c r="AC835" s="3"/>
      <c r="AD835" s="3"/>
      <c r="AE835" s="3"/>
      <c r="AF835" s="3"/>
      <c r="AG835" s="3"/>
      <c r="AH835" s="3"/>
      <c r="AI835" s="3"/>
      <c r="AJ835" s="3"/>
      <c r="AK835" s="3"/>
      <c r="AL835" s="3"/>
    </row>
    <row r="836" ht="15.75" customHeight="1">
      <c r="A836" s="45"/>
      <c r="B836" s="2"/>
      <c r="C836" s="667"/>
      <c r="D836" s="2"/>
      <c r="E836" s="668"/>
      <c r="F836" s="2"/>
      <c r="G836" s="2"/>
      <c r="H836" s="2"/>
      <c r="I836" s="2"/>
      <c r="J836" s="2"/>
      <c r="K836" s="2"/>
      <c r="L836" s="2"/>
      <c r="M836" s="2"/>
      <c r="N836" s="667"/>
      <c r="O836" s="2"/>
      <c r="P836" s="2"/>
      <c r="Q836" s="2"/>
      <c r="R836" s="3"/>
      <c r="S836" s="3"/>
      <c r="T836" s="3"/>
      <c r="U836" s="3"/>
      <c r="V836" s="3"/>
      <c r="W836" s="3"/>
      <c r="X836" s="3"/>
      <c r="Y836" s="3"/>
      <c r="Z836" s="3"/>
      <c r="AA836" s="3"/>
      <c r="AB836" s="3"/>
      <c r="AC836" s="3"/>
      <c r="AD836" s="3"/>
      <c r="AE836" s="3"/>
      <c r="AF836" s="3"/>
      <c r="AG836" s="3"/>
      <c r="AH836" s="3"/>
      <c r="AI836" s="3"/>
      <c r="AJ836" s="3"/>
      <c r="AK836" s="3"/>
      <c r="AL836" s="3"/>
    </row>
    <row r="837" ht="15.75" customHeight="1">
      <c r="A837" s="45"/>
      <c r="B837" s="2"/>
      <c r="C837" s="667"/>
      <c r="D837" s="2"/>
      <c r="E837" s="668"/>
      <c r="F837" s="2"/>
      <c r="G837" s="2"/>
      <c r="H837" s="2"/>
      <c r="I837" s="2"/>
      <c r="J837" s="2"/>
      <c r="K837" s="2"/>
      <c r="L837" s="2"/>
      <c r="M837" s="2"/>
      <c r="N837" s="667"/>
      <c r="O837" s="2"/>
      <c r="P837" s="2"/>
      <c r="Q837" s="2"/>
      <c r="R837" s="3"/>
      <c r="S837" s="3"/>
      <c r="T837" s="3"/>
      <c r="U837" s="3"/>
      <c r="V837" s="3"/>
      <c r="W837" s="3"/>
      <c r="X837" s="3"/>
      <c r="Y837" s="3"/>
      <c r="Z837" s="3"/>
      <c r="AA837" s="3"/>
      <c r="AB837" s="3"/>
      <c r="AC837" s="3"/>
      <c r="AD837" s="3"/>
      <c r="AE837" s="3"/>
      <c r="AF837" s="3"/>
      <c r="AG837" s="3"/>
      <c r="AH837" s="3"/>
      <c r="AI837" s="3"/>
      <c r="AJ837" s="3"/>
      <c r="AK837" s="3"/>
      <c r="AL837" s="3"/>
    </row>
    <row r="838" ht="15.75" customHeight="1">
      <c r="A838" s="45"/>
      <c r="B838" s="2"/>
      <c r="C838" s="667"/>
      <c r="D838" s="2"/>
      <c r="E838" s="668"/>
      <c r="F838" s="2"/>
      <c r="G838" s="2"/>
      <c r="H838" s="2"/>
      <c r="I838" s="2"/>
      <c r="J838" s="2"/>
      <c r="K838" s="2"/>
      <c r="L838" s="2"/>
      <c r="M838" s="2"/>
      <c r="N838" s="667"/>
      <c r="O838" s="2"/>
      <c r="P838" s="2"/>
      <c r="Q838" s="2"/>
      <c r="R838" s="3"/>
      <c r="S838" s="3"/>
      <c r="T838" s="3"/>
      <c r="U838" s="3"/>
      <c r="V838" s="3"/>
      <c r="W838" s="3"/>
      <c r="X838" s="3"/>
      <c r="Y838" s="3"/>
      <c r="Z838" s="3"/>
      <c r="AA838" s="3"/>
      <c r="AB838" s="3"/>
      <c r="AC838" s="3"/>
      <c r="AD838" s="3"/>
      <c r="AE838" s="3"/>
      <c r="AF838" s="3"/>
      <c r="AG838" s="3"/>
      <c r="AH838" s="3"/>
      <c r="AI838" s="3"/>
      <c r="AJ838" s="3"/>
      <c r="AK838" s="3"/>
      <c r="AL838" s="3"/>
    </row>
    <row r="839" ht="15.75" customHeight="1">
      <c r="A839" s="45"/>
      <c r="B839" s="2"/>
      <c r="C839" s="667"/>
      <c r="D839" s="2"/>
      <c r="E839" s="668"/>
      <c r="F839" s="2"/>
      <c r="G839" s="2"/>
      <c r="H839" s="2"/>
      <c r="I839" s="2"/>
      <c r="J839" s="2"/>
      <c r="K839" s="2"/>
      <c r="L839" s="2"/>
      <c r="M839" s="2"/>
      <c r="N839" s="667"/>
      <c r="O839" s="2"/>
      <c r="P839" s="2"/>
      <c r="Q839" s="2"/>
      <c r="R839" s="3"/>
      <c r="S839" s="3"/>
      <c r="T839" s="3"/>
      <c r="U839" s="3"/>
      <c r="V839" s="3"/>
      <c r="W839" s="3"/>
      <c r="X839" s="3"/>
      <c r="Y839" s="3"/>
      <c r="Z839" s="3"/>
      <c r="AA839" s="3"/>
      <c r="AB839" s="3"/>
      <c r="AC839" s="3"/>
      <c r="AD839" s="3"/>
      <c r="AE839" s="3"/>
      <c r="AF839" s="3"/>
      <c r="AG839" s="3"/>
      <c r="AH839" s="3"/>
      <c r="AI839" s="3"/>
      <c r="AJ839" s="3"/>
      <c r="AK839" s="3"/>
      <c r="AL839" s="3"/>
    </row>
    <row r="840" ht="15.75" customHeight="1">
      <c r="A840" s="45"/>
      <c r="B840" s="2"/>
      <c r="C840" s="667"/>
      <c r="D840" s="2"/>
      <c r="E840" s="668"/>
      <c r="F840" s="2"/>
      <c r="G840" s="2"/>
      <c r="H840" s="2"/>
      <c r="I840" s="2"/>
      <c r="J840" s="2"/>
      <c r="K840" s="2"/>
      <c r="L840" s="2"/>
      <c r="M840" s="2"/>
      <c r="N840" s="667"/>
      <c r="O840" s="2"/>
      <c r="P840" s="2"/>
      <c r="Q840" s="2"/>
      <c r="R840" s="3"/>
      <c r="S840" s="3"/>
      <c r="T840" s="3"/>
      <c r="U840" s="3"/>
      <c r="V840" s="3"/>
      <c r="W840" s="3"/>
      <c r="X840" s="3"/>
      <c r="Y840" s="3"/>
      <c r="Z840" s="3"/>
      <c r="AA840" s="3"/>
      <c r="AB840" s="3"/>
      <c r="AC840" s="3"/>
      <c r="AD840" s="3"/>
      <c r="AE840" s="3"/>
      <c r="AF840" s="3"/>
      <c r="AG840" s="3"/>
      <c r="AH840" s="3"/>
      <c r="AI840" s="3"/>
      <c r="AJ840" s="3"/>
      <c r="AK840" s="3"/>
      <c r="AL840" s="3"/>
    </row>
    <row r="841" ht="15.75" customHeight="1">
      <c r="A841" s="45"/>
      <c r="B841" s="2"/>
      <c r="C841" s="667"/>
      <c r="D841" s="2"/>
      <c r="E841" s="668"/>
      <c r="F841" s="2"/>
      <c r="G841" s="2"/>
      <c r="H841" s="2"/>
      <c r="I841" s="2"/>
      <c r="J841" s="2"/>
      <c r="K841" s="2"/>
      <c r="L841" s="2"/>
      <c r="M841" s="2"/>
      <c r="N841" s="667"/>
      <c r="O841" s="2"/>
      <c r="P841" s="2"/>
      <c r="Q841" s="2"/>
      <c r="R841" s="3"/>
      <c r="S841" s="3"/>
      <c r="T841" s="3"/>
      <c r="U841" s="3"/>
      <c r="V841" s="3"/>
      <c r="W841" s="3"/>
      <c r="X841" s="3"/>
      <c r="Y841" s="3"/>
      <c r="Z841" s="3"/>
      <c r="AA841" s="3"/>
      <c r="AB841" s="3"/>
      <c r="AC841" s="3"/>
      <c r="AD841" s="3"/>
      <c r="AE841" s="3"/>
      <c r="AF841" s="3"/>
      <c r="AG841" s="3"/>
      <c r="AH841" s="3"/>
      <c r="AI841" s="3"/>
      <c r="AJ841" s="3"/>
      <c r="AK841" s="3"/>
      <c r="AL841" s="3"/>
    </row>
    <row r="842" ht="15.75" customHeight="1">
      <c r="A842" s="45"/>
      <c r="B842" s="2"/>
      <c r="C842" s="667"/>
      <c r="D842" s="2"/>
      <c r="E842" s="668"/>
      <c r="F842" s="2"/>
      <c r="G842" s="2"/>
      <c r="H842" s="2"/>
      <c r="I842" s="2"/>
      <c r="J842" s="2"/>
      <c r="K842" s="2"/>
      <c r="L842" s="2"/>
      <c r="M842" s="2"/>
      <c r="N842" s="667"/>
      <c r="O842" s="2"/>
      <c r="P842" s="2"/>
      <c r="Q842" s="2"/>
      <c r="R842" s="3"/>
      <c r="S842" s="3"/>
      <c r="T842" s="3"/>
      <c r="U842" s="3"/>
      <c r="V842" s="3"/>
      <c r="W842" s="3"/>
      <c r="X842" s="3"/>
      <c r="Y842" s="3"/>
      <c r="Z842" s="3"/>
      <c r="AA842" s="3"/>
      <c r="AB842" s="3"/>
      <c r="AC842" s="3"/>
      <c r="AD842" s="3"/>
      <c r="AE842" s="3"/>
      <c r="AF842" s="3"/>
      <c r="AG842" s="3"/>
      <c r="AH842" s="3"/>
      <c r="AI842" s="3"/>
      <c r="AJ842" s="3"/>
      <c r="AK842" s="3"/>
      <c r="AL842" s="3"/>
    </row>
    <row r="843" ht="15.75" customHeight="1">
      <c r="A843" s="45"/>
      <c r="B843" s="2"/>
      <c r="C843" s="667"/>
      <c r="D843" s="2"/>
      <c r="E843" s="668"/>
      <c r="F843" s="2"/>
      <c r="G843" s="2"/>
      <c r="H843" s="2"/>
      <c r="I843" s="2"/>
      <c r="J843" s="2"/>
      <c r="K843" s="2"/>
      <c r="L843" s="2"/>
      <c r="M843" s="2"/>
      <c r="N843" s="667"/>
      <c r="O843" s="2"/>
      <c r="P843" s="2"/>
      <c r="Q843" s="2"/>
      <c r="R843" s="3"/>
      <c r="S843" s="3"/>
      <c r="T843" s="3"/>
      <c r="U843" s="3"/>
      <c r="V843" s="3"/>
      <c r="W843" s="3"/>
      <c r="X843" s="3"/>
      <c r="Y843" s="3"/>
      <c r="Z843" s="3"/>
      <c r="AA843" s="3"/>
      <c r="AB843" s="3"/>
      <c r="AC843" s="3"/>
      <c r="AD843" s="3"/>
      <c r="AE843" s="3"/>
      <c r="AF843" s="3"/>
      <c r="AG843" s="3"/>
      <c r="AH843" s="3"/>
      <c r="AI843" s="3"/>
      <c r="AJ843" s="3"/>
      <c r="AK843" s="3"/>
      <c r="AL843" s="3"/>
    </row>
    <row r="844" ht="15.75" customHeight="1">
      <c r="A844" s="45"/>
      <c r="B844" s="2"/>
      <c r="C844" s="667"/>
      <c r="D844" s="2"/>
      <c r="E844" s="668"/>
      <c r="F844" s="2"/>
      <c r="G844" s="2"/>
      <c r="H844" s="2"/>
      <c r="I844" s="2"/>
      <c r="J844" s="2"/>
      <c r="K844" s="2"/>
      <c r="L844" s="2"/>
      <c r="M844" s="2"/>
      <c r="N844" s="667"/>
      <c r="O844" s="2"/>
      <c r="P844" s="2"/>
      <c r="Q844" s="2"/>
      <c r="R844" s="3"/>
      <c r="S844" s="3"/>
      <c r="T844" s="3"/>
      <c r="U844" s="3"/>
      <c r="V844" s="3"/>
      <c r="W844" s="3"/>
      <c r="X844" s="3"/>
      <c r="Y844" s="3"/>
      <c r="Z844" s="3"/>
      <c r="AA844" s="3"/>
      <c r="AB844" s="3"/>
      <c r="AC844" s="3"/>
      <c r="AD844" s="3"/>
      <c r="AE844" s="3"/>
      <c r="AF844" s="3"/>
      <c r="AG844" s="3"/>
      <c r="AH844" s="3"/>
      <c r="AI844" s="3"/>
      <c r="AJ844" s="3"/>
      <c r="AK844" s="3"/>
      <c r="AL844" s="3"/>
    </row>
    <row r="845" ht="15.75" customHeight="1">
      <c r="A845" s="45"/>
      <c r="B845" s="2"/>
      <c r="C845" s="667"/>
      <c r="D845" s="2"/>
      <c r="E845" s="668"/>
      <c r="F845" s="2"/>
      <c r="G845" s="2"/>
      <c r="H845" s="2"/>
      <c r="I845" s="2"/>
      <c r="J845" s="2"/>
      <c r="K845" s="2"/>
      <c r="L845" s="2"/>
      <c r="M845" s="2"/>
      <c r="N845" s="667"/>
      <c r="O845" s="2"/>
      <c r="P845" s="2"/>
      <c r="Q845" s="2"/>
      <c r="R845" s="3"/>
      <c r="S845" s="3"/>
      <c r="T845" s="3"/>
      <c r="U845" s="3"/>
      <c r="V845" s="3"/>
      <c r="W845" s="3"/>
      <c r="X845" s="3"/>
      <c r="Y845" s="3"/>
      <c r="Z845" s="3"/>
      <c r="AA845" s="3"/>
      <c r="AB845" s="3"/>
      <c r="AC845" s="3"/>
      <c r="AD845" s="3"/>
      <c r="AE845" s="3"/>
      <c r="AF845" s="3"/>
      <c r="AG845" s="3"/>
      <c r="AH845" s="3"/>
      <c r="AI845" s="3"/>
      <c r="AJ845" s="3"/>
      <c r="AK845" s="3"/>
      <c r="AL845" s="3"/>
    </row>
    <row r="846" ht="15.75" customHeight="1">
      <c r="A846" s="45"/>
      <c r="B846" s="2"/>
      <c r="C846" s="667"/>
      <c r="D846" s="2"/>
      <c r="E846" s="668"/>
      <c r="F846" s="2"/>
      <c r="G846" s="2"/>
      <c r="H846" s="2"/>
      <c r="I846" s="2"/>
      <c r="J846" s="2"/>
      <c r="K846" s="2"/>
      <c r="L846" s="2"/>
      <c r="M846" s="2"/>
      <c r="N846" s="667"/>
      <c r="O846" s="2"/>
      <c r="P846" s="2"/>
      <c r="Q846" s="2"/>
      <c r="R846" s="3"/>
      <c r="S846" s="3"/>
      <c r="T846" s="3"/>
      <c r="U846" s="3"/>
      <c r="V846" s="3"/>
      <c r="W846" s="3"/>
      <c r="X846" s="3"/>
      <c r="Y846" s="3"/>
      <c r="Z846" s="3"/>
      <c r="AA846" s="3"/>
      <c r="AB846" s="3"/>
      <c r="AC846" s="3"/>
      <c r="AD846" s="3"/>
      <c r="AE846" s="3"/>
      <c r="AF846" s="3"/>
      <c r="AG846" s="3"/>
      <c r="AH846" s="3"/>
      <c r="AI846" s="3"/>
      <c r="AJ846" s="3"/>
      <c r="AK846" s="3"/>
      <c r="AL846" s="3"/>
    </row>
    <row r="847" ht="15.75" customHeight="1">
      <c r="A847" s="45"/>
      <c r="B847" s="2"/>
      <c r="C847" s="667"/>
      <c r="D847" s="2"/>
      <c r="E847" s="668"/>
      <c r="F847" s="2"/>
      <c r="G847" s="2"/>
      <c r="H847" s="2"/>
      <c r="I847" s="2"/>
      <c r="J847" s="2"/>
      <c r="K847" s="2"/>
      <c r="L847" s="2"/>
      <c r="M847" s="2"/>
      <c r="N847" s="667"/>
      <c r="O847" s="2"/>
      <c r="P847" s="2"/>
      <c r="Q847" s="2"/>
      <c r="R847" s="3"/>
      <c r="S847" s="3"/>
      <c r="T847" s="3"/>
      <c r="U847" s="3"/>
      <c r="V847" s="3"/>
      <c r="W847" s="3"/>
      <c r="X847" s="3"/>
      <c r="Y847" s="3"/>
      <c r="Z847" s="3"/>
      <c r="AA847" s="3"/>
      <c r="AB847" s="3"/>
      <c r="AC847" s="3"/>
      <c r="AD847" s="3"/>
      <c r="AE847" s="3"/>
      <c r="AF847" s="3"/>
      <c r="AG847" s="3"/>
      <c r="AH847" s="3"/>
      <c r="AI847" s="3"/>
      <c r="AJ847" s="3"/>
      <c r="AK847" s="3"/>
      <c r="AL847" s="3"/>
    </row>
    <row r="848" ht="15.75" customHeight="1">
      <c r="A848" s="45"/>
      <c r="B848" s="2"/>
      <c r="C848" s="667"/>
      <c r="D848" s="2"/>
      <c r="E848" s="668"/>
      <c r="F848" s="2"/>
      <c r="G848" s="2"/>
      <c r="H848" s="2"/>
      <c r="I848" s="2"/>
      <c r="J848" s="2"/>
      <c r="K848" s="2"/>
      <c r="L848" s="2"/>
      <c r="M848" s="2"/>
      <c r="N848" s="667"/>
      <c r="O848" s="2"/>
      <c r="P848" s="2"/>
      <c r="Q848" s="2"/>
      <c r="R848" s="3"/>
      <c r="S848" s="3"/>
      <c r="T848" s="3"/>
      <c r="U848" s="3"/>
      <c r="V848" s="3"/>
      <c r="W848" s="3"/>
      <c r="X848" s="3"/>
      <c r="Y848" s="3"/>
      <c r="Z848" s="3"/>
      <c r="AA848" s="3"/>
      <c r="AB848" s="3"/>
      <c r="AC848" s="3"/>
      <c r="AD848" s="3"/>
      <c r="AE848" s="3"/>
      <c r="AF848" s="3"/>
      <c r="AG848" s="3"/>
      <c r="AH848" s="3"/>
      <c r="AI848" s="3"/>
      <c r="AJ848" s="3"/>
      <c r="AK848" s="3"/>
      <c r="AL848" s="3"/>
    </row>
    <row r="849" ht="15.75" customHeight="1">
      <c r="A849" s="45"/>
      <c r="B849" s="2"/>
      <c r="C849" s="667"/>
      <c r="D849" s="2"/>
      <c r="E849" s="668"/>
      <c r="F849" s="2"/>
      <c r="G849" s="2"/>
      <c r="H849" s="2"/>
      <c r="I849" s="2"/>
      <c r="J849" s="2"/>
      <c r="K849" s="2"/>
      <c r="L849" s="2"/>
      <c r="M849" s="2"/>
      <c r="N849" s="667"/>
      <c r="O849" s="2"/>
      <c r="P849" s="2"/>
      <c r="Q849" s="2"/>
      <c r="R849" s="3"/>
      <c r="S849" s="3"/>
      <c r="T849" s="3"/>
      <c r="U849" s="3"/>
      <c r="V849" s="3"/>
      <c r="W849" s="3"/>
      <c r="X849" s="3"/>
      <c r="Y849" s="3"/>
      <c r="Z849" s="3"/>
      <c r="AA849" s="3"/>
      <c r="AB849" s="3"/>
      <c r="AC849" s="3"/>
      <c r="AD849" s="3"/>
      <c r="AE849" s="3"/>
      <c r="AF849" s="3"/>
      <c r="AG849" s="3"/>
      <c r="AH849" s="3"/>
      <c r="AI849" s="3"/>
      <c r="AJ849" s="3"/>
      <c r="AK849" s="3"/>
      <c r="AL849" s="3"/>
    </row>
    <row r="850" ht="15.75" customHeight="1">
      <c r="A850" s="45"/>
      <c r="B850" s="2"/>
      <c r="C850" s="667"/>
      <c r="D850" s="2"/>
      <c r="E850" s="668"/>
      <c r="F850" s="2"/>
      <c r="G850" s="2"/>
      <c r="H850" s="2"/>
      <c r="I850" s="2"/>
      <c r="J850" s="2"/>
      <c r="K850" s="2"/>
      <c r="L850" s="2"/>
      <c r="M850" s="2"/>
      <c r="N850" s="667"/>
      <c r="O850" s="2"/>
      <c r="P850" s="2"/>
      <c r="Q850" s="2"/>
      <c r="R850" s="3"/>
      <c r="S850" s="3"/>
      <c r="T850" s="3"/>
      <c r="U850" s="3"/>
      <c r="V850" s="3"/>
      <c r="W850" s="3"/>
      <c r="X850" s="3"/>
      <c r="Y850" s="3"/>
      <c r="Z850" s="3"/>
      <c r="AA850" s="3"/>
      <c r="AB850" s="3"/>
      <c r="AC850" s="3"/>
      <c r="AD850" s="3"/>
      <c r="AE850" s="3"/>
      <c r="AF850" s="3"/>
      <c r="AG850" s="3"/>
      <c r="AH850" s="3"/>
      <c r="AI850" s="3"/>
      <c r="AJ850" s="3"/>
      <c r="AK850" s="3"/>
      <c r="AL850" s="3"/>
    </row>
    <row r="851" ht="15.75" customHeight="1">
      <c r="A851" s="45"/>
      <c r="B851" s="2"/>
      <c r="C851" s="667"/>
      <c r="D851" s="2"/>
      <c r="E851" s="668"/>
      <c r="F851" s="2"/>
      <c r="G851" s="2"/>
      <c r="H851" s="2"/>
      <c r="I851" s="2"/>
      <c r="J851" s="2"/>
      <c r="K851" s="2"/>
      <c r="L851" s="2"/>
      <c r="M851" s="2"/>
      <c r="N851" s="667"/>
      <c r="O851" s="2"/>
      <c r="P851" s="2"/>
      <c r="Q851" s="2"/>
      <c r="R851" s="3"/>
      <c r="S851" s="3"/>
      <c r="T851" s="3"/>
      <c r="U851" s="3"/>
      <c r="V851" s="3"/>
      <c r="W851" s="3"/>
      <c r="X851" s="3"/>
      <c r="Y851" s="3"/>
      <c r="Z851" s="3"/>
      <c r="AA851" s="3"/>
      <c r="AB851" s="3"/>
      <c r="AC851" s="3"/>
      <c r="AD851" s="3"/>
      <c r="AE851" s="3"/>
      <c r="AF851" s="3"/>
      <c r="AG851" s="3"/>
      <c r="AH851" s="3"/>
      <c r="AI851" s="3"/>
      <c r="AJ851" s="3"/>
      <c r="AK851" s="3"/>
      <c r="AL851" s="3"/>
    </row>
    <row r="852" ht="15.75" customHeight="1">
      <c r="A852" s="45"/>
      <c r="B852" s="2"/>
      <c r="C852" s="667"/>
      <c r="D852" s="2"/>
      <c r="E852" s="668"/>
      <c r="F852" s="2"/>
      <c r="G852" s="2"/>
      <c r="H852" s="2"/>
      <c r="I852" s="2"/>
      <c r="J852" s="2"/>
      <c r="K852" s="2"/>
      <c r="L852" s="2"/>
      <c r="M852" s="2"/>
      <c r="N852" s="667"/>
      <c r="O852" s="2"/>
      <c r="P852" s="2"/>
      <c r="Q852" s="2"/>
      <c r="R852" s="3"/>
      <c r="S852" s="3"/>
      <c r="T852" s="3"/>
      <c r="U852" s="3"/>
      <c r="V852" s="3"/>
      <c r="W852" s="3"/>
      <c r="X852" s="3"/>
      <c r="Y852" s="3"/>
      <c r="Z852" s="3"/>
      <c r="AA852" s="3"/>
      <c r="AB852" s="3"/>
      <c r="AC852" s="3"/>
      <c r="AD852" s="3"/>
      <c r="AE852" s="3"/>
      <c r="AF852" s="3"/>
      <c r="AG852" s="3"/>
      <c r="AH852" s="3"/>
      <c r="AI852" s="3"/>
      <c r="AJ852" s="3"/>
      <c r="AK852" s="3"/>
      <c r="AL852" s="3"/>
    </row>
    <row r="853" ht="15.75" customHeight="1">
      <c r="A853" s="45"/>
      <c r="B853" s="2"/>
      <c r="C853" s="667"/>
      <c r="D853" s="2"/>
      <c r="E853" s="668"/>
      <c r="F853" s="2"/>
      <c r="G853" s="2"/>
      <c r="H853" s="2"/>
      <c r="I853" s="2"/>
      <c r="J853" s="2"/>
      <c r="K853" s="2"/>
      <c r="L853" s="2"/>
      <c r="M853" s="2"/>
      <c r="N853" s="667"/>
      <c r="O853" s="2"/>
      <c r="P853" s="2"/>
      <c r="Q853" s="2"/>
      <c r="R853" s="3"/>
      <c r="S853" s="3"/>
      <c r="T853" s="3"/>
      <c r="U853" s="3"/>
      <c r="V853" s="3"/>
      <c r="W853" s="3"/>
      <c r="X853" s="3"/>
      <c r="Y853" s="3"/>
      <c r="Z853" s="3"/>
      <c r="AA853" s="3"/>
      <c r="AB853" s="3"/>
      <c r="AC853" s="3"/>
      <c r="AD853" s="3"/>
      <c r="AE853" s="3"/>
      <c r="AF853" s="3"/>
      <c r="AG853" s="3"/>
      <c r="AH853" s="3"/>
      <c r="AI853" s="3"/>
      <c r="AJ853" s="3"/>
      <c r="AK853" s="3"/>
      <c r="AL853" s="3"/>
    </row>
    <row r="854" ht="15.75" customHeight="1">
      <c r="A854" s="45"/>
      <c r="B854" s="2"/>
      <c r="C854" s="667"/>
      <c r="D854" s="2"/>
      <c r="E854" s="668"/>
      <c r="F854" s="2"/>
      <c r="G854" s="2"/>
      <c r="H854" s="2"/>
      <c r="I854" s="2"/>
      <c r="J854" s="2"/>
      <c r="K854" s="2"/>
      <c r="L854" s="2"/>
      <c r="M854" s="2"/>
      <c r="N854" s="667"/>
      <c r="O854" s="2"/>
      <c r="P854" s="2"/>
      <c r="Q854" s="2"/>
      <c r="R854" s="3"/>
      <c r="S854" s="3"/>
      <c r="T854" s="3"/>
      <c r="U854" s="3"/>
      <c r="V854" s="3"/>
      <c r="W854" s="3"/>
      <c r="X854" s="3"/>
      <c r="Y854" s="3"/>
      <c r="Z854" s="3"/>
      <c r="AA854" s="3"/>
      <c r="AB854" s="3"/>
      <c r="AC854" s="3"/>
      <c r="AD854" s="3"/>
      <c r="AE854" s="3"/>
      <c r="AF854" s="3"/>
      <c r="AG854" s="3"/>
      <c r="AH854" s="3"/>
      <c r="AI854" s="3"/>
      <c r="AJ854" s="3"/>
      <c r="AK854" s="3"/>
      <c r="AL854" s="3"/>
    </row>
    <row r="855" ht="15.75" customHeight="1">
      <c r="A855" s="45"/>
      <c r="B855" s="2"/>
      <c r="C855" s="667"/>
      <c r="D855" s="2"/>
      <c r="E855" s="668"/>
      <c r="F855" s="2"/>
      <c r="G855" s="2"/>
      <c r="H855" s="2"/>
      <c r="I855" s="2"/>
      <c r="J855" s="2"/>
      <c r="K855" s="2"/>
      <c r="L855" s="2"/>
      <c r="M855" s="2"/>
      <c r="N855" s="667"/>
      <c r="O855" s="2"/>
      <c r="P855" s="2"/>
      <c r="Q855" s="2"/>
      <c r="R855" s="3"/>
      <c r="S855" s="3"/>
      <c r="T855" s="3"/>
      <c r="U855" s="3"/>
      <c r="V855" s="3"/>
      <c r="W855" s="3"/>
      <c r="X855" s="3"/>
      <c r="Y855" s="3"/>
      <c r="Z855" s="3"/>
      <c r="AA855" s="3"/>
      <c r="AB855" s="3"/>
      <c r="AC855" s="3"/>
      <c r="AD855" s="3"/>
      <c r="AE855" s="3"/>
      <c r="AF855" s="3"/>
      <c r="AG855" s="3"/>
      <c r="AH855" s="3"/>
      <c r="AI855" s="3"/>
      <c r="AJ855" s="3"/>
      <c r="AK855" s="3"/>
      <c r="AL855" s="3"/>
    </row>
    <row r="856" ht="15.75" customHeight="1">
      <c r="A856" s="45"/>
      <c r="B856" s="2"/>
      <c r="C856" s="667"/>
      <c r="D856" s="2"/>
      <c r="E856" s="668"/>
      <c r="F856" s="2"/>
      <c r="G856" s="2"/>
      <c r="H856" s="2"/>
      <c r="I856" s="2"/>
      <c r="J856" s="2"/>
      <c r="K856" s="2"/>
      <c r="L856" s="2"/>
      <c r="M856" s="2"/>
      <c r="N856" s="667"/>
      <c r="O856" s="2"/>
      <c r="P856" s="2"/>
      <c r="Q856" s="2"/>
      <c r="R856" s="3"/>
      <c r="S856" s="3"/>
      <c r="T856" s="3"/>
      <c r="U856" s="3"/>
      <c r="V856" s="3"/>
      <c r="W856" s="3"/>
      <c r="X856" s="3"/>
      <c r="Y856" s="3"/>
      <c r="Z856" s="3"/>
      <c r="AA856" s="3"/>
      <c r="AB856" s="3"/>
      <c r="AC856" s="3"/>
      <c r="AD856" s="3"/>
      <c r="AE856" s="3"/>
      <c r="AF856" s="3"/>
      <c r="AG856" s="3"/>
      <c r="AH856" s="3"/>
      <c r="AI856" s="3"/>
      <c r="AJ856" s="3"/>
      <c r="AK856" s="3"/>
      <c r="AL856" s="3"/>
    </row>
    <row r="857" ht="15.75" customHeight="1">
      <c r="A857" s="45"/>
      <c r="B857" s="2"/>
      <c r="C857" s="667"/>
      <c r="D857" s="2"/>
      <c r="E857" s="668"/>
      <c r="F857" s="2"/>
      <c r="G857" s="2"/>
      <c r="H857" s="2"/>
      <c r="I857" s="2"/>
      <c r="J857" s="2"/>
      <c r="K857" s="2"/>
      <c r="L857" s="2"/>
      <c r="M857" s="2"/>
      <c r="N857" s="667"/>
      <c r="O857" s="2"/>
      <c r="P857" s="2"/>
      <c r="Q857" s="2"/>
      <c r="R857" s="3"/>
      <c r="S857" s="3"/>
      <c r="T857" s="3"/>
      <c r="U857" s="3"/>
      <c r="V857" s="3"/>
      <c r="W857" s="3"/>
      <c r="X857" s="3"/>
      <c r="Y857" s="3"/>
      <c r="Z857" s="3"/>
      <c r="AA857" s="3"/>
      <c r="AB857" s="3"/>
      <c r="AC857" s="3"/>
      <c r="AD857" s="3"/>
      <c r="AE857" s="3"/>
      <c r="AF857" s="3"/>
      <c r="AG857" s="3"/>
      <c r="AH857" s="3"/>
      <c r="AI857" s="3"/>
      <c r="AJ857" s="3"/>
      <c r="AK857" s="3"/>
      <c r="AL857" s="3"/>
    </row>
    <row r="858" ht="15.75" customHeight="1">
      <c r="A858" s="45"/>
      <c r="B858" s="2"/>
      <c r="C858" s="667"/>
      <c r="D858" s="2"/>
      <c r="E858" s="668"/>
      <c r="F858" s="2"/>
      <c r="G858" s="2"/>
      <c r="H858" s="2"/>
      <c r="I858" s="2"/>
      <c r="J858" s="2"/>
      <c r="K858" s="2"/>
      <c r="L858" s="2"/>
      <c r="M858" s="2"/>
      <c r="N858" s="667"/>
      <c r="O858" s="2"/>
      <c r="P858" s="2"/>
      <c r="Q858" s="2"/>
      <c r="R858" s="3"/>
      <c r="S858" s="3"/>
      <c r="T858" s="3"/>
      <c r="U858" s="3"/>
      <c r="V858" s="3"/>
      <c r="W858" s="3"/>
      <c r="X858" s="3"/>
      <c r="Y858" s="3"/>
      <c r="Z858" s="3"/>
      <c r="AA858" s="3"/>
      <c r="AB858" s="3"/>
      <c r="AC858" s="3"/>
      <c r="AD858" s="3"/>
      <c r="AE858" s="3"/>
      <c r="AF858" s="3"/>
      <c r="AG858" s="3"/>
      <c r="AH858" s="3"/>
      <c r="AI858" s="3"/>
      <c r="AJ858" s="3"/>
      <c r="AK858" s="3"/>
      <c r="AL858" s="3"/>
    </row>
    <row r="859" ht="15.75" customHeight="1">
      <c r="A859" s="45"/>
      <c r="B859" s="2"/>
      <c r="C859" s="667"/>
      <c r="D859" s="2"/>
      <c r="E859" s="668"/>
      <c r="F859" s="2"/>
      <c r="G859" s="2"/>
      <c r="H859" s="2"/>
      <c r="I859" s="2"/>
      <c r="J859" s="2"/>
      <c r="K859" s="2"/>
      <c r="L859" s="2"/>
      <c r="M859" s="2"/>
      <c r="N859" s="667"/>
      <c r="O859" s="2"/>
      <c r="P859" s="2"/>
      <c r="Q859" s="2"/>
      <c r="R859" s="3"/>
      <c r="S859" s="3"/>
      <c r="T859" s="3"/>
      <c r="U859" s="3"/>
      <c r="V859" s="3"/>
      <c r="W859" s="3"/>
      <c r="X859" s="3"/>
      <c r="Y859" s="3"/>
      <c r="Z859" s="3"/>
      <c r="AA859" s="3"/>
      <c r="AB859" s="3"/>
      <c r="AC859" s="3"/>
      <c r="AD859" s="3"/>
      <c r="AE859" s="3"/>
      <c r="AF859" s="3"/>
      <c r="AG859" s="3"/>
      <c r="AH859" s="3"/>
      <c r="AI859" s="3"/>
      <c r="AJ859" s="3"/>
      <c r="AK859" s="3"/>
      <c r="AL859" s="3"/>
    </row>
    <row r="860" ht="15.75" customHeight="1">
      <c r="A860" s="45"/>
      <c r="B860" s="2"/>
      <c r="C860" s="667"/>
      <c r="D860" s="2"/>
      <c r="E860" s="668"/>
      <c r="F860" s="2"/>
      <c r="G860" s="2"/>
      <c r="H860" s="2"/>
      <c r="I860" s="2"/>
      <c r="J860" s="2"/>
      <c r="K860" s="2"/>
      <c r="L860" s="2"/>
      <c r="M860" s="2"/>
      <c r="N860" s="667"/>
      <c r="O860" s="2"/>
      <c r="P860" s="2"/>
      <c r="Q860" s="2"/>
      <c r="R860" s="3"/>
      <c r="S860" s="3"/>
      <c r="T860" s="3"/>
      <c r="U860" s="3"/>
      <c r="V860" s="3"/>
      <c r="W860" s="3"/>
      <c r="X860" s="3"/>
      <c r="Y860" s="3"/>
      <c r="Z860" s="3"/>
      <c r="AA860" s="3"/>
      <c r="AB860" s="3"/>
      <c r="AC860" s="3"/>
      <c r="AD860" s="3"/>
      <c r="AE860" s="3"/>
      <c r="AF860" s="3"/>
      <c r="AG860" s="3"/>
      <c r="AH860" s="3"/>
      <c r="AI860" s="3"/>
      <c r="AJ860" s="3"/>
      <c r="AK860" s="3"/>
      <c r="AL860" s="3"/>
    </row>
    <row r="861" ht="15.75" customHeight="1">
      <c r="A861" s="45"/>
      <c r="B861" s="2"/>
      <c r="C861" s="667"/>
      <c r="D861" s="2"/>
      <c r="E861" s="668"/>
      <c r="F861" s="2"/>
      <c r="G861" s="2"/>
      <c r="H861" s="2"/>
      <c r="I861" s="2"/>
      <c r="J861" s="2"/>
      <c r="K861" s="2"/>
      <c r="L861" s="2"/>
      <c r="M861" s="2"/>
      <c r="N861" s="667"/>
      <c r="O861" s="2"/>
      <c r="P861" s="2"/>
      <c r="Q861" s="2"/>
      <c r="R861" s="3"/>
      <c r="S861" s="3"/>
      <c r="T861" s="3"/>
      <c r="U861" s="3"/>
      <c r="V861" s="3"/>
      <c r="W861" s="3"/>
      <c r="X861" s="3"/>
      <c r="Y861" s="3"/>
      <c r="Z861" s="3"/>
      <c r="AA861" s="3"/>
      <c r="AB861" s="3"/>
      <c r="AC861" s="3"/>
      <c r="AD861" s="3"/>
      <c r="AE861" s="3"/>
      <c r="AF861" s="3"/>
      <c r="AG861" s="3"/>
      <c r="AH861" s="3"/>
      <c r="AI861" s="3"/>
      <c r="AJ861" s="3"/>
      <c r="AK861" s="3"/>
      <c r="AL861" s="3"/>
    </row>
    <row r="862" ht="15.75" customHeight="1">
      <c r="A862" s="45"/>
      <c r="B862" s="2"/>
      <c r="C862" s="667"/>
      <c r="D862" s="2"/>
      <c r="E862" s="668"/>
      <c r="F862" s="2"/>
      <c r="G862" s="2"/>
      <c r="H862" s="2"/>
      <c r="I862" s="2"/>
      <c r="J862" s="2"/>
      <c r="K862" s="2"/>
      <c r="L862" s="2"/>
      <c r="M862" s="2"/>
      <c r="N862" s="667"/>
      <c r="O862" s="2"/>
      <c r="P862" s="2"/>
      <c r="Q862" s="2"/>
      <c r="R862" s="3"/>
      <c r="S862" s="3"/>
      <c r="T862" s="3"/>
      <c r="U862" s="3"/>
      <c r="V862" s="3"/>
      <c r="W862" s="3"/>
      <c r="X862" s="3"/>
      <c r="Y862" s="3"/>
      <c r="Z862" s="3"/>
      <c r="AA862" s="3"/>
      <c r="AB862" s="3"/>
      <c r="AC862" s="3"/>
      <c r="AD862" s="3"/>
      <c r="AE862" s="3"/>
      <c r="AF862" s="3"/>
      <c r="AG862" s="3"/>
      <c r="AH862" s="3"/>
      <c r="AI862" s="3"/>
      <c r="AJ862" s="3"/>
      <c r="AK862" s="3"/>
      <c r="AL862" s="3"/>
    </row>
    <row r="863" ht="15.75" customHeight="1">
      <c r="A863" s="45"/>
      <c r="B863" s="2"/>
      <c r="C863" s="667"/>
      <c r="D863" s="2"/>
      <c r="E863" s="668"/>
      <c r="F863" s="2"/>
      <c r="G863" s="2"/>
      <c r="H863" s="2"/>
      <c r="I863" s="2"/>
      <c r="J863" s="2"/>
      <c r="K863" s="2"/>
      <c r="L863" s="2"/>
      <c r="M863" s="2"/>
      <c r="N863" s="667"/>
      <c r="O863" s="2"/>
      <c r="P863" s="2"/>
      <c r="Q863" s="2"/>
      <c r="R863" s="3"/>
      <c r="S863" s="3"/>
      <c r="T863" s="3"/>
      <c r="U863" s="3"/>
      <c r="V863" s="3"/>
      <c r="W863" s="3"/>
      <c r="X863" s="3"/>
      <c r="Y863" s="3"/>
      <c r="Z863" s="3"/>
      <c r="AA863" s="3"/>
      <c r="AB863" s="3"/>
      <c r="AC863" s="3"/>
      <c r="AD863" s="3"/>
      <c r="AE863" s="3"/>
      <c r="AF863" s="3"/>
      <c r="AG863" s="3"/>
      <c r="AH863" s="3"/>
      <c r="AI863" s="3"/>
      <c r="AJ863" s="3"/>
      <c r="AK863" s="3"/>
      <c r="AL863" s="3"/>
    </row>
    <row r="864" ht="15.75" customHeight="1">
      <c r="A864" s="45"/>
      <c r="B864" s="2"/>
      <c r="C864" s="667"/>
      <c r="D864" s="2"/>
      <c r="E864" s="668"/>
      <c r="F864" s="2"/>
      <c r="G864" s="2"/>
      <c r="H864" s="2"/>
      <c r="I864" s="2"/>
      <c r="J864" s="2"/>
      <c r="K864" s="2"/>
      <c r="L864" s="2"/>
      <c r="M864" s="2"/>
      <c r="N864" s="667"/>
      <c r="O864" s="2"/>
      <c r="P864" s="2"/>
      <c r="Q864" s="2"/>
      <c r="R864" s="3"/>
      <c r="S864" s="3"/>
      <c r="T864" s="3"/>
      <c r="U864" s="3"/>
      <c r="V864" s="3"/>
      <c r="W864" s="3"/>
      <c r="X864" s="3"/>
      <c r="Y864" s="3"/>
      <c r="Z864" s="3"/>
      <c r="AA864" s="3"/>
      <c r="AB864" s="3"/>
      <c r="AC864" s="3"/>
      <c r="AD864" s="3"/>
      <c r="AE864" s="3"/>
      <c r="AF864" s="3"/>
      <c r="AG864" s="3"/>
      <c r="AH864" s="3"/>
      <c r="AI864" s="3"/>
      <c r="AJ864" s="3"/>
      <c r="AK864" s="3"/>
      <c r="AL864" s="3"/>
    </row>
    <row r="865" ht="15.75" customHeight="1">
      <c r="A865" s="45"/>
      <c r="B865" s="2"/>
      <c r="C865" s="667"/>
      <c r="D865" s="2"/>
      <c r="E865" s="668"/>
      <c r="F865" s="2"/>
      <c r="G865" s="2"/>
      <c r="H865" s="2"/>
      <c r="I865" s="2"/>
      <c r="J865" s="2"/>
      <c r="K865" s="2"/>
      <c r="L865" s="2"/>
      <c r="M865" s="2"/>
      <c r="N865" s="667"/>
      <c r="O865" s="2"/>
      <c r="P865" s="2"/>
      <c r="Q865" s="2"/>
      <c r="R865" s="3"/>
      <c r="S865" s="3"/>
      <c r="T865" s="3"/>
      <c r="U865" s="3"/>
      <c r="V865" s="3"/>
      <c r="W865" s="3"/>
      <c r="X865" s="3"/>
      <c r="Y865" s="3"/>
      <c r="Z865" s="3"/>
      <c r="AA865" s="3"/>
      <c r="AB865" s="3"/>
      <c r="AC865" s="3"/>
      <c r="AD865" s="3"/>
      <c r="AE865" s="3"/>
      <c r="AF865" s="3"/>
      <c r="AG865" s="3"/>
      <c r="AH865" s="3"/>
      <c r="AI865" s="3"/>
      <c r="AJ865" s="3"/>
      <c r="AK865" s="3"/>
      <c r="AL865" s="3"/>
    </row>
    <row r="866" ht="15.75" customHeight="1">
      <c r="A866" s="45"/>
      <c r="B866" s="2"/>
      <c r="C866" s="667"/>
      <c r="D866" s="2"/>
      <c r="E866" s="668"/>
      <c r="F866" s="2"/>
      <c r="G866" s="2"/>
      <c r="H866" s="2"/>
      <c r="I866" s="2"/>
      <c r="J866" s="2"/>
      <c r="K866" s="2"/>
      <c r="L866" s="2"/>
      <c r="M866" s="2"/>
      <c r="N866" s="667"/>
      <c r="O866" s="2"/>
      <c r="P866" s="2"/>
      <c r="Q866" s="2"/>
      <c r="R866" s="3"/>
      <c r="S866" s="3"/>
      <c r="T866" s="3"/>
      <c r="U866" s="3"/>
      <c r="V866" s="3"/>
      <c r="W866" s="3"/>
      <c r="X866" s="3"/>
      <c r="Y866" s="3"/>
      <c r="Z866" s="3"/>
      <c r="AA866" s="3"/>
      <c r="AB866" s="3"/>
      <c r="AC866" s="3"/>
      <c r="AD866" s="3"/>
      <c r="AE866" s="3"/>
      <c r="AF866" s="3"/>
      <c r="AG866" s="3"/>
      <c r="AH866" s="3"/>
      <c r="AI866" s="3"/>
      <c r="AJ866" s="3"/>
      <c r="AK866" s="3"/>
      <c r="AL866" s="3"/>
    </row>
    <row r="867" ht="15.75" customHeight="1">
      <c r="A867" s="45"/>
      <c r="B867" s="2"/>
      <c r="C867" s="667"/>
      <c r="D867" s="2"/>
      <c r="E867" s="668"/>
      <c r="F867" s="2"/>
      <c r="G867" s="2"/>
      <c r="H867" s="2"/>
      <c r="I867" s="2"/>
      <c r="J867" s="2"/>
      <c r="K867" s="2"/>
      <c r="L867" s="2"/>
      <c r="M867" s="2"/>
      <c r="N867" s="667"/>
      <c r="O867" s="2"/>
      <c r="P867" s="2"/>
      <c r="Q867" s="2"/>
      <c r="R867" s="3"/>
      <c r="S867" s="3"/>
      <c r="T867" s="3"/>
      <c r="U867" s="3"/>
      <c r="V867" s="3"/>
      <c r="W867" s="3"/>
      <c r="X867" s="3"/>
      <c r="Y867" s="3"/>
      <c r="Z867" s="3"/>
      <c r="AA867" s="3"/>
      <c r="AB867" s="3"/>
      <c r="AC867" s="3"/>
      <c r="AD867" s="3"/>
      <c r="AE867" s="3"/>
      <c r="AF867" s="3"/>
      <c r="AG867" s="3"/>
      <c r="AH867" s="3"/>
      <c r="AI867" s="3"/>
      <c r="AJ867" s="3"/>
      <c r="AK867" s="3"/>
      <c r="AL867" s="3"/>
    </row>
    <row r="868" ht="15.75" customHeight="1">
      <c r="A868" s="45"/>
      <c r="B868" s="2"/>
      <c r="C868" s="667"/>
      <c r="D868" s="2"/>
      <c r="E868" s="668"/>
      <c r="F868" s="2"/>
      <c r="G868" s="2"/>
      <c r="H868" s="2"/>
      <c r="I868" s="2"/>
      <c r="J868" s="2"/>
      <c r="K868" s="2"/>
      <c r="L868" s="2"/>
      <c r="M868" s="2"/>
      <c r="N868" s="667"/>
      <c r="O868" s="2"/>
      <c r="P868" s="2"/>
      <c r="Q868" s="2"/>
      <c r="R868" s="3"/>
      <c r="S868" s="3"/>
      <c r="T868" s="3"/>
      <c r="U868" s="3"/>
      <c r="V868" s="3"/>
      <c r="W868" s="3"/>
      <c r="X868" s="3"/>
      <c r="Y868" s="3"/>
      <c r="Z868" s="3"/>
      <c r="AA868" s="3"/>
      <c r="AB868" s="3"/>
      <c r="AC868" s="3"/>
      <c r="AD868" s="3"/>
      <c r="AE868" s="3"/>
      <c r="AF868" s="3"/>
      <c r="AG868" s="3"/>
      <c r="AH868" s="3"/>
      <c r="AI868" s="3"/>
      <c r="AJ868" s="3"/>
      <c r="AK868" s="3"/>
      <c r="AL868" s="3"/>
    </row>
    <row r="869" ht="15.75" customHeight="1">
      <c r="A869" s="45"/>
      <c r="B869" s="2"/>
      <c r="C869" s="667"/>
      <c r="D869" s="2"/>
      <c r="E869" s="668"/>
      <c r="F869" s="2"/>
      <c r="G869" s="2"/>
      <c r="H869" s="2"/>
      <c r="I869" s="2"/>
      <c r="J869" s="2"/>
      <c r="K869" s="2"/>
      <c r="L869" s="2"/>
      <c r="M869" s="2"/>
      <c r="N869" s="667"/>
      <c r="O869" s="2"/>
      <c r="P869" s="2"/>
      <c r="Q869" s="2"/>
      <c r="R869" s="3"/>
      <c r="S869" s="3"/>
      <c r="T869" s="3"/>
      <c r="U869" s="3"/>
      <c r="V869" s="3"/>
      <c r="W869" s="3"/>
      <c r="X869" s="3"/>
      <c r="Y869" s="3"/>
      <c r="Z869" s="3"/>
      <c r="AA869" s="3"/>
      <c r="AB869" s="3"/>
      <c r="AC869" s="3"/>
      <c r="AD869" s="3"/>
      <c r="AE869" s="3"/>
      <c r="AF869" s="3"/>
      <c r="AG869" s="3"/>
      <c r="AH869" s="3"/>
      <c r="AI869" s="3"/>
      <c r="AJ869" s="3"/>
      <c r="AK869" s="3"/>
      <c r="AL869" s="3"/>
    </row>
    <row r="870" ht="15.75" customHeight="1">
      <c r="A870" s="45"/>
      <c r="B870" s="2"/>
      <c r="C870" s="667"/>
      <c r="D870" s="2"/>
      <c r="E870" s="668"/>
      <c r="F870" s="2"/>
      <c r="G870" s="2"/>
      <c r="H870" s="2"/>
      <c r="I870" s="2"/>
      <c r="J870" s="2"/>
      <c r="K870" s="2"/>
      <c r="L870" s="2"/>
      <c r="M870" s="2"/>
      <c r="N870" s="667"/>
      <c r="O870" s="2"/>
      <c r="P870" s="2"/>
      <c r="Q870" s="2"/>
      <c r="R870" s="3"/>
      <c r="S870" s="3"/>
      <c r="T870" s="3"/>
      <c r="U870" s="3"/>
      <c r="V870" s="3"/>
      <c r="W870" s="3"/>
      <c r="X870" s="3"/>
      <c r="Y870" s="3"/>
      <c r="Z870" s="3"/>
      <c r="AA870" s="3"/>
      <c r="AB870" s="3"/>
      <c r="AC870" s="3"/>
      <c r="AD870" s="3"/>
      <c r="AE870" s="3"/>
      <c r="AF870" s="3"/>
      <c r="AG870" s="3"/>
      <c r="AH870" s="3"/>
      <c r="AI870" s="3"/>
      <c r="AJ870" s="3"/>
      <c r="AK870" s="3"/>
      <c r="AL870" s="3"/>
    </row>
    <row r="871" ht="15.75" customHeight="1">
      <c r="A871" s="45"/>
      <c r="B871" s="2"/>
      <c r="C871" s="667"/>
      <c r="D871" s="2"/>
      <c r="E871" s="668"/>
      <c r="F871" s="2"/>
      <c r="G871" s="2"/>
      <c r="H871" s="2"/>
      <c r="I871" s="2"/>
      <c r="J871" s="2"/>
      <c r="K871" s="2"/>
      <c r="L871" s="2"/>
      <c r="M871" s="2"/>
      <c r="N871" s="667"/>
      <c r="O871" s="2"/>
      <c r="P871" s="2"/>
      <c r="Q871" s="2"/>
      <c r="R871" s="3"/>
      <c r="S871" s="3"/>
      <c r="T871" s="3"/>
      <c r="U871" s="3"/>
      <c r="V871" s="3"/>
      <c r="W871" s="3"/>
      <c r="X871" s="3"/>
      <c r="Y871" s="3"/>
      <c r="Z871" s="3"/>
      <c r="AA871" s="3"/>
      <c r="AB871" s="3"/>
      <c r="AC871" s="3"/>
      <c r="AD871" s="3"/>
      <c r="AE871" s="3"/>
      <c r="AF871" s="3"/>
      <c r="AG871" s="3"/>
      <c r="AH871" s="3"/>
      <c r="AI871" s="3"/>
      <c r="AJ871" s="3"/>
      <c r="AK871" s="3"/>
      <c r="AL871" s="3"/>
    </row>
    <row r="872" ht="15.75" customHeight="1">
      <c r="A872" s="45"/>
      <c r="B872" s="2"/>
      <c r="C872" s="667"/>
      <c r="D872" s="2"/>
      <c r="E872" s="668"/>
      <c r="F872" s="2"/>
      <c r="G872" s="2"/>
      <c r="H872" s="2"/>
      <c r="I872" s="2"/>
      <c r="J872" s="2"/>
      <c r="K872" s="2"/>
      <c r="L872" s="2"/>
      <c r="M872" s="2"/>
      <c r="N872" s="667"/>
      <c r="O872" s="2"/>
      <c r="P872" s="2"/>
      <c r="Q872" s="2"/>
      <c r="R872" s="3"/>
      <c r="S872" s="3"/>
      <c r="T872" s="3"/>
      <c r="U872" s="3"/>
      <c r="V872" s="3"/>
      <c r="W872" s="3"/>
      <c r="X872" s="3"/>
      <c r="Y872" s="3"/>
      <c r="Z872" s="3"/>
      <c r="AA872" s="3"/>
      <c r="AB872" s="3"/>
      <c r="AC872" s="3"/>
      <c r="AD872" s="3"/>
      <c r="AE872" s="3"/>
      <c r="AF872" s="3"/>
      <c r="AG872" s="3"/>
      <c r="AH872" s="3"/>
      <c r="AI872" s="3"/>
      <c r="AJ872" s="3"/>
      <c r="AK872" s="3"/>
      <c r="AL872" s="3"/>
    </row>
    <row r="873" ht="15.75" customHeight="1">
      <c r="A873" s="45"/>
      <c r="B873" s="2"/>
      <c r="C873" s="667"/>
      <c r="D873" s="2"/>
      <c r="E873" s="668"/>
      <c r="F873" s="2"/>
      <c r="G873" s="2"/>
      <c r="H873" s="2"/>
      <c r="I873" s="2"/>
      <c r="J873" s="2"/>
      <c r="K873" s="2"/>
      <c r="L873" s="2"/>
      <c r="M873" s="2"/>
      <c r="N873" s="667"/>
      <c r="O873" s="2"/>
      <c r="P873" s="2"/>
      <c r="Q873" s="2"/>
      <c r="R873" s="3"/>
      <c r="S873" s="3"/>
      <c r="T873" s="3"/>
      <c r="U873" s="3"/>
      <c r="V873" s="3"/>
      <c r="W873" s="3"/>
      <c r="X873" s="3"/>
      <c r="Y873" s="3"/>
      <c r="Z873" s="3"/>
      <c r="AA873" s="3"/>
      <c r="AB873" s="3"/>
      <c r="AC873" s="3"/>
      <c r="AD873" s="3"/>
      <c r="AE873" s="3"/>
      <c r="AF873" s="3"/>
      <c r="AG873" s="3"/>
      <c r="AH873" s="3"/>
      <c r="AI873" s="3"/>
      <c r="AJ873" s="3"/>
      <c r="AK873" s="3"/>
      <c r="AL873" s="3"/>
    </row>
    <row r="874" ht="15.75" customHeight="1">
      <c r="A874" s="45"/>
      <c r="B874" s="2"/>
      <c r="C874" s="667"/>
      <c r="D874" s="2"/>
      <c r="E874" s="668"/>
      <c r="F874" s="2"/>
      <c r="G874" s="2"/>
      <c r="H874" s="2"/>
      <c r="I874" s="2"/>
      <c r="J874" s="2"/>
      <c r="K874" s="2"/>
      <c r="L874" s="2"/>
      <c r="M874" s="2"/>
      <c r="N874" s="667"/>
      <c r="O874" s="2"/>
      <c r="P874" s="2"/>
      <c r="Q874" s="2"/>
      <c r="R874" s="3"/>
      <c r="S874" s="3"/>
      <c r="T874" s="3"/>
      <c r="U874" s="3"/>
      <c r="V874" s="3"/>
      <c r="W874" s="3"/>
      <c r="X874" s="3"/>
      <c r="Y874" s="3"/>
      <c r="Z874" s="3"/>
      <c r="AA874" s="3"/>
      <c r="AB874" s="3"/>
      <c r="AC874" s="3"/>
      <c r="AD874" s="3"/>
      <c r="AE874" s="3"/>
      <c r="AF874" s="3"/>
      <c r="AG874" s="3"/>
      <c r="AH874" s="3"/>
      <c r="AI874" s="3"/>
      <c r="AJ874" s="3"/>
      <c r="AK874" s="3"/>
      <c r="AL874" s="3"/>
    </row>
    <row r="875" ht="15.75" customHeight="1">
      <c r="A875" s="45"/>
      <c r="B875" s="2"/>
      <c r="C875" s="667"/>
      <c r="D875" s="2"/>
      <c r="E875" s="668"/>
      <c r="F875" s="2"/>
      <c r="G875" s="2"/>
      <c r="H875" s="2"/>
      <c r="I875" s="2"/>
      <c r="J875" s="2"/>
      <c r="K875" s="2"/>
      <c r="L875" s="2"/>
      <c r="M875" s="2"/>
      <c r="N875" s="667"/>
      <c r="O875" s="2"/>
      <c r="P875" s="2"/>
      <c r="Q875" s="2"/>
      <c r="R875" s="3"/>
      <c r="S875" s="3"/>
      <c r="T875" s="3"/>
      <c r="U875" s="3"/>
      <c r="V875" s="3"/>
      <c r="W875" s="3"/>
      <c r="X875" s="3"/>
      <c r="Y875" s="3"/>
      <c r="Z875" s="3"/>
      <c r="AA875" s="3"/>
      <c r="AB875" s="3"/>
      <c r="AC875" s="3"/>
      <c r="AD875" s="3"/>
      <c r="AE875" s="3"/>
      <c r="AF875" s="3"/>
      <c r="AG875" s="3"/>
      <c r="AH875" s="3"/>
      <c r="AI875" s="3"/>
      <c r="AJ875" s="3"/>
      <c r="AK875" s="3"/>
      <c r="AL875" s="3"/>
    </row>
    <row r="876" ht="15.75" customHeight="1">
      <c r="A876" s="45"/>
      <c r="B876" s="2"/>
      <c r="C876" s="667"/>
      <c r="D876" s="2"/>
      <c r="E876" s="668"/>
      <c r="F876" s="2"/>
      <c r="G876" s="2"/>
      <c r="H876" s="2"/>
      <c r="I876" s="2"/>
      <c r="J876" s="2"/>
      <c r="K876" s="2"/>
      <c r="L876" s="2"/>
      <c r="M876" s="2"/>
      <c r="N876" s="667"/>
      <c r="O876" s="2"/>
      <c r="P876" s="2"/>
      <c r="Q876" s="2"/>
      <c r="R876" s="3"/>
      <c r="S876" s="3"/>
      <c r="T876" s="3"/>
      <c r="U876" s="3"/>
      <c r="V876" s="3"/>
      <c r="W876" s="3"/>
      <c r="X876" s="3"/>
      <c r="Y876" s="3"/>
      <c r="Z876" s="3"/>
      <c r="AA876" s="3"/>
      <c r="AB876" s="3"/>
      <c r="AC876" s="3"/>
      <c r="AD876" s="3"/>
      <c r="AE876" s="3"/>
      <c r="AF876" s="3"/>
      <c r="AG876" s="3"/>
      <c r="AH876" s="3"/>
      <c r="AI876" s="3"/>
      <c r="AJ876" s="3"/>
      <c r="AK876" s="3"/>
      <c r="AL876" s="3"/>
    </row>
    <row r="877" ht="15.75" customHeight="1">
      <c r="A877" s="45"/>
      <c r="B877" s="2"/>
      <c r="C877" s="667"/>
      <c r="D877" s="2"/>
      <c r="E877" s="668"/>
      <c r="F877" s="2"/>
      <c r="G877" s="2"/>
      <c r="H877" s="2"/>
      <c r="I877" s="2"/>
      <c r="J877" s="2"/>
      <c r="K877" s="2"/>
      <c r="L877" s="2"/>
      <c r="M877" s="2"/>
      <c r="N877" s="667"/>
      <c r="O877" s="2"/>
      <c r="P877" s="2"/>
      <c r="Q877" s="2"/>
      <c r="R877" s="3"/>
      <c r="S877" s="3"/>
      <c r="T877" s="3"/>
      <c r="U877" s="3"/>
      <c r="V877" s="3"/>
      <c r="W877" s="3"/>
      <c r="X877" s="3"/>
      <c r="Y877" s="3"/>
      <c r="Z877" s="3"/>
      <c r="AA877" s="3"/>
      <c r="AB877" s="3"/>
      <c r="AC877" s="3"/>
      <c r="AD877" s="3"/>
      <c r="AE877" s="3"/>
      <c r="AF877" s="3"/>
      <c r="AG877" s="3"/>
      <c r="AH877" s="3"/>
      <c r="AI877" s="3"/>
      <c r="AJ877" s="3"/>
      <c r="AK877" s="3"/>
      <c r="AL877" s="3"/>
    </row>
    <row r="878" ht="15.75" customHeight="1">
      <c r="A878" s="45"/>
      <c r="B878" s="2"/>
      <c r="C878" s="667"/>
      <c r="D878" s="2"/>
      <c r="E878" s="668"/>
      <c r="F878" s="2"/>
      <c r="G878" s="2"/>
      <c r="H878" s="2"/>
      <c r="I878" s="2"/>
      <c r="J878" s="2"/>
      <c r="K878" s="2"/>
      <c r="L878" s="2"/>
      <c r="M878" s="2"/>
      <c r="N878" s="667"/>
      <c r="O878" s="2"/>
      <c r="P878" s="2"/>
      <c r="Q878" s="2"/>
      <c r="R878" s="3"/>
      <c r="S878" s="3"/>
      <c r="T878" s="3"/>
      <c r="U878" s="3"/>
      <c r="V878" s="3"/>
      <c r="W878" s="3"/>
      <c r="X878" s="3"/>
      <c r="Y878" s="3"/>
      <c r="Z878" s="3"/>
      <c r="AA878" s="3"/>
      <c r="AB878" s="3"/>
      <c r="AC878" s="3"/>
      <c r="AD878" s="3"/>
      <c r="AE878" s="3"/>
      <c r="AF878" s="3"/>
      <c r="AG878" s="3"/>
      <c r="AH878" s="3"/>
      <c r="AI878" s="3"/>
      <c r="AJ878" s="3"/>
      <c r="AK878" s="3"/>
      <c r="AL878" s="3"/>
    </row>
    <row r="879" ht="15.75" customHeight="1">
      <c r="A879" s="45"/>
      <c r="B879" s="2"/>
      <c r="C879" s="667"/>
      <c r="D879" s="2"/>
      <c r="E879" s="668"/>
      <c r="F879" s="2"/>
      <c r="G879" s="2"/>
      <c r="H879" s="2"/>
      <c r="I879" s="2"/>
      <c r="J879" s="2"/>
      <c r="K879" s="2"/>
      <c r="L879" s="2"/>
      <c r="M879" s="2"/>
      <c r="N879" s="667"/>
      <c r="O879" s="2"/>
      <c r="P879" s="2"/>
      <c r="Q879" s="2"/>
      <c r="R879" s="3"/>
      <c r="S879" s="3"/>
      <c r="T879" s="3"/>
      <c r="U879" s="3"/>
      <c r="V879" s="3"/>
      <c r="W879" s="3"/>
      <c r="X879" s="3"/>
      <c r="Y879" s="3"/>
      <c r="Z879" s="3"/>
      <c r="AA879" s="3"/>
      <c r="AB879" s="3"/>
      <c r="AC879" s="3"/>
      <c r="AD879" s="3"/>
      <c r="AE879" s="3"/>
      <c r="AF879" s="3"/>
      <c r="AG879" s="3"/>
      <c r="AH879" s="3"/>
      <c r="AI879" s="3"/>
      <c r="AJ879" s="3"/>
      <c r="AK879" s="3"/>
      <c r="AL879" s="3"/>
    </row>
    <row r="880" ht="15.75" customHeight="1">
      <c r="A880" s="45"/>
      <c r="B880" s="2"/>
      <c r="C880" s="667"/>
      <c r="D880" s="2"/>
      <c r="E880" s="668"/>
      <c r="F880" s="2"/>
      <c r="G880" s="2"/>
      <c r="H880" s="2"/>
      <c r="I880" s="2"/>
      <c r="J880" s="2"/>
      <c r="K880" s="2"/>
      <c r="L880" s="2"/>
      <c r="M880" s="2"/>
      <c r="N880" s="667"/>
      <c r="O880" s="2"/>
      <c r="P880" s="2"/>
      <c r="Q880" s="2"/>
      <c r="R880" s="3"/>
      <c r="S880" s="3"/>
      <c r="T880" s="3"/>
      <c r="U880" s="3"/>
      <c r="V880" s="3"/>
      <c r="W880" s="3"/>
      <c r="X880" s="3"/>
      <c r="Y880" s="3"/>
      <c r="Z880" s="3"/>
      <c r="AA880" s="3"/>
      <c r="AB880" s="3"/>
      <c r="AC880" s="3"/>
      <c r="AD880" s="3"/>
      <c r="AE880" s="3"/>
      <c r="AF880" s="3"/>
      <c r="AG880" s="3"/>
      <c r="AH880" s="3"/>
      <c r="AI880" s="3"/>
      <c r="AJ880" s="3"/>
      <c r="AK880" s="3"/>
      <c r="AL880" s="3"/>
    </row>
    <row r="881" ht="15.75" customHeight="1">
      <c r="A881" s="45"/>
      <c r="B881" s="2"/>
      <c r="C881" s="667"/>
      <c r="D881" s="2"/>
      <c r="E881" s="668"/>
      <c r="F881" s="2"/>
      <c r="G881" s="2"/>
      <c r="H881" s="2"/>
      <c r="I881" s="2"/>
      <c r="J881" s="2"/>
      <c r="K881" s="2"/>
      <c r="L881" s="2"/>
      <c r="M881" s="2"/>
      <c r="N881" s="667"/>
      <c r="O881" s="2"/>
      <c r="P881" s="2"/>
      <c r="Q881" s="2"/>
      <c r="R881" s="3"/>
      <c r="S881" s="3"/>
      <c r="T881" s="3"/>
      <c r="U881" s="3"/>
      <c r="V881" s="3"/>
      <c r="W881" s="3"/>
      <c r="X881" s="3"/>
      <c r="Y881" s="3"/>
      <c r="Z881" s="3"/>
      <c r="AA881" s="3"/>
      <c r="AB881" s="3"/>
      <c r="AC881" s="3"/>
      <c r="AD881" s="3"/>
      <c r="AE881" s="3"/>
      <c r="AF881" s="3"/>
      <c r="AG881" s="3"/>
      <c r="AH881" s="3"/>
      <c r="AI881" s="3"/>
      <c r="AJ881" s="3"/>
      <c r="AK881" s="3"/>
      <c r="AL881" s="3"/>
    </row>
    <row r="882" ht="15.75" customHeight="1">
      <c r="A882" s="45"/>
      <c r="B882" s="2"/>
      <c r="C882" s="667"/>
      <c r="D882" s="2"/>
      <c r="E882" s="668"/>
      <c r="F882" s="2"/>
      <c r="G882" s="2"/>
      <c r="H882" s="2"/>
      <c r="I882" s="2"/>
      <c r="J882" s="2"/>
      <c r="K882" s="2"/>
      <c r="L882" s="2"/>
      <c r="M882" s="2"/>
      <c r="N882" s="667"/>
      <c r="O882" s="2"/>
      <c r="P882" s="2"/>
      <c r="Q882" s="2"/>
      <c r="R882" s="3"/>
      <c r="S882" s="3"/>
      <c r="T882" s="3"/>
      <c r="U882" s="3"/>
      <c r="V882" s="3"/>
      <c r="W882" s="3"/>
      <c r="X882" s="3"/>
      <c r="Y882" s="3"/>
      <c r="Z882" s="3"/>
      <c r="AA882" s="3"/>
      <c r="AB882" s="3"/>
      <c r="AC882" s="3"/>
      <c r="AD882" s="3"/>
      <c r="AE882" s="3"/>
      <c r="AF882" s="3"/>
      <c r="AG882" s="3"/>
      <c r="AH882" s="3"/>
      <c r="AI882" s="3"/>
      <c r="AJ882" s="3"/>
      <c r="AK882" s="3"/>
      <c r="AL882" s="3"/>
    </row>
    <row r="883" ht="15.75" customHeight="1">
      <c r="A883" s="45"/>
      <c r="B883" s="2"/>
      <c r="C883" s="667"/>
      <c r="D883" s="2"/>
      <c r="E883" s="668"/>
      <c r="F883" s="2"/>
      <c r="G883" s="2"/>
      <c r="H883" s="2"/>
      <c r="I883" s="2"/>
      <c r="J883" s="2"/>
      <c r="K883" s="2"/>
      <c r="L883" s="2"/>
      <c r="M883" s="2"/>
      <c r="N883" s="667"/>
      <c r="O883" s="2"/>
      <c r="P883" s="2"/>
      <c r="Q883" s="2"/>
      <c r="R883" s="3"/>
      <c r="S883" s="3"/>
      <c r="T883" s="3"/>
      <c r="U883" s="3"/>
      <c r="V883" s="3"/>
      <c r="W883" s="3"/>
      <c r="X883" s="3"/>
      <c r="Y883" s="3"/>
      <c r="Z883" s="3"/>
      <c r="AA883" s="3"/>
      <c r="AB883" s="3"/>
      <c r="AC883" s="3"/>
      <c r="AD883" s="3"/>
      <c r="AE883" s="3"/>
      <c r="AF883" s="3"/>
      <c r="AG883" s="3"/>
      <c r="AH883" s="3"/>
      <c r="AI883" s="3"/>
      <c r="AJ883" s="3"/>
      <c r="AK883" s="3"/>
      <c r="AL883" s="3"/>
    </row>
    <row r="884" ht="15.75" customHeight="1">
      <c r="A884" s="45"/>
      <c r="B884" s="2"/>
      <c r="C884" s="667"/>
      <c r="D884" s="2"/>
      <c r="E884" s="668"/>
      <c r="F884" s="2"/>
      <c r="G884" s="2"/>
      <c r="H884" s="2"/>
      <c r="I884" s="2"/>
      <c r="J884" s="2"/>
      <c r="K884" s="2"/>
      <c r="L884" s="2"/>
      <c r="M884" s="2"/>
      <c r="N884" s="667"/>
      <c r="O884" s="2"/>
      <c r="P884" s="2"/>
      <c r="Q884" s="2"/>
      <c r="R884" s="3"/>
      <c r="S884" s="3"/>
      <c r="T884" s="3"/>
      <c r="U884" s="3"/>
      <c r="V884" s="3"/>
      <c r="W884" s="3"/>
      <c r="X884" s="3"/>
      <c r="Y884" s="3"/>
      <c r="Z884" s="3"/>
      <c r="AA884" s="3"/>
      <c r="AB884" s="3"/>
      <c r="AC884" s="3"/>
      <c r="AD884" s="3"/>
      <c r="AE884" s="3"/>
      <c r="AF884" s="3"/>
      <c r="AG884" s="3"/>
      <c r="AH884" s="3"/>
      <c r="AI884" s="3"/>
      <c r="AJ884" s="3"/>
      <c r="AK884" s="3"/>
      <c r="AL884" s="3"/>
    </row>
    <row r="885" ht="15.75" customHeight="1">
      <c r="A885" s="45"/>
      <c r="B885" s="2"/>
      <c r="C885" s="667"/>
      <c r="D885" s="2"/>
      <c r="E885" s="668"/>
      <c r="F885" s="2"/>
      <c r="G885" s="2"/>
      <c r="H885" s="2"/>
      <c r="I885" s="2"/>
      <c r="J885" s="2"/>
      <c r="K885" s="2"/>
      <c r="L885" s="2"/>
      <c r="M885" s="2"/>
      <c r="N885" s="667"/>
      <c r="O885" s="2"/>
      <c r="P885" s="2"/>
      <c r="Q885" s="2"/>
      <c r="R885" s="3"/>
      <c r="S885" s="3"/>
      <c r="T885" s="3"/>
      <c r="U885" s="3"/>
      <c r="V885" s="3"/>
      <c r="W885" s="3"/>
      <c r="X885" s="3"/>
      <c r="Y885" s="3"/>
      <c r="Z885" s="3"/>
      <c r="AA885" s="3"/>
      <c r="AB885" s="3"/>
      <c r="AC885" s="3"/>
      <c r="AD885" s="3"/>
      <c r="AE885" s="3"/>
      <c r="AF885" s="3"/>
      <c r="AG885" s="3"/>
      <c r="AH885" s="3"/>
      <c r="AI885" s="3"/>
      <c r="AJ885" s="3"/>
      <c r="AK885" s="3"/>
      <c r="AL885" s="3"/>
    </row>
    <row r="886" ht="15.75" customHeight="1">
      <c r="A886" s="45"/>
      <c r="B886" s="2"/>
      <c r="C886" s="667"/>
      <c r="D886" s="2"/>
      <c r="E886" s="668"/>
      <c r="F886" s="2"/>
      <c r="G886" s="2"/>
      <c r="H886" s="2"/>
      <c r="I886" s="2"/>
      <c r="J886" s="2"/>
      <c r="K886" s="2"/>
      <c r="L886" s="2"/>
      <c r="M886" s="2"/>
      <c r="N886" s="667"/>
      <c r="O886" s="2"/>
      <c r="P886" s="2"/>
      <c r="Q886" s="2"/>
      <c r="R886" s="3"/>
      <c r="S886" s="3"/>
      <c r="T886" s="3"/>
      <c r="U886" s="3"/>
      <c r="V886" s="3"/>
      <c r="W886" s="3"/>
      <c r="X886" s="3"/>
      <c r="Y886" s="3"/>
      <c r="Z886" s="3"/>
      <c r="AA886" s="3"/>
      <c r="AB886" s="3"/>
      <c r="AC886" s="3"/>
      <c r="AD886" s="3"/>
      <c r="AE886" s="3"/>
      <c r="AF886" s="3"/>
      <c r="AG886" s="3"/>
      <c r="AH886" s="3"/>
      <c r="AI886" s="3"/>
      <c r="AJ886" s="3"/>
      <c r="AK886" s="3"/>
      <c r="AL886" s="3"/>
    </row>
    <row r="887" ht="15.75" customHeight="1">
      <c r="A887" s="45"/>
      <c r="B887" s="2"/>
      <c r="C887" s="667"/>
      <c r="D887" s="2"/>
      <c r="E887" s="668"/>
      <c r="F887" s="2"/>
      <c r="G887" s="2"/>
      <c r="H887" s="2"/>
      <c r="I887" s="2"/>
      <c r="J887" s="2"/>
      <c r="K887" s="2"/>
      <c r="L887" s="2"/>
      <c r="M887" s="2"/>
      <c r="N887" s="667"/>
      <c r="O887" s="2"/>
      <c r="P887" s="2"/>
      <c r="Q887" s="2"/>
      <c r="R887" s="3"/>
      <c r="S887" s="3"/>
      <c r="T887" s="3"/>
      <c r="U887" s="3"/>
      <c r="V887" s="3"/>
      <c r="W887" s="3"/>
      <c r="X887" s="3"/>
      <c r="Y887" s="3"/>
      <c r="Z887" s="3"/>
      <c r="AA887" s="3"/>
      <c r="AB887" s="3"/>
      <c r="AC887" s="3"/>
      <c r="AD887" s="3"/>
      <c r="AE887" s="3"/>
      <c r="AF887" s="3"/>
      <c r="AG887" s="3"/>
      <c r="AH887" s="3"/>
      <c r="AI887" s="3"/>
      <c r="AJ887" s="3"/>
      <c r="AK887" s="3"/>
      <c r="AL887" s="3"/>
    </row>
    <row r="888" ht="15.75" customHeight="1">
      <c r="A888" s="45"/>
      <c r="B888" s="2"/>
      <c r="C888" s="667"/>
      <c r="D888" s="2"/>
      <c r="E888" s="668"/>
      <c r="F888" s="2"/>
      <c r="G888" s="2"/>
      <c r="H888" s="2"/>
      <c r="I888" s="2"/>
      <c r="J888" s="2"/>
      <c r="K888" s="2"/>
      <c r="L888" s="2"/>
      <c r="M888" s="2"/>
      <c r="N888" s="667"/>
      <c r="O888" s="2"/>
      <c r="P888" s="2"/>
      <c r="Q888" s="2"/>
      <c r="R888" s="3"/>
      <c r="S888" s="3"/>
      <c r="T888" s="3"/>
      <c r="U888" s="3"/>
      <c r="V888" s="3"/>
      <c r="W888" s="3"/>
      <c r="X888" s="3"/>
      <c r="Y888" s="3"/>
      <c r="Z888" s="3"/>
      <c r="AA888" s="3"/>
      <c r="AB888" s="3"/>
      <c r="AC888" s="3"/>
      <c r="AD888" s="3"/>
      <c r="AE888" s="3"/>
      <c r="AF888" s="3"/>
      <c r="AG888" s="3"/>
      <c r="AH888" s="3"/>
      <c r="AI888" s="3"/>
      <c r="AJ888" s="3"/>
      <c r="AK888" s="3"/>
      <c r="AL888" s="3"/>
    </row>
    <row r="889" ht="15.75" customHeight="1">
      <c r="A889" s="45"/>
      <c r="B889" s="2"/>
      <c r="C889" s="667"/>
      <c r="D889" s="2"/>
      <c r="E889" s="668"/>
      <c r="F889" s="2"/>
      <c r="G889" s="2"/>
      <c r="H889" s="2"/>
      <c r="I889" s="2"/>
      <c r="J889" s="2"/>
      <c r="K889" s="2"/>
      <c r="L889" s="2"/>
      <c r="M889" s="2"/>
      <c r="N889" s="667"/>
      <c r="O889" s="2"/>
      <c r="P889" s="2"/>
      <c r="Q889" s="2"/>
      <c r="R889" s="3"/>
      <c r="S889" s="3"/>
      <c r="T889" s="3"/>
      <c r="U889" s="3"/>
      <c r="V889" s="3"/>
      <c r="W889" s="3"/>
      <c r="X889" s="3"/>
      <c r="Y889" s="3"/>
      <c r="Z889" s="3"/>
      <c r="AA889" s="3"/>
      <c r="AB889" s="3"/>
      <c r="AC889" s="3"/>
      <c r="AD889" s="3"/>
      <c r="AE889" s="3"/>
      <c r="AF889" s="3"/>
      <c r="AG889" s="3"/>
      <c r="AH889" s="3"/>
      <c r="AI889" s="3"/>
      <c r="AJ889" s="3"/>
      <c r="AK889" s="3"/>
      <c r="AL889" s="3"/>
    </row>
    <row r="890" ht="15.75" customHeight="1">
      <c r="A890" s="45"/>
      <c r="B890" s="2"/>
      <c r="C890" s="667"/>
      <c r="D890" s="2"/>
      <c r="E890" s="668"/>
      <c r="F890" s="2"/>
      <c r="G890" s="2"/>
      <c r="H890" s="2"/>
      <c r="I890" s="2"/>
      <c r="J890" s="2"/>
      <c r="K890" s="2"/>
      <c r="L890" s="2"/>
      <c r="M890" s="2"/>
      <c r="N890" s="667"/>
      <c r="O890" s="2"/>
      <c r="P890" s="2"/>
      <c r="Q890" s="2"/>
      <c r="R890" s="3"/>
      <c r="S890" s="3"/>
      <c r="T890" s="3"/>
      <c r="U890" s="3"/>
      <c r="V890" s="3"/>
      <c r="W890" s="3"/>
      <c r="X890" s="3"/>
      <c r="Y890" s="3"/>
      <c r="Z890" s="3"/>
      <c r="AA890" s="3"/>
      <c r="AB890" s="3"/>
      <c r="AC890" s="3"/>
      <c r="AD890" s="3"/>
      <c r="AE890" s="3"/>
      <c r="AF890" s="3"/>
      <c r="AG890" s="3"/>
      <c r="AH890" s="3"/>
      <c r="AI890" s="3"/>
      <c r="AJ890" s="3"/>
      <c r="AK890" s="3"/>
      <c r="AL890" s="3"/>
    </row>
    <row r="891" ht="15.75" customHeight="1">
      <c r="A891" s="45"/>
      <c r="B891" s="2"/>
      <c r="C891" s="667"/>
      <c r="D891" s="2"/>
      <c r="E891" s="668"/>
      <c r="F891" s="2"/>
      <c r="G891" s="2"/>
      <c r="H891" s="2"/>
      <c r="I891" s="2"/>
      <c r="J891" s="2"/>
      <c r="K891" s="2"/>
      <c r="L891" s="2"/>
      <c r="M891" s="2"/>
      <c r="N891" s="667"/>
      <c r="O891" s="2"/>
      <c r="P891" s="2"/>
      <c r="Q891" s="2"/>
      <c r="R891" s="3"/>
      <c r="S891" s="3"/>
      <c r="T891" s="3"/>
      <c r="U891" s="3"/>
      <c r="V891" s="3"/>
      <c r="W891" s="3"/>
      <c r="X891" s="3"/>
      <c r="Y891" s="3"/>
      <c r="Z891" s="3"/>
      <c r="AA891" s="3"/>
      <c r="AB891" s="3"/>
      <c r="AC891" s="3"/>
      <c r="AD891" s="3"/>
      <c r="AE891" s="3"/>
      <c r="AF891" s="3"/>
      <c r="AG891" s="3"/>
      <c r="AH891" s="3"/>
      <c r="AI891" s="3"/>
      <c r="AJ891" s="3"/>
      <c r="AK891" s="3"/>
      <c r="AL891" s="3"/>
    </row>
    <row r="892" ht="15.75" customHeight="1">
      <c r="A892" s="45"/>
      <c r="B892" s="2"/>
      <c r="C892" s="667"/>
      <c r="D892" s="2"/>
      <c r="E892" s="668"/>
      <c r="F892" s="2"/>
      <c r="G892" s="2"/>
      <c r="H892" s="2"/>
      <c r="I892" s="2"/>
      <c r="J892" s="2"/>
      <c r="K892" s="2"/>
      <c r="L892" s="2"/>
      <c r="M892" s="2"/>
      <c r="N892" s="667"/>
      <c r="O892" s="2"/>
      <c r="P892" s="2"/>
      <c r="Q892" s="2"/>
      <c r="R892" s="3"/>
      <c r="S892" s="3"/>
      <c r="T892" s="3"/>
      <c r="U892" s="3"/>
      <c r="V892" s="3"/>
      <c r="W892" s="3"/>
      <c r="X892" s="3"/>
      <c r="Y892" s="3"/>
      <c r="Z892" s="3"/>
      <c r="AA892" s="3"/>
      <c r="AB892" s="3"/>
      <c r="AC892" s="3"/>
      <c r="AD892" s="3"/>
      <c r="AE892" s="3"/>
      <c r="AF892" s="3"/>
      <c r="AG892" s="3"/>
      <c r="AH892" s="3"/>
      <c r="AI892" s="3"/>
      <c r="AJ892" s="3"/>
      <c r="AK892" s="3"/>
      <c r="AL892" s="3"/>
    </row>
    <row r="893" ht="15.75" customHeight="1">
      <c r="A893" s="45"/>
      <c r="B893" s="2"/>
      <c r="C893" s="667"/>
      <c r="D893" s="2"/>
      <c r="E893" s="668"/>
      <c r="F893" s="2"/>
      <c r="G893" s="2"/>
      <c r="H893" s="2"/>
      <c r="I893" s="2"/>
      <c r="J893" s="2"/>
      <c r="K893" s="2"/>
      <c r="L893" s="2"/>
      <c r="M893" s="2"/>
      <c r="N893" s="667"/>
      <c r="O893" s="2"/>
      <c r="P893" s="2"/>
      <c r="Q893" s="2"/>
      <c r="R893" s="3"/>
      <c r="S893" s="3"/>
      <c r="T893" s="3"/>
      <c r="U893" s="3"/>
      <c r="V893" s="3"/>
      <c r="W893" s="3"/>
      <c r="X893" s="3"/>
      <c r="Y893" s="3"/>
      <c r="Z893" s="3"/>
      <c r="AA893" s="3"/>
      <c r="AB893" s="3"/>
      <c r="AC893" s="3"/>
      <c r="AD893" s="3"/>
      <c r="AE893" s="3"/>
      <c r="AF893" s="3"/>
      <c r="AG893" s="3"/>
      <c r="AH893" s="3"/>
      <c r="AI893" s="3"/>
      <c r="AJ893" s="3"/>
      <c r="AK893" s="3"/>
      <c r="AL893" s="3"/>
    </row>
    <row r="894" ht="15.75" customHeight="1">
      <c r="A894" s="45"/>
      <c r="B894" s="2"/>
      <c r="C894" s="667"/>
      <c r="D894" s="2"/>
      <c r="E894" s="668"/>
      <c r="F894" s="2"/>
      <c r="G894" s="2"/>
      <c r="H894" s="2"/>
      <c r="I894" s="2"/>
      <c r="J894" s="2"/>
      <c r="K894" s="2"/>
      <c r="L894" s="2"/>
      <c r="M894" s="2"/>
      <c r="N894" s="667"/>
      <c r="O894" s="2"/>
      <c r="P894" s="2"/>
      <c r="Q894" s="2"/>
      <c r="R894" s="3"/>
      <c r="S894" s="3"/>
      <c r="T894" s="3"/>
      <c r="U894" s="3"/>
      <c r="V894" s="3"/>
      <c r="W894" s="3"/>
      <c r="X894" s="3"/>
      <c r="Y894" s="3"/>
      <c r="Z894" s="3"/>
      <c r="AA894" s="3"/>
      <c r="AB894" s="3"/>
      <c r="AC894" s="3"/>
      <c r="AD894" s="3"/>
      <c r="AE894" s="3"/>
      <c r="AF894" s="3"/>
      <c r="AG894" s="3"/>
      <c r="AH894" s="3"/>
      <c r="AI894" s="3"/>
      <c r="AJ894" s="3"/>
      <c r="AK894" s="3"/>
      <c r="AL894" s="3"/>
    </row>
    <row r="895" ht="15.75" customHeight="1">
      <c r="A895" s="45"/>
      <c r="B895" s="2"/>
      <c r="C895" s="667"/>
      <c r="D895" s="2"/>
      <c r="E895" s="668"/>
      <c r="F895" s="2"/>
      <c r="G895" s="2"/>
      <c r="H895" s="2"/>
      <c r="I895" s="2"/>
      <c r="J895" s="2"/>
      <c r="K895" s="2"/>
      <c r="L895" s="2"/>
      <c r="M895" s="2"/>
      <c r="N895" s="667"/>
      <c r="O895" s="2"/>
      <c r="P895" s="2"/>
      <c r="Q895" s="2"/>
      <c r="R895" s="3"/>
      <c r="S895" s="3"/>
      <c r="T895" s="3"/>
      <c r="U895" s="3"/>
      <c r="V895" s="3"/>
      <c r="W895" s="3"/>
      <c r="X895" s="3"/>
      <c r="Y895" s="3"/>
      <c r="Z895" s="3"/>
      <c r="AA895" s="3"/>
      <c r="AB895" s="3"/>
      <c r="AC895" s="3"/>
      <c r="AD895" s="3"/>
      <c r="AE895" s="3"/>
      <c r="AF895" s="3"/>
      <c r="AG895" s="3"/>
      <c r="AH895" s="3"/>
      <c r="AI895" s="3"/>
      <c r="AJ895" s="3"/>
      <c r="AK895" s="3"/>
      <c r="AL895" s="3"/>
    </row>
    <row r="896" ht="15.75" customHeight="1">
      <c r="A896" s="45"/>
      <c r="B896" s="2"/>
      <c r="C896" s="667"/>
      <c r="D896" s="2"/>
      <c r="E896" s="668"/>
      <c r="F896" s="2"/>
      <c r="G896" s="2"/>
      <c r="H896" s="2"/>
      <c r="I896" s="2"/>
      <c r="J896" s="2"/>
      <c r="K896" s="2"/>
      <c r="L896" s="2"/>
      <c r="M896" s="2"/>
      <c r="N896" s="667"/>
      <c r="O896" s="2"/>
      <c r="P896" s="2"/>
      <c r="Q896" s="2"/>
      <c r="R896" s="3"/>
      <c r="S896" s="3"/>
      <c r="T896" s="3"/>
      <c r="U896" s="3"/>
      <c r="V896" s="3"/>
      <c r="W896" s="3"/>
      <c r="X896" s="3"/>
      <c r="Y896" s="3"/>
      <c r="Z896" s="3"/>
      <c r="AA896" s="3"/>
      <c r="AB896" s="3"/>
      <c r="AC896" s="3"/>
      <c r="AD896" s="3"/>
      <c r="AE896" s="3"/>
      <c r="AF896" s="3"/>
      <c r="AG896" s="3"/>
      <c r="AH896" s="3"/>
      <c r="AI896" s="3"/>
      <c r="AJ896" s="3"/>
      <c r="AK896" s="3"/>
      <c r="AL896" s="3"/>
    </row>
    <row r="897" ht="15.75" customHeight="1">
      <c r="A897" s="45"/>
      <c r="B897" s="2"/>
      <c r="C897" s="667"/>
      <c r="D897" s="2"/>
      <c r="E897" s="668"/>
      <c r="F897" s="2"/>
      <c r="G897" s="2"/>
      <c r="H897" s="2"/>
      <c r="I897" s="2"/>
      <c r="J897" s="2"/>
      <c r="K897" s="2"/>
      <c r="L897" s="2"/>
      <c r="M897" s="2"/>
      <c r="N897" s="667"/>
      <c r="O897" s="2"/>
      <c r="P897" s="2"/>
      <c r="Q897" s="2"/>
      <c r="R897" s="3"/>
      <c r="S897" s="3"/>
      <c r="T897" s="3"/>
      <c r="U897" s="3"/>
      <c r="V897" s="3"/>
      <c r="W897" s="3"/>
      <c r="X897" s="3"/>
      <c r="Y897" s="3"/>
      <c r="Z897" s="3"/>
      <c r="AA897" s="3"/>
      <c r="AB897" s="3"/>
      <c r="AC897" s="3"/>
      <c r="AD897" s="3"/>
      <c r="AE897" s="3"/>
      <c r="AF897" s="3"/>
      <c r="AG897" s="3"/>
      <c r="AH897" s="3"/>
      <c r="AI897" s="3"/>
      <c r="AJ897" s="3"/>
      <c r="AK897" s="3"/>
      <c r="AL897" s="3"/>
    </row>
    <row r="898" ht="15.75" customHeight="1">
      <c r="A898" s="45"/>
      <c r="B898" s="2"/>
      <c r="C898" s="667"/>
      <c r="D898" s="2"/>
      <c r="E898" s="668"/>
      <c r="F898" s="2"/>
      <c r="G898" s="2"/>
      <c r="H898" s="2"/>
      <c r="I898" s="2"/>
      <c r="J898" s="2"/>
      <c r="K898" s="2"/>
      <c r="L898" s="2"/>
      <c r="M898" s="2"/>
      <c r="N898" s="667"/>
      <c r="O898" s="2"/>
      <c r="P898" s="2"/>
      <c r="Q898" s="2"/>
      <c r="R898" s="3"/>
      <c r="S898" s="3"/>
      <c r="T898" s="3"/>
      <c r="U898" s="3"/>
      <c r="V898" s="3"/>
      <c r="W898" s="3"/>
      <c r="X898" s="3"/>
      <c r="Y898" s="3"/>
      <c r="Z898" s="3"/>
      <c r="AA898" s="3"/>
      <c r="AB898" s="3"/>
      <c r="AC898" s="3"/>
      <c r="AD898" s="3"/>
      <c r="AE898" s="3"/>
      <c r="AF898" s="3"/>
      <c r="AG898" s="3"/>
      <c r="AH898" s="3"/>
      <c r="AI898" s="3"/>
      <c r="AJ898" s="3"/>
      <c r="AK898" s="3"/>
      <c r="AL898" s="3"/>
    </row>
    <row r="899" ht="15.75" customHeight="1">
      <c r="A899" s="45"/>
      <c r="B899" s="2"/>
      <c r="C899" s="667"/>
      <c r="D899" s="2"/>
      <c r="E899" s="668"/>
      <c r="F899" s="2"/>
      <c r="G899" s="2"/>
      <c r="H899" s="2"/>
      <c r="I899" s="2"/>
      <c r="J899" s="2"/>
      <c r="K899" s="2"/>
      <c r="L899" s="2"/>
      <c r="M899" s="2"/>
      <c r="N899" s="667"/>
      <c r="O899" s="2"/>
      <c r="P899" s="2"/>
      <c r="Q899" s="2"/>
      <c r="R899" s="3"/>
      <c r="S899" s="3"/>
      <c r="T899" s="3"/>
      <c r="U899" s="3"/>
      <c r="V899" s="3"/>
      <c r="W899" s="3"/>
      <c r="X899" s="3"/>
      <c r="Y899" s="3"/>
      <c r="Z899" s="3"/>
      <c r="AA899" s="3"/>
      <c r="AB899" s="3"/>
      <c r="AC899" s="3"/>
      <c r="AD899" s="3"/>
      <c r="AE899" s="3"/>
      <c r="AF899" s="3"/>
      <c r="AG899" s="3"/>
      <c r="AH899" s="3"/>
      <c r="AI899" s="3"/>
      <c r="AJ899" s="3"/>
      <c r="AK899" s="3"/>
      <c r="AL899" s="3"/>
    </row>
    <row r="900" ht="15.75" customHeight="1">
      <c r="A900" s="45"/>
      <c r="B900" s="2"/>
      <c r="C900" s="667"/>
      <c r="D900" s="2"/>
      <c r="E900" s="668"/>
      <c r="F900" s="2"/>
      <c r="G900" s="2"/>
      <c r="H900" s="2"/>
      <c r="I900" s="2"/>
      <c r="J900" s="2"/>
      <c r="K900" s="2"/>
      <c r="L900" s="2"/>
      <c r="M900" s="2"/>
      <c r="N900" s="667"/>
      <c r="O900" s="2"/>
      <c r="P900" s="2"/>
      <c r="Q900" s="2"/>
      <c r="R900" s="3"/>
      <c r="S900" s="3"/>
      <c r="T900" s="3"/>
      <c r="U900" s="3"/>
      <c r="V900" s="3"/>
      <c r="W900" s="3"/>
      <c r="X900" s="3"/>
      <c r="Y900" s="3"/>
      <c r="Z900" s="3"/>
      <c r="AA900" s="3"/>
      <c r="AB900" s="3"/>
      <c r="AC900" s="3"/>
      <c r="AD900" s="3"/>
      <c r="AE900" s="3"/>
      <c r="AF900" s="3"/>
      <c r="AG900" s="3"/>
      <c r="AH900" s="3"/>
      <c r="AI900" s="3"/>
      <c r="AJ900" s="3"/>
      <c r="AK900" s="3"/>
      <c r="AL900" s="3"/>
    </row>
    <row r="901" ht="15.75" customHeight="1">
      <c r="A901" s="45"/>
      <c r="B901" s="2"/>
      <c r="C901" s="667"/>
      <c r="D901" s="2"/>
      <c r="E901" s="668"/>
      <c r="F901" s="2"/>
      <c r="G901" s="2"/>
      <c r="H901" s="2"/>
      <c r="I901" s="2"/>
      <c r="J901" s="2"/>
      <c r="K901" s="2"/>
      <c r="L901" s="2"/>
      <c r="M901" s="2"/>
      <c r="N901" s="667"/>
      <c r="O901" s="2"/>
      <c r="P901" s="2"/>
      <c r="Q901" s="2"/>
      <c r="R901" s="3"/>
      <c r="S901" s="3"/>
      <c r="T901" s="3"/>
      <c r="U901" s="3"/>
      <c r="V901" s="3"/>
      <c r="W901" s="3"/>
      <c r="X901" s="3"/>
      <c r="Y901" s="3"/>
      <c r="Z901" s="3"/>
      <c r="AA901" s="3"/>
      <c r="AB901" s="3"/>
      <c r="AC901" s="3"/>
      <c r="AD901" s="3"/>
      <c r="AE901" s="3"/>
      <c r="AF901" s="3"/>
      <c r="AG901" s="3"/>
      <c r="AH901" s="3"/>
      <c r="AI901" s="3"/>
      <c r="AJ901" s="3"/>
      <c r="AK901" s="3"/>
      <c r="AL901" s="3"/>
    </row>
    <row r="902" ht="15.75" customHeight="1">
      <c r="A902" s="45"/>
      <c r="B902" s="2"/>
      <c r="C902" s="667"/>
      <c r="D902" s="2"/>
      <c r="E902" s="668"/>
      <c r="F902" s="2"/>
      <c r="G902" s="2"/>
      <c r="H902" s="2"/>
      <c r="I902" s="2"/>
      <c r="J902" s="2"/>
      <c r="K902" s="2"/>
      <c r="L902" s="2"/>
      <c r="M902" s="2"/>
      <c r="N902" s="667"/>
      <c r="O902" s="2"/>
      <c r="P902" s="2"/>
      <c r="Q902" s="2"/>
      <c r="R902" s="3"/>
      <c r="S902" s="3"/>
      <c r="T902" s="3"/>
      <c r="U902" s="3"/>
      <c r="V902" s="3"/>
      <c r="W902" s="3"/>
      <c r="X902" s="3"/>
      <c r="Y902" s="3"/>
      <c r="Z902" s="3"/>
      <c r="AA902" s="3"/>
      <c r="AB902" s="3"/>
      <c r="AC902" s="3"/>
      <c r="AD902" s="3"/>
      <c r="AE902" s="3"/>
      <c r="AF902" s="3"/>
      <c r="AG902" s="3"/>
      <c r="AH902" s="3"/>
      <c r="AI902" s="3"/>
      <c r="AJ902" s="3"/>
      <c r="AK902" s="3"/>
      <c r="AL902" s="3"/>
    </row>
    <row r="903" ht="15.75" customHeight="1">
      <c r="A903" s="45"/>
      <c r="B903" s="2"/>
      <c r="C903" s="667"/>
      <c r="D903" s="2"/>
      <c r="E903" s="668"/>
      <c r="F903" s="2"/>
      <c r="G903" s="2"/>
      <c r="H903" s="2"/>
      <c r="I903" s="2"/>
      <c r="J903" s="2"/>
      <c r="K903" s="2"/>
      <c r="L903" s="2"/>
      <c r="M903" s="2"/>
      <c r="N903" s="667"/>
      <c r="O903" s="2"/>
      <c r="P903" s="2"/>
      <c r="Q903" s="2"/>
      <c r="R903" s="3"/>
      <c r="S903" s="3"/>
      <c r="T903" s="3"/>
      <c r="U903" s="3"/>
      <c r="V903" s="3"/>
      <c r="W903" s="3"/>
      <c r="X903" s="3"/>
      <c r="Y903" s="3"/>
      <c r="Z903" s="3"/>
      <c r="AA903" s="3"/>
      <c r="AB903" s="3"/>
      <c r="AC903" s="3"/>
      <c r="AD903" s="3"/>
      <c r="AE903" s="3"/>
      <c r="AF903" s="3"/>
      <c r="AG903" s="3"/>
      <c r="AH903" s="3"/>
      <c r="AI903" s="3"/>
      <c r="AJ903" s="3"/>
      <c r="AK903" s="3"/>
      <c r="AL903" s="3"/>
    </row>
    <row r="904" ht="15.75" customHeight="1">
      <c r="A904" s="45"/>
      <c r="B904" s="2"/>
      <c r="C904" s="667"/>
      <c r="D904" s="2"/>
      <c r="E904" s="668"/>
      <c r="F904" s="2"/>
      <c r="G904" s="2"/>
      <c r="H904" s="2"/>
      <c r="I904" s="2"/>
      <c r="J904" s="2"/>
      <c r="K904" s="2"/>
      <c r="L904" s="2"/>
      <c r="M904" s="2"/>
      <c r="N904" s="667"/>
      <c r="O904" s="2"/>
      <c r="P904" s="2"/>
      <c r="Q904" s="2"/>
      <c r="R904" s="3"/>
      <c r="S904" s="3"/>
      <c r="T904" s="3"/>
      <c r="U904" s="3"/>
      <c r="V904" s="3"/>
      <c r="W904" s="3"/>
      <c r="X904" s="3"/>
      <c r="Y904" s="3"/>
      <c r="Z904" s="3"/>
      <c r="AA904" s="3"/>
      <c r="AB904" s="3"/>
      <c r="AC904" s="3"/>
      <c r="AD904" s="3"/>
      <c r="AE904" s="3"/>
      <c r="AF904" s="3"/>
      <c r="AG904" s="3"/>
      <c r="AH904" s="3"/>
      <c r="AI904" s="3"/>
      <c r="AJ904" s="3"/>
      <c r="AK904" s="3"/>
      <c r="AL904" s="3"/>
    </row>
    <row r="905" ht="15.75" customHeight="1">
      <c r="A905" s="45"/>
      <c r="B905" s="2"/>
      <c r="C905" s="667"/>
      <c r="D905" s="2"/>
      <c r="E905" s="668"/>
      <c r="F905" s="2"/>
      <c r="G905" s="2"/>
      <c r="H905" s="2"/>
      <c r="I905" s="2"/>
      <c r="J905" s="2"/>
      <c r="K905" s="2"/>
      <c r="L905" s="2"/>
      <c r="M905" s="2"/>
      <c r="N905" s="667"/>
      <c r="O905" s="2"/>
      <c r="P905" s="2"/>
      <c r="Q905" s="2"/>
      <c r="R905" s="3"/>
      <c r="S905" s="3"/>
      <c r="T905" s="3"/>
      <c r="U905" s="3"/>
      <c r="V905" s="3"/>
      <c r="W905" s="3"/>
      <c r="X905" s="3"/>
      <c r="Y905" s="3"/>
      <c r="Z905" s="3"/>
      <c r="AA905" s="3"/>
      <c r="AB905" s="3"/>
      <c r="AC905" s="3"/>
      <c r="AD905" s="3"/>
      <c r="AE905" s="3"/>
      <c r="AF905" s="3"/>
      <c r="AG905" s="3"/>
      <c r="AH905" s="3"/>
      <c r="AI905" s="3"/>
      <c r="AJ905" s="3"/>
      <c r="AK905" s="3"/>
      <c r="AL905" s="3"/>
    </row>
    <row r="906" ht="15.75" customHeight="1">
      <c r="A906" s="45"/>
      <c r="B906" s="2"/>
      <c r="C906" s="667"/>
      <c r="D906" s="2"/>
      <c r="E906" s="668"/>
      <c r="F906" s="2"/>
      <c r="G906" s="2"/>
      <c r="H906" s="2"/>
      <c r="I906" s="2"/>
      <c r="J906" s="2"/>
      <c r="K906" s="2"/>
      <c r="L906" s="2"/>
      <c r="M906" s="2"/>
      <c r="N906" s="667"/>
      <c r="O906" s="2"/>
      <c r="P906" s="2"/>
      <c r="Q906" s="2"/>
      <c r="R906" s="3"/>
      <c r="S906" s="3"/>
      <c r="T906" s="3"/>
      <c r="U906" s="3"/>
      <c r="V906" s="3"/>
      <c r="W906" s="3"/>
      <c r="X906" s="3"/>
      <c r="Y906" s="3"/>
      <c r="Z906" s="3"/>
      <c r="AA906" s="3"/>
      <c r="AB906" s="3"/>
      <c r="AC906" s="3"/>
      <c r="AD906" s="3"/>
      <c r="AE906" s="3"/>
      <c r="AF906" s="3"/>
      <c r="AG906" s="3"/>
      <c r="AH906" s="3"/>
      <c r="AI906" s="3"/>
      <c r="AJ906" s="3"/>
      <c r="AK906" s="3"/>
      <c r="AL906" s="3"/>
    </row>
    <row r="907" ht="15.75" customHeight="1">
      <c r="A907" s="45"/>
      <c r="B907" s="2"/>
      <c r="C907" s="667"/>
      <c r="D907" s="2"/>
      <c r="E907" s="668"/>
      <c r="F907" s="2"/>
      <c r="G907" s="2"/>
      <c r="H907" s="2"/>
      <c r="I907" s="2"/>
      <c r="J907" s="2"/>
      <c r="K907" s="2"/>
      <c r="L907" s="2"/>
      <c r="M907" s="2"/>
      <c r="N907" s="667"/>
      <c r="O907" s="2"/>
      <c r="P907" s="2"/>
      <c r="Q907" s="2"/>
      <c r="R907" s="3"/>
      <c r="S907" s="3"/>
      <c r="T907" s="3"/>
      <c r="U907" s="3"/>
      <c r="V907" s="3"/>
      <c r="W907" s="3"/>
      <c r="X907" s="3"/>
      <c r="Y907" s="3"/>
      <c r="Z907" s="3"/>
      <c r="AA907" s="3"/>
      <c r="AB907" s="3"/>
      <c r="AC907" s="3"/>
      <c r="AD907" s="3"/>
      <c r="AE907" s="3"/>
      <c r="AF907" s="3"/>
      <c r="AG907" s="3"/>
      <c r="AH907" s="3"/>
      <c r="AI907" s="3"/>
      <c r="AJ907" s="3"/>
      <c r="AK907" s="3"/>
      <c r="AL907" s="3"/>
    </row>
    <row r="908" ht="15.75" customHeight="1">
      <c r="A908" s="45"/>
      <c r="B908" s="2"/>
      <c r="C908" s="667"/>
      <c r="D908" s="2"/>
      <c r="E908" s="668"/>
      <c r="F908" s="2"/>
      <c r="G908" s="2"/>
      <c r="H908" s="2"/>
      <c r="I908" s="2"/>
      <c r="J908" s="2"/>
      <c r="K908" s="2"/>
      <c r="L908" s="2"/>
      <c r="M908" s="2"/>
      <c r="N908" s="667"/>
      <c r="O908" s="2"/>
      <c r="P908" s="2"/>
      <c r="Q908" s="2"/>
      <c r="R908" s="3"/>
      <c r="S908" s="3"/>
      <c r="T908" s="3"/>
      <c r="U908" s="3"/>
      <c r="V908" s="3"/>
      <c r="W908" s="3"/>
      <c r="X908" s="3"/>
      <c r="Y908" s="3"/>
      <c r="Z908" s="3"/>
      <c r="AA908" s="3"/>
      <c r="AB908" s="3"/>
      <c r="AC908" s="3"/>
      <c r="AD908" s="3"/>
      <c r="AE908" s="3"/>
      <c r="AF908" s="3"/>
      <c r="AG908" s="3"/>
      <c r="AH908" s="3"/>
      <c r="AI908" s="3"/>
      <c r="AJ908" s="3"/>
      <c r="AK908" s="3"/>
      <c r="AL908" s="3"/>
    </row>
    <row r="909" ht="15.75" customHeight="1">
      <c r="A909" s="45"/>
      <c r="B909" s="2"/>
      <c r="C909" s="667"/>
      <c r="D909" s="2"/>
      <c r="E909" s="668"/>
      <c r="F909" s="2"/>
      <c r="G909" s="2"/>
      <c r="H909" s="2"/>
      <c r="I909" s="2"/>
      <c r="J909" s="2"/>
      <c r="K909" s="2"/>
      <c r="L909" s="2"/>
      <c r="M909" s="2"/>
      <c r="N909" s="667"/>
      <c r="O909" s="2"/>
      <c r="P909" s="2"/>
      <c r="Q909" s="2"/>
      <c r="R909" s="3"/>
      <c r="S909" s="3"/>
      <c r="T909" s="3"/>
      <c r="U909" s="3"/>
      <c r="V909" s="3"/>
      <c r="W909" s="3"/>
      <c r="X909" s="3"/>
      <c r="Y909" s="3"/>
      <c r="Z909" s="3"/>
      <c r="AA909" s="3"/>
      <c r="AB909" s="3"/>
      <c r="AC909" s="3"/>
      <c r="AD909" s="3"/>
      <c r="AE909" s="3"/>
      <c r="AF909" s="3"/>
      <c r="AG909" s="3"/>
      <c r="AH909" s="3"/>
      <c r="AI909" s="3"/>
      <c r="AJ909" s="3"/>
      <c r="AK909" s="3"/>
      <c r="AL909" s="3"/>
    </row>
    <row r="910" ht="15.75" customHeight="1">
      <c r="A910" s="45"/>
      <c r="B910" s="2"/>
      <c r="C910" s="667"/>
      <c r="D910" s="2"/>
      <c r="E910" s="668"/>
      <c r="F910" s="2"/>
      <c r="G910" s="2"/>
      <c r="H910" s="2"/>
      <c r="I910" s="2"/>
      <c r="J910" s="2"/>
      <c r="K910" s="2"/>
      <c r="L910" s="2"/>
      <c r="M910" s="2"/>
      <c r="N910" s="667"/>
      <c r="O910" s="2"/>
      <c r="P910" s="2"/>
      <c r="Q910" s="2"/>
      <c r="R910" s="3"/>
      <c r="S910" s="3"/>
      <c r="T910" s="3"/>
      <c r="U910" s="3"/>
      <c r="V910" s="3"/>
      <c r="W910" s="3"/>
      <c r="X910" s="3"/>
      <c r="Y910" s="3"/>
      <c r="Z910" s="3"/>
      <c r="AA910" s="3"/>
      <c r="AB910" s="3"/>
      <c r="AC910" s="3"/>
      <c r="AD910" s="3"/>
      <c r="AE910" s="3"/>
      <c r="AF910" s="3"/>
      <c r="AG910" s="3"/>
      <c r="AH910" s="3"/>
      <c r="AI910" s="3"/>
      <c r="AJ910" s="3"/>
      <c r="AK910" s="3"/>
      <c r="AL910" s="3"/>
    </row>
    <row r="911" ht="15.75" customHeight="1">
      <c r="A911" s="45"/>
      <c r="B911" s="2"/>
      <c r="C911" s="667"/>
      <c r="D911" s="2"/>
      <c r="E911" s="668"/>
      <c r="F911" s="2"/>
      <c r="G911" s="2"/>
      <c r="H911" s="2"/>
      <c r="I911" s="2"/>
      <c r="J911" s="2"/>
      <c r="K911" s="2"/>
      <c r="L911" s="2"/>
      <c r="M911" s="2"/>
      <c r="N911" s="667"/>
      <c r="O911" s="2"/>
      <c r="P911" s="2"/>
      <c r="Q911" s="2"/>
      <c r="R911" s="3"/>
      <c r="S911" s="3"/>
      <c r="T911" s="3"/>
      <c r="U911" s="3"/>
      <c r="V911" s="3"/>
      <c r="W911" s="3"/>
      <c r="X911" s="3"/>
      <c r="Y911" s="3"/>
      <c r="Z911" s="3"/>
      <c r="AA911" s="3"/>
      <c r="AB911" s="3"/>
      <c r="AC911" s="3"/>
      <c r="AD911" s="3"/>
      <c r="AE911" s="3"/>
      <c r="AF911" s="3"/>
      <c r="AG911" s="3"/>
      <c r="AH911" s="3"/>
      <c r="AI911" s="3"/>
      <c r="AJ911" s="3"/>
      <c r="AK911" s="3"/>
      <c r="AL911" s="3"/>
    </row>
    <row r="912" ht="15.75" customHeight="1">
      <c r="A912" s="45"/>
      <c r="B912" s="2"/>
      <c r="C912" s="667"/>
      <c r="D912" s="2"/>
      <c r="E912" s="668"/>
      <c r="F912" s="2"/>
      <c r="G912" s="2"/>
      <c r="H912" s="2"/>
      <c r="I912" s="2"/>
      <c r="J912" s="2"/>
      <c r="K912" s="2"/>
      <c r="L912" s="2"/>
      <c r="M912" s="2"/>
      <c r="N912" s="667"/>
      <c r="O912" s="2"/>
      <c r="P912" s="2"/>
      <c r="Q912" s="2"/>
      <c r="R912" s="3"/>
      <c r="S912" s="3"/>
      <c r="T912" s="3"/>
      <c r="U912" s="3"/>
      <c r="V912" s="3"/>
      <c r="W912" s="3"/>
      <c r="X912" s="3"/>
      <c r="Y912" s="3"/>
      <c r="Z912" s="3"/>
      <c r="AA912" s="3"/>
      <c r="AB912" s="3"/>
      <c r="AC912" s="3"/>
      <c r="AD912" s="3"/>
      <c r="AE912" s="3"/>
      <c r="AF912" s="3"/>
      <c r="AG912" s="3"/>
      <c r="AH912" s="3"/>
      <c r="AI912" s="3"/>
      <c r="AJ912" s="3"/>
      <c r="AK912" s="3"/>
      <c r="AL912" s="3"/>
    </row>
    <row r="913" ht="15.75" customHeight="1">
      <c r="A913" s="45"/>
      <c r="B913" s="2"/>
      <c r="C913" s="667"/>
      <c r="D913" s="2"/>
      <c r="E913" s="668"/>
      <c r="F913" s="2"/>
      <c r="G913" s="2"/>
      <c r="H913" s="2"/>
      <c r="I913" s="2"/>
      <c r="J913" s="2"/>
      <c r="K913" s="2"/>
      <c r="L913" s="2"/>
      <c r="M913" s="2"/>
      <c r="N913" s="667"/>
      <c r="O913" s="2"/>
      <c r="P913" s="2"/>
      <c r="Q913" s="2"/>
      <c r="R913" s="3"/>
      <c r="S913" s="3"/>
      <c r="T913" s="3"/>
      <c r="U913" s="3"/>
      <c r="V913" s="3"/>
      <c r="W913" s="3"/>
      <c r="X913" s="3"/>
      <c r="Y913" s="3"/>
      <c r="Z913" s="3"/>
      <c r="AA913" s="3"/>
      <c r="AB913" s="3"/>
      <c r="AC913" s="3"/>
      <c r="AD913" s="3"/>
      <c r="AE913" s="3"/>
      <c r="AF913" s="3"/>
      <c r="AG913" s="3"/>
      <c r="AH913" s="3"/>
      <c r="AI913" s="3"/>
      <c r="AJ913" s="3"/>
      <c r="AK913" s="3"/>
      <c r="AL913" s="3"/>
    </row>
    <row r="914" ht="15.75" customHeight="1">
      <c r="A914" s="45"/>
      <c r="B914" s="2"/>
      <c r="C914" s="667"/>
      <c r="D914" s="2"/>
      <c r="E914" s="668"/>
      <c r="F914" s="2"/>
      <c r="G914" s="2"/>
      <c r="H914" s="2"/>
      <c r="I914" s="2"/>
      <c r="J914" s="2"/>
      <c r="K914" s="2"/>
      <c r="L914" s="2"/>
      <c r="M914" s="2"/>
      <c r="N914" s="667"/>
      <c r="O914" s="2"/>
      <c r="P914" s="2"/>
      <c r="Q914" s="2"/>
      <c r="R914" s="3"/>
      <c r="S914" s="3"/>
      <c r="T914" s="3"/>
      <c r="U914" s="3"/>
      <c r="V914" s="3"/>
      <c r="W914" s="3"/>
      <c r="X914" s="3"/>
      <c r="Y914" s="3"/>
      <c r="Z914" s="3"/>
      <c r="AA914" s="3"/>
      <c r="AB914" s="3"/>
      <c r="AC914" s="3"/>
      <c r="AD914" s="3"/>
      <c r="AE914" s="3"/>
      <c r="AF914" s="3"/>
      <c r="AG914" s="3"/>
      <c r="AH914" s="3"/>
      <c r="AI914" s="3"/>
      <c r="AJ914" s="3"/>
      <c r="AK914" s="3"/>
      <c r="AL914" s="3"/>
    </row>
    <row r="915" ht="15.75" customHeight="1">
      <c r="A915" s="45"/>
      <c r="B915" s="2"/>
      <c r="C915" s="667"/>
      <c r="D915" s="2"/>
      <c r="E915" s="668"/>
      <c r="F915" s="2"/>
      <c r="G915" s="2"/>
      <c r="H915" s="2"/>
      <c r="I915" s="2"/>
      <c r="J915" s="2"/>
      <c r="K915" s="2"/>
      <c r="L915" s="2"/>
      <c r="M915" s="2"/>
      <c r="N915" s="667"/>
      <c r="O915" s="2"/>
      <c r="P915" s="2"/>
      <c r="Q915" s="2"/>
      <c r="R915" s="3"/>
      <c r="S915" s="3"/>
      <c r="T915" s="3"/>
      <c r="U915" s="3"/>
      <c r="V915" s="3"/>
      <c r="W915" s="3"/>
      <c r="X915" s="3"/>
      <c r="Y915" s="3"/>
      <c r="Z915" s="3"/>
      <c r="AA915" s="3"/>
      <c r="AB915" s="3"/>
      <c r="AC915" s="3"/>
      <c r="AD915" s="3"/>
      <c r="AE915" s="3"/>
      <c r="AF915" s="3"/>
      <c r="AG915" s="3"/>
      <c r="AH915" s="3"/>
      <c r="AI915" s="3"/>
      <c r="AJ915" s="3"/>
      <c r="AK915" s="3"/>
      <c r="AL915" s="3"/>
    </row>
    <row r="916" ht="15.75" customHeight="1">
      <c r="A916" s="45"/>
      <c r="B916" s="2"/>
      <c r="C916" s="667"/>
      <c r="D916" s="2"/>
      <c r="E916" s="668"/>
      <c r="F916" s="2"/>
      <c r="G916" s="2"/>
      <c r="H916" s="2"/>
      <c r="I916" s="2"/>
      <c r="J916" s="2"/>
      <c r="K916" s="2"/>
      <c r="L916" s="2"/>
      <c r="M916" s="2"/>
      <c r="N916" s="667"/>
      <c r="O916" s="2"/>
      <c r="P916" s="2"/>
      <c r="Q916" s="2"/>
      <c r="R916" s="3"/>
      <c r="S916" s="3"/>
      <c r="T916" s="3"/>
      <c r="U916" s="3"/>
      <c r="V916" s="3"/>
      <c r="W916" s="3"/>
      <c r="X916" s="3"/>
      <c r="Y916" s="3"/>
      <c r="Z916" s="3"/>
      <c r="AA916" s="3"/>
      <c r="AB916" s="3"/>
      <c r="AC916" s="3"/>
      <c r="AD916" s="3"/>
      <c r="AE916" s="3"/>
      <c r="AF916" s="3"/>
      <c r="AG916" s="3"/>
      <c r="AH916" s="3"/>
      <c r="AI916" s="3"/>
      <c r="AJ916" s="3"/>
      <c r="AK916" s="3"/>
      <c r="AL916" s="3"/>
    </row>
    <row r="917" ht="15.75" customHeight="1">
      <c r="A917" s="45"/>
      <c r="B917" s="2"/>
      <c r="C917" s="667"/>
      <c r="D917" s="2"/>
      <c r="E917" s="668"/>
      <c r="F917" s="2"/>
      <c r="G917" s="2"/>
      <c r="H917" s="2"/>
      <c r="I917" s="2"/>
      <c r="J917" s="2"/>
      <c r="K917" s="2"/>
      <c r="L917" s="2"/>
      <c r="M917" s="2"/>
      <c r="N917" s="667"/>
      <c r="O917" s="2"/>
      <c r="P917" s="2"/>
      <c r="Q917" s="2"/>
      <c r="R917" s="3"/>
      <c r="S917" s="3"/>
      <c r="T917" s="3"/>
      <c r="U917" s="3"/>
      <c r="V917" s="3"/>
      <c r="W917" s="3"/>
      <c r="X917" s="3"/>
      <c r="Y917" s="3"/>
      <c r="Z917" s="3"/>
      <c r="AA917" s="3"/>
      <c r="AB917" s="3"/>
      <c r="AC917" s="3"/>
      <c r="AD917" s="3"/>
      <c r="AE917" s="3"/>
      <c r="AF917" s="3"/>
      <c r="AG917" s="3"/>
      <c r="AH917" s="3"/>
      <c r="AI917" s="3"/>
      <c r="AJ917" s="3"/>
      <c r="AK917" s="3"/>
      <c r="AL917" s="3"/>
    </row>
    <row r="918" ht="15.75" customHeight="1">
      <c r="A918" s="45"/>
      <c r="B918" s="2"/>
      <c r="C918" s="667"/>
      <c r="D918" s="2"/>
      <c r="E918" s="668"/>
      <c r="F918" s="2"/>
      <c r="G918" s="2"/>
      <c r="H918" s="2"/>
      <c r="I918" s="2"/>
      <c r="J918" s="2"/>
      <c r="K918" s="2"/>
      <c r="L918" s="2"/>
      <c r="M918" s="2"/>
      <c r="N918" s="667"/>
      <c r="O918" s="2"/>
      <c r="P918" s="2"/>
      <c r="Q918" s="2"/>
      <c r="R918" s="3"/>
      <c r="S918" s="3"/>
      <c r="T918" s="3"/>
      <c r="U918" s="3"/>
      <c r="V918" s="3"/>
      <c r="W918" s="3"/>
      <c r="X918" s="3"/>
      <c r="Y918" s="3"/>
      <c r="Z918" s="3"/>
      <c r="AA918" s="3"/>
      <c r="AB918" s="3"/>
      <c r="AC918" s="3"/>
      <c r="AD918" s="3"/>
      <c r="AE918" s="3"/>
      <c r="AF918" s="3"/>
      <c r="AG918" s="3"/>
      <c r="AH918" s="3"/>
      <c r="AI918" s="3"/>
      <c r="AJ918" s="3"/>
      <c r="AK918" s="3"/>
      <c r="AL918" s="3"/>
    </row>
    <row r="919" ht="15.75" customHeight="1">
      <c r="A919" s="45"/>
      <c r="B919" s="2"/>
      <c r="C919" s="667"/>
      <c r="D919" s="2"/>
      <c r="E919" s="668"/>
      <c r="F919" s="2"/>
      <c r="G919" s="2"/>
      <c r="H919" s="2"/>
      <c r="I919" s="2"/>
      <c r="J919" s="2"/>
      <c r="K919" s="2"/>
      <c r="L919" s="2"/>
      <c r="M919" s="2"/>
      <c r="N919" s="667"/>
      <c r="O919" s="2"/>
      <c r="P919" s="2"/>
      <c r="Q919" s="2"/>
      <c r="R919" s="3"/>
      <c r="S919" s="3"/>
      <c r="T919" s="3"/>
      <c r="U919" s="3"/>
      <c r="V919" s="3"/>
      <c r="W919" s="3"/>
      <c r="X919" s="3"/>
      <c r="Y919" s="3"/>
      <c r="Z919" s="3"/>
      <c r="AA919" s="3"/>
      <c r="AB919" s="3"/>
      <c r="AC919" s="3"/>
      <c r="AD919" s="3"/>
      <c r="AE919" s="3"/>
      <c r="AF919" s="3"/>
      <c r="AG919" s="3"/>
      <c r="AH919" s="3"/>
      <c r="AI919" s="3"/>
      <c r="AJ919" s="3"/>
      <c r="AK919" s="3"/>
      <c r="AL919" s="3"/>
    </row>
    <row r="920" ht="15.75" customHeight="1">
      <c r="A920" s="45"/>
      <c r="B920" s="2"/>
      <c r="C920" s="667"/>
      <c r="D920" s="2"/>
      <c r="E920" s="668"/>
      <c r="F920" s="2"/>
      <c r="G920" s="2"/>
      <c r="H920" s="2"/>
      <c r="I920" s="2"/>
      <c r="J920" s="2"/>
      <c r="K920" s="2"/>
      <c r="L920" s="2"/>
      <c r="M920" s="2"/>
      <c r="N920" s="667"/>
      <c r="O920" s="2"/>
      <c r="P920" s="2"/>
      <c r="Q920" s="2"/>
      <c r="R920" s="3"/>
      <c r="S920" s="3"/>
      <c r="T920" s="3"/>
      <c r="U920" s="3"/>
      <c r="V920" s="3"/>
      <c r="W920" s="3"/>
      <c r="X920" s="3"/>
      <c r="Y920" s="3"/>
      <c r="Z920" s="3"/>
      <c r="AA920" s="3"/>
      <c r="AB920" s="3"/>
      <c r="AC920" s="3"/>
      <c r="AD920" s="3"/>
      <c r="AE920" s="3"/>
      <c r="AF920" s="3"/>
      <c r="AG920" s="3"/>
      <c r="AH920" s="3"/>
      <c r="AI920" s="3"/>
      <c r="AJ920" s="3"/>
      <c r="AK920" s="3"/>
      <c r="AL920" s="3"/>
    </row>
    <row r="921" ht="15.75" customHeight="1">
      <c r="A921" s="45"/>
      <c r="B921" s="2"/>
      <c r="C921" s="667"/>
      <c r="D921" s="2"/>
      <c r="E921" s="668"/>
      <c r="F921" s="2"/>
      <c r="G921" s="2"/>
      <c r="H921" s="2"/>
      <c r="I921" s="2"/>
      <c r="J921" s="2"/>
      <c r="K921" s="2"/>
      <c r="L921" s="2"/>
      <c r="M921" s="2"/>
      <c r="N921" s="667"/>
      <c r="O921" s="2"/>
      <c r="P921" s="2"/>
      <c r="Q921" s="2"/>
      <c r="R921" s="3"/>
      <c r="S921" s="3"/>
      <c r="T921" s="3"/>
      <c r="U921" s="3"/>
      <c r="V921" s="3"/>
      <c r="W921" s="3"/>
      <c r="X921" s="3"/>
      <c r="Y921" s="3"/>
      <c r="Z921" s="3"/>
      <c r="AA921" s="3"/>
      <c r="AB921" s="3"/>
      <c r="AC921" s="3"/>
      <c r="AD921" s="3"/>
      <c r="AE921" s="3"/>
      <c r="AF921" s="3"/>
      <c r="AG921" s="3"/>
      <c r="AH921" s="3"/>
      <c r="AI921" s="3"/>
      <c r="AJ921" s="3"/>
      <c r="AK921" s="3"/>
      <c r="AL921" s="3"/>
    </row>
    <row r="922" ht="15.75" customHeight="1">
      <c r="A922" s="45"/>
      <c r="B922" s="2"/>
      <c r="C922" s="667"/>
      <c r="D922" s="2"/>
      <c r="E922" s="668"/>
      <c r="F922" s="2"/>
      <c r="G922" s="2"/>
      <c r="H922" s="2"/>
      <c r="I922" s="2"/>
      <c r="J922" s="2"/>
      <c r="K922" s="2"/>
      <c r="L922" s="2"/>
      <c r="M922" s="2"/>
      <c r="N922" s="667"/>
      <c r="O922" s="2"/>
      <c r="P922" s="2"/>
      <c r="Q922" s="2"/>
      <c r="R922" s="3"/>
      <c r="S922" s="3"/>
      <c r="T922" s="3"/>
      <c r="U922" s="3"/>
      <c r="V922" s="3"/>
      <c r="W922" s="3"/>
      <c r="X922" s="3"/>
      <c r="Y922" s="3"/>
      <c r="Z922" s="3"/>
      <c r="AA922" s="3"/>
      <c r="AB922" s="3"/>
      <c r="AC922" s="3"/>
      <c r="AD922" s="3"/>
      <c r="AE922" s="3"/>
      <c r="AF922" s="3"/>
      <c r="AG922" s="3"/>
      <c r="AH922" s="3"/>
      <c r="AI922" s="3"/>
      <c r="AJ922" s="3"/>
      <c r="AK922" s="3"/>
      <c r="AL922" s="3"/>
    </row>
    <row r="923" ht="15.75" customHeight="1">
      <c r="A923" s="45"/>
      <c r="B923" s="2"/>
      <c r="C923" s="667"/>
      <c r="D923" s="2"/>
      <c r="E923" s="668"/>
      <c r="F923" s="2"/>
      <c r="G923" s="2"/>
      <c r="H923" s="2"/>
      <c r="I923" s="2"/>
      <c r="J923" s="2"/>
      <c r="K923" s="2"/>
      <c r="L923" s="2"/>
      <c r="M923" s="2"/>
      <c r="N923" s="667"/>
      <c r="O923" s="2"/>
      <c r="P923" s="2"/>
      <c r="Q923" s="2"/>
      <c r="R923" s="3"/>
      <c r="S923" s="3"/>
      <c r="T923" s="3"/>
      <c r="U923" s="3"/>
      <c r="V923" s="3"/>
      <c r="W923" s="3"/>
      <c r="X923" s="3"/>
      <c r="Y923" s="3"/>
      <c r="Z923" s="3"/>
      <c r="AA923" s="3"/>
      <c r="AB923" s="3"/>
      <c r="AC923" s="3"/>
      <c r="AD923" s="3"/>
      <c r="AE923" s="3"/>
      <c r="AF923" s="3"/>
      <c r="AG923" s="3"/>
      <c r="AH923" s="3"/>
      <c r="AI923" s="3"/>
      <c r="AJ923" s="3"/>
      <c r="AK923" s="3"/>
      <c r="AL923" s="3"/>
    </row>
    <row r="924" ht="15.75" customHeight="1">
      <c r="A924" s="45"/>
      <c r="B924" s="2"/>
      <c r="C924" s="667"/>
      <c r="D924" s="2"/>
      <c r="E924" s="668"/>
      <c r="F924" s="2"/>
      <c r="G924" s="2"/>
      <c r="H924" s="2"/>
      <c r="I924" s="2"/>
      <c r="J924" s="2"/>
      <c r="K924" s="2"/>
      <c r="L924" s="2"/>
      <c r="M924" s="2"/>
      <c r="N924" s="667"/>
      <c r="O924" s="2"/>
      <c r="P924" s="2"/>
      <c r="Q924" s="2"/>
      <c r="R924" s="3"/>
      <c r="S924" s="3"/>
      <c r="T924" s="3"/>
      <c r="U924" s="3"/>
      <c r="V924" s="3"/>
      <c r="W924" s="3"/>
      <c r="X924" s="3"/>
      <c r="Y924" s="3"/>
      <c r="Z924" s="3"/>
      <c r="AA924" s="3"/>
      <c r="AB924" s="3"/>
      <c r="AC924" s="3"/>
      <c r="AD924" s="3"/>
      <c r="AE924" s="3"/>
      <c r="AF924" s="3"/>
      <c r="AG924" s="3"/>
      <c r="AH924" s="3"/>
      <c r="AI924" s="3"/>
      <c r="AJ924" s="3"/>
      <c r="AK924" s="3"/>
      <c r="AL924" s="3"/>
    </row>
    <row r="925" ht="15.75" customHeight="1">
      <c r="A925" s="45"/>
      <c r="B925" s="2"/>
      <c r="C925" s="667"/>
      <c r="D925" s="2"/>
      <c r="E925" s="668"/>
      <c r="F925" s="2"/>
      <c r="G925" s="2"/>
      <c r="H925" s="2"/>
      <c r="I925" s="2"/>
      <c r="J925" s="2"/>
      <c r="K925" s="2"/>
      <c r="L925" s="2"/>
      <c r="M925" s="2"/>
      <c r="N925" s="667"/>
      <c r="O925" s="2"/>
      <c r="P925" s="2"/>
      <c r="Q925" s="2"/>
      <c r="R925" s="3"/>
      <c r="S925" s="3"/>
      <c r="T925" s="3"/>
      <c r="U925" s="3"/>
      <c r="V925" s="3"/>
      <c r="W925" s="3"/>
      <c r="X925" s="3"/>
      <c r="Y925" s="3"/>
      <c r="Z925" s="3"/>
      <c r="AA925" s="3"/>
      <c r="AB925" s="3"/>
      <c r="AC925" s="3"/>
      <c r="AD925" s="3"/>
      <c r="AE925" s="3"/>
      <c r="AF925" s="3"/>
      <c r="AG925" s="3"/>
      <c r="AH925" s="3"/>
      <c r="AI925" s="3"/>
      <c r="AJ925" s="3"/>
      <c r="AK925" s="3"/>
      <c r="AL925" s="3"/>
    </row>
    <row r="926" ht="15.75" customHeight="1">
      <c r="A926" s="45"/>
      <c r="B926" s="2"/>
      <c r="C926" s="667"/>
      <c r="D926" s="2"/>
      <c r="E926" s="668"/>
      <c r="F926" s="2"/>
      <c r="G926" s="2"/>
      <c r="H926" s="2"/>
      <c r="I926" s="2"/>
      <c r="J926" s="2"/>
      <c r="K926" s="2"/>
      <c r="L926" s="2"/>
      <c r="M926" s="2"/>
      <c r="N926" s="667"/>
      <c r="O926" s="2"/>
      <c r="P926" s="2"/>
      <c r="Q926" s="2"/>
      <c r="R926" s="3"/>
      <c r="S926" s="3"/>
      <c r="T926" s="3"/>
      <c r="U926" s="3"/>
      <c r="V926" s="3"/>
      <c r="W926" s="3"/>
      <c r="X926" s="3"/>
      <c r="Y926" s="3"/>
      <c r="Z926" s="3"/>
      <c r="AA926" s="3"/>
      <c r="AB926" s="3"/>
      <c r="AC926" s="3"/>
      <c r="AD926" s="3"/>
      <c r="AE926" s="3"/>
      <c r="AF926" s="3"/>
      <c r="AG926" s="3"/>
      <c r="AH926" s="3"/>
      <c r="AI926" s="3"/>
      <c r="AJ926" s="3"/>
      <c r="AK926" s="3"/>
      <c r="AL926" s="3"/>
    </row>
    <row r="927" ht="15.75" customHeight="1">
      <c r="A927" s="45"/>
      <c r="B927" s="2"/>
      <c r="C927" s="667"/>
      <c r="D927" s="2"/>
      <c r="E927" s="668"/>
      <c r="F927" s="2"/>
      <c r="G927" s="2"/>
      <c r="H927" s="2"/>
      <c r="I927" s="2"/>
      <c r="J927" s="2"/>
      <c r="K927" s="2"/>
      <c r="L927" s="2"/>
      <c r="M927" s="2"/>
      <c r="N927" s="667"/>
      <c r="O927" s="2"/>
      <c r="P927" s="2"/>
      <c r="Q927" s="2"/>
      <c r="R927" s="3"/>
      <c r="S927" s="3"/>
      <c r="T927" s="3"/>
      <c r="U927" s="3"/>
      <c r="V927" s="3"/>
      <c r="W927" s="3"/>
      <c r="X927" s="3"/>
      <c r="Y927" s="3"/>
      <c r="Z927" s="3"/>
      <c r="AA927" s="3"/>
      <c r="AB927" s="3"/>
      <c r="AC927" s="3"/>
      <c r="AD927" s="3"/>
      <c r="AE927" s="3"/>
      <c r="AF927" s="3"/>
      <c r="AG927" s="3"/>
      <c r="AH927" s="3"/>
      <c r="AI927" s="3"/>
      <c r="AJ927" s="3"/>
      <c r="AK927" s="3"/>
      <c r="AL927" s="3"/>
    </row>
    <row r="928" ht="15.75" customHeight="1">
      <c r="A928" s="45"/>
      <c r="B928" s="2"/>
      <c r="C928" s="667"/>
      <c r="D928" s="2"/>
      <c r="E928" s="668"/>
      <c r="F928" s="2"/>
      <c r="G928" s="2"/>
      <c r="H928" s="2"/>
      <c r="I928" s="2"/>
      <c r="J928" s="2"/>
      <c r="K928" s="2"/>
      <c r="L928" s="2"/>
      <c r="M928" s="2"/>
      <c r="N928" s="667"/>
      <c r="O928" s="2"/>
      <c r="P928" s="2"/>
      <c r="Q928" s="2"/>
      <c r="R928" s="3"/>
      <c r="S928" s="3"/>
      <c r="T928" s="3"/>
      <c r="U928" s="3"/>
      <c r="V928" s="3"/>
      <c r="W928" s="3"/>
      <c r="X928" s="3"/>
      <c r="Y928" s="3"/>
      <c r="Z928" s="3"/>
      <c r="AA928" s="3"/>
      <c r="AB928" s="3"/>
      <c r="AC928" s="3"/>
      <c r="AD928" s="3"/>
      <c r="AE928" s="3"/>
      <c r="AF928" s="3"/>
      <c r="AG928" s="3"/>
      <c r="AH928" s="3"/>
      <c r="AI928" s="3"/>
      <c r="AJ928" s="3"/>
      <c r="AK928" s="3"/>
      <c r="AL928" s="3"/>
    </row>
    <row r="929" ht="15.75" customHeight="1">
      <c r="A929" s="45"/>
      <c r="B929" s="2"/>
      <c r="C929" s="667"/>
      <c r="D929" s="2"/>
      <c r="E929" s="668"/>
      <c r="F929" s="2"/>
      <c r="G929" s="2"/>
      <c r="H929" s="2"/>
      <c r="I929" s="2"/>
      <c r="J929" s="2"/>
      <c r="K929" s="2"/>
      <c r="L929" s="2"/>
      <c r="M929" s="2"/>
      <c r="N929" s="667"/>
      <c r="O929" s="2"/>
      <c r="P929" s="2"/>
      <c r="Q929" s="2"/>
      <c r="R929" s="3"/>
      <c r="S929" s="3"/>
      <c r="T929" s="3"/>
      <c r="U929" s="3"/>
      <c r="V929" s="3"/>
      <c r="W929" s="3"/>
      <c r="X929" s="3"/>
      <c r="Y929" s="3"/>
      <c r="Z929" s="3"/>
      <c r="AA929" s="3"/>
      <c r="AB929" s="3"/>
      <c r="AC929" s="3"/>
      <c r="AD929" s="3"/>
      <c r="AE929" s="3"/>
      <c r="AF929" s="3"/>
      <c r="AG929" s="3"/>
      <c r="AH929" s="3"/>
      <c r="AI929" s="3"/>
      <c r="AJ929" s="3"/>
      <c r="AK929" s="3"/>
      <c r="AL929" s="3"/>
    </row>
    <row r="930" ht="15.75" customHeight="1">
      <c r="A930" s="45"/>
      <c r="B930" s="2"/>
      <c r="C930" s="667"/>
      <c r="D930" s="2"/>
      <c r="E930" s="668"/>
      <c r="F930" s="2"/>
      <c r="G930" s="2"/>
      <c r="H930" s="2"/>
      <c r="I930" s="2"/>
      <c r="J930" s="2"/>
      <c r="K930" s="2"/>
      <c r="L930" s="2"/>
      <c r="M930" s="2"/>
      <c r="N930" s="667"/>
      <c r="O930" s="2"/>
      <c r="P930" s="2"/>
      <c r="Q930" s="2"/>
      <c r="R930" s="3"/>
      <c r="S930" s="3"/>
      <c r="T930" s="3"/>
      <c r="U930" s="3"/>
      <c r="V930" s="3"/>
      <c r="W930" s="3"/>
      <c r="X930" s="3"/>
      <c r="Y930" s="3"/>
      <c r="Z930" s="3"/>
      <c r="AA930" s="3"/>
      <c r="AB930" s="3"/>
      <c r="AC930" s="3"/>
      <c r="AD930" s="3"/>
      <c r="AE930" s="3"/>
      <c r="AF930" s="3"/>
      <c r="AG930" s="3"/>
      <c r="AH930" s="3"/>
      <c r="AI930" s="3"/>
      <c r="AJ930" s="3"/>
      <c r="AK930" s="3"/>
      <c r="AL930" s="3"/>
    </row>
    <row r="931" ht="15.75" customHeight="1">
      <c r="A931" s="45"/>
      <c r="B931" s="2"/>
      <c r="C931" s="667"/>
      <c r="D931" s="2"/>
      <c r="E931" s="668"/>
      <c r="F931" s="2"/>
      <c r="G931" s="2"/>
      <c r="H931" s="2"/>
      <c r="I931" s="2"/>
      <c r="J931" s="2"/>
      <c r="K931" s="2"/>
      <c r="L931" s="2"/>
      <c r="M931" s="2"/>
      <c r="N931" s="667"/>
      <c r="O931" s="2"/>
      <c r="P931" s="2"/>
      <c r="Q931" s="2"/>
      <c r="R931" s="3"/>
      <c r="S931" s="3"/>
      <c r="T931" s="3"/>
      <c r="U931" s="3"/>
      <c r="V931" s="3"/>
      <c r="W931" s="3"/>
      <c r="X931" s="3"/>
      <c r="Y931" s="3"/>
      <c r="Z931" s="3"/>
      <c r="AA931" s="3"/>
      <c r="AB931" s="3"/>
      <c r="AC931" s="3"/>
      <c r="AD931" s="3"/>
      <c r="AE931" s="3"/>
      <c r="AF931" s="3"/>
      <c r="AG931" s="3"/>
      <c r="AH931" s="3"/>
      <c r="AI931" s="3"/>
      <c r="AJ931" s="3"/>
      <c r="AK931" s="3"/>
      <c r="AL931" s="3"/>
    </row>
    <row r="932" ht="15.75" customHeight="1">
      <c r="A932" s="45"/>
      <c r="B932" s="2"/>
      <c r="C932" s="667"/>
      <c r="D932" s="2"/>
      <c r="E932" s="668"/>
      <c r="F932" s="2"/>
      <c r="G932" s="2"/>
      <c r="H932" s="2"/>
      <c r="I932" s="2"/>
      <c r="J932" s="2"/>
      <c r="K932" s="2"/>
      <c r="L932" s="2"/>
      <c r="M932" s="2"/>
      <c r="N932" s="667"/>
      <c r="O932" s="2"/>
      <c r="P932" s="2"/>
      <c r="Q932" s="2"/>
      <c r="R932" s="3"/>
      <c r="S932" s="3"/>
      <c r="T932" s="3"/>
      <c r="U932" s="3"/>
      <c r="V932" s="3"/>
      <c r="W932" s="3"/>
      <c r="X932" s="3"/>
      <c r="Y932" s="3"/>
      <c r="Z932" s="3"/>
      <c r="AA932" s="3"/>
      <c r="AB932" s="3"/>
      <c r="AC932" s="3"/>
      <c r="AD932" s="3"/>
      <c r="AE932" s="3"/>
      <c r="AF932" s="3"/>
      <c r="AG932" s="3"/>
      <c r="AH932" s="3"/>
      <c r="AI932" s="3"/>
      <c r="AJ932" s="3"/>
      <c r="AK932" s="3"/>
      <c r="AL932" s="3"/>
    </row>
    <row r="933" ht="15.75" customHeight="1">
      <c r="A933" s="45"/>
      <c r="B933" s="2"/>
      <c r="C933" s="667"/>
      <c r="D933" s="2"/>
      <c r="E933" s="668"/>
      <c r="F933" s="2"/>
      <c r="G933" s="2"/>
      <c r="H933" s="2"/>
      <c r="I933" s="2"/>
      <c r="J933" s="2"/>
      <c r="K933" s="2"/>
      <c r="L933" s="2"/>
      <c r="M933" s="2"/>
      <c r="N933" s="667"/>
      <c r="O933" s="2"/>
      <c r="P933" s="2"/>
      <c r="Q933" s="2"/>
      <c r="R933" s="3"/>
      <c r="S933" s="3"/>
      <c r="T933" s="3"/>
      <c r="U933" s="3"/>
      <c r="V933" s="3"/>
      <c r="W933" s="3"/>
      <c r="X933" s="3"/>
      <c r="Y933" s="3"/>
      <c r="Z933" s="3"/>
      <c r="AA933" s="3"/>
      <c r="AB933" s="3"/>
      <c r="AC933" s="3"/>
      <c r="AD933" s="3"/>
      <c r="AE933" s="3"/>
      <c r="AF933" s="3"/>
      <c r="AG933" s="3"/>
      <c r="AH933" s="3"/>
      <c r="AI933" s="3"/>
      <c r="AJ933" s="3"/>
      <c r="AK933" s="3"/>
      <c r="AL933" s="3"/>
    </row>
    <row r="934" ht="15.75" customHeight="1">
      <c r="A934" s="45"/>
      <c r="B934" s="2"/>
      <c r="C934" s="667"/>
      <c r="D934" s="2"/>
      <c r="E934" s="668"/>
      <c r="F934" s="2"/>
      <c r="G934" s="2"/>
      <c r="H934" s="2"/>
      <c r="I934" s="2"/>
      <c r="J934" s="2"/>
      <c r="K934" s="2"/>
      <c r="L934" s="2"/>
      <c r="M934" s="2"/>
      <c r="N934" s="667"/>
      <c r="O934" s="2"/>
      <c r="P934" s="2"/>
      <c r="Q934" s="2"/>
      <c r="R934" s="3"/>
      <c r="S934" s="3"/>
      <c r="T934" s="3"/>
      <c r="U934" s="3"/>
      <c r="V934" s="3"/>
      <c r="W934" s="3"/>
      <c r="X934" s="3"/>
      <c r="Y934" s="3"/>
      <c r="Z934" s="3"/>
      <c r="AA934" s="3"/>
      <c r="AB934" s="3"/>
      <c r="AC934" s="3"/>
      <c r="AD934" s="3"/>
      <c r="AE934" s="3"/>
      <c r="AF934" s="3"/>
      <c r="AG934" s="3"/>
      <c r="AH934" s="3"/>
      <c r="AI934" s="3"/>
      <c r="AJ934" s="3"/>
      <c r="AK934" s="3"/>
      <c r="AL934" s="3"/>
    </row>
    <row r="935" ht="15.75" customHeight="1">
      <c r="A935" s="45"/>
      <c r="B935" s="2"/>
      <c r="C935" s="667"/>
      <c r="D935" s="2"/>
      <c r="E935" s="668"/>
      <c r="F935" s="2"/>
      <c r="G935" s="2"/>
      <c r="H935" s="2"/>
      <c r="I935" s="2"/>
      <c r="J935" s="2"/>
      <c r="K935" s="2"/>
      <c r="L935" s="2"/>
      <c r="M935" s="2"/>
      <c r="N935" s="667"/>
      <c r="O935" s="2"/>
      <c r="P935" s="2"/>
      <c r="Q935" s="2"/>
      <c r="R935" s="3"/>
      <c r="S935" s="3"/>
      <c r="T935" s="3"/>
      <c r="U935" s="3"/>
      <c r="V935" s="3"/>
      <c r="W935" s="3"/>
      <c r="X935" s="3"/>
      <c r="Y935" s="3"/>
      <c r="Z935" s="3"/>
      <c r="AA935" s="3"/>
      <c r="AB935" s="3"/>
      <c r="AC935" s="3"/>
      <c r="AD935" s="3"/>
      <c r="AE935" s="3"/>
      <c r="AF935" s="3"/>
      <c r="AG935" s="3"/>
      <c r="AH935" s="3"/>
      <c r="AI935" s="3"/>
      <c r="AJ935" s="3"/>
      <c r="AK935" s="3"/>
      <c r="AL935" s="3"/>
    </row>
    <row r="936" ht="15.75" customHeight="1">
      <c r="A936" s="45"/>
      <c r="B936" s="2"/>
      <c r="C936" s="667"/>
      <c r="D936" s="2"/>
      <c r="E936" s="668"/>
      <c r="F936" s="2"/>
      <c r="G936" s="2"/>
      <c r="H936" s="2"/>
      <c r="I936" s="2"/>
      <c r="J936" s="2"/>
      <c r="K936" s="2"/>
      <c r="L936" s="2"/>
      <c r="M936" s="2"/>
      <c r="N936" s="667"/>
      <c r="O936" s="2"/>
      <c r="P936" s="2"/>
      <c r="Q936" s="2"/>
      <c r="R936" s="3"/>
      <c r="S936" s="3"/>
      <c r="T936" s="3"/>
      <c r="U936" s="3"/>
      <c r="V936" s="3"/>
      <c r="W936" s="3"/>
      <c r="X936" s="3"/>
      <c r="Y936" s="3"/>
      <c r="Z936" s="3"/>
      <c r="AA936" s="3"/>
      <c r="AB936" s="3"/>
      <c r="AC936" s="3"/>
      <c r="AD936" s="3"/>
      <c r="AE936" s="3"/>
      <c r="AF936" s="3"/>
      <c r="AG936" s="3"/>
      <c r="AH936" s="3"/>
      <c r="AI936" s="3"/>
      <c r="AJ936" s="3"/>
      <c r="AK936" s="3"/>
      <c r="AL936" s="3"/>
    </row>
    <row r="937" ht="15.75" customHeight="1">
      <c r="A937" s="45"/>
      <c r="B937" s="2"/>
      <c r="C937" s="667"/>
      <c r="D937" s="2"/>
      <c r="E937" s="668"/>
      <c r="F937" s="2"/>
      <c r="G937" s="2"/>
      <c r="H937" s="2"/>
      <c r="I937" s="2"/>
      <c r="J937" s="2"/>
      <c r="K937" s="2"/>
      <c r="L937" s="2"/>
      <c r="M937" s="2"/>
      <c r="N937" s="667"/>
      <c r="O937" s="2"/>
      <c r="P937" s="2"/>
      <c r="Q937" s="2"/>
      <c r="R937" s="3"/>
      <c r="S937" s="3"/>
      <c r="T937" s="3"/>
      <c r="U937" s="3"/>
      <c r="V937" s="3"/>
      <c r="W937" s="3"/>
      <c r="X937" s="3"/>
      <c r="Y937" s="3"/>
      <c r="Z937" s="3"/>
      <c r="AA937" s="3"/>
      <c r="AB937" s="3"/>
      <c r="AC937" s="3"/>
      <c r="AD937" s="3"/>
      <c r="AE937" s="3"/>
      <c r="AF937" s="3"/>
      <c r="AG937" s="3"/>
      <c r="AH937" s="3"/>
      <c r="AI937" s="3"/>
      <c r="AJ937" s="3"/>
      <c r="AK937" s="3"/>
      <c r="AL937" s="3"/>
    </row>
    <row r="938" ht="15.75" customHeight="1">
      <c r="A938" s="45"/>
      <c r="B938" s="2"/>
      <c r="C938" s="667"/>
      <c r="D938" s="2"/>
      <c r="E938" s="668"/>
      <c r="F938" s="2"/>
      <c r="G938" s="2"/>
      <c r="H938" s="2"/>
      <c r="I938" s="2"/>
      <c r="J938" s="2"/>
      <c r="K938" s="2"/>
      <c r="L938" s="2"/>
      <c r="M938" s="2"/>
      <c r="N938" s="667"/>
      <c r="O938" s="2"/>
      <c r="P938" s="2"/>
      <c r="Q938" s="2"/>
      <c r="R938" s="3"/>
      <c r="S938" s="3"/>
      <c r="T938" s="3"/>
      <c r="U938" s="3"/>
      <c r="V938" s="3"/>
      <c r="W938" s="3"/>
      <c r="X938" s="3"/>
      <c r="Y938" s="3"/>
      <c r="Z938" s="3"/>
      <c r="AA938" s="3"/>
      <c r="AB938" s="3"/>
      <c r="AC938" s="3"/>
      <c r="AD938" s="3"/>
      <c r="AE938" s="3"/>
      <c r="AF938" s="3"/>
      <c r="AG938" s="3"/>
      <c r="AH938" s="3"/>
      <c r="AI938" s="3"/>
      <c r="AJ938" s="3"/>
      <c r="AK938" s="3"/>
      <c r="AL938" s="3"/>
    </row>
    <row r="939" ht="15.75" customHeight="1">
      <c r="A939" s="45"/>
      <c r="B939" s="2"/>
      <c r="C939" s="667"/>
      <c r="D939" s="2"/>
      <c r="E939" s="668"/>
      <c r="F939" s="2"/>
      <c r="G939" s="2"/>
      <c r="H939" s="2"/>
      <c r="I939" s="2"/>
      <c r="J939" s="2"/>
      <c r="K939" s="2"/>
      <c r="L939" s="2"/>
      <c r="M939" s="2"/>
      <c r="N939" s="667"/>
      <c r="O939" s="2"/>
      <c r="P939" s="2"/>
      <c r="Q939" s="2"/>
      <c r="R939" s="3"/>
      <c r="S939" s="3"/>
      <c r="T939" s="3"/>
      <c r="U939" s="3"/>
      <c r="V939" s="3"/>
      <c r="W939" s="3"/>
      <c r="X939" s="3"/>
      <c r="Y939" s="3"/>
      <c r="Z939" s="3"/>
      <c r="AA939" s="3"/>
      <c r="AB939" s="3"/>
      <c r="AC939" s="3"/>
      <c r="AD939" s="3"/>
      <c r="AE939" s="3"/>
      <c r="AF939" s="3"/>
      <c r="AG939" s="3"/>
      <c r="AH939" s="3"/>
      <c r="AI939" s="3"/>
      <c r="AJ939" s="3"/>
      <c r="AK939" s="3"/>
      <c r="AL939" s="3"/>
    </row>
    <row r="940" ht="15.75" customHeight="1">
      <c r="A940" s="45"/>
      <c r="B940" s="2"/>
      <c r="C940" s="667"/>
      <c r="D940" s="2"/>
      <c r="E940" s="668"/>
      <c r="F940" s="2"/>
      <c r="G940" s="2"/>
      <c r="H940" s="2"/>
      <c r="I940" s="2"/>
      <c r="J940" s="2"/>
      <c r="K940" s="2"/>
      <c r="L940" s="2"/>
      <c r="M940" s="2"/>
      <c r="N940" s="667"/>
      <c r="O940" s="2"/>
      <c r="P940" s="2"/>
      <c r="Q940" s="2"/>
      <c r="R940" s="3"/>
      <c r="S940" s="3"/>
      <c r="T940" s="3"/>
      <c r="U940" s="3"/>
      <c r="V940" s="3"/>
      <c r="W940" s="3"/>
      <c r="X940" s="3"/>
      <c r="Y940" s="3"/>
      <c r="Z940" s="3"/>
      <c r="AA940" s="3"/>
      <c r="AB940" s="3"/>
      <c r="AC940" s="3"/>
      <c r="AD940" s="3"/>
      <c r="AE940" s="3"/>
      <c r="AF940" s="3"/>
      <c r="AG940" s="3"/>
      <c r="AH940" s="3"/>
      <c r="AI940" s="3"/>
      <c r="AJ940" s="3"/>
      <c r="AK940" s="3"/>
      <c r="AL940" s="3"/>
    </row>
    <row r="941" ht="15.75" customHeight="1">
      <c r="A941" s="45"/>
      <c r="B941" s="2"/>
      <c r="C941" s="667"/>
      <c r="D941" s="2"/>
      <c r="E941" s="668"/>
      <c r="F941" s="2"/>
      <c r="G941" s="2"/>
      <c r="H941" s="2"/>
      <c r="I941" s="2"/>
      <c r="J941" s="2"/>
      <c r="K941" s="2"/>
      <c r="L941" s="2"/>
      <c r="M941" s="2"/>
      <c r="N941" s="667"/>
      <c r="O941" s="2"/>
      <c r="P941" s="2"/>
      <c r="Q941" s="2"/>
      <c r="R941" s="3"/>
      <c r="S941" s="3"/>
      <c r="T941" s="3"/>
      <c r="U941" s="3"/>
      <c r="V941" s="3"/>
      <c r="W941" s="3"/>
      <c r="X941" s="3"/>
      <c r="Y941" s="3"/>
      <c r="Z941" s="3"/>
      <c r="AA941" s="3"/>
      <c r="AB941" s="3"/>
      <c r="AC941" s="3"/>
      <c r="AD941" s="3"/>
      <c r="AE941" s="3"/>
      <c r="AF941" s="3"/>
      <c r="AG941" s="3"/>
      <c r="AH941" s="3"/>
      <c r="AI941" s="3"/>
      <c r="AJ941" s="3"/>
      <c r="AK941" s="3"/>
      <c r="AL941" s="3"/>
    </row>
    <row r="942" ht="15.75" customHeight="1">
      <c r="A942" s="45"/>
      <c r="B942" s="2"/>
      <c r="C942" s="667"/>
      <c r="D942" s="2"/>
      <c r="E942" s="668"/>
      <c r="F942" s="2"/>
      <c r="G942" s="2"/>
      <c r="H942" s="2"/>
      <c r="I942" s="2"/>
      <c r="J942" s="2"/>
      <c r="K942" s="2"/>
      <c r="L942" s="2"/>
      <c r="M942" s="2"/>
      <c r="N942" s="667"/>
      <c r="O942" s="2"/>
      <c r="P942" s="2"/>
      <c r="Q942" s="2"/>
      <c r="R942" s="3"/>
      <c r="S942" s="3"/>
      <c r="T942" s="3"/>
      <c r="U942" s="3"/>
      <c r="V942" s="3"/>
      <c r="W942" s="3"/>
      <c r="X942" s="3"/>
      <c r="Y942" s="3"/>
      <c r="Z942" s="3"/>
      <c r="AA942" s="3"/>
      <c r="AB942" s="3"/>
      <c r="AC942" s="3"/>
      <c r="AD942" s="3"/>
      <c r="AE942" s="3"/>
      <c r="AF942" s="3"/>
      <c r="AG942" s="3"/>
      <c r="AH942" s="3"/>
      <c r="AI942" s="3"/>
      <c r="AJ942" s="3"/>
      <c r="AK942" s="3"/>
      <c r="AL942" s="3"/>
    </row>
    <row r="943" ht="15.75" customHeight="1">
      <c r="A943" s="45"/>
      <c r="B943" s="2"/>
      <c r="C943" s="667"/>
      <c r="D943" s="2"/>
      <c r="E943" s="668"/>
      <c r="F943" s="2"/>
      <c r="G943" s="2"/>
      <c r="H943" s="2"/>
      <c r="I943" s="2"/>
      <c r="J943" s="2"/>
      <c r="K943" s="2"/>
      <c r="L943" s="2"/>
      <c r="M943" s="2"/>
      <c r="N943" s="667"/>
      <c r="O943" s="2"/>
      <c r="P943" s="2"/>
      <c r="Q943" s="2"/>
      <c r="R943" s="3"/>
      <c r="S943" s="3"/>
      <c r="T943" s="3"/>
      <c r="U943" s="3"/>
      <c r="V943" s="3"/>
      <c r="W943" s="3"/>
      <c r="X943" s="3"/>
      <c r="Y943" s="3"/>
      <c r="Z943" s="3"/>
      <c r="AA943" s="3"/>
      <c r="AB943" s="3"/>
      <c r="AC943" s="3"/>
      <c r="AD943" s="3"/>
      <c r="AE943" s="3"/>
      <c r="AF943" s="3"/>
      <c r="AG943" s="3"/>
      <c r="AH943" s="3"/>
      <c r="AI943" s="3"/>
      <c r="AJ943" s="3"/>
      <c r="AK943" s="3"/>
      <c r="AL943" s="3"/>
    </row>
    <row r="944" ht="15.75" customHeight="1">
      <c r="A944" s="45"/>
      <c r="B944" s="2"/>
      <c r="C944" s="667"/>
      <c r="D944" s="2"/>
      <c r="E944" s="668"/>
      <c r="F944" s="2"/>
      <c r="G944" s="2"/>
      <c r="H944" s="2"/>
      <c r="I944" s="2"/>
      <c r="J944" s="2"/>
      <c r="K944" s="2"/>
      <c r="L944" s="2"/>
      <c r="M944" s="2"/>
      <c r="N944" s="667"/>
      <c r="O944" s="2"/>
      <c r="P944" s="2"/>
      <c r="Q944" s="2"/>
      <c r="R944" s="3"/>
      <c r="S944" s="3"/>
      <c r="T944" s="3"/>
      <c r="U944" s="3"/>
      <c r="V944" s="3"/>
      <c r="W944" s="3"/>
      <c r="X944" s="3"/>
      <c r="Y944" s="3"/>
      <c r="Z944" s="3"/>
      <c r="AA944" s="3"/>
      <c r="AB944" s="3"/>
      <c r="AC944" s="3"/>
      <c r="AD944" s="3"/>
      <c r="AE944" s="3"/>
      <c r="AF944" s="3"/>
      <c r="AG944" s="3"/>
      <c r="AH944" s="3"/>
      <c r="AI944" s="3"/>
      <c r="AJ944" s="3"/>
      <c r="AK944" s="3"/>
      <c r="AL944" s="3"/>
    </row>
    <row r="945" ht="15.75" customHeight="1">
      <c r="A945" s="45"/>
      <c r="B945" s="2"/>
      <c r="C945" s="667"/>
      <c r="D945" s="2"/>
      <c r="E945" s="668"/>
      <c r="F945" s="2"/>
      <c r="G945" s="2"/>
      <c r="H945" s="2"/>
      <c r="I945" s="2"/>
      <c r="J945" s="2"/>
      <c r="K945" s="2"/>
      <c r="L945" s="2"/>
      <c r="M945" s="2"/>
      <c r="N945" s="667"/>
      <c r="O945" s="2"/>
      <c r="P945" s="2"/>
      <c r="Q945" s="2"/>
      <c r="R945" s="3"/>
      <c r="S945" s="3"/>
      <c r="T945" s="3"/>
      <c r="U945" s="3"/>
      <c r="V945" s="3"/>
      <c r="W945" s="3"/>
      <c r="X945" s="3"/>
      <c r="Y945" s="3"/>
      <c r="Z945" s="3"/>
      <c r="AA945" s="3"/>
      <c r="AB945" s="3"/>
      <c r="AC945" s="3"/>
      <c r="AD945" s="3"/>
      <c r="AE945" s="3"/>
      <c r="AF945" s="3"/>
      <c r="AG945" s="3"/>
      <c r="AH945" s="3"/>
      <c r="AI945" s="3"/>
      <c r="AJ945" s="3"/>
      <c r="AK945" s="3"/>
      <c r="AL945" s="3"/>
    </row>
    <row r="946" ht="15.75" customHeight="1">
      <c r="A946" s="45"/>
      <c r="B946" s="2"/>
      <c r="C946" s="667"/>
      <c r="D946" s="2"/>
      <c r="E946" s="668"/>
      <c r="F946" s="2"/>
      <c r="G946" s="2"/>
      <c r="H946" s="2"/>
      <c r="I946" s="2"/>
      <c r="J946" s="2"/>
      <c r="K946" s="2"/>
      <c r="L946" s="2"/>
      <c r="M946" s="2"/>
      <c r="N946" s="667"/>
      <c r="O946" s="2"/>
      <c r="P946" s="2"/>
      <c r="Q946" s="2"/>
      <c r="R946" s="3"/>
      <c r="S946" s="3"/>
      <c r="T946" s="3"/>
      <c r="U946" s="3"/>
      <c r="V946" s="3"/>
      <c r="W946" s="3"/>
      <c r="X946" s="3"/>
      <c r="Y946" s="3"/>
      <c r="Z946" s="3"/>
      <c r="AA946" s="3"/>
      <c r="AB946" s="3"/>
      <c r="AC946" s="3"/>
      <c r="AD946" s="3"/>
      <c r="AE946" s="3"/>
      <c r="AF946" s="3"/>
      <c r="AG946" s="3"/>
      <c r="AH946" s="3"/>
      <c r="AI946" s="3"/>
      <c r="AJ946" s="3"/>
      <c r="AK946" s="3"/>
      <c r="AL946" s="3"/>
    </row>
    <row r="947" ht="15.75" customHeight="1">
      <c r="A947" s="45"/>
      <c r="B947" s="2"/>
      <c r="C947" s="667"/>
      <c r="D947" s="2"/>
      <c r="E947" s="668"/>
      <c r="F947" s="2"/>
      <c r="G947" s="2"/>
      <c r="H947" s="2"/>
      <c r="I947" s="2"/>
      <c r="J947" s="2"/>
      <c r="K947" s="2"/>
      <c r="L947" s="2"/>
      <c r="M947" s="2"/>
      <c r="N947" s="667"/>
      <c r="O947" s="2"/>
      <c r="P947" s="2"/>
      <c r="Q947" s="2"/>
      <c r="R947" s="3"/>
      <c r="S947" s="3"/>
      <c r="T947" s="3"/>
      <c r="U947" s="3"/>
      <c r="V947" s="3"/>
      <c r="W947" s="3"/>
      <c r="X947" s="3"/>
      <c r="Y947" s="3"/>
      <c r="Z947" s="3"/>
      <c r="AA947" s="3"/>
      <c r="AB947" s="3"/>
      <c r="AC947" s="3"/>
      <c r="AD947" s="3"/>
      <c r="AE947" s="3"/>
      <c r="AF947" s="3"/>
      <c r="AG947" s="3"/>
      <c r="AH947" s="3"/>
      <c r="AI947" s="3"/>
      <c r="AJ947" s="3"/>
      <c r="AK947" s="3"/>
      <c r="AL947" s="3"/>
    </row>
    <row r="948" ht="15.75" customHeight="1">
      <c r="A948" s="45"/>
      <c r="B948" s="2"/>
      <c r="C948" s="667"/>
      <c r="D948" s="2"/>
      <c r="E948" s="668"/>
      <c r="F948" s="2"/>
      <c r="G948" s="2"/>
      <c r="H948" s="2"/>
      <c r="I948" s="2"/>
      <c r="J948" s="2"/>
      <c r="K948" s="2"/>
      <c r="L948" s="2"/>
      <c r="M948" s="2"/>
      <c r="N948" s="667"/>
      <c r="O948" s="2"/>
      <c r="P948" s="2"/>
      <c r="Q948" s="2"/>
      <c r="R948" s="3"/>
      <c r="S948" s="3"/>
      <c r="T948" s="3"/>
      <c r="U948" s="3"/>
      <c r="V948" s="3"/>
      <c r="W948" s="3"/>
      <c r="X948" s="3"/>
      <c r="Y948" s="3"/>
      <c r="Z948" s="3"/>
      <c r="AA948" s="3"/>
      <c r="AB948" s="3"/>
      <c r="AC948" s="3"/>
      <c r="AD948" s="3"/>
      <c r="AE948" s="3"/>
      <c r="AF948" s="3"/>
      <c r="AG948" s="3"/>
      <c r="AH948" s="3"/>
      <c r="AI948" s="3"/>
      <c r="AJ948" s="3"/>
      <c r="AK948" s="3"/>
      <c r="AL948" s="3"/>
    </row>
    <row r="949" ht="15.75" customHeight="1">
      <c r="A949" s="45"/>
      <c r="B949" s="2"/>
      <c r="C949" s="667"/>
      <c r="D949" s="2"/>
      <c r="E949" s="668"/>
      <c r="F949" s="2"/>
      <c r="G949" s="2"/>
      <c r="H949" s="2"/>
      <c r="I949" s="2"/>
      <c r="J949" s="2"/>
      <c r="K949" s="2"/>
      <c r="L949" s="2"/>
      <c r="M949" s="2"/>
      <c r="N949" s="667"/>
      <c r="O949" s="2"/>
      <c r="P949" s="2"/>
      <c r="Q949" s="2"/>
      <c r="R949" s="3"/>
      <c r="S949" s="3"/>
      <c r="T949" s="3"/>
      <c r="U949" s="3"/>
      <c r="V949" s="3"/>
      <c r="W949" s="3"/>
      <c r="X949" s="3"/>
      <c r="Y949" s="3"/>
      <c r="Z949" s="3"/>
      <c r="AA949" s="3"/>
      <c r="AB949" s="3"/>
      <c r="AC949" s="3"/>
      <c r="AD949" s="3"/>
      <c r="AE949" s="3"/>
      <c r="AF949" s="3"/>
      <c r="AG949" s="3"/>
      <c r="AH949" s="3"/>
      <c r="AI949" s="3"/>
      <c r="AJ949" s="3"/>
      <c r="AK949" s="3"/>
      <c r="AL949" s="3"/>
    </row>
    <row r="950" ht="15.75" customHeight="1">
      <c r="A950" s="45"/>
      <c r="B950" s="2"/>
      <c r="C950" s="667"/>
      <c r="D950" s="2"/>
      <c r="E950" s="668"/>
      <c r="F950" s="2"/>
      <c r="G950" s="2"/>
      <c r="H950" s="2"/>
      <c r="I950" s="2"/>
      <c r="J950" s="2"/>
      <c r="K950" s="2"/>
      <c r="L950" s="2"/>
      <c r="M950" s="2"/>
      <c r="N950" s="667"/>
      <c r="O950" s="2"/>
      <c r="P950" s="2"/>
      <c r="Q950" s="2"/>
      <c r="R950" s="3"/>
      <c r="S950" s="3"/>
      <c r="T950" s="3"/>
      <c r="U950" s="3"/>
      <c r="V950" s="3"/>
      <c r="W950" s="3"/>
      <c r="X950" s="3"/>
      <c r="Y950" s="3"/>
      <c r="Z950" s="3"/>
      <c r="AA950" s="3"/>
      <c r="AB950" s="3"/>
      <c r="AC950" s="3"/>
      <c r="AD950" s="3"/>
      <c r="AE950" s="3"/>
      <c r="AF950" s="3"/>
      <c r="AG950" s="3"/>
      <c r="AH950" s="3"/>
      <c r="AI950" s="3"/>
      <c r="AJ950" s="3"/>
      <c r="AK950" s="3"/>
      <c r="AL950" s="3"/>
    </row>
    <row r="951" ht="15.75" customHeight="1">
      <c r="A951" s="45"/>
      <c r="B951" s="2"/>
      <c r="C951" s="667"/>
      <c r="D951" s="2"/>
      <c r="E951" s="668"/>
      <c r="F951" s="2"/>
      <c r="G951" s="2"/>
      <c r="H951" s="2"/>
      <c r="I951" s="2"/>
      <c r="J951" s="2"/>
      <c r="K951" s="2"/>
      <c r="L951" s="2"/>
      <c r="M951" s="2"/>
      <c r="N951" s="667"/>
      <c r="O951" s="2"/>
      <c r="P951" s="2"/>
      <c r="Q951" s="2"/>
      <c r="R951" s="3"/>
      <c r="S951" s="3"/>
      <c r="T951" s="3"/>
      <c r="U951" s="3"/>
      <c r="V951" s="3"/>
      <c r="W951" s="3"/>
      <c r="X951" s="3"/>
      <c r="Y951" s="3"/>
      <c r="Z951" s="3"/>
      <c r="AA951" s="3"/>
      <c r="AB951" s="3"/>
      <c r="AC951" s="3"/>
      <c r="AD951" s="3"/>
      <c r="AE951" s="3"/>
      <c r="AF951" s="3"/>
      <c r="AG951" s="3"/>
      <c r="AH951" s="3"/>
      <c r="AI951" s="3"/>
      <c r="AJ951" s="3"/>
      <c r="AK951" s="3"/>
      <c r="AL951" s="3"/>
    </row>
    <row r="952" ht="15.75" customHeight="1">
      <c r="A952" s="45"/>
      <c r="B952" s="2"/>
      <c r="C952" s="667"/>
      <c r="D952" s="2"/>
      <c r="E952" s="668"/>
      <c r="F952" s="2"/>
      <c r="G952" s="2"/>
      <c r="H952" s="2"/>
      <c r="I952" s="2"/>
      <c r="J952" s="2"/>
      <c r="K952" s="2"/>
      <c r="L952" s="2"/>
      <c r="M952" s="2"/>
      <c r="N952" s="667"/>
      <c r="O952" s="2"/>
      <c r="P952" s="2"/>
      <c r="Q952" s="2"/>
      <c r="R952" s="3"/>
      <c r="S952" s="3"/>
      <c r="T952" s="3"/>
      <c r="U952" s="3"/>
      <c r="V952" s="3"/>
      <c r="W952" s="3"/>
      <c r="X952" s="3"/>
      <c r="Y952" s="3"/>
      <c r="Z952" s="3"/>
      <c r="AA952" s="3"/>
      <c r="AB952" s="3"/>
      <c r="AC952" s="3"/>
      <c r="AD952" s="3"/>
      <c r="AE952" s="3"/>
      <c r="AF952" s="3"/>
      <c r="AG952" s="3"/>
      <c r="AH952" s="3"/>
      <c r="AI952" s="3"/>
      <c r="AJ952" s="3"/>
      <c r="AK952" s="3"/>
      <c r="AL952" s="3"/>
    </row>
    <row r="953" ht="15.75" customHeight="1">
      <c r="A953" s="45"/>
      <c r="B953" s="2"/>
      <c r="C953" s="667"/>
      <c r="D953" s="2"/>
      <c r="E953" s="668"/>
      <c r="F953" s="2"/>
      <c r="G953" s="2"/>
      <c r="H953" s="2"/>
      <c r="I953" s="2"/>
      <c r="J953" s="2"/>
      <c r="K953" s="2"/>
      <c r="L953" s="2"/>
      <c r="M953" s="2"/>
      <c r="N953" s="667"/>
      <c r="O953" s="2"/>
      <c r="P953" s="2"/>
      <c r="Q953" s="2"/>
      <c r="R953" s="3"/>
      <c r="S953" s="3"/>
      <c r="T953" s="3"/>
      <c r="U953" s="3"/>
      <c r="V953" s="3"/>
      <c r="W953" s="3"/>
      <c r="X953" s="3"/>
      <c r="Y953" s="3"/>
      <c r="Z953" s="3"/>
      <c r="AA953" s="3"/>
      <c r="AB953" s="3"/>
      <c r="AC953" s="3"/>
      <c r="AD953" s="3"/>
      <c r="AE953" s="3"/>
      <c r="AF953" s="3"/>
      <c r="AG953" s="3"/>
      <c r="AH953" s="3"/>
      <c r="AI953" s="3"/>
      <c r="AJ953" s="3"/>
      <c r="AK953" s="3"/>
      <c r="AL953" s="3"/>
    </row>
    <row r="954" ht="15.75" customHeight="1">
      <c r="A954" s="45"/>
      <c r="B954" s="2"/>
      <c r="C954" s="667"/>
      <c r="D954" s="2"/>
      <c r="E954" s="668"/>
      <c r="F954" s="2"/>
      <c r="G954" s="2"/>
      <c r="H954" s="2"/>
      <c r="I954" s="2"/>
      <c r="J954" s="2"/>
      <c r="K954" s="2"/>
      <c r="L954" s="2"/>
      <c r="M954" s="2"/>
      <c r="N954" s="667"/>
      <c r="O954" s="2"/>
      <c r="P954" s="2"/>
      <c r="Q954" s="2"/>
      <c r="R954" s="3"/>
      <c r="S954" s="3"/>
      <c r="T954" s="3"/>
      <c r="U954" s="3"/>
      <c r="V954" s="3"/>
      <c r="W954" s="3"/>
      <c r="X954" s="3"/>
      <c r="Y954" s="3"/>
      <c r="Z954" s="3"/>
      <c r="AA954" s="3"/>
      <c r="AB954" s="3"/>
      <c r="AC954" s="3"/>
      <c r="AD954" s="3"/>
      <c r="AE954" s="3"/>
      <c r="AF954" s="3"/>
      <c r="AG954" s="3"/>
      <c r="AH954" s="3"/>
      <c r="AI954" s="3"/>
      <c r="AJ954" s="3"/>
      <c r="AK954" s="3"/>
      <c r="AL954" s="3"/>
    </row>
    <row r="955" ht="15.75" customHeight="1">
      <c r="A955" s="45"/>
      <c r="B955" s="2"/>
      <c r="C955" s="667"/>
      <c r="D955" s="2"/>
      <c r="E955" s="668"/>
      <c r="F955" s="2"/>
      <c r="G955" s="2"/>
      <c r="H955" s="2"/>
      <c r="I955" s="2"/>
      <c r="J955" s="2"/>
      <c r="K955" s="2"/>
      <c r="L955" s="2"/>
      <c r="M955" s="2"/>
      <c r="N955" s="667"/>
      <c r="O955" s="2"/>
      <c r="P955" s="2"/>
      <c r="Q955" s="2"/>
      <c r="R955" s="3"/>
      <c r="S955" s="3"/>
      <c r="T955" s="3"/>
      <c r="U955" s="3"/>
      <c r="V955" s="3"/>
      <c r="W955" s="3"/>
      <c r="X955" s="3"/>
      <c r="Y955" s="3"/>
      <c r="Z955" s="3"/>
      <c r="AA955" s="3"/>
      <c r="AB955" s="3"/>
      <c r="AC955" s="3"/>
      <c r="AD955" s="3"/>
      <c r="AE955" s="3"/>
      <c r="AF955" s="3"/>
      <c r="AG955" s="3"/>
      <c r="AH955" s="3"/>
      <c r="AI955" s="3"/>
      <c r="AJ955" s="3"/>
      <c r="AK955" s="3"/>
      <c r="AL955" s="3"/>
    </row>
    <row r="956" ht="15.75" customHeight="1">
      <c r="A956" s="45"/>
      <c r="B956" s="2"/>
      <c r="C956" s="667"/>
      <c r="D956" s="2"/>
      <c r="E956" s="668"/>
      <c r="F956" s="2"/>
      <c r="G956" s="2"/>
      <c r="H956" s="2"/>
      <c r="I956" s="2"/>
      <c r="J956" s="2"/>
      <c r="K956" s="2"/>
      <c r="L956" s="2"/>
      <c r="M956" s="2"/>
      <c r="N956" s="667"/>
      <c r="O956" s="2"/>
      <c r="P956" s="2"/>
      <c r="Q956" s="2"/>
      <c r="R956" s="3"/>
      <c r="S956" s="3"/>
      <c r="T956" s="3"/>
      <c r="U956" s="3"/>
      <c r="V956" s="3"/>
      <c r="W956" s="3"/>
      <c r="X956" s="3"/>
      <c r="Y956" s="3"/>
      <c r="Z956" s="3"/>
      <c r="AA956" s="3"/>
      <c r="AB956" s="3"/>
      <c r="AC956" s="3"/>
      <c r="AD956" s="3"/>
      <c r="AE956" s="3"/>
      <c r="AF956" s="3"/>
      <c r="AG956" s="3"/>
      <c r="AH956" s="3"/>
      <c r="AI956" s="3"/>
      <c r="AJ956" s="3"/>
      <c r="AK956" s="3"/>
      <c r="AL956" s="3"/>
    </row>
    <row r="957" ht="15.75" customHeight="1">
      <c r="A957" s="45"/>
      <c r="B957" s="2"/>
      <c r="C957" s="667"/>
      <c r="D957" s="2"/>
      <c r="E957" s="668"/>
      <c r="F957" s="2"/>
      <c r="G957" s="2"/>
      <c r="H957" s="2"/>
      <c r="I957" s="2"/>
      <c r="J957" s="2"/>
      <c r="K957" s="2"/>
      <c r="L957" s="2"/>
      <c r="M957" s="2"/>
      <c r="N957" s="667"/>
      <c r="O957" s="2"/>
      <c r="P957" s="2"/>
      <c r="Q957" s="2"/>
      <c r="R957" s="3"/>
      <c r="S957" s="3"/>
      <c r="T957" s="3"/>
      <c r="U957" s="3"/>
      <c r="V957" s="3"/>
      <c r="W957" s="3"/>
      <c r="X957" s="3"/>
      <c r="Y957" s="3"/>
      <c r="Z957" s="3"/>
      <c r="AA957" s="3"/>
      <c r="AB957" s="3"/>
      <c r="AC957" s="3"/>
      <c r="AD957" s="3"/>
      <c r="AE957" s="3"/>
      <c r="AF957" s="3"/>
      <c r="AG957" s="3"/>
      <c r="AH957" s="3"/>
      <c r="AI957" s="3"/>
      <c r="AJ957" s="3"/>
      <c r="AK957" s="3"/>
      <c r="AL957" s="3"/>
    </row>
    <row r="958" ht="15.75" customHeight="1">
      <c r="A958" s="45"/>
      <c r="B958" s="2"/>
      <c r="C958" s="667"/>
      <c r="D958" s="2"/>
      <c r="E958" s="668"/>
      <c r="F958" s="2"/>
      <c r="G958" s="2"/>
      <c r="H958" s="2"/>
      <c r="I958" s="2"/>
      <c r="J958" s="2"/>
      <c r="K958" s="2"/>
      <c r="L958" s="2"/>
      <c r="M958" s="2"/>
      <c r="N958" s="667"/>
      <c r="O958" s="2"/>
      <c r="P958" s="2"/>
      <c r="Q958" s="2"/>
      <c r="R958" s="3"/>
      <c r="S958" s="3"/>
      <c r="T958" s="3"/>
      <c r="U958" s="3"/>
      <c r="V958" s="3"/>
      <c r="W958" s="3"/>
      <c r="X958" s="3"/>
      <c r="Y958" s="3"/>
      <c r="Z958" s="3"/>
      <c r="AA958" s="3"/>
      <c r="AB958" s="3"/>
      <c r="AC958" s="3"/>
      <c r="AD958" s="3"/>
      <c r="AE958" s="3"/>
      <c r="AF958" s="3"/>
      <c r="AG958" s="3"/>
      <c r="AH958" s="3"/>
      <c r="AI958" s="3"/>
      <c r="AJ958" s="3"/>
      <c r="AK958" s="3"/>
      <c r="AL958" s="3"/>
    </row>
    <row r="959" ht="15.75" customHeight="1">
      <c r="A959" s="45"/>
      <c r="B959" s="2"/>
      <c r="C959" s="667"/>
      <c r="D959" s="2"/>
      <c r="E959" s="668"/>
      <c r="F959" s="2"/>
      <c r="G959" s="2"/>
      <c r="H959" s="2"/>
      <c r="I959" s="2"/>
      <c r="J959" s="2"/>
      <c r="K959" s="2"/>
      <c r="L959" s="2"/>
      <c r="M959" s="2"/>
      <c r="N959" s="667"/>
      <c r="O959" s="2"/>
      <c r="P959" s="2"/>
      <c r="Q959" s="2"/>
      <c r="R959" s="3"/>
      <c r="S959" s="3"/>
      <c r="T959" s="3"/>
      <c r="U959" s="3"/>
      <c r="V959" s="3"/>
      <c r="W959" s="3"/>
      <c r="X959" s="3"/>
      <c r="Y959" s="3"/>
      <c r="Z959" s="3"/>
      <c r="AA959" s="3"/>
      <c r="AB959" s="3"/>
      <c r="AC959" s="3"/>
      <c r="AD959" s="3"/>
      <c r="AE959" s="3"/>
      <c r="AF959" s="3"/>
      <c r="AG959" s="3"/>
      <c r="AH959" s="3"/>
      <c r="AI959" s="3"/>
      <c r="AJ959" s="3"/>
      <c r="AK959" s="3"/>
      <c r="AL959" s="3"/>
    </row>
    <row r="960" ht="15.75" customHeight="1">
      <c r="A960" s="45"/>
      <c r="B960" s="2"/>
      <c r="C960" s="667"/>
      <c r="D960" s="2"/>
      <c r="E960" s="668"/>
      <c r="F960" s="2"/>
      <c r="G960" s="2"/>
      <c r="H960" s="2"/>
      <c r="I960" s="2"/>
      <c r="J960" s="2"/>
      <c r="K960" s="2"/>
      <c r="L960" s="2"/>
      <c r="M960" s="2"/>
      <c r="N960" s="667"/>
      <c r="O960" s="2"/>
      <c r="P960" s="2"/>
      <c r="Q960" s="2"/>
      <c r="R960" s="3"/>
      <c r="S960" s="3"/>
      <c r="T960" s="3"/>
      <c r="U960" s="3"/>
      <c r="V960" s="3"/>
      <c r="W960" s="3"/>
      <c r="X960" s="3"/>
      <c r="Y960" s="3"/>
      <c r="Z960" s="3"/>
      <c r="AA960" s="3"/>
      <c r="AB960" s="3"/>
      <c r="AC960" s="3"/>
      <c r="AD960" s="3"/>
      <c r="AE960" s="3"/>
      <c r="AF960" s="3"/>
      <c r="AG960" s="3"/>
      <c r="AH960" s="3"/>
      <c r="AI960" s="3"/>
      <c r="AJ960" s="3"/>
      <c r="AK960" s="3"/>
      <c r="AL960" s="3"/>
    </row>
    <row r="961" ht="15.75" customHeight="1">
      <c r="A961" s="45"/>
      <c r="B961" s="2"/>
      <c r="C961" s="667"/>
      <c r="D961" s="2"/>
      <c r="E961" s="668"/>
      <c r="F961" s="2"/>
      <c r="G961" s="2"/>
      <c r="H961" s="2"/>
      <c r="I961" s="2"/>
      <c r="J961" s="2"/>
      <c r="K961" s="2"/>
      <c r="L961" s="2"/>
      <c r="M961" s="2"/>
      <c r="N961" s="667"/>
      <c r="O961" s="2"/>
      <c r="P961" s="2"/>
      <c r="Q961" s="2"/>
      <c r="R961" s="3"/>
      <c r="S961" s="3"/>
      <c r="T961" s="3"/>
      <c r="U961" s="3"/>
      <c r="V961" s="3"/>
      <c r="W961" s="3"/>
      <c r="X961" s="3"/>
      <c r="Y961" s="3"/>
      <c r="Z961" s="3"/>
      <c r="AA961" s="3"/>
      <c r="AB961" s="3"/>
      <c r="AC961" s="3"/>
      <c r="AD961" s="3"/>
      <c r="AE961" s="3"/>
      <c r="AF961" s="3"/>
      <c r="AG961" s="3"/>
      <c r="AH961" s="3"/>
      <c r="AI961" s="3"/>
      <c r="AJ961" s="3"/>
      <c r="AK961" s="3"/>
      <c r="AL961" s="3"/>
    </row>
    <row r="962" ht="15.75" customHeight="1">
      <c r="A962" s="45"/>
      <c r="B962" s="2"/>
      <c r="C962" s="667"/>
      <c r="D962" s="2"/>
      <c r="E962" s="668"/>
      <c r="F962" s="2"/>
      <c r="G962" s="2"/>
      <c r="H962" s="2"/>
      <c r="I962" s="2"/>
      <c r="J962" s="2"/>
      <c r="K962" s="2"/>
      <c r="L962" s="2"/>
      <c r="M962" s="2"/>
      <c r="N962" s="667"/>
      <c r="O962" s="2"/>
      <c r="P962" s="2"/>
      <c r="Q962" s="2"/>
      <c r="R962" s="3"/>
      <c r="S962" s="3"/>
      <c r="T962" s="3"/>
      <c r="U962" s="3"/>
      <c r="V962" s="3"/>
      <c r="W962" s="3"/>
      <c r="X962" s="3"/>
      <c r="Y962" s="3"/>
      <c r="Z962" s="3"/>
      <c r="AA962" s="3"/>
      <c r="AB962" s="3"/>
      <c r="AC962" s="3"/>
      <c r="AD962" s="3"/>
      <c r="AE962" s="3"/>
      <c r="AF962" s="3"/>
      <c r="AG962" s="3"/>
      <c r="AH962" s="3"/>
      <c r="AI962" s="3"/>
      <c r="AJ962" s="3"/>
      <c r="AK962" s="3"/>
      <c r="AL962" s="3"/>
    </row>
    <row r="963" ht="15.75" customHeight="1">
      <c r="A963" s="45"/>
      <c r="B963" s="2"/>
      <c r="C963" s="667"/>
      <c r="D963" s="2"/>
      <c r="E963" s="668"/>
      <c r="F963" s="2"/>
      <c r="G963" s="2"/>
      <c r="H963" s="2"/>
      <c r="I963" s="2"/>
      <c r="J963" s="2"/>
      <c r="K963" s="2"/>
      <c r="L963" s="2"/>
      <c r="M963" s="2"/>
      <c r="N963" s="667"/>
      <c r="O963" s="2"/>
      <c r="P963" s="2"/>
      <c r="Q963" s="2"/>
      <c r="R963" s="3"/>
      <c r="S963" s="3"/>
      <c r="T963" s="3"/>
      <c r="U963" s="3"/>
      <c r="V963" s="3"/>
      <c r="W963" s="3"/>
      <c r="X963" s="3"/>
      <c r="Y963" s="3"/>
      <c r="Z963" s="3"/>
      <c r="AA963" s="3"/>
      <c r="AB963" s="3"/>
      <c r="AC963" s="3"/>
      <c r="AD963" s="3"/>
      <c r="AE963" s="3"/>
      <c r="AF963" s="3"/>
      <c r="AG963" s="3"/>
      <c r="AH963" s="3"/>
      <c r="AI963" s="3"/>
      <c r="AJ963" s="3"/>
      <c r="AK963" s="3"/>
      <c r="AL963" s="3"/>
    </row>
    <row r="964" ht="15.75" customHeight="1">
      <c r="A964" s="45"/>
      <c r="B964" s="2"/>
      <c r="C964" s="667"/>
      <c r="D964" s="2"/>
      <c r="E964" s="668"/>
      <c r="F964" s="2"/>
      <c r="G964" s="2"/>
      <c r="H964" s="2"/>
      <c r="I964" s="2"/>
      <c r="J964" s="2"/>
      <c r="K964" s="2"/>
      <c r="L964" s="2"/>
      <c r="M964" s="2"/>
      <c r="N964" s="667"/>
      <c r="O964" s="2"/>
      <c r="P964" s="2"/>
      <c r="Q964" s="2"/>
      <c r="R964" s="3"/>
      <c r="S964" s="3"/>
      <c r="T964" s="3"/>
      <c r="U964" s="3"/>
      <c r="V964" s="3"/>
      <c r="W964" s="3"/>
      <c r="X964" s="3"/>
      <c r="Y964" s="3"/>
      <c r="Z964" s="3"/>
      <c r="AA964" s="3"/>
      <c r="AB964" s="3"/>
      <c r="AC964" s="3"/>
      <c r="AD964" s="3"/>
      <c r="AE964" s="3"/>
      <c r="AF964" s="3"/>
      <c r="AG964" s="3"/>
      <c r="AH964" s="3"/>
      <c r="AI964" s="3"/>
      <c r="AJ964" s="3"/>
      <c r="AK964" s="3"/>
      <c r="AL964" s="3"/>
    </row>
    <row r="965" ht="15.75" customHeight="1">
      <c r="A965" s="45"/>
      <c r="B965" s="2"/>
      <c r="C965" s="667"/>
      <c r="D965" s="2"/>
      <c r="E965" s="668"/>
      <c r="F965" s="2"/>
      <c r="G965" s="2"/>
      <c r="H965" s="2"/>
      <c r="I965" s="2"/>
      <c r="J965" s="2"/>
      <c r="K965" s="2"/>
      <c r="L965" s="2"/>
      <c r="M965" s="2"/>
      <c r="N965" s="667"/>
      <c r="O965" s="2"/>
      <c r="P965" s="2"/>
      <c r="Q965" s="2"/>
      <c r="R965" s="3"/>
      <c r="S965" s="3"/>
      <c r="T965" s="3"/>
      <c r="U965" s="3"/>
      <c r="V965" s="3"/>
      <c r="W965" s="3"/>
      <c r="X965" s="3"/>
      <c r="Y965" s="3"/>
      <c r="Z965" s="3"/>
      <c r="AA965" s="3"/>
      <c r="AB965" s="3"/>
      <c r="AC965" s="3"/>
      <c r="AD965" s="3"/>
      <c r="AE965" s="3"/>
      <c r="AF965" s="3"/>
      <c r="AG965" s="3"/>
      <c r="AH965" s="3"/>
      <c r="AI965" s="3"/>
      <c r="AJ965" s="3"/>
      <c r="AK965" s="3"/>
      <c r="AL965" s="3"/>
    </row>
    <row r="966" ht="15.75" customHeight="1">
      <c r="A966" s="45"/>
      <c r="B966" s="2"/>
      <c r="C966" s="667"/>
      <c r="D966" s="2"/>
      <c r="E966" s="668"/>
      <c r="F966" s="2"/>
      <c r="G966" s="2"/>
      <c r="H966" s="2"/>
      <c r="I966" s="2"/>
      <c r="J966" s="2"/>
      <c r="K966" s="2"/>
      <c r="L966" s="2"/>
      <c r="M966" s="2"/>
      <c r="N966" s="667"/>
      <c r="O966" s="2"/>
      <c r="P966" s="2"/>
      <c r="Q966" s="2"/>
      <c r="R966" s="3"/>
      <c r="S966" s="3"/>
      <c r="T966" s="3"/>
      <c r="U966" s="3"/>
      <c r="V966" s="3"/>
      <c r="W966" s="3"/>
      <c r="X966" s="3"/>
      <c r="Y966" s="3"/>
      <c r="Z966" s="3"/>
      <c r="AA966" s="3"/>
      <c r="AB966" s="3"/>
      <c r="AC966" s="3"/>
      <c r="AD966" s="3"/>
      <c r="AE966" s="3"/>
      <c r="AF966" s="3"/>
      <c r="AG966" s="3"/>
      <c r="AH966" s="3"/>
      <c r="AI966" s="3"/>
      <c r="AJ966" s="3"/>
      <c r="AK966" s="3"/>
      <c r="AL966" s="3"/>
    </row>
    <row r="967" ht="15.75" customHeight="1">
      <c r="A967" s="45"/>
      <c r="B967" s="2"/>
      <c r="C967" s="667"/>
      <c r="D967" s="2"/>
      <c r="E967" s="668"/>
      <c r="F967" s="2"/>
      <c r="G967" s="2"/>
      <c r="H967" s="2"/>
      <c r="I967" s="2"/>
      <c r="J967" s="2"/>
      <c r="K967" s="2"/>
      <c r="L967" s="2"/>
      <c r="M967" s="2"/>
      <c r="N967" s="667"/>
      <c r="O967" s="2"/>
      <c r="P967" s="2"/>
      <c r="Q967" s="2"/>
      <c r="R967" s="3"/>
      <c r="S967" s="3"/>
      <c r="T967" s="3"/>
      <c r="U967" s="3"/>
      <c r="V967" s="3"/>
      <c r="W967" s="3"/>
      <c r="X967" s="3"/>
      <c r="Y967" s="3"/>
      <c r="Z967" s="3"/>
      <c r="AA967" s="3"/>
      <c r="AB967" s="3"/>
      <c r="AC967" s="3"/>
      <c r="AD967" s="3"/>
      <c r="AE967" s="3"/>
      <c r="AF967" s="3"/>
      <c r="AG967" s="3"/>
      <c r="AH967" s="3"/>
      <c r="AI967" s="3"/>
      <c r="AJ967" s="3"/>
      <c r="AK967" s="3"/>
      <c r="AL967" s="3"/>
    </row>
    <row r="968" ht="15.75" customHeight="1">
      <c r="A968" s="45"/>
      <c r="B968" s="2"/>
      <c r="C968" s="667"/>
      <c r="D968" s="2"/>
      <c r="E968" s="668"/>
      <c r="F968" s="2"/>
      <c r="G968" s="2"/>
      <c r="H968" s="2"/>
      <c r="I968" s="2"/>
      <c r="J968" s="2"/>
      <c r="K968" s="2"/>
      <c r="L968" s="2"/>
      <c r="M968" s="2"/>
      <c r="N968" s="667"/>
      <c r="O968" s="2"/>
      <c r="P968" s="2"/>
      <c r="Q968" s="2"/>
      <c r="R968" s="3"/>
      <c r="S968" s="3"/>
      <c r="T968" s="3"/>
      <c r="U968" s="3"/>
      <c r="V968" s="3"/>
      <c r="W968" s="3"/>
      <c r="X968" s="3"/>
      <c r="Y968" s="3"/>
      <c r="Z968" s="3"/>
      <c r="AA968" s="3"/>
      <c r="AB968" s="3"/>
      <c r="AC968" s="3"/>
      <c r="AD968" s="3"/>
      <c r="AE968" s="3"/>
      <c r="AF968" s="3"/>
      <c r="AG968" s="3"/>
      <c r="AH968" s="3"/>
      <c r="AI968" s="3"/>
      <c r="AJ968" s="3"/>
      <c r="AK968" s="3"/>
      <c r="AL968" s="3"/>
    </row>
    <row r="969" ht="15.75" customHeight="1">
      <c r="A969" s="45"/>
      <c r="B969" s="2"/>
      <c r="C969" s="667"/>
      <c r="D969" s="2"/>
      <c r="E969" s="668"/>
      <c r="F969" s="2"/>
      <c r="G969" s="2"/>
      <c r="H969" s="2"/>
      <c r="I969" s="2"/>
      <c r="J969" s="2"/>
      <c r="K969" s="2"/>
      <c r="L969" s="2"/>
      <c r="M969" s="2"/>
      <c r="N969" s="667"/>
      <c r="O969" s="2"/>
      <c r="P969" s="2"/>
      <c r="Q969" s="2"/>
      <c r="R969" s="3"/>
      <c r="S969" s="3"/>
      <c r="T969" s="3"/>
      <c r="U969" s="3"/>
      <c r="V969" s="3"/>
      <c r="W969" s="3"/>
      <c r="X969" s="3"/>
      <c r="Y969" s="3"/>
      <c r="Z969" s="3"/>
      <c r="AA969" s="3"/>
      <c r="AB969" s="3"/>
      <c r="AC969" s="3"/>
      <c r="AD969" s="3"/>
      <c r="AE969" s="3"/>
      <c r="AF969" s="3"/>
      <c r="AG969" s="3"/>
      <c r="AH969" s="3"/>
      <c r="AI969" s="3"/>
      <c r="AJ969" s="3"/>
      <c r="AK969" s="3"/>
      <c r="AL969" s="3"/>
    </row>
    <row r="970" ht="15.75" customHeight="1">
      <c r="A970" s="45"/>
      <c r="B970" s="2"/>
      <c r="C970" s="667"/>
      <c r="D970" s="2"/>
      <c r="E970" s="668"/>
      <c r="F970" s="2"/>
      <c r="G970" s="2"/>
      <c r="H970" s="2"/>
      <c r="I970" s="2"/>
      <c r="J970" s="2"/>
      <c r="K970" s="2"/>
      <c r="L970" s="2"/>
      <c r="M970" s="2"/>
      <c r="N970" s="667"/>
      <c r="O970" s="2"/>
      <c r="P970" s="2"/>
      <c r="Q970" s="2"/>
      <c r="R970" s="3"/>
      <c r="S970" s="3"/>
      <c r="T970" s="3"/>
      <c r="U970" s="3"/>
      <c r="V970" s="3"/>
      <c r="W970" s="3"/>
      <c r="X970" s="3"/>
      <c r="Y970" s="3"/>
      <c r="Z970" s="3"/>
      <c r="AA970" s="3"/>
      <c r="AB970" s="3"/>
      <c r="AC970" s="3"/>
      <c r="AD970" s="3"/>
      <c r="AE970" s="3"/>
      <c r="AF970" s="3"/>
      <c r="AG970" s="3"/>
      <c r="AH970" s="3"/>
      <c r="AI970" s="3"/>
      <c r="AJ970" s="3"/>
      <c r="AK970" s="3"/>
      <c r="AL970" s="3"/>
    </row>
    <row r="971" ht="15.75" customHeight="1">
      <c r="A971" s="45"/>
      <c r="B971" s="2"/>
      <c r="C971" s="667"/>
      <c r="D971" s="2"/>
      <c r="E971" s="668"/>
      <c r="F971" s="2"/>
      <c r="G971" s="2"/>
      <c r="H971" s="2"/>
      <c r="I971" s="2"/>
      <c r="J971" s="2"/>
      <c r="K971" s="2"/>
      <c r="L971" s="2"/>
      <c r="M971" s="2"/>
      <c r="N971" s="667"/>
      <c r="O971" s="2"/>
      <c r="P971" s="2"/>
      <c r="Q971" s="2"/>
      <c r="R971" s="3"/>
      <c r="S971" s="3"/>
      <c r="T971" s="3"/>
      <c r="U971" s="3"/>
      <c r="V971" s="3"/>
      <c r="W971" s="3"/>
      <c r="X971" s="3"/>
      <c r="Y971" s="3"/>
      <c r="Z971" s="3"/>
      <c r="AA971" s="3"/>
      <c r="AB971" s="3"/>
      <c r="AC971" s="3"/>
      <c r="AD971" s="3"/>
      <c r="AE971" s="3"/>
      <c r="AF971" s="3"/>
      <c r="AG971" s="3"/>
      <c r="AH971" s="3"/>
      <c r="AI971" s="3"/>
      <c r="AJ971" s="3"/>
      <c r="AK971" s="3"/>
      <c r="AL971" s="3"/>
    </row>
    <row r="972" ht="15.75" customHeight="1">
      <c r="A972" s="45"/>
      <c r="B972" s="2"/>
      <c r="C972" s="667"/>
      <c r="D972" s="2"/>
      <c r="E972" s="668"/>
      <c r="F972" s="2"/>
      <c r="G972" s="2"/>
      <c r="H972" s="2"/>
      <c r="I972" s="2"/>
      <c r="J972" s="2"/>
      <c r="K972" s="2"/>
      <c r="L972" s="2"/>
      <c r="M972" s="2"/>
      <c r="N972" s="667"/>
      <c r="O972" s="2"/>
      <c r="P972" s="2"/>
      <c r="Q972" s="2"/>
      <c r="R972" s="3"/>
      <c r="S972" s="3"/>
      <c r="T972" s="3"/>
      <c r="U972" s="3"/>
      <c r="V972" s="3"/>
      <c r="W972" s="3"/>
      <c r="X972" s="3"/>
      <c r="Y972" s="3"/>
      <c r="Z972" s="3"/>
      <c r="AA972" s="3"/>
      <c r="AB972" s="3"/>
      <c r="AC972" s="3"/>
      <c r="AD972" s="3"/>
      <c r="AE972" s="3"/>
      <c r="AF972" s="3"/>
      <c r="AG972" s="3"/>
      <c r="AH972" s="3"/>
      <c r="AI972" s="3"/>
      <c r="AJ972" s="3"/>
      <c r="AK972" s="3"/>
      <c r="AL972" s="3"/>
    </row>
    <row r="973" ht="15.75" customHeight="1">
      <c r="A973" s="45"/>
      <c r="B973" s="2"/>
      <c r="C973" s="667"/>
      <c r="D973" s="2"/>
      <c r="E973" s="668"/>
      <c r="F973" s="2"/>
      <c r="G973" s="2"/>
      <c r="H973" s="2"/>
      <c r="I973" s="2"/>
      <c r="J973" s="2"/>
      <c r="K973" s="2"/>
      <c r="L973" s="2"/>
      <c r="M973" s="2"/>
      <c r="N973" s="667"/>
      <c r="O973" s="2"/>
      <c r="P973" s="2"/>
      <c r="Q973" s="2"/>
      <c r="R973" s="3"/>
      <c r="S973" s="3"/>
      <c r="T973" s="3"/>
      <c r="U973" s="3"/>
      <c r="V973" s="3"/>
      <c r="W973" s="3"/>
      <c r="X973" s="3"/>
      <c r="Y973" s="3"/>
      <c r="Z973" s="3"/>
      <c r="AA973" s="3"/>
      <c r="AB973" s="3"/>
      <c r="AC973" s="3"/>
      <c r="AD973" s="3"/>
      <c r="AE973" s="3"/>
      <c r="AF973" s="3"/>
      <c r="AG973" s="3"/>
      <c r="AH973" s="3"/>
      <c r="AI973" s="3"/>
      <c r="AJ973" s="3"/>
      <c r="AK973" s="3"/>
      <c r="AL973" s="3"/>
    </row>
    <row r="974" ht="15.75" customHeight="1">
      <c r="A974" s="45"/>
      <c r="B974" s="2"/>
      <c r="C974" s="667"/>
      <c r="D974" s="2"/>
      <c r="E974" s="668"/>
      <c r="F974" s="2"/>
      <c r="G974" s="2"/>
      <c r="H974" s="2"/>
      <c r="I974" s="2"/>
      <c r="J974" s="2"/>
      <c r="K974" s="2"/>
      <c r="L974" s="2"/>
      <c r="M974" s="2"/>
      <c r="N974" s="667"/>
      <c r="O974" s="2"/>
      <c r="P974" s="2"/>
      <c r="Q974" s="2"/>
      <c r="R974" s="3"/>
      <c r="S974" s="3"/>
      <c r="T974" s="3"/>
      <c r="U974" s="3"/>
      <c r="V974" s="3"/>
      <c r="W974" s="3"/>
      <c r="X974" s="3"/>
      <c r="Y974" s="3"/>
      <c r="Z974" s="3"/>
      <c r="AA974" s="3"/>
      <c r="AB974" s="3"/>
      <c r="AC974" s="3"/>
      <c r="AD974" s="3"/>
      <c r="AE974" s="3"/>
      <c r="AF974" s="3"/>
      <c r="AG974" s="3"/>
      <c r="AH974" s="3"/>
      <c r="AI974" s="3"/>
      <c r="AJ974" s="3"/>
      <c r="AK974" s="3"/>
      <c r="AL974" s="3"/>
    </row>
    <row r="975" ht="15.75" customHeight="1">
      <c r="A975" s="45"/>
      <c r="B975" s="2"/>
      <c r="C975" s="667"/>
      <c r="D975" s="2"/>
      <c r="E975" s="668"/>
      <c r="F975" s="2"/>
      <c r="G975" s="2"/>
      <c r="H975" s="2"/>
      <c r="I975" s="2"/>
      <c r="J975" s="2"/>
      <c r="K975" s="2"/>
      <c r="L975" s="2"/>
      <c r="M975" s="2"/>
      <c r="N975" s="667"/>
      <c r="O975" s="2"/>
      <c r="P975" s="2"/>
      <c r="Q975" s="2"/>
      <c r="R975" s="3"/>
      <c r="S975" s="3"/>
      <c r="T975" s="3"/>
      <c r="U975" s="3"/>
      <c r="V975" s="3"/>
      <c r="W975" s="3"/>
      <c r="X975" s="3"/>
      <c r="Y975" s="3"/>
      <c r="Z975" s="3"/>
      <c r="AA975" s="3"/>
      <c r="AB975" s="3"/>
      <c r="AC975" s="3"/>
      <c r="AD975" s="3"/>
      <c r="AE975" s="3"/>
      <c r="AF975" s="3"/>
      <c r="AG975" s="3"/>
      <c r="AH975" s="3"/>
      <c r="AI975" s="3"/>
      <c r="AJ975" s="3"/>
      <c r="AK975" s="3"/>
      <c r="AL975" s="3"/>
    </row>
    <row r="976" ht="15.75" customHeight="1">
      <c r="A976" s="45"/>
      <c r="B976" s="2"/>
      <c r="C976" s="667"/>
      <c r="D976" s="2"/>
      <c r="E976" s="668"/>
      <c r="F976" s="2"/>
      <c r="G976" s="2"/>
      <c r="H976" s="2"/>
      <c r="I976" s="2"/>
      <c r="J976" s="2"/>
      <c r="K976" s="2"/>
      <c r="L976" s="2"/>
      <c r="M976" s="2"/>
      <c r="N976" s="667"/>
      <c r="O976" s="2"/>
      <c r="P976" s="2"/>
      <c r="Q976" s="2"/>
      <c r="R976" s="3"/>
      <c r="S976" s="3"/>
      <c r="T976" s="3"/>
      <c r="U976" s="3"/>
      <c r="V976" s="3"/>
      <c r="W976" s="3"/>
      <c r="X976" s="3"/>
      <c r="Y976" s="3"/>
      <c r="Z976" s="3"/>
      <c r="AA976" s="3"/>
      <c r="AB976" s="3"/>
      <c r="AC976" s="3"/>
      <c r="AD976" s="3"/>
      <c r="AE976" s="3"/>
      <c r="AF976" s="3"/>
      <c r="AG976" s="3"/>
      <c r="AH976" s="3"/>
      <c r="AI976" s="3"/>
      <c r="AJ976" s="3"/>
      <c r="AK976" s="3"/>
      <c r="AL976" s="3"/>
    </row>
    <row r="977" ht="15.75" customHeight="1">
      <c r="A977" s="45"/>
      <c r="B977" s="2"/>
      <c r="C977" s="667"/>
      <c r="D977" s="2"/>
      <c r="E977" s="668"/>
      <c r="F977" s="2"/>
      <c r="G977" s="2"/>
      <c r="H977" s="2"/>
      <c r="I977" s="2"/>
      <c r="J977" s="2"/>
      <c r="K977" s="2"/>
      <c r="L977" s="2"/>
      <c r="M977" s="2"/>
      <c r="N977" s="667"/>
      <c r="O977" s="2"/>
      <c r="P977" s="2"/>
      <c r="Q977" s="2"/>
      <c r="R977" s="3"/>
      <c r="S977" s="3"/>
      <c r="T977" s="3"/>
      <c r="U977" s="3"/>
      <c r="V977" s="3"/>
      <c r="W977" s="3"/>
      <c r="X977" s="3"/>
      <c r="Y977" s="3"/>
      <c r="Z977" s="3"/>
      <c r="AA977" s="3"/>
      <c r="AB977" s="3"/>
      <c r="AC977" s="3"/>
      <c r="AD977" s="3"/>
      <c r="AE977" s="3"/>
      <c r="AF977" s="3"/>
      <c r="AG977" s="3"/>
      <c r="AH977" s="3"/>
      <c r="AI977" s="3"/>
      <c r="AJ977" s="3"/>
      <c r="AK977" s="3"/>
      <c r="AL977" s="3"/>
    </row>
    <row r="978" ht="15.75" customHeight="1">
      <c r="A978" s="45"/>
      <c r="B978" s="2"/>
      <c r="C978" s="667"/>
      <c r="D978" s="2"/>
      <c r="E978" s="668"/>
      <c r="F978" s="2"/>
      <c r="G978" s="2"/>
      <c r="H978" s="2"/>
      <c r="I978" s="2"/>
      <c r="J978" s="2"/>
      <c r="K978" s="2"/>
      <c r="L978" s="2"/>
      <c r="M978" s="2"/>
      <c r="N978" s="667"/>
      <c r="O978" s="2"/>
      <c r="P978" s="2"/>
      <c r="Q978" s="2"/>
      <c r="R978" s="3"/>
      <c r="S978" s="3"/>
      <c r="T978" s="3"/>
      <c r="U978" s="3"/>
      <c r="V978" s="3"/>
      <c r="W978" s="3"/>
      <c r="X978" s="3"/>
      <c r="Y978" s="3"/>
      <c r="Z978" s="3"/>
      <c r="AA978" s="3"/>
      <c r="AB978" s="3"/>
      <c r="AC978" s="3"/>
      <c r="AD978" s="3"/>
      <c r="AE978" s="3"/>
      <c r="AF978" s="3"/>
      <c r="AG978" s="3"/>
      <c r="AH978" s="3"/>
      <c r="AI978" s="3"/>
      <c r="AJ978" s="3"/>
      <c r="AK978" s="3"/>
      <c r="AL978" s="3"/>
    </row>
    <row r="979" ht="15.75" customHeight="1">
      <c r="A979" s="45"/>
      <c r="B979" s="2"/>
      <c r="C979" s="667"/>
      <c r="D979" s="2"/>
      <c r="E979" s="668"/>
      <c r="F979" s="2"/>
      <c r="G979" s="2"/>
      <c r="H979" s="2"/>
      <c r="I979" s="2"/>
      <c r="J979" s="2"/>
      <c r="K979" s="2"/>
      <c r="L979" s="2"/>
      <c r="M979" s="2"/>
      <c r="N979" s="667"/>
      <c r="O979" s="2"/>
      <c r="P979" s="2"/>
      <c r="Q979" s="2"/>
      <c r="R979" s="3"/>
      <c r="S979" s="3"/>
      <c r="T979" s="3"/>
      <c r="U979" s="3"/>
      <c r="V979" s="3"/>
      <c r="W979" s="3"/>
      <c r="X979" s="3"/>
      <c r="Y979" s="3"/>
      <c r="Z979" s="3"/>
      <c r="AA979" s="3"/>
      <c r="AB979" s="3"/>
      <c r="AC979" s="3"/>
      <c r="AD979" s="3"/>
      <c r="AE979" s="3"/>
      <c r="AF979" s="3"/>
      <c r="AG979" s="3"/>
      <c r="AH979" s="3"/>
      <c r="AI979" s="3"/>
      <c r="AJ979" s="3"/>
      <c r="AK979" s="3"/>
      <c r="AL979" s="3"/>
    </row>
    <row r="980" ht="15.75" customHeight="1">
      <c r="A980" s="45"/>
      <c r="B980" s="2"/>
      <c r="C980" s="667"/>
      <c r="D980" s="2"/>
      <c r="E980" s="668"/>
      <c r="F980" s="2"/>
      <c r="G980" s="2"/>
      <c r="H980" s="2"/>
      <c r="I980" s="2"/>
      <c r="J980" s="2"/>
      <c r="K980" s="2"/>
      <c r="L980" s="2"/>
      <c r="M980" s="2"/>
      <c r="N980" s="667"/>
      <c r="O980" s="2"/>
      <c r="P980" s="2"/>
      <c r="Q980" s="2"/>
      <c r="R980" s="3"/>
      <c r="S980" s="3"/>
      <c r="T980" s="3"/>
      <c r="U980" s="3"/>
      <c r="V980" s="3"/>
      <c r="W980" s="3"/>
      <c r="X980" s="3"/>
      <c r="Y980" s="3"/>
      <c r="Z980" s="3"/>
      <c r="AA980" s="3"/>
      <c r="AB980" s="3"/>
      <c r="AC980" s="3"/>
      <c r="AD980" s="3"/>
      <c r="AE980" s="3"/>
      <c r="AF980" s="3"/>
      <c r="AG980" s="3"/>
      <c r="AH980" s="3"/>
      <c r="AI980" s="3"/>
      <c r="AJ980" s="3"/>
      <c r="AK980" s="3"/>
      <c r="AL980" s="3"/>
    </row>
    <row r="981" ht="15.75" customHeight="1">
      <c r="A981" s="45"/>
      <c r="B981" s="2"/>
      <c r="C981" s="667"/>
      <c r="D981" s="2"/>
      <c r="E981" s="668"/>
      <c r="F981" s="2"/>
      <c r="G981" s="2"/>
      <c r="H981" s="2"/>
      <c r="I981" s="2"/>
      <c r="J981" s="2"/>
      <c r="K981" s="2"/>
      <c r="L981" s="2"/>
      <c r="M981" s="2"/>
      <c r="N981" s="667"/>
      <c r="O981" s="2"/>
      <c r="P981" s="2"/>
      <c r="Q981" s="2"/>
      <c r="R981" s="3"/>
      <c r="S981" s="3"/>
      <c r="T981" s="3"/>
      <c r="U981" s="3"/>
      <c r="V981" s="3"/>
      <c r="W981" s="3"/>
      <c r="X981" s="3"/>
      <c r="Y981" s="3"/>
      <c r="Z981" s="3"/>
      <c r="AA981" s="3"/>
      <c r="AB981" s="3"/>
      <c r="AC981" s="3"/>
      <c r="AD981" s="3"/>
      <c r="AE981" s="3"/>
      <c r="AF981" s="3"/>
      <c r="AG981" s="3"/>
      <c r="AH981" s="3"/>
      <c r="AI981" s="3"/>
      <c r="AJ981" s="3"/>
      <c r="AK981" s="3"/>
      <c r="AL981" s="3"/>
    </row>
    <row r="982" ht="15.75" customHeight="1">
      <c r="A982" s="45"/>
      <c r="B982" s="2"/>
      <c r="C982" s="667"/>
      <c r="D982" s="2"/>
      <c r="E982" s="668"/>
      <c r="F982" s="2"/>
      <c r="G982" s="2"/>
      <c r="H982" s="2"/>
      <c r="I982" s="2"/>
      <c r="J982" s="2"/>
      <c r="K982" s="2"/>
      <c r="L982" s="2"/>
      <c r="M982" s="2"/>
      <c r="N982" s="667"/>
      <c r="O982" s="2"/>
      <c r="P982" s="2"/>
      <c r="Q982" s="2"/>
      <c r="R982" s="3"/>
      <c r="S982" s="3"/>
      <c r="T982" s="3"/>
      <c r="U982" s="3"/>
      <c r="V982" s="3"/>
      <c r="W982" s="3"/>
      <c r="X982" s="3"/>
      <c r="Y982" s="3"/>
      <c r="Z982" s="3"/>
      <c r="AA982" s="3"/>
      <c r="AB982" s="3"/>
      <c r="AC982" s="3"/>
      <c r="AD982" s="3"/>
      <c r="AE982" s="3"/>
      <c r="AF982" s="3"/>
      <c r="AG982" s="3"/>
      <c r="AH982" s="3"/>
      <c r="AI982" s="3"/>
      <c r="AJ982" s="3"/>
      <c r="AK982" s="3"/>
      <c r="AL982" s="3"/>
    </row>
    <row r="983" ht="15.75" customHeight="1">
      <c r="A983" s="45"/>
      <c r="B983" s="2"/>
      <c r="C983" s="667"/>
      <c r="D983" s="2"/>
      <c r="E983" s="668"/>
      <c r="F983" s="2"/>
      <c r="G983" s="2"/>
      <c r="H983" s="2"/>
      <c r="I983" s="2"/>
      <c r="J983" s="2"/>
      <c r="K983" s="2"/>
      <c r="L983" s="2"/>
      <c r="M983" s="2"/>
      <c r="N983" s="667"/>
      <c r="O983" s="2"/>
      <c r="P983" s="2"/>
      <c r="Q983" s="2"/>
      <c r="R983" s="3"/>
      <c r="S983" s="3"/>
      <c r="T983" s="3"/>
      <c r="U983" s="3"/>
      <c r="V983" s="3"/>
      <c r="W983" s="3"/>
      <c r="X983" s="3"/>
      <c r="Y983" s="3"/>
      <c r="Z983" s="3"/>
      <c r="AA983" s="3"/>
      <c r="AB983" s="3"/>
      <c r="AC983" s="3"/>
      <c r="AD983" s="3"/>
      <c r="AE983" s="3"/>
      <c r="AF983" s="3"/>
      <c r="AG983" s="3"/>
      <c r="AH983" s="3"/>
      <c r="AI983" s="3"/>
      <c r="AJ983" s="3"/>
      <c r="AK983" s="3"/>
      <c r="AL983" s="3"/>
    </row>
    <row r="984" ht="15.75" customHeight="1">
      <c r="A984" s="45"/>
      <c r="B984" s="2"/>
      <c r="C984" s="667"/>
      <c r="D984" s="2"/>
      <c r="E984" s="668"/>
      <c r="F984" s="2"/>
      <c r="G984" s="2"/>
      <c r="H984" s="2"/>
      <c r="I984" s="2"/>
      <c r="J984" s="2"/>
      <c r="K984" s="2"/>
      <c r="L984" s="2"/>
      <c r="M984" s="2"/>
      <c r="N984" s="667"/>
      <c r="O984" s="2"/>
      <c r="P984" s="2"/>
      <c r="Q984" s="2"/>
      <c r="R984" s="3"/>
      <c r="S984" s="3"/>
      <c r="T984" s="3"/>
      <c r="U984" s="3"/>
      <c r="V984" s="3"/>
      <c r="W984" s="3"/>
      <c r="X984" s="3"/>
      <c r="Y984" s="3"/>
      <c r="Z984" s="3"/>
      <c r="AA984" s="3"/>
      <c r="AB984" s="3"/>
      <c r="AC984" s="3"/>
      <c r="AD984" s="3"/>
      <c r="AE984" s="3"/>
      <c r="AF984" s="3"/>
      <c r="AG984" s="3"/>
      <c r="AH984" s="3"/>
      <c r="AI984" s="3"/>
      <c r="AJ984" s="3"/>
      <c r="AK984" s="3"/>
      <c r="AL984" s="3"/>
    </row>
    <row r="985" ht="15.75" customHeight="1">
      <c r="A985" s="45"/>
      <c r="B985" s="2"/>
      <c r="C985" s="667"/>
      <c r="D985" s="2"/>
      <c r="E985" s="668"/>
      <c r="F985" s="2"/>
      <c r="G985" s="2"/>
      <c r="H985" s="2"/>
      <c r="I985" s="2"/>
      <c r="J985" s="2"/>
      <c r="K985" s="2"/>
      <c r="L985" s="2"/>
      <c r="M985" s="2"/>
      <c r="N985" s="667"/>
      <c r="O985" s="2"/>
      <c r="P985" s="2"/>
      <c r="Q985" s="2"/>
      <c r="R985" s="3"/>
      <c r="S985" s="3"/>
      <c r="T985" s="3"/>
      <c r="U985" s="3"/>
      <c r="V985" s="3"/>
      <c r="W985" s="3"/>
      <c r="X985" s="3"/>
      <c r="Y985" s="3"/>
      <c r="Z985" s="3"/>
      <c r="AA985" s="3"/>
      <c r="AB985" s="3"/>
      <c r="AC985" s="3"/>
      <c r="AD985" s="3"/>
      <c r="AE985" s="3"/>
      <c r="AF985" s="3"/>
      <c r="AG985" s="3"/>
      <c r="AH985" s="3"/>
      <c r="AI985" s="3"/>
      <c r="AJ985" s="3"/>
      <c r="AK985" s="3"/>
      <c r="AL985" s="3"/>
    </row>
    <row r="986" ht="15.75" customHeight="1">
      <c r="A986" s="45"/>
      <c r="B986" s="2"/>
      <c r="C986" s="667"/>
      <c r="D986" s="2"/>
      <c r="E986" s="668"/>
      <c r="F986" s="2"/>
      <c r="G986" s="2"/>
      <c r="H986" s="2"/>
      <c r="I986" s="2"/>
      <c r="J986" s="2"/>
      <c r="K986" s="2"/>
      <c r="L986" s="2"/>
      <c r="M986" s="2"/>
      <c r="N986" s="667"/>
      <c r="O986" s="2"/>
      <c r="P986" s="2"/>
      <c r="Q986" s="2"/>
      <c r="R986" s="3"/>
      <c r="S986" s="3"/>
      <c r="T986" s="3"/>
      <c r="U986" s="3"/>
      <c r="V986" s="3"/>
      <c r="W986" s="3"/>
      <c r="X986" s="3"/>
      <c r="Y986" s="3"/>
      <c r="Z986" s="3"/>
      <c r="AA986" s="3"/>
      <c r="AB986" s="3"/>
      <c r="AC986" s="3"/>
      <c r="AD986" s="3"/>
      <c r="AE986" s="3"/>
      <c r="AF986" s="3"/>
      <c r="AG986" s="3"/>
      <c r="AH986" s="3"/>
      <c r="AI986" s="3"/>
      <c r="AJ986" s="3"/>
      <c r="AK986" s="3"/>
      <c r="AL986" s="3"/>
    </row>
    <row r="987" ht="15.75" customHeight="1">
      <c r="A987" s="45"/>
      <c r="B987" s="2"/>
      <c r="C987" s="667"/>
      <c r="D987" s="2"/>
      <c r="E987" s="668"/>
      <c r="F987" s="2"/>
      <c r="G987" s="2"/>
      <c r="H987" s="2"/>
      <c r="I987" s="2"/>
      <c r="J987" s="2"/>
      <c r="K987" s="2"/>
      <c r="L987" s="2"/>
      <c r="M987" s="2"/>
      <c r="N987" s="667"/>
      <c r="O987" s="2"/>
      <c r="P987" s="2"/>
      <c r="Q987" s="2"/>
      <c r="R987" s="3"/>
      <c r="S987" s="3"/>
      <c r="T987" s="3"/>
      <c r="U987" s="3"/>
      <c r="V987" s="3"/>
      <c r="W987" s="3"/>
      <c r="X987" s="3"/>
      <c r="Y987" s="3"/>
      <c r="Z987" s="3"/>
      <c r="AA987" s="3"/>
      <c r="AB987" s="3"/>
      <c r="AC987" s="3"/>
      <c r="AD987" s="3"/>
      <c r="AE987" s="3"/>
      <c r="AF987" s="3"/>
      <c r="AG987" s="3"/>
      <c r="AH987" s="3"/>
      <c r="AI987" s="3"/>
      <c r="AJ987" s="3"/>
      <c r="AK987" s="3"/>
      <c r="AL987" s="3"/>
    </row>
    <row r="988" ht="15.75" customHeight="1">
      <c r="A988" s="45"/>
      <c r="B988" s="2"/>
      <c r="C988" s="667"/>
      <c r="D988" s="2"/>
      <c r="E988" s="668"/>
      <c r="F988" s="2"/>
      <c r="G988" s="2"/>
      <c r="H988" s="2"/>
      <c r="I988" s="2"/>
      <c r="J988" s="2"/>
      <c r="K988" s="2"/>
      <c r="L988" s="2"/>
      <c r="M988" s="2"/>
      <c r="N988" s="667"/>
      <c r="O988" s="2"/>
      <c r="P988" s="2"/>
      <c r="Q988" s="2"/>
      <c r="R988" s="3"/>
      <c r="S988" s="3"/>
      <c r="T988" s="3"/>
      <c r="U988" s="3"/>
      <c r="V988" s="3"/>
      <c r="W988" s="3"/>
      <c r="X988" s="3"/>
      <c r="Y988" s="3"/>
      <c r="Z988" s="3"/>
      <c r="AA988" s="3"/>
      <c r="AB988" s="3"/>
      <c r="AC988" s="3"/>
      <c r="AD988" s="3"/>
      <c r="AE988" s="3"/>
      <c r="AF988" s="3"/>
      <c r="AG988" s="3"/>
      <c r="AH988" s="3"/>
      <c r="AI988" s="3"/>
      <c r="AJ988" s="3"/>
      <c r="AK988" s="3"/>
      <c r="AL988" s="3"/>
    </row>
    <row r="989" ht="15.75" customHeight="1">
      <c r="A989" s="45"/>
      <c r="B989" s="2"/>
      <c r="C989" s="667"/>
      <c r="D989" s="2"/>
      <c r="E989" s="668"/>
      <c r="F989" s="2"/>
      <c r="G989" s="2"/>
      <c r="H989" s="2"/>
      <c r="I989" s="2"/>
      <c r="J989" s="2"/>
      <c r="K989" s="2"/>
      <c r="L989" s="2"/>
      <c r="M989" s="2"/>
      <c r="N989" s="667"/>
      <c r="O989" s="2"/>
      <c r="P989" s="2"/>
      <c r="Q989" s="2"/>
      <c r="R989" s="3"/>
      <c r="S989" s="3"/>
      <c r="T989" s="3"/>
      <c r="U989" s="3"/>
      <c r="V989" s="3"/>
      <c r="W989" s="3"/>
      <c r="X989" s="3"/>
      <c r="Y989" s="3"/>
      <c r="Z989" s="3"/>
      <c r="AA989" s="3"/>
      <c r="AB989" s="3"/>
      <c r="AC989" s="3"/>
      <c r="AD989" s="3"/>
      <c r="AE989" s="3"/>
      <c r="AF989" s="3"/>
      <c r="AG989" s="3"/>
      <c r="AH989" s="3"/>
      <c r="AI989" s="3"/>
      <c r="AJ989" s="3"/>
      <c r="AK989" s="3"/>
      <c r="AL989" s="3"/>
    </row>
    <row r="990" ht="15.75" customHeight="1">
      <c r="A990" s="45"/>
      <c r="B990" s="2"/>
      <c r="C990" s="667"/>
      <c r="D990" s="2"/>
      <c r="E990" s="668"/>
      <c r="F990" s="2"/>
      <c r="G990" s="2"/>
      <c r="H990" s="2"/>
      <c r="I990" s="2"/>
      <c r="J990" s="2"/>
      <c r="K990" s="2"/>
      <c r="L990" s="2"/>
      <c r="M990" s="2"/>
      <c r="N990" s="667"/>
      <c r="O990" s="2"/>
      <c r="P990" s="2"/>
      <c r="Q990" s="2"/>
      <c r="R990" s="3"/>
      <c r="S990" s="3"/>
      <c r="T990" s="3"/>
      <c r="U990" s="3"/>
      <c r="V990" s="3"/>
      <c r="W990" s="3"/>
      <c r="X990" s="3"/>
      <c r="Y990" s="3"/>
      <c r="Z990" s="3"/>
      <c r="AA990" s="3"/>
      <c r="AB990" s="3"/>
      <c r="AC990" s="3"/>
      <c r="AD990" s="3"/>
      <c r="AE990" s="3"/>
      <c r="AF990" s="3"/>
      <c r="AG990" s="3"/>
      <c r="AH990" s="3"/>
      <c r="AI990" s="3"/>
      <c r="AJ990" s="3"/>
      <c r="AK990" s="3"/>
      <c r="AL990" s="3"/>
    </row>
    <row r="991" ht="15.75" customHeight="1">
      <c r="A991" s="45"/>
      <c r="B991" s="2"/>
      <c r="C991" s="667"/>
      <c r="D991" s="2"/>
      <c r="E991" s="668"/>
      <c r="F991" s="2"/>
      <c r="G991" s="2"/>
      <c r="H991" s="2"/>
      <c r="I991" s="2"/>
      <c r="J991" s="2"/>
      <c r="K991" s="2"/>
      <c r="L991" s="2"/>
      <c r="M991" s="2"/>
      <c r="N991" s="667"/>
      <c r="O991" s="2"/>
      <c r="P991" s="2"/>
      <c r="Q991" s="2"/>
      <c r="R991" s="3"/>
      <c r="S991" s="3"/>
      <c r="T991" s="3"/>
      <c r="U991" s="3"/>
      <c r="V991" s="3"/>
      <c r="W991" s="3"/>
      <c r="X991" s="3"/>
      <c r="Y991" s="3"/>
      <c r="Z991" s="3"/>
      <c r="AA991" s="3"/>
      <c r="AB991" s="3"/>
      <c r="AC991" s="3"/>
      <c r="AD991" s="3"/>
      <c r="AE991" s="3"/>
      <c r="AF991" s="3"/>
      <c r="AG991" s="3"/>
      <c r="AH991" s="3"/>
      <c r="AI991" s="3"/>
      <c r="AJ991" s="3"/>
      <c r="AK991" s="3"/>
      <c r="AL991" s="3"/>
    </row>
    <row r="992" ht="15.75" customHeight="1">
      <c r="A992" s="45"/>
      <c r="B992" s="2"/>
      <c r="C992" s="667"/>
      <c r="D992" s="2"/>
      <c r="E992" s="668"/>
      <c r="F992" s="2"/>
      <c r="G992" s="2"/>
      <c r="H992" s="2"/>
      <c r="I992" s="2"/>
      <c r="J992" s="2"/>
      <c r="K992" s="2"/>
      <c r="L992" s="2"/>
      <c r="M992" s="2"/>
      <c r="N992" s="667"/>
      <c r="O992" s="2"/>
      <c r="P992" s="2"/>
      <c r="Q992" s="2"/>
      <c r="R992" s="3"/>
      <c r="S992" s="3"/>
      <c r="T992" s="3"/>
      <c r="U992" s="3"/>
      <c r="V992" s="3"/>
      <c r="W992" s="3"/>
      <c r="X992" s="3"/>
      <c r="Y992" s="3"/>
      <c r="Z992" s="3"/>
      <c r="AA992" s="3"/>
      <c r="AB992" s="3"/>
      <c r="AC992" s="3"/>
      <c r="AD992" s="3"/>
      <c r="AE992" s="3"/>
      <c r="AF992" s="3"/>
      <c r="AG992" s="3"/>
      <c r="AH992" s="3"/>
      <c r="AI992" s="3"/>
      <c r="AJ992" s="3"/>
      <c r="AK992" s="3"/>
      <c r="AL992" s="3"/>
    </row>
    <row r="993" ht="15.75" customHeight="1">
      <c r="A993" s="45"/>
      <c r="B993" s="2"/>
      <c r="C993" s="667"/>
      <c r="D993" s="2"/>
      <c r="E993" s="668"/>
      <c r="F993" s="2"/>
      <c r="G993" s="2"/>
      <c r="H993" s="2"/>
      <c r="I993" s="2"/>
      <c r="J993" s="2"/>
      <c r="K993" s="2"/>
      <c r="L993" s="2"/>
      <c r="M993" s="2"/>
      <c r="N993" s="667"/>
      <c r="O993" s="2"/>
      <c r="P993" s="2"/>
      <c r="Q993" s="2"/>
      <c r="R993" s="3"/>
      <c r="S993" s="3"/>
      <c r="T993" s="3"/>
      <c r="U993" s="3"/>
      <c r="V993" s="3"/>
      <c r="W993" s="3"/>
      <c r="X993" s="3"/>
      <c r="Y993" s="3"/>
      <c r="Z993" s="3"/>
      <c r="AA993" s="3"/>
      <c r="AB993" s="3"/>
      <c r="AC993" s="3"/>
      <c r="AD993" s="3"/>
      <c r="AE993" s="3"/>
      <c r="AF993" s="3"/>
      <c r="AG993" s="3"/>
      <c r="AH993" s="3"/>
      <c r="AI993" s="3"/>
      <c r="AJ993" s="3"/>
      <c r="AK993" s="3"/>
      <c r="AL993" s="3"/>
    </row>
    <row r="994" ht="15.75" customHeight="1">
      <c r="A994" s="45"/>
      <c r="B994" s="2"/>
      <c r="C994" s="667"/>
      <c r="D994" s="2"/>
      <c r="E994" s="668"/>
      <c r="F994" s="2"/>
      <c r="G994" s="2"/>
      <c r="H994" s="2"/>
      <c r="I994" s="2"/>
      <c r="J994" s="2"/>
      <c r="K994" s="2"/>
      <c r="L994" s="2"/>
      <c r="M994" s="2"/>
      <c r="N994" s="667"/>
      <c r="O994" s="2"/>
      <c r="P994" s="2"/>
      <c r="Q994" s="2"/>
      <c r="R994" s="3"/>
      <c r="S994" s="3"/>
      <c r="T994" s="3"/>
      <c r="U994" s="3"/>
      <c r="V994" s="3"/>
      <c r="W994" s="3"/>
      <c r="X994" s="3"/>
      <c r="Y994" s="3"/>
      <c r="Z994" s="3"/>
      <c r="AA994" s="3"/>
      <c r="AB994" s="3"/>
      <c r="AC994" s="3"/>
      <c r="AD994" s="3"/>
      <c r="AE994" s="3"/>
      <c r="AF994" s="3"/>
      <c r="AG994" s="3"/>
      <c r="AH994" s="3"/>
      <c r="AI994" s="3"/>
      <c r="AJ994" s="3"/>
      <c r="AK994" s="3"/>
      <c r="AL994" s="3"/>
    </row>
    <row r="995" ht="15.75" customHeight="1">
      <c r="A995" s="45"/>
      <c r="B995" s="2"/>
      <c r="C995" s="667"/>
      <c r="D995" s="2"/>
      <c r="E995" s="668"/>
      <c r="F995" s="2"/>
      <c r="G995" s="2"/>
      <c r="H995" s="2"/>
      <c r="I995" s="2"/>
      <c r="J995" s="2"/>
      <c r="K995" s="2"/>
      <c r="L995" s="2"/>
      <c r="M995" s="2"/>
      <c r="N995" s="667"/>
      <c r="O995" s="2"/>
      <c r="P995" s="2"/>
      <c r="Q995" s="2"/>
      <c r="R995" s="3"/>
      <c r="S995" s="3"/>
      <c r="T995" s="3"/>
      <c r="U995" s="3"/>
      <c r="V995" s="3"/>
      <c r="W995" s="3"/>
      <c r="X995" s="3"/>
      <c r="Y995" s="3"/>
      <c r="Z995" s="3"/>
      <c r="AA995" s="3"/>
      <c r="AB995" s="3"/>
      <c r="AC995" s="3"/>
      <c r="AD995" s="3"/>
      <c r="AE995" s="3"/>
      <c r="AF995" s="3"/>
      <c r="AG995" s="3"/>
      <c r="AH995" s="3"/>
      <c r="AI995" s="3"/>
      <c r="AJ995" s="3"/>
      <c r="AK995" s="3"/>
      <c r="AL995" s="3"/>
    </row>
  </sheetData>
  <mergeCells count="5">
    <mergeCell ref="B1:Q1"/>
    <mergeCell ref="C2:R2"/>
    <mergeCell ref="K3:M3"/>
    <mergeCell ref="O3:Q3"/>
    <mergeCell ref="L4:M4"/>
  </mergeCells>
  <printOptions/>
  <pageMargins bottom="0.7480314960629921" footer="0.0" header="0.0" left="0.7086614173228347" right="0.7086614173228347" top="0.7480314960629921"/>
  <pageSetup paperSize="5" scale="90"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13.0"/>
    <col customWidth="1" min="2" max="2" width="7.29"/>
    <col customWidth="1" min="3" max="3" width="21.14"/>
    <col customWidth="1" min="4" max="4" width="51.57"/>
    <col customWidth="1" min="5" max="5" width="51.86"/>
    <col customWidth="1" min="6" max="6" width="12.57"/>
    <col customWidth="1" min="7" max="7" width="9.14"/>
    <col customWidth="1" min="8" max="8" width="14.71"/>
    <col customWidth="1" min="9" max="9" width="9.14"/>
    <col customWidth="1" min="10" max="10" width="11.43"/>
    <col customWidth="1" min="11" max="11" width="10.29"/>
    <col customWidth="1" min="12" max="12" width="11.57"/>
    <col customWidth="1" min="13" max="13" width="21.86"/>
    <col customWidth="1" min="14" max="14" width="18.71"/>
    <col customWidth="1" min="15" max="15" width="7.29"/>
    <col customWidth="1" min="16" max="16" width="13.57"/>
    <col customWidth="1" min="17" max="17" width="8.43"/>
    <col customWidth="1" min="18" max="26" width="8.71"/>
  </cols>
  <sheetData>
    <row r="1">
      <c r="A1" s="3"/>
      <c r="B1" s="465" t="s">
        <v>14157</v>
      </c>
      <c r="R1" s="593"/>
      <c r="S1" s="3"/>
      <c r="T1" s="3"/>
      <c r="U1" s="3"/>
      <c r="V1" s="3"/>
      <c r="W1" s="3"/>
      <c r="X1" s="3"/>
      <c r="Y1" s="3"/>
      <c r="Z1" s="3"/>
    </row>
    <row r="2">
      <c r="A2" s="3"/>
      <c r="B2" s="321"/>
      <c r="C2" s="400" t="s">
        <v>15031</v>
      </c>
      <c r="D2" s="6"/>
      <c r="E2" s="6"/>
      <c r="F2" s="6"/>
      <c r="G2" s="6"/>
      <c r="H2" s="6"/>
      <c r="I2" s="6"/>
      <c r="J2" s="6"/>
      <c r="K2" s="6"/>
      <c r="L2" s="6"/>
      <c r="M2" s="6"/>
      <c r="N2" s="6"/>
      <c r="O2" s="6"/>
      <c r="P2" s="6"/>
      <c r="Q2" s="6"/>
      <c r="R2" s="7"/>
      <c r="S2" s="3"/>
      <c r="T2" s="3"/>
      <c r="U2" s="3"/>
      <c r="V2" s="3"/>
      <c r="W2" s="3"/>
      <c r="X2" s="3"/>
      <c r="Y2" s="3"/>
      <c r="Z2" s="3"/>
    </row>
    <row r="3">
      <c r="A3" s="3"/>
      <c r="B3" s="321"/>
      <c r="C3" s="9"/>
      <c r="D3" s="9"/>
      <c r="E3" s="402"/>
      <c r="F3" s="403"/>
      <c r="G3" s="403"/>
      <c r="H3" s="403"/>
      <c r="I3" s="403"/>
      <c r="J3" s="9"/>
      <c r="K3" s="460"/>
      <c r="M3" s="13"/>
      <c r="N3" s="669" t="s">
        <v>3</v>
      </c>
      <c r="O3" s="670" t="s">
        <v>16345</v>
      </c>
      <c r="P3" s="16"/>
      <c r="Q3" s="17"/>
      <c r="R3" s="583"/>
      <c r="S3" s="3"/>
      <c r="T3" s="3"/>
      <c r="U3" s="3"/>
      <c r="V3" s="3"/>
      <c r="W3" s="3"/>
      <c r="X3" s="3"/>
      <c r="Y3" s="3"/>
      <c r="Z3" s="3"/>
    </row>
    <row r="4">
      <c r="A4" s="3"/>
      <c r="B4" s="321"/>
      <c r="C4" s="9"/>
      <c r="D4" s="9"/>
      <c r="E4" s="402"/>
      <c r="F4" s="403"/>
      <c r="G4" s="403"/>
      <c r="H4" s="321"/>
      <c r="I4" s="403"/>
      <c r="J4" s="9"/>
      <c r="K4" s="403"/>
      <c r="L4" s="467"/>
      <c r="M4" s="407"/>
      <c r="N4" s="9"/>
      <c r="O4" s="403"/>
      <c r="P4" s="403"/>
      <c r="Q4" s="403"/>
      <c r="R4" s="671"/>
      <c r="S4" s="3"/>
      <c r="T4" s="3"/>
      <c r="U4" s="3"/>
      <c r="V4" s="3"/>
      <c r="W4" s="3"/>
      <c r="X4" s="3"/>
      <c r="Y4" s="3"/>
      <c r="Z4" s="3"/>
    </row>
    <row r="5">
      <c r="A5" s="672"/>
      <c r="B5" s="673" t="s">
        <v>13864</v>
      </c>
      <c r="C5" s="673" t="s">
        <v>13834</v>
      </c>
      <c r="D5" s="673" t="s">
        <v>10</v>
      </c>
      <c r="E5" s="673" t="s">
        <v>11</v>
      </c>
      <c r="F5" s="673" t="s">
        <v>12</v>
      </c>
      <c r="G5" s="673" t="s">
        <v>13</v>
      </c>
      <c r="H5" s="673" t="s">
        <v>14</v>
      </c>
      <c r="I5" s="673" t="s">
        <v>13835</v>
      </c>
      <c r="J5" s="673" t="s">
        <v>13865</v>
      </c>
      <c r="K5" s="673" t="s">
        <v>16</v>
      </c>
      <c r="L5" s="674" t="s">
        <v>13836</v>
      </c>
      <c r="M5" s="674" t="s">
        <v>13837</v>
      </c>
      <c r="N5" s="673" t="s">
        <v>18</v>
      </c>
      <c r="O5" s="673" t="s">
        <v>19</v>
      </c>
      <c r="P5" s="673" t="s">
        <v>20</v>
      </c>
      <c r="Q5" s="673" t="s">
        <v>21</v>
      </c>
      <c r="R5" s="675"/>
      <c r="S5" s="672"/>
      <c r="T5" s="672"/>
      <c r="U5" s="672"/>
      <c r="V5" s="672"/>
      <c r="W5" s="672"/>
      <c r="X5" s="672"/>
      <c r="Y5" s="672"/>
      <c r="Z5" s="672"/>
    </row>
    <row r="6">
      <c r="A6" s="672"/>
      <c r="B6" s="676">
        <v>1.0</v>
      </c>
      <c r="C6" s="677" t="s">
        <v>31</v>
      </c>
      <c r="D6" s="677" t="s">
        <v>16346</v>
      </c>
      <c r="E6" s="678" t="s">
        <v>16347</v>
      </c>
      <c r="F6" s="677" t="s">
        <v>15035</v>
      </c>
      <c r="G6" s="676" t="s">
        <v>29</v>
      </c>
      <c r="H6" s="676" t="s">
        <v>38</v>
      </c>
      <c r="I6" s="676"/>
      <c r="J6" s="676" t="s">
        <v>16348</v>
      </c>
      <c r="K6" s="676">
        <v>633.0</v>
      </c>
      <c r="L6" s="677" t="s">
        <v>16349</v>
      </c>
      <c r="M6" s="676" t="s">
        <v>31</v>
      </c>
      <c r="N6" s="677" t="s">
        <v>54</v>
      </c>
      <c r="O6" s="677">
        <v>1971.0</v>
      </c>
      <c r="P6" s="677" t="s">
        <v>388</v>
      </c>
      <c r="Q6" s="676">
        <v>2.0</v>
      </c>
      <c r="R6" s="679"/>
      <c r="S6" s="672"/>
      <c r="T6" s="672"/>
      <c r="U6" s="672"/>
      <c r="V6" s="672"/>
      <c r="W6" s="672"/>
      <c r="X6" s="672"/>
      <c r="Y6" s="672"/>
      <c r="Z6" s="672"/>
    </row>
    <row r="7">
      <c r="A7" s="672"/>
      <c r="B7" s="676">
        <v>2.0</v>
      </c>
      <c r="C7" s="677" t="s">
        <v>31</v>
      </c>
      <c r="D7" s="677" t="s">
        <v>16350</v>
      </c>
      <c r="E7" s="678" t="s">
        <v>16351</v>
      </c>
      <c r="F7" s="677" t="s">
        <v>15035</v>
      </c>
      <c r="G7" s="676" t="s">
        <v>29</v>
      </c>
      <c r="H7" s="676" t="s">
        <v>37</v>
      </c>
      <c r="I7" s="676"/>
      <c r="J7" s="676" t="s">
        <v>6431</v>
      </c>
      <c r="K7" s="676">
        <v>583.0</v>
      </c>
      <c r="L7" s="677" t="s">
        <v>16349</v>
      </c>
      <c r="M7" s="676" t="s">
        <v>31</v>
      </c>
      <c r="N7" s="677" t="s">
        <v>16352</v>
      </c>
      <c r="O7" s="677">
        <v>1966.0</v>
      </c>
      <c r="P7" s="677" t="s">
        <v>388</v>
      </c>
      <c r="Q7" s="676">
        <v>2.0</v>
      </c>
      <c r="R7" s="679"/>
      <c r="S7" s="672"/>
      <c r="T7" s="672"/>
      <c r="U7" s="672"/>
      <c r="V7" s="672"/>
      <c r="W7" s="672"/>
      <c r="X7" s="672"/>
      <c r="Y7" s="672"/>
      <c r="Z7" s="672"/>
    </row>
    <row r="8">
      <c r="A8" s="672"/>
      <c r="B8" s="680">
        <v>3.0</v>
      </c>
      <c r="C8" s="681" t="s">
        <v>31</v>
      </c>
      <c r="D8" s="681" t="s">
        <v>16353</v>
      </c>
      <c r="E8" s="682" t="s">
        <v>16354</v>
      </c>
      <c r="F8" s="681" t="s">
        <v>15035</v>
      </c>
      <c r="G8" s="680" t="s">
        <v>29</v>
      </c>
      <c r="H8" s="680" t="s">
        <v>15304</v>
      </c>
      <c r="I8" s="680"/>
      <c r="J8" s="680" t="s">
        <v>15305</v>
      </c>
      <c r="K8" s="680">
        <v>745.0</v>
      </c>
      <c r="L8" s="681" t="s">
        <v>16355</v>
      </c>
      <c r="M8" s="680" t="s">
        <v>31</v>
      </c>
      <c r="N8" s="681" t="s">
        <v>13587</v>
      </c>
      <c r="O8" s="681">
        <v>1975.0</v>
      </c>
      <c r="P8" s="681" t="s">
        <v>388</v>
      </c>
      <c r="Q8" s="680">
        <v>2.0</v>
      </c>
      <c r="R8" s="679"/>
      <c r="S8" s="672"/>
      <c r="T8" s="672"/>
      <c r="U8" s="672"/>
      <c r="V8" s="672"/>
      <c r="W8" s="672"/>
      <c r="X8" s="672"/>
      <c r="Y8" s="672"/>
      <c r="Z8" s="672"/>
    </row>
    <row r="9">
      <c r="A9" s="672"/>
      <c r="B9" s="676">
        <v>4.0</v>
      </c>
      <c r="C9" s="677" t="s">
        <v>16356</v>
      </c>
      <c r="D9" s="677" t="s">
        <v>16357</v>
      </c>
      <c r="E9" s="678" t="s">
        <v>16358</v>
      </c>
      <c r="F9" s="677" t="s">
        <v>15433</v>
      </c>
      <c r="G9" s="676" t="s">
        <v>29</v>
      </c>
      <c r="H9" s="676" t="s">
        <v>131</v>
      </c>
      <c r="I9" s="676"/>
      <c r="J9" s="676" t="s">
        <v>131</v>
      </c>
      <c r="K9" s="676">
        <v>507.0</v>
      </c>
      <c r="L9" s="677" t="s">
        <v>16359</v>
      </c>
      <c r="M9" s="676" t="s">
        <v>31</v>
      </c>
      <c r="N9" s="677" t="s">
        <v>4617</v>
      </c>
      <c r="O9" s="677">
        <v>1974.0</v>
      </c>
      <c r="P9" s="677" t="s">
        <v>388</v>
      </c>
      <c r="Q9" s="676">
        <v>2.0</v>
      </c>
      <c r="R9" s="679"/>
      <c r="S9" s="672"/>
      <c r="T9" s="672"/>
      <c r="U9" s="672"/>
      <c r="V9" s="672"/>
      <c r="W9" s="672"/>
      <c r="X9" s="672"/>
      <c r="Y9" s="672"/>
      <c r="Z9" s="672"/>
    </row>
    <row r="10">
      <c r="A10" s="672"/>
      <c r="B10" s="680">
        <v>5.0</v>
      </c>
      <c r="C10" s="681" t="s">
        <v>31</v>
      </c>
      <c r="D10" s="681" t="s">
        <v>16360</v>
      </c>
      <c r="E10" s="682" t="s">
        <v>16361</v>
      </c>
      <c r="F10" s="681" t="s">
        <v>15035</v>
      </c>
      <c r="G10" s="680" t="s">
        <v>29</v>
      </c>
      <c r="H10" s="680" t="s">
        <v>98</v>
      </c>
      <c r="I10" s="680"/>
      <c r="J10" s="683"/>
      <c r="K10" s="680">
        <v>588.0</v>
      </c>
      <c r="L10" s="681" t="s">
        <v>16349</v>
      </c>
      <c r="M10" s="680" t="s">
        <v>31</v>
      </c>
      <c r="N10" s="681" t="s">
        <v>16362</v>
      </c>
      <c r="O10" s="681">
        <v>1973.0</v>
      </c>
      <c r="P10" s="681" t="s">
        <v>388</v>
      </c>
      <c r="Q10" s="680">
        <v>3.0</v>
      </c>
      <c r="R10" s="679"/>
      <c r="S10" s="672"/>
      <c r="T10" s="672"/>
      <c r="U10" s="672"/>
      <c r="V10" s="672"/>
      <c r="W10" s="672"/>
      <c r="X10" s="672"/>
      <c r="Y10" s="672"/>
      <c r="Z10" s="672"/>
    </row>
    <row r="11">
      <c r="A11" s="672"/>
      <c r="B11" s="680">
        <v>6.0</v>
      </c>
      <c r="C11" s="681" t="s">
        <v>31</v>
      </c>
      <c r="D11" s="681" t="s">
        <v>16363</v>
      </c>
      <c r="E11" s="682" t="s">
        <v>16364</v>
      </c>
      <c r="F11" s="681"/>
      <c r="G11" s="680" t="s">
        <v>29</v>
      </c>
      <c r="H11" s="680" t="s">
        <v>98</v>
      </c>
      <c r="I11" s="680"/>
      <c r="J11" s="680" t="s">
        <v>98</v>
      </c>
      <c r="K11" s="684"/>
      <c r="L11" s="680" t="s">
        <v>31</v>
      </c>
      <c r="M11" s="680" t="s">
        <v>31</v>
      </c>
      <c r="N11" s="681" t="s">
        <v>16365</v>
      </c>
      <c r="O11" s="681">
        <v>1963.0</v>
      </c>
      <c r="P11" s="681" t="s">
        <v>388</v>
      </c>
      <c r="Q11" s="680">
        <v>1.0</v>
      </c>
      <c r="R11" s="679"/>
      <c r="S11" s="672"/>
      <c r="T11" s="672"/>
      <c r="U11" s="672"/>
      <c r="V11" s="672"/>
      <c r="W11" s="672"/>
      <c r="X11" s="672"/>
      <c r="Y11" s="672"/>
      <c r="Z11" s="672"/>
    </row>
    <row r="12">
      <c r="A12" s="672"/>
      <c r="B12" s="680">
        <v>7.0</v>
      </c>
      <c r="C12" s="681" t="s">
        <v>31</v>
      </c>
      <c r="D12" s="681" t="s">
        <v>16366</v>
      </c>
      <c r="E12" s="682" t="s">
        <v>16367</v>
      </c>
      <c r="F12" s="681"/>
      <c r="G12" s="680" t="s">
        <v>29</v>
      </c>
      <c r="H12" s="680" t="s">
        <v>16368</v>
      </c>
      <c r="I12" s="680"/>
      <c r="J12" s="680" t="s">
        <v>16369</v>
      </c>
      <c r="K12" s="680">
        <v>554.0</v>
      </c>
      <c r="L12" s="680" t="s">
        <v>31</v>
      </c>
      <c r="M12" s="680" t="s">
        <v>31</v>
      </c>
      <c r="N12" s="681" t="s">
        <v>16370</v>
      </c>
      <c r="O12" s="681">
        <v>1983.0</v>
      </c>
      <c r="P12" s="681" t="s">
        <v>388</v>
      </c>
      <c r="Q12" s="680">
        <v>1.0</v>
      </c>
      <c r="R12" s="679"/>
      <c r="S12" s="672"/>
      <c r="T12" s="672"/>
      <c r="U12" s="672"/>
      <c r="V12" s="672"/>
      <c r="W12" s="672"/>
      <c r="X12" s="672"/>
      <c r="Y12" s="672"/>
      <c r="Z12" s="672"/>
    </row>
    <row r="13">
      <c r="A13" s="672"/>
      <c r="B13" s="676">
        <v>8.0</v>
      </c>
      <c r="C13" s="677" t="s">
        <v>16371</v>
      </c>
      <c r="D13" s="677" t="s">
        <v>16372</v>
      </c>
      <c r="E13" s="678" t="s">
        <v>16373</v>
      </c>
      <c r="F13" s="677" t="s">
        <v>15035</v>
      </c>
      <c r="G13" s="676" t="s">
        <v>29</v>
      </c>
      <c r="H13" s="676" t="s">
        <v>15252</v>
      </c>
      <c r="I13" s="676"/>
      <c r="J13" s="676" t="s">
        <v>15252</v>
      </c>
      <c r="K13" s="676">
        <f>753+42</f>
        <v>795</v>
      </c>
      <c r="L13" s="677" t="s">
        <v>15211</v>
      </c>
      <c r="M13" s="676" t="s">
        <v>31</v>
      </c>
      <c r="N13" s="677" t="s">
        <v>16374</v>
      </c>
      <c r="O13" s="677">
        <v>1988.0</v>
      </c>
      <c r="P13" s="677" t="s">
        <v>388</v>
      </c>
      <c r="Q13" s="676">
        <v>1.0</v>
      </c>
      <c r="R13" s="679"/>
      <c r="S13" s="672"/>
      <c r="T13" s="672"/>
      <c r="U13" s="672"/>
      <c r="V13" s="672"/>
      <c r="W13" s="672"/>
      <c r="X13" s="672"/>
      <c r="Y13" s="672"/>
      <c r="Z13" s="672"/>
    </row>
    <row r="14">
      <c r="A14" s="672"/>
      <c r="B14" s="676">
        <v>9.0</v>
      </c>
      <c r="C14" s="677" t="s">
        <v>16375</v>
      </c>
      <c r="D14" s="676" t="s">
        <v>16376</v>
      </c>
      <c r="E14" s="678" t="s">
        <v>16377</v>
      </c>
      <c r="F14" s="677" t="s">
        <v>15035</v>
      </c>
      <c r="G14" s="676" t="s">
        <v>29</v>
      </c>
      <c r="H14" s="676" t="s">
        <v>98</v>
      </c>
      <c r="I14" s="676"/>
      <c r="J14" s="676" t="s">
        <v>98</v>
      </c>
      <c r="K14" s="676">
        <v>635.0</v>
      </c>
      <c r="L14" s="677" t="s">
        <v>16378</v>
      </c>
      <c r="M14" s="676" t="s">
        <v>31</v>
      </c>
      <c r="N14" s="677" t="s">
        <v>16379</v>
      </c>
      <c r="O14" s="677">
        <v>1971.0</v>
      </c>
      <c r="P14" s="677" t="s">
        <v>388</v>
      </c>
      <c r="Q14" s="676">
        <v>1.0</v>
      </c>
      <c r="R14" s="679"/>
      <c r="S14" s="672"/>
      <c r="T14" s="672"/>
      <c r="U14" s="672"/>
      <c r="V14" s="672"/>
      <c r="W14" s="672"/>
      <c r="X14" s="672"/>
      <c r="Y14" s="672"/>
      <c r="Z14" s="672"/>
    </row>
    <row r="15">
      <c r="A15" s="672"/>
      <c r="B15" s="680">
        <v>10.0</v>
      </c>
      <c r="C15" s="681" t="s">
        <v>31</v>
      </c>
      <c r="D15" s="681" t="s">
        <v>16380</v>
      </c>
      <c r="E15" s="682" t="s">
        <v>16381</v>
      </c>
      <c r="F15" s="681"/>
      <c r="G15" s="680" t="s">
        <v>29</v>
      </c>
      <c r="H15" s="680" t="s">
        <v>16382</v>
      </c>
      <c r="I15" s="680"/>
      <c r="J15" s="680" t="s">
        <v>16382</v>
      </c>
      <c r="K15" s="680">
        <v>256.0</v>
      </c>
      <c r="L15" s="680" t="s">
        <v>31</v>
      </c>
      <c r="M15" s="680" t="s">
        <v>31</v>
      </c>
      <c r="N15" s="681" t="s">
        <v>12736</v>
      </c>
      <c r="O15" s="681">
        <v>1987.0</v>
      </c>
      <c r="P15" s="681" t="s">
        <v>388</v>
      </c>
      <c r="Q15" s="680">
        <v>1.0</v>
      </c>
      <c r="R15" s="679"/>
      <c r="S15" s="672"/>
      <c r="T15" s="672"/>
      <c r="U15" s="672"/>
      <c r="V15" s="672"/>
      <c r="W15" s="672"/>
      <c r="X15" s="672"/>
      <c r="Y15" s="672"/>
      <c r="Z15" s="672"/>
    </row>
    <row r="16">
      <c r="A16" s="672"/>
      <c r="B16" s="680">
        <v>11.0</v>
      </c>
      <c r="C16" s="681" t="s">
        <v>31</v>
      </c>
      <c r="D16" s="681" t="s">
        <v>16383</v>
      </c>
      <c r="E16" s="682" t="s">
        <v>16384</v>
      </c>
      <c r="F16" s="681"/>
      <c r="G16" s="680" t="s">
        <v>29</v>
      </c>
      <c r="H16" s="681" t="s">
        <v>16385</v>
      </c>
      <c r="I16" s="680"/>
      <c r="J16" s="680" t="s">
        <v>16386</v>
      </c>
      <c r="K16" s="680">
        <v>622.0</v>
      </c>
      <c r="L16" s="681" t="s">
        <v>16387</v>
      </c>
      <c r="M16" s="680" t="s">
        <v>31</v>
      </c>
      <c r="N16" s="681" t="s">
        <v>16388</v>
      </c>
      <c r="O16" s="681">
        <v>1988.0</v>
      </c>
      <c r="P16" s="681" t="s">
        <v>388</v>
      </c>
      <c r="Q16" s="680">
        <v>1.0</v>
      </c>
      <c r="R16" s="679"/>
      <c r="S16" s="672"/>
      <c r="T16" s="672"/>
      <c r="U16" s="672"/>
      <c r="V16" s="672"/>
      <c r="W16" s="672"/>
      <c r="X16" s="672"/>
      <c r="Y16" s="672"/>
      <c r="Z16" s="672"/>
    </row>
    <row r="17">
      <c r="A17" s="672"/>
      <c r="B17" s="676">
        <v>12.0</v>
      </c>
      <c r="C17" s="677" t="s">
        <v>31</v>
      </c>
      <c r="D17" s="677" t="s">
        <v>16389</v>
      </c>
      <c r="E17" s="678" t="s">
        <v>16390</v>
      </c>
      <c r="F17" s="677"/>
      <c r="G17" s="676" t="s">
        <v>29</v>
      </c>
      <c r="H17" s="676" t="s">
        <v>15304</v>
      </c>
      <c r="I17" s="676"/>
      <c r="J17" s="676" t="s">
        <v>6431</v>
      </c>
      <c r="K17" s="676">
        <v>424.0</v>
      </c>
      <c r="L17" s="677" t="s">
        <v>16387</v>
      </c>
      <c r="M17" s="676" t="s">
        <v>31</v>
      </c>
      <c r="N17" s="677" t="s">
        <v>16391</v>
      </c>
      <c r="O17" s="677">
        <v>1988.0</v>
      </c>
      <c r="P17" s="677" t="s">
        <v>388</v>
      </c>
      <c r="Q17" s="676">
        <v>1.0</v>
      </c>
      <c r="R17" s="679"/>
      <c r="S17" s="672"/>
      <c r="T17" s="672"/>
      <c r="U17" s="672"/>
      <c r="V17" s="672"/>
      <c r="W17" s="672"/>
      <c r="X17" s="672"/>
      <c r="Y17" s="672"/>
      <c r="Z17" s="672"/>
    </row>
    <row r="18">
      <c r="A18" s="672"/>
      <c r="B18" s="676">
        <v>13.0</v>
      </c>
      <c r="C18" s="677" t="s">
        <v>16392</v>
      </c>
      <c r="D18" s="677" t="s">
        <v>16393</v>
      </c>
      <c r="E18" s="678" t="s">
        <v>16394</v>
      </c>
      <c r="F18" s="677" t="s">
        <v>15035</v>
      </c>
      <c r="G18" s="676" t="s">
        <v>29</v>
      </c>
      <c r="H18" s="676" t="s">
        <v>98</v>
      </c>
      <c r="I18" s="676"/>
      <c r="J18" s="676" t="s">
        <v>98</v>
      </c>
      <c r="K18" s="676">
        <v>778.0</v>
      </c>
      <c r="L18" s="677" t="s">
        <v>16387</v>
      </c>
      <c r="M18" s="676" t="s">
        <v>31</v>
      </c>
      <c r="N18" s="677" t="s">
        <v>16379</v>
      </c>
      <c r="O18" s="677">
        <v>1973.0</v>
      </c>
      <c r="P18" s="677" t="s">
        <v>388</v>
      </c>
      <c r="Q18" s="676">
        <v>3.0</v>
      </c>
      <c r="R18" s="679"/>
      <c r="S18" s="672"/>
      <c r="T18" s="672"/>
      <c r="U18" s="672"/>
      <c r="V18" s="672"/>
      <c r="W18" s="672"/>
      <c r="X18" s="672"/>
      <c r="Y18" s="672"/>
      <c r="Z18" s="672"/>
    </row>
    <row r="19">
      <c r="A19" s="672"/>
      <c r="B19" s="676">
        <v>14.0</v>
      </c>
      <c r="C19" s="677" t="s">
        <v>16395</v>
      </c>
      <c r="D19" s="677" t="s">
        <v>16376</v>
      </c>
      <c r="E19" s="678" t="s">
        <v>16396</v>
      </c>
      <c r="F19" s="677" t="s">
        <v>12445</v>
      </c>
      <c r="G19" s="676" t="s">
        <v>29</v>
      </c>
      <c r="H19" s="676" t="s">
        <v>98</v>
      </c>
      <c r="I19" s="676"/>
      <c r="J19" s="676" t="s">
        <v>98</v>
      </c>
      <c r="K19" s="685"/>
      <c r="L19" s="677" t="s">
        <v>16397</v>
      </c>
      <c r="M19" s="676" t="s">
        <v>31</v>
      </c>
      <c r="N19" s="677" t="s">
        <v>15980</v>
      </c>
      <c r="O19" s="677">
        <v>1971.0</v>
      </c>
      <c r="P19" s="677" t="s">
        <v>388</v>
      </c>
      <c r="Q19" s="676">
        <v>2.0</v>
      </c>
      <c r="R19" s="679"/>
      <c r="S19" s="672"/>
      <c r="T19" s="672"/>
      <c r="U19" s="672"/>
      <c r="V19" s="672"/>
      <c r="W19" s="672"/>
      <c r="X19" s="672"/>
      <c r="Y19" s="672"/>
      <c r="Z19" s="672"/>
    </row>
    <row r="20">
      <c r="A20" s="672"/>
      <c r="B20" s="676">
        <v>15.0</v>
      </c>
      <c r="C20" s="677" t="s">
        <v>16395</v>
      </c>
      <c r="D20" s="677" t="s">
        <v>16398</v>
      </c>
      <c r="E20" s="678" t="s">
        <v>16399</v>
      </c>
      <c r="F20" s="677" t="s">
        <v>15035</v>
      </c>
      <c r="G20" s="676" t="s">
        <v>29</v>
      </c>
      <c r="H20" s="676" t="s">
        <v>98</v>
      </c>
      <c r="I20" s="676"/>
      <c r="J20" s="676" t="s">
        <v>98</v>
      </c>
      <c r="K20" s="676">
        <v>635.0</v>
      </c>
      <c r="L20" s="677" t="s">
        <v>16400</v>
      </c>
      <c r="M20" s="676" t="s">
        <v>31</v>
      </c>
      <c r="N20" s="677" t="s">
        <v>15980</v>
      </c>
      <c r="O20" s="677">
        <v>1976.0</v>
      </c>
      <c r="P20" s="677" t="s">
        <v>388</v>
      </c>
      <c r="Q20" s="676">
        <v>2.0</v>
      </c>
      <c r="R20" s="679"/>
      <c r="S20" s="672"/>
      <c r="T20" s="672"/>
      <c r="U20" s="672"/>
      <c r="V20" s="672"/>
      <c r="W20" s="672"/>
      <c r="X20" s="672"/>
      <c r="Y20" s="672"/>
      <c r="Z20" s="672"/>
    </row>
    <row r="21" ht="15.75" customHeight="1">
      <c r="A21" s="672"/>
      <c r="B21" s="680">
        <v>16.0</v>
      </c>
      <c r="C21" s="681" t="s">
        <v>16401</v>
      </c>
      <c r="D21" s="680" t="s">
        <v>16402</v>
      </c>
      <c r="E21" s="682" t="s">
        <v>16403</v>
      </c>
      <c r="F21" s="681" t="s">
        <v>15035</v>
      </c>
      <c r="G21" s="680" t="s">
        <v>29</v>
      </c>
      <c r="H21" s="680" t="s">
        <v>7191</v>
      </c>
      <c r="I21" s="680"/>
      <c r="J21" s="680" t="s">
        <v>16404</v>
      </c>
      <c r="K21" s="680">
        <v>594.0</v>
      </c>
      <c r="L21" s="681" t="s">
        <v>16405</v>
      </c>
      <c r="M21" s="680" t="s">
        <v>31</v>
      </c>
      <c r="N21" s="681" t="s">
        <v>16406</v>
      </c>
      <c r="O21" s="681">
        <v>1985.0</v>
      </c>
      <c r="P21" s="681" t="s">
        <v>388</v>
      </c>
      <c r="Q21" s="680">
        <v>1.0</v>
      </c>
      <c r="R21" s="679"/>
      <c r="S21" s="672"/>
      <c r="T21" s="672"/>
      <c r="U21" s="672"/>
      <c r="V21" s="672"/>
      <c r="W21" s="672"/>
      <c r="X21" s="672"/>
      <c r="Y21" s="672"/>
      <c r="Z21" s="672"/>
    </row>
    <row r="22" ht="15.75" customHeight="1">
      <c r="A22" s="672"/>
      <c r="B22" s="680">
        <v>17.0</v>
      </c>
      <c r="C22" s="681" t="s">
        <v>16407</v>
      </c>
      <c r="D22" s="680" t="s">
        <v>16408</v>
      </c>
      <c r="E22" s="682" t="s">
        <v>16409</v>
      </c>
      <c r="F22" s="681" t="s">
        <v>15035</v>
      </c>
      <c r="G22" s="680" t="s">
        <v>29</v>
      </c>
      <c r="H22" s="680" t="s">
        <v>131</v>
      </c>
      <c r="I22" s="680"/>
      <c r="J22" s="681" t="s">
        <v>16410</v>
      </c>
      <c r="K22" s="680">
        <v>579.0</v>
      </c>
      <c r="L22" s="681" t="s">
        <v>16411</v>
      </c>
      <c r="M22" s="680" t="s">
        <v>31</v>
      </c>
      <c r="N22" s="681" t="s">
        <v>16412</v>
      </c>
      <c r="O22" s="681">
        <v>1988.0</v>
      </c>
      <c r="P22" s="681" t="s">
        <v>388</v>
      </c>
      <c r="Q22" s="680">
        <v>1.0</v>
      </c>
      <c r="R22" s="679"/>
      <c r="S22" s="672"/>
      <c r="T22" s="672"/>
      <c r="U22" s="672"/>
      <c r="V22" s="672"/>
      <c r="W22" s="672"/>
      <c r="X22" s="672"/>
      <c r="Y22" s="672"/>
      <c r="Z22" s="672"/>
    </row>
    <row r="23" ht="15.75" customHeight="1">
      <c r="A23" s="672"/>
      <c r="B23" s="680">
        <v>18.0</v>
      </c>
      <c r="C23" s="681" t="s">
        <v>31</v>
      </c>
      <c r="D23" s="683"/>
      <c r="E23" s="682" t="s">
        <v>16413</v>
      </c>
      <c r="F23" s="681" t="s">
        <v>15035</v>
      </c>
      <c r="G23" s="680" t="s">
        <v>29</v>
      </c>
      <c r="H23" s="680" t="s">
        <v>16414</v>
      </c>
      <c r="I23" s="680"/>
      <c r="J23" s="680" t="s">
        <v>15305</v>
      </c>
      <c r="K23" s="680">
        <v>292.0</v>
      </c>
      <c r="L23" s="681" t="s">
        <v>15211</v>
      </c>
      <c r="M23" s="680" t="s">
        <v>31</v>
      </c>
      <c r="N23" s="681" t="s">
        <v>16415</v>
      </c>
      <c r="O23" s="681">
        <v>1983.0</v>
      </c>
      <c r="P23" s="681" t="s">
        <v>388</v>
      </c>
      <c r="Q23" s="680">
        <v>3.0</v>
      </c>
      <c r="R23" s="679"/>
      <c r="S23" s="672"/>
      <c r="T23" s="672"/>
      <c r="U23" s="672"/>
      <c r="V23" s="672"/>
      <c r="W23" s="672"/>
      <c r="X23" s="672"/>
      <c r="Y23" s="672"/>
      <c r="Z23" s="672"/>
    </row>
    <row r="24" ht="15.75" customHeight="1">
      <c r="A24" s="672"/>
      <c r="B24" s="676">
        <v>19.0</v>
      </c>
      <c r="C24" s="677" t="s">
        <v>16416</v>
      </c>
      <c r="D24" s="676" t="s">
        <v>31</v>
      </c>
      <c r="E24" s="678" t="s">
        <v>16409</v>
      </c>
      <c r="F24" s="677" t="s">
        <v>15035</v>
      </c>
      <c r="G24" s="676" t="s">
        <v>29</v>
      </c>
      <c r="H24" s="676" t="s">
        <v>131</v>
      </c>
      <c r="I24" s="676"/>
      <c r="J24" s="677" t="s">
        <v>16410</v>
      </c>
      <c r="K24" s="676">
        <v>572.0</v>
      </c>
      <c r="L24" s="677" t="s">
        <v>16417</v>
      </c>
      <c r="M24" s="676" t="s">
        <v>31</v>
      </c>
      <c r="N24" s="677" t="s">
        <v>16412</v>
      </c>
      <c r="O24" s="677">
        <v>1979.0</v>
      </c>
      <c r="P24" s="677" t="s">
        <v>388</v>
      </c>
      <c r="Q24" s="676">
        <v>3.0</v>
      </c>
      <c r="R24" s="679"/>
      <c r="S24" s="672"/>
      <c r="T24" s="672"/>
      <c r="U24" s="672"/>
      <c r="V24" s="672"/>
      <c r="W24" s="672"/>
      <c r="X24" s="672"/>
      <c r="Y24" s="672"/>
      <c r="Z24" s="672"/>
    </row>
    <row r="25" ht="15.75" customHeight="1">
      <c r="A25" s="672"/>
      <c r="B25" s="680">
        <v>20.0</v>
      </c>
      <c r="C25" s="681" t="s">
        <v>16418</v>
      </c>
      <c r="D25" s="680" t="s">
        <v>31</v>
      </c>
      <c r="E25" s="682" t="s">
        <v>16409</v>
      </c>
      <c r="F25" s="681" t="s">
        <v>15035</v>
      </c>
      <c r="G25" s="680" t="s">
        <v>29</v>
      </c>
      <c r="H25" s="680" t="s">
        <v>131</v>
      </c>
      <c r="I25" s="680"/>
      <c r="J25" s="681" t="s">
        <v>16410</v>
      </c>
      <c r="K25" s="680">
        <v>573.0</v>
      </c>
      <c r="L25" s="681" t="s">
        <v>16417</v>
      </c>
      <c r="M25" s="680" t="s">
        <v>31</v>
      </c>
      <c r="N25" s="681" t="s">
        <v>16412</v>
      </c>
      <c r="O25" s="681">
        <v>1972.0</v>
      </c>
      <c r="P25" s="681" t="s">
        <v>388</v>
      </c>
      <c r="Q25" s="680">
        <v>1.0</v>
      </c>
      <c r="R25" s="679"/>
      <c r="S25" s="672"/>
      <c r="T25" s="672"/>
      <c r="U25" s="672"/>
      <c r="V25" s="672"/>
      <c r="W25" s="672"/>
      <c r="X25" s="672"/>
      <c r="Y25" s="672"/>
      <c r="Z25" s="672"/>
    </row>
    <row r="26" ht="15.75" customHeight="1">
      <c r="A26" s="672"/>
      <c r="B26" s="680">
        <v>21.0</v>
      </c>
      <c r="C26" s="681" t="s">
        <v>16371</v>
      </c>
      <c r="D26" s="681" t="s">
        <v>16419</v>
      </c>
      <c r="E26" s="682" t="s">
        <v>16420</v>
      </c>
      <c r="F26" s="681" t="s">
        <v>15035</v>
      </c>
      <c r="G26" s="680" t="s">
        <v>29</v>
      </c>
      <c r="H26" s="680" t="s">
        <v>15252</v>
      </c>
      <c r="I26" s="680"/>
      <c r="J26" s="680" t="s">
        <v>16421</v>
      </c>
      <c r="K26" s="680">
        <v>43.0</v>
      </c>
      <c r="L26" s="681" t="s">
        <v>16417</v>
      </c>
      <c r="M26" s="680" t="s">
        <v>31</v>
      </c>
      <c r="N26" s="681" t="s">
        <v>16374</v>
      </c>
      <c r="O26" s="681">
        <v>1988.0</v>
      </c>
      <c r="P26" s="681" t="s">
        <v>388</v>
      </c>
      <c r="Q26" s="680">
        <v>1.0</v>
      </c>
      <c r="R26" s="679"/>
      <c r="S26" s="672"/>
      <c r="T26" s="672"/>
      <c r="U26" s="672"/>
      <c r="V26" s="672"/>
      <c r="W26" s="672"/>
      <c r="X26" s="672"/>
      <c r="Y26" s="672"/>
      <c r="Z26" s="672"/>
    </row>
    <row r="27" ht="15.75" customHeight="1">
      <c r="A27" s="672"/>
      <c r="B27" s="680">
        <v>22.0</v>
      </c>
      <c r="C27" s="681" t="s">
        <v>31</v>
      </c>
      <c r="D27" s="681" t="s">
        <v>16422</v>
      </c>
      <c r="E27" s="682" t="s">
        <v>16423</v>
      </c>
      <c r="F27" s="681"/>
      <c r="G27" s="680" t="s">
        <v>29</v>
      </c>
      <c r="H27" s="680" t="s">
        <v>16424</v>
      </c>
      <c r="I27" s="680"/>
      <c r="J27" s="680"/>
      <c r="K27" s="680">
        <v>809.0</v>
      </c>
      <c r="L27" s="681" t="s">
        <v>15211</v>
      </c>
      <c r="M27" s="680" t="s">
        <v>31</v>
      </c>
      <c r="N27" s="681" t="s">
        <v>16391</v>
      </c>
      <c r="O27" s="681">
        <v>1981.0</v>
      </c>
      <c r="P27" s="681" t="s">
        <v>388</v>
      </c>
      <c r="Q27" s="680">
        <v>1.0</v>
      </c>
      <c r="R27" s="679"/>
      <c r="S27" s="672"/>
      <c r="T27" s="672"/>
      <c r="U27" s="672"/>
      <c r="V27" s="672"/>
      <c r="W27" s="672"/>
      <c r="X27" s="672"/>
      <c r="Y27" s="672"/>
      <c r="Z27" s="672"/>
    </row>
    <row r="28" ht="15.75" customHeight="1">
      <c r="A28" s="672"/>
      <c r="B28" s="680">
        <v>23.0</v>
      </c>
      <c r="C28" s="681" t="s">
        <v>31</v>
      </c>
      <c r="D28" s="681" t="s">
        <v>16425</v>
      </c>
      <c r="E28" s="682" t="s">
        <v>16426</v>
      </c>
      <c r="F28" s="681"/>
      <c r="G28" s="680" t="s">
        <v>29</v>
      </c>
      <c r="H28" s="680" t="s">
        <v>1331</v>
      </c>
      <c r="I28" s="680"/>
      <c r="J28" s="680" t="s">
        <v>16427</v>
      </c>
      <c r="K28" s="680">
        <v>359.0</v>
      </c>
      <c r="L28" s="681" t="s">
        <v>15211</v>
      </c>
      <c r="M28" s="680" t="s">
        <v>31</v>
      </c>
      <c r="N28" s="681" t="s">
        <v>16428</v>
      </c>
      <c r="O28" s="681">
        <v>1969.0</v>
      </c>
      <c r="P28" s="681" t="s">
        <v>388</v>
      </c>
      <c r="Q28" s="680">
        <v>1.0</v>
      </c>
      <c r="R28" s="679"/>
      <c r="S28" s="672"/>
      <c r="T28" s="672"/>
      <c r="U28" s="672"/>
      <c r="V28" s="672"/>
      <c r="W28" s="672"/>
      <c r="X28" s="672"/>
      <c r="Y28" s="672"/>
      <c r="Z28" s="672"/>
    </row>
    <row r="29" ht="15.75" customHeight="1">
      <c r="A29" s="672"/>
      <c r="B29" s="680">
        <v>24.0</v>
      </c>
      <c r="C29" s="681" t="s">
        <v>16395</v>
      </c>
      <c r="D29" s="681" t="s">
        <v>16429</v>
      </c>
      <c r="E29" s="682" t="s">
        <v>16377</v>
      </c>
      <c r="F29" s="681" t="s">
        <v>15035</v>
      </c>
      <c r="G29" s="680" t="s">
        <v>29</v>
      </c>
      <c r="H29" s="680" t="s">
        <v>98</v>
      </c>
      <c r="I29" s="680"/>
      <c r="J29" s="680" t="s">
        <v>98</v>
      </c>
      <c r="K29" s="680">
        <v>635.0</v>
      </c>
      <c r="L29" s="681" t="s">
        <v>16417</v>
      </c>
      <c r="M29" s="680" t="s">
        <v>31</v>
      </c>
      <c r="N29" s="681" t="s">
        <v>16379</v>
      </c>
      <c r="O29" s="681">
        <v>1971.0</v>
      </c>
      <c r="P29" s="681" t="s">
        <v>388</v>
      </c>
      <c r="Q29" s="680">
        <v>2.0</v>
      </c>
      <c r="R29" s="679"/>
      <c r="S29" s="672"/>
      <c r="T29" s="672"/>
      <c r="U29" s="672"/>
      <c r="V29" s="672"/>
      <c r="W29" s="672"/>
      <c r="X29" s="672"/>
      <c r="Y29" s="672"/>
      <c r="Z29" s="672"/>
    </row>
    <row r="30" ht="15.75" customHeight="1">
      <c r="A30" s="672"/>
      <c r="B30" s="680">
        <v>25.0</v>
      </c>
      <c r="C30" s="681" t="s">
        <v>31</v>
      </c>
      <c r="D30" s="681" t="s">
        <v>16430</v>
      </c>
      <c r="E30" s="682" t="s">
        <v>16431</v>
      </c>
      <c r="F30" s="681"/>
      <c r="G30" s="680" t="s">
        <v>29</v>
      </c>
      <c r="H30" s="680" t="s">
        <v>15304</v>
      </c>
      <c r="I30" s="680"/>
      <c r="J30" s="680" t="s">
        <v>6431</v>
      </c>
      <c r="K30" s="680">
        <v>424.0</v>
      </c>
      <c r="L30" s="681" t="s">
        <v>16387</v>
      </c>
      <c r="M30" s="680" t="s">
        <v>31</v>
      </c>
      <c r="N30" s="681" t="s">
        <v>16391</v>
      </c>
      <c r="O30" s="681">
        <v>1988.0</v>
      </c>
      <c r="P30" s="681" t="s">
        <v>388</v>
      </c>
      <c r="Q30" s="680">
        <v>2.0</v>
      </c>
      <c r="R30" s="679"/>
      <c r="S30" s="672"/>
      <c r="T30" s="672"/>
      <c r="U30" s="672"/>
      <c r="V30" s="672"/>
      <c r="W30" s="672"/>
      <c r="X30" s="672"/>
      <c r="Y30" s="672"/>
      <c r="Z30" s="672"/>
    </row>
    <row r="31" ht="15.75" customHeight="1">
      <c r="A31" s="672"/>
      <c r="B31" s="680">
        <v>26.0</v>
      </c>
      <c r="C31" s="681" t="s">
        <v>31</v>
      </c>
      <c r="D31" s="680" t="s">
        <v>16432</v>
      </c>
      <c r="E31" s="686" t="s">
        <v>16433</v>
      </c>
      <c r="F31" s="681" t="s">
        <v>15035</v>
      </c>
      <c r="G31" s="680" t="s">
        <v>29</v>
      </c>
      <c r="H31" s="680" t="s">
        <v>98</v>
      </c>
      <c r="I31" s="680"/>
      <c r="J31" s="680" t="s">
        <v>16434</v>
      </c>
      <c r="K31" s="680">
        <v>793.0</v>
      </c>
      <c r="L31" s="681" t="s">
        <v>16387</v>
      </c>
      <c r="M31" s="680" t="s">
        <v>31</v>
      </c>
      <c r="N31" s="681" t="s">
        <v>31</v>
      </c>
      <c r="O31" s="681">
        <v>1989.0</v>
      </c>
      <c r="P31" s="681" t="s">
        <v>388</v>
      </c>
      <c r="Q31" s="680">
        <v>1.0</v>
      </c>
      <c r="R31" s="679"/>
      <c r="S31" s="672"/>
      <c r="T31" s="672"/>
      <c r="U31" s="672"/>
      <c r="V31" s="672"/>
      <c r="W31" s="672"/>
      <c r="X31" s="672"/>
      <c r="Y31" s="672"/>
      <c r="Z31" s="672"/>
    </row>
    <row r="32" ht="15.75" customHeight="1">
      <c r="A32" s="672"/>
      <c r="B32" s="680">
        <v>27.0</v>
      </c>
      <c r="C32" s="681" t="s">
        <v>4556</v>
      </c>
      <c r="D32" s="680" t="s">
        <v>31</v>
      </c>
      <c r="E32" s="682" t="s">
        <v>16435</v>
      </c>
      <c r="F32" s="681" t="s">
        <v>13058</v>
      </c>
      <c r="G32" s="680" t="s">
        <v>29</v>
      </c>
      <c r="H32" s="680" t="s">
        <v>15252</v>
      </c>
      <c r="I32" s="680"/>
      <c r="J32" s="680" t="s">
        <v>16436</v>
      </c>
      <c r="K32" s="680">
        <v>341.0</v>
      </c>
      <c r="L32" s="681" t="s">
        <v>16437</v>
      </c>
      <c r="M32" s="680" t="s">
        <v>31</v>
      </c>
      <c r="N32" s="681" t="s">
        <v>16438</v>
      </c>
      <c r="O32" s="681">
        <v>1987.0</v>
      </c>
      <c r="P32" s="681" t="s">
        <v>388</v>
      </c>
      <c r="Q32" s="680">
        <v>1.0</v>
      </c>
      <c r="R32" s="679"/>
      <c r="S32" s="672"/>
      <c r="T32" s="672"/>
      <c r="U32" s="672"/>
      <c r="V32" s="672"/>
      <c r="W32" s="672"/>
      <c r="X32" s="672"/>
      <c r="Y32" s="672"/>
      <c r="Z32" s="672"/>
    </row>
    <row r="33" ht="15.75" customHeight="1">
      <c r="A33" s="672"/>
      <c r="B33" s="680">
        <v>28.0</v>
      </c>
      <c r="C33" s="681" t="s">
        <v>4561</v>
      </c>
      <c r="D33" s="680" t="s">
        <v>31</v>
      </c>
      <c r="E33" s="682" t="s">
        <v>16439</v>
      </c>
      <c r="F33" s="681" t="s">
        <v>13058</v>
      </c>
      <c r="G33" s="680" t="s">
        <v>29</v>
      </c>
      <c r="H33" s="680" t="s">
        <v>15252</v>
      </c>
      <c r="I33" s="680"/>
      <c r="J33" s="680" t="s">
        <v>16436</v>
      </c>
      <c r="K33" s="680">
        <v>341.0</v>
      </c>
      <c r="L33" s="681" t="s">
        <v>16437</v>
      </c>
      <c r="M33" s="680" t="s">
        <v>31</v>
      </c>
      <c r="N33" s="681" t="s">
        <v>16440</v>
      </c>
      <c r="O33" s="681">
        <v>1988.0</v>
      </c>
      <c r="P33" s="681" t="s">
        <v>388</v>
      </c>
      <c r="Q33" s="680">
        <v>1.0</v>
      </c>
      <c r="R33" s="679"/>
      <c r="S33" s="672"/>
      <c r="T33" s="672"/>
      <c r="U33" s="672"/>
      <c r="V33" s="672"/>
      <c r="W33" s="672"/>
      <c r="X33" s="672"/>
      <c r="Y33" s="672"/>
      <c r="Z33" s="672"/>
    </row>
    <row r="34" ht="15.75" customHeight="1">
      <c r="A34" s="672"/>
      <c r="B34" s="680">
        <v>29.0</v>
      </c>
      <c r="C34" s="681" t="s">
        <v>16441</v>
      </c>
      <c r="D34" s="680" t="s">
        <v>16442</v>
      </c>
      <c r="E34" s="682" t="s">
        <v>16443</v>
      </c>
      <c r="F34" s="681" t="s">
        <v>15035</v>
      </c>
      <c r="G34" s="680" t="s">
        <v>29</v>
      </c>
      <c r="H34" s="680" t="s">
        <v>15304</v>
      </c>
      <c r="I34" s="680"/>
      <c r="J34" s="681" t="s">
        <v>16444</v>
      </c>
      <c r="K34" s="680">
        <v>342.0</v>
      </c>
      <c r="L34" s="681" t="s">
        <v>16445</v>
      </c>
      <c r="M34" s="680" t="s">
        <v>31</v>
      </c>
      <c r="N34" s="681" t="s">
        <v>13587</v>
      </c>
      <c r="O34" s="681">
        <v>2005.0</v>
      </c>
      <c r="P34" s="681" t="s">
        <v>388</v>
      </c>
      <c r="Q34" s="680">
        <v>1.0</v>
      </c>
      <c r="R34" s="679"/>
      <c r="S34" s="672"/>
      <c r="T34" s="672"/>
      <c r="U34" s="672"/>
      <c r="V34" s="672"/>
      <c r="W34" s="672"/>
      <c r="X34" s="672"/>
      <c r="Y34" s="672"/>
      <c r="Z34" s="672"/>
    </row>
    <row r="35" ht="15.75" customHeight="1">
      <c r="A35" s="672"/>
      <c r="B35" s="680">
        <v>30.0</v>
      </c>
      <c r="C35" s="681" t="s">
        <v>31</v>
      </c>
      <c r="D35" s="680" t="s">
        <v>16446</v>
      </c>
      <c r="E35" s="682" t="s">
        <v>16447</v>
      </c>
      <c r="F35" s="681"/>
      <c r="G35" s="680" t="s">
        <v>29</v>
      </c>
      <c r="H35" s="680" t="s">
        <v>1244</v>
      </c>
      <c r="I35" s="680"/>
      <c r="J35" s="680" t="s">
        <v>1244</v>
      </c>
      <c r="K35" s="680">
        <v>562.0</v>
      </c>
      <c r="L35" s="681" t="s">
        <v>16448</v>
      </c>
      <c r="M35" s="680" t="s">
        <v>31</v>
      </c>
      <c r="N35" s="681" t="s">
        <v>16449</v>
      </c>
      <c r="O35" s="681">
        <v>1977.0</v>
      </c>
      <c r="P35" s="681" t="s">
        <v>388</v>
      </c>
      <c r="Q35" s="680">
        <v>1.0</v>
      </c>
      <c r="R35" s="679"/>
      <c r="S35" s="672"/>
      <c r="T35" s="672"/>
      <c r="U35" s="672"/>
      <c r="V35" s="672"/>
      <c r="W35" s="672"/>
      <c r="X35" s="672"/>
      <c r="Y35" s="672"/>
      <c r="Z35" s="672"/>
    </row>
    <row r="36" ht="15.75" customHeight="1">
      <c r="A36" s="672"/>
      <c r="B36" s="680">
        <v>31.0</v>
      </c>
      <c r="C36" s="681" t="s">
        <v>31</v>
      </c>
      <c r="D36" s="680" t="s">
        <v>31</v>
      </c>
      <c r="E36" s="682" t="s">
        <v>16450</v>
      </c>
      <c r="F36" s="681"/>
      <c r="G36" s="680" t="s">
        <v>29</v>
      </c>
      <c r="H36" s="680" t="s">
        <v>38</v>
      </c>
      <c r="I36" s="680"/>
      <c r="J36" s="680" t="s">
        <v>16451</v>
      </c>
      <c r="K36" s="680">
        <v>162.0</v>
      </c>
      <c r="L36" s="680" t="s">
        <v>31</v>
      </c>
      <c r="M36" s="680" t="s">
        <v>31</v>
      </c>
      <c r="N36" s="681" t="s">
        <v>16452</v>
      </c>
      <c r="O36" s="681">
        <v>1967.0</v>
      </c>
      <c r="P36" s="681" t="s">
        <v>388</v>
      </c>
      <c r="Q36" s="680">
        <v>1.0</v>
      </c>
      <c r="R36" s="679"/>
      <c r="S36" s="672"/>
      <c r="T36" s="672"/>
      <c r="U36" s="672"/>
      <c r="V36" s="672"/>
      <c r="W36" s="672"/>
      <c r="X36" s="672"/>
      <c r="Y36" s="672"/>
      <c r="Z36" s="672"/>
    </row>
    <row r="37" ht="15.75" customHeight="1">
      <c r="A37" s="672"/>
      <c r="B37" s="680">
        <v>32.0</v>
      </c>
      <c r="C37" s="681" t="s">
        <v>31</v>
      </c>
      <c r="D37" s="687" t="s">
        <v>16453</v>
      </c>
      <c r="E37" s="682" t="s">
        <v>16454</v>
      </c>
      <c r="F37" s="681"/>
      <c r="G37" s="680" t="s">
        <v>29</v>
      </c>
      <c r="H37" s="680" t="s">
        <v>98</v>
      </c>
      <c r="I37" s="680"/>
      <c r="J37" s="680" t="s">
        <v>16455</v>
      </c>
      <c r="K37" s="680">
        <v>938.0</v>
      </c>
      <c r="L37" s="680" t="s">
        <v>31</v>
      </c>
      <c r="M37" s="680" t="s">
        <v>31</v>
      </c>
      <c r="N37" s="688" t="s">
        <v>16456</v>
      </c>
      <c r="O37" s="681">
        <v>1989.0</v>
      </c>
      <c r="P37" s="681" t="s">
        <v>388</v>
      </c>
      <c r="Q37" s="680">
        <v>1.0</v>
      </c>
      <c r="R37" s="679"/>
      <c r="S37" s="672"/>
      <c r="T37" s="672"/>
      <c r="U37" s="672"/>
      <c r="V37" s="672"/>
      <c r="W37" s="672"/>
      <c r="X37" s="672"/>
      <c r="Y37" s="672"/>
      <c r="Z37" s="672"/>
    </row>
    <row r="38" ht="15.75" customHeight="1">
      <c r="A38" s="672"/>
      <c r="B38" s="680">
        <v>33.0</v>
      </c>
      <c r="C38" s="681" t="s">
        <v>16457</v>
      </c>
      <c r="D38" s="680" t="s">
        <v>31</v>
      </c>
      <c r="E38" s="689" t="s">
        <v>16458</v>
      </c>
      <c r="F38" s="681"/>
      <c r="G38" s="680" t="s">
        <v>29</v>
      </c>
      <c r="H38" s="680" t="s">
        <v>58</v>
      </c>
      <c r="I38" s="680"/>
      <c r="J38" s="680" t="s">
        <v>2184</v>
      </c>
      <c r="K38" s="680">
        <v>501.0</v>
      </c>
      <c r="L38" s="680" t="s">
        <v>31</v>
      </c>
      <c r="M38" s="680" t="s">
        <v>31</v>
      </c>
      <c r="N38" s="681" t="s">
        <v>16459</v>
      </c>
      <c r="O38" s="681">
        <v>1995.0</v>
      </c>
      <c r="P38" s="681" t="s">
        <v>388</v>
      </c>
      <c r="Q38" s="680">
        <v>1.0</v>
      </c>
      <c r="R38" s="679"/>
      <c r="S38" s="672"/>
      <c r="T38" s="672"/>
      <c r="U38" s="672"/>
      <c r="V38" s="672"/>
      <c r="W38" s="672"/>
      <c r="X38" s="672"/>
      <c r="Y38" s="672"/>
      <c r="Z38" s="672"/>
    </row>
    <row r="39" ht="15.75" customHeight="1">
      <c r="A39" s="672"/>
      <c r="B39" s="680">
        <v>34.0</v>
      </c>
      <c r="C39" s="681" t="s">
        <v>31</v>
      </c>
      <c r="D39" s="680"/>
      <c r="E39" s="682" t="s">
        <v>16460</v>
      </c>
      <c r="F39" s="681" t="s">
        <v>13058</v>
      </c>
      <c r="G39" s="680" t="s">
        <v>29</v>
      </c>
      <c r="H39" s="680" t="s">
        <v>131</v>
      </c>
      <c r="I39" s="680"/>
      <c r="J39" s="680" t="s">
        <v>131</v>
      </c>
      <c r="K39" s="680">
        <v>1273.0</v>
      </c>
      <c r="L39" s="680" t="s">
        <v>31</v>
      </c>
      <c r="M39" s="680" t="s">
        <v>31</v>
      </c>
      <c r="N39" s="681" t="s">
        <v>16461</v>
      </c>
      <c r="O39" s="681">
        <v>1953.0</v>
      </c>
      <c r="P39" s="681" t="s">
        <v>388</v>
      </c>
      <c r="Q39" s="680">
        <v>1.0</v>
      </c>
      <c r="R39" s="679"/>
      <c r="S39" s="672"/>
      <c r="T39" s="672"/>
      <c r="U39" s="672"/>
      <c r="V39" s="672"/>
      <c r="W39" s="672"/>
      <c r="X39" s="672"/>
      <c r="Y39" s="672"/>
      <c r="Z39" s="672"/>
    </row>
    <row r="40" ht="15.75" customHeight="1">
      <c r="A40" s="672"/>
      <c r="B40" s="680">
        <v>35.0</v>
      </c>
      <c r="C40" s="681" t="s">
        <v>31</v>
      </c>
      <c r="D40" s="681" t="s">
        <v>16462</v>
      </c>
      <c r="E40" s="682" t="s">
        <v>16347</v>
      </c>
      <c r="F40" s="681" t="s">
        <v>15035</v>
      </c>
      <c r="G40" s="680" t="s">
        <v>29</v>
      </c>
      <c r="H40" s="680" t="s">
        <v>38</v>
      </c>
      <c r="I40" s="680"/>
      <c r="J40" s="680" t="s">
        <v>16348</v>
      </c>
      <c r="K40" s="680">
        <v>633.0</v>
      </c>
      <c r="L40" s="681" t="s">
        <v>16349</v>
      </c>
      <c r="M40" s="680" t="s">
        <v>31</v>
      </c>
      <c r="N40" s="681" t="s">
        <v>4207</v>
      </c>
      <c r="O40" s="681">
        <v>1974.0</v>
      </c>
      <c r="P40" s="681" t="s">
        <v>388</v>
      </c>
      <c r="Q40" s="680">
        <v>1.0</v>
      </c>
      <c r="R40" s="679"/>
      <c r="S40" s="672"/>
      <c r="T40" s="672"/>
      <c r="U40" s="672"/>
      <c r="V40" s="672"/>
      <c r="W40" s="672"/>
      <c r="X40" s="672"/>
      <c r="Y40" s="672"/>
      <c r="Z40" s="672"/>
    </row>
    <row r="41" ht="15.75" customHeight="1">
      <c r="A41" s="672"/>
      <c r="B41" s="680">
        <v>36.0</v>
      </c>
      <c r="C41" s="681" t="s">
        <v>31</v>
      </c>
      <c r="D41" s="687" t="s">
        <v>16463</v>
      </c>
      <c r="E41" s="682" t="s">
        <v>16464</v>
      </c>
      <c r="F41" s="681" t="s">
        <v>15035</v>
      </c>
      <c r="G41" s="680" t="s">
        <v>29</v>
      </c>
      <c r="H41" s="680" t="s">
        <v>657</v>
      </c>
      <c r="I41" s="680"/>
      <c r="J41" s="680" t="s">
        <v>11166</v>
      </c>
      <c r="K41" s="680">
        <v>1008.0</v>
      </c>
      <c r="L41" s="681" t="s">
        <v>16349</v>
      </c>
      <c r="M41" s="680" t="s">
        <v>31</v>
      </c>
      <c r="N41" s="681" t="s">
        <v>16465</v>
      </c>
      <c r="O41" s="681">
        <v>1976.0</v>
      </c>
      <c r="P41" s="681" t="s">
        <v>388</v>
      </c>
      <c r="Q41" s="680">
        <v>1.0</v>
      </c>
      <c r="R41" s="679"/>
      <c r="S41" s="672"/>
      <c r="T41" s="672"/>
      <c r="U41" s="672"/>
      <c r="V41" s="672"/>
      <c r="W41" s="672"/>
      <c r="X41" s="672"/>
      <c r="Y41" s="672"/>
      <c r="Z41" s="672"/>
    </row>
    <row r="42" ht="15.75" customHeight="1">
      <c r="A42" s="672"/>
      <c r="B42" s="680">
        <v>37.0</v>
      </c>
      <c r="C42" s="681" t="s">
        <v>16466</v>
      </c>
      <c r="D42" s="680" t="s">
        <v>16467</v>
      </c>
      <c r="E42" s="682" t="s">
        <v>16468</v>
      </c>
      <c r="F42" s="681" t="s">
        <v>13058</v>
      </c>
      <c r="G42" s="680" t="s">
        <v>29</v>
      </c>
      <c r="H42" s="680" t="s">
        <v>131</v>
      </c>
      <c r="I42" s="680"/>
      <c r="J42" s="681" t="s">
        <v>16410</v>
      </c>
      <c r="K42" s="680">
        <v>1429.0</v>
      </c>
      <c r="L42" s="681" t="s">
        <v>16469</v>
      </c>
      <c r="M42" s="680" t="s">
        <v>31</v>
      </c>
      <c r="N42" s="681" t="s">
        <v>16470</v>
      </c>
      <c r="O42" s="681">
        <v>1988.0</v>
      </c>
      <c r="P42" s="681" t="s">
        <v>388</v>
      </c>
      <c r="Q42" s="680">
        <v>1.0</v>
      </c>
      <c r="R42" s="679"/>
      <c r="S42" s="672"/>
      <c r="T42" s="672"/>
      <c r="U42" s="672"/>
      <c r="V42" s="672"/>
      <c r="W42" s="672"/>
      <c r="X42" s="672"/>
      <c r="Y42" s="672"/>
      <c r="Z42" s="672"/>
    </row>
    <row r="43" ht="15.75" customHeight="1">
      <c r="A43" s="672"/>
      <c r="B43" s="680">
        <v>38.0</v>
      </c>
      <c r="C43" s="681" t="s">
        <v>31</v>
      </c>
      <c r="D43" s="687" t="s">
        <v>16471</v>
      </c>
      <c r="E43" s="682" t="s">
        <v>16472</v>
      </c>
      <c r="F43" s="681" t="s">
        <v>13058</v>
      </c>
      <c r="G43" s="680" t="s">
        <v>29</v>
      </c>
      <c r="H43" s="680" t="s">
        <v>37</v>
      </c>
      <c r="I43" s="680"/>
      <c r="J43" s="680" t="s">
        <v>6431</v>
      </c>
      <c r="K43" s="680">
        <v>1342.0</v>
      </c>
      <c r="L43" s="681" t="s">
        <v>16473</v>
      </c>
      <c r="M43" s="680" t="s">
        <v>31</v>
      </c>
      <c r="N43" s="681" t="s">
        <v>16474</v>
      </c>
      <c r="O43" s="681">
        <v>1988.0</v>
      </c>
      <c r="P43" s="681" t="s">
        <v>388</v>
      </c>
      <c r="Q43" s="680">
        <v>1.0</v>
      </c>
      <c r="R43" s="679"/>
      <c r="S43" s="672"/>
      <c r="T43" s="672"/>
      <c r="U43" s="672"/>
      <c r="V43" s="672"/>
      <c r="W43" s="672"/>
      <c r="X43" s="672"/>
      <c r="Y43" s="672"/>
      <c r="Z43" s="672"/>
    </row>
    <row r="44" ht="15.75" customHeight="1">
      <c r="A44" s="672"/>
      <c r="B44" s="676">
        <v>39.0</v>
      </c>
      <c r="C44" s="677" t="s">
        <v>31</v>
      </c>
      <c r="D44" s="677" t="s">
        <v>16475</v>
      </c>
      <c r="E44" s="678" t="s">
        <v>16476</v>
      </c>
      <c r="F44" s="677" t="s">
        <v>13058</v>
      </c>
      <c r="G44" s="676" t="s">
        <v>29</v>
      </c>
      <c r="H44" s="676" t="s">
        <v>16477</v>
      </c>
      <c r="I44" s="676"/>
      <c r="J44" s="676" t="s">
        <v>16478</v>
      </c>
      <c r="K44" s="676">
        <v>1214.0</v>
      </c>
      <c r="L44" s="676" t="s">
        <v>31</v>
      </c>
      <c r="M44" s="676" t="s">
        <v>31</v>
      </c>
      <c r="N44" s="677" t="s">
        <v>16479</v>
      </c>
      <c r="O44" s="677">
        <v>1978.0</v>
      </c>
      <c r="P44" s="677" t="s">
        <v>388</v>
      </c>
      <c r="Q44" s="676">
        <v>3.0</v>
      </c>
      <c r="R44" s="679"/>
      <c r="S44" s="672"/>
      <c r="T44" s="672"/>
      <c r="U44" s="672"/>
      <c r="V44" s="672"/>
      <c r="W44" s="672"/>
      <c r="X44" s="672"/>
      <c r="Y44" s="672"/>
      <c r="Z44" s="672"/>
    </row>
    <row r="45" ht="15.75" customHeight="1">
      <c r="A45" s="672"/>
      <c r="B45" s="680">
        <v>40.0</v>
      </c>
      <c r="C45" s="681" t="s">
        <v>16480</v>
      </c>
      <c r="D45" s="687" t="s">
        <v>16481</v>
      </c>
      <c r="E45" s="682" t="s">
        <v>16482</v>
      </c>
      <c r="F45" s="681" t="s">
        <v>13058</v>
      </c>
      <c r="G45" s="680" t="s">
        <v>29</v>
      </c>
      <c r="H45" s="687" t="s">
        <v>16483</v>
      </c>
      <c r="I45" s="680"/>
      <c r="J45" s="680" t="s">
        <v>16484</v>
      </c>
      <c r="K45" s="680">
        <v>1079.0</v>
      </c>
      <c r="L45" s="681" t="s">
        <v>16469</v>
      </c>
      <c r="M45" s="680" t="s">
        <v>31</v>
      </c>
      <c r="N45" s="681" t="s">
        <v>16485</v>
      </c>
      <c r="O45" s="681">
        <v>1989.0</v>
      </c>
      <c r="P45" s="681" t="s">
        <v>388</v>
      </c>
      <c r="Q45" s="680">
        <v>1.0</v>
      </c>
      <c r="R45" s="679"/>
      <c r="S45" s="672"/>
      <c r="T45" s="672"/>
      <c r="U45" s="672"/>
      <c r="V45" s="672"/>
      <c r="W45" s="672"/>
      <c r="X45" s="672"/>
      <c r="Y45" s="672"/>
      <c r="Z45" s="672"/>
    </row>
    <row r="46" ht="15.75" customHeight="1">
      <c r="A46" s="672"/>
      <c r="B46" s="680">
        <v>41.0</v>
      </c>
      <c r="C46" s="681" t="s">
        <v>16486</v>
      </c>
      <c r="D46" s="681" t="s">
        <v>16487</v>
      </c>
      <c r="E46" s="682" t="s">
        <v>16488</v>
      </c>
      <c r="F46" s="681" t="s">
        <v>15035</v>
      </c>
      <c r="G46" s="680" t="s">
        <v>29</v>
      </c>
      <c r="H46" s="680" t="s">
        <v>131</v>
      </c>
      <c r="I46" s="680"/>
      <c r="J46" s="680" t="s">
        <v>131</v>
      </c>
      <c r="K46" s="680">
        <v>824.0</v>
      </c>
      <c r="L46" s="680" t="s">
        <v>31</v>
      </c>
      <c r="M46" s="680" t="s">
        <v>31</v>
      </c>
      <c r="N46" s="681" t="s">
        <v>16470</v>
      </c>
      <c r="O46" s="681">
        <v>1986.0</v>
      </c>
      <c r="P46" s="681" t="s">
        <v>388</v>
      </c>
      <c r="Q46" s="680">
        <v>1.0</v>
      </c>
      <c r="R46" s="679"/>
      <c r="S46" s="672"/>
      <c r="T46" s="672"/>
      <c r="U46" s="672"/>
      <c r="V46" s="672"/>
      <c r="W46" s="672"/>
      <c r="X46" s="672"/>
      <c r="Y46" s="672"/>
      <c r="Z46" s="672"/>
    </row>
    <row r="47" ht="15.75" customHeight="1">
      <c r="A47" s="672"/>
      <c r="B47" s="680">
        <v>42.0</v>
      </c>
      <c r="C47" s="681" t="s">
        <v>16489</v>
      </c>
      <c r="D47" s="681" t="s">
        <v>16490</v>
      </c>
      <c r="E47" s="682" t="s">
        <v>16491</v>
      </c>
      <c r="F47" s="681" t="s">
        <v>15035</v>
      </c>
      <c r="G47" s="680" t="s">
        <v>29</v>
      </c>
      <c r="H47" s="680" t="s">
        <v>37</v>
      </c>
      <c r="I47" s="680"/>
      <c r="J47" s="680" t="s">
        <v>38</v>
      </c>
      <c r="K47" s="680">
        <v>307.0</v>
      </c>
      <c r="L47" s="681" t="s">
        <v>16492</v>
      </c>
      <c r="M47" s="680" t="s">
        <v>31</v>
      </c>
      <c r="N47" s="681" t="s">
        <v>3233</v>
      </c>
      <c r="O47" s="681">
        <v>1992.0</v>
      </c>
      <c r="P47" s="681" t="s">
        <v>388</v>
      </c>
      <c r="Q47" s="680">
        <v>1.0</v>
      </c>
      <c r="R47" s="679"/>
      <c r="S47" s="672"/>
      <c r="T47" s="672"/>
      <c r="U47" s="672"/>
      <c r="V47" s="672"/>
      <c r="W47" s="672"/>
      <c r="X47" s="672"/>
      <c r="Y47" s="672"/>
      <c r="Z47" s="672"/>
    </row>
    <row r="48" ht="15.75" customHeight="1">
      <c r="A48" s="672"/>
      <c r="B48" s="680">
        <v>43.0</v>
      </c>
      <c r="C48" s="681" t="s">
        <v>16493</v>
      </c>
      <c r="D48" s="681" t="s">
        <v>15868</v>
      </c>
      <c r="E48" s="682" t="s">
        <v>16494</v>
      </c>
      <c r="F48" s="681" t="s">
        <v>15035</v>
      </c>
      <c r="G48" s="680" t="s">
        <v>29</v>
      </c>
      <c r="H48" s="681" t="s">
        <v>6354</v>
      </c>
      <c r="I48" s="680"/>
      <c r="J48" s="680" t="s">
        <v>38</v>
      </c>
      <c r="K48" s="680">
        <v>755.0</v>
      </c>
      <c r="L48" s="681" t="s">
        <v>16495</v>
      </c>
      <c r="M48" s="680" t="s">
        <v>31</v>
      </c>
      <c r="N48" s="681" t="s">
        <v>16496</v>
      </c>
      <c r="O48" s="681">
        <v>1996.0</v>
      </c>
      <c r="P48" s="681" t="s">
        <v>388</v>
      </c>
      <c r="Q48" s="680">
        <v>1.0</v>
      </c>
      <c r="R48" s="679"/>
      <c r="S48" s="672"/>
      <c r="T48" s="672"/>
      <c r="U48" s="672"/>
      <c r="V48" s="672"/>
      <c r="W48" s="672"/>
      <c r="X48" s="672"/>
      <c r="Y48" s="672"/>
      <c r="Z48" s="672"/>
    </row>
    <row r="49" ht="15.75" customHeight="1">
      <c r="A49" s="672"/>
      <c r="B49" s="680">
        <v>44.0</v>
      </c>
      <c r="C49" s="681" t="s">
        <v>15254</v>
      </c>
      <c r="D49" s="680"/>
      <c r="E49" s="682" t="s">
        <v>16497</v>
      </c>
      <c r="F49" s="681" t="s">
        <v>13058</v>
      </c>
      <c r="G49" s="680" t="s">
        <v>29</v>
      </c>
      <c r="H49" s="681" t="s">
        <v>15252</v>
      </c>
      <c r="I49" s="680"/>
      <c r="J49" s="680" t="s">
        <v>16436</v>
      </c>
      <c r="K49" s="680">
        <f>1508+16</f>
        <v>1524</v>
      </c>
      <c r="L49" s="681" t="s">
        <v>16498</v>
      </c>
      <c r="M49" s="680" t="s">
        <v>31</v>
      </c>
      <c r="N49" s="681" t="s">
        <v>16499</v>
      </c>
      <c r="O49" s="681">
        <v>2011.0</v>
      </c>
      <c r="P49" s="681" t="s">
        <v>388</v>
      </c>
      <c r="Q49" s="680">
        <v>1.0</v>
      </c>
      <c r="R49" s="679"/>
      <c r="S49" s="672"/>
      <c r="T49" s="672"/>
      <c r="U49" s="672"/>
      <c r="V49" s="672"/>
      <c r="W49" s="672"/>
      <c r="X49" s="672"/>
      <c r="Y49" s="672"/>
      <c r="Z49" s="672"/>
    </row>
    <row r="50" ht="15.75" customHeight="1">
      <c r="A50" s="672"/>
      <c r="B50" s="680">
        <v>45.0</v>
      </c>
      <c r="C50" s="681" t="s">
        <v>15250</v>
      </c>
      <c r="D50" s="681"/>
      <c r="E50" s="682" t="s">
        <v>16500</v>
      </c>
      <c r="F50" s="681" t="s">
        <v>13058</v>
      </c>
      <c r="G50" s="680" t="s">
        <v>29</v>
      </c>
      <c r="H50" s="681" t="s">
        <v>15252</v>
      </c>
      <c r="I50" s="680"/>
      <c r="J50" s="680" t="s">
        <v>16436</v>
      </c>
      <c r="K50" s="680"/>
      <c r="L50" s="681" t="s">
        <v>16498</v>
      </c>
      <c r="M50" s="680" t="s">
        <v>31</v>
      </c>
      <c r="N50" s="681" t="s">
        <v>16499</v>
      </c>
      <c r="O50" s="681">
        <v>2011.0</v>
      </c>
      <c r="P50" s="681" t="s">
        <v>388</v>
      </c>
      <c r="Q50" s="680">
        <v>1.0</v>
      </c>
      <c r="R50" s="679"/>
      <c r="S50" s="672"/>
      <c r="T50" s="672"/>
      <c r="U50" s="672"/>
      <c r="V50" s="672"/>
      <c r="W50" s="672"/>
      <c r="X50" s="672"/>
      <c r="Y50" s="672"/>
      <c r="Z50" s="672"/>
    </row>
    <row r="51" ht="15.75" customHeight="1">
      <c r="A51" s="672"/>
      <c r="B51" s="680">
        <v>46.0</v>
      </c>
      <c r="C51" s="690"/>
      <c r="D51" s="680"/>
      <c r="E51" s="682" t="s">
        <v>15257</v>
      </c>
      <c r="F51" s="681"/>
      <c r="G51" s="681" t="s">
        <v>29</v>
      </c>
      <c r="H51" s="681" t="s">
        <v>98</v>
      </c>
      <c r="I51" s="681"/>
      <c r="J51" s="681" t="s">
        <v>98</v>
      </c>
      <c r="K51" s="681">
        <v>2013.0</v>
      </c>
      <c r="L51" s="681" t="s">
        <v>31</v>
      </c>
      <c r="M51" s="680" t="s">
        <v>31</v>
      </c>
      <c r="N51" s="681" t="s">
        <v>100</v>
      </c>
      <c r="O51" s="680">
        <v>2013.0</v>
      </c>
      <c r="P51" s="681" t="s">
        <v>388</v>
      </c>
      <c r="Q51" s="680">
        <v>1.0</v>
      </c>
      <c r="R51" s="679"/>
      <c r="S51" s="672"/>
      <c r="T51" s="672"/>
      <c r="U51" s="672"/>
      <c r="V51" s="672"/>
      <c r="W51" s="672"/>
      <c r="X51" s="672"/>
      <c r="Y51" s="672"/>
      <c r="Z51" s="672"/>
    </row>
    <row r="52" ht="15.75" customHeight="1">
      <c r="A52" s="672"/>
      <c r="B52" s="680">
        <v>47.0</v>
      </c>
      <c r="C52" s="690" t="s">
        <v>16501</v>
      </c>
      <c r="D52" s="680" t="s">
        <v>16502</v>
      </c>
      <c r="E52" s="682" t="s">
        <v>16503</v>
      </c>
      <c r="F52" s="681" t="s">
        <v>13058</v>
      </c>
      <c r="G52" s="681" t="s">
        <v>29</v>
      </c>
      <c r="H52" s="681" t="s">
        <v>16504</v>
      </c>
      <c r="I52" s="681"/>
      <c r="J52" s="681" t="s">
        <v>38</v>
      </c>
      <c r="K52" s="681">
        <v>1626.0</v>
      </c>
      <c r="L52" s="681"/>
      <c r="M52" s="680"/>
      <c r="N52" s="681" t="s">
        <v>3841</v>
      </c>
      <c r="O52" s="680">
        <v>1985.0</v>
      </c>
      <c r="P52" s="681" t="s">
        <v>388</v>
      </c>
      <c r="Q52" s="680">
        <v>1.0</v>
      </c>
      <c r="R52" s="679"/>
      <c r="S52" s="672"/>
      <c r="T52" s="672"/>
      <c r="U52" s="672"/>
      <c r="V52" s="672"/>
      <c r="W52" s="672"/>
      <c r="X52" s="672"/>
      <c r="Y52" s="672"/>
      <c r="Z52" s="672"/>
    </row>
    <row r="53" ht="15.75" customHeight="1">
      <c r="A53" s="672"/>
      <c r="B53" s="680">
        <v>48.0</v>
      </c>
      <c r="C53" s="690"/>
      <c r="D53" s="680" t="s">
        <v>16505</v>
      </c>
      <c r="E53" s="682" t="s">
        <v>16506</v>
      </c>
      <c r="F53" s="681" t="s">
        <v>13058</v>
      </c>
      <c r="G53" s="681" t="s">
        <v>29</v>
      </c>
      <c r="H53" s="681" t="s">
        <v>16507</v>
      </c>
      <c r="I53" s="681"/>
      <c r="J53" s="681" t="s">
        <v>16507</v>
      </c>
      <c r="K53" s="681">
        <v>816.0</v>
      </c>
      <c r="L53" s="681"/>
      <c r="M53" s="680"/>
      <c r="N53" s="681" t="s">
        <v>16508</v>
      </c>
      <c r="O53" s="680">
        <v>2012.0</v>
      </c>
      <c r="P53" s="681" t="s">
        <v>388</v>
      </c>
      <c r="Q53" s="680">
        <v>1.0</v>
      </c>
      <c r="R53" s="679"/>
      <c r="S53" s="672"/>
      <c r="T53" s="672"/>
      <c r="U53" s="672"/>
      <c r="V53" s="672"/>
      <c r="W53" s="672"/>
      <c r="X53" s="672"/>
      <c r="Y53" s="672"/>
      <c r="Z53" s="672"/>
    </row>
    <row r="54" ht="15.75" customHeight="1">
      <c r="A54" s="672"/>
      <c r="B54" s="680">
        <v>49.0</v>
      </c>
      <c r="C54" s="690" t="s">
        <v>31</v>
      </c>
      <c r="D54" s="680" t="s">
        <v>16509</v>
      </c>
      <c r="E54" s="682" t="s">
        <v>16510</v>
      </c>
      <c r="F54" s="681" t="s">
        <v>12445</v>
      </c>
      <c r="G54" s="681" t="s">
        <v>29</v>
      </c>
      <c r="H54" s="681" t="s">
        <v>15304</v>
      </c>
      <c r="I54" s="681"/>
      <c r="J54" s="681" t="s">
        <v>15304</v>
      </c>
      <c r="K54" s="681">
        <f>581+15+6</f>
        <v>602</v>
      </c>
      <c r="L54" s="681"/>
      <c r="M54" s="680"/>
      <c r="N54" s="681" t="s">
        <v>13587</v>
      </c>
      <c r="O54" s="680">
        <v>1988.0</v>
      </c>
      <c r="P54" s="681" t="s">
        <v>388</v>
      </c>
      <c r="Q54" s="680">
        <v>1.0</v>
      </c>
      <c r="R54" s="679"/>
      <c r="S54" s="672"/>
      <c r="T54" s="672"/>
      <c r="U54" s="672"/>
      <c r="V54" s="672"/>
      <c r="W54" s="672"/>
      <c r="X54" s="672"/>
      <c r="Y54" s="672"/>
      <c r="Z54" s="672"/>
    </row>
    <row r="55" ht="15.75" customHeight="1">
      <c r="A55" s="672"/>
      <c r="B55" s="680">
        <v>50.0</v>
      </c>
      <c r="C55" s="691"/>
      <c r="D55" s="692" t="s">
        <v>16511</v>
      </c>
      <c r="E55" s="678" t="s">
        <v>16512</v>
      </c>
      <c r="F55" s="677" t="s">
        <v>12445</v>
      </c>
      <c r="G55" s="677" t="s">
        <v>29</v>
      </c>
      <c r="H55" s="677" t="s">
        <v>37</v>
      </c>
      <c r="I55" s="677"/>
      <c r="J55" s="677" t="s">
        <v>38</v>
      </c>
      <c r="K55" s="677">
        <f>536+6</f>
        <v>542</v>
      </c>
      <c r="L55" s="677"/>
      <c r="M55" s="676"/>
      <c r="N55" s="677" t="s">
        <v>16513</v>
      </c>
      <c r="O55" s="676">
        <v>1995.0</v>
      </c>
      <c r="P55" s="677" t="s">
        <v>388</v>
      </c>
      <c r="Q55" s="676">
        <v>1.0</v>
      </c>
      <c r="R55" s="679"/>
      <c r="S55" s="672"/>
      <c r="T55" s="672"/>
      <c r="U55" s="672"/>
      <c r="V55" s="672"/>
      <c r="W55" s="672"/>
      <c r="X55" s="672"/>
      <c r="Y55" s="672"/>
      <c r="Z55" s="672"/>
    </row>
    <row r="56" ht="15.75" customHeight="1">
      <c r="A56" s="672"/>
      <c r="B56" s="680">
        <v>51.0</v>
      </c>
      <c r="C56" s="692" t="s">
        <v>16514</v>
      </c>
      <c r="D56" s="676" t="s">
        <v>16515</v>
      </c>
      <c r="E56" s="678" t="s">
        <v>16516</v>
      </c>
      <c r="F56" s="677" t="s">
        <v>28</v>
      </c>
      <c r="G56" s="677" t="s">
        <v>29</v>
      </c>
      <c r="H56" s="677" t="s">
        <v>11166</v>
      </c>
      <c r="I56" s="677"/>
      <c r="J56" s="677" t="s">
        <v>11166</v>
      </c>
      <c r="K56" s="677"/>
      <c r="L56" s="677"/>
      <c r="M56" s="676"/>
      <c r="N56" s="677" t="s">
        <v>16517</v>
      </c>
      <c r="O56" s="676">
        <v>2000.0</v>
      </c>
      <c r="P56" s="677" t="s">
        <v>388</v>
      </c>
      <c r="Q56" s="676">
        <v>1.0</v>
      </c>
      <c r="R56" s="679"/>
      <c r="S56" s="672"/>
      <c r="T56" s="672"/>
      <c r="U56" s="672"/>
      <c r="V56" s="672"/>
      <c r="W56" s="672"/>
      <c r="X56" s="672"/>
      <c r="Y56" s="672"/>
      <c r="Z56" s="672"/>
    </row>
    <row r="57" ht="15.75" customHeight="1">
      <c r="A57" s="672"/>
      <c r="B57" s="680">
        <v>52.0</v>
      </c>
      <c r="C57" s="691"/>
      <c r="D57" s="692" t="s">
        <v>16518</v>
      </c>
      <c r="E57" s="676" t="s">
        <v>16519</v>
      </c>
      <c r="F57" s="677" t="s">
        <v>12445</v>
      </c>
      <c r="G57" s="677" t="s">
        <v>29</v>
      </c>
      <c r="H57" s="677" t="s">
        <v>2417</v>
      </c>
      <c r="I57" s="677"/>
      <c r="J57" s="677" t="s">
        <v>2417</v>
      </c>
      <c r="K57" s="677">
        <f>629+8</f>
        <v>637</v>
      </c>
      <c r="L57" s="677"/>
      <c r="M57" s="676"/>
      <c r="N57" s="677" t="s">
        <v>16520</v>
      </c>
      <c r="O57" s="676">
        <v>1974.0</v>
      </c>
      <c r="P57" s="677" t="s">
        <v>388</v>
      </c>
      <c r="Q57" s="676">
        <v>1.0</v>
      </c>
      <c r="R57" s="679"/>
      <c r="S57" s="672"/>
      <c r="T57" s="672"/>
      <c r="U57" s="672"/>
      <c r="V57" s="672"/>
      <c r="W57" s="672"/>
      <c r="X57" s="672"/>
      <c r="Y57" s="672"/>
      <c r="Z57" s="672"/>
    </row>
    <row r="58" ht="15.75" customHeight="1">
      <c r="A58" s="672"/>
      <c r="B58" s="680">
        <v>53.0</v>
      </c>
      <c r="C58" s="691"/>
      <c r="D58" s="692" t="s">
        <v>16521</v>
      </c>
      <c r="E58" s="678" t="s">
        <v>16522</v>
      </c>
      <c r="F58" s="677" t="s">
        <v>12445</v>
      </c>
      <c r="G58" s="677" t="s">
        <v>29</v>
      </c>
      <c r="H58" s="677" t="s">
        <v>2417</v>
      </c>
      <c r="I58" s="677"/>
      <c r="J58" s="677" t="s">
        <v>2417</v>
      </c>
      <c r="K58" s="677">
        <f>697+6</f>
        <v>703</v>
      </c>
      <c r="L58" s="677"/>
      <c r="M58" s="676"/>
      <c r="N58" s="677" t="s">
        <v>16523</v>
      </c>
      <c r="O58" s="676"/>
      <c r="P58" s="677" t="s">
        <v>388</v>
      </c>
      <c r="Q58" s="676">
        <v>1.0</v>
      </c>
      <c r="R58" s="679"/>
      <c r="S58" s="672"/>
      <c r="T58" s="672"/>
      <c r="U58" s="672"/>
      <c r="V58" s="672"/>
      <c r="W58" s="672"/>
      <c r="X58" s="672"/>
      <c r="Y58" s="672"/>
      <c r="Z58" s="672"/>
    </row>
    <row r="59" ht="15.75" customHeight="1">
      <c r="A59" s="672"/>
      <c r="B59" s="680"/>
      <c r="C59" s="691"/>
      <c r="D59" s="692"/>
      <c r="E59" s="678"/>
      <c r="F59" s="677"/>
      <c r="G59" s="677"/>
      <c r="H59" s="677"/>
      <c r="I59" s="677"/>
      <c r="J59" s="677"/>
      <c r="K59" s="677"/>
      <c r="L59" s="677"/>
      <c r="M59" s="676"/>
      <c r="N59" s="677"/>
      <c r="O59" s="676"/>
      <c r="P59" s="677"/>
      <c r="Q59" s="676"/>
      <c r="R59" s="679"/>
      <c r="S59" s="672"/>
      <c r="T59" s="672"/>
      <c r="U59" s="672"/>
      <c r="V59" s="672"/>
      <c r="W59" s="672"/>
      <c r="X59" s="672"/>
      <c r="Y59" s="672"/>
      <c r="Z59" s="672"/>
    </row>
    <row r="60" ht="15.75" customHeight="1">
      <c r="A60" s="672"/>
      <c r="B60" s="676">
        <v>54.0</v>
      </c>
      <c r="C60" s="691"/>
      <c r="D60" s="692" t="s">
        <v>16524</v>
      </c>
      <c r="E60" s="678" t="s">
        <v>16525</v>
      </c>
      <c r="F60" s="677" t="s">
        <v>16526</v>
      </c>
      <c r="G60" s="677" t="s">
        <v>29</v>
      </c>
      <c r="H60" s="677" t="s">
        <v>131</v>
      </c>
      <c r="I60" s="677"/>
      <c r="J60" s="677" t="s">
        <v>131</v>
      </c>
      <c r="K60" s="677">
        <v>320.0</v>
      </c>
      <c r="L60" s="677"/>
      <c r="M60" s="676"/>
      <c r="N60" s="677" t="s">
        <v>16527</v>
      </c>
      <c r="O60" s="676">
        <v>1968.0</v>
      </c>
      <c r="P60" s="677" t="s">
        <v>388</v>
      </c>
      <c r="Q60" s="676">
        <v>1.0</v>
      </c>
      <c r="R60" s="679"/>
      <c r="S60" s="672"/>
      <c r="T60" s="672"/>
      <c r="U60" s="672"/>
      <c r="V60" s="672"/>
      <c r="W60" s="672"/>
      <c r="X60" s="672"/>
      <c r="Y60" s="672"/>
      <c r="Z60" s="672"/>
    </row>
    <row r="61" ht="15.75" customHeight="1">
      <c r="A61" s="672"/>
      <c r="B61" s="676">
        <v>55.0</v>
      </c>
      <c r="C61" s="691"/>
      <c r="D61" s="692" t="s">
        <v>16528</v>
      </c>
      <c r="E61" s="678" t="s">
        <v>16529</v>
      </c>
      <c r="F61" s="677" t="s">
        <v>12445</v>
      </c>
      <c r="G61" s="677" t="s">
        <v>29</v>
      </c>
      <c r="H61" s="677" t="s">
        <v>6431</v>
      </c>
      <c r="I61" s="677"/>
      <c r="J61" s="677" t="s">
        <v>6431</v>
      </c>
      <c r="K61" s="677">
        <f>382</f>
        <v>382</v>
      </c>
      <c r="L61" s="677"/>
      <c r="M61" s="676"/>
      <c r="N61" s="677" t="s">
        <v>16530</v>
      </c>
      <c r="O61" s="676">
        <v>1938.0</v>
      </c>
      <c r="P61" s="677" t="s">
        <v>388</v>
      </c>
      <c r="Q61" s="676">
        <v>1.0</v>
      </c>
      <c r="R61" s="679"/>
      <c r="S61" s="672"/>
      <c r="T61" s="672"/>
      <c r="U61" s="672"/>
      <c r="V61" s="672"/>
      <c r="W61" s="672"/>
      <c r="X61" s="672"/>
      <c r="Y61" s="672"/>
      <c r="Z61" s="672"/>
    </row>
    <row r="62" ht="15.75" customHeight="1">
      <c r="A62" s="693"/>
      <c r="B62" s="694">
        <v>56.0</v>
      </c>
      <c r="C62" s="695" t="s">
        <v>16531</v>
      </c>
      <c r="D62" s="696" t="s">
        <v>16532</v>
      </c>
      <c r="E62" s="697" t="s">
        <v>16533</v>
      </c>
      <c r="F62" s="698" t="s">
        <v>12445</v>
      </c>
      <c r="G62" s="698" t="s">
        <v>29</v>
      </c>
      <c r="H62" s="698" t="s">
        <v>15304</v>
      </c>
      <c r="I62" s="698"/>
      <c r="J62" s="698" t="s">
        <v>15304</v>
      </c>
      <c r="K62" s="698">
        <f>32</f>
        <v>32</v>
      </c>
      <c r="L62" s="698"/>
      <c r="M62" s="694"/>
      <c r="N62" s="698" t="s">
        <v>13587</v>
      </c>
      <c r="O62" s="694"/>
      <c r="P62" s="698"/>
      <c r="Q62" s="694">
        <v>1.0</v>
      </c>
      <c r="R62" s="699">
        <v>1.0</v>
      </c>
      <c r="S62" s="700"/>
      <c r="T62" s="693"/>
      <c r="U62" s="693"/>
      <c r="V62" s="693"/>
      <c r="W62" s="693"/>
      <c r="X62" s="693"/>
      <c r="Y62" s="693"/>
      <c r="Z62" s="693"/>
    </row>
    <row r="63" ht="15.75" customHeight="1">
      <c r="A63" s="672"/>
      <c r="B63" s="676">
        <v>57.0</v>
      </c>
      <c r="C63" s="691" t="s">
        <v>16534</v>
      </c>
      <c r="D63" s="692" t="s">
        <v>16535</v>
      </c>
      <c r="E63" s="678" t="s">
        <v>16536</v>
      </c>
      <c r="F63" s="677" t="s">
        <v>16526</v>
      </c>
      <c r="G63" s="677" t="s">
        <v>29</v>
      </c>
      <c r="H63" s="677" t="s">
        <v>15225</v>
      </c>
      <c r="I63" s="677"/>
      <c r="J63" s="677" t="s">
        <v>131</v>
      </c>
      <c r="K63" s="677">
        <f>64</f>
        <v>64</v>
      </c>
      <c r="L63" s="677"/>
      <c r="M63" s="676"/>
      <c r="N63" s="677" t="s">
        <v>16537</v>
      </c>
      <c r="O63" s="676">
        <v>1979.0</v>
      </c>
      <c r="P63" s="677" t="s">
        <v>388</v>
      </c>
      <c r="Q63" s="676">
        <v>1.0</v>
      </c>
      <c r="R63" s="679"/>
      <c r="S63" s="672"/>
      <c r="T63" s="672"/>
      <c r="U63" s="672"/>
      <c r="V63" s="672"/>
      <c r="W63" s="672"/>
      <c r="X63" s="672"/>
      <c r="Y63" s="672"/>
      <c r="Z63" s="672"/>
    </row>
    <row r="64" ht="15.75" customHeight="1">
      <c r="A64" s="672"/>
      <c r="B64" s="701" t="s">
        <v>16538</v>
      </c>
      <c r="C64" s="691"/>
      <c r="D64" s="692" t="s">
        <v>16539</v>
      </c>
      <c r="E64" s="678" t="s">
        <v>16540</v>
      </c>
      <c r="F64" s="677" t="s">
        <v>13058</v>
      </c>
      <c r="G64" s="677" t="s">
        <v>29</v>
      </c>
      <c r="H64" s="677" t="s">
        <v>6431</v>
      </c>
      <c r="I64" s="677"/>
      <c r="J64" s="677" t="s">
        <v>6431</v>
      </c>
      <c r="K64" s="677">
        <f>439+20+14</f>
        <v>473</v>
      </c>
      <c r="L64" s="677"/>
      <c r="M64" s="676"/>
      <c r="N64" s="677" t="s">
        <v>16332</v>
      </c>
      <c r="O64" s="676">
        <v>1986.0</v>
      </c>
      <c r="P64" s="677" t="s">
        <v>388</v>
      </c>
      <c r="Q64" s="676">
        <v>1.0</v>
      </c>
      <c r="R64" s="679"/>
      <c r="S64" s="672"/>
      <c r="T64" s="672"/>
      <c r="U64" s="672"/>
      <c r="V64" s="672"/>
      <c r="W64" s="672"/>
      <c r="X64" s="672"/>
      <c r="Y64" s="672"/>
      <c r="Z64" s="672"/>
    </row>
    <row r="65" ht="15.75" customHeight="1">
      <c r="A65" s="672"/>
      <c r="B65" s="676">
        <v>58.0</v>
      </c>
      <c r="C65" s="691"/>
      <c r="D65" s="692" t="s">
        <v>16541</v>
      </c>
      <c r="E65" s="702" t="s">
        <v>16542</v>
      </c>
      <c r="F65" s="677" t="s">
        <v>13058</v>
      </c>
      <c r="G65" s="677" t="s">
        <v>29</v>
      </c>
      <c r="H65" s="677" t="s">
        <v>16414</v>
      </c>
      <c r="I65" s="677"/>
      <c r="J65" s="677" t="s">
        <v>16414</v>
      </c>
      <c r="K65" s="677">
        <f>292+917+4</f>
        <v>1213</v>
      </c>
      <c r="L65" s="677"/>
      <c r="M65" s="676"/>
      <c r="N65" s="677" t="s">
        <v>16543</v>
      </c>
      <c r="O65" s="676">
        <v>1968.0</v>
      </c>
      <c r="P65" s="677" t="s">
        <v>388</v>
      </c>
      <c r="Q65" s="676">
        <v>1.0</v>
      </c>
      <c r="R65" s="679"/>
      <c r="S65" s="672"/>
      <c r="T65" s="672"/>
      <c r="U65" s="672"/>
      <c r="V65" s="672"/>
      <c r="W65" s="672"/>
      <c r="X65" s="672"/>
      <c r="Y65" s="672"/>
      <c r="Z65" s="672"/>
    </row>
    <row r="66" ht="15.75" customHeight="1">
      <c r="A66" s="672"/>
      <c r="B66" s="676">
        <v>59.0</v>
      </c>
      <c r="C66" s="691"/>
      <c r="D66" s="692" t="s">
        <v>16544</v>
      </c>
      <c r="E66" s="678" t="s">
        <v>16545</v>
      </c>
      <c r="F66" s="677" t="s">
        <v>13058</v>
      </c>
      <c r="G66" s="677" t="s">
        <v>29</v>
      </c>
      <c r="H66" s="677" t="s">
        <v>16546</v>
      </c>
      <c r="I66" s="677"/>
      <c r="J66" s="677" t="s">
        <v>16547</v>
      </c>
      <c r="K66" s="677">
        <f>1223+4</f>
        <v>1227</v>
      </c>
      <c r="L66" s="677"/>
      <c r="M66" s="676"/>
      <c r="N66" s="677" t="s">
        <v>2953</v>
      </c>
      <c r="O66" s="676">
        <v>1995.0</v>
      </c>
      <c r="P66" s="677" t="s">
        <v>388</v>
      </c>
      <c r="Q66" s="676">
        <v>1.0</v>
      </c>
      <c r="R66" s="679"/>
      <c r="S66" s="672"/>
      <c r="T66" s="672"/>
      <c r="U66" s="672"/>
      <c r="V66" s="672"/>
      <c r="W66" s="672"/>
      <c r="X66" s="672"/>
      <c r="Y66" s="672"/>
      <c r="Z66" s="672"/>
    </row>
    <row r="67" ht="15.75" customHeight="1">
      <c r="A67" s="672"/>
      <c r="B67" s="676">
        <v>60.0</v>
      </c>
      <c r="C67" s="691" t="s">
        <v>15833</v>
      </c>
      <c r="D67" s="692" t="s">
        <v>16548</v>
      </c>
      <c r="E67" s="678" t="s">
        <v>15835</v>
      </c>
      <c r="F67" s="677" t="s">
        <v>13058</v>
      </c>
      <c r="G67" s="677" t="s">
        <v>29</v>
      </c>
      <c r="H67" s="677" t="s">
        <v>131</v>
      </c>
      <c r="I67" s="677"/>
      <c r="J67" s="677" t="s">
        <v>131</v>
      </c>
      <c r="K67" s="677">
        <f>794+262</f>
        <v>1056</v>
      </c>
      <c r="L67" s="677"/>
      <c r="M67" s="676"/>
      <c r="N67" s="677" t="s">
        <v>16549</v>
      </c>
      <c r="O67" s="676">
        <v>1951.0</v>
      </c>
      <c r="P67" s="677" t="s">
        <v>388</v>
      </c>
      <c r="Q67" s="676">
        <v>1.0</v>
      </c>
      <c r="R67" s="679"/>
      <c r="S67" s="672"/>
      <c r="T67" s="672"/>
      <c r="U67" s="672"/>
      <c r="V67" s="672"/>
      <c r="W67" s="672"/>
      <c r="X67" s="672"/>
      <c r="Y67" s="672"/>
      <c r="Z67" s="672"/>
    </row>
    <row r="68" ht="15.75" customHeight="1">
      <c r="A68" s="672"/>
      <c r="B68" s="676">
        <v>61.0</v>
      </c>
      <c r="C68" s="691"/>
      <c r="D68" s="692" t="s">
        <v>16550</v>
      </c>
      <c r="E68" s="678" t="s">
        <v>16551</v>
      </c>
      <c r="F68" s="677" t="s">
        <v>15035</v>
      </c>
      <c r="G68" s="677" t="s">
        <v>29</v>
      </c>
      <c r="H68" s="677" t="s">
        <v>9209</v>
      </c>
      <c r="I68" s="677"/>
      <c r="J68" s="677" t="s">
        <v>16552</v>
      </c>
      <c r="K68" s="677">
        <f>928</f>
        <v>928</v>
      </c>
      <c r="L68" s="677"/>
      <c r="M68" s="676"/>
      <c r="N68" s="677" t="s">
        <v>16553</v>
      </c>
      <c r="O68" s="676">
        <v>1979.0</v>
      </c>
      <c r="P68" s="677" t="s">
        <v>388</v>
      </c>
      <c r="Q68" s="676">
        <v>1.0</v>
      </c>
      <c r="R68" s="679"/>
      <c r="S68" s="672"/>
      <c r="T68" s="672"/>
      <c r="U68" s="672"/>
      <c r="V68" s="672"/>
      <c r="W68" s="672"/>
      <c r="X68" s="672"/>
      <c r="Y68" s="672"/>
      <c r="Z68" s="672"/>
    </row>
    <row r="69" ht="15.75" customHeight="1">
      <c r="A69" s="672"/>
      <c r="B69" s="676">
        <v>62.0</v>
      </c>
      <c r="C69" s="691" t="s">
        <v>16554</v>
      </c>
      <c r="D69" s="692" t="s">
        <v>16555</v>
      </c>
      <c r="E69" s="678" t="s">
        <v>16556</v>
      </c>
      <c r="F69" s="677" t="s">
        <v>13058</v>
      </c>
      <c r="G69" s="677" t="s">
        <v>29</v>
      </c>
      <c r="H69" s="677" t="s">
        <v>9209</v>
      </c>
      <c r="I69" s="677"/>
      <c r="J69" s="677" t="s">
        <v>16552</v>
      </c>
      <c r="K69" s="677">
        <f>1062+443+5+14</f>
        <v>1524</v>
      </c>
      <c r="L69" s="677"/>
      <c r="M69" s="676"/>
      <c r="N69" s="677" t="s">
        <v>100</v>
      </c>
      <c r="O69" s="676">
        <v>1997.0</v>
      </c>
      <c r="P69" s="677" t="s">
        <v>388</v>
      </c>
      <c r="Q69" s="676">
        <v>1.0</v>
      </c>
      <c r="R69" s="679"/>
      <c r="S69" s="672"/>
      <c r="T69" s="672"/>
      <c r="U69" s="672"/>
      <c r="V69" s="672"/>
      <c r="W69" s="672"/>
      <c r="X69" s="672"/>
      <c r="Y69" s="672"/>
      <c r="Z69" s="672"/>
    </row>
    <row r="70" ht="15.75" customHeight="1">
      <c r="A70" s="672"/>
      <c r="B70" s="676">
        <v>63.0</v>
      </c>
      <c r="C70" s="691" t="s">
        <v>16557</v>
      </c>
      <c r="D70" s="676" t="s">
        <v>16558</v>
      </c>
      <c r="E70" s="678" t="s">
        <v>16559</v>
      </c>
      <c r="F70" s="677" t="s">
        <v>13058</v>
      </c>
      <c r="G70" s="677" t="s">
        <v>29</v>
      </c>
      <c r="H70" s="677" t="s">
        <v>9209</v>
      </c>
      <c r="I70" s="677"/>
      <c r="J70" s="677" t="s">
        <v>16552</v>
      </c>
      <c r="K70" s="677">
        <f>880+443+5+12</f>
        <v>1340</v>
      </c>
      <c r="L70" s="677"/>
      <c r="M70" s="676" t="s">
        <v>16192</v>
      </c>
      <c r="N70" s="677" t="s">
        <v>100</v>
      </c>
      <c r="O70" s="676">
        <v>1999.0</v>
      </c>
      <c r="P70" s="677" t="s">
        <v>388</v>
      </c>
      <c r="Q70" s="676">
        <v>1.0</v>
      </c>
      <c r="R70" s="679"/>
      <c r="S70" s="672"/>
      <c r="T70" s="672"/>
      <c r="U70" s="672"/>
      <c r="V70" s="672"/>
      <c r="W70" s="672"/>
      <c r="X70" s="672"/>
      <c r="Y70" s="672"/>
      <c r="Z70" s="672"/>
    </row>
    <row r="71" ht="15.75" customHeight="1">
      <c r="A71" s="672"/>
      <c r="B71" s="676">
        <v>64.0</v>
      </c>
      <c r="C71" s="691"/>
      <c r="D71" s="676" t="s">
        <v>16560</v>
      </c>
      <c r="E71" s="678" t="s">
        <v>16561</v>
      </c>
      <c r="F71" s="677" t="s">
        <v>13058</v>
      </c>
      <c r="G71" s="677" t="s">
        <v>29</v>
      </c>
      <c r="H71" s="677" t="s">
        <v>9209</v>
      </c>
      <c r="I71" s="677"/>
      <c r="J71" s="677" t="s">
        <v>16552</v>
      </c>
      <c r="K71" s="677">
        <f>912+414+8</f>
        <v>1334</v>
      </c>
      <c r="L71" s="677" t="s">
        <v>15377</v>
      </c>
      <c r="M71" s="676"/>
      <c r="N71" s="677" t="s">
        <v>16562</v>
      </c>
      <c r="O71" s="676">
        <v>1983.0</v>
      </c>
      <c r="P71" s="677" t="s">
        <v>388</v>
      </c>
      <c r="Q71" s="676">
        <v>1.0</v>
      </c>
      <c r="R71" s="679"/>
      <c r="S71" s="672"/>
      <c r="T71" s="672"/>
      <c r="U71" s="672"/>
      <c r="V71" s="672"/>
      <c r="W71" s="672"/>
      <c r="X71" s="672"/>
      <c r="Y71" s="672"/>
      <c r="Z71" s="672"/>
    </row>
    <row r="72" ht="15.75" customHeight="1">
      <c r="A72" s="672"/>
      <c r="B72" s="676">
        <v>65.0</v>
      </c>
      <c r="C72" s="691" t="s">
        <v>16563</v>
      </c>
      <c r="D72" s="676" t="s">
        <v>16564</v>
      </c>
      <c r="E72" s="678" t="s">
        <v>16565</v>
      </c>
      <c r="F72" s="677" t="s">
        <v>13058</v>
      </c>
      <c r="G72" s="677" t="s">
        <v>29</v>
      </c>
      <c r="H72" s="677" t="s">
        <v>131</v>
      </c>
      <c r="I72" s="677"/>
      <c r="J72" s="677" t="s">
        <v>131</v>
      </c>
      <c r="K72" s="677">
        <f>910+381+7+14</f>
        <v>1312</v>
      </c>
      <c r="L72" s="677" t="s">
        <v>16566</v>
      </c>
      <c r="M72" s="676"/>
      <c r="N72" s="677" t="s">
        <v>100</v>
      </c>
      <c r="O72" s="676">
        <v>2013.0</v>
      </c>
      <c r="P72" s="677" t="s">
        <v>388</v>
      </c>
      <c r="Q72" s="676">
        <v>1.0</v>
      </c>
      <c r="R72" s="679"/>
      <c r="S72" s="672"/>
      <c r="T72" s="672"/>
      <c r="U72" s="672"/>
      <c r="V72" s="672"/>
      <c r="W72" s="672"/>
      <c r="X72" s="672"/>
      <c r="Y72" s="672"/>
      <c r="Z72" s="672"/>
    </row>
    <row r="73" ht="15.75" customHeight="1">
      <c r="A73" s="672"/>
      <c r="B73" s="676">
        <v>66.0</v>
      </c>
      <c r="C73" s="691"/>
      <c r="D73" s="676" t="s">
        <v>16567</v>
      </c>
      <c r="E73" s="678" t="s">
        <v>16568</v>
      </c>
      <c r="F73" s="677" t="s">
        <v>13058</v>
      </c>
      <c r="G73" s="677" t="s">
        <v>29</v>
      </c>
      <c r="H73" s="677" t="s">
        <v>16569</v>
      </c>
      <c r="I73" s="677"/>
      <c r="J73" s="677" t="s">
        <v>16434</v>
      </c>
      <c r="K73" s="677">
        <f>800</f>
        <v>800</v>
      </c>
      <c r="L73" s="677" t="s">
        <v>16201</v>
      </c>
      <c r="M73" s="676"/>
      <c r="N73" s="677"/>
      <c r="O73" s="676"/>
      <c r="P73" s="677" t="s">
        <v>388</v>
      </c>
      <c r="Q73" s="676">
        <v>1.0</v>
      </c>
      <c r="R73" s="679"/>
      <c r="S73" s="672"/>
      <c r="T73" s="672"/>
      <c r="U73" s="672"/>
      <c r="V73" s="672"/>
      <c r="W73" s="672"/>
      <c r="X73" s="672"/>
      <c r="Y73" s="672"/>
      <c r="Z73" s="672"/>
    </row>
    <row r="74" ht="15.75" customHeight="1">
      <c r="A74" s="672"/>
      <c r="B74" s="676">
        <v>67.0</v>
      </c>
      <c r="C74" s="691" t="s">
        <v>15837</v>
      </c>
      <c r="D74" s="676" t="s">
        <v>16570</v>
      </c>
      <c r="E74" s="678" t="s">
        <v>16571</v>
      </c>
      <c r="F74" s="677" t="s">
        <v>13058</v>
      </c>
      <c r="G74" s="677" t="s">
        <v>29</v>
      </c>
      <c r="H74" s="677" t="s">
        <v>15840</v>
      </c>
      <c r="I74" s="677"/>
      <c r="J74" s="677" t="s">
        <v>15841</v>
      </c>
      <c r="K74" s="677">
        <f>1064</f>
        <v>1064</v>
      </c>
      <c r="L74" s="677"/>
      <c r="M74" s="676"/>
      <c r="N74" s="677"/>
      <c r="O74" s="676"/>
      <c r="P74" s="677"/>
      <c r="Q74" s="676"/>
      <c r="R74" s="679"/>
      <c r="S74" s="672"/>
      <c r="T74" s="672"/>
      <c r="U74" s="672"/>
      <c r="V74" s="672"/>
      <c r="W74" s="672"/>
      <c r="X74" s="672"/>
      <c r="Y74" s="672"/>
      <c r="Z74" s="672"/>
    </row>
    <row r="75" ht="15.75" customHeight="1">
      <c r="A75" s="672"/>
      <c r="B75" s="676">
        <v>68.0</v>
      </c>
      <c r="C75" s="691" t="s">
        <v>16572</v>
      </c>
      <c r="D75" s="676" t="s">
        <v>16573</v>
      </c>
      <c r="E75" s="678" t="s">
        <v>16574</v>
      </c>
      <c r="F75" s="677" t="s">
        <v>13058</v>
      </c>
      <c r="G75" s="677" t="s">
        <v>29</v>
      </c>
      <c r="H75" s="677" t="s">
        <v>131</v>
      </c>
      <c r="I75" s="677"/>
      <c r="J75" s="677" t="s">
        <v>16575</v>
      </c>
      <c r="K75" s="677">
        <f>1170+5+360</f>
        <v>1535</v>
      </c>
      <c r="L75" s="677" t="s">
        <v>4612</v>
      </c>
      <c r="M75" s="676"/>
      <c r="N75" s="677" t="s">
        <v>15227</v>
      </c>
      <c r="O75" s="676">
        <v>1987.0</v>
      </c>
      <c r="P75" s="677" t="s">
        <v>388</v>
      </c>
      <c r="Q75" s="676">
        <v>1.0</v>
      </c>
      <c r="R75" s="679"/>
      <c r="S75" s="672"/>
      <c r="T75" s="672"/>
      <c r="U75" s="672"/>
      <c r="V75" s="672"/>
      <c r="W75" s="672"/>
      <c r="X75" s="672"/>
      <c r="Y75" s="672"/>
      <c r="Z75" s="672"/>
    </row>
    <row r="76" ht="15.75" customHeight="1">
      <c r="A76" s="672"/>
      <c r="B76" s="676">
        <v>69.0</v>
      </c>
      <c r="C76" s="691"/>
      <c r="D76" s="676" t="s">
        <v>16576</v>
      </c>
      <c r="E76" s="678" t="s">
        <v>16577</v>
      </c>
      <c r="F76" s="677" t="s">
        <v>13058</v>
      </c>
      <c r="G76" s="677" t="s">
        <v>29</v>
      </c>
      <c r="H76" s="677" t="s">
        <v>131</v>
      </c>
      <c r="I76" s="677"/>
      <c r="J76" s="677" t="s">
        <v>16575</v>
      </c>
      <c r="K76" s="677">
        <f>934+281</f>
        <v>1215</v>
      </c>
      <c r="L76" s="677"/>
      <c r="M76" s="676"/>
      <c r="N76" s="677" t="s">
        <v>15227</v>
      </c>
      <c r="O76" s="676"/>
      <c r="P76" s="677" t="s">
        <v>388</v>
      </c>
      <c r="Q76" s="676">
        <v>1.0</v>
      </c>
      <c r="R76" s="679"/>
      <c r="S76" s="672"/>
      <c r="T76" s="672"/>
      <c r="U76" s="672"/>
      <c r="V76" s="672"/>
      <c r="W76" s="672"/>
      <c r="X76" s="672"/>
      <c r="Y76" s="672"/>
      <c r="Z76" s="672"/>
    </row>
    <row r="77" ht="15.75" customHeight="1">
      <c r="A77" s="672"/>
      <c r="B77" s="676">
        <v>70.0</v>
      </c>
      <c r="C77" s="691"/>
      <c r="D77" s="676" t="s">
        <v>16578</v>
      </c>
      <c r="E77" s="678" t="s">
        <v>16574</v>
      </c>
      <c r="F77" s="677" t="s">
        <v>13058</v>
      </c>
      <c r="G77" s="677" t="s">
        <v>29</v>
      </c>
      <c r="H77" s="677" t="s">
        <v>131</v>
      </c>
      <c r="I77" s="677"/>
      <c r="J77" s="677" t="s">
        <v>16575</v>
      </c>
      <c r="K77" s="677">
        <f>794+261</f>
        <v>1055</v>
      </c>
      <c r="L77" s="677" t="s">
        <v>4612</v>
      </c>
      <c r="M77" s="676"/>
      <c r="N77" s="677" t="s">
        <v>15227</v>
      </c>
      <c r="O77" s="676">
        <v>1979.0</v>
      </c>
      <c r="P77" s="677" t="s">
        <v>388</v>
      </c>
      <c r="Q77" s="676">
        <v>1.0</v>
      </c>
      <c r="R77" s="679"/>
      <c r="S77" s="672"/>
      <c r="T77" s="672"/>
      <c r="U77" s="672"/>
      <c r="V77" s="672"/>
      <c r="W77" s="672"/>
      <c r="X77" s="672"/>
      <c r="Y77" s="672"/>
      <c r="Z77" s="672"/>
    </row>
    <row r="78" ht="15.75" customHeight="1">
      <c r="A78" s="672"/>
      <c r="B78" s="676">
        <v>71.0</v>
      </c>
      <c r="C78" s="691"/>
      <c r="D78" s="676" t="s">
        <v>16579</v>
      </c>
      <c r="E78" s="678" t="s">
        <v>16574</v>
      </c>
      <c r="F78" s="677" t="s">
        <v>13058</v>
      </c>
      <c r="G78" s="677" t="s">
        <v>29</v>
      </c>
      <c r="H78" s="677" t="s">
        <v>131</v>
      </c>
      <c r="I78" s="677"/>
      <c r="J78" s="677" t="s">
        <v>16575</v>
      </c>
      <c r="K78" s="677">
        <f>978+297</f>
        <v>1275</v>
      </c>
      <c r="L78" s="677"/>
      <c r="M78" s="676"/>
      <c r="N78" s="677" t="s">
        <v>15227</v>
      </c>
      <c r="O78" s="676">
        <v>1963.0</v>
      </c>
      <c r="P78" s="677" t="s">
        <v>388</v>
      </c>
      <c r="Q78" s="676">
        <v>1.0</v>
      </c>
      <c r="R78" s="679"/>
      <c r="S78" s="672"/>
      <c r="T78" s="672"/>
      <c r="U78" s="672"/>
      <c r="V78" s="672"/>
      <c r="W78" s="672"/>
      <c r="X78" s="672"/>
      <c r="Y78" s="672"/>
      <c r="Z78" s="672"/>
    </row>
    <row r="79" ht="15.75" customHeight="1">
      <c r="A79" s="672"/>
      <c r="B79" s="676">
        <v>72.0</v>
      </c>
      <c r="C79" s="691"/>
      <c r="D79" s="676" t="s">
        <v>16580</v>
      </c>
      <c r="E79" s="678" t="s">
        <v>16574</v>
      </c>
      <c r="F79" s="677" t="s">
        <v>13058</v>
      </c>
      <c r="G79" s="677" t="s">
        <v>29</v>
      </c>
      <c r="H79" s="677" t="s">
        <v>131</v>
      </c>
      <c r="I79" s="677"/>
      <c r="J79" s="677" t="s">
        <v>16575</v>
      </c>
      <c r="K79" s="677">
        <f t="shared" ref="K79:K80" si="1">1434+6</f>
        <v>1440</v>
      </c>
      <c r="L79" s="677"/>
      <c r="M79" s="676"/>
      <c r="N79" s="677" t="s">
        <v>15227</v>
      </c>
      <c r="O79" s="676">
        <v>1967.0</v>
      </c>
      <c r="P79" s="677" t="s">
        <v>388</v>
      </c>
      <c r="Q79" s="676">
        <v>1.0</v>
      </c>
      <c r="R79" s="679"/>
      <c r="S79" s="672"/>
      <c r="T79" s="672"/>
      <c r="U79" s="672"/>
      <c r="V79" s="672"/>
      <c r="W79" s="672"/>
      <c r="X79" s="672"/>
      <c r="Y79" s="672"/>
      <c r="Z79" s="672"/>
    </row>
    <row r="80" ht="15.75" customHeight="1">
      <c r="A80" s="672"/>
      <c r="B80" s="676">
        <v>73.0</v>
      </c>
      <c r="C80" s="691"/>
      <c r="D80" s="676" t="s">
        <v>16581</v>
      </c>
      <c r="E80" s="678" t="s">
        <v>16574</v>
      </c>
      <c r="F80" s="677" t="s">
        <v>13058</v>
      </c>
      <c r="G80" s="677" t="s">
        <v>29</v>
      </c>
      <c r="H80" s="677" t="s">
        <v>131</v>
      </c>
      <c r="I80" s="677"/>
      <c r="J80" s="677" t="s">
        <v>16575</v>
      </c>
      <c r="K80" s="677">
        <f t="shared" si="1"/>
        <v>1440</v>
      </c>
      <c r="L80" s="677"/>
      <c r="M80" s="676"/>
      <c r="N80" s="677" t="s">
        <v>15227</v>
      </c>
      <c r="O80" s="676">
        <v>1971.0</v>
      </c>
      <c r="P80" s="677" t="s">
        <v>388</v>
      </c>
      <c r="Q80" s="676">
        <v>1.0</v>
      </c>
      <c r="R80" s="679"/>
      <c r="S80" s="672"/>
      <c r="T80" s="672"/>
      <c r="U80" s="672"/>
      <c r="V80" s="672"/>
      <c r="W80" s="672"/>
      <c r="X80" s="672"/>
      <c r="Y80" s="672"/>
      <c r="Z80" s="672"/>
    </row>
    <row r="81" ht="15.75" customHeight="1">
      <c r="A81" s="672"/>
      <c r="B81" s="676">
        <v>74.0</v>
      </c>
      <c r="C81" s="691"/>
      <c r="D81" s="676" t="s">
        <v>16582</v>
      </c>
      <c r="E81" s="678" t="s">
        <v>16583</v>
      </c>
      <c r="F81" s="677" t="s">
        <v>13058</v>
      </c>
      <c r="G81" s="677" t="s">
        <v>29</v>
      </c>
      <c r="H81" s="677" t="s">
        <v>15646</v>
      </c>
      <c r="I81" s="677"/>
      <c r="J81" s="677" t="s">
        <v>38</v>
      </c>
      <c r="K81" s="677">
        <f>878+269+32</f>
        <v>1179</v>
      </c>
      <c r="L81" s="677"/>
      <c r="M81" s="676"/>
      <c r="N81" s="677" t="s">
        <v>15646</v>
      </c>
      <c r="O81" s="676"/>
      <c r="P81" s="677" t="s">
        <v>388</v>
      </c>
      <c r="Q81" s="676">
        <v>1.0</v>
      </c>
      <c r="R81" s="679"/>
      <c r="S81" s="672"/>
      <c r="T81" s="672"/>
      <c r="U81" s="672"/>
      <c r="V81" s="672"/>
      <c r="W81" s="672"/>
      <c r="X81" s="672"/>
      <c r="Y81" s="672"/>
      <c r="Z81" s="672"/>
    </row>
    <row r="82" ht="15.75" customHeight="1">
      <c r="A82" s="672"/>
      <c r="B82" s="676">
        <v>75.0</v>
      </c>
      <c r="C82" s="691"/>
      <c r="D82" s="676" t="s">
        <v>16584</v>
      </c>
      <c r="E82" s="678" t="s">
        <v>16585</v>
      </c>
      <c r="F82" s="677" t="s">
        <v>13058</v>
      </c>
      <c r="G82" s="677" t="s">
        <v>29</v>
      </c>
      <c r="H82" s="677" t="s">
        <v>9209</v>
      </c>
      <c r="I82" s="677"/>
      <c r="J82" s="677" t="s">
        <v>16552</v>
      </c>
      <c r="K82" s="677"/>
      <c r="L82" s="677"/>
      <c r="M82" s="676"/>
      <c r="N82" s="677" t="s">
        <v>100</v>
      </c>
      <c r="O82" s="676">
        <v>1982.0</v>
      </c>
      <c r="P82" s="677" t="s">
        <v>388</v>
      </c>
      <c r="Q82" s="676">
        <v>1.0</v>
      </c>
      <c r="R82" s="679"/>
      <c r="S82" s="672"/>
      <c r="T82" s="672"/>
      <c r="U82" s="672"/>
      <c r="V82" s="672"/>
      <c r="W82" s="672"/>
      <c r="X82" s="672"/>
      <c r="Y82" s="672"/>
      <c r="Z82" s="672"/>
    </row>
    <row r="83" ht="15.75" customHeight="1">
      <c r="A83" s="672"/>
      <c r="B83" s="676">
        <v>76.0</v>
      </c>
      <c r="C83" s="691"/>
      <c r="D83" s="676" t="s">
        <v>16586</v>
      </c>
      <c r="E83" s="678" t="s">
        <v>16587</v>
      </c>
      <c r="F83" s="677" t="s">
        <v>13058</v>
      </c>
      <c r="G83" s="677" t="s">
        <v>29</v>
      </c>
      <c r="H83" s="677" t="s">
        <v>16588</v>
      </c>
      <c r="I83" s="677"/>
      <c r="J83" s="677" t="s">
        <v>1195</v>
      </c>
      <c r="K83" s="677">
        <f>916+260</f>
        <v>1176</v>
      </c>
      <c r="L83" s="677"/>
      <c r="M83" s="676"/>
      <c r="N83" s="677" t="s">
        <v>16589</v>
      </c>
      <c r="O83" s="676">
        <v>1985.0</v>
      </c>
      <c r="P83" s="677" t="s">
        <v>388</v>
      </c>
      <c r="Q83" s="676">
        <v>1.0</v>
      </c>
      <c r="R83" s="679"/>
      <c r="S83" s="672"/>
      <c r="T83" s="672"/>
      <c r="U83" s="672"/>
      <c r="V83" s="672"/>
      <c r="W83" s="672"/>
      <c r="X83" s="672"/>
      <c r="Y83" s="672"/>
      <c r="Z83" s="672"/>
    </row>
    <row r="84" ht="15.75" customHeight="1">
      <c r="A84" s="672"/>
      <c r="B84" s="676">
        <v>77.0</v>
      </c>
      <c r="C84" s="691"/>
      <c r="D84" s="676" t="s">
        <v>16590</v>
      </c>
      <c r="E84" s="678" t="s">
        <v>16591</v>
      </c>
      <c r="F84" s="677" t="s">
        <v>12445</v>
      </c>
      <c r="G84" s="677" t="s">
        <v>29</v>
      </c>
      <c r="H84" s="677" t="s">
        <v>5603</v>
      </c>
      <c r="I84" s="677"/>
      <c r="J84" s="677" t="s">
        <v>1195</v>
      </c>
      <c r="K84" s="677">
        <f>778-457+36+16</f>
        <v>373</v>
      </c>
      <c r="L84" s="677" t="s">
        <v>16592</v>
      </c>
      <c r="M84" s="676"/>
      <c r="N84" s="677" t="s">
        <v>16593</v>
      </c>
      <c r="O84" s="676">
        <v>1979.0</v>
      </c>
      <c r="P84" s="677" t="s">
        <v>388</v>
      </c>
      <c r="Q84" s="676">
        <v>1.0</v>
      </c>
      <c r="R84" s="679"/>
      <c r="S84" s="672"/>
      <c r="T84" s="672"/>
      <c r="U84" s="672"/>
      <c r="V84" s="672"/>
      <c r="W84" s="672"/>
      <c r="X84" s="672"/>
      <c r="Y84" s="672"/>
      <c r="Z84" s="672"/>
    </row>
    <row r="85" ht="15.75" customHeight="1">
      <c r="A85" s="672"/>
      <c r="B85" s="676">
        <v>78.0</v>
      </c>
      <c r="C85" s="691" t="s">
        <v>16594</v>
      </c>
      <c r="D85" s="676" t="s">
        <v>16595</v>
      </c>
      <c r="E85" s="678" t="s">
        <v>16596</v>
      </c>
      <c r="F85" s="677" t="s">
        <v>16526</v>
      </c>
      <c r="G85" s="677" t="s">
        <v>29</v>
      </c>
      <c r="H85" s="677" t="s">
        <v>9209</v>
      </c>
      <c r="I85" s="677"/>
      <c r="J85" s="677" t="s">
        <v>16552</v>
      </c>
      <c r="K85" s="677">
        <f>448</f>
        <v>448</v>
      </c>
      <c r="L85" s="677"/>
      <c r="M85" s="676"/>
      <c r="N85" s="677" t="s">
        <v>15980</v>
      </c>
      <c r="O85" s="676">
        <v>1975.0</v>
      </c>
      <c r="P85" s="677" t="s">
        <v>388</v>
      </c>
      <c r="Q85" s="676">
        <v>1.0</v>
      </c>
      <c r="R85" s="679"/>
      <c r="S85" s="672"/>
      <c r="T85" s="672"/>
      <c r="U85" s="672"/>
      <c r="V85" s="672"/>
      <c r="W85" s="672"/>
      <c r="X85" s="672"/>
      <c r="Y85" s="672"/>
      <c r="Z85" s="672"/>
    </row>
    <row r="86" ht="15.75" customHeight="1">
      <c r="A86" s="672"/>
      <c r="B86" s="676">
        <v>79.0</v>
      </c>
      <c r="C86" s="691"/>
      <c r="D86" s="676" t="s">
        <v>16597</v>
      </c>
      <c r="E86" s="678" t="s">
        <v>16540</v>
      </c>
      <c r="F86" s="677" t="s">
        <v>13058</v>
      </c>
      <c r="G86" s="677" t="s">
        <v>29</v>
      </c>
      <c r="H86" s="677" t="s">
        <v>1032</v>
      </c>
      <c r="I86" s="677"/>
      <c r="J86" s="677" t="s">
        <v>6431</v>
      </c>
      <c r="K86" s="677">
        <f>878+4+178+2+310+16</f>
        <v>1388</v>
      </c>
      <c r="L86" s="677"/>
      <c r="M86" s="676"/>
      <c r="N86" s="677" t="s">
        <v>16332</v>
      </c>
      <c r="O86" s="676">
        <v>1988.0</v>
      </c>
      <c r="P86" s="677" t="s">
        <v>388</v>
      </c>
      <c r="Q86" s="676">
        <v>1.0</v>
      </c>
      <c r="R86" s="679"/>
      <c r="S86" s="672"/>
      <c r="T86" s="672"/>
      <c r="U86" s="672"/>
      <c r="V86" s="672"/>
      <c r="W86" s="672"/>
      <c r="X86" s="672"/>
      <c r="Y86" s="672"/>
      <c r="Z86" s="672"/>
    </row>
    <row r="87" ht="15.75" customHeight="1">
      <c r="A87" s="672"/>
      <c r="B87" s="676">
        <v>80.0</v>
      </c>
      <c r="C87" s="691" t="s">
        <v>16598</v>
      </c>
      <c r="D87" s="676" t="s">
        <v>16599</v>
      </c>
      <c r="E87" s="678" t="s">
        <v>16542</v>
      </c>
      <c r="F87" s="677" t="s">
        <v>13058</v>
      </c>
      <c r="G87" s="677" t="s">
        <v>29</v>
      </c>
      <c r="H87" s="677" t="s">
        <v>15304</v>
      </c>
      <c r="I87" s="677"/>
      <c r="J87" s="677" t="s">
        <v>15305</v>
      </c>
      <c r="K87" s="677">
        <f>1222+407+52</f>
        <v>1681</v>
      </c>
      <c r="L87" s="677" t="s">
        <v>16201</v>
      </c>
      <c r="M87" s="676"/>
      <c r="N87" s="677" t="s">
        <v>16600</v>
      </c>
      <c r="O87" s="676">
        <v>1995.0</v>
      </c>
      <c r="P87" s="677" t="s">
        <v>388</v>
      </c>
      <c r="Q87" s="676">
        <v>1.0</v>
      </c>
      <c r="R87" s="679"/>
      <c r="S87" s="672"/>
      <c r="T87" s="672"/>
      <c r="U87" s="672"/>
      <c r="V87" s="672"/>
      <c r="W87" s="672"/>
      <c r="X87" s="672"/>
      <c r="Y87" s="672"/>
      <c r="Z87" s="672"/>
    </row>
    <row r="88" ht="15.75" customHeight="1">
      <c r="A88" s="672"/>
      <c r="B88" s="676">
        <v>81.0</v>
      </c>
      <c r="C88" s="691" t="s">
        <v>16601</v>
      </c>
      <c r="D88" s="676" t="s">
        <v>16602</v>
      </c>
      <c r="E88" s="678" t="s">
        <v>16603</v>
      </c>
      <c r="F88" s="677" t="s">
        <v>13058</v>
      </c>
      <c r="G88" s="677" t="s">
        <v>29</v>
      </c>
      <c r="H88" s="677" t="s">
        <v>16604</v>
      </c>
      <c r="I88" s="677"/>
      <c r="J88" s="677" t="s">
        <v>131</v>
      </c>
      <c r="K88" s="677">
        <f>1197</f>
        <v>1197</v>
      </c>
      <c r="L88" s="677"/>
      <c r="M88" s="676"/>
      <c r="N88" s="677" t="s">
        <v>16605</v>
      </c>
      <c r="O88" s="676">
        <v>1987.0</v>
      </c>
      <c r="P88" s="677" t="s">
        <v>388</v>
      </c>
      <c r="Q88" s="676">
        <v>1.0</v>
      </c>
      <c r="R88" s="679"/>
      <c r="S88" s="672"/>
      <c r="T88" s="672"/>
      <c r="U88" s="672"/>
      <c r="V88" s="672"/>
      <c r="W88" s="672"/>
      <c r="X88" s="672"/>
      <c r="Y88" s="672"/>
      <c r="Z88" s="672"/>
    </row>
    <row r="89" ht="15.75" customHeight="1">
      <c r="A89" s="672"/>
      <c r="B89" s="676">
        <v>82.0</v>
      </c>
      <c r="C89" s="691" t="s">
        <v>13687</v>
      </c>
      <c r="D89" s="676" t="s">
        <v>16606</v>
      </c>
      <c r="E89" s="678" t="s">
        <v>16607</v>
      </c>
      <c r="F89" s="677" t="s">
        <v>16526</v>
      </c>
      <c r="G89" s="677" t="s">
        <v>29</v>
      </c>
      <c r="H89" s="677" t="s">
        <v>16608</v>
      </c>
      <c r="I89" s="677"/>
      <c r="J89" s="677" t="s">
        <v>131</v>
      </c>
      <c r="K89" s="677">
        <f>493</f>
        <v>493</v>
      </c>
      <c r="L89" s="677"/>
      <c r="M89" s="676"/>
      <c r="N89" s="677" t="s">
        <v>16609</v>
      </c>
      <c r="O89" s="676">
        <v>1990.0</v>
      </c>
      <c r="P89" s="677" t="s">
        <v>388</v>
      </c>
      <c r="Q89" s="676">
        <v>1.0</v>
      </c>
      <c r="R89" s="679"/>
      <c r="S89" s="672"/>
      <c r="T89" s="672"/>
      <c r="U89" s="672"/>
      <c r="V89" s="672"/>
      <c r="W89" s="672"/>
      <c r="X89" s="672"/>
      <c r="Y89" s="672"/>
      <c r="Z89" s="672"/>
    </row>
    <row r="90" ht="15.75" customHeight="1">
      <c r="A90" s="672"/>
      <c r="B90" s="676">
        <v>83.0</v>
      </c>
      <c r="C90" s="691"/>
      <c r="D90" s="676" t="s">
        <v>16610</v>
      </c>
      <c r="E90" s="678" t="s">
        <v>16611</v>
      </c>
      <c r="F90" s="677" t="s">
        <v>12445</v>
      </c>
      <c r="G90" s="677" t="s">
        <v>29</v>
      </c>
      <c r="H90" s="677" t="s">
        <v>15304</v>
      </c>
      <c r="I90" s="677"/>
      <c r="J90" s="677" t="s">
        <v>15305</v>
      </c>
      <c r="K90" s="677">
        <v>447.0</v>
      </c>
      <c r="L90" s="677"/>
      <c r="M90" s="676"/>
      <c r="N90" s="677" t="s">
        <v>13587</v>
      </c>
      <c r="O90" s="676">
        <v>1998.0</v>
      </c>
      <c r="P90" s="677" t="s">
        <v>388</v>
      </c>
      <c r="Q90" s="676">
        <v>1.0</v>
      </c>
      <c r="R90" s="679"/>
      <c r="S90" s="672"/>
      <c r="T90" s="672"/>
      <c r="U90" s="672"/>
      <c r="V90" s="672"/>
      <c r="W90" s="672"/>
      <c r="X90" s="672"/>
      <c r="Y90" s="672"/>
      <c r="Z90" s="672"/>
    </row>
    <row r="91" ht="15.75" customHeight="1">
      <c r="A91" s="672"/>
      <c r="B91" s="676">
        <v>84.0</v>
      </c>
      <c r="C91" s="691" t="s">
        <v>16612</v>
      </c>
      <c r="D91" s="676" t="s">
        <v>16613</v>
      </c>
      <c r="E91" s="678" t="s">
        <v>16522</v>
      </c>
      <c r="F91" s="677" t="s">
        <v>12445</v>
      </c>
      <c r="G91" s="677" t="s">
        <v>29</v>
      </c>
      <c r="H91" s="677" t="s">
        <v>2417</v>
      </c>
      <c r="I91" s="677"/>
      <c r="J91" s="677" t="s">
        <v>2417</v>
      </c>
      <c r="K91" s="677">
        <f>618+6</f>
        <v>624</v>
      </c>
      <c r="L91" s="677" t="s">
        <v>16614</v>
      </c>
      <c r="M91" s="676"/>
      <c r="N91" s="677" t="s">
        <v>16615</v>
      </c>
      <c r="O91" s="676">
        <v>2000.0</v>
      </c>
      <c r="P91" s="677" t="s">
        <v>388</v>
      </c>
      <c r="Q91" s="676">
        <v>1.0</v>
      </c>
      <c r="R91" s="679"/>
      <c r="S91" s="672"/>
      <c r="T91" s="672"/>
      <c r="U91" s="672"/>
      <c r="V91" s="672"/>
      <c r="W91" s="672"/>
      <c r="X91" s="672"/>
      <c r="Y91" s="672"/>
      <c r="Z91" s="672"/>
    </row>
    <row r="92" ht="15.75" customHeight="1">
      <c r="A92" s="672"/>
      <c r="B92" s="676">
        <v>85.0</v>
      </c>
      <c r="C92" s="691" t="s">
        <v>16616</v>
      </c>
      <c r="D92" s="676" t="s">
        <v>16617</v>
      </c>
      <c r="E92" s="678" t="s">
        <v>16618</v>
      </c>
      <c r="F92" s="677" t="s">
        <v>13058</v>
      </c>
      <c r="G92" s="677" t="s">
        <v>29</v>
      </c>
      <c r="H92" s="677" t="s">
        <v>2417</v>
      </c>
      <c r="I92" s="677"/>
      <c r="J92" s="677" t="s">
        <v>2417</v>
      </c>
      <c r="K92" s="677">
        <f>946+2+292+2+24+14</f>
        <v>1280</v>
      </c>
      <c r="L92" s="677"/>
      <c r="M92" s="676"/>
      <c r="N92" s="677" t="s">
        <v>1333</v>
      </c>
      <c r="O92" s="676">
        <v>1980.0</v>
      </c>
      <c r="P92" s="677" t="s">
        <v>388</v>
      </c>
      <c r="Q92" s="676">
        <v>1.0</v>
      </c>
      <c r="R92" s="679"/>
      <c r="S92" s="672"/>
      <c r="T92" s="672"/>
      <c r="U92" s="672"/>
      <c r="V92" s="672"/>
      <c r="W92" s="672"/>
      <c r="X92" s="672"/>
      <c r="Y92" s="672"/>
      <c r="Z92" s="672"/>
    </row>
    <row r="93" ht="15.75" customHeight="1">
      <c r="A93" s="672"/>
      <c r="B93" s="676">
        <v>86.0</v>
      </c>
      <c r="C93" s="691"/>
      <c r="D93" s="676" t="s">
        <v>16619</v>
      </c>
      <c r="E93" s="678" t="s">
        <v>16620</v>
      </c>
      <c r="F93" s="677" t="s">
        <v>16621</v>
      </c>
      <c r="G93" s="677" t="s">
        <v>29</v>
      </c>
      <c r="H93" s="677" t="s">
        <v>3746</v>
      </c>
      <c r="I93" s="677"/>
      <c r="J93" s="677" t="s">
        <v>16622</v>
      </c>
      <c r="K93" s="677">
        <f>779</f>
        <v>779</v>
      </c>
      <c r="L93" s="677"/>
      <c r="M93" s="676"/>
      <c r="N93" s="677" t="s">
        <v>16623</v>
      </c>
      <c r="O93" s="676">
        <v>1979.0</v>
      </c>
      <c r="P93" s="677" t="s">
        <v>388</v>
      </c>
      <c r="Q93" s="676">
        <v>1.0</v>
      </c>
      <c r="R93" s="679"/>
      <c r="S93" s="672"/>
      <c r="T93" s="672"/>
      <c r="U93" s="672"/>
      <c r="V93" s="672"/>
      <c r="W93" s="672"/>
      <c r="X93" s="672"/>
      <c r="Y93" s="672"/>
      <c r="Z93" s="672"/>
    </row>
    <row r="94" ht="15.75" customHeight="1">
      <c r="A94" s="672"/>
      <c r="B94" s="676">
        <v>87.0</v>
      </c>
      <c r="C94" s="691"/>
      <c r="D94" s="676" t="s">
        <v>16624</v>
      </c>
      <c r="E94" s="678" t="s">
        <v>16625</v>
      </c>
      <c r="F94" s="677" t="s">
        <v>13058</v>
      </c>
      <c r="G94" s="677" t="s">
        <v>29</v>
      </c>
      <c r="H94" s="677" t="s">
        <v>38</v>
      </c>
      <c r="I94" s="677"/>
      <c r="J94" s="677" t="s">
        <v>38</v>
      </c>
      <c r="K94" s="677">
        <f>1260</f>
        <v>1260</v>
      </c>
      <c r="L94" s="677"/>
      <c r="M94" s="676"/>
      <c r="N94" s="677" t="s">
        <v>16290</v>
      </c>
      <c r="O94" s="676">
        <v>1957.0</v>
      </c>
      <c r="P94" s="677" t="s">
        <v>388</v>
      </c>
      <c r="Q94" s="676">
        <v>1.0</v>
      </c>
      <c r="R94" s="679"/>
      <c r="S94" s="672"/>
      <c r="T94" s="672"/>
      <c r="U94" s="672"/>
      <c r="V94" s="672"/>
      <c r="W94" s="672"/>
      <c r="X94" s="672"/>
      <c r="Y94" s="672"/>
      <c r="Z94" s="672"/>
    </row>
    <row r="95" ht="15.75" customHeight="1">
      <c r="A95" s="672"/>
      <c r="B95" s="676">
        <v>88.0</v>
      </c>
      <c r="C95" s="691" t="s">
        <v>16626</v>
      </c>
      <c r="D95" s="676" t="s">
        <v>16627</v>
      </c>
      <c r="E95" s="678" t="s">
        <v>16628</v>
      </c>
      <c r="F95" s="677" t="s">
        <v>13058</v>
      </c>
      <c r="G95" s="677" t="s">
        <v>29</v>
      </c>
      <c r="H95" s="677" t="s">
        <v>16604</v>
      </c>
      <c r="I95" s="677"/>
      <c r="J95" s="677" t="s">
        <v>16575</v>
      </c>
      <c r="K95" s="677">
        <f>1051+5</f>
        <v>1056</v>
      </c>
      <c r="L95" s="677" t="s">
        <v>16201</v>
      </c>
      <c r="M95" s="676"/>
      <c r="N95" s="677" t="s">
        <v>16629</v>
      </c>
      <c r="O95" s="676">
        <v>1979.0</v>
      </c>
      <c r="P95" s="677" t="s">
        <v>388</v>
      </c>
      <c r="Q95" s="676">
        <v>1.0</v>
      </c>
      <c r="R95" s="679"/>
      <c r="S95" s="672"/>
      <c r="T95" s="672"/>
      <c r="U95" s="672"/>
      <c r="V95" s="672"/>
      <c r="W95" s="672"/>
      <c r="X95" s="672"/>
      <c r="Y95" s="672"/>
      <c r="Z95" s="672"/>
    </row>
    <row r="96" ht="15.75" customHeight="1">
      <c r="A96" s="672"/>
      <c r="B96" s="676">
        <v>89.0</v>
      </c>
      <c r="C96" s="691"/>
      <c r="D96" s="676" t="s">
        <v>16630</v>
      </c>
      <c r="E96" s="678" t="s">
        <v>16631</v>
      </c>
      <c r="F96" s="677" t="s">
        <v>13058</v>
      </c>
      <c r="G96" s="677" t="s">
        <v>29</v>
      </c>
      <c r="H96" s="677" t="s">
        <v>16604</v>
      </c>
      <c r="I96" s="677"/>
      <c r="J96" s="677" t="s">
        <v>16632</v>
      </c>
      <c r="K96" s="677">
        <f>1760</f>
        <v>1760</v>
      </c>
      <c r="L96" s="677"/>
      <c r="M96" s="676"/>
      <c r="N96" s="677" t="s">
        <v>15227</v>
      </c>
      <c r="O96" s="676" t="s">
        <v>31</v>
      </c>
      <c r="P96" s="677" t="s">
        <v>388</v>
      </c>
      <c r="Q96" s="676">
        <v>1.0</v>
      </c>
      <c r="R96" s="679"/>
      <c r="S96" s="672"/>
      <c r="T96" s="672"/>
      <c r="U96" s="672"/>
      <c r="V96" s="672"/>
      <c r="W96" s="672"/>
      <c r="X96" s="672"/>
      <c r="Y96" s="672"/>
      <c r="Z96" s="672"/>
    </row>
    <row r="97" ht="15.75" customHeight="1">
      <c r="A97" s="672"/>
      <c r="B97" s="676">
        <v>90.0</v>
      </c>
      <c r="C97" s="691"/>
      <c r="D97" s="676" t="s">
        <v>16633</v>
      </c>
      <c r="E97" s="678" t="s">
        <v>16574</v>
      </c>
      <c r="F97" s="677" t="s">
        <v>13058</v>
      </c>
      <c r="G97" s="677" t="s">
        <v>29</v>
      </c>
      <c r="H97" s="677" t="s">
        <v>16634</v>
      </c>
      <c r="I97" s="677"/>
      <c r="J97" s="677" t="s">
        <v>131</v>
      </c>
      <c r="K97" s="677">
        <f>1440</f>
        <v>1440</v>
      </c>
      <c r="L97" s="677"/>
      <c r="M97" s="676"/>
      <c r="N97" s="677" t="s">
        <v>16635</v>
      </c>
      <c r="O97" s="676">
        <v>1967.0</v>
      </c>
      <c r="P97" s="677" t="s">
        <v>388</v>
      </c>
      <c r="Q97" s="676">
        <v>1.0</v>
      </c>
      <c r="R97" s="679"/>
      <c r="S97" s="672"/>
      <c r="T97" s="672"/>
      <c r="U97" s="672"/>
      <c r="V97" s="672"/>
      <c r="W97" s="672"/>
      <c r="X97" s="672"/>
      <c r="Y97" s="672"/>
      <c r="Z97" s="672"/>
    </row>
    <row r="98" ht="15.75" customHeight="1">
      <c r="A98" s="672"/>
      <c r="B98" s="676">
        <v>91.0</v>
      </c>
      <c r="C98" s="691"/>
      <c r="D98" s="676" t="s">
        <v>16636</v>
      </c>
      <c r="E98" s="678" t="s">
        <v>16637</v>
      </c>
      <c r="F98" s="677" t="s">
        <v>12445</v>
      </c>
      <c r="G98" s="677" t="s">
        <v>29</v>
      </c>
      <c r="H98" s="677" t="s">
        <v>2417</v>
      </c>
      <c r="I98" s="677"/>
      <c r="J98" s="677" t="s">
        <v>2417</v>
      </c>
      <c r="K98" s="677">
        <v>379.0</v>
      </c>
      <c r="L98" s="677"/>
      <c r="M98" s="676"/>
      <c r="N98" s="677" t="s">
        <v>16638</v>
      </c>
      <c r="O98" s="676">
        <v>1961.0</v>
      </c>
      <c r="P98" s="677" t="s">
        <v>388</v>
      </c>
      <c r="Q98" s="676">
        <v>1.0</v>
      </c>
      <c r="R98" s="679"/>
      <c r="S98" s="672"/>
      <c r="T98" s="672"/>
      <c r="U98" s="672"/>
      <c r="V98" s="672"/>
      <c r="W98" s="672"/>
      <c r="X98" s="672"/>
      <c r="Y98" s="672"/>
      <c r="Z98" s="672"/>
    </row>
    <row r="99" ht="15.75" customHeight="1">
      <c r="A99" s="672"/>
      <c r="B99" s="676">
        <v>92.0</v>
      </c>
      <c r="C99" s="691" t="s">
        <v>16639</v>
      </c>
      <c r="D99" s="676" t="s">
        <v>16640</v>
      </c>
      <c r="E99" s="678" t="s">
        <v>16641</v>
      </c>
      <c r="F99" s="677" t="s">
        <v>12445</v>
      </c>
      <c r="G99" s="677" t="s">
        <v>29</v>
      </c>
      <c r="H99" s="677" t="s">
        <v>16642</v>
      </c>
      <c r="I99" s="677"/>
      <c r="J99" s="677" t="s">
        <v>16642</v>
      </c>
      <c r="K99" s="677">
        <f>239+2</f>
        <v>241</v>
      </c>
      <c r="L99" s="677"/>
      <c r="M99" s="676"/>
      <c r="N99" s="677" t="s">
        <v>16643</v>
      </c>
      <c r="O99" s="676">
        <v>1983.0</v>
      </c>
      <c r="P99" s="677" t="s">
        <v>388</v>
      </c>
      <c r="Q99" s="676">
        <v>1.0</v>
      </c>
      <c r="R99" s="679"/>
      <c r="S99" s="672"/>
      <c r="T99" s="672"/>
      <c r="U99" s="672"/>
      <c r="V99" s="672"/>
      <c r="W99" s="672"/>
      <c r="X99" s="672"/>
      <c r="Y99" s="672"/>
      <c r="Z99" s="672"/>
    </row>
    <row r="100" ht="15.75" customHeight="1">
      <c r="A100" s="672"/>
      <c r="B100" s="676">
        <v>93.0</v>
      </c>
      <c r="C100" s="691"/>
      <c r="D100" s="676" t="s">
        <v>16644</v>
      </c>
      <c r="E100" s="678" t="s">
        <v>16645</v>
      </c>
      <c r="F100" s="677" t="s">
        <v>12445</v>
      </c>
      <c r="G100" s="677" t="s">
        <v>29</v>
      </c>
      <c r="H100" s="677" t="s">
        <v>1195</v>
      </c>
      <c r="I100" s="677"/>
      <c r="J100" s="677" t="s">
        <v>16622</v>
      </c>
      <c r="K100" s="677">
        <f>779+9</f>
        <v>788</v>
      </c>
      <c r="L100" s="677"/>
      <c r="M100" s="676"/>
      <c r="N100" s="677" t="s">
        <v>16646</v>
      </c>
      <c r="O100" s="676">
        <v>1979.0</v>
      </c>
      <c r="P100" s="677" t="s">
        <v>388</v>
      </c>
      <c r="Q100" s="676">
        <v>1.0</v>
      </c>
      <c r="R100" s="679"/>
      <c r="S100" s="672"/>
      <c r="T100" s="672"/>
      <c r="U100" s="672"/>
      <c r="V100" s="672"/>
      <c r="W100" s="672"/>
      <c r="X100" s="672"/>
      <c r="Y100" s="672"/>
      <c r="Z100" s="672"/>
    </row>
    <row r="101" ht="15.75" customHeight="1">
      <c r="A101" s="672"/>
      <c r="B101" s="676">
        <v>94.0</v>
      </c>
      <c r="C101" s="691"/>
      <c r="D101" s="676" t="s">
        <v>16647</v>
      </c>
      <c r="E101" s="678" t="s">
        <v>16645</v>
      </c>
      <c r="F101" s="677" t="s">
        <v>12445</v>
      </c>
      <c r="G101" s="677" t="s">
        <v>29</v>
      </c>
      <c r="H101" s="677" t="s">
        <v>1195</v>
      </c>
      <c r="I101" s="677"/>
      <c r="J101" s="677" t="s">
        <v>16622</v>
      </c>
      <c r="K101" s="677">
        <f>671+112</f>
        <v>783</v>
      </c>
      <c r="L101" s="677"/>
      <c r="M101" s="676"/>
      <c r="N101" s="677" t="s">
        <v>16646</v>
      </c>
      <c r="O101" s="676">
        <v>1979.0</v>
      </c>
      <c r="P101" s="677" t="s">
        <v>388</v>
      </c>
      <c r="Q101" s="676">
        <v>1.0</v>
      </c>
      <c r="R101" s="679"/>
      <c r="S101" s="672"/>
      <c r="T101" s="672"/>
      <c r="U101" s="672"/>
      <c r="V101" s="672"/>
      <c r="W101" s="672"/>
      <c r="X101" s="672"/>
      <c r="Y101" s="672"/>
      <c r="Z101" s="672"/>
    </row>
    <row r="102" ht="15.75" customHeight="1">
      <c r="A102" s="672"/>
      <c r="B102" s="676">
        <v>95.0</v>
      </c>
      <c r="C102" s="691" t="s">
        <v>16648</v>
      </c>
      <c r="D102" s="676" t="s">
        <v>16649</v>
      </c>
      <c r="E102" s="678" t="s">
        <v>16650</v>
      </c>
      <c r="F102" s="677" t="s">
        <v>13058</v>
      </c>
      <c r="G102" s="677" t="s">
        <v>29</v>
      </c>
      <c r="H102" s="677" t="s">
        <v>15252</v>
      </c>
      <c r="I102" s="677"/>
      <c r="J102" s="677" t="s">
        <v>16651</v>
      </c>
      <c r="K102" s="677">
        <f>1074+7</f>
        <v>1081</v>
      </c>
      <c r="L102" s="677"/>
      <c r="M102" s="676"/>
      <c r="N102" s="677" t="s">
        <v>16652</v>
      </c>
      <c r="O102" s="676">
        <v>1985.0</v>
      </c>
      <c r="P102" s="677" t="s">
        <v>388</v>
      </c>
      <c r="Q102" s="676">
        <v>1.0</v>
      </c>
      <c r="R102" s="679"/>
      <c r="S102" s="672"/>
      <c r="T102" s="672"/>
      <c r="U102" s="672"/>
      <c r="V102" s="672"/>
      <c r="W102" s="672"/>
      <c r="X102" s="672"/>
      <c r="Y102" s="672"/>
      <c r="Z102" s="672"/>
    </row>
    <row r="103" ht="15.75" customHeight="1">
      <c r="A103" s="672"/>
      <c r="B103" s="676">
        <v>96.0</v>
      </c>
      <c r="C103" s="691"/>
      <c r="D103" s="676" t="s">
        <v>16653</v>
      </c>
      <c r="E103" s="678" t="s">
        <v>16654</v>
      </c>
      <c r="F103" s="677" t="s">
        <v>13058</v>
      </c>
      <c r="G103" s="677" t="s">
        <v>29</v>
      </c>
      <c r="H103" s="677" t="s">
        <v>16642</v>
      </c>
      <c r="I103" s="677"/>
      <c r="J103" s="677" t="s">
        <v>16642</v>
      </c>
      <c r="K103" s="677">
        <f>1056+36+7</f>
        <v>1099</v>
      </c>
      <c r="L103" s="677"/>
      <c r="M103" s="676"/>
      <c r="N103" s="677" t="s">
        <v>16655</v>
      </c>
      <c r="O103" s="676">
        <v>1986.0</v>
      </c>
      <c r="P103" s="677" t="s">
        <v>388</v>
      </c>
      <c r="Q103" s="676">
        <v>1.0</v>
      </c>
      <c r="R103" s="679"/>
      <c r="S103" s="672"/>
      <c r="T103" s="672"/>
      <c r="U103" s="672"/>
      <c r="V103" s="672"/>
      <c r="W103" s="672"/>
      <c r="X103" s="672"/>
      <c r="Y103" s="672"/>
      <c r="Z103" s="672"/>
    </row>
    <row r="104" ht="15.75" customHeight="1">
      <c r="A104" s="672"/>
      <c r="B104" s="676">
        <v>97.0</v>
      </c>
      <c r="C104" s="691"/>
      <c r="D104" s="676" t="s">
        <v>16656</v>
      </c>
      <c r="E104" s="678" t="s">
        <v>16657</v>
      </c>
      <c r="F104" s="677" t="s">
        <v>13058</v>
      </c>
      <c r="G104" s="677" t="s">
        <v>29</v>
      </c>
      <c r="H104" s="677" t="s">
        <v>11166</v>
      </c>
      <c r="I104" s="677"/>
      <c r="J104" s="677" t="s">
        <v>657</v>
      </c>
      <c r="K104" s="677">
        <f>1015+4</f>
        <v>1019</v>
      </c>
      <c r="L104" s="677"/>
      <c r="M104" s="676"/>
      <c r="N104" s="677" t="s">
        <v>16655</v>
      </c>
      <c r="O104" s="676">
        <v>1976.0</v>
      </c>
      <c r="P104" s="677" t="s">
        <v>388</v>
      </c>
      <c r="Q104" s="676">
        <v>2.0</v>
      </c>
      <c r="R104" s="679"/>
      <c r="S104" s="672"/>
      <c r="T104" s="672"/>
      <c r="U104" s="672"/>
      <c r="V104" s="672"/>
      <c r="W104" s="672"/>
      <c r="X104" s="672"/>
      <c r="Y104" s="672"/>
      <c r="Z104" s="672"/>
    </row>
    <row r="105" ht="15.75" customHeight="1">
      <c r="A105" s="672"/>
      <c r="B105" s="676">
        <v>98.0</v>
      </c>
      <c r="C105" s="691"/>
      <c r="D105" s="692" t="s">
        <v>16658</v>
      </c>
      <c r="E105" s="678" t="s">
        <v>16545</v>
      </c>
      <c r="F105" s="677" t="s">
        <v>13058</v>
      </c>
      <c r="G105" s="677" t="s">
        <v>29</v>
      </c>
      <c r="H105" s="677" t="s">
        <v>16546</v>
      </c>
      <c r="I105" s="677"/>
      <c r="J105" s="677" t="s">
        <v>16547</v>
      </c>
      <c r="K105" s="677">
        <f>1223+4</f>
        <v>1227</v>
      </c>
      <c r="L105" s="677"/>
      <c r="M105" s="676"/>
      <c r="N105" s="677" t="s">
        <v>2953</v>
      </c>
      <c r="O105" s="676">
        <v>1989.0</v>
      </c>
      <c r="P105" s="677" t="s">
        <v>388</v>
      </c>
      <c r="Q105" s="676">
        <v>1.0</v>
      </c>
      <c r="R105" s="679"/>
      <c r="S105" s="672"/>
      <c r="T105" s="672"/>
      <c r="U105" s="672"/>
      <c r="V105" s="672"/>
      <c r="W105" s="672"/>
      <c r="X105" s="672"/>
      <c r="Y105" s="672"/>
      <c r="Z105" s="672"/>
    </row>
    <row r="106" ht="15.75" customHeight="1">
      <c r="A106" s="672"/>
      <c r="B106" s="676">
        <v>99.0</v>
      </c>
      <c r="C106" s="691"/>
      <c r="D106" s="703" t="s">
        <v>16659</v>
      </c>
      <c r="E106" s="704" t="s">
        <v>16660</v>
      </c>
      <c r="F106" s="705" t="s">
        <v>13058</v>
      </c>
      <c r="G106" s="705" t="s">
        <v>29</v>
      </c>
      <c r="H106" s="705" t="s">
        <v>15305</v>
      </c>
      <c r="I106" s="705"/>
      <c r="J106" s="705" t="s">
        <v>15305</v>
      </c>
      <c r="K106" s="705"/>
      <c r="L106" s="705"/>
      <c r="M106" s="706"/>
      <c r="N106" s="705" t="s">
        <v>16336</v>
      </c>
      <c r="O106" s="706">
        <v>1969.0</v>
      </c>
      <c r="P106" s="705" t="s">
        <v>388</v>
      </c>
      <c r="Q106" s="706">
        <v>1.0</v>
      </c>
      <c r="R106" s="707" t="s">
        <v>2743</v>
      </c>
      <c r="S106" s="672"/>
      <c r="T106" s="672"/>
      <c r="U106" s="672"/>
      <c r="V106" s="672"/>
      <c r="W106" s="672"/>
      <c r="X106" s="672"/>
      <c r="Y106" s="672"/>
      <c r="Z106" s="672"/>
    </row>
    <row r="107" ht="15.75" customHeight="1">
      <c r="A107" s="672"/>
      <c r="B107" s="676">
        <v>100.0</v>
      </c>
      <c r="C107" s="691"/>
      <c r="D107" s="676" t="s">
        <v>16617</v>
      </c>
      <c r="E107" s="678" t="s">
        <v>16661</v>
      </c>
      <c r="F107" s="677" t="s">
        <v>13058</v>
      </c>
      <c r="G107" s="677" t="s">
        <v>29</v>
      </c>
      <c r="H107" s="677" t="s">
        <v>2417</v>
      </c>
      <c r="I107" s="677"/>
      <c r="J107" s="677" t="s">
        <v>16662</v>
      </c>
      <c r="K107" s="677">
        <f>1238+400+5</f>
        <v>1643</v>
      </c>
      <c r="L107" s="677"/>
      <c r="M107" s="676"/>
      <c r="N107" s="677" t="s">
        <v>16663</v>
      </c>
      <c r="O107" s="676">
        <v>1988.0</v>
      </c>
      <c r="P107" s="677" t="s">
        <v>388</v>
      </c>
      <c r="Q107" s="676">
        <v>2.0</v>
      </c>
      <c r="R107" s="679"/>
      <c r="S107" s="672"/>
      <c r="T107" s="672"/>
      <c r="U107" s="672"/>
      <c r="V107" s="672"/>
      <c r="W107" s="672"/>
      <c r="X107" s="672"/>
      <c r="Y107" s="672"/>
      <c r="Z107" s="672"/>
    </row>
    <row r="108" ht="15.75" customHeight="1">
      <c r="A108" s="672"/>
      <c r="B108" s="676">
        <v>101.0</v>
      </c>
      <c r="C108" s="691"/>
      <c r="D108" s="676" t="s">
        <v>16664</v>
      </c>
      <c r="E108" s="678" t="s">
        <v>16665</v>
      </c>
      <c r="F108" s="677" t="s">
        <v>13058</v>
      </c>
      <c r="G108" s="677" t="s">
        <v>29</v>
      </c>
      <c r="H108" s="677" t="s">
        <v>16666</v>
      </c>
      <c r="I108" s="677"/>
      <c r="J108" s="677" t="s">
        <v>6431</v>
      </c>
      <c r="K108" s="677"/>
      <c r="L108" s="677"/>
      <c r="M108" s="676"/>
      <c r="N108" s="677" t="s">
        <v>16667</v>
      </c>
      <c r="O108" s="676">
        <v>1966.0</v>
      </c>
      <c r="P108" s="677" t="s">
        <v>388</v>
      </c>
      <c r="Q108" s="676">
        <v>1.0</v>
      </c>
      <c r="R108" s="679"/>
      <c r="S108" s="672"/>
      <c r="T108" s="672"/>
      <c r="U108" s="672"/>
      <c r="V108" s="672"/>
      <c r="W108" s="672"/>
      <c r="X108" s="672"/>
      <c r="Y108" s="672"/>
      <c r="Z108" s="672"/>
    </row>
    <row r="109" ht="15.75" customHeight="1">
      <c r="A109" s="672"/>
      <c r="B109" s="676">
        <v>102.0</v>
      </c>
      <c r="C109" s="691"/>
      <c r="D109" s="676" t="s">
        <v>16668</v>
      </c>
      <c r="E109" s="678" t="s">
        <v>16565</v>
      </c>
      <c r="F109" s="677" t="s">
        <v>13058</v>
      </c>
      <c r="G109" s="677" t="s">
        <v>29</v>
      </c>
      <c r="H109" s="677" t="s">
        <v>9209</v>
      </c>
      <c r="I109" s="677"/>
      <c r="J109" s="677" t="s">
        <v>16552</v>
      </c>
      <c r="K109" s="677"/>
      <c r="L109" s="677"/>
      <c r="M109" s="676"/>
      <c r="N109" s="677" t="s">
        <v>16669</v>
      </c>
      <c r="O109" s="676">
        <v>1965.0</v>
      </c>
      <c r="P109" s="677" t="s">
        <v>388</v>
      </c>
      <c r="Q109" s="676">
        <v>1.0</v>
      </c>
      <c r="R109" s="679"/>
      <c r="S109" s="672"/>
      <c r="T109" s="672"/>
      <c r="U109" s="672"/>
      <c r="V109" s="672"/>
      <c r="W109" s="672"/>
      <c r="X109" s="672"/>
      <c r="Y109" s="672"/>
      <c r="Z109" s="672"/>
    </row>
    <row r="110" ht="15.75" customHeight="1">
      <c r="A110" s="672"/>
      <c r="B110" s="676">
        <v>103.0</v>
      </c>
      <c r="C110" s="691"/>
      <c r="D110" s="676" t="s">
        <v>16670</v>
      </c>
      <c r="E110" s="678" t="s">
        <v>16671</v>
      </c>
      <c r="F110" s="677" t="s">
        <v>13058</v>
      </c>
      <c r="G110" s="677" t="s">
        <v>29</v>
      </c>
      <c r="H110" s="677" t="s">
        <v>2417</v>
      </c>
      <c r="I110" s="677"/>
      <c r="J110" s="677" t="s">
        <v>16348</v>
      </c>
      <c r="K110" s="677">
        <f>1278</f>
        <v>1278</v>
      </c>
      <c r="L110" s="677"/>
      <c r="M110" s="676"/>
      <c r="N110" s="677" t="s">
        <v>16520</v>
      </c>
      <c r="O110" s="676">
        <v>1975.0</v>
      </c>
      <c r="P110" s="677" t="s">
        <v>388</v>
      </c>
      <c r="Q110" s="676">
        <v>1.0</v>
      </c>
      <c r="R110" s="679"/>
      <c r="S110" s="672"/>
      <c r="T110" s="672"/>
      <c r="U110" s="672"/>
      <c r="V110" s="672"/>
      <c r="W110" s="672"/>
      <c r="X110" s="672"/>
      <c r="Y110" s="672"/>
      <c r="Z110" s="672"/>
    </row>
    <row r="111" ht="15.75" customHeight="1">
      <c r="A111" s="672"/>
      <c r="B111" s="676">
        <v>106.0</v>
      </c>
      <c r="C111" s="676" t="s">
        <v>16672</v>
      </c>
      <c r="D111" s="676" t="s">
        <v>16673</v>
      </c>
      <c r="E111" s="678" t="s">
        <v>16674</v>
      </c>
      <c r="F111" s="677" t="s">
        <v>13058</v>
      </c>
      <c r="G111" s="677" t="s">
        <v>29</v>
      </c>
      <c r="H111" s="677"/>
      <c r="I111" s="677"/>
      <c r="J111" s="677" t="s">
        <v>16675</v>
      </c>
      <c r="K111" s="677">
        <f>864+276+3+12</f>
        <v>1155</v>
      </c>
      <c r="L111" s="677" t="s">
        <v>16201</v>
      </c>
      <c r="M111" s="676"/>
      <c r="N111" s="677" t="s">
        <v>16676</v>
      </c>
      <c r="O111" s="676">
        <v>1995.0</v>
      </c>
      <c r="P111" s="677" t="s">
        <v>388</v>
      </c>
      <c r="Q111" s="676">
        <v>1.0</v>
      </c>
      <c r="R111" s="679"/>
      <c r="S111" s="672"/>
      <c r="T111" s="672"/>
      <c r="U111" s="672"/>
      <c r="V111" s="672"/>
      <c r="W111" s="672"/>
      <c r="X111" s="672"/>
      <c r="Y111" s="672"/>
      <c r="Z111" s="672"/>
    </row>
    <row r="112" ht="15.75" customHeight="1">
      <c r="A112" s="672"/>
      <c r="B112" s="676">
        <v>107.0</v>
      </c>
      <c r="C112" s="691"/>
      <c r="D112" s="676" t="s">
        <v>16677</v>
      </c>
      <c r="E112" s="678" t="s">
        <v>16519</v>
      </c>
      <c r="F112" s="677" t="s">
        <v>12445</v>
      </c>
      <c r="G112" s="677" t="s">
        <v>29</v>
      </c>
      <c r="H112" s="677" t="s">
        <v>2417</v>
      </c>
      <c r="I112" s="677"/>
      <c r="J112" s="677" t="s">
        <v>16348</v>
      </c>
      <c r="K112" s="677">
        <f>626+5+8</f>
        <v>639</v>
      </c>
      <c r="L112" s="677"/>
      <c r="M112" s="676"/>
      <c r="N112" s="677" t="s">
        <v>16520</v>
      </c>
      <c r="O112" s="676">
        <v>1973.0</v>
      </c>
      <c r="P112" s="677" t="s">
        <v>388</v>
      </c>
      <c r="Q112" s="676">
        <v>1.0</v>
      </c>
      <c r="R112" s="679"/>
      <c r="S112" s="672"/>
      <c r="T112" s="672"/>
      <c r="U112" s="672"/>
      <c r="V112" s="672"/>
      <c r="W112" s="672"/>
      <c r="X112" s="672"/>
      <c r="Y112" s="672"/>
      <c r="Z112" s="672"/>
    </row>
    <row r="113" ht="15.75" customHeight="1">
      <c r="A113" s="672"/>
      <c r="B113" s="676">
        <v>108.0</v>
      </c>
      <c r="C113" s="691"/>
      <c r="D113" s="676" t="s">
        <v>16678</v>
      </c>
      <c r="E113" s="678" t="s">
        <v>16679</v>
      </c>
      <c r="F113" s="677" t="s">
        <v>2355</v>
      </c>
      <c r="G113" s="677" t="s">
        <v>29</v>
      </c>
      <c r="H113" s="677" t="s">
        <v>16666</v>
      </c>
      <c r="I113" s="677"/>
      <c r="J113" s="677" t="s">
        <v>6431</v>
      </c>
      <c r="K113" s="677"/>
      <c r="L113" s="677" t="s">
        <v>16201</v>
      </c>
      <c r="M113" s="676"/>
      <c r="N113" s="677" t="s">
        <v>16680</v>
      </c>
      <c r="O113" s="676">
        <v>1988.0</v>
      </c>
      <c r="P113" s="677" t="s">
        <v>388</v>
      </c>
      <c r="Q113" s="676">
        <v>1.0</v>
      </c>
      <c r="R113" s="679"/>
      <c r="S113" s="672"/>
      <c r="T113" s="672"/>
      <c r="U113" s="672"/>
      <c r="V113" s="672"/>
      <c r="W113" s="672"/>
      <c r="X113" s="672"/>
      <c r="Y113" s="672"/>
      <c r="Z113" s="672"/>
    </row>
    <row r="114" ht="15.75" customHeight="1">
      <c r="A114" s="672"/>
      <c r="B114" s="676">
        <v>109.0</v>
      </c>
      <c r="C114" s="691"/>
      <c r="D114" s="676" t="s">
        <v>16681</v>
      </c>
      <c r="E114" s="702" t="s">
        <v>16682</v>
      </c>
      <c r="F114" s="677" t="s">
        <v>12445</v>
      </c>
      <c r="G114" s="677" t="s">
        <v>29</v>
      </c>
      <c r="H114" s="677" t="s">
        <v>16414</v>
      </c>
      <c r="I114" s="677"/>
      <c r="J114" s="677" t="s">
        <v>16414</v>
      </c>
      <c r="K114" s="677"/>
      <c r="L114" s="677" t="s">
        <v>16201</v>
      </c>
      <c r="M114" s="676"/>
      <c r="N114" s="677" t="s">
        <v>16415</v>
      </c>
      <c r="O114" s="676">
        <v>1978.0</v>
      </c>
      <c r="P114" s="677" t="s">
        <v>388</v>
      </c>
      <c r="Q114" s="676">
        <v>1.0</v>
      </c>
      <c r="R114" s="679"/>
      <c r="S114" s="672"/>
      <c r="T114" s="672"/>
      <c r="U114" s="672"/>
      <c r="V114" s="672"/>
      <c r="W114" s="672"/>
      <c r="X114" s="672"/>
      <c r="Y114" s="672"/>
      <c r="Z114" s="672"/>
    </row>
    <row r="115" ht="15.75" customHeight="1">
      <c r="A115" s="672"/>
      <c r="B115" s="676">
        <v>110.0</v>
      </c>
      <c r="C115" s="691" t="s">
        <v>16683</v>
      </c>
      <c r="D115" s="676" t="s">
        <v>16684</v>
      </c>
      <c r="E115" s="678" t="s">
        <v>16685</v>
      </c>
      <c r="F115" s="677" t="s">
        <v>2355</v>
      </c>
      <c r="G115" s="677" t="s">
        <v>29</v>
      </c>
      <c r="H115" s="677" t="s">
        <v>131</v>
      </c>
      <c r="I115" s="677"/>
      <c r="J115" s="677" t="s">
        <v>131</v>
      </c>
      <c r="K115" s="677">
        <f>1094+326+34+10</f>
        <v>1464</v>
      </c>
      <c r="L115" s="677" t="s">
        <v>16686</v>
      </c>
      <c r="M115" s="676"/>
      <c r="N115" s="677" t="s">
        <v>16687</v>
      </c>
      <c r="O115" s="676">
        <v>1986.0</v>
      </c>
      <c r="P115" s="677" t="s">
        <v>388</v>
      </c>
      <c r="Q115" s="676">
        <v>1.0</v>
      </c>
      <c r="R115" s="679"/>
      <c r="S115" s="672"/>
      <c r="T115" s="672"/>
      <c r="U115" s="672"/>
      <c r="V115" s="672"/>
      <c r="W115" s="672"/>
      <c r="X115" s="672"/>
      <c r="Y115" s="672"/>
      <c r="Z115" s="672"/>
    </row>
    <row r="116" ht="15.75" customHeight="1">
      <c r="A116" s="672"/>
      <c r="B116" s="676">
        <v>111.0</v>
      </c>
      <c r="C116" s="691" t="s">
        <v>16688</v>
      </c>
      <c r="D116" s="676" t="s">
        <v>16689</v>
      </c>
      <c r="E116" s="678" t="s">
        <v>16690</v>
      </c>
      <c r="F116" s="677"/>
      <c r="G116" s="677" t="s">
        <v>29</v>
      </c>
      <c r="H116" s="677" t="s">
        <v>131</v>
      </c>
      <c r="I116" s="677"/>
      <c r="J116" s="677" t="s">
        <v>131</v>
      </c>
      <c r="K116" s="677">
        <f>367</f>
        <v>367</v>
      </c>
      <c r="L116" s="677"/>
      <c r="M116" s="676"/>
      <c r="N116" s="677" t="s">
        <v>16691</v>
      </c>
      <c r="O116" s="676">
        <v>1993.0</v>
      </c>
      <c r="P116" s="677" t="s">
        <v>388</v>
      </c>
      <c r="Q116" s="676">
        <v>1.0</v>
      </c>
      <c r="R116" s="679"/>
      <c r="S116" s="672"/>
      <c r="T116" s="672"/>
      <c r="U116" s="672"/>
      <c r="V116" s="672"/>
      <c r="W116" s="672"/>
      <c r="X116" s="672"/>
      <c r="Y116" s="672"/>
      <c r="Z116" s="672"/>
    </row>
    <row r="117" ht="15.75" customHeight="1">
      <c r="A117" s="672"/>
      <c r="B117" s="676">
        <v>112.0</v>
      </c>
      <c r="C117" s="691"/>
      <c r="D117" s="676" t="s">
        <v>16678</v>
      </c>
      <c r="E117" s="702" t="s">
        <v>16692</v>
      </c>
      <c r="F117" s="677" t="s">
        <v>13058</v>
      </c>
      <c r="G117" s="677" t="s">
        <v>29</v>
      </c>
      <c r="H117" s="677" t="s">
        <v>16693</v>
      </c>
      <c r="I117" s="677"/>
      <c r="J117" s="677" t="s">
        <v>6431</v>
      </c>
      <c r="K117" s="677">
        <f>1157+9+2</f>
        <v>1168</v>
      </c>
      <c r="L117" s="677" t="s">
        <v>16201</v>
      </c>
      <c r="M117" s="676"/>
      <c r="N117" s="677" t="s">
        <v>16693</v>
      </c>
      <c r="O117" s="676">
        <v>1988.0</v>
      </c>
      <c r="P117" s="677" t="s">
        <v>388</v>
      </c>
      <c r="Q117" s="676">
        <v>1.0</v>
      </c>
      <c r="R117" s="679"/>
      <c r="S117" s="672"/>
      <c r="T117" s="672"/>
      <c r="U117" s="672"/>
      <c r="V117" s="672"/>
      <c r="W117" s="672"/>
      <c r="X117" s="672"/>
      <c r="Y117" s="672"/>
      <c r="Z117" s="672"/>
    </row>
    <row r="118" ht="15.75" customHeight="1">
      <c r="A118" s="672"/>
      <c r="B118" s="676">
        <v>113.0</v>
      </c>
      <c r="C118" s="691"/>
      <c r="D118" s="676" t="s">
        <v>16694</v>
      </c>
      <c r="E118" s="678" t="s">
        <v>16695</v>
      </c>
      <c r="F118" s="677" t="s">
        <v>13058</v>
      </c>
      <c r="G118" s="677" t="s">
        <v>29</v>
      </c>
      <c r="H118" s="677" t="s">
        <v>9209</v>
      </c>
      <c r="I118" s="677"/>
      <c r="J118" s="677" t="s">
        <v>16552</v>
      </c>
      <c r="K118" s="677">
        <f>986+4+328+54</f>
        <v>1372</v>
      </c>
      <c r="L118" s="677" t="s">
        <v>16201</v>
      </c>
      <c r="M118" s="676"/>
      <c r="N118" s="677" t="s">
        <v>16696</v>
      </c>
      <c r="O118" s="676">
        <v>1967.0</v>
      </c>
      <c r="P118" s="677" t="s">
        <v>388</v>
      </c>
      <c r="Q118" s="676">
        <v>1.0</v>
      </c>
      <c r="R118" s="679"/>
      <c r="S118" s="672"/>
      <c r="T118" s="672"/>
      <c r="U118" s="672"/>
      <c r="V118" s="672"/>
      <c r="W118" s="672"/>
      <c r="X118" s="672"/>
      <c r="Y118" s="672"/>
      <c r="Z118" s="672"/>
    </row>
    <row r="119" ht="15.75" customHeight="1">
      <c r="A119" s="672"/>
      <c r="B119" s="676">
        <v>114.0</v>
      </c>
      <c r="C119" s="691" t="s">
        <v>16697</v>
      </c>
      <c r="D119" s="676" t="s">
        <v>16698</v>
      </c>
      <c r="E119" s="678" t="s">
        <v>16699</v>
      </c>
      <c r="F119" s="677" t="s">
        <v>12445</v>
      </c>
      <c r="G119" s="677" t="s">
        <v>29</v>
      </c>
      <c r="H119" s="677" t="s">
        <v>16700</v>
      </c>
      <c r="I119" s="677"/>
      <c r="J119" s="677" t="s">
        <v>16701</v>
      </c>
      <c r="K119" s="677">
        <f>711+9</f>
        <v>720</v>
      </c>
      <c r="L119" s="677" t="s">
        <v>15116</v>
      </c>
      <c r="M119" s="676"/>
      <c r="N119" s="677" t="s">
        <v>16702</v>
      </c>
      <c r="O119" s="676">
        <v>1986.0</v>
      </c>
      <c r="P119" s="677" t="s">
        <v>388</v>
      </c>
      <c r="Q119" s="676">
        <v>1.0</v>
      </c>
      <c r="R119" s="679"/>
      <c r="S119" s="672"/>
      <c r="T119" s="672"/>
      <c r="U119" s="672"/>
      <c r="V119" s="672"/>
      <c r="W119" s="672"/>
      <c r="X119" s="672"/>
      <c r="Y119" s="672"/>
      <c r="Z119" s="672"/>
    </row>
    <row r="120" ht="15.75" customHeight="1">
      <c r="A120" s="672"/>
      <c r="B120" s="676">
        <v>115.0</v>
      </c>
      <c r="C120" s="691"/>
      <c r="D120" s="676" t="s">
        <v>16703</v>
      </c>
      <c r="E120" s="678" t="s">
        <v>16551</v>
      </c>
      <c r="F120" s="677" t="s">
        <v>12445</v>
      </c>
      <c r="G120" s="677" t="s">
        <v>29</v>
      </c>
      <c r="H120" s="677" t="s">
        <v>9209</v>
      </c>
      <c r="I120" s="677"/>
      <c r="J120" s="677" t="s">
        <v>16552</v>
      </c>
      <c r="K120" s="677"/>
      <c r="L120" s="677" t="s">
        <v>16201</v>
      </c>
      <c r="M120" s="676"/>
      <c r="N120" s="677" t="s">
        <v>16704</v>
      </c>
      <c r="O120" s="676">
        <v>1956.0</v>
      </c>
      <c r="P120" s="677" t="s">
        <v>388</v>
      </c>
      <c r="Q120" s="676">
        <v>1.0</v>
      </c>
      <c r="R120" s="679"/>
      <c r="S120" s="672"/>
      <c r="T120" s="672"/>
      <c r="U120" s="672"/>
      <c r="V120" s="672"/>
      <c r="W120" s="672"/>
      <c r="X120" s="672"/>
      <c r="Y120" s="672"/>
      <c r="Z120" s="672"/>
    </row>
    <row r="121" ht="15.75" customHeight="1">
      <c r="A121" s="672"/>
      <c r="B121" s="676">
        <v>116.0</v>
      </c>
      <c r="C121" s="691"/>
      <c r="D121" s="676" t="s">
        <v>16705</v>
      </c>
      <c r="E121" s="678" t="s">
        <v>16706</v>
      </c>
      <c r="F121" s="677" t="s">
        <v>12445</v>
      </c>
      <c r="G121" s="677" t="s">
        <v>29</v>
      </c>
      <c r="H121" s="677" t="s">
        <v>38</v>
      </c>
      <c r="I121" s="677"/>
      <c r="J121" s="677" t="s">
        <v>38</v>
      </c>
      <c r="K121" s="677">
        <f>620+20</f>
        <v>640</v>
      </c>
      <c r="L121" s="677"/>
      <c r="M121" s="676"/>
      <c r="N121" s="677" t="s">
        <v>6409</v>
      </c>
      <c r="O121" s="676">
        <v>1973.0</v>
      </c>
      <c r="P121" s="677" t="s">
        <v>388</v>
      </c>
      <c r="Q121" s="676">
        <v>1.0</v>
      </c>
      <c r="R121" s="679"/>
      <c r="S121" s="672"/>
      <c r="T121" s="672"/>
      <c r="U121" s="672"/>
      <c r="V121" s="672"/>
      <c r="W121" s="672"/>
      <c r="X121" s="672"/>
      <c r="Y121" s="672"/>
      <c r="Z121" s="672"/>
    </row>
    <row r="122" ht="15.75" customHeight="1">
      <c r="A122" s="672"/>
      <c r="B122" s="676">
        <v>117.0</v>
      </c>
      <c r="C122" s="691"/>
      <c r="D122" s="676" t="s">
        <v>16707</v>
      </c>
      <c r="E122" s="678" t="s">
        <v>16708</v>
      </c>
      <c r="F122" s="677" t="s">
        <v>13058</v>
      </c>
      <c r="G122" s="677" t="s">
        <v>29</v>
      </c>
      <c r="H122" s="677"/>
      <c r="I122" s="677"/>
      <c r="J122" s="677" t="s">
        <v>16709</v>
      </c>
      <c r="K122" s="677">
        <f>1245</f>
        <v>1245</v>
      </c>
      <c r="L122" s="677"/>
      <c r="M122" s="676"/>
      <c r="N122" s="677" t="s">
        <v>16710</v>
      </c>
      <c r="O122" s="676">
        <v>1989.0</v>
      </c>
      <c r="P122" s="677" t="s">
        <v>388</v>
      </c>
      <c r="Q122" s="676">
        <v>1.0</v>
      </c>
      <c r="R122" s="679"/>
      <c r="S122" s="672"/>
      <c r="T122" s="672"/>
      <c r="U122" s="672"/>
      <c r="V122" s="672"/>
      <c r="W122" s="672"/>
      <c r="X122" s="672"/>
      <c r="Y122" s="672"/>
      <c r="Z122" s="672"/>
    </row>
    <row r="123" ht="15.75" customHeight="1">
      <c r="A123" s="672"/>
      <c r="B123" s="676">
        <v>118.0</v>
      </c>
      <c r="C123" s="691"/>
      <c r="D123" s="676" t="s">
        <v>16711</v>
      </c>
      <c r="E123" s="678" t="s">
        <v>16712</v>
      </c>
      <c r="F123" s="677" t="s">
        <v>13058</v>
      </c>
      <c r="G123" s="677" t="s">
        <v>29</v>
      </c>
      <c r="H123" s="677" t="s">
        <v>16382</v>
      </c>
      <c r="I123" s="677"/>
      <c r="J123" s="677" t="s">
        <v>16713</v>
      </c>
      <c r="K123" s="677">
        <f>1352</f>
        <v>1352</v>
      </c>
      <c r="L123" s="677"/>
      <c r="M123" s="676"/>
      <c r="N123" s="677" t="s">
        <v>16714</v>
      </c>
      <c r="O123" s="676">
        <v>1989.0</v>
      </c>
      <c r="P123" s="677" t="s">
        <v>388</v>
      </c>
      <c r="Q123" s="676">
        <v>1.0</v>
      </c>
      <c r="R123" s="679"/>
      <c r="S123" s="672"/>
      <c r="T123" s="672"/>
      <c r="U123" s="672"/>
      <c r="V123" s="672"/>
      <c r="W123" s="672"/>
      <c r="X123" s="672"/>
      <c r="Y123" s="672"/>
      <c r="Z123" s="672"/>
    </row>
    <row r="124" ht="15.75" customHeight="1">
      <c r="A124" s="672"/>
      <c r="B124" s="676">
        <v>119.0</v>
      </c>
      <c r="C124" s="691"/>
      <c r="D124" s="676" t="s">
        <v>16715</v>
      </c>
      <c r="E124" s="678" t="s">
        <v>16542</v>
      </c>
      <c r="F124" s="677" t="s">
        <v>13058</v>
      </c>
      <c r="G124" s="677" t="s">
        <v>29</v>
      </c>
      <c r="H124" s="677" t="s">
        <v>16414</v>
      </c>
      <c r="I124" s="677"/>
      <c r="J124" s="677" t="s">
        <v>15305</v>
      </c>
      <c r="K124" s="677">
        <f>918+296</f>
        <v>1214</v>
      </c>
      <c r="L124" s="677"/>
      <c r="M124" s="676"/>
      <c r="N124" s="677" t="s">
        <v>16716</v>
      </c>
      <c r="O124" s="676">
        <v>1988.0</v>
      </c>
      <c r="P124" s="677" t="s">
        <v>388</v>
      </c>
      <c r="Q124" s="676">
        <v>1.0</v>
      </c>
      <c r="R124" s="679"/>
      <c r="S124" s="672"/>
      <c r="T124" s="672"/>
      <c r="U124" s="672"/>
      <c r="V124" s="672"/>
      <c r="W124" s="672"/>
      <c r="X124" s="672"/>
      <c r="Y124" s="672"/>
      <c r="Z124" s="672"/>
    </row>
    <row r="125" ht="15.75" customHeight="1">
      <c r="A125" s="672"/>
      <c r="B125" s="676">
        <v>120.0</v>
      </c>
      <c r="C125" s="691"/>
      <c r="D125" s="676" t="s">
        <v>16717</v>
      </c>
      <c r="E125" s="678" t="s">
        <v>16718</v>
      </c>
      <c r="F125" s="677" t="s">
        <v>12445</v>
      </c>
      <c r="G125" s="677" t="s">
        <v>29</v>
      </c>
      <c r="H125" s="677" t="s">
        <v>16719</v>
      </c>
      <c r="I125" s="677"/>
      <c r="J125" s="677" t="s">
        <v>15305</v>
      </c>
      <c r="K125" s="677"/>
      <c r="L125" s="677"/>
      <c r="M125" s="676"/>
      <c r="N125" s="677" t="s">
        <v>16720</v>
      </c>
      <c r="O125" s="676">
        <v>1967.0</v>
      </c>
      <c r="P125" s="677" t="s">
        <v>388</v>
      </c>
      <c r="Q125" s="676">
        <v>1.0</v>
      </c>
      <c r="R125" s="679"/>
      <c r="S125" s="672"/>
      <c r="T125" s="672"/>
      <c r="U125" s="672"/>
      <c r="V125" s="672"/>
      <c r="W125" s="672"/>
      <c r="X125" s="672"/>
      <c r="Y125" s="672"/>
      <c r="Z125" s="672"/>
    </row>
    <row r="126" ht="15.75" customHeight="1">
      <c r="A126" s="672"/>
      <c r="B126" s="676">
        <v>121.0</v>
      </c>
      <c r="C126" s="691" t="s">
        <v>16721</v>
      </c>
      <c r="D126" s="676" t="s">
        <v>16722</v>
      </c>
      <c r="E126" s="678" t="s">
        <v>16723</v>
      </c>
      <c r="F126" s="677" t="s">
        <v>13058</v>
      </c>
      <c r="G126" s="677" t="s">
        <v>29</v>
      </c>
      <c r="H126" s="677" t="s">
        <v>9209</v>
      </c>
      <c r="I126" s="677"/>
      <c r="J126" s="677" t="s">
        <v>16552</v>
      </c>
      <c r="K126" s="677">
        <f>1024+2+364+6</f>
        <v>1396</v>
      </c>
      <c r="L126" s="677"/>
      <c r="M126" s="676"/>
      <c r="N126" s="677" t="s">
        <v>100</v>
      </c>
      <c r="O126" s="676">
        <v>1982.0</v>
      </c>
      <c r="P126" s="677" t="s">
        <v>388</v>
      </c>
      <c r="Q126" s="676">
        <v>1.0</v>
      </c>
      <c r="R126" s="679"/>
      <c r="S126" s="672"/>
      <c r="T126" s="672"/>
      <c r="U126" s="672"/>
      <c r="V126" s="672"/>
      <c r="W126" s="672"/>
      <c r="X126" s="672"/>
      <c r="Y126" s="672"/>
      <c r="Z126" s="672"/>
    </row>
    <row r="127" ht="15.75" customHeight="1">
      <c r="A127" s="672"/>
      <c r="B127" s="676">
        <v>122.0</v>
      </c>
      <c r="C127" s="691" t="s">
        <v>16724</v>
      </c>
      <c r="D127" s="676" t="s">
        <v>16725</v>
      </c>
      <c r="E127" s="678" t="s">
        <v>16726</v>
      </c>
      <c r="F127" s="677" t="s">
        <v>13058</v>
      </c>
      <c r="G127" s="677" t="s">
        <v>29</v>
      </c>
      <c r="H127" s="677" t="s">
        <v>15304</v>
      </c>
      <c r="I127" s="677"/>
      <c r="J127" s="677" t="s">
        <v>15305</v>
      </c>
      <c r="K127" s="677">
        <f>1250+449+12</f>
        <v>1711</v>
      </c>
      <c r="L127" s="677"/>
      <c r="M127" s="676"/>
      <c r="N127" s="677" t="s">
        <v>13587</v>
      </c>
      <c r="O127" s="676">
        <v>1988.0</v>
      </c>
      <c r="P127" s="677" t="s">
        <v>388</v>
      </c>
      <c r="Q127" s="676">
        <v>1.0</v>
      </c>
      <c r="R127" s="679"/>
      <c r="S127" s="672"/>
      <c r="T127" s="672"/>
      <c r="U127" s="672"/>
      <c r="V127" s="672"/>
      <c r="W127" s="672"/>
      <c r="X127" s="672"/>
      <c r="Y127" s="672"/>
      <c r="Z127" s="672"/>
    </row>
    <row r="128" ht="15.75" customHeight="1">
      <c r="A128" s="672"/>
      <c r="B128" s="676">
        <v>123.0</v>
      </c>
      <c r="C128" s="691"/>
      <c r="D128" s="676" t="s">
        <v>16727</v>
      </c>
      <c r="E128" s="678" t="s">
        <v>16728</v>
      </c>
      <c r="F128" s="677" t="s">
        <v>13058</v>
      </c>
      <c r="G128" s="677" t="s">
        <v>29</v>
      </c>
      <c r="H128" s="677" t="s">
        <v>16729</v>
      </c>
      <c r="I128" s="677"/>
      <c r="J128" s="677" t="s">
        <v>16729</v>
      </c>
      <c r="K128" s="677">
        <f>1354+5</f>
        <v>1359</v>
      </c>
      <c r="L128" s="677" t="s">
        <v>16201</v>
      </c>
      <c r="M128" s="676"/>
      <c r="N128" s="677" t="s">
        <v>16730</v>
      </c>
      <c r="O128" s="676">
        <v>1975.0</v>
      </c>
      <c r="P128" s="677" t="s">
        <v>388</v>
      </c>
      <c r="Q128" s="676">
        <v>1.0</v>
      </c>
      <c r="R128" s="679"/>
      <c r="S128" s="672"/>
      <c r="T128" s="672"/>
      <c r="U128" s="672"/>
      <c r="V128" s="672"/>
      <c r="W128" s="672"/>
      <c r="X128" s="672"/>
      <c r="Y128" s="672"/>
      <c r="Z128" s="672"/>
    </row>
    <row r="129" ht="15.75" customHeight="1">
      <c r="A129" s="672"/>
      <c r="B129" s="676">
        <v>124.0</v>
      </c>
      <c r="C129" s="691"/>
      <c r="D129" s="676" t="s">
        <v>16731</v>
      </c>
      <c r="E129" s="678" t="s">
        <v>16732</v>
      </c>
      <c r="F129" s="677" t="s">
        <v>13058</v>
      </c>
      <c r="G129" s="677" t="s">
        <v>29</v>
      </c>
      <c r="H129" s="677" t="s">
        <v>16733</v>
      </c>
      <c r="I129" s="677"/>
      <c r="J129" s="677" t="s">
        <v>16734</v>
      </c>
      <c r="K129" s="677">
        <v>1079.0</v>
      </c>
      <c r="L129" s="677"/>
      <c r="M129" s="676"/>
      <c r="N129" s="677" t="s">
        <v>16589</v>
      </c>
      <c r="O129" s="676">
        <v>1985.0</v>
      </c>
      <c r="P129" s="677" t="s">
        <v>388</v>
      </c>
      <c r="Q129" s="676">
        <v>1.0</v>
      </c>
      <c r="R129" s="679"/>
      <c r="S129" s="672"/>
      <c r="T129" s="672"/>
      <c r="U129" s="672"/>
      <c r="V129" s="672"/>
      <c r="W129" s="672"/>
      <c r="X129" s="672"/>
      <c r="Y129" s="672"/>
      <c r="Z129" s="672"/>
    </row>
    <row r="130" ht="15.75" customHeight="1">
      <c r="A130" s="672"/>
      <c r="B130" s="676">
        <v>125.0</v>
      </c>
      <c r="C130" s="691"/>
      <c r="D130" s="676" t="s">
        <v>16735</v>
      </c>
      <c r="E130" s="678" t="s">
        <v>16736</v>
      </c>
      <c r="F130" s="677" t="s">
        <v>15035</v>
      </c>
      <c r="G130" s="677" t="s">
        <v>29</v>
      </c>
      <c r="H130" s="677" t="s">
        <v>16382</v>
      </c>
      <c r="I130" s="677"/>
      <c r="J130" s="677" t="s">
        <v>16382</v>
      </c>
      <c r="K130" s="677">
        <f>770+196</f>
        <v>966</v>
      </c>
      <c r="L130" s="677"/>
      <c r="M130" s="676"/>
      <c r="N130" s="677" t="s">
        <v>16737</v>
      </c>
      <c r="O130" s="676"/>
      <c r="P130" s="677" t="s">
        <v>388</v>
      </c>
      <c r="Q130" s="676">
        <v>1.0</v>
      </c>
      <c r="R130" s="679"/>
      <c r="S130" s="672"/>
      <c r="T130" s="672"/>
      <c r="U130" s="672"/>
      <c r="V130" s="672"/>
      <c r="W130" s="672"/>
      <c r="X130" s="672"/>
      <c r="Y130" s="672"/>
      <c r="Z130" s="672"/>
    </row>
    <row r="131" ht="15.75" customHeight="1">
      <c r="A131" s="672"/>
      <c r="B131" s="676">
        <v>126.0</v>
      </c>
      <c r="C131" s="691"/>
      <c r="D131" s="676" t="s">
        <v>16738</v>
      </c>
      <c r="E131" s="678" t="s">
        <v>16739</v>
      </c>
      <c r="F131" s="677" t="s">
        <v>13058</v>
      </c>
      <c r="G131" s="677" t="s">
        <v>29</v>
      </c>
      <c r="H131" s="677" t="s">
        <v>6431</v>
      </c>
      <c r="I131" s="677"/>
      <c r="J131" s="677" t="s">
        <v>6431</v>
      </c>
      <c r="K131" s="677">
        <f>1160</f>
        <v>1160</v>
      </c>
      <c r="L131" s="677" t="s">
        <v>16201</v>
      </c>
      <c r="M131" s="676"/>
      <c r="N131" s="677" t="s">
        <v>16352</v>
      </c>
      <c r="O131" s="676">
        <v>1974.0</v>
      </c>
      <c r="P131" s="677" t="s">
        <v>388</v>
      </c>
      <c r="Q131" s="676">
        <v>1.0</v>
      </c>
      <c r="R131" s="679"/>
      <c r="S131" s="672"/>
      <c r="T131" s="672"/>
      <c r="U131" s="672"/>
      <c r="V131" s="672"/>
      <c r="W131" s="672"/>
      <c r="X131" s="672"/>
      <c r="Y131" s="672"/>
      <c r="Z131" s="672"/>
    </row>
    <row r="132" ht="15.75" customHeight="1">
      <c r="A132" s="672"/>
      <c r="B132" s="676">
        <v>127.0</v>
      </c>
      <c r="C132" s="691"/>
      <c r="D132" s="676" t="s">
        <v>16740</v>
      </c>
      <c r="E132" s="678" t="s">
        <v>16741</v>
      </c>
      <c r="F132" s="677" t="s">
        <v>15035</v>
      </c>
      <c r="G132" s="677" t="s">
        <v>29</v>
      </c>
      <c r="H132" s="677" t="s">
        <v>16742</v>
      </c>
      <c r="I132" s="677"/>
      <c r="J132" s="677" t="s">
        <v>16742</v>
      </c>
      <c r="K132" s="677">
        <f>292+84+44</f>
        <v>420</v>
      </c>
      <c r="L132" s="677"/>
      <c r="M132" s="676"/>
      <c r="N132" s="677" t="s">
        <v>16743</v>
      </c>
      <c r="O132" s="676">
        <v>2007.0</v>
      </c>
      <c r="P132" s="677" t="s">
        <v>388</v>
      </c>
      <c r="Q132" s="676">
        <v>1.0</v>
      </c>
      <c r="R132" s="679"/>
      <c r="S132" s="672"/>
      <c r="T132" s="672"/>
      <c r="U132" s="672"/>
      <c r="V132" s="672"/>
      <c r="W132" s="672"/>
      <c r="X132" s="672"/>
      <c r="Y132" s="672"/>
      <c r="Z132" s="672"/>
    </row>
    <row r="133" ht="15.75" customHeight="1">
      <c r="A133" s="672"/>
      <c r="B133" s="676">
        <v>128.0</v>
      </c>
      <c r="C133" s="691"/>
      <c r="D133" s="676" t="s">
        <v>16744</v>
      </c>
      <c r="E133" s="678" t="s">
        <v>16679</v>
      </c>
      <c r="F133" s="677" t="s">
        <v>13058</v>
      </c>
      <c r="G133" s="677" t="s">
        <v>29</v>
      </c>
      <c r="H133" s="677" t="s">
        <v>15304</v>
      </c>
      <c r="I133" s="677"/>
      <c r="J133" s="677" t="s">
        <v>15304</v>
      </c>
      <c r="K133" s="677">
        <f>1568+175+10</f>
        <v>1753</v>
      </c>
      <c r="L133" s="677"/>
      <c r="M133" s="676"/>
      <c r="N133" s="677" t="s">
        <v>16332</v>
      </c>
      <c r="O133" s="676">
        <v>2012.0</v>
      </c>
      <c r="P133" s="677" t="s">
        <v>388</v>
      </c>
      <c r="Q133" s="676">
        <v>1.0</v>
      </c>
      <c r="R133" s="679"/>
      <c r="S133" s="672"/>
      <c r="T133" s="672"/>
      <c r="U133" s="672"/>
      <c r="V133" s="672"/>
      <c r="W133" s="672"/>
      <c r="X133" s="672"/>
      <c r="Y133" s="672"/>
      <c r="Z133" s="672"/>
    </row>
    <row r="134" ht="15.75" customHeight="1">
      <c r="A134" s="672"/>
      <c r="B134" s="676">
        <v>129.0</v>
      </c>
      <c r="C134" s="691"/>
      <c r="D134" s="676" t="s">
        <v>16745</v>
      </c>
      <c r="E134" s="678" t="s">
        <v>16746</v>
      </c>
      <c r="F134" s="677" t="s">
        <v>13058</v>
      </c>
      <c r="G134" s="677" t="s">
        <v>29</v>
      </c>
      <c r="H134" s="677" t="s">
        <v>16747</v>
      </c>
      <c r="I134" s="677"/>
      <c r="J134" s="677" t="s">
        <v>16747</v>
      </c>
      <c r="K134" s="677">
        <v>580.0</v>
      </c>
      <c r="L134" s="677"/>
      <c r="M134" s="676"/>
      <c r="N134" s="677" t="s">
        <v>16748</v>
      </c>
      <c r="O134" s="676">
        <v>1970.0</v>
      </c>
      <c r="P134" s="677" t="s">
        <v>388</v>
      </c>
      <c r="Q134" s="676">
        <v>1.0</v>
      </c>
      <c r="R134" s="679"/>
      <c r="S134" s="672"/>
      <c r="T134" s="672"/>
      <c r="U134" s="672"/>
      <c r="V134" s="672"/>
      <c r="W134" s="672"/>
      <c r="X134" s="672"/>
      <c r="Y134" s="672"/>
      <c r="Z134" s="672"/>
    </row>
    <row r="135" ht="15.75" customHeight="1">
      <c r="A135" s="672"/>
      <c r="B135" s="676">
        <v>130.0</v>
      </c>
      <c r="C135" s="691"/>
      <c r="D135" s="676" t="s">
        <v>16749</v>
      </c>
      <c r="E135" s="678" t="s">
        <v>16671</v>
      </c>
      <c r="F135" s="677" t="s">
        <v>13058</v>
      </c>
      <c r="G135" s="677" t="s">
        <v>29</v>
      </c>
      <c r="H135" s="677" t="s">
        <v>2417</v>
      </c>
      <c r="I135" s="677"/>
      <c r="J135" s="677" t="s">
        <v>2417</v>
      </c>
      <c r="K135" s="677">
        <f>1238+384+8+18</f>
        <v>1648</v>
      </c>
      <c r="L135" s="677"/>
      <c r="M135" s="676"/>
      <c r="N135" s="677" t="s">
        <v>1333</v>
      </c>
      <c r="O135" s="676">
        <v>1989.0</v>
      </c>
      <c r="P135" s="677" t="s">
        <v>388</v>
      </c>
      <c r="Q135" s="676">
        <v>1.0</v>
      </c>
      <c r="R135" s="679"/>
      <c r="S135" s="672"/>
      <c r="T135" s="672"/>
      <c r="U135" s="672"/>
      <c r="V135" s="672"/>
      <c r="W135" s="672"/>
      <c r="X135" s="672"/>
      <c r="Y135" s="672"/>
      <c r="Z135" s="672"/>
    </row>
    <row r="136" ht="15.75" customHeight="1">
      <c r="A136" s="672"/>
      <c r="B136" s="676">
        <v>131.0</v>
      </c>
      <c r="C136" s="691"/>
      <c r="D136" s="676" t="s">
        <v>16750</v>
      </c>
      <c r="E136" s="678" t="s">
        <v>16679</v>
      </c>
      <c r="F136" s="677" t="s">
        <v>13058</v>
      </c>
      <c r="G136" s="677" t="s">
        <v>29</v>
      </c>
      <c r="H136" s="677" t="s">
        <v>16751</v>
      </c>
      <c r="I136" s="677"/>
      <c r="J136" s="677" t="s">
        <v>6431</v>
      </c>
      <c r="K136" s="677">
        <f>1692+4</f>
        <v>1696</v>
      </c>
      <c r="L136" s="677"/>
      <c r="M136" s="676"/>
      <c r="N136" s="677" t="s">
        <v>16752</v>
      </c>
      <c r="O136" s="676">
        <v>1960.0</v>
      </c>
      <c r="P136" s="677" t="s">
        <v>388</v>
      </c>
      <c r="Q136" s="676">
        <v>1.0</v>
      </c>
      <c r="R136" s="679"/>
      <c r="S136" s="672"/>
      <c r="T136" s="672"/>
      <c r="U136" s="672"/>
      <c r="V136" s="672"/>
      <c r="W136" s="672"/>
      <c r="X136" s="672"/>
      <c r="Y136" s="672"/>
      <c r="Z136" s="672"/>
    </row>
    <row r="137" ht="15.75" customHeight="1">
      <c r="A137" s="672"/>
      <c r="B137" s="676">
        <v>132.0</v>
      </c>
      <c r="C137" s="691"/>
      <c r="D137" s="676" t="s">
        <v>16753</v>
      </c>
      <c r="E137" s="678" t="s">
        <v>16754</v>
      </c>
      <c r="F137" s="677" t="s">
        <v>13058</v>
      </c>
      <c r="G137" s="677" t="s">
        <v>29</v>
      </c>
      <c r="H137" s="677" t="s">
        <v>9209</v>
      </c>
      <c r="I137" s="677"/>
      <c r="J137" s="677" t="s">
        <v>16552</v>
      </c>
      <c r="K137" s="677">
        <f>938+35+10</f>
        <v>983</v>
      </c>
      <c r="L137" s="677"/>
      <c r="M137" s="676"/>
      <c r="N137" s="677" t="s">
        <v>16755</v>
      </c>
      <c r="O137" s="676">
        <v>1982.0</v>
      </c>
      <c r="P137" s="677" t="s">
        <v>388</v>
      </c>
      <c r="Q137" s="676">
        <v>1.0</v>
      </c>
      <c r="R137" s="679"/>
      <c r="S137" s="672"/>
      <c r="T137" s="672"/>
      <c r="U137" s="672"/>
      <c r="V137" s="672"/>
      <c r="W137" s="672"/>
      <c r="X137" s="672"/>
      <c r="Y137" s="672"/>
      <c r="Z137" s="672"/>
    </row>
    <row r="138" ht="15.75" customHeight="1">
      <c r="A138" s="672"/>
      <c r="B138" s="676">
        <v>133.0</v>
      </c>
      <c r="C138" s="691"/>
      <c r="D138" s="676" t="s">
        <v>16756</v>
      </c>
      <c r="E138" s="678" t="s">
        <v>16757</v>
      </c>
      <c r="F138" s="677" t="s">
        <v>13058</v>
      </c>
      <c r="G138" s="677" t="s">
        <v>29</v>
      </c>
      <c r="H138" s="677" t="s">
        <v>16758</v>
      </c>
      <c r="I138" s="677"/>
      <c r="J138" s="677" t="s">
        <v>16758</v>
      </c>
      <c r="K138" s="677">
        <f>994+86</f>
        <v>1080</v>
      </c>
      <c r="L138" s="677"/>
      <c r="M138" s="676"/>
      <c r="N138" s="677" t="s">
        <v>16759</v>
      </c>
      <c r="O138" s="676">
        <v>1985.0</v>
      </c>
      <c r="P138" s="677" t="s">
        <v>388</v>
      </c>
      <c r="Q138" s="676">
        <v>1.0</v>
      </c>
      <c r="R138" s="679"/>
      <c r="S138" s="672"/>
      <c r="T138" s="672"/>
      <c r="U138" s="672"/>
      <c r="V138" s="672"/>
      <c r="W138" s="672"/>
      <c r="X138" s="672"/>
      <c r="Y138" s="672"/>
      <c r="Z138" s="672"/>
    </row>
    <row r="139" ht="15.75" customHeight="1">
      <c r="A139" s="672"/>
      <c r="B139" s="676">
        <v>134.0</v>
      </c>
      <c r="C139" s="691"/>
      <c r="D139" s="676" t="s">
        <v>16760</v>
      </c>
      <c r="E139" s="678" t="s">
        <v>16754</v>
      </c>
      <c r="F139" s="677" t="s">
        <v>13058</v>
      </c>
      <c r="G139" s="677" t="s">
        <v>29</v>
      </c>
      <c r="H139" s="677" t="s">
        <v>9209</v>
      </c>
      <c r="I139" s="677"/>
      <c r="J139" s="677" t="s">
        <v>16552</v>
      </c>
      <c r="K139" s="677">
        <f>938+336+35</f>
        <v>1309</v>
      </c>
      <c r="L139" s="677"/>
      <c r="M139" s="676"/>
      <c r="N139" s="677" t="s">
        <v>16755</v>
      </c>
      <c r="O139" s="676">
        <v>1966.0</v>
      </c>
      <c r="P139" s="677" t="s">
        <v>388</v>
      </c>
      <c r="Q139" s="676">
        <v>1.0</v>
      </c>
      <c r="R139" s="679"/>
      <c r="S139" s="672"/>
      <c r="T139" s="672"/>
      <c r="U139" s="672"/>
      <c r="V139" s="672"/>
      <c r="W139" s="672"/>
      <c r="X139" s="672"/>
      <c r="Y139" s="672"/>
      <c r="Z139" s="672"/>
    </row>
    <row r="140" ht="15.75" customHeight="1">
      <c r="A140" s="672"/>
      <c r="B140" s="676">
        <v>135.0</v>
      </c>
      <c r="C140" s="691"/>
      <c r="D140" s="676" t="s">
        <v>16668</v>
      </c>
      <c r="E140" s="678" t="s">
        <v>16761</v>
      </c>
      <c r="F140" s="677" t="s">
        <v>13058</v>
      </c>
      <c r="G140" s="677" t="s">
        <v>29</v>
      </c>
      <c r="H140" s="677" t="s">
        <v>9209</v>
      </c>
      <c r="I140" s="677"/>
      <c r="J140" s="677" t="s">
        <v>16552</v>
      </c>
      <c r="K140" s="677">
        <f>989+338+46</f>
        <v>1373</v>
      </c>
      <c r="L140" s="677"/>
      <c r="M140" s="676"/>
      <c r="N140" s="677"/>
      <c r="O140" s="676"/>
      <c r="P140" s="677"/>
      <c r="Q140" s="676"/>
      <c r="R140" s="679"/>
      <c r="S140" s="672"/>
      <c r="T140" s="672"/>
      <c r="U140" s="672"/>
      <c r="V140" s="672"/>
      <c r="W140" s="672"/>
      <c r="X140" s="672"/>
      <c r="Y140" s="672"/>
      <c r="Z140" s="672"/>
    </row>
    <row r="141" ht="15.75" customHeight="1">
      <c r="A141" s="672"/>
      <c r="B141" s="676">
        <v>136.0</v>
      </c>
      <c r="C141" s="691" t="s">
        <v>16762</v>
      </c>
      <c r="D141" s="676" t="s">
        <v>16763</v>
      </c>
      <c r="E141" s="678" t="s">
        <v>16764</v>
      </c>
      <c r="F141" s="677" t="s">
        <v>13058</v>
      </c>
      <c r="G141" s="677" t="s">
        <v>29</v>
      </c>
      <c r="H141" s="677" t="s">
        <v>131</v>
      </c>
      <c r="I141" s="677"/>
      <c r="J141" s="677" t="s">
        <v>131</v>
      </c>
      <c r="K141" s="677">
        <f>1319</f>
        <v>1319</v>
      </c>
      <c r="L141" s="677"/>
      <c r="M141" s="676"/>
      <c r="N141" s="677" t="s">
        <v>16765</v>
      </c>
      <c r="O141" s="676">
        <v>2013.0</v>
      </c>
      <c r="P141" s="677" t="s">
        <v>388</v>
      </c>
      <c r="Q141" s="676">
        <v>1.0</v>
      </c>
      <c r="R141" s="679"/>
      <c r="S141" s="672"/>
      <c r="T141" s="672"/>
      <c r="U141" s="672"/>
      <c r="V141" s="672"/>
      <c r="W141" s="672"/>
      <c r="X141" s="672"/>
      <c r="Y141" s="672"/>
      <c r="Z141" s="672"/>
    </row>
    <row r="142" ht="15.75" customHeight="1">
      <c r="A142" s="672"/>
      <c r="B142" s="676">
        <v>137.0</v>
      </c>
      <c r="C142" s="691"/>
      <c r="D142" s="676" t="s">
        <v>16766</v>
      </c>
      <c r="E142" s="678" t="s">
        <v>16574</v>
      </c>
      <c r="F142" s="677" t="s">
        <v>13058</v>
      </c>
      <c r="G142" s="677" t="s">
        <v>29</v>
      </c>
      <c r="H142" s="677" t="s">
        <v>131</v>
      </c>
      <c r="I142" s="677"/>
      <c r="J142" s="677" t="s">
        <v>131</v>
      </c>
      <c r="K142" s="677">
        <f>1170+4+360</f>
        <v>1534</v>
      </c>
      <c r="L142" s="677"/>
      <c r="M142" s="676"/>
      <c r="N142" s="677" t="s">
        <v>16691</v>
      </c>
      <c r="O142" s="676">
        <v>1987.0</v>
      </c>
      <c r="P142" s="677" t="s">
        <v>11041</v>
      </c>
      <c r="Q142" s="676">
        <v>1.0</v>
      </c>
      <c r="R142" s="679"/>
      <c r="S142" s="672"/>
      <c r="T142" s="672"/>
      <c r="U142" s="672"/>
      <c r="V142" s="672"/>
      <c r="W142" s="672"/>
      <c r="X142" s="672"/>
      <c r="Y142" s="672"/>
      <c r="Z142" s="672"/>
    </row>
    <row r="143" ht="15.75" customHeight="1">
      <c r="A143" s="672"/>
      <c r="B143" s="676">
        <v>138.0</v>
      </c>
      <c r="C143" s="691"/>
      <c r="D143" s="676" t="s">
        <v>16767</v>
      </c>
      <c r="E143" s="678" t="s">
        <v>16768</v>
      </c>
      <c r="F143" s="677"/>
      <c r="G143" s="677" t="s">
        <v>29</v>
      </c>
      <c r="H143" s="677" t="s">
        <v>9209</v>
      </c>
      <c r="I143" s="677"/>
      <c r="J143" s="677" t="s">
        <v>9209</v>
      </c>
      <c r="K143" s="677">
        <v>671.0</v>
      </c>
      <c r="L143" s="677"/>
      <c r="M143" s="676"/>
      <c r="N143" s="677" t="s">
        <v>16769</v>
      </c>
      <c r="O143" s="676">
        <v>1963.0</v>
      </c>
      <c r="P143" s="677" t="s">
        <v>11041</v>
      </c>
      <c r="Q143" s="676">
        <v>1.0</v>
      </c>
      <c r="R143" s="679"/>
      <c r="S143" s="672"/>
      <c r="T143" s="672"/>
      <c r="U143" s="672"/>
      <c r="V143" s="672"/>
      <c r="W143" s="672"/>
      <c r="X143" s="672"/>
      <c r="Y143" s="672"/>
      <c r="Z143" s="672"/>
    </row>
    <row r="144" ht="15.75" customHeight="1">
      <c r="A144" s="672"/>
      <c r="B144" s="676">
        <v>139.0</v>
      </c>
      <c r="C144" s="691"/>
      <c r="D144" s="676" t="s">
        <v>16770</v>
      </c>
      <c r="E144" s="678" t="s">
        <v>16771</v>
      </c>
      <c r="F144" s="677" t="s">
        <v>13058</v>
      </c>
      <c r="G144" s="677" t="s">
        <v>29</v>
      </c>
      <c r="H144" s="677" t="s">
        <v>9209</v>
      </c>
      <c r="I144" s="677"/>
      <c r="J144" s="677" t="s">
        <v>9209</v>
      </c>
      <c r="K144" s="677">
        <f>938+35+8</f>
        <v>981</v>
      </c>
      <c r="L144" s="677"/>
      <c r="M144" s="676"/>
      <c r="N144" s="677" t="s">
        <v>15980</v>
      </c>
      <c r="O144" s="676">
        <v>1980.0</v>
      </c>
      <c r="P144" s="677" t="s">
        <v>388</v>
      </c>
      <c r="Q144" s="676">
        <v>1.0</v>
      </c>
      <c r="R144" s="679"/>
      <c r="S144" s="672"/>
      <c r="T144" s="672"/>
      <c r="U144" s="672"/>
      <c r="V144" s="672"/>
      <c r="W144" s="672"/>
      <c r="X144" s="672"/>
      <c r="Y144" s="672"/>
      <c r="Z144" s="672"/>
    </row>
    <row r="145" ht="15.75" customHeight="1">
      <c r="A145" s="672"/>
      <c r="B145" s="676">
        <v>140.0</v>
      </c>
      <c r="C145" s="691"/>
      <c r="D145" s="676" t="s">
        <v>16722</v>
      </c>
      <c r="E145" s="678" t="s">
        <v>16772</v>
      </c>
      <c r="F145" s="677" t="s">
        <v>13058</v>
      </c>
      <c r="G145" s="677" t="s">
        <v>29</v>
      </c>
      <c r="H145" s="677" t="s">
        <v>9209</v>
      </c>
      <c r="I145" s="677"/>
      <c r="J145" s="677" t="s">
        <v>9209</v>
      </c>
      <c r="K145" s="677"/>
      <c r="L145" s="677"/>
      <c r="M145" s="676"/>
      <c r="N145" s="677" t="s">
        <v>100</v>
      </c>
      <c r="O145" s="676">
        <v>1982.0</v>
      </c>
      <c r="P145" s="677" t="s">
        <v>388</v>
      </c>
      <c r="Q145" s="676">
        <v>1.0</v>
      </c>
      <c r="R145" s="679"/>
      <c r="S145" s="672"/>
      <c r="T145" s="672"/>
      <c r="U145" s="672"/>
      <c r="V145" s="672"/>
      <c r="W145" s="672"/>
      <c r="X145" s="672"/>
      <c r="Y145" s="672"/>
      <c r="Z145" s="672"/>
    </row>
    <row r="146" ht="15.75" customHeight="1">
      <c r="A146" s="672"/>
      <c r="B146" s="676">
        <v>141.0</v>
      </c>
      <c r="C146" s="691"/>
      <c r="D146" s="676" t="s">
        <v>16773</v>
      </c>
      <c r="E146" s="678" t="s">
        <v>16774</v>
      </c>
      <c r="F146" s="677" t="s">
        <v>13058</v>
      </c>
      <c r="G146" s="677" t="s">
        <v>29</v>
      </c>
      <c r="H146" s="677" t="s">
        <v>37</v>
      </c>
      <c r="I146" s="677"/>
      <c r="J146" s="677" t="s">
        <v>38</v>
      </c>
      <c r="K146" s="677">
        <f>976+4+822+6</f>
        <v>1808</v>
      </c>
      <c r="L146" s="677"/>
      <c r="M146" s="676"/>
      <c r="N146" s="677" t="s">
        <v>4836</v>
      </c>
      <c r="O146" s="676">
        <v>1976.0</v>
      </c>
      <c r="P146" s="677" t="s">
        <v>388</v>
      </c>
      <c r="Q146" s="676">
        <v>1.0</v>
      </c>
      <c r="R146" s="679"/>
      <c r="S146" s="672"/>
      <c r="T146" s="672"/>
      <c r="U146" s="672"/>
      <c r="V146" s="672"/>
      <c r="W146" s="672"/>
      <c r="X146" s="672"/>
      <c r="Y146" s="672"/>
      <c r="Z146" s="672"/>
    </row>
    <row r="147" ht="15.75" customHeight="1">
      <c r="A147" s="672"/>
      <c r="B147" s="676">
        <v>142.0</v>
      </c>
      <c r="C147" s="691"/>
      <c r="D147" s="676" t="s">
        <v>16775</v>
      </c>
      <c r="E147" s="678" t="s">
        <v>15519</v>
      </c>
      <c r="F147" s="677" t="s">
        <v>13058</v>
      </c>
      <c r="G147" s="677" t="s">
        <v>29</v>
      </c>
      <c r="H147" s="677" t="s">
        <v>38</v>
      </c>
      <c r="I147" s="677"/>
      <c r="J147" s="677" t="s">
        <v>38</v>
      </c>
      <c r="K147" s="677">
        <f>1366+24</f>
        <v>1390</v>
      </c>
      <c r="L147" s="677"/>
      <c r="M147" s="676"/>
      <c r="N147" s="677" t="s">
        <v>16097</v>
      </c>
      <c r="O147" s="676">
        <v>1970.0</v>
      </c>
      <c r="P147" s="677" t="s">
        <v>388</v>
      </c>
      <c r="Q147" s="676">
        <v>1.0</v>
      </c>
      <c r="R147" s="679"/>
      <c r="S147" s="672"/>
      <c r="T147" s="672"/>
      <c r="U147" s="672"/>
      <c r="V147" s="672"/>
      <c r="W147" s="672"/>
      <c r="X147" s="672"/>
      <c r="Y147" s="672"/>
      <c r="Z147" s="672"/>
    </row>
    <row r="148" ht="15.75" customHeight="1">
      <c r="A148" s="672"/>
      <c r="B148" s="676">
        <v>143.0</v>
      </c>
      <c r="C148" s="691"/>
      <c r="D148" s="676" t="s">
        <v>16776</v>
      </c>
      <c r="E148" s="678" t="s">
        <v>15602</v>
      </c>
      <c r="F148" s="677" t="s">
        <v>13058</v>
      </c>
      <c r="G148" s="677" t="s">
        <v>29</v>
      </c>
      <c r="H148" s="677" t="s">
        <v>38</v>
      </c>
      <c r="I148" s="677"/>
      <c r="J148" s="677" t="s">
        <v>38</v>
      </c>
      <c r="K148" s="677">
        <f>910</f>
        <v>910</v>
      </c>
      <c r="L148" s="677"/>
      <c r="M148" s="676"/>
      <c r="N148" s="677" t="s">
        <v>83</v>
      </c>
      <c r="O148" s="676">
        <v>1965.0</v>
      </c>
      <c r="P148" s="677" t="s">
        <v>388</v>
      </c>
      <c r="Q148" s="708">
        <v>1.0</v>
      </c>
      <c r="R148" s="679"/>
      <c r="S148" s="672"/>
      <c r="T148" s="672"/>
      <c r="U148" s="672"/>
      <c r="V148" s="672"/>
      <c r="W148" s="672"/>
      <c r="X148" s="672"/>
      <c r="Y148" s="672"/>
      <c r="Z148" s="672"/>
    </row>
    <row r="149" ht="15.75" customHeight="1">
      <c r="A149" s="672"/>
      <c r="B149" s="676">
        <v>144.0</v>
      </c>
      <c r="C149" s="691"/>
      <c r="D149" s="676" t="s">
        <v>16777</v>
      </c>
      <c r="E149" s="678" t="s">
        <v>16778</v>
      </c>
      <c r="F149" s="677" t="s">
        <v>12445</v>
      </c>
      <c r="G149" s="677" t="s">
        <v>29</v>
      </c>
      <c r="H149" s="677" t="s">
        <v>37</v>
      </c>
      <c r="I149" s="677"/>
      <c r="J149" s="677" t="s">
        <v>38</v>
      </c>
      <c r="K149" s="677">
        <f>376+2+94</f>
        <v>472</v>
      </c>
      <c r="L149" s="677"/>
      <c r="M149" s="676"/>
      <c r="N149" s="677" t="s">
        <v>4836</v>
      </c>
      <c r="O149" s="676">
        <v>1964.0</v>
      </c>
      <c r="P149" s="677" t="s">
        <v>388</v>
      </c>
      <c r="Q149" s="708">
        <v>1.0</v>
      </c>
      <c r="R149" s="679"/>
      <c r="S149" s="672"/>
      <c r="T149" s="672"/>
      <c r="U149" s="672"/>
      <c r="V149" s="672"/>
      <c r="W149" s="672"/>
      <c r="X149" s="672"/>
      <c r="Y149" s="672"/>
      <c r="Z149" s="672"/>
    </row>
    <row r="150" ht="15.75" customHeight="1">
      <c r="A150" s="672"/>
      <c r="B150" s="676">
        <v>145.0</v>
      </c>
      <c r="C150" s="691"/>
      <c r="D150" s="676" t="s">
        <v>16779</v>
      </c>
      <c r="E150" s="678" t="s">
        <v>16780</v>
      </c>
      <c r="F150" s="677" t="s">
        <v>12445</v>
      </c>
      <c r="G150" s="677" t="s">
        <v>29</v>
      </c>
      <c r="H150" s="677" t="s">
        <v>9209</v>
      </c>
      <c r="I150" s="677"/>
      <c r="J150" s="677" t="s">
        <v>9209</v>
      </c>
      <c r="K150" s="677">
        <f>928+4+12</f>
        <v>944</v>
      </c>
      <c r="L150" s="677"/>
      <c r="M150" s="676"/>
      <c r="N150" s="677" t="s">
        <v>16781</v>
      </c>
      <c r="O150" s="676">
        <v>1971.0</v>
      </c>
      <c r="P150" s="677" t="s">
        <v>388</v>
      </c>
      <c r="Q150" s="676">
        <v>1.0</v>
      </c>
      <c r="R150" s="679"/>
      <c r="S150" s="672"/>
      <c r="T150" s="672"/>
      <c r="U150" s="672"/>
      <c r="V150" s="672"/>
      <c r="W150" s="672"/>
      <c r="X150" s="672"/>
      <c r="Y150" s="672"/>
      <c r="Z150" s="672"/>
    </row>
    <row r="151" ht="15.75" customHeight="1">
      <c r="A151" s="672"/>
      <c r="B151" s="676">
        <v>146.0</v>
      </c>
      <c r="C151" s="691"/>
      <c r="D151" s="676" t="s">
        <v>16782</v>
      </c>
      <c r="E151" s="678" t="s">
        <v>16783</v>
      </c>
      <c r="F151" s="677" t="s">
        <v>12445</v>
      </c>
      <c r="G151" s="677" t="s">
        <v>29</v>
      </c>
      <c r="H151" s="677" t="s">
        <v>9209</v>
      </c>
      <c r="I151" s="677"/>
      <c r="J151" s="677" t="s">
        <v>1195</v>
      </c>
      <c r="K151" s="677">
        <f>920+56</f>
        <v>976</v>
      </c>
      <c r="L151" s="677"/>
      <c r="M151" s="676"/>
      <c r="N151" s="677" t="s">
        <v>16784</v>
      </c>
      <c r="O151" s="676">
        <v>1967.0</v>
      </c>
      <c r="P151" s="677" t="s">
        <v>388</v>
      </c>
      <c r="Q151" s="676">
        <v>1.0</v>
      </c>
      <c r="R151" s="679"/>
      <c r="S151" s="672"/>
      <c r="T151" s="672"/>
      <c r="U151" s="672"/>
      <c r="V151" s="672"/>
      <c r="W151" s="672"/>
      <c r="X151" s="672"/>
      <c r="Y151" s="672"/>
      <c r="Z151" s="672"/>
    </row>
    <row r="152" ht="15.75" customHeight="1">
      <c r="A152" s="672"/>
      <c r="B152" s="676">
        <v>147.0</v>
      </c>
      <c r="C152" s="691"/>
      <c r="D152" s="676" t="s">
        <v>16785</v>
      </c>
      <c r="E152" s="678" t="s">
        <v>16786</v>
      </c>
      <c r="F152" s="677" t="s">
        <v>2355</v>
      </c>
      <c r="G152" s="677" t="s">
        <v>29</v>
      </c>
      <c r="H152" s="677" t="s">
        <v>38</v>
      </c>
      <c r="I152" s="677"/>
      <c r="J152" s="677" t="s">
        <v>38</v>
      </c>
      <c r="K152" s="677">
        <f>1041+14</f>
        <v>1055</v>
      </c>
      <c r="L152" s="677"/>
      <c r="M152" s="676"/>
      <c r="N152" s="677" t="s">
        <v>16787</v>
      </c>
      <c r="O152" s="676">
        <v>1985.0</v>
      </c>
      <c r="P152" s="677" t="s">
        <v>388</v>
      </c>
      <c r="Q152" s="676">
        <v>1.0</v>
      </c>
      <c r="R152" s="679"/>
      <c r="S152" s="672"/>
      <c r="T152" s="672"/>
      <c r="U152" s="672"/>
      <c r="V152" s="672"/>
      <c r="W152" s="672"/>
      <c r="X152" s="672"/>
      <c r="Y152" s="672"/>
      <c r="Z152" s="672"/>
    </row>
    <row r="153" ht="15.75" customHeight="1">
      <c r="A153" s="672"/>
      <c r="B153" s="685">
        <v>148.0</v>
      </c>
      <c r="C153" s="691"/>
      <c r="D153" s="676" t="s">
        <v>16788</v>
      </c>
      <c r="E153" s="678" t="s">
        <v>16789</v>
      </c>
      <c r="F153" s="677" t="s">
        <v>2355</v>
      </c>
      <c r="G153" s="677" t="s">
        <v>29</v>
      </c>
      <c r="H153" s="677" t="s">
        <v>37</v>
      </c>
      <c r="I153" s="677"/>
      <c r="J153" s="677" t="s">
        <v>38</v>
      </c>
      <c r="K153" s="677">
        <f>451</f>
        <v>451</v>
      </c>
      <c r="L153" s="677"/>
      <c r="M153" s="676"/>
      <c r="N153" s="677" t="s">
        <v>365</v>
      </c>
      <c r="O153" s="676"/>
      <c r="P153" s="677" t="s">
        <v>388</v>
      </c>
      <c r="Q153" s="708">
        <v>1.0</v>
      </c>
      <c r="R153" s="679"/>
      <c r="S153" s="672"/>
      <c r="T153" s="672"/>
      <c r="U153" s="672"/>
      <c r="V153" s="672"/>
      <c r="W153" s="672"/>
      <c r="X153" s="672"/>
      <c r="Y153" s="672"/>
      <c r="Z153" s="672"/>
    </row>
    <row r="154" ht="15.75" customHeight="1">
      <c r="A154" s="672"/>
      <c r="B154" s="676">
        <v>149.0</v>
      </c>
      <c r="C154" s="691"/>
      <c r="D154" s="676" t="s">
        <v>16790</v>
      </c>
      <c r="E154" s="678" t="s">
        <v>16791</v>
      </c>
      <c r="F154" s="677" t="s">
        <v>2355</v>
      </c>
      <c r="G154" s="677" t="s">
        <v>29</v>
      </c>
      <c r="H154" s="677" t="s">
        <v>38</v>
      </c>
      <c r="I154" s="677"/>
      <c r="J154" s="677" t="s">
        <v>38</v>
      </c>
      <c r="K154" s="677">
        <f>1041+14</f>
        <v>1055</v>
      </c>
      <c r="L154" s="677"/>
      <c r="M154" s="676"/>
      <c r="N154" s="677" t="s">
        <v>16290</v>
      </c>
      <c r="O154" s="676">
        <v>1985.0</v>
      </c>
      <c r="P154" s="677" t="s">
        <v>388</v>
      </c>
      <c r="Q154" s="708">
        <v>1.0</v>
      </c>
      <c r="R154" s="679"/>
      <c r="S154" s="672"/>
      <c r="T154" s="672"/>
      <c r="U154" s="672"/>
      <c r="V154" s="672"/>
      <c r="W154" s="672"/>
      <c r="X154" s="672"/>
      <c r="Y154" s="672"/>
      <c r="Z154" s="672"/>
    </row>
    <row r="155" ht="15.75" customHeight="1">
      <c r="A155" s="672"/>
      <c r="B155" s="676">
        <v>150.0</v>
      </c>
      <c r="C155" s="691"/>
      <c r="D155" s="676" t="s">
        <v>16792</v>
      </c>
      <c r="E155" s="678" t="s">
        <v>16793</v>
      </c>
      <c r="F155" s="677" t="s">
        <v>2355</v>
      </c>
      <c r="G155" s="677" t="s">
        <v>29</v>
      </c>
      <c r="H155" s="677" t="s">
        <v>9209</v>
      </c>
      <c r="I155" s="677"/>
      <c r="J155" s="677" t="s">
        <v>9209</v>
      </c>
      <c r="K155" s="677">
        <f>937+1+336</f>
        <v>1274</v>
      </c>
      <c r="L155" s="677"/>
      <c r="M155" s="676"/>
      <c r="N155" s="677" t="s">
        <v>16704</v>
      </c>
      <c r="O155" s="676">
        <v>1966.0</v>
      </c>
      <c r="P155" s="677" t="s">
        <v>388</v>
      </c>
      <c r="Q155" s="708">
        <v>1.0</v>
      </c>
      <c r="R155" s="679"/>
      <c r="S155" s="672"/>
      <c r="T155" s="672"/>
      <c r="U155" s="672"/>
      <c r="V155" s="672"/>
      <c r="W155" s="672"/>
      <c r="X155" s="672"/>
      <c r="Y155" s="672"/>
      <c r="Z155" s="672"/>
    </row>
    <row r="156" ht="15.75" customHeight="1">
      <c r="A156" s="672"/>
      <c r="B156" s="676">
        <v>151.0</v>
      </c>
      <c r="C156" s="691"/>
      <c r="D156" s="676" t="s">
        <v>16794</v>
      </c>
      <c r="E156" s="678" t="s">
        <v>16795</v>
      </c>
      <c r="F156" s="677" t="s">
        <v>12445</v>
      </c>
      <c r="G156" s="677" t="s">
        <v>29</v>
      </c>
      <c r="H156" s="677" t="s">
        <v>9209</v>
      </c>
      <c r="I156" s="677"/>
      <c r="J156" s="677" t="s">
        <v>16622</v>
      </c>
      <c r="K156" s="677">
        <f t="shared" ref="K156:K158" si="2">812+94</f>
        <v>906</v>
      </c>
      <c r="L156" s="677"/>
      <c r="M156" s="676"/>
      <c r="N156" s="677" t="s">
        <v>100</v>
      </c>
      <c r="O156" s="676">
        <v>2006.0</v>
      </c>
      <c r="P156" s="677" t="s">
        <v>388</v>
      </c>
      <c r="Q156" s="708">
        <v>1.0</v>
      </c>
      <c r="R156" s="679"/>
      <c r="S156" s="672"/>
      <c r="T156" s="672"/>
      <c r="U156" s="672"/>
      <c r="V156" s="672"/>
      <c r="W156" s="672"/>
      <c r="X156" s="672"/>
      <c r="Y156" s="672"/>
      <c r="Z156" s="672"/>
    </row>
    <row r="157" ht="15.75" customHeight="1">
      <c r="A157" s="672"/>
      <c r="B157" s="260">
        <v>152.0</v>
      </c>
      <c r="C157" s="709"/>
      <c r="D157" s="260" t="s">
        <v>16794</v>
      </c>
      <c r="E157" s="710" t="s">
        <v>16796</v>
      </c>
      <c r="F157" s="711" t="s">
        <v>12445</v>
      </c>
      <c r="G157" s="711" t="s">
        <v>29</v>
      </c>
      <c r="H157" s="711" t="s">
        <v>9209</v>
      </c>
      <c r="I157" s="711"/>
      <c r="J157" s="711" t="s">
        <v>16622</v>
      </c>
      <c r="K157" s="711">
        <f t="shared" si="2"/>
        <v>906</v>
      </c>
      <c r="L157" s="711"/>
      <c r="M157" s="260"/>
      <c r="N157" s="711" t="s">
        <v>100</v>
      </c>
      <c r="O157" s="260">
        <v>2012.0</v>
      </c>
      <c r="P157" s="712">
        <v>30.0</v>
      </c>
      <c r="Q157" s="713">
        <v>1.0</v>
      </c>
      <c r="R157" s="714">
        <v>1.0</v>
      </c>
      <c r="S157" s="672"/>
      <c r="T157" s="672"/>
      <c r="U157" s="672"/>
      <c r="V157" s="672"/>
      <c r="W157" s="672"/>
      <c r="X157" s="672"/>
      <c r="Y157" s="672"/>
      <c r="Z157" s="672"/>
    </row>
    <row r="158" ht="15.75" customHeight="1">
      <c r="A158" s="672"/>
      <c r="B158" s="676">
        <v>153.0</v>
      </c>
      <c r="C158" s="691"/>
      <c r="D158" s="676" t="s">
        <v>16644</v>
      </c>
      <c r="E158" s="678" t="s">
        <v>16797</v>
      </c>
      <c r="F158" s="677" t="s">
        <v>12445</v>
      </c>
      <c r="G158" s="677" t="s">
        <v>29</v>
      </c>
      <c r="H158" s="677" t="s">
        <v>9209</v>
      </c>
      <c r="I158" s="677"/>
      <c r="J158" s="677" t="s">
        <v>16622</v>
      </c>
      <c r="K158" s="677">
        <f t="shared" si="2"/>
        <v>906</v>
      </c>
      <c r="L158" s="677"/>
      <c r="M158" s="676"/>
      <c r="N158" s="677" t="s">
        <v>100</v>
      </c>
      <c r="O158" s="676">
        <v>1979.0</v>
      </c>
      <c r="P158" s="677" t="s">
        <v>388</v>
      </c>
      <c r="Q158" s="708">
        <v>1.0</v>
      </c>
      <c r="R158" s="679"/>
      <c r="S158" s="672"/>
      <c r="T158" s="672"/>
      <c r="U158" s="672"/>
      <c r="V158" s="672"/>
      <c r="W158" s="672"/>
      <c r="X158" s="672"/>
      <c r="Y158" s="672"/>
      <c r="Z158" s="672"/>
    </row>
    <row r="159" ht="15.75" customHeight="1">
      <c r="A159" s="672"/>
      <c r="B159" s="676">
        <v>154.0</v>
      </c>
      <c r="C159" s="691"/>
      <c r="D159" s="676" t="s">
        <v>16798</v>
      </c>
      <c r="E159" s="678" t="s">
        <v>1220</v>
      </c>
      <c r="F159" s="677" t="s">
        <v>12445</v>
      </c>
      <c r="G159" s="677" t="s">
        <v>29</v>
      </c>
      <c r="H159" s="677" t="s">
        <v>9209</v>
      </c>
      <c r="I159" s="677"/>
      <c r="J159" s="677" t="s">
        <v>14903</v>
      </c>
      <c r="K159" s="677">
        <f>812</f>
        <v>812</v>
      </c>
      <c r="L159" s="677"/>
      <c r="M159" s="676"/>
      <c r="N159" s="715" t="s">
        <v>100</v>
      </c>
      <c r="O159" s="676">
        <v>2006.0</v>
      </c>
      <c r="P159" s="715" t="s">
        <v>388</v>
      </c>
      <c r="Q159" s="676">
        <v>1.0</v>
      </c>
      <c r="R159" s="679"/>
      <c r="S159" s="672"/>
      <c r="T159" s="672"/>
      <c r="U159" s="672"/>
      <c r="V159" s="672"/>
      <c r="W159" s="672"/>
      <c r="X159" s="672"/>
      <c r="Y159" s="672"/>
      <c r="Z159" s="672"/>
    </row>
    <row r="160" ht="15.75" customHeight="1">
      <c r="A160" s="672"/>
      <c r="B160" s="676">
        <v>155.0</v>
      </c>
      <c r="C160" s="691"/>
      <c r="D160" s="676" t="s">
        <v>16799</v>
      </c>
      <c r="E160" s="678" t="s">
        <v>16800</v>
      </c>
      <c r="F160" s="677" t="s">
        <v>2355</v>
      </c>
      <c r="G160" s="677" t="s">
        <v>29</v>
      </c>
      <c r="H160" s="677" t="s">
        <v>37</v>
      </c>
      <c r="I160" s="677"/>
      <c r="J160" s="677" t="s">
        <v>38</v>
      </c>
      <c r="K160" s="677">
        <f>876+365+80+23</f>
        <v>1344</v>
      </c>
      <c r="L160" s="677"/>
      <c r="M160" s="676"/>
      <c r="N160" s="715" t="s">
        <v>16801</v>
      </c>
      <c r="O160" s="676">
        <v>1964.0</v>
      </c>
      <c r="P160" s="715" t="s">
        <v>388</v>
      </c>
      <c r="Q160" s="676">
        <v>1.0</v>
      </c>
      <c r="R160" s="679"/>
      <c r="S160" s="672"/>
      <c r="T160" s="672"/>
      <c r="U160" s="672"/>
      <c r="V160" s="672"/>
      <c r="W160" s="672"/>
      <c r="X160" s="672"/>
      <c r="Y160" s="672"/>
      <c r="Z160" s="672"/>
    </row>
    <row r="161" ht="15.75" customHeight="1">
      <c r="A161" s="672"/>
      <c r="B161" s="676">
        <v>156.0</v>
      </c>
      <c r="C161" s="691" t="s">
        <v>15250</v>
      </c>
      <c r="D161" s="676" t="s">
        <v>16802</v>
      </c>
      <c r="E161" s="678" t="s">
        <v>16803</v>
      </c>
      <c r="F161" s="677" t="s">
        <v>2355</v>
      </c>
      <c r="G161" s="677" t="s">
        <v>29</v>
      </c>
      <c r="H161" s="677"/>
      <c r="I161" s="677"/>
      <c r="J161" s="677" t="s">
        <v>16651</v>
      </c>
      <c r="K161" s="677">
        <f>1503+10</f>
        <v>1513</v>
      </c>
      <c r="L161" s="677"/>
      <c r="M161" s="676"/>
      <c r="N161" s="715" t="s">
        <v>15253</v>
      </c>
      <c r="O161" s="676">
        <v>2011.0</v>
      </c>
      <c r="P161" s="715" t="s">
        <v>388</v>
      </c>
      <c r="Q161" s="676">
        <v>1.0</v>
      </c>
      <c r="R161" s="679"/>
      <c r="S161" s="672"/>
      <c r="T161" s="672"/>
      <c r="U161" s="672"/>
      <c r="V161" s="672"/>
      <c r="W161" s="672"/>
      <c r="X161" s="672"/>
      <c r="Y161" s="672"/>
      <c r="Z161" s="672"/>
    </row>
    <row r="162" ht="15.75" customHeight="1">
      <c r="A162" s="672"/>
      <c r="B162" s="676">
        <v>157.0</v>
      </c>
      <c r="C162" s="691"/>
      <c r="D162" s="676" t="s">
        <v>16804</v>
      </c>
      <c r="E162" s="678" t="s">
        <v>16805</v>
      </c>
      <c r="F162" s="677" t="s">
        <v>2355</v>
      </c>
      <c r="G162" s="677" t="s">
        <v>29</v>
      </c>
      <c r="H162" s="677"/>
      <c r="I162" s="677"/>
      <c r="J162" s="677" t="s">
        <v>16806</v>
      </c>
      <c r="K162" s="677">
        <f>1182+552</f>
        <v>1734</v>
      </c>
      <c r="L162" s="677"/>
      <c r="M162" s="676"/>
      <c r="N162" s="715" t="s">
        <v>16807</v>
      </c>
      <c r="O162" s="676">
        <v>1982.0</v>
      </c>
      <c r="P162" s="715" t="s">
        <v>388</v>
      </c>
      <c r="Q162" s="676">
        <v>1.0</v>
      </c>
      <c r="R162" s="679"/>
      <c r="S162" s="672"/>
      <c r="T162" s="672"/>
      <c r="U162" s="672"/>
      <c r="V162" s="672"/>
      <c r="W162" s="672"/>
      <c r="X162" s="672"/>
      <c r="Y162" s="672"/>
      <c r="Z162" s="672"/>
    </row>
    <row r="163" ht="15.75" customHeight="1">
      <c r="A163" s="672"/>
      <c r="B163" s="676">
        <v>158.0</v>
      </c>
      <c r="C163" s="691"/>
      <c r="D163" s="676" t="s">
        <v>16808</v>
      </c>
      <c r="E163" s="678" t="s">
        <v>16809</v>
      </c>
      <c r="F163" s="677" t="s">
        <v>2355</v>
      </c>
      <c r="G163" s="677" t="s">
        <v>29</v>
      </c>
      <c r="H163" s="677"/>
      <c r="I163" s="677"/>
      <c r="J163" s="677" t="s">
        <v>16651</v>
      </c>
      <c r="K163" s="677">
        <v>1986.0</v>
      </c>
      <c r="L163" s="677"/>
      <c r="M163" s="676"/>
      <c r="N163" s="715" t="s">
        <v>16810</v>
      </c>
      <c r="O163" s="676">
        <v>1986.0</v>
      </c>
      <c r="P163" s="715" t="s">
        <v>388</v>
      </c>
      <c r="Q163" s="676">
        <v>1.0</v>
      </c>
      <c r="R163" s="679"/>
      <c r="S163" s="672"/>
      <c r="T163" s="672"/>
      <c r="U163" s="672"/>
      <c r="V163" s="672"/>
      <c r="W163" s="672"/>
      <c r="X163" s="672"/>
      <c r="Y163" s="672"/>
      <c r="Z163" s="672"/>
    </row>
    <row r="164" ht="15.75" customHeight="1">
      <c r="A164" s="672"/>
      <c r="B164" s="676">
        <v>159.0</v>
      </c>
      <c r="C164" s="691"/>
      <c r="D164" s="676" t="s">
        <v>16811</v>
      </c>
      <c r="E164" s="678" t="s">
        <v>16812</v>
      </c>
      <c r="F164" s="677" t="s">
        <v>2355</v>
      </c>
      <c r="G164" s="677" t="s">
        <v>29</v>
      </c>
      <c r="H164" s="677"/>
      <c r="I164" s="677"/>
      <c r="J164" s="677" t="s">
        <v>16806</v>
      </c>
      <c r="K164" s="677">
        <f>1508+16+12</f>
        <v>1536</v>
      </c>
      <c r="L164" s="677"/>
      <c r="M164" s="676"/>
      <c r="N164" s="715" t="s">
        <v>15253</v>
      </c>
      <c r="O164" s="676">
        <v>2011.0</v>
      </c>
      <c r="P164" s="715" t="s">
        <v>388</v>
      </c>
      <c r="Q164" s="676">
        <v>1.0</v>
      </c>
      <c r="R164" s="679"/>
      <c r="S164" s="672"/>
      <c r="T164" s="672"/>
      <c r="U164" s="672"/>
      <c r="V164" s="672"/>
      <c r="W164" s="672"/>
      <c r="X164" s="672"/>
      <c r="Y164" s="672"/>
      <c r="Z164" s="672"/>
    </row>
    <row r="165" ht="15.75" customHeight="1">
      <c r="A165" s="672"/>
      <c r="B165" s="676">
        <v>160.0</v>
      </c>
      <c r="C165" s="691"/>
      <c r="D165" s="676" t="s">
        <v>16813</v>
      </c>
      <c r="E165" s="678" t="s">
        <v>16650</v>
      </c>
      <c r="F165" s="677" t="s">
        <v>2355</v>
      </c>
      <c r="G165" s="677" t="s">
        <v>29</v>
      </c>
      <c r="H165" s="677"/>
      <c r="I165" s="677"/>
      <c r="J165" s="677" t="s">
        <v>16651</v>
      </c>
      <c r="K165" s="677">
        <f>1078+323+5+37</f>
        <v>1443</v>
      </c>
      <c r="L165" s="677"/>
      <c r="M165" s="676"/>
      <c r="N165" s="715" t="s">
        <v>16814</v>
      </c>
      <c r="O165" s="676">
        <v>1987.0</v>
      </c>
      <c r="P165" s="715" t="s">
        <v>388</v>
      </c>
      <c r="Q165" s="676">
        <v>1.0</v>
      </c>
      <c r="R165" s="679"/>
      <c r="S165" s="672"/>
      <c r="T165" s="672"/>
      <c r="U165" s="672"/>
      <c r="V165" s="672"/>
      <c r="W165" s="672"/>
      <c r="X165" s="672"/>
      <c r="Y165" s="672"/>
      <c r="Z165" s="672"/>
    </row>
    <row r="166" ht="15.75" customHeight="1">
      <c r="A166" s="672"/>
      <c r="B166" s="676">
        <v>161.0</v>
      </c>
      <c r="C166" s="691" t="s">
        <v>16815</v>
      </c>
      <c r="D166" s="676" t="s">
        <v>16816</v>
      </c>
      <c r="E166" s="678" t="s">
        <v>16695</v>
      </c>
      <c r="F166" s="677" t="s">
        <v>2355</v>
      </c>
      <c r="G166" s="677" t="s">
        <v>29</v>
      </c>
      <c r="H166" s="677" t="s">
        <v>9209</v>
      </c>
      <c r="I166" s="677"/>
      <c r="J166" s="677" t="s">
        <v>9209</v>
      </c>
      <c r="K166" s="677">
        <f>906+4+306+80+2</f>
        <v>1298</v>
      </c>
      <c r="L166" s="677"/>
      <c r="M166" s="676"/>
      <c r="N166" s="715" t="s">
        <v>100</v>
      </c>
      <c r="O166" s="676">
        <v>1985.0</v>
      </c>
      <c r="P166" s="715" t="s">
        <v>388</v>
      </c>
      <c r="Q166" s="676">
        <v>1.0</v>
      </c>
      <c r="R166" s="679"/>
      <c r="S166" s="672"/>
      <c r="T166" s="672"/>
      <c r="U166" s="672"/>
      <c r="V166" s="672"/>
      <c r="W166" s="672"/>
      <c r="X166" s="672"/>
      <c r="Y166" s="672"/>
      <c r="Z166" s="672"/>
    </row>
    <row r="167" ht="15.75" customHeight="1">
      <c r="A167" s="672"/>
      <c r="B167" s="676">
        <v>162.0</v>
      </c>
      <c r="C167" s="691" t="s">
        <v>16721</v>
      </c>
      <c r="D167" s="676" t="s">
        <v>16722</v>
      </c>
      <c r="E167" s="678" t="s">
        <v>16695</v>
      </c>
      <c r="F167" s="677" t="s">
        <v>2355</v>
      </c>
      <c r="G167" s="677" t="s">
        <v>29</v>
      </c>
      <c r="H167" s="677" t="s">
        <v>9209</v>
      </c>
      <c r="I167" s="677"/>
      <c r="J167" s="677" t="s">
        <v>9209</v>
      </c>
      <c r="K167" s="677"/>
      <c r="L167" s="677"/>
      <c r="M167" s="676"/>
      <c r="N167" s="715" t="s">
        <v>100</v>
      </c>
      <c r="O167" s="676">
        <v>1982.0</v>
      </c>
      <c r="P167" s="715" t="s">
        <v>388</v>
      </c>
      <c r="Q167" s="676">
        <v>1.0</v>
      </c>
      <c r="R167" s="679"/>
      <c r="S167" s="672"/>
      <c r="T167" s="672"/>
      <c r="U167" s="672"/>
      <c r="V167" s="672"/>
      <c r="W167" s="672"/>
      <c r="X167" s="672"/>
      <c r="Y167" s="672"/>
      <c r="Z167" s="672"/>
    </row>
    <row r="168" ht="15.75" customHeight="1">
      <c r="A168" s="672"/>
      <c r="B168" s="676">
        <v>163.0</v>
      </c>
      <c r="C168" s="691" t="s">
        <v>15256</v>
      </c>
      <c r="D168" s="676" t="s">
        <v>16817</v>
      </c>
      <c r="E168" s="678" t="s">
        <v>16818</v>
      </c>
      <c r="F168" s="677" t="s">
        <v>2355</v>
      </c>
      <c r="G168" s="677" t="s">
        <v>29</v>
      </c>
      <c r="H168" s="677" t="s">
        <v>9209</v>
      </c>
      <c r="I168" s="677"/>
      <c r="J168" s="677" t="s">
        <v>9209</v>
      </c>
      <c r="K168" s="677">
        <f>191</f>
        <v>191</v>
      </c>
      <c r="L168" s="677"/>
      <c r="M168" s="676"/>
      <c r="N168" s="715" t="s">
        <v>100</v>
      </c>
      <c r="O168" s="676">
        <v>2013.0</v>
      </c>
      <c r="P168" s="715" t="s">
        <v>388</v>
      </c>
      <c r="Q168" s="676">
        <v>1.0</v>
      </c>
      <c r="R168" s="679"/>
      <c r="S168" s="672"/>
      <c r="T168" s="672"/>
      <c r="U168" s="672"/>
      <c r="V168" s="672"/>
      <c r="W168" s="672"/>
      <c r="X168" s="672"/>
      <c r="Y168" s="672"/>
      <c r="Z168" s="672"/>
    </row>
    <row r="169" ht="15.75" customHeight="1">
      <c r="A169" s="672"/>
      <c r="B169" s="260">
        <v>164.0</v>
      </c>
      <c r="C169" s="709" t="s">
        <v>16819</v>
      </c>
      <c r="D169" s="258" t="s">
        <v>16820</v>
      </c>
      <c r="E169" s="710" t="s">
        <v>16821</v>
      </c>
      <c r="F169" s="711" t="s">
        <v>2355</v>
      </c>
      <c r="G169" s="711" t="s">
        <v>29</v>
      </c>
      <c r="H169" s="711" t="s">
        <v>2417</v>
      </c>
      <c r="I169" s="711"/>
      <c r="J169" s="711" t="s">
        <v>16822</v>
      </c>
      <c r="K169" s="712">
        <v>2757.0</v>
      </c>
      <c r="L169" s="711"/>
      <c r="M169" s="258" t="s">
        <v>16823</v>
      </c>
      <c r="N169" s="716" t="s">
        <v>16824</v>
      </c>
      <c r="O169" s="260">
        <v>2011.0</v>
      </c>
      <c r="P169" s="716"/>
      <c r="Q169" s="260">
        <v>1.0</v>
      </c>
      <c r="R169" s="714">
        <v>1.0</v>
      </c>
      <c r="S169" s="672"/>
      <c r="T169" s="672"/>
      <c r="U169" s="672"/>
      <c r="V169" s="672"/>
      <c r="W169" s="672"/>
      <c r="X169" s="672"/>
      <c r="Y169" s="672"/>
      <c r="Z169" s="672"/>
    </row>
    <row r="170" ht="15.75" customHeight="1">
      <c r="A170" s="672"/>
      <c r="B170" s="676">
        <v>165.0</v>
      </c>
      <c r="C170" s="691"/>
      <c r="D170" s="676" t="s">
        <v>16825</v>
      </c>
      <c r="E170" s="678" t="s">
        <v>16679</v>
      </c>
      <c r="F170" s="677" t="s">
        <v>2355</v>
      </c>
      <c r="G170" s="677" t="s">
        <v>29</v>
      </c>
      <c r="H170" s="677" t="s">
        <v>16826</v>
      </c>
      <c r="I170" s="677"/>
      <c r="J170" s="677" t="s">
        <v>6431</v>
      </c>
      <c r="K170" s="677">
        <f>1165</f>
        <v>1165</v>
      </c>
      <c r="L170" s="677"/>
      <c r="M170" s="676"/>
      <c r="N170" s="715" t="s">
        <v>16352</v>
      </c>
      <c r="O170" s="676">
        <v>1989.0</v>
      </c>
      <c r="P170" s="715" t="s">
        <v>388</v>
      </c>
      <c r="Q170" s="676">
        <v>1.0</v>
      </c>
      <c r="R170" s="679"/>
      <c r="S170" s="672"/>
      <c r="T170" s="672"/>
      <c r="U170" s="672"/>
      <c r="V170" s="672"/>
      <c r="W170" s="672"/>
      <c r="X170" s="672"/>
      <c r="Y170" s="672"/>
      <c r="Z170" s="672"/>
    </row>
    <row r="171" ht="15.75" customHeight="1">
      <c r="A171" s="672"/>
      <c r="B171" s="676">
        <v>166.0</v>
      </c>
      <c r="C171" s="691"/>
      <c r="D171" s="676" t="s">
        <v>16827</v>
      </c>
      <c r="E171" s="678" t="s">
        <v>16828</v>
      </c>
      <c r="F171" s="677" t="s">
        <v>2355</v>
      </c>
      <c r="G171" s="677" t="s">
        <v>29</v>
      </c>
      <c r="H171" s="677" t="s">
        <v>16829</v>
      </c>
      <c r="I171" s="677"/>
      <c r="J171" s="677" t="s">
        <v>16829</v>
      </c>
      <c r="K171" s="677">
        <f>1128+15+363</f>
        <v>1506</v>
      </c>
      <c r="L171" s="677"/>
      <c r="M171" s="676"/>
      <c r="N171" s="715" t="s">
        <v>16830</v>
      </c>
      <c r="O171" s="676">
        <v>1987.0</v>
      </c>
      <c r="P171" s="715" t="s">
        <v>388</v>
      </c>
      <c r="Q171" s="676">
        <v>1.0</v>
      </c>
      <c r="R171" s="679"/>
      <c r="S171" s="672"/>
      <c r="T171" s="672"/>
      <c r="U171" s="672"/>
      <c r="V171" s="672"/>
      <c r="W171" s="672"/>
      <c r="X171" s="672"/>
      <c r="Y171" s="672"/>
      <c r="Z171" s="672"/>
    </row>
    <row r="172" ht="15.75" customHeight="1">
      <c r="A172" s="672"/>
      <c r="B172" s="676">
        <v>167.0</v>
      </c>
      <c r="C172" s="691"/>
      <c r="D172" s="676" t="s">
        <v>16831</v>
      </c>
      <c r="E172" s="678" t="s">
        <v>16832</v>
      </c>
      <c r="F172" s="677" t="s">
        <v>12445</v>
      </c>
      <c r="G172" s="677" t="s">
        <v>29</v>
      </c>
      <c r="H172" s="677" t="s">
        <v>16833</v>
      </c>
      <c r="I172" s="677"/>
      <c r="J172" s="677" t="s">
        <v>16622</v>
      </c>
      <c r="K172" s="677">
        <f>632+4</f>
        <v>636</v>
      </c>
      <c r="L172" s="677"/>
      <c r="M172" s="676"/>
      <c r="N172" s="715" t="s">
        <v>16834</v>
      </c>
      <c r="O172" s="676">
        <v>1967.0</v>
      </c>
      <c r="P172" s="715" t="s">
        <v>388</v>
      </c>
      <c r="Q172" s="676">
        <v>1.0</v>
      </c>
      <c r="R172" s="679"/>
      <c r="S172" s="672"/>
      <c r="T172" s="672"/>
      <c r="U172" s="672"/>
      <c r="V172" s="672"/>
      <c r="W172" s="672"/>
      <c r="X172" s="672"/>
      <c r="Y172" s="672"/>
      <c r="Z172" s="672"/>
    </row>
    <row r="173" ht="15.75" customHeight="1">
      <c r="A173" s="672"/>
      <c r="B173" s="676">
        <v>168.0</v>
      </c>
      <c r="C173" s="691"/>
      <c r="D173" s="676" t="s">
        <v>16835</v>
      </c>
      <c r="E173" s="678" t="s">
        <v>16836</v>
      </c>
      <c r="F173" s="677" t="s">
        <v>12445</v>
      </c>
      <c r="G173" s="677" t="s">
        <v>29</v>
      </c>
      <c r="H173" s="677" t="s">
        <v>16837</v>
      </c>
      <c r="I173" s="677"/>
      <c r="J173" s="677" t="s">
        <v>10352</v>
      </c>
      <c r="K173" s="677">
        <f>1016</f>
        <v>1016</v>
      </c>
      <c r="L173" s="677"/>
      <c r="M173" s="676"/>
      <c r="N173" s="715" t="s">
        <v>12447</v>
      </c>
      <c r="O173" s="676">
        <v>1981.0</v>
      </c>
      <c r="P173" s="715" t="s">
        <v>388</v>
      </c>
      <c r="Q173" s="676">
        <v>1.0</v>
      </c>
      <c r="R173" s="679"/>
      <c r="S173" s="672"/>
      <c r="T173" s="672"/>
      <c r="U173" s="672"/>
      <c r="V173" s="672"/>
      <c r="W173" s="672"/>
      <c r="X173" s="672"/>
      <c r="Y173" s="672"/>
      <c r="Z173" s="672"/>
    </row>
    <row r="174" ht="15.75" customHeight="1">
      <c r="A174" s="672"/>
      <c r="B174" s="676">
        <v>169.0</v>
      </c>
      <c r="C174" s="691"/>
      <c r="D174" s="676" t="s">
        <v>16838</v>
      </c>
      <c r="E174" s="678" t="s">
        <v>16839</v>
      </c>
      <c r="F174" s="677" t="s">
        <v>12445</v>
      </c>
      <c r="G174" s="677" t="s">
        <v>29</v>
      </c>
      <c r="H174" s="677" t="s">
        <v>81</v>
      </c>
      <c r="I174" s="677"/>
      <c r="J174" s="677" t="s">
        <v>10352</v>
      </c>
      <c r="K174" s="677">
        <f>633+26</f>
        <v>659</v>
      </c>
      <c r="L174" s="677"/>
      <c r="M174" s="676"/>
      <c r="N174" s="715" t="s">
        <v>16840</v>
      </c>
      <c r="O174" s="676">
        <v>1995.0</v>
      </c>
      <c r="P174" s="715" t="s">
        <v>388</v>
      </c>
      <c r="Q174" s="676">
        <v>1.0</v>
      </c>
      <c r="R174" s="679"/>
      <c r="S174" s="672"/>
      <c r="T174" s="672"/>
      <c r="U174" s="672"/>
      <c r="V174" s="672"/>
      <c r="W174" s="672"/>
      <c r="X174" s="672"/>
      <c r="Y174" s="672"/>
      <c r="Z174" s="672"/>
    </row>
    <row r="175" ht="15.75" customHeight="1">
      <c r="A175" s="672"/>
      <c r="B175" s="676">
        <v>170.0</v>
      </c>
      <c r="C175" s="691"/>
      <c r="D175" s="676" t="s">
        <v>16841</v>
      </c>
      <c r="E175" s="678" t="s">
        <v>16783</v>
      </c>
      <c r="F175" s="677" t="s">
        <v>12445</v>
      </c>
      <c r="G175" s="677" t="s">
        <v>29</v>
      </c>
      <c r="H175" s="677" t="s">
        <v>9209</v>
      </c>
      <c r="I175" s="677"/>
      <c r="J175" s="677" t="s">
        <v>16622</v>
      </c>
      <c r="K175" s="677">
        <f>920</f>
        <v>920</v>
      </c>
      <c r="L175" s="677"/>
      <c r="M175" s="676"/>
      <c r="N175" s="715" t="s">
        <v>16842</v>
      </c>
      <c r="O175" s="676">
        <v>1966.0</v>
      </c>
      <c r="P175" s="715" t="s">
        <v>388</v>
      </c>
      <c r="Q175" s="676">
        <v>1.0</v>
      </c>
      <c r="R175" s="679"/>
      <c r="S175" s="672"/>
      <c r="T175" s="672"/>
      <c r="U175" s="672"/>
      <c r="V175" s="672"/>
      <c r="W175" s="672"/>
      <c r="X175" s="672"/>
      <c r="Y175" s="672"/>
      <c r="Z175" s="672"/>
    </row>
    <row r="176" ht="15.75" customHeight="1">
      <c r="A176" s="672"/>
      <c r="B176" s="676">
        <v>177.0</v>
      </c>
      <c r="C176" s="691"/>
      <c r="D176" s="676" t="s">
        <v>16843</v>
      </c>
      <c r="E176" s="678" t="s">
        <v>16844</v>
      </c>
      <c r="F176" s="677" t="s">
        <v>12445</v>
      </c>
      <c r="G176" s="677" t="s">
        <v>29</v>
      </c>
      <c r="H176" s="677" t="s">
        <v>6431</v>
      </c>
      <c r="I176" s="677"/>
      <c r="J176" s="677" t="s">
        <v>6431</v>
      </c>
      <c r="K176" s="677">
        <f>410+6</f>
        <v>416</v>
      </c>
      <c r="L176" s="677"/>
      <c r="M176" s="676"/>
      <c r="N176" s="715" t="s">
        <v>16332</v>
      </c>
      <c r="O176" s="676">
        <v>1989.0</v>
      </c>
      <c r="P176" s="715" t="s">
        <v>388</v>
      </c>
      <c r="Q176" s="676">
        <v>1.0</v>
      </c>
      <c r="R176" s="679"/>
      <c r="S176" s="672"/>
      <c r="T176" s="672"/>
      <c r="U176" s="672"/>
      <c r="V176" s="672"/>
      <c r="W176" s="672"/>
      <c r="X176" s="672"/>
      <c r="Y176" s="672"/>
      <c r="Z176" s="672"/>
    </row>
    <row r="177" ht="15.75" customHeight="1">
      <c r="A177" s="672"/>
      <c r="B177" s="676">
        <v>178.0</v>
      </c>
      <c r="C177" s="691"/>
      <c r="D177" s="676" t="s">
        <v>16845</v>
      </c>
      <c r="E177" s="678" t="s">
        <v>16844</v>
      </c>
      <c r="F177" s="677" t="s">
        <v>12445</v>
      </c>
      <c r="G177" s="677" t="s">
        <v>29</v>
      </c>
      <c r="H177" s="677" t="s">
        <v>6431</v>
      </c>
      <c r="I177" s="677"/>
      <c r="J177" s="677" t="s">
        <v>6431</v>
      </c>
      <c r="K177" s="677">
        <f>444+4</f>
        <v>448</v>
      </c>
      <c r="L177" s="677"/>
      <c r="M177" s="676"/>
      <c r="N177" s="715" t="s">
        <v>16332</v>
      </c>
      <c r="O177" s="676">
        <v>1976.0</v>
      </c>
      <c r="P177" s="715" t="s">
        <v>388</v>
      </c>
      <c r="Q177" s="676">
        <v>1.0</v>
      </c>
      <c r="R177" s="679"/>
      <c r="S177" s="672"/>
      <c r="T177" s="672"/>
      <c r="U177" s="672"/>
      <c r="V177" s="672"/>
      <c r="W177" s="672"/>
      <c r="X177" s="672"/>
      <c r="Y177" s="672"/>
      <c r="Z177" s="672"/>
    </row>
    <row r="178" ht="15.75" customHeight="1">
      <c r="A178" s="672"/>
      <c r="B178" s="676">
        <v>179.0</v>
      </c>
      <c r="C178" s="691"/>
      <c r="D178" s="676" t="s">
        <v>16846</v>
      </c>
      <c r="E178" s="678" t="s">
        <v>16783</v>
      </c>
      <c r="F178" s="677" t="s">
        <v>12445</v>
      </c>
      <c r="G178" s="677" t="s">
        <v>29</v>
      </c>
      <c r="H178" s="677" t="s">
        <v>9209</v>
      </c>
      <c r="I178" s="677"/>
      <c r="J178" s="677" t="s">
        <v>16622</v>
      </c>
      <c r="K178" s="677">
        <f>920</f>
        <v>920</v>
      </c>
      <c r="L178" s="677"/>
      <c r="M178" s="676"/>
      <c r="N178" s="715" t="s">
        <v>16842</v>
      </c>
      <c r="O178" s="676">
        <v>1966.0</v>
      </c>
      <c r="P178" s="715" t="s">
        <v>388</v>
      </c>
      <c r="Q178" s="676">
        <v>1.0</v>
      </c>
      <c r="R178" s="679"/>
      <c r="S178" s="672"/>
      <c r="T178" s="672"/>
      <c r="U178" s="672"/>
      <c r="V178" s="672"/>
      <c r="W178" s="672"/>
      <c r="X178" s="672"/>
      <c r="Y178" s="672"/>
      <c r="Z178" s="672"/>
    </row>
    <row r="179" ht="15.75" customHeight="1">
      <c r="A179" s="672"/>
      <c r="B179" s="676">
        <v>180.0</v>
      </c>
      <c r="C179" s="691"/>
      <c r="D179" s="676" t="s">
        <v>16847</v>
      </c>
      <c r="E179" s="678" t="s">
        <v>16574</v>
      </c>
      <c r="F179" s="677" t="s">
        <v>2355</v>
      </c>
      <c r="G179" s="677" t="s">
        <v>29</v>
      </c>
      <c r="H179" s="677" t="s">
        <v>131</v>
      </c>
      <c r="I179" s="677"/>
      <c r="J179" s="677" t="s">
        <v>131</v>
      </c>
      <c r="K179" s="677">
        <f>1434+6</f>
        <v>1440</v>
      </c>
      <c r="L179" s="677"/>
      <c r="M179" s="676"/>
      <c r="N179" s="715" t="s">
        <v>15227</v>
      </c>
      <c r="O179" s="676">
        <v>1977.0</v>
      </c>
      <c r="P179" s="715" t="s">
        <v>388</v>
      </c>
      <c r="Q179" s="676">
        <v>1.0</v>
      </c>
      <c r="R179" s="679"/>
      <c r="S179" s="672"/>
      <c r="T179" s="672"/>
      <c r="U179" s="672"/>
      <c r="V179" s="672"/>
      <c r="W179" s="672"/>
      <c r="X179" s="672"/>
      <c r="Y179" s="672"/>
      <c r="Z179" s="672"/>
    </row>
    <row r="180" ht="15.75" customHeight="1">
      <c r="A180" s="672"/>
      <c r="B180" s="676">
        <v>978.0</v>
      </c>
      <c r="C180" s="691" t="s">
        <v>15933</v>
      </c>
      <c r="D180" s="676" t="s">
        <v>16848</v>
      </c>
      <c r="E180" s="678" t="s">
        <v>16780</v>
      </c>
      <c r="F180" s="677" t="s">
        <v>12445</v>
      </c>
      <c r="G180" s="677" t="s">
        <v>29</v>
      </c>
      <c r="H180" s="677" t="s">
        <v>9209</v>
      </c>
      <c r="I180" s="677"/>
      <c r="J180" s="677" t="s">
        <v>9209</v>
      </c>
      <c r="K180" s="677">
        <f>932+10</f>
        <v>942</v>
      </c>
      <c r="L180" s="677"/>
      <c r="M180" s="676"/>
      <c r="N180" s="715" t="s">
        <v>16849</v>
      </c>
      <c r="O180" s="676">
        <v>1971.0</v>
      </c>
      <c r="P180" s="715" t="s">
        <v>388</v>
      </c>
      <c r="Q180" s="676">
        <v>1.0</v>
      </c>
      <c r="R180" s="679"/>
      <c r="S180" s="672"/>
      <c r="T180" s="672"/>
      <c r="U180" s="672"/>
      <c r="V180" s="672"/>
      <c r="W180" s="672"/>
      <c r="X180" s="672"/>
      <c r="Y180" s="672"/>
      <c r="Z180" s="672"/>
    </row>
    <row r="181" ht="15.75" customHeight="1">
      <c r="A181" s="672"/>
      <c r="B181" s="676">
        <v>979.0</v>
      </c>
      <c r="C181" s="691" t="s">
        <v>16356</v>
      </c>
      <c r="D181" s="676" t="s">
        <v>16850</v>
      </c>
      <c r="E181" s="678" t="s">
        <v>16851</v>
      </c>
      <c r="F181" s="677" t="s">
        <v>16852</v>
      </c>
      <c r="G181" s="677" t="s">
        <v>29</v>
      </c>
      <c r="H181" s="677" t="s">
        <v>131</v>
      </c>
      <c r="I181" s="677"/>
      <c r="J181" s="677" t="s">
        <v>131</v>
      </c>
      <c r="K181" s="677">
        <f>511</f>
        <v>511</v>
      </c>
      <c r="L181" s="677"/>
      <c r="M181" s="676"/>
      <c r="N181" s="715" t="s">
        <v>16853</v>
      </c>
      <c r="O181" s="676">
        <v>1973.0</v>
      </c>
      <c r="P181" s="715" t="s">
        <v>388</v>
      </c>
      <c r="Q181" s="676">
        <v>2.0</v>
      </c>
      <c r="R181" s="679"/>
      <c r="S181" s="672"/>
      <c r="T181" s="672"/>
      <c r="U181" s="672"/>
      <c r="V181" s="672"/>
      <c r="W181" s="672"/>
      <c r="X181" s="672"/>
      <c r="Y181" s="672"/>
      <c r="Z181" s="672"/>
    </row>
    <row r="182" ht="15.75" customHeight="1">
      <c r="A182" s="672"/>
      <c r="B182" s="676">
        <v>980.0</v>
      </c>
      <c r="C182" s="691"/>
      <c r="D182" s="676" t="s">
        <v>16854</v>
      </c>
      <c r="E182" s="678" t="s">
        <v>16855</v>
      </c>
      <c r="F182" s="677" t="s">
        <v>16856</v>
      </c>
      <c r="G182" s="677" t="s">
        <v>29</v>
      </c>
      <c r="H182" s="677" t="s">
        <v>16856</v>
      </c>
      <c r="I182" s="677"/>
      <c r="J182" s="677" t="s">
        <v>6431</v>
      </c>
      <c r="K182" s="677">
        <f>404+6+4</f>
        <v>414</v>
      </c>
      <c r="L182" s="677"/>
      <c r="M182" s="676"/>
      <c r="N182" s="715" t="s">
        <v>16857</v>
      </c>
      <c r="O182" s="676">
        <v>1987.0</v>
      </c>
      <c r="P182" s="715" t="s">
        <v>388</v>
      </c>
      <c r="Q182" s="676">
        <v>2.0</v>
      </c>
      <c r="R182" s="679"/>
      <c r="S182" s="672"/>
      <c r="T182" s="672"/>
      <c r="U182" s="672"/>
      <c r="V182" s="672"/>
      <c r="W182" s="672"/>
      <c r="X182" s="672"/>
      <c r="Y182" s="672"/>
      <c r="Z182" s="672"/>
    </row>
    <row r="183" ht="15.75" customHeight="1">
      <c r="A183" s="672"/>
      <c r="B183" s="676">
        <v>981.0</v>
      </c>
      <c r="C183" s="691" t="s">
        <v>16858</v>
      </c>
      <c r="D183" s="676" t="s">
        <v>16859</v>
      </c>
      <c r="E183" s="678" t="s">
        <v>16860</v>
      </c>
      <c r="F183" s="677" t="s">
        <v>12445</v>
      </c>
      <c r="G183" s="677" t="s">
        <v>29</v>
      </c>
      <c r="H183" s="677" t="s">
        <v>9209</v>
      </c>
      <c r="I183" s="677"/>
      <c r="J183" s="677" t="s">
        <v>9209</v>
      </c>
      <c r="K183" s="677">
        <f>574</f>
        <v>574</v>
      </c>
      <c r="L183" s="677"/>
      <c r="M183" s="676"/>
      <c r="N183" s="715" t="s">
        <v>16861</v>
      </c>
      <c r="O183" s="676">
        <v>1975.0</v>
      </c>
      <c r="P183" s="715" t="s">
        <v>388</v>
      </c>
      <c r="Q183" s="676">
        <v>1.0</v>
      </c>
      <c r="R183" s="679"/>
      <c r="S183" s="672"/>
      <c r="T183" s="672"/>
      <c r="U183" s="672"/>
      <c r="V183" s="672"/>
      <c r="W183" s="672"/>
      <c r="X183" s="672"/>
      <c r="Y183" s="672"/>
      <c r="Z183" s="672"/>
    </row>
    <row r="184" ht="15.75" customHeight="1">
      <c r="A184" s="672"/>
      <c r="B184" s="676">
        <v>982.0</v>
      </c>
      <c r="C184" s="691" t="s">
        <v>16862</v>
      </c>
      <c r="D184" s="676" t="s">
        <v>16863</v>
      </c>
      <c r="E184" s="678" t="s">
        <v>16864</v>
      </c>
      <c r="F184" s="677" t="s">
        <v>12445</v>
      </c>
      <c r="G184" s="677" t="s">
        <v>29</v>
      </c>
      <c r="H184" s="677" t="s">
        <v>9209</v>
      </c>
      <c r="I184" s="677"/>
      <c r="J184" s="677" t="s">
        <v>9209</v>
      </c>
      <c r="K184" s="677">
        <v>720.0</v>
      </c>
      <c r="L184" s="677"/>
      <c r="M184" s="676"/>
      <c r="N184" s="715" t="s">
        <v>16865</v>
      </c>
      <c r="O184" s="676">
        <v>1977.0</v>
      </c>
      <c r="P184" s="715" t="s">
        <v>388</v>
      </c>
      <c r="Q184" s="676">
        <v>1.0</v>
      </c>
      <c r="R184" s="679"/>
      <c r="S184" s="672"/>
      <c r="T184" s="672"/>
      <c r="U184" s="672"/>
      <c r="V184" s="672"/>
      <c r="W184" s="672"/>
      <c r="X184" s="672"/>
      <c r="Y184" s="672"/>
      <c r="Z184" s="672"/>
    </row>
    <row r="185" ht="15.75" customHeight="1">
      <c r="A185" s="672"/>
      <c r="B185" s="676">
        <v>983.0</v>
      </c>
      <c r="C185" s="691" t="s">
        <v>16418</v>
      </c>
      <c r="D185" s="676" t="s">
        <v>16866</v>
      </c>
      <c r="E185" s="678" t="s">
        <v>16867</v>
      </c>
      <c r="F185" s="677" t="s">
        <v>12445</v>
      </c>
      <c r="G185" s="677" t="s">
        <v>29</v>
      </c>
      <c r="H185" s="677" t="s">
        <v>131</v>
      </c>
      <c r="I185" s="677"/>
      <c r="J185" s="677" t="s">
        <v>131</v>
      </c>
      <c r="K185" s="677"/>
      <c r="L185" s="677"/>
      <c r="M185" s="676"/>
      <c r="N185" s="715" t="s">
        <v>15442</v>
      </c>
      <c r="O185" s="676">
        <v>1972.0</v>
      </c>
      <c r="P185" s="715" t="s">
        <v>388</v>
      </c>
      <c r="Q185" s="676">
        <v>2.0</v>
      </c>
      <c r="R185" s="679"/>
      <c r="S185" s="672"/>
      <c r="T185" s="672"/>
      <c r="U185" s="672"/>
      <c r="V185" s="672"/>
      <c r="W185" s="672"/>
      <c r="X185" s="672"/>
      <c r="Y185" s="672"/>
      <c r="Z185" s="672"/>
    </row>
    <row r="186" ht="15.75" customHeight="1">
      <c r="A186" s="672"/>
      <c r="B186" s="676">
        <v>984.0</v>
      </c>
      <c r="C186" s="691"/>
      <c r="D186" s="691" t="s">
        <v>16868</v>
      </c>
      <c r="E186" s="717" t="s">
        <v>16869</v>
      </c>
      <c r="F186" s="691" t="s">
        <v>12445</v>
      </c>
      <c r="G186" s="691" t="s">
        <v>29</v>
      </c>
      <c r="H186" s="691"/>
      <c r="I186" s="691"/>
      <c r="J186" s="691" t="s">
        <v>5987</v>
      </c>
      <c r="K186" s="691">
        <f>926+2+292+5+4</f>
        <v>1229</v>
      </c>
      <c r="L186" s="691"/>
      <c r="M186" s="691"/>
      <c r="N186" s="691"/>
      <c r="O186" s="691">
        <v>1968.0</v>
      </c>
      <c r="P186" s="691" t="s">
        <v>388</v>
      </c>
      <c r="Q186" s="691">
        <v>1.0</v>
      </c>
      <c r="R186" s="679"/>
      <c r="S186" s="672"/>
      <c r="T186" s="672"/>
      <c r="U186" s="672"/>
      <c r="V186" s="672"/>
      <c r="W186" s="672"/>
      <c r="X186" s="672"/>
      <c r="Y186" s="672"/>
      <c r="Z186" s="672"/>
    </row>
    <row r="187" ht="15.75" customHeight="1">
      <c r="A187" s="672"/>
      <c r="B187" s="676">
        <v>985.0</v>
      </c>
      <c r="C187" s="691"/>
      <c r="D187" s="717" t="s">
        <v>16870</v>
      </c>
      <c r="E187" s="717" t="s">
        <v>16871</v>
      </c>
      <c r="F187" s="691" t="s">
        <v>16872</v>
      </c>
      <c r="G187" s="691" t="s">
        <v>29</v>
      </c>
      <c r="H187" s="691" t="s">
        <v>9209</v>
      </c>
      <c r="I187" s="691"/>
      <c r="J187" s="691" t="s">
        <v>9209</v>
      </c>
      <c r="K187" s="691"/>
      <c r="L187" s="691"/>
      <c r="M187" s="691"/>
      <c r="N187" s="691" t="s">
        <v>16873</v>
      </c>
      <c r="O187" s="691">
        <v>1963.0</v>
      </c>
      <c r="P187" s="691" t="s">
        <v>388</v>
      </c>
      <c r="Q187" s="691">
        <v>1.0</v>
      </c>
      <c r="R187" s="679"/>
      <c r="S187" s="672"/>
      <c r="T187" s="672"/>
      <c r="U187" s="672"/>
      <c r="V187" s="672"/>
      <c r="W187" s="672"/>
      <c r="X187" s="672"/>
      <c r="Y187" s="672"/>
      <c r="Z187" s="672"/>
    </row>
    <row r="188" ht="15.75" customHeight="1">
      <c r="A188" s="693"/>
      <c r="B188" s="676">
        <v>986.0</v>
      </c>
      <c r="C188" s="691"/>
      <c r="D188" s="717" t="s">
        <v>16874</v>
      </c>
      <c r="E188" s="717" t="s">
        <v>16875</v>
      </c>
      <c r="F188" s="691" t="s">
        <v>2355</v>
      </c>
      <c r="G188" s="691" t="s">
        <v>29</v>
      </c>
      <c r="H188" s="691" t="s">
        <v>15305</v>
      </c>
      <c r="I188" s="691"/>
      <c r="J188" s="691" t="s">
        <v>15305</v>
      </c>
      <c r="K188" s="691">
        <f>918+292+4</f>
        <v>1214</v>
      </c>
      <c r="L188" s="691"/>
      <c r="M188" s="691"/>
      <c r="N188" s="691" t="s">
        <v>16332</v>
      </c>
      <c r="O188" s="691">
        <v>1968.0</v>
      </c>
      <c r="P188" s="691" t="s">
        <v>388</v>
      </c>
      <c r="Q188" s="691">
        <v>1.0</v>
      </c>
      <c r="R188" s="718">
        <v>1.0</v>
      </c>
      <c r="S188" s="700"/>
      <c r="T188" s="693"/>
      <c r="U188" s="693"/>
      <c r="V188" s="693"/>
      <c r="W188" s="693"/>
      <c r="X188" s="693"/>
      <c r="Y188" s="693"/>
      <c r="Z188" s="693"/>
    </row>
    <row r="189" ht="15.75" customHeight="1">
      <c r="A189" s="672"/>
      <c r="B189" s="676">
        <v>987.0</v>
      </c>
      <c r="C189" s="691"/>
      <c r="D189" s="717" t="s">
        <v>16678</v>
      </c>
      <c r="E189" s="717" t="s">
        <v>16876</v>
      </c>
      <c r="F189" s="691" t="s">
        <v>2355</v>
      </c>
      <c r="G189" s="691" t="s">
        <v>29</v>
      </c>
      <c r="H189" s="691" t="s">
        <v>6431</v>
      </c>
      <c r="I189" s="691"/>
      <c r="J189" s="691" t="s">
        <v>6431</v>
      </c>
      <c r="K189" s="691">
        <v>1166.0</v>
      </c>
      <c r="L189" s="691"/>
      <c r="M189" s="691"/>
      <c r="N189" s="691" t="s">
        <v>16332</v>
      </c>
      <c r="O189" s="691">
        <v>1988.0</v>
      </c>
      <c r="P189" s="691" t="s">
        <v>388</v>
      </c>
      <c r="Q189" s="691">
        <v>1.0</v>
      </c>
      <c r="R189" s="679"/>
      <c r="S189" s="672"/>
      <c r="T189" s="672"/>
      <c r="U189" s="672"/>
      <c r="V189" s="672"/>
      <c r="W189" s="672"/>
      <c r="X189" s="672"/>
      <c r="Y189" s="672"/>
      <c r="Z189" s="672"/>
    </row>
    <row r="190" ht="15.75" customHeight="1">
      <c r="A190" s="693"/>
      <c r="B190" s="719"/>
      <c r="C190" s="720"/>
      <c r="D190" s="721" t="s">
        <v>16877</v>
      </c>
      <c r="E190" s="721" t="s">
        <v>16878</v>
      </c>
      <c r="F190" s="720" t="s">
        <v>16879</v>
      </c>
      <c r="G190" s="720" t="s">
        <v>29</v>
      </c>
      <c r="H190" s="720" t="s">
        <v>16880</v>
      </c>
      <c r="I190" s="720"/>
      <c r="J190" s="720" t="s">
        <v>16880</v>
      </c>
      <c r="K190" s="720">
        <v>32.0</v>
      </c>
      <c r="L190" s="720"/>
      <c r="M190" s="720"/>
      <c r="N190" s="720" t="s">
        <v>16881</v>
      </c>
      <c r="O190" s="720">
        <v>1998.0</v>
      </c>
      <c r="P190" s="720" t="s">
        <v>388</v>
      </c>
      <c r="Q190" s="720">
        <v>1.0</v>
      </c>
      <c r="R190" s="722">
        <v>1.0</v>
      </c>
      <c r="S190" s="700"/>
      <c r="T190" s="693"/>
      <c r="U190" s="693"/>
      <c r="V190" s="693"/>
      <c r="W190" s="693"/>
      <c r="X190" s="693"/>
      <c r="Y190" s="693"/>
      <c r="Z190" s="693"/>
    </row>
    <row r="191" ht="15.75" customHeight="1">
      <c r="A191" s="672"/>
      <c r="B191" s="676">
        <v>988.0</v>
      </c>
      <c r="C191" s="691" t="s">
        <v>16882</v>
      </c>
      <c r="D191" s="691" t="s">
        <v>16883</v>
      </c>
      <c r="E191" s="717" t="s">
        <v>16884</v>
      </c>
      <c r="F191" s="691" t="s">
        <v>2355</v>
      </c>
      <c r="G191" s="691" t="s">
        <v>29</v>
      </c>
      <c r="H191" s="691" t="s">
        <v>16885</v>
      </c>
      <c r="I191" s="691"/>
      <c r="J191" s="691" t="s">
        <v>16885</v>
      </c>
      <c r="K191" s="691">
        <f>1808</f>
        <v>1808</v>
      </c>
      <c r="L191" s="691"/>
      <c r="M191" s="691"/>
      <c r="N191" s="691" t="s">
        <v>2953</v>
      </c>
      <c r="O191" s="691">
        <v>2000.0</v>
      </c>
      <c r="P191" s="691" t="s">
        <v>388</v>
      </c>
      <c r="Q191" s="691">
        <v>1.0</v>
      </c>
      <c r="R191" s="679"/>
      <c r="S191" s="672"/>
      <c r="T191" s="672"/>
      <c r="U191" s="672"/>
      <c r="V191" s="672"/>
      <c r="W191" s="672"/>
      <c r="X191" s="672"/>
      <c r="Y191" s="672"/>
      <c r="Z191" s="672"/>
    </row>
    <row r="192" ht="15.75" customHeight="1">
      <c r="A192" s="672"/>
      <c r="B192" s="676">
        <v>989.0</v>
      </c>
      <c r="C192" s="691"/>
      <c r="D192" s="676" t="s">
        <v>16886</v>
      </c>
      <c r="E192" s="678" t="s">
        <v>16887</v>
      </c>
      <c r="F192" s="677" t="s">
        <v>12445</v>
      </c>
      <c r="G192" s="677" t="s">
        <v>29</v>
      </c>
      <c r="H192" s="677"/>
      <c r="I192" s="677"/>
      <c r="J192" s="677" t="s">
        <v>16734</v>
      </c>
      <c r="K192" s="677">
        <v>1986.0</v>
      </c>
      <c r="L192" s="677"/>
      <c r="M192" s="676"/>
      <c r="N192" s="715"/>
      <c r="O192" s="676"/>
      <c r="P192" s="715"/>
      <c r="Q192" s="676"/>
      <c r="R192" s="679"/>
      <c r="S192" s="672"/>
      <c r="T192" s="672"/>
      <c r="U192" s="672"/>
      <c r="V192" s="672"/>
      <c r="W192" s="672"/>
      <c r="X192" s="672"/>
      <c r="Y192" s="672"/>
      <c r="Z192" s="672"/>
    </row>
    <row r="193" ht="15.75" customHeight="1">
      <c r="A193" s="672"/>
      <c r="B193" s="676">
        <v>990.0</v>
      </c>
      <c r="C193" s="691"/>
      <c r="D193" s="676" t="s">
        <v>16888</v>
      </c>
      <c r="E193" s="678" t="s">
        <v>16889</v>
      </c>
      <c r="F193" s="677" t="s">
        <v>12445</v>
      </c>
      <c r="G193" s="677" t="s">
        <v>29</v>
      </c>
      <c r="H193" s="677" t="s">
        <v>131</v>
      </c>
      <c r="I193" s="677"/>
      <c r="J193" s="677" t="s">
        <v>131</v>
      </c>
      <c r="K193" s="677">
        <v>1968.0</v>
      </c>
      <c r="L193" s="677"/>
      <c r="M193" s="676"/>
      <c r="N193" s="715" t="s">
        <v>16787</v>
      </c>
      <c r="O193" s="676">
        <v>1968.0</v>
      </c>
      <c r="P193" s="715" t="s">
        <v>388</v>
      </c>
      <c r="Q193" s="676">
        <v>1.0</v>
      </c>
      <c r="R193" s="679"/>
      <c r="S193" s="672"/>
      <c r="T193" s="672"/>
      <c r="U193" s="672"/>
      <c r="V193" s="672"/>
      <c r="W193" s="672"/>
      <c r="X193" s="672"/>
      <c r="Y193" s="672"/>
      <c r="Z193" s="672"/>
    </row>
    <row r="194" ht="15.75" customHeight="1">
      <c r="A194" s="672"/>
      <c r="B194" s="676">
        <v>991.0</v>
      </c>
      <c r="C194" s="691" t="s">
        <v>16890</v>
      </c>
      <c r="D194" s="676" t="s">
        <v>16891</v>
      </c>
      <c r="E194" s="678" t="s">
        <v>16892</v>
      </c>
      <c r="F194" s="677" t="s">
        <v>12445</v>
      </c>
      <c r="G194" s="677" t="s">
        <v>29</v>
      </c>
      <c r="H194" s="677" t="s">
        <v>6431</v>
      </c>
      <c r="I194" s="723"/>
      <c r="J194" s="724" t="s">
        <v>6431</v>
      </c>
      <c r="K194" s="677">
        <f>563+7+4</f>
        <v>574</v>
      </c>
      <c r="L194" s="677"/>
      <c r="M194" s="725"/>
      <c r="N194" s="677" t="s">
        <v>16893</v>
      </c>
      <c r="O194" s="676">
        <v>1988.0</v>
      </c>
      <c r="P194" s="677" t="s">
        <v>388</v>
      </c>
      <c r="Q194" s="676">
        <v>1.0</v>
      </c>
      <c r="R194" s="679"/>
      <c r="S194" s="672"/>
      <c r="T194" s="672"/>
      <c r="U194" s="672"/>
      <c r="V194" s="672"/>
      <c r="W194" s="672"/>
      <c r="X194" s="672"/>
      <c r="Y194" s="672"/>
      <c r="Z194" s="672"/>
    </row>
    <row r="195" ht="15.75" customHeight="1">
      <c r="A195" s="672"/>
      <c r="B195" s="676">
        <v>992.0</v>
      </c>
      <c r="C195" s="691"/>
      <c r="D195" s="676" t="s">
        <v>16894</v>
      </c>
      <c r="E195" s="678" t="s">
        <v>16895</v>
      </c>
      <c r="F195" s="677" t="s">
        <v>12445</v>
      </c>
      <c r="G195" s="677" t="s">
        <v>29</v>
      </c>
      <c r="H195" s="723" t="s">
        <v>131</v>
      </c>
      <c r="I195" s="723"/>
      <c r="J195" s="726" t="s">
        <v>131</v>
      </c>
      <c r="K195" s="723">
        <f>329+4</f>
        <v>333</v>
      </c>
      <c r="L195" s="723"/>
      <c r="M195" s="725"/>
      <c r="N195" s="723" t="s">
        <v>4617</v>
      </c>
      <c r="O195" s="725">
        <v>1969.0</v>
      </c>
      <c r="P195" s="723" t="s">
        <v>388</v>
      </c>
      <c r="Q195" s="725">
        <v>1.0</v>
      </c>
      <c r="R195" s="679"/>
      <c r="S195" s="672"/>
      <c r="T195" s="672"/>
      <c r="U195" s="672"/>
      <c r="V195" s="672"/>
      <c r="W195" s="672"/>
      <c r="X195" s="672"/>
      <c r="Y195" s="672"/>
      <c r="Z195" s="672"/>
    </row>
    <row r="196" ht="15.75" customHeight="1">
      <c r="A196" s="672"/>
      <c r="B196" s="676">
        <v>993.0</v>
      </c>
      <c r="C196" s="691"/>
      <c r="D196" s="676" t="s">
        <v>16896</v>
      </c>
      <c r="E196" s="678" t="s">
        <v>16897</v>
      </c>
      <c r="F196" s="677" t="s">
        <v>12445</v>
      </c>
      <c r="G196" s="677" t="s">
        <v>29</v>
      </c>
      <c r="H196" s="723" t="s">
        <v>16424</v>
      </c>
      <c r="I196" s="723"/>
      <c r="J196" s="726" t="s">
        <v>16898</v>
      </c>
      <c r="K196" s="723">
        <f>812+6</f>
        <v>818</v>
      </c>
      <c r="L196" s="723"/>
      <c r="M196" s="725"/>
      <c r="N196" s="723" t="s">
        <v>16899</v>
      </c>
      <c r="O196" s="725">
        <v>1981.0</v>
      </c>
      <c r="P196" s="723" t="s">
        <v>388</v>
      </c>
      <c r="Q196" s="725">
        <v>1.0</v>
      </c>
      <c r="R196" s="679"/>
      <c r="S196" s="672"/>
      <c r="T196" s="672"/>
      <c r="U196" s="672"/>
      <c r="V196" s="672"/>
      <c r="W196" s="672"/>
      <c r="X196" s="672"/>
      <c r="Y196" s="672"/>
      <c r="Z196" s="672"/>
    </row>
    <row r="197" ht="15.75" customHeight="1">
      <c r="A197" s="672"/>
      <c r="B197" s="676">
        <v>994.0</v>
      </c>
      <c r="C197" s="691"/>
      <c r="D197" s="676" t="s">
        <v>16894</v>
      </c>
      <c r="E197" s="678" t="s">
        <v>16900</v>
      </c>
      <c r="F197" s="677" t="s">
        <v>12445</v>
      </c>
      <c r="G197" s="677" t="s">
        <v>29</v>
      </c>
      <c r="H197" s="723" t="s">
        <v>131</v>
      </c>
      <c r="I197" s="723"/>
      <c r="J197" s="726" t="s">
        <v>131</v>
      </c>
      <c r="K197" s="723">
        <f>281+4</f>
        <v>285</v>
      </c>
      <c r="L197" s="723"/>
      <c r="M197" s="725"/>
      <c r="N197" s="723" t="s">
        <v>16901</v>
      </c>
      <c r="O197" s="725"/>
      <c r="P197" s="723" t="s">
        <v>388</v>
      </c>
      <c r="Q197" s="725">
        <v>1.0</v>
      </c>
      <c r="R197" s="679"/>
      <c r="S197" s="672"/>
      <c r="T197" s="672"/>
      <c r="U197" s="672"/>
      <c r="V197" s="672"/>
      <c r="W197" s="672"/>
      <c r="X197" s="672"/>
      <c r="Y197" s="672"/>
      <c r="Z197" s="672"/>
    </row>
    <row r="198" ht="15.75" customHeight="1">
      <c r="A198" s="672"/>
      <c r="B198" s="676">
        <v>995.0</v>
      </c>
      <c r="C198" s="691"/>
      <c r="D198" s="676" t="s">
        <v>16902</v>
      </c>
      <c r="E198" s="678" t="s">
        <v>16903</v>
      </c>
      <c r="F198" s="677" t="s">
        <v>12445</v>
      </c>
      <c r="G198" s="677" t="s">
        <v>29</v>
      </c>
      <c r="H198" s="723" t="s">
        <v>10498</v>
      </c>
      <c r="I198" s="723"/>
      <c r="J198" s="726" t="s">
        <v>10498</v>
      </c>
      <c r="K198" s="723">
        <v>589.0</v>
      </c>
      <c r="L198" s="723"/>
      <c r="M198" s="725"/>
      <c r="N198" s="723" t="s">
        <v>16904</v>
      </c>
      <c r="O198" s="725">
        <v>1973.0</v>
      </c>
      <c r="P198" s="723" t="s">
        <v>388</v>
      </c>
      <c r="Q198" s="725">
        <v>2.0</v>
      </c>
      <c r="R198" s="679"/>
      <c r="S198" s="672"/>
      <c r="T198" s="672"/>
      <c r="U198" s="672"/>
      <c r="V198" s="672"/>
      <c r="W198" s="672"/>
      <c r="X198" s="672"/>
      <c r="Y198" s="672"/>
      <c r="Z198" s="672"/>
    </row>
    <row r="199" ht="15.75" customHeight="1">
      <c r="A199" s="672"/>
      <c r="B199" s="676">
        <v>996.0</v>
      </c>
      <c r="C199" s="691"/>
      <c r="D199" s="676" t="s">
        <v>16905</v>
      </c>
      <c r="E199" s="678" t="s">
        <v>16906</v>
      </c>
      <c r="F199" s="677" t="s">
        <v>2355</v>
      </c>
      <c r="G199" s="677" t="s">
        <v>29</v>
      </c>
      <c r="H199" s="723" t="s">
        <v>131</v>
      </c>
      <c r="I199" s="723"/>
      <c r="J199" s="726" t="s">
        <v>131</v>
      </c>
      <c r="K199" s="723">
        <v>1215.0</v>
      </c>
      <c r="L199" s="723"/>
      <c r="M199" s="725"/>
      <c r="N199" s="723" t="s">
        <v>4617</v>
      </c>
      <c r="O199" s="725"/>
      <c r="P199" s="723" t="s">
        <v>388</v>
      </c>
      <c r="Q199" s="725">
        <v>1.0</v>
      </c>
      <c r="R199" s="679"/>
      <c r="S199" s="672"/>
      <c r="T199" s="672"/>
      <c r="U199" s="672"/>
      <c r="V199" s="672"/>
      <c r="W199" s="672"/>
      <c r="X199" s="672"/>
      <c r="Y199" s="672"/>
      <c r="Z199" s="672"/>
    </row>
    <row r="200" ht="15.75" customHeight="1">
      <c r="A200" s="672"/>
      <c r="B200" s="676">
        <v>997.0</v>
      </c>
      <c r="C200" s="691"/>
      <c r="D200" s="676" t="s">
        <v>16907</v>
      </c>
      <c r="E200" s="678" t="s">
        <v>16908</v>
      </c>
      <c r="F200" s="677" t="s">
        <v>2355</v>
      </c>
      <c r="G200" s="677" t="s">
        <v>29</v>
      </c>
      <c r="H200" s="723" t="s">
        <v>131</v>
      </c>
      <c r="I200" s="723"/>
      <c r="J200" s="726" t="s">
        <v>131</v>
      </c>
      <c r="K200" s="723">
        <v>579.0</v>
      </c>
      <c r="L200" s="723"/>
      <c r="M200" s="725"/>
      <c r="N200" s="723" t="s">
        <v>16909</v>
      </c>
      <c r="O200" s="725">
        <v>1988.0</v>
      </c>
      <c r="P200" s="723" t="s">
        <v>388</v>
      </c>
      <c r="Q200" s="725">
        <v>1.0</v>
      </c>
      <c r="R200" s="679"/>
      <c r="S200" s="672"/>
      <c r="T200" s="672"/>
      <c r="U200" s="672"/>
      <c r="V200" s="672"/>
      <c r="W200" s="672"/>
      <c r="X200" s="672"/>
      <c r="Y200" s="672"/>
      <c r="Z200" s="672"/>
    </row>
    <row r="201" ht="15.75" customHeight="1">
      <c r="A201" s="672"/>
      <c r="B201" s="676">
        <v>998.0</v>
      </c>
      <c r="C201" s="691"/>
      <c r="D201" s="676" t="s">
        <v>16398</v>
      </c>
      <c r="E201" s="678" t="s">
        <v>16910</v>
      </c>
      <c r="F201" s="677" t="s">
        <v>12445</v>
      </c>
      <c r="G201" s="677" t="s">
        <v>29</v>
      </c>
      <c r="H201" s="723" t="s">
        <v>9209</v>
      </c>
      <c r="I201" s="723"/>
      <c r="J201" s="726" t="s">
        <v>9209</v>
      </c>
      <c r="K201" s="723">
        <f>640</f>
        <v>640</v>
      </c>
      <c r="L201" s="723"/>
      <c r="M201" s="725"/>
      <c r="N201" s="723" t="s">
        <v>16911</v>
      </c>
      <c r="O201" s="725">
        <v>1976.0</v>
      </c>
      <c r="P201" s="723" t="s">
        <v>388</v>
      </c>
      <c r="Q201" s="725">
        <v>1.0</v>
      </c>
      <c r="R201" s="679"/>
      <c r="S201" s="672"/>
      <c r="T201" s="672"/>
      <c r="U201" s="672"/>
      <c r="V201" s="672"/>
      <c r="W201" s="672"/>
      <c r="X201" s="672"/>
      <c r="Y201" s="672"/>
      <c r="Z201" s="672"/>
    </row>
    <row r="202" ht="15.75" customHeight="1">
      <c r="A202" s="693"/>
      <c r="B202" s="676">
        <v>999.0</v>
      </c>
      <c r="C202" s="691"/>
      <c r="D202" s="676" t="s">
        <v>16912</v>
      </c>
      <c r="E202" s="678" t="s">
        <v>16682</v>
      </c>
      <c r="F202" s="677" t="s">
        <v>12445</v>
      </c>
      <c r="G202" s="677" t="s">
        <v>29</v>
      </c>
      <c r="H202" s="723" t="s">
        <v>16414</v>
      </c>
      <c r="I202" s="723"/>
      <c r="J202" s="726" t="s">
        <v>15305</v>
      </c>
      <c r="K202" s="723">
        <f>296</f>
        <v>296</v>
      </c>
      <c r="L202" s="723"/>
      <c r="M202" s="725"/>
      <c r="N202" s="723" t="s">
        <v>16415</v>
      </c>
      <c r="O202" s="725">
        <v>1983.0</v>
      </c>
      <c r="P202" s="723" t="s">
        <v>388</v>
      </c>
      <c r="Q202" s="725">
        <v>3.0</v>
      </c>
      <c r="R202" s="679"/>
      <c r="S202" s="672"/>
      <c r="T202" s="672"/>
      <c r="U202" s="672"/>
      <c r="V202" s="672"/>
      <c r="W202" s="672"/>
      <c r="X202" s="672"/>
      <c r="Y202" s="672"/>
      <c r="Z202" s="672"/>
    </row>
    <row r="203" ht="15.75" customHeight="1">
      <c r="A203" s="693"/>
      <c r="B203" s="676">
        <v>1000.0</v>
      </c>
      <c r="C203" s="691"/>
      <c r="D203" s="676" t="s">
        <v>16913</v>
      </c>
      <c r="E203" s="678" t="s">
        <v>16914</v>
      </c>
      <c r="F203" s="677" t="s">
        <v>12445</v>
      </c>
      <c r="G203" s="677" t="s">
        <v>29</v>
      </c>
      <c r="H203" s="723" t="s">
        <v>3855</v>
      </c>
      <c r="I203" s="723"/>
      <c r="J203" s="726" t="s">
        <v>38</v>
      </c>
      <c r="K203" s="723">
        <f>576+143+45</f>
        <v>764</v>
      </c>
      <c r="L203" s="723"/>
      <c r="M203" s="725"/>
      <c r="N203" s="723" t="s">
        <v>16277</v>
      </c>
      <c r="O203" s="725"/>
      <c r="P203" s="723" t="s">
        <v>388</v>
      </c>
      <c r="Q203" s="725">
        <v>1.0</v>
      </c>
      <c r="R203" s="679"/>
      <c r="S203" s="672"/>
      <c r="T203" s="672"/>
      <c r="U203" s="672"/>
      <c r="V203" s="672"/>
      <c r="W203" s="672"/>
      <c r="X203" s="672"/>
      <c r="Y203" s="672"/>
      <c r="Z203" s="672"/>
    </row>
    <row r="204" ht="15.75" customHeight="1">
      <c r="A204" s="693"/>
      <c r="B204" s="685">
        <v>1001.0</v>
      </c>
      <c r="C204" s="691"/>
      <c r="D204" s="676" t="s">
        <v>16915</v>
      </c>
      <c r="E204" s="678" t="s">
        <v>16916</v>
      </c>
      <c r="F204" s="677" t="s">
        <v>12445</v>
      </c>
      <c r="G204" s="677" t="s">
        <v>29</v>
      </c>
      <c r="H204" s="723" t="s">
        <v>16424</v>
      </c>
      <c r="I204" s="723"/>
      <c r="J204" s="726" t="s">
        <v>16424</v>
      </c>
      <c r="K204" s="723">
        <f>681+12</f>
        <v>693</v>
      </c>
      <c r="L204" s="723"/>
      <c r="M204" s="725"/>
      <c r="N204" s="723" t="s">
        <v>16917</v>
      </c>
      <c r="O204" s="725">
        <v>1983.0</v>
      </c>
      <c r="P204" s="723" t="s">
        <v>388</v>
      </c>
      <c r="Q204" s="725">
        <v>1.0</v>
      </c>
      <c r="R204" s="679"/>
      <c r="S204" s="672"/>
      <c r="T204" s="672"/>
      <c r="U204" s="672"/>
      <c r="V204" s="672"/>
      <c r="W204" s="672"/>
      <c r="X204" s="672"/>
      <c r="Y204" s="672"/>
      <c r="Z204" s="672"/>
    </row>
    <row r="205" ht="15.75" customHeight="1">
      <c r="A205" s="693"/>
      <c r="B205" s="676">
        <v>1002.0</v>
      </c>
      <c r="C205" s="691"/>
      <c r="D205" s="676" t="s">
        <v>16918</v>
      </c>
      <c r="E205" s="678" t="s">
        <v>16919</v>
      </c>
      <c r="F205" s="677" t="s">
        <v>12445</v>
      </c>
      <c r="G205" s="677" t="s">
        <v>29</v>
      </c>
      <c r="H205" s="723" t="s">
        <v>16414</v>
      </c>
      <c r="I205" s="723"/>
      <c r="J205" s="726" t="s">
        <v>16414</v>
      </c>
      <c r="K205" s="723">
        <f>544+8</f>
        <v>552</v>
      </c>
      <c r="L205" s="723"/>
      <c r="M205" s="725"/>
      <c r="N205" s="723" t="s">
        <v>16920</v>
      </c>
      <c r="O205" s="725">
        <v>1988.0</v>
      </c>
      <c r="P205" s="723" t="s">
        <v>388</v>
      </c>
      <c r="Q205" s="725">
        <v>1.0</v>
      </c>
      <c r="R205" s="679"/>
      <c r="S205" s="672"/>
      <c r="T205" s="672"/>
      <c r="U205" s="672"/>
      <c r="V205" s="672"/>
      <c r="W205" s="672"/>
      <c r="X205" s="672"/>
      <c r="Y205" s="672"/>
      <c r="Z205" s="672"/>
    </row>
    <row r="206" ht="15.75" customHeight="1">
      <c r="A206" s="693"/>
      <c r="B206" s="676">
        <v>1003.0</v>
      </c>
      <c r="C206" s="691"/>
      <c r="D206" s="676" t="s">
        <v>16921</v>
      </c>
      <c r="E206" s="678" t="s">
        <v>16903</v>
      </c>
      <c r="F206" s="677" t="s">
        <v>12445</v>
      </c>
      <c r="G206" s="677" t="s">
        <v>29</v>
      </c>
      <c r="H206" s="723" t="s">
        <v>10498</v>
      </c>
      <c r="I206" s="723"/>
      <c r="J206" s="726" t="s">
        <v>10498</v>
      </c>
      <c r="K206" s="723">
        <f>575+2+14</f>
        <v>591</v>
      </c>
      <c r="L206" s="723"/>
      <c r="M206" s="725"/>
      <c r="N206" s="723" t="s">
        <v>16904</v>
      </c>
      <c r="O206" s="725">
        <v>1973.0</v>
      </c>
      <c r="P206" s="723" t="s">
        <v>388</v>
      </c>
      <c r="Q206" s="725">
        <v>1.0</v>
      </c>
      <c r="R206" s="679"/>
      <c r="S206" s="672"/>
      <c r="T206" s="672"/>
      <c r="U206" s="672"/>
      <c r="V206" s="672"/>
      <c r="W206" s="672"/>
      <c r="X206" s="672"/>
      <c r="Y206" s="672"/>
      <c r="Z206" s="672"/>
    </row>
    <row r="207" ht="15.75" customHeight="1">
      <c r="A207" s="693"/>
      <c r="B207" s="676">
        <v>1004.0</v>
      </c>
      <c r="C207" s="691"/>
      <c r="D207" s="676" t="s">
        <v>16922</v>
      </c>
      <c r="E207" s="678" t="s">
        <v>16923</v>
      </c>
      <c r="F207" s="677" t="s">
        <v>12445</v>
      </c>
      <c r="G207" s="677" t="s">
        <v>29</v>
      </c>
      <c r="H207" s="723" t="s">
        <v>6431</v>
      </c>
      <c r="I207" s="723"/>
      <c r="J207" s="726" t="s">
        <v>6431</v>
      </c>
      <c r="K207" s="723">
        <f>428</f>
        <v>428</v>
      </c>
      <c r="L207" s="723"/>
      <c r="M207" s="725"/>
      <c r="N207" s="723" t="s">
        <v>16332</v>
      </c>
      <c r="O207" s="725">
        <v>1986.0</v>
      </c>
      <c r="P207" s="723" t="s">
        <v>388</v>
      </c>
      <c r="Q207" s="725">
        <v>1.0</v>
      </c>
      <c r="R207" s="679"/>
      <c r="S207" s="672"/>
      <c r="T207" s="672"/>
      <c r="U207" s="672"/>
      <c r="V207" s="672"/>
      <c r="W207" s="672"/>
      <c r="X207" s="672"/>
      <c r="Y207" s="672"/>
      <c r="Z207" s="672"/>
    </row>
    <row r="208" ht="15.75" customHeight="1">
      <c r="A208" s="693"/>
      <c r="B208" s="676">
        <v>1005.0</v>
      </c>
      <c r="C208" s="691"/>
      <c r="D208" s="676" t="s">
        <v>16924</v>
      </c>
      <c r="E208" s="678" t="s">
        <v>16519</v>
      </c>
      <c r="F208" s="677" t="s">
        <v>12445</v>
      </c>
      <c r="G208" s="677" t="s">
        <v>29</v>
      </c>
      <c r="H208" s="723" t="s">
        <v>10498</v>
      </c>
      <c r="I208" s="723"/>
      <c r="J208" s="726" t="s">
        <v>10498</v>
      </c>
      <c r="K208" s="723">
        <f>629+8</f>
        <v>637</v>
      </c>
      <c r="L208" s="723"/>
      <c r="M208" s="725"/>
      <c r="N208" s="723" t="s">
        <v>16520</v>
      </c>
      <c r="O208" s="725">
        <v>1971.0</v>
      </c>
      <c r="P208" s="723" t="s">
        <v>388</v>
      </c>
      <c r="Q208" s="725">
        <v>1.0</v>
      </c>
      <c r="R208" s="679"/>
      <c r="S208" s="672"/>
      <c r="T208" s="672"/>
      <c r="U208" s="672"/>
      <c r="V208" s="672"/>
      <c r="W208" s="672"/>
      <c r="X208" s="672"/>
      <c r="Y208" s="672"/>
      <c r="Z208" s="672"/>
    </row>
    <row r="209" ht="15.75" customHeight="1">
      <c r="A209" s="693"/>
      <c r="B209" s="676">
        <v>1006.0</v>
      </c>
      <c r="C209" s="691"/>
      <c r="D209" s="676" t="s">
        <v>16925</v>
      </c>
      <c r="E209" s="678" t="s">
        <v>16519</v>
      </c>
      <c r="F209" s="677" t="s">
        <v>12445</v>
      </c>
      <c r="G209" s="677" t="s">
        <v>29</v>
      </c>
      <c r="H209" s="723" t="s">
        <v>10498</v>
      </c>
      <c r="I209" s="723"/>
      <c r="J209" s="726" t="s">
        <v>10498</v>
      </c>
      <c r="K209" s="723">
        <f>626+5+8</f>
        <v>639</v>
      </c>
      <c r="L209" s="723"/>
      <c r="M209" s="725"/>
      <c r="N209" s="723" t="s">
        <v>16520</v>
      </c>
      <c r="O209" s="725">
        <v>1973.0</v>
      </c>
      <c r="P209" s="723" t="s">
        <v>388</v>
      </c>
      <c r="Q209" s="725">
        <v>1.0</v>
      </c>
      <c r="R209" s="679"/>
      <c r="S209" s="672"/>
      <c r="T209" s="672"/>
      <c r="U209" s="672"/>
      <c r="V209" s="672"/>
      <c r="W209" s="672"/>
      <c r="X209" s="672"/>
      <c r="Y209" s="672"/>
      <c r="Z209" s="672"/>
    </row>
    <row r="210" ht="15.75" customHeight="1">
      <c r="A210" s="693"/>
      <c r="B210" s="676">
        <v>1007.0</v>
      </c>
      <c r="C210" s="691"/>
      <c r="D210" s="676" t="s">
        <v>16926</v>
      </c>
      <c r="E210" s="678" t="s">
        <v>16927</v>
      </c>
      <c r="F210" s="677" t="s">
        <v>12445</v>
      </c>
      <c r="G210" s="677" t="s">
        <v>29</v>
      </c>
      <c r="H210" s="723" t="s">
        <v>16335</v>
      </c>
      <c r="I210" s="723"/>
      <c r="J210" s="726" t="s">
        <v>16335</v>
      </c>
      <c r="K210" s="723">
        <f>744+6</f>
        <v>750</v>
      </c>
      <c r="L210" s="723"/>
      <c r="M210" s="725"/>
      <c r="N210" s="723" t="s">
        <v>13587</v>
      </c>
      <c r="O210" s="725">
        <v>1973.0</v>
      </c>
      <c r="P210" s="723" t="s">
        <v>388</v>
      </c>
      <c r="Q210" s="725">
        <v>2.0</v>
      </c>
      <c r="R210" s="679"/>
      <c r="S210" s="672"/>
      <c r="T210" s="672"/>
      <c r="U210" s="672"/>
      <c r="V210" s="672"/>
      <c r="W210" s="672"/>
      <c r="X210" s="672"/>
      <c r="Y210" s="672"/>
      <c r="Z210" s="672"/>
    </row>
    <row r="211" ht="15.75" customHeight="1">
      <c r="A211" s="693"/>
      <c r="B211" s="676">
        <v>1008.0</v>
      </c>
      <c r="C211" s="691" t="s">
        <v>16401</v>
      </c>
      <c r="D211" s="676" t="s">
        <v>16928</v>
      </c>
      <c r="E211" s="678" t="s">
        <v>16929</v>
      </c>
      <c r="F211" s="677" t="s">
        <v>12445</v>
      </c>
      <c r="G211" s="677" t="s">
        <v>29</v>
      </c>
      <c r="H211" s="723" t="s">
        <v>7191</v>
      </c>
      <c r="I211" s="723"/>
      <c r="J211" s="726" t="s">
        <v>7191</v>
      </c>
      <c r="K211" s="723">
        <f>594+36</f>
        <v>630</v>
      </c>
      <c r="L211" s="723"/>
      <c r="M211" s="725"/>
      <c r="N211" s="723" t="s">
        <v>16930</v>
      </c>
      <c r="O211" s="725">
        <v>1985.0</v>
      </c>
      <c r="P211" s="723" t="s">
        <v>388</v>
      </c>
      <c r="Q211" s="725">
        <v>1.0</v>
      </c>
      <c r="R211" s="679"/>
      <c r="S211" s="672"/>
      <c r="T211" s="672"/>
      <c r="U211" s="672"/>
      <c r="V211" s="672"/>
      <c r="W211" s="672"/>
      <c r="X211" s="672"/>
      <c r="Y211" s="672"/>
      <c r="Z211" s="672"/>
    </row>
    <row r="212" ht="15.75" customHeight="1">
      <c r="A212" s="672"/>
      <c r="B212" s="676">
        <v>1009.0</v>
      </c>
      <c r="C212" s="691" t="s">
        <v>3077</v>
      </c>
      <c r="D212" s="676" t="s">
        <v>16931</v>
      </c>
      <c r="E212" s="678" t="s">
        <v>2183</v>
      </c>
      <c r="F212" s="677" t="s">
        <v>2355</v>
      </c>
      <c r="G212" s="677" t="s">
        <v>29</v>
      </c>
      <c r="H212" s="723" t="s">
        <v>131</v>
      </c>
      <c r="I212" s="723"/>
      <c r="J212" s="726" t="s">
        <v>2184</v>
      </c>
      <c r="K212" s="723">
        <f>73+1574</f>
        <v>1647</v>
      </c>
      <c r="L212" s="723"/>
      <c r="M212" s="725"/>
      <c r="N212" s="723"/>
      <c r="O212" s="725">
        <v>1997.0</v>
      </c>
      <c r="P212" s="723" t="s">
        <v>388</v>
      </c>
      <c r="Q212" s="725">
        <v>1.0</v>
      </c>
      <c r="R212" s="679"/>
      <c r="S212" s="672"/>
      <c r="T212" s="672"/>
      <c r="U212" s="672"/>
      <c r="V212" s="672"/>
      <c r="W212" s="672"/>
      <c r="X212" s="672"/>
      <c r="Y212" s="672"/>
      <c r="Z212" s="672"/>
    </row>
    <row r="213" ht="15.75" customHeight="1">
      <c r="A213" s="672"/>
      <c r="B213" s="676">
        <v>1010.0</v>
      </c>
      <c r="C213" s="691" t="s">
        <v>3666</v>
      </c>
      <c r="D213" s="676" t="s">
        <v>16932</v>
      </c>
      <c r="E213" s="678" t="s">
        <v>3668</v>
      </c>
      <c r="F213" s="677" t="s">
        <v>144</v>
      </c>
      <c r="G213" s="677" t="s">
        <v>29</v>
      </c>
      <c r="H213" s="723" t="s">
        <v>37</v>
      </c>
      <c r="I213" s="723"/>
      <c r="J213" s="724" t="s">
        <v>38</v>
      </c>
      <c r="K213" s="723">
        <f>67+25</f>
        <v>92</v>
      </c>
      <c r="L213" s="723"/>
      <c r="M213" s="725"/>
      <c r="N213" s="723" t="s">
        <v>12676</v>
      </c>
      <c r="O213" s="725">
        <v>2012.0</v>
      </c>
      <c r="P213" s="723" t="s">
        <v>388</v>
      </c>
      <c r="Q213" s="725">
        <v>1.0</v>
      </c>
      <c r="R213" s="679"/>
      <c r="S213" s="672"/>
      <c r="T213" s="672"/>
      <c r="U213" s="672"/>
      <c r="V213" s="672"/>
      <c r="W213" s="672"/>
      <c r="X213" s="672"/>
      <c r="Y213" s="672"/>
      <c r="Z213" s="672"/>
    </row>
    <row r="214" ht="15.75" customHeight="1">
      <c r="A214" s="672"/>
      <c r="B214" s="676">
        <v>1011.0</v>
      </c>
      <c r="C214" s="691" t="s">
        <v>16933</v>
      </c>
      <c r="D214" s="676" t="s">
        <v>16934</v>
      </c>
      <c r="E214" s="678" t="s">
        <v>3353</v>
      </c>
      <c r="F214" s="677" t="s">
        <v>28</v>
      </c>
      <c r="G214" s="677" t="s">
        <v>29</v>
      </c>
      <c r="H214" s="723" t="s">
        <v>37</v>
      </c>
      <c r="I214" s="723"/>
      <c r="J214" s="715" t="s">
        <v>38</v>
      </c>
      <c r="K214" s="723">
        <f>272+32</f>
        <v>304</v>
      </c>
      <c r="L214" s="723"/>
      <c r="M214" s="725"/>
      <c r="N214" s="723" t="s">
        <v>2567</v>
      </c>
      <c r="O214" s="725">
        <v>2002.0</v>
      </c>
      <c r="P214" s="723" t="s">
        <v>388</v>
      </c>
      <c r="Q214" s="725">
        <v>1.0</v>
      </c>
      <c r="R214" s="679"/>
      <c r="S214" s="672"/>
      <c r="T214" s="672"/>
      <c r="U214" s="672"/>
      <c r="V214" s="672"/>
      <c r="W214" s="672"/>
      <c r="X214" s="672"/>
      <c r="Y214" s="672"/>
      <c r="Z214" s="672"/>
    </row>
    <row r="215" ht="15.75" customHeight="1">
      <c r="A215" s="672"/>
      <c r="B215" s="676">
        <v>1012.0</v>
      </c>
      <c r="C215" s="691" t="s">
        <v>12842</v>
      </c>
      <c r="D215" s="676" t="s">
        <v>12843</v>
      </c>
      <c r="E215" s="678" t="s">
        <v>12844</v>
      </c>
      <c r="F215" s="677" t="s">
        <v>2355</v>
      </c>
      <c r="G215" s="677" t="s">
        <v>29</v>
      </c>
      <c r="H215" s="723"/>
      <c r="I215" s="723"/>
      <c r="J215" s="715" t="s">
        <v>12845</v>
      </c>
      <c r="K215" s="723">
        <f>1857</f>
        <v>1857</v>
      </c>
      <c r="L215" s="723"/>
      <c r="M215" s="725"/>
      <c r="N215" s="723" t="s">
        <v>12846</v>
      </c>
      <c r="O215" s="725">
        <v>2007.0</v>
      </c>
      <c r="P215" s="723" t="s">
        <v>388</v>
      </c>
      <c r="Q215" s="725">
        <v>1.0</v>
      </c>
      <c r="R215" s="679"/>
      <c r="S215" s="672"/>
      <c r="T215" s="672"/>
      <c r="U215" s="672"/>
      <c r="V215" s="672"/>
      <c r="W215" s="672"/>
      <c r="X215" s="672"/>
      <c r="Y215" s="672"/>
      <c r="Z215" s="672"/>
    </row>
    <row r="216" ht="15.75" customHeight="1">
      <c r="A216" s="672"/>
      <c r="B216" s="676">
        <v>1013.0</v>
      </c>
      <c r="C216" s="691"/>
      <c r="D216" s="676" t="s">
        <v>16935</v>
      </c>
      <c r="E216" s="678" t="s">
        <v>16936</v>
      </c>
      <c r="F216" s="677" t="s">
        <v>16937</v>
      </c>
      <c r="G216" s="677" t="s">
        <v>29</v>
      </c>
      <c r="H216" s="723" t="s">
        <v>16938</v>
      </c>
      <c r="I216" s="723"/>
      <c r="J216" s="715" t="s">
        <v>16939</v>
      </c>
      <c r="K216" s="723">
        <f>526+162+5</f>
        <v>693</v>
      </c>
      <c r="L216" s="723"/>
      <c r="M216" s="725"/>
      <c r="N216" s="723" t="s">
        <v>16938</v>
      </c>
      <c r="O216" s="725">
        <v>1967.0</v>
      </c>
      <c r="P216" s="723" t="s">
        <v>388</v>
      </c>
      <c r="Q216" s="725">
        <v>1.0</v>
      </c>
      <c r="R216" s="679"/>
      <c r="S216" s="672"/>
      <c r="T216" s="672"/>
      <c r="U216" s="672"/>
      <c r="V216" s="672"/>
      <c r="W216" s="672"/>
      <c r="X216" s="672"/>
      <c r="Y216" s="672"/>
      <c r="Z216" s="672"/>
    </row>
    <row r="217" ht="15.75" customHeight="1">
      <c r="A217" s="672"/>
      <c r="B217" s="676">
        <v>1014.0</v>
      </c>
      <c r="C217" s="691" t="s">
        <v>16940</v>
      </c>
      <c r="D217" s="676" t="s">
        <v>16941</v>
      </c>
      <c r="E217" s="678" t="s">
        <v>16942</v>
      </c>
      <c r="F217" s="677" t="s">
        <v>12445</v>
      </c>
      <c r="G217" s="677" t="s">
        <v>29</v>
      </c>
      <c r="H217" s="723" t="s">
        <v>9209</v>
      </c>
      <c r="I217" s="723"/>
      <c r="J217" s="715" t="s">
        <v>9209</v>
      </c>
      <c r="K217" s="723">
        <f>656+30</f>
        <v>686</v>
      </c>
      <c r="L217" s="723"/>
      <c r="M217" s="725"/>
      <c r="N217" s="723" t="s">
        <v>16943</v>
      </c>
      <c r="O217" s="725">
        <v>2011.0</v>
      </c>
      <c r="P217" s="723" t="s">
        <v>388</v>
      </c>
      <c r="Q217" s="725">
        <v>1.0</v>
      </c>
      <c r="R217" s="679"/>
      <c r="S217" s="672"/>
      <c r="T217" s="672"/>
      <c r="U217" s="672"/>
      <c r="V217" s="672"/>
      <c r="W217" s="672"/>
      <c r="X217" s="672"/>
      <c r="Y217" s="672"/>
      <c r="Z217" s="672"/>
    </row>
    <row r="218" ht="15.75" customHeight="1">
      <c r="A218" s="672"/>
      <c r="B218" s="676">
        <v>1015.0</v>
      </c>
      <c r="C218" s="691"/>
      <c r="D218" s="676" t="s">
        <v>16944</v>
      </c>
      <c r="E218" s="678" t="s">
        <v>16945</v>
      </c>
      <c r="F218" s="677" t="s">
        <v>12445</v>
      </c>
      <c r="G218" s="677" t="s">
        <v>29</v>
      </c>
      <c r="H218" s="723" t="s">
        <v>16946</v>
      </c>
      <c r="I218" s="723"/>
      <c r="J218" s="715" t="s">
        <v>16946</v>
      </c>
      <c r="K218" s="723">
        <f>256</f>
        <v>256</v>
      </c>
      <c r="L218" s="723"/>
      <c r="M218" s="725"/>
      <c r="N218" s="723" t="s">
        <v>16947</v>
      </c>
      <c r="O218" s="725">
        <v>1987.0</v>
      </c>
      <c r="P218" s="723" t="s">
        <v>388</v>
      </c>
      <c r="Q218" s="725">
        <v>1.0</v>
      </c>
      <c r="R218" s="679"/>
      <c r="S218" s="672"/>
      <c r="T218" s="672"/>
      <c r="U218" s="672"/>
      <c r="V218" s="672"/>
      <c r="W218" s="672"/>
      <c r="X218" s="672"/>
      <c r="Y218" s="672"/>
      <c r="Z218" s="672"/>
    </row>
    <row r="219" ht="15.75" customHeight="1">
      <c r="A219" s="672"/>
      <c r="B219" s="676">
        <v>1016.0</v>
      </c>
      <c r="C219" s="691"/>
      <c r="D219" s="676" t="s">
        <v>16948</v>
      </c>
      <c r="E219" s="678" t="s">
        <v>16519</v>
      </c>
      <c r="F219" s="677" t="s">
        <v>12445</v>
      </c>
      <c r="G219" s="677" t="s">
        <v>29</v>
      </c>
      <c r="H219" s="677" t="s">
        <v>15647</v>
      </c>
      <c r="I219" s="677"/>
      <c r="J219" s="715" t="s">
        <v>16348</v>
      </c>
      <c r="K219" s="677">
        <f t="shared" ref="K219:K220" si="3">631+8</f>
        <v>639</v>
      </c>
      <c r="L219" s="677"/>
      <c r="M219" s="676"/>
      <c r="N219" s="677" t="s">
        <v>16520</v>
      </c>
      <c r="O219" s="676">
        <v>1973.0</v>
      </c>
      <c r="P219" s="677" t="s">
        <v>388</v>
      </c>
      <c r="Q219" s="676">
        <v>1.0</v>
      </c>
      <c r="R219" s="679"/>
      <c r="S219" s="672"/>
      <c r="T219" s="672"/>
      <c r="U219" s="672"/>
      <c r="V219" s="672"/>
      <c r="W219" s="672"/>
      <c r="X219" s="672"/>
      <c r="Y219" s="672"/>
      <c r="Z219" s="672"/>
    </row>
    <row r="220" ht="15.75" customHeight="1">
      <c r="A220" s="672"/>
      <c r="B220" s="676">
        <v>1017.0</v>
      </c>
      <c r="C220" s="691"/>
      <c r="D220" s="676" t="s">
        <v>16949</v>
      </c>
      <c r="E220" s="678" t="s">
        <v>16519</v>
      </c>
      <c r="F220" s="677" t="s">
        <v>12445</v>
      </c>
      <c r="G220" s="677" t="s">
        <v>29</v>
      </c>
      <c r="H220" s="677" t="s">
        <v>15647</v>
      </c>
      <c r="I220" s="677"/>
      <c r="J220" s="715" t="s">
        <v>16348</v>
      </c>
      <c r="K220" s="677">
        <f t="shared" si="3"/>
        <v>639</v>
      </c>
      <c r="L220" s="677"/>
      <c r="M220" s="676"/>
      <c r="N220" s="677" t="s">
        <v>16520</v>
      </c>
      <c r="O220" s="676">
        <v>1978.0</v>
      </c>
      <c r="P220" s="677" t="s">
        <v>388</v>
      </c>
      <c r="Q220" s="676">
        <v>1.0</v>
      </c>
      <c r="R220" s="679"/>
      <c r="S220" s="672"/>
      <c r="T220" s="672"/>
      <c r="U220" s="672"/>
      <c r="V220" s="672"/>
      <c r="W220" s="672"/>
      <c r="X220" s="672"/>
      <c r="Y220" s="672"/>
      <c r="Z220" s="672"/>
    </row>
    <row r="221" ht="15.75" customHeight="1">
      <c r="A221" s="672"/>
      <c r="B221" s="676">
        <v>1018.0</v>
      </c>
      <c r="C221" s="691" t="s">
        <v>16683</v>
      </c>
      <c r="D221" s="676" t="s">
        <v>16950</v>
      </c>
      <c r="E221" s="678" t="s">
        <v>16685</v>
      </c>
      <c r="F221" s="677" t="s">
        <v>2355</v>
      </c>
      <c r="G221" s="677" t="s">
        <v>29</v>
      </c>
      <c r="H221" s="677" t="s">
        <v>131</v>
      </c>
      <c r="I221" s="677"/>
      <c r="J221" s="677" t="s">
        <v>16575</v>
      </c>
      <c r="K221" s="677">
        <f>1094+326+34+10</f>
        <v>1464</v>
      </c>
      <c r="L221" s="677"/>
      <c r="M221" s="676"/>
      <c r="N221" s="677" t="s">
        <v>16951</v>
      </c>
      <c r="O221" s="676">
        <v>1984.0</v>
      </c>
      <c r="P221" s="677" t="s">
        <v>388</v>
      </c>
      <c r="Q221" s="708">
        <v>1.0</v>
      </c>
      <c r="R221" s="679"/>
      <c r="S221" s="672"/>
      <c r="T221" s="672"/>
      <c r="U221" s="672"/>
      <c r="V221" s="672"/>
      <c r="W221" s="672"/>
      <c r="X221" s="672"/>
      <c r="Y221" s="672"/>
      <c r="Z221" s="672"/>
    </row>
    <row r="222" ht="15.75" customHeight="1">
      <c r="A222" s="672"/>
      <c r="B222" s="676">
        <v>1019.0</v>
      </c>
      <c r="C222" s="691"/>
      <c r="D222" s="676" t="s">
        <v>16952</v>
      </c>
      <c r="E222" s="678" t="s">
        <v>16953</v>
      </c>
      <c r="F222" s="677" t="s">
        <v>2355</v>
      </c>
      <c r="G222" s="677" t="s">
        <v>29</v>
      </c>
      <c r="H222" s="677" t="s">
        <v>37</v>
      </c>
      <c r="I222" s="677"/>
      <c r="J222" s="677" t="s">
        <v>6431</v>
      </c>
      <c r="K222" s="677">
        <f>1180+6+459</f>
        <v>1645</v>
      </c>
      <c r="L222" s="677"/>
      <c r="M222" s="676"/>
      <c r="N222" s="677" t="s">
        <v>16954</v>
      </c>
      <c r="O222" s="676">
        <v>1987.0</v>
      </c>
      <c r="P222" s="677" t="s">
        <v>388</v>
      </c>
      <c r="Q222" s="708">
        <v>1.0</v>
      </c>
      <c r="R222" s="679"/>
      <c r="S222" s="672"/>
      <c r="T222" s="672"/>
      <c r="U222" s="672"/>
      <c r="V222" s="672"/>
      <c r="W222" s="672"/>
      <c r="X222" s="672"/>
      <c r="Y222" s="672"/>
      <c r="Z222" s="672"/>
    </row>
    <row r="223" ht="15.75" customHeight="1">
      <c r="A223" s="672"/>
      <c r="B223" s="676">
        <v>1020.0</v>
      </c>
      <c r="C223" s="691" t="s">
        <v>16955</v>
      </c>
      <c r="D223" s="676" t="s">
        <v>16847</v>
      </c>
      <c r="E223" s="678" t="s">
        <v>16956</v>
      </c>
      <c r="F223" s="677" t="s">
        <v>2355</v>
      </c>
      <c r="G223" s="677" t="s">
        <v>29</v>
      </c>
      <c r="H223" s="677" t="s">
        <v>131</v>
      </c>
      <c r="I223" s="677"/>
      <c r="J223" s="677" t="s">
        <v>16575</v>
      </c>
      <c r="K223" s="677">
        <f>1051</f>
        <v>1051</v>
      </c>
      <c r="L223" s="677"/>
      <c r="M223" s="676"/>
      <c r="N223" s="677" t="s">
        <v>4617</v>
      </c>
      <c r="O223" s="676">
        <v>1977.0</v>
      </c>
      <c r="P223" s="677" t="s">
        <v>388</v>
      </c>
      <c r="Q223" s="708">
        <v>1.0</v>
      </c>
      <c r="R223" s="679"/>
      <c r="S223" s="672"/>
      <c r="T223" s="672"/>
      <c r="U223" s="672"/>
      <c r="V223" s="672"/>
      <c r="W223" s="672"/>
      <c r="X223" s="672"/>
      <c r="Y223" s="672"/>
      <c r="Z223" s="672"/>
    </row>
    <row r="224" ht="15.75" customHeight="1">
      <c r="A224" s="672"/>
      <c r="B224" s="676">
        <v>1021.0</v>
      </c>
      <c r="C224" s="691" t="s">
        <v>16957</v>
      </c>
      <c r="D224" s="676" t="s">
        <v>16958</v>
      </c>
      <c r="E224" s="678" t="s">
        <v>16959</v>
      </c>
      <c r="F224" s="677" t="s">
        <v>2355</v>
      </c>
      <c r="G224" s="677" t="s">
        <v>29</v>
      </c>
      <c r="H224" s="677" t="s">
        <v>16960</v>
      </c>
      <c r="I224" s="677"/>
      <c r="J224" s="677" t="s">
        <v>16348</v>
      </c>
      <c r="K224" s="677">
        <f>1133+1+326+7</f>
        <v>1467</v>
      </c>
      <c r="L224" s="677"/>
      <c r="M224" s="676"/>
      <c r="N224" s="677" t="s">
        <v>16824</v>
      </c>
      <c r="O224" s="676">
        <v>1970.0</v>
      </c>
      <c r="P224" s="677" t="s">
        <v>388</v>
      </c>
      <c r="Q224" s="708">
        <v>1.0</v>
      </c>
      <c r="R224" s="679"/>
      <c r="S224" s="672"/>
      <c r="T224" s="672"/>
      <c r="U224" s="672"/>
      <c r="V224" s="672"/>
      <c r="W224" s="672"/>
      <c r="X224" s="672"/>
      <c r="Y224" s="672"/>
      <c r="Z224" s="672"/>
    </row>
    <row r="225" ht="15.75" customHeight="1">
      <c r="A225" s="672"/>
      <c r="B225" s="676">
        <v>1022.0</v>
      </c>
      <c r="C225" s="691"/>
      <c r="D225" s="676" t="s">
        <v>16961</v>
      </c>
      <c r="E225" s="678" t="s">
        <v>15835</v>
      </c>
      <c r="F225" s="677" t="s">
        <v>2355</v>
      </c>
      <c r="G225" s="677" t="s">
        <v>29</v>
      </c>
      <c r="H225" s="677" t="s">
        <v>131</v>
      </c>
      <c r="I225" s="677"/>
      <c r="J225" s="677" t="s">
        <v>131</v>
      </c>
      <c r="K225" s="677">
        <f>978+296+1</f>
        <v>1275</v>
      </c>
      <c r="L225" s="677"/>
      <c r="M225" s="676"/>
      <c r="N225" s="677" t="s">
        <v>16951</v>
      </c>
      <c r="O225" s="676">
        <v>1953.0</v>
      </c>
      <c r="P225" s="677" t="s">
        <v>388</v>
      </c>
      <c r="Q225" s="708">
        <v>1.0</v>
      </c>
      <c r="R225" s="679"/>
      <c r="S225" s="672"/>
      <c r="T225" s="672"/>
      <c r="U225" s="672"/>
      <c r="V225" s="672"/>
      <c r="W225" s="672"/>
      <c r="X225" s="672"/>
      <c r="Y225" s="672"/>
      <c r="Z225" s="672"/>
    </row>
    <row r="226" ht="15.75" customHeight="1">
      <c r="A226" s="672"/>
      <c r="B226" s="676">
        <v>1023.0</v>
      </c>
      <c r="C226" s="691"/>
      <c r="D226" s="676" t="s">
        <v>16962</v>
      </c>
      <c r="E226" s="678" t="s">
        <v>16963</v>
      </c>
      <c r="F226" s="677" t="s">
        <v>2355</v>
      </c>
      <c r="G226" s="677" t="s">
        <v>29</v>
      </c>
      <c r="H226" s="677" t="s">
        <v>11166</v>
      </c>
      <c r="I226" s="677"/>
      <c r="J226" s="677" t="s">
        <v>11166</v>
      </c>
      <c r="K226" s="677">
        <f>960</f>
        <v>960</v>
      </c>
      <c r="L226" s="677"/>
      <c r="M226" s="676"/>
      <c r="N226" s="677" t="s">
        <v>16964</v>
      </c>
      <c r="O226" s="676">
        <v>1966.0</v>
      </c>
      <c r="P226" s="677" t="s">
        <v>388</v>
      </c>
      <c r="Q226" s="708">
        <v>1.0</v>
      </c>
      <c r="R226" s="679"/>
      <c r="S226" s="672"/>
      <c r="T226" s="672"/>
      <c r="U226" s="672"/>
      <c r="V226" s="672"/>
      <c r="W226" s="672"/>
      <c r="X226" s="672"/>
      <c r="Y226" s="672"/>
      <c r="Z226" s="672"/>
    </row>
    <row r="227" ht="15.75" customHeight="1">
      <c r="A227" s="672"/>
      <c r="B227" s="258">
        <v>1024.0</v>
      </c>
      <c r="C227" s="727" t="s">
        <v>12847</v>
      </c>
      <c r="D227" s="258" t="s">
        <v>16965</v>
      </c>
      <c r="E227" s="728" t="s">
        <v>12849</v>
      </c>
      <c r="F227" s="712" t="s">
        <v>16852</v>
      </c>
      <c r="G227" s="712" t="s">
        <v>29</v>
      </c>
      <c r="H227" s="712" t="s">
        <v>38</v>
      </c>
      <c r="I227" s="711"/>
      <c r="J227" s="712" t="s">
        <v>2184</v>
      </c>
      <c r="K227" s="712">
        <v>1362.0</v>
      </c>
      <c r="L227" s="711"/>
      <c r="M227" s="258" t="s">
        <v>2232</v>
      </c>
      <c r="N227" s="712" t="s">
        <v>5994</v>
      </c>
      <c r="O227" s="258" t="s">
        <v>31</v>
      </c>
      <c r="P227" s="712">
        <v>30.0</v>
      </c>
      <c r="Q227" s="729">
        <v>2.0</v>
      </c>
      <c r="R227" s="714">
        <v>2.0</v>
      </c>
      <c r="S227" s="672"/>
      <c r="T227" s="672"/>
      <c r="U227" s="672"/>
      <c r="V227" s="672"/>
      <c r="W227" s="672"/>
      <c r="X227" s="672"/>
      <c r="Y227" s="672"/>
      <c r="Z227" s="672"/>
    </row>
    <row r="228" ht="15.75" customHeight="1">
      <c r="A228" s="672"/>
      <c r="B228" s="676"/>
      <c r="C228" s="430" t="s">
        <v>16966</v>
      </c>
      <c r="D228" s="570" t="s">
        <v>16967</v>
      </c>
      <c r="E228" s="430" t="s">
        <v>16968</v>
      </c>
      <c r="F228" s="570" t="s">
        <v>12445</v>
      </c>
      <c r="G228" s="570" t="s">
        <v>29</v>
      </c>
      <c r="H228" s="570" t="s">
        <v>12291</v>
      </c>
      <c r="I228" s="430"/>
      <c r="J228" s="570" t="s">
        <v>16969</v>
      </c>
      <c r="K228" s="430">
        <v>333.0</v>
      </c>
      <c r="L228" s="430" t="s">
        <v>31</v>
      </c>
      <c r="M228" s="430"/>
      <c r="N228" s="430" t="s">
        <v>16970</v>
      </c>
      <c r="O228" s="430">
        <v>1986.0</v>
      </c>
      <c r="P228" s="430" t="s">
        <v>388</v>
      </c>
      <c r="Q228" s="618">
        <v>1.0</v>
      </c>
      <c r="R228" s="679"/>
      <c r="S228" s="672"/>
      <c r="T228" s="672"/>
      <c r="U228" s="672"/>
      <c r="V228" s="672"/>
      <c r="W228" s="672"/>
      <c r="X228" s="672"/>
      <c r="Y228" s="672"/>
      <c r="Z228" s="672"/>
    </row>
    <row r="229" ht="15.75" customHeight="1">
      <c r="A229" s="672"/>
      <c r="B229" s="676"/>
      <c r="C229" s="730" t="s">
        <v>16971</v>
      </c>
      <c r="D229" s="731" t="s">
        <v>16972</v>
      </c>
      <c r="E229" s="732" t="s">
        <v>16973</v>
      </c>
      <c r="F229" s="733" t="s">
        <v>2355</v>
      </c>
      <c r="G229" s="733" t="s">
        <v>29</v>
      </c>
      <c r="H229" s="733" t="s">
        <v>11144</v>
      </c>
      <c r="I229" s="677"/>
      <c r="J229" s="733" t="s">
        <v>16974</v>
      </c>
      <c r="K229" s="733">
        <v>287.0</v>
      </c>
      <c r="L229" s="677"/>
      <c r="M229" s="676"/>
      <c r="N229" s="733" t="s">
        <v>2953</v>
      </c>
      <c r="O229" s="731">
        <v>2004.0</v>
      </c>
      <c r="P229" s="677"/>
      <c r="Q229" s="734">
        <v>1.0</v>
      </c>
      <c r="R229" s="679"/>
      <c r="S229" s="672"/>
      <c r="T229" s="672"/>
      <c r="U229" s="672"/>
      <c r="V229" s="672"/>
      <c r="W229" s="672"/>
      <c r="X229" s="672"/>
      <c r="Y229" s="672"/>
      <c r="Z229" s="672"/>
    </row>
    <row r="230" ht="15.75" customHeight="1">
      <c r="A230" s="672"/>
      <c r="B230" s="676"/>
      <c r="C230" s="730" t="s">
        <v>16975</v>
      </c>
      <c r="D230" s="731" t="s">
        <v>16976</v>
      </c>
      <c r="E230" s="732" t="s">
        <v>16977</v>
      </c>
      <c r="F230" s="733" t="s">
        <v>2355</v>
      </c>
      <c r="G230" s="733" t="s">
        <v>29</v>
      </c>
      <c r="H230" s="733" t="s">
        <v>3746</v>
      </c>
      <c r="I230" s="677"/>
      <c r="J230" s="733" t="s">
        <v>1195</v>
      </c>
      <c r="K230" s="733">
        <v>890.0</v>
      </c>
      <c r="L230" s="677"/>
      <c r="M230" s="676"/>
      <c r="N230" s="733" t="s">
        <v>16978</v>
      </c>
      <c r="O230" s="731">
        <v>2013.0</v>
      </c>
      <c r="P230" s="677"/>
      <c r="Q230" s="734">
        <v>1.0</v>
      </c>
      <c r="R230" s="707">
        <v>1.0</v>
      </c>
      <c r="S230" s="672"/>
      <c r="T230" s="672"/>
      <c r="U230" s="672"/>
      <c r="V230" s="672"/>
      <c r="W230" s="672"/>
      <c r="X230" s="672"/>
      <c r="Y230" s="672"/>
      <c r="Z230" s="672"/>
    </row>
    <row r="231" ht="15.75" customHeight="1">
      <c r="A231" s="672"/>
      <c r="B231" s="676"/>
      <c r="C231" s="691"/>
      <c r="D231" s="676"/>
      <c r="E231" s="678"/>
      <c r="F231" s="677"/>
      <c r="G231" s="677"/>
      <c r="H231" s="677"/>
      <c r="I231" s="677"/>
      <c r="J231" s="677"/>
      <c r="K231" s="677"/>
      <c r="L231" s="677"/>
      <c r="M231" s="676"/>
      <c r="N231" s="677"/>
      <c r="O231" s="676"/>
      <c r="P231" s="677"/>
      <c r="Q231" s="708"/>
      <c r="R231" s="679"/>
      <c r="S231" s="672"/>
      <c r="T231" s="672"/>
      <c r="U231" s="672"/>
      <c r="V231" s="672"/>
      <c r="W231" s="672"/>
      <c r="X231" s="672"/>
      <c r="Y231" s="672"/>
      <c r="Z231" s="672"/>
    </row>
    <row r="232" ht="15.75" customHeight="1">
      <c r="A232" s="672"/>
      <c r="B232" s="676"/>
      <c r="C232" s="691"/>
      <c r="D232" s="676"/>
      <c r="E232" s="678"/>
      <c r="F232" s="677"/>
      <c r="G232" s="677"/>
      <c r="H232" s="677"/>
      <c r="I232" s="677"/>
      <c r="J232" s="677"/>
      <c r="K232" s="677"/>
      <c r="L232" s="677"/>
      <c r="M232" s="676"/>
      <c r="N232" s="677"/>
      <c r="O232" s="676"/>
      <c r="P232" s="677"/>
      <c r="Q232" s="708"/>
      <c r="R232" s="679"/>
      <c r="S232" s="672"/>
      <c r="T232" s="672"/>
      <c r="U232" s="672"/>
      <c r="V232" s="672"/>
      <c r="W232" s="672"/>
      <c r="X232" s="672"/>
      <c r="Y232" s="672"/>
      <c r="Z232" s="672"/>
    </row>
    <row r="233" ht="15.75" customHeight="1">
      <c r="A233" s="672"/>
      <c r="B233" s="676"/>
      <c r="C233" s="691"/>
      <c r="D233" s="676"/>
      <c r="E233" s="678"/>
      <c r="F233" s="677"/>
      <c r="G233" s="677"/>
      <c r="H233" s="677"/>
      <c r="I233" s="677"/>
      <c r="J233" s="677"/>
      <c r="K233" s="677"/>
      <c r="L233" s="677"/>
      <c r="M233" s="676"/>
      <c r="N233" s="677"/>
      <c r="O233" s="676"/>
      <c r="P233" s="677"/>
      <c r="Q233" s="708"/>
      <c r="R233" s="679"/>
      <c r="S233" s="672"/>
      <c r="T233" s="672"/>
      <c r="U233" s="672"/>
      <c r="V233" s="672"/>
      <c r="W233" s="672"/>
      <c r="X233" s="672"/>
      <c r="Y233" s="672"/>
      <c r="Z233" s="672"/>
    </row>
    <row r="234" ht="15.75" customHeight="1">
      <c r="A234" s="672"/>
      <c r="B234" s="676"/>
      <c r="C234" s="691"/>
      <c r="D234" s="676"/>
      <c r="E234" s="678"/>
      <c r="F234" s="677"/>
      <c r="G234" s="677"/>
      <c r="H234" s="677"/>
      <c r="I234" s="677"/>
      <c r="J234" s="677"/>
      <c r="K234" s="677"/>
      <c r="L234" s="677"/>
      <c r="M234" s="676"/>
      <c r="N234" s="677"/>
      <c r="O234" s="676"/>
      <c r="P234" s="677"/>
      <c r="Q234" s="708"/>
      <c r="R234" s="679"/>
      <c r="S234" s="672"/>
      <c r="T234" s="672"/>
      <c r="U234" s="672"/>
      <c r="V234" s="672"/>
      <c r="W234" s="672"/>
      <c r="X234" s="672"/>
      <c r="Y234" s="672"/>
      <c r="Z234" s="672"/>
    </row>
    <row r="235" ht="15.75" customHeight="1">
      <c r="A235" s="672"/>
      <c r="B235" s="725"/>
      <c r="C235" s="735"/>
      <c r="D235" s="725"/>
      <c r="E235" s="736"/>
      <c r="F235" s="723"/>
      <c r="G235" s="723"/>
      <c r="H235" s="723"/>
      <c r="I235" s="715"/>
      <c r="J235" s="723"/>
      <c r="K235" s="723"/>
      <c r="L235" s="715"/>
      <c r="M235" s="725"/>
      <c r="N235" s="723"/>
      <c r="O235" s="725"/>
      <c r="P235" s="723"/>
      <c r="Q235" s="725"/>
      <c r="R235" s="679"/>
      <c r="S235" s="672"/>
      <c r="T235" s="672"/>
      <c r="U235" s="672"/>
      <c r="V235" s="672"/>
      <c r="W235" s="672"/>
      <c r="X235" s="672"/>
      <c r="Y235" s="672"/>
      <c r="Z235" s="672"/>
    </row>
    <row r="236" ht="15.75" customHeight="1">
      <c r="A236" s="737"/>
      <c r="B236" s="738"/>
      <c r="C236" s="739"/>
      <c r="D236" s="738"/>
      <c r="E236" s="740"/>
      <c r="F236" s="741"/>
      <c r="G236" s="741"/>
      <c r="H236" s="742"/>
      <c r="I236" s="742"/>
      <c r="J236" s="742"/>
      <c r="K236" s="742"/>
      <c r="L236" s="742"/>
      <c r="M236" s="743"/>
      <c r="N236" s="742"/>
      <c r="O236" s="743"/>
      <c r="P236" s="742"/>
      <c r="Q236" s="744"/>
      <c r="R236" s="745"/>
      <c r="S236" s="746"/>
      <c r="T236" s="747"/>
      <c r="U236" s="747"/>
      <c r="V236" s="747"/>
      <c r="W236" s="747"/>
      <c r="X236" s="747"/>
      <c r="Y236" s="747"/>
      <c r="Z236" s="747"/>
    </row>
    <row r="237" ht="15.75" customHeight="1">
      <c r="A237" s="748"/>
      <c r="B237" s="738"/>
      <c r="C237" s="739"/>
      <c r="D237" s="738"/>
      <c r="E237" s="740"/>
      <c r="F237" s="741"/>
      <c r="G237" s="741"/>
      <c r="H237" s="742"/>
      <c r="I237" s="742"/>
      <c r="J237" s="742"/>
      <c r="K237" s="742"/>
      <c r="L237" s="742"/>
      <c r="M237" s="743"/>
      <c r="N237" s="742"/>
      <c r="O237" s="743"/>
      <c r="P237" s="742"/>
      <c r="Q237" s="744"/>
      <c r="R237" s="745"/>
      <c r="S237" s="700"/>
      <c r="T237" s="693"/>
      <c r="U237" s="693"/>
      <c r="V237" s="693"/>
      <c r="W237" s="693"/>
      <c r="X237" s="693"/>
      <c r="Y237" s="693"/>
      <c r="Z237" s="693"/>
    </row>
    <row r="238" ht="15.75" customHeight="1">
      <c r="A238" s="748"/>
      <c r="B238" s="738"/>
      <c r="C238" s="739"/>
      <c r="D238" s="738"/>
      <c r="E238" s="740"/>
      <c r="F238" s="741"/>
      <c r="G238" s="741"/>
      <c r="H238" s="742"/>
      <c r="I238" s="742"/>
      <c r="J238" s="742"/>
      <c r="K238" s="742"/>
      <c r="L238" s="742"/>
      <c r="M238" s="743"/>
      <c r="N238" s="742"/>
      <c r="O238" s="743"/>
      <c r="P238" s="742"/>
      <c r="Q238" s="744"/>
      <c r="R238" s="745"/>
      <c r="S238" s="700"/>
      <c r="T238" s="693"/>
      <c r="U238" s="693"/>
      <c r="V238" s="693"/>
      <c r="W238" s="693"/>
      <c r="X238" s="693"/>
      <c r="Y238" s="693"/>
      <c r="Z238" s="693"/>
    </row>
    <row r="239" ht="15.75" customHeight="1">
      <c r="A239" s="748"/>
      <c r="B239" s="738"/>
      <c r="C239" s="739"/>
      <c r="D239" s="738"/>
      <c r="E239" s="740"/>
      <c r="F239" s="741"/>
      <c r="G239" s="741"/>
      <c r="H239" s="742"/>
      <c r="I239" s="742"/>
      <c r="J239" s="742"/>
      <c r="K239" s="742"/>
      <c r="L239" s="742"/>
      <c r="M239" s="743"/>
      <c r="N239" s="742"/>
      <c r="O239" s="743"/>
      <c r="P239" s="742"/>
      <c r="Q239" s="744"/>
      <c r="R239" s="745"/>
      <c r="S239" s="700"/>
      <c r="T239" s="693"/>
      <c r="U239" s="693"/>
      <c r="V239" s="693"/>
      <c r="W239" s="693"/>
      <c r="X239" s="693"/>
      <c r="Y239" s="693"/>
      <c r="Z239" s="693"/>
    </row>
    <row r="240" ht="15.75" customHeight="1">
      <c r="A240" s="748"/>
      <c r="B240" s="738"/>
      <c r="C240" s="739"/>
      <c r="D240" s="738"/>
      <c r="E240" s="740"/>
      <c r="F240" s="741"/>
      <c r="G240" s="741"/>
      <c r="H240" s="742"/>
      <c r="I240" s="742"/>
      <c r="J240" s="742"/>
      <c r="K240" s="742"/>
      <c r="L240" s="742"/>
      <c r="M240" s="743"/>
      <c r="N240" s="742"/>
      <c r="O240" s="743"/>
      <c r="P240" s="742"/>
      <c r="Q240" s="744"/>
      <c r="R240" s="745"/>
      <c r="S240" s="700"/>
      <c r="T240" s="693"/>
      <c r="U240" s="693"/>
      <c r="V240" s="693"/>
      <c r="W240" s="693"/>
      <c r="X240" s="693"/>
      <c r="Y240" s="693"/>
      <c r="Z240" s="693"/>
    </row>
    <row r="241" ht="15.75" customHeight="1">
      <c r="A241" s="748"/>
      <c r="B241" s="738"/>
      <c r="C241" s="739"/>
      <c r="D241" s="738"/>
      <c r="E241" s="740"/>
      <c r="F241" s="741"/>
      <c r="G241" s="741"/>
      <c r="H241" s="742"/>
      <c r="I241" s="742"/>
      <c r="J241" s="742"/>
      <c r="K241" s="742"/>
      <c r="L241" s="742"/>
      <c r="M241" s="743"/>
      <c r="N241" s="742"/>
      <c r="O241" s="743"/>
      <c r="P241" s="742"/>
      <c r="Q241" s="744"/>
      <c r="R241" s="745"/>
      <c r="S241" s="700"/>
      <c r="T241" s="693"/>
      <c r="U241" s="693"/>
      <c r="V241" s="693"/>
      <c r="W241" s="693"/>
      <c r="X241" s="693"/>
      <c r="Y241" s="693"/>
      <c r="Z241" s="693"/>
    </row>
    <row r="242" ht="15.75" customHeight="1">
      <c r="A242" s="748"/>
      <c r="B242" s="738"/>
      <c r="C242" s="739"/>
      <c r="D242" s="738"/>
      <c r="E242" s="740"/>
      <c r="F242" s="741"/>
      <c r="G242" s="741"/>
      <c r="H242" s="742"/>
      <c r="I242" s="742"/>
      <c r="J242" s="742"/>
      <c r="K242" s="742"/>
      <c r="L242" s="742"/>
      <c r="M242" s="743"/>
      <c r="N242" s="742"/>
      <c r="O242" s="743"/>
      <c r="P242" s="742"/>
      <c r="Q242" s="744"/>
      <c r="R242" s="745"/>
      <c r="S242" s="700"/>
      <c r="T242" s="693"/>
      <c r="U242" s="693"/>
      <c r="V242" s="693"/>
      <c r="W242" s="693"/>
      <c r="X242" s="693"/>
      <c r="Y242" s="693"/>
      <c r="Z242" s="693"/>
    </row>
    <row r="243" ht="15.75" customHeight="1">
      <c r="A243" s="748"/>
      <c r="B243" s="738"/>
      <c r="C243" s="739"/>
      <c r="D243" s="738"/>
      <c r="E243" s="740"/>
      <c r="F243" s="741"/>
      <c r="G243" s="741"/>
      <c r="H243" s="742"/>
      <c r="I243" s="742"/>
      <c r="J243" s="742"/>
      <c r="K243" s="742"/>
      <c r="L243" s="742"/>
      <c r="M243" s="743"/>
      <c r="N243" s="742"/>
      <c r="O243" s="743"/>
      <c r="P243" s="742"/>
      <c r="Q243" s="744"/>
      <c r="R243" s="745"/>
      <c r="S243" s="700"/>
      <c r="T243" s="693"/>
      <c r="U243" s="693"/>
      <c r="V243" s="693"/>
      <c r="W243" s="693"/>
      <c r="X243" s="693"/>
      <c r="Y243" s="693"/>
      <c r="Z243" s="693"/>
    </row>
    <row r="244" ht="15.75" customHeight="1">
      <c r="A244" s="748"/>
      <c r="B244" s="738"/>
      <c r="C244" s="739"/>
      <c r="D244" s="738"/>
      <c r="E244" s="740"/>
      <c r="F244" s="741"/>
      <c r="G244" s="741"/>
      <c r="H244" s="742"/>
      <c r="I244" s="742"/>
      <c r="J244" s="742"/>
      <c r="K244" s="742"/>
      <c r="L244" s="742"/>
      <c r="M244" s="743"/>
      <c r="N244" s="742"/>
      <c r="O244" s="743"/>
      <c r="P244" s="742"/>
      <c r="Q244" s="744"/>
      <c r="R244" s="745"/>
      <c r="S244" s="700"/>
      <c r="T244" s="693"/>
      <c r="U244" s="693"/>
      <c r="V244" s="693"/>
      <c r="W244" s="693"/>
      <c r="X244" s="693"/>
      <c r="Y244" s="693"/>
      <c r="Z244" s="693"/>
    </row>
    <row r="245" ht="15.75" customHeight="1">
      <c r="A245" s="748"/>
      <c r="B245" s="749"/>
      <c r="C245" s="750"/>
      <c r="D245" s="743"/>
      <c r="E245" s="751"/>
      <c r="F245" s="742"/>
      <c r="G245" s="742"/>
      <c r="H245" s="742"/>
      <c r="I245" s="742"/>
      <c r="J245" s="742"/>
      <c r="K245" s="742"/>
      <c r="L245" s="742"/>
      <c r="M245" s="743"/>
      <c r="N245" s="742"/>
      <c r="O245" s="743"/>
      <c r="P245" s="742"/>
      <c r="Q245" s="744"/>
      <c r="R245" s="745"/>
      <c r="S245" s="700"/>
      <c r="T245" s="693"/>
      <c r="U245" s="693"/>
      <c r="V245" s="693"/>
      <c r="W245" s="693"/>
      <c r="X245" s="693"/>
      <c r="Y245" s="693"/>
      <c r="Z245" s="693"/>
    </row>
    <row r="246" ht="15.75" customHeight="1">
      <c r="A246" s="748"/>
      <c r="B246" s="749"/>
      <c r="C246" s="750"/>
      <c r="D246" s="743"/>
      <c r="E246" s="751"/>
      <c r="F246" s="742"/>
      <c r="G246" s="742"/>
      <c r="H246" s="742"/>
      <c r="I246" s="742"/>
      <c r="J246" s="742"/>
      <c r="K246" s="742"/>
      <c r="L246" s="742"/>
      <c r="M246" s="743"/>
      <c r="N246" s="742"/>
      <c r="O246" s="743"/>
      <c r="P246" s="742"/>
      <c r="Q246" s="744"/>
      <c r="R246" s="745"/>
      <c r="S246" s="700"/>
      <c r="T246" s="693"/>
      <c r="U246" s="693"/>
      <c r="V246" s="693"/>
      <c r="W246" s="693"/>
      <c r="X246" s="693"/>
      <c r="Y246" s="693"/>
      <c r="Z246" s="693"/>
    </row>
    <row r="247" ht="15.75" customHeight="1">
      <c r="A247" s="748"/>
      <c r="B247" s="749"/>
      <c r="C247" s="750"/>
      <c r="D247" s="743"/>
      <c r="E247" s="751"/>
      <c r="F247" s="742"/>
      <c r="G247" s="742"/>
      <c r="H247" s="742"/>
      <c r="I247" s="742"/>
      <c r="J247" s="742"/>
      <c r="K247" s="742"/>
      <c r="L247" s="742"/>
      <c r="M247" s="743"/>
      <c r="N247" s="742"/>
      <c r="O247" s="743"/>
      <c r="P247" s="742"/>
      <c r="Q247" s="744"/>
      <c r="R247" s="745"/>
      <c r="S247" s="700"/>
      <c r="T247" s="693"/>
      <c r="U247" s="693"/>
      <c r="V247" s="693"/>
      <c r="W247" s="693"/>
      <c r="X247" s="693"/>
      <c r="Y247" s="693"/>
      <c r="Z247" s="693"/>
    </row>
    <row r="248" ht="15.75" customHeight="1">
      <c r="A248" s="748"/>
      <c r="B248" s="749"/>
      <c r="C248" s="750"/>
      <c r="D248" s="743"/>
      <c r="E248" s="751"/>
      <c r="F248" s="742"/>
      <c r="G248" s="742"/>
      <c r="H248" s="742"/>
      <c r="I248" s="742"/>
      <c r="J248" s="742"/>
      <c r="K248" s="742"/>
      <c r="L248" s="742"/>
      <c r="M248" s="743"/>
      <c r="N248" s="742"/>
      <c r="O248" s="743"/>
      <c r="P248" s="742"/>
      <c r="Q248" s="744"/>
      <c r="R248" s="745"/>
      <c r="S248" s="700"/>
      <c r="T248" s="693"/>
      <c r="U248" s="693"/>
      <c r="V248" s="693"/>
      <c r="W248" s="693"/>
      <c r="X248" s="693"/>
      <c r="Y248" s="693"/>
      <c r="Z248" s="693"/>
    </row>
    <row r="249" ht="15.75" customHeight="1">
      <c r="A249" s="748"/>
      <c r="B249" s="749"/>
      <c r="C249" s="750"/>
      <c r="D249" s="743"/>
      <c r="E249" s="751"/>
      <c r="F249" s="742"/>
      <c r="G249" s="742"/>
      <c r="H249" s="742"/>
      <c r="I249" s="742"/>
      <c r="J249" s="742"/>
      <c r="K249" s="742"/>
      <c r="L249" s="742"/>
      <c r="M249" s="743"/>
      <c r="N249" s="742"/>
      <c r="O249" s="743"/>
      <c r="P249" s="742"/>
      <c r="Q249" s="744"/>
      <c r="R249" s="745"/>
      <c r="S249" s="700"/>
      <c r="T249" s="693"/>
      <c r="U249" s="693"/>
      <c r="V249" s="693"/>
      <c r="W249" s="693"/>
      <c r="X249" s="693"/>
      <c r="Y249" s="693"/>
      <c r="Z249" s="693"/>
    </row>
    <row r="250" ht="15.75" customHeight="1">
      <c r="A250" s="748"/>
      <c r="B250" s="749"/>
      <c r="C250" s="750"/>
      <c r="D250" s="743"/>
      <c r="E250" s="751"/>
      <c r="F250" s="742"/>
      <c r="G250" s="742"/>
      <c r="H250" s="742"/>
      <c r="I250" s="742"/>
      <c r="J250" s="742"/>
      <c r="K250" s="742"/>
      <c r="L250" s="742"/>
      <c r="M250" s="743"/>
      <c r="N250" s="742"/>
      <c r="O250" s="743"/>
      <c r="P250" s="742"/>
      <c r="Q250" s="744"/>
      <c r="R250" s="745"/>
      <c r="S250" s="700"/>
      <c r="T250" s="693"/>
      <c r="U250" s="693"/>
      <c r="V250" s="693"/>
      <c r="W250" s="693"/>
      <c r="X250" s="693"/>
      <c r="Y250" s="693"/>
      <c r="Z250" s="693"/>
    </row>
    <row r="251" ht="15.75" customHeight="1">
      <c r="A251" s="752"/>
      <c r="B251" s="753"/>
      <c r="C251" s="754"/>
      <c r="D251" s="755"/>
      <c r="E251" s="756"/>
      <c r="F251" s="757"/>
      <c r="G251" s="757"/>
      <c r="H251" s="757"/>
      <c r="I251" s="757"/>
      <c r="J251" s="757"/>
      <c r="K251" s="757"/>
      <c r="L251" s="757"/>
      <c r="M251" s="755"/>
      <c r="N251" s="757"/>
      <c r="O251" s="755"/>
      <c r="P251" s="757"/>
      <c r="Q251" s="758"/>
      <c r="R251" s="745"/>
      <c r="S251" s="759"/>
      <c r="T251" s="760"/>
      <c r="U251" s="760"/>
      <c r="V251" s="760"/>
      <c r="W251" s="760"/>
      <c r="X251" s="760"/>
      <c r="Y251" s="760"/>
      <c r="Z251" s="760"/>
    </row>
    <row r="252" ht="15.75" customHeight="1">
      <c r="A252" s="672"/>
      <c r="B252" s="761"/>
      <c r="C252" s="762"/>
      <c r="D252" s="763"/>
      <c r="E252" s="764"/>
      <c r="F252" s="524"/>
      <c r="G252" s="524"/>
      <c r="H252" s="524"/>
      <c r="I252" s="524"/>
      <c r="J252" s="524"/>
      <c r="K252" s="524"/>
      <c r="L252" s="524"/>
      <c r="M252" s="763"/>
      <c r="N252" s="524"/>
      <c r="O252" s="763"/>
      <c r="P252" s="524"/>
      <c r="Q252" s="765"/>
      <c r="R252" s="679"/>
      <c r="S252" s="672"/>
      <c r="T252" s="672"/>
      <c r="U252" s="672"/>
      <c r="V252" s="672"/>
      <c r="W252" s="672"/>
      <c r="X252" s="672"/>
      <c r="Y252" s="672"/>
      <c r="Z252" s="672"/>
    </row>
    <row r="253" ht="15.75" customHeight="1">
      <c r="A253" s="672"/>
      <c r="B253" s="766"/>
      <c r="C253" s="767"/>
      <c r="D253" s="768"/>
      <c r="E253" s="769"/>
      <c r="F253" s="770"/>
      <c r="G253" s="770"/>
      <c r="H253" s="770"/>
      <c r="I253" s="770"/>
      <c r="J253" s="770"/>
      <c r="K253" s="770"/>
      <c r="L253" s="770"/>
      <c r="M253" s="768"/>
      <c r="N253" s="770"/>
      <c r="O253" s="768"/>
      <c r="P253" s="770"/>
      <c r="Q253" s="771"/>
      <c r="R253" s="679"/>
      <c r="S253" s="672"/>
      <c r="T253" s="672"/>
      <c r="U253" s="672"/>
      <c r="V253" s="672"/>
      <c r="W253" s="672"/>
      <c r="X253" s="672"/>
      <c r="Y253" s="672"/>
      <c r="Z253" s="672"/>
    </row>
    <row r="254" ht="15.75" customHeight="1">
      <c r="A254" s="672"/>
      <c r="B254" s="766"/>
      <c r="C254" s="767"/>
      <c r="D254" s="768"/>
      <c r="E254" s="769"/>
      <c r="F254" s="770"/>
      <c r="G254" s="770"/>
      <c r="H254" s="770"/>
      <c r="I254" s="770"/>
      <c r="J254" s="770"/>
      <c r="K254" s="770"/>
      <c r="L254" s="770"/>
      <c r="M254" s="768"/>
      <c r="N254" s="770"/>
      <c r="O254" s="768"/>
      <c r="P254" s="770"/>
      <c r="Q254" s="771"/>
      <c r="R254" s="679"/>
      <c r="S254" s="672"/>
      <c r="T254" s="672"/>
      <c r="U254" s="672"/>
      <c r="V254" s="672"/>
      <c r="W254" s="672"/>
      <c r="X254" s="672"/>
      <c r="Y254" s="672"/>
      <c r="Z254" s="672"/>
    </row>
    <row r="255" ht="15.75" customHeight="1">
      <c r="A255" s="672"/>
      <c r="B255" s="766"/>
      <c r="C255" s="767"/>
      <c r="D255" s="768"/>
      <c r="E255" s="769"/>
      <c r="F255" s="770"/>
      <c r="G255" s="770"/>
      <c r="H255" s="770"/>
      <c r="I255" s="770"/>
      <c r="J255" s="770"/>
      <c r="K255" s="770"/>
      <c r="L255" s="770"/>
      <c r="M255" s="768"/>
      <c r="N255" s="770"/>
      <c r="O255" s="768"/>
      <c r="P255" s="770"/>
      <c r="Q255" s="771"/>
      <c r="R255" s="679"/>
      <c r="S255" s="672"/>
      <c r="T255" s="672"/>
      <c r="U255" s="672"/>
      <c r="V255" s="672"/>
      <c r="W255" s="672"/>
      <c r="X255" s="672"/>
      <c r="Y255" s="672"/>
      <c r="Z255" s="672"/>
    </row>
    <row r="256" ht="15.75" customHeight="1">
      <c r="A256" s="672"/>
      <c r="B256" s="766"/>
      <c r="C256" s="767"/>
      <c r="D256" s="768"/>
      <c r="E256" s="769"/>
      <c r="F256" s="770"/>
      <c r="G256" s="770"/>
      <c r="H256" s="770"/>
      <c r="I256" s="770"/>
      <c r="J256" s="770"/>
      <c r="K256" s="770"/>
      <c r="L256" s="770"/>
      <c r="M256" s="768"/>
      <c r="N256" s="770"/>
      <c r="O256" s="768"/>
      <c r="P256" s="770"/>
      <c r="Q256" s="771"/>
      <c r="R256" s="679"/>
      <c r="S256" s="672"/>
      <c r="T256" s="672"/>
      <c r="U256" s="672"/>
      <c r="V256" s="672"/>
      <c r="W256" s="672"/>
      <c r="X256" s="672"/>
      <c r="Y256" s="672"/>
      <c r="Z256" s="672"/>
    </row>
    <row r="257" ht="15.75" customHeight="1">
      <c r="A257" s="672"/>
      <c r="B257" s="766"/>
      <c r="C257" s="767"/>
      <c r="D257" s="768"/>
      <c r="E257" s="769"/>
      <c r="F257" s="770"/>
      <c r="G257" s="770"/>
      <c r="H257" s="770"/>
      <c r="I257" s="770"/>
      <c r="J257" s="770"/>
      <c r="K257" s="770"/>
      <c r="L257" s="770"/>
      <c r="M257" s="768"/>
      <c r="N257" s="770"/>
      <c r="O257" s="768"/>
      <c r="P257" s="770"/>
      <c r="Q257" s="771"/>
      <c r="R257" s="679"/>
      <c r="S257" s="672"/>
      <c r="T257" s="672"/>
      <c r="U257" s="672"/>
      <c r="V257" s="672"/>
      <c r="W257" s="672"/>
      <c r="X257" s="672"/>
      <c r="Y257" s="672"/>
      <c r="Z257" s="672"/>
    </row>
    <row r="258" ht="15.75" customHeight="1">
      <c r="A258" s="672"/>
      <c r="B258" s="766"/>
      <c r="C258" s="767"/>
      <c r="D258" s="768"/>
      <c r="E258" s="769"/>
      <c r="F258" s="770"/>
      <c r="G258" s="770"/>
      <c r="H258" s="770"/>
      <c r="I258" s="770"/>
      <c r="J258" s="770"/>
      <c r="K258" s="770"/>
      <c r="L258" s="770"/>
      <c r="M258" s="768"/>
      <c r="N258" s="770"/>
      <c r="O258" s="768"/>
      <c r="P258" s="770"/>
      <c r="Q258" s="771"/>
      <c r="R258" s="679"/>
      <c r="S258" s="672"/>
      <c r="T258" s="672"/>
      <c r="U258" s="672"/>
      <c r="V258" s="672"/>
      <c r="W258" s="672"/>
      <c r="X258" s="672"/>
      <c r="Y258" s="672"/>
      <c r="Z258" s="672"/>
    </row>
    <row r="259" ht="15.75" customHeight="1">
      <c r="A259" s="672"/>
      <c r="B259" s="766"/>
      <c r="C259" s="767"/>
      <c r="D259" s="768"/>
      <c r="E259" s="769"/>
      <c r="F259" s="770"/>
      <c r="G259" s="770"/>
      <c r="H259" s="770"/>
      <c r="I259" s="770"/>
      <c r="J259" s="770"/>
      <c r="K259" s="770"/>
      <c r="L259" s="770"/>
      <c r="M259" s="768"/>
      <c r="N259" s="770"/>
      <c r="O259" s="768"/>
      <c r="P259" s="770"/>
      <c r="Q259" s="771"/>
      <c r="R259" s="679"/>
      <c r="S259" s="672"/>
      <c r="T259" s="672"/>
      <c r="U259" s="672"/>
      <c r="V259" s="672"/>
      <c r="W259" s="672"/>
      <c r="X259" s="672"/>
      <c r="Y259" s="672"/>
      <c r="Z259" s="672"/>
    </row>
    <row r="260" ht="15.75" customHeight="1">
      <c r="A260" s="672"/>
      <c r="B260" s="766"/>
      <c r="C260" s="767"/>
      <c r="D260" s="768"/>
      <c r="E260" s="769"/>
      <c r="F260" s="770"/>
      <c r="G260" s="770"/>
      <c r="H260" s="770"/>
      <c r="I260" s="770"/>
      <c r="J260" s="770"/>
      <c r="K260" s="770"/>
      <c r="L260" s="770"/>
      <c r="M260" s="768"/>
      <c r="N260" s="770"/>
      <c r="O260" s="768"/>
      <c r="P260" s="770"/>
      <c r="Q260" s="771"/>
      <c r="R260" s="679"/>
      <c r="S260" s="672"/>
      <c r="T260" s="672"/>
      <c r="U260" s="672"/>
      <c r="V260" s="672"/>
      <c r="W260" s="672"/>
      <c r="X260" s="672"/>
      <c r="Y260" s="672"/>
      <c r="Z260" s="672"/>
    </row>
    <row r="261" ht="15.75" customHeight="1">
      <c r="A261" s="672"/>
      <c r="B261" s="766"/>
      <c r="C261" s="767"/>
      <c r="D261" s="768"/>
      <c r="E261" s="769"/>
      <c r="F261" s="770"/>
      <c r="G261" s="770"/>
      <c r="H261" s="770"/>
      <c r="I261" s="770"/>
      <c r="J261" s="770"/>
      <c r="K261" s="770"/>
      <c r="L261" s="770"/>
      <c r="M261" s="768"/>
      <c r="N261" s="770"/>
      <c r="O261" s="768"/>
      <c r="P261" s="770"/>
      <c r="Q261" s="771"/>
      <c r="R261" s="679"/>
      <c r="S261" s="672"/>
      <c r="T261" s="672"/>
      <c r="U261" s="672"/>
      <c r="V261" s="672"/>
      <c r="W261" s="672"/>
      <c r="X261" s="672"/>
      <c r="Y261" s="672"/>
      <c r="Z261" s="672"/>
    </row>
    <row r="262" ht="15.75" customHeight="1">
      <c r="A262" s="672"/>
      <c r="B262" s="766"/>
      <c r="C262" s="767"/>
      <c r="D262" s="768"/>
      <c r="E262" s="769"/>
      <c r="F262" s="770"/>
      <c r="G262" s="770"/>
      <c r="H262" s="770"/>
      <c r="I262" s="770"/>
      <c r="J262" s="770"/>
      <c r="K262" s="770"/>
      <c r="L262" s="770"/>
      <c r="M262" s="768"/>
      <c r="N262" s="770"/>
      <c r="O262" s="768"/>
      <c r="P262" s="770"/>
      <c r="Q262" s="771"/>
      <c r="R262" s="679"/>
      <c r="S262" s="672"/>
      <c r="T262" s="672"/>
      <c r="U262" s="672"/>
      <c r="V262" s="672"/>
      <c r="W262" s="672"/>
      <c r="X262" s="672"/>
      <c r="Y262" s="672"/>
      <c r="Z262" s="672"/>
    </row>
    <row r="263" ht="15.75" customHeight="1">
      <c r="A263" s="672"/>
      <c r="B263" s="766"/>
      <c r="C263" s="767"/>
      <c r="D263" s="768"/>
      <c r="E263" s="769"/>
      <c r="F263" s="770"/>
      <c r="G263" s="770"/>
      <c r="H263" s="770"/>
      <c r="I263" s="770"/>
      <c r="J263" s="770"/>
      <c r="K263" s="770"/>
      <c r="L263" s="770"/>
      <c r="M263" s="768"/>
      <c r="N263" s="770"/>
      <c r="O263" s="768"/>
      <c r="P263" s="770"/>
      <c r="Q263" s="771"/>
      <c r="R263" s="679"/>
      <c r="S263" s="672"/>
      <c r="T263" s="672"/>
      <c r="U263" s="672"/>
      <c r="V263" s="672"/>
      <c r="W263" s="672"/>
      <c r="X263" s="672"/>
      <c r="Y263" s="672"/>
      <c r="Z263" s="672"/>
    </row>
    <row r="264" ht="15.75" customHeight="1">
      <c r="A264" s="672"/>
      <c r="B264" s="766"/>
      <c r="C264" s="767"/>
      <c r="D264" s="768"/>
      <c r="E264" s="769"/>
      <c r="F264" s="770"/>
      <c r="G264" s="770"/>
      <c r="H264" s="770"/>
      <c r="I264" s="770"/>
      <c r="J264" s="770"/>
      <c r="K264" s="770"/>
      <c r="L264" s="770"/>
      <c r="M264" s="768"/>
      <c r="N264" s="770"/>
      <c r="O264" s="768"/>
      <c r="P264" s="770"/>
      <c r="Q264" s="771"/>
      <c r="R264" s="679"/>
      <c r="S264" s="672"/>
      <c r="T264" s="672"/>
      <c r="U264" s="672"/>
      <c r="V264" s="672"/>
      <c r="W264" s="672"/>
      <c r="X264" s="672"/>
      <c r="Y264" s="672"/>
      <c r="Z264" s="672"/>
    </row>
    <row r="265" ht="15.75" customHeight="1">
      <c r="A265" s="672"/>
      <c r="B265" s="766"/>
      <c r="C265" s="767"/>
      <c r="D265" s="768"/>
      <c r="E265" s="769"/>
      <c r="F265" s="770"/>
      <c r="G265" s="770"/>
      <c r="H265" s="770"/>
      <c r="I265" s="770"/>
      <c r="J265" s="770"/>
      <c r="K265" s="770"/>
      <c r="L265" s="770"/>
      <c r="M265" s="768"/>
      <c r="N265" s="770"/>
      <c r="O265" s="768"/>
      <c r="P265" s="770"/>
      <c r="Q265" s="771"/>
      <c r="R265" s="679"/>
      <c r="S265" s="672"/>
      <c r="T265" s="672"/>
      <c r="U265" s="672"/>
      <c r="V265" s="672"/>
      <c r="W265" s="672"/>
      <c r="X265" s="672"/>
      <c r="Y265" s="672"/>
      <c r="Z265" s="672"/>
    </row>
    <row r="266" ht="15.75" customHeight="1">
      <c r="A266" s="672"/>
      <c r="B266" s="766"/>
      <c r="C266" s="767"/>
      <c r="D266" s="768"/>
      <c r="E266" s="769"/>
      <c r="F266" s="770"/>
      <c r="G266" s="770"/>
      <c r="H266" s="770"/>
      <c r="I266" s="770"/>
      <c r="J266" s="770"/>
      <c r="K266" s="770"/>
      <c r="L266" s="770"/>
      <c r="M266" s="768"/>
      <c r="N266" s="770"/>
      <c r="O266" s="768"/>
      <c r="P266" s="770"/>
      <c r="Q266" s="771"/>
      <c r="R266" s="679"/>
      <c r="S266" s="672"/>
      <c r="T266" s="672"/>
      <c r="U266" s="672"/>
      <c r="V266" s="672"/>
      <c r="W266" s="672"/>
      <c r="X266" s="672"/>
      <c r="Y266" s="672"/>
      <c r="Z266" s="672"/>
    </row>
    <row r="267" ht="15.75" customHeight="1">
      <c r="A267" s="672"/>
      <c r="B267" s="766"/>
      <c r="C267" s="767"/>
      <c r="D267" s="768"/>
      <c r="E267" s="769"/>
      <c r="F267" s="770"/>
      <c r="G267" s="770"/>
      <c r="H267" s="770"/>
      <c r="I267" s="770"/>
      <c r="J267" s="770"/>
      <c r="K267" s="770"/>
      <c r="L267" s="770"/>
      <c r="M267" s="768"/>
      <c r="N267" s="770"/>
      <c r="O267" s="768"/>
      <c r="P267" s="770"/>
      <c r="Q267" s="771"/>
      <c r="R267" s="679"/>
      <c r="S267" s="672"/>
      <c r="T267" s="672"/>
      <c r="U267" s="672"/>
      <c r="V267" s="672"/>
      <c r="W267" s="672"/>
      <c r="X267" s="672"/>
      <c r="Y267" s="672"/>
      <c r="Z267" s="672"/>
    </row>
    <row r="268" ht="15.75" customHeight="1">
      <c r="A268" s="672"/>
      <c r="B268" s="772"/>
      <c r="C268" s="773"/>
      <c r="D268" s="774"/>
      <c r="E268" s="775"/>
      <c r="F268" s="776"/>
      <c r="G268" s="776"/>
      <c r="H268" s="776"/>
      <c r="I268" s="776"/>
      <c r="J268" s="776"/>
      <c r="K268" s="776"/>
      <c r="L268" s="776"/>
      <c r="M268" s="774"/>
      <c r="N268" s="776"/>
      <c r="O268" s="774"/>
      <c r="P268" s="776"/>
      <c r="Q268" s="777">
        <f>SUM(Q6:Q235)</f>
        <v>249</v>
      </c>
      <c r="R268" s="679">
        <f>SUM(R6:R267)</f>
        <v>8</v>
      </c>
      <c r="S268" s="672"/>
      <c r="T268" s="672"/>
      <c r="U268" s="672"/>
      <c r="V268" s="672"/>
      <c r="W268" s="672"/>
      <c r="X268" s="672"/>
      <c r="Y268" s="672"/>
      <c r="Z268" s="672"/>
    </row>
    <row r="269" ht="15.75" customHeight="1">
      <c r="A269" s="3"/>
      <c r="B269" s="472"/>
      <c r="C269" s="455"/>
      <c r="D269" s="455"/>
      <c r="E269" s="455"/>
      <c r="F269" s="455"/>
      <c r="G269" s="455"/>
      <c r="H269" s="455"/>
      <c r="I269" s="455"/>
      <c r="J269" s="455"/>
      <c r="K269" s="455"/>
      <c r="L269" s="455"/>
      <c r="M269" s="455"/>
      <c r="N269" s="455"/>
      <c r="O269" s="455"/>
      <c r="P269" s="455"/>
      <c r="Q269" s="456"/>
      <c r="R269" s="614"/>
      <c r="S269" s="3"/>
      <c r="T269" s="3"/>
      <c r="U269" s="3"/>
      <c r="V269" s="3"/>
      <c r="W269" s="3"/>
      <c r="X269" s="3"/>
      <c r="Y269" s="3"/>
      <c r="Z269" s="3"/>
    </row>
    <row r="270" ht="15.75" customHeight="1">
      <c r="A270" s="3"/>
      <c r="B270" s="457"/>
      <c r="C270" s="6"/>
      <c r="D270" s="6"/>
      <c r="E270" s="6"/>
      <c r="F270" s="6"/>
      <c r="G270" s="6"/>
      <c r="H270" s="6"/>
      <c r="I270" s="6"/>
      <c r="J270" s="6"/>
      <c r="K270" s="6"/>
      <c r="L270" s="6"/>
      <c r="M270" s="6"/>
      <c r="N270" s="6"/>
      <c r="O270" s="6"/>
      <c r="P270" s="6"/>
      <c r="Q270" s="7"/>
      <c r="R270" s="614"/>
      <c r="S270" s="3"/>
      <c r="T270" s="3"/>
      <c r="U270" s="3"/>
      <c r="V270" s="3"/>
      <c r="W270" s="3"/>
      <c r="X270" s="3"/>
      <c r="Y270" s="3"/>
      <c r="Z270" s="3"/>
    </row>
    <row r="271" ht="15.75" customHeight="1">
      <c r="A271" s="3"/>
      <c r="B271" s="457" t="s">
        <v>14257</v>
      </c>
      <c r="C271" s="6"/>
      <c r="D271" s="6"/>
      <c r="E271" s="6"/>
      <c r="F271" s="6"/>
      <c r="G271" s="6"/>
      <c r="H271" s="6"/>
      <c r="I271" s="6"/>
      <c r="J271" s="6"/>
      <c r="K271" s="6"/>
      <c r="L271" s="6"/>
      <c r="M271" s="6"/>
      <c r="N271" s="6"/>
      <c r="O271" s="6"/>
      <c r="P271" s="6"/>
      <c r="Q271" s="7"/>
      <c r="R271" s="614"/>
      <c r="S271" s="3"/>
      <c r="T271" s="3"/>
      <c r="U271" s="3"/>
      <c r="V271" s="3"/>
      <c r="W271" s="3"/>
      <c r="X271" s="3"/>
      <c r="Y271" s="3"/>
      <c r="Z271" s="3"/>
    </row>
    <row r="272" ht="15.75" customHeight="1">
      <c r="A272" s="3"/>
      <c r="B272" s="327" t="s">
        <v>14150</v>
      </c>
      <c r="C272" s="457" t="s">
        <v>14151</v>
      </c>
      <c r="D272" s="6"/>
      <c r="E272" s="7"/>
      <c r="F272" s="458"/>
      <c r="G272" s="459"/>
      <c r="H272" s="7"/>
      <c r="I272" s="459"/>
      <c r="J272" s="6"/>
      <c r="K272" s="6"/>
      <c r="L272" s="7"/>
      <c r="M272" s="460"/>
      <c r="N272" s="461" t="s">
        <v>15140</v>
      </c>
      <c r="O272" s="461"/>
      <c r="P272" s="461"/>
      <c r="Q272" s="461"/>
      <c r="R272" s="614"/>
      <c r="S272" s="3"/>
      <c r="T272" s="3"/>
      <c r="U272" s="3"/>
      <c r="V272" s="3"/>
      <c r="W272" s="3"/>
      <c r="X272" s="3"/>
      <c r="Y272" s="3"/>
      <c r="Z272" s="3"/>
    </row>
    <row r="273" ht="15.75" customHeight="1">
      <c r="A273" s="3"/>
      <c r="B273" s="321"/>
      <c r="C273" s="399"/>
      <c r="D273" s="458"/>
      <c r="E273" s="462"/>
      <c r="F273" s="458"/>
      <c r="G273" s="463"/>
      <c r="H273" s="7"/>
      <c r="I273" s="321"/>
      <c r="J273" s="321"/>
      <c r="K273" s="463"/>
      <c r="L273" s="7"/>
      <c r="M273" s="321"/>
      <c r="N273" s="321"/>
      <c r="O273" s="321"/>
      <c r="P273" s="321"/>
      <c r="Q273" s="321"/>
      <c r="R273" s="614"/>
      <c r="S273" s="3"/>
      <c r="T273" s="3"/>
      <c r="U273" s="3"/>
      <c r="V273" s="3"/>
      <c r="W273" s="3"/>
      <c r="X273" s="3"/>
      <c r="Y273" s="3"/>
      <c r="Z273" s="3"/>
    </row>
    <row r="274" ht="15.75" customHeight="1">
      <c r="A274" s="3"/>
      <c r="B274" s="463"/>
      <c r="C274" s="7"/>
      <c r="D274" s="458"/>
      <c r="E274" s="463"/>
      <c r="F274" s="7"/>
      <c r="G274" s="321"/>
      <c r="H274" s="321"/>
      <c r="I274" s="321"/>
      <c r="J274" s="321"/>
      <c r="K274" s="321"/>
      <c r="L274" s="321"/>
      <c r="M274" s="321"/>
      <c r="N274" s="321"/>
      <c r="O274" s="321"/>
      <c r="P274" s="321"/>
      <c r="Q274" s="321"/>
      <c r="R274" s="614"/>
      <c r="S274" s="3"/>
      <c r="T274" s="3"/>
      <c r="U274" s="3"/>
      <c r="V274" s="3"/>
      <c r="W274" s="3"/>
      <c r="X274" s="3"/>
      <c r="Y274" s="3"/>
      <c r="Z274" s="3"/>
    </row>
    <row r="275" ht="15.75" customHeight="1">
      <c r="A275" s="3"/>
      <c r="B275" s="321"/>
      <c r="C275" s="457" t="s">
        <v>14153</v>
      </c>
      <c r="D275" s="6"/>
      <c r="E275" s="7"/>
      <c r="F275" s="458"/>
      <c r="G275" s="457"/>
      <c r="H275" s="7"/>
      <c r="I275" s="457"/>
      <c r="J275" s="6"/>
      <c r="K275" s="6"/>
      <c r="L275" s="7"/>
      <c r="M275" s="457" t="s">
        <v>14154</v>
      </c>
      <c r="N275" s="6"/>
      <c r="O275" s="6"/>
      <c r="P275" s="6"/>
      <c r="Q275" s="7"/>
      <c r="R275" s="614"/>
      <c r="S275" s="3"/>
      <c r="T275" s="3"/>
      <c r="U275" s="3"/>
      <c r="V275" s="3"/>
      <c r="W275" s="3"/>
      <c r="X275" s="3"/>
      <c r="Y275" s="3"/>
      <c r="Z275" s="3"/>
    </row>
    <row r="276" ht="15.75" customHeight="1">
      <c r="A276" s="3"/>
      <c r="B276" s="321"/>
      <c r="C276" s="457" t="s">
        <v>14155</v>
      </c>
      <c r="D276" s="6"/>
      <c r="E276" s="7"/>
      <c r="F276" s="458"/>
      <c r="G276" s="457"/>
      <c r="H276" s="7"/>
      <c r="I276" s="327"/>
      <c r="J276" s="457"/>
      <c r="K276" s="6"/>
      <c r="L276" s="7"/>
      <c r="M276" s="457" t="s">
        <v>14156</v>
      </c>
      <c r="N276" s="6"/>
      <c r="O276" s="6"/>
      <c r="P276" s="6"/>
      <c r="Q276" s="7"/>
      <c r="S276" s="3"/>
      <c r="T276" s="3"/>
      <c r="U276" s="3"/>
      <c r="V276" s="3"/>
      <c r="W276" s="3"/>
      <c r="X276" s="3"/>
      <c r="Y276" s="3"/>
      <c r="Z276" s="3"/>
    </row>
    <row r="277" ht="15.75" customHeight="1">
      <c r="A277" s="3"/>
      <c r="B277" s="2"/>
      <c r="C277" s="2"/>
      <c r="D277" s="2"/>
      <c r="E277" s="464"/>
      <c r="F277" s="2"/>
      <c r="G277" s="2"/>
      <c r="H277" s="2"/>
      <c r="I277" s="2"/>
      <c r="J277" s="2"/>
      <c r="K277" s="2"/>
      <c r="L277" s="2"/>
      <c r="M277" s="2"/>
      <c r="N277" s="667"/>
      <c r="O277" s="2"/>
      <c r="P277" s="2"/>
      <c r="Q277" s="2"/>
      <c r="S277" s="3"/>
      <c r="T277" s="3"/>
      <c r="U277" s="3"/>
      <c r="V277" s="3"/>
      <c r="W277" s="3"/>
      <c r="X277" s="3"/>
      <c r="Y277" s="3"/>
      <c r="Z277" s="3"/>
    </row>
    <row r="278" ht="15.75" customHeight="1">
      <c r="A278" s="3"/>
      <c r="B278" s="2"/>
      <c r="C278" s="667"/>
      <c r="D278" s="2"/>
      <c r="E278" s="464"/>
      <c r="F278" s="2"/>
      <c r="G278" s="2"/>
      <c r="H278" s="2"/>
      <c r="I278" s="2"/>
      <c r="J278" s="2"/>
      <c r="K278" s="2"/>
      <c r="L278" s="2"/>
      <c r="M278" s="2"/>
      <c r="N278" s="2"/>
      <c r="O278" s="2"/>
      <c r="P278" s="2"/>
      <c r="Q278" s="2"/>
      <c r="S278" s="3"/>
      <c r="T278" s="3"/>
      <c r="U278" s="3"/>
      <c r="V278" s="3"/>
      <c r="W278" s="3"/>
      <c r="X278" s="3"/>
      <c r="Y278" s="3"/>
      <c r="Z278" s="3"/>
    </row>
    <row r="279" ht="15.75" customHeight="1">
      <c r="A279" s="3"/>
      <c r="B279" s="2"/>
      <c r="C279" s="667"/>
      <c r="D279" s="2"/>
      <c r="E279" s="464"/>
      <c r="F279" s="2"/>
      <c r="G279" s="2"/>
      <c r="H279" s="2"/>
      <c r="I279" s="2"/>
      <c r="J279" s="2"/>
      <c r="K279" s="2"/>
      <c r="L279" s="2"/>
      <c r="M279" s="2"/>
      <c r="N279" s="2"/>
      <c r="O279" s="2"/>
      <c r="P279" s="2"/>
      <c r="Q279" s="2"/>
      <c r="S279" s="3"/>
      <c r="T279" s="3"/>
      <c r="U279" s="3"/>
      <c r="V279" s="3"/>
      <c r="W279" s="3"/>
      <c r="X279" s="3"/>
      <c r="Y279" s="3"/>
      <c r="Z279" s="3"/>
    </row>
    <row r="280" ht="15.75" customHeight="1">
      <c r="A280" s="3"/>
      <c r="B280" s="2"/>
      <c r="C280" s="667"/>
      <c r="D280" s="2"/>
      <c r="E280" s="464"/>
      <c r="F280" s="2"/>
      <c r="G280" s="2"/>
      <c r="H280" s="2"/>
      <c r="I280" s="2"/>
      <c r="J280" s="2"/>
      <c r="K280" s="2"/>
      <c r="L280" s="2"/>
      <c r="M280" s="2"/>
      <c r="N280" s="2"/>
      <c r="O280" s="2"/>
      <c r="P280" s="2"/>
      <c r="Q280" s="2"/>
      <c r="S280" s="3"/>
      <c r="T280" s="3"/>
      <c r="U280" s="3"/>
      <c r="V280" s="3"/>
      <c r="W280" s="3"/>
      <c r="X280" s="3"/>
      <c r="Y280" s="3"/>
      <c r="Z280" s="3"/>
    </row>
    <row r="281" ht="15.75" customHeight="1">
      <c r="A281" s="3"/>
      <c r="B281" s="2"/>
      <c r="C281" s="667"/>
      <c r="D281" s="2"/>
      <c r="E281" s="464"/>
      <c r="F281" s="2"/>
      <c r="G281" s="2"/>
      <c r="H281" s="2"/>
      <c r="I281" s="2"/>
      <c r="J281" s="2"/>
      <c r="K281" s="2"/>
      <c r="L281" s="2"/>
      <c r="M281" s="2"/>
      <c r="N281" s="2"/>
      <c r="O281" s="2"/>
      <c r="P281" s="2"/>
      <c r="Q281" s="2"/>
      <c r="S281" s="3"/>
      <c r="T281" s="3"/>
      <c r="U281" s="3"/>
      <c r="V281" s="3"/>
      <c r="W281" s="3"/>
      <c r="X281" s="3"/>
      <c r="Y281" s="3"/>
      <c r="Z281" s="3"/>
    </row>
    <row r="282" ht="15.75" customHeight="1">
      <c r="A282" s="3"/>
      <c r="B282" s="2"/>
      <c r="C282" s="667"/>
      <c r="D282" s="2"/>
      <c r="E282" s="464"/>
      <c r="F282" s="2"/>
      <c r="G282" s="2"/>
      <c r="H282" s="2"/>
      <c r="I282" s="2"/>
      <c r="J282" s="2"/>
      <c r="K282" s="2"/>
      <c r="L282" s="2"/>
      <c r="M282" s="2"/>
      <c r="N282" s="2"/>
      <c r="O282" s="2"/>
      <c r="P282" s="2"/>
      <c r="Q282" s="2"/>
      <c r="S282" s="3"/>
      <c r="T282" s="3"/>
      <c r="U282" s="3"/>
      <c r="V282" s="3"/>
      <c r="W282" s="3"/>
      <c r="X282" s="3"/>
      <c r="Y282" s="3"/>
      <c r="Z282" s="3"/>
    </row>
    <row r="283" ht="15.75" customHeight="1">
      <c r="A283" s="3"/>
      <c r="B283" s="2"/>
      <c r="C283" s="667"/>
      <c r="D283" s="2"/>
      <c r="E283" s="464"/>
      <c r="F283" s="2"/>
      <c r="G283" s="2"/>
      <c r="H283" s="2"/>
      <c r="I283" s="2"/>
      <c r="J283" s="2"/>
      <c r="K283" s="2"/>
      <c r="L283" s="2"/>
      <c r="M283" s="2"/>
      <c r="N283" s="2"/>
      <c r="O283" s="2"/>
      <c r="P283" s="2"/>
      <c r="Q283" s="2"/>
      <c r="S283" s="3"/>
      <c r="T283" s="3"/>
      <c r="U283" s="3"/>
      <c r="V283" s="3"/>
      <c r="W283" s="3"/>
      <c r="X283" s="3"/>
      <c r="Y283" s="3"/>
      <c r="Z283" s="3"/>
    </row>
    <row r="284" ht="15.75" customHeight="1">
      <c r="A284" s="3"/>
      <c r="B284" s="2"/>
      <c r="C284" s="667"/>
      <c r="D284" s="2"/>
      <c r="E284" s="464"/>
      <c r="F284" s="2"/>
      <c r="G284" s="2"/>
      <c r="H284" s="2"/>
      <c r="I284" s="2"/>
      <c r="J284" s="2"/>
      <c r="K284" s="2"/>
      <c r="L284" s="2"/>
      <c r="M284" s="2"/>
      <c r="N284" s="2"/>
      <c r="O284" s="2"/>
      <c r="P284" s="2"/>
      <c r="Q284" s="2"/>
      <c r="S284" s="3"/>
      <c r="T284" s="3"/>
      <c r="U284" s="3"/>
      <c r="V284" s="3"/>
      <c r="W284" s="3"/>
      <c r="X284" s="3"/>
      <c r="Y284" s="3"/>
      <c r="Z284" s="3"/>
    </row>
    <row r="285" ht="15.75" customHeight="1">
      <c r="A285" s="3"/>
      <c r="B285" s="2"/>
      <c r="C285" s="667"/>
      <c r="D285" s="2"/>
      <c r="E285" s="464"/>
      <c r="F285" s="2"/>
      <c r="G285" s="2"/>
      <c r="H285" s="2"/>
      <c r="I285" s="2"/>
      <c r="J285" s="2"/>
      <c r="K285" s="2"/>
      <c r="L285" s="2"/>
      <c r="M285" s="2"/>
      <c r="N285" s="2"/>
      <c r="O285" s="2"/>
      <c r="P285" s="2"/>
      <c r="Q285" s="2"/>
      <c r="S285" s="3"/>
      <c r="T285" s="3"/>
      <c r="U285" s="3"/>
      <c r="V285" s="3"/>
      <c r="W285" s="3"/>
      <c r="X285" s="3"/>
      <c r="Y285" s="3"/>
      <c r="Z285" s="3"/>
    </row>
    <row r="286" ht="15.75" customHeight="1">
      <c r="A286" s="3"/>
      <c r="B286" s="2"/>
      <c r="C286" s="667"/>
      <c r="D286" s="2"/>
      <c r="E286" s="464"/>
      <c r="F286" s="2"/>
      <c r="G286" s="2"/>
      <c r="H286" s="2"/>
      <c r="I286" s="2"/>
      <c r="J286" s="2"/>
      <c r="K286" s="2"/>
      <c r="L286" s="2"/>
      <c r="M286" s="2"/>
      <c r="N286" s="2"/>
      <c r="O286" s="2"/>
      <c r="P286" s="2"/>
      <c r="Q286" s="2"/>
      <c r="S286" s="3"/>
      <c r="T286" s="3"/>
      <c r="U286" s="3"/>
      <c r="V286" s="3"/>
      <c r="W286" s="3"/>
      <c r="X286" s="3"/>
      <c r="Y286" s="3"/>
      <c r="Z286" s="3"/>
    </row>
    <row r="287" ht="15.75" customHeight="1">
      <c r="A287" s="3"/>
      <c r="B287" s="2"/>
      <c r="C287" s="667"/>
      <c r="D287" s="2"/>
      <c r="E287" s="464"/>
      <c r="F287" s="2"/>
      <c r="G287" s="2"/>
      <c r="H287" s="2"/>
      <c r="I287" s="2"/>
      <c r="J287" s="2"/>
      <c r="K287" s="2"/>
      <c r="L287" s="2"/>
      <c r="M287" s="2"/>
      <c r="N287" s="2"/>
      <c r="O287" s="2"/>
      <c r="P287" s="2"/>
      <c r="Q287" s="2"/>
      <c r="S287" s="3"/>
      <c r="T287" s="3"/>
      <c r="U287" s="3"/>
      <c r="V287" s="3"/>
      <c r="W287" s="3"/>
      <c r="X287" s="3"/>
      <c r="Y287" s="3"/>
      <c r="Z287" s="3"/>
    </row>
    <row r="288" ht="15.75" customHeight="1">
      <c r="A288" s="3"/>
      <c r="B288" s="2"/>
      <c r="C288" s="667"/>
      <c r="D288" s="2"/>
      <c r="E288" s="464"/>
      <c r="F288" s="2"/>
      <c r="G288" s="2"/>
      <c r="H288" s="2"/>
      <c r="I288" s="2"/>
      <c r="J288" s="2"/>
      <c r="K288" s="2"/>
      <c r="L288" s="2"/>
      <c r="M288" s="2"/>
      <c r="N288" s="2"/>
      <c r="O288" s="2"/>
      <c r="P288" s="2"/>
      <c r="Q288" s="2"/>
      <c r="S288" s="3"/>
      <c r="T288" s="3"/>
      <c r="U288" s="3"/>
      <c r="V288" s="3"/>
      <c r="W288" s="3"/>
      <c r="X288" s="3"/>
      <c r="Y288" s="3"/>
      <c r="Z288" s="3"/>
    </row>
    <row r="289" ht="15.75" customHeight="1">
      <c r="A289" s="3"/>
      <c r="B289" s="2"/>
      <c r="C289" s="667"/>
      <c r="D289" s="2"/>
      <c r="E289" s="464"/>
      <c r="F289" s="2"/>
      <c r="G289" s="2"/>
      <c r="H289" s="2"/>
      <c r="I289" s="2"/>
      <c r="J289" s="2"/>
      <c r="K289" s="2"/>
      <c r="L289" s="2"/>
      <c r="M289" s="2"/>
      <c r="N289" s="2"/>
      <c r="O289" s="2"/>
      <c r="P289" s="2"/>
      <c r="Q289" s="2"/>
      <c r="S289" s="3"/>
      <c r="T289" s="3"/>
      <c r="U289" s="3"/>
      <c r="V289" s="3"/>
      <c r="W289" s="3"/>
      <c r="X289" s="3"/>
      <c r="Y289" s="3"/>
      <c r="Z289" s="3"/>
    </row>
    <row r="290" ht="15.75" customHeight="1">
      <c r="A290" s="3"/>
      <c r="B290" s="2"/>
      <c r="C290" s="667"/>
      <c r="D290" s="2"/>
      <c r="E290" s="464"/>
      <c r="F290" s="2"/>
      <c r="G290" s="2"/>
      <c r="H290" s="2"/>
      <c r="I290" s="2"/>
      <c r="J290" s="2"/>
      <c r="K290" s="2"/>
      <c r="L290" s="2"/>
      <c r="M290" s="2"/>
      <c r="N290" s="2"/>
      <c r="O290" s="2"/>
      <c r="P290" s="2"/>
      <c r="Q290" s="2"/>
      <c r="S290" s="3"/>
      <c r="T290" s="3"/>
      <c r="U290" s="3"/>
      <c r="V290" s="3"/>
      <c r="W290" s="3"/>
      <c r="X290" s="3"/>
      <c r="Y290" s="3"/>
      <c r="Z290" s="3"/>
    </row>
    <row r="291" ht="15.75" customHeight="1">
      <c r="A291" s="3"/>
      <c r="B291" s="2"/>
      <c r="C291" s="667"/>
      <c r="D291" s="2"/>
      <c r="E291" s="464"/>
      <c r="F291" s="2"/>
      <c r="G291" s="2"/>
      <c r="H291" s="2"/>
      <c r="I291" s="2"/>
      <c r="J291" s="2"/>
      <c r="K291" s="2"/>
      <c r="L291" s="2"/>
      <c r="M291" s="2"/>
      <c r="N291" s="2"/>
      <c r="O291" s="2"/>
      <c r="P291" s="2"/>
      <c r="Q291" s="2"/>
      <c r="S291" s="3"/>
      <c r="T291" s="3"/>
      <c r="U291" s="3"/>
      <c r="V291" s="3"/>
      <c r="W291" s="3"/>
      <c r="X291" s="3"/>
      <c r="Y291" s="3"/>
      <c r="Z291" s="3"/>
    </row>
    <row r="292" ht="15.75" customHeight="1">
      <c r="A292" s="3"/>
      <c r="B292" s="2"/>
      <c r="C292" s="667"/>
      <c r="D292" s="2"/>
      <c r="E292" s="464"/>
      <c r="F292" s="2"/>
      <c r="G292" s="2"/>
      <c r="H292" s="2"/>
      <c r="I292" s="2"/>
      <c r="J292" s="2"/>
      <c r="K292" s="2"/>
      <c r="L292" s="2"/>
      <c r="M292" s="2"/>
      <c r="N292" s="2"/>
      <c r="O292" s="2"/>
      <c r="P292" s="2"/>
      <c r="Q292" s="2"/>
      <c r="S292" s="3"/>
      <c r="T292" s="3"/>
      <c r="U292" s="3"/>
      <c r="V292" s="3"/>
      <c r="W292" s="3"/>
      <c r="X292" s="3"/>
      <c r="Y292" s="3"/>
      <c r="Z292" s="3"/>
    </row>
    <row r="293" ht="15.75" customHeight="1">
      <c r="A293" s="3"/>
      <c r="B293" s="2"/>
      <c r="C293" s="667"/>
      <c r="D293" s="2"/>
      <c r="E293" s="464"/>
      <c r="F293" s="2"/>
      <c r="G293" s="2"/>
      <c r="H293" s="2"/>
      <c r="I293" s="2"/>
      <c r="J293" s="2"/>
      <c r="K293" s="2"/>
      <c r="L293" s="2"/>
      <c r="M293" s="2"/>
      <c r="N293" s="2"/>
      <c r="O293" s="2"/>
      <c r="P293" s="2"/>
      <c r="Q293" s="2"/>
      <c r="S293" s="3"/>
      <c r="T293" s="3"/>
      <c r="U293" s="3"/>
      <c r="V293" s="3"/>
      <c r="W293" s="3"/>
      <c r="X293" s="3"/>
      <c r="Y293" s="3"/>
      <c r="Z293" s="3"/>
    </row>
    <row r="294" ht="15.75" customHeight="1">
      <c r="A294" s="3"/>
      <c r="B294" s="2"/>
      <c r="C294" s="667"/>
      <c r="D294" s="2"/>
      <c r="E294" s="464"/>
      <c r="F294" s="2"/>
      <c r="G294" s="2"/>
      <c r="H294" s="2"/>
      <c r="I294" s="2"/>
      <c r="J294" s="2"/>
      <c r="K294" s="2"/>
      <c r="L294" s="2"/>
      <c r="M294" s="2"/>
      <c r="N294" s="2"/>
      <c r="O294" s="2"/>
      <c r="P294" s="2"/>
      <c r="Q294" s="2"/>
      <c r="S294" s="3"/>
      <c r="T294" s="3"/>
      <c r="U294" s="3"/>
      <c r="V294" s="3"/>
      <c r="W294" s="3"/>
      <c r="X294" s="3"/>
      <c r="Y294" s="3"/>
      <c r="Z294" s="3"/>
    </row>
    <row r="295" ht="15.75" customHeight="1">
      <c r="A295" s="3"/>
      <c r="B295" s="2"/>
      <c r="C295" s="667"/>
      <c r="D295" s="2"/>
      <c r="E295" s="464"/>
      <c r="F295" s="2"/>
      <c r="G295" s="2"/>
      <c r="H295" s="2"/>
      <c r="I295" s="2"/>
      <c r="J295" s="2"/>
      <c r="K295" s="2"/>
      <c r="L295" s="2"/>
      <c r="M295" s="2"/>
      <c r="N295" s="2"/>
      <c r="O295" s="2"/>
      <c r="P295" s="2"/>
      <c r="Q295" s="2"/>
      <c r="S295" s="3"/>
      <c r="T295" s="3"/>
      <c r="U295" s="3"/>
      <c r="V295" s="3"/>
      <c r="W295" s="3"/>
      <c r="X295" s="3"/>
      <c r="Y295" s="3"/>
      <c r="Z295" s="3"/>
    </row>
    <row r="296" ht="15.75" customHeight="1">
      <c r="A296" s="3"/>
      <c r="B296" s="2"/>
      <c r="C296" s="667"/>
      <c r="D296" s="2"/>
      <c r="E296" s="464"/>
      <c r="F296" s="2"/>
      <c r="G296" s="2"/>
      <c r="H296" s="2"/>
      <c r="I296" s="2"/>
      <c r="J296" s="2"/>
      <c r="K296" s="2"/>
      <c r="L296" s="2"/>
      <c r="M296" s="2"/>
      <c r="N296" s="2"/>
      <c r="O296" s="2"/>
      <c r="P296" s="2"/>
      <c r="Q296" s="2"/>
      <c r="S296" s="3"/>
      <c r="T296" s="3"/>
      <c r="U296" s="3"/>
      <c r="V296" s="3"/>
      <c r="W296" s="3"/>
      <c r="X296" s="3"/>
      <c r="Y296" s="3"/>
      <c r="Z296" s="3"/>
    </row>
    <row r="297" ht="15.75" customHeight="1">
      <c r="A297" s="3"/>
      <c r="B297" s="2"/>
      <c r="C297" s="667"/>
      <c r="D297" s="2"/>
      <c r="E297" s="464"/>
      <c r="F297" s="2"/>
      <c r="G297" s="2"/>
      <c r="H297" s="2"/>
      <c r="I297" s="2"/>
      <c r="J297" s="2"/>
      <c r="K297" s="2"/>
      <c r="L297" s="2"/>
      <c r="M297" s="2"/>
      <c r="N297" s="2"/>
      <c r="O297" s="2"/>
      <c r="P297" s="2"/>
      <c r="Q297" s="2"/>
      <c r="S297" s="3"/>
      <c r="T297" s="3"/>
      <c r="U297" s="3"/>
      <c r="V297" s="3"/>
      <c r="W297" s="3"/>
      <c r="X297" s="3"/>
      <c r="Y297" s="3"/>
      <c r="Z297" s="3"/>
    </row>
    <row r="298" ht="15.75" customHeight="1">
      <c r="A298" s="3"/>
      <c r="B298" s="2"/>
      <c r="C298" s="667"/>
      <c r="D298" s="2"/>
      <c r="E298" s="464"/>
      <c r="F298" s="2"/>
      <c r="G298" s="2"/>
      <c r="H298" s="2"/>
      <c r="I298" s="2"/>
      <c r="J298" s="2"/>
      <c r="K298" s="2"/>
      <c r="L298" s="2"/>
      <c r="M298" s="2"/>
      <c r="N298" s="2"/>
      <c r="O298" s="2"/>
      <c r="P298" s="2"/>
      <c r="Q298" s="2"/>
      <c r="S298" s="3"/>
      <c r="T298" s="3"/>
      <c r="U298" s="3"/>
      <c r="V298" s="3"/>
      <c r="W298" s="3"/>
      <c r="X298" s="3"/>
      <c r="Y298" s="3"/>
      <c r="Z298" s="3"/>
    </row>
    <row r="299" ht="15.75" customHeight="1">
      <c r="A299" s="3"/>
      <c r="B299" s="2"/>
      <c r="C299" s="667"/>
      <c r="D299" s="2"/>
      <c r="E299" s="464"/>
      <c r="F299" s="2"/>
      <c r="G299" s="2"/>
      <c r="H299" s="2"/>
      <c r="I299" s="2"/>
      <c r="J299" s="2"/>
      <c r="K299" s="2"/>
      <c r="L299" s="2"/>
      <c r="M299" s="2"/>
      <c r="N299" s="2"/>
      <c r="O299" s="2"/>
      <c r="P299" s="2"/>
      <c r="Q299" s="2"/>
      <c r="S299" s="3"/>
      <c r="T299" s="3"/>
      <c r="U299" s="3"/>
      <c r="V299" s="3"/>
      <c r="W299" s="3"/>
      <c r="X299" s="3"/>
      <c r="Y299" s="3"/>
      <c r="Z299" s="3"/>
    </row>
    <row r="300" ht="15.75" customHeight="1">
      <c r="A300" s="3"/>
      <c r="B300" s="2"/>
      <c r="C300" s="667"/>
      <c r="D300" s="2"/>
      <c r="E300" s="464"/>
      <c r="F300" s="2"/>
      <c r="G300" s="2"/>
      <c r="H300" s="2"/>
      <c r="I300" s="2"/>
      <c r="J300" s="2"/>
      <c r="K300" s="2"/>
      <c r="L300" s="2"/>
      <c r="M300" s="2"/>
      <c r="N300" s="2"/>
      <c r="O300" s="2"/>
      <c r="P300" s="2"/>
      <c r="Q300" s="2"/>
      <c r="S300" s="3"/>
      <c r="T300" s="3"/>
      <c r="U300" s="3"/>
      <c r="V300" s="3"/>
      <c r="W300" s="3"/>
      <c r="X300" s="3"/>
      <c r="Y300" s="3"/>
      <c r="Z300" s="3"/>
    </row>
    <row r="301" ht="15.75" customHeight="1">
      <c r="A301" s="3"/>
      <c r="B301" s="2"/>
      <c r="C301" s="667"/>
      <c r="D301" s="2"/>
      <c r="E301" s="464"/>
      <c r="F301" s="2"/>
      <c r="G301" s="2"/>
      <c r="H301" s="2"/>
      <c r="I301" s="2"/>
      <c r="J301" s="2"/>
      <c r="K301" s="2"/>
      <c r="L301" s="2"/>
      <c r="M301" s="2"/>
      <c r="N301" s="2"/>
      <c r="O301" s="2"/>
      <c r="P301" s="2"/>
      <c r="Q301" s="2"/>
      <c r="S301" s="3"/>
      <c r="T301" s="3"/>
      <c r="U301" s="3"/>
      <c r="V301" s="3"/>
      <c r="W301" s="3"/>
      <c r="X301" s="3"/>
      <c r="Y301" s="3"/>
      <c r="Z301" s="3"/>
    </row>
    <row r="302" ht="15.75" customHeight="1">
      <c r="A302" s="3"/>
      <c r="B302" s="2"/>
      <c r="C302" s="667"/>
      <c r="D302" s="2"/>
      <c r="E302" s="464"/>
      <c r="F302" s="2"/>
      <c r="G302" s="2"/>
      <c r="H302" s="2"/>
      <c r="I302" s="2"/>
      <c r="J302" s="2"/>
      <c r="K302" s="2"/>
      <c r="L302" s="2"/>
      <c r="M302" s="2"/>
      <c r="N302" s="2"/>
      <c r="O302" s="2"/>
      <c r="P302" s="2"/>
      <c r="Q302" s="2"/>
      <c r="S302" s="3"/>
      <c r="T302" s="3"/>
      <c r="U302" s="3"/>
      <c r="V302" s="3"/>
      <c r="W302" s="3"/>
      <c r="X302" s="3"/>
      <c r="Y302" s="3"/>
      <c r="Z302" s="3"/>
    </row>
    <row r="303" ht="15.75" customHeight="1">
      <c r="A303" s="3"/>
      <c r="B303" s="2"/>
      <c r="C303" s="667"/>
      <c r="D303" s="2"/>
      <c r="E303" s="464"/>
      <c r="F303" s="2"/>
      <c r="G303" s="2"/>
      <c r="H303" s="2"/>
      <c r="I303" s="2"/>
      <c r="J303" s="2"/>
      <c r="K303" s="2"/>
      <c r="L303" s="2"/>
      <c r="M303" s="2"/>
      <c r="N303" s="2"/>
      <c r="O303" s="2"/>
      <c r="P303" s="2"/>
      <c r="Q303" s="2"/>
      <c r="S303" s="3"/>
      <c r="T303" s="3"/>
      <c r="U303" s="3"/>
      <c r="V303" s="3"/>
      <c r="W303" s="3"/>
      <c r="X303" s="3"/>
      <c r="Y303" s="3"/>
      <c r="Z303" s="3"/>
    </row>
    <row r="304" ht="15.75" customHeight="1">
      <c r="A304" s="3"/>
      <c r="B304" s="2"/>
      <c r="C304" s="667"/>
      <c r="D304" s="2"/>
      <c r="E304" s="464"/>
      <c r="F304" s="2"/>
      <c r="G304" s="2"/>
      <c r="H304" s="2"/>
      <c r="I304" s="2"/>
      <c r="J304" s="2"/>
      <c r="K304" s="2"/>
      <c r="L304" s="2"/>
      <c r="M304" s="2"/>
      <c r="N304" s="2"/>
      <c r="O304" s="2"/>
      <c r="P304" s="2"/>
      <c r="Q304" s="2"/>
      <c r="S304" s="3"/>
      <c r="T304" s="3"/>
      <c r="U304" s="3"/>
      <c r="V304" s="3"/>
      <c r="W304" s="3"/>
      <c r="X304" s="3"/>
      <c r="Y304" s="3"/>
      <c r="Z304" s="3"/>
    </row>
    <row r="305" ht="15.75" customHeight="1">
      <c r="A305" s="3"/>
      <c r="B305" s="2"/>
      <c r="C305" s="667"/>
      <c r="D305" s="2"/>
      <c r="E305" s="464"/>
      <c r="F305" s="2"/>
      <c r="G305" s="2"/>
      <c r="H305" s="2"/>
      <c r="I305" s="2"/>
      <c r="J305" s="2"/>
      <c r="K305" s="2"/>
      <c r="L305" s="2"/>
      <c r="M305" s="2"/>
      <c r="N305" s="2"/>
      <c r="O305" s="2"/>
      <c r="P305" s="2"/>
      <c r="Q305" s="2"/>
      <c r="S305" s="3"/>
      <c r="T305" s="3"/>
      <c r="U305" s="3"/>
      <c r="V305" s="3"/>
      <c r="W305" s="3"/>
      <c r="X305" s="3"/>
      <c r="Y305" s="3"/>
      <c r="Z305" s="3"/>
    </row>
    <row r="306" ht="15.75" customHeight="1">
      <c r="A306" s="3"/>
      <c r="B306" s="2"/>
      <c r="C306" s="667"/>
      <c r="D306" s="2"/>
      <c r="E306" s="464"/>
      <c r="F306" s="2"/>
      <c r="G306" s="2"/>
      <c r="H306" s="2"/>
      <c r="I306" s="2"/>
      <c r="J306" s="2"/>
      <c r="K306" s="2"/>
      <c r="L306" s="2"/>
      <c r="M306" s="2"/>
      <c r="N306" s="2"/>
      <c r="O306" s="2"/>
      <c r="P306" s="2"/>
      <c r="Q306" s="2"/>
      <c r="S306" s="3"/>
      <c r="T306" s="3"/>
      <c r="U306" s="3"/>
      <c r="V306" s="3"/>
      <c r="W306" s="3"/>
      <c r="X306" s="3"/>
      <c r="Y306" s="3"/>
      <c r="Z306" s="3"/>
    </row>
    <row r="307" ht="15.75" customHeight="1">
      <c r="A307" s="3"/>
      <c r="B307" s="2"/>
      <c r="C307" s="667"/>
      <c r="D307" s="2"/>
      <c r="E307" s="464"/>
      <c r="F307" s="2"/>
      <c r="G307" s="2"/>
      <c r="H307" s="2"/>
      <c r="I307" s="2"/>
      <c r="J307" s="2"/>
      <c r="K307" s="2"/>
      <c r="L307" s="2"/>
      <c r="M307" s="2"/>
      <c r="N307" s="2"/>
      <c r="O307" s="2"/>
      <c r="P307" s="2"/>
      <c r="Q307" s="2"/>
      <c r="S307" s="3"/>
      <c r="T307" s="3"/>
      <c r="U307" s="3"/>
      <c r="V307" s="3"/>
      <c r="W307" s="3"/>
      <c r="X307" s="3"/>
      <c r="Y307" s="3"/>
      <c r="Z307" s="3"/>
    </row>
    <row r="308" ht="15.75" customHeight="1">
      <c r="A308" s="3"/>
      <c r="B308" s="2"/>
      <c r="C308" s="667"/>
      <c r="D308" s="2"/>
      <c r="E308" s="464"/>
      <c r="F308" s="2"/>
      <c r="G308" s="2"/>
      <c r="H308" s="2"/>
      <c r="I308" s="2"/>
      <c r="J308" s="2"/>
      <c r="K308" s="2"/>
      <c r="L308" s="2"/>
      <c r="M308" s="2"/>
      <c r="N308" s="2"/>
      <c r="O308" s="2"/>
      <c r="P308" s="2"/>
      <c r="Q308" s="2"/>
      <c r="S308" s="3"/>
      <c r="T308" s="3"/>
      <c r="U308" s="3"/>
      <c r="V308" s="3"/>
      <c r="W308" s="3"/>
      <c r="X308" s="3"/>
      <c r="Y308" s="3"/>
      <c r="Z308" s="3"/>
    </row>
    <row r="309" ht="15.75" customHeight="1">
      <c r="A309" s="3"/>
      <c r="B309" s="2"/>
      <c r="C309" s="667"/>
      <c r="D309" s="2"/>
      <c r="E309" s="464"/>
      <c r="F309" s="2"/>
      <c r="G309" s="2"/>
      <c r="H309" s="2"/>
      <c r="I309" s="2"/>
      <c r="J309" s="2"/>
      <c r="K309" s="2"/>
      <c r="L309" s="2"/>
      <c r="M309" s="2"/>
      <c r="N309" s="2"/>
      <c r="O309" s="2"/>
      <c r="P309" s="2"/>
      <c r="Q309" s="2"/>
      <c r="S309" s="3"/>
      <c r="T309" s="3"/>
      <c r="U309" s="3"/>
      <c r="V309" s="3"/>
      <c r="W309" s="3"/>
      <c r="X309" s="3"/>
      <c r="Y309" s="3"/>
      <c r="Z309" s="3"/>
    </row>
    <row r="310" ht="15.75" customHeight="1">
      <c r="A310" s="3"/>
      <c r="B310" s="2"/>
      <c r="C310" s="667"/>
      <c r="D310" s="2"/>
      <c r="E310" s="464"/>
      <c r="F310" s="2"/>
      <c r="G310" s="2"/>
      <c r="H310" s="2"/>
      <c r="I310" s="2"/>
      <c r="J310" s="2"/>
      <c r="K310" s="2"/>
      <c r="L310" s="2"/>
      <c r="M310" s="2"/>
      <c r="N310" s="2"/>
      <c r="O310" s="2"/>
      <c r="P310" s="2"/>
      <c r="Q310" s="2"/>
      <c r="S310" s="3"/>
      <c r="T310" s="3"/>
      <c r="U310" s="3"/>
      <c r="V310" s="3"/>
      <c r="W310" s="3"/>
      <c r="X310" s="3"/>
      <c r="Y310" s="3"/>
      <c r="Z310" s="3"/>
    </row>
    <row r="311" ht="15.75" customHeight="1">
      <c r="A311" s="3"/>
      <c r="B311" s="2"/>
      <c r="C311" s="667"/>
      <c r="D311" s="2"/>
      <c r="E311" s="464"/>
      <c r="F311" s="2"/>
      <c r="G311" s="2"/>
      <c r="H311" s="2"/>
      <c r="I311" s="2"/>
      <c r="J311" s="2"/>
      <c r="K311" s="2"/>
      <c r="L311" s="2"/>
      <c r="M311" s="2"/>
      <c r="N311" s="2"/>
      <c r="O311" s="2"/>
      <c r="P311" s="2"/>
      <c r="Q311" s="2"/>
      <c r="S311" s="3"/>
      <c r="T311" s="3"/>
      <c r="U311" s="3"/>
      <c r="V311" s="3"/>
      <c r="W311" s="3"/>
      <c r="X311" s="3"/>
      <c r="Y311" s="3"/>
      <c r="Z311" s="3"/>
    </row>
    <row r="312" ht="15.75" customHeight="1">
      <c r="A312" s="3"/>
      <c r="B312" s="2"/>
      <c r="C312" s="667"/>
      <c r="D312" s="2"/>
      <c r="E312" s="464"/>
      <c r="F312" s="2"/>
      <c r="G312" s="2"/>
      <c r="H312" s="2"/>
      <c r="I312" s="2"/>
      <c r="J312" s="2"/>
      <c r="K312" s="2"/>
      <c r="L312" s="2"/>
      <c r="M312" s="2"/>
      <c r="N312" s="2"/>
      <c r="O312" s="2"/>
      <c r="P312" s="2"/>
      <c r="Q312" s="2"/>
      <c r="S312" s="3"/>
      <c r="T312" s="3"/>
      <c r="U312" s="3"/>
      <c r="V312" s="3"/>
      <c r="W312" s="3"/>
      <c r="X312" s="3"/>
      <c r="Y312" s="3"/>
      <c r="Z312" s="3"/>
    </row>
    <row r="313" ht="15.75" customHeight="1">
      <c r="A313" s="3"/>
      <c r="B313" s="2"/>
      <c r="C313" s="667"/>
      <c r="D313" s="2"/>
      <c r="E313" s="464"/>
      <c r="F313" s="2"/>
      <c r="G313" s="2"/>
      <c r="H313" s="2"/>
      <c r="I313" s="2"/>
      <c r="J313" s="2"/>
      <c r="K313" s="2"/>
      <c r="L313" s="2"/>
      <c r="M313" s="2"/>
      <c r="N313" s="2"/>
      <c r="O313" s="2"/>
      <c r="P313" s="2"/>
      <c r="Q313" s="2"/>
      <c r="S313" s="3"/>
      <c r="T313" s="3"/>
      <c r="U313" s="3"/>
      <c r="V313" s="3"/>
      <c r="W313" s="3"/>
      <c r="X313" s="3"/>
      <c r="Y313" s="3"/>
      <c r="Z313" s="3"/>
    </row>
    <row r="314" ht="15.75" customHeight="1">
      <c r="A314" s="3"/>
      <c r="B314" s="2"/>
      <c r="C314" s="667"/>
      <c r="D314" s="2"/>
      <c r="E314" s="464"/>
      <c r="F314" s="2"/>
      <c r="G314" s="2"/>
      <c r="H314" s="2"/>
      <c r="I314" s="2"/>
      <c r="J314" s="2"/>
      <c r="K314" s="2"/>
      <c r="L314" s="2"/>
      <c r="M314" s="2"/>
      <c r="N314" s="2"/>
      <c r="O314" s="2"/>
      <c r="P314" s="2"/>
      <c r="Q314" s="2"/>
      <c r="S314" s="3"/>
      <c r="T314" s="3"/>
      <c r="U314" s="3"/>
      <c r="V314" s="3"/>
      <c r="W314" s="3"/>
      <c r="X314" s="3"/>
      <c r="Y314" s="3"/>
      <c r="Z314" s="3"/>
    </row>
    <row r="315" ht="15.75" customHeight="1">
      <c r="A315" s="3"/>
      <c r="B315" s="2"/>
      <c r="C315" s="667"/>
      <c r="D315" s="2"/>
      <c r="E315" s="464"/>
      <c r="F315" s="2"/>
      <c r="G315" s="2"/>
      <c r="H315" s="2"/>
      <c r="I315" s="2"/>
      <c r="J315" s="2"/>
      <c r="K315" s="2"/>
      <c r="L315" s="2"/>
      <c r="M315" s="2"/>
      <c r="N315" s="2"/>
      <c r="O315" s="2"/>
      <c r="P315" s="2"/>
      <c r="Q315" s="2"/>
      <c r="S315" s="3"/>
      <c r="T315" s="3"/>
      <c r="U315" s="3"/>
      <c r="V315" s="3"/>
      <c r="W315" s="3"/>
      <c r="X315" s="3"/>
      <c r="Y315" s="3"/>
      <c r="Z315" s="3"/>
    </row>
    <row r="316" ht="15.75" customHeight="1">
      <c r="A316" s="3"/>
      <c r="B316" s="2"/>
      <c r="C316" s="667"/>
      <c r="D316" s="2"/>
      <c r="E316" s="464"/>
      <c r="F316" s="2"/>
      <c r="G316" s="2"/>
      <c r="H316" s="2"/>
      <c r="I316" s="2"/>
      <c r="J316" s="2"/>
      <c r="K316" s="2"/>
      <c r="L316" s="2"/>
      <c r="M316" s="2"/>
      <c r="N316" s="2"/>
      <c r="O316" s="2"/>
      <c r="P316" s="2"/>
      <c r="Q316" s="2"/>
      <c r="S316" s="3"/>
      <c r="T316" s="3"/>
      <c r="U316" s="3"/>
      <c r="V316" s="3"/>
      <c r="W316" s="3"/>
      <c r="X316" s="3"/>
      <c r="Y316" s="3"/>
      <c r="Z316" s="3"/>
    </row>
    <row r="317" ht="15.75" customHeight="1">
      <c r="A317" s="3"/>
      <c r="B317" s="2"/>
      <c r="C317" s="667"/>
      <c r="D317" s="2"/>
      <c r="E317" s="464"/>
      <c r="F317" s="2"/>
      <c r="G317" s="2"/>
      <c r="H317" s="2"/>
      <c r="I317" s="2"/>
      <c r="J317" s="2"/>
      <c r="K317" s="2"/>
      <c r="L317" s="2"/>
      <c r="M317" s="2"/>
      <c r="N317" s="2"/>
      <c r="O317" s="2"/>
      <c r="P317" s="2"/>
      <c r="Q317" s="2"/>
      <c r="S317" s="3"/>
      <c r="T317" s="3"/>
      <c r="U317" s="3"/>
      <c r="V317" s="3"/>
      <c r="W317" s="3"/>
      <c r="X317" s="3"/>
      <c r="Y317" s="3"/>
      <c r="Z317" s="3"/>
    </row>
    <row r="318" ht="15.75" customHeight="1">
      <c r="A318" s="3"/>
      <c r="B318" s="2"/>
      <c r="C318" s="667"/>
      <c r="D318" s="2"/>
      <c r="E318" s="464"/>
      <c r="F318" s="2"/>
      <c r="G318" s="2"/>
      <c r="H318" s="2"/>
      <c r="I318" s="2"/>
      <c r="J318" s="2"/>
      <c r="K318" s="2"/>
      <c r="L318" s="2"/>
      <c r="M318" s="2"/>
      <c r="N318" s="2"/>
      <c r="O318" s="2"/>
      <c r="P318" s="2"/>
      <c r="Q318" s="2"/>
      <c r="S318" s="3"/>
      <c r="T318" s="3"/>
      <c r="U318" s="3"/>
      <c r="V318" s="3"/>
      <c r="W318" s="3"/>
      <c r="X318" s="3"/>
      <c r="Y318" s="3"/>
      <c r="Z318" s="3"/>
    </row>
    <row r="319" ht="15.75" customHeight="1">
      <c r="A319" s="3"/>
      <c r="B319" s="2"/>
      <c r="C319" s="667"/>
      <c r="D319" s="2"/>
      <c r="E319" s="464"/>
      <c r="F319" s="2"/>
      <c r="G319" s="2"/>
      <c r="H319" s="2"/>
      <c r="I319" s="2"/>
      <c r="J319" s="2"/>
      <c r="K319" s="2"/>
      <c r="L319" s="2"/>
      <c r="M319" s="2"/>
      <c r="N319" s="2"/>
      <c r="O319" s="2"/>
      <c r="P319" s="2"/>
      <c r="Q319" s="2"/>
      <c r="S319" s="3"/>
      <c r="T319" s="3"/>
      <c r="U319" s="3"/>
      <c r="V319" s="3"/>
      <c r="W319" s="3"/>
      <c r="X319" s="3"/>
      <c r="Y319" s="3"/>
      <c r="Z319" s="3"/>
    </row>
    <row r="320" ht="15.75" customHeight="1">
      <c r="A320" s="3"/>
      <c r="B320" s="2"/>
      <c r="C320" s="667"/>
      <c r="D320" s="2"/>
      <c r="E320" s="464"/>
      <c r="F320" s="2"/>
      <c r="G320" s="2"/>
      <c r="H320" s="2"/>
      <c r="I320" s="2"/>
      <c r="J320" s="2"/>
      <c r="K320" s="2"/>
      <c r="L320" s="2"/>
      <c r="M320" s="2"/>
      <c r="N320" s="2"/>
      <c r="O320" s="2"/>
      <c r="P320" s="2"/>
      <c r="Q320" s="2"/>
      <c r="S320" s="3"/>
      <c r="T320" s="3"/>
      <c r="U320" s="3"/>
      <c r="V320" s="3"/>
      <c r="W320" s="3"/>
      <c r="X320" s="3"/>
      <c r="Y320" s="3"/>
      <c r="Z320" s="3"/>
    </row>
    <row r="321" ht="15.75" customHeight="1">
      <c r="A321" s="3"/>
      <c r="B321" s="2"/>
      <c r="C321" s="667"/>
      <c r="D321" s="2"/>
      <c r="E321" s="464"/>
      <c r="F321" s="2"/>
      <c r="G321" s="2"/>
      <c r="H321" s="2"/>
      <c r="I321" s="2"/>
      <c r="J321" s="2"/>
      <c r="K321" s="2"/>
      <c r="L321" s="2"/>
      <c r="M321" s="2"/>
      <c r="N321" s="2"/>
      <c r="O321" s="2"/>
      <c r="P321" s="2"/>
      <c r="Q321" s="2"/>
      <c r="S321" s="3"/>
      <c r="T321" s="3"/>
      <c r="U321" s="3"/>
      <c r="V321" s="3"/>
      <c r="W321" s="3"/>
      <c r="X321" s="3"/>
      <c r="Y321" s="3"/>
      <c r="Z321" s="3"/>
    </row>
    <row r="322" ht="15.75" customHeight="1">
      <c r="A322" s="3"/>
      <c r="B322" s="2"/>
      <c r="C322" s="667"/>
      <c r="D322" s="2"/>
      <c r="E322" s="464"/>
      <c r="F322" s="2"/>
      <c r="G322" s="2"/>
      <c r="H322" s="2"/>
      <c r="I322" s="2"/>
      <c r="J322" s="2"/>
      <c r="K322" s="2"/>
      <c r="L322" s="2"/>
      <c r="M322" s="2"/>
      <c r="N322" s="2"/>
      <c r="O322" s="2"/>
      <c r="P322" s="2"/>
      <c r="Q322" s="2"/>
      <c r="S322" s="3"/>
      <c r="T322" s="3"/>
      <c r="U322" s="3"/>
      <c r="V322" s="3"/>
      <c r="W322" s="3"/>
      <c r="X322" s="3"/>
      <c r="Y322" s="3"/>
      <c r="Z322" s="3"/>
    </row>
    <row r="323" ht="15.75" customHeight="1">
      <c r="A323" s="3"/>
      <c r="B323" s="2"/>
      <c r="C323" s="667"/>
      <c r="D323" s="2"/>
      <c r="E323" s="464"/>
      <c r="F323" s="2"/>
      <c r="G323" s="2"/>
      <c r="H323" s="2"/>
      <c r="I323" s="2"/>
      <c r="J323" s="2"/>
      <c r="K323" s="2"/>
      <c r="L323" s="2"/>
      <c r="M323" s="2"/>
      <c r="N323" s="2"/>
      <c r="O323" s="2"/>
      <c r="P323" s="2"/>
      <c r="Q323" s="2"/>
      <c r="S323" s="3"/>
      <c r="T323" s="3"/>
      <c r="U323" s="3"/>
      <c r="V323" s="3"/>
      <c r="W323" s="3"/>
      <c r="X323" s="3"/>
      <c r="Y323" s="3"/>
      <c r="Z323" s="3"/>
    </row>
    <row r="324" ht="15.75" customHeight="1">
      <c r="A324" s="3"/>
      <c r="B324" s="2"/>
      <c r="C324" s="667"/>
      <c r="D324" s="2"/>
      <c r="E324" s="464"/>
      <c r="F324" s="2"/>
      <c r="G324" s="2"/>
      <c r="H324" s="2"/>
      <c r="I324" s="2"/>
      <c r="J324" s="2"/>
      <c r="K324" s="2"/>
      <c r="L324" s="2"/>
      <c r="M324" s="2"/>
      <c r="N324" s="2"/>
      <c r="O324" s="2"/>
      <c r="P324" s="2"/>
      <c r="Q324" s="2"/>
      <c r="S324" s="3"/>
      <c r="T324" s="3"/>
      <c r="U324" s="3"/>
      <c r="V324" s="3"/>
      <c r="W324" s="3"/>
      <c r="X324" s="3"/>
      <c r="Y324" s="3"/>
      <c r="Z324" s="3"/>
    </row>
    <row r="325" ht="15.75" customHeight="1">
      <c r="A325" s="3"/>
      <c r="B325" s="2"/>
      <c r="C325" s="667"/>
      <c r="D325" s="2"/>
      <c r="E325" s="464"/>
      <c r="F325" s="2"/>
      <c r="G325" s="2"/>
      <c r="H325" s="2"/>
      <c r="I325" s="2"/>
      <c r="J325" s="2"/>
      <c r="K325" s="2"/>
      <c r="L325" s="2"/>
      <c r="M325" s="2"/>
      <c r="N325" s="2"/>
      <c r="O325" s="2"/>
      <c r="P325" s="2"/>
      <c r="Q325" s="2"/>
      <c r="S325" s="3"/>
      <c r="T325" s="3"/>
      <c r="U325" s="3"/>
      <c r="V325" s="3"/>
      <c r="W325" s="3"/>
      <c r="X325" s="3"/>
      <c r="Y325" s="3"/>
      <c r="Z325" s="3"/>
    </row>
    <row r="326" ht="15.75" customHeight="1">
      <c r="A326" s="3"/>
      <c r="B326" s="2"/>
      <c r="C326" s="667"/>
      <c r="D326" s="2"/>
      <c r="E326" s="464"/>
      <c r="F326" s="2"/>
      <c r="G326" s="2"/>
      <c r="H326" s="2"/>
      <c r="I326" s="2"/>
      <c r="J326" s="2"/>
      <c r="K326" s="2"/>
      <c r="L326" s="2"/>
      <c r="M326" s="2"/>
      <c r="N326" s="2"/>
      <c r="O326" s="2"/>
      <c r="P326" s="2"/>
      <c r="Q326" s="2"/>
      <c r="S326" s="3"/>
      <c r="T326" s="3"/>
      <c r="U326" s="3"/>
      <c r="V326" s="3"/>
      <c r="W326" s="3"/>
      <c r="X326" s="3"/>
      <c r="Y326" s="3"/>
      <c r="Z326" s="3"/>
    </row>
    <row r="327" ht="15.75" customHeight="1">
      <c r="A327" s="3"/>
      <c r="B327" s="2"/>
      <c r="C327" s="667"/>
      <c r="D327" s="2"/>
      <c r="E327" s="464"/>
      <c r="F327" s="2"/>
      <c r="G327" s="2"/>
      <c r="H327" s="2"/>
      <c r="I327" s="2"/>
      <c r="J327" s="2"/>
      <c r="K327" s="2"/>
      <c r="L327" s="2"/>
      <c r="M327" s="2"/>
      <c r="N327" s="2"/>
      <c r="O327" s="2"/>
      <c r="P327" s="2"/>
      <c r="Q327" s="2"/>
      <c r="S327" s="3"/>
      <c r="T327" s="3"/>
      <c r="U327" s="3"/>
      <c r="V327" s="3"/>
      <c r="W327" s="3"/>
      <c r="X327" s="3"/>
      <c r="Y327" s="3"/>
      <c r="Z327" s="3"/>
    </row>
    <row r="328" ht="15.75" customHeight="1">
      <c r="A328" s="3"/>
      <c r="B328" s="2"/>
      <c r="C328" s="667"/>
      <c r="D328" s="2"/>
      <c r="E328" s="464"/>
      <c r="F328" s="2"/>
      <c r="G328" s="2"/>
      <c r="H328" s="2"/>
      <c r="I328" s="2"/>
      <c r="J328" s="2"/>
      <c r="K328" s="2"/>
      <c r="L328" s="2"/>
      <c r="M328" s="2"/>
      <c r="N328" s="2"/>
      <c r="O328" s="2"/>
      <c r="P328" s="2"/>
      <c r="Q328" s="2"/>
      <c r="S328" s="3"/>
      <c r="T328" s="3"/>
      <c r="U328" s="3"/>
      <c r="V328" s="3"/>
      <c r="W328" s="3"/>
      <c r="X328" s="3"/>
      <c r="Y328" s="3"/>
      <c r="Z328" s="3"/>
    </row>
    <row r="329" ht="15.75" customHeight="1">
      <c r="A329" s="3"/>
      <c r="B329" s="2"/>
      <c r="C329" s="667"/>
      <c r="D329" s="2"/>
      <c r="E329" s="464"/>
      <c r="F329" s="2"/>
      <c r="G329" s="2"/>
      <c r="H329" s="2"/>
      <c r="I329" s="2"/>
      <c r="J329" s="2"/>
      <c r="K329" s="2"/>
      <c r="L329" s="2"/>
      <c r="M329" s="2"/>
      <c r="N329" s="2"/>
      <c r="O329" s="2"/>
      <c r="P329" s="2"/>
      <c r="Q329" s="2"/>
      <c r="S329" s="3"/>
      <c r="T329" s="3"/>
      <c r="U329" s="3"/>
      <c r="V329" s="3"/>
      <c r="W329" s="3"/>
      <c r="X329" s="3"/>
      <c r="Y329" s="3"/>
      <c r="Z329" s="3"/>
    </row>
    <row r="330" ht="15.75" customHeight="1">
      <c r="A330" s="3"/>
      <c r="B330" s="2"/>
      <c r="C330" s="667"/>
      <c r="D330" s="2"/>
      <c r="E330" s="464"/>
      <c r="F330" s="2"/>
      <c r="G330" s="2"/>
      <c r="H330" s="2"/>
      <c r="I330" s="2"/>
      <c r="J330" s="2"/>
      <c r="K330" s="2"/>
      <c r="L330" s="2"/>
      <c r="M330" s="2"/>
      <c r="N330" s="2"/>
      <c r="O330" s="2"/>
      <c r="P330" s="2"/>
      <c r="Q330" s="2"/>
      <c r="S330" s="3"/>
      <c r="T330" s="3"/>
      <c r="U330" s="3"/>
      <c r="V330" s="3"/>
      <c r="W330" s="3"/>
      <c r="X330" s="3"/>
      <c r="Y330" s="3"/>
      <c r="Z330" s="3"/>
    </row>
    <row r="331" ht="15.75" customHeight="1">
      <c r="A331" s="3"/>
      <c r="B331" s="2"/>
      <c r="C331" s="667"/>
      <c r="D331" s="2"/>
      <c r="E331" s="464"/>
      <c r="F331" s="2"/>
      <c r="G331" s="2"/>
      <c r="H331" s="2"/>
      <c r="I331" s="2"/>
      <c r="J331" s="2"/>
      <c r="K331" s="2"/>
      <c r="L331" s="2"/>
      <c r="M331" s="2"/>
      <c r="N331" s="2"/>
      <c r="O331" s="2"/>
      <c r="P331" s="2"/>
      <c r="Q331" s="2"/>
      <c r="S331" s="3"/>
      <c r="T331" s="3"/>
      <c r="U331" s="3"/>
      <c r="V331" s="3"/>
      <c r="W331" s="3"/>
      <c r="X331" s="3"/>
      <c r="Y331" s="3"/>
      <c r="Z331" s="3"/>
    </row>
    <row r="332" ht="15.75" customHeight="1">
      <c r="A332" s="3"/>
      <c r="B332" s="2"/>
      <c r="C332" s="667"/>
      <c r="D332" s="2"/>
      <c r="E332" s="464"/>
      <c r="F332" s="2"/>
      <c r="G332" s="2"/>
      <c r="H332" s="2"/>
      <c r="I332" s="2"/>
      <c r="J332" s="2"/>
      <c r="K332" s="2"/>
      <c r="L332" s="2"/>
      <c r="M332" s="2"/>
      <c r="N332" s="2"/>
      <c r="O332" s="2"/>
      <c r="P332" s="2"/>
      <c r="Q332" s="2"/>
      <c r="S332" s="3"/>
      <c r="T332" s="3"/>
      <c r="U332" s="3"/>
      <c r="V332" s="3"/>
      <c r="W332" s="3"/>
      <c r="X332" s="3"/>
      <c r="Y332" s="3"/>
      <c r="Z332" s="3"/>
    </row>
    <row r="333" ht="15.75" customHeight="1">
      <c r="A333" s="3"/>
      <c r="B333" s="2"/>
      <c r="C333" s="667"/>
      <c r="D333" s="2"/>
      <c r="E333" s="464"/>
      <c r="F333" s="2"/>
      <c r="G333" s="2"/>
      <c r="H333" s="2"/>
      <c r="I333" s="2"/>
      <c r="J333" s="2"/>
      <c r="K333" s="2"/>
      <c r="L333" s="2"/>
      <c r="M333" s="2"/>
      <c r="N333" s="2"/>
      <c r="O333" s="2"/>
      <c r="P333" s="2"/>
      <c r="Q333" s="2"/>
      <c r="S333" s="3"/>
      <c r="T333" s="3"/>
      <c r="U333" s="3"/>
      <c r="V333" s="3"/>
      <c r="W333" s="3"/>
      <c r="X333" s="3"/>
      <c r="Y333" s="3"/>
      <c r="Z333" s="3"/>
    </row>
    <row r="334" ht="15.75" customHeight="1">
      <c r="A334" s="3"/>
      <c r="B334" s="2"/>
      <c r="C334" s="667"/>
      <c r="D334" s="2"/>
      <c r="E334" s="464"/>
      <c r="F334" s="2"/>
      <c r="G334" s="2"/>
      <c r="H334" s="2"/>
      <c r="I334" s="2"/>
      <c r="J334" s="2"/>
      <c r="K334" s="2"/>
      <c r="L334" s="2"/>
      <c r="M334" s="2"/>
      <c r="N334" s="2"/>
      <c r="O334" s="2"/>
      <c r="P334" s="2"/>
      <c r="Q334" s="2"/>
      <c r="S334" s="3"/>
      <c r="T334" s="3"/>
      <c r="U334" s="3"/>
      <c r="V334" s="3"/>
      <c r="W334" s="3"/>
      <c r="X334" s="3"/>
      <c r="Y334" s="3"/>
      <c r="Z334" s="3"/>
    </row>
    <row r="335" ht="15.75" customHeight="1">
      <c r="A335" s="3"/>
      <c r="B335" s="2"/>
      <c r="C335" s="667"/>
      <c r="D335" s="2"/>
      <c r="E335" s="464"/>
      <c r="F335" s="2"/>
      <c r="G335" s="2"/>
      <c r="H335" s="2"/>
      <c r="I335" s="2"/>
      <c r="J335" s="2"/>
      <c r="K335" s="2"/>
      <c r="L335" s="2"/>
      <c r="M335" s="2"/>
      <c r="N335" s="2"/>
      <c r="O335" s="2"/>
      <c r="P335" s="2"/>
      <c r="Q335" s="2"/>
      <c r="S335" s="3"/>
      <c r="T335" s="3"/>
      <c r="U335" s="3"/>
      <c r="V335" s="3"/>
      <c r="W335" s="3"/>
      <c r="X335" s="3"/>
      <c r="Y335" s="3"/>
      <c r="Z335" s="3"/>
    </row>
    <row r="336" ht="15.75" customHeight="1">
      <c r="A336" s="3"/>
      <c r="B336" s="2"/>
      <c r="C336" s="667"/>
      <c r="D336" s="2"/>
      <c r="E336" s="464"/>
      <c r="F336" s="2"/>
      <c r="G336" s="2"/>
      <c r="H336" s="2"/>
      <c r="I336" s="2"/>
      <c r="J336" s="2"/>
      <c r="K336" s="2"/>
      <c r="L336" s="2"/>
      <c r="M336" s="2"/>
      <c r="N336" s="2"/>
      <c r="O336" s="2"/>
      <c r="P336" s="2"/>
      <c r="Q336" s="2"/>
      <c r="S336" s="3"/>
      <c r="T336" s="3"/>
      <c r="U336" s="3"/>
      <c r="V336" s="3"/>
      <c r="W336" s="3"/>
      <c r="X336" s="3"/>
      <c r="Y336" s="3"/>
      <c r="Z336" s="3"/>
    </row>
    <row r="337" ht="15.75" customHeight="1">
      <c r="A337" s="3"/>
      <c r="B337" s="2"/>
      <c r="C337" s="667"/>
      <c r="D337" s="2"/>
      <c r="E337" s="464"/>
      <c r="F337" s="2"/>
      <c r="G337" s="2"/>
      <c r="H337" s="2"/>
      <c r="I337" s="2"/>
      <c r="J337" s="2"/>
      <c r="K337" s="2"/>
      <c r="L337" s="2"/>
      <c r="M337" s="2"/>
      <c r="N337" s="2"/>
      <c r="O337" s="2"/>
      <c r="P337" s="2"/>
      <c r="Q337" s="2"/>
      <c r="S337" s="3"/>
      <c r="T337" s="3"/>
      <c r="U337" s="3"/>
      <c r="V337" s="3"/>
      <c r="W337" s="3"/>
      <c r="X337" s="3"/>
      <c r="Y337" s="3"/>
      <c r="Z337" s="3"/>
    </row>
    <row r="338" ht="15.75" customHeight="1">
      <c r="A338" s="3"/>
      <c r="B338" s="2"/>
      <c r="C338" s="667"/>
      <c r="D338" s="2"/>
      <c r="E338" s="464"/>
      <c r="F338" s="2"/>
      <c r="G338" s="2"/>
      <c r="H338" s="2"/>
      <c r="I338" s="2"/>
      <c r="J338" s="2"/>
      <c r="K338" s="2"/>
      <c r="L338" s="2"/>
      <c r="M338" s="2"/>
      <c r="N338" s="2"/>
      <c r="O338" s="2"/>
      <c r="P338" s="2"/>
      <c r="Q338" s="2"/>
      <c r="S338" s="3"/>
      <c r="T338" s="3"/>
      <c r="U338" s="3"/>
      <c r="V338" s="3"/>
      <c r="W338" s="3"/>
      <c r="X338" s="3"/>
      <c r="Y338" s="3"/>
      <c r="Z338" s="3"/>
    </row>
    <row r="339" ht="15.75" customHeight="1">
      <c r="A339" s="3"/>
      <c r="B339" s="2"/>
      <c r="C339" s="667"/>
      <c r="D339" s="2"/>
      <c r="E339" s="464"/>
      <c r="F339" s="2"/>
      <c r="G339" s="2"/>
      <c r="H339" s="2"/>
      <c r="I339" s="2"/>
      <c r="J339" s="2"/>
      <c r="K339" s="2"/>
      <c r="L339" s="2"/>
      <c r="M339" s="2"/>
      <c r="N339" s="2"/>
      <c r="O339" s="2"/>
      <c r="P339" s="2"/>
      <c r="Q339" s="2"/>
      <c r="S339" s="3"/>
      <c r="T339" s="3"/>
      <c r="U339" s="3"/>
      <c r="V339" s="3"/>
      <c r="W339" s="3"/>
      <c r="X339" s="3"/>
      <c r="Y339" s="3"/>
      <c r="Z339" s="3"/>
    </row>
    <row r="340" ht="15.75" customHeight="1">
      <c r="A340" s="3"/>
      <c r="B340" s="2"/>
      <c r="C340" s="667"/>
      <c r="D340" s="2"/>
      <c r="E340" s="464"/>
      <c r="F340" s="2"/>
      <c r="G340" s="2"/>
      <c r="H340" s="2"/>
      <c r="I340" s="2"/>
      <c r="J340" s="2"/>
      <c r="K340" s="2"/>
      <c r="L340" s="2"/>
      <c r="M340" s="2"/>
      <c r="N340" s="2"/>
      <c r="O340" s="2"/>
      <c r="P340" s="2"/>
      <c r="Q340" s="2"/>
      <c r="S340" s="3"/>
      <c r="T340" s="3"/>
      <c r="U340" s="3"/>
      <c r="V340" s="3"/>
      <c r="W340" s="3"/>
      <c r="X340" s="3"/>
      <c r="Y340" s="3"/>
      <c r="Z340" s="3"/>
    </row>
    <row r="341" ht="15.75" customHeight="1">
      <c r="A341" s="3"/>
      <c r="B341" s="2"/>
      <c r="C341" s="667"/>
      <c r="D341" s="2"/>
      <c r="E341" s="464"/>
      <c r="F341" s="2"/>
      <c r="G341" s="2"/>
      <c r="H341" s="2"/>
      <c r="I341" s="2"/>
      <c r="J341" s="2"/>
      <c r="K341" s="2"/>
      <c r="L341" s="2"/>
      <c r="M341" s="2"/>
      <c r="N341" s="2"/>
      <c r="O341" s="2"/>
      <c r="P341" s="2"/>
      <c r="Q341" s="2"/>
      <c r="S341" s="3"/>
      <c r="T341" s="3"/>
      <c r="U341" s="3"/>
      <c r="V341" s="3"/>
      <c r="W341" s="3"/>
      <c r="X341" s="3"/>
      <c r="Y341" s="3"/>
      <c r="Z341" s="3"/>
    </row>
    <row r="342" ht="15.75" customHeight="1">
      <c r="A342" s="3"/>
      <c r="B342" s="2"/>
      <c r="C342" s="667"/>
      <c r="D342" s="2"/>
      <c r="E342" s="464"/>
      <c r="F342" s="2"/>
      <c r="G342" s="2"/>
      <c r="H342" s="2"/>
      <c r="I342" s="2"/>
      <c r="J342" s="2"/>
      <c r="K342" s="2"/>
      <c r="L342" s="2"/>
      <c r="M342" s="2"/>
      <c r="N342" s="2"/>
      <c r="O342" s="2"/>
      <c r="P342" s="2"/>
      <c r="Q342" s="2"/>
      <c r="S342" s="3"/>
      <c r="T342" s="3"/>
      <c r="U342" s="3"/>
      <c r="V342" s="3"/>
      <c r="W342" s="3"/>
      <c r="X342" s="3"/>
      <c r="Y342" s="3"/>
      <c r="Z342" s="3"/>
    </row>
    <row r="343" ht="15.75" customHeight="1">
      <c r="A343" s="3"/>
      <c r="B343" s="2"/>
      <c r="C343" s="667"/>
      <c r="D343" s="2"/>
      <c r="E343" s="464"/>
      <c r="F343" s="2"/>
      <c r="G343" s="2"/>
      <c r="H343" s="2"/>
      <c r="I343" s="2"/>
      <c r="J343" s="2"/>
      <c r="K343" s="2"/>
      <c r="L343" s="2"/>
      <c r="M343" s="2"/>
      <c r="N343" s="2"/>
      <c r="O343" s="2"/>
      <c r="P343" s="2"/>
      <c r="Q343" s="2"/>
      <c r="S343" s="3"/>
      <c r="T343" s="3"/>
      <c r="U343" s="3"/>
      <c r="V343" s="3"/>
      <c r="W343" s="3"/>
      <c r="X343" s="3"/>
      <c r="Y343" s="3"/>
      <c r="Z343" s="3"/>
    </row>
    <row r="344" ht="15.75" customHeight="1">
      <c r="A344" s="3"/>
      <c r="B344" s="2"/>
      <c r="C344" s="667"/>
      <c r="D344" s="2"/>
      <c r="E344" s="464"/>
      <c r="F344" s="2"/>
      <c r="G344" s="2"/>
      <c r="H344" s="2"/>
      <c r="I344" s="2"/>
      <c r="J344" s="2"/>
      <c r="K344" s="2"/>
      <c r="L344" s="2"/>
      <c r="M344" s="2"/>
      <c r="N344" s="2"/>
      <c r="O344" s="2"/>
      <c r="P344" s="2"/>
      <c r="Q344" s="2"/>
      <c r="S344" s="3"/>
      <c r="T344" s="3"/>
      <c r="U344" s="3"/>
      <c r="V344" s="3"/>
      <c r="W344" s="3"/>
      <c r="X344" s="3"/>
      <c r="Y344" s="3"/>
      <c r="Z344" s="3"/>
    </row>
    <row r="345" ht="15.75" customHeight="1">
      <c r="A345" s="3"/>
      <c r="B345" s="2"/>
      <c r="C345" s="667"/>
      <c r="D345" s="2"/>
      <c r="E345" s="464"/>
      <c r="F345" s="2"/>
      <c r="G345" s="2"/>
      <c r="H345" s="2"/>
      <c r="I345" s="2"/>
      <c r="J345" s="2"/>
      <c r="K345" s="2"/>
      <c r="L345" s="2"/>
      <c r="M345" s="2"/>
      <c r="N345" s="2"/>
      <c r="O345" s="2"/>
      <c r="P345" s="2"/>
      <c r="Q345" s="2"/>
      <c r="S345" s="3"/>
      <c r="T345" s="3"/>
      <c r="U345" s="3"/>
      <c r="V345" s="3"/>
      <c r="W345" s="3"/>
      <c r="X345" s="3"/>
      <c r="Y345" s="3"/>
      <c r="Z345" s="3"/>
    </row>
    <row r="346" ht="15.75" customHeight="1">
      <c r="A346" s="3"/>
      <c r="B346" s="2"/>
      <c r="C346" s="667"/>
      <c r="D346" s="2"/>
      <c r="E346" s="464"/>
      <c r="F346" s="2"/>
      <c r="G346" s="2"/>
      <c r="H346" s="2"/>
      <c r="I346" s="2"/>
      <c r="J346" s="2"/>
      <c r="K346" s="2"/>
      <c r="L346" s="2"/>
      <c r="M346" s="2"/>
      <c r="N346" s="2"/>
      <c r="O346" s="2"/>
      <c r="P346" s="2"/>
      <c r="Q346" s="2"/>
      <c r="S346" s="3"/>
      <c r="T346" s="3"/>
      <c r="U346" s="3"/>
      <c r="V346" s="3"/>
      <c r="W346" s="3"/>
      <c r="X346" s="3"/>
      <c r="Y346" s="3"/>
      <c r="Z346" s="3"/>
    </row>
    <row r="347" ht="15.75" customHeight="1">
      <c r="A347" s="3"/>
      <c r="B347" s="2"/>
      <c r="C347" s="667"/>
      <c r="D347" s="2"/>
      <c r="E347" s="464"/>
      <c r="F347" s="2"/>
      <c r="G347" s="2"/>
      <c r="H347" s="2"/>
      <c r="I347" s="2"/>
      <c r="J347" s="2"/>
      <c r="K347" s="2"/>
      <c r="L347" s="2"/>
      <c r="M347" s="2"/>
      <c r="N347" s="2"/>
      <c r="O347" s="2"/>
      <c r="P347" s="2"/>
      <c r="Q347" s="2"/>
      <c r="S347" s="3"/>
      <c r="T347" s="3"/>
      <c r="U347" s="3"/>
      <c r="V347" s="3"/>
      <c r="W347" s="3"/>
      <c r="X347" s="3"/>
      <c r="Y347" s="3"/>
      <c r="Z347" s="3"/>
    </row>
    <row r="348" ht="15.75" customHeight="1">
      <c r="A348" s="3"/>
      <c r="B348" s="2"/>
      <c r="C348" s="667"/>
      <c r="D348" s="2"/>
      <c r="E348" s="464"/>
      <c r="F348" s="2"/>
      <c r="G348" s="2"/>
      <c r="H348" s="2"/>
      <c r="I348" s="2"/>
      <c r="J348" s="2"/>
      <c r="K348" s="2"/>
      <c r="L348" s="2"/>
      <c r="M348" s="2"/>
      <c r="N348" s="2"/>
      <c r="O348" s="2"/>
      <c r="P348" s="2"/>
      <c r="Q348" s="2"/>
      <c r="S348" s="3"/>
      <c r="T348" s="3"/>
      <c r="U348" s="3"/>
      <c r="V348" s="3"/>
      <c r="W348" s="3"/>
      <c r="X348" s="3"/>
      <c r="Y348" s="3"/>
      <c r="Z348" s="3"/>
    </row>
    <row r="349" ht="15.75" customHeight="1">
      <c r="A349" s="3"/>
      <c r="B349" s="2"/>
      <c r="C349" s="667"/>
      <c r="D349" s="2"/>
      <c r="E349" s="464"/>
      <c r="F349" s="2"/>
      <c r="G349" s="2"/>
      <c r="H349" s="2"/>
      <c r="I349" s="2"/>
      <c r="J349" s="2"/>
      <c r="K349" s="2"/>
      <c r="L349" s="2"/>
      <c r="M349" s="2"/>
      <c r="N349" s="2"/>
      <c r="O349" s="2"/>
      <c r="P349" s="2"/>
      <c r="Q349" s="2"/>
      <c r="S349" s="3"/>
      <c r="T349" s="3"/>
      <c r="U349" s="3"/>
      <c r="V349" s="3"/>
      <c r="W349" s="3"/>
      <c r="X349" s="3"/>
      <c r="Y349" s="3"/>
      <c r="Z349" s="3"/>
    </row>
    <row r="350" ht="15.75" customHeight="1">
      <c r="A350" s="3"/>
      <c r="B350" s="2"/>
      <c r="C350" s="667"/>
      <c r="D350" s="2"/>
      <c r="E350" s="464"/>
      <c r="F350" s="2"/>
      <c r="G350" s="2"/>
      <c r="H350" s="2"/>
      <c r="I350" s="2"/>
      <c r="J350" s="2"/>
      <c r="K350" s="2"/>
      <c r="L350" s="2"/>
      <c r="M350" s="2"/>
      <c r="N350" s="2"/>
      <c r="O350" s="2"/>
      <c r="P350" s="2"/>
      <c r="Q350" s="2"/>
      <c r="S350" s="3"/>
      <c r="T350" s="3"/>
      <c r="U350" s="3"/>
      <c r="V350" s="3"/>
      <c r="W350" s="3"/>
      <c r="X350" s="3"/>
      <c r="Y350" s="3"/>
      <c r="Z350" s="3"/>
    </row>
    <row r="351" ht="15.75" customHeight="1">
      <c r="A351" s="3"/>
      <c r="B351" s="2"/>
      <c r="C351" s="667"/>
      <c r="D351" s="2"/>
      <c r="E351" s="464"/>
      <c r="F351" s="2"/>
      <c r="G351" s="2"/>
      <c r="H351" s="2"/>
      <c r="I351" s="2"/>
      <c r="J351" s="2"/>
      <c r="K351" s="2"/>
      <c r="L351" s="2"/>
      <c r="M351" s="2"/>
      <c r="N351" s="2"/>
      <c r="O351" s="2"/>
      <c r="P351" s="2"/>
      <c r="Q351" s="2"/>
      <c r="S351" s="3"/>
      <c r="T351" s="3"/>
      <c r="U351" s="3"/>
      <c r="V351" s="3"/>
      <c r="W351" s="3"/>
      <c r="X351" s="3"/>
      <c r="Y351" s="3"/>
      <c r="Z351" s="3"/>
    </row>
    <row r="352" ht="15.75" customHeight="1">
      <c r="A352" s="3"/>
      <c r="B352" s="2"/>
      <c r="C352" s="667"/>
      <c r="D352" s="2"/>
      <c r="E352" s="464"/>
      <c r="F352" s="2"/>
      <c r="G352" s="2"/>
      <c r="H352" s="2"/>
      <c r="I352" s="2"/>
      <c r="J352" s="2"/>
      <c r="K352" s="2"/>
      <c r="L352" s="2"/>
      <c r="M352" s="2"/>
      <c r="N352" s="2"/>
      <c r="O352" s="2"/>
      <c r="P352" s="2"/>
      <c r="Q352" s="2"/>
      <c r="S352" s="3"/>
      <c r="T352" s="3"/>
      <c r="U352" s="3"/>
      <c r="V352" s="3"/>
      <c r="W352" s="3"/>
      <c r="X352" s="3"/>
      <c r="Y352" s="3"/>
      <c r="Z352" s="3"/>
    </row>
    <row r="353" ht="15.75" customHeight="1">
      <c r="A353" s="3"/>
      <c r="B353" s="2"/>
      <c r="C353" s="667"/>
      <c r="D353" s="2"/>
      <c r="E353" s="464"/>
      <c r="F353" s="2"/>
      <c r="G353" s="2"/>
      <c r="H353" s="2"/>
      <c r="I353" s="2"/>
      <c r="J353" s="2"/>
      <c r="K353" s="2"/>
      <c r="L353" s="2"/>
      <c r="M353" s="2"/>
      <c r="N353" s="2"/>
      <c r="O353" s="2"/>
      <c r="P353" s="2"/>
      <c r="Q353" s="2"/>
      <c r="S353" s="3"/>
      <c r="T353" s="3"/>
      <c r="U353" s="3"/>
      <c r="V353" s="3"/>
      <c r="W353" s="3"/>
      <c r="X353" s="3"/>
      <c r="Y353" s="3"/>
      <c r="Z353" s="3"/>
    </row>
    <row r="354" ht="15.75" customHeight="1">
      <c r="A354" s="3"/>
      <c r="B354" s="2"/>
      <c r="C354" s="667"/>
      <c r="D354" s="2"/>
      <c r="E354" s="464"/>
      <c r="F354" s="2"/>
      <c r="G354" s="2"/>
      <c r="H354" s="2"/>
      <c r="I354" s="2"/>
      <c r="J354" s="2"/>
      <c r="K354" s="2"/>
      <c r="L354" s="2"/>
      <c r="M354" s="2"/>
      <c r="N354" s="2"/>
      <c r="O354" s="2"/>
      <c r="P354" s="2"/>
      <c r="Q354" s="2"/>
      <c r="S354" s="3"/>
      <c r="T354" s="3"/>
      <c r="U354" s="3"/>
      <c r="V354" s="3"/>
      <c r="W354" s="3"/>
      <c r="X354" s="3"/>
      <c r="Y354" s="3"/>
      <c r="Z354" s="3"/>
    </row>
    <row r="355" ht="15.75" customHeight="1">
      <c r="A355" s="3"/>
      <c r="B355" s="2"/>
      <c r="C355" s="667"/>
      <c r="D355" s="2"/>
      <c r="E355" s="464"/>
      <c r="F355" s="2"/>
      <c r="G355" s="2"/>
      <c r="H355" s="2"/>
      <c r="I355" s="2"/>
      <c r="J355" s="2"/>
      <c r="K355" s="2"/>
      <c r="L355" s="2"/>
      <c r="M355" s="2"/>
      <c r="N355" s="2"/>
      <c r="O355" s="2"/>
      <c r="P355" s="2"/>
      <c r="Q355" s="2"/>
      <c r="S355" s="3"/>
      <c r="T355" s="3"/>
      <c r="U355" s="3"/>
      <c r="V355" s="3"/>
      <c r="W355" s="3"/>
      <c r="X355" s="3"/>
      <c r="Y355" s="3"/>
      <c r="Z355" s="3"/>
    </row>
    <row r="356" ht="15.75" customHeight="1">
      <c r="A356" s="3"/>
      <c r="B356" s="2"/>
      <c r="C356" s="667"/>
      <c r="D356" s="2"/>
      <c r="E356" s="464"/>
      <c r="F356" s="2"/>
      <c r="G356" s="2"/>
      <c r="H356" s="2"/>
      <c r="I356" s="2"/>
      <c r="J356" s="2"/>
      <c r="K356" s="2"/>
      <c r="L356" s="2"/>
      <c r="M356" s="2"/>
      <c r="N356" s="2"/>
      <c r="O356" s="2"/>
      <c r="P356" s="2"/>
      <c r="Q356" s="2"/>
      <c r="S356" s="3"/>
      <c r="T356" s="3"/>
      <c r="U356" s="3"/>
      <c r="V356" s="3"/>
      <c r="W356" s="3"/>
      <c r="X356" s="3"/>
      <c r="Y356" s="3"/>
      <c r="Z356" s="3"/>
    </row>
    <row r="357" ht="15.75" customHeight="1">
      <c r="A357" s="3"/>
      <c r="B357" s="2"/>
      <c r="C357" s="667"/>
      <c r="D357" s="2"/>
      <c r="E357" s="464"/>
      <c r="F357" s="2"/>
      <c r="G357" s="2"/>
      <c r="H357" s="2"/>
      <c r="I357" s="2"/>
      <c r="J357" s="2"/>
      <c r="K357" s="2"/>
      <c r="L357" s="2"/>
      <c r="M357" s="2"/>
      <c r="N357" s="2"/>
      <c r="O357" s="2"/>
      <c r="P357" s="2"/>
      <c r="Q357" s="2"/>
      <c r="S357" s="3"/>
      <c r="T357" s="3"/>
      <c r="U357" s="3"/>
      <c r="V357" s="3"/>
      <c r="W357" s="3"/>
      <c r="X357" s="3"/>
      <c r="Y357" s="3"/>
      <c r="Z357" s="3"/>
    </row>
    <row r="358" ht="15.75" customHeight="1">
      <c r="A358" s="3"/>
      <c r="B358" s="2"/>
      <c r="C358" s="667"/>
      <c r="D358" s="2"/>
      <c r="E358" s="464"/>
      <c r="F358" s="2"/>
      <c r="G358" s="2"/>
      <c r="H358" s="2"/>
      <c r="I358" s="2"/>
      <c r="J358" s="2"/>
      <c r="K358" s="2"/>
      <c r="L358" s="2"/>
      <c r="M358" s="2"/>
      <c r="N358" s="2"/>
      <c r="O358" s="2"/>
      <c r="P358" s="2"/>
      <c r="Q358" s="2"/>
      <c r="S358" s="3"/>
      <c r="T358" s="3"/>
      <c r="U358" s="3"/>
      <c r="V358" s="3"/>
      <c r="W358" s="3"/>
      <c r="X358" s="3"/>
      <c r="Y358" s="3"/>
      <c r="Z358" s="3"/>
    </row>
    <row r="359" ht="15.75" customHeight="1">
      <c r="A359" s="3"/>
      <c r="B359" s="2"/>
      <c r="C359" s="667"/>
      <c r="D359" s="2"/>
      <c r="E359" s="464"/>
      <c r="F359" s="2"/>
      <c r="G359" s="2"/>
      <c r="H359" s="2"/>
      <c r="I359" s="2"/>
      <c r="J359" s="2"/>
      <c r="K359" s="2"/>
      <c r="L359" s="2"/>
      <c r="M359" s="2"/>
      <c r="N359" s="2"/>
      <c r="O359" s="2"/>
      <c r="P359" s="2"/>
      <c r="Q359" s="2"/>
      <c r="S359" s="3"/>
      <c r="T359" s="3"/>
      <c r="U359" s="3"/>
      <c r="V359" s="3"/>
      <c r="W359" s="3"/>
      <c r="X359" s="3"/>
      <c r="Y359" s="3"/>
      <c r="Z359" s="3"/>
    </row>
    <row r="360" ht="15.75" customHeight="1">
      <c r="A360" s="3"/>
      <c r="B360" s="2"/>
      <c r="C360" s="667"/>
      <c r="D360" s="2"/>
      <c r="E360" s="464"/>
      <c r="F360" s="2"/>
      <c r="G360" s="2"/>
      <c r="H360" s="2"/>
      <c r="I360" s="2"/>
      <c r="J360" s="2"/>
      <c r="K360" s="2"/>
      <c r="L360" s="2"/>
      <c r="M360" s="2"/>
      <c r="N360" s="2"/>
      <c r="O360" s="2"/>
      <c r="P360" s="2"/>
      <c r="Q360" s="2"/>
      <c r="S360" s="3"/>
      <c r="T360" s="3"/>
      <c r="U360" s="3"/>
      <c r="V360" s="3"/>
      <c r="W360" s="3"/>
      <c r="X360" s="3"/>
      <c r="Y360" s="3"/>
      <c r="Z360" s="3"/>
    </row>
    <row r="361" ht="15.75" customHeight="1">
      <c r="A361" s="3"/>
      <c r="B361" s="2"/>
      <c r="C361" s="667"/>
      <c r="D361" s="2"/>
      <c r="E361" s="464"/>
      <c r="F361" s="2"/>
      <c r="G361" s="2"/>
      <c r="H361" s="2"/>
      <c r="I361" s="2"/>
      <c r="J361" s="2"/>
      <c r="K361" s="2"/>
      <c r="L361" s="2"/>
      <c r="M361" s="2"/>
      <c r="N361" s="2"/>
      <c r="O361" s="2"/>
      <c r="P361" s="2"/>
      <c r="Q361" s="2"/>
      <c r="S361" s="3"/>
      <c r="T361" s="3"/>
      <c r="U361" s="3"/>
      <c r="V361" s="3"/>
      <c r="W361" s="3"/>
      <c r="X361" s="3"/>
      <c r="Y361" s="3"/>
      <c r="Z361" s="3"/>
    </row>
    <row r="362" ht="15.75" customHeight="1">
      <c r="A362" s="3"/>
      <c r="B362" s="2"/>
      <c r="C362" s="667"/>
      <c r="D362" s="2"/>
      <c r="E362" s="464"/>
      <c r="F362" s="2"/>
      <c r="G362" s="2"/>
      <c r="H362" s="2"/>
      <c r="I362" s="2"/>
      <c r="J362" s="2"/>
      <c r="K362" s="2"/>
      <c r="L362" s="2"/>
      <c r="M362" s="2"/>
      <c r="N362" s="2"/>
      <c r="O362" s="2"/>
      <c r="P362" s="2"/>
      <c r="Q362" s="2"/>
      <c r="S362" s="3"/>
      <c r="T362" s="3"/>
      <c r="U362" s="3"/>
      <c r="V362" s="3"/>
      <c r="W362" s="3"/>
      <c r="X362" s="3"/>
      <c r="Y362" s="3"/>
      <c r="Z362" s="3"/>
    </row>
    <row r="363" ht="15.75" customHeight="1">
      <c r="A363" s="3"/>
      <c r="B363" s="2"/>
      <c r="C363" s="667"/>
      <c r="D363" s="2"/>
      <c r="E363" s="464"/>
      <c r="F363" s="2"/>
      <c r="G363" s="2"/>
      <c r="H363" s="2"/>
      <c r="I363" s="2"/>
      <c r="J363" s="2"/>
      <c r="K363" s="2"/>
      <c r="L363" s="2"/>
      <c r="M363" s="2"/>
      <c r="N363" s="2"/>
      <c r="O363" s="2"/>
      <c r="P363" s="2"/>
      <c r="Q363" s="2"/>
      <c r="S363" s="3"/>
      <c r="T363" s="3"/>
      <c r="U363" s="3"/>
      <c r="V363" s="3"/>
      <c r="W363" s="3"/>
      <c r="X363" s="3"/>
      <c r="Y363" s="3"/>
      <c r="Z363" s="3"/>
    </row>
    <row r="364" ht="15.75" customHeight="1">
      <c r="A364" s="3"/>
      <c r="B364" s="2"/>
      <c r="C364" s="667"/>
      <c r="D364" s="2"/>
      <c r="E364" s="464"/>
      <c r="F364" s="2"/>
      <c r="G364" s="2"/>
      <c r="H364" s="2"/>
      <c r="I364" s="2"/>
      <c r="J364" s="2"/>
      <c r="K364" s="2"/>
      <c r="L364" s="2"/>
      <c r="M364" s="2"/>
      <c r="N364" s="2"/>
      <c r="O364" s="2"/>
      <c r="P364" s="2"/>
      <c r="Q364" s="2"/>
      <c r="S364" s="3"/>
      <c r="T364" s="3"/>
      <c r="U364" s="3"/>
      <c r="V364" s="3"/>
      <c r="W364" s="3"/>
      <c r="X364" s="3"/>
      <c r="Y364" s="3"/>
      <c r="Z364" s="3"/>
    </row>
    <row r="365" ht="15.75" customHeight="1">
      <c r="A365" s="3"/>
      <c r="B365" s="2"/>
      <c r="C365" s="667"/>
      <c r="D365" s="2"/>
      <c r="E365" s="464"/>
      <c r="F365" s="2"/>
      <c r="G365" s="2"/>
      <c r="H365" s="2"/>
      <c r="I365" s="2"/>
      <c r="J365" s="2"/>
      <c r="K365" s="2"/>
      <c r="L365" s="2"/>
      <c r="M365" s="2"/>
      <c r="N365" s="2"/>
      <c r="O365" s="2"/>
      <c r="P365" s="2"/>
      <c r="Q365" s="2"/>
      <c r="S365" s="3"/>
      <c r="T365" s="3"/>
      <c r="U365" s="3"/>
      <c r="V365" s="3"/>
      <c r="W365" s="3"/>
      <c r="X365" s="3"/>
      <c r="Y365" s="3"/>
      <c r="Z365" s="3"/>
    </row>
    <row r="366" ht="15.75" customHeight="1">
      <c r="A366" s="3"/>
      <c r="B366" s="2"/>
      <c r="C366" s="667"/>
      <c r="D366" s="2"/>
      <c r="E366" s="464"/>
      <c r="F366" s="2"/>
      <c r="G366" s="2"/>
      <c r="H366" s="2"/>
      <c r="I366" s="2"/>
      <c r="J366" s="2"/>
      <c r="K366" s="2"/>
      <c r="L366" s="2"/>
      <c r="M366" s="2"/>
      <c r="N366" s="2"/>
      <c r="O366" s="2"/>
      <c r="P366" s="2"/>
      <c r="Q366" s="2"/>
      <c r="S366" s="3"/>
      <c r="T366" s="3"/>
      <c r="U366" s="3"/>
      <c r="V366" s="3"/>
      <c r="W366" s="3"/>
      <c r="X366" s="3"/>
      <c r="Y366" s="3"/>
      <c r="Z366" s="3"/>
    </row>
    <row r="367" ht="15.75" customHeight="1">
      <c r="A367" s="3"/>
      <c r="B367" s="2"/>
      <c r="C367" s="667"/>
      <c r="D367" s="2"/>
      <c r="E367" s="464"/>
      <c r="F367" s="2"/>
      <c r="G367" s="2"/>
      <c r="H367" s="2"/>
      <c r="I367" s="2"/>
      <c r="J367" s="2"/>
      <c r="K367" s="2"/>
      <c r="L367" s="2"/>
      <c r="M367" s="2"/>
      <c r="N367" s="2"/>
      <c r="O367" s="2"/>
      <c r="P367" s="2"/>
      <c r="Q367" s="2"/>
      <c r="S367" s="3"/>
      <c r="T367" s="3"/>
      <c r="U367" s="3"/>
      <c r="V367" s="3"/>
      <c r="W367" s="3"/>
      <c r="X367" s="3"/>
      <c r="Y367" s="3"/>
      <c r="Z367" s="3"/>
    </row>
    <row r="368" ht="15.75" customHeight="1">
      <c r="A368" s="3"/>
      <c r="B368" s="2"/>
      <c r="C368" s="667"/>
      <c r="D368" s="2"/>
      <c r="E368" s="464"/>
      <c r="F368" s="2"/>
      <c r="G368" s="2"/>
      <c r="H368" s="2"/>
      <c r="I368" s="2"/>
      <c r="J368" s="2"/>
      <c r="K368" s="2"/>
      <c r="L368" s="2"/>
      <c r="M368" s="2"/>
      <c r="N368" s="2"/>
      <c r="O368" s="2"/>
      <c r="P368" s="2"/>
      <c r="Q368" s="2"/>
      <c r="S368" s="3"/>
      <c r="T368" s="3"/>
      <c r="U368" s="3"/>
      <c r="V368" s="3"/>
      <c r="W368" s="3"/>
      <c r="X368" s="3"/>
      <c r="Y368" s="3"/>
      <c r="Z368" s="3"/>
    </row>
    <row r="369" ht="15.75" customHeight="1">
      <c r="A369" s="3"/>
      <c r="B369" s="2"/>
      <c r="C369" s="667"/>
      <c r="D369" s="2"/>
      <c r="E369" s="464"/>
      <c r="F369" s="2"/>
      <c r="G369" s="2"/>
      <c r="H369" s="2"/>
      <c r="I369" s="2"/>
      <c r="J369" s="2"/>
      <c r="K369" s="2"/>
      <c r="L369" s="2"/>
      <c r="M369" s="2"/>
      <c r="N369" s="2"/>
      <c r="O369" s="2"/>
      <c r="P369" s="2"/>
      <c r="Q369" s="2"/>
      <c r="S369" s="3"/>
      <c r="T369" s="3"/>
      <c r="U369" s="3"/>
      <c r="V369" s="3"/>
      <c r="W369" s="3"/>
      <c r="X369" s="3"/>
      <c r="Y369" s="3"/>
      <c r="Z369" s="3"/>
    </row>
    <row r="370" ht="15.75" customHeight="1">
      <c r="A370" s="3"/>
      <c r="B370" s="2"/>
      <c r="C370" s="667"/>
      <c r="D370" s="2"/>
      <c r="E370" s="464"/>
      <c r="F370" s="2"/>
      <c r="G370" s="2"/>
      <c r="H370" s="2"/>
      <c r="I370" s="2"/>
      <c r="J370" s="2"/>
      <c r="K370" s="2"/>
      <c r="L370" s="2"/>
      <c r="M370" s="2"/>
      <c r="N370" s="2"/>
      <c r="O370" s="2"/>
      <c r="P370" s="2"/>
      <c r="Q370" s="2"/>
      <c r="S370" s="3"/>
      <c r="T370" s="3"/>
      <c r="U370" s="3"/>
      <c r="V370" s="3"/>
      <c r="W370" s="3"/>
      <c r="X370" s="3"/>
      <c r="Y370" s="3"/>
      <c r="Z370" s="3"/>
    </row>
    <row r="371" ht="15.75" customHeight="1">
      <c r="A371" s="3"/>
      <c r="B371" s="2"/>
      <c r="C371" s="667"/>
      <c r="D371" s="2"/>
      <c r="E371" s="464"/>
      <c r="F371" s="2"/>
      <c r="G371" s="2"/>
      <c r="H371" s="2"/>
      <c r="I371" s="2"/>
      <c r="J371" s="2"/>
      <c r="K371" s="2"/>
      <c r="L371" s="2"/>
      <c r="M371" s="2"/>
      <c r="N371" s="2"/>
      <c r="O371" s="2"/>
      <c r="P371" s="2"/>
      <c r="Q371" s="2"/>
      <c r="S371" s="3"/>
      <c r="T371" s="3"/>
      <c r="U371" s="3"/>
      <c r="V371" s="3"/>
      <c r="W371" s="3"/>
      <c r="X371" s="3"/>
      <c r="Y371" s="3"/>
      <c r="Z371" s="3"/>
    </row>
    <row r="372" ht="15.75" customHeight="1">
      <c r="A372" s="3"/>
      <c r="B372" s="2"/>
      <c r="C372" s="667"/>
      <c r="D372" s="2"/>
      <c r="E372" s="464"/>
      <c r="F372" s="2"/>
      <c r="G372" s="2"/>
      <c r="H372" s="2"/>
      <c r="I372" s="2"/>
      <c r="J372" s="2"/>
      <c r="K372" s="2"/>
      <c r="L372" s="2"/>
      <c r="M372" s="2"/>
      <c r="N372" s="2"/>
      <c r="O372" s="2"/>
      <c r="P372" s="2"/>
      <c r="Q372" s="2"/>
      <c r="S372" s="3"/>
      <c r="T372" s="3"/>
      <c r="U372" s="3"/>
      <c r="V372" s="3"/>
      <c r="W372" s="3"/>
      <c r="X372" s="3"/>
      <c r="Y372" s="3"/>
      <c r="Z372" s="3"/>
    </row>
    <row r="373" ht="15.75" customHeight="1">
      <c r="A373" s="3"/>
      <c r="B373" s="2"/>
      <c r="C373" s="667"/>
      <c r="D373" s="2"/>
      <c r="E373" s="464"/>
      <c r="F373" s="2"/>
      <c r="G373" s="2"/>
      <c r="H373" s="2"/>
      <c r="I373" s="2"/>
      <c r="J373" s="2"/>
      <c r="K373" s="2"/>
      <c r="L373" s="2"/>
      <c r="M373" s="2"/>
      <c r="N373" s="2"/>
      <c r="O373" s="2"/>
      <c r="P373" s="2"/>
      <c r="Q373" s="2"/>
      <c r="S373" s="3"/>
      <c r="T373" s="3"/>
      <c r="U373" s="3"/>
      <c r="V373" s="3"/>
      <c r="W373" s="3"/>
      <c r="X373" s="3"/>
      <c r="Y373" s="3"/>
      <c r="Z373" s="3"/>
    </row>
    <row r="374" ht="15.75" customHeight="1">
      <c r="A374" s="3"/>
      <c r="B374" s="2"/>
      <c r="C374" s="667"/>
      <c r="D374" s="2"/>
      <c r="E374" s="464"/>
      <c r="F374" s="2"/>
      <c r="G374" s="2"/>
      <c r="H374" s="2"/>
      <c r="I374" s="2"/>
      <c r="J374" s="2"/>
      <c r="K374" s="2"/>
      <c r="L374" s="2"/>
      <c r="M374" s="2"/>
      <c r="N374" s="2"/>
      <c r="O374" s="2"/>
      <c r="P374" s="2"/>
      <c r="Q374" s="2"/>
      <c r="S374" s="3"/>
      <c r="T374" s="3"/>
      <c r="U374" s="3"/>
      <c r="V374" s="3"/>
      <c r="W374" s="3"/>
      <c r="X374" s="3"/>
      <c r="Y374" s="3"/>
      <c r="Z374" s="3"/>
    </row>
    <row r="375" ht="15.75" customHeight="1">
      <c r="A375" s="3"/>
      <c r="B375" s="2"/>
      <c r="C375" s="667"/>
      <c r="D375" s="2"/>
      <c r="E375" s="464"/>
      <c r="F375" s="2"/>
      <c r="G375" s="2"/>
      <c r="H375" s="2"/>
      <c r="I375" s="2"/>
      <c r="J375" s="2"/>
      <c r="K375" s="2"/>
      <c r="L375" s="2"/>
      <c r="M375" s="2"/>
      <c r="N375" s="2"/>
      <c r="O375" s="2"/>
      <c r="P375" s="2"/>
      <c r="Q375" s="2"/>
      <c r="S375" s="3"/>
      <c r="T375" s="3"/>
      <c r="U375" s="3"/>
      <c r="V375" s="3"/>
      <c r="W375" s="3"/>
      <c r="X375" s="3"/>
      <c r="Y375" s="3"/>
      <c r="Z375" s="3"/>
    </row>
    <row r="376" ht="15.75" customHeight="1">
      <c r="A376" s="3"/>
      <c r="B376" s="2"/>
      <c r="C376" s="667"/>
      <c r="D376" s="2"/>
      <c r="E376" s="464"/>
      <c r="F376" s="2"/>
      <c r="G376" s="2"/>
      <c r="H376" s="2"/>
      <c r="I376" s="2"/>
      <c r="J376" s="2"/>
      <c r="K376" s="2"/>
      <c r="L376" s="2"/>
      <c r="M376" s="2"/>
      <c r="N376" s="2"/>
      <c r="O376" s="2"/>
      <c r="P376" s="2"/>
      <c r="Q376" s="2"/>
      <c r="S376" s="3"/>
      <c r="T376" s="3"/>
      <c r="U376" s="3"/>
      <c r="V376" s="3"/>
      <c r="W376" s="3"/>
      <c r="X376" s="3"/>
      <c r="Y376" s="3"/>
      <c r="Z376" s="3"/>
    </row>
    <row r="377" ht="15.75" customHeight="1">
      <c r="A377" s="3"/>
      <c r="B377" s="2"/>
      <c r="C377" s="667"/>
      <c r="D377" s="2"/>
      <c r="E377" s="464"/>
      <c r="F377" s="2"/>
      <c r="G377" s="2"/>
      <c r="H377" s="2"/>
      <c r="I377" s="2"/>
      <c r="J377" s="2"/>
      <c r="K377" s="2"/>
      <c r="L377" s="2"/>
      <c r="M377" s="2"/>
      <c r="N377" s="2"/>
      <c r="O377" s="2"/>
      <c r="P377" s="2"/>
      <c r="Q377" s="2"/>
      <c r="S377" s="3"/>
      <c r="T377" s="3"/>
      <c r="U377" s="3"/>
      <c r="V377" s="3"/>
      <c r="W377" s="3"/>
      <c r="X377" s="3"/>
      <c r="Y377" s="3"/>
      <c r="Z377" s="3"/>
    </row>
    <row r="378" ht="15.75" customHeight="1">
      <c r="A378" s="3"/>
      <c r="B378" s="2"/>
      <c r="C378" s="667"/>
      <c r="D378" s="2"/>
      <c r="E378" s="464"/>
      <c r="F378" s="2"/>
      <c r="G378" s="2"/>
      <c r="H378" s="2"/>
      <c r="I378" s="2"/>
      <c r="J378" s="2"/>
      <c r="K378" s="2"/>
      <c r="L378" s="2"/>
      <c r="M378" s="2"/>
      <c r="N378" s="2"/>
      <c r="O378" s="2"/>
      <c r="P378" s="2"/>
      <c r="Q378" s="2"/>
      <c r="S378" s="3"/>
      <c r="T378" s="3"/>
      <c r="U378" s="3"/>
      <c r="V378" s="3"/>
      <c r="W378" s="3"/>
      <c r="X378" s="3"/>
      <c r="Y378" s="3"/>
      <c r="Z378" s="3"/>
    </row>
    <row r="379" ht="15.75" customHeight="1">
      <c r="A379" s="3"/>
      <c r="B379" s="2"/>
      <c r="C379" s="667"/>
      <c r="D379" s="2"/>
      <c r="E379" s="464"/>
      <c r="F379" s="2"/>
      <c r="G379" s="2"/>
      <c r="H379" s="2"/>
      <c r="I379" s="2"/>
      <c r="J379" s="2"/>
      <c r="K379" s="2"/>
      <c r="L379" s="2"/>
      <c r="M379" s="2"/>
      <c r="N379" s="2"/>
      <c r="O379" s="2"/>
      <c r="P379" s="2"/>
      <c r="Q379" s="2"/>
      <c r="S379" s="3"/>
      <c r="T379" s="3"/>
      <c r="U379" s="3"/>
      <c r="V379" s="3"/>
      <c r="W379" s="3"/>
      <c r="X379" s="3"/>
      <c r="Y379" s="3"/>
      <c r="Z379" s="3"/>
    </row>
    <row r="380" ht="15.75" customHeight="1">
      <c r="A380" s="3"/>
      <c r="B380" s="2"/>
      <c r="C380" s="667"/>
      <c r="D380" s="2"/>
      <c r="E380" s="464"/>
      <c r="F380" s="2"/>
      <c r="G380" s="2"/>
      <c r="H380" s="2"/>
      <c r="I380" s="2"/>
      <c r="J380" s="2"/>
      <c r="K380" s="2"/>
      <c r="L380" s="2"/>
      <c r="M380" s="2"/>
      <c r="N380" s="2"/>
      <c r="O380" s="2"/>
      <c r="P380" s="2"/>
      <c r="Q380" s="2"/>
      <c r="S380" s="3"/>
      <c r="T380" s="3"/>
      <c r="U380" s="3"/>
      <c r="V380" s="3"/>
      <c r="W380" s="3"/>
      <c r="X380" s="3"/>
      <c r="Y380" s="3"/>
      <c r="Z380" s="3"/>
    </row>
    <row r="381" ht="15.75" customHeight="1">
      <c r="A381" s="3"/>
      <c r="B381" s="2"/>
      <c r="C381" s="667"/>
      <c r="D381" s="2"/>
      <c r="E381" s="464"/>
      <c r="F381" s="2"/>
      <c r="G381" s="2"/>
      <c r="H381" s="2"/>
      <c r="I381" s="2"/>
      <c r="J381" s="2"/>
      <c r="K381" s="2"/>
      <c r="L381" s="2"/>
      <c r="M381" s="2"/>
      <c r="N381" s="2"/>
      <c r="O381" s="2"/>
      <c r="P381" s="2"/>
      <c r="Q381" s="2"/>
      <c r="S381" s="3"/>
      <c r="T381" s="3"/>
      <c r="U381" s="3"/>
      <c r="V381" s="3"/>
      <c r="W381" s="3"/>
      <c r="X381" s="3"/>
      <c r="Y381" s="3"/>
      <c r="Z381" s="3"/>
    </row>
    <row r="382" ht="15.75" customHeight="1">
      <c r="A382" s="3"/>
      <c r="B382" s="2"/>
      <c r="C382" s="667"/>
      <c r="D382" s="2"/>
      <c r="E382" s="464"/>
      <c r="F382" s="2"/>
      <c r="G382" s="2"/>
      <c r="H382" s="2"/>
      <c r="I382" s="2"/>
      <c r="J382" s="2"/>
      <c r="K382" s="2"/>
      <c r="L382" s="2"/>
      <c r="M382" s="2"/>
      <c r="N382" s="2"/>
      <c r="O382" s="2"/>
      <c r="P382" s="2"/>
      <c r="Q382" s="2"/>
      <c r="S382" s="3"/>
      <c r="T382" s="3"/>
      <c r="U382" s="3"/>
      <c r="V382" s="3"/>
      <c r="W382" s="3"/>
      <c r="X382" s="3"/>
      <c r="Y382" s="3"/>
      <c r="Z382" s="3"/>
    </row>
    <row r="383" ht="15.75" customHeight="1">
      <c r="A383" s="3"/>
      <c r="B383" s="2"/>
      <c r="C383" s="667"/>
      <c r="D383" s="2"/>
      <c r="E383" s="464"/>
      <c r="F383" s="2"/>
      <c r="G383" s="2"/>
      <c r="H383" s="2"/>
      <c r="I383" s="2"/>
      <c r="J383" s="2"/>
      <c r="K383" s="2"/>
      <c r="L383" s="2"/>
      <c r="M383" s="2"/>
      <c r="N383" s="2"/>
      <c r="O383" s="2"/>
      <c r="P383" s="2"/>
      <c r="Q383" s="2"/>
      <c r="S383" s="3"/>
      <c r="T383" s="3"/>
      <c r="U383" s="3"/>
      <c r="V383" s="3"/>
      <c r="W383" s="3"/>
      <c r="X383" s="3"/>
      <c r="Y383" s="3"/>
      <c r="Z383" s="3"/>
    </row>
    <row r="384" ht="15.75" customHeight="1">
      <c r="A384" s="3"/>
      <c r="B384" s="2"/>
      <c r="C384" s="667"/>
      <c r="D384" s="2"/>
      <c r="E384" s="464"/>
      <c r="F384" s="2"/>
      <c r="G384" s="2"/>
      <c r="H384" s="2"/>
      <c r="I384" s="2"/>
      <c r="J384" s="2"/>
      <c r="K384" s="2"/>
      <c r="L384" s="2"/>
      <c r="M384" s="2"/>
      <c r="N384" s="2"/>
      <c r="O384" s="2"/>
      <c r="P384" s="2"/>
      <c r="Q384" s="2"/>
      <c r="S384" s="3"/>
      <c r="T384" s="3"/>
      <c r="U384" s="3"/>
      <c r="V384" s="3"/>
      <c r="W384" s="3"/>
      <c r="X384" s="3"/>
      <c r="Y384" s="3"/>
      <c r="Z384" s="3"/>
    </row>
    <row r="385" ht="15.75" customHeight="1">
      <c r="A385" s="3"/>
      <c r="B385" s="2"/>
      <c r="C385" s="667"/>
      <c r="D385" s="2"/>
      <c r="E385" s="464"/>
      <c r="F385" s="2"/>
      <c r="G385" s="2"/>
      <c r="H385" s="2"/>
      <c r="I385" s="2"/>
      <c r="J385" s="2"/>
      <c r="K385" s="2"/>
      <c r="L385" s="2"/>
      <c r="M385" s="2"/>
      <c r="N385" s="2"/>
      <c r="O385" s="2"/>
      <c r="P385" s="2"/>
      <c r="Q385" s="2"/>
      <c r="S385" s="3"/>
      <c r="T385" s="3"/>
      <c r="U385" s="3"/>
      <c r="V385" s="3"/>
      <c r="W385" s="3"/>
      <c r="X385" s="3"/>
      <c r="Y385" s="3"/>
      <c r="Z385" s="3"/>
    </row>
    <row r="386" ht="15.75" customHeight="1">
      <c r="A386" s="3"/>
      <c r="B386" s="2"/>
      <c r="C386" s="667"/>
      <c r="D386" s="2"/>
      <c r="E386" s="464"/>
      <c r="F386" s="2"/>
      <c r="G386" s="2"/>
      <c r="H386" s="2"/>
      <c r="I386" s="2"/>
      <c r="J386" s="2"/>
      <c r="K386" s="2"/>
      <c r="L386" s="2"/>
      <c r="M386" s="2"/>
      <c r="N386" s="2"/>
      <c r="O386" s="2"/>
      <c r="P386" s="2"/>
      <c r="Q386" s="2"/>
      <c r="S386" s="3"/>
      <c r="T386" s="3"/>
      <c r="U386" s="3"/>
      <c r="V386" s="3"/>
      <c r="W386" s="3"/>
      <c r="X386" s="3"/>
      <c r="Y386" s="3"/>
      <c r="Z386" s="3"/>
    </row>
    <row r="387" ht="15.75" customHeight="1">
      <c r="A387" s="3"/>
      <c r="B387" s="2"/>
      <c r="C387" s="667"/>
      <c r="D387" s="2"/>
      <c r="E387" s="464"/>
      <c r="F387" s="2"/>
      <c r="G387" s="2"/>
      <c r="H387" s="2"/>
      <c r="I387" s="2"/>
      <c r="J387" s="2"/>
      <c r="K387" s="2"/>
      <c r="L387" s="2"/>
      <c r="M387" s="2"/>
      <c r="N387" s="2"/>
      <c r="O387" s="2"/>
      <c r="P387" s="2"/>
      <c r="Q387" s="2"/>
      <c r="S387" s="3"/>
      <c r="T387" s="3"/>
      <c r="U387" s="3"/>
      <c r="V387" s="3"/>
      <c r="W387" s="3"/>
      <c r="X387" s="3"/>
      <c r="Y387" s="3"/>
      <c r="Z387" s="3"/>
    </row>
    <row r="388" ht="15.75" customHeight="1">
      <c r="A388" s="3"/>
      <c r="B388" s="2"/>
      <c r="C388" s="667"/>
      <c r="D388" s="2"/>
      <c r="E388" s="464"/>
      <c r="F388" s="2"/>
      <c r="G388" s="2"/>
      <c r="H388" s="2"/>
      <c r="I388" s="2"/>
      <c r="J388" s="2"/>
      <c r="K388" s="2"/>
      <c r="L388" s="2"/>
      <c r="M388" s="2"/>
      <c r="N388" s="2"/>
      <c r="O388" s="2"/>
      <c r="P388" s="2"/>
      <c r="Q388" s="2"/>
      <c r="S388" s="3"/>
      <c r="T388" s="3"/>
      <c r="U388" s="3"/>
      <c r="V388" s="3"/>
      <c r="W388" s="3"/>
      <c r="X388" s="3"/>
      <c r="Y388" s="3"/>
      <c r="Z388" s="3"/>
    </row>
    <row r="389" ht="15.75" customHeight="1">
      <c r="A389" s="3"/>
      <c r="B389" s="2"/>
      <c r="C389" s="667"/>
      <c r="D389" s="2"/>
      <c r="E389" s="464"/>
      <c r="F389" s="2"/>
      <c r="G389" s="2"/>
      <c r="H389" s="2"/>
      <c r="I389" s="2"/>
      <c r="J389" s="2"/>
      <c r="K389" s="2"/>
      <c r="L389" s="2"/>
      <c r="M389" s="2"/>
      <c r="N389" s="2"/>
      <c r="O389" s="2"/>
      <c r="P389" s="2"/>
      <c r="Q389" s="2"/>
      <c r="S389" s="3"/>
      <c r="T389" s="3"/>
      <c r="U389" s="3"/>
      <c r="V389" s="3"/>
      <c r="W389" s="3"/>
      <c r="X389" s="3"/>
      <c r="Y389" s="3"/>
      <c r="Z389" s="3"/>
    </row>
    <row r="390" ht="15.75" customHeight="1">
      <c r="A390" s="3"/>
      <c r="B390" s="2"/>
      <c r="C390" s="667"/>
      <c r="D390" s="2"/>
      <c r="E390" s="464"/>
      <c r="F390" s="2"/>
      <c r="G390" s="2"/>
      <c r="H390" s="2"/>
      <c r="I390" s="2"/>
      <c r="J390" s="2"/>
      <c r="K390" s="2"/>
      <c r="L390" s="2"/>
      <c r="M390" s="2"/>
      <c r="N390" s="2"/>
      <c r="O390" s="2"/>
      <c r="P390" s="2"/>
      <c r="Q390" s="2"/>
      <c r="S390" s="3"/>
      <c r="T390" s="3"/>
      <c r="U390" s="3"/>
      <c r="V390" s="3"/>
      <c r="W390" s="3"/>
      <c r="X390" s="3"/>
      <c r="Y390" s="3"/>
      <c r="Z390" s="3"/>
    </row>
    <row r="391" ht="15.75" customHeight="1">
      <c r="A391" s="3"/>
      <c r="B391" s="2"/>
      <c r="C391" s="667"/>
      <c r="D391" s="2"/>
      <c r="E391" s="464"/>
      <c r="F391" s="2"/>
      <c r="G391" s="2"/>
      <c r="H391" s="2"/>
      <c r="I391" s="2"/>
      <c r="J391" s="2"/>
      <c r="K391" s="2"/>
      <c r="L391" s="2"/>
      <c r="M391" s="2"/>
      <c r="N391" s="2"/>
      <c r="O391" s="2"/>
      <c r="P391" s="2"/>
      <c r="Q391" s="2"/>
      <c r="S391" s="3"/>
      <c r="T391" s="3"/>
      <c r="U391" s="3"/>
      <c r="V391" s="3"/>
      <c r="W391" s="3"/>
      <c r="X391" s="3"/>
      <c r="Y391" s="3"/>
      <c r="Z391" s="3"/>
    </row>
    <row r="392" ht="15.75" customHeight="1">
      <c r="A392" s="3"/>
      <c r="B392" s="2"/>
      <c r="C392" s="667"/>
      <c r="D392" s="2"/>
      <c r="E392" s="464"/>
      <c r="F392" s="2"/>
      <c r="G392" s="2"/>
      <c r="H392" s="2"/>
      <c r="I392" s="2"/>
      <c r="J392" s="2"/>
      <c r="K392" s="2"/>
      <c r="L392" s="2"/>
      <c r="M392" s="2"/>
      <c r="N392" s="2"/>
      <c r="O392" s="2"/>
      <c r="P392" s="2"/>
      <c r="Q392" s="2"/>
      <c r="S392" s="3"/>
      <c r="T392" s="3"/>
      <c r="U392" s="3"/>
      <c r="V392" s="3"/>
      <c r="W392" s="3"/>
      <c r="X392" s="3"/>
      <c r="Y392" s="3"/>
      <c r="Z392" s="3"/>
    </row>
    <row r="393" ht="15.75" customHeight="1">
      <c r="A393" s="3"/>
      <c r="B393" s="2"/>
      <c r="C393" s="667"/>
      <c r="D393" s="2"/>
      <c r="E393" s="464"/>
      <c r="F393" s="2"/>
      <c r="G393" s="2"/>
      <c r="H393" s="2"/>
      <c r="I393" s="2"/>
      <c r="J393" s="2"/>
      <c r="K393" s="2"/>
      <c r="L393" s="2"/>
      <c r="M393" s="2"/>
      <c r="N393" s="2"/>
      <c r="O393" s="2"/>
      <c r="P393" s="2"/>
      <c r="Q393" s="2"/>
      <c r="S393" s="3"/>
      <c r="T393" s="3"/>
      <c r="U393" s="3"/>
      <c r="V393" s="3"/>
      <c r="W393" s="3"/>
      <c r="X393" s="3"/>
      <c r="Y393" s="3"/>
      <c r="Z393" s="3"/>
    </row>
    <row r="394" ht="15.75" customHeight="1">
      <c r="A394" s="3"/>
      <c r="B394" s="2"/>
      <c r="C394" s="667"/>
      <c r="D394" s="2"/>
      <c r="E394" s="464"/>
      <c r="F394" s="2"/>
      <c r="G394" s="2"/>
      <c r="H394" s="2"/>
      <c r="I394" s="2"/>
      <c r="J394" s="2"/>
      <c r="K394" s="2"/>
      <c r="L394" s="2"/>
      <c r="M394" s="2"/>
      <c r="N394" s="2"/>
      <c r="O394" s="2"/>
      <c r="P394" s="2"/>
      <c r="Q394" s="2"/>
      <c r="S394" s="3"/>
      <c r="T394" s="3"/>
      <c r="U394" s="3"/>
      <c r="V394" s="3"/>
      <c r="W394" s="3"/>
      <c r="X394" s="3"/>
      <c r="Y394" s="3"/>
      <c r="Z394" s="3"/>
    </row>
    <row r="395" ht="15.75" customHeight="1">
      <c r="A395" s="3"/>
      <c r="B395" s="2"/>
      <c r="C395" s="667"/>
      <c r="D395" s="2"/>
      <c r="E395" s="464"/>
      <c r="F395" s="2"/>
      <c r="G395" s="2"/>
      <c r="H395" s="2"/>
      <c r="I395" s="2"/>
      <c r="J395" s="2"/>
      <c r="K395" s="2"/>
      <c r="L395" s="2"/>
      <c r="M395" s="2"/>
      <c r="N395" s="2"/>
      <c r="O395" s="2"/>
      <c r="P395" s="2"/>
      <c r="Q395" s="2"/>
      <c r="S395" s="3"/>
      <c r="T395" s="3"/>
      <c r="U395" s="3"/>
      <c r="V395" s="3"/>
      <c r="W395" s="3"/>
      <c r="X395" s="3"/>
      <c r="Y395" s="3"/>
      <c r="Z395" s="3"/>
    </row>
    <row r="396" ht="15.75" customHeight="1">
      <c r="A396" s="3"/>
      <c r="B396" s="2"/>
      <c r="C396" s="667"/>
      <c r="D396" s="2"/>
      <c r="E396" s="464"/>
      <c r="F396" s="2"/>
      <c r="G396" s="2"/>
      <c r="H396" s="2"/>
      <c r="I396" s="2"/>
      <c r="J396" s="2"/>
      <c r="K396" s="2"/>
      <c r="L396" s="2"/>
      <c r="M396" s="2"/>
      <c r="N396" s="2"/>
      <c r="O396" s="2"/>
      <c r="P396" s="2"/>
      <c r="Q396" s="2"/>
      <c r="S396" s="3"/>
      <c r="T396" s="3"/>
      <c r="U396" s="3"/>
      <c r="V396" s="3"/>
      <c r="W396" s="3"/>
      <c r="X396" s="3"/>
      <c r="Y396" s="3"/>
      <c r="Z396" s="3"/>
    </row>
    <row r="397" ht="15.75" customHeight="1">
      <c r="A397" s="3"/>
      <c r="B397" s="2"/>
      <c r="C397" s="667"/>
      <c r="D397" s="2"/>
      <c r="E397" s="464"/>
      <c r="F397" s="2"/>
      <c r="G397" s="2"/>
      <c r="H397" s="2"/>
      <c r="I397" s="2"/>
      <c r="J397" s="2"/>
      <c r="K397" s="2"/>
      <c r="L397" s="2"/>
      <c r="M397" s="2"/>
      <c r="N397" s="2"/>
      <c r="O397" s="2"/>
      <c r="P397" s="2"/>
      <c r="Q397" s="2"/>
      <c r="S397" s="3"/>
      <c r="T397" s="3"/>
      <c r="U397" s="3"/>
      <c r="V397" s="3"/>
      <c r="W397" s="3"/>
      <c r="X397" s="3"/>
      <c r="Y397" s="3"/>
      <c r="Z397" s="3"/>
    </row>
    <row r="398" ht="15.75" customHeight="1">
      <c r="A398" s="3"/>
      <c r="B398" s="2"/>
      <c r="C398" s="667"/>
      <c r="D398" s="2"/>
      <c r="E398" s="464"/>
      <c r="F398" s="2"/>
      <c r="G398" s="2"/>
      <c r="H398" s="2"/>
      <c r="I398" s="2"/>
      <c r="J398" s="2"/>
      <c r="K398" s="2"/>
      <c r="L398" s="2"/>
      <c r="M398" s="2"/>
      <c r="N398" s="2"/>
      <c r="O398" s="2"/>
      <c r="P398" s="2"/>
      <c r="Q398" s="2"/>
      <c r="S398" s="3"/>
      <c r="T398" s="3"/>
      <c r="U398" s="3"/>
      <c r="V398" s="3"/>
      <c r="W398" s="3"/>
      <c r="X398" s="3"/>
      <c r="Y398" s="3"/>
      <c r="Z398" s="3"/>
    </row>
    <row r="399" ht="15.75" customHeight="1">
      <c r="A399" s="3"/>
      <c r="B399" s="2"/>
      <c r="C399" s="667"/>
      <c r="D399" s="2"/>
      <c r="E399" s="464"/>
      <c r="F399" s="2"/>
      <c r="G399" s="2"/>
      <c r="H399" s="2"/>
      <c r="I399" s="2"/>
      <c r="J399" s="2"/>
      <c r="K399" s="2"/>
      <c r="L399" s="2"/>
      <c r="M399" s="2"/>
      <c r="N399" s="2"/>
      <c r="O399" s="2"/>
      <c r="P399" s="2"/>
      <c r="Q399" s="2"/>
      <c r="S399" s="3"/>
      <c r="T399" s="3"/>
      <c r="U399" s="3"/>
      <c r="V399" s="3"/>
      <c r="W399" s="3"/>
      <c r="X399" s="3"/>
      <c r="Y399" s="3"/>
      <c r="Z399" s="3"/>
    </row>
    <row r="400" ht="15.75" customHeight="1">
      <c r="A400" s="3"/>
      <c r="B400" s="2"/>
      <c r="C400" s="667"/>
      <c r="D400" s="2"/>
      <c r="E400" s="464"/>
      <c r="F400" s="2"/>
      <c r="G400" s="2"/>
      <c r="H400" s="2"/>
      <c r="I400" s="2"/>
      <c r="J400" s="2"/>
      <c r="K400" s="2"/>
      <c r="L400" s="2"/>
      <c r="M400" s="2"/>
      <c r="N400" s="2"/>
      <c r="O400" s="2"/>
      <c r="P400" s="2"/>
      <c r="Q400" s="2"/>
      <c r="S400" s="3"/>
      <c r="T400" s="3"/>
      <c r="U400" s="3"/>
      <c r="V400" s="3"/>
      <c r="W400" s="3"/>
      <c r="X400" s="3"/>
      <c r="Y400" s="3"/>
      <c r="Z400" s="3"/>
    </row>
    <row r="401" ht="15.75" customHeight="1">
      <c r="A401" s="3"/>
      <c r="B401" s="2"/>
      <c r="C401" s="667"/>
      <c r="D401" s="2"/>
      <c r="E401" s="464"/>
      <c r="F401" s="2"/>
      <c r="G401" s="2"/>
      <c r="H401" s="2"/>
      <c r="I401" s="2"/>
      <c r="J401" s="2"/>
      <c r="K401" s="2"/>
      <c r="L401" s="2"/>
      <c r="M401" s="2"/>
      <c r="N401" s="2"/>
      <c r="O401" s="2"/>
      <c r="P401" s="2"/>
      <c r="Q401" s="2"/>
      <c r="S401" s="3"/>
      <c r="T401" s="3"/>
      <c r="U401" s="3"/>
      <c r="V401" s="3"/>
      <c r="W401" s="3"/>
      <c r="X401" s="3"/>
      <c r="Y401" s="3"/>
      <c r="Z401" s="3"/>
    </row>
    <row r="402" ht="15.75" customHeight="1">
      <c r="A402" s="3"/>
      <c r="B402" s="2"/>
      <c r="C402" s="667"/>
      <c r="D402" s="2"/>
      <c r="E402" s="464"/>
      <c r="F402" s="2"/>
      <c r="G402" s="2"/>
      <c r="H402" s="2"/>
      <c r="I402" s="2"/>
      <c r="J402" s="2"/>
      <c r="K402" s="2"/>
      <c r="L402" s="2"/>
      <c r="M402" s="2"/>
      <c r="N402" s="2"/>
      <c r="O402" s="2"/>
      <c r="P402" s="2"/>
      <c r="Q402" s="2"/>
      <c r="S402" s="3"/>
      <c r="T402" s="3"/>
      <c r="U402" s="3"/>
      <c r="V402" s="3"/>
      <c r="W402" s="3"/>
      <c r="X402" s="3"/>
      <c r="Y402" s="3"/>
      <c r="Z402" s="3"/>
    </row>
    <row r="403" ht="15.75" customHeight="1">
      <c r="A403" s="3"/>
      <c r="B403" s="2"/>
      <c r="C403" s="667"/>
      <c r="D403" s="2"/>
      <c r="E403" s="464"/>
      <c r="F403" s="2"/>
      <c r="G403" s="2"/>
      <c r="H403" s="2"/>
      <c r="I403" s="2"/>
      <c r="J403" s="2"/>
      <c r="K403" s="2"/>
      <c r="L403" s="2"/>
      <c r="M403" s="2"/>
      <c r="N403" s="2"/>
      <c r="O403" s="2"/>
      <c r="P403" s="2"/>
      <c r="Q403" s="2"/>
      <c r="S403" s="3"/>
      <c r="T403" s="3"/>
      <c r="U403" s="3"/>
      <c r="V403" s="3"/>
      <c r="W403" s="3"/>
      <c r="X403" s="3"/>
      <c r="Y403" s="3"/>
      <c r="Z403" s="3"/>
    </row>
    <row r="404" ht="15.75" customHeight="1">
      <c r="A404" s="3"/>
      <c r="B404" s="2"/>
      <c r="C404" s="667"/>
      <c r="D404" s="2"/>
      <c r="E404" s="464"/>
      <c r="F404" s="2"/>
      <c r="G404" s="2"/>
      <c r="H404" s="2"/>
      <c r="I404" s="2"/>
      <c r="J404" s="2"/>
      <c r="K404" s="2"/>
      <c r="L404" s="2"/>
      <c r="M404" s="2"/>
      <c r="N404" s="2"/>
      <c r="O404" s="2"/>
      <c r="P404" s="2"/>
      <c r="Q404" s="2"/>
      <c r="S404" s="3"/>
      <c r="T404" s="3"/>
      <c r="U404" s="3"/>
      <c r="V404" s="3"/>
      <c r="W404" s="3"/>
      <c r="X404" s="3"/>
      <c r="Y404" s="3"/>
      <c r="Z404" s="3"/>
    </row>
    <row r="405" ht="15.75" customHeight="1">
      <c r="A405" s="3"/>
      <c r="B405" s="2"/>
      <c r="C405" s="667"/>
      <c r="D405" s="2"/>
      <c r="E405" s="464"/>
      <c r="F405" s="2"/>
      <c r="G405" s="2"/>
      <c r="H405" s="2"/>
      <c r="I405" s="2"/>
      <c r="J405" s="2"/>
      <c r="K405" s="2"/>
      <c r="L405" s="2"/>
      <c r="M405" s="2"/>
      <c r="N405" s="2"/>
      <c r="O405" s="2"/>
      <c r="P405" s="2"/>
      <c r="Q405" s="2"/>
      <c r="S405" s="3"/>
      <c r="T405" s="3"/>
      <c r="U405" s="3"/>
      <c r="V405" s="3"/>
      <c r="W405" s="3"/>
      <c r="X405" s="3"/>
      <c r="Y405" s="3"/>
      <c r="Z405" s="3"/>
    </row>
    <row r="406" ht="15.75" customHeight="1">
      <c r="A406" s="3"/>
      <c r="B406" s="2"/>
      <c r="C406" s="667"/>
      <c r="D406" s="2"/>
      <c r="E406" s="464"/>
      <c r="F406" s="2"/>
      <c r="G406" s="2"/>
      <c r="H406" s="2"/>
      <c r="I406" s="2"/>
      <c r="J406" s="2"/>
      <c r="K406" s="2"/>
      <c r="L406" s="2"/>
      <c r="M406" s="2"/>
      <c r="N406" s="2"/>
      <c r="O406" s="2"/>
      <c r="P406" s="2"/>
      <c r="Q406" s="2"/>
      <c r="S406" s="3"/>
      <c r="T406" s="3"/>
      <c r="U406" s="3"/>
      <c r="V406" s="3"/>
      <c r="W406" s="3"/>
      <c r="X406" s="3"/>
      <c r="Y406" s="3"/>
      <c r="Z406" s="3"/>
    </row>
    <row r="407" ht="15.75" customHeight="1">
      <c r="A407" s="3"/>
      <c r="B407" s="2"/>
      <c r="C407" s="667"/>
      <c r="D407" s="2"/>
      <c r="E407" s="464"/>
      <c r="F407" s="2"/>
      <c r="G407" s="2"/>
      <c r="H407" s="2"/>
      <c r="I407" s="2"/>
      <c r="J407" s="2"/>
      <c r="K407" s="2"/>
      <c r="L407" s="2"/>
      <c r="M407" s="2"/>
      <c r="N407" s="2"/>
      <c r="O407" s="2"/>
      <c r="P407" s="2"/>
      <c r="Q407" s="2"/>
      <c r="S407" s="3"/>
      <c r="T407" s="3"/>
      <c r="U407" s="3"/>
      <c r="V407" s="3"/>
      <c r="W407" s="3"/>
      <c r="X407" s="3"/>
      <c r="Y407" s="3"/>
      <c r="Z407" s="3"/>
    </row>
    <row r="408" ht="15.75" customHeight="1">
      <c r="A408" s="3"/>
      <c r="B408" s="2"/>
      <c r="C408" s="667"/>
      <c r="D408" s="2"/>
      <c r="E408" s="464"/>
      <c r="F408" s="2"/>
      <c r="G408" s="2"/>
      <c r="H408" s="2"/>
      <c r="I408" s="2"/>
      <c r="J408" s="2"/>
      <c r="K408" s="2"/>
      <c r="L408" s="2"/>
      <c r="M408" s="2"/>
      <c r="N408" s="2"/>
      <c r="O408" s="2"/>
      <c r="P408" s="2"/>
      <c r="Q408" s="2"/>
      <c r="S408" s="3"/>
      <c r="T408" s="3"/>
      <c r="U408" s="3"/>
      <c r="V408" s="3"/>
      <c r="W408" s="3"/>
      <c r="X408" s="3"/>
      <c r="Y408" s="3"/>
      <c r="Z408" s="3"/>
    </row>
    <row r="409" ht="15.75" customHeight="1">
      <c r="A409" s="3"/>
      <c r="B409" s="2"/>
      <c r="C409" s="667"/>
      <c r="D409" s="2"/>
      <c r="E409" s="464"/>
      <c r="F409" s="2"/>
      <c r="G409" s="2"/>
      <c r="H409" s="2"/>
      <c r="I409" s="2"/>
      <c r="J409" s="2"/>
      <c r="K409" s="2"/>
      <c r="L409" s="2"/>
      <c r="M409" s="2"/>
      <c r="N409" s="2"/>
      <c r="O409" s="2"/>
      <c r="P409" s="2"/>
      <c r="Q409" s="2"/>
      <c r="S409" s="3"/>
      <c r="T409" s="3"/>
      <c r="U409" s="3"/>
      <c r="V409" s="3"/>
      <c r="W409" s="3"/>
      <c r="X409" s="3"/>
      <c r="Y409" s="3"/>
      <c r="Z409" s="3"/>
    </row>
    <row r="410" ht="15.75" customHeight="1">
      <c r="A410" s="3"/>
      <c r="B410" s="2"/>
      <c r="C410" s="667"/>
      <c r="D410" s="2"/>
      <c r="E410" s="464"/>
      <c r="F410" s="2"/>
      <c r="G410" s="2"/>
      <c r="H410" s="2"/>
      <c r="I410" s="2"/>
      <c r="J410" s="2"/>
      <c r="K410" s="2"/>
      <c r="L410" s="2"/>
      <c r="M410" s="2"/>
      <c r="N410" s="2"/>
      <c r="O410" s="2"/>
      <c r="P410" s="2"/>
      <c r="Q410" s="2"/>
      <c r="S410" s="3"/>
      <c r="T410" s="3"/>
      <c r="U410" s="3"/>
      <c r="V410" s="3"/>
      <c r="W410" s="3"/>
      <c r="X410" s="3"/>
      <c r="Y410" s="3"/>
      <c r="Z410" s="3"/>
    </row>
    <row r="411" ht="15.75" customHeight="1">
      <c r="A411" s="3"/>
      <c r="B411" s="2"/>
      <c r="C411" s="667"/>
      <c r="D411" s="2"/>
      <c r="E411" s="464"/>
      <c r="F411" s="2"/>
      <c r="G411" s="2"/>
      <c r="H411" s="2"/>
      <c r="I411" s="2"/>
      <c r="J411" s="2"/>
      <c r="K411" s="2"/>
      <c r="L411" s="2"/>
      <c r="M411" s="2"/>
      <c r="N411" s="2"/>
      <c r="O411" s="2"/>
      <c r="P411" s="2"/>
      <c r="Q411" s="2"/>
      <c r="S411" s="3"/>
      <c r="T411" s="3"/>
      <c r="U411" s="3"/>
      <c r="V411" s="3"/>
      <c r="W411" s="3"/>
      <c r="X411" s="3"/>
      <c r="Y411" s="3"/>
      <c r="Z411" s="3"/>
    </row>
    <row r="412" ht="15.75" customHeight="1">
      <c r="A412" s="3"/>
      <c r="B412" s="2"/>
      <c r="C412" s="667"/>
      <c r="D412" s="2"/>
      <c r="E412" s="464"/>
      <c r="F412" s="2"/>
      <c r="G412" s="2"/>
      <c r="H412" s="2"/>
      <c r="I412" s="2"/>
      <c r="J412" s="2"/>
      <c r="K412" s="2"/>
      <c r="L412" s="2"/>
      <c r="M412" s="2"/>
      <c r="N412" s="2"/>
      <c r="O412" s="2"/>
      <c r="P412" s="2"/>
      <c r="Q412" s="2"/>
      <c r="S412" s="3"/>
      <c r="T412" s="3"/>
      <c r="U412" s="3"/>
      <c r="V412" s="3"/>
      <c r="W412" s="3"/>
      <c r="X412" s="3"/>
      <c r="Y412" s="3"/>
      <c r="Z412" s="3"/>
    </row>
    <row r="413" ht="15.75" customHeight="1">
      <c r="A413" s="3"/>
      <c r="B413" s="2"/>
      <c r="C413" s="667"/>
      <c r="D413" s="2"/>
      <c r="E413" s="464"/>
      <c r="F413" s="2"/>
      <c r="G413" s="2"/>
      <c r="H413" s="2"/>
      <c r="I413" s="2"/>
      <c r="J413" s="2"/>
      <c r="K413" s="2"/>
      <c r="L413" s="2"/>
      <c r="M413" s="2"/>
      <c r="N413" s="2"/>
      <c r="O413" s="2"/>
      <c r="P413" s="2"/>
      <c r="Q413" s="2"/>
      <c r="S413" s="3"/>
      <c r="T413" s="3"/>
      <c r="U413" s="3"/>
      <c r="V413" s="3"/>
      <c r="W413" s="3"/>
      <c r="X413" s="3"/>
      <c r="Y413" s="3"/>
      <c r="Z413" s="3"/>
    </row>
    <row r="414" ht="15.75" customHeight="1">
      <c r="A414" s="3"/>
      <c r="B414" s="2"/>
      <c r="C414" s="667"/>
      <c r="D414" s="2"/>
      <c r="E414" s="464"/>
      <c r="F414" s="2"/>
      <c r="G414" s="2"/>
      <c r="H414" s="2"/>
      <c r="I414" s="2"/>
      <c r="J414" s="2"/>
      <c r="K414" s="2"/>
      <c r="L414" s="2"/>
      <c r="M414" s="2"/>
      <c r="N414" s="2"/>
      <c r="O414" s="2"/>
      <c r="P414" s="2"/>
      <c r="Q414" s="2"/>
      <c r="S414" s="3"/>
      <c r="T414" s="3"/>
      <c r="U414" s="3"/>
      <c r="V414" s="3"/>
      <c r="W414" s="3"/>
      <c r="X414" s="3"/>
      <c r="Y414" s="3"/>
      <c r="Z414" s="3"/>
    </row>
    <row r="415" ht="15.75" customHeight="1">
      <c r="A415" s="3"/>
      <c r="B415" s="2"/>
      <c r="C415" s="667"/>
      <c r="D415" s="2"/>
      <c r="E415" s="464"/>
      <c r="F415" s="2"/>
      <c r="G415" s="2"/>
      <c r="H415" s="2"/>
      <c r="I415" s="2"/>
      <c r="J415" s="2"/>
      <c r="K415" s="2"/>
      <c r="L415" s="2"/>
      <c r="M415" s="2"/>
      <c r="N415" s="2"/>
      <c r="O415" s="2"/>
      <c r="P415" s="2"/>
      <c r="Q415" s="2"/>
      <c r="S415" s="3"/>
      <c r="T415" s="3"/>
      <c r="U415" s="3"/>
      <c r="V415" s="3"/>
      <c r="W415" s="3"/>
      <c r="X415" s="3"/>
      <c r="Y415" s="3"/>
      <c r="Z415" s="3"/>
    </row>
    <row r="416" ht="15.75" customHeight="1">
      <c r="A416" s="3"/>
      <c r="B416" s="2"/>
      <c r="C416" s="667"/>
      <c r="D416" s="2"/>
      <c r="E416" s="464"/>
      <c r="F416" s="2"/>
      <c r="G416" s="2"/>
      <c r="H416" s="2"/>
      <c r="I416" s="2"/>
      <c r="J416" s="2"/>
      <c r="K416" s="2"/>
      <c r="L416" s="2"/>
      <c r="M416" s="2"/>
      <c r="N416" s="2"/>
      <c r="O416" s="2"/>
      <c r="P416" s="2"/>
      <c r="Q416" s="2"/>
      <c r="S416" s="3"/>
      <c r="T416" s="3"/>
      <c r="U416" s="3"/>
      <c r="V416" s="3"/>
      <c r="W416" s="3"/>
      <c r="X416" s="3"/>
      <c r="Y416" s="3"/>
      <c r="Z416" s="3"/>
    </row>
    <row r="417" ht="15.75" customHeight="1">
      <c r="A417" s="3"/>
      <c r="B417" s="2"/>
      <c r="C417" s="667"/>
      <c r="D417" s="2"/>
      <c r="E417" s="464"/>
      <c r="F417" s="2"/>
      <c r="G417" s="2"/>
      <c r="H417" s="2"/>
      <c r="I417" s="2"/>
      <c r="J417" s="2"/>
      <c r="K417" s="2"/>
      <c r="L417" s="2"/>
      <c r="M417" s="2"/>
      <c r="N417" s="2"/>
      <c r="O417" s="2"/>
      <c r="P417" s="2"/>
      <c r="Q417" s="2"/>
      <c r="S417" s="3"/>
      <c r="T417" s="3"/>
      <c r="U417" s="3"/>
      <c r="V417" s="3"/>
      <c r="W417" s="3"/>
      <c r="X417" s="3"/>
      <c r="Y417" s="3"/>
      <c r="Z417" s="3"/>
    </row>
    <row r="418" ht="15.75" customHeight="1">
      <c r="A418" s="3"/>
      <c r="B418" s="2"/>
      <c r="C418" s="667"/>
      <c r="D418" s="2"/>
      <c r="E418" s="464"/>
      <c r="F418" s="2"/>
      <c r="G418" s="2"/>
      <c r="H418" s="2"/>
      <c r="I418" s="2"/>
      <c r="J418" s="2"/>
      <c r="K418" s="2"/>
      <c r="L418" s="2"/>
      <c r="M418" s="2"/>
      <c r="N418" s="2"/>
      <c r="O418" s="2"/>
      <c r="P418" s="2"/>
      <c r="Q418" s="2"/>
      <c r="S418" s="3"/>
      <c r="T418" s="3"/>
      <c r="U418" s="3"/>
      <c r="V418" s="3"/>
      <c r="W418" s="3"/>
      <c r="X418" s="3"/>
      <c r="Y418" s="3"/>
      <c r="Z418" s="3"/>
    </row>
    <row r="419" ht="15.75" customHeight="1">
      <c r="A419" s="3"/>
      <c r="B419" s="2"/>
      <c r="C419" s="667"/>
      <c r="D419" s="2"/>
      <c r="E419" s="464"/>
      <c r="F419" s="2"/>
      <c r="G419" s="2"/>
      <c r="H419" s="2"/>
      <c r="I419" s="2"/>
      <c r="J419" s="2"/>
      <c r="K419" s="2"/>
      <c r="L419" s="2"/>
      <c r="M419" s="2"/>
      <c r="N419" s="2"/>
      <c r="O419" s="2"/>
      <c r="P419" s="2"/>
      <c r="Q419" s="2"/>
      <c r="S419" s="3"/>
      <c r="T419" s="3"/>
      <c r="U419" s="3"/>
      <c r="V419" s="3"/>
      <c r="W419" s="3"/>
      <c r="X419" s="3"/>
      <c r="Y419" s="3"/>
      <c r="Z419" s="3"/>
    </row>
    <row r="420" ht="15.75" customHeight="1">
      <c r="A420" s="3"/>
      <c r="B420" s="2"/>
      <c r="C420" s="667"/>
      <c r="D420" s="2"/>
      <c r="E420" s="464"/>
      <c r="F420" s="2"/>
      <c r="G420" s="2"/>
      <c r="H420" s="2"/>
      <c r="I420" s="2"/>
      <c r="J420" s="2"/>
      <c r="K420" s="2"/>
      <c r="L420" s="2"/>
      <c r="M420" s="2"/>
      <c r="N420" s="2"/>
      <c r="O420" s="2"/>
      <c r="P420" s="2"/>
      <c r="Q420" s="2"/>
      <c r="S420" s="3"/>
      <c r="T420" s="3"/>
      <c r="U420" s="3"/>
      <c r="V420" s="3"/>
      <c r="W420" s="3"/>
      <c r="X420" s="3"/>
      <c r="Y420" s="3"/>
      <c r="Z420" s="3"/>
    </row>
    <row r="421" ht="15.75" customHeight="1">
      <c r="A421" s="3"/>
      <c r="B421" s="2"/>
      <c r="C421" s="667"/>
      <c r="D421" s="2"/>
      <c r="E421" s="464"/>
      <c r="F421" s="2"/>
      <c r="G421" s="2"/>
      <c r="H421" s="2"/>
      <c r="I421" s="2"/>
      <c r="J421" s="2"/>
      <c r="K421" s="2"/>
      <c r="L421" s="2"/>
      <c r="M421" s="2"/>
      <c r="N421" s="2"/>
      <c r="O421" s="2"/>
      <c r="P421" s="2"/>
      <c r="Q421" s="2"/>
      <c r="S421" s="3"/>
      <c r="T421" s="3"/>
      <c r="U421" s="3"/>
      <c r="V421" s="3"/>
      <c r="W421" s="3"/>
      <c r="X421" s="3"/>
      <c r="Y421" s="3"/>
      <c r="Z421" s="3"/>
    </row>
    <row r="422" ht="15.75" customHeight="1">
      <c r="A422" s="3"/>
      <c r="B422" s="2"/>
      <c r="C422" s="667"/>
      <c r="D422" s="2"/>
      <c r="E422" s="464"/>
      <c r="F422" s="2"/>
      <c r="G422" s="2"/>
      <c r="H422" s="2"/>
      <c r="I422" s="2"/>
      <c r="J422" s="2"/>
      <c r="K422" s="2"/>
      <c r="L422" s="2"/>
      <c r="M422" s="2"/>
      <c r="N422" s="2"/>
      <c r="O422" s="2"/>
      <c r="P422" s="2"/>
      <c r="Q422" s="2"/>
      <c r="S422" s="3"/>
      <c r="T422" s="3"/>
      <c r="U422" s="3"/>
      <c r="V422" s="3"/>
      <c r="W422" s="3"/>
      <c r="X422" s="3"/>
      <c r="Y422" s="3"/>
      <c r="Z422" s="3"/>
    </row>
    <row r="423" ht="15.75" customHeight="1">
      <c r="A423" s="3"/>
      <c r="B423" s="2"/>
      <c r="C423" s="667"/>
      <c r="D423" s="2"/>
      <c r="E423" s="464"/>
      <c r="F423" s="2"/>
      <c r="G423" s="2"/>
      <c r="H423" s="2"/>
      <c r="I423" s="2"/>
      <c r="J423" s="2"/>
      <c r="K423" s="2"/>
      <c r="L423" s="2"/>
      <c r="M423" s="2"/>
      <c r="N423" s="2"/>
      <c r="O423" s="2"/>
      <c r="P423" s="2"/>
      <c r="Q423" s="2"/>
      <c r="S423" s="3"/>
      <c r="T423" s="3"/>
      <c r="U423" s="3"/>
      <c r="V423" s="3"/>
      <c r="W423" s="3"/>
      <c r="X423" s="3"/>
      <c r="Y423" s="3"/>
      <c r="Z423" s="3"/>
    </row>
    <row r="424" ht="15.75" customHeight="1">
      <c r="A424" s="3"/>
      <c r="B424" s="2"/>
      <c r="C424" s="667"/>
      <c r="D424" s="2"/>
      <c r="E424" s="464"/>
      <c r="F424" s="2"/>
      <c r="G424" s="2"/>
      <c r="H424" s="2"/>
      <c r="I424" s="2"/>
      <c r="J424" s="2"/>
      <c r="K424" s="2"/>
      <c r="L424" s="2"/>
      <c r="M424" s="2"/>
      <c r="N424" s="2"/>
      <c r="O424" s="2"/>
      <c r="P424" s="2"/>
      <c r="Q424" s="2"/>
      <c r="S424" s="3"/>
      <c r="T424" s="3"/>
      <c r="U424" s="3"/>
      <c r="V424" s="3"/>
      <c r="W424" s="3"/>
      <c r="X424" s="3"/>
      <c r="Y424" s="3"/>
      <c r="Z424" s="3"/>
    </row>
    <row r="425" ht="15.75" customHeight="1">
      <c r="A425" s="3"/>
      <c r="B425" s="2"/>
      <c r="C425" s="667"/>
      <c r="D425" s="2"/>
      <c r="E425" s="464"/>
      <c r="F425" s="2"/>
      <c r="G425" s="2"/>
      <c r="H425" s="2"/>
      <c r="I425" s="2"/>
      <c r="J425" s="2"/>
      <c r="K425" s="2"/>
      <c r="L425" s="2"/>
      <c r="M425" s="2"/>
      <c r="N425" s="2"/>
      <c r="O425" s="2"/>
      <c r="P425" s="2"/>
      <c r="Q425" s="2"/>
      <c r="S425" s="3"/>
      <c r="T425" s="3"/>
      <c r="U425" s="3"/>
      <c r="V425" s="3"/>
      <c r="W425" s="3"/>
      <c r="X425" s="3"/>
      <c r="Y425" s="3"/>
      <c r="Z425" s="3"/>
    </row>
    <row r="426" ht="15.75" customHeight="1">
      <c r="A426" s="3"/>
      <c r="B426" s="2"/>
      <c r="C426" s="667"/>
      <c r="D426" s="2"/>
      <c r="E426" s="464"/>
      <c r="F426" s="2"/>
      <c r="G426" s="2"/>
      <c r="H426" s="2"/>
      <c r="I426" s="2"/>
      <c r="J426" s="2"/>
      <c r="K426" s="2"/>
      <c r="L426" s="2"/>
      <c r="M426" s="2"/>
      <c r="N426" s="2"/>
      <c r="O426" s="2"/>
      <c r="P426" s="2"/>
      <c r="Q426" s="2"/>
      <c r="S426" s="3"/>
      <c r="T426" s="3"/>
      <c r="U426" s="3"/>
      <c r="V426" s="3"/>
      <c r="W426" s="3"/>
      <c r="X426" s="3"/>
      <c r="Y426" s="3"/>
      <c r="Z426" s="3"/>
    </row>
    <row r="427" ht="15.75" customHeight="1">
      <c r="A427" s="3"/>
      <c r="B427" s="2"/>
      <c r="C427" s="667"/>
      <c r="D427" s="2"/>
      <c r="E427" s="464"/>
      <c r="F427" s="2"/>
      <c r="G427" s="2"/>
      <c r="H427" s="2"/>
      <c r="I427" s="2"/>
      <c r="J427" s="2"/>
      <c r="K427" s="2"/>
      <c r="L427" s="2"/>
      <c r="M427" s="2"/>
      <c r="N427" s="2"/>
      <c r="O427" s="2"/>
      <c r="P427" s="2"/>
      <c r="Q427" s="2"/>
      <c r="S427" s="3"/>
      <c r="T427" s="3"/>
      <c r="U427" s="3"/>
      <c r="V427" s="3"/>
      <c r="W427" s="3"/>
      <c r="X427" s="3"/>
      <c r="Y427" s="3"/>
      <c r="Z427" s="3"/>
    </row>
    <row r="428" ht="15.75" customHeight="1">
      <c r="A428" s="3"/>
      <c r="B428" s="2"/>
      <c r="C428" s="667"/>
      <c r="D428" s="2"/>
      <c r="E428" s="464"/>
      <c r="F428" s="2"/>
      <c r="G428" s="2"/>
      <c r="H428" s="2"/>
      <c r="I428" s="2"/>
      <c r="J428" s="2"/>
      <c r="K428" s="2"/>
      <c r="L428" s="2"/>
      <c r="M428" s="2"/>
      <c r="N428" s="2"/>
      <c r="O428" s="2"/>
      <c r="P428" s="2"/>
      <c r="Q428" s="2"/>
      <c r="S428" s="3"/>
      <c r="T428" s="3"/>
      <c r="U428" s="3"/>
      <c r="V428" s="3"/>
      <c r="W428" s="3"/>
      <c r="X428" s="3"/>
      <c r="Y428" s="3"/>
      <c r="Z428" s="3"/>
    </row>
    <row r="429" ht="15.75" customHeight="1">
      <c r="A429" s="3"/>
      <c r="B429" s="2"/>
      <c r="C429" s="667"/>
      <c r="D429" s="2"/>
      <c r="E429" s="464"/>
      <c r="F429" s="2"/>
      <c r="G429" s="2"/>
      <c r="H429" s="2"/>
      <c r="I429" s="2"/>
      <c r="J429" s="2"/>
      <c r="K429" s="2"/>
      <c r="L429" s="2"/>
      <c r="M429" s="2"/>
      <c r="N429" s="2"/>
      <c r="O429" s="2"/>
      <c r="P429" s="2"/>
      <c r="Q429" s="2"/>
      <c r="S429" s="3"/>
      <c r="T429" s="3"/>
      <c r="U429" s="3"/>
      <c r="V429" s="3"/>
      <c r="W429" s="3"/>
      <c r="X429" s="3"/>
      <c r="Y429" s="3"/>
      <c r="Z429" s="3"/>
    </row>
    <row r="430" ht="15.75" customHeight="1">
      <c r="A430" s="3"/>
      <c r="B430" s="2"/>
      <c r="C430" s="667"/>
      <c r="D430" s="2"/>
      <c r="E430" s="464"/>
      <c r="F430" s="2"/>
      <c r="G430" s="2"/>
      <c r="H430" s="2"/>
      <c r="I430" s="2"/>
      <c r="J430" s="2"/>
      <c r="K430" s="2"/>
      <c r="L430" s="2"/>
      <c r="M430" s="2"/>
      <c r="N430" s="2"/>
      <c r="O430" s="2"/>
      <c r="P430" s="2"/>
      <c r="Q430" s="2"/>
      <c r="S430" s="3"/>
      <c r="T430" s="3"/>
      <c r="U430" s="3"/>
      <c r="V430" s="3"/>
      <c r="W430" s="3"/>
      <c r="X430" s="3"/>
      <c r="Y430" s="3"/>
      <c r="Z430" s="3"/>
    </row>
    <row r="431" ht="15.75" customHeight="1">
      <c r="A431" s="3"/>
      <c r="B431" s="2"/>
      <c r="C431" s="667"/>
      <c r="D431" s="2"/>
      <c r="E431" s="464"/>
      <c r="F431" s="2"/>
      <c r="G431" s="2"/>
      <c r="H431" s="2"/>
      <c r="I431" s="2"/>
      <c r="J431" s="2"/>
      <c r="K431" s="2"/>
      <c r="L431" s="2"/>
      <c r="M431" s="2"/>
      <c r="N431" s="2"/>
      <c r="O431" s="2"/>
      <c r="P431" s="2"/>
      <c r="Q431" s="2"/>
      <c r="S431" s="3"/>
      <c r="T431" s="3"/>
      <c r="U431" s="3"/>
      <c r="V431" s="3"/>
      <c r="W431" s="3"/>
      <c r="X431" s="3"/>
      <c r="Y431" s="3"/>
      <c r="Z431" s="3"/>
    </row>
    <row r="432" ht="15.75" customHeight="1">
      <c r="A432" s="3"/>
      <c r="B432" s="2"/>
      <c r="C432" s="667"/>
      <c r="D432" s="2"/>
      <c r="E432" s="464"/>
      <c r="F432" s="2"/>
      <c r="G432" s="2"/>
      <c r="H432" s="2"/>
      <c r="I432" s="2"/>
      <c r="J432" s="2"/>
      <c r="K432" s="2"/>
      <c r="L432" s="2"/>
      <c r="M432" s="2"/>
      <c r="N432" s="2"/>
      <c r="O432" s="2"/>
      <c r="P432" s="2"/>
      <c r="Q432" s="2"/>
      <c r="S432" s="3"/>
      <c r="T432" s="3"/>
      <c r="U432" s="3"/>
      <c r="V432" s="3"/>
      <c r="W432" s="3"/>
      <c r="X432" s="3"/>
      <c r="Y432" s="3"/>
      <c r="Z432" s="3"/>
    </row>
    <row r="433" ht="15.75" customHeight="1">
      <c r="A433" s="3"/>
      <c r="B433" s="2"/>
      <c r="C433" s="667"/>
      <c r="D433" s="2"/>
      <c r="E433" s="464"/>
      <c r="F433" s="2"/>
      <c r="G433" s="2"/>
      <c r="H433" s="2"/>
      <c r="I433" s="2"/>
      <c r="J433" s="2"/>
      <c r="K433" s="2"/>
      <c r="L433" s="2"/>
      <c r="M433" s="2"/>
      <c r="N433" s="2"/>
      <c r="O433" s="2"/>
      <c r="P433" s="2"/>
      <c r="Q433" s="2"/>
      <c r="S433" s="3"/>
      <c r="T433" s="3"/>
      <c r="U433" s="3"/>
      <c r="V433" s="3"/>
      <c r="W433" s="3"/>
      <c r="X433" s="3"/>
      <c r="Y433" s="3"/>
      <c r="Z433" s="3"/>
    </row>
    <row r="434" ht="15.75" customHeight="1">
      <c r="A434" s="3"/>
      <c r="B434" s="2"/>
      <c r="C434" s="667"/>
      <c r="D434" s="2"/>
      <c r="E434" s="464"/>
      <c r="F434" s="2"/>
      <c r="G434" s="2"/>
      <c r="H434" s="2"/>
      <c r="I434" s="2"/>
      <c r="J434" s="2"/>
      <c r="K434" s="2"/>
      <c r="L434" s="2"/>
      <c r="M434" s="2"/>
      <c r="N434" s="2"/>
      <c r="O434" s="2"/>
      <c r="P434" s="2"/>
      <c r="Q434" s="2"/>
      <c r="S434" s="3"/>
      <c r="T434" s="3"/>
      <c r="U434" s="3"/>
      <c r="V434" s="3"/>
      <c r="W434" s="3"/>
      <c r="X434" s="3"/>
      <c r="Y434" s="3"/>
      <c r="Z434" s="3"/>
    </row>
    <row r="435" ht="15.75" customHeight="1">
      <c r="A435" s="3"/>
      <c r="B435" s="2"/>
      <c r="C435" s="667"/>
      <c r="D435" s="2"/>
      <c r="E435" s="464"/>
      <c r="F435" s="2"/>
      <c r="G435" s="2"/>
      <c r="H435" s="2"/>
      <c r="I435" s="2"/>
      <c r="J435" s="2"/>
      <c r="K435" s="2"/>
      <c r="L435" s="2"/>
      <c r="M435" s="2"/>
      <c r="N435" s="2"/>
      <c r="O435" s="2"/>
      <c r="P435" s="2"/>
      <c r="Q435" s="2"/>
      <c r="S435" s="3"/>
      <c r="T435" s="3"/>
      <c r="U435" s="3"/>
      <c r="V435" s="3"/>
      <c r="W435" s="3"/>
      <c r="X435" s="3"/>
      <c r="Y435" s="3"/>
      <c r="Z435" s="3"/>
    </row>
    <row r="436" ht="15.75" customHeight="1">
      <c r="A436" s="3"/>
      <c r="B436" s="2"/>
      <c r="C436" s="667"/>
      <c r="D436" s="2"/>
      <c r="E436" s="464"/>
      <c r="F436" s="2"/>
      <c r="G436" s="2"/>
      <c r="H436" s="2"/>
      <c r="I436" s="2"/>
      <c r="J436" s="2"/>
      <c r="K436" s="2"/>
      <c r="L436" s="2"/>
      <c r="M436" s="2"/>
      <c r="N436" s="2"/>
      <c r="O436" s="2"/>
      <c r="P436" s="2"/>
      <c r="Q436" s="2"/>
      <c r="S436" s="3"/>
      <c r="T436" s="3"/>
      <c r="U436" s="3"/>
      <c r="V436" s="3"/>
      <c r="W436" s="3"/>
      <c r="X436" s="3"/>
      <c r="Y436" s="3"/>
      <c r="Z436" s="3"/>
    </row>
    <row r="437" ht="15.75" customHeight="1">
      <c r="A437" s="3"/>
      <c r="B437" s="2"/>
      <c r="C437" s="667"/>
      <c r="D437" s="2"/>
      <c r="E437" s="464"/>
      <c r="F437" s="2"/>
      <c r="G437" s="2"/>
      <c r="H437" s="2"/>
      <c r="I437" s="2"/>
      <c r="J437" s="2"/>
      <c r="K437" s="2"/>
      <c r="L437" s="2"/>
      <c r="M437" s="2"/>
      <c r="N437" s="2"/>
      <c r="O437" s="2"/>
      <c r="P437" s="2"/>
      <c r="Q437" s="2"/>
      <c r="S437" s="3"/>
      <c r="T437" s="3"/>
      <c r="U437" s="3"/>
      <c r="V437" s="3"/>
      <c r="W437" s="3"/>
      <c r="X437" s="3"/>
      <c r="Y437" s="3"/>
      <c r="Z437" s="3"/>
    </row>
    <row r="438" ht="15.75" customHeight="1">
      <c r="A438" s="3"/>
      <c r="B438" s="2"/>
      <c r="C438" s="667"/>
      <c r="D438" s="2"/>
      <c r="E438" s="464"/>
      <c r="F438" s="2"/>
      <c r="G438" s="2"/>
      <c r="H438" s="2"/>
      <c r="I438" s="2"/>
      <c r="J438" s="2"/>
      <c r="K438" s="2"/>
      <c r="L438" s="2"/>
      <c r="M438" s="2"/>
      <c r="N438" s="2"/>
      <c r="O438" s="2"/>
      <c r="P438" s="2"/>
      <c r="Q438" s="2"/>
      <c r="S438" s="3"/>
      <c r="T438" s="3"/>
      <c r="U438" s="3"/>
      <c r="V438" s="3"/>
      <c r="W438" s="3"/>
      <c r="X438" s="3"/>
      <c r="Y438" s="3"/>
      <c r="Z438" s="3"/>
    </row>
    <row r="439" ht="15.75" customHeight="1">
      <c r="A439" s="3"/>
      <c r="B439" s="2"/>
      <c r="C439" s="667"/>
      <c r="D439" s="2"/>
      <c r="E439" s="464"/>
      <c r="F439" s="2"/>
      <c r="G439" s="2"/>
      <c r="H439" s="2"/>
      <c r="I439" s="2"/>
      <c r="J439" s="2"/>
      <c r="K439" s="2"/>
      <c r="L439" s="2"/>
      <c r="M439" s="2"/>
      <c r="N439" s="2"/>
      <c r="O439" s="2"/>
      <c r="P439" s="2"/>
      <c r="Q439" s="2"/>
      <c r="S439" s="3"/>
      <c r="T439" s="3"/>
      <c r="U439" s="3"/>
      <c r="V439" s="3"/>
      <c r="W439" s="3"/>
      <c r="X439" s="3"/>
      <c r="Y439" s="3"/>
      <c r="Z439" s="3"/>
    </row>
    <row r="440" ht="15.75" customHeight="1">
      <c r="A440" s="3"/>
      <c r="B440" s="2"/>
      <c r="C440" s="667"/>
      <c r="D440" s="2"/>
      <c r="E440" s="464"/>
      <c r="F440" s="2"/>
      <c r="G440" s="2"/>
      <c r="H440" s="2"/>
      <c r="I440" s="2"/>
      <c r="J440" s="2"/>
      <c r="K440" s="2"/>
      <c r="L440" s="2"/>
      <c r="M440" s="2"/>
      <c r="N440" s="2"/>
      <c r="O440" s="2"/>
      <c r="P440" s="2"/>
      <c r="Q440" s="2"/>
      <c r="S440" s="3"/>
      <c r="T440" s="3"/>
      <c r="U440" s="3"/>
      <c r="V440" s="3"/>
      <c r="W440" s="3"/>
      <c r="X440" s="3"/>
      <c r="Y440" s="3"/>
      <c r="Z440" s="3"/>
    </row>
    <row r="441" ht="15.75" customHeight="1">
      <c r="A441" s="3"/>
      <c r="B441" s="2"/>
      <c r="C441" s="667"/>
      <c r="D441" s="2"/>
      <c r="E441" s="464"/>
      <c r="F441" s="2"/>
      <c r="G441" s="2"/>
      <c r="H441" s="2"/>
      <c r="I441" s="2"/>
      <c r="J441" s="2"/>
      <c r="K441" s="2"/>
      <c r="L441" s="2"/>
      <c r="M441" s="2"/>
      <c r="N441" s="2"/>
      <c r="O441" s="2"/>
      <c r="P441" s="2"/>
      <c r="Q441" s="2"/>
      <c r="S441" s="3"/>
      <c r="T441" s="3"/>
      <c r="U441" s="3"/>
      <c r="V441" s="3"/>
      <c r="W441" s="3"/>
      <c r="X441" s="3"/>
      <c r="Y441" s="3"/>
      <c r="Z441" s="3"/>
    </row>
    <row r="442" ht="15.75" customHeight="1">
      <c r="A442" s="3"/>
      <c r="B442" s="2"/>
      <c r="C442" s="667"/>
      <c r="D442" s="2"/>
      <c r="E442" s="464"/>
      <c r="F442" s="2"/>
      <c r="G442" s="2"/>
      <c r="H442" s="2"/>
      <c r="I442" s="2"/>
      <c r="J442" s="2"/>
      <c r="K442" s="2"/>
      <c r="L442" s="2"/>
      <c r="M442" s="2"/>
      <c r="N442" s="2"/>
      <c r="O442" s="2"/>
      <c r="P442" s="2"/>
      <c r="Q442" s="2"/>
      <c r="S442" s="3"/>
      <c r="T442" s="3"/>
      <c r="U442" s="3"/>
      <c r="V442" s="3"/>
      <c r="W442" s="3"/>
      <c r="X442" s="3"/>
      <c r="Y442" s="3"/>
      <c r="Z442" s="3"/>
    </row>
    <row r="443" ht="15.75" customHeight="1">
      <c r="A443" s="3"/>
      <c r="B443" s="2"/>
      <c r="C443" s="667"/>
      <c r="D443" s="2"/>
      <c r="E443" s="464"/>
      <c r="F443" s="2"/>
      <c r="G443" s="2"/>
      <c r="H443" s="2"/>
      <c r="I443" s="2"/>
      <c r="J443" s="2"/>
      <c r="K443" s="2"/>
      <c r="L443" s="2"/>
      <c r="M443" s="2"/>
      <c r="N443" s="2"/>
      <c r="O443" s="2"/>
      <c r="P443" s="2"/>
      <c r="Q443" s="2"/>
      <c r="S443" s="3"/>
      <c r="T443" s="3"/>
      <c r="U443" s="3"/>
      <c r="V443" s="3"/>
      <c r="W443" s="3"/>
      <c r="X443" s="3"/>
      <c r="Y443" s="3"/>
      <c r="Z443" s="3"/>
    </row>
    <row r="444" ht="15.75" customHeight="1">
      <c r="A444" s="3"/>
      <c r="B444" s="2"/>
      <c r="C444" s="667"/>
      <c r="D444" s="2"/>
      <c r="E444" s="464"/>
      <c r="F444" s="2"/>
      <c r="G444" s="2"/>
      <c r="H444" s="2"/>
      <c r="I444" s="2"/>
      <c r="J444" s="2"/>
      <c r="K444" s="2"/>
      <c r="L444" s="2"/>
      <c r="M444" s="2"/>
      <c r="N444" s="2"/>
      <c r="O444" s="2"/>
      <c r="P444" s="2"/>
      <c r="Q444" s="2"/>
      <c r="S444" s="3"/>
      <c r="T444" s="3"/>
      <c r="U444" s="3"/>
      <c r="V444" s="3"/>
      <c r="W444" s="3"/>
      <c r="X444" s="3"/>
      <c r="Y444" s="3"/>
      <c r="Z444" s="3"/>
    </row>
    <row r="445" ht="15.75" customHeight="1">
      <c r="A445" s="3"/>
      <c r="B445" s="2"/>
      <c r="C445" s="667"/>
      <c r="D445" s="2"/>
      <c r="E445" s="464"/>
      <c r="F445" s="2"/>
      <c r="G445" s="2"/>
      <c r="H445" s="2"/>
      <c r="I445" s="2"/>
      <c r="J445" s="2"/>
      <c r="K445" s="2"/>
      <c r="L445" s="2"/>
      <c r="M445" s="2"/>
      <c r="N445" s="2"/>
      <c r="O445" s="2"/>
      <c r="P445" s="2"/>
      <c r="Q445" s="2"/>
      <c r="S445" s="3"/>
      <c r="T445" s="3"/>
      <c r="U445" s="3"/>
      <c r="V445" s="3"/>
      <c r="W445" s="3"/>
      <c r="X445" s="3"/>
      <c r="Y445" s="3"/>
      <c r="Z445" s="3"/>
    </row>
    <row r="446" ht="15.75" customHeight="1">
      <c r="A446" s="3"/>
      <c r="B446" s="2"/>
      <c r="C446" s="667"/>
      <c r="D446" s="2"/>
      <c r="E446" s="464"/>
      <c r="F446" s="2"/>
      <c r="G446" s="2"/>
      <c r="H446" s="2"/>
      <c r="I446" s="2"/>
      <c r="J446" s="2"/>
      <c r="K446" s="2"/>
      <c r="L446" s="2"/>
      <c r="M446" s="2"/>
      <c r="N446" s="2"/>
      <c r="O446" s="2"/>
      <c r="P446" s="2"/>
      <c r="Q446" s="2"/>
      <c r="S446" s="3"/>
      <c r="T446" s="3"/>
      <c r="U446" s="3"/>
      <c r="V446" s="3"/>
      <c r="W446" s="3"/>
      <c r="X446" s="3"/>
      <c r="Y446" s="3"/>
      <c r="Z446" s="3"/>
    </row>
    <row r="447" ht="15.75" customHeight="1">
      <c r="A447" s="3"/>
      <c r="B447" s="2"/>
      <c r="C447" s="667"/>
      <c r="D447" s="2"/>
      <c r="E447" s="464"/>
      <c r="F447" s="2"/>
      <c r="G447" s="2"/>
      <c r="H447" s="2"/>
      <c r="I447" s="2"/>
      <c r="J447" s="2"/>
      <c r="K447" s="2"/>
      <c r="L447" s="2"/>
      <c r="M447" s="2"/>
      <c r="N447" s="2"/>
      <c r="O447" s="2"/>
      <c r="P447" s="2"/>
      <c r="Q447" s="2"/>
      <c r="S447" s="3"/>
      <c r="T447" s="3"/>
      <c r="U447" s="3"/>
      <c r="V447" s="3"/>
      <c r="W447" s="3"/>
      <c r="X447" s="3"/>
      <c r="Y447" s="3"/>
      <c r="Z447" s="3"/>
    </row>
    <row r="448" ht="15.75" customHeight="1">
      <c r="A448" s="3"/>
      <c r="B448" s="2"/>
      <c r="C448" s="667"/>
      <c r="D448" s="2"/>
      <c r="E448" s="464"/>
      <c r="F448" s="2"/>
      <c r="G448" s="2"/>
      <c r="H448" s="2"/>
      <c r="I448" s="2"/>
      <c r="J448" s="2"/>
      <c r="K448" s="2"/>
      <c r="L448" s="2"/>
      <c r="M448" s="2"/>
      <c r="N448" s="2"/>
      <c r="O448" s="2"/>
      <c r="P448" s="2"/>
      <c r="Q448" s="2"/>
      <c r="S448" s="3"/>
      <c r="T448" s="3"/>
      <c r="U448" s="3"/>
      <c r="V448" s="3"/>
      <c r="W448" s="3"/>
      <c r="X448" s="3"/>
      <c r="Y448" s="3"/>
      <c r="Z448" s="3"/>
    </row>
    <row r="449" ht="15.75" customHeight="1">
      <c r="A449" s="3"/>
      <c r="B449" s="2"/>
      <c r="C449" s="667"/>
      <c r="D449" s="2"/>
      <c r="E449" s="464"/>
      <c r="F449" s="2"/>
      <c r="G449" s="2"/>
      <c r="H449" s="2"/>
      <c r="I449" s="2"/>
      <c r="J449" s="2"/>
      <c r="K449" s="2"/>
      <c r="L449" s="2"/>
      <c r="M449" s="2"/>
      <c r="N449" s="2"/>
      <c r="O449" s="2"/>
      <c r="P449" s="2"/>
      <c r="Q449" s="2"/>
      <c r="S449" s="3"/>
      <c r="T449" s="3"/>
      <c r="U449" s="3"/>
      <c r="V449" s="3"/>
      <c r="W449" s="3"/>
      <c r="X449" s="3"/>
      <c r="Y449" s="3"/>
      <c r="Z449" s="3"/>
    </row>
    <row r="450" ht="15.75" customHeight="1">
      <c r="A450" s="3"/>
      <c r="B450" s="2"/>
      <c r="C450" s="667"/>
      <c r="D450" s="2"/>
      <c r="E450" s="464"/>
      <c r="F450" s="2"/>
      <c r="G450" s="2"/>
      <c r="H450" s="2"/>
      <c r="I450" s="2"/>
      <c r="J450" s="2"/>
      <c r="K450" s="2"/>
      <c r="L450" s="2"/>
      <c r="M450" s="2"/>
      <c r="N450" s="2"/>
      <c r="O450" s="2"/>
      <c r="P450" s="2"/>
      <c r="Q450" s="2"/>
      <c r="S450" s="3"/>
      <c r="T450" s="3"/>
      <c r="U450" s="3"/>
      <c r="V450" s="3"/>
      <c r="W450" s="3"/>
      <c r="X450" s="3"/>
      <c r="Y450" s="3"/>
      <c r="Z450" s="3"/>
    </row>
    <row r="451" ht="15.75" customHeight="1">
      <c r="A451" s="3"/>
      <c r="B451" s="2"/>
      <c r="C451" s="667"/>
      <c r="D451" s="2"/>
      <c r="E451" s="464"/>
      <c r="F451" s="2"/>
      <c r="G451" s="2"/>
      <c r="H451" s="2"/>
      <c r="I451" s="2"/>
      <c r="J451" s="2"/>
      <c r="K451" s="2"/>
      <c r="L451" s="2"/>
      <c r="M451" s="2"/>
      <c r="N451" s="2"/>
      <c r="O451" s="2"/>
      <c r="P451" s="2"/>
      <c r="Q451" s="2"/>
      <c r="S451" s="3"/>
      <c r="T451" s="3"/>
      <c r="U451" s="3"/>
      <c r="V451" s="3"/>
      <c r="W451" s="3"/>
      <c r="X451" s="3"/>
      <c r="Y451" s="3"/>
      <c r="Z451" s="3"/>
    </row>
    <row r="452" ht="15.75" customHeight="1">
      <c r="A452" s="3"/>
      <c r="B452" s="2"/>
      <c r="C452" s="667"/>
      <c r="D452" s="2"/>
      <c r="E452" s="464"/>
      <c r="F452" s="2"/>
      <c r="G452" s="2"/>
      <c r="H452" s="2"/>
      <c r="I452" s="2"/>
      <c r="J452" s="2"/>
      <c r="K452" s="2"/>
      <c r="L452" s="2"/>
      <c r="M452" s="2"/>
      <c r="N452" s="2"/>
      <c r="O452" s="2"/>
      <c r="P452" s="2"/>
      <c r="Q452" s="2"/>
      <c r="S452" s="3"/>
      <c r="T452" s="3"/>
      <c r="U452" s="3"/>
      <c r="V452" s="3"/>
      <c r="W452" s="3"/>
      <c r="X452" s="3"/>
      <c r="Y452" s="3"/>
      <c r="Z452" s="3"/>
    </row>
    <row r="453" ht="15.75" customHeight="1">
      <c r="A453" s="3"/>
      <c r="B453" s="2"/>
      <c r="C453" s="667"/>
      <c r="D453" s="2"/>
      <c r="E453" s="464"/>
      <c r="F453" s="2"/>
      <c r="G453" s="2"/>
      <c r="H453" s="2"/>
      <c r="I453" s="2"/>
      <c r="J453" s="2"/>
      <c r="K453" s="2"/>
      <c r="L453" s="2"/>
      <c r="M453" s="2"/>
      <c r="N453" s="2"/>
      <c r="O453" s="2"/>
      <c r="P453" s="2"/>
      <c r="Q453" s="2"/>
      <c r="S453" s="3"/>
      <c r="T453" s="3"/>
      <c r="U453" s="3"/>
      <c r="V453" s="3"/>
      <c r="W453" s="3"/>
      <c r="X453" s="3"/>
      <c r="Y453" s="3"/>
      <c r="Z453" s="3"/>
    </row>
    <row r="454" ht="15.75" customHeight="1">
      <c r="A454" s="3"/>
      <c r="B454" s="2"/>
      <c r="C454" s="667"/>
      <c r="D454" s="2"/>
      <c r="E454" s="464"/>
      <c r="F454" s="2"/>
      <c r="G454" s="2"/>
      <c r="H454" s="2"/>
      <c r="I454" s="2"/>
      <c r="J454" s="2"/>
      <c r="K454" s="2"/>
      <c r="L454" s="2"/>
      <c r="M454" s="2"/>
      <c r="N454" s="2"/>
      <c r="O454" s="2"/>
      <c r="P454" s="2"/>
      <c r="Q454" s="2"/>
      <c r="S454" s="3"/>
      <c r="T454" s="3"/>
      <c r="U454" s="3"/>
      <c r="V454" s="3"/>
      <c r="W454" s="3"/>
      <c r="X454" s="3"/>
      <c r="Y454" s="3"/>
      <c r="Z454" s="3"/>
    </row>
    <row r="455" ht="15.75" customHeight="1">
      <c r="A455" s="3"/>
      <c r="B455" s="2"/>
      <c r="C455" s="667"/>
      <c r="D455" s="2"/>
      <c r="E455" s="464"/>
      <c r="F455" s="2"/>
      <c r="G455" s="2"/>
      <c r="H455" s="2"/>
      <c r="I455" s="2"/>
      <c r="J455" s="2"/>
      <c r="K455" s="2"/>
      <c r="L455" s="2"/>
      <c r="M455" s="2"/>
      <c r="N455" s="2"/>
      <c r="O455" s="2"/>
      <c r="P455" s="2"/>
      <c r="Q455" s="2"/>
      <c r="S455" s="3"/>
      <c r="T455" s="3"/>
      <c r="U455" s="3"/>
      <c r="V455" s="3"/>
      <c r="W455" s="3"/>
      <c r="X455" s="3"/>
      <c r="Y455" s="3"/>
      <c r="Z455" s="3"/>
    </row>
    <row r="456" ht="15.75" customHeight="1">
      <c r="A456" s="3"/>
      <c r="B456" s="2"/>
      <c r="C456" s="667"/>
      <c r="D456" s="2"/>
      <c r="E456" s="464"/>
      <c r="F456" s="2"/>
      <c r="G456" s="2"/>
      <c r="H456" s="2"/>
      <c r="I456" s="2"/>
      <c r="J456" s="2"/>
      <c r="K456" s="2"/>
      <c r="L456" s="2"/>
      <c r="M456" s="2"/>
      <c r="N456" s="2"/>
      <c r="O456" s="2"/>
      <c r="P456" s="2"/>
      <c r="Q456" s="2"/>
      <c r="S456" s="3"/>
      <c r="T456" s="3"/>
      <c r="U456" s="3"/>
      <c r="V456" s="3"/>
      <c r="W456" s="3"/>
      <c r="X456" s="3"/>
      <c r="Y456" s="3"/>
      <c r="Z456" s="3"/>
    </row>
    <row r="457" ht="15.75" customHeight="1">
      <c r="A457" s="3"/>
      <c r="B457" s="2"/>
      <c r="C457" s="667"/>
      <c r="D457" s="2"/>
      <c r="E457" s="464"/>
      <c r="F457" s="2"/>
      <c r="G457" s="2"/>
      <c r="H457" s="2"/>
      <c r="I457" s="2"/>
      <c r="J457" s="2"/>
      <c r="K457" s="2"/>
      <c r="L457" s="2"/>
      <c r="M457" s="2"/>
      <c r="N457" s="2"/>
      <c r="O457" s="2"/>
      <c r="P457" s="2"/>
      <c r="Q457" s="2"/>
      <c r="S457" s="3"/>
      <c r="T457" s="3"/>
      <c r="U457" s="3"/>
      <c r="V457" s="3"/>
      <c r="W457" s="3"/>
      <c r="X457" s="3"/>
      <c r="Y457" s="3"/>
      <c r="Z457" s="3"/>
    </row>
    <row r="458" ht="15.75" customHeight="1">
      <c r="A458" s="3"/>
      <c r="B458" s="2"/>
      <c r="C458" s="667"/>
      <c r="D458" s="2"/>
      <c r="E458" s="464"/>
      <c r="F458" s="2"/>
      <c r="G458" s="2"/>
      <c r="H458" s="2"/>
      <c r="I458" s="2"/>
      <c r="J458" s="2"/>
      <c r="K458" s="2"/>
      <c r="L458" s="2"/>
      <c r="M458" s="2"/>
      <c r="N458" s="2"/>
      <c r="O458" s="2"/>
      <c r="P458" s="2"/>
      <c r="Q458" s="2"/>
      <c r="S458" s="3"/>
      <c r="T458" s="3"/>
      <c r="U458" s="3"/>
      <c r="V458" s="3"/>
      <c r="W458" s="3"/>
      <c r="X458" s="3"/>
      <c r="Y458" s="3"/>
      <c r="Z458" s="3"/>
    </row>
    <row r="459" ht="15.75" customHeight="1">
      <c r="A459" s="3"/>
      <c r="B459" s="2"/>
      <c r="C459" s="667"/>
      <c r="D459" s="2"/>
      <c r="E459" s="464"/>
      <c r="F459" s="2"/>
      <c r="G459" s="2"/>
      <c r="H459" s="2"/>
      <c r="I459" s="2"/>
      <c r="J459" s="2"/>
      <c r="K459" s="2"/>
      <c r="L459" s="2"/>
      <c r="M459" s="2"/>
      <c r="N459" s="2"/>
      <c r="O459" s="2"/>
      <c r="P459" s="2"/>
      <c r="Q459" s="2"/>
      <c r="S459" s="3"/>
      <c r="T459" s="3"/>
      <c r="U459" s="3"/>
      <c r="V459" s="3"/>
      <c r="W459" s="3"/>
      <c r="X459" s="3"/>
      <c r="Y459" s="3"/>
      <c r="Z459" s="3"/>
    </row>
    <row r="460" ht="15.75" customHeight="1">
      <c r="A460" s="3"/>
      <c r="B460" s="2"/>
      <c r="C460" s="667"/>
      <c r="D460" s="2"/>
      <c r="E460" s="464"/>
      <c r="F460" s="2"/>
      <c r="G460" s="2"/>
      <c r="H460" s="2"/>
      <c r="I460" s="2"/>
      <c r="J460" s="2"/>
      <c r="K460" s="2"/>
      <c r="L460" s="2"/>
      <c r="M460" s="2"/>
      <c r="N460" s="2"/>
      <c r="O460" s="2"/>
      <c r="P460" s="2"/>
      <c r="Q460" s="2"/>
      <c r="S460" s="3"/>
      <c r="T460" s="3"/>
      <c r="U460" s="3"/>
      <c r="V460" s="3"/>
      <c r="W460" s="3"/>
      <c r="X460" s="3"/>
      <c r="Y460" s="3"/>
      <c r="Z460" s="3"/>
    </row>
    <row r="461" ht="15.75" customHeight="1">
      <c r="A461" s="3"/>
      <c r="B461" s="2"/>
      <c r="C461" s="667"/>
      <c r="D461" s="2"/>
      <c r="E461" s="464"/>
      <c r="F461" s="2"/>
      <c r="G461" s="2"/>
      <c r="H461" s="2"/>
      <c r="I461" s="2"/>
      <c r="J461" s="2"/>
      <c r="K461" s="2"/>
      <c r="L461" s="2"/>
      <c r="M461" s="2"/>
      <c r="N461" s="2"/>
      <c r="O461" s="2"/>
      <c r="P461" s="2"/>
      <c r="Q461" s="2"/>
      <c r="S461" s="3"/>
      <c r="T461" s="3"/>
      <c r="U461" s="3"/>
      <c r="V461" s="3"/>
      <c r="W461" s="3"/>
      <c r="X461" s="3"/>
      <c r="Y461" s="3"/>
      <c r="Z461" s="3"/>
    </row>
    <row r="462" ht="15.75" customHeight="1">
      <c r="A462" s="3"/>
      <c r="B462" s="2"/>
      <c r="C462" s="667"/>
      <c r="D462" s="2"/>
      <c r="E462" s="464"/>
      <c r="F462" s="2"/>
      <c r="G462" s="2"/>
      <c r="H462" s="2"/>
      <c r="I462" s="2"/>
      <c r="J462" s="2"/>
      <c r="K462" s="2"/>
      <c r="L462" s="2"/>
      <c r="M462" s="2"/>
      <c r="N462" s="2"/>
      <c r="O462" s="2"/>
      <c r="P462" s="2"/>
      <c r="Q462" s="2"/>
      <c r="S462" s="3"/>
      <c r="T462" s="3"/>
      <c r="U462" s="3"/>
      <c r="V462" s="3"/>
      <c r="W462" s="3"/>
      <c r="X462" s="3"/>
      <c r="Y462" s="3"/>
      <c r="Z462" s="3"/>
    </row>
    <row r="463" ht="15.75" customHeight="1">
      <c r="A463" s="3"/>
      <c r="B463" s="2"/>
      <c r="C463" s="667"/>
      <c r="D463" s="2"/>
      <c r="E463" s="464"/>
      <c r="F463" s="2"/>
      <c r="G463" s="2"/>
      <c r="H463" s="2"/>
      <c r="I463" s="2"/>
      <c r="J463" s="2"/>
      <c r="K463" s="2"/>
      <c r="L463" s="2"/>
      <c r="M463" s="2"/>
      <c r="N463" s="2"/>
      <c r="O463" s="2"/>
      <c r="P463" s="2"/>
      <c r="Q463" s="2"/>
      <c r="S463" s="3"/>
      <c r="T463" s="3"/>
      <c r="U463" s="3"/>
      <c r="V463" s="3"/>
      <c r="W463" s="3"/>
      <c r="X463" s="3"/>
      <c r="Y463" s="3"/>
      <c r="Z463" s="3"/>
    </row>
    <row r="464" ht="15.75" customHeight="1">
      <c r="A464" s="3"/>
      <c r="B464" s="2"/>
      <c r="C464" s="667"/>
      <c r="D464" s="2"/>
      <c r="E464" s="464"/>
      <c r="F464" s="2"/>
      <c r="G464" s="2"/>
      <c r="H464" s="2"/>
      <c r="I464" s="2"/>
      <c r="J464" s="2"/>
      <c r="K464" s="2"/>
      <c r="L464" s="2"/>
      <c r="M464" s="2"/>
      <c r="N464" s="2"/>
      <c r="O464" s="2"/>
      <c r="P464" s="2"/>
      <c r="Q464" s="2"/>
      <c r="S464" s="3"/>
      <c r="T464" s="3"/>
      <c r="U464" s="3"/>
      <c r="V464" s="3"/>
      <c r="W464" s="3"/>
      <c r="X464" s="3"/>
      <c r="Y464" s="3"/>
      <c r="Z464" s="3"/>
    </row>
    <row r="465" ht="15.75" customHeight="1">
      <c r="A465" s="3"/>
      <c r="B465" s="2"/>
      <c r="C465" s="667"/>
      <c r="D465" s="2"/>
      <c r="E465" s="464"/>
      <c r="F465" s="2"/>
      <c r="G465" s="2"/>
      <c r="H465" s="2"/>
      <c r="I465" s="2"/>
      <c r="J465" s="2"/>
      <c r="K465" s="2"/>
      <c r="L465" s="2"/>
      <c r="M465" s="2"/>
      <c r="N465" s="2"/>
      <c r="O465" s="2"/>
      <c r="P465" s="2"/>
      <c r="Q465" s="2"/>
      <c r="S465" s="3"/>
      <c r="T465" s="3"/>
      <c r="U465" s="3"/>
      <c r="V465" s="3"/>
      <c r="W465" s="3"/>
      <c r="X465" s="3"/>
      <c r="Y465" s="3"/>
      <c r="Z465" s="3"/>
    </row>
    <row r="466" ht="15.75" customHeight="1">
      <c r="A466" s="3"/>
      <c r="B466" s="2"/>
      <c r="C466" s="667"/>
      <c r="D466" s="2"/>
      <c r="E466" s="464"/>
      <c r="F466" s="2"/>
      <c r="G466" s="2"/>
      <c r="H466" s="2"/>
      <c r="I466" s="2"/>
      <c r="J466" s="2"/>
      <c r="K466" s="2"/>
      <c r="L466" s="2"/>
      <c r="M466" s="2"/>
      <c r="N466" s="2"/>
      <c r="O466" s="2"/>
      <c r="P466" s="2"/>
      <c r="Q466" s="2"/>
      <c r="S466" s="3"/>
      <c r="T466" s="3"/>
      <c r="U466" s="3"/>
      <c r="V466" s="3"/>
      <c r="W466" s="3"/>
      <c r="X466" s="3"/>
      <c r="Y466" s="3"/>
      <c r="Z466" s="3"/>
    </row>
    <row r="467" ht="15.75" customHeight="1">
      <c r="A467" s="3"/>
      <c r="B467" s="2"/>
      <c r="C467" s="667"/>
      <c r="D467" s="2"/>
      <c r="E467" s="464"/>
      <c r="F467" s="2"/>
      <c r="G467" s="2"/>
      <c r="H467" s="2"/>
      <c r="I467" s="2"/>
      <c r="J467" s="2"/>
      <c r="K467" s="2"/>
      <c r="L467" s="2"/>
      <c r="M467" s="2"/>
      <c r="N467" s="2"/>
      <c r="O467" s="2"/>
      <c r="P467" s="2"/>
      <c r="Q467" s="2"/>
      <c r="S467" s="3"/>
      <c r="T467" s="3"/>
      <c r="U467" s="3"/>
      <c r="V467" s="3"/>
      <c r="W467" s="3"/>
      <c r="X467" s="3"/>
      <c r="Y467" s="3"/>
      <c r="Z467" s="3"/>
    </row>
    <row r="468" ht="15.75" customHeight="1">
      <c r="A468" s="3"/>
      <c r="B468" s="2"/>
      <c r="C468" s="667"/>
      <c r="D468" s="2"/>
      <c r="E468" s="464"/>
      <c r="F468" s="2"/>
      <c r="G468" s="2"/>
      <c r="H468" s="2"/>
      <c r="I468" s="2"/>
      <c r="J468" s="2"/>
      <c r="K468" s="2"/>
      <c r="L468" s="2"/>
      <c r="M468" s="2"/>
      <c r="N468" s="2"/>
      <c r="O468" s="2"/>
      <c r="P468" s="2"/>
      <c r="Q468" s="2"/>
      <c r="S468" s="3"/>
      <c r="T468" s="3"/>
      <c r="U468" s="3"/>
      <c r="V468" s="3"/>
      <c r="W468" s="3"/>
      <c r="X468" s="3"/>
      <c r="Y468" s="3"/>
      <c r="Z468" s="3"/>
    </row>
    <row r="469" ht="15.75" customHeight="1">
      <c r="A469" s="3"/>
      <c r="B469" s="2"/>
      <c r="C469" s="667"/>
      <c r="D469" s="2"/>
      <c r="E469" s="464"/>
      <c r="F469" s="2"/>
      <c r="G469" s="2"/>
      <c r="H469" s="2"/>
      <c r="I469" s="2"/>
      <c r="J469" s="2"/>
      <c r="K469" s="2"/>
      <c r="L469" s="2"/>
      <c r="M469" s="2"/>
      <c r="N469" s="2"/>
      <c r="O469" s="2"/>
      <c r="P469" s="2"/>
      <c r="Q469" s="2"/>
      <c r="S469" s="3"/>
      <c r="T469" s="3"/>
      <c r="U469" s="3"/>
      <c r="V469" s="3"/>
      <c r="W469" s="3"/>
      <c r="X469" s="3"/>
      <c r="Y469" s="3"/>
      <c r="Z469" s="3"/>
    </row>
    <row r="470" ht="15.75" customHeight="1">
      <c r="A470" s="3"/>
      <c r="B470" s="2"/>
      <c r="C470" s="667"/>
      <c r="D470" s="2"/>
      <c r="E470" s="464"/>
      <c r="F470" s="2"/>
      <c r="G470" s="2"/>
      <c r="H470" s="2"/>
      <c r="I470" s="2"/>
      <c r="J470" s="2"/>
      <c r="K470" s="2"/>
      <c r="L470" s="2"/>
      <c r="M470" s="2"/>
      <c r="N470" s="2"/>
      <c r="O470" s="2"/>
      <c r="P470" s="2"/>
      <c r="Q470" s="2"/>
      <c r="S470" s="3"/>
      <c r="T470" s="3"/>
      <c r="U470" s="3"/>
      <c r="V470" s="3"/>
      <c r="W470" s="3"/>
      <c r="X470" s="3"/>
      <c r="Y470" s="3"/>
      <c r="Z470" s="3"/>
    </row>
    <row r="471" ht="15.75" customHeight="1">
      <c r="A471" s="3"/>
      <c r="B471" s="2"/>
      <c r="C471" s="667"/>
      <c r="D471" s="2"/>
      <c r="E471" s="464"/>
      <c r="F471" s="2"/>
      <c r="G471" s="2"/>
      <c r="H471" s="2"/>
      <c r="I471" s="2"/>
      <c r="J471" s="2"/>
      <c r="K471" s="2"/>
      <c r="L471" s="2"/>
      <c r="M471" s="2"/>
      <c r="N471" s="2"/>
      <c r="O471" s="2"/>
      <c r="P471" s="2"/>
      <c r="Q471" s="2"/>
      <c r="S471" s="3"/>
      <c r="T471" s="3"/>
      <c r="U471" s="3"/>
      <c r="V471" s="3"/>
      <c r="W471" s="3"/>
      <c r="X471" s="3"/>
      <c r="Y471" s="3"/>
      <c r="Z471" s="3"/>
    </row>
    <row r="472" ht="15.75" customHeight="1">
      <c r="A472" s="3"/>
      <c r="B472" s="2"/>
      <c r="C472" s="667"/>
      <c r="D472" s="2"/>
      <c r="E472" s="464"/>
      <c r="F472" s="2"/>
      <c r="G472" s="2"/>
      <c r="H472" s="2"/>
      <c r="I472" s="2"/>
      <c r="J472" s="2"/>
      <c r="K472" s="2"/>
      <c r="L472" s="2"/>
      <c r="M472" s="2"/>
      <c r="N472" s="2"/>
      <c r="O472" s="2"/>
      <c r="P472" s="2"/>
      <c r="Q472" s="2"/>
      <c r="S472" s="3"/>
      <c r="T472" s="3"/>
      <c r="U472" s="3"/>
      <c r="V472" s="3"/>
      <c r="W472" s="3"/>
      <c r="X472" s="3"/>
      <c r="Y472" s="3"/>
      <c r="Z472" s="3"/>
    </row>
    <row r="473" ht="15.75" customHeight="1">
      <c r="A473" s="3"/>
      <c r="B473" s="2"/>
      <c r="C473" s="667"/>
      <c r="D473" s="2"/>
      <c r="E473" s="464"/>
      <c r="F473" s="2"/>
      <c r="G473" s="2"/>
      <c r="H473" s="2"/>
      <c r="I473" s="2"/>
      <c r="J473" s="2"/>
      <c r="K473" s="2"/>
      <c r="L473" s="2"/>
      <c r="M473" s="2"/>
      <c r="N473" s="2"/>
      <c r="O473" s="2"/>
      <c r="P473" s="2"/>
      <c r="Q473" s="2"/>
      <c r="S473" s="3"/>
      <c r="T473" s="3"/>
      <c r="U473" s="3"/>
      <c r="V473" s="3"/>
      <c r="W473" s="3"/>
      <c r="X473" s="3"/>
      <c r="Y473" s="3"/>
      <c r="Z473" s="3"/>
    </row>
    <row r="474" ht="15.75" customHeight="1">
      <c r="A474" s="3"/>
      <c r="B474" s="2"/>
      <c r="C474" s="667"/>
      <c r="D474" s="2"/>
      <c r="E474" s="464"/>
      <c r="F474" s="2"/>
      <c r="G474" s="2"/>
      <c r="H474" s="2"/>
      <c r="I474" s="2"/>
      <c r="J474" s="2"/>
      <c r="K474" s="2"/>
      <c r="L474" s="2"/>
      <c r="M474" s="2"/>
      <c r="N474" s="2"/>
      <c r="O474" s="2"/>
      <c r="P474" s="2"/>
      <c r="Q474" s="2"/>
      <c r="S474" s="3"/>
      <c r="T474" s="3"/>
      <c r="U474" s="3"/>
      <c r="V474" s="3"/>
      <c r="W474" s="3"/>
      <c r="X474" s="3"/>
      <c r="Y474" s="3"/>
      <c r="Z474" s="3"/>
    </row>
    <row r="475" ht="15.75" customHeight="1">
      <c r="A475" s="3"/>
      <c r="B475" s="2"/>
      <c r="C475" s="667"/>
      <c r="D475" s="2"/>
      <c r="E475" s="464"/>
      <c r="F475" s="2"/>
      <c r="G475" s="2"/>
      <c r="H475" s="2"/>
      <c r="I475" s="2"/>
      <c r="J475" s="2"/>
      <c r="K475" s="2"/>
      <c r="L475" s="2"/>
      <c r="M475" s="2"/>
      <c r="N475" s="2"/>
      <c r="O475" s="2"/>
      <c r="P475" s="2"/>
      <c r="Q475" s="2"/>
      <c r="S475" s="3"/>
      <c r="T475" s="3"/>
      <c r="U475" s="3"/>
      <c r="V475" s="3"/>
      <c r="W475" s="3"/>
      <c r="X475" s="3"/>
      <c r="Y475" s="3"/>
      <c r="Z475" s="3"/>
    </row>
    <row r="476" ht="15.75" customHeight="1">
      <c r="A476" s="3"/>
      <c r="B476" s="2"/>
      <c r="C476" s="667"/>
      <c r="D476" s="2"/>
      <c r="E476" s="464"/>
      <c r="F476" s="2"/>
      <c r="G476" s="2"/>
      <c r="H476" s="2"/>
      <c r="I476" s="2"/>
      <c r="J476" s="2"/>
      <c r="K476" s="2"/>
      <c r="L476" s="2"/>
      <c r="M476" s="2"/>
      <c r="N476" s="2"/>
      <c r="O476" s="2"/>
      <c r="P476" s="2"/>
      <c r="Q476" s="2"/>
      <c r="S476" s="3"/>
      <c r="T476" s="3"/>
      <c r="U476" s="3"/>
      <c r="V476" s="3"/>
      <c r="W476" s="3"/>
      <c r="X476" s="3"/>
      <c r="Y476" s="3"/>
      <c r="Z476" s="3"/>
    </row>
    <row r="477" ht="15.75" customHeight="1">
      <c r="A477" s="3"/>
      <c r="B477" s="2"/>
      <c r="C477" s="667"/>
      <c r="D477" s="2"/>
      <c r="E477" s="464"/>
      <c r="F477" s="2"/>
      <c r="G477" s="2"/>
      <c r="H477" s="2"/>
      <c r="I477" s="2"/>
      <c r="J477" s="2"/>
      <c r="K477" s="2"/>
      <c r="L477" s="2"/>
      <c r="M477" s="2"/>
      <c r="N477" s="2"/>
      <c r="O477" s="2"/>
      <c r="P477" s="2"/>
      <c r="Q477" s="2"/>
      <c r="S477" s="3"/>
      <c r="T477" s="3"/>
      <c r="U477" s="3"/>
      <c r="V477" s="3"/>
      <c r="W477" s="3"/>
      <c r="X477" s="3"/>
      <c r="Y477" s="3"/>
      <c r="Z477" s="3"/>
    </row>
    <row r="478" ht="15.75" customHeight="1">
      <c r="A478" s="3"/>
      <c r="B478" s="2"/>
      <c r="C478" s="667"/>
      <c r="D478" s="2"/>
      <c r="E478" s="464"/>
      <c r="F478" s="2"/>
      <c r="G478" s="2"/>
      <c r="H478" s="2"/>
      <c r="I478" s="2"/>
      <c r="J478" s="2"/>
      <c r="K478" s="2"/>
      <c r="L478" s="2"/>
      <c r="M478" s="2"/>
      <c r="N478" s="2"/>
      <c r="O478" s="2"/>
      <c r="P478" s="2"/>
      <c r="Q478" s="2"/>
      <c r="S478" s="3"/>
      <c r="T478" s="3"/>
      <c r="U478" s="3"/>
      <c r="V478" s="3"/>
      <c r="W478" s="3"/>
      <c r="X478" s="3"/>
      <c r="Y478" s="3"/>
      <c r="Z478" s="3"/>
    </row>
    <row r="479" ht="15.75" customHeight="1">
      <c r="A479" s="3"/>
      <c r="B479" s="2"/>
      <c r="C479" s="667"/>
      <c r="D479" s="2"/>
      <c r="E479" s="464"/>
      <c r="F479" s="2"/>
      <c r="G479" s="2"/>
      <c r="H479" s="2"/>
      <c r="I479" s="2"/>
      <c r="J479" s="2"/>
      <c r="K479" s="2"/>
      <c r="L479" s="2"/>
      <c r="M479" s="2"/>
      <c r="N479" s="2"/>
      <c r="O479" s="2"/>
      <c r="P479" s="2"/>
      <c r="Q479" s="2"/>
      <c r="S479" s="3"/>
      <c r="T479" s="3"/>
      <c r="U479" s="3"/>
      <c r="V479" s="3"/>
      <c r="W479" s="3"/>
      <c r="X479" s="3"/>
      <c r="Y479" s="3"/>
      <c r="Z479" s="3"/>
    </row>
    <row r="480" ht="15.75" customHeight="1">
      <c r="A480" s="3"/>
      <c r="B480" s="2"/>
      <c r="C480" s="667"/>
      <c r="D480" s="2"/>
      <c r="E480" s="464"/>
      <c r="F480" s="2"/>
      <c r="G480" s="2"/>
      <c r="H480" s="2"/>
      <c r="I480" s="2"/>
      <c r="J480" s="2"/>
      <c r="K480" s="2"/>
      <c r="L480" s="2"/>
      <c r="M480" s="2"/>
      <c r="N480" s="2"/>
      <c r="O480" s="2"/>
      <c r="P480" s="2"/>
      <c r="Q480" s="2"/>
      <c r="S480" s="3"/>
      <c r="T480" s="3"/>
      <c r="U480" s="3"/>
      <c r="V480" s="3"/>
      <c r="W480" s="3"/>
      <c r="X480" s="3"/>
      <c r="Y480" s="3"/>
      <c r="Z480" s="3"/>
    </row>
    <row r="481" ht="15.75" customHeight="1">
      <c r="A481" s="3"/>
      <c r="B481" s="2"/>
      <c r="C481" s="667"/>
      <c r="D481" s="2"/>
      <c r="E481" s="464"/>
      <c r="F481" s="2"/>
      <c r="G481" s="2"/>
      <c r="H481" s="2"/>
      <c r="I481" s="2"/>
      <c r="J481" s="2"/>
      <c r="K481" s="2"/>
      <c r="L481" s="2"/>
      <c r="M481" s="2"/>
      <c r="N481" s="2"/>
      <c r="O481" s="2"/>
      <c r="P481" s="2"/>
      <c r="Q481" s="2"/>
      <c r="S481" s="3"/>
      <c r="T481" s="3"/>
      <c r="U481" s="3"/>
      <c r="V481" s="3"/>
      <c r="W481" s="3"/>
      <c r="X481" s="3"/>
      <c r="Y481" s="3"/>
      <c r="Z481" s="3"/>
    </row>
    <row r="482" ht="15.75" customHeight="1">
      <c r="A482" s="3"/>
      <c r="B482" s="2"/>
      <c r="C482" s="667"/>
      <c r="D482" s="2"/>
      <c r="E482" s="464"/>
      <c r="F482" s="2"/>
      <c r="G482" s="2"/>
      <c r="H482" s="2"/>
      <c r="I482" s="2"/>
      <c r="J482" s="2"/>
      <c r="K482" s="2"/>
      <c r="L482" s="2"/>
      <c r="M482" s="2"/>
      <c r="N482" s="2"/>
      <c r="O482" s="2"/>
      <c r="P482" s="2"/>
      <c r="Q482" s="2"/>
      <c r="S482" s="3"/>
      <c r="T482" s="3"/>
      <c r="U482" s="3"/>
      <c r="V482" s="3"/>
      <c r="W482" s="3"/>
      <c r="X482" s="3"/>
      <c r="Y482" s="3"/>
      <c r="Z482" s="3"/>
    </row>
    <row r="483" ht="15.75" customHeight="1">
      <c r="A483" s="3"/>
      <c r="B483" s="2"/>
      <c r="C483" s="667"/>
      <c r="D483" s="2"/>
      <c r="E483" s="464"/>
      <c r="F483" s="2"/>
      <c r="G483" s="2"/>
      <c r="H483" s="2"/>
      <c r="I483" s="2"/>
      <c r="J483" s="2"/>
      <c r="K483" s="2"/>
      <c r="L483" s="2"/>
      <c r="M483" s="2"/>
      <c r="N483" s="2"/>
      <c r="O483" s="2"/>
      <c r="P483" s="2"/>
      <c r="Q483" s="2"/>
      <c r="S483" s="3"/>
      <c r="T483" s="3"/>
      <c r="U483" s="3"/>
      <c r="V483" s="3"/>
      <c r="W483" s="3"/>
      <c r="X483" s="3"/>
      <c r="Y483" s="3"/>
      <c r="Z483" s="3"/>
    </row>
    <row r="484" ht="15.75" customHeight="1">
      <c r="A484" s="3"/>
      <c r="B484" s="2"/>
      <c r="C484" s="667"/>
      <c r="D484" s="2"/>
      <c r="E484" s="464"/>
      <c r="F484" s="2"/>
      <c r="G484" s="2"/>
      <c r="H484" s="2"/>
      <c r="I484" s="2"/>
      <c r="J484" s="2"/>
      <c r="K484" s="2"/>
      <c r="L484" s="2"/>
      <c r="M484" s="2"/>
      <c r="N484" s="2"/>
      <c r="O484" s="2"/>
      <c r="P484" s="2"/>
      <c r="Q484" s="2"/>
      <c r="S484" s="3"/>
      <c r="T484" s="3"/>
      <c r="U484" s="3"/>
      <c r="V484" s="3"/>
      <c r="W484" s="3"/>
      <c r="X484" s="3"/>
      <c r="Y484" s="3"/>
      <c r="Z484" s="3"/>
    </row>
    <row r="485" ht="15.75" customHeight="1">
      <c r="A485" s="3"/>
      <c r="B485" s="2"/>
      <c r="C485" s="667"/>
      <c r="D485" s="2"/>
      <c r="E485" s="464"/>
      <c r="F485" s="2"/>
      <c r="G485" s="2"/>
      <c r="H485" s="2"/>
      <c r="I485" s="2"/>
      <c r="J485" s="2"/>
      <c r="K485" s="2"/>
      <c r="L485" s="2"/>
      <c r="M485" s="2"/>
      <c r="N485" s="2"/>
      <c r="O485" s="2"/>
      <c r="P485" s="2"/>
      <c r="Q485" s="2"/>
      <c r="S485" s="3"/>
      <c r="T485" s="3"/>
      <c r="U485" s="3"/>
      <c r="V485" s="3"/>
      <c r="W485" s="3"/>
      <c r="X485" s="3"/>
      <c r="Y485" s="3"/>
      <c r="Z485" s="3"/>
    </row>
    <row r="486" ht="15.75" customHeight="1">
      <c r="A486" s="3"/>
      <c r="B486" s="2"/>
      <c r="C486" s="667"/>
      <c r="D486" s="2"/>
      <c r="E486" s="464"/>
      <c r="F486" s="2"/>
      <c r="G486" s="2"/>
      <c r="H486" s="2"/>
      <c r="I486" s="2"/>
      <c r="J486" s="2"/>
      <c r="K486" s="2"/>
      <c r="L486" s="2"/>
      <c r="M486" s="2"/>
      <c r="N486" s="2"/>
      <c r="O486" s="2"/>
      <c r="P486" s="2"/>
      <c r="Q486" s="2"/>
      <c r="S486" s="3"/>
      <c r="T486" s="3"/>
      <c r="U486" s="3"/>
      <c r="V486" s="3"/>
      <c r="W486" s="3"/>
      <c r="X486" s="3"/>
      <c r="Y486" s="3"/>
      <c r="Z486" s="3"/>
    </row>
    <row r="487" ht="15.75" customHeight="1">
      <c r="A487" s="3"/>
      <c r="B487" s="2"/>
      <c r="C487" s="667"/>
      <c r="D487" s="2"/>
      <c r="E487" s="464"/>
      <c r="F487" s="2"/>
      <c r="G487" s="2"/>
      <c r="H487" s="2"/>
      <c r="I487" s="2"/>
      <c r="J487" s="2"/>
      <c r="K487" s="2"/>
      <c r="L487" s="2"/>
      <c r="M487" s="2"/>
      <c r="N487" s="2"/>
      <c r="O487" s="2"/>
      <c r="P487" s="2"/>
      <c r="Q487" s="2"/>
      <c r="S487" s="3"/>
      <c r="T487" s="3"/>
      <c r="U487" s="3"/>
      <c r="V487" s="3"/>
      <c r="W487" s="3"/>
      <c r="X487" s="3"/>
      <c r="Y487" s="3"/>
      <c r="Z487" s="3"/>
    </row>
    <row r="488" ht="15.75" customHeight="1">
      <c r="A488" s="3"/>
      <c r="B488" s="2"/>
      <c r="C488" s="667"/>
      <c r="D488" s="2"/>
      <c r="E488" s="464"/>
      <c r="F488" s="2"/>
      <c r="G488" s="2"/>
      <c r="H488" s="2"/>
      <c r="I488" s="2"/>
      <c r="J488" s="2"/>
      <c r="K488" s="2"/>
      <c r="L488" s="2"/>
      <c r="M488" s="2"/>
      <c r="N488" s="2"/>
      <c r="O488" s="2"/>
      <c r="P488" s="2"/>
      <c r="Q488" s="2"/>
      <c r="S488" s="3"/>
      <c r="T488" s="3"/>
      <c r="U488" s="3"/>
      <c r="V488" s="3"/>
      <c r="W488" s="3"/>
      <c r="X488" s="3"/>
      <c r="Y488" s="3"/>
      <c r="Z488" s="3"/>
    </row>
    <row r="489" ht="15.75" customHeight="1">
      <c r="A489" s="3"/>
      <c r="B489" s="2"/>
      <c r="C489" s="667"/>
      <c r="D489" s="2"/>
      <c r="E489" s="464"/>
      <c r="F489" s="2"/>
      <c r="G489" s="2"/>
      <c r="H489" s="2"/>
      <c r="I489" s="2"/>
      <c r="J489" s="2"/>
      <c r="K489" s="2"/>
      <c r="L489" s="2"/>
      <c r="M489" s="2"/>
      <c r="N489" s="2"/>
      <c r="O489" s="2"/>
      <c r="P489" s="2"/>
      <c r="Q489" s="2"/>
      <c r="S489" s="3"/>
      <c r="T489" s="3"/>
      <c r="U489" s="3"/>
      <c r="V489" s="3"/>
      <c r="W489" s="3"/>
      <c r="X489" s="3"/>
      <c r="Y489" s="3"/>
      <c r="Z489" s="3"/>
    </row>
    <row r="490" ht="15.75" customHeight="1">
      <c r="A490" s="3"/>
      <c r="B490" s="2"/>
      <c r="C490" s="667"/>
      <c r="D490" s="2"/>
      <c r="E490" s="464"/>
      <c r="F490" s="2"/>
      <c r="G490" s="2"/>
      <c r="H490" s="2"/>
      <c r="I490" s="2"/>
      <c r="J490" s="2"/>
      <c r="K490" s="2"/>
      <c r="L490" s="2"/>
      <c r="M490" s="2"/>
      <c r="N490" s="2"/>
      <c r="O490" s="2"/>
      <c r="P490" s="2"/>
      <c r="Q490" s="2"/>
      <c r="S490" s="3"/>
      <c r="T490" s="3"/>
      <c r="U490" s="3"/>
      <c r="V490" s="3"/>
      <c r="W490" s="3"/>
      <c r="X490" s="3"/>
      <c r="Y490" s="3"/>
      <c r="Z490" s="3"/>
    </row>
    <row r="491" ht="15.75" customHeight="1">
      <c r="A491" s="3"/>
      <c r="B491" s="2"/>
      <c r="C491" s="667"/>
      <c r="D491" s="2"/>
      <c r="E491" s="464"/>
      <c r="F491" s="2"/>
      <c r="G491" s="2"/>
      <c r="H491" s="2"/>
      <c r="I491" s="2"/>
      <c r="J491" s="2"/>
      <c r="K491" s="2"/>
      <c r="L491" s="2"/>
      <c r="M491" s="2"/>
      <c r="N491" s="2"/>
      <c r="O491" s="2"/>
      <c r="P491" s="2"/>
      <c r="Q491" s="2"/>
      <c r="S491" s="3"/>
      <c r="T491" s="3"/>
      <c r="U491" s="3"/>
      <c r="V491" s="3"/>
      <c r="W491" s="3"/>
      <c r="X491" s="3"/>
      <c r="Y491" s="3"/>
      <c r="Z491" s="3"/>
    </row>
    <row r="492" ht="15.75" customHeight="1">
      <c r="A492" s="3"/>
      <c r="B492" s="2"/>
      <c r="C492" s="667"/>
      <c r="D492" s="2"/>
      <c r="E492" s="464"/>
      <c r="F492" s="2"/>
      <c r="G492" s="2"/>
      <c r="H492" s="2"/>
      <c r="I492" s="2"/>
      <c r="J492" s="2"/>
      <c r="K492" s="2"/>
      <c r="L492" s="2"/>
      <c r="M492" s="2"/>
      <c r="N492" s="2"/>
      <c r="O492" s="2"/>
      <c r="P492" s="2"/>
      <c r="Q492" s="2"/>
      <c r="S492" s="3"/>
      <c r="T492" s="3"/>
      <c r="U492" s="3"/>
      <c r="V492" s="3"/>
      <c r="W492" s="3"/>
      <c r="X492" s="3"/>
      <c r="Y492" s="3"/>
      <c r="Z492" s="3"/>
    </row>
    <row r="493" ht="15.75" customHeight="1">
      <c r="A493" s="3"/>
      <c r="B493" s="2"/>
      <c r="C493" s="667"/>
      <c r="D493" s="2"/>
      <c r="E493" s="464"/>
      <c r="F493" s="2"/>
      <c r="G493" s="2"/>
      <c r="H493" s="2"/>
      <c r="I493" s="2"/>
      <c r="J493" s="2"/>
      <c r="K493" s="2"/>
      <c r="L493" s="2"/>
      <c r="M493" s="2"/>
      <c r="N493" s="2"/>
      <c r="O493" s="2"/>
      <c r="P493" s="2"/>
      <c r="Q493" s="2"/>
      <c r="S493" s="3"/>
      <c r="T493" s="3"/>
      <c r="U493" s="3"/>
      <c r="V493" s="3"/>
      <c r="W493" s="3"/>
      <c r="X493" s="3"/>
      <c r="Y493" s="3"/>
      <c r="Z493" s="3"/>
    </row>
    <row r="494" ht="15.75" customHeight="1">
      <c r="A494" s="3"/>
      <c r="B494" s="2"/>
      <c r="C494" s="667"/>
      <c r="D494" s="2"/>
      <c r="E494" s="464"/>
      <c r="F494" s="2"/>
      <c r="G494" s="2"/>
      <c r="H494" s="2"/>
      <c r="I494" s="2"/>
      <c r="J494" s="2"/>
      <c r="K494" s="2"/>
      <c r="L494" s="2"/>
      <c r="M494" s="2"/>
      <c r="N494" s="2"/>
      <c r="O494" s="2"/>
      <c r="P494" s="2"/>
      <c r="Q494" s="2"/>
      <c r="S494" s="3"/>
      <c r="T494" s="3"/>
      <c r="U494" s="3"/>
      <c r="V494" s="3"/>
      <c r="W494" s="3"/>
      <c r="X494" s="3"/>
      <c r="Y494" s="3"/>
      <c r="Z494" s="3"/>
    </row>
    <row r="495" ht="15.75" customHeight="1">
      <c r="A495" s="3"/>
      <c r="B495" s="2"/>
      <c r="C495" s="667"/>
      <c r="D495" s="2"/>
      <c r="E495" s="464"/>
      <c r="F495" s="2"/>
      <c r="G495" s="2"/>
      <c r="H495" s="2"/>
      <c r="I495" s="2"/>
      <c r="J495" s="2"/>
      <c r="K495" s="2"/>
      <c r="L495" s="2"/>
      <c r="M495" s="2"/>
      <c r="N495" s="2"/>
      <c r="O495" s="2"/>
      <c r="P495" s="2"/>
      <c r="Q495" s="2"/>
      <c r="S495" s="3"/>
      <c r="T495" s="3"/>
      <c r="U495" s="3"/>
      <c r="V495" s="3"/>
      <c r="W495" s="3"/>
      <c r="X495" s="3"/>
      <c r="Y495" s="3"/>
      <c r="Z495" s="3"/>
    </row>
    <row r="496" ht="15.75" customHeight="1">
      <c r="A496" s="3"/>
      <c r="B496" s="2"/>
      <c r="C496" s="667"/>
      <c r="D496" s="2"/>
      <c r="E496" s="464"/>
      <c r="F496" s="2"/>
      <c r="G496" s="2"/>
      <c r="H496" s="2"/>
      <c r="I496" s="2"/>
      <c r="J496" s="2"/>
      <c r="K496" s="2"/>
      <c r="L496" s="2"/>
      <c r="M496" s="2"/>
      <c r="N496" s="2"/>
      <c r="O496" s="2"/>
      <c r="P496" s="2"/>
      <c r="Q496" s="2"/>
      <c r="S496" s="3"/>
      <c r="T496" s="3"/>
      <c r="U496" s="3"/>
      <c r="V496" s="3"/>
      <c r="W496" s="3"/>
      <c r="X496" s="3"/>
      <c r="Y496" s="3"/>
      <c r="Z496" s="3"/>
    </row>
    <row r="497" ht="15.75" customHeight="1">
      <c r="A497" s="3"/>
      <c r="B497" s="2"/>
      <c r="C497" s="667"/>
      <c r="D497" s="2"/>
      <c r="E497" s="464"/>
      <c r="F497" s="2"/>
      <c r="G497" s="2"/>
      <c r="H497" s="2"/>
      <c r="I497" s="2"/>
      <c r="J497" s="2"/>
      <c r="K497" s="2"/>
      <c r="L497" s="2"/>
      <c r="M497" s="2"/>
      <c r="N497" s="2"/>
      <c r="O497" s="2"/>
      <c r="P497" s="2"/>
      <c r="Q497" s="2"/>
      <c r="S497" s="3"/>
      <c r="T497" s="3"/>
      <c r="U497" s="3"/>
      <c r="V497" s="3"/>
      <c r="W497" s="3"/>
      <c r="X497" s="3"/>
      <c r="Y497" s="3"/>
      <c r="Z497" s="3"/>
    </row>
    <row r="498" ht="15.75" customHeight="1">
      <c r="A498" s="3"/>
      <c r="B498" s="2"/>
      <c r="C498" s="667"/>
      <c r="D498" s="2"/>
      <c r="E498" s="464"/>
      <c r="F498" s="2"/>
      <c r="G498" s="2"/>
      <c r="H498" s="2"/>
      <c r="I498" s="2"/>
      <c r="J498" s="2"/>
      <c r="K498" s="2"/>
      <c r="L498" s="2"/>
      <c r="M498" s="2"/>
      <c r="N498" s="2"/>
      <c r="O498" s="2"/>
      <c r="P498" s="2"/>
      <c r="Q498" s="2"/>
      <c r="S498" s="3"/>
      <c r="T498" s="3"/>
      <c r="U498" s="3"/>
      <c r="V498" s="3"/>
      <c r="W498" s="3"/>
      <c r="X498" s="3"/>
      <c r="Y498" s="3"/>
      <c r="Z498" s="3"/>
    </row>
    <row r="499" ht="15.75" customHeight="1">
      <c r="A499" s="3"/>
      <c r="B499" s="2"/>
      <c r="C499" s="667"/>
      <c r="D499" s="2"/>
      <c r="E499" s="464"/>
      <c r="F499" s="2"/>
      <c r="G499" s="2"/>
      <c r="H499" s="2"/>
      <c r="I499" s="2"/>
      <c r="J499" s="2"/>
      <c r="K499" s="2"/>
      <c r="L499" s="2"/>
      <c r="M499" s="2"/>
      <c r="N499" s="2"/>
      <c r="O499" s="2"/>
      <c r="P499" s="2"/>
      <c r="Q499" s="2"/>
      <c r="S499" s="3"/>
      <c r="T499" s="3"/>
      <c r="U499" s="3"/>
      <c r="V499" s="3"/>
      <c r="W499" s="3"/>
      <c r="X499" s="3"/>
      <c r="Y499" s="3"/>
      <c r="Z499" s="3"/>
    </row>
    <row r="500" ht="15.75" customHeight="1">
      <c r="A500" s="3"/>
      <c r="B500" s="2"/>
      <c r="C500" s="667"/>
      <c r="D500" s="2"/>
      <c r="E500" s="464"/>
      <c r="F500" s="2"/>
      <c r="G500" s="2"/>
      <c r="H500" s="2"/>
      <c r="I500" s="2"/>
      <c r="J500" s="2"/>
      <c r="K500" s="2"/>
      <c r="L500" s="2"/>
      <c r="M500" s="2"/>
      <c r="N500" s="2"/>
      <c r="O500" s="2"/>
      <c r="P500" s="2"/>
      <c r="Q500" s="2"/>
      <c r="S500" s="3"/>
      <c r="T500" s="3"/>
      <c r="U500" s="3"/>
      <c r="V500" s="3"/>
      <c r="W500" s="3"/>
      <c r="X500" s="3"/>
      <c r="Y500" s="3"/>
      <c r="Z500" s="3"/>
    </row>
    <row r="501" ht="15.75" customHeight="1">
      <c r="A501" s="3"/>
      <c r="B501" s="2"/>
      <c r="C501" s="667"/>
      <c r="D501" s="2"/>
      <c r="E501" s="464"/>
      <c r="F501" s="2"/>
      <c r="G501" s="2"/>
      <c r="H501" s="2"/>
      <c r="I501" s="2"/>
      <c r="J501" s="2"/>
      <c r="K501" s="2"/>
      <c r="L501" s="2"/>
      <c r="M501" s="2"/>
      <c r="N501" s="2"/>
      <c r="O501" s="2"/>
      <c r="P501" s="2"/>
      <c r="Q501" s="2"/>
      <c r="S501" s="3"/>
      <c r="T501" s="3"/>
      <c r="U501" s="3"/>
      <c r="V501" s="3"/>
      <c r="W501" s="3"/>
      <c r="X501" s="3"/>
      <c r="Y501" s="3"/>
      <c r="Z501" s="3"/>
    </row>
    <row r="502" ht="15.75" customHeight="1">
      <c r="A502" s="3"/>
      <c r="B502" s="2"/>
      <c r="C502" s="667"/>
      <c r="D502" s="2"/>
      <c r="E502" s="464"/>
      <c r="F502" s="2"/>
      <c r="G502" s="2"/>
      <c r="H502" s="2"/>
      <c r="I502" s="2"/>
      <c r="J502" s="2"/>
      <c r="K502" s="2"/>
      <c r="L502" s="2"/>
      <c r="M502" s="2"/>
      <c r="N502" s="2"/>
      <c r="O502" s="2"/>
      <c r="P502" s="2"/>
      <c r="Q502" s="2"/>
      <c r="S502" s="3"/>
      <c r="T502" s="3"/>
      <c r="U502" s="3"/>
      <c r="V502" s="3"/>
      <c r="W502" s="3"/>
      <c r="X502" s="3"/>
      <c r="Y502" s="3"/>
      <c r="Z502" s="3"/>
    </row>
    <row r="503" ht="15.75" customHeight="1">
      <c r="A503" s="3"/>
      <c r="B503" s="2"/>
      <c r="C503" s="667"/>
      <c r="D503" s="2"/>
      <c r="E503" s="464"/>
      <c r="F503" s="2"/>
      <c r="G503" s="2"/>
      <c r="H503" s="2"/>
      <c r="I503" s="2"/>
      <c r="J503" s="2"/>
      <c r="K503" s="2"/>
      <c r="L503" s="2"/>
      <c r="M503" s="2"/>
      <c r="N503" s="2"/>
      <c r="O503" s="2"/>
      <c r="P503" s="2"/>
      <c r="Q503" s="2"/>
      <c r="S503" s="3"/>
      <c r="T503" s="3"/>
      <c r="U503" s="3"/>
      <c r="V503" s="3"/>
      <c r="W503" s="3"/>
      <c r="X503" s="3"/>
      <c r="Y503" s="3"/>
      <c r="Z503" s="3"/>
    </row>
    <row r="504" ht="15.75" customHeight="1">
      <c r="A504" s="3"/>
      <c r="B504" s="2"/>
      <c r="C504" s="667"/>
      <c r="D504" s="2"/>
      <c r="E504" s="464"/>
      <c r="F504" s="2"/>
      <c r="G504" s="2"/>
      <c r="H504" s="2"/>
      <c r="I504" s="2"/>
      <c r="J504" s="2"/>
      <c r="K504" s="2"/>
      <c r="L504" s="2"/>
      <c r="M504" s="2"/>
      <c r="N504" s="2"/>
      <c r="O504" s="2"/>
      <c r="P504" s="2"/>
      <c r="Q504" s="2"/>
      <c r="S504" s="3"/>
      <c r="T504" s="3"/>
      <c r="U504" s="3"/>
      <c r="V504" s="3"/>
      <c r="W504" s="3"/>
      <c r="X504" s="3"/>
      <c r="Y504" s="3"/>
      <c r="Z504" s="3"/>
    </row>
    <row r="505" ht="15.75" customHeight="1">
      <c r="A505" s="3"/>
      <c r="B505" s="2"/>
      <c r="C505" s="667"/>
      <c r="D505" s="2"/>
      <c r="E505" s="464"/>
      <c r="F505" s="2"/>
      <c r="G505" s="2"/>
      <c r="H505" s="2"/>
      <c r="I505" s="2"/>
      <c r="J505" s="2"/>
      <c r="K505" s="2"/>
      <c r="L505" s="2"/>
      <c r="M505" s="2"/>
      <c r="N505" s="2"/>
      <c r="O505" s="2"/>
      <c r="P505" s="2"/>
      <c r="Q505" s="2"/>
      <c r="S505" s="3"/>
      <c r="T505" s="3"/>
      <c r="U505" s="3"/>
      <c r="V505" s="3"/>
      <c r="W505" s="3"/>
      <c r="X505" s="3"/>
      <c r="Y505" s="3"/>
      <c r="Z505" s="3"/>
    </row>
    <row r="506" ht="15.75" customHeight="1">
      <c r="A506" s="3"/>
      <c r="B506" s="2"/>
      <c r="C506" s="667"/>
      <c r="D506" s="2"/>
      <c r="E506" s="464"/>
      <c r="F506" s="2"/>
      <c r="G506" s="2"/>
      <c r="H506" s="2"/>
      <c r="I506" s="2"/>
      <c r="J506" s="2"/>
      <c r="K506" s="2"/>
      <c r="L506" s="2"/>
      <c r="M506" s="2"/>
      <c r="N506" s="2"/>
      <c r="O506" s="2"/>
      <c r="P506" s="2"/>
      <c r="Q506" s="2"/>
      <c r="S506" s="3"/>
      <c r="T506" s="3"/>
      <c r="U506" s="3"/>
      <c r="V506" s="3"/>
      <c r="W506" s="3"/>
      <c r="X506" s="3"/>
      <c r="Y506" s="3"/>
      <c r="Z506" s="3"/>
    </row>
    <row r="507" ht="15.75" customHeight="1">
      <c r="A507" s="3"/>
      <c r="B507" s="2"/>
      <c r="C507" s="667"/>
      <c r="D507" s="2"/>
      <c r="E507" s="464"/>
      <c r="F507" s="2"/>
      <c r="G507" s="2"/>
      <c r="H507" s="2"/>
      <c r="I507" s="2"/>
      <c r="J507" s="2"/>
      <c r="K507" s="2"/>
      <c r="L507" s="2"/>
      <c r="M507" s="2"/>
      <c r="N507" s="2"/>
      <c r="O507" s="2"/>
      <c r="P507" s="2"/>
      <c r="Q507" s="2"/>
      <c r="S507" s="3"/>
      <c r="T507" s="3"/>
      <c r="U507" s="3"/>
      <c r="V507" s="3"/>
      <c r="W507" s="3"/>
      <c r="X507" s="3"/>
      <c r="Y507" s="3"/>
      <c r="Z507" s="3"/>
    </row>
    <row r="508" ht="15.75" customHeight="1">
      <c r="A508" s="3"/>
      <c r="B508" s="2"/>
      <c r="C508" s="667"/>
      <c r="D508" s="2"/>
      <c r="E508" s="464"/>
      <c r="F508" s="2"/>
      <c r="G508" s="2"/>
      <c r="H508" s="2"/>
      <c r="I508" s="2"/>
      <c r="J508" s="2"/>
      <c r="K508" s="2"/>
      <c r="L508" s="2"/>
      <c r="M508" s="2"/>
      <c r="N508" s="2"/>
      <c r="O508" s="2"/>
      <c r="P508" s="2"/>
      <c r="Q508" s="2"/>
      <c r="S508" s="3"/>
      <c r="T508" s="3"/>
      <c r="U508" s="3"/>
      <c r="V508" s="3"/>
      <c r="W508" s="3"/>
      <c r="X508" s="3"/>
      <c r="Y508" s="3"/>
      <c r="Z508" s="3"/>
    </row>
    <row r="509" ht="15.75" customHeight="1">
      <c r="A509" s="3"/>
      <c r="B509" s="2"/>
      <c r="C509" s="667"/>
      <c r="D509" s="2"/>
      <c r="E509" s="464"/>
      <c r="F509" s="2"/>
      <c r="G509" s="2"/>
      <c r="H509" s="2"/>
      <c r="I509" s="2"/>
      <c r="J509" s="2"/>
      <c r="K509" s="2"/>
      <c r="L509" s="2"/>
      <c r="M509" s="2"/>
      <c r="N509" s="2"/>
      <c r="O509" s="2"/>
      <c r="P509" s="2"/>
      <c r="Q509" s="2"/>
      <c r="S509" s="3"/>
      <c r="T509" s="3"/>
      <c r="U509" s="3"/>
      <c r="V509" s="3"/>
      <c r="W509" s="3"/>
      <c r="X509" s="3"/>
      <c r="Y509" s="3"/>
      <c r="Z509" s="3"/>
    </row>
    <row r="510" ht="15.75" customHeight="1">
      <c r="A510" s="3"/>
      <c r="B510" s="2"/>
      <c r="C510" s="667"/>
      <c r="D510" s="2"/>
      <c r="E510" s="464"/>
      <c r="F510" s="2"/>
      <c r="G510" s="2"/>
      <c r="H510" s="2"/>
      <c r="I510" s="2"/>
      <c r="J510" s="2"/>
      <c r="K510" s="2"/>
      <c r="L510" s="2"/>
      <c r="M510" s="2"/>
      <c r="N510" s="2"/>
      <c r="O510" s="2"/>
      <c r="P510" s="2"/>
      <c r="Q510" s="2"/>
      <c r="S510" s="3"/>
      <c r="T510" s="3"/>
      <c r="U510" s="3"/>
      <c r="V510" s="3"/>
      <c r="W510" s="3"/>
      <c r="X510" s="3"/>
      <c r="Y510" s="3"/>
      <c r="Z510" s="3"/>
    </row>
    <row r="511" ht="15.75" customHeight="1">
      <c r="A511" s="3"/>
      <c r="B511" s="2"/>
      <c r="C511" s="667"/>
      <c r="D511" s="2"/>
      <c r="E511" s="464"/>
      <c r="F511" s="2"/>
      <c r="G511" s="2"/>
      <c r="H511" s="2"/>
      <c r="I511" s="2"/>
      <c r="J511" s="2"/>
      <c r="K511" s="2"/>
      <c r="L511" s="2"/>
      <c r="M511" s="2"/>
      <c r="N511" s="2"/>
      <c r="O511" s="2"/>
      <c r="P511" s="2"/>
      <c r="Q511" s="2"/>
      <c r="S511" s="3"/>
      <c r="T511" s="3"/>
      <c r="U511" s="3"/>
      <c r="V511" s="3"/>
      <c r="W511" s="3"/>
      <c r="X511" s="3"/>
      <c r="Y511" s="3"/>
      <c r="Z511" s="3"/>
    </row>
    <row r="512" ht="15.75" customHeight="1">
      <c r="A512" s="3"/>
      <c r="B512" s="2"/>
      <c r="C512" s="667"/>
      <c r="D512" s="2"/>
      <c r="E512" s="464"/>
      <c r="F512" s="2"/>
      <c r="G512" s="2"/>
      <c r="H512" s="2"/>
      <c r="I512" s="2"/>
      <c r="J512" s="2"/>
      <c r="K512" s="2"/>
      <c r="L512" s="2"/>
      <c r="M512" s="2"/>
      <c r="N512" s="2"/>
      <c r="O512" s="2"/>
      <c r="P512" s="2"/>
      <c r="Q512" s="2"/>
      <c r="S512" s="3"/>
      <c r="T512" s="3"/>
      <c r="U512" s="3"/>
      <c r="V512" s="3"/>
      <c r="W512" s="3"/>
      <c r="X512" s="3"/>
      <c r="Y512" s="3"/>
      <c r="Z512" s="3"/>
    </row>
    <row r="513" ht="15.75" customHeight="1">
      <c r="A513" s="3"/>
      <c r="B513" s="2"/>
      <c r="C513" s="667"/>
      <c r="D513" s="2"/>
      <c r="E513" s="464"/>
      <c r="F513" s="2"/>
      <c r="G513" s="2"/>
      <c r="H513" s="2"/>
      <c r="I513" s="2"/>
      <c r="J513" s="2"/>
      <c r="K513" s="2"/>
      <c r="L513" s="2"/>
      <c r="M513" s="2"/>
      <c r="N513" s="2"/>
      <c r="O513" s="2"/>
      <c r="P513" s="2"/>
      <c r="Q513" s="2"/>
      <c r="S513" s="3"/>
      <c r="T513" s="3"/>
      <c r="U513" s="3"/>
      <c r="V513" s="3"/>
      <c r="W513" s="3"/>
      <c r="X513" s="3"/>
      <c r="Y513" s="3"/>
      <c r="Z513" s="3"/>
    </row>
    <row r="514" ht="15.75" customHeight="1">
      <c r="A514" s="3"/>
      <c r="B514" s="2"/>
      <c r="C514" s="667"/>
      <c r="D514" s="2"/>
      <c r="E514" s="464"/>
      <c r="F514" s="2"/>
      <c r="G514" s="2"/>
      <c r="H514" s="2"/>
      <c r="I514" s="2"/>
      <c r="J514" s="2"/>
      <c r="K514" s="2"/>
      <c r="L514" s="2"/>
      <c r="M514" s="2"/>
      <c r="N514" s="2"/>
      <c r="O514" s="2"/>
      <c r="P514" s="2"/>
      <c r="Q514" s="2"/>
      <c r="S514" s="3"/>
      <c r="T514" s="3"/>
      <c r="U514" s="3"/>
      <c r="V514" s="3"/>
      <c r="W514" s="3"/>
      <c r="X514" s="3"/>
      <c r="Y514" s="3"/>
      <c r="Z514" s="3"/>
    </row>
    <row r="515" ht="15.75" customHeight="1">
      <c r="A515" s="3"/>
      <c r="B515" s="2"/>
      <c r="C515" s="667"/>
      <c r="D515" s="2"/>
      <c r="E515" s="464"/>
      <c r="F515" s="2"/>
      <c r="G515" s="2"/>
      <c r="H515" s="2"/>
      <c r="I515" s="2"/>
      <c r="J515" s="2"/>
      <c r="K515" s="2"/>
      <c r="L515" s="2"/>
      <c r="M515" s="2"/>
      <c r="N515" s="2"/>
      <c r="O515" s="2"/>
      <c r="P515" s="2"/>
      <c r="Q515" s="2"/>
      <c r="S515" s="3"/>
      <c r="T515" s="3"/>
      <c r="U515" s="3"/>
      <c r="V515" s="3"/>
      <c r="W515" s="3"/>
      <c r="X515" s="3"/>
      <c r="Y515" s="3"/>
      <c r="Z515" s="3"/>
    </row>
    <row r="516" ht="15.75" customHeight="1">
      <c r="A516" s="3"/>
      <c r="B516" s="2"/>
      <c r="C516" s="667"/>
      <c r="D516" s="2"/>
      <c r="E516" s="464"/>
      <c r="F516" s="2"/>
      <c r="G516" s="2"/>
      <c r="H516" s="2"/>
      <c r="I516" s="2"/>
      <c r="J516" s="2"/>
      <c r="K516" s="2"/>
      <c r="L516" s="2"/>
      <c r="M516" s="2"/>
      <c r="N516" s="2"/>
      <c r="O516" s="2"/>
      <c r="P516" s="2"/>
      <c r="Q516" s="2"/>
      <c r="S516" s="3"/>
      <c r="T516" s="3"/>
      <c r="U516" s="3"/>
      <c r="V516" s="3"/>
      <c r="W516" s="3"/>
      <c r="X516" s="3"/>
      <c r="Y516" s="3"/>
      <c r="Z516" s="3"/>
    </row>
    <row r="517" ht="15.75" customHeight="1">
      <c r="A517" s="3"/>
      <c r="B517" s="2"/>
      <c r="C517" s="667"/>
      <c r="D517" s="2"/>
      <c r="E517" s="464"/>
      <c r="F517" s="2"/>
      <c r="G517" s="2"/>
      <c r="H517" s="2"/>
      <c r="I517" s="2"/>
      <c r="J517" s="2"/>
      <c r="K517" s="2"/>
      <c r="L517" s="2"/>
      <c r="M517" s="2"/>
      <c r="N517" s="2"/>
      <c r="O517" s="2"/>
      <c r="P517" s="2"/>
      <c r="Q517" s="2"/>
      <c r="S517" s="3"/>
      <c r="T517" s="3"/>
      <c r="U517" s="3"/>
      <c r="V517" s="3"/>
      <c r="W517" s="3"/>
      <c r="X517" s="3"/>
      <c r="Y517" s="3"/>
      <c r="Z517" s="3"/>
    </row>
    <row r="518" ht="15.75" customHeight="1">
      <c r="A518" s="3"/>
      <c r="B518" s="2"/>
      <c r="C518" s="667"/>
      <c r="D518" s="2"/>
      <c r="E518" s="464"/>
      <c r="F518" s="2"/>
      <c r="G518" s="2"/>
      <c r="H518" s="2"/>
      <c r="I518" s="2"/>
      <c r="J518" s="2"/>
      <c r="K518" s="2"/>
      <c r="L518" s="2"/>
      <c r="M518" s="2"/>
      <c r="N518" s="2"/>
      <c r="O518" s="2"/>
      <c r="P518" s="2"/>
      <c r="Q518" s="2"/>
      <c r="S518" s="3"/>
      <c r="T518" s="3"/>
      <c r="U518" s="3"/>
      <c r="V518" s="3"/>
      <c r="W518" s="3"/>
      <c r="X518" s="3"/>
      <c r="Y518" s="3"/>
      <c r="Z518" s="3"/>
    </row>
    <row r="519" ht="15.75" customHeight="1">
      <c r="A519" s="3"/>
      <c r="B519" s="2"/>
      <c r="C519" s="667"/>
      <c r="D519" s="2"/>
      <c r="E519" s="464"/>
      <c r="F519" s="2"/>
      <c r="G519" s="2"/>
      <c r="H519" s="2"/>
      <c r="I519" s="2"/>
      <c r="J519" s="2"/>
      <c r="K519" s="2"/>
      <c r="L519" s="2"/>
      <c r="M519" s="2"/>
      <c r="N519" s="2"/>
      <c r="O519" s="2"/>
      <c r="P519" s="2"/>
      <c r="Q519" s="2"/>
      <c r="S519" s="3"/>
      <c r="T519" s="3"/>
      <c r="U519" s="3"/>
      <c r="V519" s="3"/>
      <c r="W519" s="3"/>
      <c r="X519" s="3"/>
      <c r="Y519" s="3"/>
      <c r="Z519" s="3"/>
    </row>
    <row r="520" ht="15.75" customHeight="1">
      <c r="A520" s="3"/>
      <c r="B520" s="2"/>
      <c r="C520" s="667"/>
      <c r="D520" s="2"/>
      <c r="E520" s="464"/>
      <c r="F520" s="2"/>
      <c r="G520" s="2"/>
      <c r="H520" s="2"/>
      <c r="I520" s="2"/>
      <c r="J520" s="2"/>
      <c r="K520" s="2"/>
      <c r="L520" s="2"/>
      <c r="M520" s="2"/>
      <c r="N520" s="2"/>
      <c r="O520" s="2"/>
      <c r="P520" s="2"/>
      <c r="Q520" s="2"/>
      <c r="S520" s="3"/>
      <c r="T520" s="3"/>
      <c r="U520" s="3"/>
      <c r="V520" s="3"/>
      <c r="W520" s="3"/>
      <c r="X520" s="3"/>
      <c r="Y520" s="3"/>
      <c r="Z520" s="3"/>
    </row>
    <row r="521" ht="15.75" customHeight="1">
      <c r="A521" s="3"/>
      <c r="B521" s="2"/>
      <c r="C521" s="667"/>
      <c r="D521" s="2"/>
      <c r="E521" s="464"/>
      <c r="F521" s="2"/>
      <c r="G521" s="2"/>
      <c r="H521" s="2"/>
      <c r="I521" s="2"/>
      <c r="J521" s="2"/>
      <c r="K521" s="2"/>
      <c r="L521" s="2"/>
      <c r="M521" s="2"/>
      <c r="N521" s="2"/>
      <c r="O521" s="2"/>
      <c r="P521" s="2"/>
      <c r="Q521" s="2"/>
      <c r="S521" s="3"/>
      <c r="T521" s="3"/>
      <c r="U521" s="3"/>
      <c r="V521" s="3"/>
      <c r="W521" s="3"/>
      <c r="X521" s="3"/>
      <c r="Y521" s="3"/>
      <c r="Z521" s="3"/>
    </row>
    <row r="522" ht="15.75" customHeight="1">
      <c r="A522" s="3"/>
      <c r="B522" s="2"/>
      <c r="C522" s="667"/>
      <c r="D522" s="2"/>
      <c r="E522" s="464"/>
      <c r="F522" s="2"/>
      <c r="G522" s="2"/>
      <c r="H522" s="2"/>
      <c r="I522" s="2"/>
      <c r="J522" s="2"/>
      <c r="K522" s="2"/>
      <c r="L522" s="2"/>
      <c r="M522" s="2"/>
      <c r="N522" s="2"/>
      <c r="O522" s="2"/>
      <c r="P522" s="2"/>
      <c r="Q522" s="2"/>
      <c r="S522" s="3"/>
      <c r="T522" s="3"/>
      <c r="U522" s="3"/>
      <c r="V522" s="3"/>
      <c r="W522" s="3"/>
      <c r="X522" s="3"/>
      <c r="Y522" s="3"/>
      <c r="Z522" s="3"/>
    </row>
    <row r="523" ht="15.75" customHeight="1">
      <c r="A523" s="3"/>
      <c r="B523" s="2"/>
      <c r="C523" s="667"/>
      <c r="D523" s="2"/>
      <c r="E523" s="464"/>
      <c r="F523" s="2"/>
      <c r="G523" s="2"/>
      <c r="H523" s="2"/>
      <c r="I523" s="2"/>
      <c r="J523" s="2"/>
      <c r="K523" s="2"/>
      <c r="L523" s="2"/>
      <c r="M523" s="2"/>
      <c r="N523" s="2"/>
      <c r="O523" s="2"/>
      <c r="P523" s="2"/>
      <c r="Q523" s="2"/>
      <c r="S523" s="3"/>
      <c r="T523" s="3"/>
      <c r="U523" s="3"/>
      <c r="V523" s="3"/>
      <c r="W523" s="3"/>
      <c r="X523" s="3"/>
      <c r="Y523" s="3"/>
      <c r="Z523" s="3"/>
    </row>
    <row r="524" ht="15.75" customHeight="1">
      <c r="A524" s="3"/>
      <c r="B524" s="2"/>
      <c r="C524" s="667"/>
      <c r="D524" s="2"/>
      <c r="E524" s="464"/>
      <c r="F524" s="2"/>
      <c r="G524" s="2"/>
      <c r="H524" s="2"/>
      <c r="I524" s="2"/>
      <c r="J524" s="2"/>
      <c r="K524" s="2"/>
      <c r="L524" s="2"/>
      <c r="M524" s="2"/>
      <c r="N524" s="2"/>
      <c r="O524" s="2"/>
      <c r="P524" s="2"/>
      <c r="Q524" s="2"/>
      <c r="S524" s="3"/>
      <c r="T524" s="3"/>
      <c r="U524" s="3"/>
      <c r="V524" s="3"/>
      <c r="W524" s="3"/>
      <c r="X524" s="3"/>
      <c r="Y524" s="3"/>
      <c r="Z524" s="3"/>
    </row>
    <row r="525" ht="15.75" customHeight="1">
      <c r="A525" s="3"/>
      <c r="B525" s="2"/>
      <c r="C525" s="667"/>
      <c r="D525" s="2"/>
      <c r="E525" s="464"/>
      <c r="F525" s="2"/>
      <c r="G525" s="2"/>
      <c r="H525" s="2"/>
      <c r="I525" s="2"/>
      <c r="J525" s="2"/>
      <c r="K525" s="2"/>
      <c r="L525" s="2"/>
      <c r="M525" s="2"/>
      <c r="N525" s="2"/>
      <c r="O525" s="2"/>
      <c r="P525" s="2"/>
      <c r="Q525" s="2"/>
      <c r="S525" s="3"/>
      <c r="T525" s="3"/>
      <c r="U525" s="3"/>
      <c r="V525" s="3"/>
      <c r="W525" s="3"/>
      <c r="X525" s="3"/>
      <c r="Y525" s="3"/>
      <c r="Z525" s="3"/>
    </row>
    <row r="526" ht="15.75" customHeight="1">
      <c r="A526" s="3"/>
      <c r="B526" s="2"/>
      <c r="C526" s="667"/>
      <c r="D526" s="2"/>
      <c r="E526" s="464"/>
      <c r="F526" s="2"/>
      <c r="G526" s="2"/>
      <c r="H526" s="2"/>
      <c r="I526" s="2"/>
      <c r="J526" s="2"/>
      <c r="K526" s="2"/>
      <c r="L526" s="2"/>
      <c r="M526" s="2"/>
      <c r="N526" s="2"/>
      <c r="O526" s="2"/>
      <c r="P526" s="2"/>
      <c r="Q526" s="2"/>
      <c r="S526" s="3"/>
      <c r="T526" s="3"/>
      <c r="U526" s="3"/>
      <c r="V526" s="3"/>
      <c r="W526" s="3"/>
      <c r="X526" s="3"/>
      <c r="Y526" s="3"/>
      <c r="Z526" s="3"/>
    </row>
    <row r="527" ht="15.75" customHeight="1">
      <c r="A527" s="3"/>
      <c r="B527" s="2"/>
      <c r="C527" s="667"/>
      <c r="D527" s="2"/>
      <c r="E527" s="464"/>
      <c r="F527" s="2"/>
      <c r="G527" s="2"/>
      <c r="H527" s="2"/>
      <c r="I527" s="2"/>
      <c r="J527" s="2"/>
      <c r="K527" s="2"/>
      <c r="L527" s="2"/>
      <c r="M527" s="2"/>
      <c r="N527" s="2"/>
      <c r="O527" s="2"/>
      <c r="P527" s="2"/>
      <c r="Q527" s="2"/>
      <c r="S527" s="3"/>
      <c r="T527" s="3"/>
      <c r="U527" s="3"/>
      <c r="V527" s="3"/>
      <c r="W527" s="3"/>
      <c r="X527" s="3"/>
      <c r="Y527" s="3"/>
      <c r="Z527" s="3"/>
    </row>
    <row r="528" ht="15.75" customHeight="1">
      <c r="A528" s="3"/>
      <c r="B528" s="2"/>
      <c r="C528" s="667"/>
      <c r="D528" s="2"/>
      <c r="E528" s="464"/>
      <c r="F528" s="2"/>
      <c r="G528" s="2"/>
      <c r="H528" s="2"/>
      <c r="I528" s="2"/>
      <c r="J528" s="2"/>
      <c r="K528" s="2"/>
      <c r="L528" s="2"/>
      <c r="M528" s="2"/>
      <c r="N528" s="2"/>
      <c r="O528" s="2"/>
      <c r="P528" s="2"/>
      <c r="Q528" s="2"/>
      <c r="S528" s="3"/>
      <c r="T528" s="3"/>
      <c r="U528" s="3"/>
      <c r="V528" s="3"/>
      <c r="W528" s="3"/>
      <c r="X528" s="3"/>
      <c r="Y528" s="3"/>
      <c r="Z528" s="3"/>
    </row>
    <row r="529" ht="15.75" customHeight="1">
      <c r="A529" s="3"/>
      <c r="B529" s="2"/>
      <c r="C529" s="667"/>
      <c r="D529" s="2"/>
      <c r="E529" s="464"/>
      <c r="F529" s="2"/>
      <c r="G529" s="2"/>
      <c r="H529" s="2"/>
      <c r="I529" s="2"/>
      <c r="J529" s="2"/>
      <c r="K529" s="2"/>
      <c r="L529" s="2"/>
      <c r="M529" s="2"/>
      <c r="N529" s="2"/>
      <c r="O529" s="2"/>
      <c r="P529" s="2"/>
      <c r="Q529" s="2"/>
      <c r="S529" s="3"/>
      <c r="T529" s="3"/>
      <c r="U529" s="3"/>
      <c r="V529" s="3"/>
      <c r="W529" s="3"/>
      <c r="X529" s="3"/>
      <c r="Y529" s="3"/>
      <c r="Z529" s="3"/>
    </row>
    <row r="530" ht="15.75" customHeight="1">
      <c r="A530" s="3"/>
      <c r="B530" s="2"/>
      <c r="C530" s="667"/>
      <c r="D530" s="2"/>
      <c r="E530" s="464"/>
      <c r="F530" s="2"/>
      <c r="G530" s="2"/>
      <c r="H530" s="2"/>
      <c r="I530" s="2"/>
      <c r="J530" s="2"/>
      <c r="K530" s="2"/>
      <c r="L530" s="2"/>
      <c r="M530" s="2"/>
      <c r="N530" s="2"/>
      <c r="O530" s="2"/>
      <c r="P530" s="2"/>
      <c r="Q530" s="2"/>
      <c r="S530" s="3"/>
      <c r="T530" s="3"/>
      <c r="U530" s="3"/>
      <c r="V530" s="3"/>
      <c r="W530" s="3"/>
      <c r="X530" s="3"/>
      <c r="Y530" s="3"/>
      <c r="Z530" s="3"/>
    </row>
    <row r="531" ht="15.75" customHeight="1">
      <c r="A531" s="3"/>
      <c r="B531" s="2"/>
      <c r="C531" s="667"/>
      <c r="D531" s="2"/>
      <c r="E531" s="464"/>
      <c r="F531" s="2"/>
      <c r="G531" s="2"/>
      <c r="H531" s="2"/>
      <c r="I531" s="2"/>
      <c r="J531" s="2"/>
      <c r="K531" s="2"/>
      <c r="L531" s="2"/>
      <c r="M531" s="2"/>
      <c r="N531" s="2"/>
      <c r="O531" s="2"/>
      <c r="P531" s="2"/>
      <c r="Q531" s="2"/>
      <c r="S531" s="3"/>
      <c r="T531" s="3"/>
      <c r="U531" s="3"/>
      <c r="V531" s="3"/>
      <c r="W531" s="3"/>
      <c r="X531" s="3"/>
      <c r="Y531" s="3"/>
      <c r="Z531" s="3"/>
    </row>
    <row r="532" ht="15.75" customHeight="1">
      <c r="A532" s="3"/>
      <c r="B532" s="2"/>
      <c r="C532" s="667"/>
      <c r="D532" s="2"/>
      <c r="E532" s="464"/>
      <c r="F532" s="2"/>
      <c r="G532" s="2"/>
      <c r="H532" s="2"/>
      <c r="I532" s="2"/>
      <c r="J532" s="2"/>
      <c r="K532" s="2"/>
      <c r="L532" s="2"/>
      <c r="M532" s="2"/>
      <c r="N532" s="2"/>
      <c r="O532" s="2"/>
      <c r="P532" s="2"/>
      <c r="Q532" s="2"/>
      <c r="S532" s="3"/>
      <c r="T532" s="3"/>
      <c r="U532" s="3"/>
      <c r="V532" s="3"/>
      <c r="W532" s="3"/>
      <c r="X532" s="3"/>
      <c r="Y532" s="3"/>
      <c r="Z532" s="3"/>
    </row>
    <row r="533" ht="15.75" customHeight="1">
      <c r="A533" s="3"/>
      <c r="B533" s="2"/>
      <c r="C533" s="667"/>
      <c r="D533" s="2"/>
      <c r="E533" s="464"/>
      <c r="F533" s="2"/>
      <c r="G533" s="2"/>
      <c r="H533" s="2"/>
      <c r="I533" s="2"/>
      <c r="J533" s="2"/>
      <c r="K533" s="2"/>
      <c r="L533" s="2"/>
      <c r="M533" s="2"/>
      <c r="N533" s="2"/>
      <c r="O533" s="2"/>
      <c r="P533" s="2"/>
      <c r="Q533" s="2"/>
      <c r="S533" s="3"/>
      <c r="T533" s="3"/>
      <c r="U533" s="3"/>
      <c r="V533" s="3"/>
      <c r="W533" s="3"/>
      <c r="X533" s="3"/>
      <c r="Y533" s="3"/>
      <c r="Z533" s="3"/>
    </row>
    <row r="534" ht="15.75" customHeight="1">
      <c r="A534" s="3"/>
      <c r="B534" s="2"/>
      <c r="C534" s="667"/>
      <c r="D534" s="2"/>
      <c r="E534" s="464"/>
      <c r="F534" s="2"/>
      <c r="G534" s="2"/>
      <c r="H534" s="2"/>
      <c r="I534" s="2"/>
      <c r="J534" s="2"/>
      <c r="K534" s="2"/>
      <c r="L534" s="2"/>
      <c r="M534" s="2"/>
      <c r="N534" s="2"/>
      <c r="O534" s="2"/>
      <c r="P534" s="2"/>
      <c r="Q534" s="2"/>
      <c r="S534" s="3"/>
      <c r="T534" s="3"/>
      <c r="U534" s="3"/>
      <c r="V534" s="3"/>
      <c r="W534" s="3"/>
      <c r="X534" s="3"/>
      <c r="Y534" s="3"/>
      <c r="Z534" s="3"/>
    </row>
    <row r="535" ht="15.75" customHeight="1">
      <c r="A535" s="3"/>
      <c r="B535" s="2"/>
      <c r="C535" s="667"/>
      <c r="D535" s="2"/>
      <c r="E535" s="464"/>
      <c r="F535" s="2"/>
      <c r="G535" s="2"/>
      <c r="H535" s="2"/>
      <c r="I535" s="2"/>
      <c r="J535" s="2"/>
      <c r="K535" s="2"/>
      <c r="L535" s="2"/>
      <c r="M535" s="2"/>
      <c r="N535" s="2"/>
      <c r="O535" s="2"/>
      <c r="P535" s="2"/>
      <c r="Q535" s="2"/>
      <c r="S535" s="3"/>
      <c r="T535" s="3"/>
      <c r="U535" s="3"/>
      <c r="V535" s="3"/>
      <c r="W535" s="3"/>
      <c r="X535" s="3"/>
      <c r="Y535" s="3"/>
      <c r="Z535" s="3"/>
    </row>
    <row r="536" ht="15.75" customHeight="1">
      <c r="A536" s="3"/>
      <c r="B536" s="2"/>
      <c r="C536" s="667"/>
      <c r="D536" s="2"/>
      <c r="E536" s="464"/>
      <c r="F536" s="2"/>
      <c r="G536" s="2"/>
      <c r="H536" s="2"/>
      <c r="I536" s="2"/>
      <c r="J536" s="2"/>
      <c r="K536" s="2"/>
      <c r="L536" s="2"/>
      <c r="M536" s="2"/>
      <c r="N536" s="2"/>
      <c r="O536" s="2"/>
      <c r="P536" s="2"/>
      <c r="Q536" s="2"/>
      <c r="S536" s="3"/>
      <c r="T536" s="3"/>
      <c r="U536" s="3"/>
      <c r="V536" s="3"/>
      <c r="W536" s="3"/>
      <c r="X536" s="3"/>
      <c r="Y536" s="3"/>
      <c r="Z536" s="3"/>
    </row>
    <row r="537" ht="15.75" customHeight="1">
      <c r="A537" s="3"/>
      <c r="B537" s="2"/>
      <c r="C537" s="667"/>
      <c r="D537" s="2"/>
      <c r="E537" s="464"/>
      <c r="F537" s="2"/>
      <c r="G537" s="2"/>
      <c r="H537" s="2"/>
      <c r="I537" s="2"/>
      <c r="J537" s="2"/>
      <c r="K537" s="2"/>
      <c r="L537" s="2"/>
      <c r="M537" s="2"/>
      <c r="N537" s="2"/>
      <c r="O537" s="2"/>
      <c r="P537" s="2"/>
      <c r="Q537" s="2"/>
      <c r="S537" s="3"/>
      <c r="T537" s="3"/>
      <c r="U537" s="3"/>
      <c r="V537" s="3"/>
      <c r="W537" s="3"/>
      <c r="X537" s="3"/>
      <c r="Y537" s="3"/>
      <c r="Z537" s="3"/>
    </row>
    <row r="538" ht="15.75" customHeight="1">
      <c r="A538" s="3"/>
      <c r="B538" s="2"/>
      <c r="C538" s="667"/>
      <c r="D538" s="2"/>
      <c r="E538" s="464"/>
      <c r="F538" s="2"/>
      <c r="G538" s="2"/>
      <c r="H538" s="2"/>
      <c r="I538" s="2"/>
      <c r="J538" s="2"/>
      <c r="K538" s="2"/>
      <c r="L538" s="2"/>
      <c r="M538" s="2"/>
      <c r="N538" s="2"/>
      <c r="O538" s="2"/>
      <c r="P538" s="2"/>
      <c r="Q538" s="2"/>
      <c r="S538" s="3"/>
      <c r="T538" s="3"/>
      <c r="U538" s="3"/>
      <c r="V538" s="3"/>
      <c r="W538" s="3"/>
      <c r="X538" s="3"/>
      <c r="Y538" s="3"/>
      <c r="Z538" s="3"/>
    </row>
    <row r="539" ht="15.75" customHeight="1">
      <c r="A539" s="3"/>
      <c r="B539" s="2"/>
      <c r="C539" s="667"/>
      <c r="D539" s="2"/>
      <c r="E539" s="464"/>
      <c r="F539" s="2"/>
      <c r="G539" s="2"/>
      <c r="H539" s="2"/>
      <c r="I539" s="2"/>
      <c r="J539" s="2"/>
      <c r="K539" s="2"/>
      <c r="L539" s="2"/>
      <c r="M539" s="2"/>
      <c r="N539" s="2"/>
      <c r="O539" s="2"/>
      <c r="P539" s="2"/>
      <c r="Q539" s="2"/>
      <c r="S539" s="3"/>
      <c r="T539" s="3"/>
      <c r="U539" s="3"/>
      <c r="V539" s="3"/>
      <c r="W539" s="3"/>
      <c r="X539" s="3"/>
      <c r="Y539" s="3"/>
      <c r="Z539" s="3"/>
    </row>
    <row r="540" ht="15.75" customHeight="1">
      <c r="A540" s="3"/>
      <c r="B540" s="2"/>
      <c r="C540" s="667"/>
      <c r="D540" s="2"/>
      <c r="E540" s="464"/>
      <c r="F540" s="2"/>
      <c r="G540" s="2"/>
      <c r="H540" s="2"/>
      <c r="I540" s="2"/>
      <c r="J540" s="2"/>
      <c r="K540" s="2"/>
      <c r="L540" s="2"/>
      <c r="M540" s="2"/>
      <c r="N540" s="2"/>
      <c r="O540" s="2"/>
      <c r="P540" s="2"/>
      <c r="Q540" s="2"/>
      <c r="S540" s="3"/>
      <c r="T540" s="3"/>
      <c r="U540" s="3"/>
      <c r="V540" s="3"/>
      <c r="W540" s="3"/>
      <c r="X540" s="3"/>
      <c r="Y540" s="3"/>
      <c r="Z540" s="3"/>
    </row>
    <row r="541" ht="15.75" customHeight="1">
      <c r="A541" s="3"/>
      <c r="B541" s="2"/>
      <c r="C541" s="667"/>
      <c r="D541" s="2"/>
      <c r="E541" s="464"/>
      <c r="F541" s="2"/>
      <c r="G541" s="2"/>
      <c r="H541" s="2"/>
      <c r="I541" s="2"/>
      <c r="J541" s="2"/>
      <c r="K541" s="2"/>
      <c r="L541" s="2"/>
      <c r="M541" s="2"/>
      <c r="N541" s="2"/>
      <c r="O541" s="2"/>
      <c r="P541" s="2"/>
      <c r="Q541" s="2"/>
      <c r="S541" s="3"/>
      <c r="T541" s="3"/>
      <c r="U541" s="3"/>
      <c r="V541" s="3"/>
      <c r="W541" s="3"/>
      <c r="X541" s="3"/>
      <c r="Y541" s="3"/>
      <c r="Z541" s="3"/>
    </row>
    <row r="542" ht="15.75" customHeight="1">
      <c r="A542" s="3"/>
      <c r="B542" s="2"/>
      <c r="C542" s="667"/>
      <c r="D542" s="2"/>
      <c r="E542" s="464"/>
      <c r="F542" s="2"/>
      <c r="G542" s="2"/>
      <c r="H542" s="2"/>
      <c r="I542" s="2"/>
      <c r="J542" s="2"/>
      <c r="K542" s="2"/>
      <c r="L542" s="2"/>
      <c r="M542" s="2"/>
      <c r="N542" s="2"/>
      <c r="O542" s="2"/>
      <c r="P542" s="2"/>
      <c r="Q542" s="2"/>
      <c r="S542" s="3"/>
      <c r="T542" s="3"/>
      <c r="U542" s="3"/>
      <c r="V542" s="3"/>
      <c r="W542" s="3"/>
      <c r="X542" s="3"/>
      <c r="Y542" s="3"/>
      <c r="Z542" s="3"/>
    </row>
    <row r="543" ht="15.75" customHeight="1">
      <c r="A543" s="3"/>
      <c r="B543" s="2"/>
      <c r="C543" s="667"/>
      <c r="D543" s="2"/>
      <c r="E543" s="464"/>
      <c r="F543" s="2"/>
      <c r="G543" s="2"/>
      <c r="H543" s="2"/>
      <c r="I543" s="2"/>
      <c r="J543" s="2"/>
      <c r="K543" s="2"/>
      <c r="L543" s="2"/>
      <c r="M543" s="2"/>
      <c r="N543" s="2"/>
      <c r="O543" s="2"/>
      <c r="P543" s="2"/>
      <c r="Q543" s="2"/>
      <c r="S543" s="3"/>
      <c r="T543" s="3"/>
      <c r="U543" s="3"/>
      <c r="V543" s="3"/>
      <c r="W543" s="3"/>
      <c r="X543" s="3"/>
      <c r="Y543" s="3"/>
      <c r="Z543" s="3"/>
    </row>
    <row r="544" ht="15.75" customHeight="1">
      <c r="A544" s="3"/>
      <c r="B544" s="2"/>
      <c r="C544" s="667"/>
      <c r="D544" s="2"/>
      <c r="E544" s="464"/>
      <c r="F544" s="2"/>
      <c r="G544" s="2"/>
      <c r="H544" s="2"/>
      <c r="I544" s="2"/>
      <c r="J544" s="2"/>
      <c r="K544" s="2"/>
      <c r="L544" s="2"/>
      <c r="M544" s="2"/>
      <c r="N544" s="2"/>
      <c r="O544" s="2"/>
      <c r="P544" s="2"/>
      <c r="Q544" s="2"/>
      <c r="S544" s="3"/>
      <c r="T544" s="3"/>
      <c r="U544" s="3"/>
      <c r="V544" s="3"/>
      <c r="W544" s="3"/>
      <c r="X544" s="3"/>
      <c r="Y544" s="3"/>
      <c r="Z544" s="3"/>
    </row>
    <row r="545" ht="15.75" customHeight="1">
      <c r="A545" s="3"/>
      <c r="B545" s="2"/>
      <c r="C545" s="667"/>
      <c r="D545" s="2"/>
      <c r="E545" s="464"/>
      <c r="F545" s="2"/>
      <c r="G545" s="2"/>
      <c r="H545" s="2"/>
      <c r="I545" s="2"/>
      <c r="J545" s="2"/>
      <c r="K545" s="2"/>
      <c r="L545" s="2"/>
      <c r="M545" s="2"/>
      <c r="N545" s="2"/>
      <c r="O545" s="2"/>
      <c r="P545" s="2"/>
      <c r="Q545" s="2"/>
      <c r="S545" s="3"/>
      <c r="T545" s="3"/>
      <c r="U545" s="3"/>
      <c r="V545" s="3"/>
      <c r="W545" s="3"/>
      <c r="X545" s="3"/>
      <c r="Y545" s="3"/>
      <c r="Z545" s="3"/>
    </row>
    <row r="546" ht="15.75" customHeight="1">
      <c r="A546" s="3"/>
      <c r="B546" s="2"/>
      <c r="C546" s="667"/>
      <c r="D546" s="2"/>
      <c r="E546" s="464"/>
      <c r="F546" s="2"/>
      <c r="G546" s="2"/>
      <c r="H546" s="2"/>
      <c r="I546" s="2"/>
      <c r="J546" s="2"/>
      <c r="K546" s="2"/>
      <c r="L546" s="2"/>
      <c r="M546" s="2"/>
      <c r="N546" s="2"/>
      <c r="O546" s="2"/>
      <c r="P546" s="2"/>
      <c r="Q546" s="2"/>
      <c r="S546" s="3"/>
      <c r="T546" s="3"/>
      <c r="U546" s="3"/>
      <c r="V546" s="3"/>
      <c r="W546" s="3"/>
      <c r="X546" s="3"/>
      <c r="Y546" s="3"/>
      <c r="Z546" s="3"/>
    </row>
    <row r="547" ht="15.75" customHeight="1">
      <c r="A547" s="3"/>
      <c r="B547" s="2"/>
      <c r="C547" s="667"/>
      <c r="D547" s="2"/>
      <c r="E547" s="464"/>
      <c r="F547" s="2"/>
      <c r="G547" s="2"/>
      <c r="H547" s="2"/>
      <c r="I547" s="2"/>
      <c r="J547" s="2"/>
      <c r="K547" s="2"/>
      <c r="L547" s="2"/>
      <c r="M547" s="2"/>
      <c r="N547" s="2"/>
      <c r="O547" s="2"/>
      <c r="P547" s="2"/>
      <c r="Q547" s="2"/>
      <c r="S547" s="3"/>
      <c r="T547" s="3"/>
      <c r="U547" s="3"/>
      <c r="V547" s="3"/>
      <c r="W547" s="3"/>
      <c r="X547" s="3"/>
      <c r="Y547" s="3"/>
      <c r="Z547" s="3"/>
    </row>
    <row r="548" ht="15.75" customHeight="1">
      <c r="A548" s="3"/>
      <c r="B548" s="2"/>
      <c r="C548" s="667"/>
      <c r="D548" s="2"/>
      <c r="E548" s="464"/>
      <c r="F548" s="2"/>
      <c r="G548" s="2"/>
      <c r="H548" s="2"/>
      <c r="I548" s="2"/>
      <c r="J548" s="2"/>
      <c r="K548" s="2"/>
      <c r="L548" s="2"/>
      <c r="M548" s="2"/>
      <c r="N548" s="2"/>
      <c r="O548" s="2"/>
      <c r="P548" s="2"/>
      <c r="Q548" s="2"/>
      <c r="S548" s="3"/>
      <c r="T548" s="3"/>
      <c r="U548" s="3"/>
      <c r="V548" s="3"/>
      <c r="W548" s="3"/>
      <c r="X548" s="3"/>
      <c r="Y548" s="3"/>
      <c r="Z548" s="3"/>
    </row>
    <row r="549" ht="15.75" customHeight="1">
      <c r="A549" s="3"/>
      <c r="B549" s="2"/>
      <c r="C549" s="667"/>
      <c r="D549" s="2"/>
      <c r="E549" s="464"/>
      <c r="F549" s="2"/>
      <c r="G549" s="2"/>
      <c r="H549" s="2"/>
      <c r="I549" s="2"/>
      <c r="J549" s="2"/>
      <c r="K549" s="2"/>
      <c r="L549" s="2"/>
      <c r="M549" s="2"/>
      <c r="N549" s="2"/>
      <c r="O549" s="2"/>
      <c r="P549" s="2"/>
      <c r="Q549" s="2"/>
      <c r="S549" s="3"/>
      <c r="T549" s="3"/>
      <c r="U549" s="3"/>
      <c r="V549" s="3"/>
      <c r="W549" s="3"/>
      <c r="X549" s="3"/>
      <c r="Y549" s="3"/>
      <c r="Z549" s="3"/>
    </row>
    <row r="550" ht="15.75" customHeight="1">
      <c r="A550" s="3"/>
      <c r="B550" s="2"/>
      <c r="C550" s="667"/>
      <c r="D550" s="2"/>
      <c r="E550" s="464"/>
      <c r="F550" s="2"/>
      <c r="G550" s="2"/>
      <c r="H550" s="2"/>
      <c r="I550" s="2"/>
      <c r="J550" s="2"/>
      <c r="K550" s="2"/>
      <c r="L550" s="2"/>
      <c r="M550" s="2"/>
      <c r="N550" s="2"/>
      <c r="O550" s="2"/>
      <c r="P550" s="2"/>
      <c r="Q550" s="2"/>
      <c r="S550" s="3"/>
      <c r="T550" s="3"/>
      <c r="U550" s="3"/>
      <c r="V550" s="3"/>
      <c r="W550" s="3"/>
      <c r="X550" s="3"/>
      <c r="Y550" s="3"/>
      <c r="Z550" s="3"/>
    </row>
    <row r="551" ht="15.75" customHeight="1">
      <c r="A551" s="3"/>
      <c r="B551" s="2"/>
      <c r="C551" s="667"/>
      <c r="D551" s="2"/>
      <c r="E551" s="464"/>
      <c r="F551" s="2"/>
      <c r="G551" s="2"/>
      <c r="H551" s="2"/>
      <c r="I551" s="2"/>
      <c r="J551" s="2"/>
      <c r="K551" s="2"/>
      <c r="L551" s="2"/>
      <c r="M551" s="2"/>
      <c r="N551" s="2"/>
      <c r="O551" s="2"/>
      <c r="P551" s="2"/>
      <c r="Q551" s="2"/>
      <c r="S551" s="3"/>
      <c r="T551" s="3"/>
      <c r="U551" s="3"/>
      <c r="V551" s="3"/>
      <c r="W551" s="3"/>
      <c r="X551" s="3"/>
      <c r="Y551" s="3"/>
      <c r="Z551" s="3"/>
    </row>
    <row r="552" ht="15.75" customHeight="1">
      <c r="A552" s="3"/>
      <c r="B552" s="2"/>
      <c r="C552" s="667"/>
      <c r="D552" s="2"/>
      <c r="E552" s="464"/>
      <c r="F552" s="2"/>
      <c r="G552" s="2"/>
      <c r="H552" s="2"/>
      <c r="I552" s="2"/>
      <c r="J552" s="2"/>
      <c r="K552" s="2"/>
      <c r="L552" s="2"/>
      <c r="M552" s="2"/>
      <c r="N552" s="2"/>
      <c r="O552" s="2"/>
      <c r="P552" s="2"/>
      <c r="Q552" s="2"/>
      <c r="S552" s="3"/>
      <c r="T552" s="3"/>
      <c r="U552" s="3"/>
      <c r="V552" s="3"/>
      <c r="W552" s="3"/>
      <c r="X552" s="3"/>
      <c r="Y552" s="3"/>
      <c r="Z552" s="3"/>
    </row>
    <row r="553" ht="15.75" customHeight="1">
      <c r="A553" s="3"/>
      <c r="B553" s="2"/>
      <c r="C553" s="667"/>
      <c r="D553" s="2"/>
      <c r="E553" s="464"/>
      <c r="F553" s="2"/>
      <c r="G553" s="2"/>
      <c r="H553" s="2"/>
      <c r="I553" s="2"/>
      <c r="J553" s="2"/>
      <c r="K553" s="2"/>
      <c r="L553" s="2"/>
      <c r="M553" s="2"/>
      <c r="N553" s="2"/>
      <c r="O553" s="2"/>
      <c r="P553" s="2"/>
      <c r="Q553" s="2"/>
      <c r="S553" s="3"/>
      <c r="T553" s="3"/>
      <c r="U553" s="3"/>
      <c r="V553" s="3"/>
      <c r="W553" s="3"/>
      <c r="X553" s="3"/>
      <c r="Y553" s="3"/>
      <c r="Z553" s="3"/>
    </row>
    <row r="554" ht="15.75" customHeight="1">
      <c r="A554" s="3"/>
      <c r="B554" s="2"/>
      <c r="C554" s="667"/>
      <c r="D554" s="2"/>
      <c r="E554" s="464"/>
      <c r="F554" s="2"/>
      <c r="G554" s="2"/>
      <c r="H554" s="2"/>
      <c r="I554" s="2"/>
      <c r="J554" s="2"/>
      <c r="K554" s="2"/>
      <c r="L554" s="2"/>
      <c r="M554" s="2"/>
      <c r="N554" s="2"/>
      <c r="O554" s="2"/>
      <c r="P554" s="2"/>
      <c r="Q554" s="2"/>
      <c r="S554" s="3"/>
      <c r="T554" s="3"/>
      <c r="U554" s="3"/>
      <c r="V554" s="3"/>
      <c r="W554" s="3"/>
      <c r="X554" s="3"/>
      <c r="Y554" s="3"/>
      <c r="Z554" s="3"/>
    </row>
    <row r="555" ht="15.75" customHeight="1">
      <c r="A555" s="3"/>
      <c r="B555" s="2"/>
      <c r="C555" s="667"/>
      <c r="D555" s="2"/>
      <c r="E555" s="464"/>
      <c r="F555" s="2"/>
      <c r="G555" s="2"/>
      <c r="H555" s="2"/>
      <c r="I555" s="2"/>
      <c r="J555" s="2"/>
      <c r="K555" s="2"/>
      <c r="L555" s="2"/>
      <c r="M555" s="2"/>
      <c r="N555" s="2"/>
      <c r="O555" s="2"/>
      <c r="P555" s="2"/>
      <c r="Q555" s="2"/>
      <c r="S555" s="3"/>
      <c r="T555" s="3"/>
      <c r="U555" s="3"/>
      <c r="V555" s="3"/>
      <c r="W555" s="3"/>
      <c r="X555" s="3"/>
      <c r="Y555" s="3"/>
      <c r="Z555" s="3"/>
    </row>
    <row r="556" ht="15.75" customHeight="1">
      <c r="A556" s="3"/>
      <c r="B556" s="2"/>
      <c r="C556" s="667"/>
      <c r="D556" s="2"/>
      <c r="E556" s="464"/>
      <c r="F556" s="2"/>
      <c r="G556" s="2"/>
      <c r="H556" s="2"/>
      <c r="I556" s="2"/>
      <c r="J556" s="2"/>
      <c r="K556" s="2"/>
      <c r="L556" s="2"/>
      <c r="M556" s="2"/>
      <c r="N556" s="2"/>
      <c r="O556" s="2"/>
      <c r="P556" s="2"/>
      <c r="Q556" s="2"/>
      <c r="S556" s="3"/>
      <c r="T556" s="3"/>
      <c r="U556" s="3"/>
      <c r="V556" s="3"/>
      <c r="W556" s="3"/>
      <c r="X556" s="3"/>
      <c r="Y556" s="3"/>
      <c r="Z556" s="3"/>
    </row>
    <row r="557" ht="15.75" customHeight="1">
      <c r="A557" s="3"/>
      <c r="B557" s="2"/>
      <c r="C557" s="667"/>
      <c r="D557" s="2"/>
      <c r="E557" s="464"/>
      <c r="F557" s="2"/>
      <c r="G557" s="2"/>
      <c r="H557" s="2"/>
      <c r="I557" s="2"/>
      <c r="J557" s="2"/>
      <c r="K557" s="2"/>
      <c r="L557" s="2"/>
      <c r="M557" s="2"/>
      <c r="N557" s="2"/>
      <c r="O557" s="2"/>
      <c r="P557" s="2"/>
      <c r="Q557" s="2"/>
      <c r="S557" s="3"/>
      <c r="T557" s="3"/>
      <c r="U557" s="3"/>
      <c r="V557" s="3"/>
      <c r="W557" s="3"/>
      <c r="X557" s="3"/>
      <c r="Y557" s="3"/>
      <c r="Z557" s="3"/>
    </row>
    <row r="558" ht="15.75" customHeight="1">
      <c r="A558" s="3"/>
      <c r="B558" s="2"/>
      <c r="C558" s="667"/>
      <c r="D558" s="2"/>
      <c r="E558" s="464"/>
      <c r="F558" s="2"/>
      <c r="G558" s="2"/>
      <c r="H558" s="2"/>
      <c r="I558" s="2"/>
      <c r="J558" s="2"/>
      <c r="K558" s="2"/>
      <c r="L558" s="2"/>
      <c r="M558" s="2"/>
      <c r="N558" s="2"/>
      <c r="O558" s="2"/>
      <c r="P558" s="2"/>
      <c r="Q558" s="2"/>
      <c r="S558" s="3"/>
      <c r="T558" s="3"/>
      <c r="U558" s="3"/>
      <c r="V558" s="3"/>
      <c r="W558" s="3"/>
      <c r="X558" s="3"/>
      <c r="Y558" s="3"/>
      <c r="Z558" s="3"/>
    </row>
    <row r="559" ht="15.75" customHeight="1">
      <c r="A559" s="3"/>
      <c r="B559" s="2"/>
      <c r="C559" s="667"/>
      <c r="D559" s="2"/>
      <c r="E559" s="464"/>
      <c r="F559" s="2"/>
      <c r="G559" s="2"/>
      <c r="H559" s="2"/>
      <c r="I559" s="2"/>
      <c r="J559" s="2"/>
      <c r="K559" s="2"/>
      <c r="L559" s="2"/>
      <c r="M559" s="2"/>
      <c r="N559" s="2"/>
      <c r="O559" s="2"/>
      <c r="P559" s="2"/>
      <c r="Q559" s="2"/>
      <c r="S559" s="3"/>
      <c r="T559" s="3"/>
      <c r="U559" s="3"/>
      <c r="V559" s="3"/>
      <c r="W559" s="3"/>
      <c r="X559" s="3"/>
      <c r="Y559" s="3"/>
      <c r="Z559" s="3"/>
    </row>
    <row r="560" ht="15.75" customHeight="1">
      <c r="A560" s="3"/>
      <c r="B560" s="2"/>
      <c r="C560" s="667"/>
      <c r="D560" s="2"/>
      <c r="E560" s="464"/>
      <c r="F560" s="2"/>
      <c r="G560" s="2"/>
      <c r="H560" s="2"/>
      <c r="I560" s="2"/>
      <c r="J560" s="2"/>
      <c r="K560" s="2"/>
      <c r="L560" s="2"/>
      <c r="M560" s="2"/>
      <c r="N560" s="2"/>
      <c r="O560" s="2"/>
      <c r="P560" s="2"/>
      <c r="Q560" s="2"/>
      <c r="S560" s="3"/>
      <c r="T560" s="3"/>
      <c r="U560" s="3"/>
      <c r="V560" s="3"/>
      <c r="W560" s="3"/>
      <c r="X560" s="3"/>
      <c r="Y560" s="3"/>
      <c r="Z560" s="3"/>
    </row>
    <row r="561" ht="15.75" customHeight="1">
      <c r="A561" s="3"/>
      <c r="B561" s="2"/>
      <c r="C561" s="667"/>
      <c r="D561" s="2"/>
      <c r="E561" s="464"/>
      <c r="F561" s="2"/>
      <c r="G561" s="2"/>
      <c r="H561" s="2"/>
      <c r="I561" s="2"/>
      <c r="J561" s="2"/>
      <c r="K561" s="2"/>
      <c r="L561" s="2"/>
      <c r="M561" s="2"/>
      <c r="N561" s="2"/>
      <c r="O561" s="2"/>
      <c r="P561" s="2"/>
      <c r="Q561" s="2"/>
      <c r="S561" s="3"/>
      <c r="T561" s="3"/>
      <c r="U561" s="3"/>
      <c r="V561" s="3"/>
      <c r="W561" s="3"/>
      <c r="X561" s="3"/>
      <c r="Y561" s="3"/>
      <c r="Z561" s="3"/>
    </row>
    <row r="562" ht="15.75" customHeight="1">
      <c r="A562" s="3"/>
      <c r="B562" s="2"/>
      <c r="C562" s="667"/>
      <c r="D562" s="2"/>
      <c r="E562" s="464"/>
      <c r="F562" s="2"/>
      <c r="G562" s="2"/>
      <c r="H562" s="2"/>
      <c r="I562" s="2"/>
      <c r="J562" s="2"/>
      <c r="K562" s="2"/>
      <c r="L562" s="2"/>
      <c r="M562" s="2"/>
      <c r="N562" s="2"/>
      <c r="O562" s="2"/>
      <c r="P562" s="2"/>
      <c r="Q562" s="2"/>
      <c r="S562" s="3"/>
      <c r="T562" s="3"/>
      <c r="U562" s="3"/>
      <c r="V562" s="3"/>
      <c r="W562" s="3"/>
      <c r="X562" s="3"/>
      <c r="Y562" s="3"/>
      <c r="Z562" s="3"/>
    </row>
    <row r="563" ht="15.75" customHeight="1">
      <c r="A563" s="3"/>
      <c r="B563" s="2"/>
      <c r="C563" s="667"/>
      <c r="D563" s="2"/>
      <c r="E563" s="464"/>
      <c r="F563" s="2"/>
      <c r="G563" s="2"/>
      <c r="H563" s="2"/>
      <c r="I563" s="2"/>
      <c r="J563" s="2"/>
      <c r="K563" s="2"/>
      <c r="L563" s="2"/>
      <c r="M563" s="2"/>
      <c r="N563" s="2"/>
      <c r="O563" s="2"/>
      <c r="P563" s="2"/>
      <c r="Q563" s="2"/>
      <c r="S563" s="3"/>
      <c r="T563" s="3"/>
      <c r="U563" s="3"/>
      <c r="V563" s="3"/>
      <c r="W563" s="3"/>
      <c r="X563" s="3"/>
      <c r="Y563" s="3"/>
      <c r="Z563" s="3"/>
    </row>
    <row r="564" ht="15.75" customHeight="1">
      <c r="A564" s="3"/>
      <c r="B564" s="2"/>
      <c r="C564" s="667"/>
      <c r="D564" s="2"/>
      <c r="E564" s="464"/>
      <c r="F564" s="2"/>
      <c r="G564" s="2"/>
      <c r="H564" s="2"/>
      <c r="I564" s="2"/>
      <c r="J564" s="2"/>
      <c r="K564" s="2"/>
      <c r="L564" s="2"/>
      <c r="M564" s="2"/>
      <c r="N564" s="2"/>
      <c r="O564" s="2"/>
      <c r="P564" s="2"/>
      <c r="Q564" s="2"/>
      <c r="S564" s="3"/>
      <c r="T564" s="3"/>
      <c r="U564" s="3"/>
      <c r="V564" s="3"/>
      <c r="W564" s="3"/>
      <c r="X564" s="3"/>
      <c r="Y564" s="3"/>
      <c r="Z564" s="3"/>
    </row>
    <row r="565" ht="15.75" customHeight="1">
      <c r="A565" s="3"/>
      <c r="B565" s="2"/>
      <c r="C565" s="667"/>
      <c r="D565" s="2"/>
      <c r="E565" s="464"/>
      <c r="F565" s="2"/>
      <c r="G565" s="2"/>
      <c r="H565" s="2"/>
      <c r="I565" s="2"/>
      <c r="J565" s="2"/>
      <c r="K565" s="2"/>
      <c r="L565" s="2"/>
      <c r="M565" s="2"/>
      <c r="N565" s="2"/>
      <c r="O565" s="2"/>
      <c r="P565" s="2"/>
      <c r="Q565" s="2"/>
      <c r="S565" s="3"/>
      <c r="T565" s="3"/>
      <c r="U565" s="3"/>
      <c r="V565" s="3"/>
      <c r="W565" s="3"/>
      <c r="X565" s="3"/>
      <c r="Y565" s="3"/>
      <c r="Z565" s="3"/>
    </row>
    <row r="566" ht="15.75" customHeight="1">
      <c r="A566" s="3"/>
      <c r="B566" s="2"/>
      <c r="C566" s="667"/>
      <c r="D566" s="2"/>
      <c r="E566" s="464"/>
      <c r="F566" s="2"/>
      <c r="G566" s="2"/>
      <c r="H566" s="2"/>
      <c r="I566" s="2"/>
      <c r="J566" s="2"/>
      <c r="K566" s="2"/>
      <c r="L566" s="2"/>
      <c r="M566" s="2"/>
      <c r="N566" s="2"/>
      <c r="O566" s="2"/>
      <c r="P566" s="2"/>
      <c r="Q566" s="2"/>
      <c r="S566" s="3"/>
      <c r="T566" s="3"/>
      <c r="U566" s="3"/>
      <c r="V566" s="3"/>
      <c r="W566" s="3"/>
      <c r="X566" s="3"/>
      <c r="Y566" s="3"/>
      <c r="Z566" s="3"/>
    </row>
    <row r="567" ht="15.75" customHeight="1">
      <c r="A567" s="3"/>
      <c r="B567" s="2"/>
      <c r="C567" s="667"/>
      <c r="D567" s="2"/>
      <c r="E567" s="464"/>
      <c r="F567" s="2"/>
      <c r="G567" s="2"/>
      <c r="H567" s="2"/>
      <c r="I567" s="2"/>
      <c r="J567" s="2"/>
      <c r="K567" s="2"/>
      <c r="L567" s="2"/>
      <c r="M567" s="2"/>
      <c r="N567" s="2"/>
      <c r="O567" s="2"/>
      <c r="P567" s="2"/>
      <c r="Q567" s="2"/>
      <c r="S567" s="3"/>
      <c r="T567" s="3"/>
      <c r="U567" s="3"/>
      <c r="V567" s="3"/>
      <c r="W567" s="3"/>
      <c r="X567" s="3"/>
      <c r="Y567" s="3"/>
      <c r="Z567" s="3"/>
    </row>
    <row r="568" ht="15.75" customHeight="1">
      <c r="A568" s="3"/>
      <c r="B568" s="2"/>
      <c r="C568" s="667"/>
      <c r="D568" s="2"/>
      <c r="E568" s="464"/>
      <c r="F568" s="2"/>
      <c r="G568" s="2"/>
      <c r="H568" s="2"/>
      <c r="I568" s="2"/>
      <c r="J568" s="2"/>
      <c r="K568" s="2"/>
      <c r="L568" s="2"/>
      <c r="M568" s="2"/>
      <c r="N568" s="2"/>
      <c r="O568" s="2"/>
      <c r="P568" s="2"/>
      <c r="Q568" s="2"/>
      <c r="S568" s="3"/>
      <c r="T568" s="3"/>
      <c r="U568" s="3"/>
      <c r="V568" s="3"/>
      <c r="W568" s="3"/>
      <c r="X568" s="3"/>
      <c r="Y568" s="3"/>
      <c r="Z568" s="3"/>
    </row>
    <row r="569" ht="15.75" customHeight="1">
      <c r="A569" s="3"/>
      <c r="B569" s="2"/>
      <c r="C569" s="667"/>
      <c r="D569" s="2"/>
      <c r="E569" s="464"/>
      <c r="F569" s="2"/>
      <c r="G569" s="2"/>
      <c r="H569" s="2"/>
      <c r="I569" s="2"/>
      <c r="J569" s="2"/>
      <c r="K569" s="2"/>
      <c r="L569" s="2"/>
      <c r="M569" s="2"/>
      <c r="N569" s="2"/>
      <c r="O569" s="2"/>
      <c r="P569" s="2"/>
      <c r="Q569" s="2"/>
      <c r="S569" s="3"/>
      <c r="T569" s="3"/>
      <c r="U569" s="3"/>
      <c r="V569" s="3"/>
      <c r="W569" s="3"/>
      <c r="X569" s="3"/>
      <c r="Y569" s="3"/>
      <c r="Z569" s="3"/>
    </row>
    <row r="570" ht="15.75" customHeight="1">
      <c r="A570" s="3"/>
      <c r="B570" s="2"/>
      <c r="C570" s="667"/>
      <c r="D570" s="2"/>
      <c r="E570" s="464"/>
      <c r="F570" s="2"/>
      <c r="G570" s="2"/>
      <c r="H570" s="2"/>
      <c r="I570" s="2"/>
      <c r="J570" s="2"/>
      <c r="K570" s="2"/>
      <c r="L570" s="2"/>
      <c r="M570" s="2"/>
      <c r="N570" s="2"/>
      <c r="O570" s="2"/>
      <c r="P570" s="2"/>
      <c r="Q570" s="2"/>
      <c r="S570" s="3"/>
      <c r="T570" s="3"/>
      <c r="U570" s="3"/>
      <c r="V570" s="3"/>
      <c r="W570" s="3"/>
      <c r="X570" s="3"/>
      <c r="Y570" s="3"/>
      <c r="Z570" s="3"/>
    </row>
    <row r="571" ht="15.75" customHeight="1">
      <c r="A571" s="3"/>
      <c r="B571" s="2"/>
      <c r="C571" s="667"/>
      <c r="D571" s="2"/>
      <c r="E571" s="464"/>
      <c r="F571" s="2"/>
      <c r="G571" s="2"/>
      <c r="H571" s="2"/>
      <c r="I571" s="2"/>
      <c r="J571" s="2"/>
      <c r="K571" s="2"/>
      <c r="L571" s="2"/>
      <c r="M571" s="2"/>
      <c r="N571" s="2"/>
      <c r="O571" s="2"/>
      <c r="P571" s="2"/>
      <c r="Q571" s="2"/>
      <c r="S571" s="3"/>
      <c r="T571" s="3"/>
      <c r="U571" s="3"/>
      <c r="V571" s="3"/>
      <c r="W571" s="3"/>
      <c r="X571" s="3"/>
      <c r="Y571" s="3"/>
      <c r="Z571" s="3"/>
    </row>
    <row r="572" ht="15.75" customHeight="1">
      <c r="A572" s="3"/>
      <c r="B572" s="2"/>
      <c r="C572" s="667"/>
      <c r="D572" s="2"/>
      <c r="E572" s="464"/>
      <c r="F572" s="2"/>
      <c r="G572" s="2"/>
      <c r="H572" s="2"/>
      <c r="I572" s="2"/>
      <c r="J572" s="2"/>
      <c r="K572" s="2"/>
      <c r="L572" s="2"/>
      <c r="M572" s="2"/>
      <c r="N572" s="2"/>
      <c r="O572" s="2"/>
      <c r="P572" s="2"/>
      <c r="Q572" s="2"/>
      <c r="S572" s="3"/>
      <c r="T572" s="3"/>
      <c r="U572" s="3"/>
      <c r="V572" s="3"/>
      <c r="W572" s="3"/>
      <c r="X572" s="3"/>
      <c r="Y572" s="3"/>
      <c r="Z572" s="3"/>
    </row>
    <row r="573" ht="15.75" customHeight="1">
      <c r="A573" s="3"/>
      <c r="B573" s="2"/>
      <c r="C573" s="667"/>
      <c r="D573" s="2"/>
      <c r="E573" s="464"/>
      <c r="F573" s="2"/>
      <c r="G573" s="2"/>
      <c r="H573" s="2"/>
      <c r="I573" s="2"/>
      <c r="J573" s="2"/>
      <c r="K573" s="2"/>
      <c r="L573" s="2"/>
      <c r="M573" s="2"/>
      <c r="N573" s="2"/>
      <c r="O573" s="2"/>
      <c r="P573" s="2"/>
      <c r="Q573" s="2"/>
      <c r="S573" s="3"/>
      <c r="T573" s="3"/>
      <c r="U573" s="3"/>
      <c r="V573" s="3"/>
      <c r="W573" s="3"/>
      <c r="X573" s="3"/>
      <c r="Y573" s="3"/>
      <c r="Z573" s="3"/>
    </row>
    <row r="574" ht="15.75" customHeight="1">
      <c r="A574" s="3"/>
      <c r="B574" s="2"/>
      <c r="C574" s="667"/>
      <c r="D574" s="2"/>
      <c r="E574" s="464"/>
      <c r="F574" s="2"/>
      <c r="G574" s="2"/>
      <c r="H574" s="2"/>
      <c r="I574" s="2"/>
      <c r="J574" s="2"/>
      <c r="K574" s="2"/>
      <c r="L574" s="2"/>
      <c r="M574" s="2"/>
      <c r="N574" s="2"/>
      <c r="O574" s="2"/>
      <c r="P574" s="2"/>
      <c r="Q574" s="2"/>
      <c r="S574" s="3"/>
      <c r="T574" s="3"/>
      <c r="U574" s="3"/>
      <c r="V574" s="3"/>
      <c r="W574" s="3"/>
      <c r="X574" s="3"/>
      <c r="Y574" s="3"/>
      <c r="Z574" s="3"/>
    </row>
    <row r="575" ht="15.75" customHeight="1">
      <c r="A575" s="3"/>
      <c r="B575" s="2"/>
      <c r="C575" s="667"/>
      <c r="D575" s="2"/>
      <c r="E575" s="464"/>
      <c r="F575" s="2"/>
      <c r="G575" s="2"/>
      <c r="H575" s="2"/>
      <c r="I575" s="2"/>
      <c r="J575" s="2"/>
      <c r="K575" s="2"/>
      <c r="L575" s="2"/>
      <c r="M575" s="2"/>
      <c r="N575" s="2"/>
      <c r="O575" s="2"/>
      <c r="P575" s="2"/>
      <c r="Q575" s="2"/>
      <c r="S575" s="3"/>
      <c r="T575" s="3"/>
      <c r="U575" s="3"/>
      <c r="V575" s="3"/>
      <c r="W575" s="3"/>
      <c r="X575" s="3"/>
      <c r="Y575" s="3"/>
      <c r="Z575" s="3"/>
    </row>
    <row r="576" ht="15.75" customHeight="1">
      <c r="A576" s="3"/>
      <c r="B576" s="2"/>
      <c r="C576" s="667"/>
      <c r="D576" s="2"/>
      <c r="E576" s="464"/>
      <c r="F576" s="2"/>
      <c r="G576" s="2"/>
      <c r="H576" s="2"/>
      <c r="I576" s="2"/>
      <c r="J576" s="2"/>
      <c r="K576" s="2"/>
      <c r="L576" s="2"/>
      <c r="M576" s="2"/>
      <c r="N576" s="2"/>
      <c r="O576" s="2"/>
      <c r="P576" s="2"/>
      <c r="Q576" s="2"/>
      <c r="S576" s="3"/>
      <c r="T576" s="3"/>
      <c r="U576" s="3"/>
      <c r="V576" s="3"/>
      <c r="W576" s="3"/>
      <c r="X576" s="3"/>
      <c r="Y576" s="3"/>
      <c r="Z576" s="3"/>
    </row>
    <row r="577" ht="15.75" customHeight="1">
      <c r="A577" s="3"/>
      <c r="B577" s="2"/>
      <c r="C577" s="667"/>
      <c r="D577" s="2"/>
      <c r="E577" s="464"/>
      <c r="F577" s="2"/>
      <c r="G577" s="2"/>
      <c r="H577" s="2"/>
      <c r="I577" s="2"/>
      <c r="J577" s="2"/>
      <c r="K577" s="2"/>
      <c r="L577" s="2"/>
      <c r="M577" s="2"/>
      <c r="N577" s="2"/>
      <c r="O577" s="2"/>
      <c r="P577" s="2"/>
      <c r="Q577" s="2"/>
      <c r="S577" s="3"/>
      <c r="T577" s="3"/>
      <c r="U577" s="3"/>
      <c r="V577" s="3"/>
      <c r="W577" s="3"/>
      <c r="X577" s="3"/>
      <c r="Y577" s="3"/>
      <c r="Z577" s="3"/>
    </row>
    <row r="578" ht="15.75" customHeight="1">
      <c r="A578" s="3"/>
      <c r="B578" s="2"/>
      <c r="C578" s="667"/>
      <c r="D578" s="2"/>
      <c r="E578" s="464"/>
      <c r="F578" s="2"/>
      <c r="G578" s="2"/>
      <c r="H578" s="2"/>
      <c r="I578" s="2"/>
      <c r="J578" s="2"/>
      <c r="K578" s="2"/>
      <c r="L578" s="2"/>
      <c r="M578" s="2"/>
      <c r="N578" s="2"/>
      <c r="O578" s="2"/>
      <c r="P578" s="2"/>
      <c r="Q578" s="2"/>
      <c r="S578" s="3"/>
      <c r="T578" s="3"/>
      <c r="U578" s="3"/>
      <c r="V578" s="3"/>
      <c r="W578" s="3"/>
      <c r="X578" s="3"/>
      <c r="Y578" s="3"/>
      <c r="Z578" s="3"/>
    </row>
    <row r="579" ht="15.75" customHeight="1">
      <c r="A579" s="3"/>
      <c r="B579" s="2"/>
      <c r="C579" s="667"/>
      <c r="D579" s="2"/>
      <c r="E579" s="464"/>
      <c r="F579" s="2"/>
      <c r="G579" s="2"/>
      <c r="H579" s="2"/>
      <c r="I579" s="2"/>
      <c r="J579" s="2"/>
      <c r="K579" s="2"/>
      <c r="L579" s="2"/>
      <c r="M579" s="2"/>
      <c r="N579" s="2"/>
      <c r="O579" s="2"/>
      <c r="P579" s="2"/>
      <c r="Q579" s="2"/>
      <c r="S579" s="3"/>
      <c r="T579" s="3"/>
      <c r="U579" s="3"/>
      <c r="V579" s="3"/>
      <c r="W579" s="3"/>
      <c r="X579" s="3"/>
      <c r="Y579" s="3"/>
      <c r="Z579" s="3"/>
    </row>
    <row r="580" ht="15.75" customHeight="1">
      <c r="A580" s="3"/>
      <c r="B580" s="2"/>
      <c r="C580" s="667"/>
      <c r="D580" s="2"/>
      <c r="E580" s="464"/>
      <c r="F580" s="2"/>
      <c r="G580" s="2"/>
      <c r="H580" s="2"/>
      <c r="I580" s="2"/>
      <c r="J580" s="2"/>
      <c r="K580" s="2"/>
      <c r="L580" s="2"/>
      <c r="M580" s="2"/>
      <c r="N580" s="2"/>
      <c r="O580" s="2"/>
      <c r="P580" s="2"/>
      <c r="Q580" s="2"/>
      <c r="S580" s="3"/>
      <c r="T580" s="3"/>
      <c r="U580" s="3"/>
      <c r="V580" s="3"/>
      <c r="W580" s="3"/>
      <c r="X580" s="3"/>
      <c r="Y580" s="3"/>
      <c r="Z580" s="3"/>
    </row>
    <row r="581" ht="15.75" customHeight="1">
      <c r="A581" s="3"/>
      <c r="B581" s="2"/>
      <c r="C581" s="667"/>
      <c r="D581" s="2"/>
      <c r="E581" s="464"/>
      <c r="F581" s="2"/>
      <c r="G581" s="2"/>
      <c r="H581" s="2"/>
      <c r="I581" s="2"/>
      <c r="J581" s="2"/>
      <c r="K581" s="2"/>
      <c r="L581" s="2"/>
      <c r="M581" s="2"/>
      <c r="N581" s="2"/>
      <c r="O581" s="2"/>
      <c r="P581" s="2"/>
      <c r="Q581" s="2"/>
      <c r="S581" s="3"/>
      <c r="T581" s="3"/>
      <c r="U581" s="3"/>
      <c r="V581" s="3"/>
      <c r="W581" s="3"/>
      <c r="X581" s="3"/>
      <c r="Y581" s="3"/>
      <c r="Z581" s="3"/>
    </row>
    <row r="582" ht="15.75" customHeight="1">
      <c r="A582" s="3"/>
      <c r="B582" s="2"/>
      <c r="C582" s="667"/>
      <c r="D582" s="2"/>
      <c r="E582" s="464"/>
      <c r="F582" s="2"/>
      <c r="G582" s="2"/>
      <c r="H582" s="2"/>
      <c r="I582" s="2"/>
      <c r="J582" s="2"/>
      <c r="K582" s="2"/>
      <c r="L582" s="2"/>
      <c r="M582" s="2"/>
      <c r="N582" s="2"/>
      <c r="O582" s="2"/>
      <c r="P582" s="2"/>
      <c r="Q582" s="2"/>
      <c r="S582" s="3"/>
      <c r="T582" s="3"/>
      <c r="U582" s="3"/>
      <c r="V582" s="3"/>
      <c r="W582" s="3"/>
      <c r="X582" s="3"/>
      <c r="Y582" s="3"/>
      <c r="Z582" s="3"/>
    </row>
    <row r="583" ht="15.75" customHeight="1">
      <c r="A583" s="3"/>
      <c r="B583" s="2"/>
      <c r="C583" s="667"/>
      <c r="D583" s="2"/>
      <c r="E583" s="464"/>
      <c r="F583" s="2"/>
      <c r="G583" s="2"/>
      <c r="H583" s="2"/>
      <c r="I583" s="2"/>
      <c r="J583" s="2"/>
      <c r="K583" s="2"/>
      <c r="L583" s="2"/>
      <c r="M583" s="2"/>
      <c r="N583" s="2"/>
      <c r="O583" s="2"/>
      <c r="P583" s="2"/>
      <c r="Q583" s="2"/>
      <c r="S583" s="3"/>
      <c r="T583" s="3"/>
      <c r="U583" s="3"/>
      <c r="V583" s="3"/>
      <c r="W583" s="3"/>
      <c r="X583" s="3"/>
      <c r="Y583" s="3"/>
      <c r="Z583" s="3"/>
    </row>
    <row r="584" ht="15.75" customHeight="1">
      <c r="A584" s="3"/>
      <c r="B584" s="2"/>
      <c r="C584" s="667"/>
      <c r="D584" s="2"/>
      <c r="E584" s="464"/>
      <c r="F584" s="2"/>
      <c r="G584" s="2"/>
      <c r="H584" s="2"/>
      <c r="I584" s="2"/>
      <c r="J584" s="2"/>
      <c r="K584" s="2"/>
      <c r="L584" s="2"/>
      <c r="M584" s="2"/>
      <c r="N584" s="2"/>
      <c r="O584" s="2"/>
      <c r="P584" s="2"/>
      <c r="Q584" s="2"/>
      <c r="S584" s="3"/>
      <c r="T584" s="3"/>
      <c r="U584" s="3"/>
      <c r="V584" s="3"/>
      <c r="W584" s="3"/>
      <c r="X584" s="3"/>
      <c r="Y584" s="3"/>
      <c r="Z584" s="3"/>
    </row>
    <row r="585" ht="15.75" customHeight="1">
      <c r="A585" s="3"/>
      <c r="B585" s="2"/>
      <c r="C585" s="667"/>
      <c r="D585" s="2"/>
      <c r="E585" s="464"/>
      <c r="F585" s="2"/>
      <c r="G585" s="2"/>
      <c r="H585" s="2"/>
      <c r="I585" s="2"/>
      <c r="J585" s="2"/>
      <c r="K585" s="2"/>
      <c r="L585" s="2"/>
      <c r="M585" s="2"/>
      <c r="N585" s="2"/>
      <c r="O585" s="2"/>
      <c r="P585" s="2"/>
      <c r="Q585" s="2"/>
      <c r="S585" s="3"/>
      <c r="T585" s="3"/>
      <c r="U585" s="3"/>
      <c r="V585" s="3"/>
      <c r="W585" s="3"/>
      <c r="X585" s="3"/>
      <c r="Y585" s="3"/>
      <c r="Z585" s="3"/>
    </row>
    <row r="586" ht="15.75" customHeight="1">
      <c r="A586" s="3"/>
      <c r="B586" s="2"/>
      <c r="C586" s="667"/>
      <c r="D586" s="2"/>
      <c r="E586" s="464"/>
      <c r="F586" s="2"/>
      <c r="G586" s="2"/>
      <c r="H586" s="2"/>
      <c r="I586" s="2"/>
      <c r="J586" s="2"/>
      <c r="K586" s="2"/>
      <c r="L586" s="2"/>
      <c r="M586" s="2"/>
      <c r="N586" s="2"/>
      <c r="O586" s="2"/>
      <c r="P586" s="2"/>
      <c r="Q586" s="2"/>
      <c r="S586" s="3"/>
      <c r="T586" s="3"/>
      <c r="U586" s="3"/>
      <c r="V586" s="3"/>
      <c r="W586" s="3"/>
      <c r="X586" s="3"/>
      <c r="Y586" s="3"/>
      <c r="Z586" s="3"/>
    </row>
    <row r="587" ht="15.75" customHeight="1">
      <c r="A587" s="3"/>
      <c r="B587" s="2"/>
      <c r="C587" s="667"/>
      <c r="D587" s="2"/>
      <c r="E587" s="464"/>
      <c r="F587" s="2"/>
      <c r="G587" s="2"/>
      <c r="H587" s="2"/>
      <c r="I587" s="2"/>
      <c r="J587" s="2"/>
      <c r="K587" s="2"/>
      <c r="L587" s="2"/>
      <c r="M587" s="2"/>
      <c r="N587" s="2"/>
      <c r="O587" s="2"/>
      <c r="P587" s="2"/>
      <c r="Q587" s="2"/>
      <c r="S587" s="3"/>
      <c r="T587" s="3"/>
      <c r="U587" s="3"/>
      <c r="V587" s="3"/>
      <c r="W587" s="3"/>
      <c r="X587" s="3"/>
      <c r="Y587" s="3"/>
      <c r="Z587" s="3"/>
    </row>
    <row r="588" ht="15.75" customHeight="1">
      <c r="A588" s="3"/>
      <c r="B588" s="2"/>
      <c r="C588" s="667"/>
      <c r="D588" s="2"/>
      <c r="E588" s="464"/>
      <c r="F588" s="2"/>
      <c r="G588" s="2"/>
      <c r="H588" s="2"/>
      <c r="I588" s="2"/>
      <c r="J588" s="2"/>
      <c r="K588" s="2"/>
      <c r="L588" s="2"/>
      <c r="M588" s="2"/>
      <c r="N588" s="2"/>
      <c r="O588" s="2"/>
      <c r="P588" s="2"/>
      <c r="Q588" s="2"/>
      <c r="S588" s="3"/>
      <c r="T588" s="3"/>
      <c r="U588" s="3"/>
      <c r="V588" s="3"/>
      <c r="W588" s="3"/>
      <c r="X588" s="3"/>
      <c r="Y588" s="3"/>
      <c r="Z588" s="3"/>
    </row>
    <row r="589" ht="15.75" customHeight="1">
      <c r="A589" s="3"/>
      <c r="B589" s="2"/>
      <c r="C589" s="667"/>
      <c r="D589" s="2"/>
      <c r="E589" s="464"/>
      <c r="F589" s="2"/>
      <c r="G589" s="2"/>
      <c r="H589" s="2"/>
      <c r="I589" s="2"/>
      <c r="J589" s="2"/>
      <c r="K589" s="2"/>
      <c r="L589" s="2"/>
      <c r="M589" s="2"/>
      <c r="N589" s="2"/>
      <c r="O589" s="2"/>
      <c r="P589" s="2"/>
      <c r="Q589" s="2"/>
      <c r="S589" s="3"/>
      <c r="T589" s="3"/>
      <c r="U589" s="3"/>
      <c r="V589" s="3"/>
      <c r="W589" s="3"/>
      <c r="X589" s="3"/>
      <c r="Y589" s="3"/>
      <c r="Z589" s="3"/>
    </row>
    <row r="590" ht="15.75" customHeight="1">
      <c r="A590" s="3"/>
      <c r="B590" s="2"/>
      <c r="C590" s="667"/>
      <c r="D590" s="2"/>
      <c r="E590" s="464"/>
      <c r="F590" s="2"/>
      <c r="G590" s="2"/>
      <c r="H590" s="2"/>
      <c r="I590" s="2"/>
      <c r="J590" s="2"/>
      <c r="K590" s="2"/>
      <c r="L590" s="2"/>
      <c r="M590" s="2"/>
      <c r="N590" s="2"/>
      <c r="O590" s="2"/>
      <c r="P590" s="2"/>
      <c r="Q590" s="2"/>
      <c r="S590" s="3"/>
      <c r="T590" s="3"/>
      <c r="U590" s="3"/>
      <c r="V590" s="3"/>
      <c r="W590" s="3"/>
      <c r="X590" s="3"/>
      <c r="Y590" s="3"/>
      <c r="Z590" s="3"/>
    </row>
    <row r="591" ht="15.75" customHeight="1">
      <c r="A591" s="3"/>
      <c r="B591" s="2"/>
      <c r="C591" s="667"/>
      <c r="D591" s="2"/>
      <c r="E591" s="464"/>
      <c r="F591" s="2"/>
      <c r="G591" s="2"/>
      <c r="H591" s="2"/>
      <c r="I591" s="2"/>
      <c r="J591" s="2"/>
      <c r="K591" s="2"/>
      <c r="L591" s="2"/>
      <c r="M591" s="2"/>
      <c r="N591" s="2"/>
      <c r="O591" s="2"/>
      <c r="P591" s="2"/>
      <c r="Q591" s="2"/>
      <c r="S591" s="3"/>
      <c r="T591" s="3"/>
      <c r="U591" s="3"/>
      <c r="V591" s="3"/>
      <c r="W591" s="3"/>
      <c r="X591" s="3"/>
      <c r="Y591" s="3"/>
      <c r="Z591" s="3"/>
    </row>
    <row r="592" ht="15.75" customHeight="1">
      <c r="A592" s="3"/>
      <c r="B592" s="2"/>
      <c r="C592" s="667"/>
      <c r="D592" s="2"/>
      <c r="E592" s="464"/>
      <c r="F592" s="2"/>
      <c r="G592" s="2"/>
      <c r="H592" s="2"/>
      <c r="I592" s="2"/>
      <c r="J592" s="2"/>
      <c r="K592" s="2"/>
      <c r="L592" s="2"/>
      <c r="M592" s="2"/>
      <c r="N592" s="2"/>
      <c r="O592" s="2"/>
      <c r="P592" s="2"/>
      <c r="Q592" s="2"/>
      <c r="S592" s="3"/>
      <c r="T592" s="3"/>
      <c r="U592" s="3"/>
      <c r="V592" s="3"/>
      <c r="W592" s="3"/>
      <c r="X592" s="3"/>
      <c r="Y592" s="3"/>
      <c r="Z592" s="3"/>
    </row>
    <row r="593" ht="15.75" customHeight="1">
      <c r="A593" s="3"/>
      <c r="B593" s="2"/>
      <c r="C593" s="667"/>
      <c r="D593" s="2"/>
      <c r="E593" s="464"/>
      <c r="F593" s="2"/>
      <c r="G593" s="2"/>
      <c r="H593" s="2"/>
      <c r="I593" s="2"/>
      <c r="J593" s="2"/>
      <c r="K593" s="2"/>
      <c r="L593" s="2"/>
      <c r="M593" s="2"/>
      <c r="N593" s="2"/>
      <c r="O593" s="2"/>
      <c r="P593" s="2"/>
      <c r="Q593" s="2"/>
      <c r="S593" s="3"/>
      <c r="T593" s="3"/>
      <c r="U593" s="3"/>
      <c r="V593" s="3"/>
      <c r="W593" s="3"/>
      <c r="X593" s="3"/>
      <c r="Y593" s="3"/>
      <c r="Z593" s="3"/>
    </row>
    <row r="594" ht="15.75" customHeight="1">
      <c r="A594" s="3"/>
      <c r="B594" s="2"/>
      <c r="C594" s="667"/>
      <c r="D594" s="2"/>
      <c r="E594" s="464"/>
      <c r="F594" s="2"/>
      <c r="G594" s="2"/>
      <c r="H594" s="2"/>
      <c r="I594" s="2"/>
      <c r="J594" s="2"/>
      <c r="K594" s="2"/>
      <c r="L594" s="2"/>
      <c r="M594" s="2"/>
      <c r="N594" s="2"/>
      <c r="O594" s="2"/>
      <c r="P594" s="2"/>
      <c r="Q594" s="2"/>
      <c r="S594" s="3"/>
      <c r="T594" s="3"/>
      <c r="U594" s="3"/>
      <c r="V594" s="3"/>
      <c r="W594" s="3"/>
      <c r="X594" s="3"/>
      <c r="Y594" s="3"/>
      <c r="Z594" s="3"/>
    </row>
    <row r="595" ht="15.75" customHeight="1">
      <c r="A595" s="3"/>
      <c r="B595" s="2"/>
      <c r="C595" s="667"/>
      <c r="D595" s="2"/>
      <c r="E595" s="464"/>
      <c r="F595" s="2"/>
      <c r="G595" s="2"/>
      <c r="H595" s="2"/>
      <c r="I595" s="2"/>
      <c r="J595" s="2"/>
      <c r="K595" s="2"/>
      <c r="L595" s="2"/>
      <c r="M595" s="2"/>
      <c r="N595" s="2"/>
      <c r="O595" s="2"/>
      <c r="P595" s="2"/>
      <c r="Q595" s="2"/>
      <c r="S595" s="3"/>
      <c r="T595" s="3"/>
      <c r="U595" s="3"/>
      <c r="V595" s="3"/>
      <c r="W595" s="3"/>
      <c r="X595" s="3"/>
      <c r="Y595" s="3"/>
      <c r="Z595" s="3"/>
    </row>
    <row r="596" ht="15.75" customHeight="1">
      <c r="A596" s="3"/>
      <c r="B596" s="2"/>
      <c r="C596" s="667"/>
      <c r="D596" s="2"/>
      <c r="E596" s="464"/>
      <c r="F596" s="2"/>
      <c r="G596" s="2"/>
      <c r="H596" s="2"/>
      <c r="I596" s="2"/>
      <c r="J596" s="2"/>
      <c r="K596" s="2"/>
      <c r="L596" s="2"/>
      <c r="M596" s="2"/>
      <c r="N596" s="2"/>
      <c r="O596" s="2"/>
      <c r="P596" s="2"/>
      <c r="Q596" s="2"/>
      <c r="S596" s="3"/>
      <c r="T596" s="3"/>
      <c r="U596" s="3"/>
      <c r="V596" s="3"/>
      <c r="W596" s="3"/>
      <c r="X596" s="3"/>
      <c r="Y596" s="3"/>
      <c r="Z596" s="3"/>
    </row>
    <row r="597" ht="15.75" customHeight="1">
      <c r="A597" s="3"/>
      <c r="B597" s="2"/>
      <c r="C597" s="667"/>
      <c r="D597" s="2"/>
      <c r="E597" s="464"/>
      <c r="F597" s="2"/>
      <c r="G597" s="2"/>
      <c r="H597" s="2"/>
      <c r="I597" s="2"/>
      <c r="J597" s="2"/>
      <c r="K597" s="2"/>
      <c r="L597" s="2"/>
      <c r="M597" s="2"/>
      <c r="N597" s="2"/>
      <c r="O597" s="2"/>
      <c r="P597" s="2"/>
      <c r="Q597" s="2"/>
      <c r="S597" s="3"/>
      <c r="T597" s="3"/>
      <c r="U597" s="3"/>
      <c r="V597" s="3"/>
      <c r="W597" s="3"/>
      <c r="X597" s="3"/>
      <c r="Y597" s="3"/>
      <c r="Z597" s="3"/>
    </row>
    <row r="598" ht="15.75" customHeight="1">
      <c r="A598" s="3"/>
      <c r="B598" s="2"/>
      <c r="C598" s="667"/>
      <c r="D598" s="2"/>
      <c r="E598" s="464"/>
      <c r="F598" s="2"/>
      <c r="G598" s="2"/>
      <c r="H598" s="2"/>
      <c r="I598" s="2"/>
      <c r="J598" s="2"/>
      <c r="K598" s="2"/>
      <c r="L598" s="2"/>
      <c r="M598" s="2"/>
      <c r="N598" s="2"/>
      <c r="O598" s="2"/>
      <c r="P598" s="2"/>
      <c r="Q598" s="2"/>
      <c r="S598" s="3"/>
      <c r="T598" s="3"/>
      <c r="U598" s="3"/>
      <c r="V598" s="3"/>
      <c r="W598" s="3"/>
      <c r="X598" s="3"/>
      <c r="Y598" s="3"/>
      <c r="Z598" s="3"/>
    </row>
    <row r="599" ht="15.75" customHeight="1">
      <c r="A599" s="3"/>
      <c r="B599" s="2"/>
      <c r="C599" s="667"/>
      <c r="D599" s="2"/>
      <c r="E599" s="464"/>
      <c r="F599" s="2"/>
      <c r="G599" s="2"/>
      <c r="H599" s="2"/>
      <c r="I599" s="2"/>
      <c r="J599" s="2"/>
      <c r="K599" s="2"/>
      <c r="L599" s="2"/>
      <c r="M599" s="2"/>
      <c r="N599" s="2"/>
      <c r="O599" s="2"/>
      <c r="P599" s="2"/>
      <c r="Q599" s="2"/>
      <c r="S599" s="3"/>
      <c r="T599" s="3"/>
      <c r="U599" s="3"/>
      <c r="V599" s="3"/>
      <c r="W599" s="3"/>
      <c r="X599" s="3"/>
      <c r="Y599" s="3"/>
      <c r="Z599" s="3"/>
    </row>
    <row r="600" ht="15.75" customHeight="1">
      <c r="A600" s="3"/>
      <c r="B600" s="2"/>
      <c r="C600" s="667"/>
      <c r="D600" s="2"/>
      <c r="E600" s="464"/>
      <c r="F600" s="2"/>
      <c r="G600" s="2"/>
      <c r="H600" s="2"/>
      <c r="I600" s="2"/>
      <c r="J600" s="2"/>
      <c r="K600" s="2"/>
      <c r="L600" s="2"/>
      <c r="M600" s="2"/>
      <c r="N600" s="2"/>
      <c r="O600" s="2"/>
      <c r="P600" s="2"/>
      <c r="Q600" s="2"/>
      <c r="S600" s="3"/>
      <c r="T600" s="3"/>
      <c r="U600" s="3"/>
      <c r="V600" s="3"/>
      <c r="W600" s="3"/>
      <c r="X600" s="3"/>
      <c r="Y600" s="3"/>
      <c r="Z600" s="3"/>
    </row>
    <row r="601" ht="15.75" customHeight="1">
      <c r="A601" s="3"/>
      <c r="B601" s="2"/>
      <c r="C601" s="667"/>
      <c r="D601" s="2"/>
      <c r="E601" s="464"/>
      <c r="F601" s="2"/>
      <c r="G601" s="2"/>
      <c r="H601" s="2"/>
      <c r="I601" s="2"/>
      <c r="J601" s="2"/>
      <c r="K601" s="2"/>
      <c r="L601" s="2"/>
      <c r="M601" s="2"/>
      <c r="N601" s="2"/>
      <c r="O601" s="2"/>
      <c r="P601" s="2"/>
      <c r="Q601" s="2"/>
      <c r="S601" s="3"/>
      <c r="T601" s="3"/>
      <c r="U601" s="3"/>
      <c r="V601" s="3"/>
      <c r="W601" s="3"/>
      <c r="X601" s="3"/>
      <c r="Y601" s="3"/>
      <c r="Z601" s="3"/>
    </row>
    <row r="602" ht="15.75" customHeight="1">
      <c r="A602" s="3"/>
      <c r="B602" s="2"/>
      <c r="C602" s="667"/>
      <c r="D602" s="2"/>
      <c r="E602" s="464"/>
      <c r="F602" s="2"/>
      <c r="G602" s="2"/>
      <c r="H602" s="2"/>
      <c r="I602" s="2"/>
      <c r="J602" s="2"/>
      <c r="K602" s="2"/>
      <c r="L602" s="2"/>
      <c r="M602" s="2"/>
      <c r="N602" s="2"/>
      <c r="O602" s="2"/>
      <c r="P602" s="2"/>
      <c r="Q602" s="2"/>
      <c r="S602" s="3"/>
      <c r="T602" s="3"/>
      <c r="U602" s="3"/>
      <c r="V602" s="3"/>
      <c r="W602" s="3"/>
      <c r="X602" s="3"/>
      <c r="Y602" s="3"/>
      <c r="Z602" s="3"/>
    </row>
    <row r="603" ht="15.75" customHeight="1">
      <c r="A603" s="3"/>
      <c r="B603" s="2"/>
      <c r="C603" s="667"/>
      <c r="D603" s="2"/>
      <c r="E603" s="464"/>
      <c r="F603" s="2"/>
      <c r="G603" s="2"/>
      <c r="H603" s="2"/>
      <c r="I603" s="2"/>
      <c r="J603" s="2"/>
      <c r="K603" s="2"/>
      <c r="L603" s="2"/>
      <c r="M603" s="2"/>
      <c r="N603" s="2"/>
      <c r="O603" s="2"/>
      <c r="P603" s="2"/>
      <c r="Q603" s="2"/>
      <c r="S603" s="3"/>
      <c r="T603" s="3"/>
      <c r="U603" s="3"/>
      <c r="V603" s="3"/>
      <c r="W603" s="3"/>
      <c r="X603" s="3"/>
      <c r="Y603" s="3"/>
      <c r="Z603" s="3"/>
    </row>
    <row r="604" ht="15.75" customHeight="1">
      <c r="A604" s="3"/>
      <c r="B604" s="2"/>
      <c r="C604" s="667"/>
      <c r="D604" s="2"/>
      <c r="E604" s="464"/>
      <c r="F604" s="2"/>
      <c r="G604" s="2"/>
      <c r="H604" s="2"/>
      <c r="I604" s="2"/>
      <c r="J604" s="2"/>
      <c r="K604" s="2"/>
      <c r="L604" s="2"/>
      <c r="M604" s="2"/>
      <c r="N604" s="2"/>
      <c r="O604" s="2"/>
      <c r="P604" s="2"/>
      <c r="Q604" s="2"/>
      <c r="S604" s="3"/>
      <c r="T604" s="3"/>
      <c r="U604" s="3"/>
      <c r="V604" s="3"/>
      <c r="W604" s="3"/>
      <c r="X604" s="3"/>
      <c r="Y604" s="3"/>
      <c r="Z604" s="3"/>
    </row>
    <row r="605" ht="15.75" customHeight="1">
      <c r="A605" s="3"/>
      <c r="B605" s="2"/>
      <c r="C605" s="667"/>
      <c r="D605" s="2"/>
      <c r="E605" s="464"/>
      <c r="F605" s="2"/>
      <c r="G605" s="2"/>
      <c r="H605" s="2"/>
      <c r="I605" s="2"/>
      <c r="J605" s="2"/>
      <c r="K605" s="2"/>
      <c r="L605" s="2"/>
      <c r="M605" s="2"/>
      <c r="N605" s="2"/>
      <c r="O605" s="2"/>
      <c r="P605" s="2"/>
      <c r="Q605" s="2"/>
      <c r="S605" s="3"/>
      <c r="T605" s="3"/>
      <c r="U605" s="3"/>
      <c r="V605" s="3"/>
      <c r="W605" s="3"/>
      <c r="X605" s="3"/>
      <c r="Y605" s="3"/>
      <c r="Z605" s="3"/>
    </row>
    <row r="606" ht="15.75" customHeight="1">
      <c r="A606" s="3"/>
      <c r="B606" s="2"/>
      <c r="C606" s="667"/>
      <c r="D606" s="2"/>
      <c r="E606" s="464"/>
      <c r="F606" s="2"/>
      <c r="G606" s="2"/>
      <c r="H606" s="2"/>
      <c r="I606" s="2"/>
      <c r="J606" s="2"/>
      <c r="K606" s="2"/>
      <c r="L606" s="2"/>
      <c r="M606" s="2"/>
      <c r="N606" s="2"/>
      <c r="O606" s="2"/>
      <c r="P606" s="2"/>
      <c r="Q606" s="2"/>
      <c r="S606" s="3"/>
      <c r="T606" s="3"/>
      <c r="U606" s="3"/>
      <c r="V606" s="3"/>
      <c r="W606" s="3"/>
      <c r="X606" s="3"/>
      <c r="Y606" s="3"/>
      <c r="Z606" s="3"/>
    </row>
    <row r="607" ht="15.75" customHeight="1">
      <c r="A607" s="3"/>
      <c r="B607" s="2"/>
      <c r="C607" s="667"/>
      <c r="D607" s="2"/>
      <c r="E607" s="464"/>
      <c r="F607" s="2"/>
      <c r="G607" s="2"/>
      <c r="H607" s="2"/>
      <c r="I607" s="2"/>
      <c r="J607" s="2"/>
      <c r="K607" s="2"/>
      <c r="L607" s="2"/>
      <c r="M607" s="2"/>
      <c r="N607" s="2"/>
      <c r="O607" s="2"/>
      <c r="P607" s="2"/>
      <c r="Q607" s="2"/>
      <c r="S607" s="3"/>
      <c r="T607" s="3"/>
      <c r="U607" s="3"/>
      <c r="V607" s="3"/>
      <c r="W607" s="3"/>
      <c r="X607" s="3"/>
      <c r="Y607" s="3"/>
      <c r="Z607" s="3"/>
    </row>
    <row r="608" ht="15.75" customHeight="1">
      <c r="A608" s="3"/>
      <c r="B608" s="2"/>
      <c r="C608" s="667"/>
      <c r="D608" s="2"/>
      <c r="E608" s="464"/>
      <c r="F608" s="2"/>
      <c r="G608" s="2"/>
      <c r="H608" s="2"/>
      <c r="I608" s="2"/>
      <c r="J608" s="2"/>
      <c r="K608" s="2"/>
      <c r="L608" s="2"/>
      <c r="M608" s="2"/>
      <c r="N608" s="2"/>
      <c r="O608" s="2"/>
      <c r="P608" s="2"/>
      <c r="Q608" s="2"/>
      <c r="S608" s="3"/>
      <c r="T608" s="3"/>
      <c r="U608" s="3"/>
      <c r="V608" s="3"/>
      <c r="W608" s="3"/>
      <c r="X608" s="3"/>
      <c r="Y608" s="3"/>
      <c r="Z608" s="3"/>
    </row>
    <row r="609" ht="15.75" customHeight="1">
      <c r="A609" s="3"/>
      <c r="B609" s="2"/>
      <c r="C609" s="667"/>
      <c r="D609" s="2"/>
      <c r="E609" s="464"/>
      <c r="F609" s="2"/>
      <c r="G609" s="2"/>
      <c r="H609" s="2"/>
      <c r="I609" s="2"/>
      <c r="J609" s="2"/>
      <c r="K609" s="2"/>
      <c r="L609" s="2"/>
      <c r="M609" s="2"/>
      <c r="N609" s="2"/>
      <c r="O609" s="2"/>
      <c r="P609" s="2"/>
      <c r="Q609" s="2"/>
      <c r="S609" s="3"/>
      <c r="T609" s="3"/>
      <c r="U609" s="3"/>
      <c r="V609" s="3"/>
      <c r="W609" s="3"/>
      <c r="X609" s="3"/>
      <c r="Y609" s="3"/>
      <c r="Z609" s="3"/>
    </row>
    <row r="610" ht="15.75" customHeight="1">
      <c r="A610" s="3"/>
      <c r="B610" s="2"/>
      <c r="C610" s="667"/>
      <c r="D610" s="2"/>
      <c r="E610" s="464"/>
      <c r="F610" s="2"/>
      <c r="G610" s="2"/>
      <c r="H610" s="2"/>
      <c r="I610" s="2"/>
      <c r="J610" s="2"/>
      <c r="K610" s="2"/>
      <c r="L610" s="2"/>
      <c r="M610" s="2"/>
      <c r="N610" s="2"/>
      <c r="O610" s="2"/>
      <c r="P610" s="2"/>
      <c r="Q610" s="2"/>
      <c r="S610" s="3"/>
      <c r="T610" s="3"/>
      <c r="U610" s="3"/>
      <c r="V610" s="3"/>
      <c r="W610" s="3"/>
      <c r="X610" s="3"/>
      <c r="Y610" s="3"/>
      <c r="Z610" s="3"/>
    </row>
    <row r="611" ht="15.75" customHeight="1">
      <c r="A611" s="3"/>
      <c r="B611" s="2"/>
      <c r="C611" s="667"/>
      <c r="D611" s="2"/>
      <c r="E611" s="464"/>
      <c r="F611" s="2"/>
      <c r="G611" s="2"/>
      <c r="H611" s="2"/>
      <c r="I611" s="2"/>
      <c r="J611" s="2"/>
      <c r="K611" s="2"/>
      <c r="L611" s="2"/>
      <c r="M611" s="2"/>
      <c r="N611" s="2"/>
      <c r="O611" s="2"/>
      <c r="P611" s="2"/>
      <c r="Q611" s="2"/>
      <c r="S611" s="3"/>
      <c r="T611" s="3"/>
      <c r="U611" s="3"/>
      <c r="V611" s="3"/>
      <c r="W611" s="3"/>
      <c r="X611" s="3"/>
      <c r="Y611" s="3"/>
      <c r="Z611" s="3"/>
    </row>
    <row r="612" ht="15.75" customHeight="1">
      <c r="A612" s="3"/>
      <c r="B612" s="2"/>
      <c r="C612" s="667"/>
      <c r="D612" s="2"/>
      <c r="E612" s="464"/>
      <c r="F612" s="2"/>
      <c r="G612" s="2"/>
      <c r="H612" s="2"/>
      <c r="I612" s="2"/>
      <c r="J612" s="2"/>
      <c r="K612" s="2"/>
      <c r="L612" s="2"/>
      <c r="M612" s="2"/>
      <c r="N612" s="2"/>
      <c r="O612" s="2"/>
      <c r="P612" s="2"/>
      <c r="Q612" s="2"/>
      <c r="S612" s="3"/>
      <c r="T612" s="3"/>
      <c r="U612" s="3"/>
      <c r="V612" s="3"/>
      <c r="W612" s="3"/>
      <c r="X612" s="3"/>
      <c r="Y612" s="3"/>
      <c r="Z612" s="3"/>
    </row>
    <row r="613" ht="15.75" customHeight="1">
      <c r="A613" s="3"/>
      <c r="B613" s="2"/>
      <c r="C613" s="667"/>
      <c r="D613" s="2"/>
      <c r="E613" s="464"/>
      <c r="F613" s="2"/>
      <c r="G613" s="2"/>
      <c r="H613" s="2"/>
      <c r="I613" s="2"/>
      <c r="J613" s="2"/>
      <c r="K613" s="2"/>
      <c r="L613" s="2"/>
      <c r="M613" s="2"/>
      <c r="N613" s="2"/>
      <c r="O613" s="2"/>
      <c r="P613" s="2"/>
      <c r="Q613" s="2"/>
      <c r="S613" s="3"/>
      <c r="T613" s="3"/>
      <c r="U613" s="3"/>
      <c r="V613" s="3"/>
      <c r="W613" s="3"/>
      <c r="X613" s="3"/>
      <c r="Y613" s="3"/>
      <c r="Z613" s="3"/>
    </row>
    <row r="614" ht="15.75" customHeight="1">
      <c r="A614" s="3"/>
      <c r="B614" s="2"/>
      <c r="C614" s="667"/>
      <c r="D614" s="2"/>
      <c r="E614" s="464"/>
      <c r="F614" s="2"/>
      <c r="G614" s="2"/>
      <c r="H614" s="2"/>
      <c r="I614" s="2"/>
      <c r="J614" s="2"/>
      <c r="K614" s="2"/>
      <c r="L614" s="2"/>
      <c r="M614" s="2"/>
      <c r="N614" s="2"/>
      <c r="O614" s="2"/>
      <c r="P614" s="2"/>
      <c r="Q614" s="2"/>
      <c r="S614" s="3"/>
      <c r="T614" s="3"/>
      <c r="U614" s="3"/>
      <c r="V614" s="3"/>
      <c r="W614" s="3"/>
      <c r="X614" s="3"/>
      <c r="Y614" s="3"/>
      <c r="Z614" s="3"/>
    </row>
    <row r="615" ht="15.75" customHeight="1">
      <c r="A615" s="3"/>
      <c r="B615" s="2"/>
      <c r="C615" s="667"/>
      <c r="D615" s="2"/>
      <c r="E615" s="464"/>
      <c r="F615" s="2"/>
      <c r="G615" s="2"/>
      <c r="H615" s="2"/>
      <c r="I615" s="2"/>
      <c r="J615" s="2"/>
      <c r="K615" s="2"/>
      <c r="L615" s="2"/>
      <c r="M615" s="2"/>
      <c r="N615" s="2"/>
      <c r="O615" s="2"/>
      <c r="P615" s="2"/>
      <c r="Q615" s="2"/>
      <c r="S615" s="3"/>
      <c r="T615" s="3"/>
      <c r="U615" s="3"/>
      <c r="V615" s="3"/>
      <c r="W615" s="3"/>
      <c r="X615" s="3"/>
      <c r="Y615" s="3"/>
      <c r="Z615" s="3"/>
    </row>
    <row r="616" ht="15.75" customHeight="1">
      <c r="A616" s="3"/>
      <c r="B616" s="2"/>
      <c r="C616" s="667"/>
      <c r="D616" s="2"/>
      <c r="E616" s="464"/>
      <c r="F616" s="2"/>
      <c r="G616" s="2"/>
      <c r="H616" s="2"/>
      <c r="I616" s="2"/>
      <c r="J616" s="2"/>
      <c r="K616" s="2"/>
      <c r="L616" s="2"/>
      <c r="M616" s="2"/>
      <c r="N616" s="2"/>
      <c r="O616" s="2"/>
      <c r="P616" s="2"/>
      <c r="Q616" s="2"/>
      <c r="S616" s="3"/>
      <c r="T616" s="3"/>
      <c r="U616" s="3"/>
      <c r="V616" s="3"/>
      <c r="W616" s="3"/>
      <c r="X616" s="3"/>
      <c r="Y616" s="3"/>
      <c r="Z616" s="3"/>
    </row>
    <row r="617" ht="15.75" customHeight="1">
      <c r="A617" s="3"/>
      <c r="B617" s="2"/>
      <c r="C617" s="667"/>
      <c r="D617" s="2"/>
      <c r="E617" s="464"/>
      <c r="F617" s="2"/>
      <c r="G617" s="2"/>
      <c r="H617" s="2"/>
      <c r="I617" s="2"/>
      <c r="J617" s="2"/>
      <c r="K617" s="2"/>
      <c r="L617" s="2"/>
      <c r="M617" s="2"/>
      <c r="N617" s="2"/>
      <c r="O617" s="2"/>
      <c r="P617" s="2"/>
      <c r="Q617" s="2"/>
      <c r="S617" s="3"/>
      <c r="T617" s="3"/>
      <c r="U617" s="3"/>
      <c r="V617" s="3"/>
      <c r="W617" s="3"/>
      <c r="X617" s="3"/>
      <c r="Y617" s="3"/>
      <c r="Z617" s="3"/>
    </row>
    <row r="618" ht="15.75" customHeight="1">
      <c r="A618" s="3"/>
      <c r="B618" s="2"/>
      <c r="C618" s="667"/>
      <c r="D618" s="2"/>
      <c r="E618" s="464"/>
      <c r="F618" s="2"/>
      <c r="G618" s="2"/>
      <c r="H618" s="2"/>
      <c r="I618" s="2"/>
      <c r="J618" s="2"/>
      <c r="K618" s="2"/>
      <c r="L618" s="2"/>
      <c r="M618" s="2"/>
      <c r="N618" s="2"/>
      <c r="O618" s="2"/>
      <c r="P618" s="2"/>
      <c r="Q618" s="2"/>
      <c r="S618" s="3"/>
      <c r="T618" s="3"/>
      <c r="U618" s="3"/>
      <c r="V618" s="3"/>
      <c r="W618" s="3"/>
      <c r="X618" s="3"/>
      <c r="Y618" s="3"/>
      <c r="Z618" s="3"/>
    </row>
    <row r="619" ht="15.75" customHeight="1">
      <c r="A619" s="3"/>
      <c r="B619" s="2"/>
      <c r="C619" s="667"/>
      <c r="D619" s="2"/>
      <c r="E619" s="464"/>
      <c r="F619" s="2"/>
      <c r="G619" s="2"/>
      <c r="H619" s="2"/>
      <c r="I619" s="2"/>
      <c r="J619" s="2"/>
      <c r="K619" s="2"/>
      <c r="L619" s="2"/>
      <c r="M619" s="2"/>
      <c r="N619" s="2"/>
      <c r="O619" s="2"/>
      <c r="P619" s="2"/>
      <c r="Q619" s="2"/>
      <c r="S619" s="3"/>
      <c r="T619" s="3"/>
      <c r="U619" s="3"/>
      <c r="V619" s="3"/>
      <c r="W619" s="3"/>
      <c r="X619" s="3"/>
      <c r="Y619" s="3"/>
      <c r="Z619" s="3"/>
    </row>
    <row r="620" ht="15.75" customHeight="1">
      <c r="A620" s="3"/>
      <c r="B620" s="2"/>
      <c r="C620" s="667"/>
      <c r="D620" s="2"/>
      <c r="E620" s="464"/>
      <c r="F620" s="2"/>
      <c r="G620" s="2"/>
      <c r="H620" s="2"/>
      <c r="I620" s="2"/>
      <c r="J620" s="2"/>
      <c r="K620" s="2"/>
      <c r="L620" s="2"/>
      <c r="M620" s="2"/>
      <c r="N620" s="2"/>
      <c r="O620" s="2"/>
      <c r="P620" s="2"/>
      <c r="Q620" s="2"/>
      <c r="S620" s="3"/>
      <c r="T620" s="3"/>
      <c r="U620" s="3"/>
      <c r="V620" s="3"/>
      <c r="W620" s="3"/>
      <c r="X620" s="3"/>
      <c r="Y620" s="3"/>
      <c r="Z620" s="3"/>
    </row>
    <row r="621" ht="15.75" customHeight="1">
      <c r="A621" s="3"/>
      <c r="B621" s="2"/>
      <c r="C621" s="667"/>
      <c r="D621" s="2"/>
      <c r="E621" s="464"/>
      <c r="F621" s="2"/>
      <c r="G621" s="2"/>
      <c r="H621" s="2"/>
      <c r="I621" s="2"/>
      <c r="J621" s="2"/>
      <c r="K621" s="2"/>
      <c r="L621" s="2"/>
      <c r="M621" s="2"/>
      <c r="N621" s="2"/>
      <c r="O621" s="2"/>
      <c r="P621" s="2"/>
      <c r="Q621" s="2"/>
      <c r="S621" s="3"/>
      <c r="T621" s="3"/>
      <c r="U621" s="3"/>
      <c r="V621" s="3"/>
      <c r="W621" s="3"/>
      <c r="X621" s="3"/>
      <c r="Y621" s="3"/>
      <c r="Z621" s="3"/>
    </row>
    <row r="622" ht="15.75" customHeight="1">
      <c r="A622" s="3"/>
      <c r="B622" s="2"/>
      <c r="C622" s="667"/>
      <c r="D622" s="2"/>
      <c r="E622" s="464"/>
      <c r="F622" s="2"/>
      <c r="G622" s="2"/>
      <c r="H622" s="2"/>
      <c r="I622" s="2"/>
      <c r="J622" s="2"/>
      <c r="K622" s="2"/>
      <c r="L622" s="2"/>
      <c r="M622" s="2"/>
      <c r="N622" s="2"/>
      <c r="O622" s="2"/>
      <c r="P622" s="2"/>
      <c r="Q622" s="2"/>
      <c r="S622" s="3"/>
      <c r="T622" s="3"/>
      <c r="U622" s="3"/>
      <c r="V622" s="3"/>
      <c r="W622" s="3"/>
      <c r="X622" s="3"/>
      <c r="Y622" s="3"/>
      <c r="Z622" s="3"/>
    </row>
    <row r="623" ht="15.75" customHeight="1">
      <c r="A623" s="3"/>
      <c r="B623" s="2"/>
      <c r="C623" s="667"/>
      <c r="D623" s="2"/>
      <c r="E623" s="464"/>
      <c r="F623" s="2"/>
      <c r="G623" s="2"/>
      <c r="H623" s="2"/>
      <c r="I623" s="2"/>
      <c r="J623" s="2"/>
      <c r="K623" s="2"/>
      <c r="L623" s="2"/>
      <c r="M623" s="2"/>
      <c r="N623" s="2"/>
      <c r="O623" s="2"/>
      <c r="P623" s="2"/>
      <c r="Q623" s="2"/>
      <c r="S623" s="3"/>
      <c r="T623" s="3"/>
      <c r="U623" s="3"/>
      <c r="V623" s="3"/>
      <c r="W623" s="3"/>
      <c r="X623" s="3"/>
      <c r="Y623" s="3"/>
      <c r="Z623" s="3"/>
    </row>
    <row r="624" ht="15.75" customHeight="1">
      <c r="A624" s="3"/>
      <c r="B624" s="2"/>
      <c r="C624" s="667"/>
      <c r="D624" s="2"/>
      <c r="E624" s="464"/>
      <c r="F624" s="2"/>
      <c r="G624" s="2"/>
      <c r="H624" s="2"/>
      <c r="I624" s="2"/>
      <c r="J624" s="2"/>
      <c r="K624" s="2"/>
      <c r="L624" s="2"/>
      <c r="M624" s="2"/>
      <c r="N624" s="2"/>
      <c r="O624" s="2"/>
      <c r="P624" s="2"/>
      <c r="Q624" s="2"/>
      <c r="S624" s="3"/>
      <c r="T624" s="3"/>
      <c r="U624" s="3"/>
      <c r="V624" s="3"/>
      <c r="W624" s="3"/>
      <c r="X624" s="3"/>
      <c r="Y624" s="3"/>
      <c r="Z624" s="3"/>
    </row>
    <row r="625" ht="15.75" customHeight="1">
      <c r="A625" s="3"/>
      <c r="B625" s="2"/>
      <c r="C625" s="667"/>
      <c r="D625" s="2"/>
      <c r="E625" s="464"/>
      <c r="F625" s="2"/>
      <c r="G625" s="2"/>
      <c r="H625" s="2"/>
      <c r="I625" s="2"/>
      <c r="J625" s="2"/>
      <c r="K625" s="2"/>
      <c r="L625" s="2"/>
      <c r="M625" s="2"/>
      <c r="N625" s="2"/>
      <c r="O625" s="2"/>
      <c r="P625" s="2"/>
      <c r="Q625" s="2"/>
      <c r="S625" s="3"/>
      <c r="T625" s="3"/>
      <c r="U625" s="3"/>
      <c r="V625" s="3"/>
      <c r="W625" s="3"/>
      <c r="X625" s="3"/>
      <c r="Y625" s="3"/>
      <c r="Z625" s="3"/>
    </row>
    <row r="626" ht="15.75" customHeight="1">
      <c r="A626" s="3"/>
      <c r="B626" s="2"/>
      <c r="C626" s="667"/>
      <c r="D626" s="2"/>
      <c r="E626" s="464"/>
      <c r="F626" s="2"/>
      <c r="G626" s="2"/>
      <c r="H626" s="2"/>
      <c r="I626" s="2"/>
      <c r="J626" s="2"/>
      <c r="K626" s="2"/>
      <c r="L626" s="2"/>
      <c r="M626" s="2"/>
      <c r="N626" s="2"/>
      <c r="O626" s="2"/>
      <c r="P626" s="2"/>
      <c r="Q626" s="2"/>
      <c r="S626" s="3"/>
      <c r="T626" s="3"/>
      <c r="U626" s="3"/>
      <c r="V626" s="3"/>
      <c r="W626" s="3"/>
      <c r="X626" s="3"/>
      <c r="Y626" s="3"/>
      <c r="Z626" s="3"/>
    </row>
    <row r="627" ht="15.75" customHeight="1">
      <c r="A627" s="3"/>
      <c r="B627" s="2"/>
      <c r="C627" s="667"/>
      <c r="D627" s="2"/>
      <c r="E627" s="464"/>
      <c r="F627" s="2"/>
      <c r="G627" s="2"/>
      <c r="H627" s="2"/>
      <c r="I627" s="2"/>
      <c r="J627" s="2"/>
      <c r="K627" s="2"/>
      <c r="L627" s="2"/>
      <c r="M627" s="2"/>
      <c r="N627" s="2"/>
      <c r="O627" s="2"/>
      <c r="P627" s="2"/>
      <c r="Q627" s="2"/>
      <c r="S627" s="3"/>
      <c r="T627" s="3"/>
      <c r="U627" s="3"/>
      <c r="V627" s="3"/>
      <c r="W627" s="3"/>
      <c r="X627" s="3"/>
      <c r="Y627" s="3"/>
      <c r="Z627" s="3"/>
    </row>
    <row r="628" ht="15.75" customHeight="1">
      <c r="A628" s="3"/>
      <c r="B628" s="2"/>
      <c r="C628" s="667"/>
      <c r="D628" s="2"/>
      <c r="E628" s="464"/>
      <c r="F628" s="2"/>
      <c r="G628" s="2"/>
      <c r="H628" s="2"/>
      <c r="I628" s="2"/>
      <c r="J628" s="2"/>
      <c r="K628" s="2"/>
      <c r="L628" s="2"/>
      <c r="M628" s="2"/>
      <c r="N628" s="2"/>
      <c r="O628" s="2"/>
      <c r="P628" s="2"/>
      <c r="Q628" s="2"/>
      <c r="S628" s="3"/>
      <c r="T628" s="3"/>
      <c r="U628" s="3"/>
      <c r="V628" s="3"/>
      <c r="W628" s="3"/>
      <c r="X628" s="3"/>
      <c r="Y628" s="3"/>
      <c r="Z628" s="3"/>
    </row>
    <row r="629" ht="15.75" customHeight="1">
      <c r="A629" s="3"/>
      <c r="B629" s="2"/>
      <c r="C629" s="667"/>
      <c r="D629" s="2"/>
      <c r="E629" s="464"/>
      <c r="F629" s="2"/>
      <c r="G629" s="2"/>
      <c r="H629" s="2"/>
      <c r="I629" s="2"/>
      <c r="J629" s="2"/>
      <c r="K629" s="2"/>
      <c r="L629" s="2"/>
      <c r="M629" s="2"/>
      <c r="N629" s="2"/>
      <c r="O629" s="2"/>
      <c r="P629" s="2"/>
      <c r="Q629" s="2"/>
      <c r="S629" s="3"/>
      <c r="T629" s="3"/>
      <c r="U629" s="3"/>
      <c r="V629" s="3"/>
      <c r="W629" s="3"/>
      <c r="X629" s="3"/>
      <c r="Y629" s="3"/>
      <c r="Z629" s="3"/>
    </row>
    <row r="630" ht="15.75" customHeight="1">
      <c r="A630" s="3"/>
      <c r="B630" s="2"/>
      <c r="C630" s="667"/>
      <c r="D630" s="2"/>
      <c r="E630" s="464"/>
      <c r="F630" s="2"/>
      <c r="G630" s="2"/>
      <c r="H630" s="2"/>
      <c r="I630" s="2"/>
      <c r="J630" s="2"/>
      <c r="K630" s="2"/>
      <c r="L630" s="2"/>
      <c r="M630" s="2"/>
      <c r="N630" s="2"/>
      <c r="O630" s="2"/>
      <c r="P630" s="2"/>
      <c r="Q630" s="2"/>
      <c r="S630" s="3"/>
      <c r="T630" s="3"/>
      <c r="U630" s="3"/>
      <c r="V630" s="3"/>
      <c r="W630" s="3"/>
      <c r="X630" s="3"/>
      <c r="Y630" s="3"/>
      <c r="Z630" s="3"/>
    </row>
    <row r="631" ht="15.75" customHeight="1">
      <c r="A631" s="3"/>
      <c r="B631" s="2"/>
      <c r="C631" s="667"/>
      <c r="D631" s="2"/>
      <c r="E631" s="464"/>
      <c r="F631" s="2"/>
      <c r="G631" s="2"/>
      <c r="H631" s="2"/>
      <c r="I631" s="2"/>
      <c r="J631" s="2"/>
      <c r="K631" s="2"/>
      <c r="L631" s="2"/>
      <c r="M631" s="2"/>
      <c r="N631" s="2"/>
      <c r="O631" s="2"/>
      <c r="P631" s="2"/>
      <c r="Q631" s="2"/>
      <c r="S631" s="3"/>
      <c r="T631" s="3"/>
      <c r="U631" s="3"/>
      <c r="V631" s="3"/>
      <c r="W631" s="3"/>
      <c r="X631" s="3"/>
      <c r="Y631" s="3"/>
      <c r="Z631" s="3"/>
    </row>
    <row r="632" ht="15.75" customHeight="1">
      <c r="A632" s="3"/>
      <c r="B632" s="2"/>
      <c r="C632" s="667"/>
      <c r="D632" s="2"/>
      <c r="E632" s="464"/>
      <c r="F632" s="2"/>
      <c r="G632" s="2"/>
      <c r="H632" s="2"/>
      <c r="I632" s="2"/>
      <c r="J632" s="2"/>
      <c r="K632" s="2"/>
      <c r="L632" s="2"/>
      <c r="M632" s="2"/>
      <c r="N632" s="2"/>
      <c r="O632" s="2"/>
      <c r="P632" s="2"/>
      <c r="Q632" s="2"/>
      <c r="S632" s="3"/>
      <c r="T632" s="3"/>
      <c r="U632" s="3"/>
      <c r="V632" s="3"/>
      <c r="W632" s="3"/>
      <c r="X632" s="3"/>
      <c r="Y632" s="3"/>
      <c r="Z632" s="3"/>
    </row>
    <row r="633" ht="15.75" customHeight="1">
      <c r="A633" s="3"/>
      <c r="B633" s="2"/>
      <c r="C633" s="667"/>
      <c r="D633" s="2"/>
      <c r="E633" s="464"/>
      <c r="F633" s="2"/>
      <c r="G633" s="2"/>
      <c r="H633" s="2"/>
      <c r="I633" s="2"/>
      <c r="J633" s="2"/>
      <c r="K633" s="2"/>
      <c r="L633" s="2"/>
      <c r="M633" s="2"/>
      <c r="N633" s="2"/>
      <c r="O633" s="2"/>
      <c r="P633" s="2"/>
      <c r="Q633" s="2"/>
      <c r="S633" s="3"/>
      <c r="T633" s="3"/>
      <c r="U633" s="3"/>
      <c r="V633" s="3"/>
      <c r="W633" s="3"/>
      <c r="X633" s="3"/>
      <c r="Y633" s="3"/>
      <c r="Z633" s="3"/>
    </row>
    <row r="634" ht="15.75" customHeight="1">
      <c r="A634" s="3"/>
      <c r="B634" s="2"/>
      <c r="C634" s="667"/>
      <c r="D634" s="2"/>
      <c r="E634" s="464"/>
      <c r="F634" s="2"/>
      <c r="G634" s="2"/>
      <c r="H634" s="2"/>
      <c r="I634" s="2"/>
      <c r="J634" s="2"/>
      <c r="K634" s="2"/>
      <c r="L634" s="2"/>
      <c r="M634" s="2"/>
      <c r="N634" s="2"/>
      <c r="O634" s="2"/>
      <c r="P634" s="2"/>
      <c r="Q634" s="2"/>
      <c r="S634" s="3"/>
      <c r="T634" s="3"/>
      <c r="U634" s="3"/>
      <c r="V634" s="3"/>
      <c r="W634" s="3"/>
      <c r="X634" s="3"/>
      <c r="Y634" s="3"/>
      <c r="Z634" s="3"/>
    </row>
    <row r="635" ht="15.75" customHeight="1">
      <c r="A635" s="3"/>
      <c r="B635" s="2"/>
      <c r="C635" s="667"/>
      <c r="D635" s="2"/>
      <c r="E635" s="464"/>
      <c r="F635" s="2"/>
      <c r="G635" s="2"/>
      <c r="H635" s="2"/>
      <c r="I635" s="2"/>
      <c r="J635" s="2"/>
      <c r="K635" s="2"/>
      <c r="L635" s="2"/>
      <c r="M635" s="2"/>
      <c r="N635" s="2"/>
      <c r="O635" s="2"/>
      <c r="P635" s="2"/>
      <c r="Q635" s="2"/>
      <c r="S635" s="3"/>
      <c r="T635" s="3"/>
      <c r="U635" s="3"/>
      <c r="V635" s="3"/>
      <c r="W635" s="3"/>
      <c r="X635" s="3"/>
      <c r="Y635" s="3"/>
      <c r="Z635" s="3"/>
    </row>
    <row r="636" ht="15.75" customHeight="1">
      <c r="A636" s="3"/>
      <c r="B636" s="2"/>
      <c r="C636" s="667"/>
      <c r="D636" s="2"/>
      <c r="E636" s="464"/>
      <c r="F636" s="2"/>
      <c r="G636" s="2"/>
      <c r="H636" s="2"/>
      <c r="I636" s="2"/>
      <c r="J636" s="2"/>
      <c r="K636" s="2"/>
      <c r="L636" s="2"/>
      <c r="M636" s="2"/>
      <c r="N636" s="2"/>
      <c r="O636" s="2"/>
      <c r="P636" s="2"/>
      <c r="Q636" s="2"/>
      <c r="S636" s="3"/>
      <c r="T636" s="3"/>
      <c r="U636" s="3"/>
      <c r="V636" s="3"/>
      <c r="W636" s="3"/>
      <c r="X636" s="3"/>
      <c r="Y636" s="3"/>
      <c r="Z636" s="3"/>
    </row>
    <row r="637" ht="15.75" customHeight="1">
      <c r="A637" s="3"/>
      <c r="B637" s="2"/>
      <c r="C637" s="667"/>
      <c r="D637" s="2"/>
      <c r="E637" s="464"/>
      <c r="F637" s="2"/>
      <c r="G637" s="2"/>
      <c r="H637" s="2"/>
      <c r="I637" s="2"/>
      <c r="J637" s="2"/>
      <c r="K637" s="2"/>
      <c r="L637" s="2"/>
      <c r="M637" s="2"/>
      <c r="N637" s="2"/>
      <c r="O637" s="2"/>
      <c r="P637" s="2"/>
      <c r="Q637" s="2"/>
      <c r="S637" s="3"/>
      <c r="T637" s="3"/>
      <c r="U637" s="3"/>
      <c r="V637" s="3"/>
      <c r="W637" s="3"/>
      <c r="X637" s="3"/>
      <c r="Y637" s="3"/>
      <c r="Z637" s="3"/>
    </row>
    <row r="638" ht="15.75" customHeight="1">
      <c r="A638" s="3"/>
      <c r="B638" s="2"/>
      <c r="C638" s="667"/>
      <c r="D638" s="2"/>
      <c r="E638" s="464"/>
      <c r="F638" s="2"/>
      <c r="G638" s="2"/>
      <c r="H638" s="2"/>
      <c r="I638" s="2"/>
      <c r="J638" s="2"/>
      <c r="K638" s="2"/>
      <c r="L638" s="2"/>
      <c r="M638" s="2"/>
      <c r="N638" s="2"/>
      <c r="O638" s="2"/>
      <c r="P638" s="2"/>
      <c r="Q638" s="2"/>
      <c r="S638" s="3"/>
      <c r="T638" s="3"/>
      <c r="U638" s="3"/>
      <c r="V638" s="3"/>
      <c r="W638" s="3"/>
      <c r="X638" s="3"/>
      <c r="Y638" s="3"/>
      <c r="Z638" s="3"/>
    </row>
    <row r="639" ht="15.75" customHeight="1">
      <c r="A639" s="3"/>
      <c r="B639" s="2"/>
      <c r="C639" s="667"/>
      <c r="D639" s="2"/>
      <c r="E639" s="464"/>
      <c r="F639" s="2"/>
      <c r="G639" s="2"/>
      <c r="H639" s="2"/>
      <c r="I639" s="2"/>
      <c r="J639" s="2"/>
      <c r="K639" s="2"/>
      <c r="L639" s="2"/>
      <c r="M639" s="2"/>
      <c r="N639" s="2"/>
      <c r="O639" s="2"/>
      <c r="P639" s="2"/>
      <c r="Q639" s="2"/>
      <c r="S639" s="3"/>
      <c r="T639" s="3"/>
      <c r="U639" s="3"/>
      <c r="V639" s="3"/>
      <c r="W639" s="3"/>
      <c r="X639" s="3"/>
      <c r="Y639" s="3"/>
      <c r="Z639" s="3"/>
    </row>
    <row r="640" ht="15.75" customHeight="1">
      <c r="A640" s="3"/>
      <c r="B640" s="2"/>
      <c r="C640" s="667"/>
      <c r="D640" s="2"/>
      <c r="E640" s="464"/>
      <c r="F640" s="2"/>
      <c r="G640" s="2"/>
      <c r="H640" s="2"/>
      <c r="I640" s="2"/>
      <c r="J640" s="2"/>
      <c r="K640" s="2"/>
      <c r="L640" s="2"/>
      <c r="M640" s="2"/>
      <c r="N640" s="2"/>
      <c r="O640" s="2"/>
      <c r="P640" s="2"/>
      <c r="Q640" s="2"/>
      <c r="S640" s="3"/>
      <c r="T640" s="3"/>
      <c r="U640" s="3"/>
      <c r="V640" s="3"/>
      <c r="W640" s="3"/>
      <c r="X640" s="3"/>
      <c r="Y640" s="3"/>
      <c r="Z640" s="3"/>
    </row>
    <row r="641" ht="15.75" customHeight="1">
      <c r="A641" s="3"/>
      <c r="B641" s="2"/>
      <c r="C641" s="667"/>
      <c r="D641" s="2"/>
      <c r="E641" s="464"/>
      <c r="F641" s="2"/>
      <c r="G641" s="2"/>
      <c r="H641" s="2"/>
      <c r="I641" s="2"/>
      <c r="J641" s="2"/>
      <c r="K641" s="2"/>
      <c r="L641" s="2"/>
      <c r="M641" s="2"/>
      <c r="N641" s="2"/>
      <c r="O641" s="2"/>
      <c r="P641" s="2"/>
      <c r="Q641" s="2"/>
      <c r="S641" s="3"/>
      <c r="T641" s="3"/>
      <c r="U641" s="3"/>
      <c r="V641" s="3"/>
      <c r="W641" s="3"/>
      <c r="X641" s="3"/>
      <c r="Y641" s="3"/>
      <c r="Z641" s="3"/>
    </row>
    <row r="642" ht="15.75" customHeight="1">
      <c r="A642" s="3"/>
      <c r="B642" s="2"/>
      <c r="C642" s="667"/>
      <c r="D642" s="2"/>
      <c r="E642" s="464"/>
      <c r="F642" s="2"/>
      <c r="G642" s="2"/>
      <c r="H642" s="2"/>
      <c r="I642" s="2"/>
      <c r="J642" s="2"/>
      <c r="K642" s="2"/>
      <c r="L642" s="2"/>
      <c r="M642" s="2"/>
      <c r="N642" s="2"/>
      <c r="O642" s="2"/>
      <c r="P642" s="2"/>
      <c r="Q642" s="2"/>
      <c r="S642" s="3"/>
      <c r="T642" s="3"/>
      <c r="U642" s="3"/>
      <c r="V642" s="3"/>
      <c r="W642" s="3"/>
      <c r="X642" s="3"/>
      <c r="Y642" s="3"/>
      <c r="Z642" s="3"/>
    </row>
    <row r="643" ht="15.75" customHeight="1">
      <c r="A643" s="3"/>
      <c r="B643" s="2"/>
      <c r="C643" s="667"/>
      <c r="D643" s="2"/>
      <c r="E643" s="464"/>
      <c r="F643" s="2"/>
      <c r="G643" s="2"/>
      <c r="H643" s="2"/>
      <c r="I643" s="2"/>
      <c r="J643" s="2"/>
      <c r="K643" s="2"/>
      <c r="L643" s="2"/>
      <c r="M643" s="2"/>
      <c r="N643" s="2"/>
      <c r="O643" s="2"/>
      <c r="P643" s="2"/>
      <c r="Q643" s="2"/>
      <c r="S643" s="3"/>
      <c r="T643" s="3"/>
      <c r="U643" s="3"/>
      <c r="V643" s="3"/>
      <c r="W643" s="3"/>
      <c r="X643" s="3"/>
      <c r="Y643" s="3"/>
      <c r="Z643" s="3"/>
    </row>
    <row r="644" ht="15.75" customHeight="1">
      <c r="A644" s="3"/>
      <c r="B644" s="2"/>
      <c r="C644" s="667"/>
      <c r="D644" s="2"/>
      <c r="E644" s="464"/>
      <c r="F644" s="2"/>
      <c r="G644" s="2"/>
      <c r="H644" s="2"/>
      <c r="I644" s="2"/>
      <c r="J644" s="2"/>
      <c r="K644" s="2"/>
      <c r="L644" s="2"/>
      <c r="M644" s="2"/>
      <c r="N644" s="2"/>
      <c r="O644" s="2"/>
      <c r="P644" s="2"/>
      <c r="Q644" s="2"/>
      <c r="S644" s="3"/>
      <c r="T644" s="3"/>
      <c r="U644" s="3"/>
      <c r="V644" s="3"/>
      <c r="W644" s="3"/>
      <c r="X644" s="3"/>
      <c r="Y644" s="3"/>
      <c r="Z644" s="3"/>
    </row>
    <row r="645" ht="15.75" customHeight="1">
      <c r="A645" s="3"/>
      <c r="B645" s="2"/>
      <c r="C645" s="667"/>
      <c r="D645" s="2"/>
      <c r="E645" s="464"/>
      <c r="F645" s="2"/>
      <c r="G645" s="2"/>
      <c r="H645" s="2"/>
      <c r="I645" s="2"/>
      <c r="J645" s="2"/>
      <c r="K645" s="2"/>
      <c r="L645" s="2"/>
      <c r="M645" s="2"/>
      <c r="N645" s="2"/>
      <c r="O645" s="2"/>
      <c r="P645" s="2"/>
      <c r="Q645" s="2"/>
      <c r="S645" s="3"/>
      <c r="T645" s="3"/>
      <c r="U645" s="3"/>
      <c r="V645" s="3"/>
      <c r="W645" s="3"/>
      <c r="X645" s="3"/>
      <c r="Y645" s="3"/>
      <c r="Z645" s="3"/>
    </row>
    <row r="646" ht="15.75" customHeight="1">
      <c r="A646" s="3"/>
      <c r="B646" s="2"/>
      <c r="C646" s="667"/>
      <c r="D646" s="2"/>
      <c r="E646" s="464"/>
      <c r="F646" s="2"/>
      <c r="G646" s="2"/>
      <c r="H646" s="2"/>
      <c r="I646" s="2"/>
      <c r="J646" s="2"/>
      <c r="K646" s="2"/>
      <c r="L646" s="2"/>
      <c r="M646" s="2"/>
      <c r="N646" s="2"/>
      <c r="O646" s="2"/>
      <c r="P646" s="2"/>
      <c r="Q646" s="2"/>
      <c r="S646" s="3"/>
      <c r="T646" s="3"/>
      <c r="U646" s="3"/>
      <c r="V646" s="3"/>
      <c r="W646" s="3"/>
      <c r="X646" s="3"/>
      <c r="Y646" s="3"/>
      <c r="Z646" s="3"/>
    </row>
    <row r="647" ht="15.75" customHeight="1">
      <c r="A647" s="3"/>
      <c r="B647" s="2"/>
      <c r="C647" s="667"/>
      <c r="D647" s="2"/>
      <c r="E647" s="464"/>
      <c r="F647" s="2"/>
      <c r="G647" s="2"/>
      <c r="H647" s="2"/>
      <c r="I647" s="2"/>
      <c r="J647" s="2"/>
      <c r="K647" s="2"/>
      <c r="L647" s="2"/>
      <c r="M647" s="2"/>
      <c r="N647" s="2"/>
      <c r="O647" s="2"/>
      <c r="P647" s="2"/>
      <c r="Q647" s="2"/>
      <c r="S647" s="3"/>
      <c r="T647" s="3"/>
      <c r="U647" s="3"/>
      <c r="V647" s="3"/>
      <c r="W647" s="3"/>
      <c r="X647" s="3"/>
      <c r="Y647" s="3"/>
      <c r="Z647" s="3"/>
    </row>
    <row r="648" ht="15.75" customHeight="1">
      <c r="A648" s="3"/>
      <c r="B648" s="2"/>
      <c r="C648" s="667"/>
      <c r="D648" s="2"/>
      <c r="E648" s="464"/>
      <c r="F648" s="2"/>
      <c r="G648" s="2"/>
      <c r="H648" s="2"/>
      <c r="I648" s="2"/>
      <c r="J648" s="2"/>
      <c r="K648" s="2"/>
      <c r="L648" s="2"/>
      <c r="M648" s="2"/>
      <c r="N648" s="2"/>
      <c r="O648" s="2"/>
      <c r="P648" s="2"/>
      <c r="Q648" s="2"/>
      <c r="S648" s="3"/>
      <c r="T648" s="3"/>
      <c r="U648" s="3"/>
      <c r="V648" s="3"/>
      <c r="W648" s="3"/>
      <c r="X648" s="3"/>
      <c r="Y648" s="3"/>
      <c r="Z648" s="3"/>
    </row>
    <row r="649" ht="15.75" customHeight="1">
      <c r="A649" s="3"/>
      <c r="B649" s="2"/>
      <c r="C649" s="667"/>
      <c r="D649" s="2"/>
      <c r="E649" s="464"/>
      <c r="F649" s="2"/>
      <c r="G649" s="2"/>
      <c r="H649" s="2"/>
      <c r="I649" s="2"/>
      <c r="J649" s="2"/>
      <c r="K649" s="2"/>
      <c r="L649" s="2"/>
      <c r="M649" s="2"/>
      <c r="N649" s="2"/>
      <c r="O649" s="2"/>
      <c r="P649" s="2"/>
      <c r="Q649" s="2"/>
      <c r="S649" s="3"/>
      <c r="T649" s="3"/>
      <c r="U649" s="3"/>
      <c r="V649" s="3"/>
      <c r="W649" s="3"/>
      <c r="X649" s="3"/>
      <c r="Y649" s="3"/>
      <c r="Z649" s="3"/>
    </row>
    <row r="650" ht="15.75" customHeight="1">
      <c r="A650" s="3"/>
      <c r="B650" s="2"/>
      <c r="C650" s="667"/>
      <c r="D650" s="2"/>
      <c r="E650" s="464"/>
      <c r="F650" s="2"/>
      <c r="G650" s="2"/>
      <c r="H650" s="2"/>
      <c r="I650" s="2"/>
      <c r="J650" s="2"/>
      <c r="K650" s="2"/>
      <c r="L650" s="2"/>
      <c r="M650" s="2"/>
      <c r="N650" s="2"/>
      <c r="O650" s="2"/>
      <c r="P650" s="2"/>
      <c r="Q650" s="2"/>
      <c r="S650" s="3"/>
      <c r="T650" s="3"/>
      <c r="U650" s="3"/>
      <c r="V650" s="3"/>
      <c r="W650" s="3"/>
      <c r="X650" s="3"/>
      <c r="Y650" s="3"/>
      <c r="Z650" s="3"/>
    </row>
    <row r="651" ht="15.75" customHeight="1">
      <c r="A651" s="3"/>
      <c r="B651" s="2"/>
      <c r="C651" s="667"/>
      <c r="D651" s="2"/>
      <c r="E651" s="464"/>
      <c r="F651" s="2"/>
      <c r="G651" s="2"/>
      <c r="H651" s="2"/>
      <c r="I651" s="2"/>
      <c r="J651" s="2"/>
      <c r="K651" s="2"/>
      <c r="L651" s="2"/>
      <c r="M651" s="2"/>
      <c r="N651" s="2"/>
      <c r="O651" s="2"/>
      <c r="P651" s="2"/>
      <c r="Q651" s="2"/>
      <c r="S651" s="3"/>
      <c r="T651" s="3"/>
      <c r="U651" s="3"/>
      <c r="V651" s="3"/>
      <c r="W651" s="3"/>
      <c r="X651" s="3"/>
      <c r="Y651" s="3"/>
      <c r="Z651" s="3"/>
    </row>
    <row r="652" ht="15.75" customHeight="1">
      <c r="A652" s="3"/>
      <c r="B652" s="2"/>
      <c r="C652" s="667"/>
      <c r="D652" s="2"/>
      <c r="E652" s="464"/>
      <c r="F652" s="2"/>
      <c r="G652" s="2"/>
      <c r="H652" s="2"/>
      <c r="I652" s="2"/>
      <c r="J652" s="2"/>
      <c r="K652" s="2"/>
      <c r="L652" s="2"/>
      <c r="M652" s="2"/>
      <c r="N652" s="2"/>
      <c r="O652" s="2"/>
      <c r="P652" s="2"/>
      <c r="Q652" s="2"/>
      <c r="S652" s="3"/>
      <c r="T652" s="3"/>
      <c r="U652" s="3"/>
      <c r="V652" s="3"/>
      <c r="W652" s="3"/>
      <c r="X652" s="3"/>
      <c r="Y652" s="3"/>
      <c r="Z652" s="3"/>
    </row>
    <row r="653" ht="15.75" customHeight="1">
      <c r="A653" s="3"/>
      <c r="B653" s="2"/>
      <c r="C653" s="667"/>
      <c r="D653" s="2"/>
      <c r="E653" s="464"/>
      <c r="F653" s="2"/>
      <c r="G653" s="2"/>
      <c r="H653" s="2"/>
      <c r="I653" s="2"/>
      <c r="J653" s="2"/>
      <c r="K653" s="2"/>
      <c r="L653" s="2"/>
      <c r="M653" s="2"/>
      <c r="N653" s="2"/>
      <c r="O653" s="2"/>
      <c r="P653" s="2"/>
      <c r="Q653" s="2"/>
      <c r="S653" s="3"/>
      <c r="T653" s="3"/>
      <c r="U653" s="3"/>
      <c r="V653" s="3"/>
      <c r="W653" s="3"/>
      <c r="X653" s="3"/>
      <c r="Y653" s="3"/>
      <c r="Z653" s="3"/>
    </row>
    <row r="654" ht="15.75" customHeight="1">
      <c r="A654" s="3"/>
      <c r="B654" s="2"/>
      <c r="C654" s="667"/>
      <c r="D654" s="2"/>
      <c r="E654" s="464"/>
      <c r="F654" s="2"/>
      <c r="G654" s="2"/>
      <c r="H654" s="2"/>
      <c r="I654" s="2"/>
      <c r="J654" s="2"/>
      <c r="K654" s="2"/>
      <c r="L654" s="2"/>
      <c r="M654" s="2"/>
      <c r="N654" s="2"/>
      <c r="O654" s="2"/>
      <c r="P654" s="2"/>
      <c r="Q654" s="2"/>
      <c r="S654" s="3"/>
      <c r="T654" s="3"/>
      <c r="U654" s="3"/>
      <c r="V654" s="3"/>
      <c r="W654" s="3"/>
      <c r="X654" s="3"/>
      <c r="Y654" s="3"/>
      <c r="Z654" s="3"/>
    </row>
    <row r="655" ht="15.75" customHeight="1">
      <c r="A655" s="3"/>
      <c r="B655" s="2"/>
      <c r="C655" s="667"/>
      <c r="D655" s="2"/>
      <c r="E655" s="464"/>
      <c r="F655" s="2"/>
      <c r="G655" s="2"/>
      <c r="H655" s="2"/>
      <c r="I655" s="2"/>
      <c r="J655" s="2"/>
      <c r="K655" s="2"/>
      <c r="L655" s="2"/>
      <c r="M655" s="2"/>
      <c r="N655" s="2"/>
      <c r="O655" s="2"/>
      <c r="P655" s="2"/>
      <c r="Q655" s="2"/>
      <c r="S655" s="3"/>
      <c r="T655" s="3"/>
      <c r="U655" s="3"/>
      <c r="V655" s="3"/>
      <c r="W655" s="3"/>
      <c r="X655" s="3"/>
      <c r="Y655" s="3"/>
      <c r="Z655" s="3"/>
    </row>
    <row r="656" ht="15.75" customHeight="1">
      <c r="A656" s="3"/>
      <c r="B656" s="2"/>
      <c r="C656" s="667"/>
      <c r="D656" s="2"/>
      <c r="E656" s="464"/>
      <c r="F656" s="2"/>
      <c r="G656" s="2"/>
      <c r="H656" s="2"/>
      <c r="I656" s="2"/>
      <c r="J656" s="2"/>
      <c r="K656" s="2"/>
      <c r="L656" s="2"/>
      <c r="M656" s="2"/>
      <c r="N656" s="2"/>
      <c r="O656" s="2"/>
      <c r="P656" s="2"/>
      <c r="Q656" s="2"/>
      <c r="S656" s="3"/>
      <c r="T656" s="3"/>
      <c r="U656" s="3"/>
      <c r="V656" s="3"/>
      <c r="W656" s="3"/>
      <c r="X656" s="3"/>
      <c r="Y656" s="3"/>
      <c r="Z656" s="3"/>
    </row>
    <row r="657" ht="15.75" customHeight="1">
      <c r="A657" s="3"/>
      <c r="B657" s="2"/>
      <c r="C657" s="667"/>
      <c r="D657" s="2"/>
      <c r="E657" s="464"/>
      <c r="F657" s="2"/>
      <c r="G657" s="2"/>
      <c r="H657" s="2"/>
      <c r="I657" s="2"/>
      <c r="J657" s="2"/>
      <c r="K657" s="2"/>
      <c r="L657" s="2"/>
      <c r="M657" s="2"/>
      <c r="N657" s="2"/>
      <c r="O657" s="2"/>
      <c r="P657" s="2"/>
      <c r="Q657" s="2"/>
      <c r="S657" s="3"/>
      <c r="T657" s="3"/>
      <c r="U657" s="3"/>
      <c r="V657" s="3"/>
      <c r="W657" s="3"/>
      <c r="X657" s="3"/>
      <c r="Y657" s="3"/>
      <c r="Z657" s="3"/>
    </row>
    <row r="658" ht="15.75" customHeight="1">
      <c r="A658" s="3"/>
      <c r="B658" s="2"/>
      <c r="C658" s="667"/>
      <c r="D658" s="2"/>
      <c r="E658" s="464"/>
      <c r="F658" s="2"/>
      <c r="G658" s="2"/>
      <c r="H658" s="2"/>
      <c r="I658" s="2"/>
      <c r="J658" s="2"/>
      <c r="K658" s="2"/>
      <c r="L658" s="2"/>
      <c r="M658" s="2"/>
      <c r="N658" s="2"/>
      <c r="O658" s="2"/>
      <c r="P658" s="2"/>
      <c r="Q658" s="2"/>
      <c r="S658" s="3"/>
      <c r="T658" s="3"/>
      <c r="U658" s="3"/>
      <c r="V658" s="3"/>
      <c r="W658" s="3"/>
      <c r="X658" s="3"/>
      <c r="Y658" s="3"/>
      <c r="Z658" s="3"/>
    </row>
    <row r="659" ht="15.75" customHeight="1">
      <c r="A659" s="3"/>
      <c r="B659" s="2"/>
      <c r="C659" s="667"/>
      <c r="D659" s="2"/>
      <c r="E659" s="464"/>
      <c r="F659" s="2"/>
      <c r="G659" s="2"/>
      <c r="H659" s="2"/>
      <c r="I659" s="2"/>
      <c r="J659" s="2"/>
      <c r="K659" s="2"/>
      <c r="L659" s="2"/>
      <c r="M659" s="2"/>
      <c r="N659" s="2"/>
      <c r="O659" s="2"/>
      <c r="P659" s="2"/>
      <c r="Q659" s="2"/>
      <c r="S659" s="3"/>
      <c r="T659" s="3"/>
      <c r="U659" s="3"/>
      <c r="V659" s="3"/>
      <c r="W659" s="3"/>
      <c r="X659" s="3"/>
      <c r="Y659" s="3"/>
      <c r="Z659" s="3"/>
    </row>
    <row r="660" ht="15.75" customHeight="1">
      <c r="A660" s="3"/>
      <c r="B660" s="2"/>
      <c r="C660" s="667"/>
      <c r="D660" s="2"/>
      <c r="E660" s="464"/>
      <c r="F660" s="2"/>
      <c r="G660" s="2"/>
      <c r="H660" s="2"/>
      <c r="I660" s="2"/>
      <c r="J660" s="2"/>
      <c r="K660" s="2"/>
      <c r="L660" s="2"/>
      <c r="M660" s="2"/>
      <c r="N660" s="2"/>
      <c r="O660" s="2"/>
      <c r="P660" s="2"/>
      <c r="Q660" s="2"/>
      <c r="S660" s="3"/>
      <c r="T660" s="3"/>
      <c r="U660" s="3"/>
      <c r="V660" s="3"/>
      <c r="W660" s="3"/>
      <c r="X660" s="3"/>
      <c r="Y660" s="3"/>
      <c r="Z660" s="3"/>
    </row>
    <row r="661" ht="15.75" customHeight="1">
      <c r="A661" s="3"/>
      <c r="B661" s="2"/>
      <c r="C661" s="667"/>
      <c r="D661" s="2"/>
      <c r="E661" s="464"/>
      <c r="F661" s="2"/>
      <c r="G661" s="2"/>
      <c r="H661" s="2"/>
      <c r="I661" s="2"/>
      <c r="J661" s="2"/>
      <c r="K661" s="2"/>
      <c r="L661" s="2"/>
      <c r="M661" s="2"/>
      <c r="N661" s="2"/>
      <c r="O661" s="2"/>
      <c r="P661" s="2"/>
      <c r="Q661" s="2"/>
      <c r="S661" s="3"/>
      <c r="T661" s="3"/>
      <c r="U661" s="3"/>
      <c r="V661" s="3"/>
      <c r="W661" s="3"/>
      <c r="X661" s="3"/>
      <c r="Y661" s="3"/>
      <c r="Z661" s="3"/>
    </row>
    <row r="662" ht="15.75" customHeight="1">
      <c r="A662" s="3"/>
      <c r="B662" s="2"/>
      <c r="C662" s="667"/>
      <c r="D662" s="2"/>
      <c r="E662" s="464"/>
      <c r="F662" s="2"/>
      <c r="G662" s="2"/>
      <c r="H662" s="2"/>
      <c r="I662" s="2"/>
      <c r="J662" s="2"/>
      <c r="K662" s="2"/>
      <c r="L662" s="2"/>
      <c r="M662" s="2"/>
      <c r="N662" s="2"/>
      <c r="O662" s="2"/>
      <c r="P662" s="2"/>
      <c r="Q662" s="2"/>
      <c r="S662" s="3"/>
      <c r="T662" s="3"/>
      <c r="U662" s="3"/>
      <c r="V662" s="3"/>
      <c r="W662" s="3"/>
      <c r="X662" s="3"/>
      <c r="Y662" s="3"/>
      <c r="Z662" s="3"/>
    </row>
    <row r="663" ht="15.75" customHeight="1">
      <c r="A663" s="3"/>
      <c r="B663" s="2"/>
      <c r="C663" s="667"/>
      <c r="D663" s="2"/>
      <c r="E663" s="464"/>
      <c r="F663" s="2"/>
      <c r="G663" s="2"/>
      <c r="H663" s="2"/>
      <c r="I663" s="2"/>
      <c r="J663" s="2"/>
      <c r="K663" s="2"/>
      <c r="L663" s="2"/>
      <c r="M663" s="2"/>
      <c r="N663" s="2"/>
      <c r="O663" s="2"/>
      <c r="P663" s="2"/>
      <c r="Q663" s="2"/>
      <c r="S663" s="3"/>
      <c r="T663" s="3"/>
      <c r="U663" s="3"/>
      <c r="V663" s="3"/>
      <c r="W663" s="3"/>
      <c r="X663" s="3"/>
      <c r="Y663" s="3"/>
      <c r="Z663" s="3"/>
    </row>
    <row r="664" ht="15.75" customHeight="1">
      <c r="A664" s="3"/>
      <c r="B664" s="2"/>
      <c r="C664" s="667"/>
      <c r="D664" s="2"/>
      <c r="E664" s="464"/>
      <c r="F664" s="2"/>
      <c r="G664" s="2"/>
      <c r="H664" s="2"/>
      <c r="I664" s="2"/>
      <c r="J664" s="2"/>
      <c r="K664" s="2"/>
      <c r="L664" s="2"/>
      <c r="M664" s="2"/>
      <c r="N664" s="2"/>
      <c r="O664" s="2"/>
      <c r="P664" s="2"/>
      <c r="Q664" s="2"/>
      <c r="S664" s="3"/>
      <c r="T664" s="3"/>
      <c r="U664" s="3"/>
      <c r="V664" s="3"/>
      <c r="W664" s="3"/>
      <c r="X664" s="3"/>
      <c r="Y664" s="3"/>
      <c r="Z664" s="3"/>
    </row>
    <row r="665" ht="15.75" customHeight="1">
      <c r="A665" s="3"/>
      <c r="B665" s="2"/>
      <c r="C665" s="667"/>
      <c r="D665" s="2"/>
      <c r="E665" s="464"/>
      <c r="F665" s="2"/>
      <c r="G665" s="2"/>
      <c r="H665" s="2"/>
      <c r="I665" s="2"/>
      <c r="J665" s="2"/>
      <c r="K665" s="2"/>
      <c r="L665" s="2"/>
      <c r="M665" s="2"/>
      <c r="N665" s="2"/>
      <c r="O665" s="2"/>
      <c r="P665" s="2"/>
      <c r="Q665" s="2"/>
      <c r="S665" s="3"/>
      <c r="T665" s="3"/>
      <c r="U665" s="3"/>
      <c r="V665" s="3"/>
      <c r="W665" s="3"/>
      <c r="X665" s="3"/>
      <c r="Y665" s="3"/>
      <c r="Z665" s="3"/>
    </row>
    <row r="666" ht="15.75" customHeight="1">
      <c r="A666" s="3"/>
      <c r="B666" s="2"/>
      <c r="C666" s="667"/>
      <c r="D666" s="2"/>
      <c r="E666" s="464"/>
      <c r="F666" s="2"/>
      <c r="G666" s="2"/>
      <c r="H666" s="2"/>
      <c r="I666" s="2"/>
      <c r="J666" s="2"/>
      <c r="K666" s="2"/>
      <c r="L666" s="2"/>
      <c r="M666" s="2"/>
      <c r="N666" s="2"/>
      <c r="O666" s="2"/>
      <c r="P666" s="2"/>
      <c r="Q666" s="2"/>
      <c r="S666" s="3"/>
      <c r="T666" s="3"/>
      <c r="U666" s="3"/>
      <c r="V666" s="3"/>
      <c r="W666" s="3"/>
      <c r="X666" s="3"/>
      <c r="Y666" s="3"/>
      <c r="Z666" s="3"/>
    </row>
    <row r="667" ht="15.75" customHeight="1">
      <c r="A667" s="3"/>
      <c r="B667" s="2"/>
      <c r="C667" s="667"/>
      <c r="D667" s="2"/>
      <c r="E667" s="464"/>
      <c r="F667" s="2"/>
      <c r="G667" s="2"/>
      <c r="H667" s="2"/>
      <c r="I667" s="2"/>
      <c r="J667" s="2"/>
      <c r="K667" s="2"/>
      <c r="L667" s="2"/>
      <c r="M667" s="2"/>
      <c r="N667" s="2"/>
      <c r="O667" s="2"/>
      <c r="P667" s="2"/>
      <c r="Q667" s="2"/>
      <c r="S667" s="3"/>
      <c r="T667" s="3"/>
      <c r="U667" s="3"/>
      <c r="V667" s="3"/>
      <c r="W667" s="3"/>
      <c r="X667" s="3"/>
      <c r="Y667" s="3"/>
      <c r="Z667" s="3"/>
    </row>
    <row r="668" ht="15.75" customHeight="1">
      <c r="A668" s="3"/>
      <c r="B668" s="2"/>
      <c r="C668" s="667"/>
      <c r="D668" s="2"/>
      <c r="E668" s="464"/>
      <c r="F668" s="2"/>
      <c r="G668" s="2"/>
      <c r="H668" s="2"/>
      <c r="I668" s="2"/>
      <c r="J668" s="2"/>
      <c r="K668" s="2"/>
      <c r="L668" s="2"/>
      <c r="M668" s="2"/>
      <c r="N668" s="2"/>
      <c r="O668" s="2"/>
      <c r="P668" s="2"/>
      <c r="Q668" s="2"/>
      <c r="S668" s="3"/>
      <c r="T668" s="3"/>
      <c r="U668" s="3"/>
      <c r="V668" s="3"/>
      <c r="W668" s="3"/>
      <c r="X668" s="3"/>
      <c r="Y668" s="3"/>
      <c r="Z668" s="3"/>
    </row>
    <row r="669" ht="15.75" customHeight="1">
      <c r="A669" s="3"/>
      <c r="B669" s="2"/>
      <c r="C669" s="667"/>
      <c r="D669" s="2"/>
      <c r="E669" s="464"/>
      <c r="F669" s="2"/>
      <c r="G669" s="2"/>
      <c r="H669" s="2"/>
      <c r="I669" s="2"/>
      <c r="J669" s="2"/>
      <c r="K669" s="2"/>
      <c r="L669" s="2"/>
      <c r="M669" s="2"/>
      <c r="N669" s="2"/>
      <c r="O669" s="2"/>
      <c r="P669" s="2"/>
      <c r="Q669" s="2"/>
      <c r="S669" s="3"/>
      <c r="T669" s="3"/>
      <c r="U669" s="3"/>
      <c r="V669" s="3"/>
      <c r="W669" s="3"/>
      <c r="X669" s="3"/>
      <c r="Y669" s="3"/>
      <c r="Z669" s="3"/>
    </row>
    <row r="670" ht="15.75" customHeight="1">
      <c r="A670" s="3"/>
      <c r="B670" s="2"/>
      <c r="C670" s="667"/>
      <c r="D670" s="2"/>
      <c r="E670" s="464"/>
      <c r="F670" s="2"/>
      <c r="G670" s="2"/>
      <c r="H670" s="2"/>
      <c r="I670" s="2"/>
      <c r="J670" s="2"/>
      <c r="K670" s="2"/>
      <c r="L670" s="2"/>
      <c r="M670" s="2"/>
      <c r="N670" s="2"/>
      <c r="O670" s="2"/>
      <c r="P670" s="2"/>
      <c r="Q670" s="2"/>
      <c r="S670" s="3"/>
      <c r="T670" s="3"/>
      <c r="U670" s="3"/>
      <c r="V670" s="3"/>
      <c r="W670" s="3"/>
      <c r="X670" s="3"/>
      <c r="Y670" s="3"/>
      <c r="Z670" s="3"/>
    </row>
    <row r="671" ht="15.75" customHeight="1">
      <c r="A671" s="3"/>
      <c r="B671" s="2"/>
      <c r="C671" s="667"/>
      <c r="D671" s="2"/>
      <c r="E671" s="464"/>
      <c r="F671" s="2"/>
      <c r="G671" s="2"/>
      <c r="H671" s="2"/>
      <c r="I671" s="2"/>
      <c r="J671" s="2"/>
      <c r="K671" s="2"/>
      <c r="L671" s="2"/>
      <c r="M671" s="2"/>
      <c r="N671" s="2"/>
      <c r="O671" s="2"/>
      <c r="P671" s="2"/>
      <c r="Q671" s="2"/>
      <c r="S671" s="3"/>
      <c r="T671" s="3"/>
      <c r="U671" s="3"/>
      <c r="V671" s="3"/>
      <c r="W671" s="3"/>
      <c r="X671" s="3"/>
      <c r="Y671" s="3"/>
      <c r="Z671" s="3"/>
    </row>
    <row r="672" ht="15.75" customHeight="1">
      <c r="A672" s="3"/>
      <c r="B672" s="2"/>
      <c r="C672" s="667"/>
      <c r="D672" s="2"/>
      <c r="E672" s="464"/>
      <c r="F672" s="2"/>
      <c r="G672" s="2"/>
      <c r="H672" s="2"/>
      <c r="I672" s="2"/>
      <c r="J672" s="2"/>
      <c r="K672" s="2"/>
      <c r="L672" s="2"/>
      <c r="M672" s="2"/>
      <c r="N672" s="2"/>
      <c r="O672" s="2"/>
      <c r="P672" s="2"/>
      <c r="Q672" s="2"/>
      <c r="S672" s="3"/>
      <c r="T672" s="3"/>
      <c r="U672" s="3"/>
      <c r="V672" s="3"/>
      <c r="W672" s="3"/>
      <c r="X672" s="3"/>
      <c r="Y672" s="3"/>
      <c r="Z672" s="3"/>
    </row>
    <row r="673" ht="15.75" customHeight="1">
      <c r="A673" s="3"/>
      <c r="B673" s="2"/>
      <c r="C673" s="667"/>
      <c r="D673" s="2"/>
      <c r="E673" s="464"/>
      <c r="F673" s="2"/>
      <c r="G673" s="2"/>
      <c r="H673" s="2"/>
      <c r="I673" s="2"/>
      <c r="J673" s="2"/>
      <c r="K673" s="2"/>
      <c r="L673" s="2"/>
      <c r="M673" s="2"/>
      <c r="N673" s="2"/>
      <c r="O673" s="2"/>
      <c r="P673" s="2"/>
      <c r="Q673" s="2"/>
      <c r="S673" s="3"/>
      <c r="T673" s="3"/>
      <c r="U673" s="3"/>
      <c r="V673" s="3"/>
      <c r="W673" s="3"/>
      <c r="X673" s="3"/>
      <c r="Y673" s="3"/>
      <c r="Z673" s="3"/>
    </row>
    <row r="674" ht="15.75" customHeight="1">
      <c r="A674" s="3"/>
      <c r="B674" s="2"/>
      <c r="C674" s="667"/>
      <c r="D674" s="2"/>
      <c r="E674" s="464"/>
      <c r="F674" s="2"/>
      <c r="G674" s="2"/>
      <c r="H674" s="2"/>
      <c r="I674" s="2"/>
      <c r="J674" s="2"/>
      <c r="K674" s="2"/>
      <c r="L674" s="2"/>
      <c r="M674" s="2"/>
      <c r="N674" s="2"/>
      <c r="O674" s="2"/>
      <c r="P674" s="2"/>
      <c r="Q674" s="2"/>
      <c r="S674" s="3"/>
      <c r="T674" s="3"/>
      <c r="U674" s="3"/>
      <c r="V674" s="3"/>
      <c r="W674" s="3"/>
      <c r="X674" s="3"/>
      <c r="Y674" s="3"/>
      <c r="Z674" s="3"/>
    </row>
    <row r="675" ht="15.75" customHeight="1">
      <c r="A675" s="3"/>
      <c r="B675" s="2"/>
      <c r="C675" s="667"/>
      <c r="D675" s="2"/>
      <c r="E675" s="464"/>
      <c r="F675" s="2"/>
      <c r="G675" s="2"/>
      <c r="H675" s="2"/>
      <c r="I675" s="2"/>
      <c r="J675" s="2"/>
      <c r="K675" s="2"/>
      <c r="L675" s="2"/>
      <c r="M675" s="2"/>
      <c r="N675" s="2"/>
      <c r="O675" s="2"/>
      <c r="P675" s="2"/>
      <c r="Q675" s="2"/>
      <c r="S675" s="3"/>
      <c r="T675" s="3"/>
      <c r="U675" s="3"/>
      <c r="V675" s="3"/>
      <c r="W675" s="3"/>
      <c r="X675" s="3"/>
      <c r="Y675" s="3"/>
      <c r="Z675" s="3"/>
    </row>
    <row r="676" ht="15.75" customHeight="1">
      <c r="A676" s="3"/>
      <c r="B676" s="2"/>
      <c r="C676" s="667"/>
      <c r="D676" s="2"/>
      <c r="E676" s="464"/>
      <c r="F676" s="2"/>
      <c r="G676" s="2"/>
      <c r="H676" s="2"/>
      <c r="I676" s="2"/>
      <c r="J676" s="2"/>
      <c r="K676" s="2"/>
      <c r="L676" s="2"/>
      <c r="M676" s="2"/>
      <c r="N676" s="2"/>
      <c r="O676" s="2"/>
      <c r="P676" s="2"/>
      <c r="Q676" s="2"/>
      <c r="S676" s="3"/>
      <c r="T676" s="3"/>
      <c r="U676" s="3"/>
      <c r="V676" s="3"/>
      <c r="W676" s="3"/>
      <c r="X676" s="3"/>
      <c r="Y676" s="3"/>
      <c r="Z676" s="3"/>
    </row>
    <row r="677" ht="15.75" customHeight="1">
      <c r="A677" s="3"/>
      <c r="B677" s="2"/>
      <c r="C677" s="667"/>
      <c r="D677" s="2"/>
      <c r="E677" s="464"/>
      <c r="F677" s="2"/>
      <c r="G677" s="2"/>
      <c r="H677" s="2"/>
      <c r="I677" s="2"/>
      <c r="J677" s="2"/>
      <c r="K677" s="2"/>
      <c r="L677" s="2"/>
      <c r="M677" s="2"/>
      <c r="N677" s="2"/>
      <c r="O677" s="2"/>
      <c r="P677" s="2"/>
      <c r="Q677" s="2"/>
      <c r="S677" s="3"/>
      <c r="T677" s="3"/>
      <c r="U677" s="3"/>
      <c r="V677" s="3"/>
      <c r="W677" s="3"/>
      <c r="X677" s="3"/>
      <c r="Y677" s="3"/>
      <c r="Z677" s="3"/>
    </row>
    <row r="678" ht="15.75" customHeight="1">
      <c r="A678" s="3"/>
      <c r="B678" s="2"/>
      <c r="C678" s="667"/>
      <c r="D678" s="2"/>
      <c r="E678" s="464"/>
      <c r="F678" s="2"/>
      <c r="G678" s="2"/>
      <c r="H678" s="2"/>
      <c r="I678" s="2"/>
      <c r="J678" s="2"/>
      <c r="K678" s="2"/>
      <c r="L678" s="2"/>
      <c r="M678" s="2"/>
      <c r="N678" s="2"/>
      <c r="O678" s="2"/>
      <c r="P678" s="2"/>
      <c r="Q678" s="2"/>
      <c r="S678" s="3"/>
      <c r="T678" s="3"/>
      <c r="U678" s="3"/>
      <c r="V678" s="3"/>
      <c r="W678" s="3"/>
      <c r="X678" s="3"/>
      <c r="Y678" s="3"/>
      <c r="Z678" s="3"/>
    </row>
    <row r="679" ht="15.75" customHeight="1">
      <c r="A679" s="3"/>
      <c r="B679" s="2"/>
      <c r="C679" s="667"/>
      <c r="D679" s="2"/>
      <c r="E679" s="464"/>
      <c r="F679" s="2"/>
      <c r="G679" s="2"/>
      <c r="H679" s="2"/>
      <c r="I679" s="2"/>
      <c r="J679" s="2"/>
      <c r="K679" s="2"/>
      <c r="L679" s="2"/>
      <c r="M679" s="2"/>
      <c r="N679" s="2"/>
      <c r="O679" s="2"/>
      <c r="P679" s="2"/>
      <c r="Q679" s="2"/>
      <c r="S679" s="3"/>
      <c r="T679" s="3"/>
      <c r="U679" s="3"/>
      <c r="V679" s="3"/>
      <c r="W679" s="3"/>
      <c r="X679" s="3"/>
      <c r="Y679" s="3"/>
      <c r="Z679" s="3"/>
    </row>
    <row r="680" ht="15.75" customHeight="1">
      <c r="A680" s="3"/>
      <c r="B680" s="2"/>
      <c r="C680" s="667"/>
      <c r="D680" s="2"/>
      <c r="E680" s="464"/>
      <c r="F680" s="2"/>
      <c r="G680" s="2"/>
      <c r="H680" s="2"/>
      <c r="I680" s="2"/>
      <c r="J680" s="2"/>
      <c r="K680" s="2"/>
      <c r="L680" s="2"/>
      <c r="M680" s="2"/>
      <c r="N680" s="2"/>
      <c r="O680" s="2"/>
      <c r="P680" s="2"/>
      <c r="Q680" s="2"/>
      <c r="S680" s="3"/>
      <c r="T680" s="3"/>
      <c r="U680" s="3"/>
      <c r="V680" s="3"/>
      <c r="W680" s="3"/>
      <c r="X680" s="3"/>
      <c r="Y680" s="3"/>
      <c r="Z680" s="3"/>
    </row>
    <row r="681" ht="15.75" customHeight="1">
      <c r="A681" s="3"/>
      <c r="B681" s="2"/>
      <c r="C681" s="667"/>
      <c r="D681" s="2"/>
      <c r="E681" s="464"/>
      <c r="F681" s="2"/>
      <c r="G681" s="2"/>
      <c r="H681" s="2"/>
      <c r="I681" s="2"/>
      <c r="J681" s="2"/>
      <c r="K681" s="2"/>
      <c r="L681" s="2"/>
      <c r="M681" s="2"/>
      <c r="N681" s="2"/>
      <c r="O681" s="2"/>
      <c r="P681" s="2"/>
      <c r="Q681" s="2"/>
      <c r="S681" s="3"/>
      <c r="T681" s="3"/>
      <c r="U681" s="3"/>
      <c r="V681" s="3"/>
      <c r="W681" s="3"/>
      <c r="X681" s="3"/>
      <c r="Y681" s="3"/>
      <c r="Z681" s="3"/>
    </row>
    <row r="682" ht="15.75" customHeight="1">
      <c r="A682" s="3"/>
      <c r="B682" s="2"/>
      <c r="C682" s="667"/>
      <c r="D682" s="2"/>
      <c r="E682" s="464"/>
      <c r="F682" s="2"/>
      <c r="G682" s="2"/>
      <c r="H682" s="2"/>
      <c r="I682" s="2"/>
      <c r="J682" s="2"/>
      <c r="K682" s="2"/>
      <c r="L682" s="2"/>
      <c r="M682" s="2"/>
      <c r="N682" s="2"/>
      <c r="O682" s="2"/>
      <c r="P682" s="2"/>
      <c r="Q682" s="2"/>
      <c r="S682" s="3"/>
      <c r="T682" s="3"/>
      <c r="U682" s="3"/>
      <c r="V682" s="3"/>
      <c r="W682" s="3"/>
      <c r="X682" s="3"/>
      <c r="Y682" s="3"/>
      <c r="Z682" s="3"/>
    </row>
    <row r="683" ht="15.75" customHeight="1">
      <c r="A683" s="3"/>
      <c r="B683" s="2"/>
      <c r="C683" s="667"/>
      <c r="D683" s="2"/>
      <c r="E683" s="464"/>
      <c r="F683" s="2"/>
      <c r="G683" s="2"/>
      <c r="H683" s="2"/>
      <c r="I683" s="2"/>
      <c r="J683" s="2"/>
      <c r="K683" s="2"/>
      <c r="L683" s="2"/>
      <c r="M683" s="2"/>
      <c r="N683" s="2"/>
      <c r="O683" s="2"/>
      <c r="P683" s="2"/>
      <c r="Q683" s="2"/>
      <c r="S683" s="3"/>
      <c r="T683" s="3"/>
      <c r="U683" s="3"/>
      <c r="V683" s="3"/>
      <c r="W683" s="3"/>
      <c r="X683" s="3"/>
      <c r="Y683" s="3"/>
      <c r="Z683" s="3"/>
    </row>
    <row r="684" ht="15.75" customHeight="1">
      <c r="A684" s="3"/>
      <c r="B684" s="2"/>
      <c r="C684" s="667"/>
      <c r="D684" s="2"/>
      <c r="E684" s="464"/>
      <c r="F684" s="2"/>
      <c r="G684" s="2"/>
      <c r="H684" s="2"/>
      <c r="I684" s="2"/>
      <c r="J684" s="2"/>
      <c r="K684" s="2"/>
      <c r="L684" s="2"/>
      <c r="M684" s="2"/>
      <c r="N684" s="2"/>
      <c r="O684" s="2"/>
      <c r="P684" s="2"/>
      <c r="Q684" s="2"/>
      <c r="S684" s="3"/>
      <c r="T684" s="3"/>
      <c r="U684" s="3"/>
      <c r="V684" s="3"/>
      <c r="W684" s="3"/>
      <c r="X684" s="3"/>
      <c r="Y684" s="3"/>
      <c r="Z684" s="3"/>
    </row>
    <row r="685" ht="15.75" customHeight="1">
      <c r="A685" s="3"/>
      <c r="B685" s="2"/>
      <c r="C685" s="667"/>
      <c r="D685" s="2"/>
      <c r="E685" s="464"/>
      <c r="F685" s="2"/>
      <c r="G685" s="2"/>
      <c r="H685" s="2"/>
      <c r="I685" s="2"/>
      <c r="J685" s="2"/>
      <c r="K685" s="2"/>
      <c r="L685" s="2"/>
      <c r="M685" s="2"/>
      <c r="N685" s="2"/>
      <c r="O685" s="2"/>
      <c r="P685" s="2"/>
      <c r="Q685" s="2"/>
      <c r="S685" s="3"/>
      <c r="T685" s="3"/>
      <c r="U685" s="3"/>
      <c r="V685" s="3"/>
      <c r="W685" s="3"/>
      <c r="X685" s="3"/>
      <c r="Y685" s="3"/>
      <c r="Z685" s="3"/>
    </row>
    <row r="686" ht="15.75" customHeight="1">
      <c r="A686" s="3"/>
      <c r="B686" s="2"/>
      <c r="C686" s="667"/>
      <c r="D686" s="2"/>
      <c r="E686" s="464"/>
      <c r="F686" s="2"/>
      <c r="G686" s="2"/>
      <c r="H686" s="2"/>
      <c r="I686" s="2"/>
      <c r="J686" s="2"/>
      <c r="K686" s="2"/>
      <c r="L686" s="2"/>
      <c r="M686" s="2"/>
      <c r="N686" s="2"/>
      <c r="O686" s="2"/>
      <c r="P686" s="2"/>
      <c r="Q686" s="2"/>
      <c r="S686" s="3"/>
      <c r="T686" s="3"/>
      <c r="U686" s="3"/>
      <c r="V686" s="3"/>
      <c r="W686" s="3"/>
      <c r="X686" s="3"/>
      <c r="Y686" s="3"/>
      <c r="Z686" s="3"/>
    </row>
    <row r="687" ht="15.75" customHeight="1">
      <c r="A687" s="3"/>
      <c r="B687" s="2"/>
      <c r="C687" s="667"/>
      <c r="D687" s="2"/>
      <c r="E687" s="464"/>
      <c r="F687" s="2"/>
      <c r="G687" s="2"/>
      <c r="H687" s="2"/>
      <c r="I687" s="2"/>
      <c r="J687" s="2"/>
      <c r="K687" s="2"/>
      <c r="L687" s="2"/>
      <c r="M687" s="2"/>
      <c r="N687" s="2"/>
      <c r="O687" s="2"/>
      <c r="P687" s="2"/>
      <c r="Q687" s="2"/>
      <c r="S687" s="3"/>
      <c r="T687" s="3"/>
      <c r="U687" s="3"/>
      <c r="V687" s="3"/>
      <c r="W687" s="3"/>
      <c r="X687" s="3"/>
      <c r="Y687" s="3"/>
      <c r="Z687" s="3"/>
    </row>
    <row r="688" ht="15.75" customHeight="1">
      <c r="A688" s="3"/>
      <c r="B688" s="2"/>
      <c r="C688" s="667"/>
      <c r="D688" s="2"/>
      <c r="E688" s="464"/>
      <c r="F688" s="2"/>
      <c r="G688" s="2"/>
      <c r="H688" s="2"/>
      <c r="I688" s="2"/>
      <c r="J688" s="2"/>
      <c r="K688" s="2"/>
      <c r="L688" s="2"/>
      <c r="M688" s="2"/>
      <c r="N688" s="2"/>
      <c r="O688" s="2"/>
      <c r="P688" s="2"/>
      <c r="Q688" s="2"/>
      <c r="S688" s="3"/>
      <c r="T688" s="3"/>
      <c r="U688" s="3"/>
      <c r="V688" s="3"/>
      <c r="W688" s="3"/>
      <c r="X688" s="3"/>
      <c r="Y688" s="3"/>
      <c r="Z688" s="3"/>
    </row>
    <row r="689" ht="15.75" customHeight="1">
      <c r="A689" s="3"/>
      <c r="B689" s="2"/>
      <c r="C689" s="667"/>
      <c r="D689" s="2"/>
      <c r="E689" s="464"/>
      <c r="F689" s="2"/>
      <c r="G689" s="2"/>
      <c r="H689" s="2"/>
      <c r="I689" s="2"/>
      <c r="J689" s="2"/>
      <c r="K689" s="2"/>
      <c r="L689" s="2"/>
      <c r="M689" s="2"/>
      <c r="N689" s="2"/>
      <c r="O689" s="2"/>
      <c r="P689" s="2"/>
      <c r="Q689" s="2"/>
      <c r="S689" s="3"/>
      <c r="T689" s="3"/>
      <c r="U689" s="3"/>
      <c r="V689" s="3"/>
      <c r="W689" s="3"/>
      <c r="X689" s="3"/>
      <c r="Y689" s="3"/>
      <c r="Z689" s="3"/>
    </row>
    <row r="690" ht="15.75" customHeight="1">
      <c r="A690" s="3"/>
      <c r="B690" s="2"/>
      <c r="C690" s="667"/>
      <c r="D690" s="2"/>
      <c r="E690" s="464"/>
      <c r="F690" s="2"/>
      <c r="G690" s="2"/>
      <c r="H690" s="2"/>
      <c r="I690" s="2"/>
      <c r="J690" s="2"/>
      <c r="K690" s="2"/>
      <c r="L690" s="2"/>
      <c r="M690" s="2"/>
      <c r="N690" s="2"/>
      <c r="O690" s="2"/>
      <c r="P690" s="2"/>
      <c r="Q690" s="2"/>
      <c r="S690" s="3"/>
      <c r="T690" s="3"/>
      <c r="U690" s="3"/>
      <c r="V690" s="3"/>
      <c r="W690" s="3"/>
      <c r="X690" s="3"/>
      <c r="Y690" s="3"/>
      <c r="Z690" s="3"/>
    </row>
    <row r="691" ht="15.75" customHeight="1">
      <c r="A691" s="3"/>
      <c r="B691" s="2"/>
      <c r="C691" s="667"/>
      <c r="D691" s="2"/>
      <c r="E691" s="464"/>
      <c r="F691" s="2"/>
      <c r="G691" s="2"/>
      <c r="H691" s="2"/>
      <c r="I691" s="2"/>
      <c r="J691" s="2"/>
      <c r="K691" s="2"/>
      <c r="L691" s="2"/>
      <c r="M691" s="2"/>
      <c r="N691" s="2"/>
      <c r="O691" s="2"/>
      <c r="P691" s="2"/>
      <c r="Q691" s="2"/>
      <c r="S691" s="3"/>
      <c r="T691" s="3"/>
      <c r="U691" s="3"/>
      <c r="V691" s="3"/>
      <c r="W691" s="3"/>
      <c r="X691" s="3"/>
      <c r="Y691" s="3"/>
      <c r="Z691" s="3"/>
    </row>
    <row r="692" ht="15.75" customHeight="1">
      <c r="A692" s="3"/>
      <c r="B692" s="2"/>
      <c r="C692" s="667"/>
      <c r="D692" s="2"/>
      <c r="E692" s="464"/>
      <c r="F692" s="2"/>
      <c r="G692" s="2"/>
      <c r="H692" s="2"/>
      <c r="I692" s="2"/>
      <c r="J692" s="2"/>
      <c r="K692" s="2"/>
      <c r="L692" s="2"/>
      <c r="M692" s="2"/>
      <c r="N692" s="2"/>
      <c r="O692" s="2"/>
      <c r="P692" s="2"/>
      <c r="Q692" s="2"/>
      <c r="S692" s="3"/>
      <c r="T692" s="3"/>
      <c r="U692" s="3"/>
      <c r="V692" s="3"/>
      <c r="W692" s="3"/>
      <c r="X692" s="3"/>
      <c r="Y692" s="3"/>
      <c r="Z692" s="3"/>
    </row>
    <row r="693" ht="15.75" customHeight="1">
      <c r="A693" s="3"/>
      <c r="B693" s="2"/>
      <c r="C693" s="667"/>
      <c r="D693" s="2"/>
      <c r="E693" s="464"/>
      <c r="F693" s="2"/>
      <c r="G693" s="2"/>
      <c r="H693" s="2"/>
      <c r="I693" s="2"/>
      <c r="J693" s="2"/>
      <c r="K693" s="2"/>
      <c r="L693" s="2"/>
      <c r="M693" s="2"/>
      <c r="N693" s="2"/>
      <c r="O693" s="2"/>
      <c r="P693" s="2"/>
      <c r="Q693" s="2"/>
      <c r="S693" s="3"/>
      <c r="T693" s="3"/>
      <c r="U693" s="3"/>
      <c r="V693" s="3"/>
      <c r="W693" s="3"/>
      <c r="X693" s="3"/>
      <c r="Y693" s="3"/>
      <c r="Z693" s="3"/>
    </row>
    <row r="694" ht="15.75" customHeight="1">
      <c r="A694" s="3"/>
      <c r="B694" s="2"/>
      <c r="C694" s="667"/>
      <c r="D694" s="2"/>
      <c r="E694" s="464"/>
      <c r="F694" s="2"/>
      <c r="G694" s="2"/>
      <c r="H694" s="2"/>
      <c r="I694" s="2"/>
      <c r="J694" s="2"/>
      <c r="K694" s="2"/>
      <c r="L694" s="2"/>
      <c r="M694" s="2"/>
      <c r="N694" s="2"/>
      <c r="O694" s="2"/>
      <c r="P694" s="2"/>
      <c r="Q694" s="2"/>
      <c r="S694" s="3"/>
      <c r="T694" s="3"/>
      <c r="U694" s="3"/>
      <c r="V694" s="3"/>
      <c r="W694" s="3"/>
      <c r="X694" s="3"/>
      <c r="Y694" s="3"/>
      <c r="Z694" s="3"/>
    </row>
    <row r="695" ht="15.75" customHeight="1">
      <c r="A695" s="3"/>
      <c r="B695" s="2"/>
      <c r="C695" s="667"/>
      <c r="D695" s="2"/>
      <c r="E695" s="464"/>
      <c r="F695" s="2"/>
      <c r="G695" s="2"/>
      <c r="H695" s="2"/>
      <c r="I695" s="2"/>
      <c r="J695" s="2"/>
      <c r="K695" s="2"/>
      <c r="L695" s="2"/>
      <c r="M695" s="2"/>
      <c r="N695" s="2"/>
      <c r="O695" s="2"/>
      <c r="P695" s="2"/>
      <c r="Q695" s="2"/>
      <c r="S695" s="3"/>
      <c r="T695" s="3"/>
      <c r="U695" s="3"/>
      <c r="V695" s="3"/>
      <c r="W695" s="3"/>
      <c r="X695" s="3"/>
      <c r="Y695" s="3"/>
      <c r="Z695" s="3"/>
    </row>
    <row r="696" ht="15.75" customHeight="1">
      <c r="A696" s="3"/>
      <c r="B696" s="2"/>
      <c r="C696" s="667"/>
      <c r="D696" s="2"/>
      <c r="E696" s="464"/>
      <c r="F696" s="2"/>
      <c r="G696" s="2"/>
      <c r="H696" s="2"/>
      <c r="I696" s="2"/>
      <c r="J696" s="2"/>
      <c r="K696" s="2"/>
      <c r="L696" s="2"/>
      <c r="M696" s="2"/>
      <c r="N696" s="2"/>
      <c r="O696" s="2"/>
      <c r="P696" s="2"/>
      <c r="Q696" s="2"/>
      <c r="S696" s="3"/>
      <c r="T696" s="3"/>
      <c r="U696" s="3"/>
      <c r="V696" s="3"/>
      <c r="W696" s="3"/>
      <c r="X696" s="3"/>
      <c r="Y696" s="3"/>
      <c r="Z696" s="3"/>
    </row>
    <row r="697" ht="15.75" customHeight="1">
      <c r="A697" s="3"/>
      <c r="B697" s="2"/>
      <c r="C697" s="667"/>
      <c r="D697" s="2"/>
      <c r="E697" s="464"/>
      <c r="F697" s="2"/>
      <c r="G697" s="2"/>
      <c r="H697" s="2"/>
      <c r="I697" s="2"/>
      <c r="J697" s="2"/>
      <c r="K697" s="2"/>
      <c r="L697" s="2"/>
      <c r="M697" s="2"/>
      <c r="N697" s="2"/>
      <c r="O697" s="2"/>
      <c r="P697" s="2"/>
      <c r="Q697" s="2"/>
      <c r="S697" s="3"/>
      <c r="T697" s="3"/>
      <c r="U697" s="3"/>
      <c r="V697" s="3"/>
      <c r="W697" s="3"/>
      <c r="X697" s="3"/>
      <c r="Y697" s="3"/>
      <c r="Z697" s="3"/>
    </row>
    <row r="698" ht="15.75" customHeight="1">
      <c r="A698" s="3"/>
      <c r="B698" s="2"/>
      <c r="C698" s="667"/>
      <c r="D698" s="2"/>
      <c r="E698" s="464"/>
      <c r="F698" s="2"/>
      <c r="G698" s="2"/>
      <c r="H698" s="2"/>
      <c r="I698" s="2"/>
      <c r="J698" s="2"/>
      <c r="K698" s="2"/>
      <c r="L698" s="2"/>
      <c r="M698" s="2"/>
      <c r="N698" s="2"/>
      <c r="O698" s="2"/>
      <c r="P698" s="2"/>
      <c r="Q698" s="2"/>
      <c r="S698" s="3"/>
      <c r="T698" s="3"/>
      <c r="U698" s="3"/>
      <c r="V698" s="3"/>
      <c r="W698" s="3"/>
      <c r="X698" s="3"/>
      <c r="Y698" s="3"/>
      <c r="Z698" s="3"/>
    </row>
    <row r="699" ht="15.75" customHeight="1">
      <c r="A699" s="3"/>
      <c r="B699" s="2"/>
      <c r="C699" s="667"/>
      <c r="D699" s="2"/>
      <c r="E699" s="464"/>
      <c r="F699" s="2"/>
      <c r="G699" s="2"/>
      <c r="H699" s="2"/>
      <c r="I699" s="2"/>
      <c r="J699" s="2"/>
      <c r="K699" s="2"/>
      <c r="L699" s="2"/>
      <c r="M699" s="2"/>
      <c r="N699" s="2"/>
      <c r="O699" s="2"/>
      <c r="P699" s="2"/>
      <c r="Q699" s="2"/>
      <c r="S699" s="3"/>
      <c r="T699" s="3"/>
      <c r="U699" s="3"/>
      <c r="V699" s="3"/>
      <c r="W699" s="3"/>
      <c r="X699" s="3"/>
      <c r="Y699" s="3"/>
      <c r="Z699" s="3"/>
    </row>
    <row r="700" ht="15.75" customHeight="1">
      <c r="A700" s="3"/>
      <c r="B700" s="2"/>
      <c r="C700" s="667"/>
      <c r="D700" s="2"/>
      <c r="E700" s="464"/>
      <c r="F700" s="2"/>
      <c r="G700" s="2"/>
      <c r="H700" s="2"/>
      <c r="I700" s="2"/>
      <c r="J700" s="2"/>
      <c r="K700" s="2"/>
      <c r="L700" s="2"/>
      <c r="M700" s="2"/>
      <c r="N700" s="2"/>
      <c r="O700" s="2"/>
      <c r="P700" s="2"/>
      <c r="Q700" s="2"/>
      <c r="S700" s="3"/>
      <c r="T700" s="3"/>
      <c r="U700" s="3"/>
      <c r="V700" s="3"/>
      <c r="W700" s="3"/>
      <c r="X700" s="3"/>
      <c r="Y700" s="3"/>
      <c r="Z700" s="3"/>
    </row>
    <row r="701" ht="15.75" customHeight="1">
      <c r="A701" s="3"/>
      <c r="B701" s="2"/>
      <c r="C701" s="667"/>
      <c r="D701" s="2"/>
      <c r="E701" s="464"/>
      <c r="F701" s="2"/>
      <c r="G701" s="2"/>
      <c r="H701" s="2"/>
      <c r="I701" s="2"/>
      <c r="J701" s="2"/>
      <c r="K701" s="2"/>
      <c r="L701" s="2"/>
      <c r="M701" s="2"/>
      <c r="N701" s="2"/>
      <c r="O701" s="2"/>
      <c r="P701" s="2"/>
      <c r="Q701" s="2"/>
      <c r="S701" s="3"/>
      <c r="T701" s="3"/>
      <c r="U701" s="3"/>
      <c r="V701" s="3"/>
      <c r="W701" s="3"/>
      <c r="X701" s="3"/>
      <c r="Y701" s="3"/>
      <c r="Z701" s="3"/>
    </row>
    <row r="702" ht="15.75" customHeight="1">
      <c r="A702" s="3"/>
      <c r="B702" s="2"/>
      <c r="C702" s="667"/>
      <c r="D702" s="2"/>
      <c r="E702" s="464"/>
      <c r="F702" s="2"/>
      <c r="G702" s="2"/>
      <c r="H702" s="2"/>
      <c r="I702" s="2"/>
      <c r="J702" s="2"/>
      <c r="K702" s="2"/>
      <c r="L702" s="2"/>
      <c r="M702" s="2"/>
      <c r="N702" s="2"/>
      <c r="O702" s="2"/>
      <c r="P702" s="2"/>
      <c r="Q702" s="2"/>
      <c r="S702" s="3"/>
      <c r="T702" s="3"/>
      <c r="U702" s="3"/>
      <c r="V702" s="3"/>
      <c r="W702" s="3"/>
      <c r="X702" s="3"/>
      <c r="Y702" s="3"/>
      <c r="Z702" s="3"/>
    </row>
    <row r="703" ht="15.75" customHeight="1">
      <c r="A703" s="3"/>
      <c r="B703" s="2"/>
      <c r="C703" s="667"/>
      <c r="D703" s="2"/>
      <c r="E703" s="464"/>
      <c r="F703" s="2"/>
      <c r="G703" s="2"/>
      <c r="H703" s="2"/>
      <c r="I703" s="2"/>
      <c r="J703" s="2"/>
      <c r="K703" s="2"/>
      <c r="L703" s="2"/>
      <c r="M703" s="2"/>
      <c r="N703" s="2"/>
      <c r="O703" s="2"/>
      <c r="P703" s="2"/>
      <c r="Q703" s="2"/>
      <c r="S703" s="3"/>
      <c r="T703" s="3"/>
      <c r="U703" s="3"/>
      <c r="V703" s="3"/>
      <c r="W703" s="3"/>
      <c r="X703" s="3"/>
      <c r="Y703" s="3"/>
      <c r="Z703" s="3"/>
    </row>
    <row r="704" ht="15.75" customHeight="1">
      <c r="A704" s="3"/>
      <c r="B704" s="2"/>
      <c r="C704" s="667"/>
      <c r="D704" s="2"/>
      <c r="E704" s="464"/>
      <c r="F704" s="2"/>
      <c r="G704" s="2"/>
      <c r="H704" s="2"/>
      <c r="I704" s="2"/>
      <c r="J704" s="2"/>
      <c r="K704" s="2"/>
      <c r="L704" s="2"/>
      <c r="M704" s="2"/>
      <c r="N704" s="2"/>
      <c r="O704" s="2"/>
      <c r="P704" s="2"/>
      <c r="Q704" s="2"/>
      <c r="S704" s="3"/>
      <c r="T704" s="3"/>
      <c r="U704" s="3"/>
      <c r="V704" s="3"/>
      <c r="W704" s="3"/>
      <c r="X704" s="3"/>
      <c r="Y704" s="3"/>
      <c r="Z704" s="3"/>
    </row>
    <row r="705" ht="15.75" customHeight="1">
      <c r="A705" s="3"/>
      <c r="B705" s="2"/>
      <c r="C705" s="667"/>
      <c r="D705" s="2"/>
      <c r="E705" s="464"/>
      <c r="F705" s="2"/>
      <c r="G705" s="2"/>
      <c r="H705" s="2"/>
      <c r="I705" s="2"/>
      <c r="J705" s="2"/>
      <c r="K705" s="2"/>
      <c r="L705" s="2"/>
      <c r="M705" s="2"/>
      <c r="N705" s="2"/>
      <c r="O705" s="2"/>
      <c r="P705" s="2"/>
      <c r="Q705" s="2"/>
      <c r="S705" s="3"/>
      <c r="T705" s="3"/>
      <c r="U705" s="3"/>
      <c r="V705" s="3"/>
      <c r="W705" s="3"/>
      <c r="X705" s="3"/>
      <c r="Y705" s="3"/>
      <c r="Z705" s="3"/>
    </row>
    <row r="706" ht="15.75" customHeight="1">
      <c r="A706" s="3"/>
      <c r="B706" s="2"/>
      <c r="C706" s="667"/>
      <c r="D706" s="2"/>
      <c r="E706" s="464"/>
      <c r="F706" s="2"/>
      <c r="G706" s="2"/>
      <c r="H706" s="2"/>
      <c r="I706" s="2"/>
      <c r="J706" s="2"/>
      <c r="K706" s="2"/>
      <c r="L706" s="2"/>
      <c r="M706" s="2"/>
      <c r="N706" s="2"/>
      <c r="O706" s="2"/>
      <c r="P706" s="2"/>
      <c r="Q706" s="2"/>
      <c r="S706" s="3"/>
      <c r="T706" s="3"/>
      <c r="U706" s="3"/>
      <c r="V706" s="3"/>
      <c r="W706" s="3"/>
      <c r="X706" s="3"/>
      <c r="Y706" s="3"/>
      <c r="Z706" s="3"/>
    </row>
    <row r="707" ht="15.75" customHeight="1">
      <c r="A707" s="3"/>
      <c r="B707" s="2"/>
      <c r="C707" s="667"/>
      <c r="D707" s="2"/>
      <c r="E707" s="464"/>
      <c r="F707" s="2"/>
      <c r="G707" s="2"/>
      <c r="H707" s="2"/>
      <c r="I707" s="2"/>
      <c r="J707" s="2"/>
      <c r="K707" s="2"/>
      <c r="L707" s="2"/>
      <c r="M707" s="2"/>
      <c r="N707" s="2"/>
      <c r="O707" s="2"/>
      <c r="P707" s="2"/>
      <c r="Q707" s="2"/>
      <c r="S707" s="3"/>
      <c r="T707" s="3"/>
      <c r="U707" s="3"/>
      <c r="V707" s="3"/>
      <c r="W707" s="3"/>
      <c r="X707" s="3"/>
      <c r="Y707" s="3"/>
      <c r="Z707" s="3"/>
    </row>
    <row r="708" ht="15.75" customHeight="1">
      <c r="A708" s="3"/>
      <c r="B708" s="2"/>
      <c r="C708" s="667"/>
      <c r="D708" s="2"/>
      <c r="E708" s="464"/>
      <c r="F708" s="2"/>
      <c r="G708" s="2"/>
      <c r="H708" s="2"/>
      <c r="I708" s="2"/>
      <c r="J708" s="2"/>
      <c r="K708" s="2"/>
      <c r="L708" s="2"/>
      <c r="M708" s="2"/>
      <c r="N708" s="2"/>
      <c r="O708" s="2"/>
      <c r="P708" s="2"/>
      <c r="Q708" s="2"/>
      <c r="S708" s="3"/>
      <c r="T708" s="3"/>
      <c r="U708" s="3"/>
      <c r="V708" s="3"/>
      <c r="W708" s="3"/>
      <c r="X708" s="3"/>
      <c r="Y708" s="3"/>
      <c r="Z708" s="3"/>
    </row>
    <row r="709" ht="15.75" customHeight="1">
      <c r="A709" s="3"/>
      <c r="B709" s="2"/>
      <c r="C709" s="667"/>
      <c r="D709" s="2"/>
      <c r="E709" s="464"/>
      <c r="F709" s="2"/>
      <c r="G709" s="2"/>
      <c r="H709" s="2"/>
      <c r="I709" s="2"/>
      <c r="J709" s="2"/>
      <c r="K709" s="2"/>
      <c r="L709" s="2"/>
      <c r="M709" s="2"/>
      <c r="N709" s="2"/>
      <c r="O709" s="2"/>
      <c r="P709" s="2"/>
      <c r="Q709" s="2"/>
      <c r="S709" s="3"/>
      <c r="T709" s="3"/>
      <c r="U709" s="3"/>
      <c r="V709" s="3"/>
      <c r="W709" s="3"/>
      <c r="X709" s="3"/>
      <c r="Y709" s="3"/>
      <c r="Z709" s="3"/>
    </row>
    <row r="710" ht="15.75" customHeight="1">
      <c r="A710" s="3"/>
      <c r="B710" s="2"/>
      <c r="C710" s="667"/>
      <c r="D710" s="2"/>
      <c r="E710" s="464"/>
      <c r="F710" s="2"/>
      <c r="G710" s="2"/>
      <c r="H710" s="2"/>
      <c r="I710" s="2"/>
      <c r="J710" s="2"/>
      <c r="K710" s="2"/>
      <c r="L710" s="2"/>
      <c r="M710" s="2"/>
      <c r="N710" s="2"/>
      <c r="O710" s="2"/>
      <c r="P710" s="2"/>
      <c r="Q710" s="2"/>
      <c r="S710" s="3"/>
      <c r="T710" s="3"/>
      <c r="U710" s="3"/>
      <c r="V710" s="3"/>
      <c r="W710" s="3"/>
      <c r="X710" s="3"/>
      <c r="Y710" s="3"/>
      <c r="Z710" s="3"/>
    </row>
    <row r="711" ht="15.75" customHeight="1">
      <c r="A711" s="3"/>
      <c r="B711" s="2"/>
      <c r="C711" s="667"/>
      <c r="D711" s="2"/>
      <c r="E711" s="464"/>
      <c r="F711" s="2"/>
      <c r="G711" s="2"/>
      <c r="H711" s="2"/>
      <c r="I711" s="2"/>
      <c r="J711" s="2"/>
      <c r="K711" s="2"/>
      <c r="L711" s="2"/>
      <c r="M711" s="2"/>
      <c r="N711" s="2"/>
      <c r="O711" s="2"/>
      <c r="P711" s="2"/>
      <c r="Q711" s="2"/>
      <c r="S711" s="3"/>
      <c r="T711" s="3"/>
      <c r="U711" s="3"/>
      <c r="V711" s="3"/>
      <c r="W711" s="3"/>
      <c r="X711" s="3"/>
      <c r="Y711" s="3"/>
      <c r="Z711" s="3"/>
    </row>
    <row r="712" ht="15.75" customHeight="1">
      <c r="A712" s="3"/>
      <c r="B712" s="2"/>
      <c r="C712" s="667"/>
      <c r="D712" s="2"/>
      <c r="E712" s="464"/>
      <c r="F712" s="2"/>
      <c r="G712" s="2"/>
      <c r="H712" s="2"/>
      <c r="I712" s="2"/>
      <c r="J712" s="2"/>
      <c r="K712" s="2"/>
      <c r="L712" s="2"/>
      <c r="M712" s="2"/>
      <c r="N712" s="2"/>
      <c r="O712" s="2"/>
      <c r="P712" s="2"/>
      <c r="Q712" s="2"/>
      <c r="S712" s="3"/>
      <c r="T712" s="3"/>
      <c r="U712" s="3"/>
      <c r="V712" s="3"/>
      <c r="W712" s="3"/>
      <c r="X712" s="3"/>
      <c r="Y712" s="3"/>
      <c r="Z712" s="3"/>
    </row>
    <row r="713" ht="15.75" customHeight="1">
      <c r="A713" s="3"/>
      <c r="B713" s="2"/>
      <c r="C713" s="667"/>
      <c r="D713" s="2"/>
      <c r="E713" s="464"/>
      <c r="F713" s="2"/>
      <c r="G713" s="2"/>
      <c r="H713" s="2"/>
      <c r="I713" s="2"/>
      <c r="J713" s="2"/>
      <c r="K713" s="2"/>
      <c r="L713" s="2"/>
      <c r="M713" s="2"/>
      <c r="N713" s="2"/>
      <c r="O713" s="2"/>
      <c r="P713" s="2"/>
      <c r="Q713" s="2"/>
      <c r="S713" s="3"/>
      <c r="T713" s="3"/>
      <c r="U713" s="3"/>
      <c r="V713" s="3"/>
      <c r="W713" s="3"/>
      <c r="X713" s="3"/>
      <c r="Y713" s="3"/>
      <c r="Z713" s="3"/>
    </row>
    <row r="714" ht="15.75" customHeight="1">
      <c r="A714" s="3"/>
      <c r="B714" s="2"/>
      <c r="C714" s="667"/>
      <c r="D714" s="2"/>
      <c r="E714" s="464"/>
      <c r="F714" s="2"/>
      <c r="G714" s="2"/>
      <c r="H714" s="2"/>
      <c r="I714" s="2"/>
      <c r="J714" s="2"/>
      <c r="K714" s="2"/>
      <c r="L714" s="2"/>
      <c r="M714" s="2"/>
      <c r="N714" s="2"/>
      <c r="O714" s="2"/>
      <c r="P714" s="2"/>
      <c r="Q714" s="2"/>
      <c r="S714" s="3"/>
      <c r="T714" s="3"/>
      <c r="U714" s="3"/>
      <c r="V714" s="3"/>
      <c r="W714" s="3"/>
      <c r="X714" s="3"/>
      <c r="Y714" s="3"/>
      <c r="Z714" s="3"/>
    </row>
    <row r="715" ht="15.75" customHeight="1">
      <c r="A715" s="3"/>
      <c r="B715" s="2"/>
      <c r="C715" s="667"/>
      <c r="D715" s="2"/>
      <c r="E715" s="464"/>
      <c r="F715" s="2"/>
      <c r="G715" s="2"/>
      <c r="H715" s="2"/>
      <c r="I715" s="2"/>
      <c r="J715" s="2"/>
      <c r="K715" s="2"/>
      <c r="L715" s="2"/>
      <c r="M715" s="2"/>
      <c r="N715" s="2"/>
      <c r="O715" s="2"/>
      <c r="P715" s="2"/>
      <c r="Q715" s="2"/>
      <c r="S715" s="3"/>
      <c r="T715" s="3"/>
      <c r="U715" s="3"/>
      <c r="V715" s="3"/>
      <c r="W715" s="3"/>
      <c r="X715" s="3"/>
      <c r="Y715" s="3"/>
      <c r="Z715" s="3"/>
    </row>
    <row r="716" ht="15.75" customHeight="1">
      <c r="A716" s="3"/>
      <c r="B716" s="2"/>
      <c r="C716" s="667"/>
      <c r="D716" s="2"/>
      <c r="E716" s="464"/>
      <c r="F716" s="2"/>
      <c r="G716" s="2"/>
      <c r="H716" s="2"/>
      <c r="I716" s="2"/>
      <c r="J716" s="2"/>
      <c r="K716" s="2"/>
      <c r="L716" s="2"/>
      <c r="M716" s="2"/>
      <c r="N716" s="2"/>
      <c r="O716" s="2"/>
      <c r="P716" s="2"/>
      <c r="Q716" s="2"/>
      <c r="S716" s="3"/>
      <c r="T716" s="3"/>
      <c r="U716" s="3"/>
      <c r="V716" s="3"/>
      <c r="W716" s="3"/>
      <c r="X716" s="3"/>
      <c r="Y716" s="3"/>
      <c r="Z716" s="3"/>
    </row>
    <row r="717" ht="15.75" customHeight="1">
      <c r="A717" s="3"/>
      <c r="B717" s="2"/>
      <c r="C717" s="667"/>
      <c r="D717" s="2"/>
      <c r="E717" s="464"/>
      <c r="F717" s="2"/>
      <c r="G717" s="2"/>
      <c r="H717" s="2"/>
      <c r="I717" s="2"/>
      <c r="J717" s="2"/>
      <c r="K717" s="2"/>
      <c r="L717" s="2"/>
      <c r="M717" s="2"/>
      <c r="N717" s="2"/>
      <c r="O717" s="2"/>
      <c r="P717" s="2"/>
      <c r="Q717" s="2"/>
      <c r="S717" s="3"/>
      <c r="T717" s="3"/>
      <c r="U717" s="3"/>
      <c r="V717" s="3"/>
      <c r="W717" s="3"/>
      <c r="X717" s="3"/>
      <c r="Y717" s="3"/>
      <c r="Z717" s="3"/>
    </row>
    <row r="718" ht="15.75" customHeight="1">
      <c r="A718" s="3"/>
      <c r="B718" s="2"/>
      <c r="C718" s="667"/>
      <c r="D718" s="2"/>
      <c r="E718" s="464"/>
      <c r="F718" s="2"/>
      <c r="G718" s="2"/>
      <c r="H718" s="2"/>
      <c r="I718" s="2"/>
      <c r="J718" s="2"/>
      <c r="K718" s="2"/>
      <c r="L718" s="2"/>
      <c r="M718" s="2"/>
      <c r="N718" s="2"/>
      <c r="O718" s="2"/>
      <c r="P718" s="2"/>
      <c r="Q718" s="2"/>
      <c r="S718" s="3"/>
      <c r="T718" s="3"/>
      <c r="U718" s="3"/>
      <c r="V718" s="3"/>
      <c r="W718" s="3"/>
      <c r="X718" s="3"/>
      <c r="Y718" s="3"/>
      <c r="Z718" s="3"/>
    </row>
    <row r="719" ht="15.75" customHeight="1">
      <c r="A719" s="3"/>
      <c r="B719" s="2"/>
      <c r="C719" s="667"/>
      <c r="D719" s="2"/>
      <c r="E719" s="464"/>
      <c r="F719" s="2"/>
      <c r="G719" s="2"/>
      <c r="H719" s="2"/>
      <c r="I719" s="2"/>
      <c r="J719" s="2"/>
      <c r="K719" s="2"/>
      <c r="L719" s="2"/>
      <c r="M719" s="2"/>
      <c r="N719" s="2"/>
      <c r="O719" s="2"/>
      <c r="P719" s="2"/>
      <c r="Q719" s="2"/>
      <c r="S719" s="3"/>
      <c r="T719" s="3"/>
      <c r="U719" s="3"/>
      <c r="V719" s="3"/>
      <c r="W719" s="3"/>
      <c r="X719" s="3"/>
      <c r="Y719" s="3"/>
      <c r="Z719" s="3"/>
    </row>
    <row r="720" ht="15.75" customHeight="1">
      <c r="A720" s="3"/>
      <c r="B720" s="2"/>
      <c r="C720" s="667"/>
      <c r="D720" s="2"/>
      <c r="E720" s="464"/>
      <c r="F720" s="2"/>
      <c r="G720" s="2"/>
      <c r="H720" s="2"/>
      <c r="I720" s="2"/>
      <c r="J720" s="2"/>
      <c r="K720" s="2"/>
      <c r="L720" s="2"/>
      <c r="M720" s="2"/>
      <c r="N720" s="2"/>
      <c r="O720" s="2"/>
      <c r="P720" s="2"/>
      <c r="Q720" s="2"/>
      <c r="S720" s="3"/>
      <c r="T720" s="3"/>
      <c r="U720" s="3"/>
      <c r="V720" s="3"/>
      <c r="W720" s="3"/>
      <c r="X720" s="3"/>
      <c r="Y720" s="3"/>
      <c r="Z720" s="3"/>
    </row>
    <row r="721" ht="15.75" customHeight="1">
      <c r="A721" s="3"/>
      <c r="B721" s="2"/>
      <c r="C721" s="667"/>
      <c r="D721" s="2"/>
      <c r="E721" s="464"/>
      <c r="F721" s="2"/>
      <c r="G721" s="2"/>
      <c r="H721" s="2"/>
      <c r="I721" s="2"/>
      <c r="J721" s="2"/>
      <c r="K721" s="2"/>
      <c r="L721" s="2"/>
      <c r="M721" s="2"/>
      <c r="N721" s="2"/>
      <c r="O721" s="2"/>
      <c r="P721" s="2"/>
      <c r="Q721" s="2"/>
      <c r="S721" s="3"/>
      <c r="T721" s="3"/>
      <c r="U721" s="3"/>
      <c r="V721" s="3"/>
      <c r="W721" s="3"/>
      <c r="X721" s="3"/>
      <c r="Y721" s="3"/>
      <c r="Z721" s="3"/>
    </row>
    <row r="722" ht="15.75" customHeight="1">
      <c r="A722" s="3"/>
      <c r="B722" s="2"/>
      <c r="C722" s="667"/>
      <c r="D722" s="2"/>
      <c r="E722" s="464"/>
      <c r="F722" s="2"/>
      <c r="G722" s="2"/>
      <c r="H722" s="2"/>
      <c r="I722" s="2"/>
      <c r="J722" s="2"/>
      <c r="K722" s="2"/>
      <c r="L722" s="2"/>
      <c r="M722" s="2"/>
      <c r="N722" s="2"/>
      <c r="O722" s="2"/>
      <c r="P722" s="2"/>
      <c r="Q722" s="2"/>
      <c r="S722" s="3"/>
      <c r="T722" s="3"/>
      <c r="U722" s="3"/>
      <c r="V722" s="3"/>
      <c r="W722" s="3"/>
      <c r="X722" s="3"/>
      <c r="Y722" s="3"/>
      <c r="Z722" s="3"/>
    </row>
    <row r="723" ht="15.75" customHeight="1">
      <c r="A723" s="3"/>
      <c r="B723" s="2"/>
      <c r="C723" s="667"/>
      <c r="D723" s="2"/>
      <c r="E723" s="464"/>
      <c r="F723" s="2"/>
      <c r="G723" s="2"/>
      <c r="H723" s="2"/>
      <c r="I723" s="2"/>
      <c r="J723" s="2"/>
      <c r="K723" s="2"/>
      <c r="L723" s="2"/>
      <c r="M723" s="2"/>
      <c r="N723" s="2"/>
      <c r="O723" s="2"/>
      <c r="P723" s="2"/>
      <c r="Q723" s="2"/>
      <c r="S723" s="3"/>
      <c r="T723" s="3"/>
      <c r="U723" s="3"/>
      <c r="V723" s="3"/>
      <c r="W723" s="3"/>
      <c r="X723" s="3"/>
      <c r="Y723" s="3"/>
      <c r="Z723" s="3"/>
    </row>
    <row r="724" ht="15.75" customHeight="1">
      <c r="A724" s="3"/>
      <c r="B724" s="2"/>
      <c r="C724" s="667"/>
      <c r="D724" s="2"/>
      <c r="E724" s="464"/>
      <c r="F724" s="2"/>
      <c r="G724" s="2"/>
      <c r="H724" s="2"/>
      <c r="I724" s="2"/>
      <c r="J724" s="2"/>
      <c r="K724" s="2"/>
      <c r="L724" s="2"/>
      <c r="M724" s="2"/>
      <c r="N724" s="2"/>
      <c r="O724" s="2"/>
      <c r="P724" s="2"/>
      <c r="Q724" s="2"/>
      <c r="S724" s="3"/>
      <c r="T724" s="3"/>
      <c r="U724" s="3"/>
      <c r="V724" s="3"/>
      <c r="W724" s="3"/>
      <c r="X724" s="3"/>
      <c r="Y724" s="3"/>
      <c r="Z724" s="3"/>
    </row>
    <row r="725" ht="15.75" customHeight="1">
      <c r="A725" s="3"/>
      <c r="B725" s="2"/>
      <c r="C725" s="667"/>
      <c r="D725" s="2"/>
      <c r="E725" s="464"/>
      <c r="F725" s="2"/>
      <c r="G725" s="2"/>
      <c r="H725" s="2"/>
      <c r="I725" s="2"/>
      <c r="J725" s="2"/>
      <c r="K725" s="2"/>
      <c r="L725" s="2"/>
      <c r="M725" s="2"/>
      <c r="N725" s="2"/>
      <c r="O725" s="2"/>
      <c r="P725" s="2"/>
      <c r="Q725" s="2"/>
      <c r="S725" s="3"/>
      <c r="T725" s="3"/>
      <c r="U725" s="3"/>
      <c r="V725" s="3"/>
      <c r="W725" s="3"/>
      <c r="X725" s="3"/>
      <c r="Y725" s="3"/>
      <c r="Z725" s="3"/>
    </row>
    <row r="726" ht="15.75" customHeight="1">
      <c r="A726" s="3"/>
      <c r="B726" s="2"/>
      <c r="C726" s="667"/>
      <c r="D726" s="2"/>
      <c r="E726" s="464"/>
      <c r="F726" s="2"/>
      <c r="G726" s="2"/>
      <c r="H726" s="2"/>
      <c r="I726" s="2"/>
      <c r="J726" s="2"/>
      <c r="K726" s="2"/>
      <c r="L726" s="2"/>
      <c r="M726" s="2"/>
      <c r="N726" s="2"/>
      <c r="O726" s="2"/>
      <c r="P726" s="2"/>
      <c r="Q726" s="2"/>
      <c r="S726" s="3"/>
      <c r="T726" s="3"/>
      <c r="U726" s="3"/>
      <c r="V726" s="3"/>
      <c r="W726" s="3"/>
      <c r="X726" s="3"/>
      <c r="Y726" s="3"/>
      <c r="Z726" s="3"/>
    </row>
    <row r="727" ht="15.75" customHeight="1">
      <c r="A727" s="3"/>
      <c r="B727" s="2"/>
      <c r="C727" s="667"/>
      <c r="D727" s="2"/>
      <c r="E727" s="464"/>
      <c r="F727" s="2"/>
      <c r="G727" s="2"/>
      <c r="H727" s="2"/>
      <c r="I727" s="2"/>
      <c r="J727" s="2"/>
      <c r="K727" s="2"/>
      <c r="L727" s="2"/>
      <c r="M727" s="2"/>
      <c r="N727" s="2"/>
      <c r="O727" s="2"/>
      <c r="P727" s="2"/>
      <c r="Q727" s="2"/>
      <c r="S727" s="3"/>
      <c r="T727" s="3"/>
      <c r="U727" s="3"/>
      <c r="V727" s="3"/>
      <c r="W727" s="3"/>
      <c r="X727" s="3"/>
      <c r="Y727" s="3"/>
      <c r="Z727" s="3"/>
    </row>
    <row r="728" ht="15.75" customHeight="1">
      <c r="A728" s="3"/>
      <c r="B728" s="2"/>
      <c r="C728" s="667"/>
      <c r="D728" s="2"/>
      <c r="E728" s="464"/>
      <c r="F728" s="2"/>
      <c r="G728" s="2"/>
      <c r="H728" s="2"/>
      <c r="I728" s="2"/>
      <c r="J728" s="2"/>
      <c r="K728" s="2"/>
      <c r="L728" s="2"/>
      <c r="M728" s="2"/>
      <c r="N728" s="2"/>
      <c r="O728" s="2"/>
      <c r="P728" s="2"/>
      <c r="Q728" s="2"/>
      <c r="S728" s="3"/>
      <c r="T728" s="3"/>
      <c r="U728" s="3"/>
      <c r="V728" s="3"/>
      <c r="W728" s="3"/>
      <c r="X728" s="3"/>
      <c r="Y728" s="3"/>
      <c r="Z728" s="3"/>
    </row>
    <row r="729" ht="15.75" customHeight="1">
      <c r="A729" s="3"/>
      <c r="B729" s="2"/>
      <c r="C729" s="667"/>
      <c r="D729" s="2"/>
      <c r="E729" s="464"/>
      <c r="F729" s="2"/>
      <c r="G729" s="2"/>
      <c r="H729" s="2"/>
      <c r="I729" s="2"/>
      <c r="J729" s="2"/>
      <c r="K729" s="2"/>
      <c r="L729" s="2"/>
      <c r="M729" s="2"/>
      <c r="N729" s="2"/>
      <c r="O729" s="2"/>
      <c r="P729" s="2"/>
      <c r="Q729" s="2"/>
      <c r="S729" s="3"/>
      <c r="T729" s="3"/>
      <c r="U729" s="3"/>
      <c r="V729" s="3"/>
      <c r="W729" s="3"/>
      <c r="X729" s="3"/>
      <c r="Y729" s="3"/>
      <c r="Z729" s="3"/>
    </row>
    <row r="730" ht="15.75" customHeight="1">
      <c r="A730" s="3"/>
      <c r="B730" s="2"/>
      <c r="C730" s="667"/>
      <c r="D730" s="2"/>
      <c r="E730" s="464"/>
      <c r="F730" s="2"/>
      <c r="G730" s="2"/>
      <c r="H730" s="2"/>
      <c r="I730" s="2"/>
      <c r="J730" s="2"/>
      <c r="K730" s="2"/>
      <c r="L730" s="2"/>
      <c r="M730" s="2"/>
      <c r="N730" s="2"/>
      <c r="O730" s="2"/>
      <c r="P730" s="2"/>
      <c r="Q730" s="2"/>
      <c r="S730" s="3"/>
      <c r="T730" s="3"/>
      <c r="U730" s="3"/>
      <c r="V730" s="3"/>
      <c r="W730" s="3"/>
      <c r="X730" s="3"/>
      <c r="Y730" s="3"/>
      <c r="Z730" s="3"/>
    </row>
    <row r="731" ht="15.75" customHeight="1">
      <c r="A731" s="3"/>
      <c r="B731" s="2"/>
      <c r="C731" s="667"/>
      <c r="D731" s="2"/>
      <c r="E731" s="464"/>
      <c r="F731" s="2"/>
      <c r="G731" s="2"/>
      <c r="H731" s="2"/>
      <c r="I731" s="2"/>
      <c r="J731" s="2"/>
      <c r="K731" s="2"/>
      <c r="L731" s="2"/>
      <c r="M731" s="2"/>
      <c r="N731" s="2"/>
      <c r="O731" s="2"/>
      <c r="P731" s="2"/>
      <c r="Q731" s="2"/>
      <c r="S731" s="3"/>
      <c r="T731" s="3"/>
      <c r="U731" s="3"/>
      <c r="V731" s="3"/>
      <c r="W731" s="3"/>
      <c r="X731" s="3"/>
      <c r="Y731" s="3"/>
      <c r="Z731" s="3"/>
    </row>
    <row r="732" ht="15.75" customHeight="1">
      <c r="A732" s="3"/>
      <c r="B732" s="2"/>
      <c r="C732" s="667"/>
      <c r="D732" s="2"/>
      <c r="E732" s="464"/>
      <c r="F732" s="2"/>
      <c r="G732" s="2"/>
      <c r="H732" s="2"/>
      <c r="I732" s="2"/>
      <c r="J732" s="2"/>
      <c r="K732" s="2"/>
      <c r="L732" s="2"/>
      <c r="M732" s="2"/>
      <c r="N732" s="2"/>
      <c r="O732" s="2"/>
      <c r="P732" s="2"/>
      <c r="Q732" s="2"/>
      <c r="S732" s="3"/>
      <c r="T732" s="3"/>
      <c r="U732" s="3"/>
      <c r="V732" s="3"/>
      <c r="W732" s="3"/>
      <c r="X732" s="3"/>
      <c r="Y732" s="3"/>
      <c r="Z732" s="3"/>
    </row>
    <row r="733" ht="15.75" customHeight="1">
      <c r="A733" s="3"/>
      <c r="B733" s="2"/>
      <c r="C733" s="667"/>
      <c r="D733" s="2"/>
      <c r="E733" s="464"/>
      <c r="F733" s="2"/>
      <c r="G733" s="2"/>
      <c r="H733" s="2"/>
      <c r="I733" s="2"/>
      <c r="J733" s="2"/>
      <c r="K733" s="2"/>
      <c r="L733" s="2"/>
      <c r="M733" s="2"/>
      <c r="N733" s="2"/>
      <c r="O733" s="2"/>
      <c r="P733" s="2"/>
      <c r="Q733" s="2"/>
      <c r="S733" s="3"/>
      <c r="T733" s="3"/>
      <c r="U733" s="3"/>
      <c r="V733" s="3"/>
      <c r="W733" s="3"/>
      <c r="X733" s="3"/>
      <c r="Y733" s="3"/>
      <c r="Z733" s="3"/>
    </row>
    <row r="734" ht="15.75" customHeight="1">
      <c r="A734" s="3"/>
      <c r="B734" s="2"/>
      <c r="C734" s="667"/>
      <c r="D734" s="2"/>
      <c r="E734" s="464"/>
      <c r="F734" s="2"/>
      <c r="G734" s="2"/>
      <c r="H734" s="2"/>
      <c r="I734" s="2"/>
      <c r="J734" s="2"/>
      <c r="K734" s="2"/>
      <c r="L734" s="2"/>
      <c r="M734" s="2"/>
      <c r="N734" s="2"/>
      <c r="O734" s="2"/>
      <c r="P734" s="2"/>
      <c r="Q734" s="2"/>
      <c r="S734" s="3"/>
      <c r="T734" s="3"/>
      <c r="U734" s="3"/>
      <c r="V734" s="3"/>
      <c r="W734" s="3"/>
      <c r="X734" s="3"/>
      <c r="Y734" s="3"/>
      <c r="Z734" s="3"/>
    </row>
    <row r="735" ht="15.75" customHeight="1">
      <c r="A735" s="3"/>
      <c r="B735" s="2"/>
      <c r="C735" s="667"/>
      <c r="D735" s="2"/>
      <c r="E735" s="464"/>
      <c r="F735" s="2"/>
      <c r="G735" s="2"/>
      <c r="H735" s="2"/>
      <c r="I735" s="2"/>
      <c r="J735" s="2"/>
      <c r="K735" s="2"/>
      <c r="L735" s="2"/>
      <c r="M735" s="2"/>
      <c r="N735" s="2"/>
      <c r="O735" s="2"/>
      <c r="P735" s="2"/>
      <c r="Q735" s="2"/>
      <c r="S735" s="3"/>
      <c r="T735" s="3"/>
      <c r="U735" s="3"/>
      <c r="V735" s="3"/>
      <c r="W735" s="3"/>
      <c r="X735" s="3"/>
      <c r="Y735" s="3"/>
      <c r="Z735" s="3"/>
    </row>
    <row r="736" ht="15.75" customHeight="1">
      <c r="A736" s="3"/>
      <c r="B736" s="2"/>
      <c r="C736" s="667"/>
      <c r="D736" s="2"/>
      <c r="E736" s="464"/>
      <c r="F736" s="2"/>
      <c r="G736" s="2"/>
      <c r="H736" s="2"/>
      <c r="I736" s="2"/>
      <c r="J736" s="2"/>
      <c r="K736" s="2"/>
      <c r="L736" s="2"/>
      <c r="M736" s="2"/>
      <c r="N736" s="2"/>
      <c r="O736" s="2"/>
      <c r="P736" s="2"/>
      <c r="Q736" s="2"/>
      <c r="S736" s="3"/>
      <c r="T736" s="3"/>
      <c r="U736" s="3"/>
      <c r="V736" s="3"/>
      <c r="W736" s="3"/>
      <c r="X736" s="3"/>
      <c r="Y736" s="3"/>
      <c r="Z736" s="3"/>
    </row>
    <row r="737" ht="15.75" customHeight="1">
      <c r="A737" s="3"/>
      <c r="B737" s="2"/>
      <c r="C737" s="667"/>
      <c r="D737" s="2"/>
      <c r="E737" s="464"/>
      <c r="F737" s="2"/>
      <c r="G737" s="2"/>
      <c r="H737" s="2"/>
      <c r="I737" s="2"/>
      <c r="J737" s="2"/>
      <c r="K737" s="2"/>
      <c r="L737" s="2"/>
      <c r="M737" s="2"/>
      <c r="N737" s="2"/>
      <c r="O737" s="2"/>
      <c r="P737" s="2"/>
      <c r="Q737" s="2"/>
      <c r="S737" s="3"/>
      <c r="T737" s="3"/>
      <c r="U737" s="3"/>
      <c r="V737" s="3"/>
      <c r="W737" s="3"/>
      <c r="X737" s="3"/>
      <c r="Y737" s="3"/>
      <c r="Z737" s="3"/>
    </row>
    <row r="738" ht="15.75" customHeight="1">
      <c r="A738" s="3"/>
      <c r="B738" s="2"/>
      <c r="C738" s="667"/>
      <c r="D738" s="2"/>
      <c r="E738" s="464"/>
      <c r="F738" s="2"/>
      <c r="G738" s="2"/>
      <c r="H738" s="2"/>
      <c r="I738" s="2"/>
      <c r="J738" s="2"/>
      <c r="K738" s="2"/>
      <c r="L738" s="2"/>
      <c r="M738" s="2"/>
      <c r="N738" s="2"/>
      <c r="O738" s="2"/>
      <c r="P738" s="2"/>
      <c r="Q738" s="2"/>
      <c r="S738" s="3"/>
      <c r="T738" s="3"/>
      <c r="U738" s="3"/>
      <c r="V738" s="3"/>
      <c r="W738" s="3"/>
      <c r="X738" s="3"/>
      <c r="Y738" s="3"/>
      <c r="Z738" s="3"/>
    </row>
    <row r="739" ht="15.75" customHeight="1">
      <c r="A739" s="3"/>
      <c r="B739" s="2"/>
      <c r="C739" s="667"/>
      <c r="D739" s="2"/>
      <c r="E739" s="464"/>
      <c r="F739" s="2"/>
      <c r="G739" s="2"/>
      <c r="H739" s="2"/>
      <c r="I739" s="2"/>
      <c r="J739" s="2"/>
      <c r="K739" s="2"/>
      <c r="L739" s="2"/>
      <c r="M739" s="2"/>
      <c r="N739" s="2"/>
      <c r="O739" s="2"/>
      <c r="P739" s="2"/>
      <c r="Q739" s="2"/>
      <c r="S739" s="3"/>
      <c r="T739" s="3"/>
      <c r="U739" s="3"/>
      <c r="V739" s="3"/>
      <c r="W739" s="3"/>
      <c r="X739" s="3"/>
      <c r="Y739" s="3"/>
      <c r="Z739" s="3"/>
    </row>
    <row r="740" ht="15.75" customHeight="1">
      <c r="A740" s="3"/>
      <c r="B740" s="2"/>
      <c r="C740" s="667"/>
      <c r="D740" s="2"/>
      <c r="E740" s="464"/>
      <c r="F740" s="2"/>
      <c r="G740" s="2"/>
      <c r="H740" s="2"/>
      <c r="I740" s="2"/>
      <c r="J740" s="2"/>
      <c r="K740" s="2"/>
      <c r="L740" s="2"/>
      <c r="M740" s="2"/>
      <c r="N740" s="2"/>
      <c r="O740" s="2"/>
      <c r="P740" s="2"/>
      <c r="Q740" s="2"/>
      <c r="S740" s="3"/>
      <c r="T740" s="3"/>
      <c r="U740" s="3"/>
      <c r="V740" s="3"/>
      <c r="W740" s="3"/>
      <c r="X740" s="3"/>
      <c r="Y740" s="3"/>
      <c r="Z740" s="3"/>
    </row>
    <row r="741" ht="15.75" customHeight="1">
      <c r="A741" s="3"/>
      <c r="B741" s="2"/>
      <c r="C741" s="667"/>
      <c r="D741" s="2"/>
      <c r="E741" s="464"/>
      <c r="F741" s="2"/>
      <c r="G741" s="2"/>
      <c r="H741" s="2"/>
      <c r="I741" s="2"/>
      <c r="J741" s="2"/>
      <c r="K741" s="2"/>
      <c r="L741" s="2"/>
      <c r="M741" s="2"/>
      <c r="N741" s="2"/>
      <c r="O741" s="2"/>
      <c r="P741" s="2"/>
      <c r="Q741" s="2"/>
      <c r="S741" s="3"/>
      <c r="T741" s="3"/>
      <c r="U741" s="3"/>
      <c r="V741" s="3"/>
      <c r="W741" s="3"/>
      <c r="X741" s="3"/>
      <c r="Y741" s="3"/>
      <c r="Z741" s="3"/>
    </row>
    <row r="742" ht="15.75" customHeight="1">
      <c r="A742" s="3"/>
      <c r="B742" s="2"/>
      <c r="C742" s="667"/>
      <c r="D742" s="2"/>
      <c r="E742" s="464"/>
      <c r="F742" s="2"/>
      <c r="G742" s="2"/>
      <c r="H742" s="2"/>
      <c r="I742" s="2"/>
      <c r="J742" s="2"/>
      <c r="K742" s="2"/>
      <c r="L742" s="2"/>
      <c r="M742" s="2"/>
      <c r="N742" s="2"/>
      <c r="O742" s="2"/>
      <c r="P742" s="2"/>
      <c r="Q742" s="2"/>
      <c r="S742" s="3"/>
      <c r="T742" s="3"/>
      <c r="U742" s="3"/>
      <c r="V742" s="3"/>
      <c r="W742" s="3"/>
      <c r="X742" s="3"/>
      <c r="Y742" s="3"/>
      <c r="Z742" s="3"/>
    </row>
    <row r="743" ht="15.75" customHeight="1">
      <c r="A743" s="3"/>
      <c r="B743" s="2"/>
      <c r="C743" s="667"/>
      <c r="D743" s="2"/>
      <c r="E743" s="464"/>
      <c r="F743" s="2"/>
      <c r="G743" s="2"/>
      <c r="H743" s="2"/>
      <c r="I743" s="2"/>
      <c r="J743" s="2"/>
      <c r="K743" s="2"/>
      <c r="L743" s="2"/>
      <c r="M743" s="2"/>
      <c r="N743" s="2"/>
      <c r="O743" s="2"/>
      <c r="P743" s="2"/>
      <c r="Q743" s="2"/>
      <c r="S743" s="3"/>
      <c r="T743" s="3"/>
      <c r="U743" s="3"/>
      <c r="V743" s="3"/>
      <c r="W743" s="3"/>
      <c r="X743" s="3"/>
      <c r="Y743" s="3"/>
      <c r="Z743" s="3"/>
    </row>
    <row r="744" ht="15.75" customHeight="1">
      <c r="A744" s="3"/>
      <c r="B744" s="2"/>
      <c r="C744" s="667"/>
      <c r="D744" s="2"/>
      <c r="E744" s="464"/>
      <c r="F744" s="2"/>
      <c r="G744" s="2"/>
      <c r="H744" s="2"/>
      <c r="I744" s="2"/>
      <c r="J744" s="2"/>
      <c r="K744" s="2"/>
      <c r="L744" s="2"/>
      <c r="M744" s="2"/>
      <c r="N744" s="2"/>
      <c r="O744" s="2"/>
      <c r="P744" s="2"/>
      <c r="Q744" s="2"/>
      <c r="S744" s="3"/>
      <c r="T744" s="3"/>
      <c r="U744" s="3"/>
      <c r="V744" s="3"/>
      <c r="W744" s="3"/>
      <c r="X744" s="3"/>
      <c r="Y744" s="3"/>
      <c r="Z744" s="3"/>
    </row>
    <row r="745" ht="15.75" customHeight="1">
      <c r="A745" s="3"/>
      <c r="B745" s="2"/>
      <c r="C745" s="667"/>
      <c r="D745" s="2"/>
      <c r="E745" s="464"/>
      <c r="F745" s="2"/>
      <c r="G745" s="2"/>
      <c r="H745" s="2"/>
      <c r="I745" s="2"/>
      <c r="J745" s="2"/>
      <c r="K745" s="2"/>
      <c r="L745" s="2"/>
      <c r="M745" s="2"/>
      <c r="N745" s="2"/>
      <c r="O745" s="2"/>
      <c r="P745" s="2"/>
      <c r="Q745" s="2"/>
      <c r="S745" s="3"/>
      <c r="T745" s="3"/>
      <c r="U745" s="3"/>
      <c r="V745" s="3"/>
      <c r="W745" s="3"/>
      <c r="X745" s="3"/>
      <c r="Y745" s="3"/>
      <c r="Z745" s="3"/>
    </row>
    <row r="746" ht="15.75" customHeight="1">
      <c r="A746" s="3"/>
      <c r="B746" s="2"/>
      <c r="C746" s="667"/>
      <c r="D746" s="2"/>
      <c r="E746" s="464"/>
      <c r="F746" s="2"/>
      <c r="G746" s="2"/>
      <c r="H746" s="2"/>
      <c r="I746" s="2"/>
      <c r="J746" s="2"/>
      <c r="K746" s="2"/>
      <c r="L746" s="2"/>
      <c r="M746" s="2"/>
      <c r="N746" s="2"/>
      <c r="O746" s="2"/>
      <c r="P746" s="2"/>
      <c r="Q746" s="2"/>
      <c r="S746" s="3"/>
      <c r="T746" s="3"/>
      <c r="U746" s="3"/>
      <c r="V746" s="3"/>
      <c r="W746" s="3"/>
      <c r="X746" s="3"/>
      <c r="Y746" s="3"/>
      <c r="Z746" s="3"/>
    </row>
    <row r="747" ht="15.75" customHeight="1">
      <c r="A747" s="3"/>
      <c r="B747" s="2"/>
      <c r="C747" s="667"/>
      <c r="D747" s="2"/>
      <c r="E747" s="464"/>
      <c r="F747" s="2"/>
      <c r="G747" s="2"/>
      <c r="H747" s="2"/>
      <c r="I747" s="2"/>
      <c r="J747" s="2"/>
      <c r="K747" s="2"/>
      <c r="L747" s="2"/>
      <c r="M747" s="2"/>
      <c r="N747" s="2"/>
      <c r="O747" s="2"/>
      <c r="P747" s="2"/>
      <c r="Q747" s="2"/>
      <c r="S747" s="3"/>
      <c r="T747" s="3"/>
      <c r="U747" s="3"/>
      <c r="V747" s="3"/>
      <c r="W747" s="3"/>
      <c r="X747" s="3"/>
      <c r="Y747" s="3"/>
      <c r="Z747" s="3"/>
    </row>
    <row r="748" ht="15.75" customHeight="1">
      <c r="A748" s="3"/>
      <c r="B748" s="2"/>
      <c r="C748" s="667"/>
      <c r="D748" s="2"/>
      <c r="E748" s="464"/>
      <c r="F748" s="2"/>
      <c r="G748" s="2"/>
      <c r="H748" s="2"/>
      <c r="I748" s="2"/>
      <c r="J748" s="2"/>
      <c r="K748" s="2"/>
      <c r="L748" s="2"/>
      <c r="M748" s="2"/>
      <c r="N748" s="2"/>
      <c r="O748" s="2"/>
      <c r="P748" s="2"/>
      <c r="Q748" s="2"/>
      <c r="S748" s="3"/>
      <c r="T748" s="3"/>
      <c r="U748" s="3"/>
      <c r="V748" s="3"/>
      <c r="W748" s="3"/>
      <c r="X748" s="3"/>
      <c r="Y748" s="3"/>
      <c r="Z748" s="3"/>
    </row>
    <row r="749" ht="15.75" customHeight="1">
      <c r="A749" s="3"/>
      <c r="B749" s="2"/>
      <c r="C749" s="667"/>
      <c r="D749" s="2"/>
      <c r="E749" s="464"/>
      <c r="F749" s="2"/>
      <c r="G749" s="2"/>
      <c r="H749" s="2"/>
      <c r="I749" s="2"/>
      <c r="J749" s="2"/>
      <c r="K749" s="2"/>
      <c r="L749" s="2"/>
      <c r="M749" s="2"/>
      <c r="N749" s="2"/>
      <c r="O749" s="2"/>
      <c r="P749" s="2"/>
      <c r="Q749" s="2"/>
      <c r="S749" s="3"/>
      <c r="T749" s="3"/>
      <c r="U749" s="3"/>
      <c r="V749" s="3"/>
      <c r="W749" s="3"/>
      <c r="X749" s="3"/>
      <c r="Y749" s="3"/>
      <c r="Z749" s="3"/>
    </row>
    <row r="750" ht="15.75" customHeight="1">
      <c r="A750" s="3"/>
      <c r="B750" s="2"/>
      <c r="C750" s="667"/>
      <c r="D750" s="2"/>
      <c r="E750" s="464"/>
      <c r="F750" s="2"/>
      <c r="G750" s="2"/>
      <c r="H750" s="2"/>
      <c r="I750" s="2"/>
      <c r="J750" s="2"/>
      <c r="K750" s="2"/>
      <c r="L750" s="2"/>
      <c r="M750" s="2"/>
      <c r="N750" s="2"/>
      <c r="O750" s="2"/>
      <c r="P750" s="2"/>
      <c r="Q750" s="2"/>
      <c r="S750" s="3"/>
      <c r="T750" s="3"/>
      <c r="U750" s="3"/>
      <c r="V750" s="3"/>
      <c r="W750" s="3"/>
      <c r="X750" s="3"/>
      <c r="Y750" s="3"/>
      <c r="Z750" s="3"/>
    </row>
    <row r="751" ht="15.75" customHeight="1">
      <c r="A751" s="3"/>
      <c r="B751" s="2"/>
      <c r="C751" s="667"/>
      <c r="D751" s="2"/>
      <c r="E751" s="464"/>
      <c r="F751" s="2"/>
      <c r="G751" s="2"/>
      <c r="H751" s="2"/>
      <c r="I751" s="2"/>
      <c r="J751" s="2"/>
      <c r="K751" s="2"/>
      <c r="L751" s="2"/>
      <c r="M751" s="2"/>
      <c r="N751" s="2"/>
      <c r="O751" s="2"/>
      <c r="P751" s="2"/>
      <c r="Q751" s="2"/>
      <c r="S751" s="3"/>
      <c r="T751" s="3"/>
      <c r="U751" s="3"/>
      <c r="V751" s="3"/>
      <c r="W751" s="3"/>
      <c r="X751" s="3"/>
      <c r="Y751" s="3"/>
      <c r="Z751" s="3"/>
    </row>
    <row r="752" ht="15.75" customHeight="1">
      <c r="A752" s="3"/>
      <c r="B752" s="2"/>
      <c r="C752" s="667"/>
      <c r="D752" s="2"/>
      <c r="E752" s="464"/>
      <c r="F752" s="2"/>
      <c r="G752" s="2"/>
      <c r="H752" s="2"/>
      <c r="I752" s="2"/>
      <c r="J752" s="2"/>
      <c r="K752" s="2"/>
      <c r="L752" s="2"/>
      <c r="M752" s="2"/>
      <c r="N752" s="2"/>
      <c r="O752" s="2"/>
      <c r="P752" s="2"/>
      <c r="Q752" s="2"/>
      <c r="S752" s="3"/>
      <c r="T752" s="3"/>
      <c r="U752" s="3"/>
      <c r="V752" s="3"/>
      <c r="W752" s="3"/>
      <c r="X752" s="3"/>
      <c r="Y752" s="3"/>
      <c r="Z752" s="3"/>
    </row>
    <row r="753" ht="15.75" customHeight="1">
      <c r="A753" s="3"/>
      <c r="B753" s="2"/>
      <c r="C753" s="667"/>
      <c r="D753" s="2"/>
      <c r="E753" s="464"/>
      <c r="F753" s="2"/>
      <c r="G753" s="2"/>
      <c r="H753" s="2"/>
      <c r="I753" s="2"/>
      <c r="J753" s="2"/>
      <c r="K753" s="2"/>
      <c r="L753" s="2"/>
      <c r="M753" s="2"/>
      <c r="N753" s="2"/>
      <c r="O753" s="2"/>
      <c r="P753" s="2"/>
      <c r="Q753" s="2"/>
      <c r="S753" s="3"/>
      <c r="T753" s="3"/>
      <c r="U753" s="3"/>
      <c r="V753" s="3"/>
      <c r="W753" s="3"/>
      <c r="X753" s="3"/>
      <c r="Y753" s="3"/>
      <c r="Z753" s="3"/>
    </row>
    <row r="754" ht="15.75" customHeight="1">
      <c r="A754" s="3"/>
      <c r="B754" s="2"/>
      <c r="C754" s="667"/>
      <c r="D754" s="2"/>
      <c r="E754" s="464"/>
      <c r="F754" s="2"/>
      <c r="G754" s="2"/>
      <c r="H754" s="2"/>
      <c r="I754" s="2"/>
      <c r="J754" s="2"/>
      <c r="K754" s="2"/>
      <c r="L754" s="2"/>
      <c r="M754" s="2"/>
      <c r="N754" s="2"/>
      <c r="O754" s="2"/>
      <c r="P754" s="2"/>
      <c r="Q754" s="2"/>
      <c r="S754" s="3"/>
      <c r="T754" s="3"/>
      <c r="U754" s="3"/>
      <c r="V754" s="3"/>
      <c r="W754" s="3"/>
      <c r="X754" s="3"/>
      <c r="Y754" s="3"/>
      <c r="Z754" s="3"/>
    </row>
    <row r="755" ht="15.75" customHeight="1">
      <c r="A755" s="3"/>
      <c r="B755" s="2"/>
      <c r="C755" s="667"/>
      <c r="D755" s="2"/>
      <c r="E755" s="464"/>
      <c r="F755" s="2"/>
      <c r="G755" s="2"/>
      <c r="H755" s="2"/>
      <c r="I755" s="2"/>
      <c r="J755" s="2"/>
      <c r="K755" s="2"/>
      <c r="L755" s="2"/>
      <c r="M755" s="2"/>
      <c r="N755" s="2"/>
      <c r="O755" s="2"/>
      <c r="P755" s="2"/>
      <c r="Q755" s="2"/>
      <c r="S755" s="3"/>
      <c r="T755" s="3"/>
      <c r="U755" s="3"/>
      <c r="V755" s="3"/>
      <c r="W755" s="3"/>
      <c r="X755" s="3"/>
      <c r="Y755" s="3"/>
      <c r="Z755" s="3"/>
    </row>
    <row r="756" ht="15.75" customHeight="1">
      <c r="A756" s="3"/>
      <c r="B756" s="2"/>
      <c r="C756" s="667"/>
      <c r="D756" s="2"/>
      <c r="E756" s="464"/>
      <c r="F756" s="2"/>
      <c r="G756" s="2"/>
      <c r="H756" s="2"/>
      <c r="I756" s="2"/>
      <c r="J756" s="2"/>
      <c r="K756" s="2"/>
      <c r="L756" s="2"/>
      <c r="M756" s="2"/>
      <c r="N756" s="2"/>
      <c r="O756" s="2"/>
      <c r="P756" s="2"/>
      <c r="Q756" s="2"/>
      <c r="S756" s="3"/>
      <c r="T756" s="3"/>
      <c r="U756" s="3"/>
      <c r="V756" s="3"/>
      <c r="W756" s="3"/>
      <c r="X756" s="3"/>
      <c r="Y756" s="3"/>
      <c r="Z756" s="3"/>
    </row>
    <row r="757" ht="15.75" customHeight="1">
      <c r="A757" s="3"/>
      <c r="B757" s="2"/>
      <c r="C757" s="667"/>
      <c r="D757" s="2"/>
      <c r="E757" s="464"/>
      <c r="F757" s="2"/>
      <c r="G757" s="2"/>
      <c r="H757" s="2"/>
      <c r="I757" s="2"/>
      <c r="J757" s="2"/>
      <c r="K757" s="2"/>
      <c r="L757" s="2"/>
      <c r="M757" s="2"/>
      <c r="N757" s="2"/>
      <c r="O757" s="2"/>
      <c r="P757" s="2"/>
      <c r="Q757" s="2"/>
      <c r="S757" s="3"/>
      <c r="T757" s="3"/>
      <c r="U757" s="3"/>
      <c r="V757" s="3"/>
      <c r="W757" s="3"/>
      <c r="X757" s="3"/>
      <c r="Y757" s="3"/>
      <c r="Z757" s="3"/>
    </row>
    <row r="758" ht="15.75" customHeight="1">
      <c r="A758" s="3"/>
      <c r="B758" s="2"/>
      <c r="C758" s="667"/>
      <c r="D758" s="2"/>
      <c r="E758" s="464"/>
      <c r="F758" s="2"/>
      <c r="G758" s="2"/>
      <c r="H758" s="2"/>
      <c r="I758" s="2"/>
      <c r="J758" s="2"/>
      <c r="K758" s="2"/>
      <c r="L758" s="2"/>
      <c r="M758" s="2"/>
      <c r="N758" s="2"/>
      <c r="O758" s="2"/>
      <c r="P758" s="2"/>
      <c r="Q758" s="2"/>
      <c r="S758" s="3"/>
      <c r="T758" s="3"/>
      <c r="U758" s="3"/>
      <c r="V758" s="3"/>
      <c r="W758" s="3"/>
      <c r="X758" s="3"/>
      <c r="Y758" s="3"/>
      <c r="Z758" s="3"/>
    </row>
    <row r="759" ht="15.75" customHeight="1">
      <c r="A759" s="3"/>
      <c r="B759" s="2"/>
      <c r="C759" s="667"/>
      <c r="D759" s="2"/>
      <c r="E759" s="464"/>
      <c r="F759" s="2"/>
      <c r="G759" s="2"/>
      <c r="H759" s="2"/>
      <c r="I759" s="2"/>
      <c r="J759" s="2"/>
      <c r="K759" s="2"/>
      <c r="L759" s="2"/>
      <c r="M759" s="2"/>
      <c r="N759" s="2"/>
      <c r="O759" s="2"/>
      <c r="P759" s="2"/>
      <c r="Q759" s="2"/>
      <c r="S759" s="3"/>
      <c r="T759" s="3"/>
      <c r="U759" s="3"/>
      <c r="V759" s="3"/>
      <c r="W759" s="3"/>
      <c r="X759" s="3"/>
      <c r="Y759" s="3"/>
      <c r="Z759" s="3"/>
    </row>
    <row r="760" ht="15.75" customHeight="1">
      <c r="A760" s="3"/>
      <c r="B760" s="2"/>
      <c r="C760" s="667"/>
      <c r="D760" s="2"/>
      <c r="E760" s="464"/>
      <c r="F760" s="2"/>
      <c r="G760" s="2"/>
      <c r="H760" s="2"/>
      <c r="I760" s="2"/>
      <c r="J760" s="2"/>
      <c r="K760" s="2"/>
      <c r="L760" s="2"/>
      <c r="M760" s="2"/>
      <c r="N760" s="2"/>
      <c r="O760" s="2"/>
      <c r="P760" s="2"/>
      <c r="Q760" s="2"/>
      <c r="S760" s="3"/>
      <c r="T760" s="3"/>
      <c r="U760" s="3"/>
      <c r="V760" s="3"/>
      <c r="W760" s="3"/>
      <c r="X760" s="3"/>
      <c r="Y760" s="3"/>
      <c r="Z760" s="3"/>
    </row>
    <row r="761" ht="15.75" customHeight="1">
      <c r="A761" s="3"/>
      <c r="B761" s="2"/>
      <c r="C761" s="667"/>
      <c r="D761" s="2"/>
      <c r="E761" s="464"/>
      <c r="F761" s="2"/>
      <c r="G761" s="2"/>
      <c r="H761" s="2"/>
      <c r="I761" s="2"/>
      <c r="J761" s="2"/>
      <c r="K761" s="2"/>
      <c r="L761" s="2"/>
      <c r="M761" s="2"/>
      <c r="N761" s="2"/>
      <c r="O761" s="2"/>
      <c r="P761" s="2"/>
      <c r="Q761" s="2"/>
      <c r="S761" s="3"/>
      <c r="T761" s="3"/>
      <c r="U761" s="3"/>
      <c r="V761" s="3"/>
      <c r="W761" s="3"/>
      <c r="X761" s="3"/>
      <c r="Y761" s="3"/>
      <c r="Z761" s="3"/>
    </row>
    <row r="762" ht="15.75" customHeight="1">
      <c r="A762" s="3"/>
      <c r="B762" s="2"/>
      <c r="C762" s="667"/>
      <c r="D762" s="2"/>
      <c r="E762" s="464"/>
      <c r="F762" s="2"/>
      <c r="G762" s="2"/>
      <c r="H762" s="2"/>
      <c r="I762" s="2"/>
      <c r="J762" s="2"/>
      <c r="K762" s="2"/>
      <c r="L762" s="2"/>
      <c r="M762" s="2"/>
      <c r="N762" s="2"/>
      <c r="O762" s="2"/>
      <c r="P762" s="2"/>
      <c r="Q762" s="2"/>
      <c r="S762" s="3"/>
      <c r="T762" s="3"/>
      <c r="U762" s="3"/>
      <c r="V762" s="3"/>
      <c r="W762" s="3"/>
      <c r="X762" s="3"/>
      <c r="Y762" s="3"/>
      <c r="Z762" s="3"/>
    </row>
    <row r="763" ht="15.75" customHeight="1">
      <c r="A763" s="3"/>
      <c r="B763" s="2"/>
      <c r="C763" s="667"/>
      <c r="D763" s="2"/>
      <c r="E763" s="464"/>
      <c r="F763" s="2"/>
      <c r="G763" s="2"/>
      <c r="H763" s="2"/>
      <c r="I763" s="2"/>
      <c r="J763" s="2"/>
      <c r="K763" s="2"/>
      <c r="L763" s="2"/>
      <c r="M763" s="2"/>
      <c r="N763" s="2"/>
      <c r="O763" s="2"/>
      <c r="P763" s="2"/>
      <c r="Q763" s="2"/>
      <c r="S763" s="3"/>
      <c r="T763" s="3"/>
      <c r="U763" s="3"/>
      <c r="V763" s="3"/>
      <c r="W763" s="3"/>
      <c r="X763" s="3"/>
      <c r="Y763" s="3"/>
      <c r="Z763" s="3"/>
    </row>
    <row r="764" ht="15.75" customHeight="1">
      <c r="A764" s="3"/>
      <c r="B764" s="2"/>
      <c r="C764" s="667"/>
      <c r="D764" s="2"/>
      <c r="E764" s="464"/>
      <c r="F764" s="2"/>
      <c r="G764" s="2"/>
      <c r="H764" s="2"/>
      <c r="I764" s="2"/>
      <c r="J764" s="2"/>
      <c r="K764" s="2"/>
      <c r="L764" s="2"/>
      <c r="M764" s="2"/>
      <c r="N764" s="2"/>
      <c r="O764" s="2"/>
      <c r="P764" s="2"/>
      <c r="Q764" s="2"/>
      <c r="S764" s="3"/>
      <c r="T764" s="3"/>
      <c r="U764" s="3"/>
      <c r="V764" s="3"/>
      <c r="W764" s="3"/>
      <c r="X764" s="3"/>
      <c r="Y764" s="3"/>
      <c r="Z764" s="3"/>
    </row>
    <row r="765" ht="15.75" customHeight="1">
      <c r="A765" s="3"/>
      <c r="B765" s="2"/>
      <c r="C765" s="667"/>
      <c r="D765" s="2"/>
      <c r="E765" s="464"/>
      <c r="F765" s="2"/>
      <c r="G765" s="2"/>
      <c r="H765" s="2"/>
      <c r="I765" s="2"/>
      <c r="J765" s="2"/>
      <c r="K765" s="2"/>
      <c r="L765" s="2"/>
      <c r="M765" s="2"/>
      <c r="N765" s="2"/>
      <c r="O765" s="2"/>
      <c r="P765" s="2"/>
      <c r="Q765" s="2"/>
      <c r="S765" s="3"/>
      <c r="T765" s="3"/>
      <c r="U765" s="3"/>
      <c r="V765" s="3"/>
      <c r="W765" s="3"/>
      <c r="X765" s="3"/>
      <c r="Y765" s="3"/>
      <c r="Z765" s="3"/>
    </row>
    <row r="766" ht="15.75" customHeight="1">
      <c r="A766" s="3"/>
      <c r="B766" s="2"/>
      <c r="C766" s="667"/>
      <c r="D766" s="2"/>
      <c r="E766" s="464"/>
      <c r="F766" s="2"/>
      <c r="G766" s="2"/>
      <c r="H766" s="2"/>
      <c r="I766" s="2"/>
      <c r="J766" s="2"/>
      <c r="K766" s="2"/>
      <c r="L766" s="2"/>
      <c r="M766" s="2"/>
      <c r="N766" s="2"/>
      <c r="O766" s="2"/>
      <c r="P766" s="2"/>
      <c r="Q766" s="2"/>
      <c r="S766" s="3"/>
      <c r="T766" s="3"/>
      <c r="U766" s="3"/>
      <c r="V766" s="3"/>
      <c r="W766" s="3"/>
      <c r="X766" s="3"/>
      <c r="Y766" s="3"/>
      <c r="Z766" s="3"/>
    </row>
    <row r="767" ht="15.75" customHeight="1">
      <c r="A767" s="3"/>
      <c r="B767" s="2"/>
      <c r="C767" s="667"/>
      <c r="D767" s="2"/>
      <c r="E767" s="464"/>
      <c r="F767" s="2"/>
      <c r="G767" s="2"/>
      <c r="H767" s="2"/>
      <c r="I767" s="2"/>
      <c r="J767" s="2"/>
      <c r="K767" s="2"/>
      <c r="L767" s="2"/>
      <c r="M767" s="2"/>
      <c r="N767" s="2"/>
      <c r="O767" s="2"/>
      <c r="P767" s="2"/>
      <c r="Q767" s="2"/>
      <c r="S767" s="3"/>
      <c r="T767" s="3"/>
      <c r="U767" s="3"/>
      <c r="V767" s="3"/>
      <c r="W767" s="3"/>
      <c r="X767" s="3"/>
      <c r="Y767" s="3"/>
      <c r="Z767" s="3"/>
    </row>
    <row r="768" ht="15.75" customHeight="1">
      <c r="A768" s="3"/>
      <c r="B768" s="2"/>
      <c r="C768" s="667"/>
      <c r="D768" s="2"/>
      <c r="E768" s="464"/>
      <c r="F768" s="2"/>
      <c r="G768" s="2"/>
      <c r="H768" s="2"/>
      <c r="I768" s="2"/>
      <c r="J768" s="2"/>
      <c r="K768" s="2"/>
      <c r="L768" s="2"/>
      <c r="M768" s="2"/>
      <c r="N768" s="2"/>
      <c r="O768" s="2"/>
      <c r="P768" s="2"/>
      <c r="Q768" s="2"/>
      <c r="S768" s="3"/>
      <c r="T768" s="3"/>
      <c r="U768" s="3"/>
      <c r="V768" s="3"/>
      <c r="W768" s="3"/>
      <c r="X768" s="3"/>
      <c r="Y768" s="3"/>
      <c r="Z768" s="3"/>
    </row>
    <row r="769" ht="15.75" customHeight="1">
      <c r="A769" s="3"/>
      <c r="B769" s="2"/>
      <c r="C769" s="667"/>
      <c r="D769" s="2"/>
      <c r="E769" s="464"/>
      <c r="F769" s="2"/>
      <c r="G769" s="2"/>
      <c r="H769" s="2"/>
      <c r="I769" s="2"/>
      <c r="J769" s="2"/>
      <c r="K769" s="2"/>
      <c r="L769" s="2"/>
      <c r="M769" s="2"/>
      <c r="N769" s="2"/>
      <c r="O769" s="2"/>
      <c r="P769" s="2"/>
      <c r="Q769" s="2"/>
      <c r="S769" s="3"/>
      <c r="T769" s="3"/>
      <c r="U769" s="3"/>
      <c r="V769" s="3"/>
      <c r="W769" s="3"/>
      <c r="X769" s="3"/>
      <c r="Y769" s="3"/>
      <c r="Z769" s="3"/>
    </row>
    <row r="770" ht="15.75" customHeight="1">
      <c r="A770" s="3"/>
      <c r="B770" s="2"/>
      <c r="C770" s="667"/>
      <c r="D770" s="2"/>
      <c r="E770" s="464"/>
      <c r="F770" s="2"/>
      <c r="G770" s="2"/>
      <c r="H770" s="2"/>
      <c r="I770" s="2"/>
      <c r="J770" s="2"/>
      <c r="K770" s="2"/>
      <c r="L770" s="2"/>
      <c r="M770" s="2"/>
      <c r="N770" s="2"/>
      <c r="O770" s="2"/>
      <c r="P770" s="2"/>
      <c r="Q770" s="2"/>
      <c r="S770" s="3"/>
      <c r="T770" s="3"/>
      <c r="U770" s="3"/>
      <c r="V770" s="3"/>
      <c r="W770" s="3"/>
      <c r="X770" s="3"/>
      <c r="Y770" s="3"/>
      <c r="Z770" s="3"/>
    </row>
    <row r="771" ht="15.75" customHeight="1">
      <c r="A771" s="3"/>
      <c r="B771" s="2"/>
      <c r="C771" s="667"/>
      <c r="D771" s="2"/>
      <c r="E771" s="464"/>
      <c r="F771" s="2"/>
      <c r="G771" s="2"/>
      <c r="H771" s="2"/>
      <c r="I771" s="2"/>
      <c r="J771" s="2"/>
      <c r="K771" s="2"/>
      <c r="L771" s="2"/>
      <c r="M771" s="2"/>
      <c r="N771" s="2"/>
      <c r="O771" s="2"/>
      <c r="P771" s="2"/>
      <c r="Q771" s="2"/>
      <c r="S771" s="3"/>
      <c r="T771" s="3"/>
      <c r="U771" s="3"/>
      <c r="V771" s="3"/>
      <c r="W771" s="3"/>
      <c r="X771" s="3"/>
      <c r="Y771" s="3"/>
      <c r="Z771" s="3"/>
    </row>
    <row r="772" ht="15.75" customHeight="1">
      <c r="A772" s="3"/>
      <c r="B772" s="2"/>
      <c r="C772" s="667"/>
      <c r="D772" s="2"/>
      <c r="E772" s="464"/>
      <c r="F772" s="2"/>
      <c r="G772" s="2"/>
      <c r="H772" s="2"/>
      <c r="I772" s="2"/>
      <c r="J772" s="2"/>
      <c r="K772" s="2"/>
      <c r="L772" s="2"/>
      <c r="M772" s="2"/>
      <c r="N772" s="2"/>
      <c r="O772" s="2"/>
      <c r="P772" s="2"/>
      <c r="Q772" s="2"/>
      <c r="S772" s="3"/>
      <c r="T772" s="3"/>
      <c r="U772" s="3"/>
      <c r="V772" s="3"/>
      <c r="W772" s="3"/>
      <c r="X772" s="3"/>
      <c r="Y772" s="3"/>
      <c r="Z772" s="3"/>
    </row>
    <row r="773" ht="15.75" customHeight="1">
      <c r="A773" s="3"/>
      <c r="B773" s="2"/>
      <c r="C773" s="667"/>
      <c r="D773" s="2"/>
      <c r="E773" s="464"/>
      <c r="F773" s="2"/>
      <c r="G773" s="2"/>
      <c r="H773" s="2"/>
      <c r="I773" s="2"/>
      <c r="J773" s="2"/>
      <c r="K773" s="2"/>
      <c r="L773" s="2"/>
      <c r="M773" s="2"/>
      <c r="N773" s="2"/>
      <c r="O773" s="2"/>
      <c r="P773" s="2"/>
      <c r="Q773" s="2"/>
      <c r="S773" s="3"/>
      <c r="T773" s="3"/>
      <c r="U773" s="3"/>
      <c r="V773" s="3"/>
      <c r="W773" s="3"/>
      <c r="X773" s="3"/>
      <c r="Y773" s="3"/>
      <c r="Z773" s="3"/>
    </row>
    <row r="774" ht="15.75" customHeight="1">
      <c r="A774" s="3"/>
      <c r="B774" s="2"/>
      <c r="C774" s="667"/>
      <c r="D774" s="2"/>
      <c r="E774" s="464"/>
      <c r="F774" s="2"/>
      <c r="G774" s="2"/>
      <c r="H774" s="2"/>
      <c r="I774" s="2"/>
      <c r="J774" s="2"/>
      <c r="K774" s="2"/>
      <c r="L774" s="2"/>
      <c r="M774" s="2"/>
      <c r="N774" s="2"/>
      <c r="O774" s="2"/>
      <c r="P774" s="2"/>
      <c r="Q774" s="2"/>
      <c r="S774" s="3"/>
      <c r="T774" s="3"/>
      <c r="U774" s="3"/>
      <c r="V774" s="3"/>
      <c r="W774" s="3"/>
      <c r="X774" s="3"/>
      <c r="Y774" s="3"/>
      <c r="Z774" s="3"/>
    </row>
    <row r="775" ht="15.75" customHeight="1">
      <c r="A775" s="3"/>
      <c r="B775" s="2"/>
      <c r="C775" s="667"/>
      <c r="D775" s="2"/>
      <c r="E775" s="464"/>
      <c r="F775" s="2"/>
      <c r="G775" s="2"/>
      <c r="H775" s="2"/>
      <c r="I775" s="2"/>
      <c r="J775" s="2"/>
      <c r="K775" s="2"/>
      <c r="L775" s="2"/>
      <c r="M775" s="2"/>
      <c r="N775" s="2"/>
      <c r="O775" s="2"/>
      <c r="P775" s="2"/>
      <c r="Q775" s="2"/>
      <c r="S775" s="3"/>
      <c r="T775" s="3"/>
      <c r="U775" s="3"/>
      <c r="V775" s="3"/>
      <c r="W775" s="3"/>
      <c r="X775" s="3"/>
      <c r="Y775" s="3"/>
      <c r="Z775" s="3"/>
    </row>
    <row r="776" ht="15.75" customHeight="1">
      <c r="A776" s="3"/>
      <c r="B776" s="2"/>
      <c r="C776" s="667"/>
      <c r="D776" s="2"/>
      <c r="E776" s="464"/>
      <c r="F776" s="2"/>
      <c r="G776" s="2"/>
      <c r="H776" s="2"/>
      <c r="I776" s="2"/>
      <c r="J776" s="2"/>
      <c r="K776" s="2"/>
      <c r="L776" s="2"/>
      <c r="M776" s="2"/>
      <c r="N776" s="2"/>
      <c r="O776" s="2"/>
      <c r="P776" s="2"/>
      <c r="Q776" s="2"/>
      <c r="S776" s="3"/>
      <c r="T776" s="3"/>
      <c r="U776" s="3"/>
      <c r="V776" s="3"/>
      <c r="W776" s="3"/>
      <c r="X776" s="3"/>
      <c r="Y776" s="3"/>
      <c r="Z776" s="3"/>
    </row>
    <row r="777" ht="15.75" customHeight="1">
      <c r="A777" s="3"/>
      <c r="B777" s="2"/>
      <c r="C777" s="667"/>
      <c r="D777" s="2"/>
      <c r="E777" s="464"/>
      <c r="F777" s="2"/>
      <c r="G777" s="2"/>
      <c r="H777" s="2"/>
      <c r="I777" s="2"/>
      <c r="J777" s="2"/>
      <c r="K777" s="2"/>
      <c r="L777" s="2"/>
      <c r="M777" s="2"/>
      <c r="N777" s="2"/>
      <c r="O777" s="2"/>
      <c r="P777" s="2"/>
      <c r="Q777" s="2"/>
      <c r="S777" s="3"/>
      <c r="T777" s="3"/>
      <c r="U777" s="3"/>
      <c r="V777" s="3"/>
      <c r="W777" s="3"/>
      <c r="X777" s="3"/>
      <c r="Y777" s="3"/>
      <c r="Z777" s="3"/>
    </row>
    <row r="778" ht="15.75" customHeight="1">
      <c r="A778" s="3"/>
      <c r="B778" s="2"/>
      <c r="C778" s="667"/>
      <c r="D778" s="2"/>
      <c r="E778" s="464"/>
      <c r="F778" s="2"/>
      <c r="G778" s="2"/>
      <c r="H778" s="2"/>
      <c r="I778" s="2"/>
      <c r="J778" s="2"/>
      <c r="K778" s="2"/>
      <c r="L778" s="2"/>
      <c r="M778" s="2"/>
      <c r="N778" s="2"/>
      <c r="O778" s="2"/>
      <c r="P778" s="2"/>
      <c r="Q778" s="2"/>
      <c r="S778" s="3"/>
      <c r="T778" s="3"/>
      <c r="U778" s="3"/>
      <c r="V778" s="3"/>
      <c r="W778" s="3"/>
      <c r="X778" s="3"/>
      <c r="Y778" s="3"/>
      <c r="Z778" s="3"/>
    </row>
    <row r="779" ht="15.75" customHeight="1">
      <c r="A779" s="3"/>
      <c r="B779" s="2"/>
      <c r="C779" s="667"/>
      <c r="D779" s="2"/>
      <c r="E779" s="464"/>
      <c r="F779" s="2"/>
      <c r="G779" s="2"/>
      <c r="H779" s="2"/>
      <c r="I779" s="2"/>
      <c r="J779" s="2"/>
      <c r="K779" s="2"/>
      <c r="L779" s="2"/>
      <c r="M779" s="2"/>
      <c r="N779" s="2"/>
      <c r="O779" s="2"/>
      <c r="P779" s="2"/>
      <c r="Q779" s="2"/>
      <c r="S779" s="3"/>
      <c r="T779" s="3"/>
      <c r="U779" s="3"/>
      <c r="V779" s="3"/>
      <c r="W779" s="3"/>
      <c r="X779" s="3"/>
      <c r="Y779" s="3"/>
      <c r="Z779" s="3"/>
    </row>
    <row r="780" ht="15.75" customHeight="1">
      <c r="A780" s="3"/>
      <c r="B780" s="2"/>
      <c r="C780" s="667"/>
      <c r="D780" s="2"/>
      <c r="E780" s="464"/>
      <c r="F780" s="2"/>
      <c r="G780" s="2"/>
      <c r="H780" s="2"/>
      <c r="I780" s="2"/>
      <c r="J780" s="2"/>
      <c r="K780" s="2"/>
      <c r="L780" s="2"/>
      <c r="M780" s="2"/>
      <c r="N780" s="2"/>
      <c r="O780" s="2"/>
      <c r="P780" s="2"/>
      <c r="Q780" s="2"/>
      <c r="S780" s="3"/>
      <c r="T780" s="3"/>
      <c r="U780" s="3"/>
      <c r="V780" s="3"/>
      <c r="W780" s="3"/>
      <c r="X780" s="3"/>
      <c r="Y780" s="3"/>
      <c r="Z780" s="3"/>
    </row>
    <row r="781" ht="15.75" customHeight="1">
      <c r="A781" s="3"/>
      <c r="B781" s="2"/>
      <c r="C781" s="667"/>
      <c r="D781" s="2"/>
      <c r="E781" s="464"/>
      <c r="F781" s="2"/>
      <c r="G781" s="2"/>
      <c r="H781" s="2"/>
      <c r="I781" s="2"/>
      <c r="J781" s="2"/>
      <c r="K781" s="2"/>
      <c r="L781" s="2"/>
      <c r="M781" s="2"/>
      <c r="N781" s="2"/>
      <c r="O781" s="2"/>
      <c r="P781" s="2"/>
      <c r="Q781" s="2"/>
      <c r="S781" s="3"/>
      <c r="T781" s="3"/>
      <c r="U781" s="3"/>
      <c r="V781" s="3"/>
      <c r="W781" s="3"/>
      <c r="X781" s="3"/>
      <c r="Y781" s="3"/>
      <c r="Z781" s="3"/>
    </row>
    <row r="782" ht="15.75" customHeight="1">
      <c r="A782" s="3"/>
      <c r="B782" s="2"/>
      <c r="C782" s="667"/>
      <c r="D782" s="2"/>
      <c r="E782" s="464"/>
      <c r="F782" s="2"/>
      <c r="G782" s="2"/>
      <c r="H782" s="2"/>
      <c r="I782" s="2"/>
      <c r="J782" s="2"/>
      <c r="K782" s="2"/>
      <c r="L782" s="2"/>
      <c r="M782" s="2"/>
      <c r="N782" s="2"/>
      <c r="O782" s="2"/>
      <c r="P782" s="2"/>
      <c r="Q782" s="2"/>
      <c r="S782" s="3"/>
      <c r="T782" s="3"/>
      <c r="U782" s="3"/>
      <c r="V782" s="3"/>
      <c r="W782" s="3"/>
      <c r="X782" s="3"/>
      <c r="Y782" s="3"/>
      <c r="Z782" s="3"/>
    </row>
    <row r="783" ht="15.75" customHeight="1">
      <c r="A783" s="3"/>
      <c r="B783" s="2"/>
      <c r="C783" s="667"/>
      <c r="D783" s="2"/>
      <c r="E783" s="464"/>
      <c r="F783" s="2"/>
      <c r="G783" s="2"/>
      <c r="H783" s="2"/>
      <c r="I783" s="2"/>
      <c r="J783" s="2"/>
      <c r="K783" s="2"/>
      <c r="L783" s="2"/>
      <c r="M783" s="2"/>
      <c r="N783" s="2"/>
      <c r="O783" s="2"/>
      <c r="P783" s="2"/>
      <c r="Q783" s="2"/>
      <c r="S783" s="3"/>
      <c r="T783" s="3"/>
      <c r="U783" s="3"/>
      <c r="V783" s="3"/>
      <c r="W783" s="3"/>
      <c r="X783" s="3"/>
      <c r="Y783" s="3"/>
      <c r="Z783" s="3"/>
    </row>
    <row r="784" ht="15.75" customHeight="1">
      <c r="A784" s="3"/>
      <c r="B784" s="2"/>
      <c r="C784" s="667"/>
      <c r="D784" s="2"/>
      <c r="E784" s="464"/>
      <c r="F784" s="2"/>
      <c r="G784" s="2"/>
      <c r="H784" s="2"/>
      <c r="I784" s="2"/>
      <c r="J784" s="2"/>
      <c r="K784" s="2"/>
      <c r="L784" s="2"/>
      <c r="M784" s="2"/>
      <c r="N784" s="2"/>
      <c r="O784" s="2"/>
      <c r="P784" s="2"/>
      <c r="Q784" s="2"/>
      <c r="S784" s="3"/>
      <c r="T784" s="3"/>
      <c r="U784" s="3"/>
      <c r="V784" s="3"/>
      <c r="W784" s="3"/>
      <c r="X784" s="3"/>
      <c r="Y784" s="3"/>
      <c r="Z784" s="3"/>
    </row>
    <row r="785" ht="15.75" customHeight="1">
      <c r="A785" s="3"/>
      <c r="B785" s="2"/>
      <c r="C785" s="667"/>
      <c r="D785" s="2"/>
      <c r="E785" s="464"/>
      <c r="F785" s="2"/>
      <c r="G785" s="2"/>
      <c r="H785" s="2"/>
      <c r="I785" s="2"/>
      <c r="J785" s="2"/>
      <c r="K785" s="2"/>
      <c r="L785" s="2"/>
      <c r="M785" s="2"/>
      <c r="N785" s="2"/>
      <c r="O785" s="2"/>
      <c r="P785" s="2"/>
      <c r="Q785" s="2"/>
      <c r="S785" s="3"/>
      <c r="T785" s="3"/>
      <c r="U785" s="3"/>
      <c r="V785" s="3"/>
      <c r="W785" s="3"/>
      <c r="X785" s="3"/>
      <c r="Y785" s="3"/>
      <c r="Z785" s="3"/>
    </row>
    <row r="786" ht="15.75" customHeight="1">
      <c r="A786" s="3"/>
      <c r="B786" s="2"/>
      <c r="C786" s="667"/>
      <c r="D786" s="2"/>
      <c r="E786" s="464"/>
      <c r="F786" s="2"/>
      <c r="G786" s="2"/>
      <c r="H786" s="2"/>
      <c r="I786" s="2"/>
      <c r="J786" s="2"/>
      <c r="K786" s="2"/>
      <c r="L786" s="2"/>
      <c r="M786" s="2"/>
      <c r="N786" s="2"/>
      <c r="O786" s="2"/>
      <c r="P786" s="2"/>
      <c r="Q786" s="2"/>
      <c r="S786" s="3"/>
      <c r="T786" s="3"/>
      <c r="U786" s="3"/>
      <c r="V786" s="3"/>
      <c r="W786" s="3"/>
      <c r="X786" s="3"/>
      <c r="Y786" s="3"/>
      <c r="Z786" s="3"/>
    </row>
    <row r="787" ht="15.75" customHeight="1">
      <c r="A787" s="3"/>
      <c r="B787" s="2"/>
      <c r="C787" s="667"/>
      <c r="D787" s="2"/>
      <c r="E787" s="464"/>
      <c r="F787" s="2"/>
      <c r="G787" s="2"/>
      <c r="H787" s="2"/>
      <c r="I787" s="2"/>
      <c r="J787" s="2"/>
      <c r="K787" s="2"/>
      <c r="L787" s="2"/>
      <c r="M787" s="2"/>
      <c r="N787" s="2"/>
      <c r="O787" s="2"/>
      <c r="P787" s="2"/>
      <c r="Q787" s="2"/>
      <c r="S787" s="3"/>
      <c r="T787" s="3"/>
      <c r="U787" s="3"/>
      <c r="V787" s="3"/>
      <c r="W787" s="3"/>
      <c r="X787" s="3"/>
      <c r="Y787" s="3"/>
      <c r="Z787" s="3"/>
    </row>
    <row r="788" ht="15.75" customHeight="1">
      <c r="A788" s="3"/>
      <c r="B788" s="2"/>
      <c r="C788" s="667"/>
      <c r="D788" s="2"/>
      <c r="E788" s="464"/>
      <c r="F788" s="2"/>
      <c r="G788" s="2"/>
      <c r="H788" s="2"/>
      <c r="I788" s="2"/>
      <c r="J788" s="2"/>
      <c r="K788" s="2"/>
      <c r="L788" s="2"/>
      <c r="M788" s="2"/>
      <c r="N788" s="2"/>
      <c r="O788" s="2"/>
      <c r="P788" s="2"/>
      <c r="Q788" s="2"/>
      <c r="S788" s="3"/>
      <c r="T788" s="3"/>
      <c r="U788" s="3"/>
      <c r="V788" s="3"/>
      <c r="W788" s="3"/>
      <c r="X788" s="3"/>
      <c r="Y788" s="3"/>
      <c r="Z788" s="3"/>
    </row>
    <row r="789" ht="15.75" customHeight="1">
      <c r="A789" s="3"/>
      <c r="B789" s="2"/>
      <c r="C789" s="667"/>
      <c r="D789" s="2"/>
      <c r="E789" s="464"/>
      <c r="F789" s="2"/>
      <c r="G789" s="2"/>
      <c r="H789" s="2"/>
      <c r="I789" s="2"/>
      <c r="J789" s="2"/>
      <c r="K789" s="2"/>
      <c r="L789" s="2"/>
      <c r="M789" s="2"/>
      <c r="N789" s="2"/>
      <c r="O789" s="2"/>
      <c r="P789" s="2"/>
      <c r="Q789" s="2"/>
      <c r="S789" s="3"/>
      <c r="T789" s="3"/>
      <c r="U789" s="3"/>
      <c r="V789" s="3"/>
      <c r="W789" s="3"/>
      <c r="X789" s="3"/>
      <c r="Y789" s="3"/>
      <c r="Z789" s="3"/>
    </row>
    <row r="790" ht="15.75" customHeight="1">
      <c r="A790" s="3"/>
      <c r="B790" s="2"/>
      <c r="C790" s="667"/>
      <c r="D790" s="2"/>
      <c r="E790" s="464"/>
      <c r="F790" s="2"/>
      <c r="G790" s="2"/>
      <c r="H790" s="2"/>
      <c r="I790" s="2"/>
      <c r="J790" s="2"/>
      <c r="K790" s="2"/>
      <c r="L790" s="2"/>
      <c r="M790" s="2"/>
      <c r="N790" s="2"/>
      <c r="O790" s="2"/>
      <c r="P790" s="2"/>
      <c r="Q790" s="2"/>
      <c r="S790" s="3"/>
      <c r="T790" s="3"/>
      <c r="U790" s="3"/>
      <c r="V790" s="3"/>
      <c r="W790" s="3"/>
      <c r="X790" s="3"/>
      <c r="Y790" s="3"/>
      <c r="Z790" s="3"/>
    </row>
    <row r="791" ht="15.75" customHeight="1">
      <c r="A791" s="3"/>
      <c r="B791" s="2"/>
      <c r="C791" s="667"/>
      <c r="D791" s="2"/>
      <c r="E791" s="464"/>
      <c r="F791" s="2"/>
      <c r="G791" s="2"/>
      <c r="H791" s="2"/>
      <c r="I791" s="2"/>
      <c r="J791" s="2"/>
      <c r="K791" s="2"/>
      <c r="L791" s="2"/>
      <c r="M791" s="2"/>
      <c r="N791" s="2"/>
      <c r="O791" s="2"/>
      <c r="P791" s="2"/>
      <c r="Q791" s="2"/>
      <c r="S791" s="3"/>
      <c r="T791" s="3"/>
      <c r="U791" s="3"/>
      <c r="V791" s="3"/>
      <c r="W791" s="3"/>
      <c r="X791" s="3"/>
      <c r="Y791" s="3"/>
      <c r="Z791" s="3"/>
    </row>
    <row r="792" ht="15.75" customHeight="1">
      <c r="A792" s="3"/>
      <c r="B792" s="2"/>
      <c r="C792" s="667"/>
      <c r="D792" s="2"/>
      <c r="E792" s="464"/>
      <c r="F792" s="2"/>
      <c r="G792" s="2"/>
      <c r="H792" s="2"/>
      <c r="I792" s="2"/>
      <c r="J792" s="2"/>
      <c r="K792" s="2"/>
      <c r="L792" s="2"/>
      <c r="M792" s="2"/>
      <c r="N792" s="2"/>
      <c r="O792" s="2"/>
      <c r="P792" s="2"/>
      <c r="Q792" s="2"/>
      <c r="S792" s="3"/>
      <c r="T792" s="3"/>
      <c r="U792" s="3"/>
      <c r="V792" s="3"/>
      <c r="W792" s="3"/>
      <c r="X792" s="3"/>
      <c r="Y792" s="3"/>
      <c r="Z792" s="3"/>
    </row>
    <row r="793" ht="15.75" customHeight="1">
      <c r="A793" s="3"/>
      <c r="B793" s="2"/>
      <c r="C793" s="667"/>
      <c r="D793" s="2"/>
      <c r="E793" s="464"/>
      <c r="F793" s="2"/>
      <c r="G793" s="2"/>
      <c r="H793" s="2"/>
      <c r="I793" s="2"/>
      <c r="J793" s="2"/>
      <c r="K793" s="2"/>
      <c r="L793" s="2"/>
      <c r="M793" s="2"/>
      <c r="N793" s="2"/>
      <c r="O793" s="2"/>
      <c r="P793" s="2"/>
      <c r="Q793" s="2"/>
      <c r="S793" s="3"/>
      <c r="T793" s="3"/>
      <c r="U793" s="3"/>
      <c r="V793" s="3"/>
      <c r="W793" s="3"/>
      <c r="X793" s="3"/>
      <c r="Y793" s="3"/>
      <c r="Z793" s="3"/>
    </row>
    <row r="794" ht="15.75" customHeight="1">
      <c r="A794" s="3"/>
      <c r="B794" s="2"/>
      <c r="C794" s="667"/>
      <c r="D794" s="2"/>
      <c r="E794" s="464"/>
      <c r="F794" s="2"/>
      <c r="G794" s="2"/>
      <c r="H794" s="2"/>
      <c r="I794" s="2"/>
      <c r="J794" s="2"/>
      <c r="K794" s="2"/>
      <c r="L794" s="2"/>
      <c r="M794" s="2"/>
      <c r="N794" s="2"/>
      <c r="O794" s="2"/>
      <c r="P794" s="2"/>
      <c r="Q794" s="2"/>
      <c r="S794" s="3"/>
      <c r="T794" s="3"/>
      <c r="U794" s="3"/>
      <c r="V794" s="3"/>
      <c r="W794" s="3"/>
      <c r="X794" s="3"/>
      <c r="Y794" s="3"/>
      <c r="Z794" s="3"/>
    </row>
    <row r="795" ht="15.75" customHeight="1">
      <c r="A795" s="3"/>
      <c r="B795" s="2"/>
      <c r="C795" s="667"/>
      <c r="D795" s="2"/>
      <c r="E795" s="464"/>
      <c r="F795" s="2"/>
      <c r="G795" s="2"/>
      <c r="H795" s="2"/>
      <c r="I795" s="2"/>
      <c r="J795" s="2"/>
      <c r="K795" s="2"/>
      <c r="L795" s="2"/>
      <c r="M795" s="2"/>
      <c r="N795" s="2"/>
      <c r="O795" s="2"/>
      <c r="P795" s="2"/>
      <c r="Q795" s="2"/>
      <c r="S795" s="3"/>
      <c r="T795" s="3"/>
      <c r="U795" s="3"/>
      <c r="V795" s="3"/>
      <c r="W795" s="3"/>
      <c r="X795" s="3"/>
      <c r="Y795" s="3"/>
      <c r="Z795" s="3"/>
    </row>
    <row r="796" ht="15.75" customHeight="1">
      <c r="A796" s="3"/>
      <c r="B796" s="2"/>
      <c r="C796" s="667"/>
      <c r="D796" s="2"/>
      <c r="E796" s="464"/>
      <c r="F796" s="2"/>
      <c r="G796" s="2"/>
      <c r="H796" s="2"/>
      <c r="I796" s="2"/>
      <c r="J796" s="2"/>
      <c r="K796" s="2"/>
      <c r="L796" s="2"/>
      <c r="M796" s="2"/>
      <c r="N796" s="2"/>
      <c r="O796" s="2"/>
      <c r="P796" s="2"/>
      <c r="Q796" s="2"/>
      <c r="S796" s="3"/>
      <c r="T796" s="3"/>
      <c r="U796" s="3"/>
      <c r="V796" s="3"/>
      <c r="W796" s="3"/>
      <c r="X796" s="3"/>
      <c r="Y796" s="3"/>
      <c r="Z796" s="3"/>
    </row>
    <row r="797" ht="15.75" customHeight="1">
      <c r="A797" s="3"/>
      <c r="B797" s="2"/>
      <c r="C797" s="667"/>
      <c r="D797" s="2"/>
      <c r="E797" s="464"/>
      <c r="F797" s="2"/>
      <c r="G797" s="2"/>
      <c r="H797" s="2"/>
      <c r="I797" s="2"/>
      <c r="J797" s="2"/>
      <c r="K797" s="2"/>
      <c r="L797" s="2"/>
      <c r="M797" s="2"/>
      <c r="N797" s="2"/>
      <c r="O797" s="2"/>
      <c r="P797" s="2"/>
      <c r="Q797" s="2"/>
      <c r="S797" s="3"/>
      <c r="T797" s="3"/>
      <c r="U797" s="3"/>
      <c r="V797" s="3"/>
      <c r="W797" s="3"/>
      <c r="X797" s="3"/>
      <c r="Y797" s="3"/>
      <c r="Z797" s="3"/>
    </row>
    <row r="798" ht="15.75" customHeight="1">
      <c r="A798" s="3"/>
      <c r="B798" s="2"/>
      <c r="C798" s="667"/>
      <c r="D798" s="2"/>
      <c r="E798" s="464"/>
      <c r="F798" s="2"/>
      <c r="G798" s="2"/>
      <c r="H798" s="2"/>
      <c r="I798" s="2"/>
      <c r="J798" s="2"/>
      <c r="K798" s="2"/>
      <c r="L798" s="2"/>
      <c r="M798" s="2"/>
      <c r="N798" s="2"/>
      <c r="O798" s="2"/>
      <c r="P798" s="2"/>
      <c r="Q798" s="2"/>
      <c r="S798" s="3"/>
      <c r="T798" s="3"/>
      <c r="U798" s="3"/>
      <c r="V798" s="3"/>
      <c r="W798" s="3"/>
      <c r="X798" s="3"/>
      <c r="Y798" s="3"/>
      <c r="Z798" s="3"/>
    </row>
    <row r="799" ht="15.75" customHeight="1">
      <c r="A799" s="3"/>
      <c r="B799" s="2"/>
      <c r="C799" s="667"/>
      <c r="D799" s="2"/>
      <c r="E799" s="464"/>
      <c r="F799" s="2"/>
      <c r="G799" s="2"/>
      <c r="H799" s="2"/>
      <c r="I799" s="2"/>
      <c r="J799" s="2"/>
      <c r="K799" s="2"/>
      <c r="L799" s="2"/>
      <c r="M799" s="2"/>
      <c r="N799" s="2"/>
      <c r="O799" s="2"/>
      <c r="P799" s="2"/>
      <c r="Q799" s="2"/>
      <c r="S799" s="3"/>
      <c r="T799" s="3"/>
      <c r="U799" s="3"/>
      <c r="V799" s="3"/>
      <c r="W799" s="3"/>
      <c r="X799" s="3"/>
      <c r="Y799" s="3"/>
      <c r="Z799" s="3"/>
    </row>
    <row r="800" ht="15.75" customHeight="1">
      <c r="A800" s="3"/>
      <c r="B800" s="2"/>
      <c r="C800" s="667"/>
      <c r="D800" s="2"/>
      <c r="E800" s="464"/>
      <c r="F800" s="2"/>
      <c r="G800" s="2"/>
      <c r="H800" s="2"/>
      <c r="I800" s="2"/>
      <c r="J800" s="2"/>
      <c r="K800" s="2"/>
      <c r="L800" s="2"/>
      <c r="M800" s="2"/>
      <c r="N800" s="2"/>
      <c r="O800" s="2"/>
      <c r="P800" s="2"/>
      <c r="Q800" s="2"/>
      <c r="S800" s="3"/>
      <c r="T800" s="3"/>
      <c r="U800" s="3"/>
      <c r="V800" s="3"/>
      <c r="W800" s="3"/>
      <c r="X800" s="3"/>
      <c r="Y800" s="3"/>
      <c r="Z800" s="3"/>
    </row>
    <row r="801" ht="15.75" customHeight="1">
      <c r="A801" s="3"/>
      <c r="B801" s="2"/>
      <c r="C801" s="667"/>
      <c r="D801" s="2"/>
      <c r="E801" s="464"/>
      <c r="F801" s="2"/>
      <c r="G801" s="2"/>
      <c r="H801" s="2"/>
      <c r="I801" s="2"/>
      <c r="J801" s="2"/>
      <c r="K801" s="2"/>
      <c r="L801" s="2"/>
      <c r="M801" s="2"/>
      <c r="N801" s="2"/>
      <c r="O801" s="2"/>
      <c r="P801" s="2"/>
      <c r="Q801" s="2"/>
      <c r="S801" s="3"/>
      <c r="T801" s="3"/>
      <c r="U801" s="3"/>
      <c r="V801" s="3"/>
      <c r="W801" s="3"/>
      <c r="X801" s="3"/>
      <c r="Y801" s="3"/>
      <c r="Z801" s="3"/>
    </row>
    <row r="802" ht="15.75" customHeight="1">
      <c r="A802" s="3"/>
      <c r="B802" s="2"/>
      <c r="C802" s="667"/>
      <c r="D802" s="2"/>
      <c r="E802" s="464"/>
      <c r="F802" s="2"/>
      <c r="G802" s="2"/>
      <c r="H802" s="2"/>
      <c r="I802" s="2"/>
      <c r="J802" s="2"/>
      <c r="K802" s="2"/>
      <c r="L802" s="2"/>
      <c r="M802" s="2"/>
      <c r="N802" s="2"/>
      <c r="O802" s="2"/>
      <c r="P802" s="2"/>
      <c r="Q802" s="2"/>
      <c r="S802" s="3"/>
      <c r="T802" s="3"/>
      <c r="U802" s="3"/>
      <c r="V802" s="3"/>
      <c r="W802" s="3"/>
      <c r="X802" s="3"/>
      <c r="Y802" s="3"/>
      <c r="Z802" s="3"/>
    </row>
    <row r="803" ht="15.75" customHeight="1">
      <c r="A803" s="3"/>
      <c r="B803" s="2"/>
      <c r="C803" s="667"/>
      <c r="D803" s="2"/>
      <c r="E803" s="464"/>
      <c r="F803" s="2"/>
      <c r="G803" s="2"/>
      <c r="H803" s="2"/>
      <c r="I803" s="2"/>
      <c r="J803" s="2"/>
      <c r="K803" s="2"/>
      <c r="L803" s="2"/>
      <c r="M803" s="2"/>
      <c r="N803" s="2"/>
      <c r="O803" s="2"/>
      <c r="P803" s="2"/>
      <c r="Q803" s="2"/>
      <c r="S803" s="3"/>
      <c r="T803" s="3"/>
      <c r="U803" s="3"/>
      <c r="V803" s="3"/>
      <c r="W803" s="3"/>
      <c r="X803" s="3"/>
      <c r="Y803" s="3"/>
      <c r="Z803" s="3"/>
    </row>
    <row r="804" ht="15.75" customHeight="1">
      <c r="A804" s="3"/>
      <c r="B804" s="2"/>
      <c r="C804" s="667"/>
      <c r="D804" s="2"/>
      <c r="E804" s="464"/>
      <c r="F804" s="2"/>
      <c r="G804" s="2"/>
      <c r="H804" s="2"/>
      <c r="I804" s="2"/>
      <c r="J804" s="2"/>
      <c r="K804" s="2"/>
      <c r="L804" s="2"/>
      <c r="M804" s="2"/>
      <c r="N804" s="2"/>
      <c r="O804" s="2"/>
      <c r="P804" s="2"/>
      <c r="Q804" s="2"/>
      <c r="S804" s="3"/>
      <c r="T804" s="3"/>
      <c r="U804" s="3"/>
      <c r="V804" s="3"/>
      <c r="W804" s="3"/>
      <c r="X804" s="3"/>
      <c r="Y804" s="3"/>
      <c r="Z804" s="3"/>
    </row>
    <row r="805" ht="15.75" customHeight="1">
      <c r="A805" s="3"/>
      <c r="B805" s="2"/>
      <c r="C805" s="667"/>
      <c r="D805" s="2"/>
      <c r="E805" s="464"/>
      <c r="F805" s="2"/>
      <c r="G805" s="2"/>
      <c r="H805" s="2"/>
      <c r="I805" s="2"/>
      <c r="J805" s="2"/>
      <c r="K805" s="2"/>
      <c r="L805" s="2"/>
      <c r="M805" s="2"/>
      <c r="N805" s="2"/>
      <c r="O805" s="2"/>
      <c r="P805" s="2"/>
      <c r="Q805" s="2"/>
      <c r="S805" s="3"/>
      <c r="T805" s="3"/>
      <c r="U805" s="3"/>
      <c r="V805" s="3"/>
      <c r="W805" s="3"/>
      <c r="X805" s="3"/>
      <c r="Y805" s="3"/>
      <c r="Z805" s="3"/>
    </row>
    <row r="806" ht="15.75" customHeight="1">
      <c r="A806" s="3"/>
      <c r="B806" s="2"/>
      <c r="C806" s="667"/>
      <c r="D806" s="2"/>
      <c r="E806" s="464"/>
      <c r="F806" s="2"/>
      <c r="G806" s="2"/>
      <c r="H806" s="2"/>
      <c r="I806" s="2"/>
      <c r="J806" s="2"/>
      <c r="K806" s="2"/>
      <c r="L806" s="2"/>
      <c r="M806" s="2"/>
      <c r="N806" s="2"/>
      <c r="O806" s="2"/>
      <c r="P806" s="2"/>
      <c r="Q806" s="2"/>
      <c r="S806" s="3"/>
      <c r="T806" s="3"/>
      <c r="U806" s="3"/>
      <c r="V806" s="3"/>
      <c r="W806" s="3"/>
      <c r="X806" s="3"/>
      <c r="Y806" s="3"/>
      <c r="Z806" s="3"/>
    </row>
    <row r="807" ht="15.75" customHeight="1">
      <c r="A807" s="3"/>
      <c r="B807" s="2"/>
      <c r="C807" s="667"/>
      <c r="D807" s="2"/>
      <c r="E807" s="464"/>
      <c r="F807" s="2"/>
      <c r="G807" s="2"/>
      <c r="H807" s="2"/>
      <c r="I807" s="2"/>
      <c r="J807" s="2"/>
      <c r="K807" s="2"/>
      <c r="L807" s="2"/>
      <c r="M807" s="2"/>
      <c r="N807" s="2"/>
      <c r="O807" s="2"/>
      <c r="P807" s="2"/>
      <c r="Q807" s="2"/>
      <c r="S807" s="3"/>
      <c r="T807" s="3"/>
      <c r="U807" s="3"/>
      <c r="V807" s="3"/>
      <c r="W807" s="3"/>
      <c r="X807" s="3"/>
      <c r="Y807" s="3"/>
      <c r="Z807" s="3"/>
    </row>
    <row r="808" ht="15.75" customHeight="1">
      <c r="A808" s="3"/>
      <c r="B808" s="2"/>
      <c r="C808" s="667"/>
      <c r="D808" s="2"/>
      <c r="E808" s="464"/>
      <c r="F808" s="2"/>
      <c r="G808" s="2"/>
      <c r="H808" s="2"/>
      <c r="I808" s="2"/>
      <c r="J808" s="2"/>
      <c r="K808" s="2"/>
      <c r="L808" s="2"/>
      <c r="M808" s="2"/>
      <c r="N808" s="2"/>
      <c r="O808" s="2"/>
      <c r="P808" s="2"/>
      <c r="Q808" s="2"/>
      <c r="S808" s="3"/>
      <c r="T808" s="3"/>
      <c r="U808" s="3"/>
      <c r="V808" s="3"/>
      <c r="W808" s="3"/>
      <c r="X808" s="3"/>
      <c r="Y808" s="3"/>
      <c r="Z808" s="3"/>
    </row>
    <row r="809" ht="15.75" customHeight="1">
      <c r="A809" s="3"/>
      <c r="B809" s="2"/>
      <c r="C809" s="667"/>
      <c r="D809" s="2"/>
      <c r="E809" s="464"/>
      <c r="F809" s="2"/>
      <c r="G809" s="2"/>
      <c r="H809" s="2"/>
      <c r="I809" s="2"/>
      <c r="J809" s="2"/>
      <c r="K809" s="2"/>
      <c r="L809" s="2"/>
      <c r="M809" s="2"/>
      <c r="N809" s="2"/>
      <c r="O809" s="2"/>
      <c r="P809" s="2"/>
      <c r="Q809" s="2"/>
      <c r="S809" s="3"/>
      <c r="T809" s="3"/>
      <c r="U809" s="3"/>
      <c r="V809" s="3"/>
      <c r="W809" s="3"/>
      <c r="X809" s="3"/>
      <c r="Y809" s="3"/>
      <c r="Z809" s="3"/>
    </row>
    <row r="810" ht="15.75" customHeight="1">
      <c r="A810" s="3"/>
      <c r="B810" s="2"/>
      <c r="C810" s="667"/>
      <c r="D810" s="2"/>
      <c r="E810" s="464"/>
      <c r="F810" s="2"/>
      <c r="G810" s="2"/>
      <c r="H810" s="2"/>
      <c r="I810" s="2"/>
      <c r="J810" s="2"/>
      <c r="K810" s="2"/>
      <c r="L810" s="2"/>
      <c r="M810" s="2"/>
      <c r="N810" s="2"/>
      <c r="O810" s="2"/>
      <c r="P810" s="2"/>
      <c r="Q810" s="2"/>
      <c r="S810" s="3"/>
      <c r="T810" s="3"/>
      <c r="U810" s="3"/>
      <c r="V810" s="3"/>
      <c r="W810" s="3"/>
      <c r="X810" s="3"/>
      <c r="Y810" s="3"/>
      <c r="Z810" s="3"/>
    </row>
    <row r="811" ht="15.75" customHeight="1">
      <c r="A811" s="3"/>
      <c r="B811" s="2"/>
      <c r="C811" s="667"/>
      <c r="D811" s="2"/>
      <c r="E811" s="464"/>
      <c r="F811" s="2"/>
      <c r="G811" s="2"/>
      <c r="H811" s="2"/>
      <c r="I811" s="2"/>
      <c r="J811" s="2"/>
      <c r="K811" s="2"/>
      <c r="L811" s="2"/>
      <c r="M811" s="2"/>
      <c r="N811" s="2"/>
      <c r="O811" s="2"/>
      <c r="P811" s="2"/>
      <c r="Q811" s="2"/>
      <c r="S811" s="3"/>
      <c r="T811" s="3"/>
      <c r="U811" s="3"/>
      <c r="V811" s="3"/>
      <c r="W811" s="3"/>
      <c r="X811" s="3"/>
      <c r="Y811" s="3"/>
      <c r="Z811" s="3"/>
    </row>
    <row r="812" ht="15.75" customHeight="1">
      <c r="A812" s="3"/>
      <c r="B812" s="2"/>
      <c r="C812" s="667"/>
      <c r="D812" s="2"/>
      <c r="E812" s="464"/>
      <c r="F812" s="2"/>
      <c r="G812" s="2"/>
      <c r="H812" s="2"/>
      <c r="I812" s="2"/>
      <c r="J812" s="2"/>
      <c r="K812" s="2"/>
      <c r="L812" s="2"/>
      <c r="M812" s="2"/>
      <c r="N812" s="2"/>
      <c r="O812" s="2"/>
      <c r="P812" s="2"/>
      <c r="Q812" s="2"/>
      <c r="S812" s="3"/>
      <c r="T812" s="3"/>
      <c r="U812" s="3"/>
      <c r="V812" s="3"/>
      <c r="W812" s="3"/>
      <c r="X812" s="3"/>
      <c r="Y812" s="3"/>
      <c r="Z812" s="3"/>
    </row>
    <row r="813" ht="15.75" customHeight="1">
      <c r="A813" s="3"/>
      <c r="B813" s="2"/>
      <c r="C813" s="667"/>
      <c r="D813" s="2"/>
      <c r="E813" s="464"/>
      <c r="F813" s="2"/>
      <c r="G813" s="2"/>
      <c r="H813" s="2"/>
      <c r="I813" s="2"/>
      <c r="J813" s="2"/>
      <c r="K813" s="2"/>
      <c r="L813" s="2"/>
      <c r="M813" s="2"/>
      <c r="N813" s="2"/>
      <c r="O813" s="2"/>
      <c r="P813" s="2"/>
      <c r="Q813" s="2"/>
      <c r="S813" s="3"/>
      <c r="T813" s="3"/>
      <c r="U813" s="3"/>
      <c r="V813" s="3"/>
      <c r="W813" s="3"/>
      <c r="X813" s="3"/>
      <c r="Y813" s="3"/>
      <c r="Z813" s="3"/>
    </row>
    <row r="814" ht="15.75" customHeight="1">
      <c r="A814" s="3"/>
      <c r="B814" s="2"/>
      <c r="C814" s="667"/>
      <c r="D814" s="2"/>
      <c r="E814" s="464"/>
      <c r="F814" s="2"/>
      <c r="G814" s="2"/>
      <c r="H814" s="2"/>
      <c r="I814" s="2"/>
      <c r="J814" s="2"/>
      <c r="K814" s="2"/>
      <c r="L814" s="2"/>
      <c r="M814" s="2"/>
      <c r="N814" s="2"/>
      <c r="O814" s="2"/>
      <c r="P814" s="2"/>
      <c r="Q814" s="2"/>
      <c r="S814" s="3"/>
      <c r="T814" s="3"/>
      <c r="U814" s="3"/>
      <c r="V814" s="3"/>
      <c r="W814" s="3"/>
      <c r="X814" s="3"/>
      <c r="Y814" s="3"/>
      <c r="Z814" s="3"/>
    </row>
    <row r="815" ht="15.75" customHeight="1">
      <c r="A815" s="3"/>
      <c r="B815" s="2"/>
      <c r="C815" s="667"/>
      <c r="D815" s="2"/>
      <c r="E815" s="464"/>
      <c r="F815" s="2"/>
      <c r="G815" s="2"/>
      <c r="H815" s="2"/>
      <c r="I815" s="2"/>
      <c r="J815" s="2"/>
      <c r="K815" s="2"/>
      <c r="L815" s="2"/>
      <c r="M815" s="2"/>
      <c r="N815" s="2"/>
      <c r="O815" s="2"/>
      <c r="P815" s="2"/>
      <c r="Q815" s="2"/>
      <c r="S815" s="3"/>
      <c r="T815" s="3"/>
      <c r="U815" s="3"/>
      <c r="V815" s="3"/>
      <c r="W815" s="3"/>
      <c r="X815" s="3"/>
      <c r="Y815" s="3"/>
      <c r="Z815" s="3"/>
    </row>
    <row r="816" ht="15.75" customHeight="1">
      <c r="A816" s="3"/>
      <c r="B816" s="2"/>
      <c r="C816" s="667"/>
      <c r="D816" s="2"/>
      <c r="E816" s="464"/>
      <c r="F816" s="2"/>
      <c r="G816" s="2"/>
      <c r="H816" s="2"/>
      <c r="I816" s="2"/>
      <c r="J816" s="2"/>
      <c r="K816" s="2"/>
      <c r="L816" s="2"/>
      <c r="M816" s="2"/>
      <c r="N816" s="2"/>
      <c r="O816" s="2"/>
      <c r="P816" s="2"/>
      <c r="Q816" s="2"/>
      <c r="S816" s="3"/>
      <c r="T816" s="3"/>
      <c r="U816" s="3"/>
      <c r="V816" s="3"/>
      <c r="W816" s="3"/>
      <c r="X816" s="3"/>
      <c r="Y816" s="3"/>
      <c r="Z816" s="3"/>
    </row>
    <row r="817" ht="15.75" customHeight="1">
      <c r="A817" s="3"/>
      <c r="B817" s="2"/>
      <c r="C817" s="667"/>
      <c r="D817" s="2"/>
      <c r="E817" s="464"/>
      <c r="F817" s="2"/>
      <c r="G817" s="2"/>
      <c r="H817" s="2"/>
      <c r="I817" s="2"/>
      <c r="J817" s="2"/>
      <c r="K817" s="2"/>
      <c r="L817" s="2"/>
      <c r="M817" s="2"/>
      <c r="N817" s="2"/>
      <c r="O817" s="2"/>
      <c r="P817" s="2"/>
      <c r="Q817" s="2"/>
      <c r="S817" s="3"/>
      <c r="T817" s="3"/>
      <c r="U817" s="3"/>
      <c r="V817" s="3"/>
      <c r="W817" s="3"/>
      <c r="X817" s="3"/>
      <c r="Y817" s="3"/>
      <c r="Z817" s="3"/>
    </row>
    <row r="818" ht="15.75" customHeight="1">
      <c r="A818" s="3"/>
      <c r="B818" s="2"/>
      <c r="C818" s="667"/>
      <c r="D818" s="2"/>
      <c r="E818" s="464"/>
      <c r="F818" s="2"/>
      <c r="G818" s="2"/>
      <c r="H818" s="2"/>
      <c r="I818" s="2"/>
      <c r="J818" s="2"/>
      <c r="K818" s="2"/>
      <c r="L818" s="2"/>
      <c r="M818" s="2"/>
      <c r="N818" s="2"/>
      <c r="O818" s="2"/>
      <c r="P818" s="2"/>
      <c r="Q818" s="2"/>
      <c r="S818" s="3"/>
      <c r="T818" s="3"/>
      <c r="U818" s="3"/>
      <c r="V818" s="3"/>
      <c r="W818" s="3"/>
      <c r="X818" s="3"/>
      <c r="Y818" s="3"/>
      <c r="Z818" s="3"/>
    </row>
    <row r="819" ht="15.75" customHeight="1">
      <c r="A819" s="3"/>
      <c r="B819" s="2"/>
      <c r="C819" s="667"/>
      <c r="D819" s="2"/>
      <c r="E819" s="464"/>
      <c r="F819" s="2"/>
      <c r="G819" s="2"/>
      <c r="H819" s="2"/>
      <c r="I819" s="2"/>
      <c r="J819" s="2"/>
      <c r="K819" s="2"/>
      <c r="L819" s="2"/>
      <c r="M819" s="2"/>
      <c r="N819" s="2"/>
      <c r="O819" s="2"/>
      <c r="P819" s="2"/>
      <c r="Q819" s="2"/>
      <c r="S819" s="3"/>
      <c r="T819" s="3"/>
      <c r="U819" s="3"/>
      <c r="V819" s="3"/>
      <c r="W819" s="3"/>
      <c r="X819" s="3"/>
      <c r="Y819" s="3"/>
      <c r="Z819" s="3"/>
    </row>
    <row r="820" ht="15.75" customHeight="1">
      <c r="A820" s="3"/>
      <c r="B820" s="2"/>
      <c r="C820" s="667"/>
      <c r="D820" s="2"/>
      <c r="E820" s="464"/>
      <c r="F820" s="2"/>
      <c r="G820" s="2"/>
      <c r="H820" s="2"/>
      <c r="I820" s="2"/>
      <c r="J820" s="2"/>
      <c r="K820" s="2"/>
      <c r="L820" s="2"/>
      <c r="M820" s="2"/>
      <c r="N820" s="2"/>
      <c r="O820" s="2"/>
      <c r="P820" s="2"/>
      <c r="Q820" s="2"/>
      <c r="S820" s="3"/>
      <c r="T820" s="3"/>
      <c r="U820" s="3"/>
      <c r="V820" s="3"/>
      <c r="W820" s="3"/>
      <c r="X820" s="3"/>
      <c r="Y820" s="3"/>
      <c r="Z820" s="3"/>
    </row>
    <row r="821" ht="15.75" customHeight="1">
      <c r="A821" s="3"/>
      <c r="B821" s="2"/>
      <c r="C821" s="667"/>
      <c r="D821" s="2"/>
      <c r="E821" s="464"/>
      <c r="F821" s="2"/>
      <c r="G821" s="2"/>
      <c r="H821" s="2"/>
      <c r="I821" s="2"/>
      <c r="J821" s="2"/>
      <c r="K821" s="2"/>
      <c r="L821" s="2"/>
      <c r="M821" s="2"/>
      <c r="N821" s="2"/>
      <c r="O821" s="2"/>
      <c r="P821" s="2"/>
      <c r="Q821" s="2"/>
      <c r="S821" s="3"/>
      <c r="T821" s="3"/>
      <c r="U821" s="3"/>
      <c r="V821" s="3"/>
      <c r="W821" s="3"/>
      <c r="X821" s="3"/>
      <c r="Y821" s="3"/>
      <c r="Z821" s="3"/>
    </row>
    <row r="822" ht="15.75" customHeight="1">
      <c r="A822" s="3"/>
      <c r="B822" s="2"/>
      <c r="C822" s="667"/>
      <c r="D822" s="2"/>
      <c r="E822" s="464"/>
      <c r="F822" s="2"/>
      <c r="G822" s="2"/>
      <c r="H822" s="2"/>
      <c r="I822" s="2"/>
      <c r="J822" s="2"/>
      <c r="K822" s="2"/>
      <c r="L822" s="2"/>
      <c r="M822" s="2"/>
      <c r="N822" s="2"/>
      <c r="O822" s="2"/>
      <c r="P822" s="2"/>
      <c r="Q822" s="2"/>
      <c r="S822" s="3"/>
      <c r="T822" s="3"/>
      <c r="U822" s="3"/>
      <c r="V822" s="3"/>
      <c r="W822" s="3"/>
      <c r="X822" s="3"/>
      <c r="Y822" s="3"/>
      <c r="Z822" s="3"/>
    </row>
    <row r="823" ht="15.75" customHeight="1">
      <c r="A823" s="3"/>
      <c r="B823" s="2"/>
      <c r="C823" s="667"/>
      <c r="D823" s="2"/>
      <c r="E823" s="464"/>
      <c r="F823" s="2"/>
      <c r="G823" s="2"/>
      <c r="H823" s="2"/>
      <c r="I823" s="2"/>
      <c r="J823" s="2"/>
      <c r="K823" s="2"/>
      <c r="L823" s="2"/>
      <c r="M823" s="2"/>
      <c r="N823" s="2"/>
      <c r="O823" s="2"/>
      <c r="P823" s="2"/>
      <c r="Q823" s="2"/>
      <c r="S823" s="3"/>
      <c r="T823" s="3"/>
      <c r="U823" s="3"/>
      <c r="V823" s="3"/>
      <c r="W823" s="3"/>
      <c r="X823" s="3"/>
      <c r="Y823" s="3"/>
      <c r="Z823" s="3"/>
    </row>
    <row r="824" ht="15.75" customHeight="1">
      <c r="A824" s="3"/>
      <c r="B824" s="2"/>
      <c r="C824" s="667"/>
      <c r="D824" s="2"/>
      <c r="E824" s="464"/>
      <c r="F824" s="2"/>
      <c r="G824" s="2"/>
      <c r="H824" s="2"/>
      <c r="I824" s="2"/>
      <c r="J824" s="2"/>
      <c r="K824" s="2"/>
      <c r="L824" s="2"/>
      <c r="M824" s="2"/>
      <c r="N824" s="2"/>
      <c r="O824" s="2"/>
      <c r="P824" s="2"/>
      <c r="Q824" s="2"/>
      <c r="S824" s="3"/>
      <c r="T824" s="3"/>
      <c r="U824" s="3"/>
      <c r="V824" s="3"/>
      <c r="W824" s="3"/>
      <c r="X824" s="3"/>
      <c r="Y824" s="3"/>
      <c r="Z824" s="3"/>
    </row>
    <row r="825" ht="15.75" customHeight="1">
      <c r="A825" s="3"/>
      <c r="B825" s="2"/>
      <c r="C825" s="667"/>
      <c r="D825" s="2"/>
      <c r="E825" s="464"/>
      <c r="F825" s="2"/>
      <c r="G825" s="2"/>
      <c r="H825" s="2"/>
      <c r="I825" s="2"/>
      <c r="J825" s="2"/>
      <c r="K825" s="2"/>
      <c r="L825" s="2"/>
      <c r="M825" s="2"/>
      <c r="N825" s="2"/>
      <c r="O825" s="2"/>
      <c r="P825" s="2"/>
      <c r="Q825" s="2"/>
      <c r="S825" s="3"/>
      <c r="T825" s="3"/>
      <c r="U825" s="3"/>
      <c r="V825" s="3"/>
      <c r="W825" s="3"/>
      <c r="X825" s="3"/>
      <c r="Y825" s="3"/>
      <c r="Z825" s="3"/>
    </row>
    <row r="826" ht="15.75" customHeight="1">
      <c r="A826" s="3"/>
      <c r="B826" s="2"/>
      <c r="C826" s="667"/>
      <c r="D826" s="2"/>
      <c r="E826" s="464"/>
      <c r="F826" s="2"/>
      <c r="G826" s="2"/>
      <c r="H826" s="2"/>
      <c r="I826" s="2"/>
      <c r="J826" s="2"/>
      <c r="K826" s="2"/>
      <c r="L826" s="2"/>
      <c r="M826" s="2"/>
      <c r="N826" s="2"/>
      <c r="O826" s="2"/>
      <c r="P826" s="2"/>
      <c r="Q826" s="2"/>
      <c r="S826" s="3"/>
      <c r="T826" s="3"/>
      <c r="U826" s="3"/>
      <c r="V826" s="3"/>
      <c r="W826" s="3"/>
      <c r="X826" s="3"/>
      <c r="Y826" s="3"/>
      <c r="Z826" s="3"/>
    </row>
    <row r="827" ht="15.75" customHeight="1">
      <c r="A827" s="3"/>
      <c r="B827" s="2"/>
      <c r="C827" s="667"/>
      <c r="D827" s="2"/>
      <c r="E827" s="464"/>
      <c r="F827" s="2"/>
      <c r="G827" s="2"/>
      <c r="H827" s="2"/>
      <c r="I827" s="2"/>
      <c r="J827" s="2"/>
      <c r="K827" s="2"/>
      <c r="L827" s="2"/>
      <c r="M827" s="2"/>
      <c r="N827" s="2"/>
      <c r="O827" s="2"/>
      <c r="P827" s="2"/>
      <c r="Q827" s="2"/>
      <c r="S827" s="3"/>
      <c r="T827" s="3"/>
      <c r="U827" s="3"/>
      <c r="V827" s="3"/>
      <c r="W827" s="3"/>
      <c r="X827" s="3"/>
      <c r="Y827" s="3"/>
      <c r="Z827" s="3"/>
    </row>
    <row r="828" ht="15.75" customHeight="1">
      <c r="A828" s="3"/>
      <c r="B828" s="2"/>
      <c r="C828" s="667"/>
      <c r="D828" s="2"/>
      <c r="E828" s="464"/>
      <c r="F828" s="2"/>
      <c r="G828" s="2"/>
      <c r="H828" s="2"/>
      <c r="I828" s="2"/>
      <c r="J828" s="2"/>
      <c r="K828" s="2"/>
      <c r="L828" s="2"/>
      <c r="M828" s="2"/>
      <c r="N828" s="2"/>
      <c r="O828" s="2"/>
      <c r="P828" s="2"/>
      <c r="Q828" s="2"/>
      <c r="S828" s="3"/>
      <c r="T828" s="3"/>
      <c r="U828" s="3"/>
      <c r="V828" s="3"/>
      <c r="W828" s="3"/>
      <c r="X828" s="3"/>
      <c r="Y828" s="3"/>
      <c r="Z828" s="3"/>
    </row>
    <row r="829" ht="15.75" customHeight="1">
      <c r="A829" s="3"/>
      <c r="B829" s="2"/>
      <c r="C829" s="667"/>
      <c r="D829" s="2"/>
      <c r="E829" s="464"/>
      <c r="F829" s="2"/>
      <c r="G829" s="2"/>
      <c r="H829" s="2"/>
      <c r="I829" s="2"/>
      <c r="J829" s="2"/>
      <c r="K829" s="2"/>
      <c r="L829" s="2"/>
      <c r="M829" s="2"/>
      <c r="N829" s="2"/>
      <c r="O829" s="2"/>
      <c r="P829" s="2"/>
      <c r="Q829" s="2"/>
      <c r="S829" s="3"/>
      <c r="T829" s="3"/>
      <c r="U829" s="3"/>
      <c r="V829" s="3"/>
      <c r="W829" s="3"/>
      <c r="X829" s="3"/>
      <c r="Y829" s="3"/>
      <c r="Z829" s="3"/>
    </row>
    <row r="830" ht="15.75" customHeight="1">
      <c r="A830" s="3"/>
      <c r="B830" s="2"/>
      <c r="C830" s="667"/>
      <c r="D830" s="2"/>
      <c r="E830" s="464"/>
      <c r="F830" s="2"/>
      <c r="G830" s="2"/>
      <c r="H830" s="2"/>
      <c r="I830" s="2"/>
      <c r="J830" s="2"/>
      <c r="K830" s="2"/>
      <c r="L830" s="2"/>
      <c r="M830" s="2"/>
      <c r="N830" s="2"/>
      <c r="O830" s="2"/>
      <c r="P830" s="2"/>
      <c r="Q830" s="2"/>
      <c r="S830" s="3"/>
      <c r="T830" s="3"/>
      <c r="U830" s="3"/>
      <c r="V830" s="3"/>
      <c r="W830" s="3"/>
      <c r="X830" s="3"/>
      <c r="Y830" s="3"/>
      <c r="Z830" s="3"/>
    </row>
    <row r="831" ht="15.75" customHeight="1">
      <c r="A831" s="3"/>
      <c r="B831" s="2"/>
      <c r="C831" s="667"/>
      <c r="D831" s="2"/>
      <c r="E831" s="464"/>
      <c r="F831" s="2"/>
      <c r="G831" s="2"/>
      <c r="H831" s="2"/>
      <c r="I831" s="2"/>
      <c r="J831" s="2"/>
      <c r="K831" s="2"/>
      <c r="L831" s="2"/>
      <c r="M831" s="2"/>
      <c r="N831" s="2"/>
      <c r="O831" s="2"/>
      <c r="P831" s="2"/>
      <c r="Q831" s="2"/>
      <c r="S831" s="3"/>
      <c r="T831" s="3"/>
      <c r="U831" s="3"/>
      <c r="V831" s="3"/>
      <c r="W831" s="3"/>
      <c r="X831" s="3"/>
      <c r="Y831" s="3"/>
      <c r="Z831" s="3"/>
    </row>
    <row r="832" ht="15.75" customHeight="1">
      <c r="A832" s="3"/>
      <c r="B832" s="2"/>
      <c r="C832" s="667"/>
      <c r="D832" s="2"/>
      <c r="E832" s="464"/>
      <c r="F832" s="2"/>
      <c r="G832" s="2"/>
      <c r="H832" s="2"/>
      <c r="I832" s="2"/>
      <c r="J832" s="2"/>
      <c r="K832" s="2"/>
      <c r="L832" s="2"/>
      <c r="M832" s="2"/>
      <c r="N832" s="2"/>
      <c r="O832" s="2"/>
      <c r="P832" s="2"/>
      <c r="Q832" s="2"/>
      <c r="S832" s="3"/>
      <c r="T832" s="3"/>
      <c r="U832" s="3"/>
      <c r="V832" s="3"/>
      <c r="W832" s="3"/>
      <c r="X832" s="3"/>
      <c r="Y832" s="3"/>
      <c r="Z832" s="3"/>
    </row>
    <row r="833" ht="15.75" customHeight="1">
      <c r="A833" s="3"/>
      <c r="B833" s="2"/>
      <c r="C833" s="667"/>
      <c r="D833" s="2"/>
      <c r="E833" s="464"/>
      <c r="F833" s="2"/>
      <c r="G833" s="2"/>
      <c r="H833" s="2"/>
      <c r="I833" s="2"/>
      <c r="J833" s="2"/>
      <c r="K833" s="2"/>
      <c r="L833" s="2"/>
      <c r="M833" s="2"/>
      <c r="N833" s="2"/>
      <c r="O833" s="2"/>
      <c r="P833" s="2"/>
      <c r="Q833" s="2"/>
      <c r="S833" s="3"/>
      <c r="T833" s="3"/>
      <c r="U833" s="3"/>
      <c r="V833" s="3"/>
      <c r="W833" s="3"/>
      <c r="X833" s="3"/>
      <c r="Y833" s="3"/>
      <c r="Z833" s="3"/>
    </row>
    <row r="834" ht="15.75" customHeight="1">
      <c r="A834" s="3"/>
      <c r="B834" s="2"/>
      <c r="C834" s="667"/>
      <c r="D834" s="2"/>
      <c r="E834" s="464"/>
      <c r="F834" s="2"/>
      <c r="G834" s="2"/>
      <c r="H834" s="2"/>
      <c r="I834" s="2"/>
      <c r="J834" s="2"/>
      <c r="K834" s="2"/>
      <c r="L834" s="2"/>
      <c r="M834" s="2"/>
      <c r="N834" s="2"/>
      <c r="O834" s="2"/>
      <c r="P834" s="2"/>
      <c r="Q834" s="2"/>
      <c r="S834" s="3"/>
      <c r="T834" s="3"/>
      <c r="U834" s="3"/>
      <c r="V834" s="3"/>
      <c r="W834" s="3"/>
      <c r="X834" s="3"/>
      <c r="Y834" s="3"/>
      <c r="Z834" s="3"/>
    </row>
    <row r="835" ht="15.75" customHeight="1">
      <c r="A835" s="3"/>
      <c r="B835" s="2"/>
      <c r="C835" s="667"/>
      <c r="D835" s="2"/>
      <c r="E835" s="464"/>
      <c r="F835" s="2"/>
      <c r="G835" s="2"/>
      <c r="H835" s="2"/>
      <c r="I835" s="2"/>
      <c r="J835" s="2"/>
      <c r="K835" s="2"/>
      <c r="L835" s="2"/>
      <c r="M835" s="2"/>
      <c r="N835" s="2"/>
      <c r="O835" s="2"/>
      <c r="P835" s="2"/>
      <c r="Q835" s="2"/>
      <c r="S835" s="3"/>
      <c r="T835" s="3"/>
      <c r="U835" s="3"/>
      <c r="V835" s="3"/>
      <c r="W835" s="3"/>
      <c r="X835" s="3"/>
      <c r="Y835" s="3"/>
      <c r="Z835" s="3"/>
    </row>
    <row r="836" ht="15.75" customHeight="1">
      <c r="A836" s="3"/>
      <c r="B836" s="2"/>
      <c r="C836" s="667"/>
      <c r="D836" s="2"/>
      <c r="E836" s="464"/>
      <c r="F836" s="2"/>
      <c r="G836" s="2"/>
      <c r="H836" s="2"/>
      <c r="I836" s="2"/>
      <c r="J836" s="2"/>
      <c r="K836" s="2"/>
      <c r="L836" s="2"/>
      <c r="M836" s="2"/>
      <c r="N836" s="2"/>
      <c r="O836" s="2"/>
      <c r="P836" s="2"/>
      <c r="Q836" s="2"/>
      <c r="S836" s="3"/>
      <c r="T836" s="3"/>
      <c r="U836" s="3"/>
      <c r="V836" s="3"/>
      <c r="W836" s="3"/>
      <c r="X836" s="3"/>
      <c r="Y836" s="3"/>
      <c r="Z836" s="3"/>
    </row>
    <row r="837" ht="15.75" customHeight="1">
      <c r="A837" s="3"/>
      <c r="B837" s="2"/>
      <c r="C837" s="667"/>
      <c r="D837" s="2"/>
      <c r="E837" s="464"/>
      <c r="F837" s="2"/>
      <c r="G837" s="2"/>
      <c r="H837" s="2"/>
      <c r="I837" s="2"/>
      <c r="J837" s="2"/>
      <c r="K837" s="2"/>
      <c r="L837" s="2"/>
      <c r="M837" s="2"/>
      <c r="N837" s="2"/>
      <c r="O837" s="2"/>
      <c r="P837" s="2"/>
      <c r="Q837" s="2"/>
      <c r="S837" s="3"/>
      <c r="T837" s="3"/>
      <c r="U837" s="3"/>
      <c r="V837" s="3"/>
      <c r="W837" s="3"/>
      <c r="X837" s="3"/>
      <c r="Y837" s="3"/>
      <c r="Z837" s="3"/>
    </row>
    <row r="838" ht="15.75" customHeight="1">
      <c r="A838" s="3"/>
      <c r="B838" s="2"/>
      <c r="C838" s="667"/>
      <c r="D838" s="2"/>
      <c r="E838" s="464"/>
      <c r="F838" s="2"/>
      <c r="G838" s="2"/>
      <c r="H838" s="2"/>
      <c r="I838" s="2"/>
      <c r="J838" s="2"/>
      <c r="K838" s="2"/>
      <c r="L838" s="2"/>
      <c r="M838" s="2"/>
      <c r="N838" s="2"/>
      <c r="O838" s="2"/>
      <c r="P838" s="2"/>
      <c r="Q838" s="2"/>
      <c r="S838" s="3"/>
      <c r="T838" s="3"/>
      <c r="U838" s="3"/>
      <c r="V838" s="3"/>
      <c r="W838" s="3"/>
      <c r="X838" s="3"/>
      <c r="Y838" s="3"/>
      <c r="Z838" s="3"/>
    </row>
    <row r="839" ht="15.75" customHeight="1">
      <c r="A839" s="3"/>
      <c r="B839" s="2"/>
      <c r="C839" s="667"/>
      <c r="D839" s="2"/>
      <c r="E839" s="464"/>
      <c r="F839" s="2"/>
      <c r="G839" s="2"/>
      <c r="H839" s="2"/>
      <c r="I839" s="2"/>
      <c r="J839" s="2"/>
      <c r="K839" s="2"/>
      <c r="L839" s="2"/>
      <c r="M839" s="2"/>
      <c r="N839" s="2"/>
      <c r="O839" s="2"/>
      <c r="P839" s="2"/>
      <c r="Q839" s="2"/>
      <c r="S839" s="3"/>
      <c r="T839" s="3"/>
      <c r="U839" s="3"/>
      <c r="V839" s="3"/>
      <c r="W839" s="3"/>
      <c r="X839" s="3"/>
      <c r="Y839" s="3"/>
      <c r="Z839" s="3"/>
    </row>
    <row r="840" ht="15.75" customHeight="1">
      <c r="A840" s="3"/>
      <c r="B840" s="2"/>
      <c r="C840" s="667"/>
      <c r="D840" s="2"/>
      <c r="E840" s="464"/>
      <c r="F840" s="2"/>
      <c r="G840" s="2"/>
      <c r="H840" s="2"/>
      <c r="I840" s="2"/>
      <c r="J840" s="2"/>
      <c r="K840" s="2"/>
      <c r="L840" s="2"/>
      <c r="M840" s="2"/>
      <c r="N840" s="2"/>
      <c r="O840" s="2"/>
      <c r="P840" s="2"/>
      <c r="Q840" s="2"/>
      <c r="S840" s="3"/>
      <c r="T840" s="3"/>
      <c r="U840" s="3"/>
      <c r="V840" s="3"/>
      <c r="W840" s="3"/>
      <c r="X840" s="3"/>
      <c r="Y840" s="3"/>
      <c r="Z840" s="3"/>
    </row>
    <row r="841" ht="15.75" customHeight="1">
      <c r="A841" s="3"/>
      <c r="B841" s="2"/>
      <c r="C841" s="667"/>
      <c r="D841" s="2"/>
      <c r="E841" s="464"/>
      <c r="F841" s="2"/>
      <c r="G841" s="2"/>
      <c r="H841" s="2"/>
      <c r="I841" s="2"/>
      <c r="J841" s="2"/>
      <c r="K841" s="2"/>
      <c r="L841" s="2"/>
      <c r="M841" s="2"/>
      <c r="N841" s="2"/>
      <c r="O841" s="2"/>
      <c r="P841" s="2"/>
      <c r="Q841" s="2"/>
      <c r="S841" s="3"/>
      <c r="T841" s="3"/>
      <c r="U841" s="3"/>
      <c r="V841" s="3"/>
      <c r="W841" s="3"/>
      <c r="X841" s="3"/>
      <c r="Y841" s="3"/>
      <c r="Z841" s="3"/>
    </row>
    <row r="842" ht="15.75" customHeight="1">
      <c r="A842" s="3"/>
      <c r="B842" s="2"/>
      <c r="C842" s="667"/>
      <c r="D842" s="2"/>
      <c r="E842" s="464"/>
      <c r="F842" s="2"/>
      <c r="G842" s="2"/>
      <c r="H842" s="2"/>
      <c r="I842" s="2"/>
      <c r="J842" s="2"/>
      <c r="K842" s="2"/>
      <c r="L842" s="2"/>
      <c r="M842" s="2"/>
      <c r="N842" s="2"/>
      <c r="O842" s="2"/>
      <c r="P842" s="2"/>
      <c r="Q842" s="2"/>
      <c r="S842" s="3"/>
      <c r="T842" s="3"/>
      <c r="U842" s="3"/>
      <c r="V842" s="3"/>
      <c r="W842" s="3"/>
      <c r="X842" s="3"/>
      <c r="Y842" s="3"/>
      <c r="Z842" s="3"/>
    </row>
    <row r="843" ht="15.75" customHeight="1">
      <c r="A843" s="3"/>
      <c r="B843" s="2"/>
      <c r="C843" s="667"/>
      <c r="D843" s="2"/>
      <c r="E843" s="464"/>
      <c r="F843" s="2"/>
      <c r="G843" s="2"/>
      <c r="H843" s="2"/>
      <c r="I843" s="2"/>
      <c r="J843" s="2"/>
      <c r="K843" s="2"/>
      <c r="L843" s="2"/>
      <c r="M843" s="2"/>
      <c r="N843" s="2"/>
      <c r="O843" s="2"/>
      <c r="P843" s="2"/>
      <c r="Q843" s="2"/>
      <c r="S843" s="3"/>
      <c r="T843" s="3"/>
      <c r="U843" s="3"/>
      <c r="V843" s="3"/>
      <c r="W843" s="3"/>
      <c r="X843" s="3"/>
      <c r="Y843" s="3"/>
      <c r="Z843" s="3"/>
    </row>
    <row r="844" ht="15.75" customHeight="1">
      <c r="A844" s="3"/>
      <c r="B844" s="2"/>
      <c r="C844" s="667"/>
      <c r="D844" s="2"/>
      <c r="E844" s="464"/>
      <c r="F844" s="2"/>
      <c r="G844" s="2"/>
      <c r="H844" s="2"/>
      <c r="I844" s="2"/>
      <c r="J844" s="2"/>
      <c r="K844" s="2"/>
      <c r="L844" s="2"/>
      <c r="M844" s="2"/>
      <c r="N844" s="2"/>
      <c r="O844" s="2"/>
      <c r="P844" s="2"/>
      <c r="Q844" s="2"/>
      <c r="S844" s="3"/>
      <c r="T844" s="3"/>
      <c r="U844" s="3"/>
      <c r="V844" s="3"/>
      <c r="W844" s="3"/>
      <c r="X844" s="3"/>
      <c r="Y844" s="3"/>
      <c r="Z844" s="3"/>
    </row>
    <row r="845" ht="15.75" customHeight="1">
      <c r="A845" s="3"/>
      <c r="B845" s="2"/>
      <c r="C845" s="667"/>
      <c r="D845" s="2"/>
      <c r="E845" s="464"/>
      <c r="F845" s="2"/>
      <c r="G845" s="2"/>
      <c r="H845" s="2"/>
      <c r="I845" s="2"/>
      <c r="J845" s="2"/>
      <c r="K845" s="2"/>
      <c r="L845" s="2"/>
      <c r="M845" s="2"/>
      <c r="N845" s="2"/>
      <c r="O845" s="2"/>
      <c r="P845" s="2"/>
      <c r="Q845" s="2"/>
      <c r="S845" s="3"/>
      <c r="T845" s="3"/>
      <c r="U845" s="3"/>
      <c r="V845" s="3"/>
      <c r="W845" s="3"/>
      <c r="X845" s="3"/>
      <c r="Y845" s="3"/>
      <c r="Z845" s="3"/>
    </row>
    <row r="846" ht="15.75" customHeight="1">
      <c r="A846" s="3"/>
      <c r="B846" s="2"/>
      <c r="C846" s="667"/>
      <c r="D846" s="2"/>
      <c r="E846" s="464"/>
      <c r="F846" s="2"/>
      <c r="G846" s="2"/>
      <c r="H846" s="2"/>
      <c r="I846" s="2"/>
      <c r="J846" s="2"/>
      <c r="K846" s="2"/>
      <c r="L846" s="2"/>
      <c r="M846" s="2"/>
      <c r="N846" s="2"/>
      <c r="O846" s="2"/>
      <c r="P846" s="2"/>
      <c r="Q846" s="2"/>
      <c r="S846" s="3"/>
      <c r="T846" s="3"/>
      <c r="U846" s="3"/>
      <c r="V846" s="3"/>
      <c r="W846" s="3"/>
      <c r="X846" s="3"/>
      <c r="Y846" s="3"/>
      <c r="Z846" s="3"/>
    </row>
    <row r="847" ht="15.75" customHeight="1">
      <c r="A847" s="3"/>
      <c r="B847" s="2"/>
      <c r="C847" s="667"/>
      <c r="D847" s="2"/>
      <c r="E847" s="464"/>
      <c r="F847" s="2"/>
      <c r="G847" s="2"/>
      <c r="H847" s="2"/>
      <c r="I847" s="2"/>
      <c r="J847" s="2"/>
      <c r="K847" s="2"/>
      <c r="L847" s="2"/>
      <c r="M847" s="2"/>
      <c r="N847" s="2"/>
      <c r="O847" s="2"/>
      <c r="P847" s="2"/>
      <c r="Q847" s="2"/>
      <c r="S847" s="3"/>
      <c r="T847" s="3"/>
      <c r="U847" s="3"/>
      <c r="V847" s="3"/>
      <c r="W847" s="3"/>
      <c r="X847" s="3"/>
      <c r="Y847" s="3"/>
      <c r="Z847" s="3"/>
    </row>
    <row r="848" ht="15.75" customHeight="1">
      <c r="A848" s="3"/>
      <c r="B848" s="2"/>
      <c r="C848" s="667"/>
      <c r="D848" s="2"/>
      <c r="E848" s="464"/>
      <c r="F848" s="2"/>
      <c r="G848" s="2"/>
      <c r="H848" s="2"/>
      <c r="I848" s="2"/>
      <c r="J848" s="2"/>
      <c r="K848" s="2"/>
      <c r="L848" s="2"/>
      <c r="M848" s="2"/>
      <c r="N848" s="2"/>
      <c r="O848" s="2"/>
      <c r="P848" s="2"/>
      <c r="Q848" s="2"/>
      <c r="S848" s="3"/>
      <c r="T848" s="3"/>
      <c r="U848" s="3"/>
      <c r="V848" s="3"/>
      <c r="W848" s="3"/>
      <c r="X848" s="3"/>
      <c r="Y848" s="3"/>
      <c r="Z848" s="3"/>
    </row>
    <row r="849" ht="15.75" customHeight="1">
      <c r="A849" s="3"/>
      <c r="B849" s="2"/>
      <c r="C849" s="667"/>
      <c r="D849" s="2"/>
      <c r="E849" s="464"/>
      <c r="F849" s="2"/>
      <c r="G849" s="2"/>
      <c r="H849" s="2"/>
      <c r="I849" s="2"/>
      <c r="J849" s="2"/>
      <c r="K849" s="2"/>
      <c r="L849" s="2"/>
      <c r="M849" s="2"/>
      <c r="N849" s="2"/>
      <c r="O849" s="2"/>
      <c r="P849" s="2"/>
      <c r="Q849" s="2"/>
      <c r="S849" s="3"/>
      <c r="T849" s="3"/>
      <c r="U849" s="3"/>
      <c r="V849" s="3"/>
      <c r="W849" s="3"/>
      <c r="X849" s="3"/>
      <c r="Y849" s="3"/>
      <c r="Z849" s="3"/>
    </row>
    <row r="850" ht="15.75" customHeight="1">
      <c r="A850" s="3"/>
      <c r="B850" s="2"/>
      <c r="C850" s="667"/>
      <c r="D850" s="2"/>
      <c r="E850" s="464"/>
      <c r="F850" s="2"/>
      <c r="G850" s="2"/>
      <c r="H850" s="2"/>
      <c r="I850" s="2"/>
      <c r="J850" s="2"/>
      <c r="K850" s="2"/>
      <c r="L850" s="2"/>
      <c r="M850" s="2"/>
      <c r="N850" s="2"/>
      <c r="O850" s="2"/>
      <c r="P850" s="2"/>
      <c r="Q850" s="2"/>
      <c r="S850" s="3"/>
      <c r="T850" s="3"/>
      <c r="U850" s="3"/>
      <c r="V850" s="3"/>
      <c r="W850" s="3"/>
      <c r="X850" s="3"/>
      <c r="Y850" s="3"/>
      <c r="Z850" s="3"/>
    </row>
    <row r="851" ht="15.75" customHeight="1">
      <c r="A851" s="3"/>
      <c r="B851" s="2"/>
      <c r="C851" s="667"/>
      <c r="D851" s="2"/>
      <c r="E851" s="464"/>
      <c r="F851" s="2"/>
      <c r="G851" s="2"/>
      <c r="H851" s="2"/>
      <c r="I851" s="2"/>
      <c r="J851" s="2"/>
      <c r="K851" s="2"/>
      <c r="L851" s="2"/>
      <c r="M851" s="2"/>
      <c r="N851" s="2"/>
      <c r="O851" s="2"/>
      <c r="P851" s="2"/>
      <c r="Q851" s="2"/>
      <c r="S851" s="3"/>
      <c r="T851" s="3"/>
      <c r="U851" s="3"/>
      <c r="V851" s="3"/>
      <c r="W851" s="3"/>
      <c r="X851" s="3"/>
      <c r="Y851" s="3"/>
      <c r="Z851" s="3"/>
    </row>
    <row r="852" ht="15.75" customHeight="1">
      <c r="A852" s="3"/>
      <c r="B852" s="2"/>
      <c r="C852" s="667"/>
      <c r="D852" s="2"/>
      <c r="E852" s="464"/>
      <c r="F852" s="2"/>
      <c r="G852" s="2"/>
      <c r="H852" s="2"/>
      <c r="I852" s="2"/>
      <c r="J852" s="2"/>
      <c r="K852" s="2"/>
      <c r="L852" s="2"/>
      <c r="M852" s="2"/>
      <c r="N852" s="2"/>
      <c r="O852" s="2"/>
      <c r="P852" s="2"/>
      <c r="Q852" s="2"/>
      <c r="S852" s="3"/>
      <c r="T852" s="3"/>
      <c r="U852" s="3"/>
      <c r="V852" s="3"/>
      <c r="W852" s="3"/>
      <c r="X852" s="3"/>
      <c r="Y852" s="3"/>
      <c r="Z852" s="3"/>
    </row>
    <row r="853" ht="15.75" customHeight="1">
      <c r="A853" s="3"/>
      <c r="B853" s="2"/>
      <c r="C853" s="667"/>
      <c r="D853" s="2"/>
      <c r="E853" s="464"/>
      <c r="F853" s="2"/>
      <c r="G853" s="2"/>
      <c r="H853" s="2"/>
      <c r="I853" s="2"/>
      <c r="J853" s="2"/>
      <c r="K853" s="2"/>
      <c r="L853" s="2"/>
      <c r="M853" s="2"/>
      <c r="N853" s="2"/>
      <c r="O853" s="2"/>
      <c r="P853" s="2"/>
      <c r="Q853" s="2"/>
      <c r="S853" s="3"/>
      <c r="T853" s="3"/>
      <c r="U853" s="3"/>
      <c r="V853" s="3"/>
      <c r="W853" s="3"/>
      <c r="X853" s="3"/>
      <c r="Y853" s="3"/>
      <c r="Z853" s="3"/>
    </row>
    <row r="854" ht="15.75" customHeight="1">
      <c r="A854" s="3"/>
      <c r="B854" s="2"/>
      <c r="C854" s="667"/>
      <c r="D854" s="2"/>
      <c r="E854" s="464"/>
      <c r="F854" s="2"/>
      <c r="G854" s="2"/>
      <c r="H854" s="2"/>
      <c r="I854" s="2"/>
      <c r="J854" s="2"/>
      <c r="K854" s="2"/>
      <c r="L854" s="2"/>
      <c r="M854" s="2"/>
      <c r="N854" s="2"/>
      <c r="O854" s="2"/>
      <c r="P854" s="2"/>
      <c r="Q854" s="2"/>
      <c r="S854" s="3"/>
      <c r="T854" s="3"/>
      <c r="U854" s="3"/>
      <c r="V854" s="3"/>
      <c r="W854" s="3"/>
      <c r="X854" s="3"/>
      <c r="Y854" s="3"/>
      <c r="Z854" s="3"/>
    </row>
    <row r="855" ht="15.75" customHeight="1">
      <c r="A855" s="3"/>
      <c r="B855" s="2"/>
      <c r="C855" s="667"/>
      <c r="D855" s="2"/>
      <c r="E855" s="464"/>
      <c r="F855" s="2"/>
      <c r="G855" s="2"/>
      <c r="H855" s="2"/>
      <c r="I855" s="2"/>
      <c r="J855" s="2"/>
      <c r="K855" s="2"/>
      <c r="L855" s="2"/>
      <c r="M855" s="2"/>
      <c r="N855" s="2"/>
      <c r="O855" s="2"/>
      <c r="P855" s="2"/>
      <c r="Q855" s="2"/>
      <c r="S855" s="3"/>
      <c r="T855" s="3"/>
      <c r="U855" s="3"/>
      <c r="V855" s="3"/>
      <c r="W855" s="3"/>
      <c r="X855" s="3"/>
      <c r="Y855" s="3"/>
      <c r="Z855" s="3"/>
    </row>
    <row r="856" ht="15.75" customHeight="1">
      <c r="A856" s="3"/>
      <c r="B856" s="2"/>
      <c r="C856" s="667"/>
      <c r="D856" s="2"/>
      <c r="E856" s="464"/>
      <c r="F856" s="2"/>
      <c r="G856" s="2"/>
      <c r="H856" s="2"/>
      <c r="I856" s="2"/>
      <c r="J856" s="2"/>
      <c r="K856" s="2"/>
      <c r="L856" s="2"/>
      <c r="M856" s="2"/>
      <c r="N856" s="2"/>
      <c r="O856" s="2"/>
      <c r="P856" s="2"/>
      <c r="Q856" s="2"/>
      <c r="S856" s="3"/>
      <c r="T856" s="3"/>
      <c r="U856" s="3"/>
      <c r="V856" s="3"/>
      <c r="W856" s="3"/>
      <c r="X856" s="3"/>
      <c r="Y856" s="3"/>
      <c r="Z856" s="3"/>
    </row>
    <row r="857" ht="15.75" customHeight="1">
      <c r="A857" s="3"/>
      <c r="B857" s="2"/>
      <c r="C857" s="667"/>
      <c r="D857" s="2"/>
      <c r="E857" s="464"/>
      <c r="F857" s="2"/>
      <c r="G857" s="2"/>
      <c r="H857" s="2"/>
      <c r="I857" s="2"/>
      <c r="J857" s="2"/>
      <c r="K857" s="2"/>
      <c r="L857" s="2"/>
      <c r="M857" s="2"/>
      <c r="N857" s="2"/>
      <c r="O857" s="2"/>
      <c r="P857" s="2"/>
      <c r="Q857" s="2"/>
      <c r="S857" s="3"/>
      <c r="T857" s="3"/>
      <c r="U857" s="3"/>
      <c r="V857" s="3"/>
      <c r="W857" s="3"/>
      <c r="X857" s="3"/>
      <c r="Y857" s="3"/>
      <c r="Z857" s="3"/>
    </row>
    <row r="858" ht="15.75" customHeight="1">
      <c r="A858" s="3"/>
      <c r="B858" s="2"/>
      <c r="C858" s="667"/>
      <c r="D858" s="2"/>
      <c r="E858" s="464"/>
      <c r="F858" s="2"/>
      <c r="G858" s="2"/>
      <c r="H858" s="2"/>
      <c r="I858" s="2"/>
      <c r="J858" s="2"/>
      <c r="K858" s="2"/>
      <c r="L858" s="2"/>
      <c r="M858" s="2"/>
      <c r="N858" s="2"/>
      <c r="O858" s="2"/>
      <c r="P858" s="2"/>
      <c r="Q858" s="2"/>
      <c r="S858" s="3"/>
      <c r="T858" s="3"/>
      <c r="U858" s="3"/>
      <c r="V858" s="3"/>
      <c r="W858" s="3"/>
      <c r="X858" s="3"/>
      <c r="Y858" s="3"/>
      <c r="Z858" s="3"/>
    </row>
    <row r="859" ht="15.75" customHeight="1">
      <c r="A859" s="3"/>
      <c r="B859" s="2"/>
      <c r="C859" s="667"/>
      <c r="D859" s="2"/>
      <c r="E859" s="464"/>
      <c r="F859" s="2"/>
      <c r="G859" s="2"/>
      <c r="H859" s="2"/>
      <c r="I859" s="2"/>
      <c r="J859" s="2"/>
      <c r="K859" s="2"/>
      <c r="L859" s="2"/>
      <c r="M859" s="2"/>
      <c r="N859" s="2"/>
      <c r="O859" s="2"/>
      <c r="P859" s="2"/>
      <c r="Q859" s="2"/>
      <c r="S859" s="3"/>
      <c r="T859" s="3"/>
      <c r="U859" s="3"/>
      <c r="V859" s="3"/>
      <c r="W859" s="3"/>
      <c r="X859" s="3"/>
      <c r="Y859" s="3"/>
      <c r="Z859" s="3"/>
    </row>
    <row r="860" ht="15.75" customHeight="1">
      <c r="A860" s="3"/>
      <c r="B860" s="2"/>
      <c r="C860" s="667"/>
      <c r="D860" s="2"/>
      <c r="E860" s="464"/>
      <c r="F860" s="2"/>
      <c r="G860" s="2"/>
      <c r="H860" s="2"/>
      <c r="I860" s="2"/>
      <c r="J860" s="2"/>
      <c r="K860" s="2"/>
      <c r="L860" s="2"/>
      <c r="M860" s="2"/>
      <c r="N860" s="2"/>
      <c r="O860" s="2"/>
      <c r="P860" s="2"/>
      <c r="Q860" s="2"/>
      <c r="S860" s="3"/>
      <c r="T860" s="3"/>
      <c r="U860" s="3"/>
      <c r="V860" s="3"/>
      <c r="W860" s="3"/>
      <c r="X860" s="3"/>
      <c r="Y860" s="3"/>
      <c r="Z860" s="3"/>
    </row>
    <row r="861" ht="15.75" customHeight="1">
      <c r="A861" s="3"/>
      <c r="B861" s="2"/>
      <c r="C861" s="667"/>
      <c r="D861" s="2"/>
      <c r="E861" s="464"/>
      <c r="F861" s="2"/>
      <c r="G861" s="2"/>
      <c r="H861" s="2"/>
      <c r="I861" s="2"/>
      <c r="J861" s="2"/>
      <c r="K861" s="2"/>
      <c r="L861" s="2"/>
      <c r="M861" s="2"/>
      <c r="N861" s="2"/>
      <c r="O861" s="2"/>
      <c r="P861" s="2"/>
      <c r="Q861" s="2"/>
      <c r="S861" s="3"/>
      <c r="T861" s="3"/>
      <c r="U861" s="3"/>
      <c r="V861" s="3"/>
      <c r="W861" s="3"/>
      <c r="X861" s="3"/>
      <c r="Y861" s="3"/>
      <c r="Z861" s="3"/>
    </row>
    <row r="862" ht="15.75" customHeight="1">
      <c r="A862" s="3"/>
      <c r="B862" s="2"/>
      <c r="C862" s="667"/>
      <c r="D862" s="2"/>
      <c r="E862" s="464"/>
      <c r="F862" s="2"/>
      <c r="G862" s="2"/>
      <c r="H862" s="2"/>
      <c r="I862" s="2"/>
      <c r="J862" s="2"/>
      <c r="K862" s="2"/>
      <c r="L862" s="2"/>
      <c r="M862" s="2"/>
      <c r="N862" s="2"/>
      <c r="O862" s="2"/>
      <c r="P862" s="2"/>
      <c r="Q862" s="2"/>
      <c r="S862" s="3"/>
      <c r="T862" s="3"/>
      <c r="U862" s="3"/>
      <c r="V862" s="3"/>
      <c r="W862" s="3"/>
      <c r="X862" s="3"/>
      <c r="Y862" s="3"/>
      <c r="Z862" s="3"/>
    </row>
    <row r="863" ht="15.75" customHeight="1">
      <c r="A863" s="3"/>
      <c r="B863" s="2"/>
      <c r="C863" s="667"/>
      <c r="D863" s="2"/>
      <c r="E863" s="464"/>
      <c r="F863" s="2"/>
      <c r="G863" s="2"/>
      <c r="H863" s="2"/>
      <c r="I863" s="2"/>
      <c r="J863" s="2"/>
      <c r="K863" s="2"/>
      <c r="L863" s="2"/>
      <c r="M863" s="2"/>
      <c r="N863" s="2"/>
      <c r="O863" s="2"/>
      <c r="P863" s="2"/>
      <c r="Q863" s="2"/>
      <c r="S863" s="3"/>
      <c r="T863" s="3"/>
      <c r="U863" s="3"/>
      <c r="V863" s="3"/>
      <c r="W863" s="3"/>
      <c r="X863" s="3"/>
      <c r="Y863" s="3"/>
      <c r="Z863" s="3"/>
    </row>
    <row r="864" ht="15.75" customHeight="1">
      <c r="A864" s="3"/>
      <c r="B864" s="2"/>
      <c r="C864" s="667"/>
      <c r="D864" s="2"/>
      <c r="E864" s="464"/>
      <c r="F864" s="2"/>
      <c r="G864" s="2"/>
      <c r="H864" s="2"/>
      <c r="I864" s="2"/>
      <c r="J864" s="2"/>
      <c r="K864" s="2"/>
      <c r="L864" s="2"/>
      <c r="M864" s="2"/>
      <c r="N864" s="2"/>
      <c r="O864" s="2"/>
      <c r="P864" s="2"/>
      <c r="Q864" s="2"/>
      <c r="S864" s="3"/>
      <c r="T864" s="3"/>
      <c r="U864" s="3"/>
      <c r="V864" s="3"/>
      <c r="W864" s="3"/>
      <c r="X864" s="3"/>
      <c r="Y864" s="3"/>
      <c r="Z864" s="3"/>
    </row>
    <row r="865" ht="15.75" customHeight="1">
      <c r="A865" s="3"/>
      <c r="B865" s="2"/>
      <c r="C865" s="667"/>
      <c r="D865" s="2"/>
      <c r="E865" s="464"/>
      <c r="F865" s="2"/>
      <c r="G865" s="2"/>
      <c r="H865" s="2"/>
      <c r="I865" s="2"/>
      <c r="J865" s="2"/>
      <c r="K865" s="2"/>
      <c r="L865" s="2"/>
      <c r="M865" s="2"/>
      <c r="N865" s="2"/>
      <c r="O865" s="2"/>
      <c r="P865" s="2"/>
      <c r="Q865" s="2"/>
      <c r="S865" s="3"/>
      <c r="T865" s="3"/>
      <c r="U865" s="3"/>
      <c r="V865" s="3"/>
      <c r="W865" s="3"/>
      <c r="X865" s="3"/>
      <c r="Y865" s="3"/>
      <c r="Z865" s="3"/>
    </row>
    <row r="866" ht="15.75" customHeight="1">
      <c r="A866" s="3"/>
      <c r="B866" s="2"/>
      <c r="C866" s="667"/>
      <c r="D866" s="2"/>
      <c r="E866" s="464"/>
      <c r="F866" s="2"/>
      <c r="G866" s="2"/>
      <c r="H866" s="2"/>
      <c r="I866" s="2"/>
      <c r="J866" s="2"/>
      <c r="K866" s="2"/>
      <c r="L866" s="2"/>
      <c r="M866" s="2"/>
      <c r="N866" s="2"/>
      <c r="O866" s="2"/>
      <c r="P866" s="2"/>
      <c r="Q866" s="2"/>
      <c r="S866" s="3"/>
      <c r="T866" s="3"/>
      <c r="U866" s="3"/>
      <c r="V866" s="3"/>
      <c r="W866" s="3"/>
      <c r="X866" s="3"/>
      <c r="Y866" s="3"/>
      <c r="Z866" s="3"/>
    </row>
    <row r="867" ht="15.75" customHeight="1">
      <c r="A867" s="3"/>
      <c r="B867" s="2"/>
      <c r="C867" s="667"/>
      <c r="D867" s="2"/>
      <c r="E867" s="464"/>
      <c r="F867" s="2"/>
      <c r="G867" s="2"/>
      <c r="H867" s="2"/>
      <c r="I867" s="2"/>
      <c r="J867" s="2"/>
      <c r="K867" s="2"/>
      <c r="L867" s="2"/>
      <c r="M867" s="2"/>
      <c r="N867" s="2"/>
      <c r="O867" s="2"/>
      <c r="P867" s="2"/>
      <c r="Q867" s="2"/>
      <c r="S867" s="3"/>
      <c r="T867" s="3"/>
      <c r="U867" s="3"/>
      <c r="V867" s="3"/>
      <c r="W867" s="3"/>
      <c r="X867" s="3"/>
      <c r="Y867" s="3"/>
      <c r="Z867" s="3"/>
    </row>
    <row r="868" ht="15.75" customHeight="1">
      <c r="A868" s="3"/>
      <c r="B868" s="2"/>
      <c r="C868" s="667"/>
      <c r="D868" s="2"/>
      <c r="E868" s="464"/>
      <c r="F868" s="2"/>
      <c r="G868" s="2"/>
      <c r="H868" s="2"/>
      <c r="I868" s="2"/>
      <c r="J868" s="2"/>
      <c r="K868" s="2"/>
      <c r="L868" s="2"/>
      <c r="M868" s="2"/>
      <c r="N868" s="2"/>
      <c r="O868" s="2"/>
      <c r="P868" s="2"/>
      <c r="Q868" s="2"/>
      <c r="S868" s="3"/>
      <c r="T868" s="3"/>
      <c r="U868" s="3"/>
      <c r="V868" s="3"/>
      <c r="W868" s="3"/>
      <c r="X868" s="3"/>
      <c r="Y868" s="3"/>
      <c r="Z868" s="3"/>
    </row>
    <row r="869" ht="15.75" customHeight="1">
      <c r="A869" s="3"/>
      <c r="B869" s="2"/>
      <c r="C869" s="667"/>
      <c r="D869" s="2"/>
      <c r="E869" s="464"/>
      <c r="F869" s="2"/>
      <c r="G869" s="2"/>
      <c r="H869" s="2"/>
      <c r="I869" s="2"/>
      <c r="J869" s="2"/>
      <c r="K869" s="2"/>
      <c r="L869" s="2"/>
      <c r="M869" s="2"/>
      <c r="N869" s="2"/>
      <c r="O869" s="2"/>
      <c r="P869" s="2"/>
      <c r="Q869" s="2"/>
      <c r="S869" s="3"/>
      <c r="T869" s="3"/>
      <c r="U869" s="3"/>
      <c r="V869" s="3"/>
      <c r="W869" s="3"/>
      <c r="X869" s="3"/>
      <c r="Y869" s="3"/>
      <c r="Z869" s="3"/>
    </row>
    <row r="870" ht="15.75" customHeight="1">
      <c r="A870" s="3"/>
      <c r="B870" s="2"/>
      <c r="C870" s="667"/>
      <c r="D870" s="2"/>
      <c r="E870" s="464"/>
      <c r="F870" s="2"/>
      <c r="G870" s="2"/>
      <c r="H870" s="2"/>
      <c r="I870" s="2"/>
      <c r="J870" s="2"/>
      <c r="K870" s="2"/>
      <c r="L870" s="2"/>
      <c r="M870" s="2"/>
      <c r="N870" s="2"/>
      <c r="O870" s="2"/>
      <c r="P870" s="2"/>
      <c r="Q870" s="2"/>
      <c r="S870" s="3"/>
      <c r="T870" s="3"/>
      <c r="U870" s="3"/>
      <c r="V870" s="3"/>
      <c r="W870" s="3"/>
      <c r="X870" s="3"/>
      <c r="Y870" s="3"/>
      <c r="Z870" s="3"/>
    </row>
    <row r="871" ht="15.75" customHeight="1">
      <c r="A871" s="3"/>
      <c r="B871" s="2"/>
      <c r="C871" s="667"/>
      <c r="D871" s="2"/>
      <c r="E871" s="464"/>
      <c r="F871" s="2"/>
      <c r="G871" s="2"/>
      <c r="H871" s="2"/>
      <c r="I871" s="2"/>
      <c r="J871" s="2"/>
      <c r="K871" s="2"/>
      <c r="L871" s="2"/>
      <c r="M871" s="2"/>
      <c r="N871" s="2"/>
      <c r="O871" s="2"/>
      <c r="P871" s="2"/>
      <c r="Q871" s="2"/>
      <c r="S871" s="3"/>
      <c r="T871" s="3"/>
      <c r="U871" s="3"/>
      <c r="V871" s="3"/>
      <c r="W871" s="3"/>
      <c r="X871" s="3"/>
      <c r="Y871" s="3"/>
      <c r="Z871" s="3"/>
    </row>
    <row r="872" ht="15.75" customHeight="1">
      <c r="A872" s="3"/>
      <c r="B872" s="2"/>
      <c r="C872" s="667"/>
      <c r="D872" s="2"/>
      <c r="E872" s="464"/>
      <c r="F872" s="2"/>
      <c r="G872" s="2"/>
      <c r="H872" s="2"/>
      <c r="I872" s="2"/>
      <c r="J872" s="2"/>
      <c r="K872" s="2"/>
      <c r="L872" s="2"/>
      <c r="M872" s="2"/>
      <c r="N872" s="2"/>
      <c r="O872" s="2"/>
      <c r="P872" s="2"/>
      <c r="Q872" s="2"/>
      <c r="S872" s="3"/>
      <c r="T872" s="3"/>
      <c r="U872" s="3"/>
      <c r="V872" s="3"/>
      <c r="W872" s="3"/>
      <c r="X872" s="3"/>
      <c r="Y872" s="3"/>
      <c r="Z872" s="3"/>
    </row>
    <row r="873" ht="15.75" customHeight="1">
      <c r="A873" s="3"/>
      <c r="B873" s="2"/>
      <c r="C873" s="667"/>
      <c r="D873" s="2"/>
      <c r="E873" s="464"/>
      <c r="F873" s="2"/>
      <c r="G873" s="2"/>
      <c r="H873" s="2"/>
      <c r="I873" s="2"/>
      <c r="J873" s="2"/>
      <c r="K873" s="2"/>
      <c r="L873" s="2"/>
      <c r="M873" s="2"/>
      <c r="N873" s="2"/>
      <c r="O873" s="2"/>
      <c r="P873" s="2"/>
      <c r="Q873" s="2"/>
      <c r="S873" s="3"/>
      <c r="T873" s="3"/>
      <c r="U873" s="3"/>
      <c r="V873" s="3"/>
      <c r="W873" s="3"/>
      <c r="X873" s="3"/>
      <c r="Y873" s="3"/>
      <c r="Z873" s="3"/>
    </row>
    <row r="874" ht="15.75" customHeight="1">
      <c r="A874" s="3"/>
      <c r="B874" s="2"/>
      <c r="C874" s="667"/>
      <c r="D874" s="2"/>
      <c r="E874" s="464"/>
      <c r="F874" s="2"/>
      <c r="G874" s="2"/>
      <c r="H874" s="2"/>
      <c r="I874" s="2"/>
      <c r="J874" s="2"/>
      <c r="K874" s="2"/>
      <c r="L874" s="2"/>
      <c r="M874" s="2"/>
      <c r="N874" s="2"/>
      <c r="O874" s="2"/>
      <c r="P874" s="2"/>
      <c r="Q874" s="2"/>
      <c r="S874" s="3"/>
      <c r="T874" s="3"/>
      <c r="U874" s="3"/>
      <c r="V874" s="3"/>
      <c r="W874" s="3"/>
      <c r="X874" s="3"/>
      <c r="Y874" s="3"/>
      <c r="Z874" s="3"/>
    </row>
    <row r="875" ht="15.75" customHeight="1">
      <c r="A875" s="3"/>
      <c r="B875" s="2"/>
      <c r="C875" s="667"/>
      <c r="D875" s="2"/>
      <c r="E875" s="464"/>
      <c r="F875" s="2"/>
      <c r="G875" s="2"/>
      <c r="H875" s="2"/>
      <c r="I875" s="2"/>
      <c r="J875" s="2"/>
      <c r="K875" s="2"/>
      <c r="L875" s="2"/>
      <c r="M875" s="2"/>
      <c r="N875" s="2"/>
      <c r="O875" s="2"/>
      <c r="P875" s="2"/>
      <c r="Q875" s="2"/>
      <c r="S875" s="3"/>
      <c r="T875" s="3"/>
      <c r="U875" s="3"/>
      <c r="V875" s="3"/>
      <c r="W875" s="3"/>
      <c r="X875" s="3"/>
      <c r="Y875" s="3"/>
      <c r="Z875" s="3"/>
    </row>
    <row r="876" ht="15.75" customHeight="1">
      <c r="A876" s="3"/>
      <c r="B876" s="2"/>
      <c r="C876" s="667"/>
      <c r="D876" s="2"/>
      <c r="E876" s="464"/>
      <c r="F876" s="2"/>
      <c r="G876" s="2"/>
      <c r="H876" s="2"/>
      <c r="I876" s="2"/>
      <c r="J876" s="2"/>
      <c r="K876" s="2"/>
      <c r="L876" s="2"/>
      <c r="M876" s="2"/>
      <c r="N876" s="2"/>
      <c r="O876" s="2"/>
      <c r="P876" s="2"/>
      <c r="Q876" s="2"/>
      <c r="S876" s="3"/>
      <c r="T876" s="3"/>
      <c r="U876" s="3"/>
      <c r="V876" s="3"/>
      <c r="W876" s="3"/>
      <c r="X876" s="3"/>
      <c r="Y876" s="3"/>
      <c r="Z876" s="3"/>
    </row>
    <row r="877" ht="15.75" customHeight="1">
      <c r="A877" s="3"/>
      <c r="B877" s="2"/>
      <c r="C877" s="667"/>
      <c r="D877" s="2"/>
      <c r="E877" s="464"/>
      <c r="F877" s="2"/>
      <c r="G877" s="2"/>
      <c r="H877" s="2"/>
      <c r="I877" s="2"/>
      <c r="J877" s="2"/>
      <c r="K877" s="2"/>
      <c r="L877" s="2"/>
      <c r="M877" s="2"/>
      <c r="N877" s="2"/>
      <c r="O877" s="2"/>
      <c r="P877" s="2"/>
      <c r="Q877" s="2"/>
      <c r="S877" s="3"/>
      <c r="T877" s="3"/>
      <c r="U877" s="3"/>
      <c r="V877" s="3"/>
      <c r="W877" s="3"/>
      <c r="X877" s="3"/>
      <c r="Y877" s="3"/>
      <c r="Z877" s="3"/>
    </row>
    <row r="878" ht="15.75" customHeight="1">
      <c r="A878" s="3"/>
      <c r="B878" s="2"/>
      <c r="C878" s="667"/>
      <c r="D878" s="2"/>
      <c r="E878" s="464"/>
      <c r="F878" s="2"/>
      <c r="G878" s="2"/>
      <c r="H878" s="2"/>
      <c r="I878" s="2"/>
      <c r="J878" s="2"/>
      <c r="K878" s="2"/>
      <c r="L878" s="2"/>
      <c r="M878" s="2"/>
      <c r="N878" s="2"/>
      <c r="O878" s="2"/>
      <c r="P878" s="2"/>
      <c r="Q878" s="2"/>
      <c r="S878" s="3"/>
      <c r="T878" s="3"/>
      <c r="U878" s="3"/>
      <c r="V878" s="3"/>
      <c r="W878" s="3"/>
      <c r="X878" s="3"/>
      <c r="Y878" s="3"/>
      <c r="Z878" s="3"/>
    </row>
    <row r="879" ht="15.75" customHeight="1">
      <c r="A879" s="3"/>
      <c r="B879" s="2"/>
      <c r="C879" s="667"/>
      <c r="D879" s="2"/>
      <c r="E879" s="464"/>
      <c r="F879" s="2"/>
      <c r="G879" s="2"/>
      <c r="H879" s="2"/>
      <c r="I879" s="2"/>
      <c r="J879" s="2"/>
      <c r="K879" s="2"/>
      <c r="L879" s="2"/>
      <c r="M879" s="2"/>
      <c r="N879" s="2"/>
      <c r="O879" s="2"/>
      <c r="P879" s="2"/>
      <c r="Q879" s="2"/>
      <c r="S879" s="3"/>
      <c r="T879" s="3"/>
      <c r="U879" s="3"/>
      <c r="V879" s="3"/>
      <c r="W879" s="3"/>
      <c r="X879" s="3"/>
      <c r="Y879" s="3"/>
      <c r="Z879" s="3"/>
    </row>
    <row r="880" ht="15.75" customHeight="1">
      <c r="A880" s="3"/>
      <c r="B880" s="2"/>
      <c r="C880" s="667"/>
      <c r="D880" s="2"/>
      <c r="E880" s="464"/>
      <c r="F880" s="2"/>
      <c r="G880" s="2"/>
      <c r="H880" s="2"/>
      <c r="I880" s="2"/>
      <c r="J880" s="2"/>
      <c r="K880" s="2"/>
      <c r="L880" s="2"/>
      <c r="M880" s="2"/>
      <c r="N880" s="2"/>
      <c r="O880" s="2"/>
      <c r="P880" s="2"/>
      <c r="Q880" s="2"/>
      <c r="S880" s="3"/>
      <c r="T880" s="3"/>
      <c r="U880" s="3"/>
      <c r="V880" s="3"/>
      <c r="W880" s="3"/>
      <c r="X880" s="3"/>
      <c r="Y880" s="3"/>
      <c r="Z880" s="3"/>
    </row>
    <row r="881" ht="15.75" customHeight="1">
      <c r="A881" s="3"/>
      <c r="B881" s="2"/>
      <c r="C881" s="667"/>
      <c r="D881" s="2"/>
      <c r="E881" s="464"/>
      <c r="F881" s="2"/>
      <c r="G881" s="2"/>
      <c r="H881" s="2"/>
      <c r="I881" s="2"/>
      <c r="J881" s="2"/>
      <c r="K881" s="2"/>
      <c r="L881" s="2"/>
      <c r="M881" s="2"/>
      <c r="N881" s="2"/>
      <c r="O881" s="2"/>
      <c r="P881" s="2"/>
      <c r="Q881" s="2"/>
      <c r="S881" s="3"/>
      <c r="T881" s="3"/>
      <c r="U881" s="3"/>
      <c r="V881" s="3"/>
      <c r="W881" s="3"/>
      <c r="X881" s="3"/>
      <c r="Y881" s="3"/>
      <c r="Z881" s="3"/>
    </row>
    <row r="882" ht="15.75" customHeight="1">
      <c r="A882" s="3"/>
      <c r="B882" s="2"/>
      <c r="C882" s="667"/>
      <c r="D882" s="2"/>
      <c r="E882" s="464"/>
      <c r="F882" s="2"/>
      <c r="G882" s="2"/>
      <c r="H882" s="2"/>
      <c r="I882" s="2"/>
      <c r="J882" s="2"/>
      <c r="K882" s="2"/>
      <c r="L882" s="2"/>
      <c r="M882" s="2"/>
      <c r="N882" s="2"/>
      <c r="O882" s="2"/>
      <c r="P882" s="2"/>
      <c r="Q882" s="2"/>
      <c r="S882" s="3"/>
      <c r="T882" s="3"/>
      <c r="U882" s="3"/>
      <c r="V882" s="3"/>
      <c r="W882" s="3"/>
      <c r="X882" s="3"/>
      <c r="Y882" s="3"/>
      <c r="Z882" s="3"/>
    </row>
    <row r="883" ht="15.75" customHeight="1">
      <c r="A883" s="3"/>
      <c r="B883" s="2"/>
      <c r="C883" s="667"/>
      <c r="D883" s="2"/>
      <c r="E883" s="464"/>
      <c r="F883" s="2"/>
      <c r="G883" s="2"/>
      <c r="H883" s="2"/>
      <c r="I883" s="2"/>
      <c r="J883" s="2"/>
      <c r="K883" s="2"/>
      <c r="L883" s="2"/>
      <c r="M883" s="2"/>
      <c r="N883" s="2"/>
      <c r="O883" s="2"/>
      <c r="P883" s="2"/>
      <c r="Q883" s="2"/>
      <c r="S883" s="3"/>
      <c r="T883" s="3"/>
      <c r="U883" s="3"/>
      <c r="V883" s="3"/>
      <c r="W883" s="3"/>
      <c r="X883" s="3"/>
      <c r="Y883" s="3"/>
      <c r="Z883" s="3"/>
    </row>
    <row r="884" ht="15.75" customHeight="1">
      <c r="A884" s="3"/>
      <c r="B884" s="2"/>
      <c r="C884" s="667"/>
      <c r="D884" s="2"/>
      <c r="E884" s="464"/>
      <c r="F884" s="2"/>
      <c r="G884" s="2"/>
      <c r="H884" s="2"/>
      <c r="I884" s="2"/>
      <c r="J884" s="2"/>
      <c r="K884" s="2"/>
      <c r="L884" s="2"/>
      <c r="M884" s="2"/>
      <c r="N884" s="2"/>
      <c r="O884" s="2"/>
      <c r="P884" s="2"/>
      <c r="Q884" s="2"/>
      <c r="S884" s="3"/>
      <c r="T884" s="3"/>
      <c r="U884" s="3"/>
      <c r="V884" s="3"/>
      <c r="W884" s="3"/>
      <c r="X884" s="3"/>
      <c r="Y884" s="3"/>
      <c r="Z884" s="3"/>
    </row>
    <row r="885" ht="15.75" customHeight="1">
      <c r="A885" s="3"/>
      <c r="B885" s="2"/>
      <c r="C885" s="667"/>
      <c r="D885" s="2"/>
      <c r="E885" s="464"/>
      <c r="F885" s="2"/>
      <c r="G885" s="2"/>
      <c r="H885" s="2"/>
      <c r="I885" s="2"/>
      <c r="J885" s="2"/>
      <c r="K885" s="2"/>
      <c r="L885" s="2"/>
      <c r="M885" s="2"/>
      <c r="N885" s="2"/>
      <c r="O885" s="2"/>
      <c r="P885" s="2"/>
      <c r="Q885" s="2"/>
      <c r="S885" s="3"/>
      <c r="T885" s="3"/>
      <c r="U885" s="3"/>
      <c r="V885" s="3"/>
      <c r="W885" s="3"/>
      <c r="X885" s="3"/>
      <c r="Y885" s="3"/>
      <c r="Z885" s="3"/>
    </row>
    <row r="886" ht="15.75" customHeight="1">
      <c r="A886" s="3"/>
      <c r="B886" s="2"/>
      <c r="C886" s="667"/>
      <c r="D886" s="2"/>
      <c r="E886" s="464"/>
      <c r="F886" s="2"/>
      <c r="G886" s="2"/>
      <c r="H886" s="2"/>
      <c r="I886" s="2"/>
      <c r="J886" s="2"/>
      <c r="K886" s="2"/>
      <c r="L886" s="2"/>
      <c r="M886" s="2"/>
      <c r="N886" s="2"/>
      <c r="O886" s="2"/>
      <c r="P886" s="2"/>
      <c r="Q886" s="2"/>
      <c r="S886" s="3"/>
      <c r="T886" s="3"/>
      <c r="U886" s="3"/>
      <c r="V886" s="3"/>
      <c r="W886" s="3"/>
      <c r="X886" s="3"/>
      <c r="Y886" s="3"/>
      <c r="Z886" s="3"/>
    </row>
    <row r="887" ht="15.75" customHeight="1">
      <c r="A887" s="3"/>
      <c r="B887" s="2"/>
      <c r="C887" s="667"/>
      <c r="D887" s="2"/>
      <c r="E887" s="464"/>
      <c r="F887" s="2"/>
      <c r="G887" s="2"/>
      <c r="H887" s="2"/>
      <c r="I887" s="2"/>
      <c r="J887" s="2"/>
      <c r="K887" s="2"/>
      <c r="L887" s="2"/>
      <c r="M887" s="2"/>
      <c r="N887" s="2"/>
      <c r="O887" s="2"/>
      <c r="P887" s="2"/>
      <c r="Q887" s="2"/>
      <c r="S887" s="3"/>
      <c r="T887" s="3"/>
      <c r="U887" s="3"/>
      <c r="V887" s="3"/>
      <c r="W887" s="3"/>
      <c r="X887" s="3"/>
      <c r="Y887" s="3"/>
      <c r="Z887" s="3"/>
    </row>
    <row r="888" ht="15.75" customHeight="1">
      <c r="A888" s="3"/>
      <c r="B888" s="2"/>
      <c r="C888" s="667"/>
      <c r="D888" s="2"/>
      <c r="E888" s="464"/>
      <c r="F888" s="2"/>
      <c r="G888" s="2"/>
      <c r="H888" s="2"/>
      <c r="I888" s="2"/>
      <c r="J888" s="2"/>
      <c r="K888" s="2"/>
      <c r="L888" s="2"/>
      <c r="M888" s="2"/>
      <c r="N888" s="2"/>
      <c r="O888" s="2"/>
      <c r="P888" s="2"/>
      <c r="Q888" s="2"/>
      <c r="S888" s="3"/>
      <c r="T888" s="3"/>
      <c r="U888" s="3"/>
      <c r="V888" s="3"/>
      <c r="W888" s="3"/>
      <c r="X888" s="3"/>
      <c r="Y888" s="3"/>
      <c r="Z888" s="3"/>
    </row>
    <row r="889" ht="15.75" customHeight="1">
      <c r="A889" s="3"/>
      <c r="B889" s="2"/>
      <c r="C889" s="667"/>
      <c r="D889" s="2"/>
      <c r="E889" s="464"/>
      <c r="F889" s="2"/>
      <c r="G889" s="2"/>
      <c r="H889" s="2"/>
      <c r="I889" s="2"/>
      <c r="J889" s="2"/>
      <c r="K889" s="2"/>
      <c r="L889" s="2"/>
      <c r="M889" s="2"/>
      <c r="N889" s="2"/>
      <c r="O889" s="2"/>
      <c r="P889" s="2"/>
      <c r="Q889" s="2"/>
      <c r="S889" s="3"/>
      <c r="T889" s="3"/>
      <c r="U889" s="3"/>
      <c r="V889" s="3"/>
      <c r="W889" s="3"/>
      <c r="X889" s="3"/>
      <c r="Y889" s="3"/>
      <c r="Z889" s="3"/>
    </row>
    <row r="890" ht="15.75" customHeight="1">
      <c r="A890" s="3"/>
      <c r="B890" s="2"/>
      <c r="C890" s="667"/>
      <c r="D890" s="2"/>
      <c r="E890" s="464"/>
      <c r="F890" s="2"/>
      <c r="G890" s="2"/>
      <c r="H890" s="2"/>
      <c r="I890" s="2"/>
      <c r="J890" s="2"/>
      <c r="K890" s="2"/>
      <c r="L890" s="2"/>
      <c r="M890" s="2"/>
      <c r="N890" s="2"/>
      <c r="O890" s="2"/>
      <c r="P890" s="2"/>
      <c r="Q890" s="2"/>
      <c r="S890" s="3"/>
      <c r="T890" s="3"/>
      <c r="U890" s="3"/>
      <c r="V890" s="3"/>
      <c r="W890" s="3"/>
      <c r="X890" s="3"/>
      <c r="Y890" s="3"/>
      <c r="Z890" s="3"/>
    </row>
    <row r="891" ht="15.75" customHeight="1">
      <c r="A891" s="3"/>
      <c r="B891" s="2"/>
      <c r="C891" s="667"/>
      <c r="D891" s="2"/>
      <c r="E891" s="464"/>
      <c r="F891" s="2"/>
      <c r="G891" s="2"/>
      <c r="H891" s="2"/>
      <c r="I891" s="2"/>
      <c r="J891" s="2"/>
      <c r="K891" s="2"/>
      <c r="L891" s="2"/>
      <c r="M891" s="2"/>
      <c r="N891" s="2"/>
      <c r="O891" s="2"/>
      <c r="P891" s="2"/>
      <c r="Q891" s="2"/>
      <c r="S891" s="3"/>
      <c r="T891" s="3"/>
      <c r="U891" s="3"/>
      <c r="V891" s="3"/>
      <c r="W891" s="3"/>
      <c r="X891" s="3"/>
      <c r="Y891" s="3"/>
      <c r="Z891" s="3"/>
    </row>
    <row r="892" ht="15.75" customHeight="1">
      <c r="A892" s="3"/>
      <c r="B892" s="2"/>
      <c r="C892" s="667"/>
      <c r="D892" s="2"/>
      <c r="E892" s="464"/>
      <c r="F892" s="2"/>
      <c r="G892" s="2"/>
      <c r="H892" s="2"/>
      <c r="I892" s="2"/>
      <c r="J892" s="2"/>
      <c r="K892" s="2"/>
      <c r="L892" s="2"/>
      <c r="M892" s="2"/>
      <c r="N892" s="2"/>
      <c r="O892" s="2"/>
      <c r="P892" s="2"/>
      <c r="Q892" s="2"/>
      <c r="S892" s="3"/>
      <c r="T892" s="3"/>
      <c r="U892" s="3"/>
      <c r="V892" s="3"/>
      <c r="W892" s="3"/>
      <c r="X892" s="3"/>
      <c r="Y892" s="3"/>
      <c r="Z892" s="3"/>
    </row>
    <row r="893" ht="15.75" customHeight="1">
      <c r="A893" s="3"/>
      <c r="B893" s="2"/>
      <c r="C893" s="667"/>
      <c r="D893" s="2"/>
      <c r="E893" s="464"/>
      <c r="F893" s="2"/>
      <c r="G893" s="2"/>
      <c r="H893" s="2"/>
      <c r="I893" s="2"/>
      <c r="J893" s="2"/>
      <c r="K893" s="2"/>
      <c r="L893" s="2"/>
      <c r="M893" s="2"/>
      <c r="N893" s="2"/>
      <c r="O893" s="2"/>
      <c r="P893" s="2"/>
      <c r="Q893" s="2"/>
      <c r="S893" s="3"/>
      <c r="T893" s="3"/>
      <c r="U893" s="3"/>
      <c r="V893" s="3"/>
      <c r="W893" s="3"/>
      <c r="X893" s="3"/>
      <c r="Y893" s="3"/>
      <c r="Z893" s="3"/>
    </row>
    <row r="894" ht="15.75" customHeight="1">
      <c r="A894" s="3"/>
      <c r="B894" s="2"/>
      <c r="C894" s="667"/>
      <c r="D894" s="2"/>
      <c r="E894" s="464"/>
      <c r="F894" s="2"/>
      <c r="G894" s="2"/>
      <c r="H894" s="2"/>
      <c r="I894" s="2"/>
      <c r="J894" s="2"/>
      <c r="K894" s="2"/>
      <c r="L894" s="2"/>
      <c r="M894" s="2"/>
      <c r="N894" s="2"/>
      <c r="O894" s="2"/>
      <c r="P894" s="2"/>
      <c r="Q894" s="2"/>
      <c r="S894" s="3"/>
      <c r="T894" s="3"/>
      <c r="U894" s="3"/>
      <c r="V894" s="3"/>
      <c r="W894" s="3"/>
      <c r="X894" s="3"/>
      <c r="Y894" s="3"/>
      <c r="Z894" s="3"/>
    </row>
    <row r="895" ht="15.75" customHeight="1">
      <c r="A895" s="3"/>
      <c r="B895" s="2"/>
      <c r="C895" s="667"/>
      <c r="D895" s="2"/>
      <c r="E895" s="464"/>
      <c r="F895" s="2"/>
      <c r="G895" s="2"/>
      <c r="H895" s="2"/>
      <c r="I895" s="2"/>
      <c r="J895" s="2"/>
      <c r="K895" s="2"/>
      <c r="L895" s="2"/>
      <c r="M895" s="2"/>
      <c r="N895" s="2"/>
      <c r="O895" s="2"/>
      <c r="P895" s="2"/>
      <c r="Q895" s="2"/>
      <c r="S895" s="3"/>
      <c r="T895" s="3"/>
      <c r="U895" s="3"/>
      <c r="V895" s="3"/>
      <c r="W895" s="3"/>
      <c r="X895" s="3"/>
      <c r="Y895" s="3"/>
      <c r="Z895" s="3"/>
    </row>
    <row r="896" ht="15.75" customHeight="1">
      <c r="A896" s="3"/>
      <c r="B896" s="2"/>
      <c r="C896" s="667"/>
      <c r="D896" s="2"/>
      <c r="E896" s="464"/>
      <c r="F896" s="2"/>
      <c r="G896" s="2"/>
      <c r="H896" s="2"/>
      <c r="I896" s="2"/>
      <c r="J896" s="2"/>
      <c r="K896" s="2"/>
      <c r="L896" s="2"/>
      <c r="M896" s="2"/>
      <c r="N896" s="2"/>
      <c r="O896" s="2"/>
      <c r="P896" s="2"/>
      <c r="Q896" s="2"/>
      <c r="S896" s="3"/>
      <c r="T896" s="3"/>
      <c r="U896" s="3"/>
      <c r="V896" s="3"/>
      <c r="W896" s="3"/>
      <c r="X896" s="3"/>
      <c r="Y896" s="3"/>
      <c r="Z896" s="3"/>
    </row>
    <row r="897" ht="15.75" customHeight="1">
      <c r="A897" s="3"/>
      <c r="B897" s="2"/>
      <c r="C897" s="667"/>
      <c r="D897" s="2"/>
      <c r="E897" s="464"/>
      <c r="F897" s="2"/>
      <c r="G897" s="2"/>
      <c r="H897" s="2"/>
      <c r="I897" s="2"/>
      <c r="J897" s="2"/>
      <c r="K897" s="2"/>
      <c r="L897" s="2"/>
      <c r="M897" s="2"/>
      <c r="N897" s="2"/>
      <c r="O897" s="2"/>
      <c r="P897" s="2"/>
      <c r="Q897" s="2"/>
      <c r="S897" s="3"/>
      <c r="T897" s="3"/>
      <c r="U897" s="3"/>
      <c r="V897" s="3"/>
      <c r="W897" s="3"/>
      <c r="X897" s="3"/>
      <c r="Y897" s="3"/>
      <c r="Z897" s="3"/>
    </row>
    <row r="898" ht="15.75" customHeight="1">
      <c r="A898" s="3"/>
      <c r="B898" s="2"/>
      <c r="C898" s="667"/>
      <c r="D898" s="2"/>
      <c r="E898" s="464"/>
      <c r="F898" s="2"/>
      <c r="G898" s="2"/>
      <c r="H898" s="2"/>
      <c r="I898" s="2"/>
      <c r="J898" s="2"/>
      <c r="K898" s="2"/>
      <c r="L898" s="2"/>
      <c r="M898" s="2"/>
      <c r="N898" s="2"/>
      <c r="O898" s="2"/>
      <c r="P898" s="2"/>
      <c r="Q898" s="2"/>
      <c r="S898" s="3"/>
      <c r="T898" s="3"/>
      <c r="U898" s="3"/>
      <c r="V898" s="3"/>
      <c r="W898" s="3"/>
      <c r="X898" s="3"/>
      <c r="Y898" s="3"/>
      <c r="Z898" s="3"/>
    </row>
    <row r="899" ht="15.75" customHeight="1">
      <c r="A899" s="3"/>
      <c r="B899" s="2"/>
      <c r="C899" s="667"/>
      <c r="D899" s="2"/>
      <c r="E899" s="464"/>
      <c r="F899" s="2"/>
      <c r="G899" s="2"/>
      <c r="H899" s="2"/>
      <c r="I899" s="2"/>
      <c r="J899" s="2"/>
      <c r="K899" s="2"/>
      <c r="L899" s="2"/>
      <c r="M899" s="2"/>
      <c r="N899" s="2"/>
      <c r="O899" s="2"/>
      <c r="P899" s="2"/>
      <c r="Q899" s="2"/>
      <c r="S899" s="3"/>
      <c r="T899" s="3"/>
      <c r="U899" s="3"/>
      <c r="V899" s="3"/>
      <c r="W899" s="3"/>
      <c r="X899" s="3"/>
      <c r="Y899" s="3"/>
      <c r="Z899" s="3"/>
    </row>
    <row r="900" ht="15.75" customHeight="1">
      <c r="A900" s="3"/>
      <c r="B900" s="2"/>
      <c r="C900" s="667"/>
      <c r="D900" s="2"/>
      <c r="E900" s="464"/>
      <c r="F900" s="2"/>
      <c r="G900" s="2"/>
      <c r="H900" s="2"/>
      <c r="I900" s="2"/>
      <c r="J900" s="2"/>
      <c r="K900" s="2"/>
      <c r="L900" s="2"/>
      <c r="M900" s="2"/>
      <c r="N900" s="2"/>
      <c r="O900" s="2"/>
      <c r="P900" s="2"/>
      <c r="Q900" s="2"/>
      <c r="S900" s="3"/>
      <c r="T900" s="3"/>
      <c r="U900" s="3"/>
      <c r="V900" s="3"/>
      <c r="W900" s="3"/>
      <c r="X900" s="3"/>
      <c r="Y900" s="3"/>
      <c r="Z900" s="3"/>
    </row>
    <row r="901" ht="15.75" customHeight="1">
      <c r="A901" s="3"/>
      <c r="B901" s="2"/>
      <c r="C901" s="667"/>
      <c r="D901" s="2"/>
      <c r="E901" s="464"/>
      <c r="F901" s="2"/>
      <c r="G901" s="2"/>
      <c r="H901" s="2"/>
      <c r="I901" s="2"/>
      <c r="J901" s="2"/>
      <c r="K901" s="2"/>
      <c r="L901" s="2"/>
      <c r="M901" s="2"/>
      <c r="N901" s="2"/>
      <c r="O901" s="2"/>
      <c r="P901" s="2"/>
      <c r="Q901" s="2"/>
      <c r="S901" s="3"/>
      <c r="T901" s="3"/>
      <c r="U901" s="3"/>
      <c r="V901" s="3"/>
      <c r="W901" s="3"/>
      <c r="X901" s="3"/>
      <c r="Y901" s="3"/>
      <c r="Z901" s="3"/>
    </row>
    <row r="902" ht="15.75" customHeight="1">
      <c r="A902" s="3"/>
      <c r="B902" s="2"/>
      <c r="C902" s="667"/>
      <c r="D902" s="2"/>
      <c r="E902" s="464"/>
      <c r="F902" s="2"/>
      <c r="G902" s="2"/>
      <c r="H902" s="2"/>
      <c r="I902" s="2"/>
      <c r="J902" s="2"/>
      <c r="K902" s="2"/>
      <c r="L902" s="2"/>
      <c r="M902" s="2"/>
      <c r="N902" s="2"/>
      <c r="O902" s="2"/>
      <c r="P902" s="2"/>
      <c r="Q902" s="2"/>
      <c r="S902" s="3"/>
      <c r="T902" s="3"/>
      <c r="U902" s="3"/>
      <c r="V902" s="3"/>
      <c r="W902" s="3"/>
      <c r="X902" s="3"/>
      <c r="Y902" s="3"/>
      <c r="Z902" s="3"/>
    </row>
    <row r="903" ht="15.75" customHeight="1">
      <c r="A903" s="3"/>
      <c r="B903" s="2"/>
      <c r="C903" s="667"/>
      <c r="D903" s="2"/>
      <c r="E903" s="464"/>
      <c r="F903" s="2"/>
      <c r="G903" s="2"/>
      <c r="H903" s="2"/>
      <c r="I903" s="2"/>
      <c r="J903" s="2"/>
      <c r="K903" s="2"/>
      <c r="L903" s="2"/>
      <c r="M903" s="2"/>
      <c r="N903" s="2"/>
      <c r="O903" s="2"/>
      <c r="P903" s="2"/>
      <c r="Q903" s="2"/>
      <c r="S903" s="3"/>
      <c r="T903" s="3"/>
      <c r="U903" s="3"/>
      <c r="V903" s="3"/>
      <c r="W903" s="3"/>
      <c r="X903" s="3"/>
      <c r="Y903" s="3"/>
      <c r="Z903" s="3"/>
    </row>
    <row r="904" ht="15.75" customHeight="1">
      <c r="A904" s="3"/>
      <c r="B904" s="2"/>
      <c r="C904" s="667"/>
      <c r="D904" s="2"/>
      <c r="E904" s="464"/>
      <c r="F904" s="2"/>
      <c r="G904" s="2"/>
      <c r="H904" s="2"/>
      <c r="I904" s="2"/>
      <c r="J904" s="2"/>
      <c r="K904" s="2"/>
      <c r="L904" s="2"/>
      <c r="M904" s="2"/>
      <c r="N904" s="2"/>
      <c r="O904" s="2"/>
      <c r="P904" s="2"/>
      <c r="Q904" s="2"/>
      <c r="S904" s="3"/>
      <c r="T904" s="3"/>
      <c r="U904" s="3"/>
      <c r="V904" s="3"/>
      <c r="W904" s="3"/>
      <c r="X904" s="3"/>
      <c r="Y904" s="3"/>
      <c r="Z904" s="3"/>
    </row>
    <row r="905" ht="15.75" customHeight="1">
      <c r="A905" s="3"/>
      <c r="B905" s="2"/>
      <c r="C905" s="667"/>
      <c r="D905" s="2"/>
      <c r="E905" s="464"/>
      <c r="F905" s="2"/>
      <c r="G905" s="2"/>
      <c r="H905" s="2"/>
      <c r="I905" s="2"/>
      <c r="J905" s="2"/>
      <c r="K905" s="2"/>
      <c r="L905" s="2"/>
      <c r="M905" s="2"/>
      <c r="N905" s="2"/>
      <c r="O905" s="2"/>
      <c r="P905" s="2"/>
      <c r="Q905" s="2"/>
      <c r="S905" s="3"/>
      <c r="T905" s="3"/>
      <c r="U905" s="3"/>
      <c r="V905" s="3"/>
      <c r="W905" s="3"/>
      <c r="X905" s="3"/>
      <c r="Y905" s="3"/>
      <c r="Z905" s="3"/>
    </row>
    <row r="906" ht="15.75" customHeight="1">
      <c r="A906" s="3"/>
      <c r="B906" s="2"/>
      <c r="C906" s="667"/>
      <c r="D906" s="2"/>
      <c r="E906" s="464"/>
      <c r="F906" s="2"/>
      <c r="G906" s="2"/>
      <c r="H906" s="2"/>
      <c r="I906" s="2"/>
      <c r="J906" s="2"/>
      <c r="K906" s="2"/>
      <c r="L906" s="2"/>
      <c r="M906" s="2"/>
      <c r="N906" s="2"/>
      <c r="O906" s="2"/>
      <c r="P906" s="2"/>
      <c r="Q906" s="2"/>
      <c r="S906" s="3"/>
      <c r="T906" s="3"/>
      <c r="U906" s="3"/>
      <c r="V906" s="3"/>
      <c r="W906" s="3"/>
      <c r="X906" s="3"/>
      <c r="Y906" s="3"/>
      <c r="Z906" s="3"/>
    </row>
    <row r="907" ht="15.75" customHeight="1">
      <c r="A907" s="3"/>
      <c r="B907" s="2"/>
      <c r="C907" s="667"/>
      <c r="D907" s="2"/>
      <c r="E907" s="464"/>
      <c r="F907" s="2"/>
      <c r="G907" s="2"/>
      <c r="H907" s="2"/>
      <c r="I907" s="2"/>
      <c r="J907" s="2"/>
      <c r="K907" s="2"/>
      <c r="L907" s="2"/>
      <c r="M907" s="2"/>
      <c r="N907" s="2"/>
      <c r="O907" s="2"/>
      <c r="P907" s="2"/>
      <c r="Q907" s="2"/>
      <c r="S907" s="3"/>
      <c r="T907" s="3"/>
      <c r="U907" s="3"/>
      <c r="V907" s="3"/>
      <c r="W907" s="3"/>
      <c r="X907" s="3"/>
      <c r="Y907" s="3"/>
      <c r="Z907" s="3"/>
    </row>
    <row r="908" ht="15.75" customHeight="1">
      <c r="A908" s="3"/>
      <c r="B908" s="2"/>
      <c r="C908" s="667"/>
      <c r="D908" s="2"/>
      <c r="E908" s="464"/>
      <c r="F908" s="2"/>
      <c r="G908" s="2"/>
      <c r="H908" s="2"/>
      <c r="I908" s="2"/>
      <c r="J908" s="2"/>
      <c r="K908" s="2"/>
      <c r="L908" s="2"/>
      <c r="M908" s="2"/>
      <c r="N908" s="2"/>
      <c r="O908" s="2"/>
      <c r="P908" s="2"/>
      <c r="Q908" s="2"/>
      <c r="S908" s="3"/>
      <c r="T908" s="3"/>
      <c r="U908" s="3"/>
      <c r="V908" s="3"/>
      <c r="W908" s="3"/>
      <c r="X908" s="3"/>
      <c r="Y908" s="3"/>
      <c r="Z908" s="3"/>
    </row>
    <row r="909" ht="15.75" customHeight="1">
      <c r="A909" s="3"/>
      <c r="B909" s="2"/>
      <c r="C909" s="667"/>
      <c r="D909" s="2"/>
      <c r="E909" s="464"/>
      <c r="F909" s="2"/>
      <c r="G909" s="2"/>
      <c r="H909" s="2"/>
      <c r="I909" s="2"/>
      <c r="J909" s="2"/>
      <c r="K909" s="2"/>
      <c r="L909" s="2"/>
      <c r="M909" s="2"/>
      <c r="N909" s="2"/>
      <c r="O909" s="2"/>
      <c r="P909" s="2"/>
      <c r="Q909" s="2"/>
      <c r="S909" s="3"/>
      <c r="T909" s="3"/>
      <c r="U909" s="3"/>
      <c r="V909" s="3"/>
      <c r="W909" s="3"/>
      <c r="X909" s="3"/>
      <c r="Y909" s="3"/>
      <c r="Z909" s="3"/>
    </row>
    <row r="910" ht="15.75" customHeight="1">
      <c r="A910" s="3"/>
      <c r="B910" s="2"/>
      <c r="C910" s="667"/>
      <c r="D910" s="2"/>
      <c r="E910" s="464"/>
      <c r="F910" s="2"/>
      <c r="G910" s="2"/>
      <c r="H910" s="2"/>
      <c r="I910" s="2"/>
      <c r="J910" s="2"/>
      <c r="K910" s="2"/>
      <c r="L910" s="2"/>
      <c r="M910" s="2"/>
      <c r="N910" s="2"/>
      <c r="O910" s="2"/>
      <c r="P910" s="2"/>
      <c r="Q910" s="2"/>
      <c r="S910" s="3"/>
      <c r="T910" s="3"/>
      <c r="U910" s="3"/>
      <c r="V910" s="3"/>
      <c r="W910" s="3"/>
      <c r="X910" s="3"/>
      <c r="Y910" s="3"/>
      <c r="Z910" s="3"/>
    </row>
    <row r="911" ht="15.75" customHeight="1">
      <c r="A911" s="3"/>
      <c r="B911" s="2"/>
      <c r="C911" s="667"/>
      <c r="D911" s="2"/>
      <c r="E911" s="464"/>
      <c r="F911" s="2"/>
      <c r="G911" s="2"/>
      <c r="H911" s="2"/>
      <c r="I911" s="2"/>
      <c r="J911" s="2"/>
      <c r="K911" s="2"/>
      <c r="L911" s="2"/>
      <c r="M911" s="2"/>
      <c r="N911" s="2"/>
      <c r="O911" s="2"/>
      <c r="P911" s="2"/>
      <c r="Q911" s="2"/>
      <c r="S911" s="3"/>
      <c r="T911" s="3"/>
      <c r="U911" s="3"/>
      <c r="V911" s="3"/>
      <c r="W911" s="3"/>
      <c r="X911" s="3"/>
      <c r="Y911" s="3"/>
      <c r="Z911" s="3"/>
    </row>
    <row r="912" ht="15.75" customHeight="1">
      <c r="A912" s="3"/>
      <c r="B912" s="2"/>
      <c r="C912" s="667"/>
      <c r="D912" s="2"/>
      <c r="E912" s="464"/>
      <c r="F912" s="2"/>
      <c r="G912" s="2"/>
      <c r="H912" s="2"/>
      <c r="I912" s="2"/>
      <c r="J912" s="2"/>
      <c r="K912" s="2"/>
      <c r="L912" s="2"/>
      <c r="M912" s="2"/>
      <c r="N912" s="2"/>
      <c r="O912" s="2"/>
      <c r="P912" s="2"/>
      <c r="Q912" s="2"/>
      <c r="S912" s="3"/>
      <c r="T912" s="3"/>
      <c r="U912" s="3"/>
      <c r="V912" s="3"/>
      <c r="W912" s="3"/>
      <c r="X912" s="3"/>
      <c r="Y912" s="3"/>
      <c r="Z912" s="3"/>
    </row>
    <row r="913" ht="15.75" customHeight="1">
      <c r="A913" s="3"/>
      <c r="B913" s="2"/>
      <c r="C913" s="667"/>
      <c r="D913" s="2"/>
      <c r="E913" s="464"/>
      <c r="F913" s="2"/>
      <c r="G913" s="2"/>
      <c r="H913" s="2"/>
      <c r="I913" s="2"/>
      <c r="J913" s="2"/>
      <c r="K913" s="2"/>
      <c r="L913" s="2"/>
      <c r="M913" s="2"/>
      <c r="N913" s="2"/>
      <c r="O913" s="2"/>
      <c r="P913" s="2"/>
      <c r="Q913" s="2"/>
      <c r="S913" s="3"/>
      <c r="T913" s="3"/>
      <c r="U913" s="3"/>
      <c r="V913" s="3"/>
      <c r="W913" s="3"/>
      <c r="X913" s="3"/>
      <c r="Y913" s="3"/>
      <c r="Z913" s="3"/>
    </row>
    <row r="914" ht="15.75" customHeight="1">
      <c r="A914" s="3"/>
      <c r="B914" s="2"/>
      <c r="C914" s="667"/>
      <c r="D914" s="2"/>
      <c r="E914" s="464"/>
      <c r="F914" s="2"/>
      <c r="G914" s="2"/>
      <c r="H914" s="2"/>
      <c r="I914" s="2"/>
      <c r="J914" s="2"/>
      <c r="K914" s="2"/>
      <c r="L914" s="2"/>
      <c r="M914" s="2"/>
      <c r="N914" s="2"/>
      <c r="O914" s="2"/>
      <c r="P914" s="2"/>
      <c r="Q914" s="2"/>
      <c r="S914" s="3"/>
      <c r="T914" s="3"/>
      <c r="U914" s="3"/>
      <c r="V914" s="3"/>
      <c r="W914" s="3"/>
      <c r="X914" s="3"/>
      <c r="Y914" s="3"/>
      <c r="Z914" s="3"/>
    </row>
    <row r="915" ht="15.75" customHeight="1">
      <c r="A915" s="3"/>
      <c r="B915" s="2"/>
      <c r="C915" s="667"/>
      <c r="D915" s="2"/>
      <c r="E915" s="464"/>
      <c r="F915" s="2"/>
      <c r="G915" s="2"/>
      <c r="H915" s="2"/>
      <c r="I915" s="2"/>
      <c r="J915" s="2"/>
      <c r="K915" s="2"/>
      <c r="L915" s="2"/>
      <c r="M915" s="2"/>
      <c r="N915" s="2"/>
      <c r="O915" s="2"/>
      <c r="P915" s="2"/>
      <c r="Q915" s="2"/>
      <c r="S915" s="3"/>
      <c r="T915" s="3"/>
      <c r="U915" s="3"/>
      <c r="V915" s="3"/>
      <c r="W915" s="3"/>
      <c r="X915" s="3"/>
      <c r="Y915" s="3"/>
      <c r="Z915" s="3"/>
    </row>
    <row r="916" ht="15.75" customHeight="1">
      <c r="A916" s="3"/>
      <c r="B916" s="2"/>
      <c r="C916" s="667"/>
      <c r="D916" s="2"/>
      <c r="E916" s="464"/>
      <c r="F916" s="2"/>
      <c r="G916" s="2"/>
      <c r="H916" s="2"/>
      <c r="I916" s="2"/>
      <c r="J916" s="2"/>
      <c r="K916" s="2"/>
      <c r="L916" s="2"/>
      <c r="M916" s="2"/>
      <c r="N916" s="2"/>
      <c r="O916" s="2"/>
      <c r="P916" s="2"/>
      <c r="Q916" s="2"/>
      <c r="S916" s="3"/>
      <c r="T916" s="3"/>
      <c r="U916" s="3"/>
      <c r="V916" s="3"/>
      <c r="W916" s="3"/>
      <c r="X916" s="3"/>
      <c r="Y916" s="3"/>
      <c r="Z916" s="3"/>
    </row>
    <row r="917" ht="15.75" customHeight="1">
      <c r="A917" s="3"/>
      <c r="B917" s="2"/>
      <c r="C917" s="667"/>
      <c r="D917" s="2"/>
      <c r="E917" s="464"/>
      <c r="F917" s="2"/>
      <c r="G917" s="2"/>
      <c r="H917" s="2"/>
      <c r="I917" s="2"/>
      <c r="J917" s="2"/>
      <c r="K917" s="2"/>
      <c r="L917" s="2"/>
      <c r="M917" s="2"/>
      <c r="N917" s="2"/>
      <c r="O917" s="2"/>
      <c r="P917" s="2"/>
      <c r="Q917" s="2"/>
      <c r="S917" s="3"/>
      <c r="T917" s="3"/>
      <c r="U917" s="3"/>
      <c r="V917" s="3"/>
      <c r="W917" s="3"/>
      <c r="X917" s="3"/>
      <c r="Y917" s="3"/>
      <c r="Z917" s="3"/>
    </row>
    <row r="918" ht="15.75" customHeight="1">
      <c r="A918" s="3"/>
      <c r="B918" s="2"/>
      <c r="C918" s="667"/>
      <c r="D918" s="2"/>
      <c r="E918" s="464"/>
      <c r="F918" s="2"/>
      <c r="G918" s="2"/>
      <c r="H918" s="2"/>
      <c r="I918" s="2"/>
      <c r="J918" s="2"/>
      <c r="K918" s="2"/>
      <c r="L918" s="2"/>
      <c r="M918" s="2"/>
      <c r="N918" s="2"/>
      <c r="O918" s="2"/>
      <c r="P918" s="2"/>
      <c r="Q918" s="2"/>
      <c r="S918" s="3"/>
      <c r="T918" s="3"/>
      <c r="U918" s="3"/>
      <c r="V918" s="3"/>
      <c r="W918" s="3"/>
      <c r="X918" s="3"/>
      <c r="Y918" s="3"/>
      <c r="Z918" s="3"/>
    </row>
    <row r="919" ht="15.75" customHeight="1">
      <c r="A919" s="3"/>
      <c r="B919" s="2"/>
      <c r="C919" s="667"/>
      <c r="D919" s="2"/>
      <c r="E919" s="464"/>
      <c r="F919" s="2"/>
      <c r="G919" s="2"/>
      <c r="H919" s="2"/>
      <c r="I919" s="2"/>
      <c r="J919" s="2"/>
      <c r="K919" s="2"/>
      <c r="L919" s="2"/>
      <c r="M919" s="2"/>
      <c r="N919" s="2"/>
      <c r="O919" s="2"/>
      <c r="P919" s="2"/>
      <c r="Q919" s="2"/>
      <c r="S919" s="3"/>
      <c r="T919" s="3"/>
      <c r="U919" s="3"/>
      <c r="V919" s="3"/>
      <c r="W919" s="3"/>
      <c r="X919" s="3"/>
      <c r="Y919" s="3"/>
      <c r="Z919" s="3"/>
    </row>
    <row r="920" ht="15.75" customHeight="1">
      <c r="A920" s="3"/>
      <c r="B920" s="2"/>
      <c r="C920" s="667"/>
      <c r="D920" s="2"/>
      <c r="E920" s="464"/>
      <c r="F920" s="2"/>
      <c r="G920" s="2"/>
      <c r="H920" s="2"/>
      <c r="I920" s="2"/>
      <c r="J920" s="2"/>
      <c r="K920" s="2"/>
      <c r="L920" s="2"/>
      <c r="M920" s="2"/>
      <c r="N920" s="2"/>
      <c r="O920" s="2"/>
      <c r="P920" s="2"/>
      <c r="Q920" s="2"/>
      <c r="S920" s="3"/>
      <c r="T920" s="3"/>
      <c r="U920" s="3"/>
      <c r="V920" s="3"/>
      <c r="W920" s="3"/>
      <c r="X920" s="3"/>
      <c r="Y920" s="3"/>
      <c r="Z920" s="3"/>
    </row>
    <row r="921" ht="15.75" customHeight="1">
      <c r="A921" s="3"/>
      <c r="B921" s="2"/>
      <c r="C921" s="667"/>
      <c r="D921" s="2"/>
      <c r="E921" s="464"/>
      <c r="F921" s="2"/>
      <c r="G921" s="2"/>
      <c r="H921" s="2"/>
      <c r="I921" s="2"/>
      <c r="J921" s="2"/>
      <c r="K921" s="2"/>
      <c r="L921" s="2"/>
      <c r="M921" s="2"/>
      <c r="N921" s="2"/>
      <c r="O921" s="2"/>
      <c r="P921" s="2"/>
      <c r="Q921" s="2"/>
      <c r="S921" s="3"/>
      <c r="T921" s="3"/>
      <c r="U921" s="3"/>
      <c r="V921" s="3"/>
      <c r="W921" s="3"/>
      <c r="X921" s="3"/>
      <c r="Y921" s="3"/>
      <c r="Z921" s="3"/>
    </row>
    <row r="922" ht="15.75" customHeight="1">
      <c r="A922" s="3"/>
      <c r="B922" s="2"/>
      <c r="C922" s="667"/>
      <c r="D922" s="2"/>
      <c r="E922" s="464"/>
      <c r="F922" s="2"/>
      <c r="G922" s="2"/>
      <c r="H922" s="2"/>
      <c r="I922" s="2"/>
      <c r="J922" s="2"/>
      <c r="K922" s="2"/>
      <c r="L922" s="2"/>
      <c r="M922" s="2"/>
      <c r="N922" s="2"/>
      <c r="O922" s="2"/>
      <c r="P922" s="2"/>
      <c r="Q922" s="2"/>
      <c r="S922" s="3"/>
      <c r="T922" s="3"/>
      <c r="U922" s="3"/>
      <c r="V922" s="3"/>
      <c r="W922" s="3"/>
      <c r="X922" s="3"/>
      <c r="Y922" s="3"/>
      <c r="Z922" s="3"/>
    </row>
    <row r="923" ht="15.75" customHeight="1">
      <c r="A923" s="3"/>
      <c r="B923" s="2"/>
      <c r="C923" s="667"/>
      <c r="D923" s="2"/>
      <c r="E923" s="464"/>
      <c r="F923" s="2"/>
      <c r="G923" s="2"/>
      <c r="H923" s="2"/>
      <c r="I923" s="2"/>
      <c r="J923" s="2"/>
      <c r="K923" s="2"/>
      <c r="L923" s="2"/>
      <c r="M923" s="2"/>
      <c r="N923" s="2"/>
      <c r="O923" s="2"/>
      <c r="P923" s="2"/>
      <c r="Q923" s="2"/>
      <c r="S923" s="3"/>
      <c r="T923" s="3"/>
      <c r="U923" s="3"/>
      <c r="V923" s="3"/>
      <c r="W923" s="3"/>
      <c r="X923" s="3"/>
      <c r="Y923" s="3"/>
      <c r="Z923" s="3"/>
    </row>
    <row r="924" ht="15.75" customHeight="1">
      <c r="A924" s="3"/>
      <c r="B924" s="2"/>
      <c r="C924" s="667"/>
      <c r="D924" s="2"/>
      <c r="E924" s="464"/>
      <c r="F924" s="2"/>
      <c r="G924" s="2"/>
      <c r="H924" s="2"/>
      <c r="I924" s="2"/>
      <c r="J924" s="2"/>
      <c r="K924" s="2"/>
      <c r="L924" s="2"/>
      <c r="M924" s="2"/>
      <c r="N924" s="2"/>
      <c r="O924" s="2"/>
      <c r="P924" s="2"/>
      <c r="Q924" s="2"/>
      <c r="S924" s="3"/>
      <c r="T924" s="3"/>
      <c r="U924" s="3"/>
      <c r="V924" s="3"/>
      <c r="W924" s="3"/>
      <c r="X924" s="3"/>
      <c r="Y924" s="3"/>
      <c r="Z924" s="3"/>
    </row>
    <row r="925" ht="15.75" customHeight="1">
      <c r="A925" s="3"/>
      <c r="B925" s="2"/>
      <c r="C925" s="667"/>
      <c r="D925" s="2"/>
      <c r="E925" s="464"/>
      <c r="F925" s="2"/>
      <c r="G925" s="2"/>
      <c r="H925" s="2"/>
      <c r="I925" s="2"/>
      <c r="J925" s="2"/>
      <c r="K925" s="2"/>
      <c r="L925" s="2"/>
      <c r="M925" s="2"/>
      <c r="N925" s="2"/>
      <c r="O925" s="2"/>
      <c r="P925" s="2"/>
      <c r="Q925" s="2"/>
      <c r="S925" s="3"/>
      <c r="T925" s="3"/>
      <c r="U925" s="3"/>
      <c r="V925" s="3"/>
      <c r="W925" s="3"/>
      <c r="X925" s="3"/>
      <c r="Y925" s="3"/>
      <c r="Z925" s="3"/>
    </row>
    <row r="926" ht="15.75" customHeight="1">
      <c r="A926" s="3"/>
      <c r="B926" s="2"/>
      <c r="C926" s="667"/>
      <c r="D926" s="2"/>
      <c r="E926" s="464"/>
      <c r="F926" s="2"/>
      <c r="G926" s="2"/>
      <c r="H926" s="2"/>
      <c r="I926" s="2"/>
      <c r="J926" s="2"/>
      <c r="K926" s="2"/>
      <c r="L926" s="2"/>
      <c r="M926" s="2"/>
      <c r="N926" s="2"/>
      <c r="O926" s="2"/>
      <c r="P926" s="2"/>
      <c r="Q926" s="2"/>
      <c r="S926" s="3"/>
      <c r="T926" s="3"/>
      <c r="U926" s="3"/>
      <c r="V926" s="3"/>
      <c r="W926" s="3"/>
      <c r="X926" s="3"/>
      <c r="Y926" s="3"/>
      <c r="Z926" s="3"/>
    </row>
    <row r="927" ht="15.75" customHeight="1">
      <c r="A927" s="3"/>
      <c r="B927" s="2"/>
      <c r="C927" s="667"/>
      <c r="D927" s="2"/>
      <c r="E927" s="464"/>
      <c r="F927" s="2"/>
      <c r="G927" s="2"/>
      <c r="H927" s="2"/>
      <c r="I927" s="2"/>
      <c r="J927" s="2"/>
      <c r="K927" s="2"/>
      <c r="L927" s="2"/>
      <c r="M927" s="2"/>
      <c r="N927" s="2"/>
      <c r="O927" s="2"/>
      <c r="P927" s="2"/>
      <c r="Q927" s="2"/>
      <c r="S927" s="3"/>
      <c r="T927" s="3"/>
      <c r="U927" s="3"/>
      <c r="V927" s="3"/>
      <c r="W927" s="3"/>
      <c r="X927" s="3"/>
      <c r="Y927" s="3"/>
      <c r="Z927" s="3"/>
    </row>
    <row r="928" ht="15.75" customHeight="1">
      <c r="A928" s="3"/>
      <c r="B928" s="2"/>
      <c r="C928" s="667"/>
      <c r="D928" s="2"/>
      <c r="E928" s="464"/>
      <c r="F928" s="2"/>
      <c r="G928" s="2"/>
      <c r="H928" s="2"/>
      <c r="I928" s="2"/>
      <c r="J928" s="2"/>
      <c r="K928" s="2"/>
      <c r="L928" s="2"/>
      <c r="M928" s="2"/>
      <c r="N928" s="2"/>
      <c r="O928" s="2"/>
      <c r="P928" s="2"/>
      <c r="Q928" s="2"/>
      <c r="S928" s="3"/>
      <c r="T928" s="3"/>
      <c r="U928" s="3"/>
      <c r="V928" s="3"/>
      <c r="W928" s="3"/>
      <c r="X928" s="3"/>
      <c r="Y928" s="3"/>
      <c r="Z928" s="3"/>
    </row>
    <row r="929" ht="15.75" customHeight="1">
      <c r="A929" s="3"/>
      <c r="B929" s="2"/>
      <c r="C929" s="667"/>
      <c r="D929" s="2"/>
      <c r="E929" s="464"/>
      <c r="F929" s="2"/>
      <c r="G929" s="2"/>
      <c r="H929" s="2"/>
      <c r="I929" s="2"/>
      <c r="J929" s="2"/>
      <c r="K929" s="2"/>
      <c r="L929" s="2"/>
      <c r="M929" s="2"/>
      <c r="N929" s="2"/>
      <c r="O929" s="2"/>
      <c r="P929" s="2"/>
      <c r="Q929" s="2"/>
      <c r="S929" s="3"/>
      <c r="T929" s="3"/>
      <c r="U929" s="3"/>
      <c r="V929" s="3"/>
      <c r="W929" s="3"/>
      <c r="X929" s="3"/>
      <c r="Y929" s="3"/>
      <c r="Z929" s="3"/>
    </row>
    <row r="930" ht="15.75" customHeight="1">
      <c r="A930" s="3"/>
      <c r="B930" s="2"/>
      <c r="C930" s="667"/>
      <c r="D930" s="2"/>
      <c r="E930" s="464"/>
      <c r="F930" s="2"/>
      <c r="G930" s="2"/>
      <c r="H930" s="2"/>
      <c r="I930" s="2"/>
      <c r="J930" s="2"/>
      <c r="K930" s="2"/>
      <c r="L930" s="2"/>
      <c r="M930" s="2"/>
      <c r="N930" s="2"/>
      <c r="O930" s="2"/>
      <c r="P930" s="2"/>
      <c r="Q930" s="2"/>
      <c r="S930" s="3"/>
      <c r="T930" s="3"/>
      <c r="U930" s="3"/>
      <c r="V930" s="3"/>
      <c r="W930" s="3"/>
      <c r="X930" s="3"/>
      <c r="Y930" s="3"/>
      <c r="Z930" s="3"/>
    </row>
    <row r="931" ht="15.75" customHeight="1">
      <c r="A931" s="3"/>
      <c r="B931" s="2"/>
      <c r="C931" s="667"/>
      <c r="D931" s="2"/>
      <c r="E931" s="464"/>
      <c r="F931" s="2"/>
      <c r="G931" s="2"/>
      <c r="H931" s="2"/>
      <c r="I931" s="2"/>
      <c r="J931" s="2"/>
      <c r="K931" s="2"/>
      <c r="L931" s="2"/>
      <c r="M931" s="2"/>
      <c r="N931" s="2"/>
      <c r="O931" s="2"/>
      <c r="P931" s="2"/>
      <c r="Q931" s="2"/>
      <c r="S931" s="3"/>
      <c r="T931" s="3"/>
      <c r="U931" s="3"/>
      <c r="V931" s="3"/>
      <c r="W931" s="3"/>
      <c r="X931" s="3"/>
      <c r="Y931" s="3"/>
      <c r="Z931" s="3"/>
    </row>
    <row r="932" ht="15.75" customHeight="1">
      <c r="A932" s="3"/>
      <c r="B932" s="2"/>
      <c r="C932" s="667"/>
      <c r="D932" s="2"/>
      <c r="E932" s="464"/>
      <c r="F932" s="2"/>
      <c r="G932" s="2"/>
      <c r="H932" s="2"/>
      <c r="I932" s="2"/>
      <c r="J932" s="2"/>
      <c r="K932" s="2"/>
      <c r="L932" s="2"/>
      <c r="M932" s="2"/>
      <c r="N932" s="2"/>
      <c r="O932" s="2"/>
      <c r="P932" s="2"/>
      <c r="Q932" s="2"/>
      <c r="S932" s="3"/>
      <c r="T932" s="3"/>
      <c r="U932" s="3"/>
      <c r="V932" s="3"/>
      <c r="W932" s="3"/>
      <c r="X932" s="3"/>
      <c r="Y932" s="3"/>
      <c r="Z932" s="3"/>
    </row>
    <row r="933" ht="15.75" customHeight="1">
      <c r="A933" s="3"/>
      <c r="B933" s="2"/>
      <c r="C933" s="667"/>
      <c r="D933" s="2"/>
      <c r="E933" s="464"/>
      <c r="F933" s="2"/>
      <c r="G933" s="2"/>
      <c r="H933" s="2"/>
      <c r="I933" s="2"/>
      <c r="J933" s="2"/>
      <c r="K933" s="2"/>
      <c r="L933" s="2"/>
      <c r="M933" s="2"/>
      <c r="N933" s="2"/>
      <c r="O933" s="2"/>
      <c r="P933" s="2"/>
      <c r="Q933" s="2"/>
      <c r="S933" s="3"/>
      <c r="T933" s="3"/>
      <c r="U933" s="3"/>
      <c r="V933" s="3"/>
      <c r="W933" s="3"/>
      <c r="X933" s="3"/>
      <c r="Y933" s="3"/>
      <c r="Z933" s="3"/>
    </row>
    <row r="934" ht="15.75" customHeight="1">
      <c r="A934" s="3"/>
      <c r="B934" s="2"/>
      <c r="C934" s="667"/>
      <c r="D934" s="2"/>
      <c r="E934" s="464"/>
      <c r="F934" s="2"/>
      <c r="G934" s="2"/>
      <c r="H934" s="2"/>
      <c r="I934" s="2"/>
      <c r="J934" s="2"/>
      <c r="K934" s="2"/>
      <c r="L934" s="2"/>
      <c r="M934" s="2"/>
      <c r="N934" s="2"/>
      <c r="O934" s="2"/>
      <c r="P934" s="2"/>
      <c r="Q934" s="2"/>
      <c r="S934" s="3"/>
      <c r="T934" s="3"/>
      <c r="U934" s="3"/>
      <c r="V934" s="3"/>
      <c r="W934" s="3"/>
      <c r="X934" s="3"/>
      <c r="Y934" s="3"/>
      <c r="Z934" s="3"/>
    </row>
    <row r="935" ht="15.75" customHeight="1">
      <c r="A935" s="3"/>
      <c r="B935" s="2"/>
      <c r="C935" s="667"/>
      <c r="D935" s="2"/>
      <c r="E935" s="464"/>
      <c r="F935" s="2"/>
      <c r="G935" s="2"/>
      <c r="H935" s="2"/>
      <c r="I935" s="2"/>
      <c r="J935" s="2"/>
      <c r="K935" s="2"/>
      <c r="L935" s="2"/>
      <c r="M935" s="2"/>
      <c r="N935" s="2"/>
      <c r="O935" s="2"/>
      <c r="P935" s="2"/>
      <c r="Q935" s="2"/>
      <c r="S935" s="3"/>
      <c r="T935" s="3"/>
      <c r="U935" s="3"/>
      <c r="V935" s="3"/>
      <c r="W935" s="3"/>
      <c r="X935" s="3"/>
      <c r="Y935" s="3"/>
      <c r="Z935" s="3"/>
    </row>
    <row r="936" ht="15.75" customHeight="1">
      <c r="A936" s="3"/>
      <c r="B936" s="2"/>
      <c r="C936" s="667"/>
      <c r="D936" s="2"/>
      <c r="E936" s="464"/>
      <c r="F936" s="2"/>
      <c r="G936" s="2"/>
      <c r="H936" s="2"/>
      <c r="I936" s="2"/>
      <c r="J936" s="2"/>
      <c r="K936" s="2"/>
      <c r="L936" s="2"/>
      <c r="M936" s="2"/>
      <c r="N936" s="2"/>
      <c r="O936" s="2"/>
      <c r="P936" s="2"/>
      <c r="Q936" s="2"/>
      <c r="S936" s="3"/>
      <c r="T936" s="3"/>
      <c r="U936" s="3"/>
      <c r="V936" s="3"/>
      <c r="W936" s="3"/>
      <c r="X936" s="3"/>
      <c r="Y936" s="3"/>
      <c r="Z936" s="3"/>
    </row>
    <row r="937" ht="15.75" customHeight="1">
      <c r="A937" s="3"/>
      <c r="B937" s="2"/>
      <c r="C937" s="667"/>
      <c r="D937" s="2"/>
      <c r="E937" s="464"/>
      <c r="F937" s="2"/>
      <c r="G937" s="2"/>
      <c r="H937" s="2"/>
      <c r="I937" s="2"/>
      <c r="J937" s="2"/>
      <c r="K937" s="2"/>
      <c r="L937" s="2"/>
      <c r="M937" s="2"/>
      <c r="N937" s="2"/>
      <c r="O937" s="2"/>
      <c r="P937" s="2"/>
      <c r="Q937" s="2"/>
      <c r="S937" s="3"/>
      <c r="T937" s="3"/>
      <c r="U937" s="3"/>
      <c r="V937" s="3"/>
      <c r="W937" s="3"/>
      <c r="X937" s="3"/>
      <c r="Y937" s="3"/>
      <c r="Z937" s="3"/>
    </row>
    <row r="938" ht="15.75" customHeight="1">
      <c r="A938" s="3"/>
      <c r="B938" s="2"/>
      <c r="C938" s="667"/>
      <c r="D938" s="2"/>
      <c r="E938" s="464"/>
      <c r="F938" s="2"/>
      <c r="G938" s="2"/>
      <c r="H938" s="2"/>
      <c r="I938" s="2"/>
      <c r="J938" s="2"/>
      <c r="K938" s="2"/>
      <c r="L938" s="2"/>
      <c r="M938" s="2"/>
      <c r="N938" s="2"/>
      <c r="O938" s="2"/>
      <c r="P938" s="2"/>
      <c r="Q938" s="2"/>
      <c r="S938" s="3"/>
      <c r="T938" s="3"/>
      <c r="U938" s="3"/>
      <c r="V938" s="3"/>
      <c r="W938" s="3"/>
      <c r="X938" s="3"/>
      <c r="Y938" s="3"/>
      <c r="Z938" s="3"/>
    </row>
    <row r="939" ht="15.75" customHeight="1">
      <c r="A939" s="3"/>
      <c r="B939" s="2"/>
      <c r="C939" s="667"/>
      <c r="D939" s="2"/>
      <c r="E939" s="464"/>
      <c r="F939" s="2"/>
      <c r="G939" s="2"/>
      <c r="H939" s="2"/>
      <c r="I939" s="2"/>
      <c r="J939" s="2"/>
      <c r="K939" s="2"/>
      <c r="L939" s="2"/>
      <c r="M939" s="2"/>
      <c r="N939" s="2"/>
      <c r="O939" s="2"/>
      <c r="P939" s="2"/>
      <c r="Q939" s="2"/>
      <c r="S939" s="3"/>
      <c r="T939" s="3"/>
      <c r="U939" s="3"/>
      <c r="V939" s="3"/>
      <c r="W939" s="3"/>
      <c r="X939" s="3"/>
      <c r="Y939" s="3"/>
      <c r="Z939" s="3"/>
    </row>
    <row r="940" ht="15.75" customHeight="1">
      <c r="A940" s="3"/>
      <c r="B940" s="2"/>
      <c r="C940" s="667"/>
      <c r="D940" s="2"/>
      <c r="E940" s="464"/>
      <c r="F940" s="2"/>
      <c r="G940" s="2"/>
      <c r="H940" s="2"/>
      <c r="I940" s="2"/>
      <c r="J940" s="2"/>
      <c r="K940" s="2"/>
      <c r="L940" s="2"/>
      <c r="M940" s="2"/>
      <c r="N940" s="2"/>
      <c r="O940" s="2"/>
      <c r="P940" s="2"/>
      <c r="Q940" s="2"/>
      <c r="S940" s="3"/>
      <c r="T940" s="3"/>
      <c r="U940" s="3"/>
      <c r="V940" s="3"/>
      <c r="W940" s="3"/>
      <c r="X940" s="3"/>
      <c r="Y940" s="3"/>
      <c r="Z940" s="3"/>
    </row>
    <row r="941" ht="15.75" customHeight="1">
      <c r="A941" s="3"/>
      <c r="B941" s="2"/>
      <c r="C941" s="667"/>
      <c r="D941" s="2"/>
      <c r="E941" s="464"/>
      <c r="F941" s="2"/>
      <c r="G941" s="2"/>
      <c r="H941" s="2"/>
      <c r="I941" s="2"/>
      <c r="J941" s="2"/>
      <c r="K941" s="2"/>
      <c r="L941" s="2"/>
      <c r="M941" s="2"/>
      <c r="N941" s="2"/>
      <c r="O941" s="2"/>
      <c r="P941" s="2"/>
      <c r="Q941" s="2"/>
      <c r="S941" s="3"/>
      <c r="T941" s="3"/>
      <c r="U941" s="3"/>
      <c r="V941" s="3"/>
      <c r="W941" s="3"/>
      <c r="X941" s="3"/>
      <c r="Y941" s="3"/>
      <c r="Z941" s="3"/>
    </row>
    <row r="942" ht="15.75" customHeight="1">
      <c r="A942" s="3"/>
      <c r="B942" s="2"/>
      <c r="C942" s="667"/>
      <c r="D942" s="2"/>
      <c r="E942" s="464"/>
      <c r="F942" s="2"/>
      <c r="G942" s="2"/>
      <c r="H942" s="2"/>
      <c r="I942" s="2"/>
      <c r="J942" s="2"/>
      <c r="K942" s="2"/>
      <c r="L942" s="2"/>
      <c r="M942" s="2"/>
      <c r="N942" s="2"/>
      <c r="O942" s="2"/>
      <c r="P942" s="2"/>
      <c r="Q942" s="2"/>
      <c r="S942" s="3"/>
      <c r="T942" s="3"/>
      <c r="U942" s="3"/>
      <c r="V942" s="3"/>
      <c r="W942" s="3"/>
      <c r="X942" s="3"/>
      <c r="Y942" s="3"/>
      <c r="Z942" s="3"/>
    </row>
    <row r="943" ht="15.75" customHeight="1">
      <c r="A943" s="3"/>
      <c r="B943" s="2"/>
      <c r="C943" s="667"/>
      <c r="D943" s="2"/>
      <c r="E943" s="464"/>
      <c r="F943" s="2"/>
      <c r="G943" s="2"/>
      <c r="H943" s="2"/>
      <c r="I943" s="2"/>
      <c r="J943" s="2"/>
      <c r="K943" s="2"/>
      <c r="L943" s="2"/>
      <c r="M943" s="2"/>
      <c r="N943" s="2"/>
      <c r="O943" s="2"/>
      <c r="P943" s="2"/>
      <c r="Q943" s="2"/>
      <c r="S943" s="3"/>
      <c r="T943" s="3"/>
      <c r="U943" s="3"/>
      <c r="V943" s="3"/>
      <c r="W943" s="3"/>
      <c r="X943" s="3"/>
      <c r="Y943" s="3"/>
      <c r="Z943" s="3"/>
    </row>
    <row r="944" ht="15.75" customHeight="1">
      <c r="A944" s="3"/>
      <c r="B944" s="2"/>
      <c r="C944" s="667"/>
      <c r="D944" s="2"/>
      <c r="E944" s="464"/>
      <c r="F944" s="2"/>
      <c r="G944" s="2"/>
      <c r="H944" s="2"/>
      <c r="I944" s="2"/>
      <c r="J944" s="2"/>
      <c r="K944" s="2"/>
      <c r="L944" s="2"/>
      <c r="M944" s="2"/>
      <c r="N944" s="2"/>
      <c r="O944" s="2"/>
      <c r="P944" s="2"/>
      <c r="Q944" s="2"/>
      <c r="S944" s="3"/>
      <c r="T944" s="3"/>
      <c r="U944" s="3"/>
      <c r="V944" s="3"/>
      <c r="W944" s="3"/>
      <c r="X944" s="3"/>
      <c r="Y944" s="3"/>
      <c r="Z944" s="3"/>
    </row>
    <row r="945" ht="15.75" customHeight="1">
      <c r="A945" s="3"/>
      <c r="B945" s="2"/>
      <c r="C945" s="667"/>
      <c r="D945" s="2"/>
      <c r="E945" s="464"/>
      <c r="F945" s="2"/>
      <c r="G945" s="2"/>
      <c r="H945" s="2"/>
      <c r="I945" s="2"/>
      <c r="J945" s="2"/>
      <c r="K945" s="2"/>
      <c r="L945" s="2"/>
      <c r="M945" s="2"/>
      <c r="N945" s="2"/>
      <c r="O945" s="2"/>
      <c r="P945" s="2"/>
      <c r="Q945" s="2"/>
      <c r="S945" s="3"/>
      <c r="T945" s="3"/>
      <c r="U945" s="3"/>
      <c r="V945" s="3"/>
      <c r="W945" s="3"/>
      <c r="X945" s="3"/>
      <c r="Y945" s="3"/>
      <c r="Z945" s="3"/>
    </row>
    <row r="946" ht="15.75" customHeight="1">
      <c r="A946" s="3"/>
      <c r="B946" s="2"/>
      <c r="C946" s="667"/>
      <c r="D946" s="2"/>
      <c r="E946" s="464"/>
      <c r="F946" s="2"/>
      <c r="G946" s="2"/>
      <c r="H946" s="2"/>
      <c r="I946" s="2"/>
      <c r="J946" s="2"/>
      <c r="K946" s="2"/>
      <c r="L946" s="2"/>
      <c r="M946" s="2"/>
      <c r="N946" s="2"/>
      <c r="O946" s="2"/>
      <c r="P946" s="2"/>
      <c r="Q946" s="2"/>
      <c r="S946" s="3"/>
      <c r="T946" s="3"/>
      <c r="U946" s="3"/>
      <c r="V946" s="3"/>
      <c r="W946" s="3"/>
      <c r="X946" s="3"/>
      <c r="Y946" s="3"/>
      <c r="Z946" s="3"/>
    </row>
    <row r="947" ht="15.75" customHeight="1">
      <c r="A947" s="3"/>
      <c r="B947" s="2"/>
      <c r="C947" s="667"/>
      <c r="D947" s="2"/>
      <c r="E947" s="464"/>
      <c r="F947" s="2"/>
      <c r="G947" s="2"/>
      <c r="H947" s="2"/>
      <c r="I947" s="2"/>
      <c r="J947" s="2"/>
      <c r="K947" s="2"/>
      <c r="L947" s="2"/>
      <c r="M947" s="2"/>
      <c r="N947" s="2"/>
      <c r="O947" s="2"/>
      <c r="P947" s="2"/>
      <c r="Q947" s="2"/>
      <c r="S947" s="3"/>
      <c r="T947" s="3"/>
      <c r="U947" s="3"/>
      <c r="V947" s="3"/>
      <c r="W947" s="3"/>
      <c r="X947" s="3"/>
      <c r="Y947" s="3"/>
      <c r="Z947" s="3"/>
    </row>
    <row r="948" ht="15.75" customHeight="1">
      <c r="A948" s="3"/>
      <c r="B948" s="2"/>
      <c r="C948" s="667"/>
      <c r="D948" s="2"/>
      <c r="E948" s="464"/>
      <c r="F948" s="2"/>
      <c r="G948" s="2"/>
      <c r="H948" s="2"/>
      <c r="I948" s="2"/>
      <c r="J948" s="2"/>
      <c r="K948" s="2"/>
      <c r="L948" s="2"/>
      <c r="M948" s="2"/>
      <c r="N948" s="2"/>
      <c r="O948" s="2"/>
      <c r="P948" s="2"/>
      <c r="Q948" s="2"/>
      <c r="S948" s="3"/>
      <c r="T948" s="3"/>
      <c r="U948" s="3"/>
      <c r="V948" s="3"/>
      <c r="W948" s="3"/>
      <c r="X948" s="3"/>
      <c r="Y948" s="3"/>
      <c r="Z948" s="3"/>
    </row>
    <row r="949" ht="15.75" customHeight="1">
      <c r="A949" s="3"/>
      <c r="B949" s="2"/>
      <c r="C949" s="667"/>
      <c r="D949" s="2"/>
      <c r="E949" s="464"/>
      <c r="F949" s="2"/>
      <c r="G949" s="2"/>
      <c r="H949" s="2"/>
      <c r="I949" s="2"/>
      <c r="J949" s="2"/>
      <c r="K949" s="2"/>
      <c r="L949" s="2"/>
      <c r="M949" s="2"/>
      <c r="N949" s="2"/>
      <c r="O949" s="2"/>
      <c r="P949" s="2"/>
      <c r="Q949" s="2"/>
      <c r="S949" s="3"/>
      <c r="T949" s="3"/>
      <c r="U949" s="3"/>
      <c r="V949" s="3"/>
      <c r="W949" s="3"/>
      <c r="X949" s="3"/>
      <c r="Y949" s="3"/>
      <c r="Z949" s="3"/>
    </row>
    <row r="950" ht="15.75" customHeight="1">
      <c r="A950" s="3"/>
      <c r="B950" s="2"/>
      <c r="C950" s="667"/>
      <c r="D950" s="2"/>
      <c r="E950" s="464"/>
      <c r="F950" s="2"/>
      <c r="G950" s="2"/>
      <c r="H950" s="2"/>
      <c r="I950" s="2"/>
      <c r="J950" s="2"/>
      <c r="K950" s="2"/>
      <c r="L950" s="2"/>
      <c r="M950" s="2"/>
      <c r="N950" s="2"/>
      <c r="O950" s="2"/>
      <c r="P950" s="2"/>
      <c r="Q950" s="2"/>
      <c r="S950" s="3"/>
      <c r="T950" s="3"/>
      <c r="U950" s="3"/>
      <c r="V950" s="3"/>
      <c r="W950" s="3"/>
      <c r="X950" s="3"/>
      <c r="Y950" s="3"/>
      <c r="Z950" s="3"/>
    </row>
    <row r="951" ht="15.75" customHeight="1">
      <c r="A951" s="3"/>
      <c r="B951" s="2"/>
      <c r="C951" s="667"/>
      <c r="D951" s="2"/>
      <c r="E951" s="464"/>
      <c r="F951" s="2"/>
      <c r="G951" s="2"/>
      <c r="H951" s="2"/>
      <c r="I951" s="2"/>
      <c r="J951" s="2"/>
      <c r="K951" s="2"/>
      <c r="L951" s="2"/>
      <c r="M951" s="2"/>
      <c r="N951" s="2"/>
      <c r="O951" s="2"/>
      <c r="P951" s="2"/>
      <c r="Q951" s="2"/>
      <c r="S951" s="3"/>
      <c r="T951" s="3"/>
      <c r="U951" s="3"/>
      <c r="V951" s="3"/>
      <c r="W951" s="3"/>
      <c r="X951" s="3"/>
      <c r="Y951" s="3"/>
      <c r="Z951" s="3"/>
    </row>
    <row r="952" ht="15.75" customHeight="1">
      <c r="A952" s="3"/>
      <c r="B952" s="2"/>
      <c r="C952" s="667"/>
      <c r="D952" s="2"/>
      <c r="E952" s="464"/>
      <c r="F952" s="2"/>
      <c r="G952" s="2"/>
      <c r="H952" s="2"/>
      <c r="I952" s="2"/>
      <c r="J952" s="2"/>
      <c r="K952" s="2"/>
      <c r="L952" s="2"/>
      <c r="M952" s="2"/>
      <c r="N952" s="2"/>
      <c r="O952" s="2"/>
      <c r="P952" s="2"/>
      <c r="Q952" s="2"/>
      <c r="S952" s="3"/>
      <c r="T952" s="3"/>
      <c r="U952" s="3"/>
      <c r="V952" s="3"/>
      <c r="W952" s="3"/>
      <c r="X952" s="3"/>
      <c r="Y952" s="3"/>
      <c r="Z952" s="3"/>
    </row>
    <row r="953" ht="15.75" customHeight="1">
      <c r="A953" s="3"/>
      <c r="B953" s="2"/>
      <c r="C953" s="667"/>
      <c r="D953" s="2"/>
      <c r="E953" s="464"/>
      <c r="F953" s="2"/>
      <c r="G953" s="2"/>
      <c r="H953" s="2"/>
      <c r="I953" s="2"/>
      <c r="J953" s="2"/>
      <c r="K953" s="2"/>
      <c r="L953" s="2"/>
      <c r="M953" s="2"/>
      <c r="N953" s="2"/>
      <c r="O953" s="2"/>
      <c r="P953" s="2"/>
      <c r="Q953" s="2"/>
      <c r="S953" s="3"/>
      <c r="T953" s="3"/>
      <c r="U953" s="3"/>
      <c r="V953" s="3"/>
      <c r="W953" s="3"/>
      <c r="X953" s="3"/>
      <c r="Y953" s="3"/>
      <c r="Z953" s="3"/>
    </row>
    <row r="954" ht="15.75" customHeight="1">
      <c r="A954" s="3"/>
      <c r="B954" s="2"/>
      <c r="C954" s="667"/>
      <c r="D954" s="2"/>
      <c r="E954" s="464"/>
      <c r="F954" s="2"/>
      <c r="G954" s="2"/>
      <c r="H954" s="2"/>
      <c r="I954" s="2"/>
      <c r="J954" s="2"/>
      <c r="K954" s="2"/>
      <c r="L954" s="2"/>
      <c r="M954" s="2"/>
      <c r="N954" s="2"/>
      <c r="O954" s="2"/>
      <c r="P954" s="2"/>
      <c r="Q954" s="2"/>
      <c r="S954" s="3"/>
      <c r="T954" s="3"/>
      <c r="U954" s="3"/>
      <c r="V954" s="3"/>
      <c r="W954" s="3"/>
      <c r="X954" s="3"/>
      <c r="Y954" s="3"/>
      <c r="Z954" s="3"/>
    </row>
    <row r="955" ht="15.75" customHeight="1">
      <c r="A955" s="3"/>
      <c r="B955" s="2"/>
      <c r="C955" s="667"/>
      <c r="D955" s="2"/>
      <c r="E955" s="464"/>
      <c r="F955" s="2"/>
      <c r="G955" s="2"/>
      <c r="H955" s="2"/>
      <c r="I955" s="2"/>
      <c r="J955" s="2"/>
      <c r="K955" s="2"/>
      <c r="L955" s="2"/>
      <c r="M955" s="2"/>
      <c r="N955" s="2"/>
      <c r="O955" s="2"/>
      <c r="P955" s="2"/>
      <c r="Q955" s="2"/>
      <c r="S955" s="3"/>
      <c r="T955" s="3"/>
      <c r="U955" s="3"/>
      <c r="V955" s="3"/>
      <c r="W955" s="3"/>
      <c r="X955" s="3"/>
      <c r="Y955" s="3"/>
      <c r="Z955" s="3"/>
    </row>
    <row r="956" ht="15.75" customHeight="1">
      <c r="A956" s="3"/>
      <c r="B956" s="2"/>
      <c r="C956" s="667"/>
      <c r="D956" s="2"/>
      <c r="E956" s="464"/>
      <c r="F956" s="2"/>
      <c r="G956" s="2"/>
      <c r="H956" s="2"/>
      <c r="I956" s="2"/>
      <c r="J956" s="2"/>
      <c r="K956" s="2"/>
      <c r="L956" s="2"/>
      <c r="M956" s="2"/>
      <c r="N956" s="2"/>
      <c r="O956" s="2"/>
      <c r="P956" s="2"/>
      <c r="Q956" s="2"/>
      <c r="S956" s="3"/>
      <c r="T956" s="3"/>
      <c r="U956" s="3"/>
      <c r="V956" s="3"/>
      <c r="W956" s="3"/>
      <c r="X956" s="3"/>
      <c r="Y956" s="3"/>
      <c r="Z956" s="3"/>
    </row>
    <row r="957" ht="15.75" customHeight="1">
      <c r="A957" s="3"/>
      <c r="B957" s="2"/>
      <c r="C957" s="667"/>
      <c r="D957" s="2"/>
      <c r="E957" s="464"/>
      <c r="F957" s="2"/>
      <c r="G957" s="2"/>
      <c r="H957" s="2"/>
      <c r="I957" s="2"/>
      <c r="J957" s="2"/>
      <c r="K957" s="2"/>
      <c r="L957" s="2"/>
      <c r="M957" s="2"/>
      <c r="N957" s="2"/>
      <c r="O957" s="2"/>
      <c r="P957" s="2"/>
      <c r="Q957" s="2"/>
      <c r="S957" s="3"/>
      <c r="T957" s="3"/>
      <c r="U957" s="3"/>
      <c r="V957" s="3"/>
      <c r="W957" s="3"/>
      <c r="X957" s="3"/>
      <c r="Y957" s="3"/>
      <c r="Z957" s="3"/>
    </row>
    <row r="958" ht="15.75" customHeight="1">
      <c r="A958" s="3"/>
      <c r="B958" s="2"/>
      <c r="C958" s="667"/>
      <c r="D958" s="2"/>
      <c r="E958" s="464"/>
      <c r="F958" s="2"/>
      <c r="G958" s="2"/>
      <c r="H958" s="2"/>
      <c r="I958" s="2"/>
      <c r="J958" s="2"/>
      <c r="K958" s="2"/>
      <c r="L958" s="2"/>
      <c r="M958" s="2"/>
      <c r="N958" s="2"/>
      <c r="O958" s="2"/>
      <c r="P958" s="2"/>
      <c r="Q958" s="2"/>
      <c r="S958" s="3"/>
      <c r="T958" s="3"/>
      <c r="U958" s="3"/>
      <c r="V958" s="3"/>
      <c r="W958" s="3"/>
      <c r="X958" s="3"/>
      <c r="Y958" s="3"/>
      <c r="Z958" s="3"/>
    </row>
    <row r="959" ht="15.75" customHeight="1">
      <c r="A959" s="3"/>
      <c r="B959" s="2"/>
      <c r="C959" s="667"/>
      <c r="D959" s="2"/>
      <c r="E959" s="464"/>
      <c r="F959" s="2"/>
      <c r="G959" s="2"/>
      <c r="H959" s="2"/>
      <c r="I959" s="2"/>
      <c r="J959" s="2"/>
      <c r="K959" s="2"/>
      <c r="L959" s="2"/>
      <c r="M959" s="2"/>
      <c r="N959" s="2"/>
      <c r="O959" s="2"/>
      <c r="P959" s="2"/>
      <c r="Q959" s="2"/>
      <c r="S959" s="3"/>
      <c r="T959" s="3"/>
      <c r="U959" s="3"/>
      <c r="V959" s="3"/>
      <c r="W959" s="3"/>
      <c r="X959" s="3"/>
      <c r="Y959" s="3"/>
      <c r="Z959" s="3"/>
    </row>
    <row r="960" ht="15.75" customHeight="1">
      <c r="A960" s="3"/>
      <c r="B960" s="2"/>
      <c r="C960" s="667"/>
      <c r="D960" s="2"/>
      <c r="E960" s="464"/>
      <c r="F960" s="2"/>
      <c r="G960" s="2"/>
      <c r="H960" s="2"/>
      <c r="I960" s="2"/>
      <c r="J960" s="2"/>
      <c r="K960" s="2"/>
      <c r="L960" s="2"/>
      <c r="M960" s="2"/>
      <c r="N960" s="2"/>
      <c r="O960" s="2"/>
      <c r="P960" s="2"/>
      <c r="Q960" s="2"/>
      <c r="S960" s="3"/>
      <c r="T960" s="3"/>
      <c r="U960" s="3"/>
      <c r="V960" s="3"/>
      <c r="W960" s="3"/>
      <c r="X960" s="3"/>
      <c r="Y960" s="3"/>
      <c r="Z960" s="3"/>
    </row>
    <row r="961" ht="15.75" customHeight="1">
      <c r="A961" s="3"/>
      <c r="B961" s="2"/>
      <c r="C961" s="667"/>
      <c r="D961" s="2"/>
      <c r="E961" s="464"/>
      <c r="F961" s="2"/>
      <c r="G961" s="2"/>
      <c r="H961" s="2"/>
      <c r="I961" s="2"/>
      <c r="J961" s="2"/>
      <c r="K961" s="2"/>
      <c r="L961" s="2"/>
      <c r="M961" s="2"/>
      <c r="N961" s="2"/>
      <c r="O961" s="2"/>
      <c r="P961" s="2"/>
      <c r="Q961" s="2"/>
      <c r="S961" s="3"/>
      <c r="T961" s="3"/>
      <c r="U961" s="3"/>
      <c r="V961" s="3"/>
      <c r="W961" s="3"/>
      <c r="X961" s="3"/>
      <c r="Y961" s="3"/>
      <c r="Z961" s="3"/>
    </row>
    <row r="962" ht="15.75" customHeight="1">
      <c r="A962" s="3"/>
      <c r="B962" s="2"/>
      <c r="C962" s="667"/>
      <c r="D962" s="2"/>
      <c r="E962" s="464"/>
      <c r="F962" s="2"/>
      <c r="G962" s="2"/>
      <c r="H962" s="2"/>
      <c r="I962" s="2"/>
      <c r="J962" s="2"/>
      <c r="K962" s="2"/>
      <c r="L962" s="2"/>
      <c r="M962" s="2"/>
      <c r="N962" s="2"/>
      <c r="O962" s="2"/>
      <c r="P962" s="2"/>
      <c r="Q962" s="2"/>
      <c r="S962" s="3"/>
      <c r="T962" s="3"/>
      <c r="U962" s="3"/>
      <c r="V962" s="3"/>
      <c r="W962" s="3"/>
      <c r="X962" s="3"/>
      <c r="Y962" s="3"/>
      <c r="Z962" s="3"/>
    </row>
    <row r="963" ht="15.75" customHeight="1">
      <c r="A963" s="3"/>
      <c r="B963" s="2"/>
      <c r="C963" s="667"/>
      <c r="D963" s="2"/>
      <c r="E963" s="464"/>
      <c r="F963" s="2"/>
      <c r="G963" s="2"/>
      <c r="H963" s="2"/>
      <c r="I963" s="2"/>
      <c r="J963" s="2"/>
      <c r="K963" s="2"/>
      <c r="L963" s="2"/>
      <c r="M963" s="2"/>
      <c r="N963" s="2"/>
      <c r="O963" s="2"/>
      <c r="P963" s="2"/>
      <c r="Q963" s="2"/>
      <c r="S963" s="3"/>
      <c r="T963" s="3"/>
      <c r="U963" s="3"/>
      <c r="V963" s="3"/>
      <c r="W963" s="3"/>
      <c r="X963" s="3"/>
      <c r="Y963" s="3"/>
      <c r="Z963" s="3"/>
    </row>
    <row r="964" ht="15.75" customHeight="1">
      <c r="A964" s="3"/>
      <c r="B964" s="2"/>
      <c r="C964" s="667"/>
      <c r="D964" s="2"/>
      <c r="E964" s="464"/>
      <c r="F964" s="2"/>
      <c r="G964" s="2"/>
      <c r="H964" s="2"/>
      <c r="I964" s="2"/>
      <c r="J964" s="2"/>
      <c r="K964" s="2"/>
      <c r="L964" s="2"/>
      <c r="M964" s="2"/>
      <c r="N964" s="2"/>
      <c r="O964" s="2"/>
      <c r="P964" s="2"/>
      <c r="Q964" s="2"/>
      <c r="S964" s="3"/>
      <c r="T964" s="3"/>
      <c r="U964" s="3"/>
      <c r="V964" s="3"/>
      <c r="W964" s="3"/>
      <c r="X964" s="3"/>
      <c r="Y964" s="3"/>
      <c r="Z964" s="3"/>
    </row>
    <row r="965" ht="15.75" customHeight="1">
      <c r="A965" s="3"/>
      <c r="B965" s="2"/>
      <c r="C965" s="667"/>
      <c r="D965" s="2"/>
      <c r="E965" s="464"/>
      <c r="F965" s="2"/>
      <c r="G965" s="2"/>
      <c r="H965" s="2"/>
      <c r="I965" s="2"/>
      <c r="J965" s="2"/>
      <c r="K965" s="2"/>
      <c r="L965" s="2"/>
      <c r="M965" s="2"/>
      <c r="N965" s="2"/>
      <c r="O965" s="2"/>
      <c r="P965" s="2"/>
      <c r="Q965" s="2"/>
      <c r="S965" s="3"/>
      <c r="T965" s="3"/>
      <c r="U965" s="3"/>
      <c r="V965" s="3"/>
      <c r="W965" s="3"/>
      <c r="X965" s="3"/>
      <c r="Y965" s="3"/>
      <c r="Z965" s="3"/>
    </row>
    <row r="966" ht="15.75" customHeight="1">
      <c r="A966" s="3"/>
      <c r="B966" s="2"/>
      <c r="C966" s="667"/>
      <c r="D966" s="2"/>
      <c r="E966" s="464"/>
      <c r="F966" s="2"/>
      <c r="G966" s="2"/>
      <c r="H966" s="2"/>
      <c r="I966" s="2"/>
      <c r="J966" s="2"/>
      <c r="K966" s="2"/>
      <c r="L966" s="2"/>
      <c r="M966" s="2"/>
      <c r="N966" s="2"/>
      <c r="O966" s="2"/>
      <c r="P966" s="2"/>
      <c r="Q966" s="2"/>
      <c r="S966" s="3"/>
      <c r="T966" s="3"/>
      <c r="U966" s="3"/>
      <c r="V966" s="3"/>
      <c r="W966" s="3"/>
      <c r="X966" s="3"/>
      <c r="Y966" s="3"/>
      <c r="Z966" s="3"/>
    </row>
    <row r="967" ht="15.75" customHeight="1">
      <c r="A967" s="3"/>
      <c r="B967" s="2"/>
      <c r="C967" s="667"/>
      <c r="D967" s="2"/>
      <c r="E967" s="464"/>
      <c r="F967" s="2"/>
      <c r="G967" s="2"/>
      <c r="H967" s="2"/>
      <c r="I967" s="2"/>
      <c r="J967" s="2"/>
      <c r="K967" s="2"/>
      <c r="L967" s="2"/>
      <c r="M967" s="2"/>
      <c r="N967" s="2"/>
      <c r="O967" s="2"/>
      <c r="P967" s="2"/>
      <c r="Q967" s="2"/>
      <c r="S967" s="3"/>
      <c r="T967" s="3"/>
      <c r="U967" s="3"/>
      <c r="V967" s="3"/>
      <c r="W967" s="3"/>
      <c r="X967" s="3"/>
      <c r="Y967" s="3"/>
      <c r="Z967" s="3"/>
    </row>
    <row r="968" ht="15.75" customHeight="1">
      <c r="A968" s="3"/>
      <c r="B968" s="2"/>
      <c r="C968" s="667"/>
      <c r="D968" s="2"/>
      <c r="E968" s="464"/>
      <c r="F968" s="2"/>
      <c r="G968" s="2"/>
      <c r="H968" s="2"/>
      <c r="I968" s="2"/>
      <c r="J968" s="2"/>
      <c r="K968" s="2"/>
      <c r="L968" s="2"/>
      <c r="M968" s="2"/>
      <c r="N968" s="2"/>
      <c r="O968" s="2"/>
      <c r="P968" s="2"/>
      <c r="Q968" s="2"/>
      <c r="S968" s="3"/>
      <c r="T968" s="3"/>
      <c r="U968" s="3"/>
      <c r="V968" s="3"/>
      <c r="W968" s="3"/>
      <c r="X968" s="3"/>
      <c r="Y968" s="3"/>
      <c r="Z968" s="3"/>
    </row>
    <row r="969" ht="15.75" customHeight="1">
      <c r="A969" s="3"/>
      <c r="B969" s="2"/>
      <c r="C969" s="667"/>
      <c r="D969" s="2"/>
      <c r="E969" s="464"/>
      <c r="F969" s="2"/>
      <c r="G969" s="2"/>
      <c r="H969" s="2"/>
      <c r="I969" s="2"/>
      <c r="J969" s="2"/>
      <c r="K969" s="2"/>
      <c r="L969" s="2"/>
      <c r="M969" s="2"/>
      <c r="N969" s="2"/>
      <c r="O969" s="2"/>
      <c r="P969" s="2"/>
      <c r="Q969" s="2"/>
      <c r="S969" s="3"/>
      <c r="T969" s="3"/>
      <c r="U969" s="3"/>
      <c r="V969" s="3"/>
      <c r="W969" s="3"/>
      <c r="X969" s="3"/>
      <c r="Y969" s="3"/>
      <c r="Z969" s="3"/>
    </row>
    <row r="970" ht="15.75" customHeight="1">
      <c r="A970" s="3"/>
      <c r="B970" s="2"/>
      <c r="C970" s="667"/>
      <c r="D970" s="2"/>
      <c r="E970" s="464"/>
      <c r="F970" s="2"/>
      <c r="G970" s="2"/>
      <c r="H970" s="2"/>
      <c r="I970" s="2"/>
      <c r="J970" s="2"/>
      <c r="K970" s="2"/>
      <c r="L970" s="2"/>
      <c r="M970" s="2"/>
      <c r="N970" s="2"/>
      <c r="O970" s="2"/>
      <c r="P970" s="2"/>
      <c r="Q970" s="2"/>
      <c r="S970" s="3"/>
      <c r="T970" s="3"/>
      <c r="U970" s="3"/>
      <c r="V970" s="3"/>
      <c r="W970" s="3"/>
      <c r="X970" s="3"/>
      <c r="Y970" s="3"/>
      <c r="Z970" s="3"/>
    </row>
    <row r="971" ht="15.75" customHeight="1">
      <c r="A971" s="3"/>
      <c r="B971" s="2"/>
      <c r="C971" s="667"/>
      <c r="D971" s="2"/>
      <c r="E971" s="464"/>
      <c r="F971" s="2"/>
      <c r="G971" s="2"/>
      <c r="H971" s="2"/>
      <c r="I971" s="2"/>
      <c r="J971" s="2"/>
      <c r="K971" s="2"/>
      <c r="L971" s="2"/>
      <c r="M971" s="2"/>
      <c r="N971" s="2"/>
      <c r="O971" s="2"/>
      <c r="P971" s="2"/>
      <c r="Q971" s="2"/>
      <c r="S971" s="3"/>
      <c r="T971" s="3"/>
      <c r="U971" s="3"/>
      <c r="V971" s="3"/>
      <c r="W971" s="3"/>
      <c r="X971" s="3"/>
      <c r="Y971" s="3"/>
      <c r="Z971" s="3"/>
    </row>
    <row r="972" ht="15.75" customHeight="1">
      <c r="A972" s="3"/>
      <c r="B972" s="2"/>
      <c r="C972" s="667"/>
      <c r="D972" s="2"/>
      <c r="E972" s="464"/>
      <c r="F972" s="2"/>
      <c r="G972" s="2"/>
      <c r="H972" s="2"/>
      <c r="I972" s="2"/>
      <c r="J972" s="2"/>
      <c r="K972" s="2"/>
      <c r="L972" s="2"/>
      <c r="M972" s="2"/>
      <c r="N972" s="2"/>
      <c r="O972" s="2"/>
      <c r="P972" s="2"/>
      <c r="Q972" s="2"/>
      <c r="S972" s="3"/>
      <c r="T972" s="3"/>
      <c r="U972" s="3"/>
      <c r="V972" s="3"/>
      <c r="W972" s="3"/>
      <c r="X972" s="3"/>
      <c r="Y972" s="3"/>
      <c r="Z972" s="3"/>
    </row>
    <row r="973" ht="15.75" customHeight="1">
      <c r="A973" s="3"/>
      <c r="B973" s="2"/>
      <c r="C973" s="667"/>
      <c r="D973" s="2"/>
      <c r="E973" s="464"/>
      <c r="F973" s="2"/>
      <c r="G973" s="2"/>
      <c r="H973" s="2"/>
      <c r="I973" s="2"/>
      <c r="J973" s="2"/>
      <c r="K973" s="2"/>
      <c r="L973" s="2"/>
      <c r="M973" s="2"/>
      <c r="N973" s="2"/>
      <c r="O973" s="2"/>
      <c r="P973" s="2"/>
      <c r="Q973" s="2"/>
      <c r="S973" s="3"/>
      <c r="T973" s="3"/>
      <c r="U973" s="3"/>
      <c r="V973" s="3"/>
      <c r="W973" s="3"/>
      <c r="X973" s="3"/>
      <c r="Y973" s="3"/>
      <c r="Z973" s="3"/>
    </row>
    <row r="974" ht="15.75" customHeight="1">
      <c r="A974" s="3"/>
      <c r="B974" s="2"/>
      <c r="C974" s="667"/>
      <c r="D974" s="2"/>
      <c r="E974" s="464"/>
      <c r="F974" s="2"/>
      <c r="G974" s="2"/>
      <c r="H974" s="2"/>
      <c r="I974" s="2"/>
      <c r="J974" s="2"/>
      <c r="K974" s="2"/>
      <c r="L974" s="2"/>
      <c r="M974" s="2"/>
      <c r="N974" s="2"/>
      <c r="O974" s="2"/>
      <c r="P974" s="2"/>
      <c r="Q974" s="2"/>
      <c r="S974" s="3"/>
      <c r="T974" s="3"/>
      <c r="U974" s="3"/>
      <c r="V974" s="3"/>
      <c r="W974" s="3"/>
      <c r="X974" s="3"/>
      <c r="Y974" s="3"/>
      <c r="Z974" s="3"/>
    </row>
    <row r="975" ht="15.75" customHeight="1">
      <c r="A975" s="3"/>
      <c r="B975" s="2"/>
      <c r="C975" s="667"/>
      <c r="D975" s="2"/>
      <c r="E975" s="464"/>
      <c r="F975" s="2"/>
      <c r="G975" s="2"/>
      <c r="H975" s="2"/>
      <c r="I975" s="2"/>
      <c r="J975" s="2"/>
      <c r="K975" s="2"/>
      <c r="L975" s="2"/>
      <c r="M975" s="2"/>
      <c r="N975" s="2"/>
      <c r="O975" s="2"/>
      <c r="P975" s="2"/>
      <c r="Q975" s="2"/>
      <c r="S975" s="3"/>
      <c r="T975" s="3"/>
      <c r="U975" s="3"/>
      <c r="V975" s="3"/>
      <c r="W975" s="3"/>
      <c r="X975" s="3"/>
      <c r="Y975" s="3"/>
      <c r="Z975" s="3"/>
    </row>
    <row r="976" ht="15.75" customHeight="1">
      <c r="A976" s="3"/>
      <c r="B976" s="2"/>
      <c r="C976" s="667"/>
      <c r="D976" s="2"/>
      <c r="E976" s="464"/>
      <c r="F976" s="2"/>
      <c r="G976" s="2"/>
      <c r="H976" s="2"/>
      <c r="I976" s="2"/>
      <c r="J976" s="2"/>
      <c r="K976" s="2"/>
      <c r="L976" s="2"/>
      <c r="M976" s="2"/>
      <c r="N976" s="2"/>
      <c r="O976" s="2"/>
      <c r="P976" s="2"/>
      <c r="Q976" s="2"/>
      <c r="S976" s="3"/>
      <c r="T976" s="3"/>
      <c r="U976" s="3"/>
      <c r="V976" s="3"/>
      <c r="W976" s="3"/>
      <c r="X976" s="3"/>
      <c r="Y976" s="3"/>
      <c r="Z976" s="3"/>
    </row>
    <row r="977" ht="15.75" customHeight="1">
      <c r="A977" s="3"/>
      <c r="B977" s="2"/>
      <c r="C977" s="667"/>
      <c r="D977" s="2"/>
      <c r="E977" s="464"/>
      <c r="F977" s="2"/>
      <c r="G977" s="2"/>
      <c r="H977" s="2"/>
      <c r="I977" s="2"/>
      <c r="J977" s="2"/>
      <c r="K977" s="2"/>
      <c r="L977" s="2"/>
      <c r="M977" s="2"/>
      <c r="N977" s="2"/>
      <c r="O977" s="2"/>
      <c r="P977" s="2"/>
      <c r="Q977" s="2"/>
      <c r="S977" s="3"/>
      <c r="T977" s="3"/>
      <c r="U977" s="3"/>
      <c r="V977" s="3"/>
      <c r="W977" s="3"/>
      <c r="X977" s="3"/>
      <c r="Y977" s="3"/>
      <c r="Z977" s="3"/>
    </row>
    <row r="978" ht="15.75" customHeight="1">
      <c r="A978" s="3"/>
      <c r="B978" s="2"/>
      <c r="C978" s="667"/>
      <c r="D978" s="2"/>
      <c r="E978" s="464"/>
      <c r="F978" s="2"/>
      <c r="G978" s="2"/>
      <c r="H978" s="2"/>
      <c r="I978" s="2"/>
      <c r="J978" s="2"/>
      <c r="K978" s="2"/>
      <c r="L978" s="2"/>
      <c r="M978" s="2"/>
      <c r="N978" s="2"/>
      <c r="O978" s="2"/>
      <c r="P978" s="2"/>
      <c r="Q978" s="2"/>
      <c r="S978" s="3"/>
      <c r="T978" s="3"/>
      <c r="U978" s="3"/>
      <c r="V978" s="3"/>
      <c r="W978" s="3"/>
      <c r="X978" s="3"/>
      <c r="Y978" s="3"/>
      <c r="Z978" s="3"/>
    </row>
    <row r="979" ht="15.75" customHeight="1">
      <c r="A979" s="3"/>
      <c r="B979" s="2"/>
      <c r="C979" s="667"/>
      <c r="D979" s="2"/>
      <c r="E979" s="464"/>
      <c r="F979" s="2"/>
      <c r="G979" s="2"/>
      <c r="H979" s="2"/>
      <c r="I979" s="2"/>
      <c r="J979" s="2"/>
      <c r="K979" s="2"/>
      <c r="L979" s="2"/>
      <c r="M979" s="2"/>
      <c r="N979" s="2"/>
      <c r="O979" s="2"/>
      <c r="P979" s="2"/>
      <c r="Q979" s="2"/>
      <c r="S979" s="3"/>
      <c r="T979" s="3"/>
      <c r="U979" s="3"/>
      <c r="V979" s="3"/>
      <c r="W979" s="3"/>
      <c r="X979" s="3"/>
      <c r="Y979" s="3"/>
      <c r="Z979" s="3"/>
    </row>
    <row r="980" ht="15.75" customHeight="1">
      <c r="A980" s="3"/>
      <c r="B980" s="2"/>
      <c r="C980" s="667"/>
      <c r="D980" s="2"/>
      <c r="E980" s="464"/>
      <c r="F980" s="2"/>
      <c r="G980" s="2"/>
      <c r="H980" s="2"/>
      <c r="I980" s="2"/>
      <c r="J980" s="2"/>
      <c r="K980" s="2"/>
      <c r="L980" s="2"/>
      <c r="M980" s="2"/>
      <c r="N980" s="2"/>
      <c r="O980" s="2"/>
      <c r="P980" s="2"/>
      <c r="Q980" s="2"/>
      <c r="S980" s="3"/>
      <c r="T980" s="3"/>
      <c r="U980" s="3"/>
      <c r="V980" s="3"/>
      <c r="W980" s="3"/>
      <c r="X980" s="3"/>
      <c r="Y980" s="3"/>
      <c r="Z980" s="3"/>
    </row>
    <row r="981" ht="15.75" customHeight="1">
      <c r="A981" s="3"/>
      <c r="B981" s="2"/>
      <c r="C981" s="667"/>
      <c r="D981" s="2"/>
      <c r="E981" s="464"/>
      <c r="F981" s="2"/>
      <c r="G981" s="2"/>
      <c r="H981" s="2"/>
      <c r="I981" s="2"/>
      <c r="J981" s="2"/>
      <c r="K981" s="2"/>
      <c r="L981" s="2"/>
      <c r="M981" s="2"/>
      <c r="N981" s="2"/>
      <c r="O981" s="2"/>
      <c r="P981" s="2"/>
      <c r="Q981" s="2"/>
      <c r="S981" s="3"/>
      <c r="T981" s="3"/>
      <c r="U981" s="3"/>
      <c r="V981" s="3"/>
      <c r="W981" s="3"/>
      <c r="X981" s="3"/>
      <c r="Y981" s="3"/>
      <c r="Z981" s="3"/>
    </row>
    <row r="982" ht="15.75" customHeight="1">
      <c r="A982" s="3"/>
      <c r="B982" s="2"/>
      <c r="C982" s="667"/>
      <c r="D982" s="2"/>
      <c r="E982" s="464"/>
      <c r="F982" s="2"/>
      <c r="G982" s="2"/>
      <c r="H982" s="2"/>
      <c r="I982" s="2"/>
      <c r="J982" s="2"/>
      <c r="K982" s="2"/>
      <c r="L982" s="2"/>
      <c r="M982" s="2"/>
      <c r="N982" s="2"/>
      <c r="O982" s="2"/>
      <c r="P982" s="2"/>
      <c r="Q982" s="2"/>
      <c r="S982" s="3"/>
      <c r="T982" s="3"/>
      <c r="U982" s="3"/>
      <c r="V982" s="3"/>
      <c r="W982" s="3"/>
      <c r="X982" s="3"/>
      <c r="Y982" s="3"/>
      <c r="Z982" s="3"/>
    </row>
    <row r="983" ht="15.75" customHeight="1">
      <c r="A983" s="3"/>
      <c r="B983" s="2"/>
      <c r="C983" s="667"/>
      <c r="D983" s="2"/>
      <c r="E983" s="464"/>
      <c r="F983" s="2"/>
      <c r="G983" s="2"/>
      <c r="H983" s="2"/>
      <c r="I983" s="2"/>
      <c r="J983" s="2"/>
      <c r="K983" s="2"/>
      <c r="L983" s="2"/>
      <c r="M983" s="2"/>
      <c r="N983" s="2"/>
      <c r="O983" s="2"/>
      <c r="P983" s="2"/>
      <c r="Q983" s="2"/>
      <c r="S983" s="3"/>
      <c r="T983" s="3"/>
      <c r="U983" s="3"/>
      <c r="V983" s="3"/>
      <c r="W983" s="3"/>
      <c r="X983" s="3"/>
      <c r="Y983" s="3"/>
      <c r="Z983" s="3"/>
    </row>
    <row r="984" ht="15.75" customHeight="1">
      <c r="A984" s="3"/>
      <c r="B984" s="2"/>
      <c r="C984" s="667"/>
      <c r="D984" s="2"/>
      <c r="E984" s="464"/>
      <c r="F984" s="2"/>
      <c r="G984" s="2"/>
      <c r="H984" s="2"/>
      <c r="I984" s="2"/>
      <c r="J984" s="2"/>
      <c r="K984" s="2"/>
      <c r="L984" s="2"/>
      <c r="M984" s="2"/>
      <c r="N984" s="2"/>
      <c r="O984" s="2"/>
      <c r="P984" s="2"/>
      <c r="Q984" s="2"/>
      <c r="S984" s="3"/>
      <c r="T984" s="3"/>
      <c r="U984" s="3"/>
      <c r="V984" s="3"/>
      <c r="W984" s="3"/>
      <c r="X984" s="3"/>
      <c r="Y984" s="3"/>
      <c r="Z984" s="3"/>
    </row>
    <row r="985" ht="15.75" customHeight="1">
      <c r="A985" s="3"/>
      <c r="B985" s="2"/>
      <c r="C985" s="667"/>
      <c r="D985" s="2"/>
      <c r="E985" s="464"/>
      <c r="F985" s="2"/>
      <c r="G985" s="2"/>
      <c r="H985" s="2"/>
      <c r="I985" s="2"/>
      <c r="J985" s="2"/>
      <c r="K985" s="2"/>
      <c r="L985" s="2"/>
      <c r="M985" s="2"/>
      <c r="N985" s="2"/>
      <c r="O985" s="2"/>
      <c r="P985" s="2"/>
      <c r="Q985" s="2"/>
      <c r="S985" s="3"/>
      <c r="T985" s="3"/>
      <c r="U985" s="3"/>
      <c r="V985" s="3"/>
      <c r="W985" s="3"/>
      <c r="X985" s="3"/>
      <c r="Y985" s="3"/>
      <c r="Z985" s="3"/>
    </row>
    <row r="986" ht="15.75" customHeight="1">
      <c r="A986" s="3"/>
      <c r="B986" s="2"/>
      <c r="C986" s="667"/>
      <c r="D986" s="2"/>
      <c r="E986" s="464"/>
      <c r="F986" s="2"/>
      <c r="G986" s="2"/>
      <c r="H986" s="2"/>
      <c r="I986" s="2"/>
      <c r="J986" s="2"/>
      <c r="K986" s="2"/>
      <c r="L986" s="2"/>
      <c r="M986" s="2"/>
      <c r="N986" s="2"/>
      <c r="O986" s="2"/>
      <c r="P986" s="2"/>
      <c r="Q986" s="2"/>
      <c r="S986" s="3"/>
      <c r="T986" s="3"/>
      <c r="U986" s="3"/>
      <c r="V986" s="3"/>
      <c r="W986" s="3"/>
      <c r="X986" s="3"/>
      <c r="Y986" s="3"/>
      <c r="Z986" s="3"/>
    </row>
    <row r="987" ht="15.75" customHeight="1">
      <c r="A987" s="3"/>
      <c r="B987" s="2"/>
      <c r="C987" s="667"/>
      <c r="D987" s="2"/>
      <c r="E987" s="464"/>
      <c r="F987" s="2"/>
      <c r="G987" s="2"/>
      <c r="H987" s="2"/>
      <c r="I987" s="2"/>
      <c r="J987" s="2"/>
      <c r="K987" s="2"/>
      <c r="L987" s="2"/>
      <c r="M987" s="2"/>
      <c r="N987" s="2"/>
      <c r="O987" s="2"/>
      <c r="P987" s="2"/>
      <c r="Q987" s="2"/>
      <c r="S987" s="3"/>
      <c r="T987" s="3"/>
      <c r="U987" s="3"/>
      <c r="V987" s="3"/>
      <c r="W987" s="3"/>
      <c r="X987" s="3"/>
      <c r="Y987" s="3"/>
      <c r="Z987" s="3"/>
    </row>
    <row r="988" ht="15.75" customHeight="1">
      <c r="A988" s="3"/>
      <c r="B988" s="2"/>
      <c r="C988" s="667"/>
      <c r="D988" s="2"/>
      <c r="E988" s="464"/>
      <c r="F988" s="2"/>
      <c r="G988" s="2"/>
      <c r="H988" s="2"/>
      <c r="I988" s="2"/>
      <c r="J988" s="2"/>
      <c r="K988" s="2"/>
      <c r="L988" s="2"/>
      <c r="M988" s="2"/>
      <c r="N988" s="2"/>
      <c r="O988" s="2"/>
      <c r="P988" s="2"/>
      <c r="Q988" s="2"/>
      <c r="S988" s="3"/>
      <c r="T988" s="3"/>
      <c r="U988" s="3"/>
      <c r="V988" s="3"/>
      <c r="W988" s="3"/>
      <c r="X988" s="3"/>
      <c r="Y988" s="3"/>
      <c r="Z988" s="3"/>
    </row>
    <row r="989" ht="15.75" customHeight="1">
      <c r="A989" s="3"/>
      <c r="B989" s="2"/>
      <c r="C989" s="667"/>
      <c r="D989" s="2"/>
      <c r="E989" s="464"/>
      <c r="F989" s="2"/>
      <c r="G989" s="2"/>
      <c r="H989" s="2"/>
      <c r="I989" s="2"/>
      <c r="J989" s="2"/>
      <c r="K989" s="2"/>
      <c r="L989" s="2"/>
      <c r="M989" s="2"/>
      <c r="N989" s="2"/>
      <c r="O989" s="2"/>
      <c r="P989" s="2"/>
      <c r="Q989" s="2"/>
      <c r="S989" s="3"/>
      <c r="T989" s="3"/>
      <c r="U989" s="3"/>
      <c r="V989" s="3"/>
      <c r="W989" s="3"/>
      <c r="X989" s="3"/>
      <c r="Y989" s="3"/>
      <c r="Z989" s="3"/>
    </row>
    <row r="990" ht="15.75" customHeight="1">
      <c r="A990" s="3"/>
      <c r="B990" s="2"/>
      <c r="C990" s="667"/>
      <c r="D990" s="2"/>
      <c r="E990" s="464"/>
      <c r="F990" s="2"/>
      <c r="G990" s="2"/>
      <c r="H990" s="2"/>
      <c r="I990" s="2"/>
      <c r="J990" s="2"/>
      <c r="K990" s="2"/>
      <c r="L990" s="2"/>
      <c r="M990" s="2"/>
      <c r="N990" s="2"/>
      <c r="O990" s="2"/>
      <c r="P990" s="2"/>
      <c r="Q990" s="2"/>
      <c r="S990" s="3"/>
      <c r="T990" s="3"/>
      <c r="U990" s="3"/>
      <c r="V990" s="3"/>
      <c r="W990" s="3"/>
      <c r="X990" s="3"/>
      <c r="Y990" s="3"/>
      <c r="Z990" s="3"/>
    </row>
    <row r="991" ht="15.75" customHeight="1">
      <c r="A991" s="3"/>
      <c r="B991" s="2"/>
      <c r="C991" s="667"/>
      <c r="D991" s="2"/>
      <c r="E991" s="464"/>
      <c r="F991" s="2"/>
      <c r="G991" s="2"/>
      <c r="H991" s="2"/>
      <c r="I991" s="2"/>
      <c r="J991" s="2"/>
      <c r="K991" s="2"/>
      <c r="L991" s="2"/>
      <c r="M991" s="2"/>
      <c r="N991" s="2"/>
      <c r="O991" s="2"/>
      <c r="P991" s="2"/>
      <c r="Q991" s="2"/>
      <c r="S991" s="3"/>
      <c r="T991" s="3"/>
      <c r="U991" s="3"/>
      <c r="V991" s="3"/>
      <c r="W991" s="3"/>
      <c r="X991" s="3"/>
      <c r="Y991" s="3"/>
      <c r="Z991" s="3"/>
    </row>
    <row r="992" ht="15.75" customHeight="1">
      <c r="A992" s="3"/>
      <c r="B992" s="2"/>
      <c r="C992" s="667"/>
      <c r="D992" s="2"/>
      <c r="E992" s="464"/>
      <c r="F992" s="2"/>
      <c r="G992" s="2"/>
      <c r="H992" s="2"/>
      <c r="I992" s="2"/>
      <c r="J992" s="2"/>
      <c r="K992" s="2"/>
      <c r="L992" s="2"/>
      <c r="M992" s="2"/>
      <c r="N992" s="2"/>
      <c r="O992" s="2"/>
      <c r="P992" s="2"/>
      <c r="Q992" s="2"/>
      <c r="S992" s="3"/>
      <c r="T992" s="3"/>
      <c r="U992" s="3"/>
      <c r="V992" s="3"/>
      <c r="W992" s="3"/>
      <c r="X992" s="3"/>
      <c r="Y992" s="3"/>
      <c r="Z992" s="3"/>
    </row>
    <row r="993" ht="15.75" customHeight="1">
      <c r="A993" s="3"/>
      <c r="B993" s="2"/>
      <c r="C993" s="667"/>
      <c r="D993" s="2"/>
      <c r="E993" s="464"/>
      <c r="F993" s="2"/>
      <c r="G993" s="2"/>
      <c r="H993" s="2"/>
      <c r="I993" s="2"/>
      <c r="J993" s="2"/>
      <c r="K993" s="2"/>
      <c r="L993" s="2"/>
      <c r="M993" s="2"/>
      <c r="N993" s="2"/>
      <c r="O993" s="2"/>
      <c r="P993" s="2"/>
      <c r="Q993" s="2"/>
      <c r="S993" s="3"/>
      <c r="T993" s="3"/>
      <c r="U993" s="3"/>
      <c r="V993" s="3"/>
      <c r="W993" s="3"/>
      <c r="X993" s="3"/>
      <c r="Y993" s="3"/>
      <c r="Z993" s="3"/>
    </row>
    <row r="994" ht="15.75" customHeight="1">
      <c r="A994" s="3"/>
      <c r="B994" s="2"/>
      <c r="C994" s="667"/>
      <c r="D994" s="2"/>
      <c r="E994" s="464"/>
      <c r="F994" s="2"/>
      <c r="G994" s="2"/>
      <c r="H994" s="2"/>
      <c r="I994" s="2"/>
      <c r="J994" s="2"/>
      <c r="K994" s="2"/>
      <c r="L994" s="2"/>
      <c r="M994" s="2"/>
      <c r="N994" s="2"/>
      <c r="O994" s="2"/>
      <c r="P994" s="2"/>
      <c r="Q994" s="2"/>
      <c r="S994" s="3"/>
      <c r="T994" s="3"/>
      <c r="U994" s="3"/>
      <c r="V994" s="3"/>
      <c r="W994" s="3"/>
      <c r="X994" s="3"/>
      <c r="Y994" s="3"/>
      <c r="Z994" s="3"/>
    </row>
    <row r="995" ht="15.75" customHeight="1">
      <c r="A995" s="3"/>
      <c r="B995" s="2"/>
      <c r="C995" s="667"/>
      <c r="D995" s="2"/>
      <c r="E995" s="464"/>
      <c r="F995" s="2"/>
      <c r="G995" s="2"/>
      <c r="H995" s="2"/>
      <c r="I995" s="2"/>
      <c r="J995" s="2"/>
      <c r="K995" s="2"/>
      <c r="L995" s="2"/>
      <c r="M995" s="2"/>
      <c r="N995" s="2"/>
      <c r="O995" s="2"/>
      <c r="P995" s="2"/>
      <c r="Q995" s="2"/>
      <c r="S995" s="3"/>
      <c r="T995" s="3"/>
      <c r="U995" s="3"/>
      <c r="V995" s="3"/>
      <c r="W995" s="3"/>
      <c r="X995" s="3"/>
      <c r="Y995" s="3"/>
      <c r="Z995" s="3"/>
    </row>
    <row r="996" ht="15.75" customHeight="1">
      <c r="A996" s="3"/>
      <c r="B996" s="2"/>
      <c r="C996" s="667"/>
      <c r="D996" s="2"/>
      <c r="E996" s="464"/>
      <c r="F996" s="2"/>
      <c r="G996" s="2"/>
      <c r="H996" s="2"/>
      <c r="I996" s="2"/>
      <c r="J996" s="2"/>
      <c r="K996" s="2"/>
      <c r="L996" s="2"/>
      <c r="M996" s="2"/>
      <c r="N996" s="2"/>
      <c r="O996" s="2"/>
      <c r="P996" s="2"/>
      <c r="Q996" s="2"/>
      <c r="S996" s="3"/>
      <c r="T996" s="3"/>
      <c r="U996" s="3"/>
      <c r="V996" s="3"/>
      <c r="W996" s="3"/>
      <c r="X996" s="3"/>
      <c r="Y996" s="3"/>
      <c r="Z996" s="3"/>
    </row>
    <row r="997" ht="15.75" customHeight="1">
      <c r="A997" s="3"/>
      <c r="B997" s="2"/>
      <c r="C997" s="667"/>
      <c r="D997" s="2"/>
      <c r="E997" s="464"/>
      <c r="F997" s="2"/>
      <c r="G997" s="2"/>
      <c r="H997" s="2"/>
      <c r="I997" s="2"/>
      <c r="J997" s="2"/>
      <c r="K997" s="2"/>
      <c r="L997" s="2"/>
      <c r="M997" s="2"/>
      <c r="N997" s="2"/>
      <c r="O997" s="2"/>
      <c r="P997" s="2"/>
      <c r="Q997" s="2"/>
      <c r="S997" s="3"/>
      <c r="T997" s="3"/>
      <c r="U997" s="3"/>
      <c r="V997" s="3"/>
      <c r="W997" s="3"/>
      <c r="X997" s="3"/>
      <c r="Y997" s="3"/>
      <c r="Z997" s="3"/>
    </row>
    <row r="998" ht="15.75" customHeight="1">
      <c r="A998" s="3"/>
      <c r="B998" s="2"/>
      <c r="C998" s="667"/>
      <c r="D998" s="2"/>
      <c r="E998" s="464"/>
      <c r="F998" s="2"/>
      <c r="G998" s="2"/>
      <c r="H998" s="2"/>
      <c r="I998" s="2"/>
      <c r="J998" s="2"/>
      <c r="K998" s="2"/>
      <c r="L998" s="2"/>
      <c r="M998" s="2"/>
      <c r="N998" s="2"/>
      <c r="O998" s="2"/>
      <c r="P998" s="2"/>
      <c r="Q998" s="2"/>
      <c r="S998" s="3"/>
      <c r="T998" s="3"/>
      <c r="U998" s="3"/>
      <c r="V998" s="3"/>
      <c r="W998" s="3"/>
      <c r="X998" s="3"/>
      <c r="Y998" s="3"/>
      <c r="Z998" s="3"/>
    </row>
    <row r="999" ht="15.75" customHeight="1">
      <c r="A999" s="3"/>
      <c r="B999" s="2"/>
      <c r="C999" s="667"/>
      <c r="D999" s="2"/>
      <c r="E999" s="464"/>
      <c r="F999" s="2"/>
      <c r="G999" s="2"/>
      <c r="H999" s="2"/>
      <c r="I999" s="2"/>
      <c r="J999" s="2"/>
      <c r="K999" s="2"/>
      <c r="L999" s="2"/>
      <c r="M999" s="2"/>
      <c r="N999" s="2"/>
      <c r="O999" s="2"/>
      <c r="P999" s="2"/>
      <c r="Q999" s="2"/>
      <c r="S999" s="3"/>
      <c r="T999" s="3"/>
      <c r="U999" s="3"/>
      <c r="V999" s="3"/>
      <c r="W999" s="3"/>
      <c r="X999" s="3"/>
      <c r="Y999" s="3"/>
      <c r="Z999" s="3"/>
    </row>
    <row r="1000" ht="15.75" customHeight="1">
      <c r="A1000" s="3"/>
      <c r="B1000" s="2"/>
      <c r="C1000" s="667"/>
      <c r="D1000" s="2"/>
      <c r="E1000" s="464"/>
      <c r="F1000" s="2"/>
      <c r="G1000" s="2"/>
      <c r="H1000" s="2"/>
      <c r="I1000" s="2"/>
      <c r="J1000" s="2"/>
      <c r="K1000" s="2"/>
      <c r="L1000" s="2"/>
      <c r="M1000" s="2"/>
      <c r="N1000" s="2"/>
      <c r="O1000" s="2"/>
      <c r="P1000" s="2"/>
      <c r="Q1000" s="2"/>
      <c r="S1000" s="3"/>
      <c r="T1000" s="3"/>
      <c r="U1000" s="3"/>
      <c r="V1000" s="3"/>
      <c r="W1000" s="3"/>
      <c r="X1000" s="3"/>
      <c r="Y1000" s="3"/>
      <c r="Z1000" s="3"/>
    </row>
  </sheetData>
  <mergeCells count="23">
    <mergeCell ref="B1:Q1"/>
    <mergeCell ref="C2:R2"/>
    <mergeCell ref="K3:M3"/>
    <mergeCell ref="O3:Q3"/>
    <mergeCell ref="L4:M4"/>
    <mergeCell ref="B269:Q269"/>
    <mergeCell ref="B270:Q270"/>
    <mergeCell ref="B271:Q271"/>
    <mergeCell ref="C272:E272"/>
    <mergeCell ref="G272:H272"/>
    <mergeCell ref="I272:L272"/>
    <mergeCell ref="G273:H273"/>
    <mergeCell ref="K273:L273"/>
    <mergeCell ref="B274:C274"/>
    <mergeCell ref="J276:L276"/>
    <mergeCell ref="M276:Q276"/>
    <mergeCell ref="E274:F274"/>
    <mergeCell ref="C275:E275"/>
    <mergeCell ref="G275:H275"/>
    <mergeCell ref="I275:L275"/>
    <mergeCell ref="M275:Q275"/>
    <mergeCell ref="C276:E276"/>
    <mergeCell ref="G276:H276"/>
  </mergeCells>
  <printOptions/>
  <pageMargins bottom="0.7480314960629921" footer="0.0" header="0.0" left="0.7086614173228347" right="0.7086614173228347" top="0.7480314960629921"/>
  <pageSetup paperSize="5" scale="90"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13.0"/>
    <col customWidth="1" min="2" max="2" width="5.14"/>
    <col customWidth="1" min="3" max="3" width="13.29"/>
    <col customWidth="1" min="4" max="4" width="9.57"/>
    <col customWidth="1" min="5" max="5" width="19.71"/>
    <col customWidth="1" min="6" max="7" width="7.86"/>
    <col customWidth="1" min="8" max="8" width="9.0"/>
    <col customWidth="1" min="9" max="9" width="7.57"/>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66" t="s">
        <v>14157</v>
      </c>
      <c r="R1" s="593"/>
    </row>
    <row r="2">
      <c r="B2" s="458"/>
      <c r="C2" s="400" t="s">
        <v>15031</v>
      </c>
      <c r="D2" s="6"/>
      <c r="E2" s="6"/>
      <c r="F2" s="6"/>
      <c r="G2" s="6"/>
      <c r="H2" s="6"/>
      <c r="I2" s="6"/>
      <c r="J2" s="6"/>
      <c r="K2" s="6"/>
      <c r="L2" s="6"/>
      <c r="M2" s="6"/>
      <c r="N2" s="6"/>
      <c r="O2" s="6"/>
      <c r="P2" s="6"/>
      <c r="Q2" s="6"/>
      <c r="R2" s="7"/>
    </row>
    <row r="3">
      <c r="B3" s="458"/>
      <c r="C3" s="9"/>
      <c r="D3" s="9"/>
      <c r="E3" s="9"/>
      <c r="F3" s="9"/>
      <c r="G3" s="9"/>
      <c r="H3" s="9"/>
      <c r="I3" s="9"/>
      <c r="J3" s="9"/>
      <c r="K3" s="460"/>
      <c r="M3" s="13"/>
      <c r="N3" s="14" t="s">
        <v>3</v>
      </c>
      <c r="O3" s="15" t="s">
        <v>16979</v>
      </c>
      <c r="P3" s="16"/>
      <c r="Q3" s="17"/>
      <c r="R3" s="583"/>
    </row>
    <row r="4">
      <c r="B4" s="458"/>
      <c r="C4" s="9"/>
      <c r="D4" s="9"/>
      <c r="E4" s="9"/>
      <c r="F4" s="9"/>
      <c r="G4" s="9"/>
      <c r="H4" s="458"/>
      <c r="I4" s="9"/>
      <c r="J4" s="9"/>
      <c r="K4" s="9"/>
      <c r="L4" s="778"/>
      <c r="M4" s="407"/>
      <c r="N4" s="9"/>
      <c r="O4" s="9"/>
      <c r="P4" s="9"/>
      <c r="Q4" s="9"/>
      <c r="R4" s="671"/>
    </row>
    <row r="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779"/>
    </row>
    <row r="6">
      <c r="B6" s="444">
        <v>1.0</v>
      </c>
      <c r="C6" s="433" t="s">
        <v>16980</v>
      </c>
      <c r="D6" s="780" t="s">
        <v>16981</v>
      </c>
      <c r="E6" s="433" t="s">
        <v>16982</v>
      </c>
      <c r="F6" s="433"/>
      <c r="G6" s="433"/>
      <c r="H6" s="433" t="s">
        <v>16700</v>
      </c>
      <c r="I6" s="433"/>
      <c r="J6" s="433" t="s">
        <v>16983</v>
      </c>
      <c r="K6" s="433">
        <v>1150.0</v>
      </c>
      <c r="L6" s="433" t="s">
        <v>31</v>
      </c>
      <c r="M6" s="433"/>
      <c r="N6" s="433" t="s">
        <v>16984</v>
      </c>
      <c r="O6" s="433">
        <v>1983.0</v>
      </c>
      <c r="P6" s="433" t="s">
        <v>388</v>
      </c>
      <c r="Q6" s="449">
        <v>1.0</v>
      </c>
      <c r="R6" s="613"/>
    </row>
    <row r="7">
      <c r="B7" s="444">
        <v>2.0</v>
      </c>
      <c r="C7" s="433"/>
      <c r="D7" s="780" t="s">
        <v>16985</v>
      </c>
      <c r="E7" s="444" t="s">
        <v>16986</v>
      </c>
      <c r="F7" s="444" t="s">
        <v>15035</v>
      </c>
      <c r="G7" s="444"/>
      <c r="H7" s="444" t="s">
        <v>1331</v>
      </c>
      <c r="I7" s="433"/>
      <c r="J7" s="444" t="s">
        <v>16987</v>
      </c>
      <c r="K7" s="444">
        <v>431.0</v>
      </c>
      <c r="L7" s="433"/>
      <c r="M7" s="433"/>
      <c r="N7" s="433" t="s">
        <v>16988</v>
      </c>
      <c r="O7" s="444">
        <v>1967.0</v>
      </c>
      <c r="P7" s="433"/>
      <c r="Q7" s="781">
        <v>1.0</v>
      </c>
      <c r="R7" s="613"/>
    </row>
    <row r="8">
      <c r="B8" s="444">
        <v>3.0</v>
      </c>
      <c r="C8" s="433" t="s">
        <v>31</v>
      </c>
      <c r="D8" s="433" t="s">
        <v>16989</v>
      </c>
      <c r="E8" s="433" t="s">
        <v>16990</v>
      </c>
      <c r="F8" s="433"/>
      <c r="G8" s="433"/>
      <c r="H8" s="433" t="s">
        <v>1331</v>
      </c>
      <c r="I8" s="433"/>
      <c r="J8" s="433" t="s">
        <v>16987</v>
      </c>
      <c r="K8" s="433">
        <v>1358.0</v>
      </c>
      <c r="L8" s="433" t="s">
        <v>16991</v>
      </c>
      <c r="M8" s="433"/>
      <c r="N8" s="433" t="s">
        <v>16988</v>
      </c>
      <c r="O8" s="433">
        <v>1969.0</v>
      </c>
      <c r="P8" s="433" t="s">
        <v>388</v>
      </c>
      <c r="Q8" s="449">
        <v>1.0</v>
      </c>
      <c r="R8" s="613"/>
    </row>
    <row r="9">
      <c r="B9" s="444">
        <v>4.0</v>
      </c>
      <c r="C9" s="433" t="s">
        <v>16992</v>
      </c>
      <c r="D9" s="433" t="s">
        <v>16993</v>
      </c>
      <c r="E9" s="433" t="s">
        <v>16994</v>
      </c>
      <c r="F9" s="433"/>
      <c r="G9" s="433"/>
      <c r="H9" s="433"/>
      <c r="I9" s="433"/>
      <c r="J9" s="433" t="s">
        <v>16995</v>
      </c>
      <c r="K9" s="433">
        <v>1105.0</v>
      </c>
      <c r="L9" s="433" t="s">
        <v>16349</v>
      </c>
      <c r="M9" s="433"/>
      <c r="N9" s="433" t="s">
        <v>1333</v>
      </c>
      <c r="O9" s="433">
        <v>1987.0</v>
      </c>
      <c r="P9" s="433" t="s">
        <v>388</v>
      </c>
      <c r="Q9" s="449">
        <v>1.0</v>
      </c>
      <c r="R9" s="613"/>
    </row>
    <row r="10">
      <c r="B10" s="444">
        <v>5.0</v>
      </c>
      <c r="C10" s="433" t="s">
        <v>16996</v>
      </c>
      <c r="D10" s="433" t="s">
        <v>16997</v>
      </c>
      <c r="E10" s="433" t="s">
        <v>16998</v>
      </c>
      <c r="F10" s="433"/>
      <c r="G10" s="433"/>
      <c r="H10" s="433"/>
      <c r="I10" s="433"/>
      <c r="J10" s="433"/>
      <c r="K10" s="433">
        <v>1452.0</v>
      </c>
      <c r="L10" s="433" t="s">
        <v>16349</v>
      </c>
      <c r="M10" s="433"/>
      <c r="N10" s="433" t="s">
        <v>16999</v>
      </c>
      <c r="O10" s="433">
        <v>1987.0</v>
      </c>
      <c r="P10" s="433" t="s">
        <v>388</v>
      </c>
      <c r="Q10" s="449">
        <v>1.0</v>
      </c>
      <c r="R10" s="613"/>
    </row>
    <row r="11">
      <c r="B11" s="444">
        <v>6.0</v>
      </c>
      <c r="C11" s="433" t="s">
        <v>31</v>
      </c>
      <c r="D11" s="444" t="s">
        <v>17000</v>
      </c>
      <c r="E11" s="433" t="s">
        <v>17001</v>
      </c>
      <c r="F11" s="433"/>
      <c r="G11" s="433"/>
      <c r="H11" s="433" t="s">
        <v>17002</v>
      </c>
      <c r="I11" s="433"/>
      <c r="J11" s="433" t="s">
        <v>17003</v>
      </c>
      <c r="K11" s="433">
        <v>1225.0</v>
      </c>
      <c r="L11" s="433" t="s">
        <v>16349</v>
      </c>
      <c r="M11" s="433"/>
      <c r="N11" s="433" t="s">
        <v>17004</v>
      </c>
      <c r="O11" s="433">
        <v>1987.0</v>
      </c>
      <c r="P11" s="433" t="s">
        <v>388</v>
      </c>
      <c r="Q11" s="449">
        <v>1.0</v>
      </c>
      <c r="R11" s="613"/>
    </row>
    <row r="12">
      <c r="B12" s="444">
        <v>7.0</v>
      </c>
      <c r="C12" s="433" t="s">
        <v>17005</v>
      </c>
      <c r="D12" s="433" t="s">
        <v>16997</v>
      </c>
      <c r="E12" s="433" t="s">
        <v>17006</v>
      </c>
      <c r="F12" s="433"/>
      <c r="G12" s="433"/>
      <c r="H12" s="433"/>
      <c r="I12" s="433"/>
      <c r="J12" s="433"/>
      <c r="K12" s="433">
        <v>1415.0</v>
      </c>
      <c r="L12" s="433" t="s">
        <v>16349</v>
      </c>
      <c r="M12" s="433"/>
      <c r="N12" s="433" t="s">
        <v>17007</v>
      </c>
      <c r="O12" s="433">
        <v>1986.0</v>
      </c>
      <c r="P12" s="433" t="s">
        <v>388</v>
      </c>
      <c r="Q12" s="449">
        <v>1.0</v>
      </c>
      <c r="R12" s="613"/>
    </row>
    <row r="13">
      <c r="B13" s="444">
        <v>8.0</v>
      </c>
      <c r="C13" s="433" t="s">
        <v>17005</v>
      </c>
      <c r="D13" s="444" t="s">
        <v>17008</v>
      </c>
      <c r="E13" s="433" t="s">
        <v>17009</v>
      </c>
      <c r="F13" s="433"/>
      <c r="G13" s="433"/>
      <c r="H13" s="433" t="s">
        <v>17010</v>
      </c>
      <c r="I13" s="433"/>
      <c r="J13" s="433" t="s">
        <v>17011</v>
      </c>
      <c r="K13" s="433">
        <v>1415.0</v>
      </c>
      <c r="L13" s="433" t="s">
        <v>15211</v>
      </c>
      <c r="M13" s="433"/>
      <c r="N13" s="433" t="s">
        <v>17007</v>
      </c>
      <c r="O13" s="433">
        <v>1986.0</v>
      </c>
      <c r="P13" s="433" t="s">
        <v>388</v>
      </c>
      <c r="Q13" s="449">
        <v>1.0</v>
      </c>
      <c r="R13" s="613"/>
    </row>
    <row r="14">
      <c r="B14" s="444">
        <v>9.0</v>
      </c>
      <c r="C14" s="433" t="s">
        <v>17012</v>
      </c>
      <c r="D14" s="433" t="s">
        <v>15838</v>
      </c>
      <c r="E14" s="433" t="s">
        <v>17013</v>
      </c>
      <c r="F14" s="433"/>
      <c r="G14" s="433"/>
      <c r="H14" s="433" t="s">
        <v>15840</v>
      </c>
      <c r="I14" s="433"/>
      <c r="J14" s="433" t="s">
        <v>17014</v>
      </c>
      <c r="K14" s="433">
        <v>1087.0</v>
      </c>
      <c r="L14" s="433" t="s">
        <v>31</v>
      </c>
      <c r="M14" s="433"/>
      <c r="N14" s="433" t="s">
        <v>17015</v>
      </c>
      <c r="O14" s="433">
        <v>1987.0</v>
      </c>
      <c r="P14" s="433" t="s">
        <v>388</v>
      </c>
      <c r="Q14" s="449">
        <v>1.0</v>
      </c>
      <c r="R14" s="613"/>
    </row>
    <row r="15" ht="15.75" customHeight="1">
      <c r="B15" s="444">
        <v>10.0</v>
      </c>
      <c r="C15" s="433" t="s">
        <v>17016</v>
      </c>
      <c r="D15" s="433" t="s">
        <v>17017</v>
      </c>
      <c r="E15" s="433" t="s">
        <v>17018</v>
      </c>
      <c r="F15" s="433"/>
      <c r="G15" s="433"/>
      <c r="H15" s="433" t="s">
        <v>17019</v>
      </c>
      <c r="I15" s="433"/>
      <c r="J15" s="433" t="s">
        <v>17020</v>
      </c>
      <c r="K15" s="433">
        <v>946.0</v>
      </c>
      <c r="L15" s="433" t="s">
        <v>15211</v>
      </c>
      <c r="M15" s="433"/>
      <c r="N15" s="433" t="s">
        <v>17021</v>
      </c>
      <c r="O15" s="433">
        <v>1987.0</v>
      </c>
      <c r="P15" s="433" t="s">
        <v>388</v>
      </c>
      <c r="Q15" s="449">
        <v>1.0</v>
      </c>
      <c r="R15" s="613"/>
    </row>
    <row r="16" ht="15.75" customHeight="1">
      <c r="B16" s="444">
        <v>11.0</v>
      </c>
      <c r="C16" s="433" t="s">
        <v>17022</v>
      </c>
      <c r="D16" s="433" t="s">
        <v>17017</v>
      </c>
      <c r="E16" s="433" t="s">
        <v>17023</v>
      </c>
      <c r="F16" s="433"/>
      <c r="G16" s="433"/>
      <c r="H16" s="433" t="s">
        <v>17019</v>
      </c>
      <c r="I16" s="433"/>
      <c r="J16" s="433" t="s">
        <v>17024</v>
      </c>
      <c r="K16" s="433">
        <v>1117.0</v>
      </c>
      <c r="L16" s="433" t="s">
        <v>15211</v>
      </c>
      <c r="M16" s="433"/>
      <c r="N16" s="433" t="s">
        <v>17021</v>
      </c>
      <c r="O16" s="433">
        <v>1987.0</v>
      </c>
      <c r="P16" s="433" t="s">
        <v>388</v>
      </c>
      <c r="Q16" s="449">
        <v>1.0</v>
      </c>
      <c r="R16" s="613"/>
    </row>
    <row r="17" ht="15.75" customHeight="1">
      <c r="B17" s="444">
        <v>12.0</v>
      </c>
      <c r="C17" s="433" t="s">
        <v>17025</v>
      </c>
      <c r="D17" s="433" t="s">
        <v>17026</v>
      </c>
      <c r="E17" s="433" t="s">
        <v>17027</v>
      </c>
      <c r="F17" s="433"/>
      <c r="G17" s="433"/>
      <c r="H17" s="433" t="s">
        <v>16700</v>
      </c>
      <c r="I17" s="433"/>
      <c r="J17" s="433" t="s">
        <v>17028</v>
      </c>
      <c r="K17" s="433">
        <v>1045.0</v>
      </c>
      <c r="L17" s="433" t="s">
        <v>31</v>
      </c>
      <c r="M17" s="433"/>
      <c r="N17" s="433" t="s">
        <v>16984</v>
      </c>
      <c r="O17" s="433">
        <v>1987.0</v>
      </c>
      <c r="P17" s="433" t="s">
        <v>388</v>
      </c>
      <c r="Q17" s="449">
        <v>1.0</v>
      </c>
      <c r="R17" s="613"/>
    </row>
    <row r="18" ht="15.75" customHeight="1">
      <c r="B18" s="444">
        <v>13.0</v>
      </c>
      <c r="C18" s="433" t="s">
        <v>17029</v>
      </c>
      <c r="D18" s="433" t="s">
        <v>17030</v>
      </c>
      <c r="E18" s="433" t="s">
        <v>17031</v>
      </c>
      <c r="F18" s="433"/>
      <c r="G18" s="433"/>
      <c r="H18" s="433" t="s">
        <v>38</v>
      </c>
      <c r="I18" s="433"/>
      <c r="J18" s="433" t="s">
        <v>17032</v>
      </c>
      <c r="K18" s="433">
        <v>1231.0</v>
      </c>
      <c r="L18" s="433" t="s">
        <v>15211</v>
      </c>
      <c r="M18" s="433"/>
      <c r="N18" s="433" t="s">
        <v>17033</v>
      </c>
      <c r="O18" s="433">
        <v>1987.0</v>
      </c>
      <c r="P18" s="433" t="s">
        <v>388</v>
      </c>
      <c r="Q18" s="449">
        <v>1.0</v>
      </c>
      <c r="R18" s="613"/>
    </row>
    <row r="19" ht="15.75" customHeight="1">
      <c r="B19" s="444">
        <v>14.0</v>
      </c>
      <c r="C19" s="433" t="s">
        <v>17034</v>
      </c>
      <c r="D19" s="433" t="s">
        <v>16997</v>
      </c>
      <c r="E19" s="433" t="s">
        <v>17035</v>
      </c>
      <c r="F19" s="433"/>
      <c r="G19" s="433"/>
      <c r="H19" s="433" t="s">
        <v>16368</v>
      </c>
      <c r="I19" s="433"/>
      <c r="J19" s="433" t="s">
        <v>17036</v>
      </c>
      <c r="K19" s="433">
        <v>1399.0</v>
      </c>
      <c r="L19" s="433" t="s">
        <v>15211</v>
      </c>
      <c r="M19" s="433"/>
      <c r="N19" s="433" t="s">
        <v>5373</v>
      </c>
      <c r="O19" s="433">
        <v>1987.0</v>
      </c>
      <c r="P19" s="433" t="s">
        <v>388</v>
      </c>
      <c r="Q19" s="449">
        <v>1.0</v>
      </c>
      <c r="R19" s="613"/>
    </row>
    <row r="20" ht="15.75" customHeight="1">
      <c r="B20" s="444">
        <v>15.0</v>
      </c>
      <c r="C20" s="433" t="s">
        <v>31</v>
      </c>
      <c r="D20" s="433" t="s">
        <v>17037</v>
      </c>
      <c r="E20" s="433" t="s">
        <v>17038</v>
      </c>
      <c r="F20" s="433"/>
      <c r="G20" s="433"/>
      <c r="H20" s="433" t="s">
        <v>17039</v>
      </c>
      <c r="I20" s="433"/>
      <c r="J20" s="433" t="s">
        <v>17040</v>
      </c>
      <c r="K20" s="433">
        <v>1159.0</v>
      </c>
      <c r="L20" s="433" t="s">
        <v>15207</v>
      </c>
      <c r="M20" s="433"/>
      <c r="N20" s="433" t="s">
        <v>16984</v>
      </c>
      <c r="O20" s="433">
        <v>1988.0</v>
      </c>
      <c r="P20" s="433" t="s">
        <v>388</v>
      </c>
      <c r="Q20" s="449">
        <v>1.0</v>
      </c>
      <c r="R20" s="613"/>
    </row>
    <row r="21" ht="15.75" customHeight="1">
      <c r="B21" s="444">
        <v>16.0</v>
      </c>
      <c r="C21" s="433" t="s">
        <v>31</v>
      </c>
      <c r="D21" s="433" t="s">
        <v>17037</v>
      </c>
      <c r="E21" s="433" t="s">
        <v>17041</v>
      </c>
      <c r="F21" s="433"/>
      <c r="G21" s="433"/>
      <c r="H21" s="433" t="s">
        <v>17039</v>
      </c>
      <c r="I21" s="433"/>
      <c r="J21" s="433" t="s">
        <v>17042</v>
      </c>
      <c r="K21" s="433">
        <v>1408.0</v>
      </c>
      <c r="L21" s="433" t="s">
        <v>15211</v>
      </c>
      <c r="M21" s="433"/>
      <c r="N21" s="433" t="s">
        <v>16984</v>
      </c>
      <c r="O21" s="433">
        <v>1988.0</v>
      </c>
      <c r="P21" s="433" t="s">
        <v>388</v>
      </c>
      <c r="Q21" s="449">
        <v>1.0</v>
      </c>
      <c r="R21" s="613"/>
    </row>
    <row r="22" ht="15.75" customHeight="1">
      <c r="B22" s="444">
        <v>17.0</v>
      </c>
      <c r="C22" s="433" t="s">
        <v>31</v>
      </c>
      <c r="D22" s="433" t="s">
        <v>17043</v>
      </c>
      <c r="E22" s="433" t="s">
        <v>17001</v>
      </c>
      <c r="F22" s="433"/>
      <c r="G22" s="433"/>
      <c r="H22" s="433" t="s">
        <v>17044</v>
      </c>
      <c r="I22" s="433"/>
      <c r="J22" s="433" t="s">
        <v>17003</v>
      </c>
      <c r="K22" s="433">
        <v>1225.0</v>
      </c>
      <c r="L22" s="433" t="s">
        <v>16349</v>
      </c>
      <c r="M22" s="433"/>
      <c r="N22" s="433" t="s">
        <v>17004</v>
      </c>
      <c r="O22" s="433">
        <v>1988.0</v>
      </c>
      <c r="P22" s="433" t="s">
        <v>388</v>
      </c>
      <c r="Q22" s="449">
        <v>1.0</v>
      </c>
      <c r="R22" s="613"/>
    </row>
    <row r="23" ht="15.75" customHeight="1">
      <c r="B23" s="444">
        <v>18.0</v>
      </c>
      <c r="C23" s="433" t="s">
        <v>17045</v>
      </c>
      <c r="D23" s="433" t="s">
        <v>15838</v>
      </c>
      <c r="E23" s="433"/>
      <c r="F23" s="433"/>
      <c r="G23" s="433"/>
      <c r="H23" s="433" t="s">
        <v>15840</v>
      </c>
      <c r="I23" s="433"/>
      <c r="J23" s="433" t="s">
        <v>17046</v>
      </c>
      <c r="K23" s="433"/>
      <c r="L23" s="433"/>
      <c r="M23" s="433"/>
      <c r="N23" s="433" t="s">
        <v>17033</v>
      </c>
      <c r="O23" s="433">
        <v>1987.0</v>
      </c>
      <c r="P23" s="433" t="s">
        <v>388</v>
      </c>
      <c r="Q23" s="449">
        <v>1.0</v>
      </c>
      <c r="R23" s="613"/>
    </row>
    <row r="24" ht="15.75" customHeight="1">
      <c r="B24" s="444">
        <v>19.0</v>
      </c>
      <c r="C24" s="433" t="s">
        <v>31</v>
      </c>
      <c r="D24" s="433" t="s">
        <v>17047</v>
      </c>
      <c r="E24" s="433" t="s">
        <v>17048</v>
      </c>
      <c r="F24" s="433"/>
      <c r="G24" s="433"/>
      <c r="H24" s="433" t="s">
        <v>1331</v>
      </c>
      <c r="I24" s="433"/>
      <c r="J24" s="433" t="s">
        <v>17049</v>
      </c>
      <c r="K24" s="433">
        <v>1053.0</v>
      </c>
      <c r="L24" s="433" t="s">
        <v>17050</v>
      </c>
      <c r="M24" s="433"/>
      <c r="N24" s="433" t="s">
        <v>17051</v>
      </c>
      <c r="O24" s="433">
        <v>1989.0</v>
      </c>
      <c r="P24" s="433" t="s">
        <v>388</v>
      </c>
      <c r="Q24" s="449">
        <v>1.0</v>
      </c>
      <c r="R24" s="613"/>
    </row>
    <row r="25" ht="15.75" customHeight="1">
      <c r="B25" s="444">
        <v>20.0</v>
      </c>
      <c r="C25" s="433" t="s">
        <v>17052</v>
      </c>
      <c r="D25" s="433" t="s">
        <v>17037</v>
      </c>
      <c r="E25" s="433" t="s">
        <v>17053</v>
      </c>
      <c r="F25" s="433"/>
      <c r="G25" s="433"/>
      <c r="H25" s="433" t="s">
        <v>17039</v>
      </c>
      <c r="I25" s="433"/>
      <c r="J25" s="433" t="s">
        <v>17054</v>
      </c>
      <c r="K25" s="433">
        <v>1424.0</v>
      </c>
      <c r="L25" s="433" t="s">
        <v>15211</v>
      </c>
      <c r="M25" s="433"/>
      <c r="N25" s="433" t="s">
        <v>16984</v>
      </c>
      <c r="O25" s="433">
        <v>1988.0</v>
      </c>
      <c r="P25" s="433" t="s">
        <v>388</v>
      </c>
      <c r="Q25" s="449">
        <v>1.0</v>
      </c>
      <c r="R25" s="613"/>
    </row>
    <row r="26" ht="15.75" customHeight="1">
      <c r="B26" s="444">
        <v>21.0</v>
      </c>
      <c r="C26" s="433" t="s">
        <v>31</v>
      </c>
      <c r="D26" s="433" t="s">
        <v>17055</v>
      </c>
      <c r="E26" s="433" t="s">
        <v>17056</v>
      </c>
      <c r="F26" s="433"/>
      <c r="G26" s="433"/>
      <c r="H26" s="433" t="s">
        <v>17057</v>
      </c>
      <c r="I26" s="466"/>
      <c r="J26" s="433" t="s">
        <v>17058</v>
      </c>
      <c r="K26" s="433">
        <v>1270.0</v>
      </c>
      <c r="L26" s="433" t="s">
        <v>15211</v>
      </c>
      <c r="M26" s="433"/>
      <c r="N26" s="433" t="s">
        <v>17059</v>
      </c>
      <c r="O26" s="433">
        <v>1988.0</v>
      </c>
      <c r="P26" s="433" t="s">
        <v>388</v>
      </c>
      <c r="Q26" s="449">
        <v>1.0</v>
      </c>
      <c r="R26" s="613"/>
    </row>
    <row r="27" ht="15.75" customHeight="1">
      <c r="B27" s="444">
        <v>22.0</v>
      </c>
      <c r="C27" s="433" t="s">
        <v>31</v>
      </c>
      <c r="D27" s="433" t="s">
        <v>17060</v>
      </c>
      <c r="E27" s="433" t="s">
        <v>17061</v>
      </c>
      <c r="F27" s="433"/>
      <c r="G27" s="433"/>
      <c r="H27" s="433"/>
      <c r="I27" s="433"/>
      <c r="J27" s="433"/>
      <c r="K27" s="433"/>
      <c r="L27" s="433"/>
      <c r="M27" s="433"/>
      <c r="N27" s="433" t="s">
        <v>17062</v>
      </c>
      <c r="O27" s="433">
        <v>1988.0</v>
      </c>
      <c r="P27" s="433" t="s">
        <v>388</v>
      </c>
      <c r="Q27" s="449">
        <v>1.0</v>
      </c>
      <c r="R27" s="613"/>
    </row>
    <row r="28" ht="15.75" customHeight="1">
      <c r="B28" s="444">
        <v>23.0</v>
      </c>
      <c r="C28" s="433" t="s">
        <v>17063</v>
      </c>
      <c r="D28" s="433" t="s">
        <v>17064</v>
      </c>
      <c r="E28" s="433" t="s">
        <v>17065</v>
      </c>
      <c r="F28" s="433"/>
      <c r="G28" s="433"/>
      <c r="H28" s="433" t="s">
        <v>15840</v>
      </c>
      <c r="I28" s="433"/>
      <c r="J28" s="433" t="s">
        <v>17066</v>
      </c>
      <c r="K28" s="433">
        <v>1266.0</v>
      </c>
      <c r="L28" s="433" t="s">
        <v>15211</v>
      </c>
      <c r="M28" s="433"/>
      <c r="N28" s="433" t="s">
        <v>17015</v>
      </c>
      <c r="O28" s="433">
        <v>1988.0</v>
      </c>
      <c r="P28" s="433" t="s">
        <v>388</v>
      </c>
      <c r="Q28" s="449">
        <v>1.0</v>
      </c>
      <c r="R28" s="613"/>
    </row>
    <row r="29" ht="15.75" customHeight="1">
      <c r="B29" s="444">
        <v>24.0</v>
      </c>
      <c r="C29" s="433" t="s">
        <v>31</v>
      </c>
      <c r="D29" s="433" t="s">
        <v>17067</v>
      </c>
      <c r="E29" s="433" t="s">
        <v>17068</v>
      </c>
      <c r="F29" s="433"/>
      <c r="G29" s="433"/>
      <c r="H29" s="433" t="s">
        <v>17069</v>
      </c>
      <c r="I29" s="466"/>
      <c r="J29" s="433" t="s">
        <v>17070</v>
      </c>
      <c r="K29" s="433">
        <v>991.0</v>
      </c>
      <c r="L29" s="433" t="s">
        <v>31</v>
      </c>
      <c r="M29" s="433"/>
      <c r="N29" s="433" t="s">
        <v>17071</v>
      </c>
      <c r="O29" s="433">
        <v>1988.0</v>
      </c>
      <c r="P29" s="433" t="s">
        <v>388</v>
      </c>
      <c r="Q29" s="449">
        <v>1.0</v>
      </c>
      <c r="R29" s="613"/>
    </row>
    <row r="30" ht="15.75" customHeight="1">
      <c r="B30" s="444">
        <v>25.0</v>
      </c>
      <c r="C30" s="433" t="s">
        <v>17072</v>
      </c>
      <c r="D30" s="433" t="s">
        <v>17073</v>
      </c>
      <c r="E30" s="433" t="s">
        <v>16712</v>
      </c>
      <c r="F30" s="433"/>
      <c r="G30" s="433"/>
      <c r="H30" s="433" t="s">
        <v>17074</v>
      </c>
      <c r="I30" s="433"/>
      <c r="J30" s="433" t="s">
        <v>17075</v>
      </c>
      <c r="K30" s="433">
        <v>1283.0</v>
      </c>
      <c r="L30" s="433" t="s">
        <v>31</v>
      </c>
      <c r="M30" s="433"/>
      <c r="N30" s="433" t="s">
        <v>17076</v>
      </c>
      <c r="O30" s="433">
        <v>1988.0</v>
      </c>
      <c r="P30" s="433" t="s">
        <v>388</v>
      </c>
      <c r="Q30" s="449">
        <v>1.0</v>
      </c>
      <c r="R30" s="613"/>
    </row>
    <row r="31" ht="15.75" customHeight="1">
      <c r="B31" s="444">
        <v>26.0</v>
      </c>
      <c r="C31" s="433" t="s">
        <v>31</v>
      </c>
      <c r="D31" s="433" t="s">
        <v>17077</v>
      </c>
      <c r="E31" s="433" t="s">
        <v>17078</v>
      </c>
      <c r="F31" s="433"/>
      <c r="G31" s="433"/>
      <c r="H31" s="782" t="s">
        <v>6431</v>
      </c>
      <c r="I31" s="433"/>
      <c r="J31" s="433" t="s">
        <v>17079</v>
      </c>
      <c r="K31" s="433">
        <v>1157.0</v>
      </c>
      <c r="L31" s="433" t="s">
        <v>15211</v>
      </c>
      <c r="M31" s="433"/>
      <c r="N31" s="433" t="s">
        <v>16332</v>
      </c>
      <c r="O31" s="433">
        <v>1987.0</v>
      </c>
      <c r="P31" s="433" t="s">
        <v>388</v>
      </c>
      <c r="Q31" s="449">
        <v>1.0</v>
      </c>
      <c r="R31" s="613"/>
    </row>
    <row r="32" ht="15.75" customHeight="1">
      <c r="B32" s="444">
        <v>27.0</v>
      </c>
      <c r="C32" s="433" t="s">
        <v>17080</v>
      </c>
      <c r="D32" s="433" t="s">
        <v>17026</v>
      </c>
      <c r="E32" s="433" t="s">
        <v>17081</v>
      </c>
      <c r="F32" s="433"/>
      <c r="G32" s="433"/>
      <c r="H32" s="433" t="s">
        <v>16700</v>
      </c>
      <c r="I32" s="433"/>
      <c r="J32" s="433" t="s">
        <v>17082</v>
      </c>
      <c r="K32" s="433">
        <v>1058.0</v>
      </c>
      <c r="L32" s="433" t="s">
        <v>15211</v>
      </c>
      <c r="M32" s="433"/>
      <c r="N32" s="433" t="s">
        <v>16984</v>
      </c>
      <c r="O32" s="433">
        <v>1988.0</v>
      </c>
      <c r="P32" s="433" t="s">
        <v>388</v>
      </c>
      <c r="Q32" s="449">
        <v>1.0</v>
      </c>
      <c r="R32" s="613"/>
    </row>
    <row r="33" ht="15.75" customHeight="1">
      <c r="B33" s="444">
        <v>28.0</v>
      </c>
      <c r="C33" s="433" t="s">
        <v>31</v>
      </c>
      <c r="D33" s="433" t="s">
        <v>17083</v>
      </c>
      <c r="E33" s="433" t="s">
        <v>17084</v>
      </c>
      <c r="F33" s="433"/>
      <c r="G33" s="433"/>
      <c r="H33" s="433" t="s">
        <v>17039</v>
      </c>
      <c r="I33" s="433"/>
      <c r="J33" s="433" t="s">
        <v>17085</v>
      </c>
      <c r="K33" s="433">
        <v>1008.0</v>
      </c>
      <c r="L33" s="433" t="s">
        <v>15211</v>
      </c>
      <c r="M33" s="433"/>
      <c r="N33" s="433" t="s">
        <v>16984</v>
      </c>
      <c r="O33" s="433">
        <v>1989.0</v>
      </c>
      <c r="P33" s="433" t="s">
        <v>388</v>
      </c>
      <c r="Q33" s="449">
        <v>1.0</v>
      </c>
      <c r="R33" s="613"/>
    </row>
    <row r="34" ht="15.75" customHeight="1">
      <c r="B34" s="444">
        <v>29.0</v>
      </c>
      <c r="C34" s="433" t="s">
        <v>17086</v>
      </c>
      <c r="D34" s="433" t="s">
        <v>17087</v>
      </c>
      <c r="E34" s="433" t="s">
        <v>17084</v>
      </c>
      <c r="F34" s="433"/>
      <c r="G34" s="433"/>
      <c r="H34" s="433" t="s">
        <v>17039</v>
      </c>
      <c r="I34" s="433"/>
      <c r="J34" s="433" t="s">
        <v>17085</v>
      </c>
      <c r="K34" s="433">
        <v>1008.0</v>
      </c>
      <c r="L34" s="433" t="s">
        <v>15211</v>
      </c>
      <c r="M34" s="433"/>
      <c r="N34" s="433" t="s">
        <v>16984</v>
      </c>
      <c r="O34" s="433">
        <v>1988.0</v>
      </c>
      <c r="P34" s="433" t="s">
        <v>388</v>
      </c>
      <c r="Q34" s="449">
        <v>1.0</v>
      </c>
      <c r="R34" s="613"/>
    </row>
    <row r="35" ht="15.75" customHeight="1">
      <c r="B35" s="444">
        <v>30.0</v>
      </c>
      <c r="C35" s="433" t="s">
        <v>31</v>
      </c>
      <c r="D35" s="433" t="s">
        <v>17088</v>
      </c>
      <c r="E35" s="433" t="s">
        <v>17089</v>
      </c>
      <c r="F35" s="433"/>
      <c r="G35" s="433"/>
      <c r="H35" s="433" t="s">
        <v>1331</v>
      </c>
      <c r="I35" s="433"/>
      <c r="J35" s="433" t="s">
        <v>17090</v>
      </c>
      <c r="K35" s="433">
        <v>1130.0</v>
      </c>
      <c r="L35" s="433" t="s">
        <v>31</v>
      </c>
      <c r="M35" s="433"/>
      <c r="N35" s="433" t="s">
        <v>17091</v>
      </c>
      <c r="O35" s="433">
        <v>1988.0</v>
      </c>
      <c r="P35" s="433" t="s">
        <v>388</v>
      </c>
      <c r="Q35" s="449">
        <v>1.0</v>
      </c>
      <c r="R35" s="613"/>
    </row>
    <row r="36" ht="15.75" customHeight="1">
      <c r="B36" s="444">
        <v>31.0</v>
      </c>
      <c r="C36" s="433" t="s">
        <v>17092</v>
      </c>
      <c r="D36" s="433" t="s">
        <v>17026</v>
      </c>
      <c r="E36" s="433" t="s">
        <v>17093</v>
      </c>
      <c r="F36" s="433"/>
      <c r="G36" s="433"/>
      <c r="H36" s="433" t="s">
        <v>16700</v>
      </c>
      <c r="I36" s="433"/>
      <c r="J36" s="433" t="s">
        <v>17094</v>
      </c>
      <c r="K36" s="433">
        <v>1033.0</v>
      </c>
      <c r="L36" s="433" t="s">
        <v>31</v>
      </c>
      <c r="M36" s="433"/>
      <c r="N36" s="433" t="s">
        <v>16984</v>
      </c>
      <c r="O36" s="433">
        <v>1988.0</v>
      </c>
      <c r="P36" s="433" t="s">
        <v>388</v>
      </c>
      <c r="Q36" s="449">
        <v>1.0</v>
      </c>
      <c r="R36" s="613"/>
    </row>
    <row r="37" ht="15.75" customHeight="1">
      <c r="B37" s="444">
        <v>32.0</v>
      </c>
      <c r="C37" s="433" t="s">
        <v>31</v>
      </c>
      <c r="D37" s="433" t="s">
        <v>17095</v>
      </c>
      <c r="E37" s="433" t="s">
        <v>17096</v>
      </c>
      <c r="F37" s="433"/>
      <c r="G37" s="433"/>
      <c r="H37" s="607" t="s">
        <v>17097</v>
      </c>
      <c r="I37" s="433"/>
      <c r="J37" s="433" t="s">
        <v>17098</v>
      </c>
      <c r="K37" s="433">
        <v>1081.0</v>
      </c>
      <c r="L37" s="433" t="s">
        <v>31</v>
      </c>
      <c r="M37" s="433"/>
      <c r="N37" s="433" t="s">
        <v>17099</v>
      </c>
      <c r="O37" s="433">
        <v>1988.0</v>
      </c>
      <c r="P37" s="433" t="s">
        <v>388</v>
      </c>
      <c r="Q37" s="449">
        <v>1.0</v>
      </c>
      <c r="R37" s="613"/>
    </row>
    <row r="38" ht="15.75" customHeight="1">
      <c r="B38" s="444">
        <v>33.0</v>
      </c>
      <c r="C38" s="433" t="s">
        <v>31</v>
      </c>
      <c r="D38" s="433" t="s">
        <v>17055</v>
      </c>
      <c r="E38" s="433" t="s">
        <v>17100</v>
      </c>
      <c r="F38" s="433"/>
      <c r="G38" s="433"/>
      <c r="H38" s="466" t="s">
        <v>17101</v>
      </c>
      <c r="I38" s="433"/>
      <c r="J38" s="433" t="s">
        <v>17102</v>
      </c>
      <c r="K38" s="433">
        <v>1477.0</v>
      </c>
      <c r="L38" s="433" t="s">
        <v>31</v>
      </c>
      <c r="M38" s="433"/>
      <c r="N38" s="433" t="s">
        <v>54</v>
      </c>
      <c r="O38" s="433">
        <v>1988.0</v>
      </c>
      <c r="P38" s="433" t="s">
        <v>388</v>
      </c>
      <c r="Q38" s="449">
        <v>1.0</v>
      </c>
      <c r="R38" s="613"/>
    </row>
    <row r="39" ht="15.75" customHeight="1">
      <c r="B39" s="444">
        <v>34.0</v>
      </c>
      <c r="C39" s="433" t="s">
        <v>17103</v>
      </c>
      <c r="D39" s="433" t="s">
        <v>15838</v>
      </c>
      <c r="E39" s="433" t="s">
        <v>17104</v>
      </c>
      <c r="F39" s="433"/>
      <c r="G39" s="433"/>
      <c r="H39" s="433" t="s">
        <v>17097</v>
      </c>
      <c r="I39" s="433"/>
      <c r="J39" s="433" t="s">
        <v>17105</v>
      </c>
      <c r="K39" s="433">
        <v>930.0</v>
      </c>
      <c r="L39" s="433" t="s">
        <v>15211</v>
      </c>
      <c r="M39" s="433"/>
      <c r="N39" s="433" t="s">
        <v>17015</v>
      </c>
      <c r="O39" s="433">
        <v>1980.0</v>
      </c>
      <c r="P39" s="433" t="s">
        <v>388</v>
      </c>
      <c r="Q39" s="449">
        <v>1.0</v>
      </c>
      <c r="R39" s="613"/>
    </row>
    <row r="40" ht="15.75" customHeight="1">
      <c r="B40" s="444">
        <v>35.0</v>
      </c>
      <c r="C40" s="433" t="s">
        <v>31</v>
      </c>
      <c r="D40" s="433" t="s">
        <v>17037</v>
      </c>
      <c r="E40" s="433" t="s">
        <v>17106</v>
      </c>
      <c r="F40" s="433"/>
      <c r="G40" s="433"/>
      <c r="H40" s="433" t="s">
        <v>17039</v>
      </c>
      <c r="I40" s="433"/>
      <c r="J40" s="433" t="s">
        <v>17107</v>
      </c>
      <c r="K40" s="433">
        <v>1543.0</v>
      </c>
      <c r="L40" s="433" t="s">
        <v>15194</v>
      </c>
      <c r="M40" s="433"/>
      <c r="N40" s="433" t="s">
        <v>17108</v>
      </c>
      <c r="O40" s="433">
        <v>1989.0</v>
      </c>
      <c r="P40" s="433" t="s">
        <v>388</v>
      </c>
      <c r="Q40" s="449">
        <v>1.0</v>
      </c>
      <c r="R40" s="613"/>
    </row>
    <row r="41" ht="15.75" customHeight="1">
      <c r="B41" s="444">
        <v>36.0</v>
      </c>
      <c r="C41" s="433" t="s">
        <v>31</v>
      </c>
      <c r="D41" s="433" t="s">
        <v>17037</v>
      </c>
      <c r="E41" s="433" t="s">
        <v>17109</v>
      </c>
      <c r="F41" s="433"/>
      <c r="G41" s="433"/>
      <c r="H41" s="433" t="s">
        <v>17110</v>
      </c>
      <c r="I41" s="466"/>
      <c r="J41" s="433" t="s">
        <v>17111</v>
      </c>
      <c r="K41" s="433">
        <v>1081.0</v>
      </c>
      <c r="L41" s="433" t="s">
        <v>15211</v>
      </c>
      <c r="M41" s="433"/>
      <c r="N41" s="433" t="s">
        <v>16984</v>
      </c>
      <c r="O41" s="433">
        <v>1989.0</v>
      </c>
      <c r="P41" s="433" t="s">
        <v>388</v>
      </c>
      <c r="Q41" s="449">
        <v>1.0</v>
      </c>
      <c r="R41" s="613"/>
    </row>
    <row r="42" ht="15.75" customHeight="1">
      <c r="B42" s="444">
        <v>37.0</v>
      </c>
      <c r="C42" s="433" t="s">
        <v>31</v>
      </c>
      <c r="D42" s="433" t="s">
        <v>17017</v>
      </c>
      <c r="E42" s="433" t="s">
        <v>17112</v>
      </c>
      <c r="F42" s="433"/>
      <c r="G42" s="433"/>
      <c r="H42" s="433" t="s">
        <v>17019</v>
      </c>
      <c r="I42" s="433"/>
      <c r="J42" s="433" t="s">
        <v>17113</v>
      </c>
      <c r="K42" s="433">
        <v>1156.0</v>
      </c>
      <c r="L42" s="433" t="s">
        <v>15211</v>
      </c>
      <c r="M42" s="433"/>
      <c r="N42" s="433" t="s">
        <v>17021</v>
      </c>
      <c r="O42" s="433">
        <v>1988.0</v>
      </c>
      <c r="P42" s="433" t="s">
        <v>388</v>
      </c>
      <c r="Q42" s="449">
        <v>1.0</v>
      </c>
      <c r="R42" s="613"/>
    </row>
    <row r="43" ht="15.75" customHeight="1">
      <c r="B43" s="444">
        <v>38.0</v>
      </c>
      <c r="C43" s="433" t="s">
        <v>17114</v>
      </c>
      <c r="D43" s="433" t="s">
        <v>17017</v>
      </c>
      <c r="E43" s="433" t="s">
        <v>17112</v>
      </c>
      <c r="F43" s="433"/>
      <c r="G43" s="433"/>
      <c r="H43" s="433" t="s">
        <v>17019</v>
      </c>
      <c r="I43" s="433"/>
      <c r="J43" s="433" t="s">
        <v>17113</v>
      </c>
      <c r="K43" s="433">
        <v>1156.0</v>
      </c>
      <c r="L43" s="433" t="s">
        <v>15211</v>
      </c>
      <c r="M43" s="433"/>
      <c r="N43" s="433" t="s">
        <v>17021</v>
      </c>
      <c r="O43" s="433">
        <v>1989.0</v>
      </c>
      <c r="P43" s="433" t="s">
        <v>388</v>
      </c>
      <c r="Q43" s="449">
        <v>1.0</v>
      </c>
      <c r="R43" s="613"/>
    </row>
    <row r="44" ht="15.75" customHeight="1">
      <c r="B44" s="444">
        <v>39.0</v>
      </c>
      <c r="C44" s="433" t="s">
        <v>31</v>
      </c>
      <c r="D44" s="433" t="s">
        <v>17055</v>
      </c>
      <c r="E44" s="433" t="s">
        <v>17115</v>
      </c>
      <c r="F44" s="433"/>
      <c r="G44" s="433"/>
      <c r="H44" s="433" t="s">
        <v>17002</v>
      </c>
      <c r="I44" s="433"/>
      <c r="J44" s="433" t="s">
        <v>17116</v>
      </c>
      <c r="K44" s="433">
        <v>1318.0</v>
      </c>
      <c r="L44" s="433" t="s">
        <v>31</v>
      </c>
      <c r="M44" s="433"/>
      <c r="N44" s="433" t="s">
        <v>54</v>
      </c>
      <c r="O44" s="433">
        <v>1989.0</v>
      </c>
      <c r="P44" s="433" t="s">
        <v>388</v>
      </c>
      <c r="Q44" s="449">
        <v>1.0</v>
      </c>
      <c r="R44" s="613"/>
    </row>
    <row r="45" ht="15.75" customHeight="1">
      <c r="B45" s="444">
        <v>40.0</v>
      </c>
      <c r="C45" s="433" t="s">
        <v>17117</v>
      </c>
      <c r="D45" s="433" t="s">
        <v>17118</v>
      </c>
      <c r="E45" s="433" t="s">
        <v>17119</v>
      </c>
      <c r="F45" s="433"/>
      <c r="G45" s="433"/>
      <c r="H45" s="433" t="s">
        <v>17120</v>
      </c>
      <c r="I45" s="466"/>
      <c r="J45" s="433" t="s">
        <v>17121</v>
      </c>
      <c r="K45" s="433">
        <v>1053.0</v>
      </c>
      <c r="L45" s="433" t="s">
        <v>31</v>
      </c>
      <c r="M45" s="433"/>
      <c r="N45" s="433" t="s">
        <v>17122</v>
      </c>
      <c r="O45" s="433">
        <v>1989.0</v>
      </c>
      <c r="P45" s="433" t="s">
        <v>388</v>
      </c>
      <c r="Q45" s="449">
        <v>1.0</v>
      </c>
      <c r="R45" s="613"/>
    </row>
    <row r="46" ht="15.75" customHeight="1">
      <c r="B46" s="444">
        <v>41.0</v>
      </c>
      <c r="C46" s="433" t="s">
        <v>31</v>
      </c>
      <c r="D46" s="433" t="s">
        <v>17123</v>
      </c>
      <c r="E46" s="433" t="s">
        <v>17124</v>
      </c>
      <c r="F46" s="433"/>
      <c r="G46" s="433"/>
      <c r="H46" s="433" t="s">
        <v>17039</v>
      </c>
      <c r="I46" s="433"/>
      <c r="J46" s="433" t="s">
        <v>17042</v>
      </c>
      <c r="K46" s="433">
        <v>1408.0</v>
      </c>
      <c r="L46" s="433" t="s">
        <v>15211</v>
      </c>
      <c r="M46" s="433"/>
      <c r="N46" s="433" t="s">
        <v>16984</v>
      </c>
      <c r="O46" s="433">
        <v>1989.0</v>
      </c>
      <c r="P46" s="433" t="s">
        <v>388</v>
      </c>
      <c r="Q46" s="449">
        <v>1.0</v>
      </c>
      <c r="R46" s="613"/>
    </row>
    <row r="47" ht="15.75" customHeight="1">
      <c r="B47" s="444">
        <v>42.0</v>
      </c>
      <c r="C47" s="433" t="s">
        <v>31</v>
      </c>
      <c r="D47" s="433" t="s">
        <v>17037</v>
      </c>
      <c r="E47" s="433" t="s">
        <v>17125</v>
      </c>
      <c r="F47" s="433"/>
      <c r="G47" s="433"/>
      <c r="H47" s="433" t="s">
        <v>17039</v>
      </c>
      <c r="I47" s="433"/>
      <c r="J47" s="433" t="s">
        <v>17126</v>
      </c>
      <c r="K47" s="433">
        <v>1020.0</v>
      </c>
      <c r="L47" s="433" t="s">
        <v>15211</v>
      </c>
      <c r="M47" s="433"/>
      <c r="N47" s="433" t="s">
        <v>16984</v>
      </c>
      <c r="O47" s="433">
        <v>1989.0</v>
      </c>
      <c r="P47" s="433" t="s">
        <v>388</v>
      </c>
      <c r="Q47" s="449">
        <v>2.0</v>
      </c>
      <c r="R47" s="613"/>
    </row>
    <row r="48" ht="15.75" customHeight="1">
      <c r="B48" s="444">
        <v>43.0</v>
      </c>
      <c r="C48" s="433"/>
      <c r="D48" s="433" t="s">
        <v>17127</v>
      </c>
      <c r="E48" s="433" t="s">
        <v>17128</v>
      </c>
      <c r="F48" s="433"/>
      <c r="G48" s="433"/>
      <c r="H48" s="433" t="s">
        <v>15305</v>
      </c>
      <c r="I48" s="433"/>
      <c r="J48" s="433" t="s">
        <v>17129</v>
      </c>
      <c r="K48" s="433"/>
      <c r="L48" s="433"/>
      <c r="M48" s="433"/>
      <c r="N48" s="433" t="s">
        <v>17130</v>
      </c>
      <c r="O48" s="433">
        <v>1988.0</v>
      </c>
      <c r="P48" s="433" t="s">
        <v>388</v>
      </c>
      <c r="Q48" s="449">
        <v>1.0</v>
      </c>
      <c r="R48" s="613"/>
    </row>
    <row r="49" ht="15.75" customHeight="1">
      <c r="B49" s="444">
        <v>44.0</v>
      </c>
      <c r="C49" s="433" t="s">
        <v>17131</v>
      </c>
      <c r="D49" s="433" t="s">
        <v>17132</v>
      </c>
      <c r="E49" s="433" t="s">
        <v>17133</v>
      </c>
      <c r="F49" s="433"/>
      <c r="G49" s="433"/>
      <c r="H49" s="433" t="s">
        <v>17134</v>
      </c>
      <c r="I49" s="433"/>
      <c r="J49" s="433" t="s">
        <v>17134</v>
      </c>
      <c r="K49" s="433">
        <v>1716.0</v>
      </c>
      <c r="L49" s="433" t="s">
        <v>15211</v>
      </c>
      <c r="M49" s="433"/>
      <c r="N49" s="433" t="s">
        <v>17135</v>
      </c>
      <c r="O49" s="433">
        <v>2001.0</v>
      </c>
      <c r="P49" s="433" t="s">
        <v>388</v>
      </c>
      <c r="Q49" s="449">
        <v>1.0</v>
      </c>
      <c r="R49" s="613"/>
    </row>
    <row r="50" ht="15.75" customHeight="1">
      <c r="B50" s="444">
        <v>45.0</v>
      </c>
      <c r="C50" s="433" t="s">
        <v>17136</v>
      </c>
      <c r="D50" s="433" t="s">
        <v>17037</v>
      </c>
      <c r="E50" s="433" t="s">
        <v>17137</v>
      </c>
      <c r="F50" s="433"/>
      <c r="G50" s="433"/>
      <c r="H50" s="433" t="s">
        <v>17039</v>
      </c>
      <c r="I50" s="433"/>
      <c r="J50" s="433" t="s">
        <v>17138</v>
      </c>
      <c r="K50" s="433">
        <v>1286.0</v>
      </c>
      <c r="L50" s="433" t="s">
        <v>31</v>
      </c>
      <c r="M50" s="433"/>
      <c r="N50" s="433" t="s">
        <v>16984</v>
      </c>
      <c r="O50" s="433">
        <v>1989.0</v>
      </c>
      <c r="P50" s="433" t="s">
        <v>388</v>
      </c>
      <c r="Q50" s="449">
        <v>1.0</v>
      </c>
      <c r="R50" s="613"/>
    </row>
    <row r="51" ht="15.75" customHeight="1">
      <c r="B51" s="444">
        <v>46.0</v>
      </c>
      <c r="C51" s="433" t="s">
        <v>17080</v>
      </c>
      <c r="D51" s="433" t="s">
        <v>17026</v>
      </c>
      <c r="E51" s="433" t="s">
        <v>17139</v>
      </c>
      <c r="F51" s="433"/>
      <c r="G51" s="433"/>
      <c r="H51" s="433" t="s">
        <v>16700</v>
      </c>
      <c r="I51" s="433"/>
      <c r="J51" s="433" t="s">
        <v>17082</v>
      </c>
      <c r="K51" s="433">
        <v>1058.0</v>
      </c>
      <c r="L51" s="433" t="s">
        <v>15211</v>
      </c>
      <c r="M51" s="433"/>
      <c r="N51" s="433" t="s">
        <v>16984</v>
      </c>
      <c r="O51" s="433">
        <v>1989.0</v>
      </c>
      <c r="P51" s="433" t="s">
        <v>388</v>
      </c>
      <c r="Q51" s="449">
        <v>1.0</v>
      </c>
      <c r="R51" s="613"/>
    </row>
    <row r="52" ht="15.75" customHeight="1">
      <c r="B52" s="444">
        <v>47.0</v>
      </c>
      <c r="C52" s="433" t="s">
        <v>31</v>
      </c>
      <c r="D52" s="433" t="s">
        <v>17140</v>
      </c>
      <c r="E52" s="433" t="s">
        <v>17078</v>
      </c>
      <c r="F52" s="433"/>
      <c r="G52" s="433"/>
      <c r="H52" s="433" t="s">
        <v>6431</v>
      </c>
      <c r="I52" s="433"/>
      <c r="J52" s="433" t="s">
        <v>17141</v>
      </c>
      <c r="K52" s="433">
        <v>1157.0</v>
      </c>
      <c r="L52" s="433" t="s">
        <v>17142</v>
      </c>
      <c r="M52" s="433"/>
      <c r="N52" s="433" t="s">
        <v>17143</v>
      </c>
      <c r="O52" s="433">
        <v>1989.0</v>
      </c>
      <c r="P52" s="433" t="s">
        <v>388</v>
      </c>
      <c r="Q52" s="449">
        <v>1.0</v>
      </c>
      <c r="R52" s="613"/>
    </row>
    <row r="53" ht="15.75" customHeight="1">
      <c r="B53" s="444">
        <v>48.0</v>
      </c>
      <c r="C53" s="433" t="s">
        <v>17144</v>
      </c>
      <c r="D53" s="433" t="s">
        <v>17017</v>
      </c>
      <c r="E53" s="433" t="s">
        <v>17145</v>
      </c>
      <c r="F53" s="433"/>
      <c r="G53" s="433"/>
      <c r="H53" s="433" t="s">
        <v>17019</v>
      </c>
      <c r="I53" s="433"/>
      <c r="J53" s="433" t="s">
        <v>17146</v>
      </c>
      <c r="K53" s="433">
        <v>1401.0</v>
      </c>
      <c r="L53" s="433" t="s">
        <v>31</v>
      </c>
      <c r="M53" s="433"/>
      <c r="N53" s="433" t="s">
        <v>17021</v>
      </c>
      <c r="O53" s="433">
        <v>1989.0</v>
      </c>
      <c r="P53" s="433" t="s">
        <v>388</v>
      </c>
      <c r="Q53" s="449">
        <v>1.0</v>
      </c>
      <c r="R53" s="613"/>
    </row>
    <row r="54" ht="15.75" customHeight="1">
      <c r="B54" s="444">
        <v>49.0</v>
      </c>
      <c r="C54" s="433" t="s">
        <v>17147</v>
      </c>
      <c r="D54" s="433" t="s">
        <v>17148</v>
      </c>
      <c r="E54" s="433" t="s">
        <v>17149</v>
      </c>
      <c r="F54" s="433"/>
      <c r="G54" s="433"/>
      <c r="H54" s="433" t="s">
        <v>17074</v>
      </c>
      <c r="I54" s="433"/>
      <c r="J54" s="433" t="s">
        <v>17150</v>
      </c>
      <c r="K54" s="433">
        <v>600.0</v>
      </c>
      <c r="L54" s="433" t="s">
        <v>31</v>
      </c>
      <c r="M54" s="433"/>
      <c r="N54" s="433" t="s">
        <v>17151</v>
      </c>
      <c r="O54" s="433">
        <v>1988.0</v>
      </c>
      <c r="P54" s="433" t="s">
        <v>388</v>
      </c>
      <c r="Q54" s="449">
        <v>1.0</v>
      </c>
      <c r="R54" s="613"/>
    </row>
    <row r="55" ht="15.75" customHeight="1">
      <c r="B55" s="444">
        <v>50.0</v>
      </c>
      <c r="C55" s="433" t="s">
        <v>17152</v>
      </c>
      <c r="D55" s="433" t="s">
        <v>17153</v>
      </c>
      <c r="E55" s="433" t="s">
        <v>17154</v>
      </c>
      <c r="F55" s="433"/>
      <c r="G55" s="433"/>
      <c r="H55" s="433" t="s">
        <v>17097</v>
      </c>
      <c r="I55" s="433"/>
      <c r="J55" s="433" t="s">
        <v>17155</v>
      </c>
      <c r="K55" s="433">
        <v>439.0</v>
      </c>
      <c r="L55" s="433" t="s">
        <v>31</v>
      </c>
      <c r="M55" s="433"/>
      <c r="N55" s="433" t="s">
        <v>17015</v>
      </c>
      <c r="O55" s="433">
        <v>1981.0</v>
      </c>
      <c r="P55" s="433" t="s">
        <v>388</v>
      </c>
      <c r="Q55" s="449">
        <v>1.0</v>
      </c>
      <c r="R55" s="613"/>
    </row>
    <row r="56" ht="15.75" customHeight="1">
      <c r="B56" s="444">
        <v>51.0</v>
      </c>
      <c r="C56" s="433" t="s">
        <v>31</v>
      </c>
      <c r="D56" s="433" t="s">
        <v>17156</v>
      </c>
      <c r="E56" s="433" t="s">
        <v>17157</v>
      </c>
      <c r="F56" s="433"/>
      <c r="G56" s="433"/>
      <c r="H56" s="433" t="s">
        <v>127</v>
      </c>
      <c r="I56" s="433"/>
      <c r="J56" s="433" t="s">
        <v>17158</v>
      </c>
      <c r="K56" s="433">
        <v>379.0</v>
      </c>
      <c r="L56" s="433" t="s">
        <v>15211</v>
      </c>
      <c r="M56" s="433"/>
      <c r="N56" s="433" t="s">
        <v>17159</v>
      </c>
      <c r="O56" s="433">
        <v>1971.0</v>
      </c>
      <c r="P56" s="433" t="s">
        <v>388</v>
      </c>
      <c r="Q56" s="449">
        <v>1.0</v>
      </c>
      <c r="R56" s="613"/>
    </row>
    <row r="57" ht="15.75" customHeight="1">
      <c r="B57" s="444">
        <v>52.0</v>
      </c>
      <c r="C57" s="433" t="s">
        <v>31</v>
      </c>
      <c r="D57" s="433" t="s">
        <v>17088</v>
      </c>
      <c r="E57" s="433" t="s">
        <v>17160</v>
      </c>
      <c r="F57" s="433"/>
      <c r="G57" s="433"/>
      <c r="H57" s="577" t="s">
        <v>1331</v>
      </c>
      <c r="I57" s="433"/>
      <c r="J57" s="433" t="s">
        <v>17161</v>
      </c>
      <c r="K57" s="433">
        <v>744.0</v>
      </c>
      <c r="L57" s="433" t="s">
        <v>31</v>
      </c>
      <c r="M57" s="433"/>
      <c r="N57" s="433" t="s">
        <v>17162</v>
      </c>
      <c r="O57" s="433">
        <v>1988.0</v>
      </c>
      <c r="P57" s="433" t="s">
        <v>388</v>
      </c>
      <c r="Q57" s="449">
        <v>1.0</v>
      </c>
      <c r="R57" s="613"/>
    </row>
    <row r="58" ht="15.75" customHeight="1">
      <c r="B58" s="444">
        <v>53.0</v>
      </c>
      <c r="C58" s="433" t="s">
        <v>31</v>
      </c>
      <c r="D58" s="433" t="s">
        <v>17163</v>
      </c>
      <c r="E58" s="433" t="s">
        <v>17164</v>
      </c>
      <c r="F58" s="433"/>
      <c r="G58" s="433"/>
      <c r="H58" s="433" t="s">
        <v>16700</v>
      </c>
      <c r="I58" s="433"/>
      <c r="J58" s="433" t="s">
        <v>17165</v>
      </c>
      <c r="K58" s="433">
        <v>475.0</v>
      </c>
      <c r="L58" s="433" t="s">
        <v>31</v>
      </c>
      <c r="M58" s="433"/>
      <c r="N58" s="433" t="s">
        <v>16984</v>
      </c>
      <c r="O58" s="433">
        <v>1986.0</v>
      </c>
      <c r="P58" s="433" t="s">
        <v>388</v>
      </c>
      <c r="Q58" s="449">
        <v>1.0</v>
      </c>
      <c r="R58" s="613"/>
    </row>
    <row r="59" ht="15.75" customHeight="1">
      <c r="B59" s="444">
        <v>54.0</v>
      </c>
      <c r="C59" s="433" t="s">
        <v>31</v>
      </c>
      <c r="D59" s="433" t="s">
        <v>17166</v>
      </c>
      <c r="E59" s="433" t="s">
        <v>17167</v>
      </c>
      <c r="F59" s="433"/>
      <c r="G59" s="433"/>
      <c r="H59" s="433" t="s">
        <v>16700</v>
      </c>
      <c r="I59" s="433"/>
      <c r="J59" s="433" t="s">
        <v>17168</v>
      </c>
      <c r="K59" s="433">
        <v>526.0</v>
      </c>
      <c r="L59" s="433" t="s">
        <v>15211</v>
      </c>
      <c r="M59" s="433"/>
      <c r="N59" s="433" t="s">
        <v>17169</v>
      </c>
      <c r="O59" s="433">
        <v>1985.0</v>
      </c>
      <c r="P59" s="433" t="s">
        <v>388</v>
      </c>
      <c r="Q59" s="449">
        <v>1.0</v>
      </c>
      <c r="R59" s="613"/>
    </row>
    <row r="60" ht="15.75" customHeight="1">
      <c r="B60" s="444">
        <v>55.0</v>
      </c>
      <c r="C60" s="433" t="s">
        <v>17170</v>
      </c>
      <c r="D60" s="433" t="s">
        <v>17171</v>
      </c>
      <c r="E60" s="433" t="s">
        <v>17172</v>
      </c>
      <c r="F60" s="433"/>
      <c r="G60" s="433"/>
      <c r="H60" s="433" t="s">
        <v>16700</v>
      </c>
      <c r="I60" s="433"/>
      <c r="J60" s="433" t="s">
        <v>17094</v>
      </c>
      <c r="K60" s="433">
        <v>482.0</v>
      </c>
      <c r="L60" s="433" t="s">
        <v>31</v>
      </c>
      <c r="M60" s="433"/>
      <c r="N60" s="433" t="s">
        <v>16984</v>
      </c>
      <c r="O60" s="433">
        <v>1983.0</v>
      </c>
      <c r="P60" s="433" t="s">
        <v>388</v>
      </c>
      <c r="Q60" s="449">
        <v>1.0</v>
      </c>
      <c r="R60" s="613"/>
    </row>
    <row r="61" ht="15.75" customHeight="1">
      <c r="B61" s="444">
        <v>56.0</v>
      </c>
      <c r="C61" s="433" t="s">
        <v>31</v>
      </c>
      <c r="D61" s="433" t="s">
        <v>17173</v>
      </c>
      <c r="E61" s="433" t="s">
        <v>17174</v>
      </c>
      <c r="F61" s="433"/>
      <c r="G61" s="433"/>
      <c r="H61" s="433" t="s">
        <v>17019</v>
      </c>
      <c r="I61" s="433"/>
      <c r="J61" s="433" t="s">
        <v>17175</v>
      </c>
      <c r="K61" s="433">
        <v>618.0</v>
      </c>
      <c r="L61" s="433" t="s">
        <v>16331</v>
      </c>
      <c r="M61" s="433"/>
      <c r="N61" s="433" t="s">
        <v>17176</v>
      </c>
      <c r="O61" s="433">
        <v>1988.0</v>
      </c>
      <c r="P61" s="433" t="s">
        <v>388</v>
      </c>
      <c r="Q61" s="449">
        <v>1.0</v>
      </c>
      <c r="R61" s="613"/>
    </row>
    <row r="62" ht="15.75" customHeight="1">
      <c r="B62" s="444">
        <v>57.0</v>
      </c>
      <c r="C62" s="433" t="s">
        <v>17177</v>
      </c>
      <c r="D62" s="433" t="s">
        <v>17178</v>
      </c>
      <c r="E62" s="433" t="s">
        <v>17179</v>
      </c>
      <c r="F62" s="433"/>
      <c r="G62" s="433"/>
      <c r="H62" s="433" t="s">
        <v>16700</v>
      </c>
      <c r="I62" s="433"/>
      <c r="J62" s="433" t="s">
        <v>17180</v>
      </c>
      <c r="K62" s="433">
        <v>572.0</v>
      </c>
      <c r="L62" s="433" t="s">
        <v>31</v>
      </c>
      <c r="M62" s="433"/>
      <c r="N62" s="433" t="s">
        <v>17169</v>
      </c>
      <c r="O62" s="433">
        <v>1986.0</v>
      </c>
      <c r="P62" s="433" t="s">
        <v>388</v>
      </c>
      <c r="Q62" s="449">
        <v>1.0</v>
      </c>
      <c r="R62" s="613"/>
    </row>
    <row r="63" ht="15.75" customHeight="1">
      <c r="B63" s="444">
        <v>58.0</v>
      </c>
      <c r="C63" s="433" t="s">
        <v>31</v>
      </c>
      <c r="D63" s="433" t="s">
        <v>17181</v>
      </c>
      <c r="E63" s="433" t="s">
        <v>17182</v>
      </c>
      <c r="F63" s="433"/>
      <c r="G63" s="433"/>
      <c r="H63" s="433" t="s">
        <v>17039</v>
      </c>
      <c r="I63" s="433"/>
      <c r="J63" s="433" t="s">
        <v>17042</v>
      </c>
      <c r="K63" s="433">
        <v>567.0</v>
      </c>
      <c r="L63" s="433" t="s">
        <v>15211</v>
      </c>
      <c r="M63" s="433"/>
      <c r="N63" s="433" t="s">
        <v>16984</v>
      </c>
      <c r="O63" s="433">
        <v>1986.0</v>
      </c>
      <c r="P63" s="433" t="s">
        <v>388</v>
      </c>
      <c r="Q63" s="449">
        <v>1.0</v>
      </c>
      <c r="R63" s="613"/>
    </row>
    <row r="64" ht="15.75" customHeight="1">
      <c r="B64" s="444">
        <v>59.0</v>
      </c>
      <c r="C64" s="433" t="s">
        <v>31</v>
      </c>
      <c r="D64" s="433" t="s">
        <v>17183</v>
      </c>
      <c r="E64" s="433" t="s">
        <v>17184</v>
      </c>
      <c r="F64" s="433"/>
      <c r="G64" s="433"/>
      <c r="H64" s="433"/>
      <c r="I64" s="433"/>
      <c r="J64" s="433" t="s">
        <v>17185</v>
      </c>
      <c r="K64" s="433">
        <v>535.0</v>
      </c>
      <c r="L64" s="433" t="s">
        <v>0</v>
      </c>
      <c r="M64" s="433"/>
      <c r="N64" s="433" t="s">
        <v>54</v>
      </c>
      <c r="O64" s="433">
        <v>1988.0</v>
      </c>
      <c r="P64" s="433" t="s">
        <v>388</v>
      </c>
      <c r="Q64" s="449">
        <v>1.0</v>
      </c>
      <c r="R64" s="613"/>
    </row>
    <row r="65" ht="15.75" customHeight="1">
      <c r="B65" s="444">
        <v>60.0</v>
      </c>
      <c r="C65" s="433" t="s">
        <v>17186</v>
      </c>
      <c r="D65" s="433" t="s">
        <v>17187</v>
      </c>
      <c r="E65" s="433" t="s">
        <v>17188</v>
      </c>
      <c r="F65" s="433"/>
      <c r="G65" s="433"/>
      <c r="H65" s="433" t="s">
        <v>17074</v>
      </c>
      <c r="I65" s="433"/>
      <c r="J65" s="433" t="s">
        <v>17189</v>
      </c>
      <c r="K65" s="433">
        <v>647.0</v>
      </c>
      <c r="L65" s="433" t="s">
        <v>31</v>
      </c>
      <c r="M65" s="433"/>
      <c r="N65" s="433" t="s">
        <v>17076</v>
      </c>
      <c r="O65" s="433">
        <v>1988.0</v>
      </c>
      <c r="P65" s="433" t="s">
        <v>388</v>
      </c>
      <c r="Q65" s="449">
        <v>1.0</v>
      </c>
      <c r="R65" s="613"/>
    </row>
    <row r="66" ht="15.75" customHeight="1">
      <c r="B66" s="444">
        <v>61.0</v>
      </c>
      <c r="C66" s="433" t="s">
        <v>31</v>
      </c>
      <c r="D66" s="433" t="s">
        <v>17190</v>
      </c>
      <c r="E66" s="433" t="s">
        <v>17191</v>
      </c>
      <c r="F66" s="433"/>
      <c r="G66" s="433"/>
      <c r="H66" s="433" t="s">
        <v>16319</v>
      </c>
      <c r="I66" s="433"/>
      <c r="J66" s="433" t="s">
        <v>17192</v>
      </c>
      <c r="K66" s="433">
        <v>696.0</v>
      </c>
      <c r="L66" s="433" t="s">
        <v>17142</v>
      </c>
      <c r="M66" s="433"/>
      <c r="N66" s="433" t="s">
        <v>16321</v>
      </c>
      <c r="O66" s="433">
        <v>1985.0</v>
      </c>
      <c r="P66" s="433" t="s">
        <v>388</v>
      </c>
      <c r="Q66" s="449">
        <v>1.0</v>
      </c>
      <c r="R66" s="613"/>
    </row>
    <row r="67" ht="15.75" customHeight="1">
      <c r="B67" s="444">
        <v>62.0</v>
      </c>
      <c r="C67" s="433" t="s">
        <v>17193</v>
      </c>
      <c r="D67" s="433" t="s">
        <v>17194</v>
      </c>
      <c r="E67" s="433" t="s">
        <v>17195</v>
      </c>
      <c r="F67" s="433"/>
      <c r="G67" s="433"/>
      <c r="H67" s="433" t="s">
        <v>15840</v>
      </c>
      <c r="I67" s="433"/>
      <c r="J67" s="433" t="s">
        <v>17196</v>
      </c>
      <c r="K67" s="433">
        <v>773.0</v>
      </c>
      <c r="L67" s="433" t="s">
        <v>15211</v>
      </c>
      <c r="M67" s="433"/>
      <c r="N67" s="433" t="s">
        <v>17197</v>
      </c>
      <c r="O67" s="433">
        <v>1985.0</v>
      </c>
      <c r="P67" s="433" t="s">
        <v>388</v>
      </c>
      <c r="Q67" s="449">
        <v>1.0</v>
      </c>
      <c r="R67" s="613"/>
    </row>
    <row r="68" ht="15.75" customHeight="1">
      <c r="B68" s="444">
        <v>63.0</v>
      </c>
      <c r="C68" s="433" t="s">
        <v>31</v>
      </c>
      <c r="D68" s="433" t="s">
        <v>17198</v>
      </c>
      <c r="E68" s="433" t="s">
        <v>17199</v>
      </c>
      <c r="F68" s="322"/>
      <c r="G68" s="433"/>
      <c r="H68" s="433" t="s">
        <v>17200</v>
      </c>
      <c r="I68" s="433"/>
      <c r="J68" s="433" t="s">
        <v>17201</v>
      </c>
      <c r="K68" s="433">
        <v>573.0</v>
      </c>
      <c r="L68" s="433" t="s">
        <v>31</v>
      </c>
      <c r="M68" s="433"/>
      <c r="N68" s="433" t="s">
        <v>17202</v>
      </c>
      <c r="O68" s="433">
        <v>1988.0</v>
      </c>
      <c r="P68" s="433" t="s">
        <v>388</v>
      </c>
      <c r="Q68" s="449">
        <v>1.0</v>
      </c>
      <c r="R68" s="613"/>
    </row>
    <row r="69" ht="15.75" customHeight="1">
      <c r="B69" s="444">
        <v>64.0</v>
      </c>
      <c r="C69" s="433" t="s">
        <v>31</v>
      </c>
      <c r="D69" s="433" t="s">
        <v>17203</v>
      </c>
      <c r="E69" s="433" t="s">
        <v>17204</v>
      </c>
      <c r="F69" s="322"/>
      <c r="G69" s="433"/>
      <c r="H69" s="433" t="s">
        <v>2417</v>
      </c>
      <c r="I69" s="433"/>
      <c r="J69" s="433" t="s">
        <v>17205</v>
      </c>
      <c r="K69" s="433">
        <v>612.0</v>
      </c>
      <c r="L69" s="433" t="s">
        <v>31</v>
      </c>
      <c r="M69" s="433"/>
      <c r="N69" s="433" t="s">
        <v>17206</v>
      </c>
      <c r="O69" s="433">
        <v>1988.0</v>
      </c>
      <c r="P69" s="433" t="s">
        <v>388</v>
      </c>
      <c r="Q69" s="449">
        <v>1.0</v>
      </c>
      <c r="R69" s="613"/>
    </row>
    <row r="70" ht="15.75" customHeight="1">
      <c r="B70" s="444">
        <v>65.0</v>
      </c>
      <c r="C70" s="433" t="s">
        <v>31</v>
      </c>
      <c r="D70" s="433" t="s">
        <v>17207</v>
      </c>
      <c r="E70" s="433" t="s">
        <v>17208</v>
      </c>
      <c r="F70" s="322"/>
      <c r="G70" s="433"/>
      <c r="H70" s="433" t="s">
        <v>17200</v>
      </c>
      <c r="I70" s="433"/>
      <c r="J70" s="433" t="s">
        <v>17209</v>
      </c>
      <c r="K70" s="433">
        <v>832.0</v>
      </c>
      <c r="L70" s="433" t="s">
        <v>31</v>
      </c>
      <c r="M70" s="433"/>
      <c r="N70" s="433" t="s">
        <v>17202</v>
      </c>
      <c r="O70" s="433">
        <v>1988.0</v>
      </c>
      <c r="P70" s="433" t="s">
        <v>388</v>
      </c>
      <c r="Q70" s="449">
        <v>1.0</v>
      </c>
      <c r="R70" s="613"/>
    </row>
    <row r="71" ht="15.75" customHeight="1">
      <c r="B71" s="444">
        <v>66.0</v>
      </c>
      <c r="C71" s="433" t="s">
        <v>17210</v>
      </c>
      <c r="D71" s="433" t="s">
        <v>17211</v>
      </c>
      <c r="E71" s="433" t="s">
        <v>17212</v>
      </c>
      <c r="F71" s="322"/>
      <c r="G71" s="433"/>
      <c r="H71" s="433" t="s">
        <v>17074</v>
      </c>
      <c r="I71" s="433"/>
      <c r="J71" s="433" t="s">
        <v>17213</v>
      </c>
      <c r="K71" s="433">
        <v>650.0</v>
      </c>
      <c r="L71" s="433" t="s">
        <v>15207</v>
      </c>
      <c r="M71" s="433"/>
      <c r="N71" s="433" t="s">
        <v>17076</v>
      </c>
      <c r="O71" s="433">
        <v>1988.0</v>
      </c>
      <c r="P71" s="433" t="s">
        <v>388</v>
      </c>
      <c r="Q71" s="449">
        <v>1.0</v>
      </c>
      <c r="R71" s="613"/>
    </row>
    <row r="72" ht="15.75" customHeight="1">
      <c r="B72" s="444">
        <v>67.0</v>
      </c>
      <c r="C72" s="433" t="s">
        <v>17214</v>
      </c>
      <c r="D72" s="433" t="s">
        <v>17215</v>
      </c>
      <c r="E72" s="433" t="s">
        <v>17216</v>
      </c>
      <c r="F72" s="322"/>
      <c r="G72" s="433"/>
      <c r="H72" s="433" t="s">
        <v>17074</v>
      </c>
      <c r="I72" s="433"/>
      <c r="J72" s="433" t="s">
        <v>17217</v>
      </c>
      <c r="K72" s="433">
        <v>559.0</v>
      </c>
      <c r="L72" s="433" t="s">
        <v>31</v>
      </c>
      <c r="M72" s="433"/>
      <c r="N72" s="433" t="s">
        <v>17076</v>
      </c>
      <c r="O72" s="433">
        <v>1988.0</v>
      </c>
      <c r="P72" s="433" t="s">
        <v>388</v>
      </c>
      <c r="Q72" s="449">
        <v>1.0</v>
      </c>
      <c r="R72" s="613"/>
    </row>
    <row r="73" ht="15.75" customHeight="1">
      <c r="B73" s="444">
        <v>68.0</v>
      </c>
      <c r="C73" s="433" t="s">
        <v>17218</v>
      </c>
      <c r="D73" s="433" t="s">
        <v>17219</v>
      </c>
      <c r="E73" s="433" t="s">
        <v>17220</v>
      </c>
      <c r="F73" s="322"/>
      <c r="G73" s="433"/>
      <c r="H73" s="433"/>
      <c r="I73" s="433"/>
      <c r="J73" s="433" t="s">
        <v>17221</v>
      </c>
      <c r="K73" s="433">
        <v>1178.0</v>
      </c>
      <c r="L73" s="433" t="s">
        <v>15194</v>
      </c>
      <c r="M73" s="433"/>
      <c r="N73" s="433" t="s">
        <v>5373</v>
      </c>
      <c r="O73" s="433">
        <v>1987.0</v>
      </c>
      <c r="P73" s="433" t="s">
        <v>388</v>
      </c>
      <c r="Q73" s="449">
        <v>1.0</v>
      </c>
      <c r="R73" s="613"/>
    </row>
    <row r="74" ht="15.75" customHeight="1">
      <c r="B74" s="444">
        <v>69.0</v>
      </c>
      <c r="C74" s="433" t="s">
        <v>31</v>
      </c>
      <c r="D74" s="433" t="s">
        <v>17222</v>
      </c>
      <c r="E74" s="433" t="s">
        <v>17223</v>
      </c>
      <c r="F74" s="322"/>
      <c r="G74" s="433"/>
      <c r="H74" s="433"/>
      <c r="I74" s="433"/>
      <c r="J74" s="433" t="s">
        <v>17224</v>
      </c>
      <c r="K74" s="433">
        <v>522.0</v>
      </c>
      <c r="L74" s="433" t="s">
        <v>31</v>
      </c>
      <c r="M74" s="433"/>
      <c r="N74" s="433" t="s">
        <v>17062</v>
      </c>
      <c r="O74" s="433">
        <v>1987.0</v>
      </c>
      <c r="P74" s="433" t="s">
        <v>388</v>
      </c>
      <c r="Q74" s="449">
        <v>1.0</v>
      </c>
      <c r="R74" s="613"/>
    </row>
    <row r="75" ht="15.75" customHeight="1">
      <c r="B75" s="444">
        <v>70.0</v>
      </c>
      <c r="C75" s="433" t="s">
        <v>31</v>
      </c>
      <c r="D75" s="433" t="s">
        <v>17181</v>
      </c>
      <c r="E75" s="433" t="s">
        <v>17225</v>
      </c>
      <c r="F75" s="322"/>
      <c r="G75" s="433"/>
      <c r="H75" s="433" t="s">
        <v>17039</v>
      </c>
      <c r="I75" s="433"/>
      <c r="J75" s="433" t="s">
        <v>17226</v>
      </c>
      <c r="K75" s="433">
        <v>213.0</v>
      </c>
      <c r="L75" s="433" t="s">
        <v>31</v>
      </c>
      <c r="M75" s="433"/>
      <c r="N75" s="433" t="s">
        <v>16984</v>
      </c>
      <c r="O75" s="433">
        <v>1988.0</v>
      </c>
      <c r="P75" s="433" t="s">
        <v>388</v>
      </c>
      <c r="Q75" s="449">
        <v>1.0</v>
      </c>
      <c r="R75" s="613"/>
    </row>
    <row r="76" ht="15.75" customHeight="1">
      <c r="B76" s="444">
        <v>71.0</v>
      </c>
      <c r="C76" s="433" t="s">
        <v>17227</v>
      </c>
      <c r="D76" s="433" t="s">
        <v>17228</v>
      </c>
      <c r="E76" s="433" t="s">
        <v>17229</v>
      </c>
      <c r="F76" s="322"/>
      <c r="G76" s="433"/>
      <c r="H76" s="433" t="s">
        <v>17074</v>
      </c>
      <c r="I76" s="433"/>
      <c r="J76" s="433" t="s">
        <v>17230</v>
      </c>
      <c r="K76" s="433">
        <v>542.0</v>
      </c>
      <c r="L76" s="433" t="s">
        <v>31</v>
      </c>
      <c r="M76" s="433"/>
      <c r="N76" s="433" t="s">
        <v>17076</v>
      </c>
      <c r="O76" s="433">
        <v>1988.0</v>
      </c>
      <c r="P76" s="433" t="s">
        <v>388</v>
      </c>
      <c r="Q76" s="449">
        <v>1.0</v>
      </c>
      <c r="R76" s="613"/>
    </row>
    <row r="77" ht="15.75" customHeight="1">
      <c r="B77" s="444">
        <v>72.0</v>
      </c>
      <c r="C77" s="433" t="s">
        <v>31</v>
      </c>
      <c r="D77" s="433" t="s">
        <v>17231</v>
      </c>
      <c r="E77" s="433" t="s">
        <v>17232</v>
      </c>
      <c r="F77" s="433"/>
      <c r="G77" s="433"/>
      <c r="H77" s="433"/>
      <c r="I77" s="433"/>
      <c r="J77" s="433" t="s">
        <v>17233</v>
      </c>
      <c r="K77" s="433">
        <v>585.0</v>
      </c>
      <c r="L77" s="433" t="s">
        <v>31</v>
      </c>
      <c r="M77" s="433"/>
      <c r="N77" s="433" t="s">
        <v>1333</v>
      </c>
      <c r="O77" s="433">
        <v>1988.0</v>
      </c>
      <c r="P77" s="433" t="s">
        <v>388</v>
      </c>
      <c r="Q77" s="449">
        <v>2.0</v>
      </c>
      <c r="R77" s="613"/>
    </row>
    <row r="78" ht="15.75" customHeight="1">
      <c r="B78" s="444">
        <v>73.0</v>
      </c>
      <c r="C78" s="433" t="s">
        <v>31</v>
      </c>
      <c r="D78" s="433" t="s">
        <v>17234</v>
      </c>
      <c r="E78" s="433" t="s">
        <v>17235</v>
      </c>
      <c r="F78" s="433"/>
      <c r="G78" s="433"/>
      <c r="H78" s="433" t="s">
        <v>17236</v>
      </c>
      <c r="I78" s="433"/>
      <c r="J78" s="433" t="s">
        <v>17237</v>
      </c>
      <c r="K78" s="433">
        <v>585.0</v>
      </c>
      <c r="L78" s="433" t="s">
        <v>15211</v>
      </c>
      <c r="M78" s="433"/>
      <c r="N78" s="433" t="s">
        <v>17238</v>
      </c>
      <c r="O78" s="433">
        <v>1988.0</v>
      </c>
      <c r="P78" s="433" t="s">
        <v>388</v>
      </c>
      <c r="Q78" s="449">
        <v>1.0</v>
      </c>
      <c r="R78" s="613"/>
    </row>
    <row r="79" ht="15.75" customHeight="1">
      <c r="B79" s="444">
        <v>74.0</v>
      </c>
      <c r="C79" s="433"/>
      <c r="D79" s="433" t="s">
        <v>17239</v>
      </c>
      <c r="E79" s="433" t="s">
        <v>17240</v>
      </c>
      <c r="F79" s="322"/>
      <c r="G79" s="433"/>
      <c r="H79" s="433" t="s">
        <v>2417</v>
      </c>
      <c r="I79" s="433"/>
      <c r="J79" s="433" t="s">
        <v>17241</v>
      </c>
      <c r="K79" s="433">
        <v>562.0</v>
      </c>
      <c r="L79" s="433" t="s">
        <v>15211</v>
      </c>
      <c r="M79" s="433"/>
      <c r="N79" s="433" t="s">
        <v>17242</v>
      </c>
      <c r="O79" s="433">
        <v>1988.0</v>
      </c>
      <c r="P79" s="433" t="s">
        <v>388</v>
      </c>
      <c r="Q79" s="449">
        <v>1.0</v>
      </c>
      <c r="R79" s="613"/>
    </row>
    <row r="80" ht="15.75" customHeight="1">
      <c r="B80" s="444">
        <v>75.0</v>
      </c>
      <c r="C80" s="433"/>
      <c r="D80" s="433" t="s">
        <v>17243</v>
      </c>
      <c r="E80" s="433" t="s">
        <v>17244</v>
      </c>
      <c r="F80" s="433"/>
      <c r="G80" s="433"/>
      <c r="H80" s="433" t="s">
        <v>16033</v>
      </c>
      <c r="I80" s="433"/>
      <c r="J80" s="433" t="s">
        <v>17245</v>
      </c>
      <c r="K80" s="433"/>
      <c r="L80" s="433"/>
      <c r="M80" s="433"/>
      <c r="N80" s="433"/>
      <c r="O80" s="433">
        <v>1985.0</v>
      </c>
      <c r="P80" s="433" t="s">
        <v>388</v>
      </c>
      <c r="Q80" s="449">
        <v>1.0</v>
      </c>
      <c r="R80" s="613"/>
    </row>
    <row r="81" ht="15.75" customHeight="1">
      <c r="B81" s="444">
        <v>76.0</v>
      </c>
      <c r="C81" s="433" t="s">
        <v>31</v>
      </c>
      <c r="D81" s="433" t="s">
        <v>17246</v>
      </c>
      <c r="E81" s="433" t="s">
        <v>17247</v>
      </c>
      <c r="F81" s="433"/>
      <c r="G81" s="433"/>
      <c r="H81" s="433" t="s">
        <v>17248</v>
      </c>
      <c r="I81" s="433"/>
      <c r="J81" s="433" t="s">
        <v>17249</v>
      </c>
      <c r="K81" s="433">
        <v>561.0</v>
      </c>
      <c r="L81" s="433" t="s">
        <v>15211</v>
      </c>
      <c r="M81" s="433"/>
      <c r="N81" s="433" t="s">
        <v>17250</v>
      </c>
      <c r="O81" s="433">
        <v>1988.0</v>
      </c>
      <c r="P81" s="433" t="s">
        <v>388</v>
      </c>
      <c r="Q81" s="449">
        <v>1.0</v>
      </c>
      <c r="R81" s="613"/>
    </row>
    <row r="82" ht="15.75" customHeight="1">
      <c r="B82" s="444">
        <v>77.0</v>
      </c>
      <c r="C82" s="433" t="s">
        <v>17251</v>
      </c>
      <c r="D82" s="433" t="s">
        <v>17252</v>
      </c>
      <c r="E82" s="433" t="s">
        <v>17253</v>
      </c>
      <c r="F82" s="433"/>
      <c r="G82" s="433"/>
      <c r="H82" s="433" t="s">
        <v>17236</v>
      </c>
      <c r="I82" s="433"/>
      <c r="J82" s="433" t="s">
        <v>17254</v>
      </c>
      <c r="K82" s="433">
        <v>230.0</v>
      </c>
      <c r="L82" s="433" t="s">
        <v>17255</v>
      </c>
      <c r="M82" s="433"/>
      <c r="N82" s="433" t="s">
        <v>17238</v>
      </c>
      <c r="O82" s="433">
        <v>1989.0</v>
      </c>
      <c r="P82" s="433" t="s">
        <v>388</v>
      </c>
      <c r="Q82" s="449">
        <v>1.0</v>
      </c>
      <c r="R82" s="613"/>
    </row>
    <row r="83" ht="15.75" customHeight="1">
      <c r="B83" s="444">
        <v>78.0</v>
      </c>
      <c r="C83" s="433" t="s">
        <v>17256</v>
      </c>
      <c r="D83" s="433" t="s">
        <v>17257</v>
      </c>
      <c r="E83" s="433" t="s">
        <v>17258</v>
      </c>
      <c r="F83" s="433"/>
      <c r="G83" s="433"/>
      <c r="H83" s="433" t="s">
        <v>17074</v>
      </c>
      <c r="I83" s="433"/>
      <c r="J83" s="433" t="s">
        <v>17259</v>
      </c>
      <c r="K83" s="433">
        <v>558.0</v>
      </c>
      <c r="L83" s="433" t="s">
        <v>31</v>
      </c>
      <c r="M83" s="433"/>
      <c r="N83" s="433" t="s">
        <v>17260</v>
      </c>
      <c r="O83" s="433">
        <v>1988.0</v>
      </c>
      <c r="P83" s="433" t="s">
        <v>388</v>
      </c>
      <c r="Q83" s="449">
        <v>1.0</v>
      </c>
      <c r="R83" s="613"/>
    </row>
    <row r="84" ht="15.75" customHeight="1">
      <c r="B84" s="444">
        <v>79.0</v>
      </c>
      <c r="C84" s="433" t="s">
        <v>31</v>
      </c>
      <c r="D84" s="433" t="s">
        <v>17261</v>
      </c>
      <c r="E84" s="433" t="s">
        <v>17262</v>
      </c>
      <c r="F84" s="433"/>
      <c r="G84" s="433"/>
      <c r="H84" s="433" t="s">
        <v>17074</v>
      </c>
      <c r="I84" s="433"/>
      <c r="J84" s="433" t="s">
        <v>17263</v>
      </c>
      <c r="K84" s="433">
        <v>155.0</v>
      </c>
      <c r="L84" s="433" t="s">
        <v>31</v>
      </c>
      <c r="M84" s="433"/>
      <c r="N84" s="433" t="s">
        <v>17076</v>
      </c>
      <c r="O84" s="433">
        <v>1988.0</v>
      </c>
      <c r="P84" s="433" t="s">
        <v>388</v>
      </c>
      <c r="Q84" s="449">
        <v>1.0</v>
      </c>
      <c r="R84" s="613"/>
    </row>
    <row r="85" ht="15.75" customHeight="1">
      <c r="B85" s="444">
        <v>80.0</v>
      </c>
      <c r="C85" s="433" t="s">
        <v>17264</v>
      </c>
      <c r="D85" s="433" t="s">
        <v>17194</v>
      </c>
      <c r="E85" s="433" t="s">
        <v>17265</v>
      </c>
      <c r="F85" s="433"/>
      <c r="G85" s="433"/>
      <c r="H85" s="433"/>
      <c r="I85" s="433"/>
      <c r="J85" s="433" t="s">
        <v>15841</v>
      </c>
      <c r="K85" s="433">
        <v>442.0</v>
      </c>
      <c r="L85" s="433" t="s">
        <v>17266</v>
      </c>
      <c r="M85" s="433"/>
      <c r="N85" s="433" t="s">
        <v>17197</v>
      </c>
      <c r="O85" s="433">
        <v>1987.0</v>
      </c>
      <c r="P85" s="433" t="s">
        <v>388</v>
      </c>
      <c r="Q85" s="449">
        <v>1.0</v>
      </c>
      <c r="R85" s="613"/>
    </row>
    <row r="86" ht="15.75" customHeight="1">
      <c r="B86" s="444">
        <v>81.0</v>
      </c>
      <c r="C86" s="433" t="s">
        <v>31</v>
      </c>
      <c r="D86" s="433" t="s">
        <v>17267</v>
      </c>
      <c r="E86" s="433" t="s">
        <v>17268</v>
      </c>
      <c r="F86" s="433"/>
      <c r="G86" s="433"/>
      <c r="H86" s="433" t="s">
        <v>16700</v>
      </c>
      <c r="I86" s="433"/>
      <c r="J86" s="433" t="s">
        <v>17269</v>
      </c>
      <c r="K86" s="433">
        <v>74.0</v>
      </c>
      <c r="L86" s="433" t="s">
        <v>31</v>
      </c>
      <c r="M86" s="433"/>
      <c r="N86" s="433" t="s">
        <v>16984</v>
      </c>
      <c r="O86" s="433">
        <v>1983.0</v>
      </c>
      <c r="P86" s="433" t="s">
        <v>388</v>
      </c>
      <c r="Q86" s="449">
        <v>1.0</v>
      </c>
      <c r="R86" s="613"/>
    </row>
    <row r="87" ht="15.75" customHeight="1">
      <c r="B87" s="444">
        <v>82.0</v>
      </c>
      <c r="C87" s="430" t="s">
        <v>17270</v>
      </c>
      <c r="D87" s="430" t="s">
        <v>17271</v>
      </c>
      <c r="E87" s="430" t="s">
        <v>17272</v>
      </c>
      <c r="F87" s="430" t="s">
        <v>13058</v>
      </c>
      <c r="G87" s="430" t="s">
        <v>29</v>
      </c>
      <c r="H87" s="430" t="s">
        <v>17236</v>
      </c>
      <c r="I87" s="430"/>
      <c r="J87" s="430" t="s">
        <v>17273</v>
      </c>
      <c r="K87" s="430">
        <f>1208+4</f>
        <v>1212</v>
      </c>
      <c r="L87" s="430" t="s">
        <v>16201</v>
      </c>
      <c r="M87" s="430"/>
      <c r="N87" s="430" t="s">
        <v>17274</v>
      </c>
      <c r="O87" s="430">
        <v>2013.0</v>
      </c>
      <c r="P87" s="430" t="s">
        <v>388</v>
      </c>
      <c r="Q87" s="618">
        <v>1.0</v>
      </c>
      <c r="R87" s="613"/>
    </row>
    <row r="88" ht="15.75" customHeight="1">
      <c r="B88" s="444">
        <v>83.0</v>
      </c>
      <c r="C88" s="430"/>
      <c r="D88" s="430" t="s">
        <v>17275</v>
      </c>
      <c r="E88" s="430" t="s">
        <v>16426</v>
      </c>
      <c r="F88" s="430" t="s">
        <v>12445</v>
      </c>
      <c r="G88" s="430" t="s">
        <v>29</v>
      </c>
      <c r="H88" s="430" t="s">
        <v>1331</v>
      </c>
      <c r="I88" s="430"/>
      <c r="J88" s="430" t="s">
        <v>16427</v>
      </c>
      <c r="K88" s="430">
        <f>359+4</f>
        <v>363</v>
      </c>
      <c r="L88" s="430"/>
      <c r="M88" s="430"/>
      <c r="N88" s="430" t="s">
        <v>17276</v>
      </c>
      <c r="O88" s="430">
        <v>1969.0</v>
      </c>
      <c r="P88" s="430" t="s">
        <v>388</v>
      </c>
      <c r="Q88" s="618">
        <v>1.0</v>
      </c>
      <c r="R88" s="613"/>
    </row>
    <row r="89" ht="15.75" customHeight="1">
      <c r="B89" s="444">
        <v>84.0</v>
      </c>
      <c r="C89" s="430"/>
      <c r="D89" s="570" t="s">
        <v>17277</v>
      </c>
      <c r="E89" s="783" t="s">
        <v>17278</v>
      </c>
      <c r="F89" s="430"/>
      <c r="G89" s="430"/>
      <c r="H89" s="430"/>
      <c r="I89" s="430"/>
      <c r="J89" s="430"/>
      <c r="K89" s="430"/>
      <c r="L89" s="430"/>
      <c r="M89" s="430"/>
      <c r="N89" s="430"/>
      <c r="O89" s="430"/>
      <c r="P89" s="430"/>
      <c r="Q89" s="784">
        <v>1.0</v>
      </c>
      <c r="R89" s="613"/>
    </row>
    <row r="90" ht="15.75" customHeight="1">
      <c r="B90" s="444">
        <v>85.0</v>
      </c>
      <c r="C90" s="430"/>
      <c r="D90" s="570" t="s">
        <v>17279</v>
      </c>
      <c r="E90" s="570" t="s">
        <v>17280</v>
      </c>
      <c r="F90" s="430"/>
      <c r="G90" s="430"/>
      <c r="H90" s="430"/>
      <c r="I90" s="430"/>
      <c r="J90" s="430"/>
      <c r="K90" s="430"/>
      <c r="L90" s="430"/>
      <c r="M90" s="430"/>
      <c r="N90" s="430"/>
      <c r="O90" s="430"/>
      <c r="P90" s="430"/>
      <c r="Q90" s="784">
        <v>1.0</v>
      </c>
      <c r="R90" s="613"/>
    </row>
    <row r="91" ht="15.75" customHeight="1">
      <c r="B91" s="444">
        <v>86.0</v>
      </c>
      <c r="C91" s="357"/>
      <c r="D91" s="785" t="s">
        <v>17281</v>
      </c>
      <c r="E91" s="785" t="s">
        <v>16367</v>
      </c>
      <c r="F91" s="785" t="s">
        <v>12445</v>
      </c>
      <c r="G91" s="785" t="s">
        <v>29</v>
      </c>
      <c r="H91" s="785" t="s">
        <v>16368</v>
      </c>
      <c r="I91" s="357"/>
      <c r="J91" s="357"/>
      <c r="K91" s="357"/>
      <c r="L91" s="357"/>
      <c r="M91" s="357"/>
      <c r="N91" s="357"/>
      <c r="O91" s="357"/>
      <c r="P91" s="357"/>
      <c r="Q91" s="786">
        <v>1.0</v>
      </c>
      <c r="R91" s="613"/>
    </row>
    <row r="92" ht="15.75" customHeight="1">
      <c r="B92" s="433"/>
      <c r="C92" s="357"/>
      <c r="D92" s="357"/>
      <c r="E92" s="357"/>
      <c r="F92" s="357"/>
      <c r="G92" s="357"/>
      <c r="H92" s="357"/>
      <c r="I92" s="357"/>
      <c r="J92" s="357"/>
      <c r="K92" s="357"/>
      <c r="L92" s="357"/>
      <c r="M92" s="357"/>
      <c r="N92" s="357"/>
      <c r="O92" s="357"/>
      <c r="P92" s="357"/>
      <c r="Q92" s="787"/>
      <c r="R92" s="613"/>
    </row>
    <row r="93" ht="15.75" customHeight="1">
      <c r="B93" s="433"/>
      <c r="C93" s="357"/>
      <c r="D93" s="357"/>
      <c r="E93" s="357"/>
      <c r="F93" s="357"/>
      <c r="G93" s="357"/>
      <c r="H93" s="357"/>
      <c r="I93" s="357"/>
      <c r="J93" s="357"/>
      <c r="K93" s="357"/>
      <c r="L93" s="357"/>
      <c r="M93" s="357"/>
      <c r="N93" s="357"/>
      <c r="O93" s="357"/>
      <c r="P93" s="357"/>
      <c r="Q93" s="787"/>
      <c r="R93" s="613"/>
    </row>
    <row r="94" ht="15.75" customHeight="1">
      <c r="B94" s="433"/>
      <c r="C94" s="357"/>
      <c r="D94" s="357"/>
      <c r="E94" s="357"/>
      <c r="F94" s="357"/>
      <c r="G94" s="357"/>
      <c r="H94" s="357"/>
      <c r="I94" s="357"/>
      <c r="J94" s="357"/>
      <c r="K94" s="357"/>
      <c r="L94" s="357"/>
      <c r="M94" s="357"/>
      <c r="N94" s="357"/>
      <c r="O94" s="357"/>
      <c r="P94" s="357"/>
      <c r="Q94" s="787"/>
      <c r="R94" s="613"/>
    </row>
    <row r="95" ht="15.75" customHeight="1">
      <c r="B95" s="433"/>
      <c r="C95" s="357"/>
      <c r="D95" s="357"/>
      <c r="E95" s="357"/>
      <c r="F95" s="357"/>
      <c r="G95" s="357"/>
      <c r="H95" s="357"/>
      <c r="I95" s="357"/>
      <c r="J95" s="357"/>
      <c r="K95" s="357"/>
      <c r="L95" s="357"/>
      <c r="M95" s="357"/>
      <c r="N95" s="357"/>
      <c r="O95" s="357"/>
      <c r="P95" s="357"/>
      <c r="Q95" s="787"/>
      <c r="R95" s="613"/>
    </row>
    <row r="96" ht="15.75" customHeight="1">
      <c r="B96" s="433"/>
      <c r="C96" s="357"/>
      <c r="D96" s="357"/>
      <c r="E96" s="357"/>
      <c r="F96" s="357"/>
      <c r="G96" s="357"/>
      <c r="H96" s="357"/>
      <c r="I96" s="357"/>
      <c r="J96" s="357"/>
      <c r="K96" s="357"/>
      <c r="L96" s="357"/>
      <c r="M96" s="357"/>
      <c r="N96" s="357"/>
      <c r="O96" s="357"/>
      <c r="P96" s="357"/>
      <c r="Q96" s="787"/>
      <c r="R96" s="613"/>
    </row>
    <row r="97" ht="15.75" customHeight="1">
      <c r="B97" s="433"/>
      <c r="C97" s="433"/>
      <c r="D97" s="433"/>
      <c r="E97" s="433"/>
      <c r="F97" s="433"/>
      <c r="G97" s="433"/>
      <c r="H97" s="433"/>
      <c r="I97" s="433"/>
      <c r="J97" s="433"/>
      <c r="K97" s="433"/>
      <c r="L97" s="433"/>
      <c r="M97" s="433"/>
      <c r="N97" s="433"/>
      <c r="O97" s="433"/>
      <c r="P97" s="433"/>
      <c r="Q97" s="449">
        <f>SUM(Q6:Q88)</f>
        <v>85</v>
      </c>
      <c r="R97" s="613"/>
    </row>
    <row r="98" ht="15.75" customHeight="1">
      <c r="B98" s="788"/>
      <c r="C98" s="788"/>
      <c r="D98" s="788"/>
      <c r="E98" s="788"/>
      <c r="F98" s="788"/>
      <c r="G98" s="788"/>
      <c r="H98" s="788"/>
      <c r="I98" s="788"/>
      <c r="J98" s="788"/>
      <c r="K98" s="788"/>
      <c r="L98" s="788"/>
      <c r="M98" s="788"/>
      <c r="N98" s="788"/>
      <c r="O98" s="788"/>
      <c r="P98" s="788"/>
      <c r="Q98" s="789"/>
      <c r="R98" s="613"/>
    </row>
    <row r="99" ht="15.75" customHeight="1">
      <c r="B99" s="788"/>
      <c r="C99" s="788"/>
      <c r="D99" s="788"/>
      <c r="E99" s="788"/>
      <c r="F99" s="788"/>
      <c r="G99" s="788"/>
      <c r="H99" s="788"/>
      <c r="I99" s="788"/>
      <c r="J99" s="788"/>
      <c r="K99" s="788"/>
      <c r="L99" s="788"/>
      <c r="M99" s="788"/>
      <c r="N99" s="788"/>
      <c r="O99" s="788"/>
      <c r="P99" s="788"/>
      <c r="Q99" s="789"/>
      <c r="R99" s="613"/>
    </row>
    <row r="100" ht="15.75" customHeight="1">
      <c r="B100" s="788"/>
      <c r="C100" s="788"/>
      <c r="D100" s="788"/>
      <c r="E100" s="788"/>
      <c r="F100" s="788"/>
      <c r="G100" s="788"/>
      <c r="H100" s="788"/>
      <c r="I100" s="788"/>
      <c r="J100" s="788"/>
      <c r="K100" s="788"/>
      <c r="L100" s="788"/>
      <c r="M100" s="788"/>
      <c r="N100" s="788"/>
      <c r="O100" s="788"/>
      <c r="P100" s="788"/>
      <c r="Q100" s="789"/>
      <c r="R100" s="613"/>
    </row>
    <row r="101" ht="15.75" customHeight="1">
      <c r="B101" s="788"/>
      <c r="C101" s="788"/>
      <c r="D101" s="788"/>
      <c r="E101" s="788"/>
      <c r="F101" s="788"/>
      <c r="G101" s="788"/>
      <c r="H101" s="788"/>
      <c r="I101" s="788"/>
      <c r="J101" s="788"/>
      <c r="K101" s="788"/>
      <c r="L101" s="788"/>
      <c r="M101" s="788"/>
      <c r="N101" s="788"/>
      <c r="O101" s="788"/>
      <c r="P101" s="788"/>
      <c r="Q101" s="789"/>
      <c r="R101" s="614"/>
    </row>
    <row r="102" ht="15.75" customHeight="1">
      <c r="B102" s="788"/>
      <c r="C102" s="788"/>
      <c r="D102" s="788"/>
      <c r="E102" s="788"/>
      <c r="F102" s="788"/>
      <c r="G102" s="788"/>
      <c r="H102" s="788"/>
      <c r="I102" s="788"/>
      <c r="J102" s="788"/>
      <c r="K102" s="788"/>
      <c r="L102" s="788"/>
      <c r="M102" s="788"/>
      <c r="N102" s="788"/>
      <c r="O102" s="788"/>
      <c r="P102" s="788"/>
      <c r="Q102" s="789"/>
      <c r="R102" s="614"/>
    </row>
    <row r="103" ht="15.75" customHeight="1">
      <c r="B103" s="788"/>
      <c r="C103" s="788"/>
      <c r="D103" s="788"/>
      <c r="E103" s="788"/>
      <c r="F103" s="788"/>
      <c r="G103" s="788"/>
      <c r="H103" s="788"/>
      <c r="I103" s="788"/>
      <c r="J103" s="788"/>
      <c r="K103" s="788"/>
      <c r="L103" s="788"/>
      <c r="M103" s="788"/>
      <c r="N103" s="788"/>
      <c r="O103" s="788"/>
      <c r="P103" s="788"/>
      <c r="Q103" s="789"/>
      <c r="R103" s="614"/>
    </row>
    <row r="104" ht="15.75" customHeight="1">
      <c r="B104" s="788"/>
      <c r="C104" s="788"/>
      <c r="D104" s="788"/>
      <c r="E104" s="788"/>
      <c r="F104" s="788"/>
      <c r="G104" s="788"/>
      <c r="H104" s="788"/>
      <c r="I104" s="788"/>
      <c r="J104" s="788"/>
      <c r="K104" s="788"/>
      <c r="L104" s="788"/>
      <c r="M104" s="788"/>
      <c r="N104" s="788"/>
      <c r="O104" s="788"/>
      <c r="P104" s="788"/>
      <c r="Q104" s="789"/>
      <c r="R104" s="614"/>
    </row>
    <row r="105" ht="15.75" customHeight="1">
      <c r="B105" s="788"/>
      <c r="C105" s="788"/>
      <c r="D105" s="788"/>
      <c r="E105" s="788"/>
      <c r="F105" s="788"/>
      <c r="G105" s="788"/>
      <c r="H105" s="788"/>
      <c r="I105" s="788"/>
      <c r="J105" s="788"/>
      <c r="K105" s="788"/>
      <c r="L105" s="788"/>
      <c r="M105" s="788"/>
      <c r="N105" s="788"/>
      <c r="O105" s="788"/>
      <c r="P105" s="788"/>
      <c r="Q105" s="789"/>
      <c r="R105" s="614"/>
    </row>
    <row r="106" ht="15.75" customHeight="1">
      <c r="B106" s="463"/>
      <c r="C106" s="7"/>
      <c r="D106" s="458"/>
      <c r="E106" s="463"/>
      <c r="F106" s="7"/>
      <c r="G106" s="321"/>
      <c r="H106" s="321"/>
      <c r="I106" s="321"/>
      <c r="J106" s="321"/>
      <c r="K106" s="321"/>
      <c r="L106" s="321"/>
      <c r="M106" s="321"/>
      <c r="N106" s="321"/>
      <c r="O106" s="321"/>
      <c r="P106" s="321"/>
      <c r="Q106" s="321"/>
      <c r="R106" s="614"/>
    </row>
    <row r="107" ht="15.75" customHeight="1">
      <c r="B107" s="321"/>
      <c r="C107" s="457" t="s">
        <v>14153</v>
      </c>
      <c r="D107" s="6"/>
      <c r="E107" s="7"/>
      <c r="F107" s="458"/>
      <c r="G107" s="457"/>
      <c r="H107" s="7"/>
      <c r="I107" s="457"/>
      <c r="J107" s="6"/>
      <c r="K107" s="6"/>
      <c r="L107" s="7"/>
      <c r="M107" s="457" t="s">
        <v>14154</v>
      </c>
      <c r="N107" s="6"/>
      <c r="O107" s="6"/>
      <c r="P107" s="6"/>
      <c r="Q107" s="7"/>
      <c r="R107" s="614"/>
    </row>
    <row r="108" ht="15.75" customHeight="1">
      <c r="B108" s="321"/>
      <c r="C108" s="457" t="s">
        <v>14155</v>
      </c>
      <c r="D108" s="6"/>
      <c r="E108" s="7"/>
      <c r="F108" s="458"/>
      <c r="G108" s="457"/>
      <c r="H108" s="7"/>
      <c r="I108" s="327"/>
      <c r="J108" s="457"/>
      <c r="K108" s="6"/>
      <c r="L108" s="7"/>
      <c r="M108" s="457" t="s">
        <v>14156</v>
      </c>
      <c r="N108" s="6"/>
      <c r="O108" s="6"/>
      <c r="P108" s="6"/>
      <c r="Q108" s="7"/>
    </row>
    <row r="109" ht="15.75" customHeight="1">
      <c r="B109" s="667"/>
      <c r="C109" s="667"/>
      <c r="D109" s="667"/>
      <c r="E109" s="667"/>
      <c r="F109" s="667"/>
      <c r="G109" s="667"/>
      <c r="H109" s="667"/>
      <c r="I109" s="667"/>
      <c r="J109" s="667"/>
      <c r="K109" s="667"/>
      <c r="L109" s="667"/>
      <c r="M109" s="667"/>
      <c r="N109" s="667"/>
      <c r="O109" s="667"/>
      <c r="P109" s="667"/>
      <c r="Q109" s="667"/>
    </row>
    <row r="110" ht="15.75" customHeight="1">
      <c r="B110" s="667"/>
      <c r="C110" s="667"/>
      <c r="D110" s="667"/>
      <c r="E110" s="667"/>
      <c r="F110" s="667"/>
      <c r="G110" s="667"/>
      <c r="H110" s="667"/>
      <c r="I110" s="667"/>
      <c r="J110" s="667"/>
      <c r="K110" s="667"/>
      <c r="L110" s="667"/>
      <c r="M110" s="667"/>
      <c r="N110" s="667"/>
      <c r="O110" s="667"/>
      <c r="P110" s="667"/>
      <c r="Q110" s="667"/>
    </row>
    <row r="111" ht="15.75" customHeight="1">
      <c r="B111" s="667"/>
      <c r="C111" s="667"/>
      <c r="D111" s="667"/>
      <c r="E111" s="667"/>
      <c r="F111" s="667"/>
      <c r="G111" s="667"/>
      <c r="H111" s="667"/>
      <c r="I111" s="667"/>
      <c r="J111" s="667"/>
      <c r="K111" s="667"/>
      <c r="L111" s="667"/>
      <c r="M111" s="667"/>
      <c r="N111" s="667"/>
      <c r="O111" s="667"/>
      <c r="P111" s="667"/>
      <c r="Q111" s="667"/>
    </row>
    <row r="112" ht="15.75" customHeight="1">
      <c r="B112" s="667"/>
      <c r="C112" s="667"/>
      <c r="D112" s="667"/>
      <c r="E112" s="667"/>
      <c r="F112" s="667"/>
      <c r="G112" s="667"/>
      <c r="H112" s="667"/>
      <c r="I112" s="667"/>
      <c r="J112" s="667"/>
      <c r="K112" s="667"/>
      <c r="L112" s="667"/>
      <c r="M112" s="667"/>
      <c r="N112" s="667"/>
      <c r="O112" s="667"/>
      <c r="P112" s="667"/>
      <c r="Q112" s="667"/>
    </row>
    <row r="113" ht="15.75" customHeight="1">
      <c r="B113" s="667"/>
      <c r="C113" s="667"/>
      <c r="D113" s="667"/>
      <c r="E113" s="667"/>
      <c r="F113" s="667"/>
      <c r="G113" s="667"/>
      <c r="H113" s="667"/>
      <c r="I113" s="667"/>
      <c r="J113" s="667"/>
      <c r="K113" s="667"/>
      <c r="L113" s="667"/>
      <c r="M113" s="667"/>
      <c r="N113" s="667"/>
      <c r="O113" s="667"/>
      <c r="P113" s="667"/>
      <c r="Q113" s="667"/>
    </row>
    <row r="114" ht="15.75" customHeight="1">
      <c r="B114" s="667"/>
      <c r="C114" s="667"/>
      <c r="D114" s="667"/>
      <c r="E114" s="667"/>
      <c r="F114" s="667"/>
      <c r="G114" s="667"/>
      <c r="H114" s="667"/>
      <c r="I114" s="667"/>
      <c r="J114" s="667"/>
      <c r="K114" s="667"/>
      <c r="L114" s="667"/>
      <c r="M114" s="667"/>
      <c r="N114" s="667"/>
      <c r="O114" s="667"/>
      <c r="P114" s="667"/>
      <c r="Q114" s="667"/>
    </row>
    <row r="115" ht="15.75" customHeight="1">
      <c r="B115" s="667"/>
      <c r="C115" s="667"/>
      <c r="D115" s="667"/>
      <c r="E115" s="667"/>
      <c r="F115" s="667"/>
      <c r="G115" s="667"/>
      <c r="H115" s="667"/>
      <c r="I115" s="667"/>
      <c r="J115" s="667"/>
      <c r="K115" s="667"/>
      <c r="L115" s="667"/>
      <c r="M115" s="667"/>
      <c r="N115" s="667"/>
      <c r="O115" s="667"/>
      <c r="P115" s="667"/>
      <c r="Q115" s="667"/>
    </row>
    <row r="116" ht="15.75" customHeight="1">
      <c r="B116" s="667"/>
      <c r="C116" s="667"/>
      <c r="D116" s="667"/>
      <c r="E116" s="667"/>
      <c r="F116" s="667"/>
      <c r="G116" s="667"/>
      <c r="H116" s="667"/>
      <c r="I116" s="667"/>
      <c r="J116" s="667"/>
      <c r="K116" s="667"/>
      <c r="L116" s="667"/>
      <c r="M116" s="667"/>
      <c r="N116" s="667"/>
      <c r="O116" s="667"/>
      <c r="P116" s="667"/>
      <c r="Q116" s="667"/>
    </row>
    <row r="117" ht="15.75" customHeight="1">
      <c r="B117" s="667"/>
      <c r="C117" s="667"/>
      <c r="D117" s="667"/>
      <c r="E117" s="667"/>
      <c r="F117" s="667"/>
      <c r="G117" s="667"/>
      <c r="H117" s="667"/>
      <c r="I117" s="667"/>
      <c r="J117" s="667"/>
      <c r="K117" s="667"/>
      <c r="L117" s="667"/>
      <c r="M117" s="667"/>
      <c r="N117" s="667"/>
      <c r="O117" s="667"/>
      <c r="P117" s="667"/>
      <c r="Q117" s="667"/>
    </row>
    <row r="118" ht="15.75" customHeight="1">
      <c r="B118" s="667"/>
      <c r="C118" s="667"/>
      <c r="D118" s="667"/>
      <c r="E118" s="667"/>
      <c r="F118" s="667"/>
      <c r="G118" s="667"/>
      <c r="H118" s="667"/>
      <c r="I118" s="667"/>
      <c r="J118" s="667"/>
      <c r="K118" s="667"/>
      <c r="L118" s="667"/>
      <c r="M118" s="667"/>
      <c r="N118" s="667"/>
      <c r="O118" s="667"/>
      <c r="P118" s="667"/>
      <c r="Q118" s="667"/>
    </row>
    <row r="119" ht="15.75" customHeight="1">
      <c r="B119" s="667"/>
      <c r="C119" s="667"/>
      <c r="D119" s="667"/>
      <c r="E119" s="667"/>
      <c r="F119" s="667"/>
      <c r="G119" s="667"/>
      <c r="H119" s="667"/>
      <c r="I119" s="667"/>
      <c r="J119" s="667"/>
      <c r="K119" s="667"/>
      <c r="L119" s="667"/>
      <c r="M119" s="667"/>
      <c r="N119" s="667"/>
      <c r="O119" s="667"/>
      <c r="P119" s="667"/>
      <c r="Q119" s="667"/>
    </row>
    <row r="120" ht="15.75" customHeight="1">
      <c r="B120" s="667"/>
      <c r="C120" s="667"/>
      <c r="D120" s="667"/>
      <c r="E120" s="667"/>
      <c r="F120" s="667"/>
      <c r="G120" s="667"/>
      <c r="H120" s="667"/>
      <c r="I120" s="667"/>
      <c r="J120" s="667"/>
      <c r="K120" s="667"/>
      <c r="L120" s="667"/>
      <c r="M120" s="667"/>
      <c r="N120" s="667"/>
      <c r="O120" s="667"/>
      <c r="P120" s="667"/>
      <c r="Q120" s="667"/>
    </row>
    <row r="121" ht="15.75" customHeight="1">
      <c r="B121" s="667"/>
      <c r="C121" s="667"/>
      <c r="D121" s="667"/>
      <c r="E121" s="667"/>
      <c r="F121" s="667"/>
      <c r="G121" s="667"/>
      <c r="H121" s="667"/>
      <c r="I121" s="667"/>
      <c r="J121" s="667"/>
      <c r="K121" s="667"/>
      <c r="L121" s="667"/>
      <c r="M121" s="667"/>
      <c r="N121" s="667"/>
      <c r="O121" s="667"/>
      <c r="P121" s="667"/>
      <c r="Q121" s="667"/>
    </row>
    <row r="122" ht="15.75" customHeight="1">
      <c r="B122" s="667"/>
      <c r="C122" s="667"/>
      <c r="D122" s="667"/>
      <c r="E122" s="667"/>
      <c r="F122" s="667"/>
      <c r="G122" s="667"/>
      <c r="H122" s="667"/>
      <c r="I122" s="667"/>
      <c r="J122" s="667"/>
      <c r="K122" s="667"/>
      <c r="L122" s="667"/>
      <c r="M122" s="667"/>
      <c r="N122" s="667"/>
      <c r="O122" s="667"/>
      <c r="P122" s="667"/>
      <c r="Q122" s="667"/>
    </row>
    <row r="123" ht="15.75" customHeight="1">
      <c r="B123" s="667"/>
      <c r="C123" s="667"/>
      <c r="D123" s="667"/>
      <c r="E123" s="667"/>
      <c r="F123" s="667"/>
      <c r="G123" s="667"/>
      <c r="H123" s="667"/>
      <c r="I123" s="667"/>
      <c r="J123" s="667"/>
      <c r="K123" s="667"/>
      <c r="L123" s="667"/>
      <c r="M123" s="667"/>
      <c r="N123" s="667"/>
      <c r="O123" s="667"/>
      <c r="P123" s="667"/>
      <c r="Q123" s="667"/>
    </row>
    <row r="124" ht="15.75" customHeight="1">
      <c r="B124" s="667"/>
      <c r="C124" s="667"/>
      <c r="D124" s="667"/>
      <c r="E124" s="667"/>
      <c r="F124" s="667"/>
      <c r="G124" s="667"/>
      <c r="H124" s="667"/>
      <c r="I124" s="667"/>
      <c r="J124" s="667"/>
      <c r="K124" s="667"/>
      <c r="L124" s="667"/>
      <c r="M124" s="667"/>
      <c r="N124" s="667"/>
      <c r="O124" s="667"/>
      <c r="P124" s="667"/>
      <c r="Q124" s="667"/>
    </row>
    <row r="125" ht="15.75" customHeight="1">
      <c r="B125" s="667"/>
      <c r="C125" s="667"/>
      <c r="D125" s="667"/>
      <c r="E125" s="667"/>
      <c r="F125" s="667"/>
      <c r="G125" s="667"/>
      <c r="H125" s="667"/>
      <c r="I125" s="667"/>
      <c r="J125" s="667"/>
      <c r="K125" s="667"/>
      <c r="L125" s="667"/>
      <c r="M125" s="667"/>
      <c r="N125" s="667"/>
      <c r="O125" s="667"/>
      <c r="P125" s="667"/>
      <c r="Q125" s="667"/>
    </row>
    <row r="126" ht="15.75" customHeight="1">
      <c r="B126" s="667"/>
      <c r="C126" s="667"/>
      <c r="D126" s="667"/>
      <c r="E126" s="667"/>
      <c r="F126" s="667"/>
      <c r="G126" s="667"/>
      <c r="H126" s="667"/>
      <c r="I126" s="667"/>
      <c r="J126" s="667"/>
      <c r="K126" s="667"/>
      <c r="L126" s="667"/>
      <c r="M126" s="667"/>
      <c r="N126" s="667"/>
      <c r="O126" s="667"/>
      <c r="P126" s="667"/>
      <c r="Q126" s="667"/>
    </row>
    <row r="127" ht="15.75" customHeight="1">
      <c r="B127" s="667"/>
      <c r="C127" s="667"/>
      <c r="D127" s="667"/>
      <c r="E127" s="667"/>
      <c r="F127" s="667"/>
      <c r="G127" s="667"/>
      <c r="H127" s="667"/>
      <c r="I127" s="667"/>
      <c r="J127" s="667"/>
      <c r="K127" s="667"/>
      <c r="L127" s="667"/>
      <c r="M127" s="667"/>
      <c r="N127" s="667"/>
      <c r="O127" s="667"/>
      <c r="P127" s="667"/>
      <c r="Q127" s="667"/>
    </row>
    <row r="128" ht="15.75" customHeight="1">
      <c r="B128" s="667"/>
      <c r="C128" s="667"/>
      <c r="D128" s="667"/>
      <c r="E128" s="667"/>
      <c r="F128" s="667"/>
      <c r="G128" s="667"/>
      <c r="H128" s="667"/>
      <c r="I128" s="667"/>
      <c r="J128" s="667"/>
      <c r="K128" s="667"/>
      <c r="L128" s="667"/>
      <c r="M128" s="667"/>
      <c r="N128" s="667"/>
      <c r="O128" s="667"/>
      <c r="P128" s="667"/>
      <c r="Q128" s="667"/>
    </row>
    <row r="129" ht="15.75" customHeight="1">
      <c r="B129" s="667"/>
      <c r="C129" s="667"/>
      <c r="D129" s="667"/>
      <c r="E129" s="667"/>
      <c r="F129" s="667"/>
      <c r="G129" s="667"/>
      <c r="H129" s="667"/>
      <c r="I129" s="667"/>
      <c r="J129" s="667"/>
      <c r="K129" s="667"/>
      <c r="L129" s="667"/>
      <c r="M129" s="667"/>
      <c r="N129" s="667"/>
      <c r="O129" s="667"/>
      <c r="P129" s="667"/>
      <c r="Q129" s="667"/>
    </row>
    <row r="130" ht="15.75" customHeight="1">
      <c r="B130" s="667"/>
      <c r="C130" s="667"/>
      <c r="D130" s="667"/>
      <c r="E130" s="667"/>
      <c r="F130" s="667"/>
      <c r="G130" s="667"/>
      <c r="H130" s="667"/>
      <c r="I130" s="667"/>
      <c r="J130" s="667"/>
      <c r="K130" s="667"/>
      <c r="L130" s="667"/>
      <c r="M130" s="667"/>
      <c r="N130" s="667"/>
      <c r="O130" s="667"/>
      <c r="P130" s="667"/>
      <c r="Q130" s="667"/>
    </row>
    <row r="131" ht="15.75" customHeight="1">
      <c r="B131" s="667"/>
      <c r="C131" s="667"/>
      <c r="D131" s="667"/>
      <c r="E131" s="667"/>
      <c r="F131" s="667"/>
      <c r="G131" s="667"/>
      <c r="H131" s="667"/>
      <c r="I131" s="667"/>
      <c r="J131" s="667"/>
      <c r="K131" s="667"/>
      <c r="L131" s="667"/>
      <c r="M131" s="667"/>
      <c r="N131" s="667"/>
      <c r="O131" s="667"/>
      <c r="P131" s="667"/>
      <c r="Q131" s="667"/>
    </row>
    <row r="132" ht="15.75" customHeight="1">
      <c r="B132" s="667"/>
      <c r="C132" s="667"/>
      <c r="D132" s="667"/>
      <c r="E132" s="667"/>
      <c r="F132" s="667"/>
      <c r="G132" s="667"/>
      <c r="H132" s="667"/>
      <c r="I132" s="667"/>
      <c r="J132" s="667"/>
      <c r="K132" s="667"/>
      <c r="L132" s="667"/>
      <c r="M132" s="667"/>
      <c r="N132" s="667"/>
      <c r="O132" s="667"/>
      <c r="P132" s="667"/>
      <c r="Q132" s="667"/>
    </row>
    <row r="133" ht="15.75" customHeight="1">
      <c r="B133" s="667"/>
      <c r="C133" s="667"/>
      <c r="D133" s="667"/>
      <c r="E133" s="667"/>
      <c r="F133" s="667"/>
      <c r="G133" s="667"/>
      <c r="H133" s="667"/>
      <c r="I133" s="667"/>
      <c r="J133" s="667"/>
      <c r="K133" s="667"/>
      <c r="L133" s="667"/>
      <c r="M133" s="667"/>
      <c r="N133" s="667"/>
      <c r="O133" s="667"/>
      <c r="P133" s="667"/>
      <c r="Q133" s="667"/>
    </row>
    <row r="134" ht="15.75" customHeight="1">
      <c r="B134" s="667"/>
      <c r="C134" s="667"/>
      <c r="D134" s="667"/>
      <c r="E134" s="667"/>
      <c r="F134" s="667"/>
      <c r="G134" s="667"/>
      <c r="H134" s="667"/>
      <c r="I134" s="667"/>
      <c r="J134" s="667"/>
      <c r="K134" s="667"/>
      <c r="L134" s="667"/>
      <c r="M134" s="667"/>
      <c r="N134" s="667"/>
      <c r="O134" s="667"/>
      <c r="P134" s="667"/>
      <c r="Q134" s="667"/>
    </row>
    <row r="135" ht="15.75" customHeight="1">
      <c r="B135" s="667"/>
      <c r="C135" s="667"/>
      <c r="D135" s="667"/>
      <c r="E135" s="667"/>
      <c r="F135" s="667"/>
      <c r="G135" s="667"/>
      <c r="H135" s="667"/>
      <c r="I135" s="667"/>
      <c r="J135" s="667"/>
      <c r="K135" s="667"/>
      <c r="L135" s="667"/>
      <c r="M135" s="667"/>
      <c r="N135" s="667"/>
      <c r="O135" s="667"/>
      <c r="P135" s="667"/>
      <c r="Q135" s="667"/>
    </row>
    <row r="136" ht="15.75" customHeight="1">
      <c r="B136" s="667"/>
      <c r="C136" s="667"/>
      <c r="D136" s="667"/>
      <c r="E136" s="667"/>
      <c r="F136" s="667"/>
      <c r="G136" s="667"/>
      <c r="H136" s="667"/>
      <c r="I136" s="667"/>
      <c r="J136" s="667"/>
      <c r="K136" s="667"/>
      <c r="L136" s="667"/>
      <c r="M136" s="667"/>
      <c r="N136" s="667"/>
      <c r="O136" s="667"/>
      <c r="P136" s="667"/>
      <c r="Q136" s="667"/>
    </row>
    <row r="137" ht="15.75" customHeight="1">
      <c r="B137" s="667"/>
      <c r="C137" s="667"/>
      <c r="D137" s="667"/>
      <c r="E137" s="667"/>
      <c r="F137" s="667"/>
      <c r="G137" s="667"/>
      <c r="H137" s="667"/>
      <c r="I137" s="667"/>
      <c r="J137" s="667"/>
      <c r="K137" s="667"/>
      <c r="L137" s="667"/>
      <c r="M137" s="667"/>
      <c r="N137" s="667"/>
      <c r="O137" s="667"/>
      <c r="P137" s="667"/>
      <c r="Q137" s="667"/>
    </row>
    <row r="138" ht="15.75" customHeight="1">
      <c r="B138" s="667"/>
      <c r="C138" s="667"/>
      <c r="D138" s="667"/>
      <c r="E138" s="667"/>
      <c r="F138" s="667"/>
      <c r="G138" s="667"/>
      <c r="H138" s="667"/>
      <c r="I138" s="667"/>
      <c r="J138" s="667"/>
      <c r="K138" s="667"/>
      <c r="L138" s="667"/>
      <c r="M138" s="667"/>
      <c r="N138" s="667"/>
      <c r="O138" s="667"/>
      <c r="P138" s="667"/>
      <c r="Q138" s="667"/>
    </row>
    <row r="139" ht="15.75" customHeight="1">
      <c r="B139" s="667"/>
      <c r="C139" s="667"/>
      <c r="D139" s="667"/>
      <c r="E139" s="667"/>
      <c r="F139" s="667"/>
      <c r="G139" s="667"/>
      <c r="H139" s="667"/>
      <c r="I139" s="667"/>
      <c r="J139" s="667"/>
      <c r="K139" s="667"/>
      <c r="L139" s="667"/>
      <c r="M139" s="667"/>
      <c r="N139" s="667"/>
      <c r="O139" s="667"/>
      <c r="P139" s="667"/>
      <c r="Q139" s="667"/>
    </row>
    <row r="140" ht="15.75" customHeight="1">
      <c r="B140" s="667"/>
      <c r="C140" s="667"/>
      <c r="D140" s="667"/>
      <c r="E140" s="667"/>
      <c r="F140" s="667"/>
      <c r="G140" s="667"/>
      <c r="H140" s="667"/>
      <c r="I140" s="667"/>
      <c r="J140" s="667"/>
      <c r="K140" s="667"/>
      <c r="L140" s="667"/>
      <c r="M140" s="667"/>
      <c r="N140" s="667"/>
      <c r="O140" s="667"/>
      <c r="P140" s="667"/>
      <c r="Q140" s="667"/>
    </row>
    <row r="141" ht="15.75" customHeight="1">
      <c r="B141" s="667"/>
      <c r="C141" s="667"/>
      <c r="D141" s="667"/>
      <c r="E141" s="667"/>
      <c r="F141" s="667"/>
      <c r="G141" s="667"/>
      <c r="H141" s="667"/>
      <c r="I141" s="667"/>
      <c r="J141" s="667"/>
      <c r="K141" s="667"/>
      <c r="L141" s="667"/>
      <c r="M141" s="667"/>
      <c r="N141" s="667"/>
      <c r="O141" s="667"/>
      <c r="P141" s="667"/>
      <c r="Q141" s="667"/>
    </row>
    <row r="142" ht="15.75" customHeight="1">
      <c r="B142" s="667"/>
      <c r="C142" s="667"/>
      <c r="D142" s="667"/>
      <c r="E142" s="667"/>
      <c r="F142" s="667"/>
      <c r="G142" s="667"/>
      <c r="H142" s="667"/>
      <c r="I142" s="667"/>
      <c r="J142" s="667"/>
      <c r="K142" s="667"/>
      <c r="L142" s="667"/>
      <c r="M142" s="667"/>
      <c r="N142" s="667"/>
      <c r="O142" s="667"/>
      <c r="P142" s="667"/>
      <c r="Q142" s="667"/>
    </row>
    <row r="143" ht="15.75" customHeight="1">
      <c r="B143" s="667"/>
      <c r="C143" s="667"/>
      <c r="D143" s="667"/>
      <c r="E143" s="667"/>
      <c r="F143" s="667"/>
      <c r="G143" s="667"/>
      <c r="H143" s="667"/>
      <c r="I143" s="667"/>
      <c r="J143" s="667"/>
      <c r="K143" s="667"/>
      <c r="L143" s="667"/>
      <c r="M143" s="667"/>
      <c r="N143" s="667"/>
      <c r="O143" s="667"/>
      <c r="P143" s="667"/>
      <c r="Q143" s="667"/>
    </row>
    <row r="144" ht="15.75" customHeight="1">
      <c r="B144" s="667"/>
      <c r="C144" s="667"/>
      <c r="D144" s="667"/>
      <c r="E144" s="667"/>
      <c r="F144" s="667"/>
      <c r="G144" s="667"/>
      <c r="H144" s="667"/>
      <c r="I144" s="667"/>
      <c r="J144" s="667"/>
      <c r="K144" s="667"/>
      <c r="L144" s="667"/>
      <c r="M144" s="667"/>
      <c r="N144" s="667"/>
      <c r="O144" s="667"/>
      <c r="P144" s="667"/>
      <c r="Q144" s="667"/>
    </row>
    <row r="145" ht="15.75" customHeight="1">
      <c r="B145" s="667"/>
      <c r="C145" s="667"/>
      <c r="D145" s="667"/>
      <c r="E145" s="667"/>
      <c r="F145" s="667"/>
      <c r="G145" s="667"/>
      <c r="H145" s="667"/>
      <c r="I145" s="667"/>
      <c r="J145" s="667"/>
      <c r="K145" s="667"/>
      <c r="L145" s="667"/>
      <c r="M145" s="667"/>
      <c r="N145" s="667"/>
      <c r="O145" s="667"/>
      <c r="P145" s="667"/>
      <c r="Q145" s="667"/>
    </row>
    <row r="146" ht="15.75" customHeight="1">
      <c r="B146" s="667"/>
      <c r="C146" s="667"/>
      <c r="D146" s="667"/>
      <c r="E146" s="667"/>
      <c r="F146" s="667"/>
      <c r="G146" s="667"/>
      <c r="H146" s="667"/>
      <c r="I146" s="667"/>
      <c r="J146" s="667"/>
      <c r="K146" s="667"/>
      <c r="L146" s="667"/>
      <c r="M146" s="667"/>
      <c r="N146" s="667"/>
      <c r="O146" s="667"/>
      <c r="P146" s="667"/>
      <c r="Q146" s="667"/>
    </row>
    <row r="147" ht="15.75" customHeight="1">
      <c r="B147" s="667"/>
      <c r="C147" s="667"/>
      <c r="D147" s="667"/>
      <c r="E147" s="667"/>
      <c r="F147" s="667"/>
      <c r="G147" s="667"/>
      <c r="H147" s="667"/>
      <c r="I147" s="667"/>
      <c r="J147" s="667"/>
      <c r="K147" s="667"/>
      <c r="L147" s="667"/>
      <c r="M147" s="667"/>
      <c r="N147" s="667"/>
      <c r="O147" s="667"/>
      <c r="P147" s="667"/>
      <c r="Q147" s="667"/>
    </row>
    <row r="148" ht="15.75" customHeight="1">
      <c r="B148" s="667"/>
      <c r="C148" s="667"/>
      <c r="D148" s="667"/>
      <c r="E148" s="667"/>
      <c r="F148" s="667"/>
      <c r="G148" s="667"/>
      <c r="H148" s="667"/>
      <c r="I148" s="667"/>
      <c r="J148" s="667"/>
      <c r="K148" s="667"/>
      <c r="L148" s="667"/>
      <c r="M148" s="667"/>
      <c r="N148" s="667"/>
      <c r="O148" s="667"/>
      <c r="P148" s="667"/>
      <c r="Q148" s="667"/>
    </row>
    <row r="149" ht="15.75" customHeight="1">
      <c r="B149" s="667"/>
      <c r="C149" s="667"/>
      <c r="D149" s="667"/>
      <c r="E149" s="667"/>
      <c r="F149" s="667"/>
      <c r="G149" s="667"/>
      <c r="H149" s="667"/>
      <c r="I149" s="667"/>
      <c r="J149" s="667"/>
      <c r="K149" s="667"/>
      <c r="L149" s="667"/>
      <c r="M149" s="667"/>
      <c r="N149" s="667"/>
      <c r="O149" s="667"/>
      <c r="P149" s="667"/>
      <c r="Q149" s="667"/>
    </row>
    <row r="150" ht="15.75" customHeight="1">
      <c r="B150" s="667"/>
      <c r="C150" s="667"/>
      <c r="D150" s="667"/>
      <c r="E150" s="667"/>
      <c r="F150" s="667"/>
      <c r="G150" s="667"/>
      <c r="H150" s="667"/>
      <c r="I150" s="667"/>
      <c r="J150" s="667"/>
      <c r="K150" s="667"/>
      <c r="L150" s="667"/>
      <c r="M150" s="667"/>
      <c r="N150" s="667"/>
      <c r="O150" s="667"/>
      <c r="P150" s="667"/>
      <c r="Q150" s="667"/>
    </row>
    <row r="151" ht="15.75" customHeight="1">
      <c r="B151" s="667"/>
      <c r="C151" s="667"/>
      <c r="D151" s="667"/>
      <c r="E151" s="667"/>
      <c r="F151" s="667"/>
      <c r="G151" s="667"/>
      <c r="H151" s="667"/>
      <c r="I151" s="667"/>
      <c r="J151" s="667"/>
      <c r="K151" s="667"/>
      <c r="L151" s="667"/>
      <c r="M151" s="667"/>
      <c r="N151" s="667"/>
      <c r="O151" s="667"/>
      <c r="P151" s="667"/>
      <c r="Q151" s="667"/>
    </row>
    <row r="152" ht="15.75" customHeight="1">
      <c r="B152" s="667"/>
      <c r="C152" s="667"/>
      <c r="D152" s="667"/>
      <c r="E152" s="667"/>
      <c r="F152" s="667"/>
      <c r="G152" s="667"/>
      <c r="H152" s="667"/>
      <c r="I152" s="667"/>
      <c r="J152" s="667"/>
      <c r="K152" s="667"/>
      <c r="L152" s="667"/>
      <c r="M152" s="667"/>
      <c r="N152" s="667"/>
      <c r="O152" s="667"/>
      <c r="P152" s="667"/>
      <c r="Q152" s="667"/>
    </row>
    <row r="153" ht="15.75" customHeight="1">
      <c r="B153" s="667"/>
      <c r="C153" s="667"/>
      <c r="D153" s="667"/>
      <c r="E153" s="667"/>
      <c r="F153" s="667"/>
      <c r="G153" s="667"/>
      <c r="H153" s="667"/>
      <c r="I153" s="667"/>
      <c r="J153" s="667"/>
      <c r="K153" s="667"/>
      <c r="L153" s="667"/>
      <c r="M153" s="667"/>
      <c r="N153" s="667"/>
      <c r="O153" s="667"/>
      <c r="P153" s="667"/>
      <c r="Q153" s="667"/>
    </row>
    <row r="154" ht="15.75" customHeight="1">
      <c r="B154" s="667"/>
      <c r="C154" s="667"/>
      <c r="D154" s="667"/>
      <c r="E154" s="667"/>
      <c r="F154" s="667"/>
      <c r="G154" s="667"/>
      <c r="H154" s="667"/>
      <c r="I154" s="667"/>
      <c r="J154" s="667"/>
      <c r="K154" s="667"/>
      <c r="L154" s="667"/>
      <c r="M154" s="667"/>
      <c r="N154" s="667"/>
      <c r="O154" s="667"/>
      <c r="P154" s="667"/>
      <c r="Q154" s="667"/>
    </row>
    <row r="155" ht="15.75" customHeight="1">
      <c r="B155" s="667"/>
      <c r="C155" s="667"/>
      <c r="D155" s="667"/>
      <c r="E155" s="667"/>
      <c r="F155" s="667"/>
      <c r="G155" s="667"/>
      <c r="H155" s="667"/>
      <c r="I155" s="667"/>
      <c r="J155" s="667"/>
      <c r="K155" s="667"/>
      <c r="L155" s="667"/>
      <c r="M155" s="667"/>
      <c r="N155" s="667"/>
      <c r="O155" s="667"/>
      <c r="P155" s="667"/>
      <c r="Q155" s="667"/>
    </row>
    <row r="156" ht="15.75" customHeight="1">
      <c r="B156" s="667"/>
      <c r="C156" s="667"/>
      <c r="D156" s="667"/>
      <c r="E156" s="667"/>
      <c r="F156" s="667"/>
      <c r="G156" s="667"/>
      <c r="H156" s="667"/>
      <c r="I156" s="667"/>
      <c r="J156" s="667"/>
      <c r="K156" s="667"/>
      <c r="L156" s="667"/>
      <c r="M156" s="667"/>
      <c r="N156" s="667"/>
      <c r="O156" s="667"/>
      <c r="P156" s="667"/>
      <c r="Q156" s="667"/>
    </row>
    <row r="157" ht="15.75" customHeight="1">
      <c r="B157" s="667"/>
      <c r="C157" s="667"/>
      <c r="D157" s="667"/>
      <c r="E157" s="667"/>
      <c r="F157" s="667"/>
      <c r="G157" s="667"/>
      <c r="H157" s="667"/>
      <c r="I157" s="667"/>
      <c r="J157" s="667"/>
      <c r="K157" s="667"/>
      <c r="L157" s="667"/>
      <c r="M157" s="667"/>
      <c r="N157" s="667"/>
      <c r="O157" s="667"/>
      <c r="P157" s="667"/>
      <c r="Q157" s="667"/>
    </row>
    <row r="158" ht="15.75" customHeight="1">
      <c r="B158" s="667"/>
      <c r="C158" s="667"/>
      <c r="D158" s="667"/>
      <c r="E158" s="667"/>
      <c r="F158" s="667"/>
      <c r="G158" s="667"/>
      <c r="H158" s="667"/>
      <c r="I158" s="667"/>
      <c r="J158" s="667"/>
      <c r="K158" s="667"/>
      <c r="L158" s="667"/>
      <c r="M158" s="667"/>
      <c r="N158" s="667"/>
      <c r="O158" s="667"/>
      <c r="P158" s="667"/>
      <c r="Q158" s="667"/>
    </row>
    <row r="159" ht="15.75" customHeight="1">
      <c r="B159" s="667"/>
      <c r="C159" s="667"/>
      <c r="D159" s="667"/>
      <c r="E159" s="667"/>
      <c r="F159" s="667"/>
      <c r="G159" s="667"/>
      <c r="H159" s="667"/>
      <c r="I159" s="667"/>
      <c r="J159" s="667"/>
      <c r="K159" s="667"/>
      <c r="L159" s="667"/>
      <c r="M159" s="667"/>
      <c r="N159" s="667"/>
      <c r="O159" s="667"/>
      <c r="P159" s="667"/>
      <c r="Q159" s="667"/>
    </row>
    <row r="160" ht="15.75" customHeight="1">
      <c r="B160" s="667"/>
      <c r="C160" s="667"/>
      <c r="D160" s="667"/>
      <c r="E160" s="667"/>
      <c r="F160" s="667"/>
      <c r="G160" s="667"/>
      <c r="H160" s="667"/>
      <c r="I160" s="667"/>
      <c r="J160" s="667"/>
      <c r="K160" s="667"/>
      <c r="L160" s="667"/>
      <c r="M160" s="667"/>
      <c r="N160" s="667"/>
      <c r="O160" s="667"/>
      <c r="P160" s="667"/>
      <c r="Q160" s="667"/>
    </row>
    <row r="161" ht="15.75" customHeight="1">
      <c r="B161" s="667"/>
      <c r="C161" s="667"/>
      <c r="D161" s="667"/>
      <c r="E161" s="667"/>
      <c r="F161" s="667"/>
      <c r="G161" s="667"/>
      <c r="H161" s="667"/>
      <c r="I161" s="667"/>
      <c r="J161" s="667"/>
      <c r="K161" s="667"/>
      <c r="L161" s="667"/>
      <c r="M161" s="667"/>
      <c r="N161" s="667"/>
      <c r="O161" s="667"/>
      <c r="P161" s="667"/>
      <c r="Q161" s="667"/>
    </row>
    <row r="162" ht="15.75" customHeight="1">
      <c r="B162" s="667"/>
      <c r="C162" s="667"/>
      <c r="D162" s="667"/>
      <c r="E162" s="667"/>
      <c r="F162" s="667"/>
      <c r="G162" s="667"/>
      <c r="H162" s="667"/>
      <c r="I162" s="667"/>
      <c r="J162" s="667"/>
      <c r="K162" s="667"/>
      <c r="L162" s="667"/>
      <c r="M162" s="667"/>
      <c r="N162" s="667"/>
      <c r="O162" s="667"/>
      <c r="P162" s="667"/>
      <c r="Q162" s="667"/>
    </row>
    <row r="163" ht="15.75" customHeight="1">
      <c r="B163" s="667"/>
      <c r="C163" s="667"/>
      <c r="D163" s="667"/>
      <c r="E163" s="667"/>
      <c r="F163" s="667"/>
      <c r="G163" s="667"/>
      <c r="H163" s="667"/>
      <c r="I163" s="667"/>
      <c r="J163" s="667"/>
      <c r="K163" s="667"/>
      <c r="L163" s="667"/>
      <c r="M163" s="667"/>
      <c r="N163" s="667"/>
      <c r="O163" s="667"/>
      <c r="P163" s="667"/>
      <c r="Q163" s="667"/>
    </row>
    <row r="164" ht="15.75" customHeight="1">
      <c r="B164" s="667"/>
      <c r="C164" s="667"/>
      <c r="D164" s="667"/>
      <c r="E164" s="667"/>
      <c r="F164" s="667"/>
      <c r="G164" s="667"/>
      <c r="H164" s="667"/>
      <c r="I164" s="667"/>
      <c r="J164" s="667"/>
      <c r="K164" s="667"/>
      <c r="L164" s="667"/>
      <c r="M164" s="667"/>
      <c r="N164" s="667"/>
      <c r="O164" s="667"/>
      <c r="P164" s="667"/>
      <c r="Q164" s="667"/>
    </row>
    <row r="165" ht="15.75" customHeight="1">
      <c r="B165" s="667"/>
      <c r="C165" s="667"/>
      <c r="D165" s="667"/>
      <c r="E165" s="667"/>
      <c r="F165" s="667"/>
      <c r="G165" s="667"/>
      <c r="H165" s="667"/>
      <c r="I165" s="667"/>
      <c r="J165" s="667"/>
      <c r="K165" s="667"/>
      <c r="L165" s="667"/>
      <c r="M165" s="667"/>
      <c r="N165" s="667"/>
      <c r="O165" s="667"/>
      <c r="P165" s="667"/>
      <c r="Q165" s="667"/>
    </row>
    <row r="166" ht="15.75" customHeight="1">
      <c r="B166" s="667"/>
      <c r="C166" s="667"/>
      <c r="D166" s="667"/>
      <c r="E166" s="667"/>
      <c r="F166" s="667"/>
      <c r="G166" s="667"/>
      <c r="H166" s="667"/>
      <c r="I166" s="667"/>
      <c r="J166" s="667"/>
      <c r="K166" s="667"/>
      <c r="L166" s="667"/>
      <c r="M166" s="667"/>
      <c r="N166" s="667"/>
      <c r="O166" s="667"/>
      <c r="P166" s="667"/>
      <c r="Q166" s="667"/>
    </row>
    <row r="167" ht="15.75" customHeight="1">
      <c r="B167" s="667"/>
      <c r="C167" s="667"/>
      <c r="D167" s="667"/>
      <c r="E167" s="667"/>
      <c r="F167" s="667"/>
      <c r="G167" s="667"/>
      <c r="H167" s="667"/>
      <c r="I167" s="667"/>
      <c r="J167" s="667"/>
      <c r="K167" s="667"/>
      <c r="L167" s="667"/>
      <c r="M167" s="667"/>
      <c r="N167" s="667"/>
      <c r="O167" s="667"/>
      <c r="P167" s="667"/>
      <c r="Q167" s="667"/>
    </row>
    <row r="168" ht="15.75" customHeight="1">
      <c r="B168" s="667"/>
      <c r="C168" s="667"/>
      <c r="D168" s="667"/>
      <c r="E168" s="667"/>
      <c r="F168" s="667"/>
      <c r="G168" s="667"/>
      <c r="H168" s="667"/>
      <c r="I168" s="667"/>
      <c r="J168" s="667"/>
      <c r="K168" s="667"/>
      <c r="L168" s="667"/>
      <c r="M168" s="667"/>
      <c r="N168" s="667"/>
      <c r="O168" s="667"/>
      <c r="P168" s="667"/>
      <c r="Q168" s="667"/>
    </row>
    <row r="169" ht="15.75" customHeight="1">
      <c r="B169" s="667"/>
      <c r="C169" s="667"/>
      <c r="D169" s="667"/>
      <c r="E169" s="667"/>
      <c r="F169" s="667"/>
      <c r="G169" s="667"/>
      <c r="H169" s="667"/>
      <c r="I169" s="667"/>
      <c r="J169" s="667"/>
      <c r="K169" s="667"/>
      <c r="L169" s="667"/>
      <c r="M169" s="667"/>
      <c r="N169" s="667"/>
      <c r="O169" s="667"/>
      <c r="P169" s="667"/>
      <c r="Q169" s="667"/>
    </row>
    <row r="170" ht="15.75" customHeight="1">
      <c r="B170" s="667"/>
      <c r="C170" s="667"/>
      <c r="D170" s="667"/>
      <c r="E170" s="667"/>
      <c r="F170" s="667"/>
      <c r="G170" s="667"/>
      <c r="H170" s="667"/>
      <c r="I170" s="667"/>
      <c r="J170" s="667"/>
      <c r="K170" s="667"/>
      <c r="L170" s="667"/>
      <c r="M170" s="667"/>
      <c r="N170" s="667"/>
      <c r="O170" s="667"/>
      <c r="P170" s="667"/>
      <c r="Q170" s="667"/>
    </row>
    <row r="171" ht="15.75" customHeight="1">
      <c r="B171" s="667"/>
      <c r="C171" s="667"/>
      <c r="D171" s="667"/>
      <c r="E171" s="667"/>
      <c r="F171" s="667"/>
      <c r="G171" s="667"/>
      <c r="H171" s="667"/>
      <c r="I171" s="667"/>
      <c r="J171" s="667"/>
      <c r="K171" s="667"/>
      <c r="L171" s="667"/>
      <c r="M171" s="667"/>
      <c r="N171" s="667"/>
      <c r="O171" s="667"/>
      <c r="P171" s="667"/>
      <c r="Q171" s="667"/>
    </row>
    <row r="172" ht="15.75" customHeight="1">
      <c r="B172" s="667"/>
      <c r="C172" s="667"/>
      <c r="D172" s="667"/>
      <c r="E172" s="667"/>
      <c r="F172" s="667"/>
      <c r="G172" s="667"/>
      <c r="H172" s="667"/>
      <c r="I172" s="667"/>
      <c r="J172" s="667"/>
      <c r="K172" s="667"/>
      <c r="L172" s="667"/>
      <c r="M172" s="667"/>
      <c r="N172" s="667"/>
      <c r="O172" s="667"/>
      <c r="P172" s="667"/>
      <c r="Q172" s="667"/>
    </row>
    <row r="173" ht="15.75" customHeight="1">
      <c r="B173" s="667"/>
      <c r="C173" s="667"/>
      <c r="D173" s="667"/>
      <c r="E173" s="667"/>
      <c r="F173" s="667"/>
      <c r="G173" s="667"/>
      <c r="H173" s="667"/>
      <c r="I173" s="667"/>
      <c r="J173" s="667"/>
      <c r="K173" s="667"/>
      <c r="L173" s="667"/>
      <c r="M173" s="667"/>
      <c r="N173" s="667"/>
      <c r="O173" s="667"/>
      <c r="P173" s="667"/>
      <c r="Q173" s="667"/>
    </row>
    <row r="174" ht="15.75" customHeight="1">
      <c r="B174" s="667"/>
      <c r="C174" s="667"/>
      <c r="D174" s="667"/>
      <c r="E174" s="667"/>
      <c r="F174" s="667"/>
      <c r="G174" s="667"/>
      <c r="H174" s="667"/>
      <c r="I174" s="667"/>
      <c r="J174" s="667"/>
      <c r="K174" s="667"/>
      <c r="L174" s="667"/>
      <c r="M174" s="667"/>
      <c r="N174" s="667"/>
      <c r="O174" s="667"/>
      <c r="P174" s="667"/>
      <c r="Q174" s="667"/>
    </row>
    <row r="175" ht="15.75" customHeight="1">
      <c r="B175" s="667"/>
      <c r="C175" s="667"/>
      <c r="D175" s="667"/>
      <c r="E175" s="667"/>
      <c r="F175" s="667"/>
      <c r="G175" s="667"/>
      <c r="H175" s="667"/>
      <c r="I175" s="667"/>
      <c r="J175" s="667"/>
      <c r="K175" s="667"/>
      <c r="L175" s="667"/>
      <c r="M175" s="667"/>
      <c r="N175" s="667"/>
      <c r="O175" s="667"/>
      <c r="P175" s="667"/>
      <c r="Q175" s="667"/>
    </row>
    <row r="176" ht="15.75" customHeight="1">
      <c r="B176" s="667"/>
      <c r="C176" s="667"/>
      <c r="D176" s="667"/>
      <c r="E176" s="667"/>
      <c r="F176" s="667"/>
      <c r="G176" s="667"/>
      <c r="H176" s="667"/>
      <c r="I176" s="667"/>
      <c r="J176" s="667"/>
      <c r="K176" s="667"/>
      <c r="L176" s="667"/>
      <c r="M176" s="667"/>
      <c r="N176" s="667"/>
      <c r="O176" s="667"/>
      <c r="P176" s="667"/>
      <c r="Q176" s="667"/>
    </row>
    <row r="177" ht="15.75" customHeight="1">
      <c r="B177" s="667"/>
      <c r="C177" s="667"/>
      <c r="D177" s="667"/>
      <c r="E177" s="667"/>
      <c r="F177" s="667"/>
      <c r="G177" s="667"/>
      <c r="H177" s="667"/>
      <c r="I177" s="667"/>
      <c r="J177" s="667"/>
      <c r="K177" s="667"/>
      <c r="L177" s="667"/>
      <c r="M177" s="667"/>
      <c r="N177" s="667"/>
      <c r="O177" s="667"/>
      <c r="P177" s="667"/>
      <c r="Q177" s="667"/>
    </row>
    <row r="178" ht="15.75" customHeight="1">
      <c r="B178" s="667"/>
      <c r="C178" s="667"/>
      <c r="D178" s="667"/>
      <c r="E178" s="667"/>
      <c r="F178" s="667"/>
      <c r="G178" s="667"/>
      <c r="H178" s="667"/>
      <c r="I178" s="667"/>
      <c r="J178" s="667"/>
      <c r="K178" s="667"/>
      <c r="L178" s="667"/>
      <c r="M178" s="667"/>
      <c r="N178" s="667"/>
      <c r="O178" s="667"/>
      <c r="P178" s="667"/>
      <c r="Q178" s="667"/>
    </row>
    <row r="179" ht="15.75" customHeight="1">
      <c r="B179" s="667"/>
      <c r="C179" s="667"/>
      <c r="D179" s="667"/>
      <c r="E179" s="667"/>
      <c r="F179" s="667"/>
      <c r="G179" s="667"/>
      <c r="H179" s="667"/>
      <c r="I179" s="667"/>
      <c r="J179" s="667"/>
      <c r="K179" s="667"/>
      <c r="L179" s="667"/>
      <c r="M179" s="667"/>
      <c r="N179" s="667"/>
      <c r="O179" s="667"/>
      <c r="P179" s="667"/>
      <c r="Q179" s="667"/>
    </row>
    <row r="180" ht="15.75" customHeight="1">
      <c r="B180" s="667"/>
      <c r="C180" s="667"/>
      <c r="D180" s="667"/>
      <c r="E180" s="667"/>
      <c r="F180" s="667"/>
      <c r="G180" s="667"/>
      <c r="H180" s="667"/>
      <c r="I180" s="667"/>
      <c r="J180" s="667"/>
      <c r="K180" s="667"/>
      <c r="L180" s="667"/>
      <c r="M180" s="667"/>
      <c r="N180" s="667"/>
      <c r="O180" s="667"/>
      <c r="P180" s="667"/>
      <c r="Q180" s="667"/>
    </row>
    <row r="181" ht="15.75" customHeight="1">
      <c r="B181" s="667"/>
      <c r="C181" s="667"/>
      <c r="D181" s="667"/>
      <c r="E181" s="667"/>
      <c r="F181" s="667"/>
      <c r="G181" s="667"/>
      <c r="H181" s="667"/>
      <c r="I181" s="667"/>
      <c r="J181" s="667"/>
      <c r="K181" s="667"/>
      <c r="L181" s="667"/>
      <c r="M181" s="667"/>
      <c r="N181" s="667"/>
      <c r="O181" s="667"/>
      <c r="P181" s="667"/>
      <c r="Q181" s="667"/>
    </row>
    <row r="182" ht="15.75" customHeight="1">
      <c r="B182" s="667"/>
      <c r="C182" s="667"/>
      <c r="D182" s="667"/>
      <c r="E182" s="667"/>
      <c r="F182" s="667"/>
      <c r="G182" s="667"/>
      <c r="H182" s="667"/>
      <c r="I182" s="667"/>
      <c r="J182" s="667"/>
      <c r="K182" s="667"/>
      <c r="L182" s="667"/>
      <c r="M182" s="667"/>
      <c r="N182" s="667"/>
      <c r="O182" s="667"/>
      <c r="P182" s="667"/>
      <c r="Q182" s="667"/>
    </row>
    <row r="183" ht="15.75" customHeight="1">
      <c r="B183" s="667"/>
      <c r="C183" s="667"/>
      <c r="D183" s="667"/>
      <c r="E183" s="667"/>
      <c r="F183" s="667"/>
      <c r="G183" s="667"/>
      <c r="H183" s="667"/>
      <c r="I183" s="667"/>
      <c r="J183" s="667"/>
      <c r="K183" s="667"/>
      <c r="L183" s="667"/>
      <c r="M183" s="667"/>
      <c r="N183" s="667"/>
      <c r="O183" s="667"/>
      <c r="P183" s="667"/>
      <c r="Q183" s="667"/>
    </row>
    <row r="184" ht="15.75" customHeight="1">
      <c r="B184" s="667"/>
      <c r="C184" s="667"/>
      <c r="D184" s="667"/>
      <c r="E184" s="667"/>
      <c r="F184" s="667"/>
      <c r="G184" s="667"/>
      <c r="H184" s="667"/>
      <c r="I184" s="667"/>
      <c r="J184" s="667"/>
      <c r="K184" s="667"/>
      <c r="L184" s="667"/>
      <c r="M184" s="667"/>
      <c r="N184" s="667"/>
      <c r="O184" s="667"/>
      <c r="P184" s="667"/>
      <c r="Q184" s="667"/>
    </row>
    <row r="185" ht="15.75" customHeight="1">
      <c r="B185" s="667"/>
      <c r="C185" s="667"/>
      <c r="D185" s="667"/>
      <c r="E185" s="667"/>
      <c r="F185" s="667"/>
      <c r="G185" s="667"/>
      <c r="H185" s="667"/>
      <c r="I185" s="667"/>
      <c r="J185" s="667"/>
      <c r="K185" s="667"/>
      <c r="L185" s="667"/>
      <c r="M185" s="667"/>
      <c r="N185" s="667"/>
      <c r="O185" s="667"/>
      <c r="P185" s="667"/>
      <c r="Q185" s="667"/>
    </row>
    <row r="186" ht="15.75" customHeight="1">
      <c r="B186" s="667"/>
      <c r="C186" s="667"/>
      <c r="D186" s="667"/>
      <c r="E186" s="667"/>
      <c r="F186" s="667"/>
      <c r="G186" s="667"/>
      <c r="H186" s="667"/>
      <c r="I186" s="667"/>
      <c r="J186" s="667"/>
      <c r="K186" s="667"/>
      <c r="L186" s="667"/>
      <c r="M186" s="667"/>
      <c r="N186" s="667"/>
      <c r="O186" s="667"/>
      <c r="P186" s="667"/>
      <c r="Q186" s="667"/>
    </row>
    <row r="187" ht="15.75" customHeight="1">
      <c r="B187" s="667"/>
      <c r="C187" s="667"/>
      <c r="D187" s="667"/>
      <c r="E187" s="667"/>
      <c r="F187" s="667"/>
      <c r="G187" s="667"/>
      <c r="H187" s="667"/>
      <c r="I187" s="667"/>
      <c r="J187" s="667"/>
      <c r="K187" s="667"/>
      <c r="L187" s="667"/>
      <c r="M187" s="667"/>
      <c r="N187" s="667"/>
      <c r="O187" s="667"/>
      <c r="P187" s="667"/>
      <c r="Q187" s="667"/>
    </row>
    <row r="188" ht="15.75" customHeight="1">
      <c r="B188" s="667"/>
      <c r="C188" s="667"/>
      <c r="D188" s="667"/>
      <c r="E188" s="667"/>
      <c r="F188" s="667"/>
      <c r="G188" s="667"/>
      <c r="H188" s="667"/>
      <c r="I188" s="667"/>
      <c r="J188" s="667"/>
      <c r="K188" s="667"/>
      <c r="L188" s="667"/>
      <c r="M188" s="667"/>
      <c r="N188" s="667"/>
      <c r="O188" s="667"/>
      <c r="P188" s="667"/>
      <c r="Q188" s="667"/>
    </row>
    <row r="189" ht="15.75" customHeight="1">
      <c r="B189" s="667"/>
      <c r="C189" s="667"/>
      <c r="D189" s="667"/>
      <c r="E189" s="667"/>
      <c r="F189" s="667"/>
      <c r="G189" s="667"/>
      <c r="H189" s="667"/>
      <c r="I189" s="667"/>
      <c r="J189" s="667"/>
      <c r="K189" s="667"/>
      <c r="L189" s="667"/>
      <c r="M189" s="667"/>
      <c r="N189" s="667"/>
      <c r="O189" s="667"/>
      <c r="P189" s="667"/>
      <c r="Q189" s="667"/>
    </row>
    <row r="190" ht="15.75" customHeight="1">
      <c r="B190" s="667"/>
      <c r="C190" s="667"/>
      <c r="D190" s="667"/>
      <c r="E190" s="667"/>
      <c r="F190" s="667"/>
      <c r="G190" s="667"/>
      <c r="H190" s="667"/>
      <c r="I190" s="667"/>
      <c r="J190" s="667"/>
      <c r="K190" s="667"/>
      <c r="L190" s="667"/>
      <c r="M190" s="667"/>
      <c r="N190" s="667"/>
      <c r="O190" s="667"/>
      <c r="P190" s="667"/>
      <c r="Q190" s="667"/>
    </row>
    <row r="191" ht="15.75" customHeight="1">
      <c r="B191" s="667"/>
      <c r="C191" s="667"/>
      <c r="D191" s="667"/>
      <c r="E191" s="667"/>
      <c r="F191" s="667"/>
      <c r="G191" s="667"/>
      <c r="H191" s="667"/>
      <c r="I191" s="667"/>
      <c r="J191" s="667"/>
      <c r="K191" s="667"/>
      <c r="L191" s="667"/>
      <c r="M191" s="667"/>
      <c r="N191" s="667"/>
      <c r="O191" s="667"/>
      <c r="P191" s="667"/>
      <c r="Q191" s="667"/>
    </row>
    <row r="192" ht="15.75" customHeight="1">
      <c r="B192" s="667"/>
      <c r="C192" s="667"/>
      <c r="D192" s="667"/>
      <c r="E192" s="667"/>
      <c r="F192" s="667"/>
      <c r="G192" s="667"/>
      <c r="H192" s="667"/>
      <c r="I192" s="667"/>
      <c r="J192" s="667"/>
      <c r="K192" s="667"/>
      <c r="L192" s="667"/>
      <c r="M192" s="667"/>
      <c r="N192" s="667"/>
      <c r="O192" s="667"/>
      <c r="P192" s="667"/>
      <c r="Q192" s="667"/>
    </row>
    <row r="193" ht="15.75" customHeight="1">
      <c r="B193" s="667"/>
      <c r="C193" s="667"/>
      <c r="D193" s="667"/>
      <c r="E193" s="667"/>
      <c r="F193" s="667"/>
      <c r="G193" s="667"/>
      <c r="H193" s="667"/>
      <c r="I193" s="667"/>
      <c r="J193" s="667"/>
      <c r="K193" s="667"/>
      <c r="L193" s="667"/>
      <c r="M193" s="667"/>
      <c r="N193" s="667"/>
      <c r="O193" s="667"/>
      <c r="P193" s="667"/>
      <c r="Q193" s="667"/>
    </row>
    <row r="194" ht="15.75" customHeight="1">
      <c r="B194" s="667"/>
      <c r="C194" s="667"/>
      <c r="D194" s="667"/>
      <c r="E194" s="667"/>
      <c r="F194" s="667"/>
      <c r="G194" s="667"/>
      <c r="H194" s="667"/>
      <c r="I194" s="667"/>
      <c r="J194" s="667"/>
      <c r="K194" s="667"/>
      <c r="L194" s="667"/>
      <c r="M194" s="667"/>
      <c r="N194" s="667"/>
      <c r="O194" s="667"/>
      <c r="P194" s="667"/>
      <c r="Q194" s="667"/>
    </row>
    <row r="195" ht="15.75" customHeight="1">
      <c r="B195" s="667"/>
      <c r="C195" s="667"/>
      <c r="D195" s="667"/>
      <c r="E195" s="667"/>
      <c r="F195" s="667"/>
      <c r="G195" s="667"/>
      <c r="H195" s="667"/>
      <c r="I195" s="667"/>
      <c r="J195" s="667"/>
      <c r="K195" s="667"/>
      <c r="L195" s="667"/>
      <c r="M195" s="667"/>
      <c r="N195" s="667"/>
      <c r="O195" s="667"/>
      <c r="P195" s="667"/>
      <c r="Q195" s="667"/>
    </row>
    <row r="196" ht="15.75" customHeight="1">
      <c r="B196" s="667"/>
      <c r="C196" s="667"/>
      <c r="D196" s="667"/>
      <c r="E196" s="667"/>
      <c r="F196" s="667"/>
      <c r="G196" s="667"/>
      <c r="H196" s="667"/>
      <c r="I196" s="667"/>
      <c r="J196" s="667"/>
      <c r="K196" s="667"/>
      <c r="L196" s="667"/>
      <c r="M196" s="667"/>
      <c r="N196" s="667"/>
      <c r="O196" s="667"/>
      <c r="P196" s="667"/>
      <c r="Q196" s="667"/>
    </row>
    <row r="197" ht="15.75" customHeight="1">
      <c r="B197" s="667"/>
      <c r="C197" s="667"/>
      <c r="D197" s="667"/>
      <c r="E197" s="667"/>
      <c r="F197" s="667"/>
      <c r="G197" s="667"/>
      <c r="H197" s="667"/>
      <c r="I197" s="667"/>
      <c r="J197" s="667"/>
      <c r="K197" s="667"/>
      <c r="L197" s="667"/>
      <c r="M197" s="667"/>
      <c r="N197" s="667"/>
      <c r="O197" s="667"/>
      <c r="P197" s="667"/>
      <c r="Q197" s="667"/>
    </row>
    <row r="198" ht="15.75" customHeight="1">
      <c r="B198" s="667"/>
      <c r="C198" s="667"/>
      <c r="D198" s="667"/>
      <c r="E198" s="667"/>
      <c r="F198" s="667"/>
      <c r="G198" s="667"/>
      <c r="H198" s="667"/>
      <c r="I198" s="667"/>
      <c r="J198" s="667"/>
      <c r="K198" s="667"/>
      <c r="L198" s="667"/>
      <c r="M198" s="667"/>
      <c r="N198" s="667"/>
      <c r="O198" s="667"/>
      <c r="P198" s="667"/>
      <c r="Q198" s="667"/>
    </row>
    <row r="199" ht="15.75" customHeight="1">
      <c r="B199" s="667"/>
      <c r="C199" s="667"/>
      <c r="D199" s="667"/>
      <c r="E199" s="667"/>
      <c r="F199" s="667"/>
      <c r="G199" s="667"/>
      <c r="H199" s="667"/>
      <c r="I199" s="667"/>
      <c r="J199" s="667"/>
      <c r="K199" s="667"/>
      <c r="L199" s="667"/>
      <c r="M199" s="667"/>
      <c r="N199" s="667"/>
      <c r="O199" s="667"/>
      <c r="P199" s="667"/>
      <c r="Q199" s="667"/>
    </row>
    <row r="200" ht="15.75" customHeight="1">
      <c r="B200" s="667"/>
      <c r="C200" s="667"/>
      <c r="D200" s="667"/>
      <c r="E200" s="667"/>
      <c r="F200" s="667"/>
      <c r="G200" s="667"/>
      <c r="H200" s="667"/>
      <c r="I200" s="667"/>
      <c r="J200" s="667"/>
      <c r="K200" s="667"/>
      <c r="L200" s="667"/>
      <c r="M200" s="667"/>
      <c r="N200" s="667"/>
      <c r="O200" s="667"/>
      <c r="P200" s="667"/>
      <c r="Q200" s="667"/>
    </row>
    <row r="201" ht="15.75" customHeight="1">
      <c r="B201" s="667"/>
      <c r="C201" s="667"/>
      <c r="D201" s="667"/>
      <c r="E201" s="667"/>
      <c r="F201" s="667"/>
      <c r="G201" s="667"/>
      <c r="H201" s="667"/>
      <c r="I201" s="667"/>
      <c r="J201" s="667"/>
      <c r="K201" s="667"/>
      <c r="L201" s="667"/>
      <c r="M201" s="667"/>
      <c r="N201" s="667"/>
      <c r="O201" s="667"/>
      <c r="P201" s="667"/>
      <c r="Q201" s="667"/>
    </row>
    <row r="202" ht="15.75" customHeight="1">
      <c r="B202" s="667"/>
      <c r="C202" s="667"/>
      <c r="D202" s="667"/>
      <c r="E202" s="667"/>
      <c r="F202" s="667"/>
      <c r="G202" s="667"/>
      <c r="H202" s="667"/>
      <c r="I202" s="667"/>
      <c r="J202" s="667"/>
      <c r="K202" s="667"/>
      <c r="L202" s="667"/>
      <c r="M202" s="667"/>
      <c r="N202" s="667"/>
      <c r="O202" s="667"/>
      <c r="P202" s="667"/>
      <c r="Q202" s="667"/>
    </row>
    <row r="203" ht="15.75" customHeight="1">
      <c r="B203" s="667"/>
      <c r="C203" s="667"/>
      <c r="D203" s="667"/>
      <c r="E203" s="667"/>
      <c r="F203" s="667"/>
      <c r="G203" s="667"/>
      <c r="H203" s="667"/>
      <c r="I203" s="667"/>
      <c r="J203" s="667"/>
      <c r="K203" s="667"/>
      <c r="L203" s="667"/>
      <c r="M203" s="667"/>
      <c r="N203" s="667"/>
      <c r="O203" s="667"/>
      <c r="P203" s="667"/>
      <c r="Q203" s="667"/>
    </row>
    <row r="204" ht="15.75" customHeight="1">
      <c r="B204" s="667"/>
      <c r="C204" s="667"/>
      <c r="D204" s="667"/>
      <c r="E204" s="667"/>
      <c r="F204" s="667"/>
      <c r="G204" s="667"/>
      <c r="H204" s="667"/>
      <c r="I204" s="667"/>
      <c r="J204" s="667"/>
      <c r="K204" s="667"/>
      <c r="L204" s="667"/>
      <c r="M204" s="667"/>
      <c r="N204" s="667"/>
      <c r="O204" s="667"/>
      <c r="P204" s="667"/>
      <c r="Q204" s="667"/>
    </row>
    <row r="205" ht="15.75" customHeight="1">
      <c r="B205" s="667"/>
      <c r="C205" s="667"/>
      <c r="D205" s="667"/>
      <c r="E205" s="667"/>
      <c r="F205" s="667"/>
      <c r="G205" s="667"/>
      <c r="H205" s="667"/>
      <c r="I205" s="667"/>
      <c r="J205" s="667"/>
      <c r="K205" s="667"/>
      <c r="L205" s="667"/>
      <c r="M205" s="667"/>
      <c r="N205" s="667"/>
      <c r="O205" s="667"/>
      <c r="P205" s="667"/>
      <c r="Q205" s="667"/>
    </row>
    <row r="206" ht="15.75" customHeight="1">
      <c r="B206" s="667"/>
      <c r="C206" s="667"/>
      <c r="D206" s="667"/>
      <c r="E206" s="667"/>
      <c r="F206" s="667"/>
      <c r="G206" s="667"/>
      <c r="H206" s="667"/>
      <c r="I206" s="667"/>
      <c r="J206" s="667"/>
      <c r="K206" s="667"/>
      <c r="L206" s="667"/>
      <c r="M206" s="667"/>
      <c r="N206" s="667"/>
      <c r="O206" s="667"/>
      <c r="P206" s="667"/>
      <c r="Q206" s="667"/>
    </row>
    <row r="207" ht="15.75" customHeight="1">
      <c r="B207" s="667"/>
      <c r="C207" s="667"/>
      <c r="D207" s="667"/>
      <c r="E207" s="667"/>
      <c r="F207" s="667"/>
      <c r="G207" s="667"/>
      <c r="H207" s="667"/>
      <c r="I207" s="667"/>
      <c r="J207" s="667"/>
      <c r="K207" s="667"/>
      <c r="L207" s="667"/>
      <c r="M207" s="667"/>
      <c r="N207" s="667"/>
      <c r="O207" s="667"/>
      <c r="P207" s="667"/>
      <c r="Q207" s="667"/>
    </row>
    <row r="208" ht="15.75" customHeight="1">
      <c r="B208" s="667"/>
      <c r="C208" s="667"/>
      <c r="D208" s="667"/>
      <c r="E208" s="667"/>
      <c r="F208" s="667"/>
      <c r="G208" s="667"/>
      <c r="H208" s="667"/>
      <c r="I208" s="667"/>
      <c r="J208" s="667"/>
      <c r="K208" s="667"/>
      <c r="L208" s="667"/>
      <c r="M208" s="667"/>
      <c r="N208" s="667"/>
      <c r="O208" s="667"/>
      <c r="P208" s="667"/>
      <c r="Q208" s="667"/>
    </row>
    <row r="209" ht="15.75" customHeight="1">
      <c r="B209" s="667"/>
      <c r="C209" s="667"/>
      <c r="D209" s="667"/>
      <c r="E209" s="667"/>
      <c r="F209" s="667"/>
      <c r="G209" s="667"/>
      <c r="H209" s="667"/>
      <c r="I209" s="667"/>
      <c r="J209" s="667"/>
      <c r="K209" s="667"/>
      <c r="L209" s="667"/>
      <c r="M209" s="667"/>
      <c r="N209" s="667"/>
      <c r="O209" s="667"/>
      <c r="P209" s="667"/>
      <c r="Q209" s="667"/>
    </row>
    <row r="210" ht="15.75" customHeight="1">
      <c r="B210" s="667"/>
      <c r="C210" s="667"/>
      <c r="D210" s="667"/>
      <c r="E210" s="667"/>
      <c r="F210" s="667"/>
      <c r="G210" s="667"/>
      <c r="H210" s="667"/>
      <c r="I210" s="667"/>
      <c r="J210" s="667"/>
      <c r="K210" s="667"/>
      <c r="L210" s="667"/>
      <c r="M210" s="667"/>
      <c r="N210" s="667"/>
      <c r="O210" s="667"/>
      <c r="P210" s="667"/>
      <c r="Q210" s="667"/>
    </row>
    <row r="211" ht="15.75" customHeight="1">
      <c r="B211" s="667"/>
      <c r="C211" s="667"/>
      <c r="D211" s="667"/>
      <c r="E211" s="667"/>
      <c r="F211" s="667"/>
      <c r="G211" s="667"/>
      <c r="H211" s="667"/>
      <c r="I211" s="667"/>
      <c r="J211" s="667"/>
      <c r="K211" s="667"/>
      <c r="L211" s="667"/>
      <c r="M211" s="667"/>
      <c r="N211" s="667"/>
      <c r="O211" s="667"/>
      <c r="P211" s="667"/>
      <c r="Q211" s="667"/>
    </row>
    <row r="212" ht="15.75" customHeight="1">
      <c r="B212" s="667"/>
      <c r="C212" s="667"/>
      <c r="D212" s="667"/>
      <c r="E212" s="667"/>
      <c r="F212" s="667"/>
      <c r="G212" s="667"/>
      <c r="H212" s="667"/>
      <c r="I212" s="667"/>
      <c r="J212" s="667"/>
      <c r="K212" s="667"/>
      <c r="L212" s="667"/>
      <c r="M212" s="667"/>
      <c r="N212" s="667"/>
      <c r="O212" s="667"/>
      <c r="P212" s="667"/>
      <c r="Q212" s="667"/>
    </row>
    <row r="213" ht="15.75" customHeight="1">
      <c r="B213" s="667"/>
      <c r="C213" s="667"/>
      <c r="D213" s="667"/>
      <c r="E213" s="667"/>
      <c r="F213" s="667"/>
      <c r="G213" s="667"/>
      <c r="H213" s="667"/>
      <c r="I213" s="667"/>
      <c r="J213" s="667"/>
      <c r="K213" s="667"/>
      <c r="L213" s="667"/>
      <c r="M213" s="667"/>
      <c r="N213" s="667"/>
      <c r="O213" s="667"/>
      <c r="P213" s="667"/>
      <c r="Q213" s="667"/>
    </row>
    <row r="214" ht="15.75" customHeight="1">
      <c r="B214" s="667"/>
      <c r="C214" s="667"/>
      <c r="D214" s="667"/>
      <c r="E214" s="667"/>
      <c r="F214" s="667"/>
      <c r="G214" s="667"/>
      <c r="H214" s="667"/>
      <c r="I214" s="667"/>
      <c r="J214" s="667"/>
      <c r="K214" s="667"/>
      <c r="L214" s="667"/>
      <c r="M214" s="667"/>
      <c r="N214" s="667"/>
      <c r="O214" s="667"/>
      <c r="P214" s="667"/>
      <c r="Q214" s="667"/>
    </row>
    <row r="215" ht="15.75" customHeight="1">
      <c r="B215" s="667"/>
      <c r="C215" s="667"/>
      <c r="D215" s="667"/>
      <c r="E215" s="667"/>
      <c r="F215" s="667"/>
      <c r="G215" s="667"/>
      <c r="H215" s="667"/>
      <c r="I215" s="667"/>
      <c r="J215" s="667"/>
      <c r="K215" s="667"/>
      <c r="L215" s="667"/>
      <c r="M215" s="667"/>
      <c r="N215" s="667"/>
      <c r="O215" s="667"/>
      <c r="P215" s="667"/>
      <c r="Q215" s="667"/>
    </row>
    <row r="216" ht="15.75" customHeight="1">
      <c r="B216" s="667"/>
      <c r="C216" s="667"/>
      <c r="D216" s="667"/>
      <c r="E216" s="667"/>
      <c r="F216" s="667"/>
      <c r="G216" s="667"/>
      <c r="H216" s="667"/>
      <c r="I216" s="667"/>
      <c r="J216" s="667"/>
      <c r="K216" s="667"/>
      <c r="L216" s="667"/>
      <c r="M216" s="667"/>
      <c r="N216" s="667"/>
      <c r="O216" s="667"/>
      <c r="P216" s="667"/>
      <c r="Q216" s="667"/>
    </row>
    <row r="217" ht="15.75" customHeight="1">
      <c r="B217" s="667"/>
      <c r="C217" s="667"/>
      <c r="D217" s="667"/>
      <c r="E217" s="667"/>
      <c r="F217" s="667"/>
      <c r="G217" s="667"/>
      <c r="H217" s="667"/>
      <c r="I217" s="667"/>
      <c r="J217" s="667"/>
      <c r="K217" s="667"/>
      <c r="L217" s="667"/>
      <c r="M217" s="667"/>
      <c r="N217" s="667"/>
      <c r="O217" s="667"/>
      <c r="P217" s="667"/>
      <c r="Q217" s="667"/>
    </row>
    <row r="218" ht="15.75" customHeight="1">
      <c r="B218" s="667"/>
      <c r="C218" s="667"/>
      <c r="D218" s="667"/>
      <c r="E218" s="667"/>
      <c r="F218" s="667"/>
      <c r="G218" s="667"/>
      <c r="H218" s="667"/>
      <c r="I218" s="667"/>
      <c r="J218" s="667"/>
      <c r="K218" s="667"/>
      <c r="L218" s="667"/>
      <c r="M218" s="667"/>
      <c r="N218" s="667"/>
      <c r="O218" s="667"/>
      <c r="P218" s="667"/>
      <c r="Q218" s="667"/>
    </row>
    <row r="219" ht="15.75" customHeight="1">
      <c r="B219" s="667"/>
      <c r="C219" s="667"/>
      <c r="D219" s="667"/>
      <c r="E219" s="667"/>
      <c r="F219" s="667"/>
      <c r="G219" s="667"/>
      <c r="H219" s="667"/>
      <c r="I219" s="667"/>
      <c r="J219" s="667"/>
      <c r="K219" s="667"/>
      <c r="L219" s="667"/>
      <c r="M219" s="667"/>
      <c r="N219" s="667"/>
      <c r="O219" s="667"/>
      <c r="P219" s="667"/>
      <c r="Q219" s="667"/>
    </row>
    <row r="220" ht="15.75" customHeight="1">
      <c r="B220" s="667"/>
      <c r="C220" s="667"/>
      <c r="D220" s="667"/>
      <c r="E220" s="667"/>
      <c r="F220" s="667"/>
      <c r="G220" s="667"/>
      <c r="H220" s="667"/>
      <c r="I220" s="667"/>
      <c r="J220" s="667"/>
      <c r="K220" s="667"/>
      <c r="L220" s="667"/>
      <c r="M220" s="667"/>
      <c r="N220" s="667"/>
      <c r="O220" s="667"/>
      <c r="P220" s="667"/>
      <c r="Q220" s="667"/>
    </row>
    <row r="221" ht="15.75" customHeight="1">
      <c r="B221" s="667"/>
      <c r="C221" s="667"/>
      <c r="D221" s="667"/>
      <c r="E221" s="667"/>
      <c r="F221" s="667"/>
      <c r="G221" s="667"/>
      <c r="H221" s="667"/>
      <c r="I221" s="667"/>
      <c r="J221" s="667"/>
      <c r="K221" s="667"/>
      <c r="L221" s="667"/>
      <c r="M221" s="667"/>
      <c r="N221" s="667"/>
      <c r="O221" s="667"/>
      <c r="P221" s="667"/>
      <c r="Q221" s="667"/>
    </row>
    <row r="222" ht="15.75" customHeight="1">
      <c r="B222" s="667"/>
      <c r="C222" s="667"/>
      <c r="D222" s="667"/>
      <c r="E222" s="667"/>
      <c r="F222" s="667"/>
      <c r="G222" s="667"/>
      <c r="H222" s="667"/>
      <c r="I222" s="667"/>
      <c r="J222" s="667"/>
      <c r="K222" s="667"/>
      <c r="L222" s="667"/>
      <c r="M222" s="667"/>
      <c r="N222" s="667"/>
      <c r="O222" s="667"/>
      <c r="P222" s="667"/>
      <c r="Q222" s="667"/>
    </row>
    <row r="223" ht="15.75" customHeight="1">
      <c r="B223" s="667"/>
      <c r="C223" s="667"/>
      <c r="D223" s="667"/>
      <c r="E223" s="667"/>
      <c r="F223" s="667"/>
      <c r="G223" s="667"/>
      <c r="H223" s="667"/>
      <c r="I223" s="667"/>
      <c r="J223" s="667"/>
      <c r="K223" s="667"/>
      <c r="L223" s="667"/>
      <c r="M223" s="667"/>
      <c r="N223" s="667"/>
      <c r="O223" s="667"/>
      <c r="P223" s="667"/>
      <c r="Q223" s="667"/>
    </row>
    <row r="224" ht="15.75" customHeight="1">
      <c r="B224" s="667"/>
      <c r="C224" s="667"/>
      <c r="D224" s="667"/>
      <c r="E224" s="667"/>
      <c r="F224" s="667"/>
      <c r="G224" s="667"/>
      <c r="H224" s="667"/>
      <c r="I224" s="667"/>
      <c r="J224" s="667"/>
      <c r="K224" s="667"/>
      <c r="L224" s="667"/>
      <c r="M224" s="667"/>
      <c r="N224" s="667"/>
      <c r="O224" s="667"/>
      <c r="P224" s="667"/>
      <c r="Q224" s="667"/>
    </row>
    <row r="225" ht="15.75" customHeight="1">
      <c r="B225" s="667"/>
      <c r="C225" s="667"/>
      <c r="D225" s="667"/>
      <c r="E225" s="667"/>
      <c r="F225" s="667"/>
      <c r="G225" s="667"/>
      <c r="H225" s="667"/>
      <c r="I225" s="667"/>
      <c r="J225" s="667"/>
      <c r="K225" s="667"/>
      <c r="L225" s="667"/>
      <c r="M225" s="667"/>
      <c r="N225" s="667"/>
      <c r="O225" s="667"/>
      <c r="P225" s="667"/>
      <c r="Q225" s="667"/>
    </row>
    <row r="226" ht="15.75" customHeight="1">
      <c r="B226" s="667"/>
      <c r="C226" s="667"/>
      <c r="D226" s="667"/>
      <c r="E226" s="667"/>
      <c r="F226" s="667"/>
      <c r="G226" s="667"/>
      <c r="H226" s="667"/>
      <c r="I226" s="667"/>
      <c r="J226" s="667"/>
      <c r="K226" s="667"/>
      <c r="L226" s="667"/>
      <c r="M226" s="667"/>
      <c r="N226" s="667"/>
      <c r="O226" s="667"/>
      <c r="P226" s="667"/>
      <c r="Q226" s="667"/>
    </row>
    <row r="227" ht="15.75" customHeight="1">
      <c r="B227" s="667"/>
      <c r="C227" s="667"/>
      <c r="D227" s="667"/>
      <c r="E227" s="667"/>
      <c r="F227" s="667"/>
      <c r="G227" s="667"/>
      <c r="H227" s="667"/>
      <c r="I227" s="667"/>
      <c r="J227" s="667"/>
      <c r="K227" s="667"/>
      <c r="L227" s="667"/>
      <c r="M227" s="667"/>
      <c r="N227" s="667"/>
      <c r="O227" s="667"/>
      <c r="P227" s="667"/>
      <c r="Q227" s="667"/>
    </row>
    <row r="228" ht="15.75" customHeight="1">
      <c r="B228" s="667"/>
      <c r="C228" s="667"/>
      <c r="D228" s="667"/>
      <c r="E228" s="667"/>
      <c r="F228" s="667"/>
      <c r="G228" s="667"/>
      <c r="H228" s="667"/>
      <c r="I228" s="667"/>
      <c r="J228" s="667"/>
      <c r="K228" s="667"/>
      <c r="L228" s="667"/>
      <c r="M228" s="667"/>
      <c r="N228" s="667"/>
      <c r="O228" s="667"/>
      <c r="P228" s="667"/>
      <c r="Q228" s="667"/>
    </row>
    <row r="229" ht="15.75" customHeight="1">
      <c r="B229" s="667"/>
      <c r="C229" s="667"/>
      <c r="D229" s="667"/>
      <c r="E229" s="667"/>
      <c r="F229" s="667"/>
      <c r="G229" s="667"/>
      <c r="H229" s="667"/>
      <c r="I229" s="667"/>
      <c r="J229" s="667"/>
      <c r="K229" s="667"/>
      <c r="L229" s="667"/>
      <c r="M229" s="667"/>
      <c r="N229" s="667"/>
      <c r="O229" s="667"/>
      <c r="P229" s="667"/>
      <c r="Q229" s="667"/>
    </row>
    <row r="230" ht="15.75" customHeight="1">
      <c r="B230" s="667"/>
      <c r="C230" s="667"/>
      <c r="D230" s="667"/>
      <c r="E230" s="667"/>
      <c r="F230" s="667"/>
      <c r="G230" s="667"/>
      <c r="H230" s="667"/>
      <c r="I230" s="667"/>
      <c r="J230" s="667"/>
      <c r="K230" s="667"/>
      <c r="L230" s="667"/>
      <c r="M230" s="667"/>
      <c r="N230" s="667"/>
      <c r="O230" s="667"/>
      <c r="P230" s="667"/>
      <c r="Q230" s="667"/>
    </row>
    <row r="231" ht="15.75" customHeight="1">
      <c r="B231" s="667"/>
      <c r="C231" s="667"/>
      <c r="D231" s="667"/>
      <c r="E231" s="667"/>
      <c r="F231" s="667"/>
      <c r="G231" s="667"/>
      <c r="H231" s="667"/>
      <c r="I231" s="667"/>
      <c r="J231" s="667"/>
      <c r="K231" s="667"/>
      <c r="L231" s="667"/>
      <c r="M231" s="667"/>
      <c r="N231" s="667"/>
      <c r="O231" s="667"/>
      <c r="P231" s="667"/>
      <c r="Q231" s="667"/>
    </row>
    <row r="232" ht="15.75" customHeight="1">
      <c r="B232" s="667"/>
      <c r="C232" s="667"/>
      <c r="D232" s="667"/>
      <c r="E232" s="667"/>
      <c r="F232" s="667"/>
      <c r="G232" s="667"/>
      <c r="H232" s="667"/>
      <c r="I232" s="667"/>
      <c r="J232" s="667"/>
      <c r="K232" s="667"/>
      <c r="L232" s="667"/>
      <c r="M232" s="667"/>
      <c r="N232" s="667"/>
      <c r="O232" s="667"/>
      <c r="P232" s="667"/>
      <c r="Q232" s="667"/>
    </row>
    <row r="233" ht="15.75" customHeight="1">
      <c r="B233" s="667"/>
      <c r="C233" s="667"/>
      <c r="D233" s="667"/>
      <c r="E233" s="667"/>
      <c r="F233" s="667"/>
      <c r="G233" s="667"/>
      <c r="H233" s="667"/>
      <c r="I233" s="667"/>
      <c r="J233" s="667"/>
      <c r="K233" s="667"/>
      <c r="L233" s="667"/>
      <c r="M233" s="667"/>
      <c r="N233" s="667"/>
      <c r="O233" s="667"/>
      <c r="P233" s="667"/>
      <c r="Q233" s="667"/>
    </row>
    <row r="234" ht="15.75" customHeight="1">
      <c r="B234" s="667"/>
      <c r="C234" s="667"/>
      <c r="D234" s="667"/>
      <c r="E234" s="667"/>
      <c r="F234" s="667"/>
      <c r="G234" s="667"/>
      <c r="H234" s="667"/>
      <c r="I234" s="667"/>
      <c r="J234" s="667"/>
      <c r="K234" s="667"/>
      <c r="L234" s="667"/>
      <c r="M234" s="667"/>
      <c r="N234" s="667"/>
      <c r="O234" s="667"/>
      <c r="P234" s="667"/>
      <c r="Q234" s="667"/>
    </row>
    <row r="235" ht="15.75" customHeight="1">
      <c r="B235" s="667"/>
      <c r="C235" s="667"/>
      <c r="D235" s="667"/>
      <c r="E235" s="667"/>
      <c r="F235" s="667"/>
      <c r="G235" s="667"/>
      <c r="H235" s="667"/>
      <c r="I235" s="667"/>
      <c r="J235" s="667"/>
      <c r="K235" s="667"/>
      <c r="L235" s="667"/>
      <c r="M235" s="667"/>
      <c r="N235" s="667"/>
      <c r="O235" s="667"/>
      <c r="P235" s="667"/>
      <c r="Q235" s="667"/>
    </row>
    <row r="236" ht="15.75" customHeight="1">
      <c r="B236" s="667"/>
      <c r="C236" s="667"/>
      <c r="D236" s="667"/>
      <c r="E236" s="667"/>
      <c r="F236" s="667"/>
      <c r="G236" s="667"/>
      <c r="H236" s="667"/>
      <c r="I236" s="667"/>
      <c r="J236" s="667"/>
      <c r="K236" s="667"/>
      <c r="L236" s="667"/>
      <c r="M236" s="667"/>
      <c r="N236" s="667"/>
      <c r="O236" s="667"/>
      <c r="P236" s="667"/>
      <c r="Q236" s="667"/>
    </row>
    <row r="237" ht="15.75" customHeight="1">
      <c r="B237" s="667"/>
      <c r="C237" s="667"/>
      <c r="D237" s="667"/>
      <c r="E237" s="667"/>
      <c r="F237" s="667"/>
      <c r="G237" s="667"/>
      <c r="H237" s="667"/>
      <c r="I237" s="667"/>
      <c r="J237" s="667"/>
      <c r="K237" s="667"/>
      <c r="L237" s="667"/>
      <c r="M237" s="667"/>
      <c r="N237" s="667"/>
      <c r="O237" s="667"/>
      <c r="P237" s="667"/>
      <c r="Q237" s="667"/>
    </row>
    <row r="238" ht="15.75" customHeight="1">
      <c r="B238" s="667"/>
      <c r="C238" s="667"/>
      <c r="D238" s="667"/>
      <c r="E238" s="667"/>
      <c r="F238" s="667"/>
      <c r="G238" s="667"/>
      <c r="H238" s="667"/>
      <c r="I238" s="667"/>
      <c r="J238" s="667"/>
      <c r="K238" s="667"/>
      <c r="L238" s="667"/>
      <c r="M238" s="667"/>
      <c r="N238" s="667"/>
      <c r="O238" s="667"/>
      <c r="P238" s="667"/>
      <c r="Q238" s="667"/>
    </row>
    <row r="239" ht="15.75" customHeight="1">
      <c r="B239" s="667"/>
      <c r="C239" s="667"/>
      <c r="D239" s="667"/>
      <c r="E239" s="667"/>
      <c r="F239" s="667"/>
      <c r="G239" s="667"/>
      <c r="H239" s="667"/>
      <c r="I239" s="667"/>
      <c r="J239" s="667"/>
      <c r="K239" s="667"/>
      <c r="L239" s="667"/>
      <c r="M239" s="667"/>
      <c r="N239" s="667"/>
      <c r="O239" s="667"/>
      <c r="P239" s="667"/>
      <c r="Q239" s="667"/>
    </row>
    <row r="240" ht="15.75" customHeight="1">
      <c r="B240" s="667"/>
      <c r="C240" s="667"/>
      <c r="D240" s="667"/>
      <c r="E240" s="667"/>
      <c r="F240" s="667"/>
      <c r="G240" s="667"/>
      <c r="H240" s="667"/>
      <c r="I240" s="667"/>
      <c r="J240" s="667"/>
      <c r="K240" s="667"/>
      <c r="L240" s="667"/>
      <c r="M240" s="667"/>
      <c r="N240" s="667"/>
      <c r="O240" s="667"/>
      <c r="P240" s="667"/>
      <c r="Q240" s="667"/>
    </row>
    <row r="241" ht="15.75" customHeight="1">
      <c r="B241" s="667"/>
      <c r="C241" s="667"/>
      <c r="D241" s="667"/>
      <c r="E241" s="667"/>
      <c r="F241" s="667"/>
      <c r="G241" s="667"/>
      <c r="H241" s="667"/>
      <c r="I241" s="667"/>
      <c r="J241" s="667"/>
      <c r="K241" s="667"/>
      <c r="L241" s="667"/>
      <c r="M241" s="667"/>
      <c r="N241" s="667"/>
      <c r="O241" s="667"/>
      <c r="P241" s="667"/>
      <c r="Q241" s="667"/>
    </row>
    <row r="242" ht="15.75" customHeight="1">
      <c r="B242" s="667"/>
      <c r="C242" s="667"/>
      <c r="D242" s="667"/>
      <c r="E242" s="667"/>
      <c r="F242" s="667"/>
      <c r="G242" s="667"/>
      <c r="H242" s="667"/>
      <c r="I242" s="667"/>
      <c r="J242" s="667"/>
      <c r="K242" s="667"/>
      <c r="L242" s="667"/>
      <c r="M242" s="667"/>
      <c r="N242" s="667"/>
      <c r="O242" s="667"/>
      <c r="P242" s="667"/>
      <c r="Q242" s="667"/>
    </row>
    <row r="243" ht="15.75" customHeight="1">
      <c r="B243" s="667"/>
      <c r="C243" s="667"/>
      <c r="D243" s="667"/>
      <c r="E243" s="667"/>
      <c r="F243" s="667"/>
      <c r="G243" s="667"/>
      <c r="H243" s="667"/>
      <c r="I243" s="667"/>
      <c r="J243" s="667"/>
      <c r="K243" s="667"/>
      <c r="L243" s="667"/>
      <c r="M243" s="667"/>
      <c r="N243" s="667"/>
      <c r="O243" s="667"/>
      <c r="P243" s="667"/>
      <c r="Q243" s="667"/>
    </row>
    <row r="244" ht="15.75" customHeight="1">
      <c r="B244" s="667"/>
      <c r="C244" s="667"/>
      <c r="D244" s="667"/>
      <c r="E244" s="667"/>
      <c r="F244" s="667"/>
      <c r="G244" s="667"/>
      <c r="H244" s="667"/>
      <c r="I244" s="667"/>
      <c r="J244" s="667"/>
      <c r="K244" s="667"/>
      <c r="L244" s="667"/>
      <c r="M244" s="667"/>
      <c r="N244" s="667"/>
      <c r="O244" s="667"/>
      <c r="P244" s="667"/>
      <c r="Q244" s="667"/>
    </row>
    <row r="245" ht="15.75" customHeight="1">
      <c r="B245" s="667"/>
      <c r="C245" s="667"/>
      <c r="D245" s="667"/>
      <c r="E245" s="667"/>
      <c r="F245" s="667"/>
      <c r="G245" s="667"/>
      <c r="H245" s="667"/>
      <c r="I245" s="667"/>
      <c r="J245" s="667"/>
      <c r="K245" s="667"/>
      <c r="L245" s="667"/>
      <c r="M245" s="667"/>
      <c r="N245" s="667"/>
      <c r="O245" s="667"/>
      <c r="P245" s="667"/>
      <c r="Q245" s="667"/>
    </row>
    <row r="246" ht="15.75" customHeight="1">
      <c r="B246" s="667"/>
      <c r="C246" s="667"/>
      <c r="D246" s="667"/>
      <c r="E246" s="667"/>
      <c r="F246" s="667"/>
      <c r="G246" s="667"/>
      <c r="H246" s="667"/>
      <c r="I246" s="667"/>
      <c r="J246" s="667"/>
      <c r="K246" s="667"/>
      <c r="L246" s="667"/>
      <c r="M246" s="667"/>
      <c r="N246" s="667"/>
      <c r="O246" s="667"/>
      <c r="P246" s="667"/>
      <c r="Q246" s="667"/>
    </row>
    <row r="247" ht="15.75" customHeight="1">
      <c r="B247" s="667"/>
      <c r="C247" s="667"/>
      <c r="D247" s="667"/>
      <c r="E247" s="667"/>
      <c r="F247" s="667"/>
      <c r="G247" s="667"/>
      <c r="H247" s="667"/>
      <c r="I247" s="667"/>
      <c r="J247" s="667"/>
      <c r="K247" s="667"/>
      <c r="L247" s="667"/>
      <c r="M247" s="667"/>
      <c r="N247" s="667"/>
      <c r="O247" s="667"/>
      <c r="P247" s="667"/>
      <c r="Q247" s="667"/>
    </row>
    <row r="248" ht="15.75" customHeight="1">
      <c r="B248" s="667"/>
      <c r="C248" s="667"/>
      <c r="D248" s="667"/>
      <c r="E248" s="667"/>
      <c r="F248" s="667"/>
      <c r="G248" s="667"/>
      <c r="H248" s="667"/>
      <c r="I248" s="667"/>
      <c r="J248" s="667"/>
      <c r="K248" s="667"/>
      <c r="L248" s="667"/>
      <c r="M248" s="667"/>
      <c r="N248" s="667"/>
      <c r="O248" s="667"/>
      <c r="P248" s="667"/>
      <c r="Q248" s="667"/>
    </row>
    <row r="249" ht="15.75" customHeight="1">
      <c r="B249" s="667"/>
      <c r="C249" s="667"/>
      <c r="D249" s="667"/>
      <c r="E249" s="667"/>
      <c r="F249" s="667"/>
      <c r="G249" s="667"/>
      <c r="H249" s="667"/>
      <c r="I249" s="667"/>
      <c r="J249" s="667"/>
      <c r="K249" s="667"/>
      <c r="L249" s="667"/>
      <c r="M249" s="667"/>
      <c r="N249" s="667"/>
      <c r="O249" s="667"/>
      <c r="P249" s="667"/>
      <c r="Q249" s="667"/>
    </row>
    <row r="250" ht="15.75" customHeight="1">
      <c r="B250" s="667"/>
      <c r="C250" s="667"/>
      <c r="D250" s="667"/>
      <c r="E250" s="667"/>
      <c r="F250" s="667"/>
      <c r="G250" s="667"/>
      <c r="H250" s="667"/>
      <c r="I250" s="667"/>
      <c r="J250" s="667"/>
      <c r="K250" s="667"/>
      <c r="L250" s="667"/>
      <c r="M250" s="667"/>
      <c r="N250" s="667"/>
      <c r="O250" s="667"/>
      <c r="P250" s="667"/>
      <c r="Q250" s="667"/>
    </row>
    <row r="251" ht="15.75" customHeight="1">
      <c r="B251" s="667"/>
      <c r="C251" s="667"/>
      <c r="D251" s="667"/>
      <c r="E251" s="667"/>
      <c r="F251" s="667"/>
      <c r="G251" s="667"/>
      <c r="H251" s="667"/>
      <c r="I251" s="667"/>
      <c r="J251" s="667"/>
      <c r="K251" s="667"/>
      <c r="L251" s="667"/>
      <c r="M251" s="667"/>
      <c r="N251" s="667"/>
      <c r="O251" s="667"/>
      <c r="P251" s="667"/>
      <c r="Q251" s="667"/>
    </row>
    <row r="252" ht="15.75" customHeight="1">
      <c r="B252" s="667"/>
      <c r="C252" s="667"/>
      <c r="D252" s="667"/>
      <c r="E252" s="667"/>
      <c r="F252" s="667"/>
      <c r="G252" s="667"/>
      <c r="H252" s="667"/>
      <c r="I252" s="667"/>
      <c r="J252" s="667"/>
      <c r="K252" s="667"/>
      <c r="L252" s="667"/>
      <c r="M252" s="667"/>
      <c r="N252" s="667"/>
      <c r="O252" s="667"/>
      <c r="P252" s="667"/>
      <c r="Q252" s="667"/>
    </row>
    <row r="253" ht="15.75" customHeight="1">
      <c r="B253" s="667"/>
      <c r="C253" s="667"/>
      <c r="D253" s="667"/>
      <c r="E253" s="667"/>
      <c r="F253" s="667"/>
      <c r="G253" s="667"/>
      <c r="H253" s="667"/>
      <c r="I253" s="667"/>
      <c r="J253" s="667"/>
      <c r="K253" s="667"/>
      <c r="L253" s="667"/>
      <c r="M253" s="667"/>
      <c r="N253" s="667"/>
      <c r="O253" s="667"/>
      <c r="P253" s="667"/>
      <c r="Q253" s="667"/>
    </row>
    <row r="254" ht="15.75" customHeight="1">
      <c r="B254" s="667"/>
      <c r="C254" s="667"/>
      <c r="D254" s="667"/>
      <c r="E254" s="667"/>
      <c r="F254" s="667"/>
      <c r="G254" s="667"/>
      <c r="H254" s="667"/>
      <c r="I254" s="667"/>
      <c r="J254" s="667"/>
      <c r="K254" s="667"/>
      <c r="L254" s="667"/>
      <c r="M254" s="667"/>
      <c r="N254" s="667"/>
      <c r="O254" s="667"/>
      <c r="P254" s="667"/>
      <c r="Q254" s="667"/>
    </row>
    <row r="255" ht="15.75" customHeight="1">
      <c r="B255" s="667"/>
      <c r="C255" s="667"/>
      <c r="D255" s="667"/>
      <c r="E255" s="667"/>
      <c r="F255" s="667"/>
      <c r="G255" s="667"/>
      <c r="H255" s="667"/>
      <c r="I255" s="667"/>
      <c r="J255" s="667"/>
      <c r="K255" s="667"/>
      <c r="L255" s="667"/>
      <c r="M255" s="667"/>
      <c r="N255" s="667"/>
      <c r="O255" s="667"/>
      <c r="P255" s="667"/>
      <c r="Q255" s="667"/>
    </row>
    <row r="256" ht="15.75" customHeight="1">
      <c r="B256" s="667"/>
      <c r="C256" s="667"/>
      <c r="D256" s="667"/>
      <c r="E256" s="667"/>
      <c r="F256" s="667"/>
      <c r="G256" s="667"/>
      <c r="H256" s="667"/>
      <c r="I256" s="667"/>
      <c r="J256" s="667"/>
      <c r="K256" s="667"/>
      <c r="L256" s="667"/>
      <c r="M256" s="667"/>
      <c r="N256" s="667"/>
      <c r="O256" s="667"/>
      <c r="P256" s="667"/>
      <c r="Q256" s="667"/>
    </row>
    <row r="257" ht="15.75" customHeight="1">
      <c r="B257" s="667"/>
      <c r="C257" s="667"/>
      <c r="D257" s="667"/>
      <c r="E257" s="667"/>
      <c r="F257" s="667"/>
      <c r="G257" s="667"/>
      <c r="H257" s="667"/>
      <c r="I257" s="667"/>
      <c r="J257" s="667"/>
      <c r="K257" s="667"/>
      <c r="L257" s="667"/>
      <c r="M257" s="667"/>
      <c r="N257" s="667"/>
      <c r="O257" s="667"/>
      <c r="P257" s="667"/>
      <c r="Q257" s="667"/>
    </row>
    <row r="258" ht="15.75" customHeight="1">
      <c r="B258" s="667"/>
      <c r="C258" s="667"/>
      <c r="D258" s="667"/>
      <c r="E258" s="667"/>
      <c r="F258" s="667"/>
      <c r="G258" s="667"/>
      <c r="H258" s="667"/>
      <c r="I258" s="667"/>
      <c r="J258" s="667"/>
      <c r="K258" s="667"/>
      <c r="L258" s="667"/>
      <c r="M258" s="667"/>
      <c r="N258" s="667"/>
      <c r="O258" s="667"/>
      <c r="P258" s="667"/>
      <c r="Q258" s="667"/>
    </row>
    <row r="259" ht="15.75" customHeight="1">
      <c r="B259" s="667"/>
      <c r="C259" s="667"/>
      <c r="D259" s="667"/>
      <c r="E259" s="667"/>
      <c r="F259" s="667"/>
      <c r="G259" s="667"/>
      <c r="H259" s="667"/>
      <c r="I259" s="667"/>
      <c r="J259" s="667"/>
      <c r="K259" s="667"/>
      <c r="L259" s="667"/>
      <c r="M259" s="667"/>
      <c r="N259" s="667"/>
      <c r="O259" s="667"/>
      <c r="P259" s="667"/>
      <c r="Q259" s="667"/>
    </row>
    <row r="260" ht="15.75" customHeight="1">
      <c r="B260" s="667"/>
      <c r="C260" s="667"/>
      <c r="D260" s="667"/>
      <c r="E260" s="667"/>
      <c r="F260" s="667"/>
      <c r="G260" s="667"/>
      <c r="H260" s="667"/>
      <c r="I260" s="667"/>
      <c r="J260" s="667"/>
      <c r="K260" s="667"/>
      <c r="L260" s="667"/>
      <c r="M260" s="667"/>
      <c r="N260" s="667"/>
      <c r="O260" s="667"/>
      <c r="P260" s="667"/>
      <c r="Q260" s="667"/>
    </row>
    <row r="261" ht="15.75" customHeight="1">
      <c r="B261" s="667"/>
      <c r="C261" s="667"/>
      <c r="D261" s="667"/>
      <c r="E261" s="667"/>
      <c r="F261" s="667"/>
      <c r="G261" s="667"/>
      <c r="H261" s="667"/>
      <c r="I261" s="667"/>
      <c r="J261" s="667"/>
      <c r="K261" s="667"/>
      <c r="L261" s="667"/>
      <c r="M261" s="667"/>
      <c r="N261" s="667"/>
      <c r="O261" s="667"/>
      <c r="P261" s="667"/>
      <c r="Q261" s="667"/>
    </row>
    <row r="262" ht="15.75" customHeight="1">
      <c r="B262" s="667"/>
      <c r="C262" s="667"/>
      <c r="D262" s="667"/>
      <c r="E262" s="667"/>
      <c r="F262" s="667"/>
      <c r="G262" s="667"/>
      <c r="H262" s="667"/>
      <c r="I262" s="667"/>
      <c r="J262" s="667"/>
      <c r="K262" s="667"/>
      <c r="L262" s="667"/>
      <c r="M262" s="667"/>
      <c r="N262" s="667"/>
      <c r="O262" s="667"/>
      <c r="P262" s="667"/>
      <c r="Q262" s="667"/>
    </row>
    <row r="263" ht="15.75" customHeight="1">
      <c r="B263" s="667"/>
      <c r="C263" s="667"/>
      <c r="D263" s="667"/>
      <c r="E263" s="667"/>
      <c r="F263" s="667"/>
      <c r="G263" s="667"/>
      <c r="H263" s="667"/>
      <c r="I263" s="667"/>
      <c r="J263" s="667"/>
      <c r="K263" s="667"/>
      <c r="L263" s="667"/>
      <c r="M263" s="667"/>
      <c r="N263" s="667"/>
      <c r="O263" s="667"/>
      <c r="P263" s="667"/>
      <c r="Q263" s="667"/>
    </row>
    <row r="264" ht="15.75" customHeight="1">
      <c r="B264" s="667"/>
      <c r="C264" s="667"/>
      <c r="D264" s="667"/>
      <c r="E264" s="667"/>
      <c r="F264" s="667"/>
      <c r="G264" s="667"/>
      <c r="H264" s="667"/>
      <c r="I264" s="667"/>
      <c r="J264" s="667"/>
      <c r="K264" s="667"/>
      <c r="L264" s="667"/>
      <c r="M264" s="667"/>
      <c r="N264" s="667"/>
      <c r="O264" s="667"/>
      <c r="P264" s="667"/>
      <c r="Q264" s="667"/>
    </row>
    <row r="265" ht="15.75" customHeight="1">
      <c r="B265" s="667"/>
      <c r="C265" s="667"/>
      <c r="D265" s="667"/>
      <c r="E265" s="667"/>
      <c r="F265" s="667"/>
      <c r="G265" s="667"/>
      <c r="H265" s="667"/>
      <c r="I265" s="667"/>
      <c r="J265" s="667"/>
      <c r="K265" s="667"/>
      <c r="L265" s="667"/>
      <c r="M265" s="667"/>
      <c r="N265" s="667"/>
      <c r="O265" s="667"/>
      <c r="P265" s="667"/>
      <c r="Q265" s="667"/>
    </row>
    <row r="266" ht="15.75" customHeight="1">
      <c r="B266" s="667"/>
      <c r="C266" s="667"/>
      <c r="D266" s="667"/>
      <c r="E266" s="667"/>
      <c r="F266" s="667"/>
      <c r="G266" s="667"/>
      <c r="H266" s="667"/>
      <c r="I266" s="667"/>
      <c r="J266" s="667"/>
      <c r="K266" s="667"/>
      <c r="L266" s="667"/>
      <c r="M266" s="667"/>
      <c r="N266" s="667"/>
      <c r="O266" s="667"/>
      <c r="P266" s="667"/>
      <c r="Q266" s="667"/>
    </row>
    <row r="267" ht="15.75" customHeight="1">
      <c r="B267" s="667"/>
      <c r="C267" s="667"/>
      <c r="D267" s="667"/>
      <c r="E267" s="667"/>
      <c r="F267" s="667"/>
      <c r="G267" s="667"/>
      <c r="H267" s="667"/>
      <c r="I267" s="667"/>
      <c r="J267" s="667"/>
      <c r="K267" s="667"/>
      <c r="L267" s="667"/>
      <c r="M267" s="667"/>
      <c r="N267" s="667"/>
      <c r="O267" s="667"/>
      <c r="P267" s="667"/>
      <c r="Q267" s="667"/>
    </row>
    <row r="268" ht="15.75" customHeight="1">
      <c r="B268" s="667"/>
      <c r="C268" s="667"/>
      <c r="D268" s="667"/>
      <c r="E268" s="667"/>
      <c r="F268" s="667"/>
      <c r="G268" s="667"/>
      <c r="H268" s="667"/>
      <c r="I268" s="667"/>
      <c r="J268" s="667"/>
      <c r="K268" s="667"/>
      <c r="L268" s="667"/>
      <c r="M268" s="667"/>
      <c r="N268" s="667"/>
      <c r="O268" s="667"/>
      <c r="P268" s="667"/>
      <c r="Q268" s="667"/>
    </row>
    <row r="269" ht="15.75" customHeight="1">
      <c r="B269" s="667"/>
      <c r="C269" s="667"/>
      <c r="D269" s="667"/>
      <c r="E269" s="667"/>
      <c r="F269" s="667"/>
      <c r="G269" s="667"/>
      <c r="H269" s="667"/>
      <c r="I269" s="667"/>
      <c r="J269" s="667"/>
      <c r="K269" s="667"/>
      <c r="L269" s="667"/>
      <c r="M269" s="667"/>
      <c r="N269" s="667"/>
      <c r="O269" s="667"/>
      <c r="P269" s="667"/>
      <c r="Q269" s="667"/>
    </row>
    <row r="270" ht="15.75" customHeight="1">
      <c r="B270" s="667"/>
      <c r="C270" s="667"/>
      <c r="D270" s="667"/>
      <c r="E270" s="667"/>
      <c r="F270" s="667"/>
      <c r="G270" s="667"/>
      <c r="H270" s="667"/>
      <c r="I270" s="667"/>
      <c r="J270" s="667"/>
      <c r="K270" s="667"/>
      <c r="L270" s="667"/>
      <c r="M270" s="667"/>
      <c r="N270" s="667"/>
      <c r="O270" s="667"/>
      <c r="P270" s="667"/>
      <c r="Q270" s="667"/>
    </row>
    <row r="271" ht="15.75" customHeight="1">
      <c r="B271" s="667"/>
      <c r="C271" s="667"/>
      <c r="D271" s="667"/>
      <c r="E271" s="667"/>
      <c r="F271" s="667"/>
      <c r="G271" s="667"/>
      <c r="H271" s="667"/>
      <c r="I271" s="667"/>
      <c r="J271" s="667"/>
      <c r="K271" s="667"/>
      <c r="L271" s="667"/>
      <c r="M271" s="667"/>
      <c r="N271" s="667"/>
      <c r="O271" s="667"/>
      <c r="P271" s="667"/>
      <c r="Q271" s="667"/>
    </row>
    <row r="272" ht="15.75" customHeight="1">
      <c r="B272" s="667"/>
      <c r="C272" s="667"/>
      <c r="D272" s="667"/>
      <c r="E272" s="667"/>
      <c r="F272" s="667"/>
      <c r="G272" s="667"/>
      <c r="H272" s="667"/>
      <c r="I272" s="667"/>
      <c r="J272" s="667"/>
      <c r="K272" s="667"/>
      <c r="L272" s="667"/>
      <c r="M272" s="667"/>
      <c r="N272" s="667"/>
      <c r="O272" s="667"/>
      <c r="P272" s="667"/>
      <c r="Q272" s="667"/>
    </row>
    <row r="273" ht="15.75" customHeight="1">
      <c r="B273" s="667"/>
      <c r="C273" s="667"/>
      <c r="D273" s="667"/>
      <c r="E273" s="667"/>
      <c r="F273" s="667"/>
      <c r="G273" s="667"/>
      <c r="H273" s="667"/>
      <c r="I273" s="667"/>
      <c r="J273" s="667"/>
      <c r="K273" s="667"/>
      <c r="L273" s="667"/>
      <c r="M273" s="667"/>
      <c r="N273" s="667"/>
      <c r="O273" s="667"/>
      <c r="P273" s="667"/>
      <c r="Q273" s="667"/>
    </row>
    <row r="274" ht="15.75" customHeight="1">
      <c r="B274" s="667"/>
      <c r="C274" s="667"/>
      <c r="D274" s="667"/>
      <c r="E274" s="667"/>
      <c r="F274" s="667"/>
      <c r="G274" s="667"/>
      <c r="H274" s="667"/>
      <c r="I274" s="667"/>
      <c r="J274" s="667"/>
      <c r="K274" s="667"/>
      <c r="L274" s="667"/>
      <c r="M274" s="667"/>
      <c r="N274" s="667"/>
      <c r="O274" s="667"/>
      <c r="P274" s="667"/>
      <c r="Q274" s="667"/>
    </row>
    <row r="275" ht="15.75" customHeight="1">
      <c r="B275" s="667"/>
      <c r="C275" s="667"/>
      <c r="D275" s="667"/>
      <c r="E275" s="667"/>
      <c r="F275" s="667"/>
      <c r="G275" s="667"/>
      <c r="H275" s="667"/>
      <c r="I275" s="667"/>
      <c r="J275" s="667"/>
      <c r="K275" s="667"/>
      <c r="L275" s="667"/>
      <c r="M275" s="667"/>
      <c r="N275" s="667"/>
      <c r="O275" s="667"/>
      <c r="P275" s="667"/>
      <c r="Q275" s="667"/>
    </row>
    <row r="276" ht="15.75" customHeight="1">
      <c r="B276" s="667"/>
      <c r="C276" s="667"/>
      <c r="D276" s="667"/>
      <c r="E276" s="667"/>
      <c r="F276" s="667"/>
      <c r="G276" s="667"/>
      <c r="H276" s="667"/>
      <c r="I276" s="667"/>
      <c r="J276" s="667"/>
      <c r="K276" s="667"/>
      <c r="L276" s="667"/>
      <c r="M276" s="667"/>
      <c r="N276" s="667"/>
      <c r="O276" s="667"/>
      <c r="P276" s="667"/>
      <c r="Q276" s="667"/>
    </row>
    <row r="277" ht="15.75" customHeight="1">
      <c r="B277" s="667"/>
      <c r="C277" s="667"/>
      <c r="D277" s="667"/>
      <c r="E277" s="667"/>
      <c r="F277" s="667"/>
      <c r="G277" s="667"/>
      <c r="H277" s="667"/>
      <c r="I277" s="667"/>
      <c r="J277" s="667"/>
      <c r="K277" s="667"/>
      <c r="L277" s="667"/>
      <c r="M277" s="667"/>
      <c r="N277" s="667"/>
      <c r="O277" s="667"/>
      <c r="P277" s="667"/>
      <c r="Q277" s="667"/>
    </row>
    <row r="278" ht="15.75" customHeight="1">
      <c r="B278" s="667"/>
      <c r="C278" s="667"/>
      <c r="D278" s="667"/>
      <c r="E278" s="667"/>
      <c r="F278" s="667"/>
      <c r="G278" s="667"/>
      <c r="H278" s="667"/>
      <c r="I278" s="667"/>
      <c r="J278" s="667"/>
      <c r="K278" s="667"/>
      <c r="L278" s="667"/>
      <c r="M278" s="667"/>
      <c r="N278" s="667"/>
      <c r="O278" s="667"/>
      <c r="P278" s="667"/>
      <c r="Q278" s="667"/>
    </row>
    <row r="279" ht="15.75" customHeight="1">
      <c r="B279" s="667"/>
      <c r="C279" s="667"/>
      <c r="D279" s="667"/>
      <c r="E279" s="667"/>
      <c r="F279" s="667"/>
      <c r="G279" s="667"/>
      <c r="H279" s="667"/>
      <c r="I279" s="667"/>
      <c r="J279" s="667"/>
      <c r="K279" s="667"/>
      <c r="L279" s="667"/>
      <c r="M279" s="667"/>
      <c r="N279" s="667"/>
      <c r="O279" s="667"/>
      <c r="P279" s="667"/>
      <c r="Q279" s="667"/>
    </row>
    <row r="280" ht="15.75" customHeight="1">
      <c r="B280" s="667"/>
      <c r="C280" s="667"/>
      <c r="D280" s="667"/>
      <c r="E280" s="667"/>
      <c r="F280" s="667"/>
      <c r="G280" s="667"/>
      <c r="H280" s="667"/>
      <c r="I280" s="667"/>
      <c r="J280" s="667"/>
      <c r="K280" s="667"/>
      <c r="L280" s="667"/>
      <c r="M280" s="667"/>
      <c r="N280" s="667"/>
      <c r="O280" s="667"/>
      <c r="P280" s="667"/>
      <c r="Q280" s="667"/>
    </row>
    <row r="281" ht="15.75" customHeight="1">
      <c r="B281" s="667"/>
      <c r="C281" s="667"/>
      <c r="D281" s="667"/>
      <c r="E281" s="667"/>
      <c r="F281" s="667"/>
      <c r="G281" s="667"/>
      <c r="H281" s="667"/>
      <c r="I281" s="667"/>
      <c r="J281" s="667"/>
      <c r="K281" s="667"/>
      <c r="L281" s="667"/>
      <c r="M281" s="667"/>
      <c r="N281" s="667"/>
      <c r="O281" s="667"/>
      <c r="P281" s="667"/>
      <c r="Q281" s="667"/>
    </row>
    <row r="282" ht="15.75" customHeight="1">
      <c r="B282" s="667"/>
      <c r="C282" s="667"/>
      <c r="D282" s="667"/>
      <c r="E282" s="667"/>
      <c r="F282" s="667"/>
      <c r="G282" s="667"/>
      <c r="H282" s="667"/>
      <c r="I282" s="667"/>
      <c r="J282" s="667"/>
      <c r="K282" s="667"/>
      <c r="L282" s="667"/>
      <c r="M282" s="667"/>
      <c r="N282" s="667"/>
      <c r="O282" s="667"/>
      <c r="P282" s="667"/>
      <c r="Q282" s="667"/>
    </row>
    <row r="283" ht="15.75" customHeight="1">
      <c r="B283" s="667"/>
      <c r="C283" s="667"/>
      <c r="D283" s="667"/>
      <c r="E283" s="667"/>
      <c r="F283" s="667"/>
      <c r="G283" s="667"/>
      <c r="H283" s="667"/>
      <c r="I283" s="667"/>
      <c r="J283" s="667"/>
      <c r="K283" s="667"/>
      <c r="L283" s="667"/>
      <c r="M283" s="667"/>
      <c r="N283" s="667"/>
      <c r="O283" s="667"/>
      <c r="P283" s="667"/>
      <c r="Q283" s="667"/>
    </row>
    <row r="284" ht="15.75" customHeight="1">
      <c r="B284" s="667"/>
      <c r="C284" s="667"/>
      <c r="D284" s="667"/>
      <c r="E284" s="667"/>
      <c r="F284" s="667"/>
      <c r="G284" s="667"/>
      <c r="H284" s="667"/>
      <c r="I284" s="667"/>
      <c r="J284" s="667"/>
      <c r="K284" s="667"/>
      <c r="L284" s="667"/>
      <c r="M284" s="667"/>
      <c r="N284" s="667"/>
      <c r="O284" s="667"/>
      <c r="P284" s="667"/>
      <c r="Q284" s="667"/>
    </row>
    <row r="285" ht="15.75" customHeight="1">
      <c r="B285" s="667"/>
      <c r="C285" s="667"/>
      <c r="D285" s="667"/>
      <c r="E285" s="667"/>
      <c r="F285" s="667"/>
      <c r="G285" s="667"/>
      <c r="H285" s="667"/>
      <c r="I285" s="667"/>
      <c r="J285" s="667"/>
      <c r="K285" s="667"/>
      <c r="L285" s="667"/>
      <c r="M285" s="667"/>
      <c r="N285" s="667"/>
      <c r="O285" s="667"/>
      <c r="P285" s="667"/>
      <c r="Q285" s="667"/>
    </row>
    <row r="286" ht="15.75" customHeight="1">
      <c r="B286" s="667"/>
      <c r="C286" s="667"/>
      <c r="D286" s="667"/>
      <c r="E286" s="667"/>
      <c r="F286" s="667"/>
      <c r="G286" s="667"/>
      <c r="H286" s="667"/>
      <c r="I286" s="667"/>
      <c r="J286" s="667"/>
      <c r="K286" s="667"/>
      <c r="L286" s="667"/>
      <c r="M286" s="667"/>
      <c r="N286" s="667"/>
      <c r="O286" s="667"/>
      <c r="P286" s="667"/>
      <c r="Q286" s="667"/>
    </row>
    <row r="287" ht="15.75" customHeight="1">
      <c r="B287" s="667"/>
      <c r="C287" s="667"/>
      <c r="D287" s="667"/>
      <c r="E287" s="667"/>
      <c r="F287" s="667"/>
      <c r="G287" s="667"/>
      <c r="H287" s="667"/>
      <c r="I287" s="667"/>
      <c r="J287" s="667"/>
      <c r="K287" s="667"/>
      <c r="L287" s="667"/>
      <c r="M287" s="667"/>
      <c r="N287" s="667"/>
      <c r="O287" s="667"/>
      <c r="P287" s="667"/>
      <c r="Q287" s="667"/>
    </row>
    <row r="288" ht="15.75" customHeight="1">
      <c r="B288" s="667"/>
      <c r="C288" s="667"/>
      <c r="D288" s="667"/>
      <c r="E288" s="667"/>
      <c r="F288" s="667"/>
      <c r="G288" s="667"/>
      <c r="H288" s="667"/>
      <c r="I288" s="667"/>
      <c r="J288" s="667"/>
      <c r="K288" s="667"/>
      <c r="L288" s="667"/>
      <c r="M288" s="667"/>
      <c r="N288" s="667"/>
      <c r="O288" s="667"/>
      <c r="P288" s="667"/>
      <c r="Q288" s="667"/>
    </row>
    <row r="289" ht="15.75" customHeight="1">
      <c r="B289" s="667"/>
      <c r="C289" s="667"/>
      <c r="D289" s="667"/>
      <c r="E289" s="667"/>
      <c r="F289" s="667"/>
      <c r="G289" s="667"/>
      <c r="H289" s="667"/>
      <c r="I289" s="667"/>
      <c r="J289" s="667"/>
      <c r="K289" s="667"/>
      <c r="L289" s="667"/>
      <c r="M289" s="667"/>
      <c r="N289" s="667"/>
      <c r="O289" s="667"/>
      <c r="P289" s="667"/>
      <c r="Q289" s="667"/>
    </row>
    <row r="290" ht="15.75" customHeight="1">
      <c r="B290" s="667"/>
      <c r="C290" s="667"/>
      <c r="D290" s="667"/>
      <c r="E290" s="667"/>
      <c r="F290" s="667"/>
      <c r="G290" s="667"/>
      <c r="H290" s="667"/>
      <c r="I290" s="667"/>
      <c r="J290" s="667"/>
      <c r="K290" s="667"/>
      <c r="L290" s="667"/>
      <c r="M290" s="667"/>
      <c r="N290" s="667"/>
      <c r="O290" s="667"/>
      <c r="P290" s="667"/>
      <c r="Q290" s="667"/>
    </row>
    <row r="291" ht="15.75" customHeight="1">
      <c r="B291" s="667"/>
      <c r="C291" s="667"/>
      <c r="D291" s="667"/>
      <c r="E291" s="667"/>
      <c r="F291" s="667"/>
      <c r="G291" s="667"/>
      <c r="H291" s="667"/>
      <c r="I291" s="667"/>
      <c r="J291" s="667"/>
      <c r="K291" s="667"/>
      <c r="L291" s="667"/>
      <c r="M291" s="667"/>
      <c r="N291" s="667"/>
      <c r="O291" s="667"/>
      <c r="P291" s="667"/>
      <c r="Q291" s="667"/>
    </row>
    <row r="292" ht="15.75" customHeight="1">
      <c r="B292" s="667"/>
      <c r="C292" s="667"/>
      <c r="D292" s="667"/>
      <c r="E292" s="667"/>
      <c r="F292" s="667"/>
      <c r="G292" s="667"/>
      <c r="H292" s="667"/>
      <c r="I292" s="667"/>
      <c r="J292" s="667"/>
      <c r="K292" s="667"/>
      <c r="L292" s="667"/>
      <c r="M292" s="667"/>
      <c r="N292" s="667"/>
      <c r="O292" s="667"/>
      <c r="P292" s="667"/>
      <c r="Q292" s="667"/>
    </row>
    <row r="293" ht="15.75" customHeight="1">
      <c r="B293" s="667"/>
      <c r="C293" s="667"/>
      <c r="D293" s="667"/>
      <c r="E293" s="667"/>
      <c r="F293" s="667"/>
      <c r="G293" s="667"/>
      <c r="H293" s="667"/>
      <c r="I293" s="667"/>
      <c r="J293" s="667"/>
      <c r="K293" s="667"/>
      <c r="L293" s="667"/>
      <c r="M293" s="667"/>
      <c r="N293" s="667"/>
      <c r="O293" s="667"/>
      <c r="P293" s="667"/>
      <c r="Q293" s="667"/>
    </row>
    <row r="294" ht="15.75" customHeight="1">
      <c r="B294" s="667"/>
      <c r="C294" s="667"/>
      <c r="D294" s="667"/>
      <c r="E294" s="667"/>
      <c r="F294" s="667"/>
      <c r="G294" s="667"/>
      <c r="H294" s="667"/>
      <c r="I294" s="667"/>
      <c r="J294" s="667"/>
      <c r="K294" s="667"/>
      <c r="L294" s="667"/>
      <c r="M294" s="667"/>
      <c r="N294" s="667"/>
      <c r="O294" s="667"/>
      <c r="P294" s="667"/>
      <c r="Q294" s="667"/>
    </row>
    <row r="295" ht="15.75" customHeight="1">
      <c r="B295" s="667"/>
      <c r="C295" s="667"/>
      <c r="D295" s="667"/>
      <c r="E295" s="667"/>
      <c r="F295" s="667"/>
      <c r="G295" s="667"/>
      <c r="H295" s="667"/>
      <c r="I295" s="667"/>
      <c r="J295" s="667"/>
      <c r="K295" s="667"/>
      <c r="L295" s="667"/>
      <c r="M295" s="667"/>
      <c r="N295" s="667"/>
      <c r="O295" s="667"/>
      <c r="P295" s="667"/>
      <c r="Q295" s="667"/>
    </row>
    <row r="296" ht="15.75" customHeight="1">
      <c r="B296" s="667"/>
      <c r="C296" s="667"/>
      <c r="D296" s="667"/>
      <c r="E296" s="667"/>
      <c r="F296" s="667"/>
      <c r="G296" s="667"/>
      <c r="H296" s="667"/>
      <c r="I296" s="667"/>
      <c r="J296" s="667"/>
      <c r="K296" s="667"/>
      <c r="L296" s="667"/>
      <c r="M296" s="667"/>
      <c r="N296" s="667"/>
      <c r="O296" s="667"/>
      <c r="P296" s="667"/>
      <c r="Q296" s="667"/>
    </row>
    <row r="297" ht="15.75" customHeight="1">
      <c r="B297" s="667"/>
      <c r="C297" s="667"/>
      <c r="D297" s="667"/>
      <c r="E297" s="667"/>
      <c r="F297" s="667"/>
      <c r="G297" s="667"/>
      <c r="H297" s="667"/>
      <c r="I297" s="667"/>
      <c r="J297" s="667"/>
      <c r="K297" s="667"/>
      <c r="L297" s="667"/>
      <c r="M297" s="667"/>
      <c r="N297" s="667"/>
      <c r="O297" s="667"/>
      <c r="P297" s="667"/>
      <c r="Q297" s="667"/>
    </row>
    <row r="298" ht="15.75" customHeight="1">
      <c r="B298" s="667"/>
      <c r="C298" s="667"/>
      <c r="D298" s="667"/>
      <c r="E298" s="667"/>
      <c r="F298" s="667"/>
      <c r="G298" s="667"/>
      <c r="H298" s="667"/>
      <c r="I298" s="667"/>
      <c r="J298" s="667"/>
      <c r="K298" s="667"/>
      <c r="L298" s="667"/>
      <c r="M298" s="667"/>
      <c r="N298" s="667"/>
      <c r="O298" s="667"/>
      <c r="P298" s="667"/>
      <c r="Q298" s="667"/>
    </row>
    <row r="299" ht="15.75" customHeight="1">
      <c r="B299" s="667"/>
      <c r="C299" s="667"/>
      <c r="D299" s="667"/>
      <c r="E299" s="667"/>
      <c r="F299" s="667"/>
      <c r="G299" s="667"/>
      <c r="H299" s="667"/>
      <c r="I299" s="667"/>
      <c r="J299" s="667"/>
      <c r="K299" s="667"/>
      <c r="L299" s="667"/>
      <c r="M299" s="667"/>
      <c r="N299" s="667"/>
      <c r="O299" s="667"/>
      <c r="P299" s="667"/>
      <c r="Q299" s="667"/>
    </row>
    <row r="300" ht="15.75" customHeight="1">
      <c r="B300" s="667"/>
      <c r="C300" s="667"/>
      <c r="D300" s="667"/>
      <c r="E300" s="667"/>
      <c r="F300" s="667"/>
      <c r="G300" s="667"/>
      <c r="H300" s="667"/>
      <c r="I300" s="667"/>
      <c r="J300" s="667"/>
      <c r="K300" s="667"/>
      <c r="L300" s="667"/>
      <c r="M300" s="667"/>
      <c r="N300" s="667"/>
      <c r="O300" s="667"/>
      <c r="P300" s="667"/>
      <c r="Q300" s="667"/>
    </row>
    <row r="301" ht="15.75" customHeight="1">
      <c r="B301" s="667"/>
      <c r="C301" s="667"/>
      <c r="D301" s="667"/>
      <c r="E301" s="667"/>
      <c r="F301" s="667"/>
      <c r="G301" s="667"/>
      <c r="H301" s="667"/>
      <c r="I301" s="667"/>
      <c r="J301" s="667"/>
      <c r="K301" s="667"/>
      <c r="L301" s="667"/>
      <c r="M301" s="667"/>
      <c r="N301" s="667"/>
      <c r="O301" s="667"/>
      <c r="P301" s="667"/>
      <c r="Q301" s="667"/>
    </row>
    <row r="302" ht="15.75" customHeight="1">
      <c r="B302" s="667"/>
      <c r="C302" s="667"/>
      <c r="D302" s="667"/>
      <c r="E302" s="667"/>
      <c r="F302" s="667"/>
      <c r="G302" s="667"/>
      <c r="H302" s="667"/>
      <c r="I302" s="667"/>
      <c r="J302" s="667"/>
      <c r="K302" s="667"/>
      <c r="L302" s="667"/>
      <c r="M302" s="667"/>
      <c r="N302" s="667"/>
      <c r="O302" s="667"/>
      <c r="P302" s="667"/>
      <c r="Q302" s="667"/>
    </row>
    <row r="303" ht="15.75" customHeight="1">
      <c r="B303" s="667"/>
      <c r="C303" s="667"/>
      <c r="D303" s="667"/>
      <c r="E303" s="667"/>
      <c r="F303" s="667"/>
      <c r="G303" s="667"/>
      <c r="H303" s="667"/>
      <c r="I303" s="667"/>
      <c r="J303" s="667"/>
      <c r="K303" s="667"/>
      <c r="L303" s="667"/>
      <c r="M303" s="667"/>
      <c r="N303" s="667"/>
      <c r="O303" s="667"/>
      <c r="P303" s="667"/>
      <c r="Q303" s="667"/>
    </row>
    <row r="304" ht="15.75" customHeight="1">
      <c r="B304" s="667"/>
      <c r="C304" s="667"/>
      <c r="D304" s="667"/>
      <c r="E304" s="667"/>
      <c r="F304" s="667"/>
      <c r="G304" s="667"/>
      <c r="H304" s="667"/>
      <c r="I304" s="667"/>
      <c r="J304" s="667"/>
      <c r="K304" s="667"/>
      <c r="L304" s="667"/>
      <c r="M304" s="667"/>
      <c r="N304" s="667"/>
      <c r="O304" s="667"/>
      <c r="P304" s="667"/>
      <c r="Q304" s="667"/>
    </row>
    <row r="305" ht="15.75" customHeight="1">
      <c r="B305" s="667"/>
      <c r="C305" s="667"/>
      <c r="D305" s="667"/>
      <c r="E305" s="667"/>
      <c r="F305" s="667"/>
      <c r="G305" s="667"/>
      <c r="H305" s="667"/>
      <c r="I305" s="667"/>
      <c r="J305" s="667"/>
      <c r="K305" s="667"/>
      <c r="L305" s="667"/>
      <c r="M305" s="667"/>
      <c r="N305" s="667"/>
      <c r="O305" s="667"/>
      <c r="P305" s="667"/>
      <c r="Q305" s="667"/>
    </row>
    <row r="306" ht="15.75" customHeight="1">
      <c r="B306" s="667"/>
      <c r="C306" s="667"/>
      <c r="D306" s="667"/>
      <c r="E306" s="667"/>
      <c r="F306" s="667"/>
      <c r="G306" s="667"/>
      <c r="H306" s="667"/>
      <c r="I306" s="667"/>
      <c r="J306" s="667"/>
      <c r="K306" s="667"/>
      <c r="L306" s="667"/>
      <c r="M306" s="667"/>
      <c r="N306" s="667"/>
      <c r="O306" s="667"/>
      <c r="P306" s="667"/>
      <c r="Q306" s="667"/>
    </row>
    <row r="307" ht="15.75" customHeight="1">
      <c r="B307" s="667"/>
      <c r="C307" s="667"/>
      <c r="D307" s="667"/>
      <c r="E307" s="667"/>
      <c r="F307" s="667"/>
      <c r="G307" s="667"/>
      <c r="H307" s="667"/>
      <c r="I307" s="667"/>
      <c r="J307" s="667"/>
      <c r="K307" s="667"/>
      <c r="L307" s="667"/>
      <c r="M307" s="667"/>
      <c r="N307" s="667"/>
      <c r="O307" s="667"/>
      <c r="P307" s="667"/>
      <c r="Q307" s="667"/>
    </row>
    <row r="308" ht="15.75" customHeight="1">
      <c r="B308" s="667"/>
      <c r="C308" s="667"/>
      <c r="D308" s="667"/>
      <c r="E308" s="667"/>
      <c r="F308" s="667"/>
      <c r="G308" s="667"/>
      <c r="H308" s="667"/>
      <c r="I308" s="667"/>
      <c r="J308" s="667"/>
      <c r="K308" s="667"/>
      <c r="L308" s="667"/>
      <c r="M308" s="667"/>
      <c r="N308" s="667"/>
      <c r="O308" s="667"/>
      <c r="P308" s="667"/>
      <c r="Q308" s="667"/>
    </row>
    <row r="309" ht="15.75" customHeight="1">
      <c r="B309" s="667"/>
      <c r="C309" s="667"/>
      <c r="D309" s="667"/>
      <c r="E309" s="667"/>
      <c r="F309" s="667"/>
      <c r="G309" s="667"/>
      <c r="H309" s="667"/>
      <c r="I309" s="667"/>
      <c r="J309" s="667"/>
      <c r="K309" s="667"/>
      <c r="L309" s="667"/>
      <c r="M309" s="667"/>
      <c r="N309" s="667"/>
      <c r="O309" s="667"/>
      <c r="P309" s="667"/>
      <c r="Q309" s="667"/>
    </row>
    <row r="310" ht="15.75" customHeight="1">
      <c r="B310" s="667"/>
      <c r="C310" s="667"/>
      <c r="D310" s="667"/>
      <c r="E310" s="667"/>
      <c r="F310" s="667"/>
      <c r="G310" s="667"/>
      <c r="H310" s="667"/>
      <c r="I310" s="667"/>
      <c r="J310" s="667"/>
      <c r="K310" s="667"/>
      <c r="L310" s="667"/>
      <c r="M310" s="667"/>
      <c r="N310" s="667"/>
      <c r="O310" s="667"/>
      <c r="P310" s="667"/>
      <c r="Q310" s="667"/>
    </row>
    <row r="311" ht="15.75" customHeight="1">
      <c r="B311" s="667"/>
      <c r="C311" s="667"/>
      <c r="D311" s="667"/>
      <c r="E311" s="667"/>
      <c r="F311" s="667"/>
      <c r="G311" s="667"/>
      <c r="H311" s="667"/>
      <c r="I311" s="667"/>
      <c r="J311" s="667"/>
      <c r="K311" s="667"/>
      <c r="L311" s="667"/>
      <c r="M311" s="667"/>
      <c r="N311" s="667"/>
      <c r="O311" s="667"/>
      <c r="P311" s="667"/>
      <c r="Q311" s="667"/>
    </row>
    <row r="312" ht="15.75" customHeight="1">
      <c r="B312" s="667"/>
      <c r="C312" s="667"/>
      <c r="D312" s="667"/>
      <c r="E312" s="667"/>
      <c r="F312" s="667"/>
      <c r="G312" s="667"/>
      <c r="H312" s="667"/>
      <c r="I312" s="667"/>
      <c r="J312" s="667"/>
      <c r="K312" s="667"/>
      <c r="L312" s="667"/>
      <c r="M312" s="667"/>
      <c r="N312" s="667"/>
      <c r="O312" s="667"/>
      <c r="P312" s="667"/>
      <c r="Q312" s="667"/>
    </row>
    <row r="313" ht="15.75" customHeight="1">
      <c r="B313" s="667"/>
      <c r="C313" s="667"/>
      <c r="D313" s="667"/>
      <c r="E313" s="667"/>
      <c r="F313" s="667"/>
      <c r="G313" s="667"/>
      <c r="H313" s="667"/>
      <c r="I313" s="667"/>
      <c r="J313" s="667"/>
      <c r="K313" s="667"/>
      <c r="L313" s="667"/>
      <c r="M313" s="667"/>
      <c r="N313" s="667"/>
      <c r="O313" s="667"/>
      <c r="P313" s="667"/>
      <c r="Q313" s="667"/>
    </row>
    <row r="314" ht="15.75" customHeight="1">
      <c r="B314" s="667"/>
      <c r="C314" s="667"/>
      <c r="D314" s="667"/>
      <c r="E314" s="667"/>
      <c r="F314" s="667"/>
      <c r="G314" s="667"/>
      <c r="H314" s="667"/>
      <c r="I314" s="667"/>
      <c r="J314" s="667"/>
      <c r="K314" s="667"/>
      <c r="L314" s="667"/>
      <c r="M314" s="667"/>
      <c r="N314" s="667"/>
      <c r="O314" s="667"/>
      <c r="P314" s="667"/>
      <c r="Q314" s="667"/>
    </row>
    <row r="315" ht="15.75" customHeight="1">
      <c r="B315" s="667"/>
      <c r="C315" s="667"/>
      <c r="D315" s="667"/>
      <c r="E315" s="667"/>
      <c r="F315" s="667"/>
      <c r="G315" s="667"/>
      <c r="H315" s="667"/>
      <c r="I315" s="667"/>
      <c r="J315" s="667"/>
      <c r="K315" s="667"/>
      <c r="L315" s="667"/>
      <c r="M315" s="667"/>
      <c r="N315" s="667"/>
      <c r="O315" s="667"/>
      <c r="P315" s="667"/>
      <c r="Q315" s="667"/>
    </row>
    <row r="316" ht="15.75" customHeight="1">
      <c r="B316" s="667"/>
      <c r="C316" s="667"/>
      <c r="D316" s="667"/>
      <c r="E316" s="667"/>
      <c r="F316" s="667"/>
      <c r="G316" s="667"/>
      <c r="H316" s="667"/>
      <c r="I316" s="667"/>
      <c r="J316" s="667"/>
      <c r="K316" s="667"/>
      <c r="L316" s="667"/>
      <c r="M316" s="667"/>
      <c r="N316" s="667"/>
      <c r="O316" s="667"/>
      <c r="P316" s="667"/>
      <c r="Q316" s="667"/>
    </row>
    <row r="317" ht="15.75" customHeight="1">
      <c r="B317" s="667"/>
      <c r="C317" s="667"/>
      <c r="D317" s="667"/>
      <c r="E317" s="667"/>
      <c r="F317" s="667"/>
      <c r="G317" s="667"/>
      <c r="H317" s="667"/>
      <c r="I317" s="667"/>
      <c r="J317" s="667"/>
      <c r="K317" s="667"/>
      <c r="L317" s="667"/>
      <c r="M317" s="667"/>
      <c r="N317" s="667"/>
      <c r="O317" s="667"/>
      <c r="P317" s="667"/>
      <c r="Q317" s="667"/>
    </row>
    <row r="318" ht="15.75" customHeight="1">
      <c r="B318" s="667"/>
      <c r="C318" s="667"/>
      <c r="D318" s="667"/>
      <c r="E318" s="667"/>
      <c r="F318" s="667"/>
      <c r="G318" s="667"/>
      <c r="H318" s="667"/>
      <c r="I318" s="667"/>
      <c r="J318" s="667"/>
      <c r="K318" s="667"/>
      <c r="L318" s="667"/>
      <c r="M318" s="667"/>
      <c r="N318" s="667"/>
      <c r="O318" s="667"/>
      <c r="P318" s="667"/>
      <c r="Q318" s="667"/>
    </row>
    <row r="319" ht="15.75" customHeight="1">
      <c r="B319" s="667"/>
      <c r="C319" s="667"/>
      <c r="D319" s="667"/>
      <c r="E319" s="667"/>
      <c r="F319" s="667"/>
      <c r="G319" s="667"/>
      <c r="H319" s="667"/>
      <c r="I319" s="667"/>
      <c r="J319" s="667"/>
      <c r="K319" s="667"/>
      <c r="L319" s="667"/>
      <c r="M319" s="667"/>
      <c r="N319" s="667"/>
      <c r="O319" s="667"/>
      <c r="P319" s="667"/>
      <c r="Q319" s="667"/>
    </row>
    <row r="320" ht="15.75" customHeight="1">
      <c r="B320" s="667"/>
      <c r="C320" s="667"/>
      <c r="D320" s="667"/>
      <c r="E320" s="667"/>
      <c r="F320" s="667"/>
      <c r="G320" s="667"/>
      <c r="H320" s="667"/>
      <c r="I320" s="667"/>
      <c r="J320" s="667"/>
      <c r="K320" s="667"/>
      <c r="L320" s="667"/>
      <c r="M320" s="667"/>
      <c r="N320" s="667"/>
      <c r="O320" s="667"/>
      <c r="P320" s="667"/>
      <c r="Q320" s="667"/>
    </row>
    <row r="321" ht="15.75" customHeight="1">
      <c r="B321" s="667"/>
      <c r="C321" s="667"/>
      <c r="D321" s="667"/>
      <c r="E321" s="667"/>
      <c r="F321" s="667"/>
      <c r="G321" s="667"/>
      <c r="H321" s="667"/>
      <c r="I321" s="667"/>
      <c r="J321" s="667"/>
      <c r="K321" s="667"/>
      <c r="L321" s="667"/>
      <c r="M321" s="667"/>
      <c r="N321" s="667"/>
      <c r="O321" s="667"/>
      <c r="P321" s="667"/>
      <c r="Q321" s="667"/>
    </row>
    <row r="322" ht="15.75" customHeight="1">
      <c r="B322" s="667"/>
      <c r="C322" s="667"/>
      <c r="D322" s="667"/>
      <c r="E322" s="667"/>
      <c r="F322" s="667"/>
      <c r="G322" s="667"/>
      <c r="H322" s="667"/>
      <c r="I322" s="667"/>
      <c r="J322" s="667"/>
      <c r="K322" s="667"/>
      <c r="L322" s="667"/>
      <c r="M322" s="667"/>
      <c r="N322" s="667"/>
      <c r="O322" s="667"/>
      <c r="P322" s="667"/>
      <c r="Q322" s="667"/>
    </row>
    <row r="323" ht="15.75" customHeight="1">
      <c r="B323" s="667"/>
      <c r="C323" s="667"/>
      <c r="D323" s="667"/>
      <c r="E323" s="667"/>
      <c r="F323" s="667"/>
      <c r="G323" s="667"/>
      <c r="H323" s="667"/>
      <c r="I323" s="667"/>
      <c r="J323" s="667"/>
      <c r="K323" s="667"/>
      <c r="L323" s="667"/>
      <c r="M323" s="667"/>
      <c r="N323" s="667"/>
      <c r="O323" s="667"/>
      <c r="P323" s="667"/>
      <c r="Q323" s="667"/>
    </row>
    <row r="324" ht="15.75" customHeight="1">
      <c r="B324" s="667"/>
      <c r="C324" s="667"/>
      <c r="D324" s="667"/>
      <c r="E324" s="667"/>
      <c r="F324" s="667"/>
      <c r="G324" s="667"/>
      <c r="H324" s="667"/>
      <c r="I324" s="667"/>
      <c r="J324" s="667"/>
      <c r="K324" s="667"/>
      <c r="L324" s="667"/>
      <c r="M324" s="667"/>
      <c r="N324" s="667"/>
      <c r="O324" s="667"/>
      <c r="P324" s="667"/>
      <c r="Q324" s="667"/>
    </row>
    <row r="325" ht="15.75" customHeight="1">
      <c r="B325" s="667"/>
      <c r="C325" s="667"/>
      <c r="D325" s="667"/>
      <c r="E325" s="667"/>
      <c r="F325" s="667"/>
      <c r="G325" s="667"/>
      <c r="H325" s="667"/>
      <c r="I325" s="667"/>
      <c r="J325" s="667"/>
      <c r="K325" s="667"/>
      <c r="L325" s="667"/>
      <c r="M325" s="667"/>
      <c r="N325" s="667"/>
      <c r="O325" s="667"/>
      <c r="P325" s="667"/>
      <c r="Q325" s="667"/>
    </row>
    <row r="326" ht="15.75" customHeight="1">
      <c r="B326" s="667"/>
      <c r="C326" s="667"/>
      <c r="D326" s="667"/>
      <c r="E326" s="667"/>
      <c r="F326" s="667"/>
      <c r="G326" s="667"/>
      <c r="H326" s="667"/>
      <c r="I326" s="667"/>
      <c r="J326" s="667"/>
      <c r="K326" s="667"/>
      <c r="L326" s="667"/>
      <c r="M326" s="667"/>
      <c r="N326" s="667"/>
      <c r="O326" s="667"/>
      <c r="P326" s="667"/>
      <c r="Q326" s="667"/>
    </row>
    <row r="327" ht="15.75" customHeight="1">
      <c r="B327" s="667"/>
      <c r="C327" s="667"/>
      <c r="D327" s="667"/>
      <c r="E327" s="667"/>
      <c r="F327" s="667"/>
      <c r="G327" s="667"/>
      <c r="H327" s="667"/>
      <c r="I327" s="667"/>
      <c r="J327" s="667"/>
      <c r="K327" s="667"/>
      <c r="L327" s="667"/>
      <c r="M327" s="667"/>
      <c r="N327" s="667"/>
      <c r="O327" s="667"/>
      <c r="P327" s="667"/>
      <c r="Q327" s="667"/>
    </row>
    <row r="328" ht="15.75" customHeight="1">
      <c r="B328" s="667"/>
      <c r="C328" s="667"/>
      <c r="D328" s="667"/>
      <c r="E328" s="667"/>
      <c r="F328" s="667"/>
      <c r="G328" s="667"/>
      <c r="H328" s="667"/>
      <c r="I328" s="667"/>
      <c r="J328" s="667"/>
      <c r="K328" s="667"/>
      <c r="L328" s="667"/>
      <c r="M328" s="667"/>
      <c r="N328" s="667"/>
      <c r="O328" s="667"/>
      <c r="P328" s="667"/>
      <c r="Q328" s="667"/>
    </row>
    <row r="329" ht="15.75" customHeight="1">
      <c r="B329" s="667"/>
      <c r="C329" s="667"/>
      <c r="D329" s="667"/>
      <c r="E329" s="667"/>
      <c r="F329" s="667"/>
      <c r="G329" s="667"/>
      <c r="H329" s="667"/>
      <c r="I329" s="667"/>
      <c r="J329" s="667"/>
      <c r="K329" s="667"/>
      <c r="L329" s="667"/>
      <c r="M329" s="667"/>
      <c r="N329" s="667"/>
      <c r="O329" s="667"/>
      <c r="P329" s="667"/>
      <c r="Q329" s="667"/>
    </row>
    <row r="330" ht="15.75" customHeight="1">
      <c r="B330" s="667"/>
      <c r="C330" s="667"/>
      <c r="D330" s="667"/>
      <c r="E330" s="667"/>
      <c r="F330" s="667"/>
      <c r="G330" s="667"/>
      <c r="H330" s="667"/>
      <c r="I330" s="667"/>
      <c r="J330" s="667"/>
      <c r="K330" s="667"/>
      <c r="L330" s="667"/>
      <c r="M330" s="667"/>
      <c r="N330" s="667"/>
      <c r="O330" s="667"/>
      <c r="P330" s="667"/>
      <c r="Q330" s="667"/>
    </row>
    <row r="331" ht="15.75" customHeight="1">
      <c r="B331" s="667"/>
      <c r="C331" s="667"/>
      <c r="D331" s="667"/>
      <c r="E331" s="667"/>
      <c r="F331" s="667"/>
      <c r="G331" s="667"/>
      <c r="H331" s="667"/>
      <c r="I331" s="667"/>
      <c r="J331" s="667"/>
      <c r="K331" s="667"/>
      <c r="L331" s="667"/>
      <c r="M331" s="667"/>
      <c r="N331" s="667"/>
      <c r="O331" s="667"/>
      <c r="P331" s="667"/>
      <c r="Q331" s="667"/>
    </row>
    <row r="332" ht="15.75" customHeight="1">
      <c r="B332" s="667"/>
      <c r="C332" s="667"/>
      <c r="D332" s="667"/>
      <c r="E332" s="667"/>
      <c r="F332" s="667"/>
      <c r="G332" s="667"/>
      <c r="H332" s="667"/>
      <c r="I332" s="667"/>
      <c r="J332" s="667"/>
      <c r="K332" s="667"/>
      <c r="L332" s="667"/>
      <c r="M332" s="667"/>
      <c r="N332" s="667"/>
      <c r="O332" s="667"/>
      <c r="P332" s="667"/>
      <c r="Q332" s="667"/>
    </row>
    <row r="333" ht="15.75" customHeight="1">
      <c r="B333" s="667"/>
      <c r="C333" s="667"/>
      <c r="D333" s="667"/>
      <c r="E333" s="667"/>
      <c r="F333" s="667"/>
      <c r="G333" s="667"/>
      <c r="H333" s="667"/>
      <c r="I333" s="667"/>
      <c r="J333" s="667"/>
      <c r="K333" s="667"/>
      <c r="L333" s="667"/>
      <c r="M333" s="667"/>
      <c r="N333" s="667"/>
      <c r="O333" s="667"/>
      <c r="P333" s="667"/>
      <c r="Q333" s="667"/>
    </row>
    <row r="334" ht="15.75" customHeight="1">
      <c r="B334" s="667"/>
      <c r="C334" s="667"/>
      <c r="D334" s="667"/>
      <c r="E334" s="667"/>
      <c r="F334" s="667"/>
      <c r="G334" s="667"/>
      <c r="H334" s="667"/>
      <c r="I334" s="667"/>
      <c r="J334" s="667"/>
      <c r="K334" s="667"/>
      <c r="L334" s="667"/>
      <c r="M334" s="667"/>
      <c r="N334" s="667"/>
      <c r="O334" s="667"/>
      <c r="P334" s="667"/>
      <c r="Q334" s="667"/>
    </row>
    <row r="335" ht="15.75" customHeight="1">
      <c r="B335" s="667"/>
      <c r="C335" s="667"/>
      <c r="D335" s="667"/>
      <c r="E335" s="667"/>
      <c r="F335" s="667"/>
      <c r="G335" s="667"/>
      <c r="H335" s="667"/>
      <c r="I335" s="667"/>
      <c r="J335" s="667"/>
      <c r="K335" s="667"/>
      <c r="L335" s="667"/>
      <c r="M335" s="667"/>
      <c r="N335" s="667"/>
      <c r="O335" s="667"/>
      <c r="P335" s="667"/>
      <c r="Q335" s="667"/>
    </row>
    <row r="336" ht="15.75" customHeight="1">
      <c r="B336" s="667"/>
      <c r="C336" s="667"/>
      <c r="D336" s="667"/>
      <c r="E336" s="667"/>
      <c r="F336" s="667"/>
      <c r="G336" s="667"/>
      <c r="H336" s="667"/>
      <c r="I336" s="667"/>
      <c r="J336" s="667"/>
      <c r="K336" s="667"/>
      <c r="L336" s="667"/>
      <c r="M336" s="667"/>
      <c r="N336" s="667"/>
      <c r="O336" s="667"/>
      <c r="P336" s="667"/>
      <c r="Q336" s="667"/>
    </row>
    <row r="337" ht="15.75" customHeight="1">
      <c r="B337" s="667"/>
      <c r="C337" s="667"/>
      <c r="D337" s="667"/>
      <c r="E337" s="667"/>
      <c r="F337" s="667"/>
      <c r="G337" s="667"/>
      <c r="H337" s="667"/>
      <c r="I337" s="667"/>
      <c r="J337" s="667"/>
      <c r="K337" s="667"/>
      <c r="L337" s="667"/>
      <c r="M337" s="667"/>
      <c r="N337" s="667"/>
      <c r="O337" s="667"/>
      <c r="P337" s="667"/>
      <c r="Q337" s="667"/>
    </row>
    <row r="338" ht="15.75" customHeight="1">
      <c r="B338" s="667"/>
      <c r="C338" s="667"/>
      <c r="D338" s="667"/>
      <c r="E338" s="667"/>
      <c r="F338" s="667"/>
      <c r="G338" s="667"/>
      <c r="H338" s="667"/>
      <c r="I338" s="667"/>
      <c r="J338" s="667"/>
      <c r="K338" s="667"/>
      <c r="L338" s="667"/>
      <c r="M338" s="667"/>
      <c r="N338" s="667"/>
      <c r="O338" s="667"/>
      <c r="P338" s="667"/>
      <c r="Q338" s="667"/>
    </row>
    <row r="339" ht="15.75" customHeight="1">
      <c r="B339" s="667"/>
      <c r="C339" s="667"/>
      <c r="D339" s="667"/>
      <c r="E339" s="667"/>
      <c r="F339" s="667"/>
      <c r="G339" s="667"/>
      <c r="H339" s="667"/>
      <c r="I339" s="667"/>
      <c r="J339" s="667"/>
      <c r="K339" s="667"/>
      <c r="L339" s="667"/>
      <c r="M339" s="667"/>
      <c r="N339" s="667"/>
      <c r="O339" s="667"/>
      <c r="P339" s="667"/>
      <c r="Q339" s="667"/>
    </row>
    <row r="340" ht="15.75" customHeight="1">
      <c r="B340" s="667"/>
      <c r="C340" s="667"/>
      <c r="D340" s="667"/>
      <c r="E340" s="667"/>
      <c r="F340" s="667"/>
      <c r="G340" s="667"/>
      <c r="H340" s="667"/>
      <c r="I340" s="667"/>
      <c r="J340" s="667"/>
      <c r="K340" s="667"/>
      <c r="L340" s="667"/>
      <c r="M340" s="667"/>
      <c r="N340" s="667"/>
      <c r="O340" s="667"/>
      <c r="P340" s="667"/>
      <c r="Q340" s="667"/>
    </row>
    <row r="341" ht="15.75" customHeight="1">
      <c r="B341" s="667"/>
      <c r="C341" s="667"/>
      <c r="D341" s="667"/>
      <c r="E341" s="667"/>
      <c r="F341" s="667"/>
      <c r="G341" s="667"/>
      <c r="H341" s="667"/>
      <c r="I341" s="667"/>
      <c r="J341" s="667"/>
      <c r="K341" s="667"/>
      <c r="L341" s="667"/>
      <c r="M341" s="667"/>
      <c r="N341" s="667"/>
      <c r="O341" s="667"/>
      <c r="P341" s="667"/>
      <c r="Q341" s="667"/>
    </row>
    <row r="342" ht="15.75" customHeight="1">
      <c r="B342" s="667"/>
      <c r="C342" s="667"/>
      <c r="D342" s="667"/>
      <c r="E342" s="667"/>
      <c r="F342" s="667"/>
      <c r="G342" s="667"/>
      <c r="H342" s="667"/>
      <c r="I342" s="667"/>
      <c r="J342" s="667"/>
      <c r="K342" s="667"/>
      <c r="L342" s="667"/>
      <c r="M342" s="667"/>
      <c r="N342" s="667"/>
      <c r="O342" s="667"/>
      <c r="P342" s="667"/>
      <c r="Q342" s="667"/>
    </row>
    <row r="343" ht="15.75" customHeight="1">
      <c r="B343" s="667"/>
      <c r="C343" s="667"/>
      <c r="D343" s="667"/>
      <c r="E343" s="667"/>
      <c r="F343" s="667"/>
      <c r="G343" s="667"/>
      <c r="H343" s="667"/>
      <c r="I343" s="667"/>
      <c r="J343" s="667"/>
      <c r="K343" s="667"/>
      <c r="L343" s="667"/>
      <c r="M343" s="667"/>
      <c r="N343" s="667"/>
      <c r="O343" s="667"/>
      <c r="P343" s="667"/>
      <c r="Q343" s="667"/>
    </row>
    <row r="344" ht="15.75" customHeight="1">
      <c r="B344" s="667"/>
      <c r="C344" s="667"/>
      <c r="D344" s="667"/>
      <c r="E344" s="667"/>
      <c r="F344" s="667"/>
      <c r="G344" s="667"/>
      <c r="H344" s="667"/>
      <c r="I344" s="667"/>
      <c r="J344" s="667"/>
      <c r="K344" s="667"/>
      <c r="L344" s="667"/>
      <c r="M344" s="667"/>
      <c r="N344" s="667"/>
      <c r="O344" s="667"/>
      <c r="P344" s="667"/>
      <c r="Q344" s="667"/>
    </row>
    <row r="345" ht="15.75" customHeight="1">
      <c r="B345" s="667"/>
      <c r="C345" s="667"/>
      <c r="D345" s="667"/>
      <c r="E345" s="667"/>
      <c r="F345" s="667"/>
      <c r="G345" s="667"/>
      <c r="H345" s="667"/>
      <c r="I345" s="667"/>
      <c r="J345" s="667"/>
      <c r="K345" s="667"/>
      <c r="L345" s="667"/>
      <c r="M345" s="667"/>
      <c r="N345" s="667"/>
      <c r="O345" s="667"/>
      <c r="P345" s="667"/>
      <c r="Q345" s="667"/>
    </row>
    <row r="346" ht="15.75" customHeight="1">
      <c r="B346" s="667"/>
      <c r="C346" s="667"/>
      <c r="D346" s="667"/>
      <c r="E346" s="667"/>
      <c r="F346" s="667"/>
      <c r="G346" s="667"/>
      <c r="H346" s="667"/>
      <c r="I346" s="667"/>
      <c r="J346" s="667"/>
      <c r="K346" s="667"/>
      <c r="L346" s="667"/>
      <c r="M346" s="667"/>
      <c r="N346" s="667"/>
      <c r="O346" s="667"/>
      <c r="P346" s="667"/>
      <c r="Q346" s="667"/>
    </row>
    <row r="347" ht="15.75" customHeight="1">
      <c r="B347" s="667"/>
      <c r="C347" s="667"/>
      <c r="D347" s="667"/>
      <c r="E347" s="667"/>
      <c r="F347" s="667"/>
      <c r="G347" s="667"/>
      <c r="H347" s="667"/>
      <c r="I347" s="667"/>
      <c r="J347" s="667"/>
      <c r="K347" s="667"/>
      <c r="L347" s="667"/>
      <c r="M347" s="667"/>
      <c r="N347" s="667"/>
      <c r="O347" s="667"/>
      <c r="P347" s="667"/>
      <c r="Q347" s="667"/>
    </row>
    <row r="348" ht="15.75" customHeight="1">
      <c r="B348" s="667"/>
      <c r="C348" s="667"/>
      <c r="D348" s="667"/>
      <c r="E348" s="667"/>
      <c r="F348" s="667"/>
      <c r="G348" s="667"/>
      <c r="H348" s="667"/>
      <c r="I348" s="667"/>
      <c r="J348" s="667"/>
      <c r="K348" s="667"/>
      <c r="L348" s="667"/>
      <c r="M348" s="667"/>
      <c r="N348" s="667"/>
      <c r="O348" s="667"/>
      <c r="P348" s="667"/>
      <c r="Q348" s="667"/>
    </row>
    <row r="349" ht="15.75" customHeight="1">
      <c r="B349" s="667"/>
      <c r="C349" s="667"/>
      <c r="D349" s="667"/>
      <c r="E349" s="667"/>
      <c r="F349" s="667"/>
      <c r="G349" s="667"/>
      <c r="H349" s="667"/>
      <c r="I349" s="667"/>
      <c r="J349" s="667"/>
      <c r="K349" s="667"/>
      <c r="L349" s="667"/>
      <c r="M349" s="667"/>
      <c r="N349" s="667"/>
      <c r="O349" s="667"/>
      <c r="P349" s="667"/>
      <c r="Q349" s="667"/>
    </row>
    <row r="350" ht="15.75" customHeight="1">
      <c r="B350" s="667"/>
      <c r="C350" s="667"/>
      <c r="D350" s="667"/>
      <c r="E350" s="667"/>
      <c r="F350" s="667"/>
      <c r="G350" s="667"/>
      <c r="H350" s="667"/>
      <c r="I350" s="667"/>
      <c r="J350" s="667"/>
      <c r="K350" s="667"/>
      <c r="L350" s="667"/>
      <c r="M350" s="667"/>
      <c r="N350" s="667"/>
      <c r="O350" s="667"/>
      <c r="P350" s="667"/>
      <c r="Q350" s="667"/>
    </row>
    <row r="351" ht="15.75" customHeight="1">
      <c r="B351" s="667"/>
      <c r="C351" s="667"/>
      <c r="D351" s="667"/>
      <c r="E351" s="667"/>
      <c r="F351" s="667"/>
      <c r="G351" s="667"/>
      <c r="H351" s="667"/>
      <c r="I351" s="667"/>
      <c r="J351" s="667"/>
      <c r="K351" s="667"/>
      <c r="L351" s="667"/>
      <c r="M351" s="667"/>
      <c r="N351" s="667"/>
      <c r="O351" s="667"/>
      <c r="P351" s="667"/>
      <c r="Q351" s="667"/>
    </row>
    <row r="352" ht="15.75" customHeight="1">
      <c r="B352" s="667"/>
      <c r="C352" s="667"/>
      <c r="D352" s="667"/>
      <c r="E352" s="667"/>
      <c r="F352" s="667"/>
      <c r="G352" s="667"/>
      <c r="H352" s="667"/>
      <c r="I352" s="667"/>
      <c r="J352" s="667"/>
      <c r="K352" s="667"/>
      <c r="L352" s="667"/>
      <c r="M352" s="667"/>
      <c r="N352" s="667"/>
      <c r="O352" s="667"/>
      <c r="P352" s="667"/>
      <c r="Q352" s="667"/>
    </row>
    <row r="353" ht="15.75" customHeight="1">
      <c r="B353" s="667"/>
      <c r="C353" s="667"/>
      <c r="D353" s="667"/>
      <c r="E353" s="667"/>
      <c r="F353" s="667"/>
      <c r="G353" s="667"/>
      <c r="H353" s="667"/>
      <c r="I353" s="667"/>
      <c r="J353" s="667"/>
      <c r="K353" s="667"/>
      <c r="L353" s="667"/>
      <c r="M353" s="667"/>
      <c r="N353" s="667"/>
      <c r="O353" s="667"/>
      <c r="P353" s="667"/>
      <c r="Q353" s="667"/>
    </row>
    <row r="354" ht="15.75" customHeight="1">
      <c r="B354" s="667"/>
      <c r="C354" s="667"/>
      <c r="D354" s="667"/>
      <c r="E354" s="667"/>
      <c r="F354" s="667"/>
      <c r="G354" s="667"/>
      <c r="H354" s="667"/>
      <c r="I354" s="667"/>
      <c r="J354" s="667"/>
      <c r="K354" s="667"/>
      <c r="L354" s="667"/>
      <c r="M354" s="667"/>
      <c r="N354" s="667"/>
      <c r="O354" s="667"/>
      <c r="P354" s="667"/>
      <c r="Q354" s="667"/>
    </row>
    <row r="355" ht="15.75" customHeight="1">
      <c r="B355" s="667"/>
      <c r="C355" s="667"/>
      <c r="D355" s="667"/>
      <c r="E355" s="667"/>
      <c r="F355" s="667"/>
      <c r="G355" s="667"/>
      <c r="H355" s="667"/>
      <c r="I355" s="667"/>
      <c r="J355" s="667"/>
      <c r="K355" s="667"/>
      <c r="L355" s="667"/>
      <c r="M355" s="667"/>
      <c r="N355" s="667"/>
      <c r="O355" s="667"/>
      <c r="P355" s="667"/>
      <c r="Q355" s="667"/>
    </row>
    <row r="356" ht="15.75" customHeight="1">
      <c r="B356" s="667"/>
      <c r="C356" s="667"/>
      <c r="D356" s="667"/>
      <c r="E356" s="667"/>
      <c r="F356" s="667"/>
      <c r="G356" s="667"/>
      <c r="H356" s="667"/>
      <c r="I356" s="667"/>
      <c r="J356" s="667"/>
      <c r="K356" s="667"/>
      <c r="L356" s="667"/>
      <c r="M356" s="667"/>
      <c r="N356" s="667"/>
      <c r="O356" s="667"/>
      <c r="P356" s="667"/>
      <c r="Q356" s="667"/>
    </row>
    <row r="357" ht="15.75" customHeight="1">
      <c r="B357" s="667"/>
      <c r="C357" s="667"/>
      <c r="D357" s="667"/>
      <c r="E357" s="667"/>
      <c r="F357" s="667"/>
      <c r="G357" s="667"/>
      <c r="H357" s="667"/>
      <c r="I357" s="667"/>
      <c r="J357" s="667"/>
      <c r="K357" s="667"/>
      <c r="L357" s="667"/>
      <c r="M357" s="667"/>
      <c r="N357" s="667"/>
      <c r="O357" s="667"/>
      <c r="P357" s="667"/>
      <c r="Q357" s="667"/>
    </row>
    <row r="358" ht="15.75" customHeight="1">
      <c r="B358" s="667"/>
      <c r="C358" s="667"/>
      <c r="D358" s="667"/>
      <c r="E358" s="667"/>
      <c r="F358" s="667"/>
      <c r="G358" s="667"/>
      <c r="H358" s="667"/>
      <c r="I358" s="667"/>
      <c r="J358" s="667"/>
      <c r="K358" s="667"/>
      <c r="L358" s="667"/>
      <c r="M358" s="667"/>
      <c r="N358" s="667"/>
      <c r="O358" s="667"/>
      <c r="P358" s="667"/>
      <c r="Q358" s="667"/>
    </row>
    <row r="359" ht="15.75" customHeight="1">
      <c r="B359" s="667"/>
      <c r="C359" s="667"/>
      <c r="D359" s="667"/>
      <c r="E359" s="667"/>
      <c r="F359" s="667"/>
      <c r="G359" s="667"/>
      <c r="H359" s="667"/>
      <c r="I359" s="667"/>
      <c r="J359" s="667"/>
      <c r="K359" s="667"/>
      <c r="L359" s="667"/>
      <c r="M359" s="667"/>
      <c r="N359" s="667"/>
      <c r="O359" s="667"/>
      <c r="P359" s="667"/>
      <c r="Q359" s="667"/>
    </row>
    <row r="360" ht="15.75" customHeight="1">
      <c r="B360" s="667"/>
      <c r="C360" s="667"/>
      <c r="D360" s="667"/>
      <c r="E360" s="667"/>
      <c r="F360" s="667"/>
      <c r="G360" s="667"/>
      <c r="H360" s="667"/>
      <c r="I360" s="667"/>
      <c r="J360" s="667"/>
      <c r="K360" s="667"/>
      <c r="L360" s="667"/>
      <c r="M360" s="667"/>
      <c r="N360" s="667"/>
      <c r="O360" s="667"/>
      <c r="P360" s="667"/>
      <c r="Q360" s="667"/>
    </row>
    <row r="361" ht="15.75" customHeight="1">
      <c r="B361" s="667"/>
      <c r="C361" s="667"/>
      <c r="D361" s="667"/>
      <c r="E361" s="667"/>
      <c r="F361" s="667"/>
      <c r="G361" s="667"/>
      <c r="H361" s="667"/>
      <c r="I361" s="667"/>
      <c r="J361" s="667"/>
      <c r="K361" s="667"/>
      <c r="L361" s="667"/>
      <c r="M361" s="667"/>
      <c r="N361" s="667"/>
      <c r="O361" s="667"/>
      <c r="P361" s="667"/>
      <c r="Q361" s="667"/>
    </row>
    <row r="362" ht="15.75" customHeight="1">
      <c r="B362" s="667"/>
      <c r="C362" s="667"/>
      <c r="D362" s="667"/>
      <c r="E362" s="667"/>
      <c r="F362" s="667"/>
      <c r="G362" s="667"/>
      <c r="H362" s="667"/>
      <c r="I362" s="667"/>
      <c r="J362" s="667"/>
      <c r="K362" s="667"/>
      <c r="L362" s="667"/>
      <c r="M362" s="667"/>
      <c r="N362" s="667"/>
      <c r="O362" s="667"/>
      <c r="P362" s="667"/>
      <c r="Q362" s="667"/>
    </row>
    <row r="363" ht="15.75" customHeight="1">
      <c r="B363" s="667"/>
      <c r="C363" s="667"/>
      <c r="D363" s="667"/>
      <c r="E363" s="667"/>
      <c r="F363" s="667"/>
      <c r="G363" s="667"/>
      <c r="H363" s="667"/>
      <c r="I363" s="667"/>
      <c r="J363" s="667"/>
      <c r="K363" s="667"/>
      <c r="L363" s="667"/>
      <c r="M363" s="667"/>
      <c r="N363" s="667"/>
      <c r="O363" s="667"/>
      <c r="P363" s="667"/>
      <c r="Q363" s="667"/>
    </row>
    <row r="364" ht="15.75" customHeight="1">
      <c r="B364" s="667"/>
      <c r="C364" s="667"/>
      <c r="D364" s="667"/>
      <c r="E364" s="667"/>
      <c r="F364" s="667"/>
      <c r="G364" s="667"/>
      <c r="H364" s="667"/>
      <c r="I364" s="667"/>
      <c r="J364" s="667"/>
      <c r="K364" s="667"/>
      <c r="L364" s="667"/>
      <c r="M364" s="667"/>
      <c r="N364" s="667"/>
      <c r="O364" s="667"/>
      <c r="P364" s="667"/>
      <c r="Q364" s="667"/>
    </row>
    <row r="365" ht="15.75" customHeight="1">
      <c r="B365" s="667"/>
      <c r="C365" s="667"/>
      <c r="D365" s="667"/>
      <c r="E365" s="667"/>
      <c r="F365" s="667"/>
      <c r="G365" s="667"/>
      <c r="H365" s="667"/>
      <c r="I365" s="667"/>
      <c r="J365" s="667"/>
      <c r="K365" s="667"/>
      <c r="L365" s="667"/>
      <c r="M365" s="667"/>
      <c r="N365" s="667"/>
      <c r="O365" s="667"/>
      <c r="P365" s="667"/>
      <c r="Q365" s="667"/>
    </row>
    <row r="366" ht="15.75" customHeight="1">
      <c r="B366" s="667"/>
      <c r="C366" s="667"/>
      <c r="D366" s="667"/>
      <c r="E366" s="667"/>
      <c r="F366" s="667"/>
      <c r="G366" s="667"/>
      <c r="H366" s="667"/>
      <c r="I366" s="667"/>
      <c r="J366" s="667"/>
      <c r="K366" s="667"/>
      <c r="L366" s="667"/>
      <c r="M366" s="667"/>
      <c r="N366" s="667"/>
      <c r="O366" s="667"/>
      <c r="P366" s="667"/>
      <c r="Q366" s="667"/>
    </row>
    <row r="367" ht="15.75" customHeight="1">
      <c r="B367" s="667"/>
      <c r="C367" s="667"/>
      <c r="D367" s="667"/>
      <c r="E367" s="667"/>
      <c r="F367" s="667"/>
      <c r="G367" s="667"/>
      <c r="H367" s="667"/>
      <c r="I367" s="667"/>
      <c r="J367" s="667"/>
      <c r="K367" s="667"/>
      <c r="L367" s="667"/>
      <c r="M367" s="667"/>
      <c r="N367" s="667"/>
      <c r="O367" s="667"/>
      <c r="P367" s="667"/>
      <c r="Q367" s="667"/>
    </row>
    <row r="368" ht="15.75" customHeight="1">
      <c r="B368" s="667"/>
      <c r="C368" s="667"/>
      <c r="D368" s="667"/>
      <c r="E368" s="667"/>
      <c r="F368" s="667"/>
      <c r="G368" s="667"/>
      <c r="H368" s="667"/>
      <c r="I368" s="667"/>
      <c r="J368" s="667"/>
      <c r="K368" s="667"/>
      <c r="L368" s="667"/>
      <c r="M368" s="667"/>
      <c r="N368" s="667"/>
      <c r="O368" s="667"/>
      <c r="P368" s="667"/>
      <c r="Q368" s="667"/>
    </row>
    <row r="369" ht="15.75" customHeight="1">
      <c r="B369" s="667"/>
      <c r="C369" s="667"/>
      <c r="D369" s="667"/>
      <c r="E369" s="667"/>
      <c r="F369" s="667"/>
      <c r="G369" s="667"/>
      <c r="H369" s="667"/>
      <c r="I369" s="667"/>
      <c r="J369" s="667"/>
      <c r="K369" s="667"/>
      <c r="L369" s="667"/>
      <c r="M369" s="667"/>
      <c r="N369" s="667"/>
      <c r="O369" s="667"/>
      <c r="P369" s="667"/>
      <c r="Q369" s="667"/>
    </row>
    <row r="370" ht="15.75" customHeight="1">
      <c r="B370" s="667"/>
      <c r="C370" s="667"/>
      <c r="D370" s="667"/>
      <c r="E370" s="667"/>
      <c r="F370" s="667"/>
      <c r="G370" s="667"/>
      <c r="H370" s="667"/>
      <c r="I370" s="667"/>
      <c r="J370" s="667"/>
      <c r="K370" s="667"/>
      <c r="L370" s="667"/>
      <c r="M370" s="667"/>
      <c r="N370" s="667"/>
      <c r="O370" s="667"/>
      <c r="P370" s="667"/>
      <c r="Q370" s="667"/>
    </row>
    <row r="371" ht="15.75" customHeight="1">
      <c r="B371" s="667"/>
      <c r="C371" s="667"/>
      <c r="D371" s="667"/>
      <c r="E371" s="667"/>
      <c r="F371" s="667"/>
      <c r="G371" s="667"/>
      <c r="H371" s="667"/>
      <c r="I371" s="667"/>
      <c r="J371" s="667"/>
      <c r="K371" s="667"/>
      <c r="L371" s="667"/>
      <c r="M371" s="667"/>
      <c r="N371" s="667"/>
      <c r="O371" s="667"/>
      <c r="P371" s="667"/>
      <c r="Q371" s="667"/>
    </row>
    <row r="372" ht="15.75" customHeight="1">
      <c r="B372" s="667"/>
      <c r="C372" s="667"/>
      <c r="D372" s="667"/>
      <c r="E372" s="667"/>
      <c r="F372" s="667"/>
      <c r="G372" s="667"/>
      <c r="H372" s="667"/>
      <c r="I372" s="667"/>
      <c r="J372" s="667"/>
      <c r="K372" s="667"/>
      <c r="L372" s="667"/>
      <c r="M372" s="667"/>
      <c r="N372" s="667"/>
      <c r="O372" s="667"/>
      <c r="P372" s="667"/>
      <c r="Q372" s="667"/>
    </row>
    <row r="373" ht="15.75" customHeight="1">
      <c r="B373" s="667"/>
      <c r="C373" s="667"/>
      <c r="D373" s="667"/>
      <c r="E373" s="667"/>
      <c r="F373" s="667"/>
      <c r="G373" s="667"/>
      <c r="H373" s="667"/>
      <c r="I373" s="667"/>
      <c r="J373" s="667"/>
      <c r="K373" s="667"/>
      <c r="L373" s="667"/>
      <c r="M373" s="667"/>
      <c r="N373" s="667"/>
      <c r="O373" s="667"/>
      <c r="P373" s="667"/>
      <c r="Q373" s="667"/>
    </row>
    <row r="374" ht="15.75" customHeight="1">
      <c r="B374" s="667"/>
      <c r="C374" s="667"/>
      <c r="D374" s="667"/>
      <c r="E374" s="667"/>
      <c r="F374" s="667"/>
      <c r="G374" s="667"/>
      <c r="H374" s="667"/>
      <c r="I374" s="667"/>
      <c r="J374" s="667"/>
      <c r="K374" s="667"/>
      <c r="L374" s="667"/>
      <c r="M374" s="667"/>
      <c r="N374" s="667"/>
      <c r="O374" s="667"/>
      <c r="P374" s="667"/>
      <c r="Q374" s="667"/>
    </row>
    <row r="375" ht="15.75" customHeight="1">
      <c r="B375" s="667"/>
      <c r="C375" s="667"/>
      <c r="D375" s="667"/>
      <c r="E375" s="667"/>
      <c r="F375" s="667"/>
      <c r="G375" s="667"/>
      <c r="H375" s="667"/>
      <c r="I375" s="667"/>
      <c r="J375" s="667"/>
      <c r="K375" s="667"/>
      <c r="L375" s="667"/>
      <c r="M375" s="667"/>
      <c r="N375" s="667"/>
      <c r="O375" s="667"/>
      <c r="P375" s="667"/>
      <c r="Q375" s="667"/>
    </row>
    <row r="376" ht="15.75" customHeight="1">
      <c r="B376" s="667"/>
      <c r="C376" s="667"/>
      <c r="D376" s="667"/>
      <c r="E376" s="667"/>
      <c r="F376" s="667"/>
      <c r="G376" s="667"/>
      <c r="H376" s="667"/>
      <c r="I376" s="667"/>
      <c r="J376" s="667"/>
      <c r="K376" s="667"/>
      <c r="L376" s="667"/>
      <c r="M376" s="667"/>
      <c r="N376" s="667"/>
      <c r="O376" s="667"/>
      <c r="P376" s="667"/>
      <c r="Q376" s="667"/>
    </row>
    <row r="377" ht="15.75" customHeight="1">
      <c r="B377" s="667"/>
      <c r="C377" s="667"/>
      <c r="D377" s="667"/>
      <c r="E377" s="667"/>
      <c r="F377" s="667"/>
      <c r="G377" s="667"/>
      <c r="H377" s="667"/>
      <c r="I377" s="667"/>
      <c r="J377" s="667"/>
      <c r="K377" s="667"/>
      <c r="L377" s="667"/>
      <c r="M377" s="667"/>
      <c r="N377" s="667"/>
      <c r="O377" s="667"/>
      <c r="P377" s="667"/>
      <c r="Q377" s="667"/>
    </row>
    <row r="378" ht="15.75" customHeight="1">
      <c r="B378" s="667"/>
      <c r="C378" s="667"/>
      <c r="D378" s="667"/>
      <c r="E378" s="667"/>
      <c r="F378" s="667"/>
      <c r="G378" s="667"/>
      <c r="H378" s="667"/>
      <c r="I378" s="667"/>
      <c r="J378" s="667"/>
      <c r="K378" s="667"/>
      <c r="L378" s="667"/>
      <c r="M378" s="667"/>
      <c r="N378" s="667"/>
      <c r="O378" s="667"/>
      <c r="P378" s="667"/>
      <c r="Q378" s="667"/>
    </row>
    <row r="379" ht="15.75" customHeight="1">
      <c r="B379" s="667"/>
      <c r="C379" s="667"/>
      <c r="D379" s="667"/>
      <c r="E379" s="667"/>
      <c r="F379" s="667"/>
      <c r="G379" s="667"/>
      <c r="H379" s="667"/>
      <c r="I379" s="667"/>
      <c r="J379" s="667"/>
      <c r="K379" s="667"/>
      <c r="L379" s="667"/>
      <c r="M379" s="667"/>
      <c r="N379" s="667"/>
      <c r="O379" s="667"/>
      <c r="P379" s="667"/>
      <c r="Q379" s="667"/>
    </row>
    <row r="380" ht="15.75" customHeight="1">
      <c r="B380" s="667"/>
      <c r="C380" s="667"/>
      <c r="D380" s="667"/>
      <c r="E380" s="667"/>
      <c r="F380" s="667"/>
      <c r="G380" s="667"/>
      <c r="H380" s="667"/>
      <c r="I380" s="667"/>
      <c r="J380" s="667"/>
      <c r="K380" s="667"/>
      <c r="L380" s="667"/>
      <c r="M380" s="667"/>
      <c r="N380" s="667"/>
      <c r="O380" s="667"/>
      <c r="P380" s="667"/>
      <c r="Q380" s="667"/>
    </row>
    <row r="381" ht="15.75" customHeight="1">
      <c r="B381" s="667"/>
      <c r="C381" s="667"/>
      <c r="D381" s="667"/>
      <c r="E381" s="667"/>
      <c r="F381" s="667"/>
      <c r="G381" s="667"/>
      <c r="H381" s="667"/>
      <c r="I381" s="667"/>
      <c r="J381" s="667"/>
      <c r="K381" s="667"/>
      <c r="L381" s="667"/>
      <c r="M381" s="667"/>
      <c r="N381" s="667"/>
      <c r="O381" s="667"/>
      <c r="P381" s="667"/>
      <c r="Q381" s="667"/>
    </row>
    <row r="382" ht="15.75" customHeight="1">
      <c r="B382" s="667"/>
      <c r="C382" s="667"/>
      <c r="D382" s="667"/>
      <c r="E382" s="667"/>
      <c r="F382" s="667"/>
      <c r="G382" s="667"/>
      <c r="H382" s="667"/>
      <c r="I382" s="667"/>
      <c r="J382" s="667"/>
      <c r="K382" s="667"/>
      <c r="L382" s="667"/>
      <c r="M382" s="667"/>
      <c r="N382" s="667"/>
      <c r="O382" s="667"/>
      <c r="P382" s="667"/>
      <c r="Q382" s="667"/>
    </row>
    <row r="383" ht="15.75" customHeight="1">
      <c r="B383" s="667"/>
      <c r="C383" s="667"/>
      <c r="D383" s="667"/>
      <c r="E383" s="667"/>
      <c r="F383" s="667"/>
      <c r="G383" s="667"/>
      <c r="H383" s="667"/>
      <c r="I383" s="667"/>
      <c r="J383" s="667"/>
      <c r="K383" s="667"/>
      <c r="L383" s="667"/>
      <c r="M383" s="667"/>
      <c r="N383" s="667"/>
      <c r="O383" s="667"/>
      <c r="P383" s="667"/>
      <c r="Q383" s="667"/>
    </row>
    <row r="384" ht="15.75" customHeight="1">
      <c r="B384" s="667"/>
      <c r="C384" s="667"/>
      <c r="D384" s="667"/>
      <c r="E384" s="667"/>
      <c r="F384" s="667"/>
      <c r="G384" s="667"/>
      <c r="H384" s="667"/>
      <c r="I384" s="667"/>
      <c r="J384" s="667"/>
      <c r="K384" s="667"/>
      <c r="L384" s="667"/>
      <c r="M384" s="667"/>
      <c r="N384" s="667"/>
      <c r="O384" s="667"/>
      <c r="P384" s="667"/>
      <c r="Q384" s="667"/>
    </row>
    <row r="385" ht="15.75" customHeight="1">
      <c r="B385" s="667"/>
      <c r="C385" s="667"/>
      <c r="D385" s="667"/>
      <c r="E385" s="667"/>
      <c r="F385" s="667"/>
      <c r="G385" s="667"/>
      <c r="H385" s="667"/>
      <c r="I385" s="667"/>
      <c r="J385" s="667"/>
      <c r="K385" s="667"/>
      <c r="L385" s="667"/>
      <c r="M385" s="667"/>
      <c r="N385" s="667"/>
      <c r="O385" s="667"/>
      <c r="P385" s="667"/>
      <c r="Q385" s="667"/>
    </row>
    <row r="386" ht="15.75" customHeight="1">
      <c r="B386" s="667"/>
      <c r="C386" s="667"/>
      <c r="D386" s="667"/>
      <c r="E386" s="667"/>
      <c r="F386" s="667"/>
      <c r="G386" s="667"/>
      <c r="H386" s="667"/>
      <c r="I386" s="667"/>
      <c r="J386" s="667"/>
      <c r="K386" s="667"/>
      <c r="L386" s="667"/>
      <c r="M386" s="667"/>
      <c r="N386" s="667"/>
      <c r="O386" s="667"/>
      <c r="P386" s="667"/>
      <c r="Q386" s="667"/>
    </row>
    <row r="387" ht="15.75" customHeight="1">
      <c r="B387" s="667"/>
      <c r="C387" s="667"/>
      <c r="D387" s="667"/>
      <c r="E387" s="667"/>
      <c r="F387" s="667"/>
      <c r="G387" s="667"/>
      <c r="H387" s="667"/>
      <c r="I387" s="667"/>
      <c r="J387" s="667"/>
      <c r="K387" s="667"/>
      <c r="L387" s="667"/>
      <c r="M387" s="667"/>
      <c r="N387" s="667"/>
      <c r="O387" s="667"/>
      <c r="P387" s="667"/>
      <c r="Q387" s="667"/>
    </row>
    <row r="388" ht="15.75" customHeight="1">
      <c r="B388" s="667"/>
      <c r="C388" s="667"/>
      <c r="D388" s="667"/>
      <c r="E388" s="667"/>
      <c r="F388" s="667"/>
      <c r="G388" s="667"/>
      <c r="H388" s="667"/>
      <c r="I388" s="667"/>
      <c r="J388" s="667"/>
      <c r="K388" s="667"/>
      <c r="L388" s="667"/>
      <c r="M388" s="667"/>
      <c r="N388" s="667"/>
      <c r="O388" s="667"/>
      <c r="P388" s="667"/>
      <c r="Q388" s="667"/>
    </row>
    <row r="389" ht="15.75" customHeight="1">
      <c r="B389" s="667"/>
      <c r="C389" s="667"/>
      <c r="D389" s="667"/>
      <c r="E389" s="667"/>
      <c r="F389" s="667"/>
      <c r="G389" s="667"/>
      <c r="H389" s="667"/>
      <c r="I389" s="667"/>
      <c r="J389" s="667"/>
      <c r="K389" s="667"/>
      <c r="L389" s="667"/>
      <c r="M389" s="667"/>
      <c r="N389" s="667"/>
      <c r="O389" s="667"/>
      <c r="P389" s="667"/>
      <c r="Q389" s="667"/>
    </row>
    <row r="390" ht="15.75" customHeight="1">
      <c r="B390" s="667"/>
      <c r="C390" s="667"/>
      <c r="D390" s="667"/>
      <c r="E390" s="667"/>
      <c r="F390" s="667"/>
      <c r="G390" s="667"/>
      <c r="H390" s="667"/>
      <c r="I390" s="667"/>
      <c r="J390" s="667"/>
      <c r="K390" s="667"/>
      <c r="L390" s="667"/>
      <c r="M390" s="667"/>
      <c r="N390" s="667"/>
      <c r="O390" s="667"/>
      <c r="P390" s="667"/>
      <c r="Q390" s="667"/>
    </row>
    <row r="391" ht="15.75" customHeight="1">
      <c r="B391" s="667"/>
      <c r="C391" s="667"/>
      <c r="D391" s="667"/>
      <c r="E391" s="667"/>
      <c r="F391" s="667"/>
      <c r="G391" s="667"/>
      <c r="H391" s="667"/>
      <c r="I391" s="667"/>
      <c r="J391" s="667"/>
      <c r="K391" s="667"/>
      <c r="L391" s="667"/>
      <c r="M391" s="667"/>
      <c r="N391" s="667"/>
      <c r="O391" s="667"/>
      <c r="P391" s="667"/>
      <c r="Q391" s="667"/>
    </row>
    <row r="392" ht="15.75" customHeight="1">
      <c r="B392" s="667"/>
      <c r="C392" s="667"/>
      <c r="D392" s="667"/>
      <c r="E392" s="667"/>
      <c r="F392" s="667"/>
      <c r="G392" s="667"/>
      <c r="H392" s="667"/>
      <c r="I392" s="667"/>
      <c r="J392" s="667"/>
      <c r="K392" s="667"/>
      <c r="L392" s="667"/>
      <c r="M392" s="667"/>
      <c r="N392" s="667"/>
      <c r="O392" s="667"/>
      <c r="P392" s="667"/>
      <c r="Q392" s="667"/>
    </row>
    <row r="393" ht="15.75" customHeight="1">
      <c r="B393" s="667"/>
      <c r="C393" s="667"/>
      <c r="D393" s="667"/>
      <c r="E393" s="667"/>
      <c r="F393" s="667"/>
      <c r="G393" s="667"/>
      <c r="H393" s="667"/>
      <c r="I393" s="667"/>
      <c r="J393" s="667"/>
      <c r="K393" s="667"/>
      <c r="L393" s="667"/>
      <c r="M393" s="667"/>
      <c r="N393" s="667"/>
      <c r="O393" s="667"/>
      <c r="P393" s="667"/>
      <c r="Q393" s="667"/>
    </row>
    <row r="394" ht="15.75" customHeight="1">
      <c r="B394" s="667"/>
      <c r="C394" s="667"/>
      <c r="D394" s="667"/>
      <c r="E394" s="667"/>
      <c r="F394" s="667"/>
      <c r="G394" s="667"/>
      <c r="H394" s="667"/>
      <c r="I394" s="667"/>
      <c r="J394" s="667"/>
      <c r="K394" s="667"/>
      <c r="L394" s="667"/>
      <c r="M394" s="667"/>
      <c r="N394" s="667"/>
      <c r="O394" s="667"/>
      <c r="P394" s="667"/>
      <c r="Q394" s="667"/>
    </row>
    <row r="395" ht="15.75" customHeight="1">
      <c r="B395" s="667"/>
      <c r="C395" s="667"/>
      <c r="D395" s="667"/>
      <c r="E395" s="667"/>
      <c r="F395" s="667"/>
      <c r="G395" s="667"/>
      <c r="H395" s="667"/>
      <c r="I395" s="667"/>
      <c r="J395" s="667"/>
      <c r="K395" s="667"/>
      <c r="L395" s="667"/>
      <c r="M395" s="667"/>
      <c r="N395" s="667"/>
      <c r="O395" s="667"/>
      <c r="P395" s="667"/>
      <c r="Q395" s="667"/>
    </row>
    <row r="396" ht="15.75" customHeight="1">
      <c r="B396" s="667"/>
      <c r="C396" s="667"/>
      <c r="D396" s="667"/>
      <c r="E396" s="667"/>
      <c r="F396" s="667"/>
      <c r="G396" s="667"/>
      <c r="H396" s="667"/>
      <c r="I396" s="667"/>
      <c r="J396" s="667"/>
      <c r="K396" s="667"/>
      <c r="L396" s="667"/>
      <c r="M396" s="667"/>
      <c r="N396" s="667"/>
      <c r="O396" s="667"/>
      <c r="P396" s="667"/>
      <c r="Q396" s="667"/>
    </row>
    <row r="397" ht="15.75" customHeight="1">
      <c r="B397" s="667"/>
      <c r="C397" s="667"/>
      <c r="D397" s="667"/>
      <c r="E397" s="667"/>
      <c r="F397" s="667"/>
      <c r="G397" s="667"/>
      <c r="H397" s="667"/>
      <c r="I397" s="667"/>
      <c r="J397" s="667"/>
      <c r="K397" s="667"/>
      <c r="L397" s="667"/>
      <c r="M397" s="667"/>
      <c r="N397" s="667"/>
      <c r="O397" s="667"/>
      <c r="P397" s="667"/>
      <c r="Q397" s="667"/>
    </row>
    <row r="398" ht="15.75" customHeight="1">
      <c r="B398" s="667"/>
      <c r="C398" s="667"/>
      <c r="D398" s="667"/>
      <c r="E398" s="667"/>
      <c r="F398" s="667"/>
      <c r="G398" s="667"/>
      <c r="H398" s="667"/>
      <c r="I398" s="667"/>
      <c r="J398" s="667"/>
      <c r="K398" s="667"/>
      <c r="L398" s="667"/>
      <c r="M398" s="667"/>
      <c r="N398" s="667"/>
      <c r="O398" s="667"/>
      <c r="P398" s="667"/>
      <c r="Q398" s="667"/>
    </row>
    <row r="399" ht="15.75" customHeight="1">
      <c r="B399" s="667"/>
      <c r="C399" s="667"/>
      <c r="D399" s="667"/>
      <c r="E399" s="667"/>
      <c r="F399" s="667"/>
      <c r="G399" s="667"/>
      <c r="H399" s="667"/>
      <c r="I399" s="667"/>
      <c r="J399" s="667"/>
      <c r="K399" s="667"/>
      <c r="L399" s="667"/>
      <c r="M399" s="667"/>
      <c r="N399" s="667"/>
      <c r="O399" s="667"/>
      <c r="P399" s="667"/>
      <c r="Q399" s="667"/>
    </row>
    <row r="400" ht="15.75" customHeight="1">
      <c r="B400" s="667"/>
      <c r="C400" s="667"/>
      <c r="D400" s="667"/>
      <c r="E400" s="667"/>
      <c r="F400" s="667"/>
      <c r="G400" s="667"/>
      <c r="H400" s="667"/>
      <c r="I400" s="667"/>
      <c r="J400" s="667"/>
      <c r="K400" s="667"/>
      <c r="L400" s="667"/>
      <c r="M400" s="667"/>
      <c r="N400" s="667"/>
      <c r="O400" s="667"/>
      <c r="P400" s="667"/>
      <c r="Q400" s="667"/>
    </row>
    <row r="401" ht="15.75" customHeight="1">
      <c r="B401" s="667"/>
      <c r="C401" s="667"/>
      <c r="D401" s="667"/>
      <c r="E401" s="667"/>
      <c r="F401" s="667"/>
      <c r="G401" s="667"/>
      <c r="H401" s="667"/>
      <c r="I401" s="667"/>
      <c r="J401" s="667"/>
      <c r="K401" s="667"/>
      <c r="L401" s="667"/>
      <c r="M401" s="667"/>
      <c r="N401" s="667"/>
      <c r="O401" s="667"/>
      <c r="P401" s="667"/>
      <c r="Q401" s="667"/>
    </row>
    <row r="402" ht="15.75" customHeight="1">
      <c r="B402" s="667"/>
      <c r="C402" s="667"/>
      <c r="D402" s="667"/>
      <c r="E402" s="667"/>
      <c r="F402" s="667"/>
      <c r="G402" s="667"/>
      <c r="H402" s="667"/>
      <c r="I402" s="667"/>
      <c r="J402" s="667"/>
      <c r="K402" s="667"/>
      <c r="L402" s="667"/>
      <c r="M402" s="667"/>
      <c r="N402" s="667"/>
      <c r="O402" s="667"/>
      <c r="P402" s="667"/>
      <c r="Q402" s="667"/>
    </row>
    <row r="403" ht="15.75" customHeight="1">
      <c r="B403" s="667"/>
      <c r="C403" s="667"/>
      <c r="D403" s="667"/>
      <c r="E403" s="667"/>
      <c r="F403" s="667"/>
      <c r="G403" s="667"/>
      <c r="H403" s="667"/>
      <c r="I403" s="667"/>
      <c r="J403" s="667"/>
      <c r="K403" s="667"/>
      <c r="L403" s="667"/>
      <c r="M403" s="667"/>
      <c r="N403" s="667"/>
      <c r="O403" s="667"/>
      <c r="P403" s="667"/>
      <c r="Q403" s="667"/>
    </row>
    <row r="404" ht="15.75" customHeight="1">
      <c r="B404" s="667"/>
      <c r="C404" s="667"/>
      <c r="D404" s="667"/>
      <c r="E404" s="667"/>
      <c r="F404" s="667"/>
      <c r="G404" s="667"/>
      <c r="H404" s="667"/>
      <c r="I404" s="667"/>
      <c r="J404" s="667"/>
      <c r="K404" s="667"/>
      <c r="L404" s="667"/>
      <c r="M404" s="667"/>
      <c r="N404" s="667"/>
      <c r="O404" s="667"/>
      <c r="P404" s="667"/>
      <c r="Q404" s="667"/>
    </row>
    <row r="405" ht="15.75" customHeight="1">
      <c r="B405" s="667"/>
      <c r="C405" s="667"/>
      <c r="D405" s="667"/>
      <c r="E405" s="667"/>
      <c r="F405" s="667"/>
      <c r="G405" s="667"/>
      <c r="H405" s="667"/>
      <c r="I405" s="667"/>
      <c r="J405" s="667"/>
      <c r="K405" s="667"/>
      <c r="L405" s="667"/>
      <c r="M405" s="667"/>
      <c r="N405" s="667"/>
      <c r="O405" s="667"/>
      <c r="P405" s="667"/>
      <c r="Q405" s="667"/>
    </row>
    <row r="406" ht="15.75" customHeight="1">
      <c r="B406" s="667"/>
      <c r="C406" s="667"/>
      <c r="D406" s="667"/>
      <c r="E406" s="667"/>
      <c r="F406" s="667"/>
      <c r="G406" s="667"/>
      <c r="H406" s="667"/>
      <c r="I406" s="667"/>
      <c r="J406" s="667"/>
      <c r="K406" s="667"/>
      <c r="L406" s="667"/>
      <c r="M406" s="667"/>
      <c r="N406" s="667"/>
      <c r="O406" s="667"/>
      <c r="P406" s="667"/>
      <c r="Q406" s="667"/>
    </row>
    <row r="407" ht="15.75" customHeight="1">
      <c r="B407" s="667"/>
      <c r="C407" s="667"/>
      <c r="D407" s="667"/>
      <c r="E407" s="667"/>
      <c r="F407" s="667"/>
      <c r="G407" s="667"/>
      <c r="H407" s="667"/>
      <c r="I407" s="667"/>
      <c r="J407" s="667"/>
      <c r="K407" s="667"/>
      <c r="L407" s="667"/>
      <c r="M407" s="667"/>
      <c r="N407" s="667"/>
      <c r="O407" s="667"/>
      <c r="P407" s="667"/>
      <c r="Q407" s="667"/>
    </row>
    <row r="408" ht="15.75" customHeight="1">
      <c r="B408" s="667"/>
      <c r="C408" s="667"/>
      <c r="D408" s="667"/>
      <c r="E408" s="667"/>
      <c r="F408" s="667"/>
      <c r="G408" s="667"/>
      <c r="H408" s="667"/>
      <c r="I408" s="667"/>
      <c r="J408" s="667"/>
      <c r="K408" s="667"/>
      <c r="L408" s="667"/>
      <c r="M408" s="667"/>
      <c r="N408" s="667"/>
      <c r="O408" s="667"/>
      <c r="P408" s="667"/>
      <c r="Q408" s="667"/>
    </row>
    <row r="409" ht="15.75" customHeight="1">
      <c r="B409" s="667"/>
      <c r="C409" s="667"/>
      <c r="D409" s="667"/>
      <c r="E409" s="667"/>
      <c r="F409" s="667"/>
      <c r="G409" s="667"/>
      <c r="H409" s="667"/>
      <c r="I409" s="667"/>
      <c r="J409" s="667"/>
      <c r="K409" s="667"/>
      <c r="L409" s="667"/>
      <c r="M409" s="667"/>
      <c r="N409" s="667"/>
      <c r="O409" s="667"/>
      <c r="P409" s="667"/>
      <c r="Q409" s="667"/>
    </row>
    <row r="410" ht="15.75" customHeight="1">
      <c r="B410" s="667"/>
      <c r="C410" s="667"/>
      <c r="D410" s="667"/>
      <c r="E410" s="667"/>
      <c r="F410" s="667"/>
      <c r="G410" s="667"/>
      <c r="H410" s="667"/>
      <c r="I410" s="667"/>
      <c r="J410" s="667"/>
      <c r="K410" s="667"/>
      <c r="L410" s="667"/>
      <c r="M410" s="667"/>
      <c r="N410" s="667"/>
      <c r="O410" s="667"/>
      <c r="P410" s="667"/>
      <c r="Q410" s="667"/>
    </row>
    <row r="411" ht="15.75" customHeight="1">
      <c r="B411" s="667"/>
      <c r="C411" s="667"/>
      <c r="D411" s="667"/>
      <c r="E411" s="667"/>
      <c r="F411" s="667"/>
      <c r="G411" s="667"/>
      <c r="H411" s="667"/>
      <c r="I411" s="667"/>
      <c r="J411" s="667"/>
      <c r="K411" s="667"/>
      <c r="L411" s="667"/>
      <c r="M411" s="667"/>
      <c r="N411" s="667"/>
      <c r="O411" s="667"/>
      <c r="P411" s="667"/>
      <c r="Q411" s="667"/>
    </row>
    <row r="412" ht="15.75" customHeight="1">
      <c r="B412" s="667"/>
      <c r="C412" s="667"/>
      <c r="D412" s="667"/>
      <c r="E412" s="667"/>
      <c r="F412" s="667"/>
      <c r="G412" s="667"/>
      <c r="H412" s="667"/>
      <c r="I412" s="667"/>
      <c r="J412" s="667"/>
      <c r="K412" s="667"/>
      <c r="L412" s="667"/>
      <c r="M412" s="667"/>
      <c r="N412" s="667"/>
      <c r="O412" s="667"/>
      <c r="P412" s="667"/>
      <c r="Q412" s="667"/>
    </row>
    <row r="413" ht="15.75" customHeight="1">
      <c r="B413" s="667"/>
      <c r="C413" s="667"/>
      <c r="D413" s="667"/>
      <c r="E413" s="667"/>
      <c r="F413" s="667"/>
      <c r="G413" s="667"/>
      <c r="H413" s="667"/>
      <c r="I413" s="667"/>
      <c r="J413" s="667"/>
      <c r="K413" s="667"/>
      <c r="L413" s="667"/>
      <c r="M413" s="667"/>
      <c r="N413" s="667"/>
      <c r="O413" s="667"/>
      <c r="P413" s="667"/>
      <c r="Q413" s="667"/>
    </row>
    <row r="414" ht="15.75" customHeight="1">
      <c r="B414" s="667"/>
      <c r="C414" s="667"/>
      <c r="D414" s="667"/>
      <c r="E414" s="667"/>
      <c r="F414" s="667"/>
      <c r="G414" s="667"/>
      <c r="H414" s="667"/>
      <c r="I414" s="667"/>
      <c r="J414" s="667"/>
      <c r="K414" s="667"/>
      <c r="L414" s="667"/>
      <c r="M414" s="667"/>
      <c r="N414" s="667"/>
      <c r="O414" s="667"/>
      <c r="P414" s="667"/>
      <c r="Q414" s="667"/>
    </row>
    <row r="415" ht="15.75" customHeight="1">
      <c r="B415" s="667"/>
      <c r="C415" s="667"/>
      <c r="D415" s="667"/>
      <c r="E415" s="667"/>
      <c r="F415" s="667"/>
      <c r="G415" s="667"/>
      <c r="H415" s="667"/>
      <c r="I415" s="667"/>
      <c r="J415" s="667"/>
      <c r="K415" s="667"/>
      <c r="L415" s="667"/>
      <c r="M415" s="667"/>
      <c r="N415" s="667"/>
      <c r="O415" s="667"/>
      <c r="P415" s="667"/>
      <c r="Q415" s="667"/>
    </row>
    <row r="416" ht="15.75" customHeight="1">
      <c r="B416" s="667"/>
      <c r="C416" s="667"/>
      <c r="D416" s="667"/>
      <c r="E416" s="667"/>
      <c r="F416" s="667"/>
      <c r="G416" s="667"/>
      <c r="H416" s="667"/>
      <c r="I416" s="667"/>
      <c r="J416" s="667"/>
      <c r="K416" s="667"/>
      <c r="L416" s="667"/>
      <c r="M416" s="667"/>
      <c r="N416" s="667"/>
      <c r="O416" s="667"/>
      <c r="P416" s="667"/>
      <c r="Q416" s="667"/>
    </row>
    <row r="417" ht="15.75" customHeight="1">
      <c r="B417" s="667"/>
      <c r="C417" s="667"/>
      <c r="D417" s="667"/>
      <c r="E417" s="667"/>
      <c r="F417" s="667"/>
      <c r="G417" s="667"/>
      <c r="H417" s="667"/>
      <c r="I417" s="667"/>
      <c r="J417" s="667"/>
      <c r="K417" s="667"/>
      <c r="L417" s="667"/>
      <c r="M417" s="667"/>
      <c r="N417" s="667"/>
      <c r="O417" s="667"/>
      <c r="P417" s="667"/>
      <c r="Q417" s="667"/>
    </row>
    <row r="418" ht="15.75" customHeight="1">
      <c r="B418" s="667"/>
      <c r="C418" s="667"/>
      <c r="D418" s="667"/>
      <c r="E418" s="667"/>
      <c r="F418" s="667"/>
      <c r="G418" s="667"/>
      <c r="H418" s="667"/>
      <c r="I418" s="667"/>
      <c r="J418" s="667"/>
      <c r="K418" s="667"/>
      <c r="L418" s="667"/>
      <c r="M418" s="667"/>
      <c r="N418" s="667"/>
      <c r="O418" s="667"/>
      <c r="P418" s="667"/>
      <c r="Q418" s="667"/>
    </row>
    <row r="419" ht="15.75" customHeight="1">
      <c r="B419" s="667"/>
      <c r="C419" s="667"/>
      <c r="D419" s="667"/>
      <c r="E419" s="667"/>
      <c r="F419" s="667"/>
      <c r="G419" s="667"/>
      <c r="H419" s="667"/>
      <c r="I419" s="667"/>
      <c r="J419" s="667"/>
      <c r="K419" s="667"/>
      <c r="L419" s="667"/>
      <c r="M419" s="667"/>
      <c r="N419" s="667"/>
      <c r="O419" s="667"/>
      <c r="P419" s="667"/>
      <c r="Q419" s="667"/>
    </row>
    <row r="420" ht="15.75" customHeight="1">
      <c r="B420" s="667"/>
      <c r="C420" s="667"/>
      <c r="D420" s="667"/>
      <c r="E420" s="667"/>
      <c r="F420" s="667"/>
      <c r="G420" s="667"/>
      <c r="H420" s="667"/>
      <c r="I420" s="667"/>
      <c r="J420" s="667"/>
      <c r="K420" s="667"/>
      <c r="L420" s="667"/>
      <c r="M420" s="667"/>
      <c r="N420" s="667"/>
      <c r="O420" s="667"/>
      <c r="P420" s="667"/>
      <c r="Q420" s="667"/>
    </row>
    <row r="421" ht="15.75" customHeight="1">
      <c r="B421" s="667"/>
      <c r="C421" s="667"/>
      <c r="D421" s="667"/>
      <c r="E421" s="667"/>
      <c r="F421" s="667"/>
      <c r="G421" s="667"/>
      <c r="H421" s="667"/>
      <c r="I421" s="667"/>
      <c r="J421" s="667"/>
      <c r="K421" s="667"/>
      <c r="L421" s="667"/>
      <c r="M421" s="667"/>
      <c r="N421" s="667"/>
      <c r="O421" s="667"/>
      <c r="P421" s="667"/>
      <c r="Q421" s="667"/>
    </row>
    <row r="422" ht="15.75" customHeight="1">
      <c r="B422" s="667"/>
      <c r="C422" s="667"/>
      <c r="D422" s="667"/>
      <c r="E422" s="667"/>
      <c r="F422" s="667"/>
      <c r="G422" s="667"/>
      <c r="H422" s="667"/>
      <c r="I422" s="667"/>
      <c r="J422" s="667"/>
      <c r="K422" s="667"/>
      <c r="L422" s="667"/>
      <c r="M422" s="667"/>
      <c r="N422" s="667"/>
      <c r="O422" s="667"/>
      <c r="P422" s="667"/>
      <c r="Q422" s="667"/>
    </row>
    <row r="423" ht="15.75" customHeight="1">
      <c r="B423" s="667"/>
      <c r="C423" s="667"/>
      <c r="D423" s="667"/>
      <c r="E423" s="667"/>
      <c r="F423" s="667"/>
      <c r="G423" s="667"/>
      <c r="H423" s="667"/>
      <c r="I423" s="667"/>
      <c r="J423" s="667"/>
      <c r="K423" s="667"/>
      <c r="L423" s="667"/>
      <c r="M423" s="667"/>
      <c r="N423" s="667"/>
      <c r="O423" s="667"/>
      <c r="P423" s="667"/>
      <c r="Q423" s="667"/>
    </row>
    <row r="424" ht="15.75" customHeight="1">
      <c r="B424" s="667"/>
      <c r="C424" s="667"/>
      <c r="D424" s="667"/>
      <c r="E424" s="667"/>
      <c r="F424" s="667"/>
      <c r="G424" s="667"/>
      <c r="H424" s="667"/>
      <c r="I424" s="667"/>
      <c r="J424" s="667"/>
      <c r="K424" s="667"/>
      <c r="L424" s="667"/>
      <c r="M424" s="667"/>
      <c r="N424" s="667"/>
      <c r="O424" s="667"/>
      <c r="P424" s="667"/>
      <c r="Q424" s="667"/>
    </row>
    <row r="425" ht="15.75" customHeight="1">
      <c r="B425" s="667"/>
      <c r="C425" s="667"/>
      <c r="D425" s="667"/>
      <c r="E425" s="667"/>
      <c r="F425" s="667"/>
      <c r="G425" s="667"/>
      <c r="H425" s="667"/>
      <c r="I425" s="667"/>
      <c r="J425" s="667"/>
      <c r="K425" s="667"/>
      <c r="L425" s="667"/>
      <c r="M425" s="667"/>
      <c r="N425" s="667"/>
      <c r="O425" s="667"/>
      <c r="P425" s="667"/>
      <c r="Q425" s="667"/>
    </row>
    <row r="426" ht="15.75" customHeight="1">
      <c r="B426" s="667"/>
      <c r="C426" s="667"/>
      <c r="D426" s="667"/>
      <c r="E426" s="667"/>
      <c r="F426" s="667"/>
      <c r="G426" s="667"/>
      <c r="H426" s="667"/>
      <c r="I426" s="667"/>
      <c r="J426" s="667"/>
      <c r="K426" s="667"/>
      <c r="L426" s="667"/>
      <c r="M426" s="667"/>
      <c r="N426" s="667"/>
      <c r="O426" s="667"/>
      <c r="P426" s="667"/>
      <c r="Q426" s="667"/>
    </row>
    <row r="427" ht="15.75" customHeight="1">
      <c r="B427" s="667"/>
      <c r="C427" s="667"/>
      <c r="D427" s="667"/>
      <c r="E427" s="667"/>
      <c r="F427" s="667"/>
      <c r="G427" s="667"/>
      <c r="H427" s="667"/>
      <c r="I427" s="667"/>
      <c r="J427" s="667"/>
      <c r="K427" s="667"/>
      <c r="L427" s="667"/>
      <c r="M427" s="667"/>
      <c r="N427" s="667"/>
      <c r="O427" s="667"/>
      <c r="P427" s="667"/>
      <c r="Q427" s="667"/>
    </row>
    <row r="428" ht="15.75" customHeight="1">
      <c r="B428" s="667"/>
      <c r="C428" s="667"/>
      <c r="D428" s="667"/>
      <c r="E428" s="667"/>
      <c r="F428" s="667"/>
      <c r="G428" s="667"/>
      <c r="H428" s="667"/>
      <c r="I428" s="667"/>
      <c r="J428" s="667"/>
      <c r="K428" s="667"/>
      <c r="L428" s="667"/>
      <c r="M428" s="667"/>
      <c r="N428" s="667"/>
      <c r="O428" s="667"/>
      <c r="P428" s="667"/>
      <c r="Q428" s="667"/>
    </row>
    <row r="429" ht="15.75" customHeight="1">
      <c r="B429" s="667"/>
      <c r="C429" s="667"/>
      <c r="D429" s="667"/>
      <c r="E429" s="667"/>
      <c r="F429" s="667"/>
      <c r="G429" s="667"/>
      <c r="H429" s="667"/>
      <c r="I429" s="667"/>
      <c r="J429" s="667"/>
      <c r="K429" s="667"/>
      <c r="L429" s="667"/>
      <c r="M429" s="667"/>
      <c r="N429" s="667"/>
      <c r="O429" s="667"/>
      <c r="P429" s="667"/>
      <c r="Q429" s="667"/>
    </row>
    <row r="430" ht="15.75" customHeight="1">
      <c r="B430" s="667"/>
      <c r="C430" s="667"/>
      <c r="D430" s="667"/>
      <c r="E430" s="667"/>
      <c r="F430" s="667"/>
      <c r="G430" s="667"/>
      <c r="H430" s="667"/>
      <c r="I430" s="667"/>
      <c r="J430" s="667"/>
      <c r="K430" s="667"/>
      <c r="L430" s="667"/>
      <c r="M430" s="667"/>
      <c r="N430" s="667"/>
      <c r="O430" s="667"/>
      <c r="P430" s="667"/>
      <c r="Q430" s="667"/>
    </row>
    <row r="431" ht="15.75" customHeight="1">
      <c r="B431" s="667"/>
      <c r="C431" s="667"/>
      <c r="D431" s="667"/>
      <c r="E431" s="667"/>
      <c r="F431" s="667"/>
      <c r="G431" s="667"/>
      <c r="H431" s="667"/>
      <c r="I431" s="667"/>
      <c r="J431" s="667"/>
      <c r="K431" s="667"/>
      <c r="L431" s="667"/>
      <c r="M431" s="667"/>
      <c r="N431" s="667"/>
      <c r="O431" s="667"/>
      <c r="P431" s="667"/>
      <c r="Q431" s="667"/>
    </row>
    <row r="432" ht="15.75" customHeight="1">
      <c r="B432" s="667"/>
      <c r="C432" s="667"/>
      <c r="D432" s="667"/>
      <c r="E432" s="667"/>
      <c r="F432" s="667"/>
      <c r="G432" s="667"/>
      <c r="H432" s="667"/>
      <c r="I432" s="667"/>
      <c r="J432" s="667"/>
      <c r="K432" s="667"/>
      <c r="L432" s="667"/>
      <c r="M432" s="667"/>
      <c r="N432" s="667"/>
      <c r="O432" s="667"/>
      <c r="P432" s="667"/>
      <c r="Q432" s="667"/>
    </row>
    <row r="433" ht="15.75" customHeight="1">
      <c r="B433" s="667"/>
      <c r="C433" s="667"/>
      <c r="D433" s="667"/>
      <c r="E433" s="667"/>
      <c r="F433" s="667"/>
      <c r="G433" s="667"/>
      <c r="H433" s="667"/>
      <c r="I433" s="667"/>
      <c r="J433" s="667"/>
      <c r="K433" s="667"/>
      <c r="L433" s="667"/>
      <c r="M433" s="667"/>
      <c r="N433" s="667"/>
      <c r="O433" s="667"/>
      <c r="P433" s="667"/>
      <c r="Q433" s="667"/>
    </row>
    <row r="434" ht="15.75" customHeight="1">
      <c r="B434" s="667"/>
      <c r="C434" s="667"/>
      <c r="D434" s="667"/>
      <c r="E434" s="667"/>
      <c r="F434" s="667"/>
      <c r="G434" s="667"/>
      <c r="H434" s="667"/>
      <c r="I434" s="667"/>
      <c r="J434" s="667"/>
      <c r="K434" s="667"/>
      <c r="L434" s="667"/>
      <c r="M434" s="667"/>
      <c r="N434" s="667"/>
      <c r="O434" s="667"/>
      <c r="P434" s="667"/>
      <c r="Q434" s="667"/>
    </row>
    <row r="435" ht="15.75" customHeight="1">
      <c r="B435" s="667"/>
      <c r="C435" s="667"/>
      <c r="D435" s="667"/>
      <c r="E435" s="667"/>
      <c r="F435" s="667"/>
      <c r="G435" s="667"/>
      <c r="H435" s="667"/>
      <c r="I435" s="667"/>
      <c r="J435" s="667"/>
      <c r="K435" s="667"/>
      <c r="L435" s="667"/>
      <c r="M435" s="667"/>
      <c r="N435" s="667"/>
      <c r="O435" s="667"/>
      <c r="P435" s="667"/>
      <c r="Q435" s="667"/>
    </row>
    <row r="436" ht="15.75" customHeight="1">
      <c r="B436" s="667"/>
      <c r="C436" s="667"/>
      <c r="D436" s="667"/>
      <c r="E436" s="667"/>
      <c r="F436" s="667"/>
      <c r="G436" s="667"/>
      <c r="H436" s="667"/>
      <c r="I436" s="667"/>
      <c r="J436" s="667"/>
      <c r="K436" s="667"/>
      <c r="L436" s="667"/>
      <c r="M436" s="667"/>
      <c r="N436" s="667"/>
      <c r="O436" s="667"/>
      <c r="P436" s="667"/>
      <c r="Q436" s="667"/>
    </row>
    <row r="437" ht="15.75" customHeight="1">
      <c r="B437" s="667"/>
      <c r="C437" s="667"/>
      <c r="D437" s="667"/>
      <c r="E437" s="667"/>
      <c r="F437" s="667"/>
      <c r="G437" s="667"/>
      <c r="H437" s="667"/>
      <c r="I437" s="667"/>
      <c r="J437" s="667"/>
      <c r="K437" s="667"/>
      <c r="L437" s="667"/>
      <c r="M437" s="667"/>
      <c r="N437" s="667"/>
      <c r="O437" s="667"/>
      <c r="P437" s="667"/>
      <c r="Q437" s="667"/>
    </row>
    <row r="438" ht="15.75" customHeight="1">
      <c r="B438" s="667"/>
      <c r="C438" s="667"/>
      <c r="D438" s="667"/>
      <c r="E438" s="667"/>
      <c r="F438" s="667"/>
      <c r="G438" s="667"/>
      <c r="H438" s="667"/>
      <c r="I438" s="667"/>
      <c r="J438" s="667"/>
      <c r="K438" s="667"/>
      <c r="L438" s="667"/>
      <c r="M438" s="667"/>
      <c r="N438" s="667"/>
      <c r="O438" s="667"/>
      <c r="P438" s="667"/>
      <c r="Q438" s="667"/>
    </row>
    <row r="439" ht="15.75" customHeight="1">
      <c r="B439" s="667"/>
      <c r="C439" s="667"/>
      <c r="D439" s="667"/>
      <c r="E439" s="667"/>
      <c r="F439" s="667"/>
      <c r="G439" s="667"/>
      <c r="H439" s="667"/>
      <c r="I439" s="667"/>
      <c r="J439" s="667"/>
      <c r="K439" s="667"/>
      <c r="L439" s="667"/>
      <c r="M439" s="667"/>
      <c r="N439" s="667"/>
      <c r="O439" s="667"/>
      <c r="P439" s="667"/>
      <c r="Q439" s="667"/>
    </row>
    <row r="440" ht="15.75" customHeight="1">
      <c r="B440" s="667"/>
      <c r="C440" s="667"/>
      <c r="D440" s="667"/>
      <c r="E440" s="667"/>
      <c r="F440" s="667"/>
      <c r="G440" s="667"/>
      <c r="H440" s="667"/>
      <c r="I440" s="667"/>
      <c r="J440" s="667"/>
      <c r="K440" s="667"/>
      <c r="L440" s="667"/>
      <c r="M440" s="667"/>
      <c r="N440" s="667"/>
      <c r="O440" s="667"/>
      <c r="P440" s="667"/>
      <c r="Q440" s="667"/>
    </row>
    <row r="441" ht="15.75" customHeight="1">
      <c r="B441" s="667"/>
      <c r="C441" s="667"/>
      <c r="D441" s="667"/>
      <c r="E441" s="667"/>
      <c r="F441" s="667"/>
      <c r="G441" s="667"/>
      <c r="H441" s="667"/>
      <c r="I441" s="667"/>
      <c r="J441" s="667"/>
      <c r="K441" s="667"/>
      <c r="L441" s="667"/>
      <c r="M441" s="667"/>
      <c r="N441" s="667"/>
      <c r="O441" s="667"/>
      <c r="P441" s="667"/>
      <c r="Q441" s="667"/>
    </row>
    <row r="442" ht="15.75" customHeight="1">
      <c r="B442" s="667"/>
      <c r="C442" s="667"/>
      <c r="D442" s="667"/>
      <c r="E442" s="667"/>
      <c r="F442" s="667"/>
      <c r="G442" s="667"/>
      <c r="H442" s="667"/>
      <c r="I442" s="667"/>
      <c r="J442" s="667"/>
      <c r="K442" s="667"/>
      <c r="L442" s="667"/>
      <c r="M442" s="667"/>
      <c r="N442" s="667"/>
      <c r="O442" s="667"/>
      <c r="P442" s="667"/>
      <c r="Q442" s="667"/>
    </row>
    <row r="443" ht="15.75" customHeight="1">
      <c r="B443" s="667"/>
      <c r="C443" s="667"/>
      <c r="D443" s="667"/>
      <c r="E443" s="667"/>
      <c r="F443" s="667"/>
      <c r="G443" s="667"/>
      <c r="H443" s="667"/>
      <c r="I443" s="667"/>
      <c r="J443" s="667"/>
      <c r="K443" s="667"/>
      <c r="L443" s="667"/>
      <c r="M443" s="667"/>
      <c r="N443" s="667"/>
      <c r="O443" s="667"/>
      <c r="P443" s="667"/>
      <c r="Q443" s="667"/>
    </row>
    <row r="444" ht="15.75" customHeight="1">
      <c r="B444" s="667"/>
      <c r="C444" s="667"/>
      <c r="D444" s="667"/>
      <c r="E444" s="667"/>
      <c r="F444" s="667"/>
      <c r="G444" s="667"/>
      <c r="H444" s="667"/>
      <c r="I444" s="667"/>
      <c r="J444" s="667"/>
      <c r="K444" s="667"/>
      <c r="L444" s="667"/>
      <c r="M444" s="667"/>
      <c r="N444" s="667"/>
      <c r="O444" s="667"/>
      <c r="P444" s="667"/>
      <c r="Q444" s="667"/>
    </row>
    <row r="445" ht="15.75" customHeight="1">
      <c r="B445" s="667"/>
      <c r="C445" s="667"/>
      <c r="D445" s="667"/>
      <c r="E445" s="667"/>
      <c r="F445" s="667"/>
      <c r="G445" s="667"/>
      <c r="H445" s="667"/>
      <c r="I445" s="667"/>
      <c r="J445" s="667"/>
      <c r="K445" s="667"/>
      <c r="L445" s="667"/>
      <c r="M445" s="667"/>
      <c r="N445" s="667"/>
      <c r="O445" s="667"/>
      <c r="P445" s="667"/>
      <c r="Q445" s="667"/>
    </row>
    <row r="446" ht="15.75" customHeight="1">
      <c r="B446" s="667"/>
      <c r="C446" s="667"/>
      <c r="D446" s="667"/>
      <c r="E446" s="667"/>
      <c r="F446" s="667"/>
      <c r="G446" s="667"/>
      <c r="H446" s="667"/>
      <c r="I446" s="667"/>
      <c r="J446" s="667"/>
      <c r="K446" s="667"/>
      <c r="L446" s="667"/>
      <c r="M446" s="667"/>
      <c r="N446" s="667"/>
      <c r="O446" s="667"/>
      <c r="P446" s="667"/>
      <c r="Q446" s="667"/>
    </row>
    <row r="447" ht="15.75" customHeight="1">
      <c r="B447" s="667"/>
      <c r="C447" s="667"/>
      <c r="D447" s="667"/>
      <c r="E447" s="667"/>
      <c r="F447" s="667"/>
      <c r="G447" s="667"/>
      <c r="H447" s="667"/>
      <c r="I447" s="667"/>
      <c r="J447" s="667"/>
      <c r="K447" s="667"/>
      <c r="L447" s="667"/>
      <c r="M447" s="667"/>
      <c r="N447" s="667"/>
      <c r="O447" s="667"/>
      <c r="P447" s="667"/>
      <c r="Q447" s="667"/>
    </row>
    <row r="448" ht="15.75" customHeight="1">
      <c r="B448" s="667"/>
      <c r="C448" s="667"/>
      <c r="D448" s="667"/>
      <c r="E448" s="667"/>
      <c r="F448" s="667"/>
      <c r="G448" s="667"/>
      <c r="H448" s="667"/>
      <c r="I448" s="667"/>
      <c r="J448" s="667"/>
      <c r="K448" s="667"/>
      <c r="L448" s="667"/>
      <c r="M448" s="667"/>
      <c r="N448" s="667"/>
      <c r="O448" s="667"/>
      <c r="P448" s="667"/>
      <c r="Q448" s="667"/>
    </row>
    <row r="449" ht="15.75" customHeight="1">
      <c r="B449" s="667"/>
      <c r="C449" s="667"/>
      <c r="D449" s="667"/>
      <c r="E449" s="667"/>
      <c r="F449" s="667"/>
      <c r="G449" s="667"/>
      <c r="H449" s="667"/>
      <c r="I449" s="667"/>
      <c r="J449" s="667"/>
      <c r="K449" s="667"/>
      <c r="L449" s="667"/>
      <c r="M449" s="667"/>
      <c r="N449" s="667"/>
      <c r="O449" s="667"/>
      <c r="P449" s="667"/>
      <c r="Q449" s="667"/>
    </row>
    <row r="450" ht="15.75" customHeight="1">
      <c r="B450" s="667"/>
      <c r="C450" s="667"/>
      <c r="D450" s="667"/>
      <c r="E450" s="667"/>
      <c r="F450" s="667"/>
      <c r="G450" s="667"/>
      <c r="H450" s="667"/>
      <c r="I450" s="667"/>
      <c r="J450" s="667"/>
      <c r="K450" s="667"/>
      <c r="L450" s="667"/>
      <c r="M450" s="667"/>
      <c r="N450" s="667"/>
      <c r="O450" s="667"/>
      <c r="P450" s="667"/>
      <c r="Q450" s="667"/>
    </row>
    <row r="451" ht="15.75" customHeight="1">
      <c r="B451" s="667"/>
      <c r="C451" s="667"/>
      <c r="D451" s="667"/>
      <c r="E451" s="667"/>
      <c r="F451" s="667"/>
      <c r="G451" s="667"/>
      <c r="H451" s="667"/>
      <c r="I451" s="667"/>
      <c r="J451" s="667"/>
      <c r="K451" s="667"/>
      <c r="L451" s="667"/>
      <c r="M451" s="667"/>
      <c r="N451" s="667"/>
      <c r="O451" s="667"/>
      <c r="P451" s="667"/>
      <c r="Q451" s="667"/>
    </row>
    <row r="452" ht="15.75" customHeight="1">
      <c r="B452" s="667"/>
      <c r="C452" s="667"/>
      <c r="D452" s="667"/>
      <c r="E452" s="667"/>
      <c r="F452" s="667"/>
      <c r="G452" s="667"/>
      <c r="H452" s="667"/>
      <c r="I452" s="667"/>
      <c r="J452" s="667"/>
      <c r="K452" s="667"/>
      <c r="L452" s="667"/>
      <c r="M452" s="667"/>
      <c r="N452" s="667"/>
      <c r="O452" s="667"/>
      <c r="P452" s="667"/>
      <c r="Q452" s="667"/>
    </row>
    <row r="453" ht="15.75" customHeight="1">
      <c r="B453" s="667"/>
      <c r="C453" s="667"/>
      <c r="D453" s="667"/>
      <c r="E453" s="667"/>
      <c r="F453" s="667"/>
      <c r="G453" s="667"/>
      <c r="H453" s="667"/>
      <c r="I453" s="667"/>
      <c r="J453" s="667"/>
      <c r="K453" s="667"/>
      <c r="L453" s="667"/>
      <c r="M453" s="667"/>
      <c r="N453" s="667"/>
      <c r="O453" s="667"/>
      <c r="P453" s="667"/>
      <c r="Q453" s="667"/>
    </row>
    <row r="454" ht="15.75" customHeight="1">
      <c r="B454" s="667"/>
      <c r="C454" s="667"/>
      <c r="D454" s="667"/>
      <c r="E454" s="667"/>
      <c r="F454" s="667"/>
      <c r="G454" s="667"/>
      <c r="H454" s="667"/>
      <c r="I454" s="667"/>
      <c r="J454" s="667"/>
      <c r="K454" s="667"/>
      <c r="L454" s="667"/>
      <c r="M454" s="667"/>
      <c r="N454" s="667"/>
      <c r="O454" s="667"/>
      <c r="P454" s="667"/>
      <c r="Q454" s="667"/>
    </row>
    <row r="455" ht="15.75" customHeight="1">
      <c r="B455" s="667"/>
      <c r="C455" s="667"/>
      <c r="D455" s="667"/>
      <c r="E455" s="667"/>
      <c r="F455" s="667"/>
      <c r="G455" s="667"/>
      <c r="H455" s="667"/>
      <c r="I455" s="667"/>
      <c r="J455" s="667"/>
      <c r="K455" s="667"/>
      <c r="L455" s="667"/>
      <c r="M455" s="667"/>
      <c r="N455" s="667"/>
      <c r="O455" s="667"/>
      <c r="P455" s="667"/>
      <c r="Q455" s="667"/>
    </row>
    <row r="456" ht="15.75" customHeight="1">
      <c r="B456" s="667"/>
      <c r="C456" s="667"/>
      <c r="D456" s="667"/>
      <c r="E456" s="667"/>
      <c r="F456" s="667"/>
      <c r="G456" s="667"/>
      <c r="H456" s="667"/>
      <c r="I456" s="667"/>
      <c r="J456" s="667"/>
      <c r="K456" s="667"/>
      <c r="L456" s="667"/>
      <c r="M456" s="667"/>
      <c r="N456" s="667"/>
      <c r="O456" s="667"/>
      <c r="P456" s="667"/>
      <c r="Q456" s="667"/>
    </row>
    <row r="457" ht="15.75" customHeight="1">
      <c r="B457" s="667"/>
      <c r="C457" s="667"/>
      <c r="D457" s="667"/>
      <c r="E457" s="667"/>
      <c r="F457" s="667"/>
      <c r="G457" s="667"/>
      <c r="H457" s="667"/>
      <c r="I457" s="667"/>
      <c r="J457" s="667"/>
      <c r="K457" s="667"/>
      <c r="L457" s="667"/>
      <c r="M457" s="667"/>
      <c r="N457" s="667"/>
      <c r="O457" s="667"/>
      <c r="P457" s="667"/>
      <c r="Q457" s="667"/>
    </row>
    <row r="458" ht="15.75" customHeight="1">
      <c r="B458" s="667"/>
      <c r="C458" s="667"/>
      <c r="D458" s="667"/>
      <c r="E458" s="667"/>
      <c r="F458" s="667"/>
      <c r="G458" s="667"/>
      <c r="H458" s="667"/>
      <c r="I458" s="667"/>
      <c r="J458" s="667"/>
      <c r="K458" s="667"/>
      <c r="L458" s="667"/>
      <c r="M458" s="667"/>
      <c r="N458" s="667"/>
      <c r="O458" s="667"/>
      <c r="P458" s="667"/>
      <c r="Q458" s="667"/>
    </row>
    <row r="459" ht="15.75" customHeight="1">
      <c r="B459" s="667"/>
      <c r="C459" s="667"/>
      <c r="D459" s="667"/>
      <c r="E459" s="667"/>
      <c r="F459" s="667"/>
      <c r="G459" s="667"/>
      <c r="H459" s="667"/>
      <c r="I459" s="667"/>
      <c r="J459" s="667"/>
      <c r="K459" s="667"/>
      <c r="L459" s="667"/>
      <c r="M459" s="667"/>
      <c r="N459" s="667"/>
      <c r="O459" s="667"/>
      <c r="P459" s="667"/>
      <c r="Q459" s="667"/>
    </row>
    <row r="460" ht="15.75" customHeight="1">
      <c r="B460" s="667"/>
      <c r="C460" s="667"/>
      <c r="D460" s="667"/>
      <c r="E460" s="667"/>
      <c r="F460" s="667"/>
      <c r="G460" s="667"/>
      <c r="H460" s="667"/>
      <c r="I460" s="667"/>
      <c r="J460" s="667"/>
      <c r="K460" s="667"/>
      <c r="L460" s="667"/>
      <c r="M460" s="667"/>
      <c r="N460" s="667"/>
      <c r="O460" s="667"/>
      <c r="P460" s="667"/>
      <c r="Q460" s="667"/>
    </row>
    <row r="461" ht="15.75" customHeight="1">
      <c r="B461" s="667"/>
      <c r="C461" s="667"/>
      <c r="D461" s="667"/>
      <c r="E461" s="667"/>
      <c r="F461" s="667"/>
      <c r="G461" s="667"/>
      <c r="H461" s="667"/>
      <c r="I461" s="667"/>
      <c r="J461" s="667"/>
      <c r="K461" s="667"/>
      <c r="L461" s="667"/>
      <c r="M461" s="667"/>
      <c r="N461" s="667"/>
      <c r="O461" s="667"/>
      <c r="P461" s="667"/>
      <c r="Q461" s="667"/>
    </row>
    <row r="462" ht="15.75" customHeight="1">
      <c r="B462" s="667"/>
      <c r="C462" s="667"/>
      <c r="D462" s="667"/>
      <c r="E462" s="667"/>
      <c r="F462" s="667"/>
      <c r="G462" s="667"/>
      <c r="H462" s="667"/>
      <c r="I462" s="667"/>
      <c r="J462" s="667"/>
      <c r="K462" s="667"/>
      <c r="L462" s="667"/>
      <c r="M462" s="667"/>
      <c r="N462" s="667"/>
      <c r="O462" s="667"/>
      <c r="P462" s="667"/>
      <c r="Q462" s="667"/>
    </row>
    <row r="463" ht="15.75" customHeight="1">
      <c r="B463" s="667"/>
      <c r="C463" s="667"/>
      <c r="D463" s="667"/>
      <c r="E463" s="667"/>
      <c r="F463" s="667"/>
      <c r="G463" s="667"/>
      <c r="H463" s="667"/>
      <c r="I463" s="667"/>
      <c r="J463" s="667"/>
      <c r="K463" s="667"/>
      <c r="L463" s="667"/>
      <c r="M463" s="667"/>
      <c r="N463" s="667"/>
      <c r="O463" s="667"/>
      <c r="P463" s="667"/>
      <c r="Q463" s="667"/>
    </row>
    <row r="464" ht="15.75" customHeight="1">
      <c r="B464" s="667"/>
      <c r="C464" s="667"/>
      <c r="D464" s="667"/>
      <c r="E464" s="667"/>
      <c r="F464" s="667"/>
      <c r="G464" s="667"/>
      <c r="H464" s="667"/>
      <c r="I464" s="667"/>
      <c r="J464" s="667"/>
      <c r="K464" s="667"/>
      <c r="L464" s="667"/>
      <c r="M464" s="667"/>
      <c r="N464" s="667"/>
      <c r="O464" s="667"/>
      <c r="P464" s="667"/>
      <c r="Q464" s="667"/>
    </row>
    <row r="465" ht="15.75" customHeight="1">
      <c r="B465" s="667"/>
      <c r="C465" s="667"/>
      <c r="D465" s="667"/>
      <c r="E465" s="667"/>
      <c r="F465" s="667"/>
      <c r="G465" s="667"/>
      <c r="H465" s="667"/>
      <c r="I465" s="667"/>
      <c r="J465" s="667"/>
      <c r="K465" s="667"/>
      <c r="L465" s="667"/>
      <c r="M465" s="667"/>
      <c r="N465" s="667"/>
      <c r="O465" s="667"/>
      <c r="P465" s="667"/>
      <c r="Q465" s="667"/>
    </row>
    <row r="466" ht="15.75" customHeight="1">
      <c r="B466" s="667"/>
      <c r="C466" s="667"/>
      <c r="D466" s="667"/>
      <c r="E466" s="667"/>
      <c r="F466" s="667"/>
      <c r="G466" s="667"/>
      <c r="H466" s="667"/>
      <c r="I466" s="667"/>
      <c r="J466" s="667"/>
      <c r="K466" s="667"/>
      <c r="L466" s="667"/>
      <c r="M466" s="667"/>
      <c r="N466" s="667"/>
      <c r="O466" s="667"/>
      <c r="P466" s="667"/>
      <c r="Q466" s="667"/>
    </row>
    <row r="467" ht="15.75" customHeight="1">
      <c r="B467" s="667"/>
      <c r="C467" s="667"/>
      <c r="D467" s="667"/>
      <c r="E467" s="667"/>
      <c r="F467" s="667"/>
      <c r="G467" s="667"/>
      <c r="H467" s="667"/>
      <c r="I467" s="667"/>
      <c r="J467" s="667"/>
      <c r="K467" s="667"/>
      <c r="L467" s="667"/>
      <c r="M467" s="667"/>
      <c r="N467" s="667"/>
      <c r="O467" s="667"/>
      <c r="P467" s="667"/>
      <c r="Q467" s="667"/>
    </row>
    <row r="468" ht="15.75" customHeight="1">
      <c r="B468" s="667"/>
      <c r="C468" s="667"/>
      <c r="D468" s="667"/>
      <c r="E468" s="667"/>
      <c r="F468" s="667"/>
      <c r="G468" s="667"/>
      <c r="H468" s="667"/>
      <c r="I468" s="667"/>
      <c r="J468" s="667"/>
      <c r="K468" s="667"/>
      <c r="L468" s="667"/>
      <c r="M468" s="667"/>
      <c r="N468" s="667"/>
      <c r="O468" s="667"/>
      <c r="P468" s="667"/>
      <c r="Q468" s="667"/>
    </row>
    <row r="469" ht="15.75" customHeight="1">
      <c r="B469" s="667"/>
      <c r="C469" s="667"/>
      <c r="D469" s="667"/>
      <c r="E469" s="667"/>
      <c r="F469" s="667"/>
      <c r="G469" s="667"/>
      <c r="H469" s="667"/>
      <c r="I469" s="667"/>
      <c r="J469" s="667"/>
      <c r="K469" s="667"/>
      <c r="L469" s="667"/>
      <c r="M469" s="667"/>
      <c r="N469" s="667"/>
      <c r="O469" s="667"/>
      <c r="P469" s="667"/>
      <c r="Q469" s="667"/>
    </row>
    <row r="470" ht="15.75" customHeight="1">
      <c r="B470" s="667"/>
      <c r="C470" s="667"/>
      <c r="D470" s="667"/>
      <c r="E470" s="667"/>
      <c r="F470" s="667"/>
      <c r="G470" s="667"/>
      <c r="H470" s="667"/>
      <c r="I470" s="667"/>
      <c r="J470" s="667"/>
      <c r="K470" s="667"/>
      <c r="L470" s="667"/>
      <c r="M470" s="667"/>
      <c r="N470" s="667"/>
      <c r="O470" s="667"/>
      <c r="P470" s="667"/>
      <c r="Q470" s="667"/>
    </row>
    <row r="471" ht="15.75" customHeight="1">
      <c r="B471" s="667"/>
      <c r="C471" s="667"/>
      <c r="D471" s="667"/>
      <c r="E471" s="667"/>
      <c r="F471" s="667"/>
      <c r="G471" s="667"/>
      <c r="H471" s="667"/>
      <c r="I471" s="667"/>
      <c r="J471" s="667"/>
      <c r="K471" s="667"/>
      <c r="L471" s="667"/>
      <c r="M471" s="667"/>
      <c r="N471" s="667"/>
      <c r="O471" s="667"/>
      <c r="P471" s="667"/>
      <c r="Q471" s="667"/>
    </row>
    <row r="472" ht="15.75" customHeight="1">
      <c r="B472" s="667"/>
      <c r="C472" s="667"/>
      <c r="D472" s="667"/>
      <c r="E472" s="667"/>
      <c r="F472" s="667"/>
      <c r="G472" s="667"/>
      <c r="H472" s="667"/>
      <c r="I472" s="667"/>
      <c r="J472" s="667"/>
      <c r="K472" s="667"/>
      <c r="L472" s="667"/>
      <c r="M472" s="667"/>
      <c r="N472" s="667"/>
      <c r="O472" s="667"/>
      <c r="P472" s="667"/>
      <c r="Q472" s="667"/>
    </row>
    <row r="473" ht="15.75" customHeight="1">
      <c r="B473" s="667"/>
      <c r="C473" s="667"/>
      <c r="D473" s="667"/>
      <c r="E473" s="667"/>
      <c r="F473" s="667"/>
      <c r="G473" s="667"/>
      <c r="H473" s="667"/>
      <c r="I473" s="667"/>
      <c r="J473" s="667"/>
      <c r="K473" s="667"/>
      <c r="L473" s="667"/>
      <c r="M473" s="667"/>
      <c r="N473" s="667"/>
      <c r="O473" s="667"/>
      <c r="P473" s="667"/>
      <c r="Q473" s="667"/>
    </row>
    <row r="474" ht="15.75" customHeight="1">
      <c r="B474" s="667"/>
      <c r="C474" s="667"/>
      <c r="D474" s="667"/>
      <c r="E474" s="667"/>
      <c r="F474" s="667"/>
      <c r="G474" s="667"/>
      <c r="H474" s="667"/>
      <c r="I474" s="667"/>
      <c r="J474" s="667"/>
      <c r="K474" s="667"/>
      <c r="L474" s="667"/>
      <c r="M474" s="667"/>
      <c r="N474" s="667"/>
      <c r="O474" s="667"/>
      <c r="P474" s="667"/>
      <c r="Q474" s="667"/>
    </row>
    <row r="475" ht="15.75" customHeight="1">
      <c r="B475" s="667"/>
      <c r="C475" s="667"/>
      <c r="D475" s="667"/>
      <c r="E475" s="667"/>
      <c r="F475" s="667"/>
      <c r="G475" s="667"/>
      <c r="H475" s="667"/>
      <c r="I475" s="667"/>
      <c r="J475" s="667"/>
      <c r="K475" s="667"/>
      <c r="L475" s="667"/>
      <c r="M475" s="667"/>
      <c r="N475" s="667"/>
      <c r="O475" s="667"/>
      <c r="P475" s="667"/>
      <c r="Q475" s="667"/>
    </row>
    <row r="476" ht="15.75" customHeight="1">
      <c r="B476" s="667"/>
      <c r="C476" s="667"/>
      <c r="D476" s="667"/>
      <c r="E476" s="667"/>
      <c r="F476" s="667"/>
      <c r="G476" s="667"/>
      <c r="H476" s="667"/>
      <c r="I476" s="667"/>
      <c r="J476" s="667"/>
      <c r="K476" s="667"/>
      <c r="L476" s="667"/>
      <c r="M476" s="667"/>
      <c r="N476" s="667"/>
      <c r="O476" s="667"/>
      <c r="P476" s="667"/>
      <c r="Q476" s="667"/>
    </row>
    <row r="477" ht="15.75" customHeight="1">
      <c r="B477" s="667"/>
      <c r="C477" s="667"/>
      <c r="D477" s="667"/>
      <c r="E477" s="667"/>
      <c r="F477" s="667"/>
      <c r="G477" s="667"/>
      <c r="H477" s="667"/>
      <c r="I477" s="667"/>
      <c r="J477" s="667"/>
      <c r="K477" s="667"/>
      <c r="L477" s="667"/>
      <c r="M477" s="667"/>
      <c r="N477" s="667"/>
      <c r="O477" s="667"/>
      <c r="P477" s="667"/>
      <c r="Q477" s="667"/>
    </row>
    <row r="478" ht="15.75" customHeight="1">
      <c r="B478" s="667"/>
      <c r="C478" s="667"/>
      <c r="D478" s="667"/>
      <c r="E478" s="667"/>
      <c r="F478" s="667"/>
      <c r="G478" s="667"/>
      <c r="H478" s="667"/>
      <c r="I478" s="667"/>
      <c r="J478" s="667"/>
      <c r="K478" s="667"/>
      <c r="L478" s="667"/>
      <c r="M478" s="667"/>
      <c r="N478" s="667"/>
      <c r="O478" s="667"/>
      <c r="P478" s="667"/>
      <c r="Q478" s="667"/>
    </row>
    <row r="479" ht="15.75" customHeight="1">
      <c r="B479" s="667"/>
      <c r="C479" s="667"/>
      <c r="D479" s="667"/>
      <c r="E479" s="667"/>
      <c r="F479" s="667"/>
      <c r="G479" s="667"/>
      <c r="H479" s="667"/>
      <c r="I479" s="667"/>
      <c r="J479" s="667"/>
      <c r="K479" s="667"/>
      <c r="L479" s="667"/>
      <c r="M479" s="667"/>
      <c r="N479" s="667"/>
      <c r="O479" s="667"/>
      <c r="P479" s="667"/>
      <c r="Q479" s="667"/>
    </row>
    <row r="480" ht="15.75" customHeight="1">
      <c r="B480" s="667"/>
      <c r="C480" s="667"/>
      <c r="D480" s="667"/>
      <c r="E480" s="667"/>
      <c r="F480" s="667"/>
      <c r="G480" s="667"/>
      <c r="H480" s="667"/>
      <c r="I480" s="667"/>
      <c r="J480" s="667"/>
      <c r="K480" s="667"/>
      <c r="L480" s="667"/>
      <c r="M480" s="667"/>
      <c r="N480" s="667"/>
      <c r="O480" s="667"/>
      <c r="P480" s="667"/>
      <c r="Q480" s="667"/>
    </row>
    <row r="481" ht="15.75" customHeight="1">
      <c r="B481" s="667"/>
      <c r="C481" s="667"/>
      <c r="D481" s="667"/>
      <c r="E481" s="667"/>
      <c r="F481" s="667"/>
      <c r="G481" s="667"/>
      <c r="H481" s="667"/>
      <c r="I481" s="667"/>
      <c r="J481" s="667"/>
      <c r="K481" s="667"/>
      <c r="L481" s="667"/>
      <c r="M481" s="667"/>
      <c r="N481" s="667"/>
      <c r="O481" s="667"/>
      <c r="P481" s="667"/>
      <c r="Q481" s="667"/>
    </row>
    <row r="482" ht="15.75" customHeight="1">
      <c r="B482" s="667"/>
      <c r="C482" s="667"/>
      <c r="D482" s="667"/>
      <c r="E482" s="667"/>
      <c r="F482" s="667"/>
      <c r="G482" s="667"/>
      <c r="H482" s="667"/>
      <c r="I482" s="667"/>
      <c r="J482" s="667"/>
      <c r="K482" s="667"/>
      <c r="L482" s="667"/>
      <c r="M482" s="667"/>
      <c r="N482" s="667"/>
      <c r="O482" s="667"/>
      <c r="P482" s="667"/>
      <c r="Q482" s="667"/>
    </row>
    <row r="483" ht="15.75" customHeight="1">
      <c r="B483" s="667"/>
      <c r="C483" s="667"/>
      <c r="D483" s="667"/>
      <c r="E483" s="667"/>
      <c r="F483" s="667"/>
      <c r="G483" s="667"/>
      <c r="H483" s="667"/>
      <c r="I483" s="667"/>
      <c r="J483" s="667"/>
      <c r="K483" s="667"/>
      <c r="L483" s="667"/>
      <c r="M483" s="667"/>
      <c r="N483" s="667"/>
      <c r="O483" s="667"/>
      <c r="P483" s="667"/>
      <c r="Q483" s="667"/>
    </row>
    <row r="484" ht="15.75" customHeight="1">
      <c r="B484" s="667"/>
      <c r="C484" s="667"/>
      <c r="D484" s="667"/>
      <c r="E484" s="667"/>
      <c r="F484" s="667"/>
      <c r="G484" s="667"/>
      <c r="H484" s="667"/>
      <c r="I484" s="667"/>
      <c r="J484" s="667"/>
      <c r="K484" s="667"/>
      <c r="L484" s="667"/>
      <c r="M484" s="667"/>
      <c r="N484" s="667"/>
      <c r="O484" s="667"/>
      <c r="P484" s="667"/>
      <c r="Q484" s="667"/>
    </row>
    <row r="485" ht="15.75" customHeight="1">
      <c r="B485" s="667"/>
      <c r="C485" s="667"/>
      <c r="D485" s="667"/>
      <c r="E485" s="667"/>
      <c r="F485" s="667"/>
      <c r="G485" s="667"/>
      <c r="H485" s="667"/>
      <c r="I485" s="667"/>
      <c r="J485" s="667"/>
      <c r="K485" s="667"/>
      <c r="L485" s="667"/>
      <c r="M485" s="667"/>
      <c r="N485" s="667"/>
      <c r="O485" s="667"/>
      <c r="P485" s="667"/>
      <c r="Q485" s="667"/>
    </row>
    <row r="486" ht="15.75" customHeight="1">
      <c r="B486" s="667"/>
      <c r="C486" s="667"/>
      <c r="D486" s="667"/>
      <c r="E486" s="667"/>
      <c r="F486" s="667"/>
      <c r="G486" s="667"/>
      <c r="H486" s="667"/>
      <c r="I486" s="667"/>
      <c r="J486" s="667"/>
      <c r="K486" s="667"/>
      <c r="L486" s="667"/>
      <c r="M486" s="667"/>
      <c r="N486" s="667"/>
      <c r="O486" s="667"/>
      <c r="P486" s="667"/>
      <c r="Q486" s="667"/>
    </row>
    <row r="487" ht="15.75" customHeight="1">
      <c r="B487" s="667"/>
      <c r="C487" s="667"/>
      <c r="D487" s="667"/>
      <c r="E487" s="667"/>
      <c r="F487" s="667"/>
      <c r="G487" s="667"/>
      <c r="H487" s="667"/>
      <c r="I487" s="667"/>
      <c r="J487" s="667"/>
      <c r="K487" s="667"/>
      <c r="L487" s="667"/>
      <c r="M487" s="667"/>
      <c r="N487" s="667"/>
      <c r="O487" s="667"/>
      <c r="P487" s="667"/>
      <c r="Q487" s="667"/>
    </row>
    <row r="488" ht="15.75" customHeight="1">
      <c r="B488" s="667"/>
      <c r="C488" s="667"/>
      <c r="D488" s="667"/>
      <c r="E488" s="667"/>
      <c r="F488" s="667"/>
      <c r="G488" s="667"/>
      <c r="H488" s="667"/>
      <c r="I488" s="667"/>
      <c r="J488" s="667"/>
      <c r="K488" s="667"/>
      <c r="L488" s="667"/>
      <c r="M488" s="667"/>
      <c r="N488" s="667"/>
      <c r="O488" s="667"/>
      <c r="P488" s="667"/>
      <c r="Q488" s="667"/>
    </row>
    <row r="489" ht="15.75" customHeight="1">
      <c r="B489" s="667"/>
      <c r="C489" s="667"/>
      <c r="D489" s="667"/>
      <c r="E489" s="667"/>
      <c r="F489" s="667"/>
      <c r="G489" s="667"/>
      <c r="H489" s="667"/>
      <c r="I489" s="667"/>
      <c r="J489" s="667"/>
      <c r="K489" s="667"/>
      <c r="L489" s="667"/>
      <c r="M489" s="667"/>
      <c r="N489" s="667"/>
      <c r="O489" s="667"/>
      <c r="P489" s="667"/>
      <c r="Q489" s="667"/>
    </row>
    <row r="490" ht="15.75" customHeight="1">
      <c r="B490" s="667"/>
      <c r="C490" s="667"/>
      <c r="D490" s="667"/>
      <c r="E490" s="667"/>
      <c r="F490" s="667"/>
      <c r="G490" s="667"/>
      <c r="H490" s="667"/>
      <c r="I490" s="667"/>
      <c r="J490" s="667"/>
      <c r="K490" s="667"/>
      <c r="L490" s="667"/>
      <c r="M490" s="667"/>
      <c r="N490" s="667"/>
      <c r="O490" s="667"/>
      <c r="P490" s="667"/>
      <c r="Q490" s="667"/>
    </row>
    <row r="491" ht="15.75" customHeight="1">
      <c r="B491" s="667"/>
      <c r="C491" s="667"/>
      <c r="D491" s="667"/>
      <c r="E491" s="667"/>
      <c r="F491" s="667"/>
      <c r="G491" s="667"/>
      <c r="H491" s="667"/>
      <c r="I491" s="667"/>
      <c r="J491" s="667"/>
      <c r="K491" s="667"/>
      <c r="L491" s="667"/>
      <c r="M491" s="667"/>
      <c r="N491" s="667"/>
      <c r="O491" s="667"/>
      <c r="P491" s="667"/>
      <c r="Q491" s="667"/>
    </row>
    <row r="492" ht="15.75" customHeight="1">
      <c r="B492" s="667"/>
      <c r="C492" s="667"/>
      <c r="D492" s="667"/>
      <c r="E492" s="667"/>
      <c r="F492" s="667"/>
      <c r="G492" s="667"/>
      <c r="H492" s="667"/>
      <c r="I492" s="667"/>
      <c r="J492" s="667"/>
      <c r="K492" s="667"/>
      <c r="L492" s="667"/>
      <c r="M492" s="667"/>
      <c r="N492" s="667"/>
      <c r="O492" s="667"/>
      <c r="P492" s="667"/>
      <c r="Q492" s="667"/>
    </row>
    <row r="493" ht="15.75" customHeight="1">
      <c r="B493" s="667"/>
      <c r="C493" s="667"/>
      <c r="D493" s="667"/>
      <c r="E493" s="667"/>
      <c r="F493" s="667"/>
      <c r="G493" s="667"/>
      <c r="H493" s="667"/>
      <c r="I493" s="667"/>
      <c r="J493" s="667"/>
      <c r="K493" s="667"/>
      <c r="L493" s="667"/>
      <c r="M493" s="667"/>
      <c r="N493" s="667"/>
      <c r="O493" s="667"/>
      <c r="P493" s="667"/>
      <c r="Q493" s="667"/>
    </row>
    <row r="494" ht="15.75" customHeight="1">
      <c r="B494" s="667"/>
      <c r="C494" s="667"/>
      <c r="D494" s="667"/>
      <c r="E494" s="667"/>
      <c r="F494" s="667"/>
      <c r="G494" s="667"/>
      <c r="H494" s="667"/>
      <c r="I494" s="667"/>
      <c r="J494" s="667"/>
      <c r="K494" s="667"/>
      <c r="L494" s="667"/>
      <c r="M494" s="667"/>
      <c r="N494" s="667"/>
      <c r="O494" s="667"/>
      <c r="P494" s="667"/>
      <c r="Q494" s="667"/>
    </row>
    <row r="495" ht="15.75" customHeight="1">
      <c r="B495" s="667"/>
      <c r="C495" s="667"/>
      <c r="D495" s="667"/>
      <c r="E495" s="667"/>
      <c r="F495" s="667"/>
      <c r="G495" s="667"/>
      <c r="H495" s="667"/>
      <c r="I495" s="667"/>
      <c r="J495" s="667"/>
      <c r="K495" s="667"/>
      <c r="L495" s="667"/>
      <c r="M495" s="667"/>
      <c r="N495" s="667"/>
      <c r="O495" s="667"/>
      <c r="P495" s="667"/>
      <c r="Q495" s="667"/>
    </row>
    <row r="496" ht="15.75" customHeight="1">
      <c r="B496" s="667"/>
      <c r="C496" s="667"/>
      <c r="D496" s="667"/>
      <c r="E496" s="667"/>
      <c r="F496" s="667"/>
      <c r="G496" s="667"/>
      <c r="H496" s="667"/>
      <c r="I496" s="667"/>
      <c r="J496" s="667"/>
      <c r="K496" s="667"/>
      <c r="L496" s="667"/>
      <c r="M496" s="667"/>
      <c r="N496" s="667"/>
      <c r="O496" s="667"/>
      <c r="P496" s="667"/>
      <c r="Q496" s="667"/>
    </row>
    <row r="497" ht="15.75" customHeight="1">
      <c r="B497" s="667"/>
      <c r="C497" s="667"/>
      <c r="D497" s="667"/>
      <c r="E497" s="667"/>
      <c r="F497" s="667"/>
      <c r="G497" s="667"/>
      <c r="H497" s="667"/>
      <c r="I497" s="667"/>
      <c r="J497" s="667"/>
      <c r="K497" s="667"/>
      <c r="L497" s="667"/>
      <c r="M497" s="667"/>
      <c r="N497" s="667"/>
      <c r="O497" s="667"/>
      <c r="P497" s="667"/>
      <c r="Q497" s="667"/>
    </row>
    <row r="498" ht="15.75" customHeight="1">
      <c r="B498" s="667"/>
      <c r="C498" s="667"/>
      <c r="D498" s="667"/>
      <c r="E498" s="667"/>
      <c r="F498" s="667"/>
      <c r="G498" s="667"/>
      <c r="H498" s="667"/>
      <c r="I498" s="667"/>
      <c r="J498" s="667"/>
      <c r="K498" s="667"/>
      <c r="L498" s="667"/>
      <c r="M498" s="667"/>
      <c r="N498" s="667"/>
      <c r="O498" s="667"/>
      <c r="P498" s="667"/>
      <c r="Q498" s="667"/>
    </row>
    <row r="499" ht="15.75" customHeight="1">
      <c r="B499" s="667"/>
      <c r="C499" s="667"/>
      <c r="D499" s="667"/>
      <c r="E499" s="667"/>
      <c r="F499" s="667"/>
      <c r="G499" s="667"/>
      <c r="H499" s="667"/>
      <c r="I499" s="667"/>
      <c r="J499" s="667"/>
      <c r="K499" s="667"/>
      <c r="L499" s="667"/>
      <c r="M499" s="667"/>
      <c r="N499" s="667"/>
      <c r="O499" s="667"/>
      <c r="P499" s="667"/>
      <c r="Q499" s="667"/>
    </row>
    <row r="500" ht="15.75" customHeight="1">
      <c r="B500" s="667"/>
      <c r="C500" s="667"/>
      <c r="D500" s="667"/>
      <c r="E500" s="667"/>
      <c r="F500" s="667"/>
      <c r="G500" s="667"/>
      <c r="H500" s="667"/>
      <c r="I500" s="667"/>
      <c r="J500" s="667"/>
      <c r="K500" s="667"/>
      <c r="L500" s="667"/>
      <c r="M500" s="667"/>
      <c r="N500" s="667"/>
      <c r="O500" s="667"/>
      <c r="P500" s="667"/>
      <c r="Q500" s="667"/>
    </row>
    <row r="501" ht="15.75" customHeight="1">
      <c r="B501" s="667"/>
      <c r="C501" s="667"/>
      <c r="D501" s="667"/>
      <c r="E501" s="667"/>
      <c r="F501" s="667"/>
      <c r="G501" s="667"/>
      <c r="H501" s="667"/>
      <c r="I501" s="667"/>
      <c r="J501" s="667"/>
      <c r="K501" s="667"/>
      <c r="L501" s="667"/>
      <c r="M501" s="667"/>
      <c r="N501" s="667"/>
      <c r="O501" s="667"/>
      <c r="P501" s="667"/>
      <c r="Q501" s="667"/>
    </row>
    <row r="502" ht="15.75" customHeight="1">
      <c r="B502" s="667"/>
      <c r="C502" s="667"/>
      <c r="D502" s="667"/>
      <c r="E502" s="667"/>
      <c r="F502" s="667"/>
      <c r="G502" s="667"/>
      <c r="H502" s="667"/>
      <c r="I502" s="667"/>
      <c r="J502" s="667"/>
      <c r="K502" s="667"/>
      <c r="L502" s="667"/>
      <c r="M502" s="667"/>
      <c r="N502" s="667"/>
      <c r="O502" s="667"/>
      <c r="P502" s="667"/>
      <c r="Q502" s="667"/>
    </row>
    <row r="503" ht="15.75" customHeight="1">
      <c r="B503" s="667"/>
      <c r="C503" s="667"/>
      <c r="D503" s="667"/>
      <c r="E503" s="667"/>
      <c r="F503" s="667"/>
      <c r="G503" s="667"/>
      <c r="H503" s="667"/>
      <c r="I503" s="667"/>
      <c r="J503" s="667"/>
      <c r="K503" s="667"/>
      <c r="L503" s="667"/>
      <c r="M503" s="667"/>
      <c r="N503" s="667"/>
      <c r="O503" s="667"/>
      <c r="P503" s="667"/>
      <c r="Q503" s="667"/>
    </row>
    <row r="504" ht="15.75" customHeight="1">
      <c r="B504" s="667"/>
      <c r="C504" s="667"/>
      <c r="D504" s="667"/>
      <c r="E504" s="667"/>
      <c r="F504" s="667"/>
      <c r="G504" s="667"/>
      <c r="H504" s="667"/>
      <c r="I504" s="667"/>
      <c r="J504" s="667"/>
      <c r="K504" s="667"/>
      <c r="L504" s="667"/>
      <c r="M504" s="667"/>
      <c r="N504" s="667"/>
      <c r="O504" s="667"/>
      <c r="P504" s="667"/>
      <c r="Q504" s="667"/>
    </row>
    <row r="505" ht="15.75" customHeight="1">
      <c r="B505" s="667"/>
      <c r="C505" s="667"/>
      <c r="D505" s="667"/>
      <c r="E505" s="667"/>
      <c r="F505" s="667"/>
      <c r="G505" s="667"/>
      <c r="H505" s="667"/>
      <c r="I505" s="667"/>
      <c r="J505" s="667"/>
      <c r="K505" s="667"/>
      <c r="L505" s="667"/>
      <c r="M505" s="667"/>
      <c r="N505" s="667"/>
      <c r="O505" s="667"/>
      <c r="P505" s="667"/>
      <c r="Q505" s="667"/>
    </row>
    <row r="506" ht="15.75" customHeight="1">
      <c r="B506" s="667"/>
      <c r="C506" s="667"/>
      <c r="D506" s="667"/>
      <c r="E506" s="667"/>
      <c r="F506" s="667"/>
      <c r="G506" s="667"/>
      <c r="H506" s="667"/>
      <c r="I506" s="667"/>
      <c r="J506" s="667"/>
      <c r="K506" s="667"/>
      <c r="L506" s="667"/>
      <c r="M506" s="667"/>
      <c r="N506" s="667"/>
      <c r="O506" s="667"/>
      <c r="P506" s="667"/>
      <c r="Q506" s="667"/>
    </row>
    <row r="507" ht="15.75" customHeight="1">
      <c r="B507" s="667"/>
      <c r="C507" s="667"/>
      <c r="D507" s="667"/>
      <c r="E507" s="667"/>
      <c r="F507" s="667"/>
      <c r="G507" s="667"/>
      <c r="H507" s="667"/>
      <c r="I507" s="667"/>
      <c r="J507" s="667"/>
      <c r="K507" s="667"/>
      <c r="L507" s="667"/>
      <c r="M507" s="667"/>
      <c r="N507" s="667"/>
      <c r="O507" s="667"/>
      <c r="P507" s="667"/>
      <c r="Q507" s="667"/>
    </row>
    <row r="508" ht="15.75" customHeight="1">
      <c r="B508" s="667"/>
      <c r="C508" s="667"/>
      <c r="D508" s="667"/>
      <c r="E508" s="667"/>
      <c r="F508" s="667"/>
      <c r="G508" s="667"/>
      <c r="H508" s="667"/>
      <c r="I508" s="667"/>
      <c r="J508" s="667"/>
      <c r="K508" s="667"/>
      <c r="L508" s="667"/>
      <c r="M508" s="667"/>
      <c r="N508" s="667"/>
      <c r="O508" s="667"/>
      <c r="P508" s="667"/>
      <c r="Q508" s="667"/>
    </row>
    <row r="509" ht="15.75" customHeight="1">
      <c r="B509" s="667"/>
      <c r="C509" s="667"/>
      <c r="D509" s="667"/>
      <c r="E509" s="667"/>
      <c r="F509" s="667"/>
      <c r="G509" s="667"/>
      <c r="H509" s="667"/>
      <c r="I509" s="667"/>
      <c r="J509" s="667"/>
      <c r="K509" s="667"/>
      <c r="L509" s="667"/>
      <c r="M509" s="667"/>
      <c r="N509" s="667"/>
      <c r="O509" s="667"/>
      <c r="P509" s="667"/>
      <c r="Q509" s="667"/>
    </row>
    <row r="510" ht="15.75" customHeight="1">
      <c r="B510" s="667"/>
      <c r="C510" s="667"/>
      <c r="D510" s="667"/>
      <c r="E510" s="667"/>
      <c r="F510" s="667"/>
      <c r="G510" s="667"/>
      <c r="H510" s="667"/>
      <c r="I510" s="667"/>
      <c r="J510" s="667"/>
      <c r="K510" s="667"/>
      <c r="L510" s="667"/>
      <c r="M510" s="667"/>
      <c r="N510" s="667"/>
      <c r="O510" s="667"/>
      <c r="P510" s="667"/>
      <c r="Q510" s="667"/>
    </row>
    <row r="511" ht="15.75" customHeight="1">
      <c r="B511" s="667"/>
      <c r="C511" s="667"/>
      <c r="D511" s="667"/>
      <c r="E511" s="667"/>
      <c r="F511" s="667"/>
      <c r="G511" s="667"/>
      <c r="H511" s="667"/>
      <c r="I511" s="667"/>
      <c r="J511" s="667"/>
      <c r="K511" s="667"/>
      <c r="L511" s="667"/>
      <c r="M511" s="667"/>
      <c r="N511" s="667"/>
      <c r="O511" s="667"/>
      <c r="P511" s="667"/>
      <c r="Q511" s="667"/>
    </row>
    <row r="512" ht="15.75" customHeight="1">
      <c r="B512" s="667"/>
      <c r="C512" s="667"/>
      <c r="D512" s="667"/>
      <c r="E512" s="667"/>
      <c r="F512" s="667"/>
      <c r="G512" s="667"/>
      <c r="H512" s="667"/>
      <c r="I512" s="667"/>
      <c r="J512" s="667"/>
      <c r="K512" s="667"/>
      <c r="L512" s="667"/>
      <c r="M512" s="667"/>
      <c r="N512" s="667"/>
      <c r="O512" s="667"/>
      <c r="P512" s="667"/>
      <c r="Q512" s="667"/>
    </row>
    <row r="513" ht="15.75" customHeight="1">
      <c r="B513" s="667"/>
      <c r="C513" s="667"/>
      <c r="D513" s="667"/>
      <c r="E513" s="667"/>
      <c r="F513" s="667"/>
      <c r="G513" s="667"/>
      <c r="H513" s="667"/>
      <c r="I513" s="667"/>
      <c r="J513" s="667"/>
      <c r="K513" s="667"/>
      <c r="L513" s="667"/>
      <c r="M513" s="667"/>
      <c r="N513" s="667"/>
      <c r="O513" s="667"/>
      <c r="P513" s="667"/>
      <c r="Q513" s="667"/>
    </row>
    <row r="514" ht="15.75" customHeight="1">
      <c r="B514" s="667"/>
      <c r="C514" s="667"/>
      <c r="D514" s="667"/>
      <c r="E514" s="667"/>
      <c r="F514" s="667"/>
      <c r="G514" s="667"/>
      <c r="H514" s="667"/>
      <c r="I514" s="667"/>
      <c r="J514" s="667"/>
      <c r="K514" s="667"/>
      <c r="L514" s="667"/>
      <c r="M514" s="667"/>
      <c r="N514" s="667"/>
      <c r="O514" s="667"/>
      <c r="P514" s="667"/>
      <c r="Q514" s="667"/>
    </row>
    <row r="515" ht="15.75" customHeight="1">
      <c r="B515" s="667"/>
      <c r="C515" s="667"/>
      <c r="D515" s="667"/>
      <c r="E515" s="667"/>
      <c r="F515" s="667"/>
      <c r="G515" s="667"/>
      <c r="H515" s="667"/>
      <c r="I515" s="667"/>
      <c r="J515" s="667"/>
      <c r="K515" s="667"/>
      <c r="L515" s="667"/>
      <c r="M515" s="667"/>
      <c r="N515" s="667"/>
      <c r="O515" s="667"/>
      <c r="P515" s="667"/>
      <c r="Q515" s="667"/>
    </row>
    <row r="516" ht="15.75" customHeight="1">
      <c r="B516" s="667"/>
      <c r="C516" s="667"/>
      <c r="D516" s="667"/>
      <c r="E516" s="667"/>
      <c r="F516" s="667"/>
      <c r="G516" s="667"/>
      <c r="H516" s="667"/>
      <c r="I516" s="667"/>
      <c r="J516" s="667"/>
      <c r="K516" s="667"/>
      <c r="L516" s="667"/>
      <c r="M516" s="667"/>
      <c r="N516" s="667"/>
      <c r="O516" s="667"/>
      <c r="P516" s="667"/>
      <c r="Q516" s="667"/>
    </row>
    <row r="517" ht="15.75" customHeight="1">
      <c r="B517" s="667"/>
      <c r="C517" s="667"/>
      <c r="D517" s="667"/>
      <c r="E517" s="667"/>
      <c r="F517" s="667"/>
      <c r="G517" s="667"/>
      <c r="H517" s="667"/>
      <c r="I517" s="667"/>
      <c r="J517" s="667"/>
      <c r="K517" s="667"/>
      <c r="L517" s="667"/>
      <c r="M517" s="667"/>
      <c r="N517" s="667"/>
      <c r="O517" s="667"/>
      <c r="P517" s="667"/>
      <c r="Q517" s="667"/>
    </row>
    <row r="518" ht="15.75" customHeight="1">
      <c r="B518" s="667"/>
      <c r="C518" s="667"/>
      <c r="D518" s="667"/>
      <c r="E518" s="667"/>
      <c r="F518" s="667"/>
      <c r="G518" s="667"/>
      <c r="H518" s="667"/>
      <c r="I518" s="667"/>
      <c r="J518" s="667"/>
      <c r="K518" s="667"/>
      <c r="L518" s="667"/>
      <c r="M518" s="667"/>
      <c r="N518" s="667"/>
      <c r="O518" s="667"/>
      <c r="P518" s="667"/>
      <c r="Q518" s="667"/>
    </row>
    <row r="519" ht="15.75" customHeight="1">
      <c r="B519" s="667"/>
      <c r="C519" s="667"/>
      <c r="D519" s="667"/>
      <c r="E519" s="667"/>
      <c r="F519" s="667"/>
      <c r="G519" s="667"/>
      <c r="H519" s="667"/>
      <c r="I519" s="667"/>
      <c r="J519" s="667"/>
      <c r="K519" s="667"/>
      <c r="L519" s="667"/>
      <c r="M519" s="667"/>
      <c r="N519" s="667"/>
      <c r="O519" s="667"/>
      <c r="P519" s="667"/>
      <c r="Q519" s="667"/>
    </row>
    <row r="520" ht="15.75" customHeight="1">
      <c r="B520" s="667"/>
      <c r="C520" s="667"/>
      <c r="D520" s="667"/>
      <c r="E520" s="667"/>
      <c r="F520" s="667"/>
      <c r="G520" s="667"/>
      <c r="H520" s="667"/>
      <c r="I520" s="667"/>
      <c r="J520" s="667"/>
      <c r="K520" s="667"/>
      <c r="L520" s="667"/>
      <c r="M520" s="667"/>
      <c r="N520" s="667"/>
      <c r="O520" s="667"/>
      <c r="P520" s="667"/>
      <c r="Q520" s="667"/>
    </row>
    <row r="521" ht="15.75" customHeight="1">
      <c r="B521" s="667"/>
      <c r="C521" s="667"/>
      <c r="D521" s="667"/>
      <c r="E521" s="667"/>
      <c r="F521" s="667"/>
      <c r="G521" s="667"/>
      <c r="H521" s="667"/>
      <c r="I521" s="667"/>
      <c r="J521" s="667"/>
      <c r="K521" s="667"/>
      <c r="L521" s="667"/>
      <c r="M521" s="667"/>
      <c r="N521" s="667"/>
      <c r="O521" s="667"/>
      <c r="P521" s="667"/>
      <c r="Q521" s="667"/>
    </row>
    <row r="522" ht="15.75" customHeight="1">
      <c r="B522" s="667"/>
      <c r="C522" s="667"/>
      <c r="D522" s="667"/>
      <c r="E522" s="667"/>
      <c r="F522" s="667"/>
      <c r="G522" s="667"/>
      <c r="H522" s="667"/>
      <c r="I522" s="667"/>
      <c r="J522" s="667"/>
      <c r="K522" s="667"/>
      <c r="L522" s="667"/>
      <c r="M522" s="667"/>
      <c r="N522" s="667"/>
      <c r="O522" s="667"/>
      <c r="P522" s="667"/>
      <c r="Q522" s="667"/>
    </row>
    <row r="523" ht="15.75" customHeight="1">
      <c r="B523" s="667"/>
      <c r="C523" s="667"/>
      <c r="D523" s="667"/>
      <c r="E523" s="667"/>
      <c r="F523" s="667"/>
      <c r="G523" s="667"/>
      <c r="H523" s="667"/>
      <c r="I523" s="667"/>
      <c r="J523" s="667"/>
      <c r="K523" s="667"/>
      <c r="L523" s="667"/>
      <c r="M523" s="667"/>
      <c r="N523" s="667"/>
      <c r="O523" s="667"/>
      <c r="P523" s="667"/>
      <c r="Q523" s="667"/>
    </row>
    <row r="524" ht="15.75" customHeight="1">
      <c r="B524" s="667"/>
      <c r="C524" s="667"/>
      <c r="D524" s="667"/>
      <c r="E524" s="667"/>
      <c r="F524" s="667"/>
      <c r="G524" s="667"/>
      <c r="H524" s="667"/>
      <c r="I524" s="667"/>
      <c r="J524" s="667"/>
      <c r="K524" s="667"/>
      <c r="L524" s="667"/>
      <c r="M524" s="667"/>
      <c r="N524" s="667"/>
      <c r="O524" s="667"/>
      <c r="P524" s="667"/>
      <c r="Q524" s="667"/>
    </row>
    <row r="525" ht="15.75" customHeight="1">
      <c r="B525" s="667"/>
      <c r="C525" s="667"/>
      <c r="D525" s="667"/>
      <c r="E525" s="667"/>
      <c r="F525" s="667"/>
      <c r="G525" s="667"/>
      <c r="H525" s="667"/>
      <c r="I525" s="667"/>
      <c r="J525" s="667"/>
      <c r="K525" s="667"/>
      <c r="L525" s="667"/>
      <c r="M525" s="667"/>
      <c r="N525" s="667"/>
      <c r="O525" s="667"/>
      <c r="P525" s="667"/>
      <c r="Q525" s="667"/>
    </row>
    <row r="526" ht="15.75" customHeight="1">
      <c r="B526" s="667"/>
      <c r="C526" s="667"/>
      <c r="D526" s="667"/>
      <c r="E526" s="667"/>
      <c r="F526" s="667"/>
      <c r="G526" s="667"/>
      <c r="H526" s="667"/>
      <c r="I526" s="667"/>
      <c r="J526" s="667"/>
      <c r="K526" s="667"/>
      <c r="L526" s="667"/>
      <c r="M526" s="667"/>
      <c r="N526" s="667"/>
      <c r="O526" s="667"/>
      <c r="P526" s="667"/>
      <c r="Q526" s="667"/>
    </row>
    <row r="527" ht="15.75" customHeight="1">
      <c r="B527" s="667"/>
      <c r="C527" s="667"/>
      <c r="D527" s="667"/>
      <c r="E527" s="667"/>
      <c r="F527" s="667"/>
      <c r="G527" s="667"/>
      <c r="H527" s="667"/>
      <c r="I527" s="667"/>
      <c r="J527" s="667"/>
      <c r="K527" s="667"/>
      <c r="L527" s="667"/>
      <c r="M527" s="667"/>
      <c r="N527" s="667"/>
      <c r="O527" s="667"/>
      <c r="P527" s="667"/>
      <c r="Q527" s="667"/>
    </row>
    <row r="528" ht="15.75" customHeight="1">
      <c r="B528" s="667"/>
      <c r="C528" s="667"/>
      <c r="D528" s="667"/>
      <c r="E528" s="667"/>
      <c r="F528" s="667"/>
      <c r="G528" s="667"/>
      <c r="H528" s="667"/>
      <c r="I528" s="667"/>
      <c r="J528" s="667"/>
      <c r="K528" s="667"/>
      <c r="L528" s="667"/>
      <c r="M528" s="667"/>
      <c r="N528" s="667"/>
      <c r="O528" s="667"/>
      <c r="P528" s="667"/>
      <c r="Q528" s="667"/>
    </row>
    <row r="529" ht="15.75" customHeight="1">
      <c r="B529" s="667"/>
      <c r="C529" s="667"/>
      <c r="D529" s="667"/>
      <c r="E529" s="667"/>
      <c r="F529" s="667"/>
      <c r="G529" s="667"/>
      <c r="H529" s="667"/>
      <c r="I529" s="667"/>
      <c r="J529" s="667"/>
      <c r="K529" s="667"/>
      <c r="L529" s="667"/>
      <c r="M529" s="667"/>
      <c r="N529" s="667"/>
      <c r="O529" s="667"/>
      <c r="P529" s="667"/>
      <c r="Q529" s="667"/>
    </row>
    <row r="530" ht="15.75" customHeight="1">
      <c r="B530" s="667"/>
      <c r="C530" s="667"/>
      <c r="D530" s="667"/>
      <c r="E530" s="667"/>
      <c r="F530" s="667"/>
      <c r="G530" s="667"/>
      <c r="H530" s="667"/>
      <c r="I530" s="667"/>
      <c r="J530" s="667"/>
      <c r="K530" s="667"/>
      <c r="L530" s="667"/>
      <c r="M530" s="667"/>
      <c r="N530" s="667"/>
      <c r="O530" s="667"/>
      <c r="P530" s="667"/>
      <c r="Q530" s="667"/>
    </row>
    <row r="531" ht="15.75" customHeight="1">
      <c r="B531" s="667"/>
      <c r="C531" s="667"/>
      <c r="D531" s="667"/>
      <c r="E531" s="667"/>
      <c r="F531" s="667"/>
      <c r="G531" s="667"/>
      <c r="H531" s="667"/>
      <c r="I531" s="667"/>
      <c r="J531" s="667"/>
      <c r="K531" s="667"/>
      <c r="L531" s="667"/>
      <c r="M531" s="667"/>
      <c r="N531" s="667"/>
      <c r="O531" s="667"/>
      <c r="P531" s="667"/>
      <c r="Q531" s="667"/>
    </row>
    <row r="532" ht="15.75" customHeight="1">
      <c r="B532" s="667"/>
      <c r="C532" s="667"/>
      <c r="D532" s="667"/>
      <c r="E532" s="667"/>
      <c r="F532" s="667"/>
      <c r="G532" s="667"/>
      <c r="H532" s="667"/>
      <c r="I532" s="667"/>
      <c r="J532" s="667"/>
      <c r="K532" s="667"/>
      <c r="L532" s="667"/>
      <c r="M532" s="667"/>
      <c r="N532" s="667"/>
      <c r="O532" s="667"/>
      <c r="P532" s="667"/>
      <c r="Q532" s="667"/>
    </row>
    <row r="533" ht="15.75" customHeight="1">
      <c r="B533" s="667"/>
      <c r="C533" s="667"/>
      <c r="D533" s="667"/>
      <c r="E533" s="667"/>
      <c r="F533" s="667"/>
      <c r="G533" s="667"/>
      <c r="H533" s="667"/>
      <c r="I533" s="667"/>
      <c r="J533" s="667"/>
      <c r="K533" s="667"/>
      <c r="L533" s="667"/>
      <c r="M533" s="667"/>
      <c r="N533" s="667"/>
      <c r="O533" s="667"/>
      <c r="P533" s="667"/>
      <c r="Q533" s="667"/>
    </row>
    <row r="534" ht="15.75" customHeight="1">
      <c r="B534" s="667"/>
      <c r="C534" s="667"/>
      <c r="D534" s="667"/>
      <c r="E534" s="667"/>
      <c r="F534" s="667"/>
      <c r="G534" s="667"/>
      <c r="H534" s="667"/>
      <c r="I534" s="667"/>
      <c r="J534" s="667"/>
      <c r="K534" s="667"/>
      <c r="L534" s="667"/>
      <c r="M534" s="667"/>
      <c r="N534" s="667"/>
      <c r="O534" s="667"/>
      <c r="P534" s="667"/>
      <c r="Q534" s="667"/>
    </row>
    <row r="535" ht="15.75" customHeight="1">
      <c r="B535" s="667"/>
      <c r="C535" s="667"/>
      <c r="D535" s="667"/>
      <c r="E535" s="667"/>
      <c r="F535" s="667"/>
      <c r="G535" s="667"/>
      <c r="H535" s="667"/>
      <c r="I535" s="667"/>
      <c r="J535" s="667"/>
      <c r="K535" s="667"/>
      <c r="L535" s="667"/>
      <c r="M535" s="667"/>
      <c r="N535" s="667"/>
      <c r="O535" s="667"/>
      <c r="P535" s="667"/>
      <c r="Q535" s="667"/>
    </row>
    <row r="536" ht="15.75" customHeight="1">
      <c r="B536" s="667"/>
      <c r="C536" s="667"/>
      <c r="D536" s="667"/>
      <c r="E536" s="667"/>
      <c r="F536" s="667"/>
      <c r="G536" s="667"/>
      <c r="H536" s="667"/>
      <c r="I536" s="667"/>
      <c r="J536" s="667"/>
      <c r="K536" s="667"/>
      <c r="L536" s="667"/>
      <c r="M536" s="667"/>
      <c r="N536" s="667"/>
      <c r="O536" s="667"/>
      <c r="P536" s="667"/>
      <c r="Q536" s="667"/>
    </row>
    <row r="537" ht="15.75" customHeight="1">
      <c r="B537" s="667"/>
      <c r="C537" s="667"/>
      <c r="D537" s="667"/>
      <c r="E537" s="667"/>
      <c r="F537" s="667"/>
      <c r="G537" s="667"/>
      <c r="H537" s="667"/>
      <c r="I537" s="667"/>
      <c r="J537" s="667"/>
      <c r="K537" s="667"/>
      <c r="L537" s="667"/>
      <c r="M537" s="667"/>
      <c r="N537" s="667"/>
      <c r="O537" s="667"/>
      <c r="P537" s="667"/>
      <c r="Q537" s="667"/>
    </row>
    <row r="538" ht="15.75" customHeight="1">
      <c r="B538" s="667"/>
      <c r="C538" s="667"/>
      <c r="D538" s="667"/>
      <c r="E538" s="667"/>
      <c r="F538" s="667"/>
      <c r="G538" s="667"/>
      <c r="H538" s="667"/>
      <c r="I538" s="667"/>
      <c r="J538" s="667"/>
      <c r="K538" s="667"/>
      <c r="L538" s="667"/>
      <c r="M538" s="667"/>
      <c r="N538" s="667"/>
      <c r="O538" s="667"/>
      <c r="P538" s="667"/>
      <c r="Q538" s="667"/>
    </row>
    <row r="539" ht="15.75" customHeight="1">
      <c r="B539" s="667"/>
      <c r="C539" s="667"/>
      <c r="D539" s="667"/>
      <c r="E539" s="667"/>
      <c r="F539" s="667"/>
      <c r="G539" s="667"/>
      <c r="H539" s="667"/>
      <c r="I539" s="667"/>
      <c r="J539" s="667"/>
      <c r="K539" s="667"/>
      <c r="L539" s="667"/>
      <c r="M539" s="667"/>
      <c r="N539" s="667"/>
      <c r="O539" s="667"/>
      <c r="P539" s="667"/>
      <c r="Q539" s="667"/>
    </row>
    <row r="540" ht="15.75" customHeight="1">
      <c r="B540" s="667"/>
      <c r="C540" s="667"/>
      <c r="D540" s="667"/>
      <c r="E540" s="667"/>
      <c r="F540" s="667"/>
      <c r="G540" s="667"/>
      <c r="H540" s="667"/>
      <c r="I540" s="667"/>
      <c r="J540" s="667"/>
      <c r="K540" s="667"/>
      <c r="L540" s="667"/>
      <c r="M540" s="667"/>
      <c r="N540" s="667"/>
      <c r="O540" s="667"/>
      <c r="P540" s="667"/>
      <c r="Q540" s="667"/>
    </row>
    <row r="541" ht="15.75" customHeight="1">
      <c r="B541" s="667"/>
      <c r="C541" s="667"/>
      <c r="D541" s="667"/>
      <c r="E541" s="667"/>
      <c r="F541" s="667"/>
      <c r="G541" s="667"/>
      <c r="H541" s="667"/>
      <c r="I541" s="667"/>
      <c r="J541" s="667"/>
      <c r="K541" s="667"/>
      <c r="L541" s="667"/>
      <c r="M541" s="667"/>
      <c r="N541" s="667"/>
      <c r="O541" s="667"/>
      <c r="P541" s="667"/>
      <c r="Q541" s="667"/>
    </row>
    <row r="542" ht="15.75" customHeight="1">
      <c r="B542" s="667"/>
      <c r="C542" s="667"/>
      <c r="D542" s="667"/>
      <c r="E542" s="667"/>
      <c r="F542" s="667"/>
      <c r="G542" s="667"/>
      <c r="H542" s="667"/>
      <c r="I542" s="667"/>
      <c r="J542" s="667"/>
      <c r="K542" s="667"/>
      <c r="L542" s="667"/>
      <c r="M542" s="667"/>
      <c r="N542" s="667"/>
      <c r="O542" s="667"/>
      <c r="P542" s="667"/>
      <c r="Q542" s="667"/>
    </row>
    <row r="543" ht="15.75" customHeight="1">
      <c r="B543" s="667"/>
      <c r="C543" s="667"/>
      <c r="D543" s="667"/>
      <c r="E543" s="667"/>
      <c r="F543" s="667"/>
      <c r="G543" s="667"/>
      <c r="H543" s="667"/>
      <c r="I543" s="667"/>
      <c r="J543" s="667"/>
      <c r="K543" s="667"/>
      <c r="L543" s="667"/>
      <c r="M543" s="667"/>
      <c r="N543" s="667"/>
      <c r="O543" s="667"/>
      <c r="P543" s="667"/>
      <c r="Q543" s="667"/>
    </row>
    <row r="544" ht="15.75" customHeight="1">
      <c r="B544" s="667"/>
      <c r="C544" s="667"/>
      <c r="D544" s="667"/>
      <c r="E544" s="667"/>
      <c r="F544" s="667"/>
      <c r="G544" s="667"/>
      <c r="H544" s="667"/>
      <c r="I544" s="667"/>
      <c r="J544" s="667"/>
      <c r="K544" s="667"/>
      <c r="L544" s="667"/>
      <c r="M544" s="667"/>
      <c r="N544" s="667"/>
      <c r="O544" s="667"/>
      <c r="P544" s="667"/>
      <c r="Q544" s="667"/>
    </row>
    <row r="545" ht="15.75" customHeight="1">
      <c r="B545" s="667"/>
      <c r="C545" s="667"/>
      <c r="D545" s="667"/>
      <c r="E545" s="667"/>
      <c r="F545" s="667"/>
      <c r="G545" s="667"/>
      <c r="H545" s="667"/>
      <c r="I545" s="667"/>
      <c r="J545" s="667"/>
      <c r="K545" s="667"/>
      <c r="L545" s="667"/>
      <c r="M545" s="667"/>
      <c r="N545" s="667"/>
      <c r="O545" s="667"/>
      <c r="P545" s="667"/>
      <c r="Q545" s="667"/>
    </row>
    <row r="546" ht="15.75" customHeight="1">
      <c r="B546" s="667"/>
      <c r="C546" s="667"/>
      <c r="D546" s="667"/>
      <c r="E546" s="667"/>
      <c r="F546" s="667"/>
      <c r="G546" s="667"/>
      <c r="H546" s="667"/>
      <c r="I546" s="667"/>
      <c r="J546" s="667"/>
      <c r="K546" s="667"/>
      <c r="L546" s="667"/>
      <c r="M546" s="667"/>
      <c r="N546" s="667"/>
      <c r="O546" s="667"/>
      <c r="P546" s="667"/>
      <c r="Q546" s="667"/>
    </row>
    <row r="547" ht="15.75" customHeight="1">
      <c r="B547" s="667"/>
      <c r="C547" s="667"/>
      <c r="D547" s="667"/>
      <c r="E547" s="667"/>
      <c r="F547" s="667"/>
      <c r="G547" s="667"/>
      <c r="H547" s="667"/>
      <c r="I547" s="667"/>
      <c r="J547" s="667"/>
      <c r="K547" s="667"/>
      <c r="L547" s="667"/>
      <c r="M547" s="667"/>
      <c r="N547" s="667"/>
      <c r="O547" s="667"/>
      <c r="P547" s="667"/>
      <c r="Q547" s="667"/>
    </row>
    <row r="548" ht="15.75" customHeight="1">
      <c r="B548" s="667"/>
      <c r="C548" s="667"/>
      <c r="D548" s="667"/>
      <c r="E548" s="667"/>
      <c r="F548" s="667"/>
      <c r="G548" s="667"/>
      <c r="H548" s="667"/>
      <c r="I548" s="667"/>
      <c r="J548" s="667"/>
      <c r="K548" s="667"/>
      <c r="L548" s="667"/>
      <c r="M548" s="667"/>
      <c r="N548" s="667"/>
      <c r="O548" s="667"/>
      <c r="P548" s="667"/>
      <c r="Q548" s="667"/>
    </row>
    <row r="549" ht="15.75" customHeight="1">
      <c r="B549" s="667"/>
      <c r="C549" s="667"/>
      <c r="D549" s="667"/>
      <c r="E549" s="667"/>
      <c r="F549" s="667"/>
      <c r="G549" s="667"/>
      <c r="H549" s="667"/>
      <c r="I549" s="667"/>
      <c r="J549" s="667"/>
      <c r="K549" s="667"/>
      <c r="L549" s="667"/>
      <c r="M549" s="667"/>
      <c r="N549" s="667"/>
      <c r="O549" s="667"/>
      <c r="P549" s="667"/>
      <c r="Q549" s="667"/>
    </row>
    <row r="550" ht="15.75" customHeight="1">
      <c r="B550" s="667"/>
      <c r="C550" s="667"/>
      <c r="D550" s="667"/>
      <c r="E550" s="667"/>
      <c r="F550" s="667"/>
      <c r="G550" s="667"/>
      <c r="H550" s="667"/>
      <c r="I550" s="667"/>
      <c r="J550" s="667"/>
      <c r="K550" s="667"/>
      <c r="L550" s="667"/>
      <c r="M550" s="667"/>
      <c r="N550" s="667"/>
      <c r="O550" s="667"/>
      <c r="P550" s="667"/>
      <c r="Q550" s="667"/>
    </row>
    <row r="551" ht="15.75" customHeight="1">
      <c r="B551" s="667"/>
      <c r="C551" s="667"/>
      <c r="D551" s="667"/>
      <c r="E551" s="667"/>
      <c r="F551" s="667"/>
      <c r="G551" s="667"/>
      <c r="H551" s="667"/>
      <c r="I551" s="667"/>
      <c r="J551" s="667"/>
      <c r="K551" s="667"/>
      <c r="L551" s="667"/>
      <c r="M551" s="667"/>
      <c r="N551" s="667"/>
      <c r="O551" s="667"/>
      <c r="P551" s="667"/>
      <c r="Q551" s="667"/>
    </row>
    <row r="552" ht="15.75" customHeight="1">
      <c r="B552" s="667"/>
      <c r="C552" s="667"/>
      <c r="D552" s="667"/>
      <c r="E552" s="667"/>
      <c r="F552" s="667"/>
      <c r="G552" s="667"/>
      <c r="H552" s="667"/>
      <c r="I552" s="667"/>
      <c r="J552" s="667"/>
      <c r="K552" s="667"/>
      <c r="L552" s="667"/>
      <c r="M552" s="667"/>
      <c r="N552" s="667"/>
      <c r="O552" s="667"/>
      <c r="P552" s="667"/>
      <c r="Q552" s="667"/>
    </row>
    <row r="553" ht="15.75" customHeight="1">
      <c r="B553" s="667"/>
      <c r="C553" s="667"/>
      <c r="D553" s="667"/>
      <c r="E553" s="667"/>
      <c r="F553" s="667"/>
      <c r="G553" s="667"/>
      <c r="H553" s="667"/>
      <c r="I553" s="667"/>
      <c r="J553" s="667"/>
      <c r="K553" s="667"/>
      <c r="L553" s="667"/>
      <c r="M553" s="667"/>
      <c r="N553" s="667"/>
      <c r="O553" s="667"/>
      <c r="P553" s="667"/>
      <c r="Q553" s="667"/>
    </row>
    <row r="554" ht="15.75" customHeight="1">
      <c r="B554" s="667"/>
      <c r="C554" s="667"/>
      <c r="D554" s="667"/>
      <c r="E554" s="667"/>
      <c r="F554" s="667"/>
      <c r="G554" s="667"/>
      <c r="H554" s="667"/>
      <c r="I554" s="667"/>
      <c r="J554" s="667"/>
      <c r="K554" s="667"/>
      <c r="L554" s="667"/>
      <c r="M554" s="667"/>
      <c r="N554" s="667"/>
      <c r="O554" s="667"/>
      <c r="P554" s="667"/>
      <c r="Q554" s="667"/>
    </row>
    <row r="555" ht="15.75" customHeight="1">
      <c r="B555" s="667"/>
      <c r="C555" s="667"/>
      <c r="D555" s="667"/>
      <c r="E555" s="667"/>
      <c r="F555" s="667"/>
      <c r="G555" s="667"/>
      <c r="H555" s="667"/>
      <c r="I555" s="667"/>
      <c r="J555" s="667"/>
      <c r="K555" s="667"/>
      <c r="L555" s="667"/>
      <c r="M555" s="667"/>
      <c r="N555" s="667"/>
      <c r="O555" s="667"/>
      <c r="P555" s="667"/>
      <c r="Q555" s="667"/>
    </row>
    <row r="556" ht="15.75" customHeight="1">
      <c r="B556" s="667"/>
      <c r="C556" s="667"/>
      <c r="D556" s="667"/>
      <c r="E556" s="667"/>
      <c r="F556" s="667"/>
      <c r="G556" s="667"/>
      <c r="H556" s="667"/>
      <c r="I556" s="667"/>
      <c r="J556" s="667"/>
      <c r="K556" s="667"/>
      <c r="L556" s="667"/>
      <c r="M556" s="667"/>
      <c r="N556" s="667"/>
      <c r="O556" s="667"/>
      <c r="P556" s="667"/>
      <c r="Q556" s="667"/>
    </row>
    <row r="557" ht="15.75" customHeight="1">
      <c r="B557" s="667"/>
      <c r="C557" s="667"/>
      <c r="D557" s="667"/>
      <c r="E557" s="667"/>
      <c r="F557" s="667"/>
      <c r="G557" s="667"/>
      <c r="H557" s="667"/>
      <c r="I557" s="667"/>
      <c r="J557" s="667"/>
      <c r="K557" s="667"/>
      <c r="L557" s="667"/>
      <c r="M557" s="667"/>
      <c r="N557" s="667"/>
      <c r="O557" s="667"/>
      <c r="P557" s="667"/>
      <c r="Q557" s="667"/>
    </row>
    <row r="558" ht="15.75" customHeight="1">
      <c r="B558" s="667"/>
      <c r="C558" s="667"/>
      <c r="D558" s="667"/>
      <c r="E558" s="667"/>
      <c r="F558" s="667"/>
      <c r="G558" s="667"/>
      <c r="H558" s="667"/>
      <c r="I558" s="667"/>
      <c r="J558" s="667"/>
      <c r="K558" s="667"/>
      <c r="L558" s="667"/>
      <c r="M558" s="667"/>
      <c r="N558" s="667"/>
      <c r="O558" s="667"/>
      <c r="P558" s="667"/>
      <c r="Q558" s="667"/>
    </row>
    <row r="559" ht="15.75" customHeight="1">
      <c r="B559" s="667"/>
      <c r="C559" s="667"/>
      <c r="D559" s="667"/>
      <c r="E559" s="667"/>
      <c r="F559" s="667"/>
      <c r="G559" s="667"/>
      <c r="H559" s="667"/>
      <c r="I559" s="667"/>
      <c r="J559" s="667"/>
      <c r="K559" s="667"/>
      <c r="L559" s="667"/>
      <c r="M559" s="667"/>
      <c r="N559" s="667"/>
      <c r="O559" s="667"/>
      <c r="P559" s="667"/>
      <c r="Q559" s="667"/>
    </row>
    <row r="560" ht="15.75" customHeight="1">
      <c r="B560" s="667"/>
      <c r="C560" s="667"/>
      <c r="D560" s="667"/>
      <c r="E560" s="667"/>
      <c r="F560" s="667"/>
      <c r="G560" s="667"/>
      <c r="H560" s="667"/>
      <c r="I560" s="667"/>
      <c r="J560" s="667"/>
      <c r="K560" s="667"/>
      <c r="L560" s="667"/>
      <c r="M560" s="667"/>
      <c r="N560" s="667"/>
      <c r="O560" s="667"/>
      <c r="P560" s="667"/>
      <c r="Q560" s="667"/>
    </row>
    <row r="561" ht="15.75" customHeight="1">
      <c r="B561" s="667"/>
      <c r="C561" s="667"/>
      <c r="D561" s="667"/>
      <c r="E561" s="667"/>
      <c r="F561" s="667"/>
      <c r="G561" s="667"/>
      <c r="H561" s="667"/>
      <c r="I561" s="667"/>
      <c r="J561" s="667"/>
      <c r="K561" s="667"/>
      <c r="L561" s="667"/>
      <c r="M561" s="667"/>
      <c r="N561" s="667"/>
      <c r="O561" s="667"/>
      <c r="P561" s="667"/>
      <c r="Q561" s="667"/>
    </row>
    <row r="562" ht="15.75" customHeight="1">
      <c r="B562" s="667"/>
      <c r="C562" s="667"/>
      <c r="D562" s="667"/>
      <c r="E562" s="667"/>
      <c r="F562" s="667"/>
      <c r="G562" s="667"/>
      <c r="H562" s="667"/>
      <c r="I562" s="667"/>
      <c r="J562" s="667"/>
      <c r="K562" s="667"/>
      <c r="L562" s="667"/>
      <c r="M562" s="667"/>
      <c r="N562" s="667"/>
      <c r="O562" s="667"/>
      <c r="P562" s="667"/>
      <c r="Q562" s="667"/>
    </row>
    <row r="563" ht="15.75" customHeight="1">
      <c r="B563" s="667"/>
      <c r="C563" s="667"/>
      <c r="D563" s="667"/>
      <c r="E563" s="667"/>
      <c r="F563" s="667"/>
      <c r="G563" s="667"/>
      <c r="H563" s="667"/>
      <c r="I563" s="667"/>
      <c r="J563" s="667"/>
      <c r="K563" s="667"/>
      <c r="L563" s="667"/>
      <c r="M563" s="667"/>
      <c r="N563" s="667"/>
      <c r="O563" s="667"/>
      <c r="P563" s="667"/>
      <c r="Q563" s="667"/>
    </row>
    <row r="564" ht="15.75" customHeight="1">
      <c r="B564" s="667"/>
      <c r="C564" s="667"/>
      <c r="D564" s="667"/>
      <c r="E564" s="667"/>
      <c r="F564" s="667"/>
      <c r="G564" s="667"/>
      <c r="H564" s="667"/>
      <c r="I564" s="667"/>
      <c r="J564" s="667"/>
      <c r="K564" s="667"/>
      <c r="L564" s="667"/>
      <c r="M564" s="667"/>
      <c r="N564" s="667"/>
      <c r="O564" s="667"/>
      <c r="P564" s="667"/>
      <c r="Q564" s="667"/>
    </row>
    <row r="565" ht="15.75" customHeight="1">
      <c r="B565" s="667"/>
      <c r="C565" s="667"/>
      <c r="D565" s="667"/>
      <c r="E565" s="667"/>
      <c r="F565" s="667"/>
      <c r="G565" s="667"/>
      <c r="H565" s="667"/>
      <c r="I565" s="667"/>
      <c r="J565" s="667"/>
      <c r="K565" s="667"/>
      <c r="L565" s="667"/>
      <c r="M565" s="667"/>
      <c r="N565" s="667"/>
      <c r="O565" s="667"/>
      <c r="P565" s="667"/>
      <c r="Q565" s="667"/>
    </row>
    <row r="566" ht="15.75" customHeight="1">
      <c r="B566" s="667"/>
      <c r="C566" s="667"/>
      <c r="D566" s="667"/>
      <c r="E566" s="667"/>
      <c r="F566" s="667"/>
      <c r="G566" s="667"/>
      <c r="H566" s="667"/>
      <c r="I566" s="667"/>
      <c r="J566" s="667"/>
      <c r="K566" s="667"/>
      <c r="L566" s="667"/>
      <c r="M566" s="667"/>
      <c r="N566" s="667"/>
      <c r="O566" s="667"/>
      <c r="P566" s="667"/>
      <c r="Q566" s="667"/>
    </row>
    <row r="567" ht="15.75" customHeight="1">
      <c r="B567" s="667"/>
      <c r="C567" s="667"/>
      <c r="D567" s="667"/>
      <c r="E567" s="667"/>
      <c r="F567" s="667"/>
      <c r="G567" s="667"/>
      <c r="H567" s="667"/>
      <c r="I567" s="667"/>
      <c r="J567" s="667"/>
      <c r="K567" s="667"/>
      <c r="L567" s="667"/>
      <c r="M567" s="667"/>
      <c r="N567" s="667"/>
      <c r="O567" s="667"/>
      <c r="P567" s="667"/>
      <c r="Q567" s="667"/>
    </row>
    <row r="568" ht="15.75" customHeight="1">
      <c r="B568" s="667"/>
      <c r="C568" s="667"/>
      <c r="D568" s="667"/>
      <c r="E568" s="667"/>
      <c r="F568" s="667"/>
      <c r="G568" s="667"/>
      <c r="H568" s="667"/>
      <c r="I568" s="667"/>
      <c r="J568" s="667"/>
      <c r="K568" s="667"/>
      <c r="L568" s="667"/>
      <c r="M568" s="667"/>
      <c r="N568" s="667"/>
      <c r="O568" s="667"/>
      <c r="P568" s="667"/>
      <c r="Q568" s="667"/>
    </row>
    <row r="569" ht="15.75" customHeight="1">
      <c r="B569" s="667"/>
      <c r="C569" s="667"/>
      <c r="D569" s="667"/>
      <c r="E569" s="667"/>
      <c r="F569" s="667"/>
      <c r="G569" s="667"/>
      <c r="H569" s="667"/>
      <c r="I569" s="667"/>
      <c r="J569" s="667"/>
      <c r="K569" s="667"/>
      <c r="L569" s="667"/>
      <c r="M569" s="667"/>
      <c r="N569" s="667"/>
      <c r="O569" s="667"/>
      <c r="P569" s="667"/>
      <c r="Q569" s="667"/>
    </row>
    <row r="570" ht="15.75" customHeight="1">
      <c r="B570" s="667"/>
      <c r="C570" s="667"/>
      <c r="D570" s="667"/>
      <c r="E570" s="667"/>
      <c r="F570" s="667"/>
      <c r="G570" s="667"/>
      <c r="H570" s="667"/>
      <c r="I570" s="667"/>
      <c r="J570" s="667"/>
      <c r="K570" s="667"/>
      <c r="L570" s="667"/>
      <c r="M570" s="667"/>
      <c r="N570" s="667"/>
      <c r="O570" s="667"/>
      <c r="P570" s="667"/>
      <c r="Q570" s="667"/>
    </row>
    <row r="571" ht="15.75" customHeight="1">
      <c r="B571" s="667"/>
      <c r="C571" s="667"/>
      <c r="D571" s="667"/>
      <c r="E571" s="667"/>
      <c r="F571" s="667"/>
      <c r="G571" s="667"/>
      <c r="H571" s="667"/>
      <c r="I571" s="667"/>
      <c r="J571" s="667"/>
      <c r="K571" s="667"/>
      <c r="L571" s="667"/>
      <c r="M571" s="667"/>
      <c r="N571" s="667"/>
      <c r="O571" s="667"/>
      <c r="P571" s="667"/>
      <c r="Q571" s="667"/>
    </row>
    <row r="572" ht="15.75" customHeight="1">
      <c r="B572" s="667"/>
      <c r="C572" s="667"/>
      <c r="D572" s="667"/>
      <c r="E572" s="667"/>
      <c r="F572" s="667"/>
      <c r="G572" s="667"/>
      <c r="H572" s="667"/>
      <c r="I572" s="667"/>
      <c r="J572" s="667"/>
      <c r="K572" s="667"/>
      <c r="L572" s="667"/>
      <c r="M572" s="667"/>
      <c r="N572" s="667"/>
      <c r="O572" s="667"/>
      <c r="P572" s="667"/>
      <c r="Q572" s="667"/>
    </row>
    <row r="573" ht="15.75" customHeight="1">
      <c r="B573" s="667"/>
      <c r="C573" s="667"/>
      <c r="D573" s="667"/>
      <c r="E573" s="667"/>
      <c r="F573" s="667"/>
      <c r="G573" s="667"/>
      <c r="H573" s="667"/>
      <c r="I573" s="667"/>
      <c r="J573" s="667"/>
      <c r="K573" s="667"/>
      <c r="L573" s="667"/>
      <c r="M573" s="667"/>
      <c r="N573" s="667"/>
      <c r="O573" s="667"/>
      <c r="P573" s="667"/>
      <c r="Q573" s="667"/>
    </row>
    <row r="574" ht="15.75" customHeight="1">
      <c r="B574" s="667"/>
      <c r="C574" s="667"/>
      <c r="D574" s="667"/>
      <c r="E574" s="667"/>
      <c r="F574" s="667"/>
      <c r="G574" s="667"/>
      <c r="H574" s="667"/>
      <c r="I574" s="667"/>
      <c r="J574" s="667"/>
      <c r="K574" s="667"/>
      <c r="L574" s="667"/>
      <c r="M574" s="667"/>
      <c r="N574" s="667"/>
      <c r="O574" s="667"/>
      <c r="P574" s="667"/>
      <c r="Q574" s="667"/>
    </row>
    <row r="575" ht="15.75" customHeight="1">
      <c r="B575" s="667"/>
      <c r="C575" s="667"/>
      <c r="D575" s="667"/>
      <c r="E575" s="667"/>
      <c r="F575" s="667"/>
      <c r="G575" s="667"/>
      <c r="H575" s="667"/>
      <c r="I575" s="667"/>
      <c r="J575" s="667"/>
      <c r="K575" s="667"/>
      <c r="L575" s="667"/>
      <c r="M575" s="667"/>
      <c r="N575" s="667"/>
      <c r="O575" s="667"/>
      <c r="P575" s="667"/>
      <c r="Q575" s="667"/>
    </row>
    <row r="576" ht="15.75" customHeight="1">
      <c r="B576" s="667"/>
      <c r="C576" s="667"/>
      <c r="D576" s="667"/>
      <c r="E576" s="667"/>
      <c r="F576" s="667"/>
      <c r="G576" s="667"/>
      <c r="H576" s="667"/>
      <c r="I576" s="667"/>
      <c r="J576" s="667"/>
      <c r="K576" s="667"/>
      <c r="L576" s="667"/>
      <c r="M576" s="667"/>
      <c r="N576" s="667"/>
      <c r="O576" s="667"/>
      <c r="P576" s="667"/>
      <c r="Q576" s="667"/>
    </row>
    <row r="577" ht="15.75" customHeight="1">
      <c r="B577" s="667"/>
      <c r="C577" s="667"/>
      <c r="D577" s="667"/>
      <c r="E577" s="667"/>
      <c r="F577" s="667"/>
      <c r="G577" s="667"/>
      <c r="H577" s="667"/>
      <c r="I577" s="667"/>
      <c r="J577" s="667"/>
      <c r="K577" s="667"/>
      <c r="L577" s="667"/>
      <c r="M577" s="667"/>
      <c r="N577" s="667"/>
      <c r="O577" s="667"/>
      <c r="P577" s="667"/>
      <c r="Q577" s="667"/>
    </row>
    <row r="578" ht="15.75" customHeight="1">
      <c r="B578" s="667"/>
      <c r="C578" s="667"/>
      <c r="D578" s="667"/>
      <c r="E578" s="667"/>
      <c r="F578" s="667"/>
      <c r="G578" s="667"/>
      <c r="H578" s="667"/>
      <c r="I578" s="667"/>
      <c r="J578" s="667"/>
      <c r="K578" s="667"/>
      <c r="L578" s="667"/>
      <c r="M578" s="667"/>
      <c r="N578" s="667"/>
      <c r="O578" s="667"/>
      <c r="P578" s="667"/>
      <c r="Q578" s="667"/>
    </row>
    <row r="579" ht="15.75" customHeight="1">
      <c r="B579" s="667"/>
      <c r="C579" s="667"/>
      <c r="D579" s="667"/>
      <c r="E579" s="667"/>
      <c r="F579" s="667"/>
      <c r="G579" s="667"/>
      <c r="H579" s="667"/>
      <c r="I579" s="667"/>
      <c r="J579" s="667"/>
      <c r="K579" s="667"/>
      <c r="L579" s="667"/>
      <c r="M579" s="667"/>
      <c r="N579" s="667"/>
      <c r="O579" s="667"/>
      <c r="P579" s="667"/>
      <c r="Q579" s="667"/>
    </row>
    <row r="580" ht="15.75" customHeight="1">
      <c r="B580" s="667"/>
      <c r="C580" s="667"/>
      <c r="D580" s="667"/>
      <c r="E580" s="667"/>
      <c r="F580" s="667"/>
      <c r="G580" s="667"/>
      <c r="H580" s="667"/>
      <c r="I580" s="667"/>
      <c r="J580" s="667"/>
      <c r="K580" s="667"/>
      <c r="L580" s="667"/>
      <c r="M580" s="667"/>
      <c r="N580" s="667"/>
      <c r="O580" s="667"/>
      <c r="P580" s="667"/>
      <c r="Q580" s="667"/>
    </row>
    <row r="581" ht="15.75" customHeight="1">
      <c r="B581" s="667"/>
      <c r="C581" s="667"/>
      <c r="D581" s="667"/>
      <c r="E581" s="667"/>
      <c r="F581" s="667"/>
      <c r="G581" s="667"/>
      <c r="H581" s="667"/>
      <c r="I581" s="667"/>
      <c r="J581" s="667"/>
      <c r="K581" s="667"/>
      <c r="L581" s="667"/>
      <c r="M581" s="667"/>
      <c r="N581" s="667"/>
      <c r="O581" s="667"/>
      <c r="P581" s="667"/>
      <c r="Q581" s="667"/>
    </row>
    <row r="582" ht="15.75" customHeight="1">
      <c r="B582" s="667"/>
      <c r="C582" s="667"/>
      <c r="D582" s="667"/>
      <c r="E582" s="667"/>
      <c r="F582" s="667"/>
      <c r="G582" s="667"/>
      <c r="H582" s="667"/>
      <c r="I582" s="667"/>
      <c r="J582" s="667"/>
      <c r="K582" s="667"/>
      <c r="L582" s="667"/>
      <c r="M582" s="667"/>
      <c r="N582" s="667"/>
      <c r="O582" s="667"/>
      <c r="P582" s="667"/>
      <c r="Q582" s="667"/>
    </row>
    <row r="583" ht="15.75" customHeight="1">
      <c r="B583" s="667"/>
      <c r="C583" s="667"/>
      <c r="D583" s="667"/>
      <c r="E583" s="667"/>
      <c r="F583" s="667"/>
      <c r="G583" s="667"/>
      <c r="H583" s="667"/>
      <c r="I583" s="667"/>
      <c r="J583" s="667"/>
      <c r="K583" s="667"/>
      <c r="L583" s="667"/>
      <c r="M583" s="667"/>
      <c r="N583" s="667"/>
      <c r="O583" s="667"/>
      <c r="P583" s="667"/>
      <c r="Q583" s="667"/>
    </row>
    <row r="584" ht="15.75" customHeight="1">
      <c r="B584" s="667"/>
      <c r="C584" s="667"/>
      <c r="D584" s="667"/>
      <c r="E584" s="667"/>
      <c r="F584" s="667"/>
      <c r="G584" s="667"/>
      <c r="H584" s="667"/>
      <c r="I584" s="667"/>
      <c r="J584" s="667"/>
      <c r="K584" s="667"/>
      <c r="L584" s="667"/>
      <c r="M584" s="667"/>
      <c r="N584" s="667"/>
      <c r="O584" s="667"/>
      <c r="P584" s="667"/>
      <c r="Q584" s="667"/>
    </row>
    <row r="585" ht="15.75" customHeight="1">
      <c r="B585" s="667"/>
      <c r="C585" s="667"/>
      <c r="D585" s="667"/>
      <c r="E585" s="667"/>
      <c r="F585" s="667"/>
      <c r="G585" s="667"/>
      <c r="H585" s="667"/>
      <c r="I585" s="667"/>
      <c r="J585" s="667"/>
      <c r="K585" s="667"/>
      <c r="L585" s="667"/>
      <c r="M585" s="667"/>
      <c r="N585" s="667"/>
      <c r="O585" s="667"/>
      <c r="P585" s="667"/>
      <c r="Q585" s="667"/>
    </row>
    <row r="586" ht="15.75" customHeight="1">
      <c r="B586" s="667"/>
      <c r="C586" s="667"/>
      <c r="D586" s="667"/>
      <c r="E586" s="667"/>
      <c r="F586" s="667"/>
      <c r="G586" s="667"/>
      <c r="H586" s="667"/>
      <c r="I586" s="667"/>
      <c r="J586" s="667"/>
      <c r="K586" s="667"/>
      <c r="L586" s="667"/>
      <c r="M586" s="667"/>
      <c r="N586" s="667"/>
      <c r="O586" s="667"/>
      <c r="P586" s="667"/>
      <c r="Q586" s="667"/>
    </row>
    <row r="587" ht="15.75" customHeight="1">
      <c r="B587" s="667"/>
      <c r="C587" s="667"/>
      <c r="D587" s="667"/>
      <c r="E587" s="667"/>
      <c r="F587" s="667"/>
      <c r="G587" s="667"/>
      <c r="H587" s="667"/>
      <c r="I587" s="667"/>
      <c r="J587" s="667"/>
      <c r="K587" s="667"/>
      <c r="L587" s="667"/>
      <c r="M587" s="667"/>
      <c r="N587" s="667"/>
      <c r="O587" s="667"/>
      <c r="P587" s="667"/>
      <c r="Q587" s="667"/>
    </row>
    <row r="588" ht="15.75" customHeight="1">
      <c r="B588" s="667"/>
      <c r="C588" s="667"/>
      <c r="D588" s="667"/>
      <c r="E588" s="667"/>
      <c r="F588" s="667"/>
      <c r="G588" s="667"/>
      <c r="H588" s="667"/>
      <c r="I588" s="667"/>
      <c r="J588" s="667"/>
      <c r="K588" s="667"/>
      <c r="L588" s="667"/>
      <c r="M588" s="667"/>
      <c r="N588" s="667"/>
      <c r="O588" s="667"/>
      <c r="P588" s="667"/>
      <c r="Q588" s="667"/>
    </row>
    <row r="589" ht="15.75" customHeight="1">
      <c r="B589" s="667"/>
      <c r="C589" s="667"/>
      <c r="D589" s="667"/>
      <c r="E589" s="667"/>
      <c r="F589" s="667"/>
      <c r="G589" s="667"/>
      <c r="H589" s="667"/>
      <c r="I589" s="667"/>
      <c r="J589" s="667"/>
      <c r="K589" s="667"/>
      <c r="L589" s="667"/>
      <c r="M589" s="667"/>
      <c r="N589" s="667"/>
      <c r="O589" s="667"/>
      <c r="P589" s="667"/>
      <c r="Q589" s="667"/>
    </row>
    <row r="590" ht="15.75" customHeight="1">
      <c r="B590" s="667"/>
      <c r="C590" s="667"/>
      <c r="D590" s="667"/>
      <c r="E590" s="667"/>
      <c r="F590" s="667"/>
      <c r="G590" s="667"/>
      <c r="H590" s="667"/>
      <c r="I590" s="667"/>
      <c r="J590" s="667"/>
      <c r="K590" s="667"/>
      <c r="L590" s="667"/>
      <c r="M590" s="667"/>
      <c r="N590" s="667"/>
      <c r="O590" s="667"/>
      <c r="P590" s="667"/>
      <c r="Q590" s="667"/>
    </row>
    <row r="591" ht="15.75" customHeight="1">
      <c r="B591" s="667"/>
      <c r="C591" s="667"/>
      <c r="D591" s="667"/>
      <c r="E591" s="667"/>
      <c r="F591" s="667"/>
      <c r="G591" s="667"/>
      <c r="H591" s="667"/>
      <c r="I591" s="667"/>
      <c r="J591" s="667"/>
      <c r="K591" s="667"/>
      <c r="L591" s="667"/>
      <c r="M591" s="667"/>
      <c r="N591" s="667"/>
      <c r="O591" s="667"/>
      <c r="P591" s="667"/>
      <c r="Q591" s="667"/>
    </row>
    <row r="592" ht="15.75" customHeight="1">
      <c r="B592" s="667"/>
      <c r="C592" s="667"/>
      <c r="D592" s="667"/>
      <c r="E592" s="667"/>
      <c r="F592" s="667"/>
      <c r="G592" s="667"/>
      <c r="H592" s="667"/>
      <c r="I592" s="667"/>
      <c r="J592" s="667"/>
      <c r="K592" s="667"/>
      <c r="L592" s="667"/>
      <c r="M592" s="667"/>
      <c r="N592" s="667"/>
      <c r="O592" s="667"/>
      <c r="P592" s="667"/>
      <c r="Q592" s="667"/>
    </row>
    <row r="593" ht="15.75" customHeight="1">
      <c r="B593" s="667"/>
      <c r="C593" s="667"/>
      <c r="D593" s="667"/>
      <c r="E593" s="667"/>
      <c r="F593" s="667"/>
      <c r="G593" s="667"/>
      <c r="H593" s="667"/>
      <c r="I593" s="667"/>
      <c r="J593" s="667"/>
      <c r="K593" s="667"/>
      <c r="L593" s="667"/>
      <c r="M593" s="667"/>
      <c r="N593" s="667"/>
      <c r="O593" s="667"/>
      <c r="P593" s="667"/>
      <c r="Q593" s="667"/>
    </row>
    <row r="594" ht="15.75" customHeight="1">
      <c r="B594" s="667"/>
      <c r="C594" s="667"/>
      <c r="D594" s="667"/>
      <c r="E594" s="667"/>
      <c r="F594" s="667"/>
      <c r="G594" s="667"/>
      <c r="H594" s="667"/>
      <c r="I594" s="667"/>
      <c r="J594" s="667"/>
      <c r="K594" s="667"/>
      <c r="L594" s="667"/>
      <c r="M594" s="667"/>
      <c r="N594" s="667"/>
      <c r="O594" s="667"/>
      <c r="P594" s="667"/>
      <c r="Q594" s="667"/>
    </row>
    <row r="595" ht="15.75" customHeight="1">
      <c r="B595" s="667"/>
      <c r="C595" s="667"/>
      <c r="D595" s="667"/>
      <c r="E595" s="667"/>
      <c r="F595" s="667"/>
      <c r="G595" s="667"/>
      <c r="H595" s="667"/>
      <c r="I595" s="667"/>
      <c r="J595" s="667"/>
      <c r="K595" s="667"/>
      <c r="L595" s="667"/>
      <c r="M595" s="667"/>
      <c r="N595" s="667"/>
      <c r="O595" s="667"/>
      <c r="P595" s="667"/>
      <c r="Q595" s="667"/>
    </row>
    <row r="596" ht="15.75" customHeight="1">
      <c r="B596" s="667"/>
      <c r="C596" s="667"/>
      <c r="D596" s="667"/>
      <c r="E596" s="667"/>
      <c r="F596" s="667"/>
      <c r="G596" s="667"/>
      <c r="H596" s="667"/>
      <c r="I596" s="667"/>
      <c r="J596" s="667"/>
      <c r="K596" s="667"/>
      <c r="L596" s="667"/>
      <c r="M596" s="667"/>
      <c r="N596" s="667"/>
      <c r="O596" s="667"/>
      <c r="P596" s="667"/>
      <c r="Q596" s="667"/>
    </row>
    <row r="597" ht="15.75" customHeight="1">
      <c r="B597" s="667"/>
      <c r="C597" s="667"/>
      <c r="D597" s="667"/>
      <c r="E597" s="667"/>
      <c r="F597" s="667"/>
      <c r="G597" s="667"/>
      <c r="H597" s="667"/>
      <c r="I597" s="667"/>
      <c r="J597" s="667"/>
      <c r="K597" s="667"/>
      <c r="L597" s="667"/>
      <c r="M597" s="667"/>
      <c r="N597" s="667"/>
      <c r="O597" s="667"/>
      <c r="P597" s="667"/>
      <c r="Q597" s="667"/>
    </row>
    <row r="598" ht="15.75" customHeight="1">
      <c r="B598" s="667"/>
      <c r="C598" s="667"/>
      <c r="D598" s="667"/>
      <c r="E598" s="667"/>
      <c r="F598" s="667"/>
      <c r="G598" s="667"/>
      <c r="H598" s="667"/>
      <c r="I598" s="667"/>
      <c r="J598" s="667"/>
      <c r="K598" s="667"/>
      <c r="L598" s="667"/>
      <c r="M598" s="667"/>
      <c r="N598" s="667"/>
      <c r="O598" s="667"/>
      <c r="P598" s="667"/>
      <c r="Q598" s="667"/>
    </row>
    <row r="599" ht="15.75" customHeight="1">
      <c r="B599" s="667"/>
      <c r="C599" s="667"/>
      <c r="D599" s="667"/>
      <c r="E599" s="667"/>
      <c r="F599" s="667"/>
      <c r="G599" s="667"/>
      <c r="H599" s="667"/>
      <c r="I599" s="667"/>
      <c r="J599" s="667"/>
      <c r="K599" s="667"/>
      <c r="L599" s="667"/>
      <c r="M599" s="667"/>
      <c r="N599" s="667"/>
      <c r="O599" s="667"/>
      <c r="P599" s="667"/>
      <c r="Q599" s="667"/>
    </row>
    <row r="600" ht="15.75" customHeight="1">
      <c r="B600" s="667"/>
      <c r="C600" s="667"/>
      <c r="D600" s="667"/>
      <c r="E600" s="667"/>
      <c r="F600" s="667"/>
      <c r="G600" s="667"/>
      <c r="H600" s="667"/>
      <c r="I600" s="667"/>
      <c r="J600" s="667"/>
      <c r="K600" s="667"/>
      <c r="L600" s="667"/>
      <c r="M600" s="667"/>
      <c r="N600" s="667"/>
      <c r="O600" s="667"/>
      <c r="P600" s="667"/>
      <c r="Q600" s="667"/>
    </row>
    <row r="601" ht="15.75" customHeight="1">
      <c r="B601" s="667"/>
      <c r="C601" s="667"/>
      <c r="D601" s="667"/>
      <c r="E601" s="667"/>
      <c r="F601" s="667"/>
      <c r="G601" s="667"/>
      <c r="H601" s="667"/>
      <c r="I601" s="667"/>
      <c r="J601" s="667"/>
      <c r="K601" s="667"/>
      <c r="L601" s="667"/>
      <c r="M601" s="667"/>
      <c r="N601" s="667"/>
      <c r="O601" s="667"/>
      <c r="P601" s="667"/>
      <c r="Q601" s="667"/>
    </row>
    <row r="602" ht="15.75" customHeight="1">
      <c r="B602" s="667"/>
      <c r="C602" s="667"/>
      <c r="D602" s="667"/>
      <c r="E602" s="667"/>
      <c r="F602" s="667"/>
      <c r="G602" s="667"/>
      <c r="H602" s="667"/>
      <c r="I602" s="667"/>
      <c r="J602" s="667"/>
      <c r="K602" s="667"/>
      <c r="L602" s="667"/>
      <c r="M602" s="667"/>
      <c r="N602" s="667"/>
      <c r="O602" s="667"/>
      <c r="P602" s="667"/>
      <c r="Q602" s="667"/>
    </row>
    <row r="603" ht="15.75" customHeight="1">
      <c r="B603" s="667"/>
      <c r="C603" s="667"/>
      <c r="D603" s="667"/>
      <c r="E603" s="667"/>
      <c r="F603" s="667"/>
      <c r="G603" s="667"/>
      <c r="H603" s="667"/>
      <c r="I603" s="667"/>
      <c r="J603" s="667"/>
      <c r="K603" s="667"/>
      <c r="L603" s="667"/>
      <c r="M603" s="667"/>
      <c r="N603" s="667"/>
      <c r="O603" s="667"/>
      <c r="P603" s="667"/>
      <c r="Q603" s="667"/>
    </row>
    <row r="604" ht="15.75" customHeight="1">
      <c r="B604" s="667"/>
      <c r="C604" s="667"/>
      <c r="D604" s="667"/>
      <c r="E604" s="667"/>
      <c r="F604" s="667"/>
      <c r="G604" s="667"/>
      <c r="H604" s="667"/>
      <c r="I604" s="667"/>
      <c r="J604" s="667"/>
      <c r="K604" s="667"/>
      <c r="L604" s="667"/>
      <c r="M604" s="667"/>
      <c r="N604" s="667"/>
      <c r="O604" s="667"/>
      <c r="P604" s="667"/>
      <c r="Q604" s="667"/>
    </row>
    <row r="605" ht="15.75" customHeight="1">
      <c r="B605" s="667"/>
      <c r="C605" s="667"/>
      <c r="D605" s="667"/>
      <c r="E605" s="667"/>
      <c r="F605" s="667"/>
      <c r="G605" s="667"/>
      <c r="H605" s="667"/>
      <c r="I605" s="667"/>
      <c r="J605" s="667"/>
      <c r="K605" s="667"/>
      <c r="L605" s="667"/>
      <c r="M605" s="667"/>
      <c r="N605" s="667"/>
      <c r="O605" s="667"/>
      <c r="P605" s="667"/>
      <c r="Q605" s="667"/>
    </row>
    <row r="606" ht="15.75" customHeight="1">
      <c r="B606" s="667"/>
      <c r="C606" s="667"/>
      <c r="D606" s="667"/>
      <c r="E606" s="667"/>
      <c r="F606" s="667"/>
      <c r="G606" s="667"/>
      <c r="H606" s="667"/>
      <c r="I606" s="667"/>
      <c r="J606" s="667"/>
      <c r="K606" s="667"/>
      <c r="L606" s="667"/>
      <c r="M606" s="667"/>
      <c r="N606" s="667"/>
      <c r="O606" s="667"/>
      <c r="P606" s="667"/>
      <c r="Q606" s="667"/>
    </row>
    <row r="607" ht="15.75" customHeight="1">
      <c r="B607" s="667"/>
      <c r="C607" s="667"/>
      <c r="D607" s="667"/>
      <c r="E607" s="667"/>
      <c r="F607" s="667"/>
      <c r="G607" s="667"/>
      <c r="H607" s="667"/>
      <c r="I607" s="667"/>
      <c r="J607" s="667"/>
      <c r="K607" s="667"/>
      <c r="L607" s="667"/>
      <c r="M607" s="667"/>
      <c r="N607" s="667"/>
      <c r="O607" s="667"/>
      <c r="P607" s="667"/>
      <c r="Q607" s="667"/>
    </row>
    <row r="608" ht="15.75" customHeight="1">
      <c r="B608" s="667"/>
      <c r="C608" s="667"/>
      <c r="D608" s="667"/>
      <c r="E608" s="667"/>
      <c r="F608" s="667"/>
      <c r="G608" s="667"/>
      <c r="H608" s="667"/>
      <c r="I608" s="667"/>
      <c r="J608" s="667"/>
      <c r="K608" s="667"/>
      <c r="L608" s="667"/>
      <c r="M608" s="667"/>
      <c r="N608" s="667"/>
      <c r="O608" s="667"/>
      <c r="P608" s="667"/>
      <c r="Q608" s="667"/>
    </row>
    <row r="609" ht="15.75" customHeight="1">
      <c r="B609" s="667"/>
      <c r="C609" s="667"/>
      <c r="D609" s="667"/>
      <c r="E609" s="667"/>
      <c r="F609" s="667"/>
      <c r="G609" s="667"/>
      <c r="H609" s="667"/>
      <c r="I609" s="667"/>
      <c r="J609" s="667"/>
      <c r="K609" s="667"/>
      <c r="L609" s="667"/>
      <c r="M609" s="667"/>
      <c r="N609" s="667"/>
      <c r="O609" s="667"/>
      <c r="P609" s="667"/>
      <c r="Q609" s="667"/>
    </row>
    <row r="610" ht="15.75" customHeight="1">
      <c r="B610" s="667"/>
      <c r="C610" s="667"/>
      <c r="D610" s="667"/>
      <c r="E610" s="667"/>
      <c r="F610" s="667"/>
      <c r="G610" s="667"/>
      <c r="H610" s="667"/>
      <c r="I610" s="667"/>
      <c r="J610" s="667"/>
      <c r="K610" s="667"/>
      <c r="L610" s="667"/>
      <c r="M610" s="667"/>
      <c r="N610" s="667"/>
      <c r="O610" s="667"/>
      <c r="P610" s="667"/>
      <c r="Q610" s="667"/>
    </row>
    <row r="611" ht="15.75" customHeight="1">
      <c r="B611" s="667"/>
      <c r="C611" s="667"/>
      <c r="D611" s="667"/>
      <c r="E611" s="667"/>
      <c r="F611" s="667"/>
      <c r="G611" s="667"/>
      <c r="H611" s="667"/>
      <c r="I611" s="667"/>
      <c r="J611" s="667"/>
      <c r="K611" s="667"/>
      <c r="L611" s="667"/>
      <c r="M611" s="667"/>
      <c r="N611" s="667"/>
      <c r="O611" s="667"/>
      <c r="P611" s="667"/>
      <c r="Q611" s="667"/>
    </row>
    <row r="612" ht="15.75" customHeight="1">
      <c r="B612" s="667"/>
      <c r="C612" s="667"/>
      <c r="D612" s="667"/>
      <c r="E612" s="667"/>
      <c r="F612" s="667"/>
      <c r="G612" s="667"/>
      <c r="H612" s="667"/>
      <c r="I612" s="667"/>
      <c r="J612" s="667"/>
      <c r="K612" s="667"/>
      <c r="L612" s="667"/>
      <c r="M612" s="667"/>
      <c r="N612" s="667"/>
      <c r="O612" s="667"/>
      <c r="P612" s="667"/>
      <c r="Q612" s="667"/>
    </row>
    <row r="613" ht="15.75" customHeight="1">
      <c r="B613" s="667"/>
      <c r="C613" s="667"/>
      <c r="D613" s="667"/>
      <c r="E613" s="667"/>
      <c r="F613" s="667"/>
      <c r="G613" s="667"/>
      <c r="H613" s="667"/>
      <c r="I613" s="667"/>
      <c r="J613" s="667"/>
      <c r="K613" s="667"/>
      <c r="L613" s="667"/>
      <c r="M613" s="667"/>
      <c r="N613" s="667"/>
      <c r="O613" s="667"/>
      <c r="P613" s="667"/>
      <c r="Q613" s="667"/>
    </row>
    <row r="614" ht="15.75" customHeight="1">
      <c r="B614" s="667"/>
      <c r="C614" s="667"/>
      <c r="D614" s="667"/>
      <c r="E614" s="667"/>
      <c r="F614" s="667"/>
      <c r="G614" s="667"/>
      <c r="H614" s="667"/>
      <c r="I614" s="667"/>
      <c r="J614" s="667"/>
      <c r="K614" s="667"/>
      <c r="L614" s="667"/>
      <c r="M614" s="667"/>
      <c r="N614" s="667"/>
      <c r="O614" s="667"/>
      <c r="P614" s="667"/>
      <c r="Q614" s="667"/>
    </row>
    <row r="615" ht="15.75" customHeight="1">
      <c r="B615" s="667"/>
      <c r="C615" s="667"/>
      <c r="D615" s="667"/>
      <c r="E615" s="667"/>
      <c r="F615" s="667"/>
      <c r="G615" s="667"/>
      <c r="H615" s="667"/>
      <c r="I615" s="667"/>
      <c r="J615" s="667"/>
      <c r="K615" s="667"/>
      <c r="L615" s="667"/>
      <c r="M615" s="667"/>
      <c r="N615" s="667"/>
      <c r="O615" s="667"/>
      <c r="P615" s="667"/>
      <c r="Q615" s="667"/>
    </row>
    <row r="616" ht="15.75" customHeight="1">
      <c r="B616" s="667"/>
      <c r="C616" s="667"/>
      <c r="D616" s="667"/>
      <c r="E616" s="667"/>
      <c r="F616" s="667"/>
      <c r="G616" s="667"/>
      <c r="H616" s="667"/>
      <c r="I616" s="667"/>
      <c r="J616" s="667"/>
      <c r="K616" s="667"/>
      <c r="L616" s="667"/>
      <c r="M616" s="667"/>
      <c r="N616" s="667"/>
      <c r="O616" s="667"/>
      <c r="P616" s="667"/>
      <c r="Q616" s="667"/>
    </row>
    <row r="617" ht="15.75" customHeight="1">
      <c r="B617" s="667"/>
      <c r="C617" s="667"/>
      <c r="D617" s="667"/>
      <c r="E617" s="667"/>
      <c r="F617" s="667"/>
      <c r="G617" s="667"/>
      <c r="H617" s="667"/>
      <c r="I617" s="667"/>
      <c r="J617" s="667"/>
      <c r="K617" s="667"/>
      <c r="L617" s="667"/>
      <c r="M617" s="667"/>
      <c r="N617" s="667"/>
      <c r="O617" s="667"/>
      <c r="P617" s="667"/>
      <c r="Q617" s="667"/>
    </row>
    <row r="618" ht="15.75" customHeight="1">
      <c r="B618" s="667"/>
      <c r="C618" s="667"/>
      <c r="D618" s="667"/>
      <c r="E618" s="667"/>
      <c r="F618" s="667"/>
      <c r="G618" s="667"/>
      <c r="H618" s="667"/>
      <c r="I618" s="667"/>
      <c r="J618" s="667"/>
      <c r="K618" s="667"/>
      <c r="L618" s="667"/>
      <c r="M618" s="667"/>
      <c r="N618" s="667"/>
      <c r="O618" s="667"/>
      <c r="P618" s="667"/>
      <c r="Q618" s="667"/>
    </row>
    <row r="619" ht="15.75" customHeight="1">
      <c r="B619" s="667"/>
      <c r="C619" s="667"/>
      <c r="D619" s="667"/>
      <c r="E619" s="667"/>
      <c r="F619" s="667"/>
      <c r="G619" s="667"/>
      <c r="H619" s="667"/>
      <c r="I619" s="667"/>
      <c r="J619" s="667"/>
      <c r="K619" s="667"/>
      <c r="L619" s="667"/>
      <c r="M619" s="667"/>
      <c r="N619" s="667"/>
      <c r="O619" s="667"/>
      <c r="P619" s="667"/>
      <c r="Q619" s="667"/>
    </row>
    <row r="620" ht="15.75" customHeight="1">
      <c r="B620" s="667"/>
      <c r="C620" s="667"/>
      <c r="D620" s="667"/>
      <c r="E620" s="667"/>
      <c r="F620" s="667"/>
      <c r="G620" s="667"/>
      <c r="H620" s="667"/>
      <c r="I620" s="667"/>
      <c r="J620" s="667"/>
      <c r="K620" s="667"/>
      <c r="L620" s="667"/>
      <c r="M620" s="667"/>
      <c r="N620" s="667"/>
      <c r="O620" s="667"/>
      <c r="P620" s="667"/>
      <c r="Q620" s="667"/>
    </row>
    <row r="621" ht="15.75" customHeight="1">
      <c r="B621" s="667"/>
      <c r="C621" s="667"/>
      <c r="D621" s="667"/>
      <c r="E621" s="667"/>
      <c r="F621" s="667"/>
      <c r="G621" s="667"/>
      <c r="H621" s="667"/>
      <c r="I621" s="667"/>
      <c r="J621" s="667"/>
      <c r="K621" s="667"/>
      <c r="L621" s="667"/>
      <c r="M621" s="667"/>
      <c r="N621" s="667"/>
      <c r="O621" s="667"/>
      <c r="P621" s="667"/>
      <c r="Q621" s="667"/>
    </row>
    <row r="622" ht="15.75" customHeight="1">
      <c r="B622" s="667"/>
      <c r="C622" s="667"/>
      <c r="D622" s="667"/>
      <c r="E622" s="667"/>
      <c r="F622" s="667"/>
      <c r="G622" s="667"/>
      <c r="H622" s="667"/>
      <c r="I622" s="667"/>
      <c r="J622" s="667"/>
      <c r="K622" s="667"/>
      <c r="L622" s="667"/>
      <c r="M622" s="667"/>
      <c r="N622" s="667"/>
      <c r="O622" s="667"/>
      <c r="P622" s="667"/>
      <c r="Q622" s="667"/>
    </row>
    <row r="623" ht="15.75" customHeight="1">
      <c r="B623" s="667"/>
      <c r="C623" s="667"/>
      <c r="D623" s="667"/>
      <c r="E623" s="667"/>
      <c r="F623" s="667"/>
      <c r="G623" s="667"/>
      <c r="H623" s="667"/>
      <c r="I623" s="667"/>
      <c r="J623" s="667"/>
      <c r="K623" s="667"/>
      <c r="L623" s="667"/>
      <c r="M623" s="667"/>
      <c r="N623" s="667"/>
      <c r="O623" s="667"/>
      <c r="P623" s="667"/>
      <c r="Q623" s="667"/>
    </row>
    <row r="624" ht="15.75" customHeight="1">
      <c r="B624" s="667"/>
      <c r="C624" s="667"/>
      <c r="D624" s="667"/>
      <c r="E624" s="667"/>
      <c r="F624" s="667"/>
      <c r="G624" s="667"/>
      <c r="H624" s="667"/>
      <c r="I624" s="667"/>
      <c r="J624" s="667"/>
      <c r="K624" s="667"/>
      <c r="L624" s="667"/>
      <c r="M624" s="667"/>
      <c r="N624" s="667"/>
      <c r="O624" s="667"/>
      <c r="P624" s="667"/>
      <c r="Q624" s="667"/>
    </row>
    <row r="625" ht="15.75" customHeight="1">
      <c r="B625" s="667"/>
      <c r="C625" s="667"/>
      <c r="D625" s="667"/>
      <c r="E625" s="667"/>
      <c r="F625" s="667"/>
      <c r="G625" s="667"/>
      <c r="H625" s="667"/>
      <c r="I625" s="667"/>
      <c r="J625" s="667"/>
      <c r="K625" s="667"/>
      <c r="L625" s="667"/>
      <c r="M625" s="667"/>
      <c r="N625" s="667"/>
      <c r="O625" s="667"/>
      <c r="P625" s="667"/>
      <c r="Q625" s="667"/>
    </row>
    <row r="626" ht="15.75" customHeight="1">
      <c r="B626" s="667"/>
      <c r="C626" s="667"/>
      <c r="D626" s="667"/>
      <c r="E626" s="667"/>
      <c r="F626" s="667"/>
      <c r="G626" s="667"/>
      <c r="H626" s="667"/>
      <c r="I626" s="667"/>
      <c r="J626" s="667"/>
      <c r="K626" s="667"/>
      <c r="L626" s="667"/>
      <c r="M626" s="667"/>
      <c r="N626" s="667"/>
      <c r="O626" s="667"/>
      <c r="P626" s="667"/>
      <c r="Q626" s="667"/>
    </row>
    <row r="627" ht="15.75" customHeight="1">
      <c r="B627" s="667"/>
      <c r="C627" s="667"/>
      <c r="D627" s="667"/>
      <c r="E627" s="667"/>
      <c r="F627" s="667"/>
      <c r="G627" s="667"/>
      <c r="H627" s="667"/>
      <c r="I627" s="667"/>
      <c r="J627" s="667"/>
      <c r="K627" s="667"/>
      <c r="L627" s="667"/>
      <c r="M627" s="667"/>
      <c r="N627" s="667"/>
      <c r="O627" s="667"/>
      <c r="P627" s="667"/>
      <c r="Q627" s="667"/>
    </row>
    <row r="628" ht="15.75" customHeight="1">
      <c r="B628" s="667"/>
      <c r="C628" s="667"/>
      <c r="D628" s="667"/>
      <c r="E628" s="667"/>
      <c r="F628" s="667"/>
      <c r="G628" s="667"/>
      <c r="H628" s="667"/>
      <c r="I628" s="667"/>
      <c r="J628" s="667"/>
      <c r="K628" s="667"/>
      <c r="L628" s="667"/>
      <c r="M628" s="667"/>
      <c r="N628" s="667"/>
      <c r="O628" s="667"/>
      <c r="P628" s="667"/>
      <c r="Q628" s="667"/>
    </row>
    <row r="629" ht="15.75" customHeight="1">
      <c r="B629" s="667"/>
      <c r="C629" s="667"/>
      <c r="D629" s="667"/>
      <c r="E629" s="667"/>
      <c r="F629" s="667"/>
      <c r="G629" s="667"/>
      <c r="H629" s="667"/>
      <c r="I629" s="667"/>
      <c r="J629" s="667"/>
      <c r="K629" s="667"/>
      <c r="L629" s="667"/>
      <c r="M629" s="667"/>
      <c r="N629" s="667"/>
      <c r="O629" s="667"/>
      <c r="P629" s="667"/>
      <c r="Q629" s="667"/>
    </row>
    <row r="630" ht="15.75" customHeight="1">
      <c r="B630" s="667"/>
      <c r="C630" s="667"/>
      <c r="D630" s="667"/>
      <c r="E630" s="667"/>
      <c r="F630" s="667"/>
      <c r="G630" s="667"/>
      <c r="H630" s="667"/>
      <c r="I630" s="667"/>
      <c r="J630" s="667"/>
      <c r="K630" s="667"/>
      <c r="L630" s="667"/>
      <c r="M630" s="667"/>
      <c r="N630" s="667"/>
      <c r="O630" s="667"/>
      <c r="P630" s="667"/>
      <c r="Q630" s="667"/>
    </row>
    <row r="631" ht="15.75" customHeight="1">
      <c r="B631" s="667"/>
      <c r="C631" s="667"/>
      <c r="D631" s="667"/>
      <c r="E631" s="667"/>
      <c r="F631" s="667"/>
      <c r="G631" s="667"/>
      <c r="H631" s="667"/>
      <c r="I631" s="667"/>
      <c r="J631" s="667"/>
      <c r="K631" s="667"/>
      <c r="L631" s="667"/>
      <c r="M631" s="667"/>
      <c r="N631" s="667"/>
      <c r="O631" s="667"/>
      <c r="P631" s="667"/>
      <c r="Q631" s="667"/>
    </row>
    <row r="632" ht="15.75" customHeight="1">
      <c r="B632" s="667"/>
      <c r="C632" s="667"/>
      <c r="D632" s="667"/>
      <c r="E632" s="667"/>
      <c r="F632" s="667"/>
      <c r="G632" s="667"/>
      <c r="H632" s="667"/>
      <c r="I632" s="667"/>
      <c r="J632" s="667"/>
      <c r="K632" s="667"/>
      <c r="L632" s="667"/>
      <c r="M632" s="667"/>
      <c r="N632" s="667"/>
      <c r="O632" s="667"/>
      <c r="P632" s="667"/>
      <c r="Q632" s="667"/>
    </row>
    <row r="633" ht="15.75" customHeight="1">
      <c r="B633" s="667"/>
      <c r="C633" s="667"/>
      <c r="D633" s="667"/>
      <c r="E633" s="667"/>
      <c r="F633" s="667"/>
      <c r="G633" s="667"/>
      <c r="H633" s="667"/>
      <c r="I633" s="667"/>
      <c r="J633" s="667"/>
      <c r="K633" s="667"/>
      <c r="L633" s="667"/>
      <c r="M633" s="667"/>
      <c r="N633" s="667"/>
      <c r="O633" s="667"/>
      <c r="P633" s="667"/>
      <c r="Q633" s="667"/>
    </row>
    <row r="634" ht="15.75" customHeight="1">
      <c r="B634" s="667"/>
      <c r="C634" s="667"/>
      <c r="D634" s="667"/>
      <c r="E634" s="667"/>
      <c r="F634" s="667"/>
      <c r="G634" s="667"/>
      <c r="H634" s="667"/>
      <c r="I634" s="667"/>
      <c r="J634" s="667"/>
      <c r="K634" s="667"/>
      <c r="L634" s="667"/>
      <c r="M634" s="667"/>
      <c r="N634" s="667"/>
      <c r="O634" s="667"/>
      <c r="P634" s="667"/>
      <c r="Q634" s="667"/>
    </row>
    <row r="635" ht="15.75" customHeight="1">
      <c r="B635" s="667"/>
      <c r="C635" s="667"/>
      <c r="D635" s="667"/>
      <c r="E635" s="667"/>
      <c r="F635" s="667"/>
      <c r="G635" s="667"/>
      <c r="H635" s="667"/>
      <c r="I635" s="667"/>
      <c r="J635" s="667"/>
      <c r="K635" s="667"/>
      <c r="L635" s="667"/>
      <c r="M635" s="667"/>
      <c r="N635" s="667"/>
      <c r="O635" s="667"/>
      <c r="P635" s="667"/>
      <c r="Q635" s="667"/>
    </row>
    <row r="636" ht="15.75" customHeight="1">
      <c r="B636" s="667"/>
      <c r="C636" s="667"/>
      <c r="D636" s="667"/>
      <c r="E636" s="667"/>
      <c r="F636" s="667"/>
      <c r="G636" s="667"/>
      <c r="H636" s="667"/>
      <c r="I636" s="667"/>
      <c r="J636" s="667"/>
      <c r="K636" s="667"/>
      <c r="L636" s="667"/>
      <c r="M636" s="667"/>
      <c r="N636" s="667"/>
      <c r="O636" s="667"/>
      <c r="P636" s="667"/>
      <c r="Q636" s="667"/>
    </row>
    <row r="637" ht="15.75" customHeight="1">
      <c r="B637" s="667"/>
      <c r="C637" s="667"/>
      <c r="D637" s="667"/>
      <c r="E637" s="667"/>
      <c r="F637" s="667"/>
      <c r="G637" s="667"/>
      <c r="H637" s="667"/>
      <c r="I637" s="667"/>
      <c r="J637" s="667"/>
      <c r="K637" s="667"/>
      <c r="L637" s="667"/>
      <c r="M637" s="667"/>
      <c r="N637" s="667"/>
      <c r="O637" s="667"/>
      <c r="P637" s="667"/>
      <c r="Q637" s="667"/>
    </row>
    <row r="638" ht="15.75" customHeight="1">
      <c r="B638" s="667"/>
      <c r="C638" s="667"/>
      <c r="D638" s="667"/>
      <c r="E638" s="667"/>
      <c r="F638" s="667"/>
      <c r="G638" s="667"/>
      <c r="H638" s="667"/>
      <c r="I638" s="667"/>
      <c r="J638" s="667"/>
      <c r="K638" s="667"/>
      <c r="L638" s="667"/>
      <c r="M638" s="667"/>
      <c r="N638" s="667"/>
      <c r="O638" s="667"/>
      <c r="P638" s="667"/>
      <c r="Q638" s="667"/>
    </row>
    <row r="639" ht="15.75" customHeight="1">
      <c r="B639" s="667"/>
      <c r="C639" s="667"/>
      <c r="D639" s="667"/>
      <c r="E639" s="667"/>
      <c r="F639" s="667"/>
      <c r="G639" s="667"/>
      <c r="H639" s="667"/>
      <c r="I639" s="667"/>
      <c r="J639" s="667"/>
      <c r="K639" s="667"/>
      <c r="L639" s="667"/>
      <c r="M639" s="667"/>
      <c r="N639" s="667"/>
      <c r="O639" s="667"/>
      <c r="P639" s="667"/>
      <c r="Q639" s="667"/>
    </row>
    <row r="640" ht="15.75" customHeight="1">
      <c r="B640" s="667"/>
      <c r="C640" s="667"/>
      <c r="D640" s="667"/>
      <c r="E640" s="667"/>
      <c r="F640" s="667"/>
      <c r="G640" s="667"/>
      <c r="H640" s="667"/>
      <c r="I640" s="667"/>
      <c r="J640" s="667"/>
      <c r="K640" s="667"/>
      <c r="L640" s="667"/>
      <c r="M640" s="667"/>
      <c r="N640" s="667"/>
      <c r="O640" s="667"/>
      <c r="P640" s="667"/>
      <c r="Q640" s="667"/>
    </row>
    <row r="641" ht="15.75" customHeight="1">
      <c r="B641" s="667"/>
      <c r="C641" s="667"/>
      <c r="D641" s="667"/>
      <c r="E641" s="667"/>
      <c r="F641" s="667"/>
      <c r="G641" s="667"/>
      <c r="H641" s="667"/>
      <c r="I641" s="667"/>
      <c r="J641" s="667"/>
      <c r="K641" s="667"/>
      <c r="L641" s="667"/>
      <c r="M641" s="667"/>
      <c r="N641" s="667"/>
      <c r="O641" s="667"/>
      <c r="P641" s="667"/>
      <c r="Q641" s="667"/>
    </row>
    <row r="642" ht="15.75" customHeight="1">
      <c r="B642" s="667"/>
      <c r="C642" s="667"/>
      <c r="D642" s="667"/>
      <c r="E642" s="667"/>
      <c r="F642" s="667"/>
      <c r="G642" s="667"/>
      <c r="H642" s="667"/>
      <c r="I642" s="667"/>
      <c r="J642" s="667"/>
      <c r="K642" s="667"/>
      <c r="L642" s="667"/>
      <c r="M642" s="667"/>
      <c r="N642" s="667"/>
      <c r="O642" s="667"/>
      <c r="P642" s="667"/>
      <c r="Q642" s="667"/>
    </row>
    <row r="643" ht="15.75" customHeight="1">
      <c r="B643" s="667"/>
      <c r="C643" s="667"/>
      <c r="D643" s="667"/>
      <c r="E643" s="667"/>
      <c r="F643" s="667"/>
      <c r="G643" s="667"/>
      <c r="H643" s="667"/>
      <c r="I643" s="667"/>
      <c r="J643" s="667"/>
      <c r="K643" s="667"/>
      <c r="L643" s="667"/>
      <c r="M643" s="667"/>
      <c r="N643" s="667"/>
      <c r="O643" s="667"/>
      <c r="P643" s="667"/>
      <c r="Q643" s="667"/>
    </row>
    <row r="644" ht="15.75" customHeight="1">
      <c r="B644" s="667"/>
      <c r="C644" s="667"/>
      <c r="D644" s="667"/>
      <c r="E644" s="667"/>
      <c r="F644" s="667"/>
      <c r="G644" s="667"/>
      <c r="H644" s="667"/>
      <c r="I644" s="667"/>
      <c r="J644" s="667"/>
      <c r="K644" s="667"/>
      <c r="L644" s="667"/>
      <c r="M644" s="667"/>
      <c r="N644" s="667"/>
      <c r="O644" s="667"/>
      <c r="P644" s="667"/>
      <c r="Q644" s="667"/>
    </row>
    <row r="645" ht="15.75" customHeight="1">
      <c r="B645" s="667"/>
      <c r="C645" s="667"/>
      <c r="D645" s="667"/>
      <c r="E645" s="667"/>
      <c r="F645" s="667"/>
      <c r="G645" s="667"/>
      <c r="H645" s="667"/>
      <c r="I645" s="667"/>
      <c r="J645" s="667"/>
      <c r="K645" s="667"/>
      <c r="L645" s="667"/>
      <c r="M645" s="667"/>
      <c r="N645" s="667"/>
      <c r="O645" s="667"/>
      <c r="P645" s="667"/>
      <c r="Q645" s="667"/>
    </row>
    <row r="646" ht="15.75" customHeight="1">
      <c r="B646" s="667"/>
      <c r="C646" s="667"/>
      <c r="D646" s="667"/>
      <c r="E646" s="667"/>
      <c r="F646" s="667"/>
      <c r="G646" s="667"/>
      <c r="H646" s="667"/>
      <c r="I646" s="667"/>
      <c r="J646" s="667"/>
      <c r="K646" s="667"/>
      <c r="L646" s="667"/>
      <c r="M646" s="667"/>
      <c r="N646" s="667"/>
      <c r="O646" s="667"/>
      <c r="P646" s="667"/>
      <c r="Q646" s="667"/>
    </row>
    <row r="647" ht="15.75" customHeight="1">
      <c r="B647" s="667"/>
      <c r="C647" s="667"/>
      <c r="D647" s="667"/>
      <c r="E647" s="667"/>
      <c r="F647" s="667"/>
      <c r="G647" s="667"/>
      <c r="H647" s="667"/>
      <c r="I647" s="667"/>
      <c r="J647" s="667"/>
      <c r="K647" s="667"/>
      <c r="L647" s="667"/>
      <c r="M647" s="667"/>
      <c r="N647" s="667"/>
      <c r="O647" s="667"/>
      <c r="P647" s="667"/>
      <c r="Q647" s="667"/>
    </row>
    <row r="648" ht="15.75" customHeight="1">
      <c r="B648" s="667"/>
      <c r="C648" s="667"/>
      <c r="D648" s="667"/>
      <c r="E648" s="667"/>
      <c r="F648" s="667"/>
      <c r="G648" s="667"/>
      <c r="H648" s="667"/>
      <c r="I648" s="667"/>
      <c r="J648" s="667"/>
      <c r="K648" s="667"/>
      <c r="L648" s="667"/>
      <c r="M648" s="667"/>
      <c r="N648" s="667"/>
      <c r="O648" s="667"/>
      <c r="P648" s="667"/>
      <c r="Q648" s="667"/>
    </row>
    <row r="649" ht="15.75" customHeight="1">
      <c r="B649" s="667"/>
      <c r="C649" s="667"/>
      <c r="D649" s="667"/>
      <c r="E649" s="667"/>
      <c r="F649" s="667"/>
      <c r="G649" s="667"/>
      <c r="H649" s="667"/>
      <c r="I649" s="667"/>
      <c r="J649" s="667"/>
      <c r="K649" s="667"/>
      <c r="L649" s="667"/>
      <c r="M649" s="667"/>
      <c r="N649" s="667"/>
      <c r="O649" s="667"/>
      <c r="P649" s="667"/>
      <c r="Q649" s="667"/>
    </row>
    <row r="650" ht="15.75" customHeight="1">
      <c r="B650" s="667"/>
      <c r="C650" s="667"/>
      <c r="D650" s="667"/>
      <c r="E650" s="667"/>
      <c r="F650" s="667"/>
      <c r="G650" s="667"/>
      <c r="H650" s="667"/>
      <c r="I650" s="667"/>
      <c r="J650" s="667"/>
      <c r="K650" s="667"/>
      <c r="L650" s="667"/>
      <c r="M650" s="667"/>
      <c r="N650" s="667"/>
      <c r="O650" s="667"/>
      <c r="P650" s="667"/>
      <c r="Q650" s="667"/>
    </row>
    <row r="651" ht="15.75" customHeight="1">
      <c r="B651" s="667"/>
      <c r="C651" s="667"/>
      <c r="D651" s="667"/>
      <c r="E651" s="667"/>
      <c r="F651" s="667"/>
      <c r="G651" s="667"/>
      <c r="H651" s="667"/>
      <c r="I651" s="667"/>
      <c r="J651" s="667"/>
      <c r="K651" s="667"/>
      <c r="L651" s="667"/>
      <c r="M651" s="667"/>
      <c r="N651" s="667"/>
      <c r="O651" s="667"/>
      <c r="P651" s="667"/>
      <c r="Q651" s="667"/>
    </row>
    <row r="652" ht="15.75" customHeight="1">
      <c r="B652" s="667"/>
      <c r="C652" s="667"/>
      <c r="D652" s="667"/>
      <c r="E652" s="667"/>
      <c r="F652" s="667"/>
      <c r="G652" s="667"/>
      <c r="H652" s="667"/>
      <c r="I652" s="667"/>
      <c r="J652" s="667"/>
      <c r="K652" s="667"/>
      <c r="L652" s="667"/>
      <c r="M652" s="667"/>
      <c r="N652" s="667"/>
      <c r="O652" s="667"/>
      <c r="P652" s="667"/>
      <c r="Q652" s="667"/>
    </row>
    <row r="653" ht="15.75" customHeight="1">
      <c r="B653" s="667"/>
      <c r="C653" s="667"/>
      <c r="D653" s="667"/>
      <c r="E653" s="667"/>
      <c r="F653" s="667"/>
      <c r="G653" s="667"/>
      <c r="H653" s="667"/>
      <c r="I653" s="667"/>
      <c r="J653" s="667"/>
      <c r="K653" s="667"/>
      <c r="L653" s="667"/>
      <c r="M653" s="667"/>
      <c r="N653" s="667"/>
      <c r="O653" s="667"/>
      <c r="P653" s="667"/>
      <c r="Q653" s="667"/>
    </row>
    <row r="654" ht="15.75" customHeight="1">
      <c r="B654" s="667"/>
      <c r="C654" s="667"/>
      <c r="D654" s="667"/>
      <c r="E654" s="667"/>
      <c r="F654" s="667"/>
      <c r="G654" s="667"/>
      <c r="H654" s="667"/>
      <c r="I654" s="667"/>
      <c r="J654" s="667"/>
      <c r="K654" s="667"/>
      <c r="L654" s="667"/>
      <c r="M654" s="667"/>
      <c r="N654" s="667"/>
      <c r="O654" s="667"/>
      <c r="P654" s="667"/>
      <c r="Q654" s="667"/>
    </row>
    <row r="655" ht="15.75" customHeight="1">
      <c r="B655" s="667"/>
      <c r="C655" s="667"/>
      <c r="D655" s="667"/>
      <c r="E655" s="667"/>
      <c r="F655" s="667"/>
      <c r="G655" s="667"/>
      <c r="H655" s="667"/>
      <c r="I655" s="667"/>
      <c r="J655" s="667"/>
      <c r="K655" s="667"/>
      <c r="L655" s="667"/>
      <c r="M655" s="667"/>
      <c r="N655" s="667"/>
      <c r="O655" s="667"/>
      <c r="P655" s="667"/>
      <c r="Q655" s="667"/>
    </row>
    <row r="656" ht="15.75" customHeight="1">
      <c r="B656" s="667"/>
      <c r="C656" s="667"/>
      <c r="D656" s="667"/>
      <c r="E656" s="667"/>
      <c r="F656" s="667"/>
      <c r="G656" s="667"/>
      <c r="H656" s="667"/>
      <c r="I656" s="667"/>
      <c r="J656" s="667"/>
      <c r="K656" s="667"/>
      <c r="L656" s="667"/>
      <c r="M656" s="667"/>
      <c r="N656" s="667"/>
      <c r="O656" s="667"/>
      <c r="P656" s="667"/>
      <c r="Q656" s="667"/>
    </row>
    <row r="657" ht="15.75" customHeight="1">
      <c r="B657" s="667"/>
      <c r="C657" s="667"/>
      <c r="D657" s="667"/>
      <c r="E657" s="667"/>
      <c r="F657" s="667"/>
      <c r="G657" s="667"/>
      <c r="H657" s="667"/>
      <c r="I657" s="667"/>
      <c r="J657" s="667"/>
      <c r="K657" s="667"/>
      <c r="L657" s="667"/>
      <c r="M657" s="667"/>
      <c r="N657" s="667"/>
      <c r="O657" s="667"/>
      <c r="P657" s="667"/>
      <c r="Q657" s="667"/>
    </row>
    <row r="658" ht="15.75" customHeight="1">
      <c r="B658" s="667"/>
      <c r="C658" s="667"/>
      <c r="D658" s="667"/>
      <c r="E658" s="667"/>
      <c r="F658" s="667"/>
      <c r="G658" s="667"/>
      <c r="H658" s="667"/>
      <c r="I658" s="667"/>
      <c r="J658" s="667"/>
      <c r="K658" s="667"/>
      <c r="L658" s="667"/>
      <c r="M658" s="667"/>
      <c r="N658" s="667"/>
      <c r="O658" s="667"/>
      <c r="P658" s="667"/>
      <c r="Q658" s="667"/>
    </row>
    <row r="659" ht="15.75" customHeight="1">
      <c r="B659" s="667"/>
      <c r="C659" s="667"/>
      <c r="D659" s="667"/>
      <c r="E659" s="667"/>
      <c r="F659" s="667"/>
      <c r="G659" s="667"/>
      <c r="H659" s="667"/>
      <c r="I659" s="667"/>
      <c r="J659" s="667"/>
      <c r="K659" s="667"/>
      <c r="L659" s="667"/>
      <c r="M659" s="667"/>
      <c r="N659" s="667"/>
      <c r="O659" s="667"/>
      <c r="P659" s="667"/>
      <c r="Q659" s="667"/>
    </row>
    <row r="660" ht="15.75" customHeight="1">
      <c r="B660" s="667"/>
      <c r="C660" s="667"/>
      <c r="D660" s="667"/>
      <c r="E660" s="667"/>
      <c r="F660" s="667"/>
      <c r="G660" s="667"/>
      <c r="H660" s="667"/>
      <c r="I660" s="667"/>
      <c r="J660" s="667"/>
      <c r="K660" s="667"/>
      <c r="L660" s="667"/>
      <c r="M660" s="667"/>
      <c r="N660" s="667"/>
      <c r="O660" s="667"/>
      <c r="P660" s="667"/>
      <c r="Q660" s="667"/>
    </row>
    <row r="661" ht="15.75" customHeight="1">
      <c r="B661" s="667"/>
      <c r="C661" s="667"/>
      <c r="D661" s="667"/>
      <c r="E661" s="667"/>
      <c r="F661" s="667"/>
      <c r="G661" s="667"/>
      <c r="H661" s="667"/>
      <c r="I661" s="667"/>
      <c r="J661" s="667"/>
      <c r="K661" s="667"/>
      <c r="L661" s="667"/>
      <c r="M661" s="667"/>
      <c r="N661" s="667"/>
      <c r="O661" s="667"/>
      <c r="P661" s="667"/>
      <c r="Q661" s="667"/>
    </row>
    <row r="662" ht="15.75" customHeight="1">
      <c r="B662" s="667"/>
      <c r="C662" s="667"/>
      <c r="D662" s="667"/>
      <c r="E662" s="667"/>
      <c r="F662" s="667"/>
      <c r="G662" s="667"/>
      <c r="H662" s="667"/>
      <c r="I662" s="667"/>
      <c r="J662" s="667"/>
      <c r="K662" s="667"/>
      <c r="L662" s="667"/>
      <c r="M662" s="667"/>
      <c r="N662" s="667"/>
      <c r="O662" s="667"/>
      <c r="P662" s="667"/>
      <c r="Q662" s="667"/>
    </row>
    <row r="663" ht="15.75" customHeight="1">
      <c r="B663" s="667"/>
      <c r="C663" s="667"/>
      <c r="D663" s="667"/>
      <c r="E663" s="667"/>
      <c r="F663" s="667"/>
      <c r="G663" s="667"/>
      <c r="H663" s="667"/>
      <c r="I663" s="667"/>
      <c r="J663" s="667"/>
      <c r="K663" s="667"/>
      <c r="L663" s="667"/>
      <c r="M663" s="667"/>
      <c r="N663" s="667"/>
      <c r="O663" s="667"/>
      <c r="P663" s="667"/>
      <c r="Q663" s="667"/>
    </row>
    <row r="664" ht="15.75" customHeight="1">
      <c r="B664" s="667"/>
      <c r="C664" s="667"/>
      <c r="D664" s="667"/>
      <c r="E664" s="667"/>
      <c r="F664" s="667"/>
      <c r="G664" s="667"/>
      <c r="H664" s="667"/>
      <c r="I664" s="667"/>
      <c r="J664" s="667"/>
      <c r="K664" s="667"/>
      <c r="L664" s="667"/>
      <c r="M664" s="667"/>
      <c r="N664" s="667"/>
      <c r="O664" s="667"/>
      <c r="P664" s="667"/>
      <c r="Q664" s="667"/>
    </row>
    <row r="665" ht="15.75" customHeight="1">
      <c r="B665" s="667"/>
      <c r="C665" s="667"/>
      <c r="D665" s="667"/>
      <c r="E665" s="667"/>
      <c r="F665" s="667"/>
      <c r="G665" s="667"/>
      <c r="H665" s="667"/>
      <c r="I665" s="667"/>
      <c r="J665" s="667"/>
      <c r="K665" s="667"/>
      <c r="L665" s="667"/>
      <c r="M665" s="667"/>
      <c r="N665" s="667"/>
      <c r="O665" s="667"/>
      <c r="P665" s="667"/>
      <c r="Q665" s="667"/>
    </row>
    <row r="666" ht="15.75" customHeight="1">
      <c r="B666" s="667"/>
      <c r="C666" s="667"/>
      <c r="D666" s="667"/>
      <c r="E666" s="667"/>
      <c r="F666" s="667"/>
      <c r="G666" s="667"/>
      <c r="H666" s="667"/>
      <c r="I666" s="667"/>
      <c r="J666" s="667"/>
      <c r="K666" s="667"/>
      <c r="L666" s="667"/>
      <c r="M666" s="667"/>
      <c r="N666" s="667"/>
      <c r="O666" s="667"/>
      <c r="P666" s="667"/>
      <c r="Q666" s="667"/>
    </row>
    <row r="667" ht="15.75" customHeight="1">
      <c r="B667" s="667"/>
      <c r="C667" s="667"/>
      <c r="D667" s="667"/>
      <c r="E667" s="667"/>
      <c r="F667" s="667"/>
      <c r="G667" s="667"/>
      <c r="H667" s="667"/>
      <c r="I667" s="667"/>
      <c r="J667" s="667"/>
      <c r="K667" s="667"/>
      <c r="L667" s="667"/>
      <c r="M667" s="667"/>
      <c r="N667" s="667"/>
      <c r="O667" s="667"/>
      <c r="P667" s="667"/>
      <c r="Q667" s="667"/>
    </row>
    <row r="668" ht="15.75" customHeight="1">
      <c r="B668" s="667"/>
      <c r="C668" s="667"/>
      <c r="D668" s="667"/>
      <c r="E668" s="667"/>
      <c r="F668" s="667"/>
      <c r="G668" s="667"/>
      <c r="H668" s="667"/>
      <c r="I668" s="667"/>
      <c r="J668" s="667"/>
      <c r="K668" s="667"/>
      <c r="L668" s="667"/>
      <c r="M668" s="667"/>
      <c r="N668" s="667"/>
      <c r="O668" s="667"/>
      <c r="P668" s="667"/>
      <c r="Q668" s="667"/>
    </row>
    <row r="669" ht="15.75" customHeight="1">
      <c r="B669" s="667"/>
      <c r="C669" s="667"/>
      <c r="D669" s="667"/>
      <c r="E669" s="667"/>
      <c r="F669" s="667"/>
      <c r="G669" s="667"/>
      <c r="H669" s="667"/>
      <c r="I669" s="667"/>
      <c r="J669" s="667"/>
      <c r="K669" s="667"/>
      <c r="L669" s="667"/>
      <c r="M669" s="667"/>
      <c r="N669" s="667"/>
      <c r="O669" s="667"/>
      <c r="P669" s="667"/>
      <c r="Q669" s="667"/>
    </row>
    <row r="670" ht="15.75" customHeight="1">
      <c r="B670" s="667"/>
      <c r="C670" s="667"/>
      <c r="D670" s="667"/>
      <c r="E670" s="667"/>
      <c r="F670" s="667"/>
      <c r="G670" s="667"/>
      <c r="H670" s="667"/>
      <c r="I670" s="667"/>
      <c r="J670" s="667"/>
      <c r="K670" s="667"/>
      <c r="L670" s="667"/>
      <c r="M670" s="667"/>
      <c r="N670" s="667"/>
      <c r="O670" s="667"/>
      <c r="P670" s="667"/>
      <c r="Q670" s="667"/>
    </row>
    <row r="671" ht="15.75" customHeight="1">
      <c r="B671" s="667"/>
      <c r="C671" s="667"/>
      <c r="D671" s="667"/>
      <c r="E671" s="667"/>
      <c r="F671" s="667"/>
      <c r="G671" s="667"/>
      <c r="H671" s="667"/>
      <c r="I671" s="667"/>
      <c r="J671" s="667"/>
      <c r="K671" s="667"/>
      <c r="L671" s="667"/>
      <c r="M671" s="667"/>
      <c r="N671" s="667"/>
      <c r="O671" s="667"/>
      <c r="P671" s="667"/>
      <c r="Q671" s="667"/>
    </row>
    <row r="672" ht="15.75" customHeight="1">
      <c r="B672" s="667"/>
      <c r="C672" s="667"/>
      <c r="D672" s="667"/>
      <c r="E672" s="667"/>
      <c r="F672" s="667"/>
      <c r="G672" s="667"/>
      <c r="H672" s="667"/>
      <c r="I672" s="667"/>
      <c r="J672" s="667"/>
      <c r="K672" s="667"/>
      <c r="L672" s="667"/>
      <c r="M672" s="667"/>
      <c r="N672" s="667"/>
      <c r="O672" s="667"/>
      <c r="P672" s="667"/>
      <c r="Q672" s="667"/>
    </row>
    <row r="673" ht="15.75" customHeight="1">
      <c r="B673" s="667"/>
      <c r="C673" s="667"/>
      <c r="D673" s="667"/>
      <c r="E673" s="667"/>
      <c r="F673" s="667"/>
      <c r="G673" s="667"/>
      <c r="H673" s="667"/>
      <c r="I673" s="667"/>
      <c r="J673" s="667"/>
      <c r="K673" s="667"/>
      <c r="L673" s="667"/>
      <c r="M673" s="667"/>
      <c r="N673" s="667"/>
      <c r="O673" s="667"/>
      <c r="P673" s="667"/>
      <c r="Q673" s="667"/>
    </row>
    <row r="674" ht="15.75" customHeight="1">
      <c r="B674" s="667"/>
      <c r="C674" s="667"/>
      <c r="D674" s="667"/>
      <c r="E674" s="667"/>
      <c r="F674" s="667"/>
      <c r="G674" s="667"/>
      <c r="H674" s="667"/>
      <c r="I674" s="667"/>
      <c r="J674" s="667"/>
      <c r="K674" s="667"/>
      <c r="L674" s="667"/>
      <c r="M674" s="667"/>
      <c r="N674" s="667"/>
      <c r="O674" s="667"/>
      <c r="P674" s="667"/>
      <c r="Q674" s="667"/>
    </row>
    <row r="675" ht="15.75" customHeight="1">
      <c r="B675" s="667"/>
      <c r="C675" s="667"/>
      <c r="D675" s="667"/>
      <c r="E675" s="667"/>
      <c r="F675" s="667"/>
      <c r="G675" s="667"/>
      <c r="H675" s="667"/>
      <c r="I675" s="667"/>
      <c r="J675" s="667"/>
      <c r="K675" s="667"/>
      <c r="L675" s="667"/>
      <c r="M675" s="667"/>
      <c r="N675" s="667"/>
      <c r="O675" s="667"/>
      <c r="P675" s="667"/>
      <c r="Q675" s="667"/>
    </row>
    <row r="676" ht="15.75" customHeight="1">
      <c r="B676" s="667"/>
      <c r="C676" s="667"/>
      <c r="D676" s="667"/>
      <c r="E676" s="667"/>
      <c r="F676" s="667"/>
      <c r="G676" s="667"/>
      <c r="H676" s="667"/>
      <c r="I676" s="667"/>
      <c r="J676" s="667"/>
      <c r="K676" s="667"/>
      <c r="L676" s="667"/>
      <c r="M676" s="667"/>
      <c r="N676" s="667"/>
      <c r="O676" s="667"/>
      <c r="P676" s="667"/>
      <c r="Q676" s="667"/>
    </row>
    <row r="677" ht="15.75" customHeight="1">
      <c r="B677" s="667"/>
      <c r="C677" s="667"/>
      <c r="D677" s="667"/>
      <c r="E677" s="667"/>
      <c r="F677" s="667"/>
      <c r="G677" s="667"/>
      <c r="H677" s="667"/>
      <c r="I677" s="667"/>
      <c r="J677" s="667"/>
      <c r="K677" s="667"/>
      <c r="L677" s="667"/>
      <c r="M677" s="667"/>
      <c r="N677" s="667"/>
      <c r="O677" s="667"/>
      <c r="P677" s="667"/>
      <c r="Q677" s="667"/>
    </row>
    <row r="678" ht="15.75" customHeight="1">
      <c r="B678" s="667"/>
      <c r="C678" s="667"/>
      <c r="D678" s="667"/>
      <c r="E678" s="667"/>
      <c r="F678" s="667"/>
      <c r="G678" s="667"/>
      <c r="H678" s="667"/>
      <c r="I678" s="667"/>
      <c r="J678" s="667"/>
      <c r="K678" s="667"/>
      <c r="L678" s="667"/>
      <c r="M678" s="667"/>
      <c r="N678" s="667"/>
      <c r="O678" s="667"/>
      <c r="P678" s="667"/>
      <c r="Q678" s="667"/>
    </row>
    <row r="679" ht="15.75" customHeight="1">
      <c r="B679" s="667"/>
      <c r="C679" s="667"/>
      <c r="D679" s="667"/>
      <c r="E679" s="667"/>
      <c r="F679" s="667"/>
      <c r="G679" s="667"/>
      <c r="H679" s="667"/>
      <c r="I679" s="667"/>
      <c r="J679" s="667"/>
      <c r="K679" s="667"/>
      <c r="L679" s="667"/>
      <c r="M679" s="667"/>
      <c r="N679" s="667"/>
      <c r="O679" s="667"/>
      <c r="P679" s="667"/>
      <c r="Q679" s="667"/>
    </row>
    <row r="680" ht="15.75" customHeight="1">
      <c r="B680" s="667"/>
      <c r="C680" s="667"/>
      <c r="D680" s="667"/>
      <c r="E680" s="667"/>
      <c r="F680" s="667"/>
      <c r="G680" s="667"/>
      <c r="H680" s="667"/>
      <c r="I680" s="667"/>
      <c r="J680" s="667"/>
      <c r="K680" s="667"/>
      <c r="L680" s="667"/>
      <c r="M680" s="667"/>
      <c r="N680" s="667"/>
      <c r="O680" s="667"/>
      <c r="P680" s="667"/>
      <c r="Q680" s="667"/>
    </row>
    <row r="681" ht="15.75" customHeight="1">
      <c r="B681" s="667"/>
      <c r="C681" s="667"/>
      <c r="D681" s="667"/>
      <c r="E681" s="667"/>
      <c r="F681" s="667"/>
      <c r="G681" s="667"/>
      <c r="H681" s="667"/>
      <c r="I681" s="667"/>
      <c r="J681" s="667"/>
      <c r="K681" s="667"/>
      <c r="L681" s="667"/>
      <c r="M681" s="667"/>
      <c r="N681" s="667"/>
      <c r="O681" s="667"/>
      <c r="P681" s="667"/>
      <c r="Q681" s="667"/>
    </row>
    <row r="682" ht="15.75" customHeight="1">
      <c r="B682" s="667"/>
      <c r="C682" s="667"/>
      <c r="D682" s="667"/>
      <c r="E682" s="667"/>
      <c r="F682" s="667"/>
      <c r="G682" s="667"/>
      <c r="H682" s="667"/>
      <c r="I682" s="667"/>
      <c r="J682" s="667"/>
      <c r="K682" s="667"/>
      <c r="L682" s="667"/>
      <c r="M682" s="667"/>
      <c r="N682" s="667"/>
      <c r="O682" s="667"/>
      <c r="P682" s="667"/>
      <c r="Q682" s="667"/>
    </row>
    <row r="683" ht="15.75" customHeight="1">
      <c r="B683" s="667"/>
      <c r="C683" s="667"/>
      <c r="D683" s="667"/>
      <c r="E683" s="667"/>
      <c r="F683" s="667"/>
      <c r="G683" s="667"/>
      <c r="H683" s="667"/>
      <c r="I683" s="667"/>
      <c r="J683" s="667"/>
      <c r="K683" s="667"/>
      <c r="L683" s="667"/>
      <c r="M683" s="667"/>
      <c r="N683" s="667"/>
      <c r="O683" s="667"/>
      <c r="P683" s="667"/>
      <c r="Q683" s="667"/>
    </row>
    <row r="684" ht="15.75" customHeight="1">
      <c r="B684" s="667"/>
      <c r="C684" s="667"/>
      <c r="D684" s="667"/>
      <c r="E684" s="667"/>
      <c r="F684" s="667"/>
      <c r="G684" s="667"/>
      <c r="H684" s="667"/>
      <c r="I684" s="667"/>
      <c r="J684" s="667"/>
      <c r="K684" s="667"/>
      <c r="L684" s="667"/>
      <c r="M684" s="667"/>
      <c r="N684" s="667"/>
      <c r="O684" s="667"/>
      <c r="P684" s="667"/>
      <c r="Q684" s="667"/>
    </row>
    <row r="685" ht="15.75" customHeight="1">
      <c r="B685" s="667"/>
      <c r="C685" s="667"/>
      <c r="D685" s="667"/>
      <c r="E685" s="667"/>
      <c r="F685" s="667"/>
      <c r="G685" s="667"/>
      <c r="H685" s="667"/>
      <c r="I685" s="667"/>
      <c r="J685" s="667"/>
      <c r="K685" s="667"/>
      <c r="L685" s="667"/>
      <c r="M685" s="667"/>
      <c r="N685" s="667"/>
      <c r="O685" s="667"/>
      <c r="P685" s="667"/>
      <c r="Q685" s="667"/>
    </row>
    <row r="686" ht="15.75" customHeight="1">
      <c r="B686" s="667"/>
      <c r="C686" s="667"/>
      <c r="D686" s="667"/>
      <c r="E686" s="667"/>
      <c r="F686" s="667"/>
      <c r="G686" s="667"/>
      <c r="H686" s="667"/>
      <c r="I686" s="667"/>
      <c r="J686" s="667"/>
      <c r="K686" s="667"/>
      <c r="L686" s="667"/>
      <c r="M686" s="667"/>
      <c r="N686" s="667"/>
      <c r="O686" s="667"/>
      <c r="P686" s="667"/>
      <c r="Q686" s="667"/>
    </row>
    <row r="687" ht="15.75" customHeight="1">
      <c r="B687" s="667"/>
      <c r="C687" s="667"/>
      <c r="D687" s="667"/>
      <c r="E687" s="667"/>
      <c r="F687" s="667"/>
      <c r="G687" s="667"/>
      <c r="H687" s="667"/>
      <c r="I687" s="667"/>
      <c r="J687" s="667"/>
      <c r="K687" s="667"/>
      <c r="L687" s="667"/>
      <c r="M687" s="667"/>
      <c r="N687" s="667"/>
      <c r="O687" s="667"/>
      <c r="P687" s="667"/>
      <c r="Q687" s="667"/>
    </row>
    <row r="688" ht="15.75" customHeight="1">
      <c r="B688" s="667"/>
      <c r="C688" s="667"/>
      <c r="D688" s="667"/>
      <c r="E688" s="667"/>
      <c r="F688" s="667"/>
      <c r="G688" s="667"/>
      <c r="H688" s="667"/>
      <c r="I688" s="667"/>
      <c r="J688" s="667"/>
      <c r="K688" s="667"/>
      <c r="L688" s="667"/>
      <c r="M688" s="667"/>
      <c r="N688" s="667"/>
      <c r="O688" s="667"/>
      <c r="P688" s="667"/>
      <c r="Q688" s="667"/>
    </row>
    <row r="689" ht="15.75" customHeight="1">
      <c r="B689" s="667"/>
      <c r="C689" s="667"/>
      <c r="D689" s="667"/>
      <c r="E689" s="667"/>
      <c r="F689" s="667"/>
      <c r="G689" s="667"/>
      <c r="H689" s="667"/>
      <c r="I689" s="667"/>
      <c r="J689" s="667"/>
      <c r="K689" s="667"/>
      <c r="L689" s="667"/>
      <c r="M689" s="667"/>
      <c r="N689" s="667"/>
      <c r="O689" s="667"/>
      <c r="P689" s="667"/>
      <c r="Q689" s="667"/>
    </row>
    <row r="690" ht="15.75" customHeight="1">
      <c r="B690" s="667"/>
      <c r="C690" s="667"/>
      <c r="D690" s="667"/>
      <c r="E690" s="667"/>
      <c r="F690" s="667"/>
      <c r="G690" s="667"/>
      <c r="H690" s="667"/>
      <c r="I690" s="667"/>
      <c r="J690" s="667"/>
      <c r="K690" s="667"/>
      <c r="L690" s="667"/>
      <c r="M690" s="667"/>
      <c r="N690" s="667"/>
      <c r="O690" s="667"/>
      <c r="P690" s="667"/>
      <c r="Q690" s="667"/>
    </row>
    <row r="691" ht="15.75" customHeight="1">
      <c r="B691" s="667"/>
      <c r="C691" s="667"/>
      <c r="D691" s="667"/>
      <c r="E691" s="667"/>
      <c r="F691" s="667"/>
      <c r="G691" s="667"/>
      <c r="H691" s="667"/>
      <c r="I691" s="667"/>
      <c r="J691" s="667"/>
      <c r="K691" s="667"/>
      <c r="L691" s="667"/>
      <c r="M691" s="667"/>
      <c r="N691" s="667"/>
      <c r="O691" s="667"/>
      <c r="P691" s="667"/>
      <c r="Q691" s="667"/>
    </row>
    <row r="692" ht="15.75" customHeight="1">
      <c r="B692" s="667"/>
      <c r="C692" s="667"/>
      <c r="D692" s="667"/>
      <c r="E692" s="667"/>
      <c r="F692" s="667"/>
      <c r="G692" s="667"/>
      <c r="H692" s="667"/>
      <c r="I692" s="667"/>
      <c r="J692" s="667"/>
      <c r="K692" s="667"/>
      <c r="L692" s="667"/>
      <c r="M692" s="667"/>
      <c r="N692" s="667"/>
      <c r="O692" s="667"/>
      <c r="P692" s="667"/>
      <c r="Q692" s="667"/>
    </row>
    <row r="693" ht="15.75" customHeight="1">
      <c r="B693" s="667"/>
      <c r="C693" s="667"/>
      <c r="D693" s="667"/>
      <c r="E693" s="667"/>
      <c r="F693" s="667"/>
      <c r="G693" s="667"/>
      <c r="H693" s="667"/>
      <c r="I693" s="667"/>
      <c r="J693" s="667"/>
      <c r="K693" s="667"/>
      <c r="L693" s="667"/>
      <c r="M693" s="667"/>
      <c r="N693" s="667"/>
      <c r="O693" s="667"/>
      <c r="P693" s="667"/>
      <c r="Q693" s="667"/>
    </row>
    <row r="694" ht="15.75" customHeight="1">
      <c r="B694" s="667"/>
      <c r="C694" s="667"/>
      <c r="D694" s="667"/>
      <c r="E694" s="667"/>
      <c r="F694" s="667"/>
      <c r="G694" s="667"/>
      <c r="H694" s="667"/>
      <c r="I694" s="667"/>
      <c r="J694" s="667"/>
      <c r="K694" s="667"/>
      <c r="L694" s="667"/>
      <c r="M694" s="667"/>
      <c r="N694" s="667"/>
      <c r="O694" s="667"/>
      <c r="P694" s="667"/>
      <c r="Q694" s="667"/>
    </row>
    <row r="695" ht="15.75" customHeight="1">
      <c r="B695" s="667"/>
      <c r="C695" s="667"/>
      <c r="D695" s="667"/>
      <c r="E695" s="667"/>
      <c r="F695" s="667"/>
      <c r="G695" s="667"/>
      <c r="H695" s="667"/>
      <c r="I695" s="667"/>
      <c r="J695" s="667"/>
      <c r="K695" s="667"/>
      <c r="L695" s="667"/>
      <c r="M695" s="667"/>
      <c r="N695" s="667"/>
      <c r="O695" s="667"/>
      <c r="P695" s="667"/>
      <c r="Q695" s="667"/>
    </row>
    <row r="696" ht="15.75" customHeight="1">
      <c r="B696" s="667"/>
      <c r="C696" s="667"/>
      <c r="D696" s="667"/>
      <c r="E696" s="667"/>
      <c r="F696" s="667"/>
      <c r="G696" s="667"/>
      <c r="H696" s="667"/>
      <c r="I696" s="667"/>
      <c r="J696" s="667"/>
      <c r="K696" s="667"/>
      <c r="L696" s="667"/>
      <c r="M696" s="667"/>
      <c r="N696" s="667"/>
      <c r="O696" s="667"/>
      <c r="P696" s="667"/>
      <c r="Q696" s="667"/>
    </row>
    <row r="697" ht="15.75" customHeight="1">
      <c r="B697" s="667"/>
      <c r="C697" s="667"/>
      <c r="D697" s="667"/>
      <c r="E697" s="667"/>
      <c r="F697" s="667"/>
      <c r="G697" s="667"/>
      <c r="H697" s="667"/>
      <c r="I697" s="667"/>
      <c r="J697" s="667"/>
      <c r="K697" s="667"/>
      <c r="L697" s="667"/>
      <c r="M697" s="667"/>
      <c r="N697" s="667"/>
      <c r="O697" s="667"/>
      <c r="P697" s="667"/>
      <c r="Q697" s="667"/>
    </row>
    <row r="698" ht="15.75" customHeight="1">
      <c r="B698" s="667"/>
      <c r="C698" s="667"/>
      <c r="D698" s="667"/>
      <c r="E698" s="667"/>
      <c r="F698" s="667"/>
      <c r="G698" s="667"/>
      <c r="H698" s="667"/>
      <c r="I698" s="667"/>
      <c r="J698" s="667"/>
      <c r="K698" s="667"/>
      <c r="L698" s="667"/>
      <c r="M698" s="667"/>
      <c r="N698" s="667"/>
      <c r="O698" s="667"/>
      <c r="P698" s="667"/>
      <c r="Q698" s="667"/>
    </row>
    <row r="699" ht="15.75" customHeight="1">
      <c r="B699" s="667"/>
      <c r="C699" s="667"/>
      <c r="D699" s="667"/>
      <c r="E699" s="667"/>
      <c r="F699" s="667"/>
      <c r="G699" s="667"/>
      <c r="H699" s="667"/>
      <c r="I699" s="667"/>
      <c r="J699" s="667"/>
      <c r="K699" s="667"/>
      <c r="L699" s="667"/>
      <c r="M699" s="667"/>
      <c r="N699" s="667"/>
      <c r="O699" s="667"/>
      <c r="P699" s="667"/>
      <c r="Q699" s="667"/>
    </row>
    <row r="700" ht="15.75" customHeight="1">
      <c r="B700" s="667"/>
      <c r="C700" s="667"/>
      <c r="D700" s="667"/>
      <c r="E700" s="667"/>
      <c r="F700" s="667"/>
      <c r="G700" s="667"/>
      <c r="H700" s="667"/>
      <c r="I700" s="667"/>
      <c r="J700" s="667"/>
      <c r="K700" s="667"/>
      <c r="L700" s="667"/>
      <c r="M700" s="667"/>
      <c r="N700" s="667"/>
      <c r="O700" s="667"/>
      <c r="P700" s="667"/>
      <c r="Q700" s="667"/>
    </row>
    <row r="701" ht="15.75" customHeight="1">
      <c r="B701" s="667"/>
      <c r="C701" s="667"/>
      <c r="D701" s="667"/>
      <c r="E701" s="667"/>
      <c r="F701" s="667"/>
      <c r="G701" s="667"/>
      <c r="H701" s="667"/>
      <c r="I701" s="667"/>
      <c r="J701" s="667"/>
      <c r="K701" s="667"/>
      <c r="L701" s="667"/>
      <c r="M701" s="667"/>
      <c r="N701" s="667"/>
      <c r="O701" s="667"/>
      <c r="P701" s="667"/>
      <c r="Q701" s="667"/>
    </row>
    <row r="702" ht="15.75" customHeight="1">
      <c r="B702" s="667"/>
      <c r="C702" s="667"/>
      <c r="D702" s="667"/>
      <c r="E702" s="667"/>
      <c r="F702" s="667"/>
      <c r="G702" s="667"/>
      <c r="H702" s="667"/>
      <c r="I702" s="667"/>
      <c r="J702" s="667"/>
      <c r="K702" s="667"/>
      <c r="L702" s="667"/>
      <c r="M702" s="667"/>
      <c r="N702" s="667"/>
      <c r="O702" s="667"/>
      <c r="P702" s="667"/>
      <c r="Q702" s="667"/>
    </row>
    <row r="703" ht="15.75" customHeight="1">
      <c r="B703" s="667"/>
      <c r="C703" s="667"/>
      <c r="D703" s="667"/>
      <c r="E703" s="667"/>
      <c r="F703" s="667"/>
      <c r="G703" s="667"/>
      <c r="H703" s="667"/>
      <c r="I703" s="667"/>
      <c r="J703" s="667"/>
      <c r="K703" s="667"/>
      <c r="L703" s="667"/>
      <c r="M703" s="667"/>
      <c r="N703" s="667"/>
      <c r="O703" s="667"/>
      <c r="P703" s="667"/>
      <c r="Q703" s="667"/>
    </row>
    <row r="704" ht="15.75" customHeight="1">
      <c r="B704" s="667"/>
      <c r="C704" s="667"/>
      <c r="D704" s="667"/>
      <c r="E704" s="667"/>
      <c r="F704" s="667"/>
      <c r="G704" s="667"/>
      <c r="H704" s="667"/>
      <c r="I704" s="667"/>
      <c r="J704" s="667"/>
      <c r="K704" s="667"/>
      <c r="L704" s="667"/>
      <c r="M704" s="667"/>
      <c r="N704" s="667"/>
      <c r="O704" s="667"/>
      <c r="P704" s="667"/>
      <c r="Q704" s="667"/>
    </row>
    <row r="705" ht="15.75" customHeight="1">
      <c r="B705" s="667"/>
      <c r="C705" s="667"/>
      <c r="D705" s="667"/>
      <c r="E705" s="667"/>
      <c r="F705" s="667"/>
      <c r="G705" s="667"/>
      <c r="H705" s="667"/>
      <c r="I705" s="667"/>
      <c r="J705" s="667"/>
      <c r="K705" s="667"/>
      <c r="L705" s="667"/>
      <c r="M705" s="667"/>
      <c r="N705" s="667"/>
      <c r="O705" s="667"/>
      <c r="P705" s="667"/>
      <c r="Q705" s="667"/>
    </row>
    <row r="706" ht="15.75" customHeight="1">
      <c r="B706" s="667"/>
      <c r="C706" s="667"/>
      <c r="D706" s="667"/>
      <c r="E706" s="667"/>
      <c r="F706" s="667"/>
      <c r="G706" s="667"/>
      <c r="H706" s="667"/>
      <c r="I706" s="667"/>
      <c r="J706" s="667"/>
      <c r="K706" s="667"/>
      <c r="L706" s="667"/>
      <c r="M706" s="667"/>
      <c r="N706" s="667"/>
      <c r="O706" s="667"/>
      <c r="P706" s="667"/>
      <c r="Q706" s="667"/>
    </row>
    <row r="707" ht="15.75" customHeight="1">
      <c r="B707" s="667"/>
      <c r="C707" s="667"/>
      <c r="D707" s="667"/>
      <c r="E707" s="667"/>
      <c r="F707" s="667"/>
      <c r="G707" s="667"/>
      <c r="H707" s="667"/>
      <c r="I707" s="667"/>
      <c r="J707" s="667"/>
      <c r="K707" s="667"/>
      <c r="L707" s="667"/>
      <c r="M707" s="667"/>
      <c r="N707" s="667"/>
      <c r="O707" s="667"/>
      <c r="P707" s="667"/>
      <c r="Q707" s="667"/>
    </row>
    <row r="708" ht="15.75" customHeight="1">
      <c r="B708" s="667"/>
      <c r="C708" s="667"/>
      <c r="D708" s="667"/>
      <c r="E708" s="667"/>
      <c r="F708" s="667"/>
      <c r="G708" s="667"/>
      <c r="H708" s="667"/>
      <c r="I708" s="667"/>
      <c r="J708" s="667"/>
      <c r="K708" s="667"/>
      <c r="L708" s="667"/>
      <c r="M708" s="667"/>
      <c r="N708" s="667"/>
      <c r="O708" s="667"/>
      <c r="P708" s="667"/>
      <c r="Q708" s="667"/>
    </row>
    <row r="709" ht="15.75" customHeight="1">
      <c r="B709" s="667"/>
      <c r="C709" s="667"/>
      <c r="D709" s="667"/>
      <c r="E709" s="667"/>
      <c r="F709" s="667"/>
      <c r="G709" s="667"/>
      <c r="H709" s="667"/>
      <c r="I709" s="667"/>
      <c r="J709" s="667"/>
      <c r="K709" s="667"/>
      <c r="L709" s="667"/>
      <c r="M709" s="667"/>
      <c r="N709" s="667"/>
      <c r="O709" s="667"/>
      <c r="P709" s="667"/>
      <c r="Q709" s="667"/>
    </row>
    <row r="710" ht="15.75" customHeight="1">
      <c r="B710" s="667"/>
      <c r="C710" s="667"/>
      <c r="D710" s="667"/>
      <c r="E710" s="667"/>
      <c r="F710" s="667"/>
      <c r="G710" s="667"/>
      <c r="H710" s="667"/>
      <c r="I710" s="667"/>
      <c r="J710" s="667"/>
      <c r="K710" s="667"/>
      <c r="L710" s="667"/>
      <c r="M710" s="667"/>
      <c r="N710" s="667"/>
      <c r="O710" s="667"/>
      <c r="P710" s="667"/>
      <c r="Q710" s="667"/>
    </row>
    <row r="711" ht="15.75" customHeight="1">
      <c r="B711" s="667"/>
      <c r="C711" s="667"/>
      <c r="D711" s="667"/>
      <c r="E711" s="667"/>
      <c r="F711" s="667"/>
      <c r="G711" s="667"/>
      <c r="H711" s="667"/>
      <c r="I711" s="667"/>
      <c r="J711" s="667"/>
      <c r="K711" s="667"/>
      <c r="L711" s="667"/>
      <c r="M711" s="667"/>
      <c r="N711" s="667"/>
      <c r="O711" s="667"/>
      <c r="P711" s="667"/>
      <c r="Q711" s="667"/>
    </row>
    <row r="712" ht="15.75" customHeight="1">
      <c r="B712" s="667"/>
      <c r="C712" s="667"/>
      <c r="D712" s="667"/>
      <c r="E712" s="667"/>
      <c r="F712" s="667"/>
      <c r="G712" s="667"/>
      <c r="H712" s="667"/>
      <c r="I712" s="667"/>
      <c r="J712" s="667"/>
      <c r="K712" s="667"/>
      <c r="L712" s="667"/>
      <c r="M712" s="667"/>
      <c r="N712" s="667"/>
      <c r="O712" s="667"/>
      <c r="P712" s="667"/>
      <c r="Q712" s="667"/>
    </row>
    <row r="713" ht="15.75" customHeight="1">
      <c r="B713" s="667"/>
      <c r="C713" s="667"/>
      <c r="D713" s="667"/>
      <c r="E713" s="667"/>
      <c r="F713" s="667"/>
      <c r="G713" s="667"/>
      <c r="H713" s="667"/>
      <c r="I713" s="667"/>
      <c r="J713" s="667"/>
      <c r="K713" s="667"/>
      <c r="L713" s="667"/>
      <c r="M713" s="667"/>
      <c r="N713" s="667"/>
      <c r="O713" s="667"/>
      <c r="P713" s="667"/>
      <c r="Q713" s="667"/>
    </row>
    <row r="714" ht="15.75" customHeight="1">
      <c r="B714" s="667"/>
      <c r="C714" s="667"/>
      <c r="D714" s="667"/>
      <c r="E714" s="667"/>
      <c r="F714" s="667"/>
      <c r="G714" s="667"/>
      <c r="H714" s="667"/>
      <c r="I714" s="667"/>
      <c r="J714" s="667"/>
      <c r="K714" s="667"/>
      <c r="L714" s="667"/>
      <c r="M714" s="667"/>
      <c r="N714" s="667"/>
      <c r="O714" s="667"/>
      <c r="P714" s="667"/>
      <c r="Q714" s="667"/>
    </row>
    <row r="715" ht="15.75" customHeight="1">
      <c r="B715" s="667"/>
      <c r="C715" s="667"/>
      <c r="D715" s="667"/>
      <c r="E715" s="667"/>
      <c r="F715" s="667"/>
      <c r="G715" s="667"/>
      <c r="H715" s="667"/>
      <c r="I715" s="667"/>
      <c r="J715" s="667"/>
      <c r="K715" s="667"/>
      <c r="L715" s="667"/>
      <c r="M715" s="667"/>
      <c r="N715" s="667"/>
      <c r="O715" s="667"/>
      <c r="P715" s="667"/>
      <c r="Q715" s="667"/>
    </row>
    <row r="716" ht="15.75" customHeight="1">
      <c r="B716" s="667"/>
      <c r="C716" s="667"/>
      <c r="D716" s="667"/>
      <c r="E716" s="667"/>
      <c r="F716" s="667"/>
      <c r="G716" s="667"/>
      <c r="H716" s="667"/>
      <c r="I716" s="667"/>
      <c r="J716" s="667"/>
      <c r="K716" s="667"/>
      <c r="L716" s="667"/>
      <c r="M716" s="667"/>
      <c r="N716" s="667"/>
      <c r="O716" s="667"/>
      <c r="P716" s="667"/>
      <c r="Q716" s="667"/>
    </row>
    <row r="717" ht="15.75" customHeight="1">
      <c r="B717" s="667"/>
      <c r="C717" s="667"/>
      <c r="D717" s="667"/>
      <c r="E717" s="667"/>
      <c r="F717" s="667"/>
      <c r="G717" s="667"/>
      <c r="H717" s="667"/>
      <c r="I717" s="667"/>
      <c r="J717" s="667"/>
      <c r="K717" s="667"/>
      <c r="L717" s="667"/>
      <c r="M717" s="667"/>
      <c r="N717" s="667"/>
      <c r="O717" s="667"/>
      <c r="P717" s="667"/>
      <c r="Q717" s="667"/>
    </row>
    <row r="718" ht="15.75" customHeight="1">
      <c r="B718" s="667"/>
      <c r="C718" s="667"/>
      <c r="D718" s="667"/>
      <c r="E718" s="667"/>
      <c r="F718" s="667"/>
      <c r="G718" s="667"/>
      <c r="H718" s="667"/>
      <c r="I718" s="667"/>
      <c r="J718" s="667"/>
      <c r="K718" s="667"/>
      <c r="L718" s="667"/>
      <c r="M718" s="667"/>
      <c r="N718" s="667"/>
      <c r="O718" s="667"/>
      <c r="P718" s="667"/>
      <c r="Q718" s="667"/>
    </row>
    <row r="719" ht="15.75" customHeight="1">
      <c r="B719" s="667"/>
      <c r="C719" s="667"/>
      <c r="D719" s="667"/>
      <c r="E719" s="667"/>
      <c r="F719" s="667"/>
      <c r="G719" s="667"/>
      <c r="H719" s="667"/>
      <c r="I719" s="667"/>
      <c r="J719" s="667"/>
      <c r="K719" s="667"/>
      <c r="L719" s="667"/>
      <c r="M719" s="667"/>
      <c r="N719" s="667"/>
      <c r="O719" s="667"/>
      <c r="P719" s="667"/>
      <c r="Q719" s="667"/>
    </row>
    <row r="720" ht="15.75" customHeight="1">
      <c r="B720" s="667"/>
      <c r="C720" s="667"/>
      <c r="D720" s="667"/>
      <c r="E720" s="667"/>
      <c r="F720" s="667"/>
      <c r="G720" s="667"/>
      <c r="H720" s="667"/>
      <c r="I720" s="667"/>
      <c r="J720" s="667"/>
      <c r="K720" s="667"/>
      <c r="L720" s="667"/>
      <c r="M720" s="667"/>
      <c r="N720" s="667"/>
      <c r="O720" s="667"/>
      <c r="P720" s="667"/>
      <c r="Q720" s="667"/>
    </row>
    <row r="721" ht="15.75" customHeight="1">
      <c r="B721" s="667"/>
      <c r="C721" s="667"/>
      <c r="D721" s="667"/>
      <c r="E721" s="667"/>
      <c r="F721" s="667"/>
      <c r="G721" s="667"/>
      <c r="H721" s="667"/>
      <c r="I721" s="667"/>
      <c r="J721" s="667"/>
      <c r="K721" s="667"/>
      <c r="L721" s="667"/>
      <c r="M721" s="667"/>
      <c r="N721" s="667"/>
      <c r="O721" s="667"/>
      <c r="P721" s="667"/>
      <c r="Q721" s="667"/>
    </row>
    <row r="722" ht="15.75" customHeight="1">
      <c r="B722" s="667"/>
      <c r="C722" s="667"/>
      <c r="D722" s="667"/>
      <c r="E722" s="667"/>
      <c r="F722" s="667"/>
      <c r="G722" s="667"/>
      <c r="H722" s="667"/>
      <c r="I722" s="667"/>
      <c r="J722" s="667"/>
      <c r="K722" s="667"/>
      <c r="L722" s="667"/>
      <c r="M722" s="667"/>
      <c r="N722" s="667"/>
      <c r="O722" s="667"/>
      <c r="P722" s="667"/>
      <c r="Q722" s="667"/>
    </row>
    <row r="723" ht="15.75" customHeight="1">
      <c r="B723" s="667"/>
      <c r="C723" s="667"/>
      <c r="D723" s="667"/>
      <c r="E723" s="667"/>
      <c r="F723" s="667"/>
      <c r="G723" s="667"/>
      <c r="H723" s="667"/>
      <c r="I723" s="667"/>
      <c r="J723" s="667"/>
      <c r="K723" s="667"/>
      <c r="L723" s="667"/>
      <c r="M723" s="667"/>
      <c r="N723" s="667"/>
      <c r="O723" s="667"/>
      <c r="P723" s="667"/>
      <c r="Q723" s="667"/>
    </row>
    <row r="724" ht="15.75" customHeight="1">
      <c r="B724" s="667"/>
      <c r="C724" s="667"/>
      <c r="D724" s="667"/>
      <c r="E724" s="667"/>
      <c r="F724" s="667"/>
      <c r="G724" s="667"/>
      <c r="H724" s="667"/>
      <c r="I724" s="667"/>
      <c r="J724" s="667"/>
      <c r="K724" s="667"/>
      <c r="L724" s="667"/>
      <c r="M724" s="667"/>
      <c r="N724" s="667"/>
      <c r="O724" s="667"/>
      <c r="P724" s="667"/>
      <c r="Q724" s="667"/>
    </row>
    <row r="725" ht="15.75" customHeight="1">
      <c r="B725" s="667"/>
      <c r="C725" s="667"/>
      <c r="D725" s="667"/>
      <c r="E725" s="667"/>
      <c r="F725" s="667"/>
      <c r="G725" s="667"/>
      <c r="H725" s="667"/>
      <c r="I725" s="667"/>
      <c r="J725" s="667"/>
      <c r="K725" s="667"/>
      <c r="L725" s="667"/>
      <c r="M725" s="667"/>
      <c r="N725" s="667"/>
      <c r="O725" s="667"/>
      <c r="P725" s="667"/>
      <c r="Q725" s="667"/>
    </row>
    <row r="726" ht="15.75" customHeight="1">
      <c r="B726" s="667"/>
      <c r="C726" s="667"/>
      <c r="D726" s="667"/>
      <c r="E726" s="667"/>
      <c r="F726" s="667"/>
      <c r="G726" s="667"/>
      <c r="H726" s="667"/>
      <c r="I726" s="667"/>
      <c r="J726" s="667"/>
      <c r="K726" s="667"/>
      <c r="L726" s="667"/>
      <c r="M726" s="667"/>
      <c r="N726" s="667"/>
      <c r="O726" s="667"/>
      <c r="P726" s="667"/>
      <c r="Q726" s="667"/>
    </row>
    <row r="727" ht="15.75" customHeight="1">
      <c r="B727" s="667"/>
      <c r="C727" s="667"/>
      <c r="D727" s="667"/>
      <c r="E727" s="667"/>
      <c r="F727" s="667"/>
      <c r="G727" s="667"/>
      <c r="H727" s="667"/>
      <c r="I727" s="667"/>
      <c r="J727" s="667"/>
      <c r="K727" s="667"/>
      <c r="L727" s="667"/>
      <c r="M727" s="667"/>
      <c r="N727" s="667"/>
      <c r="O727" s="667"/>
      <c r="P727" s="667"/>
      <c r="Q727" s="667"/>
    </row>
    <row r="728" ht="15.75" customHeight="1">
      <c r="B728" s="667"/>
      <c r="C728" s="667"/>
      <c r="D728" s="667"/>
      <c r="E728" s="667"/>
      <c r="F728" s="667"/>
      <c r="G728" s="667"/>
      <c r="H728" s="667"/>
      <c r="I728" s="667"/>
      <c r="J728" s="667"/>
      <c r="K728" s="667"/>
      <c r="L728" s="667"/>
      <c r="M728" s="667"/>
      <c r="N728" s="667"/>
      <c r="O728" s="667"/>
      <c r="P728" s="667"/>
      <c r="Q728" s="667"/>
    </row>
    <row r="729" ht="15.75" customHeight="1">
      <c r="B729" s="667"/>
      <c r="C729" s="667"/>
      <c r="D729" s="667"/>
      <c r="E729" s="667"/>
      <c r="F729" s="667"/>
      <c r="G729" s="667"/>
      <c r="H729" s="667"/>
      <c r="I729" s="667"/>
      <c r="J729" s="667"/>
      <c r="K729" s="667"/>
      <c r="L729" s="667"/>
      <c r="M729" s="667"/>
      <c r="N729" s="667"/>
      <c r="O729" s="667"/>
      <c r="P729" s="667"/>
      <c r="Q729" s="667"/>
    </row>
    <row r="730" ht="15.75" customHeight="1">
      <c r="B730" s="667"/>
      <c r="C730" s="667"/>
      <c r="D730" s="667"/>
      <c r="E730" s="667"/>
      <c r="F730" s="667"/>
      <c r="G730" s="667"/>
      <c r="H730" s="667"/>
      <c r="I730" s="667"/>
      <c r="J730" s="667"/>
      <c r="K730" s="667"/>
      <c r="L730" s="667"/>
      <c r="M730" s="667"/>
      <c r="N730" s="667"/>
      <c r="O730" s="667"/>
      <c r="P730" s="667"/>
      <c r="Q730" s="667"/>
    </row>
    <row r="731" ht="15.75" customHeight="1">
      <c r="B731" s="667"/>
      <c r="C731" s="667"/>
      <c r="D731" s="667"/>
      <c r="E731" s="667"/>
      <c r="F731" s="667"/>
      <c r="G731" s="667"/>
      <c r="H731" s="667"/>
      <c r="I731" s="667"/>
      <c r="J731" s="667"/>
      <c r="K731" s="667"/>
      <c r="L731" s="667"/>
      <c r="M731" s="667"/>
      <c r="N731" s="667"/>
      <c r="O731" s="667"/>
      <c r="P731" s="667"/>
      <c r="Q731" s="667"/>
    </row>
    <row r="732" ht="15.75" customHeight="1">
      <c r="B732" s="667"/>
      <c r="C732" s="667"/>
      <c r="D732" s="667"/>
      <c r="E732" s="667"/>
      <c r="F732" s="667"/>
      <c r="G732" s="667"/>
      <c r="H732" s="667"/>
      <c r="I732" s="667"/>
      <c r="J732" s="667"/>
      <c r="K732" s="667"/>
      <c r="L732" s="667"/>
      <c r="M732" s="667"/>
      <c r="N732" s="667"/>
      <c r="O732" s="667"/>
      <c r="P732" s="667"/>
      <c r="Q732" s="667"/>
    </row>
    <row r="733" ht="15.75" customHeight="1">
      <c r="B733" s="667"/>
      <c r="C733" s="667"/>
      <c r="D733" s="667"/>
      <c r="E733" s="667"/>
      <c r="F733" s="667"/>
      <c r="G733" s="667"/>
      <c r="H733" s="667"/>
      <c r="I733" s="667"/>
      <c r="J733" s="667"/>
      <c r="K733" s="667"/>
      <c r="L733" s="667"/>
      <c r="M733" s="667"/>
      <c r="N733" s="667"/>
      <c r="O733" s="667"/>
      <c r="P733" s="667"/>
      <c r="Q733" s="667"/>
    </row>
    <row r="734" ht="15.75" customHeight="1">
      <c r="B734" s="667"/>
      <c r="C734" s="667"/>
      <c r="D734" s="667"/>
      <c r="E734" s="667"/>
      <c r="F734" s="667"/>
      <c r="G734" s="667"/>
      <c r="H734" s="667"/>
      <c r="I734" s="667"/>
      <c r="J734" s="667"/>
      <c r="K734" s="667"/>
      <c r="L734" s="667"/>
      <c r="M734" s="667"/>
      <c r="N734" s="667"/>
      <c r="O734" s="667"/>
      <c r="P734" s="667"/>
      <c r="Q734" s="667"/>
    </row>
    <row r="735" ht="15.75" customHeight="1">
      <c r="B735" s="667"/>
      <c r="C735" s="667"/>
      <c r="D735" s="667"/>
      <c r="E735" s="667"/>
      <c r="F735" s="667"/>
      <c r="G735" s="667"/>
      <c r="H735" s="667"/>
      <c r="I735" s="667"/>
      <c r="J735" s="667"/>
      <c r="K735" s="667"/>
      <c r="L735" s="667"/>
      <c r="M735" s="667"/>
      <c r="N735" s="667"/>
      <c r="O735" s="667"/>
      <c r="P735" s="667"/>
      <c r="Q735" s="667"/>
    </row>
    <row r="736" ht="15.75" customHeight="1">
      <c r="B736" s="667"/>
      <c r="C736" s="667"/>
      <c r="D736" s="667"/>
      <c r="E736" s="667"/>
      <c r="F736" s="667"/>
      <c r="G736" s="667"/>
      <c r="H736" s="667"/>
      <c r="I736" s="667"/>
      <c r="J736" s="667"/>
      <c r="K736" s="667"/>
      <c r="L736" s="667"/>
      <c r="M736" s="667"/>
      <c r="N736" s="667"/>
      <c r="O736" s="667"/>
      <c r="P736" s="667"/>
      <c r="Q736" s="667"/>
    </row>
    <row r="737" ht="15.75" customHeight="1">
      <c r="B737" s="667"/>
      <c r="C737" s="667"/>
      <c r="D737" s="667"/>
      <c r="E737" s="667"/>
      <c r="F737" s="667"/>
      <c r="G737" s="667"/>
      <c r="H737" s="667"/>
      <c r="I737" s="667"/>
      <c r="J737" s="667"/>
      <c r="K737" s="667"/>
      <c r="L737" s="667"/>
      <c r="M737" s="667"/>
      <c r="N737" s="667"/>
      <c r="O737" s="667"/>
      <c r="P737" s="667"/>
      <c r="Q737" s="667"/>
    </row>
    <row r="738" ht="15.75" customHeight="1">
      <c r="B738" s="667"/>
      <c r="C738" s="667"/>
      <c r="D738" s="667"/>
      <c r="E738" s="667"/>
      <c r="F738" s="667"/>
      <c r="G738" s="667"/>
      <c r="H738" s="667"/>
      <c r="I738" s="667"/>
      <c r="J738" s="667"/>
      <c r="K738" s="667"/>
      <c r="L738" s="667"/>
      <c r="M738" s="667"/>
      <c r="N738" s="667"/>
      <c r="O738" s="667"/>
      <c r="P738" s="667"/>
      <c r="Q738" s="667"/>
    </row>
    <row r="739" ht="15.75" customHeight="1">
      <c r="B739" s="667"/>
      <c r="C739" s="667"/>
      <c r="D739" s="667"/>
      <c r="E739" s="667"/>
      <c r="F739" s="667"/>
      <c r="G739" s="667"/>
      <c r="H739" s="667"/>
      <c r="I739" s="667"/>
      <c r="J739" s="667"/>
      <c r="K739" s="667"/>
      <c r="L739" s="667"/>
      <c r="M739" s="667"/>
      <c r="N739" s="667"/>
      <c r="O739" s="667"/>
      <c r="P739" s="667"/>
      <c r="Q739" s="667"/>
    </row>
    <row r="740" ht="15.75" customHeight="1">
      <c r="B740" s="667"/>
      <c r="C740" s="667"/>
      <c r="D740" s="667"/>
      <c r="E740" s="667"/>
      <c r="F740" s="667"/>
      <c r="G740" s="667"/>
      <c r="H740" s="667"/>
      <c r="I740" s="667"/>
      <c r="J740" s="667"/>
      <c r="K740" s="667"/>
      <c r="L740" s="667"/>
      <c r="M740" s="667"/>
      <c r="N740" s="667"/>
      <c r="O740" s="667"/>
      <c r="P740" s="667"/>
      <c r="Q740" s="667"/>
    </row>
    <row r="741" ht="15.75" customHeight="1">
      <c r="B741" s="667"/>
      <c r="C741" s="667"/>
      <c r="D741" s="667"/>
      <c r="E741" s="667"/>
      <c r="F741" s="667"/>
      <c r="G741" s="667"/>
      <c r="H741" s="667"/>
      <c r="I741" s="667"/>
      <c r="J741" s="667"/>
      <c r="K741" s="667"/>
      <c r="L741" s="667"/>
      <c r="M741" s="667"/>
      <c r="N741" s="667"/>
      <c r="O741" s="667"/>
      <c r="P741" s="667"/>
      <c r="Q741" s="667"/>
    </row>
    <row r="742" ht="15.75" customHeight="1">
      <c r="B742" s="667"/>
      <c r="C742" s="667"/>
      <c r="D742" s="667"/>
      <c r="E742" s="667"/>
      <c r="F742" s="667"/>
      <c r="G742" s="667"/>
      <c r="H742" s="667"/>
      <c r="I742" s="667"/>
      <c r="J742" s="667"/>
      <c r="K742" s="667"/>
      <c r="L742" s="667"/>
      <c r="M742" s="667"/>
      <c r="N742" s="667"/>
      <c r="O742" s="667"/>
      <c r="P742" s="667"/>
      <c r="Q742" s="667"/>
    </row>
    <row r="743" ht="15.75" customHeight="1">
      <c r="B743" s="667"/>
      <c r="C743" s="667"/>
      <c r="D743" s="667"/>
      <c r="E743" s="667"/>
      <c r="F743" s="667"/>
      <c r="G743" s="667"/>
      <c r="H743" s="667"/>
      <c r="I743" s="667"/>
      <c r="J743" s="667"/>
      <c r="K743" s="667"/>
      <c r="L743" s="667"/>
      <c r="M743" s="667"/>
      <c r="N743" s="667"/>
      <c r="O743" s="667"/>
      <c r="P743" s="667"/>
      <c r="Q743" s="667"/>
    </row>
    <row r="744" ht="15.75" customHeight="1">
      <c r="B744" s="667"/>
      <c r="C744" s="667"/>
      <c r="D744" s="667"/>
      <c r="E744" s="667"/>
      <c r="F744" s="667"/>
      <c r="G744" s="667"/>
      <c r="H744" s="667"/>
      <c r="I744" s="667"/>
      <c r="J744" s="667"/>
      <c r="K744" s="667"/>
      <c r="L744" s="667"/>
      <c r="M744" s="667"/>
      <c r="N744" s="667"/>
      <c r="O744" s="667"/>
      <c r="P744" s="667"/>
      <c r="Q744" s="667"/>
    </row>
    <row r="745" ht="15.75" customHeight="1">
      <c r="B745" s="667"/>
      <c r="C745" s="667"/>
      <c r="D745" s="667"/>
      <c r="E745" s="667"/>
      <c r="F745" s="667"/>
      <c r="G745" s="667"/>
      <c r="H745" s="667"/>
      <c r="I745" s="667"/>
      <c r="J745" s="667"/>
      <c r="K745" s="667"/>
      <c r="L745" s="667"/>
      <c r="M745" s="667"/>
      <c r="N745" s="667"/>
      <c r="O745" s="667"/>
      <c r="P745" s="667"/>
      <c r="Q745" s="667"/>
    </row>
    <row r="746" ht="15.75" customHeight="1">
      <c r="B746" s="667"/>
      <c r="C746" s="667"/>
      <c r="D746" s="667"/>
      <c r="E746" s="667"/>
      <c r="F746" s="667"/>
      <c r="G746" s="667"/>
      <c r="H746" s="667"/>
      <c r="I746" s="667"/>
      <c r="J746" s="667"/>
      <c r="K746" s="667"/>
      <c r="L746" s="667"/>
      <c r="M746" s="667"/>
      <c r="N746" s="667"/>
      <c r="O746" s="667"/>
      <c r="P746" s="667"/>
      <c r="Q746" s="667"/>
    </row>
    <row r="747" ht="15.75" customHeight="1">
      <c r="B747" s="667"/>
      <c r="C747" s="667"/>
      <c r="D747" s="667"/>
      <c r="E747" s="667"/>
      <c r="F747" s="667"/>
      <c r="G747" s="667"/>
      <c r="H747" s="667"/>
      <c r="I747" s="667"/>
      <c r="J747" s="667"/>
      <c r="K747" s="667"/>
      <c r="L747" s="667"/>
      <c r="M747" s="667"/>
      <c r="N747" s="667"/>
      <c r="O747" s="667"/>
      <c r="P747" s="667"/>
      <c r="Q747" s="667"/>
    </row>
    <row r="748" ht="15.75" customHeight="1">
      <c r="B748" s="667"/>
      <c r="C748" s="667"/>
      <c r="D748" s="667"/>
      <c r="E748" s="667"/>
      <c r="F748" s="667"/>
      <c r="G748" s="667"/>
      <c r="H748" s="667"/>
      <c r="I748" s="667"/>
      <c r="J748" s="667"/>
      <c r="K748" s="667"/>
      <c r="L748" s="667"/>
      <c r="M748" s="667"/>
      <c r="N748" s="667"/>
      <c r="O748" s="667"/>
      <c r="P748" s="667"/>
      <c r="Q748" s="667"/>
    </row>
    <row r="749" ht="15.75" customHeight="1">
      <c r="B749" s="667"/>
      <c r="C749" s="667"/>
      <c r="D749" s="667"/>
      <c r="E749" s="667"/>
      <c r="F749" s="667"/>
      <c r="G749" s="667"/>
      <c r="H749" s="667"/>
      <c r="I749" s="667"/>
      <c r="J749" s="667"/>
      <c r="K749" s="667"/>
      <c r="L749" s="667"/>
      <c r="M749" s="667"/>
      <c r="N749" s="667"/>
      <c r="O749" s="667"/>
      <c r="P749" s="667"/>
      <c r="Q749" s="667"/>
    </row>
    <row r="750" ht="15.75" customHeight="1">
      <c r="B750" s="667"/>
      <c r="C750" s="667"/>
      <c r="D750" s="667"/>
      <c r="E750" s="667"/>
      <c r="F750" s="667"/>
      <c r="G750" s="667"/>
      <c r="H750" s="667"/>
      <c r="I750" s="667"/>
      <c r="J750" s="667"/>
      <c r="K750" s="667"/>
      <c r="L750" s="667"/>
      <c r="M750" s="667"/>
      <c r="N750" s="667"/>
      <c r="O750" s="667"/>
      <c r="P750" s="667"/>
      <c r="Q750" s="667"/>
    </row>
    <row r="751" ht="15.75" customHeight="1">
      <c r="B751" s="667"/>
      <c r="C751" s="667"/>
      <c r="D751" s="667"/>
      <c r="E751" s="667"/>
      <c r="F751" s="667"/>
      <c r="G751" s="667"/>
      <c r="H751" s="667"/>
      <c r="I751" s="667"/>
      <c r="J751" s="667"/>
      <c r="K751" s="667"/>
      <c r="L751" s="667"/>
      <c r="M751" s="667"/>
      <c r="N751" s="667"/>
      <c r="O751" s="667"/>
      <c r="P751" s="667"/>
      <c r="Q751" s="667"/>
    </row>
    <row r="752" ht="15.75" customHeight="1">
      <c r="B752" s="667"/>
      <c r="C752" s="667"/>
      <c r="D752" s="667"/>
      <c r="E752" s="667"/>
      <c r="F752" s="667"/>
      <c r="G752" s="667"/>
      <c r="H752" s="667"/>
      <c r="I752" s="667"/>
      <c r="J752" s="667"/>
      <c r="K752" s="667"/>
      <c r="L752" s="667"/>
      <c r="M752" s="667"/>
      <c r="N752" s="667"/>
      <c r="O752" s="667"/>
      <c r="P752" s="667"/>
      <c r="Q752" s="667"/>
    </row>
    <row r="753" ht="15.75" customHeight="1">
      <c r="B753" s="667"/>
      <c r="C753" s="667"/>
      <c r="D753" s="667"/>
      <c r="E753" s="667"/>
      <c r="F753" s="667"/>
      <c r="G753" s="667"/>
      <c r="H753" s="667"/>
      <c r="I753" s="667"/>
      <c r="J753" s="667"/>
      <c r="K753" s="667"/>
      <c r="L753" s="667"/>
      <c r="M753" s="667"/>
      <c r="N753" s="667"/>
      <c r="O753" s="667"/>
      <c r="P753" s="667"/>
      <c r="Q753" s="667"/>
    </row>
    <row r="754" ht="15.75" customHeight="1">
      <c r="B754" s="667"/>
      <c r="C754" s="667"/>
      <c r="D754" s="667"/>
      <c r="E754" s="667"/>
      <c r="F754" s="667"/>
      <c r="G754" s="667"/>
      <c r="H754" s="667"/>
      <c r="I754" s="667"/>
      <c r="J754" s="667"/>
      <c r="K754" s="667"/>
      <c r="L754" s="667"/>
      <c r="M754" s="667"/>
      <c r="N754" s="667"/>
      <c r="O754" s="667"/>
      <c r="P754" s="667"/>
      <c r="Q754" s="667"/>
    </row>
    <row r="755" ht="15.75" customHeight="1">
      <c r="B755" s="667"/>
      <c r="C755" s="667"/>
      <c r="D755" s="667"/>
      <c r="E755" s="667"/>
      <c r="F755" s="667"/>
      <c r="G755" s="667"/>
      <c r="H755" s="667"/>
      <c r="I755" s="667"/>
      <c r="J755" s="667"/>
      <c r="K755" s="667"/>
      <c r="L755" s="667"/>
      <c r="M755" s="667"/>
      <c r="N755" s="667"/>
      <c r="O755" s="667"/>
      <c r="P755" s="667"/>
      <c r="Q755" s="667"/>
    </row>
    <row r="756" ht="15.75" customHeight="1">
      <c r="B756" s="667"/>
      <c r="C756" s="667"/>
      <c r="D756" s="667"/>
      <c r="E756" s="667"/>
      <c r="F756" s="667"/>
      <c r="G756" s="667"/>
      <c r="H756" s="667"/>
      <c r="I756" s="667"/>
      <c r="J756" s="667"/>
      <c r="K756" s="667"/>
      <c r="L756" s="667"/>
      <c r="M756" s="667"/>
      <c r="N756" s="667"/>
      <c r="O756" s="667"/>
      <c r="P756" s="667"/>
      <c r="Q756" s="667"/>
    </row>
    <row r="757" ht="15.75" customHeight="1">
      <c r="B757" s="667"/>
      <c r="C757" s="667"/>
      <c r="D757" s="667"/>
      <c r="E757" s="667"/>
      <c r="F757" s="667"/>
      <c r="G757" s="667"/>
      <c r="H757" s="667"/>
      <c r="I757" s="667"/>
      <c r="J757" s="667"/>
      <c r="K757" s="667"/>
      <c r="L757" s="667"/>
      <c r="M757" s="667"/>
      <c r="N757" s="667"/>
      <c r="O757" s="667"/>
      <c r="P757" s="667"/>
      <c r="Q757" s="667"/>
    </row>
    <row r="758" ht="15.75" customHeight="1">
      <c r="B758" s="667"/>
      <c r="C758" s="667"/>
      <c r="D758" s="667"/>
      <c r="E758" s="667"/>
      <c r="F758" s="667"/>
      <c r="G758" s="667"/>
      <c r="H758" s="667"/>
      <c r="I758" s="667"/>
      <c r="J758" s="667"/>
      <c r="K758" s="667"/>
      <c r="L758" s="667"/>
      <c r="M758" s="667"/>
      <c r="N758" s="667"/>
      <c r="O758" s="667"/>
      <c r="P758" s="667"/>
      <c r="Q758" s="667"/>
    </row>
    <row r="759" ht="15.75" customHeight="1">
      <c r="B759" s="667"/>
      <c r="C759" s="667"/>
      <c r="D759" s="667"/>
      <c r="E759" s="667"/>
      <c r="F759" s="667"/>
      <c r="G759" s="667"/>
      <c r="H759" s="667"/>
      <c r="I759" s="667"/>
      <c r="J759" s="667"/>
      <c r="K759" s="667"/>
      <c r="L759" s="667"/>
      <c r="M759" s="667"/>
      <c r="N759" s="667"/>
      <c r="O759" s="667"/>
      <c r="P759" s="667"/>
      <c r="Q759" s="667"/>
    </row>
    <row r="760" ht="15.75" customHeight="1">
      <c r="B760" s="667"/>
      <c r="C760" s="667"/>
      <c r="D760" s="667"/>
      <c r="E760" s="667"/>
      <c r="F760" s="667"/>
      <c r="G760" s="667"/>
      <c r="H760" s="667"/>
      <c r="I760" s="667"/>
      <c r="J760" s="667"/>
      <c r="K760" s="667"/>
      <c r="L760" s="667"/>
      <c r="M760" s="667"/>
      <c r="N760" s="667"/>
      <c r="O760" s="667"/>
      <c r="P760" s="667"/>
      <c r="Q760" s="667"/>
    </row>
    <row r="761" ht="15.75" customHeight="1">
      <c r="B761" s="667"/>
      <c r="C761" s="667"/>
      <c r="D761" s="667"/>
      <c r="E761" s="667"/>
      <c r="F761" s="667"/>
      <c r="G761" s="667"/>
      <c r="H761" s="667"/>
      <c r="I761" s="667"/>
      <c r="J761" s="667"/>
      <c r="K761" s="667"/>
      <c r="L761" s="667"/>
      <c r="M761" s="667"/>
      <c r="N761" s="667"/>
      <c r="O761" s="667"/>
      <c r="P761" s="667"/>
      <c r="Q761" s="667"/>
    </row>
    <row r="762" ht="15.75" customHeight="1">
      <c r="B762" s="667"/>
      <c r="C762" s="667"/>
      <c r="D762" s="667"/>
      <c r="E762" s="667"/>
      <c r="F762" s="667"/>
      <c r="G762" s="667"/>
      <c r="H762" s="667"/>
      <c r="I762" s="667"/>
      <c r="J762" s="667"/>
      <c r="K762" s="667"/>
      <c r="L762" s="667"/>
      <c r="M762" s="667"/>
      <c r="N762" s="667"/>
      <c r="O762" s="667"/>
      <c r="P762" s="667"/>
      <c r="Q762" s="667"/>
    </row>
    <row r="763" ht="15.75" customHeight="1">
      <c r="B763" s="667"/>
      <c r="C763" s="667"/>
      <c r="D763" s="667"/>
      <c r="E763" s="667"/>
      <c r="F763" s="667"/>
      <c r="G763" s="667"/>
      <c r="H763" s="667"/>
      <c r="I763" s="667"/>
      <c r="J763" s="667"/>
      <c r="K763" s="667"/>
      <c r="L763" s="667"/>
      <c r="M763" s="667"/>
      <c r="N763" s="667"/>
      <c r="O763" s="667"/>
      <c r="P763" s="667"/>
      <c r="Q763" s="667"/>
    </row>
    <row r="764" ht="15.75" customHeight="1">
      <c r="B764" s="667"/>
      <c r="C764" s="667"/>
      <c r="D764" s="667"/>
      <c r="E764" s="667"/>
      <c r="F764" s="667"/>
      <c r="G764" s="667"/>
      <c r="H764" s="667"/>
      <c r="I764" s="667"/>
      <c r="J764" s="667"/>
      <c r="K764" s="667"/>
      <c r="L764" s="667"/>
      <c r="M764" s="667"/>
      <c r="N764" s="667"/>
      <c r="O764" s="667"/>
      <c r="P764" s="667"/>
      <c r="Q764" s="667"/>
    </row>
    <row r="765" ht="15.75" customHeight="1">
      <c r="B765" s="667"/>
      <c r="C765" s="667"/>
      <c r="D765" s="667"/>
      <c r="E765" s="667"/>
      <c r="F765" s="667"/>
      <c r="G765" s="667"/>
      <c r="H765" s="667"/>
      <c r="I765" s="667"/>
      <c r="J765" s="667"/>
      <c r="K765" s="667"/>
      <c r="L765" s="667"/>
      <c r="M765" s="667"/>
      <c r="N765" s="667"/>
      <c r="O765" s="667"/>
      <c r="P765" s="667"/>
      <c r="Q765" s="667"/>
    </row>
    <row r="766" ht="15.75" customHeight="1">
      <c r="B766" s="667"/>
      <c r="C766" s="667"/>
      <c r="D766" s="667"/>
      <c r="E766" s="667"/>
      <c r="F766" s="667"/>
      <c r="G766" s="667"/>
      <c r="H766" s="667"/>
      <c r="I766" s="667"/>
      <c r="J766" s="667"/>
      <c r="K766" s="667"/>
      <c r="L766" s="667"/>
      <c r="M766" s="667"/>
      <c r="N766" s="667"/>
      <c r="O766" s="667"/>
      <c r="P766" s="667"/>
      <c r="Q766" s="667"/>
    </row>
    <row r="767" ht="15.75" customHeight="1">
      <c r="B767" s="667"/>
      <c r="C767" s="667"/>
      <c r="D767" s="667"/>
      <c r="E767" s="667"/>
      <c r="F767" s="667"/>
      <c r="G767" s="667"/>
      <c r="H767" s="667"/>
      <c r="I767" s="667"/>
      <c r="J767" s="667"/>
      <c r="K767" s="667"/>
      <c r="L767" s="667"/>
      <c r="M767" s="667"/>
      <c r="N767" s="667"/>
      <c r="O767" s="667"/>
      <c r="P767" s="667"/>
      <c r="Q767" s="667"/>
    </row>
    <row r="768" ht="15.75" customHeight="1">
      <c r="B768" s="667"/>
      <c r="C768" s="667"/>
      <c r="D768" s="667"/>
      <c r="E768" s="667"/>
      <c r="F768" s="667"/>
      <c r="G768" s="667"/>
      <c r="H768" s="667"/>
      <c r="I768" s="667"/>
      <c r="J768" s="667"/>
      <c r="K768" s="667"/>
      <c r="L768" s="667"/>
      <c r="M768" s="667"/>
      <c r="N768" s="667"/>
      <c r="O768" s="667"/>
      <c r="P768" s="667"/>
      <c r="Q768" s="667"/>
    </row>
    <row r="769" ht="15.75" customHeight="1">
      <c r="B769" s="667"/>
      <c r="C769" s="667"/>
      <c r="D769" s="667"/>
      <c r="E769" s="667"/>
      <c r="F769" s="667"/>
      <c r="G769" s="667"/>
      <c r="H769" s="667"/>
      <c r="I769" s="667"/>
      <c r="J769" s="667"/>
      <c r="K769" s="667"/>
      <c r="L769" s="667"/>
      <c r="M769" s="667"/>
      <c r="N769" s="667"/>
      <c r="O769" s="667"/>
      <c r="P769" s="667"/>
      <c r="Q769" s="667"/>
    </row>
    <row r="770" ht="15.75" customHeight="1">
      <c r="B770" s="667"/>
      <c r="C770" s="667"/>
      <c r="D770" s="667"/>
      <c r="E770" s="667"/>
      <c r="F770" s="667"/>
      <c r="G770" s="667"/>
      <c r="H770" s="667"/>
      <c r="I770" s="667"/>
      <c r="J770" s="667"/>
      <c r="K770" s="667"/>
      <c r="L770" s="667"/>
      <c r="M770" s="667"/>
      <c r="N770" s="667"/>
      <c r="O770" s="667"/>
      <c r="P770" s="667"/>
      <c r="Q770" s="667"/>
    </row>
    <row r="771" ht="15.75" customHeight="1">
      <c r="B771" s="667"/>
      <c r="C771" s="667"/>
      <c r="D771" s="667"/>
      <c r="E771" s="667"/>
      <c r="F771" s="667"/>
      <c r="G771" s="667"/>
      <c r="H771" s="667"/>
      <c r="I771" s="667"/>
      <c r="J771" s="667"/>
      <c r="K771" s="667"/>
      <c r="L771" s="667"/>
      <c r="M771" s="667"/>
      <c r="N771" s="667"/>
      <c r="O771" s="667"/>
      <c r="P771" s="667"/>
      <c r="Q771" s="667"/>
    </row>
    <row r="772" ht="15.75" customHeight="1">
      <c r="B772" s="667"/>
      <c r="C772" s="667"/>
      <c r="D772" s="667"/>
      <c r="E772" s="667"/>
      <c r="F772" s="667"/>
      <c r="G772" s="667"/>
      <c r="H772" s="667"/>
      <c r="I772" s="667"/>
      <c r="J772" s="667"/>
      <c r="K772" s="667"/>
      <c r="L772" s="667"/>
      <c r="M772" s="667"/>
      <c r="N772" s="667"/>
      <c r="O772" s="667"/>
      <c r="P772" s="667"/>
      <c r="Q772" s="667"/>
    </row>
    <row r="773" ht="15.75" customHeight="1">
      <c r="B773" s="667"/>
      <c r="C773" s="667"/>
      <c r="D773" s="667"/>
      <c r="E773" s="667"/>
      <c r="F773" s="667"/>
      <c r="G773" s="667"/>
      <c r="H773" s="667"/>
      <c r="I773" s="667"/>
      <c r="J773" s="667"/>
      <c r="K773" s="667"/>
      <c r="L773" s="667"/>
      <c r="M773" s="667"/>
      <c r="N773" s="667"/>
      <c r="O773" s="667"/>
      <c r="P773" s="667"/>
      <c r="Q773" s="667"/>
    </row>
    <row r="774" ht="15.75" customHeight="1">
      <c r="B774" s="667"/>
      <c r="C774" s="667"/>
      <c r="D774" s="667"/>
      <c r="E774" s="667"/>
      <c r="F774" s="667"/>
      <c r="G774" s="667"/>
      <c r="H774" s="667"/>
      <c r="I774" s="667"/>
      <c r="J774" s="667"/>
      <c r="K774" s="667"/>
      <c r="L774" s="667"/>
      <c r="M774" s="667"/>
      <c r="N774" s="667"/>
      <c r="O774" s="667"/>
      <c r="P774" s="667"/>
      <c r="Q774" s="667"/>
    </row>
    <row r="775" ht="15.75" customHeight="1">
      <c r="B775" s="667"/>
      <c r="C775" s="667"/>
      <c r="D775" s="667"/>
      <c r="E775" s="667"/>
      <c r="F775" s="667"/>
      <c r="G775" s="667"/>
      <c r="H775" s="667"/>
      <c r="I775" s="667"/>
      <c r="J775" s="667"/>
      <c r="K775" s="667"/>
      <c r="L775" s="667"/>
      <c r="M775" s="667"/>
      <c r="N775" s="667"/>
      <c r="O775" s="667"/>
      <c r="P775" s="667"/>
      <c r="Q775" s="667"/>
    </row>
    <row r="776" ht="15.75" customHeight="1">
      <c r="B776" s="667"/>
      <c r="C776" s="667"/>
      <c r="D776" s="667"/>
      <c r="E776" s="667"/>
      <c r="F776" s="667"/>
      <c r="G776" s="667"/>
      <c r="H776" s="667"/>
      <c r="I776" s="667"/>
      <c r="J776" s="667"/>
      <c r="K776" s="667"/>
      <c r="L776" s="667"/>
      <c r="M776" s="667"/>
      <c r="N776" s="667"/>
      <c r="O776" s="667"/>
      <c r="P776" s="667"/>
      <c r="Q776" s="667"/>
    </row>
    <row r="777" ht="15.75" customHeight="1">
      <c r="B777" s="667"/>
      <c r="C777" s="667"/>
      <c r="D777" s="667"/>
      <c r="E777" s="667"/>
      <c r="F777" s="667"/>
      <c r="G777" s="667"/>
      <c r="H777" s="667"/>
      <c r="I777" s="667"/>
      <c r="J777" s="667"/>
      <c r="K777" s="667"/>
      <c r="L777" s="667"/>
      <c r="M777" s="667"/>
      <c r="N777" s="667"/>
      <c r="O777" s="667"/>
      <c r="P777" s="667"/>
      <c r="Q777" s="667"/>
    </row>
    <row r="778" ht="15.75" customHeight="1">
      <c r="B778" s="667"/>
      <c r="C778" s="667"/>
      <c r="D778" s="667"/>
      <c r="E778" s="667"/>
      <c r="F778" s="667"/>
      <c r="G778" s="667"/>
      <c r="H778" s="667"/>
      <c r="I778" s="667"/>
      <c r="J778" s="667"/>
      <c r="K778" s="667"/>
      <c r="L778" s="667"/>
      <c r="M778" s="667"/>
      <c r="N778" s="667"/>
      <c r="O778" s="667"/>
      <c r="P778" s="667"/>
      <c r="Q778" s="667"/>
    </row>
    <row r="779" ht="15.75" customHeight="1">
      <c r="B779" s="667"/>
      <c r="C779" s="667"/>
      <c r="D779" s="667"/>
      <c r="E779" s="667"/>
      <c r="F779" s="667"/>
      <c r="G779" s="667"/>
      <c r="H779" s="667"/>
      <c r="I779" s="667"/>
      <c r="J779" s="667"/>
      <c r="K779" s="667"/>
      <c r="L779" s="667"/>
      <c r="M779" s="667"/>
      <c r="N779" s="667"/>
      <c r="O779" s="667"/>
      <c r="P779" s="667"/>
      <c r="Q779" s="667"/>
    </row>
    <row r="780" ht="15.75" customHeight="1">
      <c r="B780" s="667"/>
      <c r="C780" s="667"/>
      <c r="D780" s="667"/>
      <c r="E780" s="667"/>
      <c r="F780" s="667"/>
      <c r="G780" s="667"/>
      <c r="H780" s="667"/>
      <c r="I780" s="667"/>
      <c r="J780" s="667"/>
      <c r="K780" s="667"/>
      <c r="L780" s="667"/>
      <c r="M780" s="667"/>
      <c r="N780" s="667"/>
      <c r="O780" s="667"/>
      <c r="P780" s="667"/>
      <c r="Q780" s="667"/>
    </row>
    <row r="781" ht="15.75" customHeight="1">
      <c r="B781" s="667"/>
      <c r="C781" s="667"/>
      <c r="D781" s="667"/>
      <c r="E781" s="667"/>
      <c r="F781" s="667"/>
      <c r="G781" s="667"/>
      <c r="H781" s="667"/>
      <c r="I781" s="667"/>
      <c r="J781" s="667"/>
      <c r="K781" s="667"/>
      <c r="L781" s="667"/>
      <c r="M781" s="667"/>
      <c r="N781" s="667"/>
      <c r="O781" s="667"/>
      <c r="P781" s="667"/>
      <c r="Q781" s="667"/>
    </row>
    <row r="782" ht="15.75" customHeight="1">
      <c r="B782" s="667"/>
      <c r="C782" s="667"/>
      <c r="D782" s="667"/>
      <c r="E782" s="667"/>
      <c r="F782" s="667"/>
      <c r="G782" s="667"/>
      <c r="H782" s="667"/>
      <c r="I782" s="667"/>
      <c r="J782" s="667"/>
      <c r="K782" s="667"/>
      <c r="L782" s="667"/>
      <c r="M782" s="667"/>
      <c r="N782" s="667"/>
      <c r="O782" s="667"/>
      <c r="P782" s="667"/>
      <c r="Q782" s="667"/>
    </row>
    <row r="783" ht="15.75" customHeight="1">
      <c r="B783" s="667"/>
      <c r="C783" s="667"/>
      <c r="D783" s="667"/>
      <c r="E783" s="667"/>
      <c r="F783" s="667"/>
      <c r="G783" s="667"/>
      <c r="H783" s="667"/>
      <c r="I783" s="667"/>
      <c r="J783" s="667"/>
      <c r="K783" s="667"/>
      <c r="L783" s="667"/>
      <c r="M783" s="667"/>
      <c r="N783" s="667"/>
      <c r="O783" s="667"/>
      <c r="P783" s="667"/>
      <c r="Q783" s="667"/>
    </row>
    <row r="784" ht="15.75" customHeight="1">
      <c r="B784" s="667"/>
      <c r="C784" s="667"/>
      <c r="D784" s="667"/>
      <c r="E784" s="667"/>
      <c r="F784" s="667"/>
      <c r="G784" s="667"/>
      <c r="H784" s="667"/>
      <c r="I784" s="667"/>
      <c r="J784" s="667"/>
      <c r="K784" s="667"/>
      <c r="L784" s="667"/>
      <c r="M784" s="667"/>
      <c r="N784" s="667"/>
      <c r="O784" s="667"/>
      <c r="P784" s="667"/>
      <c r="Q784" s="667"/>
    </row>
    <row r="785" ht="15.75" customHeight="1">
      <c r="B785" s="667"/>
      <c r="C785" s="667"/>
      <c r="D785" s="667"/>
      <c r="E785" s="667"/>
      <c r="F785" s="667"/>
      <c r="G785" s="667"/>
      <c r="H785" s="667"/>
      <c r="I785" s="667"/>
      <c r="J785" s="667"/>
      <c r="K785" s="667"/>
      <c r="L785" s="667"/>
      <c r="M785" s="667"/>
      <c r="N785" s="667"/>
      <c r="O785" s="667"/>
      <c r="P785" s="667"/>
      <c r="Q785" s="667"/>
    </row>
    <row r="786" ht="15.75" customHeight="1">
      <c r="B786" s="667"/>
      <c r="C786" s="667"/>
      <c r="D786" s="667"/>
      <c r="E786" s="667"/>
      <c r="F786" s="667"/>
      <c r="G786" s="667"/>
      <c r="H786" s="667"/>
      <c r="I786" s="667"/>
      <c r="J786" s="667"/>
      <c r="K786" s="667"/>
      <c r="L786" s="667"/>
      <c r="M786" s="667"/>
      <c r="N786" s="667"/>
      <c r="O786" s="667"/>
      <c r="P786" s="667"/>
      <c r="Q786" s="667"/>
    </row>
    <row r="787" ht="15.75" customHeight="1">
      <c r="B787" s="667"/>
      <c r="C787" s="667"/>
      <c r="D787" s="667"/>
      <c r="E787" s="667"/>
      <c r="F787" s="667"/>
      <c r="G787" s="667"/>
      <c r="H787" s="667"/>
      <c r="I787" s="667"/>
      <c r="J787" s="667"/>
      <c r="K787" s="667"/>
      <c r="L787" s="667"/>
      <c r="M787" s="667"/>
      <c r="N787" s="667"/>
      <c r="O787" s="667"/>
      <c r="P787" s="667"/>
      <c r="Q787" s="667"/>
    </row>
    <row r="788" ht="15.75" customHeight="1">
      <c r="B788" s="667"/>
      <c r="C788" s="667"/>
      <c r="D788" s="667"/>
      <c r="E788" s="667"/>
      <c r="F788" s="667"/>
      <c r="G788" s="667"/>
      <c r="H788" s="667"/>
      <c r="I788" s="667"/>
      <c r="J788" s="667"/>
      <c r="K788" s="667"/>
      <c r="L788" s="667"/>
      <c r="M788" s="667"/>
      <c r="N788" s="667"/>
      <c r="O788" s="667"/>
      <c r="P788" s="667"/>
      <c r="Q788" s="667"/>
    </row>
    <row r="789" ht="15.75" customHeight="1">
      <c r="B789" s="667"/>
      <c r="C789" s="667"/>
      <c r="D789" s="667"/>
      <c r="E789" s="667"/>
      <c r="F789" s="667"/>
      <c r="G789" s="667"/>
      <c r="H789" s="667"/>
      <c r="I789" s="667"/>
      <c r="J789" s="667"/>
      <c r="K789" s="667"/>
      <c r="L789" s="667"/>
      <c r="M789" s="667"/>
      <c r="N789" s="667"/>
      <c r="O789" s="667"/>
      <c r="P789" s="667"/>
      <c r="Q789" s="667"/>
    </row>
    <row r="790" ht="15.75" customHeight="1">
      <c r="B790" s="667"/>
      <c r="C790" s="667"/>
      <c r="D790" s="667"/>
      <c r="E790" s="667"/>
      <c r="F790" s="667"/>
      <c r="G790" s="667"/>
      <c r="H790" s="667"/>
      <c r="I790" s="667"/>
      <c r="J790" s="667"/>
      <c r="K790" s="667"/>
      <c r="L790" s="667"/>
      <c r="M790" s="667"/>
      <c r="N790" s="667"/>
      <c r="O790" s="667"/>
      <c r="P790" s="667"/>
      <c r="Q790" s="667"/>
    </row>
    <row r="791" ht="15.75" customHeight="1">
      <c r="B791" s="667"/>
      <c r="C791" s="667"/>
      <c r="D791" s="667"/>
      <c r="E791" s="667"/>
      <c r="F791" s="667"/>
      <c r="G791" s="667"/>
      <c r="H791" s="667"/>
      <c r="I791" s="667"/>
      <c r="J791" s="667"/>
      <c r="K791" s="667"/>
      <c r="L791" s="667"/>
      <c r="M791" s="667"/>
      <c r="N791" s="667"/>
      <c r="O791" s="667"/>
      <c r="P791" s="667"/>
      <c r="Q791" s="667"/>
    </row>
    <row r="792" ht="15.75" customHeight="1">
      <c r="B792" s="667"/>
      <c r="C792" s="667"/>
      <c r="D792" s="667"/>
      <c r="E792" s="667"/>
      <c r="F792" s="667"/>
      <c r="G792" s="667"/>
      <c r="H792" s="667"/>
      <c r="I792" s="667"/>
      <c r="J792" s="667"/>
      <c r="K792" s="667"/>
      <c r="L792" s="667"/>
      <c r="M792" s="667"/>
      <c r="N792" s="667"/>
      <c r="O792" s="667"/>
      <c r="P792" s="667"/>
      <c r="Q792" s="667"/>
    </row>
    <row r="793" ht="15.75" customHeight="1">
      <c r="B793" s="667"/>
      <c r="C793" s="667"/>
      <c r="D793" s="667"/>
      <c r="E793" s="667"/>
      <c r="F793" s="667"/>
      <c r="G793" s="667"/>
      <c r="H793" s="667"/>
      <c r="I793" s="667"/>
      <c r="J793" s="667"/>
      <c r="K793" s="667"/>
      <c r="L793" s="667"/>
      <c r="M793" s="667"/>
      <c r="N793" s="667"/>
      <c r="O793" s="667"/>
      <c r="P793" s="667"/>
      <c r="Q793" s="667"/>
    </row>
    <row r="794" ht="15.75" customHeight="1">
      <c r="B794" s="667"/>
      <c r="C794" s="667"/>
      <c r="D794" s="667"/>
      <c r="E794" s="667"/>
      <c r="F794" s="667"/>
      <c r="G794" s="667"/>
      <c r="H794" s="667"/>
      <c r="I794" s="667"/>
      <c r="J794" s="667"/>
      <c r="K794" s="667"/>
      <c r="L794" s="667"/>
      <c r="M794" s="667"/>
      <c r="N794" s="667"/>
      <c r="O794" s="667"/>
      <c r="P794" s="667"/>
      <c r="Q794" s="667"/>
    </row>
    <row r="795" ht="15.75" customHeight="1">
      <c r="B795" s="667"/>
      <c r="C795" s="667"/>
      <c r="D795" s="667"/>
      <c r="E795" s="667"/>
      <c r="F795" s="667"/>
      <c r="G795" s="667"/>
      <c r="H795" s="667"/>
      <c r="I795" s="667"/>
      <c r="J795" s="667"/>
      <c r="K795" s="667"/>
      <c r="L795" s="667"/>
      <c r="M795" s="667"/>
      <c r="N795" s="667"/>
      <c r="O795" s="667"/>
      <c r="P795" s="667"/>
      <c r="Q795" s="667"/>
    </row>
    <row r="796" ht="15.75" customHeight="1">
      <c r="B796" s="667"/>
      <c r="C796" s="667"/>
      <c r="D796" s="667"/>
      <c r="E796" s="667"/>
      <c r="F796" s="667"/>
      <c r="G796" s="667"/>
      <c r="H796" s="667"/>
      <c r="I796" s="667"/>
      <c r="J796" s="667"/>
      <c r="K796" s="667"/>
      <c r="L796" s="667"/>
      <c r="M796" s="667"/>
      <c r="N796" s="667"/>
      <c r="O796" s="667"/>
      <c r="P796" s="667"/>
      <c r="Q796" s="667"/>
    </row>
    <row r="797" ht="15.75" customHeight="1">
      <c r="B797" s="667"/>
      <c r="C797" s="667"/>
      <c r="D797" s="667"/>
      <c r="E797" s="667"/>
      <c r="F797" s="667"/>
      <c r="G797" s="667"/>
      <c r="H797" s="667"/>
      <c r="I797" s="667"/>
      <c r="J797" s="667"/>
      <c r="K797" s="667"/>
      <c r="L797" s="667"/>
      <c r="M797" s="667"/>
      <c r="N797" s="667"/>
      <c r="O797" s="667"/>
      <c r="P797" s="667"/>
      <c r="Q797" s="667"/>
    </row>
    <row r="798" ht="15.75" customHeight="1">
      <c r="B798" s="667"/>
      <c r="C798" s="667"/>
      <c r="D798" s="667"/>
      <c r="E798" s="667"/>
      <c r="F798" s="667"/>
      <c r="G798" s="667"/>
      <c r="H798" s="667"/>
      <c r="I798" s="667"/>
      <c r="J798" s="667"/>
      <c r="K798" s="667"/>
      <c r="L798" s="667"/>
      <c r="M798" s="667"/>
      <c r="N798" s="667"/>
      <c r="O798" s="667"/>
      <c r="P798" s="667"/>
      <c r="Q798" s="667"/>
    </row>
    <row r="799" ht="15.75" customHeight="1">
      <c r="B799" s="667"/>
      <c r="C799" s="667"/>
      <c r="D799" s="667"/>
      <c r="E799" s="667"/>
      <c r="F799" s="667"/>
      <c r="G799" s="667"/>
      <c r="H799" s="667"/>
      <c r="I799" s="667"/>
      <c r="J799" s="667"/>
      <c r="K799" s="667"/>
      <c r="L799" s="667"/>
      <c r="M799" s="667"/>
      <c r="N799" s="667"/>
      <c r="O799" s="667"/>
      <c r="P799" s="667"/>
      <c r="Q799" s="667"/>
    </row>
    <row r="800" ht="15.75" customHeight="1">
      <c r="B800" s="667"/>
      <c r="C800" s="667"/>
      <c r="D800" s="667"/>
      <c r="E800" s="667"/>
      <c r="F800" s="667"/>
      <c r="G800" s="667"/>
      <c r="H800" s="667"/>
      <c r="I800" s="667"/>
      <c r="J800" s="667"/>
      <c r="K800" s="667"/>
      <c r="L800" s="667"/>
      <c r="M800" s="667"/>
      <c r="N800" s="667"/>
      <c r="O800" s="667"/>
      <c r="P800" s="667"/>
      <c r="Q800" s="667"/>
    </row>
    <row r="801" ht="15.75" customHeight="1">
      <c r="B801" s="667"/>
      <c r="C801" s="667"/>
      <c r="D801" s="667"/>
      <c r="E801" s="667"/>
      <c r="F801" s="667"/>
      <c r="G801" s="667"/>
      <c r="H801" s="667"/>
      <c r="I801" s="667"/>
      <c r="J801" s="667"/>
      <c r="K801" s="667"/>
      <c r="L801" s="667"/>
      <c r="M801" s="667"/>
      <c r="N801" s="667"/>
      <c r="O801" s="667"/>
      <c r="P801" s="667"/>
      <c r="Q801" s="667"/>
    </row>
    <row r="802" ht="15.75" customHeight="1">
      <c r="B802" s="667"/>
      <c r="C802" s="667"/>
      <c r="D802" s="667"/>
      <c r="E802" s="667"/>
      <c r="F802" s="667"/>
      <c r="G802" s="667"/>
      <c r="H802" s="667"/>
      <c r="I802" s="667"/>
      <c r="J802" s="667"/>
      <c r="K802" s="667"/>
      <c r="L802" s="667"/>
      <c r="M802" s="667"/>
      <c r="N802" s="667"/>
      <c r="O802" s="667"/>
      <c r="P802" s="667"/>
      <c r="Q802" s="667"/>
    </row>
    <row r="803" ht="15.75" customHeight="1">
      <c r="B803" s="667"/>
      <c r="C803" s="667"/>
      <c r="D803" s="667"/>
      <c r="E803" s="667"/>
      <c r="F803" s="667"/>
      <c r="G803" s="667"/>
      <c r="H803" s="667"/>
      <c r="I803" s="667"/>
      <c r="J803" s="667"/>
      <c r="K803" s="667"/>
      <c r="L803" s="667"/>
      <c r="M803" s="667"/>
      <c r="N803" s="667"/>
      <c r="O803" s="667"/>
      <c r="P803" s="667"/>
      <c r="Q803" s="667"/>
    </row>
    <row r="804" ht="15.75" customHeight="1">
      <c r="B804" s="667"/>
      <c r="C804" s="667"/>
      <c r="D804" s="667"/>
      <c r="E804" s="667"/>
      <c r="F804" s="667"/>
      <c r="G804" s="667"/>
      <c r="H804" s="667"/>
      <c r="I804" s="667"/>
      <c r="J804" s="667"/>
      <c r="K804" s="667"/>
      <c r="L804" s="667"/>
      <c r="M804" s="667"/>
      <c r="N804" s="667"/>
      <c r="O804" s="667"/>
      <c r="P804" s="667"/>
      <c r="Q804" s="667"/>
    </row>
    <row r="805" ht="15.75" customHeight="1">
      <c r="B805" s="667"/>
      <c r="C805" s="667"/>
      <c r="D805" s="667"/>
      <c r="E805" s="667"/>
      <c r="F805" s="667"/>
      <c r="G805" s="667"/>
      <c r="H805" s="667"/>
      <c r="I805" s="667"/>
      <c r="J805" s="667"/>
      <c r="K805" s="667"/>
      <c r="L805" s="667"/>
      <c r="M805" s="667"/>
      <c r="N805" s="667"/>
      <c r="O805" s="667"/>
      <c r="P805" s="667"/>
      <c r="Q805" s="667"/>
    </row>
    <row r="806" ht="15.75" customHeight="1">
      <c r="B806" s="667"/>
      <c r="C806" s="667"/>
      <c r="D806" s="667"/>
      <c r="E806" s="667"/>
      <c r="F806" s="667"/>
      <c r="G806" s="667"/>
      <c r="H806" s="667"/>
      <c r="I806" s="667"/>
      <c r="J806" s="667"/>
      <c r="K806" s="667"/>
      <c r="L806" s="667"/>
      <c r="M806" s="667"/>
      <c r="N806" s="667"/>
      <c r="O806" s="667"/>
      <c r="P806" s="667"/>
      <c r="Q806" s="667"/>
    </row>
    <row r="807" ht="15.75" customHeight="1">
      <c r="B807" s="667"/>
      <c r="C807" s="667"/>
      <c r="D807" s="667"/>
      <c r="E807" s="667"/>
      <c r="F807" s="667"/>
      <c r="G807" s="667"/>
      <c r="H807" s="667"/>
      <c r="I807" s="667"/>
      <c r="J807" s="667"/>
      <c r="K807" s="667"/>
      <c r="L807" s="667"/>
      <c r="M807" s="667"/>
      <c r="N807" s="667"/>
      <c r="O807" s="667"/>
      <c r="P807" s="667"/>
      <c r="Q807" s="667"/>
    </row>
    <row r="808" ht="15.75" customHeight="1">
      <c r="B808" s="667"/>
      <c r="C808" s="667"/>
      <c r="D808" s="667"/>
      <c r="E808" s="667"/>
      <c r="F808" s="667"/>
      <c r="G808" s="667"/>
      <c r="H808" s="667"/>
      <c r="I808" s="667"/>
      <c r="J808" s="667"/>
      <c r="K808" s="667"/>
      <c r="L808" s="667"/>
      <c r="M808" s="667"/>
      <c r="N808" s="667"/>
      <c r="O808" s="667"/>
      <c r="P808" s="667"/>
      <c r="Q808" s="667"/>
    </row>
    <row r="809" ht="15.75" customHeight="1">
      <c r="B809" s="667"/>
      <c r="C809" s="667"/>
      <c r="D809" s="667"/>
      <c r="E809" s="667"/>
      <c r="F809" s="667"/>
      <c r="G809" s="667"/>
      <c r="H809" s="667"/>
      <c r="I809" s="667"/>
      <c r="J809" s="667"/>
      <c r="K809" s="667"/>
      <c r="L809" s="667"/>
      <c r="M809" s="667"/>
      <c r="N809" s="667"/>
      <c r="O809" s="667"/>
      <c r="P809" s="667"/>
      <c r="Q809" s="667"/>
    </row>
    <row r="810" ht="15.75" customHeight="1">
      <c r="B810" s="667"/>
      <c r="C810" s="667"/>
      <c r="D810" s="667"/>
      <c r="E810" s="667"/>
      <c r="F810" s="667"/>
      <c r="G810" s="667"/>
      <c r="H810" s="667"/>
      <c r="I810" s="667"/>
      <c r="J810" s="667"/>
      <c r="K810" s="667"/>
      <c r="L810" s="667"/>
      <c r="M810" s="667"/>
      <c r="N810" s="667"/>
      <c r="O810" s="667"/>
      <c r="P810" s="667"/>
      <c r="Q810" s="667"/>
    </row>
    <row r="811" ht="15.75" customHeight="1">
      <c r="B811" s="667"/>
      <c r="C811" s="667"/>
      <c r="D811" s="667"/>
      <c r="E811" s="667"/>
      <c r="F811" s="667"/>
      <c r="G811" s="667"/>
      <c r="H811" s="667"/>
      <c r="I811" s="667"/>
      <c r="J811" s="667"/>
      <c r="K811" s="667"/>
      <c r="L811" s="667"/>
      <c r="M811" s="667"/>
      <c r="N811" s="667"/>
      <c r="O811" s="667"/>
      <c r="P811" s="667"/>
      <c r="Q811" s="667"/>
    </row>
    <row r="812" ht="15.75" customHeight="1">
      <c r="B812" s="667"/>
      <c r="C812" s="667"/>
      <c r="D812" s="667"/>
      <c r="E812" s="667"/>
      <c r="F812" s="667"/>
      <c r="G812" s="667"/>
      <c r="H812" s="667"/>
      <c r="I812" s="667"/>
      <c r="J812" s="667"/>
      <c r="K812" s="667"/>
      <c r="L812" s="667"/>
      <c r="M812" s="667"/>
      <c r="N812" s="667"/>
      <c r="O812" s="667"/>
      <c r="P812" s="667"/>
      <c r="Q812" s="667"/>
    </row>
    <row r="813" ht="15.75" customHeight="1">
      <c r="B813" s="667"/>
      <c r="C813" s="667"/>
      <c r="D813" s="667"/>
      <c r="E813" s="667"/>
      <c r="F813" s="667"/>
      <c r="G813" s="667"/>
      <c r="H813" s="667"/>
      <c r="I813" s="667"/>
      <c r="J813" s="667"/>
      <c r="K813" s="667"/>
      <c r="L813" s="667"/>
      <c r="M813" s="667"/>
      <c r="N813" s="667"/>
      <c r="O813" s="667"/>
      <c r="P813" s="667"/>
      <c r="Q813" s="667"/>
    </row>
    <row r="814" ht="15.75" customHeight="1">
      <c r="B814" s="667"/>
      <c r="C814" s="667"/>
      <c r="D814" s="667"/>
      <c r="E814" s="667"/>
      <c r="F814" s="667"/>
      <c r="G814" s="667"/>
      <c r="H814" s="667"/>
      <c r="I814" s="667"/>
      <c r="J814" s="667"/>
      <c r="K814" s="667"/>
      <c r="L814" s="667"/>
      <c r="M814" s="667"/>
      <c r="N814" s="667"/>
      <c r="O814" s="667"/>
      <c r="P814" s="667"/>
      <c r="Q814" s="667"/>
    </row>
    <row r="815" ht="15.75" customHeight="1">
      <c r="B815" s="667"/>
      <c r="C815" s="667"/>
      <c r="D815" s="667"/>
      <c r="E815" s="667"/>
      <c r="F815" s="667"/>
      <c r="G815" s="667"/>
      <c r="H815" s="667"/>
      <c r="I815" s="667"/>
      <c r="J815" s="667"/>
      <c r="K815" s="667"/>
      <c r="L815" s="667"/>
      <c r="M815" s="667"/>
      <c r="N815" s="667"/>
      <c r="O815" s="667"/>
      <c r="P815" s="667"/>
      <c r="Q815" s="667"/>
    </row>
    <row r="816" ht="15.75" customHeight="1">
      <c r="B816" s="667"/>
      <c r="C816" s="667"/>
      <c r="D816" s="667"/>
      <c r="E816" s="667"/>
      <c r="F816" s="667"/>
      <c r="G816" s="667"/>
      <c r="H816" s="667"/>
      <c r="I816" s="667"/>
      <c r="J816" s="667"/>
      <c r="K816" s="667"/>
      <c r="L816" s="667"/>
      <c r="M816" s="667"/>
      <c r="N816" s="667"/>
      <c r="O816" s="667"/>
      <c r="P816" s="667"/>
      <c r="Q816" s="667"/>
    </row>
    <row r="817" ht="15.75" customHeight="1">
      <c r="B817" s="667"/>
      <c r="C817" s="667"/>
      <c r="D817" s="667"/>
      <c r="E817" s="667"/>
      <c r="F817" s="667"/>
      <c r="G817" s="667"/>
      <c r="H817" s="667"/>
      <c r="I817" s="667"/>
      <c r="J817" s="667"/>
      <c r="K817" s="667"/>
      <c r="L817" s="667"/>
      <c r="M817" s="667"/>
      <c r="N817" s="667"/>
      <c r="O817" s="667"/>
      <c r="P817" s="667"/>
      <c r="Q817" s="667"/>
    </row>
    <row r="818" ht="15.75" customHeight="1">
      <c r="B818" s="667"/>
      <c r="C818" s="667"/>
      <c r="D818" s="667"/>
      <c r="E818" s="667"/>
      <c r="F818" s="667"/>
      <c r="G818" s="667"/>
      <c r="H818" s="667"/>
      <c r="I818" s="667"/>
      <c r="J818" s="667"/>
      <c r="K818" s="667"/>
      <c r="L818" s="667"/>
      <c r="M818" s="667"/>
      <c r="N818" s="667"/>
      <c r="O818" s="667"/>
      <c r="P818" s="667"/>
      <c r="Q818" s="667"/>
    </row>
    <row r="819" ht="15.75" customHeight="1">
      <c r="B819" s="667"/>
      <c r="C819" s="667"/>
      <c r="D819" s="667"/>
      <c r="E819" s="667"/>
      <c r="F819" s="667"/>
      <c r="G819" s="667"/>
      <c r="H819" s="667"/>
      <c r="I819" s="667"/>
      <c r="J819" s="667"/>
      <c r="K819" s="667"/>
      <c r="L819" s="667"/>
      <c r="M819" s="667"/>
      <c r="N819" s="667"/>
      <c r="O819" s="667"/>
      <c r="P819" s="667"/>
      <c r="Q819" s="667"/>
    </row>
    <row r="820" ht="15.75" customHeight="1">
      <c r="B820" s="667"/>
      <c r="C820" s="667"/>
      <c r="D820" s="667"/>
      <c r="E820" s="667"/>
      <c r="F820" s="667"/>
      <c r="G820" s="667"/>
      <c r="H820" s="667"/>
      <c r="I820" s="667"/>
      <c r="J820" s="667"/>
      <c r="K820" s="667"/>
      <c r="L820" s="667"/>
      <c r="M820" s="667"/>
      <c r="N820" s="667"/>
      <c r="O820" s="667"/>
      <c r="P820" s="667"/>
      <c r="Q820" s="667"/>
    </row>
    <row r="821" ht="15.75" customHeight="1">
      <c r="B821" s="667"/>
      <c r="C821" s="667"/>
      <c r="D821" s="667"/>
      <c r="E821" s="667"/>
      <c r="F821" s="667"/>
      <c r="G821" s="667"/>
      <c r="H821" s="667"/>
      <c r="I821" s="667"/>
      <c r="J821" s="667"/>
      <c r="K821" s="667"/>
      <c r="L821" s="667"/>
      <c r="M821" s="667"/>
      <c r="N821" s="667"/>
      <c r="O821" s="667"/>
      <c r="P821" s="667"/>
      <c r="Q821" s="667"/>
    </row>
    <row r="822" ht="15.75" customHeight="1">
      <c r="B822" s="667"/>
      <c r="C822" s="667"/>
      <c r="D822" s="667"/>
      <c r="E822" s="667"/>
      <c r="F822" s="667"/>
      <c r="G822" s="667"/>
      <c r="H822" s="667"/>
      <c r="I822" s="667"/>
      <c r="J822" s="667"/>
      <c r="K822" s="667"/>
      <c r="L822" s="667"/>
      <c r="M822" s="667"/>
      <c r="N822" s="667"/>
      <c r="O822" s="667"/>
      <c r="P822" s="667"/>
      <c r="Q822" s="667"/>
    </row>
    <row r="823" ht="15.75" customHeight="1">
      <c r="B823" s="667"/>
      <c r="C823" s="667"/>
      <c r="D823" s="667"/>
      <c r="E823" s="667"/>
      <c r="F823" s="667"/>
      <c r="G823" s="667"/>
      <c r="H823" s="667"/>
      <c r="I823" s="667"/>
      <c r="J823" s="667"/>
      <c r="K823" s="667"/>
      <c r="L823" s="667"/>
      <c r="M823" s="667"/>
      <c r="N823" s="667"/>
      <c r="O823" s="667"/>
      <c r="P823" s="667"/>
      <c r="Q823" s="667"/>
    </row>
    <row r="824" ht="15.75" customHeight="1">
      <c r="B824" s="667"/>
      <c r="C824" s="667"/>
      <c r="D824" s="667"/>
      <c r="E824" s="667"/>
      <c r="F824" s="667"/>
      <c r="G824" s="667"/>
      <c r="H824" s="667"/>
      <c r="I824" s="667"/>
      <c r="J824" s="667"/>
      <c r="K824" s="667"/>
      <c r="L824" s="667"/>
      <c r="M824" s="667"/>
      <c r="N824" s="667"/>
      <c r="O824" s="667"/>
      <c r="P824" s="667"/>
      <c r="Q824" s="667"/>
    </row>
    <row r="825" ht="15.75" customHeight="1">
      <c r="B825" s="667"/>
      <c r="C825" s="667"/>
      <c r="D825" s="667"/>
      <c r="E825" s="667"/>
      <c r="F825" s="667"/>
      <c r="G825" s="667"/>
      <c r="H825" s="667"/>
      <c r="I825" s="667"/>
      <c r="J825" s="667"/>
      <c r="K825" s="667"/>
      <c r="L825" s="667"/>
      <c r="M825" s="667"/>
      <c r="N825" s="667"/>
      <c r="O825" s="667"/>
      <c r="P825" s="667"/>
      <c r="Q825" s="667"/>
    </row>
    <row r="826" ht="15.75" customHeight="1">
      <c r="B826" s="667"/>
      <c r="C826" s="667"/>
      <c r="D826" s="667"/>
      <c r="E826" s="667"/>
      <c r="F826" s="667"/>
      <c r="G826" s="667"/>
      <c r="H826" s="667"/>
      <c r="I826" s="667"/>
      <c r="J826" s="667"/>
      <c r="K826" s="667"/>
      <c r="L826" s="667"/>
      <c r="M826" s="667"/>
      <c r="N826" s="667"/>
      <c r="O826" s="667"/>
      <c r="P826" s="667"/>
      <c r="Q826" s="667"/>
    </row>
    <row r="827" ht="15.75" customHeight="1">
      <c r="B827" s="667"/>
      <c r="C827" s="667"/>
      <c r="D827" s="667"/>
      <c r="E827" s="667"/>
      <c r="F827" s="667"/>
      <c r="G827" s="667"/>
      <c r="H827" s="667"/>
      <c r="I827" s="667"/>
      <c r="J827" s="667"/>
      <c r="K827" s="667"/>
      <c r="L827" s="667"/>
      <c r="M827" s="667"/>
      <c r="N827" s="667"/>
      <c r="O827" s="667"/>
      <c r="P827" s="667"/>
      <c r="Q827" s="667"/>
    </row>
    <row r="828" ht="15.75" customHeight="1">
      <c r="B828" s="667"/>
      <c r="C828" s="667"/>
      <c r="D828" s="667"/>
      <c r="E828" s="667"/>
      <c r="F828" s="667"/>
      <c r="G828" s="667"/>
      <c r="H828" s="667"/>
      <c r="I828" s="667"/>
      <c r="J828" s="667"/>
      <c r="K828" s="667"/>
      <c r="L828" s="667"/>
      <c r="M828" s="667"/>
      <c r="N828" s="667"/>
      <c r="O828" s="667"/>
      <c r="P828" s="667"/>
      <c r="Q828" s="667"/>
    </row>
    <row r="829" ht="15.75" customHeight="1">
      <c r="B829" s="667"/>
      <c r="C829" s="667"/>
      <c r="D829" s="667"/>
      <c r="E829" s="667"/>
      <c r="F829" s="667"/>
      <c r="G829" s="667"/>
      <c r="H829" s="667"/>
      <c r="I829" s="667"/>
      <c r="J829" s="667"/>
      <c r="K829" s="667"/>
      <c r="L829" s="667"/>
      <c r="M829" s="667"/>
      <c r="N829" s="667"/>
      <c r="O829" s="667"/>
      <c r="P829" s="667"/>
      <c r="Q829" s="667"/>
    </row>
    <row r="830" ht="15.75" customHeight="1">
      <c r="B830" s="667"/>
      <c r="C830" s="667"/>
      <c r="D830" s="667"/>
      <c r="E830" s="667"/>
      <c r="F830" s="667"/>
      <c r="G830" s="667"/>
      <c r="H830" s="667"/>
      <c r="I830" s="667"/>
      <c r="J830" s="667"/>
      <c r="K830" s="667"/>
      <c r="L830" s="667"/>
      <c r="M830" s="667"/>
      <c r="N830" s="667"/>
      <c r="O830" s="667"/>
      <c r="P830" s="667"/>
      <c r="Q830" s="667"/>
    </row>
    <row r="831" ht="15.75" customHeight="1">
      <c r="B831" s="667"/>
      <c r="C831" s="667"/>
      <c r="D831" s="667"/>
      <c r="E831" s="667"/>
      <c r="F831" s="667"/>
      <c r="G831" s="667"/>
      <c r="H831" s="667"/>
      <c r="I831" s="667"/>
      <c r="J831" s="667"/>
      <c r="K831" s="667"/>
      <c r="L831" s="667"/>
      <c r="M831" s="667"/>
      <c r="N831" s="667"/>
      <c r="O831" s="667"/>
      <c r="P831" s="667"/>
      <c r="Q831" s="667"/>
    </row>
    <row r="832" ht="15.75" customHeight="1">
      <c r="B832" s="667"/>
      <c r="C832" s="667"/>
      <c r="D832" s="667"/>
      <c r="E832" s="667"/>
      <c r="F832" s="667"/>
      <c r="G832" s="667"/>
      <c r="H832" s="667"/>
      <c r="I832" s="667"/>
      <c r="J832" s="667"/>
      <c r="K832" s="667"/>
      <c r="L832" s="667"/>
      <c r="M832" s="667"/>
      <c r="N832" s="667"/>
      <c r="O832" s="667"/>
      <c r="P832" s="667"/>
      <c r="Q832" s="667"/>
    </row>
    <row r="833" ht="15.75" customHeight="1">
      <c r="B833" s="667"/>
      <c r="C833" s="667"/>
      <c r="D833" s="667"/>
      <c r="E833" s="667"/>
      <c r="F833" s="667"/>
      <c r="G833" s="667"/>
      <c r="H833" s="667"/>
      <c r="I833" s="667"/>
      <c r="J833" s="667"/>
      <c r="K833" s="667"/>
      <c r="L833" s="667"/>
      <c r="M833" s="667"/>
      <c r="N833" s="667"/>
      <c r="O833" s="667"/>
      <c r="P833" s="667"/>
      <c r="Q833" s="667"/>
    </row>
    <row r="834" ht="15.75" customHeight="1">
      <c r="B834" s="667"/>
      <c r="C834" s="667"/>
      <c r="D834" s="667"/>
      <c r="E834" s="667"/>
      <c r="F834" s="667"/>
      <c r="G834" s="667"/>
      <c r="H834" s="667"/>
      <c r="I834" s="667"/>
      <c r="J834" s="667"/>
      <c r="K834" s="667"/>
      <c r="L834" s="667"/>
      <c r="M834" s="667"/>
      <c r="N834" s="667"/>
      <c r="O834" s="667"/>
      <c r="P834" s="667"/>
      <c r="Q834" s="667"/>
    </row>
    <row r="835" ht="15.75" customHeight="1">
      <c r="B835" s="667"/>
      <c r="C835" s="667"/>
      <c r="D835" s="667"/>
      <c r="E835" s="667"/>
      <c r="F835" s="667"/>
      <c r="G835" s="667"/>
      <c r="H835" s="667"/>
      <c r="I835" s="667"/>
      <c r="J835" s="667"/>
      <c r="K835" s="667"/>
      <c r="L835" s="667"/>
      <c r="M835" s="667"/>
      <c r="N835" s="667"/>
      <c r="O835" s="667"/>
      <c r="P835" s="667"/>
      <c r="Q835" s="667"/>
    </row>
    <row r="836" ht="15.75" customHeight="1">
      <c r="B836" s="667"/>
      <c r="C836" s="667"/>
      <c r="D836" s="667"/>
      <c r="E836" s="667"/>
      <c r="F836" s="667"/>
      <c r="G836" s="667"/>
      <c r="H836" s="667"/>
      <c r="I836" s="667"/>
      <c r="J836" s="667"/>
      <c r="K836" s="667"/>
      <c r="L836" s="667"/>
      <c r="M836" s="667"/>
      <c r="N836" s="667"/>
      <c r="O836" s="667"/>
      <c r="P836" s="667"/>
      <c r="Q836" s="667"/>
    </row>
    <row r="837" ht="15.75" customHeight="1">
      <c r="B837" s="667"/>
      <c r="C837" s="667"/>
      <c r="D837" s="667"/>
      <c r="E837" s="667"/>
      <c r="F837" s="667"/>
      <c r="G837" s="667"/>
      <c r="H837" s="667"/>
      <c r="I837" s="667"/>
      <c r="J837" s="667"/>
      <c r="K837" s="667"/>
      <c r="L837" s="667"/>
      <c r="M837" s="667"/>
      <c r="N837" s="667"/>
      <c r="O837" s="667"/>
      <c r="P837" s="667"/>
      <c r="Q837" s="667"/>
    </row>
    <row r="838" ht="15.75" customHeight="1">
      <c r="B838" s="667"/>
      <c r="C838" s="667"/>
      <c r="D838" s="667"/>
      <c r="E838" s="667"/>
      <c r="F838" s="667"/>
      <c r="G838" s="667"/>
      <c r="H838" s="667"/>
      <c r="I838" s="667"/>
      <c r="J838" s="667"/>
      <c r="K838" s="667"/>
      <c r="L838" s="667"/>
      <c r="M838" s="667"/>
      <c r="N838" s="667"/>
      <c r="O838" s="667"/>
      <c r="P838" s="667"/>
      <c r="Q838" s="667"/>
    </row>
    <row r="839" ht="15.75" customHeight="1">
      <c r="B839" s="667"/>
      <c r="C839" s="667"/>
      <c r="D839" s="667"/>
      <c r="E839" s="667"/>
      <c r="F839" s="667"/>
      <c r="G839" s="667"/>
      <c r="H839" s="667"/>
      <c r="I839" s="667"/>
      <c r="J839" s="667"/>
      <c r="K839" s="667"/>
      <c r="L839" s="667"/>
      <c r="M839" s="667"/>
      <c r="N839" s="667"/>
      <c r="O839" s="667"/>
      <c r="P839" s="667"/>
      <c r="Q839" s="667"/>
    </row>
    <row r="840" ht="15.75" customHeight="1">
      <c r="B840" s="667"/>
      <c r="C840" s="667"/>
      <c r="D840" s="667"/>
      <c r="E840" s="667"/>
      <c r="F840" s="667"/>
      <c r="G840" s="667"/>
      <c r="H840" s="667"/>
      <c r="I840" s="667"/>
      <c r="J840" s="667"/>
      <c r="K840" s="667"/>
      <c r="L840" s="667"/>
      <c r="M840" s="667"/>
      <c r="N840" s="667"/>
      <c r="O840" s="667"/>
      <c r="P840" s="667"/>
      <c r="Q840" s="667"/>
    </row>
    <row r="841" ht="15.75" customHeight="1">
      <c r="B841" s="667"/>
      <c r="C841" s="667"/>
      <c r="D841" s="667"/>
      <c r="E841" s="667"/>
      <c r="F841" s="667"/>
      <c r="G841" s="667"/>
      <c r="H841" s="667"/>
      <c r="I841" s="667"/>
      <c r="J841" s="667"/>
      <c r="K841" s="667"/>
      <c r="L841" s="667"/>
      <c r="M841" s="667"/>
      <c r="N841" s="667"/>
      <c r="O841" s="667"/>
      <c r="P841" s="667"/>
      <c r="Q841" s="667"/>
    </row>
    <row r="842" ht="15.75" customHeight="1">
      <c r="B842" s="667"/>
      <c r="C842" s="667"/>
      <c r="D842" s="667"/>
      <c r="E842" s="667"/>
      <c r="F842" s="667"/>
      <c r="G842" s="667"/>
      <c r="H842" s="667"/>
      <c r="I842" s="667"/>
      <c r="J842" s="667"/>
      <c r="K842" s="667"/>
      <c r="L842" s="667"/>
      <c r="M842" s="667"/>
      <c r="N842" s="667"/>
      <c r="O842" s="667"/>
      <c r="P842" s="667"/>
      <c r="Q842" s="667"/>
    </row>
    <row r="843" ht="15.75" customHeight="1">
      <c r="B843" s="667"/>
      <c r="C843" s="667"/>
      <c r="D843" s="667"/>
      <c r="E843" s="667"/>
      <c r="F843" s="667"/>
      <c r="G843" s="667"/>
      <c r="H843" s="667"/>
      <c r="I843" s="667"/>
      <c r="J843" s="667"/>
      <c r="K843" s="667"/>
      <c r="L843" s="667"/>
      <c r="M843" s="667"/>
      <c r="N843" s="667"/>
      <c r="O843" s="667"/>
      <c r="P843" s="667"/>
      <c r="Q843" s="667"/>
    </row>
    <row r="844" ht="15.75" customHeight="1">
      <c r="B844" s="667"/>
      <c r="C844" s="667"/>
      <c r="D844" s="667"/>
      <c r="E844" s="667"/>
      <c r="F844" s="667"/>
      <c r="G844" s="667"/>
      <c r="H844" s="667"/>
      <c r="I844" s="667"/>
      <c r="J844" s="667"/>
      <c r="K844" s="667"/>
      <c r="L844" s="667"/>
      <c r="M844" s="667"/>
      <c r="N844" s="667"/>
      <c r="O844" s="667"/>
      <c r="P844" s="667"/>
      <c r="Q844" s="667"/>
    </row>
    <row r="845" ht="15.75" customHeight="1">
      <c r="B845" s="667"/>
      <c r="C845" s="667"/>
      <c r="D845" s="667"/>
      <c r="E845" s="667"/>
      <c r="F845" s="667"/>
      <c r="G845" s="667"/>
      <c r="H845" s="667"/>
      <c r="I845" s="667"/>
      <c r="J845" s="667"/>
      <c r="K845" s="667"/>
      <c r="L845" s="667"/>
      <c r="M845" s="667"/>
      <c r="N845" s="667"/>
      <c r="O845" s="667"/>
      <c r="P845" s="667"/>
      <c r="Q845" s="667"/>
    </row>
    <row r="846" ht="15.75" customHeight="1">
      <c r="B846" s="667"/>
      <c r="C846" s="667"/>
      <c r="D846" s="667"/>
      <c r="E846" s="667"/>
      <c r="F846" s="667"/>
      <c r="G846" s="667"/>
      <c r="H846" s="667"/>
      <c r="I846" s="667"/>
      <c r="J846" s="667"/>
      <c r="K846" s="667"/>
      <c r="L846" s="667"/>
      <c r="M846" s="667"/>
      <c r="N846" s="667"/>
      <c r="O846" s="667"/>
      <c r="P846" s="667"/>
      <c r="Q846" s="667"/>
    </row>
    <row r="847" ht="15.75" customHeight="1">
      <c r="B847" s="667"/>
      <c r="C847" s="667"/>
      <c r="D847" s="667"/>
      <c r="E847" s="667"/>
      <c r="F847" s="667"/>
      <c r="G847" s="667"/>
      <c r="H847" s="667"/>
      <c r="I847" s="667"/>
      <c r="J847" s="667"/>
      <c r="K847" s="667"/>
      <c r="L847" s="667"/>
      <c r="M847" s="667"/>
      <c r="N847" s="667"/>
      <c r="O847" s="667"/>
      <c r="P847" s="667"/>
      <c r="Q847" s="667"/>
    </row>
    <row r="848" ht="15.75" customHeight="1">
      <c r="B848" s="667"/>
      <c r="C848" s="667"/>
      <c r="D848" s="667"/>
      <c r="E848" s="667"/>
      <c r="F848" s="667"/>
      <c r="G848" s="667"/>
      <c r="H848" s="667"/>
      <c r="I848" s="667"/>
      <c r="J848" s="667"/>
      <c r="K848" s="667"/>
      <c r="L848" s="667"/>
      <c r="M848" s="667"/>
      <c r="N848" s="667"/>
      <c r="O848" s="667"/>
      <c r="P848" s="667"/>
      <c r="Q848" s="667"/>
    </row>
    <row r="849" ht="15.75" customHeight="1">
      <c r="B849" s="667"/>
      <c r="C849" s="667"/>
      <c r="D849" s="667"/>
      <c r="E849" s="667"/>
      <c r="F849" s="667"/>
      <c r="G849" s="667"/>
      <c r="H849" s="667"/>
      <c r="I849" s="667"/>
      <c r="J849" s="667"/>
      <c r="K849" s="667"/>
      <c r="L849" s="667"/>
      <c r="M849" s="667"/>
      <c r="N849" s="667"/>
      <c r="O849" s="667"/>
      <c r="P849" s="667"/>
      <c r="Q849" s="667"/>
    </row>
    <row r="850" ht="15.75" customHeight="1">
      <c r="B850" s="667"/>
      <c r="C850" s="667"/>
      <c r="D850" s="667"/>
      <c r="E850" s="667"/>
      <c r="F850" s="667"/>
      <c r="G850" s="667"/>
      <c r="H850" s="667"/>
      <c r="I850" s="667"/>
      <c r="J850" s="667"/>
      <c r="K850" s="667"/>
      <c r="L850" s="667"/>
      <c r="M850" s="667"/>
      <c r="N850" s="667"/>
      <c r="O850" s="667"/>
      <c r="P850" s="667"/>
      <c r="Q850" s="667"/>
    </row>
    <row r="851" ht="15.75" customHeight="1">
      <c r="B851" s="667"/>
      <c r="C851" s="667"/>
      <c r="D851" s="667"/>
      <c r="E851" s="667"/>
      <c r="F851" s="667"/>
      <c r="G851" s="667"/>
      <c r="H851" s="667"/>
      <c r="I851" s="667"/>
      <c r="J851" s="667"/>
      <c r="K851" s="667"/>
      <c r="L851" s="667"/>
      <c r="M851" s="667"/>
      <c r="N851" s="667"/>
      <c r="O851" s="667"/>
      <c r="P851" s="667"/>
      <c r="Q851" s="667"/>
    </row>
    <row r="852" ht="15.75" customHeight="1">
      <c r="B852" s="667"/>
      <c r="C852" s="667"/>
      <c r="D852" s="667"/>
      <c r="E852" s="667"/>
      <c r="F852" s="667"/>
      <c r="G852" s="667"/>
      <c r="H852" s="667"/>
      <c r="I852" s="667"/>
      <c r="J852" s="667"/>
      <c r="K852" s="667"/>
      <c r="L852" s="667"/>
      <c r="M852" s="667"/>
      <c r="N852" s="667"/>
      <c r="O852" s="667"/>
      <c r="P852" s="667"/>
      <c r="Q852" s="667"/>
    </row>
    <row r="853" ht="15.75" customHeight="1">
      <c r="B853" s="667"/>
      <c r="C853" s="667"/>
      <c r="D853" s="667"/>
      <c r="E853" s="667"/>
      <c r="F853" s="667"/>
      <c r="G853" s="667"/>
      <c r="H853" s="667"/>
      <c r="I853" s="667"/>
      <c r="J853" s="667"/>
      <c r="K853" s="667"/>
      <c r="L853" s="667"/>
      <c r="M853" s="667"/>
      <c r="N853" s="667"/>
      <c r="O853" s="667"/>
      <c r="P853" s="667"/>
      <c r="Q853" s="667"/>
    </row>
    <row r="854" ht="15.75" customHeight="1">
      <c r="B854" s="667"/>
      <c r="C854" s="667"/>
      <c r="D854" s="667"/>
      <c r="E854" s="667"/>
      <c r="F854" s="667"/>
      <c r="G854" s="667"/>
      <c r="H854" s="667"/>
      <c r="I854" s="667"/>
      <c r="J854" s="667"/>
      <c r="K854" s="667"/>
      <c r="L854" s="667"/>
      <c r="M854" s="667"/>
      <c r="N854" s="667"/>
      <c r="O854" s="667"/>
      <c r="P854" s="667"/>
      <c r="Q854" s="667"/>
    </row>
    <row r="855" ht="15.75" customHeight="1">
      <c r="B855" s="667"/>
      <c r="C855" s="667"/>
      <c r="D855" s="667"/>
      <c r="E855" s="667"/>
      <c r="F855" s="667"/>
      <c r="G855" s="667"/>
      <c r="H855" s="667"/>
      <c r="I855" s="667"/>
      <c r="J855" s="667"/>
      <c r="K855" s="667"/>
      <c r="L855" s="667"/>
      <c r="M855" s="667"/>
      <c r="N855" s="667"/>
      <c r="O855" s="667"/>
      <c r="P855" s="667"/>
      <c r="Q855" s="667"/>
    </row>
    <row r="856" ht="15.75" customHeight="1">
      <c r="B856" s="667"/>
      <c r="C856" s="667"/>
      <c r="D856" s="667"/>
      <c r="E856" s="667"/>
      <c r="F856" s="667"/>
      <c r="G856" s="667"/>
      <c r="H856" s="667"/>
      <c r="I856" s="667"/>
      <c r="J856" s="667"/>
      <c r="K856" s="667"/>
      <c r="L856" s="667"/>
      <c r="M856" s="667"/>
      <c r="N856" s="667"/>
      <c r="O856" s="667"/>
      <c r="P856" s="667"/>
      <c r="Q856" s="667"/>
    </row>
    <row r="857" ht="15.75" customHeight="1">
      <c r="B857" s="667"/>
      <c r="C857" s="667"/>
      <c r="D857" s="667"/>
      <c r="E857" s="667"/>
      <c r="F857" s="667"/>
      <c r="G857" s="667"/>
      <c r="H857" s="667"/>
      <c r="I857" s="667"/>
      <c r="J857" s="667"/>
      <c r="K857" s="667"/>
      <c r="L857" s="667"/>
      <c r="M857" s="667"/>
      <c r="N857" s="667"/>
      <c r="O857" s="667"/>
      <c r="P857" s="667"/>
      <c r="Q857" s="667"/>
    </row>
    <row r="858" ht="15.75" customHeight="1">
      <c r="B858" s="667"/>
      <c r="C858" s="667"/>
      <c r="D858" s="667"/>
      <c r="E858" s="667"/>
      <c r="F858" s="667"/>
      <c r="G858" s="667"/>
      <c r="H858" s="667"/>
      <c r="I858" s="667"/>
      <c r="J858" s="667"/>
      <c r="K858" s="667"/>
      <c r="L858" s="667"/>
      <c r="M858" s="667"/>
      <c r="N858" s="667"/>
      <c r="O858" s="667"/>
      <c r="P858" s="667"/>
      <c r="Q858" s="667"/>
    </row>
    <row r="859" ht="15.75" customHeight="1">
      <c r="B859" s="667"/>
      <c r="C859" s="667"/>
      <c r="D859" s="667"/>
      <c r="E859" s="667"/>
      <c r="F859" s="667"/>
      <c r="G859" s="667"/>
      <c r="H859" s="667"/>
      <c r="I859" s="667"/>
      <c r="J859" s="667"/>
      <c r="K859" s="667"/>
      <c r="L859" s="667"/>
      <c r="M859" s="667"/>
      <c r="N859" s="667"/>
      <c r="O859" s="667"/>
      <c r="P859" s="667"/>
      <c r="Q859" s="667"/>
    </row>
    <row r="860" ht="15.75" customHeight="1">
      <c r="B860" s="667"/>
      <c r="C860" s="667"/>
      <c r="D860" s="667"/>
      <c r="E860" s="667"/>
      <c r="F860" s="667"/>
      <c r="G860" s="667"/>
      <c r="H860" s="667"/>
      <c r="I860" s="667"/>
      <c r="J860" s="667"/>
      <c r="K860" s="667"/>
      <c r="L860" s="667"/>
      <c r="M860" s="667"/>
      <c r="N860" s="667"/>
      <c r="O860" s="667"/>
      <c r="P860" s="667"/>
      <c r="Q860" s="667"/>
    </row>
    <row r="861" ht="15.75" customHeight="1">
      <c r="B861" s="667"/>
      <c r="C861" s="667"/>
      <c r="D861" s="667"/>
      <c r="E861" s="667"/>
      <c r="F861" s="667"/>
      <c r="G861" s="667"/>
      <c r="H861" s="667"/>
      <c r="I861" s="667"/>
      <c r="J861" s="667"/>
      <c r="K861" s="667"/>
      <c r="L861" s="667"/>
      <c r="M861" s="667"/>
      <c r="N861" s="667"/>
      <c r="O861" s="667"/>
      <c r="P861" s="667"/>
      <c r="Q861" s="667"/>
    </row>
    <row r="862" ht="15.75" customHeight="1">
      <c r="B862" s="667"/>
      <c r="C862" s="667"/>
      <c r="D862" s="667"/>
      <c r="E862" s="667"/>
      <c r="F862" s="667"/>
      <c r="G862" s="667"/>
      <c r="H862" s="667"/>
      <c r="I862" s="667"/>
      <c r="J862" s="667"/>
      <c r="K862" s="667"/>
      <c r="L862" s="667"/>
      <c r="M862" s="667"/>
      <c r="N862" s="667"/>
      <c r="O862" s="667"/>
      <c r="P862" s="667"/>
      <c r="Q862" s="667"/>
    </row>
    <row r="863" ht="15.75" customHeight="1">
      <c r="B863" s="667"/>
      <c r="C863" s="667"/>
      <c r="D863" s="667"/>
      <c r="E863" s="667"/>
      <c r="F863" s="667"/>
      <c r="G863" s="667"/>
      <c r="H863" s="667"/>
      <c r="I863" s="667"/>
      <c r="J863" s="667"/>
      <c r="K863" s="667"/>
      <c r="L863" s="667"/>
      <c r="M863" s="667"/>
      <c r="N863" s="667"/>
      <c r="O863" s="667"/>
      <c r="P863" s="667"/>
      <c r="Q863" s="667"/>
    </row>
    <row r="864" ht="15.75" customHeight="1">
      <c r="B864" s="667"/>
      <c r="C864" s="667"/>
      <c r="D864" s="667"/>
      <c r="E864" s="667"/>
      <c r="F864" s="667"/>
      <c r="G864" s="667"/>
      <c r="H864" s="667"/>
      <c r="I864" s="667"/>
      <c r="J864" s="667"/>
      <c r="K864" s="667"/>
      <c r="L864" s="667"/>
      <c r="M864" s="667"/>
      <c r="N864" s="667"/>
      <c r="O864" s="667"/>
      <c r="P864" s="667"/>
      <c r="Q864" s="667"/>
    </row>
    <row r="865" ht="15.75" customHeight="1">
      <c r="B865" s="667"/>
      <c r="C865" s="667"/>
      <c r="D865" s="667"/>
      <c r="E865" s="667"/>
      <c r="F865" s="667"/>
      <c r="G865" s="667"/>
      <c r="H865" s="667"/>
      <c r="I865" s="667"/>
      <c r="J865" s="667"/>
      <c r="K865" s="667"/>
      <c r="L865" s="667"/>
      <c r="M865" s="667"/>
      <c r="N865" s="667"/>
      <c r="O865" s="667"/>
      <c r="P865" s="667"/>
      <c r="Q865" s="667"/>
    </row>
    <row r="866" ht="15.75" customHeight="1">
      <c r="B866" s="667"/>
      <c r="C866" s="667"/>
      <c r="D866" s="667"/>
      <c r="E866" s="667"/>
      <c r="F866" s="667"/>
      <c r="G866" s="667"/>
      <c r="H866" s="667"/>
      <c r="I866" s="667"/>
      <c r="J866" s="667"/>
      <c r="K866" s="667"/>
      <c r="L866" s="667"/>
      <c r="M866" s="667"/>
      <c r="N866" s="667"/>
      <c r="O866" s="667"/>
      <c r="P866" s="667"/>
      <c r="Q866" s="667"/>
    </row>
    <row r="867" ht="15.75" customHeight="1">
      <c r="B867" s="667"/>
      <c r="C867" s="667"/>
      <c r="D867" s="667"/>
      <c r="E867" s="667"/>
      <c r="F867" s="667"/>
      <c r="G867" s="667"/>
      <c r="H867" s="667"/>
      <c r="I867" s="667"/>
      <c r="J867" s="667"/>
      <c r="K867" s="667"/>
      <c r="L867" s="667"/>
      <c r="M867" s="667"/>
      <c r="N867" s="667"/>
      <c r="O867" s="667"/>
      <c r="P867" s="667"/>
      <c r="Q867" s="667"/>
    </row>
    <row r="868" ht="15.75" customHeight="1">
      <c r="B868" s="667"/>
      <c r="C868" s="667"/>
      <c r="D868" s="667"/>
      <c r="E868" s="667"/>
      <c r="F868" s="667"/>
      <c r="G868" s="667"/>
      <c r="H868" s="667"/>
      <c r="I868" s="667"/>
      <c r="J868" s="667"/>
      <c r="K868" s="667"/>
      <c r="L868" s="667"/>
      <c r="M868" s="667"/>
      <c r="N868" s="667"/>
      <c r="O868" s="667"/>
      <c r="P868" s="667"/>
      <c r="Q868" s="667"/>
    </row>
    <row r="869" ht="15.75" customHeight="1">
      <c r="B869" s="667"/>
      <c r="C869" s="667"/>
      <c r="D869" s="667"/>
      <c r="E869" s="667"/>
      <c r="F869" s="667"/>
      <c r="G869" s="667"/>
      <c r="H869" s="667"/>
      <c r="I869" s="667"/>
      <c r="J869" s="667"/>
      <c r="K869" s="667"/>
      <c r="L869" s="667"/>
      <c r="M869" s="667"/>
      <c r="N869" s="667"/>
      <c r="O869" s="667"/>
      <c r="P869" s="667"/>
      <c r="Q869" s="667"/>
    </row>
    <row r="870" ht="15.75" customHeight="1">
      <c r="B870" s="667"/>
      <c r="C870" s="667"/>
      <c r="D870" s="667"/>
      <c r="E870" s="667"/>
      <c r="F870" s="667"/>
      <c r="G870" s="667"/>
      <c r="H870" s="667"/>
      <c r="I870" s="667"/>
      <c r="J870" s="667"/>
      <c r="K870" s="667"/>
      <c r="L870" s="667"/>
      <c r="M870" s="667"/>
      <c r="N870" s="667"/>
      <c r="O870" s="667"/>
      <c r="P870" s="667"/>
      <c r="Q870" s="667"/>
    </row>
    <row r="871" ht="15.75" customHeight="1">
      <c r="B871" s="667"/>
      <c r="C871" s="667"/>
      <c r="D871" s="667"/>
      <c r="E871" s="667"/>
      <c r="F871" s="667"/>
      <c r="G871" s="667"/>
      <c r="H871" s="667"/>
      <c r="I871" s="667"/>
      <c r="J871" s="667"/>
      <c r="K871" s="667"/>
      <c r="L871" s="667"/>
      <c r="M871" s="667"/>
      <c r="N871" s="667"/>
      <c r="O871" s="667"/>
      <c r="P871" s="667"/>
      <c r="Q871" s="667"/>
    </row>
    <row r="872" ht="15.75" customHeight="1">
      <c r="B872" s="667"/>
      <c r="C872" s="667"/>
      <c r="D872" s="667"/>
      <c r="E872" s="667"/>
      <c r="F872" s="667"/>
      <c r="G872" s="667"/>
      <c r="H872" s="667"/>
      <c r="I872" s="667"/>
      <c r="J872" s="667"/>
      <c r="K872" s="667"/>
      <c r="L872" s="667"/>
      <c r="M872" s="667"/>
      <c r="N872" s="667"/>
      <c r="O872" s="667"/>
      <c r="P872" s="667"/>
      <c r="Q872" s="667"/>
    </row>
    <row r="873" ht="15.75" customHeight="1">
      <c r="B873" s="667"/>
      <c r="C873" s="667"/>
      <c r="D873" s="667"/>
      <c r="E873" s="667"/>
      <c r="F873" s="667"/>
      <c r="G873" s="667"/>
      <c r="H873" s="667"/>
      <c r="I873" s="667"/>
      <c r="J873" s="667"/>
      <c r="K873" s="667"/>
      <c r="L873" s="667"/>
      <c r="M873" s="667"/>
      <c r="N873" s="667"/>
      <c r="O873" s="667"/>
      <c r="P873" s="667"/>
      <c r="Q873" s="667"/>
    </row>
    <row r="874" ht="15.75" customHeight="1">
      <c r="B874" s="667"/>
      <c r="C874" s="667"/>
      <c r="D874" s="667"/>
      <c r="E874" s="667"/>
      <c r="F874" s="667"/>
      <c r="G874" s="667"/>
      <c r="H874" s="667"/>
      <c r="I874" s="667"/>
      <c r="J874" s="667"/>
      <c r="K874" s="667"/>
      <c r="L874" s="667"/>
      <c r="M874" s="667"/>
      <c r="N874" s="667"/>
      <c r="O874" s="667"/>
      <c r="P874" s="667"/>
      <c r="Q874" s="667"/>
    </row>
    <row r="875" ht="15.75" customHeight="1">
      <c r="B875" s="667"/>
      <c r="C875" s="667"/>
      <c r="D875" s="667"/>
      <c r="E875" s="667"/>
      <c r="F875" s="667"/>
      <c r="G875" s="667"/>
      <c r="H875" s="667"/>
      <c r="I875" s="667"/>
      <c r="J875" s="667"/>
      <c r="K875" s="667"/>
      <c r="L875" s="667"/>
      <c r="M875" s="667"/>
      <c r="N875" s="667"/>
      <c r="O875" s="667"/>
      <c r="P875" s="667"/>
      <c r="Q875" s="667"/>
    </row>
    <row r="876" ht="15.75" customHeight="1">
      <c r="B876" s="667"/>
      <c r="C876" s="667"/>
      <c r="D876" s="667"/>
      <c r="E876" s="667"/>
      <c r="F876" s="667"/>
      <c r="G876" s="667"/>
      <c r="H876" s="667"/>
      <c r="I876" s="667"/>
      <c r="J876" s="667"/>
      <c r="K876" s="667"/>
      <c r="L876" s="667"/>
      <c r="M876" s="667"/>
      <c r="N876" s="667"/>
      <c r="O876" s="667"/>
      <c r="P876" s="667"/>
      <c r="Q876" s="667"/>
    </row>
    <row r="877" ht="15.75" customHeight="1">
      <c r="B877" s="667"/>
      <c r="C877" s="667"/>
      <c r="D877" s="667"/>
      <c r="E877" s="667"/>
      <c r="F877" s="667"/>
      <c r="G877" s="667"/>
      <c r="H877" s="667"/>
      <c r="I877" s="667"/>
      <c r="J877" s="667"/>
      <c r="K877" s="667"/>
      <c r="L877" s="667"/>
      <c r="M877" s="667"/>
      <c r="N877" s="667"/>
      <c r="O877" s="667"/>
      <c r="P877" s="667"/>
      <c r="Q877" s="667"/>
    </row>
    <row r="878" ht="15.75" customHeight="1">
      <c r="B878" s="667"/>
      <c r="C878" s="667"/>
      <c r="D878" s="667"/>
      <c r="E878" s="667"/>
      <c r="F878" s="667"/>
      <c r="G878" s="667"/>
      <c r="H878" s="667"/>
      <c r="I878" s="667"/>
      <c r="J878" s="667"/>
      <c r="K878" s="667"/>
      <c r="L878" s="667"/>
      <c r="M878" s="667"/>
      <c r="N878" s="667"/>
      <c r="O878" s="667"/>
      <c r="P878" s="667"/>
      <c r="Q878" s="667"/>
    </row>
    <row r="879" ht="15.75" customHeight="1">
      <c r="B879" s="667"/>
      <c r="C879" s="667"/>
      <c r="D879" s="667"/>
      <c r="E879" s="667"/>
      <c r="F879" s="667"/>
      <c r="G879" s="667"/>
      <c r="H879" s="667"/>
      <c r="I879" s="667"/>
      <c r="J879" s="667"/>
      <c r="K879" s="667"/>
      <c r="L879" s="667"/>
      <c r="M879" s="667"/>
      <c r="N879" s="667"/>
      <c r="O879" s="667"/>
      <c r="P879" s="667"/>
      <c r="Q879" s="667"/>
    </row>
    <row r="880" ht="15.75" customHeight="1">
      <c r="B880" s="667"/>
      <c r="C880" s="667"/>
      <c r="D880" s="667"/>
      <c r="E880" s="667"/>
      <c r="F880" s="667"/>
      <c r="G880" s="667"/>
      <c r="H880" s="667"/>
      <c r="I880" s="667"/>
      <c r="J880" s="667"/>
      <c r="K880" s="667"/>
      <c r="L880" s="667"/>
      <c r="M880" s="667"/>
      <c r="N880" s="667"/>
      <c r="O880" s="667"/>
      <c r="P880" s="667"/>
      <c r="Q880" s="667"/>
    </row>
    <row r="881" ht="15.75" customHeight="1">
      <c r="B881" s="667"/>
      <c r="C881" s="667"/>
      <c r="D881" s="667"/>
      <c r="E881" s="667"/>
      <c r="F881" s="667"/>
      <c r="G881" s="667"/>
      <c r="H881" s="667"/>
      <c r="I881" s="667"/>
      <c r="J881" s="667"/>
      <c r="K881" s="667"/>
      <c r="L881" s="667"/>
      <c r="M881" s="667"/>
      <c r="N881" s="667"/>
      <c r="O881" s="667"/>
      <c r="P881" s="667"/>
      <c r="Q881" s="667"/>
    </row>
    <row r="882" ht="15.75" customHeight="1">
      <c r="B882" s="667"/>
      <c r="C882" s="667"/>
      <c r="D882" s="667"/>
      <c r="E882" s="667"/>
      <c r="F882" s="667"/>
      <c r="G882" s="667"/>
      <c r="H882" s="667"/>
      <c r="I882" s="667"/>
      <c r="J882" s="667"/>
      <c r="K882" s="667"/>
      <c r="L882" s="667"/>
      <c r="M882" s="667"/>
      <c r="N882" s="667"/>
      <c r="O882" s="667"/>
      <c r="P882" s="667"/>
      <c r="Q882" s="667"/>
    </row>
    <row r="883" ht="15.75" customHeight="1">
      <c r="B883" s="667"/>
      <c r="C883" s="667"/>
      <c r="D883" s="667"/>
      <c r="E883" s="667"/>
      <c r="F883" s="667"/>
      <c r="G883" s="667"/>
      <c r="H883" s="667"/>
      <c r="I883" s="667"/>
      <c r="J883" s="667"/>
      <c r="K883" s="667"/>
      <c r="L883" s="667"/>
      <c r="M883" s="667"/>
      <c r="N883" s="667"/>
      <c r="O883" s="667"/>
      <c r="P883" s="667"/>
      <c r="Q883" s="667"/>
    </row>
    <row r="884" ht="15.75" customHeight="1">
      <c r="B884" s="667"/>
      <c r="C884" s="667"/>
      <c r="D884" s="667"/>
      <c r="E884" s="667"/>
      <c r="F884" s="667"/>
      <c r="G884" s="667"/>
      <c r="H884" s="667"/>
      <c r="I884" s="667"/>
      <c r="J884" s="667"/>
      <c r="K884" s="667"/>
      <c r="L884" s="667"/>
      <c r="M884" s="667"/>
      <c r="N884" s="667"/>
      <c r="O884" s="667"/>
      <c r="P884" s="667"/>
      <c r="Q884" s="667"/>
    </row>
    <row r="885" ht="15.75" customHeight="1">
      <c r="B885" s="667"/>
      <c r="C885" s="667"/>
      <c r="D885" s="667"/>
      <c r="E885" s="667"/>
      <c r="F885" s="667"/>
      <c r="G885" s="667"/>
      <c r="H885" s="667"/>
      <c r="I885" s="667"/>
      <c r="J885" s="667"/>
      <c r="K885" s="667"/>
      <c r="L885" s="667"/>
      <c r="M885" s="667"/>
      <c r="N885" s="667"/>
      <c r="O885" s="667"/>
      <c r="P885" s="667"/>
      <c r="Q885" s="667"/>
    </row>
    <row r="886" ht="15.75" customHeight="1">
      <c r="B886" s="667"/>
      <c r="C886" s="667"/>
      <c r="D886" s="667"/>
      <c r="E886" s="667"/>
      <c r="F886" s="667"/>
      <c r="G886" s="667"/>
      <c r="H886" s="667"/>
      <c r="I886" s="667"/>
      <c r="J886" s="667"/>
      <c r="K886" s="667"/>
      <c r="L886" s="667"/>
      <c r="M886" s="667"/>
      <c r="N886" s="667"/>
      <c r="O886" s="667"/>
      <c r="P886" s="667"/>
      <c r="Q886" s="667"/>
    </row>
    <row r="887" ht="15.75" customHeight="1">
      <c r="B887" s="667"/>
      <c r="C887" s="667"/>
      <c r="D887" s="667"/>
      <c r="E887" s="667"/>
      <c r="F887" s="667"/>
      <c r="G887" s="667"/>
      <c r="H887" s="667"/>
      <c r="I887" s="667"/>
      <c r="J887" s="667"/>
      <c r="K887" s="667"/>
      <c r="L887" s="667"/>
      <c r="M887" s="667"/>
      <c r="N887" s="667"/>
      <c r="O887" s="667"/>
      <c r="P887" s="667"/>
      <c r="Q887" s="667"/>
    </row>
    <row r="888" ht="15.75" customHeight="1">
      <c r="B888" s="667"/>
      <c r="C888" s="667"/>
      <c r="D888" s="667"/>
      <c r="E888" s="667"/>
      <c r="F888" s="667"/>
      <c r="G888" s="667"/>
      <c r="H888" s="667"/>
      <c r="I888" s="667"/>
      <c r="J888" s="667"/>
      <c r="K888" s="667"/>
      <c r="L888" s="667"/>
      <c r="M888" s="667"/>
      <c r="N888" s="667"/>
      <c r="O888" s="667"/>
      <c r="P888" s="667"/>
      <c r="Q888" s="667"/>
    </row>
    <row r="889" ht="15.75" customHeight="1">
      <c r="B889" s="667"/>
      <c r="C889" s="667"/>
      <c r="D889" s="667"/>
      <c r="E889" s="667"/>
      <c r="F889" s="667"/>
      <c r="G889" s="667"/>
      <c r="H889" s="667"/>
      <c r="I889" s="667"/>
      <c r="J889" s="667"/>
      <c r="K889" s="667"/>
      <c r="L889" s="667"/>
      <c r="M889" s="667"/>
      <c r="N889" s="667"/>
      <c r="O889" s="667"/>
      <c r="P889" s="667"/>
      <c r="Q889" s="667"/>
    </row>
    <row r="890" ht="15.75" customHeight="1">
      <c r="B890" s="667"/>
      <c r="C890" s="667"/>
      <c r="D890" s="667"/>
      <c r="E890" s="667"/>
      <c r="F890" s="667"/>
      <c r="G890" s="667"/>
      <c r="H890" s="667"/>
      <c r="I890" s="667"/>
      <c r="J890" s="667"/>
      <c r="K890" s="667"/>
      <c r="L890" s="667"/>
      <c r="M890" s="667"/>
      <c r="N890" s="667"/>
      <c r="O890" s="667"/>
      <c r="P890" s="667"/>
      <c r="Q890" s="667"/>
    </row>
    <row r="891" ht="15.75" customHeight="1">
      <c r="B891" s="667"/>
      <c r="C891" s="667"/>
      <c r="D891" s="667"/>
      <c r="E891" s="667"/>
      <c r="F891" s="667"/>
      <c r="G891" s="667"/>
      <c r="H891" s="667"/>
      <c r="I891" s="667"/>
      <c r="J891" s="667"/>
      <c r="K891" s="667"/>
      <c r="L891" s="667"/>
      <c r="M891" s="667"/>
      <c r="N891" s="667"/>
      <c r="O891" s="667"/>
      <c r="P891" s="667"/>
      <c r="Q891" s="667"/>
    </row>
    <row r="892" ht="15.75" customHeight="1">
      <c r="B892" s="667"/>
      <c r="C892" s="667"/>
      <c r="D892" s="667"/>
      <c r="E892" s="667"/>
      <c r="F892" s="667"/>
      <c r="G892" s="667"/>
      <c r="H892" s="667"/>
      <c r="I892" s="667"/>
      <c r="J892" s="667"/>
      <c r="K892" s="667"/>
      <c r="L892" s="667"/>
      <c r="M892" s="667"/>
      <c r="N892" s="667"/>
      <c r="O892" s="667"/>
      <c r="P892" s="667"/>
      <c r="Q892" s="667"/>
    </row>
    <row r="893" ht="15.75" customHeight="1">
      <c r="B893" s="667"/>
      <c r="C893" s="667"/>
      <c r="D893" s="667"/>
      <c r="E893" s="667"/>
      <c r="F893" s="667"/>
      <c r="G893" s="667"/>
      <c r="H893" s="667"/>
      <c r="I893" s="667"/>
      <c r="J893" s="667"/>
      <c r="K893" s="667"/>
      <c r="L893" s="667"/>
      <c r="M893" s="667"/>
      <c r="N893" s="667"/>
      <c r="O893" s="667"/>
      <c r="P893" s="667"/>
      <c r="Q893" s="667"/>
    </row>
    <row r="894" ht="15.75" customHeight="1">
      <c r="B894" s="667"/>
      <c r="C894" s="667"/>
      <c r="D894" s="667"/>
      <c r="E894" s="667"/>
      <c r="F894" s="667"/>
      <c r="G894" s="667"/>
      <c r="H894" s="667"/>
      <c r="I894" s="667"/>
      <c r="J894" s="667"/>
      <c r="K894" s="667"/>
      <c r="L894" s="667"/>
      <c r="M894" s="667"/>
      <c r="N894" s="667"/>
      <c r="O894" s="667"/>
      <c r="P894" s="667"/>
      <c r="Q894" s="667"/>
    </row>
    <row r="895" ht="15.75" customHeight="1">
      <c r="B895" s="667"/>
      <c r="C895" s="667"/>
      <c r="D895" s="667"/>
      <c r="E895" s="667"/>
      <c r="F895" s="667"/>
      <c r="G895" s="667"/>
      <c r="H895" s="667"/>
      <c r="I895" s="667"/>
      <c r="J895" s="667"/>
      <c r="K895" s="667"/>
      <c r="L895" s="667"/>
      <c r="M895" s="667"/>
      <c r="N895" s="667"/>
      <c r="O895" s="667"/>
      <c r="P895" s="667"/>
      <c r="Q895" s="667"/>
    </row>
    <row r="896" ht="15.75" customHeight="1">
      <c r="B896" s="667"/>
      <c r="C896" s="667"/>
      <c r="D896" s="667"/>
      <c r="E896" s="667"/>
      <c r="F896" s="667"/>
      <c r="G896" s="667"/>
      <c r="H896" s="667"/>
      <c r="I896" s="667"/>
      <c r="J896" s="667"/>
      <c r="K896" s="667"/>
      <c r="L896" s="667"/>
      <c r="M896" s="667"/>
      <c r="N896" s="667"/>
      <c r="O896" s="667"/>
      <c r="P896" s="667"/>
      <c r="Q896" s="667"/>
    </row>
    <row r="897" ht="15.75" customHeight="1">
      <c r="B897" s="667"/>
      <c r="C897" s="667"/>
      <c r="D897" s="667"/>
      <c r="E897" s="667"/>
      <c r="F897" s="667"/>
      <c r="G897" s="667"/>
      <c r="H897" s="667"/>
      <c r="I897" s="667"/>
      <c r="J897" s="667"/>
      <c r="K897" s="667"/>
      <c r="L897" s="667"/>
      <c r="M897" s="667"/>
      <c r="N897" s="667"/>
      <c r="O897" s="667"/>
      <c r="P897" s="667"/>
      <c r="Q897" s="667"/>
    </row>
    <row r="898" ht="15.75" customHeight="1">
      <c r="B898" s="667"/>
      <c r="C898" s="667"/>
      <c r="D898" s="667"/>
      <c r="E898" s="667"/>
      <c r="F898" s="667"/>
      <c r="G898" s="667"/>
      <c r="H898" s="667"/>
      <c r="I898" s="667"/>
      <c r="J898" s="667"/>
      <c r="K898" s="667"/>
      <c r="L898" s="667"/>
      <c r="M898" s="667"/>
      <c r="N898" s="667"/>
      <c r="O898" s="667"/>
      <c r="P898" s="667"/>
      <c r="Q898" s="667"/>
    </row>
    <row r="899" ht="15.75" customHeight="1">
      <c r="B899" s="667"/>
      <c r="C899" s="667"/>
      <c r="D899" s="667"/>
      <c r="E899" s="667"/>
      <c r="F899" s="667"/>
      <c r="G899" s="667"/>
      <c r="H899" s="667"/>
      <c r="I899" s="667"/>
      <c r="J899" s="667"/>
      <c r="K899" s="667"/>
      <c r="L899" s="667"/>
      <c r="M899" s="667"/>
      <c r="N899" s="667"/>
      <c r="O899" s="667"/>
      <c r="P899" s="667"/>
      <c r="Q899" s="667"/>
    </row>
    <row r="900" ht="15.75" customHeight="1">
      <c r="B900" s="667"/>
      <c r="C900" s="667"/>
      <c r="D900" s="667"/>
      <c r="E900" s="667"/>
      <c r="F900" s="667"/>
      <c r="G900" s="667"/>
      <c r="H900" s="667"/>
      <c r="I900" s="667"/>
      <c r="J900" s="667"/>
      <c r="K900" s="667"/>
      <c r="L900" s="667"/>
      <c r="M900" s="667"/>
      <c r="N900" s="667"/>
      <c r="O900" s="667"/>
      <c r="P900" s="667"/>
      <c r="Q900" s="667"/>
    </row>
    <row r="901" ht="15.75" customHeight="1">
      <c r="B901" s="667"/>
      <c r="C901" s="667"/>
      <c r="D901" s="667"/>
      <c r="E901" s="667"/>
      <c r="F901" s="667"/>
      <c r="G901" s="667"/>
      <c r="H901" s="667"/>
      <c r="I901" s="667"/>
      <c r="J901" s="667"/>
      <c r="K901" s="667"/>
      <c r="L901" s="667"/>
      <c r="M901" s="667"/>
      <c r="N901" s="667"/>
      <c r="O901" s="667"/>
      <c r="P901" s="667"/>
      <c r="Q901" s="667"/>
    </row>
    <row r="902" ht="15.75" customHeight="1">
      <c r="B902" s="667"/>
      <c r="C902" s="667"/>
      <c r="D902" s="667"/>
      <c r="E902" s="667"/>
      <c r="F902" s="667"/>
      <c r="G902" s="667"/>
      <c r="H902" s="667"/>
      <c r="I902" s="667"/>
      <c r="J902" s="667"/>
      <c r="K902" s="667"/>
      <c r="L902" s="667"/>
      <c r="M902" s="667"/>
      <c r="N902" s="667"/>
      <c r="O902" s="667"/>
      <c r="P902" s="667"/>
      <c r="Q902" s="667"/>
    </row>
    <row r="903" ht="15.75" customHeight="1">
      <c r="B903" s="667"/>
      <c r="C903" s="667"/>
      <c r="D903" s="667"/>
      <c r="E903" s="667"/>
      <c r="F903" s="667"/>
      <c r="G903" s="667"/>
      <c r="H903" s="667"/>
      <c r="I903" s="667"/>
      <c r="J903" s="667"/>
      <c r="K903" s="667"/>
      <c r="L903" s="667"/>
      <c r="M903" s="667"/>
      <c r="N903" s="667"/>
      <c r="O903" s="667"/>
      <c r="P903" s="667"/>
      <c r="Q903" s="667"/>
    </row>
    <row r="904" ht="15.75" customHeight="1">
      <c r="B904" s="667"/>
      <c r="C904" s="667"/>
      <c r="D904" s="667"/>
      <c r="E904" s="667"/>
      <c r="F904" s="667"/>
      <c r="G904" s="667"/>
      <c r="H904" s="667"/>
      <c r="I904" s="667"/>
      <c r="J904" s="667"/>
      <c r="K904" s="667"/>
      <c r="L904" s="667"/>
      <c r="M904" s="667"/>
      <c r="N904" s="667"/>
      <c r="O904" s="667"/>
      <c r="P904" s="667"/>
      <c r="Q904" s="667"/>
    </row>
    <row r="905" ht="15.75" customHeight="1">
      <c r="B905" s="667"/>
      <c r="C905" s="667"/>
      <c r="D905" s="667"/>
      <c r="E905" s="667"/>
      <c r="F905" s="667"/>
      <c r="G905" s="667"/>
      <c r="H905" s="667"/>
      <c r="I905" s="667"/>
      <c r="J905" s="667"/>
      <c r="K905" s="667"/>
      <c r="L905" s="667"/>
      <c r="M905" s="667"/>
      <c r="N905" s="667"/>
      <c r="O905" s="667"/>
      <c r="P905" s="667"/>
      <c r="Q905" s="667"/>
    </row>
    <row r="906" ht="15.75" customHeight="1">
      <c r="B906" s="667"/>
      <c r="C906" s="667"/>
      <c r="D906" s="667"/>
      <c r="E906" s="667"/>
      <c r="F906" s="667"/>
      <c r="G906" s="667"/>
      <c r="H906" s="667"/>
      <c r="I906" s="667"/>
      <c r="J906" s="667"/>
      <c r="K906" s="667"/>
      <c r="L906" s="667"/>
      <c r="M906" s="667"/>
      <c r="N906" s="667"/>
      <c r="O906" s="667"/>
      <c r="P906" s="667"/>
      <c r="Q906" s="667"/>
    </row>
    <row r="907" ht="15.75" customHeight="1">
      <c r="B907" s="667"/>
      <c r="C907" s="667"/>
      <c r="D907" s="667"/>
      <c r="E907" s="667"/>
      <c r="F907" s="667"/>
      <c r="G907" s="667"/>
      <c r="H907" s="667"/>
      <c r="I907" s="667"/>
      <c r="J907" s="667"/>
      <c r="K907" s="667"/>
      <c r="L907" s="667"/>
      <c r="M907" s="667"/>
      <c r="N907" s="667"/>
      <c r="O907" s="667"/>
      <c r="P907" s="667"/>
      <c r="Q907" s="667"/>
    </row>
    <row r="908" ht="15.75" customHeight="1">
      <c r="B908" s="667"/>
      <c r="C908" s="667"/>
      <c r="D908" s="667"/>
      <c r="E908" s="667"/>
      <c r="F908" s="667"/>
      <c r="G908" s="667"/>
      <c r="H908" s="667"/>
      <c r="I908" s="667"/>
      <c r="J908" s="667"/>
      <c r="K908" s="667"/>
      <c r="L908" s="667"/>
      <c r="M908" s="667"/>
      <c r="N908" s="667"/>
      <c r="O908" s="667"/>
      <c r="P908" s="667"/>
      <c r="Q908" s="667"/>
    </row>
    <row r="909" ht="15.75" customHeight="1">
      <c r="B909" s="667"/>
      <c r="C909" s="667"/>
      <c r="D909" s="667"/>
      <c r="E909" s="667"/>
      <c r="F909" s="667"/>
      <c r="G909" s="667"/>
      <c r="H909" s="667"/>
      <c r="I909" s="667"/>
      <c r="J909" s="667"/>
      <c r="K909" s="667"/>
      <c r="L909" s="667"/>
      <c r="M909" s="667"/>
      <c r="N909" s="667"/>
      <c r="O909" s="667"/>
      <c r="P909" s="667"/>
      <c r="Q909" s="667"/>
    </row>
    <row r="910" ht="15.75" customHeight="1">
      <c r="B910" s="667"/>
      <c r="C910" s="667"/>
      <c r="D910" s="667"/>
      <c r="E910" s="667"/>
      <c r="F910" s="667"/>
      <c r="G910" s="667"/>
      <c r="H910" s="667"/>
      <c r="I910" s="667"/>
      <c r="J910" s="667"/>
      <c r="K910" s="667"/>
      <c r="L910" s="667"/>
      <c r="M910" s="667"/>
      <c r="N910" s="667"/>
      <c r="O910" s="667"/>
      <c r="P910" s="667"/>
      <c r="Q910" s="667"/>
    </row>
    <row r="911" ht="15.75" customHeight="1">
      <c r="B911" s="667"/>
      <c r="C911" s="667"/>
      <c r="D911" s="667"/>
      <c r="E911" s="667"/>
      <c r="F911" s="667"/>
      <c r="G911" s="667"/>
      <c r="H911" s="667"/>
      <c r="I911" s="667"/>
      <c r="J911" s="667"/>
      <c r="K911" s="667"/>
      <c r="L911" s="667"/>
      <c r="M911" s="667"/>
      <c r="N911" s="667"/>
      <c r="O911" s="667"/>
      <c r="P911" s="667"/>
      <c r="Q911" s="667"/>
    </row>
    <row r="912" ht="15.75" customHeight="1">
      <c r="B912" s="667"/>
      <c r="C912" s="667"/>
      <c r="D912" s="667"/>
      <c r="E912" s="667"/>
      <c r="F912" s="667"/>
      <c r="G912" s="667"/>
      <c r="H912" s="667"/>
      <c r="I912" s="667"/>
      <c r="J912" s="667"/>
      <c r="K912" s="667"/>
      <c r="L912" s="667"/>
      <c r="M912" s="667"/>
      <c r="N912" s="667"/>
      <c r="O912" s="667"/>
      <c r="P912" s="667"/>
      <c r="Q912" s="667"/>
    </row>
    <row r="913" ht="15.75" customHeight="1">
      <c r="B913" s="667"/>
      <c r="C913" s="667"/>
      <c r="D913" s="667"/>
      <c r="E913" s="667"/>
      <c r="F913" s="667"/>
      <c r="G913" s="667"/>
      <c r="H913" s="667"/>
      <c r="I913" s="667"/>
      <c r="J913" s="667"/>
      <c r="K913" s="667"/>
      <c r="L913" s="667"/>
      <c r="M913" s="667"/>
      <c r="N913" s="667"/>
      <c r="O913" s="667"/>
      <c r="P913" s="667"/>
      <c r="Q913" s="667"/>
    </row>
    <row r="914" ht="15.75" customHeight="1">
      <c r="B914" s="667"/>
      <c r="C914" s="667"/>
      <c r="D914" s="667"/>
      <c r="E914" s="667"/>
      <c r="F914" s="667"/>
      <c r="G914" s="667"/>
      <c r="H914" s="667"/>
      <c r="I914" s="667"/>
      <c r="J914" s="667"/>
      <c r="K914" s="667"/>
      <c r="L914" s="667"/>
      <c r="M914" s="667"/>
      <c r="N914" s="667"/>
      <c r="O914" s="667"/>
      <c r="P914" s="667"/>
      <c r="Q914" s="667"/>
    </row>
    <row r="915" ht="15.75" customHeight="1">
      <c r="B915" s="667"/>
      <c r="C915" s="667"/>
      <c r="D915" s="667"/>
      <c r="E915" s="667"/>
      <c r="F915" s="667"/>
      <c r="G915" s="667"/>
      <c r="H915" s="667"/>
      <c r="I915" s="667"/>
      <c r="J915" s="667"/>
      <c r="K915" s="667"/>
      <c r="L915" s="667"/>
      <c r="M915" s="667"/>
      <c r="N915" s="667"/>
      <c r="O915" s="667"/>
      <c r="P915" s="667"/>
      <c r="Q915" s="667"/>
    </row>
    <row r="916" ht="15.75" customHeight="1">
      <c r="B916" s="667"/>
      <c r="C916" s="667"/>
      <c r="D916" s="667"/>
      <c r="E916" s="667"/>
      <c r="F916" s="667"/>
      <c r="G916" s="667"/>
      <c r="H916" s="667"/>
      <c r="I916" s="667"/>
      <c r="J916" s="667"/>
      <c r="K916" s="667"/>
      <c r="L916" s="667"/>
      <c r="M916" s="667"/>
      <c r="N916" s="667"/>
      <c r="O916" s="667"/>
      <c r="P916" s="667"/>
      <c r="Q916" s="667"/>
    </row>
    <row r="917" ht="15.75" customHeight="1">
      <c r="B917" s="667"/>
      <c r="C917" s="667"/>
      <c r="D917" s="667"/>
      <c r="E917" s="667"/>
      <c r="F917" s="667"/>
      <c r="G917" s="667"/>
      <c r="H917" s="667"/>
      <c r="I917" s="667"/>
      <c r="J917" s="667"/>
      <c r="K917" s="667"/>
      <c r="L917" s="667"/>
      <c r="M917" s="667"/>
      <c r="N917" s="667"/>
      <c r="O917" s="667"/>
      <c r="P917" s="667"/>
      <c r="Q917" s="667"/>
    </row>
    <row r="918" ht="15.75" customHeight="1">
      <c r="B918" s="667"/>
      <c r="C918" s="667"/>
      <c r="D918" s="667"/>
      <c r="E918" s="667"/>
      <c r="F918" s="667"/>
      <c r="G918" s="667"/>
      <c r="H918" s="667"/>
      <c r="I918" s="667"/>
      <c r="J918" s="667"/>
      <c r="K918" s="667"/>
      <c r="L918" s="667"/>
      <c r="M918" s="667"/>
      <c r="N918" s="667"/>
      <c r="O918" s="667"/>
      <c r="P918" s="667"/>
      <c r="Q918" s="667"/>
    </row>
    <row r="919" ht="15.75" customHeight="1">
      <c r="B919" s="667"/>
      <c r="C919" s="667"/>
      <c r="D919" s="667"/>
      <c r="E919" s="667"/>
      <c r="F919" s="667"/>
      <c r="G919" s="667"/>
      <c r="H919" s="667"/>
      <c r="I919" s="667"/>
      <c r="J919" s="667"/>
      <c r="K919" s="667"/>
      <c r="L919" s="667"/>
      <c r="M919" s="667"/>
      <c r="N919" s="667"/>
      <c r="O919" s="667"/>
      <c r="P919" s="667"/>
      <c r="Q919" s="667"/>
    </row>
    <row r="920" ht="15.75" customHeight="1">
      <c r="B920" s="667"/>
      <c r="C920" s="667"/>
      <c r="D920" s="667"/>
      <c r="E920" s="667"/>
      <c r="F920" s="667"/>
      <c r="G920" s="667"/>
      <c r="H920" s="667"/>
      <c r="I920" s="667"/>
      <c r="J920" s="667"/>
      <c r="K920" s="667"/>
      <c r="L920" s="667"/>
      <c r="M920" s="667"/>
      <c r="N920" s="667"/>
      <c r="O920" s="667"/>
      <c r="P920" s="667"/>
      <c r="Q920" s="667"/>
    </row>
    <row r="921" ht="15.75" customHeight="1">
      <c r="B921" s="667"/>
      <c r="C921" s="667"/>
      <c r="D921" s="667"/>
      <c r="E921" s="667"/>
      <c r="F921" s="667"/>
      <c r="G921" s="667"/>
      <c r="H921" s="667"/>
      <c r="I921" s="667"/>
      <c r="J921" s="667"/>
      <c r="K921" s="667"/>
      <c r="L921" s="667"/>
      <c r="M921" s="667"/>
      <c r="N921" s="667"/>
      <c r="O921" s="667"/>
      <c r="P921" s="667"/>
      <c r="Q921" s="667"/>
    </row>
    <row r="922" ht="15.75" customHeight="1">
      <c r="B922" s="667"/>
      <c r="C922" s="667"/>
      <c r="D922" s="667"/>
      <c r="E922" s="667"/>
      <c r="F922" s="667"/>
      <c r="G922" s="667"/>
      <c r="H922" s="667"/>
      <c r="I922" s="667"/>
      <c r="J922" s="667"/>
      <c r="K922" s="667"/>
      <c r="L922" s="667"/>
      <c r="M922" s="667"/>
      <c r="N922" s="667"/>
      <c r="O922" s="667"/>
      <c r="P922" s="667"/>
      <c r="Q922" s="667"/>
    </row>
    <row r="923" ht="15.75" customHeight="1">
      <c r="B923" s="667"/>
      <c r="C923" s="667"/>
      <c r="D923" s="667"/>
      <c r="E923" s="667"/>
      <c r="F923" s="667"/>
      <c r="G923" s="667"/>
      <c r="H923" s="667"/>
      <c r="I923" s="667"/>
      <c r="J923" s="667"/>
      <c r="K923" s="667"/>
      <c r="L923" s="667"/>
      <c r="M923" s="667"/>
      <c r="N923" s="667"/>
      <c r="O923" s="667"/>
      <c r="P923" s="667"/>
      <c r="Q923" s="667"/>
    </row>
    <row r="924" ht="15.75" customHeight="1">
      <c r="B924" s="667"/>
      <c r="C924" s="667"/>
      <c r="D924" s="667"/>
      <c r="E924" s="667"/>
      <c r="F924" s="667"/>
      <c r="G924" s="667"/>
      <c r="H924" s="667"/>
      <c r="I924" s="667"/>
      <c r="J924" s="667"/>
      <c r="K924" s="667"/>
      <c r="L924" s="667"/>
      <c r="M924" s="667"/>
      <c r="N924" s="667"/>
      <c r="O924" s="667"/>
      <c r="P924" s="667"/>
      <c r="Q924" s="667"/>
    </row>
    <row r="925" ht="15.75" customHeight="1">
      <c r="B925" s="667"/>
      <c r="C925" s="667"/>
      <c r="D925" s="667"/>
      <c r="E925" s="667"/>
      <c r="F925" s="667"/>
      <c r="G925" s="667"/>
      <c r="H925" s="667"/>
      <c r="I925" s="667"/>
      <c r="J925" s="667"/>
      <c r="K925" s="667"/>
      <c r="L925" s="667"/>
      <c r="M925" s="667"/>
      <c r="N925" s="667"/>
      <c r="O925" s="667"/>
      <c r="P925" s="667"/>
      <c r="Q925" s="667"/>
    </row>
    <row r="926" ht="15.75" customHeight="1">
      <c r="B926" s="667"/>
      <c r="C926" s="667"/>
      <c r="D926" s="667"/>
      <c r="E926" s="667"/>
      <c r="F926" s="667"/>
      <c r="G926" s="667"/>
      <c r="H926" s="667"/>
      <c r="I926" s="667"/>
      <c r="J926" s="667"/>
      <c r="K926" s="667"/>
      <c r="L926" s="667"/>
      <c r="M926" s="667"/>
      <c r="N926" s="667"/>
      <c r="O926" s="667"/>
      <c r="P926" s="667"/>
      <c r="Q926" s="667"/>
    </row>
    <row r="927" ht="15.75" customHeight="1">
      <c r="B927" s="667"/>
      <c r="C927" s="667"/>
      <c r="D927" s="667"/>
      <c r="E927" s="667"/>
      <c r="F927" s="667"/>
      <c r="G927" s="667"/>
      <c r="H927" s="667"/>
      <c r="I927" s="667"/>
      <c r="J927" s="667"/>
      <c r="K927" s="667"/>
      <c r="L927" s="667"/>
      <c r="M927" s="667"/>
      <c r="N927" s="667"/>
      <c r="O927" s="667"/>
      <c r="P927" s="667"/>
      <c r="Q927" s="667"/>
    </row>
    <row r="928" ht="15.75" customHeight="1">
      <c r="B928" s="667"/>
      <c r="C928" s="667"/>
      <c r="D928" s="667"/>
      <c r="E928" s="667"/>
      <c r="F928" s="667"/>
      <c r="G928" s="667"/>
      <c r="H928" s="667"/>
      <c r="I928" s="667"/>
      <c r="J928" s="667"/>
      <c r="K928" s="667"/>
      <c r="L928" s="667"/>
      <c r="M928" s="667"/>
      <c r="N928" s="667"/>
      <c r="O928" s="667"/>
      <c r="P928" s="667"/>
      <c r="Q928" s="667"/>
    </row>
    <row r="929" ht="15.75" customHeight="1">
      <c r="B929" s="667"/>
      <c r="C929" s="667"/>
      <c r="D929" s="667"/>
      <c r="E929" s="667"/>
      <c r="F929" s="667"/>
      <c r="G929" s="667"/>
      <c r="H929" s="667"/>
      <c r="I929" s="667"/>
      <c r="J929" s="667"/>
      <c r="K929" s="667"/>
      <c r="L929" s="667"/>
      <c r="M929" s="667"/>
      <c r="N929" s="667"/>
      <c r="O929" s="667"/>
      <c r="P929" s="667"/>
      <c r="Q929" s="667"/>
    </row>
    <row r="930" ht="15.75" customHeight="1">
      <c r="B930" s="667"/>
      <c r="C930" s="667"/>
      <c r="D930" s="667"/>
      <c r="E930" s="667"/>
      <c r="F930" s="667"/>
      <c r="G930" s="667"/>
      <c r="H930" s="667"/>
      <c r="I930" s="667"/>
      <c r="J930" s="667"/>
      <c r="K930" s="667"/>
      <c r="L930" s="667"/>
      <c r="M930" s="667"/>
      <c r="N930" s="667"/>
      <c r="O930" s="667"/>
      <c r="P930" s="667"/>
      <c r="Q930" s="667"/>
    </row>
    <row r="931" ht="15.75" customHeight="1">
      <c r="B931" s="667"/>
      <c r="C931" s="667"/>
      <c r="D931" s="667"/>
      <c r="E931" s="667"/>
      <c r="F931" s="667"/>
      <c r="G931" s="667"/>
      <c r="H931" s="667"/>
      <c r="I931" s="667"/>
      <c r="J931" s="667"/>
      <c r="K931" s="667"/>
      <c r="L931" s="667"/>
      <c r="M931" s="667"/>
      <c r="N931" s="667"/>
      <c r="O931" s="667"/>
      <c r="P931" s="667"/>
      <c r="Q931" s="667"/>
    </row>
    <row r="932" ht="15.75" customHeight="1">
      <c r="B932" s="667"/>
      <c r="C932" s="667"/>
      <c r="D932" s="667"/>
      <c r="E932" s="667"/>
      <c r="F932" s="667"/>
      <c r="G932" s="667"/>
      <c r="H932" s="667"/>
      <c r="I932" s="667"/>
      <c r="J932" s="667"/>
      <c r="K932" s="667"/>
      <c r="L932" s="667"/>
      <c r="M932" s="667"/>
      <c r="N932" s="667"/>
      <c r="O932" s="667"/>
      <c r="P932" s="667"/>
      <c r="Q932" s="667"/>
    </row>
    <row r="933" ht="15.75" customHeight="1">
      <c r="B933" s="667"/>
      <c r="C933" s="667"/>
      <c r="D933" s="667"/>
      <c r="E933" s="667"/>
      <c r="F933" s="667"/>
      <c r="G933" s="667"/>
      <c r="H933" s="667"/>
      <c r="I933" s="667"/>
      <c r="J933" s="667"/>
      <c r="K933" s="667"/>
      <c r="L933" s="667"/>
      <c r="M933" s="667"/>
      <c r="N933" s="667"/>
      <c r="O933" s="667"/>
      <c r="P933" s="667"/>
      <c r="Q933" s="667"/>
    </row>
    <row r="934" ht="15.75" customHeight="1">
      <c r="B934" s="667"/>
      <c r="C934" s="667"/>
      <c r="D934" s="667"/>
      <c r="E934" s="667"/>
      <c r="F934" s="667"/>
      <c r="G934" s="667"/>
      <c r="H934" s="667"/>
      <c r="I934" s="667"/>
      <c r="J934" s="667"/>
      <c r="K934" s="667"/>
      <c r="L934" s="667"/>
      <c r="M934" s="667"/>
      <c r="N934" s="667"/>
      <c r="O934" s="667"/>
      <c r="P934" s="667"/>
      <c r="Q934" s="667"/>
    </row>
    <row r="935" ht="15.75" customHeight="1">
      <c r="B935" s="667"/>
      <c r="C935" s="667"/>
      <c r="D935" s="667"/>
      <c r="E935" s="667"/>
      <c r="F935" s="667"/>
      <c r="G935" s="667"/>
      <c r="H935" s="667"/>
      <c r="I935" s="667"/>
      <c r="J935" s="667"/>
      <c r="K935" s="667"/>
      <c r="L935" s="667"/>
      <c r="M935" s="667"/>
      <c r="N935" s="667"/>
      <c r="O935" s="667"/>
      <c r="P935" s="667"/>
      <c r="Q935" s="667"/>
    </row>
    <row r="936" ht="15.75" customHeight="1">
      <c r="B936" s="667"/>
      <c r="C936" s="667"/>
      <c r="D936" s="667"/>
      <c r="E936" s="667"/>
      <c r="F936" s="667"/>
      <c r="G936" s="667"/>
      <c r="H936" s="667"/>
      <c r="I936" s="667"/>
      <c r="J936" s="667"/>
      <c r="K936" s="667"/>
      <c r="L936" s="667"/>
      <c r="M936" s="667"/>
      <c r="N936" s="667"/>
      <c r="O936" s="667"/>
      <c r="P936" s="667"/>
      <c r="Q936" s="667"/>
    </row>
    <row r="937" ht="15.75" customHeight="1">
      <c r="B937" s="667"/>
      <c r="C937" s="667"/>
      <c r="D937" s="667"/>
      <c r="E937" s="667"/>
      <c r="F937" s="667"/>
      <c r="G937" s="667"/>
      <c r="H937" s="667"/>
      <c r="I937" s="667"/>
      <c r="J937" s="667"/>
      <c r="K937" s="667"/>
      <c r="L937" s="667"/>
      <c r="M937" s="667"/>
      <c r="N937" s="667"/>
      <c r="O937" s="667"/>
      <c r="P937" s="667"/>
      <c r="Q937" s="667"/>
    </row>
    <row r="938" ht="15.75" customHeight="1">
      <c r="B938" s="667"/>
      <c r="C938" s="667"/>
      <c r="D938" s="667"/>
      <c r="E938" s="667"/>
      <c r="F938" s="667"/>
      <c r="G938" s="667"/>
      <c r="H938" s="667"/>
      <c r="I938" s="667"/>
      <c r="J938" s="667"/>
      <c r="K938" s="667"/>
      <c r="L938" s="667"/>
      <c r="M938" s="667"/>
      <c r="N938" s="667"/>
      <c r="O938" s="667"/>
      <c r="P938" s="667"/>
      <c r="Q938" s="667"/>
    </row>
    <row r="939" ht="15.75" customHeight="1">
      <c r="B939" s="667"/>
      <c r="C939" s="667"/>
      <c r="D939" s="667"/>
      <c r="E939" s="667"/>
      <c r="F939" s="667"/>
      <c r="G939" s="667"/>
      <c r="H939" s="667"/>
      <c r="I939" s="667"/>
      <c r="J939" s="667"/>
      <c r="K939" s="667"/>
      <c r="L939" s="667"/>
      <c r="M939" s="667"/>
      <c r="N939" s="667"/>
      <c r="O939" s="667"/>
      <c r="P939" s="667"/>
      <c r="Q939" s="667"/>
    </row>
    <row r="940" ht="15.75" customHeight="1">
      <c r="B940" s="667"/>
      <c r="C940" s="667"/>
      <c r="D940" s="667"/>
      <c r="E940" s="667"/>
      <c r="F940" s="667"/>
      <c r="G940" s="667"/>
      <c r="H940" s="667"/>
      <c r="I940" s="667"/>
      <c r="J940" s="667"/>
      <c r="K940" s="667"/>
      <c r="L940" s="667"/>
      <c r="M940" s="667"/>
      <c r="N940" s="667"/>
      <c r="O940" s="667"/>
      <c r="P940" s="667"/>
      <c r="Q940" s="667"/>
    </row>
    <row r="941" ht="15.75" customHeight="1">
      <c r="B941" s="667"/>
      <c r="C941" s="667"/>
      <c r="D941" s="667"/>
      <c r="E941" s="667"/>
      <c r="F941" s="667"/>
      <c r="G941" s="667"/>
      <c r="H941" s="667"/>
      <c r="I941" s="667"/>
      <c r="J941" s="667"/>
      <c r="K941" s="667"/>
      <c r="L941" s="667"/>
      <c r="M941" s="667"/>
      <c r="N941" s="667"/>
      <c r="O941" s="667"/>
      <c r="P941" s="667"/>
      <c r="Q941" s="667"/>
    </row>
    <row r="942" ht="15.75" customHeight="1">
      <c r="B942" s="667"/>
      <c r="C942" s="667"/>
      <c r="D942" s="667"/>
      <c r="E942" s="667"/>
      <c r="F942" s="667"/>
      <c r="G942" s="667"/>
      <c r="H942" s="667"/>
      <c r="I942" s="667"/>
      <c r="J942" s="667"/>
      <c r="K942" s="667"/>
      <c r="L942" s="667"/>
      <c r="M942" s="667"/>
      <c r="N942" s="667"/>
      <c r="O942" s="667"/>
      <c r="P942" s="667"/>
      <c r="Q942" s="667"/>
    </row>
    <row r="943" ht="15.75" customHeight="1">
      <c r="B943" s="667"/>
      <c r="C943" s="667"/>
      <c r="D943" s="667"/>
      <c r="E943" s="667"/>
      <c r="F943" s="667"/>
      <c r="G943" s="667"/>
      <c r="H943" s="667"/>
      <c r="I943" s="667"/>
      <c r="J943" s="667"/>
      <c r="K943" s="667"/>
      <c r="L943" s="667"/>
      <c r="M943" s="667"/>
      <c r="N943" s="667"/>
      <c r="O943" s="667"/>
      <c r="P943" s="667"/>
      <c r="Q943" s="667"/>
    </row>
    <row r="944" ht="15.75" customHeight="1">
      <c r="B944" s="667"/>
      <c r="C944" s="667"/>
      <c r="D944" s="667"/>
      <c r="E944" s="667"/>
      <c r="F944" s="667"/>
      <c r="G944" s="667"/>
      <c r="H944" s="667"/>
      <c r="I944" s="667"/>
      <c r="J944" s="667"/>
      <c r="K944" s="667"/>
      <c r="L944" s="667"/>
      <c r="M944" s="667"/>
      <c r="N944" s="667"/>
      <c r="O944" s="667"/>
      <c r="P944" s="667"/>
      <c r="Q944" s="667"/>
    </row>
    <row r="945" ht="15.75" customHeight="1">
      <c r="B945" s="667"/>
      <c r="C945" s="667"/>
      <c r="D945" s="667"/>
      <c r="E945" s="667"/>
      <c r="F945" s="667"/>
      <c r="G945" s="667"/>
      <c r="H945" s="667"/>
      <c r="I945" s="667"/>
      <c r="J945" s="667"/>
      <c r="K945" s="667"/>
      <c r="L945" s="667"/>
      <c r="M945" s="667"/>
      <c r="N945" s="667"/>
      <c r="O945" s="667"/>
      <c r="P945" s="667"/>
      <c r="Q945" s="667"/>
    </row>
    <row r="946" ht="15.75" customHeight="1">
      <c r="B946" s="667"/>
      <c r="C946" s="667"/>
      <c r="D946" s="667"/>
      <c r="E946" s="667"/>
      <c r="F946" s="667"/>
      <c r="G946" s="667"/>
      <c r="H946" s="667"/>
      <c r="I946" s="667"/>
      <c r="J946" s="667"/>
      <c r="K946" s="667"/>
      <c r="L946" s="667"/>
      <c r="M946" s="667"/>
      <c r="N946" s="667"/>
      <c r="O946" s="667"/>
      <c r="P946" s="667"/>
      <c r="Q946" s="667"/>
    </row>
    <row r="947" ht="15.75" customHeight="1">
      <c r="B947" s="667"/>
      <c r="C947" s="667"/>
      <c r="D947" s="667"/>
      <c r="E947" s="667"/>
      <c r="F947" s="667"/>
      <c r="G947" s="667"/>
      <c r="H947" s="667"/>
      <c r="I947" s="667"/>
      <c r="J947" s="667"/>
      <c r="K947" s="667"/>
      <c r="L947" s="667"/>
      <c r="M947" s="667"/>
      <c r="N947" s="667"/>
      <c r="O947" s="667"/>
      <c r="P947" s="667"/>
      <c r="Q947" s="667"/>
    </row>
    <row r="948" ht="15.75" customHeight="1">
      <c r="B948" s="667"/>
      <c r="C948" s="667"/>
      <c r="D948" s="667"/>
      <c r="E948" s="667"/>
      <c r="F948" s="667"/>
      <c r="G948" s="667"/>
      <c r="H948" s="667"/>
      <c r="I948" s="667"/>
      <c r="J948" s="667"/>
      <c r="K948" s="667"/>
      <c r="L948" s="667"/>
      <c r="M948" s="667"/>
      <c r="N948" s="667"/>
      <c r="O948" s="667"/>
      <c r="P948" s="667"/>
      <c r="Q948" s="667"/>
    </row>
    <row r="949" ht="15.75" customHeight="1">
      <c r="B949" s="667"/>
      <c r="C949" s="667"/>
      <c r="D949" s="667"/>
      <c r="E949" s="667"/>
      <c r="F949" s="667"/>
      <c r="G949" s="667"/>
      <c r="H949" s="667"/>
      <c r="I949" s="667"/>
      <c r="J949" s="667"/>
      <c r="K949" s="667"/>
      <c r="L949" s="667"/>
      <c r="M949" s="667"/>
      <c r="N949" s="667"/>
      <c r="O949" s="667"/>
      <c r="P949" s="667"/>
      <c r="Q949" s="667"/>
    </row>
    <row r="950" ht="15.75" customHeight="1">
      <c r="B950" s="667"/>
      <c r="C950" s="667"/>
      <c r="D950" s="667"/>
      <c r="E950" s="667"/>
      <c r="F950" s="667"/>
      <c r="G950" s="667"/>
      <c r="H950" s="667"/>
      <c r="I950" s="667"/>
      <c r="J950" s="667"/>
      <c r="K950" s="667"/>
      <c r="L950" s="667"/>
      <c r="M950" s="667"/>
      <c r="N950" s="667"/>
      <c r="O950" s="667"/>
      <c r="P950" s="667"/>
      <c r="Q950" s="667"/>
    </row>
    <row r="951" ht="15.75" customHeight="1">
      <c r="B951" s="667"/>
      <c r="C951" s="667"/>
      <c r="D951" s="667"/>
      <c r="E951" s="667"/>
      <c r="F951" s="667"/>
      <c r="G951" s="667"/>
      <c r="H951" s="667"/>
      <c r="I951" s="667"/>
      <c r="J951" s="667"/>
      <c r="K951" s="667"/>
      <c r="L951" s="667"/>
      <c r="M951" s="667"/>
      <c r="N951" s="667"/>
      <c r="O951" s="667"/>
      <c r="P951" s="667"/>
      <c r="Q951" s="667"/>
    </row>
    <row r="952" ht="15.75" customHeight="1">
      <c r="B952" s="667"/>
      <c r="C952" s="667"/>
      <c r="D952" s="667"/>
      <c r="E952" s="667"/>
      <c r="F952" s="667"/>
      <c r="G952" s="667"/>
      <c r="H952" s="667"/>
      <c r="I952" s="667"/>
      <c r="J952" s="667"/>
      <c r="K952" s="667"/>
      <c r="L952" s="667"/>
      <c r="M952" s="667"/>
      <c r="N952" s="667"/>
      <c r="O952" s="667"/>
      <c r="P952" s="667"/>
      <c r="Q952" s="667"/>
    </row>
    <row r="953" ht="15.75" customHeight="1">
      <c r="B953" s="667"/>
      <c r="C953" s="667"/>
      <c r="D953" s="667"/>
      <c r="E953" s="667"/>
      <c r="F953" s="667"/>
      <c r="G953" s="667"/>
      <c r="H953" s="667"/>
      <c r="I953" s="667"/>
      <c r="J953" s="667"/>
      <c r="K953" s="667"/>
      <c r="L953" s="667"/>
      <c r="M953" s="667"/>
      <c r="N953" s="667"/>
      <c r="O953" s="667"/>
      <c r="P953" s="667"/>
      <c r="Q953" s="667"/>
    </row>
    <row r="954" ht="15.75" customHeight="1">
      <c r="B954" s="667"/>
      <c r="C954" s="667"/>
      <c r="D954" s="667"/>
      <c r="E954" s="667"/>
      <c r="F954" s="667"/>
      <c r="G954" s="667"/>
      <c r="H954" s="667"/>
      <c r="I954" s="667"/>
      <c r="J954" s="667"/>
      <c r="K954" s="667"/>
      <c r="L954" s="667"/>
      <c r="M954" s="667"/>
      <c r="N954" s="667"/>
      <c r="O954" s="667"/>
      <c r="P954" s="667"/>
      <c r="Q954" s="667"/>
    </row>
    <row r="955" ht="15.75" customHeight="1">
      <c r="B955" s="667"/>
      <c r="C955" s="667"/>
      <c r="D955" s="667"/>
      <c r="E955" s="667"/>
      <c r="F955" s="667"/>
      <c r="G955" s="667"/>
      <c r="H955" s="667"/>
      <c r="I955" s="667"/>
      <c r="J955" s="667"/>
      <c r="K955" s="667"/>
      <c r="L955" s="667"/>
      <c r="M955" s="667"/>
      <c r="N955" s="667"/>
      <c r="O955" s="667"/>
      <c r="P955" s="667"/>
      <c r="Q955" s="667"/>
    </row>
    <row r="956" ht="15.75" customHeight="1">
      <c r="B956" s="667"/>
      <c r="C956" s="667"/>
      <c r="D956" s="667"/>
      <c r="E956" s="667"/>
      <c r="F956" s="667"/>
      <c r="G956" s="667"/>
      <c r="H956" s="667"/>
      <c r="I956" s="667"/>
      <c r="J956" s="667"/>
      <c r="K956" s="667"/>
      <c r="L956" s="667"/>
      <c r="M956" s="667"/>
      <c r="N956" s="667"/>
      <c r="O956" s="667"/>
      <c r="P956" s="667"/>
      <c r="Q956" s="667"/>
    </row>
    <row r="957" ht="15.75" customHeight="1">
      <c r="B957" s="667"/>
      <c r="C957" s="667"/>
      <c r="D957" s="667"/>
      <c r="E957" s="667"/>
      <c r="F957" s="667"/>
      <c r="G957" s="667"/>
      <c r="H957" s="667"/>
      <c r="I957" s="667"/>
      <c r="J957" s="667"/>
      <c r="K957" s="667"/>
      <c r="L957" s="667"/>
      <c r="M957" s="667"/>
      <c r="N957" s="667"/>
      <c r="O957" s="667"/>
      <c r="P957" s="667"/>
      <c r="Q957" s="667"/>
    </row>
    <row r="958" ht="15.75" customHeight="1">
      <c r="B958" s="667"/>
      <c r="C958" s="667"/>
      <c r="D958" s="667"/>
      <c r="E958" s="667"/>
      <c r="F958" s="667"/>
      <c r="G958" s="667"/>
      <c r="H958" s="667"/>
      <c r="I958" s="667"/>
      <c r="J958" s="667"/>
      <c r="K958" s="667"/>
      <c r="L958" s="667"/>
      <c r="M958" s="667"/>
      <c r="N958" s="667"/>
      <c r="O958" s="667"/>
      <c r="P958" s="667"/>
      <c r="Q958" s="667"/>
    </row>
    <row r="959" ht="15.75" customHeight="1">
      <c r="B959" s="667"/>
      <c r="C959" s="667"/>
      <c r="D959" s="667"/>
      <c r="E959" s="667"/>
      <c r="F959" s="667"/>
      <c r="G959" s="667"/>
      <c r="H959" s="667"/>
      <c r="I959" s="667"/>
      <c r="J959" s="667"/>
      <c r="K959" s="667"/>
      <c r="L959" s="667"/>
      <c r="M959" s="667"/>
      <c r="N959" s="667"/>
      <c r="O959" s="667"/>
      <c r="P959" s="667"/>
      <c r="Q959" s="667"/>
    </row>
    <row r="960" ht="15.75" customHeight="1">
      <c r="B960" s="667"/>
      <c r="C960" s="667"/>
      <c r="D960" s="667"/>
      <c r="E960" s="667"/>
      <c r="F960" s="667"/>
      <c r="G960" s="667"/>
      <c r="H960" s="667"/>
      <c r="I960" s="667"/>
      <c r="J960" s="667"/>
      <c r="K960" s="667"/>
      <c r="L960" s="667"/>
      <c r="M960" s="667"/>
      <c r="N960" s="667"/>
      <c r="O960" s="667"/>
      <c r="P960" s="667"/>
      <c r="Q960" s="667"/>
    </row>
    <row r="961" ht="15.75" customHeight="1">
      <c r="B961" s="667"/>
      <c r="C961" s="667"/>
      <c r="D961" s="667"/>
      <c r="E961" s="667"/>
      <c r="F961" s="667"/>
      <c r="G961" s="667"/>
      <c r="H961" s="667"/>
      <c r="I961" s="667"/>
      <c r="J961" s="667"/>
      <c r="K961" s="667"/>
      <c r="L961" s="667"/>
      <c r="M961" s="667"/>
      <c r="N961" s="667"/>
      <c r="O961" s="667"/>
      <c r="P961" s="667"/>
      <c r="Q961" s="667"/>
    </row>
    <row r="962" ht="15.75" customHeight="1">
      <c r="B962" s="667"/>
      <c r="C962" s="667"/>
      <c r="D962" s="667"/>
      <c r="E962" s="667"/>
      <c r="F962" s="667"/>
      <c r="G962" s="667"/>
      <c r="H962" s="667"/>
      <c r="I962" s="667"/>
      <c r="J962" s="667"/>
      <c r="K962" s="667"/>
      <c r="L962" s="667"/>
      <c r="M962" s="667"/>
      <c r="N962" s="667"/>
      <c r="O962" s="667"/>
      <c r="P962" s="667"/>
      <c r="Q962" s="667"/>
    </row>
    <row r="963" ht="15.75" customHeight="1">
      <c r="B963" s="667"/>
      <c r="C963" s="667"/>
      <c r="D963" s="667"/>
      <c r="E963" s="667"/>
      <c r="F963" s="667"/>
      <c r="G963" s="667"/>
      <c r="H963" s="667"/>
      <c r="I963" s="667"/>
      <c r="J963" s="667"/>
      <c r="K963" s="667"/>
      <c r="L963" s="667"/>
      <c r="M963" s="667"/>
      <c r="N963" s="667"/>
      <c r="O963" s="667"/>
      <c r="P963" s="667"/>
      <c r="Q963" s="667"/>
    </row>
    <row r="964" ht="15.75" customHeight="1">
      <c r="B964" s="667"/>
      <c r="C964" s="667"/>
      <c r="D964" s="667"/>
      <c r="E964" s="667"/>
      <c r="F964" s="667"/>
      <c r="G964" s="667"/>
      <c r="H964" s="667"/>
      <c r="I964" s="667"/>
      <c r="J964" s="667"/>
      <c r="K964" s="667"/>
      <c r="L964" s="667"/>
      <c r="M964" s="667"/>
      <c r="N964" s="667"/>
      <c r="O964" s="667"/>
      <c r="P964" s="667"/>
      <c r="Q964" s="667"/>
    </row>
    <row r="965" ht="15.75" customHeight="1">
      <c r="B965" s="667"/>
      <c r="C965" s="667"/>
      <c r="D965" s="667"/>
      <c r="E965" s="667"/>
      <c r="F965" s="667"/>
      <c r="G965" s="667"/>
      <c r="H965" s="667"/>
      <c r="I965" s="667"/>
      <c r="J965" s="667"/>
      <c r="K965" s="667"/>
      <c r="L965" s="667"/>
      <c r="M965" s="667"/>
      <c r="N965" s="667"/>
      <c r="O965" s="667"/>
      <c r="P965" s="667"/>
      <c r="Q965" s="667"/>
    </row>
    <row r="966" ht="15.75" customHeight="1">
      <c r="B966" s="667"/>
      <c r="C966" s="667"/>
      <c r="D966" s="667"/>
      <c r="E966" s="667"/>
      <c r="F966" s="667"/>
      <c r="G966" s="667"/>
      <c r="H966" s="667"/>
      <c r="I966" s="667"/>
      <c r="J966" s="667"/>
      <c r="K966" s="667"/>
      <c r="L966" s="667"/>
      <c r="M966" s="667"/>
      <c r="N966" s="667"/>
      <c r="O966" s="667"/>
      <c r="P966" s="667"/>
      <c r="Q966" s="667"/>
    </row>
    <row r="967" ht="15.75" customHeight="1">
      <c r="B967" s="667"/>
      <c r="C967" s="667"/>
      <c r="D967" s="667"/>
      <c r="E967" s="667"/>
      <c r="F967" s="667"/>
      <c r="G967" s="667"/>
      <c r="H967" s="667"/>
      <c r="I967" s="667"/>
      <c r="J967" s="667"/>
      <c r="K967" s="667"/>
      <c r="L967" s="667"/>
      <c r="M967" s="667"/>
      <c r="N967" s="667"/>
      <c r="O967" s="667"/>
      <c r="P967" s="667"/>
      <c r="Q967" s="667"/>
    </row>
    <row r="968" ht="15.75" customHeight="1">
      <c r="B968" s="667"/>
      <c r="C968" s="667"/>
      <c r="D968" s="667"/>
      <c r="E968" s="667"/>
      <c r="F968" s="667"/>
      <c r="G968" s="667"/>
      <c r="H968" s="667"/>
      <c r="I968" s="667"/>
      <c r="J968" s="667"/>
      <c r="K968" s="667"/>
      <c r="L968" s="667"/>
      <c r="M968" s="667"/>
      <c r="N968" s="667"/>
      <c r="O968" s="667"/>
      <c r="P968" s="667"/>
      <c r="Q968" s="667"/>
    </row>
    <row r="969" ht="15.75" customHeight="1">
      <c r="B969" s="667"/>
      <c r="C969" s="667"/>
      <c r="D969" s="667"/>
      <c r="E969" s="667"/>
      <c r="F969" s="667"/>
      <c r="G969" s="667"/>
      <c r="H969" s="667"/>
      <c r="I969" s="667"/>
      <c r="J969" s="667"/>
      <c r="K969" s="667"/>
      <c r="L969" s="667"/>
      <c r="M969" s="667"/>
      <c r="N969" s="667"/>
      <c r="O969" s="667"/>
      <c r="P969" s="667"/>
      <c r="Q969" s="667"/>
    </row>
    <row r="970" ht="15.75" customHeight="1">
      <c r="B970" s="667"/>
      <c r="C970" s="667"/>
      <c r="D970" s="667"/>
      <c r="E970" s="667"/>
      <c r="F970" s="667"/>
      <c r="G970" s="667"/>
      <c r="H970" s="667"/>
      <c r="I970" s="667"/>
      <c r="J970" s="667"/>
      <c r="K970" s="667"/>
      <c r="L970" s="667"/>
      <c r="M970" s="667"/>
      <c r="N970" s="667"/>
      <c r="O970" s="667"/>
      <c r="P970" s="667"/>
      <c r="Q970" s="667"/>
    </row>
    <row r="971" ht="15.75" customHeight="1">
      <c r="B971" s="667"/>
      <c r="C971" s="667"/>
      <c r="D971" s="667"/>
      <c r="E971" s="667"/>
      <c r="F971" s="667"/>
      <c r="G971" s="667"/>
      <c r="H971" s="667"/>
      <c r="I971" s="667"/>
      <c r="J971" s="667"/>
      <c r="K971" s="667"/>
      <c r="L971" s="667"/>
      <c r="M971" s="667"/>
      <c r="N971" s="667"/>
      <c r="O971" s="667"/>
      <c r="P971" s="667"/>
      <c r="Q971" s="667"/>
    </row>
    <row r="972" ht="15.75" customHeight="1">
      <c r="B972" s="667"/>
      <c r="C972" s="667"/>
      <c r="D972" s="667"/>
      <c r="E972" s="667"/>
      <c r="F972" s="667"/>
      <c r="G972" s="667"/>
      <c r="H972" s="667"/>
      <c r="I972" s="667"/>
      <c r="J972" s="667"/>
      <c r="K972" s="667"/>
      <c r="L972" s="667"/>
      <c r="M972" s="667"/>
      <c r="N972" s="667"/>
      <c r="O972" s="667"/>
      <c r="P972" s="667"/>
      <c r="Q972" s="667"/>
    </row>
    <row r="973" ht="15.75" customHeight="1">
      <c r="B973" s="667"/>
      <c r="C973" s="667"/>
      <c r="D973" s="667"/>
      <c r="E973" s="667"/>
      <c r="F973" s="667"/>
      <c r="G973" s="667"/>
      <c r="H973" s="667"/>
      <c r="I973" s="667"/>
      <c r="J973" s="667"/>
      <c r="K973" s="667"/>
      <c r="L973" s="667"/>
      <c r="M973" s="667"/>
      <c r="N973" s="667"/>
      <c r="O973" s="667"/>
      <c r="P973" s="667"/>
      <c r="Q973" s="667"/>
    </row>
    <row r="974" ht="15.75" customHeight="1">
      <c r="B974" s="667"/>
      <c r="C974" s="667"/>
      <c r="D974" s="667"/>
      <c r="E974" s="667"/>
      <c r="F974" s="667"/>
      <c r="G974" s="667"/>
      <c r="H974" s="667"/>
      <c r="I974" s="667"/>
      <c r="J974" s="667"/>
      <c r="K974" s="667"/>
      <c r="L974" s="667"/>
      <c r="M974" s="667"/>
      <c r="N974" s="667"/>
      <c r="O974" s="667"/>
      <c r="P974" s="667"/>
      <c r="Q974" s="667"/>
    </row>
    <row r="975" ht="15.75" customHeight="1">
      <c r="B975" s="667"/>
      <c r="C975" s="667"/>
      <c r="D975" s="667"/>
      <c r="E975" s="667"/>
      <c r="F975" s="667"/>
      <c r="G975" s="667"/>
      <c r="H975" s="667"/>
      <c r="I975" s="667"/>
      <c r="J975" s="667"/>
      <c r="K975" s="667"/>
      <c r="L975" s="667"/>
      <c r="M975" s="667"/>
      <c r="N975" s="667"/>
      <c r="O975" s="667"/>
      <c r="P975" s="667"/>
      <c r="Q975" s="667"/>
    </row>
    <row r="976" ht="15.75" customHeight="1">
      <c r="B976" s="667"/>
      <c r="C976" s="667"/>
      <c r="D976" s="667"/>
      <c r="E976" s="667"/>
      <c r="F976" s="667"/>
      <c r="G976" s="667"/>
      <c r="H976" s="667"/>
      <c r="I976" s="667"/>
      <c r="J976" s="667"/>
      <c r="K976" s="667"/>
      <c r="L976" s="667"/>
      <c r="M976" s="667"/>
      <c r="N976" s="667"/>
      <c r="O976" s="667"/>
      <c r="P976" s="667"/>
      <c r="Q976" s="667"/>
    </row>
    <row r="977" ht="15.75" customHeight="1">
      <c r="B977" s="667"/>
      <c r="C977" s="667"/>
      <c r="D977" s="667"/>
      <c r="E977" s="667"/>
      <c r="F977" s="667"/>
      <c r="G977" s="667"/>
      <c r="H977" s="667"/>
      <c r="I977" s="667"/>
      <c r="J977" s="667"/>
      <c r="K977" s="667"/>
      <c r="L977" s="667"/>
      <c r="M977" s="667"/>
      <c r="N977" s="667"/>
      <c r="O977" s="667"/>
      <c r="P977" s="667"/>
      <c r="Q977" s="667"/>
    </row>
    <row r="978" ht="15.75" customHeight="1">
      <c r="B978" s="667"/>
      <c r="C978" s="667"/>
      <c r="D978" s="667"/>
      <c r="E978" s="667"/>
      <c r="F978" s="667"/>
      <c r="G978" s="667"/>
      <c r="H978" s="667"/>
      <c r="I978" s="667"/>
      <c r="J978" s="667"/>
      <c r="K978" s="667"/>
      <c r="L978" s="667"/>
      <c r="M978" s="667"/>
      <c r="N978" s="667"/>
      <c r="O978" s="667"/>
      <c r="P978" s="667"/>
      <c r="Q978" s="667"/>
    </row>
    <row r="979" ht="15.75" customHeight="1">
      <c r="B979" s="667"/>
      <c r="C979" s="667"/>
      <c r="D979" s="667"/>
      <c r="E979" s="667"/>
      <c r="F979" s="667"/>
      <c r="G979" s="667"/>
      <c r="H979" s="667"/>
      <c r="I979" s="667"/>
      <c r="J979" s="667"/>
      <c r="K979" s="667"/>
      <c r="L979" s="667"/>
      <c r="M979" s="667"/>
      <c r="N979" s="667"/>
      <c r="O979" s="667"/>
      <c r="P979" s="667"/>
      <c r="Q979" s="667"/>
    </row>
    <row r="980" ht="15.75" customHeight="1">
      <c r="B980" s="667"/>
      <c r="C980" s="667"/>
      <c r="D980" s="667"/>
      <c r="E980" s="667"/>
      <c r="F980" s="667"/>
      <c r="G980" s="667"/>
      <c r="H980" s="667"/>
      <c r="I980" s="667"/>
      <c r="J980" s="667"/>
      <c r="K980" s="667"/>
      <c r="L980" s="667"/>
      <c r="M980" s="667"/>
      <c r="N980" s="667"/>
      <c r="O980" s="667"/>
      <c r="P980" s="667"/>
      <c r="Q980" s="667"/>
    </row>
    <row r="981" ht="15.75" customHeight="1">
      <c r="B981" s="667"/>
      <c r="C981" s="667"/>
      <c r="D981" s="667"/>
      <c r="E981" s="667"/>
      <c r="F981" s="667"/>
      <c r="G981" s="667"/>
      <c r="H981" s="667"/>
      <c r="I981" s="667"/>
      <c r="J981" s="667"/>
      <c r="K981" s="667"/>
      <c r="L981" s="667"/>
      <c r="M981" s="667"/>
      <c r="N981" s="667"/>
      <c r="O981" s="667"/>
      <c r="P981" s="667"/>
      <c r="Q981" s="667"/>
    </row>
    <row r="982" ht="15.75" customHeight="1">
      <c r="B982" s="667"/>
      <c r="C982" s="667"/>
      <c r="D982" s="667"/>
      <c r="E982" s="667"/>
      <c r="F982" s="667"/>
      <c r="G982" s="667"/>
      <c r="H982" s="667"/>
      <c r="I982" s="667"/>
      <c r="J982" s="667"/>
      <c r="K982" s="667"/>
      <c r="L982" s="667"/>
      <c r="M982" s="667"/>
      <c r="N982" s="667"/>
      <c r="O982" s="667"/>
      <c r="P982" s="667"/>
      <c r="Q982" s="667"/>
    </row>
    <row r="983" ht="15.75" customHeight="1">
      <c r="B983" s="667"/>
      <c r="C983" s="667"/>
      <c r="D983" s="667"/>
      <c r="E983" s="667"/>
      <c r="F983" s="667"/>
      <c r="G983" s="667"/>
      <c r="H983" s="667"/>
      <c r="I983" s="667"/>
      <c r="J983" s="667"/>
      <c r="K983" s="667"/>
      <c r="L983" s="667"/>
      <c r="M983" s="667"/>
      <c r="N983" s="667"/>
      <c r="O983" s="667"/>
      <c r="P983" s="667"/>
      <c r="Q983" s="667"/>
    </row>
    <row r="984" ht="15.75" customHeight="1">
      <c r="B984" s="667"/>
      <c r="C984" s="667"/>
      <c r="D984" s="667"/>
      <c r="E984" s="667"/>
      <c r="F984" s="667"/>
      <c r="G984" s="667"/>
      <c r="H984" s="667"/>
      <c r="I984" s="667"/>
      <c r="J984" s="667"/>
      <c r="K984" s="667"/>
      <c r="L984" s="667"/>
      <c r="M984" s="667"/>
      <c r="N984" s="667"/>
      <c r="O984" s="667"/>
      <c r="P984" s="667"/>
      <c r="Q984" s="667"/>
    </row>
    <row r="985" ht="15.75" customHeight="1">
      <c r="B985" s="667"/>
      <c r="C985" s="667"/>
      <c r="D985" s="667"/>
      <c r="E985" s="667"/>
      <c r="F985" s="667"/>
      <c r="G985" s="667"/>
      <c r="H985" s="667"/>
      <c r="I985" s="667"/>
      <c r="J985" s="667"/>
      <c r="K985" s="667"/>
      <c r="L985" s="667"/>
      <c r="M985" s="667"/>
      <c r="N985" s="667"/>
      <c r="O985" s="667"/>
      <c r="P985" s="667"/>
      <c r="Q985" s="667"/>
    </row>
    <row r="986" ht="15.75" customHeight="1">
      <c r="B986" s="667"/>
      <c r="C986" s="667"/>
      <c r="D986" s="667"/>
      <c r="E986" s="667"/>
      <c r="F986" s="667"/>
      <c r="G986" s="667"/>
      <c r="H986" s="667"/>
      <c r="I986" s="667"/>
      <c r="J986" s="667"/>
      <c r="K986" s="667"/>
      <c r="L986" s="667"/>
      <c r="M986" s="667"/>
      <c r="N986" s="667"/>
      <c r="O986" s="667"/>
      <c r="P986" s="667"/>
      <c r="Q986" s="667"/>
    </row>
    <row r="987" ht="15.75" customHeight="1">
      <c r="B987" s="667"/>
      <c r="C987" s="667"/>
      <c r="D987" s="667"/>
      <c r="E987" s="667"/>
      <c r="F987" s="667"/>
      <c r="G987" s="667"/>
      <c r="H987" s="667"/>
      <c r="I987" s="667"/>
      <c r="J987" s="667"/>
      <c r="K987" s="667"/>
      <c r="L987" s="667"/>
      <c r="M987" s="667"/>
      <c r="N987" s="667"/>
      <c r="O987" s="667"/>
      <c r="P987" s="667"/>
      <c r="Q987" s="667"/>
    </row>
    <row r="988" ht="15.75" customHeight="1">
      <c r="B988" s="667"/>
      <c r="C988" s="667"/>
      <c r="D988" s="667"/>
      <c r="E988" s="667"/>
      <c r="F988" s="667"/>
      <c r="G988" s="667"/>
      <c r="H988" s="667"/>
      <c r="I988" s="667"/>
      <c r="J988" s="667"/>
      <c r="K988" s="667"/>
      <c r="L988" s="667"/>
      <c r="M988" s="667"/>
      <c r="N988" s="667"/>
      <c r="O988" s="667"/>
      <c r="P988" s="667"/>
      <c r="Q988" s="667"/>
    </row>
    <row r="989" ht="15.75" customHeight="1">
      <c r="B989" s="667"/>
      <c r="C989" s="667"/>
      <c r="D989" s="667"/>
      <c r="E989" s="667"/>
      <c r="F989" s="667"/>
      <c r="G989" s="667"/>
      <c r="H989" s="667"/>
      <c r="I989" s="667"/>
      <c r="J989" s="667"/>
      <c r="K989" s="667"/>
      <c r="L989" s="667"/>
      <c r="M989" s="667"/>
      <c r="N989" s="667"/>
      <c r="O989" s="667"/>
      <c r="P989" s="667"/>
      <c r="Q989" s="667"/>
    </row>
  </sheetData>
  <mergeCells count="15">
    <mergeCell ref="C107:E107"/>
    <mergeCell ref="G107:H107"/>
    <mergeCell ref="I107:L107"/>
    <mergeCell ref="M107:Q107"/>
    <mergeCell ref="C108:E108"/>
    <mergeCell ref="G108:H108"/>
    <mergeCell ref="J108:L108"/>
    <mergeCell ref="M108:Q108"/>
    <mergeCell ref="B1:Q1"/>
    <mergeCell ref="C2:R2"/>
    <mergeCell ref="K3:M3"/>
    <mergeCell ref="O3:Q3"/>
    <mergeCell ref="L4:M4"/>
    <mergeCell ref="B106:C106"/>
    <mergeCell ref="E106:F106"/>
  </mergeCells>
  <printOptions/>
  <pageMargins bottom="0.7480314960629921" footer="0.0" header="0.0" left="0.7086614173228347" right="0.7086614173228347" top="0.7480314960629921"/>
  <pageSetup paperSize="5" scale="90"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7.57"/>
    <col customWidth="1" min="3" max="3" width="71.0"/>
    <col customWidth="1" min="4" max="4" width="80.0"/>
    <col customWidth="1" min="5" max="5" width="12.71"/>
    <col customWidth="1" min="6" max="6" width="8.71"/>
    <col customWidth="1" min="7" max="7" width="32.29"/>
    <col customWidth="1" min="8" max="8" width="15.0"/>
    <col customWidth="1" min="9" max="9" width="22.14"/>
    <col customWidth="1" min="10" max="10" width="8.71"/>
    <col customWidth="1" min="11" max="11" width="27.71"/>
    <col customWidth="1" min="12" max="12" width="8.71"/>
    <col customWidth="1" min="13" max="13" width="55.86"/>
    <col customWidth="1" min="14" max="14" width="8.71"/>
    <col customWidth="1" min="15" max="15" width="16.0"/>
    <col customWidth="1" min="16" max="26" width="8.71"/>
  </cols>
  <sheetData>
    <row r="1">
      <c r="A1" s="790"/>
      <c r="Q1" s="3"/>
      <c r="R1" s="3"/>
      <c r="S1" s="3"/>
      <c r="T1" s="3"/>
      <c r="U1" s="3"/>
      <c r="V1" s="3"/>
      <c r="W1" s="3"/>
      <c r="X1" s="3"/>
      <c r="Y1" s="3"/>
      <c r="Z1" s="3"/>
    </row>
    <row r="2">
      <c r="A2" s="790"/>
      <c r="M2" s="791"/>
      <c r="Q2" s="3"/>
      <c r="R2" s="3"/>
      <c r="S2" s="3"/>
      <c r="T2" s="3"/>
      <c r="U2" s="3"/>
      <c r="V2" s="3"/>
      <c r="W2" s="3"/>
      <c r="X2" s="3"/>
      <c r="Y2" s="3"/>
      <c r="Z2" s="3"/>
    </row>
    <row r="3">
      <c r="A3" s="790" t="s">
        <v>0</v>
      </c>
      <c r="M3" s="792" t="s">
        <v>17282</v>
      </c>
      <c r="N3" s="583"/>
      <c r="O3" s="791"/>
      <c r="P3" s="791"/>
      <c r="Q3" s="3"/>
      <c r="R3" s="3"/>
      <c r="S3" s="3"/>
      <c r="T3" s="3"/>
      <c r="U3" s="3"/>
      <c r="V3" s="3"/>
      <c r="W3" s="3"/>
      <c r="X3" s="3"/>
      <c r="Y3" s="3"/>
      <c r="Z3" s="3"/>
    </row>
    <row r="4">
      <c r="A4" s="790"/>
      <c r="Q4" s="3"/>
      <c r="R4" s="3"/>
      <c r="S4" s="3"/>
      <c r="T4" s="3"/>
      <c r="U4" s="3"/>
      <c r="V4" s="3"/>
      <c r="W4" s="3"/>
      <c r="X4" s="3"/>
      <c r="Y4" s="3"/>
      <c r="Z4" s="3"/>
    </row>
    <row r="5" ht="31.5" customHeight="1">
      <c r="A5" s="547" t="s">
        <v>13864</v>
      </c>
      <c r="B5" s="295" t="s">
        <v>13834</v>
      </c>
      <c r="C5" s="409" t="s">
        <v>10</v>
      </c>
      <c r="D5" s="409" t="s">
        <v>11</v>
      </c>
      <c r="E5" s="409" t="s">
        <v>12</v>
      </c>
      <c r="F5" s="409" t="s">
        <v>13</v>
      </c>
      <c r="G5" s="409" t="s">
        <v>14</v>
      </c>
      <c r="H5" s="409" t="s">
        <v>13835</v>
      </c>
      <c r="I5" s="409" t="s">
        <v>13865</v>
      </c>
      <c r="J5" s="409" t="s">
        <v>16</v>
      </c>
      <c r="K5" s="409" t="s">
        <v>13836</v>
      </c>
      <c r="L5" s="409" t="s">
        <v>13837</v>
      </c>
      <c r="M5" s="409" t="s">
        <v>18</v>
      </c>
      <c r="N5" s="409" t="s">
        <v>19</v>
      </c>
      <c r="O5" s="409" t="s">
        <v>20</v>
      </c>
      <c r="P5" s="409" t="s">
        <v>21</v>
      </c>
      <c r="Q5" s="3"/>
      <c r="R5" s="3"/>
      <c r="S5" s="3"/>
      <c r="T5" s="3"/>
      <c r="U5" s="3"/>
      <c r="V5" s="3"/>
      <c r="W5" s="3"/>
      <c r="X5" s="3"/>
      <c r="Y5" s="3"/>
      <c r="Z5" s="3"/>
    </row>
    <row r="6">
      <c r="A6" s="793">
        <v>1.0</v>
      </c>
      <c r="B6" s="794"/>
      <c r="C6" s="794" t="s">
        <v>17283</v>
      </c>
      <c r="D6" s="794"/>
      <c r="E6" s="794" t="s">
        <v>13058</v>
      </c>
      <c r="F6" s="794" t="s">
        <v>29</v>
      </c>
      <c r="G6" s="794" t="s">
        <v>15646</v>
      </c>
      <c r="H6" s="794" t="s">
        <v>31</v>
      </c>
      <c r="I6" s="794" t="s">
        <v>17284</v>
      </c>
      <c r="J6" s="794"/>
      <c r="K6" s="794" t="s">
        <v>16201</v>
      </c>
      <c r="L6" s="794"/>
      <c r="M6" s="794" t="s">
        <v>15646</v>
      </c>
      <c r="N6" s="795">
        <v>1983.0</v>
      </c>
      <c r="O6" s="794" t="s">
        <v>388</v>
      </c>
      <c r="P6" s="794">
        <v>1.0</v>
      </c>
      <c r="Q6" s="3"/>
      <c r="R6" s="3"/>
      <c r="S6" s="3"/>
      <c r="T6" s="3"/>
      <c r="U6" s="3"/>
      <c r="V6" s="3"/>
      <c r="W6" s="3"/>
      <c r="X6" s="3"/>
      <c r="Y6" s="3"/>
      <c r="Z6" s="3"/>
    </row>
    <row r="7">
      <c r="A7" s="793">
        <v>2.0</v>
      </c>
      <c r="B7" s="794"/>
      <c r="C7" s="794" t="s">
        <v>17285</v>
      </c>
      <c r="D7" s="794" t="s">
        <v>17286</v>
      </c>
      <c r="E7" s="794" t="s">
        <v>13058</v>
      </c>
      <c r="F7" s="794" t="s">
        <v>29</v>
      </c>
      <c r="G7" s="794" t="s">
        <v>15646</v>
      </c>
      <c r="H7" s="794" t="s">
        <v>31</v>
      </c>
      <c r="I7" s="794" t="s">
        <v>15646</v>
      </c>
      <c r="J7" s="794"/>
      <c r="K7" s="794" t="s">
        <v>16201</v>
      </c>
      <c r="L7" s="794"/>
      <c r="M7" s="794" t="s">
        <v>17287</v>
      </c>
      <c r="N7" s="795">
        <v>1988.0</v>
      </c>
      <c r="O7" s="794" t="s">
        <v>388</v>
      </c>
      <c r="P7" s="794">
        <v>1.0</v>
      </c>
      <c r="Q7" s="3"/>
      <c r="R7" s="3"/>
      <c r="S7" s="3"/>
      <c r="T7" s="3"/>
      <c r="U7" s="3"/>
      <c r="V7" s="3"/>
      <c r="W7" s="3"/>
      <c r="X7" s="3"/>
      <c r="Y7" s="3"/>
      <c r="Z7" s="3"/>
    </row>
    <row r="8">
      <c r="A8" s="793">
        <v>3.0</v>
      </c>
      <c r="B8" s="794"/>
      <c r="C8" s="794" t="s">
        <v>17288</v>
      </c>
      <c r="D8" s="794" t="s">
        <v>17289</v>
      </c>
      <c r="E8" s="794" t="s">
        <v>13058</v>
      </c>
      <c r="F8" s="794" t="s">
        <v>29</v>
      </c>
      <c r="G8" s="794" t="s">
        <v>15646</v>
      </c>
      <c r="H8" s="794" t="s">
        <v>31</v>
      </c>
      <c r="I8" s="794" t="s">
        <v>17284</v>
      </c>
      <c r="J8" s="794"/>
      <c r="K8" s="794" t="s">
        <v>16201</v>
      </c>
      <c r="L8" s="794"/>
      <c r="M8" s="794" t="s">
        <v>15646</v>
      </c>
      <c r="N8" s="795">
        <v>1978.0</v>
      </c>
      <c r="O8" s="794" t="s">
        <v>388</v>
      </c>
      <c r="P8" s="794">
        <v>3.0</v>
      </c>
      <c r="Q8" s="3"/>
      <c r="R8" s="3"/>
      <c r="S8" s="3"/>
      <c r="T8" s="3"/>
      <c r="U8" s="3"/>
      <c r="V8" s="3"/>
      <c r="W8" s="3"/>
      <c r="X8" s="3"/>
      <c r="Y8" s="3"/>
      <c r="Z8" s="3"/>
    </row>
    <row r="9">
      <c r="A9" s="793">
        <v>4.0</v>
      </c>
      <c r="B9" s="794"/>
      <c r="C9" s="794" t="s">
        <v>17290</v>
      </c>
      <c r="D9" s="794" t="s">
        <v>17291</v>
      </c>
      <c r="E9" s="794" t="s">
        <v>13058</v>
      </c>
      <c r="F9" s="794" t="s">
        <v>29</v>
      </c>
      <c r="G9" s="794" t="s">
        <v>15646</v>
      </c>
      <c r="H9" s="794" t="s">
        <v>31</v>
      </c>
      <c r="I9" s="794" t="s">
        <v>17284</v>
      </c>
      <c r="J9" s="794"/>
      <c r="K9" s="794" t="s">
        <v>16201</v>
      </c>
      <c r="L9" s="794"/>
      <c r="M9" s="794" t="s">
        <v>15646</v>
      </c>
      <c r="N9" s="795">
        <v>1984.0</v>
      </c>
      <c r="O9" s="794" t="s">
        <v>388</v>
      </c>
      <c r="P9" s="794">
        <v>1.0</v>
      </c>
      <c r="Q9" s="3"/>
      <c r="R9" s="3"/>
      <c r="S9" s="3"/>
      <c r="T9" s="3"/>
      <c r="U9" s="3"/>
      <c r="V9" s="3"/>
      <c r="W9" s="3"/>
      <c r="X9" s="3"/>
      <c r="Y9" s="3"/>
      <c r="Z9" s="3"/>
    </row>
    <row r="10">
      <c r="A10" s="793">
        <v>5.0</v>
      </c>
      <c r="B10" s="794"/>
      <c r="C10" s="794" t="s">
        <v>17290</v>
      </c>
      <c r="D10" s="794" t="s">
        <v>17286</v>
      </c>
      <c r="E10" s="794" t="s">
        <v>13058</v>
      </c>
      <c r="F10" s="794" t="s">
        <v>29</v>
      </c>
      <c r="G10" s="794" t="s">
        <v>15646</v>
      </c>
      <c r="H10" s="794" t="s">
        <v>31</v>
      </c>
      <c r="I10" s="794" t="s">
        <v>15646</v>
      </c>
      <c r="J10" s="794"/>
      <c r="K10" s="794" t="s">
        <v>16201</v>
      </c>
      <c r="L10" s="794"/>
      <c r="M10" s="794" t="s">
        <v>17287</v>
      </c>
      <c r="N10" s="795">
        <v>1986.0</v>
      </c>
      <c r="O10" s="794" t="s">
        <v>388</v>
      </c>
      <c r="P10" s="794">
        <v>1.0</v>
      </c>
      <c r="Q10" s="3"/>
      <c r="R10" s="3"/>
      <c r="S10" s="3"/>
      <c r="T10" s="3"/>
      <c r="U10" s="3"/>
      <c r="V10" s="3"/>
      <c r="W10" s="3"/>
      <c r="X10" s="3"/>
      <c r="Y10" s="3"/>
      <c r="Z10" s="3"/>
    </row>
    <row r="11">
      <c r="A11" s="790">
        <v>6.0</v>
      </c>
      <c r="B11" s="794"/>
      <c r="C11" s="794" t="s">
        <v>17292</v>
      </c>
      <c r="D11" s="794" t="s">
        <v>17293</v>
      </c>
      <c r="E11" s="794" t="s">
        <v>15035</v>
      </c>
      <c r="F11" s="794" t="s">
        <v>29</v>
      </c>
      <c r="G11" s="794" t="s">
        <v>15646</v>
      </c>
      <c r="H11" s="794" t="s">
        <v>31</v>
      </c>
      <c r="I11" s="794" t="s">
        <v>15646</v>
      </c>
      <c r="J11" s="794"/>
      <c r="K11" s="794" t="s">
        <v>31</v>
      </c>
      <c r="L11" s="794"/>
      <c r="M11" s="794" t="s">
        <v>15646</v>
      </c>
      <c r="N11" s="795">
        <v>1967.0</v>
      </c>
      <c r="O11" s="794" t="s">
        <v>388</v>
      </c>
      <c r="P11" s="794">
        <v>1.0</v>
      </c>
      <c r="Q11" s="3"/>
      <c r="R11" s="3"/>
      <c r="S11" s="3"/>
      <c r="T11" s="3"/>
      <c r="U11" s="3"/>
      <c r="V11" s="3"/>
      <c r="W11" s="3"/>
      <c r="X11" s="3"/>
      <c r="Y11" s="3"/>
      <c r="Z11" s="3"/>
    </row>
    <row r="12">
      <c r="A12" s="793">
        <v>7.0</v>
      </c>
      <c r="B12" s="794"/>
      <c r="C12" s="794" t="s">
        <v>17294</v>
      </c>
      <c r="D12" s="794" t="s">
        <v>17295</v>
      </c>
      <c r="E12" s="794" t="s">
        <v>13058</v>
      </c>
      <c r="F12" s="794" t="s">
        <v>29</v>
      </c>
      <c r="G12" s="794" t="s">
        <v>6454</v>
      </c>
      <c r="H12" s="794" t="s">
        <v>31</v>
      </c>
      <c r="I12" s="794" t="s">
        <v>17296</v>
      </c>
      <c r="J12" s="794"/>
      <c r="K12" s="794" t="s">
        <v>31</v>
      </c>
      <c r="L12" s="794"/>
      <c r="M12" s="794" t="s">
        <v>6151</v>
      </c>
      <c r="N12" s="795">
        <v>1963.0</v>
      </c>
      <c r="O12" s="794" t="s">
        <v>388</v>
      </c>
      <c r="P12" s="794">
        <v>1.0</v>
      </c>
      <c r="Q12" s="3"/>
      <c r="R12" s="3"/>
      <c r="S12" s="3"/>
      <c r="T12" s="3"/>
      <c r="U12" s="3"/>
      <c r="V12" s="3"/>
      <c r="W12" s="3"/>
      <c r="X12" s="3"/>
      <c r="Y12" s="3"/>
      <c r="Z12" s="3"/>
    </row>
    <row r="13">
      <c r="A13" s="793">
        <v>8.0</v>
      </c>
      <c r="B13" s="794"/>
      <c r="C13" s="794" t="s">
        <v>17297</v>
      </c>
      <c r="D13" s="794" t="s">
        <v>17295</v>
      </c>
      <c r="E13" s="794" t="s">
        <v>13058</v>
      </c>
      <c r="F13" s="794" t="s">
        <v>29</v>
      </c>
      <c r="G13" s="794" t="s">
        <v>6454</v>
      </c>
      <c r="H13" s="794" t="s">
        <v>31</v>
      </c>
      <c r="I13" s="794" t="s">
        <v>17296</v>
      </c>
      <c r="J13" s="794"/>
      <c r="K13" s="794" t="s">
        <v>31</v>
      </c>
      <c r="L13" s="794"/>
      <c r="M13" s="794" t="s">
        <v>6151</v>
      </c>
      <c r="N13" s="795">
        <v>1964.0</v>
      </c>
      <c r="O13" s="794" t="s">
        <v>388</v>
      </c>
      <c r="P13" s="794">
        <v>2.0</v>
      </c>
      <c r="Q13" s="3"/>
      <c r="R13" s="3"/>
      <c r="S13" s="3"/>
      <c r="T13" s="3"/>
      <c r="U13" s="3"/>
      <c r="V13" s="3"/>
      <c r="W13" s="3"/>
      <c r="X13" s="3"/>
      <c r="Y13" s="3"/>
      <c r="Z13" s="3"/>
    </row>
    <row r="14">
      <c r="A14" s="793">
        <v>9.0</v>
      </c>
      <c r="B14" s="794"/>
      <c r="C14" s="794" t="s">
        <v>17298</v>
      </c>
      <c r="D14" s="794" t="s">
        <v>17295</v>
      </c>
      <c r="E14" s="794" t="s">
        <v>13058</v>
      </c>
      <c r="F14" s="794" t="s">
        <v>29</v>
      </c>
      <c r="G14" s="794" t="s">
        <v>6454</v>
      </c>
      <c r="H14" s="794" t="s">
        <v>31</v>
      </c>
      <c r="I14" s="794" t="s">
        <v>17296</v>
      </c>
      <c r="J14" s="794"/>
      <c r="K14" s="794" t="s">
        <v>31</v>
      </c>
      <c r="L14" s="794"/>
      <c r="M14" s="794" t="s">
        <v>6151</v>
      </c>
      <c r="N14" s="795">
        <v>1966.0</v>
      </c>
      <c r="O14" s="794" t="s">
        <v>388</v>
      </c>
      <c r="P14" s="794">
        <v>1.0</v>
      </c>
      <c r="Q14" s="3"/>
      <c r="R14" s="3"/>
      <c r="S14" s="3"/>
      <c r="T14" s="3"/>
      <c r="U14" s="3"/>
      <c r="V14" s="3"/>
      <c r="W14" s="3"/>
      <c r="X14" s="3"/>
      <c r="Y14" s="3"/>
      <c r="Z14" s="3"/>
    </row>
    <row r="15">
      <c r="A15" s="793">
        <v>11.0</v>
      </c>
      <c r="B15" s="794"/>
      <c r="C15" s="794" t="s">
        <v>17299</v>
      </c>
      <c r="D15" s="794" t="s">
        <v>17300</v>
      </c>
      <c r="E15" s="794" t="s">
        <v>15035</v>
      </c>
      <c r="F15" s="794" t="s">
        <v>29</v>
      </c>
      <c r="G15" s="794" t="s">
        <v>6151</v>
      </c>
      <c r="H15" s="794"/>
      <c r="I15" s="794" t="s">
        <v>6454</v>
      </c>
      <c r="J15" s="794"/>
      <c r="K15" s="794"/>
      <c r="L15" s="794"/>
      <c r="M15" s="794" t="s">
        <v>6151</v>
      </c>
      <c r="N15" s="795">
        <v>1967.0</v>
      </c>
      <c r="O15" s="794" t="s">
        <v>388</v>
      </c>
      <c r="P15" s="794">
        <v>1.0</v>
      </c>
      <c r="Q15" s="3"/>
      <c r="R15" s="3"/>
      <c r="S15" s="3"/>
      <c r="T15" s="3"/>
      <c r="U15" s="3"/>
      <c r="V15" s="3"/>
      <c r="W15" s="3"/>
      <c r="X15" s="3"/>
      <c r="Y15" s="3"/>
      <c r="Z15" s="3"/>
    </row>
    <row r="16">
      <c r="A16" s="796" t="s">
        <v>17301</v>
      </c>
      <c r="B16" s="794"/>
      <c r="C16" s="794" t="s">
        <v>17302</v>
      </c>
      <c r="D16" s="794" t="s">
        <v>17303</v>
      </c>
      <c r="E16" s="794" t="s">
        <v>13058</v>
      </c>
      <c r="F16" s="794" t="s">
        <v>29</v>
      </c>
      <c r="G16" s="794" t="s">
        <v>6454</v>
      </c>
      <c r="H16" s="794"/>
      <c r="I16" s="794" t="s">
        <v>6454</v>
      </c>
      <c r="J16" s="794"/>
      <c r="K16" s="794" t="s">
        <v>16201</v>
      </c>
      <c r="L16" s="794"/>
      <c r="M16" s="794" t="s">
        <v>16294</v>
      </c>
      <c r="N16" s="795">
        <v>1981.0</v>
      </c>
      <c r="O16" s="794" t="s">
        <v>388</v>
      </c>
      <c r="P16" s="794">
        <v>2.0</v>
      </c>
      <c r="Q16" s="3"/>
      <c r="R16" s="3"/>
      <c r="S16" s="3"/>
      <c r="T16" s="3"/>
      <c r="U16" s="3"/>
      <c r="V16" s="3"/>
      <c r="W16" s="3"/>
      <c r="X16" s="3"/>
      <c r="Y16" s="3"/>
      <c r="Z16" s="3"/>
    </row>
    <row r="17">
      <c r="A17" s="796" t="s">
        <v>17304</v>
      </c>
      <c r="B17" s="794"/>
      <c r="C17" s="794" t="s">
        <v>17305</v>
      </c>
      <c r="D17" s="794" t="s">
        <v>17306</v>
      </c>
      <c r="E17" s="794" t="s">
        <v>15035</v>
      </c>
      <c r="F17" s="794" t="s">
        <v>29</v>
      </c>
      <c r="G17" s="794" t="s">
        <v>6454</v>
      </c>
      <c r="H17" s="794" t="s">
        <v>31</v>
      </c>
      <c r="I17" s="794" t="s">
        <v>6454</v>
      </c>
      <c r="J17" s="794"/>
      <c r="K17" s="794" t="s">
        <v>31</v>
      </c>
      <c r="L17" s="794"/>
      <c r="M17" s="794" t="s">
        <v>4207</v>
      </c>
      <c r="N17" s="795">
        <v>2002.0</v>
      </c>
      <c r="O17" s="794" t="s">
        <v>388</v>
      </c>
      <c r="P17" s="794">
        <v>1.0</v>
      </c>
      <c r="Q17" s="3"/>
      <c r="R17" s="3"/>
      <c r="S17" s="3"/>
      <c r="T17" s="3"/>
      <c r="U17" s="3"/>
      <c r="V17" s="3"/>
      <c r="W17" s="3"/>
      <c r="X17" s="3"/>
      <c r="Y17" s="3"/>
      <c r="Z17" s="3"/>
    </row>
    <row r="18">
      <c r="A18" s="796" t="s">
        <v>17307</v>
      </c>
      <c r="B18" s="794"/>
      <c r="C18" s="794" t="s">
        <v>17308</v>
      </c>
      <c r="D18" s="794" t="s">
        <v>17309</v>
      </c>
      <c r="E18" s="794" t="s">
        <v>13058</v>
      </c>
      <c r="F18" s="794" t="s">
        <v>29</v>
      </c>
      <c r="G18" s="794" t="s">
        <v>6454</v>
      </c>
      <c r="H18" s="794"/>
      <c r="I18" s="794" t="s">
        <v>6454</v>
      </c>
      <c r="J18" s="794"/>
      <c r="K18" s="794"/>
      <c r="L18" s="794"/>
      <c r="M18" s="794" t="s">
        <v>6151</v>
      </c>
      <c r="N18" s="795">
        <v>1987.0</v>
      </c>
      <c r="O18" s="794" t="s">
        <v>388</v>
      </c>
      <c r="P18" s="794">
        <v>1.0</v>
      </c>
      <c r="Q18" s="3"/>
      <c r="R18" s="3"/>
      <c r="S18" s="3"/>
      <c r="T18" s="3"/>
      <c r="U18" s="3"/>
      <c r="V18" s="3"/>
      <c r="W18" s="3"/>
      <c r="X18" s="3"/>
      <c r="Y18" s="3"/>
      <c r="Z18" s="3"/>
    </row>
    <row r="19">
      <c r="A19" s="796" t="s">
        <v>17310</v>
      </c>
      <c r="B19" s="794"/>
      <c r="C19" s="794" t="s">
        <v>17311</v>
      </c>
      <c r="D19" s="794" t="s">
        <v>17312</v>
      </c>
      <c r="E19" s="794" t="s">
        <v>13058</v>
      </c>
      <c r="F19" s="794" t="s">
        <v>29</v>
      </c>
      <c r="G19" s="794" t="s">
        <v>6454</v>
      </c>
      <c r="H19" s="794"/>
      <c r="I19" s="794" t="s">
        <v>6454</v>
      </c>
      <c r="J19" s="794"/>
      <c r="K19" s="794" t="s">
        <v>16201</v>
      </c>
      <c r="L19" s="794"/>
      <c r="M19" s="794" t="s">
        <v>16294</v>
      </c>
      <c r="N19" s="795">
        <v>1991.0</v>
      </c>
      <c r="O19" s="794" t="s">
        <v>388</v>
      </c>
      <c r="P19" s="794">
        <v>1.0</v>
      </c>
      <c r="Q19" s="3"/>
      <c r="R19" s="3"/>
      <c r="S19" s="3"/>
      <c r="T19" s="3"/>
      <c r="U19" s="3"/>
      <c r="V19" s="3"/>
      <c r="W19" s="3"/>
      <c r="X19" s="3"/>
      <c r="Y19" s="3"/>
      <c r="Z19" s="3"/>
    </row>
    <row r="20">
      <c r="A20" s="796" t="s">
        <v>17313</v>
      </c>
      <c r="B20" s="794"/>
      <c r="C20" s="794" t="s">
        <v>17314</v>
      </c>
      <c r="D20" s="794" t="s">
        <v>17315</v>
      </c>
      <c r="E20" s="794" t="s">
        <v>13058</v>
      </c>
      <c r="F20" s="794" t="s">
        <v>29</v>
      </c>
      <c r="G20" s="794" t="s">
        <v>5747</v>
      </c>
      <c r="H20" s="794"/>
      <c r="I20" s="794" t="s">
        <v>5747</v>
      </c>
      <c r="J20" s="794"/>
      <c r="K20" s="794" t="s">
        <v>31</v>
      </c>
      <c r="L20" s="794"/>
      <c r="M20" s="794" t="s">
        <v>17316</v>
      </c>
      <c r="N20" s="795">
        <v>1966.0</v>
      </c>
      <c r="O20" s="794" t="s">
        <v>388</v>
      </c>
      <c r="P20" s="794">
        <v>1.0</v>
      </c>
      <c r="Q20" s="3"/>
      <c r="R20" s="3"/>
      <c r="S20" s="3"/>
      <c r="T20" s="3"/>
      <c r="U20" s="3"/>
      <c r="V20" s="3"/>
      <c r="W20" s="3"/>
      <c r="X20" s="3"/>
      <c r="Y20" s="3"/>
      <c r="Z20" s="3"/>
    </row>
    <row r="21" ht="15.75" customHeight="1">
      <c r="A21" s="796" t="s">
        <v>17317</v>
      </c>
      <c r="B21" s="794" t="s">
        <v>17318</v>
      </c>
      <c r="C21" s="794" t="s">
        <v>17319</v>
      </c>
      <c r="D21" s="794" t="s">
        <v>17320</v>
      </c>
      <c r="E21" s="794" t="s">
        <v>13058</v>
      </c>
      <c r="F21" s="794" t="s">
        <v>29</v>
      </c>
      <c r="G21" s="794" t="s">
        <v>17321</v>
      </c>
      <c r="H21" s="794"/>
      <c r="I21" s="794" t="s">
        <v>17322</v>
      </c>
      <c r="J21" s="794"/>
      <c r="K21" s="794" t="s">
        <v>17323</v>
      </c>
      <c r="L21" s="794"/>
      <c r="M21" s="794" t="s">
        <v>12447</v>
      </c>
      <c r="N21" s="795">
        <v>1983.0</v>
      </c>
      <c r="O21" s="794" t="s">
        <v>388</v>
      </c>
      <c r="P21" s="794">
        <v>1.0</v>
      </c>
      <c r="Q21" s="3"/>
      <c r="R21" s="3"/>
      <c r="S21" s="3"/>
      <c r="T21" s="3"/>
      <c r="U21" s="3"/>
      <c r="V21" s="3"/>
      <c r="W21" s="3"/>
      <c r="X21" s="3"/>
      <c r="Y21" s="3"/>
      <c r="Z21" s="3"/>
    </row>
    <row r="22" ht="15.75" customHeight="1">
      <c r="A22" s="796" t="s">
        <v>17324</v>
      </c>
      <c r="B22" s="794"/>
      <c r="C22" s="794" t="s">
        <v>17325</v>
      </c>
      <c r="D22" s="794" t="s">
        <v>15277</v>
      </c>
      <c r="E22" s="794" t="s">
        <v>13058</v>
      </c>
      <c r="F22" s="794" t="s">
        <v>29</v>
      </c>
      <c r="G22" s="794" t="s">
        <v>5747</v>
      </c>
      <c r="H22" s="794"/>
      <c r="I22" s="794" t="s">
        <v>17326</v>
      </c>
      <c r="J22" s="794"/>
      <c r="K22" s="794" t="s">
        <v>16201</v>
      </c>
      <c r="L22" s="794"/>
      <c r="M22" s="794" t="s">
        <v>15278</v>
      </c>
      <c r="N22" s="795">
        <v>1988.0</v>
      </c>
      <c r="O22" s="794" t="s">
        <v>388</v>
      </c>
      <c r="P22" s="794">
        <v>1.0</v>
      </c>
      <c r="Q22" s="3"/>
      <c r="R22" s="3"/>
      <c r="S22" s="3"/>
      <c r="T22" s="3"/>
      <c r="U22" s="3"/>
      <c r="V22" s="3"/>
      <c r="W22" s="3"/>
      <c r="X22" s="3"/>
      <c r="Y22" s="3"/>
      <c r="Z22" s="3"/>
    </row>
    <row r="23" ht="15.75" customHeight="1">
      <c r="A23" s="796" t="s">
        <v>17327</v>
      </c>
      <c r="B23" s="794"/>
      <c r="C23" s="794" t="s">
        <v>17328</v>
      </c>
      <c r="D23" s="794" t="s">
        <v>17329</v>
      </c>
      <c r="E23" s="794" t="s">
        <v>13058</v>
      </c>
      <c r="F23" s="794" t="s">
        <v>29</v>
      </c>
      <c r="G23" s="794" t="s">
        <v>5747</v>
      </c>
      <c r="H23" s="794" t="s">
        <v>31</v>
      </c>
      <c r="I23" s="794" t="s">
        <v>17326</v>
      </c>
      <c r="J23" s="794"/>
      <c r="K23" s="794" t="s">
        <v>31</v>
      </c>
      <c r="L23" s="794"/>
      <c r="M23" s="794" t="s">
        <v>6151</v>
      </c>
      <c r="N23" s="795">
        <v>1966.0</v>
      </c>
      <c r="O23" s="794" t="s">
        <v>388</v>
      </c>
      <c r="P23" s="794">
        <v>1.0</v>
      </c>
      <c r="Q23" s="3"/>
      <c r="R23" s="3"/>
      <c r="S23" s="3"/>
      <c r="T23" s="3"/>
      <c r="U23" s="3"/>
      <c r="V23" s="3"/>
      <c r="W23" s="3"/>
      <c r="X23" s="3"/>
      <c r="Y23" s="3"/>
      <c r="Z23" s="3"/>
    </row>
    <row r="24" ht="15.75" customHeight="1">
      <c r="A24" s="796" t="s">
        <v>17330</v>
      </c>
      <c r="B24" s="794"/>
      <c r="C24" s="794" t="s">
        <v>17331</v>
      </c>
      <c r="D24" s="794" t="s">
        <v>17332</v>
      </c>
      <c r="E24" s="794" t="s">
        <v>17333</v>
      </c>
      <c r="F24" s="794" t="s">
        <v>29</v>
      </c>
      <c r="G24" s="794" t="s">
        <v>5747</v>
      </c>
      <c r="H24" s="794"/>
      <c r="I24" s="794" t="s">
        <v>17334</v>
      </c>
      <c r="J24" s="794"/>
      <c r="K24" s="794" t="s">
        <v>15116</v>
      </c>
      <c r="L24" s="794"/>
      <c r="M24" s="794" t="s">
        <v>17335</v>
      </c>
      <c r="N24" s="795"/>
      <c r="O24" s="794" t="s">
        <v>388</v>
      </c>
      <c r="P24" s="794">
        <v>1.0</v>
      </c>
      <c r="Q24" s="3"/>
      <c r="R24" s="3"/>
      <c r="S24" s="3"/>
      <c r="T24" s="3"/>
      <c r="U24" s="3"/>
      <c r="V24" s="3"/>
      <c r="W24" s="3"/>
      <c r="X24" s="3"/>
      <c r="Y24" s="3"/>
      <c r="Z24" s="3"/>
    </row>
    <row r="25" ht="15.75" customHeight="1">
      <c r="A25" s="796" t="s">
        <v>17336</v>
      </c>
      <c r="B25" s="794"/>
      <c r="C25" s="794" t="s">
        <v>17337</v>
      </c>
      <c r="D25" s="794" t="s">
        <v>17338</v>
      </c>
      <c r="E25" s="794" t="s">
        <v>15035</v>
      </c>
      <c r="F25" s="794" t="s">
        <v>29</v>
      </c>
      <c r="G25" s="794" t="s">
        <v>6454</v>
      </c>
      <c r="H25" s="794"/>
      <c r="I25" s="794" t="s">
        <v>17296</v>
      </c>
      <c r="J25" s="794"/>
      <c r="K25" s="794" t="s">
        <v>16201</v>
      </c>
      <c r="L25" s="794"/>
      <c r="M25" s="794" t="s">
        <v>15290</v>
      </c>
      <c r="N25" s="795">
        <v>1977.0</v>
      </c>
      <c r="O25" s="794" t="s">
        <v>388</v>
      </c>
      <c r="P25" s="794">
        <v>1.0</v>
      </c>
      <c r="Q25" s="3"/>
      <c r="R25" s="3"/>
      <c r="S25" s="3"/>
      <c r="T25" s="3"/>
      <c r="U25" s="3"/>
      <c r="V25" s="3"/>
      <c r="W25" s="3"/>
      <c r="X25" s="3"/>
      <c r="Y25" s="3"/>
      <c r="Z25" s="3"/>
    </row>
    <row r="26" ht="15.75" customHeight="1">
      <c r="A26" s="796" t="s">
        <v>17339</v>
      </c>
      <c r="B26" s="794"/>
      <c r="C26" s="794" t="s">
        <v>17340</v>
      </c>
      <c r="D26" s="794" t="s">
        <v>15277</v>
      </c>
      <c r="E26" s="794" t="s">
        <v>13058</v>
      </c>
      <c r="F26" s="794" t="s">
        <v>29</v>
      </c>
      <c r="G26" s="794" t="s">
        <v>5747</v>
      </c>
      <c r="H26" s="794"/>
      <c r="I26" s="794" t="s">
        <v>17326</v>
      </c>
      <c r="J26" s="794"/>
      <c r="K26" s="794" t="s">
        <v>31</v>
      </c>
      <c r="L26" s="794"/>
      <c r="M26" s="794" t="s">
        <v>6151</v>
      </c>
      <c r="N26" s="795">
        <v>1983.0</v>
      </c>
      <c r="O26" s="794" t="s">
        <v>388</v>
      </c>
      <c r="P26" s="794">
        <v>1.0</v>
      </c>
      <c r="Q26" s="3"/>
      <c r="R26" s="3"/>
      <c r="S26" s="3"/>
      <c r="T26" s="3"/>
      <c r="U26" s="3"/>
      <c r="V26" s="3"/>
      <c r="W26" s="3"/>
      <c r="X26" s="3"/>
      <c r="Y26" s="3"/>
      <c r="Z26" s="3"/>
    </row>
    <row r="27" ht="15.75" customHeight="1">
      <c r="A27" s="796" t="s">
        <v>17341</v>
      </c>
      <c r="B27" s="794"/>
      <c r="C27" s="794" t="s">
        <v>17342</v>
      </c>
      <c r="D27" s="794" t="s">
        <v>17343</v>
      </c>
      <c r="E27" s="794" t="s">
        <v>13058</v>
      </c>
      <c r="F27" s="794" t="s">
        <v>29</v>
      </c>
      <c r="G27" s="794" t="s">
        <v>5747</v>
      </c>
      <c r="H27" s="794"/>
      <c r="I27" s="794" t="s">
        <v>17344</v>
      </c>
      <c r="J27" s="794"/>
      <c r="K27" s="794" t="s">
        <v>16201</v>
      </c>
      <c r="L27" s="794"/>
      <c r="M27" s="794" t="s">
        <v>15278</v>
      </c>
      <c r="N27" s="795">
        <v>1986.0</v>
      </c>
      <c r="O27" s="794" t="s">
        <v>388</v>
      </c>
      <c r="P27" s="794">
        <v>1.0</v>
      </c>
      <c r="Q27" s="3"/>
      <c r="R27" s="3"/>
      <c r="S27" s="3"/>
      <c r="T27" s="3"/>
      <c r="U27" s="3"/>
      <c r="V27" s="3"/>
      <c r="W27" s="3"/>
      <c r="X27" s="3"/>
      <c r="Y27" s="3"/>
      <c r="Z27" s="3"/>
    </row>
    <row r="28" ht="15.75" customHeight="1">
      <c r="A28" s="796" t="s">
        <v>17345</v>
      </c>
      <c r="B28" s="794"/>
      <c r="C28" s="794" t="s">
        <v>17346</v>
      </c>
      <c r="D28" s="794" t="s">
        <v>17347</v>
      </c>
      <c r="E28" s="794" t="s">
        <v>13058</v>
      </c>
      <c r="F28" s="794" t="s">
        <v>29</v>
      </c>
      <c r="G28" s="794" t="s">
        <v>17348</v>
      </c>
      <c r="H28" s="794"/>
      <c r="I28" s="794" t="s">
        <v>17349</v>
      </c>
      <c r="J28" s="794"/>
      <c r="K28" s="794" t="s">
        <v>16201</v>
      </c>
      <c r="L28" s="794"/>
      <c r="M28" s="794" t="s">
        <v>17350</v>
      </c>
      <c r="N28" s="795">
        <v>1988.0</v>
      </c>
      <c r="O28" s="794" t="s">
        <v>388</v>
      </c>
      <c r="P28" s="794">
        <v>1.0</v>
      </c>
      <c r="Q28" s="3"/>
      <c r="R28" s="3"/>
      <c r="S28" s="3"/>
      <c r="T28" s="3"/>
      <c r="U28" s="3"/>
      <c r="V28" s="3"/>
      <c r="W28" s="3"/>
      <c r="X28" s="3"/>
      <c r="Y28" s="3"/>
      <c r="Z28" s="3"/>
    </row>
    <row r="29" ht="15.75" customHeight="1">
      <c r="A29" s="796" t="s">
        <v>15081</v>
      </c>
      <c r="B29" s="794"/>
      <c r="C29" s="794" t="s">
        <v>17351</v>
      </c>
      <c r="D29" s="794" t="s">
        <v>17352</v>
      </c>
      <c r="E29" s="794" t="s">
        <v>15035</v>
      </c>
      <c r="F29" s="794" t="s">
        <v>29</v>
      </c>
      <c r="G29" s="794" t="s">
        <v>17348</v>
      </c>
      <c r="H29" s="794"/>
      <c r="I29" s="794" t="s">
        <v>17349</v>
      </c>
      <c r="J29" s="794"/>
      <c r="K29" s="794" t="s">
        <v>16201</v>
      </c>
      <c r="L29" s="794"/>
      <c r="M29" s="794" t="s">
        <v>6151</v>
      </c>
      <c r="N29" s="795">
        <v>1988.0</v>
      </c>
      <c r="O29" s="794" t="s">
        <v>388</v>
      </c>
      <c r="P29" s="794">
        <v>1.0</v>
      </c>
      <c r="Q29" s="3"/>
      <c r="R29" s="3"/>
      <c r="S29" s="3"/>
      <c r="T29" s="3"/>
      <c r="U29" s="3"/>
      <c r="V29" s="3"/>
      <c r="W29" s="3"/>
      <c r="X29" s="3"/>
      <c r="Y29" s="3"/>
      <c r="Z29" s="3"/>
    </row>
    <row r="30" ht="15.75" customHeight="1">
      <c r="A30" s="796" t="s">
        <v>15086</v>
      </c>
      <c r="B30" s="794"/>
      <c r="C30" s="794" t="s">
        <v>17353</v>
      </c>
      <c r="D30" s="794" t="s">
        <v>17354</v>
      </c>
      <c r="E30" s="794" t="s">
        <v>13058</v>
      </c>
      <c r="F30" s="794" t="s">
        <v>29</v>
      </c>
      <c r="G30" s="794" t="s">
        <v>7816</v>
      </c>
      <c r="H30" s="794"/>
      <c r="I30" s="794" t="s">
        <v>7816</v>
      </c>
      <c r="J30" s="794"/>
      <c r="K30" s="794" t="s">
        <v>16201</v>
      </c>
      <c r="L30" s="794"/>
      <c r="M30" s="794"/>
      <c r="N30" s="795">
        <v>1989.0</v>
      </c>
      <c r="O30" s="794" t="s">
        <v>388</v>
      </c>
      <c r="P30" s="794">
        <v>1.0</v>
      </c>
      <c r="Q30" s="3"/>
      <c r="R30" s="3"/>
      <c r="S30" s="3"/>
      <c r="T30" s="3"/>
      <c r="U30" s="3"/>
      <c r="V30" s="3"/>
      <c r="W30" s="3"/>
      <c r="X30" s="3"/>
      <c r="Y30" s="3"/>
      <c r="Z30" s="3"/>
    </row>
    <row r="31" ht="15.75" customHeight="1">
      <c r="A31" s="796" t="s">
        <v>15087</v>
      </c>
      <c r="B31" s="794" t="s">
        <v>17355</v>
      </c>
      <c r="C31" s="794" t="s">
        <v>17356</v>
      </c>
      <c r="D31" s="794" t="s">
        <v>17357</v>
      </c>
      <c r="E31" s="794" t="s">
        <v>17358</v>
      </c>
      <c r="F31" s="794" t="s">
        <v>29</v>
      </c>
      <c r="G31" s="794" t="s">
        <v>5747</v>
      </c>
      <c r="H31" s="794"/>
      <c r="I31" s="794" t="s">
        <v>17359</v>
      </c>
      <c r="J31" s="794"/>
      <c r="K31" s="794"/>
      <c r="L31" s="794"/>
      <c r="M31" s="794" t="s">
        <v>2953</v>
      </c>
      <c r="N31" s="795">
        <v>1999.0</v>
      </c>
      <c r="O31" s="794" t="s">
        <v>388</v>
      </c>
      <c r="P31" s="794">
        <v>1.0</v>
      </c>
      <c r="Q31" s="3"/>
      <c r="R31" s="3"/>
      <c r="S31" s="3"/>
      <c r="T31" s="3"/>
      <c r="U31" s="3"/>
      <c r="V31" s="3"/>
      <c r="W31" s="3"/>
      <c r="X31" s="3"/>
      <c r="Y31" s="3"/>
      <c r="Z31" s="3"/>
    </row>
    <row r="32" ht="15.75" customHeight="1">
      <c r="A32" s="796" t="s">
        <v>15093</v>
      </c>
      <c r="B32" s="794" t="s">
        <v>17360</v>
      </c>
      <c r="C32" s="794" t="s">
        <v>17361</v>
      </c>
      <c r="D32" s="794" t="s">
        <v>17362</v>
      </c>
      <c r="E32" s="794" t="s">
        <v>13058</v>
      </c>
      <c r="F32" s="794" t="s">
        <v>29</v>
      </c>
      <c r="G32" s="794" t="s">
        <v>5747</v>
      </c>
      <c r="H32" s="794"/>
      <c r="I32" s="794" t="s">
        <v>17363</v>
      </c>
      <c r="J32" s="794"/>
      <c r="K32" s="794" t="s">
        <v>16192</v>
      </c>
      <c r="L32" s="794"/>
      <c r="M32" s="794" t="s">
        <v>17364</v>
      </c>
      <c r="N32" s="795">
        <v>2000.0</v>
      </c>
      <c r="O32" s="794" t="s">
        <v>388</v>
      </c>
      <c r="P32" s="794">
        <v>1.0</v>
      </c>
      <c r="Q32" s="3"/>
      <c r="R32" s="3"/>
      <c r="S32" s="3"/>
      <c r="T32" s="3"/>
      <c r="U32" s="3"/>
      <c r="V32" s="3"/>
      <c r="W32" s="3"/>
      <c r="X32" s="3"/>
      <c r="Y32" s="3"/>
      <c r="Z32" s="3"/>
    </row>
    <row r="33" ht="15.75" customHeight="1">
      <c r="A33" s="796" t="s">
        <v>15098</v>
      </c>
      <c r="B33" s="794" t="s">
        <v>17365</v>
      </c>
      <c r="C33" s="794" t="s">
        <v>17366</v>
      </c>
      <c r="D33" s="794" t="s">
        <v>17367</v>
      </c>
      <c r="E33" s="794" t="s">
        <v>13058</v>
      </c>
      <c r="F33" s="794" t="s">
        <v>29</v>
      </c>
      <c r="G33" s="794" t="s">
        <v>5747</v>
      </c>
      <c r="H33" s="794"/>
      <c r="I33" s="794" t="s">
        <v>17368</v>
      </c>
      <c r="J33" s="794"/>
      <c r="K33" s="794" t="s">
        <v>16192</v>
      </c>
      <c r="L33" s="794"/>
      <c r="M33" s="794" t="s">
        <v>15278</v>
      </c>
      <c r="N33" s="795">
        <v>1989.0</v>
      </c>
      <c r="O33" s="794" t="s">
        <v>388</v>
      </c>
      <c r="P33" s="794">
        <v>1.0</v>
      </c>
      <c r="Q33" s="3"/>
      <c r="R33" s="3"/>
      <c r="S33" s="3"/>
      <c r="T33" s="3"/>
      <c r="U33" s="3"/>
      <c r="V33" s="3"/>
      <c r="W33" s="3"/>
      <c r="X33" s="3"/>
      <c r="Y33" s="3"/>
      <c r="Z33" s="3"/>
    </row>
    <row r="34" ht="15.75" customHeight="1">
      <c r="A34" s="796" t="s">
        <v>15104</v>
      </c>
      <c r="B34" s="794" t="s">
        <v>17369</v>
      </c>
      <c r="C34" s="794" t="s">
        <v>17370</v>
      </c>
      <c r="D34" s="794" t="s">
        <v>17371</v>
      </c>
      <c r="E34" s="794" t="s">
        <v>13058</v>
      </c>
      <c r="F34" s="794" t="s">
        <v>29</v>
      </c>
      <c r="G34" s="794" t="s">
        <v>7816</v>
      </c>
      <c r="H34" s="794"/>
      <c r="I34" s="794" t="s">
        <v>7816</v>
      </c>
      <c r="J34" s="794"/>
      <c r="K34" s="794" t="s">
        <v>31</v>
      </c>
      <c r="L34" s="794"/>
      <c r="M34" s="794" t="s">
        <v>7817</v>
      </c>
      <c r="N34" s="795">
        <v>1989.0</v>
      </c>
      <c r="O34" s="794" t="s">
        <v>388</v>
      </c>
      <c r="P34" s="794">
        <v>1.0</v>
      </c>
      <c r="Q34" s="3"/>
      <c r="R34" s="3"/>
      <c r="S34" s="3"/>
      <c r="T34" s="3"/>
      <c r="U34" s="3"/>
      <c r="V34" s="3"/>
      <c r="W34" s="3"/>
      <c r="X34" s="3"/>
      <c r="Y34" s="3"/>
      <c r="Z34" s="3"/>
    </row>
    <row r="35" ht="15.75" customHeight="1">
      <c r="A35" s="796" t="s">
        <v>15108</v>
      </c>
      <c r="B35" s="794"/>
      <c r="C35" s="794" t="s">
        <v>17372</v>
      </c>
      <c r="D35" s="794" t="s">
        <v>17373</v>
      </c>
      <c r="E35" s="794" t="s">
        <v>13058</v>
      </c>
      <c r="F35" s="794" t="s">
        <v>29</v>
      </c>
      <c r="G35" s="794" t="s">
        <v>7816</v>
      </c>
      <c r="H35" s="794"/>
      <c r="I35" s="794" t="s">
        <v>7816</v>
      </c>
      <c r="J35" s="794"/>
      <c r="K35" s="794" t="s">
        <v>16201</v>
      </c>
      <c r="L35" s="794"/>
      <c r="M35" s="794" t="s">
        <v>7817</v>
      </c>
      <c r="N35" s="795">
        <v>2007.0</v>
      </c>
      <c r="O35" s="794" t="s">
        <v>388</v>
      </c>
      <c r="P35" s="794">
        <v>1.0</v>
      </c>
      <c r="Q35" s="3"/>
      <c r="R35" s="3"/>
      <c r="S35" s="3"/>
      <c r="T35" s="3"/>
      <c r="U35" s="3"/>
      <c r="V35" s="3"/>
      <c r="W35" s="3"/>
      <c r="X35" s="3"/>
      <c r="Y35" s="3"/>
      <c r="Z35" s="3"/>
    </row>
    <row r="36" ht="15.75" customHeight="1">
      <c r="A36" s="796" t="s">
        <v>15113</v>
      </c>
      <c r="B36" s="794"/>
      <c r="C36" s="794" t="s">
        <v>17374</v>
      </c>
      <c r="D36" s="794" t="s">
        <v>17354</v>
      </c>
      <c r="E36" s="794" t="s">
        <v>13058</v>
      </c>
      <c r="F36" s="794" t="s">
        <v>29</v>
      </c>
      <c r="G36" s="794" t="s">
        <v>17375</v>
      </c>
      <c r="H36" s="794"/>
      <c r="I36" s="794" t="s">
        <v>7816</v>
      </c>
      <c r="J36" s="794"/>
      <c r="K36" s="794" t="s">
        <v>16201</v>
      </c>
      <c r="L36" s="794"/>
      <c r="M36" s="794" t="s">
        <v>7817</v>
      </c>
      <c r="N36" s="795">
        <v>1987.0</v>
      </c>
      <c r="O36" s="794" t="s">
        <v>388</v>
      </c>
      <c r="P36" s="794">
        <v>1.0</v>
      </c>
      <c r="Q36" s="3"/>
      <c r="R36" s="3"/>
      <c r="S36" s="3"/>
      <c r="T36" s="3"/>
      <c r="U36" s="3"/>
      <c r="V36" s="3"/>
      <c r="W36" s="3"/>
      <c r="X36" s="3"/>
      <c r="Y36" s="3"/>
      <c r="Z36" s="3"/>
    </row>
    <row r="37" ht="15.75" customHeight="1">
      <c r="A37" s="796" t="s">
        <v>15118</v>
      </c>
      <c r="B37" s="794"/>
      <c r="C37" s="794" t="s">
        <v>17376</v>
      </c>
      <c r="D37" s="794" t="s">
        <v>17377</v>
      </c>
      <c r="E37" s="794" t="s">
        <v>13058</v>
      </c>
      <c r="F37" s="794" t="s">
        <v>29</v>
      </c>
      <c r="G37" s="794" t="s">
        <v>7816</v>
      </c>
      <c r="H37" s="794"/>
      <c r="I37" s="794" t="s">
        <v>7816</v>
      </c>
      <c r="J37" s="794"/>
      <c r="K37" s="794" t="s">
        <v>16201</v>
      </c>
      <c r="L37" s="794"/>
      <c r="M37" s="794" t="s">
        <v>7817</v>
      </c>
      <c r="N37" s="795">
        <v>1978.0</v>
      </c>
      <c r="O37" s="794" t="s">
        <v>388</v>
      </c>
      <c r="P37" s="794">
        <v>1.0</v>
      </c>
      <c r="Q37" s="3"/>
      <c r="R37" s="3"/>
      <c r="S37" s="3"/>
      <c r="T37" s="3"/>
      <c r="U37" s="3"/>
      <c r="V37" s="3"/>
      <c r="W37" s="3"/>
      <c r="X37" s="3"/>
      <c r="Y37" s="3"/>
      <c r="Z37" s="3"/>
    </row>
    <row r="38" ht="15.75" customHeight="1">
      <c r="A38" s="796" t="s">
        <v>15124</v>
      </c>
      <c r="B38" s="794" t="s">
        <v>17378</v>
      </c>
      <c r="C38" s="794" t="s">
        <v>17379</v>
      </c>
      <c r="D38" s="794" t="s">
        <v>17377</v>
      </c>
      <c r="E38" s="794" t="s">
        <v>13058</v>
      </c>
      <c r="F38" s="794" t="s">
        <v>29</v>
      </c>
      <c r="G38" s="794" t="s">
        <v>7816</v>
      </c>
      <c r="H38" s="794"/>
      <c r="I38" s="794" t="s">
        <v>7816</v>
      </c>
      <c r="J38" s="794"/>
      <c r="K38" s="794" t="s">
        <v>16201</v>
      </c>
      <c r="L38" s="794"/>
      <c r="M38" s="794" t="s">
        <v>7817</v>
      </c>
      <c r="N38" s="795">
        <v>1989.0</v>
      </c>
      <c r="O38" s="794" t="s">
        <v>388</v>
      </c>
      <c r="P38" s="794">
        <v>1.0</v>
      </c>
      <c r="Q38" s="3"/>
      <c r="R38" s="3"/>
      <c r="S38" s="3"/>
      <c r="T38" s="3"/>
      <c r="U38" s="3"/>
      <c r="V38" s="3"/>
      <c r="W38" s="3"/>
      <c r="X38" s="3"/>
      <c r="Y38" s="3"/>
      <c r="Z38" s="3"/>
    </row>
    <row r="39" ht="15.75" customHeight="1">
      <c r="A39" s="796" t="s">
        <v>15130</v>
      </c>
      <c r="B39" s="794" t="s">
        <v>17380</v>
      </c>
      <c r="C39" s="794" t="s">
        <v>17381</v>
      </c>
      <c r="D39" s="794" t="s">
        <v>17377</v>
      </c>
      <c r="E39" s="794" t="s">
        <v>13058</v>
      </c>
      <c r="F39" s="794" t="s">
        <v>29</v>
      </c>
      <c r="G39" s="794" t="s">
        <v>7816</v>
      </c>
      <c r="H39" s="794"/>
      <c r="I39" s="794" t="s">
        <v>7816</v>
      </c>
      <c r="J39" s="794"/>
      <c r="K39" s="794" t="s">
        <v>16201</v>
      </c>
      <c r="L39" s="794"/>
      <c r="M39" s="794" t="s">
        <v>7817</v>
      </c>
      <c r="N39" s="795">
        <v>1981.0</v>
      </c>
      <c r="O39" s="794" t="s">
        <v>388</v>
      </c>
      <c r="P39" s="794">
        <v>1.0</v>
      </c>
      <c r="Q39" s="3"/>
      <c r="R39" s="3"/>
      <c r="S39" s="3"/>
      <c r="T39" s="3"/>
      <c r="U39" s="3"/>
      <c r="V39" s="3"/>
      <c r="W39" s="3"/>
      <c r="X39" s="3"/>
      <c r="Y39" s="3"/>
      <c r="Z39" s="3"/>
    </row>
    <row r="40" ht="15.75" customHeight="1">
      <c r="A40" s="796" t="s">
        <v>15131</v>
      </c>
      <c r="B40" s="794"/>
      <c r="C40" s="794" t="s">
        <v>17382</v>
      </c>
      <c r="D40" s="794" t="s">
        <v>17383</v>
      </c>
      <c r="E40" s="794" t="s">
        <v>17384</v>
      </c>
      <c r="F40" s="794" t="s">
        <v>29</v>
      </c>
      <c r="G40" s="794" t="s">
        <v>5395</v>
      </c>
      <c r="H40" s="794"/>
      <c r="I40" s="794" t="s">
        <v>17385</v>
      </c>
      <c r="J40" s="794"/>
      <c r="K40" s="794" t="s">
        <v>16201</v>
      </c>
      <c r="L40" s="794"/>
      <c r="M40" s="794" t="s">
        <v>17386</v>
      </c>
      <c r="N40" s="795">
        <v>1989.0</v>
      </c>
      <c r="O40" s="794" t="s">
        <v>388</v>
      </c>
      <c r="P40" s="794">
        <v>1.0</v>
      </c>
      <c r="Q40" s="3"/>
      <c r="R40" s="3"/>
      <c r="S40" s="3"/>
      <c r="T40" s="3"/>
      <c r="U40" s="3"/>
      <c r="V40" s="3"/>
      <c r="W40" s="3"/>
      <c r="X40" s="3"/>
      <c r="Y40" s="3"/>
      <c r="Z40" s="3"/>
    </row>
    <row r="41" ht="15.75" customHeight="1">
      <c r="A41" s="796" t="s">
        <v>15132</v>
      </c>
      <c r="B41" s="794"/>
      <c r="C41" s="794" t="s">
        <v>17387</v>
      </c>
      <c r="D41" s="794" t="s">
        <v>17388</v>
      </c>
      <c r="E41" s="794" t="s">
        <v>13058</v>
      </c>
      <c r="F41" s="794" t="s">
        <v>29</v>
      </c>
      <c r="G41" s="794" t="s">
        <v>5395</v>
      </c>
      <c r="H41" s="794"/>
      <c r="I41" s="794" t="s">
        <v>17389</v>
      </c>
      <c r="J41" s="794"/>
      <c r="K41" s="794" t="s">
        <v>16201</v>
      </c>
      <c r="L41" s="794"/>
      <c r="M41" s="794" t="s">
        <v>17390</v>
      </c>
      <c r="N41" s="795">
        <v>1938.0</v>
      </c>
      <c r="O41" s="794" t="s">
        <v>388</v>
      </c>
      <c r="P41" s="794">
        <v>1.0</v>
      </c>
      <c r="Q41" s="3"/>
      <c r="R41" s="3"/>
      <c r="S41" s="3"/>
      <c r="T41" s="3"/>
      <c r="U41" s="3"/>
      <c r="V41" s="3"/>
      <c r="W41" s="3"/>
      <c r="X41" s="3"/>
      <c r="Y41" s="3"/>
      <c r="Z41" s="3"/>
    </row>
    <row r="42" ht="15.75" customHeight="1">
      <c r="A42" s="796" t="s">
        <v>15133</v>
      </c>
      <c r="B42" s="794" t="s">
        <v>17391</v>
      </c>
      <c r="C42" s="794" t="s">
        <v>17392</v>
      </c>
      <c r="D42" s="794" t="s">
        <v>17393</v>
      </c>
      <c r="E42" s="794" t="s">
        <v>13058</v>
      </c>
      <c r="F42" s="794" t="s">
        <v>29</v>
      </c>
      <c r="G42" s="794" t="s">
        <v>5747</v>
      </c>
      <c r="H42" s="794"/>
      <c r="I42" s="794" t="s">
        <v>17326</v>
      </c>
      <c r="J42" s="794"/>
      <c r="K42" s="794" t="s">
        <v>31</v>
      </c>
      <c r="L42" s="794"/>
      <c r="M42" s="794" t="s">
        <v>15278</v>
      </c>
      <c r="N42" s="795">
        <v>2011.0</v>
      </c>
      <c r="O42" s="794" t="s">
        <v>388</v>
      </c>
      <c r="P42" s="794">
        <v>1.0</v>
      </c>
      <c r="Q42" s="3"/>
      <c r="R42" s="3"/>
      <c r="S42" s="3"/>
      <c r="T42" s="3"/>
      <c r="U42" s="3"/>
      <c r="V42" s="3"/>
      <c r="W42" s="3"/>
      <c r="X42" s="3"/>
      <c r="Y42" s="3"/>
      <c r="Z42" s="3"/>
    </row>
    <row r="43" ht="15.75" customHeight="1">
      <c r="A43" s="796" t="s">
        <v>15134</v>
      </c>
      <c r="B43" s="794"/>
      <c r="C43" s="794" t="s">
        <v>17394</v>
      </c>
      <c r="D43" s="794" t="s">
        <v>17395</v>
      </c>
      <c r="E43" s="794" t="s">
        <v>13058</v>
      </c>
      <c r="F43" s="794" t="s">
        <v>29</v>
      </c>
      <c r="G43" s="794" t="s">
        <v>5747</v>
      </c>
      <c r="H43" s="794"/>
      <c r="I43" s="794" t="s">
        <v>17326</v>
      </c>
      <c r="J43" s="794"/>
      <c r="K43" s="794" t="s">
        <v>31</v>
      </c>
      <c r="L43" s="794"/>
      <c r="M43" s="794" t="s">
        <v>15278</v>
      </c>
      <c r="N43" s="795">
        <v>1985.0</v>
      </c>
      <c r="O43" s="794" t="s">
        <v>388</v>
      </c>
      <c r="P43" s="794">
        <v>1.0</v>
      </c>
      <c r="Q43" s="3"/>
      <c r="R43" s="3"/>
      <c r="S43" s="3"/>
      <c r="T43" s="3"/>
      <c r="U43" s="3"/>
      <c r="V43" s="3"/>
      <c r="W43" s="3"/>
      <c r="X43" s="3"/>
      <c r="Y43" s="3"/>
      <c r="Z43" s="3"/>
    </row>
    <row r="44" ht="15.75" customHeight="1">
      <c r="A44" s="796" t="s">
        <v>15135</v>
      </c>
      <c r="B44" s="794"/>
      <c r="C44" s="794" t="s">
        <v>17396</v>
      </c>
      <c r="D44" s="794" t="s">
        <v>15278</v>
      </c>
      <c r="E44" s="794" t="s">
        <v>15035</v>
      </c>
      <c r="F44" s="794" t="s">
        <v>29</v>
      </c>
      <c r="G44" s="794" t="s">
        <v>5747</v>
      </c>
      <c r="H44" s="794"/>
      <c r="I44" s="794" t="s">
        <v>17326</v>
      </c>
      <c r="J44" s="794"/>
      <c r="K44" s="794" t="s">
        <v>31</v>
      </c>
      <c r="L44" s="794"/>
      <c r="M44" s="794" t="s">
        <v>15278</v>
      </c>
      <c r="N44" s="795">
        <v>1982.0</v>
      </c>
      <c r="O44" s="794" t="s">
        <v>388</v>
      </c>
      <c r="P44" s="794">
        <v>1.0</v>
      </c>
      <c r="Q44" s="3"/>
      <c r="R44" s="3"/>
      <c r="S44" s="3"/>
      <c r="T44" s="3"/>
      <c r="U44" s="3"/>
      <c r="V44" s="3"/>
      <c r="W44" s="3"/>
      <c r="X44" s="3"/>
      <c r="Y44" s="3"/>
      <c r="Z44" s="3"/>
    </row>
    <row r="45" ht="15.75" customHeight="1">
      <c r="A45" s="796" t="s">
        <v>15136</v>
      </c>
      <c r="B45" s="794"/>
      <c r="C45" s="794" t="s">
        <v>17397</v>
      </c>
      <c r="D45" s="794" t="s">
        <v>17398</v>
      </c>
      <c r="E45" s="794" t="s">
        <v>13058</v>
      </c>
      <c r="F45" s="794" t="s">
        <v>29</v>
      </c>
      <c r="G45" s="794" t="s">
        <v>17399</v>
      </c>
      <c r="H45" s="794"/>
      <c r="I45" s="794" t="s">
        <v>17400</v>
      </c>
      <c r="J45" s="794"/>
      <c r="K45" s="794" t="s">
        <v>16201</v>
      </c>
      <c r="L45" s="794"/>
      <c r="M45" s="794" t="s">
        <v>17401</v>
      </c>
      <c r="N45" s="795">
        <v>1999.0</v>
      </c>
      <c r="O45" s="794" t="s">
        <v>388</v>
      </c>
      <c r="P45" s="794">
        <v>2.0</v>
      </c>
      <c r="Q45" s="3"/>
      <c r="R45" s="3"/>
      <c r="S45" s="3"/>
      <c r="T45" s="3"/>
      <c r="U45" s="3"/>
      <c r="V45" s="3"/>
      <c r="W45" s="3"/>
      <c r="X45" s="3"/>
      <c r="Y45" s="3"/>
      <c r="Z45" s="3"/>
    </row>
    <row r="46" ht="15.75" customHeight="1">
      <c r="A46" s="796" t="s">
        <v>15137</v>
      </c>
      <c r="B46" s="794" t="s">
        <v>31</v>
      </c>
      <c r="C46" s="794" t="s">
        <v>17402</v>
      </c>
      <c r="D46" s="794" t="s">
        <v>17403</v>
      </c>
      <c r="E46" s="794" t="s">
        <v>13058</v>
      </c>
      <c r="F46" s="794" t="s">
        <v>29</v>
      </c>
      <c r="G46" s="794" t="s">
        <v>17404</v>
      </c>
      <c r="H46" s="794"/>
      <c r="I46" s="794" t="s">
        <v>17405</v>
      </c>
      <c r="J46" s="794"/>
      <c r="K46" s="794" t="s">
        <v>31</v>
      </c>
      <c r="L46" s="794"/>
      <c r="M46" s="794" t="s">
        <v>2953</v>
      </c>
      <c r="N46" s="795">
        <v>1987.0</v>
      </c>
      <c r="O46" s="794" t="s">
        <v>388</v>
      </c>
      <c r="P46" s="794">
        <v>1.0</v>
      </c>
      <c r="Q46" s="3"/>
      <c r="R46" s="3"/>
      <c r="S46" s="3"/>
      <c r="T46" s="3"/>
      <c r="U46" s="3"/>
      <c r="V46" s="3"/>
      <c r="W46" s="3"/>
      <c r="X46" s="3"/>
      <c r="Y46" s="3"/>
      <c r="Z46" s="3"/>
    </row>
    <row r="47" ht="15.75" customHeight="1">
      <c r="A47" s="796" t="s">
        <v>15138</v>
      </c>
      <c r="B47" s="794"/>
      <c r="C47" s="794" t="s">
        <v>17406</v>
      </c>
      <c r="D47" s="794" t="s">
        <v>17407</v>
      </c>
      <c r="E47" s="794" t="s">
        <v>13058</v>
      </c>
      <c r="F47" s="794" t="s">
        <v>29</v>
      </c>
      <c r="G47" s="794" t="s">
        <v>17348</v>
      </c>
      <c r="H47" s="794"/>
      <c r="I47" s="794" t="s">
        <v>17349</v>
      </c>
      <c r="J47" s="794"/>
      <c r="K47" s="794" t="s">
        <v>31</v>
      </c>
      <c r="L47" s="794"/>
      <c r="M47" s="794" t="s">
        <v>17350</v>
      </c>
      <c r="N47" s="795">
        <v>1988.0</v>
      </c>
      <c r="O47" s="794" t="s">
        <v>388</v>
      </c>
      <c r="P47" s="794">
        <v>1.0</v>
      </c>
      <c r="Q47" s="3"/>
      <c r="R47" s="3"/>
      <c r="S47" s="3"/>
      <c r="T47" s="3"/>
      <c r="U47" s="3"/>
      <c r="V47" s="3"/>
      <c r="W47" s="3"/>
      <c r="X47" s="3"/>
      <c r="Y47" s="3"/>
      <c r="Z47" s="3"/>
    </row>
    <row r="48" ht="15.75" customHeight="1">
      <c r="A48" s="796" t="s">
        <v>17408</v>
      </c>
      <c r="B48" s="794" t="s">
        <v>31</v>
      </c>
      <c r="C48" s="794" t="s">
        <v>17409</v>
      </c>
      <c r="D48" s="794" t="s">
        <v>17410</v>
      </c>
      <c r="E48" s="794" t="s">
        <v>15035</v>
      </c>
      <c r="F48" s="794" t="s">
        <v>29</v>
      </c>
      <c r="G48" s="794" t="s">
        <v>5395</v>
      </c>
      <c r="H48" s="794"/>
      <c r="I48" s="794" t="s">
        <v>17411</v>
      </c>
      <c r="J48" s="794"/>
      <c r="K48" s="794" t="s">
        <v>16201</v>
      </c>
      <c r="L48" s="794"/>
      <c r="M48" s="794" t="s">
        <v>17412</v>
      </c>
      <c r="N48" s="795" t="s">
        <v>31</v>
      </c>
      <c r="O48" s="794" t="s">
        <v>388</v>
      </c>
      <c r="P48" s="794">
        <v>1.0</v>
      </c>
      <c r="Q48" s="3"/>
      <c r="R48" s="3"/>
      <c r="S48" s="3"/>
      <c r="T48" s="3"/>
      <c r="U48" s="3"/>
      <c r="V48" s="3"/>
      <c r="W48" s="3"/>
      <c r="X48" s="3"/>
      <c r="Y48" s="3"/>
      <c r="Z48" s="3"/>
    </row>
    <row r="49" ht="15.75" customHeight="1">
      <c r="A49" s="796" t="s">
        <v>17413</v>
      </c>
      <c r="B49" s="794"/>
      <c r="C49" s="794" t="s">
        <v>17414</v>
      </c>
      <c r="D49" s="794" t="s">
        <v>17415</v>
      </c>
      <c r="E49" s="794" t="s">
        <v>13058</v>
      </c>
      <c r="F49" s="794" t="s">
        <v>29</v>
      </c>
      <c r="G49" s="794" t="s">
        <v>6454</v>
      </c>
      <c r="H49" s="794"/>
      <c r="I49" s="794" t="s">
        <v>17416</v>
      </c>
      <c r="J49" s="794"/>
      <c r="K49" s="794"/>
      <c r="L49" s="794"/>
      <c r="M49" s="794" t="s">
        <v>6151</v>
      </c>
      <c r="N49" s="795">
        <v>1967.0</v>
      </c>
      <c r="O49" s="794" t="s">
        <v>388</v>
      </c>
      <c r="P49" s="794">
        <v>2.0</v>
      </c>
      <c r="Q49" s="3"/>
      <c r="R49" s="3"/>
      <c r="S49" s="3"/>
      <c r="T49" s="3"/>
      <c r="U49" s="3"/>
      <c r="V49" s="3"/>
      <c r="W49" s="3"/>
      <c r="X49" s="3"/>
      <c r="Y49" s="3"/>
      <c r="Z49" s="3"/>
    </row>
    <row r="50" ht="15.75" customHeight="1">
      <c r="A50" s="796" t="s">
        <v>17417</v>
      </c>
      <c r="B50" s="794"/>
      <c r="C50" s="794" t="s">
        <v>17418</v>
      </c>
      <c r="D50" s="794" t="s">
        <v>17419</v>
      </c>
      <c r="E50" s="794" t="s">
        <v>13058</v>
      </c>
      <c r="F50" s="794" t="s">
        <v>29</v>
      </c>
      <c r="G50" s="794" t="s">
        <v>6454</v>
      </c>
      <c r="H50" s="794"/>
      <c r="I50" s="794" t="s">
        <v>17416</v>
      </c>
      <c r="J50" s="794"/>
      <c r="K50" s="794"/>
      <c r="L50" s="794"/>
      <c r="M50" s="794" t="s">
        <v>6151</v>
      </c>
      <c r="N50" s="795">
        <v>1977.0</v>
      </c>
      <c r="O50" s="794" t="s">
        <v>388</v>
      </c>
      <c r="P50" s="794">
        <v>1.0</v>
      </c>
      <c r="Q50" s="3"/>
      <c r="R50" s="3"/>
      <c r="S50" s="3"/>
      <c r="T50" s="3"/>
      <c r="U50" s="3"/>
      <c r="V50" s="3"/>
      <c r="W50" s="3"/>
      <c r="X50" s="3"/>
      <c r="Y50" s="3"/>
      <c r="Z50" s="3"/>
    </row>
    <row r="51" ht="15.75" customHeight="1">
      <c r="A51" s="796" t="s">
        <v>17420</v>
      </c>
      <c r="B51" s="794"/>
      <c r="C51" s="794" t="s">
        <v>17421</v>
      </c>
      <c r="D51" s="794" t="s">
        <v>17422</v>
      </c>
      <c r="E51" s="794" t="s">
        <v>13058</v>
      </c>
      <c r="F51" s="794" t="s">
        <v>29</v>
      </c>
      <c r="G51" s="794" t="s">
        <v>6454</v>
      </c>
      <c r="H51" s="794"/>
      <c r="I51" s="794" t="s">
        <v>17416</v>
      </c>
      <c r="J51" s="794"/>
      <c r="K51" s="794"/>
      <c r="L51" s="794"/>
      <c r="M51" s="794" t="s">
        <v>6151</v>
      </c>
      <c r="N51" s="795">
        <v>1973.0</v>
      </c>
      <c r="O51" s="794" t="s">
        <v>388</v>
      </c>
      <c r="P51" s="794">
        <v>1.0</v>
      </c>
      <c r="Q51" s="3"/>
      <c r="R51" s="3"/>
      <c r="S51" s="3"/>
      <c r="T51" s="3"/>
      <c r="U51" s="3"/>
      <c r="V51" s="3"/>
      <c r="W51" s="3"/>
      <c r="X51" s="3"/>
      <c r="Y51" s="3"/>
      <c r="Z51" s="3"/>
    </row>
    <row r="52" ht="15.75" customHeight="1">
      <c r="A52" s="796" t="s">
        <v>17423</v>
      </c>
      <c r="B52" s="794"/>
      <c r="C52" s="794" t="s">
        <v>17424</v>
      </c>
      <c r="D52" s="794" t="s">
        <v>17425</v>
      </c>
      <c r="E52" s="794" t="s">
        <v>13058</v>
      </c>
      <c r="F52" s="794" t="s">
        <v>29</v>
      </c>
      <c r="G52" s="794" t="s">
        <v>6454</v>
      </c>
      <c r="H52" s="794"/>
      <c r="I52" s="794" t="s">
        <v>17416</v>
      </c>
      <c r="J52" s="794"/>
      <c r="K52" s="794" t="s">
        <v>31</v>
      </c>
      <c r="L52" s="794"/>
      <c r="M52" s="794" t="s">
        <v>6151</v>
      </c>
      <c r="N52" s="795">
        <v>1964.0</v>
      </c>
      <c r="O52" s="794" t="s">
        <v>388</v>
      </c>
      <c r="P52" s="794">
        <v>1.0</v>
      </c>
      <c r="Q52" s="3"/>
      <c r="R52" s="3"/>
      <c r="S52" s="3"/>
      <c r="T52" s="3"/>
      <c r="U52" s="3"/>
      <c r="V52" s="3"/>
      <c r="W52" s="3"/>
      <c r="X52" s="3"/>
      <c r="Y52" s="3"/>
      <c r="Z52" s="3"/>
    </row>
    <row r="53" ht="15.75" customHeight="1">
      <c r="A53" s="796" t="s">
        <v>17426</v>
      </c>
      <c r="B53" s="794"/>
      <c r="C53" s="794" t="s">
        <v>17427</v>
      </c>
      <c r="D53" s="794" t="s">
        <v>17428</v>
      </c>
      <c r="E53" s="794" t="s">
        <v>13058</v>
      </c>
      <c r="F53" s="794" t="s">
        <v>29</v>
      </c>
      <c r="G53" s="794" t="s">
        <v>6454</v>
      </c>
      <c r="H53" s="794"/>
      <c r="I53" s="794" t="s">
        <v>17416</v>
      </c>
      <c r="J53" s="794"/>
      <c r="K53" s="794" t="s">
        <v>31</v>
      </c>
      <c r="L53" s="794"/>
      <c r="M53" s="794" t="s">
        <v>6151</v>
      </c>
      <c r="N53" s="795">
        <v>1970.0</v>
      </c>
      <c r="O53" s="794" t="s">
        <v>388</v>
      </c>
      <c r="P53" s="794">
        <v>2.0</v>
      </c>
      <c r="Q53" s="3"/>
      <c r="R53" s="3"/>
      <c r="S53" s="3"/>
      <c r="T53" s="3"/>
      <c r="U53" s="3"/>
      <c r="V53" s="3"/>
      <c r="W53" s="3"/>
      <c r="X53" s="3"/>
      <c r="Y53" s="3"/>
      <c r="Z53" s="3"/>
    </row>
    <row r="54" ht="15.75" customHeight="1">
      <c r="A54" s="796" t="s">
        <v>17429</v>
      </c>
      <c r="B54" s="794"/>
      <c r="C54" s="794" t="s">
        <v>17430</v>
      </c>
      <c r="D54" s="794" t="s">
        <v>17431</v>
      </c>
      <c r="E54" s="794" t="s">
        <v>13058</v>
      </c>
      <c r="F54" s="794" t="s">
        <v>29</v>
      </c>
      <c r="G54" s="794" t="s">
        <v>6454</v>
      </c>
      <c r="H54" s="794"/>
      <c r="I54" s="794" t="s">
        <v>6454</v>
      </c>
      <c r="J54" s="794"/>
      <c r="K54" s="794" t="s">
        <v>16201</v>
      </c>
      <c r="L54" s="794"/>
      <c r="M54" s="794" t="s">
        <v>16294</v>
      </c>
      <c r="N54" s="795">
        <v>1991.0</v>
      </c>
      <c r="O54" s="794" t="s">
        <v>388</v>
      </c>
      <c r="P54" s="794">
        <v>1.0</v>
      </c>
      <c r="Q54" s="3"/>
      <c r="R54" s="3"/>
      <c r="S54" s="3"/>
      <c r="T54" s="3"/>
      <c r="U54" s="3"/>
      <c r="V54" s="3"/>
      <c r="W54" s="3"/>
      <c r="X54" s="3"/>
      <c r="Y54" s="3"/>
      <c r="Z54" s="3"/>
    </row>
    <row r="55" ht="15.75" customHeight="1">
      <c r="A55" s="796" t="s">
        <v>17432</v>
      </c>
      <c r="B55" s="794"/>
      <c r="C55" s="794" t="s">
        <v>17433</v>
      </c>
      <c r="D55" s="794" t="s">
        <v>17434</v>
      </c>
      <c r="E55" s="794" t="s">
        <v>13058</v>
      </c>
      <c r="F55" s="794" t="s">
        <v>29</v>
      </c>
      <c r="G55" s="794" t="s">
        <v>6454</v>
      </c>
      <c r="H55" s="794"/>
      <c r="I55" s="794" t="s">
        <v>17416</v>
      </c>
      <c r="J55" s="794"/>
      <c r="K55" s="794" t="s">
        <v>16201</v>
      </c>
      <c r="L55" s="794"/>
      <c r="M55" s="794" t="s">
        <v>16294</v>
      </c>
      <c r="N55" s="795">
        <v>2010.0</v>
      </c>
      <c r="O55" s="794" t="s">
        <v>388</v>
      </c>
      <c r="P55" s="794">
        <v>1.0</v>
      </c>
      <c r="Q55" s="3"/>
      <c r="R55" s="3"/>
      <c r="S55" s="3"/>
      <c r="T55" s="3"/>
      <c r="U55" s="3"/>
      <c r="V55" s="3"/>
      <c r="W55" s="3"/>
      <c r="X55" s="3"/>
      <c r="Y55" s="3"/>
      <c r="Z55" s="3"/>
    </row>
    <row r="56" ht="15.75" customHeight="1">
      <c r="A56" s="796" t="s">
        <v>17435</v>
      </c>
      <c r="B56" s="794"/>
      <c r="C56" s="794" t="s">
        <v>17436</v>
      </c>
      <c r="D56" s="794" t="s">
        <v>17437</v>
      </c>
      <c r="E56" s="794" t="s">
        <v>13058</v>
      </c>
      <c r="F56" s="794" t="s">
        <v>29</v>
      </c>
      <c r="G56" s="794" t="s">
        <v>5395</v>
      </c>
      <c r="H56" s="794"/>
      <c r="I56" s="794" t="s">
        <v>17438</v>
      </c>
      <c r="J56" s="794"/>
      <c r="K56" s="794" t="s">
        <v>31</v>
      </c>
      <c r="L56" s="794"/>
      <c r="M56" s="794" t="s">
        <v>17439</v>
      </c>
      <c r="N56" s="795">
        <v>1978.0</v>
      </c>
      <c r="O56" s="794" t="s">
        <v>388</v>
      </c>
      <c r="P56" s="794">
        <v>1.0</v>
      </c>
      <c r="Q56" s="3"/>
      <c r="R56" s="3"/>
      <c r="S56" s="3"/>
      <c r="T56" s="3"/>
      <c r="U56" s="3"/>
      <c r="V56" s="3"/>
      <c r="W56" s="3"/>
      <c r="X56" s="3"/>
      <c r="Y56" s="3"/>
      <c r="Z56" s="3"/>
    </row>
    <row r="57" ht="15.75" customHeight="1">
      <c r="A57" s="796" t="s">
        <v>17440</v>
      </c>
      <c r="B57" s="794"/>
      <c r="C57" s="794" t="s">
        <v>17441</v>
      </c>
      <c r="D57" s="794" t="s">
        <v>17442</v>
      </c>
      <c r="E57" s="794" t="s">
        <v>15035</v>
      </c>
      <c r="F57" s="794" t="s">
        <v>29</v>
      </c>
      <c r="G57" s="794" t="s">
        <v>17348</v>
      </c>
      <c r="H57" s="794"/>
      <c r="I57" s="794" t="s">
        <v>17349</v>
      </c>
      <c r="J57" s="794"/>
      <c r="K57" s="794"/>
      <c r="L57" s="794"/>
      <c r="M57" s="794" t="s">
        <v>17443</v>
      </c>
      <c r="N57" s="795">
        <v>1992.0</v>
      </c>
      <c r="O57" s="794" t="s">
        <v>388</v>
      </c>
      <c r="P57" s="794">
        <v>2.0</v>
      </c>
      <c r="Q57" s="3"/>
      <c r="R57" s="3"/>
      <c r="S57" s="3"/>
      <c r="T57" s="3"/>
      <c r="U57" s="3"/>
      <c r="V57" s="3"/>
      <c r="W57" s="3"/>
      <c r="X57" s="3"/>
      <c r="Y57" s="3"/>
      <c r="Z57" s="3"/>
    </row>
    <row r="58" ht="15.75" customHeight="1">
      <c r="A58" s="796" t="s">
        <v>17444</v>
      </c>
      <c r="B58" s="794"/>
      <c r="C58" s="794" t="s">
        <v>17445</v>
      </c>
      <c r="D58" s="794" t="s">
        <v>17442</v>
      </c>
      <c r="E58" s="794" t="s">
        <v>15035</v>
      </c>
      <c r="F58" s="794" t="s">
        <v>29</v>
      </c>
      <c r="G58" s="794" t="s">
        <v>17348</v>
      </c>
      <c r="H58" s="794"/>
      <c r="I58" s="794" t="s">
        <v>17349</v>
      </c>
      <c r="J58" s="794"/>
      <c r="K58" s="794"/>
      <c r="L58" s="794"/>
      <c r="M58" s="794" t="s">
        <v>6151</v>
      </c>
      <c r="N58" s="795">
        <v>1992.0</v>
      </c>
      <c r="O58" s="794" t="s">
        <v>388</v>
      </c>
      <c r="P58" s="794">
        <v>2.0</v>
      </c>
      <c r="Q58" s="3"/>
      <c r="R58" s="3"/>
      <c r="S58" s="3"/>
      <c r="T58" s="3"/>
      <c r="U58" s="3"/>
      <c r="V58" s="3"/>
      <c r="W58" s="3"/>
      <c r="X58" s="3"/>
      <c r="Y58" s="3"/>
      <c r="Z58" s="3"/>
    </row>
    <row r="59" ht="15.75" customHeight="1">
      <c r="A59" s="796" t="s">
        <v>17446</v>
      </c>
      <c r="B59" s="794"/>
      <c r="C59" s="794" t="s">
        <v>17447</v>
      </c>
      <c r="D59" s="794" t="s">
        <v>17448</v>
      </c>
      <c r="E59" s="794" t="s">
        <v>15035</v>
      </c>
      <c r="F59" s="794" t="s">
        <v>29</v>
      </c>
      <c r="G59" s="794" t="s">
        <v>13193</v>
      </c>
      <c r="H59" s="794"/>
      <c r="I59" s="794" t="s">
        <v>13193</v>
      </c>
      <c r="J59" s="794"/>
      <c r="K59" s="794"/>
      <c r="L59" s="794"/>
      <c r="M59" s="794" t="s">
        <v>13195</v>
      </c>
      <c r="N59" s="795">
        <v>2010.0</v>
      </c>
      <c r="O59" s="794" t="s">
        <v>388</v>
      </c>
      <c r="P59" s="794">
        <v>1.0</v>
      </c>
      <c r="Q59" s="3"/>
      <c r="R59" s="3"/>
      <c r="S59" s="3"/>
      <c r="T59" s="3"/>
      <c r="U59" s="3"/>
      <c r="V59" s="3"/>
      <c r="W59" s="3"/>
      <c r="X59" s="3"/>
      <c r="Y59" s="3"/>
      <c r="Z59" s="3"/>
    </row>
    <row r="60" ht="15.75" customHeight="1">
      <c r="A60" s="796" t="s">
        <v>17449</v>
      </c>
      <c r="B60" s="794"/>
      <c r="C60" s="794" t="s">
        <v>17450</v>
      </c>
      <c r="D60" s="794" t="s">
        <v>17451</v>
      </c>
      <c r="E60" s="794" t="s">
        <v>13058</v>
      </c>
      <c r="F60" s="794" t="s">
        <v>29</v>
      </c>
      <c r="G60" s="794" t="s">
        <v>15193</v>
      </c>
      <c r="H60" s="794"/>
      <c r="I60" s="794" t="s">
        <v>17452</v>
      </c>
      <c r="J60" s="794"/>
      <c r="K60" s="794" t="s">
        <v>4612</v>
      </c>
      <c r="L60" s="794"/>
      <c r="M60" s="794" t="s">
        <v>17453</v>
      </c>
      <c r="N60" s="795">
        <v>1983.0</v>
      </c>
      <c r="O60" s="794" t="s">
        <v>388</v>
      </c>
      <c r="P60" s="794">
        <v>1.0</v>
      </c>
      <c r="Q60" s="3"/>
      <c r="R60" s="3"/>
      <c r="S60" s="3"/>
      <c r="T60" s="3"/>
      <c r="U60" s="3"/>
      <c r="V60" s="3"/>
      <c r="W60" s="3"/>
      <c r="X60" s="3"/>
      <c r="Y60" s="3"/>
      <c r="Z60" s="3"/>
    </row>
    <row r="61" ht="15.75" customHeight="1">
      <c r="A61" s="796" t="s">
        <v>17454</v>
      </c>
      <c r="B61" s="794"/>
      <c r="C61" s="794" t="s">
        <v>17455</v>
      </c>
      <c r="D61" s="794" t="s">
        <v>17456</v>
      </c>
      <c r="E61" s="794" t="s">
        <v>13058</v>
      </c>
      <c r="F61" s="794" t="s">
        <v>29</v>
      </c>
      <c r="G61" s="794" t="s">
        <v>15193</v>
      </c>
      <c r="H61" s="794"/>
      <c r="I61" s="794" t="s">
        <v>17452</v>
      </c>
      <c r="J61" s="794"/>
      <c r="K61" s="794" t="s">
        <v>4612</v>
      </c>
      <c r="L61" s="794"/>
      <c r="M61" s="794" t="s">
        <v>17453</v>
      </c>
      <c r="N61" s="795">
        <v>1983.0</v>
      </c>
      <c r="O61" s="794" t="s">
        <v>388</v>
      </c>
      <c r="P61" s="794">
        <v>1.0</v>
      </c>
      <c r="Q61" s="3"/>
      <c r="R61" s="3"/>
      <c r="S61" s="3"/>
      <c r="T61" s="3"/>
      <c r="U61" s="3"/>
      <c r="V61" s="3"/>
      <c r="W61" s="3"/>
      <c r="X61" s="3"/>
      <c r="Y61" s="3"/>
      <c r="Z61" s="3"/>
    </row>
    <row r="62" ht="15.75" customHeight="1">
      <c r="A62" s="796" t="s">
        <v>17457</v>
      </c>
      <c r="B62" s="794"/>
      <c r="C62" s="794" t="s">
        <v>17458</v>
      </c>
      <c r="D62" s="794" t="s">
        <v>17459</v>
      </c>
      <c r="E62" s="794" t="s">
        <v>13058</v>
      </c>
      <c r="F62" s="794" t="s">
        <v>29</v>
      </c>
      <c r="G62" s="794" t="s">
        <v>15193</v>
      </c>
      <c r="H62" s="794"/>
      <c r="I62" s="794" t="s">
        <v>17460</v>
      </c>
      <c r="J62" s="794"/>
      <c r="K62" s="794" t="s">
        <v>4612</v>
      </c>
      <c r="L62" s="794"/>
      <c r="M62" s="794" t="s">
        <v>17453</v>
      </c>
      <c r="N62" s="795">
        <v>1982.0</v>
      </c>
      <c r="O62" s="794" t="s">
        <v>388</v>
      </c>
      <c r="P62" s="794">
        <v>1.0</v>
      </c>
      <c r="Q62" s="3"/>
      <c r="R62" s="3"/>
      <c r="S62" s="3"/>
      <c r="T62" s="3"/>
      <c r="U62" s="3"/>
      <c r="V62" s="3"/>
      <c r="W62" s="3"/>
      <c r="X62" s="3"/>
      <c r="Y62" s="3"/>
      <c r="Z62" s="3"/>
    </row>
    <row r="63" ht="15.75" customHeight="1">
      <c r="A63" s="796" t="s">
        <v>17461</v>
      </c>
      <c r="B63" s="794"/>
      <c r="C63" s="794" t="s">
        <v>17462</v>
      </c>
      <c r="D63" s="794" t="s">
        <v>17463</v>
      </c>
      <c r="E63" s="794" t="s">
        <v>13058</v>
      </c>
      <c r="F63" s="794" t="s">
        <v>29</v>
      </c>
      <c r="G63" s="794" t="s">
        <v>15193</v>
      </c>
      <c r="H63" s="794"/>
      <c r="I63" s="794" t="s">
        <v>17464</v>
      </c>
      <c r="J63" s="794"/>
      <c r="K63" s="794" t="s">
        <v>4612</v>
      </c>
      <c r="L63" s="794"/>
      <c r="M63" s="794" t="s">
        <v>17453</v>
      </c>
      <c r="N63" s="795">
        <v>1984.0</v>
      </c>
      <c r="O63" s="794" t="s">
        <v>388</v>
      </c>
      <c r="P63" s="794">
        <v>1.0</v>
      </c>
      <c r="Q63" s="3"/>
      <c r="R63" s="3"/>
      <c r="S63" s="3"/>
      <c r="T63" s="3"/>
      <c r="U63" s="3"/>
      <c r="V63" s="3"/>
      <c r="W63" s="3"/>
      <c r="X63" s="3"/>
      <c r="Y63" s="3"/>
      <c r="Z63" s="3"/>
    </row>
    <row r="64" ht="15.75" customHeight="1">
      <c r="A64" s="796" t="s">
        <v>17465</v>
      </c>
      <c r="B64" s="794"/>
      <c r="C64" s="794" t="s">
        <v>17466</v>
      </c>
      <c r="D64" s="794" t="s">
        <v>17467</v>
      </c>
      <c r="E64" s="794" t="s">
        <v>13058</v>
      </c>
      <c r="F64" s="794" t="s">
        <v>29</v>
      </c>
      <c r="G64" s="794" t="s">
        <v>15193</v>
      </c>
      <c r="H64" s="794"/>
      <c r="I64" s="794" t="s">
        <v>17468</v>
      </c>
      <c r="J64" s="794"/>
      <c r="K64" s="794" t="s">
        <v>4612</v>
      </c>
      <c r="L64" s="794"/>
      <c r="M64" s="794" t="s">
        <v>17453</v>
      </c>
      <c r="N64" s="795">
        <v>1988.0</v>
      </c>
      <c r="O64" s="794" t="s">
        <v>388</v>
      </c>
      <c r="P64" s="794">
        <v>1.0</v>
      </c>
      <c r="Q64" s="3"/>
      <c r="R64" s="3"/>
      <c r="S64" s="3"/>
      <c r="T64" s="3"/>
      <c r="U64" s="3"/>
      <c r="V64" s="3"/>
      <c r="W64" s="3"/>
      <c r="X64" s="3"/>
      <c r="Y64" s="3"/>
      <c r="Z64" s="3"/>
    </row>
    <row r="65" ht="15.75" customHeight="1">
      <c r="A65" s="796" t="s">
        <v>17469</v>
      </c>
      <c r="B65" s="794"/>
      <c r="C65" s="794" t="s">
        <v>17470</v>
      </c>
      <c r="D65" s="794" t="s">
        <v>17471</v>
      </c>
      <c r="E65" s="794" t="s">
        <v>13058</v>
      </c>
      <c r="F65" s="794" t="s">
        <v>29</v>
      </c>
      <c r="G65" s="794" t="s">
        <v>15193</v>
      </c>
      <c r="H65" s="794"/>
      <c r="I65" s="794" t="s">
        <v>17472</v>
      </c>
      <c r="J65" s="794"/>
      <c r="K65" s="794" t="s">
        <v>4612</v>
      </c>
      <c r="L65" s="794"/>
      <c r="M65" s="794" t="s">
        <v>17453</v>
      </c>
      <c r="N65" s="795">
        <v>1988.0</v>
      </c>
      <c r="O65" s="794" t="s">
        <v>388</v>
      </c>
      <c r="P65" s="794">
        <v>1.0</v>
      </c>
      <c r="Q65" s="3"/>
      <c r="R65" s="3"/>
      <c r="S65" s="3"/>
      <c r="T65" s="3"/>
      <c r="U65" s="3"/>
      <c r="V65" s="3"/>
      <c r="W65" s="3"/>
      <c r="X65" s="3"/>
      <c r="Y65" s="3"/>
      <c r="Z65" s="3"/>
    </row>
    <row r="66" ht="15.75" customHeight="1">
      <c r="A66" s="796" t="s">
        <v>17473</v>
      </c>
      <c r="B66" s="794"/>
      <c r="C66" s="794" t="s">
        <v>17474</v>
      </c>
      <c r="D66" s="794" t="s">
        <v>17475</v>
      </c>
      <c r="E66" s="794" t="s">
        <v>13058</v>
      </c>
      <c r="F66" s="794" t="s">
        <v>29</v>
      </c>
      <c r="G66" s="794" t="s">
        <v>15193</v>
      </c>
      <c r="H66" s="794"/>
      <c r="I66" s="794" t="s">
        <v>17464</v>
      </c>
      <c r="J66" s="794"/>
      <c r="K66" s="794"/>
      <c r="L66" s="794"/>
      <c r="M66" s="794" t="s">
        <v>17453</v>
      </c>
      <c r="N66" s="795">
        <v>1983.0</v>
      </c>
      <c r="O66" s="794" t="s">
        <v>388</v>
      </c>
      <c r="P66" s="794">
        <v>1.0</v>
      </c>
      <c r="Q66" s="3"/>
      <c r="R66" s="3"/>
      <c r="S66" s="3"/>
      <c r="T66" s="3"/>
      <c r="U66" s="3"/>
      <c r="V66" s="3"/>
      <c r="W66" s="3"/>
      <c r="X66" s="3"/>
      <c r="Y66" s="3"/>
      <c r="Z66" s="3"/>
    </row>
    <row r="67" ht="15.75" customHeight="1">
      <c r="A67" s="796" t="s">
        <v>17476</v>
      </c>
      <c r="B67" s="794" t="s">
        <v>17477</v>
      </c>
      <c r="C67" s="794" t="s">
        <v>17478</v>
      </c>
      <c r="D67" s="794" t="s">
        <v>17479</v>
      </c>
      <c r="E67" s="794" t="s">
        <v>13058</v>
      </c>
      <c r="F67" s="794" t="s">
        <v>29</v>
      </c>
      <c r="G67" s="794" t="s">
        <v>15193</v>
      </c>
      <c r="H67" s="794"/>
      <c r="I67" s="794" t="s">
        <v>17480</v>
      </c>
      <c r="J67" s="794"/>
      <c r="K67" s="794"/>
      <c r="L67" s="794"/>
      <c r="M67" s="794" t="s">
        <v>17453</v>
      </c>
      <c r="N67" s="795">
        <v>1980.0</v>
      </c>
      <c r="O67" s="794" t="s">
        <v>388</v>
      </c>
      <c r="P67" s="794">
        <v>1.0</v>
      </c>
      <c r="Q67" s="3"/>
      <c r="R67" s="3"/>
      <c r="S67" s="3"/>
      <c r="T67" s="3"/>
      <c r="U67" s="3"/>
      <c r="V67" s="3"/>
      <c r="W67" s="3"/>
      <c r="X67" s="3"/>
      <c r="Y67" s="3"/>
      <c r="Z67" s="3"/>
    </row>
    <row r="68" ht="15.75" customHeight="1">
      <c r="A68" s="796" t="s">
        <v>17481</v>
      </c>
      <c r="B68" s="794" t="s">
        <v>17477</v>
      </c>
      <c r="C68" s="794" t="s">
        <v>17482</v>
      </c>
      <c r="D68" s="794" t="s">
        <v>17483</v>
      </c>
      <c r="E68" s="794" t="s">
        <v>17484</v>
      </c>
      <c r="F68" s="794" t="s">
        <v>29</v>
      </c>
      <c r="G68" s="794" t="s">
        <v>15193</v>
      </c>
      <c r="H68" s="794"/>
      <c r="I68" s="794" t="s">
        <v>17485</v>
      </c>
      <c r="J68" s="794"/>
      <c r="K68" s="794" t="s">
        <v>4612</v>
      </c>
      <c r="L68" s="794"/>
      <c r="M68" s="794" t="s">
        <v>17453</v>
      </c>
      <c r="N68" s="795">
        <v>1994.0</v>
      </c>
      <c r="O68" s="794" t="s">
        <v>388</v>
      </c>
      <c r="P68" s="794">
        <v>1.0</v>
      </c>
      <c r="Q68" s="3"/>
      <c r="R68" s="3"/>
      <c r="S68" s="3"/>
      <c r="T68" s="3"/>
      <c r="U68" s="3"/>
      <c r="V68" s="3"/>
      <c r="W68" s="3"/>
      <c r="X68" s="3"/>
      <c r="Y68" s="3"/>
      <c r="Z68" s="3"/>
    </row>
    <row r="69" ht="15.75" customHeight="1">
      <c r="A69" s="796" t="s">
        <v>17486</v>
      </c>
      <c r="B69" s="794" t="s">
        <v>17487</v>
      </c>
      <c r="C69" s="794" t="s">
        <v>17488</v>
      </c>
      <c r="D69" s="794" t="s">
        <v>17489</v>
      </c>
      <c r="E69" s="794" t="s">
        <v>13058</v>
      </c>
      <c r="F69" s="794" t="s">
        <v>29</v>
      </c>
      <c r="G69" s="794" t="s">
        <v>15193</v>
      </c>
      <c r="H69" s="794"/>
      <c r="I69" s="794" t="s">
        <v>17490</v>
      </c>
      <c r="J69" s="794"/>
      <c r="K69" s="794" t="s">
        <v>17491</v>
      </c>
      <c r="L69" s="794"/>
      <c r="M69" s="794" t="s">
        <v>17453</v>
      </c>
      <c r="N69" s="795">
        <v>1996.0</v>
      </c>
      <c r="O69" s="794" t="s">
        <v>388</v>
      </c>
      <c r="P69" s="794">
        <v>1.0</v>
      </c>
      <c r="Q69" s="3"/>
      <c r="R69" s="3"/>
      <c r="S69" s="3"/>
      <c r="T69" s="3"/>
      <c r="U69" s="3"/>
      <c r="V69" s="3"/>
      <c r="W69" s="3"/>
      <c r="X69" s="3"/>
      <c r="Y69" s="3"/>
      <c r="Z69" s="3"/>
    </row>
    <row r="70" ht="15.75" customHeight="1">
      <c r="A70" s="796" t="s">
        <v>17492</v>
      </c>
      <c r="B70" s="794" t="s">
        <v>17493</v>
      </c>
      <c r="C70" s="794" t="s">
        <v>17494</v>
      </c>
      <c r="D70" s="794" t="s">
        <v>17495</v>
      </c>
      <c r="E70" s="794" t="s">
        <v>13058</v>
      </c>
      <c r="F70" s="794" t="s">
        <v>29</v>
      </c>
      <c r="G70" s="794" t="s">
        <v>15193</v>
      </c>
      <c r="H70" s="794"/>
      <c r="I70" s="794" t="s">
        <v>17496</v>
      </c>
      <c r="J70" s="794"/>
      <c r="K70" s="794" t="s">
        <v>17497</v>
      </c>
      <c r="L70" s="794"/>
      <c r="M70" s="794" t="s">
        <v>17453</v>
      </c>
      <c r="N70" s="795">
        <v>2005.0</v>
      </c>
      <c r="O70" s="794" t="s">
        <v>388</v>
      </c>
      <c r="P70" s="794">
        <v>1.0</v>
      </c>
      <c r="Q70" s="3"/>
      <c r="R70" s="3"/>
      <c r="S70" s="3"/>
      <c r="T70" s="3"/>
      <c r="U70" s="3"/>
      <c r="V70" s="3"/>
      <c r="W70" s="3"/>
      <c r="X70" s="3"/>
      <c r="Y70" s="3"/>
      <c r="Z70" s="3"/>
    </row>
    <row r="71" ht="15.75" customHeight="1">
      <c r="A71" s="793"/>
      <c r="B71" s="797" t="s">
        <v>17498</v>
      </c>
      <c r="C71" s="797" t="s">
        <v>17499</v>
      </c>
      <c r="D71" s="797" t="s">
        <v>17500</v>
      </c>
      <c r="E71" s="797" t="s">
        <v>13058</v>
      </c>
      <c r="F71" s="797" t="s">
        <v>29</v>
      </c>
      <c r="G71" s="797" t="s">
        <v>15193</v>
      </c>
      <c r="H71" s="794"/>
      <c r="I71" s="797" t="s">
        <v>17501</v>
      </c>
      <c r="J71" s="794"/>
      <c r="K71" s="797" t="s">
        <v>17502</v>
      </c>
      <c r="L71" s="794"/>
      <c r="M71" s="797" t="s">
        <v>12447</v>
      </c>
      <c r="N71" s="798">
        <v>1983.0</v>
      </c>
      <c r="O71" s="794"/>
      <c r="P71" s="797">
        <v>1.0</v>
      </c>
      <c r="Q71" s="3"/>
      <c r="R71" s="3"/>
      <c r="S71" s="3"/>
      <c r="T71" s="3"/>
      <c r="U71" s="3"/>
      <c r="V71" s="3"/>
      <c r="W71" s="3"/>
      <c r="X71" s="3"/>
      <c r="Y71" s="3"/>
      <c r="Z71" s="3"/>
    </row>
    <row r="72" ht="15.75" customHeight="1">
      <c r="A72" s="796" t="s">
        <v>17503</v>
      </c>
      <c r="B72" s="794" t="s">
        <v>17504</v>
      </c>
      <c r="C72" s="797" t="s">
        <v>17505</v>
      </c>
      <c r="D72" s="794" t="s">
        <v>17506</v>
      </c>
      <c r="E72" s="794" t="s">
        <v>13058</v>
      </c>
      <c r="F72" s="794" t="s">
        <v>29</v>
      </c>
      <c r="G72" s="794" t="s">
        <v>15193</v>
      </c>
      <c r="H72" s="794"/>
      <c r="I72" s="794" t="s">
        <v>17507</v>
      </c>
      <c r="J72" s="794"/>
      <c r="K72" s="794" t="s">
        <v>17491</v>
      </c>
      <c r="L72" s="794"/>
      <c r="M72" s="794" t="s">
        <v>17453</v>
      </c>
      <c r="N72" s="795">
        <v>1983.0</v>
      </c>
      <c r="O72" s="794" t="s">
        <v>388</v>
      </c>
      <c r="P72" s="794">
        <v>1.0</v>
      </c>
      <c r="Q72" s="3"/>
      <c r="R72" s="3"/>
      <c r="S72" s="3"/>
      <c r="T72" s="3"/>
      <c r="U72" s="3"/>
      <c r="V72" s="3"/>
      <c r="W72" s="3"/>
      <c r="X72" s="3"/>
      <c r="Y72" s="3"/>
      <c r="Z72" s="3"/>
    </row>
    <row r="73" ht="15.75" customHeight="1">
      <c r="A73" s="796" t="s">
        <v>17508</v>
      </c>
      <c r="B73" s="794"/>
      <c r="C73" s="794" t="s">
        <v>17509</v>
      </c>
      <c r="D73" s="794" t="s">
        <v>17510</v>
      </c>
      <c r="E73" s="794" t="s">
        <v>13058</v>
      </c>
      <c r="F73" s="794" t="s">
        <v>29</v>
      </c>
      <c r="G73" s="794" t="s">
        <v>15193</v>
      </c>
      <c r="H73" s="794"/>
      <c r="I73" s="794" t="s">
        <v>17485</v>
      </c>
      <c r="J73" s="794"/>
      <c r="K73" s="794"/>
      <c r="L73" s="794"/>
      <c r="M73" s="794" t="s">
        <v>17453</v>
      </c>
      <c r="N73" s="795">
        <v>1986.0</v>
      </c>
      <c r="O73" s="794" t="s">
        <v>388</v>
      </c>
      <c r="P73" s="794">
        <v>1.0</v>
      </c>
      <c r="Q73" s="3"/>
      <c r="R73" s="3"/>
      <c r="S73" s="3"/>
      <c r="T73" s="3"/>
      <c r="U73" s="3"/>
      <c r="V73" s="3"/>
      <c r="W73" s="3"/>
      <c r="X73" s="3"/>
      <c r="Y73" s="3"/>
      <c r="Z73" s="3"/>
    </row>
    <row r="74" ht="15.75" customHeight="1">
      <c r="A74" s="796" t="s">
        <v>17511</v>
      </c>
      <c r="B74" s="794"/>
      <c r="C74" s="794" t="s">
        <v>17512</v>
      </c>
      <c r="D74" s="794" t="s">
        <v>17513</v>
      </c>
      <c r="E74" s="794" t="s">
        <v>13058</v>
      </c>
      <c r="F74" s="794" t="s">
        <v>29</v>
      </c>
      <c r="G74" s="794" t="s">
        <v>15193</v>
      </c>
      <c r="H74" s="794"/>
      <c r="I74" s="794" t="s">
        <v>17452</v>
      </c>
      <c r="J74" s="794"/>
      <c r="K74" s="794" t="s">
        <v>4612</v>
      </c>
      <c r="L74" s="794"/>
      <c r="M74" s="794" t="s">
        <v>17453</v>
      </c>
      <c r="N74" s="795">
        <v>1983.0</v>
      </c>
      <c r="O74" s="794" t="s">
        <v>388</v>
      </c>
      <c r="P74" s="794">
        <v>1.0</v>
      </c>
      <c r="Q74" s="3"/>
      <c r="R74" s="3"/>
      <c r="S74" s="3"/>
      <c r="T74" s="3"/>
      <c r="U74" s="3"/>
      <c r="V74" s="3"/>
      <c r="W74" s="3"/>
      <c r="X74" s="3"/>
      <c r="Y74" s="3"/>
      <c r="Z74" s="3"/>
    </row>
    <row r="75" ht="15.75" customHeight="1">
      <c r="A75" s="796" t="s">
        <v>17514</v>
      </c>
      <c r="B75" s="794" t="s">
        <v>17515</v>
      </c>
      <c r="C75" s="794" t="s">
        <v>17516</v>
      </c>
      <c r="D75" s="794" t="s">
        <v>17517</v>
      </c>
      <c r="E75" s="794" t="s">
        <v>15035</v>
      </c>
      <c r="F75" s="794" t="s">
        <v>29</v>
      </c>
      <c r="G75" s="794" t="s">
        <v>15193</v>
      </c>
      <c r="H75" s="794"/>
      <c r="I75" s="794" t="s">
        <v>17468</v>
      </c>
      <c r="J75" s="794"/>
      <c r="K75" s="794" t="s">
        <v>16192</v>
      </c>
      <c r="L75" s="794"/>
      <c r="M75" s="794" t="s">
        <v>17453</v>
      </c>
      <c r="N75" s="795">
        <v>1973.0</v>
      </c>
      <c r="O75" s="794" t="s">
        <v>388</v>
      </c>
      <c r="P75" s="794">
        <v>1.0</v>
      </c>
      <c r="Q75" s="3"/>
      <c r="R75" s="3"/>
      <c r="S75" s="3"/>
      <c r="T75" s="3"/>
      <c r="U75" s="3"/>
      <c r="V75" s="3"/>
      <c r="W75" s="3"/>
      <c r="X75" s="3"/>
      <c r="Y75" s="3"/>
      <c r="Z75" s="3"/>
    </row>
    <row r="76" ht="15.75" customHeight="1">
      <c r="A76" s="796" t="s">
        <v>17518</v>
      </c>
      <c r="B76" s="794" t="s">
        <v>17519</v>
      </c>
      <c r="C76" s="794" t="s">
        <v>17520</v>
      </c>
      <c r="D76" s="794" t="s">
        <v>17521</v>
      </c>
      <c r="E76" s="794" t="s">
        <v>15035</v>
      </c>
      <c r="F76" s="794" t="s">
        <v>29</v>
      </c>
      <c r="G76" s="794"/>
      <c r="H76" s="794"/>
      <c r="I76" s="794" t="s">
        <v>13082</v>
      </c>
      <c r="J76" s="794"/>
      <c r="K76" s="794"/>
      <c r="L76" s="794"/>
      <c r="M76" s="794" t="s">
        <v>15300</v>
      </c>
      <c r="N76" s="795">
        <v>1995.0</v>
      </c>
      <c r="O76" s="794" t="s">
        <v>388</v>
      </c>
      <c r="P76" s="794">
        <v>1.0</v>
      </c>
      <c r="Q76" s="3"/>
      <c r="R76" s="3"/>
      <c r="S76" s="3"/>
      <c r="T76" s="3"/>
      <c r="U76" s="3"/>
      <c r="V76" s="3"/>
      <c r="W76" s="3"/>
      <c r="X76" s="3"/>
      <c r="Y76" s="3"/>
      <c r="Z76" s="3"/>
    </row>
    <row r="77" ht="15.75" customHeight="1">
      <c r="A77" s="796" t="s">
        <v>17522</v>
      </c>
      <c r="B77" s="794"/>
      <c r="C77" s="794" t="s">
        <v>17523</v>
      </c>
      <c r="D77" s="794" t="s">
        <v>17524</v>
      </c>
      <c r="E77" s="794" t="s">
        <v>13058</v>
      </c>
      <c r="F77" s="794" t="s">
        <v>29</v>
      </c>
      <c r="G77" s="794" t="s">
        <v>6454</v>
      </c>
      <c r="H77" s="794"/>
      <c r="I77" s="794" t="s">
        <v>6454</v>
      </c>
      <c r="J77" s="794"/>
      <c r="K77" s="794"/>
      <c r="L77" s="794"/>
      <c r="M77" s="794"/>
      <c r="N77" s="795"/>
      <c r="O77" s="794" t="s">
        <v>388</v>
      </c>
      <c r="P77" s="794">
        <v>1.0</v>
      </c>
      <c r="Q77" s="3"/>
      <c r="R77" s="3"/>
      <c r="S77" s="3"/>
      <c r="T77" s="3"/>
      <c r="U77" s="3"/>
      <c r="V77" s="3"/>
      <c r="W77" s="3"/>
      <c r="X77" s="3"/>
      <c r="Y77" s="3"/>
      <c r="Z77" s="3"/>
    </row>
    <row r="78" ht="15.75" customHeight="1">
      <c r="A78" s="796" t="s">
        <v>17525</v>
      </c>
      <c r="B78" s="794" t="s">
        <v>17526</v>
      </c>
      <c r="C78" s="794" t="s">
        <v>17527</v>
      </c>
      <c r="D78" s="794" t="s">
        <v>17528</v>
      </c>
      <c r="E78" s="794" t="s">
        <v>13058</v>
      </c>
      <c r="F78" s="794" t="s">
        <v>29</v>
      </c>
      <c r="G78" s="794" t="s">
        <v>15193</v>
      </c>
      <c r="H78" s="794"/>
      <c r="I78" s="794" t="s">
        <v>17529</v>
      </c>
      <c r="J78" s="794"/>
      <c r="K78" s="794" t="s">
        <v>4612</v>
      </c>
      <c r="L78" s="794"/>
      <c r="M78" s="794"/>
      <c r="N78" s="795">
        <v>1992.0</v>
      </c>
      <c r="O78" s="794" t="s">
        <v>388</v>
      </c>
      <c r="P78" s="794">
        <v>1.0</v>
      </c>
      <c r="Q78" s="3"/>
      <c r="R78" s="3"/>
      <c r="S78" s="3"/>
      <c r="T78" s="3"/>
      <c r="U78" s="3"/>
      <c r="V78" s="3"/>
      <c r="W78" s="3"/>
      <c r="X78" s="3"/>
      <c r="Y78" s="3"/>
      <c r="Z78" s="3"/>
    </row>
    <row r="79" ht="15.75" customHeight="1">
      <c r="A79" s="796" t="s">
        <v>17530</v>
      </c>
      <c r="B79" s="794"/>
      <c r="C79" s="794" t="s">
        <v>17531</v>
      </c>
      <c r="D79" s="794" t="s">
        <v>15293</v>
      </c>
      <c r="E79" s="794" t="s">
        <v>13058</v>
      </c>
      <c r="F79" s="794" t="s">
        <v>29</v>
      </c>
      <c r="G79" s="794"/>
      <c r="H79" s="794"/>
      <c r="I79" s="794" t="s">
        <v>13082</v>
      </c>
      <c r="J79" s="794"/>
      <c r="K79" s="794" t="s">
        <v>16201</v>
      </c>
      <c r="L79" s="794"/>
      <c r="M79" s="794" t="s">
        <v>15646</v>
      </c>
      <c r="N79" s="795">
        <v>1976.0</v>
      </c>
      <c r="O79" s="794" t="s">
        <v>388</v>
      </c>
      <c r="P79" s="794">
        <v>1.0</v>
      </c>
      <c r="Q79" s="3"/>
      <c r="R79" s="3"/>
      <c r="S79" s="3"/>
      <c r="T79" s="3"/>
      <c r="U79" s="3"/>
      <c r="V79" s="3"/>
      <c r="W79" s="3"/>
      <c r="X79" s="3"/>
      <c r="Y79" s="3"/>
      <c r="Z79" s="3"/>
    </row>
    <row r="80" ht="15.75" customHeight="1">
      <c r="A80" s="796" t="s">
        <v>17532</v>
      </c>
      <c r="B80" s="794"/>
      <c r="C80" s="794" t="s">
        <v>17533</v>
      </c>
      <c r="D80" s="794" t="s">
        <v>17534</v>
      </c>
      <c r="E80" s="794" t="s">
        <v>13058</v>
      </c>
      <c r="F80" s="794" t="s">
        <v>29</v>
      </c>
      <c r="G80" s="794"/>
      <c r="H80" s="794"/>
      <c r="I80" s="794" t="s">
        <v>13082</v>
      </c>
      <c r="J80" s="794"/>
      <c r="K80" s="794"/>
      <c r="L80" s="794"/>
      <c r="M80" s="794"/>
      <c r="N80" s="795">
        <v>1986.0</v>
      </c>
      <c r="O80" s="794" t="s">
        <v>388</v>
      </c>
      <c r="P80" s="794">
        <v>2.0</v>
      </c>
      <c r="Q80" s="3"/>
      <c r="R80" s="3"/>
      <c r="S80" s="3"/>
      <c r="T80" s="3"/>
      <c r="U80" s="3"/>
      <c r="V80" s="3"/>
      <c r="W80" s="3"/>
      <c r="X80" s="3"/>
      <c r="Y80" s="3"/>
      <c r="Z80" s="3"/>
    </row>
    <row r="81" ht="15.75" customHeight="1">
      <c r="A81" s="796" t="s">
        <v>17535</v>
      </c>
      <c r="B81" s="794"/>
      <c r="C81" s="794" t="s">
        <v>17536</v>
      </c>
      <c r="D81" s="794" t="s">
        <v>17537</v>
      </c>
      <c r="E81" s="794" t="s">
        <v>13058</v>
      </c>
      <c r="F81" s="794" t="s">
        <v>29</v>
      </c>
      <c r="G81" s="794"/>
      <c r="H81" s="794"/>
      <c r="I81" s="794" t="s">
        <v>13082</v>
      </c>
      <c r="J81" s="794"/>
      <c r="K81" s="794" t="s">
        <v>16201</v>
      </c>
      <c r="L81" s="794"/>
      <c r="M81" s="794"/>
      <c r="N81" s="795">
        <v>1990.0</v>
      </c>
      <c r="O81" s="794" t="s">
        <v>388</v>
      </c>
      <c r="P81" s="794">
        <v>1.0</v>
      </c>
      <c r="Q81" s="3"/>
      <c r="R81" s="3"/>
      <c r="S81" s="3"/>
      <c r="T81" s="3"/>
      <c r="U81" s="3"/>
      <c r="V81" s="3"/>
      <c r="W81" s="3"/>
      <c r="X81" s="3"/>
      <c r="Y81" s="3"/>
      <c r="Z81" s="3"/>
    </row>
    <row r="82" ht="15.75" customHeight="1">
      <c r="A82" s="796" t="s">
        <v>17538</v>
      </c>
      <c r="B82" s="794"/>
      <c r="C82" s="794" t="s">
        <v>17539</v>
      </c>
      <c r="D82" s="794" t="s">
        <v>17540</v>
      </c>
      <c r="E82" s="794" t="s">
        <v>13058</v>
      </c>
      <c r="F82" s="794" t="s">
        <v>29</v>
      </c>
      <c r="G82" s="794" t="s">
        <v>17541</v>
      </c>
      <c r="H82" s="794"/>
      <c r="I82" s="794" t="s">
        <v>17541</v>
      </c>
      <c r="J82" s="799">
        <v>1370.0</v>
      </c>
      <c r="K82" s="794" t="s">
        <v>16192</v>
      </c>
      <c r="L82" s="794"/>
      <c r="M82" s="794" t="s">
        <v>17542</v>
      </c>
      <c r="N82" s="795">
        <v>2008.0</v>
      </c>
      <c r="O82" s="794" t="s">
        <v>388</v>
      </c>
      <c r="P82" s="794">
        <v>1.0</v>
      </c>
      <c r="Q82" s="3"/>
      <c r="R82" s="3"/>
      <c r="S82" s="3"/>
      <c r="T82" s="3"/>
      <c r="U82" s="3"/>
      <c r="V82" s="3"/>
      <c r="W82" s="3"/>
      <c r="X82" s="3"/>
      <c r="Y82" s="3"/>
      <c r="Z82" s="3"/>
    </row>
    <row r="83" ht="15.75" customHeight="1">
      <c r="A83" s="796" t="s">
        <v>17543</v>
      </c>
      <c r="B83" s="794"/>
      <c r="C83" s="794" t="s">
        <v>17533</v>
      </c>
      <c r="D83" s="794" t="s">
        <v>17534</v>
      </c>
      <c r="E83" s="794" t="s">
        <v>13058</v>
      </c>
      <c r="F83" s="794" t="s">
        <v>29</v>
      </c>
      <c r="G83" s="794" t="s">
        <v>13082</v>
      </c>
      <c r="H83" s="794"/>
      <c r="I83" s="794" t="s">
        <v>13082</v>
      </c>
      <c r="J83" s="794"/>
      <c r="K83" s="794" t="s">
        <v>16201</v>
      </c>
      <c r="L83" s="794"/>
      <c r="M83" s="794" t="s">
        <v>13082</v>
      </c>
      <c r="N83" s="795">
        <v>1986.0</v>
      </c>
      <c r="O83" s="794" t="s">
        <v>388</v>
      </c>
      <c r="P83" s="794">
        <v>1.0</v>
      </c>
      <c r="Q83" s="3"/>
      <c r="R83" s="3"/>
      <c r="S83" s="3"/>
      <c r="T83" s="3"/>
      <c r="U83" s="3"/>
      <c r="V83" s="3"/>
      <c r="W83" s="3"/>
      <c r="X83" s="3"/>
      <c r="Y83" s="3"/>
      <c r="Z83" s="3"/>
    </row>
    <row r="84" ht="15.75" customHeight="1">
      <c r="A84" s="796" t="s">
        <v>17544</v>
      </c>
      <c r="B84" s="794"/>
      <c r="C84" s="794"/>
      <c r="D84" s="794"/>
      <c r="E84" s="794"/>
      <c r="F84" s="794"/>
      <c r="G84" s="794"/>
      <c r="H84" s="794"/>
      <c r="I84" s="794"/>
      <c r="J84" s="794"/>
      <c r="K84" s="794"/>
      <c r="L84" s="794"/>
      <c r="M84" s="794"/>
      <c r="N84" s="795"/>
      <c r="O84" s="794"/>
      <c r="P84" s="794"/>
      <c r="Q84" s="3"/>
      <c r="R84" s="3"/>
      <c r="S84" s="3"/>
      <c r="T84" s="3"/>
      <c r="U84" s="3"/>
      <c r="V84" s="3"/>
      <c r="W84" s="3"/>
      <c r="X84" s="3"/>
      <c r="Y84" s="3"/>
      <c r="Z84" s="3"/>
    </row>
    <row r="85" ht="15.75" customHeight="1">
      <c r="A85" s="796" t="s">
        <v>17545</v>
      </c>
      <c r="B85" s="794"/>
      <c r="C85" s="794" t="s">
        <v>17546</v>
      </c>
      <c r="D85" s="794" t="s">
        <v>17547</v>
      </c>
      <c r="E85" s="794" t="s">
        <v>13058</v>
      </c>
      <c r="F85" s="794" t="s">
        <v>29</v>
      </c>
      <c r="G85" s="794" t="s">
        <v>17548</v>
      </c>
      <c r="H85" s="794"/>
      <c r="I85" s="794" t="s">
        <v>17549</v>
      </c>
      <c r="J85" s="794"/>
      <c r="K85" s="794"/>
      <c r="L85" s="794"/>
      <c r="M85" s="794" t="s">
        <v>17550</v>
      </c>
      <c r="N85" s="795">
        <v>1966.0</v>
      </c>
      <c r="O85" s="794" t="s">
        <v>388</v>
      </c>
      <c r="P85" s="794">
        <v>1.0</v>
      </c>
      <c r="Q85" s="3"/>
      <c r="R85" s="3"/>
      <c r="S85" s="3"/>
      <c r="T85" s="3"/>
      <c r="U85" s="3"/>
      <c r="V85" s="3"/>
      <c r="W85" s="3"/>
      <c r="X85" s="3"/>
      <c r="Y85" s="3"/>
      <c r="Z85" s="3"/>
    </row>
    <row r="86" ht="15.75" customHeight="1">
      <c r="A86" s="796" t="s">
        <v>17551</v>
      </c>
      <c r="B86" s="794"/>
      <c r="C86" s="794" t="s">
        <v>17552</v>
      </c>
      <c r="D86" s="794" t="s">
        <v>17553</v>
      </c>
      <c r="E86" s="794" t="s">
        <v>12445</v>
      </c>
      <c r="F86" s="794" t="s">
        <v>29</v>
      </c>
      <c r="G86" s="794" t="s">
        <v>6454</v>
      </c>
      <c r="H86" s="794"/>
      <c r="I86" s="794" t="s">
        <v>17296</v>
      </c>
      <c r="J86" s="799"/>
      <c r="K86" s="794"/>
      <c r="L86" s="794"/>
      <c r="M86" s="794" t="s">
        <v>17554</v>
      </c>
      <c r="N86" s="795">
        <v>1967.0</v>
      </c>
      <c r="O86" s="794" t="s">
        <v>388</v>
      </c>
      <c r="P86" s="794">
        <v>1.0</v>
      </c>
      <c r="Q86" s="3"/>
      <c r="R86" s="3"/>
      <c r="S86" s="3"/>
      <c r="T86" s="3"/>
      <c r="U86" s="3"/>
      <c r="V86" s="3"/>
      <c r="W86" s="3"/>
      <c r="X86" s="3"/>
      <c r="Y86" s="3"/>
      <c r="Z86" s="3"/>
    </row>
    <row r="87" ht="15.75" customHeight="1">
      <c r="A87" s="796" t="s">
        <v>17555</v>
      </c>
      <c r="B87" s="794" t="s">
        <v>17556</v>
      </c>
      <c r="C87" s="794" t="s">
        <v>17557</v>
      </c>
      <c r="D87" s="794" t="s">
        <v>17558</v>
      </c>
      <c r="E87" s="794" t="s">
        <v>13058</v>
      </c>
      <c r="F87" s="794" t="s">
        <v>29</v>
      </c>
      <c r="G87" s="794" t="s">
        <v>6354</v>
      </c>
      <c r="H87" s="794"/>
      <c r="I87" s="794" t="s">
        <v>17559</v>
      </c>
      <c r="J87" s="799">
        <v>1984.0</v>
      </c>
      <c r="K87" s="794" t="s">
        <v>16201</v>
      </c>
      <c r="L87" s="794"/>
      <c r="M87" s="794" t="s">
        <v>16073</v>
      </c>
      <c r="N87" s="795">
        <v>1984.0</v>
      </c>
      <c r="O87" s="794" t="s">
        <v>388</v>
      </c>
      <c r="P87" s="794">
        <v>1.0</v>
      </c>
      <c r="Q87" s="3"/>
      <c r="R87" s="3"/>
      <c r="S87" s="3"/>
      <c r="T87" s="3"/>
      <c r="U87" s="3"/>
      <c r="V87" s="3"/>
      <c r="W87" s="3"/>
      <c r="X87" s="3"/>
      <c r="Y87" s="3"/>
      <c r="Z87" s="3"/>
    </row>
    <row r="88" ht="15.75" customHeight="1">
      <c r="A88" s="796" t="s">
        <v>17560</v>
      </c>
      <c r="B88" s="794"/>
      <c r="C88" s="794" t="s">
        <v>17561</v>
      </c>
      <c r="D88" s="794" t="s">
        <v>17562</v>
      </c>
      <c r="E88" s="794" t="s">
        <v>13058</v>
      </c>
      <c r="F88" s="794" t="s">
        <v>29</v>
      </c>
      <c r="G88" s="794" t="s">
        <v>6354</v>
      </c>
      <c r="H88" s="794"/>
      <c r="I88" s="794" t="s">
        <v>17563</v>
      </c>
      <c r="J88" s="799">
        <f>1031+3+340</f>
        <v>1374</v>
      </c>
      <c r="K88" s="794" t="s">
        <v>4612</v>
      </c>
      <c r="L88" s="794"/>
      <c r="M88" s="794" t="s">
        <v>16073</v>
      </c>
      <c r="N88" s="795">
        <v>1983.0</v>
      </c>
      <c r="O88" s="794" t="s">
        <v>388</v>
      </c>
      <c r="P88" s="794">
        <v>1.0</v>
      </c>
      <c r="Q88" s="3"/>
      <c r="R88" s="3"/>
      <c r="S88" s="3"/>
      <c r="T88" s="3"/>
      <c r="U88" s="3"/>
      <c r="V88" s="3"/>
      <c r="W88" s="3"/>
      <c r="X88" s="3"/>
      <c r="Y88" s="3"/>
      <c r="Z88" s="3"/>
    </row>
    <row r="89" ht="15.75" customHeight="1">
      <c r="A89" s="796" t="s">
        <v>17564</v>
      </c>
      <c r="B89" s="794"/>
      <c r="C89" s="794" t="s">
        <v>17565</v>
      </c>
      <c r="D89" s="794" t="s">
        <v>17566</v>
      </c>
      <c r="E89" s="794" t="s">
        <v>13058</v>
      </c>
      <c r="F89" s="794" t="s">
        <v>29</v>
      </c>
      <c r="G89" s="794" t="s">
        <v>13193</v>
      </c>
      <c r="H89" s="794"/>
      <c r="I89" s="794" t="s">
        <v>17567</v>
      </c>
      <c r="J89" s="794"/>
      <c r="K89" s="794"/>
      <c r="L89" s="794"/>
      <c r="M89" s="794" t="s">
        <v>17568</v>
      </c>
      <c r="N89" s="795">
        <v>1989.0</v>
      </c>
      <c r="O89" s="794" t="s">
        <v>388</v>
      </c>
      <c r="P89" s="794">
        <v>1.0</v>
      </c>
      <c r="Q89" s="3"/>
      <c r="R89" s="3"/>
      <c r="S89" s="3"/>
      <c r="T89" s="3"/>
      <c r="U89" s="3"/>
      <c r="V89" s="3"/>
      <c r="W89" s="3"/>
      <c r="X89" s="3"/>
      <c r="Y89" s="3"/>
      <c r="Z89" s="3"/>
    </row>
    <row r="90" ht="15.75" customHeight="1">
      <c r="A90" s="796" t="s">
        <v>17569</v>
      </c>
      <c r="B90" s="794"/>
      <c r="C90" s="794" t="s">
        <v>17570</v>
      </c>
      <c r="D90" s="794" t="s">
        <v>17571</v>
      </c>
      <c r="E90" s="794" t="s">
        <v>13058</v>
      </c>
      <c r="F90" s="794" t="s">
        <v>29</v>
      </c>
      <c r="G90" s="794" t="s">
        <v>17548</v>
      </c>
      <c r="H90" s="794"/>
      <c r="I90" s="794" t="s">
        <v>17549</v>
      </c>
      <c r="J90" s="794"/>
      <c r="K90" s="794"/>
      <c r="L90" s="794"/>
      <c r="M90" s="794"/>
      <c r="N90" s="795">
        <v>2000.0</v>
      </c>
      <c r="O90" s="794" t="s">
        <v>388</v>
      </c>
      <c r="P90" s="794">
        <v>1.0</v>
      </c>
      <c r="Q90" s="3"/>
      <c r="R90" s="3"/>
      <c r="S90" s="3"/>
      <c r="T90" s="3"/>
      <c r="U90" s="3"/>
      <c r="V90" s="3"/>
      <c r="W90" s="3"/>
      <c r="X90" s="3"/>
      <c r="Y90" s="3"/>
      <c r="Z90" s="3"/>
    </row>
    <row r="91" ht="15.75" customHeight="1">
      <c r="A91" s="796" t="s">
        <v>17572</v>
      </c>
      <c r="B91" s="794" t="s">
        <v>17573</v>
      </c>
      <c r="C91" s="794" t="s">
        <v>17574</v>
      </c>
      <c r="D91" s="794" t="s">
        <v>17575</v>
      </c>
      <c r="E91" s="794" t="s">
        <v>13058</v>
      </c>
      <c r="F91" s="794" t="s">
        <v>29</v>
      </c>
      <c r="G91" s="794" t="s">
        <v>17576</v>
      </c>
      <c r="H91" s="794"/>
      <c r="I91" s="794" t="s">
        <v>17577</v>
      </c>
      <c r="J91" s="799">
        <v>1174.0</v>
      </c>
      <c r="K91" s="794" t="s">
        <v>16201</v>
      </c>
      <c r="L91" s="794"/>
      <c r="M91" s="794" t="s">
        <v>16129</v>
      </c>
      <c r="N91" s="795">
        <v>1987.0</v>
      </c>
      <c r="O91" s="794" t="s">
        <v>388</v>
      </c>
      <c r="P91" s="794">
        <v>1.0</v>
      </c>
      <c r="Q91" s="3"/>
      <c r="R91" s="3"/>
      <c r="S91" s="3"/>
      <c r="T91" s="3"/>
      <c r="U91" s="3"/>
      <c r="V91" s="3"/>
      <c r="W91" s="3"/>
      <c r="X91" s="3"/>
      <c r="Y91" s="3"/>
      <c r="Z91" s="3"/>
    </row>
    <row r="92" ht="15.75" customHeight="1">
      <c r="A92" s="796" t="s">
        <v>17578</v>
      </c>
      <c r="B92" s="794"/>
      <c r="C92" s="794" t="s">
        <v>17579</v>
      </c>
      <c r="D92" s="794" t="s">
        <v>17580</v>
      </c>
      <c r="E92" s="794" t="s">
        <v>13058</v>
      </c>
      <c r="F92" s="794" t="s">
        <v>29</v>
      </c>
      <c r="G92" s="794" t="s">
        <v>17581</v>
      </c>
      <c r="H92" s="794"/>
      <c r="I92" s="794" t="s">
        <v>17582</v>
      </c>
      <c r="J92" s="799">
        <f>988+336+4</f>
        <v>1328</v>
      </c>
      <c r="K92" s="794"/>
      <c r="L92" s="794"/>
      <c r="M92" s="794" t="s">
        <v>17583</v>
      </c>
      <c r="N92" s="795">
        <v>1988.0</v>
      </c>
      <c r="O92" s="794" t="s">
        <v>388</v>
      </c>
      <c r="P92" s="794">
        <v>1.0</v>
      </c>
      <c r="Q92" s="3"/>
      <c r="R92" s="3"/>
      <c r="S92" s="3"/>
      <c r="T92" s="3"/>
      <c r="U92" s="3"/>
      <c r="V92" s="3"/>
      <c r="W92" s="3"/>
      <c r="X92" s="3"/>
      <c r="Y92" s="3"/>
      <c r="Z92" s="3"/>
    </row>
    <row r="93" ht="15.75" customHeight="1">
      <c r="A93" s="796" t="s">
        <v>17584</v>
      </c>
      <c r="B93" s="794"/>
      <c r="C93" s="794" t="s">
        <v>17436</v>
      </c>
      <c r="D93" s="794" t="s">
        <v>17585</v>
      </c>
      <c r="E93" s="794" t="s">
        <v>13058</v>
      </c>
      <c r="F93" s="794" t="s">
        <v>29</v>
      </c>
      <c r="G93" s="794" t="s">
        <v>5395</v>
      </c>
      <c r="H93" s="794"/>
      <c r="I93" s="794" t="s">
        <v>17438</v>
      </c>
      <c r="J93" s="799">
        <f>1338+4+392</f>
        <v>1734</v>
      </c>
      <c r="K93" s="794" t="s">
        <v>16201</v>
      </c>
      <c r="L93" s="794"/>
      <c r="M93" s="794" t="s">
        <v>16129</v>
      </c>
      <c r="N93" s="795">
        <v>1978.0</v>
      </c>
      <c r="O93" s="794" t="s">
        <v>388</v>
      </c>
      <c r="P93" s="794">
        <v>1.0</v>
      </c>
      <c r="Q93" s="3"/>
      <c r="R93" s="3"/>
      <c r="S93" s="3"/>
      <c r="T93" s="3"/>
      <c r="U93" s="3"/>
      <c r="V93" s="3"/>
      <c r="W93" s="3"/>
      <c r="X93" s="3"/>
      <c r="Y93" s="3"/>
      <c r="Z93" s="3"/>
    </row>
    <row r="94" ht="15.75" customHeight="1">
      <c r="A94" s="796" t="s">
        <v>17586</v>
      </c>
      <c r="B94" s="794" t="s">
        <v>17587</v>
      </c>
      <c r="C94" s="794" t="s">
        <v>17588</v>
      </c>
      <c r="D94" s="794" t="s">
        <v>17589</v>
      </c>
      <c r="E94" s="794" t="s">
        <v>13058</v>
      </c>
      <c r="F94" s="794" t="s">
        <v>29</v>
      </c>
      <c r="G94" s="794" t="s">
        <v>17590</v>
      </c>
      <c r="H94" s="794"/>
      <c r="I94" s="794" t="s">
        <v>17405</v>
      </c>
      <c r="J94" s="794"/>
      <c r="K94" s="794"/>
      <c r="L94" s="794"/>
      <c r="M94" s="794" t="s">
        <v>2953</v>
      </c>
      <c r="N94" s="795">
        <v>2001.0</v>
      </c>
      <c r="O94" s="794" t="s">
        <v>388</v>
      </c>
      <c r="P94" s="794">
        <v>1.0</v>
      </c>
      <c r="Q94" s="3"/>
      <c r="R94" s="3"/>
      <c r="S94" s="3"/>
      <c r="T94" s="3"/>
      <c r="U94" s="3"/>
      <c r="V94" s="3"/>
      <c r="W94" s="3"/>
      <c r="X94" s="3"/>
      <c r="Y94" s="3"/>
      <c r="Z94" s="3"/>
    </row>
    <row r="95" ht="15.75" customHeight="1">
      <c r="A95" s="796" t="s">
        <v>17591</v>
      </c>
      <c r="B95" s="794" t="s">
        <v>17592</v>
      </c>
      <c r="C95" s="794" t="s">
        <v>17593</v>
      </c>
      <c r="D95" s="794" t="s">
        <v>17594</v>
      </c>
      <c r="E95" s="794" t="s">
        <v>13058</v>
      </c>
      <c r="F95" s="794" t="s">
        <v>29</v>
      </c>
      <c r="G95" s="794" t="s">
        <v>15193</v>
      </c>
      <c r="H95" s="794"/>
      <c r="I95" s="794" t="s">
        <v>17468</v>
      </c>
      <c r="J95" s="799">
        <f>1129+3+398+32</f>
        <v>1562</v>
      </c>
      <c r="K95" s="794" t="s">
        <v>17595</v>
      </c>
      <c r="L95" s="794"/>
      <c r="M95" s="794" t="s">
        <v>12447</v>
      </c>
      <c r="N95" s="795">
        <v>2000.0</v>
      </c>
      <c r="O95" s="794" t="s">
        <v>388</v>
      </c>
      <c r="P95" s="794">
        <v>1.0</v>
      </c>
      <c r="Q95" s="3"/>
      <c r="R95" s="3"/>
      <c r="S95" s="3"/>
      <c r="T95" s="3"/>
      <c r="U95" s="3"/>
      <c r="V95" s="3"/>
      <c r="W95" s="3"/>
      <c r="X95" s="3"/>
      <c r="Y95" s="3"/>
      <c r="Z95" s="3"/>
    </row>
    <row r="96" ht="15.75" customHeight="1">
      <c r="A96" s="796" t="s">
        <v>17596</v>
      </c>
      <c r="B96" s="794" t="s">
        <v>17597</v>
      </c>
      <c r="C96" s="794" t="s">
        <v>17598</v>
      </c>
      <c r="D96" s="794" t="s">
        <v>17599</v>
      </c>
      <c r="E96" s="794" t="s">
        <v>13058</v>
      </c>
      <c r="F96" s="794" t="s">
        <v>29</v>
      </c>
      <c r="G96" s="794" t="s">
        <v>5395</v>
      </c>
      <c r="H96" s="794"/>
      <c r="I96" s="794" t="s">
        <v>17438</v>
      </c>
      <c r="J96" s="799">
        <f>1338+2+380</f>
        <v>1720</v>
      </c>
      <c r="K96" s="794" t="s">
        <v>16201</v>
      </c>
      <c r="L96" s="794"/>
      <c r="M96" s="794" t="s">
        <v>16129</v>
      </c>
      <c r="N96" s="795">
        <v>1994.0</v>
      </c>
      <c r="O96" s="794" t="s">
        <v>388</v>
      </c>
      <c r="P96" s="794">
        <v>1.0</v>
      </c>
      <c r="Q96" s="3"/>
      <c r="R96" s="3"/>
      <c r="S96" s="3"/>
      <c r="T96" s="3"/>
      <c r="U96" s="3"/>
      <c r="V96" s="3"/>
      <c r="W96" s="3"/>
      <c r="X96" s="3"/>
      <c r="Y96" s="3"/>
      <c r="Z96" s="3"/>
    </row>
    <row r="97" ht="15.75" customHeight="1">
      <c r="A97" s="796" t="s">
        <v>17600</v>
      </c>
      <c r="B97" s="794" t="s">
        <v>17601</v>
      </c>
      <c r="C97" s="794" t="s">
        <v>17602</v>
      </c>
      <c r="D97" s="794" t="s">
        <v>17603</v>
      </c>
      <c r="E97" s="794" t="s">
        <v>13058</v>
      </c>
      <c r="F97" s="794" t="s">
        <v>29</v>
      </c>
      <c r="G97" s="794" t="s">
        <v>5395</v>
      </c>
      <c r="H97" s="794"/>
      <c r="I97" s="794" t="s">
        <v>17604</v>
      </c>
      <c r="J97" s="799">
        <f>787+1+242+4</f>
        <v>1034</v>
      </c>
      <c r="K97" s="794" t="s">
        <v>16201</v>
      </c>
      <c r="L97" s="794"/>
      <c r="M97" s="794" t="s">
        <v>16129</v>
      </c>
      <c r="N97" s="795">
        <v>1987.0</v>
      </c>
      <c r="O97" s="794" t="s">
        <v>388</v>
      </c>
      <c r="P97" s="794">
        <v>1.0</v>
      </c>
      <c r="Q97" s="3"/>
      <c r="R97" s="3"/>
      <c r="S97" s="3"/>
      <c r="T97" s="3"/>
      <c r="U97" s="3"/>
      <c r="V97" s="3"/>
      <c r="W97" s="3"/>
      <c r="X97" s="3"/>
      <c r="Y97" s="3"/>
      <c r="Z97" s="3"/>
    </row>
    <row r="98" ht="15.75" customHeight="1">
      <c r="A98" s="796" t="s">
        <v>17605</v>
      </c>
      <c r="B98" s="794" t="s">
        <v>17606</v>
      </c>
      <c r="C98" s="794" t="s">
        <v>17607</v>
      </c>
      <c r="D98" s="794" t="s">
        <v>17608</v>
      </c>
      <c r="E98" s="794" t="s">
        <v>13058</v>
      </c>
      <c r="F98" s="794" t="s">
        <v>29</v>
      </c>
      <c r="G98" s="794" t="s">
        <v>17609</v>
      </c>
      <c r="H98" s="794"/>
      <c r="I98" s="794" t="s">
        <v>17411</v>
      </c>
      <c r="J98" s="794"/>
      <c r="K98" s="794" t="s">
        <v>16192</v>
      </c>
      <c r="L98" s="794"/>
      <c r="M98" s="794" t="s">
        <v>17610</v>
      </c>
      <c r="N98" s="795">
        <v>2005.0</v>
      </c>
      <c r="O98" s="794" t="s">
        <v>388</v>
      </c>
      <c r="P98" s="794">
        <v>1.0</v>
      </c>
      <c r="Q98" s="3"/>
      <c r="R98" s="3"/>
      <c r="S98" s="3"/>
      <c r="T98" s="3"/>
      <c r="U98" s="3"/>
      <c r="V98" s="3"/>
      <c r="W98" s="3"/>
      <c r="X98" s="3"/>
      <c r="Y98" s="3"/>
      <c r="Z98" s="3"/>
    </row>
    <row r="99" ht="15.75" customHeight="1">
      <c r="A99" s="796" t="s">
        <v>17611</v>
      </c>
      <c r="B99" s="794" t="s">
        <v>17612</v>
      </c>
      <c r="C99" s="794" t="s">
        <v>17613</v>
      </c>
      <c r="D99" s="794" t="s">
        <v>17614</v>
      </c>
      <c r="E99" s="794" t="s">
        <v>13058</v>
      </c>
      <c r="F99" s="794" t="s">
        <v>29</v>
      </c>
      <c r="G99" s="794" t="s">
        <v>5395</v>
      </c>
      <c r="H99" s="794"/>
      <c r="I99" s="794" t="s">
        <v>17615</v>
      </c>
      <c r="J99" s="799">
        <f>1108+360</f>
        <v>1468</v>
      </c>
      <c r="K99" s="794" t="s">
        <v>16201</v>
      </c>
      <c r="L99" s="794"/>
      <c r="M99" s="794" t="s">
        <v>17616</v>
      </c>
      <c r="N99" s="795">
        <v>2012.0</v>
      </c>
      <c r="O99" s="794" t="s">
        <v>388</v>
      </c>
      <c r="P99" s="794">
        <v>1.0</v>
      </c>
      <c r="Q99" s="3"/>
      <c r="R99" s="3"/>
      <c r="S99" s="3"/>
      <c r="T99" s="3"/>
      <c r="U99" s="3"/>
      <c r="V99" s="3"/>
      <c r="W99" s="3"/>
      <c r="X99" s="3"/>
      <c r="Y99" s="3"/>
      <c r="Z99" s="3"/>
    </row>
    <row r="100" ht="15.75" customHeight="1">
      <c r="A100" s="796" t="s">
        <v>17617</v>
      </c>
      <c r="B100" s="794" t="s">
        <v>17618</v>
      </c>
      <c r="C100" s="797" t="s">
        <v>17619</v>
      </c>
      <c r="D100" s="797" t="s">
        <v>17620</v>
      </c>
      <c r="E100" s="794" t="s">
        <v>13058</v>
      </c>
      <c r="F100" s="794" t="s">
        <v>29</v>
      </c>
      <c r="G100" s="794" t="s">
        <v>5395</v>
      </c>
      <c r="H100" s="794"/>
      <c r="I100" s="794" t="s">
        <v>17577</v>
      </c>
      <c r="J100" s="794"/>
      <c r="K100" s="794" t="s">
        <v>4612</v>
      </c>
      <c r="L100" s="794"/>
      <c r="M100" s="794" t="s">
        <v>17621</v>
      </c>
      <c r="N100" s="795">
        <v>2007.0</v>
      </c>
      <c r="O100" s="794" t="s">
        <v>388</v>
      </c>
      <c r="P100" s="794">
        <v>1.0</v>
      </c>
      <c r="Q100" s="3"/>
      <c r="R100" s="3"/>
      <c r="S100" s="3"/>
      <c r="T100" s="3"/>
      <c r="U100" s="3"/>
      <c r="V100" s="3"/>
      <c r="W100" s="3"/>
      <c r="X100" s="3"/>
      <c r="Y100" s="3"/>
      <c r="Z100" s="3"/>
    </row>
    <row r="101" ht="15.75" customHeight="1">
      <c r="A101" s="796" t="s">
        <v>17622</v>
      </c>
      <c r="B101" s="794"/>
      <c r="C101" s="794" t="s">
        <v>17623</v>
      </c>
      <c r="D101" s="794" t="s">
        <v>17624</v>
      </c>
      <c r="E101" s="794" t="s">
        <v>13058</v>
      </c>
      <c r="F101" s="794" t="s">
        <v>29</v>
      </c>
      <c r="G101" s="794" t="s">
        <v>5395</v>
      </c>
      <c r="H101" s="794"/>
      <c r="I101" s="794" t="s">
        <v>17615</v>
      </c>
      <c r="J101" s="799">
        <f>1161+5</f>
        <v>1166</v>
      </c>
      <c r="K101" s="794" t="s">
        <v>16201</v>
      </c>
      <c r="L101" s="794"/>
      <c r="M101" s="794" t="s">
        <v>17616</v>
      </c>
      <c r="N101" s="795">
        <v>1978.0</v>
      </c>
      <c r="O101" s="794" t="s">
        <v>388</v>
      </c>
      <c r="P101" s="794">
        <v>1.0</v>
      </c>
      <c r="Q101" s="3"/>
      <c r="R101" s="3"/>
      <c r="S101" s="3"/>
      <c r="T101" s="3"/>
      <c r="U101" s="3"/>
      <c r="V101" s="3"/>
      <c r="W101" s="3"/>
      <c r="X101" s="3"/>
      <c r="Y101" s="3"/>
      <c r="Z101" s="3"/>
    </row>
    <row r="102" ht="15.75" customHeight="1">
      <c r="A102" s="796" t="s">
        <v>17625</v>
      </c>
      <c r="B102" s="794"/>
      <c r="C102" s="794" t="s">
        <v>17626</v>
      </c>
      <c r="D102" s="794" t="s">
        <v>17627</v>
      </c>
      <c r="E102" s="794" t="s">
        <v>13058</v>
      </c>
      <c r="F102" s="794" t="s">
        <v>29</v>
      </c>
      <c r="G102" s="794" t="s">
        <v>13082</v>
      </c>
      <c r="H102" s="794"/>
      <c r="I102" s="794" t="s">
        <v>13082</v>
      </c>
      <c r="J102" s="799"/>
      <c r="K102" s="794" t="s">
        <v>16201</v>
      </c>
      <c r="L102" s="794"/>
      <c r="M102" s="794" t="s">
        <v>17628</v>
      </c>
      <c r="N102" s="795">
        <v>1986.0</v>
      </c>
      <c r="O102" s="794" t="s">
        <v>388</v>
      </c>
      <c r="P102" s="794">
        <v>1.0</v>
      </c>
      <c r="Q102" s="3"/>
      <c r="R102" s="3"/>
      <c r="S102" s="3"/>
      <c r="T102" s="3"/>
      <c r="U102" s="3"/>
      <c r="V102" s="3"/>
      <c r="W102" s="3"/>
      <c r="X102" s="3"/>
      <c r="Y102" s="3"/>
      <c r="Z102" s="3"/>
    </row>
    <row r="103" ht="15.75" customHeight="1">
      <c r="A103" s="796" t="s">
        <v>17629</v>
      </c>
      <c r="B103" s="794"/>
      <c r="C103" s="794" t="s">
        <v>17630</v>
      </c>
      <c r="D103" s="794" t="s">
        <v>17631</v>
      </c>
      <c r="E103" s="794" t="s">
        <v>13058</v>
      </c>
      <c r="F103" s="794" t="s">
        <v>29</v>
      </c>
      <c r="G103" s="794" t="s">
        <v>15331</v>
      </c>
      <c r="H103" s="794"/>
      <c r="I103" s="794" t="s">
        <v>15332</v>
      </c>
      <c r="J103" s="799">
        <f>1165+5+280</f>
        <v>1450</v>
      </c>
      <c r="K103" s="794"/>
      <c r="L103" s="794"/>
      <c r="M103" s="794" t="s">
        <v>17632</v>
      </c>
      <c r="N103" s="795">
        <v>1997.0</v>
      </c>
      <c r="O103" s="794" t="s">
        <v>388</v>
      </c>
      <c r="P103" s="794">
        <v>1.0</v>
      </c>
      <c r="Q103" s="3"/>
      <c r="R103" s="3"/>
      <c r="S103" s="3"/>
      <c r="T103" s="3"/>
      <c r="U103" s="3"/>
      <c r="V103" s="3"/>
      <c r="W103" s="3"/>
      <c r="X103" s="3"/>
      <c r="Y103" s="3"/>
      <c r="Z103" s="3"/>
    </row>
    <row r="104" ht="15.75" customHeight="1">
      <c r="A104" s="796" t="s">
        <v>17633</v>
      </c>
      <c r="B104" s="794" t="s">
        <v>17634</v>
      </c>
      <c r="C104" s="794" t="s">
        <v>17635</v>
      </c>
      <c r="D104" s="794" t="s">
        <v>17636</v>
      </c>
      <c r="E104" s="794" t="s">
        <v>13058</v>
      </c>
      <c r="F104" s="794" t="s">
        <v>29</v>
      </c>
      <c r="G104" s="794" t="s">
        <v>17637</v>
      </c>
      <c r="H104" s="794"/>
      <c r="I104" s="794" t="s">
        <v>17637</v>
      </c>
      <c r="J104" s="799"/>
      <c r="K104" s="794"/>
      <c r="L104" s="794"/>
      <c r="M104" s="794" t="s">
        <v>17638</v>
      </c>
      <c r="N104" s="795">
        <v>2013.0</v>
      </c>
      <c r="O104" s="794" t="s">
        <v>388</v>
      </c>
      <c r="P104" s="794">
        <v>1.0</v>
      </c>
      <c r="Q104" s="3"/>
      <c r="R104" s="3"/>
      <c r="S104" s="3"/>
      <c r="T104" s="3"/>
      <c r="U104" s="3"/>
      <c r="V104" s="3"/>
      <c r="W104" s="3"/>
      <c r="X104" s="3"/>
      <c r="Y104" s="3"/>
      <c r="Z104" s="3"/>
    </row>
    <row r="105" ht="15.75" customHeight="1">
      <c r="A105" s="796" t="s">
        <v>17639</v>
      </c>
      <c r="B105" s="794"/>
      <c r="C105" s="794" t="s">
        <v>17640</v>
      </c>
      <c r="D105" s="794" t="s">
        <v>17641</v>
      </c>
      <c r="E105" s="794" t="s">
        <v>15035</v>
      </c>
      <c r="F105" s="794" t="s">
        <v>29</v>
      </c>
      <c r="G105" s="794" t="s">
        <v>17642</v>
      </c>
      <c r="H105" s="794"/>
      <c r="I105" s="794" t="s">
        <v>17643</v>
      </c>
      <c r="J105" s="799">
        <f>483+6</f>
        <v>489</v>
      </c>
      <c r="K105" s="794"/>
      <c r="L105" s="794"/>
      <c r="M105" s="794" t="s">
        <v>17644</v>
      </c>
      <c r="N105" s="795">
        <v>1999.0</v>
      </c>
      <c r="O105" s="794" t="s">
        <v>388</v>
      </c>
      <c r="P105" s="794">
        <v>2.0</v>
      </c>
      <c r="Q105" s="3"/>
      <c r="R105" s="3"/>
      <c r="S105" s="3"/>
      <c r="T105" s="3"/>
      <c r="U105" s="3"/>
      <c r="V105" s="3"/>
      <c r="W105" s="3"/>
      <c r="X105" s="3"/>
      <c r="Y105" s="3"/>
      <c r="Z105" s="3"/>
    </row>
    <row r="106" ht="15.75" customHeight="1">
      <c r="A106" s="796" t="s">
        <v>17645</v>
      </c>
      <c r="B106" s="794"/>
      <c r="C106" s="794" t="s">
        <v>17646</v>
      </c>
      <c r="D106" s="794" t="s">
        <v>17647</v>
      </c>
      <c r="E106" s="794" t="s">
        <v>15035</v>
      </c>
      <c r="F106" s="794" t="s">
        <v>29</v>
      </c>
      <c r="G106" s="794" t="s">
        <v>17648</v>
      </c>
      <c r="H106" s="794"/>
      <c r="I106" s="794" t="s">
        <v>17405</v>
      </c>
      <c r="J106" s="799"/>
      <c r="K106" s="794"/>
      <c r="L106" s="794"/>
      <c r="M106" s="794" t="s">
        <v>17649</v>
      </c>
      <c r="N106" s="795">
        <v>1987.0</v>
      </c>
      <c r="O106" s="794" t="s">
        <v>388</v>
      </c>
      <c r="P106" s="794">
        <v>1.0</v>
      </c>
      <c r="Q106" s="3"/>
      <c r="R106" s="3"/>
      <c r="S106" s="3"/>
      <c r="T106" s="3"/>
      <c r="U106" s="3"/>
      <c r="V106" s="3"/>
      <c r="W106" s="3"/>
      <c r="X106" s="3"/>
      <c r="Y106" s="3"/>
      <c r="Z106" s="3"/>
    </row>
    <row r="107" ht="15.75" customHeight="1">
      <c r="A107" s="796" t="s">
        <v>17650</v>
      </c>
      <c r="B107" s="794" t="s">
        <v>17651</v>
      </c>
      <c r="C107" s="794" t="s">
        <v>17652</v>
      </c>
      <c r="D107" s="794" t="s">
        <v>17653</v>
      </c>
      <c r="E107" s="794" t="s">
        <v>15035</v>
      </c>
      <c r="F107" s="794" t="s">
        <v>29</v>
      </c>
      <c r="G107" s="794" t="s">
        <v>7816</v>
      </c>
      <c r="H107" s="794"/>
      <c r="I107" s="794" t="s">
        <v>7816</v>
      </c>
      <c r="J107" s="799">
        <v>563.0</v>
      </c>
      <c r="K107" s="794"/>
      <c r="L107" s="794"/>
      <c r="M107" s="794" t="s">
        <v>7023</v>
      </c>
      <c r="N107" s="795">
        <v>2006.0</v>
      </c>
      <c r="O107" s="794" t="s">
        <v>388</v>
      </c>
      <c r="P107" s="794">
        <v>1.0</v>
      </c>
      <c r="Q107" s="3"/>
      <c r="R107" s="3"/>
      <c r="S107" s="3"/>
      <c r="T107" s="3"/>
      <c r="U107" s="3"/>
      <c r="V107" s="3"/>
      <c r="W107" s="3"/>
      <c r="X107" s="3"/>
      <c r="Y107" s="3"/>
      <c r="Z107" s="3"/>
    </row>
    <row r="108" ht="15.75" customHeight="1">
      <c r="A108" s="796" t="s">
        <v>17654</v>
      </c>
      <c r="B108" s="794"/>
      <c r="C108" s="794" t="s">
        <v>17655</v>
      </c>
      <c r="D108" s="794" t="s">
        <v>17656</v>
      </c>
      <c r="E108" s="794" t="s">
        <v>15035</v>
      </c>
      <c r="F108" s="794" t="s">
        <v>29</v>
      </c>
      <c r="G108" s="794" t="s">
        <v>5747</v>
      </c>
      <c r="H108" s="794"/>
      <c r="I108" s="794" t="s">
        <v>17326</v>
      </c>
      <c r="J108" s="799"/>
      <c r="K108" s="794"/>
      <c r="L108" s="794"/>
      <c r="M108" s="794" t="s">
        <v>15278</v>
      </c>
      <c r="N108" s="795">
        <v>1988.0</v>
      </c>
      <c r="O108" s="794" t="s">
        <v>388</v>
      </c>
      <c r="P108" s="794">
        <v>1.0</v>
      </c>
      <c r="Q108" s="3"/>
      <c r="R108" s="3"/>
      <c r="S108" s="3"/>
      <c r="T108" s="3"/>
      <c r="U108" s="3"/>
      <c r="V108" s="3"/>
      <c r="W108" s="3"/>
      <c r="X108" s="3"/>
      <c r="Y108" s="3"/>
      <c r="Z108" s="3"/>
    </row>
    <row r="109" ht="15.75" customHeight="1">
      <c r="A109" s="796" t="s">
        <v>17657</v>
      </c>
      <c r="B109" s="794" t="s">
        <v>17658</v>
      </c>
      <c r="C109" s="794" t="s">
        <v>17659</v>
      </c>
      <c r="D109" s="794" t="s">
        <v>17660</v>
      </c>
      <c r="E109" s="794" t="s">
        <v>15035</v>
      </c>
      <c r="F109" s="794" t="s">
        <v>29</v>
      </c>
      <c r="G109" s="794" t="s">
        <v>17661</v>
      </c>
      <c r="H109" s="794"/>
      <c r="I109" s="794" t="s">
        <v>17662</v>
      </c>
      <c r="J109" s="799">
        <f>1049+14+8</f>
        <v>1071</v>
      </c>
      <c r="K109" s="794" t="s">
        <v>16201</v>
      </c>
      <c r="L109" s="794"/>
      <c r="M109" s="794" t="s">
        <v>16073</v>
      </c>
      <c r="N109" s="795">
        <v>1988.0</v>
      </c>
      <c r="O109" s="794" t="s">
        <v>388</v>
      </c>
      <c r="P109" s="794">
        <v>1.0</v>
      </c>
      <c r="Q109" s="3"/>
      <c r="R109" s="3"/>
      <c r="S109" s="3"/>
      <c r="T109" s="3"/>
      <c r="U109" s="3"/>
      <c r="V109" s="3"/>
      <c r="W109" s="3"/>
      <c r="X109" s="3"/>
      <c r="Y109" s="3"/>
      <c r="Z109" s="3"/>
    </row>
    <row r="110" ht="15.75" customHeight="1">
      <c r="A110" s="796" t="s">
        <v>17663</v>
      </c>
      <c r="B110" s="794"/>
      <c r="C110" s="794" t="s">
        <v>17664</v>
      </c>
      <c r="D110" s="794" t="s">
        <v>17665</v>
      </c>
      <c r="E110" s="794" t="s">
        <v>15035</v>
      </c>
      <c r="F110" s="794" t="s">
        <v>29</v>
      </c>
      <c r="G110" s="794" t="s">
        <v>17590</v>
      </c>
      <c r="H110" s="794"/>
      <c r="I110" s="794" t="s">
        <v>17666</v>
      </c>
      <c r="J110" s="794"/>
      <c r="K110" s="794"/>
      <c r="L110" s="794"/>
      <c r="M110" s="794" t="s">
        <v>17667</v>
      </c>
      <c r="N110" s="795">
        <v>1986.0</v>
      </c>
      <c r="O110" s="794" t="s">
        <v>388</v>
      </c>
      <c r="P110" s="794">
        <v>1.0</v>
      </c>
      <c r="Q110" s="3"/>
      <c r="R110" s="3"/>
      <c r="S110" s="3"/>
      <c r="T110" s="3"/>
      <c r="U110" s="3"/>
      <c r="V110" s="3"/>
      <c r="W110" s="3"/>
      <c r="X110" s="3"/>
      <c r="Y110" s="3"/>
      <c r="Z110" s="3"/>
    </row>
    <row r="111" ht="15.75" customHeight="1">
      <c r="A111" s="796" t="s">
        <v>17668</v>
      </c>
      <c r="B111" s="794"/>
      <c r="C111" s="794" t="s">
        <v>17669</v>
      </c>
      <c r="D111" s="794" t="s">
        <v>17670</v>
      </c>
      <c r="E111" s="794" t="s">
        <v>15035</v>
      </c>
      <c r="F111" s="794" t="s">
        <v>29</v>
      </c>
      <c r="G111" s="794" t="s">
        <v>5747</v>
      </c>
      <c r="H111" s="794"/>
      <c r="I111" s="794" t="s">
        <v>17326</v>
      </c>
      <c r="J111" s="794"/>
      <c r="K111" s="794" t="s">
        <v>16201</v>
      </c>
      <c r="L111" s="794"/>
      <c r="M111" s="794" t="s">
        <v>15278</v>
      </c>
      <c r="N111" s="795">
        <v>1984.0</v>
      </c>
      <c r="O111" s="794" t="s">
        <v>388</v>
      </c>
      <c r="P111" s="794">
        <v>1.0</v>
      </c>
      <c r="Q111" s="3"/>
      <c r="R111" s="3"/>
      <c r="S111" s="3"/>
      <c r="T111" s="3"/>
      <c r="U111" s="3"/>
      <c r="V111" s="3"/>
      <c r="W111" s="3"/>
      <c r="X111" s="3"/>
      <c r="Y111" s="3"/>
      <c r="Z111" s="3"/>
    </row>
    <row r="112" ht="15.75" customHeight="1">
      <c r="A112" s="796" t="s">
        <v>17671</v>
      </c>
      <c r="B112" s="794"/>
      <c r="C112" s="794" t="s">
        <v>17672</v>
      </c>
      <c r="D112" s="794" t="s">
        <v>17673</v>
      </c>
      <c r="E112" s="794" t="s">
        <v>17674</v>
      </c>
      <c r="F112" s="794" t="s">
        <v>29</v>
      </c>
      <c r="G112" s="794" t="s">
        <v>15646</v>
      </c>
      <c r="H112" s="794"/>
      <c r="I112" s="794" t="s">
        <v>17284</v>
      </c>
      <c r="J112" s="794"/>
      <c r="K112" s="794"/>
      <c r="L112" s="794"/>
      <c r="M112" s="794" t="s">
        <v>17287</v>
      </c>
      <c r="N112" s="795">
        <v>1969.0</v>
      </c>
      <c r="O112" s="794" t="s">
        <v>388</v>
      </c>
      <c r="P112" s="794">
        <v>1.0</v>
      </c>
      <c r="Q112" s="3"/>
      <c r="R112" s="3"/>
      <c r="S112" s="3"/>
      <c r="T112" s="3"/>
      <c r="U112" s="3"/>
      <c r="V112" s="3"/>
      <c r="W112" s="3"/>
      <c r="X112" s="3"/>
      <c r="Y112" s="3"/>
      <c r="Z112" s="3"/>
    </row>
    <row r="113" ht="15.75" customHeight="1">
      <c r="A113" s="796" t="s">
        <v>17675</v>
      </c>
      <c r="B113" s="794"/>
      <c r="C113" s="794" t="s">
        <v>17676</v>
      </c>
      <c r="D113" s="794" t="s">
        <v>17677</v>
      </c>
      <c r="E113" s="794" t="s">
        <v>17674</v>
      </c>
      <c r="F113" s="794" t="s">
        <v>29</v>
      </c>
      <c r="G113" s="794" t="s">
        <v>15646</v>
      </c>
      <c r="H113" s="794"/>
      <c r="I113" s="794" t="s">
        <v>17284</v>
      </c>
      <c r="J113" s="794"/>
      <c r="K113" s="794"/>
      <c r="L113" s="794"/>
      <c r="M113" s="794" t="s">
        <v>17287</v>
      </c>
      <c r="N113" s="795">
        <v>1968.0</v>
      </c>
      <c r="O113" s="794" t="s">
        <v>388</v>
      </c>
      <c r="P113" s="794">
        <v>1.0</v>
      </c>
      <c r="Q113" s="3"/>
      <c r="R113" s="3"/>
      <c r="S113" s="3"/>
      <c r="T113" s="3"/>
      <c r="U113" s="3"/>
      <c r="V113" s="3"/>
      <c r="W113" s="3"/>
      <c r="X113" s="3"/>
      <c r="Y113" s="3"/>
      <c r="Z113" s="3"/>
    </row>
    <row r="114" ht="15.75" customHeight="1">
      <c r="A114" s="796" t="s">
        <v>17678</v>
      </c>
      <c r="B114" s="794"/>
      <c r="C114" s="794" t="s">
        <v>17679</v>
      </c>
      <c r="D114" s="794" t="s">
        <v>17680</v>
      </c>
      <c r="E114" s="794" t="s">
        <v>13058</v>
      </c>
      <c r="F114" s="794" t="s">
        <v>29</v>
      </c>
      <c r="G114" s="794" t="s">
        <v>6454</v>
      </c>
      <c r="H114" s="794"/>
      <c r="I114" s="794" t="s">
        <v>17296</v>
      </c>
      <c r="J114" s="799"/>
      <c r="K114" s="794"/>
      <c r="L114" s="794"/>
      <c r="M114" s="794" t="s">
        <v>17681</v>
      </c>
      <c r="N114" s="795">
        <v>1974.0</v>
      </c>
      <c r="O114" s="794" t="s">
        <v>388</v>
      </c>
      <c r="P114" s="794">
        <v>1.0</v>
      </c>
      <c r="Q114" s="3"/>
      <c r="R114" s="3"/>
      <c r="S114" s="3"/>
      <c r="T114" s="3"/>
      <c r="U114" s="3"/>
      <c r="V114" s="3"/>
      <c r="W114" s="3"/>
      <c r="X114" s="3"/>
      <c r="Y114" s="3"/>
      <c r="Z114" s="3"/>
    </row>
    <row r="115" ht="15.75" customHeight="1">
      <c r="A115" s="796" t="s">
        <v>17682</v>
      </c>
      <c r="B115" s="794"/>
      <c r="C115" s="794" t="s">
        <v>17683</v>
      </c>
      <c r="D115" s="794" t="s">
        <v>17684</v>
      </c>
      <c r="E115" s="794" t="s">
        <v>15035</v>
      </c>
      <c r="F115" s="794" t="s">
        <v>29</v>
      </c>
      <c r="G115" s="794" t="s">
        <v>6354</v>
      </c>
      <c r="H115" s="794"/>
      <c r="I115" s="794" t="s">
        <v>17685</v>
      </c>
      <c r="J115" s="799">
        <v>1012.0</v>
      </c>
      <c r="K115" s="794"/>
      <c r="L115" s="794"/>
      <c r="M115" s="794" t="s">
        <v>16073</v>
      </c>
      <c r="N115" s="795">
        <v>1986.0</v>
      </c>
      <c r="O115" s="794" t="s">
        <v>388</v>
      </c>
      <c r="P115" s="794">
        <v>2.0</v>
      </c>
      <c r="Q115" s="3"/>
      <c r="R115" s="3"/>
      <c r="S115" s="3"/>
      <c r="T115" s="3"/>
      <c r="U115" s="3"/>
      <c r="V115" s="3"/>
      <c r="W115" s="3"/>
      <c r="X115" s="3"/>
      <c r="Y115" s="3"/>
      <c r="Z115" s="3"/>
    </row>
    <row r="116" ht="15.75" customHeight="1">
      <c r="A116" s="796" t="s">
        <v>17686</v>
      </c>
      <c r="B116" s="794"/>
      <c r="C116" s="794" t="s">
        <v>17687</v>
      </c>
      <c r="D116" s="794" t="s">
        <v>17688</v>
      </c>
      <c r="E116" s="794" t="s">
        <v>15035</v>
      </c>
      <c r="F116" s="794" t="s">
        <v>29</v>
      </c>
      <c r="G116" s="794"/>
      <c r="H116" s="794"/>
      <c r="I116" s="794" t="s">
        <v>17689</v>
      </c>
      <c r="J116" s="799">
        <v>538.0</v>
      </c>
      <c r="K116" s="794"/>
      <c r="L116" s="794"/>
      <c r="M116" s="794" t="s">
        <v>17690</v>
      </c>
      <c r="N116" s="795">
        <v>1973.0</v>
      </c>
      <c r="O116" s="794" t="s">
        <v>388</v>
      </c>
      <c r="P116" s="794">
        <v>1.0</v>
      </c>
      <c r="Q116" s="3"/>
      <c r="R116" s="3"/>
      <c r="S116" s="3"/>
      <c r="T116" s="3"/>
      <c r="U116" s="3"/>
      <c r="V116" s="3"/>
      <c r="W116" s="3"/>
      <c r="X116" s="3"/>
      <c r="Y116" s="3"/>
      <c r="Z116" s="3"/>
    </row>
    <row r="117" ht="15.75" customHeight="1">
      <c r="A117" s="796" t="s">
        <v>17691</v>
      </c>
      <c r="B117" s="794"/>
      <c r="C117" s="794" t="s">
        <v>17692</v>
      </c>
      <c r="D117" s="794" t="s">
        <v>17693</v>
      </c>
      <c r="E117" s="794" t="s">
        <v>15035</v>
      </c>
      <c r="F117" s="794" t="s">
        <v>29</v>
      </c>
      <c r="G117" s="794" t="s">
        <v>17694</v>
      </c>
      <c r="H117" s="794"/>
      <c r="I117" s="794" t="s">
        <v>17694</v>
      </c>
      <c r="J117" s="799">
        <v>770.0</v>
      </c>
      <c r="K117" s="794"/>
      <c r="L117" s="794"/>
      <c r="M117" s="794" t="s">
        <v>54</v>
      </c>
      <c r="N117" s="795">
        <v>1979.0</v>
      </c>
      <c r="O117" s="794" t="s">
        <v>388</v>
      </c>
      <c r="P117" s="794">
        <v>1.0</v>
      </c>
      <c r="Q117" s="3"/>
      <c r="R117" s="3"/>
      <c r="S117" s="3"/>
      <c r="T117" s="3"/>
      <c r="U117" s="3"/>
      <c r="V117" s="3"/>
      <c r="W117" s="3"/>
      <c r="X117" s="3"/>
      <c r="Y117" s="3"/>
      <c r="Z117" s="3"/>
    </row>
    <row r="118" ht="15.75" customHeight="1">
      <c r="A118" s="796" t="s">
        <v>17695</v>
      </c>
      <c r="B118" s="794"/>
      <c r="C118" s="794" t="s">
        <v>17552</v>
      </c>
      <c r="D118" s="794" t="s">
        <v>17553</v>
      </c>
      <c r="E118" s="794" t="s">
        <v>15035</v>
      </c>
      <c r="F118" s="794" t="s">
        <v>29</v>
      </c>
      <c r="G118" s="794" t="s">
        <v>6454</v>
      </c>
      <c r="H118" s="794"/>
      <c r="I118" s="794" t="s">
        <v>17296</v>
      </c>
      <c r="J118" s="799"/>
      <c r="K118" s="794"/>
      <c r="L118" s="794"/>
      <c r="M118" s="794" t="s">
        <v>17554</v>
      </c>
      <c r="N118" s="795">
        <v>1967.0</v>
      </c>
      <c r="O118" s="794" t="s">
        <v>388</v>
      </c>
      <c r="P118" s="794">
        <v>1.0</v>
      </c>
      <c r="Q118" s="3"/>
      <c r="R118" s="3"/>
      <c r="S118" s="3"/>
      <c r="T118" s="3"/>
      <c r="U118" s="3"/>
      <c r="V118" s="3"/>
      <c r="W118" s="3"/>
      <c r="X118" s="3"/>
      <c r="Y118" s="3"/>
      <c r="Z118" s="3"/>
    </row>
    <row r="119" ht="15.75" customHeight="1">
      <c r="A119" s="796" t="s">
        <v>17696</v>
      </c>
      <c r="B119" s="794"/>
      <c r="C119" s="794" t="s">
        <v>17697</v>
      </c>
      <c r="D119" s="794" t="s">
        <v>17698</v>
      </c>
      <c r="E119" s="794" t="s">
        <v>13058</v>
      </c>
      <c r="F119" s="794" t="s">
        <v>29</v>
      </c>
      <c r="G119" s="794" t="s">
        <v>6454</v>
      </c>
      <c r="H119" s="794"/>
      <c r="I119" s="794" t="s">
        <v>17296</v>
      </c>
      <c r="J119" s="799"/>
      <c r="K119" s="794"/>
      <c r="L119" s="794"/>
      <c r="M119" s="794" t="s">
        <v>17554</v>
      </c>
      <c r="N119" s="795">
        <v>1971.0</v>
      </c>
      <c r="O119" s="794" t="s">
        <v>388</v>
      </c>
      <c r="P119" s="794">
        <v>1.0</v>
      </c>
      <c r="Q119" s="3"/>
      <c r="R119" s="3"/>
      <c r="S119" s="3"/>
      <c r="T119" s="3"/>
      <c r="U119" s="3"/>
      <c r="V119" s="3"/>
      <c r="W119" s="3"/>
      <c r="X119" s="3"/>
      <c r="Y119" s="3"/>
      <c r="Z119" s="3"/>
    </row>
    <row r="120" ht="15.75" customHeight="1">
      <c r="A120" s="796" t="s">
        <v>17699</v>
      </c>
      <c r="B120" s="794"/>
      <c r="C120" s="794" t="s">
        <v>17700</v>
      </c>
      <c r="D120" s="794" t="s">
        <v>17701</v>
      </c>
      <c r="E120" s="794" t="s">
        <v>15035</v>
      </c>
      <c r="F120" s="794" t="s">
        <v>29</v>
      </c>
      <c r="G120" s="794" t="s">
        <v>6454</v>
      </c>
      <c r="H120" s="794"/>
      <c r="I120" s="794" t="s">
        <v>17416</v>
      </c>
      <c r="J120" s="799"/>
      <c r="K120" s="794"/>
      <c r="L120" s="794"/>
      <c r="M120" s="794" t="s">
        <v>16294</v>
      </c>
      <c r="N120" s="795">
        <v>2006.0</v>
      </c>
      <c r="O120" s="794" t="s">
        <v>388</v>
      </c>
      <c r="P120" s="794">
        <v>1.0</v>
      </c>
      <c r="Q120" s="3"/>
      <c r="R120" s="3"/>
      <c r="S120" s="3"/>
      <c r="T120" s="3"/>
      <c r="U120" s="3"/>
      <c r="V120" s="3"/>
      <c r="W120" s="3"/>
      <c r="X120" s="3"/>
      <c r="Y120" s="3"/>
      <c r="Z120" s="3"/>
    </row>
    <row r="121" ht="15.75" customHeight="1">
      <c r="A121" s="796" t="s">
        <v>17702</v>
      </c>
      <c r="B121" s="794"/>
      <c r="C121" s="794" t="s">
        <v>17703</v>
      </c>
      <c r="D121" s="794" t="s">
        <v>17704</v>
      </c>
      <c r="E121" s="794" t="s">
        <v>15035</v>
      </c>
      <c r="F121" s="794" t="s">
        <v>29</v>
      </c>
      <c r="G121" s="794" t="s">
        <v>7816</v>
      </c>
      <c r="H121" s="794"/>
      <c r="I121" s="794" t="s">
        <v>17705</v>
      </c>
      <c r="J121" s="799">
        <v>707.0</v>
      </c>
      <c r="K121" s="794"/>
      <c r="L121" s="794"/>
      <c r="M121" s="794" t="s">
        <v>7817</v>
      </c>
      <c r="N121" s="795">
        <v>1981.0</v>
      </c>
      <c r="O121" s="794" t="s">
        <v>388</v>
      </c>
      <c r="P121" s="794">
        <v>1.0</v>
      </c>
      <c r="Q121" s="3"/>
      <c r="R121" s="3"/>
      <c r="S121" s="3"/>
      <c r="T121" s="3"/>
      <c r="U121" s="3"/>
      <c r="V121" s="3"/>
      <c r="W121" s="3"/>
      <c r="X121" s="3"/>
      <c r="Y121" s="3"/>
      <c r="Z121" s="3"/>
    </row>
    <row r="122" ht="15.75" customHeight="1">
      <c r="A122" s="796" t="s">
        <v>17706</v>
      </c>
      <c r="B122" s="794"/>
      <c r="C122" s="794" t="s">
        <v>17707</v>
      </c>
      <c r="D122" s="794" t="s">
        <v>17708</v>
      </c>
      <c r="E122" s="794" t="s">
        <v>15035</v>
      </c>
      <c r="F122" s="794" t="s">
        <v>29</v>
      </c>
      <c r="G122" s="794" t="s">
        <v>15193</v>
      </c>
      <c r="H122" s="794"/>
      <c r="I122" s="794" t="s">
        <v>17472</v>
      </c>
      <c r="J122" s="799">
        <f>6+286</f>
        <v>292</v>
      </c>
      <c r="K122" s="794"/>
      <c r="L122" s="794"/>
      <c r="M122" s="794" t="s">
        <v>17453</v>
      </c>
      <c r="N122" s="795">
        <v>1987.0</v>
      </c>
      <c r="O122" s="794" t="s">
        <v>388</v>
      </c>
      <c r="P122" s="794">
        <v>1.0</v>
      </c>
      <c r="Q122" s="3"/>
      <c r="R122" s="3"/>
      <c r="S122" s="3"/>
      <c r="T122" s="3"/>
      <c r="U122" s="3"/>
      <c r="V122" s="3"/>
      <c r="W122" s="3"/>
      <c r="X122" s="3"/>
      <c r="Y122" s="3"/>
      <c r="Z122" s="3"/>
    </row>
    <row r="123" ht="15.75" customHeight="1">
      <c r="A123" s="796" t="s">
        <v>17709</v>
      </c>
      <c r="B123" s="794"/>
      <c r="C123" s="794" t="s">
        <v>17710</v>
      </c>
      <c r="D123" s="794" t="s">
        <v>17711</v>
      </c>
      <c r="E123" s="794" t="s">
        <v>15035</v>
      </c>
      <c r="F123" s="794" t="s">
        <v>29</v>
      </c>
      <c r="G123" s="794" t="s">
        <v>15193</v>
      </c>
      <c r="H123" s="794"/>
      <c r="I123" s="794" t="s">
        <v>17712</v>
      </c>
      <c r="J123" s="799">
        <v>518.0</v>
      </c>
      <c r="K123" s="794"/>
      <c r="L123" s="794"/>
      <c r="M123" s="794" t="s">
        <v>17453</v>
      </c>
      <c r="N123" s="795">
        <v>4988.0</v>
      </c>
      <c r="O123" s="794" t="s">
        <v>388</v>
      </c>
      <c r="P123" s="794">
        <v>1.0</v>
      </c>
      <c r="Q123" s="3"/>
      <c r="R123" s="3"/>
      <c r="S123" s="3"/>
      <c r="T123" s="3"/>
      <c r="U123" s="3"/>
      <c r="V123" s="3"/>
      <c r="W123" s="3"/>
      <c r="X123" s="3"/>
      <c r="Y123" s="3"/>
      <c r="Z123" s="3"/>
    </row>
    <row r="124" ht="15.75" customHeight="1">
      <c r="A124" s="796" t="s">
        <v>17713</v>
      </c>
      <c r="B124" s="794" t="s">
        <v>17714</v>
      </c>
      <c r="C124" s="794" t="s">
        <v>17715</v>
      </c>
      <c r="D124" s="794" t="s">
        <v>17716</v>
      </c>
      <c r="E124" s="794" t="s">
        <v>15035</v>
      </c>
      <c r="F124" s="794" t="s">
        <v>29</v>
      </c>
      <c r="G124" s="794" t="s">
        <v>6354</v>
      </c>
      <c r="H124" s="794"/>
      <c r="I124" s="794" t="s">
        <v>17717</v>
      </c>
      <c r="J124" s="799">
        <f>932+7</f>
        <v>939</v>
      </c>
      <c r="K124" s="794"/>
      <c r="L124" s="794"/>
      <c r="M124" s="794" t="s">
        <v>17718</v>
      </c>
      <c r="N124" s="795">
        <v>2003.0</v>
      </c>
      <c r="O124" s="794" t="s">
        <v>388</v>
      </c>
      <c r="P124" s="794">
        <v>1.0</v>
      </c>
      <c r="Q124" s="3"/>
      <c r="R124" s="3"/>
      <c r="S124" s="3"/>
      <c r="T124" s="3"/>
      <c r="U124" s="3"/>
      <c r="V124" s="3"/>
      <c r="W124" s="3"/>
      <c r="X124" s="3"/>
      <c r="Y124" s="3"/>
      <c r="Z124" s="3"/>
    </row>
    <row r="125" ht="15.75" customHeight="1">
      <c r="A125" s="796" t="s">
        <v>17719</v>
      </c>
      <c r="B125" s="794"/>
      <c r="C125" s="794" t="s">
        <v>17720</v>
      </c>
      <c r="D125" s="794" t="s">
        <v>17721</v>
      </c>
      <c r="E125" s="794" t="s">
        <v>15035</v>
      </c>
      <c r="F125" s="794" t="s">
        <v>29</v>
      </c>
      <c r="G125" s="794" t="s">
        <v>17722</v>
      </c>
      <c r="H125" s="794"/>
      <c r="I125" s="794" t="s">
        <v>17643</v>
      </c>
      <c r="J125" s="799">
        <v>134.0</v>
      </c>
      <c r="K125" s="794"/>
      <c r="L125" s="794"/>
      <c r="M125" s="794" t="s">
        <v>17723</v>
      </c>
      <c r="N125" s="795">
        <v>1970.0</v>
      </c>
      <c r="O125" s="794" t="s">
        <v>388</v>
      </c>
      <c r="P125" s="794">
        <v>1.0</v>
      </c>
      <c r="Q125" s="3"/>
      <c r="R125" s="3"/>
      <c r="S125" s="3"/>
      <c r="T125" s="3"/>
      <c r="U125" s="3"/>
      <c r="V125" s="3"/>
      <c r="W125" s="3"/>
      <c r="X125" s="3"/>
      <c r="Y125" s="3"/>
      <c r="Z125" s="3"/>
    </row>
    <row r="126" ht="15.75" customHeight="1">
      <c r="A126" s="796" t="s">
        <v>17724</v>
      </c>
      <c r="B126" s="794" t="s">
        <v>17725</v>
      </c>
      <c r="C126" s="794" t="s">
        <v>17726</v>
      </c>
      <c r="D126" s="794" t="s">
        <v>17727</v>
      </c>
      <c r="E126" s="794" t="s">
        <v>13058</v>
      </c>
      <c r="F126" s="794" t="s">
        <v>29</v>
      </c>
      <c r="G126" s="794" t="s">
        <v>6151</v>
      </c>
      <c r="H126" s="794"/>
      <c r="I126" s="794" t="s">
        <v>6454</v>
      </c>
      <c r="J126" s="799"/>
      <c r="K126" s="794"/>
      <c r="L126" s="794"/>
      <c r="M126" s="794" t="s">
        <v>16294</v>
      </c>
      <c r="N126" s="795">
        <v>2012.0</v>
      </c>
      <c r="O126" s="794" t="s">
        <v>388</v>
      </c>
      <c r="P126" s="794">
        <v>1.0</v>
      </c>
      <c r="Q126" s="3"/>
      <c r="R126" s="3"/>
      <c r="S126" s="3"/>
      <c r="T126" s="3"/>
      <c r="U126" s="3"/>
      <c r="V126" s="3"/>
      <c r="W126" s="3"/>
      <c r="X126" s="3"/>
      <c r="Y126" s="3"/>
      <c r="Z126" s="3"/>
    </row>
    <row r="127" ht="15.75" customHeight="1">
      <c r="A127" s="796" t="s">
        <v>17728</v>
      </c>
      <c r="B127" s="794"/>
      <c r="C127" s="794" t="s">
        <v>17729</v>
      </c>
      <c r="D127" s="794" t="s">
        <v>17730</v>
      </c>
      <c r="E127" s="794" t="s">
        <v>15035</v>
      </c>
      <c r="F127" s="794" t="s">
        <v>29</v>
      </c>
      <c r="G127" s="794" t="s">
        <v>15079</v>
      </c>
      <c r="H127" s="794"/>
      <c r="I127" s="794" t="s">
        <v>17731</v>
      </c>
      <c r="J127" s="799">
        <v>342.0</v>
      </c>
      <c r="K127" s="794"/>
      <c r="L127" s="794"/>
      <c r="M127" s="794" t="s">
        <v>17732</v>
      </c>
      <c r="N127" s="795">
        <v>1983.0</v>
      </c>
      <c r="O127" s="794" t="s">
        <v>388</v>
      </c>
      <c r="P127" s="794">
        <v>1.0</v>
      </c>
      <c r="Q127" s="3"/>
      <c r="R127" s="3"/>
      <c r="S127" s="3"/>
      <c r="T127" s="3"/>
      <c r="U127" s="3"/>
      <c r="V127" s="3"/>
      <c r="W127" s="3"/>
      <c r="X127" s="3"/>
      <c r="Y127" s="3"/>
      <c r="Z127" s="3"/>
    </row>
    <row r="128" ht="15.75" customHeight="1">
      <c r="A128" s="796" t="s">
        <v>17733</v>
      </c>
      <c r="B128" s="794"/>
      <c r="C128" s="794" t="s">
        <v>17734</v>
      </c>
      <c r="D128" s="794" t="s">
        <v>17735</v>
      </c>
      <c r="E128" s="794" t="s">
        <v>13058</v>
      </c>
      <c r="F128" s="794" t="s">
        <v>29</v>
      </c>
      <c r="G128" s="794" t="s">
        <v>6454</v>
      </c>
      <c r="H128" s="794"/>
      <c r="I128" s="794" t="s">
        <v>6454</v>
      </c>
      <c r="J128" s="799"/>
      <c r="K128" s="794"/>
      <c r="L128" s="794"/>
      <c r="M128" s="794"/>
      <c r="N128" s="795">
        <v>1989.0</v>
      </c>
      <c r="O128" s="794" t="s">
        <v>388</v>
      </c>
      <c r="P128" s="794">
        <v>1.0</v>
      </c>
      <c r="Q128" s="3"/>
      <c r="R128" s="3"/>
      <c r="S128" s="3"/>
      <c r="T128" s="3"/>
      <c r="U128" s="3"/>
      <c r="V128" s="3"/>
      <c r="W128" s="3"/>
      <c r="X128" s="3"/>
      <c r="Y128" s="3"/>
      <c r="Z128" s="3"/>
    </row>
    <row r="129" ht="15.75" customHeight="1">
      <c r="A129" s="796" t="s">
        <v>17736</v>
      </c>
      <c r="B129" s="794" t="s">
        <v>17737</v>
      </c>
      <c r="C129" s="794" t="s">
        <v>17738</v>
      </c>
      <c r="D129" s="794" t="s">
        <v>17739</v>
      </c>
      <c r="E129" s="794" t="s">
        <v>13058</v>
      </c>
      <c r="F129" s="794" t="s">
        <v>29</v>
      </c>
      <c r="G129" s="794" t="s">
        <v>12129</v>
      </c>
      <c r="H129" s="794"/>
      <c r="I129" s="794" t="s">
        <v>6454</v>
      </c>
      <c r="J129" s="799"/>
      <c r="K129" s="794"/>
      <c r="L129" s="794"/>
      <c r="M129" s="794" t="s">
        <v>15848</v>
      </c>
      <c r="N129" s="795">
        <v>2004.0</v>
      </c>
      <c r="O129" s="794" t="s">
        <v>388</v>
      </c>
      <c r="P129" s="794">
        <v>1.0</v>
      </c>
      <c r="Q129" s="3"/>
      <c r="R129" s="3"/>
      <c r="S129" s="3"/>
      <c r="T129" s="3"/>
      <c r="U129" s="3"/>
      <c r="V129" s="3"/>
      <c r="W129" s="3"/>
      <c r="X129" s="3"/>
      <c r="Y129" s="3"/>
      <c r="Z129" s="3"/>
    </row>
    <row r="130" ht="15.75" customHeight="1">
      <c r="A130" s="796" t="s">
        <v>17740</v>
      </c>
      <c r="B130" s="794"/>
      <c r="C130" s="794" t="s">
        <v>17741</v>
      </c>
      <c r="D130" s="794" t="s">
        <v>17641</v>
      </c>
      <c r="E130" s="794" t="s">
        <v>13058</v>
      </c>
      <c r="F130" s="794" t="s">
        <v>29</v>
      </c>
      <c r="G130" s="794" t="s">
        <v>17642</v>
      </c>
      <c r="H130" s="794"/>
      <c r="I130" s="794" t="s">
        <v>17643</v>
      </c>
      <c r="J130" s="799">
        <f>483+6</f>
        <v>489</v>
      </c>
      <c r="K130" s="794"/>
      <c r="L130" s="794"/>
      <c r="M130" s="794" t="s">
        <v>17644</v>
      </c>
      <c r="N130" s="795">
        <v>1999.0</v>
      </c>
      <c r="O130" s="794" t="s">
        <v>388</v>
      </c>
      <c r="P130" s="794">
        <v>1.0</v>
      </c>
      <c r="Q130" s="3"/>
      <c r="R130" s="3"/>
      <c r="S130" s="3"/>
      <c r="T130" s="3"/>
      <c r="U130" s="3"/>
      <c r="V130" s="3"/>
      <c r="W130" s="3"/>
      <c r="X130" s="3"/>
      <c r="Y130" s="3"/>
      <c r="Z130" s="3"/>
    </row>
    <row r="131" ht="15.75" customHeight="1">
      <c r="A131" s="793"/>
      <c r="B131" s="794"/>
      <c r="C131" s="794" t="s">
        <v>17742</v>
      </c>
      <c r="D131" s="794" t="s">
        <v>17743</v>
      </c>
      <c r="E131" s="794" t="s">
        <v>15035</v>
      </c>
      <c r="F131" s="794" t="s">
        <v>29</v>
      </c>
      <c r="G131" s="794" t="s">
        <v>6151</v>
      </c>
      <c r="H131" s="794"/>
      <c r="I131" s="794" t="s">
        <v>6454</v>
      </c>
      <c r="J131" s="799">
        <v>574.0</v>
      </c>
      <c r="K131" s="794"/>
      <c r="L131" s="794"/>
      <c r="M131" s="794" t="s">
        <v>15846</v>
      </c>
      <c r="N131" s="795">
        <v>1976.0</v>
      </c>
      <c r="O131" s="794" t="s">
        <v>388</v>
      </c>
      <c r="P131" s="794">
        <v>1.0</v>
      </c>
      <c r="Q131" s="3"/>
      <c r="R131" s="3"/>
      <c r="S131" s="3"/>
      <c r="T131" s="3"/>
      <c r="U131" s="3"/>
      <c r="V131" s="3"/>
      <c r="W131" s="3"/>
      <c r="X131" s="3"/>
      <c r="Y131" s="3"/>
      <c r="Z131" s="3"/>
    </row>
    <row r="132" ht="15.75" customHeight="1">
      <c r="A132" s="793"/>
      <c r="B132" s="794"/>
      <c r="C132" s="794" t="s">
        <v>17744</v>
      </c>
      <c r="D132" s="794" t="s">
        <v>17745</v>
      </c>
      <c r="E132" s="794" t="s">
        <v>13058</v>
      </c>
      <c r="F132" s="794" t="s">
        <v>29</v>
      </c>
      <c r="G132" s="794" t="s">
        <v>7816</v>
      </c>
      <c r="H132" s="794"/>
      <c r="I132" s="794" t="s">
        <v>7816</v>
      </c>
      <c r="J132" s="794"/>
      <c r="K132" s="794"/>
      <c r="L132" s="794"/>
      <c r="M132" s="794"/>
      <c r="N132" s="795"/>
      <c r="O132" s="794" t="s">
        <v>388</v>
      </c>
      <c r="P132" s="794">
        <v>1.0</v>
      </c>
      <c r="Q132" s="3"/>
      <c r="R132" s="3"/>
      <c r="S132" s="3"/>
      <c r="T132" s="3"/>
      <c r="U132" s="3"/>
      <c r="V132" s="3"/>
      <c r="W132" s="3"/>
      <c r="X132" s="3"/>
      <c r="Y132" s="3"/>
      <c r="Z132" s="3"/>
    </row>
    <row r="133" ht="15.75" customHeight="1">
      <c r="A133" s="793"/>
      <c r="B133" s="794" t="s">
        <v>17746</v>
      </c>
      <c r="C133" s="794" t="s">
        <v>17747</v>
      </c>
      <c r="D133" s="794" t="s">
        <v>17748</v>
      </c>
      <c r="E133" s="794" t="s">
        <v>15035</v>
      </c>
      <c r="F133" s="794" t="s">
        <v>29</v>
      </c>
      <c r="G133" s="794" t="s">
        <v>6354</v>
      </c>
      <c r="H133" s="794"/>
      <c r="I133" s="794" t="s">
        <v>17749</v>
      </c>
      <c r="J133" s="799">
        <v>403.0</v>
      </c>
      <c r="K133" s="794"/>
      <c r="L133" s="794"/>
      <c r="M133" s="794" t="s">
        <v>16073</v>
      </c>
      <c r="N133" s="795">
        <v>1987.0</v>
      </c>
      <c r="O133" s="794" t="s">
        <v>388</v>
      </c>
      <c r="P133" s="794">
        <v>1.0</v>
      </c>
      <c r="Q133" s="3"/>
      <c r="R133" s="3"/>
      <c r="S133" s="3"/>
      <c r="T133" s="3"/>
      <c r="U133" s="3"/>
      <c r="V133" s="3"/>
      <c r="W133" s="3"/>
      <c r="X133" s="3"/>
      <c r="Y133" s="3"/>
      <c r="Z133" s="3"/>
    </row>
    <row r="134" ht="15.75" customHeight="1">
      <c r="A134" s="793"/>
      <c r="B134" s="794" t="s">
        <v>16035</v>
      </c>
      <c r="C134" s="794" t="s">
        <v>17750</v>
      </c>
      <c r="D134" s="794" t="s">
        <v>17751</v>
      </c>
      <c r="E134" s="794" t="s">
        <v>15035</v>
      </c>
      <c r="F134" s="794" t="s">
        <v>29</v>
      </c>
      <c r="G134" s="794" t="s">
        <v>17576</v>
      </c>
      <c r="H134" s="794"/>
      <c r="I134" s="794" t="s">
        <v>38</v>
      </c>
      <c r="J134" s="799">
        <f>369+9</f>
        <v>378</v>
      </c>
      <c r="K134" s="794"/>
      <c r="L134" s="794"/>
      <c r="M134" s="794" t="s">
        <v>4836</v>
      </c>
      <c r="N134" s="795">
        <v>2014.0</v>
      </c>
      <c r="O134" s="794" t="s">
        <v>388</v>
      </c>
      <c r="P134" s="794">
        <v>1.0</v>
      </c>
      <c r="Q134" s="3"/>
      <c r="R134" s="3"/>
      <c r="S134" s="3"/>
      <c r="T134" s="3"/>
      <c r="U134" s="3"/>
      <c r="V134" s="3"/>
      <c r="W134" s="3"/>
      <c r="X134" s="3"/>
      <c r="Y134" s="3"/>
      <c r="Z134" s="3"/>
    </row>
    <row r="135" ht="15.75" customHeight="1">
      <c r="A135" s="793"/>
      <c r="B135" s="794"/>
      <c r="C135" s="794" t="s">
        <v>17752</v>
      </c>
      <c r="D135" s="794" t="s">
        <v>17753</v>
      </c>
      <c r="E135" s="794" t="s">
        <v>15035</v>
      </c>
      <c r="F135" s="794" t="s">
        <v>29</v>
      </c>
      <c r="G135" s="794"/>
      <c r="H135" s="794"/>
      <c r="I135" s="794" t="s">
        <v>13082</v>
      </c>
      <c r="J135" s="794"/>
      <c r="K135" s="794"/>
      <c r="L135" s="794"/>
      <c r="M135" s="794" t="s">
        <v>2953</v>
      </c>
      <c r="N135" s="795">
        <v>1984.0</v>
      </c>
      <c r="O135" s="794" t="s">
        <v>388</v>
      </c>
      <c r="P135" s="794">
        <v>2.0</v>
      </c>
      <c r="Q135" s="3"/>
      <c r="R135" s="3"/>
      <c r="S135" s="3"/>
      <c r="T135" s="3"/>
      <c r="U135" s="3"/>
      <c r="V135" s="3"/>
      <c r="W135" s="3"/>
      <c r="X135" s="3"/>
      <c r="Y135" s="3"/>
      <c r="Z135" s="3"/>
    </row>
    <row r="136" ht="15.75" customHeight="1">
      <c r="A136" s="793"/>
      <c r="B136" s="794"/>
      <c r="C136" s="794" t="s">
        <v>17754</v>
      </c>
      <c r="D136" s="794" t="s">
        <v>17755</v>
      </c>
      <c r="E136" s="794" t="s">
        <v>15035</v>
      </c>
      <c r="F136" s="794" t="s">
        <v>29</v>
      </c>
      <c r="G136" s="794" t="s">
        <v>5395</v>
      </c>
      <c r="H136" s="794"/>
      <c r="I136" s="794" t="s">
        <v>17438</v>
      </c>
      <c r="J136" s="799"/>
      <c r="K136" s="794"/>
      <c r="L136" s="794"/>
      <c r="M136" s="794" t="s">
        <v>16129</v>
      </c>
      <c r="N136" s="795">
        <v>1967.0</v>
      </c>
      <c r="O136" s="794" t="s">
        <v>388</v>
      </c>
      <c r="P136" s="794">
        <v>2.0</v>
      </c>
      <c r="Q136" s="3"/>
      <c r="R136" s="3"/>
      <c r="S136" s="3"/>
      <c r="T136" s="3"/>
      <c r="U136" s="3"/>
      <c r="V136" s="3"/>
      <c r="W136" s="3"/>
      <c r="X136" s="3"/>
      <c r="Y136" s="3"/>
      <c r="Z136" s="3"/>
    </row>
    <row r="137" ht="15.75" customHeight="1">
      <c r="A137" s="793"/>
      <c r="B137" s="794"/>
      <c r="C137" s="794" t="s">
        <v>17756</v>
      </c>
      <c r="D137" s="794" t="s">
        <v>17757</v>
      </c>
      <c r="E137" s="794" t="s">
        <v>15035</v>
      </c>
      <c r="F137" s="794" t="s">
        <v>29</v>
      </c>
      <c r="G137" s="794" t="s">
        <v>5747</v>
      </c>
      <c r="H137" s="794"/>
      <c r="I137" s="794" t="s">
        <v>17326</v>
      </c>
      <c r="J137" s="799"/>
      <c r="K137" s="794" t="s">
        <v>16201</v>
      </c>
      <c r="L137" s="794"/>
      <c r="M137" s="794" t="s">
        <v>15278</v>
      </c>
      <c r="N137" s="795">
        <v>1988.0</v>
      </c>
      <c r="O137" s="794" t="s">
        <v>388</v>
      </c>
      <c r="P137" s="794">
        <v>1.0</v>
      </c>
      <c r="Q137" s="3"/>
      <c r="R137" s="3"/>
      <c r="S137" s="3"/>
      <c r="T137" s="3"/>
      <c r="U137" s="3"/>
      <c r="V137" s="3"/>
      <c r="W137" s="3"/>
      <c r="X137" s="3"/>
      <c r="Y137" s="3"/>
      <c r="Z137" s="3"/>
    </row>
    <row r="138" ht="15.75" customHeight="1">
      <c r="A138" s="793"/>
      <c r="B138" s="794"/>
      <c r="C138" s="794" t="s">
        <v>17758</v>
      </c>
      <c r="D138" s="794" t="s">
        <v>17759</v>
      </c>
      <c r="E138" s="794" t="s">
        <v>15035</v>
      </c>
      <c r="F138" s="794" t="s">
        <v>29</v>
      </c>
      <c r="G138" s="794" t="s">
        <v>12129</v>
      </c>
      <c r="H138" s="794"/>
      <c r="I138" s="794" t="s">
        <v>17760</v>
      </c>
      <c r="J138" s="799"/>
      <c r="K138" s="794"/>
      <c r="L138" s="794"/>
      <c r="M138" s="794" t="s">
        <v>17761</v>
      </c>
      <c r="N138" s="795">
        <v>2010.0</v>
      </c>
      <c r="O138" s="794" t="s">
        <v>388</v>
      </c>
      <c r="P138" s="794">
        <v>1.0</v>
      </c>
      <c r="Q138" s="3"/>
      <c r="R138" s="3"/>
      <c r="S138" s="3"/>
      <c r="T138" s="3"/>
      <c r="U138" s="3"/>
      <c r="V138" s="3"/>
      <c r="W138" s="3"/>
      <c r="X138" s="3"/>
      <c r="Y138" s="3"/>
      <c r="Z138" s="3"/>
    </row>
    <row r="139" ht="15.75" customHeight="1">
      <c r="A139" s="793"/>
      <c r="B139" s="794"/>
      <c r="C139" s="794" t="s">
        <v>17752</v>
      </c>
      <c r="D139" s="794" t="s">
        <v>17753</v>
      </c>
      <c r="E139" s="794" t="s">
        <v>15035</v>
      </c>
      <c r="F139" s="794" t="s">
        <v>29</v>
      </c>
      <c r="G139" s="794"/>
      <c r="H139" s="794"/>
      <c r="I139" s="794" t="s">
        <v>13082</v>
      </c>
      <c r="J139" s="799"/>
      <c r="K139" s="794"/>
      <c r="L139" s="794"/>
      <c r="M139" s="794" t="s">
        <v>54</v>
      </c>
      <c r="N139" s="795">
        <v>1984.0</v>
      </c>
      <c r="O139" s="794" t="s">
        <v>388</v>
      </c>
      <c r="P139" s="794">
        <v>1.0</v>
      </c>
      <c r="Q139" s="3"/>
      <c r="R139" s="3"/>
      <c r="S139" s="3"/>
      <c r="T139" s="3"/>
      <c r="U139" s="3"/>
      <c r="V139" s="3"/>
      <c r="W139" s="3"/>
      <c r="X139" s="3"/>
      <c r="Y139" s="3"/>
      <c r="Z139" s="3"/>
    </row>
    <row r="140" ht="15.75" customHeight="1">
      <c r="A140" s="793"/>
      <c r="B140" s="794" t="s">
        <v>17762</v>
      </c>
      <c r="C140" s="794" t="s">
        <v>17763</v>
      </c>
      <c r="D140" s="794" t="s">
        <v>17764</v>
      </c>
      <c r="E140" s="794" t="s">
        <v>15035</v>
      </c>
      <c r="F140" s="794" t="s">
        <v>29</v>
      </c>
      <c r="G140" s="794" t="s">
        <v>15079</v>
      </c>
      <c r="H140" s="794"/>
      <c r="I140" s="794" t="s">
        <v>17765</v>
      </c>
      <c r="J140" s="799">
        <f>496+8</f>
        <v>504</v>
      </c>
      <c r="K140" s="794"/>
      <c r="L140" s="794"/>
      <c r="M140" s="794" t="s">
        <v>17766</v>
      </c>
      <c r="N140" s="795">
        <v>1988.0</v>
      </c>
      <c r="O140" s="794" t="s">
        <v>388</v>
      </c>
      <c r="P140" s="794">
        <v>1.0</v>
      </c>
      <c r="Q140" s="3"/>
      <c r="R140" s="3"/>
      <c r="S140" s="3"/>
      <c r="T140" s="3"/>
      <c r="U140" s="3"/>
      <c r="V140" s="3"/>
      <c r="W140" s="3"/>
      <c r="X140" s="3"/>
      <c r="Y140" s="3"/>
      <c r="Z140" s="3"/>
    </row>
    <row r="141" ht="15.75" customHeight="1">
      <c r="A141" s="793"/>
      <c r="B141" s="794" t="s">
        <v>17767</v>
      </c>
      <c r="C141" s="794" t="s">
        <v>17768</v>
      </c>
      <c r="D141" s="794" t="s">
        <v>17769</v>
      </c>
      <c r="E141" s="794" t="s">
        <v>12445</v>
      </c>
      <c r="F141" s="794" t="s">
        <v>29</v>
      </c>
      <c r="G141" s="794" t="s">
        <v>6454</v>
      </c>
      <c r="H141" s="794"/>
      <c r="I141" s="794" t="s">
        <v>6454</v>
      </c>
      <c r="J141" s="799"/>
      <c r="K141" s="794"/>
      <c r="L141" s="794"/>
      <c r="M141" s="794" t="s">
        <v>2953</v>
      </c>
      <c r="N141" s="795">
        <v>1979.0</v>
      </c>
      <c r="O141" s="794" t="s">
        <v>388</v>
      </c>
      <c r="P141" s="794">
        <v>1.0</v>
      </c>
      <c r="Q141" s="3"/>
      <c r="R141" s="3"/>
      <c r="S141" s="3"/>
      <c r="T141" s="3"/>
      <c r="U141" s="3"/>
      <c r="V141" s="3"/>
      <c r="W141" s="3"/>
      <c r="X141" s="3"/>
      <c r="Y141" s="3"/>
      <c r="Z141" s="3"/>
    </row>
    <row r="142" ht="15.75" customHeight="1">
      <c r="A142" s="793"/>
      <c r="B142" s="794" t="s">
        <v>17770</v>
      </c>
      <c r="C142" s="794" t="s">
        <v>17771</v>
      </c>
      <c r="D142" s="794" t="s">
        <v>17772</v>
      </c>
      <c r="E142" s="794" t="s">
        <v>12445</v>
      </c>
      <c r="F142" s="794" t="s">
        <v>29</v>
      </c>
      <c r="G142" s="794" t="s">
        <v>6354</v>
      </c>
      <c r="H142" s="794"/>
      <c r="I142" s="794" t="s">
        <v>17773</v>
      </c>
      <c r="J142" s="799">
        <f>1519+8</f>
        <v>1527</v>
      </c>
      <c r="K142" s="794" t="s">
        <v>16201</v>
      </c>
      <c r="L142" s="794"/>
      <c r="M142" s="794" t="s">
        <v>17774</v>
      </c>
      <c r="N142" s="795">
        <v>1987.0</v>
      </c>
      <c r="O142" s="794" t="s">
        <v>388</v>
      </c>
      <c r="P142" s="794">
        <v>1.0</v>
      </c>
      <c r="Q142" s="3"/>
      <c r="R142" s="3"/>
      <c r="S142" s="3"/>
      <c r="T142" s="3"/>
      <c r="U142" s="3"/>
      <c r="V142" s="3"/>
      <c r="W142" s="3"/>
      <c r="X142" s="3"/>
      <c r="Y142" s="3"/>
      <c r="Z142" s="3"/>
    </row>
    <row r="143" ht="15.75" customHeight="1">
      <c r="A143" s="793"/>
      <c r="B143" s="794"/>
      <c r="C143" s="794" t="s">
        <v>17775</v>
      </c>
      <c r="D143" s="794" t="s">
        <v>17776</v>
      </c>
      <c r="E143" s="794" t="s">
        <v>12445</v>
      </c>
      <c r="F143" s="794" t="s">
        <v>29</v>
      </c>
      <c r="G143" s="794" t="s">
        <v>6151</v>
      </c>
      <c r="H143" s="794"/>
      <c r="I143" s="794" t="s">
        <v>6454</v>
      </c>
      <c r="J143" s="799">
        <v>744.0</v>
      </c>
      <c r="K143" s="794" t="s">
        <v>16201</v>
      </c>
      <c r="L143" s="794"/>
      <c r="M143" s="794" t="s">
        <v>17554</v>
      </c>
      <c r="N143" s="795">
        <v>1963.0</v>
      </c>
      <c r="O143" s="794" t="s">
        <v>388</v>
      </c>
      <c r="P143" s="794">
        <v>1.0</v>
      </c>
      <c r="Q143" s="3"/>
      <c r="R143" s="3"/>
      <c r="S143" s="3"/>
      <c r="T143" s="3"/>
      <c r="U143" s="3"/>
      <c r="V143" s="3"/>
      <c r="W143" s="3"/>
      <c r="X143" s="3"/>
      <c r="Y143" s="3"/>
      <c r="Z143" s="3"/>
    </row>
    <row r="144" ht="15.75" customHeight="1">
      <c r="A144" s="793"/>
      <c r="B144" s="794"/>
      <c r="C144" s="794" t="s">
        <v>17777</v>
      </c>
      <c r="D144" s="794" t="s">
        <v>17778</v>
      </c>
      <c r="E144" s="794" t="s">
        <v>12445</v>
      </c>
      <c r="F144" s="794" t="s">
        <v>29</v>
      </c>
      <c r="G144" s="794" t="s">
        <v>15646</v>
      </c>
      <c r="H144" s="794"/>
      <c r="I144" s="794" t="s">
        <v>6454</v>
      </c>
      <c r="J144" s="799">
        <f t="shared" ref="J144:J147" si="1">740+4</f>
        <v>744</v>
      </c>
      <c r="K144" s="794" t="s">
        <v>16201</v>
      </c>
      <c r="L144" s="794"/>
      <c r="M144" s="794" t="s">
        <v>17779</v>
      </c>
      <c r="N144" s="795">
        <v>1980.0</v>
      </c>
      <c r="O144" s="794" t="s">
        <v>388</v>
      </c>
      <c r="P144" s="794">
        <v>2.0</v>
      </c>
      <c r="Q144" s="3"/>
      <c r="R144" s="3"/>
      <c r="S144" s="3"/>
      <c r="T144" s="3"/>
      <c r="U144" s="3"/>
      <c r="V144" s="3"/>
      <c r="W144" s="3"/>
      <c r="X144" s="3"/>
      <c r="Y144" s="3"/>
      <c r="Z144" s="3"/>
    </row>
    <row r="145" ht="15.75" customHeight="1">
      <c r="A145" s="793"/>
      <c r="B145" s="794" t="s">
        <v>17780</v>
      </c>
      <c r="C145" s="794" t="s">
        <v>17781</v>
      </c>
      <c r="D145" s="794" t="s">
        <v>17782</v>
      </c>
      <c r="E145" s="794" t="s">
        <v>12445</v>
      </c>
      <c r="F145" s="794" t="s">
        <v>29</v>
      </c>
      <c r="G145" s="794" t="s">
        <v>15646</v>
      </c>
      <c r="H145" s="794"/>
      <c r="I145" s="794" t="s">
        <v>6454</v>
      </c>
      <c r="J145" s="799">
        <f t="shared" si="1"/>
        <v>744</v>
      </c>
      <c r="K145" s="794" t="s">
        <v>16201</v>
      </c>
      <c r="L145" s="794"/>
      <c r="M145" s="794" t="s">
        <v>17779</v>
      </c>
      <c r="N145" s="795">
        <v>1982.0</v>
      </c>
      <c r="O145" s="794" t="s">
        <v>388</v>
      </c>
      <c r="P145" s="794">
        <v>1.0</v>
      </c>
      <c r="Q145" s="3"/>
      <c r="R145" s="3"/>
      <c r="S145" s="3"/>
      <c r="T145" s="3"/>
      <c r="U145" s="3"/>
      <c r="V145" s="3"/>
      <c r="W145" s="3"/>
      <c r="X145" s="3"/>
      <c r="Y145" s="3"/>
      <c r="Z145" s="3"/>
    </row>
    <row r="146" ht="15.75" customHeight="1">
      <c r="A146" s="793"/>
      <c r="B146" s="794" t="s">
        <v>17780</v>
      </c>
      <c r="C146" s="794" t="s">
        <v>17783</v>
      </c>
      <c r="D146" s="794" t="s">
        <v>17784</v>
      </c>
      <c r="E146" s="794" t="s">
        <v>12445</v>
      </c>
      <c r="F146" s="794" t="s">
        <v>29</v>
      </c>
      <c r="G146" s="794" t="s">
        <v>15646</v>
      </c>
      <c r="H146" s="794"/>
      <c r="I146" s="794" t="s">
        <v>6454</v>
      </c>
      <c r="J146" s="799">
        <f t="shared" si="1"/>
        <v>744</v>
      </c>
      <c r="K146" s="794" t="s">
        <v>16201</v>
      </c>
      <c r="L146" s="794"/>
      <c r="M146" s="794" t="s">
        <v>17779</v>
      </c>
      <c r="N146" s="795">
        <v>1978.0</v>
      </c>
      <c r="O146" s="794" t="s">
        <v>388</v>
      </c>
      <c r="P146" s="794">
        <v>1.0</v>
      </c>
      <c r="Q146" s="3"/>
      <c r="R146" s="3"/>
      <c r="S146" s="3"/>
      <c r="T146" s="3"/>
      <c r="U146" s="3"/>
      <c r="V146" s="3"/>
      <c r="W146" s="3"/>
      <c r="X146" s="3"/>
      <c r="Y146" s="3"/>
      <c r="Z146" s="3"/>
    </row>
    <row r="147" ht="15.75" customHeight="1">
      <c r="A147" s="793"/>
      <c r="B147" s="794" t="s">
        <v>17780</v>
      </c>
      <c r="C147" s="794" t="s">
        <v>17785</v>
      </c>
      <c r="D147" s="794" t="s">
        <v>17786</v>
      </c>
      <c r="E147" s="794" t="s">
        <v>12445</v>
      </c>
      <c r="F147" s="794" t="s">
        <v>29</v>
      </c>
      <c r="G147" s="794" t="s">
        <v>15646</v>
      </c>
      <c r="H147" s="794"/>
      <c r="I147" s="794" t="s">
        <v>6454</v>
      </c>
      <c r="J147" s="799">
        <f t="shared" si="1"/>
        <v>744</v>
      </c>
      <c r="K147" s="794" t="s">
        <v>16201</v>
      </c>
      <c r="L147" s="794"/>
      <c r="M147" s="794" t="s">
        <v>17779</v>
      </c>
      <c r="N147" s="795">
        <v>1977.0</v>
      </c>
      <c r="O147" s="794" t="s">
        <v>388</v>
      </c>
      <c r="P147" s="794">
        <v>1.0</v>
      </c>
      <c r="Q147" s="3"/>
      <c r="R147" s="3"/>
      <c r="S147" s="3"/>
      <c r="T147" s="3"/>
      <c r="U147" s="3"/>
      <c r="V147" s="3"/>
      <c r="W147" s="3"/>
      <c r="X147" s="3"/>
      <c r="Y147" s="3"/>
      <c r="Z147" s="3"/>
    </row>
    <row r="148" ht="15.75" customHeight="1">
      <c r="A148" s="793"/>
      <c r="B148" s="794" t="s">
        <v>17787</v>
      </c>
      <c r="C148" s="794" t="s">
        <v>17788</v>
      </c>
      <c r="D148" s="794" t="s">
        <v>17789</v>
      </c>
      <c r="E148" s="794" t="s">
        <v>12445</v>
      </c>
      <c r="F148" s="794" t="s">
        <v>29</v>
      </c>
      <c r="G148" s="794" t="s">
        <v>6151</v>
      </c>
      <c r="H148" s="794"/>
      <c r="I148" s="794" t="s">
        <v>17760</v>
      </c>
      <c r="J148" s="799">
        <f>463+4</f>
        <v>467</v>
      </c>
      <c r="K148" s="794"/>
      <c r="L148" s="794"/>
      <c r="M148" s="794" t="s">
        <v>16294</v>
      </c>
      <c r="N148" s="795">
        <v>2006.0</v>
      </c>
      <c r="O148" s="794" t="s">
        <v>388</v>
      </c>
      <c r="P148" s="794">
        <v>1.0</v>
      </c>
      <c r="Q148" s="3"/>
      <c r="R148" s="3"/>
      <c r="S148" s="3"/>
      <c r="T148" s="3"/>
      <c r="U148" s="3"/>
      <c r="V148" s="3"/>
      <c r="W148" s="3"/>
      <c r="X148" s="3"/>
      <c r="Y148" s="3"/>
      <c r="Z148" s="3"/>
    </row>
    <row r="149" ht="15.75" customHeight="1">
      <c r="A149" s="793"/>
      <c r="B149" s="794" t="s">
        <v>17790</v>
      </c>
      <c r="C149" s="794" t="s">
        <v>17791</v>
      </c>
      <c r="D149" s="794" t="s">
        <v>17792</v>
      </c>
      <c r="E149" s="794" t="s">
        <v>12445</v>
      </c>
      <c r="F149" s="794" t="s">
        <v>29</v>
      </c>
      <c r="G149" s="794" t="s">
        <v>15193</v>
      </c>
      <c r="H149" s="794"/>
      <c r="I149" s="794" t="s">
        <v>17712</v>
      </c>
      <c r="J149" s="799">
        <f>827</f>
        <v>827</v>
      </c>
      <c r="K149" s="794" t="s">
        <v>16201</v>
      </c>
      <c r="L149" s="794"/>
      <c r="M149" s="794" t="s">
        <v>17453</v>
      </c>
      <c r="N149" s="795">
        <v>1988.0</v>
      </c>
      <c r="O149" s="794" t="s">
        <v>388</v>
      </c>
      <c r="P149" s="794">
        <v>1.0</v>
      </c>
      <c r="Q149" s="3"/>
      <c r="R149" s="3"/>
      <c r="S149" s="3"/>
      <c r="T149" s="3"/>
      <c r="U149" s="3"/>
      <c r="V149" s="3"/>
      <c r="W149" s="3"/>
      <c r="X149" s="3"/>
      <c r="Y149" s="3"/>
      <c r="Z149" s="3"/>
    </row>
    <row r="150" ht="15.75" customHeight="1">
      <c r="A150" s="793"/>
      <c r="B150" s="794"/>
      <c r="C150" s="794" t="s">
        <v>17793</v>
      </c>
      <c r="D150" s="794" t="s">
        <v>17794</v>
      </c>
      <c r="E150" s="794" t="s">
        <v>12445</v>
      </c>
      <c r="F150" s="794" t="s">
        <v>29</v>
      </c>
      <c r="G150" s="794" t="s">
        <v>16733</v>
      </c>
      <c r="H150" s="794"/>
      <c r="I150" s="794" t="s">
        <v>16734</v>
      </c>
      <c r="J150" s="799">
        <f>115+4</f>
        <v>119</v>
      </c>
      <c r="K150" s="794"/>
      <c r="L150" s="794"/>
      <c r="M150" s="794"/>
      <c r="N150" s="795">
        <v>1971.0</v>
      </c>
      <c r="O150" s="794" t="s">
        <v>388</v>
      </c>
      <c r="P150" s="794">
        <v>1.0</v>
      </c>
      <c r="Q150" s="3"/>
      <c r="R150" s="3"/>
      <c r="S150" s="3"/>
      <c r="T150" s="3"/>
      <c r="U150" s="3"/>
      <c r="V150" s="3"/>
      <c r="W150" s="3"/>
      <c r="X150" s="3"/>
      <c r="Y150" s="3"/>
      <c r="Z150" s="3"/>
    </row>
    <row r="151" ht="15.75" customHeight="1">
      <c r="A151" s="793"/>
      <c r="B151" s="794" t="s">
        <v>17795</v>
      </c>
      <c r="C151" s="794" t="s">
        <v>17796</v>
      </c>
      <c r="D151" s="794" t="s">
        <v>17797</v>
      </c>
      <c r="E151" s="794" t="s">
        <v>12445</v>
      </c>
      <c r="F151" s="794" t="s">
        <v>29</v>
      </c>
      <c r="G151" s="794" t="s">
        <v>15646</v>
      </c>
      <c r="H151" s="794"/>
      <c r="I151" s="794" t="s">
        <v>17284</v>
      </c>
      <c r="J151" s="799"/>
      <c r="K151" s="794"/>
      <c r="L151" s="794"/>
      <c r="M151" s="794" t="s">
        <v>15646</v>
      </c>
      <c r="N151" s="795">
        <v>1984.0</v>
      </c>
      <c r="O151" s="794" t="s">
        <v>388</v>
      </c>
      <c r="P151" s="794">
        <v>2.0</v>
      </c>
      <c r="Q151" s="3"/>
      <c r="R151" s="3"/>
      <c r="S151" s="3"/>
      <c r="T151" s="3"/>
      <c r="U151" s="3"/>
      <c r="V151" s="3"/>
      <c r="W151" s="3"/>
      <c r="X151" s="3"/>
      <c r="Y151" s="3"/>
      <c r="Z151" s="3"/>
    </row>
    <row r="152" ht="15.75" customHeight="1">
      <c r="A152" s="793"/>
      <c r="B152" s="794"/>
      <c r="C152" s="794" t="s">
        <v>17798</v>
      </c>
      <c r="D152" s="794" t="s">
        <v>17799</v>
      </c>
      <c r="E152" s="794" t="s">
        <v>12445</v>
      </c>
      <c r="F152" s="794" t="s">
        <v>29</v>
      </c>
      <c r="G152" s="794" t="s">
        <v>6454</v>
      </c>
      <c r="H152" s="794" t="s">
        <v>31</v>
      </c>
      <c r="I152" s="794" t="s">
        <v>17296</v>
      </c>
      <c r="J152" s="799">
        <v>744.0</v>
      </c>
      <c r="K152" s="794" t="s">
        <v>31</v>
      </c>
      <c r="L152" s="794"/>
      <c r="M152" s="794" t="s">
        <v>17681</v>
      </c>
      <c r="N152" s="795">
        <v>1966.0</v>
      </c>
      <c r="O152" s="794" t="s">
        <v>388</v>
      </c>
      <c r="P152" s="794">
        <v>1.0</v>
      </c>
      <c r="Q152" s="3"/>
      <c r="R152" s="3"/>
      <c r="S152" s="3"/>
      <c r="T152" s="3"/>
      <c r="U152" s="3"/>
      <c r="V152" s="3"/>
      <c r="W152" s="3"/>
      <c r="X152" s="3"/>
      <c r="Y152" s="3"/>
      <c r="Z152" s="3"/>
    </row>
    <row r="153" ht="15.75" customHeight="1">
      <c r="A153" s="793"/>
      <c r="B153" s="140"/>
      <c r="C153" s="794" t="s">
        <v>17798</v>
      </c>
      <c r="D153" s="794" t="s">
        <v>17799</v>
      </c>
      <c r="E153" s="794" t="s">
        <v>12445</v>
      </c>
      <c r="F153" s="794" t="s">
        <v>29</v>
      </c>
      <c r="G153" s="794" t="s">
        <v>6454</v>
      </c>
      <c r="H153" s="794" t="s">
        <v>31</v>
      </c>
      <c r="I153" s="794" t="s">
        <v>17296</v>
      </c>
      <c r="J153" s="799">
        <v>744.0</v>
      </c>
      <c r="K153" s="794" t="s">
        <v>31</v>
      </c>
      <c r="L153" s="794"/>
      <c r="M153" s="794" t="s">
        <v>17681</v>
      </c>
      <c r="N153" s="795">
        <v>1966.0</v>
      </c>
      <c r="O153" s="794" t="s">
        <v>388</v>
      </c>
      <c r="P153" s="794">
        <v>1.0</v>
      </c>
      <c r="Q153" s="3"/>
      <c r="R153" s="3"/>
      <c r="S153" s="3"/>
      <c r="T153" s="3"/>
      <c r="U153" s="3"/>
      <c r="V153" s="3"/>
      <c r="W153" s="3"/>
      <c r="X153" s="3"/>
      <c r="Y153" s="3"/>
      <c r="Z153" s="3"/>
    </row>
    <row r="154" ht="15.75" customHeight="1">
      <c r="A154" s="793"/>
      <c r="B154" s="140"/>
      <c r="C154" s="794" t="s">
        <v>17800</v>
      </c>
      <c r="D154" s="794" t="s">
        <v>17801</v>
      </c>
      <c r="E154" s="794" t="s">
        <v>12445</v>
      </c>
      <c r="F154" s="794" t="s">
        <v>29</v>
      </c>
      <c r="G154" s="794" t="s">
        <v>6454</v>
      </c>
      <c r="H154" s="794" t="s">
        <v>31</v>
      </c>
      <c r="I154" s="794" t="s">
        <v>17296</v>
      </c>
      <c r="J154" s="799">
        <v>744.0</v>
      </c>
      <c r="K154" s="794" t="s">
        <v>31</v>
      </c>
      <c r="L154" s="794"/>
      <c r="M154" s="794" t="s">
        <v>17802</v>
      </c>
      <c r="N154" s="795">
        <v>1974.0</v>
      </c>
      <c r="O154" s="794" t="s">
        <v>388</v>
      </c>
      <c r="P154" s="794">
        <v>1.0</v>
      </c>
      <c r="Q154" s="3"/>
      <c r="R154" s="3"/>
      <c r="S154" s="3"/>
      <c r="T154" s="3"/>
      <c r="U154" s="3"/>
      <c r="V154" s="3"/>
      <c r="W154" s="3"/>
      <c r="X154" s="3"/>
      <c r="Y154" s="3"/>
      <c r="Z154" s="3"/>
    </row>
    <row r="155" ht="15.75" customHeight="1">
      <c r="A155" s="793"/>
      <c r="B155" s="794"/>
      <c r="C155" s="794" t="s">
        <v>17803</v>
      </c>
      <c r="D155" s="794" t="s">
        <v>17804</v>
      </c>
      <c r="E155" s="794" t="s">
        <v>12445</v>
      </c>
      <c r="F155" s="794" t="s">
        <v>29</v>
      </c>
      <c r="G155" s="794" t="s">
        <v>13081</v>
      </c>
      <c r="H155" s="794"/>
      <c r="I155" s="794" t="s">
        <v>17805</v>
      </c>
      <c r="J155" s="794"/>
      <c r="K155" s="794"/>
      <c r="L155" s="794"/>
      <c r="M155" s="794" t="s">
        <v>17806</v>
      </c>
      <c r="N155" s="795">
        <v>1978.0</v>
      </c>
      <c r="O155" s="794" t="s">
        <v>388</v>
      </c>
      <c r="P155" s="794">
        <v>1.0</v>
      </c>
      <c r="Q155" s="3"/>
      <c r="R155" s="3"/>
      <c r="S155" s="3"/>
      <c r="T155" s="3"/>
      <c r="U155" s="3"/>
      <c r="V155" s="3"/>
      <c r="W155" s="3"/>
      <c r="X155" s="3"/>
      <c r="Y155" s="3"/>
      <c r="Z155" s="3"/>
    </row>
    <row r="156" ht="15.75" customHeight="1">
      <c r="A156" s="793"/>
      <c r="B156" s="794"/>
      <c r="C156" s="794" t="s">
        <v>17807</v>
      </c>
      <c r="D156" s="794" t="s">
        <v>17808</v>
      </c>
      <c r="E156" s="794" t="s">
        <v>12445</v>
      </c>
      <c r="F156" s="794" t="s">
        <v>29</v>
      </c>
      <c r="G156" s="794" t="s">
        <v>17809</v>
      </c>
      <c r="H156" s="794"/>
      <c r="I156" s="794" t="s">
        <v>17809</v>
      </c>
      <c r="J156" s="799">
        <f>736+4</f>
        <v>740</v>
      </c>
      <c r="K156" s="794"/>
      <c r="L156" s="794"/>
      <c r="M156" s="794" t="s">
        <v>17810</v>
      </c>
      <c r="N156" s="795">
        <v>1988.0</v>
      </c>
      <c r="O156" s="794" t="s">
        <v>388</v>
      </c>
      <c r="P156" s="794">
        <v>1.0</v>
      </c>
      <c r="Q156" s="3"/>
      <c r="R156" s="3"/>
      <c r="S156" s="3"/>
      <c r="T156" s="3"/>
      <c r="U156" s="3"/>
      <c r="V156" s="3"/>
      <c r="W156" s="3"/>
      <c r="X156" s="3"/>
      <c r="Y156" s="3"/>
      <c r="Z156" s="3"/>
    </row>
    <row r="157" ht="15.75" customHeight="1">
      <c r="A157" s="793"/>
      <c r="B157" s="794"/>
      <c r="C157" s="794" t="s">
        <v>17811</v>
      </c>
      <c r="D157" s="794" t="s">
        <v>17812</v>
      </c>
      <c r="E157" s="794" t="s">
        <v>12445</v>
      </c>
      <c r="F157" s="794" t="s">
        <v>29</v>
      </c>
      <c r="G157" s="794" t="s">
        <v>5395</v>
      </c>
      <c r="H157" s="794"/>
      <c r="I157" s="794" t="s">
        <v>17813</v>
      </c>
      <c r="J157" s="794"/>
      <c r="K157" s="794"/>
      <c r="L157" s="794"/>
      <c r="M157" s="794" t="s">
        <v>16129</v>
      </c>
      <c r="N157" s="795">
        <v>1975.0</v>
      </c>
      <c r="O157" s="794" t="s">
        <v>388</v>
      </c>
      <c r="P157" s="794">
        <v>1.0</v>
      </c>
      <c r="Q157" s="3"/>
      <c r="R157" s="3"/>
      <c r="S157" s="3"/>
      <c r="T157" s="3"/>
      <c r="U157" s="3"/>
      <c r="V157" s="3"/>
      <c r="W157" s="3"/>
      <c r="X157" s="3"/>
      <c r="Y157" s="3"/>
      <c r="Z157" s="3"/>
    </row>
    <row r="158" ht="15.75" customHeight="1">
      <c r="A158" s="793" t="s">
        <v>17780</v>
      </c>
      <c r="B158" s="794" t="s">
        <v>13078</v>
      </c>
      <c r="C158" s="794" t="s">
        <v>17814</v>
      </c>
      <c r="D158" s="794" t="s">
        <v>17815</v>
      </c>
      <c r="E158" s="794"/>
      <c r="F158" s="794" t="s">
        <v>29</v>
      </c>
      <c r="G158" s="794"/>
      <c r="H158" s="794"/>
      <c r="I158" s="794" t="s">
        <v>13082</v>
      </c>
      <c r="J158" s="799">
        <v>448.0</v>
      </c>
      <c r="K158" s="794"/>
      <c r="L158" s="794"/>
      <c r="M158" s="800" t="s">
        <v>17816</v>
      </c>
      <c r="N158" s="795">
        <v>2017.0</v>
      </c>
      <c r="O158" s="794" t="s">
        <v>388</v>
      </c>
      <c r="P158" s="794">
        <v>1.0</v>
      </c>
      <c r="Q158" s="3"/>
      <c r="R158" s="3"/>
      <c r="S158" s="3"/>
      <c r="T158" s="3"/>
      <c r="U158" s="3"/>
      <c r="V158" s="3"/>
      <c r="W158" s="3"/>
      <c r="X158" s="3"/>
      <c r="Y158" s="3"/>
      <c r="Z158" s="3"/>
    </row>
    <row r="159" ht="15.75" customHeight="1">
      <c r="A159" s="793"/>
      <c r="B159" s="794" t="s">
        <v>13161</v>
      </c>
      <c r="C159" s="794" t="s">
        <v>17817</v>
      </c>
      <c r="D159" s="794" t="s">
        <v>17818</v>
      </c>
      <c r="E159" s="794"/>
      <c r="F159" s="794" t="s">
        <v>29</v>
      </c>
      <c r="G159" s="794"/>
      <c r="H159" s="794"/>
      <c r="I159" s="794" t="s">
        <v>13082</v>
      </c>
      <c r="J159" s="799">
        <v>560.0</v>
      </c>
      <c r="K159" s="794"/>
      <c r="L159" s="794"/>
      <c r="M159" s="794" t="s">
        <v>17819</v>
      </c>
      <c r="N159" s="795">
        <v>2017.0</v>
      </c>
      <c r="O159" s="794" t="s">
        <v>388</v>
      </c>
      <c r="P159" s="794">
        <v>1.0</v>
      </c>
      <c r="Q159" s="3"/>
      <c r="R159" s="3"/>
      <c r="S159" s="3"/>
      <c r="T159" s="3"/>
      <c r="U159" s="3"/>
      <c r="V159" s="3"/>
      <c r="W159" s="3"/>
      <c r="X159" s="3"/>
      <c r="Y159" s="3"/>
      <c r="Z159" s="3"/>
    </row>
    <row r="160" ht="15.75" customHeight="1">
      <c r="A160" s="793"/>
      <c r="B160" s="794"/>
      <c r="C160" s="794" t="s">
        <v>17820</v>
      </c>
      <c r="D160" s="794" t="s">
        <v>17534</v>
      </c>
      <c r="E160" s="794" t="s">
        <v>2355</v>
      </c>
      <c r="F160" s="794" t="s">
        <v>29</v>
      </c>
      <c r="G160" s="794"/>
      <c r="H160" s="794"/>
      <c r="I160" s="794" t="s">
        <v>13082</v>
      </c>
      <c r="J160" s="799"/>
      <c r="K160" s="794"/>
      <c r="L160" s="794"/>
      <c r="M160" s="794"/>
      <c r="N160" s="795">
        <v>1986.0</v>
      </c>
      <c r="O160" s="794" t="s">
        <v>388</v>
      </c>
      <c r="P160" s="794">
        <v>1.0</v>
      </c>
      <c r="Q160" s="3"/>
      <c r="R160" s="3"/>
      <c r="S160" s="3"/>
      <c r="T160" s="3"/>
      <c r="U160" s="3"/>
      <c r="V160" s="3"/>
      <c r="W160" s="3"/>
      <c r="X160" s="3"/>
      <c r="Y160" s="3"/>
      <c r="Z160" s="3"/>
    </row>
    <row r="161" ht="15.75" customHeight="1">
      <c r="A161" s="793"/>
      <c r="B161" s="794" t="s">
        <v>15802</v>
      </c>
      <c r="C161" s="794" t="s">
        <v>17821</v>
      </c>
      <c r="D161" s="794" t="s">
        <v>17822</v>
      </c>
      <c r="E161" s="794" t="s">
        <v>2355</v>
      </c>
      <c r="F161" s="794" t="s">
        <v>29</v>
      </c>
      <c r="G161" s="794" t="s">
        <v>6454</v>
      </c>
      <c r="H161" s="794"/>
      <c r="I161" s="794" t="s">
        <v>6454</v>
      </c>
      <c r="J161" s="799">
        <f>527+33+1508+6</f>
        <v>2074</v>
      </c>
      <c r="K161" s="794"/>
      <c r="L161" s="794"/>
      <c r="M161" s="794" t="s">
        <v>17823</v>
      </c>
      <c r="N161" s="795">
        <v>1992.0</v>
      </c>
      <c r="O161" s="794" t="s">
        <v>388</v>
      </c>
      <c r="P161" s="794">
        <v>1.0</v>
      </c>
      <c r="Q161" s="3"/>
      <c r="R161" s="3"/>
      <c r="S161" s="3"/>
      <c r="T161" s="3"/>
      <c r="U161" s="3"/>
      <c r="V161" s="3"/>
      <c r="W161" s="3"/>
      <c r="X161" s="3"/>
      <c r="Y161" s="3"/>
      <c r="Z161" s="3"/>
    </row>
    <row r="162" ht="15.75" customHeight="1">
      <c r="A162" s="793"/>
      <c r="B162" s="794"/>
      <c r="C162" s="794" t="s">
        <v>17824</v>
      </c>
      <c r="D162" s="794" t="s">
        <v>17825</v>
      </c>
      <c r="E162" s="794" t="s">
        <v>12445</v>
      </c>
      <c r="F162" s="794" t="s">
        <v>29</v>
      </c>
      <c r="G162" s="794" t="s">
        <v>5395</v>
      </c>
      <c r="H162" s="794"/>
      <c r="I162" s="794" t="s">
        <v>17826</v>
      </c>
      <c r="J162" s="799">
        <f>404+4</f>
        <v>408</v>
      </c>
      <c r="K162" s="794"/>
      <c r="L162" s="794"/>
      <c r="M162" s="794" t="s">
        <v>17390</v>
      </c>
      <c r="N162" s="795">
        <v>1987.0</v>
      </c>
      <c r="O162" s="794" t="s">
        <v>388</v>
      </c>
      <c r="P162" s="794">
        <v>1.0</v>
      </c>
      <c r="Q162" s="3"/>
      <c r="R162" s="3"/>
      <c r="S162" s="3"/>
      <c r="T162" s="3"/>
      <c r="U162" s="3"/>
      <c r="V162" s="3"/>
      <c r="W162" s="3"/>
      <c r="X162" s="3"/>
      <c r="Y162" s="3"/>
      <c r="Z162" s="3"/>
    </row>
    <row r="163" ht="15.75" customHeight="1">
      <c r="A163" s="793"/>
      <c r="B163" s="794"/>
      <c r="C163" s="794" t="s">
        <v>17827</v>
      </c>
      <c r="D163" s="794" t="s">
        <v>17828</v>
      </c>
      <c r="E163" s="794" t="s">
        <v>12445</v>
      </c>
      <c r="F163" s="794" t="s">
        <v>29</v>
      </c>
      <c r="G163" s="794" t="s">
        <v>81</v>
      </c>
      <c r="H163" s="794"/>
      <c r="I163" s="794" t="s">
        <v>17829</v>
      </c>
      <c r="J163" s="799">
        <f>861</f>
        <v>861</v>
      </c>
      <c r="K163" s="794"/>
      <c r="L163" s="794"/>
      <c r="M163" s="794" t="s">
        <v>6409</v>
      </c>
      <c r="N163" s="795">
        <v>1969.0</v>
      </c>
      <c r="O163" s="794" t="s">
        <v>388</v>
      </c>
      <c r="P163" s="794">
        <v>1.0</v>
      </c>
      <c r="Q163" s="3"/>
      <c r="R163" s="3"/>
      <c r="S163" s="3"/>
      <c r="T163" s="3"/>
      <c r="U163" s="3"/>
      <c r="V163" s="3"/>
      <c r="W163" s="3"/>
      <c r="X163" s="3"/>
      <c r="Y163" s="3"/>
      <c r="Z163" s="3"/>
    </row>
    <row r="164" ht="15.75" customHeight="1">
      <c r="A164" s="793"/>
      <c r="B164" s="794"/>
      <c r="C164" s="794" t="s">
        <v>17830</v>
      </c>
      <c r="D164" s="794" t="s">
        <v>17831</v>
      </c>
      <c r="E164" s="794" t="s">
        <v>12445</v>
      </c>
      <c r="F164" s="794" t="s">
        <v>29</v>
      </c>
      <c r="G164" s="794" t="s">
        <v>38</v>
      </c>
      <c r="H164" s="794"/>
      <c r="I164" s="794" t="s">
        <v>17549</v>
      </c>
      <c r="J164" s="799"/>
      <c r="K164" s="794"/>
      <c r="L164" s="794"/>
      <c r="M164" s="794" t="s">
        <v>17550</v>
      </c>
      <c r="N164" s="795">
        <v>1966.0</v>
      </c>
      <c r="O164" s="794" t="s">
        <v>388</v>
      </c>
      <c r="P164" s="794">
        <v>1.0</v>
      </c>
      <c r="Q164" s="3"/>
      <c r="R164" s="3"/>
      <c r="S164" s="3"/>
      <c r="T164" s="3"/>
      <c r="U164" s="3"/>
      <c r="V164" s="3"/>
      <c r="W164" s="3"/>
      <c r="X164" s="3"/>
      <c r="Y164" s="3"/>
      <c r="Z164" s="3"/>
    </row>
    <row r="165" ht="15.75" customHeight="1">
      <c r="A165" s="793"/>
      <c r="B165" s="794" t="s">
        <v>17832</v>
      </c>
      <c r="C165" s="794" t="s">
        <v>17833</v>
      </c>
      <c r="D165" s="794" t="s">
        <v>17834</v>
      </c>
      <c r="E165" s="794" t="s">
        <v>12445</v>
      </c>
      <c r="F165" s="794" t="s">
        <v>29</v>
      </c>
      <c r="G165" s="794" t="s">
        <v>16700</v>
      </c>
      <c r="H165" s="794"/>
      <c r="I165" s="794" t="s">
        <v>16983</v>
      </c>
      <c r="J165" s="799">
        <f>567</f>
        <v>567</v>
      </c>
      <c r="K165" s="794"/>
      <c r="L165" s="794"/>
      <c r="M165" s="794" t="s">
        <v>16702</v>
      </c>
      <c r="N165" s="795">
        <v>1977.0</v>
      </c>
      <c r="O165" s="794" t="s">
        <v>388</v>
      </c>
      <c r="P165" s="794">
        <v>1.0</v>
      </c>
      <c r="Q165" s="3"/>
      <c r="R165" s="3"/>
      <c r="S165" s="3"/>
      <c r="T165" s="3"/>
      <c r="U165" s="3"/>
      <c r="V165" s="3"/>
      <c r="W165" s="3"/>
      <c r="X165" s="3"/>
      <c r="Y165" s="3"/>
      <c r="Z165" s="3"/>
    </row>
    <row r="166" ht="15.75" customHeight="1">
      <c r="A166" s="793"/>
      <c r="B166" s="794"/>
      <c r="C166" s="794" t="s">
        <v>17835</v>
      </c>
      <c r="D166" s="794" t="s">
        <v>17836</v>
      </c>
      <c r="E166" s="794" t="s">
        <v>12445</v>
      </c>
      <c r="F166" s="794" t="s">
        <v>29</v>
      </c>
      <c r="G166" s="794" t="s">
        <v>6354</v>
      </c>
      <c r="H166" s="794"/>
      <c r="I166" s="794" t="s">
        <v>17837</v>
      </c>
      <c r="J166" s="794"/>
      <c r="K166" s="794"/>
      <c r="L166" s="794"/>
      <c r="M166" s="794" t="s">
        <v>16073</v>
      </c>
      <c r="N166" s="795">
        <v>1988.0</v>
      </c>
      <c r="O166" s="794" t="s">
        <v>388</v>
      </c>
      <c r="P166" s="794">
        <v>1.0</v>
      </c>
      <c r="Q166" s="3"/>
      <c r="R166" s="3"/>
      <c r="S166" s="3"/>
      <c r="T166" s="3"/>
      <c r="U166" s="3"/>
      <c r="V166" s="3"/>
      <c r="W166" s="3"/>
      <c r="X166" s="3"/>
      <c r="Y166" s="3"/>
      <c r="Z166" s="3"/>
    </row>
    <row r="167" ht="15.75" customHeight="1">
      <c r="A167" s="793"/>
      <c r="B167" s="794"/>
      <c r="C167" s="794" t="s">
        <v>17838</v>
      </c>
      <c r="D167" s="794" t="s">
        <v>17839</v>
      </c>
      <c r="E167" s="794" t="s">
        <v>12445</v>
      </c>
      <c r="F167" s="794" t="s">
        <v>29</v>
      </c>
      <c r="G167" s="794" t="s">
        <v>15646</v>
      </c>
      <c r="H167" s="794"/>
      <c r="I167" s="794" t="s">
        <v>15646</v>
      </c>
      <c r="J167" s="799">
        <f>636+4</f>
        <v>640</v>
      </c>
      <c r="K167" s="794"/>
      <c r="L167" s="794"/>
      <c r="M167" s="794" t="s">
        <v>15646</v>
      </c>
      <c r="N167" s="795">
        <v>1967.0</v>
      </c>
      <c r="O167" s="794" t="s">
        <v>388</v>
      </c>
      <c r="P167" s="794">
        <v>1.0</v>
      </c>
      <c r="Q167" s="3"/>
      <c r="R167" s="3"/>
      <c r="S167" s="3"/>
      <c r="T167" s="3"/>
      <c r="U167" s="3"/>
      <c r="V167" s="3"/>
      <c r="W167" s="3"/>
      <c r="X167" s="3"/>
      <c r="Y167" s="3"/>
      <c r="Z167" s="3"/>
    </row>
    <row r="168" ht="15.75" customHeight="1">
      <c r="A168" s="793"/>
      <c r="B168" s="794"/>
      <c r="C168" s="794" t="s">
        <v>17840</v>
      </c>
      <c r="D168" s="794" t="s">
        <v>17841</v>
      </c>
      <c r="E168" s="794" t="s">
        <v>12445</v>
      </c>
      <c r="F168" s="794" t="s">
        <v>29</v>
      </c>
      <c r="G168" s="794" t="s">
        <v>6354</v>
      </c>
      <c r="H168" s="794"/>
      <c r="I168" s="794" t="s">
        <v>17842</v>
      </c>
      <c r="J168" s="799">
        <f>841+4</f>
        <v>845</v>
      </c>
      <c r="K168" s="794"/>
      <c r="L168" s="794"/>
      <c r="M168" s="794" t="s">
        <v>17718</v>
      </c>
      <c r="N168" s="795">
        <v>1987.0</v>
      </c>
      <c r="O168" s="794" t="s">
        <v>388</v>
      </c>
      <c r="P168" s="794">
        <v>1.0</v>
      </c>
      <c r="Q168" s="3"/>
      <c r="R168" s="3"/>
      <c r="S168" s="3"/>
      <c r="T168" s="3"/>
      <c r="U168" s="3"/>
      <c r="V168" s="3"/>
      <c r="W168" s="3"/>
      <c r="X168" s="3"/>
      <c r="Y168" s="3"/>
      <c r="Z168" s="3"/>
    </row>
    <row r="169" ht="15.75" customHeight="1">
      <c r="A169" s="793"/>
      <c r="B169" s="794" t="s">
        <v>17843</v>
      </c>
      <c r="C169" s="794" t="s">
        <v>17844</v>
      </c>
      <c r="D169" s="794" t="s">
        <v>17845</v>
      </c>
      <c r="E169" s="794" t="s">
        <v>12445</v>
      </c>
      <c r="F169" s="794" t="s">
        <v>29</v>
      </c>
      <c r="G169" s="794" t="s">
        <v>7816</v>
      </c>
      <c r="H169" s="794"/>
      <c r="I169" s="794" t="s">
        <v>7816</v>
      </c>
      <c r="J169" s="794"/>
      <c r="K169" s="794"/>
      <c r="L169" s="794"/>
      <c r="M169" s="794" t="s">
        <v>7817</v>
      </c>
      <c r="N169" s="795">
        <v>1982.0</v>
      </c>
      <c r="O169" s="794" t="s">
        <v>388</v>
      </c>
      <c r="P169" s="794">
        <v>1.0</v>
      </c>
      <c r="Q169" s="3"/>
      <c r="R169" s="3"/>
      <c r="S169" s="3"/>
      <c r="T169" s="3"/>
      <c r="U169" s="3"/>
      <c r="V169" s="3"/>
      <c r="W169" s="3"/>
      <c r="X169" s="3"/>
      <c r="Y169" s="3"/>
      <c r="Z169" s="3"/>
    </row>
    <row r="170" ht="15.75" customHeight="1">
      <c r="A170" s="793"/>
      <c r="B170" s="794"/>
      <c r="C170" s="794" t="s">
        <v>17846</v>
      </c>
      <c r="D170" s="794" t="s">
        <v>17847</v>
      </c>
      <c r="E170" s="794" t="s">
        <v>13058</v>
      </c>
      <c r="F170" s="794" t="s">
        <v>29</v>
      </c>
      <c r="G170" s="794" t="s">
        <v>7816</v>
      </c>
      <c r="H170" s="794"/>
      <c r="I170" s="794" t="s">
        <v>7816</v>
      </c>
      <c r="J170" s="799">
        <f>1327+3+409</f>
        <v>1739</v>
      </c>
      <c r="K170" s="794"/>
      <c r="L170" s="794"/>
      <c r="M170" s="794" t="s">
        <v>7817</v>
      </c>
      <c r="N170" s="795">
        <v>1968.0</v>
      </c>
      <c r="O170" s="794" t="s">
        <v>388</v>
      </c>
      <c r="P170" s="794">
        <v>1.0</v>
      </c>
      <c r="Q170" s="3"/>
      <c r="R170" s="3"/>
      <c r="S170" s="3"/>
      <c r="T170" s="3"/>
      <c r="U170" s="3"/>
      <c r="V170" s="3"/>
      <c r="W170" s="3"/>
      <c r="X170" s="3"/>
      <c r="Y170" s="3"/>
      <c r="Z170" s="3"/>
    </row>
    <row r="171" ht="15.75" customHeight="1">
      <c r="A171" s="793"/>
      <c r="B171" s="794"/>
      <c r="C171" s="794" t="s">
        <v>17848</v>
      </c>
      <c r="D171" s="794" t="s">
        <v>17849</v>
      </c>
      <c r="E171" s="794" t="s">
        <v>12445</v>
      </c>
      <c r="F171" s="794" t="s">
        <v>29</v>
      </c>
      <c r="G171" s="794" t="s">
        <v>17405</v>
      </c>
      <c r="H171" s="794"/>
      <c r="I171" s="794" t="s">
        <v>17405</v>
      </c>
      <c r="J171" s="794"/>
      <c r="K171" s="794"/>
      <c r="L171" s="794"/>
      <c r="M171" s="794" t="s">
        <v>17850</v>
      </c>
      <c r="N171" s="795">
        <v>1982.0</v>
      </c>
      <c r="O171" s="794" t="s">
        <v>388</v>
      </c>
      <c r="P171" s="794">
        <v>1.0</v>
      </c>
      <c r="Q171" s="3"/>
      <c r="R171" s="3"/>
      <c r="S171" s="3"/>
      <c r="T171" s="3"/>
      <c r="U171" s="3"/>
      <c r="V171" s="3"/>
      <c r="W171" s="3"/>
      <c r="X171" s="3"/>
      <c r="Y171" s="3"/>
      <c r="Z171" s="3"/>
    </row>
    <row r="172" ht="15.75" customHeight="1">
      <c r="A172" s="793"/>
      <c r="B172" s="794" t="s">
        <v>17851</v>
      </c>
      <c r="C172" s="794" t="s">
        <v>17852</v>
      </c>
      <c r="D172" s="794" t="s">
        <v>17853</v>
      </c>
      <c r="E172" s="794" t="s">
        <v>12445</v>
      </c>
      <c r="F172" s="794" t="s">
        <v>29</v>
      </c>
      <c r="G172" s="794" t="s">
        <v>7816</v>
      </c>
      <c r="H172" s="794"/>
      <c r="I172" s="794" t="s">
        <v>7816</v>
      </c>
      <c r="J172" s="799">
        <f t="shared" ref="J172:J173" si="2">770+14</f>
        <v>784</v>
      </c>
      <c r="K172" s="794"/>
      <c r="L172" s="794"/>
      <c r="M172" s="794" t="s">
        <v>7817</v>
      </c>
      <c r="N172" s="795">
        <v>1985.0</v>
      </c>
      <c r="O172" s="794" t="s">
        <v>388</v>
      </c>
      <c r="P172" s="794">
        <v>1.0</v>
      </c>
      <c r="Q172" s="3"/>
      <c r="R172" s="3"/>
      <c r="S172" s="3"/>
      <c r="T172" s="3"/>
      <c r="U172" s="3"/>
      <c r="V172" s="3"/>
      <c r="W172" s="3"/>
      <c r="X172" s="3"/>
      <c r="Y172" s="3"/>
      <c r="Z172" s="3"/>
    </row>
    <row r="173" ht="15.75" customHeight="1">
      <c r="A173" s="793"/>
      <c r="B173" s="794" t="s">
        <v>17851</v>
      </c>
      <c r="C173" s="794" t="s">
        <v>17854</v>
      </c>
      <c r="D173" s="794" t="s">
        <v>17855</v>
      </c>
      <c r="E173" s="794" t="s">
        <v>12445</v>
      </c>
      <c r="F173" s="794" t="s">
        <v>29</v>
      </c>
      <c r="G173" s="794" t="s">
        <v>7816</v>
      </c>
      <c r="H173" s="794"/>
      <c r="I173" s="794" t="s">
        <v>7816</v>
      </c>
      <c r="J173" s="799">
        <f t="shared" si="2"/>
        <v>784</v>
      </c>
      <c r="K173" s="794"/>
      <c r="L173" s="794"/>
      <c r="M173" s="794" t="s">
        <v>7817</v>
      </c>
      <c r="N173" s="795">
        <v>1982.0</v>
      </c>
      <c r="O173" s="794" t="s">
        <v>388</v>
      </c>
      <c r="P173" s="794">
        <v>1.0</v>
      </c>
      <c r="Q173" s="3"/>
      <c r="R173" s="3"/>
      <c r="S173" s="3"/>
      <c r="T173" s="3"/>
      <c r="U173" s="3"/>
      <c r="V173" s="3"/>
      <c r="W173" s="3"/>
      <c r="X173" s="3"/>
      <c r="Y173" s="3"/>
      <c r="Z173" s="3"/>
    </row>
    <row r="174" ht="15.75" customHeight="1">
      <c r="A174" s="793"/>
      <c r="B174" s="794" t="s">
        <v>17856</v>
      </c>
      <c r="C174" s="794" t="s">
        <v>17857</v>
      </c>
      <c r="D174" s="794" t="s">
        <v>17858</v>
      </c>
      <c r="E174" s="794" t="s">
        <v>12445</v>
      </c>
      <c r="F174" s="794" t="s">
        <v>29</v>
      </c>
      <c r="G174" s="794" t="s">
        <v>7816</v>
      </c>
      <c r="H174" s="794"/>
      <c r="I174" s="794" t="s">
        <v>7816</v>
      </c>
      <c r="J174" s="799">
        <v>480.0</v>
      </c>
      <c r="K174" s="794"/>
      <c r="L174" s="794"/>
      <c r="M174" s="794" t="s">
        <v>7817</v>
      </c>
      <c r="N174" s="795">
        <v>2005.0</v>
      </c>
      <c r="O174" s="794" t="s">
        <v>388</v>
      </c>
      <c r="P174" s="794">
        <v>1.0</v>
      </c>
      <c r="Q174" s="3"/>
      <c r="R174" s="3"/>
      <c r="S174" s="3"/>
      <c r="T174" s="3"/>
      <c r="U174" s="3"/>
      <c r="V174" s="3"/>
      <c r="W174" s="3"/>
      <c r="X174" s="3"/>
      <c r="Y174" s="3"/>
      <c r="Z174" s="3"/>
    </row>
    <row r="175" ht="15.75" customHeight="1">
      <c r="A175" s="793"/>
      <c r="B175" s="794" t="s">
        <v>17859</v>
      </c>
      <c r="C175" s="794" t="s">
        <v>17860</v>
      </c>
      <c r="D175" s="794" t="s">
        <v>17861</v>
      </c>
      <c r="E175" s="794" t="s">
        <v>12445</v>
      </c>
      <c r="F175" s="794" t="s">
        <v>29</v>
      </c>
      <c r="G175" s="794" t="s">
        <v>17541</v>
      </c>
      <c r="H175" s="794"/>
      <c r="I175" s="794" t="s">
        <v>17862</v>
      </c>
      <c r="J175" s="799">
        <v>560.0</v>
      </c>
      <c r="K175" s="794"/>
      <c r="L175" s="794"/>
      <c r="M175" s="794" t="s">
        <v>17863</v>
      </c>
      <c r="N175" s="795">
        <v>1988.0</v>
      </c>
      <c r="O175" s="794" t="s">
        <v>388</v>
      </c>
      <c r="P175" s="794">
        <v>1.0</v>
      </c>
      <c r="Q175" s="3"/>
      <c r="R175" s="3"/>
      <c r="S175" s="3"/>
      <c r="T175" s="3"/>
      <c r="U175" s="3"/>
      <c r="V175" s="3"/>
      <c r="W175" s="3"/>
      <c r="X175" s="3"/>
      <c r="Y175" s="3"/>
      <c r="Z175" s="3"/>
    </row>
    <row r="176" ht="15.75" customHeight="1">
      <c r="A176" s="793"/>
      <c r="B176" s="794"/>
      <c r="C176" s="794" t="s">
        <v>17864</v>
      </c>
      <c r="D176" s="794" t="s">
        <v>17865</v>
      </c>
      <c r="E176" s="794" t="s">
        <v>12445</v>
      </c>
      <c r="F176" s="794" t="s">
        <v>29</v>
      </c>
      <c r="G176" s="794" t="s">
        <v>6151</v>
      </c>
      <c r="H176" s="794"/>
      <c r="I176" s="794" t="s">
        <v>17349</v>
      </c>
      <c r="J176" s="794"/>
      <c r="K176" s="794"/>
      <c r="L176" s="794"/>
      <c r="M176" s="794" t="s">
        <v>6151</v>
      </c>
      <c r="N176" s="795">
        <v>1988.0</v>
      </c>
      <c r="O176" s="794" t="s">
        <v>388</v>
      </c>
      <c r="P176" s="794">
        <v>1.0</v>
      </c>
      <c r="Q176" s="3"/>
      <c r="R176" s="3"/>
      <c r="S176" s="3"/>
      <c r="T176" s="3"/>
      <c r="U176" s="3"/>
      <c r="V176" s="3"/>
      <c r="W176" s="3"/>
      <c r="X176" s="3"/>
      <c r="Y176" s="3"/>
      <c r="Z176" s="3"/>
    </row>
    <row r="177" ht="15.75" customHeight="1">
      <c r="A177" s="793"/>
      <c r="B177" s="794" t="s">
        <v>17866</v>
      </c>
      <c r="C177" s="794" t="s">
        <v>17867</v>
      </c>
      <c r="D177" s="794" t="s">
        <v>17868</v>
      </c>
      <c r="E177" s="794" t="s">
        <v>12445</v>
      </c>
      <c r="F177" s="794" t="s">
        <v>29</v>
      </c>
      <c r="G177" s="794" t="s">
        <v>15193</v>
      </c>
      <c r="H177" s="794"/>
      <c r="I177" s="794" t="s">
        <v>17712</v>
      </c>
      <c r="J177" s="799">
        <f>509+9+10</f>
        <v>528</v>
      </c>
      <c r="K177" s="794"/>
      <c r="L177" s="794"/>
      <c r="M177" s="794" t="s">
        <v>17453</v>
      </c>
      <c r="N177" s="795">
        <v>1988.0</v>
      </c>
      <c r="O177" s="794" t="s">
        <v>388</v>
      </c>
      <c r="P177" s="794">
        <v>1.0</v>
      </c>
      <c r="Q177" s="3"/>
      <c r="R177" s="3"/>
      <c r="S177" s="3"/>
      <c r="T177" s="3"/>
      <c r="U177" s="3"/>
      <c r="V177" s="3"/>
      <c r="W177" s="3"/>
      <c r="X177" s="3"/>
      <c r="Y177" s="3"/>
      <c r="Z177" s="3"/>
    </row>
    <row r="178" ht="15.75" customHeight="1">
      <c r="A178" s="793"/>
      <c r="B178" s="794"/>
      <c r="C178" s="794" t="s">
        <v>17869</v>
      </c>
      <c r="D178" s="794" t="s">
        <v>17870</v>
      </c>
      <c r="E178" s="794" t="s">
        <v>12445</v>
      </c>
      <c r="F178" s="794" t="s">
        <v>29</v>
      </c>
      <c r="G178" s="794" t="s">
        <v>15646</v>
      </c>
      <c r="H178" s="794"/>
      <c r="I178" s="794" t="s">
        <v>17284</v>
      </c>
      <c r="J178" s="794"/>
      <c r="K178" s="794"/>
      <c r="L178" s="794"/>
      <c r="M178" s="794" t="s">
        <v>17287</v>
      </c>
      <c r="N178" s="795">
        <v>1989.0</v>
      </c>
      <c r="O178" s="794" t="s">
        <v>388</v>
      </c>
      <c r="P178" s="794">
        <v>1.0</v>
      </c>
      <c r="Q178" s="3"/>
      <c r="R178" s="3"/>
      <c r="S178" s="3"/>
      <c r="T178" s="3"/>
      <c r="U178" s="3"/>
      <c r="V178" s="3"/>
      <c r="W178" s="3"/>
      <c r="X178" s="3"/>
      <c r="Y178" s="3"/>
      <c r="Z178" s="3"/>
    </row>
    <row r="179" ht="15.75" customHeight="1">
      <c r="A179" s="793"/>
      <c r="B179" s="794"/>
      <c r="C179" s="794" t="s">
        <v>17871</v>
      </c>
      <c r="D179" s="794" t="s">
        <v>17872</v>
      </c>
      <c r="E179" s="794" t="s">
        <v>12445</v>
      </c>
      <c r="F179" s="794" t="s">
        <v>29</v>
      </c>
      <c r="G179" s="794" t="s">
        <v>7816</v>
      </c>
      <c r="H179" s="794"/>
      <c r="I179" s="794" t="s">
        <v>7816</v>
      </c>
      <c r="J179" s="799">
        <f>409+2+130</f>
        <v>541</v>
      </c>
      <c r="K179" s="794"/>
      <c r="L179" s="794"/>
      <c r="M179" s="794" t="s">
        <v>7817</v>
      </c>
      <c r="N179" s="795">
        <v>1975.0</v>
      </c>
      <c r="O179" s="794" t="s">
        <v>388</v>
      </c>
      <c r="P179" s="794">
        <v>1.0</v>
      </c>
      <c r="Q179" s="3"/>
      <c r="R179" s="3"/>
      <c r="S179" s="3"/>
      <c r="T179" s="3"/>
      <c r="U179" s="3"/>
      <c r="V179" s="3"/>
      <c r="W179" s="3"/>
      <c r="X179" s="3"/>
      <c r="Y179" s="3"/>
      <c r="Z179" s="3"/>
    </row>
    <row r="180" ht="15.75" customHeight="1">
      <c r="A180" s="793"/>
      <c r="B180" s="794" t="s">
        <v>17873</v>
      </c>
      <c r="C180" s="794" t="s">
        <v>17874</v>
      </c>
      <c r="D180" s="794" t="s">
        <v>17875</v>
      </c>
      <c r="E180" s="794" t="s">
        <v>12445</v>
      </c>
      <c r="F180" s="794" t="s">
        <v>29</v>
      </c>
      <c r="G180" s="794" t="s">
        <v>7816</v>
      </c>
      <c r="H180" s="794"/>
      <c r="I180" s="794" t="s">
        <v>7816</v>
      </c>
      <c r="J180" s="799">
        <f>885+4+256+6</f>
        <v>1151</v>
      </c>
      <c r="K180" s="794"/>
      <c r="L180" s="794"/>
      <c r="M180" s="794" t="s">
        <v>7817</v>
      </c>
      <c r="N180" s="795">
        <v>1988.0</v>
      </c>
      <c r="O180" s="794" t="s">
        <v>388</v>
      </c>
      <c r="P180" s="794">
        <v>1.0</v>
      </c>
      <c r="Q180" s="3"/>
      <c r="R180" s="3"/>
      <c r="S180" s="3"/>
      <c r="T180" s="3"/>
      <c r="U180" s="3"/>
      <c r="V180" s="3"/>
      <c r="W180" s="3"/>
      <c r="X180" s="3"/>
      <c r="Y180" s="3"/>
      <c r="Z180" s="3"/>
    </row>
    <row r="181" ht="15.75" customHeight="1">
      <c r="A181" s="793"/>
      <c r="B181" s="794" t="s">
        <v>17876</v>
      </c>
      <c r="C181" s="794" t="s">
        <v>17877</v>
      </c>
      <c r="D181" s="794" t="s">
        <v>17878</v>
      </c>
      <c r="E181" s="794" t="s">
        <v>2355</v>
      </c>
      <c r="F181" s="794" t="s">
        <v>29</v>
      </c>
      <c r="G181" s="794" t="s">
        <v>37</v>
      </c>
      <c r="H181" s="794"/>
      <c r="I181" s="794" t="s">
        <v>38</v>
      </c>
      <c r="J181" s="799">
        <v>1626.0</v>
      </c>
      <c r="K181" s="794"/>
      <c r="L181" s="794"/>
      <c r="M181" s="794" t="s">
        <v>3841</v>
      </c>
      <c r="N181" s="795">
        <v>1985.0</v>
      </c>
      <c r="O181" s="794" t="s">
        <v>388</v>
      </c>
      <c r="P181" s="794">
        <v>1.0</v>
      </c>
      <c r="Q181" s="3"/>
      <c r="R181" s="3"/>
      <c r="S181" s="3"/>
      <c r="T181" s="3"/>
      <c r="U181" s="3"/>
      <c r="V181" s="3"/>
      <c r="W181" s="3"/>
      <c r="X181" s="3"/>
      <c r="Y181" s="3"/>
      <c r="Z181" s="3"/>
    </row>
    <row r="182" ht="15.75" customHeight="1">
      <c r="A182" s="100"/>
      <c r="B182" s="101"/>
      <c r="C182" s="801" t="s">
        <v>17879</v>
      </c>
      <c r="D182" s="101" t="s">
        <v>17880</v>
      </c>
      <c r="E182" s="101" t="s">
        <v>15035</v>
      </c>
      <c r="F182" s="101" t="s">
        <v>29</v>
      </c>
      <c r="G182" s="101" t="s">
        <v>15079</v>
      </c>
      <c r="H182" s="101"/>
      <c r="I182" s="101" t="s">
        <v>17765</v>
      </c>
      <c r="J182" s="100">
        <f>857+6</f>
        <v>863</v>
      </c>
      <c r="K182" s="101"/>
      <c r="L182" s="101"/>
      <c r="M182" s="101" t="s">
        <v>17881</v>
      </c>
      <c r="N182" s="802">
        <v>1976.0</v>
      </c>
      <c r="O182" s="801">
        <v>30.0</v>
      </c>
      <c r="P182" s="101">
        <v>1.0</v>
      </c>
      <c r="Q182" s="8">
        <v>1.0</v>
      </c>
      <c r="R182" s="3"/>
      <c r="S182" s="3"/>
      <c r="T182" s="3"/>
      <c r="U182" s="3"/>
      <c r="V182" s="3"/>
      <c r="W182" s="3"/>
      <c r="X182" s="3"/>
      <c r="Y182" s="3"/>
      <c r="Z182" s="3"/>
    </row>
    <row r="183" ht="15.75" customHeight="1">
      <c r="A183" s="803"/>
      <c r="B183" s="804" t="s">
        <v>17882</v>
      </c>
      <c r="C183" s="794" t="s">
        <v>17883</v>
      </c>
      <c r="D183" s="794" t="s">
        <v>17884</v>
      </c>
      <c r="E183" s="794" t="s">
        <v>2355</v>
      </c>
      <c r="F183" s="794" t="s">
        <v>29</v>
      </c>
      <c r="G183" s="794" t="s">
        <v>81</v>
      </c>
      <c r="H183" s="794"/>
      <c r="I183" s="794" t="s">
        <v>38</v>
      </c>
      <c r="J183" s="799">
        <f>1846+6</f>
        <v>1852</v>
      </c>
      <c r="K183" s="794"/>
      <c r="L183" s="794"/>
      <c r="M183" s="794" t="s">
        <v>16077</v>
      </c>
      <c r="N183" s="795">
        <v>2007.0</v>
      </c>
      <c r="O183" s="794" t="s">
        <v>388</v>
      </c>
      <c r="P183" s="794">
        <v>1.0</v>
      </c>
      <c r="Q183" s="3"/>
      <c r="R183" s="3"/>
      <c r="S183" s="3"/>
      <c r="T183" s="3"/>
      <c r="U183" s="3"/>
      <c r="V183" s="3"/>
      <c r="W183" s="3"/>
      <c r="X183" s="3"/>
      <c r="Y183" s="3"/>
      <c r="Z183" s="3"/>
    </row>
    <row r="184" ht="15.75" customHeight="1">
      <c r="A184" s="793"/>
      <c r="B184" s="794" t="s">
        <v>17885</v>
      </c>
      <c r="C184" s="794" t="s">
        <v>17886</v>
      </c>
      <c r="D184" s="794" t="s">
        <v>17887</v>
      </c>
      <c r="E184" s="794" t="s">
        <v>12445</v>
      </c>
      <c r="F184" s="794" t="s">
        <v>29</v>
      </c>
      <c r="G184" s="794" t="s">
        <v>6354</v>
      </c>
      <c r="H184" s="794"/>
      <c r="I184" s="794" t="s">
        <v>38</v>
      </c>
      <c r="J184" s="799">
        <f>682+8</f>
        <v>690</v>
      </c>
      <c r="K184" s="794"/>
      <c r="L184" s="794"/>
      <c r="M184" s="794" t="s">
        <v>16073</v>
      </c>
      <c r="N184" s="795">
        <v>1988.0</v>
      </c>
      <c r="O184" s="794" t="s">
        <v>388</v>
      </c>
      <c r="P184" s="794">
        <v>1.0</v>
      </c>
      <c r="Q184" s="3"/>
      <c r="R184" s="3"/>
      <c r="S184" s="3"/>
      <c r="T184" s="3"/>
      <c r="U184" s="3"/>
      <c r="V184" s="3"/>
      <c r="W184" s="3"/>
      <c r="X184" s="3"/>
      <c r="Y184" s="3"/>
      <c r="Z184" s="3"/>
    </row>
    <row r="185" ht="15.75" customHeight="1">
      <c r="A185" s="793"/>
      <c r="B185" s="794"/>
      <c r="C185" s="794" t="s">
        <v>17888</v>
      </c>
      <c r="D185" s="794" t="s">
        <v>17889</v>
      </c>
      <c r="E185" s="794" t="s">
        <v>12445</v>
      </c>
      <c r="F185" s="794" t="s">
        <v>29</v>
      </c>
      <c r="G185" s="794" t="s">
        <v>7816</v>
      </c>
      <c r="H185" s="794"/>
      <c r="I185" s="794" t="s">
        <v>38</v>
      </c>
      <c r="J185" s="799">
        <f>769+10</f>
        <v>779</v>
      </c>
      <c r="K185" s="794"/>
      <c r="L185" s="794"/>
      <c r="M185" s="794" t="s">
        <v>7817</v>
      </c>
      <c r="N185" s="795">
        <v>1988.0</v>
      </c>
      <c r="O185" s="794" t="s">
        <v>388</v>
      </c>
      <c r="P185" s="794">
        <v>1.0</v>
      </c>
      <c r="Q185" s="3"/>
      <c r="R185" s="3"/>
      <c r="S185" s="3"/>
      <c r="T185" s="3"/>
      <c r="U185" s="3"/>
      <c r="V185" s="3"/>
      <c r="W185" s="3"/>
      <c r="X185" s="3"/>
      <c r="Y185" s="3"/>
      <c r="Z185" s="3"/>
    </row>
    <row r="186" ht="15.75" customHeight="1">
      <c r="A186" s="793"/>
      <c r="B186" s="794" t="s">
        <v>17890</v>
      </c>
      <c r="C186" s="794" t="s">
        <v>17891</v>
      </c>
      <c r="D186" s="794" t="s">
        <v>17892</v>
      </c>
      <c r="E186" s="794" t="s">
        <v>12445</v>
      </c>
      <c r="F186" s="794" t="s">
        <v>29</v>
      </c>
      <c r="G186" s="794" t="s">
        <v>17893</v>
      </c>
      <c r="H186" s="794"/>
      <c r="I186" s="794" t="s">
        <v>38</v>
      </c>
      <c r="J186" s="799">
        <f>531+6</f>
        <v>537</v>
      </c>
      <c r="K186" s="794"/>
      <c r="L186" s="794"/>
      <c r="M186" s="794" t="s">
        <v>2953</v>
      </c>
      <c r="N186" s="795">
        <v>1993.0</v>
      </c>
      <c r="O186" s="794" t="s">
        <v>388</v>
      </c>
      <c r="P186" s="794">
        <v>1.0</v>
      </c>
      <c r="Q186" s="3"/>
      <c r="R186" s="3"/>
      <c r="S186" s="3"/>
      <c r="T186" s="3"/>
      <c r="U186" s="3"/>
      <c r="V186" s="3"/>
      <c r="W186" s="3"/>
      <c r="X186" s="3"/>
      <c r="Y186" s="3"/>
      <c r="Z186" s="3"/>
    </row>
    <row r="187" ht="15.75" customHeight="1">
      <c r="A187" s="793"/>
      <c r="B187" s="794" t="s">
        <v>17894</v>
      </c>
      <c r="C187" s="794" t="s">
        <v>17895</v>
      </c>
      <c r="D187" s="794" t="s">
        <v>17896</v>
      </c>
      <c r="E187" s="794" t="s">
        <v>12445</v>
      </c>
      <c r="F187" s="794" t="s">
        <v>29</v>
      </c>
      <c r="G187" s="794" t="s">
        <v>4836</v>
      </c>
      <c r="H187" s="794"/>
      <c r="I187" s="794" t="s">
        <v>38</v>
      </c>
      <c r="J187" s="799">
        <f>289+10</f>
        <v>299</v>
      </c>
      <c r="K187" s="794"/>
      <c r="L187" s="794"/>
      <c r="M187" s="794" t="s">
        <v>15479</v>
      </c>
      <c r="N187" s="795">
        <v>2012.0</v>
      </c>
      <c r="O187" s="794" t="s">
        <v>388</v>
      </c>
      <c r="P187" s="794">
        <v>1.0</v>
      </c>
      <c r="Q187" s="3"/>
      <c r="R187" s="3"/>
      <c r="S187" s="3"/>
      <c r="T187" s="3"/>
      <c r="U187" s="3"/>
      <c r="V187" s="3"/>
      <c r="W187" s="3"/>
      <c r="X187" s="3"/>
      <c r="Y187" s="3"/>
      <c r="Z187" s="3"/>
    </row>
    <row r="188" ht="15.75" customHeight="1">
      <c r="A188" s="793"/>
      <c r="B188" s="794" t="s">
        <v>17897</v>
      </c>
      <c r="C188" s="794" t="s">
        <v>17898</v>
      </c>
      <c r="D188" s="794" t="s">
        <v>16128</v>
      </c>
      <c r="E188" s="794" t="s">
        <v>2355</v>
      </c>
      <c r="F188" s="794" t="s">
        <v>29</v>
      </c>
      <c r="G188" s="794" t="s">
        <v>5395</v>
      </c>
      <c r="H188" s="794"/>
      <c r="I188" s="794" t="s">
        <v>38</v>
      </c>
      <c r="J188" s="799">
        <f>191+7</f>
        <v>198</v>
      </c>
      <c r="K188" s="794"/>
      <c r="L188" s="794"/>
      <c r="M188" s="794" t="s">
        <v>16129</v>
      </c>
      <c r="N188" s="795">
        <v>2007.0</v>
      </c>
      <c r="O188" s="794" t="s">
        <v>388</v>
      </c>
      <c r="P188" s="794">
        <v>1.0</v>
      </c>
      <c r="Q188" s="3"/>
      <c r="R188" s="3"/>
      <c r="S188" s="3"/>
      <c r="T188" s="3"/>
      <c r="U188" s="3"/>
      <c r="V188" s="3"/>
      <c r="W188" s="3"/>
      <c r="X188" s="3"/>
      <c r="Y188" s="3"/>
      <c r="Z188" s="3"/>
    </row>
    <row r="189" ht="15.75" customHeight="1">
      <c r="A189" s="793"/>
      <c r="B189" s="794" t="s">
        <v>16122</v>
      </c>
      <c r="C189" s="794" t="s">
        <v>17899</v>
      </c>
      <c r="D189" s="794" t="s">
        <v>17900</v>
      </c>
      <c r="E189" s="794" t="s">
        <v>12445</v>
      </c>
      <c r="F189" s="794" t="s">
        <v>29</v>
      </c>
      <c r="G189" s="794" t="s">
        <v>81</v>
      </c>
      <c r="H189" s="794"/>
      <c r="I189" s="794" t="s">
        <v>38</v>
      </c>
      <c r="J189" s="799">
        <f>14+560</f>
        <v>574</v>
      </c>
      <c r="K189" s="794"/>
      <c r="L189" s="794"/>
      <c r="M189" s="794" t="s">
        <v>17901</v>
      </c>
      <c r="N189" s="795">
        <v>1994.0</v>
      </c>
      <c r="O189" s="794" t="s">
        <v>388</v>
      </c>
      <c r="P189" s="794">
        <v>1.0</v>
      </c>
      <c r="Q189" s="3"/>
      <c r="R189" s="3"/>
      <c r="S189" s="3"/>
      <c r="T189" s="3"/>
      <c r="U189" s="3"/>
      <c r="V189" s="3"/>
      <c r="W189" s="3"/>
      <c r="X189" s="3"/>
      <c r="Y189" s="3"/>
      <c r="Z189" s="3"/>
    </row>
    <row r="190" ht="15.75" customHeight="1">
      <c r="A190" s="793"/>
      <c r="B190" s="794" t="s">
        <v>15905</v>
      </c>
      <c r="C190" s="794" t="s">
        <v>17902</v>
      </c>
      <c r="D190" s="794" t="s">
        <v>17903</v>
      </c>
      <c r="E190" s="794" t="s">
        <v>2355</v>
      </c>
      <c r="F190" s="794" t="s">
        <v>29</v>
      </c>
      <c r="G190" s="794" t="s">
        <v>37</v>
      </c>
      <c r="H190" s="794"/>
      <c r="I190" s="794" t="s">
        <v>38</v>
      </c>
      <c r="J190" s="799">
        <f>758+10</f>
        <v>768</v>
      </c>
      <c r="K190" s="794"/>
      <c r="L190" s="794"/>
      <c r="M190" s="794" t="s">
        <v>4033</v>
      </c>
      <c r="N190" s="795">
        <v>1991.0</v>
      </c>
      <c r="O190" s="794" t="s">
        <v>388</v>
      </c>
      <c r="P190" s="794">
        <v>1.0</v>
      </c>
      <c r="Q190" s="3"/>
      <c r="R190" s="3"/>
      <c r="S190" s="3"/>
      <c r="T190" s="3"/>
      <c r="U190" s="3"/>
      <c r="V190" s="3"/>
      <c r="W190" s="3"/>
      <c r="X190" s="3"/>
      <c r="Y190" s="3"/>
      <c r="Z190" s="3"/>
    </row>
    <row r="191" ht="15.75" customHeight="1">
      <c r="A191" s="793"/>
      <c r="B191" s="794" t="s">
        <v>17270</v>
      </c>
      <c r="C191" s="794" t="s">
        <v>17271</v>
      </c>
      <c r="D191" s="794" t="s">
        <v>17904</v>
      </c>
      <c r="E191" s="794" t="s">
        <v>2355</v>
      </c>
      <c r="F191" s="794" t="s">
        <v>29</v>
      </c>
      <c r="G191" s="794" t="s">
        <v>17236</v>
      </c>
      <c r="H191" s="794"/>
      <c r="I191" s="794" t="s">
        <v>17273</v>
      </c>
      <c r="J191" s="799">
        <f>1208+4</f>
        <v>1212</v>
      </c>
      <c r="K191" s="794"/>
      <c r="L191" s="794"/>
      <c r="M191" s="794" t="s">
        <v>17905</v>
      </c>
      <c r="N191" s="795">
        <v>2013.0</v>
      </c>
      <c r="O191" s="794" t="s">
        <v>388</v>
      </c>
      <c r="P191" s="794">
        <v>1.0</v>
      </c>
      <c r="Q191" s="3"/>
      <c r="R191" s="3"/>
      <c r="S191" s="3"/>
      <c r="T191" s="3"/>
      <c r="U191" s="3"/>
      <c r="V191" s="3"/>
      <c r="W191" s="3"/>
      <c r="X191" s="3"/>
      <c r="Y191" s="3"/>
      <c r="Z191" s="3"/>
    </row>
    <row r="192" ht="15.75" customHeight="1">
      <c r="A192" s="793"/>
      <c r="B192" s="794" t="s">
        <v>15753</v>
      </c>
      <c r="C192" s="794" t="s">
        <v>17906</v>
      </c>
      <c r="D192" s="794" t="s">
        <v>17907</v>
      </c>
      <c r="E192" s="794" t="s">
        <v>2355</v>
      </c>
      <c r="F192" s="794" t="s">
        <v>29</v>
      </c>
      <c r="G192" s="794" t="s">
        <v>127</v>
      </c>
      <c r="H192" s="794"/>
      <c r="I192" s="794" t="s">
        <v>6454</v>
      </c>
      <c r="J192" s="799">
        <f>1581+2+1+469</f>
        <v>2053</v>
      </c>
      <c r="K192" s="794"/>
      <c r="L192" s="794"/>
      <c r="M192" s="794" t="s">
        <v>17908</v>
      </c>
      <c r="N192" s="795">
        <v>2012.0</v>
      </c>
      <c r="O192" s="794" t="s">
        <v>388</v>
      </c>
      <c r="P192" s="794">
        <v>1.0</v>
      </c>
      <c r="Q192" s="3"/>
      <c r="R192" s="3"/>
      <c r="S192" s="3"/>
      <c r="T192" s="3"/>
      <c r="U192" s="3"/>
      <c r="V192" s="3"/>
      <c r="W192" s="3"/>
      <c r="X192" s="3"/>
      <c r="Y192" s="3"/>
      <c r="Z192" s="3"/>
    </row>
    <row r="193" ht="15.75" customHeight="1">
      <c r="A193" s="793"/>
      <c r="B193" s="794"/>
      <c r="C193" s="794" t="s">
        <v>17909</v>
      </c>
      <c r="D193" s="794" t="s">
        <v>17910</v>
      </c>
      <c r="E193" s="794" t="s">
        <v>2355</v>
      </c>
      <c r="F193" s="794" t="s">
        <v>29</v>
      </c>
      <c r="G193" s="794" t="s">
        <v>6454</v>
      </c>
      <c r="H193" s="794"/>
      <c r="I193" s="794" t="s">
        <v>6454</v>
      </c>
      <c r="J193" s="799"/>
      <c r="K193" s="794" t="s">
        <v>15372</v>
      </c>
      <c r="L193" s="794"/>
      <c r="M193" s="794" t="s">
        <v>17911</v>
      </c>
      <c r="N193" s="795">
        <v>2008.0</v>
      </c>
      <c r="O193" s="794" t="s">
        <v>388</v>
      </c>
      <c r="P193" s="794">
        <v>1.0</v>
      </c>
      <c r="Q193" s="3"/>
      <c r="R193" s="3"/>
      <c r="S193" s="3"/>
      <c r="T193" s="3"/>
      <c r="U193" s="3"/>
      <c r="V193" s="3"/>
      <c r="W193" s="3"/>
      <c r="X193" s="3"/>
      <c r="Y193" s="3"/>
      <c r="Z193" s="3"/>
    </row>
    <row r="194" ht="15.75" customHeight="1">
      <c r="A194" s="793"/>
      <c r="B194" s="794" t="s">
        <v>16209</v>
      </c>
      <c r="C194" s="794" t="s">
        <v>17912</v>
      </c>
      <c r="D194" s="794" t="s">
        <v>17913</v>
      </c>
      <c r="E194" s="794" t="s">
        <v>2355</v>
      </c>
      <c r="F194" s="794" t="s">
        <v>29</v>
      </c>
      <c r="G194" s="794" t="s">
        <v>37</v>
      </c>
      <c r="H194" s="794"/>
      <c r="I194" s="794" t="s">
        <v>38</v>
      </c>
      <c r="J194" s="799">
        <f>2293+3+725+2+8</f>
        <v>3031</v>
      </c>
      <c r="K194" s="794" t="s">
        <v>17914</v>
      </c>
      <c r="L194" s="794"/>
      <c r="M194" s="794" t="s">
        <v>4836</v>
      </c>
      <c r="N194" s="795"/>
      <c r="O194" s="794" t="s">
        <v>388</v>
      </c>
      <c r="P194" s="794">
        <v>1.0</v>
      </c>
      <c r="Q194" s="3"/>
      <c r="R194" s="3"/>
      <c r="S194" s="3"/>
      <c r="T194" s="3"/>
      <c r="U194" s="3"/>
      <c r="V194" s="3"/>
      <c r="W194" s="3"/>
      <c r="X194" s="3"/>
      <c r="Y194" s="3"/>
      <c r="Z194" s="3"/>
    </row>
    <row r="195" ht="15.75" customHeight="1">
      <c r="A195" s="793"/>
      <c r="B195" s="805"/>
      <c r="C195" s="806" t="s">
        <v>17915</v>
      </c>
      <c r="D195" s="807" t="s">
        <v>17916</v>
      </c>
      <c r="E195" s="807" t="s">
        <v>2355</v>
      </c>
      <c r="F195" s="807" t="s">
        <v>29</v>
      </c>
      <c r="G195" s="807" t="s">
        <v>17399</v>
      </c>
      <c r="H195" s="805"/>
      <c r="I195" s="807" t="s">
        <v>17917</v>
      </c>
      <c r="J195" s="808"/>
      <c r="K195" s="807" t="s">
        <v>17918</v>
      </c>
      <c r="L195" s="805"/>
      <c r="M195" s="807" t="s">
        <v>2233</v>
      </c>
      <c r="N195" s="809">
        <v>1985.0</v>
      </c>
      <c r="O195" s="805"/>
      <c r="P195" s="807">
        <v>1.0</v>
      </c>
      <c r="Q195" s="3"/>
      <c r="R195" s="3"/>
      <c r="S195" s="3"/>
      <c r="T195" s="3"/>
      <c r="U195" s="3"/>
      <c r="V195" s="3"/>
      <c r="W195" s="3"/>
      <c r="X195" s="3"/>
      <c r="Y195" s="3"/>
      <c r="Z195" s="3"/>
    </row>
    <row r="196" ht="15.75" customHeight="1">
      <c r="A196" s="803"/>
      <c r="B196" s="805"/>
      <c r="C196" s="807" t="s">
        <v>17919</v>
      </c>
      <c r="D196" s="805"/>
      <c r="E196" s="807" t="s">
        <v>12445</v>
      </c>
      <c r="F196" s="807" t="s">
        <v>29</v>
      </c>
      <c r="G196" s="805"/>
      <c r="H196" s="805"/>
      <c r="I196" s="805"/>
      <c r="J196" s="808"/>
      <c r="K196" s="805"/>
      <c r="L196" s="805"/>
      <c r="M196" s="805"/>
      <c r="N196" s="810"/>
      <c r="O196" s="805"/>
      <c r="P196" s="807">
        <v>1.0</v>
      </c>
      <c r="Q196" s="627"/>
      <c r="R196" s="627"/>
      <c r="S196" s="627"/>
      <c r="T196" s="627"/>
      <c r="U196" s="627"/>
      <c r="V196" s="627"/>
      <c r="W196" s="627"/>
      <c r="X196" s="627"/>
      <c r="Y196" s="627"/>
      <c r="Z196" s="627"/>
    </row>
    <row r="197" ht="15.75" customHeight="1">
      <c r="A197" s="803"/>
      <c r="B197" s="805"/>
      <c r="C197" s="807" t="s">
        <v>17920</v>
      </c>
      <c r="D197" s="805"/>
      <c r="E197" s="807" t="s">
        <v>12445</v>
      </c>
      <c r="F197" s="807" t="s">
        <v>29</v>
      </c>
      <c r="G197" s="805"/>
      <c r="H197" s="805"/>
      <c r="I197" s="805"/>
      <c r="J197" s="808"/>
      <c r="K197" s="805"/>
      <c r="L197" s="805"/>
      <c r="M197" s="805"/>
      <c r="N197" s="810"/>
      <c r="O197" s="805"/>
      <c r="P197" s="807">
        <v>1.0</v>
      </c>
      <c r="Q197" s="627"/>
      <c r="R197" s="627"/>
      <c r="S197" s="627"/>
      <c r="T197" s="627"/>
      <c r="U197" s="627"/>
      <c r="V197" s="627"/>
      <c r="W197" s="627"/>
      <c r="X197" s="627"/>
      <c r="Y197" s="627"/>
      <c r="Z197" s="627"/>
    </row>
    <row r="198" ht="15.75" customHeight="1">
      <c r="A198" s="803"/>
      <c r="B198" s="805"/>
      <c r="C198" s="807" t="s">
        <v>17921</v>
      </c>
      <c r="D198" s="805"/>
      <c r="E198" s="807" t="s">
        <v>2355</v>
      </c>
      <c r="F198" s="807" t="s">
        <v>29</v>
      </c>
      <c r="G198" s="805"/>
      <c r="H198" s="805"/>
      <c r="I198" s="805"/>
      <c r="J198" s="808"/>
      <c r="K198" s="805"/>
      <c r="L198" s="805"/>
      <c r="M198" s="805"/>
      <c r="N198" s="810"/>
      <c r="O198" s="805"/>
      <c r="P198" s="807">
        <v>1.0</v>
      </c>
      <c r="Q198" s="627"/>
      <c r="R198" s="627"/>
      <c r="S198" s="627"/>
      <c r="T198" s="627"/>
      <c r="U198" s="627"/>
      <c r="V198" s="627"/>
      <c r="W198" s="627"/>
      <c r="X198" s="627"/>
      <c r="Y198" s="627"/>
      <c r="Z198" s="627"/>
    </row>
    <row r="199" ht="15.75" customHeight="1">
      <c r="A199" s="803"/>
      <c r="B199" s="811"/>
      <c r="C199" s="807" t="s">
        <v>17922</v>
      </c>
      <c r="D199" s="807" t="s">
        <v>17923</v>
      </c>
      <c r="E199" s="807" t="s">
        <v>12445</v>
      </c>
      <c r="F199" s="807" t="s">
        <v>29</v>
      </c>
      <c r="G199" s="807" t="s">
        <v>6968</v>
      </c>
      <c r="H199" s="805"/>
      <c r="I199" s="807" t="s">
        <v>17924</v>
      </c>
      <c r="J199" s="812">
        <v>293.0</v>
      </c>
      <c r="K199" s="805"/>
      <c r="L199" s="805"/>
      <c r="M199" s="807" t="s">
        <v>17925</v>
      </c>
      <c r="N199" s="809">
        <v>1983.0</v>
      </c>
      <c r="O199" s="805"/>
      <c r="P199" s="807">
        <v>1.0</v>
      </c>
      <c r="Q199" s="627"/>
      <c r="R199" s="627"/>
      <c r="S199" s="627"/>
      <c r="T199" s="627"/>
      <c r="U199" s="627"/>
      <c r="V199" s="627"/>
      <c r="W199" s="627"/>
      <c r="X199" s="627"/>
      <c r="Y199" s="627"/>
      <c r="Z199" s="627"/>
    </row>
    <row r="200" ht="15.75" customHeight="1">
      <c r="A200" s="793"/>
      <c r="B200" s="433" t="s">
        <v>17926</v>
      </c>
      <c r="C200" s="444" t="s">
        <v>17927</v>
      </c>
      <c r="D200" s="433" t="s">
        <v>17928</v>
      </c>
      <c r="E200" s="433"/>
      <c r="F200" s="433"/>
      <c r="G200" s="433" t="s">
        <v>6354</v>
      </c>
      <c r="H200" s="433"/>
      <c r="I200" s="433" t="s">
        <v>17929</v>
      </c>
      <c r="J200" s="433"/>
      <c r="K200" s="433" t="s">
        <v>15211</v>
      </c>
      <c r="L200" s="433"/>
      <c r="M200" s="433" t="s">
        <v>15971</v>
      </c>
      <c r="N200" s="433">
        <v>1987.0</v>
      </c>
      <c r="O200" s="433" t="s">
        <v>388</v>
      </c>
      <c r="P200" s="449">
        <v>1.0</v>
      </c>
      <c r="Q200" s="3"/>
      <c r="R200" s="3"/>
      <c r="S200" s="3"/>
      <c r="T200" s="3"/>
      <c r="U200" s="3"/>
      <c r="V200" s="3"/>
      <c r="W200" s="3"/>
      <c r="X200" s="3"/>
      <c r="Y200" s="3"/>
      <c r="Z200" s="3"/>
    </row>
    <row r="201" ht="15.75" customHeight="1">
      <c r="A201" s="793"/>
      <c r="B201" s="433" t="s">
        <v>31</v>
      </c>
      <c r="C201" s="444" t="s">
        <v>17930</v>
      </c>
      <c r="D201" s="433" t="s">
        <v>17931</v>
      </c>
      <c r="E201" s="433"/>
      <c r="F201" s="433"/>
      <c r="G201" s="444" t="s">
        <v>17582</v>
      </c>
      <c r="H201" s="433"/>
      <c r="I201" s="433" t="s">
        <v>17932</v>
      </c>
      <c r="J201" s="433">
        <v>1154.0</v>
      </c>
      <c r="K201" s="433" t="s">
        <v>31</v>
      </c>
      <c r="L201" s="433"/>
      <c r="M201" s="433" t="s">
        <v>17135</v>
      </c>
      <c r="N201" s="433" t="s">
        <v>31</v>
      </c>
      <c r="O201" s="433" t="s">
        <v>388</v>
      </c>
      <c r="P201" s="449">
        <v>1.0</v>
      </c>
      <c r="Q201" s="3"/>
      <c r="R201" s="3"/>
      <c r="S201" s="3"/>
      <c r="T201" s="3"/>
      <c r="U201" s="3"/>
      <c r="V201" s="3"/>
      <c r="W201" s="3"/>
      <c r="X201" s="3"/>
      <c r="Y201" s="3"/>
      <c r="Z201" s="3"/>
    </row>
    <row r="202" ht="15.75" customHeight="1">
      <c r="A202" s="793"/>
      <c r="B202" s="433" t="s">
        <v>31</v>
      </c>
      <c r="C202" s="433" t="s">
        <v>17933</v>
      </c>
      <c r="D202" s="433" t="s">
        <v>17934</v>
      </c>
      <c r="E202" s="433"/>
      <c r="F202" s="433"/>
      <c r="G202" s="433" t="s">
        <v>81</v>
      </c>
      <c r="H202" s="433"/>
      <c r="I202" s="433" t="s">
        <v>17935</v>
      </c>
      <c r="J202" s="433">
        <v>492.0</v>
      </c>
      <c r="K202" s="433" t="s">
        <v>31</v>
      </c>
      <c r="L202" s="433"/>
      <c r="M202" s="433" t="s">
        <v>17936</v>
      </c>
      <c r="N202" s="433">
        <v>1969.0</v>
      </c>
      <c r="O202" s="433" t="s">
        <v>388</v>
      </c>
      <c r="P202" s="449">
        <v>1.0</v>
      </c>
      <c r="Q202" s="3"/>
      <c r="R202" s="3"/>
      <c r="S202" s="3"/>
      <c r="T202" s="3"/>
      <c r="U202" s="3"/>
      <c r="V202" s="3"/>
      <c r="W202" s="3"/>
      <c r="X202" s="3"/>
      <c r="Y202" s="3"/>
      <c r="Z202" s="3"/>
    </row>
    <row r="203" ht="15.75" customHeight="1">
      <c r="A203" s="793"/>
      <c r="B203" s="433" t="s">
        <v>31</v>
      </c>
      <c r="C203" s="433" t="s">
        <v>17937</v>
      </c>
      <c r="D203" s="433" t="s">
        <v>17938</v>
      </c>
      <c r="E203" s="433"/>
      <c r="F203" s="433"/>
      <c r="G203" s="444" t="s">
        <v>17939</v>
      </c>
      <c r="H203" s="433"/>
      <c r="I203" s="433" t="s">
        <v>17940</v>
      </c>
      <c r="J203" s="433">
        <v>1140.0</v>
      </c>
      <c r="K203" s="433" t="s">
        <v>31</v>
      </c>
      <c r="L203" s="433"/>
      <c r="M203" s="433" t="s">
        <v>17135</v>
      </c>
      <c r="N203" s="433">
        <v>1980.0</v>
      </c>
      <c r="O203" s="433" t="s">
        <v>388</v>
      </c>
      <c r="P203" s="449">
        <v>1.0</v>
      </c>
      <c r="Q203" s="3"/>
      <c r="R203" s="3"/>
      <c r="S203" s="3"/>
      <c r="T203" s="3"/>
      <c r="U203" s="3"/>
      <c r="V203" s="3"/>
      <c r="W203" s="3"/>
      <c r="X203" s="3"/>
      <c r="Y203" s="3"/>
      <c r="Z203" s="3"/>
    </row>
    <row r="204" ht="15.75" customHeight="1">
      <c r="A204" s="793"/>
      <c r="B204" s="433" t="s">
        <v>31</v>
      </c>
      <c r="C204" s="433" t="s">
        <v>17941</v>
      </c>
      <c r="D204" s="433" t="s">
        <v>17938</v>
      </c>
      <c r="E204" s="433"/>
      <c r="F204" s="433"/>
      <c r="G204" s="444" t="s">
        <v>17939</v>
      </c>
      <c r="H204" s="433"/>
      <c r="I204" s="433" t="s">
        <v>17940</v>
      </c>
      <c r="J204" s="433">
        <v>1140.0</v>
      </c>
      <c r="K204" s="433" t="s">
        <v>31</v>
      </c>
      <c r="L204" s="433"/>
      <c r="M204" s="433" t="s">
        <v>17135</v>
      </c>
      <c r="N204" s="433">
        <v>1963.0</v>
      </c>
      <c r="O204" s="433" t="s">
        <v>388</v>
      </c>
      <c r="P204" s="449">
        <v>1.0</v>
      </c>
      <c r="Q204" s="3"/>
      <c r="R204" s="3"/>
      <c r="S204" s="3"/>
      <c r="T204" s="3"/>
      <c r="U204" s="3"/>
      <c r="V204" s="3"/>
      <c r="W204" s="3"/>
      <c r="X204" s="3"/>
      <c r="Y204" s="3"/>
      <c r="Z204" s="3"/>
    </row>
    <row r="205" ht="15.75" customHeight="1">
      <c r="A205" s="793"/>
      <c r="B205" s="813">
        <v>9.781991154705E12</v>
      </c>
      <c r="C205" s="813" t="s">
        <v>17942</v>
      </c>
      <c r="D205" s="813" t="s">
        <v>13859</v>
      </c>
      <c r="E205" s="813" t="s">
        <v>12445</v>
      </c>
      <c r="F205" s="814" t="s">
        <v>29</v>
      </c>
      <c r="G205" s="813" t="s">
        <v>6968</v>
      </c>
      <c r="H205" s="814"/>
      <c r="I205" s="813" t="s">
        <v>38</v>
      </c>
      <c r="J205" s="813">
        <v>500.0</v>
      </c>
      <c r="K205" s="813" t="s">
        <v>17943</v>
      </c>
      <c r="L205" s="814"/>
      <c r="M205" s="813" t="s">
        <v>17944</v>
      </c>
      <c r="N205" s="814"/>
      <c r="O205" s="813" t="s">
        <v>388</v>
      </c>
      <c r="P205" s="813">
        <v>1.0</v>
      </c>
      <c r="Q205" s="3"/>
      <c r="R205" s="3"/>
      <c r="S205" s="3"/>
      <c r="T205" s="3"/>
      <c r="U205" s="3"/>
      <c r="V205" s="3"/>
      <c r="W205" s="3"/>
      <c r="X205" s="3"/>
      <c r="Y205" s="3"/>
      <c r="Z205" s="3"/>
    </row>
    <row r="206" ht="15.75" customHeight="1">
      <c r="A206" s="793"/>
      <c r="B206" s="815"/>
      <c r="C206" s="816" t="s">
        <v>17945</v>
      </c>
      <c r="D206" s="816" t="s">
        <v>17946</v>
      </c>
      <c r="E206" s="816" t="s">
        <v>2355</v>
      </c>
      <c r="F206" s="816" t="s">
        <v>29</v>
      </c>
      <c r="G206" s="816" t="s">
        <v>17939</v>
      </c>
      <c r="H206" s="815"/>
      <c r="I206" s="816" t="s">
        <v>17940</v>
      </c>
      <c r="J206" s="816">
        <v>402.0</v>
      </c>
      <c r="K206" s="816" t="s">
        <v>15211</v>
      </c>
      <c r="L206" s="815"/>
      <c r="M206" s="816" t="s">
        <v>17135</v>
      </c>
      <c r="N206" s="816">
        <v>1969.0</v>
      </c>
      <c r="O206" s="815"/>
      <c r="P206" s="816">
        <v>1.0</v>
      </c>
      <c r="Q206" s="3"/>
      <c r="R206" s="3"/>
      <c r="S206" s="3"/>
      <c r="T206" s="3"/>
      <c r="U206" s="3"/>
      <c r="V206" s="3"/>
      <c r="W206" s="3"/>
      <c r="X206" s="3"/>
      <c r="Y206" s="3"/>
      <c r="Z206" s="3"/>
    </row>
    <row r="207" ht="15.75" customHeight="1">
      <c r="A207" s="793"/>
      <c r="B207" s="817"/>
      <c r="C207" s="818" t="s">
        <v>17947</v>
      </c>
      <c r="D207" s="818" t="s">
        <v>17948</v>
      </c>
      <c r="E207" s="818" t="s">
        <v>12445</v>
      </c>
      <c r="F207" s="818" t="s">
        <v>29</v>
      </c>
      <c r="G207" s="818" t="s">
        <v>15079</v>
      </c>
      <c r="H207" s="817"/>
      <c r="I207" s="818" t="s">
        <v>17949</v>
      </c>
      <c r="J207" s="818">
        <v>379.0</v>
      </c>
      <c r="K207" s="818" t="s">
        <v>15211</v>
      </c>
      <c r="L207" s="817"/>
      <c r="M207" s="818" t="s">
        <v>17950</v>
      </c>
      <c r="N207" s="818">
        <v>1971.0</v>
      </c>
      <c r="O207" s="817"/>
      <c r="P207" s="818">
        <v>1.0</v>
      </c>
      <c r="Q207" s="3"/>
      <c r="R207" s="3"/>
      <c r="S207" s="3"/>
      <c r="T207" s="3"/>
      <c r="U207" s="3"/>
      <c r="V207" s="3"/>
      <c r="W207" s="3"/>
      <c r="X207" s="3"/>
      <c r="Y207" s="3"/>
      <c r="Z207" s="3"/>
    </row>
    <row r="208" ht="15.75" customHeight="1">
      <c r="A208" s="793"/>
      <c r="B208" s="819"/>
      <c r="C208" s="819"/>
      <c r="D208" s="819"/>
      <c r="E208" s="819"/>
      <c r="F208" s="819"/>
      <c r="G208" s="819"/>
      <c r="H208" s="819"/>
      <c r="I208" s="819"/>
      <c r="J208" s="819"/>
      <c r="K208" s="819"/>
      <c r="L208" s="819"/>
      <c r="M208" s="819"/>
      <c r="N208" s="820"/>
      <c r="O208" s="819"/>
      <c r="P208" s="819"/>
      <c r="Q208" s="3"/>
      <c r="R208" s="3"/>
      <c r="S208" s="3"/>
      <c r="T208" s="3"/>
      <c r="U208" s="3"/>
      <c r="V208" s="3"/>
      <c r="W208" s="3"/>
      <c r="X208" s="3"/>
      <c r="Y208" s="3"/>
      <c r="Z208" s="3"/>
    </row>
    <row r="209" ht="15.75" customHeight="1">
      <c r="A209" s="793"/>
      <c r="B209" s="819"/>
      <c r="C209" s="819"/>
      <c r="D209" s="819"/>
      <c r="E209" s="819"/>
      <c r="F209" s="819"/>
      <c r="G209" s="819"/>
      <c r="H209" s="819"/>
      <c r="I209" s="819"/>
      <c r="J209" s="819"/>
      <c r="K209" s="819"/>
      <c r="L209" s="819"/>
      <c r="M209" s="819"/>
      <c r="N209" s="820"/>
      <c r="O209" s="819"/>
      <c r="P209" s="819"/>
      <c r="Q209" s="3"/>
      <c r="R209" s="3"/>
      <c r="S209" s="3"/>
      <c r="T209" s="3"/>
      <c r="U209" s="3"/>
      <c r="V209" s="3"/>
      <c r="W209" s="3"/>
      <c r="X209" s="3"/>
      <c r="Y209" s="3"/>
      <c r="Z209" s="3"/>
    </row>
    <row r="210" ht="15.75" customHeight="1">
      <c r="A210" s="793"/>
      <c r="B210" s="819"/>
      <c r="C210" s="819"/>
      <c r="D210" s="819"/>
      <c r="E210" s="819"/>
      <c r="F210" s="819"/>
      <c r="G210" s="819"/>
      <c r="H210" s="819"/>
      <c r="I210" s="819"/>
      <c r="J210" s="819"/>
      <c r="K210" s="819"/>
      <c r="L210" s="819"/>
      <c r="M210" s="819"/>
      <c r="N210" s="820"/>
      <c r="O210" s="819"/>
      <c r="P210" s="819"/>
      <c r="Q210" s="3"/>
      <c r="R210" s="3"/>
      <c r="S210" s="3"/>
      <c r="T210" s="3"/>
      <c r="U210" s="3"/>
      <c r="V210" s="3"/>
      <c r="W210" s="3"/>
      <c r="X210" s="3"/>
      <c r="Y210" s="3"/>
      <c r="Z210" s="3"/>
    </row>
    <row r="211" ht="15.75" customHeight="1">
      <c r="A211" s="793"/>
      <c r="B211" s="819"/>
      <c r="C211" s="819"/>
      <c r="D211" s="819"/>
      <c r="E211" s="819"/>
      <c r="F211" s="819"/>
      <c r="G211" s="819"/>
      <c r="H211" s="819"/>
      <c r="I211" s="819"/>
      <c r="J211" s="819"/>
      <c r="K211" s="819"/>
      <c r="L211" s="819"/>
      <c r="M211" s="819"/>
      <c r="N211" s="820"/>
      <c r="O211" s="819"/>
      <c r="P211" s="819"/>
      <c r="Q211" s="3"/>
      <c r="R211" s="3"/>
      <c r="S211" s="3"/>
      <c r="T211" s="3"/>
      <c r="U211" s="3"/>
      <c r="V211" s="3"/>
      <c r="W211" s="3"/>
      <c r="X211" s="3"/>
      <c r="Y211" s="3"/>
      <c r="Z211" s="3"/>
    </row>
    <row r="212" ht="15.75" customHeight="1">
      <c r="A212" s="793"/>
      <c r="B212" s="819"/>
      <c r="C212" s="819"/>
      <c r="D212" s="819"/>
      <c r="E212" s="819"/>
      <c r="F212" s="819"/>
      <c r="G212" s="819"/>
      <c r="H212" s="819"/>
      <c r="I212" s="819"/>
      <c r="J212" s="819"/>
      <c r="K212" s="819"/>
      <c r="L212" s="819"/>
      <c r="M212" s="819"/>
      <c r="N212" s="820"/>
      <c r="O212" s="819"/>
      <c r="P212" s="819"/>
      <c r="Q212" s="3"/>
      <c r="R212" s="3"/>
      <c r="S212" s="3"/>
      <c r="T212" s="3"/>
      <c r="U212" s="3"/>
      <c r="V212" s="3"/>
      <c r="W212" s="3"/>
      <c r="X212" s="3"/>
      <c r="Y212" s="3"/>
      <c r="Z212" s="3"/>
    </row>
    <row r="213" ht="15.75" customHeight="1">
      <c r="A213" s="793"/>
      <c r="B213" s="819"/>
      <c r="C213" s="819"/>
      <c r="D213" s="819"/>
      <c r="E213" s="819"/>
      <c r="F213" s="819"/>
      <c r="G213" s="819"/>
      <c r="H213" s="819"/>
      <c r="I213" s="819"/>
      <c r="J213" s="819"/>
      <c r="K213" s="819"/>
      <c r="L213" s="819"/>
      <c r="M213" s="819"/>
      <c r="N213" s="820"/>
      <c r="O213" s="819"/>
      <c r="P213" s="819"/>
      <c r="Q213" s="3"/>
      <c r="R213" s="3"/>
      <c r="S213" s="3"/>
      <c r="T213" s="3"/>
      <c r="U213" s="3"/>
      <c r="V213" s="3"/>
      <c r="W213" s="3"/>
      <c r="X213" s="3"/>
      <c r="Y213" s="3"/>
      <c r="Z213" s="3"/>
    </row>
    <row r="214" ht="15.75" customHeight="1">
      <c r="A214" s="793"/>
      <c r="B214" s="819"/>
      <c r="C214" s="819"/>
      <c r="D214" s="819"/>
      <c r="E214" s="819"/>
      <c r="F214" s="819"/>
      <c r="G214" s="819"/>
      <c r="H214" s="819"/>
      <c r="I214" s="819"/>
      <c r="J214" s="819"/>
      <c r="K214" s="819"/>
      <c r="L214" s="819"/>
      <c r="M214" s="819"/>
      <c r="N214" s="820"/>
      <c r="O214" s="819"/>
      <c r="P214" s="819"/>
      <c r="Q214" s="3"/>
      <c r="R214" s="3"/>
      <c r="S214" s="3"/>
      <c r="T214" s="3"/>
      <c r="U214" s="3"/>
      <c r="V214" s="3"/>
      <c r="W214" s="3"/>
      <c r="X214" s="3"/>
      <c r="Y214" s="3"/>
      <c r="Z214" s="3"/>
    </row>
    <row r="215" ht="15.75" customHeight="1">
      <c r="A215" s="793"/>
      <c r="B215" s="819"/>
      <c r="C215" s="819"/>
      <c r="D215" s="819"/>
      <c r="E215" s="819"/>
      <c r="F215" s="819"/>
      <c r="G215" s="819"/>
      <c r="H215" s="819"/>
      <c r="I215" s="819"/>
      <c r="J215" s="819"/>
      <c r="K215" s="819"/>
      <c r="L215" s="819"/>
      <c r="M215" s="819"/>
      <c r="N215" s="820"/>
      <c r="O215" s="819"/>
      <c r="P215" s="819"/>
      <c r="Q215" s="3"/>
      <c r="R215" s="3"/>
      <c r="S215" s="3"/>
      <c r="T215" s="3"/>
      <c r="U215" s="3"/>
      <c r="V215" s="3"/>
      <c r="W215" s="3"/>
      <c r="X215" s="3"/>
      <c r="Y215" s="3"/>
      <c r="Z215" s="3"/>
    </row>
    <row r="216" ht="15.75" customHeight="1">
      <c r="A216" s="793"/>
      <c r="B216" s="819"/>
      <c r="C216" s="819"/>
      <c r="D216" s="819"/>
      <c r="E216" s="819"/>
      <c r="F216" s="819"/>
      <c r="G216" s="819"/>
      <c r="H216" s="819"/>
      <c r="I216" s="819"/>
      <c r="J216" s="819"/>
      <c r="K216" s="819"/>
      <c r="L216" s="819"/>
      <c r="M216" s="819"/>
      <c r="N216" s="820"/>
      <c r="O216" s="819"/>
      <c r="P216" s="819"/>
      <c r="Q216" s="3"/>
      <c r="R216" s="3"/>
      <c r="S216" s="3"/>
      <c r="T216" s="3"/>
      <c r="U216" s="3"/>
      <c r="V216" s="3"/>
      <c r="W216" s="3"/>
      <c r="X216" s="3"/>
      <c r="Y216" s="3"/>
      <c r="Z216" s="3"/>
    </row>
    <row r="217" ht="15.75" customHeight="1">
      <c r="A217" s="793"/>
      <c r="B217" s="819"/>
      <c r="C217" s="819"/>
      <c r="D217" s="819"/>
      <c r="E217" s="819"/>
      <c r="F217" s="819"/>
      <c r="G217" s="819"/>
      <c r="H217" s="819"/>
      <c r="I217" s="819"/>
      <c r="J217" s="819"/>
      <c r="K217" s="819"/>
      <c r="L217" s="819"/>
      <c r="M217" s="819"/>
      <c r="N217" s="820"/>
      <c r="O217" s="819"/>
      <c r="P217" s="819"/>
      <c r="Q217" s="3"/>
      <c r="R217" s="3"/>
      <c r="S217" s="3"/>
      <c r="T217" s="3"/>
      <c r="U217" s="3"/>
      <c r="V217" s="3"/>
      <c r="W217" s="3"/>
      <c r="X217" s="3"/>
      <c r="Y217" s="3"/>
      <c r="Z217" s="3"/>
    </row>
    <row r="218" ht="15.75" customHeight="1">
      <c r="A218" s="793"/>
      <c r="B218" s="819"/>
      <c r="C218" s="819"/>
      <c r="D218" s="819"/>
      <c r="E218" s="819"/>
      <c r="F218" s="819"/>
      <c r="G218" s="819"/>
      <c r="H218" s="819"/>
      <c r="I218" s="819"/>
      <c r="J218" s="819"/>
      <c r="K218" s="819"/>
      <c r="L218" s="819"/>
      <c r="M218" s="819"/>
      <c r="N218" s="820"/>
      <c r="O218" s="819"/>
      <c r="P218" s="819"/>
      <c r="Q218" s="3"/>
      <c r="R218" s="3"/>
      <c r="S218" s="3"/>
      <c r="T218" s="3"/>
      <c r="U218" s="3"/>
      <c r="V218" s="3"/>
      <c r="W218" s="3"/>
      <c r="X218" s="3"/>
      <c r="Y218" s="3"/>
      <c r="Z218" s="3"/>
    </row>
    <row r="219" ht="15.75" customHeight="1">
      <c r="A219" s="793"/>
      <c r="B219" s="819"/>
      <c r="C219" s="819"/>
      <c r="D219" s="819"/>
      <c r="E219" s="819"/>
      <c r="F219" s="819"/>
      <c r="G219" s="819"/>
      <c r="H219" s="819"/>
      <c r="I219" s="819"/>
      <c r="J219" s="819"/>
      <c r="K219" s="819"/>
      <c r="L219" s="819"/>
      <c r="M219" s="819"/>
      <c r="N219" s="820"/>
      <c r="O219" s="819"/>
      <c r="P219" s="819"/>
      <c r="Q219" s="3"/>
      <c r="R219" s="3"/>
      <c r="S219" s="3"/>
      <c r="T219" s="3"/>
      <c r="U219" s="3"/>
      <c r="V219" s="3"/>
      <c r="W219" s="3"/>
      <c r="X219" s="3"/>
      <c r="Y219" s="3"/>
      <c r="Z219" s="3"/>
    </row>
    <row r="220" ht="15.75" customHeight="1">
      <c r="A220" s="793"/>
      <c r="B220" s="819"/>
      <c r="C220" s="819"/>
      <c r="D220" s="819"/>
      <c r="E220" s="819"/>
      <c r="F220" s="819"/>
      <c r="G220" s="819"/>
      <c r="H220" s="819"/>
      <c r="I220" s="819"/>
      <c r="J220" s="819"/>
      <c r="K220" s="819"/>
      <c r="L220" s="819"/>
      <c r="M220" s="819"/>
      <c r="N220" s="820"/>
      <c r="O220" s="819"/>
      <c r="P220" s="819"/>
      <c r="Q220" s="3"/>
      <c r="R220" s="3"/>
      <c r="S220" s="3"/>
      <c r="T220" s="3"/>
      <c r="U220" s="3"/>
      <c r="V220" s="3"/>
      <c r="W220" s="3"/>
      <c r="X220" s="3"/>
      <c r="Y220" s="3"/>
      <c r="Z220" s="3"/>
    </row>
    <row r="221" ht="15.75" customHeight="1">
      <c r="A221" s="793"/>
      <c r="B221" s="819"/>
      <c r="C221" s="819"/>
      <c r="D221" s="819"/>
      <c r="E221" s="819"/>
      <c r="F221" s="819"/>
      <c r="G221" s="819"/>
      <c r="H221" s="819"/>
      <c r="I221" s="819"/>
      <c r="J221" s="819"/>
      <c r="K221" s="819"/>
      <c r="L221" s="819"/>
      <c r="M221" s="819"/>
      <c r="N221" s="820"/>
      <c r="O221" s="819"/>
      <c r="P221" s="819"/>
      <c r="Q221" s="3"/>
      <c r="R221" s="3"/>
      <c r="S221" s="3"/>
      <c r="T221" s="3"/>
      <c r="U221" s="3"/>
      <c r="V221" s="3"/>
      <c r="W221" s="3"/>
      <c r="X221" s="3"/>
      <c r="Y221" s="3"/>
      <c r="Z221" s="3"/>
    </row>
    <row r="222" ht="15.75" customHeight="1">
      <c r="A222" s="793"/>
      <c r="B222" s="819"/>
      <c r="C222" s="819"/>
      <c r="D222" s="819"/>
      <c r="E222" s="819"/>
      <c r="F222" s="819"/>
      <c r="G222" s="819"/>
      <c r="H222" s="819"/>
      <c r="I222" s="819"/>
      <c r="J222" s="819"/>
      <c r="K222" s="819"/>
      <c r="L222" s="819"/>
      <c r="M222" s="819"/>
      <c r="N222" s="820"/>
      <c r="O222" s="819"/>
      <c r="P222" s="819"/>
      <c r="Q222" s="3"/>
      <c r="R222" s="3"/>
      <c r="S222" s="3"/>
      <c r="T222" s="3"/>
      <c r="U222" s="3"/>
      <c r="V222" s="3"/>
      <c r="W222" s="3"/>
      <c r="X222" s="3"/>
      <c r="Y222" s="3"/>
      <c r="Z222" s="3"/>
    </row>
    <row r="223" ht="15.75" customHeight="1">
      <c r="A223" s="793"/>
      <c r="B223" s="819"/>
      <c r="C223" s="819"/>
      <c r="D223" s="819"/>
      <c r="E223" s="819"/>
      <c r="F223" s="819"/>
      <c r="G223" s="819"/>
      <c r="H223" s="819"/>
      <c r="I223" s="819"/>
      <c r="J223" s="819"/>
      <c r="K223" s="819"/>
      <c r="L223" s="819"/>
      <c r="M223" s="819"/>
      <c r="N223" s="820"/>
      <c r="O223" s="819"/>
      <c r="P223" s="819"/>
      <c r="Q223" s="3"/>
      <c r="R223" s="3"/>
      <c r="S223" s="3"/>
      <c r="T223" s="3"/>
      <c r="U223" s="3"/>
      <c r="V223" s="3"/>
      <c r="W223" s="3"/>
      <c r="X223" s="3"/>
      <c r="Y223" s="3"/>
      <c r="Z223" s="3"/>
    </row>
    <row r="224" ht="15.75" customHeight="1">
      <c r="A224" s="793"/>
      <c r="B224" s="819"/>
      <c r="C224" s="819"/>
      <c r="D224" s="819"/>
      <c r="E224" s="819"/>
      <c r="F224" s="819"/>
      <c r="G224" s="819"/>
      <c r="H224" s="819"/>
      <c r="I224" s="819"/>
      <c r="J224" s="819"/>
      <c r="K224" s="819"/>
      <c r="L224" s="819"/>
      <c r="M224" s="819"/>
      <c r="N224" s="820"/>
      <c r="O224" s="819"/>
      <c r="P224" s="819"/>
      <c r="Q224" s="3"/>
      <c r="R224" s="3"/>
      <c r="S224" s="3"/>
      <c r="T224" s="3"/>
      <c r="U224" s="3"/>
      <c r="V224" s="3"/>
      <c r="W224" s="3"/>
      <c r="X224" s="3"/>
      <c r="Y224" s="3"/>
      <c r="Z224" s="3"/>
    </row>
    <row r="225" ht="15.75" customHeight="1">
      <c r="A225" s="793"/>
      <c r="B225" s="819"/>
      <c r="C225" s="819"/>
      <c r="D225" s="819"/>
      <c r="E225" s="819"/>
      <c r="F225" s="819"/>
      <c r="G225" s="819"/>
      <c r="H225" s="819"/>
      <c r="I225" s="819"/>
      <c r="J225" s="819"/>
      <c r="K225" s="819"/>
      <c r="L225" s="819"/>
      <c r="M225" s="819"/>
      <c r="N225" s="820"/>
      <c r="O225" s="819"/>
      <c r="P225" s="819"/>
      <c r="Q225" s="3"/>
      <c r="R225" s="3"/>
      <c r="S225" s="3"/>
      <c r="T225" s="3"/>
      <c r="U225" s="3"/>
      <c r="V225" s="3"/>
      <c r="W225" s="3"/>
      <c r="X225" s="3"/>
      <c r="Y225" s="3"/>
      <c r="Z225" s="3"/>
    </row>
    <row r="226" ht="15.75" customHeight="1">
      <c r="A226" s="793"/>
      <c r="B226" s="819"/>
      <c r="C226" s="819"/>
      <c r="D226" s="819"/>
      <c r="E226" s="819"/>
      <c r="F226" s="819"/>
      <c r="G226" s="819"/>
      <c r="H226" s="819"/>
      <c r="I226" s="819"/>
      <c r="J226" s="819"/>
      <c r="K226" s="819"/>
      <c r="L226" s="819"/>
      <c r="M226" s="819"/>
      <c r="N226" s="820"/>
      <c r="O226" s="819"/>
      <c r="P226" s="819"/>
      <c r="Q226" s="3"/>
      <c r="R226" s="3"/>
      <c r="S226" s="3"/>
      <c r="T226" s="3"/>
      <c r="U226" s="3"/>
      <c r="V226" s="3"/>
      <c r="W226" s="3"/>
      <c r="X226" s="3"/>
      <c r="Y226" s="3"/>
      <c r="Z226" s="3"/>
    </row>
    <row r="227" ht="15.75" customHeight="1">
      <c r="A227" s="793"/>
      <c r="B227" s="819"/>
      <c r="C227" s="819"/>
      <c r="D227" s="819"/>
      <c r="E227" s="819"/>
      <c r="F227" s="819"/>
      <c r="G227" s="819"/>
      <c r="H227" s="819"/>
      <c r="I227" s="819"/>
      <c r="J227" s="819"/>
      <c r="K227" s="819"/>
      <c r="L227" s="819"/>
      <c r="M227" s="819"/>
      <c r="N227" s="820"/>
      <c r="O227" s="819"/>
      <c r="P227" s="819"/>
      <c r="Q227" s="3"/>
      <c r="R227" s="3"/>
      <c r="S227" s="3"/>
      <c r="T227" s="3"/>
      <c r="U227" s="3"/>
      <c r="V227" s="3"/>
      <c r="W227" s="3"/>
      <c r="X227" s="3"/>
      <c r="Y227" s="3"/>
      <c r="Z227" s="3"/>
    </row>
    <row r="228" ht="15.75" customHeight="1">
      <c r="A228" s="793"/>
      <c r="B228" s="819"/>
      <c r="C228" s="819"/>
      <c r="D228" s="819"/>
      <c r="E228" s="819"/>
      <c r="F228" s="819"/>
      <c r="G228" s="819"/>
      <c r="H228" s="819"/>
      <c r="I228" s="819"/>
      <c r="J228" s="819"/>
      <c r="K228" s="819"/>
      <c r="L228" s="819"/>
      <c r="M228" s="819"/>
      <c r="N228" s="820"/>
      <c r="O228" s="819"/>
      <c r="P228" s="819"/>
      <c r="Q228" s="3"/>
      <c r="R228" s="3"/>
      <c r="S228" s="3"/>
      <c r="T228" s="3"/>
      <c r="U228" s="3"/>
      <c r="V228" s="3"/>
      <c r="W228" s="3"/>
      <c r="X228" s="3"/>
      <c r="Y228" s="3"/>
      <c r="Z228" s="3"/>
    </row>
    <row r="229" ht="15.75" customHeight="1">
      <c r="A229" s="793"/>
      <c r="B229" s="819"/>
      <c r="C229" s="819"/>
      <c r="D229" s="819"/>
      <c r="E229" s="819"/>
      <c r="F229" s="819"/>
      <c r="G229" s="819"/>
      <c r="H229" s="819"/>
      <c r="I229" s="819"/>
      <c r="J229" s="819"/>
      <c r="K229" s="819"/>
      <c r="L229" s="819"/>
      <c r="M229" s="819"/>
      <c r="N229" s="820"/>
      <c r="O229" s="819"/>
      <c r="P229" s="819"/>
      <c r="Q229" s="3"/>
      <c r="R229" s="3"/>
      <c r="S229" s="3"/>
      <c r="T229" s="3"/>
      <c r="U229" s="3"/>
      <c r="V229" s="3"/>
      <c r="W229" s="3"/>
      <c r="X229" s="3"/>
      <c r="Y229" s="3"/>
      <c r="Z229" s="3"/>
    </row>
    <row r="230" ht="15.75" customHeight="1">
      <c r="A230" s="793"/>
      <c r="B230" s="819"/>
      <c r="C230" s="819"/>
      <c r="D230" s="819"/>
      <c r="E230" s="819"/>
      <c r="F230" s="819"/>
      <c r="G230" s="819"/>
      <c r="H230" s="819"/>
      <c r="I230" s="819"/>
      <c r="J230" s="819"/>
      <c r="K230" s="819"/>
      <c r="L230" s="819"/>
      <c r="M230" s="819"/>
      <c r="N230" s="820"/>
      <c r="O230" s="819"/>
      <c r="P230" s="819"/>
      <c r="Q230" s="3"/>
      <c r="R230" s="3"/>
      <c r="S230" s="3"/>
      <c r="T230" s="3"/>
      <c r="U230" s="3"/>
      <c r="V230" s="3"/>
      <c r="W230" s="3"/>
      <c r="X230" s="3"/>
      <c r="Y230" s="3"/>
      <c r="Z230" s="3"/>
    </row>
    <row r="231" ht="15.75" customHeight="1">
      <c r="A231" s="793"/>
      <c r="B231" s="819"/>
      <c r="C231" s="819"/>
      <c r="D231" s="819"/>
      <c r="E231" s="819"/>
      <c r="F231" s="819"/>
      <c r="G231" s="819"/>
      <c r="H231" s="819"/>
      <c r="I231" s="819"/>
      <c r="J231" s="819"/>
      <c r="K231" s="819"/>
      <c r="L231" s="819"/>
      <c r="M231" s="819"/>
      <c r="N231" s="820"/>
      <c r="O231" s="819"/>
      <c r="P231" s="819"/>
      <c r="Q231" s="3"/>
      <c r="R231" s="3"/>
      <c r="S231" s="3"/>
      <c r="T231" s="3"/>
      <c r="U231" s="3"/>
      <c r="V231" s="3"/>
      <c r="W231" s="3"/>
      <c r="X231" s="3"/>
      <c r="Y231" s="3"/>
      <c r="Z231" s="3"/>
    </row>
    <row r="232" ht="15.75" customHeight="1">
      <c r="A232" s="793"/>
      <c r="B232" s="819"/>
      <c r="C232" s="819"/>
      <c r="D232" s="819"/>
      <c r="E232" s="819"/>
      <c r="F232" s="819"/>
      <c r="G232" s="819"/>
      <c r="H232" s="819"/>
      <c r="I232" s="819"/>
      <c r="J232" s="819"/>
      <c r="K232" s="819"/>
      <c r="L232" s="819"/>
      <c r="M232" s="819"/>
      <c r="N232" s="820"/>
      <c r="O232" s="819"/>
      <c r="P232" s="819"/>
      <c r="Q232" s="3"/>
      <c r="R232" s="3"/>
      <c r="S232" s="3"/>
      <c r="T232" s="3"/>
      <c r="U232" s="3"/>
      <c r="V232" s="3"/>
      <c r="W232" s="3"/>
      <c r="X232" s="3"/>
      <c r="Y232" s="3"/>
      <c r="Z232" s="3"/>
    </row>
    <row r="233" ht="15.75" customHeight="1">
      <c r="A233" s="793"/>
      <c r="B233" s="819"/>
      <c r="C233" s="819"/>
      <c r="D233" s="819"/>
      <c r="E233" s="819"/>
      <c r="F233" s="819"/>
      <c r="G233" s="819"/>
      <c r="H233" s="819"/>
      <c r="I233" s="819"/>
      <c r="J233" s="819"/>
      <c r="K233" s="819"/>
      <c r="L233" s="819"/>
      <c r="M233" s="819"/>
      <c r="N233" s="820"/>
      <c r="O233" s="819"/>
      <c r="P233" s="819"/>
      <c r="Q233" s="3"/>
      <c r="R233" s="3"/>
      <c r="S233" s="3"/>
      <c r="T233" s="3"/>
      <c r="U233" s="3"/>
      <c r="V233" s="3"/>
      <c r="W233" s="3"/>
      <c r="X233" s="3"/>
      <c r="Y233" s="3"/>
      <c r="Z233" s="3"/>
    </row>
    <row r="234" ht="15.75" customHeight="1">
      <c r="A234" s="790"/>
      <c r="N234" s="821"/>
      <c r="Q234" s="3"/>
      <c r="R234" s="3"/>
      <c r="S234" s="3"/>
      <c r="T234" s="3"/>
      <c r="U234" s="3"/>
      <c r="V234" s="3"/>
      <c r="W234" s="3"/>
      <c r="X234" s="3"/>
      <c r="Y234" s="3"/>
      <c r="Z234" s="3"/>
    </row>
    <row r="235" ht="15.75" customHeight="1">
      <c r="A235" s="790"/>
      <c r="N235" s="821"/>
      <c r="Q235" s="3"/>
      <c r="R235" s="3"/>
      <c r="S235" s="3"/>
      <c r="T235" s="3"/>
      <c r="U235" s="3"/>
      <c r="V235" s="3"/>
      <c r="W235" s="3"/>
      <c r="X235" s="3"/>
      <c r="Y235" s="3"/>
      <c r="Z235" s="3"/>
    </row>
    <row r="236" ht="15.75" customHeight="1">
      <c r="A236" s="790"/>
      <c r="N236" s="821"/>
      <c r="Q236" s="3"/>
      <c r="R236" s="3"/>
      <c r="S236" s="3"/>
      <c r="T236" s="3"/>
      <c r="U236" s="3"/>
      <c r="V236" s="3"/>
      <c r="W236" s="3"/>
      <c r="X236" s="3"/>
      <c r="Y236" s="3"/>
      <c r="Z236" s="3"/>
    </row>
    <row r="237" ht="15.75" customHeight="1">
      <c r="A237" s="790"/>
      <c r="N237" s="821"/>
      <c r="Q237" s="3"/>
      <c r="R237" s="3"/>
      <c r="S237" s="3"/>
      <c r="T237" s="3"/>
      <c r="U237" s="3"/>
      <c r="V237" s="3"/>
      <c r="W237" s="3"/>
      <c r="X237" s="3"/>
      <c r="Y237" s="3"/>
      <c r="Z237" s="3"/>
    </row>
    <row r="238" ht="15.75" customHeight="1">
      <c r="A238" s="790"/>
      <c r="N238" s="821"/>
      <c r="Q238" s="3"/>
      <c r="R238" s="3"/>
      <c r="S238" s="3"/>
      <c r="T238" s="3"/>
      <c r="U238" s="3"/>
      <c r="V238" s="3"/>
      <c r="W238" s="3"/>
      <c r="X238" s="3"/>
      <c r="Y238" s="3"/>
      <c r="Z238" s="3"/>
    </row>
    <row r="239" ht="15.75" customHeight="1">
      <c r="A239" s="790"/>
      <c r="N239" s="821"/>
      <c r="Q239" s="3"/>
      <c r="R239" s="3"/>
      <c r="S239" s="3"/>
      <c r="T239" s="3"/>
      <c r="U239" s="3"/>
      <c r="V239" s="3"/>
      <c r="W239" s="3"/>
      <c r="X239" s="3"/>
      <c r="Y239" s="3"/>
      <c r="Z239" s="3"/>
    </row>
    <row r="240" ht="15.75" customHeight="1">
      <c r="A240" s="790"/>
      <c r="N240" s="821"/>
      <c r="Q240" s="3"/>
      <c r="R240" s="3"/>
      <c r="S240" s="3"/>
      <c r="T240" s="3"/>
      <c r="U240" s="3"/>
      <c r="V240" s="3"/>
      <c r="W240" s="3"/>
      <c r="X240" s="3"/>
      <c r="Y240" s="3"/>
      <c r="Z240" s="3"/>
    </row>
    <row r="241" ht="15.75" customHeight="1">
      <c r="A241" s="790"/>
      <c r="N241" s="821"/>
      <c r="Q241" s="3"/>
      <c r="R241" s="3"/>
      <c r="S241" s="3"/>
      <c r="T241" s="3"/>
      <c r="U241" s="3"/>
      <c r="V241" s="3"/>
      <c r="W241" s="3"/>
      <c r="X241" s="3"/>
      <c r="Y241" s="3"/>
      <c r="Z241" s="3"/>
    </row>
    <row r="242" ht="15.75" customHeight="1">
      <c r="A242" s="790"/>
      <c r="N242" s="821"/>
      <c r="Q242" s="3"/>
      <c r="R242" s="3"/>
      <c r="S242" s="3"/>
      <c r="T242" s="3"/>
      <c r="U242" s="3"/>
      <c r="V242" s="3"/>
      <c r="W242" s="3"/>
      <c r="X242" s="3"/>
      <c r="Y242" s="3"/>
      <c r="Z242" s="3"/>
    </row>
    <row r="243" ht="15.75" customHeight="1">
      <c r="A243" s="790"/>
      <c r="N243" s="821"/>
      <c r="Q243" s="3"/>
      <c r="R243" s="3"/>
      <c r="S243" s="3"/>
      <c r="T243" s="3"/>
      <c r="U243" s="3"/>
      <c r="V243" s="3"/>
      <c r="W243" s="3"/>
      <c r="X243" s="3"/>
      <c r="Y243" s="3"/>
      <c r="Z243" s="3"/>
    </row>
    <row r="244" ht="15.75" customHeight="1">
      <c r="A244" s="790"/>
      <c r="N244" s="821"/>
      <c r="Q244" s="3"/>
      <c r="R244" s="3"/>
      <c r="S244" s="3"/>
      <c r="T244" s="3"/>
      <c r="U244" s="3"/>
      <c r="V244" s="3"/>
      <c r="W244" s="3"/>
      <c r="X244" s="3"/>
      <c r="Y244" s="3"/>
      <c r="Z244" s="3"/>
    </row>
    <row r="245" ht="15.75" customHeight="1">
      <c r="A245" s="790"/>
      <c r="N245" s="821"/>
      <c r="Q245" s="3"/>
      <c r="R245" s="3"/>
      <c r="S245" s="3"/>
      <c r="T245" s="3"/>
      <c r="U245" s="3"/>
      <c r="V245" s="3"/>
      <c r="W245" s="3"/>
      <c r="X245" s="3"/>
      <c r="Y245" s="3"/>
      <c r="Z245" s="3"/>
    </row>
    <row r="246" ht="15.75" customHeight="1">
      <c r="A246" s="790"/>
      <c r="N246" s="821"/>
      <c r="Q246" s="3"/>
      <c r="R246" s="3"/>
      <c r="S246" s="3"/>
      <c r="T246" s="3"/>
      <c r="U246" s="3"/>
      <c r="V246" s="3"/>
      <c r="W246" s="3"/>
      <c r="X246" s="3"/>
      <c r="Y246" s="3"/>
      <c r="Z246" s="3"/>
    </row>
    <row r="247" ht="15.75" customHeight="1">
      <c r="A247" s="790"/>
      <c r="N247" s="821"/>
      <c r="Q247" s="3"/>
      <c r="R247" s="3"/>
      <c r="S247" s="3"/>
      <c r="T247" s="3"/>
      <c r="U247" s="3"/>
      <c r="V247" s="3"/>
      <c r="W247" s="3"/>
      <c r="X247" s="3"/>
      <c r="Y247" s="3"/>
      <c r="Z247" s="3"/>
    </row>
    <row r="248" ht="15.75" customHeight="1">
      <c r="A248" s="790"/>
      <c r="N248" s="821"/>
      <c r="Q248" s="3"/>
      <c r="R248" s="3"/>
      <c r="S248" s="3"/>
      <c r="T248" s="3"/>
      <c r="U248" s="3"/>
      <c r="V248" s="3"/>
      <c r="W248" s="3"/>
      <c r="X248" s="3"/>
      <c r="Y248" s="3"/>
      <c r="Z248" s="3"/>
    </row>
    <row r="249" ht="15.75" customHeight="1">
      <c r="A249" s="790"/>
      <c r="N249" s="821"/>
      <c r="Q249" s="3"/>
      <c r="R249" s="3"/>
      <c r="S249" s="3"/>
      <c r="T249" s="3"/>
      <c r="U249" s="3"/>
      <c r="V249" s="3"/>
      <c r="W249" s="3"/>
      <c r="X249" s="3"/>
      <c r="Y249" s="3"/>
      <c r="Z249" s="3"/>
    </row>
    <row r="250" ht="15.75" customHeight="1">
      <c r="A250" s="790"/>
      <c r="N250" s="821"/>
      <c r="Q250" s="3"/>
      <c r="R250" s="3"/>
      <c r="S250" s="3"/>
      <c r="T250" s="3"/>
      <c r="U250" s="3"/>
      <c r="V250" s="3"/>
      <c r="W250" s="3"/>
      <c r="X250" s="3"/>
      <c r="Y250" s="3"/>
      <c r="Z250" s="3"/>
    </row>
    <row r="251" ht="15.75" customHeight="1">
      <c r="A251" s="790"/>
      <c r="N251" s="821"/>
      <c r="Q251" s="3"/>
      <c r="R251" s="3"/>
      <c r="S251" s="3"/>
      <c r="T251" s="3"/>
      <c r="U251" s="3"/>
      <c r="V251" s="3"/>
      <c r="W251" s="3"/>
      <c r="X251" s="3"/>
      <c r="Y251" s="3"/>
      <c r="Z251" s="3"/>
    </row>
    <row r="252" ht="15.75" customHeight="1">
      <c r="A252" s="790"/>
      <c r="N252" s="821"/>
      <c r="Q252" s="3"/>
      <c r="R252" s="3"/>
      <c r="S252" s="3"/>
      <c r="T252" s="3"/>
      <c r="U252" s="3"/>
      <c r="V252" s="3"/>
      <c r="W252" s="3"/>
      <c r="X252" s="3"/>
      <c r="Y252" s="3"/>
      <c r="Z252" s="3"/>
    </row>
    <row r="253" ht="15.75" customHeight="1">
      <c r="A253" s="790"/>
      <c r="N253" s="821"/>
      <c r="Q253" s="3"/>
      <c r="R253" s="3"/>
      <c r="S253" s="3"/>
      <c r="T253" s="3"/>
      <c r="U253" s="3"/>
      <c r="V253" s="3"/>
      <c r="W253" s="3"/>
      <c r="X253" s="3"/>
      <c r="Y253" s="3"/>
      <c r="Z253" s="3"/>
    </row>
    <row r="254" ht="15.75" customHeight="1">
      <c r="A254" s="790"/>
      <c r="N254" s="821"/>
      <c r="Q254" s="3"/>
      <c r="R254" s="3"/>
      <c r="S254" s="3"/>
      <c r="T254" s="3"/>
      <c r="U254" s="3"/>
      <c r="V254" s="3"/>
      <c r="W254" s="3"/>
      <c r="X254" s="3"/>
      <c r="Y254" s="3"/>
      <c r="Z254" s="3"/>
    </row>
    <row r="255" ht="15.75" customHeight="1">
      <c r="A255" s="790"/>
      <c r="N255" s="821"/>
      <c r="Q255" s="3"/>
      <c r="R255" s="3"/>
      <c r="S255" s="3"/>
      <c r="T255" s="3"/>
      <c r="U255" s="3"/>
      <c r="V255" s="3"/>
      <c r="W255" s="3"/>
      <c r="X255" s="3"/>
      <c r="Y255" s="3"/>
      <c r="Z255" s="3"/>
    </row>
    <row r="256" ht="15.75" customHeight="1">
      <c r="A256" s="790"/>
      <c r="N256" s="821"/>
      <c r="Q256" s="3"/>
      <c r="R256" s="3"/>
      <c r="S256" s="3"/>
      <c r="T256" s="3"/>
      <c r="U256" s="3"/>
      <c r="V256" s="3"/>
      <c r="W256" s="3"/>
      <c r="X256" s="3"/>
      <c r="Y256" s="3"/>
      <c r="Z256" s="3"/>
    </row>
    <row r="257" ht="15.75" customHeight="1">
      <c r="A257" s="790"/>
      <c r="N257" s="821"/>
      <c r="Q257" s="3"/>
      <c r="R257" s="3"/>
      <c r="S257" s="3"/>
      <c r="T257" s="3"/>
      <c r="U257" s="3"/>
      <c r="V257" s="3"/>
      <c r="W257" s="3"/>
      <c r="X257" s="3"/>
      <c r="Y257" s="3"/>
      <c r="Z257" s="3"/>
    </row>
    <row r="258" ht="15.75" customHeight="1">
      <c r="A258" s="790"/>
      <c r="N258" s="821"/>
      <c r="Q258" s="3"/>
      <c r="R258" s="3"/>
      <c r="S258" s="3"/>
      <c r="T258" s="3"/>
      <c r="U258" s="3"/>
      <c r="V258" s="3"/>
      <c r="W258" s="3"/>
      <c r="X258" s="3"/>
      <c r="Y258" s="3"/>
      <c r="Z258" s="3"/>
    </row>
    <row r="259" ht="15.75" customHeight="1">
      <c r="A259" s="790"/>
      <c r="N259" s="821"/>
      <c r="Q259" s="3"/>
      <c r="R259" s="3"/>
      <c r="S259" s="3"/>
      <c r="T259" s="3"/>
      <c r="U259" s="3"/>
      <c r="V259" s="3"/>
      <c r="W259" s="3"/>
      <c r="X259" s="3"/>
      <c r="Y259" s="3"/>
      <c r="Z259" s="3"/>
    </row>
    <row r="260" ht="15.75" customHeight="1">
      <c r="A260" s="790"/>
      <c r="N260" s="821"/>
      <c r="Q260" s="3"/>
      <c r="R260" s="3"/>
      <c r="S260" s="3"/>
      <c r="T260" s="3"/>
      <c r="U260" s="3"/>
      <c r="V260" s="3"/>
      <c r="W260" s="3"/>
      <c r="X260" s="3"/>
      <c r="Y260" s="3"/>
      <c r="Z260" s="3"/>
    </row>
    <row r="261" ht="15.75" customHeight="1">
      <c r="A261" s="790"/>
      <c r="N261" s="821"/>
      <c r="Q261" s="3"/>
      <c r="R261" s="3"/>
      <c r="S261" s="3"/>
      <c r="T261" s="3"/>
      <c r="U261" s="3"/>
      <c r="V261" s="3"/>
      <c r="W261" s="3"/>
      <c r="X261" s="3"/>
      <c r="Y261" s="3"/>
      <c r="Z261" s="3"/>
    </row>
    <row r="262" ht="15.75" customHeight="1">
      <c r="A262" s="790"/>
      <c r="N262" s="821"/>
      <c r="Q262" s="3"/>
      <c r="R262" s="3"/>
      <c r="S262" s="3"/>
      <c r="T262" s="3"/>
      <c r="U262" s="3"/>
      <c r="V262" s="3"/>
      <c r="W262" s="3"/>
      <c r="X262" s="3"/>
      <c r="Y262" s="3"/>
      <c r="Z262" s="3"/>
    </row>
    <row r="263" ht="15.75" customHeight="1">
      <c r="A263" s="790"/>
      <c r="N263" s="821"/>
      <c r="Q263" s="3"/>
      <c r="R263" s="3"/>
      <c r="S263" s="3"/>
      <c r="T263" s="3"/>
      <c r="U263" s="3"/>
      <c r="V263" s="3"/>
      <c r="W263" s="3"/>
      <c r="X263" s="3"/>
      <c r="Y263" s="3"/>
      <c r="Z263" s="3"/>
    </row>
    <row r="264" ht="15.75" customHeight="1">
      <c r="A264" s="790"/>
      <c r="N264" s="821"/>
      <c r="Q264" s="3"/>
      <c r="R264" s="3"/>
      <c r="S264" s="3"/>
      <c r="T264" s="3"/>
      <c r="U264" s="3"/>
      <c r="V264" s="3"/>
      <c r="W264" s="3"/>
      <c r="X264" s="3"/>
      <c r="Y264" s="3"/>
      <c r="Z264" s="3"/>
    </row>
    <row r="265" ht="15.75" customHeight="1">
      <c r="A265" s="790"/>
      <c r="N265" s="821"/>
      <c r="Q265" s="3"/>
      <c r="R265" s="3"/>
      <c r="S265" s="3"/>
      <c r="T265" s="3"/>
      <c r="U265" s="3"/>
      <c r="V265" s="3"/>
      <c r="W265" s="3"/>
      <c r="X265" s="3"/>
      <c r="Y265" s="3"/>
      <c r="Z265" s="3"/>
    </row>
    <row r="266" ht="15.75" customHeight="1">
      <c r="A266" s="790"/>
      <c r="N266" s="821"/>
      <c r="Q266" s="3"/>
      <c r="R266" s="3"/>
      <c r="S266" s="3"/>
      <c r="T266" s="3"/>
      <c r="U266" s="3"/>
      <c r="V266" s="3"/>
      <c r="W266" s="3"/>
      <c r="X266" s="3"/>
      <c r="Y266" s="3"/>
      <c r="Z266" s="3"/>
    </row>
    <row r="267" ht="15.75" customHeight="1">
      <c r="A267" s="790"/>
      <c r="N267" s="821"/>
      <c r="Q267" s="3"/>
      <c r="R267" s="3"/>
      <c r="S267" s="3"/>
      <c r="T267" s="3"/>
      <c r="U267" s="3"/>
      <c r="V267" s="3"/>
      <c r="W267" s="3"/>
      <c r="X267" s="3"/>
      <c r="Y267" s="3"/>
      <c r="Z267" s="3"/>
    </row>
    <row r="268" ht="15.75" customHeight="1">
      <c r="A268" s="790"/>
      <c r="N268" s="821"/>
      <c r="Q268" s="3"/>
      <c r="R268" s="3"/>
      <c r="S268" s="3"/>
      <c r="T268" s="3"/>
      <c r="U268" s="3"/>
      <c r="V268" s="3"/>
      <c r="W268" s="3"/>
      <c r="X268" s="3"/>
      <c r="Y268" s="3"/>
      <c r="Z268" s="3"/>
    </row>
    <row r="269" ht="15.75" customHeight="1">
      <c r="A269" s="790"/>
      <c r="N269" s="821"/>
      <c r="Q269" s="3"/>
      <c r="R269" s="3"/>
      <c r="S269" s="3"/>
      <c r="T269" s="3"/>
      <c r="U269" s="3"/>
      <c r="V269" s="3"/>
      <c r="W269" s="3"/>
      <c r="X269" s="3"/>
      <c r="Y269" s="3"/>
      <c r="Z269" s="3"/>
    </row>
    <row r="270" ht="15.75" customHeight="1">
      <c r="A270" s="790"/>
      <c r="N270" s="821"/>
      <c r="Q270" s="3"/>
      <c r="R270" s="3"/>
      <c r="S270" s="3"/>
      <c r="T270" s="3"/>
      <c r="U270" s="3"/>
      <c r="V270" s="3"/>
      <c r="W270" s="3"/>
      <c r="X270" s="3"/>
      <c r="Y270" s="3"/>
      <c r="Z270" s="3"/>
    </row>
    <row r="271" ht="15.75" customHeight="1">
      <c r="A271" s="790"/>
      <c r="N271" s="821"/>
      <c r="Q271" s="3"/>
      <c r="R271" s="3"/>
      <c r="S271" s="3"/>
      <c r="T271" s="3"/>
      <c r="U271" s="3"/>
      <c r="V271" s="3"/>
      <c r="W271" s="3"/>
      <c r="X271" s="3"/>
      <c r="Y271" s="3"/>
      <c r="Z271" s="3"/>
    </row>
    <row r="272" ht="15.75" customHeight="1">
      <c r="A272" s="790"/>
      <c r="N272" s="821"/>
      <c r="Q272" s="3"/>
      <c r="R272" s="3"/>
      <c r="S272" s="3"/>
      <c r="T272" s="3"/>
      <c r="U272" s="3"/>
      <c r="V272" s="3"/>
      <c r="W272" s="3"/>
      <c r="X272" s="3"/>
      <c r="Y272" s="3"/>
      <c r="Z272" s="3"/>
    </row>
    <row r="273" ht="15.75" customHeight="1">
      <c r="A273" s="790"/>
      <c r="N273" s="821"/>
      <c r="Q273" s="3"/>
      <c r="R273" s="3"/>
      <c r="S273" s="3"/>
      <c r="T273" s="3"/>
      <c r="U273" s="3"/>
      <c r="V273" s="3"/>
      <c r="W273" s="3"/>
      <c r="X273" s="3"/>
      <c r="Y273" s="3"/>
      <c r="Z273" s="3"/>
    </row>
    <row r="274" ht="15.75" customHeight="1">
      <c r="A274" s="790"/>
      <c r="N274" s="821"/>
      <c r="Q274" s="3"/>
      <c r="R274" s="3"/>
      <c r="S274" s="3"/>
      <c r="T274" s="3"/>
      <c r="U274" s="3"/>
      <c r="V274" s="3"/>
      <c r="W274" s="3"/>
      <c r="X274" s="3"/>
      <c r="Y274" s="3"/>
      <c r="Z274" s="3"/>
    </row>
    <row r="275" ht="15.75" customHeight="1">
      <c r="A275" s="790"/>
      <c r="N275" s="821"/>
      <c r="Q275" s="3"/>
      <c r="R275" s="3"/>
      <c r="S275" s="3"/>
      <c r="T275" s="3"/>
      <c r="U275" s="3"/>
      <c r="V275" s="3"/>
      <c r="W275" s="3"/>
      <c r="X275" s="3"/>
      <c r="Y275" s="3"/>
      <c r="Z275" s="3"/>
    </row>
    <row r="276" ht="15.75" customHeight="1">
      <c r="A276" s="790"/>
      <c r="N276" s="821"/>
      <c r="Q276" s="3"/>
      <c r="R276" s="3"/>
      <c r="S276" s="3"/>
      <c r="T276" s="3"/>
      <c r="U276" s="3"/>
      <c r="V276" s="3"/>
      <c r="W276" s="3"/>
      <c r="X276" s="3"/>
      <c r="Y276" s="3"/>
      <c r="Z276" s="3"/>
    </row>
    <row r="277" ht="15.75" customHeight="1">
      <c r="A277" s="790"/>
      <c r="N277" s="821"/>
      <c r="Q277" s="3"/>
      <c r="R277" s="3"/>
      <c r="S277" s="3"/>
      <c r="T277" s="3"/>
      <c r="U277" s="3"/>
      <c r="V277" s="3"/>
      <c r="W277" s="3"/>
      <c r="X277" s="3"/>
      <c r="Y277" s="3"/>
      <c r="Z277" s="3"/>
    </row>
    <row r="278" ht="15.75" customHeight="1">
      <c r="A278" s="790"/>
      <c r="N278" s="821"/>
      <c r="Q278" s="3"/>
      <c r="R278" s="3"/>
      <c r="S278" s="3"/>
      <c r="T278" s="3"/>
      <c r="U278" s="3"/>
      <c r="V278" s="3"/>
      <c r="W278" s="3"/>
      <c r="X278" s="3"/>
      <c r="Y278" s="3"/>
      <c r="Z278" s="3"/>
    </row>
    <row r="279" ht="15.75" customHeight="1">
      <c r="A279" s="790"/>
      <c r="N279" s="821"/>
      <c r="Q279" s="3"/>
      <c r="R279" s="3"/>
      <c r="S279" s="3"/>
      <c r="T279" s="3"/>
      <c r="U279" s="3"/>
      <c r="V279" s="3"/>
      <c r="W279" s="3"/>
      <c r="X279" s="3"/>
      <c r="Y279" s="3"/>
      <c r="Z279" s="3"/>
    </row>
    <row r="280" ht="15.75" customHeight="1">
      <c r="A280" s="790"/>
      <c r="N280" s="821"/>
      <c r="Q280" s="3"/>
      <c r="R280" s="3"/>
      <c r="S280" s="3"/>
      <c r="T280" s="3"/>
      <c r="U280" s="3"/>
      <c r="V280" s="3"/>
      <c r="W280" s="3"/>
      <c r="X280" s="3"/>
      <c r="Y280" s="3"/>
      <c r="Z280" s="3"/>
    </row>
    <row r="281" ht="15.75" customHeight="1">
      <c r="A281" s="790"/>
      <c r="N281" s="821"/>
      <c r="Q281" s="3"/>
      <c r="R281" s="3"/>
      <c r="S281" s="3"/>
      <c r="T281" s="3"/>
      <c r="U281" s="3"/>
      <c r="V281" s="3"/>
      <c r="W281" s="3"/>
      <c r="X281" s="3"/>
      <c r="Y281" s="3"/>
      <c r="Z281" s="3"/>
    </row>
    <row r="282" ht="15.75" customHeight="1">
      <c r="A282" s="790"/>
      <c r="N282" s="821"/>
      <c r="Q282" s="3"/>
      <c r="R282" s="3"/>
      <c r="S282" s="3"/>
      <c r="T282" s="3"/>
      <c r="U282" s="3"/>
      <c r="V282" s="3"/>
      <c r="W282" s="3"/>
      <c r="X282" s="3"/>
      <c r="Y282" s="3"/>
      <c r="Z282" s="3"/>
    </row>
    <row r="283" ht="15.75" customHeight="1">
      <c r="A283" s="790"/>
      <c r="N283" s="821"/>
      <c r="Q283" s="3"/>
      <c r="R283" s="3"/>
      <c r="S283" s="3"/>
      <c r="T283" s="3"/>
      <c r="U283" s="3"/>
      <c r="V283" s="3"/>
      <c r="W283" s="3"/>
      <c r="X283" s="3"/>
      <c r="Y283" s="3"/>
      <c r="Z283" s="3"/>
    </row>
    <row r="284" ht="15.75" customHeight="1">
      <c r="A284" s="790"/>
      <c r="N284" s="821"/>
      <c r="Q284" s="3"/>
      <c r="R284" s="3"/>
      <c r="S284" s="3"/>
      <c r="T284" s="3"/>
      <c r="U284" s="3"/>
      <c r="V284" s="3"/>
      <c r="W284" s="3"/>
      <c r="X284" s="3"/>
      <c r="Y284" s="3"/>
      <c r="Z284" s="3"/>
    </row>
    <row r="285" ht="15.75" customHeight="1">
      <c r="A285" s="790"/>
      <c r="N285" s="821"/>
      <c r="Q285" s="3"/>
      <c r="R285" s="3"/>
      <c r="S285" s="3"/>
      <c r="T285" s="3"/>
      <c r="U285" s="3"/>
      <c r="V285" s="3"/>
      <c r="W285" s="3"/>
      <c r="X285" s="3"/>
      <c r="Y285" s="3"/>
      <c r="Z285" s="3"/>
    </row>
    <row r="286" ht="15.75" customHeight="1">
      <c r="A286" s="790"/>
      <c r="N286" s="821"/>
      <c r="Q286" s="3"/>
      <c r="R286" s="3"/>
      <c r="S286" s="3"/>
      <c r="T286" s="3"/>
      <c r="U286" s="3"/>
      <c r="V286" s="3"/>
      <c r="W286" s="3"/>
      <c r="X286" s="3"/>
      <c r="Y286" s="3"/>
      <c r="Z286" s="3"/>
    </row>
    <row r="287" ht="15.75" customHeight="1">
      <c r="A287" s="790"/>
      <c r="N287" s="821"/>
      <c r="Q287" s="3"/>
      <c r="R287" s="3"/>
      <c r="S287" s="3"/>
      <c r="T287" s="3"/>
      <c r="U287" s="3"/>
      <c r="V287" s="3"/>
      <c r="W287" s="3"/>
      <c r="X287" s="3"/>
      <c r="Y287" s="3"/>
      <c r="Z287" s="3"/>
    </row>
    <row r="288" ht="15.75" customHeight="1">
      <c r="A288" s="790"/>
      <c r="N288" s="821"/>
      <c r="Q288" s="3"/>
      <c r="R288" s="3"/>
      <c r="S288" s="3"/>
      <c r="T288" s="3"/>
      <c r="U288" s="3"/>
      <c r="V288" s="3"/>
      <c r="W288" s="3"/>
      <c r="X288" s="3"/>
      <c r="Y288" s="3"/>
      <c r="Z288" s="3"/>
    </row>
    <row r="289" ht="15.75" customHeight="1">
      <c r="A289" s="790"/>
      <c r="N289" s="821"/>
      <c r="Q289" s="3"/>
      <c r="R289" s="3"/>
      <c r="S289" s="3"/>
      <c r="T289" s="3"/>
      <c r="U289" s="3"/>
      <c r="V289" s="3"/>
      <c r="W289" s="3"/>
      <c r="X289" s="3"/>
      <c r="Y289" s="3"/>
      <c r="Z289" s="3"/>
    </row>
    <row r="290" ht="15.75" customHeight="1">
      <c r="A290" s="790"/>
      <c r="N290" s="821"/>
      <c r="Q290" s="3"/>
      <c r="R290" s="3"/>
      <c r="S290" s="3"/>
      <c r="T290" s="3"/>
      <c r="U290" s="3"/>
      <c r="V290" s="3"/>
      <c r="W290" s="3"/>
      <c r="X290" s="3"/>
      <c r="Y290" s="3"/>
      <c r="Z290" s="3"/>
    </row>
    <row r="291" ht="15.75" customHeight="1">
      <c r="A291" s="790"/>
      <c r="N291" s="821"/>
      <c r="Q291" s="3"/>
      <c r="R291" s="3"/>
      <c r="S291" s="3"/>
      <c r="T291" s="3"/>
      <c r="U291" s="3"/>
      <c r="V291" s="3"/>
      <c r="W291" s="3"/>
      <c r="X291" s="3"/>
      <c r="Y291" s="3"/>
      <c r="Z291" s="3"/>
    </row>
    <row r="292" ht="15.75" customHeight="1">
      <c r="A292" s="790"/>
      <c r="N292" s="821"/>
      <c r="Q292" s="3"/>
      <c r="R292" s="3"/>
      <c r="S292" s="3"/>
      <c r="T292" s="3"/>
      <c r="U292" s="3"/>
      <c r="V292" s="3"/>
      <c r="W292" s="3"/>
      <c r="X292" s="3"/>
      <c r="Y292" s="3"/>
      <c r="Z292" s="3"/>
    </row>
    <row r="293" ht="15.75" customHeight="1">
      <c r="A293" s="790"/>
      <c r="N293" s="821"/>
      <c r="Q293" s="3"/>
      <c r="R293" s="3"/>
      <c r="S293" s="3"/>
      <c r="T293" s="3"/>
      <c r="U293" s="3"/>
      <c r="V293" s="3"/>
      <c r="W293" s="3"/>
      <c r="X293" s="3"/>
      <c r="Y293" s="3"/>
      <c r="Z293" s="3"/>
    </row>
    <row r="294" ht="15.75" customHeight="1">
      <c r="A294" s="790"/>
      <c r="N294" s="821"/>
      <c r="Q294" s="3"/>
      <c r="R294" s="3"/>
      <c r="S294" s="3"/>
      <c r="T294" s="3"/>
      <c r="U294" s="3"/>
      <c r="V294" s="3"/>
      <c r="W294" s="3"/>
      <c r="X294" s="3"/>
      <c r="Y294" s="3"/>
      <c r="Z294" s="3"/>
    </row>
    <row r="295" ht="15.75" customHeight="1">
      <c r="A295" s="790"/>
      <c r="N295" s="821"/>
      <c r="Q295" s="3"/>
      <c r="R295" s="3"/>
      <c r="S295" s="3"/>
      <c r="T295" s="3"/>
      <c r="U295" s="3"/>
      <c r="V295" s="3"/>
      <c r="W295" s="3"/>
      <c r="X295" s="3"/>
      <c r="Y295" s="3"/>
      <c r="Z295" s="3"/>
    </row>
    <row r="296" ht="15.75" customHeight="1">
      <c r="A296" s="790"/>
      <c r="N296" s="821"/>
      <c r="Q296" s="3"/>
      <c r="R296" s="3"/>
      <c r="S296" s="3"/>
      <c r="T296" s="3"/>
      <c r="U296" s="3"/>
      <c r="V296" s="3"/>
      <c r="W296" s="3"/>
      <c r="X296" s="3"/>
      <c r="Y296" s="3"/>
      <c r="Z296" s="3"/>
    </row>
    <row r="297" ht="15.75" customHeight="1">
      <c r="A297" s="790"/>
      <c r="N297" s="821"/>
      <c r="Q297" s="3"/>
      <c r="R297" s="3"/>
      <c r="S297" s="3"/>
      <c r="T297" s="3"/>
      <c r="U297" s="3"/>
      <c r="V297" s="3"/>
      <c r="W297" s="3"/>
      <c r="X297" s="3"/>
      <c r="Y297" s="3"/>
      <c r="Z297" s="3"/>
    </row>
    <row r="298" ht="15.75" customHeight="1">
      <c r="A298" s="790"/>
      <c r="N298" s="821"/>
      <c r="Q298" s="3"/>
      <c r="R298" s="3"/>
      <c r="S298" s="3"/>
      <c r="T298" s="3"/>
      <c r="U298" s="3"/>
      <c r="V298" s="3"/>
      <c r="W298" s="3"/>
      <c r="X298" s="3"/>
      <c r="Y298" s="3"/>
      <c r="Z298" s="3"/>
    </row>
    <row r="299" ht="15.75" customHeight="1">
      <c r="A299" s="790"/>
      <c r="N299" s="821"/>
      <c r="Q299" s="3"/>
      <c r="R299" s="3"/>
      <c r="S299" s="3"/>
      <c r="T299" s="3"/>
      <c r="U299" s="3"/>
      <c r="V299" s="3"/>
      <c r="W299" s="3"/>
      <c r="X299" s="3"/>
      <c r="Y299" s="3"/>
      <c r="Z299" s="3"/>
    </row>
    <row r="300" ht="15.75" customHeight="1">
      <c r="A300" s="790"/>
      <c r="N300" s="821"/>
      <c r="Q300" s="3"/>
      <c r="R300" s="3"/>
      <c r="S300" s="3"/>
      <c r="T300" s="3"/>
      <c r="U300" s="3"/>
      <c r="V300" s="3"/>
      <c r="W300" s="3"/>
      <c r="X300" s="3"/>
      <c r="Y300" s="3"/>
      <c r="Z300" s="3"/>
    </row>
    <row r="301" ht="15.75" customHeight="1">
      <c r="A301" s="790"/>
      <c r="N301" s="821"/>
      <c r="Q301" s="3"/>
      <c r="R301" s="3"/>
      <c r="S301" s="3"/>
      <c r="T301" s="3"/>
      <c r="U301" s="3"/>
      <c r="V301" s="3"/>
      <c r="W301" s="3"/>
      <c r="X301" s="3"/>
      <c r="Y301" s="3"/>
      <c r="Z301" s="3"/>
    </row>
    <row r="302" ht="15.75" customHeight="1">
      <c r="A302" s="790"/>
      <c r="N302" s="821"/>
      <c r="Q302" s="3"/>
      <c r="R302" s="3"/>
      <c r="S302" s="3"/>
      <c r="T302" s="3"/>
      <c r="U302" s="3"/>
      <c r="V302" s="3"/>
      <c r="W302" s="3"/>
      <c r="X302" s="3"/>
      <c r="Y302" s="3"/>
      <c r="Z302" s="3"/>
    </row>
    <row r="303" ht="15.75" customHeight="1">
      <c r="A303" s="790"/>
      <c r="N303" s="821"/>
      <c r="Q303" s="3"/>
      <c r="R303" s="3"/>
      <c r="S303" s="3"/>
      <c r="T303" s="3"/>
      <c r="U303" s="3"/>
      <c r="V303" s="3"/>
      <c r="W303" s="3"/>
      <c r="X303" s="3"/>
      <c r="Y303" s="3"/>
      <c r="Z303" s="3"/>
    </row>
    <row r="304" ht="15.75" customHeight="1">
      <c r="A304" s="790"/>
      <c r="N304" s="821"/>
      <c r="Q304" s="3"/>
      <c r="R304" s="3"/>
      <c r="S304" s="3"/>
      <c r="T304" s="3"/>
      <c r="U304" s="3"/>
      <c r="V304" s="3"/>
      <c r="W304" s="3"/>
      <c r="X304" s="3"/>
      <c r="Y304" s="3"/>
      <c r="Z304" s="3"/>
    </row>
    <row r="305" ht="15.75" customHeight="1">
      <c r="A305" s="790"/>
      <c r="N305" s="821"/>
      <c r="Q305" s="3"/>
      <c r="R305" s="3"/>
      <c r="S305" s="3"/>
      <c r="T305" s="3"/>
      <c r="U305" s="3"/>
      <c r="V305" s="3"/>
      <c r="W305" s="3"/>
      <c r="X305" s="3"/>
      <c r="Y305" s="3"/>
      <c r="Z305" s="3"/>
    </row>
    <row r="306" ht="15.75" customHeight="1">
      <c r="A306" s="790"/>
      <c r="N306" s="821"/>
      <c r="Q306" s="3"/>
      <c r="R306" s="3"/>
      <c r="S306" s="3"/>
      <c r="T306" s="3"/>
      <c r="U306" s="3"/>
      <c r="V306" s="3"/>
      <c r="W306" s="3"/>
      <c r="X306" s="3"/>
      <c r="Y306" s="3"/>
      <c r="Z306" s="3"/>
    </row>
    <row r="307" ht="15.75" customHeight="1">
      <c r="A307" s="790"/>
      <c r="N307" s="821"/>
      <c r="Q307" s="3"/>
      <c r="R307" s="3"/>
      <c r="S307" s="3"/>
      <c r="T307" s="3"/>
      <c r="U307" s="3"/>
      <c r="V307" s="3"/>
      <c r="W307" s="3"/>
      <c r="X307" s="3"/>
      <c r="Y307" s="3"/>
      <c r="Z307" s="3"/>
    </row>
    <row r="308" ht="15.75" customHeight="1">
      <c r="A308" s="790"/>
      <c r="N308" s="821"/>
      <c r="Q308" s="3"/>
      <c r="R308" s="3"/>
      <c r="S308" s="3"/>
      <c r="T308" s="3"/>
      <c r="U308" s="3"/>
      <c r="V308" s="3"/>
      <c r="W308" s="3"/>
      <c r="X308" s="3"/>
      <c r="Y308" s="3"/>
      <c r="Z308" s="3"/>
    </row>
    <row r="309" ht="15.75" customHeight="1">
      <c r="A309" s="790"/>
      <c r="N309" s="821"/>
      <c r="Q309" s="3"/>
      <c r="R309" s="3"/>
      <c r="S309" s="3"/>
      <c r="T309" s="3"/>
      <c r="U309" s="3"/>
      <c r="V309" s="3"/>
      <c r="W309" s="3"/>
      <c r="X309" s="3"/>
      <c r="Y309" s="3"/>
      <c r="Z309" s="3"/>
    </row>
    <row r="310" ht="15.75" customHeight="1">
      <c r="A310" s="790"/>
      <c r="N310" s="821"/>
      <c r="Q310" s="3"/>
      <c r="R310" s="3"/>
      <c r="S310" s="3"/>
      <c r="T310" s="3"/>
      <c r="U310" s="3"/>
      <c r="V310" s="3"/>
      <c r="W310" s="3"/>
      <c r="X310" s="3"/>
      <c r="Y310" s="3"/>
      <c r="Z310" s="3"/>
    </row>
    <row r="311" ht="15.75" customHeight="1">
      <c r="A311" s="790"/>
      <c r="N311" s="821"/>
      <c r="Q311" s="3"/>
      <c r="R311" s="3"/>
      <c r="S311" s="3"/>
      <c r="T311" s="3"/>
      <c r="U311" s="3"/>
      <c r="V311" s="3"/>
      <c r="W311" s="3"/>
      <c r="X311" s="3"/>
      <c r="Y311" s="3"/>
      <c r="Z311" s="3"/>
    </row>
    <row r="312" ht="15.75" customHeight="1">
      <c r="A312" s="790"/>
      <c r="N312" s="821"/>
      <c r="Q312" s="3"/>
      <c r="R312" s="3"/>
      <c r="S312" s="3"/>
      <c r="T312" s="3"/>
      <c r="U312" s="3"/>
      <c r="V312" s="3"/>
      <c r="W312" s="3"/>
      <c r="X312" s="3"/>
      <c r="Y312" s="3"/>
      <c r="Z312" s="3"/>
    </row>
    <row r="313" ht="15.75" customHeight="1">
      <c r="A313" s="790"/>
      <c r="N313" s="821"/>
      <c r="Q313" s="3"/>
      <c r="R313" s="3"/>
      <c r="S313" s="3"/>
      <c r="T313" s="3"/>
      <c r="U313" s="3"/>
      <c r="V313" s="3"/>
      <c r="W313" s="3"/>
      <c r="X313" s="3"/>
      <c r="Y313" s="3"/>
      <c r="Z313" s="3"/>
    </row>
    <row r="314" ht="15.75" customHeight="1">
      <c r="A314" s="790"/>
      <c r="N314" s="821"/>
      <c r="Q314" s="3"/>
      <c r="R314" s="3"/>
      <c r="S314" s="3"/>
      <c r="T314" s="3"/>
      <c r="U314" s="3"/>
      <c r="V314" s="3"/>
      <c r="W314" s="3"/>
      <c r="X314" s="3"/>
      <c r="Y314" s="3"/>
      <c r="Z314" s="3"/>
    </row>
    <row r="315" ht="15.75" customHeight="1">
      <c r="A315" s="790"/>
      <c r="N315" s="821"/>
      <c r="Q315" s="3"/>
      <c r="R315" s="3"/>
      <c r="S315" s="3"/>
      <c r="T315" s="3"/>
      <c r="U315" s="3"/>
      <c r="V315" s="3"/>
      <c r="W315" s="3"/>
      <c r="X315" s="3"/>
      <c r="Y315" s="3"/>
      <c r="Z315" s="3"/>
    </row>
    <row r="316" ht="15.75" customHeight="1">
      <c r="A316" s="790"/>
      <c r="N316" s="821"/>
      <c r="Q316" s="3"/>
      <c r="R316" s="3"/>
      <c r="S316" s="3"/>
      <c r="T316" s="3"/>
      <c r="U316" s="3"/>
      <c r="V316" s="3"/>
      <c r="W316" s="3"/>
      <c r="X316" s="3"/>
      <c r="Y316" s="3"/>
      <c r="Z316" s="3"/>
    </row>
    <row r="317" ht="15.75" customHeight="1">
      <c r="A317" s="790"/>
      <c r="N317" s="821"/>
      <c r="Q317" s="3"/>
      <c r="R317" s="3"/>
      <c r="S317" s="3"/>
      <c r="T317" s="3"/>
      <c r="U317" s="3"/>
      <c r="V317" s="3"/>
      <c r="W317" s="3"/>
      <c r="X317" s="3"/>
      <c r="Y317" s="3"/>
      <c r="Z317" s="3"/>
    </row>
    <row r="318" ht="15.75" customHeight="1">
      <c r="A318" s="790"/>
      <c r="N318" s="821"/>
      <c r="Q318" s="3"/>
      <c r="R318" s="3"/>
      <c r="S318" s="3"/>
      <c r="T318" s="3"/>
      <c r="U318" s="3"/>
      <c r="V318" s="3"/>
      <c r="W318" s="3"/>
      <c r="X318" s="3"/>
      <c r="Y318" s="3"/>
      <c r="Z318" s="3"/>
    </row>
    <row r="319" ht="15.75" customHeight="1">
      <c r="A319" s="790"/>
      <c r="N319" s="821"/>
      <c r="Q319" s="3"/>
      <c r="R319" s="3"/>
      <c r="S319" s="3"/>
      <c r="T319" s="3"/>
      <c r="U319" s="3"/>
      <c r="V319" s="3"/>
      <c r="W319" s="3"/>
      <c r="X319" s="3"/>
      <c r="Y319" s="3"/>
      <c r="Z319" s="3"/>
    </row>
    <row r="320" ht="15.75" customHeight="1">
      <c r="A320" s="790"/>
      <c r="N320" s="821"/>
      <c r="Q320" s="3"/>
      <c r="R320" s="3"/>
      <c r="S320" s="3"/>
      <c r="T320" s="3"/>
      <c r="U320" s="3"/>
      <c r="V320" s="3"/>
      <c r="W320" s="3"/>
      <c r="X320" s="3"/>
      <c r="Y320" s="3"/>
      <c r="Z320" s="3"/>
    </row>
    <row r="321" ht="15.75" customHeight="1">
      <c r="A321" s="790"/>
      <c r="N321" s="583"/>
      <c r="Q321" s="3"/>
      <c r="R321" s="3"/>
      <c r="S321" s="3"/>
      <c r="T321" s="3"/>
      <c r="U321" s="3"/>
      <c r="V321" s="3"/>
      <c r="W321" s="3"/>
      <c r="X321" s="3"/>
      <c r="Y321" s="3"/>
      <c r="Z321" s="3"/>
    </row>
    <row r="322" ht="15.75" customHeight="1">
      <c r="A322" s="790"/>
      <c r="N322" s="583"/>
      <c r="Q322" s="3"/>
      <c r="R322" s="3"/>
      <c r="S322" s="3"/>
      <c r="T322" s="3"/>
      <c r="U322" s="3"/>
      <c r="V322" s="3"/>
      <c r="W322" s="3"/>
      <c r="X322" s="3"/>
      <c r="Y322" s="3"/>
      <c r="Z322" s="3"/>
    </row>
    <row r="323" ht="15.75" customHeight="1">
      <c r="A323" s="790"/>
      <c r="N323" s="583"/>
      <c r="Q323" s="3"/>
      <c r="R323" s="3"/>
      <c r="S323" s="3"/>
      <c r="T323" s="3"/>
      <c r="U323" s="3"/>
      <c r="V323" s="3"/>
      <c r="W323" s="3"/>
      <c r="X323" s="3"/>
      <c r="Y323" s="3"/>
      <c r="Z323" s="3"/>
    </row>
    <row r="324" ht="15.75" customHeight="1">
      <c r="A324" s="790"/>
      <c r="N324" s="583"/>
      <c r="Q324" s="3"/>
      <c r="R324" s="3"/>
      <c r="S324" s="3"/>
      <c r="T324" s="3"/>
      <c r="U324" s="3"/>
      <c r="V324" s="3"/>
      <c r="W324" s="3"/>
      <c r="X324" s="3"/>
      <c r="Y324" s="3"/>
      <c r="Z324" s="3"/>
    </row>
    <row r="325" ht="15.75" customHeight="1">
      <c r="A325" s="790"/>
      <c r="N325" s="583"/>
      <c r="Q325" s="3"/>
      <c r="R325" s="3"/>
      <c r="S325" s="3"/>
      <c r="T325" s="3"/>
      <c r="U325" s="3"/>
      <c r="V325" s="3"/>
      <c r="W325" s="3"/>
      <c r="X325" s="3"/>
      <c r="Y325" s="3"/>
      <c r="Z325" s="3"/>
    </row>
    <row r="326" ht="15.75" customHeight="1">
      <c r="A326" s="790"/>
      <c r="N326" s="583"/>
      <c r="Q326" s="3"/>
      <c r="R326" s="3"/>
      <c r="S326" s="3"/>
      <c r="T326" s="3"/>
      <c r="U326" s="3"/>
      <c r="V326" s="3"/>
      <c r="W326" s="3"/>
      <c r="X326" s="3"/>
      <c r="Y326" s="3"/>
      <c r="Z326" s="3"/>
    </row>
    <row r="327" ht="15.75" customHeight="1">
      <c r="A327" s="790"/>
      <c r="N327" s="583"/>
      <c r="Q327" s="3"/>
      <c r="R327" s="3"/>
      <c r="S327" s="3"/>
      <c r="T327" s="3"/>
      <c r="U327" s="3"/>
      <c r="V327" s="3"/>
      <c r="W327" s="3"/>
      <c r="X327" s="3"/>
      <c r="Y327" s="3"/>
      <c r="Z327" s="3"/>
    </row>
    <row r="328" ht="15.75" customHeight="1">
      <c r="A328" s="790"/>
      <c r="N328" s="583"/>
      <c r="Q328" s="3"/>
      <c r="R328" s="3"/>
      <c r="S328" s="3"/>
      <c r="T328" s="3"/>
      <c r="U328" s="3"/>
      <c r="V328" s="3"/>
      <c r="W328" s="3"/>
      <c r="X328" s="3"/>
      <c r="Y328" s="3"/>
      <c r="Z328" s="3"/>
    </row>
    <row r="329" ht="15.75" customHeight="1">
      <c r="A329" s="790"/>
      <c r="N329" s="583"/>
      <c r="Q329" s="3"/>
      <c r="R329" s="3"/>
      <c r="S329" s="3"/>
      <c r="T329" s="3"/>
      <c r="U329" s="3"/>
      <c r="V329" s="3"/>
      <c r="W329" s="3"/>
      <c r="X329" s="3"/>
      <c r="Y329" s="3"/>
      <c r="Z329" s="3"/>
    </row>
    <row r="330" ht="15.75" customHeight="1">
      <c r="A330" s="790"/>
      <c r="N330" s="583"/>
      <c r="Q330" s="3"/>
      <c r="R330" s="3"/>
      <c r="S330" s="3"/>
      <c r="T330" s="3"/>
      <c r="U330" s="3"/>
      <c r="V330" s="3"/>
      <c r="W330" s="3"/>
      <c r="X330" s="3"/>
      <c r="Y330" s="3"/>
      <c r="Z330" s="3"/>
    </row>
    <row r="331" ht="15.75" customHeight="1">
      <c r="A331" s="790"/>
      <c r="N331" s="583"/>
      <c r="Q331" s="3"/>
      <c r="R331" s="3"/>
      <c r="S331" s="3"/>
      <c r="T331" s="3"/>
      <c r="U331" s="3"/>
      <c r="V331" s="3"/>
      <c r="W331" s="3"/>
      <c r="X331" s="3"/>
      <c r="Y331" s="3"/>
      <c r="Z331" s="3"/>
    </row>
    <row r="332" ht="15.75" customHeight="1">
      <c r="A332" s="790"/>
      <c r="N332" s="583"/>
      <c r="Q332" s="3"/>
      <c r="R332" s="3"/>
      <c r="S332" s="3"/>
      <c r="T332" s="3"/>
      <c r="U332" s="3"/>
      <c r="V332" s="3"/>
      <c r="W332" s="3"/>
      <c r="X332" s="3"/>
      <c r="Y332" s="3"/>
      <c r="Z332" s="3"/>
    </row>
    <row r="333" ht="15.75" customHeight="1">
      <c r="A333" s="790"/>
      <c r="N333" s="583"/>
      <c r="Q333" s="3"/>
      <c r="R333" s="3"/>
      <c r="S333" s="3"/>
      <c r="T333" s="3"/>
      <c r="U333" s="3"/>
      <c r="V333" s="3"/>
      <c r="W333" s="3"/>
      <c r="X333" s="3"/>
      <c r="Y333" s="3"/>
      <c r="Z333" s="3"/>
    </row>
    <row r="334" ht="15.75" customHeight="1">
      <c r="A334" s="790"/>
      <c r="N334" s="583"/>
      <c r="Q334" s="3"/>
      <c r="R334" s="3"/>
      <c r="S334" s="3"/>
      <c r="T334" s="3"/>
      <c r="U334" s="3"/>
      <c r="V334" s="3"/>
      <c r="W334" s="3"/>
      <c r="X334" s="3"/>
      <c r="Y334" s="3"/>
      <c r="Z334" s="3"/>
    </row>
    <row r="335" ht="15.75" customHeight="1">
      <c r="A335" s="790"/>
      <c r="N335" s="583"/>
      <c r="Q335" s="3"/>
      <c r="R335" s="3"/>
      <c r="S335" s="3"/>
      <c r="T335" s="3"/>
      <c r="U335" s="3"/>
      <c r="V335" s="3"/>
      <c r="W335" s="3"/>
      <c r="X335" s="3"/>
      <c r="Y335" s="3"/>
      <c r="Z335" s="3"/>
    </row>
    <row r="336" ht="15.75" customHeight="1">
      <c r="A336" s="790"/>
      <c r="N336" s="583"/>
      <c r="Q336" s="3"/>
      <c r="R336" s="3"/>
      <c r="S336" s="3"/>
      <c r="T336" s="3"/>
      <c r="U336" s="3"/>
      <c r="V336" s="3"/>
      <c r="W336" s="3"/>
      <c r="X336" s="3"/>
      <c r="Y336" s="3"/>
      <c r="Z336" s="3"/>
    </row>
    <row r="337" ht="15.75" customHeight="1">
      <c r="A337" s="790"/>
      <c r="N337" s="583"/>
      <c r="Q337" s="3"/>
      <c r="R337" s="3"/>
      <c r="S337" s="3"/>
      <c r="T337" s="3"/>
      <c r="U337" s="3"/>
      <c r="V337" s="3"/>
      <c r="W337" s="3"/>
      <c r="X337" s="3"/>
      <c r="Y337" s="3"/>
      <c r="Z337" s="3"/>
    </row>
    <row r="338" ht="15.75" customHeight="1">
      <c r="A338" s="790"/>
      <c r="N338" s="583"/>
      <c r="Q338" s="3"/>
      <c r="R338" s="3"/>
      <c r="S338" s="3"/>
      <c r="T338" s="3"/>
      <c r="U338" s="3"/>
      <c r="V338" s="3"/>
      <c r="W338" s="3"/>
      <c r="X338" s="3"/>
      <c r="Y338" s="3"/>
      <c r="Z338" s="3"/>
    </row>
    <row r="339" ht="15.75" customHeight="1">
      <c r="A339" s="790"/>
      <c r="N339" s="583"/>
      <c r="Q339" s="3"/>
      <c r="R339" s="3"/>
      <c r="S339" s="3"/>
      <c r="T339" s="3"/>
      <c r="U339" s="3"/>
      <c r="V339" s="3"/>
      <c r="W339" s="3"/>
      <c r="X339" s="3"/>
      <c r="Y339" s="3"/>
      <c r="Z339" s="3"/>
    </row>
    <row r="340" ht="15.75" customHeight="1">
      <c r="A340" s="790"/>
      <c r="N340" s="583"/>
      <c r="Q340" s="3"/>
      <c r="R340" s="3"/>
      <c r="S340" s="3"/>
      <c r="T340" s="3"/>
      <c r="U340" s="3"/>
      <c r="V340" s="3"/>
      <c r="W340" s="3"/>
      <c r="X340" s="3"/>
      <c r="Y340" s="3"/>
      <c r="Z340" s="3"/>
    </row>
    <row r="341" ht="15.75" customHeight="1">
      <c r="A341" s="790"/>
      <c r="N341" s="583"/>
      <c r="Q341" s="3"/>
      <c r="R341" s="3"/>
      <c r="S341" s="3"/>
      <c r="T341" s="3"/>
      <c r="U341" s="3"/>
      <c r="V341" s="3"/>
      <c r="W341" s="3"/>
      <c r="X341" s="3"/>
      <c r="Y341" s="3"/>
      <c r="Z341" s="3"/>
    </row>
    <row r="342" ht="15.75" customHeight="1">
      <c r="A342" s="790"/>
      <c r="N342" s="583"/>
      <c r="Q342" s="3"/>
      <c r="R342" s="3"/>
      <c r="S342" s="3"/>
      <c r="T342" s="3"/>
      <c r="U342" s="3"/>
      <c r="V342" s="3"/>
      <c r="W342" s="3"/>
      <c r="X342" s="3"/>
      <c r="Y342" s="3"/>
      <c r="Z342" s="3"/>
    </row>
    <row r="343" ht="15.75" customHeight="1">
      <c r="A343" s="790"/>
      <c r="N343" s="583"/>
      <c r="Q343" s="3"/>
      <c r="R343" s="3"/>
      <c r="S343" s="3"/>
      <c r="T343" s="3"/>
      <c r="U343" s="3"/>
      <c r="V343" s="3"/>
      <c r="W343" s="3"/>
      <c r="X343" s="3"/>
      <c r="Y343" s="3"/>
      <c r="Z343" s="3"/>
    </row>
    <row r="344" ht="15.75" customHeight="1">
      <c r="A344" s="790"/>
      <c r="N344" s="583"/>
      <c r="Q344" s="3"/>
      <c r="R344" s="3"/>
      <c r="S344" s="3"/>
      <c r="T344" s="3"/>
      <c r="U344" s="3"/>
      <c r="V344" s="3"/>
      <c r="W344" s="3"/>
      <c r="X344" s="3"/>
      <c r="Y344" s="3"/>
      <c r="Z344" s="3"/>
    </row>
    <row r="345" ht="15.75" customHeight="1">
      <c r="A345" s="790"/>
      <c r="N345" s="583"/>
      <c r="Q345" s="3"/>
      <c r="R345" s="3"/>
      <c r="S345" s="3"/>
      <c r="T345" s="3"/>
      <c r="U345" s="3"/>
      <c r="V345" s="3"/>
      <c r="W345" s="3"/>
      <c r="X345" s="3"/>
      <c r="Y345" s="3"/>
      <c r="Z345" s="3"/>
    </row>
    <row r="346" ht="15.75" customHeight="1">
      <c r="A346" s="790"/>
      <c r="N346" s="583"/>
      <c r="Q346" s="3"/>
      <c r="R346" s="3"/>
      <c r="S346" s="3"/>
      <c r="T346" s="3"/>
      <c r="U346" s="3"/>
      <c r="V346" s="3"/>
      <c r="W346" s="3"/>
      <c r="X346" s="3"/>
      <c r="Y346" s="3"/>
      <c r="Z346" s="3"/>
    </row>
    <row r="347" ht="15.75" customHeight="1">
      <c r="A347" s="790"/>
      <c r="N347" s="583"/>
      <c r="Q347" s="3"/>
      <c r="R347" s="3"/>
      <c r="S347" s="3"/>
      <c r="T347" s="3"/>
      <c r="U347" s="3"/>
      <c r="V347" s="3"/>
      <c r="W347" s="3"/>
      <c r="X347" s="3"/>
      <c r="Y347" s="3"/>
      <c r="Z347" s="3"/>
    </row>
    <row r="348" ht="15.75" customHeight="1">
      <c r="A348" s="790"/>
      <c r="N348" s="583"/>
      <c r="Q348" s="3"/>
      <c r="R348" s="3"/>
      <c r="S348" s="3"/>
      <c r="T348" s="3"/>
      <c r="U348" s="3"/>
      <c r="V348" s="3"/>
      <c r="W348" s="3"/>
      <c r="X348" s="3"/>
      <c r="Y348" s="3"/>
      <c r="Z348" s="3"/>
    </row>
    <row r="349" ht="15.75" customHeight="1">
      <c r="A349" s="790"/>
      <c r="N349" s="583"/>
      <c r="Q349" s="3"/>
      <c r="R349" s="3"/>
      <c r="S349" s="3"/>
      <c r="T349" s="3"/>
      <c r="U349" s="3"/>
      <c r="V349" s="3"/>
      <c r="W349" s="3"/>
      <c r="X349" s="3"/>
      <c r="Y349" s="3"/>
      <c r="Z349" s="3"/>
    </row>
    <row r="350" ht="15.75" customHeight="1">
      <c r="A350" s="790"/>
      <c r="N350" s="583"/>
      <c r="Q350" s="3"/>
      <c r="R350" s="3"/>
      <c r="S350" s="3"/>
      <c r="T350" s="3"/>
      <c r="U350" s="3"/>
      <c r="V350" s="3"/>
      <c r="W350" s="3"/>
      <c r="X350" s="3"/>
      <c r="Y350" s="3"/>
      <c r="Z350" s="3"/>
    </row>
    <row r="351" ht="15.75" customHeight="1">
      <c r="A351" s="790"/>
      <c r="N351" s="583"/>
      <c r="Q351" s="3"/>
      <c r="R351" s="3"/>
      <c r="S351" s="3"/>
      <c r="T351" s="3"/>
      <c r="U351" s="3"/>
      <c r="V351" s="3"/>
      <c r="W351" s="3"/>
      <c r="X351" s="3"/>
      <c r="Y351" s="3"/>
      <c r="Z351" s="3"/>
    </row>
    <row r="352" ht="15.75" customHeight="1">
      <c r="A352" s="790"/>
      <c r="N352" s="583"/>
      <c r="Q352" s="3"/>
      <c r="R352" s="3"/>
      <c r="S352" s="3"/>
      <c r="T352" s="3"/>
      <c r="U352" s="3"/>
      <c r="V352" s="3"/>
      <c r="W352" s="3"/>
      <c r="X352" s="3"/>
      <c r="Y352" s="3"/>
      <c r="Z352" s="3"/>
    </row>
    <row r="353" ht="15.75" customHeight="1">
      <c r="A353" s="790"/>
      <c r="N353" s="583"/>
      <c r="Q353" s="3"/>
      <c r="R353" s="3"/>
      <c r="S353" s="3"/>
      <c r="T353" s="3"/>
      <c r="U353" s="3"/>
      <c r="V353" s="3"/>
      <c r="W353" s="3"/>
      <c r="X353" s="3"/>
      <c r="Y353" s="3"/>
      <c r="Z353" s="3"/>
    </row>
    <row r="354" ht="15.75" customHeight="1">
      <c r="A354" s="790"/>
      <c r="N354" s="583"/>
      <c r="Q354" s="3"/>
      <c r="R354" s="3"/>
      <c r="S354" s="3"/>
      <c r="T354" s="3"/>
      <c r="U354" s="3"/>
      <c r="V354" s="3"/>
      <c r="W354" s="3"/>
      <c r="X354" s="3"/>
      <c r="Y354" s="3"/>
      <c r="Z354" s="3"/>
    </row>
    <row r="355" ht="15.75" customHeight="1">
      <c r="A355" s="790"/>
      <c r="N355" s="583"/>
      <c r="Q355" s="3"/>
      <c r="R355" s="3"/>
      <c r="S355" s="3"/>
      <c r="T355" s="3"/>
      <c r="U355" s="3"/>
      <c r="V355" s="3"/>
      <c r="W355" s="3"/>
      <c r="X355" s="3"/>
      <c r="Y355" s="3"/>
      <c r="Z355" s="3"/>
    </row>
    <row r="356" ht="15.75" customHeight="1">
      <c r="A356" s="790"/>
      <c r="N356" s="583"/>
      <c r="Q356" s="3"/>
      <c r="R356" s="3"/>
      <c r="S356" s="3"/>
      <c r="T356" s="3"/>
      <c r="U356" s="3"/>
      <c r="V356" s="3"/>
      <c r="W356" s="3"/>
      <c r="X356" s="3"/>
      <c r="Y356" s="3"/>
      <c r="Z356" s="3"/>
    </row>
    <row r="357" ht="15.75" customHeight="1">
      <c r="A357" s="790"/>
      <c r="N357" s="583"/>
      <c r="Q357" s="3"/>
      <c r="R357" s="3"/>
      <c r="S357" s="3"/>
      <c r="T357" s="3"/>
      <c r="U357" s="3"/>
      <c r="V357" s="3"/>
      <c r="W357" s="3"/>
      <c r="X357" s="3"/>
      <c r="Y357" s="3"/>
      <c r="Z357" s="3"/>
    </row>
    <row r="358" ht="15.75" customHeight="1">
      <c r="A358" s="790"/>
      <c r="N358" s="583"/>
      <c r="Q358" s="3"/>
      <c r="R358" s="3"/>
      <c r="S358" s="3"/>
      <c r="T358" s="3"/>
      <c r="U358" s="3"/>
      <c r="V358" s="3"/>
      <c r="W358" s="3"/>
      <c r="X358" s="3"/>
      <c r="Y358" s="3"/>
      <c r="Z358" s="3"/>
    </row>
    <row r="359" ht="15.75" customHeight="1">
      <c r="A359" s="790"/>
      <c r="N359" s="583"/>
      <c r="Q359" s="3"/>
      <c r="R359" s="3"/>
      <c r="S359" s="3"/>
      <c r="T359" s="3"/>
      <c r="U359" s="3"/>
      <c r="V359" s="3"/>
      <c r="W359" s="3"/>
      <c r="X359" s="3"/>
      <c r="Y359" s="3"/>
      <c r="Z359" s="3"/>
    </row>
    <row r="360" ht="15.75" customHeight="1">
      <c r="A360" s="790"/>
      <c r="N360" s="583"/>
      <c r="Q360" s="3"/>
      <c r="R360" s="3"/>
      <c r="S360" s="3"/>
      <c r="T360" s="3"/>
      <c r="U360" s="3"/>
      <c r="V360" s="3"/>
      <c r="W360" s="3"/>
      <c r="X360" s="3"/>
      <c r="Y360" s="3"/>
      <c r="Z360" s="3"/>
    </row>
    <row r="361" ht="15.75" customHeight="1">
      <c r="A361" s="790"/>
      <c r="N361" s="583"/>
      <c r="Q361" s="3"/>
      <c r="R361" s="3"/>
      <c r="S361" s="3"/>
      <c r="T361" s="3"/>
      <c r="U361" s="3"/>
      <c r="V361" s="3"/>
      <c r="W361" s="3"/>
      <c r="X361" s="3"/>
      <c r="Y361" s="3"/>
      <c r="Z361" s="3"/>
    </row>
    <row r="362" ht="15.75" customHeight="1">
      <c r="A362" s="790"/>
      <c r="N362" s="583"/>
      <c r="Q362" s="3"/>
      <c r="R362" s="3"/>
      <c r="S362" s="3"/>
      <c r="T362" s="3"/>
      <c r="U362" s="3"/>
      <c r="V362" s="3"/>
      <c r="W362" s="3"/>
      <c r="X362" s="3"/>
      <c r="Y362" s="3"/>
      <c r="Z362" s="3"/>
    </row>
    <row r="363" ht="15.75" customHeight="1">
      <c r="A363" s="790"/>
      <c r="N363" s="583"/>
      <c r="Q363" s="3"/>
      <c r="R363" s="3"/>
      <c r="S363" s="3"/>
      <c r="T363" s="3"/>
      <c r="U363" s="3"/>
      <c r="V363" s="3"/>
      <c r="W363" s="3"/>
      <c r="X363" s="3"/>
      <c r="Y363" s="3"/>
      <c r="Z363" s="3"/>
    </row>
    <row r="364" ht="15.75" customHeight="1">
      <c r="A364" s="790"/>
      <c r="N364" s="583"/>
      <c r="Q364" s="3"/>
      <c r="R364" s="3"/>
      <c r="S364" s="3"/>
      <c r="T364" s="3"/>
      <c r="U364" s="3"/>
      <c r="V364" s="3"/>
      <c r="W364" s="3"/>
      <c r="X364" s="3"/>
      <c r="Y364" s="3"/>
      <c r="Z364" s="3"/>
    </row>
    <row r="365" ht="15.75" customHeight="1">
      <c r="A365" s="790"/>
      <c r="N365" s="583"/>
      <c r="Q365" s="3"/>
      <c r="R365" s="3"/>
      <c r="S365" s="3"/>
      <c r="T365" s="3"/>
      <c r="U365" s="3"/>
      <c r="V365" s="3"/>
      <c r="W365" s="3"/>
      <c r="X365" s="3"/>
      <c r="Y365" s="3"/>
      <c r="Z365" s="3"/>
    </row>
    <row r="366" ht="15.75" customHeight="1">
      <c r="A366" s="790"/>
      <c r="N366" s="583"/>
      <c r="Q366" s="3"/>
      <c r="R366" s="3"/>
      <c r="S366" s="3"/>
      <c r="T366" s="3"/>
      <c r="U366" s="3"/>
      <c r="V366" s="3"/>
      <c r="W366" s="3"/>
      <c r="X366" s="3"/>
      <c r="Y366" s="3"/>
      <c r="Z366" s="3"/>
    </row>
    <row r="367" ht="15.75" customHeight="1">
      <c r="A367" s="790"/>
      <c r="N367" s="583"/>
      <c r="Q367" s="3"/>
      <c r="R367" s="3"/>
      <c r="S367" s="3"/>
      <c r="T367" s="3"/>
      <c r="U367" s="3"/>
      <c r="V367" s="3"/>
      <c r="W367" s="3"/>
      <c r="X367" s="3"/>
      <c r="Y367" s="3"/>
      <c r="Z367" s="3"/>
    </row>
    <row r="368" ht="15.75" customHeight="1">
      <c r="A368" s="790"/>
      <c r="N368" s="583"/>
      <c r="Q368" s="3"/>
      <c r="R368" s="3"/>
      <c r="S368" s="3"/>
      <c r="T368" s="3"/>
      <c r="U368" s="3"/>
      <c r="V368" s="3"/>
      <c r="W368" s="3"/>
      <c r="X368" s="3"/>
      <c r="Y368" s="3"/>
      <c r="Z368" s="3"/>
    </row>
    <row r="369" ht="15.75" customHeight="1">
      <c r="A369" s="790"/>
      <c r="N369" s="583"/>
      <c r="Q369" s="3"/>
      <c r="R369" s="3"/>
      <c r="S369" s="3"/>
      <c r="T369" s="3"/>
      <c r="U369" s="3"/>
      <c r="V369" s="3"/>
      <c r="W369" s="3"/>
      <c r="X369" s="3"/>
      <c r="Y369" s="3"/>
      <c r="Z369" s="3"/>
    </row>
    <row r="370" ht="15.75" customHeight="1">
      <c r="A370" s="790"/>
      <c r="N370" s="583"/>
      <c r="Q370" s="3"/>
      <c r="R370" s="3"/>
      <c r="S370" s="3"/>
      <c r="T370" s="3"/>
      <c r="U370" s="3"/>
      <c r="V370" s="3"/>
      <c r="W370" s="3"/>
      <c r="X370" s="3"/>
      <c r="Y370" s="3"/>
      <c r="Z370" s="3"/>
    </row>
    <row r="371" ht="15.75" customHeight="1">
      <c r="A371" s="790"/>
      <c r="N371" s="583"/>
      <c r="Q371" s="3"/>
      <c r="R371" s="3"/>
      <c r="S371" s="3"/>
      <c r="T371" s="3"/>
      <c r="U371" s="3"/>
      <c r="V371" s="3"/>
      <c r="W371" s="3"/>
      <c r="X371" s="3"/>
      <c r="Y371" s="3"/>
      <c r="Z371" s="3"/>
    </row>
    <row r="372" ht="15.75" customHeight="1">
      <c r="A372" s="790"/>
      <c r="N372" s="583"/>
      <c r="Q372" s="3"/>
      <c r="R372" s="3"/>
      <c r="S372" s="3"/>
      <c r="T372" s="3"/>
      <c r="U372" s="3"/>
      <c r="V372" s="3"/>
      <c r="W372" s="3"/>
      <c r="X372" s="3"/>
      <c r="Y372" s="3"/>
      <c r="Z372" s="3"/>
    </row>
    <row r="373" ht="15.75" customHeight="1">
      <c r="A373" s="790"/>
      <c r="N373" s="583"/>
      <c r="Q373" s="3"/>
      <c r="R373" s="3"/>
      <c r="S373" s="3"/>
      <c r="T373" s="3"/>
      <c r="U373" s="3"/>
      <c r="V373" s="3"/>
      <c r="W373" s="3"/>
      <c r="X373" s="3"/>
      <c r="Y373" s="3"/>
      <c r="Z373" s="3"/>
    </row>
    <row r="374" ht="15.75" customHeight="1">
      <c r="A374" s="790"/>
      <c r="N374" s="583"/>
      <c r="Q374" s="3"/>
      <c r="R374" s="3"/>
      <c r="S374" s="3"/>
      <c r="T374" s="3"/>
      <c r="U374" s="3"/>
      <c r="V374" s="3"/>
      <c r="W374" s="3"/>
      <c r="X374" s="3"/>
      <c r="Y374" s="3"/>
      <c r="Z374" s="3"/>
    </row>
    <row r="375" ht="15.75" customHeight="1">
      <c r="A375" s="790"/>
      <c r="N375" s="583"/>
      <c r="Q375" s="3"/>
      <c r="R375" s="3"/>
      <c r="S375" s="3"/>
      <c r="T375" s="3"/>
      <c r="U375" s="3"/>
      <c r="V375" s="3"/>
      <c r="W375" s="3"/>
      <c r="X375" s="3"/>
      <c r="Y375" s="3"/>
      <c r="Z375" s="3"/>
    </row>
    <row r="376" ht="15.75" customHeight="1">
      <c r="A376" s="790"/>
      <c r="N376" s="583"/>
      <c r="Q376" s="3"/>
      <c r="R376" s="3"/>
      <c r="S376" s="3"/>
      <c r="T376" s="3"/>
      <c r="U376" s="3"/>
      <c r="V376" s="3"/>
      <c r="W376" s="3"/>
      <c r="X376" s="3"/>
      <c r="Y376" s="3"/>
      <c r="Z376" s="3"/>
    </row>
    <row r="377" ht="15.75" customHeight="1">
      <c r="A377" s="790"/>
      <c r="N377" s="583"/>
      <c r="Q377" s="3"/>
      <c r="R377" s="3"/>
      <c r="S377" s="3"/>
      <c r="T377" s="3"/>
      <c r="U377" s="3"/>
      <c r="V377" s="3"/>
      <c r="W377" s="3"/>
      <c r="X377" s="3"/>
      <c r="Y377" s="3"/>
      <c r="Z377" s="3"/>
    </row>
    <row r="378" ht="15.75" customHeight="1">
      <c r="A378" s="790"/>
      <c r="N378" s="583"/>
      <c r="Q378" s="3"/>
      <c r="R378" s="3"/>
      <c r="S378" s="3"/>
      <c r="T378" s="3"/>
      <c r="U378" s="3"/>
      <c r="V378" s="3"/>
      <c r="W378" s="3"/>
      <c r="X378" s="3"/>
      <c r="Y378" s="3"/>
      <c r="Z378" s="3"/>
    </row>
    <row r="379" ht="15.75" customHeight="1">
      <c r="A379" s="790"/>
      <c r="N379" s="583"/>
      <c r="Q379" s="3"/>
      <c r="R379" s="3"/>
      <c r="S379" s="3"/>
      <c r="T379" s="3"/>
      <c r="U379" s="3"/>
      <c r="V379" s="3"/>
      <c r="W379" s="3"/>
      <c r="X379" s="3"/>
      <c r="Y379" s="3"/>
      <c r="Z379" s="3"/>
    </row>
    <row r="380" ht="15.75" customHeight="1">
      <c r="A380" s="790"/>
      <c r="N380" s="583"/>
      <c r="Q380" s="3"/>
      <c r="R380" s="3"/>
      <c r="S380" s="3"/>
      <c r="T380" s="3"/>
      <c r="U380" s="3"/>
      <c r="V380" s="3"/>
      <c r="W380" s="3"/>
      <c r="X380" s="3"/>
      <c r="Y380" s="3"/>
      <c r="Z380" s="3"/>
    </row>
    <row r="381" ht="15.75" customHeight="1">
      <c r="A381" s="790"/>
      <c r="N381" s="583"/>
      <c r="Q381" s="3"/>
      <c r="R381" s="3"/>
      <c r="S381" s="3"/>
      <c r="T381" s="3"/>
      <c r="U381" s="3"/>
      <c r="V381" s="3"/>
      <c r="W381" s="3"/>
      <c r="X381" s="3"/>
      <c r="Y381" s="3"/>
      <c r="Z381" s="3"/>
    </row>
    <row r="382" ht="15.75" customHeight="1">
      <c r="A382" s="790"/>
      <c r="N382" s="583"/>
      <c r="Q382" s="3"/>
      <c r="R382" s="3"/>
      <c r="S382" s="3"/>
      <c r="T382" s="3"/>
      <c r="U382" s="3"/>
      <c r="V382" s="3"/>
      <c r="W382" s="3"/>
      <c r="X382" s="3"/>
      <c r="Y382" s="3"/>
      <c r="Z382" s="3"/>
    </row>
    <row r="383" ht="15.75" customHeight="1">
      <c r="A383" s="790"/>
      <c r="N383" s="583"/>
      <c r="Q383" s="3"/>
      <c r="R383" s="3"/>
      <c r="S383" s="3"/>
      <c r="T383" s="3"/>
      <c r="U383" s="3"/>
      <c r="V383" s="3"/>
      <c r="W383" s="3"/>
      <c r="X383" s="3"/>
      <c r="Y383" s="3"/>
      <c r="Z383" s="3"/>
    </row>
    <row r="384" ht="15.75" customHeight="1">
      <c r="A384" s="790"/>
      <c r="N384" s="583"/>
      <c r="Q384" s="3"/>
      <c r="R384" s="3"/>
      <c r="S384" s="3"/>
      <c r="T384" s="3"/>
      <c r="U384" s="3"/>
      <c r="V384" s="3"/>
      <c r="W384" s="3"/>
      <c r="X384" s="3"/>
      <c r="Y384" s="3"/>
      <c r="Z384" s="3"/>
    </row>
    <row r="385" ht="15.75" customHeight="1">
      <c r="A385" s="790"/>
      <c r="N385" s="583"/>
      <c r="Q385" s="3"/>
      <c r="R385" s="3"/>
      <c r="S385" s="3"/>
      <c r="T385" s="3"/>
      <c r="U385" s="3"/>
      <c r="V385" s="3"/>
      <c r="W385" s="3"/>
      <c r="X385" s="3"/>
      <c r="Y385" s="3"/>
      <c r="Z385" s="3"/>
    </row>
    <row r="386" ht="15.75" customHeight="1">
      <c r="A386" s="790"/>
      <c r="N386" s="583"/>
      <c r="Q386" s="3"/>
      <c r="R386" s="3"/>
      <c r="S386" s="3"/>
      <c r="T386" s="3"/>
      <c r="U386" s="3"/>
      <c r="V386" s="3"/>
      <c r="W386" s="3"/>
      <c r="X386" s="3"/>
      <c r="Y386" s="3"/>
      <c r="Z386" s="3"/>
    </row>
    <row r="387" ht="15.75" customHeight="1">
      <c r="A387" s="790"/>
      <c r="N387" s="583"/>
      <c r="Q387" s="3"/>
      <c r="R387" s="3"/>
      <c r="S387" s="3"/>
      <c r="T387" s="3"/>
      <c r="U387" s="3"/>
      <c r="V387" s="3"/>
      <c r="W387" s="3"/>
      <c r="X387" s="3"/>
      <c r="Y387" s="3"/>
      <c r="Z387" s="3"/>
    </row>
    <row r="388" ht="15.75" customHeight="1">
      <c r="A388" s="790"/>
      <c r="N388" s="583"/>
      <c r="Q388" s="3"/>
      <c r="R388" s="3"/>
      <c r="S388" s="3"/>
      <c r="T388" s="3"/>
      <c r="U388" s="3"/>
      <c r="V388" s="3"/>
      <c r="W388" s="3"/>
      <c r="X388" s="3"/>
      <c r="Y388" s="3"/>
      <c r="Z388" s="3"/>
    </row>
    <row r="389" ht="15.75" customHeight="1">
      <c r="A389" s="790"/>
      <c r="N389" s="583"/>
      <c r="Q389" s="3"/>
      <c r="R389" s="3"/>
      <c r="S389" s="3"/>
      <c r="T389" s="3"/>
      <c r="U389" s="3"/>
      <c r="V389" s="3"/>
      <c r="W389" s="3"/>
      <c r="X389" s="3"/>
      <c r="Y389" s="3"/>
      <c r="Z389" s="3"/>
    </row>
    <row r="390" ht="15.75" customHeight="1">
      <c r="A390" s="790"/>
      <c r="N390" s="583"/>
      <c r="Q390" s="3"/>
      <c r="R390" s="3"/>
      <c r="S390" s="3"/>
      <c r="T390" s="3"/>
      <c r="U390" s="3"/>
      <c r="V390" s="3"/>
      <c r="W390" s="3"/>
      <c r="X390" s="3"/>
      <c r="Y390" s="3"/>
      <c r="Z390" s="3"/>
    </row>
    <row r="391" ht="15.75" customHeight="1">
      <c r="A391" s="790"/>
      <c r="N391" s="583"/>
      <c r="Q391" s="3"/>
      <c r="R391" s="3"/>
      <c r="S391" s="3"/>
      <c r="T391" s="3"/>
      <c r="U391" s="3"/>
      <c r="V391" s="3"/>
      <c r="W391" s="3"/>
      <c r="X391" s="3"/>
      <c r="Y391" s="3"/>
      <c r="Z391" s="3"/>
    </row>
    <row r="392" ht="15.75" customHeight="1">
      <c r="A392" s="790"/>
      <c r="N392" s="583"/>
      <c r="Q392" s="3"/>
      <c r="R392" s="3"/>
      <c r="S392" s="3"/>
      <c r="T392" s="3"/>
      <c r="U392" s="3"/>
      <c r="V392" s="3"/>
      <c r="W392" s="3"/>
      <c r="X392" s="3"/>
      <c r="Y392" s="3"/>
      <c r="Z392" s="3"/>
    </row>
    <row r="393" ht="15.75" customHeight="1">
      <c r="A393" s="790"/>
      <c r="N393" s="583"/>
      <c r="Q393" s="3"/>
      <c r="R393" s="3"/>
      <c r="S393" s="3"/>
      <c r="T393" s="3"/>
      <c r="U393" s="3"/>
      <c r="V393" s="3"/>
      <c r="W393" s="3"/>
      <c r="X393" s="3"/>
      <c r="Y393" s="3"/>
      <c r="Z393" s="3"/>
    </row>
    <row r="394" ht="15.75" customHeight="1">
      <c r="A394" s="790"/>
      <c r="N394" s="583"/>
      <c r="Q394" s="3"/>
      <c r="R394" s="3"/>
      <c r="S394" s="3"/>
      <c r="T394" s="3"/>
      <c r="U394" s="3"/>
      <c r="V394" s="3"/>
      <c r="W394" s="3"/>
      <c r="X394" s="3"/>
      <c r="Y394" s="3"/>
      <c r="Z394" s="3"/>
    </row>
    <row r="395" ht="15.75" customHeight="1">
      <c r="A395" s="790"/>
      <c r="Q395" s="3"/>
      <c r="R395" s="3"/>
      <c r="S395" s="3"/>
      <c r="T395" s="3"/>
      <c r="U395" s="3"/>
      <c r="V395" s="3"/>
      <c r="W395" s="3"/>
      <c r="X395" s="3"/>
      <c r="Y395" s="3"/>
      <c r="Z395" s="3"/>
    </row>
    <row r="396" ht="15.75" customHeight="1">
      <c r="A396" s="790"/>
      <c r="Q396" s="3"/>
      <c r="R396" s="3"/>
      <c r="S396" s="3"/>
      <c r="T396" s="3"/>
      <c r="U396" s="3"/>
      <c r="V396" s="3"/>
      <c r="W396" s="3"/>
      <c r="X396" s="3"/>
      <c r="Y396" s="3"/>
      <c r="Z396" s="3"/>
    </row>
    <row r="397" ht="15.75" customHeight="1">
      <c r="A397" s="790"/>
      <c r="Q397" s="3"/>
      <c r="R397" s="3"/>
      <c r="S397" s="3"/>
      <c r="T397" s="3"/>
      <c r="U397" s="3"/>
      <c r="V397" s="3"/>
      <c r="W397" s="3"/>
      <c r="X397" s="3"/>
      <c r="Y397" s="3"/>
      <c r="Z397" s="3"/>
    </row>
    <row r="398" ht="15.75" customHeight="1">
      <c r="A398" s="790"/>
      <c r="Q398" s="3"/>
      <c r="R398" s="3"/>
      <c r="S398" s="3"/>
      <c r="T398" s="3"/>
      <c r="U398" s="3"/>
      <c r="V398" s="3"/>
      <c r="W398" s="3"/>
      <c r="X398" s="3"/>
      <c r="Y398" s="3"/>
      <c r="Z398" s="3"/>
    </row>
    <row r="399" ht="15.75" customHeight="1">
      <c r="A399" s="790"/>
      <c r="Q399" s="3"/>
      <c r="R399" s="3"/>
      <c r="S399" s="3"/>
      <c r="T399" s="3"/>
      <c r="U399" s="3"/>
      <c r="V399" s="3"/>
      <c r="W399" s="3"/>
      <c r="X399" s="3"/>
      <c r="Y399" s="3"/>
      <c r="Z399" s="3"/>
    </row>
    <row r="400" ht="15.75" customHeight="1">
      <c r="A400" s="790"/>
      <c r="Q400" s="3"/>
      <c r="R400" s="3"/>
      <c r="S400" s="3"/>
      <c r="T400" s="3"/>
      <c r="U400" s="3"/>
      <c r="V400" s="3"/>
      <c r="W400" s="3"/>
      <c r="X400" s="3"/>
      <c r="Y400" s="3"/>
      <c r="Z400" s="3"/>
    </row>
    <row r="401" ht="15.75" customHeight="1">
      <c r="A401" s="790"/>
      <c r="Q401" s="3"/>
      <c r="R401" s="3"/>
      <c r="S401" s="3"/>
      <c r="T401" s="3"/>
      <c r="U401" s="3"/>
      <c r="V401" s="3"/>
      <c r="W401" s="3"/>
      <c r="X401" s="3"/>
      <c r="Y401" s="3"/>
      <c r="Z401" s="3"/>
    </row>
    <row r="402" ht="15.75" customHeight="1">
      <c r="A402" s="790"/>
      <c r="Q402" s="3"/>
      <c r="R402" s="3"/>
      <c r="S402" s="3"/>
      <c r="T402" s="3"/>
      <c r="U402" s="3"/>
      <c r="V402" s="3"/>
      <c r="W402" s="3"/>
      <c r="X402" s="3"/>
      <c r="Y402" s="3"/>
      <c r="Z402" s="3"/>
    </row>
    <row r="403" ht="15.75" customHeight="1">
      <c r="A403" s="790"/>
      <c r="Q403" s="3"/>
      <c r="R403" s="3"/>
      <c r="S403" s="3"/>
      <c r="T403" s="3"/>
      <c r="U403" s="3"/>
      <c r="V403" s="3"/>
      <c r="W403" s="3"/>
      <c r="X403" s="3"/>
      <c r="Y403" s="3"/>
      <c r="Z403" s="3"/>
    </row>
    <row r="404" ht="15.75" customHeight="1">
      <c r="A404" s="790"/>
      <c r="Q404" s="3"/>
      <c r="R404" s="3"/>
      <c r="S404" s="3"/>
      <c r="T404" s="3"/>
      <c r="U404" s="3"/>
      <c r="V404" s="3"/>
      <c r="W404" s="3"/>
      <c r="X404" s="3"/>
      <c r="Y404" s="3"/>
      <c r="Z404" s="3"/>
    </row>
    <row r="405" ht="15.75" customHeight="1">
      <c r="A405" s="790"/>
      <c r="Q405" s="3"/>
      <c r="R405" s="3"/>
      <c r="S405" s="3"/>
      <c r="T405" s="3"/>
      <c r="U405" s="3"/>
      <c r="V405" s="3"/>
      <c r="W405" s="3"/>
      <c r="X405" s="3"/>
      <c r="Y405" s="3"/>
      <c r="Z405" s="3"/>
    </row>
    <row r="406" ht="15.75" customHeight="1">
      <c r="A406" s="790"/>
      <c r="Q406" s="3"/>
      <c r="R406" s="3"/>
      <c r="S406" s="3"/>
      <c r="T406" s="3"/>
      <c r="U406" s="3"/>
      <c r="V406" s="3"/>
      <c r="W406" s="3"/>
      <c r="X406" s="3"/>
      <c r="Y406" s="3"/>
      <c r="Z406" s="3"/>
    </row>
    <row r="407" ht="15.75" customHeight="1">
      <c r="A407" s="790"/>
      <c r="Q407" s="3"/>
      <c r="R407" s="3"/>
      <c r="S407" s="3"/>
      <c r="T407" s="3"/>
      <c r="U407" s="3"/>
      <c r="V407" s="3"/>
      <c r="W407" s="3"/>
      <c r="X407" s="3"/>
      <c r="Y407" s="3"/>
      <c r="Z407" s="3"/>
    </row>
    <row r="408" ht="15.75" customHeight="1">
      <c r="A408" s="790"/>
      <c r="Q408" s="3"/>
      <c r="R408" s="3"/>
      <c r="S408" s="3"/>
      <c r="T408" s="3"/>
      <c r="U408" s="3"/>
      <c r="V408" s="3"/>
      <c r="W408" s="3"/>
      <c r="X408" s="3"/>
      <c r="Y408" s="3"/>
      <c r="Z408" s="3"/>
    </row>
    <row r="409" ht="15.75" customHeight="1">
      <c r="A409" s="790"/>
      <c r="Q409" s="3"/>
      <c r="R409" s="3"/>
      <c r="S409" s="3"/>
      <c r="T409" s="3"/>
      <c r="U409" s="3"/>
      <c r="V409" s="3"/>
      <c r="W409" s="3"/>
      <c r="X409" s="3"/>
      <c r="Y409" s="3"/>
      <c r="Z409" s="3"/>
    </row>
    <row r="410" ht="15.75" customHeight="1">
      <c r="A410" s="790"/>
      <c r="Q410" s="3"/>
      <c r="R410" s="3"/>
      <c r="S410" s="3"/>
      <c r="T410" s="3"/>
      <c r="U410" s="3"/>
      <c r="V410" s="3"/>
      <c r="W410" s="3"/>
      <c r="X410" s="3"/>
      <c r="Y410" s="3"/>
      <c r="Z410" s="3"/>
    </row>
    <row r="411" ht="15.75" customHeight="1">
      <c r="A411" s="790"/>
      <c r="Q411" s="3"/>
      <c r="R411" s="3"/>
      <c r="S411" s="3"/>
      <c r="T411" s="3"/>
      <c r="U411" s="3"/>
      <c r="V411" s="3"/>
      <c r="W411" s="3"/>
      <c r="X411" s="3"/>
      <c r="Y411" s="3"/>
      <c r="Z411" s="3"/>
    </row>
    <row r="412" ht="15.75" customHeight="1">
      <c r="A412" s="790"/>
      <c r="Q412" s="3"/>
      <c r="R412" s="3"/>
      <c r="S412" s="3"/>
      <c r="T412" s="3"/>
      <c r="U412" s="3"/>
      <c r="V412" s="3"/>
      <c r="W412" s="3"/>
      <c r="X412" s="3"/>
      <c r="Y412" s="3"/>
      <c r="Z412" s="3"/>
    </row>
    <row r="413" ht="15.75" customHeight="1">
      <c r="A413" s="790"/>
      <c r="Q413" s="3"/>
      <c r="R413" s="3"/>
      <c r="S413" s="3"/>
      <c r="T413" s="3"/>
      <c r="U413" s="3"/>
      <c r="V413" s="3"/>
      <c r="W413" s="3"/>
      <c r="X413" s="3"/>
      <c r="Y413" s="3"/>
      <c r="Z413" s="3"/>
    </row>
    <row r="414" ht="15.75" customHeight="1">
      <c r="A414" s="790"/>
      <c r="Q414" s="3"/>
      <c r="R414" s="3"/>
      <c r="S414" s="3"/>
      <c r="T414" s="3"/>
      <c r="U414" s="3"/>
      <c r="V414" s="3"/>
      <c r="W414" s="3"/>
      <c r="X414" s="3"/>
      <c r="Y414" s="3"/>
      <c r="Z414" s="3"/>
    </row>
    <row r="415" ht="15.75" customHeight="1">
      <c r="A415" s="790"/>
      <c r="Q415" s="3"/>
      <c r="R415" s="3"/>
      <c r="S415" s="3"/>
      <c r="T415" s="3"/>
      <c r="U415" s="3"/>
      <c r="V415" s="3"/>
      <c r="W415" s="3"/>
      <c r="X415" s="3"/>
      <c r="Y415" s="3"/>
      <c r="Z415" s="3"/>
    </row>
    <row r="416" ht="15.75" customHeight="1">
      <c r="A416" s="790"/>
      <c r="Q416" s="3"/>
      <c r="R416" s="3"/>
      <c r="S416" s="3"/>
      <c r="T416" s="3"/>
      <c r="U416" s="3"/>
      <c r="V416" s="3"/>
      <c r="W416" s="3"/>
      <c r="X416" s="3"/>
      <c r="Y416" s="3"/>
      <c r="Z416" s="3"/>
    </row>
    <row r="417" ht="15.75" customHeight="1">
      <c r="A417" s="790"/>
      <c r="Q417" s="3"/>
      <c r="R417" s="3"/>
      <c r="S417" s="3"/>
      <c r="T417" s="3"/>
      <c r="U417" s="3"/>
      <c r="V417" s="3"/>
      <c r="W417" s="3"/>
      <c r="X417" s="3"/>
      <c r="Y417" s="3"/>
      <c r="Z417" s="3"/>
    </row>
    <row r="418" ht="15.75" customHeight="1">
      <c r="A418" s="790"/>
      <c r="Q418" s="3"/>
      <c r="R418" s="3"/>
      <c r="S418" s="3"/>
      <c r="T418" s="3"/>
      <c r="U418" s="3"/>
      <c r="V418" s="3"/>
      <c r="W418" s="3"/>
      <c r="X418" s="3"/>
      <c r="Y418" s="3"/>
      <c r="Z418" s="3"/>
    </row>
    <row r="419" ht="15.75" customHeight="1">
      <c r="A419" s="790"/>
      <c r="Q419" s="3"/>
      <c r="R419" s="3"/>
      <c r="S419" s="3"/>
      <c r="T419" s="3"/>
      <c r="U419" s="3"/>
      <c r="V419" s="3"/>
      <c r="W419" s="3"/>
      <c r="X419" s="3"/>
      <c r="Y419" s="3"/>
      <c r="Z419" s="3"/>
    </row>
    <row r="420" ht="15.75" customHeight="1">
      <c r="A420" s="790"/>
      <c r="Q420" s="3"/>
      <c r="R420" s="3"/>
      <c r="S420" s="3"/>
      <c r="T420" s="3"/>
      <c r="U420" s="3"/>
      <c r="V420" s="3"/>
      <c r="W420" s="3"/>
      <c r="X420" s="3"/>
      <c r="Y420" s="3"/>
      <c r="Z420" s="3"/>
    </row>
    <row r="421" ht="15.75" customHeight="1">
      <c r="A421" s="790"/>
      <c r="Q421" s="3"/>
      <c r="R421" s="3"/>
      <c r="S421" s="3"/>
      <c r="T421" s="3"/>
      <c r="U421" s="3"/>
      <c r="V421" s="3"/>
      <c r="W421" s="3"/>
      <c r="X421" s="3"/>
      <c r="Y421" s="3"/>
      <c r="Z421" s="3"/>
    </row>
    <row r="422" ht="15.75" customHeight="1">
      <c r="A422" s="790"/>
      <c r="Q422" s="3"/>
      <c r="R422" s="3"/>
      <c r="S422" s="3"/>
      <c r="T422" s="3"/>
      <c r="U422" s="3"/>
      <c r="V422" s="3"/>
      <c r="W422" s="3"/>
      <c r="X422" s="3"/>
      <c r="Y422" s="3"/>
      <c r="Z422" s="3"/>
    </row>
    <row r="423" ht="15.75" customHeight="1">
      <c r="A423" s="790"/>
      <c r="Q423" s="3"/>
      <c r="R423" s="3"/>
      <c r="S423" s="3"/>
      <c r="T423" s="3"/>
      <c r="U423" s="3"/>
      <c r="V423" s="3"/>
      <c r="W423" s="3"/>
      <c r="X423" s="3"/>
      <c r="Y423" s="3"/>
      <c r="Z423" s="3"/>
    </row>
    <row r="424" ht="15.75" customHeight="1">
      <c r="A424" s="790"/>
      <c r="Q424" s="3"/>
      <c r="R424" s="3"/>
      <c r="S424" s="3"/>
      <c r="T424" s="3"/>
      <c r="U424" s="3"/>
      <c r="V424" s="3"/>
      <c r="W424" s="3"/>
      <c r="X424" s="3"/>
      <c r="Y424" s="3"/>
      <c r="Z424" s="3"/>
    </row>
    <row r="425" ht="15.75" customHeight="1">
      <c r="A425" s="790"/>
      <c r="Q425" s="3"/>
      <c r="R425" s="3"/>
      <c r="S425" s="3"/>
      <c r="T425" s="3"/>
      <c r="U425" s="3"/>
      <c r="V425" s="3"/>
      <c r="W425" s="3"/>
      <c r="X425" s="3"/>
      <c r="Y425" s="3"/>
      <c r="Z425" s="3"/>
    </row>
    <row r="426" ht="15.75" customHeight="1">
      <c r="A426" s="790"/>
      <c r="Q426" s="3"/>
      <c r="R426" s="3"/>
      <c r="S426" s="3"/>
      <c r="T426" s="3"/>
      <c r="U426" s="3"/>
      <c r="V426" s="3"/>
      <c r="W426" s="3"/>
      <c r="X426" s="3"/>
      <c r="Y426" s="3"/>
      <c r="Z426" s="3"/>
    </row>
    <row r="427" ht="15.75" customHeight="1">
      <c r="A427" s="790"/>
      <c r="Q427" s="3"/>
      <c r="R427" s="3"/>
      <c r="S427" s="3"/>
      <c r="T427" s="3"/>
      <c r="U427" s="3"/>
      <c r="V427" s="3"/>
      <c r="W427" s="3"/>
      <c r="X427" s="3"/>
      <c r="Y427" s="3"/>
      <c r="Z427" s="3"/>
    </row>
    <row r="428" ht="15.75" customHeight="1">
      <c r="A428" s="790"/>
      <c r="Q428" s="3"/>
      <c r="R428" s="3"/>
      <c r="S428" s="3"/>
      <c r="T428" s="3"/>
      <c r="U428" s="3"/>
      <c r="V428" s="3"/>
      <c r="W428" s="3"/>
      <c r="X428" s="3"/>
      <c r="Y428" s="3"/>
      <c r="Z428" s="3"/>
    </row>
    <row r="429" ht="15.75" customHeight="1">
      <c r="A429" s="790"/>
      <c r="Q429" s="3"/>
      <c r="R429" s="3"/>
      <c r="S429" s="3"/>
      <c r="T429" s="3"/>
      <c r="U429" s="3"/>
      <c r="V429" s="3"/>
      <c r="W429" s="3"/>
      <c r="X429" s="3"/>
      <c r="Y429" s="3"/>
      <c r="Z429" s="3"/>
    </row>
    <row r="430" ht="15.75" customHeight="1">
      <c r="A430" s="790"/>
      <c r="Q430" s="3"/>
      <c r="R430" s="3"/>
      <c r="S430" s="3"/>
      <c r="T430" s="3"/>
      <c r="U430" s="3"/>
      <c r="V430" s="3"/>
      <c r="W430" s="3"/>
      <c r="X430" s="3"/>
      <c r="Y430" s="3"/>
      <c r="Z430" s="3"/>
    </row>
    <row r="431" ht="15.75" customHeight="1">
      <c r="A431" s="790"/>
      <c r="Q431" s="3"/>
      <c r="R431" s="3"/>
      <c r="S431" s="3"/>
      <c r="T431" s="3"/>
      <c r="U431" s="3"/>
      <c r="V431" s="3"/>
      <c r="W431" s="3"/>
      <c r="X431" s="3"/>
      <c r="Y431" s="3"/>
      <c r="Z431" s="3"/>
    </row>
    <row r="432" ht="15.75" customHeight="1">
      <c r="A432" s="790"/>
      <c r="Q432" s="3"/>
      <c r="R432" s="3"/>
      <c r="S432" s="3"/>
      <c r="T432" s="3"/>
      <c r="U432" s="3"/>
      <c r="V432" s="3"/>
      <c r="W432" s="3"/>
      <c r="X432" s="3"/>
      <c r="Y432" s="3"/>
      <c r="Z432" s="3"/>
    </row>
    <row r="433" ht="15.75" customHeight="1">
      <c r="A433" s="790"/>
      <c r="Q433" s="3"/>
      <c r="R433" s="3"/>
      <c r="S433" s="3"/>
      <c r="T433" s="3"/>
      <c r="U433" s="3"/>
      <c r="V433" s="3"/>
      <c r="W433" s="3"/>
      <c r="X433" s="3"/>
      <c r="Y433" s="3"/>
      <c r="Z433" s="3"/>
    </row>
    <row r="434" ht="15.75" customHeight="1">
      <c r="A434" s="790"/>
      <c r="Q434" s="3"/>
      <c r="R434" s="3"/>
      <c r="S434" s="3"/>
      <c r="T434" s="3"/>
      <c r="U434" s="3"/>
      <c r="V434" s="3"/>
      <c r="W434" s="3"/>
      <c r="X434" s="3"/>
      <c r="Y434" s="3"/>
      <c r="Z434" s="3"/>
    </row>
    <row r="435" ht="15.75" customHeight="1">
      <c r="A435" s="790"/>
      <c r="Q435" s="3"/>
      <c r="R435" s="3"/>
      <c r="S435" s="3"/>
      <c r="T435" s="3"/>
      <c r="U435" s="3"/>
      <c r="V435" s="3"/>
      <c r="W435" s="3"/>
      <c r="X435" s="3"/>
      <c r="Y435" s="3"/>
      <c r="Z435" s="3"/>
    </row>
    <row r="436" ht="15.75" customHeight="1">
      <c r="A436" s="790"/>
      <c r="Q436" s="3"/>
      <c r="R436" s="3"/>
      <c r="S436" s="3"/>
      <c r="T436" s="3"/>
      <c r="U436" s="3"/>
      <c r="V436" s="3"/>
      <c r="W436" s="3"/>
      <c r="X436" s="3"/>
      <c r="Y436" s="3"/>
      <c r="Z436" s="3"/>
    </row>
    <row r="437" ht="15.75" customHeight="1">
      <c r="A437" s="790"/>
      <c r="Q437" s="3"/>
      <c r="R437" s="3"/>
      <c r="S437" s="3"/>
      <c r="T437" s="3"/>
      <c r="U437" s="3"/>
      <c r="V437" s="3"/>
      <c r="W437" s="3"/>
      <c r="X437" s="3"/>
      <c r="Y437" s="3"/>
      <c r="Z437" s="3"/>
    </row>
    <row r="438" ht="15.75" customHeight="1">
      <c r="A438" s="790"/>
      <c r="Q438" s="3"/>
      <c r="R438" s="3"/>
      <c r="S438" s="3"/>
      <c r="T438" s="3"/>
      <c r="U438" s="3"/>
      <c r="V438" s="3"/>
      <c r="W438" s="3"/>
      <c r="X438" s="3"/>
      <c r="Y438" s="3"/>
      <c r="Z438" s="3"/>
    </row>
    <row r="439" ht="15.75" customHeight="1">
      <c r="A439" s="790"/>
      <c r="Q439" s="3"/>
      <c r="R439" s="3"/>
      <c r="S439" s="3"/>
      <c r="T439" s="3"/>
      <c r="U439" s="3"/>
      <c r="V439" s="3"/>
      <c r="W439" s="3"/>
      <c r="X439" s="3"/>
      <c r="Y439" s="3"/>
      <c r="Z439" s="3"/>
    </row>
    <row r="440" ht="15.75" customHeight="1">
      <c r="A440" s="790"/>
      <c r="Q440" s="3"/>
      <c r="R440" s="3"/>
      <c r="S440" s="3"/>
      <c r="T440" s="3"/>
      <c r="U440" s="3"/>
      <c r="V440" s="3"/>
      <c r="W440" s="3"/>
      <c r="X440" s="3"/>
      <c r="Y440" s="3"/>
      <c r="Z440" s="3"/>
    </row>
    <row r="441" ht="15.75" customHeight="1">
      <c r="A441" s="790"/>
      <c r="Q441" s="3"/>
      <c r="R441" s="3"/>
      <c r="S441" s="3"/>
      <c r="T441" s="3"/>
      <c r="U441" s="3"/>
      <c r="V441" s="3"/>
      <c r="W441" s="3"/>
      <c r="X441" s="3"/>
      <c r="Y441" s="3"/>
      <c r="Z441" s="3"/>
    </row>
    <row r="442" ht="15.75" customHeight="1">
      <c r="A442" s="790"/>
      <c r="Q442" s="3"/>
      <c r="R442" s="3"/>
      <c r="S442" s="3"/>
      <c r="T442" s="3"/>
      <c r="U442" s="3"/>
      <c r="V442" s="3"/>
      <c r="W442" s="3"/>
      <c r="X442" s="3"/>
      <c r="Y442" s="3"/>
      <c r="Z442" s="3"/>
    </row>
    <row r="443" ht="15.75" customHeight="1">
      <c r="A443" s="790"/>
      <c r="Q443" s="3"/>
      <c r="R443" s="3"/>
      <c r="S443" s="3"/>
      <c r="T443" s="3"/>
      <c r="U443" s="3"/>
      <c r="V443" s="3"/>
      <c r="W443" s="3"/>
      <c r="X443" s="3"/>
      <c r="Y443" s="3"/>
      <c r="Z443" s="3"/>
    </row>
    <row r="444" ht="15.75" customHeight="1">
      <c r="A444" s="790"/>
      <c r="Q444" s="3"/>
      <c r="R444" s="3"/>
      <c r="S444" s="3"/>
      <c r="T444" s="3"/>
      <c r="U444" s="3"/>
      <c r="V444" s="3"/>
      <c r="W444" s="3"/>
      <c r="X444" s="3"/>
      <c r="Y444" s="3"/>
      <c r="Z444" s="3"/>
    </row>
    <row r="445" ht="15.75" customHeight="1">
      <c r="A445" s="790"/>
      <c r="Q445" s="3"/>
      <c r="R445" s="3"/>
      <c r="S445" s="3"/>
      <c r="T445" s="3"/>
      <c r="U445" s="3"/>
      <c r="V445" s="3"/>
      <c r="W445" s="3"/>
      <c r="X445" s="3"/>
      <c r="Y445" s="3"/>
      <c r="Z445" s="3"/>
    </row>
    <row r="446" ht="15.75" customHeight="1">
      <c r="A446" s="790"/>
      <c r="Q446" s="3"/>
      <c r="R446" s="3"/>
      <c r="S446" s="3"/>
      <c r="T446" s="3"/>
      <c r="U446" s="3"/>
      <c r="V446" s="3"/>
      <c r="W446" s="3"/>
      <c r="X446" s="3"/>
      <c r="Y446" s="3"/>
      <c r="Z446" s="3"/>
    </row>
    <row r="447" ht="15.75" customHeight="1">
      <c r="A447" s="790"/>
      <c r="Q447" s="3"/>
      <c r="R447" s="3"/>
      <c r="S447" s="3"/>
      <c r="T447" s="3"/>
      <c r="U447" s="3"/>
      <c r="V447" s="3"/>
      <c r="W447" s="3"/>
      <c r="X447" s="3"/>
      <c r="Y447" s="3"/>
      <c r="Z447" s="3"/>
    </row>
    <row r="448" ht="15.75" customHeight="1">
      <c r="A448" s="790"/>
      <c r="Q448" s="3"/>
      <c r="R448" s="3"/>
      <c r="S448" s="3"/>
      <c r="T448" s="3"/>
      <c r="U448" s="3"/>
      <c r="V448" s="3"/>
      <c r="W448" s="3"/>
      <c r="X448" s="3"/>
      <c r="Y448" s="3"/>
      <c r="Z448" s="3"/>
    </row>
    <row r="449" ht="15.75" customHeight="1">
      <c r="A449" s="790"/>
      <c r="Q449" s="3"/>
      <c r="R449" s="3"/>
      <c r="S449" s="3"/>
      <c r="T449" s="3"/>
      <c r="U449" s="3"/>
      <c r="V449" s="3"/>
      <c r="W449" s="3"/>
      <c r="X449" s="3"/>
      <c r="Y449" s="3"/>
      <c r="Z449" s="3"/>
    </row>
    <row r="450" ht="15.75" customHeight="1">
      <c r="A450" s="790"/>
      <c r="Q450" s="3"/>
      <c r="R450" s="3"/>
      <c r="S450" s="3"/>
      <c r="T450" s="3"/>
      <c r="U450" s="3"/>
      <c r="V450" s="3"/>
      <c r="W450" s="3"/>
      <c r="X450" s="3"/>
      <c r="Y450" s="3"/>
      <c r="Z450" s="3"/>
    </row>
    <row r="451" ht="15.75" customHeight="1">
      <c r="A451" s="790"/>
      <c r="Q451" s="3"/>
      <c r="R451" s="3"/>
      <c r="S451" s="3"/>
      <c r="T451" s="3"/>
      <c r="U451" s="3"/>
      <c r="V451" s="3"/>
      <c r="W451" s="3"/>
      <c r="X451" s="3"/>
      <c r="Y451" s="3"/>
      <c r="Z451" s="3"/>
    </row>
    <row r="452" ht="15.75" customHeight="1">
      <c r="A452" s="790"/>
      <c r="Q452" s="3"/>
      <c r="R452" s="3"/>
      <c r="S452" s="3"/>
      <c r="T452" s="3"/>
      <c r="U452" s="3"/>
      <c r="V452" s="3"/>
      <c r="W452" s="3"/>
      <c r="X452" s="3"/>
      <c r="Y452" s="3"/>
      <c r="Z452" s="3"/>
    </row>
    <row r="453" ht="15.75" customHeight="1">
      <c r="A453" s="790"/>
      <c r="Q453" s="3"/>
      <c r="R453" s="3"/>
      <c r="S453" s="3"/>
      <c r="T453" s="3"/>
      <c r="U453" s="3"/>
      <c r="V453" s="3"/>
      <c r="W453" s="3"/>
      <c r="X453" s="3"/>
      <c r="Y453" s="3"/>
      <c r="Z453" s="3"/>
    </row>
    <row r="454" ht="15.75" customHeight="1">
      <c r="A454" s="790"/>
      <c r="Q454" s="3"/>
      <c r="R454" s="3"/>
      <c r="S454" s="3"/>
      <c r="T454" s="3"/>
      <c r="U454" s="3"/>
      <c r="V454" s="3"/>
      <c r="W454" s="3"/>
      <c r="X454" s="3"/>
      <c r="Y454" s="3"/>
      <c r="Z454" s="3"/>
    </row>
    <row r="455" ht="15.75" customHeight="1">
      <c r="A455" s="790"/>
      <c r="Q455" s="3"/>
      <c r="R455" s="3"/>
      <c r="S455" s="3"/>
      <c r="T455" s="3"/>
      <c r="U455" s="3"/>
      <c r="V455" s="3"/>
      <c r="W455" s="3"/>
      <c r="X455" s="3"/>
      <c r="Y455" s="3"/>
      <c r="Z455" s="3"/>
    </row>
    <row r="456" ht="15.75" customHeight="1">
      <c r="A456" s="790"/>
      <c r="Q456" s="3"/>
      <c r="R456" s="3"/>
      <c r="S456" s="3"/>
      <c r="T456" s="3"/>
      <c r="U456" s="3"/>
      <c r="V456" s="3"/>
      <c r="W456" s="3"/>
      <c r="X456" s="3"/>
      <c r="Y456" s="3"/>
      <c r="Z456" s="3"/>
    </row>
    <row r="457" ht="15.75" customHeight="1">
      <c r="A457" s="790"/>
      <c r="Q457" s="3"/>
      <c r="R457" s="3"/>
      <c r="S457" s="3"/>
      <c r="T457" s="3"/>
      <c r="U457" s="3"/>
      <c r="V457" s="3"/>
      <c r="W457" s="3"/>
      <c r="X457" s="3"/>
      <c r="Y457" s="3"/>
      <c r="Z457" s="3"/>
    </row>
    <row r="458" ht="15.75" customHeight="1">
      <c r="A458" s="790"/>
      <c r="Q458" s="3"/>
      <c r="R458" s="3"/>
      <c r="S458" s="3"/>
      <c r="T458" s="3"/>
      <c r="U458" s="3"/>
      <c r="V458" s="3"/>
      <c r="W458" s="3"/>
      <c r="X458" s="3"/>
      <c r="Y458" s="3"/>
      <c r="Z458" s="3"/>
    </row>
    <row r="459" ht="15.75" customHeight="1">
      <c r="A459" s="790"/>
      <c r="Q459" s="3"/>
      <c r="R459" s="3"/>
      <c r="S459" s="3"/>
      <c r="T459" s="3"/>
      <c r="U459" s="3"/>
      <c r="V459" s="3"/>
      <c r="W459" s="3"/>
      <c r="X459" s="3"/>
      <c r="Y459" s="3"/>
      <c r="Z459" s="3"/>
    </row>
    <row r="460" ht="15.75" customHeight="1">
      <c r="A460" s="790"/>
      <c r="Q460" s="3"/>
      <c r="R460" s="3"/>
      <c r="S460" s="3"/>
      <c r="T460" s="3"/>
      <c r="U460" s="3"/>
      <c r="V460" s="3"/>
      <c r="W460" s="3"/>
      <c r="X460" s="3"/>
      <c r="Y460" s="3"/>
      <c r="Z460" s="3"/>
    </row>
    <row r="461" ht="15.75" customHeight="1">
      <c r="A461" s="790"/>
      <c r="Q461" s="3"/>
      <c r="R461" s="3"/>
      <c r="S461" s="3"/>
      <c r="T461" s="3"/>
      <c r="U461" s="3"/>
      <c r="V461" s="3"/>
      <c r="W461" s="3"/>
      <c r="X461" s="3"/>
      <c r="Y461" s="3"/>
      <c r="Z461" s="3"/>
    </row>
    <row r="462" ht="15.75" customHeight="1">
      <c r="A462" s="790"/>
      <c r="Q462" s="3"/>
      <c r="R462" s="3"/>
      <c r="S462" s="3"/>
      <c r="T462" s="3"/>
      <c r="U462" s="3"/>
      <c r="V462" s="3"/>
      <c r="W462" s="3"/>
      <c r="X462" s="3"/>
      <c r="Y462" s="3"/>
      <c r="Z462" s="3"/>
    </row>
    <row r="463" ht="15.75" customHeight="1">
      <c r="A463" s="790"/>
      <c r="Q463" s="3"/>
      <c r="R463" s="3"/>
      <c r="S463" s="3"/>
      <c r="T463" s="3"/>
      <c r="U463" s="3"/>
      <c r="V463" s="3"/>
      <c r="W463" s="3"/>
      <c r="X463" s="3"/>
      <c r="Y463" s="3"/>
      <c r="Z463" s="3"/>
    </row>
    <row r="464" ht="15.75" customHeight="1">
      <c r="A464" s="790"/>
      <c r="Q464" s="3"/>
      <c r="R464" s="3"/>
      <c r="S464" s="3"/>
      <c r="T464" s="3"/>
      <c r="U464" s="3"/>
      <c r="V464" s="3"/>
      <c r="W464" s="3"/>
      <c r="X464" s="3"/>
      <c r="Y464" s="3"/>
      <c r="Z464" s="3"/>
    </row>
    <row r="465" ht="15.75" customHeight="1">
      <c r="A465" s="790"/>
      <c r="Q465" s="3"/>
      <c r="R465" s="3"/>
      <c r="S465" s="3"/>
      <c r="T465" s="3"/>
      <c r="U465" s="3"/>
      <c r="V465" s="3"/>
      <c r="W465" s="3"/>
      <c r="X465" s="3"/>
      <c r="Y465" s="3"/>
      <c r="Z465" s="3"/>
    </row>
    <row r="466" ht="15.75" customHeight="1">
      <c r="A466" s="790"/>
      <c r="Q466" s="3"/>
      <c r="R466" s="3"/>
      <c r="S466" s="3"/>
      <c r="T466" s="3"/>
      <c r="U466" s="3"/>
      <c r="V466" s="3"/>
      <c r="W466" s="3"/>
      <c r="X466" s="3"/>
      <c r="Y466" s="3"/>
      <c r="Z466" s="3"/>
    </row>
    <row r="467" ht="15.75" customHeight="1">
      <c r="A467" s="790"/>
      <c r="Q467" s="3"/>
      <c r="R467" s="3"/>
      <c r="S467" s="3"/>
      <c r="T467" s="3"/>
      <c r="U467" s="3"/>
      <c r="V467" s="3"/>
      <c r="W467" s="3"/>
      <c r="X467" s="3"/>
      <c r="Y467" s="3"/>
      <c r="Z467" s="3"/>
    </row>
    <row r="468" ht="15.75" customHeight="1">
      <c r="A468" s="790"/>
      <c r="Q468" s="3"/>
      <c r="R468" s="3"/>
      <c r="S468" s="3"/>
      <c r="T468" s="3"/>
      <c r="U468" s="3"/>
      <c r="V468" s="3"/>
      <c r="W468" s="3"/>
      <c r="X468" s="3"/>
      <c r="Y468" s="3"/>
      <c r="Z468" s="3"/>
    </row>
    <row r="469" ht="15.75" customHeight="1">
      <c r="A469" s="790"/>
      <c r="Q469" s="3"/>
      <c r="R469" s="3"/>
      <c r="S469" s="3"/>
      <c r="T469" s="3"/>
      <c r="U469" s="3"/>
      <c r="V469" s="3"/>
      <c r="W469" s="3"/>
      <c r="X469" s="3"/>
      <c r="Y469" s="3"/>
      <c r="Z469" s="3"/>
    </row>
    <row r="470" ht="15.75" customHeight="1">
      <c r="A470" s="790"/>
      <c r="Q470" s="3"/>
      <c r="R470" s="3"/>
      <c r="S470" s="3"/>
      <c r="T470" s="3"/>
      <c r="U470" s="3"/>
      <c r="V470" s="3"/>
      <c r="W470" s="3"/>
      <c r="X470" s="3"/>
      <c r="Y470" s="3"/>
      <c r="Z470" s="3"/>
    </row>
    <row r="471" ht="15.75" customHeight="1">
      <c r="A471" s="790"/>
      <c r="Q471" s="3"/>
      <c r="R471" s="3"/>
      <c r="S471" s="3"/>
      <c r="T471" s="3"/>
      <c r="U471" s="3"/>
      <c r="V471" s="3"/>
      <c r="W471" s="3"/>
      <c r="X471" s="3"/>
      <c r="Y471" s="3"/>
      <c r="Z471" s="3"/>
    </row>
    <row r="472" ht="15.75" customHeight="1">
      <c r="A472" s="790"/>
      <c r="Q472" s="3"/>
      <c r="R472" s="3"/>
      <c r="S472" s="3"/>
      <c r="T472" s="3"/>
      <c r="U472" s="3"/>
      <c r="V472" s="3"/>
      <c r="W472" s="3"/>
      <c r="X472" s="3"/>
      <c r="Y472" s="3"/>
      <c r="Z472" s="3"/>
    </row>
    <row r="473" ht="15.75" customHeight="1">
      <c r="A473" s="790"/>
      <c r="Q473" s="3"/>
      <c r="R473" s="3"/>
      <c r="S473" s="3"/>
      <c r="T473" s="3"/>
      <c r="U473" s="3"/>
      <c r="V473" s="3"/>
      <c r="W473" s="3"/>
      <c r="X473" s="3"/>
      <c r="Y473" s="3"/>
      <c r="Z473" s="3"/>
    </row>
    <row r="474" ht="15.75" customHeight="1">
      <c r="A474" s="790"/>
      <c r="Q474" s="3"/>
      <c r="R474" s="3"/>
      <c r="S474" s="3"/>
      <c r="T474" s="3"/>
      <c r="U474" s="3"/>
      <c r="V474" s="3"/>
      <c r="W474" s="3"/>
      <c r="X474" s="3"/>
      <c r="Y474" s="3"/>
      <c r="Z474" s="3"/>
    </row>
    <row r="475" ht="15.75" customHeight="1">
      <c r="A475" s="790"/>
      <c r="Q475" s="3"/>
      <c r="R475" s="3"/>
      <c r="S475" s="3"/>
      <c r="T475" s="3"/>
      <c r="U475" s="3"/>
      <c r="V475" s="3"/>
      <c r="W475" s="3"/>
      <c r="X475" s="3"/>
      <c r="Y475" s="3"/>
      <c r="Z475" s="3"/>
    </row>
    <row r="476" ht="15.75" customHeight="1">
      <c r="A476" s="790"/>
      <c r="Q476" s="3"/>
      <c r="R476" s="3"/>
      <c r="S476" s="3"/>
      <c r="T476" s="3"/>
      <c r="U476" s="3"/>
      <c r="V476" s="3"/>
      <c r="W476" s="3"/>
      <c r="X476" s="3"/>
      <c r="Y476" s="3"/>
      <c r="Z476" s="3"/>
    </row>
    <row r="477" ht="15.75" customHeight="1">
      <c r="A477" s="790"/>
      <c r="Q477" s="3"/>
      <c r="R477" s="3"/>
      <c r="S477" s="3"/>
      <c r="T477" s="3"/>
      <c r="U477" s="3"/>
      <c r="V477" s="3"/>
      <c r="W477" s="3"/>
      <c r="X477" s="3"/>
      <c r="Y477" s="3"/>
      <c r="Z477" s="3"/>
    </row>
    <row r="478" ht="15.75" customHeight="1">
      <c r="A478" s="790"/>
      <c r="Q478" s="3"/>
      <c r="R478" s="3"/>
      <c r="S478" s="3"/>
      <c r="T478" s="3"/>
      <c r="U478" s="3"/>
      <c r="V478" s="3"/>
      <c r="W478" s="3"/>
      <c r="X478" s="3"/>
      <c r="Y478" s="3"/>
      <c r="Z478" s="3"/>
    </row>
    <row r="479" ht="15.75" customHeight="1">
      <c r="A479" s="790"/>
      <c r="Q479" s="3"/>
      <c r="R479" s="3"/>
      <c r="S479" s="3"/>
      <c r="T479" s="3"/>
      <c r="U479" s="3"/>
      <c r="V479" s="3"/>
      <c r="W479" s="3"/>
      <c r="X479" s="3"/>
      <c r="Y479" s="3"/>
      <c r="Z479" s="3"/>
    </row>
    <row r="480" ht="15.75" customHeight="1">
      <c r="A480" s="790"/>
      <c r="Q480" s="3"/>
      <c r="R480" s="3"/>
      <c r="S480" s="3"/>
      <c r="T480" s="3"/>
      <c r="U480" s="3"/>
      <c r="V480" s="3"/>
      <c r="W480" s="3"/>
      <c r="X480" s="3"/>
      <c r="Y480" s="3"/>
      <c r="Z480" s="3"/>
    </row>
    <row r="481" ht="15.75" customHeight="1">
      <c r="A481" s="790"/>
      <c r="Q481" s="3"/>
      <c r="R481" s="3"/>
      <c r="S481" s="3"/>
      <c r="T481" s="3"/>
      <c r="U481" s="3"/>
      <c r="V481" s="3"/>
      <c r="W481" s="3"/>
      <c r="X481" s="3"/>
      <c r="Y481" s="3"/>
      <c r="Z481" s="3"/>
    </row>
    <row r="482" ht="15.75" customHeight="1">
      <c r="A482" s="790"/>
      <c r="Q482" s="3"/>
      <c r="R482" s="3"/>
      <c r="S482" s="3"/>
      <c r="T482" s="3"/>
      <c r="U482" s="3"/>
      <c r="V482" s="3"/>
      <c r="W482" s="3"/>
      <c r="X482" s="3"/>
      <c r="Y482" s="3"/>
      <c r="Z482" s="3"/>
    </row>
    <row r="483" ht="15.75" customHeight="1">
      <c r="A483" s="790"/>
      <c r="Q483" s="3"/>
      <c r="R483" s="3"/>
      <c r="S483" s="3"/>
      <c r="T483" s="3"/>
      <c r="U483" s="3"/>
      <c r="V483" s="3"/>
      <c r="W483" s="3"/>
      <c r="X483" s="3"/>
      <c r="Y483" s="3"/>
      <c r="Z483" s="3"/>
    </row>
    <row r="484" ht="15.75" customHeight="1">
      <c r="A484" s="790"/>
      <c r="Q484" s="3"/>
      <c r="R484" s="3"/>
      <c r="S484" s="3"/>
      <c r="T484" s="3"/>
      <c r="U484" s="3"/>
      <c r="V484" s="3"/>
      <c r="W484" s="3"/>
      <c r="X484" s="3"/>
      <c r="Y484" s="3"/>
      <c r="Z484" s="3"/>
    </row>
    <row r="485" ht="15.75" customHeight="1">
      <c r="A485" s="790"/>
      <c r="Q485" s="3"/>
      <c r="R485" s="3"/>
      <c r="S485" s="3"/>
      <c r="T485" s="3"/>
      <c r="U485" s="3"/>
      <c r="V485" s="3"/>
      <c r="W485" s="3"/>
      <c r="X485" s="3"/>
      <c r="Y485" s="3"/>
      <c r="Z485" s="3"/>
    </row>
    <row r="486" ht="15.75" customHeight="1">
      <c r="A486" s="790"/>
      <c r="Q486" s="3"/>
      <c r="R486" s="3"/>
      <c r="S486" s="3"/>
      <c r="T486" s="3"/>
      <c r="U486" s="3"/>
      <c r="V486" s="3"/>
      <c r="W486" s="3"/>
      <c r="X486" s="3"/>
      <c r="Y486" s="3"/>
      <c r="Z486" s="3"/>
    </row>
    <row r="487" ht="15.75" customHeight="1">
      <c r="A487" s="790"/>
      <c r="Q487" s="3"/>
      <c r="R487" s="3"/>
      <c r="S487" s="3"/>
      <c r="T487" s="3"/>
      <c r="U487" s="3"/>
      <c r="V487" s="3"/>
      <c r="W487" s="3"/>
      <c r="X487" s="3"/>
      <c r="Y487" s="3"/>
      <c r="Z487" s="3"/>
    </row>
    <row r="488" ht="15.75" customHeight="1">
      <c r="A488" s="790"/>
      <c r="Q488" s="3"/>
      <c r="R488" s="3"/>
      <c r="S488" s="3"/>
      <c r="T488" s="3"/>
      <c r="U488" s="3"/>
      <c r="V488" s="3"/>
      <c r="W488" s="3"/>
      <c r="X488" s="3"/>
      <c r="Y488" s="3"/>
      <c r="Z488" s="3"/>
    </row>
    <row r="489" ht="15.75" customHeight="1">
      <c r="A489" s="790"/>
      <c r="Q489" s="3"/>
      <c r="R489" s="3"/>
      <c r="S489" s="3"/>
      <c r="T489" s="3"/>
      <c r="U489" s="3"/>
      <c r="V489" s="3"/>
      <c r="W489" s="3"/>
      <c r="X489" s="3"/>
      <c r="Y489" s="3"/>
      <c r="Z489" s="3"/>
    </row>
    <row r="490" ht="15.75" customHeight="1">
      <c r="A490" s="790"/>
      <c r="Q490" s="3"/>
      <c r="R490" s="3"/>
      <c r="S490" s="3"/>
      <c r="T490" s="3"/>
      <c r="U490" s="3"/>
      <c r="V490" s="3"/>
      <c r="W490" s="3"/>
      <c r="X490" s="3"/>
      <c r="Y490" s="3"/>
      <c r="Z490" s="3"/>
    </row>
    <row r="491" ht="15.75" customHeight="1">
      <c r="A491" s="790"/>
      <c r="Q491" s="3"/>
      <c r="R491" s="3"/>
      <c r="S491" s="3"/>
      <c r="T491" s="3"/>
      <c r="U491" s="3"/>
      <c r="V491" s="3"/>
      <c r="W491" s="3"/>
      <c r="X491" s="3"/>
      <c r="Y491" s="3"/>
      <c r="Z491" s="3"/>
    </row>
    <row r="492" ht="15.75" customHeight="1">
      <c r="A492" s="790"/>
      <c r="Q492" s="3"/>
      <c r="R492" s="3"/>
      <c r="S492" s="3"/>
      <c r="T492" s="3"/>
      <c r="U492" s="3"/>
      <c r="V492" s="3"/>
      <c r="W492" s="3"/>
      <c r="X492" s="3"/>
      <c r="Y492" s="3"/>
      <c r="Z492" s="3"/>
    </row>
    <row r="493" ht="15.75" customHeight="1">
      <c r="A493" s="790"/>
      <c r="Q493" s="3"/>
      <c r="R493" s="3"/>
      <c r="S493" s="3"/>
      <c r="T493" s="3"/>
      <c r="U493" s="3"/>
      <c r="V493" s="3"/>
      <c r="W493" s="3"/>
      <c r="X493" s="3"/>
      <c r="Y493" s="3"/>
      <c r="Z493" s="3"/>
    </row>
    <row r="494" ht="15.75" customHeight="1">
      <c r="A494" s="790"/>
      <c r="Q494" s="3"/>
      <c r="R494" s="3"/>
      <c r="S494" s="3"/>
      <c r="T494" s="3"/>
      <c r="U494" s="3"/>
      <c r="V494" s="3"/>
      <c r="W494" s="3"/>
      <c r="X494" s="3"/>
      <c r="Y494" s="3"/>
      <c r="Z494" s="3"/>
    </row>
    <row r="495" ht="15.75" customHeight="1">
      <c r="A495" s="790"/>
      <c r="Q495" s="3"/>
      <c r="R495" s="3"/>
      <c r="S495" s="3"/>
      <c r="T495" s="3"/>
      <c r="U495" s="3"/>
      <c r="V495" s="3"/>
      <c r="W495" s="3"/>
      <c r="X495" s="3"/>
      <c r="Y495" s="3"/>
      <c r="Z495" s="3"/>
    </row>
    <row r="496" ht="15.75" customHeight="1">
      <c r="A496" s="790"/>
      <c r="Q496" s="3"/>
      <c r="R496" s="3"/>
      <c r="S496" s="3"/>
      <c r="T496" s="3"/>
      <c r="U496" s="3"/>
      <c r="V496" s="3"/>
      <c r="W496" s="3"/>
      <c r="X496" s="3"/>
      <c r="Y496" s="3"/>
      <c r="Z496" s="3"/>
    </row>
    <row r="497" ht="15.75" customHeight="1">
      <c r="A497" s="790"/>
      <c r="Q497" s="3"/>
      <c r="R497" s="3"/>
      <c r="S497" s="3"/>
      <c r="T497" s="3"/>
      <c r="U497" s="3"/>
      <c r="V497" s="3"/>
      <c r="W497" s="3"/>
      <c r="X497" s="3"/>
      <c r="Y497" s="3"/>
      <c r="Z497" s="3"/>
    </row>
    <row r="498" ht="15.75" customHeight="1">
      <c r="A498" s="790"/>
      <c r="Q498" s="3"/>
      <c r="R498" s="3"/>
      <c r="S498" s="3"/>
      <c r="T498" s="3"/>
      <c r="U498" s="3"/>
      <c r="V498" s="3"/>
      <c r="W498" s="3"/>
      <c r="X498" s="3"/>
      <c r="Y498" s="3"/>
      <c r="Z498" s="3"/>
    </row>
    <row r="499" ht="15.75" customHeight="1">
      <c r="A499" s="790"/>
      <c r="Q499" s="3"/>
      <c r="R499" s="3"/>
      <c r="S499" s="3"/>
      <c r="T499" s="3"/>
      <c r="U499" s="3"/>
      <c r="V499" s="3"/>
      <c r="W499" s="3"/>
      <c r="X499" s="3"/>
      <c r="Y499" s="3"/>
      <c r="Z499" s="3"/>
    </row>
    <row r="500" ht="15.75" customHeight="1">
      <c r="A500" s="790"/>
      <c r="Q500" s="3"/>
      <c r="R500" s="3"/>
      <c r="S500" s="3"/>
      <c r="T500" s="3"/>
      <c r="U500" s="3"/>
      <c r="V500" s="3"/>
      <c r="W500" s="3"/>
      <c r="X500" s="3"/>
      <c r="Y500" s="3"/>
      <c r="Z500" s="3"/>
    </row>
    <row r="501" ht="15.75" customHeight="1">
      <c r="A501" s="790"/>
      <c r="Q501" s="3"/>
      <c r="R501" s="3"/>
      <c r="S501" s="3"/>
      <c r="T501" s="3"/>
      <c r="U501" s="3"/>
      <c r="V501" s="3"/>
      <c r="W501" s="3"/>
      <c r="X501" s="3"/>
      <c r="Y501" s="3"/>
      <c r="Z501" s="3"/>
    </row>
    <row r="502" ht="15.75" customHeight="1">
      <c r="A502" s="790"/>
      <c r="Q502" s="3"/>
      <c r="R502" s="3"/>
      <c r="S502" s="3"/>
      <c r="T502" s="3"/>
      <c r="U502" s="3"/>
      <c r="V502" s="3"/>
      <c r="W502" s="3"/>
      <c r="X502" s="3"/>
      <c r="Y502" s="3"/>
      <c r="Z502" s="3"/>
    </row>
    <row r="503" ht="15.75" customHeight="1">
      <c r="A503" s="790"/>
      <c r="Q503" s="3"/>
      <c r="R503" s="3"/>
      <c r="S503" s="3"/>
      <c r="T503" s="3"/>
      <c r="U503" s="3"/>
      <c r="V503" s="3"/>
      <c r="W503" s="3"/>
      <c r="X503" s="3"/>
      <c r="Y503" s="3"/>
      <c r="Z503" s="3"/>
    </row>
    <row r="504" ht="15.75" customHeight="1">
      <c r="A504" s="790"/>
      <c r="Q504" s="3"/>
      <c r="R504" s="3"/>
      <c r="S504" s="3"/>
      <c r="T504" s="3"/>
      <c r="U504" s="3"/>
      <c r="V504" s="3"/>
      <c r="W504" s="3"/>
      <c r="X504" s="3"/>
      <c r="Y504" s="3"/>
      <c r="Z504" s="3"/>
    </row>
    <row r="505" ht="15.75" customHeight="1">
      <c r="A505" s="790"/>
      <c r="Q505" s="3"/>
      <c r="R505" s="3"/>
      <c r="S505" s="3"/>
      <c r="T505" s="3"/>
      <c r="U505" s="3"/>
      <c r="V505" s="3"/>
      <c r="W505" s="3"/>
      <c r="X505" s="3"/>
      <c r="Y505" s="3"/>
      <c r="Z505" s="3"/>
    </row>
    <row r="506" ht="15.75" customHeight="1">
      <c r="A506" s="790"/>
      <c r="Q506" s="3"/>
      <c r="R506" s="3"/>
      <c r="S506" s="3"/>
      <c r="T506" s="3"/>
      <c r="U506" s="3"/>
      <c r="V506" s="3"/>
      <c r="W506" s="3"/>
      <c r="X506" s="3"/>
      <c r="Y506" s="3"/>
      <c r="Z506" s="3"/>
    </row>
    <row r="507" ht="15.75" customHeight="1">
      <c r="A507" s="790"/>
      <c r="Q507" s="3"/>
      <c r="R507" s="3"/>
      <c r="S507" s="3"/>
      <c r="T507" s="3"/>
      <c r="U507" s="3"/>
      <c r="V507" s="3"/>
      <c r="W507" s="3"/>
      <c r="X507" s="3"/>
      <c r="Y507" s="3"/>
      <c r="Z507" s="3"/>
    </row>
    <row r="508" ht="15.75" customHeight="1">
      <c r="A508" s="790"/>
      <c r="Q508" s="3"/>
      <c r="R508" s="3"/>
      <c r="S508" s="3"/>
      <c r="T508" s="3"/>
      <c r="U508" s="3"/>
      <c r="V508" s="3"/>
      <c r="W508" s="3"/>
      <c r="X508" s="3"/>
      <c r="Y508" s="3"/>
      <c r="Z508" s="3"/>
    </row>
    <row r="509" ht="15.75" customHeight="1">
      <c r="A509" s="790"/>
      <c r="Q509" s="3"/>
      <c r="R509" s="3"/>
      <c r="S509" s="3"/>
      <c r="T509" s="3"/>
      <c r="U509" s="3"/>
      <c r="V509" s="3"/>
      <c r="W509" s="3"/>
      <c r="X509" s="3"/>
      <c r="Y509" s="3"/>
      <c r="Z509" s="3"/>
    </row>
    <row r="510" ht="15.75" customHeight="1">
      <c r="A510" s="790"/>
      <c r="Q510" s="3"/>
      <c r="R510" s="3"/>
      <c r="S510" s="3"/>
      <c r="T510" s="3"/>
      <c r="U510" s="3"/>
      <c r="V510" s="3"/>
      <c r="W510" s="3"/>
      <c r="X510" s="3"/>
      <c r="Y510" s="3"/>
      <c r="Z510" s="3"/>
    </row>
    <row r="511" ht="15.75" customHeight="1">
      <c r="A511" s="790"/>
      <c r="Q511" s="3"/>
      <c r="R511" s="3"/>
      <c r="S511" s="3"/>
      <c r="T511" s="3"/>
      <c r="U511" s="3"/>
      <c r="V511" s="3"/>
      <c r="W511" s="3"/>
      <c r="X511" s="3"/>
      <c r="Y511" s="3"/>
      <c r="Z511" s="3"/>
    </row>
    <row r="512" ht="15.75" customHeight="1">
      <c r="A512" s="790"/>
      <c r="Q512" s="3"/>
      <c r="R512" s="3"/>
      <c r="S512" s="3"/>
      <c r="T512" s="3"/>
      <c r="U512" s="3"/>
      <c r="V512" s="3"/>
      <c r="W512" s="3"/>
      <c r="X512" s="3"/>
      <c r="Y512" s="3"/>
      <c r="Z512" s="3"/>
    </row>
    <row r="513" ht="15.75" customHeight="1">
      <c r="A513" s="790"/>
      <c r="Q513" s="3"/>
      <c r="R513" s="3"/>
      <c r="S513" s="3"/>
      <c r="T513" s="3"/>
      <c r="U513" s="3"/>
      <c r="V513" s="3"/>
      <c r="W513" s="3"/>
      <c r="X513" s="3"/>
      <c r="Y513" s="3"/>
      <c r="Z513" s="3"/>
    </row>
    <row r="514" ht="15.75" customHeight="1">
      <c r="A514" s="790"/>
      <c r="Q514" s="3"/>
      <c r="R514" s="3"/>
      <c r="S514" s="3"/>
      <c r="T514" s="3"/>
      <c r="U514" s="3"/>
      <c r="V514" s="3"/>
      <c r="W514" s="3"/>
      <c r="X514" s="3"/>
      <c r="Y514" s="3"/>
      <c r="Z514" s="3"/>
    </row>
    <row r="515" ht="15.75" customHeight="1">
      <c r="A515" s="790"/>
      <c r="Q515" s="3"/>
      <c r="R515" s="3"/>
      <c r="S515" s="3"/>
      <c r="T515" s="3"/>
      <c r="U515" s="3"/>
      <c r="V515" s="3"/>
      <c r="W515" s="3"/>
      <c r="X515" s="3"/>
      <c r="Y515" s="3"/>
      <c r="Z515" s="3"/>
    </row>
    <row r="516" ht="15.75" customHeight="1">
      <c r="A516" s="790"/>
      <c r="Q516" s="3"/>
      <c r="R516" s="3"/>
      <c r="S516" s="3"/>
      <c r="T516" s="3"/>
      <c r="U516" s="3"/>
      <c r="V516" s="3"/>
      <c r="W516" s="3"/>
      <c r="X516" s="3"/>
      <c r="Y516" s="3"/>
      <c r="Z516" s="3"/>
    </row>
    <row r="517" ht="15.75" customHeight="1">
      <c r="A517" s="790"/>
      <c r="Q517" s="3"/>
      <c r="R517" s="3"/>
      <c r="S517" s="3"/>
      <c r="T517" s="3"/>
      <c r="U517" s="3"/>
      <c r="V517" s="3"/>
      <c r="W517" s="3"/>
      <c r="X517" s="3"/>
      <c r="Y517" s="3"/>
      <c r="Z517" s="3"/>
    </row>
    <row r="518" ht="15.75" customHeight="1">
      <c r="A518" s="790"/>
      <c r="Q518" s="3"/>
      <c r="R518" s="3"/>
      <c r="S518" s="3"/>
      <c r="T518" s="3"/>
      <c r="U518" s="3"/>
      <c r="V518" s="3"/>
      <c r="W518" s="3"/>
      <c r="X518" s="3"/>
      <c r="Y518" s="3"/>
      <c r="Z518" s="3"/>
    </row>
    <row r="519" ht="15.75" customHeight="1">
      <c r="A519" s="790"/>
      <c r="Q519" s="3"/>
      <c r="R519" s="3"/>
      <c r="S519" s="3"/>
      <c r="T519" s="3"/>
      <c r="U519" s="3"/>
      <c r="V519" s="3"/>
      <c r="W519" s="3"/>
      <c r="X519" s="3"/>
      <c r="Y519" s="3"/>
      <c r="Z519" s="3"/>
    </row>
    <row r="520" ht="15.75" customHeight="1">
      <c r="A520" s="790"/>
      <c r="Q520" s="3"/>
      <c r="R520" s="3"/>
      <c r="S520" s="3"/>
      <c r="T520" s="3"/>
      <c r="U520" s="3"/>
      <c r="V520" s="3"/>
      <c r="W520" s="3"/>
      <c r="X520" s="3"/>
      <c r="Y520" s="3"/>
      <c r="Z520" s="3"/>
    </row>
    <row r="521" ht="15.75" customHeight="1">
      <c r="A521" s="790"/>
      <c r="Q521" s="3"/>
      <c r="R521" s="3"/>
      <c r="S521" s="3"/>
      <c r="T521" s="3"/>
      <c r="U521" s="3"/>
      <c r="V521" s="3"/>
      <c r="W521" s="3"/>
      <c r="X521" s="3"/>
      <c r="Y521" s="3"/>
      <c r="Z521" s="3"/>
    </row>
    <row r="522" ht="15.75" customHeight="1">
      <c r="A522" s="790"/>
      <c r="Q522" s="3"/>
      <c r="R522" s="3"/>
      <c r="S522" s="3"/>
      <c r="T522" s="3"/>
      <c r="U522" s="3"/>
      <c r="V522" s="3"/>
      <c r="W522" s="3"/>
      <c r="X522" s="3"/>
      <c r="Y522" s="3"/>
      <c r="Z522" s="3"/>
    </row>
    <row r="523" ht="15.75" customHeight="1">
      <c r="A523" s="790"/>
      <c r="Q523" s="3"/>
      <c r="R523" s="3"/>
      <c r="S523" s="3"/>
      <c r="T523" s="3"/>
      <c r="U523" s="3"/>
      <c r="V523" s="3"/>
      <c r="W523" s="3"/>
      <c r="X523" s="3"/>
      <c r="Y523" s="3"/>
      <c r="Z523" s="3"/>
    </row>
    <row r="524" ht="15.75" customHeight="1">
      <c r="A524" s="790"/>
      <c r="Q524" s="3"/>
      <c r="R524" s="3"/>
      <c r="S524" s="3"/>
      <c r="T524" s="3"/>
      <c r="U524" s="3"/>
      <c r="V524" s="3"/>
      <c r="W524" s="3"/>
      <c r="X524" s="3"/>
      <c r="Y524" s="3"/>
      <c r="Z524" s="3"/>
    </row>
    <row r="525" ht="15.75" customHeight="1">
      <c r="A525" s="790"/>
      <c r="Q525" s="3"/>
      <c r="R525" s="3"/>
      <c r="S525" s="3"/>
      <c r="T525" s="3"/>
      <c r="U525" s="3"/>
      <c r="V525" s="3"/>
      <c r="W525" s="3"/>
      <c r="X525" s="3"/>
      <c r="Y525" s="3"/>
      <c r="Z525" s="3"/>
    </row>
    <row r="526" ht="15.75" customHeight="1">
      <c r="A526" s="790"/>
      <c r="Q526" s="3"/>
      <c r="R526" s="3"/>
      <c r="S526" s="3"/>
      <c r="T526" s="3"/>
      <c r="U526" s="3"/>
      <c r="V526" s="3"/>
      <c r="W526" s="3"/>
      <c r="X526" s="3"/>
      <c r="Y526" s="3"/>
      <c r="Z526" s="3"/>
    </row>
    <row r="527" ht="15.75" customHeight="1">
      <c r="A527" s="790"/>
      <c r="Q527" s="3"/>
      <c r="R527" s="3"/>
      <c r="S527" s="3"/>
      <c r="T527" s="3"/>
      <c r="U527" s="3"/>
      <c r="V527" s="3"/>
      <c r="W527" s="3"/>
      <c r="X527" s="3"/>
      <c r="Y527" s="3"/>
      <c r="Z527" s="3"/>
    </row>
    <row r="528" ht="15.75" customHeight="1">
      <c r="A528" s="790"/>
      <c r="Q528" s="3"/>
      <c r="R528" s="3"/>
      <c r="S528" s="3"/>
      <c r="T528" s="3"/>
      <c r="U528" s="3"/>
      <c r="V528" s="3"/>
      <c r="W528" s="3"/>
      <c r="X528" s="3"/>
      <c r="Y528" s="3"/>
      <c r="Z528" s="3"/>
    </row>
    <row r="529" ht="15.75" customHeight="1">
      <c r="A529" s="790"/>
      <c r="Q529" s="3"/>
      <c r="R529" s="3"/>
      <c r="S529" s="3"/>
      <c r="T529" s="3"/>
      <c r="U529" s="3"/>
      <c r="V529" s="3"/>
      <c r="W529" s="3"/>
      <c r="X529" s="3"/>
      <c r="Y529" s="3"/>
      <c r="Z529" s="3"/>
    </row>
    <row r="530" ht="15.75" customHeight="1">
      <c r="A530" s="790"/>
      <c r="Q530" s="3"/>
      <c r="R530" s="3"/>
      <c r="S530" s="3"/>
      <c r="T530" s="3"/>
      <c r="U530" s="3"/>
      <c r="V530" s="3"/>
      <c r="W530" s="3"/>
      <c r="X530" s="3"/>
      <c r="Y530" s="3"/>
      <c r="Z530" s="3"/>
    </row>
    <row r="531" ht="15.75" customHeight="1">
      <c r="A531" s="790"/>
      <c r="Q531" s="3"/>
      <c r="R531" s="3"/>
      <c r="S531" s="3"/>
      <c r="T531" s="3"/>
      <c r="U531" s="3"/>
      <c r="V531" s="3"/>
      <c r="W531" s="3"/>
      <c r="X531" s="3"/>
      <c r="Y531" s="3"/>
      <c r="Z531" s="3"/>
    </row>
    <row r="532" ht="15.75" customHeight="1">
      <c r="A532" s="790"/>
      <c r="Q532" s="3"/>
      <c r="R532" s="3"/>
      <c r="S532" s="3"/>
      <c r="T532" s="3"/>
      <c r="U532" s="3"/>
      <c r="V532" s="3"/>
      <c r="W532" s="3"/>
      <c r="X532" s="3"/>
      <c r="Y532" s="3"/>
      <c r="Z532" s="3"/>
    </row>
    <row r="533" ht="15.75" customHeight="1">
      <c r="A533" s="790"/>
      <c r="Q533" s="3"/>
      <c r="R533" s="3"/>
      <c r="S533" s="3"/>
      <c r="T533" s="3"/>
      <c r="U533" s="3"/>
      <c r="V533" s="3"/>
      <c r="W533" s="3"/>
      <c r="X533" s="3"/>
      <c r="Y533" s="3"/>
      <c r="Z533" s="3"/>
    </row>
    <row r="534" ht="15.75" customHeight="1">
      <c r="A534" s="790"/>
      <c r="Q534" s="3"/>
      <c r="R534" s="3"/>
      <c r="S534" s="3"/>
      <c r="T534" s="3"/>
      <c r="U534" s="3"/>
      <c r="V534" s="3"/>
      <c r="W534" s="3"/>
      <c r="X534" s="3"/>
      <c r="Y534" s="3"/>
      <c r="Z534" s="3"/>
    </row>
    <row r="535" ht="15.75" customHeight="1">
      <c r="A535" s="790"/>
      <c r="Q535" s="3"/>
      <c r="R535" s="3"/>
      <c r="S535" s="3"/>
      <c r="T535" s="3"/>
      <c r="U535" s="3"/>
      <c r="V535" s="3"/>
      <c r="W535" s="3"/>
      <c r="X535" s="3"/>
      <c r="Y535" s="3"/>
      <c r="Z535" s="3"/>
    </row>
    <row r="536" ht="15.75" customHeight="1">
      <c r="A536" s="790"/>
      <c r="Q536" s="3"/>
      <c r="R536" s="3"/>
      <c r="S536" s="3"/>
      <c r="T536" s="3"/>
      <c r="U536" s="3"/>
      <c r="V536" s="3"/>
      <c r="W536" s="3"/>
      <c r="X536" s="3"/>
      <c r="Y536" s="3"/>
      <c r="Z536" s="3"/>
    </row>
    <row r="537" ht="15.75" customHeight="1">
      <c r="A537" s="790"/>
      <c r="Q537" s="3"/>
      <c r="R537" s="3"/>
      <c r="S537" s="3"/>
      <c r="T537" s="3"/>
      <c r="U537" s="3"/>
      <c r="V537" s="3"/>
      <c r="W537" s="3"/>
      <c r="X537" s="3"/>
      <c r="Y537" s="3"/>
      <c r="Z537" s="3"/>
    </row>
    <row r="538" ht="15.75" customHeight="1">
      <c r="A538" s="790"/>
      <c r="Q538" s="3"/>
      <c r="R538" s="3"/>
      <c r="S538" s="3"/>
      <c r="T538" s="3"/>
      <c r="U538" s="3"/>
      <c r="V538" s="3"/>
      <c r="W538" s="3"/>
      <c r="X538" s="3"/>
      <c r="Y538" s="3"/>
      <c r="Z538" s="3"/>
    </row>
    <row r="539" ht="15.75" customHeight="1">
      <c r="A539" s="790"/>
      <c r="Q539" s="3"/>
      <c r="R539" s="3"/>
      <c r="S539" s="3"/>
      <c r="T539" s="3"/>
      <c r="U539" s="3"/>
      <c r="V539" s="3"/>
      <c r="W539" s="3"/>
      <c r="X539" s="3"/>
      <c r="Y539" s="3"/>
      <c r="Z539" s="3"/>
    </row>
    <row r="540" ht="15.75" customHeight="1">
      <c r="A540" s="790"/>
      <c r="Q540" s="3"/>
      <c r="R540" s="3"/>
      <c r="S540" s="3"/>
      <c r="T540" s="3"/>
      <c r="U540" s="3"/>
      <c r="V540" s="3"/>
      <c r="W540" s="3"/>
      <c r="X540" s="3"/>
      <c r="Y540" s="3"/>
      <c r="Z540" s="3"/>
    </row>
    <row r="541" ht="15.75" customHeight="1">
      <c r="A541" s="790"/>
      <c r="Q541" s="3"/>
      <c r="R541" s="3"/>
      <c r="S541" s="3"/>
      <c r="T541" s="3"/>
      <c r="U541" s="3"/>
      <c r="V541" s="3"/>
      <c r="W541" s="3"/>
      <c r="X541" s="3"/>
      <c r="Y541" s="3"/>
      <c r="Z541" s="3"/>
    </row>
    <row r="542" ht="15.75" customHeight="1">
      <c r="A542" s="790"/>
      <c r="Q542" s="3"/>
      <c r="R542" s="3"/>
      <c r="S542" s="3"/>
      <c r="T542" s="3"/>
      <c r="U542" s="3"/>
      <c r="V542" s="3"/>
      <c r="W542" s="3"/>
      <c r="X542" s="3"/>
      <c r="Y542" s="3"/>
      <c r="Z542" s="3"/>
    </row>
    <row r="543" ht="15.75" customHeight="1">
      <c r="A543" s="790"/>
      <c r="Q543" s="3"/>
      <c r="R543" s="3"/>
      <c r="S543" s="3"/>
      <c r="T543" s="3"/>
      <c r="U543" s="3"/>
      <c r="V543" s="3"/>
      <c r="W543" s="3"/>
      <c r="X543" s="3"/>
      <c r="Y543" s="3"/>
      <c r="Z543" s="3"/>
    </row>
    <row r="544" ht="15.75" customHeight="1">
      <c r="A544" s="790"/>
      <c r="Q544" s="3"/>
      <c r="R544" s="3"/>
      <c r="S544" s="3"/>
      <c r="T544" s="3"/>
      <c r="U544" s="3"/>
      <c r="V544" s="3"/>
      <c r="W544" s="3"/>
      <c r="X544" s="3"/>
      <c r="Y544" s="3"/>
      <c r="Z544" s="3"/>
    </row>
    <row r="545" ht="15.75" customHeight="1">
      <c r="A545" s="790"/>
      <c r="Q545" s="3"/>
      <c r="R545" s="3"/>
      <c r="S545" s="3"/>
      <c r="T545" s="3"/>
      <c r="U545" s="3"/>
      <c r="V545" s="3"/>
      <c r="W545" s="3"/>
      <c r="X545" s="3"/>
      <c r="Y545" s="3"/>
      <c r="Z545" s="3"/>
    </row>
    <row r="546" ht="15.75" customHeight="1">
      <c r="A546" s="790"/>
      <c r="Q546" s="3"/>
      <c r="R546" s="3"/>
      <c r="S546" s="3"/>
      <c r="T546" s="3"/>
      <c r="U546" s="3"/>
      <c r="V546" s="3"/>
      <c r="W546" s="3"/>
      <c r="X546" s="3"/>
      <c r="Y546" s="3"/>
      <c r="Z546" s="3"/>
    </row>
    <row r="547" ht="15.75" customHeight="1">
      <c r="A547" s="790"/>
      <c r="Q547" s="3"/>
      <c r="R547" s="3"/>
      <c r="S547" s="3"/>
      <c r="T547" s="3"/>
      <c r="U547" s="3"/>
      <c r="V547" s="3"/>
      <c r="W547" s="3"/>
      <c r="X547" s="3"/>
      <c r="Y547" s="3"/>
      <c r="Z547" s="3"/>
    </row>
    <row r="548" ht="15.75" customHeight="1">
      <c r="A548" s="790"/>
      <c r="Q548" s="3"/>
      <c r="R548" s="3"/>
      <c r="S548" s="3"/>
      <c r="T548" s="3"/>
      <c r="U548" s="3"/>
      <c r="V548" s="3"/>
      <c r="W548" s="3"/>
      <c r="X548" s="3"/>
      <c r="Y548" s="3"/>
      <c r="Z548" s="3"/>
    </row>
    <row r="549" ht="15.75" customHeight="1">
      <c r="A549" s="790"/>
      <c r="Q549" s="3"/>
      <c r="R549" s="3"/>
      <c r="S549" s="3"/>
      <c r="T549" s="3"/>
      <c r="U549" s="3"/>
      <c r="V549" s="3"/>
      <c r="W549" s="3"/>
      <c r="X549" s="3"/>
      <c r="Y549" s="3"/>
      <c r="Z549" s="3"/>
    </row>
    <row r="550" ht="15.75" customHeight="1">
      <c r="A550" s="790"/>
      <c r="Q550" s="3"/>
      <c r="R550" s="3"/>
      <c r="S550" s="3"/>
      <c r="T550" s="3"/>
      <c r="U550" s="3"/>
      <c r="V550" s="3"/>
      <c r="W550" s="3"/>
      <c r="X550" s="3"/>
      <c r="Y550" s="3"/>
      <c r="Z550" s="3"/>
    </row>
    <row r="551" ht="15.75" customHeight="1">
      <c r="A551" s="790"/>
      <c r="Q551" s="3"/>
      <c r="R551" s="3"/>
      <c r="S551" s="3"/>
      <c r="T551" s="3"/>
      <c r="U551" s="3"/>
      <c r="V551" s="3"/>
      <c r="W551" s="3"/>
      <c r="X551" s="3"/>
      <c r="Y551" s="3"/>
      <c r="Z551" s="3"/>
    </row>
    <row r="552" ht="15.75" customHeight="1">
      <c r="A552" s="790"/>
      <c r="Q552" s="3"/>
      <c r="R552" s="3"/>
      <c r="S552" s="3"/>
      <c r="T552" s="3"/>
      <c r="U552" s="3"/>
      <c r="V552" s="3"/>
      <c r="W552" s="3"/>
      <c r="X552" s="3"/>
      <c r="Y552" s="3"/>
      <c r="Z552" s="3"/>
    </row>
    <row r="553" ht="15.75" customHeight="1">
      <c r="A553" s="790"/>
      <c r="Q553" s="3"/>
      <c r="R553" s="3"/>
      <c r="S553" s="3"/>
      <c r="T553" s="3"/>
      <c r="U553" s="3"/>
      <c r="V553" s="3"/>
      <c r="W553" s="3"/>
      <c r="X553" s="3"/>
      <c r="Y553" s="3"/>
      <c r="Z553" s="3"/>
    </row>
    <row r="554" ht="15.75" customHeight="1">
      <c r="A554" s="790"/>
      <c r="Q554" s="3"/>
      <c r="R554" s="3"/>
      <c r="S554" s="3"/>
      <c r="T554" s="3"/>
      <c r="U554" s="3"/>
      <c r="V554" s="3"/>
      <c r="W554" s="3"/>
      <c r="X554" s="3"/>
      <c r="Y554" s="3"/>
      <c r="Z554" s="3"/>
    </row>
    <row r="555" ht="15.75" customHeight="1">
      <c r="A555" s="790"/>
      <c r="Q555" s="3"/>
      <c r="R555" s="3"/>
      <c r="S555" s="3"/>
      <c r="T555" s="3"/>
      <c r="U555" s="3"/>
      <c r="V555" s="3"/>
      <c r="W555" s="3"/>
      <c r="X555" s="3"/>
      <c r="Y555" s="3"/>
      <c r="Z555" s="3"/>
    </row>
    <row r="556" ht="15.75" customHeight="1">
      <c r="A556" s="790"/>
      <c r="Q556" s="3"/>
      <c r="R556" s="3"/>
      <c r="S556" s="3"/>
      <c r="T556" s="3"/>
      <c r="U556" s="3"/>
      <c r="V556" s="3"/>
      <c r="W556" s="3"/>
      <c r="X556" s="3"/>
      <c r="Y556" s="3"/>
      <c r="Z556" s="3"/>
    </row>
    <row r="557" ht="15.75" customHeight="1">
      <c r="A557" s="790"/>
      <c r="Q557" s="3"/>
      <c r="R557" s="3"/>
      <c r="S557" s="3"/>
      <c r="T557" s="3"/>
      <c r="U557" s="3"/>
      <c r="V557" s="3"/>
      <c r="W557" s="3"/>
      <c r="X557" s="3"/>
      <c r="Y557" s="3"/>
      <c r="Z557" s="3"/>
    </row>
    <row r="558" ht="15.75" customHeight="1">
      <c r="A558" s="790"/>
      <c r="Q558" s="3"/>
      <c r="R558" s="3"/>
      <c r="S558" s="3"/>
      <c r="T558" s="3"/>
      <c r="U558" s="3"/>
      <c r="V558" s="3"/>
      <c r="W558" s="3"/>
      <c r="X558" s="3"/>
      <c r="Y558" s="3"/>
      <c r="Z558" s="3"/>
    </row>
    <row r="559" ht="15.75" customHeight="1">
      <c r="A559" s="790"/>
      <c r="Q559" s="3"/>
      <c r="R559" s="3"/>
      <c r="S559" s="3"/>
      <c r="T559" s="3"/>
      <c r="U559" s="3"/>
      <c r="V559" s="3"/>
      <c r="W559" s="3"/>
      <c r="X559" s="3"/>
      <c r="Y559" s="3"/>
      <c r="Z559" s="3"/>
    </row>
    <row r="560" ht="15.75" customHeight="1">
      <c r="A560" s="790"/>
      <c r="Q560" s="3"/>
      <c r="R560" s="3"/>
      <c r="S560" s="3"/>
      <c r="T560" s="3"/>
      <c r="U560" s="3"/>
      <c r="V560" s="3"/>
      <c r="W560" s="3"/>
      <c r="X560" s="3"/>
      <c r="Y560" s="3"/>
      <c r="Z560" s="3"/>
    </row>
    <row r="561" ht="15.75" customHeight="1">
      <c r="A561" s="790"/>
      <c r="Q561" s="3"/>
      <c r="R561" s="3"/>
      <c r="S561" s="3"/>
      <c r="T561" s="3"/>
      <c r="U561" s="3"/>
      <c r="V561" s="3"/>
      <c r="W561" s="3"/>
      <c r="X561" s="3"/>
      <c r="Y561" s="3"/>
      <c r="Z561" s="3"/>
    </row>
    <row r="562" ht="15.75" customHeight="1">
      <c r="A562" s="790"/>
      <c r="Q562" s="3"/>
      <c r="R562" s="3"/>
      <c r="S562" s="3"/>
      <c r="T562" s="3"/>
      <c r="U562" s="3"/>
      <c r="V562" s="3"/>
      <c r="W562" s="3"/>
      <c r="X562" s="3"/>
      <c r="Y562" s="3"/>
      <c r="Z562" s="3"/>
    </row>
    <row r="563" ht="15.75" customHeight="1">
      <c r="A563" s="790"/>
      <c r="Q563" s="3"/>
      <c r="R563" s="3"/>
      <c r="S563" s="3"/>
      <c r="T563" s="3"/>
      <c r="U563" s="3"/>
      <c r="V563" s="3"/>
      <c r="W563" s="3"/>
      <c r="X563" s="3"/>
      <c r="Y563" s="3"/>
      <c r="Z563" s="3"/>
    </row>
    <row r="564" ht="15.75" customHeight="1">
      <c r="A564" s="790"/>
      <c r="Q564" s="3"/>
      <c r="R564" s="3"/>
      <c r="S564" s="3"/>
      <c r="T564" s="3"/>
      <c r="U564" s="3"/>
      <c r="V564" s="3"/>
      <c r="W564" s="3"/>
      <c r="X564" s="3"/>
      <c r="Y564" s="3"/>
      <c r="Z564" s="3"/>
    </row>
    <row r="565" ht="15.75" customHeight="1">
      <c r="A565" s="790"/>
      <c r="Q565" s="3"/>
      <c r="R565" s="3"/>
      <c r="S565" s="3"/>
      <c r="T565" s="3"/>
      <c r="U565" s="3"/>
      <c r="V565" s="3"/>
      <c r="W565" s="3"/>
      <c r="X565" s="3"/>
      <c r="Y565" s="3"/>
      <c r="Z565" s="3"/>
    </row>
    <row r="566" ht="15.75" customHeight="1">
      <c r="A566" s="790"/>
      <c r="Q566" s="3"/>
      <c r="R566" s="3"/>
      <c r="S566" s="3"/>
      <c r="T566" s="3"/>
      <c r="U566" s="3"/>
      <c r="V566" s="3"/>
      <c r="W566" s="3"/>
      <c r="X566" s="3"/>
      <c r="Y566" s="3"/>
      <c r="Z566" s="3"/>
    </row>
    <row r="567" ht="15.75" customHeight="1">
      <c r="A567" s="790"/>
      <c r="Q567" s="3"/>
      <c r="R567" s="3"/>
      <c r="S567" s="3"/>
      <c r="T567" s="3"/>
      <c r="U567" s="3"/>
      <c r="V567" s="3"/>
      <c r="W567" s="3"/>
      <c r="X567" s="3"/>
      <c r="Y567" s="3"/>
      <c r="Z567" s="3"/>
    </row>
    <row r="568" ht="15.75" customHeight="1">
      <c r="A568" s="790"/>
      <c r="Q568" s="3"/>
      <c r="R568" s="3"/>
      <c r="S568" s="3"/>
      <c r="T568" s="3"/>
      <c r="U568" s="3"/>
      <c r="V568" s="3"/>
      <c r="W568" s="3"/>
      <c r="X568" s="3"/>
      <c r="Y568" s="3"/>
      <c r="Z568" s="3"/>
    </row>
    <row r="569" ht="15.75" customHeight="1">
      <c r="A569" s="790"/>
      <c r="Q569" s="3"/>
      <c r="R569" s="3"/>
      <c r="S569" s="3"/>
      <c r="T569" s="3"/>
      <c r="U569" s="3"/>
      <c r="V569" s="3"/>
      <c r="W569" s="3"/>
      <c r="X569" s="3"/>
      <c r="Y569" s="3"/>
      <c r="Z569" s="3"/>
    </row>
    <row r="570" ht="15.75" customHeight="1">
      <c r="A570" s="790"/>
      <c r="Q570" s="3"/>
      <c r="R570" s="3"/>
      <c r="S570" s="3"/>
      <c r="T570" s="3"/>
      <c r="U570" s="3"/>
      <c r="V570" s="3"/>
      <c r="W570" s="3"/>
      <c r="X570" s="3"/>
      <c r="Y570" s="3"/>
      <c r="Z570" s="3"/>
    </row>
    <row r="571" ht="15.75" customHeight="1">
      <c r="A571" s="790"/>
      <c r="Q571" s="3"/>
      <c r="R571" s="3"/>
      <c r="S571" s="3"/>
      <c r="T571" s="3"/>
      <c r="U571" s="3"/>
      <c r="V571" s="3"/>
      <c r="W571" s="3"/>
      <c r="X571" s="3"/>
      <c r="Y571" s="3"/>
      <c r="Z571" s="3"/>
    </row>
    <row r="572" ht="15.75" customHeight="1">
      <c r="A572" s="790"/>
      <c r="Q572" s="3"/>
      <c r="R572" s="3"/>
      <c r="S572" s="3"/>
      <c r="T572" s="3"/>
      <c r="U572" s="3"/>
      <c r="V572" s="3"/>
      <c r="W572" s="3"/>
      <c r="X572" s="3"/>
      <c r="Y572" s="3"/>
      <c r="Z572" s="3"/>
    </row>
    <row r="573" ht="15.75" customHeight="1">
      <c r="A573" s="790"/>
      <c r="Q573" s="3"/>
      <c r="R573" s="3"/>
      <c r="S573" s="3"/>
      <c r="T573" s="3"/>
      <c r="U573" s="3"/>
      <c r="V573" s="3"/>
      <c r="W573" s="3"/>
      <c r="X573" s="3"/>
      <c r="Y573" s="3"/>
      <c r="Z573" s="3"/>
    </row>
    <row r="574" ht="15.75" customHeight="1">
      <c r="A574" s="790"/>
      <c r="Q574" s="3"/>
      <c r="R574" s="3"/>
      <c r="S574" s="3"/>
      <c r="T574" s="3"/>
      <c r="U574" s="3"/>
      <c r="V574" s="3"/>
      <c r="W574" s="3"/>
      <c r="X574" s="3"/>
      <c r="Y574" s="3"/>
      <c r="Z574" s="3"/>
    </row>
    <row r="575" ht="15.75" customHeight="1">
      <c r="A575" s="790"/>
      <c r="Q575" s="3"/>
      <c r="R575" s="3"/>
      <c r="S575" s="3"/>
      <c r="T575" s="3"/>
      <c r="U575" s="3"/>
      <c r="V575" s="3"/>
      <c r="W575" s="3"/>
      <c r="X575" s="3"/>
      <c r="Y575" s="3"/>
      <c r="Z575" s="3"/>
    </row>
    <row r="576" ht="15.75" customHeight="1">
      <c r="A576" s="790"/>
      <c r="Q576" s="3"/>
      <c r="R576" s="3"/>
      <c r="S576" s="3"/>
      <c r="T576" s="3"/>
      <c r="U576" s="3"/>
      <c r="V576" s="3"/>
      <c r="W576" s="3"/>
      <c r="X576" s="3"/>
      <c r="Y576" s="3"/>
      <c r="Z576" s="3"/>
    </row>
    <row r="577" ht="15.75" customHeight="1">
      <c r="A577" s="790"/>
      <c r="Q577" s="3"/>
      <c r="R577" s="3"/>
      <c r="S577" s="3"/>
      <c r="T577" s="3"/>
      <c r="U577" s="3"/>
      <c r="V577" s="3"/>
      <c r="W577" s="3"/>
      <c r="X577" s="3"/>
      <c r="Y577" s="3"/>
      <c r="Z577" s="3"/>
    </row>
    <row r="578" ht="15.75" customHeight="1">
      <c r="A578" s="790"/>
      <c r="Q578" s="3"/>
      <c r="R578" s="3"/>
      <c r="S578" s="3"/>
      <c r="T578" s="3"/>
      <c r="U578" s="3"/>
      <c r="V578" s="3"/>
      <c r="W578" s="3"/>
      <c r="X578" s="3"/>
      <c r="Y578" s="3"/>
      <c r="Z578" s="3"/>
    </row>
    <row r="579" ht="15.75" customHeight="1">
      <c r="A579" s="790"/>
      <c r="Q579" s="3"/>
      <c r="R579" s="3"/>
      <c r="S579" s="3"/>
      <c r="T579" s="3"/>
      <c r="U579" s="3"/>
      <c r="V579" s="3"/>
      <c r="W579" s="3"/>
      <c r="X579" s="3"/>
      <c r="Y579" s="3"/>
      <c r="Z579" s="3"/>
    </row>
    <row r="580" ht="15.75" customHeight="1">
      <c r="A580" s="790"/>
      <c r="Q580" s="3"/>
      <c r="R580" s="3"/>
      <c r="S580" s="3"/>
      <c r="T580" s="3"/>
      <c r="U580" s="3"/>
      <c r="V580" s="3"/>
      <c r="W580" s="3"/>
      <c r="X580" s="3"/>
      <c r="Y580" s="3"/>
      <c r="Z580" s="3"/>
    </row>
    <row r="581" ht="15.75" customHeight="1">
      <c r="A581" s="790"/>
      <c r="Q581" s="3"/>
      <c r="R581" s="3"/>
      <c r="S581" s="3"/>
      <c r="T581" s="3"/>
      <c r="U581" s="3"/>
      <c r="V581" s="3"/>
      <c r="W581" s="3"/>
      <c r="X581" s="3"/>
      <c r="Y581" s="3"/>
      <c r="Z581" s="3"/>
    </row>
    <row r="582" ht="15.75" customHeight="1">
      <c r="A582" s="790"/>
      <c r="Q582" s="3"/>
      <c r="R582" s="3"/>
      <c r="S582" s="3"/>
      <c r="T582" s="3"/>
      <c r="U582" s="3"/>
      <c r="V582" s="3"/>
      <c r="W582" s="3"/>
      <c r="X582" s="3"/>
      <c r="Y582" s="3"/>
      <c r="Z582" s="3"/>
    </row>
    <row r="583" ht="15.75" customHeight="1">
      <c r="A583" s="790"/>
      <c r="Q583" s="3"/>
      <c r="R583" s="3"/>
      <c r="S583" s="3"/>
      <c r="T583" s="3"/>
      <c r="U583" s="3"/>
      <c r="V583" s="3"/>
      <c r="W583" s="3"/>
      <c r="X583" s="3"/>
      <c r="Y583" s="3"/>
      <c r="Z583" s="3"/>
    </row>
    <row r="584" ht="15.75" customHeight="1">
      <c r="A584" s="790"/>
      <c r="Q584" s="3"/>
      <c r="R584" s="3"/>
      <c r="S584" s="3"/>
      <c r="T584" s="3"/>
      <c r="U584" s="3"/>
      <c r="V584" s="3"/>
      <c r="W584" s="3"/>
      <c r="X584" s="3"/>
      <c r="Y584" s="3"/>
      <c r="Z584" s="3"/>
    </row>
    <row r="585" ht="15.75" customHeight="1">
      <c r="A585" s="790"/>
      <c r="Q585" s="3"/>
      <c r="R585" s="3"/>
      <c r="S585" s="3"/>
      <c r="T585" s="3"/>
      <c r="U585" s="3"/>
      <c r="V585" s="3"/>
      <c r="W585" s="3"/>
      <c r="X585" s="3"/>
      <c r="Y585" s="3"/>
      <c r="Z585" s="3"/>
    </row>
    <row r="586" ht="15.75" customHeight="1">
      <c r="A586" s="790"/>
      <c r="Q586" s="3"/>
      <c r="R586" s="3"/>
      <c r="S586" s="3"/>
      <c r="T586" s="3"/>
      <c r="U586" s="3"/>
      <c r="V586" s="3"/>
      <c r="W586" s="3"/>
      <c r="X586" s="3"/>
      <c r="Y586" s="3"/>
      <c r="Z586" s="3"/>
    </row>
    <row r="587" ht="15.75" customHeight="1">
      <c r="A587" s="790"/>
      <c r="Q587" s="3"/>
      <c r="R587" s="3"/>
      <c r="S587" s="3"/>
      <c r="T587" s="3"/>
      <c r="U587" s="3"/>
      <c r="V587" s="3"/>
      <c r="W587" s="3"/>
      <c r="X587" s="3"/>
      <c r="Y587" s="3"/>
      <c r="Z587" s="3"/>
    </row>
    <row r="588" ht="15.75" customHeight="1">
      <c r="A588" s="790"/>
      <c r="Q588" s="3"/>
      <c r="R588" s="3"/>
      <c r="S588" s="3"/>
      <c r="T588" s="3"/>
      <c r="U588" s="3"/>
      <c r="V588" s="3"/>
      <c r="W588" s="3"/>
      <c r="X588" s="3"/>
      <c r="Y588" s="3"/>
      <c r="Z588" s="3"/>
    </row>
    <row r="589" ht="15.75" customHeight="1">
      <c r="A589" s="790"/>
      <c r="Q589" s="3"/>
      <c r="R589" s="3"/>
      <c r="S589" s="3"/>
      <c r="T589" s="3"/>
      <c r="U589" s="3"/>
      <c r="V589" s="3"/>
      <c r="W589" s="3"/>
      <c r="X589" s="3"/>
      <c r="Y589" s="3"/>
      <c r="Z589" s="3"/>
    </row>
    <row r="590" ht="15.75" customHeight="1">
      <c r="A590" s="790"/>
      <c r="Q590" s="3"/>
      <c r="R590" s="3"/>
      <c r="S590" s="3"/>
      <c r="T590" s="3"/>
      <c r="U590" s="3"/>
      <c r="V590" s="3"/>
      <c r="W590" s="3"/>
      <c r="X590" s="3"/>
      <c r="Y590" s="3"/>
      <c r="Z590" s="3"/>
    </row>
    <row r="591" ht="15.75" customHeight="1">
      <c r="A591" s="790"/>
      <c r="Q591" s="3"/>
      <c r="R591" s="3"/>
      <c r="S591" s="3"/>
      <c r="T591" s="3"/>
      <c r="U591" s="3"/>
      <c r="V591" s="3"/>
      <c r="W591" s="3"/>
      <c r="X591" s="3"/>
      <c r="Y591" s="3"/>
      <c r="Z591" s="3"/>
    </row>
    <row r="592" ht="15.75" customHeight="1">
      <c r="A592" s="790"/>
      <c r="Q592" s="3"/>
      <c r="R592" s="3"/>
      <c r="S592" s="3"/>
      <c r="T592" s="3"/>
      <c r="U592" s="3"/>
      <c r="V592" s="3"/>
      <c r="W592" s="3"/>
      <c r="X592" s="3"/>
      <c r="Y592" s="3"/>
      <c r="Z592" s="3"/>
    </row>
    <row r="593" ht="15.75" customHeight="1">
      <c r="A593" s="790"/>
      <c r="Q593" s="3"/>
      <c r="R593" s="3"/>
      <c r="S593" s="3"/>
      <c r="T593" s="3"/>
      <c r="U593" s="3"/>
      <c r="V593" s="3"/>
      <c r="W593" s="3"/>
      <c r="X593" s="3"/>
      <c r="Y593" s="3"/>
      <c r="Z593" s="3"/>
    </row>
    <row r="594" ht="15.75" customHeight="1">
      <c r="A594" s="790"/>
      <c r="Q594" s="3"/>
      <c r="R594" s="3"/>
      <c r="S594" s="3"/>
      <c r="T594" s="3"/>
      <c r="U594" s="3"/>
      <c r="V594" s="3"/>
      <c r="W594" s="3"/>
      <c r="X594" s="3"/>
      <c r="Y594" s="3"/>
      <c r="Z594" s="3"/>
    </row>
    <row r="595" ht="15.75" customHeight="1">
      <c r="A595" s="790"/>
      <c r="Q595" s="3"/>
      <c r="R595" s="3"/>
      <c r="S595" s="3"/>
      <c r="T595" s="3"/>
      <c r="U595" s="3"/>
      <c r="V595" s="3"/>
      <c r="W595" s="3"/>
      <c r="X595" s="3"/>
      <c r="Y595" s="3"/>
      <c r="Z595" s="3"/>
    </row>
    <row r="596" ht="15.75" customHeight="1">
      <c r="A596" s="790"/>
      <c r="Q596" s="3"/>
      <c r="R596" s="3"/>
      <c r="S596" s="3"/>
      <c r="T596" s="3"/>
      <c r="U596" s="3"/>
      <c r="V596" s="3"/>
      <c r="W596" s="3"/>
      <c r="X596" s="3"/>
      <c r="Y596" s="3"/>
      <c r="Z596" s="3"/>
    </row>
    <row r="597" ht="15.75" customHeight="1">
      <c r="A597" s="790"/>
      <c r="Q597" s="3"/>
      <c r="R597" s="3"/>
      <c r="S597" s="3"/>
      <c r="T597" s="3"/>
      <c r="U597" s="3"/>
      <c r="V597" s="3"/>
      <c r="W597" s="3"/>
      <c r="X597" s="3"/>
      <c r="Y597" s="3"/>
      <c r="Z597" s="3"/>
    </row>
    <row r="598" ht="15.75" customHeight="1">
      <c r="A598" s="790"/>
      <c r="Q598" s="3"/>
      <c r="R598" s="3"/>
      <c r="S598" s="3"/>
      <c r="T598" s="3"/>
      <c r="U598" s="3"/>
      <c r="V598" s="3"/>
      <c r="W598" s="3"/>
      <c r="X598" s="3"/>
      <c r="Y598" s="3"/>
      <c r="Z598" s="3"/>
    </row>
    <row r="599" ht="15.75" customHeight="1">
      <c r="A599" s="790"/>
      <c r="Q599" s="3"/>
      <c r="R599" s="3"/>
      <c r="S599" s="3"/>
      <c r="T599" s="3"/>
      <c r="U599" s="3"/>
      <c r="V599" s="3"/>
      <c r="W599" s="3"/>
      <c r="X599" s="3"/>
      <c r="Y599" s="3"/>
      <c r="Z599" s="3"/>
    </row>
    <row r="600" ht="15.75" customHeight="1">
      <c r="A600" s="790"/>
      <c r="Q600" s="3"/>
      <c r="R600" s="3"/>
      <c r="S600" s="3"/>
      <c r="T600" s="3"/>
      <c r="U600" s="3"/>
      <c r="V600" s="3"/>
      <c r="W600" s="3"/>
      <c r="X600" s="3"/>
      <c r="Y600" s="3"/>
      <c r="Z600" s="3"/>
    </row>
    <row r="601" ht="15.75" customHeight="1">
      <c r="A601" s="790"/>
      <c r="Q601" s="3"/>
      <c r="R601" s="3"/>
      <c r="S601" s="3"/>
      <c r="T601" s="3"/>
      <c r="U601" s="3"/>
      <c r="V601" s="3"/>
      <c r="W601" s="3"/>
      <c r="X601" s="3"/>
      <c r="Y601" s="3"/>
      <c r="Z601" s="3"/>
    </row>
    <row r="602" ht="15.75" customHeight="1">
      <c r="A602" s="790"/>
      <c r="Q602" s="3"/>
      <c r="R602" s="3"/>
      <c r="S602" s="3"/>
      <c r="T602" s="3"/>
      <c r="U602" s="3"/>
      <c r="V602" s="3"/>
      <c r="W602" s="3"/>
      <c r="X602" s="3"/>
      <c r="Y602" s="3"/>
      <c r="Z602" s="3"/>
    </row>
    <row r="603" ht="15.75" customHeight="1">
      <c r="A603" s="790"/>
      <c r="Q603" s="3"/>
      <c r="R603" s="3"/>
      <c r="S603" s="3"/>
      <c r="T603" s="3"/>
      <c r="U603" s="3"/>
      <c r="V603" s="3"/>
      <c r="W603" s="3"/>
      <c r="X603" s="3"/>
      <c r="Y603" s="3"/>
      <c r="Z603" s="3"/>
    </row>
    <row r="604" ht="15.75" customHeight="1">
      <c r="A604" s="790"/>
      <c r="Q604" s="3"/>
      <c r="R604" s="3"/>
      <c r="S604" s="3"/>
      <c r="T604" s="3"/>
      <c r="U604" s="3"/>
      <c r="V604" s="3"/>
      <c r="W604" s="3"/>
      <c r="X604" s="3"/>
      <c r="Y604" s="3"/>
      <c r="Z604" s="3"/>
    </row>
    <row r="605" ht="15.75" customHeight="1">
      <c r="A605" s="790"/>
      <c r="Q605" s="3"/>
      <c r="R605" s="3"/>
      <c r="S605" s="3"/>
      <c r="T605" s="3"/>
      <c r="U605" s="3"/>
      <c r="V605" s="3"/>
      <c r="W605" s="3"/>
      <c r="X605" s="3"/>
      <c r="Y605" s="3"/>
      <c r="Z605" s="3"/>
    </row>
    <row r="606" ht="15.75" customHeight="1">
      <c r="A606" s="790"/>
      <c r="Q606" s="3"/>
      <c r="R606" s="3"/>
      <c r="S606" s="3"/>
      <c r="T606" s="3"/>
      <c r="U606" s="3"/>
      <c r="V606" s="3"/>
      <c r="W606" s="3"/>
      <c r="X606" s="3"/>
      <c r="Y606" s="3"/>
      <c r="Z606" s="3"/>
    </row>
    <row r="607" ht="15.75" customHeight="1">
      <c r="A607" s="790"/>
      <c r="Q607" s="3"/>
      <c r="R607" s="3"/>
      <c r="S607" s="3"/>
      <c r="T607" s="3"/>
      <c r="U607" s="3"/>
      <c r="V607" s="3"/>
      <c r="W607" s="3"/>
      <c r="X607" s="3"/>
      <c r="Y607" s="3"/>
      <c r="Z607" s="3"/>
    </row>
    <row r="608" ht="15.75" customHeight="1">
      <c r="A608" s="790"/>
      <c r="Q608" s="3"/>
      <c r="R608" s="3"/>
      <c r="S608" s="3"/>
      <c r="T608" s="3"/>
      <c r="U608" s="3"/>
      <c r="V608" s="3"/>
      <c r="W608" s="3"/>
      <c r="X608" s="3"/>
      <c r="Y608" s="3"/>
      <c r="Z608" s="3"/>
    </row>
    <row r="609" ht="15.75" customHeight="1">
      <c r="A609" s="790"/>
      <c r="Q609" s="3"/>
      <c r="R609" s="3"/>
      <c r="S609" s="3"/>
      <c r="T609" s="3"/>
      <c r="U609" s="3"/>
      <c r="V609" s="3"/>
      <c r="W609" s="3"/>
      <c r="X609" s="3"/>
      <c r="Y609" s="3"/>
      <c r="Z609" s="3"/>
    </row>
    <row r="610" ht="15.75" customHeight="1">
      <c r="A610" s="790"/>
      <c r="Q610" s="3"/>
      <c r="R610" s="3"/>
      <c r="S610" s="3"/>
      <c r="T610" s="3"/>
      <c r="U610" s="3"/>
      <c r="V610" s="3"/>
      <c r="W610" s="3"/>
      <c r="X610" s="3"/>
      <c r="Y610" s="3"/>
      <c r="Z610" s="3"/>
    </row>
    <row r="611" ht="15.75" customHeight="1">
      <c r="A611" s="790"/>
      <c r="Q611" s="3"/>
      <c r="R611" s="3"/>
      <c r="S611" s="3"/>
      <c r="T611" s="3"/>
      <c r="U611" s="3"/>
      <c r="V611" s="3"/>
      <c r="W611" s="3"/>
      <c r="X611" s="3"/>
      <c r="Y611" s="3"/>
      <c r="Z611" s="3"/>
    </row>
    <row r="612" ht="15.75" customHeight="1">
      <c r="A612" s="790"/>
      <c r="Q612" s="3"/>
      <c r="R612" s="3"/>
      <c r="S612" s="3"/>
      <c r="T612" s="3"/>
      <c r="U612" s="3"/>
      <c r="V612" s="3"/>
      <c r="W612" s="3"/>
      <c r="X612" s="3"/>
      <c r="Y612" s="3"/>
      <c r="Z612" s="3"/>
    </row>
    <row r="613" ht="15.75" customHeight="1">
      <c r="A613" s="790"/>
      <c r="Q613" s="3"/>
      <c r="R613" s="3"/>
      <c r="S613" s="3"/>
      <c r="T613" s="3"/>
      <c r="U613" s="3"/>
      <c r="V613" s="3"/>
      <c r="W613" s="3"/>
      <c r="X613" s="3"/>
      <c r="Y613" s="3"/>
      <c r="Z613" s="3"/>
    </row>
    <row r="614" ht="15.75" customHeight="1">
      <c r="A614" s="790"/>
      <c r="Q614" s="3"/>
      <c r="R614" s="3"/>
      <c r="S614" s="3"/>
      <c r="T614" s="3"/>
      <c r="U614" s="3"/>
      <c r="V614" s="3"/>
      <c r="W614" s="3"/>
      <c r="X614" s="3"/>
      <c r="Y614" s="3"/>
      <c r="Z614" s="3"/>
    </row>
    <row r="615" ht="15.75" customHeight="1">
      <c r="A615" s="790"/>
      <c r="Q615" s="3"/>
      <c r="R615" s="3"/>
      <c r="S615" s="3"/>
      <c r="T615" s="3"/>
      <c r="U615" s="3"/>
      <c r="V615" s="3"/>
      <c r="W615" s="3"/>
      <c r="X615" s="3"/>
      <c r="Y615" s="3"/>
      <c r="Z615" s="3"/>
    </row>
    <row r="616" ht="15.75" customHeight="1">
      <c r="A616" s="790"/>
      <c r="Q616" s="3"/>
      <c r="R616" s="3"/>
      <c r="S616" s="3"/>
      <c r="T616" s="3"/>
      <c r="U616" s="3"/>
      <c r="V616" s="3"/>
      <c r="W616" s="3"/>
      <c r="X616" s="3"/>
      <c r="Y616" s="3"/>
      <c r="Z616" s="3"/>
    </row>
    <row r="617" ht="15.75" customHeight="1">
      <c r="A617" s="790"/>
      <c r="Q617" s="3"/>
      <c r="R617" s="3"/>
      <c r="S617" s="3"/>
      <c r="T617" s="3"/>
      <c r="U617" s="3"/>
      <c r="V617" s="3"/>
      <c r="W617" s="3"/>
      <c r="X617" s="3"/>
      <c r="Y617" s="3"/>
      <c r="Z617" s="3"/>
    </row>
    <row r="618" ht="15.75" customHeight="1">
      <c r="A618" s="790"/>
      <c r="Q618" s="3"/>
      <c r="R618" s="3"/>
      <c r="S618" s="3"/>
      <c r="T618" s="3"/>
      <c r="U618" s="3"/>
      <c r="V618" s="3"/>
      <c r="W618" s="3"/>
      <c r="X618" s="3"/>
      <c r="Y618" s="3"/>
      <c r="Z618" s="3"/>
    </row>
    <row r="619" ht="15.75" customHeight="1">
      <c r="A619" s="790"/>
      <c r="Q619" s="3"/>
      <c r="R619" s="3"/>
      <c r="S619" s="3"/>
      <c r="T619" s="3"/>
      <c r="U619" s="3"/>
      <c r="V619" s="3"/>
      <c r="W619" s="3"/>
      <c r="X619" s="3"/>
      <c r="Y619" s="3"/>
      <c r="Z619" s="3"/>
    </row>
    <row r="620" ht="15.75" customHeight="1">
      <c r="A620" s="790"/>
      <c r="Q620" s="3"/>
      <c r="R620" s="3"/>
      <c r="S620" s="3"/>
      <c r="T620" s="3"/>
      <c r="U620" s="3"/>
      <c r="V620" s="3"/>
      <c r="W620" s="3"/>
      <c r="X620" s="3"/>
      <c r="Y620" s="3"/>
      <c r="Z620" s="3"/>
    </row>
    <row r="621" ht="15.75" customHeight="1">
      <c r="A621" s="790"/>
      <c r="Q621" s="3"/>
      <c r="R621" s="3"/>
      <c r="S621" s="3"/>
      <c r="T621" s="3"/>
      <c r="U621" s="3"/>
      <c r="V621" s="3"/>
      <c r="W621" s="3"/>
      <c r="X621" s="3"/>
      <c r="Y621" s="3"/>
      <c r="Z621" s="3"/>
    </row>
    <row r="622" ht="15.75" customHeight="1">
      <c r="A622" s="790"/>
      <c r="Q622" s="3"/>
      <c r="R622" s="3"/>
      <c r="S622" s="3"/>
      <c r="T622" s="3"/>
      <c r="U622" s="3"/>
      <c r="V622" s="3"/>
      <c r="W622" s="3"/>
      <c r="X622" s="3"/>
      <c r="Y622" s="3"/>
      <c r="Z622" s="3"/>
    </row>
    <row r="623" ht="15.75" customHeight="1">
      <c r="A623" s="790"/>
      <c r="Q623" s="3"/>
      <c r="R623" s="3"/>
      <c r="S623" s="3"/>
      <c r="T623" s="3"/>
      <c r="U623" s="3"/>
      <c r="V623" s="3"/>
      <c r="W623" s="3"/>
      <c r="X623" s="3"/>
      <c r="Y623" s="3"/>
      <c r="Z623" s="3"/>
    </row>
    <row r="624" ht="15.75" customHeight="1">
      <c r="A624" s="790"/>
      <c r="Q624" s="3"/>
      <c r="R624" s="3"/>
      <c r="S624" s="3"/>
      <c r="T624" s="3"/>
      <c r="U624" s="3"/>
      <c r="V624" s="3"/>
      <c r="W624" s="3"/>
      <c r="X624" s="3"/>
      <c r="Y624" s="3"/>
      <c r="Z624" s="3"/>
    </row>
    <row r="625" ht="15.75" customHeight="1">
      <c r="A625" s="790"/>
      <c r="Q625" s="3"/>
      <c r="R625" s="3"/>
      <c r="S625" s="3"/>
      <c r="T625" s="3"/>
      <c r="U625" s="3"/>
      <c r="V625" s="3"/>
      <c r="W625" s="3"/>
      <c r="X625" s="3"/>
      <c r="Y625" s="3"/>
      <c r="Z625" s="3"/>
    </row>
    <row r="626" ht="15.75" customHeight="1">
      <c r="A626" s="790"/>
      <c r="Q626" s="3"/>
      <c r="R626" s="3"/>
      <c r="S626" s="3"/>
      <c r="T626" s="3"/>
      <c r="U626" s="3"/>
      <c r="V626" s="3"/>
      <c r="W626" s="3"/>
      <c r="X626" s="3"/>
      <c r="Y626" s="3"/>
      <c r="Z626" s="3"/>
    </row>
    <row r="627" ht="15.75" customHeight="1">
      <c r="A627" s="790"/>
      <c r="Q627" s="3"/>
      <c r="R627" s="3"/>
      <c r="S627" s="3"/>
      <c r="T627" s="3"/>
      <c r="U627" s="3"/>
      <c r="V627" s="3"/>
      <c r="W627" s="3"/>
      <c r="X627" s="3"/>
      <c r="Y627" s="3"/>
      <c r="Z627" s="3"/>
    </row>
    <row r="628" ht="15.75" customHeight="1">
      <c r="A628" s="790"/>
      <c r="Q628" s="3"/>
      <c r="R628" s="3"/>
      <c r="S628" s="3"/>
      <c r="T628" s="3"/>
      <c r="U628" s="3"/>
      <c r="V628" s="3"/>
      <c r="W628" s="3"/>
      <c r="X628" s="3"/>
      <c r="Y628" s="3"/>
      <c r="Z628" s="3"/>
    </row>
    <row r="629" ht="15.75" customHeight="1">
      <c r="A629" s="790"/>
      <c r="Q629" s="3"/>
      <c r="R629" s="3"/>
      <c r="S629" s="3"/>
      <c r="T629" s="3"/>
      <c r="U629" s="3"/>
      <c r="V629" s="3"/>
      <c r="W629" s="3"/>
      <c r="X629" s="3"/>
      <c r="Y629" s="3"/>
      <c r="Z629" s="3"/>
    </row>
    <row r="630" ht="15.75" customHeight="1">
      <c r="A630" s="790"/>
      <c r="Q630" s="3"/>
      <c r="R630" s="3"/>
      <c r="S630" s="3"/>
      <c r="T630" s="3"/>
      <c r="U630" s="3"/>
      <c r="V630" s="3"/>
      <c r="W630" s="3"/>
      <c r="X630" s="3"/>
      <c r="Y630" s="3"/>
      <c r="Z630" s="3"/>
    </row>
    <row r="631" ht="15.75" customHeight="1">
      <c r="A631" s="790"/>
      <c r="Q631" s="3"/>
      <c r="R631" s="3"/>
      <c r="S631" s="3"/>
      <c r="T631" s="3"/>
      <c r="U631" s="3"/>
      <c r="V631" s="3"/>
      <c r="W631" s="3"/>
      <c r="X631" s="3"/>
      <c r="Y631" s="3"/>
      <c r="Z631" s="3"/>
    </row>
    <row r="632" ht="15.75" customHeight="1">
      <c r="A632" s="790"/>
      <c r="Q632" s="3"/>
      <c r="R632" s="3"/>
      <c r="S632" s="3"/>
      <c r="T632" s="3"/>
      <c r="U632" s="3"/>
      <c r="V632" s="3"/>
      <c r="W632" s="3"/>
      <c r="X632" s="3"/>
      <c r="Y632" s="3"/>
      <c r="Z632" s="3"/>
    </row>
    <row r="633" ht="15.75" customHeight="1">
      <c r="A633" s="790"/>
      <c r="Q633" s="3"/>
      <c r="R633" s="3"/>
      <c r="S633" s="3"/>
      <c r="T633" s="3"/>
      <c r="U633" s="3"/>
      <c r="V633" s="3"/>
      <c r="W633" s="3"/>
      <c r="X633" s="3"/>
      <c r="Y633" s="3"/>
      <c r="Z633" s="3"/>
    </row>
    <row r="634" ht="15.75" customHeight="1">
      <c r="A634" s="790"/>
      <c r="Q634" s="3"/>
      <c r="R634" s="3"/>
      <c r="S634" s="3"/>
      <c r="T634" s="3"/>
      <c r="U634" s="3"/>
      <c r="V634" s="3"/>
      <c r="W634" s="3"/>
      <c r="X634" s="3"/>
      <c r="Y634" s="3"/>
      <c r="Z634" s="3"/>
    </row>
    <row r="635" ht="15.75" customHeight="1">
      <c r="A635" s="790"/>
      <c r="Q635" s="3"/>
      <c r="R635" s="3"/>
      <c r="S635" s="3"/>
      <c r="T635" s="3"/>
      <c r="U635" s="3"/>
      <c r="V635" s="3"/>
      <c r="W635" s="3"/>
      <c r="X635" s="3"/>
      <c r="Y635" s="3"/>
      <c r="Z635" s="3"/>
    </row>
    <row r="636" ht="15.75" customHeight="1">
      <c r="A636" s="790"/>
      <c r="Q636" s="3"/>
      <c r="R636" s="3"/>
      <c r="S636" s="3"/>
      <c r="T636" s="3"/>
      <c r="U636" s="3"/>
      <c r="V636" s="3"/>
      <c r="W636" s="3"/>
      <c r="X636" s="3"/>
      <c r="Y636" s="3"/>
      <c r="Z636" s="3"/>
    </row>
    <row r="637" ht="15.75" customHeight="1">
      <c r="A637" s="790"/>
      <c r="Q637" s="3"/>
      <c r="R637" s="3"/>
      <c r="S637" s="3"/>
      <c r="T637" s="3"/>
      <c r="U637" s="3"/>
      <c r="V637" s="3"/>
      <c r="W637" s="3"/>
      <c r="X637" s="3"/>
      <c r="Y637" s="3"/>
      <c r="Z637" s="3"/>
    </row>
    <row r="638" ht="15.75" customHeight="1">
      <c r="A638" s="790"/>
      <c r="Q638" s="3"/>
      <c r="R638" s="3"/>
      <c r="S638" s="3"/>
      <c r="T638" s="3"/>
      <c r="U638" s="3"/>
      <c r="V638" s="3"/>
      <c r="W638" s="3"/>
      <c r="X638" s="3"/>
      <c r="Y638" s="3"/>
      <c r="Z638" s="3"/>
    </row>
    <row r="639" ht="15.75" customHeight="1">
      <c r="A639" s="790"/>
      <c r="Q639" s="3"/>
      <c r="R639" s="3"/>
      <c r="S639" s="3"/>
      <c r="T639" s="3"/>
      <c r="U639" s="3"/>
      <c r="V639" s="3"/>
      <c r="W639" s="3"/>
      <c r="X639" s="3"/>
      <c r="Y639" s="3"/>
      <c r="Z639" s="3"/>
    </row>
    <row r="640" ht="15.75" customHeight="1">
      <c r="A640" s="790"/>
      <c r="Q640" s="3"/>
      <c r="R640" s="3"/>
      <c r="S640" s="3"/>
      <c r="T640" s="3"/>
      <c r="U640" s="3"/>
      <c r="V640" s="3"/>
      <c r="W640" s="3"/>
      <c r="X640" s="3"/>
      <c r="Y640" s="3"/>
      <c r="Z640" s="3"/>
    </row>
    <row r="641" ht="15.75" customHeight="1">
      <c r="A641" s="790"/>
      <c r="Q641" s="3"/>
      <c r="R641" s="3"/>
      <c r="S641" s="3"/>
      <c r="T641" s="3"/>
      <c r="U641" s="3"/>
      <c r="V641" s="3"/>
      <c r="W641" s="3"/>
      <c r="X641" s="3"/>
      <c r="Y641" s="3"/>
      <c r="Z641" s="3"/>
    </row>
    <row r="642" ht="15.75" customHeight="1">
      <c r="A642" s="790"/>
      <c r="Q642" s="3"/>
      <c r="R642" s="3"/>
      <c r="S642" s="3"/>
      <c r="T642" s="3"/>
      <c r="U642" s="3"/>
      <c r="V642" s="3"/>
      <c r="W642" s="3"/>
      <c r="X642" s="3"/>
      <c r="Y642" s="3"/>
      <c r="Z642" s="3"/>
    </row>
    <row r="643" ht="15.75" customHeight="1">
      <c r="A643" s="790"/>
      <c r="Q643" s="3"/>
      <c r="R643" s="3"/>
      <c r="S643" s="3"/>
      <c r="T643" s="3"/>
      <c r="U643" s="3"/>
      <c r="V643" s="3"/>
      <c r="W643" s="3"/>
      <c r="X643" s="3"/>
      <c r="Y643" s="3"/>
      <c r="Z643" s="3"/>
    </row>
    <row r="644" ht="15.75" customHeight="1">
      <c r="A644" s="790"/>
      <c r="Q644" s="3"/>
      <c r="R644" s="3"/>
      <c r="S644" s="3"/>
      <c r="T644" s="3"/>
      <c r="U644" s="3"/>
      <c r="V644" s="3"/>
      <c r="W644" s="3"/>
      <c r="X644" s="3"/>
      <c r="Y644" s="3"/>
      <c r="Z644" s="3"/>
    </row>
    <row r="645" ht="15.75" customHeight="1">
      <c r="A645" s="790"/>
      <c r="Q645" s="3"/>
      <c r="R645" s="3"/>
      <c r="S645" s="3"/>
      <c r="T645" s="3"/>
      <c r="U645" s="3"/>
      <c r="V645" s="3"/>
      <c r="W645" s="3"/>
      <c r="X645" s="3"/>
      <c r="Y645" s="3"/>
      <c r="Z645" s="3"/>
    </row>
    <row r="646" ht="15.75" customHeight="1">
      <c r="A646" s="790"/>
      <c r="Q646" s="3"/>
      <c r="R646" s="3"/>
      <c r="S646" s="3"/>
      <c r="T646" s="3"/>
      <c r="U646" s="3"/>
      <c r="V646" s="3"/>
      <c r="W646" s="3"/>
      <c r="X646" s="3"/>
      <c r="Y646" s="3"/>
      <c r="Z646" s="3"/>
    </row>
    <row r="647" ht="15.75" customHeight="1">
      <c r="A647" s="790"/>
      <c r="Q647" s="3"/>
      <c r="R647" s="3"/>
      <c r="S647" s="3"/>
      <c r="T647" s="3"/>
      <c r="U647" s="3"/>
      <c r="V647" s="3"/>
      <c r="W647" s="3"/>
      <c r="X647" s="3"/>
      <c r="Y647" s="3"/>
      <c r="Z647" s="3"/>
    </row>
    <row r="648" ht="15.75" customHeight="1">
      <c r="A648" s="790"/>
      <c r="Q648" s="3"/>
      <c r="R648" s="3"/>
      <c r="S648" s="3"/>
      <c r="T648" s="3"/>
      <c r="U648" s="3"/>
      <c r="V648" s="3"/>
      <c r="W648" s="3"/>
      <c r="X648" s="3"/>
      <c r="Y648" s="3"/>
      <c r="Z648" s="3"/>
    </row>
    <row r="649" ht="15.75" customHeight="1">
      <c r="A649" s="790"/>
      <c r="Q649" s="3"/>
      <c r="R649" s="3"/>
      <c r="S649" s="3"/>
      <c r="T649" s="3"/>
      <c r="U649" s="3"/>
      <c r="V649" s="3"/>
      <c r="W649" s="3"/>
      <c r="X649" s="3"/>
      <c r="Y649" s="3"/>
      <c r="Z649" s="3"/>
    </row>
    <row r="650" ht="15.75" customHeight="1">
      <c r="A650" s="790"/>
      <c r="Q650" s="3"/>
      <c r="R650" s="3"/>
      <c r="S650" s="3"/>
      <c r="T650" s="3"/>
      <c r="U650" s="3"/>
      <c r="V650" s="3"/>
      <c r="W650" s="3"/>
      <c r="X650" s="3"/>
      <c r="Y650" s="3"/>
      <c r="Z650" s="3"/>
    </row>
    <row r="651" ht="15.75" customHeight="1">
      <c r="A651" s="790"/>
      <c r="Q651" s="3"/>
      <c r="R651" s="3"/>
      <c r="S651" s="3"/>
      <c r="T651" s="3"/>
      <c r="U651" s="3"/>
      <c r="V651" s="3"/>
      <c r="W651" s="3"/>
      <c r="X651" s="3"/>
      <c r="Y651" s="3"/>
      <c r="Z651" s="3"/>
    </row>
    <row r="652" ht="15.75" customHeight="1">
      <c r="A652" s="790"/>
      <c r="Q652" s="3"/>
      <c r="R652" s="3"/>
      <c r="S652" s="3"/>
      <c r="T652" s="3"/>
      <c r="U652" s="3"/>
      <c r="V652" s="3"/>
      <c r="W652" s="3"/>
      <c r="X652" s="3"/>
      <c r="Y652" s="3"/>
      <c r="Z652" s="3"/>
    </row>
    <row r="653" ht="15.75" customHeight="1">
      <c r="A653" s="790"/>
      <c r="Q653" s="3"/>
      <c r="R653" s="3"/>
      <c r="S653" s="3"/>
      <c r="T653" s="3"/>
      <c r="U653" s="3"/>
      <c r="V653" s="3"/>
      <c r="W653" s="3"/>
      <c r="X653" s="3"/>
      <c r="Y653" s="3"/>
      <c r="Z653" s="3"/>
    </row>
    <row r="654" ht="15.75" customHeight="1">
      <c r="A654" s="790"/>
      <c r="Q654" s="3"/>
      <c r="R654" s="3"/>
      <c r="S654" s="3"/>
      <c r="T654" s="3"/>
      <c r="U654" s="3"/>
      <c r="V654" s="3"/>
      <c r="W654" s="3"/>
      <c r="X654" s="3"/>
      <c r="Y654" s="3"/>
      <c r="Z654" s="3"/>
    </row>
    <row r="655" ht="15.75" customHeight="1">
      <c r="A655" s="790"/>
      <c r="Q655" s="3"/>
      <c r="R655" s="3"/>
      <c r="S655" s="3"/>
      <c r="T655" s="3"/>
      <c r="U655" s="3"/>
      <c r="V655" s="3"/>
      <c r="W655" s="3"/>
      <c r="X655" s="3"/>
      <c r="Y655" s="3"/>
      <c r="Z655" s="3"/>
    </row>
    <row r="656" ht="15.75" customHeight="1">
      <c r="A656" s="790"/>
      <c r="Q656" s="3"/>
      <c r="R656" s="3"/>
      <c r="S656" s="3"/>
      <c r="T656" s="3"/>
      <c r="U656" s="3"/>
      <c r="V656" s="3"/>
      <c r="W656" s="3"/>
      <c r="X656" s="3"/>
      <c r="Y656" s="3"/>
      <c r="Z656" s="3"/>
    </row>
    <row r="657" ht="15.75" customHeight="1">
      <c r="A657" s="790"/>
      <c r="Q657" s="3"/>
      <c r="R657" s="3"/>
      <c r="S657" s="3"/>
      <c r="T657" s="3"/>
      <c r="U657" s="3"/>
      <c r="V657" s="3"/>
      <c r="W657" s="3"/>
      <c r="X657" s="3"/>
      <c r="Y657" s="3"/>
      <c r="Z657" s="3"/>
    </row>
    <row r="658" ht="15.75" customHeight="1">
      <c r="A658" s="790"/>
      <c r="Q658" s="3"/>
      <c r="R658" s="3"/>
      <c r="S658" s="3"/>
      <c r="T658" s="3"/>
      <c r="U658" s="3"/>
      <c r="V658" s="3"/>
      <c r="W658" s="3"/>
      <c r="X658" s="3"/>
      <c r="Y658" s="3"/>
      <c r="Z658" s="3"/>
    </row>
    <row r="659" ht="15.75" customHeight="1">
      <c r="A659" s="790"/>
      <c r="Q659" s="3"/>
      <c r="R659" s="3"/>
      <c r="S659" s="3"/>
      <c r="T659" s="3"/>
      <c r="U659" s="3"/>
      <c r="V659" s="3"/>
      <c r="W659" s="3"/>
      <c r="X659" s="3"/>
      <c r="Y659" s="3"/>
      <c r="Z659" s="3"/>
    </row>
    <row r="660" ht="15.75" customHeight="1">
      <c r="A660" s="790"/>
      <c r="Q660" s="3"/>
      <c r="R660" s="3"/>
      <c r="S660" s="3"/>
      <c r="T660" s="3"/>
      <c r="U660" s="3"/>
      <c r="V660" s="3"/>
      <c r="W660" s="3"/>
      <c r="X660" s="3"/>
      <c r="Y660" s="3"/>
      <c r="Z660" s="3"/>
    </row>
    <row r="661" ht="15.75" customHeight="1">
      <c r="A661" s="790"/>
      <c r="Q661" s="3"/>
      <c r="R661" s="3"/>
      <c r="S661" s="3"/>
      <c r="T661" s="3"/>
      <c r="U661" s="3"/>
      <c r="V661" s="3"/>
      <c r="W661" s="3"/>
      <c r="X661" s="3"/>
      <c r="Y661" s="3"/>
      <c r="Z661" s="3"/>
    </row>
    <row r="662" ht="15.75" customHeight="1">
      <c r="A662" s="790"/>
      <c r="Q662" s="3"/>
      <c r="R662" s="3"/>
      <c r="S662" s="3"/>
      <c r="T662" s="3"/>
      <c r="U662" s="3"/>
      <c r="V662" s="3"/>
      <c r="W662" s="3"/>
      <c r="X662" s="3"/>
      <c r="Y662" s="3"/>
      <c r="Z662" s="3"/>
    </row>
    <row r="663" ht="15.75" customHeight="1">
      <c r="A663" s="790"/>
      <c r="Q663" s="3"/>
      <c r="R663" s="3"/>
      <c r="S663" s="3"/>
      <c r="T663" s="3"/>
      <c r="U663" s="3"/>
      <c r="V663" s="3"/>
      <c r="W663" s="3"/>
      <c r="X663" s="3"/>
      <c r="Y663" s="3"/>
      <c r="Z663" s="3"/>
    </row>
    <row r="664" ht="15.75" customHeight="1">
      <c r="A664" s="790"/>
      <c r="Q664" s="3"/>
      <c r="R664" s="3"/>
      <c r="S664" s="3"/>
      <c r="T664" s="3"/>
      <c r="U664" s="3"/>
      <c r="V664" s="3"/>
      <c r="W664" s="3"/>
      <c r="X664" s="3"/>
      <c r="Y664" s="3"/>
      <c r="Z664" s="3"/>
    </row>
    <row r="665" ht="15.75" customHeight="1">
      <c r="A665" s="790"/>
      <c r="Q665" s="3"/>
      <c r="R665" s="3"/>
      <c r="S665" s="3"/>
      <c r="T665" s="3"/>
      <c r="U665" s="3"/>
      <c r="V665" s="3"/>
      <c r="W665" s="3"/>
      <c r="X665" s="3"/>
      <c r="Y665" s="3"/>
      <c r="Z665" s="3"/>
    </row>
    <row r="666" ht="15.75" customHeight="1">
      <c r="A666" s="790"/>
      <c r="Q666" s="3"/>
      <c r="R666" s="3"/>
      <c r="S666" s="3"/>
      <c r="T666" s="3"/>
      <c r="U666" s="3"/>
      <c r="V666" s="3"/>
      <c r="W666" s="3"/>
      <c r="X666" s="3"/>
      <c r="Y666" s="3"/>
      <c r="Z666" s="3"/>
    </row>
    <row r="667" ht="15.75" customHeight="1">
      <c r="A667" s="790"/>
      <c r="Q667" s="3"/>
      <c r="R667" s="3"/>
      <c r="S667" s="3"/>
      <c r="T667" s="3"/>
      <c r="U667" s="3"/>
      <c r="V667" s="3"/>
      <c r="W667" s="3"/>
      <c r="X667" s="3"/>
      <c r="Y667" s="3"/>
      <c r="Z667" s="3"/>
    </row>
    <row r="668" ht="15.75" customHeight="1">
      <c r="A668" s="790"/>
      <c r="Q668" s="3"/>
      <c r="R668" s="3"/>
      <c r="S668" s="3"/>
      <c r="T668" s="3"/>
      <c r="U668" s="3"/>
      <c r="V668" s="3"/>
      <c r="W668" s="3"/>
      <c r="X668" s="3"/>
      <c r="Y668" s="3"/>
      <c r="Z668" s="3"/>
    </row>
    <row r="669" ht="15.75" customHeight="1">
      <c r="A669" s="790"/>
      <c r="Q669" s="3"/>
      <c r="R669" s="3"/>
      <c r="S669" s="3"/>
      <c r="T669" s="3"/>
      <c r="U669" s="3"/>
      <c r="V669" s="3"/>
      <c r="W669" s="3"/>
      <c r="X669" s="3"/>
      <c r="Y669" s="3"/>
      <c r="Z669" s="3"/>
    </row>
    <row r="670" ht="15.75" customHeight="1">
      <c r="A670" s="790"/>
      <c r="Q670" s="3"/>
      <c r="R670" s="3"/>
      <c r="S670" s="3"/>
      <c r="T670" s="3"/>
      <c r="U670" s="3"/>
      <c r="V670" s="3"/>
      <c r="W670" s="3"/>
      <c r="X670" s="3"/>
      <c r="Y670" s="3"/>
      <c r="Z670" s="3"/>
    </row>
    <row r="671" ht="15.75" customHeight="1">
      <c r="A671" s="790"/>
      <c r="Q671" s="3"/>
      <c r="R671" s="3"/>
      <c r="S671" s="3"/>
      <c r="T671" s="3"/>
      <c r="U671" s="3"/>
      <c r="V671" s="3"/>
      <c r="W671" s="3"/>
      <c r="X671" s="3"/>
      <c r="Y671" s="3"/>
      <c r="Z671" s="3"/>
    </row>
    <row r="672" ht="15.75" customHeight="1">
      <c r="A672" s="790"/>
      <c r="Q672" s="3"/>
      <c r="R672" s="3"/>
      <c r="S672" s="3"/>
      <c r="T672" s="3"/>
      <c r="U672" s="3"/>
      <c r="V672" s="3"/>
      <c r="W672" s="3"/>
      <c r="X672" s="3"/>
      <c r="Y672" s="3"/>
      <c r="Z672" s="3"/>
    </row>
    <row r="673" ht="15.75" customHeight="1">
      <c r="A673" s="790"/>
      <c r="Q673" s="3"/>
      <c r="R673" s="3"/>
      <c r="S673" s="3"/>
      <c r="T673" s="3"/>
      <c r="U673" s="3"/>
      <c r="V673" s="3"/>
      <c r="W673" s="3"/>
      <c r="X673" s="3"/>
      <c r="Y673" s="3"/>
      <c r="Z673" s="3"/>
    </row>
    <row r="674" ht="15.75" customHeight="1">
      <c r="A674" s="790"/>
      <c r="Q674" s="3"/>
      <c r="R674" s="3"/>
      <c r="S674" s="3"/>
      <c r="T674" s="3"/>
      <c r="U674" s="3"/>
      <c r="V674" s="3"/>
      <c r="W674" s="3"/>
      <c r="X674" s="3"/>
      <c r="Y674" s="3"/>
      <c r="Z674" s="3"/>
    </row>
    <row r="675" ht="15.75" customHeight="1">
      <c r="A675" s="790"/>
      <c r="Q675" s="3"/>
      <c r="R675" s="3"/>
      <c r="S675" s="3"/>
      <c r="T675" s="3"/>
      <c r="U675" s="3"/>
      <c r="V675" s="3"/>
      <c r="W675" s="3"/>
      <c r="X675" s="3"/>
      <c r="Y675" s="3"/>
      <c r="Z675" s="3"/>
    </row>
    <row r="676" ht="15.75" customHeight="1">
      <c r="A676" s="790"/>
      <c r="Q676" s="3"/>
      <c r="R676" s="3"/>
      <c r="S676" s="3"/>
      <c r="T676" s="3"/>
      <c r="U676" s="3"/>
      <c r="V676" s="3"/>
      <c r="W676" s="3"/>
      <c r="X676" s="3"/>
      <c r="Y676" s="3"/>
      <c r="Z676" s="3"/>
    </row>
    <row r="677" ht="15.75" customHeight="1">
      <c r="A677" s="790"/>
      <c r="Q677" s="3"/>
      <c r="R677" s="3"/>
      <c r="S677" s="3"/>
      <c r="T677" s="3"/>
      <c r="U677" s="3"/>
      <c r="V677" s="3"/>
      <c r="W677" s="3"/>
      <c r="X677" s="3"/>
      <c r="Y677" s="3"/>
      <c r="Z677" s="3"/>
    </row>
    <row r="678" ht="15.75" customHeight="1">
      <c r="A678" s="790"/>
      <c r="Q678" s="3"/>
      <c r="R678" s="3"/>
      <c r="S678" s="3"/>
      <c r="T678" s="3"/>
      <c r="U678" s="3"/>
      <c r="V678" s="3"/>
      <c r="W678" s="3"/>
      <c r="X678" s="3"/>
      <c r="Y678" s="3"/>
      <c r="Z678" s="3"/>
    </row>
    <row r="679" ht="15.75" customHeight="1">
      <c r="A679" s="790"/>
      <c r="Q679" s="3"/>
      <c r="R679" s="3"/>
      <c r="S679" s="3"/>
      <c r="T679" s="3"/>
      <c r="U679" s="3"/>
      <c r="V679" s="3"/>
      <c r="W679" s="3"/>
      <c r="X679" s="3"/>
      <c r="Y679" s="3"/>
      <c r="Z679" s="3"/>
    </row>
    <row r="680" ht="15.75" customHeight="1">
      <c r="A680" s="790"/>
      <c r="Q680" s="3"/>
      <c r="R680" s="3"/>
      <c r="S680" s="3"/>
      <c r="T680" s="3"/>
      <c r="U680" s="3"/>
      <c r="V680" s="3"/>
      <c r="W680" s="3"/>
      <c r="X680" s="3"/>
      <c r="Y680" s="3"/>
      <c r="Z680" s="3"/>
    </row>
    <row r="681" ht="15.75" customHeight="1">
      <c r="A681" s="790"/>
      <c r="Q681" s="3"/>
      <c r="R681" s="3"/>
      <c r="S681" s="3"/>
      <c r="T681" s="3"/>
      <c r="U681" s="3"/>
      <c r="V681" s="3"/>
      <c r="W681" s="3"/>
      <c r="X681" s="3"/>
      <c r="Y681" s="3"/>
      <c r="Z681" s="3"/>
    </row>
    <row r="682" ht="15.75" customHeight="1">
      <c r="A682" s="790"/>
      <c r="Q682" s="3"/>
      <c r="R682" s="3"/>
      <c r="S682" s="3"/>
      <c r="T682" s="3"/>
      <c r="U682" s="3"/>
      <c r="V682" s="3"/>
      <c r="W682" s="3"/>
      <c r="X682" s="3"/>
      <c r="Y682" s="3"/>
      <c r="Z682" s="3"/>
    </row>
    <row r="683" ht="15.75" customHeight="1">
      <c r="A683" s="790"/>
      <c r="Q683" s="3"/>
      <c r="R683" s="3"/>
      <c r="S683" s="3"/>
      <c r="T683" s="3"/>
      <c r="U683" s="3"/>
      <c r="V683" s="3"/>
      <c r="W683" s="3"/>
      <c r="X683" s="3"/>
      <c r="Y683" s="3"/>
      <c r="Z683" s="3"/>
    </row>
    <row r="684" ht="15.75" customHeight="1">
      <c r="A684" s="790"/>
      <c r="Q684" s="3"/>
      <c r="R684" s="3"/>
      <c r="S684" s="3"/>
      <c r="T684" s="3"/>
      <c r="U684" s="3"/>
      <c r="V684" s="3"/>
      <c r="W684" s="3"/>
      <c r="X684" s="3"/>
      <c r="Y684" s="3"/>
      <c r="Z684" s="3"/>
    </row>
    <row r="685" ht="15.75" customHeight="1">
      <c r="A685" s="790"/>
      <c r="Q685" s="3"/>
      <c r="R685" s="3"/>
      <c r="S685" s="3"/>
      <c r="T685" s="3"/>
      <c r="U685" s="3"/>
      <c r="V685" s="3"/>
      <c r="W685" s="3"/>
      <c r="X685" s="3"/>
      <c r="Y685" s="3"/>
      <c r="Z685" s="3"/>
    </row>
    <row r="686" ht="15.75" customHeight="1">
      <c r="A686" s="790"/>
      <c r="Q686" s="3"/>
      <c r="R686" s="3"/>
      <c r="S686" s="3"/>
      <c r="T686" s="3"/>
      <c r="U686" s="3"/>
      <c r="V686" s="3"/>
      <c r="W686" s="3"/>
      <c r="X686" s="3"/>
      <c r="Y686" s="3"/>
      <c r="Z686" s="3"/>
    </row>
    <row r="687" ht="15.75" customHeight="1">
      <c r="A687" s="790"/>
      <c r="Q687" s="3"/>
      <c r="R687" s="3"/>
      <c r="S687" s="3"/>
      <c r="T687" s="3"/>
      <c r="U687" s="3"/>
      <c r="V687" s="3"/>
      <c r="W687" s="3"/>
      <c r="X687" s="3"/>
      <c r="Y687" s="3"/>
      <c r="Z687" s="3"/>
    </row>
    <row r="688" ht="15.75" customHeight="1">
      <c r="A688" s="790"/>
      <c r="Q688" s="3"/>
      <c r="R688" s="3"/>
      <c r="S688" s="3"/>
      <c r="T688" s="3"/>
      <c r="U688" s="3"/>
      <c r="V688" s="3"/>
      <c r="W688" s="3"/>
      <c r="X688" s="3"/>
      <c r="Y688" s="3"/>
      <c r="Z688" s="3"/>
    </row>
    <row r="689" ht="15.75" customHeight="1">
      <c r="A689" s="790"/>
      <c r="Q689" s="3"/>
      <c r="R689" s="3"/>
      <c r="S689" s="3"/>
      <c r="T689" s="3"/>
      <c r="U689" s="3"/>
      <c r="V689" s="3"/>
      <c r="W689" s="3"/>
      <c r="X689" s="3"/>
      <c r="Y689" s="3"/>
      <c r="Z689" s="3"/>
    </row>
    <row r="690" ht="15.75" customHeight="1">
      <c r="A690" s="790"/>
      <c r="Q690" s="3"/>
      <c r="R690" s="3"/>
      <c r="S690" s="3"/>
      <c r="T690" s="3"/>
      <c r="U690" s="3"/>
      <c r="V690" s="3"/>
      <c r="W690" s="3"/>
      <c r="X690" s="3"/>
      <c r="Y690" s="3"/>
      <c r="Z690" s="3"/>
    </row>
    <row r="691" ht="15.75" customHeight="1">
      <c r="A691" s="790"/>
      <c r="Q691" s="3"/>
      <c r="R691" s="3"/>
      <c r="S691" s="3"/>
      <c r="T691" s="3"/>
      <c r="U691" s="3"/>
      <c r="V691" s="3"/>
      <c r="W691" s="3"/>
      <c r="X691" s="3"/>
      <c r="Y691" s="3"/>
      <c r="Z691" s="3"/>
    </row>
    <row r="692" ht="15.75" customHeight="1">
      <c r="A692" s="790"/>
      <c r="Q692" s="3"/>
      <c r="R692" s="3"/>
      <c r="S692" s="3"/>
      <c r="T692" s="3"/>
      <c r="U692" s="3"/>
      <c r="V692" s="3"/>
      <c r="W692" s="3"/>
      <c r="X692" s="3"/>
      <c r="Y692" s="3"/>
      <c r="Z692" s="3"/>
    </row>
    <row r="693" ht="15.75" customHeight="1">
      <c r="A693" s="790"/>
      <c r="Q693" s="3"/>
      <c r="R693" s="3"/>
      <c r="S693" s="3"/>
      <c r="T693" s="3"/>
      <c r="U693" s="3"/>
      <c r="V693" s="3"/>
      <c r="W693" s="3"/>
      <c r="X693" s="3"/>
      <c r="Y693" s="3"/>
      <c r="Z693" s="3"/>
    </row>
    <row r="694" ht="15.75" customHeight="1">
      <c r="A694" s="790"/>
      <c r="Q694" s="3"/>
      <c r="R694" s="3"/>
      <c r="S694" s="3"/>
      <c r="T694" s="3"/>
      <c r="U694" s="3"/>
      <c r="V694" s="3"/>
      <c r="W694" s="3"/>
      <c r="X694" s="3"/>
      <c r="Y694" s="3"/>
      <c r="Z694" s="3"/>
    </row>
    <row r="695" ht="15.75" customHeight="1">
      <c r="A695" s="790"/>
      <c r="Q695" s="3"/>
      <c r="R695" s="3"/>
      <c r="S695" s="3"/>
      <c r="T695" s="3"/>
      <c r="U695" s="3"/>
      <c r="V695" s="3"/>
      <c r="W695" s="3"/>
      <c r="X695" s="3"/>
      <c r="Y695" s="3"/>
      <c r="Z695" s="3"/>
    </row>
    <row r="696" ht="15.75" customHeight="1">
      <c r="A696" s="790"/>
      <c r="Q696" s="3"/>
      <c r="R696" s="3"/>
      <c r="S696" s="3"/>
      <c r="T696" s="3"/>
      <c r="U696" s="3"/>
      <c r="V696" s="3"/>
      <c r="W696" s="3"/>
      <c r="X696" s="3"/>
      <c r="Y696" s="3"/>
      <c r="Z696" s="3"/>
    </row>
    <row r="697" ht="15.75" customHeight="1">
      <c r="A697" s="790"/>
      <c r="Q697" s="3"/>
      <c r="R697" s="3"/>
      <c r="S697" s="3"/>
      <c r="T697" s="3"/>
      <c r="U697" s="3"/>
      <c r="V697" s="3"/>
      <c r="W697" s="3"/>
      <c r="X697" s="3"/>
      <c r="Y697" s="3"/>
      <c r="Z697" s="3"/>
    </row>
    <row r="698" ht="15.75" customHeight="1">
      <c r="A698" s="790"/>
      <c r="Q698" s="3"/>
      <c r="R698" s="3"/>
      <c r="S698" s="3"/>
      <c r="T698" s="3"/>
      <c r="U698" s="3"/>
      <c r="V698" s="3"/>
      <c r="W698" s="3"/>
      <c r="X698" s="3"/>
      <c r="Y698" s="3"/>
      <c r="Z698" s="3"/>
    </row>
    <row r="699" ht="15.75" customHeight="1">
      <c r="A699" s="790"/>
      <c r="Q699" s="3"/>
      <c r="R699" s="3"/>
      <c r="S699" s="3"/>
      <c r="T699" s="3"/>
      <c r="U699" s="3"/>
      <c r="V699" s="3"/>
      <c r="W699" s="3"/>
      <c r="X699" s="3"/>
      <c r="Y699" s="3"/>
      <c r="Z699" s="3"/>
    </row>
    <row r="700" ht="15.75" customHeight="1">
      <c r="A700" s="790"/>
      <c r="Q700" s="3"/>
      <c r="R700" s="3"/>
      <c r="S700" s="3"/>
      <c r="T700" s="3"/>
      <c r="U700" s="3"/>
      <c r="V700" s="3"/>
      <c r="W700" s="3"/>
      <c r="X700" s="3"/>
      <c r="Y700" s="3"/>
      <c r="Z700" s="3"/>
    </row>
    <row r="701" ht="15.75" customHeight="1">
      <c r="A701" s="790"/>
      <c r="Q701" s="3"/>
      <c r="R701" s="3"/>
      <c r="S701" s="3"/>
      <c r="T701" s="3"/>
      <c r="U701" s="3"/>
      <c r="V701" s="3"/>
      <c r="W701" s="3"/>
      <c r="X701" s="3"/>
      <c r="Y701" s="3"/>
      <c r="Z701" s="3"/>
    </row>
    <row r="702" ht="15.75" customHeight="1">
      <c r="A702" s="790"/>
      <c r="Q702" s="3"/>
      <c r="R702" s="3"/>
      <c r="S702" s="3"/>
      <c r="T702" s="3"/>
      <c r="U702" s="3"/>
      <c r="V702" s="3"/>
      <c r="W702" s="3"/>
      <c r="X702" s="3"/>
      <c r="Y702" s="3"/>
      <c r="Z702" s="3"/>
    </row>
    <row r="703" ht="15.75" customHeight="1">
      <c r="A703" s="790"/>
      <c r="Q703" s="3"/>
      <c r="R703" s="3"/>
      <c r="S703" s="3"/>
      <c r="T703" s="3"/>
      <c r="U703" s="3"/>
      <c r="V703" s="3"/>
      <c r="W703" s="3"/>
      <c r="X703" s="3"/>
      <c r="Y703" s="3"/>
      <c r="Z703" s="3"/>
    </row>
    <row r="704" ht="15.75" customHeight="1">
      <c r="A704" s="790"/>
      <c r="Q704" s="3"/>
      <c r="R704" s="3"/>
      <c r="S704" s="3"/>
      <c r="T704" s="3"/>
      <c r="U704" s="3"/>
      <c r="V704" s="3"/>
      <c r="W704" s="3"/>
      <c r="X704" s="3"/>
      <c r="Y704" s="3"/>
      <c r="Z704" s="3"/>
    </row>
    <row r="705" ht="15.75" customHeight="1">
      <c r="A705" s="790"/>
      <c r="Q705" s="3"/>
      <c r="R705" s="3"/>
      <c r="S705" s="3"/>
      <c r="T705" s="3"/>
      <c r="U705" s="3"/>
      <c r="V705" s="3"/>
      <c r="W705" s="3"/>
      <c r="X705" s="3"/>
      <c r="Y705" s="3"/>
      <c r="Z705" s="3"/>
    </row>
    <row r="706" ht="15.75" customHeight="1">
      <c r="A706" s="790"/>
      <c r="Q706" s="3"/>
      <c r="R706" s="3"/>
      <c r="S706" s="3"/>
      <c r="T706" s="3"/>
      <c r="U706" s="3"/>
      <c r="V706" s="3"/>
      <c r="W706" s="3"/>
      <c r="X706" s="3"/>
      <c r="Y706" s="3"/>
      <c r="Z706" s="3"/>
    </row>
    <row r="707" ht="15.75" customHeight="1">
      <c r="A707" s="790"/>
      <c r="Q707" s="3"/>
      <c r="R707" s="3"/>
      <c r="S707" s="3"/>
      <c r="T707" s="3"/>
      <c r="U707" s="3"/>
      <c r="V707" s="3"/>
      <c r="W707" s="3"/>
      <c r="X707" s="3"/>
      <c r="Y707" s="3"/>
      <c r="Z707" s="3"/>
    </row>
    <row r="708" ht="15.75" customHeight="1">
      <c r="A708" s="790"/>
      <c r="Q708" s="3"/>
      <c r="R708" s="3"/>
      <c r="S708" s="3"/>
      <c r="T708" s="3"/>
      <c r="U708" s="3"/>
      <c r="V708" s="3"/>
      <c r="W708" s="3"/>
      <c r="X708" s="3"/>
      <c r="Y708" s="3"/>
      <c r="Z708" s="3"/>
    </row>
    <row r="709" ht="15.75" customHeight="1">
      <c r="A709" s="790"/>
      <c r="Q709" s="3"/>
      <c r="R709" s="3"/>
      <c r="S709" s="3"/>
      <c r="T709" s="3"/>
      <c r="U709" s="3"/>
      <c r="V709" s="3"/>
      <c r="W709" s="3"/>
      <c r="X709" s="3"/>
      <c r="Y709" s="3"/>
      <c r="Z709" s="3"/>
    </row>
    <row r="710" ht="15.75" customHeight="1">
      <c r="A710" s="790"/>
      <c r="Q710" s="3"/>
      <c r="R710" s="3"/>
      <c r="S710" s="3"/>
      <c r="T710" s="3"/>
      <c r="U710" s="3"/>
      <c r="V710" s="3"/>
      <c r="W710" s="3"/>
      <c r="X710" s="3"/>
      <c r="Y710" s="3"/>
      <c r="Z710" s="3"/>
    </row>
    <row r="711" ht="15.75" customHeight="1">
      <c r="A711" s="790"/>
      <c r="Q711" s="3"/>
      <c r="R711" s="3"/>
      <c r="S711" s="3"/>
      <c r="T711" s="3"/>
      <c r="U711" s="3"/>
      <c r="V711" s="3"/>
      <c r="W711" s="3"/>
      <c r="X711" s="3"/>
      <c r="Y711" s="3"/>
      <c r="Z711" s="3"/>
    </row>
    <row r="712" ht="15.75" customHeight="1">
      <c r="A712" s="790"/>
      <c r="Q712" s="3"/>
      <c r="R712" s="3"/>
      <c r="S712" s="3"/>
      <c r="T712" s="3"/>
      <c r="U712" s="3"/>
      <c r="V712" s="3"/>
      <c r="W712" s="3"/>
      <c r="X712" s="3"/>
      <c r="Y712" s="3"/>
      <c r="Z712" s="3"/>
    </row>
    <row r="713" ht="15.75" customHeight="1">
      <c r="A713" s="790"/>
      <c r="Q713" s="3"/>
      <c r="R713" s="3"/>
      <c r="S713" s="3"/>
      <c r="T713" s="3"/>
      <c r="U713" s="3"/>
      <c r="V713" s="3"/>
      <c r="W713" s="3"/>
      <c r="X713" s="3"/>
      <c r="Y713" s="3"/>
      <c r="Z713" s="3"/>
    </row>
    <row r="714" ht="15.75" customHeight="1">
      <c r="A714" s="790"/>
      <c r="Q714" s="3"/>
      <c r="R714" s="3"/>
      <c r="S714" s="3"/>
      <c r="T714" s="3"/>
      <c r="U714" s="3"/>
      <c r="V714" s="3"/>
      <c r="W714" s="3"/>
      <c r="X714" s="3"/>
      <c r="Y714" s="3"/>
      <c r="Z714" s="3"/>
    </row>
    <row r="715" ht="15.75" customHeight="1">
      <c r="A715" s="790"/>
      <c r="Q715" s="3"/>
      <c r="R715" s="3"/>
      <c r="S715" s="3"/>
      <c r="T715" s="3"/>
      <c r="U715" s="3"/>
      <c r="V715" s="3"/>
      <c r="W715" s="3"/>
      <c r="X715" s="3"/>
      <c r="Y715" s="3"/>
      <c r="Z715" s="3"/>
    </row>
    <row r="716" ht="15.75" customHeight="1">
      <c r="A716" s="790"/>
      <c r="Q716" s="3"/>
      <c r="R716" s="3"/>
      <c r="S716" s="3"/>
      <c r="T716" s="3"/>
      <c r="U716" s="3"/>
      <c r="V716" s="3"/>
      <c r="W716" s="3"/>
      <c r="X716" s="3"/>
      <c r="Y716" s="3"/>
      <c r="Z716" s="3"/>
    </row>
    <row r="717" ht="15.75" customHeight="1">
      <c r="A717" s="790"/>
      <c r="Q717" s="3"/>
      <c r="R717" s="3"/>
      <c r="S717" s="3"/>
      <c r="T717" s="3"/>
      <c r="U717" s="3"/>
      <c r="V717" s="3"/>
      <c r="W717" s="3"/>
      <c r="X717" s="3"/>
      <c r="Y717" s="3"/>
      <c r="Z717" s="3"/>
    </row>
    <row r="718" ht="15.75" customHeight="1">
      <c r="A718" s="790"/>
      <c r="Q718" s="3"/>
      <c r="R718" s="3"/>
      <c r="S718" s="3"/>
      <c r="T718" s="3"/>
      <c r="U718" s="3"/>
      <c r="V718" s="3"/>
      <c r="W718" s="3"/>
      <c r="X718" s="3"/>
      <c r="Y718" s="3"/>
      <c r="Z718" s="3"/>
    </row>
    <row r="719" ht="15.75" customHeight="1">
      <c r="A719" s="790"/>
      <c r="Q719" s="3"/>
      <c r="R719" s="3"/>
      <c r="S719" s="3"/>
      <c r="T719" s="3"/>
      <c r="U719" s="3"/>
      <c r="V719" s="3"/>
      <c r="W719" s="3"/>
      <c r="X719" s="3"/>
      <c r="Y719" s="3"/>
      <c r="Z719" s="3"/>
    </row>
    <row r="720" ht="15.75" customHeight="1">
      <c r="A720" s="790"/>
      <c r="Q720" s="3"/>
      <c r="R720" s="3"/>
      <c r="S720" s="3"/>
      <c r="T720" s="3"/>
      <c r="U720" s="3"/>
      <c r="V720" s="3"/>
      <c r="W720" s="3"/>
      <c r="X720" s="3"/>
      <c r="Y720" s="3"/>
      <c r="Z720" s="3"/>
    </row>
    <row r="721" ht="15.75" customHeight="1">
      <c r="A721" s="790"/>
      <c r="Q721" s="3"/>
      <c r="R721" s="3"/>
      <c r="S721" s="3"/>
      <c r="T721" s="3"/>
      <c r="U721" s="3"/>
      <c r="V721" s="3"/>
      <c r="W721" s="3"/>
      <c r="X721" s="3"/>
      <c r="Y721" s="3"/>
      <c r="Z721" s="3"/>
    </row>
    <row r="722" ht="15.75" customHeight="1">
      <c r="A722" s="790"/>
      <c r="Q722" s="3"/>
      <c r="R722" s="3"/>
      <c r="S722" s="3"/>
      <c r="T722" s="3"/>
      <c r="U722" s="3"/>
      <c r="V722" s="3"/>
      <c r="W722" s="3"/>
      <c r="X722" s="3"/>
      <c r="Y722" s="3"/>
      <c r="Z722" s="3"/>
    </row>
    <row r="723" ht="15.75" customHeight="1">
      <c r="A723" s="790"/>
      <c r="Q723" s="3"/>
      <c r="R723" s="3"/>
      <c r="S723" s="3"/>
      <c r="T723" s="3"/>
      <c r="U723" s="3"/>
      <c r="V723" s="3"/>
      <c r="W723" s="3"/>
      <c r="X723" s="3"/>
      <c r="Y723" s="3"/>
      <c r="Z723" s="3"/>
    </row>
    <row r="724" ht="15.75" customHeight="1">
      <c r="A724" s="790"/>
      <c r="Q724" s="3"/>
      <c r="R724" s="3"/>
      <c r="S724" s="3"/>
      <c r="T724" s="3"/>
      <c r="U724" s="3"/>
      <c r="V724" s="3"/>
      <c r="W724" s="3"/>
      <c r="X724" s="3"/>
      <c r="Y724" s="3"/>
      <c r="Z724" s="3"/>
    </row>
    <row r="725" ht="15.75" customHeight="1">
      <c r="A725" s="790"/>
      <c r="Q725" s="3"/>
      <c r="R725" s="3"/>
      <c r="S725" s="3"/>
      <c r="T725" s="3"/>
      <c r="U725" s="3"/>
      <c r="V725" s="3"/>
      <c r="W725" s="3"/>
      <c r="X725" s="3"/>
      <c r="Y725" s="3"/>
      <c r="Z725" s="3"/>
    </row>
    <row r="726" ht="15.75" customHeight="1">
      <c r="A726" s="790"/>
      <c r="Q726" s="3"/>
      <c r="R726" s="3"/>
      <c r="S726" s="3"/>
      <c r="T726" s="3"/>
      <c r="U726" s="3"/>
      <c r="V726" s="3"/>
      <c r="W726" s="3"/>
      <c r="X726" s="3"/>
      <c r="Y726" s="3"/>
      <c r="Z726" s="3"/>
    </row>
    <row r="727" ht="15.75" customHeight="1">
      <c r="A727" s="790"/>
      <c r="Q727" s="3"/>
      <c r="R727" s="3"/>
      <c r="S727" s="3"/>
      <c r="T727" s="3"/>
      <c r="U727" s="3"/>
      <c r="V727" s="3"/>
      <c r="W727" s="3"/>
      <c r="X727" s="3"/>
      <c r="Y727" s="3"/>
      <c r="Z727" s="3"/>
    </row>
    <row r="728" ht="15.75" customHeight="1">
      <c r="A728" s="790"/>
      <c r="Q728" s="3"/>
      <c r="R728" s="3"/>
      <c r="S728" s="3"/>
      <c r="T728" s="3"/>
      <c r="U728" s="3"/>
      <c r="V728" s="3"/>
      <c r="W728" s="3"/>
      <c r="X728" s="3"/>
      <c r="Y728" s="3"/>
      <c r="Z728" s="3"/>
    </row>
    <row r="729" ht="15.75" customHeight="1">
      <c r="A729" s="790"/>
      <c r="Q729" s="3"/>
      <c r="R729" s="3"/>
      <c r="S729" s="3"/>
      <c r="T729" s="3"/>
      <c r="U729" s="3"/>
      <c r="V729" s="3"/>
      <c r="W729" s="3"/>
      <c r="X729" s="3"/>
      <c r="Y729" s="3"/>
      <c r="Z729" s="3"/>
    </row>
    <row r="730" ht="15.75" customHeight="1">
      <c r="A730" s="790"/>
      <c r="Q730" s="3"/>
      <c r="R730" s="3"/>
      <c r="S730" s="3"/>
      <c r="T730" s="3"/>
      <c r="U730" s="3"/>
      <c r="V730" s="3"/>
      <c r="W730" s="3"/>
      <c r="X730" s="3"/>
      <c r="Y730" s="3"/>
      <c r="Z730" s="3"/>
    </row>
    <row r="731" ht="15.75" customHeight="1">
      <c r="A731" s="790"/>
      <c r="Q731" s="3"/>
      <c r="R731" s="3"/>
      <c r="S731" s="3"/>
      <c r="T731" s="3"/>
      <c r="U731" s="3"/>
      <c r="V731" s="3"/>
      <c r="W731" s="3"/>
      <c r="X731" s="3"/>
      <c r="Y731" s="3"/>
      <c r="Z731" s="3"/>
    </row>
    <row r="732" ht="15.75" customHeight="1">
      <c r="A732" s="790"/>
      <c r="Q732" s="3"/>
      <c r="R732" s="3"/>
      <c r="S732" s="3"/>
      <c r="T732" s="3"/>
      <c r="U732" s="3"/>
      <c r="V732" s="3"/>
      <c r="W732" s="3"/>
      <c r="X732" s="3"/>
      <c r="Y732" s="3"/>
      <c r="Z732" s="3"/>
    </row>
    <row r="733" ht="15.75" customHeight="1">
      <c r="A733" s="790"/>
      <c r="Q733" s="3"/>
      <c r="R733" s="3"/>
      <c r="S733" s="3"/>
      <c r="T733" s="3"/>
      <c r="U733" s="3"/>
      <c r="V733" s="3"/>
      <c r="W733" s="3"/>
      <c r="X733" s="3"/>
      <c r="Y733" s="3"/>
      <c r="Z733" s="3"/>
    </row>
    <row r="734" ht="15.75" customHeight="1">
      <c r="A734" s="790"/>
      <c r="Q734" s="3"/>
      <c r="R734" s="3"/>
      <c r="S734" s="3"/>
      <c r="T734" s="3"/>
      <c r="U734" s="3"/>
      <c r="V734" s="3"/>
      <c r="W734" s="3"/>
      <c r="X734" s="3"/>
      <c r="Y734" s="3"/>
      <c r="Z734" s="3"/>
    </row>
    <row r="735" ht="15.75" customHeight="1">
      <c r="A735" s="790"/>
      <c r="Q735" s="3"/>
      <c r="R735" s="3"/>
      <c r="S735" s="3"/>
      <c r="T735" s="3"/>
      <c r="U735" s="3"/>
      <c r="V735" s="3"/>
      <c r="W735" s="3"/>
      <c r="X735" s="3"/>
      <c r="Y735" s="3"/>
      <c r="Z735" s="3"/>
    </row>
    <row r="736" ht="15.75" customHeight="1">
      <c r="A736" s="790"/>
      <c r="Q736" s="3"/>
      <c r="R736" s="3"/>
      <c r="S736" s="3"/>
      <c r="T736" s="3"/>
      <c r="U736" s="3"/>
      <c r="V736" s="3"/>
      <c r="W736" s="3"/>
      <c r="X736" s="3"/>
      <c r="Y736" s="3"/>
      <c r="Z736" s="3"/>
    </row>
    <row r="737" ht="15.75" customHeight="1">
      <c r="A737" s="790"/>
      <c r="Q737" s="3"/>
      <c r="R737" s="3"/>
      <c r="S737" s="3"/>
      <c r="T737" s="3"/>
      <c r="U737" s="3"/>
      <c r="V737" s="3"/>
      <c r="W737" s="3"/>
      <c r="X737" s="3"/>
      <c r="Y737" s="3"/>
      <c r="Z737" s="3"/>
    </row>
    <row r="738" ht="15.75" customHeight="1">
      <c r="A738" s="790"/>
      <c r="Q738" s="3"/>
      <c r="R738" s="3"/>
      <c r="S738" s="3"/>
      <c r="T738" s="3"/>
      <c r="U738" s="3"/>
      <c r="V738" s="3"/>
      <c r="W738" s="3"/>
      <c r="X738" s="3"/>
      <c r="Y738" s="3"/>
      <c r="Z738" s="3"/>
    </row>
    <row r="739" ht="15.75" customHeight="1">
      <c r="A739" s="790"/>
      <c r="Q739" s="3"/>
      <c r="R739" s="3"/>
      <c r="S739" s="3"/>
      <c r="T739" s="3"/>
      <c r="U739" s="3"/>
      <c r="V739" s="3"/>
      <c r="W739" s="3"/>
      <c r="X739" s="3"/>
      <c r="Y739" s="3"/>
      <c r="Z739" s="3"/>
    </row>
    <row r="740" ht="15.75" customHeight="1">
      <c r="A740" s="790"/>
      <c r="Q740" s="3"/>
      <c r="R740" s="3"/>
      <c r="S740" s="3"/>
      <c r="T740" s="3"/>
      <c r="U740" s="3"/>
      <c r="V740" s="3"/>
      <c r="W740" s="3"/>
      <c r="X740" s="3"/>
      <c r="Y740" s="3"/>
      <c r="Z740" s="3"/>
    </row>
    <row r="741" ht="15.75" customHeight="1">
      <c r="A741" s="790"/>
      <c r="Q741" s="3"/>
      <c r="R741" s="3"/>
      <c r="S741" s="3"/>
      <c r="T741" s="3"/>
      <c r="U741" s="3"/>
      <c r="V741" s="3"/>
      <c r="W741" s="3"/>
      <c r="X741" s="3"/>
      <c r="Y741" s="3"/>
      <c r="Z741" s="3"/>
    </row>
    <row r="742" ht="15.75" customHeight="1">
      <c r="A742" s="790"/>
      <c r="Q742" s="3"/>
      <c r="R742" s="3"/>
      <c r="S742" s="3"/>
      <c r="T742" s="3"/>
      <c r="U742" s="3"/>
      <c r="V742" s="3"/>
      <c r="W742" s="3"/>
      <c r="X742" s="3"/>
      <c r="Y742" s="3"/>
      <c r="Z742" s="3"/>
    </row>
    <row r="743" ht="15.75" customHeight="1">
      <c r="A743" s="790"/>
      <c r="Q743" s="3"/>
      <c r="R743" s="3"/>
      <c r="S743" s="3"/>
      <c r="T743" s="3"/>
      <c r="U743" s="3"/>
      <c r="V743" s="3"/>
      <c r="W743" s="3"/>
      <c r="X743" s="3"/>
      <c r="Y743" s="3"/>
      <c r="Z743" s="3"/>
    </row>
    <row r="744" ht="15.75" customHeight="1">
      <c r="A744" s="790"/>
      <c r="Q744" s="3"/>
      <c r="R744" s="3"/>
      <c r="S744" s="3"/>
      <c r="T744" s="3"/>
      <c r="U744" s="3"/>
      <c r="V744" s="3"/>
      <c r="W744" s="3"/>
      <c r="X744" s="3"/>
      <c r="Y744" s="3"/>
      <c r="Z744" s="3"/>
    </row>
    <row r="745" ht="15.75" customHeight="1">
      <c r="A745" s="790"/>
      <c r="Q745" s="3"/>
      <c r="R745" s="3"/>
      <c r="S745" s="3"/>
      <c r="T745" s="3"/>
      <c r="U745" s="3"/>
      <c r="V745" s="3"/>
      <c r="W745" s="3"/>
      <c r="X745" s="3"/>
      <c r="Y745" s="3"/>
      <c r="Z745" s="3"/>
    </row>
    <row r="746" ht="15.75" customHeight="1">
      <c r="A746" s="790"/>
      <c r="Q746" s="3"/>
      <c r="R746" s="3"/>
      <c r="S746" s="3"/>
      <c r="T746" s="3"/>
      <c r="U746" s="3"/>
      <c r="V746" s="3"/>
      <c r="W746" s="3"/>
      <c r="X746" s="3"/>
      <c r="Y746" s="3"/>
      <c r="Z746" s="3"/>
    </row>
    <row r="747" ht="15.75" customHeight="1">
      <c r="A747" s="790"/>
      <c r="Q747" s="3"/>
      <c r="R747" s="3"/>
      <c r="S747" s="3"/>
      <c r="T747" s="3"/>
      <c r="U747" s="3"/>
      <c r="V747" s="3"/>
      <c r="W747" s="3"/>
      <c r="X747" s="3"/>
      <c r="Y747" s="3"/>
      <c r="Z747" s="3"/>
    </row>
    <row r="748" ht="15.75" customHeight="1">
      <c r="A748" s="790"/>
      <c r="Q748" s="3"/>
      <c r="R748" s="3"/>
      <c r="S748" s="3"/>
      <c r="T748" s="3"/>
      <c r="U748" s="3"/>
      <c r="V748" s="3"/>
      <c r="W748" s="3"/>
      <c r="X748" s="3"/>
      <c r="Y748" s="3"/>
      <c r="Z748" s="3"/>
    </row>
    <row r="749" ht="15.75" customHeight="1">
      <c r="A749" s="790"/>
      <c r="Q749" s="3"/>
      <c r="R749" s="3"/>
      <c r="S749" s="3"/>
      <c r="T749" s="3"/>
      <c r="U749" s="3"/>
      <c r="V749" s="3"/>
      <c r="W749" s="3"/>
      <c r="X749" s="3"/>
      <c r="Y749" s="3"/>
      <c r="Z749" s="3"/>
    </row>
    <row r="750" ht="15.75" customHeight="1">
      <c r="A750" s="790"/>
      <c r="Q750" s="3"/>
      <c r="R750" s="3"/>
      <c r="S750" s="3"/>
      <c r="T750" s="3"/>
      <c r="U750" s="3"/>
      <c r="V750" s="3"/>
      <c r="W750" s="3"/>
      <c r="X750" s="3"/>
      <c r="Y750" s="3"/>
      <c r="Z750" s="3"/>
    </row>
    <row r="751" ht="15.75" customHeight="1">
      <c r="A751" s="790"/>
      <c r="Q751" s="3"/>
      <c r="R751" s="3"/>
      <c r="S751" s="3"/>
      <c r="T751" s="3"/>
      <c r="U751" s="3"/>
      <c r="V751" s="3"/>
      <c r="W751" s="3"/>
      <c r="X751" s="3"/>
      <c r="Y751" s="3"/>
      <c r="Z751" s="3"/>
    </row>
    <row r="752" ht="15.75" customHeight="1">
      <c r="A752" s="790"/>
      <c r="Q752" s="3"/>
      <c r="R752" s="3"/>
      <c r="S752" s="3"/>
      <c r="T752" s="3"/>
      <c r="U752" s="3"/>
      <c r="V752" s="3"/>
      <c r="W752" s="3"/>
      <c r="X752" s="3"/>
      <c r="Y752" s="3"/>
      <c r="Z752" s="3"/>
    </row>
    <row r="753" ht="15.75" customHeight="1">
      <c r="A753" s="790"/>
      <c r="Q753" s="3"/>
      <c r="R753" s="3"/>
      <c r="S753" s="3"/>
      <c r="T753" s="3"/>
      <c r="U753" s="3"/>
      <c r="V753" s="3"/>
      <c r="W753" s="3"/>
      <c r="X753" s="3"/>
      <c r="Y753" s="3"/>
      <c r="Z753" s="3"/>
    </row>
    <row r="754" ht="15.75" customHeight="1">
      <c r="A754" s="790"/>
      <c r="Q754" s="3"/>
      <c r="R754" s="3"/>
      <c r="S754" s="3"/>
      <c r="T754" s="3"/>
      <c r="U754" s="3"/>
      <c r="V754" s="3"/>
      <c r="W754" s="3"/>
      <c r="X754" s="3"/>
      <c r="Y754" s="3"/>
      <c r="Z754" s="3"/>
    </row>
    <row r="755" ht="15.75" customHeight="1">
      <c r="A755" s="790"/>
      <c r="Q755" s="3"/>
      <c r="R755" s="3"/>
      <c r="S755" s="3"/>
      <c r="T755" s="3"/>
      <c r="U755" s="3"/>
      <c r="V755" s="3"/>
      <c r="W755" s="3"/>
      <c r="X755" s="3"/>
      <c r="Y755" s="3"/>
      <c r="Z755" s="3"/>
    </row>
    <row r="756" ht="15.75" customHeight="1">
      <c r="A756" s="790"/>
      <c r="Q756" s="3"/>
      <c r="R756" s="3"/>
      <c r="S756" s="3"/>
      <c r="T756" s="3"/>
      <c r="U756" s="3"/>
      <c r="V756" s="3"/>
      <c r="W756" s="3"/>
      <c r="X756" s="3"/>
      <c r="Y756" s="3"/>
      <c r="Z756" s="3"/>
    </row>
    <row r="757" ht="15.75" customHeight="1">
      <c r="A757" s="790"/>
      <c r="Q757" s="3"/>
      <c r="R757" s="3"/>
      <c r="S757" s="3"/>
      <c r="T757" s="3"/>
      <c r="U757" s="3"/>
      <c r="V757" s="3"/>
      <c r="W757" s="3"/>
      <c r="X757" s="3"/>
      <c r="Y757" s="3"/>
      <c r="Z757" s="3"/>
    </row>
    <row r="758" ht="15.75" customHeight="1">
      <c r="A758" s="790"/>
      <c r="Q758" s="3"/>
      <c r="R758" s="3"/>
      <c r="S758" s="3"/>
      <c r="T758" s="3"/>
      <c r="U758" s="3"/>
      <c r="V758" s="3"/>
      <c r="W758" s="3"/>
      <c r="X758" s="3"/>
      <c r="Y758" s="3"/>
      <c r="Z758" s="3"/>
    </row>
    <row r="759" ht="15.75" customHeight="1">
      <c r="A759" s="790"/>
      <c r="Q759" s="3"/>
      <c r="R759" s="3"/>
      <c r="S759" s="3"/>
      <c r="T759" s="3"/>
      <c r="U759" s="3"/>
      <c r="V759" s="3"/>
      <c r="W759" s="3"/>
      <c r="X759" s="3"/>
      <c r="Y759" s="3"/>
      <c r="Z759" s="3"/>
    </row>
    <row r="760" ht="15.75" customHeight="1">
      <c r="A760" s="790"/>
      <c r="Q760" s="3"/>
      <c r="R760" s="3"/>
      <c r="S760" s="3"/>
      <c r="T760" s="3"/>
      <c r="U760" s="3"/>
      <c r="V760" s="3"/>
      <c r="W760" s="3"/>
      <c r="X760" s="3"/>
      <c r="Y760" s="3"/>
      <c r="Z760" s="3"/>
    </row>
    <row r="761" ht="15.75" customHeight="1">
      <c r="A761" s="790"/>
      <c r="Q761" s="3"/>
      <c r="R761" s="3"/>
      <c r="S761" s="3"/>
      <c r="T761" s="3"/>
      <c r="U761" s="3"/>
      <c r="V761" s="3"/>
      <c r="W761" s="3"/>
      <c r="X761" s="3"/>
      <c r="Y761" s="3"/>
      <c r="Z761" s="3"/>
    </row>
    <row r="762" ht="15.75" customHeight="1">
      <c r="A762" s="790"/>
      <c r="Q762" s="3"/>
      <c r="R762" s="3"/>
      <c r="S762" s="3"/>
      <c r="T762" s="3"/>
      <c r="U762" s="3"/>
      <c r="V762" s="3"/>
      <c r="W762" s="3"/>
      <c r="X762" s="3"/>
      <c r="Y762" s="3"/>
      <c r="Z762" s="3"/>
    </row>
    <row r="763" ht="15.75" customHeight="1">
      <c r="A763" s="790"/>
      <c r="Q763" s="3"/>
      <c r="R763" s="3"/>
      <c r="S763" s="3"/>
      <c r="T763" s="3"/>
      <c r="U763" s="3"/>
      <c r="V763" s="3"/>
      <c r="W763" s="3"/>
      <c r="X763" s="3"/>
      <c r="Y763" s="3"/>
      <c r="Z763" s="3"/>
    </row>
    <row r="764" ht="15.75" customHeight="1">
      <c r="A764" s="790"/>
      <c r="Q764" s="3"/>
      <c r="R764" s="3"/>
      <c r="S764" s="3"/>
      <c r="T764" s="3"/>
      <c r="U764" s="3"/>
      <c r="V764" s="3"/>
      <c r="W764" s="3"/>
      <c r="X764" s="3"/>
      <c r="Y764" s="3"/>
      <c r="Z764" s="3"/>
    </row>
    <row r="765" ht="15.75" customHeight="1">
      <c r="A765" s="790"/>
      <c r="Q765" s="3"/>
      <c r="R765" s="3"/>
      <c r="S765" s="3"/>
      <c r="T765" s="3"/>
      <c r="U765" s="3"/>
      <c r="V765" s="3"/>
      <c r="W765" s="3"/>
      <c r="X765" s="3"/>
      <c r="Y765" s="3"/>
      <c r="Z765" s="3"/>
    </row>
    <row r="766" ht="15.75" customHeight="1">
      <c r="A766" s="790"/>
      <c r="Q766" s="3"/>
      <c r="R766" s="3"/>
      <c r="S766" s="3"/>
      <c r="T766" s="3"/>
      <c r="U766" s="3"/>
      <c r="V766" s="3"/>
      <c r="W766" s="3"/>
      <c r="X766" s="3"/>
      <c r="Y766" s="3"/>
      <c r="Z766" s="3"/>
    </row>
    <row r="767" ht="15.75" customHeight="1">
      <c r="A767" s="790"/>
      <c r="Q767" s="3"/>
      <c r="R767" s="3"/>
      <c r="S767" s="3"/>
      <c r="T767" s="3"/>
      <c r="U767" s="3"/>
      <c r="V767" s="3"/>
      <c r="W767" s="3"/>
      <c r="X767" s="3"/>
      <c r="Y767" s="3"/>
      <c r="Z767" s="3"/>
    </row>
    <row r="768" ht="15.75" customHeight="1">
      <c r="A768" s="790"/>
      <c r="Q768" s="3"/>
      <c r="R768" s="3"/>
      <c r="S768" s="3"/>
      <c r="T768" s="3"/>
      <c r="U768" s="3"/>
      <c r="V768" s="3"/>
      <c r="W768" s="3"/>
      <c r="X768" s="3"/>
      <c r="Y768" s="3"/>
      <c r="Z768" s="3"/>
    </row>
    <row r="769" ht="15.75" customHeight="1">
      <c r="A769" s="790"/>
      <c r="Q769" s="3"/>
      <c r="R769" s="3"/>
      <c r="S769" s="3"/>
      <c r="T769" s="3"/>
      <c r="U769" s="3"/>
      <c r="V769" s="3"/>
      <c r="W769" s="3"/>
      <c r="X769" s="3"/>
      <c r="Y769" s="3"/>
      <c r="Z769" s="3"/>
    </row>
    <row r="770" ht="15.75" customHeight="1">
      <c r="A770" s="790"/>
      <c r="Q770" s="3"/>
      <c r="R770" s="3"/>
      <c r="S770" s="3"/>
      <c r="T770" s="3"/>
      <c r="U770" s="3"/>
      <c r="V770" s="3"/>
      <c r="W770" s="3"/>
      <c r="X770" s="3"/>
      <c r="Y770" s="3"/>
      <c r="Z770" s="3"/>
    </row>
    <row r="771" ht="15.75" customHeight="1">
      <c r="A771" s="790"/>
      <c r="Q771" s="3"/>
      <c r="R771" s="3"/>
      <c r="S771" s="3"/>
      <c r="T771" s="3"/>
      <c r="U771" s="3"/>
      <c r="V771" s="3"/>
      <c r="W771" s="3"/>
      <c r="X771" s="3"/>
      <c r="Y771" s="3"/>
      <c r="Z771" s="3"/>
    </row>
    <row r="772" ht="15.75" customHeight="1">
      <c r="A772" s="790"/>
      <c r="Q772" s="3"/>
      <c r="R772" s="3"/>
      <c r="S772" s="3"/>
      <c r="T772" s="3"/>
      <c r="U772" s="3"/>
      <c r="V772" s="3"/>
      <c r="W772" s="3"/>
      <c r="X772" s="3"/>
      <c r="Y772" s="3"/>
      <c r="Z772" s="3"/>
    </row>
    <row r="773" ht="15.75" customHeight="1">
      <c r="A773" s="790"/>
      <c r="Q773" s="3"/>
      <c r="R773" s="3"/>
      <c r="S773" s="3"/>
      <c r="T773" s="3"/>
      <c r="U773" s="3"/>
      <c r="V773" s="3"/>
      <c r="W773" s="3"/>
      <c r="X773" s="3"/>
      <c r="Y773" s="3"/>
      <c r="Z773" s="3"/>
    </row>
    <row r="774" ht="15.75" customHeight="1">
      <c r="A774" s="790"/>
      <c r="Q774" s="3"/>
      <c r="R774" s="3"/>
      <c r="S774" s="3"/>
      <c r="T774" s="3"/>
      <c r="U774" s="3"/>
      <c r="V774" s="3"/>
      <c r="W774" s="3"/>
      <c r="X774" s="3"/>
      <c r="Y774" s="3"/>
      <c r="Z774" s="3"/>
    </row>
    <row r="775" ht="15.75" customHeight="1">
      <c r="A775" s="790"/>
      <c r="Q775" s="3"/>
      <c r="R775" s="3"/>
      <c r="S775" s="3"/>
      <c r="T775" s="3"/>
      <c r="U775" s="3"/>
      <c r="V775" s="3"/>
      <c r="W775" s="3"/>
      <c r="X775" s="3"/>
      <c r="Y775" s="3"/>
      <c r="Z775" s="3"/>
    </row>
    <row r="776" ht="15.75" customHeight="1">
      <c r="A776" s="790"/>
      <c r="Q776" s="3"/>
      <c r="R776" s="3"/>
      <c r="S776" s="3"/>
      <c r="T776" s="3"/>
      <c r="U776" s="3"/>
      <c r="V776" s="3"/>
      <c r="W776" s="3"/>
      <c r="X776" s="3"/>
      <c r="Y776" s="3"/>
      <c r="Z776" s="3"/>
    </row>
    <row r="777" ht="15.75" customHeight="1">
      <c r="A777" s="790"/>
      <c r="Q777" s="3"/>
      <c r="R777" s="3"/>
      <c r="S777" s="3"/>
      <c r="T777" s="3"/>
      <c r="U777" s="3"/>
      <c r="V777" s="3"/>
      <c r="W777" s="3"/>
      <c r="X777" s="3"/>
      <c r="Y777" s="3"/>
      <c r="Z777" s="3"/>
    </row>
    <row r="778" ht="15.75" customHeight="1">
      <c r="A778" s="790"/>
      <c r="Q778" s="3"/>
      <c r="R778" s="3"/>
      <c r="S778" s="3"/>
      <c r="T778" s="3"/>
      <c r="U778" s="3"/>
      <c r="V778" s="3"/>
      <c r="W778" s="3"/>
      <c r="X778" s="3"/>
      <c r="Y778" s="3"/>
      <c r="Z778" s="3"/>
    </row>
    <row r="779" ht="15.75" customHeight="1">
      <c r="A779" s="790"/>
      <c r="Q779" s="3"/>
      <c r="R779" s="3"/>
      <c r="S779" s="3"/>
      <c r="T779" s="3"/>
      <c r="U779" s="3"/>
      <c r="V779" s="3"/>
      <c r="W779" s="3"/>
      <c r="X779" s="3"/>
      <c r="Y779" s="3"/>
      <c r="Z779" s="3"/>
    </row>
    <row r="780" ht="15.75" customHeight="1">
      <c r="A780" s="790"/>
      <c r="Q780" s="3"/>
      <c r="R780" s="3"/>
      <c r="S780" s="3"/>
      <c r="T780" s="3"/>
      <c r="U780" s="3"/>
      <c r="V780" s="3"/>
      <c r="W780" s="3"/>
      <c r="X780" s="3"/>
      <c r="Y780" s="3"/>
      <c r="Z780" s="3"/>
    </row>
    <row r="781" ht="15.75" customHeight="1">
      <c r="A781" s="790"/>
      <c r="Q781" s="3"/>
      <c r="R781" s="3"/>
      <c r="S781" s="3"/>
      <c r="T781" s="3"/>
      <c r="U781" s="3"/>
      <c r="V781" s="3"/>
      <c r="W781" s="3"/>
      <c r="X781" s="3"/>
      <c r="Y781" s="3"/>
      <c r="Z781" s="3"/>
    </row>
    <row r="782" ht="15.75" customHeight="1">
      <c r="A782" s="790"/>
      <c r="Q782" s="3"/>
      <c r="R782" s="3"/>
      <c r="S782" s="3"/>
      <c r="T782" s="3"/>
      <c r="U782" s="3"/>
      <c r="V782" s="3"/>
      <c r="W782" s="3"/>
      <c r="X782" s="3"/>
      <c r="Y782" s="3"/>
      <c r="Z782" s="3"/>
    </row>
    <row r="783" ht="15.75" customHeight="1">
      <c r="A783" s="790"/>
      <c r="Q783" s="3"/>
      <c r="R783" s="3"/>
      <c r="S783" s="3"/>
      <c r="T783" s="3"/>
      <c r="U783" s="3"/>
      <c r="V783" s="3"/>
      <c r="W783" s="3"/>
      <c r="X783" s="3"/>
      <c r="Y783" s="3"/>
      <c r="Z783" s="3"/>
    </row>
    <row r="784" ht="15.75" customHeight="1">
      <c r="A784" s="790"/>
      <c r="Q784" s="3"/>
      <c r="R784" s="3"/>
      <c r="S784" s="3"/>
      <c r="T784" s="3"/>
      <c r="U784" s="3"/>
      <c r="V784" s="3"/>
      <c r="W784" s="3"/>
      <c r="X784" s="3"/>
      <c r="Y784" s="3"/>
      <c r="Z784" s="3"/>
    </row>
    <row r="785" ht="15.75" customHeight="1">
      <c r="A785" s="790"/>
      <c r="Q785" s="3"/>
      <c r="R785" s="3"/>
      <c r="S785" s="3"/>
      <c r="T785" s="3"/>
      <c r="U785" s="3"/>
      <c r="V785" s="3"/>
      <c r="W785" s="3"/>
      <c r="X785" s="3"/>
      <c r="Y785" s="3"/>
      <c r="Z785" s="3"/>
    </row>
    <row r="786" ht="15.75" customHeight="1">
      <c r="A786" s="790"/>
      <c r="Q786" s="3"/>
      <c r="R786" s="3"/>
      <c r="S786" s="3"/>
      <c r="T786" s="3"/>
      <c r="U786" s="3"/>
      <c r="V786" s="3"/>
      <c r="W786" s="3"/>
      <c r="X786" s="3"/>
      <c r="Y786" s="3"/>
      <c r="Z786" s="3"/>
    </row>
    <row r="787" ht="15.75" customHeight="1">
      <c r="A787" s="790"/>
      <c r="Q787" s="3"/>
      <c r="R787" s="3"/>
      <c r="S787" s="3"/>
      <c r="T787" s="3"/>
      <c r="U787" s="3"/>
      <c r="V787" s="3"/>
      <c r="W787" s="3"/>
      <c r="X787" s="3"/>
      <c r="Y787" s="3"/>
      <c r="Z787" s="3"/>
    </row>
    <row r="788" ht="15.75" customHeight="1">
      <c r="A788" s="790"/>
      <c r="Q788" s="3"/>
      <c r="R788" s="3"/>
      <c r="S788" s="3"/>
      <c r="T788" s="3"/>
      <c r="U788" s="3"/>
      <c r="V788" s="3"/>
      <c r="W788" s="3"/>
      <c r="X788" s="3"/>
      <c r="Y788" s="3"/>
      <c r="Z788" s="3"/>
    </row>
    <row r="789" ht="15.75" customHeight="1">
      <c r="A789" s="790"/>
      <c r="Q789" s="3"/>
      <c r="R789" s="3"/>
      <c r="S789" s="3"/>
      <c r="T789" s="3"/>
      <c r="U789" s="3"/>
      <c r="V789" s="3"/>
      <c r="W789" s="3"/>
      <c r="X789" s="3"/>
      <c r="Y789" s="3"/>
      <c r="Z789" s="3"/>
    </row>
    <row r="790" ht="15.75" customHeight="1">
      <c r="A790" s="790"/>
      <c r="Q790" s="3"/>
      <c r="R790" s="3"/>
      <c r="S790" s="3"/>
      <c r="T790" s="3"/>
      <c r="U790" s="3"/>
      <c r="V790" s="3"/>
      <c r="W790" s="3"/>
      <c r="X790" s="3"/>
      <c r="Y790" s="3"/>
      <c r="Z790" s="3"/>
    </row>
    <row r="791" ht="15.75" customHeight="1">
      <c r="A791" s="790"/>
      <c r="Q791" s="3"/>
      <c r="R791" s="3"/>
      <c r="S791" s="3"/>
      <c r="T791" s="3"/>
      <c r="U791" s="3"/>
      <c r="V791" s="3"/>
      <c r="W791" s="3"/>
      <c r="X791" s="3"/>
      <c r="Y791" s="3"/>
      <c r="Z791" s="3"/>
    </row>
    <row r="792" ht="15.75" customHeight="1">
      <c r="A792" s="790"/>
      <c r="Q792" s="3"/>
      <c r="R792" s="3"/>
      <c r="S792" s="3"/>
      <c r="T792" s="3"/>
      <c r="U792" s="3"/>
      <c r="V792" s="3"/>
      <c r="W792" s="3"/>
      <c r="X792" s="3"/>
      <c r="Y792" s="3"/>
      <c r="Z792" s="3"/>
    </row>
    <row r="793" ht="15.75" customHeight="1">
      <c r="A793" s="790"/>
      <c r="Q793" s="3"/>
      <c r="R793" s="3"/>
      <c r="S793" s="3"/>
      <c r="T793" s="3"/>
      <c r="U793" s="3"/>
      <c r="V793" s="3"/>
      <c r="W793" s="3"/>
      <c r="X793" s="3"/>
      <c r="Y793" s="3"/>
      <c r="Z793" s="3"/>
    </row>
    <row r="794" ht="15.75" customHeight="1">
      <c r="A794" s="790"/>
      <c r="Q794" s="3"/>
      <c r="R794" s="3"/>
      <c r="S794" s="3"/>
      <c r="T794" s="3"/>
      <c r="U794" s="3"/>
      <c r="V794" s="3"/>
      <c r="W794" s="3"/>
      <c r="X794" s="3"/>
      <c r="Y794" s="3"/>
      <c r="Z794" s="3"/>
    </row>
    <row r="795" ht="15.75" customHeight="1">
      <c r="A795" s="790"/>
      <c r="Q795" s="3"/>
      <c r="R795" s="3"/>
      <c r="S795" s="3"/>
      <c r="T795" s="3"/>
      <c r="U795" s="3"/>
      <c r="V795" s="3"/>
      <c r="W795" s="3"/>
      <c r="X795" s="3"/>
      <c r="Y795" s="3"/>
      <c r="Z795" s="3"/>
    </row>
    <row r="796" ht="15.75" customHeight="1">
      <c r="A796" s="790"/>
      <c r="Q796" s="3"/>
      <c r="R796" s="3"/>
      <c r="S796" s="3"/>
      <c r="T796" s="3"/>
      <c r="U796" s="3"/>
      <c r="V796" s="3"/>
      <c r="W796" s="3"/>
      <c r="X796" s="3"/>
      <c r="Y796" s="3"/>
      <c r="Z796" s="3"/>
    </row>
    <row r="797" ht="15.75" customHeight="1">
      <c r="A797" s="790"/>
      <c r="Q797" s="3"/>
      <c r="R797" s="3"/>
      <c r="S797" s="3"/>
      <c r="T797" s="3"/>
      <c r="U797" s="3"/>
      <c r="V797" s="3"/>
      <c r="W797" s="3"/>
      <c r="X797" s="3"/>
      <c r="Y797" s="3"/>
      <c r="Z797" s="3"/>
    </row>
    <row r="798" ht="15.75" customHeight="1">
      <c r="A798" s="790"/>
      <c r="Q798" s="3"/>
      <c r="R798" s="3"/>
      <c r="S798" s="3"/>
      <c r="T798" s="3"/>
      <c r="U798" s="3"/>
      <c r="V798" s="3"/>
      <c r="W798" s="3"/>
      <c r="X798" s="3"/>
      <c r="Y798" s="3"/>
      <c r="Z798" s="3"/>
    </row>
    <row r="799" ht="15.75" customHeight="1">
      <c r="A799" s="790"/>
      <c r="Q799" s="3"/>
      <c r="R799" s="3"/>
      <c r="S799" s="3"/>
      <c r="T799" s="3"/>
      <c r="U799" s="3"/>
      <c r="V799" s="3"/>
      <c r="W799" s="3"/>
      <c r="X799" s="3"/>
      <c r="Y799" s="3"/>
      <c r="Z799" s="3"/>
    </row>
    <row r="800" ht="15.75" customHeight="1">
      <c r="A800" s="790"/>
      <c r="Q800" s="3"/>
      <c r="R800" s="3"/>
      <c r="S800" s="3"/>
      <c r="T800" s="3"/>
      <c r="U800" s="3"/>
      <c r="V800" s="3"/>
      <c r="W800" s="3"/>
      <c r="X800" s="3"/>
      <c r="Y800" s="3"/>
      <c r="Z800" s="3"/>
    </row>
    <row r="801" ht="15.75" customHeight="1">
      <c r="A801" s="790"/>
      <c r="Q801" s="3"/>
      <c r="R801" s="3"/>
      <c r="S801" s="3"/>
      <c r="T801" s="3"/>
      <c r="U801" s="3"/>
      <c r="V801" s="3"/>
      <c r="W801" s="3"/>
      <c r="X801" s="3"/>
      <c r="Y801" s="3"/>
      <c r="Z801" s="3"/>
    </row>
    <row r="802" ht="15.75" customHeight="1">
      <c r="A802" s="790"/>
      <c r="Q802" s="3"/>
      <c r="R802" s="3"/>
      <c r="S802" s="3"/>
      <c r="T802" s="3"/>
      <c r="U802" s="3"/>
      <c r="V802" s="3"/>
      <c r="W802" s="3"/>
      <c r="X802" s="3"/>
      <c r="Y802" s="3"/>
      <c r="Z802" s="3"/>
    </row>
    <row r="803" ht="15.75" customHeight="1">
      <c r="A803" s="790"/>
      <c r="Q803" s="3"/>
      <c r="R803" s="3"/>
      <c r="S803" s="3"/>
      <c r="T803" s="3"/>
      <c r="U803" s="3"/>
      <c r="V803" s="3"/>
      <c r="W803" s="3"/>
      <c r="X803" s="3"/>
      <c r="Y803" s="3"/>
      <c r="Z803" s="3"/>
    </row>
    <row r="804" ht="15.75" customHeight="1">
      <c r="A804" s="790"/>
      <c r="Q804" s="3"/>
      <c r="R804" s="3"/>
      <c r="S804" s="3"/>
      <c r="T804" s="3"/>
      <c r="U804" s="3"/>
      <c r="V804" s="3"/>
      <c r="W804" s="3"/>
      <c r="X804" s="3"/>
      <c r="Y804" s="3"/>
      <c r="Z804" s="3"/>
    </row>
    <row r="805" ht="15.75" customHeight="1">
      <c r="A805" s="790"/>
      <c r="Q805" s="3"/>
      <c r="R805" s="3"/>
      <c r="S805" s="3"/>
      <c r="T805" s="3"/>
      <c r="U805" s="3"/>
      <c r="V805" s="3"/>
      <c r="W805" s="3"/>
      <c r="X805" s="3"/>
      <c r="Y805" s="3"/>
      <c r="Z805" s="3"/>
    </row>
    <row r="806" ht="15.75" customHeight="1">
      <c r="A806" s="790"/>
      <c r="Q806" s="3"/>
      <c r="R806" s="3"/>
      <c r="S806" s="3"/>
      <c r="T806" s="3"/>
      <c r="U806" s="3"/>
      <c r="V806" s="3"/>
      <c r="W806" s="3"/>
      <c r="X806" s="3"/>
      <c r="Y806" s="3"/>
      <c r="Z806" s="3"/>
    </row>
    <row r="807" ht="15.75" customHeight="1">
      <c r="A807" s="790"/>
      <c r="Q807" s="3"/>
      <c r="R807" s="3"/>
      <c r="S807" s="3"/>
      <c r="T807" s="3"/>
      <c r="U807" s="3"/>
      <c r="V807" s="3"/>
      <c r="W807" s="3"/>
      <c r="X807" s="3"/>
      <c r="Y807" s="3"/>
      <c r="Z807" s="3"/>
    </row>
    <row r="808" ht="15.75" customHeight="1">
      <c r="A808" s="790"/>
      <c r="Q808" s="3"/>
      <c r="R808" s="3"/>
      <c r="S808" s="3"/>
      <c r="T808" s="3"/>
      <c r="U808" s="3"/>
      <c r="V808" s="3"/>
      <c r="W808" s="3"/>
      <c r="X808" s="3"/>
      <c r="Y808" s="3"/>
      <c r="Z808" s="3"/>
    </row>
    <row r="809" ht="15.75" customHeight="1">
      <c r="A809" s="790"/>
      <c r="Q809" s="3"/>
      <c r="R809" s="3"/>
      <c r="S809" s="3"/>
      <c r="T809" s="3"/>
      <c r="U809" s="3"/>
      <c r="V809" s="3"/>
      <c r="W809" s="3"/>
      <c r="X809" s="3"/>
      <c r="Y809" s="3"/>
      <c r="Z809" s="3"/>
    </row>
    <row r="810" ht="15.75" customHeight="1">
      <c r="A810" s="790"/>
      <c r="Q810" s="3"/>
      <c r="R810" s="3"/>
      <c r="S810" s="3"/>
      <c r="T810" s="3"/>
      <c r="U810" s="3"/>
      <c r="V810" s="3"/>
      <c r="W810" s="3"/>
      <c r="X810" s="3"/>
      <c r="Y810" s="3"/>
      <c r="Z810" s="3"/>
    </row>
    <row r="811" ht="15.75" customHeight="1">
      <c r="A811" s="790"/>
      <c r="Q811" s="3"/>
      <c r="R811" s="3"/>
      <c r="S811" s="3"/>
      <c r="T811" s="3"/>
      <c r="U811" s="3"/>
      <c r="V811" s="3"/>
      <c r="W811" s="3"/>
      <c r="X811" s="3"/>
      <c r="Y811" s="3"/>
      <c r="Z811" s="3"/>
    </row>
    <row r="812" ht="15.75" customHeight="1">
      <c r="A812" s="790"/>
      <c r="Q812" s="3"/>
      <c r="R812" s="3"/>
      <c r="S812" s="3"/>
      <c r="T812" s="3"/>
      <c r="U812" s="3"/>
      <c r="V812" s="3"/>
      <c r="W812" s="3"/>
      <c r="X812" s="3"/>
      <c r="Y812" s="3"/>
      <c r="Z812" s="3"/>
    </row>
    <row r="813" ht="15.75" customHeight="1">
      <c r="A813" s="790"/>
      <c r="Q813" s="3"/>
      <c r="R813" s="3"/>
      <c r="S813" s="3"/>
      <c r="T813" s="3"/>
      <c r="U813" s="3"/>
      <c r="V813" s="3"/>
      <c r="W813" s="3"/>
      <c r="X813" s="3"/>
      <c r="Y813" s="3"/>
      <c r="Z813" s="3"/>
    </row>
    <row r="814" ht="15.75" customHeight="1">
      <c r="A814" s="790"/>
      <c r="Q814" s="3"/>
      <c r="R814" s="3"/>
      <c r="S814" s="3"/>
      <c r="T814" s="3"/>
      <c r="U814" s="3"/>
      <c r="V814" s="3"/>
      <c r="W814" s="3"/>
      <c r="X814" s="3"/>
      <c r="Y814" s="3"/>
      <c r="Z814" s="3"/>
    </row>
    <row r="815" ht="15.75" customHeight="1">
      <c r="A815" s="790"/>
      <c r="Q815" s="3"/>
      <c r="R815" s="3"/>
      <c r="S815" s="3"/>
      <c r="T815" s="3"/>
      <c r="U815" s="3"/>
      <c r="V815" s="3"/>
      <c r="W815" s="3"/>
      <c r="X815" s="3"/>
      <c r="Y815" s="3"/>
      <c r="Z815" s="3"/>
    </row>
    <row r="816" ht="15.75" customHeight="1">
      <c r="A816" s="790"/>
      <c r="Q816" s="3"/>
      <c r="R816" s="3"/>
      <c r="S816" s="3"/>
      <c r="T816" s="3"/>
      <c r="U816" s="3"/>
      <c r="V816" s="3"/>
      <c r="W816" s="3"/>
      <c r="X816" s="3"/>
      <c r="Y816" s="3"/>
      <c r="Z816" s="3"/>
    </row>
    <row r="817" ht="15.75" customHeight="1">
      <c r="A817" s="790"/>
      <c r="Q817" s="3"/>
      <c r="R817" s="3"/>
      <c r="S817" s="3"/>
      <c r="T817" s="3"/>
      <c r="U817" s="3"/>
      <c r="V817" s="3"/>
      <c r="W817" s="3"/>
      <c r="X817" s="3"/>
      <c r="Y817" s="3"/>
      <c r="Z817" s="3"/>
    </row>
    <row r="818" ht="15.75" customHeight="1">
      <c r="A818" s="790"/>
      <c r="Q818" s="3"/>
      <c r="R818" s="3"/>
      <c r="S818" s="3"/>
      <c r="T818" s="3"/>
      <c r="U818" s="3"/>
      <c r="V818" s="3"/>
      <c r="W818" s="3"/>
      <c r="X818" s="3"/>
      <c r="Y818" s="3"/>
      <c r="Z818" s="3"/>
    </row>
    <row r="819" ht="15.75" customHeight="1">
      <c r="A819" s="790"/>
      <c r="Q819" s="3"/>
      <c r="R819" s="3"/>
      <c r="S819" s="3"/>
      <c r="T819" s="3"/>
      <c r="U819" s="3"/>
      <c r="V819" s="3"/>
      <c r="W819" s="3"/>
      <c r="X819" s="3"/>
      <c r="Y819" s="3"/>
      <c r="Z819" s="3"/>
    </row>
    <row r="820" ht="15.75" customHeight="1">
      <c r="A820" s="790"/>
      <c r="Q820" s="3"/>
      <c r="R820" s="3"/>
      <c r="S820" s="3"/>
      <c r="T820" s="3"/>
      <c r="U820" s="3"/>
      <c r="V820" s="3"/>
      <c r="W820" s="3"/>
      <c r="X820" s="3"/>
      <c r="Y820" s="3"/>
      <c r="Z820" s="3"/>
    </row>
    <row r="821" ht="15.75" customHeight="1">
      <c r="A821" s="790"/>
      <c r="Q821" s="3"/>
      <c r="R821" s="3"/>
      <c r="S821" s="3"/>
      <c r="T821" s="3"/>
      <c r="U821" s="3"/>
      <c r="V821" s="3"/>
      <c r="W821" s="3"/>
      <c r="X821" s="3"/>
      <c r="Y821" s="3"/>
      <c r="Z821" s="3"/>
    </row>
    <row r="822" ht="15.75" customHeight="1">
      <c r="A822" s="790"/>
      <c r="Q822" s="3"/>
      <c r="R822" s="3"/>
      <c r="S822" s="3"/>
      <c r="T822" s="3"/>
      <c r="U822" s="3"/>
      <c r="V822" s="3"/>
      <c r="W822" s="3"/>
      <c r="X822" s="3"/>
      <c r="Y822" s="3"/>
      <c r="Z822" s="3"/>
    </row>
    <row r="823" ht="15.75" customHeight="1">
      <c r="A823" s="790"/>
      <c r="Q823" s="3"/>
      <c r="R823" s="3"/>
      <c r="S823" s="3"/>
      <c r="T823" s="3"/>
      <c r="U823" s="3"/>
      <c r="V823" s="3"/>
      <c r="W823" s="3"/>
      <c r="X823" s="3"/>
      <c r="Y823" s="3"/>
      <c r="Z823" s="3"/>
    </row>
    <row r="824" ht="15.75" customHeight="1">
      <c r="A824" s="790"/>
      <c r="Q824" s="3"/>
      <c r="R824" s="3"/>
      <c r="S824" s="3"/>
      <c r="T824" s="3"/>
      <c r="U824" s="3"/>
      <c r="V824" s="3"/>
      <c r="W824" s="3"/>
      <c r="X824" s="3"/>
      <c r="Y824" s="3"/>
      <c r="Z824" s="3"/>
    </row>
    <row r="825" ht="15.75" customHeight="1">
      <c r="A825" s="790"/>
      <c r="Q825" s="3"/>
      <c r="R825" s="3"/>
      <c r="S825" s="3"/>
      <c r="T825" s="3"/>
      <c r="U825" s="3"/>
      <c r="V825" s="3"/>
      <c r="W825" s="3"/>
      <c r="X825" s="3"/>
      <c r="Y825" s="3"/>
      <c r="Z825" s="3"/>
    </row>
    <row r="826" ht="15.75" customHeight="1">
      <c r="A826" s="790"/>
      <c r="Q826" s="3"/>
      <c r="R826" s="3"/>
      <c r="S826" s="3"/>
      <c r="T826" s="3"/>
      <c r="U826" s="3"/>
      <c r="V826" s="3"/>
      <c r="W826" s="3"/>
      <c r="X826" s="3"/>
      <c r="Y826" s="3"/>
      <c r="Z826" s="3"/>
    </row>
    <row r="827" ht="15.75" customHeight="1">
      <c r="A827" s="790"/>
      <c r="Q827" s="3"/>
      <c r="R827" s="3"/>
      <c r="S827" s="3"/>
      <c r="T827" s="3"/>
      <c r="U827" s="3"/>
      <c r="V827" s="3"/>
      <c r="W827" s="3"/>
      <c r="X827" s="3"/>
      <c r="Y827" s="3"/>
      <c r="Z827" s="3"/>
    </row>
    <row r="828" ht="15.75" customHeight="1">
      <c r="A828" s="790"/>
      <c r="Q828" s="3"/>
      <c r="R828" s="3"/>
      <c r="S828" s="3"/>
      <c r="T828" s="3"/>
      <c r="U828" s="3"/>
      <c r="V828" s="3"/>
      <c r="W828" s="3"/>
      <c r="X828" s="3"/>
      <c r="Y828" s="3"/>
      <c r="Z828" s="3"/>
    </row>
    <row r="829" ht="15.75" customHeight="1">
      <c r="A829" s="790"/>
      <c r="Q829" s="3"/>
      <c r="R829" s="3"/>
      <c r="S829" s="3"/>
      <c r="T829" s="3"/>
      <c r="U829" s="3"/>
      <c r="V829" s="3"/>
      <c r="W829" s="3"/>
      <c r="X829" s="3"/>
      <c r="Y829" s="3"/>
      <c r="Z829" s="3"/>
    </row>
    <row r="830" ht="15.75" customHeight="1">
      <c r="A830" s="790"/>
      <c r="Q830" s="3"/>
      <c r="R830" s="3"/>
      <c r="S830" s="3"/>
      <c r="T830" s="3"/>
      <c r="U830" s="3"/>
      <c r="V830" s="3"/>
      <c r="W830" s="3"/>
      <c r="X830" s="3"/>
      <c r="Y830" s="3"/>
      <c r="Z830" s="3"/>
    </row>
    <row r="831" ht="15.75" customHeight="1">
      <c r="A831" s="790"/>
      <c r="Q831" s="3"/>
      <c r="R831" s="3"/>
      <c r="S831" s="3"/>
      <c r="T831" s="3"/>
      <c r="U831" s="3"/>
      <c r="V831" s="3"/>
      <c r="W831" s="3"/>
      <c r="X831" s="3"/>
      <c r="Y831" s="3"/>
      <c r="Z831" s="3"/>
    </row>
    <row r="832" ht="15.75" customHeight="1">
      <c r="A832" s="790"/>
      <c r="Q832" s="3"/>
      <c r="R832" s="3"/>
      <c r="S832" s="3"/>
      <c r="T832" s="3"/>
      <c r="U832" s="3"/>
      <c r="V832" s="3"/>
      <c r="W832" s="3"/>
      <c r="X832" s="3"/>
      <c r="Y832" s="3"/>
      <c r="Z832" s="3"/>
    </row>
    <row r="833" ht="15.75" customHeight="1">
      <c r="A833" s="790"/>
      <c r="Q833" s="3"/>
      <c r="R833" s="3"/>
      <c r="S833" s="3"/>
      <c r="T833" s="3"/>
      <c r="U833" s="3"/>
      <c r="V833" s="3"/>
      <c r="W833" s="3"/>
      <c r="X833" s="3"/>
      <c r="Y833" s="3"/>
      <c r="Z833" s="3"/>
    </row>
    <row r="834" ht="15.75" customHeight="1">
      <c r="A834" s="790"/>
      <c r="Q834" s="3"/>
      <c r="R834" s="3"/>
      <c r="S834" s="3"/>
      <c r="T834" s="3"/>
      <c r="U834" s="3"/>
      <c r="V834" s="3"/>
      <c r="W834" s="3"/>
      <c r="X834" s="3"/>
      <c r="Y834" s="3"/>
      <c r="Z834" s="3"/>
    </row>
    <row r="835" ht="15.75" customHeight="1">
      <c r="A835" s="790"/>
      <c r="Q835" s="3"/>
      <c r="R835" s="3"/>
      <c r="S835" s="3"/>
      <c r="T835" s="3"/>
      <c r="U835" s="3"/>
      <c r="V835" s="3"/>
      <c r="W835" s="3"/>
      <c r="X835" s="3"/>
      <c r="Y835" s="3"/>
      <c r="Z835" s="3"/>
    </row>
    <row r="836" ht="15.75" customHeight="1">
      <c r="A836" s="790"/>
      <c r="Q836" s="3"/>
      <c r="R836" s="3"/>
      <c r="S836" s="3"/>
      <c r="T836" s="3"/>
      <c r="U836" s="3"/>
      <c r="V836" s="3"/>
      <c r="W836" s="3"/>
      <c r="X836" s="3"/>
      <c r="Y836" s="3"/>
      <c r="Z836" s="3"/>
    </row>
    <row r="837" ht="15.75" customHeight="1">
      <c r="A837" s="790"/>
      <c r="Q837" s="3"/>
      <c r="R837" s="3"/>
      <c r="S837" s="3"/>
      <c r="T837" s="3"/>
      <c r="U837" s="3"/>
      <c r="V837" s="3"/>
      <c r="W837" s="3"/>
      <c r="X837" s="3"/>
      <c r="Y837" s="3"/>
      <c r="Z837" s="3"/>
    </row>
    <row r="838" ht="15.75" customHeight="1">
      <c r="A838" s="790"/>
      <c r="Q838" s="3"/>
      <c r="R838" s="3"/>
      <c r="S838" s="3"/>
      <c r="T838" s="3"/>
      <c r="U838" s="3"/>
      <c r="V838" s="3"/>
      <c r="W838" s="3"/>
      <c r="X838" s="3"/>
      <c r="Y838" s="3"/>
      <c r="Z838" s="3"/>
    </row>
    <row r="839" ht="15.75" customHeight="1">
      <c r="A839" s="790"/>
      <c r="Q839" s="3"/>
      <c r="R839" s="3"/>
      <c r="S839" s="3"/>
      <c r="T839" s="3"/>
      <c r="U839" s="3"/>
      <c r="V839" s="3"/>
      <c r="W839" s="3"/>
      <c r="X839" s="3"/>
      <c r="Y839" s="3"/>
      <c r="Z839" s="3"/>
    </row>
    <row r="840" ht="15.75" customHeight="1">
      <c r="A840" s="790"/>
      <c r="Q840" s="3"/>
      <c r="R840" s="3"/>
      <c r="S840" s="3"/>
      <c r="T840" s="3"/>
      <c r="U840" s="3"/>
      <c r="V840" s="3"/>
      <c r="W840" s="3"/>
      <c r="X840" s="3"/>
      <c r="Y840" s="3"/>
      <c r="Z840" s="3"/>
    </row>
    <row r="841" ht="15.75" customHeight="1">
      <c r="A841" s="790"/>
      <c r="Q841" s="3"/>
      <c r="R841" s="3"/>
      <c r="S841" s="3"/>
      <c r="T841" s="3"/>
      <c r="U841" s="3"/>
      <c r="V841" s="3"/>
      <c r="W841" s="3"/>
      <c r="X841" s="3"/>
      <c r="Y841" s="3"/>
      <c r="Z841" s="3"/>
    </row>
    <row r="842" ht="15.75" customHeight="1">
      <c r="A842" s="790"/>
      <c r="Q842" s="3"/>
      <c r="R842" s="3"/>
      <c r="S842" s="3"/>
      <c r="T842" s="3"/>
      <c r="U842" s="3"/>
      <c r="V842" s="3"/>
      <c r="W842" s="3"/>
      <c r="X842" s="3"/>
      <c r="Y842" s="3"/>
      <c r="Z842" s="3"/>
    </row>
    <row r="843" ht="15.75" customHeight="1">
      <c r="A843" s="790"/>
      <c r="Q843" s="3"/>
      <c r="R843" s="3"/>
      <c r="S843" s="3"/>
      <c r="T843" s="3"/>
      <c r="U843" s="3"/>
      <c r="V843" s="3"/>
      <c r="W843" s="3"/>
      <c r="X843" s="3"/>
      <c r="Y843" s="3"/>
      <c r="Z843" s="3"/>
    </row>
    <row r="844" ht="15.75" customHeight="1">
      <c r="A844" s="790"/>
      <c r="Q844" s="3"/>
      <c r="R844" s="3"/>
      <c r="S844" s="3"/>
      <c r="T844" s="3"/>
      <c r="U844" s="3"/>
      <c r="V844" s="3"/>
      <c r="W844" s="3"/>
      <c r="X844" s="3"/>
      <c r="Y844" s="3"/>
      <c r="Z844" s="3"/>
    </row>
    <row r="845" ht="15.75" customHeight="1">
      <c r="A845" s="790"/>
      <c r="Q845" s="3"/>
      <c r="R845" s="3"/>
      <c r="S845" s="3"/>
      <c r="T845" s="3"/>
      <c r="U845" s="3"/>
      <c r="V845" s="3"/>
      <c r="W845" s="3"/>
      <c r="X845" s="3"/>
      <c r="Y845" s="3"/>
      <c r="Z845" s="3"/>
    </row>
    <row r="846" ht="15.75" customHeight="1">
      <c r="A846" s="790"/>
      <c r="Q846" s="3"/>
      <c r="R846" s="3"/>
      <c r="S846" s="3"/>
      <c r="T846" s="3"/>
      <c r="U846" s="3"/>
      <c r="V846" s="3"/>
      <c r="W846" s="3"/>
      <c r="X846" s="3"/>
      <c r="Y846" s="3"/>
      <c r="Z846" s="3"/>
    </row>
    <row r="847" ht="15.75" customHeight="1">
      <c r="A847" s="790"/>
      <c r="Q847" s="3"/>
      <c r="R847" s="3"/>
      <c r="S847" s="3"/>
      <c r="T847" s="3"/>
      <c r="U847" s="3"/>
      <c r="V847" s="3"/>
      <c r="W847" s="3"/>
      <c r="X847" s="3"/>
      <c r="Y847" s="3"/>
      <c r="Z847" s="3"/>
    </row>
    <row r="848" ht="15.75" customHeight="1">
      <c r="A848" s="790"/>
      <c r="Q848" s="3"/>
      <c r="R848" s="3"/>
      <c r="S848" s="3"/>
      <c r="T848" s="3"/>
      <c r="U848" s="3"/>
      <c r="V848" s="3"/>
      <c r="W848" s="3"/>
      <c r="X848" s="3"/>
      <c r="Y848" s="3"/>
      <c r="Z848" s="3"/>
    </row>
    <row r="849" ht="15.75" customHeight="1">
      <c r="A849" s="790"/>
      <c r="Q849" s="3"/>
      <c r="R849" s="3"/>
      <c r="S849" s="3"/>
      <c r="T849" s="3"/>
      <c r="U849" s="3"/>
      <c r="V849" s="3"/>
      <c r="W849" s="3"/>
      <c r="X849" s="3"/>
      <c r="Y849" s="3"/>
      <c r="Z849" s="3"/>
    </row>
    <row r="850" ht="15.75" customHeight="1">
      <c r="A850" s="790"/>
      <c r="Q850" s="3"/>
      <c r="R850" s="3"/>
      <c r="S850" s="3"/>
      <c r="T850" s="3"/>
      <c r="U850" s="3"/>
      <c r="V850" s="3"/>
      <c r="W850" s="3"/>
      <c r="X850" s="3"/>
      <c r="Y850" s="3"/>
      <c r="Z850" s="3"/>
    </row>
    <row r="851" ht="15.75" customHeight="1">
      <c r="A851" s="790"/>
      <c r="Q851" s="3"/>
      <c r="R851" s="3"/>
      <c r="S851" s="3"/>
      <c r="T851" s="3"/>
      <c r="U851" s="3"/>
      <c r="V851" s="3"/>
      <c r="W851" s="3"/>
      <c r="X851" s="3"/>
      <c r="Y851" s="3"/>
      <c r="Z851" s="3"/>
    </row>
    <row r="852" ht="15.75" customHeight="1">
      <c r="A852" s="790"/>
      <c r="Q852" s="3"/>
      <c r="R852" s="3"/>
      <c r="S852" s="3"/>
      <c r="T852" s="3"/>
      <c r="U852" s="3"/>
      <c r="V852" s="3"/>
      <c r="W852" s="3"/>
      <c r="X852" s="3"/>
      <c r="Y852" s="3"/>
      <c r="Z852" s="3"/>
    </row>
    <row r="853" ht="15.75" customHeight="1">
      <c r="A853" s="790"/>
      <c r="Q853" s="3"/>
      <c r="R853" s="3"/>
      <c r="S853" s="3"/>
      <c r="T853" s="3"/>
      <c r="U853" s="3"/>
      <c r="V853" s="3"/>
      <c r="W853" s="3"/>
      <c r="X853" s="3"/>
      <c r="Y853" s="3"/>
      <c r="Z853" s="3"/>
    </row>
    <row r="854" ht="15.75" customHeight="1">
      <c r="A854" s="790"/>
      <c r="Q854" s="3"/>
      <c r="R854" s="3"/>
      <c r="S854" s="3"/>
      <c r="T854" s="3"/>
      <c r="U854" s="3"/>
      <c r="V854" s="3"/>
      <c r="W854" s="3"/>
      <c r="X854" s="3"/>
      <c r="Y854" s="3"/>
      <c r="Z854" s="3"/>
    </row>
    <row r="855" ht="15.75" customHeight="1">
      <c r="A855" s="790"/>
      <c r="Q855" s="3"/>
      <c r="R855" s="3"/>
      <c r="S855" s="3"/>
      <c r="T855" s="3"/>
      <c r="U855" s="3"/>
      <c r="V855" s="3"/>
      <c r="W855" s="3"/>
      <c r="X855" s="3"/>
      <c r="Y855" s="3"/>
      <c r="Z855" s="3"/>
    </row>
    <row r="856" ht="15.75" customHeight="1">
      <c r="A856" s="790"/>
      <c r="Q856" s="3"/>
      <c r="R856" s="3"/>
      <c r="S856" s="3"/>
      <c r="T856" s="3"/>
      <c r="U856" s="3"/>
      <c r="V856" s="3"/>
      <c r="W856" s="3"/>
      <c r="X856" s="3"/>
      <c r="Y856" s="3"/>
      <c r="Z856" s="3"/>
    </row>
    <row r="857" ht="15.75" customHeight="1">
      <c r="A857" s="790"/>
      <c r="Q857" s="3"/>
      <c r="R857" s="3"/>
      <c r="S857" s="3"/>
      <c r="T857" s="3"/>
      <c r="U857" s="3"/>
      <c r="V857" s="3"/>
      <c r="W857" s="3"/>
      <c r="X857" s="3"/>
      <c r="Y857" s="3"/>
      <c r="Z857" s="3"/>
    </row>
    <row r="858" ht="15.75" customHeight="1">
      <c r="A858" s="790"/>
      <c r="Q858" s="3"/>
      <c r="R858" s="3"/>
      <c r="S858" s="3"/>
      <c r="T858" s="3"/>
      <c r="U858" s="3"/>
      <c r="V858" s="3"/>
      <c r="W858" s="3"/>
      <c r="X858" s="3"/>
      <c r="Y858" s="3"/>
      <c r="Z858" s="3"/>
    </row>
    <row r="859" ht="15.75" customHeight="1">
      <c r="A859" s="790"/>
      <c r="Q859" s="3"/>
      <c r="R859" s="3"/>
      <c r="S859" s="3"/>
      <c r="T859" s="3"/>
      <c r="U859" s="3"/>
      <c r="V859" s="3"/>
      <c r="W859" s="3"/>
      <c r="X859" s="3"/>
      <c r="Y859" s="3"/>
      <c r="Z859" s="3"/>
    </row>
    <row r="860" ht="15.75" customHeight="1">
      <c r="A860" s="790"/>
      <c r="Q860" s="3"/>
      <c r="R860" s="3"/>
      <c r="S860" s="3"/>
      <c r="T860" s="3"/>
      <c r="U860" s="3"/>
      <c r="V860" s="3"/>
      <c r="W860" s="3"/>
      <c r="X860" s="3"/>
      <c r="Y860" s="3"/>
      <c r="Z860" s="3"/>
    </row>
    <row r="861" ht="15.75" customHeight="1">
      <c r="A861" s="790"/>
      <c r="Q861" s="3"/>
      <c r="R861" s="3"/>
      <c r="S861" s="3"/>
      <c r="T861" s="3"/>
      <c r="U861" s="3"/>
      <c r="V861" s="3"/>
      <c r="W861" s="3"/>
      <c r="X861" s="3"/>
      <c r="Y861" s="3"/>
      <c r="Z861" s="3"/>
    </row>
    <row r="862" ht="15.75" customHeight="1">
      <c r="A862" s="790"/>
      <c r="Q862" s="3"/>
      <c r="R862" s="3"/>
      <c r="S862" s="3"/>
      <c r="T862" s="3"/>
      <c r="U862" s="3"/>
      <c r="V862" s="3"/>
      <c r="W862" s="3"/>
      <c r="X862" s="3"/>
      <c r="Y862" s="3"/>
      <c r="Z862" s="3"/>
    </row>
    <row r="863" ht="15.75" customHeight="1">
      <c r="A863" s="790"/>
      <c r="Q863" s="3"/>
      <c r="R863" s="3"/>
      <c r="S863" s="3"/>
      <c r="T863" s="3"/>
      <c r="U863" s="3"/>
      <c r="V863" s="3"/>
      <c r="W863" s="3"/>
      <c r="X863" s="3"/>
      <c r="Y863" s="3"/>
      <c r="Z863" s="3"/>
    </row>
    <row r="864" ht="15.75" customHeight="1">
      <c r="A864" s="790"/>
      <c r="Q864" s="3"/>
      <c r="R864" s="3"/>
      <c r="S864" s="3"/>
      <c r="T864" s="3"/>
      <c r="U864" s="3"/>
      <c r="V864" s="3"/>
      <c r="W864" s="3"/>
      <c r="X864" s="3"/>
      <c r="Y864" s="3"/>
      <c r="Z864" s="3"/>
    </row>
    <row r="865" ht="15.75" customHeight="1">
      <c r="A865" s="790"/>
      <c r="Q865" s="3"/>
      <c r="R865" s="3"/>
      <c r="S865" s="3"/>
      <c r="T865" s="3"/>
      <c r="U865" s="3"/>
      <c r="V865" s="3"/>
      <c r="W865" s="3"/>
      <c r="X865" s="3"/>
      <c r="Y865" s="3"/>
      <c r="Z865" s="3"/>
    </row>
    <row r="866" ht="15.75" customHeight="1">
      <c r="A866" s="790"/>
      <c r="Q866" s="3"/>
      <c r="R866" s="3"/>
      <c r="S866" s="3"/>
      <c r="T866" s="3"/>
      <c r="U866" s="3"/>
      <c r="V866" s="3"/>
      <c r="W866" s="3"/>
      <c r="X866" s="3"/>
      <c r="Y866" s="3"/>
      <c r="Z866" s="3"/>
    </row>
    <row r="867" ht="15.75" customHeight="1">
      <c r="A867" s="790"/>
      <c r="Q867" s="3"/>
      <c r="R867" s="3"/>
      <c r="S867" s="3"/>
      <c r="T867" s="3"/>
      <c r="U867" s="3"/>
      <c r="V867" s="3"/>
      <c r="W867" s="3"/>
      <c r="X867" s="3"/>
      <c r="Y867" s="3"/>
      <c r="Z867" s="3"/>
    </row>
    <row r="868" ht="15.75" customHeight="1">
      <c r="A868" s="790"/>
      <c r="Q868" s="3"/>
      <c r="R868" s="3"/>
      <c r="S868" s="3"/>
      <c r="T868" s="3"/>
      <c r="U868" s="3"/>
      <c r="V868" s="3"/>
      <c r="W868" s="3"/>
      <c r="X868" s="3"/>
      <c r="Y868" s="3"/>
      <c r="Z868" s="3"/>
    </row>
    <row r="869" ht="15.75" customHeight="1">
      <c r="A869" s="790"/>
      <c r="Q869" s="3"/>
      <c r="R869" s="3"/>
      <c r="S869" s="3"/>
      <c r="T869" s="3"/>
      <c r="U869" s="3"/>
      <c r="V869" s="3"/>
      <c r="W869" s="3"/>
      <c r="X869" s="3"/>
      <c r="Y869" s="3"/>
      <c r="Z869" s="3"/>
    </row>
    <row r="870" ht="15.75" customHeight="1">
      <c r="A870" s="790"/>
      <c r="Q870" s="3"/>
      <c r="R870" s="3"/>
      <c r="S870" s="3"/>
      <c r="T870" s="3"/>
      <c r="U870" s="3"/>
      <c r="V870" s="3"/>
      <c r="W870" s="3"/>
      <c r="X870" s="3"/>
      <c r="Y870" s="3"/>
      <c r="Z870" s="3"/>
    </row>
    <row r="871" ht="15.75" customHeight="1">
      <c r="A871" s="790"/>
      <c r="Q871" s="3"/>
      <c r="R871" s="3"/>
      <c r="S871" s="3"/>
      <c r="T871" s="3"/>
      <c r="U871" s="3"/>
      <c r="V871" s="3"/>
      <c r="W871" s="3"/>
      <c r="X871" s="3"/>
      <c r="Y871" s="3"/>
      <c r="Z871" s="3"/>
    </row>
    <row r="872" ht="15.75" customHeight="1">
      <c r="A872" s="790"/>
      <c r="Q872" s="3"/>
      <c r="R872" s="3"/>
      <c r="S872" s="3"/>
      <c r="T872" s="3"/>
      <c r="U872" s="3"/>
      <c r="V872" s="3"/>
      <c r="W872" s="3"/>
      <c r="X872" s="3"/>
      <c r="Y872" s="3"/>
      <c r="Z872" s="3"/>
    </row>
    <row r="873" ht="15.75" customHeight="1">
      <c r="A873" s="790"/>
      <c r="Q873" s="3"/>
      <c r="R873" s="3"/>
      <c r="S873" s="3"/>
      <c r="T873" s="3"/>
      <c r="U873" s="3"/>
      <c r="V873" s="3"/>
      <c r="W873" s="3"/>
      <c r="X873" s="3"/>
      <c r="Y873" s="3"/>
      <c r="Z873" s="3"/>
    </row>
    <row r="874" ht="15.75" customHeight="1">
      <c r="A874" s="790"/>
      <c r="Q874" s="3"/>
      <c r="R874" s="3"/>
      <c r="S874" s="3"/>
      <c r="T874" s="3"/>
      <c r="U874" s="3"/>
      <c r="V874" s="3"/>
      <c r="W874" s="3"/>
      <c r="X874" s="3"/>
      <c r="Y874" s="3"/>
      <c r="Z874" s="3"/>
    </row>
    <row r="875" ht="15.75" customHeight="1">
      <c r="A875" s="790"/>
      <c r="Q875" s="3"/>
      <c r="R875" s="3"/>
      <c r="S875" s="3"/>
      <c r="T875" s="3"/>
      <c r="U875" s="3"/>
      <c r="V875" s="3"/>
      <c r="W875" s="3"/>
      <c r="X875" s="3"/>
      <c r="Y875" s="3"/>
      <c r="Z875" s="3"/>
    </row>
    <row r="876" ht="15.75" customHeight="1">
      <c r="A876" s="790"/>
      <c r="Q876" s="3"/>
      <c r="R876" s="3"/>
      <c r="S876" s="3"/>
      <c r="T876" s="3"/>
      <c r="U876" s="3"/>
      <c r="V876" s="3"/>
      <c r="W876" s="3"/>
      <c r="X876" s="3"/>
      <c r="Y876" s="3"/>
      <c r="Z876" s="3"/>
    </row>
    <row r="877" ht="15.75" customHeight="1">
      <c r="A877" s="790"/>
      <c r="Q877" s="3"/>
      <c r="R877" s="3"/>
      <c r="S877" s="3"/>
      <c r="T877" s="3"/>
      <c r="U877" s="3"/>
      <c r="V877" s="3"/>
      <c r="W877" s="3"/>
      <c r="X877" s="3"/>
      <c r="Y877" s="3"/>
      <c r="Z877" s="3"/>
    </row>
    <row r="878" ht="15.75" customHeight="1">
      <c r="A878" s="790"/>
      <c r="Q878" s="3"/>
      <c r="R878" s="3"/>
      <c r="S878" s="3"/>
      <c r="T878" s="3"/>
      <c r="U878" s="3"/>
      <c r="V878" s="3"/>
      <c r="W878" s="3"/>
      <c r="X878" s="3"/>
      <c r="Y878" s="3"/>
      <c r="Z878" s="3"/>
    </row>
    <row r="879" ht="15.75" customHeight="1">
      <c r="A879" s="790"/>
      <c r="Q879" s="3"/>
      <c r="R879" s="3"/>
      <c r="S879" s="3"/>
      <c r="T879" s="3"/>
      <c r="U879" s="3"/>
      <c r="V879" s="3"/>
      <c r="W879" s="3"/>
      <c r="X879" s="3"/>
      <c r="Y879" s="3"/>
      <c r="Z879" s="3"/>
    </row>
    <row r="880" ht="15.75" customHeight="1">
      <c r="A880" s="790"/>
      <c r="Q880" s="3"/>
      <c r="R880" s="3"/>
      <c r="S880" s="3"/>
      <c r="T880" s="3"/>
      <c r="U880" s="3"/>
      <c r="V880" s="3"/>
      <c r="W880" s="3"/>
      <c r="X880" s="3"/>
      <c r="Y880" s="3"/>
      <c r="Z880" s="3"/>
    </row>
    <row r="881" ht="15.75" customHeight="1">
      <c r="A881" s="790"/>
      <c r="Q881" s="3"/>
      <c r="R881" s="3"/>
      <c r="S881" s="3"/>
      <c r="T881" s="3"/>
      <c r="U881" s="3"/>
      <c r="V881" s="3"/>
      <c r="W881" s="3"/>
      <c r="X881" s="3"/>
      <c r="Y881" s="3"/>
      <c r="Z881" s="3"/>
    </row>
    <row r="882" ht="15.75" customHeight="1">
      <c r="A882" s="790"/>
      <c r="Q882" s="3"/>
      <c r="R882" s="3"/>
      <c r="S882" s="3"/>
      <c r="T882" s="3"/>
      <c r="U882" s="3"/>
      <c r="V882" s="3"/>
      <c r="W882" s="3"/>
      <c r="X882" s="3"/>
      <c r="Y882" s="3"/>
      <c r="Z882" s="3"/>
    </row>
    <row r="883" ht="15.75" customHeight="1">
      <c r="A883" s="790"/>
      <c r="Q883" s="3"/>
      <c r="R883" s="3"/>
      <c r="S883" s="3"/>
      <c r="T883" s="3"/>
      <c r="U883" s="3"/>
      <c r="V883" s="3"/>
      <c r="W883" s="3"/>
      <c r="X883" s="3"/>
      <c r="Y883" s="3"/>
      <c r="Z883" s="3"/>
    </row>
    <row r="884" ht="15.75" customHeight="1">
      <c r="A884" s="790"/>
      <c r="Q884" s="3"/>
      <c r="R884" s="3"/>
      <c r="S884" s="3"/>
      <c r="T884" s="3"/>
      <c r="U884" s="3"/>
      <c r="V884" s="3"/>
      <c r="W884" s="3"/>
      <c r="X884" s="3"/>
      <c r="Y884" s="3"/>
      <c r="Z884" s="3"/>
    </row>
    <row r="885" ht="15.75" customHeight="1">
      <c r="A885" s="790"/>
      <c r="Q885" s="3"/>
      <c r="R885" s="3"/>
      <c r="S885" s="3"/>
      <c r="T885" s="3"/>
      <c r="U885" s="3"/>
      <c r="V885" s="3"/>
      <c r="W885" s="3"/>
      <c r="X885" s="3"/>
      <c r="Y885" s="3"/>
      <c r="Z885" s="3"/>
    </row>
    <row r="886" ht="15.75" customHeight="1">
      <c r="A886" s="790"/>
      <c r="Q886" s="3"/>
      <c r="R886" s="3"/>
      <c r="S886" s="3"/>
      <c r="T886" s="3"/>
      <c r="U886" s="3"/>
      <c r="V886" s="3"/>
      <c r="W886" s="3"/>
      <c r="X886" s="3"/>
      <c r="Y886" s="3"/>
      <c r="Z886" s="3"/>
    </row>
    <row r="887" ht="15.75" customHeight="1">
      <c r="A887" s="790"/>
      <c r="Q887" s="3"/>
      <c r="R887" s="3"/>
      <c r="S887" s="3"/>
      <c r="T887" s="3"/>
      <c r="U887" s="3"/>
      <c r="V887" s="3"/>
      <c r="W887" s="3"/>
      <c r="X887" s="3"/>
      <c r="Y887" s="3"/>
      <c r="Z887" s="3"/>
    </row>
    <row r="888" ht="15.75" customHeight="1">
      <c r="A888" s="790"/>
      <c r="Q888" s="3"/>
      <c r="R888" s="3"/>
      <c r="S888" s="3"/>
      <c r="T888" s="3"/>
      <c r="U888" s="3"/>
      <c r="V888" s="3"/>
      <c r="W888" s="3"/>
      <c r="X888" s="3"/>
      <c r="Y888" s="3"/>
      <c r="Z888" s="3"/>
    </row>
    <row r="889" ht="15.75" customHeight="1">
      <c r="A889" s="790"/>
      <c r="Q889" s="3"/>
      <c r="R889" s="3"/>
      <c r="S889" s="3"/>
      <c r="T889" s="3"/>
      <c r="U889" s="3"/>
      <c r="V889" s="3"/>
      <c r="W889" s="3"/>
      <c r="X889" s="3"/>
      <c r="Y889" s="3"/>
      <c r="Z889" s="3"/>
    </row>
    <row r="890" ht="15.75" customHeight="1">
      <c r="A890" s="790"/>
      <c r="Q890" s="3"/>
      <c r="R890" s="3"/>
      <c r="S890" s="3"/>
      <c r="T890" s="3"/>
      <c r="U890" s="3"/>
      <c r="V890" s="3"/>
      <c r="W890" s="3"/>
      <c r="X890" s="3"/>
      <c r="Y890" s="3"/>
      <c r="Z890" s="3"/>
    </row>
    <row r="891" ht="15.75" customHeight="1">
      <c r="A891" s="790"/>
      <c r="Q891" s="3"/>
      <c r="R891" s="3"/>
      <c r="S891" s="3"/>
      <c r="T891" s="3"/>
      <c r="U891" s="3"/>
      <c r="V891" s="3"/>
      <c r="W891" s="3"/>
      <c r="X891" s="3"/>
      <c r="Y891" s="3"/>
      <c r="Z891" s="3"/>
    </row>
    <row r="892" ht="15.75" customHeight="1">
      <c r="A892" s="790"/>
      <c r="Q892" s="3"/>
      <c r="R892" s="3"/>
      <c r="S892" s="3"/>
      <c r="T892" s="3"/>
      <c r="U892" s="3"/>
      <c r="V892" s="3"/>
      <c r="W892" s="3"/>
      <c r="X892" s="3"/>
      <c r="Y892" s="3"/>
      <c r="Z892" s="3"/>
    </row>
    <row r="893" ht="15.75" customHeight="1">
      <c r="A893" s="790"/>
      <c r="Q893" s="3"/>
      <c r="R893" s="3"/>
      <c r="S893" s="3"/>
      <c r="T893" s="3"/>
      <c r="U893" s="3"/>
      <c r="V893" s="3"/>
      <c r="W893" s="3"/>
      <c r="X893" s="3"/>
      <c r="Y893" s="3"/>
      <c r="Z893" s="3"/>
    </row>
    <row r="894" ht="15.75" customHeight="1">
      <c r="A894" s="790"/>
      <c r="Q894" s="3"/>
      <c r="R894" s="3"/>
      <c r="S894" s="3"/>
      <c r="T894" s="3"/>
      <c r="U894" s="3"/>
      <c r="V894" s="3"/>
      <c r="W894" s="3"/>
      <c r="X894" s="3"/>
      <c r="Y894" s="3"/>
      <c r="Z894" s="3"/>
    </row>
    <row r="895" ht="15.75" customHeight="1">
      <c r="A895" s="790"/>
      <c r="Q895" s="3"/>
      <c r="R895" s="3"/>
      <c r="S895" s="3"/>
      <c r="T895" s="3"/>
      <c r="U895" s="3"/>
      <c r="V895" s="3"/>
      <c r="W895" s="3"/>
      <c r="X895" s="3"/>
      <c r="Y895" s="3"/>
      <c r="Z895" s="3"/>
    </row>
    <row r="896" ht="15.75" customHeight="1">
      <c r="A896" s="790"/>
      <c r="Q896" s="3"/>
      <c r="R896" s="3"/>
      <c r="S896" s="3"/>
      <c r="T896" s="3"/>
      <c r="U896" s="3"/>
      <c r="V896" s="3"/>
      <c r="W896" s="3"/>
      <c r="X896" s="3"/>
      <c r="Y896" s="3"/>
      <c r="Z896" s="3"/>
    </row>
    <row r="897" ht="15.75" customHeight="1">
      <c r="A897" s="790"/>
      <c r="Q897" s="3"/>
      <c r="R897" s="3"/>
      <c r="S897" s="3"/>
      <c r="T897" s="3"/>
      <c r="U897" s="3"/>
      <c r="V897" s="3"/>
      <c r="W897" s="3"/>
      <c r="X897" s="3"/>
      <c r="Y897" s="3"/>
      <c r="Z897" s="3"/>
    </row>
    <row r="898" ht="15.75" customHeight="1">
      <c r="A898" s="790"/>
      <c r="Q898" s="3"/>
      <c r="R898" s="3"/>
      <c r="S898" s="3"/>
      <c r="T898" s="3"/>
      <c r="U898" s="3"/>
      <c r="V898" s="3"/>
      <c r="W898" s="3"/>
      <c r="X898" s="3"/>
      <c r="Y898" s="3"/>
      <c r="Z898" s="3"/>
    </row>
    <row r="899" ht="15.75" customHeight="1">
      <c r="A899" s="790"/>
      <c r="Q899" s="3"/>
      <c r="R899" s="3"/>
      <c r="S899" s="3"/>
      <c r="T899" s="3"/>
      <c r="U899" s="3"/>
      <c r="V899" s="3"/>
      <c r="W899" s="3"/>
      <c r="X899" s="3"/>
      <c r="Y899" s="3"/>
      <c r="Z899" s="3"/>
    </row>
    <row r="900" ht="15.75" customHeight="1">
      <c r="A900" s="790"/>
      <c r="Q900" s="3"/>
      <c r="R900" s="3"/>
      <c r="S900" s="3"/>
      <c r="T900" s="3"/>
      <c r="U900" s="3"/>
      <c r="V900" s="3"/>
      <c r="W900" s="3"/>
      <c r="X900" s="3"/>
      <c r="Y900" s="3"/>
      <c r="Z900" s="3"/>
    </row>
    <row r="901" ht="15.75" customHeight="1">
      <c r="A901" s="790"/>
      <c r="Q901" s="3"/>
      <c r="R901" s="3"/>
      <c r="S901" s="3"/>
      <c r="T901" s="3"/>
      <c r="U901" s="3"/>
      <c r="V901" s="3"/>
      <c r="W901" s="3"/>
      <c r="X901" s="3"/>
      <c r="Y901" s="3"/>
      <c r="Z901" s="3"/>
    </row>
    <row r="902" ht="15.75" customHeight="1">
      <c r="A902" s="790"/>
      <c r="Q902" s="3"/>
      <c r="R902" s="3"/>
      <c r="S902" s="3"/>
      <c r="T902" s="3"/>
      <c r="U902" s="3"/>
      <c r="V902" s="3"/>
      <c r="W902" s="3"/>
      <c r="X902" s="3"/>
      <c r="Y902" s="3"/>
      <c r="Z902" s="3"/>
    </row>
    <row r="903" ht="15.75" customHeight="1">
      <c r="A903" s="790"/>
      <c r="Q903" s="3"/>
      <c r="R903" s="3"/>
      <c r="S903" s="3"/>
      <c r="T903" s="3"/>
      <c r="U903" s="3"/>
      <c r="V903" s="3"/>
      <c r="W903" s="3"/>
      <c r="X903" s="3"/>
      <c r="Y903" s="3"/>
      <c r="Z903" s="3"/>
    </row>
    <row r="904" ht="15.75" customHeight="1">
      <c r="A904" s="790"/>
      <c r="Q904" s="3"/>
      <c r="R904" s="3"/>
      <c r="S904" s="3"/>
      <c r="T904" s="3"/>
      <c r="U904" s="3"/>
      <c r="V904" s="3"/>
      <c r="W904" s="3"/>
      <c r="X904" s="3"/>
      <c r="Y904" s="3"/>
      <c r="Z904" s="3"/>
    </row>
    <row r="905" ht="15.75" customHeight="1">
      <c r="A905" s="790"/>
      <c r="Q905" s="3"/>
      <c r="R905" s="3"/>
      <c r="S905" s="3"/>
      <c r="T905" s="3"/>
      <c r="U905" s="3"/>
      <c r="V905" s="3"/>
      <c r="W905" s="3"/>
      <c r="X905" s="3"/>
      <c r="Y905" s="3"/>
      <c r="Z905" s="3"/>
    </row>
    <row r="906" ht="15.75" customHeight="1">
      <c r="A906" s="790"/>
      <c r="Q906" s="3"/>
      <c r="R906" s="3"/>
      <c r="S906" s="3"/>
      <c r="T906" s="3"/>
      <c r="U906" s="3"/>
      <c r="V906" s="3"/>
      <c r="W906" s="3"/>
      <c r="X906" s="3"/>
      <c r="Y906" s="3"/>
      <c r="Z906" s="3"/>
    </row>
    <row r="907" ht="15.75" customHeight="1">
      <c r="A907" s="790"/>
      <c r="Q907" s="3"/>
      <c r="R907" s="3"/>
      <c r="S907" s="3"/>
      <c r="T907" s="3"/>
      <c r="U907" s="3"/>
      <c r="V907" s="3"/>
      <c r="W907" s="3"/>
      <c r="X907" s="3"/>
      <c r="Y907" s="3"/>
      <c r="Z907" s="3"/>
    </row>
    <row r="908" ht="15.75" customHeight="1">
      <c r="A908" s="790"/>
      <c r="Q908" s="3"/>
      <c r="R908" s="3"/>
      <c r="S908" s="3"/>
      <c r="T908" s="3"/>
      <c r="U908" s="3"/>
      <c r="V908" s="3"/>
      <c r="W908" s="3"/>
      <c r="X908" s="3"/>
      <c r="Y908" s="3"/>
      <c r="Z908" s="3"/>
    </row>
    <row r="909" ht="15.75" customHeight="1">
      <c r="A909" s="790"/>
      <c r="Q909" s="3"/>
      <c r="R909" s="3"/>
      <c r="S909" s="3"/>
      <c r="T909" s="3"/>
      <c r="U909" s="3"/>
      <c r="V909" s="3"/>
      <c r="W909" s="3"/>
      <c r="X909" s="3"/>
      <c r="Y909" s="3"/>
      <c r="Z909" s="3"/>
    </row>
    <row r="910" ht="15.75" customHeight="1">
      <c r="A910" s="790"/>
      <c r="Q910" s="3"/>
      <c r="R910" s="3"/>
      <c r="S910" s="3"/>
      <c r="T910" s="3"/>
      <c r="U910" s="3"/>
      <c r="V910" s="3"/>
      <c r="W910" s="3"/>
      <c r="X910" s="3"/>
      <c r="Y910" s="3"/>
      <c r="Z910" s="3"/>
    </row>
    <row r="911" ht="15.75" customHeight="1">
      <c r="A911" s="790"/>
      <c r="Q911" s="3"/>
      <c r="R911" s="3"/>
      <c r="S911" s="3"/>
      <c r="T911" s="3"/>
      <c r="U911" s="3"/>
      <c r="V911" s="3"/>
      <c r="W911" s="3"/>
      <c r="X911" s="3"/>
      <c r="Y911" s="3"/>
      <c r="Z911" s="3"/>
    </row>
    <row r="912" ht="15.75" customHeight="1">
      <c r="A912" s="790"/>
      <c r="Q912" s="3"/>
      <c r="R912" s="3"/>
      <c r="S912" s="3"/>
      <c r="T912" s="3"/>
      <c r="U912" s="3"/>
      <c r="V912" s="3"/>
      <c r="W912" s="3"/>
      <c r="X912" s="3"/>
      <c r="Y912" s="3"/>
      <c r="Z912" s="3"/>
    </row>
    <row r="913" ht="15.75" customHeight="1">
      <c r="A913" s="790"/>
      <c r="Q913" s="3"/>
      <c r="R913" s="3"/>
      <c r="S913" s="3"/>
      <c r="T913" s="3"/>
      <c r="U913" s="3"/>
      <c r="V913" s="3"/>
      <c r="W913" s="3"/>
      <c r="X913" s="3"/>
      <c r="Y913" s="3"/>
      <c r="Z913" s="3"/>
    </row>
    <row r="914" ht="15.75" customHeight="1">
      <c r="A914" s="790"/>
      <c r="Q914" s="3"/>
      <c r="R914" s="3"/>
      <c r="S914" s="3"/>
      <c r="T914" s="3"/>
      <c r="U914" s="3"/>
      <c r="V914" s="3"/>
      <c r="W914" s="3"/>
      <c r="X914" s="3"/>
      <c r="Y914" s="3"/>
      <c r="Z914" s="3"/>
    </row>
    <row r="915" ht="15.75" customHeight="1">
      <c r="A915" s="790"/>
      <c r="Q915" s="3"/>
      <c r="R915" s="3"/>
      <c r="S915" s="3"/>
      <c r="T915" s="3"/>
      <c r="U915" s="3"/>
      <c r="V915" s="3"/>
      <c r="W915" s="3"/>
      <c r="X915" s="3"/>
      <c r="Y915" s="3"/>
      <c r="Z915" s="3"/>
    </row>
    <row r="916" ht="15.75" customHeight="1">
      <c r="A916" s="790"/>
      <c r="Q916" s="3"/>
      <c r="R916" s="3"/>
      <c r="S916" s="3"/>
      <c r="T916" s="3"/>
      <c r="U916" s="3"/>
      <c r="V916" s="3"/>
      <c r="W916" s="3"/>
      <c r="X916" s="3"/>
      <c r="Y916" s="3"/>
      <c r="Z916" s="3"/>
    </row>
    <row r="917" ht="15.75" customHeight="1">
      <c r="A917" s="790"/>
      <c r="Q917" s="3"/>
      <c r="R917" s="3"/>
      <c r="S917" s="3"/>
      <c r="T917" s="3"/>
      <c r="U917" s="3"/>
      <c r="V917" s="3"/>
      <c r="W917" s="3"/>
      <c r="X917" s="3"/>
      <c r="Y917" s="3"/>
      <c r="Z917" s="3"/>
    </row>
    <row r="918" ht="15.75" customHeight="1">
      <c r="A918" s="790"/>
      <c r="Q918" s="3"/>
      <c r="R918" s="3"/>
      <c r="S918" s="3"/>
      <c r="T918" s="3"/>
      <c r="U918" s="3"/>
      <c r="V918" s="3"/>
      <c r="W918" s="3"/>
      <c r="X918" s="3"/>
      <c r="Y918" s="3"/>
      <c r="Z918" s="3"/>
    </row>
    <row r="919" ht="15.75" customHeight="1">
      <c r="A919" s="790"/>
      <c r="Q919" s="3"/>
      <c r="R919" s="3"/>
      <c r="S919" s="3"/>
      <c r="T919" s="3"/>
      <c r="U919" s="3"/>
      <c r="V919" s="3"/>
      <c r="W919" s="3"/>
      <c r="X919" s="3"/>
      <c r="Y919" s="3"/>
      <c r="Z919" s="3"/>
    </row>
    <row r="920" ht="15.75" customHeight="1">
      <c r="A920" s="790"/>
      <c r="Q920" s="3"/>
      <c r="R920" s="3"/>
      <c r="S920" s="3"/>
      <c r="T920" s="3"/>
      <c r="U920" s="3"/>
      <c r="V920" s="3"/>
      <c r="W920" s="3"/>
      <c r="X920" s="3"/>
      <c r="Y920" s="3"/>
      <c r="Z920" s="3"/>
    </row>
    <row r="921" ht="15.75" customHeight="1">
      <c r="A921" s="790"/>
      <c r="Q921" s="3"/>
      <c r="R921" s="3"/>
      <c r="S921" s="3"/>
      <c r="T921" s="3"/>
      <c r="U921" s="3"/>
      <c r="V921" s="3"/>
      <c r="W921" s="3"/>
      <c r="X921" s="3"/>
      <c r="Y921" s="3"/>
      <c r="Z921" s="3"/>
    </row>
    <row r="922" ht="15.75" customHeight="1">
      <c r="A922" s="790"/>
      <c r="Q922" s="3"/>
      <c r="R922" s="3"/>
      <c r="S922" s="3"/>
      <c r="T922" s="3"/>
      <c r="U922" s="3"/>
      <c r="V922" s="3"/>
      <c r="W922" s="3"/>
      <c r="X922" s="3"/>
      <c r="Y922" s="3"/>
      <c r="Z922" s="3"/>
    </row>
    <row r="923" ht="15.75" customHeight="1">
      <c r="A923" s="790"/>
      <c r="Q923" s="3"/>
      <c r="R923" s="3"/>
      <c r="S923" s="3"/>
      <c r="T923" s="3"/>
      <c r="U923" s="3"/>
      <c r="V923" s="3"/>
      <c r="W923" s="3"/>
      <c r="X923" s="3"/>
      <c r="Y923" s="3"/>
      <c r="Z923" s="3"/>
    </row>
    <row r="924" ht="15.75" customHeight="1">
      <c r="A924" s="790"/>
      <c r="Q924" s="3"/>
      <c r="R924" s="3"/>
      <c r="S924" s="3"/>
      <c r="T924" s="3"/>
      <c r="U924" s="3"/>
      <c r="V924" s="3"/>
      <c r="W924" s="3"/>
      <c r="X924" s="3"/>
      <c r="Y924" s="3"/>
      <c r="Z924" s="3"/>
    </row>
    <row r="925" ht="15.75" customHeight="1">
      <c r="A925" s="790"/>
      <c r="Q925" s="3"/>
      <c r="R925" s="3"/>
      <c r="S925" s="3"/>
      <c r="T925" s="3"/>
      <c r="U925" s="3"/>
      <c r="V925" s="3"/>
      <c r="W925" s="3"/>
      <c r="X925" s="3"/>
      <c r="Y925" s="3"/>
      <c r="Z925" s="3"/>
    </row>
    <row r="926" ht="15.75" customHeight="1">
      <c r="A926" s="790"/>
      <c r="Q926" s="3"/>
      <c r="R926" s="3"/>
      <c r="S926" s="3"/>
      <c r="T926" s="3"/>
      <c r="U926" s="3"/>
      <c r="V926" s="3"/>
      <c r="W926" s="3"/>
      <c r="X926" s="3"/>
      <c r="Y926" s="3"/>
      <c r="Z926" s="3"/>
    </row>
    <row r="927" ht="15.75" customHeight="1">
      <c r="A927" s="790"/>
      <c r="Q927" s="3"/>
      <c r="R927" s="3"/>
      <c r="S927" s="3"/>
      <c r="T927" s="3"/>
      <c r="U927" s="3"/>
      <c r="V927" s="3"/>
      <c r="W927" s="3"/>
      <c r="X927" s="3"/>
      <c r="Y927" s="3"/>
      <c r="Z927" s="3"/>
    </row>
    <row r="928" ht="15.75" customHeight="1">
      <c r="A928" s="790"/>
      <c r="Q928" s="3"/>
      <c r="R928" s="3"/>
      <c r="S928" s="3"/>
      <c r="T928" s="3"/>
      <c r="U928" s="3"/>
      <c r="V928" s="3"/>
      <c r="W928" s="3"/>
      <c r="X928" s="3"/>
      <c r="Y928" s="3"/>
      <c r="Z928" s="3"/>
    </row>
    <row r="929" ht="15.75" customHeight="1">
      <c r="A929" s="790"/>
      <c r="Q929" s="3"/>
      <c r="R929" s="3"/>
      <c r="S929" s="3"/>
      <c r="T929" s="3"/>
      <c r="U929" s="3"/>
      <c r="V929" s="3"/>
      <c r="W929" s="3"/>
      <c r="X929" s="3"/>
      <c r="Y929" s="3"/>
      <c r="Z929" s="3"/>
    </row>
    <row r="930" ht="15.75" customHeight="1">
      <c r="A930" s="790"/>
      <c r="Q930" s="3"/>
      <c r="R930" s="3"/>
      <c r="S930" s="3"/>
      <c r="T930" s="3"/>
      <c r="U930" s="3"/>
      <c r="V930" s="3"/>
      <c r="W930" s="3"/>
      <c r="X930" s="3"/>
      <c r="Y930" s="3"/>
      <c r="Z930" s="3"/>
    </row>
    <row r="931" ht="15.75" customHeight="1">
      <c r="A931" s="790"/>
      <c r="Q931" s="3"/>
      <c r="R931" s="3"/>
      <c r="S931" s="3"/>
      <c r="T931" s="3"/>
      <c r="U931" s="3"/>
      <c r="V931" s="3"/>
      <c r="W931" s="3"/>
      <c r="X931" s="3"/>
      <c r="Y931" s="3"/>
      <c r="Z931" s="3"/>
    </row>
    <row r="932" ht="15.75" customHeight="1">
      <c r="A932" s="790"/>
      <c r="Q932" s="3"/>
      <c r="R932" s="3"/>
      <c r="S932" s="3"/>
      <c r="T932" s="3"/>
      <c r="U932" s="3"/>
      <c r="V932" s="3"/>
      <c r="W932" s="3"/>
      <c r="X932" s="3"/>
      <c r="Y932" s="3"/>
      <c r="Z932" s="3"/>
    </row>
    <row r="933" ht="15.75" customHeight="1">
      <c r="A933" s="790"/>
      <c r="Q933" s="3"/>
      <c r="R933" s="3"/>
      <c r="S933" s="3"/>
      <c r="T933" s="3"/>
      <c r="U933" s="3"/>
      <c r="V933" s="3"/>
      <c r="W933" s="3"/>
      <c r="X933" s="3"/>
      <c r="Y933" s="3"/>
      <c r="Z933" s="3"/>
    </row>
    <row r="934" ht="15.75" customHeight="1">
      <c r="A934" s="790"/>
      <c r="Q934" s="3"/>
      <c r="R934" s="3"/>
      <c r="S934" s="3"/>
      <c r="T934" s="3"/>
      <c r="U934" s="3"/>
      <c r="V934" s="3"/>
      <c r="W934" s="3"/>
      <c r="X934" s="3"/>
      <c r="Y934" s="3"/>
      <c r="Z934" s="3"/>
    </row>
    <row r="935" ht="15.75" customHeight="1">
      <c r="A935" s="790"/>
      <c r="Q935" s="3"/>
      <c r="R935" s="3"/>
      <c r="S935" s="3"/>
      <c r="T935" s="3"/>
      <c r="U935" s="3"/>
      <c r="V935" s="3"/>
      <c r="W935" s="3"/>
      <c r="X935" s="3"/>
      <c r="Y935" s="3"/>
      <c r="Z935" s="3"/>
    </row>
    <row r="936" ht="15.75" customHeight="1">
      <c r="A936" s="790"/>
      <c r="Q936" s="3"/>
      <c r="R936" s="3"/>
      <c r="S936" s="3"/>
      <c r="T936" s="3"/>
      <c r="U936" s="3"/>
      <c r="V936" s="3"/>
      <c r="W936" s="3"/>
      <c r="X936" s="3"/>
      <c r="Y936" s="3"/>
      <c r="Z936" s="3"/>
    </row>
    <row r="937" ht="15.75" customHeight="1">
      <c r="A937" s="790"/>
      <c r="Q937" s="3"/>
      <c r="R937" s="3"/>
      <c r="S937" s="3"/>
      <c r="T937" s="3"/>
      <c r="U937" s="3"/>
      <c r="V937" s="3"/>
      <c r="W937" s="3"/>
      <c r="X937" s="3"/>
      <c r="Y937" s="3"/>
      <c r="Z937" s="3"/>
    </row>
    <row r="938" ht="15.75" customHeight="1">
      <c r="A938" s="790"/>
      <c r="Q938" s="3"/>
      <c r="R938" s="3"/>
      <c r="S938" s="3"/>
      <c r="T938" s="3"/>
      <c r="U938" s="3"/>
      <c r="V938" s="3"/>
      <c r="W938" s="3"/>
      <c r="X938" s="3"/>
      <c r="Y938" s="3"/>
      <c r="Z938" s="3"/>
    </row>
    <row r="939" ht="15.75" customHeight="1">
      <c r="A939" s="790"/>
      <c r="Q939" s="3"/>
      <c r="R939" s="3"/>
      <c r="S939" s="3"/>
      <c r="T939" s="3"/>
      <c r="U939" s="3"/>
      <c r="V939" s="3"/>
      <c r="W939" s="3"/>
      <c r="X939" s="3"/>
      <c r="Y939" s="3"/>
      <c r="Z939" s="3"/>
    </row>
    <row r="940" ht="15.75" customHeight="1">
      <c r="A940" s="790"/>
      <c r="Q940" s="3"/>
      <c r="R940" s="3"/>
      <c r="S940" s="3"/>
      <c r="T940" s="3"/>
      <c r="U940" s="3"/>
      <c r="V940" s="3"/>
      <c r="W940" s="3"/>
      <c r="X940" s="3"/>
      <c r="Y940" s="3"/>
      <c r="Z940" s="3"/>
    </row>
    <row r="941" ht="15.75" customHeight="1">
      <c r="A941" s="790"/>
      <c r="Q941" s="3"/>
      <c r="R941" s="3"/>
      <c r="S941" s="3"/>
      <c r="T941" s="3"/>
      <c r="U941" s="3"/>
      <c r="V941" s="3"/>
      <c r="W941" s="3"/>
      <c r="X941" s="3"/>
      <c r="Y941" s="3"/>
      <c r="Z941" s="3"/>
    </row>
    <row r="942" ht="15.75" customHeight="1">
      <c r="A942" s="790"/>
      <c r="Q942" s="3"/>
      <c r="R942" s="3"/>
      <c r="S942" s="3"/>
      <c r="T942" s="3"/>
      <c r="U942" s="3"/>
      <c r="V942" s="3"/>
      <c r="W942" s="3"/>
      <c r="X942" s="3"/>
      <c r="Y942" s="3"/>
      <c r="Z942" s="3"/>
    </row>
    <row r="943" ht="15.75" customHeight="1">
      <c r="A943" s="790"/>
      <c r="Q943" s="3"/>
      <c r="R943" s="3"/>
      <c r="S943" s="3"/>
      <c r="T943" s="3"/>
      <c r="U943" s="3"/>
      <c r="V943" s="3"/>
      <c r="W943" s="3"/>
      <c r="X943" s="3"/>
      <c r="Y943" s="3"/>
      <c r="Z943" s="3"/>
    </row>
    <row r="944" ht="15.75" customHeight="1">
      <c r="A944" s="790"/>
      <c r="Q944" s="3"/>
      <c r="R944" s="3"/>
      <c r="S944" s="3"/>
      <c r="T944" s="3"/>
      <c r="U944" s="3"/>
      <c r="V944" s="3"/>
      <c r="W944" s="3"/>
      <c r="X944" s="3"/>
      <c r="Y944" s="3"/>
      <c r="Z944" s="3"/>
    </row>
    <row r="945" ht="15.75" customHeight="1">
      <c r="A945" s="790"/>
      <c r="Q945" s="3"/>
      <c r="R945" s="3"/>
      <c r="S945" s="3"/>
      <c r="T945" s="3"/>
      <c r="U945" s="3"/>
      <c r="V945" s="3"/>
      <c r="W945" s="3"/>
      <c r="X945" s="3"/>
      <c r="Y945" s="3"/>
      <c r="Z945" s="3"/>
    </row>
    <row r="946" ht="15.75" customHeight="1">
      <c r="A946" s="790"/>
      <c r="Q946" s="3"/>
      <c r="R946" s="3"/>
      <c r="S946" s="3"/>
      <c r="T946" s="3"/>
      <c r="U946" s="3"/>
      <c r="V946" s="3"/>
      <c r="W946" s="3"/>
      <c r="X946" s="3"/>
      <c r="Y946" s="3"/>
      <c r="Z946" s="3"/>
    </row>
    <row r="947" ht="15.75" customHeight="1">
      <c r="A947" s="790"/>
      <c r="Q947" s="3"/>
      <c r="R947" s="3"/>
      <c r="S947" s="3"/>
      <c r="T947" s="3"/>
      <c r="U947" s="3"/>
      <c r="V947" s="3"/>
      <c r="W947" s="3"/>
      <c r="X947" s="3"/>
      <c r="Y947" s="3"/>
      <c r="Z947" s="3"/>
    </row>
    <row r="948" ht="15.75" customHeight="1">
      <c r="A948" s="790"/>
      <c r="Q948" s="3"/>
      <c r="R948" s="3"/>
      <c r="S948" s="3"/>
      <c r="T948" s="3"/>
      <c r="U948" s="3"/>
      <c r="V948" s="3"/>
      <c r="W948" s="3"/>
      <c r="X948" s="3"/>
      <c r="Y948" s="3"/>
      <c r="Z948" s="3"/>
    </row>
    <row r="949" ht="15.75" customHeight="1">
      <c r="A949" s="790"/>
      <c r="Q949" s="3"/>
      <c r="R949" s="3"/>
      <c r="S949" s="3"/>
      <c r="T949" s="3"/>
      <c r="U949" s="3"/>
      <c r="V949" s="3"/>
      <c r="W949" s="3"/>
      <c r="X949" s="3"/>
      <c r="Y949" s="3"/>
      <c r="Z949" s="3"/>
    </row>
    <row r="950" ht="15.75" customHeight="1">
      <c r="A950" s="790"/>
      <c r="Q950" s="3"/>
      <c r="R950" s="3"/>
      <c r="S950" s="3"/>
      <c r="T950" s="3"/>
      <c r="U950" s="3"/>
      <c r="V950" s="3"/>
      <c r="W950" s="3"/>
      <c r="X950" s="3"/>
      <c r="Y950" s="3"/>
      <c r="Z950" s="3"/>
    </row>
    <row r="951" ht="15.75" customHeight="1">
      <c r="A951" s="790"/>
      <c r="Q951" s="3"/>
      <c r="R951" s="3"/>
      <c r="S951" s="3"/>
      <c r="T951" s="3"/>
      <c r="U951" s="3"/>
      <c r="V951" s="3"/>
      <c r="W951" s="3"/>
      <c r="X951" s="3"/>
      <c r="Y951" s="3"/>
      <c r="Z951" s="3"/>
    </row>
    <row r="952" ht="15.75" customHeight="1">
      <c r="A952" s="790"/>
      <c r="Q952" s="3"/>
      <c r="R952" s="3"/>
      <c r="S952" s="3"/>
      <c r="T952" s="3"/>
      <c r="U952" s="3"/>
      <c r="V952" s="3"/>
      <c r="W952" s="3"/>
      <c r="X952" s="3"/>
      <c r="Y952" s="3"/>
      <c r="Z952" s="3"/>
    </row>
    <row r="953" ht="15.75" customHeight="1">
      <c r="A953" s="790"/>
      <c r="Q953" s="3"/>
      <c r="R953" s="3"/>
      <c r="S953" s="3"/>
      <c r="T953" s="3"/>
      <c r="U953" s="3"/>
      <c r="V953" s="3"/>
      <c r="W953" s="3"/>
      <c r="X953" s="3"/>
      <c r="Y953" s="3"/>
      <c r="Z953" s="3"/>
    </row>
    <row r="954" ht="15.75" customHeight="1">
      <c r="A954" s="790"/>
      <c r="Q954" s="3"/>
      <c r="R954" s="3"/>
      <c r="S954" s="3"/>
      <c r="T954" s="3"/>
      <c r="U954" s="3"/>
      <c r="V954" s="3"/>
      <c r="W954" s="3"/>
      <c r="X954" s="3"/>
      <c r="Y954" s="3"/>
      <c r="Z954" s="3"/>
    </row>
    <row r="955" ht="15.75" customHeight="1">
      <c r="A955" s="790"/>
      <c r="Q955" s="3"/>
      <c r="R955" s="3"/>
      <c r="S955" s="3"/>
      <c r="T955" s="3"/>
      <c r="U955" s="3"/>
      <c r="V955" s="3"/>
      <c r="W955" s="3"/>
      <c r="X955" s="3"/>
      <c r="Y955" s="3"/>
      <c r="Z955" s="3"/>
    </row>
    <row r="956" ht="15.75" customHeight="1">
      <c r="A956" s="790"/>
      <c r="Q956" s="3"/>
      <c r="R956" s="3"/>
      <c r="S956" s="3"/>
      <c r="T956" s="3"/>
      <c r="U956" s="3"/>
      <c r="V956" s="3"/>
      <c r="W956" s="3"/>
      <c r="X956" s="3"/>
      <c r="Y956" s="3"/>
      <c r="Z956" s="3"/>
    </row>
    <row r="957" ht="15.75" customHeight="1">
      <c r="A957" s="790"/>
      <c r="Q957" s="3"/>
      <c r="R957" s="3"/>
      <c r="S957" s="3"/>
      <c r="T957" s="3"/>
      <c r="U957" s="3"/>
      <c r="V957" s="3"/>
      <c r="W957" s="3"/>
      <c r="X957" s="3"/>
      <c r="Y957" s="3"/>
      <c r="Z957" s="3"/>
    </row>
    <row r="958" ht="15.75" customHeight="1">
      <c r="A958" s="790"/>
      <c r="Q958" s="3"/>
      <c r="R958" s="3"/>
      <c r="S958" s="3"/>
      <c r="T958" s="3"/>
      <c r="U958" s="3"/>
      <c r="V958" s="3"/>
      <c r="W958" s="3"/>
      <c r="X958" s="3"/>
      <c r="Y958" s="3"/>
      <c r="Z958" s="3"/>
    </row>
    <row r="959" ht="15.75" customHeight="1">
      <c r="A959" s="790"/>
      <c r="Q959" s="3"/>
      <c r="R959" s="3"/>
      <c r="S959" s="3"/>
      <c r="T959" s="3"/>
      <c r="U959" s="3"/>
      <c r="V959" s="3"/>
      <c r="W959" s="3"/>
      <c r="X959" s="3"/>
      <c r="Y959" s="3"/>
      <c r="Z959" s="3"/>
    </row>
    <row r="960" ht="15.75" customHeight="1">
      <c r="A960" s="790"/>
      <c r="Q960" s="3"/>
      <c r="R960" s="3"/>
      <c r="S960" s="3"/>
      <c r="T960" s="3"/>
      <c r="U960" s="3"/>
      <c r="V960" s="3"/>
      <c r="W960" s="3"/>
      <c r="X960" s="3"/>
      <c r="Y960" s="3"/>
      <c r="Z960" s="3"/>
    </row>
    <row r="961" ht="15.75" customHeight="1">
      <c r="A961" s="790"/>
      <c r="Q961" s="3"/>
      <c r="R961" s="3"/>
      <c r="S961" s="3"/>
      <c r="T961" s="3"/>
      <c r="U961" s="3"/>
      <c r="V961" s="3"/>
      <c r="W961" s="3"/>
      <c r="X961" s="3"/>
      <c r="Y961" s="3"/>
      <c r="Z961" s="3"/>
    </row>
    <row r="962" ht="15.75" customHeight="1">
      <c r="A962" s="790"/>
      <c r="Q962" s="3"/>
      <c r="R962" s="3"/>
      <c r="S962" s="3"/>
      <c r="T962" s="3"/>
      <c r="U962" s="3"/>
      <c r="V962" s="3"/>
      <c r="W962" s="3"/>
      <c r="X962" s="3"/>
      <c r="Y962" s="3"/>
      <c r="Z962" s="3"/>
    </row>
    <row r="963" ht="15.75" customHeight="1">
      <c r="A963" s="790"/>
      <c r="Q963" s="3"/>
      <c r="R963" s="3"/>
      <c r="S963" s="3"/>
      <c r="T963" s="3"/>
      <c r="U963" s="3"/>
      <c r="V963" s="3"/>
      <c r="W963" s="3"/>
      <c r="X963" s="3"/>
      <c r="Y963" s="3"/>
      <c r="Z963" s="3"/>
    </row>
    <row r="964" ht="15.75" customHeight="1">
      <c r="A964" s="790"/>
      <c r="Q964" s="3"/>
      <c r="R964" s="3"/>
      <c r="S964" s="3"/>
      <c r="T964" s="3"/>
      <c r="U964" s="3"/>
      <c r="V964" s="3"/>
      <c r="W964" s="3"/>
      <c r="X964" s="3"/>
      <c r="Y964" s="3"/>
      <c r="Z964" s="3"/>
    </row>
    <row r="965" ht="15.75" customHeight="1">
      <c r="A965" s="790"/>
      <c r="Q965" s="3"/>
      <c r="R965" s="3"/>
      <c r="S965" s="3"/>
      <c r="T965" s="3"/>
      <c r="U965" s="3"/>
      <c r="V965" s="3"/>
      <c r="W965" s="3"/>
      <c r="X965" s="3"/>
      <c r="Y965" s="3"/>
      <c r="Z965" s="3"/>
    </row>
    <row r="966" ht="15.75" customHeight="1">
      <c r="A966" s="790"/>
      <c r="Q966" s="3"/>
      <c r="R966" s="3"/>
      <c r="S966" s="3"/>
      <c r="T966" s="3"/>
      <c r="U966" s="3"/>
      <c r="V966" s="3"/>
      <c r="W966" s="3"/>
      <c r="X966" s="3"/>
      <c r="Y966" s="3"/>
      <c r="Z966" s="3"/>
    </row>
    <row r="967" ht="15.75" customHeight="1">
      <c r="A967" s="790"/>
      <c r="Q967" s="3"/>
      <c r="R967" s="3"/>
      <c r="S967" s="3"/>
      <c r="T967" s="3"/>
      <c r="U967" s="3"/>
      <c r="V967" s="3"/>
      <c r="W967" s="3"/>
      <c r="X967" s="3"/>
      <c r="Y967" s="3"/>
      <c r="Z967" s="3"/>
    </row>
    <row r="968" ht="15.75" customHeight="1">
      <c r="A968" s="790"/>
      <c r="Q968" s="3"/>
      <c r="R968" s="3"/>
      <c r="S968" s="3"/>
      <c r="T968" s="3"/>
      <c r="U968" s="3"/>
      <c r="V968" s="3"/>
      <c r="W968" s="3"/>
      <c r="X968" s="3"/>
      <c r="Y968" s="3"/>
      <c r="Z968" s="3"/>
    </row>
    <row r="969" ht="15.75" customHeight="1">
      <c r="A969" s="790"/>
      <c r="Q969" s="3"/>
      <c r="R969" s="3"/>
      <c r="S969" s="3"/>
      <c r="T969" s="3"/>
      <c r="U969" s="3"/>
      <c r="V969" s="3"/>
      <c r="W969" s="3"/>
      <c r="X969" s="3"/>
      <c r="Y969" s="3"/>
      <c r="Z969" s="3"/>
    </row>
    <row r="970" ht="15.75" customHeight="1">
      <c r="A970" s="790"/>
      <c r="Q970" s="3"/>
      <c r="R970" s="3"/>
      <c r="S970" s="3"/>
      <c r="T970" s="3"/>
      <c r="U970" s="3"/>
      <c r="V970" s="3"/>
      <c r="W970" s="3"/>
      <c r="X970" s="3"/>
      <c r="Y970" s="3"/>
      <c r="Z970" s="3"/>
    </row>
    <row r="971" ht="15.75" customHeight="1">
      <c r="A971" s="790"/>
      <c r="Q971" s="3"/>
      <c r="R971" s="3"/>
      <c r="S971" s="3"/>
      <c r="T971" s="3"/>
      <c r="U971" s="3"/>
      <c r="V971" s="3"/>
      <c r="W971" s="3"/>
      <c r="X971" s="3"/>
      <c r="Y971" s="3"/>
      <c r="Z971" s="3"/>
    </row>
    <row r="972" ht="15.75" customHeight="1">
      <c r="A972" s="790"/>
      <c r="Q972" s="3"/>
      <c r="R972" s="3"/>
      <c r="S972" s="3"/>
      <c r="T972" s="3"/>
      <c r="U972" s="3"/>
      <c r="V972" s="3"/>
      <c r="W972" s="3"/>
      <c r="X972" s="3"/>
      <c r="Y972" s="3"/>
      <c r="Z972" s="3"/>
    </row>
    <row r="973" ht="15.75" customHeight="1">
      <c r="A973" s="790"/>
      <c r="Q973" s="3"/>
      <c r="R973" s="3"/>
      <c r="S973" s="3"/>
      <c r="T973" s="3"/>
      <c r="U973" s="3"/>
      <c r="V973" s="3"/>
      <c r="W973" s="3"/>
      <c r="X973" s="3"/>
      <c r="Y973" s="3"/>
      <c r="Z973" s="3"/>
    </row>
    <row r="974" ht="15.75" customHeight="1">
      <c r="A974" s="790"/>
      <c r="Q974" s="3"/>
      <c r="R974" s="3"/>
      <c r="S974" s="3"/>
      <c r="T974" s="3"/>
      <c r="U974" s="3"/>
      <c r="V974" s="3"/>
      <c r="W974" s="3"/>
      <c r="X974" s="3"/>
      <c r="Y974" s="3"/>
      <c r="Z974" s="3"/>
    </row>
    <row r="975" ht="15.75" customHeight="1">
      <c r="A975" s="790"/>
      <c r="Q975" s="3"/>
      <c r="R975" s="3"/>
      <c r="S975" s="3"/>
      <c r="T975" s="3"/>
      <c r="U975" s="3"/>
      <c r="V975" s="3"/>
      <c r="W975" s="3"/>
      <c r="X975" s="3"/>
      <c r="Y975" s="3"/>
      <c r="Z975" s="3"/>
    </row>
    <row r="976" ht="15.75" customHeight="1">
      <c r="A976" s="790"/>
      <c r="Q976" s="3"/>
      <c r="R976" s="3"/>
      <c r="S976" s="3"/>
      <c r="T976" s="3"/>
      <c r="U976" s="3"/>
      <c r="V976" s="3"/>
      <c r="W976" s="3"/>
      <c r="X976" s="3"/>
      <c r="Y976" s="3"/>
      <c r="Z976" s="3"/>
    </row>
    <row r="977" ht="15.75" customHeight="1">
      <c r="A977" s="790"/>
      <c r="Q977" s="3"/>
      <c r="R977" s="3"/>
      <c r="S977" s="3"/>
      <c r="T977" s="3"/>
      <c r="U977" s="3"/>
      <c r="V977" s="3"/>
      <c r="W977" s="3"/>
      <c r="X977" s="3"/>
      <c r="Y977" s="3"/>
      <c r="Z977" s="3"/>
    </row>
    <row r="978" ht="15.75" customHeight="1">
      <c r="A978" s="790"/>
      <c r="Q978" s="3"/>
      <c r="R978" s="3"/>
      <c r="S978" s="3"/>
      <c r="T978" s="3"/>
      <c r="U978" s="3"/>
      <c r="V978" s="3"/>
      <c r="W978" s="3"/>
      <c r="X978" s="3"/>
      <c r="Y978" s="3"/>
      <c r="Z978" s="3"/>
    </row>
    <row r="979" ht="15.75" customHeight="1">
      <c r="A979" s="790"/>
      <c r="Q979" s="3"/>
      <c r="R979" s="3"/>
      <c r="S979" s="3"/>
      <c r="T979" s="3"/>
      <c r="U979" s="3"/>
      <c r="V979" s="3"/>
      <c r="W979" s="3"/>
      <c r="X979" s="3"/>
      <c r="Y979" s="3"/>
      <c r="Z979" s="3"/>
    </row>
    <row r="980" ht="15.75" customHeight="1">
      <c r="A980" s="790"/>
      <c r="Q980" s="3"/>
      <c r="R980" s="3"/>
      <c r="S980" s="3"/>
      <c r="T980" s="3"/>
      <c r="U980" s="3"/>
      <c r="V980" s="3"/>
      <c r="W980" s="3"/>
      <c r="X980" s="3"/>
      <c r="Y980" s="3"/>
      <c r="Z980" s="3"/>
    </row>
    <row r="981" ht="15.75" customHeight="1">
      <c r="A981" s="790"/>
      <c r="Q981" s="3"/>
      <c r="R981" s="3"/>
      <c r="S981" s="3"/>
      <c r="T981" s="3"/>
      <c r="U981" s="3"/>
      <c r="V981" s="3"/>
      <c r="W981" s="3"/>
      <c r="X981" s="3"/>
      <c r="Y981" s="3"/>
      <c r="Z981" s="3"/>
    </row>
    <row r="982" ht="15.75" customHeight="1">
      <c r="A982" s="790"/>
      <c r="Q982" s="3"/>
      <c r="R982" s="3"/>
      <c r="S982" s="3"/>
      <c r="T982" s="3"/>
      <c r="U982" s="3"/>
      <c r="V982" s="3"/>
      <c r="W982" s="3"/>
      <c r="X982" s="3"/>
      <c r="Y982" s="3"/>
      <c r="Z982" s="3"/>
    </row>
    <row r="983" ht="15.75" customHeight="1">
      <c r="A983" s="790"/>
      <c r="Q983" s="3"/>
      <c r="R983" s="3"/>
      <c r="S983" s="3"/>
      <c r="T983" s="3"/>
      <c r="U983" s="3"/>
      <c r="V983" s="3"/>
      <c r="W983" s="3"/>
      <c r="X983" s="3"/>
      <c r="Y983" s="3"/>
      <c r="Z983" s="3"/>
    </row>
    <row r="984" ht="15.75" customHeight="1">
      <c r="A984" s="790"/>
      <c r="Q984" s="3"/>
      <c r="R984" s="3"/>
      <c r="S984" s="3"/>
      <c r="T984" s="3"/>
      <c r="U984" s="3"/>
      <c r="V984" s="3"/>
      <c r="W984" s="3"/>
      <c r="X984" s="3"/>
      <c r="Y984" s="3"/>
      <c r="Z984" s="3"/>
    </row>
    <row r="985" ht="15.75" customHeight="1">
      <c r="A985" s="790"/>
      <c r="Q985" s="3"/>
      <c r="R985" s="3"/>
      <c r="S985" s="3"/>
      <c r="T985" s="3"/>
      <c r="U985" s="3"/>
      <c r="V985" s="3"/>
      <c r="W985" s="3"/>
      <c r="X985" s="3"/>
      <c r="Y985" s="3"/>
      <c r="Z985" s="3"/>
    </row>
    <row r="986" ht="15.75" customHeight="1">
      <c r="A986" s="790"/>
      <c r="Q986" s="3"/>
      <c r="R986" s="3"/>
      <c r="S986" s="3"/>
      <c r="T986" s="3"/>
      <c r="U986" s="3"/>
      <c r="V986" s="3"/>
      <c r="W986" s="3"/>
      <c r="X986" s="3"/>
      <c r="Y986" s="3"/>
      <c r="Z986" s="3"/>
    </row>
    <row r="987" ht="15.75" customHeight="1">
      <c r="A987" s="790"/>
      <c r="Q987" s="3"/>
      <c r="R987" s="3"/>
      <c r="S987" s="3"/>
      <c r="T987" s="3"/>
      <c r="U987" s="3"/>
      <c r="V987" s="3"/>
      <c r="W987" s="3"/>
      <c r="X987" s="3"/>
      <c r="Y987" s="3"/>
      <c r="Z987" s="3"/>
    </row>
    <row r="988" ht="15.75" customHeight="1">
      <c r="A988" s="790"/>
      <c r="Q988" s="3"/>
      <c r="R988" s="3"/>
      <c r="S988" s="3"/>
      <c r="T988" s="3"/>
      <c r="U988" s="3"/>
      <c r="V988" s="3"/>
      <c r="W988" s="3"/>
      <c r="X988" s="3"/>
      <c r="Y988" s="3"/>
      <c r="Z988" s="3"/>
    </row>
    <row r="989" ht="15.75" customHeight="1">
      <c r="A989" s="790"/>
      <c r="Q989" s="3"/>
      <c r="R989" s="3"/>
      <c r="S989" s="3"/>
      <c r="T989" s="3"/>
      <c r="U989" s="3"/>
      <c r="V989" s="3"/>
      <c r="W989" s="3"/>
      <c r="X989" s="3"/>
      <c r="Y989" s="3"/>
      <c r="Z989" s="3"/>
    </row>
    <row r="990" ht="15.75" customHeight="1">
      <c r="A990" s="790"/>
      <c r="Q990" s="3"/>
      <c r="R990" s="3"/>
      <c r="S990" s="3"/>
      <c r="T990" s="3"/>
      <c r="U990" s="3"/>
      <c r="V990" s="3"/>
      <c r="W990" s="3"/>
      <c r="X990" s="3"/>
      <c r="Y990" s="3"/>
      <c r="Z990" s="3"/>
    </row>
    <row r="991" ht="15.75" customHeight="1">
      <c r="A991" s="790"/>
      <c r="Q991" s="3"/>
      <c r="R991" s="3"/>
      <c r="S991" s="3"/>
      <c r="T991" s="3"/>
      <c r="U991" s="3"/>
      <c r="V991" s="3"/>
      <c r="W991" s="3"/>
      <c r="X991" s="3"/>
      <c r="Y991" s="3"/>
      <c r="Z991" s="3"/>
    </row>
    <row r="992" ht="15.75" customHeight="1">
      <c r="A992" s="790"/>
      <c r="Q992" s="3"/>
      <c r="R992" s="3"/>
      <c r="S992" s="3"/>
      <c r="T992" s="3"/>
      <c r="U992" s="3"/>
      <c r="V992" s="3"/>
      <c r="W992" s="3"/>
      <c r="X992" s="3"/>
      <c r="Y992" s="3"/>
      <c r="Z992" s="3"/>
    </row>
    <row r="993" ht="15.75" customHeight="1">
      <c r="A993" s="790"/>
      <c r="Q993" s="3"/>
      <c r="R993" s="3"/>
      <c r="S993" s="3"/>
      <c r="T993" s="3"/>
      <c r="U993" s="3"/>
      <c r="V993" s="3"/>
      <c r="W993" s="3"/>
      <c r="X993" s="3"/>
      <c r="Y993" s="3"/>
      <c r="Z993" s="3"/>
    </row>
    <row r="994" ht="15.75" customHeight="1">
      <c r="A994" s="790"/>
      <c r="Q994" s="3"/>
      <c r="R994" s="3"/>
      <c r="S994" s="3"/>
      <c r="T994" s="3"/>
      <c r="U994" s="3"/>
      <c r="V994" s="3"/>
      <c r="W994" s="3"/>
      <c r="X994" s="3"/>
      <c r="Y994" s="3"/>
      <c r="Z994" s="3"/>
    </row>
    <row r="995" ht="15.75" customHeight="1">
      <c r="A995" s="790"/>
      <c r="Q995" s="3"/>
      <c r="R995" s="3"/>
      <c r="S995" s="3"/>
      <c r="T995" s="3"/>
      <c r="U995" s="3"/>
      <c r="V995" s="3"/>
      <c r="W995" s="3"/>
      <c r="X995" s="3"/>
      <c r="Y995" s="3"/>
      <c r="Z995" s="3"/>
    </row>
    <row r="996" ht="15.75" customHeight="1">
      <c r="A996" s="790"/>
      <c r="Q996" s="3"/>
      <c r="R996" s="3"/>
      <c r="S996" s="3"/>
      <c r="T996" s="3"/>
      <c r="U996" s="3"/>
      <c r="V996" s="3"/>
      <c r="W996" s="3"/>
      <c r="X996" s="3"/>
      <c r="Y996" s="3"/>
      <c r="Z996" s="3"/>
    </row>
    <row r="997" ht="15.75" customHeight="1">
      <c r="A997" s="790"/>
      <c r="Q997" s="3"/>
      <c r="R997" s="3"/>
      <c r="S997" s="3"/>
      <c r="T997" s="3"/>
      <c r="U997" s="3"/>
      <c r="V997" s="3"/>
      <c r="W997" s="3"/>
      <c r="X997" s="3"/>
      <c r="Y997" s="3"/>
      <c r="Z997" s="3"/>
    </row>
    <row r="998" ht="15.75" customHeight="1">
      <c r="A998" s="790"/>
      <c r="Q998" s="3"/>
      <c r="R998" s="3"/>
      <c r="S998" s="3"/>
      <c r="T998" s="3"/>
      <c r="U998" s="3"/>
      <c r="V998" s="3"/>
      <c r="W998" s="3"/>
      <c r="X998" s="3"/>
      <c r="Y998" s="3"/>
      <c r="Z998" s="3"/>
    </row>
    <row r="999" ht="15.75" customHeight="1">
      <c r="A999" s="790"/>
      <c r="Q999" s="3"/>
      <c r="R999" s="3"/>
      <c r="S999" s="3"/>
      <c r="T999" s="3"/>
      <c r="U999" s="3"/>
      <c r="V999" s="3"/>
      <c r="W999" s="3"/>
      <c r="X999" s="3"/>
      <c r="Y999" s="3"/>
      <c r="Z999" s="3"/>
    </row>
    <row r="1000" ht="15.75" customHeight="1">
      <c r="A1000" s="790"/>
      <c r="Q1000" s="3"/>
      <c r="R1000" s="3"/>
      <c r="S1000" s="3"/>
      <c r="T1000" s="3"/>
      <c r="U1000" s="3"/>
      <c r="V1000" s="3"/>
      <c r="W1000" s="3"/>
      <c r="X1000" s="3"/>
      <c r="Y1000" s="3"/>
      <c r="Z1000" s="3"/>
    </row>
    <row r="1001" ht="15.75" customHeight="1">
      <c r="A1001" s="790"/>
      <c r="Q1001" s="3"/>
      <c r="R1001" s="3"/>
      <c r="S1001" s="3"/>
      <c r="T1001" s="3"/>
      <c r="U1001" s="3"/>
      <c r="V1001" s="3"/>
      <c r="W1001" s="3"/>
      <c r="X1001" s="3"/>
      <c r="Y1001" s="3"/>
      <c r="Z1001" s="3"/>
    </row>
    <row r="1002" ht="15.75" customHeight="1">
      <c r="A1002" s="790"/>
      <c r="Q1002" s="3"/>
      <c r="R1002" s="3"/>
      <c r="S1002" s="3"/>
      <c r="T1002" s="3"/>
      <c r="U1002" s="3"/>
      <c r="V1002" s="3"/>
      <c r="W1002" s="3"/>
      <c r="X1002" s="3"/>
      <c r="Y1002" s="3"/>
      <c r="Z1002" s="3"/>
    </row>
    <row r="1003" ht="15.75" customHeight="1">
      <c r="A1003" s="790"/>
      <c r="Q1003" s="3"/>
      <c r="R1003" s="3"/>
      <c r="S1003" s="3"/>
      <c r="T1003" s="3"/>
      <c r="U1003" s="3"/>
      <c r="V1003" s="3"/>
      <c r="W1003" s="3"/>
      <c r="X1003" s="3"/>
      <c r="Y1003" s="3"/>
      <c r="Z1003" s="3"/>
    </row>
    <row r="1004" ht="15.75" customHeight="1">
      <c r="A1004" s="790"/>
      <c r="Q1004" s="3"/>
      <c r="R1004" s="3"/>
      <c r="S1004" s="3"/>
      <c r="T1004" s="3"/>
      <c r="U1004" s="3"/>
      <c r="V1004" s="3"/>
      <c r="W1004" s="3"/>
      <c r="X1004" s="3"/>
      <c r="Y1004" s="3"/>
      <c r="Z1004" s="3"/>
    </row>
  </sheetData>
  <hyperlinks>
    <hyperlink r:id="rId1" ref="M158"/>
  </hyperlinks>
  <printOptions/>
  <pageMargins bottom="0.75" footer="0.0" header="0.0" left="0.7" right="0.7" top="0.75"/>
  <pageSetup paperSize="9" orientation="portrait"/>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pane ySplit="2.0" topLeftCell="A3" activePane="bottomLeft" state="frozen"/>
      <selection activeCell="B4" sqref="B4" pane="bottomLeft"/>
    </sheetView>
  </sheetViews>
  <sheetFormatPr customHeight="1" defaultColWidth="14.43" defaultRowHeight="15.0"/>
  <cols>
    <col customWidth="1" hidden="1" min="1" max="1" width="8.71"/>
    <col customWidth="1" hidden="1" min="2" max="2" width="13.0"/>
    <col customWidth="1" min="3" max="3" width="5.14"/>
    <col customWidth="1" min="4" max="4" width="16.43"/>
    <col customWidth="1" min="5" max="5" width="9.57"/>
    <col customWidth="1" min="6" max="6" width="41.86"/>
    <col customWidth="1" min="7" max="8" width="7.86"/>
    <col customWidth="1" min="9" max="9" width="8.71"/>
    <col customWidth="1" min="10" max="10" width="7.57"/>
    <col customWidth="1" min="11" max="11" width="8.43"/>
    <col customWidth="1" min="12" max="12" width="9.71"/>
    <col customWidth="1" min="13" max="13" width="8.43"/>
    <col customWidth="1" min="14" max="14" width="10.57"/>
    <col customWidth="1" min="15" max="15" width="16.71"/>
    <col customWidth="1" min="16" max="16" width="5.29"/>
    <col customWidth="1" min="17" max="17" width="11.43"/>
    <col customWidth="1" min="18" max="18" width="6.14"/>
    <col customWidth="1" min="19" max="26" width="8.71"/>
  </cols>
  <sheetData>
    <row r="1">
      <c r="C1" s="475" t="s">
        <v>14157</v>
      </c>
      <c r="S1" s="3"/>
      <c r="T1" s="3"/>
      <c r="U1" s="3"/>
      <c r="V1" s="3"/>
      <c r="W1" s="3"/>
      <c r="X1" s="3"/>
      <c r="Y1" s="3"/>
      <c r="Z1" s="3"/>
    </row>
    <row r="2">
      <c r="C2" s="822"/>
      <c r="D2" s="5" t="s">
        <v>1</v>
      </c>
      <c r="E2" s="6"/>
      <c r="F2" s="6"/>
      <c r="G2" s="6"/>
      <c r="H2" s="6"/>
      <c r="I2" s="6"/>
      <c r="J2" s="6"/>
      <c r="K2" s="6"/>
      <c r="L2" s="6"/>
      <c r="M2" s="6"/>
      <c r="N2" s="6"/>
      <c r="O2" s="6"/>
      <c r="P2" s="6"/>
      <c r="Q2" s="6"/>
      <c r="R2" s="7"/>
      <c r="S2" s="3"/>
      <c r="T2" s="3"/>
      <c r="U2" s="3"/>
      <c r="V2" s="3"/>
      <c r="W2" s="3"/>
      <c r="X2" s="3"/>
      <c r="Y2" s="3"/>
      <c r="Z2" s="3"/>
    </row>
    <row r="3">
      <c r="C3" s="822"/>
      <c r="D3" s="823"/>
      <c r="E3" s="9"/>
      <c r="F3" s="402"/>
      <c r="G3" s="9"/>
      <c r="H3" s="9"/>
      <c r="I3" s="9"/>
      <c r="J3" s="9"/>
      <c r="K3" s="9"/>
      <c r="L3" s="12"/>
      <c r="N3" s="13"/>
      <c r="O3" s="14" t="s">
        <v>3</v>
      </c>
      <c r="P3" s="15" t="s">
        <v>17951</v>
      </c>
      <c r="Q3" s="16"/>
      <c r="R3" s="17"/>
      <c r="S3" s="3"/>
      <c r="T3" s="3"/>
      <c r="U3" s="3"/>
      <c r="V3" s="3"/>
      <c r="W3" s="3"/>
      <c r="X3" s="3"/>
      <c r="Y3" s="3"/>
      <c r="Z3" s="3"/>
    </row>
    <row r="4">
      <c r="C4" s="822"/>
      <c r="D4" s="824"/>
      <c r="E4" s="9"/>
      <c r="F4" s="402"/>
      <c r="G4" s="9"/>
      <c r="H4" s="9"/>
      <c r="I4" s="458"/>
      <c r="J4" s="9"/>
      <c r="K4" s="9"/>
      <c r="L4" s="9"/>
      <c r="M4" s="825"/>
      <c r="N4" s="407"/>
      <c r="O4" s="9"/>
      <c r="P4" s="9"/>
      <c r="Q4" s="9"/>
      <c r="R4" s="9"/>
      <c r="S4" s="3"/>
      <c r="T4" s="3"/>
      <c r="U4" s="3"/>
      <c r="V4" s="3"/>
      <c r="W4" s="3"/>
      <c r="X4" s="3"/>
      <c r="Y4" s="3"/>
      <c r="Z4" s="3"/>
    </row>
    <row r="5">
      <c r="C5" s="409" t="s">
        <v>13864</v>
      </c>
      <c r="D5" s="409" t="s">
        <v>13834</v>
      </c>
      <c r="E5" s="409" t="s">
        <v>10</v>
      </c>
      <c r="F5" s="409" t="s">
        <v>11</v>
      </c>
      <c r="G5" s="409" t="s">
        <v>12</v>
      </c>
      <c r="H5" s="409" t="s">
        <v>13</v>
      </c>
      <c r="I5" s="409" t="s">
        <v>14</v>
      </c>
      <c r="J5" s="409" t="s">
        <v>13835</v>
      </c>
      <c r="K5" s="409" t="s">
        <v>13865</v>
      </c>
      <c r="L5" s="409" t="s">
        <v>16</v>
      </c>
      <c r="M5" s="410" t="s">
        <v>13836</v>
      </c>
      <c r="N5" s="410" t="s">
        <v>13837</v>
      </c>
      <c r="O5" s="409" t="s">
        <v>18</v>
      </c>
      <c r="P5" s="409" t="s">
        <v>19</v>
      </c>
      <c r="Q5" s="409" t="s">
        <v>20</v>
      </c>
      <c r="R5" s="409" t="s">
        <v>21</v>
      </c>
      <c r="S5" s="826"/>
      <c r="T5" s="3"/>
      <c r="U5" s="3"/>
      <c r="V5" s="3"/>
      <c r="W5" s="3"/>
      <c r="X5" s="3"/>
      <c r="Y5" s="3"/>
      <c r="Z5" s="3"/>
    </row>
    <row r="6" hidden="1">
      <c r="C6" s="409"/>
      <c r="D6" s="409"/>
      <c r="E6" s="409"/>
      <c r="F6" s="409"/>
      <c r="G6" s="409"/>
      <c r="H6" s="409"/>
      <c r="I6" s="409"/>
      <c r="J6" s="409"/>
      <c r="K6" s="409"/>
      <c r="L6" s="409"/>
      <c r="M6" s="410"/>
      <c r="N6" s="410"/>
      <c r="O6" s="409"/>
      <c r="P6" s="409"/>
      <c r="Q6" s="409"/>
      <c r="R6" s="409"/>
      <c r="S6" s="826"/>
      <c r="T6" s="3"/>
      <c r="U6" s="3"/>
      <c r="V6" s="3"/>
      <c r="W6" s="3"/>
      <c r="X6" s="3"/>
      <c r="Y6" s="3"/>
      <c r="Z6" s="3"/>
    </row>
    <row r="7" hidden="1">
      <c r="C7" s="409"/>
      <c r="D7" s="409"/>
      <c r="E7" s="409"/>
      <c r="F7" s="409"/>
      <c r="G7" s="409"/>
      <c r="H7" s="409"/>
      <c r="I7" s="409"/>
      <c r="J7" s="409"/>
      <c r="K7" s="409"/>
      <c r="L7" s="409"/>
      <c r="M7" s="410"/>
      <c r="N7" s="410"/>
      <c r="O7" s="409"/>
      <c r="P7" s="409"/>
      <c r="Q7" s="409"/>
      <c r="R7" s="409"/>
      <c r="S7" s="826"/>
      <c r="T7" s="3"/>
      <c r="U7" s="3"/>
      <c r="V7" s="3"/>
      <c r="W7" s="3"/>
      <c r="X7" s="3"/>
      <c r="Y7" s="3"/>
      <c r="Z7" s="3"/>
    </row>
    <row r="8" hidden="1">
      <c r="C8" s="409"/>
      <c r="D8" s="409"/>
      <c r="E8" s="409"/>
      <c r="F8" s="409"/>
      <c r="G8" s="409"/>
      <c r="H8" s="409"/>
      <c r="I8" s="409"/>
      <c r="J8" s="409"/>
      <c r="K8" s="409"/>
      <c r="L8" s="409"/>
      <c r="M8" s="410"/>
      <c r="N8" s="410"/>
      <c r="O8" s="409"/>
      <c r="P8" s="409"/>
      <c r="Q8" s="409"/>
      <c r="R8" s="409"/>
      <c r="S8" s="826"/>
      <c r="T8" s="3"/>
      <c r="U8" s="3"/>
      <c r="V8" s="3"/>
      <c r="W8" s="3"/>
      <c r="X8" s="3"/>
      <c r="Y8" s="3"/>
      <c r="Z8" s="3"/>
    </row>
    <row r="9" hidden="1">
      <c r="C9" s="409"/>
      <c r="D9" s="409"/>
      <c r="E9" s="409"/>
      <c r="F9" s="409"/>
      <c r="G9" s="409"/>
      <c r="H9" s="409"/>
      <c r="I9" s="409"/>
      <c r="J9" s="409"/>
      <c r="K9" s="409"/>
      <c r="L9" s="409"/>
      <c r="M9" s="410"/>
      <c r="N9" s="410"/>
      <c r="O9" s="409"/>
      <c r="P9" s="409"/>
      <c r="Q9" s="409"/>
      <c r="R9" s="409"/>
      <c r="S9" s="826"/>
      <c r="T9" s="3"/>
      <c r="U9" s="3"/>
      <c r="V9" s="3"/>
      <c r="W9" s="3"/>
      <c r="X9" s="3"/>
      <c r="Y9" s="3"/>
      <c r="Z9" s="3"/>
    </row>
    <row r="10" hidden="1">
      <c r="C10" s="409"/>
      <c r="D10" s="409"/>
      <c r="E10" s="409"/>
      <c r="F10" s="409"/>
      <c r="G10" s="409"/>
      <c r="H10" s="409"/>
      <c r="I10" s="409"/>
      <c r="J10" s="409"/>
      <c r="K10" s="409"/>
      <c r="L10" s="409"/>
      <c r="M10" s="410"/>
      <c r="N10" s="410"/>
      <c r="O10" s="409"/>
      <c r="P10" s="409"/>
      <c r="Q10" s="409"/>
      <c r="R10" s="409"/>
      <c r="S10" s="826"/>
      <c r="T10" s="3"/>
      <c r="U10" s="3"/>
      <c r="V10" s="3"/>
      <c r="W10" s="3"/>
      <c r="X10" s="3"/>
      <c r="Y10" s="3"/>
      <c r="Z10" s="3"/>
    </row>
    <row r="11" hidden="1">
      <c r="C11" s="409"/>
      <c r="D11" s="409"/>
      <c r="E11" s="409"/>
      <c r="F11" s="409"/>
      <c r="G11" s="409"/>
      <c r="H11" s="409"/>
      <c r="I11" s="409"/>
      <c r="J11" s="409"/>
      <c r="K11" s="409"/>
      <c r="L11" s="409"/>
      <c r="M11" s="410"/>
      <c r="N11" s="410"/>
      <c r="O11" s="409"/>
      <c r="P11" s="409"/>
      <c r="Q11" s="409"/>
      <c r="R11" s="409"/>
      <c r="S11" s="826"/>
      <c r="T11" s="3"/>
      <c r="U11" s="3"/>
      <c r="V11" s="3"/>
      <c r="W11" s="3"/>
      <c r="X11" s="3"/>
      <c r="Y11" s="3"/>
      <c r="Z11" s="3"/>
    </row>
    <row r="12" hidden="1">
      <c r="C12" s="409"/>
      <c r="D12" s="409"/>
      <c r="E12" s="409"/>
      <c r="F12" s="409"/>
      <c r="G12" s="409"/>
      <c r="H12" s="409"/>
      <c r="I12" s="409"/>
      <c r="J12" s="409"/>
      <c r="K12" s="409"/>
      <c r="L12" s="409"/>
      <c r="M12" s="410"/>
      <c r="N12" s="410"/>
      <c r="O12" s="409"/>
      <c r="P12" s="409"/>
      <c r="Q12" s="409"/>
      <c r="R12" s="409"/>
      <c r="S12" s="826"/>
      <c r="T12" s="3"/>
      <c r="U12" s="3"/>
      <c r="V12" s="3"/>
      <c r="W12" s="3"/>
      <c r="X12" s="3"/>
      <c r="Y12" s="3"/>
      <c r="Z12" s="3"/>
    </row>
    <row r="13" hidden="1">
      <c r="C13" s="409"/>
      <c r="D13" s="409"/>
      <c r="E13" s="409"/>
      <c r="F13" s="409"/>
      <c r="G13" s="409"/>
      <c r="H13" s="409"/>
      <c r="I13" s="409"/>
      <c r="J13" s="409"/>
      <c r="K13" s="409"/>
      <c r="L13" s="409"/>
      <c r="M13" s="410"/>
      <c r="N13" s="410"/>
      <c r="O13" s="409"/>
      <c r="P13" s="409"/>
      <c r="Q13" s="409"/>
      <c r="R13" s="409"/>
      <c r="S13" s="826"/>
      <c r="T13" s="3"/>
      <c r="U13" s="3"/>
      <c r="V13" s="3"/>
      <c r="W13" s="3"/>
      <c r="X13" s="3"/>
      <c r="Y13" s="3"/>
      <c r="Z13" s="3"/>
    </row>
    <row r="14" hidden="1">
      <c r="C14" s="409"/>
      <c r="D14" s="409"/>
      <c r="E14" s="409"/>
      <c r="F14" s="409"/>
      <c r="G14" s="409"/>
      <c r="H14" s="409"/>
      <c r="I14" s="409"/>
      <c r="J14" s="409"/>
      <c r="K14" s="409"/>
      <c r="L14" s="409"/>
      <c r="M14" s="410"/>
      <c r="N14" s="410"/>
      <c r="O14" s="409"/>
      <c r="P14" s="409"/>
      <c r="Q14" s="409"/>
      <c r="R14" s="409"/>
      <c r="S14" s="826"/>
      <c r="T14" s="3"/>
      <c r="U14" s="3"/>
      <c r="V14" s="3"/>
      <c r="W14" s="3"/>
      <c r="X14" s="3"/>
      <c r="Y14" s="3"/>
      <c r="Z14" s="3"/>
    </row>
    <row r="15">
      <c r="A15" s="827"/>
      <c r="B15" s="827"/>
      <c r="C15" s="487">
        <v>1.0</v>
      </c>
      <c r="D15" s="828" t="s">
        <v>17952</v>
      </c>
      <c r="E15" s="487" t="s">
        <v>17953</v>
      </c>
      <c r="F15" s="487" t="s">
        <v>17954</v>
      </c>
      <c r="G15" s="487" t="s">
        <v>29</v>
      </c>
      <c r="H15" s="487" t="s">
        <v>2222</v>
      </c>
      <c r="I15" s="487" t="s">
        <v>30</v>
      </c>
      <c r="J15" s="487"/>
      <c r="K15" s="487" t="s">
        <v>7799</v>
      </c>
      <c r="L15" s="487">
        <v>140.0</v>
      </c>
      <c r="M15" s="829"/>
      <c r="N15" s="829" t="s">
        <v>17955</v>
      </c>
      <c r="O15" s="487" t="s">
        <v>3240</v>
      </c>
      <c r="P15" s="487">
        <v>2016.0</v>
      </c>
      <c r="Q15" s="476" t="s">
        <v>17956</v>
      </c>
      <c r="R15" s="487">
        <v>1.0</v>
      </c>
      <c r="S15" s="830">
        <v>1.0</v>
      </c>
      <c r="T15" s="45"/>
      <c r="U15" s="45"/>
      <c r="V15" s="45"/>
      <c r="W15" s="45"/>
      <c r="X15" s="45"/>
      <c r="Y15" s="45"/>
      <c r="Z15" s="45"/>
    </row>
    <row r="16">
      <c r="A16" s="45"/>
      <c r="B16" s="45"/>
      <c r="C16" s="547">
        <v>2.0</v>
      </c>
      <c r="D16" s="547" t="s">
        <v>17957</v>
      </c>
      <c r="E16" s="547" t="s">
        <v>17958</v>
      </c>
      <c r="F16" s="547" t="s">
        <v>17959</v>
      </c>
      <c r="G16" s="547" t="s">
        <v>29</v>
      </c>
      <c r="H16" s="547" t="s">
        <v>2222</v>
      </c>
      <c r="I16" s="547" t="s">
        <v>30</v>
      </c>
      <c r="J16" s="547"/>
      <c r="K16" s="547" t="s">
        <v>7799</v>
      </c>
      <c r="L16" s="547">
        <v>201.0</v>
      </c>
      <c r="M16" s="831"/>
      <c r="N16" s="831" t="s">
        <v>17955</v>
      </c>
      <c r="O16" s="547" t="s">
        <v>3240</v>
      </c>
      <c r="P16" s="547">
        <v>2016.0</v>
      </c>
      <c r="Q16" s="433" t="s">
        <v>17956</v>
      </c>
      <c r="R16" s="547">
        <v>1.0</v>
      </c>
      <c r="S16" s="827"/>
      <c r="T16" s="45"/>
      <c r="U16" s="45"/>
      <c r="V16" s="45"/>
      <c r="W16" s="45"/>
      <c r="X16" s="45"/>
      <c r="Y16" s="45"/>
      <c r="Z16" s="45"/>
    </row>
    <row r="17">
      <c r="A17" s="45"/>
      <c r="B17" s="45"/>
      <c r="C17" s="547">
        <v>3.0</v>
      </c>
      <c r="D17" s="547" t="s">
        <v>17960</v>
      </c>
      <c r="E17" s="547" t="s">
        <v>17961</v>
      </c>
      <c r="F17" s="547" t="s">
        <v>17962</v>
      </c>
      <c r="G17" s="547" t="s">
        <v>29</v>
      </c>
      <c r="H17" s="547" t="s">
        <v>2222</v>
      </c>
      <c r="I17" s="547" t="s">
        <v>30</v>
      </c>
      <c r="J17" s="547"/>
      <c r="K17" s="547" t="s">
        <v>7799</v>
      </c>
      <c r="L17" s="547">
        <v>113.0</v>
      </c>
      <c r="M17" s="831"/>
      <c r="N17" s="831" t="s">
        <v>17955</v>
      </c>
      <c r="O17" s="547" t="s">
        <v>3240</v>
      </c>
      <c r="P17" s="547">
        <v>2016.0</v>
      </c>
      <c r="Q17" s="433" t="s">
        <v>17956</v>
      </c>
      <c r="R17" s="547">
        <v>1.0</v>
      </c>
      <c r="S17" s="827"/>
      <c r="T17" s="45"/>
      <c r="U17" s="45"/>
      <c r="V17" s="45"/>
      <c r="W17" s="45"/>
      <c r="X17" s="45"/>
      <c r="Y17" s="45"/>
      <c r="Z17" s="45"/>
    </row>
    <row r="18">
      <c r="A18" s="45"/>
      <c r="B18" s="45"/>
      <c r="C18" s="547">
        <v>4.0</v>
      </c>
      <c r="D18" s="547" t="s">
        <v>17963</v>
      </c>
      <c r="E18" s="547" t="s">
        <v>17961</v>
      </c>
      <c r="F18" s="547" t="s">
        <v>17964</v>
      </c>
      <c r="G18" s="547" t="s">
        <v>29</v>
      </c>
      <c r="H18" s="547" t="s">
        <v>2222</v>
      </c>
      <c r="I18" s="547" t="s">
        <v>30</v>
      </c>
      <c r="J18" s="547"/>
      <c r="K18" s="547" t="s">
        <v>7799</v>
      </c>
      <c r="L18" s="547">
        <v>109.0</v>
      </c>
      <c r="M18" s="831"/>
      <c r="N18" s="831" t="s">
        <v>17955</v>
      </c>
      <c r="O18" s="547" t="s">
        <v>3240</v>
      </c>
      <c r="P18" s="547">
        <v>2016.0</v>
      </c>
      <c r="Q18" s="433" t="s">
        <v>17956</v>
      </c>
      <c r="R18" s="547">
        <v>1.0</v>
      </c>
      <c r="S18" s="827"/>
      <c r="T18" s="45"/>
      <c r="U18" s="45"/>
      <c r="V18" s="45"/>
      <c r="W18" s="45"/>
      <c r="X18" s="45"/>
      <c r="Y18" s="45"/>
      <c r="Z18" s="45"/>
    </row>
    <row r="19">
      <c r="A19" s="45"/>
      <c r="B19" s="45"/>
      <c r="C19" s="547">
        <v>5.0</v>
      </c>
      <c r="D19" s="547" t="s">
        <v>17965</v>
      </c>
      <c r="E19" s="547" t="s">
        <v>17966</v>
      </c>
      <c r="F19" s="547" t="s">
        <v>17967</v>
      </c>
      <c r="G19" s="547" t="s">
        <v>29</v>
      </c>
      <c r="H19" s="547" t="s">
        <v>2222</v>
      </c>
      <c r="I19" s="547" t="s">
        <v>30</v>
      </c>
      <c r="J19" s="547"/>
      <c r="K19" s="547" t="s">
        <v>17968</v>
      </c>
      <c r="L19" s="547">
        <v>217.0</v>
      </c>
      <c r="M19" s="831"/>
      <c r="N19" s="831" t="s">
        <v>17969</v>
      </c>
      <c r="O19" s="547" t="s">
        <v>4284</v>
      </c>
      <c r="P19" s="547">
        <v>2018.0</v>
      </c>
      <c r="Q19" s="433" t="s">
        <v>17956</v>
      </c>
      <c r="R19" s="547">
        <v>1.0</v>
      </c>
      <c r="S19" s="827"/>
      <c r="T19" s="45"/>
      <c r="U19" s="45"/>
      <c r="V19" s="45"/>
      <c r="W19" s="45"/>
      <c r="X19" s="45"/>
      <c r="Y19" s="45"/>
      <c r="Z19" s="45"/>
    </row>
    <row r="20">
      <c r="A20" s="45"/>
      <c r="B20" s="45"/>
      <c r="C20" s="547">
        <v>6.0</v>
      </c>
      <c r="D20" s="547" t="s">
        <v>17970</v>
      </c>
      <c r="E20" s="547" t="s">
        <v>17966</v>
      </c>
      <c r="F20" s="547" t="s">
        <v>17971</v>
      </c>
      <c r="G20" s="547" t="s">
        <v>29</v>
      </c>
      <c r="H20" s="547" t="s">
        <v>2222</v>
      </c>
      <c r="I20" s="547" t="s">
        <v>30</v>
      </c>
      <c r="J20" s="547"/>
      <c r="K20" s="547" t="s">
        <v>17968</v>
      </c>
      <c r="L20" s="547">
        <v>215.0</v>
      </c>
      <c r="M20" s="831"/>
      <c r="N20" s="831" t="s">
        <v>17969</v>
      </c>
      <c r="O20" s="547" t="s">
        <v>4284</v>
      </c>
      <c r="P20" s="547">
        <v>2018.0</v>
      </c>
      <c r="Q20" s="433" t="s">
        <v>17956</v>
      </c>
      <c r="R20" s="547">
        <v>1.0</v>
      </c>
      <c r="S20" s="827"/>
      <c r="T20" s="45"/>
      <c r="U20" s="45"/>
      <c r="V20" s="45"/>
      <c r="W20" s="45"/>
      <c r="X20" s="45"/>
      <c r="Y20" s="45"/>
      <c r="Z20" s="45"/>
    </row>
    <row r="21" ht="15.75" customHeight="1">
      <c r="A21" s="45"/>
      <c r="B21" s="45"/>
      <c r="C21" s="547">
        <v>7.0</v>
      </c>
      <c r="D21" s="547" t="s">
        <v>17972</v>
      </c>
      <c r="E21" s="547" t="s">
        <v>17966</v>
      </c>
      <c r="F21" s="547" t="s">
        <v>17973</v>
      </c>
      <c r="G21" s="547" t="s">
        <v>29</v>
      </c>
      <c r="H21" s="547" t="s">
        <v>2222</v>
      </c>
      <c r="I21" s="547" t="s">
        <v>30</v>
      </c>
      <c r="J21" s="547"/>
      <c r="K21" s="547" t="s">
        <v>17968</v>
      </c>
      <c r="L21" s="547" t="s">
        <v>17974</v>
      </c>
      <c r="M21" s="831"/>
      <c r="N21" s="832" t="s">
        <v>31</v>
      </c>
      <c r="O21" s="547" t="s">
        <v>2463</v>
      </c>
      <c r="P21" s="547">
        <v>2019.0</v>
      </c>
      <c r="Q21" s="433" t="s">
        <v>17956</v>
      </c>
      <c r="R21" s="547">
        <v>1.0</v>
      </c>
      <c r="S21" s="827"/>
      <c r="T21" s="45"/>
      <c r="U21" s="45"/>
      <c r="V21" s="45"/>
      <c r="W21" s="45"/>
      <c r="X21" s="45"/>
      <c r="Y21" s="45"/>
      <c r="Z21" s="45"/>
    </row>
    <row r="22" ht="15.75" customHeight="1">
      <c r="A22" s="45"/>
      <c r="B22" s="45"/>
      <c r="C22" s="547">
        <v>8.0</v>
      </c>
      <c r="D22" s="547" t="s">
        <v>17975</v>
      </c>
      <c r="E22" s="547" t="s">
        <v>17976</v>
      </c>
      <c r="F22" s="547" t="s">
        <v>17977</v>
      </c>
      <c r="G22" s="547" t="s">
        <v>29</v>
      </c>
      <c r="H22" s="547" t="s">
        <v>2222</v>
      </c>
      <c r="I22" s="547" t="s">
        <v>30</v>
      </c>
      <c r="J22" s="547"/>
      <c r="K22" s="547" t="s">
        <v>17968</v>
      </c>
      <c r="L22" s="547">
        <v>164.0</v>
      </c>
      <c r="M22" s="831"/>
      <c r="N22" s="831" t="s">
        <v>17969</v>
      </c>
      <c r="O22" s="547" t="s">
        <v>4284</v>
      </c>
      <c r="P22" s="547">
        <v>2019.0</v>
      </c>
      <c r="Q22" s="433" t="s">
        <v>17956</v>
      </c>
      <c r="R22" s="547">
        <v>1.0</v>
      </c>
      <c r="S22" s="827"/>
      <c r="T22" s="45"/>
      <c r="U22" s="45"/>
      <c r="V22" s="45"/>
      <c r="W22" s="45"/>
      <c r="X22" s="45"/>
      <c r="Y22" s="45"/>
      <c r="Z22" s="45"/>
    </row>
    <row r="23" ht="15.75" customHeight="1">
      <c r="A23" s="45"/>
      <c r="B23" s="45"/>
      <c r="C23" s="547">
        <v>9.0</v>
      </c>
      <c r="D23" s="547" t="s">
        <v>17978</v>
      </c>
      <c r="E23" s="547" t="s">
        <v>17979</v>
      </c>
      <c r="F23" s="547" t="s">
        <v>17980</v>
      </c>
      <c r="G23" s="547" t="s">
        <v>29</v>
      </c>
      <c r="H23" s="547" t="s">
        <v>2222</v>
      </c>
      <c r="I23" s="547" t="s">
        <v>30</v>
      </c>
      <c r="J23" s="547"/>
      <c r="K23" s="547" t="s">
        <v>7799</v>
      </c>
      <c r="L23" s="547">
        <v>167.0</v>
      </c>
      <c r="M23" s="831"/>
      <c r="N23" s="831" t="s">
        <v>17969</v>
      </c>
      <c r="O23" s="547" t="s">
        <v>4284</v>
      </c>
      <c r="P23" s="547">
        <v>2015.0</v>
      </c>
      <c r="Q23" s="433" t="s">
        <v>17956</v>
      </c>
      <c r="R23" s="547">
        <v>1.0</v>
      </c>
      <c r="S23" s="827"/>
      <c r="T23" s="45"/>
      <c r="U23" s="45"/>
      <c r="V23" s="45"/>
      <c r="W23" s="45"/>
      <c r="X23" s="45"/>
      <c r="Y23" s="45"/>
      <c r="Z23" s="45"/>
    </row>
    <row r="24" ht="15.75" customHeight="1">
      <c r="A24" s="45"/>
      <c r="B24" s="45"/>
      <c r="C24" s="547">
        <v>10.0</v>
      </c>
      <c r="D24" s="547" t="s">
        <v>17981</v>
      </c>
      <c r="E24" s="547" t="s">
        <v>17979</v>
      </c>
      <c r="F24" s="547" t="s">
        <v>17982</v>
      </c>
      <c r="G24" s="547" t="s">
        <v>29</v>
      </c>
      <c r="H24" s="547" t="s">
        <v>2222</v>
      </c>
      <c r="I24" s="547" t="s">
        <v>30</v>
      </c>
      <c r="J24" s="547"/>
      <c r="K24" s="547" t="s">
        <v>7799</v>
      </c>
      <c r="L24" s="547">
        <v>305.0</v>
      </c>
      <c r="M24" s="831"/>
      <c r="N24" s="831" t="s">
        <v>17969</v>
      </c>
      <c r="O24" s="547" t="s">
        <v>4284</v>
      </c>
      <c r="P24" s="547">
        <v>2016.0</v>
      </c>
      <c r="Q24" s="433" t="s">
        <v>17956</v>
      </c>
      <c r="R24" s="547">
        <v>1.0</v>
      </c>
      <c r="S24" s="827"/>
      <c r="T24" s="45"/>
      <c r="U24" s="45"/>
      <c r="V24" s="45"/>
      <c r="W24" s="45"/>
      <c r="X24" s="45"/>
      <c r="Y24" s="45"/>
      <c r="Z24" s="45"/>
    </row>
    <row r="25" ht="15.75" customHeight="1">
      <c r="A25" s="45"/>
      <c r="B25" s="45"/>
      <c r="C25" s="547">
        <v>11.0</v>
      </c>
      <c r="D25" s="547" t="s">
        <v>17981</v>
      </c>
      <c r="E25" s="547" t="s">
        <v>17979</v>
      </c>
      <c r="F25" s="547" t="s">
        <v>17983</v>
      </c>
      <c r="G25" s="547" t="s">
        <v>29</v>
      </c>
      <c r="H25" s="547" t="s">
        <v>2222</v>
      </c>
      <c r="I25" s="547" t="s">
        <v>30</v>
      </c>
      <c r="J25" s="547"/>
      <c r="K25" s="547" t="s">
        <v>7799</v>
      </c>
      <c r="L25" s="547">
        <v>401.0</v>
      </c>
      <c r="M25" s="831"/>
      <c r="N25" s="831" t="s">
        <v>17969</v>
      </c>
      <c r="O25" s="547" t="s">
        <v>4284</v>
      </c>
      <c r="P25" s="547">
        <v>2017.0</v>
      </c>
      <c r="Q25" s="433" t="s">
        <v>17956</v>
      </c>
      <c r="R25" s="547">
        <v>1.0</v>
      </c>
      <c r="S25" s="827"/>
      <c r="T25" s="45"/>
      <c r="U25" s="45"/>
      <c r="V25" s="45"/>
      <c r="W25" s="45"/>
      <c r="X25" s="45"/>
      <c r="Y25" s="45"/>
      <c r="Z25" s="45"/>
    </row>
    <row r="26" ht="15.75" customHeight="1">
      <c r="A26" s="45"/>
      <c r="B26" s="45"/>
      <c r="C26" s="547">
        <v>12.0</v>
      </c>
      <c r="D26" s="547" t="s">
        <v>17984</v>
      </c>
      <c r="E26" s="547" t="s">
        <v>17985</v>
      </c>
      <c r="F26" s="547" t="s">
        <v>17986</v>
      </c>
      <c r="G26" s="547" t="s">
        <v>29</v>
      </c>
      <c r="H26" s="547" t="s">
        <v>2222</v>
      </c>
      <c r="I26" s="547" t="s">
        <v>30</v>
      </c>
      <c r="J26" s="547"/>
      <c r="K26" s="547" t="s">
        <v>7799</v>
      </c>
      <c r="L26" s="547">
        <v>264.0</v>
      </c>
      <c r="M26" s="831"/>
      <c r="N26" s="831" t="s">
        <v>17969</v>
      </c>
      <c r="O26" s="547" t="s">
        <v>4284</v>
      </c>
      <c r="P26" s="547">
        <v>2016.0</v>
      </c>
      <c r="Q26" s="433" t="s">
        <v>17956</v>
      </c>
      <c r="R26" s="547">
        <v>1.0</v>
      </c>
      <c r="S26" s="827"/>
      <c r="T26" s="45"/>
      <c r="U26" s="45"/>
      <c r="V26" s="45"/>
      <c r="W26" s="45"/>
      <c r="X26" s="45"/>
      <c r="Y26" s="45"/>
      <c r="Z26" s="45"/>
    </row>
    <row r="27" ht="15.75" customHeight="1">
      <c r="C27" s="547">
        <v>13.0</v>
      </c>
      <c r="D27" s="433" t="s">
        <v>17987</v>
      </c>
      <c r="E27" s="433" t="s">
        <v>17988</v>
      </c>
      <c r="F27" s="434" t="s">
        <v>17989</v>
      </c>
      <c r="G27" s="433"/>
      <c r="H27" s="433" t="s">
        <v>2222</v>
      </c>
      <c r="I27" s="433" t="s">
        <v>30</v>
      </c>
      <c r="J27" s="433"/>
      <c r="K27" s="433" t="s">
        <v>30</v>
      </c>
      <c r="L27" s="433">
        <v>12.0</v>
      </c>
      <c r="M27" s="433"/>
      <c r="N27" s="433" t="s">
        <v>4068</v>
      </c>
      <c r="O27" s="433" t="s">
        <v>151</v>
      </c>
      <c r="P27" s="433">
        <v>2011.0</v>
      </c>
      <c r="Q27" s="433" t="s">
        <v>17956</v>
      </c>
      <c r="R27" s="433">
        <v>1.0</v>
      </c>
      <c r="S27" s="826"/>
      <c r="T27" s="3"/>
      <c r="U27" s="3"/>
      <c r="V27" s="3"/>
      <c r="W27" s="3"/>
      <c r="X27" s="3"/>
      <c r="Y27" s="3"/>
      <c r="Z27" s="3"/>
    </row>
    <row r="28" ht="15.75" customHeight="1">
      <c r="C28" s="449">
        <v>247.0</v>
      </c>
      <c r="D28" s="433" t="s">
        <v>17990</v>
      </c>
      <c r="E28" s="433" t="s">
        <v>17988</v>
      </c>
      <c r="F28" s="434" t="s">
        <v>17991</v>
      </c>
      <c r="G28" s="433"/>
      <c r="H28" s="433" t="s">
        <v>2222</v>
      </c>
      <c r="I28" s="433" t="s">
        <v>30</v>
      </c>
      <c r="J28" s="433"/>
      <c r="K28" s="433" t="s">
        <v>30</v>
      </c>
      <c r="L28" s="433">
        <v>21.0</v>
      </c>
      <c r="M28" s="433"/>
      <c r="N28" s="433" t="s">
        <v>4068</v>
      </c>
      <c r="O28" s="433" t="s">
        <v>151</v>
      </c>
      <c r="P28" s="433">
        <v>2011.0</v>
      </c>
      <c r="Q28" s="433" t="s">
        <v>17956</v>
      </c>
      <c r="R28" s="433">
        <v>3.0</v>
      </c>
      <c r="S28" s="826"/>
      <c r="T28" s="3"/>
      <c r="U28" s="3"/>
      <c r="V28" s="3"/>
      <c r="W28" s="3"/>
      <c r="X28" s="3"/>
      <c r="Y28" s="3"/>
      <c r="Z28" s="3"/>
    </row>
    <row r="29" ht="15.75" customHeight="1">
      <c r="C29" s="449">
        <v>225.0</v>
      </c>
      <c r="D29" s="433" t="s">
        <v>17992</v>
      </c>
      <c r="E29" s="433" t="s">
        <v>17993</v>
      </c>
      <c r="F29" s="434" t="s">
        <v>17994</v>
      </c>
      <c r="G29" s="433"/>
      <c r="H29" s="433" t="s">
        <v>2222</v>
      </c>
      <c r="I29" s="433" t="s">
        <v>30</v>
      </c>
      <c r="J29" s="433"/>
      <c r="K29" s="433" t="s">
        <v>30</v>
      </c>
      <c r="L29" s="433">
        <v>21.0</v>
      </c>
      <c r="M29" s="433"/>
      <c r="N29" s="433" t="s">
        <v>4068</v>
      </c>
      <c r="O29" s="433" t="s">
        <v>151</v>
      </c>
      <c r="P29" s="433">
        <v>2011.0</v>
      </c>
      <c r="Q29" s="433" t="s">
        <v>17956</v>
      </c>
      <c r="R29" s="433">
        <v>2.0</v>
      </c>
      <c r="S29" s="826"/>
      <c r="T29" s="3"/>
      <c r="U29" s="3"/>
      <c r="V29" s="3"/>
      <c r="W29" s="3"/>
      <c r="X29" s="3"/>
      <c r="Y29" s="3"/>
      <c r="Z29" s="3"/>
    </row>
    <row r="30" ht="15.75" customHeight="1">
      <c r="C30" s="449">
        <v>224.0</v>
      </c>
      <c r="D30" s="433" t="s">
        <v>17995</v>
      </c>
      <c r="E30" s="433" t="s">
        <v>17996</v>
      </c>
      <c r="F30" s="434" t="s">
        <v>17997</v>
      </c>
      <c r="G30" s="433"/>
      <c r="H30" s="433" t="s">
        <v>2222</v>
      </c>
      <c r="I30" s="433" t="s">
        <v>30</v>
      </c>
      <c r="J30" s="433"/>
      <c r="K30" s="433" t="s">
        <v>30</v>
      </c>
      <c r="L30" s="433">
        <v>12.0</v>
      </c>
      <c r="M30" s="433"/>
      <c r="N30" s="433" t="s">
        <v>4068</v>
      </c>
      <c r="O30" s="433" t="s">
        <v>151</v>
      </c>
      <c r="P30" s="433">
        <v>2011.0</v>
      </c>
      <c r="Q30" s="433" t="s">
        <v>17956</v>
      </c>
      <c r="R30" s="433">
        <v>2.0</v>
      </c>
      <c r="S30" s="826"/>
      <c r="T30" s="3"/>
      <c r="U30" s="3"/>
      <c r="V30" s="3"/>
      <c r="W30" s="3"/>
      <c r="X30" s="3"/>
      <c r="Y30" s="3"/>
      <c r="Z30" s="3"/>
    </row>
    <row r="31" ht="15.75" customHeight="1">
      <c r="C31" s="547"/>
      <c r="D31" s="433" t="s">
        <v>17998</v>
      </c>
      <c r="E31" s="433" t="s">
        <v>17999</v>
      </c>
      <c r="F31" s="833" t="s">
        <v>18000</v>
      </c>
      <c r="G31" s="433"/>
      <c r="H31" s="433" t="s">
        <v>2222</v>
      </c>
      <c r="I31" s="433" t="s">
        <v>30</v>
      </c>
      <c r="J31" s="433"/>
      <c r="K31" s="547" t="s">
        <v>7799</v>
      </c>
      <c r="L31" s="433">
        <v>19.0</v>
      </c>
      <c r="M31" s="782"/>
      <c r="N31" s="782" t="s">
        <v>18001</v>
      </c>
      <c r="O31" s="433" t="s">
        <v>2463</v>
      </c>
      <c r="P31" s="433">
        <v>2015.0</v>
      </c>
      <c r="Q31" s="433" t="s">
        <v>17956</v>
      </c>
      <c r="R31" s="433">
        <v>1.0</v>
      </c>
      <c r="S31" s="826"/>
      <c r="T31" s="3"/>
      <c r="U31" s="3"/>
      <c r="V31" s="3"/>
      <c r="W31" s="3"/>
      <c r="X31" s="3"/>
      <c r="Y31" s="3"/>
      <c r="Z31" s="3"/>
    </row>
    <row r="32" ht="15.75" customHeight="1">
      <c r="C32" s="547"/>
      <c r="D32" s="433" t="s">
        <v>18002</v>
      </c>
      <c r="E32" s="433" t="s">
        <v>18003</v>
      </c>
      <c r="F32" s="833" t="s">
        <v>18004</v>
      </c>
      <c r="G32" s="433"/>
      <c r="H32" s="433" t="s">
        <v>2222</v>
      </c>
      <c r="I32" s="433" t="s">
        <v>30</v>
      </c>
      <c r="J32" s="433"/>
      <c r="K32" s="547" t="s">
        <v>7799</v>
      </c>
      <c r="L32" s="433">
        <v>19.0</v>
      </c>
      <c r="M32" s="782"/>
      <c r="N32" s="782" t="s">
        <v>18001</v>
      </c>
      <c r="O32" s="433" t="s">
        <v>2463</v>
      </c>
      <c r="P32" s="433">
        <v>2015.0</v>
      </c>
      <c r="Q32" s="433" t="s">
        <v>17956</v>
      </c>
      <c r="R32" s="433">
        <v>1.0</v>
      </c>
      <c r="S32" s="826"/>
      <c r="T32" s="3"/>
      <c r="U32" s="3"/>
      <c r="V32" s="3"/>
      <c r="W32" s="3"/>
      <c r="X32" s="3"/>
      <c r="Y32" s="3"/>
      <c r="Z32" s="3"/>
    </row>
    <row r="33" ht="15.75" customHeight="1">
      <c r="C33" s="547"/>
      <c r="D33" s="433" t="s">
        <v>18005</v>
      </c>
      <c r="E33" s="433" t="s">
        <v>18006</v>
      </c>
      <c r="F33" s="833" t="s">
        <v>18007</v>
      </c>
      <c r="G33" s="433"/>
      <c r="H33" s="433" t="s">
        <v>2222</v>
      </c>
      <c r="I33" s="433" t="s">
        <v>30</v>
      </c>
      <c r="J33" s="433"/>
      <c r="K33" s="547" t="s">
        <v>7799</v>
      </c>
      <c r="L33" s="433">
        <v>19.0</v>
      </c>
      <c r="M33" s="782"/>
      <c r="N33" s="782" t="s">
        <v>18001</v>
      </c>
      <c r="O33" s="433" t="s">
        <v>2463</v>
      </c>
      <c r="P33" s="433">
        <v>2016.0</v>
      </c>
      <c r="Q33" s="433" t="s">
        <v>17956</v>
      </c>
      <c r="R33" s="433">
        <v>2.0</v>
      </c>
      <c r="S33" s="826"/>
      <c r="T33" s="3"/>
      <c r="U33" s="3"/>
      <c r="V33" s="3"/>
      <c r="W33" s="3"/>
      <c r="X33" s="3"/>
      <c r="Y33" s="3"/>
      <c r="Z33" s="3"/>
    </row>
    <row r="34" ht="15.75" customHeight="1">
      <c r="C34" s="547"/>
      <c r="D34" s="433" t="s">
        <v>18008</v>
      </c>
      <c r="E34" s="433" t="s">
        <v>18009</v>
      </c>
      <c r="F34" s="833" t="s">
        <v>18010</v>
      </c>
      <c r="G34" s="433"/>
      <c r="H34" s="433" t="s">
        <v>2222</v>
      </c>
      <c r="I34" s="433" t="s">
        <v>30</v>
      </c>
      <c r="J34" s="433"/>
      <c r="K34" s="547" t="s">
        <v>7799</v>
      </c>
      <c r="L34" s="433">
        <v>19.0</v>
      </c>
      <c r="M34" s="782"/>
      <c r="N34" s="782" t="s">
        <v>18001</v>
      </c>
      <c r="O34" s="433" t="s">
        <v>2463</v>
      </c>
      <c r="P34" s="433">
        <v>2016.0</v>
      </c>
      <c r="Q34" s="433" t="s">
        <v>17956</v>
      </c>
      <c r="R34" s="433">
        <v>1.0</v>
      </c>
      <c r="S34" s="826"/>
      <c r="T34" s="3"/>
      <c r="U34" s="3"/>
      <c r="V34" s="3"/>
      <c r="W34" s="3"/>
      <c r="X34" s="3"/>
      <c r="Y34" s="3"/>
      <c r="Z34" s="3"/>
    </row>
    <row r="35" ht="15.75" customHeight="1">
      <c r="C35" s="547"/>
      <c r="D35" s="433" t="s">
        <v>18011</v>
      </c>
      <c r="E35" s="433" t="s">
        <v>18012</v>
      </c>
      <c r="F35" s="833" t="s">
        <v>18013</v>
      </c>
      <c r="G35" s="433"/>
      <c r="H35" s="433" t="s">
        <v>2222</v>
      </c>
      <c r="I35" s="433" t="s">
        <v>30</v>
      </c>
      <c r="J35" s="433"/>
      <c r="K35" s="547" t="s">
        <v>7799</v>
      </c>
      <c r="L35" s="433">
        <v>19.0</v>
      </c>
      <c r="M35" s="782"/>
      <c r="N35" s="782" t="s">
        <v>18001</v>
      </c>
      <c r="O35" s="433" t="s">
        <v>2463</v>
      </c>
      <c r="P35" s="433">
        <v>2019.0</v>
      </c>
      <c r="Q35" s="433" t="s">
        <v>17956</v>
      </c>
      <c r="R35" s="433">
        <v>1.0</v>
      </c>
      <c r="S35" s="826"/>
      <c r="T35" s="3"/>
      <c r="U35" s="3"/>
      <c r="V35" s="3"/>
      <c r="W35" s="3"/>
      <c r="X35" s="3"/>
      <c r="Y35" s="3"/>
      <c r="Z35" s="3"/>
    </row>
    <row r="36" ht="15.75" customHeight="1">
      <c r="C36" s="547"/>
      <c r="D36" s="433" t="s">
        <v>18014</v>
      </c>
      <c r="E36" s="433" t="s">
        <v>18015</v>
      </c>
      <c r="F36" s="833" t="s">
        <v>18016</v>
      </c>
      <c r="G36" s="433"/>
      <c r="H36" s="433" t="s">
        <v>2222</v>
      </c>
      <c r="I36" s="433" t="s">
        <v>30</v>
      </c>
      <c r="J36" s="433"/>
      <c r="K36" s="547" t="s">
        <v>7799</v>
      </c>
      <c r="L36" s="433">
        <v>19.0</v>
      </c>
      <c r="M36" s="782"/>
      <c r="N36" s="782" t="s">
        <v>18001</v>
      </c>
      <c r="O36" s="433" t="s">
        <v>2463</v>
      </c>
      <c r="P36" s="433">
        <v>2019.0</v>
      </c>
      <c r="Q36" s="433" t="s">
        <v>17956</v>
      </c>
      <c r="R36" s="433">
        <v>1.0</v>
      </c>
      <c r="S36" s="826"/>
      <c r="T36" s="3"/>
      <c r="U36" s="3"/>
      <c r="V36" s="3"/>
      <c r="W36" s="3"/>
      <c r="X36" s="3"/>
      <c r="Y36" s="3"/>
      <c r="Z36" s="3"/>
    </row>
    <row r="37" ht="15.75" customHeight="1">
      <c r="C37" s="547"/>
      <c r="D37" s="433" t="s">
        <v>18017</v>
      </c>
      <c r="E37" s="433" t="s">
        <v>18015</v>
      </c>
      <c r="F37" s="833" t="s">
        <v>18018</v>
      </c>
      <c r="G37" s="433"/>
      <c r="H37" s="433" t="s">
        <v>2222</v>
      </c>
      <c r="I37" s="433" t="s">
        <v>30</v>
      </c>
      <c r="J37" s="433"/>
      <c r="K37" s="547" t="s">
        <v>7799</v>
      </c>
      <c r="L37" s="433">
        <v>19.0</v>
      </c>
      <c r="M37" s="782"/>
      <c r="N37" s="782" t="s">
        <v>18001</v>
      </c>
      <c r="O37" s="433" t="s">
        <v>2463</v>
      </c>
      <c r="P37" s="433">
        <v>2018.0</v>
      </c>
      <c r="Q37" s="433" t="s">
        <v>17956</v>
      </c>
      <c r="R37" s="433">
        <v>1.0</v>
      </c>
      <c r="S37" s="826"/>
      <c r="T37" s="3"/>
      <c r="U37" s="3"/>
      <c r="V37" s="3"/>
      <c r="W37" s="3"/>
      <c r="X37" s="3"/>
      <c r="Y37" s="3"/>
      <c r="Z37" s="3"/>
    </row>
    <row r="38" ht="15.75" customHeight="1">
      <c r="C38" s="547"/>
      <c r="D38" s="433" t="s">
        <v>18019</v>
      </c>
      <c r="E38" s="433" t="s">
        <v>18020</v>
      </c>
      <c r="F38" s="833" t="s">
        <v>18021</v>
      </c>
      <c r="G38" s="433"/>
      <c r="H38" s="433" t="s">
        <v>2222</v>
      </c>
      <c r="I38" s="433" t="s">
        <v>30</v>
      </c>
      <c r="J38" s="433"/>
      <c r="K38" s="547" t="s">
        <v>7799</v>
      </c>
      <c r="L38" s="433">
        <v>19.0</v>
      </c>
      <c r="M38" s="782"/>
      <c r="N38" s="782" t="s">
        <v>18001</v>
      </c>
      <c r="O38" s="433" t="s">
        <v>2463</v>
      </c>
      <c r="P38" s="433">
        <v>2017.0</v>
      </c>
      <c r="Q38" s="433" t="s">
        <v>17956</v>
      </c>
      <c r="R38" s="433">
        <v>1.0</v>
      </c>
      <c r="S38" s="826"/>
      <c r="T38" s="3"/>
      <c r="U38" s="3"/>
      <c r="V38" s="3"/>
      <c r="W38" s="3"/>
      <c r="X38" s="3"/>
      <c r="Y38" s="3"/>
      <c r="Z38" s="3"/>
    </row>
    <row r="39" ht="15.75" customHeight="1">
      <c r="C39" s="547"/>
      <c r="D39" s="433" t="s">
        <v>18022</v>
      </c>
      <c r="E39" s="433" t="s">
        <v>18023</v>
      </c>
      <c r="F39" s="833" t="s">
        <v>18024</v>
      </c>
      <c r="G39" s="433"/>
      <c r="H39" s="433" t="s">
        <v>2222</v>
      </c>
      <c r="I39" s="433" t="s">
        <v>30</v>
      </c>
      <c r="J39" s="433"/>
      <c r="K39" s="547" t="s">
        <v>7799</v>
      </c>
      <c r="L39" s="433">
        <v>19.0</v>
      </c>
      <c r="M39" s="782"/>
      <c r="N39" s="782" t="s">
        <v>18001</v>
      </c>
      <c r="O39" s="433" t="s">
        <v>2463</v>
      </c>
      <c r="P39" s="433">
        <v>2015.0</v>
      </c>
      <c r="Q39" s="433" t="s">
        <v>17956</v>
      </c>
      <c r="R39" s="433">
        <v>1.0</v>
      </c>
      <c r="S39" s="826"/>
      <c r="T39" s="3"/>
      <c r="U39" s="3"/>
      <c r="V39" s="3"/>
      <c r="W39" s="3"/>
      <c r="X39" s="3"/>
      <c r="Y39" s="3"/>
      <c r="Z39" s="3"/>
    </row>
    <row r="40" ht="15.75" customHeight="1">
      <c r="C40" s="547"/>
      <c r="D40" s="433" t="s">
        <v>18025</v>
      </c>
      <c r="E40" s="433" t="s">
        <v>18026</v>
      </c>
      <c r="F40" s="833" t="s">
        <v>18027</v>
      </c>
      <c r="G40" s="433"/>
      <c r="H40" s="433" t="s">
        <v>2222</v>
      </c>
      <c r="I40" s="433" t="s">
        <v>30</v>
      </c>
      <c r="J40" s="433"/>
      <c r="K40" s="547" t="s">
        <v>7799</v>
      </c>
      <c r="L40" s="433">
        <v>19.0</v>
      </c>
      <c r="M40" s="782"/>
      <c r="N40" s="782" t="s">
        <v>18001</v>
      </c>
      <c r="O40" s="433" t="s">
        <v>2463</v>
      </c>
      <c r="P40" s="433">
        <v>2015.0</v>
      </c>
      <c r="Q40" s="433" t="s">
        <v>17956</v>
      </c>
      <c r="R40" s="433">
        <v>1.0</v>
      </c>
      <c r="S40" s="826"/>
      <c r="T40" s="3"/>
      <c r="U40" s="3"/>
      <c r="V40" s="3"/>
      <c r="W40" s="3"/>
      <c r="X40" s="3"/>
      <c r="Y40" s="3"/>
      <c r="Z40" s="3"/>
    </row>
    <row r="41" ht="15.75" customHeight="1">
      <c r="C41" s="547"/>
      <c r="D41" s="433" t="s">
        <v>18028</v>
      </c>
      <c r="E41" s="433" t="s">
        <v>18029</v>
      </c>
      <c r="F41" s="833" t="s">
        <v>18030</v>
      </c>
      <c r="G41" s="433"/>
      <c r="H41" s="433" t="s">
        <v>2222</v>
      </c>
      <c r="I41" s="433" t="s">
        <v>30</v>
      </c>
      <c r="J41" s="433"/>
      <c r="K41" s="547" t="s">
        <v>7799</v>
      </c>
      <c r="L41" s="433">
        <v>19.0</v>
      </c>
      <c r="M41" s="782"/>
      <c r="N41" s="782" t="s">
        <v>18001</v>
      </c>
      <c r="O41" s="433" t="s">
        <v>2463</v>
      </c>
      <c r="P41" s="433">
        <v>2015.0</v>
      </c>
      <c r="Q41" s="433" t="s">
        <v>17956</v>
      </c>
      <c r="R41" s="433">
        <v>1.0</v>
      </c>
      <c r="S41" s="826"/>
      <c r="T41" s="3"/>
      <c r="U41" s="3"/>
      <c r="V41" s="3"/>
      <c r="W41" s="3"/>
      <c r="X41" s="3"/>
      <c r="Y41" s="3"/>
      <c r="Z41" s="3"/>
    </row>
    <row r="42" ht="15.75" customHeight="1">
      <c r="C42" s="547"/>
      <c r="D42" s="433" t="s">
        <v>18031</v>
      </c>
      <c r="E42" s="433" t="s">
        <v>18032</v>
      </c>
      <c r="F42" s="833" t="s">
        <v>18033</v>
      </c>
      <c r="G42" s="433"/>
      <c r="H42" s="433" t="s">
        <v>2222</v>
      </c>
      <c r="I42" s="433" t="s">
        <v>30</v>
      </c>
      <c r="J42" s="433"/>
      <c r="K42" s="547" t="s">
        <v>7799</v>
      </c>
      <c r="L42" s="433">
        <v>19.0</v>
      </c>
      <c r="M42" s="782"/>
      <c r="N42" s="782" t="s">
        <v>18001</v>
      </c>
      <c r="O42" s="433" t="s">
        <v>2463</v>
      </c>
      <c r="P42" s="433">
        <v>2016.0</v>
      </c>
      <c r="Q42" s="433" t="s">
        <v>17956</v>
      </c>
      <c r="R42" s="433">
        <v>1.0</v>
      </c>
      <c r="S42" s="826"/>
      <c r="T42" s="3"/>
      <c r="U42" s="3"/>
      <c r="V42" s="3"/>
      <c r="W42" s="3"/>
      <c r="X42" s="3"/>
      <c r="Y42" s="3"/>
      <c r="Z42" s="3"/>
    </row>
    <row r="43" ht="15.75" customHeight="1">
      <c r="A43" s="45"/>
      <c r="B43" s="45"/>
      <c r="C43" s="547">
        <v>14.0</v>
      </c>
      <c r="D43" s="547" t="s">
        <v>18034</v>
      </c>
      <c r="E43" s="547" t="s">
        <v>18035</v>
      </c>
      <c r="F43" s="834" t="s">
        <v>18036</v>
      </c>
      <c r="G43" s="547"/>
      <c r="H43" s="433" t="s">
        <v>2222</v>
      </c>
      <c r="I43" s="433" t="s">
        <v>30</v>
      </c>
      <c r="J43" s="547"/>
      <c r="K43" s="547" t="s">
        <v>7799</v>
      </c>
      <c r="L43" s="433">
        <v>19.0</v>
      </c>
      <c r="M43" s="831"/>
      <c r="N43" s="782" t="s">
        <v>18001</v>
      </c>
      <c r="O43" s="433" t="s">
        <v>2463</v>
      </c>
      <c r="P43" s="547">
        <v>2016.0</v>
      </c>
      <c r="Q43" s="433" t="s">
        <v>17956</v>
      </c>
      <c r="R43" s="433">
        <v>1.0</v>
      </c>
      <c r="S43" s="827"/>
      <c r="T43" s="45"/>
      <c r="U43" s="45"/>
      <c r="V43" s="45"/>
      <c r="W43" s="45"/>
      <c r="X43" s="45"/>
      <c r="Y43" s="45"/>
      <c r="Z43" s="45"/>
    </row>
    <row r="44" ht="15.75" customHeight="1">
      <c r="A44" s="45"/>
      <c r="B44" s="45"/>
      <c r="C44" s="547">
        <v>15.0</v>
      </c>
      <c r="D44" s="547" t="s">
        <v>18037</v>
      </c>
      <c r="E44" s="547" t="s">
        <v>18038</v>
      </c>
      <c r="F44" s="834" t="s">
        <v>18039</v>
      </c>
      <c r="G44" s="547"/>
      <c r="H44" s="433" t="s">
        <v>2222</v>
      </c>
      <c r="I44" s="433" t="s">
        <v>30</v>
      </c>
      <c r="J44" s="547"/>
      <c r="K44" s="547" t="s">
        <v>7799</v>
      </c>
      <c r="L44" s="433">
        <v>19.0</v>
      </c>
      <c r="M44" s="831"/>
      <c r="N44" s="782" t="s">
        <v>18001</v>
      </c>
      <c r="O44" s="433" t="s">
        <v>2463</v>
      </c>
      <c r="P44" s="547">
        <v>2017.0</v>
      </c>
      <c r="Q44" s="433" t="s">
        <v>17956</v>
      </c>
      <c r="R44" s="433">
        <v>1.0</v>
      </c>
      <c r="S44" s="827"/>
      <c r="T44" s="45"/>
      <c r="U44" s="45"/>
      <c r="V44" s="45"/>
      <c r="W44" s="45"/>
      <c r="X44" s="45"/>
      <c r="Y44" s="45"/>
      <c r="Z44" s="45"/>
    </row>
    <row r="45" ht="15.75" customHeight="1">
      <c r="A45" s="45"/>
      <c r="B45" s="45"/>
      <c r="C45" s="547">
        <v>16.0</v>
      </c>
      <c r="D45" s="547" t="s">
        <v>18040</v>
      </c>
      <c r="E45" s="547" t="s">
        <v>18015</v>
      </c>
      <c r="F45" s="834" t="s">
        <v>18041</v>
      </c>
      <c r="G45" s="547"/>
      <c r="H45" s="433" t="s">
        <v>2222</v>
      </c>
      <c r="I45" s="433" t="s">
        <v>30</v>
      </c>
      <c r="J45" s="547"/>
      <c r="K45" s="547" t="s">
        <v>7799</v>
      </c>
      <c r="L45" s="433">
        <v>19.0</v>
      </c>
      <c r="M45" s="831"/>
      <c r="N45" s="782" t="s">
        <v>18001</v>
      </c>
      <c r="O45" s="433" t="s">
        <v>2463</v>
      </c>
      <c r="P45" s="547">
        <v>2017.0</v>
      </c>
      <c r="Q45" s="433" t="s">
        <v>17956</v>
      </c>
      <c r="R45" s="433">
        <v>1.0</v>
      </c>
      <c r="S45" s="827"/>
      <c r="T45" s="45"/>
      <c r="U45" s="45"/>
      <c r="V45" s="45"/>
      <c r="W45" s="45"/>
      <c r="X45" s="45"/>
      <c r="Y45" s="45"/>
      <c r="Z45" s="45"/>
    </row>
    <row r="46" ht="15.75" customHeight="1">
      <c r="A46" s="45"/>
      <c r="B46" s="45"/>
      <c r="C46" s="547">
        <v>17.0</v>
      </c>
      <c r="D46" s="547" t="s">
        <v>18042</v>
      </c>
      <c r="E46" s="547" t="s">
        <v>18043</v>
      </c>
      <c r="F46" s="834" t="s">
        <v>18044</v>
      </c>
      <c r="G46" s="547"/>
      <c r="H46" s="433" t="s">
        <v>2222</v>
      </c>
      <c r="I46" s="433" t="s">
        <v>30</v>
      </c>
      <c r="J46" s="547"/>
      <c r="K46" s="547" t="s">
        <v>7799</v>
      </c>
      <c r="L46" s="433">
        <v>19.0</v>
      </c>
      <c r="M46" s="831"/>
      <c r="N46" s="782" t="s">
        <v>18001</v>
      </c>
      <c r="O46" s="433" t="s">
        <v>2463</v>
      </c>
      <c r="P46" s="547">
        <v>2018.0</v>
      </c>
      <c r="Q46" s="433" t="s">
        <v>17956</v>
      </c>
      <c r="R46" s="433">
        <v>1.0</v>
      </c>
      <c r="S46" s="827"/>
      <c r="T46" s="45"/>
      <c r="U46" s="45"/>
      <c r="V46" s="45"/>
      <c r="W46" s="45"/>
      <c r="X46" s="45"/>
      <c r="Y46" s="45"/>
      <c r="Z46" s="45"/>
    </row>
    <row r="47" ht="15.75" customHeight="1">
      <c r="A47" s="45"/>
      <c r="B47" s="45"/>
      <c r="C47" s="547">
        <v>18.0</v>
      </c>
      <c r="D47" s="547" t="s">
        <v>18045</v>
      </c>
      <c r="E47" s="547" t="s">
        <v>18046</v>
      </c>
      <c r="F47" s="834" t="s">
        <v>18047</v>
      </c>
      <c r="G47" s="547"/>
      <c r="H47" s="433" t="s">
        <v>2222</v>
      </c>
      <c r="I47" s="433" t="s">
        <v>30</v>
      </c>
      <c r="J47" s="547"/>
      <c r="K47" s="547" t="s">
        <v>7799</v>
      </c>
      <c r="L47" s="433">
        <v>19.0</v>
      </c>
      <c r="M47" s="831"/>
      <c r="N47" s="782" t="s">
        <v>18001</v>
      </c>
      <c r="O47" s="433" t="s">
        <v>2463</v>
      </c>
      <c r="P47" s="547">
        <v>2018.0</v>
      </c>
      <c r="Q47" s="433" t="s">
        <v>17956</v>
      </c>
      <c r="R47" s="433">
        <v>1.0</v>
      </c>
      <c r="S47" s="827"/>
      <c r="T47" s="45"/>
      <c r="U47" s="45"/>
      <c r="V47" s="45"/>
      <c r="W47" s="45"/>
      <c r="X47" s="45"/>
      <c r="Y47" s="45"/>
      <c r="Z47" s="45"/>
    </row>
    <row r="48" ht="15.75" customHeight="1">
      <c r="A48" s="45"/>
      <c r="B48" s="45"/>
      <c r="C48" s="547"/>
      <c r="D48" s="547" t="s">
        <v>18048</v>
      </c>
      <c r="E48" s="547" t="s">
        <v>18049</v>
      </c>
      <c r="F48" s="834" t="s">
        <v>18050</v>
      </c>
      <c r="G48" s="547"/>
      <c r="H48" s="433" t="s">
        <v>2222</v>
      </c>
      <c r="I48" s="433" t="s">
        <v>30</v>
      </c>
      <c r="J48" s="547"/>
      <c r="K48" s="547" t="s">
        <v>7799</v>
      </c>
      <c r="L48" s="433">
        <v>19.0</v>
      </c>
      <c r="M48" s="831"/>
      <c r="N48" s="782" t="s">
        <v>18001</v>
      </c>
      <c r="O48" s="433" t="s">
        <v>2463</v>
      </c>
      <c r="P48" s="547">
        <v>2019.0</v>
      </c>
      <c r="Q48" s="433" t="s">
        <v>17956</v>
      </c>
      <c r="R48" s="433">
        <v>1.0</v>
      </c>
      <c r="S48" s="827"/>
      <c r="T48" s="45"/>
      <c r="U48" s="45"/>
      <c r="V48" s="45"/>
      <c r="W48" s="45"/>
      <c r="X48" s="45"/>
      <c r="Y48" s="45"/>
      <c r="Z48" s="45"/>
    </row>
    <row r="49" ht="15.75" customHeight="1">
      <c r="A49" s="45"/>
      <c r="B49" s="45"/>
      <c r="C49" s="547"/>
      <c r="D49" s="547" t="s">
        <v>18051</v>
      </c>
      <c r="E49" s="547" t="s">
        <v>18052</v>
      </c>
      <c r="F49" s="834" t="s">
        <v>18053</v>
      </c>
      <c r="G49" s="547"/>
      <c r="H49" s="433" t="s">
        <v>2222</v>
      </c>
      <c r="I49" s="433" t="s">
        <v>30</v>
      </c>
      <c r="J49" s="547"/>
      <c r="K49" s="547" t="s">
        <v>7799</v>
      </c>
      <c r="L49" s="433">
        <v>19.0</v>
      </c>
      <c r="M49" s="831"/>
      <c r="N49" s="782" t="s">
        <v>18001</v>
      </c>
      <c r="O49" s="433" t="s">
        <v>2463</v>
      </c>
      <c r="P49" s="547">
        <v>2019.0</v>
      </c>
      <c r="Q49" s="433" t="s">
        <v>17956</v>
      </c>
      <c r="R49" s="433">
        <v>1.0</v>
      </c>
      <c r="S49" s="827"/>
      <c r="T49" s="45"/>
      <c r="U49" s="45"/>
      <c r="V49" s="45"/>
      <c r="W49" s="45"/>
      <c r="X49" s="45"/>
      <c r="Y49" s="45"/>
      <c r="Z49" s="45"/>
    </row>
    <row r="50" ht="15.75" customHeight="1">
      <c r="A50" s="45"/>
      <c r="B50" s="45"/>
      <c r="C50" s="547"/>
      <c r="D50" s="547" t="s">
        <v>18054</v>
      </c>
      <c r="E50" s="547" t="s">
        <v>18055</v>
      </c>
      <c r="F50" s="834" t="s">
        <v>18056</v>
      </c>
      <c r="G50" s="547"/>
      <c r="H50" s="433" t="s">
        <v>2222</v>
      </c>
      <c r="I50" s="433" t="s">
        <v>30</v>
      </c>
      <c r="J50" s="547"/>
      <c r="K50" s="547" t="s">
        <v>7799</v>
      </c>
      <c r="L50" s="433">
        <v>19.0</v>
      </c>
      <c r="M50" s="831"/>
      <c r="N50" s="782" t="s">
        <v>18001</v>
      </c>
      <c r="O50" s="433" t="s">
        <v>2463</v>
      </c>
      <c r="P50" s="547">
        <v>2019.0</v>
      </c>
      <c r="Q50" s="433" t="s">
        <v>17956</v>
      </c>
      <c r="R50" s="433">
        <v>1.0</v>
      </c>
      <c r="S50" s="827"/>
      <c r="T50" s="45"/>
      <c r="U50" s="45"/>
      <c r="V50" s="45"/>
      <c r="W50" s="45"/>
      <c r="X50" s="45"/>
      <c r="Y50" s="45"/>
      <c r="Z50" s="45"/>
    </row>
    <row r="51" ht="15.75" customHeight="1">
      <c r="A51" s="45"/>
      <c r="B51" s="45"/>
      <c r="C51" s="547"/>
      <c r="D51" s="547" t="s">
        <v>18057</v>
      </c>
      <c r="E51" s="547" t="s">
        <v>18058</v>
      </c>
      <c r="F51" s="834" t="s">
        <v>18059</v>
      </c>
      <c r="G51" s="547"/>
      <c r="H51" s="433" t="s">
        <v>2222</v>
      </c>
      <c r="I51" s="433" t="s">
        <v>30</v>
      </c>
      <c r="J51" s="547"/>
      <c r="K51" s="547" t="s">
        <v>7799</v>
      </c>
      <c r="L51" s="433">
        <v>19.0</v>
      </c>
      <c r="M51" s="831"/>
      <c r="N51" s="782" t="s">
        <v>18001</v>
      </c>
      <c r="O51" s="433" t="s">
        <v>2463</v>
      </c>
      <c r="P51" s="547">
        <v>2015.0</v>
      </c>
      <c r="Q51" s="433" t="s">
        <v>17956</v>
      </c>
      <c r="R51" s="433">
        <v>1.0</v>
      </c>
      <c r="S51" s="827"/>
      <c r="T51" s="45"/>
      <c r="U51" s="45"/>
      <c r="V51" s="45"/>
      <c r="W51" s="45"/>
      <c r="X51" s="45"/>
      <c r="Y51" s="45"/>
      <c r="Z51" s="45"/>
    </row>
    <row r="52" ht="15.75" customHeight="1">
      <c r="A52" s="45"/>
      <c r="B52" s="45"/>
      <c r="C52" s="547"/>
      <c r="D52" s="547" t="s">
        <v>18060</v>
      </c>
      <c r="E52" s="547" t="s">
        <v>18061</v>
      </c>
      <c r="F52" s="834" t="s">
        <v>18062</v>
      </c>
      <c r="G52" s="547"/>
      <c r="H52" s="433" t="s">
        <v>2222</v>
      </c>
      <c r="I52" s="433" t="s">
        <v>30</v>
      </c>
      <c r="J52" s="547"/>
      <c r="K52" s="547" t="s">
        <v>7799</v>
      </c>
      <c r="L52" s="433">
        <v>19.0</v>
      </c>
      <c r="M52" s="831"/>
      <c r="N52" s="782" t="s">
        <v>18001</v>
      </c>
      <c r="O52" s="433" t="s">
        <v>2463</v>
      </c>
      <c r="P52" s="547">
        <v>2016.0</v>
      </c>
      <c r="Q52" s="433" t="s">
        <v>17956</v>
      </c>
      <c r="R52" s="433">
        <v>1.0</v>
      </c>
      <c r="S52" s="827"/>
      <c r="T52" s="45"/>
      <c r="U52" s="45"/>
      <c r="V52" s="45"/>
      <c r="W52" s="45"/>
      <c r="X52" s="45"/>
      <c r="Y52" s="45"/>
      <c r="Z52" s="45"/>
    </row>
    <row r="53" ht="15.75" customHeight="1">
      <c r="C53" s="449">
        <v>1.0</v>
      </c>
      <c r="D53" s="433" t="s">
        <v>31</v>
      </c>
      <c r="E53" s="433" t="s">
        <v>18063</v>
      </c>
      <c r="F53" s="434" t="s">
        <v>18064</v>
      </c>
      <c r="G53" s="433"/>
      <c r="H53" s="433" t="s">
        <v>2222</v>
      </c>
      <c r="I53" s="433" t="s">
        <v>30</v>
      </c>
      <c r="J53" s="433"/>
      <c r="K53" s="433" t="s">
        <v>30</v>
      </c>
      <c r="L53" s="433">
        <v>96.0</v>
      </c>
      <c r="M53" s="782"/>
      <c r="N53" s="433" t="s">
        <v>18065</v>
      </c>
      <c r="O53" s="433" t="s">
        <v>18066</v>
      </c>
      <c r="P53" s="433">
        <v>2010.0</v>
      </c>
      <c r="Q53" s="433" t="s">
        <v>17956</v>
      </c>
      <c r="R53" s="433">
        <v>2.0</v>
      </c>
      <c r="S53" s="826"/>
      <c r="T53" s="3"/>
      <c r="U53" s="3"/>
      <c r="V53" s="3"/>
      <c r="W53" s="3"/>
      <c r="X53" s="3"/>
      <c r="Y53" s="3"/>
      <c r="Z53" s="3"/>
    </row>
    <row r="54" ht="15.75" customHeight="1">
      <c r="C54" s="449">
        <v>2.0</v>
      </c>
      <c r="D54" s="433" t="s">
        <v>18067</v>
      </c>
      <c r="E54" s="433" t="s">
        <v>18068</v>
      </c>
      <c r="F54" s="434" t="s">
        <v>18069</v>
      </c>
      <c r="G54" s="433"/>
      <c r="H54" s="433" t="s">
        <v>2222</v>
      </c>
      <c r="I54" s="433" t="s">
        <v>30</v>
      </c>
      <c r="J54" s="433"/>
      <c r="K54" s="433" t="s">
        <v>14933</v>
      </c>
      <c r="L54" s="433">
        <v>22.0</v>
      </c>
      <c r="M54" s="433"/>
      <c r="N54" s="433" t="s">
        <v>18070</v>
      </c>
      <c r="O54" s="433" t="s">
        <v>18070</v>
      </c>
      <c r="P54" s="433">
        <v>2004.0</v>
      </c>
      <c r="Q54" s="433" t="s">
        <v>17956</v>
      </c>
      <c r="R54" s="433">
        <v>1.0</v>
      </c>
      <c r="S54" s="826"/>
      <c r="T54" s="3"/>
      <c r="U54" s="3"/>
      <c r="V54" s="3"/>
      <c r="W54" s="3"/>
      <c r="X54" s="3"/>
      <c r="Y54" s="3"/>
      <c r="Z54" s="3"/>
    </row>
    <row r="55" ht="15.75" customHeight="1">
      <c r="C55" s="449">
        <v>3.0</v>
      </c>
      <c r="D55" s="433" t="s">
        <v>18071</v>
      </c>
      <c r="E55" s="433" t="s">
        <v>18072</v>
      </c>
      <c r="F55" s="434" t="s">
        <v>18073</v>
      </c>
      <c r="G55" s="433"/>
      <c r="H55" s="433" t="s">
        <v>2222</v>
      </c>
      <c r="I55" s="433" t="s">
        <v>37</v>
      </c>
      <c r="J55" s="433"/>
      <c r="K55" s="433" t="s">
        <v>38</v>
      </c>
      <c r="L55" s="433">
        <v>8.0</v>
      </c>
      <c r="M55" s="433"/>
      <c r="N55" s="433" t="s">
        <v>18074</v>
      </c>
      <c r="O55" s="433" t="s">
        <v>10580</v>
      </c>
      <c r="P55" s="433">
        <v>2011.0</v>
      </c>
      <c r="Q55" s="433" t="s">
        <v>17956</v>
      </c>
      <c r="R55" s="433">
        <v>1.0</v>
      </c>
      <c r="S55" s="826"/>
      <c r="T55" s="3"/>
      <c r="U55" s="3"/>
      <c r="V55" s="3"/>
      <c r="W55" s="3"/>
      <c r="X55" s="3"/>
      <c r="Y55" s="3"/>
      <c r="Z55" s="3"/>
    </row>
    <row r="56" ht="15.75" customHeight="1">
      <c r="C56" s="449">
        <v>4.0</v>
      </c>
      <c r="D56" s="433" t="s">
        <v>18075</v>
      </c>
      <c r="E56" s="433" t="s">
        <v>18076</v>
      </c>
      <c r="F56" s="434" t="s">
        <v>18077</v>
      </c>
      <c r="G56" s="433"/>
      <c r="H56" s="433" t="s">
        <v>2222</v>
      </c>
      <c r="I56" s="433" t="s">
        <v>37</v>
      </c>
      <c r="J56" s="433"/>
      <c r="K56" s="433" t="s">
        <v>38</v>
      </c>
      <c r="L56" s="433">
        <v>16.0</v>
      </c>
      <c r="M56" s="433"/>
      <c r="N56" s="433" t="s">
        <v>18078</v>
      </c>
      <c r="O56" s="433" t="s">
        <v>18079</v>
      </c>
      <c r="P56" s="433">
        <v>2009.0</v>
      </c>
      <c r="Q56" s="433" t="s">
        <v>17956</v>
      </c>
      <c r="R56" s="433">
        <v>1.0</v>
      </c>
      <c r="S56" s="826"/>
      <c r="T56" s="3"/>
      <c r="U56" s="3"/>
      <c r="V56" s="3"/>
      <c r="W56" s="3"/>
      <c r="X56" s="3"/>
      <c r="Y56" s="3"/>
      <c r="Z56" s="3"/>
    </row>
    <row r="57" ht="15.75" customHeight="1">
      <c r="C57" s="449">
        <v>5.0</v>
      </c>
      <c r="D57" s="433" t="s">
        <v>31</v>
      </c>
      <c r="E57" s="433" t="s">
        <v>18080</v>
      </c>
      <c r="F57" s="434" t="s">
        <v>18081</v>
      </c>
      <c r="G57" s="433"/>
      <c r="H57" s="433" t="s">
        <v>2222</v>
      </c>
      <c r="I57" s="433" t="s">
        <v>30</v>
      </c>
      <c r="J57" s="433"/>
      <c r="K57" s="433" t="s">
        <v>30</v>
      </c>
      <c r="L57" s="433">
        <v>47.0</v>
      </c>
      <c r="M57" s="433"/>
      <c r="N57" s="433" t="s">
        <v>18082</v>
      </c>
      <c r="O57" s="433" t="s">
        <v>18083</v>
      </c>
      <c r="P57" s="433">
        <v>2009.0</v>
      </c>
      <c r="Q57" s="433" t="s">
        <v>17956</v>
      </c>
      <c r="R57" s="433">
        <v>2.0</v>
      </c>
      <c r="S57" s="826"/>
      <c r="T57" s="3"/>
      <c r="U57" s="3"/>
      <c r="V57" s="3"/>
      <c r="W57" s="3"/>
      <c r="X57" s="3"/>
      <c r="Y57" s="3"/>
      <c r="Z57" s="3"/>
    </row>
    <row r="58" ht="15.75" customHeight="1">
      <c r="C58" s="449">
        <v>6.0</v>
      </c>
      <c r="D58" s="433" t="s">
        <v>18084</v>
      </c>
      <c r="E58" s="433" t="s">
        <v>18085</v>
      </c>
      <c r="F58" s="434" t="s">
        <v>18086</v>
      </c>
      <c r="G58" s="433"/>
      <c r="H58" s="433" t="s">
        <v>2222</v>
      </c>
      <c r="I58" s="433" t="s">
        <v>30</v>
      </c>
      <c r="J58" s="433"/>
      <c r="K58" s="433" t="s">
        <v>30</v>
      </c>
      <c r="L58" s="433">
        <v>71.0</v>
      </c>
      <c r="M58" s="433"/>
      <c r="N58" s="433" t="s">
        <v>18087</v>
      </c>
      <c r="O58" s="433" t="s">
        <v>3341</v>
      </c>
      <c r="P58" s="433">
        <v>2008.0</v>
      </c>
      <c r="Q58" s="433" t="s">
        <v>17956</v>
      </c>
      <c r="R58" s="433">
        <v>1.0</v>
      </c>
      <c r="S58" s="826"/>
      <c r="T58" s="3"/>
      <c r="U58" s="3"/>
      <c r="V58" s="3"/>
      <c r="W58" s="3"/>
      <c r="X58" s="3"/>
      <c r="Y58" s="3"/>
      <c r="Z58" s="3"/>
    </row>
    <row r="59" ht="15.75" customHeight="1">
      <c r="C59" s="449">
        <v>7.0</v>
      </c>
      <c r="D59" s="433" t="s">
        <v>18088</v>
      </c>
      <c r="E59" s="433" t="s">
        <v>18089</v>
      </c>
      <c r="F59" s="434" t="s">
        <v>18090</v>
      </c>
      <c r="G59" s="433"/>
      <c r="H59" s="433" t="s">
        <v>2222</v>
      </c>
      <c r="I59" s="433" t="s">
        <v>30</v>
      </c>
      <c r="J59" s="433"/>
      <c r="K59" s="433" t="s">
        <v>30</v>
      </c>
      <c r="L59" s="433">
        <v>24.0</v>
      </c>
      <c r="M59" s="433"/>
      <c r="N59" s="433" t="s">
        <v>18091</v>
      </c>
      <c r="O59" s="433" t="s">
        <v>18070</v>
      </c>
      <c r="P59" s="433">
        <v>2004.0</v>
      </c>
      <c r="Q59" s="433" t="s">
        <v>17956</v>
      </c>
      <c r="R59" s="433">
        <v>1.0</v>
      </c>
      <c r="S59" s="826"/>
      <c r="T59" s="3"/>
      <c r="U59" s="3"/>
      <c r="V59" s="3"/>
      <c r="W59" s="3"/>
      <c r="X59" s="3"/>
      <c r="Y59" s="3"/>
      <c r="Z59" s="3"/>
    </row>
    <row r="60" ht="15.75" customHeight="1">
      <c r="C60" s="449">
        <v>8.0</v>
      </c>
      <c r="D60" s="433" t="s">
        <v>18092</v>
      </c>
      <c r="E60" s="433" t="s">
        <v>18093</v>
      </c>
      <c r="F60" s="434" t="s">
        <v>18094</v>
      </c>
      <c r="G60" s="433"/>
      <c r="H60" s="433" t="s">
        <v>2222</v>
      </c>
      <c r="I60" s="433" t="s">
        <v>37</v>
      </c>
      <c r="J60" s="433"/>
      <c r="K60" s="433" t="s">
        <v>38</v>
      </c>
      <c r="L60" s="433">
        <v>22.0</v>
      </c>
      <c r="M60" s="433"/>
      <c r="N60" s="433" t="s">
        <v>31</v>
      </c>
      <c r="O60" s="433" t="s">
        <v>18095</v>
      </c>
      <c r="P60" s="433" t="s">
        <v>31</v>
      </c>
      <c r="Q60" s="433" t="s">
        <v>17956</v>
      </c>
      <c r="R60" s="433">
        <v>1.0</v>
      </c>
      <c r="S60" s="826"/>
      <c r="T60" s="3"/>
      <c r="U60" s="3"/>
      <c r="V60" s="3"/>
      <c r="W60" s="3"/>
      <c r="X60" s="3"/>
      <c r="Y60" s="3"/>
      <c r="Z60" s="3"/>
    </row>
    <row r="61" ht="15.75" customHeight="1">
      <c r="C61" s="449">
        <v>9.0</v>
      </c>
      <c r="D61" s="433" t="s">
        <v>18096</v>
      </c>
      <c r="E61" s="433" t="s">
        <v>18097</v>
      </c>
      <c r="F61" s="434" t="s">
        <v>18098</v>
      </c>
      <c r="G61" s="433"/>
      <c r="H61" s="433" t="s">
        <v>2222</v>
      </c>
      <c r="I61" s="433" t="s">
        <v>30</v>
      </c>
      <c r="J61" s="433"/>
      <c r="K61" s="433" t="s">
        <v>30</v>
      </c>
      <c r="L61" s="433">
        <v>34.0</v>
      </c>
      <c r="M61" s="433"/>
      <c r="N61" s="433" t="s">
        <v>18099</v>
      </c>
      <c r="O61" s="433" t="s">
        <v>169</v>
      </c>
      <c r="P61" s="433">
        <v>2003.0</v>
      </c>
      <c r="Q61" s="433" t="s">
        <v>17956</v>
      </c>
      <c r="R61" s="433">
        <v>1.0</v>
      </c>
      <c r="S61" s="826"/>
      <c r="T61" s="3"/>
      <c r="U61" s="3"/>
      <c r="V61" s="3"/>
      <c r="W61" s="3"/>
      <c r="X61" s="3"/>
      <c r="Y61" s="3"/>
      <c r="Z61" s="3"/>
    </row>
    <row r="62" ht="15.75" customHeight="1">
      <c r="C62" s="449">
        <v>10.0</v>
      </c>
      <c r="D62" s="433" t="s">
        <v>18100</v>
      </c>
      <c r="E62" s="433" t="s">
        <v>18101</v>
      </c>
      <c r="F62" s="434" t="s">
        <v>18102</v>
      </c>
      <c r="G62" s="433"/>
      <c r="H62" s="433" t="s">
        <v>2222</v>
      </c>
      <c r="I62" s="433" t="s">
        <v>30</v>
      </c>
      <c r="J62" s="433"/>
      <c r="K62" s="433" t="s">
        <v>18103</v>
      </c>
      <c r="L62" s="433">
        <v>16.0</v>
      </c>
      <c r="M62" s="433"/>
      <c r="N62" s="433" t="s">
        <v>18070</v>
      </c>
      <c r="O62" s="433" t="s">
        <v>18070</v>
      </c>
      <c r="P62" s="433">
        <v>2004.0</v>
      </c>
      <c r="Q62" s="433" t="s">
        <v>17956</v>
      </c>
      <c r="R62" s="433">
        <v>1.0</v>
      </c>
      <c r="S62" s="826"/>
      <c r="T62" s="3"/>
      <c r="U62" s="3"/>
      <c r="V62" s="3"/>
      <c r="W62" s="3"/>
      <c r="X62" s="3"/>
      <c r="Y62" s="3"/>
      <c r="Z62" s="3"/>
    </row>
    <row r="63" ht="15.75" customHeight="1">
      <c r="C63" s="449">
        <v>11.0</v>
      </c>
      <c r="D63" s="433" t="s">
        <v>18104</v>
      </c>
      <c r="E63" s="433" t="s">
        <v>18105</v>
      </c>
      <c r="F63" s="434" t="s">
        <v>18106</v>
      </c>
      <c r="G63" s="433"/>
      <c r="H63" s="433" t="s">
        <v>2222</v>
      </c>
      <c r="I63" s="433" t="s">
        <v>37</v>
      </c>
      <c r="J63" s="433"/>
      <c r="K63" s="433" t="s">
        <v>38</v>
      </c>
      <c r="L63" s="433">
        <v>34.0</v>
      </c>
      <c r="M63" s="433"/>
      <c r="N63" s="433" t="s">
        <v>18099</v>
      </c>
      <c r="O63" s="433" t="s">
        <v>18107</v>
      </c>
      <c r="P63" s="433">
        <v>2007.0</v>
      </c>
      <c r="Q63" s="433" t="s">
        <v>17956</v>
      </c>
      <c r="R63" s="433">
        <v>1.0</v>
      </c>
      <c r="S63" s="826"/>
      <c r="T63" s="3"/>
      <c r="U63" s="3"/>
      <c r="V63" s="3"/>
      <c r="W63" s="3"/>
      <c r="X63" s="3"/>
      <c r="Y63" s="3"/>
      <c r="Z63" s="3"/>
    </row>
    <row r="64" ht="15.75" customHeight="1">
      <c r="C64" s="449">
        <v>12.0</v>
      </c>
      <c r="D64" s="433" t="s">
        <v>18108</v>
      </c>
      <c r="E64" s="433" t="s">
        <v>18109</v>
      </c>
      <c r="F64" s="434" t="s">
        <v>18110</v>
      </c>
      <c r="G64" s="433"/>
      <c r="H64" s="433" t="s">
        <v>2222</v>
      </c>
      <c r="I64" s="433" t="s">
        <v>30</v>
      </c>
      <c r="J64" s="433"/>
      <c r="K64" s="433" t="s">
        <v>30</v>
      </c>
      <c r="L64" s="433">
        <v>148.0</v>
      </c>
      <c r="M64" s="433"/>
      <c r="N64" s="433" t="s">
        <v>18111</v>
      </c>
      <c r="O64" s="433" t="s">
        <v>161</v>
      </c>
      <c r="P64" s="433">
        <v>2001.0</v>
      </c>
      <c r="Q64" s="433" t="s">
        <v>17956</v>
      </c>
      <c r="R64" s="433">
        <v>1.0</v>
      </c>
      <c r="S64" s="826"/>
      <c r="T64" s="3"/>
      <c r="U64" s="3"/>
      <c r="V64" s="3"/>
      <c r="W64" s="3"/>
      <c r="X64" s="3"/>
      <c r="Y64" s="3"/>
      <c r="Z64" s="3"/>
    </row>
    <row r="65" ht="15.75" customHeight="1">
      <c r="C65" s="449">
        <v>13.0</v>
      </c>
      <c r="D65" s="433" t="s">
        <v>4085</v>
      </c>
      <c r="E65" s="433" t="s">
        <v>18112</v>
      </c>
      <c r="F65" s="434" t="s">
        <v>18113</v>
      </c>
      <c r="G65" s="433"/>
      <c r="H65" s="433" t="s">
        <v>2222</v>
      </c>
      <c r="I65" s="433" t="s">
        <v>30</v>
      </c>
      <c r="J65" s="433"/>
      <c r="K65" s="433" t="s">
        <v>30</v>
      </c>
      <c r="L65" s="433">
        <v>177.0</v>
      </c>
      <c r="M65" s="433"/>
      <c r="N65" s="433" t="s">
        <v>18114</v>
      </c>
      <c r="O65" s="433" t="s">
        <v>10580</v>
      </c>
      <c r="P65" s="433">
        <v>2009.0</v>
      </c>
      <c r="Q65" s="433" t="s">
        <v>17956</v>
      </c>
      <c r="R65" s="433">
        <v>1.0</v>
      </c>
      <c r="S65" s="826"/>
      <c r="T65" s="3"/>
      <c r="U65" s="3"/>
      <c r="V65" s="3"/>
      <c r="W65" s="3"/>
      <c r="X65" s="3"/>
      <c r="Y65" s="3"/>
      <c r="Z65" s="3"/>
    </row>
    <row r="66" ht="15.75" customHeight="1">
      <c r="C66" s="449">
        <v>14.0</v>
      </c>
      <c r="D66" s="433" t="s">
        <v>18115</v>
      </c>
      <c r="E66" s="433" t="s">
        <v>18116</v>
      </c>
      <c r="F66" s="434" t="s">
        <v>18117</v>
      </c>
      <c r="G66" s="433"/>
      <c r="H66" s="433" t="s">
        <v>2222</v>
      </c>
      <c r="I66" s="433" t="s">
        <v>18118</v>
      </c>
      <c r="J66" s="433"/>
      <c r="K66" s="433" t="s">
        <v>38</v>
      </c>
      <c r="L66" s="433">
        <v>192.0</v>
      </c>
      <c r="M66" s="433"/>
      <c r="N66" s="433" t="s">
        <v>18119</v>
      </c>
      <c r="O66" s="433" t="s">
        <v>18120</v>
      </c>
      <c r="P66" s="433">
        <v>2013.0</v>
      </c>
      <c r="Q66" s="433" t="s">
        <v>17956</v>
      </c>
      <c r="R66" s="433">
        <v>1.0</v>
      </c>
      <c r="S66" s="826"/>
      <c r="T66" s="3"/>
      <c r="U66" s="3"/>
      <c r="V66" s="3"/>
      <c r="W66" s="3"/>
      <c r="X66" s="3"/>
      <c r="Y66" s="3"/>
      <c r="Z66" s="3"/>
    </row>
    <row r="67" ht="15.75" customHeight="1">
      <c r="C67" s="449">
        <v>15.0</v>
      </c>
      <c r="D67" s="433" t="s">
        <v>18121</v>
      </c>
      <c r="E67" s="433" t="s">
        <v>18122</v>
      </c>
      <c r="F67" s="434" t="s">
        <v>18123</v>
      </c>
      <c r="G67" s="433"/>
      <c r="H67" s="433" t="s">
        <v>2222</v>
      </c>
      <c r="I67" s="433" t="s">
        <v>30</v>
      </c>
      <c r="J67" s="433"/>
      <c r="K67" s="433" t="s">
        <v>18103</v>
      </c>
      <c r="L67" s="433">
        <v>23.0</v>
      </c>
      <c r="M67" s="433"/>
      <c r="N67" s="433" t="s">
        <v>18070</v>
      </c>
      <c r="O67" s="433" t="s">
        <v>18070</v>
      </c>
      <c r="P67" s="433">
        <v>2005.0</v>
      </c>
      <c r="Q67" s="433" t="s">
        <v>17956</v>
      </c>
      <c r="R67" s="433">
        <v>1.0</v>
      </c>
      <c r="S67" s="826"/>
      <c r="T67" s="3"/>
      <c r="U67" s="3"/>
      <c r="V67" s="3"/>
      <c r="W67" s="3"/>
      <c r="X67" s="3"/>
      <c r="Y67" s="3"/>
      <c r="Z67" s="3"/>
    </row>
    <row r="68" ht="15.75" customHeight="1">
      <c r="C68" s="449">
        <v>16.0</v>
      </c>
      <c r="D68" s="433" t="s">
        <v>18124</v>
      </c>
      <c r="E68" s="433" t="s">
        <v>18125</v>
      </c>
      <c r="F68" s="434" t="s">
        <v>18126</v>
      </c>
      <c r="G68" s="433"/>
      <c r="H68" s="433" t="s">
        <v>2222</v>
      </c>
      <c r="I68" s="433" t="s">
        <v>30</v>
      </c>
      <c r="J68" s="433"/>
      <c r="K68" s="433" t="s">
        <v>30</v>
      </c>
      <c r="L68" s="433">
        <v>54.0</v>
      </c>
      <c r="M68" s="433"/>
      <c r="N68" s="433" t="s">
        <v>18127</v>
      </c>
      <c r="O68" s="433" t="s">
        <v>151</v>
      </c>
      <c r="P68" s="433">
        <v>2010.0</v>
      </c>
      <c r="Q68" s="433" t="s">
        <v>17956</v>
      </c>
      <c r="R68" s="433">
        <v>1.0</v>
      </c>
      <c r="S68" s="826"/>
      <c r="T68" s="3"/>
      <c r="U68" s="3"/>
      <c r="V68" s="3"/>
      <c r="W68" s="3"/>
      <c r="X68" s="3"/>
      <c r="Y68" s="3"/>
      <c r="Z68" s="3"/>
    </row>
    <row r="69" ht="15.75" customHeight="1">
      <c r="C69" s="449">
        <v>17.0</v>
      </c>
      <c r="D69" s="433" t="s">
        <v>18128</v>
      </c>
      <c r="E69" s="433" t="s">
        <v>18129</v>
      </c>
      <c r="F69" s="434" t="s">
        <v>18130</v>
      </c>
      <c r="G69" s="433"/>
      <c r="H69" s="433" t="s">
        <v>2222</v>
      </c>
      <c r="I69" s="433" t="s">
        <v>30</v>
      </c>
      <c r="J69" s="433"/>
      <c r="K69" s="433" t="s">
        <v>30</v>
      </c>
      <c r="L69" s="433">
        <v>137.0</v>
      </c>
      <c r="M69" s="433"/>
      <c r="N69" s="433" t="s">
        <v>18131</v>
      </c>
      <c r="O69" s="433" t="s">
        <v>151</v>
      </c>
      <c r="P69" s="433">
        <v>2011.0</v>
      </c>
      <c r="Q69" s="433" t="s">
        <v>17956</v>
      </c>
      <c r="R69" s="433">
        <v>1.0</v>
      </c>
      <c r="S69" s="826"/>
      <c r="T69" s="3"/>
      <c r="U69" s="3"/>
      <c r="V69" s="3"/>
      <c r="W69" s="3"/>
      <c r="X69" s="3"/>
      <c r="Y69" s="3"/>
      <c r="Z69" s="3"/>
    </row>
    <row r="70" ht="15.75" customHeight="1">
      <c r="C70" s="449">
        <v>18.0</v>
      </c>
      <c r="D70" s="433" t="s">
        <v>18132</v>
      </c>
      <c r="E70" s="433" t="s">
        <v>18133</v>
      </c>
      <c r="F70" s="434" t="s">
        <v>18134</v>
      </c>
      <c r="G70" s="433"/>
      <c r="H70" s="433" t="s">
        <v>2222</v>
      </c>
      <c r="I70" s="433" t="s">
        <v>30</v>
      </c>
      <c r="J70" s="433"/>
      <c r="K70" s="433" t="s">
        <v>18103</v>
      </c>
      <c r="L70" s="433">
        <v>30.0</v>
      </c>
      <c r="M70" s="433"/>
      <c r="N70" s="433" t="s">
        <v>18135</v>
      </c>
      <c r="O70" s="433" t="s">
        <v>18070</v>
      </c>
      <c r="P70" s="433">
        <v>2000.0</v>
      </c>
      <c r="Q70" s="433" t="s">
        <v>17956</v>
      </c>
      <c r="R70" s="433">
        <v>1.0</v>
      </c>
      <c r="S70" s="826"/>
      <c r="T70" s="3"/>
      <c r="U70" s="3"/>
      <c r="V70" s="3"/>
      <c r="W70" s="3"/>
      <c r="X70" s="3"/>
      <c r="Y70" s="3"/>
      <c r="Z70" s="3"/>
    </row>
    <row r="71" ht="15.75" customHeight="1">
      <c r="C71" s="449">
        <v>19.0</v>
      </c>
      <c r="D71" s="433" t="s">
        <v>18136</v>
      </c>
      <c r="E71" s="433" t="s">
        <v>18137</v>
      </c>
      <c r="F71" s="434" t="s">
        <v>18138</v>
      </c>
      <c r="G71" s="433"/>
      <c r="H71" s="433" t="s">
        <v>2222</v>
      </c>
      <c r="I71" s="433"/>
      <c r="J71" s="433"/>
      <c r="K71" s="433" t="s">
        <v>38</v>
      </c>
      <c r="L71" s="433">
        <v>79.0</v>
      </c>
      <c r="M71" s="433"/>
      <c r="N71" s="433" t="s">
        <v>18139</v>
      </c>
      <c r="O71" s="433" t="s">
        <v>18140</v>
      </c>
      <c r="P71" s="433">
        <v>2012.0</v>
      </c>
      <c r="Q71" s="433" t="s">
        <v>17956</v>
      </c>
      <c r="R71" s="433">
        <v>1.0</v>
      </c>
      <c r="S71" s="826"/>
      <c r="T71" s="3"/>
      <c r="U71" s="3"/>
      <c r="V71" s="3"/>
      <c r="W71" s="3"/>
      <c r="X71" s="3"/>
      <c r="Y71" s="3"/>
      <c r="Z71" s="3"/>
    </row>
    <row r="72" ht="15.75" customHeight="1">
      <c r="C72" s="449">
        <v>20.0</v>
      </c>
      <c r="D72" s="433" t="s">
        <v>18141</v>
      </c>
      <c r="E72" s="433" t="s">
        <v>18142</v>
      </c>
      <c r="F72" s="434" t="s">
        <v>18143</v>
      </c>
      <c r="G72" s="433"/>
      <c r="H72" s="433" t="s">
        <v>2222</v>
      </c>
      <c r="I72" s="433" t="s">
        <v>30</v>
      </c>
      <c r="J72" s="433"/>
      <c r="K72" s="433" t="s">
        <v>30</v>
      </c>
      <c r="L72" s="433">
        <v>224.0</v>
      </c>
      <c r="M72" s="433"/>
      <c r="N72" s="433" t="s">
        <v>18144</v>
      </c>
      <c r="O72" s="433" t="s">
        <v>18145</v>
      </c>
      <c r="P72" s="433">
        <v>2008.0</v>
      </c>
      <c r="Q72" s="433" t="s">
        <v>17956</v>
      </c>
      <c r="R72" s="433">
        <v>1.0</v>
      </c>
      <c r="S72" s="826"/>
      <c r="T72" s="3"/>
      <c r="U72" s="3"/>
      <c r="V72" s="3"/>
      <c r="W72" s="3"/>
      <c r="X72" s="3"/>
      <c r="Y72" s="3"/>
      <c r="Z72" s="3"/>
    </row>
    <row r="73" ht="15.75" customHeight="1">
      <c r="C73" s="449">
        <v>21.0</v>
      </c>
      <c r="D73" s="433" t="s">
        <v>18146</v>
      </c>
      <c r="E73" s="433" t="s">
        <v>18147</v>
      </c>
      <c r="F73" s="434" t="s">
        <v>18148</v>
      </c>
      <c r="G73" s="433"/>
      <c r="H73" s="433" t="s">
        <v>2222</v>
      </c>
      <c r="I73" s="433" t="s">
        <v>30</v>
      </c>
      <c r="J73" s="433"/>
      <c r="K73" s="433" t="s">
        <v>18103</v>
      </c>
      <c r="L73" s="433">
        <v>46.0</v>
      </c>
      <c r="M73" s="433"/>
      <c r="N73" s="433" t="s">
        <v>18149</v>
      </c>
      <c r="O73" s="433" t="s">
        <v>151</v>
      </c>
      <c r="P73" s="433">
        <v>2011.0</v>
      </c>
      <c r="Q73" s="433" t="s">
        <v>17956</v>
      </c>
      <c r="R73" s="433">
        <v>1.0</v>
      </c>
      <c r="S73" s="826"/>
      <c r="T73" s="3"/>
      <c r="U73" s="3"/>
      <c r="V73" s="3"/>
      <c r="W73" s="3"/>
      <c r="X73" s="3"/>
      <c r="Y73" s="3"/>
      <c r="Z73" s="3"/>
    </row>
    <row r="74" ht="15.75" customHeight="1">
      <c r="C74" s="449">
        <v>22.0</v>
      </c>
      <c r="D74" s="433" t="s">
        <v>18150</v>
      </c>
      <c r="E74" s="433" t="s">
        <v>18151</v>
      </c>
      <c r="F74" s="434" t="s">
        <v>18152</v>
      </c>
      <c r="G74" s="433"/>
      <c r="H74" s="433" t="s">
        <v>2222</v>
      </c>
      <c r="I74" s="433" t="s">
        <v>30</v>
      </c>
      <c r="J74" s="433"/>
      <c r="K74" s="433" t="s">
        <v>30</v>
      </c>
      <c r="L74" s="433">
        <v>207.0</v>
      </c>
      <c r="M74" s="433"/>
      <c r="N74" s="433" t="s">
        <v>18153</v>
      </c>
      <c r="O74" s="433" t="s">
        <v>151</v>
      </c>
      <c r="P74" s="433">
        <v>2010.0</v>
      </c>
      <c r="Q74" s="433" t="s">
        <v>17956</v>
      </c>
      <c r="R74" s="433">
        <v>1.0</v>
      </c>
      <c r="S74" s="826"/>
      <c r="T74" s="3"/>
      <c r="U74" s="3"/>
      <c r="V74" s="3"/>
      <c r="W74" s="3"/>
      <c r="X74" s="3"/>
      <c r="Y74" s="3"/>
      <c r="Z74" s="3"/>
    </row>
    <row r="75" ht="15.75" customHeight="1">
      <c r="C75" s="449">
        <v>23.0</v>
      </c>
      <c r="D75" s="433" t="s">
        <v>31</v>
      </c>
      <c r="E75" s="433" t="s">
        <v>18154</v>
      </c>
      <c r="F75" s="434" t="s">
        <v>18155</v>
      </c>
      <c r="G75" s="433"/>
      <c r="H75" s="433" t="s">
        <v>2222</v>
      </c>
      <c r="I75" s="433" t="s">
        <v>30</v>
      </c>
      <c r="J75" s="433"/>
      <c r="K75" s="433" t="s">
        <v>30</v>
      </c>
      <c r="L75" s="433">
        <v>222.0</v>
      </c>
      <c r="M75" s="433"/>
      <c r="N75" s="433" t="s">
        <v>18156</v>
      </c>
      <c r="O75" s="433" t="s">
        <v>18083</v>
      </c>
      <c r="P75" s="433">
        <v>2009.0</v>
      </c>
      <c r="Q75" s="433" t="s">
        <v>17956</v>
      </c>
      <c r="R75" s="433">
        <v>1.0</v>
      </c>
      <c r="S75" s="826"/>
      <c r="T75" s="3"/>
      <c r="U75" s="3"/>
      <c r="V75" s="3"/>
      <c r="W75" s="3"/>
      <c r="X75" s="3"/>
      <c r="Y75" s="3"/>
      <c r="Z75" s="3"/>
    </row>
    <row r="76" ht="15.75" customHeight="1">
      <c r="C76" s="449">
        <v>24.0</v>
      </c>
      <c r="D76" s="433" t="s">
        <v>18157</v>
      </c>
      <c r="E76" s="433" t="s">
        <v>18158</v>
      </c>
      <c r="F76" s="434" t="s">
        <v>18159</v>
      </c>
      <c r="G76" s="433"/>
      <c r="H76" s="433" t="s">
        <v>2222</v>
      </c>
      <c r="I76" s="433" t="s">
        <v>30</v>
      </c>
      <c r="J76" s="433"/>
      <c r="K76" s="433" t="s">
        <v>30</v>
      </c>
      <c r="L76" s="433">
        <v>290.0</v>
      </c>
      <c r="M76" s="433"/>
      <c r="N76" s="433" t="s">
        <v>18160</v>
      </c>
      <c r="O76" s="433" t="s">
        <v>151</v>
      </c>
      <c r="P76" s="433">
        <v>2012.0</v>
      </c>
      <c r="Q76" s="433" t="s">
        <v>17956</v>
      </c>
      <c r="R76" s="433">
        <v>1.0</v>
      </c>
      <c r="S76" s="826"/>
      <c r="T76" s="3"/>
      <c r="U76" s="3"/>
      <c r="V76" s="3"/>
      <c r="W76" s="3"/>
      <c r="X76" s="3"/>
      <c r="Y76" s="3"/>
      <c r="Z76" s="3"/>
    </row>
    <row r="77" ht="15.75" customHeight="1">
      <c r="C77" s="449">
        <v>25.0</v>
      </c>
      <c r="D77" s="433" t="s">
        <v>18161</v>
      </c>
      <c r="E77" s="433" t="s">
        <v>31</v>
      </c>
      <c r="F77" s="434" t="s">
        <v>18162</v>
      </c>
      <c r="G77" s="433"/>
      <c r="H77" s="433" t="s">
        <v>2222</v>
      </c>
      <c r="I77" s="433" t="s">
        <v>30</v>
      </c>
      <c r="J77" s="433"/>
      <c r="K77" s="433" t="s">
        <v>30</v>
      </c>
      <c r="L77" s="433">
        <v>144.0</v>
      </c>
      <c r="M77" s="433"/>
      <c r="N77" s="433" t="s">
        <v>18163</v>
      </c>
      <c r="O77" s="433" t="s">
        <v>151</v>
      </c>
      <c r="P77" s="433">
        <v>2011.0</v>
      </c>
      <c r="Q77" s="433" t="s">
        <v>17956</v>
      </c>
      <c r="R77" s="433">
        <v>1.0</v>
      </c>
      <c r="S77" s="826"/>
      <c r="T77" s="3"/>
      <c r="U77" s="3"/>
      <c r="V77" s="3"/>
      <c r="W77" s="3"/>
      <c r="X77" s="3"/>
      <c r="Y77" s="3"/>
      <c r="Z77" s="3"/>
    </row>
    <row r="78" ht="15.75" customHeight="1">
      <c r="C78" s="449">
        <v>26.0</v>
      </c>
      <c r="D78" s="433" t="s">
        <v>18164</v>
      </c>
      <c r="E78" s="433" t="s">
        <v>31</v>
      </c>
      <c r="F78" s="434" t="s">
        <v>18165</v>
      </c>
      <c r="G78" s="433"/>
      <c r="H78" s="433" t="s">
        <v>2222</v>
      </c>
      <c r="I78" s="433" t="s">
        <v>30</v>
      </c>
      <c r="J78" s="433"/>
      <c r="K78" s="433" t="s">
        <v>30</v>
      </c>
      <c r="L78" s="433">
        <v>114.0</v>
      </c>
      <c r="M78" s="433"/>
      <c r="N78" s="433" t="s">
        <v>18166</v>
      </c>
      <c r="O78" s="433" t="s">
        <v>151</v>
      </c>
      <c r="P78" s="433">
        <v>2011.0</v>
      </c>
      <c r="Q78" s="433" t="s">
        <v>17956</v>
      </c>
      <c r="R78" s="433">
        <v>1.0</v>
      </c>
      <c r="S78" s="826"/>
      <c r="T78" s="3"/>
      <c r="U78" s="3"/>
      <c r="V78" s="3"/>
      <c r="W78" s="3"/>
      <c r="X78" s="3"/>
      <c r="Y78" s="3"/>
      <c r="Z78" s="3"/>
    </row>
    <row r="79" ht="15.75" customHeight="1">
      <c r="C79" s="449">
        <v>27.0</v>
      </c>
      <c r="D79" s="433" t="s">
        <v>18164</v>
      </c>
      <c r="E79" s="433" t="s">
        <v>31</v>
      </c>
      <c r="F79" s="434" t="s">
        <v>18167</v>
      </c>
      <c r="G79" s="433"/>
      <c r="H79" s="433" t="s">
        <v>2222</v>
      </c>
      <c r="I79" s="433" t="s">
        <v>30</v>
      </c>
      <c r="J79" s="433"/>
      <c r="K79" s="433" t="s">
        <v>30</v>
      </c>
      <c r="L79" s="433">
        <v>114.0</v>
      </c>
      <c r="M79" s="433"/>
      <c r="N79" s="433" t="s">
        <v>18166</v>
      </c>
      <c r="O79" s="433" t="s">
        <v>151</v>
      </c>
      <c r="P79" s="433">
        <v>2012.0</v>
      </c>
      <c r="Q79" s="433" t="s">
        <v>17956</v>
      </c>
      <c r="R79" s="433">
        <v>1.0</v>
      </c>
      <c r="S79" s="826"/>
      <c r="T79" s="3"/>
      <c r="U79" s="3"/>
      <c r="V79" s="3"/>
      <c r="W79" s="3"/>
      <c r="X79" s="3"/>
      <c r="Y79" s="3"/>
      <c r="Z79" s="3"/>
    </row>
    <row r="80" ht="15.75" customHeight="1">
      <c r="C80" s="449">
        <v>28.0</v>
      </c>
      <c r="D80" s="433" t="s">
        <v>18168</v>
      </c>
      <c r="E80" s="433" t="s">
        <v>18169</v>
      </c>
      <c r="F80" s="434" t="s">
        <v>18170</v>
      </c>
      <c r="G80" s="433"/>
      <c r="H80" s="433" t="s">
        <v>2222</v>
      </c>
      <c r="I80" s="433" t="s">
        <v>30</v>
      </c>
      <c r="J80" s="433"/>
      <c r="K80" s="433" t="s">
        <v>30</v>
      </c>
      <c r="L80" s="433">
        <v>292.0</v>
      </c>
      <c r="M80" s="433"/>
      <c r="N80" s="433" t="s">
        <v>18171</v>
      </c>
      <c r="O80" s="433" t="s">
        <v>4645</v>
      </c>
      <c r="P80" s="433">
        <v>2012.0</v>
      </c>
      <c r="Q80" s="433" t="s">
        <v>17956</v>
      </c>
      <c r="R80" s="433">
        <v>1.0</v>
      </c>
      <c r="S80" s="826"/>
      <c r="T80" s="3"/>
      <c r="U80" s="3"/>
      <c r="V80" s="3"/>
      <c r="W80" s="3"/>
      <c r="X80" s="3"/>
      <c r="Y80" s="3"/>
      <c r="Z80" s="3"/>
    </row>
    <row r="81" ht="15.75" customHeight="1">
      <c r="C81" s="449">
        <v>29.0</v>
      </c>
      <c r="D81" s="433" t="s">
        <v>18172</v>
      </c>
      <c r="E81" s="433" t="s">
        <v>18173</v>
      </c>
      <c r="F81" s="434" t="s">
        <v>18174</v>
      </c>
      <c r="G81" s="433"/>
      <c r="H81" s="433" t="s">
        <v>2222</v>
      </c>
      <c r="I81" s="433" t="s">
        <v>30</v>
      </c>
      <c r="J81" s="433"/>
      <c r="K81" s="433" t="s">
        <v>30</v>
      </c>
      <c r="L81" s="433">
        <v>64.0</v>
      </c>
      <c r="M81" s="433"/>
      <c r="N81" s="433" t="s">
        <v>18175</v>
      </c>
      <c r="O81" s="433" t="s">
        <v>151</v>
      </c>
      <c r="P81" s="433">
        <v>2013.0</v>
      </c>
      <c r="Q81" s="433" t="s">
        <v>17956</v>
      </c>
      <c r="R81" s="433">
        <v>1.0</v>
      </c>
      <c r="S81" s="826"/>
      <c r="T81" s="3"/>
      <c r="U81" s="3"/>
      <c r="V81" s="3"/>
      <c r="W81" s="3"/>
      <c r="X81" s="3"/>
      <c r="Y81" s="3"/>
      <c r="Z81" s="3"/>
    </row>
    <row r="82" ht="15.75" customHeight="1">
      <c r="C82" s="449">
        <v>30.0</v>
      </c>
      <c r="D82" s="433" t="s">
        <v>18176</v>
      </c>
      <c r="E82" s="433" t="s">
        <v>18177</v>
      </c>
      <c r="F82" s="434" t="s">
        <v>18178</v>
      </c>
      <c r="G82" s="433"/>
      <c r="H82" s="433" t="s">
        <v>2222</v>
      </c>
      <c r="I82" s="433" t="s">
        <v>30</v>
      </c>
      <c r="J82" s="433"/>
      <c r="K82" s="433" t="s">
        <v>30</v>
      </c>
      <c r="L82" s="433" t="s">
        <v>18179</v>
      </c>
      <c r="M82" s="433"/>
      <c r="N82" s="433" t="s">
        <v>8029</v>
      </c>
      <c r="O82" s="433" t="s">
        <v>3341</v>
      </c>
      <c r="P82" s="433">
        <v>2011.0</v>
      </c>
      <c r="Q82" s="433" t="s">
        <v>17956</v>
      </c>
      <c r="R82" s="433">
        <v>1.0</v>
      </c>
      <c r="S82" s="826"/>
      <c r="T82" s="3"/>
      <c r="U82" s="3"/>
      <c r="V82" s="3"/>
      <c r="W82" s="3"/>
      <c r="X82" s="3"/>
      <c r="Y82" s="3"/>
      <c r="Z82" s="3"/>
    </row>
    <row r="83" ht="15.75" customHeight="1">
      <c r="C83" s="449">
        <v>31.0</v>
      </c>
      <c r="D83" s="433" t="s">
        <v>18180</v>
      </c>
      <c r="E83" s="433" t="s">
        <v>18181</v>
      </c>
      <c r="F83" s="434" t="s">
        <v>18182</v>
      </c>
      <c r="G83" s="433"/>
      <c r="H83" s="433" t="s">
        <v>2222</v>
      </c>
      <c r="I83" s="433" t="s">
        <v>30</v>
      </c>
      <c r="J83" s="433"/>
      <c r="K83" s="433" t="s">
        <v>30</v>
      </c>
      <c r="L83" s="433">
        <v>110.0</v>
      </c>
      <c r="M83" s="433"/>
      <c r="N83" s="433" t="s">
        <v>18183</v>
      </c>
      <c r="O83" s="433" t="s">
        <v>151</v>
      </c>
      <c r="P83" s="433">
        <v>2011.0</v>
      </c>
      <c r="Q83" s="433" t="s">
        <v>17956</v>
      </c>
      <c r="R83" s="433">
        <v>1.0</v>
      </c>
      <c r="S83" s="826"/>
      <c r="T83" s="3"/>
      <c r="U83" s="3"/>
      <c r="V83" s="3"/>
      <c r="W83" s="3"/>
      <c r="X83" s="3"/>
      <c r="Y83" s="3"/>
      <c r="Z83" s="3"/>
    </row>
    <row r="84" ht="15.75" customHeight="1">
      <c r="C84" s="449">
        <v>32.0</v>
      </c>
      <c r="D84" s="433" t="s">
        <v>18184</v>
      </c>
      <c r="E84" s="433" t="s">
        <v>18185</v>
      </c>
      <c r="F84" s="434" t="s">
        <v>18186</v>
      </c>
      <c r="G84" s="433"/>
      <c r="H84" s="433" t="s">
        <v>2222</v>
      </c>
      <c r="I84" s="433" t="s">
        <v>30</v>
      </c>
      <c r="J84" s="433"/>
      <c r="K84" s="433" t="s">
        <v>30</v>
      </c>
      <c r="L84" s="433">
        <v>133.0</v>
      </c>
      <c r="M84" s="433"/>
      <c r="N84" s="433" t="s">
        <v>18187</v>
      </c>
      <c r="O84" s="433" t="s">
        <v>151</v>
      </c>
      <c r="P84" s="433">
        <v>2011.0</v>
      </c>
      <c r="Q84" s="433" t="s">
        <v>17956</v>
      </c>
      <c r="R84" s="433">
        <v>1.0</v>
      </c>
      <c r="S84" s="826"/>
      <c r="T84" s="3"/>
      <c r="U84" s="3"/>
      <c r="V84" s="3"/>
      <c r="W84" s="3"/>
      <c r="X84" s="3"/>
      <c r="Y84" s="3"/>
      <c r="Z84" s="3"/>
    </row>
    <row r="85" ht="15.75" customHeight="1">
      <c r="C85" s="449">
        <v>33.0</v>
      </c>
      <c r="D85" s="433" t="s">
        <v>18188</v>
      </c>
      <c r="E85" s="433" t="s">
        <v>18189</v>
      </c>
      <c r="F85" s="434" t="s">
        <v>18190</v>
      </c>
      <c r="G85" s="433"/>
      <c r="H85" s="433" t="s">
        <v>2222</v>
      </c>
      <c r="I85" s="433" t="s">
        <v>30</v>
      </c>
      <c r="J85" s="433"/>
      <c r="K85" s="433" t="s">
        <v>30</v>
      </c>
      <c r="L85" s="433">
        <v>114.0</v>
      </c>
      <c r="M85" s="433"/>
      <c r="N85" s="433" t="s">
        <v>18191</v>
      </c>
      <c r="O85" s="433" t="s">
        <v>151</v>
      </c>
      <c r="P85" s="433">
        <v>2012.0</v>
      </c>
      <c r="Q85" s="433" t="s">
        <v>17956</v>
      </c>
      <c r="R85" s="433">
        <v>1.0</v>
      </c>
      <c r="S85" s="826"/>
      <c r="T85" s="3"/>
      <c r="U85" s="3"/>
      <c r="V85" s="3"/>
      <c r="W85" s="3"/>
      <c r="X85" s="3"/>
      <c r="Y85" s="3"/>
      <c r="Z85" s="3"/>
    </row>
    <row r="86" ht="15.75" customHeight="1">
      <c r="C86" s="449">
        <v>34.0</v>
      </c>
      <c r="D86" s="433" t="s">
        <v>18192</v>
      </c>
      <c r="E86" s="433" t="s">
        <v>18193</v>
      </c>
      <c r="F86" s="434" t="s">
        <v>18194</v>
      </c>
      <c r="G86" s="433"/>
      <c r="H86" s="433" t="s">
        <v>2222</v>
      </c>
      <c r="I86" s="433" t="s">
        <v>30</v>
      </c>
      <c r="J86" s="433"/>
      <c r="K86" s="433" t="s">
        <v>30</v>
      </c>
      <c r="L86" s="433">
        <v>98.0</v>
      </c>
      <c r="M86" s="433"/>
      <c r="N86" s="433" t="s">
        <v>18195</v>
      </c>
      <c r="O86" s="433" t="s">
        <v>151</v>
      </c>
      <c r="P86" s="433">
        <v>2010.0</v>
      </c>
      <c r="Q86" s="433" t="s">
        <v>17956</v>
      </c>
      <c r="R86" s="433">
        <v>1.0</v>
      </c>
      <c r="S86" s="826"/>
      <c r="T86" s="3"/>
      <c r="U86" s="3"/>
      <c r="V86" s="3"/>
      <c r="W86" s="3"/>
      <c r="X86" s="3"/>
      <c r="Y86" s="3"/>
      <c r="Z86" s="3"/>
    </row>
    <row r="87" ht="15.75" customHeight="1">
      <c r="C87" s="449">
        <v>35.0</v>
      </c>
      <c r="D87" s="433" t="s">
        <v>18196</v>
      </c>
      <c r="E87" s="433" t="s">
        <v>31</v>
      </c>
      <c r="F87" s="434" t="s">
        <v>18197</v>
      </c>
      <c r="G87" s="433"/>
      <c r="H87" s="433" t="s">
        <v>2222</v>
      </c>
      <c r="I87" s="433" t="s">
        <v>30</v>
      </c>
      <c r="J87" s="433"/>
      <c r="K87" s="433" t="s">
        <v>18103</v>
      </c>
      <c r="L87" s="433">
        <v>12.0</v>
      </c>
      <c r="M87" s="433"/>
      <c r="N87" s="433" t="s">
        <v>18198</v>
      </c>
      <c r="O87" s="433" t="s">
        <v>18198</v>
      </c>
      <c r="P87" s="433">
        <v>2004.0</v>
      </c>
      <c r="Q87" s="433" t="s">
        <v>17956</v>
      </c>
      <c r="R87" s="433">
        <v>1.0</v>
      </c>
      <c r="S87" s="826"/>
      <c r="T87" s="3"/>
      <c r="U87" s="3"/>
      <c r="V87" s="3"/>
      <c r="W87" s="3"/>
      <c r="X87" s="3"/>
      <c r="Y87" s="3"/>
      <c r="Z87" s="3"/>
    </row>
    <row r="88" ht="15.75" customHeight="1">
      <c r="C88" s="449">
        <v>36.0</v>
      </c>
      <c r="D88" s="433" t="s">
        <v>31</v>
      </c>
      <c r="E88" s="433" t="s">
        <v>18199</v>
      </c>
      <c r="F88" s="434" t="s">
        <v>18200</v>
      </c>
      <c r="G88" s="433"/>
      <c r="H88" s="433" t="s">
        <v>2222</v>
      </c>
      <c r="I88" s="433" t="s">
        <v>30</v>
      </c>
      <c r="J88" s="433"/>
      <c r="K88" s="433" t="s">
        <v>30</v>
      </c>
      <c r="L88" s="433">
        <v>158.0</v>
      </c>
      <c r="M88" s="433"/>
      <c r="N88" s="433" t="s">
        <v>18201</v>
      </c>
      <c r="O88" s="433" t="s">
        <v>4166</v>
      </c>
      <c r="P88" s="433">
        <v>1997.0</v>
      </c>
      <c r="Q88" s="433" t="s">
        <v>17956</v>
      </c>
      <c r="R88" s="433">
        <v>1.0</v>
      </c>
      <c r="S88" s="826"/>
      <c r="T88" s="3"/>
      <c r="U88" s="3"/>
      <c r="V88" s="3"/>
      <c r="W88" s="3"/>
      <c r="X88" s="3"/>
      <c r="Y88" s="3"/>
      <c r="Z88" s="3"/>
    </row>
    <row r="89" ht="15.75" customHeight="1">
      <c r="C89" s="449">
        <v>37.0</v>
      </c>
      <c r="D89" s="433" t="s">
        <v>31</v>
      </c>
      <c r="E89" s="433" t="s">
        <v>18202</v>
      </c>
      <c r="F89" s="434" t="s">
        <v>18203</v>
      </c>
      <c r="G89" s="433"/>
      <c r="H89" s="433" t="s">
        <v>2222</v>
      </c>
      <c r="I89" s="433" t="s">
        <v>30</v>
      </c>
      <c r="J89" s="433"/>
      <c r="K89" s="433" t="s">
        <v>30</v>
      </c>
      <c r="L89" s="433">
        <v>186.0</v>
      </c>
      <c r="M89" s="433"/>
      <c r="N89" s="433" t="s">
        <v>18201</v>
      </c>
      <c r="O89" s="433" t="s">
        <v>4166</v>
      </c>
      <c r="P89" s="433">
        <v>1999.0</v>
      </c>
      <c r="Q89" s="433" t="s">
        <v>17956</v>
      </c>
      <c r="R89" s="433">
        <v>1.0</v>
      </c>
      <c r="S89" s="826"/>
      <c r="T89" s="3"/>
      <c r="U89" s="3"/>
      <c r="V89" s="3"/>
      <c r="W89" s="3"/>
      <c r="X89" s="3"/>
      <c r="Y89" s="3"/>
      <c r="Z89" s="3"/>
    </row>
    <row r="90" ht="15.75" customHeight="1">
      <c r="C90" s="449">
        <v>38.0</v>
      </c>
      <c r="D90" s="433" t="s">
        <v>31</v>
      </c>
      <c r="E90" s="433" t="s">
        <v>18204</v>
      </c>
      <c r="F90" s="434" t="s">
        <v>18205</v>
      </c>
      <c r="G90" s="433"/>
      <c r="H90" s="433" t="s">
        <v>2222</v>
      </c>
      <c r="I90" s="433" t="s">
        <v>30</v>
      </c>
      <c r="J90" s="433"/>
      <c r="K90" s="433" t="s">
        <v>30</v>
      </c>
      <c r="L90" s="433">
        <v>139.0</v>
      </c>
      <c r="M90" s="433"/>
      <c r="N90" s="433" t="s">
        <v>11317</v>
      </c>
      <c r="O90" s="433" t="s">
        <v>4166</v>
      </c>
      <c r="P90" s="433">
        <v>2008.0</v>
      </c>
      <c r="Q90" s="433" t="s">
        <v>17956</v>
      </c>
      <c r="R90" s="433">
        <v>1.0</v>
      </c>
      <c r="S90" s="826"/>
      <c r="T90" s="3"/>
      <c r="U90" s="3"/>
      <c r="V90" s="3"/>
      <c r="W90" s="3"/>
      <c r="X90" s="3"/>
      <c r="Y90" s="3"/>
      <c r="Z90" s="3"/>
    </row>
    <row r="91" ht="15.75" customHeight="1">
      <c r="C91" s="449">
        <v>39.0</v>
      </c>
      <c r="D91" s="433" t="s">
        <v>31</v>
      </c>
      <c r="E91" s="433" t="s">
        <v>31</v>
      </c>
      <c r="F91" s="434" t="s">
        <v>18206</v>
      </c>
      <c r="G91" s="433"/>
      <c r="H91" s="433" t="s">
        <v>2222</v>
      </c>
      <c r="I91" s="433" t="s">
        <v>30</v>
      </c>
      <c r="J91" s="433"/>
      <c r="K91" s="433" t="s">
        <v>30</v>
      </c>
      <c r="L91" s="433">
        <v>133.0</v>
      </c>
      <c r="M91" s="433"/>
      <c r="N91" s="433" t="s">
        <v>11317</v>
      </c>
      <c r="O91" s="433" t="s">
        <v>4166</v>
      </c>
      <c r="P91" s="433">
        <v>2001.0</v>
      </c>
      <c r="Q91" s="433" t="s">
        <v>17956</v>
      </c>
      <c r="R91" s="433">
        <v>1.0</v>
      </c>
      <c r="S91" s="826"/>
      <c r="T91" s="3"/>
      <c r="U91" s="3"/>
      <c r="V91" s="3"/>
      <c r="W91" s="3"/>
      <c r="X91" s="3"/>
      <c r="Y91" s="3"/>
      <c r="Z91" s="3"/>
    </row>
    <row r="92" ht="15.75" customHeight="1">
      <c r="C92" s="449">
        <v>40.0</v>
      </c>
      <c r="D92" s="433" t="s">
        <v>18207</v>
      </c>
      <c r="E92" s="433" t="s">
        <v>18208</v>
      </c>
      <c r="F92" s="434" t="s">
        <v>18209</v>
      </c>
      <c r="G92" s="433"/>
      <c r="H92" s="433" t="s">
        <v>2222</v>
      </c>
      <c r="I92" s="433" t="s">
        <v>30</v>
      </c>
      <c r="J92" s="433"/>
      <c r="K92" s="433" t="s">
        <v>30</v>
      </c>
      <c r="L92" s="433">
        <v>76.0</v>
      </c>
      <c r="M92" s="433"/>
      <c r="N92" s="433" t="s">
        <v>18210</v>
      </c>
      <c r="O92" s="433" t="s">
        <v>3341</v>
      </c>
      <c r="P92" s="433">
        <v>2006.0</v>
      </c>
      <c r="Q92" s="433" t="s">
        <v>17956</v>
      </c>
      <c r="R92" s="433">
        <v>1.0</v>
      </c>
      <c r="S92" s="826"/>
      <c r="T92" s="3"/>
      <c r="U92" s="3"/>
      <c r="V92" s="3"/>
      <c r="W92" s="3"/>
      <c r="X92" s="3"/>
      <c r="Y92" s="3"/>
      <c r="Z92" s="3"/>
    </row>
    <row r="93" ht="15.75" customHeight="1">
      <c r="C93" s="449">
        <v>41.0</v>
      </c>
      <c r="D93" s="433" t="s">
        <v>18211</v>
      </c>
      <c r="E93" s="433" t="s">
        <v>31</v>
      </c>
      <c r="F93" s="434" t="s">
        <v>18212</v>
      </c>
      <c r="G93" s="433"/>
      <c r="H93" s="433" t="s">
        <v>2222</v>
      </c>
      <c r="I93" s="433" t="s">
        <v>30</v>
      </c>
      <c r="J93" s="433"/>
      <c r="K93" s="433" t="s">
        <v>18103</v>
      </c>
      <c r="L93" s="433">
        <v>12.0</v>
      </c>
      <c r="M93" s="433"/>
      <c r="N93" s="433" t="s">
        <v>18213</v>
      </c>
      <c r="O93" s="433" t="s">
        <v>18214</v>
      </c>
      <c r="P93" s="433">
        <v>2010.0</v>
      </c>
      <c r="Q93" s="433" t="s">
        <v>17956</v>
      </c>
      <c r="R93" s="433">
        <v>1.0</v>
      </c>
      <c r="S93" s="826"/>
      <c r="T93" s="3"/>
      <c r="U93" s="3"/>
      <c r="V93" s="3"/>
      <c r="W93" s="3"/>
      <c r="X93" s="3"/>
      <c r="Y93" s="3"/>
      <c r="Z93" s="3"/>
    </row>
    <row r="94" ht="15.75" customHeight="1">
      <c r="C94" s="449">
        <v>42.0</v>
      </c>
      <c r="D94" s="433" t="s">
        <v>18215</v>
      </c>
      <c r="E94" s="433" t="s">
        <v>31</v>
      </c>
      <c r="F94" s="434" t="s">
        <v>18216</v>
      </c>
      <c r="G94" s="433"/>
      <c r="H94" s="433" t="s">
        <v>2222</v>
      </c>
      <c r="I94" s="433" t="s">
        <v>30</v>
      </c>
      <c r="J94" s="433"/>
      <c r="K94" s="433" t="s">
        <v>30</v>
      </c>
      <c r="L94" s="433">
        <v>23.0</v>
      </c>
      <c r="M94" s="433"/>
      <c r="N94" s="433" t="s">
        <v>18217</v>
      </c>
      <c r="O94" s="433" t="s">
        <v>18218</v>
      </c>
      <c r="P94" s="433">
        <v>2000.0</v>
      </c>
      <c r="Q94" s="433" t="s">
        <v>17956</v>
      </c>
      <c r="R94" s="433">
        <v>1.0</v>
      </c>
      <c r="S94" s="826"/>
      <c r="T94" s="3"/>
      <c r="U94" s="3"/>
      <c r="V94" s="3"/>
      <c r="W94" s="3"/>
      <c r="X94" s="3"/>
      <c r="Y94" s="3"/>
      <c r="Z94" s="3"/>
    </row>
    <row r="95" ht="15.75" customHeight="1">
      <c r="C95" s="449">
        <v>43.0</v>
      </c>
      <c r="D95" s="433" t="s">
        <v>18219</v>
      </c>
      <c r="E95" s="433" t="s">
        <v>31</v>
      </c>
      <c r="F95" s="434" t="s">
        <v>18220</v>
      </c>
      <c r="G95" s="433"/>
      <c r="H95" s="433" t="s">
        <v>2222</v>
      </c>
      <c r="I95" s="433" t="s">
        <v>30</v>
      </c>
      <c r="J95" s="433"/>
      <c r="K95" s="433" t="s">
        <v>30</v>
      </c>
      <c r="L95" s="433">
        <v>27.0</v>
      </c>
      <c r="M95" s="433"/>
      <c r="N95" s="433" t="s">
        <v>18217</v>
      </c>
      <c r="O95" s="433" t="s">
        <v>18218</v>
      </c>
      <c r="P95" s="433">
        <v>2000.0</v>
      </c>
      <c r="Q95" s="433" t="s">
        <v>17956</v>
      </c>
      <c r="R95" s="433">
        <v>1.0</v>
      </c>
      <c r="S95" s="826"/>
      <c r="T95" s="3"/>
      <c r="U95" s="3"/>
      <c r="V95" s="3"/>
      <c r="W95" s="3"/>
      <c r="X95" s="3"/>
      <c r="Y95" s="3"/>
      <c r="Z95" s="3"/>
    </row>
    <row r="96" ht="15.75" customHeight="1">
      <c r="C96" s="449">
        <v>44.0</v>
      </c>
      <c r="D96" s="433" t="s">
        <v>18221</v>
      </c>
      <c r="E96" s="433" t="s">
        <v>31</v>
      </c>
      <c r="F96" s="434" t="s">
        <v>18222</v>
      </c>
      <c r="G96" s="433"/>
      <c r="H96" s="433" t="s">
        <v>2222</v>
      </c>
      <c r="I96" s="433" t="s">
        <v>30</v>
      </c>
      <c r="J96" s="433"/>
      <c r="K96" s="433" t="s">
        <v>30</v>
      </c>
      <c r="L96" s="433">
        <v>23.0</v>
      </c>
      <c r="M96" s="433"/>
      <c r="N96" s="433" t="s">
        <v>18217</v>
      </c>
      <c r="O96" s="433" t="s">
        <v>18218</v>
      </c>
      <c r="P96" s="433">
        <v>2000.0</v>
      </c>
      <c r="Q96" s="433" t="s">
        <v>17956</v>
      </c>
      <c r="R96" s="433">
        <v>1.0</v>
      </c>
      <c r="S96" s="826"/>
      <c r="T96" s="3"/>
      <c r="U96" s="3"/>
      <c r="V96" s="3"/>
      <c r="W96" s="3"/>
      <c r="X96" s="3"/>
      <c r="Y96" s="3"/>
      <c r="Z96" s="3"/>
    </row>
    <row r="97" ht="15.75" customHeight="1">
      <c r="C97" s="449">
        <v>45.0</v>
      </c>
      <c r="D97" s="433" t="s">
        <v>18223</v>
      </c>
      <c r="E97" s="433" t="s">
        <v>31</v>
      </c>
      <c r="F97" s="434" t="s">
        <v>18224</v>
      </c>
      <c r="G97" s="433"/>
      <c r="H97" s="433" t="s">
        <v>2222</v>
      </c>
      <c r="I97" s="433" t="s">
        <v>30</v>
      </c>
      <c r="J97" s="433"/>
      <c r="K97" s="433" t="s">
        <v>30</v>
      </c>
      <c r="L97" s="433">
        <v>31.0</v>
      </c>
      <c r="M97" s="433"/>
      <c r="N97" s="433" t="s">
        <v>18217</v>
      </c>
      <c r="O97" s="433" t="s">
        <v>18218</v>
      </c>
      <c r="P97" s="433">
        <v>2000.0</v>
      </c>
      <c r="Q97" s="433" t="s">
        <v>17956</v>
      </c>
      <c r="R97" s="433">
        <v>1.0</v>
      </c>
      <c r="S97" s="826"/>
      <c r="T97" s="3"/>
      <c r="U97" s="3"/>
      <c r="V97" s="3"/>
      <c r="W97" s="3"/>
      <c r="X97" s="3"/>
      <c r="Y97" s="3"/>
      <c r="Z97" s="3"/>
    </row>
    <row r="98" ht="15.75" customHeight="1">
      <c r="C98" s="449">
        <v>46.0</v>
      </c>
      <c r="D98" s="433" t="s">
        <v>18225</v>
      </c>
      <c r="E98" s="433" t="s">
        <v>31</v>
      </c>
      <c r="F98" s="434" t="s">
        <v>18226</v>
      </c>
      <c r="G98" s="433"/>
      <c r="H98" s="433" t="s">
        <v>2222</v>
      </c>
      <c r="I98" s="433" t="s">
        <v>30</v>
      </c>
      <c r="J98" s="433"/>
      <c r="K98" s="433" t="s">
        <v>30</v>
      </c>
      <c r="L98" s="433">
        <v>26.0</v>
      </c>
      <c r="M98" s="433"/>
      <c r="N98" s="433" t="s">
        <v>18217</v>
      </c>
      <c r="O98" s="433" t="s">
        <v>18218</v>
      </c>
      <c r="P98" s="433">
        <v>2001.0</v>
      </c>
      <c r="Q98" s="433" t="s">
        <v>17956</v>
      </c>
      <c r="R98" s="433">
        <v>1.0</v>
      </c>
      <c r="S98" s="826"/>
      <c r="T98" s="3"/>
      <c r="U98" s="3"/>
      <c r="V98" s="3"/>
      <c r="W98" s="3"/>
      <c r="X98" s="3"/>
      <c r="Y98" s="3"/>
      <c r="Z98" s="3"/>
    </row>
    <row r="99" ht="15.75" customHeight="1">
      <c r="C99" s="449">
        <v>47.0</v>
      </c>
      <c r="D99" s="433" t="s">
        <v>31</v>
      </c>
      <c r="E99" s="433" t="s">
        <v>18227</v>
      </c>
      <c r="F99" s="434" t="s">
        <v>18228</v>
      </c>
      <c r="G99" s="433"/>
      <c r="H99" s="433" t="s">
        <v>2222</v>
      </c>
      <c r="I99" s="433" t="s">
        <v>30</v>
      </c>
      <c r="J99" s="433"/>
      <c r="K99" s="433" t="s">
        <v>30</v>
      </c>
      <c r="L99" s="433">
        <v>192.0</v>
      </c>
      <c r="M99" s="433"/>
      <c r="N99" s="433" t="s">
        <v>18229</v>
      </c>
      <c r="O99" s="433" t="s">
        <v>3027</v>
      </c>
      <c r="P99" s="433">
        <v>2009.0</v>
      </c>
      <c r="Q99" s="433" t="s">
        <v>17956</v>
      </c>
      <c r="R99" s="433">
        <v>1.0</v>
      </c>
      <c r="S99" s="826"/>
      <c r="T99" s="3"/>
      <c r="U99" s="3"/>
      <c r="V99" s="3"/>
      <c r="W99" s="3"/>
      <c r="X99" s="3"/>
      <c r="Y99" s="3"/>
      <c r="Z99" s="3"/>
    </row>
    <row r="100" ht="15.75" customHeight="1">
      <c r="C100" s="449">
        <v>48.0</v>
      </c>
      <c r="D100" s="433" t="s">
        <v>18230</v>
      </c>
      <c r="E100" s="433" t="s">
        <v>31</v>
      </c>
      <c r="F100" s="434" t="s">
        <v>18231</v>
      </c>
      <c r="G100" s="433"/>
      <c r="H100" s="433" t="s">
        <v>2222</v>
      </c>
      <c r="I100" s="433" t="s">
        <v>30</v>
      </c>
      <c r="J100" s="433"/>
      <c r="K100" s="433" t="s">
        <v>30</v>
      </c>
      <c r="L100" s="433">
        <v>191.0</v>
      </c>
      <c r="M100" s="433"/>
      <c r="N100" s="433" t="s">
        <v>18232</v>
      </c>
      <c r="O100" s="433" t="s">
        <v>2698</v>
      </c>
      <c r="P100" s="433">
        <v>2008.0</v>
      </c>
      <c r="Q100" s="433" t="s">
        <v>17956</v>
      </c>
      <c r="R100" s="433">
        <v>1.0</v>
      </c>
      <c r="S100" s="826"/>
      <c r="T100" s="3"/>
      <c r="U100" s="3"/>
      <c r="V100" s="3"/>
      <c r="W100" s="3"/>
      <c r="X100" s="3"/>
      <c r="Y100" s="3"/>
      <c r="Z100" s="3"/>
    </row>
    <row r="101" ht="15.75" customHeight="1">
      <c r="C101" s="449">
        <v>49.0</v>
      </c>
      <c r="D101" s="433" t="s">
        <v>8549</v>
      </c>
      <c r="E101" s="433" t="s">
        <v>18233</v>
      </c>
      <c r="F101" s="434" t="s">
        <v>18234</v>
      </c>
      <c r="G101" s="433"/>
      <c r="H101" s="433" t="s">
        <v>2222</v>
      </c>
      <c r="I101" s="433" t="s">
        <v>30</v>
      </c>
      <c r="J101" s="433"/>
      <c r="K101" s="433" t="s">
        <v>30</v>
      </c>
      <c r="L101" s="433">
        <v>303.0</v>
      </c>
      <c r="M101" s="433"/>
      <c r="N101" s="433" t="s">
        <v>18235</v>
      </c>
      <c r="O101" s="433" t="s">
        <v>18083</v>
      </c>
      <c r="P101" s="433">
        <v>2010.0</v>
      </c>
      <c r="Q101" s="433" t="s">
        <v>17956</v>
      </c>
      <c r="R101" s="433">
        <v>1.0</v>
      </c>
      <c r="S101" s="826"/>
      <c r="T101" s="3"/>
      <c r="U101" s="3"/>
      <c r="V101" s="3"/>
      <c r="W101" s="3"/>
      <c r="X101" s="3"/>
      <c r="Y101" s="3"/>
      <c r="Z101" s="3"/>
    </row>
    <row r="102" ht="15.75" customHeight="1">
      <c r="C102" s="449">
        <v>50.0</v>
      </c>
      <c r="D102" s="433" t="s">
        <v>18236</v>
      </c>
      <c r="E102" s="433" t="s">
        <v>31</v>
      </c>
      <c r="F102" s="434" t="s">
        <v>18237</v>
      </c>
      <c r="G102" s="433"/>
      <c r="H102" s="433" t="s">
        <v>2222</v>
      </c>
      <c r="I102" s="433" t="s">
        <v>37</v>
      </c>
      <c r="J102" s="433"/>
      <c r="K102" s="433" t="s">
        <v>18103</v>
      </c>
      <c r="L102" s="433">
        <v>16.0</v>
      </c>
      <c r="M102" s="433"/>
      <c r="N102" s="433" t="s">
        <v>18238</v>
      </c>
      <c r="O102" s="577" t="s">
        <v>18198</v>
      </c>
      <c r="P102" s="433">
        <v>2005.0</v>
      </c>
      <c r="Q102" s="433" t="s">
        <v>17956</v>
      </c>
      <c r="R102" s="433">
        <v>1.0</v>
      </c>
      <c r="S102" s="826"/>
      <c r="T102" s="3"/>
      <c r="U102" s="3"/>
      <c r="V102" s="3"/>
      <c r="W102" s="3"/>
      <c r="X102" s="3"/>
      <c r="Y102" s="3"/>
      <c r="Z102" s="3"/>
    </row>
    <row r="103" ht="15.75" customHeight="1">
      <c r="C103" s="449">
        <v>51.0</v>
      </c>
      <c r="D103" s="433" t="s">
        <v>18239</v>
      </c>
      <c r="E103" s="433" t="s">
        <v>18240</v>
      </c>
      <c r="F103" s="434" t="s">
        <v>18241</v>
      </c>
      <c r="G103" s="433"/>
      <c r="H103" s="433" t="s">
        <v>2222</v>
      </c>
      <c r="I103" s="433" t="s">
        <v>30</v>
      </c>
      <c r="J103" s="433"/>
      <c r="K103" s="433" t="s">
        <v>30</v>
      </c>
      <c r="L103" s="433">
        <v>73.0</v>
      </c>
      <c r="M103" s="433"/>
      <c r="N103" s="433" t="s">
        <v>18242</v>
      </c>
      <c r="O103" s="433" t="s">
        <v>6235</v>
      </c>
      <c r="P103" s="433">
        <v>2005.0</v>
      </c>
      <c r="Q103" s="433" t="s">
        <v>17956</v>
      </c>
      <c r="R103" s="433">
        <v>1.0</v>
      </c>
      <c r="S103" s="826"/>
      <c r="T103" s="3"/>
      <c r="U103" s="3"/>
      <c r="V103" s="3"/>
      <c r="W103" s="3"/>
      <c r="X103" s="3"/>
      <c r="Y103" s="3"/>
      <c r="Z103" s="3"/>
    </row>
    <row r="104" ht="15.75" customHeight="1">
      <c r="C104" s="449">
        <v>52.0</v>
      </c>
      <c r="D104" s="433" t="s">
        <v>18243</v>
      </c>
      <c r="E104" s="433" t="s">
        <v>18244</v>
      </c>
      <c r="F104" s="434" t="s">
        <v>18245</v>
      </c>
      <c r="G104" s="433"/>
      <c r="H104" s="433" t="s">
        <v>2222</v>
      </c>
      <c r="I104" s="433" t="s">
        <v>30</v>
      </c>
      <c r="J104" s="433"/>
      <c r="K104" s="433" t="s">
        <v>30</v>
      </c>
      <c r="L104" s="433">
        <v>32.0</v>
      </c>
      <c r="M104" s="433"/>
      <c r="N104" s="433" t="s">
        <v>18099</v>
      </c>
      <c r="O104" s="433" t="s">
        <v>169</v>
      </c>
      <c r="P104" s="433">
        <v>2005.0</v>
      </c>
      <c r="Q104" s="433" t="s">
        <v>17956</v>
      </c>
      <c r="R104" s="433">
        <v>1.0</v>
      </c>
      <c r="S104" s="826"/>
      <c r="T104" s="3"/>
      <c r="U104" s="3"/>
      <c r="V104" s="3"/>
      <c r="W104" s="3"/>
      <c r="X104" s="3"/>
      <c r="Y104" s="3"/>
      <c r="Z104" s="3"/>
    </row>
    <row r="105" ht="15.75" customHeight="1">
      <c r="C105" s="449">
        <v>53.0</v>
      </c>
      <c r="D105" s="433" t="s">
        <v>18246</v>
      </c>
      <c r="E105" s="433" t="s">
        <v>31</v>
      </c>
      <c r="F105" s="434" t="s">
        <v>18247</v>
      </c>
      <c r="G105" s="433"/>
      <c r="H105" s="433" t="s">
        <v>2222</v>
      </c>
      <c r="I105" s="433" t="s">
        <v>30</v>
      </c>
      <c r="J105" s="433"/>
      <c r="K105" s="433" t="s">
        <v>30</v>
      </c>
      <c r="L105" s="433" t="s">
        <v>31</v>
      </c>
      <c r="M105" s="433"/>
      <c r="N105" s="433" t="s">
        <v>18248</v>
      </c>
      <c r="O105" s="433" t="s">
        <v>151</v>
      </c>
      <c r="P105" s="433">
        <v>2011.0</v>
      </c>
      <c r="Q105" s="433" t="s">
        <v>17956</v>
      </c>
      <c r="R105" s="433">
        <v>1.0</v>
      </c>
      <c r="S105" s="826"/>
      <c r="T105" s="3"/>
      <c r="U105" s="3"/>
      <c r="V105" s="3"/>
      <c r="W105" s="3"/>
      <c r="X105" s="3"/>
      <c r="Y105" s="3"/>
      <c r="Z105" s="3"/>
    </row>
    <row r="106" ht="15.75" customHeight="1">
      <c r="C106" s="449">
        <v>54.0</v>
      </c>
      <c r="D106" s="433" t="s">
        <v>31</v>
      </c>
      <c r="E106" s="433" t="s">
        <v>31</v>
      </c>
      <c r="F106" s="434" t="s">
        <v>18249</v>
      </c>
      <c r="G106" s="433"/>
      <c r="H106" s="433" t="s">
        <v>2222</v>
      </c>
      <c r="I106" s="433" t="s">
        <v>30</v>
      </c>
      <c r="J106" s="433"/>
      <c r="K106" s="433" t="s">
        <v>30</v>
      </c>
      <c r="L106" s="433">
        <v>96.0</v>
      </c>
      <c r="M106" s="433"/>
      <c r="N106" s="433" t="s">
        <v>18250</v>
      </c>
      <c r="O106" s="433" t="s">
        <v>18066</v>
      </c>
      <c r="P106" s="433">
        <v>2010.0</v>
      </c>
      <c r="Q106" s="433" t="s">
        <v>17956</v>
      </c>
      <c r="R106" s="433">
        <v>1.0</v>
      </c>
      <c r="S106" s="826"/>
      <c r="T106" s="3"/>
      <c r="U106" s="3"/>
      <c r="V106" s="3"/>
      <c r="W106" s="3"/>
      <c r="X106" s="3"/>
      <c r="Y106" s="3"/>
      <c r="Z106" s="3"/>
    </row>
    <row r="107" ht="15.75" customHeight="1">
      <c r="C107" s="449">
        <v>55.0</v>
      </c>
      <c r="D107" s="433" t="s">
        <v>18251</v>
      </c>
      <c r="E107" s="433" t="s">
        <v>18252</v>
      </c>
      <c r="F107" s="434" t="s">
        <v>18253</v>
      </c>
      <c r="G107" s="433"/>
      <c r="H107" s="433" t="s">
        <v>2222</v>
      </c>
      <c r="I107" s="433" t="s">
        <v>6454</v>
      </c>
      <c r="J107" s="433"/>
      <c r="K107" s="433" t="s">
        <v>38</v>
      </c>
      <c r="L107" s="433">
        <v>14.0</v>
      </c>
      <c r="M107" s="433"/>
      <c r="N107" s="433" t="s">
        <v>18099</v>
      </c>
      <c r="O107" s="433" t="s">
        <v>18254</v>
      </c>
      <c r="P107" s="433">
        <v>2012.0</v>
      </c>
      <c r="Q107" s="433" t="s">
        <v>17956</v>
      </c>
      <c r="R107" s="433">
        <v>1.0</v>
      </c>
      <c r="S107" s="826"/>
      <c r="T107" s="3"/>
      <c r="U107" s="3"/>
      <c r="V107" s="3"/>
      <c r="W107" s="3"/>
      <c r="X107" s="3"/>
      <c r="Y107" s="3"/>
      <c r="Z107" s="3"/>
    </row>
    <row r="108" ht="15.75" customHeight="1">
      <c r="C108" s="449">
        <v>56.0</v>
      </c>
      <c r="D108" s="433" t="s">
        <v>18255</v>
      </c>
      <c r="E108" s="433" t="s">
        <v>31</v>
      </c>
      <c r="F108" s="434" t="s">
        <v>18256</v>
      </c>
      <c r="G108" s="433"/>
      <c r="H108" s="433" t="s">
        <v>2222</v>
      </c>
      <c r="I108" s="433" t="s">
        <v>6454</v>
      </c>
      <c r="J108" s="433"/>
      <c r="K108" s="433" t="s">
        <v>38</v>
      </c>
      <c r="L108" s="433" t="s">
        <v>31</v>
      </c>
      <c r="M108" s="433"/>
      <c r="N108" s="433" t="s">
        <v>31</v>
      </c>
      <c r="O108" s="433" t="s">
        <v>18257</v>
      </c>
      <c r="P108" s="433" t="s">
        <v>31</v>
      </c>
      <c r="Q108" s="433" t="s">
        <v>17956</v>
      </c>
      <c r="R108" s="433">
        <v>1.0</v>
      </c>
      <c r="S108" s="826"/>
      <c r="T108" s="3"/>
      <c r="U108" s="3"/>
      <c r="V108" s="3"/>
      <c r="W108" s="3"/>
      <c r="X108" s="3"/>
      <c r="Y108" s="3"/>
      <c r="Z108" s="3"/>
    </row>
    <row r="109" ht="15.75" customHeight="1">
      <c r="C109" s="449">
        <v>57.0</v>
      </c>
      <c r="D109" s="433" t="s">
        <v>18258</v>
      </c>
      <c r="E109" s="433" t="s">
        <v>31</v>
      </c>
      <c r="F109" s="434" t="s">
        <v>18259</v>
      </c>
      <c r="G109" s="433"/>
      <c r="H109" s="433" t="s">
        <v>2222</v>
      </c>
      <c r="I109" s="433" t="s">
        <v>30</v>
      </c>
      <c r="J109" s="433"/>
      <c r="K109" s="433" t="s">
        <v>18103</v>
      </c>
      <c r="L109" s="433">
        <v>18.0</v>
      </c>
      <c r="M109" s="433"/>
      <c r="N109" s="433" t="s">
        <v>18260</v>
      </c>
      <c r="O109" s="433" t="s">
        <v>151</v>
      </c>
      <c r="P109" s="433">
        <v>2009.0</v>
      </c>
      <c r="Q109" s="433" t="s">
        <v>17956</v>
      </c>
      <c r="R109" s="433">
        <v>1.0</v>
      </c>
      <c r="S109" s="826"/>
      <c r="T109" s="3"/>
      <c r="U109" s="3"/>
      <c r="V109" s="3"/>
      <c r="W109" s="3"/>
      <c r="X109" s="3"/>
      <c r="Y109" s="3"/>
      <c r="Z109" s="3"/>
    </row>
    <row r="110" ht="15.75" customHeight="1">
      <c r="C110" s="449">
        <v>58.0</v>
      </c>
      <c r="D110" s="433" t="s">
        <v>18261</v>
      </c>
      <c r="E110" s="433" t="s">
        <v>18262</v>
      </c>
      <c r="F110" s="434" t="s">
        <v>18263</v>
      </c>
      <c r="G110" s="433"/>
      <c r="H110" s="433" t="s">
        <v>2222</v>
      </c>
      <c r="I110" s="433" t="s">
        <v>30</v>
      </c>
      <c r="J110" s="433"/>
      <c r="K110" s="433" t="s">
        <v>18103</v>
      </c>
      <c r="L110" s="433">
        <v>141.0</v>
      </c>
      <c r="M110" s="433"/>
      <c r="N110" s="433" t="s">
        <v>18264</v>
      </c>
      <c r="O110" s="433" t="s">
        <v>151</v>
      </c>
      <c r="P110" s="433">
        <v>2012.0</v>
      </c>
      <c r="Q110" s="433" t="s">
        <v>17956</v>
      </c>
      <c r="R110" s="433">
        <v>1.0</v>
      </c>
      <c r="S110" s="826"/>
      <c r="T110" s="3"/>
      <c r="U110" s="3"/>
      <c r="V110" s="3"/>
      <c r="W110" s="3"/>
      <c r="X110" s="3"/>
      <c r="Y110" s="3"/>
      <c r="Z110" s="3"/>
    </row>
    <row r="111" ht="15.75" customHeight="1">
      <c r="C111" s="449">
        <v>59.0</v>
      </c>
      <c r="D111" s="433" t="s">
        <v>18265</v>
      </c>
      <c r="E111" s="433" t="s">
        <v>18266</v>
      </c>
      <c r="F111" s="434" t="s">
        <v>18267</v>
      </c>
      <c r="G111" s="433"/>
      <c r="H111" s="433" t="s">
        <v>2222</v>
      </c>
      <c r="I111" s="433" t="s">
        <v>37</v>
      </c>
      <c r="J111" s="433"/>
      <c r="K111" s="433" t="s">
        <v>38</v>
      </c>
      <c r="L111" s="433">
        <v>35.0</v>
      </c>
      <c r="M111" s="433"/>
      <c r="N111" s="433" t="s">
        <v>18268</v>
      </c>
      <c r="O111" s="433" t="s">
        <v>18269</v>
      </c>
      <c r="P111" s="433">
        <v>2010.0</v>
      </c>
      <c r="Q111" s="433" t="s">
        <v>17956</v>
      </c>
      <c r="R111" s="433">
        <v>1.0</v>
      </c>
      <c r="S111" s="826"/>
      <c r="T111" s="3"/>
      <c r="U111" s="3"/>
      <c r="V111" s="3"/>
      <c r="W111" s="3"/>
      <c r="X111" s="3"/>
      <c r="Y111" s="3"/>
      <c r="Z111" s="3"/>
    </row>
    <row r="112" ht="15.75" customHeight="1">
      <c r="C112" s="449">
        <v>60.0</v>
      </c>
      <c r="D112" s="433" t="s">
        <v>18270</v>
      </c>
      <c r="E112" s="433" t="s">
        <v>18271</v>
      </c>
      <c r="F112" s="434" t="s">
        <v>18272</v>
      </c>
      <c r="G112" s="433"/>
      <c r="H112" s="433" t="s">
        <v>2222</v>
      </c>
      <c r="I112" s="433" t="s">
        <v>30</v>
      </c>
      <c r="J112" s="433"/>
      <c r="K112" s="433" t="s">
        <v>30</v>
      </c>
      <c r="L112" s="433">
        <v>21.0</v>
      </c>
      <c r="M112" s="433"/>
      <c r="N112" s="433" t="s">
        <v>18273</v>
      </c>
      <c r="O112" s="433" t="s">
        <v>151</v>
      </c>
      <c r="P112" s="433">
        <v>2010.0</v>
      </c>
      <c r="Q112" s="433" t="s">
        <v>17956</v>
      </c>
      <c r="R112" s="433">
        <v>1.0</v>
      </c>
      <c r="S112" s="826"/>
      <c r="T112" s="3"/>
      <c r="U112" s="3"/>
      <c r="V112" s="3"/>
      <c r="W112" s="3"/>
      <c r="X112" s="3"/>
      <c r="Y112" s="3"/>
      <c r="Z112" s="3"/>
    </row>
    <row r="113" ht="15.75" customHeight="1">
      <c r="C113" s="449">
        <v>61.0</v>
      </c>
      <c r="D113" s="433" t="s">
        <v>18274</v>
      </c>
      <c r="E113" s="433" t="s">
        <v>18275</v>
      </c>
      <c r="F113" s="434" t="s">
        <v>18276</v>
      </c>
      <c r="G113" s="433"/>
      <c r="H113" s="433" t="s">
        <v>2222</v>
      </c>
      <c r="I113" s="433" t="s">
        <v>37</v>
      </c>
      <c r="J113" s="433"/>
      <c r="K113" s="433" t="s">
        <v>38</v>
      </c>
      <c r="L113" s="433">
        <v>40.0</v>
      </c>
      <c r="M113" s="433"/>
      <c r="N113" s="433" t="s">
        <v>18277</v>
      </c>
      <c r="O113" s="433" t="s">
        <v>18278</v>
      </c>
      <c r="P113" s="433">
        <v>2007.0</v>
      </c>
      <c r="Q113" s="433" t="s">
        <v>17956</v>
      </c>
      <c r="R113" s="433">
        <v>1.0</v>
      </c>
      <c r="S113" s="826"/>
      <c r="T113" s="3"/>
      <c r="U113" s="3"/>
      <c r="V113" s="3"/>
      <c r="W113" s="3"/>
      <c r="X113" s="3"/>
      <c r="Y113" s="3"/>
      <c r="Z113" s="3"/>
    </row>
    <row r="114" ht="15.75" customHeight="1">
      <c r="C114" s="449">
        <v>62.0</v>
      </c>
      <c r="D114" s="433" t="s">
        <v>18279</v>
      </c>
      <c r="E114" s="433" t="s">
        <v>18280</v>
      </c>
      <c r="F114" s="434" t="s">
        <v>18281</v>
      </c>
      <c r="G114" s="433"/>
      <c r="H114" s="433" t="s">
        <v>2222</v>
      </c>
      <c r="I114" s="433" t="s">
        <v>30</v>
      </c>
      <c r="J114" s="433"/>
      <c r="K114" s="433" t="s">
        <v>30</v>
      </c>
      <c r="L114" s="433">
        <v>64.0</v>
      </c>
      <c r="M114" s="433"/>
      <c r="N114" s="433" t="s">
        <v>18282</v>
      </c>
      <c r="O114" s="433" t="s">
        <v>13486</v>
      </c>
      <c r="P114" s="433">
        <v>2008.0</v>
      </c>
      <c r="Q114" s="433" t="s">
        <v>17956</v>
      </c>
      <c r="R114" s="433">
        <v>1.0</v>
      </c>
      <c r="S114" s="826"/>
      <c r="T114" s="3"/>
      <c r="U114" s="3"/>
      <c r="V114" s="3"/>
      <c r="W114" s="3"/>
      <c r="X114" s="3"/>
      <c r="Y114" s="3"/>
      <c r="Z114" s="3"/>
    </row>
    <row r="115" ht="15.75" customHeight="1">
      <c r="C115" s="449">
        <v>63.0</v>
      </c>
      <c r="D115" s="433" t="s">
        <v>18283</v>
      </c>
      <c r="E115" s="433" t="s">
        <v>18284</v>
      </c>
      <c r="F115" s="434" t="s">
        <v>18285</v>
      </c>
      <c r="G115" s="433"/>
      <c r="H115" s="433" t="s">
        <v>2222</v>
      </c>
      <c r="I115" s="433" t="s">
        <v>30</v>
      </c>
      <c r="J115" s="433"/>
      <c r="K115" s="433" t="s">
        <v>18286</v>
      </c>
      <c r="L115" s="433">
        <v>142.0</v>
      </c>
      <c r="M115" s="433"/>
      <c r="N115" s="433" t="s">
        <v>18287</v>
      </c>
      <c r="O115" s="433" t="s">
        <v>151</v>
      </c>
      <c r="P115" s="433">
        <v>2011.0</v>
      </c>
      <c r="Q115" s="433" t="s">
        <v>17956</v>
      </c>
      <c r="R115" s="433">
        <v>1.0</v>
      </c>
      <c r="S115" s="826"/>
      <c r="T115" s="3"/>
      <c r="U115" s="3"/>
      <c r="V115" s="3"/>
      <c r="W115" s="3"/>
      <c r="X115" s="3"/>
      <c r="Y115" s="3"/>
      <c r="Z115" s="3"/>
    </row>
    <row r="116" ht="15.75" customHeight="1">
      <c r="C116" s="449">
        <v>64.0</v>
      </c>
      <c r="D116" s="433" t="s">
        <v>18288</v>
      </c>
      <c r="E116" s="433" t="s">
        <v>18289</v>
      </c>
      <c r="F116" s="434" t="s">
        <v>18290</v>
      </c>
      <c r="G116" s="433"/>
      <c r="H116" s="433" t="s">
        <v>2222</v>
      </c>
      <c r="I116" s="433" t="s">
        <v>30</v>
      </c>
      <c r="J116" s="433"/>
      <c r="K116" s="433" t="s">
        <v>18103</v>
      </c>
      <c r="L116" s="433">
        <v>32.0</v>
      </c>
      <c r="M116" s="433"/>
      <c r="N116" s="433" t="s">
        <v>18291</v>
      </c>
      <c r="O116" s="433" t="s">
        <v>18070</v>
      </c>
      <c r="P116" s="433">
        <v>2001.0</v>
      </c>
      <c r="Q116" s="433" t="s">
        <v>17956</v>
      </c>
      <c r="R116" s="433">
        <v>1.0</v>
      </c>
      <c r="S116" s="826"/>
      <c r="T116" s="3"/>
      <c r="U116" s="3"/>
      <c r="V116" s="3"/>
      <c r="W116" s="3"/>
      <c r="X116" s="3"/>
      <c r="Y116" s="3"/>
      <c r="Z116" s="3"/>
    </row>
    <row r="117" ht="15.75" customHeight="1">
      <c r="C117" s="449">
        <v>65.0</v>
      </c>
      <c r="D117" s="433" t="s">
        <v>18292</v>
      </c>
      <c r="E117" s="433" t="s">
        <v>18293</v>
      </c>
      <c r="F117" s="434" t="s">
        <v>18294</v>
      </c>
      <c r="G117" s="433"/>
      <c r="H117" s="433" t="s">
        <v>2222</v>
      </c>
      <c r="I117" s="433" t="s">
        <v>30</v>
      </c>
      <c r="J117" s="433"/>
      <c r="K117" s="433" t="s">
        <v>30</v>
      </c>
      <c r="L117" s="433">
        <v>32.0</v>
      </c>
      <c r="M117" s="433"/>
      <c r="N117" s="433" t="s">
        <v>18295</v>
      </c>
      <c r="O117" s="433" t="s">
        <v>161</v>
      </c>
      <c r="P117" s="433">
        <v>2011.0</v>
      </c>
      <c r="Q117" s="433" t="s">
        <v>17956</v>
      </c>
      <c r="R117" s="433">
        <v>2.0</v>
      </c>
      <c r="S117" s="826"/>
      <c r="T117" s="3"/>
      <c r="U117" s="3"/>
      <c r="V117" s="3"/>
      <c r="W117" s="3"/>
      <c r="X117" s="3"/>
      <c r="Y117" s="3"/>
      <c r="Z117" s="3"/>
    </row>
    <row r="118" ht="15.75" customHeight="1">
      <c r="C118" s="449">
        <v>66.0</v>
      </c>
      <c r="D118" s="433" t="s">
        <v>18296</v>
      </c>
      <c r="E118" s="433" t="s">
        <v>18297</v>
      </c>
      <c r="F118" s="434" t="s">
        <v>18298</v>
      </c>
      <c r="G118" s="433"/>
      <c r="H118" s="433" t="s">
        <v>2222</v>
      </c>
      <c r="I118" s="433" t="s">
        <v>30</v>
      </c>
      <c r="J118" s="433"/>
      <c r="K118" s="433" t="s">
        <v>30</v>
      </c>
      <c r="L118" s="433">
        <v>51.0</v>
      </c>
      <c r="M118" s="433"/>
      <c r="N118" s="433" t="s">
        <v>18299</v>
      </c>
      <c r="O118" s="433" t="s">
        <v>18300</v>
      </c>
      <c r="P118" s="433">
        <v>2012.0</v>
      </c>
      <c r="Q118" s="433" t="s">
        <v>17956</v>
      </c>
      <c r="R118" s="433">
        <v>1.0</v>
      </c>
      <c r="S118" s="826"/>
      <c r="T118" s="3"/>
      <c r="U118" s="3"/>
      <c r="V118" s="3"/>
      <c r="W118" s="3"/>
      <c r="X118" s="3"/>
      <c r="Y118" s="3"/>
      <c r="Z118" s="3"/>
    </row>
    <row r="119" ht="15.75" customHeight="1">
      <c r="C119" s="449">
        <v>67.0</v>
      </c>
      <c r="D119" s="433" t="s">
        <v>18301</v>
      </c>
      <c r="E119" s="433" t="s">
        <v>18302</v>
      </c>
      <c r="F119" s="434" t="s">
        <v>18303</v>
      </c>
      <c r="G119" s="433"/>
      <c r="H119" s="433" t="s">
        <v>2222</v>
      </c>
      <c r="I119" s="433" t="s">
        <v>30</v>
      </c>
      <c r="J119" s="433"/>
      <c r="K119" s="433" t="s">
        <v>30</v>
      </c>
      <c r="L119" s="433">
        <v>48.0</v>
      </c>
      <c r="M119" s="433"/>
      <c r="N119" s="433" t="s">
        <v>18304</v>
      </c>
      <c r="O119" s="433" t="s">
        <v>11040</v>
      </c>
      <c r="P119" s="433">
        <v>2009.0</v>
      </c>
      <c r="Q119" s="433" t="s">
        <v>17956</v>
      </c>
      <c r="R119" s="433">
        <v>1.0</v>
      </c>
      <c r="S119" s="826"/>
      <c r="T119" s="3"/>
      <c r="U119" s="3"/>
      <c r="V119" s="3"/>
      <c r="W119" s="3"/>
      <c r="X119" s="3"/>
      <c r="Y119" s="3"/>
      <c r="Z119" s="3"/>
    </row>
    <row r="120" ht="15.75" customHeight="1">
      <c r="C120" s="449">
        <v>68.0</v>
      </c>
      <c r="D120" s="433" t="s">
        <v>18305</v>
      </c>
      <c r="E120" s="433" t="s">
        <v>18306</v>
      </c>
      <c r="F120" s="434" t="s">
        <v>18307</v>
      </c>
      <c r="G120" s="433"/>
      <c r="H120" s="433" t="s">
        <v>2222</v>
      </c>
      <c r="I120" s="433" t="s">
        <v>30</v>
      </c>
      <c r="J120" s="433"/>
      <c r="K120" s="433" t="s">
        <v>30</v>
      </c>
      <c r="L120" s="433">
        <v>48.0</v>
      </c>
      <c r="M120" s="433"/>
      <c r="N120" s="433" t="s">
        <v>18308</v>
      </c>
      <c r="O120" s="433" t="s">
        <v>151</v>
      </c>
      <c r="P120" s="433">
        <v>2010.0</v>
      </c>
      <c r="Q120" s="433" t="s">
        <v>17956</v>
      </c>
      <c r="R120" s="433">
        <v>1.0</v>
      </c>
      <c r="S120" s="826"/>
      <c r="T120" s="3"/>
      <c r="U120" s="3"/>
      <c r="V120" s="3"/>
      <c r="W120" s="3"/>
      <c r="X120" s="3"/>
      <c r="Y120" s="3"/>
      <c r="Z120" s="3"/>
    </row>
    <row r="121" ht="15.75" customHeight="1">
      <c r="C121" s="449">
        <v>69.0</v>
      </c>
      <c r="D121" s="433" t="s">
        <v>18309</v>
      </c>
      <c r="E121" s="433" t="s">
        <v>18310</v>
      </c>
      <c r="F121" s="434" t="s">
        <v>18311</v>
      </c>
      <c r="G121" s="433"/>
      <c r="H121" s="433" t="s">
        <v>2222</v>
      </c>
      <c r="I121" s="433" t="s">
        <v>30</v>
      </c>
      <c r="J121" s="433"/>
      <c r="K121" s="433" t="s">
        <v>30</v>
      </c>
      <c r="L121" s="433">
        <v>31.0</v>
      </c>
      <c r="M121" s="433"/>
      <c r="N121" s="433" t="s">
        <v>18074</v>
      </c>
      <c r="O121" s="433" t="s">
        <v>169</v>
      </c>
      <c r="P121" s="433">
        <v>2006.0</v>
      </c>
      <c r="Q121" s="433" t="s">
        <v>17956</v>
      </c>
      <c r="R121" s="433">
        <v>1.0</v>
      </c>
      <c r="S121" s="826"/>
      <c r="T121" s="3"/>
      <c r="U121" s="3"/>
      <c r="V121" s="3"/>
      <c r="W121" s="3"/>
      <c r="X121" s="3"/>
      <c r="Y121" s="3"/>
      <c r="Z121" s="3"/>
    </row>
    <row r="122" ht="15.75" customHeight="1">
      <c r="C122" s="449">
        <v>70.0</v>
      </c>
      <c r="D122" s="433" t="s">
        <v>12613</v>
      </c>
      <c r="E122" s="433" t="s">
        <v>18312</v>
      </c>
      <c r="F122" s="434" t="s">
        <v>18313</v>
      </c>
      <c r="G122" s="433"/>
      <c r="H122" s="433" t="s">
        <v>2222</v>
      </c>
      <c r="I122" s="433" t="s">
        <v>30</v>
      </c>
      <c r="J122" s="433"/>
      <c r="K122" s="433" t="s">
        <v>18286</v>
      </c>
      <c r="L122" s="433">
        <v>15.0</v>
      </c>
      <c r="M122" s="433"/>
      <c r="N122" s="433" t="s">
        <v>18314</v>
      </c>
      <c r="O122" s="433" t="s">
        <v>151</v>
      </c>
      <c r="P122" s="433">
        <v>2013.0</v>
      </c>
      <c r="Q122" s="433" t="s">
        <v>17956</v>
      </c>
      <c r="R122" s="433">
        <v>1.0</v>
      </c>
      <c r="S122" s="826"/>
      <c r="T122" s="3"/>
      <c r="U122" s="3"/>
      <c r="V122" s="3"/>
      <c r="W122" s="3"/>
      <c r="X122" s="3"/>
      <c r="Y122" s="3"/>
      <c r="Z122" s="3"/>
    </row>
    <row r="123" ht="15.75" customHeight="1">
      <c r="C123" s="449">
        <v>71.0</v>
      </c>
      <c r="D123" s="433" t="s">
        <v>18315</v>
      </c>
      <c r="E123" s="433" t="s">
        <v>18316</v>
      </c>
      <c r="F123" s="434" t="s">
        <v>18317</v>
      </c>
      <c r="G123" s="433"/>
      <c r="H123" s="433" t="s">
        <v>2222</v>
      </c>
      <c r="I123" s="433" t="s">
        <v>30</v>
      </c>
      <c r="J123" s="433"/>
      <c r="K123" s="433" t="s">
        <v>18286</v>
      </c>
      <c r="L123" s="433">
        <v>15.0</v>
      </c>
      <c r="M123" s="433"/>
      <c r="N123" s="433" t="s">
        <v>18314</v>
      </c>
      <c r="O123" s="433" t="s">
        <v>151</v>
      </c>
      <c r="P123" s="433">
        <v>2013.0</v>
      </c>
      <c r="Q123" s="433" t="s">
        <v>17956</v>
      </c>
      <c r="R123" s="433">
        <v>1.0</v>
      </c>
      <c r="S123" s="826"/>
      <c r="T123" s="3"/>
      <c r="U123" s="3"/>
      <c r="V123" s="3"/>
      <c r="W123" s="3"/>
      <c r="X123" s="3"/>
      <c r="Y123" s="3"/>
      <c r="Z123" s="3"/>
    </row>
    <row r="124" ht="15.75" customHeight="1">
      <c r="C124" s="449">
        <v>72.0</v>
      </c>
      <c r="D124" s="433" t="s">
        <v>18318</v>
      </c>
      <c r="E124" s="433" t="s">
        <v>18319</v>
      </c>
      <c r="F124" s="434" t="s">
        <v>18320</v>
      </c>
      <c r="G124" s="433"/>
      <c r="H124" s="433" t="s">
        <v>2222</v>
      </c>
      <c r="I124" s="433" t="s">
        <v>30</v>
      </c>
      <c r="J124" s="433"/>
      <c r="K124" s="433" t="s">
        <v>30</v>
      </c>
      <c r="L124" s="433">
        <v>34.0</v>
      </c>
      <c r="M124" s="433"/>
      <c r="N124" s="433" t="s">
        <v>18321</v>
      </c>
      <c r="O124" s="433" t="s">
        <v>18218</v>
      </c>
      <c r="P124" s="433">
        <v>2002.0</v>
      </c>
      <c r="Q124" s="433" t="s">
        <v>17956</v>
      </c>
      <c r="R124" s="433">
        <v>1.0</v>
      </c>
      <c r="S124" s="826"/>
      <c r="T124" s="3"/>
      <c r="U124" s="3"/>
      <c r="V124" s="3"/>
      <c r="W124" s="3"/>
      <c r="X124" s="3"/>
      <c r="Y124" s="3"/>
      <c r="Z124" s="3"/>
    </row>
    <row r="125" ht="15.75" customHeight="1">
      <c r="C125" s="449">
        <v>73.0</v>
      </c>
      <c r="D125" s="433" t="s">
        <v>18322</v>
      </c>
      <c r="E125" s="433" t="s">
        <v>18323</v>
      </c>
      <c r="F125" s="434" t="s">
        <v>18324</v>
      </c>
      <c r="G125" s="433"/>
      <c r="H125" s="433" t="s">
        <v>2222</v>
      </c>
      <c r="I125" s="433" t="s">
        <v>30</v>
      </c>
      <c r="J125" s="433"/>
      <c r="K125" s="433" t="s">
        <v>30</v>
      </c>
      <c r="L125" s="433">
        <v>37.0</v>
      </c>
      <c r="M125" s="433"/>
      <c r="N125" s="433" t="s">
        <v>18325</v>
      </c>
      <c r="O125" s="433" t="s">
        <v>161</v>
      </c>
      <c r="P125" s="433">
        <v>1999.0</v>
      </c>
      <c r="Q125" s="433" t="s">
        <v>17956</v>
      </c>
      <c r="R125" s="433">
        <v>1.0</v>
      </c>
      <c r="S125" s="826"/>
      <c r="T125" s="3"/>
      <c r="U125" s="3"/>
      <c r="V125" s="3"/>
      <c r="W125" s="3"/>
      <c r="X125" s="3"/>
      <c r="Y125" s="3"/>
      <c r="Z125" s="3"/>
    </row>
    <row r="126" ht="15.75" customHeight="1">
      <c r="C126" s="449">
        <v>74.0</v>
      </c>
      <c r="D126" s="433" t="s">
        <v>18326</v>
      </c>
      <c r="E126" s="433" t="s">
        <v>18327</v>
      </c>
      <c r="F126" s="434" t="s">
        <v>18328</v>
      </c>
      <c r="G126" s="433"/>
      <c r="H126" s="433" t="s">
        <v>2222</v>
      </c>
      <c r="I126" s="433" t="s">
        <v>30</v>
      </c>
      <c r="J126" s="433"/>
      <c r="K126" s="433" t="s">
        <v>30</v>
      </c>
      <c r="L126" s="433">
        <v>178.0</v>
      </c>
      <c r="M126" s="433"/>
      <c r="N126" s="433" t="s">
        <v>18329</v>
      </c>
      <c r="O126" s="433" t="s">
        <v>169</v>
      </c>
      <c r="P126" s="433">
        <v>2007.0</v>
      </c>
      <c r="Q126" s="433" t="s">
        <v>17956</v>
      </c>
      <c r="R126" s="433">
        <v>1.0</v>
      </c>
      <c r="S126" s="826"/>
      <c r="T126" s="3"/>
      <c r="U126" s="3"/>
      <c r="V126" s="3"/>
      <c r="W126" s="3"/>
      <c r="X126" s="3"/>
      <c r="Y126" s="3"/>
      <c r="Z126" s="3"/>
    </row>
    <row r="127" ht="15.75" customHeight="1">
      <c r="C127" s="449">
        <v>75.0</v>
      </c>
      <c r="D127" s="433" t="s">
        <v>18330</v>
      </c>
      <c r="E127" s="433" t="s">
        <v>18331</v>
      </c>
      <c r="F127" s="434" t="s">
        <v>18332</v>
      </c>
      <c r="G127" s="433"/>
      <c r="H127" s="433" t="s">
        <v>2222</v>
      </c>
      <c r="I127" s="433" t="s">
        <v>30</v>
      </c>
      <c r="J127" s="433"/>
      <c r="K127" s="433" t="s">
        <v>18286</v>
      </c>
      <c r="L127" s="433">
        <v>20.0</v>
      </c>
      <c r="M127" s="433"/>
      <c r="N127" s="433" t="s">
        <v>18070</v>
      </c>
      <c r="O127" s="433" t="s">
        <v>18070</v>
      </c>
      <c r="P127" s="433">
        <v>2003.0</v>
      </c>
      <c r="Q127" s="433" t="s">
        <v>17956</v>
      </c>
      <c r="R127" s="433">
        <v>1.0</v>
      </c>
      <c r="S127" s="826"/>
      <c r="T127" s="3"/>
      <c r="U127" s="3"/>
      <c r="V127" s="3"/>
      <c r="W127" s="3"/>
      <c r="X127" s="3"/>
      <c r="Y127" s="3"/>
      <c r="Z127" s="3"/>
    </row>
    <row r="128" ht="15.75" customHeight="1">
      <c r="C128" s="449">
        <v>76.0</v>
      </c>
      <c r="D128" s="433" t="s">
        <v>18333</v>
      </c>
      <c r="E128" s="433" t="s">
        <v>18334</v>
      </c>
      <c r="F128" s="434" t="s">
        <v>18335</v>
      </c>
      <c r="G128" s="433"/>
      <c r="H128" s="433" t="s">
        <v>2222</v>
      </c>
      <c r="I128" s="433" t="s">
        <v>30</v>
      </c>
      <c r="J128" s="433"/>
      <c r="K128" s="433" t="s">
        <v>18286</v>
      </c>
      <c r="L128" s="433">
        <v>31.0</v>
      </c>
      <c r="M128" s="433"/>
      <c r="N128" s="433" t="s">
        <v>18336</v>
      </c>
      <c r="O128" s="433" t="s">
        <v>151</v>
      </c>
      <c r="P128" s="433">
        <v>2011.0</v>
      </c>
      <c r="Q128" s="433" t="s">
        <v>17956</v>
      </c>
      <c r="R128" s="433">
        <v>1.0</v>
      </c>
      <c r="S128" s="826"/>
      <c r="T128" s="3"/>
      <c r="U128" s="3"/>
      <c r="V128" s="3"/>
      <c r="W128" s="3"/>
      <c r="X128" s="3"/>
      <c r="Y128" s="3"/>
      <c r="Z128" s="3"/>
    </row>
    <row r="129" ht="15.75" customHeight="1">
      <c r="C129" s="449">
        <v>77.0</v>
      </c>
      <c r="D129" s="433" t="s">
        <v>18337</v>
      </c>
      <c r="E129" s="433" t="s">
        <v>18338</v>
      </c>
      <c r="F129" s="434" t="s">
        <v>18339</v>
      </c>
      <c r="G129" s="433"/>
      <c r="H129" s="433" t="s">
        <v>2222</v>
      </c>
      <c r="I129" s="433" t="s">
        <v>30</v>
      </c>
      <c r="J129" s="433"/>
      <c r="K129" s="433" t="s">
        <v>18286</v>
      </c>
      <c r="L129" s="433">
        <v>36.0</v>
      </c>
      <c r="M129" s="433"/>
      <c r="N129" s="433" t="s">
        <v>18336</v>
      </c>
      <c r="O129" s="433" t="s">
        <v>151</v>
      </c>
      <c r="P129" s="433">
        <v>2012.0</v>
      </c>
      <c r="Q129" s="433" t="s">
        <v>17956</v>
      </c>
      <c r="R129" s="433">
        <v>1.0</v>
      </c>
      <c r="S129" s="826"/>
      <c r="T129" s="3"/>
      <c r="U129" s="3"/>
      <c r="V129" s="3"/>
      <c r="W129" s="3"/>
      <c r="X129" s="3"/>
      <c r="Y129" s="3"/>
      <c r="Z129" s="3"/>
    </row>
    <row r="130" ht="15.75" customHeight="1">
      <c r="C130" s="449">
        <v>78.0</v>
      </c>
      <c r="D130" s="433" t="s">
        <v>18340</v>
      </c>
      <c r="E130" s="433" t="s">
        <v>18341</v>
      </c>
      <c r="F130" s="434" t="s">
        <v>18342</v>
      </c>
      <c r="G130" s="433"/>
      <c r="H130" s="433" t="s">
        <v>2222</v>
      </c>
      <c r="I130" s="433" t="s">
        <v>30</v>
      </c>
      <c r="J130" s="433"/>
      <c r="K130" s="433" t="s">
        <v>18286</v>
      </c>
      <c r="L130" s="433">
        <v>31.0</v>
      </c>
      <c r="M130" s="433"/>
      <c r="N130" s="433" t="s">
        <v>18343</v>
      </c>
      <c r="O130" s="433" t="s">
        <v>151</v>
      </c>
      <c r="P130" s="433">
        <v>2008.0</v>
      </c>
      <c r="Q130" s="433" t="s">
        <v>17956</v>
      </c>
      <c r="R130" s="433">
        <v>1.0</v>
      </c>
      <c r="S130" s="826"/>
      <c r="T130" s="3"/>
      <c r="U130" s="3"/>
      <c r="V130" s="3"/>
      <c r="W130" s="3"/>
      <c r="X130" s="3"/>
      <c r="Y130" s="3"/>
      <c r="Z130" s="3"/>
    </row>
    <row r="131" ht="15.75" customHeight="1">
      <c r="C131" s="449">
        <v>79.0</v>
      </c>
      <c r="D131" s="433" t="s">
        <v>31</v>
      </c>
      <c r="E131" s="433" t="s">
        <v>18344</v>
      </c>
      <c r="F131" s="434" t="s">
        <v>18345</v>
      </c>
      <c r="G131" s="433"/>
      <c r="H131" s="433" t="s">
        <v>2222</v>
      </c>
      <c r="I131" s="433" t="s">
        <v>30</v>
      </c>
      <c r="J131" s="433"/>
      <c r="K131" s="433" t="s">
        <v>30</v>
      </c>
      <c r="L131" s="433">
        <v>32.0</v>
      </c>
      <c r="M131" s="433"/>
      <c r="N131" s="433" t="s">
        <v>18346</v>
      </c>
      <c r="O131" s="433" t="s">
        <v>18347</v>
      </c>
      <c r="P131" s="433">
        <v>1996.0</v>
      </c>
      <c r="Q131" s="433" t="s">
        <v>17956</v>
      </c>
      <c r="R131" s="433">
        <v>1.0</v>
      </c>
      <c r="S131" s="826"/>
      <c r="T131" s="3"/>
      <c r="U131" s="3"/>
      <c r="V131" s="3"/>
      <c r="W131" s="3"/>
      <c r="X131" s="3"/>
      <c r="Y131" s="3"/>
      <c r="Z131" s="3"/>
    </row>
    <row r="132" ht="15.75" customHeight="1">
      <c r="C132" s="449">
        <v>80.0</v>
      </c>
      <c r="D132" s="433" t="s">
        <v>18348</v>
      </c>
      <c r="E132" s="433" t="s">
        <v>18349</v>
      </c>
      <c r="F132" s="434" t="s">
        <v>18350</v>
      </c>
      <c r="G132" s="433"/>
      <c r="H132" s="433" t="s">
        <v>2222</v>
      </c>
      <c r="I132" s="433" t="s">
        <v>30</v>
      </c>
      <c r="J132" s="433"/>
      <c r="K132" s="433" t="s">
        <v>30</v>
      </c>
      <c r="L132" s="433">
        <v>48.0</v>
      </c>
      <c r="M132" s="433"/>
      <c r="N132" s="433" t="s">
        <v>18304</v>
      </c>
      <c r="O132" s="433" t="s">
        <v>151</v>
      </c>
      <c r="P132" s="433">
        <v>2009.0</v>
      </c>
      <c r="Q132" s="433" t="s">
        <v>17956</v>
      </c>
      <c r="R132" s="433">
        <v>1.0</v>
      </c>
      <c r="S132" s="826"/>
      <c r="T132" s="3"/>
      <c r="U132" s="3"/>
      <c r="V132" s="3"/>
      <c r="W132" s="3"/>
      <c r="X132" s="3"/>
      <c r="Y132" s="3"/>
      <c r="Z132" s="3"/>
    </row>
    <row r="133" ht="15.75" customHeight="1">
      <c r="C133" s="449">
        <v>81.0</v>
      </c>
      <c r="D133" s="433" t="s">
        <v>31</v>
      </c>
      <c r="E133" s="433" t="s">
        <v>18351</v>
      </c>
      <c r="F133" s="434" t="s">
        <v>18352</v>
      </c>
      <c r="G133" s="433"/>
      <c r="H133" s="433" t="s">
        <v>2222</v>
      </c>
      <c r="I133" s="433" t="s">
        <v>30</v>
      </c>
      <c r="J133" s="433"/>
      <c r="K133" s="433" t="s">
        <v>30</v>
      </c>
      <c r="L133" s="433">
        <v>58.0</v>
      </c>
      <c r="M133" s="433"/>
      <c r="N133" s="433" t="s">
        <v>18353</v>
      </c>
      <c r="O133" s="433" t="s">
        <v>4166</v>
      </c>
      <c r="P133" s="433">
        <v>1999.0</v>
      </c>
      <c r="Q133" s="433" t="s">
        <v>17956</v>
      </c>
      <c r="R133" s="433">
        <v>1.0</v>
      </c>
      <c r="S133" s="826"/>
      <c r="T133" s="3"/>
      <c r="U133" s="3"/>
      <c r="V133" s="3"/>
      <c r="W133" s="3"/>
      <c r="X133" s="3"/>
      <c r="Y133" s="3"/>
      <c r="Z133" s="3"/>
    </row>
    <row r="134" ht="15.75" customHeight="1">
      <c r="C134" s="449">
        <v>82.0</v>
      </c>
      <c r="D134" s="433" t="s">
        <v>18354</v>
      </c>
      <c r="E134" s="433" t="s">
        <v>18355</v>
      </c>
      <c r="F134" s="434" t="s">
        <v>18356</v>
      </c>
      <c r="G134" s="433"/>
      <c r="H134" s="433" t="s">
        <v>2222</v>
      </c>
      <c r="I134" s="433" t="s">
        <v>30</v>
      </c>
      <c r="J134" s="433"/>
      <c r="K134" s="433" t="s">
        <v>18286</v>
      </c>
      <c r="L134" s="433">
        <v>24.0</v>
      </c>
      <c r="M134" s="433"/>
      <c r="N134" s="433" t="s">
        <v>18357</v>
      </c>
      <c r="O134" s="433" t="s">
        <v>18358</v>
      </c>
      <c r="P134" s="433" t="s">
        <v>31</v>
      </c>
      <c r="Q134" s="433" t="s">
        <v>17956</v>
      </c>
      <c r="R134" s="433">
        <v>1.0</v>
      </c>
      <c r="S134" s="826"/>
      <c r="T134" s="3"/>
      <c r="U134" s="3"/>
      <c r="V134" s="3"/>
      <c r="W134" s="3"/>
      <c r="X134" s="3"/>
      <c r="Y134" s="3"/>
      <c r="Z134" s="3"/>
    </row>
    <row r="135" ht="15.75" customHeight="1">
      <c r="C135" s="449">
        <v>83.0</v>
      </c>
      <c r="D135" s="433" t="s">
        <v>31</v>
      </c>
      <c r="E135" s="433" t="s">
        <v>18359</v>
      </c>
      <c r="F135" s="434" t="s">
        <v>18360</v>
      </c>
      <c r="G135" s="433"/>
      <c r="H135" s="433" t="s">
        <v>2222</v>
      </c>
      <c r="I135" s="433" t="s">
        <v>30</v>
      </c>
      <c r="J135" s="433"/>
      <c r="K135" s="433" t="s">
        <v>30</v>
      </c>
      <c r="L135" s="433">
        <v>34.0</v>
      </c>
      <c r="M135" s="433"/>
      <c r="N135" s="433" t="s">
        <v>18242</v>
      </c>
      <c r="O135" s="433" t="s">
        <v>18361</v>
      </c>
      <c r="P135" s="433" t="s">
        <v>31</v>
      </c>
      <c r="Q135" s="433" t="s">
        <v>17956</v>
      </c>
      <c r="R135" s="433">
        <v>1.0</v>
      </c>
      <c r="S135" s="826"/>
      <c r="T135" s="3"/>
      <c r="U135" s="3"/>
      <c r="V135" s="3"/>
      <c r="W135" s="3"/>
      <c r="X135" s="3"/>
      <c r="Y135" s="3"/>
      <c r="Z135" s="3"/>
    </row>
    <row r="136" ht="15.75" customHeight="1">
      <c r="C136" s="449">
        <v>84.0</v>
      </c>
      <c r="D136" s="433" t="s">
        <v>18362</v>
      </c>
      <c r="E136" s="433" t="s">
        <v>18363</v>
      </c>
      <c r="F136" s="434" t="s">
        <v>18364</v>
      </c>
      <c r="G136" s="433"/>
      <c r="H136" s="433" t="s">
        <v>2222</v>
      </c>
      <c r="I136" s="433" t="s">
        <v>30</v>
      </c>
      <c r="J136" s="433"/>
      <c r="K136" s="433" t="s">
        <v>18286</v>
      </c>
      <c r="L136" s="433">
        <v>162.0</v>
      </c>
      <c r="M136" s="433"/>
      <c r="N136" s="433" t="s">
        <v>18365</v>
      </c>
      <c r="O136" s="433" t="s">
        <v>151</v>
      </c>
      <c r="P136" s="433">
        <v>2012.0</v>
      </c>
      <c r="Q136" s="433" t="s">
        <v>17956</v>
      </c>
      <c r="R136" s="433">
        <v>1.0</v>
      </c>
      <c r="S136" s="826"/>
      <c r="T136" s="3"/>
      <c r="U136" s="3"/>
      <c r="V136" s="3"/>
      <c r="W136" s="3"/>
      <c r="X136" s="3"/>
      <c r="Y136" s="3"/>
      <c r="Z136" s="3"/>
    </row>
    <row r="137" ht="15.75" customHeight="1">
      <c r="C137" s="449">
        <v>85.0</v>
      </c>
      <c r="D137" s="433" t="s">
        <v>18366</v>
      </c>
      <c r="E137" s="433" t="s">
        <v>18367</v>
      </c>
      <c r="F137" s="434" t="s">
        <v>18368</v>
      </c>
      <c r="G137" s="433"/>
      <c r="H137" s="433" t="s">
        <v>2222</v>
      </c>
      <c r="I137" s="433" t="s">
        <v>6271</v>
      </c>
      <c r="J137" s="433"/>
      <c r="K137" s="433" t="s">
        <v>38</v>
      </c>
      <c r="L137" s="433">
        <v>31.0</v>
      </c>
      <c r="M137" s="433"/>
      <c r="N137" s="433" t="s">
        <v>18369</v>
      </c>
      <c r="O137" s="433" t="s">
        <v>18370</v>
      </c>
      <c r="P137" s="433">
        <v>2000.0</v>
      </c>
      <c r="Q137" s="433" t="s">
        <v>17956</v>
      </c>
      <c r="R137" s="433">
        <v>1.0</v>
      </c>
      <c r="S137" s="826"/>
      <c r="T137" s="3"/>
      <c r="U137" s="3"/>
      <c r="V137" s="3"/>
      <c r="W137" s="3"/>
      <c r="X137" s="3"/>
      <c r="Y137" s="3"/>
      <c r="Z137" s="3"/>
    </row>
    <row r="138" ht="15.75" customHeight="1">
      <c r="C138" s="449">
        <v>86.0</v>
      </c>
      <c r="D138" s="433" t="s">
        <v>18371</v>
      </c>
      <c r="E138" s="433" t="s">
        <v>18372</v>
      </c>
      <c r="F138" s="434" t="s">
        <v>18373</v>
      </c>
      <c r="G138" s="433"/>
      <c r="H138" s="433" t="s">
        <v>2222</v>
      </c>
      <c r="I138" s="433" t="s">
        <v>30</v>
      </c>
      <c r="J138" s="433"/>
      <c r="K138" s="433" t="s">
        <v>30</v>
      </c>
      <c r="L138" s="433">
        <v>162.0</v>
      </c>
      <c r="M138" s="433"/>
      <c r="N138" s="433" t="s">
        <v>18374</v>
      </c>
      <c r="O138" s="433" t="s">
        <v>151</v>
      </c>
      <c r="P138" s="433">
        <v>2012.0</v>
      </c>
      <c r="Q138" s="433" t="s">
        <v>17956</v>
      </c>
      <c r="R138" s="433">
        <v>1.0</v>
      </c>
      <c r="S138" s="826"/>
      <c r="T138" s="3"/>
      <c r="U138" s="3"/>
      <c r="V138" s="3"/>
      <c r="W138" s="3"/>
      <c r="X138" s="3"/>
      <c r="Y138" s="3"/>
      <c r="Z138" s="3"/>
    </row>
    <row r="139" ht="15.75" customHeight="1">
      <c r="C139" s="449">
        <v>87.0</v>
      </c>
      <c r="D139" s="433" t="s">
        <v>18375</v>
      </c>
      <c r="E139" s="433" t="s">
        <v>18376</v>
      </c>
      <c r="F139" s="434" t="s">
        <v>18377</v>
      </c>
      <c r="G139" s="433"/>
      <c r="H139" s="433" t="s">
        <v>2222</v>
      </c>
      <c r="I139" s="433" t="s">
        <v>30</v>
      </c>
      <c r="J139" s="433"/>
      <c r="K139" s="433" t="s">
        <v>30</v>
      </c>
      <c r="L139" s="433">
        <v>129.0</v>
      </c>
      <c r="M139" s="433"/>
      <c r="N139" s="433" t="s">
        <v>18378</v>
      </c>
      <c r="O139" s="433" t="s">
        <v>4166</v>
      </c>
      <c r="P139" s="433">
        <v>2009.0</v>
      </c>
      <c r="Q139" s="433" t="s">
        <v>17956</v>
      </c>
      <c r="R139" s="433">
        <v>2.0</v>
      </c>
      <c r="S139" s="826"/>
      <c r="T139" s="3"/>
      <c r="U139" s="3"/>
      <c r="V139" s="3"/>
      <c r="W139" s="3"/>
      <c r="X139" s="3"/>
      <c r="Y139" s="3"/>
      <c r="Z139" s="3"/>
    </row>
    <row r="140" ht="15.75" customHeight="1">
      <c r="C140" s="449">
        <v>88.0</v>
      </c>
      <c r="D140" s="433" t="s">
        <v>18379</v>
      </c>
      <c r="E140" s="433" t="s">
        <v>18380</v>
      </c>
      <c r="F140" s="434" t="s">
        <v>18381</v>
      </c>
      <c r="G140" s="433"/>
      <c r="H140" s="433" t="s">
        <v>2222</v>
      </c>
      <c r="I140" s="433" t="s">
        <v>30</v>
      </c>
      <c r="J140" s="433"/>
      <c r="K140" s="433" t="s">
        <v>30</v>
      </c>
      <c r="L140" s="433">
        <v>140.0</v>
      </c>
      <c r="M140" s="433"/>
      <c r="N140" s="433" t="s">
        <v>18378</v>
      </c>
      <c r="O140" s="433" t="s">
        <v>4166</v>
      </c>
      <c r="P140" s="433">
        <v>2010.0</v>
      </c>
      <c r="Q140" s="433" t="s">
        <v>17956</v>
      </c>
      <c r="R140" s="433">
        <v>1.0</v>
      </c>
      <c r="S140" s="826"/>
      <c r="T140" s="3"/>
      <c r="U140" s="3"/>
      <c r="V140" s="3"/>
      <c r="W140" s="3"/>
      <c r="X140" s="3"/>
      <c r="Y140" s="3"/>
      <c r="Z140" s="3"/>
    </row>
    <row r="141" ht="15.75" customHeight="1">
      <c r="C141" s="449">
        <v>89.0</v>
      </c>
      <c r="D141" s="433" t="s">
        <v>18382</v>
      </c>
      <c r="E141" s="433" t="s">
        <v>18383</v>
      </c>
      <c r="F141" s="434" t="s">
        <v>18384</v>
      </c>
      <c r="G141" s="433"/>
      <c r="H141" s="433" t="s">
        <v>2222</v>
      </c>
      <c r="I141" s="433" t="s">
        <v>30</v>
      </c>
      <c r="J141" s="433"/>
      <c r="K141" s="433" t="s">
        <v>30</v>
      </c>
      <c r="L141" s="433">
        <v>160.0</v>
      </c>
      <c r="M141" s="433"/>
      <c r="N141" s="433" t="s">
        <v>18329</v>
      </c>
      <c r="O141" s="433" t="s">
        <v>169</v>
      </c>
      <c r="P141" s="433">
        <v>2011.0</v>
      </c>
      <c r="Q141" s="433" t="s">
        <v>17956</v>
      </c>
      <c r="R141" s="433">
        <v>1.0</v>
      </c>
      <c r="S141" s="826"/>
      <c r="T141" s="3"/>
      <c r="U141" s="3"/>
      <c r="V141" s="3"/>
      <c r="W141" s="3"/>
      <c r="X141" s="3"/>
      <c r="Y141" s="3"/>
      <c r="Z141" s="3"/>
    </row>
    <row r="142" ht="15.75" customHeight="1">
      <c r="C142" s="449">
        <v>90.0</v>
      </c>
      <c r="D142" s="433" t="s">
        <v>18385</v>
      </c>
      <c r="E142" s="433" t="s">
        <v>18386</v>
      </c>
      <c r="F142" s="434" t="s">
        <v>18387</v>
      </c>
      <c r="G142" s="433"/>
      <c r="H142" s="433" t="s">
        <v>2222</v>
      </c>
      <c r="I142" s="433" t="s">
        <v>30</v>
      </c>
      <c r="J142" s="433"/>
      <c r="K142" s="433" t="s">
        <v>30</v>
      </c>
      <c r="L142" s="433">
        <v>32.0</v>
      </c>
      <c r="M142" s="433"/>
      <c r="N142" s="433" t="s">
        <v>18388</v>
      </c>
      <c r="O142" s="433" t="s">
        <v>161</v>
      </c>
      <c r="P142" s="433">
        <v>2002.0</v>
      </c>
      <c r="Q142" s="433" t="s">
        <v>17956</v>
      </c>
      <c r="R142" s="433">
        <v>1.0</v>
      </c>
      <c r="S142" s="826"/>
      <c r="T142" s="3"/>
      <c r="U142" s="3"/>
      <c r="V142" s="3"/>
      <c r="W142" s="3"/>
      <c r="X142" s="3"/>
      <c r="Y142" s="3"/>
      <c r="Z142" s="3"/>
    </row>
    <row r="143" ht="15.75" customHeight="1">
      <c r="C143" s="449">
        <v>91.0</v>
      </c>
      <c r="D143" s="433" t="s">
        <v>18389</v>
      </c>
      <c r="E143" s="433" t="s">
        <v>18390</v>
      </c>
      <c r="F143" s="434" t="s">
        <v>18391</v>
      </c>
      <c r="G143" s="433"/>
      <c r="H143" s="433" t="s">
        <v>2222</v>
      </c>
      <c r="I143" s="433" t="s">
        <v>30</v>
      </c>
      <c r="J143" s="433"/>
      <c r="K143" s="433" t="s">
        <v>30</v>
      </c>
      <c r="L143" s="433">
        <v>32.0</v>
      </c>
      <c r="M143" s="433"/>
      <c r="N143" s="433" t="s">
        <v>18388</v>
      </c>
      <c r="O143" s="433" t="s">
        <v>161</v>
      </c>
      <c r="P143" s="433">
        <v>2002.0</v>
      </c>
      <c r="Q143" s="433" t="s">
        <v>17956</v>
      </c>
      <c r="R143" s="433">
        <v>1.0</v>
      </c>
      <c r="S143" s="826"/>
      <c r="T143" s="3"/>
      <c r="U143" s="3"/>
      <c r="V143" s="3"/>
      <c r="W143" s="3"/>
      <c r="X143" s="3"/>
      <c r="Y143" s="3"/>
      <c r="Z143" s="3"/>
    </row>
    <row r="144" ht="15.75" customHeight="1">
      <c r="C144" s="449">
        <v>92.0</v>
      </c>
      <c r="D144" s="433" t="s">
        <v>31</v>
      </c>
      <c r="E144" s="433" t="s">
        <v>18392</v>
      </c>
      <c r="F144" s="434" t="s">
        <v>18393</v>
      </c>
      <c r="G144" s="433"/>
      <c r="H144" s="433" t="s">
        <v>2222</v>
      </c>
      <c r="I144" s="433" t="s">
        <v>30</v>
      </c>
      <c r="J144" s="433"/>
      <c r="K144" s="433" t="s">
        <v>30</v>
      </c>
      <c r="L144" s="433">
        <v>32.0</v>
      </c>
      <c r="M144" s="433"/>
      <c r="N144" s="433" t="s">
        <v>18394</v>
      </c>
      <c r="O144" s="433" t="s">
        <v>18066</v>
      </c>
      <c r="P144" s="433">
        <v>1993.0</v>
      </c>
      <c r="Q144" s="433" t="s">
        <v>17956</v>
      </c>
      <c r="R144" s="433">
        <v>1.0</v>
      </c>
      <c r="S144" s="826"/>
      <c r="T144" s="3"/>
      <c r="U144" s="3"/>
      <c r="V144" s="3"/>
      <c r="W144" s="3"/>
      <c r="X144" s="3"/>
      <c r="Y144" s="3"/>
      <c r="Z144" s="3"/>
    </row>
    <row r="145" ht="15.75" customHeight="1">
      <c r="C145" s="449">
        <v>93.0</v>
      </c>
      <c r="D145" s="433" t="s">
        <v>18395</v>
      </c>
      <c r="E145" s="433" t="s">
        <v>18396</v>
      </c>
      <c r="F145" s="434" t="s">
        <v>18397</v>
      </c>
      <c r="G145" s="433"/>
      <c r="H145" s="433" t="s">
        <v>2222</v>
      </c>
      <c r="I145" s="433" t="s">
        <v>30</v>
      </c>
      <c r="J145" s="433"/>
      <c r="K145" s="433" t="s">
        <v>30</v>
      </c>
      <c r="L145" s="433">
        <v>32.0</v>
      </c>
      <c r="M145" s="433"/>
      <c r="N145" s="433" t="s">
        <v>18388</v>
      </c>
      <c r="O145" s="433" t="s">
        <v>161</v>
      </c>
      <c r="P145" s="433">
        <v>2002.0</v>
      </c>
      <c r="Q145" s="433" t="s">
        <v>17956</v>
      </c>
      <c r="R145" s="433">
        <v>1.0</v>
      </c>
      <c r="S145" s="826"/>
      <c r="T145" s="3"/>
      <c r="U145" s="3"/>
      <c r="V145" s="3"/>
      <c r="W145" s="3"/>
      <c r="X145" s="3"/>
      <c r="Y145" s="3"/>
      <c r="Z145" s="3"/>
    </row>
    <row r="146" ht="15.75" customHeight="1">
      <c r="C146" s="449">
        <v>94.0</v>
      </c>
      <c r="D146" s="433" t="s">
        <v>31</v>
      </c>
      <c r="E146" s="433" t="s">
        <v>18398</v>
      </c>
      <c r="F146" s="434" t="s">
        <v>18399</v>
      </c>
      <c r="G146" s="433"/>
      <c r="H146" s="433" t="s">
        <v>2222</v>
      </c>
      <c r="I146" s="433" t="s">
        <v>30</v>
      </c>
      <c r="J146" s="433"/>
      <c r="K146" s="433" t="s">
        <v>30</v>
      </c>
      <c r="L146" s="433">
        <v>32.0</v>
      </c>
      <c r="M146" s="433"/>
      <c r="N146" s="433" t="s">
        <v>18394</v>
      </c>
      <c r="O146" s="433" t="s">
        <v>18066</v>
      </c>
      <c r="P146" s="433">
        <v>1993.0</v>
      </c>
      <c r="Q146" s="433" t="s">
        <v>17956</v>
      </c>
      <c r="R146" s="433">
        <v>1.0</v>
      </c>
      <c r="S146" s="826"/>
      <c r="T146" s="3"/>
      <c r="U146" s="3"/>
      <c r="V146" s="3"/>
      <c r="W146" s="3"/>
      <c r="X146" s="3"/>
      <c r="Y146" s="3"/>
      <c r="Z146" s="3"/>
    </row>
    <row r="147" ht="15.75" customHeight="1">
      <c r="C147" s="449">
        <v>95.0</v>
      </c>
      <c r="D147" s="433" t="s">
        <v>18400</v>
      </c>
      <c r="E147" s="433" t="s">
        <v>18401</v>
      </c>
      <c r="F147" s="434" t="s">
        <v>18402</v>
      </c>
      <c r="G147" s="433"/>
      <c r="H147" s="433" t="s">
        <v>2222</v>
      </c>
      <c r="I147" s="433" t="s">
        <v>30</v>
      </c>
      <c r="J147" s="433"/>
      <c r="K147" s="433" t="s">
        <v>30</v>
      </c>
      <c r="L147" s="433">
        <v>31.0</v>
      </c>
      <c r="M147" s="433"/>
      <c r="N147" s="433" t="s">
        <v>18325</v>
      </c>
      <c r="O147" s="433" t="s">
        <v>161</v>
      </c>
      <c r="P147" s="433">
        <v>1999.0</v>
      </c>
      <c r="Q147" s="433" t="s">
        <v>17956</v>
      </c>
      <c r="R147" s="433">
        <v>1.0</v>
      </c>
      <c r="S147" s="826"/>
      <c r="T147" s="3"/>
      <c r="U147" s="3"/>
      <c r="V147" s="3"/>
      <c r="W147" s="3"/>
      <c r="X147" s="3"/>
      <c r="Y147" s="3"/>
      <c r="Z147" s="3"/>
    </row>
    <row r="148" ht="15.75" customHeight="1">
      <c r="C148" s="449">
        <v>96.0</v>
      </c>
      <c r="D148" s="433" t="s">
        <v>18403</v>
      </c>
      <c r="E148" s="433" t="s">
        <v>18404</v>
      </c>
      <c r="F148" s="434" t="s">
        <v>18405</v>
      </c>
      <c r="G148" s="433"/>
      <c r="H148" s="433" t="s">
        <v>2222</v>
      </c>
      <c r="I148" s="433" t="s">
        <v>30</v>
      </c>
      <c r="J148" s="433"/>
      <c r="K148" s="433" t="s">
        <v>30</v>
      </c>
      <c r="L148" s="433">
        <v>36.0</v>
      </c>
      <c r="M148" s="433"/>
      <c r="N148" s="433" t="s">
        <v>18099</v>
      </c>
      <c r="O148" s="433" t="s">
        <v>169</v>
      </c>
      <c r="P148" s="433">
        <v>2009.0</v>
      </c>
      <c r="Q148" s="433" t="s">
        <v>17956</v>
      </c>
      <c r="R148" s="433">
        <v>1.0</v>
      </c>
      <c r="S148" s="826"/>
      <c r="T148" s="3"/>
      <c r="U148" s="3"/>
      <c r="V148" s="3"/>
      <c r="W148" s="3"/>
      <c r="X148" s="3"/>
      <c r="Y148" s="3"/>
      <c r="Z148" s="3"/>
    </row>
    <row r="149" ht="15.75" customHeight="1">
      <c r="C149" s="449">
        <v>97.0</v>
      </c>
      <c r="D149" s="433" t="s">
        <v>18406</v>
      </c>
      <c r="E149" s="433" t="s">
        <v>31</v>
      </c>
      <c r="F149" s="434" t="s">
        <v>18407</v>
      </c>
      <c r="G149" s="433"/>
      <c r="H149" s="433" t="s">
        <v>2222</v>
      </c>
      <c r="I149" s="433" t="s">
        <v>30</v>
      </c>
      <c r="J149" s="433"/>
      <c r="K149" s="433" t="s">
        <v>18286</v>
      </c>
      <c r="L149" s="433">
        <v>19.0</v>
      </c>
      <c r="M149" s="433"/>
      <c r="N149" s="433" t="s">
        <v>18408</v>
      </c>
      <c r="O149" s="433" t="s">
        <v>151</v>
      </c>
      <c r="P149" s="433">
        <v>2011.0</v>
      </c>
      <c r="Q149" s="433" t="s">
        <v>17956</v>
      </c>
      <c r="R149" s="433">
        <v>1.0</v>
      </c>
      <c r="S149" s="826"/>
      <c r="T149" s="3"/>
      <c r="U149" s="3"/>
      <c r="V149" s="3"/>
      <c r="W149" s="3"/>
      <c r="X149" s="3"/>
      <c r="Y149" s="3"/>
      <c r="Z149" s="3"/>
    </row>
    <row r="150" ht="15.75" customHeight="1">
      <c r="C150" s="449">
        <v>98.0</v>
      </c>
      <c r="D150" s="433" t="s">
        <v>18409</v>
      </c>
      <c r="E150" s="433" t="s">
        <v>18410</v>
      </c>
      <c r="F150" s="434" t="s">
        <v>18411</v>
      </c>
      <c r="G150" s="433"/>
      <c r="H150" s="433" t="s">
        <v>2222</v>
      </c>
      <c r="I150" s="433" t="s">
        <v>8203</v>
      </c>
      <c r="J150" s="433"/>
      <c r="K150" s="433" t="s">
        <v>38</v>
      </c>
      <c r="L150" s="433">
        <v>32.0</v>
      </c>
      <c r="M150" s="433"/>
      <c r="N150" s="433" t="s">
        <v>18412</v>
      </c>
      <c r="O150" s="433" t="s">
        <v>18413</v>
      </c>
      <c r="P150" s="433">
        <v>2002.0</v>
      </c>
      <c r="Q150" s="433" t="s">
        <v>17956</v>
      </c>
      <c r="R150" s="433">
        <v>1.0</v>
      </c>
      <c r="S150" s="826"/>
      <c r="T150" s="3"/>
      <c r="U150" s="3"/>
      <c r="V150" s="3"/>
      <c r="W150" s="3"/>
      <c r="X150" s="3"/>
      <c r="Y150" s="3"/>
      <c r="Z150" s="3"/>
    </row>
    <row r="151" ht="15.75" customHeight="1">
      <c r="C151" s="449">
        <v>99.0</v>
      </c>
      <c r="D151" s="433" t="s">
        <v>18414</v>
      </c>
      <c r="E151" s="433" t="s">
        <v>31</v>
      </c>
      <c r="F151" s="434" t="s">
        <v>18415</v>
      </c>
      <c r="G151" s="433"/>
      <c r="H151" s="433" t="s">
        <v>2222</v>
      </c>
      <c r="I151" s="433" t="s">
        <v>38</v>
      </c>
      <c r="J151" s="433"/>
      <c r="K151" s="433" t="s">
        <v>38</v>
      </c>
      <c r="L151" s="433">
        <v>256.0</v>
      </c>
      <c r="M151" s="433"/>
      <c r="N151" s="433" t="s">
        <v>18416</v>
      </c>
      <c r="O151" s="433" t="s">
        <v>18417</v>
      </c>
      <c r="P151" s="433">
        <v>1999.0</v>
      </c>
      <c r="Q151" s="433" t="s">
        <v>17956</v>
      </c>
      <c r="R151" s="433">
        <v>2.0</v>
      </c>
      <c r="S151" s="826"/>
      <c r="T151" s="3"/>
      <c r="U151" s="3"/>
      <c r="V151" s="3"/>
      <c r="W151" s="3"/>
      <c r="X151" s="3"/>
      <c r="Y151" s="3"/>
      <c r="Z151" s="3"/>
    </row>
    <row r="152" ht="15.75" customHeight="1">
      <c r="C152" s="449">
        <v>100.0</v>
      </c>
      <c r="D152" s="433" t="s">
        <v>18418</v>
      </c>
      <c r="E152" s="433" t="s">
        <v>18419</v>
      </c>
      <c r="F152" s="434" t="s">
        <v>18420</v>
      </c>
      <c r="G152" s="433"/>
      <c r="H152" s="433" t="s">
        <v>2222</v>
      </c>
      <c r="I152" s="433" t="s">
        <v>38</v>
      </c>
      <c r="J152" s="433"/>
      <c r="K152" s="433" t="s">
        <v>38</v>
      </c>
      <c r="L152" s="433">
        <v>312.0</v>
      </c>
      <c r="M152" s="433"/>
      <c r="N152" s="433" t="s">
        <v>18421</v>
      </c>
      <c r="O152" s="433" t="s">
        <v>18422</v>
      </c>
      <c r="P152" s="433"/>
      <c r="Q152" s="433" t="s">
        <v>17956</v>
      </c>
      <c r="R152" s="433">
        <v>1.0</v>
      </c>
      <c r="S152" s="826"/>
      <c r="T152" s="3"/>
      <c r="U152" s="3"/>
      <c r="V152" s="3"/>
      <c r="W152" s="3"/>
      <c r="X152" s="3"/>
      <c r="Y152" s="3"/>
      <c r="Z152" s="3"/>
    </row>
    <row r="153" ht="15.75" customHeight="1">
      <c r="C153" s="449">
        <v>101.0</v>
      </c>
      <c r="D153" s="433" t="s">
        <v>18423</v>
      </c>
      <c r="E153" s="433" t="s">
        <v>31</v>
      </c>
      <c r="F153" s="434" t="s">
        <v>18424</v>
      </c>
      <c r="G153" s="433"/>
      <c r="H153" s="433" t="s">
        <v>2222</v>
      </c>
      <c r="I153" s="433" t="s">
        <v>38</v>
      </c>
      <c r="J153" s="433"/>
      <c r="K153" s="433" t="s">
        <v>38</v>
      </c>
      <c r="L153" s="433">
        <v>96.0</v>
      </c>
      <c r="M153" s="433"/>
      <c r="N153" s="433" t="s">
        <v>18425</v>
      </c>
      <c r="O153" s="433" t="s">
        <v>18426</v>
      </c>
      <c r="P153" s="433">
        <v>1989.0</v>
      </c>
      <c r="Q153" s="433" t="s">
        <v>17956</v>
      </c>
      <c r="R153" s="433">
        <v>1.0</v>
      </c>
      <c r="S153" s="826"/>
      <c r="T153" s="3"/>
      <c r="U153" s="3"/>
      <c r="V153" s="3"/>
      <c r="W153" s="3"/>
      <c r="X153" s="3"/>
      <c r="Y153" s="3"/>
      <c r="Z153" s="3"/>
    </row>
    <row r="154" ht="15.75" customHeight="1">
      <c r="C154" s="449">
        <v>102.0</v>
      </c>
      <c r="D154" s="433" t="s">
        <v>18427</v>
      </c>
      <c r="E154" s="433" t="s">
        <v>18428</v>
      </c>
      <c r="F154" s="434" t="s">
        <v>18429</v>
      </c>
      <c r="G154" s="433"/>
      <c r="H154" s="433" t="s">
        <v>2222</v>
      </c>
      <c r="I154" s="433" t="s">
        <v>12291</v>
      </c>
      <c r="J154" s="433"/>
      <c r="K154" s="433" t="s">
        <v>38</v>
      </c>
      <c r="L154" s="433">
        <v>399.0</v>
      </c>
      <c r="M154" s="433"/>
      <c r="N154" s="433" t="s">
        <v>18430</v>
      </c>
      <c r="O154" s="433" t="s">
        <v>12292</v>
      </c>
      <c r="P154" s="433">
        <v>2001.0</v>
      </c>
      <c r="Q154" s="433" t="s">
        <v>17956</v>
      </c>
      <c r="R154" s="433">
        <v>2.0</v>
      </c>
      <c r="S154" s="826"/>
      <c r="T154" s="3"/>
      <c r="U154" s="3"/>
      <c r="V154" s="3"/>
      <c r="W154" s="3"/>
      <c r="X154" s="3"/>
      <c r="Y154" s="3"/>
      <c r="Z154" s="3"/>
    </row>
    <row r="155" ht="15.75" customHeight="1">
      <c r="C155" s="449">
        <v>103.0</v>
      </c>
      <c r="D155" s="433" t="s">
        <v>31</v>
      </c>
      <c r="E155" s="433" t="s">
        <v>18431</v>
      </c>
      <c r="F155" s="434" t="s">
        <v>18432</v>
      </c>
      <c r="G155" s="433"/>
      <c r="H155" s="433" t="s">
        <v>2222</v>
      </c>
      <c r="I155" s="433" t="s">
        <v>37</v>
      </c>
      <c r="J155" s="433"/>
      <c r="K155" s="433" t="s">
        <v>38</v>
      </c>
      <c r="L155" s="433">
        <v>156.0</v>
      </c>
      <c r="M155" s="433"/>
      <c r="N155" s="433" t="s">
        <v>18433</v>
      </c>
      <c r="O155" s="433" t="s">
        <v>4836</v>
      </c>
      <c r="P155" s="433">
        <v>1987.0</v>
      </c>
      <c r="Q155" s="433" t="s">
        <v>17956</v>
      </c>
      <c r="R155" s="433">
        <v>1.0</v>
      </c>
      <c r="S155" s="826"/>
      <c r="T155" s="3"/>
      <c r="U155" s="3"/>
      <c r="V155" s="3"/>
      <c r="W155" s="3"/>
      <c r="X155" s="3"/>
      <c r="Y155" s="3"/>
      <c r="Z155" s="3"/>
    </row>
    <row r="156" ht="15.75" customHeight="1">
      <c r="C156" s="449">
        <v>104.0</v>
      </c>
      <c r="D156" s="433" t="s">
        <v>31</v>
      </c>
      <c r="E156" s="433" t="s">
        <v>18227</v>
      </c>
      <c r="F156" s="434" t="s">
        <v>18434</v>
      </c>
      <c r="G156" s="433"/>
      <c r="H156" s="433" t="s">
        <v>2222</v>
      </c>
      <c r="I156" s="433" t="s">
        <v>30</v>
      </c>
      <c r="J156" s="433"/>
      <c r="K156" s="433" t="s">
        <v>30</v>
      </c>
      <c r="L156" s="433">
        <v>378.0</v>
      </c>
      <c r="M156" s="433"/>
      <c r="N156" s="433" t="s">
        <v>18435</v>
      </c>
      <c r="O156" s="433" t="s">
        <v>18066</v>
      </c>
      <c r="P156" s="433">
        <v>1996.0</v>
      </c>
      <c r="Q156" s="433" t="s">
        <v>17956</v>
      </c>
      <c r="R156" s="433">
        <v>1.0</v>
      </c>
      <c r="S156" s="826"/>
      <c r="T156" s="3"/>
      <c r="U156" s="3"/>
      <c r="V156" s="3"/>
      <c r="W156" s="3"/>
      <c r="X156" s="3"/>
      <c r="Y156" s="3"/>
      <c r="Z156" s="3"/>
    </row>
    <row r="157" ht="15.75" customHeight="1">
      <c r="C157" s="449">
        <v>105.0</v>
      </c>
      <c r="D157" s="433" t="s">
        <v>18436</v>
      </c>
      <c r="E157" s="433" t="s">
        <v>18437</v>
      </c>
      <c r="F157" s="434" t="s">
        <v>18438</v>
      </c>
      <c r="G157" s="433"/>
      <c r="H157" s="433" t="s">
        <v>2222</v>
      </c>
      <c r="I157" s="433" t="s">
        <v>81</v>
      </c>
      <c r="J157" s="433"/>
      <c r="K157" s="433" t="s">
        <v>38</v>
      </c>
      <c r="L157" s="433">
        <v>220.0</v>
      </c>
      <c r="M157" s="433"/>
      <c r="N157" s="433" t="s">
        <v>18439</v>
      </c>
      <c r="O157" s="433" t="s">
        <v>18440</v>
      </c>
      <c r="P157" s="433">
        <v>1995.0</v>
      </c>
      <c r="Q157" s="433" t="s">
        <v>17956</v>
      </c>
      <c r="R157" s="433">
        <v>1.0</v>
      </c>
      <c r="S157" s="826"/>
      <c r="T157" s="3"/>
      <c r="U157" s="3"/>
      <c r="V157" s="3"/>
      <c r="W157" s="3"/>
      <c r="X157" s="3"/>
      <c r="Y157" s="3"/>
      <c r="Z157" s="3"/>
    </row>
    <row r="158" ht="15.75" customHeight="1">
      <c r="C158" s="449">
        <v>106.0</v>
      </c>
      <c r="D158" s="433" t="s">
        <v>18441</v>
      </c>
      <c r="E158" s="433" t="s">
        <v>18442</v>
      </c>
      <c r="F158" s="434" t="s">
        <v>18443</v>
      </c>
      <c r="G158" s="433"/>
      <c r="H158" s="433" t="s">
        <v>2222</v>
      </c>
      <c r="I158" s="433" t="s">
        <v>30</v>
      </c>
      <c r="J158" s="433"/>
      <c r="K158" s="433" t="s">
        <v>30</v>
      </c>
      <c r="L158" s="433">
        <v>384.0</v>
      </c>
      <c r="M158" s="433"/>
      <c r="N158" s="433" t="s">
        <v>10371</v>
      </c>
      <c r="O158" s="433" t="s">
        <v>6235</v>
      </c>
      <c r="P158" s="433">
        <v>2012.0</v>
      </c>
      <c r="Q158" s="433" t="s">
        <v>17956</v>
      </c>
      <c r="R158" s="433">
        <v>1.0</v>
      </c>
      <c r="S158" s="826"/>
      <c r="T158" s="3"/>
      <c r="U158" s="3"/>
      <c r="V158" s="3"/>
      <c r="W158" s="3"/>
      <c r="X158" s="3"/>
      <c r="Y158" s="3"/>
      <c r="Z158" s="3"/>
    </row>
    <row r="159" ht="15.75" customHeight="1">
      <c r="C159" s="449">
        <v>107.0</v>
      </c>
      <c r="D159" s="433" t="s">
        <v>18444</v>
      </c>
      <c r="E159" s="433" t="s">
        <v>18445</v>
      </c>
      <c r="F159" s="434" t="s">
        <v>18446</v>
      </c>
      <c r="G159" s="433"/>
      <c r="H159" s="433" t="s">
        <v>2222</v>
      </c>
      <c r="I159" s="433" t="s">
        <v>30</v>
      </c>
      <c r="J159" s="433"/>
      <c r="K159" s="433" t="s">
        <v>30</v>
      </c>
      <c r="L159" s="433">
        <v>32.0</v>
      </c>
      <c r="M159" s="433"/>
      <c r="N159" s="433" t="s">
        <v>18447</v>
      </c>
      <c r="O159" s="433" t="s">
        <v>161</v>
      </c>
      <c r="P159" s="433">
        <v>2002.0</v>
      </c>
      <c r="Q159" s="433" t="s">
        <v>17956</v>
      </c>
      <c r="R159" s="433">
        <v>1.0</v>
      </c>
      <c r="S159" s="826"/>
      <c r="T159" s="3"/>
      <c r="U159" s="3"/>
      <c r="V159" s="3"/>
      <c r="W159" s="3"/>
      <c r="X159" s="3"/>
      <c r="Y159" s="3"/>
      <c r="Z159" s="3"/>
    </row>
    <row r="160" ht="15.75" customHeight="1">
      <c r="C160" s="449">
        <v>108.0</v>
      </c>
      <c r="D160" s="433" t="s">
        <v>18448</v>
      </c>
      <c r="E160" s="433" t="s">
        <v>31</v>
      </c>
      <c r="F160" s="434" t="s">
        <v>18449</v>
      </c>
      <c r="G160" s="433"/>
      <c r="H160" s="433" t="s">
        <v>2222</v>
      </c>
      <c r="I160" s="433" t="s">
        <v>30</v>
      </c>
      <c r="J160" s="433"/>
      <c r="K160" s="433" t="s">
        <v>30</v>
      </c>
      <c r="L160" s="433">
        <v>24.0</v>
      </c>
      <c r="M160" s="433"/>
      <c r="N160" s="433" t="s">
        <v>18450</v>
      </c>
      <c r="O160" s="433" t="s">
        <v>151</v>
      </c>
      <c r="P160" s="433">
        <v>2010.0</v>
      </c>
      <c r="Q160" s="433" t="s">
        <v>17956</v>
      </c>
      <c r="R160" s="433">
        <v>1.0</v>
      </c>
      <c r="S160" s="826"/>
      <c r="T160" s="3"/>
      <c r="U160" s="3"/>
      <c r="V160" s="3"/>
      <c r="W160" s="3"/>
      <c r="X160" s="3"/>
      <c r="Y160" s="3"/>
      <c r="Z160" s="3"/>
    </row>
    <row r="161" ht="15.75" customHeight="1">
      <c r="C161" s="449">
        <v>109.0</v>
      </c>
      <c r="D161" s="538" t="s">
        <v>14092</v>
      </c>
      <c r="E161" s="433" t="s">
        <v>18451</v>
      </c>
      <c r="F161" s="434" t="s">
        <v>18452</v>
      </c>
      <c r="G161" s="433"/>
      <c r="H161" s="433" t="s">
        <v>2222</v>
      </c>
      <c r="I161" s="433" t="s">
        <v>30</v>
      </c>
      <c r="J161" s="433"/>
      <c r="K161" s="433" t="s">
        <v>30</v>
      </c>
      <c r="L161" s="433">
        <v>28.0</v>
      </c>
      <c r="M161" s="433"/>
      <c r="N161" s="433" t="s">
        <v>18453</v>
      </c>
      <c r="O161" s="433" t="s">
        <v>6235</v>
      </c>
      <c r="P161" s="433">
        <v>1996.0</v>
      </c>
      <c r="Q161" s="433" t="s">
        <v>17956</v>
      </c>
      <c r="R161" s="433">
        <v>1.0</v>
      </c>
      <c r="S161" s="826"/>
      <c r="T161" s="3"/>
      <c r="U161" s="3"/>
      <c r="V161" s="3"/>
      <c r="W161" s="3"/>
      <c r="X161" s="3"/>
      <c r="Y161" s="3"/>
      <c r="Z161" s="3"/>
    </row>
    <row r="162" ht="15.75" customHeight="1">
      <c r="C162" s="449">
        <v>110.0</v>
      </c>
      <c r="D162" s="433" t="s">
        <v>31</v>
      </c>
      <c r="E162" s="433" t="s">
        <v>31</v>
      </c>
      <c r="F162" s="434" t="s">
        <v>18454</v>
      </c>
      <c r="G162" s="433"/>
      <c r="H162" s="433" t="s">
        <v>2222</v>
      </c>
      <c r="I162" s="433" t="s">
        <v>30</v>
      </c>
      <c r="J162" s="433"/>
      <c r="K162" s="433" t="s">
        <v>30</v>
      </c>
      <c r="L162" s="433" t="s">
        <v>31</v>
      </c>
      <c r="M162" s="433"/>
      <c r="N162" s="433" t="s">
        <v>10371</v>
      </c>
      <c r="O162" s="433" t="s">
        <v>4924</v>
      </c>
      <c r="P162" s="433" t="s">
        <v>31</v>
      </c>
      <c r="Q162" s="433" t="s">
        <v>17956</v>
      </c>
      <c r="R162" s="433">
        <v>1.0</v>
      </c>
      <c r="S162" s="826"/>
      <c r="T162" s="3"/>
      <c r="U162" s="3"/>
      <c r="V162" s="3"/>
      <c r="W162" s="3"/>
      <c r="X162" s="3"/>
      <c r="Y162" s="3"/>
      <c r="Z162" s="3"/>
    </row>
    <row r="163" ht="15.75" customHeight="1">
      <c r="C163" s="449">
        <v>111.0</v>
      </c>
      <c r="D163" s="433" t="s">
        <v>18455</v>
      </c>
      <c r="E163" s="433" t="s">
        <v>18456</v>
      </c>
      <c r="F163" s="434" t="s">
        <v>18457</v>
      </c>
      <c r="G163" s="433"/>
      <c r="H163" s="433" t="s">
        <v>2222</v>
      </c>
      <c r="I163" s="433" t="s">
        <v>30</v>
      </c>
      <c r="J163" s="433"/>
      <c r="K163" s="433" t="s">
        <v>30</v>
      </c>
      <c r="L163" s="433">
        <v>39.0</v>
      </c>
      <c r="M163" s="433"/>
      <c r="N163" s="433" t="s">
        <v>18325</v>
      </c>
      <c r="O163" s="433" t="s">
        <v>151</v>
      </c>
      <c r="P163" s="433" t="s">
        <v>31</v>
      </c>
      <c r="Q163" s="433" t="s">
        <v>17956</v>
      </c>
      <c r="R163" s="433">
        <v>1.0</v>
      </c>
      <c r="S163" s="826"/>
      <c r="T163" s="3"/>
      <c r="U163" s="3"/>
      <c r="V163" s="3"/>
      <c r="W163" s="3"/>
      <c r="X163" s="3"/>
      <c r="Y163" s="3"/>
      <c r="Z163" s="3"/>
    </row>
    <row r="164" ht="15.75" customHeight="1">
      <c r="C164" s="449">
        <v>112.0</v>
      </c>
      <c r="D164" s="433" t="s">
        <v>18458</v>
      </c>
      <c r="E164" s="433" t="s">
        <v>18459</v>
      </c>
      <c r="F164" s="434" t="s">
        <v>18460</v>
      </c>
      <c r="G164" s="433"/>
      <c r="H164" s="433" t="s">
        <v>2222</v>
      </c>
      <c r="I164" s="433" t="s">
        <v>30</v>
      </c>
      <c r="J164" s="433"/>
      <c r="K164" s="433" t="s">
        <v>18286</v>
      </c>
      <c r="L164" s="433">
        <v>24.0</v>
      </c>
      <c r="M164" s="433"/>
      <c r="N164" s="433" t="s">
        <v>18070</v>
      </c>
      <c r="O164" s="433" t="s">
        <v>18070</v>
      </c>
      <c r="P164" s="433">
        <v>2004.0</v>
      </c>
      <c r="Q164" s="433" t="s">
        <v>17956</v>
      </c>
      <c r="R164" s="433">
        <v>1.0</v>
      </c>
      <c r="S164" s="826"/>
      <c r="T164" s="3"/>
      <c r="U164" s="3"/>
      <c r="V164" s="3"/>
      <c r="W164" s="3"/>
      <c r="X164" s="3"/>
      <c r="Y164" s="3"/>
      <c r="Z164" s="3"/>
    </row>
    <row r="165" ht="15.75" customHeight="1">
      <c r="C165" s="449">
        <v>113.0</v>
      </c>
      <c r="D165" s="433" t="s">
        <v>18461</v>
      </c>
      <c r="E165" s="433" t="s">
        <v>18462</v>
      </c>
      <c r="F165" s="434" t="s">
        <v>18463</v>
      </c>
      <c r="G165" s="433"/>
      <c r="H165" s="433" t="s">
        <v>2222</v>
      </c>
      <c r="I165" s="433" t="s">
        <v>30</v>
      </c>
      <c r="J165" s="433"/>
      <c r="K165" s="433" t="s">
        <v>30</v>
      </c>
      <c r="L165" s="433">
        <v>54.0</v>
      </c>
      <c r="M165" s="433"/>
      <c r="N165" s="433" t="s">
        <v>13336</v>
      </c>
      <c r="O165" s="433" t="s">
        <v>151</v>
      </c>
      <c r="P165" s="433">
        <v>2011.0</v>
      </c>
      <c r="Q165" s="433" t="s">
        <v>17956</v>
      </c>
      <c r="R165" s="433">
        <v>1.0</v>
      </c>
      <c r="S165" s="826"/>
      <c r="T165" s="3"/>
      <c r="U165" s="3"/>
      <c r="V165" s="3"/>
      <c r="W165" s="3"/>
      <c r="X165" s="3"/>
      <c r="Y165" s="3"/>
      <c r="Z165" s="3"/>
    </row>
    <row r="166" ht="15.75" customHeight="1">
      <c r="C166" s="449">
        <v>114.0</v>
      </c>
      <c r="D166" s="433" t="s">
        <v>18464</v>
      </c>
      <c r="E166" s="433" t="s">
        <v>18465</v>
      </c>
      <c r="F166" s="434" t="s">
        <v>18466</v>
      </c>
      <c r="G166" s="433"/>
      <c r="H166" s="433" t="s">
        <v>2222</v>
      </c>
      <c r="I166" s="433" t="s">
        <v>30</v>
      </c>
      <c r="J166" s="433"/>
      <c r="K166" s="433" t="s">
        <v>30</v>
      </c>
      <c r="L166" s="433">
        <v>32.0</v>
      </c>
      <c r="M166" s="433"/>
      <c r="N166" s="433" t="s">
        <v>18388</v>
      </c>
      <c r="O166" s="433" t="s">
        <v>161</v>
      </c>
      <c r="P166" s="433">
        <v>2002.0</v>
      </c>
      <c r="Q166" s="433" t="s">
        <v>17956</v>
      </c>
      <c r="R166" s="433">
        <v>1.0</v>
      </c>
      <c r="S166" s="826"/>
      <c r="T166" s="3"/>
      <c r="U166" s="3"/>
      <c r="V166" s="3"/>
      <c r="W166" s="3"/>
      <c r="X166" s="3"/>
      <c r="Y166" s="3"/>
      <c r="Z166" s="3"/>
    </row>
    <row r="167" ht="15.75" customHeight="1">
      <c r="C167" s="449">
        <v>115.0</v>
      </c>
      <c r="D167" s="433" t="s">
        <v>18467</v>
      </c>
      <c r="E167" s="433" t="s">
        <v>18468</v>
      </c>
      <c r="F167" s="434" t="s">
        <v>18469</v>
      </c>
      <c r="G167" s="433"/>
      <c r="H167" s="433" t="s">
        <v>2222</v>
      </c>
      <c r="I167" s="433" t="s">
        <v>30</v>
      </c>
      <c r="J167" s="433"/>
      <c r="K167" s="433" t="s">
        <v>30</v>
      </c>
      <c r="L167" s="433">
        <v>147.0</v>
      </c>
      <c r="M167" s="433"/>
      <c r="N167" s="433" t="s">
        <v>18470</v>
      </c>
      <c r="O167" s="433" t="s">
        <v>169</v>
      </c>
      <c r="P167" s="433">
        <v>2008.0</v>
      </c>
      <c r="Q167" s="433" t="s">
        <v>17956</v>
      </c>
      <c r="R167" s="433">
        <v>1.0</v>
      </c>
      <c r="S167" s="826"/>
      <c r="T167" s="3"/>
      <c r="U167" s="3"/>
      <c r="V167" s="3"/>
      <c r="W167" s="3"/>
      <c r="X167" s="3"/>
      <c r="Y167" s="3"/>
      <c r="Z167" s="3"/>
    </row>
    <row r="168" ht="15.75" customHeight="1">
      <c r="C168" s="449">
        <v>116.0</v>
      </c>
      <c r="D168" s="433" t="s">
        <v>18471</v>
      </c>
      <c r="E168" s="433" t="s">
        <v>18472</v>
      </c>
      <c r="F168" s="434" t="s">
        <v>18473</v>
      </c>
      <c r="G168" s="433"/>
      <c r="H168" s="433" t="s">
        <v>2222</v>
      </c>
      <c r="I168" s="433" t="s">
        <v>38</v>
      </c>
      <c r="J168" s="433"/>
      <c r="K168" s="433" t="s">
        <v>38</v>
      </c>
      <c r="L168" s="433">
        <v>28.0</v>
      </c>
      <c r="M168" s="433"/>
      <c r="N168" s="433" t="s">
        <v>18474</v>
      </c>
      <c r="O168" s="433" t="s">
        <v>5994</v>
      </c>
      <c r="P168" s="433">
        <v>1997.0</v>
      </c>
      <c r="Q168" s="433" t="s">
        <v>17956</v>
      </c>
      <c r="R168" s="433">
        <v>1.0</v>
      </c>
      <c r="S168" s="826"/>
      <c r="T168" s="3"/>
      <c r="U168" s="3"/>
      <c r="V168" s="3"/>
      <c r="W168" s="3"/>
      <c r="X168" s="3"/>
      <c r="Y168" s="3"/>
      <c r="Z168" s="3"/>
    </row>
    <row r="169" ht="15.75" customHeight="1">
      <c r="C169" s="449">
        <v>117.0</v>
      </c>
      <c r="D169" s="433" t="s">
        <v>18475</v>
      </c>
      <c r="E169" s="433" t="s">
        <v>31</v>
      </c>
      <c r="F169" s="434" t="s">
        <v>18476</v>
      </c>
      <c r="G169" s="433"/>
      <c r="H169" s="433" t="s">
        <v>2222</v>
      </c>
      <c r="I169" s="433" t="s">
        <v>30</v>
      </c>
      <c r="J169" s="433"/>
      <c r="K169" s="433" t="s">
        <v>30</v>
      </c>
      <c r="L169" s="433">
        <v>56.0</v>
      </c>
      <c r="M169" s="433"/>
      <c r="N169" s="433" t="s">
        <v>13336</v>
      </c>
      <c r="O169" s="433" t="s">
        <v>151</v>
      </c>
      <c r="P169" s="433">
        <v>2012.0</v>
      </c>
      <c r="Q169" s="433" t="s">
        <v>17956</v>
      </c>
      <c r="R169" s="433">
        <v>1.0</v>
      </c>
      <c r="S169" s="826"/>
      <c r="T169" s="3"/>
      <c r="U169" s="3"/>
      <c r="V169" s="3"/>
      <c r="W169" s="3"/>
      <c r="X169" s="3"/>
      <c r="Y169" s="3"/>
      <c r="Z169" s="3"/>
    </row>
    <row r="170" ht="15.75" customHeight="1">
      <c r="C170" s="449">
        <v>118.0</v>
      </c>
      <c r="D170" s="433" t="s">
        <v>18477</v>
      </c>
      <c r="E170" s="433" t="s">
        <v>18478</v>
      </c>
      <c r="F170" s="434" t="s">
        <v>18479</v>
      </c>
      <c r="G170" s="433"/>
      <c r="H170" s="433" t="s">
        <v>2222</v>
      </c>
      <c r="I170" s="433" t="s">
        <v>30</v>
      </c>
      <c r="J170" s="433"/>
      <c r="K170" s="433" t="s">
        <v>30</v>
      </c>
      <c r="L170" s="433">
        <v>46.0</v>
      </c>
      <c r="M170" s="433"/>
      <c r="N170" s="433" t="s">
        <v>13336</v>
      </c>
      <c r="O170" s="433" t="s">
        <v>151</v>
      </c>
      <c r="P170" s="433">
        <v>2010.0</v>
      </c>
      <c r="Q170" s="433" t="s">
        <v>17956</v>
      </c>
      <c r="R170" s="433">
        <v>1.0</v>
      </c>
      <c r="S170" s="826"/>
      <c r="T170" s="3"/>
      <c r="U170" s="3"/>
      <c r="V170" s="3"/>
      <c r="W170" s="3"/>
      <c r="X170" s="3"/>
      <c r="Y170" s="3"/>
      <c r="Z170" s="3"/>
    </row>
    <row r="171" ht="15.75" customHeight="1">
      <c r="C171" s="449">
        <v>119.0</v>
      </c>
      <c r="D171" s="433" t="s">
        <v>31</v>
      </c>
      <c r="E171" s="433" t="s">
        <v>18392</v>
      </c>
      <c r="F171" s="434" t="s">
        <v>18480</v>
      </c>
      <c r="G171" s="433"/>
      <c r="H171" s="433" t="s">
        <v>2222</v>
      </c>
      <c r="I171" s="433" t="s">
        <v>30</v>
      </c>
      <c r="J171" s="433"/>
      <c r="K171" s="433" t="s">
        <v>30</v>
      </c>
      <c r="L171" s="433">
        <v>32.0</v>
      </c>
      <c r="M171" s="433"/>
      <c r="N171" s="433" t="s">
        <v>18394</v>
      </c>
      <c r="O171" s="433" t="s">
        <v>18066</v>
      </c>
      <c r="P171" s="433">
        <v>1993.0</v>
      </c>
      <c r="Q171" s="433" t="s">
        <v>17956</v>
      </c>
      <c r="R171" s="433">
        <v>1.0</v>
      </c>
      <c r="S171" s="826"/>
      <c r="T171" s="3"/>
      <c r="U171" s="3"/>
      <c r="V171" s="3"/>
      <c r="W171" s="3"/>
      <c r="X171" s="3"/>
      <c r="Y171" s="3"/>
      <c r="Z171" s="3"/>
    </row>
    <row r="172" ht="15.75" customHeight="1">
      <c r="C172" s="449">
        <v>120.0</v>
      </c>
      <c r="D172" s="433" t="s">
        <v>31</v>
      </c>
      <c r="E172" s="433" t="s">
        <v>18481</v>
      </c>
      <c r="F172" s="434" t="s">
        <v>18482</v>
      </c>
      <c r="G172" s="433"/>
      <c r="H172" s="433" t="s">
        <v>2222</v>
      </c>
      <c r="I172" s="433" t="s">
        <v>30</v>
      </c>
      <c r="J172" s="433"/>
      <c r="K172" s="433" t="s">
        <v>30</v>
      </c>
      <c r="L172" s="433">
        <v>56.0</v>
      </c>
      <c r="M172" s="433"/>
      <c r="N172" s="433" t="s">
        <v>18483</v>
      </c>
      <c r="O172" s="433" t="s">
        <v>18484</v>
      </c>
      <c r="P172" s="433">
        <v>2000.0</v>
      </c>
      <c r="Q172" s="433" t="s">
        <v>17956</v>
      </c>
      <c r="R172" s="433">
        <v>1.0</v>
      </c>
      <c r="S172" s="826"/>
      <c r="T172" s="3"/>
      <c r="U172" s="3"/>
      <c r="V172" s="3"/>
      <c r="W172" s="3"/>
      <c r="X172" s="3"/>
      <c r="Y172" s="3"/>
      <c r="Z172" s="3"/>
    </row>
    <row r="173" ht="15.75" customHeight="1">
      <c r="C173" s="449">
        <v>121.0</v>
      </c>
      <c r="D173" s="433" t="s">
        <v>18485</v>
      </c>
      <c r="E173" s="433" t="s">
        <v>18486</v>
      </c>
      <c r="F173" s="434" t="s">
        <v>18487</v>
      </c>
      <c r="G173" s="433"/>
      <c r="H173" s="433" t="s">
        <v>2222</v>
      </c>
      <c r="I173" s="433" t="s">
        <v>30</v>
      </c>
      <c r="J173" s="433"/>
      <c r="K173" s="433" t="s">
        <v>30</v>
      </c>
      <c r="L173" s="433">
        <v>55.0</v>
      </c>
      <c r="M173" s="433"/>
      <c r="N173" s="433" t="s">
        <v>18488</v>
      </c>
      <c r="O173" s="433" t="s">
        <v>6235</v>
      </c>
      <c r="P173" s="433">
        <v>2010.0</v>
      </c>
      <c r="Q173" s="433" t="s">
        <v>17956</v>
      </c>
      <c r="R173" s="433">
        <v>1.0</v>
      </c>
      <c r="S173" s="826"/>
      <c r="T173" s="3"/>
      <c r="U173" s="3"/>
      <c r="V173" s="3"/>
      <c r="W173" s="3"/>
      <c r="X173" s="3"/>
      <c r="Y173" s="3"/>
      <c r="Z173" s="3"/>
    </row>
    <row r="174" ht="15.75" customHeight="1">
      <c r="C174" s="449">
        <v>122.0</v>
      </c>
      <c r="D174" s="433" t="s">
        <v>18489</v>
      </c>
      <c r="E174" s="433" t="s">
        <v>18486</v>
      </c>
      <c r="F174" s="434" t="s">
        <v>18490</v>
      </c>
      <c r="G174" s="433"/>
      <c r="H174" s="433" t="s">
        <v>2222</v>
      </c>
      <c r="I174" s="433" t="s">
        <v>30</v>
      </c>
      <c r="J174" s="433"/>
      <c r="K174" s="433" t="s">
        <v>30</v>
      </c>
      <c r="L174" s="433">
        <v>55.0</v>
      </c>
      <c r="M174" s="433"/>
      <c r="N174" s="433" t="s">
        <v>18488</v>
      </c>
      <c r="O174" s="433" t="s">
        <v>6235</v>
      </c>
      <c r="P174" s="433">
        <v>2010.0</v>
      </c>
      <c r="Q174" s="433" t="s">
        <v>17956</v>
      </c>
      <c r="R174" s="433">
        <v>1.0</v>
      </c>
      <c r="S174" s="826"/>
      <c r="T174" s="3"/>
      <c r="U174" s="3"/>
      <c r="V174" s="3"/>
      <c r="W174" s="3"/>
      <c r="X174" s="3"/>
      <c r="Y174" s="3"/>
      <c r="Z174" s="3"/>
    </row>
    <row r="175" ht="15.75" customHeight="1">
      <c r="C175" s="449">
        <v>123.0</v>
      </c>
      <c r="D175" s="433" t="s">
        <v>18491</v>
      </c>
      <c r="E175" s="433" t="s">
        <v>18486</v>
      </c>
      <c r="F175" s="434" t="s">
        <v>18492</v>
      </c>
      <c r="G175" s="433"/>
      <c r="H175" s="433" t="s">
        <v>2222</v>
      </c>
      <c r="I175" s="433" t="s">
        <v>30</v>
      </c>
      <c r="J175" s="433"/>
      <c r="K175" s="433" t="s">
        <v>30</v>
      </c>
      <c r="L175" s="433">
        <v>55.0</v>
      </c>
      <c r="M175" s="433"/>
      <c r="N175" s="433" t="s">
        <v>18488</v>
      </c>
      <c r="O175" s="433" t="s">
        <v>6235</v>
      </c>
      <c r="P175" s="433">
        <v>2010.0</v>
      </c>
      <c r="Q175" s="433" t="s">
        <v>17956</v>
      </c>
      <c r="R175" s="433">
        <v>1.0</v>
      </c>
      <c r="S175" s="826"/>
      <c r="T175" s="3"/>
      <c r="U175" s="3"/>
      <c r="V175" s="3"/>
      <c r="W175" s="3"/>
      <c r="X175" s="3"/>
      <c r="Y175" s="3"/>
      <c r="Z175" s="3"/>
    </row>
    <row r="176" ht="15.75" customHeight="1">
      <c r="C176" s="449">
        <v>124.0</v>
      </c>
      <c r="D176" s="433" t="s">
        <v>18060</v>
      </c>
      <c r="E176" s="433">
        <v>220.9</v>
      </c>
      <c r="F176" s="434" t="s">
        <v>18493</v>
      </c>
      <c r="G176" s="433"/>
      <c r="H176" s="433" t="s">
        <v>2222</v>
      </c>
      <c r="I176" s="433" t="s">
        <v>30</v>
      </c>
      <c r="J176" s="433"/>
      <c r="K176" s="433" t="s">
        <v>18286</v>
      </c>
      <c r="L176" s="433">
        <v>19.0</v>
      </c>
      <c r="M176" s="433"/>
      <c r="N176" s="433" t="s">
        <v>18001</v>
      </c>
      <c r="O176" s="433" t="s">
        <v>2463</v>
      </c>
      <c r="P176" s="433">
        <v>2012.0</v>
      </c>
      <c r="Q176" s="433" t="s">
        <v>17956</v>
      </c>
      <c r="R176" s="433">
        <v>1.0</v>
      </c>
      <c r="S176" s="826"/>
      <c r="T176" s="3"/>
      <c r="U176" s="3"/>
      <c r="V176" s="3"/>
      <c r="W176" s="3"/>
      <c r="X176" s="3"/>
      <c r="Y176" s="3"/>
      <c r="Z176" s="3"/>
    </row>
    <row r="177" ht="15.75" customHeight="1">
      <c r="C177" s="449">
        <v>125.0</v>
      </c>
      <c r="D177" s="433" t="s">
        <v>31</v>
      </c>
      <c r="E177" s="433" t="s">
        <v>18494</v>
      </c>
      <c r="F177" s="434" t="s">
        <v>18495</v>
      </c>
      <c r="G177" s="433"/>
      <c r="H177" s="433" t="s">
        <v>2222</v>
      </c>
      <c r="I177" s="433" t="s">
        <v>30</v>
      </c>
      <c r="J177" s="433"/>
      <c r="K177" s="433" t="s">
        <v>30</v>
      </c>
      <c r="L177" s="433">
        <v>27.0</v>
      </c>
      <c r="M177" s="433"/>
      <c r="N177" s="433" t="s">
        <v>18496</v>
      </c>
      <c r="O177" s="433" t="s">
        <v>18347</v>
      </c>
      <c r="P177" s="433">
        <v>2002.0</v>
      </c>
      <c r="Q177" s="433" t="s">
        <v>17956</v>
      </c>
      <c r="R177" s="433">
        <v>1.0</v>
      </c>
      <c r="S177" s="826"/>
      <c r="T177" s="3"/>
      <c r="U177" s="3"/>
      <c r="V177" s="3"/>
      <c r="W177" s="3"/>
      <c r="X177" s="3"/>
      <c r="Y177" s="3"/>
      <c r="Z177" s="3"/>
    </row>
    <row r="178" ht="15.75" customHeight="1">
      <c r="C178" s="449">
        <v>126.0</v>
      </c>
      <c r="D178" s="433" t="s">
        <v>31</v>
      </c>
      <c r="E178" s="433" t="s">
        <v>18497</v>
      </c>
      <c r="F178" s="434" t="s">
        <v>18498</v>
      </c>
      <c r="G178" s="433"/>
      <c r="H178" s="433" t="s">
        <v>2222</v>
      </c>
      <c r="I178" s="433" t="s">
        <v>30</v>
      </c>
      <c r="J178" s="433"/>
      <c r="K178" s="433" t="s">
        <v>30</v>
      </c>
      <c r="L178" s="433">
        <v>27.0</v>
      </c>
      <c r="M178" s="433"/>
      <c r="N178" s="433" t="s">
        <v>18496</v>
      </c>
      <c r="O178" s="433" t="s">
        <v>18347</v>
      </c>
      <c r="P178" s="433">
        <v>2002.0</v>
      </c>
      <c r="Q178" s="433" t="s">
        <v>17956</v>
      </c>
      <c r="R178" s="433">
        <v>1.0</v>
      </c>
      <c r="S178" s="826"/>
      <c r="T178" s="3"/>
      <c r="U178" s="3"/>
      <c r="V178" s="3"/>
      <c r="W178" s="3"/>
      <c r="X178" s="3"/>
      <c r="Y178" s="3"/>
      <c r="Z178" s="3"/>
    </row>
    <row r="179" ht="15.75" customHeight="1">
      <c r="C179" s="449">
        <v>127.0</v>
      </c>
      <c r="D179" s="433" t="s">
        <v>31</v>
      </c>
      <c r="E179" s="433" t="s">
        <v>18499</v>
      </c>
      <c r="F179" s="434" t="s">
        <v>18500</v>
      </c>
      <c r="G179" s="433"/>
      <c r="H179" s="433" t="s">
        <v>2222</v>
      </c>
      <c r="I179" s="433" t="s">
        <v>30</v>
      </c>
      <c r="J179" s="433"/>
      <c r="K179" s="433" t="s">
        <v>30</v>
      </c>
      <c r="L179" s="433">
        <v>311.0</v>
      </c>
      <c r="M179" s="433"/>
      <c r="N179" s="433" t="s">
        <v>18501</v>
      </c>
      <c r="O179" s="433" t="s">
        <v>18066</v>
      </c>
      <c r="P179" s="433">
        <v>1996.0</v>
      </c>
      <c r="Q179" s="433" t="s">
        <v>17956</v>
      </c>
      <c r="R179" s="433">
        <v>1.0</v>
      </c>
      <c r="S179" s="826"/>
      <c r="T179" s="3"/>
      <c r="U179" s="3"/>
      <c r="V179" s="3"/>
      <c r="W179" s="3"/>
      <c r="X179" s="3"/>
      <c r="Y179" s="3"/>
      <c r="Z179" s="3"/>
    </row>
    <row r="180" ht="15.75" customHeight="1">
      <c r="C180" s="449">
        <v>128.0</v>
      </c>
      <c r="D180" s="433" t="s">
        <v>18502</v>
      </c>
      <c r="E180" s="433" t="s">
        <v>18486</v>
      </c>
      <c r="F180" s="434" t="s">
        <v>18503</v>
      </c>
      <c r="G180" s="433"/>
      <c r="H180" s="433" t="s">
        <v>2222</v>
      </c>
      <c r="I180" s="433" t="s">
        <v>30</v>
      </c>
      <c r="J180" s="433"/>
      <c r="K180" s="433" t="s">
        <v>30</v>
      </c>
      <c r="L180" s="433">
        <v>55.0</v>
      </c>
      <c r="M180" s="433"/>
      <c r="N180" s="433" t="s">
        <v>18488</v>
      </c>
      <c r="O180" s="433" t="s">
        <v>6235</v>
      </c>
      <c r="P180" s="433">
        <v>2010.0</v>
      </c>
      <c r="Q180" s="433" t="s">
        <v>17956</v>
      </c>
      <c r="R180" s="433">
        <v>1.0</v>
      </c>
      <c r="S180" s="826"/>
      <c r="T180" s="3"/>
      <c r="U180" s="3"/>
      <c r="V180" s="3"/>
      <c r="W180" s="3"/>
      <c r="X180" s="3"/>
      <c r="Y180" s="3"/>
      <c r="Z180" s="3"/>
    </row>
    <row r="181" ht="15.75" customHeight="1">
      <c r="C181" s="449">
        <v>129.0</v>
      </c>
      <c r="D181" s="433" t="s">
        <v>18504</v>
      </c>
      <c r="E181" s="433" t="s">
        <v>18505</v>
      </c>
      <c r="F181" s="434" t="s">
        <v>18506</v>
      </c>
      <c r="G181" s="433"/>
      <c r="H181" s="433" t="s">
        <v>2222</v>
      </c>
      <c r="I181" s="433" t="s">
        <v>30</v>
      </c>
      <c r="J181" s="433"/>
      <c r="K181" s="433" t="s">
        <v>30</v>
      </c>
      <c r="L181" s="433">
        <v>156.0</v>
      </c>
      <c r="M181" s="433"/>
      <c r="N181" s="433" t="s">
        <v>18507</v>
      </c>
      <c r="O181" s="433" t="s">
        <v>151</v>
      </c>
      <c r="P181" s="433">
        <v>2009.0</v>
      </c>
      <c r="Q181" s="433" t="s">
        <v>17956</v>
      </c>
      <c r="R181" s="433">
        <v>1.0</v>
      </c>
      <c r="S181" s="826"/>
      <c r="T181" s="3"/>
      <c r="U181" s="3"/>
      <c r="V181" s="3"/>
      <c r="W181" s="3"/>
      <c r="X181" s="3"/>
      <c r="Y181" s="3"/>
      <c r="Z181" s="3"/>
    </row>
    <row r="182" ht="15.75" customHeight="1">
      <c r="C182" s="449">
        <v>130.0</v>
      </c>
      <c r="D182" s="433" t="s">
        <v>18508</v>
      </c>
      <c r="E182" s="433" t="s">
        <v>31</v>
      </c>
      <c r="F182" s="434" t="s">
        <v>18509</v>
      </c>
      <c r="G182" s="433"/>
      <c r="H182" s="433" t="s">
        <v>2222</v>
      </c>
      <c r="I182" s="433" t="s">
        <v>30</v>
      </c>
      <c r="J182" s="433"/>
      <c r="K182" s="433" t="s">
        <v>30</v>
      </c>
      <c r="L182" s="433">
        <v>53.0</v>
      </c>
      <c r="M182" s="433"/>
      <c r="N182" s="433" t="s">
        <v>13336</v>
      </c>
      <c r="O182" s="433" t="s">
        <v>151</v>
      </c>
      <c r="P182" s="433">
        <v>2012.0</v>
      </c>
      <c r="Q182" s="433" t="s">
        <v>17956</v>
      </c>
      <c r="R182" s="433">
        <v>1.0</v>
      </c>
      <c r="S182" s="826"/>
      <c r="T182" s="3"/>
      <c r="U182" s="3"/>
      <c r="V182" s="3"/>
      <c r="W182" s="3"/>
      <c r="X182" s="3"/>
      <c r="Y182" s="3"/>
      <c r="Z182" s="3"/>
    </row>
    <row r="183" ht="15.75" customHeight="1">
      <c r="C183" s="449">
        <v>131.0</v>
      </c>
      <c r="D183" s="433" t="s">
        <v>18510</v>
      </c>
      <c r="E183" s="433" t="s">
        <v>18511</v>
      </c>
      <c r="F183" s="434" t="s">
        <v>18512</v>
      </c>
      <c r="G183" s="433"/>
      <c r="H183" s="433" t="s">
        <v>2222</v>
      </c>
      <c r="I183" s="433" t="s">
        <v>30</v>
      </c>
      <c r="J183" s="433"/>
      <c r="K183" s="433" t="s">
        <v>18286</v>
      </c>
      <c r="L183" s="433">
        <v>21.0</v>
      </c>
      <c r="M183" s="433"/>
      <c r="N183" s="433" t="s">
        <v>18513</v>
      </c>
      <c r="O183" s="433" t="s">
        <v>9000</v>
      </c>
      <c r="P183" s="433">
        <v>2012.0</v>
      </c>
      <c r="Q183" s="433" t="s">
        <v>17956</v>
      </c>
      <c r="R183" s="433">
        <v>1.0</v>
      </c>
      <c r="S183" s="826"/>
      <c r="T183" s="3"/>
      <c r="U183" s="3"/>
      <c r="V183" s="3"/>
      <c r="W183" s="3"/>
      <c r="X183" s="3"/>
      <c r="Y183" s="3"/>
      <c r="Z183" s="3"/>
    </row>
    <row r="184" ht="15.75" customHeight="1">
      <c r="C184" s="449">
        <v>132.0</v>
      </c>
      <c r="D184" s="433" t="s">
        <v>18514</v>
      </c>
      <c r="E184" s="433" t="s">
        <v>18515</v>
      </c>
      <c r="F184" s="434" t="s">
        <v>18516</v>
      </c>
      <c r="G184" s="433"/>
      <c r="H184" s="433" t="s">
        <v>2222</v>
      </c>
      <c r="I184" s="433" t="s">
        <v>30</v>
      </c>
      <c r="J184" s="433"/>
      <c r="K184" s="433" t="s">
        <v>30</v>
      </c>
      <c r="L184" s="433">
        <v>20.0</v>
      </c>
      <c r="M184" s="433"/>
      <c r="N184" s="433" t="s">
        <v>18517</v>
      </c>
      <c r="O184" s="433" t="s">
        <v>3675</v>
      </c>
      <c r="P184" s="433">
        <v>2002.0</v>
      </c>
      <c r="Q184" s="433" t="s">
        <v>17956</v>
      </c>
      <c r="R184" s="433">
        <v>1.0</v>
      </c>
      <c r="S184" s="826"/>
      <c r="T184" s="3"/>
      <c r="U184" s="3"/>
      <c r="V184" s="3"/>
      <c r="W184" s="3"/>
      <c r="X184" s="3"/>
      <c r="Y184" s="3"/>
      <c r="Z184" s="3"/>
    </row>
    <row r="185" ht="15.75" customHeight="1">
      <c r="C185" s="449">
        <v>133.0</v>
      </c>
      <c r="D185" s="433" t="s">
        <v>18518</v>
      </c>
      <c r="E185" s="433" t="s">
        <v>18519</v>
      </c>
      <c r="F185" s="434" t="s">
        <v>18520</v>
      </c>
      <c r="G185" s="433"/>
      <c r="H185" s="433" t="s">
        <v>2222</v>
      </c>
      <c r="I185" s="433" t="s">
        <v>30</v>
      </c>
      <c r="J185" s="433"/>
      <c r="K185" s="433" t="s">
        <v>30</v>
      </c>
      <c r="L185" s="433">
        <v>15.0</v>
      </c>
      <c r="M185" s="433"/>
      <c r="N185" s="433" t="s">
        <v>18521</v>
      </c>
      <c r="O185" s="433" t="s">
        <v>3675</v>
      </c>
      <c r="P185" s="433">
        <v>2002.0</v>
      </c>
      <c r="Q185" s="433" t="s">
        <v>17956</v>
      </c>
      <c r="R185" s="433">
        <v>1.0</v>
      </c>
      <c r="S185" s="826"/>
      <c r="T185" s="3"/>
      <c r="U185" s="3"/>
      <c r="V185" s="3"/>
      <c r="W185" s="3"/>
      <c r="X185" s="3"/>
      <c r="Y185" s="3"/>
      <c r="Z185" s="3"/>
    </row>
    <row r="186" ht="15.75" customHeight="1">
      <c r="C186" s="449">
        <v>134.0</v>
      </c>
      <c r="D186" s="433" t="s">
        <v>18522</v>
      </c>
      <c r="E186" s="433" t="s">
        <v>31</v>
      </c>
      <c r="F186" s="434" t="s">
        <v>18523</v>
      </c>
      <c r="G186" s="433"/>
      <c r="H186" s="433" t="s">
        <v>2222</v>
      </c>
      <c r="I186" s="433" t="s">
        <v>30</v>
      </c>
      <c r="J186" s="433"/>
      <c r="K186" s="433" t="s">
        <v>30</v>
      </c>
      <c r="L186" s="433">
        <v>16.0</v>
      </c>
      <c r="M186" s="433"/>
      <c r="N186" s="433" t="s">
        <v>18524</v>
      </c>
      <c r="O186" s="433" t="s">
        <v>3675</v>
      </c>
      <c r="P186" s="433">
        <v>2001.0</v>
      </c>
      <c r="Q186" s="433" t="s">
        <v>17956</v>
      </c>
      <c r="R186" s="433">
        <v>1.0</v>
      </c>
      <c r="S186" s="826"/>
      <c r="T186" s="3"/>
      <c r="U186" s="3"/>
      <c r="V186" s="3"/>
      <c r="W186" s="3"/>
      <c r="X186" s="3"/>
      <c r="Y186" s="3"/>
      <c r="Z186" s="3"/>
    </row>
    <row r="187" ht="15.75" customHeight="1">
      <c r="C187" s="449">
        <v>135.0</v>
      </c>
      <c r="D187" s="433" t="s">
        <v>18525</v>
      </c>
      <c r="E187" s="433" t="s">
        <v>18526</v>
      </c>
      <c r="F187" s="434" t="s">
        <v>18527</v>
      </c>
      <c r="G187" s="433"/>
      <c r="H187" s="433" t="s">
        <v>2222</v>
      </c>
      <c r="I187" s="433" t="s">
        <v>30</v>
      </c>
      <c r="J187" s="433"/>
      <c r="K187" s="433" t="s">
        <v>18286</v>
      </c>
      <c r="L187" s="433">
        <v>20.0</v>
      </c>
      <c r="M187" s="433"/>
      <c r="N187" s="433" t="s">
        <v>18070</v>
      </c>
      <c r="O187" s="433" t="s">
        <v>18070</v>
      </c>
      <c r="P187" s="433">
        <v>2004.0</v>
      </c>
      <c r="Q187" s="433" t="s">
        <v>17956</v>
      </c>
      <c r="R187" s="433">
        <v>1.0</v>
      </c>
      <c r="S187" s="826"/>
      <c r="T187" s="3"/>
      <c r="U187" s="3"/>
      <c r="V187" s="3"/>
      <c r="W187" s="3"/>
      <c r="X187" s="3"/>
      <c r="Y187" s="3"/>
      <c r="Z187" s="3"/>
    </row>
    <row r="188" ht="15.75" customHeight="1">
      <c r="C188" s="449">
        <v>136.0</v>
      </c>
      <c r="D188" s="433" t="s">
        <v>18528</v>
      </c>
      <c r="E188" s="433" t="s">
        <v>18529</v>
      </c>
      <c r="F188" s="434" t="s">
        <v>18530</v>
      </c>
      <c r="G188" s="433"/>
      <c r="H188" s="433" t="s">
        <v>2222</v>
      </c>
      <c r="I188" s="433" t="s">
        <v>37</v>
      </c>
      <c r="J188" s="433"/>
      <c r="K188" s="433" t="s">
        <v>38</v>
      </c>
      <c r="L188" s="433">
        <v>10.0</v>
      </c>
      <c r="M188" s="433"/>
      <c r="N188" s="433" t="s">
        <v>18531</v>
      </c>
      <c r="O188" s="433" t="s">
        <v>18278</v>
      </c>
      <c r="P188" s="433">
        <v>2009.0</v>
      </c>
      <c r="Q188" s="433" t="s">
        <v>17956</v>
      </c>
      <c r="R188" s="433">
        <v>1.0</v>
      </c>
      <c r="S188" s="826"/>
      <c r="T188" s="3"/>
      <c r="U188" s="3"/>
      <c r="V188" s="3"/>
      <c r="W188" s="3"/>
      <c r="X188" s="3"/>
      <c r="Y188" s="3"/>
      <c r="Z188" s="3"/>
    </row>
    <row r="189" ht="15.75" customHeight="1">
      <c r="C189" s="449">
        <v>137.0</v>
      </c>
      <c r="D189" s="433" t="s">
        <v>18532</v>
      </c>
      <c r="E189" s="433" t="s">
        <v>18533</v>
      </c>
      <c r="F189" s="434" t="s">
        <v>18534</v>
      </c>
      <c r="G189" s="433"/>
      <c r="H189" s="433" t="s">
        <v>2222</v>
      </c>
      <c r="I189" s="433" t="s">
        <v>37</v>
      </c>
      <c r="J189" s="433"/>
      <c r="K189" s="433" t="s">
        <v>166</v>
      </c>
      <c r="L189" s="433">
        <v>35.0</v>
      </c>
      <c r="M189" s="433"/>
      <c r="N189" s="433" t="s">
        <v>18268</v>
      </c>
      <c r="O189" s="433" t="s">
        <v>18269</v>
      </c>
      <c r="P189" s="433">
        <v>2010.0</v>
      </c>
      <c r="Q189" s="433" t="s">
        <v>17956</v>
      </c>
      <c r="R189" s="433">
        <v>1.0</v>
      </c>
      <c r="S189" s="826"/>
      <c r="T189" s="3"/>
      <c r="U189" s="3"/>
      <c r="V189" s="3"/>
      <c r="W189" s="3"/>
      <c r="X189" s="3"/>
      <c r="Y189" s="3"/>
      <c r="Z189" s="3"/>
    </row>
    <row r="190" ht="15.75" customHeight="1">
      <c r="C190" s="449">
        <v>138.0</v>
      </c>
      <c r="D190" s="433" t="s">
        <v>18400</v>
      </c>
      <c r="E190" s="433" t="s">
        <v>18535</v>
      </c>
      <c r="F190" s="434" t="s">
        <v>18536</v>
      </c>
      <c r="G190" s="433"/>
      <c r="H190" s="433" t="s">
        <v>2222</v>
      </c>
      <c r="I190" s="433" t="s">
        <v>30</v>
      </c>
      <c r="J190" s="433"/>
      <c r="K190" s="433" t="s">
        <v>30</v>
      </c>
      <c r="L190" s="433">
        <v>35.0</v>
      </c>
      <c r="M190" s="433"/>
      <c r="N190" s="433" t="s">
        <v>18430</v>
      </c>
      <c r="O190" s="433" t="s">
        <v>161</v>
      </c>
      <c r="P190" s="433">
        <v>1999.0</v>
      </c>
      <c r="Q190" s="433" t="s">
        <v>17956</v>
      </c>
      <c r="R190" s="433">
        <v>1.0</v>
      </c>
      <c r="S190" s="826"/>
      <c r="T190" s="3"/>
      <c r="U190" s="3"/>
      <c r="V190" s="3"/>
      <c r="W190" s="3"/>
      <c r="X190" s="3"/>
      <c r="Y190" s="3"/>
      <c r="Z190" s="3"/>
    </row>
    <row r="191" ht="15.75" customHeight="1">
      <c r="C191" s="449">
        <v>139.0</v>
      </c>
      <c r="D191" s="433" t="s">
        <v>18537</v>
      </c>
      <c r="E191" s="433" t="s">
        <v>18538</v>
      </c>
      <c r="F191" s="434" t="s">
        <v>18539</v>
      </c>
      <c r="G191" s="433"/>
      <c r="H191" s="433" t="s">
        <v>2222</v>
      </c>
      <c r="I191" s="433" t="s">
        <v>30</v>
      </c>
      <c r="J191" s="433"/>
      <c r="K191" s="433" t="s">
        <v>30</v>
      </c>
      <c r="L191" s="433">
        <v>57.0</v>
      </c>
      <c r="M191" s="433"/>
      <c r="N191" s="433" t="s">
        <v>18540</v>
      </c>
      <c r="O191" s="433" t="s">
        <v>169</v>
      </c>
      <c r="P191" s="433">
        <v>2006.0</v>
      </c>
      <c r="Q191" s="433" t="s">
        <v>17956</v>
      </c>
      <c r="R191" s="433">
        <v>2.0</v>
      </c>
      <c r="S191" s="826"/>
      <c r="T191" s="3"/>
      <c r="U191" s="3"/>
      <c r="V191" s="3"/>
      <c r="W191" s="3"/>
      <c r="X191" s="3"/>
      <c r="Y191" s="3"/>
      <c r="Z191" s="3"/>
    </row>
    <row r="192" ht="15.75" customHeight="1">
      <c r="C192" s="449">
        <v>140.0</v>
      </c>
      <c r="D192" s="433" t="s">
        <v>31</v>
      </c>
      <c r="E192" s="433" t="s">
        <v>18541</v>
      </c>
      <c r="F192" s="434" t="s">
        <v>18542</v>
      </c>
      <c r="G192" s="433"/>
      <c r="H192" s="433" t="s">
        <v>2222</v>
      </c>
      <c r="I192" s="433" t="s">
        <v>30</v>
      </c>
      <c r="J192" s="433"/>
      <c r="K192" s="433" t="s">
        <v>18286</v>
      </c>
      <c r="L192" s="433">
        <v>27.0</v>
      </c>
      <c r="M192" s="433"/>
      <c r="N192" s="433" t="s">
        <v>18543</v>
      </c>
      <c r="O192" s="433" t="s">
        <v>2463</v>
      </c>
      <c r="P192" s="433" t="s">
        <v>31</v>
      </c>
      <c r="Q192" s="433" t="s">
        <v>17956</v>
      </c>
      <c r="R192" s="433">
        <v>1.0</v>
      </c>
      <c r="S192" s="826"/>
      <c r="T192" s="3"/>
      <c r="U192" s="3"/>
      <c r="V192" s="3"/>
      <c r="W192" s="3"/>
      <c r="X192" s="3"/>
      <c r="Y192" s="3"/>
      <c r="Z192" s="3"/>
    </row>
    <row r="193" ht="15.75" customHeight="1">
      <c r="C193" s="449">
        <v>141.0</v>
      </c>
      <c r="D193" s="433" t="s">
        <v>18544</v>
      </c>
      <c r="E193" s="433" t="s">
        <v>18545</v>
      </c>
      <c r="F193" s="434" t="s">
        <v>18546</v>
      </c>
      <c r="G193" s="433"/>
      <c r="H193" s="433" t="s">
        <v>2222</v>
      </c>
      <c r="I193" s="433" t="s">
        <v>30</v>
      </c>
      <c r="J193" s="433"/>
      <c r="K193" s="433" t="s">
        <v>30</v>
      </c>
      <c r="L193" s="433">
        <v>155.0</v>
      </c>
      <c r="M193" s="433"/>
      <c r="N193" s="433" t="s">
        <v>18329</v>
      </c>
      <c r="O193" s="433" t="s">
        <v>169</v>
      </c>
      <c r="P193" s="433">
        <v>2007.0</v>
      </c>
      <c r="Q193" s="433" t="s">
        <v>17956</v>
      </c>
      <c r="R193" s="433">
        <v>1.0</v>
      </c>
      <c r="S193" s="826"/>
      <c r="T193" s="3"/>
      <c r="U193" s="3"/>
      <c r="V193" s="3"/>
      <c r="W193" s="3"/>
      <c r="X193" s="3"/>
      <c r="Y193" s="3"/>
      <c r="Z193" s="3"/>
    </row>
    <row r="194" ht="15.75" customHeight="1">
      <c r="C194" s="449">
        <v>142.0</v>
      </c>
      <c r="D194" s="433" t="s">
        <v>18547</v>
      </c>
      <c r="E194" s="433" t="s">
        <v>18548</v>
      </c>
      <c r="F194" s="434" t="s">
        <v>18549</v>
      </c>
      <c r="G194" s="433"/>
      <c r="H194" s="433" t="s">
        <v>2222</v>
      </c>
      <c r="I194" s="433" t="s">
        <v>30</v>
      </c>
      <c r="J194" s="433"/>
      <c r="K194" s="433" t="s">
        <v>30</v>
      </c>
      <c r="L194" s="433">
        <v>52.0</v>
      </c>
      <c r="M194" s="433"/>
      <c r="N194" s="433" t="s">
        <v>18550</v>
      </c>
      <c r="O194" s="433" t="s">
        <v>151</v>
      </c>
      <c r="P194" s="433">
        <v>2011.0</v>
      </c>
      <c r="Q194" s="433" t="s">
        <v>17956</v>
      </c>
      <c r="R194" s="433">
        <v>1.0</v>
      </c>
      <c r="S194" s="826"/>
      <c r="T194" s="3"/>
      <c r="U194" s="3"/>
      <c r="V194" s="3"/>
      <c r="W194" s="3"/>
      <c r="X194" s="3"/>
      <c r="Y194" s="3"/>
      <c r="Z194" s="3"/>
    </row>
    <row r="195" ht="15.75" customHeight="1">
      <c r="C195" s="449">
        <v>143.0</v>
      </c>
      <c r="D195" s="433" t="s">
        <v>18551</v>
      </c>
      <c r="E195" s="433" t="s">
        <v>18552</v>
      </c>
      <c r="F195" s="434" t="s">
        <v>18553</v>
      </c>
      <c r="G195" s="433"/>
      <c r="H195" s="433" t="s">
        <v>2222</v>
      </c>
      <c r="I195" s="433" t="s">
        <v>30</v>
      </c>
      <c r="J195" s="433"/>
      <c r="K195" s="433" t="s">
        <v>30</v>
      </c>
      <c r="L195" s="433">
        <v>39.0</v>
      </c>
      <c r="M195" s="433"/>
      <c r="N195" s="433" t="s">
        <v>18325</v>
      </c>
      <c r="O195" s="433" t="s">
        <v>151</v>
      </c>
      <c r="P195" s="433">
        <v>2009.0</v>
      </c>
      <c r="Q195" s="433" t="s">
        <v>17956</v>
      </c>
      <c r="R195" s="433">
        <v>1.0</v>
      </c>
      <c r="S195" s="826"/>
      <c r="T195" s="3"/>
      <c r="U195" s="3"/>
      <c r="V195" s="3"/>
      <c r="W195" s="3"/>
      <c r="X195" s="3"/>
      <c r="Y195" s="3"/>
      <c r="Z195" s="3"/>
    </row>
    <row r="196" ht="15.75" customHeight="1">
      <c r="C196" s="449">
        <v>144.0</v>
      </c>
      <c r="D196" s="433" t="s">
        <v>31</v>
      </c>
      <c r="E196" s="433" t="s">
        <v>18392</v>
      </c>
      <c r="F196" s="434" t="s">
        <v>18554</v>
      </c>
      <c r="G196" s="433"/>
      <c r="H196" s="433" t="s">
        <v>2222</v>
      </c>
      <c r="I196" s="433" t="s">
        <v>30</v>
      </c>
      <c r="J196" s="433"/>
      <c r="K196" s="433" t="s">
        <v>30</v>
      </c>
      <c r="L196" s="433">
        <v>32.0</v>
      </c>
      <c r="M196" s="433"/>
      <c r="N196" s="433" t="s">
        <v>18394</v>
      </c>
      <c r="O196" s="433" t="s">
        <v>18066</v>
      </c>
      <c r="P196" s="433">
        <v>1993.0</v>
      </c>
      <c r="Q196" s="433" t="s">
        <v>17956</v>
      </c>
      <c r="R196" s="433">
        <v>1.0</v>
      </c>
      <c r="S196" s="826"/>
      <c r="T196" s="3"/>
      <c r="U196" s="3"/>
      <c r="V196" s="3"/>
      <c r="W196" s="3"/>
      <c r="X196" s="3"/>
      <c r="Y196" s="3"/>
      <c r="Z196" s="3"/>
    </row>
    <row r="197" ht="15.75" customHeight="1">
      <c r="C197" s="449">
        <v>145.0</v>
      </c>
      <c r="D197" s="433" t="s">
        <v>18025</v>
      </c>
      <c r="E197" s="433" t="s">
        <v>18555</v>
      </c>
      <c r="F197" s="434" t="s">
        <v>18556</v>
      </c>
      <c r="G197" s="433"/>
      <c r="H197" s="433" t="s">
        <v>2222</v>
      </c>
      <c r="I197" s="433" t="s">
        <v>30</v>
      </c>
      <c r="J197" s="433"/>
      <c r="K197" s="433" t="s">
        <v>30</v>
      </c>
      <c r="L197" s="433">
        <v>19.0</v>
      </c>
      <c r="M197" s="433"/>
      <c r="N197" s="433" t="s">
        <v>18557</v>
      </c>
      <c r="O197" s="433" t="s">
        <v>2463</v>
      </c>
      <c r="P197" s="433">
        <v>2012.0</v>
      </c>
      <c r="Q197" s="433" t="s">
        <v>17956</v>
      </c>
      <c r="R197" s="433">
        <v>1.0</v>
      </c>
      <c r="S197" s="826"/>
      <c r="T197" s="3"/>
      <c r="U197" s="3"/>
      <c r="V197" s="3"/>
      <c r="W197" s="3"/>
      <c r="X197" s="3"/>
      <c r="Y197" s="3"/>
      <c r="Z197" s="3"/>
    </row>
    <row r="198" ht="15.75" customHeight="1">
      <c r="C198" s="449">
        <v>146.0</v>
      </c>
      <c r="D198" s="433" t="s">
        <v>18558</v>
      </c>
      <c r="E198" s="433" t="s">
        <v>18428</v>
      </c>
      <c r="F198" s="434" t="s">
        <v>18559</v>
      </c>
      <c r="G198" s="433"/>
      <c r="H198" s="433" t="s">
        <v>2222</v>
      </c>
      <c r="I198" s="433" t="s">
        <v>12291</v>
      </c>
      <c r="J198" s="433"/>
      <c r="K198" s="433" t="s">
        <v>38</v>
      </c>
      <c r="L198" s="433">
        <v>399.0</v>
      </c>
      <c r="M198" s="433"/>
      <c r="N198" s="433" t="s">
        <v>18325</v>
      </c>
      <c r="O198" s="433" t="s">
        <v>12292</v>
      </c>
      <c r="P198" s="433">
        <v>1991.0</v>
      </c>
      <c r="Q198" s="433" t="s">
        <v>17956</v>
      </c>
      <c r="R198" s="433">
        <v>1.0</v>
      </c>
      <c r="S198" s="826"/>
      <c r="T198" s="3"/>
      <c r="U198" s="3"/>
      <c r="V198" s="3"/>
      <c r="W198" s="3"/>
      <c r="X198" s="3"/>
      <c r="Y198" s="3"/>
      <c r="Z198" s="3"/>
    </row>
    <row r="199" ht="15.75" customHeight="1">
      <c r="C199" s="449">
        <v>147.0</v>
      </c>
      <c r="D199" s="433" t="s">
        <v>18560</v>
      </c>
      <c r="E199" s="433" t="s">
        <v>18561</v>
      </c>
      <c r="F199" s="434" t="s">
        <v>18562</v>
      </c>
      <c r="G199" s="433"/>
      <c r="H199" s="433" t="s">
        <v>2222</v>
      </c>
      <c r="I199" s="433" t="s">
        <v>30</v>
      </c>
      <c r="J199" s="433"/>
      <c r="K199" s="433" t="s">
        <v>18286</v>
      </c>
      <c r="L199" s="433">
        <v>43.0</v>
      </c>
      <c r="M199" s="433"/>
      <c r="N199" s="433" t="s">
        <v>18563</v>
      </c>
      <c r="O199" s="433" t="s">
        <v>151</v>
      </c>
      <c r="P199" s="433">
        <v>2011.0</v>
      </c>
      <c r="Q199" s="433" t="s">
        <v>17956</v>
      </c>
      <c r="R199" s="433">
        <v>1.0</v>
      </c>
      <c r="S199" s="826"/>
      <c r="T199" s="3"/>
      <c r="U199" s="3"/>
      <c r="V199" s="3"/>
      <c r="W199" s="3"/>
      <c r="X199" s="3"/>
      <c r="Y199" s="3"/>
      <c r="Z199" s="3"/>
    </row>
    <row r="200" ht="15.75" customHeight="1">
      <c r="C200" s="449">
        <v>148.0</v>
      </c>
      <c r="D200" s="433" t="s">
        <v>18564</v>
      </c>
      <c r="E200" s="433" t="s">
        <v>18565</v>
      </c>
      <c r="F200" s="434" t="s">
        <v>18566</v>
      </c>
      <c r="G200" s="433"/>
      <c r="H200" s="433" t="s">
        <v>2222</v>
      </c>
      <c r="I200" s="433" t="s">
        <v>30</v>
      </c>
      <c r="J200" s="433"/>
      <c r="K200" s="433" t="s">
        <v>18286</v>
      </c>
      <c r="L200" s="433">
        <v>19.0</v>
      </c>
      <c r="M200" s="433"/>
      <c r="N200" s="433" t="s">
        <v>18408</v>
      </c>
      <c r="O200" s="433" t="s">
        <v>151</v>
      </c>
      <c r="P200" s="433">
        <v>2011.0</v>
      </c>
      <c r="Q200" s="433" t="s">
        <v>17956</v>
      </c>
      <c r="R200" s="433">
        <v>1.0</v>
      </c>
      <c r="S200" s="826"/>
      <c r="T200" s="3"/>
      <c r="U200" s="3"/>
      <c r="V200" s="3"/>
      <c r="W200" s="3"/>
      <c r="X200" s="3"/>
      <c r="Y200" s="3"/>
      <c r="Z200" s="3"/>
    </row>
    <row r="201" ht="15.75" customHeight="1">
      <c r="C201" s="449">
        <v>149.0</v>
      </c>
      <c r="D201" s="433" t="s">
        <v>18567</v>
      </c>
      <c r="E201" s="433" t="s">
        <v>18568</v>
      </c>
      <c r="F201" s="434" t="s">
        <v>18569</v>
      </c>
      <c r="G201" s="433"/>
      <c r="H201" s="433" t="s">
        <v>2222</v>
      </c>
      <c r="I201" s="433" t="s">
        <v>30</v>
      </c>
      <c r="J201" s="433"/>
      <c r="K201" s="433" t="s">
        <v>30</v>
      </c>
      <c r="L201" s="433">
        <v>63.0</v>
      </c>
      <c r="M201" s="433"/>
      <c r="N201" s="433" t="s">
        <v>18570</v>
      </c>
      <c r="O201" s="433" t="s">
        <v>151</v>
      </c>
      <c r="P201" s="433">
        <v>2011.0</v>
      </c>
      <c r="Q201" s="433" t="s">
        <v>17956</v>
      </c>
      <c r="R201" s="433">
        <v>1.0</v>
      </c>
      <c r="S201" s="826"/>
      <c r="T201" s="3"/>
      <c r="U201" s="3"/>
      <c r="V201" s="3"/>
      <c r="W201" s="3"/>
      <c r="X201" s="3"/>
      <c r="Y201" s="3"/>
      <c r="Z201" s="3"/>
    </row>
    <row r="202" ht="15.75" customHeight="1">
      <c r="C202" s="449">
        <v>150.0</v>
      </c>
      <c r="D202" s="433" t="s">
        <v>18571</v>
      </c>
      <c r="E202" s="433" t="s">
        <v>18572</v>
      </c>
      <c r="F202" s="434" t="s">
        <v>18573</v>
      </c>
      <c r="G202" s="433"/>
      <c r="H202" s="433" t="s">
        <v>2222</v>
      </c>
      <c r="I202" s="433" t="s">
        <v>30</v>
      </c>
      <c r="J202" s="433"/>
      <c r="K202" s="433" t="s">
        <v>30</v>
      </c>
      <c r="L202" s="433">
        <v>85.0</v>
      </c>
      <c r="M202" s="433"/>
      <c r="N202" s="433" t="s">
        <v>18574</v>
      </c>
      <c r="O202" s="433" t="s">
        <v>2698</v>
      </c>
      <c r="P202" s="433">
        <v>2012.0</v>
      </c>
      <c r="Q202" s="433" t="s">
        <v>17956</v>
      </c>
      <c r="R202" s="433">
        <v>1.0</v>
      </c>
      <c r="S202" s="826"/>
      <c r="T202" s="3"/>
      <c r="U202" s="3"/>
      <c r="V202" s="3"/>
      <c r="W202" s="3"/>
      <c r="X202" s="3"/>
      <c r="Y202" s="3"/>
      <c r="Z202" s="3"/>
    </row>
    <row r="203" ht="15.75" customHeight="1">
      <c r="C203" s="449">
        <v>151.0</v>
      </c>
      <c r="D203" s="433" t="s">
        <v>18575</v>
      </c>
      <c r="E203" s="433" t="s">
        <v>18390</v>
      </c>
      <c r="F203" s="434" t="s">
        <v>18576</v>
      </c>
      <c r="G203" s="433"/>
      <c r="H203" s="433" t="s">
        <v>2222</v>
      </c>
      <c r="I203" s="433" t="s">
        <v>30</v>
      </c>
      <c r="J203" s="433"/>
      <c r="K203" s="433" t="s">
        <v>30</v>
      </c>
      <c r="L203" s="433">
        <v>32.0</v>
      </c>
      <c r="M203" s="433"/>
      <c r="N203" s="433" t="s">
        <v>18388</v>
      </c>
      <c r="O203" s="433" t="s">
        <v>161</v>
      </c>
      <c r="P203" s="433">
        <v>2002.0</v>
      </c>
      <c r="Q203" s="433" t="s">
        <v>17956</v>
      </c>
      <c r="R203" s="433">
        <v>1.0</v>
      </c>
      <c r="S203" s="826"/>
      <c r="T203" s="3"/>
      <c r="U203" s="3"/>
      <c r="V203" s="3"/>
      <c r="W203" s="3"/>
      <c r="X203" s="3"/>
      <c r="Y203" s="3"/>
      <c r="Z203" s="3"/>
    </row>
    <row r="204" ht="15.75" customHeight="1">
      <c r="C204" s="449">
        <v>152.0</v>
      </c>
      <c r="D204" s="433" t="s">
        <v>18567</v>
      </c>
      <c r="E204" s="433" t="s">
        <v>18568</v>
      </c>
      <c r="F204" s="434" t="s">
        <v>18577</v>
      </c>
      <c r="G204" s="433"/>
      <c r="H204" s="433" t="s">
        <v>2222</v>
      </c>
      <c r="I204" s="433" t="s">
        <v>30</v>
      </c>
      <c r="J204" s="433"/>
      <c r="K204" s="433" t="s">
        <v>30</v>
      </c>
      <c r="L204" s="433">
        <v>63.0</v>
      </c>
      <c r="M204" s="433"/>
      <c r="N204" s="433" t="s">
        <v>18570</v>
      </c>
      <c r="O204" s="433" t="s">
        <v>151</v>
      </c>
      <c r="P204" s="433">
        <v>2011.0</v>
      </c>
      <c r="Q204" s="433" t="s">
        <v>17956</v>
      </c>
      <c r="R204" s="433">
        <v>1.0</v>
      </c>
      <c r="S204" s="826"/>
      <c r="T204" s="3"/>
      <c r="U204" s="3"/>
      <c r="V204" s="3"/>
      <c r="W204" s="3"/>
      <c r="X204" s="3"/>
      <c r="Y204" s="3"/>
      <c r="Z204" s="3"/>
    </row>
    <row r="205" ht="15.75" customHeight="1">
      <c r="C205" s="449">
        <v>153.0</v>
      </c>
      <c r="D205" s="433" t="s">
        <v>18578</v>
      </c>
      <c r="E205" s="433" t="s">
        <v>31</v>
      </c>
      <c r="F205" s="434" t="s">
        <v>18579</v>
      </c>
      <c r="G205" s="433"/>
      <c r="H205" s="433" t="s">
        <v>2222</v>
      </c>
      <c r="I205" s="433" t="s">
        <v>30</v>
      </c>
      <c r="J205" s="433"/>
      <c r="K205" s="433" t="s">
        <v>30</v>
      </c>
      <c r="L205" s="433">
        <v>32.0</v>
      </c>
      <c r="M205" s="433"/>
      <c r="N205" s="433" t="s">
        <v>13368</v>
      </c>
      <c r="O205" s="433" t="s">
        <v>2463</v>
      </c>
      <c r="P205" s="433">
        <v>2003.0</v>
      </c>
      <c r="Q205" s="433" t="s">
        <v>17956</v>
      </c>
      <c r="R205" s="433">
        <v>1.0</v>
      </c>
      <c r="S205" s="826"/>
      <c r="T205" s="3"/>
      <c r="U205" s="3"/>
      <c r="V205" s="3"/>
      <c r="W205" s="3"/>
      <c r="X205" s="3"/>
      <c r="Y205" s="3"/>
      <c r="Z205" s="3"/>
    </row>
    <row r="206" ht="15.75" customHeight="1">
      <c r="C206" s="449">
        <v>154.0</v>
      </c>
      <c r="D206" s="433" t="s">
        <v>18580</v>
      </c>
      <c r="E206" s="433" t="s">
        <v>18581</v>
      </c>
      <c r="F206" s="434" t="s">
        <v>18582</v>
      </c>
      <c r="G206" s="433"/>
      <c r="H206" s="433" t="s">
        <v>2222</v>
      </c>
      <c r="I206" s="433" t="s">
        <v>30</v>
      </c>
      <c r="J206" s="433"/>
      <c r="K206" s="433" t="s">
        <v>30</v>
      </c>
      <c r="L206" s="433">
        <v>32.0</v>
      </c>
      <c r="M206" s="433"/>
      <c r="N206" s="433" t="s">
        <v>18388</v>
      </c>
      <c r="O206" s="433" t="s">
        <v>161</v>
      </c>
      <c r="P206" s="433">
        <v>2002.0</v>
      </c>
      <c r="Q206" s="433" t="s">
        <v>17956</v>
      </c>
      <c r="R206" s="433">
        <v>1.0</v>
      </c>
      <c r="S206" s="826"/>
      <c r="T206" s="3"/>
      <c r="U206" s="3"/>
      <c r="V206" s="3"/>
      <c r="W206" s="3"/>
      <c r="X206" s="3"/>
      <c r="Y206" s="3"/>
      <c r="Z206" s="3"/>
    </row>
    <row r="207" ht="15.75" customHeight="1">
      <c r="C207" s="449">
        <v>155.0</v>
      </c>
      <c r="D207" s="433" t="s">
        <v>31</v>
      </c>
      <c r="E207" s="433" t="s">
        <v>18392</v>
      </c>
      <c r="F207" s="434" t="s">
        <v>18583</v>
      </c>
      <c r="G207" s="433"/>
      <c r="H207" s="433" t="s">
        <v>2222</v>
      </c>
      <c r="I207" s="433" t="s">
        <v>30</v>
      </c>
      <c r="J207" s="433"/>
      <c r="K207" s="433" t="s">
        <v>30</v>
      </c>
      <c r="L207" s="433">
        <v>32.0</v>
      </c>
      <c r="M207" s="433"/>
      <c r="N207" s="433" t="s">
        <v>18394</v>
      </c>
      <c r="O207" s="433" t="s">
        <v>18066</v>
      </c>
      <c r="P207" s="433">
        <v>1993.0</v>
      </c>
      <c r="Q207" s="433" t="s">
        <v>17956</v>
      </c>
      <c r="R207" s="433">
        <v>1.0</v>
      </c>
      <c r="S207" s="826"/>
      <c r="T207" s="3"/>
      <c r="U207" s="3"/>
      <c r="V207" s="3"/>
      <c r="W207" s="3"/>
      <c r="X207" s="3"/>
      <c r="Y207" s="3"/>
      <c r="Z207" s="3"/>
    </row>
    <row r="208" ht="15.75" customHeight="1">
      <c r="C208" s="449">
        <v>156.0</v>
      </c>
      <c r="D208" s="433" t="s">
        <v>18584</v>
      </c>
      <c r="E208" s="433" t="s">
        <v>18585</v>
      </c>
      <c r="F208" s="434" t="s">
        <v>18586</v>
      </c>
      <c r="G208" s="433"/>
      <c r="H208" s="433" t="s">
        <v>2222</v>
      </c>
      <c r="I208" s="433" t="s">
        <v>30</v>
      </c>
      <c r="J208" s="433"/>
      <c r="K208" s="433" t="s">
        <v>30</v>
      </c>
      <c r="L208" s="433">
        <v>39.0</v>
      </c>
      <c r="M208" s="433"/>
      <c r="N208" s="433" t="s">
        <v>18325</v>
      </c>
      <c r="O208" s="433" t="s">
        <v>151</v>
      </c>
      <c r="P208" s="433">
        <v>2009.0</v>
      </c>
      <c r="Q208" s="433" t="s">
        <v>17956</v>
      </c>
      <c r="R208" s="433">
        <v>1.0</v>
      </c>
      <c r="S208" s="826"/>
      <c r="T208" s="3"/>
      <c r="U208" s="3"/>
      <c r="V208" s="3"/>
      <c r="W208" s="3"/>
      <c r="X208" s="3"/>
      <c r="Y208" s="3"/>
      <c r="Z208" s="3"/>
    </row>
    <row r="209" ht="15.75" customHeight="1">
      <c r="C209" s="449">
        <v>157.0</v>
      </c>
      <c r="D209" s="433" t="s">
        <v>18587</v>
      </c>
      <c r="E209" s="433" t="s">
        <v>18588</v>
      </c>
      <c r="F209" s="434" t="s">
        <v>18589</v>
      </c>
      <c r="G209" s="433"/>
      <c r="H209" s="433" t="s">
        <v>2222</v>
      </c>
      <c r="I209" s="433" t="s">
        <v>30</v>
      </c>
      <c r="J209" s="433"/>
      <c r="K209" s="433" t="s">
        <v>30</v>
      </c>
      <c r="L209" s="433">
        <v>39.0</v>
      </c>
      <c r="M209" s="433"/>
      <c r="N209" s="433" t="s">
        <v>18325</v>
      </c>
      <c r="O209" s="433" t="s">
        <v>151</v>
      </c>
      <c r="P209" s="433">
        <v>2010.0</v>
      </c>
      <c r="Q209" s="433" t="s">
        <v>17956</v>
      </c>
      <c r="R209" s="433">
        <v>1.0</v>
      </c>
      <c r="S209" s="826"/>
      <c r="T209" s="3"/>
      <c r="U209" s="3"/>
      <c r="V209" s="3"/>
      <c r="W209" s="3"/>
      <c r="X209" s="3"/>
      <c r="Y209" s="3"/>
      <c r="Z209" s="3"/>
    </row>
    <row r="210" ht="15.75" customHeight="1">
      <c r="C210" s="449">
        <v>158.0</v>
      </c>
      <c r="D210" s="433" t="s">
        <v>18584</v>
      </c>
      <c r="E210" s="433" t="s">
        <v>18590</v>
      </c>
      <c r="F210" s="434" t="s">
        <v>18586</v>
      </c>
      <c r="G210" s="433"/>
      <c r="H210" s="433" t="s">
        <v>2222</v>
      </c>
      <c r="I210" s="433" t="s">
        <v>30</v>
      </c>
      <c r="J210" s="433"/>
      <c r="K210" s="433" t="s">
        <v>30</v>
      </c>
      <c r="L210" s="433">
        <v>39.0</v>
      </c>
      <c r="M210" s="433"/>
      <c r="N210" s="433" t="s">
        <v>18325</v>
      </c>
      <c r="O210" s="433" t="s">
        <v>151</v>
      </c>
      <c r="P210" s="433">
        <v>2010.0</v>
      </c>
      <c r="Q210" s="433" t="s">
        <v>17956</v>
      </c>
      <c r="R210" s="433">
        <v>1.0</v>
      </c>
      <c r="S210" s="826"/>
      <c r="T210" s="3"/>
      <c r="U210" s="3"/>
      <c r="V210" s="3"/>
      <c r="W210" s="3"/>
      <c r="X210" s="3"/>
      <c r="Y210" s="3"/>
      <c r="Z210" s="3"/>
    </row>
    <row r="211" ht="15.75" customHeight="1">
      <c r="C211" s="449">
        <v>159.0</v>
      </c>
      <c r="D211" s="433" t="s">
        <v>18591</v>
      </c>
      <c r="E211" s="433" t="s">
        <v>18592</v>
      </c>
      <c r="F211" s="434" t="s">
        <v>18593</v>
      </c>
      <c r="G211" s="433"/>
      <c r="H211" s="433" t="s">
        <v>2222</v>
      </c>
      <c r="I211" s="433" t="s">
        <v>30</v>
      </c>
      <c r="J211" s="433"/>
      <c r="K211" s="433" t="s">
        <v>30</v>
      </c>
      <c r="L211" s="433">
        <v>39.0</v>
      </c>
      <c r="M211" s="433"/>
      <c r="N211" s="433" t="s">
        <v>18325</v>
      </c>
      <c r="O211" s="433" t="s">
        <v>151</v>
      </c>
      <c r="P211" s="433">
        <v>2010.0</v>
      </c>
      <c r="Q211" s="433" t="s">
        <v>17956</v>
      </c>
      <c r="R211" s="433">
        <v>1.0</v>
      </c>
      <c r="S211" s="826"/>
      <c r="T211" s="3"/>
      <c r="U211" s="3"/>
      <c r="V211" s="3"/>
      <c r="W211" s="3"/>
      <c r="X211" s="3"/>
      <c r="Y211" s="3"/>
      <c r="Z211" s="3"/>
    </row>
    <row r="212" ht="15.75" customHeight="1">
      <c r="C212" s="449">
        <v>160.0</v>
      </c>
      <c r="D212" s="433" t="s">
        <v>18594</v>
      </c>
      <c r="E212" s="433" t="s">
        <v>18595</v>
      </c>
      <c r="F212" s="434" t="s">
        <v>18596</v>
      </c>
      <c r="G212" s="433"/>
      <c r="H212" s="433" t="s">
        <v>2222</v>
      </c>
      <c r="I212" s="433" t="s">
        <v>30</v>
      </c>
      <c r="J212" s="433"/>
      <c r="K212" s="433" t="s">
        <v>30</v>
      </c>
      <c r="L212" s="433">
        <v>36.0</v>
      </c>
      <c r="M212" s="433"/>
      <c r="N212" s="433" t="s">
        <v>18099</v>
      </c>
      <c r="O212" s="433" t="s">
        <v>169</v>
      </c>
      <c r="P212" s="433">
        <v>2009.0</v>
      </c>
      <c r="Q212" s="433" t="s">
        <v>17956</v>
      </c>
      <c r="R212" s="433">
        <v>1.0</v>
      </c>
      <c r="S212" s="826"/>
      <c r="T212" s="3"/>
      <c r="U212" s="3"/>
      <c r="V212" s="3"/>
      <c r="W212" s="3"/>
      <c r="X212" s="3"/>
      <c r="Y212" s="3"/>
      <c r="Z212" s="3"/>
    </row>
    <row r="213" ht="15.75" customHeight="1">
      <c r="C213" s="449">
        <v>161.0</v>
      </c>
      <c r="D213" s="433" t="s">
        <v>18597</v>
      </c>
      <c r="E213" s="433" t="s">
        <v>18598</v>
      </c>
      <c r="F213" s="434" t="s">
        <v>18599</v>
      </c>
      <c r="G213" s="433"/>
      <c r="H213" s="433" t="s">
        <v>2222</v>
      </c>
      <c r="I213" s="433" t="s">
        <v>30</v>
      </c>
      <c r="J213" s="433"/>
      <c r="K213" s="433" t="s">
        <v>30</v>
      </c>
      <c r="L213" s="433">
        <v>51.0</v>
      </c>
      <c r="M213" s="433"/>
      <c r="N213" s="433" t="s">
        <v>18600</v>
      </c>
      <c r="O213" s="433" t="s">
        <v>18601</v>
      </c>
      <c r="P213" s="433">
        <v>2001.0</v>
      </c>
      <c r="Q213" s="433" t="s">
        <v>17956</v>
      </c>
      <c r="R213" s="433">
        <v>1.0</v>
      </c>
      <c r="S213" s="826"/>
      <c r="T213" s="3"/>
      <c r="U213" s="3"/>
      <c r="V213" s="3"/>
      <c r="W213" s="3"/>
      <c r="X213" s="3"/>
      <c r="Y213" s="3"/>
      <c r="Z213" s="3"/>
    </row>
    <row r="214" ht="15.75" customHeight="1">
      <c r="C214" s="449">
        <v>162.0</v>
      </c>
      <c r="D214" s="433" t="s">
        <v>18602</v>
      </c>
      <c r="E214" s="433" t="s">
        <v>18603</v>
      </c>
      <c r="F214" s="434" t="s">
        <v>18604</v>
      </c>
      <c r="G214" s="433"/>
      <c r="H214" s="433" t="s">
        <v>2222</v>
      </c>
      <c r="I214" s="433" t="s">
        <v>30</v>
      </c>
      <c r="J214" s="433"/>
      <c r="K214" s="433" t="s">
        <v>30</v>
      </c>
      <c r="L214" s="433">
        <v>30.0</v>
      </c>
      <c r="M214" s="433"/>
      <c r="N214" s="433" t="s">
        <v>18605</v>
      </c>
      <c r="O214" s="433" t="s">
        <v>151</v>
      </c>
      <c r="P214" s="433">
        <v>2007.0</v>
      </c>
      <c r="Q214" s="433" t="s">
        <v>17956</v>
      </c>
      <c r="R214" s="433">
        <v>1.0</v>
      </c>
      <c r="S214" s="826"/>
      <c r="T214" s="3"/>
      <c r="U214" s="3"/>
      <c r="V214" s="3"/>
      <c r="W214" s="3"/>
      <c r="X214" s="3"/>
      <c r="Y214" s="3"/>
      <c r="Z214" s="3"/>
    </row>
    <row r="215" ht="15.75" customHeight="1">
      <c r="C215" s="449">
        <v>163.0</v>
      </c>
      <c r="D215" s="433" t="s">
        <v>18606</v>
      </c>
      <c r="E215" s="433" t="s">
        <v>18607</v>
      </c>
      <c r="F215" s="434" t="s">
        <v>18608</v>
      </c>
      <c r="G215" s="433"/>
      <c r="H215" s="433" t="s">
        <v>2222</v>
      </c>
      <c r="I215" s="433" t="s">
        <v>30</v>
      </c>
      <c r="J215" s="433"/>
      <c r="K215" s="433" t="s">
        <v>18103</v>
      </c>
      <c r="L215" s="433">
        <v>24.0</v>
      </c>
      <c r="M215" s="433"/>
      <c r="N215" s="433" t="s">
        <v>18144</v>
      </c>
      <c r="O215" s="433" t="s">
        <v>18070</v>
      </c>
      <c r="P215" s="433">
        <v>2005.0</v>
      </c>
      <c r="Q215" s="433" t="s">
        <v>17956</v>
      </c>
      <c r="R215" s="433">
        <v>1.0</v>
      </c>
      <c r="S215" s="826"/>
      <c r="T215" s="3"/>
      <c r="U215" s="3"/>
      <c r="V215" s="3"/>
      <c r="W215" s="3"/>
      <c r="X215" s="3"/>
      <c r="Y215" s="3"/>
      <c r="Z215" s="3"/>
    </row>
    <row r="216" ht="15.75" customHeight="1">
      <c r="C216" s="449">
        <v>164.0</v>
      </c>
      <c r="D216" s="433" t="s">
        <v>18609</v>
      </c>
      <c r="E216" s="433" t="s">
        <v>31</v>
      </c>
      <c r="F216" s="434" t="s">
        <v>18610</v>
      </c>
      <c r="G216" s="433"/>
      <c r="H216" s="433" t="s">
        <v>2222</v>
      </c>
      <c r="I216" s="433" t="s">
        <v>81</v>
      </c>
      <c r="J216" s="433"/>
      <c r="K216" s="433" t="s">
        <v>38</v>
      </c>
      <c r="L216" s="433">
        <v>72.0</v>
      </c>
      <c r="M216" s="433"/>
      <c r="N216" s="433" t="s">
        <v>31</v>
      </c>
      <c r="O216" s="433" t="s">
        <v>18611</v>
      </c>
      <c r="P216" s="433">
        <v>1999.0</v>
      </c>
      <c r="Q216" s="433" t="s">
        <v>17956</v>
      </c>
      <c r="R216" s="433">
        <v>1.0</v>
      </c>
      <c r="S216" s="826"/>
      <c r="T216" s="3"/>
      <c r="U216" s="3"/>
      <c r="V216" s="3"/>
      <c r="W216" s="3"/>
      <c r="X216" s="3"/>
      <c r="Y216" s="3"/>
      <c r="Z216" s="3"/>
    </row>
    <row r="217" ht="15.75" customHeight="1">
      <c r="C217" s="449">
        <v>165.0</v>
      </c>
      <c r="D217" s="433" t="s">
        <v>31</v>
      </c>
      <c r="E217" s="433" t="s">
        <v>18612</v>
      </c>
      <c r="F217" s="434" t="s">
        <v>18613</v>
      </c>
      <c r="G217" s="433"/>
      <c r="H217" s="433" t="s">
        <v>2222</v>
      </c>
      <c r="I217" s="433" t="s">
        <v>30</v>
      </c>
      <c r="J217" s="433"/>
      <c r="K217" s="433" t="s">
        <v>30</v>
      </c>
      <c r="L217" s="433">
        <v>28.0</v>
      </c>
      <c r="M217" s="433"/>
      <c r="N217" s="433" t="s">
        <v>18614</v>
      </c>
      <c r="O217" s="433" t="s">
        <v>4645</v>
      </c>
      <c r="P217" s="433">
        <v>2007.0</v>
      </c>
      <c r="Q217" s="433" t="s">
        <v>17956</v>
      </c>
      <c r="R217" s="433">
        <v>1.0</v>
      </c>
      <c r="S217" s="826"/>
      <c r="T217" s="3"/>
      <c r="U217" s="3"/>
      <c r="V217" s="3"/>
      <c r="W217" s="3"/>
      <c r="X217" s="3"/>
      <c r="Y217" s="3"/>
      <c r="Z217" s="3"/>
    </row>
    <row r="218" ht="15.75" customHeight="1">
      <c r="C218" s="449">
        <v>166.0</v>
      </c>
      <c r="D218" s="433" t="s">
        <v>18615</v>
      </c>
      <c r="E218" s="433" t="s">
        <v>31</v>
      </c>
      <c r="F218" s="434" t="s">
        <v>18616</v>
      </c>
      <c r="G218" s="433"/>
      <c r="H218" s="433" t="s">
        <v>2222</v>
      </c>
      <c r="I218" s="433" t="s">
        <v>30</v>
      </c>
      <c r="J218" s="433"/>
      <c r="K218" s="433" t="s">
        <v>30</v>
      </c>
      <c r="L218" s="433">
        <v>27.0</v>
      </c>
      <c r="M218" s="433"/>
      <c r="N218" s="433" t="s">
        <v>13925</v>
      </c>
      <c r="O218" s="433" t="s">
        <v>3675</v>
      </c>
      <c r="P218" s="433">
        <v>2002.0</v>
      </c>
      <c r="Q218" s="433" t="s">
        <v>17956</v>
      </c>
      <c r="R218" s="433">
        <v>1.0</v>
      </c>
      <c r="S218" s="826"/>
      <c r="T218" s="3"/>
      <c r="U218" s="3"/>
      <c r="V218" s="3"/>
      <c r="W218" s="3"/>
      <c r="X218" s="3"/>
      <c r="Y218" s="3"/>
      <c r="Z218" s="3"/>
    </row>
    <row r="219" ht="15.75" customHeight="1">
      <c r="C219" s="449">
        <v>167.0</v>
      </c>
      <c r="D219" s="433" t="s">
        <v>31</v>
      </c>
      <c r="E219" s="433" t="s">
        <v>18617</v>
      </c>
      <c r="F219" s="434" t="s">
        <v>18618</v>
      </c>
      <c r="G219" s="433"/>
      <c r="H219" s="433" t="s">
        <v>2222</v>
      </c>
      <c r="I219" s="433" t="s">
        <v>30</v>
      </c>
      <c r="J219" s="433"/>
      <c r="K219" s="433" t="s">
        <v>30</v>
      </c>
      <c r="L219" s="433">
        <v>24.0</v>
      </c>
      <c r="M219" s="433"/>
      <c r="N219" s="433" t="s">
        <v>18619</v>
      </c>
      <c r="O219" s="433" t="s">
        <v>18066</v>
      </c>
      <c r="P219" s="433"/>
      <c r="Q219" s="433" t="s">
        <v>17956</v>
      </c>
      <c r="R219" s="433">
        <v>1.0</v>
      </c>
      <c r="S219" s="826"/>
      <c r="T219" s="3"/>
      <c r="U219" s="3"/>
      <c r="V219" s="3"/>
      <c r="W219" s="3"/>
      <c r="X219" s="3"/>
      <c r="Y219" s="3"/>
      <c r="Z219" s="3"/>
    </row>
    <row r="220" ht="15.75" customHeight="1">
      <c r="C220" s="449">
        <v>168.0</v>
      </c>
      <c r="D220" s="433" t="s">
        <v>18620</v>
      </c>
      <c r="E220" s="433" t="s">
        <v>18621</v>
      </c>
      <c r="F220" s="434" t="s">
        <v>18622</v>
      </c>
      <c r="G220" s="433"/>
      <c r="H220" s="433" t="s">
        <v>2222</v>
      </c>
      <c r="I220" s="433" t="s">
        <v>30</v>
      </c>
      <c r="J220" s="433"/>
      <c r="K220" s="433" t="s">
        <v>30</v>
      </c>
      <c r="L220" s="433">
        <v>39.0</v>
      </c>
      <c r="M220" s="433"/>
      <c r="N220" s="433" t="s">
        <v>18325</v>
      </c>
      <c r="O220" s="433" t="s">
        <v>151</v>
      </c>
      <c r="P220" s="433">
        <v>2010.0</v>
      </c>
      <c r="Q220" s="433" t="s">
        <v>17956</v>
      </c>
      <c r="R220" s="433">
        <v>1.0</v>
      </c>
      <c r="S220" s="826"/>
      <c r="T220" s="3"/>
      <c r="U220" s="3"/>
      <c r="V220" s="3"/>
      <c r="W220" s="3"/>
      <c r="X220" s="3"/>
      <c r="Y220" s="3"/>
      <c r="Z220" s="3"/>
    </row>
    <row r="221" ht="15.75" customHeight="1">
      <c r="C221" s="449">
        <v>169.0</v>
      </c>
      <c r="D221" s="433" t="s">
        <v>18623</v>
      </c>
      <c r="E221" s="433" t="s">
        <v>18624</v>
      </c>
      <c r="F221" s="434" t="s">
        <v>18625</v>
      </c>
      <c r="G221" s="433"/>
      <c r="H221" s="433" t="s">
        <v>2222</v>
      </c>
      <c r="I221" s="433" t="s">
        <v>30</v>
      </c>
      <c r="J221" s="433"/>
      <c r="K221" s="433" t="s">
        <v>30</v>
      </c>
      <c r="L221" s="433">
        <v>26.0</v>
      </c>
      <c r="M221" s="433"/>
      <c r="N221" s="433" t="s">
        <v>18626</v>
      </c>
      <c r="O221" s="433" t="s">
        <v>18627</v>
      </c>
      <c r="P221" s="433"/>
      <c r="Q221" s="433" t="s">
        <v>17956</v>
      </c>
      <c r="R221" s="433">
        <v>1.0</v>
      </c>
      <c r="S221" s="826"/>
      <c r="T221" s="3"/>
      <c r="U221" s="3"/>
      <c r="V221" s="3"/>
      <c r="W221" s="3"/>
      <c r="X221" s="3"/>
      <c r="Y221" s="3"/>
      <c r="Z221" s="3"/>
    </row>
    <row r="222" ht="15.75" customHeight="1">
      <c r="C222" s="449">
        <v>170.0</v>
      </c>
      <c r="D222" s="433" t="s">
        <v>31</v>
      </c>
      <c r="E222" s="433" t="s">
        <v>18628</v>
      </c>
      <c r="F222" s="434" t="s">
        <v>18629</v>
      </c>
      <c r="G222" s="433"/>
      <c r="H222" s="433" t="s">
        <v>2222</v>
      </c>
      <c r="I222" s="433" t="s">
        <v>30</v>
      </c>
      <c r="J222" s="433"/>
      <c r="K222" s="433" t="s">
        <v>30</v>
      </c>
      <c r="L222" s="433">
        <v>32.0</v>
      </c>
      <c r="M222" s="433"/>
      <c r="N222" s="433" t="s">
        <v>18346</v>
      </c>
      <c r="O222" s="433" t="s">
        <v>18347</v>
      </c>
      <c r="P222" s="433">
        <v>1996.0</v>
      </c>
      <c r="Q222" s="433" t="s">
        <v>17956</v>
      </c>
      <c r="R222" s="433">
        <v>2.0</v>
      </c>
      <c r="S222" s="826"/>
      <c r="T222" s="3"/>
      <c r="U222" s="3"/>
      <c r="V222" s="3"/>
      <c r="W222" s="3"/>
      <c r="X222" s="3"/>
      <c r="Y222" s="3"/>
      <c r="Z222" s="3"/>
    </row>
    <row r="223" ht="15.75" customHeight="1">
      <c r="C223" s="449">
        <v>171.0</v>
      </c>
      <c r="D223" s="433" t="s">
        <v>18630</v>
      </c>
      <c r="E223" s="433" t="s">
        <v>31</v>
      </c>
      <c r="F223" s="434" t="s">
        <v>18631</v>
      </c>
      <c r="G223" s="433"/>
      <c r="H223" s="433" t="s">
        <v>2222</v>
      </c>
      <c r="I223" s="433" t="s">
        <v>30</v>
      </c>
      <c r="J223" s="433"/>
      <c r="K223" s="433" t="s">
        <v>30</v>
      </c>
      <c r="L223" s="433">
        <v>29.0</v>
      </c>
      <c r="M223" s="433"/>
      <c r="N223" s="433" t="s">
        <v>18388</v>
      </c>
      <c r="O223" s="433" t="s">
        <v>161</v>
      </c>
      <c r="P223" s="433">
        <v>2002.0</v>
      </c>
      <c r="Q223" s="433" t="s">
        <v>17956</v>
      </c>
      <c r="R223" s="433">
        <v>1.0</v>
      </c>
      <c r="S223" s="826"/>
      <c r="T223" s="3"/>
      <c r="U223" s="3"/>
      <c r="V223" s="3"/>
      <c r="W223" s="3"/>
      <c r="X223" s="3"/>
      <c r="Y223" s="3"/>
      <c r="Z223" s="3"/>
    </row>
    <row r="224" ht="15.75" customHeight="1">
      <c r="C224" s="449">
        <v>172.0</v>
      </c>
      <c r="D224" s="433" t="s">
        <v>31</v>
      </c>
      <c r="E224" s="433" t="s">
        <v>18632</v>
      </c>
      <c r="F224" s="434" t="s">
        <v>18633</v>
      </c>
      <c r="G224" s="433"/>
      <c r="H224" s="433" t="s">
        <v>2222</v>
      </c>
      <c r="I224" s="433" t="s">
        <v>30</v>
      </c>
      <c r="J224" s="433"/>
      <c r="K224" s="433" t="s">
        <v>30</v>
      </c>
      <c r="L224" s="433">
        <v>26.0</v>
      </c>
      <c r="M224" s="433"/>
      <c r="N224" s="433" t="s">
        <v>18634</v>
      </c>
      <c r="O224" s="433" t="s">
        <v>13077</v>
      </c>
      <c r="P224" s="433">
        <v>2003.0</v>
      </c>
      <c r="Q224" s="433" t="s">
        <v>17956</v>
      </c>
      <c r="R224" s="433">
        <v>1.0</v>
      </c>
      <c r="S224" s="826"/>
      <c r="T224" s="3"/>
      <c r="U224" s="3"/>
      <c r="V224" s="3"/>
      <c r="W224" s="3"/>
      <c r="X224" s="3"/>
      <c r="Y224" s="3"/>
      <c r="Z224" s="3"/>
    </row>
    <row r="225" ht="15.75" customHeight="1">
      <c r="C225" s="449">
        <v>173.0</v>
      </c>
      <c r="D225" s="433" t="s">
        <v>31</v>
      </c>
      <c r="E225" s="433" t="s">
        <v>18635</v>
      </c>
      <c r="F225" s="434" t="s">
        <v>18636</v>
      </c>
      <c r="G225" s="433"/>
      <c r="H225" s="433" t="s">
        <v>2222</v>
      </c>
      <c r="I225" s="433" t="s">
        <v>30</v>
      </c>
      <c r="J225" s="433"/>
      <c r="K225" s="433" t="s">
        <v>30</v>
      </c>
      <c r="L225" s="433">
        <v>32.0</v>
      </c>
      <c r="M225" s="433"/>
      <c r="N225" s="433" t="s">
        <v>18394</v>
      </c>
      <c r="O225" s="433" t="s">
        <v>18066</v>
      </c>
      <c r="P225" s="433">
        <v>1993.0</v>
      </c>
      <c r="Q225" s="433" t="s">
        <v>17956</v>
      </c>
      <c r="R225" s="433">
        <v>1.0</v>
      </c>
      <c r="S225" s="826"/>
      <c r="T225" s="3"/>
      <c r="U225" s="3"/>
      <c r="V225" s="3"/>
      <c r="W225" s="3"/>
      <c r="X225" s="3"/>
      <c r="Y225" s="3"/>
      <c r="Z225" s="3"/>
    </row>
    <row r="226" ht="15.75" customHeight="1">
      <c r="C226" s="449">
        <v>174.0</v>
      </c>
      <c r="D226" s="433" t="s">
        <v>18637</v>
      </c>
      <c r="E226" s="433" t="s">
        <v>18638</v>
      </c>
      <c r="F226" s="434" t="s">
        <v>18639</v>
      </c>
      <c r="G226" s="433"/>
      <c r="H226" s="433" t="s">
        <v>2222</v>
      </c>
      <c r="I226" s="433" t="s">
        <v>30</v>
      </c>
      <c r="J226" s="433"/>
      <c r="K226" s="433" t="s">
        <v>30</v>
      </c>
      <c r="L226" s="433">
        <v>36.0</v>
      </c>
      <c r="M226" s="433"/>
      <c r="N226" s="433" t="s">
        <v>18640</v>
      </c>
      <c r="O226" s="433" t="s">
        <v>18627</v>
      </c>
      <c r="P226" s="433">
        <v>2008.0</v>
      </c>
      <c r="Q226" s="433" t="s">
        <v>17956</v>
      </c>
      <c r="R226" s="433">
        <v>1.0</v>
      </c>
      <c r="S226" s="826"/>
      <c r="T226" s="3"/>
      <c r="U226" s="3"/>
      <c r="V226" s="3"/>
      <c r="W226" s="3"/>
      <c r="X226" s="3"/>
      <c r="Y226" s="3"/>
      <c r="Z226" s="3"/>
    </row>
    <row r="227" ht="15.75" customHeight="1">
      <c r="C227" s="449">
        <v>175.0</v>
      </c>
      <c r="D227" s="433" t="s">
        <v>31</v>
      </c>
      <c r="E227" s="433" t="s">
        <v>18641</v>
      </c>
      <c r="F227" s="434" t="s">
        <v>18642</v>
      </c>
      <c r="G227" s="433"/>
      <c r="H227" s="433" t="s">
        <v>2222</v>
      </c>
      <c r="I227" s="433" t="s">
        <v>30</v>
      </c>
      <c r="J227" s="433"/>
      <c r="K227" s="433" t="s">
        <v>30</v>
      </c>
      <c r="L227" s="433">
        <v>23.0</v>
      </c>
      <c r="M227" s="433"/>
      <c r="N227" s="433" t="s">
        <v>18643</v>
      </c>
      <c r="O227" s="433" t="s">
        <v>4645</v>
      </c>
      <c r="P227" s="433">
        <v>2004.0</v>
      </c>
      <c r="Q227" s="433" t="s">
        <v>17956</v>
      </c>
      <c r="R227" s="433">
        <v>1.0</v>
      </c>
      <c r="S227" s="826"/>
      <c r="T227" s="3"/>
      <c r="U227" s="3"/>
      <c r="V227" s="3"/>
      <c r="W227" s="3"/>
      <c r="X227" s="3"/>
      <c r="Y227" s="3"/>
      <c r="Z227" s="3"/>
    </row>
    <row r="228" ht="15.75" customHeight="1">
      <c r="C228" s="449">
        <v>176.0</v>
      </c>
      <c r="D228" s="433" t="s">
        <v>18644</v>
      </c>
      <c r="E228" s="433" t="s">
        <v>18645</v>
      </c>
      <c r="F228" s="434" t="s">
        <v>18646</v>
      </c>
      <c r="G228" s="433"/>
      <c r="H228" s="433" t="s">
        <v>2222</v>
      </c>
      <c r="I228" s="433" t="s">
        <v>30</v>
      </c>
      <c r="J228" s="433"/>
      <c r="K228" s="433" t="s">
        <v>18286</v>
      </c>
      <c r="L228" s="433">
        <v>33.0</v>
      </c>
      <c r="M228" s="433"/>
      <c r="N228" s="433" t="s">
        <v>18336</v>
      </c>
      <c r="O228" s="433" t="s">
        <v>11040</v>
      </c>
      <c r="P228" s="433">
        <v>2011.0</v>
      </c>
      <c r="Q228" s="433" t="s">
        <v>17956</v>
      </c>
      <c r="R228" s="433">
        <v>1.0</v>
      </c>
      <c r="S228" s="826"/>
      <c r="T228" s="3"/>
      <c r="U228" s="3"/>
      <c r="V228" s="3"/>
      <c r="W228" s="3"/>
      <c r="X228" s="3"/>
      <c r="Y228" s="3"/>
      <c r="Z228" s="3"/>
    </row>
    <row r="229" ht="15.75" customHeight="1">
      <c r="C229" s="449">
        <v>177.0</v>
      </c>
      <c r="D229" s="433" t="s">
        <v>31</v>
      </c>
      <c r="E229" s="433" t="s">
        <v>18080</v>
      </c>
      <c r="F229" s="434" t="s">
        <v>18647</v>
      </c>
      <c r="G229" s="433"/>
      <c r="H229" s="433" t="s">
        <v>2222</v>
      </c>
      <c r="I229" s="433" t="s">
        <v>30</v>
      </c>
      <c r="J229" s="433"/>
      <c r="K229" s="433" t="s">
        <v>30</v>
      </c>
      <c r="L229" s="433">
        <v>47.0</v>
      </c>
      <c r="M229" s="433"/>
      <c r="N229" s="433" t="s">
        <v>18082</v>
      </c>
      <c r="O229" s="433" t="s">
        <v>18083</v>
      </c>
      <c r="P229" s="433">
        <v>2009.0</v>
      </c>
      <c r="Q229" s="433" t="s">
        <v>17956</v>
      </c>
      <c r="R229" s="433">
        <v>1.0</v>
      </c>
      <c r="S229" s="826"/>
      <c r="T229" s="3"/>
      <c r="U229" s="3"/>
      <c r="V229" s="3"/>
      <c r="W229" s="3"/>
      <c r="X229" s="3"/>
      <c r="Y229" s="3"/>
      <c r="Z229" s="3"/>
    </row>
    <row r="230" ht="15.75" customHeight="1">
      <c r="C230" s="449">
        <v>178.0</v>
      </c>
      <c r="D230" s="433" t="s">
        <v>31</v>
      </c>
      <c r="E230" s="433" t="s">
        <v>18392</v>
      </c>
      <c r="F230" s="434" t="s">
        <v>18648</v>
      </c>
      <c r="G230" s="433"/>
      <c r="H230" s="433" t="s">
        <v>2222</v>
      </c>
      <c r="I230" s="433" t="s">
        <v>30</v>
      </c>
      <c r="J230" s="433"/>
      <c r="K230" s="433" t="s">
        <v>30</v>
      </c>
      <c r="L230" s="433">
        <v>32.0</v>
      </c>
      <c r="M230" s="433"/>
      <c r="N230" s="433" t="s">
        <v>18394</v>
      </c>
      <c r="O230" s="433" t="s">
        <v>18066</v>
      </c>
      <c r="P230" s="433">
        <v>1993.0</v>
      </c>
      <c r="Q230" s="433" t="s">
        <v>17956</v>
      </c>
      <c r="R230" s="433">
        <v>1.0</v>
      </c>
      <c r="S230" s="826"/>
      <c r="T230" s="3"/>
      <c r="U230" s="3"/>
      <c r="V230" s="3"/>
      <c r="W230" s="3"/>
      <c r="X230" s="3"/>
      <c r="Y230" s="3"/>
      <c r="Z230" s="3"/>
    </row>
    <row r="231" ht="15.75" customHeight="1">
      <c r="C231" s="449">
        <v>179.0</v>
      </c>
      <c r="D231" s="433" t="s">
        <v>18649</v>
      </c>
      <c r="E231" s="433" t="s">
        <v>18445</v>
      </c>
      <c r="F231" s="434" t="s">
        <v>18650</v>
      </c>
      <c r="G231" s="433"/>
      <c r="H231" s="433" t="s">
        <v>2222</v>
      </c>
      <c r="I231" s="433" t="s">
        <v>30</v>
      </c>
      <c r="J231" s="433"/>
      <c r="K231" s="433" t="s">
        <v>30</v>
      </c>
      <c r="L231" s="433">
        <v>32.0</v>
      </c>
      <c r="M231" s="433"/>
      <c r="N231" s="433" t="s">
        <v>18388</v>
      </c>
      <c r="O231" s="433" t="s">
        <v>161</v>
      </c>
      <c r="P231" s="433">
        <v>2006.0</v>
      </c>
      <c r="Q231" s="433" t="s">
        <v>17956</v>
      </c>
      <c r="R231" s="433">
        <v>1.0</v>
      </c>
      <c r="S231" s="826"/>
      <c r="T231" s="3"/>
      <c r="U231" s="3"/>
      <c r="V231" s="3"/>
      <c r="W231" s="3"/>
      <c r="X231" s="3"/>
      <c r="Y231" s="3"/>
      <c r="Z231" s="3"/>
    </row>
    <row r="232" ht="15.75" customHeight="1">
      <c r="C232" s="449">
        <v>180.0</v>
      </c>
      <c r="D232" s="433" t="s">
        <v>31</v>
      </c>
      <c r="E232" s="433" t="s">
        <v>18392</v>
      </c>
      <c r="F232" s="434" t="s">
        <v>18651</v>
      </c>
      <c r="G232" s="433"/>
      <c r="H232" s="433" t="s">
        <v>2222</v>
      </c>
      <c r="I232" s="433" t="s">
        <v>30</v>
      </c>
      <c r="J232" s="433"/>
      <c r="K232" s="433" t="s">
        <v>30</v>
      </c>
      <c r="L232" s="433">
        <v>32.0</v>
      </c>
      <c r="M232" s="433"/>
      <c r="N232" s="433" t="s">
        <v>18394</v>
      </c>
      <c r="O232" s="433" t="s">
        <v>18066</v>
      </c>
      <c r="P232" s="433">
        <v>1993.0</v>
      </c>
      <c r="Q232" s="433" t="s">
        <v>17956</v>
      </c>
      <c r="R232" s="433">
        <v>1.0</v>
      </c>
      <c r="S232" s="826"/>
      <c r="T232" s="3"/>
      <c r="U232" s="3"/>
      <c r="V232" s="3"/>
      <c r="W232" s="3"/>
      <c r="X232" s="3"/>
      <c r="Y232" s="3"/>
      <c r="Z232" s="3"/>
    </row>
    <row r="233" ht="15.75" customHeight="1">
      <c r="C233" s="449">
        <v>181.0</v>
      </c>
      <c r="D233" s="433" t="s">
        <v>31</v>
      </c>
      <c r="E233" s="433" t="s">
        <v>18392</v>
      </c>
      <c r="F233" s="434" t="s">
        <v>18652</v>
      </c>
      <c r="G233" s="433"/>
      <c r="H233" s="433" t="s">
        <v>2222</v>
      </c>
      <c r="I233" s="433" t="s">
        <v>30</v>
      </c>
      <c r="J233" s="433"/>
      <c r="K233" s="433" t="s">
        <v>30</v>
      </c>
      <c r="L233" s="433">
        <v>32.0</v>
      </c>
      <c r="M233" s="433"/>
      <c r="N233" s="433" t="s">
        <v>18394</v>
      </c>
      <c r="O233" s="433" t="s">
        <v>18066</v>
      </c>
      <c r="P233" s="433">
        <v>1993.0</v>
      </c>
      <c r="Q233" s="433" t="s">
        <v>17956</v>
      </c>
      <c r="R233" s="433">
        <v>1.0</v>
      </c>
      <c r="S233" s="826"/>
      <c r="T233" s="3"/>
      <c r="U233" s="3"/>
      <c r="V233" s="3"/>
      <c r="W233" s="3"/>
      <c r="X233" s="3"/>
      <c r="Y233" s="3"/>
      <c r="Z233" s="3"/>
    </row>
    <row r="234" ht="15.75" customHeight="1">
      <c r="C234" s="449">
        <v>182.0</v>
      </c>
      <c r="D234" s="433" t="s">
        <v>31</v>
      </c>
      <c r="E234" s="433" t="s">
        <v>18392</v>
      </c>
      <c r="F234" s="434" t="s">
        <v>18653</v>
      </c>
      <c r="G234" s="433"/>
      <c r="H234" s="433" t="s">
        <v>2222</v>
      </c>
      <c r="I234" s="433" t="s">
        <v>30</v>
      </c>
      <c r="J234" s="433"/>
      <c r="K234" s="433" t="s">
        <v>30</v>
      </c>
      <c r="L234" s="433">
        <v>32.0</v>
      </c>
      <c r="M234" s="433"/>
      <c r="N234" s="433" t="s">
        <v>18394</v>
      </c>
      <c r="O234" s="433" t="s">
        <v>18066</v>
      </c>
      <c r="P234" s="433">
        <v>1993.0</v>
      </c>
      <c r="Q234" s="433" t="s">
        <v>17956</v>
      </c>
      <c r="R234" s="433">
        <v>1.0</v>
      </c>
      <c r="S234" s="826"/>
      <c r="T234" s="3"/>
      <c r="U234" s="3"/>
      <c r="V234" s="3"/>
      <c r="W234" s="3"/>
      <c r="X234" s="3"/>
      <c r="Y234" s="3"/>
      <c r="Z234" s="3"/>
    </row>
    <row r="235" ht="15.75" customHeight="1">
      <c r="C235" s="449">
        <v>183.0</v>
      </c>
      <c r="D235" s="433" t="s">
        <v>31</v>
      </c>
      <c r="E235" s="433" t="s">
        <v>31</v>
      </c>
      <c r="F235" s="434" t="s">
        <v>18654</v>
      </c>
      <c r="G235" s="433"/>
      <c r="H235" s="433" t="s">
        <v>2222</v>
      </c>
      <c r="I235" s="433" t="s">
        <v>30</v>
      </c>
      <c r="J235" s="433"/>
      <c r="K235" s="433" t="s">
        <v>30</v>
      </c>
      <c r="L235" s="433">
        <v>32.0</v>
      </c>
      <c r="M235" s="433"/>
      <c r="N235" s="433" t="s">
        <v>18394</v>
      </c>
      <c r="O235" s="433" t="s">
        <v>18066</v>
      </c>
      <c r="P235" s="433">
        <v>1993.0</v>
      </c>
      <c r="Q235" s="433" t="s">
        <v>17956</v>
      </c>
      <c r="R235" s="433">
        <v>1.0</v>
      </c>
      <c r="S235" s="826"/>
      <c r="T235" s="3"/>
      <c r="U235" s="3"/>
      <c r="V235" s="3"/>
      <c r="W235" s="3"/>
      <c r="X235" s="3"/>
      <c r="Y235" s="3"/>
      <c r="Z235" s="3"/>
    </row>
    <row r="236" ht="15.75" customHeight="1">
      <c r="C236" s="449">
        <v>184.0</v>
      </c>
      <c r="D236" s="433" t="s">
        <v>31</v>
      </c>
      <c r="E236" s="433" t="s">
        <v>18392</v>
      </c>
      <c r="F236" s="434" t="s">
        <v>18655</v>
      </c>
      <c r="G236" s="433"/>
      <c r="H236" s="433" t="s">
        <v>2222</v>
      </c>
      <c r="I236" s="433" t="s">
        <v>30</v>
      </c>
      <c r="J236" s="433"/>
      <c r="K236" s="433" t="s">
        <v>30</v>
      </c>
      <c r="L236" s="433">
        <v>32.0</v>
      </c>
      <c r="M236" s="433"/>
      <c r="N236" s="433" t="s">
        <v>18394</v>
      </c>
      <c r="O236" s="433" t="s">
        <v>18066</v>
      </c>
      <c r="P236" s="433">
        <v>1994.0</v>
      </c>
      <c r="Q236" s="433" t="s">
        <v>17956</v>
      </c>
      <c r="R236" s="433">
        <v>2.0</v>
      </c>
      <c r="S236" s="826"/>
      <c r="T236" s="3"/>
      <c r="U236" s="3"/>
      <c r="V236" s="3"/>
      <c r="W236" s="3"/>
      <c r="X236" s="3"/>
      <c r="Y236" s="3"/>
      <c r="Z236" s="3"/>
    </row>
    <row r="237" ht="15.75" customHeight="1">
      <c r="C237" s="449">
        <v>185.0</v>
      </c>
      <c r="D237" s="433" t="s">
        <v>31</v>
      </c>
      <c r="E237" s="433" t="s">
        <v>31</v>
      </c>
      <c r="F237" s="434" t="s">
        <v>18656</v>
      </c>
      <c r="G237" s="433"/>
      <c r="H237" s="433" t="s">
        <v>2222</v>
      </c>
      <c r="I237" s="433" t="s">
        <v>30</v>
      </c>
      <c r="J237" s="433"/>
      <c r="K237" s="433" t="s">
        <v>30</v>
      </c>
      <c r="L237" s="433">
        <v>32.0</v>
      </c>
      <c r="M237" s="433"/>
      <c r="N237" s="433" t="s">
        <v>18394</v>
      </c>
      <c r="O237" s="433" t="s">
        <v>18066</v>
      </c>
      <c r="P237" s="433">
        <v>1995.0</v>
      </c>
      <c r="Q237" s="433" t="s">
        <v>17956</v>
      </c>
      <c r="R237" s="433">
        <v>1.0</v>
      </c>
      <c r="S237" s="826"/>
      <c r="T237" s="3"/>
      <c r="U237" s="3"/>
      <c r="V237" s="3"/>
      <c r="W237" s="3"/>
      <c r="X237" s="3"/>
      <c r="Y237" s="3"/>
      <c r="Z237" s="3"/>
    </row>
    <row r="238" ht="15.75" customHeight="1">
      <c r="C238" s="449">
        <v>186.0</v>
      </c>
      <c r="D238" s="433" t="s">
        <v>18657</v>
      </c>
      <c r="E238" s="433" t="s">
        <v>18658</v>
      </c>
      <c r="F238" s="434" t="s">
        <v>18659</v>
      </c>
      <c r="G238" s="433"/>
      <c r="H238" s="433" t="s">
        <v>2222</v>
      </c>
      <c r="I238" s="433" t="s">
        <v>30</v>
      </c>
      <c r="J238" s="433"/>
      <c r="K238" s="433" t="s">
        <v>0</v>
      </c>
      <c r="L238" s="433">
        <v>32.0</v>
      </c>
      <c r="M238" s="433"/>
      <c r="N238" s="433" t="s">
        <v>13368</v>
      </c>
      <c r="O238" s="433" t="s">
        <v>2463</v>
      </c>
      <c r="P238" s="433">
        <v>2003.0</v>
      </c>
      <c r="Q238" s="433" t="s">
        <v>17956</v>
      </c>
      <c r="R238" s="433">
        <v>1.0</v>
      </c>
      <c r="S238" s="826"/>
      <c r="T238" s="3"/>
      <c r="U238" s="3"/>
      <c r="V238" s="3"/>
      <c r="W238" s="3"/>
      <c r="X238" s="3"/>
      <c r="Y238" s="3"/>
      <c r="Z238" s="3"/>
    </row>
    <row r="239" ht="15.75" customHeight="1">
      <c r="C239" s="449">
        <v>187.0</v>
      </c>
      <c r="D239" s="433" t="s">
        <v>18660</v>
      </c>
      <c r="E239" s="433" t="s">
        <v>18661</v>
      </c>
      <c r="F239" s="434" t="s">
        <v>18662</v>
      </c>
      <c r="G239" s="433"/>
      <c r="H239" s="433" t="s">
        <v>2222</v>
      </c>
      <c r="I239" s="433" t="s">
        <v>30</v>
      </c>
      <c r="J239" s="433"/>
      <c r="K239" s="433" t="s">
        <v>30</v>
      </c>
      <c r="L239" s="433">
        <v>32.0</v>
      </c>
      <c r="M239" s="433"/>
      <c r="N239" s="433" t="s">
        <v>13368</v>
      </c>
      <c r="O239" s="433" t="s">
        <v>2463</v>
      </c>
      <c r="P239" s="433">
        <v>2003.0</v>
      </c>
      <c r="Q239" s="433" t="s">
        <v>17956</v>
      </c>
      <c r="R239" s="433">
        <v>1.0</v>
      </c>
      <c r="S239" s="826"/>
      <c r="T239" s="3"/>
      <c r="U239" s="3"/>
      <c r="V239" s="3"/>
      <c r="W239" s="3"/>
      <c r="X239" s="3"/>
      <c r="Y239" s="3"/>
      <c r="Z239" s="3"/>
    </row>
    <row r="240" ht="15.75" customHeight="1">
      <c r="C240" s="449">
        <v>188.0</v>
      </c>
      <c r="D240" s="433" t="s">
        <v>18663</v>
      </c>
      <c r="E240" s="433" t="s">
        <v>18664</v>
      </c>
      <c r="F240" s="434" t="s">
        <v>18665</v>
      </c>
      <c r="G240" s="433"/>
      <c r="H240" s="433" t="s">
        <v>2222</v>
      </c>
      <c r="I240" s="433" t="s">
        <v>30</v>
      </c>
      <c r="J240" s="433"/>
      <c r="K240" s="433" t="s">
        <v>30</v>
      </c>
      <c r="L240" s="433">
        <v>32.0</v>
      </c>
      <c r="M240" s="433"/>
      <c r="N240" s="433" t="s">
        <v>13368</v>
      </c>
      <c r="O240" s="433" t="s">
        <v>2463</v>
      </c>
      <c r="P240" s="433">
        <v>2003.0</v>
      </c>
      <c r="Q240" s="433" t="s">
        <v>17956</v>
      </c>
      <c r="R240" s="433">
        <v>1.0</v>
      </c>
      <c r="S240" s="826"/>
      <c r="T240" s="3"/>
      <c r="U240" s="3"/>
      <c r="V240" s="3"/>
      <c r="W240" s="3"/>
      <c r="X240" s="3"/>
      <c r="Y240" s="3"/>
      <c r="Z240" s="3"/>
    </row>
    <row r="241" ht="15.75" customHeight="1">
      <c r="C241" s="449">
        <v>189.0</v>
      </c>
      <c r="D241" s="433" t="s">
        <v>31</v>
      </c>
      <c r="E241" s="433" t="s">
        <v>18392</v>
      </c>
      <c r="F241" s="434" t="s">
        <v>18666</v>
      </c>
      <c r="G241" s="433"/>
      <c r="H241" s="433" t="s">
        <v>2222</v>
      </c>
      <c r="I241" s="433" t="s">
        <v>30</v>
      </c>
      <c r="J241" s="433"/>
      <c r="K241" s="433" t="s">
        <v>30</v>
      </c>
      <c r="L241" s="433">
        <v>32.0</v>
      </c>
      <c r="M241" s="433"/>
      <c r="N241" s="433" t="s">
        <v>18394</v>
      </c>
      <c r="O241" s="433" t="s">
        <v>18066</v>
      </c>
      <c r="P241" s="433">
        <v>1993.0</v>
      </c>
      <c r="Q241" s="433" t="s">
        <v>17956</v>
      </c>
      <c r="R241" s="433">
        <v>1.0</v>
      </c>
      <c r="S241" s="826"/>
      <c r="T241" s="3"/>
      <c r="U241" s="3"/>
      <c r="V241" s="3"/>
      <c r="W241" s="3"/>
      <c r="X241" s="3"/>
      <c r="Y241" s="3"/>
      <c r="Z241" s="3"/>
    </row>
    <row r="242" ht="15.75" customHeight="1">
      <c r="C242" s="449">
        <v>190.0</v>
      </c>
      <c r="D242" s="433" t="s">
        <v>18667</v>
      </c>
      <c r="E242" s="433" t="s">
        <v>18664</v>
      </c>
      <c r="F242" s="434" t="s">
        <v>18668</v>
      </c>
      <c r="G242" s="433"/>
      <c r="H242" s="433" t="s">
        <v>2222</v>
      </c>
      <c r="I242" s="433" t="s">
        <v>30</v>
      </c>
      <c r="J242" s="433"/>
      <c r="K242" s="433" t="s">
        <v>30</v>
      </c>
      <c r="L242" s="433">
        <v>32.0</v>
      </c>
      <c r="M242" s="433"/>
      <c r="N242" s="433" t="s">
        <v>13368</v>
      </c>
      <c r="O242" s="433" t="s">
        <v>2463</v>
      </c>
      <c r="P242" s="433">
        <v>2003.0</v>
      </c>
      <c r="Q242" s="433" t="s">
        <v>17956</v>
      </c>
      <c r="R242" s="433">
        <v>1.0</v>
      </c>
      <c r="S242" s="826"/>
      <c r="T242" s="3"/>
      <c r="U242" s="3"/>
      <c r="V242" s="3"/>
      <c r="W242" s="3"/>
      <c r="X242" s="3"/>
      <c r="Y242" s="3"/>
      <c r="Z242" s="3"/>
    </row>
    <row r="243" ht="15.75" customHeight="1">
      <c r="C243" s="449">
        <v>191.0</v>
      </c>
      <c r="D243" s="433" t="s">
        <v>18669</v>
      </c>
      <c r="E243" s="433" t="s">
        <v>18658</v>
      </c>
      <c r="F243" s="434" t="s">
        <v>18670</v>
      </c>
      <c r="G243" s="433"/>
      <c r="H243" s="433" t="s">
        <v>2222</v>
      </c>
      <c r="I243" s="433" t="s">
        <v>30</v>
      </c>
      <c r="J243" s="433"/>
      <c r="K243" s="433" t="s">
        <v>30</v>
      </c>
      <c r="L243" s="433">
        <v>32.0</v>
      </c>
      <c r="M243" s="433"/>
      <c r="N243" s="433" t="s">
        <v>13368</v>
      </c>
      <c r="O243" s="433" t="s">
        <v>2463</v>
      </c>
      <c r="P243" s="433">
        <v>2003.0</v>
      </c>
      <c r="Q243" s="433" t="s">
        <v>17956</v>
      </c>
      <c r="R243" s="433">
        <v>1.0</v>
      </c>
      <c r="S243" s="826"/>
      <c r="T243" s="3"/>
      <c r="U243" s="3"/>
      <c r="V243" s="3"/>
      <c r="W243" s="3"/>
      <c r="X243" s="3"/>
      <c r="Y243" s="3"/>
      <c r="Z243" s="3"/>
    </row>
    <row r="244" ht="15.75" customHeight="1">
      <c r="C244" s="449">
        <v>192.0</v>
      </c>
      <c r="D244" s="433" t="s">
        <v>18671</v>
      </c>
      <c r="E244" s="433" t="s">
        <v>18672</v>
      </c>
      <c r="F244" s="434" t="s">
        <v>18673</v>
      </c>
      <c r="G244" s="433"/>
      <c r="H244" s="433" t="s">
        <v>2222</v>
      </c>
      <c r="I244" s="433" t="s">
        <v>30</v>
      </c>
      <c r="J244" s="433"/>
      <c r="K244" s="433" t="s">
        <v>18103</v>
      </c>
      <c r="L244" s="433">
        <v>30.0</v>
      </c>
      <c r="M244" s="433"/>
      <c r="N244" s="433" t="s">
        <v>18070</v>
      </c>
      <c r="O244" s="433" t="s">
        <v>18070</v>
      </c>
      <c r="P244" s="433">
        <v>2001.0</v>
      </c>
      <c r="Q244" s="433" t="s">
        <v>17956</v>
      </c>
      <c r="R244" s="433">
        <v>1.0</v>
      </c>
      <c r="S244" s="826"/>
      <c r="T244" s="3"/>
      <c r="U244" s="3"/>
      <c r="V244" s="3"/>
      <c r="W244" s="3"/>
      <c r="X244" s="3"/>
      <c r="Y244" s="3"/>
      <c r="Z244" s="3"/>
    </row>
    <row r="245" ht="15.75" customHeight="1">
      <c r="C245" s="449">
        <v>193.0</v>
      </c>
      <c r="D245" s="433" t="s">
        <v>18674</v>
      </c>
      <c r="E245" s="433" t="s">
        <v>18675</v>
      </c>
      <c r="F245" s="434" t="s">
        <v>18676</v>
      </c>
      <c r="G245" s="433"/>
      <c r="H245" s="433" t="s">
        <v>2222</v>
      </c>
      <c r="I245" s="433" t="s">
        <v>30</v>
      </c>
      <c r="J245" s="433"/>
      <c r="K245" s="433" t="s">
        <v>30</v>
      </c>
      <c r="L245" s="433">
        <v>117.0</v>
      </c>
      <c r="M245" s="433"/>
      <c r="N245" s="433" t="s">
        <v>18677</v>
      </c>
      <c r="O245" s="433" t="s">
        <v>7060</v>
      </c>
      <c r="P245" s="433">
        <v>2003.0</v>
      </c>
      <c r="Q245" s="433" t="s">
        <v>17956</v>
      </c>
      <c r="R245" s="433">
        <v>1.0</v>
      </c>
      <c r="S245" s="826"/>
      <c r="T245" s="3"/>
      <c r="U245" s="3"/>
      <c r="V245" s="3"/>
      <c r="W245" s="3"/>
      <c r="X245" s="3"/>
      <c r="Y245" s="3"/>
      <c r="Z245" s="3"/>
    </row>
    <row r="246" ht="15.75" customHeight="1">
      <c r="C246" s="449">
        <v>194.0</v>
      </c>
      <c r="D246" s="433" t="s">
        <v>18678</v>
      </c>
      <c r="E246" s="433" t="s">
        <v>18679</v>
      </c>
      <c r="F246" s="434" t="s">
        <v>18680</v>
      </c>
      <c r="G246" s="433"/>
      <c r="H246" s="433" t="s">
        <v>2222</v>
      </c>
      <c r="I246" s="433" t="s">
        <v>30</v>
      </c>
      <c r="J246" s="433"/>
      <c r="K246" s="433" t="s">
        <v>30</v>
      </c>
      <c r="L246" s="433">
        <v>368.0</v>
      </c>
      <c r="M246" s="433"/>
      <c r="N246" s="433" t="s">
        <v>18681</v>
      </c>
      <c r="O246" s="433" t="s">
        <v>11040</v>
      </c>
      <c r="P246" s="433">
        <v>2012.0</v>
      </c>
      <c r="Q246" s="433" t="s">
        <v>17956</v>
      </c>
      <c r="R246" s="433">
        <v>1.0</v>
      </c>
      <c r="S246" s="826"/>
      <c r="T246" s="3"/>
      <c r="U246" s="3"/>
      <c r="V246" s="3"/>
      <c r="W246" s="3"/>
      <c r="X246" s="3"/>
      <c r="Y246" s="3"/>
      <c r="Z246" s="3"/>
    </row>
    <row r="247" ht="15.75" customHeight="1">
      <c r="C247" s="449">
        <v>195.0</v>
      </c>
      <c r="D247" s="433" t="s">
        <v>18682</v>
      </c>
      <c r="E247" s="433" t="s">
        <v>18683</v>
      </c>
      <c r="F247" s="434" t="s">
        <v>18684</v>
      </c>
      <c r="G247" s="433"/>
      <c r="H247" s="433" t="s">
        <v>2222</v>
      </c>
      <c r="I247" s="433" t="s">
        <v>30</v>
      </c>
      <c r="J247" s="433"/>
      <c r="K247" s="433" t="s">
        <v>30</v>
      </c>
      <c r="L247" s="433">
        <v>331.0</v>
      </c>
      <c r="M247" s="433"/>
      <c r="N247" s="433" t="s">
        <v>8156</v>
      </c>
      <c r="O247" s="433" t="s">
        <v>11040</v>
      </c>
      <c r="P247" s="433">
        <v>2011.0</v>
      </c>
      <c r="Q247" s="433" t="s">
        <v>17956</v>
      </c>
      <c r="R247" s="433">
        <v>1.0</v>
      </c>
      <c r="S247" s="826"/>
      <c r="T247" s="3"/>
      <c r="U247" s="3"/>
      <c r="V247" s="3"/>
      <c r="W247" s="3"/>
      <c r="X247" s="3"/>
      <c r="Y247" s="3"/>
      <c r="Z247" s="3"/>
    </row>
    <row r="248" ht="15.75" customHeight="1">
      <c r="C248" s="449">
        <v>196.0</v>
      </c>
      <c r="D248" s="433" t="s">
        <v>18685</v>
      </c>
      <c r="E248" s="433" t="s">
        <v>18686</v>
      </c>
      <c r="F248" s="434" t="s">
        <v>18687</v>
      </c>
      <c r="G248" s="433"/>
      <c r="H248" s="433" t="s">
        <v>2222</v>
      </c>
      <c r="I248" s="433" t="s">
        <v>30</v>
      </c>
      <c r="J248" s="433"/>
      <c r="K248" s="433" t="s">
        <v>30</v>
      </c>
      <c r="L248" s="433">
        <v>90.0</v>
      </c>
      <c r="M248" s="433"/>
      <c r="N248" s="433" t="s">
        <v>18688</v>
      </c>
      <c r="O248" s="433" t="s">
        <v>151</v>
      </c>
      <c r="P248" s="433">
        <v>1991.0</v>
      </c>
      <c r="Q248" s="433" t="s">
        <v>17956</v>
      </c>
      <c r="R248" s="433">
        <v>1.0</v>
      </c>
      <c r="S248" s="826"/>
      <c r="T248" s="3"/>
      <c r="U248" s="3"/>
      <c r="V248" s="3"/>
      <c r="W248" s="3"/>
      <c r="X248" s="3"/>
      <c r="Y248" s="3"/>
      <c r="Z248" s="3"/>
    </row>
    <row r="249" ht="15.75" customHeight="1">
      <c r="C249" s="449">
        <v>197.0</v>
      </c>
      <c r="D249" s="433" t="s">
        <v>18689</v>
      </c>
      <c r="E249" s="433" t="s">
        <v>18690</v>
      </c>
      <c r="F249" s="434" t="s">
        <v>18691</v>
      </c>
      <c r="G249" s="433"/>
      <c r="H249" s="433" t="s">
        <v>2222</v>
      </c>
      <c r="I249" s="433" t="s">
        <v>30</v>
      </c>
      <c r="J249" s="433"/>
      <c r="K249" s="433" t="s">
        <v>30</v>
      </c>
      <c r="L249" s="433">
        <v>24.0</v>
      </c>
      <c r="M249" s="433"/>
      <c r="N249" s="433" t="s">
        <v>18692</v>
      </c>
      <c r="O249" s="433" t="s">
        <v>4166</v>
      </c>
      <c r="P249" s="433">
        <v>2011.0</v>
      </c>
      <c r="Q249" s="433" t="s">
        <v>17956</v>
      </c>
      <c r="R249" s="433">
        <v>1.0</v>
      </c>
      <c r="S249" s="826"/>
      <c r="T249" s="3"/>
      <c r="U249" s="3"/>
      <c r="V249" s="3"/>
      <c r="W249" s="3"/>
      <c r="X249" s="3"/>
      <c r="Y249" s="3"/>
      <c r="Z249" s="3"/>
    </row>
    <row r="250" ht="15.75" customHeight="1">
      <c r="C250" s="449">
        <v>198.0</v>
      </c>
      <c r="D250" s="433" t="s">
        <v>18693</v>
      </c>
      <c r="E250" s="433" t="s">
        <v>18694</v>
      </c>
      <c r="F250" s="434" t="s">
        <v>18695</v>
      </c>
      <c r="G250" s="433"/>
      <c r="H250" s="433" t="s">
        <v>2222</v>
      </c>
      <c r="I250" s="433" t="s">
        <v>30</v>
      </c>
      <c r="J250" s="433"/>
      <c r="K250" s="433" t="s">
        <v>18103</v>
      </c>
      <c r="L250" s="433">
        <v>24.0</v>
      </c>
      <c r="M250" s="433"/>
      <c r="N250" s="433" t="s">
        <v>18696</v>
      </c>
      <c r="O250" s="433" t="s">
        <v>18697</v>
      </c>
      <c r="P250" s="433">
        <v>1999.0</v>
      </c>
      <c r="Q250" s="433" t="s">
        <v>17956</v>
      </c>
      <c r="R250" s="433">
        <v>1.0</v>
      </c>
      <c r="S250" s="826"/>
      <c r="T250" s="3"/>
      <c r="U250" s="3"/>
      <c r="V250" s="3"/>
      <c r="W250" s="3"/>
      <c r="X250" s="3"/>
      <c r="Y250" s="3"/>
      <c r="Z250" s="3"/>
    </row>
    <row r="251" ht="15.75" customHeight="1">
      <c r="C251" s="449">
        <v>199.0</v>
      </c>
      <c r="D251" s="433" t="s">
        <v>31</v>
      </c>
      <c r="E251" s="433" t="s">
        <v>18698</v>
      </c>
      <c r="F251" s="434" t="s">
        <v>18699</v>
      </c>
      <c r="G251" s="433"/>
      <c r="H251" s="433" t="s">
        <v>2222</v>
      </c>
      <c r="I251" s="433" t="s">
        <v>30</v>
      </c>
      <c r="J251" s="433"/>
      <c r="K251" s="433" t="s">
        <v>18103</v>
      </c>
      <c r="L251" s="433">
        <v>24.0</v>
      </c>
      <c r="M251" s="433"/>
      <c r="N251" s="433" t="s">
        <v>18696</v>
      </c>
      <c r="O251" s="433" t="s">
        <v>18697</v>
      </c>
      <c r="P251" s="433">
        <v>2000.0</v>
      </c>
      <c r="Q251" s="433" t="s">
        <v>17956</v>
      </c>
      <c r="R251" s="433">
        <v>1.0</v>
      </c>
      <c r="S251" s="826"/>
      <c r="T251" s="3"/>
      <c r="U251" s="3"/>
      <c r="V251" s="3"/>
      <c r="W251" s="3"/>
      <c r="X251" s="3"/>
      <c r="Y251" s="3"/>
      <c r="Z251" s="3"/>
    </row>
    <row r="252" ht="15.75" customHeight="1">
      <c r="C252" s="449">
        <v>200.0</v>
      </c>
      <c r="D252" s="433" t="s">
        <v>18700</v>
      </c>
      <c r="E252" s="433" t="s">
        <v>18701</v>
      </c>
      <c r="F252" s="434" t="s">
        <v>18702</v>
      </c>
      <c r="G252" s="433"/>
      <c r="H252" s="433" t="s">
        <v>2222</v>
      </c>
      <c r="I252" s="433" t="s">
        <v>30</v>
      </c>
      <c r="J252" s="433"/>
      <c r="K252" s="433" t="s">
        <v>18103</v>
      </c>
      <c r="L252" s="433">
        <v>24.0</v>
      </c>
      <c r="M252" s="433"/>
      <c r="N252" s="433" t="s">
        <v>18703</v>
      </c>
      <c r="O252" s="433" t="s">
        <v>18697</v>
      </c>
      <c r="P252" s="433">
        <v>2000.0</v>
      </c>
      <c r="Q252" s="433" t="s">
        <v>17956</v>
      </c>
      <c r="R252" s="433">
        <v>1.0</v>
      </c>
      <c r="S252" s="826"/>
      <c r="T252" s="3"/>
      <c r="U252" s="3"/>
      <c r="V252" s="3"/>
      <c r="W252" s="3"/>
      <c r="X252" s="3"/>
      <c r="Y252" s="3"/>
      <c r="Z252" s="3"/>
    </row>
    <row r="253" ht="15.75" customHeight="1">
      <c r="C253" s="449">
        <v>201.0</v>
      </c>
      <c r="D253" s="433" t="s">
        <v>18704</v>
      </c>
      <c r="E253" s="433" t="s">
        <v>18705</v>
      </c>
      <c r="F253" s="434" t="s">
        <v>18706</v>
      </c>
      <c r="G253" s="433"/>
      <c r="H253" s="433" t="s">
        <v>2222</v>
      </c>
      <c r="I253" s="433" t="s">
        <v>30</v>
      </c>
      <c r="J253" s="433"/>
      <c r="K253" s="433" t="s">
        <v>18103</v>
      </c>
      <c r="L253" s="433">
        <v>34.0</v>
      </c>
      <c r="M253" s="433"/>
      <c r="N253" s="433" t="s">
        <v>18336</v>
      </c>
      <c r="O253" s="433" t="s">
        <v>11040</v>
      </c>
      <c r="P253" s="433">
        <v>2011.0</v>
      </c>
      <c r="Q253" s="433" t="s">
        <v>17956</v>
      </c>
      <c r="R253" s="433">
        <v>1.0</v>
      </c>
      <c r="S253" s="826"/>
      <c r="T253" s="3"/>
      <c r="U253" s="3"/>
      <c r="V253" s="3"/>
      <c r="W253" s="3"/>
      <c r="X253" s="3"/>
      <c r="Y253" s="3"/>
      <c r="Z253" s="3"/>
    </row>
    <row r="254" ht="15.75" customHeight="1">
      <c r="C254" s="449">
        <v>202.0</v>
      </c>
      <c r="D254" s="433" t="s">
        <v>18707</v>
      </c>
      <c r="E254" s="433" t="s">
        <v>18341</v>
      </c>
      <c r="F254" s="434" t="s">
        <v>18708</v>
      </c>
      <c r="G254" s="433"/>
      <c r="H254" s="433" t="s">
        <v>2222</v>
      </c>
      <c r="I254" s="433" t="s">
        <v>30</v>
      </c>
      <c r="J254" s="433"/>
      <c r="K254" s="433" t="s">
        <v>18103</v>
      </c>
      <c r="L254" s="433">
        <v>34.0</v>
      </c>
      <c r="M254" s="433"/>
      <c r="N254" s="433" t="s">
        <v>18336</v>
      </c>
      <c r="O254" s="433" t="s">
        <v>11040</v>
      </c>
      <c r="P254" s="433">
        <v>2010.0</v>
      </c>
      <c r="Q254" s="433" t="s">
        <v>17956</v>
      </c>
      <c r="R254" s="433">
        <v>1.0</v>
      </c>
      <c r="S254" s="826"/>
      <c r="T254" s="3"/>
      <c r="U254" s="3"/>
      <c r="V254" s="3"/>
      <c r="W254" s="3"/>
      <c r="X254" s="3"/>
      <c r="Y254" s="3"/>
      <c r="Z254" s="3"/>
    </row>
    <row r="255" ht="15.75" customHeight="1">
      <c r="C255" s="449">
        <v>203.0</v>
      </c>
      <c r="D255" s="433" t="s">
        <v>18709</v>
      </c>
      <c r="E255" s="433" t="s">
        <v>18710</v>
      </c>
      <c r="F255" s="434" t="s">
        <v>18711</v>
      </c>
      <c r="G255" s="433"/>
      <c r="H255" s="433" t="s">
        <v>2222</v>
      </c>
      <c r="I255" s="433" t="s">
        <v>30</v>
      </c>
      <c r="J255" s="433"/>
      <c r="K255" s="433" t="s">
        <v>18103</v>
      </c>
      <c r="L255" s="433">
        <v>34.0</v>
      </c>
      <c r="M255" s="433"/>
      <c r="N255" s="433" t="s">
        <v>18336</v>
      </c>
      <c r="O255" s="433" t="s">
        <v>151</v>
      </c>
      <c r="P255" s="433">
        <v>2010.0</v>
      </c>
      <c r="Q255" s="433" t="s">
        <v>17956</v>
      </c>
      <c r="R255" s="433">
        <v>1.0</v>
      </c>
      <c r="S255" s="826"/>
      <c r="T255" s="3"/>
      <c r="U255" s="3"/>
      <c r="V255" s="3"/>
      <c r="W255" s="3"/>
      <c r="X255" s="3"/>
      <c r="Y255" s="3"/>
      <c r="Z255" s="3"/>
    </row>
    <row r="256" ht="15.75" customHeight="1">
      <c r="C256" s="449">
        <v>204.0</v>
      </c>
      <c r="D256" s="433" t="s">
        <v>18712</v>
      </c>
      <c r="E256" s="433" t="s">
        <v>18713</v>
      </c>
      <c r="F256" s="434" t="s">
        <v>0</v>
      </c>
      <c r="G256" s="433"/>
      <c r="H256" s="433" t="s">
        <v>2222</v>
      </c>
      <c r="I256" s="433" t="s">
        <v>30</v>
      </c>
      <c r="J256" s="433"/>
      <c r="K256" s="433" t="s">
        <v>30</v>
      </c>
      <c r="L256" s="433">
        <v>28.0</v>
      </c>
      <c r="M256" s="433"/>
      <c r="N256" s="433" t="s">
        <v>18714</v>
      </c>
      <c r="O256" s="433" t="s">
        <v>18715</v>
      </c>
      <c r="P256" s="433">
        <v>2001.0</v>
      </c>
      <c r="Q256" s="433" t="s">
        <v>17956</v>
      </c>
      <c r="R256" s="433">
        <v>1.0</v>
      </c>
      <c r="S256" s="826"/>
      <c r="T256" s="3"/>
      <c r="U256" s="3"/>
      <c r="V256" s="3"/>
      <c r="W256" s="3"/>
      <c r="X256" s="3"/>
      <c r="Y256" s="3"/>
      <c r="Z256" s="3"/>
    </row>
    <row r="257" ht="15.75" customHeight="1">
      <c r="C257" s="449">
        <v>205.0</v>
      </c>
      <c r="D257" s="433" t="s">
        <v>18716</v>
      </c>
      <c r="E257" s="433" t="s">
        <v>18717</v>
      </c>
      <c r="F257" s="434" t="s">
        <v>18718</v>
      </c>
      <c r="G257" s="433"/>
      <c r="H257" s="433" t="s">
        <v>2222</v>
      </c>
      <c r="I257" s="433" t="s">
        <v>30</v>
      </c>
      <c r="J257" s="433"/>
      <c r="K257" s="433" t="s">
        <v>30</v>
      </c>
      <c r="L257" s="433">
        <v>32.0</v>
      </c>
      <c r="M257" s="433"/>
      <c r="N257" s="433" t="s">
        <v>150</v>
      </c>
      <c r="O257" s="433" t="s">
        <v>151</v>
      </c>
      <c r="P257" s="433">
        <v>1993.0</v>
      </c>
      <c r="Q257" s="433" t="s">
        <v>17956</v>
      </c>
      <c r="R257" s="433">
        <v>1.0</v>
      </c>
      <c r="S257" s="826"/>
      <c r="T257" s="3"/>
      <c r="U257" s="3"/>
      <c r="V257" s="3"/>
      <c r="W257" s="3"/>
      <c r="X257" s="3"/>
      <c r="Y257" s="3"/>
      <c r="Z257" s="3"/>
    </row>
    <row r="258" ht="15.75" customHeight="1">
      <c r="C258" s="449">
        <v>206.0</v>
      </c>
      <c r="D258" s="433" t="s">
        <v>18719</v>
      </c>
      <c r="E258" s="433" t="s">
        <v>7593</v>
      </c>
      <c r="F258" s="434" t="s">
        <v>18720</v>
      </c>
      <c r="G258" s="433"/>
      <c r="H258" s="433" t="s">
        <v>2222</v>
      </c>
      <c r="I258" s="433" t="s">
        <v>30</v>
      </c>
      <c r="J258" s="433"/>
      <c r="K258" s="433" t="s">
        <v>30</v>
      </c>
      <c r="L258" s="433">
        <v>51.0</v>
      </c>
      <c r="M258" s="433"/>
      <c r="N258" s="433" t="s">
        <v>7595</v>
      </c>
      <c r="O258" s="433" t="s">
        <v>4166</v>
      </c>
      <c r="P258" s="433">
        <v>2008.0</v>
      </c>
      <c r="Q258" s="433" t="s">
        <v>17956</v>
      </c>
      <c r="R258" s="433">
        <v>1.0</v>
      </c>
      <c r="S258" s="826"/>
      <c r="T258" s="3"/>
      <c r="U258" s="3"/>
      <c r="V258" s="3"/>
      <c r="W258" s="3"/>
      <c r="X258" s="3"/>
      <c r="Y258" s="3"/>
      <c r="Z258" s="3"/>
    </row>
    <row r="259" ht="15.75" customHeight="1">
      <c r="C259" s="449">
        <v>207.0</v>
      </c>
      <c r="D259" s="433" t="s">
        <v>18721</v>
      </c>
      <c r="E259" s="433" t="s">
        <v>7593</v>
      </c>
      <c r="F259" s="434" t="s">
        <v>18722</v>
      </c>
      <c r="G259" s="433"/>
      <c r="H259" s="433" t="s">
        <v>2222</v>
      </c>
      <c r="I259" s="433" t="s">
        <v>30</v>
      </c>
      <c r="J259" s="433"/>
      <c r="K259" s="433" t="s">
        <v>30</v>
      </c>
      <c r="L259" s="433">
        <v>49.0</v>
      </c>
      <c r="M259" s="433"/>
      <c r="N259" s="433" t="s">
        <v>7595</v>
      </c>
      <c r="O259" s="433" t="s">
        <v>4166</v>
      </c>
      <c r="P259" s="433">
        <v>2008.0</v>
      </c>
      <c r="Q259" s="433" t="s">
        <v>17956</v>
      </c>
      <c r="R259" s="433">
        <v>1.0</v>
      </c>
      <c r="S259" s="826"/>
      <c r="T259" s="3"/>
      <c r="U259" s="3"/>
      <c r="V259" s="3"/>
      <c r="W259" s="3"/>
      <c r="X259" s="3"/>
      <c r="Y259" s="3"/>
      <c r="Z259" s="3"/>
    </row>
    <row r="260" ht="15.75" customHeight="1">
      <c r="C260" s="449">
        <v>208.0</v>
      </c>
      <c r="D260" s="433" t="s">
        <v>8150</v>
      </c>
      <c r="E260" s="433" t="s">
        <v>31</v>
      </c>
      <c r="F260" s="434" t="s">
        <v>8155</v>
      </c>
      <c r="G260" s="433"/>
      <c r="H260" s="433" t="s">
        <v>2222</v>
      </c>
      <c r="I260" s="577" t="s">
        <v>37</v>
      </c>
      <c r="J260" s="433"/>
      <c r="K260" s="433" t="s">
        <v>38</v>
      </c>
      <c r="L260" s="433">
        <v>134.0</v>
      </c>
      <c r="M260" s="433"/>
      <c r="N260" s="433" t="s">
        <v>8156</v>
      </c>
      <c r="O260" s="433" t="s">
        <v>219</v>
      </c>
      <c r="P260" s="433">
        <v>1972.0</v>
      </c>
      <c r="Q260" s="433" t="s">
        <v>17956</v>
      </c>
      <c r="R260" s="433">
        <v>1.0</v>
      </c>
      <c r="S260" s="826"/>
      <c r="T260" s="3"/>
      <c r="U260" s="3"/>
      <c r="V260" s="3"/>
      <c r="W260" s="3"/>
      <c r="X260" s="3"/>
      <c r="Y260" s="3"/>
      <c r="Z260" s="3"/>
    </row>
    <row r="261" ht="15.75" customHeight="1">
      <c r="C261" s="449">
        <v>209.0</v>
      </c>
      <c r="D261" s="433" t="s">
        <v>18723</v>
      </c>
      <c r="E261" s="433" t="s">
        <v>18724</v>
      </c>
      <c r="F261" s="434" t="s">
        <v>18725</v>
      </c>
      <c r="G261" s="433"/>
      <c r="H261" s="433" t="s">
        <v>2222</v>
      </c>
      <c r="I261" s="433" t="s">
        <v>30</v>
      </c>
      <c r="J261" s="433"/>
      <c r="K261" s="433" t="s">
        <v>30</v>
      </c>
      <c r="L261" s="433">
        <v>126.0</v>
      </c>
      <c r="M261" s="433"/>
      <c r="N261" s="433" t="s">
        <v>18304</v>
      </c>
      <c r="O261" s="433" t="s">
        <v>11040</v>
      </c>
      <c r="P261" s="433">
        <v>2009.0</v>
      </c>
      <c r="Q261" s="433" t="s">
        <v>17956</v>
      </c>
      <c r="R261" s="433">
        <v>1.0</v>
      </c>
      <c r="S261" s="826"/>
      <c r="T261" s="3"/>
      <c r="U261" s="3"/>
      <c r="V261" s="3"/>
      <c r="W261" s="3"/>
      <c r="X261" s="3"/>
      <c r="Y261" s="3"/>
      <c r="Z261" s="3"/>
    </row>
    <row r="262" ht="15.75" customHeight="1">
      <c r="C262" s="449">
        <v>210.0</v>
      </c>
      <c r="D262" s="433" t="s">
        <v>18726</v>
      </c>
      <c r="E262" s="433" t="s">
        <v>18302</v>
      </c>
      <c r="F262" s="434" t="s">
        <v>18727</v>
      </c>
      <c r="G262" s="433"/>
      <c r="H262" s="433" t="s">
        <v>2222</v>
      </c>
      <c r="I262" s="433" t="s">
        <v>30</v>
      </c>
      <c r="J262" s="433"/>
      <c r="K262" s="433" t="s">
        <v>30</v>
      </c>
      <c r="L262" s="433">
        <v>127.0</v>
      </c>
      <c r="M262" s="433"/>
      <c r="N262" s="433" t="s">
        <v>18304</v>
      </c>
      <c r="O262" s="433" t="s">
        <v>11040</v>
      </c>
      <c r="P262" s="433">
        <v>2011.0</v>
      </c>
      <c r="Q262" s="433" t="s">
        <v>17956</v>
      </c>
      <c r="R262" s="433">
        <v>1.0</v>
      </c>
      <c r="S262" s="826"/>
      <c r="T262" s="3"/>
      <c r="U262" s="3"/>
      <c r="V262" s="3"/>
      <c r="W262" s="3"/>
      <c r="X262" s="3"/>
      <c r="Y262" s="3"/>
      <c r="Z262" s="3"/>
    </row>
    <row r="263" ht="15.75" customHeight="1">
      <c r="C263" s="449">
        <v>211.0</v>
      </c>
      <c r="D263" s="433" t="s">
        <v>18728</v>
      </c>
      <c r="E263" s="433" t="s">
        <v>31</v>
      </c>
      <c r="F263" s="434" t="s">
        <v>18729</v>
      </c>
      <c r="G263" s="433"/>
      <c r="H263" s="433" t="s">
        <v>2222</v>
      </c>
      <c r="I263" s="433" t="s">
        <v>30</v>
      </c>
      <c r="J263" s="433"/>
      <c r="K263" s="433" t="s">
        <v>18286</v>
      </c>
      <c r="L263" s="433">
        <v>46.0</v>
      </c>
      <c r="M263" s="433"/>
      <c r="N263" s="433" t="s">
        <v>18730</v>
      </c>
      <c r="O263" s="433" t="s">
        <v>151</v>
      </c>
      <c r="P263" s="433">
        <v>2011.0</v>
      </c>
      <c r="Q263" s="433" t="s">
        <v>17956</v>
      </c>
      <c r="R263" s="433">
        <v>1.0</v>
      </c>
      <c r="S263" s="826"/>
      <c r="T263" s="3"/>
      <c r="U263" s="3"/>
      <c r="V263" s="3"/>
      <c r="W263" s="3"/>
      <c r="X263" s="3"/>
      <c r="Y263" s="3"/>
      <c r="Z263" s="3"/>
    </row>
    <row r="264" ht="15.75" customHeight="1">
      <c r="C264" s="449">
        <v>212.0</v>
      </c>
      <c r="D264" s="433" t="s">
        <v>18731</v>
      </c>
      <c r="E264" s="433" t="s">
        <v>18732</v>
      </c>
      <c r="F264" s="434" t="s">
        <v>18733</v>
      </c>
      <c r="G264" s="433"/>
      <c r="H264" s="433" t="s">
        <v>2222</v>
      </c>
      <c r="I264" s="433" t="s">
        <v>37</v>
      </c>
      <c r="J264" s="433"/>
      <c r="K264" s="433" t="s">
        <v>38</v>
      </c>
      <c r="L264" s="433">
        <v>128.0</v>
      </c>
      <c r="M264" s="433"/>
      <c r="N264" s="433" t="s">
        <v>18734</v>
      </c>
      <c r="O264" s="433" t="s">
        <v>11251</v>
      </c>
      <c r="P264" s="433">
        <v>2010.0</v>
      </c>
      <c r="Q264" s="433" t="s">
        <v>17956</v>
      </c>
      <c r="R264" s="433">
        <v>1.0</v>
      </c>
      <c r="S264" s="826"/>
      <c r="T264" s="3"/>
      <c r="U264" s="3"/>
      <c r="V264" s="3"/>
      <c r="W264" s="3"/>
      <c r="X264" s="3"/>
      <c r="Y264" s="3"/>
      <c r="Z264" s="3"/>
    </row>
    <row r="265" ht="15.75" customHeight="1">
      <c r="C265" s="449">
        <v>213.0</v>
      </c>
      <c r="D265" s="433" t="s">
        <v>18735</v>
      </c>
      <c r="E265" s="433" t="s">
        <v>18736</v>
      </c>
      <c r="F265" s="434" t="s">
        <v>18737</v>
      </c>
      <c r="G265" s="433"/>
      <c r="H265" s="433" t="s">
        <v>2222</v>
      </c>
      <c r="I265" s="433" t="s">
        <v>37</v>
      </c>
      <c r="J265" s="433"/>
      <c r="K265" s="433" t="s">
        <v>38</v>
      </c>
      <c r="L265" s="433">
        <v>256.0</v>
      </c>
      <c r="M265" s="433"/>
      <c r="N265" s="433" t="s">
        <v>18738</v>
      </c>
      <c r="O265" s="433" t="s">
        <v>18739</v>
      </c>
      <c r="P265" s="433">
        <v>1999.0</v>
      </c>
      <c r="Q265" s="433" t="s">
        <v>17956</v>
      </c>
      <c r="R265" s="433">
        <v>1.0</v>
      </c>
      <c r="S265" s="826"/>
      <c r="T265" s="3"/>
      <c r="U265" s="3"/>
      <c r="V265" s="3"/>
      <c r="W265" s="3"/>
      <c r="X265" s="3"/>
      <c r="Y265" s="3"/>
      <c r="Z265" s="3"/>
    </row>
    <row r="266" ht="15.75" customHeight="1">
      <c r="C266" s="449">
        <v>214.0</v>
      </c>
      <c r="D266" s="433" t="s">
        <v>18740</v>
      </c>
      <c r="E266" s="433" t="s">
        <v>18741</v>
      </c>
      <c r="F266" s="434" t="s">
        <v>18742</v>
      </c>
      <c r="G266" s="433"/>
      <c r="H266" s="433" t="s">
        <v>2222</v>
      </c>
      <c r="I266" s="433" t="s">
        <v>37</v>
      </c>
      <c r="J266" s="433"/>
      <c r="K266" s="433" t="s">
        <v>38</v>
      </c>
      <c r="L266" s="433">
        <v>45.0</v>
      </c>
      <c r="M266" s="433"/>
      <c r="N266" s="433" t="s">
        <v>18743</v>
      </c>
      <c r="O266" s="433" t="s">
        <v>18744</v>
      </c>
      <c r="P266" s="433">
        <v>2009.0</v>
      </c>
      <c r="Q266" s="433" t="s">
        <v>17956</v>
      </c>
      <c r="R266" s="433">
        <v>1.0</v>
      </c>
      <c r="S266" s="826"/>
      <c r="T266" s="3"/>
      <c r="U266" s="3"/>
      <c r="V266" s="3"/>
      <c r="W266" s="3"/>
      <c r="X266" s="3"/>
      <c r="Y266" s="3"/>
      <c r="Z266" s="3"/>
    </row>
    <row r="267" ht="15.75" customHeight="1">
      <c r="C267" s="449">
        <v>215.0</v>
      </c>
      <c r="D267" s="433" t="s">
        <v>18745</v>
      </c>
      <c r="E267" s="433" t="s">
        <v>18746</v>
      </c>
      <c r="F267" s="434" t="s">
        <v>18747</v>
      </c>
      <c r="G267" s="433"/>
      <c r="H267" s="433" t="s">
        <v>2222</v>
      </c>
      <c r="I267" s="433" t="s">
        <v>30</v>
      </c>
      <c r="J267" s="433"/>
      <c r="K267" s="433" t="s">
        <v>18286</v>
      </c>
      <c r="L267" s="433">
        <v>31.0</v>
      </c>
      <c r="M267" s="433"/>
      <c r="N267" s="433" t="s">
        <v>18748</v>
      </c>
      <c r="O267" s="433" t="s">
        <v>151</v>
      </c>
      <c r="P267" s="433">
        <v>2012.0</v>
      </c>
      <c r="Q267" s="433" t="s">
        <v>17956</v>
      </c>
      <c r="R267" s="433">
        <v>1.0</v>
      </c>
      <c r="S267" s="826"/>
      <c r="T267" s="3"/>
      <c r="U267" s="3"/>
      <c r="V267" s="3"/>
      <c r="W267" s="3"/>
      <c r="X267" s="3"/>
      <c r="Y267" s="3"/>
      <c r="Z267" s="3"/>
    </row>
    <row r="268" ht="15.75" customHeight="1">
      <c r="C268" s="449">
        <v>216.0</v>
      </c>
      <c r="D268" s="433" t="s">
        <v>18749</v>
      </c>
      <c r="E268" s="433" t="s">
        <v>18750</v>
      </c>
      <c r="F268" s="434" t="s">
        <v>18751</v>
      </c>
      <c r="G268" s="433"/>
      <c r="H268" s="433" t="s">
        <v>2222</v>
      </c>
      <c r="I268" s="433" t="s">
        <v>30</v>
      </c>
      <c r="J268" s="433"/>
      <c r="K268" s="433" t="s">
        <v>18286</v>
      </c>
      <c r="L268" s="433">
        <v>205.0</v>
      </c>
      <c r="M268" s="433"/>
      <c r="N268" s="433" t="s">
        <v>18752</v>
      </c>
      <c r="O268" s="433" t="s">
        <v>3027</v>
      </c>
      <c r="P268" s="433">
        <v>2006.0</v>
      </c>
      <c r="Q268" s="433" t="s">
        <v>17956</v>
      </c>
      <c r="R268" s="433">
        <v>1.0</v>
      </c>
      <c r="S268" s="826"/>
      <c r="T268" s="3"/>
      <c r="U268" s="3"/>
      <c r="V268" s="3"/>
      <c r="W268" s="3"/>
      <c r="X268" s="3"/>
      <c r="Y268" s="3"/>
      <c r="Z268" s="3"/>
    </row>
    <row r="269" ht="15.75" customHeight="1">
      <c r="C269" s="449">
        <v>217.0</v>
      </c>
      <c r="D269" s="433" t="s">
        <v>18753</v>
      </c>
      <c r="E269" s="433" t="s">
        <v>18754</v>
      </c>
      <c r="F269" s="434" t="s">
        <v>18755</v>
      </c>
      <c r="G269" s="433"/>
      <c r="H269" s="433" t="s">
        <v>2222</v>
      </c>
      <c r="I269" s="433" t="s">
        <v>30</v>
      </c>
      <c r="J269" s="433"/>
      <c r="K269" s="433" t="s">
        <v>18286</v>
      </c>
      <c r="L269" s="433">
        <v>62.0</v>
      </c>
      <c r="M269" s="433"/>
      <c r="N269" s="433" t="s">
        <v>18756</v>
      </c>
      <c r="O269" s="433" t="s">
        <v>151</v>
      </c>
      <c r="P269" s="433">
        <v>2012.0</v>
      </c>
      <c r="Q269" s="433" t="s">
        <v>17956</v>
      </c>
      <c r="R269" s="433">
        <v>1.0</v>
      </c>
      <c r="S269" s="826"/>
      <c r="T269" s="3"/>
      <c r="U269" s="3"/>
      <c r="V269" s="3"/>
      <c r="W269" s="3"/>
      <c r="X269" s="3"/>
      <c r="Y269" s="3"/>
      <c r="Z269" s="3"/>
    </row>
    <row r="270" ht="15.75" customHeight="1">
      <c r="C270" s="449">
        <v>218.0</v>
      </c>
      <c r="D270" s="433" t="s">
        <v>18757</v>
      </c>
      <c r="E270" s="433" t="s">
        <v>31</v>
      </c>
      <c r="F270" s="434" t="s">
        <v>18758</v>
      </c>
      <c r="G270" s="433"/>
      <c r="H270" s="433" t="s">
        <v>2222</v>
      </c>
      <c r="I270" s="433" t="s">
        <v>6271</v>
      </c>
      <c r="J270" s="433"/>
      <c r="K270" s="433" t="s">
        <v>38</v>
      </c>
      <c r="L270" s="433">
        <v>31.0</v>
      </c>
      <c r="M270" s="433"/>
      <c r="N270" s="433" t="s">
        <v>18759</v>
      </c>
      <c r="O270" s="433" t="s">
        <v>18370</v>
      </c>
      <c r="P270" s="433">
        <v>2000.0</v>
      </c>
      <c r="Q270" s="433" t="s">
        <v>17956</v>
      </c>
      <c r="R270" s="433">
        <v>1.0</v>
      </c>
      <c r="S270" s="826"/>
      <c r="T270" s="3"/>
      <c r="U270" s="3"/>
      <c r="V270" s="3"/>
      <c r="W270" s="3"/>
      <c r="X270" s="3"/>
      <c r="Y270" s="3"/>
      <c r="Z270" s="3"/>
    </row>
    <row r="271" ht="15.75" customHeight="1">
      <c r="C271" s="449">
        <v>219.0</v>
      </c>
      <c r="D271" s="433" t="s">
        <v>18567</v>
      </c>
      <c r="E271" s="433" t="s">
        <v>18568</v>
      </c>
      <c r="F271" s="434" t="s">
        <v>18569</v>
      </c>
      <c r="G271" s="433"/>
      <c r="H271" s="433" t="s">
        <v>2222</v>
      </c>
      <c r="I271" s="433" t="s">
        <v>30</v>
      </c>
      <c r="J271" s="433"/>
      <c r="K271" s="433" t="s">
        <v>30</v>
      </c>
      <c r="L271" s="433">
        <v>63.0</v>
      </c>
      <c r="M271" s="433"/>
      <c r="N271" s="433" t="s">
        <v>18570</v>
      </c>
      <c r="O271" s="433" t="s">
        <v>151</v>
      </c>
      <c r="P271" s="433">
        <v>2009.0</v>
      </c>
      <c r="Q271" s="433" t="s">
        <v>17956</v>
      </c>
      <c r="R271" s="433">
        <v>1.0</v>
      </c>
      <c r="S271" s="826"/>
      <c r="T271" s="3"/>
      <c r="U271" s="3"/>
      <c r="V271" s="3"/>
      <c r="W271" s="3"/>
      <c r="X271" s="3"/>
      <c r="Y271" s="3"/>
      <c r="Z271" s="3"/>
    </row>
    <row r="272" ht="15.75" customHeight="1">
      <c r="C272" s="449">
        <v>220.0</v>
      </c>
      <c r="D272" s="433" t="s">
        <v>18760</v>
      </c>
      <c r="E272" s="433" t="s">
        <v>18761</v>
      </c>
      <c r="F272" s="434" t="s">
        <v>18762</v>
      </c>
      <c r="G272" s="433"/>
      <c r="H272" s="433" t="s">
        <v>2222</v>
      </c>
      <c r="I272" s="433" t="s">
        <v>37</v>
      </c>
      <c r="J272" s="433"/>
      <c r="K272" s="433" t="s">
        <v>38</v>
      </c>
      <c r="L272" s="433">
        <v>36.0</v>
      </c>
      <c r="M272" s="433"/>
      <c r="N272" s="433" t="s">
        <v>18763</v>
      </c>
      <c r="O272" s="433" t="s">
        <v>18269</v>
      </c>
      <c r="P272" s="433">
        <v>2000.0</v>
      </c>
      <c r="Q272" s="433" t="s">
        <v>17956</v>
      </c>
      <c r="R272" s="433">
        <v>1.0</v>
      </c>
      <c r="S272" s="826"/>
      <c r="T272" s="3"/>
      <c r="U272" s="3"/>
      <c r="V272" s="3"/>
      <c r="W272" s="3"/>
      <c r="X272" s="3"/>
      <c r="Y272" s="3"/>
      <c r="Z272" s="3"/>
    </row>
    <row r="273" ht="15.75" customHeight="1">
      <c r="C273" s="449">
        <v>221.0</v>
      </c>
      <c r="D273" s="433" t="s">
        <v>18764</v>
      </c>
      <c r="E273" s="433" t="s">
        <v>18761</v>
      </c>
      <c r="F273" s="434" t="s">
        <v>18765</v>
      </c>
      <c r="G273" s="433"/>
      <c r="H273" s="433" t="s">
        <v>2222</v>
      </c>
      <c r="I273" s="433" t="s">
        <v>37</v>
      </c>
      <c r="J273" s="433"/>
      <c r="K273" s="433" t="s">
        <v>38</v>
      </c>
      <c r="L273" s="433">
        <v>36.0</v>
      </c>
      <c r="M273" s="433"/>
      <c r="N273" s="433" t="s">
        <v>18763</v>
      </c>
      <c r="O273" s="433" t="s">
        <v>18269</v>
      </c>
      <c r="P273" s="433">
        <v>2008.0</v>
      </c>
      <c r="Q273" s="433" t="s">
        <v>17956</v>
      </c>
      <c r="R273" s="433">
        <v>1.0</v>
      </c>
      <c r="S273" s="826"/>
      <c r="T273" s="3"/>
      <c r="U273" s="3"/>
      <c r="V273" s="3"/>
      <c r="W273" s="3"/>
      <c r="X273" s="3"/>
      <c r="Y273" s="3"/>
      <c r="Z273" s="3"/>
    </row>
    <row r="274" ht="15.75" customHeight="1">
      <c r="C274" s="449">
        <v>222.0</v>
      </c>
      <c r="D274" s="433" t="s">
        <v>18766</v>
      </c>
      <c r="E274" s="433" t="s">
        <v>18767</v>
      </c>
      <c r="F274" s="434" t="s">
        <v>18768</v>
      </c>
      <c r="G274" s="433"/>
      <c r="H274" s="433" t="s">
        <v>2222</v>
      </c>
      <c r="I274" s="433" t="s">
        <v>30</v>
      </c>
      <c r="J274" s="433"/>
      <c r="K274" s="433" t="s">
        <v>30</v>
      </c>
      <c r="L274" s="433">
        <v>63.0</v>
      </c>
      <c r="M274" s="433"/>
      <c r="N274" s="433" t="s">
        <v>18769</v>
      </c>
      <c r="O274" s="433" t="s">
        <v>9000</v>
      </c>
      <c r="P274" s="433">
        <v>2008.0</v>
      </c>
      <c r="Q274" s="433" t="s">
        <v>17956</v>
      </c>
      <c r="R274" s="433">
        <v>1.0</v>
      </c>
      <c r="S274" s="826"/>
      <c r="T274" s="3"/>
      <c r="U274" s="3"/>
      <c r="V274" s="3"/>
      <c r="W274" s="3"/>
      <c r="X274" s="3"/>
      <c r="Y274" s="3"/>
      <c r="Z274" s="3"/>
    </row>
    <row r="275" ht="15.75" customHeight="1">
      <c r="C275" s="449">
        <v>223.0</v>
      </c>
      <c r="D275" s="433" t="s">
        <v>18770</v>
      </c>
      <c r="E275" s="433" t="s">
        <v>18771</v>
      </c>
      <c r="F275" s="434" t="s">
        <v>18772</v>
      </c>
      <c r="G275" s="433"/>
      <c r="H275" s="433" t="s">
        <v>2222</v>
      </c>
      <c r="I275" s="433" t="s">
        <v>30</v>
      </c>
      <c r="J275" s="433"/>
      <c r="K275" s="433" t="s">
        <v>30</v>
      </c>
      <c r="L275" s="433">
        <v>32.0</v>
      </c>
      <c r="M275" s="433"/>
      <c r="N275" s="433" t="s">
        <v>18773</v>
      </c>
      <c r="O275" s="433" t="s">
        <v>18083</v>
      </c>
      <c r="P275" s="433">
        <v>2009.0</v>
      </c>
      <c r="Q275" s="433" t="s">
        <v>17956</v>
      </c>
      <c r="R275" s="433">
        <v>1.0</v>
      </c>
      <c r="S275" s="826"/>
      <c r="T275" s="3"/>
      <c r="U275" s="3"/>
      <c r="V275" s="3"/>
      <c r="W275" s="3"/>
      <c r="X275" s="3"/>
      <c r="Y275" s="3"/>
      <c r="Z275" s="3"/>
    </row>
    <row r="276" ht="15.75" customHeight="1">
      <c r="C276" s="449">
        <v>224.0</v>
      </c>
      <c r="D276" s="433" t="s">
        <v>17995</v>
      </c>
      <c r="E276" s="433" t="s">
        <v>31</v>
      </c>
      <c r="F276" s="434" t="s">
        <v>17997</v>
      </c>
      <c r="G276" s="433"/>
      <c r="H276" s="433" t="s">
        <v>2222</v>
      </c>
      <c r="I276" s="433" t="s">
        <v>30</v>
      </c>
      <c r="J276" s="433"/>
      <c r="K276" s="433" t="s">
        <v>30</v>
      </c>
      <c r="L276" s="433">
        <v>12.0</v>
      </c>
      <c r="M276" s="433"/>
      <c r="N276" s="433" t="s">
        <v>4068</v>
      </c>
      <c r="O276" s="433" t="s">
        <v>151</v>
      </c>
      <c r="P276" s="433">
        <v>2011.0</v>
      </c>
      <c r="Q276" s="433" t="s">
        <v>17956</v>
      </c>
      <c r="R276" s="433">
        <v>1.0</v>
      </c>
      <c r="S276" s="826"/>
      <c r="T276" s="3"/>
      <c r="U276" s="3"/>
      <c r="V276" s="3"/>
      <c r="W276" s="3"/>
      <c r="X276" s="3"/>
      <c r="Y276" s="3"/>
      <c r="Z276" s="3"/>
    </row>
    <row r="277" ht="15.75" customHeight="1">
      <c r="C277" s="449">
        <v>226.0</v>
      </c>
      <c r="D277" s="433" t="s">
        <v>18774</v>
      </c>
      <c r="E277" s="433" t="s">
        <v>18775</v>
      </c>
      <c r="F277" s="434" t="s">
        <v>18776</v>
      </c>
      <c r="G277" s="433"/>
      <c r="H277" s="433" t="s">
        <v>2222</v>
      </c>
      <c r="I277" s="433" t="s">
        <v>37</v>
      </c>
      <c r="J277" s="433"/>
      <c r="K277" s="433" t="s">
        <v>38</v>
      </c>
      <c r="L277" s="433">
        <v>35.0</v>
      </c>
      <c r="M277" s="433"/>
      <c r="N277" s="433" t="s">
        <v>18777</v>
      </c>
      <c r="O277" s="433" t="s">
        <v>18269</v>
      </c>
      <c r="P277" s="433">
        <v>2008.0</v>
      </c>
      <c r="Q277" s="433" t="s">
        <v>17956</v>
      </c>
      <c r="R277" s="433">
        <v>1.0</v>
      </c>
      <c r="S277" s="826"/>
      <c r="T277" s="3"/>
      <c r="U277" s="3"/>
      <c r="V277" s="3"/>
      <c r="W277" s="3"/>
      <c r="X277" s="3"/>
      <c r="Y277" s="3"/>
      <c r="Z277" s="3"/>
    </row>
    <row r="278" ht="15.75" customHeight="1">
      <c r="C278" s="449">
        <v>227.0</v>
      </c>
      <c r="D278" s="433" t="s">
        <v>18778</v>
      </c>
      <c r="E278" s="433" t="s">
        <v>18779</v>
      </c>
      <c r="F278" s="434" t="s">
        <v>18780</v>
      </c>
      <c r="G278" s="433"/>
      <c r="H278" s="433" t="s">
        <v>2222</v>
      </c>
      <c r="I278" s="433" t="s">
        <v>30</v>
      </c>
      <c r="J278" s="433"/>
      <c r="K278" s="433" t="s">
        <v>30</v>
      </c>
      <c r="L278" s="433">
        <v>192.0</v>
      </c>
      <c r="M278" s="433"/>
      <c r="N278" s="433" t="s">
        <v>18781</v>
      </c>
      <c r="O278" s="433" t="s">
        <v>151</v>
      </c>
      <c r="P278" s="433">
        <v>2010.0</v>
      </c>
      <c r="Q278" s="433" t="s">
        <v>17956</v>
      </c>
      <c r="R278" s="433">
        <v>1.0</v>
      </c>
      <c r="S278" s="826"/>
      <c r="T278" s="3"/>
      <c r="U278" s="3"/>
      <c r="V278" s="3"/>
      <c r="W278" s="3"/>
      <c r="X278" s="3"/>
      <c r="Y278" s="3"/>
      <c r="Z278" s="3"/>
    </row>
    <row r="279" ht="15.75" customHeight="1">
      <c r="C279" s="449">
        <v>228.0</v>
      </c>
      <c r="D279" s="433" t="s">
        <v>18782</v>
      </c>
      <c r="E279" s="433" t="s">
        <v>18783</v>
      </c>
      <c r="F279" s="434" t="s">
        <v>18780</v>
      </c>
      <c r="G279" s="433"/>
      <c r="H279" s="433" t="s">
        <v>2222</v>
      </c>
      <c r="I279" s="433" t="s">
        <v>30</v>
      </c>
      <c r="J279" s="433"/>
      <c r="K279" s="433" t="s">
        <v>30</v>
      </c>
      <c r="L279" s="433">
        <v>192.0</v>
      </c>
      <c r="M279" s="433"/>
      <c r="N279" s="433" t="s">
        <v>18781</v>
      </c>
      <c r="O279" s="433" t="s">
        <v>151</v>
      </c>
      <c r="P279" s="433">
        <v>2011.0</v>
      </c>
      <c r="Q279" s="433" t="s">
        <v>17956</v>
      </c>
      <c r="R279" s="433">
        <v>1.0</v>
      </c>
      <c r="S279" s="826"/>
      <c r="T279" s="3"/>
      <c r="U279" s="3"/>
      <c r="V279" s="3"/>
      <c r="W279" s="3"/>
      <c r="X279" s="3"/>
      <c r="Y279" s="3"/>
      <c r="Z279" s="3"/>
    </row>
    <row r="280" ht="15.75" customHeight="1">
      <c r="C280" s="449">
        <v>229.0</v>
      </c>
      <c r="D280" s="433" t="s">
        <v>18784</v>
      </c>
      <c r="E280" s="433" t="s">
        <v>18785</v>
      </c>
      <c r="F280" s="434" t="s">
        <v>18786</v>
      </c>
      <c r="G280" s="433"/>
      <c r="H280" s="433" t="s">
        <v>2222</v>
      </c>
      <c r="I280" s="433" t="s">
        <v>30</v>
      </c>
      <c r="J280" s="433"/>
      <c r="K280" s="433" t="s">
        <v>30</v>
      </c>
      <c r="L280" s="433">
        <v>192.0</v>
      </c>
      <c r="M280" s="433"/>
      <c r="N280" s="433" t="s">
        <v>18787</v>
      </c>
      <c r="O280" s="433" t="s">
        <v>151</v>
      </c>
      <c r="P280" s="433">
        <v>2010.0</v>
      </c>
      <c r="Q280" s="433" t="s">
        <v>17956</v>
      </c>
      <c r="R280" s="433">
        <v>1.0</v>
      </c>
      <c r="S280" s="826"/>
      <c r="T280" s="3"/>
      <c r="U280" s="3"/>
      <c r="V280" s="3"/>
      <c r="W280" s="3"/>
      <c r="X280" s="3"/>
      <c r="Y280" s="3"/>
      <c r="Z280" s="3"/>
    </row>
    <row r="281" ht="15.75" customHeight="1">
      <c r="C281" s="449">
        <v>230.0</v>
      </c>
      <c r="D281" s="433" t="s">
        <v>18788</v>
      </c>
      <c r="E281" s="433" t="s">
        <v>18789</v>
      </c>
      <c r="F281" s="434" t="s">
        <v>18790</v>
      </c>
      <c r="G281" s="433"/>
      <c r="H281" s="433" t="s">
        <v>2222</v>
      </c>
      <c r="I281" s="433" t="s">
        <v>30</v>
      </c>
      <c r="J281" s="433"/>
      <c r="K281" s="433" t="s">
        <v>30</v>
      </c>
      <c r="L281" s="433">
        <v>53.0</v>
      </c>
      <c r="M281" s="433"/>
      <c r="N281" s="433" t="s">
        <v>18734</v>
      </c>
      <c r="O281" s="433" t="s">
        <v>18791</v>
      </c>
      <c r="P281" s="433">
        <v>2003.0</v>
      </c>
      <c r="Q281" s="433" t="s">
        <v>17956</v>
      </c>
      <c r="R281" s="433">
        <v>1.0</v>
      </c>
      <c r="S281" s="826"/>
      <c r="T281" s="3"/>
      <c r="U281" s="3"/>
      <c r="V281" s="3"/>
      <c r="W281" s="3"/>
      <c r="X281" s="3"/>
      <c r="Y281" s="3"/>
      <c r="Z281" s="3"/>
    </row>
    <row r="282" ht="15.75" customHeight="1">
      <c r="C282" s="449">
        <v>231.0</v>
      </c>
      <c r="D282" s="433" t="s">
        <v>18792</v>
      </c>
      <c r="E282" s="433" t="s">
        <v>18793</v>
      </c>
      <c r="F282" s="434" t="s">
        <v>18794</v>
      </c>
      <c r="G282" s="433"/>
      <c r="H282" s="433" t="s">
        <v>2222</v>
      </c>
      <c r="I282" s="433" t="s">
        <v>37</v>
      </c>
      <c r="J282" s="538"/>
      <c r="K282" s="433" t="s">
        <v>38</v>
      </c>
      <c r="L282" s="433">
        <v>32.0</v>
      </c>
      <c r="M282" s="433"/>
      <c r="N282" s="433" t="s">
        <v>18795</v>
      </c>
      <c r="O282" s="433" t="s">
        <v>18278</v>
      </c>
      <c r="P282" s="433">
        <v>1997.0</v>
      </c>
      <c r="Q282" s="433" t="s">
        <v>17956</v>
      </c>
      <c r="R282" s="433">
        <v>1.0</v>
      </c>
      <c r="S282" s="826"/>
      <c r="T282" s="3"/>
      <c r="U282" s="3"/>
      <c r="V282" s="3"/>
      <c r="W282" s="3"/>
      <c r="X282" s="3"/>
      <c r="Y282" s="3"/>
      <c r="Z282" s="3"/>
    </row>
    <row r="283" ht="15.75" customHeight="1">
      <c r="C283" s="449">
        <v>232.0</v>
      </c>
      <c r="D283" s="433" t="s">
        <v>18796</v>
      </c>
      <c r="E283" s="433" t="s">
        <v>18797</v>
      </c>
      <c r="F283" s="434" t="s">
        <v>18798</v>
      </c>
      <c r="G283" s="433"/>
      <c r="H283" s="433" t="s">
        <v>2222</v>
      </c>
      <c r="I283" s="433" t="s">
        <v>37</v>
      </c>
      <c r="J283" s="433"/>
      <c r="K283" s="433" t="s">
        <v>38</v>
      </c>
      <c r="L283" s="433">
        <v>32.0</v>
      </c>
      <c r="M283" s="433"/>
      <c r="N283" s="433" t="s">
        <v>18799</v>
      </c>
      <c r="O283" s="433" t="s">
        <v>18278</v>
      </c>
      <c r="P283" s="433">
        <v>2012.0</v>
      </c>
      <c r="Q283" s="433" t="s">
        <v>17956</v>
      </c>
      <c r="R283" s="433">
        <v>1.0</v>
      </c>
      <c r="S283" s="826"/>
      <c r="T283" s="3"/>
      <c r="U283" s="3"/>
      <c r="V283" s="3"/>
      <c r="W283" s="3"/>
      <c r="X283" s="3"/>
      <c r="Y283" s="3"/>
      <c r="Z283" s="3"/>
    </row>
    <row r="284" ht="15.75" customHeight="1">
      <c r="C284" s="449">
        <v>233.0</v>
      </c>
      <c r="D284" s="433" t="s">
        <v>18230</v>
      </c>
      <c r="E284" s="433" t="s">
        <v>18800</v>
      </c>
      <c r="F284" s="434" t="s">
        <v>18801</v>
      </c>
      <c r="G284" s="433"/>
      <c r="H284" s="433" t="s">
        <v>2222</v>
      </c>
      <c r="I284" s="433" t="s">
        <v>30</v>
      </c>
      <c r="J284" s="433"/>
      <c r="K284" s="433" t="s">
        <v>30</v>
      </c>
      <c r="L284" s="433">
        <v>109.0</v>
      </c>
      <c r="M284" s="433"/>
      <c r="N284" s="433" t="s">
        <v>18802</v>
      </c>
      <c r="O284" s="433" t="s">
        <v>2698</v>
      </c>
      <c r="P284" s="433">
        <v>2008.0</v>
      </c>
      <c r="Q284" s="433" t="s">
        <v>17956</v>
      </c>
      <c r="R284" s="433">
        <v>1.0</v>
      </c>
      <c r="S284" s="826"/>
      <c r="T284" s="3"/>
      <c r="U284" s="3"/>
      <c r="V284" s="3"/>
      <c r="W284" s="3"/>
      <c r="X284" s="3"/>
      <c r="Y284" s="3"/>
      <c r="Z284" s="3"/>
    </row>
    <row r="285" ht="15.75" customHeight="1">
      <c r="C285" s="449">
        <v>234.0</v>
      </c>
      <c r="D285" s="433" t="s">
        <v>18803</v>
      </c>
      <c r="E285" s="433" t="s">
        <v>18804</v>
      </c>
      <c r="F285" s="434" t="s">
        <v>18805</v>
      </c>
      <c r="G285" s="433"/>
      <c r="H285" s="433" t="s">
        <v>2222</v>
      </c>
      <c r="I285" s="433" t="s">
        <v>30</v>
      </c>
      <c r="J285" s="433"/>
      <c r="K285" s="433" t="s">
        <v>18286</v>
      </c>
      <c r="L285" s="433">
        <v>8.0</v>
      </c>
      <c r="M285" s="433"/>
      <c r="N285" s="433" t="s">
        <v>18408</v>
      </c>
      <c r="O285" s="433" t="s">
        <v>151</v>
      </c>
      <c r="P285" s="433">
        <v>2011.0</v>
      </c>
      <c r="Q285" s="433" t="s">
        <v>17956</v>
      </c>
      <c r="R285" s="433">
        <v>1.0</v>
      </c>
      <c r="S285" s="826"/>
      <c r="T285" s="3"/>
      <c r="U285" s="3"/>
      <c r="V285" s="3"/>
      <c r="W285" s="3"/>
      <c r="X285" s="3"/>
      <c r="Y285" s="3"/>
      <c r="Z285" s="3"/>
    </row>
    <row r="286" ht="15.75" customHeight="1">
      <c r="C286" s="449">
        <v>235.0</v>
      </c>
      <c r="D286" s="433" t="s">
        <v>18806</v>
      </c>
      <c r="E286" s="433" t="s">
        <v>18807</v>
      </c>
      <c r="F286" s="434" t="s">
        <v>18808</v>
      </c>
      <c r="G286" s="433"/>
      <c r="H286" s="433" t="s">
        <v>2222</v>
      </c>
      <c r="I286" s="433" t="s">
        <v>37</v>
      </c>
      <c r="J286" s="433"/>
      <c r="K286" s="433" t="s">
        <v>38</v>
      </c>
      <c r="L286" s="433">
        <v>159.0</v>
      </c>
      <c r="M286" s="433"/>
      <c r="N286" s="433" t="s">
        <v>18809</v>
      </c>
      <c r="O286" s="433" t="s">
        <v>18278</v>
      </c>
      <c r="P286" s="433">
        <v>1997.0</v>
      </c>
      <c r="Q286" s="433" t="s">
        <v>17956</v>
      </c>
      <c r="R286" s="433">
        <v>1.0</v>
      </c>
      <c r="S286" s="826"/>
      <c r="T286" s="3"/>
      <c r="U286" s="3"/>
      <c r="V286" s="3"/>
      <c r="W286" s="3"/>
      <c r="X286" s="3"/>
      <c r="Y286" s="3"/>
      <c r="Z286" s="3"/>
    </row>
    <row r="287" ht="15.75" customHeight="1">
      <c r="C287" s="449">
        <v>236.0</v>
      </c>
      <c r="D287" s="433" t="s">
        <v>18810</v>
      </c>
      <c r="E287" s="433" t="s">
        <v>31</v>
      </c>
      <c r="F287" s="434" t="s">
        <v>18811</v>
      </c>
      <c r="G287" s="433"/>
      <c r="H287" s="433" t="s">
        <v>2222</v>
      </c>
      <c r="I287" s="433" t="s">
        <v>12291</v>
      </c>
      <c r="J287" s="433"/>
      <c r="K287" s="433" t="s">
        <v>38</v>
      </c>
      <c r="L287" s="433">
        <v>12.0</v>
      </c>
      <c r="M287" s="433"/>
      <c r="N287" s="433" t="s">
        <v>18812</v>
      </c>
      <c r="O287" s="433" t="s">
        <v>18813</v>
      </c>
      <c r="P287" s="433">
        <v>2009.0</v>
      </c>
      <c r="Q287" s="433" t="s">
        <v>17956</v>
      </c>
      <c r="R287" s="433">
        <v>1.0</v>
      </c>
      <c r="S287" s="826"/>
      <c r="T287" s="3"/>
      <c r="U287" s="3"/>
      <c r="V287" s="3"/>
      <c r="W287" s="3"/>
      <c r="X287" s="3"/>
      <c r="Y287" s="3"/>
      <c r="Z287" s="3"/>
    </row>
    <row r="288" ht="15.75" customHeight="1">
      <c r="C288" s="449">
        <v>237.0</v>
      </c>
      <c r="D288" s="433" t="s">
        <v>18814</v>
      </c>
      <c r="E288" s="433" t="s">
        <v>18815</v>
      </c>
      <c r="F288" s="434" t="s">
        <v>18816</v>
      </c>
      <c r="G288" s="433"/>
      <c r="H288" s="433" t="s">
        <v>2222</v>
      </c>
      <c r="I288" s="433" t="s">
        <v>30</v>
      </c>
      <c r="J288" s="433"/>
      <c r="K288" s="433" t="s">
        <v>18286</v>
      </c>
      <c r="L288" s="433">
        <v>28.0</v>
      </c>
      <c r="M288" s="433"/>
      <c r="N288" s="433" t="s">
        <v>18817</v>
      </c>
      <c r="O288" s="433" t="s">
        <v>18818</v>
      </c>
      <c r="P288" s="433">
        <v>2013.0</v>
      </c>
      <c r="Q288" s="433" t="s">
        <v>17956</v>
      </c>
      <c r="R288" s="433">
        <v>1.0</v>
      </c>
      <c r="S288" s="826"/>
      <c r="T288" s="3"/>
      <c r="U288" s="3"/>
      <c r="V288" s="3"/>
      <c r="W288" s="3"/>
      <c r="X288" s="3"/>
      <c r="Y288" s="3"/>
      <c r="Z288" s="3"/>
    </row>
    <row r="289" ht="15.75" customHeight="1">
      <c r="C289" s="449">
        <v>238.0</v>
      </c>
      <c r="D289" s="433" t="s">
        <v>18819</v>
      </c>
      <c r="E289" s="433" t="s">
        <v>18820</v>
      </c>
      <c r="F289" s="434" t="s">
        <v>18821</v>
      </c>
      <c r="G289" s="433"/>
      <c r="H289" s="433" t="s">
        <v>2222</v>
      </c>
      <c r="I289" s="433" t="s">
        <v>8203</v>
      </c>
      <c r="J289" s="433"/>
      <c r="K289" s="433" t="s">
        <v>38</v>
      </c>
      <c r="L289" s="433">
        <v>93.0</v>
      </c>
      <c r="M289" s="433"/>
      <c r="N289" s="433" t="s">
        <v>31</v>
      </c>
      <c r="O289" s="433" t="s">
        <v>18822</v>
      </c>
      <c r="P289" s="433">
        <v>2002.0</v>
      </c>
      <c r="Q289" s="433" t="s">
        <v>17956</v>
      </c>
      <c r="R289" s="433">
        <v>1.0</v>
      </c>
      <c r="S289" s="826"/>
      <c r="T289" s="3"/>
      <c r="U289" s="3"/>
      <c r="V289" s="3"/>
      <c r="W289" s="3"/>
      <c r="X289" s="3"/>
      <c r="Y289" s="3"/>
      <c r="Z289" s="3"/>
    </row>
    <row r="290" ht="15.75" customHeight="1">
      <c r="C290" s="449">
        <v>239.0</v>
      </c>
      <c r="D290" s="433" t="s">
        <v>31</v>
      </c>
      <c r="E290" s="433" t="s">
        <v>18823</v>
      </c>
      <c r="F290" s="434" t="s">
        <v>18824</v>
      </c>
      <c r="G290" s="433"/>
      <c r="H290" s="433" t="s">
        <v>2222</v>
      </c>
      <c r="I290" s="433" t="s">
        <v>30</v>
      </c>
      <c r="J290" s="433"/>
      <c r="K290" s="433" t="s">
        <v>14933</v>
      </c>
      <c r="L290" s="433">
        <v>86.0</v>
      </c>
      <c r="M290" s="433"/>
      <c r="N290" s="433" t="s">
        <v>18734</v>
      </c>
      <c r="O290" s="433" t="s">
        <v>4645</v>
      </c>
      <c r="P290" s="433">
        <v>2001.0</v>
      </c>
      <c r="Q290" s="433" t="s">
        <v>17956</v>
      </c>
      <c r="R290" s="433">
        <v>1.0</v>
      </c>
      <c r="S290" s="826"/>
      <c r="T290" s="3"/>
      <c r="U290" s="3"/>
      <c r="V290" s="3"/>
      <c r="W290" s="3"/>
      <c r="X290" s="3"/>
      <c r="Y290" s="3"/>
      <c r="Z290" s="3"/>
    </row>
    <row r="291" ht="15.75" customHeight="1">
      <c r="C291" s="449">
        <v>240.0</v>
      </c>
      <c r="D291" s="433" t="s">
        <v>31</v>
      </c>
      <c r="E291" s="433" t="s">
        <v>18825</v>
      </c>
      <c r="F291" s="434" t="s">
        <v>18826</v>
      </c>
      <c r="G291" s="433"/>
      <c r="H291" s="433" t="s">
        <v>2222</v>
      </c>
      <c r="I291" s="433" t="s">
        <v>30</v>
      </c>
      <c r="J291" s="433"/>
      <c r="K291" s="433" t="s">
        <v>14933</v>
      </c>
      <c r="L291" s="433">
        <v>86.0</v>
      </c>
      <c r="M291" s="433"/>
      <c r="N291" s="433" t="s">
        <v>18734</v>
      </c>
      <c r="O291" s="433" t="s">
        <v>4645</v>
      </c>
      <c r="P291" s="433">
        <v>2001.0</v>
      </c>
      <c r="Q291" s="433" t="s">
        <v>17956</v>
      </c>
      <c r="R291" s="433">
        <v>1.0</v>
      </c>
      <c r="S291" s="826"/>
      <c r="T291" s="3"/>
      <c r="U291" s="3"/>
      <c r="V291" s="3"/>
      <c r="W291" s="3"/>
      <c r="X291" s="3"/>
      <c r="Y291" s="3"/>
      <c r="Z291" s="3"/>
    </row>
    <row r="292" ht="15.75" customHeight="1">
      <c r="C292" s="449">
        <v>241.0</v>
      </c>
      <c r="D292" s="433" t="s">
        <v>18827</v>
      </c>
      <c r="E292" s="433" t="s">
        <v>18828</v>
      </c>
      <c r="F292" s="434" t="s">
        <v>18829</v>
      </c>
      <c r="G292" s="433"/>
      <c r="H292" s="433" t="s">
        <v>2222</v>
      </c>
      <c r="I292" s="433" t="s">
        <v>37</v>
      </c>
      <c r="J292" s="433"/>
      <c r="K292" s="433" t="s">
        <v>166</v>
      </c>
      <c r="L292" s="433">
        <v>29.0</v>
      </c>
      <c r="M292" s="433"/>
      <c r="N292" s="433" t="s">
        <v>18781</v>
      </c>
      <c r="O292" s="433" t="s">
        <v>18278</v>
      </c>
      <c r="P292" s="433">
        <v>2007.0</v>
      </c>
      <c r="Q292" s="433" t="s">
        <v>17956</v>
      </c>
      <c r="R292" s="433">
        <v>1.0</v>
      </c>
      <c r="S292" s="826"/>
      <c r="T292" s="3"/>
      <c r="U292" s="3"/>
      <c r="V292" s="3"/>
      <c r="W292" s="3"/>
      <c r="X292" s="3"/>
      <c r="Y292" s="3"/>
      <c r="Z292" s="3"/>
    </row>
    <row r="293" ht="15.75" customHeight="1">
      <c r="C293" s="449">
        <v>242.0</v>
      </c>
      <c r="D293" s="433" t="s">
        <v>18830</v>
      </c>
      <c r="E293" s="433" t="s">
        <v>18831</v>
      </c>
      <c r="F293" s="434" t="s">
        <v>18832</v>
      </c>
      <c r="G293" s="433"/>
      <c r="H293" s="433" t="s">
        <v>2222</v>
      </c>
      <c r="I293" s="433" t="s">
        <v>37</v>
      </c>
      <c r="J293" s="433"/>
      <c r="K293" s="433" t="s">
        <v>166</v>
      </c>
      <c r="L293" s="433">
        <v>26.0</v>
      </c>
      <c r="M293" s="433"/>
      <c r="N293" s="433" t="s">
        <v>18833</v>
      </c>
      <c r="O293" s="433" t="s">
        <v>18278</v>
      </c>
      <c r="P293" s="433"/>
      <c r="Q293" s="433" t="s">
        <v>17956</v>
      </c>
      <c r="R293" s="433">
        <v>1.0</v>
      </c>
      <c r="S293" s="826"/>
      <c r="T293" s="3"/>
      <c r="U293" s="3"/>
      <c r="V293" s="3"/>
      <c r="W293" s="3"/>
      <c r="X293" s="3"/>
      <c r="Y293" s="3"/>
      <c r="Z293" s="3"/>
    </row>
    <row r="294" ht="15.75" customHeight="1">
      <c r="C294" s="449">
        <v>243.0</v>
      </c>
      <c r="D294" s="433" t="s">
        <v>31</v>
      </c>
      <c r="E294" s="433" t="s">
        <v>18834</v>
      </c>
      <c r="F294" s="434" t="s">
        <v>18835</v>
      </c>
      <c r="G294" s="433"/>
      <c r="H294" s="433" t="s">
        <v>2222</v>
      </c>
      <c r="I294" s="433" t="s">
        <v>30</v>
      </c>
      <c r="J294" s="433"/>
      <c r="K294" s="433" t="s">
        <v>30</v>
      </c>
      <c r="L294" s="433">
        <v>447.0</v>
      </c>
      <c r="M294" s="433"/>
      <c r="N294" s="433" t="s">
        <v>18836</v>
      </c>
      <c r="O294" s="433" t="s">
        <v>18066</v>
      </c>
      <c r="P294" s="433">
        <v>1997.0</v>
      </c>
      <c r="Q294" s="433" t="s">
        <v>17956</v>
      </c>
      <c r="R294" s="433">
        <v>1.0</v>
      </c>
      <c r="S294" s="826"/>
      <c r="T294" s="3"/>
      <c r="U294" s="3"/>
      <c r="V294" s="3"/>
      <c r="W294" s="3"/>
      <c r="X294" s="3"/>
      <c r="Y294" s="3"/>
      <c r="Z294" s="3"/>
    </row>
    <row r="295" ht="15.75" customHeight="1">
      <c r="C295" s="449">
        <v>244.0</v>
      </c>
      <c r="D295" s="433" t="s">
        <v>18837</v>
      </c>
      <c r="E295" s="433" t="s">
        <v>18838</v>
      </c>
      <c r="F295" s="434" t="s">
        <v>18839</v>
      </c>
      <c r="G295" s="433"/>
      <c r="H295" s="433" t="s">
        <v>2222</v>
      </c>
      <c r="I295" s="433" t="s">
        <v>30</v>
      </c>
      <c r="J295" s="433"/>
      <c r="K295" s="433" t="s">
        <v>30</v>
      </c>
      <c r="L295" s="433">
        <v>170.0</v>
      </c>
      <c r="M295" s="433"/>
      <c r="N295" s="433" t="s">
        <v>18840</v>
      </c>
      <c r="O295" s="433" t="s">
        <v>151</v>
      </c>
      <c r="P295" s="433">
        <v>2012.0</v>
      </c>
      <c r="Q295" s="433" t="s">
        <v>17956</v>
      </c>
      <c r="R295" s="433">
        <v>1.0</v>
      </c>
      <c r="S295" s="826"/>
      <c r="T295" s="3"/>
      <c r="U295" s="3"/>
      <c r="V295" s="3"/>
      <c r="W295" s="3"/>
      <c r="X295" s="3"/>
      <c r="Y295" s="3"/>
      <c r="Z295" s="3"/>
    </row>
    <row r="296" ht="15.75" customHeight="1">
      <c r="C296" s="449">
        <v>245.0</v>
      </c>
      <c r="D296" s="433" t="s">
        <v>18841</v>
      </c>
      <c r="E296" s="433" t="s">
        <v>18842</v>
      </c>
      <c r="F296" s="434" t="s">
        <v>18843</v>
      </c>
      <c r="G296" s="433"/>
      <c r="H296" s="433" t="s">
        <v>2222</v>
      </c>
      <c r="I296" s="433" t="s">
        <v>30</v>
      </c>
      <c r="J296" s="433"/>
      <c r="K296" s="433" t="s">
        <v>30</v>
      </c>
      <c r="L296" s="433">
        <v>349.0</v>
      </c>
      <c r="M296" s="433"/>
      <c r="N296" s="433" t="s">
        <v>18264</v>
      </c>
      <c r="O296" s="433" t="s">
        <v>151</v>
      </c>
      <c r="P296" s="433">
        <v>2012.0</v>
      </c>
      <c r="Q296" s="433" t="s">
        <v>17956</v>
      </c>
      <c r="R296" s="433">
        <v>1.0</v>
      </c>
      <c r="S296" s="826"/>
      <c r="T296" s="3"/>
      <c r="U296" s="3"/>
      <c r="V296" s="3"/>
      <c r="W296" s="3"/>
      <c r="X296" s="3"/>
      <c r="Y296" s="3"/>
      <c r="Z296" s="3"/>
    </row>
    <row r="297" ht="15.75" customHeight="1">
      <c r="C297" s="449">
        <v>246.0</v>
      </c>
      <c r="D297" s="433" t="s">
        <v>17987</v>
      </c>
      <c r="E297" s="433" t="s">
        <v>17988</v>
      </c>
      <c r="F297" s="434" t="s">
        <v>17989</v>
      </c>
      <c r="G297" s="433"/>
      <c r="H297" s="433" t="s">
        <v>2222</v>
      </c>
      <c r="I297" s="433" t="s">
        <v>30</v>
      </c>
      <c r="J297" s="433"/>
      <c r="K297" s="433" t="s">
        <v>30</v>
      </c>
      <c r="L297" s="433">
        <v>12.0</v>
      </c>
      <c r="M297" s="433"/>
      <c r="N297" s="433" t="s">
        <v>4068</v>
      </c>
      <c r="O297" s="433" t="s">
        <v>151</v>
      </c>
      <c r="P297" s="433">
        <v>2011.0</v>
      </c>
      <c r="Q297" s="433" t="s">
        <v>17956</v>
      </c>
      <c r="R297" s="433">
        <v>1.0</v>
      </c>
      <c r="S297" s="826"/>
      <c r="T297" s="3"/>
      <c r="U297" s="3"/>
      <c r="V297" s="3"/>
      <c r="W297" s="3"/>
      <c r="X297" s="3"/>
      <c r="Y297" s="3"/>
      <c r="Z297" s="3"/>
    </row>
    <row r="298" ht="15.75" customHeight="1">
      <c r="C298" s="449">
        <v>248.0</v>
      </c>
      <c r="D298" s="433" t="s">
        <v>18844</v>
      </c>
      <c r="E298" s="433"/>
      <c r="F298" s="434" t="s">
        <v>18845</v>
      </c>
      <c r="G298" s="433"/>
      <c r="H298" s="433" t="s">
        <v>2222</v>
      </c>
      <c r="I298" s="433" t="s">
        <v>30</v>
      </c>
      <c r="J298" s="433"/>
      <c r="K298" s="433" t="s">
        <v>30</v>
      </c>
      <c r="L298" s="433">
        <v>22.0</v>
      </c>
      <c r="M298" s="433"/>
      <c r="N298" s="433" t="s">
        <v>4068</v>
      </c>
      <c r="O298" s="433" t="s">
        <v>151</v>
      </c>
      <c r="P298" s="433">
        <v>2011.0</v>
      </c>
      <c r="Q298" s="433" t="s">
        <v>17956</v>
      </c>
      <c r="R298" s="433">
        <v>1.0</v>
      </c>
      <c r="S298" s="826"/>
      <c r="T298" s="3"/>
      <c r="U298" s="3"/>
      <c r="V298" s="3"/>
      <c r="W298" s="3"/>
      <c r="X298" s="3"/>
      <c r="Y298" s="3"/>
      <c r="Z298" s="3"/>
    </row>
    <row r="299" ht="15.75" customHeight="1">
      <c r="C299" s="449">
        <v>249.0</v>
      </c>
      <c r="D299" s="433" t="s">
        <v>18846</v>
      </c>
      <c r="E299" s="433" t="s">
        <v>18847</v>
      </c>
      <c r="F299" s="434" t="s">
        <v>18848</v>
      </c>
      <c r="G299" s="433"/>
      <c r="H299" s="433" t="s">
        <v>2222</v>
      </c>
      <c r="I299" s="433" t="s">
        <v>30</v>
      </c>
      <c r="J299" s="433"/>
      <c r="K299" s="433" t="s">
        <v>30</v>
      </c>
      <c r="L299" s="433">
        <v>18.0</v>
      </c>
      <c r="M299" s="433"/>
      <c r="N299" s="433" t="s">
        <v>18408</v>
      </c>
      <c r="O299" s="433" t="s">
        <v>151</v>
      </c>
      <c r="P299" s="433">
        <v>2011.0</v>
      </c>
      <c r="Q299" s="433" t="s">
        <v>17956</v>
      </c>
      <c r="R299" s="433">
        <v>2.0</v>
      </c>
      <c r="S299" s="826"/>
      <c r="T299" s="3"/>
      <c r="U299" s="3"/>
      <c r="V299" s="3"/>
      <c r="W299" s="3"/>
      <c r="X299" s="3"/>
      <c r="Y299" s="3"/>
      <c r="Z299" s="3"/>
    </row>
    <row r="300" ht="15.75" customHeight="1">
      <c r="C300" s="449">
        <v>250.0</v>
      </c>
      <c r="D300" s="433" t="s">
        <v>18849</v>
      </c>
      <c r="E300" s="433" t="s">
        <v>18850</v>
      </c>
      <c r="F300" s="434" t="s">
        <v>18851</v>
      </c>
      <c r="G300" s="433"/>
      <c r="H300" s="433" t="s">
        <v>2222</v>
      </c>
      <c r="I300" s="433" t="s">
        <v>30</v>
      </c>
      <c r="J300" s="433"/>
      <c r="K300" s="433" t="s">
        <v>30</v>
      </c>
      <c r="L300" s="433">
        <v>317.0</v>
      </c>
      <c r="M300" s="433"/>
      <c r="N300" s="433" t="s">
        <v>18734</v>
      </c>
      <c r="O300" s="433" t="s">
        <v>4645</v>
      </c>
      <c r="P300" s="433">
        <v>2006.0</v>
      </c>
      <c r="Q300" s="433" t="s">
        <v>17956</v>
      </c>
      <c r="R300" s="433">
        <v>1.0</v>
      </c>
      <c r="S300" s="826"/>
      <c r="T300" s="3"/>
      <c r="U300" s="3"/>
      <c r="V300" s="3"/>
      <c r="W300" s="3"/>
      <c r="X300" s="3"/>
      <c r="Y300" s="3"/>
      <c r="Z300" s="3"/>
    </row>
    <row r="301" ht="15.75" customHeight="1">
      <c r="C301" s="449">
        <v>251.0</v>
      </c>
      <c r="D301" s="433" t="s">
        <v>18852</v>
      </c>
      <c r="E301" s="433" t="s">
        <v>18853</v>
      </c>
      <c r="F301" s="434" t="s">
        <v>18854</v>
      </c>
      <c r="G301" s="433"/>
      <c r="H301" s="433" t="s">
        <v>2222</v>
      </c>
      <c r="I301" s="433" t="s">
        <v>30</v>
      </c>
      <c r="J301" s="433"/>
      <c r="K301" s="433" t="s">
        <v>30</v>
      </c>
      <c r="L301" s="433">
        <v>125.0</v>
      </c>
      <c r="M301" s="433"/>
      <c r="N301" s="433" t="s">
        <v>18855</v>
      </c>
      <c r="O301" s="433" t="s">
        <v>2698</v>
      </c>
      <c r="P301" s="433">
        <v>2011.0</v>
      </c>
      <c r="Q301" s="433" t="s">
        <v>17956</v>
      </c>
      <c r="R301" s="433">
        <v>1.0</v>
      </c>
      <c r="S301" s="826"/>
      <c r="T301" s="3"/>
      <c r="U301" s="3"/>
      <c r="V301" s="3"/>
      <c r="W301" s="3"/>
      <c r="X301" s="3"/>
      <c r="Y301" s="3"/>
      <c r="Z301" s="3"/>
    </row>
    <row r="302" ht="15.75" customHeight="1">
      <c r="C302" s="449">
        <v>252.0</v>
      </c>
      <c r="D302" s="433" t="s">
        <v>18856</v>
      </c>
      <c r="E302" s="433" t="s">
        <v>18857</v>
      </c>
      <c r="F302" s="434" t="s">
        <v>18858</v>
      </c>
      <c r="G302" s="433"/>
      <c r="H302" s="433" t="s">
        <v>2222</v>
      </c>
      <c r="I302" s="433" t="s">
        <v>30</v>
      </c>
      <c r="J302" s="433"/>
      <c r="K302" s="433" t="s">
        <v>30</v>
      </c>
      <c r="L302" s="433">
        <v>35.0</v>
      </c>
      <c r="M302" s="433"/>
      <c r="N302" s="433" t="s">
        <v>18859</v>
      </c>
      <c r="O302" s="433" t="s">
        <v>151</v>
      </c>
      <c r="P302" s="433">
        <v>2010.0</v>
      </c>
      <c r="Q302" s="433" t="s">
        <v>17956</v>
      </c>
      <c r="R302" s="433">
        <v>1.0</v>
      </c>
      <c r="S302" s="826"/>
      <c r="T302" s="3"/>
      <c r="U302" s="3"/>
      <c r="V302" s="3"/>
      <c r="W302" s="3"/>
      <c r="X302" s="3"/>
      <c r="Y302" s="3"/>
      <c r="Z302" s="3"/>
    </row>
    <row r="303" ht="15.75" customHeight="1">
      <c r="C303" s="449">
        <v>253.0</v>
      </c>
      <c r="D303" s="433" t="s">
        <v>31</v>
      </c>
      <c r="E303" s="433" t="s">
        <v>31</v>
      </c>
      <c r="F303" s="434" t="s">
        <v>18860</v>
      </c>
      <c r="G303" s="433"/>
      <c r="H303" s="433" t="s">
        <v>2222</v>
      </c>
      <c r="I303" s="433" t="s">
        <v>30</v>
      </c>
      <c r="J303" s="433"/>
      <c r="K303" s="433" t="s">
        <v>18286</v>
      </c>
      <c r="L303" s="433">
        <v>24.0</v>
      </c>
      <c r="M303" s="433"/>
      <c r="N303" s="433" t="s">
        <v>18861</v>
      </c>
      <c r="O303" s="433" t="s">
        <v>18862</v>
      </c>
      <c r="P303" s="433">
        <v>2007.0</v>
      </c>
      <c r="Q303" s="433" t="s">
        <v>17956</v>
      </c>
      <c r="R303" s="433">
        <v>3.0</v>
      </c>
      <c r="S303" s="826"/>
      <c r="T303" s="3"/>
      <c r="U303" s="3"/>
      <c r="V303" s="3"/>
      <c r="W303" s="3"/>
      <c r="X303" s="3"/>
      <c r="Y303" s="3"/>
      <c r="Z303" s="3"/>
    </row>
    <row r="304" ht="15.75" customHeight="1">
      <c r="C304" s="449">
        <v>254.0</v>
      </c>
      <c r="D304" s="433" t="s">
        <v>18863</v>
      </c>
      <c r="E304" s="433" t="s">
        <v>18617</v>
      </c>
      <c r="F304" s="434" t="s">
        <v>18864</v>
      </c>
      <c r="G304" s="433"/>
      <c r="H304" s="433" t="s">
        <v>2222</v>
      </c>
      <c r="I304" s="433" t="s">
        <v>30</v>
      </c>
      <c r="J304" s="433"/>
      <c r="K304" s="433" t="s">
        <v>30</v>
      </c>
      <c r="L304" s="433">
        <v>22.0</v>
      </c>
      <c r="M304" s="433"/>
      <c r="N304" s="433" t="s">
        <v>31</v>
      </c>
      <c r="O304" s="433" t="s">
        <v>2463</v>
      </c>
      <c r="P304" s="433" t="s">
        <v>31</v>
      </c>
      <c r="Q304" s="433" t="s">
        <v>17956</v>
      </c>
      <c r="R304" s="433">
        <v>2.0</v>
      </c>
      <c r="S304" s="826"/>
      <c r="T304" s="3"/>
      <c r="U304" s="3"/>
      <c r="V304" s="3"/>
      <c r="W304" s="3"/>
      <c r="X304" s="3"/>
      <c r="Y304" s="3"/>
      <c r="Z304" s="3"/>
    </row>
    <row r="305" ht="15.75" customHeight="1">
      <c r="C305" s="449">
        <v>255.0</v>
      </c>
      <c r="D305" s="433" t="s">
        <v>31</v>
      </c>
      <c r="E305" s="433" t="s">
        <v>18865</v>
      </c>
      <c r="F305" s="434" t="s">
        <v>18866</v>
      </c>
      <c r="G305" s="433"/>
      <c r="H305" s="433" t="s">
        <v>2222</v>
      </c>
      <c r="I305" s="433" t="s">
        <v>30</v>
      </c>
      <c r="J305" s="433"/>
      <c r="K305" s="433" t="s">
        <v>30</v>
      </c>
      <c r="L305" s="433">
        <v>16.0</v>
      </c>
      <c r="M305" s="466"/>
      <c r="N305" s="433" t="s">
        <v>31</v>
      </c>
      <c r="O305" s="433" t="s">
        <v>18867</v>
      </c>
      <c r="P305" s="433">
        <v>2001.0</v>
      </c>
      <c r="Q305" s="433" t="s">
        <v>17956</v>
      </c>
      <c r="R305" s="433">
        <v>1.0</v>
      </c>
      <c r="S305" s="826"/>
      <c r="T305" s="3"/>
      <c r="U305" s="3"/>
      <c r="V305" s="3"/>
      <c r="W305" s="3"/>
      <c r="X305" s="3"/>
      <c r="Y305" s="3"/>
      <c r="Z305" s="3"/>
    </row>
    <row r="306" ht="15.75" customHeight="1">
      <c r="C306" s="449">
        <v>256.0</v>
      </c>
      <c r="D306" s="433" t="s">
        <v>18868</v>
      </c>
      <c r="E306" s="433" t="s">
        <v>18869</v>
      </c>
      <c r="F306" s="434" t="s">
        <v>18870</v>
      </c>
      <c r="G306" s="433"/>
      <c r="H306" s="433" t="s">
        <v>2222</v>
      </c>
      <c r="I306" s="433" t="s">
        <v>37</v>
      </c>
      <c r="J306" s="433"/>
      <c r="K306" s="433" t="s">
        <v>38</v>
      </c>
      <c r="L306" s="433">
        <v>86.0</v>
      </c>
      <c r="M306" s="433"/>
      <c r="N306" s="433" t="s">
        <v>18871</v>
      </c>
      <c r="O306" s="433" t="s">
        <v>18278</v>
      </c>
      <c r="P306" s="433">
        <v>2008.0</v>
      </c>
      <c r="Q306" s="433" t="s">
        <v>17956</v>
      </c>
      <c r="R306" s="433">
        <v>1.0</v>
      </c>
      <c r="S306" s="826"/>
      <c r="T306" s="3"/>
      <c r="U306" s="3"/>
      <c r="V306" s="3"/>
      <c r="W306" s="3"/>
      <c r="X306" s="3"/>
      <c r="Y306" s="3"/>
      <c r="Z306" s="3"/>
    </row>
    <row r="307" ht="15.75" customHeight="1">
      <c r="C307" s="449">
        <v>257.0</v>
      </c>
      <c r="D307" s="433" t="s">
        <v>18872</v>
      </c>
      <c r="E307" s="433" t="s">
        <v>18873</v>
      </c>
      <c r="F307" s="434" t="s">
        <v>18874</v>
      </c>
      <c r="G307" s="433"/>
      <c r="H307" s="433" t="s">
        <v>2222</v>
      </c>
      <c r="I307" s="433" t="s">
        <v>30</v>
      </c>
      <c r="J307" s="433"/>
      <c r="K307" s="433" t="s">
        <v>18286</v>
      </c>
      <c r="L307" s="433">
        <v>61.0</v>
      </c>
      <c r="M307" s="433"/>
      <c r="N307" s="433" t="s">
        <v>18875</v>
      </c>
      <c r="O307" s="433" t="s">
        <v>151</v>
      </c>
      <c r="P307" s="433">
        <v>2012.0</v>
      </c>
      <c r="Q307" s="433" t="s">
        <v>17956</v>
      </c>
      <c r="R307" s="433">
        <v>2.0</v>
      </c>
      <c r="S307" s="826"/>
      <c r="T307" s="3"/>
      <c r="U307" s="3"/>
      <c r="V307" s="3"/>
      <c r="W307" s="3"/>
      <c r="X307" s="3"/>
      <c r="Y307" s="3"/>
      <c r="Z307" s="3"/>
    </row>
    <row r="308" ht="15.75" customHeight="1">
      <c r="C308" s="449">
        <v>258.0</v>
      </c>
      <c r="D308" s="433" t="s">
        <v>31</v>
      </c>
      <c r="E308" s="433" t="s">
        <v>18876</v>
      </c>
      <c r="F308" s="434" t="s">
        <v>18877</v>
      </c>
      <c r="G308" s="433"/>
      <c r="H308" s="433" t="s">
        <v>2222</v>
      </c>
      <c r="I308" s="433" t="s">
        <v>30</v>
      </c>
      <c r="J308" s="433"/>
      <c r="K308" s="433" t="s">
        <v>18286</v>
      </c>
      <c r="L308" s="433">
        <v>30.0</v>
      </c>
      <c r="M308" s="433"/>
      <c r="N308" s="433" t="s">
        <v>18752</v>
      </c>
      <c r="O308" s="433" t="s">
        <v>3027</v>
      </c>
      <c r="P308" s="433">
        <v>2006.0</v>
      </c>
      <c r="Q308" s="433" t="s">
        <v>17956</v>
      </c>
      <c r="R308" s="433">
        <v>2.0</v>
      </c>
      <c r="S308" s="826"/>
      <c r="T308" s="3"/>
      <c r="U308" s="3"/>
      <c r="V308" s="3"/>
      <c r="W308" s="3"/>
      <c r="X308" s="3"/>
      <c r="Y308" s="3"/>
      <c r="Z308" s="3"/>
    </row>
    <row r="309" ht="15.75" customHeight="1">
      <c r="C309" s="449">
        <v>259.0</v>
      </c>
      <c r="D309" s="433" t="s">
        <v>18878</v>
      </c>
      <c r="E309" s="433" t="s">
        <v>31</v>
      </c>
      <c r="F309" s="434" t="s">
        <v>18879</v>
      </c>
      <c r="G309" s="433"/>
      <c r="H309" s="433" t="s">
        <v>2222</v>
      </c>
      <c r="I309" s="433" t="s">
        <v>30</v>
      </c>
      <c r="J309" s="433"/>
      <c r="K309" s="433" t="s">
        <v>18103</v>
      </c>
      <c r="L309" s="433">
        <v>12.0</v>
      </c>
      <c r="M309" s="433"/>
      <c r="N309" s="433" t="s">
        <v>18198</v>
      </c>
      <c r="O309" s="433" t="s">
        <v>18198</v>
      </c>
      <c r="P309" s="433">
        <v>2004.0</v>
      </c>
      <c r="Q309" s="433" t="s">
        <v>17956</v>
      </c>
      <c r="R309" s="433">
        <v>1.0</v>
      </c>
      <c r="S309" s="826"/>
      <c r="T309" s="3"/>
      <c r="U309" s="3"/>
      <c r="V309" s="3"/>
      <c r="W309" s="3"/>
      <c r="X309" s="3"/>
      <c r="Y309" s="3"/>
      <c r="Z309" s="3"/>
    </row>
    <row r="310" ht="15.75" customHeight="1">
      <c r="C310" s="449">
        <v>260.0</v>
      </c>
      <c r="D310" s="433" t="s">
        <v>31</v>
      </c>
      <c r="E310" s="433" t="s">
        <v>31</v>
      </c>
      <c r="F310" s="434" t="s">
        <v>18880</v>
      </c>
      <c r="G310" s="433"/>
      <c r="H310" s="433" t="s">
        <v>2222</v>
      </c>
      <c r="I310" s="433" t="s">
        <v>30</v>
      </c>
      <c r="J310" s="433"/>
      <c r="K310" s="433" t="s">
        <v>18103</v>
      </c>
      <c r="L310" s="433">
        <v>30.0</v>
      </c>
      <c r="M310" s="433"/>
      <c r="N310" s="433" t="s">
        <v>18752</v>
      </c>
      <c r="O310" s="433" t="s">
        <v>3027</v>
      </c>
      <c r="P310" s="433">
        <v>2006.0</v>
      </c>
      <c r="Q310" s="433" t="s">
        <v>17956</v>
      </c>
      <c r="R310" s="433">
        <v>1.0</v>
      </c>
      <c r="S310" s="826"/>
      <c r="T310" s="3"/>
      <c r="U310" s="3"/>
      <c r="V310" s="3"/>
      <c r="W310" s="3"/>
      <c r="X310" s="3"/>
      <c r="Y310" s="3"/>
      <c r="Z310" s="3"/>
    </row>
    <row r="311" ht="15.75" customHeight="1">
      <c r="C311" s="449">
        <v>261.0</v>
      </c>
      <c r="D311" s="433" t="s">
        <v>31</v>
      </c>
      <c r="E311" s="433" t="s">
        <v>31</v>
      </c>
      <c r="F311" s="434" t="s">
        <v>18881</v>
      </c>
      <c r="G311" s="433"/>
      <c r="H311" s="433" t="s">
        <v>2222</v>
      </c>
      <c r="I311" s="433" t="s">
        <v>30</v>
      </c>
      <c r="J311" s="433"/>
      <c r="K311" s="433" t="s">
        <v>30</v>
      </c>
      <c r="L311" s="433">
        <v>22.0</v>
      </c>
      <c r="M311" s="433"/>
      <c r="N311" s="433" t="s">
        <v>18882</v>
      </c>
      <c r="O311" s="433" t="s">
        <v>18883</v>
      </c>
      <c r="P311" s="433">
        <v>1997.0</v>
      </c>
      <c r="Q311" s="433" t="s">
        <v>17956</v>
      </c>
      <c r="R311" s="433">
        <v>1.0</v>
      </c>
      <c r="S311" s="826"/>
      <c r="T311" s="3"/>
      <c r="U311" s="3"/>
      <c r="V311" s="3"/>
      <c r="W311" s="3"/>
      <c r="X311" s="3"/>
      <c r="Y311" s="3"/>
      <c r="Z311" s="3"/>
    </row>
    <row r="312" ht="15.75" customHeight="1">
      <c r="C312" s="449">
        <v>262.0</v>
      </c>
      <c r="D312" s="433" t="s">
        <v>31</v>
      </c>
      <c r="E312" s="433" t="s">
        <v>31</v>
      </c>
      <c r="F312" s="434" t="s">
        <v>18884</v>
      </c>
      <c r="G312" s="433"/>
      <c r="H312" s="433" t="s">
        <v>2222</v>
      </c>
      <c r="I312" s="433" t="s">
        <v>30</v>
      </c>
      <c r="J312" s="433"/>
      <c r="K312" s="433" t="s">
        <v>30</v>
      </c>
      <c r="L312" s="433">
        <v>31.0</v>
      </c>
      <c r="M312" s="433"/>
      <c r="N312" s="433" t="s">
        <v>18885</v>
      </c>
      <c r="O312" s="433" t="s">
        <v>18066</v>
      </c>
      <c r="P312" s="433">
        <v>1995.0</v>
      </c>
      <c r="Q312" s="433" t="s">
        <v>17956</v>
      </c>
      <c r="R312" s="433">
        <v>1.0</v>
      </c>
      <c r="S312" s="826"/>
      <c r="T312" s="3"/>
      <c r="U312" s="3"/>
      <c r="V312" s="3"/>
      <c r="W312" s="3"/>
      <c r="X312" s="3"/>
      <c r="Y312" s="3"/>
      <c r="Z312" s="3"/>
    </row>
    <row r="313" ht="15.75" customHeight="1">
      <c r="C313" s="449">
        <v>263.0</v>
      </c>
      <c r="D313" s="433" t="s">
        <v>18886</v>
      </c>
      <c r="E313" s="433" t="s">
        <v>31</v>
      </c>
      <c r="F313" s="434" t="s">
        <v>18887</v>
      </c>
      <c r="G313" s="433"/>
      <c r="H313" s="433" t="s">
        <v>2222</v>
      </c>
      <c r="I313" s="433" t="s">
        <v>30</v>
      </c>
      <c r="J313" s="433"/>
      <c r="K313" s="433" t="s">
        <v>30</v>
      </c>
      <c r="L313" s="433">
        <v>29.0</v>
      </c>
      <c r="M313" s="433"/>
      <c r="N313" s="433" t="s">
        <v>18314</v>
      </c>
      <c r="O313" s="433" t="s">
        <v>151</v>
      </c>
      <c r="P313" s="433">
        <v>1996.0</v>
      </c>
      <c r="Q313" s="433" t="s">
        <v>17956</v>
      </c>
      <c r="R313" s="433">
        <v>1.0</v>
      </c>
      <c r="S313" s="826"/>
      <c r="T313" s="3"/>
      <c r="U313" s="3"/>
      <c r="V313" s="3"/>
      <c r="W313" s="3"/>
      <c r="X313" s="3"/>
      <c r="Y313" s="3"/>
      <c r="Z313" s="3"/>
    </row>
    <row r="314" ht="15.75" customHeight="1">
      <c r="C314" s="449">
        <v>264.0</v>
      </c>
      <c r="D314" s="433" t="s">
        <v>18888</v>
      </c>
      <c r="E314" s="433" t="s">
        <v>31</v>
      </c>
      <c r="F314" s="434" t="s">
        <v>18889</v>
      </c>
      <c r="G314" s="433"/>
      <c r="H314" s="433" t="s">
        <v>2222</v>
      </c>
      <c r="I314" s="433" t="s">
        <v>16424</v>
      </c>
      <c r="J314" s="433" t="s">
        <v>0</v>
      </c>
      <c r="K314" s="433" t="s">
        <v>17079</v>
      </c>
      <c r="L314" s="433">
        <v>128.0</v>
      </c>
      <c r="M314" s="433"/>
      <c r="N314" s="433" t="s">
        <v>31</v>
      </c>
      <c r="O314" s="433" t="s">
        <v>18890</v>
      </c>
      <c r="P314" s="433">
        <v>2013.0</v>
      </c>
      <c r="Q314" s="433" t="s">
        <v>17956</v>
      </c>
      <c r="R314" s="433">
        <v>1.0</v>
      </c>
      <c r="S314" s="826"/>
      <c r="T314" s="3"/>
      <c r="U314" s="3"/>
      <c r="V314" s="3"/>
      <c r="W314" s="3"/>
      <c r="X314" s="3"/>
      <c r="Y314" s="3"/>
      <c r="Z314" s="3"/>
    </row>
    <row r="315" ht="15.75" customHeight="1">
      <c r="C315" s="449">
        <v>265.0</v>
      </c>
      <c r="D315" s="433" t="s">
        <v>18891</v>
      </c>
      <c r="E315" s="433" t="s">
        <v>18892</v>
      </c>
      <c r="F315" s="434" t="s">
        <v>18893</v>
      </c>
      <c r="G315" s="433"/>
      <c r="H315" s="433" t="s">
        <v>2222</v>
      </c>
      <c r="I315" s="433" t="s">
        <v>6271</v>
      </c>
      <c r="J315" s="433"/>
      <c r="K315" s="433" t="s">
        <v>38</v>
      </c>
      <c r="L315" s="433">
        <v>29.0</v>
      </c>
      <c r="M315" s="433"/>
      <c r="N315" s="433" t="s">
        <v>18759</v>
      </c>
      <c r="O315" s="433" t="s">
        <v>18370</v>
      </c>
      <c r="P315" s="433">
        <v>2000.0</v>
      </c>
      <c r="Q315" s="433" t="s">
        <v>17956</v>
      </c>
      <c r="R315" s="433">
        <v>1.0</v>
      </c>
      <c r="S315" s="826"/>
      <c r="T315" s="3"/>
      <c r="U315" s="3"/>
      <c r="V315" s="3"/>
      <c r="W315" s="3"/>
      <c r="X315" s="3"/>
      <c r="Y315" s="3"/>
      <c r="Z315" s="3"/>
    </row>
    <row r="316" ht="15.75" customHeight="1">
      <c r="C316" s="449">
        <v>266.0</v>
      </c>
      <c r="D316" s="433" t="s">
        <v>18894</v>
      </c>
      <c r="E316" s="433" t="s">
        <v>18895</v>
      </c>
      <c r="F316" s="434" t="s">
        <v>18896</v>
      </c>
      <c r="G316" s="433"/>
      <c r="H316" s="433" t="s">
        <v>2222</v>
      </c>
      <c r="I316" s="433" t="s">
        <v>37</v>
      </c>
      <c r="J316" s="433"/>
      <c r="K316" s="433" t="s">
        <v>38</v>
      </c>
      <c r="L316" s="433">
        <v>25.0</v>
      </c>
      <c r="M316" s="433"/>
      <c r="N316" s="433" t="s">
        <v>18897</v>
      </c>
      <c r="O316" s="433" t="s">
        <v>18739</v>
      </c>
      <c r="P316" s="433">
        <v>2013.0</v>
      </c>
      <c r="Q316" s="433" t="s">
        <v>17956</v>
      </c>
      <c r="R316" s="433">
        <v>1.0</v>
      </c>
      <c r="S316" s="826"/>
      <c r="T316" s="3"/>
      <c r="U316" s="3"/>
      <c r="V316" s="3"/>
      <c r="W316" s="3"/>
      <c r="X316" s="3"/>
      <c r="Y316" s="3"/>
      <c r="Z316" s="3"/>
    </row>
    <row r="317" ht="15.75" customHeight="1">
      <c r="C317" s="449">
        <v>267.0</v>
      </c>
      <c r="D317" s="433" t="s">
        <v>18898</v>
      </c>
      <c r="E317" s="433" t="s">
        <v>18899</v>
      </c>
      <c r="F317" s="434" t="s">
        <v>18900</v>
      </c>
      <c r="G317" s="433"/>
      <c r="H317" s="433" t="s">
        <v>2222</v>
      </c>
      <c r="I317" s="433" t="s">
        <v>30</v>
      </c>
      <c r="J317" s="433"/>
      <c r="K317" s="433" t="s">
        <v>30</v>
      </c>
      <c r="L317" s="433">
        <v>200.0</v>
      </c>
      <c r="M317" s="433"/>
      <c r="N317" s="433" t="s">
        <v>18901</v>
      </c>
      <c r="O317" s="433" t="s">
        <v>2698</v>
      </c>
      <c r="P317" s="433">
        <v>2011.0</v>
      </c>
      <c r="Q317" s="433" t="s">
        <v>17956</v>
      </c>
      <c r="R317" s="433">
        <v>1.0</v>
      </c>
      <c r="S317" s="826"/>
      <c r="T317" s="3"/>
      <c r="U317" s="3"/>
      <c r="V317" s="3"/>
      <c r="W317" s="3"/>
      <c r="X317" s="3"/>
      <c r="Y317" s="3"/>
      <c r="Z317" s="3"/>
    </row>
    <row r="318" ht="15.75" customHeight="1">
      <c r="C318" s="449">
        <v>268.0</v>
      </c>
      <c r="D318" s="433" t="s">
        <v>18902</v>
      </c>
      <c r="E318" s="433" t="s">
        <v>18903</v>
      </c>
      <c r="F318" s="434" t="s">
        <v>18904</v>
      </c>
      <c r="G318" s="433"/>
      <c r="H318" s="433" t="s">
        <v>2222</v>
      </c>
      <c r="I318" s="433" t="s">
        <v>30</v>
      </c>
      <c r="J318" s="433"/>
      <c r="K318" s="433" t="s">
        <v>30</v>
      </c>
      <c r="L318" s="433">
        <v>200.0</v>
      </c>
      <c r="M318" s="433"/>
      <c r="N318" s="433" t="s">
        <v>18905</v>
      </c>
      <c r="O318" s="433" t="s">
        <v>2698</v>
      </c>
      <c r="P318" s="433">
        <v>2011.0</v>
      </c>
      <c r="Q318" s="433" t="s">
        <v>17956</v>
      </c>
      <c r="R318" s="433">
        <v>1.0</v>
      </c>
      <c r="S318" s="826"/>
      <c r="T318" s="3"/>
      <c r="U318" s="3"/>
      <c r="V318" s="3"/>
      <c r="W318" s="3"/>
      <c r="X318" s="3"/>
      <c r="Y318" s="3"/>
      <c r="Z318" s="3"/>
    </row>
    <row r="319" ht="15.75" customHeight="1">
      <c r="C319" s="449">
        <v>269.0</v>
      </c>
      <c r="D319" s="433" t="s">
        <v>18906</v>
      </c>
      <c r="E319" s="433" t="s">
        <v>31</v>
      </c>
      <c r="F319" s="434" t="s">
        <v>18907</v>
      </c>
      <c r="G319" s="433"/>
      <c r="H319" s="433" t="s">
        <v>2222</v>
      </c>
      <c r="I319" s="433" t="s">
        <v>30</v>
      </c>
      <c r="J319" s="433"/>
      <c r="K319" s="433" t="s">
        <v>30</v>
      </c>
      <c r="L319" s="433">
        <v>223.0</v>
      </c>
      <c r="M319" s="433"/>
      <c r="N319" s="433" t="s">
        <v>18908</v>
      </c>
      <c r="O319" s="433" t="s">
        <v>2698</v>
      </c>
      <c r="P319" s="433">
        <v>2010.0</v>
      </c>
      <c r="Q319" s="433" t="s">
        <v>17956</v>
      </c>
      <c r="R319" s="433">
        <v>1.0</v>
      </c>
      <c r="S319" s="826"/>
      <c r="T319" s="3"/>
      <c r="U319" s="3"/>
      <c r="V319" s="3"/>
      <c r="W319" s="3"/>
      <c r="X319" s="3"/>
      <c r="Y319" s="3"/>
      <c r="Z319" s="3"/>
    </row>
    <row r="320" ht="15.75" customHeight="1">
      <c r="C320" s="449">
        <v>270.0</v>
      </c>
      <c r="D320" s="433" t="s">
        <v>18909</v>
      </c>
      <c r="E320" s="433" t="s">
        <v>18910</v>
      </c>
      <c r="F320" s="434" t="s">
        <v>18911</v>
      </c>
      <c r="G320" s="433"/>
      <c r="H320" s="433" t="s">
        <v>2222</v>
      </c>
      <c r="I320" s="433" t="s">
        <v>30</v>
      </c>
      <c r="J320" s="433"/>
      <c r="K320" s="433" t="s">
        <v>30</v>
      </c>
      <c r="L320" s="433">
        <v>192.0</v>
      </c>
      <c r="M320" s="433"/>
      <c r="N320" s="433" t="s">
        <v>18912</v>
      </c>
      <c r="O320" s="433" t="s">
        <v>8469</v>
      </c>
      <c r="P320" s="433">
        <v>2011.0</v>
      </c>
      <c r="Q320" s="433" t="s">
        <v>17956</v>
      </c>
      <c r="R320" s="433">
        <v>1.0</v>
      </c>
      <c r="S320" s="826"/>
      <c r="T320" s="3"/>
      <c r="U320" s="3"/>
      <c r="V320" s="3"/>
      <c r="W320" s="3"/>
      <c r="X320" s="3"/>
      <c r="Y320" s="3"/>
      <c r="Z320" s="3"/>
    </row>
    <row r="321" ht="15.75" customHeight="1">
      <c r="C321" s="449">
        <v>271.0</v>
      </c>
      <c r="D321" s="433" t="s">
        <v>18913</v>
      </c>
      <c r="E321" s="433" t="s">
        <v>18914</v>
      </c>
      <c r="F321" s="434" t="s">
        <v>18915</v>
      </c>
      <c r="G321" s="433"/>
      <c r="H321" s="433" t="s">
        <v>2222</v>
      </c>
      <c r="I321" s="433" t="s">
        <v>30</v>
      </c>
      <c r="J321" s="433"/>
      <c r="K321" s="433" t="s">
        <v>30</v>
      </c>
      <c r="L321" s="433">
        <v>219.0</v>
      </c>
      <c r="M321" s="433"/>
      <c r="N321" s="433" t="s">
        <v>18908</v>
      </c>
      <c r="O321" s="433" t="s">
        <v>2698</v>
      </c>
      <c r="P321" s="433">
        <v>2011.0</v>
      </c>
      <c r="Q321" s="433" t="s">
        <v>17956</v>
      </c>
      <c r="R321" s="433">
        <v>1.0</v>
      </c>
      <c r="S321" s="826"/>
      <c r="T321" s="3"/>
      <c r="U321" s="3"/>
      <c r="V321" s="3"/>
      <c r="W321" s="3"/>
      <c r="X321" s="3"/>
      <c r="Y321" s="3"/>
      <c r="Z321" s="3"/>
    </row>
    <row r="322" ht="15.75" customHeight="1">
      <c r="C322" s="449">
        <v>272.0</v>
      </c>
      <c r="D322" s="433" t="s">
        <v>18916</v>
      </c>
      <c r="E322" s="433" t="s">
        <v>18914</v>
      </c>
      <c r="F322" s="434" t="s">
        <v>18917</v>
      </c>
      <c r="G322" s="433"/>
      <c r="H322" s="433" t="s">
        <v>2222</v>
      </c>
      <c r="I322" s="433" t="s">
        <v>30</v>
      </c>
      <c r="J322" s="433"/>
      <c r="K322" s="433" t="s">
        <v>30</v>
      </c>
      <c r="L322" s="433">
        <v>219.0</v>
      </c>
      <c r="M322" s="433"/>
      <c r="N322" s="433" t="s">
        <v>18908</v>
      </c>
      <c r="O322" s="433" t="s">
        <v>2698</v>
      </c>
      <c r="P322" s="433">
        <v>2011.0</v>
      </c>
      <c r="Q322" s="433" t="s">
        <v>17956</v>
      </c>
      <c r="R322" s="433">
        <v>1.0</v>
      </c>
      <c r="S322" s="826"/>
      <c r="T322" s="3"/>
      <c r="U322" s="3"/>
      <c r="V322" s="3"/>
      <c r="W322" s="3"/>
      <c r="X322" s="3"/>
      <c r="Y322" s="3"/>
      <c r="Z322" s="3"/>
    </row>
    <row r="323" ht="15.75" customHeight="1">
      <c r="C323" s="449">
        <v>273.0</v>
      </c>
      <c r="D323" s="433" t="s">
        <v>18918</v>
      </c>
      <c r="E323" s="433" t="s">
        <v>31</v>
      </c>
      <c r="F323" s="434" t="s">
        <v>18919</v>
      </c>
      <c r="G323" s="433"/>
      <c r="H323" s="433" t="s">
        <v>2222</v>
      </c>
      <c r="I323" s="433" t="s">
        <v>30</v>
      </c>
      <c r="J323" s="433"/>
      <c r="K323" s="433" t="s">
        <v>30</v>
      </c>
      <c r="L323" s="433">
        <v>258.0</v>
      </c>
      <c r="M323" s="433"/>
      <c r="N323" s="433" t="s">
        <v>18920</v>
      </c>
      <c r="O323" s="433" t="s">
        <v>151</v>
      </c>
      <c r="P323" s="433">
        <v>2009.0</v>
      </c>
      <c r="Q323" s="433" t="s">
        <v>17956</v>
      </c>
      <c r="R323" s="433">
        <v>1.0</v>
      </c>
      <c r="S323" s="826"/>
      <c r="T323" s="3"/>
      <c r="U323" s="3"/>
      <c r="V323" s="3"/>
      <c r="W323" s="3"/>
      <c r="X323" s="3"/>
      <c r="Y323" s="3"/>
      <c r="Z323" s="3"/>
    </row>
    <row r="324" ht="15.75" customHeight="1">
      <c r="C324" s="449">
        <v>274.0</v>
      </c>
      <c r="D324" s="433" t="s">
        <v>18921</v>
      </c>
      <c r="E324" s="433" t="s">
        <v>31</v>
      </c>
      <c r="F324" s="434" t="s">
        <v>18922</v>
      </c>
      <c r="G324" s="433"/>
      <c r="H324" s="433" t="s">
        <v>2222</v>
      </c>
      <c r="I324" s="433" t="s">
        <v>30</v>
      </c>
      <c r="J324" s="433"/>
      <c r="K324" s="433" t="s">
        <v>18286</v>
      </c>
      <c r="L324" s="433">
        <v>35.0</v>
      </c>
      <c r="M324" s="433"/>
      <c r="N324" s="433" t="s">
        <v>18923</v>
      </c>
      <c r="O324" s="433" t="s">
        <v>151</v>
      </c>
      <c r="P324" s="433">
        <v>2011.0</v>
      </c>
      <c r="Q324" s="433" t="s">
        <v>17956</v>
      </c>
      <c r="R324" s="433">
        <v>1.0</v>
      </c>
      <c r="S324" s="826"/>
      <c r="T324" s="3"/>
      <c r="U324" s="3"/>
      <c r="V324" s="3"/>
      <c r="W324" s="3"/>
      <c r="X324" s="3"/>
      <c r="Y324" s="3"/>
      <c r="Z324" s="3"/>
    </row>
    <row r="325" ht="15.75" customHeight="1">
      <c r="C325" s="449">
        <v>275.0</v>
      </c>
      <c r="D325" s="433" t="s">
        <v>18924</v>
      </c>
      <c r="E325" s="433" t="s">
        <v>31</v>
      </c>
      <c r="F325" s="434" t="s">
        <v>18925</v>
      </c>
      <c r="G325" s="433"/>
      <c r="H325" s="433" t="s">
        <v>2222</v>
      </c>
      <c r="I325" s="433" t="s">
        <v>30</v>
      </c>
      <c r="J325" s="433"/>
      <c r="K325" s="433" t="s">
        <v>30</v>
      </c>
      <c r="L325" s="433">
        <v>287.0</v>
      </c>
      <c r="M325" s="433"/>
      <c r="N325" s="433" t="s">
        <v>18926</v>
      </c>
      <c r="O325" s="433" t="s">
        <v>18927</v>
      </c>
      <c r="P325" s="433">
        <v>2007.0</v>
      </c>
      <c r="Q325" s="433" t="s">
        <v>17956</v>
      </c>
      <c r="R325" s="433">
        <v>1.0</v>
      </c>
      <c r="S325" s="826"/>
      <c r="T325" s="3"/>
      <c r="U325" s="3"/>
      <c r="V325" s="3"/>
      <c r="W325" s="3"/>
      <c r="X325" s="3"/>
      <c r="Y325" s="3"/>
      <c r="Z325" s="3"/>
    </row>
    <row r="326" ht="15.75" customHeight="1">
      <c r="C326" s="449">
        <v>276.0</v>
      </c>
      <c r="D326" s="433" t="s">
        <v>18928</v>
      </c>
      <c r="E326" s="433" t="s">
        <v>18929</v>
      </c>
      <c r="F326" s="434" t="s">
        <v>18930</v>
      </c>
      <c r="G326" s="433"/>
      <c r="H326" s="433" t="s">
        <v>2222</v>
      </c>
      <c r="I326" s="433" t="s">
        <v>38</v>
      </c>
      <c r="J326" s="433"/>
      <c r="K326" s="433" t="s">
        <v>38</v>
      </c>
      <c r="L326" s="433">
        <v>223.0</v>
      </c>
      <c r="M326" s="433"/>
      <c r="N326" s="433" t="s">
        <v>18931</v>
      </c>
      <c r="O326" s="433" t="s">
        <v>18932</v>
      </c>
      <c r="P326" s="433">
        <v>2010.0</v>
      </c>
      <c r="Q326" s="433" t="s">
        <v>17956</v>
      </c>
      <c r="R326" s="433">
        <v>1.0</v>
      </c>
      <c r="S326" s="826"/>
      <c r="T326" s="3"/>
      <c r="U326" s="3"/>
      <c r="V326" s="3"/>
      <c r="W326" s="3"/>
      <c r="X326" s="3"/>
      <c r="Y326" s="3"/>
      <c r="Z326" s="3"/>
    </row>
    <row r="327" ht="15.75" customHeight="1">
      <c r="C327" s="449">
        <v>277.0</v>
      </c>
      <c r="D327" s="433" t="s">
        <v>18933</v>
      </c>
      <c r="E327" s="433" t="s">
        <v>18934</v>
      </c>
      <c r="F327" s="434" t="s">
        <v>18935</v>
      </c>
      <c r="G327" s="433"/>
      <c r="H327" s="433" t="s">
        <v>2222</v>
      </c>
      <c r="I327" s="433" t="s">
        <v>30</v>
      </c>
      <c r="J327" s="433"/>
      <c r="K327" s="433" t="s">
        <v>18286</v>
      </c>
      <c r="L327" s="433">
        <v>444.0</v>
      </c>
      <c r="M327" s="433"/>
      <c r="N327" s="433" t="s">
        <v>18936</v>
      </c>
      <c r="O327" s="433" t="s">
        <v>151</v>
      </c>
      <c r="P327" s="433">
        <v>2011.0</v>
      </c>
      <c r="Q327" s="433" t="s">
        <v>17956</v>
      </c>
      <c r="R327" s="433">
        <v>1.0</v>
      </c>
      <c r="S327" s="826"/>
      <c r="T327" s="3"/>
      <c r="U327" s="3"/>
      <c r="V327" s="3"/>
      <c r="W327" s="3"/>
      <c r="X327" s="3"/>
      <c r="Y327" s="3"/>
      <c r="Z327" s="3"/>
    </row>
    <row r="328" ht="15.75" customHeight="1">
      <c r="C328" s="449">
        <v>278.0</v>
      </c>
      <c r="D328" s="433" t="s">
        <v>10241</v>
      </c>
      <c r="E328" s="433" t="s">
        <v>18937</v>
      </c>
      <c r="F328" s="434" t="s">
        <v>18938</v>
      </c>
      <c r="G328" s="433"/>
      <c r="H328" s="433" t="s">
        <v>2222</v>
      </c>
      <c r="I328" s="433" t="s">
        <v>12291</v>
      </c>
      <c r="J328" s="433"/>
      <c r="K328" s="433" t="s">
        <v>38</v>
      </c>
      <c r="L328" s="433">
        <v>79.0</v>
      </c>
      <c r="M328" s="433"/>
      <c r="N328" s="433" t="s">
        <v>31</v>
      </c>
      <c r="O328" s="433" t="s">
        <v>13420</v>
      </c>
      <c r="P328" s="433">
        <v>1982.0</v>
      </c>
      <c r="Q328" s="433" t="s">
        <v>17956</v>
      </c>
      <c r="R328" s="433">
        <v>1.0</v>
      </c>
      <c r="S328" s="826"/>
      <c r="T328" s="3"/>
      <c r="U328" s="3"/>
      <c r="V328" s="3"/>
      <c r="W328" s="3"/>
      <c r="X328" s="3"/>
      <c r="Y328" s="3"/>
      <c r="Z328" s="3"/>
    </row>
    <row r="329" ht="15.75" customHeight="1">
      <c r="C329" s="449">
        <v>279.0</v>
      </c>
      <c r="D329" s="433" t="s">
        <v>18939</v>
      </c>
      <c r="E329" s="433" t="s">
        <v>31</v>
      </c>
      <c r="F329" s="434" t="s">
        <v>18940</v>
      </c>
      <c r="G329" s="433"/>
      <c r="H329" s="433" t="s">
        <v>2222</v>
      </c>
      <c r="I329" s="433" t="s">
        <v>30</v>
      </c>
      <c r="J329" s="433"/>
      <c r="K329" s="433" t="s">
        <v>18286</v>
      </c>
      <c r="L329" s="433">
        <v>447.0</v>
      </c>
      <c r="M329" s="433"/>
      <c r="N329" s="433" t="s">
        <v>18941</v>
      </c>
      <c r="O329" s="433" t="s">
        <v>151</v>
      </c>
      <c r="P329" s="433">
        <v>2011.0</v>
      </c>
      <c r="Q329" s="433" t="s">
        <v>17956</v>
      </c>
      <c r="R329" s="433">
        <v>1.0</v>
      </c>
      <c r="S329" s="826"/>
      <c r="T329" s="3"/>
      <c r="U329" s="3"/>
      <c r="V329" s="3"/>
      <c r="W329" s="3"/>
      <c r="X329" s="3"/>
      <c r="Y329" s="3"/>
      <c r="Z329" s="3"/>
    </row>
    <row r="330" ht="35.25" customHeight="1">
      <c r="C330" s="449">
        <v>280.0</v>
      </c>
      <c r="D330" s="433" t="s">
        <v>18942</v>
      </c>
      <c r="E330" s="433" t="s">
        <v>18943</v>
      </c>
      <c r="F330" s="434" t="s">
        <v>18944</v>
      </c>
      <c r="G330" s="433"/>
      <c r="H330" s="433" t="s">
        <v>2222</v>
      </c>
      <c r="I330" s="433" t="s">
        <v>30</v>
      </c>
      <c r="J330" s="433"/>
      <c r="K330" s="433" t="s">
        <v>30</v>
      </c>
      <c r="L330" s="433">
        <v>114.0</v>
      </c>
      <c r="M330" s="433"/>
      <c r="N330" s="433" t="s">
        <v>18374</v>
      </c>
      <c r="O330" s="433" t="s">
        <v>151</v>
      </c>
      <c r="P330" s="433">
        <v>2010.0</v>
      </c>
      <c r="Q330" s="433" t="s">
        <v>17956</v>
      </c>
      <c r="R330" s="433">
        <v>1.0</v>
      </c>
      <c r="S330" s="826"/>
      <c r="T330" s="3"/>
      <c r="U330" s="3"/>
      <c r="V330" s="3"/>
      <c r="W330" s="3"/>
      <c r="X330" s="3"/>
      <c r="Y330" s="3"/>
      <c r="Z330" s="3"/>
    </row>
    <row r="331" ht="15.75" customHeight="1">
      <c r="C331" s="449">
        <v>281.0</v>
      </c>
      <c r="D331" s="433" t="s">
        <v>18945</v>
      </c>
      <c r="E331" s="433"/>
      <c r="F331" s="434" t="s">
        <v>18946</v>
      </c>
      <c r="G331" s="433" t="s">
        <v>144</v>
      </c>
      <c r="H331" s="433" t="s">
        <v>2222</v>
      </c>
      <c r="I331" s="433" t="s">
        <v>30</v>
      </c>
      <c r="J331" s="433"/>
      <c r="K331" s="433" t="s">
        <v>30</v>
      </c>
      <c r="L331" s="433">
        <v>36.0</v>
      </c>
      <c r="M331" s="433"/>
      <c r="N331" s="433" t="s">
        <v>18365</v>
      </c>
      <c r="O331" s="433" t="s">
        <v>151</v>
      </c>
      <c r="P331" s="433">
        <v>2012.0</v>
      </c>
      <c r="Q331" s="433" t="s">
        <v>17956</v>
      </c>
      <c r="R331" s="433">
        <v>1.0</v>
      </c>
      <c r="S331" s="826"/>
      <c r="T331" s="3"/>
      <c r="U331" s="3"/>
      <c r="V331" s="3"/>
      <c r="W331" s="3"/>
      <c r="X331" s="3"/>
      <c r="Y331" s="3"/>
      <c r="Z331" s="3"/>
    </row>
    <row r="332" ht="15.75" customHeight="1">
      <c r="C332" s="449">
        <v>282.0</v>
      </c>
      <c r="D332" s="433" t="s">
        <v>18947</v>
      </c>
      <c r="E332" s="433"/>
      <c r="F332" s="434" t="s">
        <v>18948</v>
      </c>
      <c r="G332" s="433" t="s">
        <v>144</v>
      </c>
      <c r="H332" s="433" t="s">
        <v>2222</v>
      </c>
      <c r="I332" s="433" t="s">
        <v>30</v>
      </c>
      <c r="J332" s="433"/>
      <c r="K332" s="433" t="s">
        <v>30</v>
      </c>
      <c r="L332" s="433">
        <v>36.0</v>
      </c>
      <c r="M332" s="433"/>
      <c r="N332" s="433" t="s">
        <v>18365</v>
      </c>
      <c r="O332" s="433" t="s">
        <v>151</v>
      </c>
      <c r="P332" s="433">
        <v>2012.0</v>
      </c>
      <c r="Q332" s="433" t="s">
        <v>17956</v>
      </c>
      <c r="R332" s="433">
        <v>1.0</v>
      </c>
      <c r="S332" s="826"/>
      <c r="T332" s="3"/>
      <c r="U332" s="3"/>
      <c r="V332" s="3"/>
      <c r="W332" s="3"/>
      <c r="X332" s="3"/>
      <c r="Y332" s="3"/>
      <c r="Z332" s="3"/>
    </row>
    <row r="333" ht="15.75" customHeight="1">
      <c r="C333" s="449">
        <v>283.0</v>
      </c>
      <c r="D333" s="433" t="s">
        <v>18949</v>
      </c>
      <c r="E333" s="433"/>
      <c r="F333" s="434" t="s">
        <v>18950</v>
      </c>
      <c r="G333" s="433" t="s">
        <v>144</v>
      </c>
      <c r="H333" s="433" t="s">
        <v>2222</v>
      </c>
      <c r="I333" s="433" t="s">
        <v>30</v>
      </c>
      <c r="J333" s="433"/>
      <c r="K333" s="433" t="s">
        <v>30</v>
      </c>
      <c r="L333" s="433">
        <v>36.0</v>
      </c>
      <c r="M333" s="433"/>
      <c r="N333" s="433" t="s">
        <v>18365</v>
      </c>
      <c r="O333" s="433" t="s">
        <v>151</v>
      </c>
      <c r="P333" s="433">
        <v>2012.0</v>
      </c>
      <c r="Q333" s="433" t="s">
        <v>17956</v>
      </c>
      <c r="R333" s="433">
        <v>1.0</v>
      </c>
      <c r="S333" s="826"/>
      <c r="T333" s="3"/>
      <c r="U333" s="3"/>
      <c r="V333" s="3"/>
      <c r="W333" s="3"/>
      <c r="X333" s="3"/>
      <c r="Y333" s="3"/>
      <c r="Z333" s="3"/>
    </row>
    <row r="334" ht="15.75" customHeight="1">
      <c r="C334" s="449">
        <v>284.0</v>
      </c>
      <c r="D334" s="433" t="s">
        <v>18951</v>
      </c>
      <c r="E334" s="433"/>
      <c r="F334" s="434" t="s">
        <v>18952</v>
      </c>
      <c r="G334" s="433" t="s">
        <v>144</v>
      </c>
      <c r="H334" s="433" t="s">
        <v>2222</v>
      </c>
      <c r="I334" s="433" t="s">
        <v>30</v>
      </c>
      <c r="J334" s="433"/>
      <c r="K334" s="433" t="s">
        <v>30</v>
      </c>
      <c r="L334" s="433">
        <v>98.0</v>
      </c>
      <c r="M334" s="433"/>
      <c r="N334" s="433" t="s">
        <v>18953</v>
      </c>
      <c r="O334" s="433" t="s">
        <v>18954</v>
      </c>
      <c r="P334" s="433">
        <v>2009.0</v>
      </c>
      <c r="Q334" s="433" t="s">
        <v>17956</v>
      </c>
      <c r="R334" s="433">
        <v>1.0</v>
      </c>
      <c r="S334" s="826"/>
      <c r="T334" s="3"/>
      <c r="U334" s="3"/>
      <c r="V334" s="3"/>
      <c r="W334" s="3"/>
      <c r="X334" s="3"/>
      <c r="Y334" s="3"/>
      <c r="Z334" s="3"/>
    </row>
    <row r="335" ht="15.75" customHeight="1">
      <c r="C335" s="449">
        <v>285.0</v>
      </c>
      <c r="D335" s="433" t="s">
        <v>31</v>
      </c>
      <c r="E335" s="433"/>
      <c r="F335" s="434" t="s">
        <v>18955</v>
      </c>
      <c r="G335" s="433" t="s">
        <v>144</v>
      </c>
      <c r="H335" s="433" t="s">
        <v>2222</v>
      </c>
      <c r="I335" s="433" t="s">
        <v>30</v>
      </c>
      <c r="J335" s="433"/>
      <c r="K335" s="433" t="s">
        <v>30</v>
      </c>
      <c r="L335" s="433">
        <v>223.0</v>
      </c>
      <c r="M335" s="433"/>
      <c r="N335" s="433" t="s">
        <v>18956</v>
      </c>
      <c r="O335" s="433" t="s">
        <v>7353</v>
      </c>
      <c r="P335" s="433" t="s">
        <v>31</v>
      </c>
      <c r="Q335" s="433" t="s">
        <v>17956</v>
      </c>
      <c r="R335" s="433">
        <v>1.0</v>
      </c>
      <c r="S335" s="826"/>
      <c r="T335" s="3"/>
      <c r="U335" s="3"/>
      <c r="V335" s="3"/>
      <c r="W335" s="3"/>
      <c r="X335" s="3"/>
      <c r="Y335" s="3"/>
      <c r="Z335" s="3"/>
    </row>
    <row r="336" ht="15.75" customHeight="1">
      <c r="C336" s="449">
        <v>286.0</v>
      </c>
      <c r="D336" s="433" t="s">
        <v>18957</v>
      </c>
      <c r="E336" s="433"/>
      <c r="F336" s="434" t="s">
        <v>18958</v>
      </c>
      <c r="G336" s="433" t="s">
        <v>144</v>
      </c>
      <c r="H336" s="433" t="s">
        <v>2222</v>
      </c>
      <c r="I336" s="433" t="s">
        <v>30</v>
      </c>
      <c r="J336" s="433"/>
      <c r="K336" s="433" t="s">
        <v>30</v>
      </c>
      <c r="L336" s="433">
        <v>40.0</v>
      </c>
      <c r="M336" s="433"/>
      <c r="N336" s="433" t="s">
        <v>18959</v>
      </c>
      <c r="O336" s="433" t="s">
        <v>6235</v>
      </c>
      <c r="P336" s="433">
        <v>2013.0</v>
      </c>
      <c r="Q336" s="433" t="s">
        <v>17956</v>
      </c>
      <c r="R336" s="433">
        <v>1.0</v>
      </c>
      <c r="S336" s="826"/>
      <c r="T336" s="3"/>
      <c r="U336" s="3"/>
      <c r="V336" s="3"/>
      <c r="W336" s="3"/>
      <c r="X336" s="3"/>
      <c r="Y336" s="3"/>
      <c r="Z336" s="3"/>
    </row>
    <row r="337" ht="15.75" customHeight="1">
      <c r="C337" s="449">
        <v>287.0</v>
      </c>
      <c r="D337" s="433" t="s">
        <v>18960</v>
      </c>
      <c r="E337" s="433"/>
      <c r="F337" s="434" t="s">
        <v>18961</v>
      </c>
      <c r="G337" s="433" t="s">
        <v>144</v>
      </c>
      <c r="H337" s="433" t="s">
        <v>2222</v>
      </c>
      <c r="I337" s="433" t="s">
        <v>30</v>
      </c>
      <c r="J337" s="433"/>
      <c r="K337" s="433" t="s">
        <v>30</v>
      </c>
      <c r="L337" s="433">
        <v>38.0</v>
      </c>
      <c r="M337" s="433"/>
      <c r="N337" s="433" t="s">
        <v>18962</v>
      </c>
      <c r="O337" s="433" t="s">
        <v>18963</v>
      </c>
      <c r="P337" s="433">
        <v>2014.0</v>
      </c>
      <c r="Q337" s="433" t="s">
        <v>17956</v>
      </c>
      <c r="R337" s="433">
        <v>1.0</v>
      </c>
      <c r="S337" s="826"/>
      <c r="T337" s="3"/>
      <c r="U337" s="3"/>
      <c r="V337" s="3"/>
      <c r="W337" s="3"/>
      <c r="X337" s="3"/>
      <c r="Y337" s="3"/>
      <c r="Z337" s="3"/>
    </row>
    <row r="338" ht="15.75" customHeight="1">
      <c r="C338" s="449">
        <v>288.0</v>
      </c>
      <c r="D338" s="433" t="s">
        <v>31</v>
      </c>
      <c r="E338" s="433"/>
      <c r="F338" s="434" t="s">
        <v>18964</v>
      </c>
      <c r="G338" s="433" t="s">
        <v>144</v>
      </c>
      <c r="H338" s="433" t="s">
        <v>2222</v>
      </c>
      <c r="I338" s="433" t="s">
        <v>30</v>
      </c>
      <c r="J338" s="433"/>
      <c r="K338" s="433" t="s">
        <v>30</v>
      </c>
      <c r="L338" s="433"/>
      <c r="M338" s="433"/>
      <c r="N338" s="433" t="s">
        <v>18965</v>
      </c>
      <c r="O338" s="433" t="s">
        <v>4645</v>
      </c>
      <c r="P338" s="433">
        <v>2006.0</v>
      </c>
      <c r="Q338" s="433" t="s">
        <v>17956</v>
      </c>
      <c r="R338" s="433">
        <v>1.0</v>
      </c>
      <c r="S338" s="826"/>
      <c r="T338" s="3"/>
      <c r="U338" s="3"/>
      <c r="V338" s="3"/>
      <c r="W338" s="3"/>
      <c r="X338" s="3"/>
      <c r="Y338" s="3"/>
      <c r="Z338" s="3"/>
    </row>
    <row r="339" ht="15.75" customHeight="1">
      <c r="C339" s="449">
        <v>289.0</v>
      </c>
      <c r="D339" s="433" t="s">
        <v>18966</v>
      </c>
      <c r="E339" s="433"/>
      <c r="F339" s="434" t="s">
        <v>18967</v>
      </c>
      <c r="G339" s="433" t="s">
        <v>144</v>
      </c>
      <c r="H339" s="433" t="s">
        <v>2222</v>
      </c>
      <c r="I339" s="433" t="s">
        <v>30</v>
      </c>
      <c r="J339" s="433"/>
      <c r="K339" s="433" t="s">
        <v>30</v>
      </c>
      <c r="L339" s="433">
        <v>216.0</v>
      </c>
      <c r="M339" s="433"/>
      <c r="N339" s="433" t="s">
        <v>18968</v>
      </c>
      <c r="O339" s="433" t="s">
        <v>151</v>
      </c>
      <c r="P339" s="433">
        <v>2008.0</v>
      </c>
      <c r="Q339" s="433" t="s">
        <v>17956</v>
      </c>
      <c r="R339" s="433">
        <v>1.0</v>
      </c>
      <c r="S339" s="826"/>
      <c r="T339" s="3"/>
      <c r="U339" s="3"/>
      <c r="V339" s="3"/>
      <c r="W339" s="3"/>
      <c r="X339" s="3"/>
      <c r="Y339" s="3"/>
      <c r="Z339" s="3"/>
    </row>
    <row r="340" ht="27.0" customHeight="1">
      <c r="C340" s="449">
        <v>290.0</v>
      </c>
      <c r="D340" s="433" t="s">
        <v>18969</v>
      </c>
      <c r="E340" s="433"/>
      <c r="F340" s="434" t="s">
        <v>18970</v>
      </c>
      <c r="G340" s="433" t="s">
        <v>144</v>
      </c>
      <c r="H340" s="433" t="s">
        <v>2222</v>
      </c>
      <c r="I340" s="433" t="s">
        <v>30</v>
      </c>
      <c r="J340" s="433"/>
      <c r="K340" s="433" t="s">
        <v>30</v>
      </c>
      <c r="L340" s="433">
        <v>24.0</v>
      </c>
      <c r="M340" s="433"/>
      <c r="N340" s="433" t="s">
        <v>18971</v>
      </c>
      <c r="O340" s="433" t="s">
        <v>6235</v>
      </c>
      <c r="P340" s="433">
        <v>2014.0</v>
      </c>
      <c r="Q340" s="433" t="s">
        <v>17956</v>
      </c>
      <c r="R340" s="433">
        <v>1.0</v>
      </c>
      <c r="S340" s="826"/>
      <c r="T340" s="3"/>
      <c r="U340" s="3"/>
      <c r="V340" s="3"/>
      <c r="W340" s="3"/>
      <c r="X340" s="3"/>
      <c r="Y340" s="3"/>
      <c r="Z340" s="3"/>
    </row>
    <row r="341" ht="15.75" customHeight="1">
      <c r="C341" s="449">
        <v>291.0</v>
      </c>
      <c r="D341" s="433" t="s">
        <v>18972</v>
      </c>
      <c r="E341" s="433"/>
      <c r="F341" s="434" t="s">
        <v>18973</v>
      </c>
      <c r="G341" s="433" t="s">
        <v>144</v>
      </c>
      <c r="H341" s="433" t="s">
        <v>2222</v>
      </c>
      <c r="I341" s="433" t="s">
        <v>30</v>
      </c>
      <c r="J341" s="433"/>
      <c r="K341" s="433" t="s">
        <v>30</v>
      </c>
      <c r="L341" s="433">
        <v>24.0</v>
      </c>
      <c r="M341" s="433"/>
      <c r="N341" s="433" t="s">
        <v>18971</v>
      </c>
      <c r="O341" s="433" t="s">
        <v>6235</v>
      </c>
      <c r="P341" s="433">
        <v>2014.0</v>
      </c>
      <c r="Q341" s="433" t="s">
        <v>17956</v>
      </c>
      <c r="R341" s="433">
        <v>1.0</v>
      </c>
      <c r="S341" s="826"/>
      <c r="T341" s="3"/>
      <c r="U341" s="3"/>
      <c r="V341" s="3"/>
      <c r="W341" s="3"/>
      <c r="X341" s="3"/>
      <c r="Y341" s="3"/>
      <c r="Z341" s="3"/>
    </row>
    <row r="342" ht="29.25" customHeight="1">
      <c r="C342" s="449">
        <v>292.0</v>
      </c>
      <c r="D342" s="433" t="s">
        <v>18969</v>
      </c>
      <c r="E342" s="433"/>
      <c r="F342" s="434" t="s">
        <v>18974</v>
      </c>
      <c r="G342" s="433" t="s">
        <v>144</v>
      </c>
      <c r="H342" s="433" t="s">
        <v>2222</v>
      </c>
      <c r="I342" s="433" t="s">
        <v>30</v>
      </c>
      <c r="J342" s="433"/>
      <c r="K342" s="433" t="s">
        <v>30</v>
      </c>
      <c r="L342" s="433">
        <v>24.0</v>
      </c>
      <c r="M342" s="433"/>
      <c r="N342" s="433" t="s">
        <v>18971</v>
      </c>
      <c r="O342" s="433" t="s">
        <v>6235</v>
      </c>
      <c r="P342" s="433">
        <v>2014.0</v>
      </c>
      <c r="Q342" s="433" t="s">
        <v>17956</v>
      </c>
      <c r="R342" s="433">
        <v>1.0</v>
      </c>
      <c r="S342" s="826"/>
      <c r="T342" s="3"/>
      <c r="U342" s="3"/>
      <c r="V342" s="3"/>
      <c r="W342" s="3"/>
      <c r="X342" s="3"/>
      <c r="Y342" s="3"/>
      <c r="Z342" s="3"/>
    </row>
    <row r="343" ht="25.5" customHeight="1">
      <c r="C343" s="449">
        <v>293.0</v>
      </c>
      <c r="D343" s="433" t="s">
        <v>18969</v>
      </c>
      <c r="E343" s="433"/>
      <c r="F343" s="434" t="s">
        <v>18975</v>
      </c>
      <c r="G343" s="433" t="s">
        <v>144</v>
      </c>
      <c r="H343" s="433" t="s">
        <v>2222</v>
      </c>
      <c r="I343" s="433" t="s">
        <v>30</v>
      </c>
      <c r="J343" s="433"/>
      <c r="K343" s="433" t="s">
        <v>30</v>
      </c>
      <c r="L343" s="433">
        <v>24.0</v>
      </c>
      <c r="M343" s="433"/>
      <c r="N343" s="433" t="s">
        <v>18971</v>
      </c>
      <c r="O343" s="433" t="s">
        <v>6235</v>
      </c>
      <c r="P343" s="433">
        <v>2014.0</v>
      </c>
      <c r="Q343" s="433" t="s">
        <v>17956</v>
      </c>
      <c r="R343" s="433">
        <v>1.0</v>
      </c>
      <c r="S343" s="826"/>
      <c r="T343" s="3"/>
      <c r="U343" s="3"/>
      <c r="V343" s="3"/>
      <c r="W343" s="3"/>
      <c r="X343" s="3"/>
      <c r="Y343" s="3"/>
      <c r="Z343" s="3"/>
    </row>
    <row r="344" ht="29.25" customHeight="1">
      <c r="C344" s="449">
        <v>294.0</v>
      </c>
      <c r="D344" s="433" t="s">
        <v>18969</v>
      </c>
      <c r="E344" s="433"/>
      <c r="F344" s="434" t="s">
        <v>18975</v>
      </c>
      <c r="G344" s="433" t="s">
        <v>144</v>
      </c>
      <c r="H344" s="433" t="s">
        <v>2222</v>
      </c>
      <c r="I344" s="433" t="s">
        <v>30</v>
      </c>
      <c r="J344" s="433"/>
      <c r="K344" s="433" t="s">
        <v>30</v>
      </c>
      <c r="L344" s="433">
        <v>24.0</v>
      </c>
      <c r="M344" s="433"/>
      <c r="N344" s="433" t="s">
        <v>18971</v>
      </c>
      <c r="O344" s="433" t="s">
        <v>6235</v>
      </c>
      <c r="P344" s="433">
        <v>2014.0</v>
      </c>
      <c r="Q344" s="433" t="s">
        <v>17956</v>
      </c>
      <c r="R344" s="433">
        <v>1.0</v>
      </c>
      <c r="S344" s="826"/>
      <c r="T344" s="3"/>
      <c r="U344" s="3"/>
      <c r="V344" s="3"/>
      <c r="W344" s="3"/>
      <c r="X344" s="3"/>
      <c r="Y344" s="3"/>
      <c r="Z344" s="3"/>
    </row>
    <row r="345" ht="83.25" customHeight="1">
      <c r="C345" s="449">
        <v>295.0</v>
      </c>
      <c r="D345" s="433"/>
      <c r="E345" s="433"/>
      <c r="F345" s="434" t="s">
        <v>18976</v>
      </c>
      <c r="G345" s="433"/>
      <c r="H345" s="433" t="s">
        <v>2222</v>
      </c>
      <c r="I345" s="433" t="s">
        <v>30</v>
      </c>
      <c r="J345" s="433"/>
      <c r="K345" s="433" t="s">
        <v>30</v>
      </c>
      <c r="L345" s="433"/>
      <c r="M345" s="433" t="s">
        <v>18977</v>
      </c>
      <c r="N345" s="433" t="s">
        <v>18978</v>
      </c>
      <c r="O345" s="433" t="s">
        <v>18979</v>
      </c>
      <c r="P345" s="433">
        <v>2012.0</v>
      </c>
      <c r="Q345" s="433" t="s">
        <v>17956</v>
      </c>
      <c r="R345" s="433">
        <v>1.0</v>
      </c>
      <c r="S345" s="826"/>
      <c r="T345" s="3"/>
      <c r="U345" s="3"/>
      <c r="V345" s="3"/>
      <c r="W345" s="3"/>
      <c r="X345" s="3"/>
      <c r="Y345" s="3"/>
      <c r="Z345" s="3"/>
    </row>
    <row r="346" ht="15.75" customHeight="1">
      <c r="C346" s="449">
        <v>296.0</v>
      </c>
      <c r="D346" s="433"/>
      <c r="E346" s="433"/>
      <c r="F346" s="434" t="s">
        <v>18980</v>
      </c>
      <c r="G346" s="433"/>
      <c r="H346" s="433" t="s">
        <v>2222</v>
      </c>
      <c r="I346" s="433" t="s">
        <v>30</v>
      </c>
      <c r="J346" s="433"/>
      <c r="K346" s="433" t="s">
        <v>30</v>
      </c>
      <c r="L346" s="433"/>
      <c r="M346" s="433" t="s">
        <v>18977</v>
      </c>
      <c r="N346" s="433" t="s">
        <v>18978</v>
      </c>
      <c r="O346" s="433" t="s">
        <v>18979</v>
      </c>
      <c r="P346" s="433">
        <v>2012.0</v>
      </c>
      <c r="Q346" s="433" t="s">
        <v>17956</v>
      </c>
      <c r="R346" s="433">
        <v>1.0</v>
      </c>
      <c r="S346" s="826"/>
      <c r="T346" s="3"/>
      <c r="U346" s="3"/>
      <c r="V346" s="3"/>
      <c r="W346" s="3"/>
      <c r="X346" s="3"/>
      <c r="Y346" s="3"/>
      <c r="Z346" s="3"/>
    </row>
    <row r="347" ht="15.75" customHeight="1">
      <c r="C347" s="449">
        <v>297.0</v>
      </c>
      <c r="D347" s="433"/>
      <c r="E347" s="433"/>
      <c r="F347" s="434" t="s">
        <v>18981</v>
      </c>
      <c r="G347" s="433"/>
      <c r="H347" s="433" t="s">
        <v>2222</v>
      </c>
      <c r="I347" s="433" t="s">
        <v>30</v>
      </c>
      <c r="J347" s="433"/>
      <c r="K347" s="433" t="s">
        <v>30</v>
      </c>
      <c r="L347" s="433"/>
      <c r="M347" s="433"/>
      <c r="N347" s="433" t="s">
        <v>31</v>
      </c>
      <c r="O347" s="433" t="s">
        <v>31</v>
      </c>
      <c r="P347" s="433"/>
      <c r="Q347" s="433" t="s">
        <v>17956</v>
      </c>
      <c r="R347" s="433">
        <v>1.0</v>
      </c>
      <c r="S347" s="826"/>
      <c r="T347" s="3"/>
      <c r="U347" s="3"/>
      <c r="V347" s="3"/>
      <c r="W347" s="3"/>
      <c r="X347" s="3"/>
      <c r="Y347" s="3"/>
      <c r="Z347" s="3"/>
    </row>
    <row r="348" ht="15.75" customHeight="1">
      <c r="C348" s="449">
        <v>298.0</v>
      </c>
      <c r="D348" s="433"/>
      <c r="E348" s="433"/>
      <c r="F348" s="434" t="s">
        <v>18982</v>
      </c>
      <c r="G348" s="433"/>
      <c r="H348" s="433" t="s">
        <v>2222</v>
      </c>
      <c r="I348" s="433" t="s">
        <v>30</v>
      </c>
      <c r="J348" s="433"/>
      <c r="K348" s="433" t="s">
        <v>30</v>
      </c>
      <c r="L348" s="433"/>
      <c r="M348" s="433" t="s">
        <v>13582</v>
      </c>
      <c r="N348" s="433" t="s">
        <v>13695</v>
      </c>
      <c r="O348" s="433" t="s">
        <v>13695</v>
      </c>
      <c r="P348" s="433"/>
      <c r="Q348" s="433" t="s">
        <v>17956</v>
      </c>
      <c r="R348" s="433">
        <v>1.0</v>
      </c>
      <c r="S348" s="826"/>
      <c r="T348" s="3"/>
      <c r="U348" s="3"/>
      <c r="V348" s="3"/>
      <c r="W348" s="3"/>
      <c r="X348" s="3"/>
      <c r="Y348" s="3"/>
      <c r="Z348" s="3"/>
    </row>
    <row r="349" ht="15.75" customHeight="1">
      <c r="C349" s="449">
        <v>299.0</v>
      </c>
      <c r="D349" s="433"/>
      <c r="E349" s="433"/>
      <c r="F349" s="434" t="s">
        <v>18983</v>
      </c>
      <c r="G349" s="433"/>
      <c r="H349" s="433" t="s">
        <v>2222</v>
      </c>
      <c r="I349" s="433" t="s">
        <v>30</v>
      </c>
      <c r="J349" s="433"/>
      <c r="K349" s="433" t="s">
        <v>30</v>
      </c>
      <c r="L349" s="433">
        <v>92.0</v>
      </c>
      <c r="M349" s="433" t="s">
        <v>18984</v>
      </c>
      <c r="N349" s="433" t="s">
        <v>18065</v>
      </c>
      <c r="O349" s="433" t="s">
        <v>18985</v>
      </c>
      <c r="P349" s="433">
        <v>1996.0</v>
      </c>
      <c r="Q349" s="433" t="s">
        <v>17956</v>
      </c>
      <c r="R349" s="433">
        <v>1.0</v>
      </c>
      <c r="S349" s="826"/>
      <c r="T349" s="3"/>
      <c r="U349" s="3"/>
      <c r="V349" s="3"/>
      <c r="W349" s="3"/>
      <c r="X349" s="3"/>
      <c r="Y349" s="3"/>
      <c r="Z349" s="3"/>
    </row>
    <row r="350" ht="15.75" customHeight="1">
      <c r="C350" s="449">
        <v>300.0</v>
      </c>
      <c r="D350" s="433"/>
      <c r="E350" s="433"/>
      <c r="F350" s="434" t="s">
        <v>18986</v>
      </c>
      <c r="G350" s="433"/>
      <c r="H350" s="433" t="s">
        <v>2222</v>
      </c>
      <c r="I350" s="433" t="s">
        <v>30</v>
      </c>
      <c r="J350" s="433"/>
      <c r="K350" s="433" t="s">
        <v>30</v>
      </c>
      <c r="L350" s="433">
        <v>6.0</v>
      </c>
      <c r="M350" s="433" t="s">
        <v>18984</v>
      </c>
      <c r="N350" s="433"/>
      <c r="O350" s="433" t="s">
        <v>18987</v>
      </c>
      <c r="P350" s="433"/>
      <c r="Q350" s="433" t="s">
        <v>17956</v>
      </c>
      <c r="R350" s="433">
        <v>2.0</v>
      </c>
      <c r="S350" s="826"/>
      <c r="T350" s="3"/>
      <c r="U350" s="3"/>
      <c r="V350" s="3"/>
      <c r="W350" s="3"/>
      <c r="X350" s="3"/>
      <c r="Y350" s="3"/>
      <c r="Z350" s="3"/>
    </row>
    <row r="351" ht="15.75" customHeight="1">
      <c r="C351" s="449">
        <v>301.0</v>
      </c>
      <c r="D351" s="433"/>
      <c r="E351" s="433"/>
      <c r="F351" s="434" t="s">
        <v>18988</v>
      </c>
      <c r="G351" s="433"/>
      <c r="H351" s="433" t="s">
        <v>2222</v>
      </c>
      <c r="I351" s="433"/>
      <c r="J351" s="433"/>
      <c r="K351" s="433"/>
      <c r="L351" s="433"/>
      <c r="M351" s="433"/>
      <c r="N351" s="433"/>
      <c r="O351" s="433"/>
      <c r="P351" s="433"/>
      <c r="Q351" s="433" t="s">
        <v>17956</v>
      </c>
      <c r="R351" s="433">
        <v>20.0</v>
      </c>
      <c r="S351" s="826"/>
      <c r="T351" s="3"/>
      <c r="U351" s="3"/>
      <c r="V351" s="3"/>
      <c r="W351" s="3"/>
      <c r="X351" s="3"/>
      <c r="Y351" s="3"/>
      <c r="Z351" s="3"/>
    </row>
    <row r="352" ht="15.75" customHeight="1">
      <c r="C352" s="449">
        <v>302.0</v>
      </c>
      <c r="D352" s="433" t="s">
        <v>18989</v>
      </c>
      <c r="E352" s="433"/>
      <c r="F352" s="434" t="s">
        <v>18990</v>
      </c>
      <c r="G352" s="433"/>
      <c r="H352" s="433" t="s">
        <v>2222</v>
      </c>
      <c r="I352" s="433" t="s">
        <v>30</v>
      </c>
      <c r="J352" s="433"/>
      <c r="K352" s="433" t="s">
        <v>30</v>
      </c>
      <c r="L352" s="433">
        <v>32.0</v>
      </c>
      <c r="M352" s="433"/>
      <c r="N352" s="433" t="s">
        <v>18365</v>
      </c>
      <c r="O352" s="433" t="s">
        <v>151</v>
      </c>
      <c r="P352" s="607">
        <v>2012.0</v>
      </c>
      <c r="Q352" s="433" t="s">
        <v>17956</v>
      </c>
      <c r="R352" s="433">
        <v>1.0</v>
      </c>
      <c r="S352" s="826"/>
      <c r="T352" s="3"/>
      <c r="U352" s="3"/>
      <c r="V352" s="3"/>
      <c r="W352" s="3"/>
      <c r="X352" s="3"/>
      <c r="Y352" s="3"/>
      <c r="Z352" s="3"/>
    </row>
    <row r="353" ht="15.75" customHeight="1">
      <c r="C353" s="449">
        <v>303.0</v>
      </c>
      <c r="D353" s="433" t="s">
        <v>18991</v>
      </c>
      <c r="E353" s="433"/>
      <c r="F353" s="434" t="s">
        <v>18992</v>
      </c>
      <c r="G353" s="433"/>
      <c r="H353" s="433" t="s">
        <v>2222</v>
      </c>
      <c r="I353" s="433" t="s">
        <v>30</v>
      </c>
      <c r="J353" s="433"/>
      <c r="K353" s="433" t="s">
        <v>30</v>
      </c>
      <c r="L353" s="433">
        <v>32.0</v>
      </c>
      <c r="M353" s="433"/>
      <c r="N353" s="433" t="s">
        <v>18365</v>
      </c>
      <c r="O353" s="433" t="s">
        <v>151</v>
      </c>
      <c r="P353" s="607">
        <v>2012.0</v>
      </c>
      <c r="Q353" s="433" t="s">
        <v>17956</v>
      </c>
      <c r="R353" s="433">
        <v>1.0</v>
      </c>
      <c r="S353" s="826"/>
      <c r="T353" s="3"/>
      <c r="U353" s="3"/>
      <c r="V353" s="3"/>
      <c r="W353" s="3"/>
      <c r="X353" s="3"/>
      <c r="Y353" s="3"/>
      <c r="Z353" s="3"/>
    </row>
    <row r="354" ht="15.75" customHeight="1">
      <c r="C354" s="449">
        <v>304.0</v>
      </c>
      <c r="D354" s="433" t="s">
        <v>18993</v>
      </c>
      <c r="E354" s="433"/>
      <c r="F354" s="434" t="s">
        <v>18994</v>
      </c>
      <c r="G354" s="433"/>
      <c r="H354" s="433" t="s">
        <v>2222</v>
      </c>
      <c r="I354" s="433" t="s">
        <v>30</v>
      </c>
      <c r="J354" s="433"/>
      <c r="K354" s="433" t="s">
        <v>30</v>
      </c>
      <c r="L354" s="433">
        <v>32.0</v>
      </c>
      <c r="M354" s="433"/>
      <c r="N354" s="433" t="s">
        <v>18365</v>
      </c>
      <c r="O354" s="433" t="s">
        <v>151</v>
      </c>
      <c r="P354" s="607">
        <v>2012.0</v>
      </c>
      <c r="Q354" s="433" t="s">
        <v>17956</v>
      </c>
      <c r="R354" s="433">
        <v>1.0</v>
      </c>
      <c r="S354" s="826"/>
      <c r="T354" s="3"/>
      <c r="U354" s="3"/>
      <c r="V354" s="3"/>
      <c r="W354" s="3"/>
      <c r="X354" s="3"/>
      <c r="Y354" s="3"/>
      <c r="Z354" s="3"/>
    </row>
    <row r="355" ht="15.75" customHeight="1">
      <c r="C355" s="449">
        <v>305.0</v>
      </c>
      <c r="D355" s="433" t="s">
        <v>18995</v>
      </c>
      <c r="E355" s="433"/>
      <c r="F355" s="434" t="s">
        <v>18996</v>
      </c>
      <c r="G355" s="433"/>
      <c r="H355" s="433" t="s">
        <v>2222</v>
      </c>
      <c r="I355" s="433" t="s">
        <v>30</v>
      </c>
      <c r="J355" s="433"/>
      <c r="K355" s="433" t="s">
        <v>30</v>
      </c>
      <c r="L355" s="433">
        <v>32.0</v>
      </c>
      <c r="M355" s="433"/>
      <c r="N355" s="433" t="s">
        <v>18365</v>
      </c>
      <c r="O355" s="433" t="s">
        <v>151</v>
      </c>
      <c r="P355" s="607">
        <v>2015.0</v>
      </c>
      <c r="Q355" s="433" t="s">
        <v>17956</v>
      </c>
      <c r="R355" s="433">
        <v>1.0</v>
      </c>
      <c r="S355" s="826"/>
      <c r="T355" s="3"/>
      <c r="U355" s="3"/>
      <c r="V355" s="3"/>
      <c r="W355" s="3"/>
      <c r="X355" s="3"/>
      <c r="Y355" s="3"/>
      <c r="Z355" s="3"/>
    </row>
    <row r="356" ht="15.75" customHeight="1">
      <c r="C356" s="449">
        <v>306.0</v>
      </c>
      <c r="D356" s="433" t="s">
        <v>18997</v>
      </c>
      <c r="E356" s="433"/>
      <c r="F356" s="434" t="s">
        <v>18998</v>
      </c>
      <c r="G356" s="433"/>
      <c r="H356" s="433" t="s">
        <v>2222</v>
      </c>
      <c r="I356" s="433" t="s">
        <v>30</v>
      </c>
      <c r="J356" s="433"/>
      <c r="K356" s="433" t="s">
        <v>30</v>
      </c>
      <c r="L356" s="433">
        <v>32.0</v>
      </c>
      <c r="M356" s="433"/>
      <c r="N356" s="433" t="s">
        <v>18365</v>
      </c>
      <c r="O356" s="433" t="s">
        <v>151</v>
      </c>
      <c r="P356" s="607">
        <v>2015.0</v>
      </c>
      <c r="Q356" s="433" t="s">
        <v>17956</v>
      </c>
      <c r="R356" s="433">
        <v>1.0</v>
      </c>
      <c r="S356" s="826"/>
      <c r="T356" s="3"/>
      <c r="U356" s="3"/>
      <c r="V356" s="3"/>
      <c r="W356" s="3"/>
      <c r="X356" s="3"/>
      <c r="Y356" s="3"/>
      <c r="Z356" s="3"/>
    </row>
    <row r="357" ht="15.75" customHeight="1">
      <c r="C357" s="449">
        <v>307.0</v>
      </c>
      <c r="D357" s="433" t="s">
        <v>18997</v>
      </c>
      <c r="E357" s="433"/>
      <c r="F357" s="434" t="s">
        <v>18998</v>
      </c>
      <c r="G357" s="433"/>
      <c r="H357" s="433" t="s">
        <v>2222</v>
      </c>
      <c r="I357" s="433" t="s">
        <v>30</v>
      </c>
      <c r="J357" s="433"/>
      <c r="K357" s="433" t="s">
        <v>30</v>
      </c>
      <c r="L357" s="433">
        <v>32.0</v>
      </c>
      <c r="M357" s="433"/>
      <c r="N357" s="433" t="s">
        <v>18365</v>
      </c>
      <c r="O357" s="433" t="s">
        <v>151</v>
      </c>
      <c r="P357" s="607">
        <v>2015.0</v>
      </c>
      <c r="Q357" s="433" t="s">
        <v>17956</v>
      </c>
      <c r="R357" s="433">
        <v>1.0</v>
      </c>
      <c r="S357" s="826"/>
      <c r="T357" s="3"/>
      <c r="U357" s="3"/>
      <c r="V357" s="3"/>
      <c r="W357" s="3"/>
      <c r="X357" s="3"/>
      <c r="Y357" s="3"/>
      <c r="Z357" s="3"/>
    </row>
    <row r="358" ht="15.75" customHeight="1">
      <c r="C358" s="449">
        <v>308.0</v>
      </c>
      <c r="D358" s="433" t="s">
        <v>18999</v>
      </c>
      <c r="E358" s="433"/>
      <c r="F358" s="434" t="s">
        <v>19000</v>
      </c>
      <c r="G358" s="433"/>
      <c r="H358" s="433" t="s">
        <v>2222</v>
      </c>
      <c r="I358" s="433" t="s">
        <v>30</v>
      </c>
      <c r="J358" s="433"/>
      <c r="K358" s="433" t="s">
        <v>30</v>
      </c>
      <c r="L358" s="433">
        <v>52.0</v>
      </c>
      <c r="M358" s="433"/>
      <c r="N358" s="433" t="s">
        <v>19001</v>
      </c>
      <c r="O358" s="433" t="s">
        <v>151</v>
      </c>
      <c r="P358" s="607">
        <v>2015.0</v>
      </c>
      <c r="Q358" s="433" t="s">
        <v>17956</v>
      </c>
      <c r="R358" s="433">
        <v>1.0</v>
      </c>
      <c r="S358" s="826"/>
      <c r="T358" s="3"/>
      <c r="U358" s="3"/>
      <c r="V358" s="3"/>
      <c r="W358" s="3"/>
      <c r="X358" s="3"/>
      <c r="Y358" s="3"/>
      <c r="Z358" s="3"/>
    </row>
    <row r="359" ht="15.75" customHeight="1">
      <c r="C359" s="449">
        <v>309.0</v>
      </c>
      <c r="D359" s="433" t="s">
        <v>19002</v>
      </c>
      <c r="E359" s="433"/>
      <c r="F359" s="434" t="s">
        <v>19003</v>
      </c>
      <c r="G359" s="433"/>
      <c r="H359" s="433" t="s">
        <v>2222</v>
      </c>
      <c r="I359" s="433" t="s">
        <v>30</v>
      </c>
      <c r="J359" s="433"/>
      <c r="K359" s="433" t="s">
        <v>30</v>
      </c>
      <c r="L359" s="433">
        <v>228.0</v>
      </c>
      <c r="M359" s="433"/>
      <c r="N359" s="433" t="s">
        <v>3976</v>
      </c>
      <c r="O359" s="433" t="s">
        <v>544</v>
      </c>
      <c r="P359" s="607">
        <v>2015.0</v>
      </c>
      <c r="Q359" s="433" t="s">
        <v>17956</v>
      </c>
      <c r="R359" s="433">
        <v>1.0</v>
      </c>
      <c r="S359" s="826"/>
      <c r="T359" s="3"/>
      <c r="U359" s="3"/>
      <c r="V359" s="3"/>
      <c r="W359" s="3"/>
      <c r="X359" s="3"/>
      <c r="Y359" s="3"/>
      <c r="Z359" s="3"/>
    </row>
    <row r="360" ht="15.75" customHeight="1">
      <c r="C360" s="449">
        <v>310.0</v>
      </c>
      <c r="D360" s="433" t="s">
        <v>19004</v>
      </c>
      <c r="E360" s="433"/>
      <c r="F360" s="434" t="s">
        <v>19005</v>
      </c>
      <c r="G360" s="433"/>
      <c r="H360" s="433" t="s">
        <v>2222</v>
      </c>
      <c r="I360" s="433" t="s">
        <v>30</v>
      </c>
      <c r="J360" s="433"/>
      <c r="K360" s="433" t="s">
        <v>30</v>
      </c>
      <c r="L360" s="433">
        <v>172.0</v>
      </c>
      <c r="M360" s="433"/>
      <c r="N360" s="433" t="s">
        <v>3976</v>
      </c>
      <c r="O360" s="433" t="s">
        <v>544</v>
      </c>
      <c r="P360" s="607">
        <v>2015.0</v>
      </c>
      <c r="Q360" s="433" t="s">
        <v>17956</v>
      </c>
      <c r="R360" s="433">
        <v>1.0</v>
      </c>
      <c r="S360" s="826"/>
      <c r="T360" s="3"/>
      <c r="U360" s="3"/>
      <c r="V360" s="3"/>
      <c r="W360" s="3"/>
      <c r="X360" s="3"/>
      <c r="Y360" s="3"/>
      <c r="Z360" s="3"/>
    </row>
    <row r="361" ht="15.75" customHeight="1">
      <c r="C361" s="449">
        <v>311.0</v>
      </c>
      <c r="D361" s="433" t="s">
        <v>8353</v>
      </c>
      <c r="E361" s="433"/>
      <c r="F361" s="434" t="s">
        <v>19006</v>
      </c>
      <c r="G361" s="433"/>
      <c r="H361" s="433" t="s">
        <v>2222</v>
      </c>
      <c r="I361" s="433" t="s">
        <v>30</v>
      </c>
      <c r="J361" s="433"/>
      <c r="K361" s="433" t="s">
        <v>30</v>
      </c>
      <c r="L361" s="433">
        <v>32.0</v>
      </c>
      <c r="M361" s="433"/>
      <c r="N361" s="433" t="s">
        <v>19007</v>
      </c>
      <c r="O361" s="433" t="s">
        <v>544</v>
      </c>
      <c r="P361" s="607">
        <v>2012.0</v>
      </c>
      <c r="Q361" s="433" t="s">
        <v>17956</v>
      </c>
      <c r="R361" s="433">
        <v>1.0</v>
      </c>
      <c r="S361" s="826"/>
      <c r="T361" s="3"/>
      <c r="U361" s="3"/>
      <c r="V361" s="3"/>
      <c r="W361" s="3"/>
      <c r="X361" s="3"/>
      <c r="Y361" s="3"/>
      <c r="Z361" s="3"/>
    </row>
    <row r="362" ht="15.75" customHeight="1">
      <c r="C362" s="449">
        <v>312.0</v>
      </c>
      <c r="D362" s="433" t="s">
        <v>19008</v>
      </c>
      <c r="E362" s="433"/>
      <c r="F362" s="434" t="s">
        <v>19009</v>
      </c>
      <c r="G362" s="433"/>
      <c r="H362" s="433" t="s">
        <v>2222</v>
      </c>
      <c r="I362" s="433" t="s">
        <v>30</v>
      </c>
      <c r="J362" s="433"/>
      <c r="K362" s="433" t="s">
        <v>30</v>
      </c>
      <c r="L362" s="433">
        <v>110.0</v>
      </c>
      <c r="M362" s="433"/>
      <c r="N362" s="433" t="s">
        <v>19010</v>
      </c>
      <c r="O362" s="433" t="s">
        <v>151</v>
      </c>
      <c r="P362" s="607">
        <v>2011.0</v>
      </c>
      <c r="Q362" s="433" t="s">
        <v>17956</v>
      </c>
      <c r="R362" s="433">
        <v>1.0</v>
      </c>
      <c r="S362" s="826"/>
      <c r="T362" s="3"/>
      <c r="U362" s="3"/>
      <c r="V362" s="3"/>
      <c r="W362" s="3"/>
      <c r="X362" s="3"/>
      <c r="Y362" s="3"/>
      <c r="Z362" s="3"/>
    </row>
    <row r="363" ht="15.75" customHeight="1">
      <c r="C363" s="449">
        <v>313.0</v>
      </c>
      <c r="D363" s="433" t="s">
        <v>19011</v>
      </c>
      <c r="E363" s="433"/>
      <c r="F363" s="434" t="s">
        <v>19012</v>
      </c>
      <c r="G363" s="433"/>
      <c r="H363" s="433" t="s">
        <v>2222</v>
      </c>
      <c r="I363" s="433" t="s">
        <v>30</v>
      </c>
      <c r="J363" s="433"/>
      <c r="K363" s="433" t="s">
        <v>30</v>
      </c>
      <c r="L363" s="433">
        <v>144.0</v>
      </c>
      <c r="M363" s="433"/>
      <c r="N363" s="433" t="s">
        <v>19013</v>
      </c>
      <c r="O363" s="433" t="s">
        <v>151</v>
      </c>
      <c r="P363" s="607">
        <v>2015.0</v>
      </c>
      <c r="Q363" s="433" t="s">
        <v>17956</v>
      </c>
      <c r="R363" s="433">
        <v>1.0</v>
      </c>
      <c r="S363" s="826"/>
      <c r="T363" s="3"/>
      <c r="U363" s="3"/>
      <c r="V363" s="3"/>
      <c r="W363" s="3"/>
      <c r="X363" s="3"/>
      <c r="Y363" s="3"/>
      <c r="Z363" s="3"/>
    </row>
    <row r="364" ht="15.75" customHeight="1">
      <c r="C364" s="449">
        <v>314.0</v>
      </c>
      <c r="D364" s="433" t="s">
        <v>19014</v>
      </c>
      <c r="E364" s="433"/>
      <c r="F364" s="434" t="s">
        <v>19015</v>
      </c>
      <c r="G364" s="433"/>
      <c r="H364" s="433" t="s">
        <v>2222</v>
      </c>
      <c r="I364" s="433" t="s">
        <v>30</v>
      </c>
      <c r="J364" s="433"/>
      <c r="K364" s="433" t="s">
        <v>30</v>
      </c>
      <c r="L364" s="433">
        <v>256.0</v>
      </c>
      <c r="M364" s="433"/>
      <c r="N364" s="433" t="s">
        <v>19016</v>
      </c>
      <c r="O364" s="433" t="s">
        <v>7856</v>
      </c>
      <c r="P364" s="607">
        <v>2015.0</v>
      </c>
      <c r="Q364" s="433" t="s">
        <v>17956</v>
      </c>
      <c r="R364" s="433">
        <v>1.0</v>
      </c>
      <c r="S364" s="826"/>
      <c r="T364" s="3"/>
      <c r="U364" s="3"/>
      <c r="V364" s="3"/>
      <c r="W364" s="3"/>
      <c r="X364" s="3"/>
      <c r="Y364" s="3"/>
      <c r="Z364" s="3"/>
    </row>
    <row r="365" ht="15.75" customHeight="1">
      <c r="C365" s="449">
        <v>315.0</v>
      </c>
      <c r="D365" s="433" t="s">
        <v>19017</v>
      </c>
      <c r="E365" s="433"/>
      <c r="F365" s="434" t="s">
        <v>19018</v>
      </c>
      <c r="G365" s="433"/>
      <c r="H365" s="433" t="s">
        <v>2222</v>
      </c>
      <c r="I365" s="433" t="s">
        <v>30</v>
      </c>
      <c r="J365" s="433"/>
      <c r="K365" s="433" t="s">
        <v>30</v>
      </c>
      <c r="L365" s="433">
        <v>252.0</v>
      </c>
      <c r="M365" s="433"/>
      <c r="N365" s="433" t="s">
        <v>19016</v>
      </c>
      <c r="O365" s="433" t="s">
        <v>7856</v>
      </c>
      <c r="P365" s="607">
        <v>2015.0</v>
      </c>
      <c r="Q365" s="433" t="s">
        <v>17956</v>
      </c>
      <c r="R365" s="433">
        <v>1.0</v>
      </c>
      <c r="S365" s="826"/>
      <c r="T365" s="3"/>
      <c r="U365" s="3"/>
      <c r="V365" s="3"/>
      <c r="W365" s="3"/>
      <c r="X365" s="3"/>
      <c r="Y365" s="3"/>
      <c r="Z365" s="3"/>
    </row>
    <row r="366" ht="15.75" customHeight="1">
      <c r="C366" s="449">
        <v>316.0</v>
      </c>
      <c r="D366" s="433" t="s">
        <v>19019</v>
      </c>
      <c r="E366" s="433" t="s">
        <v>19020</v>
      </c>
      <c r="F366" s="434" t="s">
        <v>19021</v>
      </c>
      <c r="G366" s="433"/>
      <c r="H366" s="433" t="s">
        <v>2222</v>
      </c>
      <c r="I366" s="433" t="s">
        <v>30</v>
      </c>
      <c r="J366" s="433"/>
      <c r="K366" s="433" t="s">
        <v>30</v>
      </c>
      <c r="L366" s="433">
        <v>128.0</v>
      </c>
      <c r="M366" s="433"/>
      <c r="N366" s="433" t="s">
        <v>19022</v>
      </c>
      <c r="O366" s="433" t="s">
        <v>3642</v>
      </c>
      <c r="P366" s="607">
        <v>2011.0</v>
      </c>
      <c r="Q366" s="433" t="s">
        <v>17956</v>
      </c>
      <c r="R366" s="433">
        <v>1.0</v>
      </c>
      <c r="S366" s="826"/>
      <c r="T366" s="3"/>
      <c r="U366" s="3"/>
      <c r="V366" s="3"/>
      <c r="W366" s="3"/>
      <c r="X366" s="3"/>
      <c r="Y366" s="3"/>
      <c r="Z366" s="3"/>
    </row>
    <row r="367" ht="15.75" customHeight="1">
      <c r="C367" s="449">
        <v>317.0</v>
      </c>
      <c r="D367" s="433" t="s">
        <v>19023</v>
      </c>
      <c r="E367" s="433" t="s">
        <v>19024</v>
      </c>
      <c r="F367" s="434" t="s">
        <v>19025</v>
      </c>
      <c r="G367" s="433"/>
      <c r="H367" s="433" t="s">
        <v>2222</v>
      </c>
      <c r="I367" s="433" t="s">
        <v>30</v>
      </c>
      <c r="J367" s="433"/>
      <c r="K367" s="433" t="s">
        <v>30</v>
      </c>
      <c r="L367" s="433">
        <v>314.0</v>
      </c>
      <c r="M367" s="433"/>
      <c r="N367" s="433" t="s">
        <v>19026</v>
      </c>
      <c r="O367" s="433" t="s">
        <v>2463</v>
      </c>
      <c r="P367" s="607">
        <v>2012.0</v>
      </c>
      <c r="Q367" s="433" t="s">
        <v>17956</v>
      </c>
      <c r="R367" s="433">
        <v>1.0</v>
      </c>
      <c r="S367" s="826"/>
      <c r="T367" s="3"/>
      <c r="U367" s="3"/>
      <c r="V367" s="3"/>
      <c r="W367" s="3"/>
      <c r="X367" s="3"/>
      <c r="Y367" s="3"/>
      <c r="Z367" s="3"/>
    </row>
    <row r="368" ht="15.75" customHeight="1">
      <c r="C368" s="449">
        <v>318.0</v>
      </c>
      <c r="D368" s="433" t="s">
        <v>19027</v>
      </c>
      <c r="E368" s="433" t="s">
        <v>19028</v>
      </c>
      <c r="F368" s="434" t="s">
        <v>19029</v>
      </c>
      <c r="G368" s="433"/>
      <c r="H368" s="433" t="s">
        <v>2222</v>
      </c>
      <c r="I368" s="433" t="s">
        <v>30</v>
      </c>
      <c r="J368" s="433"/>
      <c r="K368" s="433" t="s">
        <v>30</v>
      </c>
      <c r="L368" s="433">
        <f>264+7</f>
        <v>271</v>
      </c>
      <c r="M368" s="433"/>
      <c r="N368" s="433" t="s">
        <v>19030</v>
      </c>
      <c r="O368" s="433" t="s">
        <v>151</v>
      </c>
      <c r="P368" s="607">
        <v>2015.0</v>
      </c>
      <c r="Q368" s="433" t="s">
        <v>17956</v>
      </c>
      <c r="R368" s="433">
        <v>1.0</v>
      </c>
      <c r="S368" s="826"/>
      <c r="T368" s="3"/>
      <c r="U368" s="3"/>
      <c r="V368" s="3"/>
      <c r="W368" s="3"/>
      <c r="X368" s="3"/>
      <c r="Y368" s="3"/>
      <c r="Z368" s="3"/>
    </row>
    <row r="369" ht="15.75" customHeight="1">
      <c r="C369" s="449">
        <v>319.0</v>
      </c>
      <c r="D369" s="433" t="s">
        <v>17978</v>
      </c>
      <c r="E369" s="433" t="s">
        <v>19028</v>
      </c>
      <c r="F369" s="434" t="s">
        <v>19031</v>
      </c>
      <c r="G369" s="433"/>
      <c r="H369" s="433" t="s">
        <v>2222</v>
      </c>
      <c r="I369" s="433" t="s">
        <v>30</v>
      </c>
      <c r="J369" s="433"/>
      <c r="K369" s="433" t="s">
        <v>30</v>
      </c>
      <c r="L369" s="433">
        <f>167+8</f>
        <v>175</v>
      </c>
      <c r="M369" s="433"/>
      <c r="N369" s="433" t="s">
        <v>19032</v>
      </c>
      <c r="O369" s="433" t="s">
        <v>151</v>
      </c>
      <c r="P369" s="607">
        <v>2015.0</v>
      </c>
      <c r="Q369" s="433" t="s">
        <v>17956</v>
      </c>
      <c r="R369" s="433">
        <v>1.0</v>
      </c>
      <c r="S369" s="826"/>
      <c r="T369" s="3"/>
      <c r="U369" s="3"/>
      <c r="V369" s="3"/>
      <c r="W369" s="3"/>
      <c r="X369" s="3"/>
      <c r="Y369" s="3"/>
      <c r="Z369" s="3"/>
    </row>
    <row r="370" ht="15.75" customHeight="1">
      <c r="C370" s="449">
        <v>320.0</v>
      </c>
      <c r="D370" s="433" t="s">
        <v>19033</v>
      </c>
      <c r="E370" s="433" t="s">
        <v>19034</v>
      </c>
      <c r="F370" s="434" t="s">
        <v>19035</v>
      </c>
      <c r="G370" s="433"/>
      <c r="H370" s="433" t="s">
        <v>2222</v>
      </c>
      <c r="I370" s="433" t="s">
        <v>30</v>
      </c>
      <c r="J370" s="433"/>
      <c r="K370" s="433" t="s">
        <v>30</v>
      </c>
      <c r="L370" s="433">
        <v>143.0</v>
      </c>
      <c r="M370" s="433"/>
      <c r="N370" s="433" t="s">
        <v>31</v>
      </c>
      <c r="O370" s="433" t="s">
        <v>151</v>
      </c>
      <c r="P370" s="607">
        <v>2015.0</v>
      </c>
      <c r="Q370" s="433" t="s">
        <v>17956</v>
      </c>
      <c r="R370" s="433">
        <v>1.0</v>
      </c>
      <c r="S370" s="826"/>
      <c r="T370" s="3"/>
      <c r="U370" s="3"/>
      <c r="V370" s="3"/>
      <c r="W370" s="3"/>
      <c r="X370" s="3"/>
      <c r="Y370" s="3"/>
      <c r="Z370" s="3"/>
    </row>
    <row r="371" ht="15.75" customHeight="1">
      <c r="C371" s="449">
        <v>321.0</v>
      </c>
      <c r="D371" s="433" t="s">
        <v>19036</v>
      </c>
      <c r="E371" s="433" t="s">
        <v>19037</v>
      </c>
      <c r="F371" s="434" t="s">
        <v>19038</v>
      </c>
      <c r="G371" s="433"/>
      <c r="H371" s="433" t="s">
        <v>2222</v>
      </c>
      <c r="I371" s="433" t="s">
        <v>30</v>
      </c>
      <c r="J371" s="433"/>
      <c r="K371" s="433" t="s">
        <v>30</v>
      </c>
      <c r="L371" s="433">
        <f>400</f>
        <v>400</v>
      </c>
      <c r="M371" s="433"/>
      <c r="N371" s="433" t="s">
        <v>19039</v>
      </c>
      <c r="O371" s="433" t="s">
        <v>151</v>
      </c>
      <c r="P371" s="607">
        <v>2015.0</v>
      </c>
      <c r="Q371" s="433" t="s">
        <v>17956</v>
      </c>
      <c r="R371" s="433">
        <v>1.0</v>
      </c>
      <c r="S371" s="826"/>
      <c r="T371" s="3"/>
      <c r="U371" s="3"/>
      <c r="V371" s="3"/>
      <c r="W371" s="3"/>
      <c r="X371" s="3"/>
      <c r="Y371" s="3"/>
      <c r="Z371" s="3"/>
    </row>
    <row r="372" ht="15.75" customHeight="1">
      <c r="C372" s="449">
        <v>322.0</v>
      </c>
      <c r="D372" s="433" t="s">
        <v>19040</v>
      </c>
      <c r="E372" s="433" t="s">
        <v>19041</v>
      </c>
      <c r="F372" s="434" t="s">
        <v>19042</v>
      </c>
      <c r="G372" s="433"/>
      <c r="H372" s="433" t="s">
        <v>2222</v>
      </c>
      <c r="I372" s="433" t="s">
        <v>30</v>
      </c>
      <c r="J372" s="433"/>
      <c r="K372" s="433" t="s">
        <v>30</v>
      </c>
      <c r="L372" s="433">
        <v>24.0</v>
      </c>
      <c r="M372" s="433" t="s">
        <v>15377</v>
      </c>
      <c r="N372" s="433" t="s">
        <v>19043</v>
      </c>
      <c r="O372" s="433" t="s">
        <v>19044</v>
      </c>
      <c r="P372" s="607">
        <v>1997.0</v>
      </c>
      <c r="Q372" s="433" t="s">
        <v>17956</v>
      </c>
      <c r="R372" s="433">
        <v>1.0</v>
      </c>
      <c r="S372" s="826"/>
      <c r="T372" s="3"/>
      <c r="U372" s="3"/>
      <c r="V372" s="3"/>
      <c r="W372" s="3"/>
      <c r="X372" s="3"/>
      <c r="Y372" s="3"/>
      <c r="Z372" s="3"/>
    </row>
    <row r="373" ht="15.75" customHeight="1">
      <c r="C373" s="449">
        <v>323.0</v>
      </c>
      <c r="D373" s="433" t="s">
        <v>19045</v>
      </c>
      <c r="E373" s="433" t="s">
        <v>19046</v>
      </c>
      <c r="F373" s="434" t="s">
        <v>19047</v>
      </c>
      <c r="G373" s="433"/>
      <c r="H373" s="433" t="s">
        <v>2222</v>
      </c>
      <c r="I373" s="433" t="s">
        <v>30</v>
      </c>
      <c r="J373" s="433"/>
      <c r="K373" s="433" t="s">
        <v>30</v>
      </c>
      <c r="L373" s="433">
        <v>24.0</v>
      </c>
      <c r="M373" s="433" t="s">
        <v>15377</v>
      </c>
      <c r="N373" s="433" t="s">
        <v>19043</v>
      </c>
      <c r="O373" s="433" t="s">
        <v>19044</v>
      </c>
      <c r="P373" s="607"/>
      <c r="Q373" s="433" t="s">
        <v>17956</v>
      </c>
      <c r="R373" s="433">
        <v>1.0</v>
      </c>
      <c r="S373" s="826"/>
      <c r="T373" s="3"/>
      <c r="U373" s="3"/>
      <c r="V373" s="3"/>
      <c r="W373" s="3"/>
      <c r="X373" s="3"/>
      <c r="Y373" s="3"/>
      <c r="Z373" s="3"/>
    </row>
    <row r="374" ht="15.75" customHeight="1">
      <c r="C374" s="449">
        <v>324.0</v>
      </c>
      <c r="D374" s="433" t="s">
        <v>19048</v>
      </c>
      <c r="E374" s="433" t="s">
        <v>19049</v>
      </c>
      <c r="F374" s="434" t="s">
        <v>19050</v>
      </c>
      <c r="G374" s="433"/>
      <c r="H374" s="433" t="s">
        <v>2222</v>
      </c>
      <c r="I374" s="433" t="s">
        <v>30</v>
      </c>
      <c r="J374" s="433"/>
      <c r="K374" s="433" t="s">
        <v>30</v>
      </c>
      <c r="L374" s="433">
        <v>24.0</v>
      </c>
      <c r="M374" s="433" t="s">
        <v>15377</v>
      </c>
      <c r="N374" s="433" t="s">
        <v>19051</v>
      </c>
      <c r="O374" s="433" t="s">
        <v>19044</v>
      </c>
      <c r="P374" s="607"/>
      <c r="Q374" s="433" t="s">
        <v>17956</v>
      </c>
      <c r="R374" s="433">
        <v>1.0</v>
      </c>
      <c r="S374" s="826"/>
      <c r="T374" s="3"/>
      <c r="U374" s="3"/>
      <c r="V374" s="3"/>
      <c r="W374" s="3"/>
      <c r="X374" s="3"/>
      <c r="Y374" s="3"/>
      <c r="Z374" s="3"/>
    </row>
    <row r="375" ht="15.75" customHeight="1">
      <c r="C375" s="449">
        <v>325.0</v>
      </c>
      <c r="D375" s="433" t="s">
        <v>19052</v>
      </c>
      <c r="E375" s="433" t="s">
        <v>19053</v>
      </c>
      <c r="F375" s="434" t="s">
        <v>19054</v>
      </c>
      <c r="G375" s="433"/>
      <c r="H375" s="433" t="s">
        <v>2222</v>
      </c>
      <c r="I375" s="433" t="s">
        <v>30</v>
      </c>
      <c r="J375" s="433"/>
      <c r="K375" s="433" t="s">
        <v>30</v>
      </c>
      <c r="L375" s="433">
        <v>24.0</v>
      </c>
      <c r="M375" s="433" t="s">
        <v>15377</v>
      </c>
      <c r="N375" s="433" t="s">
        <v>19043</v>
      </c>
      <c r="O375" s="433" t="s">
        <v>19044</v>
      </c>
      <c r="P375" s="607">
        <v>1997.0</v>
      </c>
      <c r="Q375" s="433" t="s">
        <v>17956</v>
      </c>
      <c r="R375" s="433">
        <v>1.0</v>
      </c>
      <c r="S375" s="826"/>
      <c r="T375" s="3"/>
      <c r="U375" s="3"/>
      <c r="V375" s="3"/>
      <c r="W375" s="3"/>
      <c r="X375" s="3"/>
      <c r="Y375" s="3"/>
      <c r="Z375" s="3"/>
    </row>
    <row r="376" ht="15.75" customHeight="1">
      <c r="C376" s="449">
        <v>326.0</v>
      </c>
      <c r="D376" s="433" t="s">
        <v>19055</v>
      </c>
      <c r="E376" s="433" t="s">
        <v>19056</v>
      </c>
      <c r="F376" s="434" t="s">
        <v>19057</v>
      </c>
      <c r="G376" s="433"/>
      <c r="H376" s="433" t="s">
        <v>2222</v>
      </c>
      <c r="I376" s="433" t="s">
        <v>30</v>
      </c>
      <c r="J376" s="433"/>
      <c r="K376" s="433" t="s">
        <v>30</v>
      </c>
      <c r="L376" s="433">
        <v>24.0</v>
      </c>
      <c r="M376" s="433" t="s">
        <v>15377</v>
      </c>
      <c r="N376" s="433" t="s">
        <v>19058</v>
      </c>
      <c r="O376" s="433" t="s">
        <v>19059</v>
      </c>
      <c r="P376" s="607">
        <v>2007.0</v>
      </c>
      <c r="Q376" s="433" t="s">
        <v>17956</v>
      </c>
      <c r="R376" s="433">
        <v>1.0</v>
      </c>
      <c r="S376" s="826"/>
      <c r="T376" s="3"/>
      <c r="U376" s="3"/>
      <c r="V376" s="3"/>
      <c r="W376" s="3"/>
      <c r="X376" s="3"/>
      <c r="Y376" s="3"/>
      <c r="Z376" s="3"/>
    </row>
    <row r="377" ht="15.75" customHeight="1">
      <c r="C377" s="449">
        <v>327.0</v>
      </c>
      <c r="D377" s="433" t="s">
        <v>31</v>
      </c>
      <c r="E377" s="433" t="s">
        <v>19060</v>
      </c>
      <c r="F377" s="434" t="s">
        <v>19061</v>
      </c>
      <c r="G377" s="433"/>
      <c r="H377" s="433" t="s">
        <v>2222</v>
      </c>
      <c r="I377" s="433" t="s">
        <v>30</v>
      </c>
      <c r="J377" s="433"/>
      <c r="K377" s="433" t="s">
        <v>30</v>
      </c>
      <c r="L377" s="433">
        <v>48.0</v>
      </c>
      <c r="M377" s="433" t="s">
        <v>15377</v>
      </c>
      <c r="N377" s="433" t="s">
        <v>31</v>
      </c>
      <c r="O377" s="433" t="s">
        <v>19062</v>
      </c>
      <c r="P377" s="607">
        <v>2009.0</v>
      </c>
      <c r="Q377" s="433" t="s">
        <v>17956</v>
      </c>
      <c r="R377" s="433">
        <v>1.0</v>
      </c>
      <c r="S377" s="826"/>
      <c r="T377" s="3"/>
      <c r="U377" s="3"/>
      <c r="V377" s="3"/>
      <c r="W377" s="3"/>
      <c r="X377" s="3"/>
      <c r="Y377" s="3"/>
      <c r="Z377" s="3"/>
    </row>
    <row r="378" ht="15.75" customHeight="1">
      <c r="C378" s="449">
        <v>328.0</v>
      </c>
      <c r="D378" s="433" t="s">
        <v>31</v>
      </c>
      <c r="E378" s="833" t="s">
        <v>19063</v>
      </c>
      <c r="F378" s="434" t="s">
        <v>19064</v>
      </c>
      <c r="G378" s="433"/>
      <c r="H378" s="433" t="s">
        <v>2222</v>
      </c>
      <c r="I378" s="433" t="s">
        <v>30</v>
      </c>
      <c r="J378" s="433"/>
      <c r="K378" s="433" t="s">
        <v>30</v>
      </c>
      <c r="L378" s="433">
        <v>64.0</v>
      </c>
      <c r="M378" s="433" t="s">
        <v>15377</v>
      </c>
      <c r="N378" s="433" t="s">
        <v>19065</v>
      </c>
      <c r="O378" s="433" t="s">
        <v>19066</v>
      </c>
      <c r="P378" s="607">
        <v>1999.0</v>
      </c>
      <c r="Q378" s="433" t="s">
        <v>17956</v>
      </c>
      <c r="R378" s="433">
        <v>1.0</v>
      </c>
      <c r="S378" s="826"/>
      <c r="T378" s="3"/>
      <c r="U378" s="3"/>
      <c r="V378" s="3"/>
      <c r="W378" s="3"/>
      <c r="X378" s="3"/>
      <c r="Y378" s="3"/>
      <c r="Z378" s="3"/>
    </row>
    <row r="379" ht="15.75" customHeight="1">
      <c r="A379" s="583"/>
      <c r="B379" s="583"/>
      <c r="C379" s="449">
        <v>329.0</v>
      </c>
      <c r="D379" s="433" t="s">
        <v>31</v>
      </c>
      <c r="E379" s="433" t="s">
        <v>19067</v>
      </c>
      <c r="F379" s="434" t="s">
        <v>19068</v>
      </c>
      <c r="G379" s="433" t="s">
        <v>19069</v>
      </c>
      <c r="H379" s="433" t="s">
        <v>2222</v>
      </c>
      <c r="I379" s="433" t="s">
        <v>30</v>
      </c>
      <c r="J379" s="433"/>
      <c r="K379" s="433" t="s">
        <v>30</v>
      </c>
      <c r="L379" s="433">
        <v>34.0</v>
      </c>
      <c r="M379" s="433" t="s">
        <v>15377</v>
      </c>
      <c r="N379" s="433" t="s">
        <v>31</v>
      </c>
      <c r="O379" s="433" t="s">
        <v>19070</v>
      </c>
      <c r="P379" s="607">
        <v>2016.0</v>
      </c>
      <c r="Q379" s="433" t="s">
        <v>17956</v>
      </c>
      <c r="R379" s="433">
        <v>1.0</v>
      </c>
      <c r="S379" s="835"/>
      <c r="T379" s="74"/>
      <c r="U379" s="74"/>
      <c r="V379" s="74"/>
      <c r="W379" s="74"/>
      <c r="X379" s="74"/>
      <c r="Y379" s="74"/>
      <c r="Z379" s="74"/>
    </row>
    <row r="380" ht="15.75" customHeight="1">
      <c r="A380" s="583"/>
      <c r="B380" s="583"/>
      <c r="C380" s="449"/>
      <c r="D380" s="433" t="s">
        <v>31</v>
      </c>
      <c r="E380" s="433" t="s">
        <v>19067</v>
      </c>
      <c r="F380" s="434" t="s">
        <v>19071</v>
      </c>
      <c r="G380" s="433" t="s">
        <v>19069</v>
      </c>
      <c r="H380" s="433" t="s">
        <v>2222</v>
      </c>
      <c r="I380" s="433" t="s">
        <v>30</v>
      </c>
      <c r="J380" s="433"/>
      <c r="K380" s="433" t="s">
        <v>30</v>
      </c>
      <c r="L380" s="433">
        <v>34.0</v>
      </c>
      <c r="M380" s="433" t="s">
        <v>15377</v>
      </c>
      <c r="N380" s="433" t="s">
        <v>31</v>
      </c>
      <c r="O380" s="433" t="s">
        <v>19070</v>
      </c>
      <c r="P380" s="607">
        <v>2016.0</v>
      </c>
      <c r="Q380" s="433" t="s">
        <v>17956</v>
      </c>
      <c r="R380" s="433">
        <v>5.0</v>
      </c>
      <c r="S380" s="835"/>
      <c r="T380" s="74"/>
      <c r="U380" s="74"/>
      <c r="V380" s="74"/>
      <c r="W380" s="74"/>
      <c r="X380" s="74"/>
      <c r="Y380" s="74"/>
      <c r="Z380" s="74"/>
    </row>
    <row r="381" ht="15.75" customHeight="1">
      <c r="A381" s="583"/>
      <c r="B381" s="583"/>
      <c r="C381" s="449"/>
      <c r="D381" s="433"/>
      <c r="E381" s="433" t="s">
        <v>19067</v>
      </c>
      <c r="F381" s="434" t="s">
        <v>19072</v>
      </c>
      <c r="G381" s="433" t="s">
        <v>19069</v>
      </c>
      <c r="H381" s="433" t="s">
        <v>2222</v>
      </c>
      <c r="I381" s="433" t="s">
        <v>30</v>
      </c>
      <c r="J381" s="433"/>
      <c r="K381" s="433" t="s">
        <v>30</v>
      </c>
      <c r="L381" s="433">
        <v>34.0</v>
      </c>
      <c r="M381" s="433" t="s">
        <v>15377</v>
      </c>
      <c r="N381" s="433" t="s">
        <v>31</v>
      </c>
      <c r="O381" s="433" t="s">
        <v>19070</v>
      </c>
      <c r="P381" s="607">
        <v>2015.0</v>
      </c>
      <c r="Q381" s="433" t="s">
        <v>17956</v>
      </c>
      <c r="R381" s="433">
        <v>1.0</v>
      </c>
      <c r="S381" s="835"/>
      <c r="T381" s="74"/>
      <c r="U381" s="74"/>
      <c r="V381" s="74"/>
      <c r="W381" s="74"/>
      <c r="X381" s="74"/>
      <c r="Y381" s="74"/>
      <c r="Z381" s="74"/>
    </row>
    <row r="382" ht="15.75" customHeight="1">
      <c r="C382" s="449">
        <v>330.0</v>
      </c>
      <c r="D382" s="433" t="s">
        <v>19073</v>
      </c>
      <c r="E382" s="433" t="s">
        <v>19074</v>
      </c>
      <c r="F382" s="434" t="s">
        <v>19075</v>
      </c>
      <c r="G382" s="433" t="s">
        <v>19069</v>
      </c>
      <c r="H382" s="433" t="s">
        <v>2222</v>
      </c>
      <c r="I382" s="433" t="s">
        <v>30</v>
      </c>
      <c r="J382" s="433"/>
      <c r="K382" s="433" t="s">
        <v>30</v>
      </c>
      <c r="L382" s="433">
        <v>32.0</v>
      </c>
      <c r="M382" s="433" t="s">
        <v>15377</v>
      </c>
      <c r="N382" s="433" t="s">
        <v>31</v>
      </c>
      <c r="O382" s="433" t="s">
        <v>19076</v>
      </c>
      <c r="P382" s="607">
        <v>2006.0</v>
      </c>
      <c r="Q382" s="433" t="s">
        <v>17956</v>
      </c>
      <c r="R382" s="433">
        <v>1.0</v>
      </c>
      <c r="S382" s="826"/>
      <c r="T382" s="3"/>
      <c r="U382" s="3"/>
      <c r="V382" s="3"/>
      <c r="W382" s="3"/>
      <c r="X382" s="3"/>
      <c r="Y382" s="3"/>
      <c r="Z382" s="3"/>
    </row>
    <row r="383" ht="15.75" customHeight="1">
      <c r="C383" s="449">
        <v>331.0</v>
      </c>
      <c r="D383" s="433" t="s">
        <v>31</v>
      </c>
      <c r="E383" s="433" t="s">
        <v>19077</v>
      </c>
      <c r="F383" s="434" t="s">
        <v>19078</v>
      </c>
      <c r="G383" s="433" t="s">
        <v>19069</v>
      </c>
      <c r="H383" s="433" t="s">
        <v>2222</v>
      </c>
      <c r="I383" s="433" t="s">
        <v>30</v>
      </c>
      <c r="J383" s="433"/>
      <c r="K383" s="433" t="s">
        <v>30</v>
      </c>
      <c r="L383" s="433">
        <v>94.0</v>
      </c>
      <c r="M383" s="433" t="s">
        <v>15377</v>
      </c>
      <c r="N383" s="433" t="s">
        <v>19079</v>
      </c>
      <c r="O383" s="433" t="s">
        <v>4762</v>
      </c>
      <c r="P383" s="607">
        <v>2003.0</v>
      </c>
      <c r="Q383" s="433" t="s">
        <v>17956</v>
      </c>
      <c r="R383" s="433">
        <v>1.0</v>
      </c>
      <c r="S383" s="826"/>
      <c r="T383" s="3"/>
      <c r="U383" s="3"/>
      <c r="V383" s="3"/>
      <c r="W383" s="3"/>
      <c r="X383" s="3"/>
      <c r="Y383" s="3"/>
      <c r="Z383" s="3"/>
    </row>
    <row r="384" ht="15.75" customHeight="1">
      <c r="C384" s="449">
        <v>332.0</v>
      </c>
      <c r="D384" s="433" t="s">
        <v>19080</v>
      </c>
      <c r="E384" s="433" t="s">
        <v>19081</v>
      </c>
      <c r="F384" s="434" t="s">
        <v>19082</v>
      </c>
      <c r="G384" s="433" t="s">
        <v>16526</v>
      </c>
      <c r="H384" s="433" t="s">
        <v>2222</v>
      </c>
      <c r="I384" s="433" t="s">
        <v>30</v>
      </c>
      <c r="J384" s="433"/>
      <c r="K384" s="433" t="s">
        <v>30</v>
      </c>
      <c r="L384" s="433">
        <v>32.0</v>
      </c>
      <c r="M384" s="433" t="s">
        <v>15377</v>
      </c>
      <c r="N384" s="433" t="s">
        <v>19083</v>
      </c>
      <c r="O384" s="433" t="s">
        <v>9000</v>
      </c>
      <c r="P384" s="607">
        <v>2009.0</v>
      </c>
      <c r="Q384" s="433" t="s">
        <v>17956</v>
      </c>
      <c r="R384" s="433">
        <v>1.0</v>
      </c>
      <c r="S384" s="826"/>
      <c r="T384" s="3"/>
      <c r="U384" s="3"/>
      <c r="V384" s="3"/>
      <c r="W384" s="3"/>
      <c r="X384" s="3"/>
      <c r="Y384" s="3"/>
      <c r="Z384" s="3"/>
    </row>
    <row r="385" ht="15.75" customHeight="1">
      <c r="C385" s="449">
        <v>333.0</v>
      </c>
      <c r="D385" s="433" t="s">
        <v>13366</v>
      </c>
      <c r="E385" s="433" t="s">
        <v>19084</v>
      </c>
      <c r="F385" s="434" t="s">
        <v>19085</v>
      </c>
      <c r="G385" s="433" t="s">
        <v>16526</v>
      </c>
      <c r="H385" s="433" t="s">
        <v>2222</v>
      </c>
      <c r="I385" s="433" t="s">
        <v>30</v>
      </c>
      <c r="J385" s="433"/>
      <c r="K385" s="433" t="s">
        <v>14933</v>
      </c>
      <c r="L385" s="433">
        <v>60.0</v>
      </c>
      <c r="M385" s="433" t="s">
        <v>19086</v>
      </c>
      <c r="N385" s="433" t="s">
        <v>13368</v>
      </c>
      <c r="O385" s="433" t="s">
        <v>169</v>
      </c>
      <c r="P385" s="607">
        <v>2010.0</v>
      </c>
      <c r="Q385" s="433" t="s">
        <v>17956</v>
      </c>
      <c r="R385" s="433">
        <v>1.0</v>
      </c>
      <c r="S385" s="826"/>
      <c r="T385" s="3"/>
      <c r="U385" s="3"/>
      <c r="V385" s="3"/>
      <c r="W385" s="3"/>
      <c r="X385" s="3"/>
      <c r="Y385" s="3"/>
      <c r="Z385" s="3"/>
    </row>
    <row r="386" ht="15.75" customHeight="1">
      <c r="C386" s="449">
        <v>334.0</v>
      </c>
      <c r="D386" s="433" t="s">
        <v>19087</v>
      </c>
      <c r="E386" s="433" t="s">
        <v>19088</v>
      </c>
      <c r="F386" s="434" t="s">
        <v>19089</v>
      </c>
      <c r="G386" s="433" t="s">
        <v>16526</v>
      </c>
      <c r="H386" s="433" t="s">
        <v>2222</v>
      </c>
      <c r="I386" s="433" t="s">
        <v>30</v>
      </c>
      <c r="J386" s="433"/>
      <c r="K386" s="433" t="s">
        <v>30</v>
      </c>
      <c r="L386" s="433">
        <v>32.0</v>
      </c>
      <c r="M386" s="433" t="s">
        <v>19090</v>
      </c>
      <c r="N386" s="433" t="s">
        <v>19083</v>
      </c>
      <c r="O386" s="433" t="s">
        <v>9000</v>
      </c>
      <c r="P386" s="607">
        <v>2014.0</v>
      </c>
      <c r="Q386" s="433" t="s">
        <v>17956</v>
      </c>
      <c r="R386" s="433">
        <v>1.0</v>
      </c>
      <c r="S386" s="826"/>
      <c r="T386" s="3"/>
      <c r="U386" s="3"/>
      <c r="V386" s="3"/>
      <c r="W386" s="3"/>
      <c r="X386" s="3"/>
      <c r="Y386" s="3"/>
      <c r="Z386" s="3"/>
    </row>
    <row r="387" ht="15.75" customHeight="1">
      <c r="C387" s="449">
        <v>335.0</v>
      </c>
      <c r="D387" s="433" t="s">
        <v>19091</v>
      </c>
      <c r="E387" s="433" t="s">
        <v>19092</v>
      </c>
      <c r="F387" s="434" t="s">
        <v>19093</v>
      </c>
      <c r="G387" s="433" t="s">
        <v>16526</v>
      </c>
      <c r="H387" s="433" t="s">
        <v>2222</v>
      </c>
      <c r="I387" s="433" t="s">
        <v>30</v>
      </c>
      <c r="J387" s="433"/>
      <c r="K387" s="433" t="s">
        <v>30</v>
      </c>
      <c r="L387" s="433">
        <v>64.0</v>
      </c>
      <c r="M387" s="433" t="s">
        <v>19094</v>
      </c>
      <c r="N387" s="433" t="s">
        <v>2735</v>
      </c>
      <c r="O387" s="433" t="s">
        <v>169</v>
      </c>
      <c r="P387" s="607">
        <v>2011.0</v>
      </c>
      <c r="Q387" s="433" t="s">
        <v>17956</v>
      </c>
      <c r="R387" s="433">
        <v>1.0</v>
      </c>
      <c r="S387" s="826"/>
      <c r="T387" s="3"/>
      <c r="U387" s="3"/>
      <c r="V387" s="3"/>
      <c r="W387" s="3"/>
      <c r="X387" s="3"/>
      <c r="Y387" s="3"/>
      <c r="Z387" s="3"/>
    </row>
    <row r="388" ht="15.75" customHeight="1">
      <c r="C388" s="449">
        <v>336.0</v>
      </c>
      <c r="D388" s="433" t="s">
        <v>19095</v>
      </c>
      <c r="E388" s="433" t="s">
        <v>19096</v>
      </c>
      <c r="F388" s="434" t="s">
        <v>19097</v>
      </c>
      <c r="G388" s="433" t="s">
        <v>16526</v>
      </c>
      <c r="H388" s="433" t="s">
        <v>2222</v>
      </c>
      <c r="I388" s="433" t="s">
        <v>30</v>
      </c>
      <c r="J388" s="433"/>
      <c r="K388" s="433" t="s">
        <v>30</v>
      </c>
      <c r="L388" s="433">
        <v>64.0</v>
      </c>
      <c r="M388" s="433" t="s">
        <v>19094</v>
      </c>
      <c r="N388" s="433" t="s">
        <v>2735</v>
      </c>
      <c r="O388" s="433" t="s">
        <v>169</v>
      </c>
      <c r="P388" s="607">
        <v>2013.0</v>
      </c>
      <c r="Q388" s="433" t="s">
        <v>17956</v>
      </c>
      <c r="R388" s="433">
        <v>1.0</v>
      </c>
      <c r="S388" s="826"/>
      <c r="T388" s="3"/>
      <c r="U388" s="3"/>
      <c r="V388" s="3"/>
      <c r="W388" s="3"/>
      <c r="X388" s="3"/>
      <c r="Y388" s="3"/>
      <c r="Z388" s="3"/>
    </row>
    <row r="389" ht="15.75" customHeight="1">
      <c r="C389" s="449">
        <v>337.0</v>
      </c>
      <c r="D389" s="433" t="s">
        <v>19098</v>
      </c>
      <c r="E389" s="433" t="s">
        <v>2733</v>
      </c>
      <c r="F389" s="434" t="s">
        <v>19099</v>
      </c>
      <c r="G389" s="433" t="s">
        <v>16526</v>
      </c>
      <c r="H389" s="433" t="s">
        <v>2222</v>
      </c>
      <c r="I389" s="433" t="s">
        <v>30</v>
      </c>
      <c r="J389" s="433"/>
      <c r="K389" s="433" t="s">
        <v>30</v>
      </c>
      <c r="L389" s="433">
        <v>64.0</v>
      </c>
      <c r="M389" s="433" t="s">
        <v>19100</v>
      </c>
      <c r="N389" s="433" t="s">
        <v>2735</v>
      </c>
      <c r="O389" s="433" t="s">
        <v>169</v>
      </c>
      <c r="P389" s="607">
        <v>2014.0</v>
      </c>
      <c r="Q389" s="433" t="s">
        <v>17956</v>
      </c>
      <c r="R389" s="433">
        <v>1.0</v>
      </c>
      <c r="S389" s="826"/>
      <c r="T389" s="3"/>
      <c r="U389" s="3"/>
      <c r="V389" s="3"/>
      <c r="W389" s="3"/>
      <c r="X389" s="3"/>
      <c r="Y389" s="3"/>
      <c r="Z389" s="3"/>
    </row>
    <row r="390" ht="15.75" customHeight="1">
      <c r="C390" s="449">
        <v>338.0</v>
      </c>
      <c r="D390" s="433" t="s">
        <v>7199</v>
      </c>
      <c r="E390" s="433" t="s">
        <v>19096</v>
      </c>
      <c r="F390" s="434" t="s">
        <v>19101</v>
      </c>
      <c r="G390" s="433" t="s">
        <v>16526</v>
      </c>
      <c r="H390" s="433" t="s">
        <v>2222</v>
      </c>
      <c r="I390" s="433" t="s">
        <v>30</v>
      </c>
      <c r="J390" s="433"/>
      <c r="K390" s="433" t="s">
        <v>30</v>
      </c>
      <c r="L390" s="433">
        <v>60.0</v>
      </c>
      <c r="M390" s="433" t="s">
        <v>19102</v>
      </c>
      <c r="N390" s="433" t="s">
        <v>2735</v>
      </c>
      <c r="O390" s="433" t="s">
        <v>169</v>
      </c>
      <c r="P390" s="607">
        <v>2010.0</v>
      </c>
      <c r="Q390" s="433" t="s">
        <v>17956</v>
      </c>
      <c r="R390" s="433">
        <v>1.0</v>
      </c>
      <c r="S390" s="826"/>
      <c r="T390" s="3"/>
      <c r="U390" s="3"/>
      <c r="V390" s="3"/>
      <c r="W390" s="3"/>
      <c r="X390" s="3"/>
      <c r="Y390" s="3"/>
      <c r="Z390" s="3"/>
    </row>
    <row r="391" ht="15.75" customHeight="1">
      <c r="C391" s="449">
        <v>339.0</v>
      </c>
      <c r="D391" s="433" t="s">
        <v>19103</v>
      </c>
      <c r="E391" s="433" t="s">
        <v>19104</v>
      </c>
      <c r="F391" s="434" t="s">
        <v>19105</v>
      </c>
      <c r="G391" s="433" t="s">
        <v>16526</v>
      </c>
      <c r="H391" s="433" t="s">
        <v>2222</v>
      </c>
      <c r="I391" s="433" t="s">
        <v>30</v>
      </c>
      <c r="J391" s="433"/>
      <c r="K391" s="433" t="s">
        <v>30</v>
      </c>
      <c r="L391" s="433">
        <v>38.0</v>
      </c>
      <c r="M391" s="433" t="s">
        <v>19102</v>
      </c>
      <c r="N391" s="433" t="s">
        <v>19106</v>
      </c>
      <c r="O391" s="433" t="s">
        <v>9000</v>
      </c>
      <c r="P391" s="607">
        <v>2008.0</v>
      </c>
      <c r="Q391" s="433" t="s">
        <v>17956</v>
      </c>
      <c r="R391" s="433">
        <v>1.0</v>
      </c>
      <c r="S391" s="826"/>
      <c r="T391" s="3"/>
      <c r="U391" s="3"/>
      <c r="V391" s="3"/>
      <c r="W391" s="3"/>
      <c r="X391" s="3"/>
      <c r="Y391" s="3"/>
      <c r="Z391" s="3"/>
    </row>
    <row r="392" ht="15.75" customHeight="1">
      <c r="C392" s="449">
        <v>340.0</v>
      </c>
      <c r="D392" s="433" t="s">
        <v>19107</v>
      </c>
      <c r="E392" s="433" t="s">
        <v>19108</v>
      </c>
      <c r="F392" s="434" t="s">
        <v>19109</v>
      </c>
      <c r="G392" s="433" t="s">
        <v>16526</v>
      </c>
      <c r="H392" s="433" t="s">
        <v>2222</v>
      </c>
      <c r="I392" s="433" t="s">
        <v>30</v>
      </c>
      <c r="J392" s="433"/>
      <c r="K392" s="433" t="s">
        <v>30</v>
      </c>
      <c r="L392" s="433">
        <v>32.0</v>
      </c>
      <c r="M392" s="433" t="s">
        <v>19102</v>
      </c>
      <c r="N392" s="433" t="s">
        <v>18388</v>
      </c>
      <c r="O392" s="433" t="s">
        <v>161</v>
      </c>
      <c r="P392" s="607">
        <v>2002.0</v>
      </c>
      <c r="Q392" s="433" t="s">
        <v>17956</v>
      </c>
      <c r="R392" s="433">
        <v>1.0</v>
      </c>
      <c r="S392" s="826"/>
      <c r="T392" s="3"/>
      <c r="U392" s="3"/>
      <c r="V392" s="3"/>
      <c r="W392" s="3"/>
      <c r="X392" s="3"/>
      <c r="Y392" s="3"/>
      <c r="Z392" s="3"/>
    </row>
    <row r="393" ht="15.75" customHeight="1">
      <c r="C393" s="449">
        <v>341.0</v>
      </c>
      <c r="D393" s="433" t="s">
        <v>19110</v>
      </c>
      <c r="E393" s="433" t="s">
        <v>19111</v>
      </c>
      <c r="F393" s="434" t="s">
        <v>19112</v>
      </c>
      <c r="G393" s="433" t="s">
        <v>16526</v>
      </c>
      <c r="H393" s="433" t="s">
        <v>2222</v>
      </c>
      <c r="I393" s="433" t="s">
        <v>30</v>
      </c>
      <c r="J393" s="433"/>
      <c r="K393" s="433" t="s">
        <v>30</v>
      </c>
      <c r="L393" s="433">
        <v>32.0</v>
      </c>
      <c r="M393" s="433" t="s">
        <v>19102</v>
      </c>
      <c r="N393" s="433" t="s">
        <v>18388</v>
      </c>
      <c r="O393" s="433" t="s">
        <v>161</v>
      </c>
      <c r="P393" s="607">
        <v>2002.0</v>
      </c>
      <c r="Q393" s="433" t="s">
        <v>17956</v>
      </c>
      <c r="R393" s="433">
        <v>1.0</v>
      </c>
      <c r="S393" s="826"/>
      <c r="T393" s="3"/>
      <c r="U393" s="3"/>
      <c r="V393" s="3"/>
      <c r="W393" s="3"/>
      <c r="X393" s="3"/>
      <c r="Y393" s="3"/>
      <c r="Z393" s="3"/>
    </row>
    <row r="394" ht="15.75" customHeight="1">
      <c r="C394" s="449">
        <v>342.0</v>
      </c>
      <c r="D394" s="433" t="s">
        <v>19113</v>
      </c>
      <c r="E394" s="433" t="s">
        <v>19114</v>
      </c>
      <c r="F394" s="434" t="s">
        <v>19115</v>
      </c>
      <c r="G394" s="433" t="s">
        <v>16526</v>
      </c>
      <c r="H394" s="433" t="s">
        <v>2222</v>
      </c>
      <c r="I394" s="433" t="s">
        <v>30</v>
      </c>
      <c r="J394" s="433"/>
      <c r="K394" s="433" t="s">
        <v>30</v>
      </c>
      <c r="L394" s="433">
        <v>32.0</v>
      </c>
      <c r="M394" s="433" t="s">
        <v>19102</v>
      </c>
      <c r="N394" s="433" t="s">
        <v>18388</v>
      </c>
      <c r="O394" s="433" t="s">
        <v>161</v>
      </c>
      <c r="P394" s="607">
        <v>2002.0</v>
      </c>
      <c r="Q394" s="433" t="s">
        <v>17956</v>
      </c>
      <c r="R394" s="433">
        <v>1.0</v>
      </c>
      <c r="S394" s="826"/>
      <c r="T394" s="3"/>
      <c r="U394" s="3"/>
      <c r="V394" s="3"/>
      <c r="W394" s="3"/>
      <c r="X394" s="3"/>
      <c r="Y394" s="3"/>
      <c r="Z394" s="3"/>
    </row>
    <row r="395" ht="15.75" customHeight="1">
      <c r="C395" s="449">
        <v>343.0</v>
      </c>
      <c r="D395" s="433" t="s">
        <v>19116</v>
      </c>
      <c r="E395" s="433" t="s">
        <v>19117</v>
      </c>
      <c r="F395" s="434" t="s">
        <v>19118</v>
      </c>
      <c r="G395" s="433" t="s">
        <v>16526</v>
      </c>
      <c r="H395" s="433" t="s">
        <v>2222</v>
      </c>
      <c r="I395" s="433" t="s">
        <v>30</v>
      </c>
      <c r="J395" s="433"/>
      <c r="K395" s="433" t="s">
        <v>30</v>
      </c>
      <c r="L395" s="433">
        <v>32.0</v>
      </c>
      <c r="M395" s="433" t="s">
        <v>19102</v>
      </c>
      <c r="N395" s="433" t="s">
        <v>18388</v>
      </c>
      <c r="O395" s="433" t="s">
        <v>161</v>
      </c>
      <c r="P395" s="607">
        <v>2002.0</v>
      </c>
      <c r="Q395" s="433" t="s">
        <v>17956</v>
      </c>
      <c r="R395" s="433">
        <v>1.0</v>
      </c>
      <c r="S395" s="826"/>
      <c r="T395" s="3"/>
      <c r="U395" s="3"/>
      <c r="V395" s="3"/>
      <c r="W395" s="3"/>
      <c r="X395" s="3"/>
      <c r="Y395" s="3"/>
      <c r="Z395" s="3"/>
    </row>
    <row r="396" ht="15.75" customHeight="1">
      <c r="C396" s="449">
        <v>344.0</v>
      </c>
      <c r="D396" s="433" t="s">
        <v>19119</v>
      </c>
      <c r="E396" s="433" t="s">
        <v>19120</v>
      </c>
      <c r="F396" s="434" t="s">
        <v>19121</v>
      </c>
      <c r="G396" s="433" t="s">
        <v>16526</v>
      </c>
      <c r="H396" s="433" t="s">
        <v>2222</v>
      </c>
      <c r="I396" s="433" t="s">
        <v>30</v>
      </c>
      <c r="J396" s="433"/>
      <c r="K396" s="433" t="s">
        <v>30</v>
      </c>
      <c r="L396" s="433">
        <v>32.0</v>
      </c>
      <c r="M396" s="433" t="s">
        <v>19102</v>
      </c>
      <c r="N396" s="433" t="s">
        <v>18388</v>
      </c>
      <c r="O396" s="433" t="s">
        <v>161</v>
      </c>
      <c r="P396" s="607">
        <v>2002.0</v>
      </c>
      <c r="Q396" s="433" t="s">
        <v>17956</v>
      </c>
      <c r="R396" s="433">
        <v>1.0</v>
      </c>
      <c r="S396" s="826"/>
      <c r="T396" s="3"/>
      <c r="U396" s="3"/>
      <c r="V396" s="3"/>
      <c r="W396" s="3"/>
      <c r="X396" s="3"/>
      <c r="Y396" s="3"/>
      <c r="Z396" s="3"/>
    </row>
    <row r="397" ht="15.75" customHeight="1">
      <c r="C397" s="449">
        <v>345.0</v>
      </c>
      <c r="D397" s="433" t="s">
        <v>19122</v>
      </c>
      <c r="E397" s="433" t="s">
        <v>19123</v>
      </c>
      <c r="F397" s="434" t="s">
        <v>19124</v>
      </c>
      <c r="G397" s="433" t="s">
        <v>16526</v>
      </c>
      <c r="H397" s="433" t="s">
        <v>2222</v>
      </c>
      <c r="I397" s="433" t="s">
        <v>30</v>
      </c>
      <c r="J397" s="433"/>
      <c r="K397" s="433" t="s">
        <v>30</v>
      </c>
      <c r="L397" s="433">
        <v>74.0</v>
      </c>
      <c r="M397" s="433" t="s">
        <v>19102</v>
      </c>
      <c r="N397" s="433" t="s">
        <v>19125</v>
      </c>
      <c r="O397" s="433" t="s">
        <v>9000</v>
      </c>
      <c r="P397" s="607">
        <v>2014.0</v>
      </c>
      <c r="Q397" s="433" t="s">
        <v>17956</v>
      </c>
      <c r="R397" s="433">
        <v>1.0</v>
      </c>
      <c r="S397" s="826"/>
      <c r="T397" s="3"/>
      <c r="U397" s="3"/>
      <c r="V397" s="3"/>
      <c r="W397" s="3"/>
      <c r="X397" s="3"/>
      <c r="Y397" s="3"/>
      <c r="Z397" s="3"/>
    </row>
    <row r="398" ht="15.75" customHeight="1">
      <c r="C398" s="449">
        <v>346.0</v>
      </c>
      <c r="D398" s="433" t="s">
        <v>19126</v>
      </c>
      <c r="E398" s="433" t="s">
        <v>19127</v>
      </c>
      <c r="F398" s="434" t="s">
        <v>19128</v>
      </c>
      <c r="G398" s="433" t="s">
        <v>16526</v>
      </c>
      <c r="H398" s="433" t="s">
        <v>2222</v>
      </c>
      <c r="I398" s="433" t="s">
        <v>30</v>
      </c>
      <c r="J398" s="433"/>
      <c r="K398" s="433" t="s">
        <v>30</v>
      </c>
      <c r="L398" s="433">
        <v>32.0</v>
      </c>
      <c r="M398" s="433" t="s">
        <v>19102</v>
      </c>
      <c r="N398" s="433" t="s">
        <v>18388</v>
      </c>
      <c r="O398" s="433" t="s">
        <v>161</v>
      </c>
      <c r="P398" s="607">
        <v>2014.0</v>
      </c>
      <c r="Q398" s="433" t="s">
        <v>17956</v>
      </c>
      <c r="R398" s="433">
        <v>1.0</v>
      </c>
      <c r="S398" s="826"/>
      <c r="T398" s="3"/>
      <c r="U398" s="3"/>
      <c r="V398" s="3"/>
      <c r="W398" s="3"/>
      <c r="X398" s="3"/>
      <c r="Y398" s="3"/>
      <c r="Z398" s="3"/>
    </row>
    <row r="399" ht="15.75" customHeight="1">
      <c r="C399" s="449">
        <v>347.0</v>
      </c>
      <c r="D399" s="433" t="s">
        <v>18594</v>
      </c>
      <c r="E399" s="433" t="s">
        <v>19129</v>
      </c>
      <c r="F399" s="434" t="s">
        <v>18596</v>
      </c>
      <c r="G399" s="433" t="s">
        <v>16526</v>
      </c>
      <c r="H399" s="433" t="s">
        <v>2222</v>
      </c>
      <c r="I399" s="433" t="s">
        <v>30</v>
      </c>
      <c r="J399" s="433"/>
      <c r="K399" s="433" t="s">
        <v>30</v>
      </c>
      <c r="L399" s="433">
        <v>36.0</v>
      </c>
      <c r="M399" s="433" t="s">
        <v>19102</v>
      </c>
      <c r="N399" s="433" t="s">
        <v>18099</v>
      </c>
      <c r="O399" s="433" t="s">
        <v>169</v>
      </c>
      <c r="P399" s="607">
        <v>2012.0</v>
      </c>
      <c r="Q399" s="433" t="s">
        <v>17956</v>
      </c>
      <c r="R399" s="433">
        <v>1.0</v>
      </c>
      <c r="S399" s="826"/>
      <c r="T399" s="3"/>
      <c r="U399" s="3"/>
      <c r="V399" s="3"/>
      <c r="W399" s="3"/>
      <c r="X399" s="3"/>
      <c r="Y399" s="3"/>
      <c r="Z399" s="3"/>
    </row>
    <row r="400" ht="15.75" customHeight="1">
      <c r="C400" s="449">
        <v>348.0</v>
      </c>
      <c r="D400" s="433" t="s">
        <v>18403</v>
      </c>
      <c r="E400" s="433" t="s">
        <v>19130</v>
      </c>
      <c r="F400" s="434" t="s">
        <v>18405</v>
      </c>
      <c r="G400" s="433" t="s">
        <v>16526</v>
      </c>
      <c r="H400" s="433" t="s">
        <v>2222</v>
      </c>
      <c r="I400" s="433" t="s">
        <v>30</v>
      </c>
      <c r="J400" s="433"/>
      <c r="K400" s="433" t="s">
        <v>30</v>
      </c>
      <c r="L400" s="433">
        <v>36.0</v>
      </c>
      <c r="M400" s="433" t="s">
        <v>19102</v>
      </c>
      <c r="N400" s="433" t="s">
        <v>18099</v>
      </c>
      <c r="O400" s="433" t="s">
        <v>169</v>
      </c>
      <c r="P400" s="607">
        <v>2015.0</v>
      </c>
      <c r="Q400" s="433" t="s">
        <v>17956</v>
      </c>
      <c r="R400" s="433">
        <v>1.0</v>
      </c>
      <c r="S400" s="826"/>
      <c r="T400" s="3"/>
      <c r="U400" s="3"/>
      <c r="V400" s="3"/>
      <c r="W400" s="3"/>
      <c r="X400" s="3"/>
      <c r="Y400" s="3"/>
      <c r="Z400" s="3"/>
    </row>
    <row r="401" ht="15.75" customHeight="1">
      <c r="C401" s="449">
        <v>349.0</v>
      </c>
      <c r="D401" s="433" t="s">
        <v>19131</v>
      </c>
      <c r="E401" s="433" t="s">
        <v>19132</v>
      </c>
      <c r="F401" s="434" t="s">
        <v>19133</v>
      </c>
      <c r="G401" s="433" t="s">
        <v>16526</v>
      </c>
      <c r="H401" s="433" t="s">
        <v>2222</v>
      </c>
      <c r="I401" s="433" t="s">
        <v>30</v>
      </c>
      <c r="J401" s="433"/>
      <c r="K401" s="433" t="s">
        <v>30</v>
      </c>
      <c r="L401" s="433">
        <v>44.0</v>
      </c>
      <c r="M401" s="433" t="s">
        <v>19102</v>
      </c>
      <c r="N401" s="433" t="s">
        <v>18099</v>
      </c>
      <c r="O401" s="433" t="s">
        <v>169</v>
      </c>
      <c r="P401" s="607">
        <v>2010.0</v>
      </c>
      <c r="Q401" s="433" t="s">
        <v>17956</v>
      </c>
      <c r="R401" s="433">
        <v>1.0</v>
      </c>
      <c r="S401" s="826"/>
      <c r="T401" s="3"/>
      <c r="U401" s="3"/>
      <c r="V401" s="3"/>
      <c r="W401" s="3"/>
      <c r="X401" s="3"/>
      <c r="Y401" s="3"/>
      <c r="Z401" s="3"/>
    </row>
    <row r="402" ht="15.75" customHeight="1">
      <c r="C402" s="449">
        <v>350.0</v>
      </c>
      <c r="D402" s="433" t="s">
        <v>19134</v>
      </c>
      <c r="E402" s="433" t="s">
        <v>19117</v>
      </c>
      <c r="F402" s="434" t="s">
        <v>19135</v>
      </c>
      <c r="G402" s="433" t="s">
        <v>16526</v>
      </c>
      <c r="H402" s="433" t="s">
        <v>2222</v>
      </c>
      <c r="I402" s="433" t="s">
        <v>30</v>
      </c>
      <c r="J402" s="433"/>
      <c r="K402" s="433" t="s">
        <v>30</v>
      </c>
      <c r="L402" s="433">
        <v>32.0</v>
      </c>
      <c r="M402" s="433" t="s">
        <v>19102</v>
      </c>
      <c r="N402" s="433" t="s">
        <v>18388</v>
      </c>
      <c r="O402" s="433" t="s">
        <v>161</v>
      </c>
      <c r="P402" s="607">
        <v>2014.0</v>
      </c>
      <c r="Q402" s="433" t="s">
        <v>17956</v>
      </c>
      <c r="R402" s="433">
        <v>1.0</v>
      </c>
      <c r="S402" s="826"/>
      <c r="T402" s="3"/>
      <c r="U402" s="3"/>
      <c r="V402" s="3"/>
      <c r="W402" s="3"/>
      <c r="X402" s="3"/>
      <c r="Y402" s="3"/>
      <c r="Z402" s="3"/>
    </row>
    <row r="403" ht="15.75" customHeight="1">
      <c r="C403" s="449">
        <v>351.0</v>
      </c>
      <c r="D403" s="433" t="s">
        <v>19136</v>
      </c>
      <c r="E403" s="433" t="s">
        <v>19111</v>
      </c>
      <c r="F403" s="434" t="s">
        <v>19137</v>
      </c>
      <c r="G403" s="433" t="s">
        <v>16526</v>
      </c>
      <c r="H403" s="433" t="s">
        <v>2222</v>
      </c>
      <c r="I403" s="433" t="s">
        <v>30</v>
      </c>
      <c r="J403" s="433"/>
      <c r="K403" s="433" t="s">
        <v>30</v>
      </c>
      <c r="L403" s="433">
        <v>32.0</v>
      </c>
      <c r="M403" s="433" t="s">
        <v>19102</v>
      </c>
      <c r="N403" s="433" t="s">
        <v>18388</v>
      </c>
      <c r="O403" s="433" t="s">
        <v>161</v>
      </c>
      <c r="P403" s="607">
        <v>2002.0</v>
      </c>
      <c r="Q403" s="433" t="s">
        <v>17956</v>
      </c>
      <c r="R403" s="433">
        <v>1.0</v>
      </c>
      <c r="S403" s="826"/>
      <c r="T403" s="3"/>
      <c r="U403" s="3"/>
      <c r="V403" s="3"/>
      <c r="W403" s="3"/>
      <c r="X403" s="3"/>
      <c r="Y403" s="3"/>
      <c r="Z403" s="3"/>
    </row>
    <row r="404" ht="15.75" customHeight="1">
      <c r="C404" s="449">
        <v>352.0</v>
      </c>
      <c r="D404" s="433" t="s">
        <v>19138</v>
      </c>
      <c r="E404" s="433" t="s">
        <v>19139</v>
      </c>
      <c r="F404" s="434" t="s">
        <v>19140</v>
      </c>
      <c r="G404" s="433" t="s">
        <v>16526</v>
      </c>
      <c r="H404" s="433" t="s">
        <v>2222</v>
      </c>
      <c r="I404" s="433" t="s">
        <v>30</v>
      </c>
      <c r="J404" s="433"/>
      <c r="K404" s="433" t="s">
        <v>30</v>
      </c>
      <c r="L404" s="433">
        <v>30.0</v>
      </c>
      <c r="M404" s="433" t="s">
        <v>19102</v>
      </c>
      <c r="N404" s="433" t="s">
        <v>18388</v>
      </c>
      <c r="O404" s="433" t="s">
        <v>161</v>
      </c>
      <c r="P404" s="607">
        <v>2014.0</v>
      </c>
      <c r="Q404" s="433" t="s">
        <v>17956</v>
      </c>
      <c r="R404" s="433">
        <v>1.0</v>
      </c>
      <c r="S404" s="826"/>
      <c r="T404" s="3"/>
      <c r="U404" s="3"/>
      <c r="V404" s="3"/>
      <c r="W404" s="3"/>
      <c r="X404" s="3"/>
      <c r="Y404" s="3"/>
      <c r="Z404" s="3"/>
    </row>
    <row r="405" ht="15.75" customHeight="1">
      <c r="C405" s="449">
        <v>353.0</v>
      </c>
      <c r="D405" s="433" t="s">
        <v>19141</v>
      </c>
      <c r="E405" s="433" t="s">
        <v>19142</v>
      </c>
      <c r="F405" s="434" t="s">
        <v>19143</v>
      </c>
      <c r="G405" s="433" t="s">
        <v>16526</v>
      </c>
      <c r="H405" s="433" t="s">
        <v>2222</v>
      </c>
      <c r="I405" s="433" t="s">
        <v>30</v>
      </c>
      <c r="J405" s="433"/>
      <c r="K405" s="433" t="s">
        <v>30</v>
      </c>
      <c r="L405" s="433">
        <v>384.0</v>
      </c>
      <c r="M405" s="433" t="s">
        <v>19102</v>
      </c>
      <c r="N405" s="433" t="s">
        <v>19144</v>
      </c>
      <c r="O405" s="433" t="s">
        <v>161</v>
      </c>
      <c r="P405" s="607">
        <v>2010.0</v>
      </c>
      <c r="Q405" s="433" t="s">
        <v>17956</v>
      </c>
      <c r="R405" s="433">
        <v>1.0</v>
      </c>
      <c r="S405" s="826"/>
      <c r="T405" s="3"/>
      <c r="U405" s="3"/>
      <c r="V405" s="3"/>
      <c r="W405" s="3"/>
      <c r="X405" s="3"/>
      <c r="Y405" s="3"/>
      <c r="Z405" s="3"/>
    </row>
    <row r="406" ht="15.75" customHeight="1">
      <c r="C406" s="449">
        <v>354.0</v>
      </c>
      <c r="D406" s="433" t="s">
        <v>19145</v>
      </c>
      <c r="E406" s="433" t="s">
        <v>19146</v>
      </c>
      <c r="F406" s="434" t="s">
        <v>19147</v>
      </c>
      <c r="G406" s="433" t="s">
        <v>16526</v>
      </c>
      <c r="H406" s="433" t="s">
        <v>2222</v>
      </c>
      <c r="I406" s="433" t="s">
        <v>30</v>
      </c>
      <c r="J406" s="433"/>
      <c r="K406" s="433" t="s">
        <v>14995</v>
      </c>
      <c r="L406" s="433">
        <v>456.0</v>
      </c>
      <c r="M406" s="433" t="s">
        <v>19102</v>
      </c>
      <c r="N406" s="433" t="s">
        <v>19148</v>
      </c>
      <c r="O406" s="433" t="s">
        <v>169</v>
      </c>
      <c r="P406" s="607">
        <v>2013.0</v>
      </c>
      <c r="Q406" s="433" t="s">
        <v>17956</v>
      </c>
      <c r="R406" s="433">
        <v>1.0</v>
      </c>
      <c r="S406" s="826"/>
      <c r="T406" s="3"/>
      <c r="U406" s="3"/>
      <c r="V406" s="3"/>
      <c r="W406" s="3"/>
      <c r="X406" s="3"/>
      <c r="Y406" s="3"/>
      <c r="Z406" s="3"/>
    </row>
    <row r="407" ht="15.75" customHeight="1">
      <c r="C407" s="449">
        <v>355.0</v>
      </c>
      <c r="D407" s="433" t="s">
        <v>19149</v>
      </c>
      <c r="E407" s="433" t="s">
        <v>19150</v>
      </c>
      <c r="F407" s="434" t="s">
        <v>19151</v>
      </c>
      <c r="G407" s="433" t="s">
        <v>16526</v>
      </c>
      <c r="H407" s="433" t="s">
        <v>2222</v>
      </c>
      <c r="I407" s="433" t="s">
        <v>30</v>
      </c>
      <c r="J407" s="433"/>
      <c r="K407" s="433" t="s">
        <v>30</v>
      </c>
      <c r="L407" s="433">
        <v>600.0</v>
      </c>
      <c r="M407" s="433" t="s">
        <v>19102</v>
      </c>
      <c r="N407" s="433" t="s">
        <v>19152</v>
      </c>
      <c r="O407" s="433" t="s">
        <v>8332</v>
      </c>
      <c r="P407" s="607">
        <v>2014.0</v>
      </c>
      <c r="Q407" s="433" t="s">
        <v>17956</v>
      </c>
      <c r="R407" s="433">
        <v>1.0</v>
      </c>
      <c r="S407" s="826"/>
      <c r="T407" s="3"/>
      <c r="U407" s="3"/>
      <c r="V407" s="3"/>
      <c r="W407" s="3"/>
      <c r="X407" s="3"/>
      <c r="Y407" s="3"/>
      <c r="Z407" s="3"/>
    </row>
    <row r="408" ht="15.75" customHeight="1">
      <c r="C408" s="449">
        <v>356.0</v>
      </c>
      <c r="D408" s="433" t="s">
        <v>19153</v>
      </c>
      <c r="E408" s="433" t="s">
        <v>12900</v>
      </c>
      <c r="F408" s="434" t="s">
        <v>19154</v>
      </c>
      <c r="G408" s="433" t="s">
        <v>16526</v>
      </c>
      <c r="H408" s="433" t="s">
        <v>2222</v>
      </c>
      <c r="I408" s="433" t="s">
        <v>30</v>
      </c>
      <c r="J408" s="433"/>
      <c r="K408" s="433" t="s">
        <v>30</v>
      </c>
      <c r="L408" s="433">
        <v>298.0</v>
      </c>
      <c r="M408" s="433" t="s">
        <v>19102</v>
      </c>
      <c r="N408" s="433"/>
      <c r="O408" s="433" t="s">
        <v>161</v>
      </c>
      <c r="P408" s="607">
        <v>2014.0</v>
      </c>
      <c r="Q408" s="433" t="s">
        <v>17956</v>
      </c>
      <c r="R408" s="433">
        <v>1.0</v>
      </c>
      <c r="S408" s="826"/>
      <c r="T408" s="3"/>
      <c r="U408" s="3"/>
      <c r="V408" s="3"/>
      <c r="W408" s="3"/>
      <c r="X408" s="3"/>
      <c r="Y408" s="3"/>
      <c r="Z408" s="3"/>
    </row>
    <row r="409" ht="15.75" customHeight="1">
      <c r="C409" s="449">
        <v>357.0</v>
      </c>
      <c r="D409" s="433" t="s">
        <v>19155</v>
      </c>
      <c r="E409" s="433" t="s">
        <v>19156</v>
      </c>
      <c r="F409" s="434" t="s">
        <v>19157</v>
      </c>
      <c r="G409" s="433" t="s">
        <v>16526</v>
      </c>
      <c r="H409" s="433" t="s">
        <v>2222</v>
      </c>
      <c r="I409" s="433" t="s">
        <v>30</v>
      </c>
      <c r="J409" s="433"/>
      <c r="K409" s="433" t="s">
        <v>30</v>
      </c>
      <c r="L409" s="433">
        <v>354.0</v>
      </c>
      <c r="M409" s="433" t="s">
        <v>19102</v>
      </c>
      <c r="N409" s="433"/>
      <c r="O409" s="433" t="s">
        <v>13486</v>
      </c>
      <c r="P409" s="607">
        <v>2003.0</v>
      </c>
      <c r="Q409" s="433" t="s">
        <v>17956</v>
      </c>
      <c r="R409" s="433">
        <v>1.0</v>
      </c>
      <c r="S409" s="826"/>
      <c r="T409" s="3"/>
      <c r="U409" s="3"/>
      <c r="V409" s="3"/>
      <c r="W409" s="3"/>
      <c r="X409" s="3"/>
      <c r="Y409" s="3"/>
      <c r="Z409" s="3"/>
    </row>
    <row r="410" ht="15.75" customHeight="1">
      <c r="C410" s="449">
        <v>358.0</v>
      </c>
      <c r="D410" s="433"/>
      <c r="E410" s="433"/>
      <c r="F410" s="434" t="s">
        <v>19158</v>
      </c>
      <c r="G410" s="433" t="s">
        <v>16526</v>
      </c>
      <c r="H410" s="433" t="s">
        <v>2222</v>
      </c>
      <c r="I410" s="433" t="s">
        <v>37</v>
      </c>
      <c r="J410" s="433"/>
      <c r="K410" s="433" t="s">
        <v>38</v>
      </c>
      <c r="L410" s="433"/>
      <c r="M410" s="433" t="s">
        <v>19159</v>
      </c>
      <c r="N410" s="433"/>
      <c r="O410" s="433" t="s">
        <v>31</v>
      </c>
      <c r="P410" s="607">
        <v>2014.0</v>
      </c>
      <c r="Q410" s="433" t="s">
        <v>17956</v>
      </c>
      <c r="R410" s="433">
        <v>1.0</v>
      </c>
      <c r="S410" s="826"/>
      <c r="T410" s="3"/>
      <c r="U410" s="3"/>
      <c r="V410" s="3"/>
      <c r="W410" s="3"/>
      <c r="X410" s="3"/>
      <c r="Y410" s="3"/>
      <c r="Z410" s="3"/>
    </row>
    <row r="411" ht="15.75" customHeight="1">
      <c r="C411" s="449">
        <v>359.0</v>
      </c>
      <c r="D411" s="433" t="s">
        <v>19160</v>
      </c>
      <c r="E411" s="433" t="s">
        <v>19161</v>
      </c>
      <c r="F411" s="434" t="s">
        <v>19162</v>
      </c>
      <c r="G411" s="433" t="s">
        <v>16526</v>
      </c>
      <c r="H411" s="433" t="s">
        <v>2222</v>
      </c>
      <c r="I411" s="433" t="s">
        <v>38</v>
      </c>
      <c r="J411" s="433"/>
      <c r="K411" s="433" t="s">
        <v>38</v>
      </c>
      <c r="L411" s="433">
        <v>48.0</v>
      </c>
      <c r="M411" s="433" t="s">
        <v>19159</v>
      </c>
      <c r="N411" s="433"/>
      <c r="O411" s="433" t="s">
        <v>19163</v>
      </c>
      <c r="P411" s="607">
        <v>1995.0</v>
      </c>
      <c r="Q411" s="433" t="s">
        <v>17956</v>
      </c>
      <c r="R411" s="433">
        <v>1.0</v>
      </c>
      <c r="S411" s="826"/>
      <c r="T411" s="3"/>
      <c r="U411" s="3"/>
      <c r="V411" s="3"/>
      <c r="W411" s="3"/>
      <c r="X411" s="3"/>
      <c r="Y411" s="3"/>
      <c r="Z411" s="3"/>
    </row>
    <row r="412" ht="15.75" customHeight="1">
      <c r="C412" s="449">
        <v>360.0</v>
      </c>
      <c r="D412" s="433" t="s">
        <v>19160</v>
      </c>
      <c r="E412" s="433" t="s">
        <v>19161</v>
      </c>
      <c r="F412" s="434" t="s">
        <v>19164</v>
      </c>
      <c r="G412" s="433" t="s">
        <v>16526</v>
      </c>
      <c r="H412" s="433" t="s">
        <v>2222</v>
      </c>
      <c r="I412" s="433" t="s">
        <v>38</v>
      </c>
      <c r="J412" s="433"/>
      <c r="K412" s="433" t="s">
        <v>38</v>
      </c>
      <c r="L412" s="433">
        <v>48.0</v>
      </c>
      <c r="M412" s="433" t="s">
        <v>19159</v>
      </c>
      <c r="N412" s="433"/>
      <c r="O412" s="433" t="s">
        <v>19163</v>
      </c>
      <c r="P412" s="607">
        <v>1995.0</v>
      </c>
      <c r="Q412" s="433" t="s">
        <v>17956</v>
      </c>
      <c r="R412" s="433">
        <v>1.0</v>
      </c>
      <c r="S412" s="826"/>
      <c r="T412" s="3"/>
      <c r="U412" s="3"/>
      <c r="V412" s="3"/>
      <c r="W412" s="3"/>
      <c r="X412" s="3"/>
      <c r="Y412" s="3"/>
      <c r="Z412" s="3"/>
    </row>
    <row r="413" ht="15.75" customHeight="1">
      <c r="C413" s="449">
        <v>361.0</v>
      </c>
      <c r="D413" s="433" t="s">
        <v>31</v>
      </c>
      <c r="E413" s="433" t="s">
        <v>31</v>
      </c>
      <c r="F413" s="434" t="s">
        <v>19165</v>
      </c>
      <c r="G413" s="433" t="s">
        <v>16526</v>
      </c>
      <c r="H413" s="433" t="s">
        <v>2222</v>
      </c>
      <c r="I413" s="433" t="s">
        <v>30</v>
      </c>
      <c r="J413" s="433"/>
      <c r="K413" s="433" t="s">
        <v>30</v>
      </c>
      <c r="L413" s="433" t="s">
        <v>19166</v>
      </c>
      <c r="M413" s="433"/>
      <c r="N413" s="433"/>
      <c r="O413" s="433" t="s">
        <v>19167</v>
      </c>
      <c r="P413" s="607" t="s">
        <v>31</v>
      </c>
      <c r="Q413" s="433" t="s">
        <v>17956</v>
      </c>
      <c r="R413" s="433">
        <v>1.0</v>
      </c>
      <c r="S413" s="826"/>
      <c r="T413" s="3"/>
      <c r="U413" s="3"/>
      <c r="V413" s="3"/>
      <c r="W413" s="3"/>
      <c r="X413" s="3"/>
      <c r="Y413" s="3"/>
      <c r="Z413" s="3"/>
    </row>
    <row r="414" ht="15.75" customHeight="1">
      <c r="C414" s="449">
        <v>362.0</v>
      </c>
      <c r="D414" s="433" t="s">
        <v>31</v>
      </c>
      <c r="E414" s="433" t="s">
        <v>31</v>
      </c>
      <c r="F414" s="434" t="s">
        <v>19168</v>
      </c>
      <c r="G414" s="433" t="s">
        <v>16526</v>
      </c>
      <c r="H414" s="433" t="s">
        <v>2222</v>
      </c>
      <c r="I414" s="433" t="s">
        <v>30</v>
      </c>
      <c r="J414" s="433"/>
      <c r="K414" s="433" t="s">
        <v>30</v>
      </c>
      <c r="L414" s="433" t="s">
        <v>19169</v>
      </c>
      <c r="M414" s="433"/>
      <c r="N414" s="433"/>
      <c r="O414" s="433" t="s">
        <v>19167</v>
      </c>
      <c r="P414" s="607" t="s">
        <v>31</v>
      </c>
      <c r="Q414" s="433" t="s">
        <v>17956</v>
      </c>
      <c r="R414" s="433">
        <v>1.0</v>
      </c>
      <c r="S414" s="826"/>
      <c r="T414" s="3"/>
      <c r="U414" s="3"/>
      <c r="V414" s="3"/>
      <c r="W414" s="3"/>
      <c r="X414" s="3"/>
      <c r="Y414" s="3"/>
      <c r="Z414" s="3"/>
    </row>
    <row r="415" ht="15.75" customHeight="1">
      <c r="C415" s="449">
        <v>363.0</v>
      </c>
      <c r="D415" s="433" t="s">
        <v>31</v>
      </c>
      <c r="E415" s="433" t="s">
        <v>31</v>
      </c>
      <c r="F415" s="434" t="s">
        <v>19170</v>
      </c>
      <c r="G415" s="433" t="s">
        <v>16526</v>
      </c>
      <c r="H415" s="433" t="s">
        <v>2222</v>
      </c>
      <c r="I415" s="433" t="s">
        <v>30</v>
      </c>
      <c r="J415" s="433"/>
      <c r="K415" s="433" t="s">
        <v>30</v>
      </c>
      <c r="L415" s="433" t="s">
        <v>19171</v>
      </c>
      <c r="M415" s="433"/>
      <c r="N415" s="433"/>
      <c r="O415" s="433" t="s">
        <v>19172</v>
      </c>
      <c r="P415" s="607" t="s">
        <v>31</v>
      </c>
      <c r="Q415" s="433" t="s">
        <v>17956</v>
      </c>
      <c r="R415" s="433">
        <v>1.0</v>
      </c>
      <c r="S415" s="826"/>
      <c r="T415" s="3"/>
      <c r="U415" s="3"/>
      <c r="V415" s="3"/>
      <c r="W415" s="3"/>
      <c r="X415" s="3"/>
      <c r="Y415" s="3"/>
      <c r="Z415" s="3"/>
    </row>
    <row r="416" ht="15.75" customHeight="1">
      <c r="C416" s="449">
        <v>364.0</v>
      </c>
      <c r="D416" s="433" t="s">
        <v>19173</v>
      </c>
      <c r="E416" s="433" t="s">
        <v>19174</v>
      </c>
      <c r="F416" s="434" t="s">
        <v>19175</v>
      </c>
      <c r="G416" s="433" t="s">
        <v>16526</v>
      </c>
      <c r="H416" s="433" t="s">
        <v>2222</v>
      </c>
      <c r="I416" s="433" t="s">
        <v>30</v>
      </c>
      <c r="J416" s="433"/>
      <c r="K416" s="433" t="s">
        <v>30</v>
      </c>
      <c r="L416" s="433">
        <f>94+18</f>
        <v>112</v>
      </c>
      <c r="M416" s="433" t="s">
        <v>19176</v>
      </c>
      <c r="N416" s="433"/>
      <c r="O416" s="433" t="s">
        <v>3240</v>
      </c>
      <c r="P416" s="607">
        <v>2006.0</v>
      </c>
      <c r="Q416" s="433" t="s">
        <v>17956</v>
      </c>
      <c r="R416" s="433">
        <v>1.0</v>
      </c>
      <c r="S416" s="826"/>
      <c r="T416" s="3"/>
      <c r="U416" s="3"/>
      <c r="V416" s="3"/>
      <c r="W416" s="3"/>
      <c r="X416" s="3"/>
      <c r="Y416" s="3"/>
      <c r="Z416" s="3"/>
    </row>
    <row r="417" ht="15.75" customHeight="1">
      <c r="C417" s="449">
        <v>365.0</v>
      </c>
      <c r="D417" s="433" t="s">
        <v>19177</v>
      </c>
      <c r="E417" s="433" t="s">
        <v>19178</v>
      </c>
      <c r="F417" s="434" t="s">
        <v>19179</v>
      </c>
      <c r="G417" s="433" t="s">
        <v>16526</v>
      </c>
      <c r="H417" s="433" t="s">
        <v>2222</v>
      </c>
      <c r="I417" s="433" t="s">
        <v>30</v>
      </c>
      <c r="J417" s="433"/>
      <c r="K417" s="433" t="s">
        <v>30</v>
      </c>
      <c r="L417" s="433">
        <v>141.0</v>
      </c>
      <c r="M417" s="433" t="s">
        <v>19180</v>
      </c>
      <c r="N417" s="433" t="s">
        <v>19181</v>
      </c>
      <c r="O417" s="433" t="s">
        <v>19182</v>
      </c>
      <c r="P417" s="607">
        <v>2014.0</v>
      </c>
      <c r="Q417" s="433" t="s">
        <v>17956</v>
      </c>
      <c r="R417" s="433">
        <v>1.0</v>
      </c>
      <c r="S417" s="826"/>
      <c r="T417" s="3"/>
      <c r="U417" s="3"/>
      <c r="V417" s="3"/>
      <c r="W417" s="3"/>
      <c r="X417" s="3"/>
      <c r="Y417" s="3"/>
      <c r="Z417" s="3"/>
    </row>
    <row r="418" ht="15.75" customHeight="1">
      <c r="A418" s="45"/>
      <c r="B418" s="45"/>
      <c r="C418" s="636">
        <v>366.0</v>
      </c>
      <c r="D418" s="322" t="s">
        <v>19126</v>
      </c>
      <c r="E418" s="322" t="s">
        <v>19183</v>
      </c>
      <c r="F418" s="420" t="s">
        <v>19184</v>
      </c>
      <c r="G418" s="433" t="s">
        <v>16526</v>
      </c>
      <c r="H418" s="322" t="s">
        <v>2222</v>
      </c>
      <c r="I418" s="322" t="s">
        <v>30</v>
      </c>
      <c r="J418" s="322"/>
      <c r="K418" s="322" t="s">
        <v>30</v>
      </c>
      <c r="L418" s="322">
        <v>32.0</v>
      </c>
      <c r="M418" s="322" t="s">
        <v>19180</v>
      </c>
      <c r="N418" s="322" t="s">
        <v>19185</v>
      </c>
      <c r="O418" s="322" t="s">
        <v>161</v>
      </c>
      <c r="P418" s="836">
        <v>2014.0</v>
      </c>
      <c r="Q418" s="322" t="s">
        <v>17956</v>
      </c>
      <c r="R418" s="322">
        <v>1.0</v>
      </c>
      <c r="S418" s="827"/>
      <c r="T418" s="45"/>
      <c r="U418" s="45"/>
      <c r="V418" s="45"/>
      <c r="W418" s="45"/>
      <c r="X418" s="45"/>
      <c r="Y418" s="45"/>
      <c r="Z418" s="45"/>
    </row>
    <row r="419" ht="15.75" customHeight="1">
      <c r="A419" s="583"/>
      <c r="B419" s="583"/>
      <c r="C419" s="449">
        <v>367.0</v>
      </c>
      <c r="D419" s="433" t="s">
        <v>19186</v>
      </c>
      <c r="E419" s="433" t="s">
        <v>19187</v>
      </c>
      <c r="F419" s="434" t="s">
        <v>19188</v>
      </c>
      <c r="G419" s="433" t="s">
        <v>16526</v>
      </c>
      <c r="H419" s="433" t="s">
        <v>2222</v>
      </c>
      <c r="I419" s="433" t="s">
        <v>30</v>
      </c>
      <c r="J419" s="433"/>
      <c r="K419" s="433" t="s">
        <v>30</v>
      </c>
      <c r="L419" s="433">
        <v>32.0</v>
      </c>
      <c r="M419" s="433" t="s">
        <v>19180</v>
      </c>
      <c r="N419" s="433" t="s">
        <v>19185</v>
      </c>
      <c r="O419" s="433" t="s">
        <v>161</v>
      </c>
      <c r="P419" s="607">
        <v>2002.0</v>
      </c>
      <c r="Q419" s="433" t="s">
        <v>17956</v>
      </c>
      <c r="R419" s="433">
        <v>1.0</v>
      </c>
      <c r="S419" s="835"/>
      <c r="T419" s="74"/>
      <c r="U419" s="74"/>
      <c r="V419" s="74"/>
      <c r="W419" s="74"/>
      <c r="X419" s="74"/>
      <c r="Y419" s="74"/>
      <c r="Z419" s="74"/>
    </row>
    <row r="420" ht="15.75" customHeight="1">
      <c r="A420" s="583"/>
      <c r="B420" s="583"/>
      <c r="C420" s="449">
        <v>368.0</v>
      </c>
      <c r="D420" s="433" t="s">
        <v>19189</v>
      </c>
      <c r="E420" s="433" t="s">
        <v>19183</v>
      </c>
      <c r="F420" s="434" t="s">
        <v>19190</v>
      </c>
      <c r="G420" s="433" t="s">
        <v>16526</v>
      </c>
      <c r="H420" s="433" t="s">
        <v>2222</v>
      </c>
      <c r="I420" s="433" t="s">
        <v>30</v>
      </c>
      <c r="J420" s="433"/>
      <c r="K420" s="433" t="s">
        <v>30</v>
      </c>
      <c r="L420" s="433">
        <v>32.0</v>
      </c>
      <c r="M420" s="433" t="s">
        <v>19180</v>
      </c>
      <c r="N420" s="433" t="s">
        <v>19185</v>
      </c>
      <c r="O420" s="433" t="s">
        <v>161</v>
      </c>
      <c r="P420" s="607">
        <v>2001.0</v>
      </c>
      <c r="Q420" s="433" t="s">
        <v>17956</v>
      </c>
      <c r="R420" s="433">
        <v>1.0</v>
      </c>
      <c r="S420" s="835"/>
      <c r="T420" s="74"/>
      <c r="U420" s="74"/>
      <c r="V420" s="74"/>
      <c r="W420" s="74"/>
      <c r="X420" s="74"/>
      <c r="Y420" s="74"/>
      <c r="Z420" s="74"/>
    </row>
    <row r="421" ht="15.75" customHeight="1">
      <c r="A421" s="583"/>
      <c r="B421" s="583"/>
      <c r="C421" s="449">
        <v>369.0</v>
      </c>
      <c r="D421" s="433" t="s">
        <v>19191</v>
      </c>
      <c r="E421" s="433" t="s">
        <v>19192</v>
      </c>
      <c r="F421" s="434" t="s">
        <v>19193</v>
      </c>
      <c r="G421" s="433" t="s">
        <v>16526</v>
      </c>
      <c r="H421" s="433" t="s">
        <v>2222</v>
      </c>
      <c r="I421" s="433" t="s">
        <v>30</v>
      </c>
      <c r="J421" s="433"/>
      <c r="K421" s="433" t="s">
        <v>30</v>
      </c>
      <c r="L421" s="433">
        <v>32.0</v>
      </c>
      <c r="M421" s="433" t="s">
        <v>19180</v>
      </c>
      <c r="N421" s="433" t="s">
        <v>19185</v>
      </c>
      <c r="O421" s="433" t="s">
        <v>161</v>
      </c>
      <c r="P421" s="607">
        <v>2001.0</v>
      </c>
      <c r="Q421" s="433" t="s">
        <v>17956</v>
      </c>
      <c r="R421" s="433">
        <v>1.0</v>
      </c>
      <c r="S421" s="835"/>
      <c r="T421" s="74"/>
      <c r="U421" s="74"/>
      <c r="V421" s="74"/>
      <c r="W421" s="74"/>
      <c r="X421" s="74"/>
      <c r="Y421" s="74"/>
      <c r="Z421" s="74"/>
    </row>
    <row r="422" ht="15.75" customHeight="1">
      <c r="A422" s="583"/>
      <c r="B422" s="583"/>
      <c r="C422" s="449">
        <v>370.0</v>
      </c>
      <c r="D422" s="433" t="s">
        <v>19194</v>
      </c>
      <c r="E422" s="433" t="s">
        <v>19195</v>
      </c>
      <c r="F422" s="434" t="s">
        <v>19196</v>
      </c>
      <c r="G422" s="433" t="s">
        <v>16526</v>
      </c>
      <c r="H422" s="433" t="s">
        <v>2222</v>
      </c>
      <c r="I422" s="433" t="s">
        <v>30</v>
      </c>
      <c r="J422" s="433"/>
      <c r="K422" s="433" t="s">
        <v>30</v>
      </c>
      <c r="L422" s="433">
        <v>32.0</v>
      </c>
      <c r="M422" s="433" t="s">
        <v>19180</v>
      </c>
      <c r="N422" s="433" t="s">
        <v>19185</v>
      </c>
      <c r="O422" s="433" t="s">
        <v>161</v>
      </c>
      <c r="P422" s="607">
        <v>2002.0</v>
      </c>
      <c r="Q422" s="433" t="s">
        <v>17956</v>
      </c>
      <c r="R422" s="433">
        <v>1.0</v>
      </c>
      <c r="S422" s="835"/>
      <c r="T422" s="74"/>
      <c r="U422" s="74"/>
      <c r="V422" s="74"/>
      <c r="W422" s="74"/>
      <c r="X422" s="74"/>
      <c r="Y422" s="74"/>
      <c r="Z422" s="74"/>
    </row>
    <row r="423" ht="15.75" customHeight="1">
      <c r="A423" s="583"/>
      <c r="B423" s="583"/>
      <c r="C423" s="449">
        <v>371.0</v>
      </c>
      <c r="D423" s="433" t="s">
        <v>19197</v>
      </c>
      <c r="E423" s="433" t="s">
        <v>19198</v>
      </c>
      <c r="F423" s="434" t="s">
        <v>19199</v>
      </c>
      <c r="G423" s="433" t="s">
        <v>16526</v>
      </c>
      <c r="H423" s="433" t="s">
        <v>2222</v>
      </c>
      <c r="I423" s="433" t="s">
        <v>30</v>
      </c>
      <c r="J423" s="433"/>
      <c r="K423" s="433" t="s">
        <v>30</v>
      </c>
      <c r="L423" s="433">
        <v>32.0</v>
      </c>
      <c r="M423" s="433" t="s">
        <v>19180</v>
      </c>
      <c r="N423" s="433" t="s">
        <v>19185</v>
      </c>
      <c r="O423" s="433" t="s">
        <v>161</v>
      </c>
      <c r="P423" s="607">
        <v>2002.0</v>
      </c>
      <c r="Q423" s="433" t="s">
        <v>17956</v>
      </c>
      <c r="R423" s="433">
        <v>1.0</v>
      </c>
      <c r="S423" s="835"/>
      <c r="T423" s="74"/>
      <c r="U423" s="74"/>
      <c r="V423" s="74"/>
      <c r="W423" s="74"/>
      <c r="X423" s="74"/>
      <c r="Y423" s="74"/>
      <c r="Z423" s="74"/>
    </row>
    <row r="424" ht="15.75" customHeight="1">
      <c r="A424" s="583"/>
      <c r="B424" s="583"/>
      <c r="C424" s="449">
        <v>372.0</v>
      </c>
      <c r="D424" s="433" t="s">
        <v>19200</v>
      </c>
      <c r="E424" s="433" t="s">
        <v>19198</v>
      </c>
      <c r="F424" s="434" t="s">
        <v>19201</v>
      </c>
      <c r="G424" s="433" t="s">
        <v>16526</v>
      </c>
      <c r="H424" s="433" t="s">
        <v>2222</v>
      </c>
      <c r="I424" s="433" t="s">
        <v>30</v>
      </c>
      <c r="J424" s="433"/>
      <c r="K424" s="433" t="s">
        <v>30</v>
      </c>
      <c r="L424" s="433">
        <v>32.0</v>
      </c>
      <c r="M424" s="433" t="s">
        <v>19180</v>
      </c>
      <c r="N424" s="433" t="s">
        <v>19185</v>
      </c>
      <c r="O424" s="433" t="s">
        <v>161</v>
      </c>
      <c r="P424" s="607">
        <v>2002.0</v>
      </c>
      <c r="Q424" s="433" t="s">
        <v>17956</v>
      </c>
      <c r="R424" s="433">
        <v>1.0</v>
      </c>
      <c r="S424" s="835"/>
      <c r="T424" s="74"/>
      <c r="U424" s="74"/>
      <c r="V424" s="74"/>
      <c r="W424" s="74"/>
      <c r="X424" s="74"/>
      <c r="Y424" s="74"/>
      <c r="Z424" s="74"/>
    </row>
    <row r="425" ht="15.75" customHeight="1">
      <c r="A425" s="583"/>
      <c r="B425" s="583"/>
      <c r="C425" s="449">
        <v>373.0</v>
      </c>
      <c r="D425" s="433" t="s">
        <v>19202</v>
      </c>
      <c r="E425" s="433" t="s">
        <v>19187</v>
      </c>
      <c r="F425" s="434" t="s">
        <v>19203</v>
      </c>
      <c r="G425" s="433" t="s">
        <v>16526</v>
      </c>
      <c r="H425" s="433" t="s">
        <v>2222</v>
      </c>
      <c r="I425" s="433" t="s">
        <v>30</v>
      </c>
      <c r="J425" s="433"/>
      <c r="K425" s="433" t="s">
        <v>30</v>
      </c>
      <c r="L425" s="433">
        <v>32.0</v>
      </c>
      <c r="M425" s="433" t="s">
        <v>19180</v>
      </c>
      <c r="N425" s="433" t="s">
        <v>19185</v>
      </c>
      <c r="O425" s="433" t="s">
        <v>161</v>
      </c>
      <c r="P425" s="607">
        <v>2014.0</v>
      </c>
      <c r="Q425" s="433" t="s">
        <v>17956</v>
      </c>
      <c r="R425" s="433">
        <v>1.0</v>
      </c>
      <c r="S425" s="835"/>
      <c r="T425" s="74"/>
      <c r="U425" s="74"/>
      <c r="V425" s="74"/>
      <c r="W425" s="74"/>
      <c r="X425" s="74"/>
      <c r="Y425" s="74"/>
      <c r="Z425" s="74"/>
    </row>
    <row r="426" ht="15.75" customHeight="1">
      <c r="A426" s="583"/>
      <c r="B426" s="583"/>
      <c r="C426" s="449">
        <v>374.0</v>
      </c>
      <c r="D426" s="433" t="s">
        <v>19204</v>
      </c>
      <c r="E426" s="433" t="s">
        <v>19205</v>
      </c>
      <c r="F426" s="434" t="s">
        <v>19206</v>
      </c>
      <c r="G426" s="433" t="s">
        <v>16526</v>
      </c>
      <c r="H426" s="433" t="s">
        <v>2222</v>
      </c>
      <c r="I426" s="433" t="s">
        <v>30</v>
      </c>
      <c r="J426" s="433"/>
      <c r="K426" s="433" t="s">
        <v>30</v>
      </c>
      <c r="L426" s="433">
        <v>32.0</v>
      </c>
      <c r="M426" s="433" t="s">
        <v>19180</v>
      </c>
      <c r="N426" s="433" t="s">
        <v>19185</v>
      </c>
      <c r="O426" s="433" t="s">
        <v>161</v>
      </c>
      <c r="P426" s="607">
        <v>2002.0</v>
      </c>
      <c r="Q426" s="433" t="s">
        <v>17956</v>
      </c>
      <c r="R426" s="433">
        <v>1.0</v>
      </c>
      <c r="S426" s="835"/>
      <c r="T426" s="74"/>
      <c r="U426" s="74"/>
      <c r="V426" s="74"/>
      <c r="W426" s="74"/>
      <c r="X426" s="74"/>
      <c r="Y426" s="74"/>
      <c r="Z426" s="74"/>
    </row>
    <row r="427" ht="15.75" customHeight="1">
      <c r="A427" s="583"/>
      <c r="B427" s="583"/>
      <c r="C427" s="449">
        <v>375.0</v>
      </c>
      <c r="D427" s="433" t="s">
        <v>18464</v>
      </c>
      <c r="E427" s="433" t="s">
        <v>19207</v>
      </c>
      <c r="F427" s="434" t="s">
        <v>19208</v>
      </c>
      <c r="G427" s="433" t="s">
        <v>16526</v>
      </c>
      <c r="H427" s="433" t="s">
        <v>2222</v>
      </c>
      <c r="I427" s="433" t="s">
        <v>30</v>
      </c>
      <c r="J427" s="433"/>
      <c r="K427" s="433" t="s">
        <v>30</v>
      </c>
      <c r="L427" s="433">
        <v>32.0</v>
      </c>
      <c r="M427" s="433" t="s">
        <v>19180</v>
      </c>
      <c r="N427" s="433" t="s">
        <v>19185</v>
      </c>
      <c r="O427" s="433" t="s">
        <v>161</v>
      </c>
      <c r="P427" s="607">
        <v>2002.0</v>
      </c>
      <c r="Q427" s="433" t="s">
        <v>17956</v>
      </c>
      <c r="R427" s="433">
        <v>1.0</v>
      </c>
      <c r="S427" s="835"/>
      <c r="T427" s="74"/>
      <c r="U427" s="74"/>
      <c r="V427" s="74"/>
      <c r="W427" s="74"/>
      <c r="X427" s="74"/>
      <c r="Y427" s="74"/>
      <c r="Z427" s="74"/>
    </row>
    <row r="428" ht="36.0" customHeight="1">
      <c r="A428" s="583"/>
      <c r="B428" s="583"/>
      <c r="C428" s="449">
        <v>376.0</v>
      </c>
      <c r="D428" s="433" t="s">
        <v>19209</v>
      </c>
      <c r="E428" s="433" t="s">
        <v>19187</v>
      </c>
      <c r="F428" s="434" t="s">
        <v>19210</v>
      </c>
      <c r="G428" s="433" t="s">
        <v>16526</v>
      </c>
      <c r="H428" s="433" t="s">
        <v>2222</v>
      </c>
      <c r="I428" s="433" t="s">
        <v>30</v>
      </c>
      <c r="J428" s="433"/>
      <c r="K428" s="433" t="s">
        <v>30</v>
      </c>
      <c r="L428" s="433">
        <v>32.0</v>
      </c>
      <c r="M428" s="433" t="s">
        <v>19180</v>
      </c>
      <c r="N428" s="433" t="s">
        <v>19185</v>
      </c>
      <c r="O428" s="433" t="s">
        <v>161</v>
      </c>
      <c r="P428" s="607">
        <v>2002.0</v>
      </c>
      <c r="Q428" s="433" t="s">
        <v>17956</v>
      </c>
      <c r="R428" s="433">
        <v>1.0</v>
      </c>
      <c r="S428" s="835"/>
      <c r="T428" s="74"/>
      <c r="U428" s="74"/>
      <c r="V428" s="74"/>
      <c r="W428" s="74"/>
      <c r="X428" s="74"/>
      <c r="Y428" s="74"/>
      <c r="Z428" s="74"/>
    </row>
    <row r="429" ht="36.0" customHeight="1">
      <c r="A429" s="583"/>
      <c r="B429" s="583"/>
      <c r="C429" s="449">
        <v>377.0</v>
      </c>
      <c r="D429" s="433" t="s">
        <v>19211</v>
      </c>
      <c r="E429" s="433" t="s">
        <v>19207</v>
      </c>
      <c r="F429" s="434" t="s">
        <v>19212</v>
      </c>
      <c r="G429" s="433" t="s">
        <v>16526</v>
      </c>
      <c r="H429" s="433" t="s">
        <v>2222</v>
      </c>
      <c r="I429" s="433" t="s">
        <v>30</v>
      </c>
      <c r="J429" s="433"/>
      <c r="K429" s="433" t="s">
        <v>30</v>
      </c>
      <c r="L429" s="433">
        <v>32.0</v>
      </c>
      <c r="M429" s="433" t="s">
        <v>19180</v>
      </c>
      <c r="N429" s="433" t="s">
        <v>19185</v>
      </c>
      <c r="O429" s="433" t="s">
        <v>161</v>
      </c>
      <c r="P429" s="607">
        <v>2002.0</v>
      </c>
      <c r="Q429" s="433" t="s">
        <v>17956</v>
      </c>
      <c r="R429" s="433">
        <v>1.0</v>
      </c>
      <c r="S429" s="835"/>
      <c r="T429" s="74"/>
      <c r="U429" s="74"/>
      <c r="V429" s="74"/>
      <c r="W429" s="74"/>
      <c r="X429" s="74"/>
      <c r="Y429" s="74"/>
      <c r="Z429" s="74"/>
    </row>
    <row r="430" ht="15.75" customHeight="1">
      <c r="A430" s="583"/>
      <c r="B430" s="583"/>
      <c r="C430" s="449">
        <v>378.0</v>
      </c>
      <c r="D430" s="433" t="s">
        <v>19213</v>
      </c>
      <c r="E430" s="433" t="s">
        <v>19214</v>
      </c>
      <c r="F430" s="434" t="s">
        <v>19215</v>
      </c>
      <c r="G430" s="433" t="s">
        <v>16526</v>
      </c>
      <c r="H430" s="433" t="s">
        <v>2222</v>
      </c>
      <c r="I430" s="433" t="s">
        <v>30</v>
      </c>
      <c r="J430" s="433"/>
      <c r="K430" s="433" t="s">
        <v>30</v>
      </c>
      <c r="L430" s="433">
        <v>32.0</v>
      </c>
      <c r="M430" s="433" t="s">
        <v>19180</v>
      </c>
      <c r="N430" s="433" t="s">
        <v>19185</v>
      </c>
      <c r="O430" s="433" t="s">
        <v>161</v>
      </c>
      <c r="P430" s="607">
        <v>2002.0</v>
      </c>
      <c r="Q430" s="433" t="s">
        <v>17956</v>
      </c>
      <c r="R430" s="433">
        <v>1.0</v>
      </c>
      <c r="S430" s="835"/>
      <c r="T430" s="74"/>
      <c r="U430" s="74"/>
      <c r="V430" s="74"/>
      <c r="W430" s="74"/>
      <c r="X430" s="74"/>
      <c r="Y430" s="74"/>
      <c r="Z430" s="74"/>
    </row>
    <row r="431" ht="36.0" customHeight="1">
      <c r="A431" s="583"/>
      <c r="B431" s="583"/>
      <c r="C431" s="449">
        <v>379.0</v>
      </c>
      <c r="D431" s="433" t="s">
        <v>18389</v>
      </c>
      <c r="E431" s="433" t="s">
        <v>19216</v>
      </c>
      <c r="F431" s="434" t="s">
        <v>19217</v>
      </c>
      <c r="G431" s="433" t="s">
        <v>16526</v>
      </c>
      <c r="H431" s="433" t="s">
        <v>2222</v>
      </c>
      <c r="I431" s="433" t="s">
        <v>30</v>
      </c>
      <c r="J431" s="433"/>
      <c r="K431" s="433" t="s">
        <v>30</v>
      </c>
      <c r="L431" s="433">
        <v>32.0</v>
      </c>
      <c r="M431" s="433" t="s">
        <v>19180</v>
      </c>
      <c r="N431" s="433" t="s">
        <v>19185</v>
      </c>
      <c r="O431" s="433" t="s">
        <v>161</v>
      </c>
      <c r="P431" s="607">
        <v>2002.0</v>
      </c>
      <c r="Q431" s="433" t="s">
        <v>17956</v>
      </c>
      <c r="R431" s="433">
        <v>1.0</v>
      </c>
      <c r="S431" s="835"/>
      <c r="T431" s="74"/>
      <c r="U431" s="74"/>
      <c r="V431" s="74"/>
      <c r="W431" s="74"/>
      <c r="X431" s="74"/>
      <c r="Y431" s="74"/>
      <c r="Z431" s="74"/>
    </row>
    <row r="432" ht="36.0" customHeight="1">
      <c r="A432" s="583"/>
      <c r="B432" s="583"/>
      <c r="C432" s="449">
        <v>380.0</v>
      </c>
      <c r="D432" s="433" t="s">
        <v>19218</v>
      </c>
      <c r="E432" s="433" t="s">
        <v>19219</v>
      </c>
      <c r="F432" s="434" t="s">
        <v>19220</v>
      </c>
      <c r="G432" s="433" t="s">
        <v>16526</v>
      </c>
      <c r="H432" s="433" t="s">
        <v>2222</v>
      </c>
      <c r="I432" s="433" t="s">
        <v>30</v>
      </c>
      <c r="J432" s="433"/>
      <c r="K432" s="433" t="s">
        <v>30</v>
      </c>
      <c r="L432" s="433">
        <v>32.0</v>
      </c>
      <c r="M432" s="433" t="s">
        <v>19180</v>
      </c>
      <c r="N432" s="433" t="s">
        <v>19185</v>
      </c>
      <c r="O432" s="433" t="s">
        <v>161</v>
      </c>
      <c r="P432" s="607">
        <v>2002.0</v>
      </c>
      <c r="Q432" s="433" t="s">
        <v>17956</v>
      </c>
      <c r="R432" s="433">
        <v>1.0</v>
      </c>
      <c r="S432" s="835"/>
      <c r="T432" s="74"/>
      <c r="U432" s="74"/>
      <c r="V432" s="74"/>
      <c r="W432" s="74"/>
      <c r="X432" s="74"/>
      <c r="Y432" s="74"/>
      <c r="Z432" s="74"/>
    </row>
    <row r="433" ht="36.0" customHeight="1">
      <c r="A433" s="583"/>
      <c r="B433" s="583"/>
      <c r="C433" s="449">
        <v>381.0</v>
      </c>
      <c r="D433" s="433" t="s">
        <v>19221</v>
      </c>
      <c r="E433" s="433" t="s">
        <v>19216</v>
      </c>
      <c r="F433" s="434" t="s">
        <v>19222</v>
      </c>
      <c r="G433" s="433" t="s">
        <v>16526</v>
      </c>
      <c r="H433" s="433" t="s">
        <v>2222</v>
      </c>
      <c r="I433" s="433" t="s">
        <v>30</v>
      </c>
      <c r="J433" s="433"/>
      <c r="K433" s="433" t="s">
        <v>30</v>
      </c>
      <c r="L433" s="433">
        <v>32.0</v>
      </c>
      <c r="M433" s="433" t="s">
        <v>19180</v>
      </c>
      <c r="N433" s="433" t="s">
        <v>19185</v>
      </c>
      <c r="O433" s="433" t="s">
        <v>161</v>
      </c>
      <c r="P433" s="607">
        <v>2002.0</v>
      </c>
      <c r="Q433" s="433" t="s">
        <v>17956</v>
      </c>
      <c r="R433" s="433">
        <v>1.0</v>
      </c>
      <c r="S433" s="835"/>
      <c r="T433" s="74"/>
      <c r="U433" s="74"/>
      <c r="V433" s="74"/>
      <c r="W433" s="74"/>
      <c r="X433" s="74"/>
      <c r="Y433" s="74"/>
      <c r="Z433" s="74"/>
    </row>
    <row r="434" ht="36.0" customHeight="1">
      <c r="C434" s="449">
        <v>382.0</v>
      </c>
      <c r="D434" s="433" t="s">
        <v>18180</v>
      </c>
      <c r="E434" s="433" t="s">
        <v>19223</v>
      </c>
      <c r="F434" s="434" t="s">
        <v>19224</v>
      </c>
      <c r="G434" s="433" t="s">
        <v>16526</v>
      </c>
      <c r="H434" s="433" t="s">
        <v>2222</v>
      </c>
      <c r="I434" s="433" t="s">
        <v>30</v>
      </c>
      <c r="J434" s="433"/>
      <c r="K434" s="433" t="s">
        <v>30</v>
      </c>
      <c r="L434" s="433">
        <v>110.0</v>
      </c>
      <c r="M434" s="433" t="s">
        <v>16614</v>
      </c>
      <c r="N434" s="433" t="s">
        <v>19225</v>
      </c>
      <c r="O434" s="433" t="s">
        <v>19182</v>
      </c>
      <c r="P434" s="607">
        <v>2011.0</v>
      </c>
      <c r="Q434" s="433" t="s">
        <v>17956</v>
      </c>
      <c r="R434" s="433">
        <v>1.0</v>
      </c>
      <c r="S434" s="826"/>
      <c r="T434" s="3"/>
      <c r="U434" s="3"/>
      <c r="V434" s="3"/>
      <c r="W434" s="3"/>
      <c r="X434" s="3"/>
      <c r="Y434" s="3"/>
      <c r="Z434" s="3"/>
    </row>
    <row r="435" ht="15.75" customHeight="1">
      <c r="C435" s="449">
        <v>383.0</v>
      </c>
      <c r="D435" s="433" t="s">
        <v>19226</v>
      </c>
      <c r="E435" s="433" t="s">
        <v>19227</v>
      </c>
      <c r="F435" s="434" t="s">
        <v>19228</v>
      </c>
      <c r="G435" s="433" t="s">
        <v>16526</v>
      </c>
      <c r="H435" s="433" t="s">
        <v>2222</v>
      </c>
      <c r="I435" s="433" t="s">
        <v>30</v>
      </c>
      <c r="J435" s="433"/>
      <c r="K435" s="433" t="s">
        <v>30</v>
      </c>
      <c r="L435" s="433">
        <v>16.0</v>
      </c>
      <c r="M435" s="433" t="s">
        <v>16614</v>
      </c>
      <c r="N435" s="433" t="s">
        <v>19229</v>
      </c>
      <c r="O435" s="433" t="s">
        <v>19182</v>
      </c>
      <c r="P435" s="607">
        <v>2014.0</v>
      </c>
      <c r="Q435" s="433" t="s">
        <v>17956</v>
      </c>
      <c r="R435" s="433">
        <v>1.0</v>
      </c>
      <c r="S435" s="826"/>
      <c r="T435" s="3"/>
      <c r="U435" s="3"/>
      <c r="V435" s="3"/>
      <c r="W435" s="3"/>
      <c r="X435" s="3"/>
      <c r="Y435" s="3"/>
      <c r="Z435" s="3"/>
    </row>
    <row r="436" ht="15.75" customHeight="1">
      <c r="C436" s="449">
        <v>384.0</v>
      </c>
      <c r="D436" s="433" t="s">
        <v>19230</v>
      </c>
      <c r="E436" s="433" t="s">
        <v>19231</v>
      </c>
      <c r="F436" s="434" t="s">
        <v>19232</v>
      </c>
      <c r="G436" s="433" t="s">
        <v>16526</v>
      </c>
      <c r="H436" s="433" t="s">
        <v>2222</v>
      </c>
      <c r="I436" s="433" t="s">
        <v>30</v>
      </c>
      <c r="J436" s="433"/>
      <c r="K436" s="433" t="s">
        <v>30</v>
      </c>
      <c r="L436" s="433">
        <v>32.0</v>
      </c>
      <c r="M436" s="433" t="s">
        <v>19180</v>
      </c>
      <c r="N436" s="433" t="s">
        <v>13925</v>
      </c>
      <c r="O436" s="433" t="s">
        <v>19233</v>
      </c>
      <c r="P436" s="607">
        <v>2004.0</v>
      </c>
      <c r="Q436" s="433" t="s">
        <v>17956</v>
      </c>
      <c r="R436" s="433">
        <v>1.0</v>
      </c>
      <c r="S436" s="826"/>
      <c r="T436" s="3"/>
      <c r="U436" s="3"/>
      <c r="V436" s="3"/>
      <c r="W436" s="3"/>
      <c r="X436" s="3"/>
      <c r="Y436" s="3"/>
      <c r="Z436" s="3"/>
    </row>
    <row r="437" ht="15.75" customHeight="1">
      <c r="C437" s="449">
        <v>385.0</v>
      </c>
      <c r="D437" s="433" t="s">
        <v>19234</v>
      </c>
      <c r="E437" s="433" t="s">
        <v>19235</v>
      </c>
      <c r="F437" s="434" t="s">
        <v>19236</v>
      </c>
      <c r="G437" s="433" t="s">
        <v>16526</v>
      </c>
      <c r="H437" s="433" t="s">
        <v>2222</v>
      </c>
      <c r="I437" s="433" t="s">
        <v>30</v>
      </c>
      <c r="J437" s="433"/>
      <c r="K437" s="433" t="s">
        <v>30</v>
      </c>
      <c r="L437" s="433">
        <v>33.0</v>
      </c>
      <c r="M437" s="433" t="s">
        <v>19180</v>
      </c>
      <c r="N437" s="433" t="s">
        <v>19237</v>
      </c>
      <c r="O437" s="433" t="s">
        <v>19233</v>
      </c>
      <c r="P437" s="607">
        <v>2011.0</v>
      </c>
      <c r="Q437" s="433" t="s">
        <v>17956</v>
      </c>
      <c r="R437" s="433">
        <v>1.0</v>
      </c>
      <c r="S437" s="826"/>
      <c r="T437" s="3"/>
      <c r="U437" s="3"/>
      <c r="V437" s="3"/>
      <c r="W437" s="3"/>
      <c r="X437" s="3"/>
      <c r="Y437" s="3"/>
      <c r="Z437" s="3"/>
    </row>
    <row r="438" ht="15.75" customHeight="1">
      <c r="C438" s="449">
        <v>386.0</v>
      </c>
      <c r="D438" s="433" t="s">
        <v>19238</v>
      </c>
      <c r="E438" s="433" t="s">
        <v>19239</v>
      </c>
      <c r="F438" s="434" t="s">
        <v>19240</v>
      </c>
      <c r="G438" s="433" t="s">
        <v>16526</v>
      </c>
      <c r="H438" s="433" t="s">
        <v>2222</v>
      </c>
      <c r="I438" s="433" t="s">
        <v>37</v>
      </c>
      <c r="J438" s="433"/>
      <c r="K438" s="433" t="s">
        <v>38</v>
      </c>
      <c r="L438" s="433">
        <v>32.0</v>
      </c>
      <c r="M438" s="433" t="s">
        <v>19180</v>
      </c>
      <c r="N438" s="433" t="s">
        <v>19241</v>
      </c>
      <c r="O438" s="433" t="s">
        <v>19233</v>
      </c>
      <c r="P438" s="607">
        <v>2010.0</v>
      </c>
      <c r="Q438" s="433" t="s">
        <v>17956</v>
      </c>
      <c r="R438" s="433">
        <v>1.0</v>
      </c>
      <c r="S438" s="826"/>
      <c r="T438" s="3"/>
      <c r="U438" s="3"/>
      <c r="V438" s="3"/>
      <c r="W438" s="3"/>
      <c r="X438" s="3"/>
      <c r="Y438" s="3"/>
      <c r="Z438" s="3"/>
    </row>
    <row r="439" ht="15.75" customHeight="1">
      <c r="C439" s="449">
        <v>387.0</v>
      </c>
      <c r="D439" s="433" t="s">
        <v>19242</v>
      </c>
      <c r="E439" s="433" t="s">
        <v>19243</v>
      </c>
      <c r="F439" s="434" t="s">
        <v>19244</v>
      </c>
      <c r="G439" s="433" t="s">
        <v>16526</v>
      </c>
      <c r="H439" s="433" t="s">
        <v>2222</v>
      </c>
      <c r="I439" s="433" t="s">
        <v>30</v>
      </c>
      <c r="J439" s="433"/>
      <c r="K439" s="433" t="s">
        <v>30</v>
      </c>
      <c r="L439" s="433">
        <v>72.0</v>
      </c>
      <c r="M439" s="433" t="s">
        <v>19180</v>
      </c>
      <c r="N439" s="433" t="s">
        <v>31</v>
      </c>
      <c r="O439" s="433" t="s">
        <v>19245</v>
      </c>
      <c r="P439" s="607">
        <v>2011.0</v>
      </c>
      <c r="Q439" s="433" t="s">
        <v>17956</v>
      </c>
      <c r="R439" s="433">
        <v>1.0</v>
      </c>
      <c r="S439" s="826"/>
      <c r="T439" s="3"/>
      <c r="U439" s="3"/>
      <c r="V439" s="3"/>
      <c r="W439" s="3"/>
      <c r="X439" s="3"/>
      <c r="Y439" s="3"/>
      <c r="Z439" s="3"/>
    </row>
    <row r="440" ht="15.75" customHeight="1">
      <c r="C440" s="449">
        <v>388.0</v>
      </c>
      <c r="D440" s="433" t="s">
        <v>19246</v>
      </c>
      <c r="E440" s="433" t="s">
        <v>19247</v>
      </c>
      <c r="F440" s="434" t="s">
        <v>19248</v>
      </c>
      <c r="G440" s="433" t="s">
        <v>16526</v>
      </c>
      <c r="H440" s="433" t="s">
        <v>2222</v>
      </c>
      <c r="I440" s="433" t="s">
        <v>30</v>
      </c>
      <c r="J440" s="433"/>
      <c r="K440" s="433" t="s">
        <v>30</v>
      </c>
      <c r="L440" s="433">
        <v>80.0</v>
      </c>
      <c r="M440" s="433" t="s">
        <v>19180</v>
      </c>
      <c r="N440" s="433" t="s">
        <v>19249</v>
      </c>
      <c r="O440" s="433" t="s">
        <v>19250</v>
      </c>
      <c r="P440" s="607">
        <v>2011.0</v>
      </c>
      <c r="Q440" s="433" t="s">
        <v>17956</v>
      </c>
      <c r="R440" s="433">
        <v>1.0</v>
      </c>
      <c r="S440" s="826"/>
      <c r="T440" s="3"/>
      <c r="U440" s="3"/>
      <c r="V440" s="3"/>
      <c r="W440" s="3"/>
      <c r="X440" s="3"/>
      <c r="Y440" s="3"/>
      <c r="Z440" s="3"/>
    </row>
    <row r="441" ht="15.75" customHeight="1">
      <c r="C441" s="449">
        <v>389.0</v>
      </c>
      <c r="D441" s="433" t="s">
        <v>19251</v>
      </c>
      <c r="E441" s="433" t="s">
        <v>19252</v>
      </c>
      <c r="F441" s="434" t="s">
        <v>19253</v>
      </c>
      <c r="G441" s="433" t="s">
        <v>16526</v>
      </c>
      <c r="H441" s="433" t="s">
        <v>2222</v>
      </c>
      <c r="I441" s="433" t="s">
        <v>30</v>
      </c>
      <c r="J441" s="433"/>
      <c r="K441" s="433" t="s">
        <v>30</v>
      </c>
      <c r="L441" s="433">
        <v>20.0</v>
      </c>
      <c r="M441" s="433" t="s">
        <v>19180</v>
      </c>
      <c r="N441" s="433" t="s">
        <v>19254</v>
      </c>
      <c r="O441" s="433" t="s">
        <v>544</v>
      </c>
      <c r="P441" s="607">
        <v>2011.0</v>
      </c>
      <c r="Q441" s="433" t="s">
        <v>17956</v>
      </c>
      <c r="R441" s="433">
        <v>1.0</v>
      </c>
      <c r="S441" s="826"/>
      <c r="T441" s="3"/>
      <c r="U441" s="3"/>
      <c r="V441" s="3"/>
      <c r="W441" s="3"/>
      <c r="X441" s="3"/>
      <c r="Y441" s="3"/>
      <c r="Z441" s="3"/>
    </row>
    <row r="442" ht="15.75" customHeight="1">
      <c r="A442" s="837"/>
      <c r="B442" s="837"/>
      <c r="C442" s="838">
        <v>390.0</v>
      </c>
      <c r="D442" s="490" t="s">
        <v>19255</v>
      </c>
      <c r="E442" s="490" t="s">
        <v>19256</v>
      </c>
      <c r="F442" s="491" t="s">
        <v>19257</v>
      </c>
      <c r="G442" s="490" t="s">
        <v>16526</v>
      </c>
      <c r="H442" s="490" t="s">
        <v>2222</v>
      </c>
      <c r="I442" s="490" t="s">
        <v>30</v>
      </c>
      <c r="J442" s="490"/>
      <c r="K442" s="490" t="s">
        <v>30</v>
      </c>
      <c r="L442" s="490">
        <v>36.0</v>
      </c>
      <c r="M442" s="490" t="s">
        <v>19180</v>
      </c>
      <c r="N442" s="490" t="s">
        <v>19258</v>
      </c>
      <c r="O442" s="490" t="s">
        <v>19182</v>
      </c>
      <c r="P442" s="839">
        <v>2013.0</v>
      </c>
      <c r="Q442" s="490" t="s">
        <v>17956</v>
      </c>
      <c r="R442" s="490">
        <v>1.0</v>
      </c>
      <c r="S442" s="827"/>
      <c r="T442" s="45"/>
      <c r="U442" s="45"/>
      <c r="V442" s="45"/>
      <c r="W442" s="45"/>
      <c r="X442" s="45"/>
      <c r="Y442" s="45"/>
      <c r="Z442" s="45"/>
    </row>
    <row r="443" ht="15.75" customHeight="1">
      <c r="C443" s="449">
        <v>391.0</v>
      </c>
      <c r="D443" s="433" t="s">
        <v>19259</v>
      </c>
      <c r="E443" s="433"/>
      <c r="F443" s="434" t="s">
        <v>19260</v>
      </c>
      <c r="G443" s="433" t="s">
        <v>16526</v>
      </c>
      <c r="H443" s="433" t="s">
        <v>2222</v>
      </c>
      <c r="I443" s="433" t="s">
        <v>30</v>
      </c>
      <c r="J443" s="433"/>
      <c r="K443" s="433" t="s">
        <v>30</v>
      </c>
      <c r="L443" s="433">
        <f>224+15</f>
        <v>239</v>
      </c>
      <c r="M443" s="433" t="s">
        <v>19180</v>
      </c>
      <c r="N443" s="433" t="s">
        <v>19261</v>
      </c>
      <c r="O443" s="433" t="s">
        <v>3240</v>
      </c>
      <c r="P443" s="607">
        <v>2011.0</v>
      </c>
      <c r="Q443" s="433" t="s">
        <v>17956</v>
      </c>
      <c r="R443" s="433">
        <v>1.0</v>
      </c>
      <c r="S443" s="826"/>
      <c r="T443" s="3"/>
      <c r="U443" s="3"/>
      <c r="V443" s="3"/>
      <c r="W443" s="3"/>
      <c r="X443" s="3"/>
      <c r="Y443" s="3"/>
      <c r="Z443" s="3"/>
    </row>
    <row r="444" ht="15.75" customHeight="1">
      <c r="C444" s="449">
        <v>392.0</v>
      </c>
      <c r="D444" s="433" t="s">
        <v>19262</v>
      </c>
      <c r="E444" s="433" t="s">
        <v>19263</v>
      </c>
      <c r="F444" s="434" t="s">
        <v>19264</v>
      </c>
      <c r="G444" s="433" t="s">
        <v>16526</v>
      </c>
      <c r="H444" s="433" t="s">
        <v>2222</v>
      </c>
      <c r="I444" s="433" t="s">
        <v>30</v>
      </c>
      <c r="J444" s="433"/>
      <c r="K444" s="433" t="s">
        <v>30</v>
      </c>
      <c r="L444" s="433">
        <f>253</f>
        <v>253</v>
      </c>
      <c r="M444" s="433" t="s">
        <v>19180</v>
      </c>
      <c r="N444" s="433" t="s">
        <v>19265</v>
      </c>
      <c r="O444" s="433" t="s">
        <v>19182</v>
      </c>
      <c r="P444" s="607">
        <v>2015.0</v>
      </c>
      <c r="Q444" s="433" t="s">
        <v>17956</v>
      </c>
      <c r="R444" s="433">
        <v>1.0</v>
      </c>
      <c r="S444" s="826"/>
      <c r="T444" s="3"/>
      <c r="U444" s="3"/>
      <c r="V444" s="3"/>
      <c r="W444" s="3"/>
      <c r="X444" s="3"/>
      <c r="Y444" s="3"/>
      <c r="Z444" s="3"/>
    </row>
    <row r="445" ht="15.75" customHeight="1">
      <c r="C445" s="449">
        <v>393.0</v>
      </c>
      <c r="D445" s="433" t="s">
        <v>19266</v>
      </c>
      <c r="E445" s="433" t="s">
        <v>19267</v>
      </c>
      <c r="F445" s="434" t="s">
        <v>19268</v>
      </c>
      <c r="G445" s="433" t="s">
        <v>16526</v>
      </c>
      <c r="H445" s="433" t="s">
        <v>2222</v>
      </c>
      <c r="I445" s="433" t="s">
        <v>30</v>
      </c>
      <c r="J445" s="433"/>
      <c r="K445" s="433" t="s">
        <v>30</v>
      </c>
      <c r="L445" s="433">
        <v>8.0</v>
      </c>
      <c r="M445" s="433" t="s">
        <v>19269</v>
      </c>
      <c r="N445" s="433" t="s">
        <v>19270</v>
      </c>
      <c r="O445" s="433" t="s">
        <v>19271</v>
      </c>
      <c r="P445" s="607">
        <v>2005.0</v>
      </c>
      <c r="Q445" s="433" t="s">
        <v>17956</v>
      </c>
      <c r="R445" s="433">
        <v>1.0</v>
      </c>
      <c r="S445" s="826"/>
      <c r="T445" s="3"/>
      <c r="U445" s="3"/>
      <c r="V445" s="3"/>
      <c r="W445" s="3"/>
      <c r="X445" s="3"/>
      <c r="Y445" s="3"/>
      <c r="Z445" s="3"/>
    </row>
    <row r="446" ht="15.75" customHeight="1">
      <c r="C446" s="449">
        <v>394.0</v>
      </c>
      <c r="D446" s="433" t="s">
        <v>19272</v>
      </c>
      <c r="E446" s="433" t="s">
        <v>19273</v>
      </c>
      <c r="F446" s="434" t="s">
        <v>19274</v>
      </c>
      <c r="G446" s="433" t="s">
        <v>16526</v>
      </c>
      <c r="H446" s="433" t="s">
        <v>2222</v>
      </c>
      <c r="I446" s="433" t="s">
        <v>30</v>
      </c>
      <c r="J446" s="433"/>
      <c r="K446" s="433" t="s">
        <v>30</v>
      </c>
      <c r="L446" s="433">
        <v>8.0</v>
      </c>
      <c r="M446" s="433" t="s">
        <v>19269</v>
      </c>
      <c r="N446" s="433" t="s">
        <v>19270</v>
      </c>
      <c r="O446" s="433" t="s">
        <v>19271</v>
      </c>
      <c r="P446" s="607">
        <v>2005.0</v>
      </c>
      <c r="Q446" s="433" t="s">
        <v>17956</v>
      </c>
      <c r="R446" s="433">
        <v>1.0</v>
      </c>
      <c r="S446" s="826"/>
      <c r="T446" s="3"/>
      <c r="U446" s="3"/>
      <c r="V446" s="3"/>
      <c r="W446" s="3"/>
      <c r="X446" s="3"/>
      <c r="Y446" s="3"/>
      <c r="Z446" s="3"/>
    </row>
    <row r="447" ht="15.75" customHeight="1">
      <c r="C447" s="449">
        <v>395.0</v>
      </c>
      <c r="D447" s="433" t="s">
        <v>19275</v>
      </c>
      <c r="E447" s="433" t="s">
        <v>19276</v>
      </c>
      <c r="F447" s="434" t="s">
        <v>19277</v>
      </c>
      <c r="G447" s="433" t="s">
        <v>16526</v>
      </c>
      <c r="H447" s="433" t="s">
        <v>2222</v>
      </c>
      <c r="I447" s="433" t="s">
        <v>30</v>
      </c>
      <c r="J447" s="433"/>
      <c r="K447" s="433" t="s">
        <v>30</v>
      </c>
      <c r="L447" s="433">
        <v>8.0</v>
      </c>
      <c r="M447" s="433" t="s">
        <v>19269</v>
      </c>
      <c r="N447" s="433" t="s">
        <v>19270</v>
      </c>
      <c r="O447" s="433" t="s">
        <v>19271</v>
      </c>
      <c r="P447" s="607">
        <v>2005.0</v>
      </c>
      <c r="Q447" s="433" t="s">
        <v>17956</v>
      </c>
      <c r="R447" s="433">
        <v>1.0</v>
      </c>
      <c r="S447" s="826"/>
      <c r="T447" s="3"/>
      <c r="U447" s="3"/>
      <c r="V447" s="3"/>
      <c r="W447" s="3"/>
      <c r="X447" s="3"/>
      <c r="Y447" s="3"/>
      <c r="Z447" s="3"/>
    </row>
    <row r="448" ht="15.75" customHeight="1">
      <c r="C448" s="449"/>
      <c r="D448" s="433"/>
      <c r="E448" s="433"/>
      <c r="F448" s="840" t="s">
        <v>19278</v>
      </c>
      <c r="G448" s="433"/>
      <c r="H448" s="433"/>
      <c r="I448" s="433"/>
      <c r="J448" s="433"/>
      <c r="K448" s="433"/>
      <c r="L448" s="433"/>
      <c r="M448" s="433"/>
      <c r="N448" s="433"/>
      <c r="O448" s="433"/>
      <c r="P448" s="607"/>
      <c r="Q448" s="433"/>
      <c r="R448" s="433"/>
      <c r="S448" s="826"/>
      <c r="T448" s="3"/>
      <c r="U448" s="3"/>
      <c r="V448" s="3"/>
      <c r="W448" s="3"/>
      <c r="X448" s="3"/>
      <c r="Y448" s="3"/>
      <c r="Z448" s="3"/>
    </row>
    <row r="449" ht="15.75" customHeight="1">
      <c r="C449" s="449">
        <v>396.0</v>
      </c>
      <c r="D449" s="433" t="s">
        <v>19279</v>
      </c>
      <c r="E449" s="433" t="s">
        <v>19280</v>
      </c>
      <c r="F449" s="434" t="s">
        <v>19281</v>
      </c>
      <c r="G449" s="433" t="s">
        <v>16526</v>
      </c>
      <c r="H449" s="433" t="s">
        <v>2222</v>
      </c>
      <c r="I449" s="433" t="s">
        <v>30</v>
      </c>
      <c r="J449" s="433"/>
      <c r="K449" s="433" t="s">
        <v>30</v>
      </c>
      <c r="L449" s="433">
        <v>29.0</v>
      </c>
      <c r="M449" s="433" t="s">
        <v>19269</v>
      </c>
      <c r="N449" s="433" t="s">
        <v>19282</v>
      </c>
      <c r="O449" s="433" t="s">
        <v>11040</v>
      </c>
      <c r="P449" s="607">
        <v>2015.0</v>
      </c>
      <c r="Q449" s="433" t="s">
        <v>17956</v>
      </c>
      <c r="R449" s="433">
        <v>1.0</v>
      </c>
      <c r="S449" s="826"/>
      <c r="T449" s="3"/>
      <c r="U449" s="3"/>
      <c r="V449" s="3"/>
      <c r="W449" s="3"/>
      <c r="X449" s="3"/>
      <c r="Y449" s="3"/>
      <c r="Z449" s="3"/>
    </row>
    <row r="450" ht="15.75" customHeight="1">
      <c r="A450" s="583"/>
      <c r="B450" s="583"/>
      <c r="C450" s="449">
        <v>397.0</v>
      </c>
      <c r="D450" s="433" t="s">
        <v>19283</v>
      </c>
      <c r="E450" s="433" t="s">
        <v>19284</v>
      </c>
      <c r="F450" s="434" t="s">
        <v>19285</v>
      </c>
      <c r="G450" s="433" t="s">
        <v>16526</v>
      </c>
      <c r="H450" s="433" t="s">
        <v>2222</v>
      </c>
      <c r="I450" s="433" t="s">
        <v>30</v>
      </c>
      <c r="J450" s="433"/>
      <c r="K450" s="433" t="s">
        <v>30</v>
      </c>
      <c r="L450" s="433">
        <v>29.0</v>
      </c>
      <c r="M450" s="433" t="s">
        <v>19269</v>
      </c>
      <c r="N450" s="433" t="s">
        <v>19282</v>
      </c>
      <c r="O450" s="433" t="s">
        <v>11040</v>
      </c>
      <c r="P450" s="607">
        <v>2015.0</v>
      </c>
      <c r="Q450" s="433" t="s">
        <v>17956</v>
      </c>
      <c r="R450" s="433">
        <v>1.0</v>
      </c>
      <c r="S450" s="835"/>
      <c r="T450" s="74"/>
      <c r="U450" s="74"/>
      <c r="V450" s="74"/>
      <c r="W450" s="74"/>
      <c r="X450" s="74"/>
      <c r="Y450" s="74"/>
      <c r="Z450" s="74"/>
    </row>
    <row r="451" ht="15.75" customHeight="1">
      <c r="A451" s="583"/>
      <c r="B451" s="583"/>
      <c r="C451" s="449">
        <v>398.0</v>
      </c>
      <c r="D451" s="433" t="s">
        <v>19279</v>
      </c>
      <c r="E451" s="433" t="s">
        <v>19280</v>
      </c>
      <c r="F451" s="434" t="s">
        <v>19286</v>
      </c>
      <c r="G451" s="433" t="s">
        <v>16526</v>
      </c>
      <c r="H451" s="433" t="s">
        <v>2222</v>
      </c>
      <c r="I451" s="433" t="s">
        <v>30</v>
      </c>
      <c r="J451" s="433"/>
      <c r="K451" s="433" t="s">
        <v>30</v>
      </c>
      <c r="L451" s="433">
        <v>29.0</v>
      </c>
      <c r="M451" s="433" t="s">
        <v>19269</v>
      </c>
      <c r="N451" s="433" t="s">
        <v>19282</v>
      </c>
      <c r="O451" s="433" t="s">
        <v>11040</v>
      </c>
      <c r="P451" s="607">
        <v>2015.0</v>
      </c>
      <c r="Q451" s="433" t="s">
        <v>17956</v>
      </c>
      <c r="R451" s="433">
        <v>1.0</v>
      </c>
      <c r="S451" s="835"/>
      <c r="T451" s="74"/>
      <c r="U451" s="74"/>
      <c r="V451" s="74"/>
      <c r="W451" s="74"/>
      <c r="X451" s="74"/>
      <c r="Y451" s="74"/>
      <c r="Z451" s="74"/>
    </row>
    <row r="452" ht="15.75" customHeight="1">
      <c r="A452" s="583"/>
      <c r="B452" s="583"/>
      <c r="C452" s="449">
        <v>399.0</v>
      </c>
      <c r="D452" s="433" t="s">
        <v>19287</v>
      </c>
      <c r="E452" s="433" t="s">
        <v>19288</v>
      </c>
      <c r="F452" s="434" t="s">
        <v>19289</v>
      </c>
      <c r="G452" s="433" t="s">
        <v>16526</v>
      </c>
      <c r="H452" s="433" t="s">
        <v>2222</v>
      </c>
      <c r="I452" s="433" t="s">
        <v>30</v>
      </c>
      <c r="J452" s="433"/>
      <c r="K452" s="433" t="s">
        <v>30</v>
      </c>
      <c r="L452" s="433">
        <v>29.0</v>
      </c>
      <c r="M452" s="433" t="s">
        <v>19269</v>
      </c>
      <c r="N452" s="433" t="s">
        <v>19282</v>
      </c>
      <c r="O452" s="433" t="s">
        <v>11040</v>
      </c>
      <c r="P452" s="607">
        <v>2015.0</v>
      </c>
      <c r="Q452" s="433" t="s">
        <v>17956</v>
      </c>
      <c r="R452" s="433">
        <v>1.0</v>
      </c>
      <c r="S452" s="835"/>
      <c r="T452" s="74"/>
      <c r="U452" s="74"/>
      <c r="V452" s="74"/>
      <c r="W452" s="74"/>
      <c r="X452" s="74"/>
      <c r="Y452" s="74"/>
      <c r="Z452" s="74"/>
    </row>
    <row r="453" ht="15.75" customHeight="1">
      <c r="A453" s="583"/>
      <c r="B453" s="583"/>
      <c r="C453" s="449">
        <v>400.0</v>
      </c>
      <c r="D453" s="433" t="s">
        <v>19290</v>
      </c>
      <c r="E453" s="433" t="s">
        <v>19291</v>
      </c>
      <c r="F453" s="434" t="s">
        <v>19292</v>
      </c>
      <c r="G453" s="433" t="s">
        <v>16526</v>
      </c>
      <c r="H453" s="433" t="s">
        <v>2222</v>
      </c>
      <c r="I453" s="433" t="s">
        <v>30</v>
      </c>
      <c r="J453" s="433"/>
      <c r="K453" s="433" t="s">
        <v>30</v>
      </c>
      <c r="L453" s="433">
        <v>29.0</v>
      </c>
      <c r="M453" s="433" t="s">
        <v>19269</v>
      </c>
      <c r="N453" s="433" t="s">
        <v>19282</v>
      </c>
      <c r="O453" s="433" t="s">
        <v>11040</v>
      </c>
      <c r="P453" s="607">
        <v>2015.0</v>
      </c>
      <c r="Q453" s="433" t="s">
        <v>17956</v>
      </c>
      <c r="R453" s="433">
        <v>1.0</v>
      </c>
      <c r="S453" s="835"/>
      <c r="T453" s="74"/>
      <c r="U453" s="74"/>
      <c r="V453" s="74"/>
      <c r="W453" s="74"/>
      <c r="X453" s="74"/>
      <c r="Y453" s="74"/>
      <c r="Z453" s="74"/>
    </row>
    <row r="454" ht="15.75" customHeight="1">
      <c r="A454" s="583"/>
      <c r="B454" s="583"/>
      <c r="C454" s="449">
        <v>401.0</v>
      </c>
      <c r="D454" s="433" t="s">
        <v>19279</v>
      </c>
      <c r="E454" s="433" t="s">
        <v>19293</v>
      </c>
      <c r="F454" s="434" t="s">
        <v>19294</v>
      </c>
      <c r="G454" s="433" t="s">
        <v>16526</v>
      </c>
      <c r="H454" s="433" t="s">
        <v>2222</v>
      </c>
      <c r="I454" s="433" t="s">
        <v>30</v>
      </c>
      <c r="J454" s="433"/>
      <c r="K454" s="433" t="s">
        <v>30</v>
      </c>
      <c r="L454" s="433">
        <v>29.0</v>
      </c>
      <c r="M454" s="433" t="s">
        <v>19269</v>
      </c>
      <c r="N454" s="433" t="s">
        <v>19282</v>
      </c>
      <c r="O454" s="433" t="s">
        <v>11040</v>
      </c>
      <c r="P454" s="607">
        <v>2015.0</v>
      </c>
      <c r="Q454" s="433" t="s">
        <v>17956</v>
      </c>
      <c r="R454" s="433">
        <v>1.0</v>
      </c>
      <c r="S454" s="835"/>
      <c r="T454" s="74"/>
      <c r="U454" s="74"/>
      <c r="V454" s="74"/>
      <c r="W454" s="74"/>
      <c r="X454" s="74"/>
      <c r="Y454" s="74"/>
      <c r="Z454" s="74"/>
    </row>
    <row r="455" ht="15.75" customHeight="1">
      <c r="A455" s="583"/>
      <c r="B455" s="583"/>
      <c r="C455" s="449">
        <v>402.0</v>
      </c>
      <c r="D455" s="433" t="s">
        <v>19295</v>
      </c>
      <c r="E455" s="433" t="s">
        <v>19291</v>
      </c>
      <c r="F455" s="434" t="s">
        <v>19296</v>
      </c>
      <c r="G455" s="433" t="s">
        <v>16526</v>
      </c>
      <c r="H455" s="433" t="s">
        <v>2222</v>
      </c>
      <c r="I455" s="433" t="s">
        <v>30</v>
      </c>
      <c r="J455" s="433"/>
      <c r="K455" s="433" t="s">
        <v>30</v>
      </c>
      <c r="L455" s="433">
        <v>29.0</v>
      </c>
      <c r="M455" s="433" t="s">
        <v>19269</v>
      </c>
      <c r="N455" s="433" t="s">
        <v>19282</v>
      </c>
      <c r="O455" s="433" t="s">
        <v>11040</v>
      </c>
      <c r="P455" s="607">
        <v>2015.0</v>
      </c>
      <c r="Q455" s="433" t="s">
        <v>17956</v>
      </c>
      <c r="R455" s="433">
        <v>1.0</v>
      </c>
      <c r="S455" s="835"/>
      <c r="T455" s="74"/>
      <c r="U455" s="74"/>
      <c r="V455" s="74"/>
      <c r="W455" s="74"/>
      <c r="X455" s="74"/>
      <c r="Y455" s="74"/>
      <c r="Z455" s="74"/>
    </row>
    <row r="456" ht="15.75" customHeight="1">
      <c r="A456" s="583"/>
      <c r="B456" s="583"/>
      <c r="C456" s="449">
        <v>403.0</v>
      </c>
      <c r="D456" s="433" t="s">
        <v>19297</v>
      </c>
      <c r="E456" s="433" t="s">
        <v>19298</v>
      </c>
      <c r="F456" s="434" t="s">
        <v>19299</v>
      </c>
      <c r="G456" s="433" t="s">
        <v>16526</v>
      </c>
      <c r="H456" s="433" t="s">
        <v>2222</v>
      </c>
      <c r="I456" s="433" t="s">
        <v>30</v>
      </c>
      <c r="J456" s="433"/>
      <c r="K456" s="433" t="s">
        <v>30</v>
      </c>
      <c r="L456" s="433">
        <v>29.0</v>
      </c>
      <c r="M456" s="433" t="s">
        <v>19269</v>
      </c>
      <c r="N456" s="433" t="s">
        <v>19282</v>
      </c>
      <c r="O456" s="433" t="s">
        <v>11040</v>
      </c>
      <c r="P456" s="607">
        <v>2015.0</v>
      </c>
      <c r="Q456" s="433" t="s">
        <v>17956</v>
      </c>
      <c r="R456" s="433">
        <v>1.0</v>
      </c>
      <c r="S456" s="835"/>
      <c r="T456" s="74"/>
      <c r="U456" s="74"/>
      <c r="V456" s="74"/>
      <c r="W456" s="74"/>
      <c r="X456" s="74"/>
      <c r="Y456" s="74"/>
      <c r="Z456" s="74"/>
    </row>
    <row r="457" ht="15.75" customHeight="1">
      <c r="A457" s="837"/>
      <c r="B457" s="837"/>
      <c r="C457" s="838"/>
      <c r="D457" s="490" t="s">
        <v>19300</v>
      </c>
      <c r="E457" s="490" t="s">
        <v>19301</v>
      </c>
      <c r="F457" s="491" t="s">
        <v>19302</v>
      </c>
      <c r="G457" s="490"/>
      <c r="H457" s="490" t="s">
        <v>2222</v>
      </c>
      <c r="I457" s="490" t="s">
        <v>30</v>
      </c>
      <c r="J457" s="490"/>
      <c r="K457" s="490" t="s">
        <v>30</v>
      </c>
      <c r="L457" s="490">
        <v>214.0</v>
      </c>
      <c r="M457" s="490"/>
      <c r="N457" s="490" t="s">
        <v>19303</v>
      </c>
      <c r="O457" s="490" t="s">
        <v>146</v>
      </c>
      <c r="P457" s="839">
        <v>2011.0</v>
      </c>
      <c r="Q457" s="490" t="s">
        <v>17956</v>
      </c>
      <c r="R457" s="490">
        <v>1.0</v>
      </c>
      <c r="S457" s="841"/>
      <c r="T457" s="74"/>
      <c r="U457" s="74"/>
      <c r="V457" s="74"/>
      <c r="W457" s="74"/>
      <c r="X457" s="74"/>
      <c r="Y457" s="74"/>
      <c r="Z457" s="74"/>
    </row>
    <row r="458" ht="15.75" customHeight="1">
      <c r="A458" s="837"/>
      <c r="B458" s="837"/>
      <c r="C458" s="838"/>
      <c r="D458" s="490" t="s">
        <v>19304</v>
      </c>
      <c r="E458" s="490" t="s">
        <v>19305</v>
      </c>
      <c r="F458" s="491" t="s">
        <v>19306</v>
      </c>
      <c r="G458" s="490"/>
      <c r="H458" s="490" t="s">
        <v>2222</v>
      </c>
      <c r="I458" s="490" t="s">
        <v>30</v>
      </c>
      <c r="J458" s="490"/>
      <c r="K458" s="490" t="s">
        <v>30</v>
      </c>
      <c r="L458" s="490">
        <v>34.0</v>
      </c>
      <c r="M458" s="490"/>
      <c r="N458" s="490" t="s">
        <v>19307</v>
      </c>
      <c r="O458" s="490" t="s">
        <v>146</v>
      </c>
      <c r="P458" s="839">
        <v>2013.0</v>
      </c>
      <c r="Q458" s="490" t="s">
        <v>17956</v>
      </c>
      <c r="R458" s="490">
        <v>1.0</v>
      </c>
      <c r="S458" s="841"/>
      <c r="T458" s="74"/>
      <c r="U458" s="74"/>
      <c r="V458" s="74"/>
      <c r="W458" s="74"/>
      <c r="X458" s="74"/>
      <c r="Y458" s="74"/>
      <c r="Z458" s="74"/>
    </row>
    <row r="459" ht="15.75" customHeight="1">
      <c r="A459" s="837"/>
      <c r="B459" s="837"/>
      <c r="C459" s="838"/>
      <c r="D459" s="490" t="s">
        <v>19308</v>
      </c>
      <c r="E459" s="490" t="s">
        <v>19309</v>
      </c>
      <c r="F459" s="491" t="s">
        <v>19310</v>
      </c>
      <c r="G459" s="490"/>
      <c r="H459" s="490" t="s">
        <v>2222</v>
      </c>
      <c r="I459" s="490" t="s">
        <v>37</v>
      </c>
      <c r="J459" s="490"/>
      <c r="K459" s="490" t="s">
        <v>38</v>
      </c>
      <c r="L459" s="490">
        <v>256.0</v>
      </c>
      <c r="M459" s="490"/>
      <c r="N459" s="490" t="s">
        <v>10371</v>
      </c>
      <c r="O459" s="490" t="s">
        <v>4744</v>
      </c>
      <c r="P459" s="839">
        <v>2000.0</v>
      </c>
      <c r="Q459" s="490" t="s">
        <v>17956</v>
      </c>
      <c r="R459" s="490">
        <v>1.0</v>
      </c>
      <c r="S459" s="841"/>
      <c r="T459" s="74"/>
      <c r="U459" s="74"/>
      <c r="V459" s="74"/>
      <c r="W459" s="74"/>
      <c r="X459" s="74"/>
      <c r="Y459" s="74"/>
      <c r="Z459" s="74"/>
    </row>
    <row r="460" ht="15.75" customHeight="1">
      <c r="A460" s="837"/>
      <c r="B460" s="837"/>
      <c r="C460" s="838"/>
      <c r="D460" s="490" t="s">
        <v>19311</v>
      </c>
      <c r="E460" s="490" t="s">
        <v>19312</v>
      </c>
      <c r="F460" s="491" t="s">
        <v>19313</v>
      </c>
      <c r="G460" s="490"/>
      <c r="H460" s="490" t="s">
        <v>2222</v>
      </c>
      <c r="I460" s="490" t="s">
        <v>37</v>
      </c>
      <c r="J460" s="490"/>
      <c r="K460" s="490" t="s">
        <v>38</v>
      </c>
      <c r="L460" s="490">
        <v>352.0</v>
      </c>
      <c r="M460" s="490" t="s">
        <v>19314</v>
      </c>
      <c r="N460" s="490" t="s">
        <v>19315</v>
      </c>
      <c r="O460" s="490" t="s">
        <v>19316</v>
      </c>
      <c r="P460" s="839">
        <v>2007.0</v>
      </c>
      <c r="Q460" s="490" t="s">
        <v>17956</v>
      </c>
      <c r="R460" s="490">
        <v>1.0</v>
      </c>
      <c r="S460" s="841"/>
      <c r="T460" s="74"/>
      <c r="U460" s="74"/>
      <c r="V460" s="74"/>
      <c r="W460" s="74"/>
      <c r="X460" s="74"/>
      <c r="Y460" s="74"/>
      <c r="Z460" s="74"/>
    </row>
    <row r="461" ht="15.75" customHeight="1">
      <c r="A461" s="837"/>
      <c r="B461" s="837"/>
      <c r="C461" s="838"/>
      <c r="D461" s="490" t="s">
        <v>19317</v>
      </c>
      <c r="E461" s="490" t="s">
        <v>19318</v>
      </c>
      <c r="F461" s="491" t="s">
        <v>19319</v>
      </c>
      <c r="G461" s="490"/>
      <c r="H461" s="490" t="s">
        <v>2222</v>
      </c>
      <c r="I461" s="490" t="s">
        <v>30</v>
      </c>
      <c r="J461" s="490"/>
      <c r="K461" s="490" t="s">
        <v>30</v>
      </c>
      <c r="L461" s="490">
        <v>64.0</v>
      </c>
      <c r="M461" s="490" t="s">
        <v>19320</v>
      </c>
      <c r="N461" s="490" t="s">
        <v>19321</v>
      </c>
      <c r="O461" s="490" t="s">
        <v>4166</v>
      </c>
      <c r="P461" s="839">
        <v>2012.0</v>
      </c>
      <c r="Q461" s="490" t="s">
        <v>17956</v>
      </c>
      <c r="R461" s="490">
        <v>1.0</v>
      </c>
      <c r="S461" s="841"/>
      <c r="T461" s="74"/>
      <c r="U461" s="74"/>
      <c r="V461" s="74"/>
      <c r="W461" s="74"/>
      <c r="X461" s="74"/>
      <c r="Y461" s="74"/>
      <c r="Z461" s="74"/>
    </row>
    <row r="462" ht="15.75" customHeight="1">
      <c r="A462" s="837"/>
      <c r="B462" s="837"/>
      <c r="C462" s="838"/>
      <c r="D462" s="490" t="s">
        <v>19322</v>
      </c>
      <c r="E462" s="490" t="s">
        <v>19323</v>
      </c>
      <c r="F462" s="491" t="s">
        <v>19324</v>
      </c>
      <c r="G462" s="490"/>
      <c r="H462" s="490" t="s">
        <v>2222</v>
      </c>
      <c r="I462" s="490" t="s">
        <v>30</v>
      </c>
      <c r="J462" s="490"/>
      <c r="K462" s="490" t="s">
        <v>30</v>
      </c>
      <c r="L462" s="490">
        <v>93.0</v>
      </c>
      <c r="M462" s="490"/>
      <c r="N462" s="490" t="s">
        <v>19325</v>
      </c>
      <c r="O462" s="490" t="s">
        <v>151</v>
      </c>
      <c r="P462" s="839">
        <v>2016.0</v>
      </c>
      <c r="Q462" s="490" t="s">
        <v>17956</v>
      </c>
      <c r="R462" s="490">
        <v>1.0</v>
      </c>
      <c r="S462" s="841"/>
      <c r="T462" s="74"/>
      <c r="U462" s="74"/>
      <c r="V462" s="74"/>
      <c r="W462" s="74"/>
      <c r="X462" s="74"/>
      <c r="Y462" s="74"/>
      <c r="Z462" s="74"/>
    </row>
    <row r="463" ht="15.75" customHeight="1">
      <c r="A463" s="837"/>
      <c r="B463" s="837"/>
      <c r="C463" s="838"/>
      <c r="D463" s="490" t="s">
        <v>19326</v>
      </c>
      <c r="E463" s="490" t="s">
        <v>19327</v>
      </c>
      <c r="F463" s="491" t="s">
        <v>19328</v>
      </c>
      <c r="G463" s="490"/>
      <c r="H463" s="490" t="s">
        <v>2222</v>
      </c>
      <c r="I463" s="490" t="s">
        <v>30</v>
      </c>
      <c r="J463" s="490"/>
      <c r="K463" s="490" t="s">
        <v>30</v>
      </c>
      <c r="L463" s="490">
        <v>397.0</v>
      </c>
      <c r="M463" s="490"/>
      <c r="N463" s="490" t="s">
        <v>19329</v>
      </c>
      <c r="O463" s="490" t="s">
        <v>4166</v>
      </c>
      <c r="P463" s="839">
        <v>2016.0</v>
      </c>
      <c r="Q463" s="490" t="s">
        <v>17956</v>
      </c>
      <c r="R463" s="490">
        <v>1.0</v>
      </c>
      <c r="S463" s="841"/>
      <c r="T463" s="74"/>
      <c r="U463" s="74"/>
      <c r="V463" s="74"/>
      <c r="W463" s="74"/>
      <c r="X463" s="74"/>
      <c r="Y463" s="74"/>
      <c r="Z463" s="74"/>
    </row>
    <row r="464" ht="15.75" customHeight="1">
      <c r="A464" s="842"/>
      <c r="B464" s="842"/>
      <c r="C464" s="843"/>
      <c r="D464" s="844" t="s">
        <v>17952</v>
      </c>
      <c r="E464" s="844" t="s">
        <v>17953</v>
      </c>
      <c r="F464" s="845" t="s">
        <v>19330</v>
      </c>
      <c r="G464" s="844"/>
      <c r="H464" s="844" t="s">
        <v>2222</v>
      </c>
      <c r="I464" s="844" t="s">
        <v>30</v>
      </c>
      <c r="J464" s="844"/>
      <c r="K464" s="844" t="s">
        <v>30</v>
      </c>
      <c r="L464" s="844">
        <v>140.0</v>
      </c>
      <c r="M464" s="844"/>
      <c r="N464" s="844" t="s">
        <v>17955</v>
      </c>
      <c r="O464" s="844" t="s">
        <v>4166</v>
      </c>
      <c r="P464" s="846">
        <v>2016.0</v>
      </c>
      <c r="Q464" s="844" t="s">
        <v>17956</v>
      </c>
      <c r="R464" s="844">
        <v>1.0</v>
      </c>
      <c r="S464" s="841"/>
      <c r="T464" s="74"/>
      <c r="U464" s="74"/>
      <c r="V464" s="74"/>
      <c r="W464" s="74"/>
      <c r="X464" s="74"/>
      <c r="Y464" s="74"/>
      <c r="Z464" s="74"/>
    </row>
    <row r="465" ht="15.75" customHeight="1">
      <c r="A465" s="837"/>
      <c r="B465" s="837"/>
      <c r="C465" s="838"/>
      <c r="D465" s="490" t="s">
        <v>19331</v>
      </c>
      <c r="E465" s="490" t="s">
        <v>19332</v>
      </c>
      <c r="F465" s="491" t="s">
        <v>19333</v>
      </c>
      <c r="G465" s="490"/>
      <c r="H465" s="490" t="s">
        <v>2222</v>
      </c>
      <c r="I465" s="490" t="s">
        <v>30</v>
      </c>
      <c r="J465" s="490"/>
      <c r="K465" s="490" t="s">
        <v>30</v>
      </c>
      <c r="L465" s="490">
        <v>44.0</v>
      </c>
      <c r="M465" s="490"/>
      <c r="N465" s="490" t="s">
        <v>18730</v>
      </c>
      <c r="O465" s="490" t="s">
        <v>151</v>
      </c>
      <c r="P465" s="839">
        <v>2015.0</v>
      </c>
      <c r="Q465" s="490" t="s">
        <v>17956</v>
      </c>
      <c r="R465" s="490">
        <v>1.0</v>
      </c>
      <c r="S465" s="841"/>
      <c r="T465" s="74"/>
      <c r="U465" s="74"/>
      <c r="V465" s="74"/>
      <c r="W465" s="74"/>
      <c r="X465" s="74"/>
      <c r="Y465" s="74"/>
      <c r="Z465" s="74"/>
    </row>
    <row r="466" ht="15.75" customHeight="1">
      <c r="A466" s="837"/>
      <c r="B466" s="837"/>
      <c r="C466" s="838"/>
      <c r="D466" s="490" t="s">
        <v>19334</v>
      </c>
      <c r="E466" s="490" t="s">
        <v>19335</v>
      </c>
      <c r="F466" s="491" t="s">
        <v>19336</v>
      </c>
      <c r="G466" s="490"/>
      <c r="H466" s="490" t="s">
        <v>2222</v>
      </c>
      <c r="I466" s="490" t="s">
        <v>30</v>
      </c>
      <c r="J466" s="490"/>
      <c r="K466" s="490" t="s">
        <v>30</v>
      </c>
      <c r="L466" s="490">
        <v>60.0</v>
      </c>
      <c r="M466" s="490"/>
      <c r="N466" s="490" t="s">
        <v>18210</v>
      </c>
      <c r="O466" s="490" t="s">
        <v>4166</v>
      </c>
      <c r="P466" s="839">
        <v>2010.0</v>
      </c>
      <c r="Q466" s="490" t="s">
        <v>17956</v>
      </c>
      <c r="R466" s="490">
        <v>1.0</v>
      </c>
      <c r="S466" s="841"/>
      <c r="T466" s="74"/>
      <c r="U466" s="74"/>
      <c r="V466" s="74"/>
      <c r="W466" s="74"/>
      <c r="X466" s="74"/>
      <c r="Y466" s="74"/>
      <c r="Z466" s="74"/>
    </row>
    <row r="467" ht="15.75" customHeight="1">
      <c r="A467" s="837"/>
      <c r="B467" s="837"/>
      <c r="C467" s="838"/>
      <c r="D467" s="490" t="s">
        <v>19337</v>
      </c>
      <c r="E467" s="490" t="s">
        <v>19338</v>
      </c>
      <c r="F467" s="491" t="s">
        <v>19339</v>
      </c>
      <c r="G467" s="490"/>
      <c r="H467" s="490" t="s">
        <v>2222</v>
      </c>
      <c r="I467" s="490" t="s">
        <v>30</v>
      </c>
      <c r="J467" s="490"/>
      <c r="K467" s="490" t="s">
        <v>30</v>
      </c>
      <c r="L467" s="490">
        <v>104.0</v>
      </c>
      <c r="M467" s="490"/>
      <c r="N467" s="490" t="s">
        <v>17955</v>
      </c>
      <c r="O467" s="490" t="s">
        <v>4166</v>
      </c>
      <c r="P467" s="839">
        <v>2016.0</v>
      </c>
      <c r="Q467" s="490" t="s">
        <v>17956</v>
      </c>
      <c r="R467" s="490">
        <v>1.0</v>
      </c>
      <c r="S467" s="841"/>
      <c r="T467" s="74"/>
      <c r="U467" s="74"/>
      <c r="V467" s="74"/>
      <c r="W467" s="74"/>
      <c r="X467" s="74"/>
      <c r="Y467" s="74"/>
      <c r="Z467" s="74"/>
    </row>
    <row r="468" ht="15.75" customHeight="1">
      <c r="A468" s="837"/>
      <c r="B468" s="837"/>
      <c r="C468" s="838"/>
      <c r="D468" s="490" t="s">
        <v>19340</v>
      </c>
      <c r="E468" s="490" t="s">
        <v>19341</v>
      </c>
      <c r="F468" s="491" t="s">
        <v>19342</v>
      </c>
      <c r="G468" s="490"/>
      <c r="H468" s="490" t="s">
        <v>2222</v>
      </c>
      <c r="I468" s="490" t="s">
        <v>30</v>
      </c>
      <c r="J468" s="490"/>
      <c r="K468" s="490" t="s">
        <v>30</v>
      </c>
      <c r="L468" s="490">
        <v>118.0</v>
      </c>
      <c r="M468" s="490"/>
      <c r="N468" s="490" t="s">
        <v>18777</v>
      </c>
      <c r="O468" s="490" t="s">
        <v>151</v>
      </c>
      <c r="P468" s="839">
        <v>2016.0</v>
      </c>
      <c r="Q468" s="490" t="s">
        <v>17956</v>
      </c>
      <c r="R468" s="490">
        <v>1.0</v>
      </c>
      <c r="S468" s="841"/>
      <c r="T468" s="74"/>
      <c r="U468" s="74"/>
      <c r="V468" s="74"/>
      <c r="W468" s="74"/>
      <c r="X468" s="74"/>
      <c r="Y468" s="74"/>
      <c r="Z468" s="74"/>
    </row>
    <row r="469" ht="15.75" customHeight="1">
      <c r="A469" s="837"/>
      <c r="B469" s="837"/>
      <c r="C469" s="838"/>
      <c r="D469" s="490" t="s">
        <v>19343</v>
      </c>
      <c r="E469" s="490" t="s">
        <v>19344</v>
      </c>
      <c r="F469" s="491" t="s">
        <v>19345</v>
      </c>
      <c r="G469" s="490"/>
      <c r="H469" s="490" t="s">
        <v>2222</v>
      </c>
      <c r="I469" s="490" t="s">
        <v>30</v>
      </c>
      <c r="J469" s="490"/>
      <c r="K469" s="490" t="s">
        <v>30</v>
      </c>
      <c r="L469" s="490">
        <v>64.0</v>
      </c>
      <c r="M469" s="490"/>
      <c r="N469" s="490" t="s">
        <v>18210</v>
      </c>
      <c r="O469" s="490" t="s">
        <v>4166</v>
      </c>
      <c r="P469" s="839">
        <v>2011.0</v>
      </c>
      <c r="Q469" s="490" t="s">
        <v>17956</v>
      </c>
      <c r="R469" s="490">
        <v>1.0</v>
      </c>
      <c r="S469" s="841"/>
      <c r="T469" s="74"/>
      <c r="U469" s="74"/>
      <c r="V469" s="74"/>
      <c r="W469" s="74"/>
      <c r="X469" s="74"/>
      <c r="Y469" s="74"/>
      <c r="Z469" s="74"/>
    </row>
    <row r="470" ht="15.75" customHeight="1">
      <c r="A470" s="837"/>
      <c r="B470" s="837"/>
      <c r="C470" s="838"/>
      <c r="D470" s="490" t="s">
        <v>19346</v>
      </c>
      <c r="E470" s="490" t="s">
        <v>19347</v>
      </c>
      <c r="F470" s="491" t="s">
        <v>19348</v>
      </c>
      <c r="G470" s="490"/>
      <c r="H470" s="490" t="s">
        <v>2222</v>
      </c>
      <c r="I470" s="490" t="s">
        <v>30</v>
      </c>
      <c r="J470" s="490"/>
      <c r="K470" s="490" t="s">
        <v>30</v>
      </c>
      <c r="L470" s="490">
        <v>86.0</v>
      </c>
      <c r="M470" s="490"/>
      <c r="N470" s="490" t="s">
        <v>19349</v>
      </c>
      <c r="O470" s="490" t="s">
        <v>19350</v>
      </c>
      <c r="P470" s="839">
        <v>2016.0</v>
      </c>
      <c r="Q470" s="490" t="s">
        <v>17956</v>
      </c>
      <c r="R470" s="490">
        <v>1.0</v>
      </c>
      <c r="S470" s="841"/>
      <c r="T470" s="74"/>
      <c r="U470" s="74"/>
      <c r="V470" s="74"/>
      <c r="W470" s="74"/>
      <c r="X470" s="74"/>
      <c r="Y470" s="74"/>
      <c r="Z470" s="74"/>
    </row>
    <row r="471" ht="15.75" customHeight="1">
      <c r="A471" s="837"/>
      <c r="B471" s="837"/>
      <c r="C471" s="838"/>
      <c r="D471" s="490" t="s">
        <v>19351</v>
      </c>
      <c r="E471" s="490" t="s">
        <v>19352</v>
      </c>
      <c r="F471" s="491" t="s">
        <v>19353</v>
      </c>
      <c r="G471" s="490"/>
      <c r="H471" s="490" t="s">
        <v>2222</v>
      </c>
      <c r="I471" s="490" t="s">
        <v>30</v>
      </c>
      <c r="J471" s="490"/>
      <c r="K471" s="490" t="s">
        <v>30</v>
      </c>
      <c r="L471" s="490">
        <v>68.0</v>
      </c>
      <c r="M471" s="490"/>
      <c r="N471" s="490" t="s">
        <v>19354</v>
      </c>
      <c r="O471" s="490" t="s">
        <v>19350</v>
      </c>
      <c r="P471" s="839">
        <v>2015.0</v>
      </c>
      <c r="Q471" s="490" t="s">
        <v>17956</v>
      </c>
      <c r="R471" s="490">
        <v>1.0</v>
      </c>
      <c r="S471" s="841"/>
      <c r="T471" s="74"/>
      <c r="U471" s="74"/>
      <c r="V471" s="74"/>
      <c r="W471" s="74"/>
      <c r="X471" s="74"/>
      <c r="Y471" s="74"/>
      <c r="Z471" s="74"/>
    </row>
    <row r="472" ht="15.75" customHeight="1">
      <c r="A472" s="837"/>
      <c r="B472" s="837"/>
      <c r="C472" s="838"/>
      <c r="D472" s="490" t="s">
        <v>4199</v>
      </c>
      <c r="E472" s="490" t="s">
        <v>19355</v>
      </c>
      <c r="F472" s="491" t="s">
        <v>19356</v>
      </c>
      <c r="G472" s="490"/>
      <c r="H472" s="490" t="s">
        <v>2222</v>
      </c>
      <c r="I472" s="490" t="s">
        <v>30</v>
      </c>
      <c r="J472" s="490"/>
      <c r="K472" s="490" t="s">
        <v>30</v>
      </c>
      <c r="L472" s="490">
        <v>108.0</v>
      </c>
      <c r="M472" s="490"/>
      <c r="N472" s="490" t="s">
        <v>19357</v>
      </c>
      <c r="O472" s="490" t="s">
        <v>151</v>
      </c>
      <c r="P472" s="839">
        <v>2016.0</v>
      </c>
      <c r="Q472" s="490" t="s">
        <v>17956</v>
      </c>
      <c r="R472" s="490">
        <v>1.0</v>
      </c>
      <c r="S472" s="841"/>
      <c r="T472" s="74"/>
      <c r="U472" s="74"/>
      <c r="V472" s="74"/>
      <c r="W472" s="74"/>
      <c r="X472" s="74"/>
      <c r="Y472" s="74"/>
      <c r="Z472" s="74"/>
    </row>
    <row r="473" ht="15.75" customHeight="1">
      <c r="A473" s="837"/>
      <c r="B473" s="837"/>
      <c r="C473" s="838"/>
      <c r="D473" s="490" t="s">
        <v>19358</v>
      </c>
      <c r="E473" s="490" t="s">
        <v>19359</v>
      </c>
      <c r="F473" s="491" t="s">
        <v>19360</v>
      </c>
      <c r="G473" s="490"/>
      <c r="H473" s="490" t="s">
        <v>2222</v>
      </c>
      <c r="I473" s="490" t="s">
        <v>30</v>
      </c>
      <c r="J473" s="490"/>
      <c r="K473" s="490" t="s">
        <v>30</v>
      </c>
      <c r="L473" s="490">
        <v>70.0</v>
      </c>
      <c r="M473" s="490"/>
      <c r="N473" s="490" t="s">
        <v>19361</v>
      </c>
      <c r="O473" s="490" t="s">
        <v>151</v>
      </c>
      <c r="P473" s="839">
        <v>2015.0</v>
      </c>
      <c r="Q473" s="490" t="s">
        <v>17956</v>
      </c>
      <c r="R473" s="490">
        <v>1.0</v>
      </c>
      <c r="S473" s="841"/>
      <c r="T473" s="74"/>
      <c r="U473" s="74"/>
      <c r="V473" s="74"/>
      <c r="W473" s="74"/>
      <c r="X473" s="74"/>
      <c r="Y473" s="74"/>
      <c r="Z473" s="74"/>
    </row>
    <row r="474" ht="15.75" customHeight="1">
      <c r="A474" s="45"/>
      <c r="B474" s="45"/>
      <c r="C474" s="636"/>
      <c r="D474" s="322"/>
      <c r="E474" s="522" t="s">
        <v>19362</v>
      </c>
      <c r="F474" s="847" t="s">
        <v>19363</v>
      </c>
      <c r="G474" s="322"/>
      <c r="H474" s="522" t="s">
        <v>2222</v>
      </c>
      <c r="I474" s="522" t="s">
        <v>37</v>
      </c>
      <c r="J474" s="322"/>
      <c r="K474" s="522" t="s">
        <v>38</v>
      </c>
      <c r="L474" s="522">
        <v>48.0</v>
      </c>
      <c r="M474" s="322"/>
      <c r="N474" s="522" t="s">
        <v>4836</v>
      </c>
      <c r="O474" s="522" t="s">
        <v>4836</v>
      </c>
      <c r="P474" s="848">
        <v>1978.0</v>
      </c>
      <c r="Q474" s="522" t="s">
        <v>17956</v>
      </c>
      <c r="R474" s="522">
        <v>1.0</v>
      </c>
      <c r="S474" s="841"/>
      <c r="T474" s="849"/>
      <c r="U474" s="74"/>
      <c r="V474" s="74"/>
      <c r="W474" s="74"/>
      <c r="X474" s="74"/>
      <c r="Y474" s="74"/>
      <c r="Z474" s="74"/>
    </row>
    <row r="475" ht="15.75" customHeight="1">
      <c r="A475" s="45"/>
      <c r="B475" s="45"/>
      <c r="C475" s="636"/>
      <c r="D475" s="322"/>
      <c r="E475" s="522" t="s">
        <v>19364</v>
      </c>
      <c r="F475" s="561" t="s">
        <v>19365</v>
      </c>
      <c r="G475" s="322"/>
      <c r="H475" s="522" t="s">
        <v>2222</v>
      </c>
      <c r="I475" s="522" t="s">
        <v>37</v>
      </c>
      <c r="J475" s="322"/>
      <c r="K475" s="522" t="s">
        <v>38</v>
      </c>
      <c r="L475" s="522">
        <v>8.0</v>
      </c>
      <c r="M475" s="322"/>
      <c r="N475" s="522" t="s">
        <v>4836</v>
      </c>
      <c r="O475" s="522" t="s">
        <v>4836</v>
      </c>
      <c r="P475" s="848">
        <v>1978.0</v>
      </c>
      <c r="Q475" s="522" t="s">
        <v>17956</v>
      </c>
      <c r="R475" s="522">
        <v>2.0</v>
      </c>
      <c r="S475" s="841"/>
      <c r="T475" s="849"/>
      <c r="U475" s="74"/>
      <c r="V475" s="74"/>
      <c r="W475" s="74"/>
      <c r="X475" s="74"/>
      <c r="Y475" s="74"/>
      <c r="Z475" s="74"/>
    </row>
    <row r="476" ht="15.75" customHeight="1">
      <c r="C476" s="449"/>
      <c r="D476" s="444" t="s">
        <v>19366</v>
      </c>
      <c r="E476" s="444" t="s">
        <v>19367</v>
      </c>
      <c r="F476" s="561" t="s">
        <v>19368</v>
      </c>
      <c r="G476" s="433"/>
      <c r="H476" s="444" t="s">
        <v>2222</v>
      </c>
      <c r="I476" s="444" t="s">
        <v>37</v>
      </c>
      <c r="J476" s="433"/>
      <c r="K476" s="444" t="s">
        <v>38</v>
      </c>
      <c r="L476" s="444">
        <v>384.0</v>
      </c>
      <c r="M476" s="433"/>
      <c r="N476" s="444" t="s">
        <v>19369</v>
      </c>
      <c r="O476" s="444" t="s">
        <v>8548</v>
      </c>
      <c r="P476" s="850">
        <v>2018.0</v>
      </c>
      <c r="Q476" s="433"/>
      <c r="R476" s="444">
        <v>7.0</v>
      </c>
      <c r="S476" s="826"/>
      <c r="T476" s="849"/>
      <c r="U476" s="3"/>
      <c r="V476" s="3"/>
      <c r="W476" s="3"/>
      <c r="X476" s="3"/>
      <c r="Y476" s="3"/>
      <c r="Z476" s="3"/>
    </row>
    <row r="477" ht="15.75" customHeight="1">
      <c r="C477" s="449"/>
      <c r="D477" s="433"/>
      <c r="E477" s="433"/>
      <c r="F477" s="434"/>
      <c r="G477" s="433"/>
      <c r="H477" s="433"/>
      <c r="I477" s="433"/>
      <c r="J477" s="433"/>
      <c r="K477" s="433"/>
      <c r="L477" s="433"/>
      <c r="M477" s="433"/>
      <c r="N477" s="433"/>
      <c r="O477" s="433"/>
      <c r="P477" s="607"/>
      <c r="Q477" s="433"/>
      <c r="R477" s="433"/>
      <c r="S477" s="826"/>
      <c r="T477" s="3"/>
      <c r="U477" s="3"/>
      <c r="V477" s="3"/>
      <c r="W477" s="3"/>
      <c r="X477" s="3"/>
      <c r="Y477" s="3"/>
      <c r="Z477" s="3"/>
    </row>
    <row r="478" ht="15.75" customHeight="1">
      <c r="C478" s="449"/>
      <c r="D478" s="433"/>
      <c r="E478" s="433"/>
      <c r="F478" s="434"/>
      <c r="G478" s="433"/>
      <c r="H478" s="433"/>
      <c r="I478" s="433"/>
      <c r="J478" s="433"/>
      <c r="K478" s="433"/>
      <c r="L478" s="433"/>
      <c r="M478" s="433"/>
      <c r="N478" s="433"/>
      <c r="O478" s="433"/>
      <c r="P478" s="607"/>
      <c r="Q478" s="433"/>
      <c r="R478" s="433"/>
      <c r="S478" s="826"/>
      <c r="T478" s="3"/>
      <c r="U478" s="3"/>
      <c r="V478" s="3"/>
      <c r="W478" s="3"/>
      <c r="X478" s="3"/>
      <c r="Y478" s="3"/>
      <c r="Z478" s="3"/>
    </row>
    <row r="479" ht="15.75" customHeight="1">
      <c r="C479" s="449"/>
      <c r="D479" s="433"/>
      <c r="E479" s="433"/>
      <c r="F479" s="434"/>
      <c r="G479" s="433"/>
      <c r="H479" s="433"/>
      <c r="I479" s="433"/>
      <c r="J479" s="433"/>
      <c r="K479" s="433"/>
      <c r="L479" s="433"/>
      <c r="M479" s="433"/>
      <c r="N479" s="433"/>
      <c r="O479" s="433"/>
      <c r="P479" s="607"/>
      <c r="Q479" s="433"/>
      <c r="R479" s="433"/>
      <c r="S479" s="826"/>
      <c r="T479" s="3"/>
      <c r="U479" s="3"/>
      <c r="V479" s="3"/>
      <c r="W479" s="3"/>
      <c r="X479" s="3"/>
      <c r="Y479" s="3"/>
      <c r="Z479" s="3"/>
    </row>
    <row r="480" ht="15.75" customHeight="1">
      <c r="C480" s="449"/>
      <c r="D480" s="433"/>
      <c r="E480" s="433"/>
      <c r="F480" s="434"/>
      <c r="G480" s="433"/>
      <c r="H480" s="433"/>
      <c r="I480" s="433"/>
      <c r="J480" s="433"/>
      <c r="K480" s="433"/>
      <c r="L480" s="433"/>
      <c r="M480" s="433"/>
      <c r="N480" s="433"/>
      <c r="O480" s="433"/>
      <c r="P480" s="607"/>
      <c r="Q480" s="433"/>
      <c r="R480" s="433">
        <f>SUM(R346:R475)</f>
        <v>154</v>
      </c>
      <c r="S480" s="826"/>
      <c r="T480" s="3"/>
      <c r="U480" s="3"/>
      <c r="V480" s="3"/>
      <c r="W480" s="3"/>
      <c r="X480" s="3"/>
      <c r="Y480" s="3"/>
      <c r="Z480" s="3"/>
    </row>
    <row r="481" ht="15.75" customHeight="1">
      <c r="C481" s="667"/>
      <c r="D481" s="667"/>
      <c r="E481" s="667"/>
      <c r="F481" s="668"/>
      <c r="G481" s="667"/>
      <c r="H481" s="667"/>
      <c r="I481" s="667"/>
      <c r="J481" s="667"/>
      <c r="K481" s="667"/>
      <c r="L481" s="667"/>
      <c r="M481" s="667"/>
      <c r="N481" s="667"/>
      <c r="O481" s="667"/>
      <c r="P481" s="667"/>
      <c r="Q481" s="667"/>
      <c r="R481" s="667"/>
      <c r="S481" s="826"/>
      <c r="T481" s="3"/>
      <c r="U481" s="3"/>
      <c r="V481" s="3"/>
      <c r="W481" s="3"/>
      <c r="X481" s="3"/>
      <c r="Y481" s="3"/>
      <c r="Z481" s="3"/>
    </row>
    <row r="482" ht="15.75" customHeight="1">
      <c r="C482" s="667"/>
      <c r="D482" s="667"/>
      <c r="E482" s="667"/>
      <c r="F482" s="668"/>
      <c r="G482" s="667"/>
      <c r="H482" s="667"/>
      <c r="I482" s="667"/>
      <c r="J482" s="667"/>
      <c r="K482" s="667"/>
      <c r="L482" s="667"/>
      <c r="M482" s="667"/>
      <c r="N482" s="667"/>
      <c r="O482" s="667"/>
      <c r="P482" s="667"/>
      <c r="Q482" s="667"/>
      <c r="R482" s="667"/>
      <c r="S482" s="826"/>
      <c r="T482" s="3"/>
      <c r="U482" s="3"/>
      <c r="V482" s="3"/>
      <c r="W482" s="3"/>
      <c r="X482" s="3"/>
      <c r="Y482" s="3"/>
      <c r="Z482" s="3"/>
    </row>
    <row r="483" ht="15.75" customHeight="1">
      <c r="C483" s="667"/>
      <c r="D483" s="667"/>
      <c r="E483" s="667"/>
      <c r="F483" s="668"/>
      <c r="G483" s="667"/>
      <c r="H483" s="667"/>
      <c r="I483" s="667"/>
      <c r="J483" s="667"/>
      <c r="K483" s="667"/>
      <c r="L483" s="667"/>
      <c r="M483" s="667"/>
      <c r="N483" s="667"/>
      <c r="O483" s="667"/>
      <c r="P483" s="667"/>
      <c r="Q483" s="667"/>
      <c r="R483" s="667"/>
      <c r="S483" s="826"/>
      <c r="T483" s="3"/>
      <c r="U483" s="3"/>
      <c r="V483" s="3"/>
      <c r="W483" s="3"/>
      <c r="X483" s="3"/>
      <c r="Y483" s="3"/>
      <c r="Z483" s="3"/>
    </row>
    <row r="484" ht="15.75" customHeight="1">
      <c r="C484" s="667"/>
      <c r="D484" s="667"/>
      <c r="E484" s="667"/>
      <c r="F484" s="668"/>
      <c r="G484" s="667"/>
      <c r="H484" s="667"/>
      <c r="I484" s="667"/>
      <c r="J484" s="667"/>
      <c r="K484" s="667"/>
      <c r="L484" s="667"/>
      <c r="M484" s="667"/>
      <c r="N484" s="667"/>
      <c r="O484" s="667"/>
      <c r="P484" s="667"/>
      <c r="Q484" s="667"/>
      <c r="R484" s="667"/>
      <c r="S484" s="826"/>
      <c r="T484" s="3"/>
      <c r="U484" s="3"/>
      <c r="V484" s="3"/>
      <c r="W484" s="3"/>
      <c r="X484" s="3"/>
      <c r="Y484" s="3"/>
      <c r="Z484" s="3"/>
    </row>
    <row r="485" ht="15.75" customHeight="1">
      <c r="C485" s="667"/>
      <c r="D485" s="667"/>
      <c r="E485" s="667"/>
      <c r="F485" s="668"/>
      <c r="G485" s="667"/>
      <c r="H485" s="667"/>
      <c r="I485" s="667"/>
      <c r="J485" s="667"/>
      <c r="K485" s="667"/>
      <c r="L485" s="667"/>
      <c r="M485" s="667"/>
      <c r="N485" s="667"/>
      <c r="O485" s="667"/>
      <c r="P485" s="667"/>
      <c r="Q485" s="667"/>
      <c r="R485" s="667"/>
      <c r="S485" s="826"/>
      <c r="T485" s="3"/>
      <c r="U485" s="3"/>
      <c r="V485" s="3"/>
      <c r="W485" s="3"/>
      <c r="X485" s="3"/>
      <c r="Y485" s="3"/>
      <c r="Z485" s="3"/>
    </row>
    <row r="486" ht="15.75" customHeight="1">
      <c r="C486" s="667"/>
      <c r="D486" s="667"/>
      <c r="E486" s="667"/>
      <c r="F486" s="668"/>
      <c r="G486" s="667"/>
      <c r="H486" s="667"/>
      <c r="I486" s="667"/>
      <c r="J486" s="667"/>
      <c r="K486" s="667"/>
      <c r="L486" s="667"/>
      <c r="M486" s="667"/>
      <c r="N486" s="667"/>
      <c r="O486" s="667"/>
      <c r="P486" s="667"/>
      <c r="Q486" s="667"/>
      <c r="R486" s="667"/>
      <c r="S486" s="826"/>
      <c r="T486" s="3"/>
      <c r="U486" s="3"/>
      <c r="V486" s="3"/>
      <c r="W486" s="3"/>
      <c r="X486" s="3"/>
      <c r="Y486" s="3"/>
      <c r="Z486" s="3"/>
    </row>
    <row r="487" ht="15.75" customHeight="1">
      <c r="C487" s="667"/>
      <c r="D487" s="667"/>
      <c r="E487" s="667"/>
      <c r="F487" s="668"/>
      <c r="G487" s="667"/>
      <c r="H487" s="667"/>
      <c r="I487" s="667"/>
      <c r="J487" s="667"/>
      <c r="K487" s="667"/>
      <c r="L487" s="667"/>
      <c r="M487" s="667"/>
      <c r="N487" s="667"/>
      <c r="O487" s="667"/>
      <c r="P487" s="667"/>
      <c r="Q487" s="667"/>
      <c r="R487" s="667"/>
      <c r="S487" s="826"/>
      <c r="T487" s="3"/>
      <c r="U487" s="3"/>
      <c r="V487" s="3"/>
      <c r="W487" s="3"/>
      <c r="X487" s="3"/>
      <c r="Y487" s="3"/>
      <c r="Z487" s="3"/>
    </row>
    <row r="488" ht="15.75" customHeight="1">
      <c r="C488" s="667"/>
      <c r="D488" s="667"/>
      <c r="E488" s="667"/>
      <c r="F488" s="668"/>
      <c r="G488" s="667"/>
      <c r="H488" s="667"/>
      <c r="I488" s="667"/>
      <c r="J488" s="667"/>
      <c r="K488" s="667"/>
      <c r="L488" s="667"/>
      <c r="M488" s="667"/>
      <c r="N488" s="667"/>
      <c r="O488" s="667"/>
      <c r="P488" s="667"/>
      <c r="Q488" s="667"/>
      <c r="R488" s="667"/>
      <c r="S488" s="826"/>
      <c r="T488" s="3"/>
      <c r="U488" s="3"/>
      <c r="V488" s="3"/>
      <c r="W488" s="3"/>
      <c r="X488" s="3"/>
      <c r="Y488" s="3"/>
      <c r="Z488" s="3"/>
    </row>
    <row r="489" ht="15.75" customHeight="1">
      <c r="C489" s="667"/>
      <c r="D489" s="667"/>
      <c r="E489" s="667"/>
      <c r="F489" s="668"/>
      <c r="G489" s="667"/>
      <c r="H489" s="667"/>
      <c r="I489" s="667"/>
      <c r="J489" s="667"/>
      <c r="K489" s="667"/>
      <c r="L489" s="667"/>
      <c r="M489" s="667"/>
      <c r="N489" s="667"/>
      <c r="O489" s="667"/>
      <c r="P489" s="667"/>
      <c r="Q489" s="667"/>
      <c r="R489" s="667"/>
      <c r="S489" s="826"/>
      <c r="T489" s="3"/>
      <c r="U489" s="3"/>
      <c r="V489" s="3"/>
      <c r="W489" s="3"/>
      <c r="X489" s="3"/>
      <c r="Y489" s="3"/>
      <c r="Z489" s="3"/>
    </row>
    <row r="490" ht="15.75" customHeight="1">
      <c r="C490" s="667"/>
      <c r="D490" s="667"/>
      <c r="E490" s="667"/>
      <c r="F490" s="668"/>
      <c r="G490" s="667"/>
      <c r="H490" s="667"/>
      <c r="I490" s="667"/>
      <c r="J490" s="667"/>
      <c r="K490" s="667"/>
      <c r="L490" s="667"/>
      <c r="M490" s="667"/>
      <c r="N490" s="667"/>
      <c r="O490" s="667"/>
      <c r="P490" s="667"/>
      <c r="Q490" s="667"/>
      <c r="R490" s="667"/>
      <c r="S490" s="826"/>
      <c r="T490" s="3"/>
      <c r="U490" s="3"/>
      <c r="V490" s="3"/>
      <c r="W490" s="3"/>
      <c r="X490" s="3"/>
      <c r="Y490" s="3"/>
      <c r="Z490" s="3"/>
    </row>
    <row r="491" ht="15.75" customHeight="1">
      <c r="C491" s="667"/>
      <c r="D491" s="667"/>
      <c r="E491" s="667"/>
      <c r="F491" s="668"/>
      <c r="G491" s="667"/>
      <c r="H491" s="667"/>
      <c r="I491" s="667"/>
      <c r="J491" s="667"/>
      <c r="K491" s="667"/>
      <c r="L491" s="667"/>
      <c r="M491" s="667"/>
      <c r="N491" s="667"/>
      <c r="O491" s="667"/>
      <c r="P491" s="667"/>
      <c r="Q491" s="667"/>
      <c r="R491" s="667"/>
      <c r="S491" s="826"/>
      <c r="T491" s="3"/>
      <c r="U491" s="3"/>
      <c r="V491" s="3"/>
      <c r="W491" s="3"/>
      <c r="X491" s="3"/>
      <c r="Y491" s="3"/>
      <c r="Z491" s="3"/>
    </row>
    <row r="492" ht="15.75" customHeight="1">
      <c r="C492" s="667"/>
      <c r="D492" s="667"/>
      <c r="E492" s="667"/>
      <c r="F492" s="668"/>
      <c r="G492" s="667"/>
      <c r="H492" s="667"/>
      <c r="I492" s="667"/>
      <c r="J492" s="667"/>
      <c r="K492" s="667"/>
      <c r="L492" s="667"/>
      <c r="M492" s="667"/>
      <c r="N492" s="667"/>
      <c r="O492" s="667"/>
      <c r="P492" s="667"/>
      <c r="Q492" s="667"/>
      <c r="R492" s="667"/>
      <c r="S492" s="826"/>
      <c r="T492" s="3"/>
      <c r="U492" s="3"/>
      <c r="V492" s="3"/>
      <c r="W492" s="3"/>
      <c r="X492" s="3"/>
      <c r="Y492" s="3"/>
      <c r="Z492" s="3"/>
    </row>
    <row r="493" ht="15.75" customHeight="1">
      <c r="C493" s="667"/>
      <c r="D493" s="667"/>
      <c r="E493" s="667"/>
      <c r="F493" s="668"/>
      <c r="G493" s="667"/>
      <c r="H493" s="667"/>
      <c r="I493" s="667"/>
      <c r="J493" s="667"/>
      <c r="K493" s="667"/>
      <c r="L493" s="667"/>
      <c r="M493" s="667"/>
      <c r="N493" s="667"/>
      <c r="O493" s="667"/>
      <c r="P493" s="667"/>
      <c r="Q493" s="667"/>
      <c r="R493" s="667"/>
      <c r="S493" s="826"/>
      <c r="T493" s="3"/>
      <c r="U493" s="3"/>
      <c r="V493" s="3"/>
      <c r="W493" s="3"/>
      <c r="X493" s="3"/>
      <c r="Y493" s="3"/>
      <c r="Z493" s="3"/>
    </row>
    <row r="494" ht="15.75" customHeight="1">
      <c r="C494" s="667"/>
      <c r="D494" s="667"/>
      <c r="E494" s="667"/>
      <c r="F494" s="668"/>
      <c r="G494" s="667"/>
      <c r="H494" s="667"/>
      <c r="I494" s="667"/>
      <c r="J494" s="667"/>
      <c r="K494" s="667"/>
      <c r="L494" s="667"/>
      <c r="M494" s="667"/>
      <c r="N494" s="667"/>
      <c r="O494" s="667"/>
      <c r="P494" s="667"/>
      <c r="Q494" s="667"/>
      <c r="R494" s="667"/>
      <c r="S494" s="826"/>
      <c r="T494" s="3"/>
      <c r="U494" s="3"/>
      <c r="V494" s="3"/>
      <c r="W494" s="3"/>
      <c r="X494" s="3"/>
      <c r="Y494" s="3"/>
      <c r="Z494" s="3"/>
    </row>
    <row r="495" ht="15.75" customHeight="1">
      <c r="C495" s="667"/>
      <c r="D495" s="667"/>
      <c r="E495" s="667"/>
      <c r="F495" s="668"/>
      <c r="G495" s="667"/>
      <c r="H495" s="667"/>
      <c r="I495" s="667"/>
      <c r="J495" s="667"/>
      <c r="K495" s="667"/>
      <c r="L495" s="667"/>
      <c r="M495" s="667"/>
      <c r="N495" s="667"/>
      <c r="O495" s="667"/>
      <c r="P495" s="667"/>
      <c r="Q495" s="667"/>
      <c r="R495" s="667"/>
      <c r="S495" s="826"/>
      <c r="T495" s="3"/>
      <c r="U495" s="3"/>
      <c r="V495" s="3"/>
      <c r="W495" s="3"/>
      <c r="X495" s="3"/>
      <c r="Y495" s="3"/>
      <c r="Z495" s="3"/>
    </row>
    <row r="496" ht="15.75" customHeight="1">
      <c r="C496" s="667"/>
      <c r="D496" s="667"/>
      <c r="E496" s="667"/>
      <c r="F496" s="668"/>
      <c r="G496" s="667"/>
      <c r="H496" s="667"/>
      <c r="I496" s="667"/>
      <c r="J496" s="667"/>
      <c r="K496" s="667"/>
      <c r="L496" s="667"/>
      <c r="M496" s="667"/>
      <c r="N496" s="667"/>
      <c r="O496" s="667"/>
      <c r="P496" s="667"/>
      <c r="Q496" s="667"/>
      <c r="R496" s="667"/>
      <c r="S496" s="826"/>
      <c r="T496" s="3"/>
      <c r="U496" s="3"/>
      <c r="V496" s="3"/>
      <c r="W496" s="3"/>
      <c r="X496" s="3"/>
      <c r="Y496" s="3"/>
      <c r="Z496" s="3"/>
    </row>
    <row r="497" ht="15.75" customHeight="1">
      <c r="C497" s="667"/>
      <c r="D497" s="667"/>
      <c r="E497" s="667"/>
      <c r="F497" s="668"/>
      <c r="G497" s="667"/>
      <c r="H497" s="667"/>
      <c r="I497" s="667"/>
      <c r="J497" s="667"/>
      <c r="K497" s="667"/>
      <c r="L497" s="667"/>
      <c r="M497" s="667"/>
      <c r="N497" s="667"/>
      <c r="O497" s="667"/>
      <c r="P497" s="667"/>
      <c r="Q497" s="667"/>
      <c r="R497" s="667"/>
      <c r="S497" s="826"/>
      <c r="T497" s="3"/>
      <c r="U497" s="3"/>
      <c r="V497" s="3"/>
      <c r="W497" s="3"/>
      <c r="X497" s="3"/>
      <c r="Y497" s="3"/>
      <c r="Z497" s="3"/>
    </row>
    <row r="498" ht="15.75" customHeight="1">
      <c r="C498" s="667"/>
      <c r="D498" s="667"/>
      <c r="E498" s="667"/>
      <c r="F498" s="668"/>
      <c r="G498" s="667"/>
      <c r="H498" s="667"/>
      <c r="I498" s="667"/>
      <c r="J498" s="667"/>
      <c r="K498" s="667"/>
      <c r="L498" s="667"/>
      <c r="M498" s="667"/>
      <c r="N498" s="667"/>
      <c r="O498" s="667"/>
      <c r="P498" s="667"/>
      <c r="Q498" s="667"/>
      <c r="R498" s="667"/>
      <c r="S498" s="826"/>
      <c r="T498" s="3"/>
      <c r="U498" s="3"/>
      <c r="V498" s="3"/>
      <c r="W498" s="3"/>
      <c r="X498" s="3"/>
      <c r="Y498" s="3"/>
      <c r="Z498" s="3"/>
    </row>
    <row r="499" ht="15.75" customHeight="1">
      <c r="C499" s="667"/>
      <c r="D499" s="667"/>
      <c r="E499" s="667"/>
      <c r="F499" s="668"/>
      <c r="G499" s="667"/>
      <c r="H499" s="667"/>
      <c r="I499" s="667"/>
      <c r="J499" s="667"/>
      <c r="K499" s="667"/>
      <c r="L499" s="667"/>
      <c r="M499" s="667"/>
      <c r="N499" s="667"/>
      <c r="O499" s="667"/>
      <c r="P499" s="667"/>
      <c r="Q499" s="667"/>
      <c r="R499" s="667"/>
      <c r="S499" s="826"/>
      <c r="T499" s="3"/>
      <c r="U499" s="3"/>
      <c r="V499" s="3"/>
      <c r="W499" s="3"/>
      <c r="X499" s="3"/>
      <c r="Y499" s="3"/>
      <c r="Z499" s="3"/>
    </row>
    <row r="500" ht="15.75" customHeight="1">
      <c r="C500" s="667"/>
      <c r="D500" s="667"/>
      <c r="E500" s="667"/>
      <c r="F500" s="668"/>
      <c r="G500" s="667"/>
      <c r="H500" s="667"/>
      <c r="I500" s="667"/>
      <c r="J500" s="667"/>
      <c r="K500" s="667"/>
      <c r="L500" s="667"/>
      <c r="M500" s="667"/>
      <c r="N500" s="667"/>
      <c r="O500" s="667"/>
      <c r="P500" s="667"/>
      <c r="Q500" s="667"/>
      <c r="R500" s="667"/>
      <c r="S500" s="826"/>
      <c r="T500" s="3"/>
      <c r="U500" s="3"/>
      <c r="V500" s="3"/>
      <c r="W500" s="3"/>
      <c r="X500" s="3"/>
      <c r="Y500" s="3"/>
      <c r="Z500" s="3"/>
    </row>
    <row r="501" ht="15.75" customHeight="1">
      <c r="C501" s="667"/>
      <c r="D501" s="667"/>
      <c r="E501" s="667"/>
      <c r="F501" s="668"/>
      <c r="G501" s="667"/>
      <c r="H501" s="667"/>
      <c r="I501" s="667"/>
      <c r="J501" s="667"/>
      <c r="K501" s="667"/>
      <c r="L501" s="667"/>
      <c r="M501" s="667"/>
      <c r="N501" s="667"/>
      <c r="O501" s="667"/>
      <c r="P501" s="667"/>
      <c r="Q501" s="667"/>
      <c r="R501" s="667"/>
      <c r="S501" s="826"/>
      <c r="T501" s="3"/>
      <c r="U501" s="3"/>
      <c r="V501" s="3"/>
      <c r="W501" s="3"/>
      <c r="X501" s="3"/>
      <c r="Y501" s="3"/>
      <c r="Z501" s="3"/>
    </row>
    <row r="502" ht="15.75" customHeight="1">
      <c r="C502" s="667"/>
      <c r="D502" s="667"/>
      <c r="E502" s="667"/>
      <c r="F502" s="668"/>
      <c r="G502" s="667"/>
      <c r="H502" s="667"/>
      <c r="I502" s="667"/>
      <c r="J502" s="667"/>
      <c r="K502" s="667"/>
      <c r="L502" s="667"/>
      <c r="M502" s="667"/>
      <c r="N502" s="667"/>
      <c r="O502" s="667"/>
      <c r="P502" s="667"/>
      <c r="Q502" s="667"/>
      <c r="R502" s="667"/>
      <c r="S502" s="826"/>
      <c r="T502" s="3"/>
      <c r="U502" s="3"/>
      <c r="V502" s="3"/>
      <c r="W502" s="3"/>
      <c r="X502" s="3"/>
      <c r="Y502" s="3"/>
      <c r="Z502" s="3"/>
    </row>
    <row r="503" ht="15.75" customHeight="1">
      <c r="C503" s="667"/>
      <c r="D503" s="667"/>
      <c r="E503" s="667"/>
      <c r="F503" s="668"/>
      <c r="G503" s="667"/>
      <c r="H503" s="667"/>
      <c r="I503" s="667"/>
      <c r="J503" s="667"/>
      <c r="K503" s="667"/>
      <c r="L503" s="667"/>
      <c r="M503" s="667"/>
      <c r="N503" s="667"/>
      <c r="O503" s="667"/>
      <c r="P503" s="667"/>
      <c r="Q503" s="667"/>
      <c r="R503" s="667"/>
      <c r="S503" s="826"/>
      <c r="T503" s="3"/>
      <c r="U503" s="3"/>
      <c r="V503" s="3"/>
      <c r="W503" s="3"/>
      <c r="X503" s="3"/>
      <c r="Y503" s="3"/>
      <c r="Z503" s="3"/>
    </row>
    <row r="504" ht="15.75" customHeight="1">
      <c r="C504" s="667"/>
      <c r="D504" s="667"/>
      <c r="E504" s="667"/>
      <c r="F504" s="668"/>
      <c r="G504" s="667"/>
      <c r="H504" s="667"/>
      <c r="I504" s="667"/>
      <c r="J504" s="667"/>
      <c r="K504" s="667"/>
      <c r="L504" s="667"/>
      <c r="M504" s="667"/>
      <c r="N504" s="667"/>
      <c r="O504" s="667"/>
      <c r="P504" s="667"/>
      <c r="Q504" s="667"/>
      <c r="R504" s="667"/>
      <c r="S504" s="826"/>
      <c r="T504" s="3"/>
      <c r="U504" s="3"/>
      <c r="V504" s="3"/>
      <c r="W504" s="3"/>
      <c r="X504" s="3"/>
      <c r="Y504" s="3"/>
      <c r="Z504" s="3"/>
    </row>
    <row r="505" ht="15.75" customHeight="1">
      <c r="C505" s="667"/>
      <c r="D505" s="667"/>
      <c r="E505" s="667"/>
      <c r="F505" s="668"/>
      <c r="G505" s="667"/>
      <c r="H505" s="667"/>
      <c r="I505" s="667"/>
      <c r="J505" s="667"/>
      <c r="K505" s="667"/>
      <c r="L505" s="667"/>
      <c r="M505" s="667"/>
      <c r="N505" s="667"/>
      <c r="O505" s="667"/>
      <c r="P505" s="667"/>
      <c r="Q505" s="667"/>
      <c r="R505" s="667"/>
      <c r="S505" s="826"/>
      <c r="T505" s="3"/>
      <c r="U505" s="3"/>
      <c r="V505" s="3"/>
      <c r="W505" s="3"/>
      <c r="X505" s="3"/>
      <c r="Y505" s="3"/>
      <c r="Z505" s="3"/>
    </row>
    <row r="506" ht="15.75" customHeight="1">
      <c r="C506" s="667"/>
      <c r="D506" s="667"/>
      <c r="E506" s="667"/>
      <c r="F506" s="668"/>
      <c r="G506" s="667"/>
      <c r="H506" s="667"/>
      <c r="I506" s="667"/>
      <c r="J506" s="667"/>
      <c r="K506" s="667"/>
      <c r="L506" s="667"/>
      <c r="M506" s="667"/>
      <c r="N506" s="667"/>
      <c r="O506" s="667"/>
      <c r="P506" s="667"/>
      <c r="Q506" s="667"/>
      <c r="R506" s="667"/>
      <c r="S506" s="826"/>
      <c r="T506" s="3"/>
      <c r="U506" s="3"/>
      <c r="V506" s="3"/>
      <c r="W506" s="3"/>
      <c r="X506" s="3"/>
      <c r="Y506" s="3"/>
      <c r="Z506" s="3"/>
    </row>
    <row r="507" ht="15.75" customHeight="1">
      <c r="C507" s="667"/>
      <c r="D507" s="667"/>
      <c r="E507" s="667"/>
      <c r="F507" s="668"/>
      <c r="G507" s="667"/>
      <c r="H507" s="667"/>
      <c r="I507" s="667"/>
      <c r="J507" s="667"/>
      <c r="K507" s="667"/>
      <c r="L507" s="667"/>
      <c r="M507" s="667"/>
      <c r="N507" s="667"/>
      <c r="O507" s="667"/>
      <c r="P507" s="667"/>
      <c r="Q507" s="667"/>
      <c r="R507" s="667"/>
      <c r="S507" s="826"/>
      <c r="T507" s="3"/>
      <c r="U507" s="3"/>
      <c r="V507" s="3"/>
      <c r="W507" s="3"/>
      <c r="X507" s="3"/>
      <c r="Y507" s="3"/>
      <c r="Z507" s="3"/>
    </row>
    <row r="508" ht="15.75" customHeight="1">
      <c r="C508" s="667"/>
      <c r="D508" s="667"/>
      <c r="E508" s="667"/>
      <c r="F508" s="668"/>
      <c r="G508" s="667"/>
      <c r="H508" s="667"/>
      <c r="I508" s="667"/>
      <c r="J508" s="667"/>
      <c r="K508" s="667"/>
      <c r="L508" s="667"/>
      <c r="M508" s="667"/>
      <c r="N508" s="667"/>
      <c r="O508" s="667"/>
      <c r="P508" s="667"/>
      <c r="Q508" s="667"/>
      <c r="R508" s="667"/>
      <c r="S508" s="826"/>
      <c r="T508" s="3"/>
      <c r="U508" s="3"/>
      <c r="V508" s="3"/>
      <c r="W508" s="3"/>
      <c r="X508" s="3"/>
      <c r="Y508" s="3"/>
      <c r="Z508" s="3"/>
    </row>
    <row r="509" ht="15.75" customHeight="1">
      <c r="C509" s="667"/>
      <c r="D509" s="667"/>
      <c r="E509" s="667"/>
      <c r="F509" s="668"/>
      <c r="G509" s="667"/>
      <c r="H509" s="667"/>
      <c r="I509" s="667"/>
      <c r="J509" s="667"/>
      <c r="K509" s="667"/>
      <c r="L509" s="667"/>
      <c r="M509" s="667"/>
      <c r="N509" s="667"/>
      <c r="O509" s="667"/>
      <c r="P509" s="667"/>
      <c r="Q509" s="667"/>
      <c r="R509" s="667"/>
      <c r="S509" s="826"/>
      <c r="T509" s="3"/>
      <c r="U509" s="3"/>
      <c r="V509" s="3"/>
      <c r="W509" s="3"/>
      <c r="X509" s="3"/>
      <c r="Y509" s="3"/>
      <c r="Z509" s="3"/>
    </row>
    <row r="510" ht="15.75" customHeight="1">
      <c r="C510" s="667"/>
      <c r="D510" s="667"/>
      <c r="E510" s="667"/>
      <c r="F510" s="668"/>
      <c r="G510" s="667"/>
      <c r="H510" s="667"/>
      <c r="I510" s="667"/>
      <c r="J510" s="667"/>
      <c r="K510" s="667"/>
      <c r="L510" s="667"/>
      <c r="M510" s="667"/>
      <c r="N510" s="667"/>
      <c r="O510" s="667"/>
      <c r="P510" s="667"/>
      <c r="Q510" s="667"/>
      <c r="R510" s="667"/>
      <c r="S510" s="826"/>
      <c r="T510" s="3"/>
      <c r="U510" s="3"/>
      <c r="V510" s="3"/>
      <c r="W510" s="3"/>
      <c r="X510" s="3"/>
      <c r="Y510" s="3"/>
      <c r="Z510" s="3"/>
    </row>
    <row r="511" ht="15.75" customHeight="1">
      <c r="C511" s="667"/>
      <c r="D511" s="667"/>
      <c r="E511" s="667"/>
      <c r="F511" s="668"/>
      <c r="G511" s="667"/>
      <c r="H511" s="667"/>
      <c r="I511" s="667"/>
      <c r="J511" s="667"/>
      <c r="K511" s="667"/>
      <c r="L511" s="667"/>
      <c r="M511" s="667"/>
      <c r="N511" s="667"/>
      <c r="O511" s="667"/>
      <c r="P511" s="667"/>
      <c r="Q511" s="667"/>
      <c r="R511" s="667"/>
      <c r="S511" s="826"/>
      <c r="T511" s="3"/>
      <c r="U511" s="3"/>
      <c r="V511" s="3"/>
      <c r="W511" s="3"/>
      <c r="X511" s="3"/>
      <c r="Y511" s="3"/>
      <c r="Z511" s="3"/>
    </row>
    <row r="512" ht="15.75" customHeight="1">
      <c r="C512" s="667"/>
      <c r="D512" s="667"/>
      <c r="E512" s="667"/>
      <c r="F512" s="668"/>
      <c r="G512" s="667"/>
      <c r="H512" s="667"/>
      <c r="I512" s="667"/>
      <c r="J512" s="667"/>
      <c r="K512" s="667"/>
      <c r="L512" s="667"/>
      <c r="M512" s="667"/>
      <c r="N512" s="667"/>
      <c r="O512" s="667"/>
      <c r="P512" s="667"/>
      <c r="Q512" s="667"/>
      <c r="R512" s="667"/>
      <c r="S512" s="826"/>
      <c r="T512" s="3"/>
      <c r="U512" s="3"/>
      <c r="V512" s="3"/>
      <c r="W512" s="3"/>
      <c r="X512" s="3"/>
      <c r="Y512" s="3"/>
      <c r="Z512" s="3"/>
    </row>
    <row r="513" ht="15.75" customHeight="1">
      <c r="C513" s="667"/>
      <c r="D513" s="667"/>
      <c r="E513" s="667"/>
      <c r="F513" s="668"/>
      <c r="G513" s="667"/>
      <c r="H513" s="667"/>
      <c r="I513" s="667"/>
      <c r="J513" s="667"/>
      <c r="K513" s="667"/>
      <c r="L513" s="667"/>
      <c r="M513" s="667"/>
      <c r="N513" s="667"/>
      <c r="O513" s="667"/>
      <c r="P513" s="667"/>
      <c r="Q513" s="667"/>
      <c r="R513" s="667"/>
      <c r="S513" s="826"/>
      <c r="T513" s="3"/>
      <c r="U513" s="3"/>
      <c r="V513" s="3"/>
      <c r="W513" s="3"/>
      <c r="X513" s="3"/>
      <c r="Y513" s="3"/>
      <c r="Z513" s="3"/>
    </row>
    <row r="514" ht="15.75" customHeight="1">
      <c r="C514" s="667"/>
      <c r="D514" s="667"/>
      <c r="E514" s="667"/>
      <c r="F514" s="668"/>
      <c r="G514" s="667"/>
      <c r="H514" s="667"/>
      <c r="I514" s="667"/>
      <c r="J514" s="667"/>
      <c r="K514" s="667"/>
      <c r="L514" s="667"/>
      <c r="M514" s="667"/>
      <c r="N514" s="667"/>
      <c r="O514" s="667"/>
      <c r="P514" s="667"/>
      <c r="Q514" s="667"/>
      <c r="R514" s="667"/>
      <c r="S514" s="826"/>
      <c r="T514" s="3"/>
      <c r="U514" s="3"/>
      <c r="V514" s="3"/>
      <c r="W514" s="3"/>
      <c r="X514" s="3"/>
      <c r="Y514" s="3"/>
      <c r="Z514" s="3"/>
    </row>
    <row r="515" ht="15.75" customHeight="1">
      <c r="C515" s="667"/>
      <c r="D515" s="667"/>
      <c r="E515" s="667"/>
      <c r="F515" s="668"/>
      <c r="G515" s="667"/>
      <c r="H515" s="667"/>
      <c r="I515" s="667"/>
      <c r="J515" s="667"/>
      <c r="K515" s="667"/>
      <c r="L515" s="667"/>
      <c r="M515" s="667"/>
      <c r="N515" s="667"/>
      <c r="O515" s="667"/>
      <c r="P515" s="667"/>
      <c r="Q515" s="667"/>
      <c r="R515" s="667"/>
      <c r="S515" s="826"/>
      <c r="T515" s="3"/>
      <c r="U515" s="3"/>
      <c r="V515" s="3"/>
      <c r="W515" s="3"/>
      <c r="X515" s="3"/>
      <c r="Y515" s="3"/>
      <c r="Z515" s="3"/>
    </row>
    <row r="516" ht="15.75" customHeight="1">
      <c r="C516" s="667"/>
      <c r="D516" s="667"/>
      <c r="E516" s="667"/>
      <c r="F516" s="668"/>
      <c r="G516" s="667"/>
      <c r="H516" s="667"/>
      <c r="I516" s="667"/>
      <c r="J516" s="667"/>
      <c r="K516" s="667"/>
      <c r="L516" s="667"/>
      <c r="M516" s="667"/>
      <c r="N516" s="667"/>
      <c r="O516" s="667"/>
      <c r="P516" s="667"/>
      <c r="Q516" s="667"/>
      <c r="R516" s="667"/>
      <c r="S516" s="826"/>
      <c r="T516" s="3"/>
      <c r="U516" s="3"/>
      <c r="V516" s="3"/>
      <c r="W516" s="3"/>
      <c r="X516" s="3"/>
      <c r="Y516" s="3"/>
      <c r="Z516" s="3"/>
    </row>
    <row r="517" ht="15.75" customHeight="1">
      <c r="C517" s="667"/>
      <c r="D517" s="667"/>
      <c r="E517" s="667"/>
      <c r="F517" s="668"/>
      <c r="G517" s="667"/>
      <c r="H517" s="667"/>
      <c r="I517" s="667"/>
      <c r="J517" s="667"/>
      <c r="K517" s="667"/>
      <c r="L517" s="667"/>
      <c r="M517" s="667"/>
      <c r="N517" s="667"/>
      <c r="O517" s="667"/>
      <c r="P517" s="667"/>
      <c r="Q517" s="667"/>
      <c r="R517" s="667"/>
      <c r="S517" s="826"/>
      <c r="T517" s="3"/>
      <c r="U517" s="3"/>
      <c r="V517" s="3"/>
      <c r="W517" s="3"/>
      <c r="X517" s="3"/>
      <c r="Y517" s="3"/>
      <c r="Z517" s="3"/>
    </row>
    <row r="518" ht="15.75" customHeight="1">
      <c r="C518" s="667"/>
      <c r="D518" s="667"/>
      <c r="E518" s="667"/>
      <c r="F518" s="668"/>
      <c r="G518" s="667"/>
      <c r="H518" s="667"/>
      <c r="I518" s="667"/>
      <c r="J518" s="667"/>
      <c r="K518" s="667"/>
      <c r="L518" s="667"/>
      <c r="M518" s="667"/>
      <c r="N518" s="667"/>
      <c r="O518" s="667"/>
      <c r="P518" s="667"/>
      <c r="Q518" s="667"/>
      <c r="R518" s="667"/>
      <c r="S518" s="826"/>
      <c r="T518" s="3"/>
      <c r="U518" s="3"/>
      <c r="V518" s="3"/>
      <c r="W518" s="3"/>
      <c r="X518" s="3"/>
      <c r="Y518" s="3"/>
      <c r="Z518" s="3"/>
    </row>
    <row r="519" ht="15.75" customHeight="1">
      <c r="C519" s="667"/>
      <c r="D519" s="667"/>
      <c r="E519" s="667"/>
      <c r="F519" s="668"/>
      <c r="G519" s="667"/>
      <c r="H519" s="667"/>
      <c r="I519" s="667"/>
      <c r="J519" s="667"/>
      <c r="K519" s="667"/>
      <c r="L519" s="667"/>
      <c r="M519" s="667"/>
      <c r="N519" s="667"/>
      <c r="O519" s="667"/>
      <c r="P519" s="667"/>
      <c r="Q519" s="667"/>
      <c r="R519" s="667"/>
      <c r="S519" s="826"/>
      <c r="T519" s="3"/>
      <c r="U519" s="3"/>
      <c r="V519" s="3"/>
      <c r="W519" s="3"/>
      <c r="X519" s="3"/>
      <c r="Y519" s="3"/>
      <c r="Z519" s="3"/>
    </row>
    <row r="520" ht="15.75" customHeight="1">
      <c r="C520" s="667"/>
      <c r="D520" s="667"/>
      <c r="E520" s="667"/>
      <c r="F520" s="668"/>
      <c r="G520" s="667"/>
      <c r="H520" s="667"/>
      <c r="I520" s="667"/>
      <c r="J520" s="667"/>
      <c r="K520" s="667"/>
      <c r="L520" s="667"/>
      <c r="M520" s="667"/>
      <c r="N520" s="667"/>
      <c r="O520" s="667"/>
      <c r="P520" s="667"/>
      <c r="Q520" s="667"/>
      <c r="R520" s="667"/>
      <c r="S520" s="826"/>
      <c r="T520" s="3"/>
      <c r="U520" s="3"/>
      <c r="V520" s="3"/>
      <c r="W520" s="3"/>
      <c r="X520" s="3"/>
      <c r="Y520" s="3"/>
      <c r="Z520" s="3"/>
    </row>
    <row r="521" ht="15.75" customHeight="1">
      <c r="C521" s="667"/>
      <c r="D521" s="667"/>
      <c r="E521" s="667"/>
      <c r="F521" s="668"/>
      <c r="G521" s="667"/>
      <c r="H521" s="667"/>
      <c r="I521" s="667"/>
      <c r="J521" s="667"/>
      <c r="K521" s="667"/>
      <c r="L521" s="667"/>
      <c r="M521" s="667"/>
      <c r="N521" s="667"/>
      <c r="O521" s="667"/>
      <c r="P521" s="667"/>
      <c r="Q521" s="667"/>
      <c r="R521" s="667"/>
      <c r="S521" s="826"/>
      <c r="T521" s="3"/>
      <c r="U521" s="3"/>
      <c r="V521" s="3"/>
      <c r="W521" s="3"/>
      <c r="X521" s="3"/>
      <c r="Y521" s="3"/>
      <c r="Z521" s="3"/>
    </row>
    <row r="522" ht="15.75" customHeight="1">
      <c r="C522" s="667"/>
      <c r="D522" s="667"/>
      <c r="E522" s="667"/>
      <c r="F522" s="668"/>
      <c r="G522" s="667"/>
      <c r="H522" s="667"/>
      <c r="I522" s="667"/>
      <c r="J522" s="667"/>
      <c r="K522" s="667"/>
      <c r="L522" s="667"/>
      <c r="M522" s="667"/>
      <c r="N522" s="667"/>
      <c r="O522" s="667"/>
      <c r="P522" s="667"/>
      <c r="Q522" s="667"/>
      <c r="R522" s="667"/>
      <c r="S522" s="826"/>
      <c r="T522" s="3"/>
      <c r="U522" s="3"/>
      <c r="V522" s="3"/>
      <c r="W522" s="3"/>
      <c r="X522" s="3"/>
      <c r="Y522" s="3"/>
      <c r="Z522" s="3"/>
    </row>
    <row r="523" ht="15.75" customHeight="1">
      <c r="C523" s="667"/>
      <c r="D523" s="667"/>
      <c r="E523" s="667"/>
      <c r="F523" s="668"/>
      <c r="G523" s="667"/>
      <c r="H523" s="667"/>
      <c r="I523" s="667"/>
      <c r="J523" s="667"/>
      <c r="K523" s="667"/>
      <c r="L523" s="667"/>
      <c r="M523" s="667"/>
      <c r="N523" s="667"/>
      <c r="O523" s="667"/>
      <c r="P523" s="667"/>
      <c r="Q523" s="667"/>
      <c r="R523" s="667"/>
      <c r="S523" s="826"/>
      <c r="T523" s="3"/>
      <c r="U523" s="3"/>
      <c r="V523" s="3"/>
      <c r="W523" s="3"/>
      <c r="X523" s="3"/>
      <c r="Y523" s="3"/>
      <c r="Z523" s="3"/>
    </row>
    <row r="524" ht="15.75" customHeight="1">
      <c r="C524" s="667"/>
      <c r="D524" s="667"/>
      <c r="E524" s="667"/>
      <c r="F524" s="668"/>
      <c r="G524" s="667"/>
      <c r="H524" s="667"/>
      <c r="I524" s="667"/>
      <c r="J524" s="667"/>
      <c r="K524" s="667"/>
      <c r="L524" s="667"/>
      <c r="M524" s="667"/>
      <c r="N524" s="667"/>
      <c r="O524" s="667"/>
      <c r="P524" s="667"/>
      <c r="Q524" s="667"/>
      <c r="R524" s="667"/>
      <c r="S524" s="826"/>
      <c r="T524" s="3"/>
      <c r="U524" s="3"/>
      <c r="V524" s="3"/>
      <c r="W524" s="3"/>
      <c r="X524" s="3"/>
      <c r="Y524" s="3"/>
      <c r="Z524" s="3"/>
    </row>
    <row r="525" ht="15.75" customHeight="1">
      <c r="C525" s="667"/>
      <c r="D525" s="667"/>
      <c r="E525" s="667"/>
      <c r="F525" s="668"/>
      <c r="G525" s="667"/>
      <c r="H525" s="667"/>
      <c r="I525" s="667"/>
      <c r="J525" s="667"/>
      <c r="K525" s="667"/>
      <c r="L525" s="667"/>
      <c r="M525" s="667"/>
      <c r="N525" s="667"/>
      <c r="O525" s="667"/>
      <c r="P525" s="667"/>
      <c r="Q525" s="667"/>
      <c r="R525" s="667"/>
      <c r="S525" s="826"/>
      <c r="T525" s="3"/>
      <c r="U525" s="3"/>
      <c r="V525" s="3"/>
      <c r="W525" s="3"/>
      <c r="X525" s="3"/>
      <c r="Y525" s="3"/>
      <c r="Z525" s="3"/>
    </row>
    <row r="526" ht="15.75" customHeight="1">
      <c r="C526" s="667"/>
      <c r="D526" s="667"/>
      <c r="E526" s="667"/>
      <c r="F526" s="668"/>
      <c r="G526" s="667"/>
      <c r="H526" s="667"/>
      <c r="I526" s="667"/>
      <c r="J526" s="667"/>
      <c r="K526" s="667"/>
      <c r="L526" s="667"/>
      <c r="M526" s="667"/>
      <c r="N526" s="667"/>
      <c r="O526" s="667"/>
      <c r="P526" s="667"/>
      <c r="Q526" s="667"/>
      <c r="R526" s="667"/>
      <c r="S526" s="826"/>
      <c r="T526" s="3"/>
      <c r="U526" s="3"/>
      <c r="V526" s="3"/>
      <c r="W526" s="3"/>
      <c r="X526" s="3"/>
      <c r="Y526" s="3"/>
      <c r="Z526" s="3"/>
    </row>
    <row r="527" ht="15.75" customHeight="1">
      <c r="C527" s="667"/>
      <c r="D527" s="667"/>
      <c r="E527" s="667"/>
      <c r="F527" s="668"/>
      <c r="G527" s="667"/>
      <c r="H527" s="667"/>
      <c r="I527" s="667"/>
      <c r="J527" s="667"/>
      <c r="K527" s="667"/>
      <c r="L527" s="667"/>
      <c r="M527" s="667"/>
      <c r="N527" s="667"/>
      <c r="O527" s="667"/>
      <c r="P527" s="667"/>
      <c r="Q527" s="667"/>
      <c r="R527" s="667"/>
      <c r="S527" s="826"/>
      <c r="T527" s="3"/>
      <c r="U527" s="3"/>
      <c r="V527" s="3"/>
      <c r="W527" s="3"/>
      <c r="X527" s="3"/>
      <c r="Y527" s="3"/>
      <c r="Z527" s="3"/>
    </row>
    <row r="528" ht="15.75" customHeight="1">
      <c r="C528" s="667"/>
      <c r="D528" s="667"/>
      <c r="E528" s="667"/>
      <c r="F528" s="668"/>
      <c r="G528" s="667"/>
      <c r="H528" s="667"/>
      <c r="I528" s="667"/>
      <c r="J528" s="667"/>
      <c r="K528" s="667"/>
      <c r="L528" s="667"/>
      <c r="M528" s="667"/>
      <c r="N528" s="667"/>
      <c r="O528" s="667"/>
      <c r="P528" s="667"/>
      <c r="Q528" s="667"/>
      <c r="R528" s="667"/>
      <c r="S528" s="826"/>
      <c r="T528" s="3"/>
      <c r="U528" s="3"/>
      <c r="V528" s="3"/>
      <c r="W528" s="3"/>
      <c r="X528" s="3"/>
      <c r="Y528" s="3"/>
      <c r="Z528" s="3"/>
    </row>
    <row r="529" ht="15.75" customHeight="1">
      <c r="C529" s="667"/>
      <c r="D529" s="667"/>
      <c r="E529" s="667"/>
      <c r="F529" s="668"/>
      <c r="G529" s="667"/>
      <c r="H529" s="667"/>
      <c r="I529" s="667"/>
      <c r="J529" s="667"/>
      <c r="K529" s="667"/>
      <c r="L529" s="667"/>
      <c r="M529" s="667"/>
      <c r="N529" s="667"/>
      <c r="O529" s="667"/>
      <c r="P529" s="667"/>
      <c r="Q529" s="667"/>
      <c r="R529" s="667"/>
      <c r="S529" s="826"/>
      <c r="T529" s="3"/>
      <c r="U529" s="3"/>
      <c r="V529" s="3"/>
      <c r="W529" s="3"/>
      <c r="X529" s="3"/>
      <c r="Y529" s="3"/>
      <c r="Z529" s="3"/>
    </row>
    <row r="530" ht="15.75" customHeight="1">
      <c r="C530" s="667"/>
      <c r="D530" s="667"/>
      <c r="E530" s="667"/>
      <c r="F530" s="668"/>
      <c r="G530" s="667"/>
      <c r="H530" s="667"/>
      <c r="I530" s="667"/>
      <c r="J530" s="667"/>
      <c r="K530" s="667"/>
      <c r="L530" s="667"/>
      <c r="M530" s="667"/>
      <c r="N530" s="667"/>
      <c r="O530" s="667"/>
      <c r="P530" s="667"/>
      <c r="Q530" s="667"/>
      <c r="R530" s="667"/>
      <c r="S530" s="826"/>
      <c r="T530" s="3"/>
      <c r="U530" s="3"/>
      <c r="V530" s="3"/>
      <c r="W530" s="3"/>
      <c r="X530" s="3"/>
      <c r="Y530" s="3"/>
      <c r="Z530" s="3"/>
    </row>
    <row r="531" ht="15.75" customHeight="1">
      <c r="C531" s="667"/>
      <c r="D531" s="667"/>
      <c r="E531" s="667"/>
      <c r="F531" s="668"/>
      <c r="G531" s="667"/>
      <c r="H531" s="667"/>
      <c r="I531" s="667"/>
      <c r="J531" s="667"/>
      <c r="K531" s="667"/>
      <c r="L531" s="667"/>
      <c r="M531" s="667"/>
      <c r="N531" s="667"/>
      <c r="O531" s="667"/>
      <c r="P531" s="667"/>
      <c r="Q531" s="667"/>
      <c r="R531" s="667"/>
      <c r="S531" s="826"/>
      <c r="T531" s="3"/>
      <c r="U531" s="3"/>
      <c r="V531" s="3"/>
      <c r="W531" s="3"/>
      <c r="X531" s="3"/>
      <c r="Y531" s="3"/>
      <c r="Z531" s="3"/>
    </row>
    <row r="532" ht="15.75" customHeight="1">
      <c r="C532" s="667"/>
      <c r="D532" s="667"/>
      <c r="E532" s="667"/>
      <c r="F532" s="668"/>
      <c r="G532" s="667"/>
      <c r="H532" s="667"/>
      <c r="I532" s="667"/>
      <c r="J532" s="667"/>
      <c r="K532" s="667"/>
      <c r="L532" s="667"/>
      <c r="M532" s="667"/>
      <c r="N532" s="667"/>
      <c r="O532" s="667"/>
      <c r="P532" s="667"/>
      <c r="Q532" s="667"/>
      <c r="R532" s="667"/>
      <c r="S532" s="826"/>
      <c r="T532" s="3"/>
      <c r="U532" s="3"/>
      <c r="V532" s="3"/>
      <c r="W532" s="3"/>
      <c r="X532" s="3"/>
      <c r="Y532" s="3"/>
      <c r="Z532" s="3"/>
    </row>
    <row r="533" ht="15.75" customHeight="1">
      <c r="C533" s="667"/>
      <c r="D533" s="667"/>
      <c r="E533" s="667"/>
      <c r="F533" s="668"/>
      <c r="G533" s="667"/>
      <c r="H533" s="667"/>
      <c r="I533" s="667"/>
      <c r="J533" s="667"/>
      <c r="K533" s="667"/>
      <c r="L533" s="667"/>
      <c r="M533" s="667"/>
      <c r="N533" s="667"/>
      <c r="O533" s="667"/>
      <c r="P533" s="667"/>
      <c r="Q533" s="667"/>
      <c r="R533" s="667"/>
      <c r="S533" s="826"/>
      <c r="T533" s="3"/>
      <c r="U533" s="3"/>
      <c r="V533" s="3"/>
      <c r="W533" s="3"/>
      <c r="X533" s="3"/>
      <c r="Y533" s="3"/>
      <c r="Z533" s="3"/>
    </row>
    <row r="534" ht="15.75" customHeight="1">
      <c r="C534" s="667"/>
      <c r="D534" s="667"/>
      <c r="E534" s="667"/>
      <c r="F534" s="668"/>
      <c r="G534" s="667"/>
      <c r="H534" s="667"/>
      <c r="I534" s="667"/>
      <c r="J534" s="667"/>
      <c r="K534" s="667"/>
      <c r="L534" s="667"/>
      <c r="M534" s="667"/>
      <c r="N534" s="667"/>
      <c r="O534" s="667"/>
      <c r="P534" s="667"/>
      <c r="Q534" s="667"/>
      <c r="R534" s="667"/>
      <c r="S534" s="826"/>
      <c r="T534" s="3"/>
      <c r="U534" s="3"/>
      <c r="V534" s="3"/>
      <c r="W534" s="3"/>
      <c r="X534" s="3"/>
      <c r="Y534" s="3"/>
      <c r="Z534" s="3"/>
    </row>
    <row r="535" ht="15.75" customHeight="1">
      <c r="C535" s="667"/>
      <c r="D535" s="667"/>
      <c r="E535" s="667"/>
      <c r="F535" s="668"/>
      <c r="G535" s="667"/>
      <c r="H535" s="667"/>
      <c r="I535" s="667"/>
      <c r="J535" s="667"/>
      <c r="K535" s="667"/>
      <c r="L535" s="667"/>
      <c r="M535" s="667"/>
      <c r="N535" s="667"/>
      <c r="O535" s="667"/>
      <c r="P535" s="667"/>
      <c r="Q535" s="667"/>
      <c r="R535" s="667"/>
      <c r="S535" s="826"/>
      <c r="T535" s="3"/>
      <c r="U535" s="3"/>
      <c r="V535" s="3"/>
      <c r="W535" s="3"/>
      <c r="X535" s="3"/>
      <c r="Y535" s="3"/>
      <c r="Z535" s="3"/>
    </row>
    <row r="536" ht="15.75" customHeight="1">
      <c r="C536" s="667"/>
      <c r="D536" s="667"/>
      <c r="E536" s="667"/>
      <c r="F536" s="668"/>
      <c r="G536" s="667"/>
      <c r="H536" s="667"/>
      <c r="I536" s="667"/>
      <c r="J536" s="667"/>
      <c r="K536" s="667"/>
      <c r="L536" s="667"/>
      <c r="M536" s="667"/>
      <c r="N536" s="667"/>
      <c r="O536" s="667"/>
      <c r="P536" s="667"/>
      <c r="Q536" s="667"/>
      <c r="R536" s="667"/>
      <c r="S536" s="826"/>
      <c r="T536" s="3"/>
      <c r="U536" s="3"/>
      <c r="V536" s="3"/>
      <c r="W536" s="3"/>
      <c r="X536" s="3"/>
      <c r="Y536" s="3"/>
      <c r="Z536" s="3"/>
    </row>
    <row r="537" ht="15.75" customHeight="1">
      <c r="C537" s="667"/>
      <c r="D537" s="667"/>
      <c r="E537" s="667"/>
      <c r="F537" s="668"/>
      <c r="G537" s="667"/>
      <c r="H537" s="667"/>
      <c r="I537" s="667"/>
      <c r="J537" s="667"/>
      <c r="K537" s="667"/>
      <c r="L537" s="667"/>
      <c r="M537" s="667"/>
      <c r="N537" s="667"/>
      <c r="O537" s="667"/>
      <c r="P537" s="667"/>
      <c r="Q537" s="667"/>
      <c r="R537" s="667"/>
      <c r="S537" s="826"/>
      <c r="T537" s="3"/>
      <c r="U537" s="3"/>
      <c r="V537" s="3"/>
      <c r="W537" s="3"/>
      <c r="X537" s="3"/>
      <c r="Y537" s="3"/>
      <c r="Z537" s="3"/>
    </row>
    <row r="538" ht="15.75" customHeight="1">
      <c r="C538" s="667"/>
      <c r="D538" s="667"/>
      <c r="E538" s="667"/>
      <c r="F538" s="668"/>
      <c r="G538" s="667"/>
      <c r="H538" s="667"/>
      <c r="I538" s="667"/>
      <c r="J538" s="667"/>
      <c r="K538" s="667"/>
      <c r="L538" s="667"/>
      <c r="M538" s="667"/>
      <c r="N538" s="667"/>
      <c r="O538" s="667"/>
      <c r="P538" s="667"/>
      <c r="Q538" s="667"/>
      <c r="R538" s="667"/>
      <c r="S538" s="826"/>
      <c r="T538" s="3"/>
      <c r="U538" s="3"/>
      <c r="V538" s="3"/>
      <c r="W538" s="3"/>
      <c r="X538" s="3"/>
      <c r="Y538" s="3"/>
      <c r="Z538" s="3"/>
    </row>
    <row r="539" ht="15.75" customHeight="1">
      <c r="C539" s="667"/>
      <c r="D539" s="667"/>
      <c r="E539" s="667"/>
      <c r="F539" s="668"/>
      <c r="G539" s="667"/>
      <c r="H539" s="667"/>
      <c r="I539" s="667"/>
      <c r="J539" s="667"/>
      <c r="K539" s="667"/>
      <c r="L539" s="667"/>
      <c r="M539" s="667"/>
      <c r="N539" s="667"/>
      <c r="O539" s="667"/>
      <c r="P539" s="667"/>
      <c r="Q539" s="667"/>
      <c r="R539" s="667"/>
      <c r="S539" s="826"/>
      <c r="T539" s="3"/>
      <c r="U539" s="3"/>
      <c r="V539" s="3"/>
      <c r="W539" s="3"/>
      <c r="X539" s="3"/>
      <c r="Y539" s="3"/>
      <c r="Z539" s="3"/>
    </row>
    <row r="540" ht="15.75" customHeight="1">
      <c r="C540" s="667"/>
      <c r="D540" s="667"/>
      <c r="E540" s="667"/>
      <c r="F540" s="668"/>
      <c r="G540" s="667"/>
      <c r="H540" s="667"/>
      <c r="I540" s="667"/>
      <c r="J540" s="667"/>
      <c r="K540" s="667"/>
      <c r="L540" s="667"/>
      <c r="M540" s="667"/>
      <c r="N540" s="667"/>
      <c r="O540" s="667"/>
      <c r="P540" s="667"/>
      <c r="Q540" s="667"/>
      <c r="R540" s="667"/>
      <c r="S540" s="826"/>
      <c r="T540" s="3"/>
      <c r="U540" s="3"/>
      <c r="V540" s="3"/>
      <c r="W540" s="3"/>
      <c r="X540" s="3"/>
      <c r="Y540" s="3"/>
      <c r="Z540" s="3"/>
    </row>
    <row r="541" ht="15.75" customHeight="1">
      <c r="C541" s="667"/>
      <c r="D541" s="667"/>
      <c r="E541" s="667"/>
      <c r="F541" s="668"/>
      <c r="G541" s="667"/>
      <c r="H541" s="667"/>
      <c r="I541" s="667"/>
      <c r="J541" s="667"/>
      <c r="K541" s="667"/>
      <c r="L541" s="667"/>
      <c r="M541" s="667"/>
      <c r="N541" s="667"/>
      <c r="O541" s="667"/>
      <c r="P541" s="667"/>
      <c r="Q541" s="667"/>
      <c r="R541" s="667"/>
      <c r="S541" s="826"/>
      <c r="T541" s="3"/>
      <c r="U541" s="3"/>
      <c r="V541" s="3"/>
      <c r="W541" s="3"/>
      <c r="X541" s="3"/>
      <c r="Y541" s="3"/>
      <c r="Z541" s="3"/>
    </row>
    <row r="542" ht="15.75" customHeight="1">
      <c r="C542" s="667"/>
      <c r="D542" s="667"/>
      <c r="E542" s="667"/>
      <c r="F542" s="668"/>
      <c r="G542" s="667"/>
      <c r="H542" s="667"/>
      <c r="I542" s="667"/>
      <c r="J542" s="667"/>
      <c r="K542" s="667"/>
      <c r="L542" s="667"/>
      <c r="M542" s="667"/>
      <c r="N542" s="667"/>
      <c r="O542" s="667"/>
      <c r="P542" s="667"/>
      <c r="Q542" s="667"/>
      <c r="R542" s="667"/>
      <c r="S542" s="826"/>
      <c r="T542" s="3"/>
      <c r="U542" s="3"/>
      <c r="V542" s="3"/>
      <c r="W542" s="3"/>
      <c r="X542" s="3"/>
      <c r="Y542" s="3"/>
      <c r="Z542" s="3"/>
    </row>
    <row r="543" ht="15.75" customHeight="1">
      <c r="C543" s="667"/>
      <c r="D543" s="667"/>
      <c r="E543" s="667"/>
      <c r="F543" s="668"/>
      <c r="G543" s="667"/>
      <c r="H543" s="667"/>
      <c r="I543" s="667"/>
      <c r="J543" s="667"/>
      <c r="K543" s="667"/>
      <c r="L543" s="667"/>
      <c r="M543" s="667"/>
      <c r="N543" s="667"/>
      <c r="O543" s="667"/>
      <c r="P543" s="667"/>
      <c r="Q543" s="667"/>
      <c r="R543" s="667"/>
      <c r="S543" s="826"/>
      <c r="T543" s="3"/>
      <c r="U543" s="3"/>
      <c r="V543" s="3"/>
      <c r="W543" s="3"/>
      <c r="X543" s="3"/>
      <c r="Y543" s="3"/>
      <c r="Z543" s="3"/>
    </row>
    <row r="544" ht="15.75" customHeight="1">
      <c r="C544" s="667"/>
      <c r="D544" s="667"/>
      <c r="E544" s="667"/>
      <c r="F544" s="668"/>
      <c r="G544" s="667"/>
      <c r="H544" s="667"/>
      <c r="I544" s="667"/>
      <c r="J544" s="667"/>
      <c r="K544" s="667"/>
      <c r="L544" s="667"/>
      <c r="M544" s="667"/>
      <c r="N544" s="667"/>
      <c r="O544" s="667"/>
      <c r="P544" s="667"/>
      <c r="Q544" s="667"/>
      <c r="R544" s="667"/>
      <c r="S544" s="826"/>
      <c r="T544" s="3"/>
      <c r="U544" s="3"/>
      <c r="V544" s="3"/>
      <c r="W544" s="3"/>
      <c r="X544" s="3"/>
      <c r="Y544" s="3"/>
      <c r="Z544" s="3"/>
    </row>
    <row r="545" ht="15.75" customHeight="1">
      <c r="C545" s="667"/>
      <c r="D545" s="667"/>
      <c r="E545" s="667"/>
      <c r="F545" s="668"/>
      <c r="G545" s="667"/>
      <c r="H545" s="667"/>
      <c r="I545" s="667"/>
      <c r="J545" s="667"/>
      <c r="K545" s="667"/>
      <c r="L545" s="667"/>
      <c r="M545" s="667"/>
      <c r="N545" s="667"/>
      <c r="O545" s="667"/>
      <c r="P545" s="667"/>
      <c r="Q545" s="667"/>
      <c r="R545" s="667"/>
      <c r="S545" s="826"/>
      <c r="T545" s="3"/>
      <c r="U545" s="3"/>
      <c r="V545" s="3"/>
      <c r="W545" s="3"/>
      <c r="X545" s="3"/>
      <c r="Y545" s="3"/>
      <c r="Z545" s="3"/>
    </row>
    <row r="546" ht="15.75" customHeight="1">
      <c r="C546" s="667"/>
      <c r="D546" s="667"/>
      <c r="E546" s="667"/>
      <c r="F546" s="668"/>
      <c r="G546" s="667"/>
      <c r="H546" s="667"/>
      <c r="I546" s="667"/>
      <c r="J546" s="667"/>
      <c r="K546" s="667"/>
      <c r="L546" s="667"/>
      <c r="M546" s="667"/>
      <c r="N546" s="667"/>
      <c r="O546" s="667"/>
      <c r="P546" s="667"/>
      <c r="Q546" s="667"/>
      <c r="R546" s="667"/>
      <c r="S546" s="826"/>
      <c r="T546" s="3"/>
      <c r="U546" s="3"/>
      <c r="V546" s="3"/>
      <c r="W546" s="3"/>
      <c r="X546" s="3"/>
      <c r="Y546" s="3"/>
      <c r="Z546" s="3"/>
    </row>
    <row r="547" ht="15.75" customHeight="1">
      <c r="C547" s="667"/>
      <c r="D547" s="667"/>
      <c r="E547" s="667"/>
      <c r="F547" s="668"/>
      <c r="G547" s="667"/>
      <c r="H547" s="667"/>
      <c r="I547" s="667"/>
      <c r="J547" s="667"/>
      <c r="K547" s="667"/>
      <c r="L547" s="667"/>
      <c r="M547" s="667"/>
      <c r="N547" s="667"/>
      <c r="O547" s="667"/>
      <c r="P547" s="667"/>
      <c r="Q547" s="667"/>
      <c r="R547" s="667"/>
      <c r="S547" s="826"/>
      <c r="T547" s="3"/>
      <c r="U547" s="3"/>
      <c r="V547" s="3"/>
      <c r="W547" s="3"/>
      <c r="X547" s="3"/>
      <c r="Y547" s="3"/>
      <c r="Z547" s="3"/>
    </row>
    <row r="548" ht="15.75" customHeight="1">
      <c r="C548" s="667"/>
      <c r="D548" s="667"/>
      <c r="E548" s="667"/>
      <c r="F548" s="668"/>
      <c r="G548" s="667"/>
      <c r="H548" s="667"/>
      <c r="I548" s="667"/>
      <c r="J548" s="667"/>
      <c r="K548" s="667"/>
      <c r="L548" s="667"/>
      <c r="M548" s="667"/>
      <c r="N548" s="667"/>
      <c r="O548" s="667"/>
      <c r="P548" s="667"/>
      <c r="Q548" s="667"/>
      <c r="R548" s="667"/>
      <c r="S548" s="826"/>
      <c r="T548" s="3"/>
      <c r="U548" s="3"/>
      <c r="V548" s="3"/>
      <c r="W548" s="3"/>
      <c r="X548" s="3"/>
      <c r="Y548" s="3"/>
      <c r="Z548" s="3"/>
    </row>
    <row r="549" ht="15.75" customHeight="1">
      <c r="C549" s="667"/>
      <c r="D549" s="667"/>
      <c r="E549" s="667"/>
      <c r="F549" s="668"/>
      <c r="G549" s="667"/>
      <c r="H549" s="667"/>
      <c r="I549" s="667"/>
      <c r="J549" s="667"/>
      <c r="K549" s="667"/>
      <c r="L549" s="667"/>
      <c r="M549" s="667"/>
      <c r="N549" s="667"/>
      <c r="O549" s="667"/>
      <c r="P549" s="667"/>
      <c r="Q549" s="667"/>
      <c r="R549" s="667"/>
      <c r="S549" s="826"/>
      <c r="T549" s="3"/>
      <c r="U549" s="3"/>
      <c r="V549" s="3"/>
      <c r="W549" s="3"/>
      <c r="X549" s="3"/>
      <c r="Y549" s="3"/>
      <c r="Z549" s="3"/>
    </row>
    <row r="550" ht="15.75" customHeight="1">
      <c r="C550" s="667"/>
      <c r="D550" s="667"/>
      <c r="E550" s="667"/>
      <c r="F550" s="668"/>
      <c r="G550" s="667"/>
      <c r="H550" s="667"/>
      <c r="I550" s="667"/>
      <c r="J550" s="667"/>
      <c r="K550" s="667"/>
      <c r="L550" s="667"/>
      <c r="M550" s="667"/>
      <c r="N550" s="667"/>
      <c r="O550" s="667"/>
      <c r="P550" s="667"/>
      <c r="Q550" s="667"/>
      <c r="R550" s="667"/>
      <c r="S550" s="826"/>
      <c r="T550" s="3"/>
      <c r="U550" s="3"/>
      <c r="V550" s="3"/>
      <c r="W550" s="3"/>
      <c r="X550" s="3"/>
      <c r="Y550" s="3"/>
      <c r="Z550" s="3"/>
    </row>
    <row r="551" ht="15.75" customHeight="1">
      <c r="C551" s="667"/>
      <c r="D551" s="667"/>
      <c r="E551" s="667"/>
      <c r="F551" s="668"/>
      <c r="G551" s="667"/>
      <c r="H551" s="667"/>
      <c r="I551" s="667"/>
      <c r="J551" s="667"/>
      <c r="K551" s="667"/>
      <c r="L551" s="667"/>
      <c r="M551" s="667"/>
      <c r="N551" s="667"/>
      <c r="O551" s="667"/>
      <c r="P551" s="667"/>
      <c r="Q551" s="667"/>
      <c r="R551" s="667"/>
      <c r="S551" s="826"/>
      <c r="T551" s="3"/>
      <c r="U551" s="3"/>
      <c r="V551" s="3"/>
      <c r="W551" s="3"/>
      <c r="X551" s="3"/>
      <c r="Y551" s="3"/>
      <c r="Z551" s="3"/>
    </row>
    <row r="552" ht="15.75" customHeight="1">
      <c r="C552" s="667"/>
      <c r="D552" s="667"/>
      <c r="E552" s="667"/>
      <c r="F552" s="668"/>
      <c r="G552" s="667"/>
      <c r="H552" s="667"/>
      <c r="I552" s="667"/>
      <c r="J552" s="667"/>
      <c r="K552" s="667"/>
      <c r="L552" s="667"/>
      <c r="M552" s="667"/>
      <c r="N552" s="667"/>
      <c r="O552" s="667"/>
      <c r="P552" s="667"/>
      <c r="Q552" s="667"/>
      <c r="R552" s="667"/>
      <c r="S552" s="826"/>
      <c r="T552" s="3"/>
      <c r="U552" s="3"/>
      <c r="V552" s="3"/>
      <c r="W552" s="3"/>
      <c r="X552" s="3"/>
      <c r="Y552" s="3"/>
      <c r="Z552" s="3"/>
    </row>
    <row r="553" ht="15.75" customHeight="1">
      <c r="C553" s="667"/>
      <c r="D553" s="667"/>
      <c r="E553" s="667"/>
      <c r="F553" s="668"/>
      <c r="G553" s="667"/>
      <c r="H553" s="667"/>
      <c r="I553" s="667"/>
      <c r="J553" s="667"/>
      <c r="K553" s="667"/>
      <c r="L553" s="667"/>
      <c r="M553" s="667"/>
      <c r="N553" s="667"/>
      <c r="O553" s="667"/>
      <c r="P553" s="667"/>
      <c r="Q553" s="667"/>
      <c r="R553" s="667"/>
      <c r="S553" s="826"/>
      <c r="T553" s="3"/>
      <c r="U553" s="3"/>
      <c r="V553" s="3"/>
      <c r="W553" s="3"/>
      <c r="X553" s="3"/>
      <c r="Y553" s="3"/>
      <c r="Z553" s="3"/>
    </row>
    <row r="554" ht="15.75" customHeight="1">
      <c r="C554" s="667"/>
      <c r="D554" s="667"/>
      <c r="E554" s="667"/>
      <c r="F554" s="668"/>
      <c r="G554" s="667"/>
      <c r="H554" s="667"/>
      <c r="I554" s="667"/>
      <c r="J554" s="667"/>
      <c r="K554" s="667"/>
      <c r="L554" s="667"/>
      <c r="M554" s="667"/>
      <c r="N554" s="667"/>
      <c r="O554" s="667"/>
      <c r="P554" s="667"/>
      <c r="Q554" s="667"/>
      <c r="R554" s="667"/>
      <c r="S554" s="826"/>
      <c r="T554" s="3"/>
      <c r="U554" s="3"/>
      <c r="V554" s="3"/>
      <c r="W554" s="3"/>
      <c r="X554" s="3"/>
      <c r="Y554" s="3"/>
      <c r="Z554" s="3"/>
    </row>
    <row r="555" ht="15.75" customHeight="1">
      <c r="C555" s="667"/>
      <c r="D555" s="667"/>
      <c r="E555" s="667"/>
      <c r="F555" s="668"/>
      <c r="G555" s="667"/>
      <c r="H555" s="667"/>
      <c r="I555" s="667"/>
      <c r="J555" s="667"/>
      <c r="K555" s="667"/>
      <c r="L555" s="667"/>
      <c r="M555" s="667"/>
      <c r="N555" s="667"/>
      <c r="O555" s="667"/>
      <c r="P555" s="667"/>
      <c r="Q555" s="667"/>
      <c r="R555" s="667"/>
      <c r="S555" s="826"/>
      <c r="T555" s="3"/>
      <c r="U555" s="3"/>
      <c r="V555" s="3"/>
      <c r="W555" s="3"/>
      <c r="X555" s="3"/>
      <c r="Y555" s="3"/>
      <c r="Z555" s="3"/>
    </row>
    <row r="556" ht="15.75" customHeight="1">
      <c r="C556" s="667"/>
      <c r="D556" s="667"/>
      <c r="E556" s="667"/>
      <c r="F556" s="668"/>
      <c r="G556" s="667"/>
      <c r="H556" s="667"/>
      <c r="I556" s="667"/>
      <c r="J556" s="667"/>
      <c r="K556" s="667"/>
      <c r="L556" s="667"/>
      <c r="M556" s="667"/>
      <c r="N556" s="667"/>
      <c r="O556" s="667"/>
      <c r="P556" s="667"/>
      <c r="Q556" s="667"/>
      <c r="R556" s="667"/>
      <c r="S556" s="826"/>
      <c r="T556" s="3"/>
      <c r="U556" s="3"/>
      <c r="V556" s="3"/>
      <c r="W556" s="3"/>
      <c r="X556" s="3"/>
      <c r="Y556" s="3"/>
      <c r="Z556" s="3"/>
    </row>
    <row r="557" ht="15.75" customHeight="1">
      <c r="C557" s="667"/>
      <c r="D557" s="667"/>
      <c r="E557" s="667"/>
      <c r="F557" s="668"/>
      <c r="G557" s="667"/>
      <c r="H557" s="667"/>
      <c r="I557" s="667"/>
      <c r="J557" s="667"/>
      <c r="K557" s="667"/>
      <c r="L557" s="667"/>
      <c r="M557" s="667"/>
      <c r="N557" s="667"/>
      <c r="O557" s="667"/>
      <c r="P557" s="667"/>
      <c r="Q557" s="667"/>
      <c r="R557" s="667"/>
      <c r="S557" s="826"/>
      <c r="T557" s="3"/>
      <c r="U557" s="3"/>
      <c r="V557" s="3"/>
      <c r="W557" s="3"/>
      <c r="X557" s="3"/>
      <c r="Y557" s="3"/>
      <c r="Z557" s="3"/>
    </row>
    <row r="558" ht="15.75" customHeight="1">
      <c r="C558" s="667"/>
      <c r="D558" s="667"/>
      <c r="E558" s="667"/>
      <c r="F558" s="668"/>
      <c r="G558" s="667"/>
      <c r="H558" s="667"/>
      <c r="I558" s="667"/>
      <c r="J558" s="667"/>
      <c r="K558" s="667"/>
      <c r="L558" s="667"/>
      <c r="M558" s="667"/>
      <c r="N558" s="667"/>
      <c r="O558" s="667"/>
      <c r="P558" s="667"/>
      <c r="Q558" s="667"/>
      <c r="R558" s="667"/>
      <c r="S558" s="826"/>
      <c r="T558" s="3"/>
      <c r="U558" s="3"/>
      <c r="V558" s="3"/>
      <c r="W558" s="3"/>
      <c r="X558" s="3"/>
      <c r="Y558" s="3"/>
      <c r="Z558" s="3"/>
    </row>
    <row r="559" ht="15.75" customHeight="1">
      <c r="C559" s="667"/>
      <c r="D559" s="667"/>
      <c r="E559" s="667"/>
      <c r="F559" s="668"/>
      <c r="G559" s="667"/>
      <c r="H559" s="667"/>
      <c r="I559" s="667"/>
      <c r="J559" s="667"/>
      <c r="K559" s="667"/>
      <c r="L559" s="667"/>
      <c r="M559" s="667"/>
      <c r="N559" s="667"/>
      <c r="O559" s="667"/>
      <c r="P559" s="667"/>
      <c r="Q559" s="667"/>
      <c r="R559" s="667"/>
      <c r="S559" s="826"/>
      <c r="T559" s="3"/>
      <c r="U559" s="3"/>
      <c r="V559" s="3"/>
      <c r="W559" s="3"/>
      <c r="X559" s="3"/>
      <c r="Y559" s="3"/>
      <c r="Z559" s="3"/>
    </row>
    <row r="560" ht="15.75" customHeight="1">
      <c r="C560" s="667"/>
      <c r="D560" s="667"/>
      <c r="E560" s="667"/>
      <c r="F560" s="668"/>
      <c r="G560" s="667"/>
      <c r="H560" s="667"/>
      <c r="I560" s="667"/>
      <c r="J560" s="667"/>
      <c r="K560" s="667"/>
      <c r="L560" s="667"/>
      <c r="M560" s="667"/>
      <c r="N560" s="667"/>
      <c r="O560" s="667"/>
      <c r="P560" s="667"/>
      <c r="Q560" s="667"/>
      <c r="R560" s="667"/>
      <c r="S560" s="826"/>
      <c r="T560" s="3"/>
      <c r="U560" s="3"/>
      <c r="V560" s="3"/>
      <c r="W560" s="3"/>
      <c r="X560" s="3"/>
      <c r="Y560" s="3"/>
      <c r="Z560" s="3"/>
    </row>
    <row r="561" ht="15.75" customHeight="1">
      <c r="C561" s="667"/>
      <c r="D561" s="667"/>
      <c r="E561" s="667"/>
      <c r="F561" s="668"/>
      <c r="G561" s="667"/>
      <c r="H561" s="667"/>
      <c r="I561" s="667"/>
      <c r="J561" s="667"/>
      <c r="K561" s="667"/>
      <c r="L561" s="667"/>
      <c r="M561" s="667"/>
      <c r="N561" s="667"/>
      <c r="O561" s="667"/>
      <c r="P561" s="667"/>
      <c r="Q561" s="667"/>
      <c r="R561" s="667"/>
      <c r="S561" s="826"/>
      <c r="T561" s="3"/>
      <c r="U561" s="3"/>
      <c r="V561" s="3"/>
      <c r="W561" s="3"/>
      <c r="X561" s="3"/>
      <c r="Y561" s="3"/>
      <c r="Z561" s="3"/>
    </row>
    <row r="562" ht="15.75" customHeight="1">
      <c r="C562" s="667"/>
      <c r="D562" s="667"/>
      <c r="E562" s="667"/>
      <c r="F562" s="668"/>
      <c r="G562" s="667"/>
      <c r="H562" s="667"/>
      <c r="I562" s="667"/>
      <c r="J562" s="667"/>
      <c r="K562" s="667"/>
      <c r="L562" s="667"/>
      <c r="M562" s="667"/>
      <c r="N562" s="667"/>
      <c r="O562" s="667"/>
      <c r="P562" s="667"/>
      <c r="Q562" s="667"/>
      <c r="R562" s="667"/>
      <c r="S562" s="826"/>
      <c r="T562" s="3"/>
      <c r="U562" s="3"/>
      <c r="V562" s="3"/>
      <c r="W562" s="3"/>
      <c r="X562" s="3"/>
      <c r="Y562" s="3"/>
      <c r="Z562" s="3"/>
    </row>
    <row r="563" ht="15.75" customHeight="1">
      <c r="C563" s="667"/>
      <c r="D563" s="667"/>
      <c r="E563" s="667"/>
      <c r="F563" s="668"/>
      <c r="G563" s="667"/>
      <c r="H563" s="667"/>
      <c r="I563" s="667"/>
      <c r="J563" s="667"/>
      <c r="K563" s="667"/>
      <c r="L563" s="667"/>
      <c r="M563" s="667"/>
      <c r="N563" s="667"/>
      <c r="O563" s="667"/>
      <c r="P563" s="667"/>
      <c r="Q563" s="667"/>
      <c r="R563" s="667"/>
      <c r="S563" s="826"/>
      <c r="T563" s="3"/>
      <c r="U563" s="3"/>
      <c r="V563" s="3"/>
      <c r="W563" s="3"/>
      <c r="X563" s="3"/>
      <c r="Y563" s="3"/>
      <c r="Z563" s="3"/>
    </row>
    <row r="564" ht="15.75" customHeight="1">
      <c r="C564" s="667"/>
      <c r="D564" s="667"/>
      <c r="E564" s="667"/>
      <c r="F564" s="668"/>
      <c r="G564" s="667"/>
      <c r="H564" s="667"/>
      <c r="I564" s="667"/>
      <c r="J564" s="667"/>
      <c r="K564" s="667"/>
      <c r="L564" s="667"/>
      <c r="M564" s="667"/>
      <c r="N564" s="667"/>
      <c r="O564" s="667"/>
      <c r="P564" s="667"/>
      <c r="Q564" s="667"/>
      <c r="R564" s="667"/>
      <c r="S564" s="826"/>
      <c r="T564" s="3"/>
      <c r="U564" s="3"/>
      <c r="V564" s="3"/>
      <c r="W564" s="3"/>
      <c r="X564" s="3"/>
      <c r="Y564" s="3"/>
      <c r="Z564" s="3"/>
    </row>
    <row r="565" ht="15.75" customHeight="1">
      <c r="C565" s="667"/>
      <c r="D565" s="667"/>
      <c r="E565" s="667"/>
      <c r="F565" s="668"/>
      <c r="G565" s="667"/>
      <c r="H565" s="667"/>
      <c r="I565" s="667"/>
      <c r="J565" s="667"/>
      <c r="K565" s="667"/>
      <c r="L565" s="667"/>
      <c r="M565" s="667"/>
      <c r="N565" s="667"/>
      <c r="O565" s="667"/>
      <c r="P565" s="667"/>
      <c r="Q565" s="667"/>
      <c r="R565" s="667"/>
      <c r="S565" s="826"/>
      <c r="T565" s="3"/>
      <c r="U565" s="3"/>
      <c r="V565" s="3"/>
      <c r="W565" s="3"/>
      <c r="X565" s="3"/>
      <c r="Y565" s="3"/>
      <c r="Z565" s="3"/>
    </row>
    <row r="566" ht="15.75" customHeight="1">
      <c r="C566" s="667"/>
      <c r="D566" s="667"/>
      <c r="E566" s="667"/>
      <c r="F566" s="668"/>
      <c r="G566" s="667"/>
      <c r="H566" s="667"/>
      <c r="I566" s="667"/>
      <c r="J566" s="667"/>
      <c r="K566" s="667"/>
      <c r="L566" s="667"/>
      <c r="M566" s="667"/>
      <c r="N566" s="667"/>
      <c r="O566" s="667"/>
      <c r="P566" s="667"/>
      <c r="Q566" s="667"/>
      <c r="R566" s="667"/>
      <c r="S566" s="826"/>
      <c r="T566" s="3"/>
      <c r="U566" s="3"/>
      <c r="V566" s="3"/>
      <c r="W566" s="3"/>
      <c r="X566" s="3"/>
      <c r="Y566" s="3"/>
      <c r="Z566" s="3"/>
    </row>
    <row r="567" ht="15.75" customHeight="1">
      <c r="C567" s="667"/>
      <c r="D567" s="667"/>
      <c r="E567" s="667"/>
      <c r="F567" s="668"/>
      <c r="G567" s="667"/>
      <c r="H567" s="667"/>
      <c r="I567" s="667"/>
      <c r="J567" s="667"/>
      <c r="K567" s="667"/>
      <c r="L567" s="667"/>
      <c r="M567" s="667"/>
      <c r="N567" s="667"/>
      <c r="O567" s="667"/>
      <c r="P567" s="667"/>
      <c r="Q567" s="667"/>
      <c r="R567" s="667"/>
      <c r="S567" s="826"/>
      <c r="T567" s="3"/>
      <c r="U567" s="3"/>
      <c r="V567" s="3"/>
      <c r="W567" s="3"/>
      <c r="X567" s="3"/>
      <c r="Y567" s="3"/>
      <c r="Z567" s="3"/>
    </row>
    <row r="568" ht="15.75" customHeight="1">
      <c r="C568" s="667"/>
      <c r="D568" s="667"/>
      <c r="E568" s="667"/>
      <c r="F568" s="668"/>
      <c r="G568" s="667"/>
      <c r="H568" s="667"/>
      <c r="I568" s="667"/>
      <c r="J568" s="667"/>
      <c r="K568" s="667"/>
      <c r="L568" s="667"/>
      <c r="M568" s="667"/>
      <c r="N568" s="667"/>
      <c r="O568" s="667"/>
      <c r="P568" s="667"/>
      <c r="Q568" s="667"/>
      <c r="R568" s="667"/>
      <c r="S568" s="826"/>
      <c r="T568" s="3"/>
      <c r="U568" s="3"/>
      <c r="V568" s="3"/>
      <c r="W568" s="3"/>
      <c r="X568" s="3"/>
      <c r="Y568" s="3"/>
      <c r="Z568" s="3"/>
    </row>
    <row r="569" ht="15.75" customHeight="1">
      <c r="C569" s="667"/>
      <c r="D569" s="667"/>
      <c r="E569" s="667"/>
      <c r="F569" s="668"/>
      <c r="G569" s="667"/>
      <c r="H569" s="667"/>
      <c r="I569" s="667"/>
      <c r="J569" s="667"/>
      <c r="K569" s="667"/>
      <c r="L569" s="667"/>
      <c r="M569" s="667"/>
      <c r="N569" s="667"/>
      <c r="O569" s="667"/>
      <c r="P569" s="667"/>
      <c r="Q569" s="667"/>
      <c r="R569" s="667"/>
      <c r="S569" s="826"/>
      <c r="T569" s="3"/>
      <c r="U569" s="3"/>
      <c r="V569" s="3"/>
      <c r="W569" s="3"/>
      <c r="X569" s="3"/>
      <c r="Y569" s="3"/>
      <c r="Z569" s="3"/>
    </row>
    <row r="570" ht="15.75" customHeight="1">
      <c r="C570" s="667"/>
      <c r="D570" s="667"/>
      <c r="E570" s="667"/>
      <c r="F570" s="668"/>
      <c r="G570" s="667"/>
      <c r="H570" s="667"/>
      <c r="I570" s="667"/>
      <c r="J570" s="667"/>
      <c r="K570" s="667"/>
      <c r="L570" s="667"/>
      <c r="M570" s="667"/>
      <c r="N570" s="667"/>
      <c r="O570" s="667"/>
      <c r="P570" s="667"/>
      <c r="Q570" s="667"/>
      <c r="R570" s="667"/>
      <c r="S570" s="826"/>
      <c r="T570" s="3"/>
      <c r="U570" s="3"/>
      <c r="V570" s="3"/>
      <c r="W570" s="3"/>
      <c r="X570" s="3"/>
      <c r="Y570" s="3"/>
      <c r="Z570" s="3"/>
    </row>
    <row r="571" ht="15.75" customHeight="1">
      <c r="C571" s="667"/>
      <c r="D571" s="667"/>
      <c r="E571" s="667"/>
      <c r="F571" s="668"/>
      <c r="G571" s="667"/>
      <c r="H571" s="667"/>
      <c r="I571" s="667"/>
      <c r="J571" s="667"/>
      <c r="K571" s="667"/>
      <c r="L571" s="667"/>
      <c r="M571" s="667"/>
      <c r="N571" s="667"/>
      <c r="O571" s="667"/>
      <c r="P571" s="667"/>
      <c r="Q571" s="667"/>
      <c r="R571" s="667"/>
      <c r="S571" s="826"/>
      <c r="T571" s="3"/>
      <c r="U571" s="3"/>
      <c r="V571" s="3"/>
      <c r="W571" s="3"/>
      <c r="X571" s="3"/>
      <c r="Y571" s="3"/>
      <c r="Z571" s="3"/>
    </row>
    <row r="572" ht="15.75" customHeight="1">
      <c r="C572" s="667"/>
      <c r="D572" s="667"/>
      <c r="E572" s="667"/>
      <c r="F572" s="668"/>
      <c r="G572" s="667"/>
      <c r="H572" s="667"/>
      <c r="I572" s="667"/>
      <c r="J572" s="667"/>
      <c r="K572" s="667"/>
      <c r="L572" s="667"/>
      <c r="M572" s="667"/>
      <c r="N572" s="667"/>
      <c r="O572" s="667"/>
      <c r="P572" s="667"/>
      <c r="Q572" s="667"/>
      <c r="R572" s="667"/>
      <c r="S572" s="826"/>
      <c r="T572" s="3"/>
      <c r="U572" s="3"/>
      <c r="V572" s="3"/>
      <c r="W572" s="3"/>
      <c r="X572" s="3"/>
      <c r="Y572" s="3"/>
      <c r="Z572" s="3"/>
    </row>
    <row r="573" ht="15.75" customHeight="1">
      <c r="C573" s="667"/>
      <c r="D573" s="667"/>
      <c r="E573" s="667"/>
      <c r="F573" s="668"/>
      <c r="G573" s="667"/>
      <c r="H573" s="667"/>
      <c r="I573" s="667"/>
      <c r="J573" s="667"/>
      <c r="K573" s="667"/>
      <c r="L573" s="667"/>
      <c r="M573" s="667"/>
      <c r="N573" s="667"/>
      <c r="O573" s="667"/>
      <c r="P573" s="667"/>
      <c r="Q573" s="667"/>
      <c r="R573" s="667"/>
      <c r="S573" s="826"/>
      <c r="T573" s="3"/>
      <c r="U573" s="3"/>
      <c r="V573" s="3"/>
      <c r="W573" s="3"/>
      <c r="X573" s="3"/>
      <c r="Y573" s="3"/>
      <c r="Z573" s="3"/>
    </row>
    <row r="574" ht="15.75" customHeight="1">
      <c r="C574" s="667"/>
      <c r="D574" s="667"/>
      <c r="E574" s="667"/>
      <c r="F574" s="668"/>
      <c r="G574" s="667"/>
      <c r="H574" s="667"/>
      <c r="I574" s="667"/>
      <c r="J574" s="667"/>
      <c r="K574" s="667"/>
      <c r="L574" s="667"/>
      <c r="M574" s="667"/>
      <c r="N574" s="667"/>
      <c r="O574" s="667"/>
      <c r="P574" s="667"/>
      <c r="Q574" s="667"/>
      <c r="R574" s="667"/>
      <c r="S574" s="826"/>
      <c r="T574" s="3"/>
      <c r="U574" s="3"/>
      <c r="V574" s="3"/>
      <c r="W574" s="3"/>
      <c r="X574" s="3"/>
      <c r="Y574" s="3"/>
      <c r="Z574" s="3"/>
    </row>
    <row r="575" ht="15.75" customHeight="1">
      <c r="C575" s="667"/>
      <c r="D575" s="667"/>
      <c r="E575" s="667"/>
      <c r="F575" s="668"/>
      <c r="G575" s="667"/>
      <c r="H575" s="667"/>
      <c r="I575" s="667"/>
      <c r="J575" s="667"/>
      <c r="K575" s="667"/>
      <c r="L575" s="667"/>
      <c r="M575" s="667"/>
      <c r="N575" s="667"/>
      <c r="O575" s="667"/>
      <c r="P575" s="667"/>
      <c r="Q575" s="667"/>
      <c r="R575" s="667"/>
      <c r="S575" s="826"/>
      <c r="T575" s="3"/>
      <c r="U575" s="3"/>
      <c r="V575" s="3"/>
      <c r="W575" s="3"/>
      <c r="X575" s="3"/>
      <c r="Y575" s="3"/>
      <c r="Z575" s="3"/>
    </row>
    <row r="576" ht="15.75" customHeight="1">
      <c r="C576" s="667"/>
      <c r="D576" s="667"/>
      <c r="E576" s="667"/>
      <c r="F576" s="668"/>
      <c r="G576" s="667"/>
      <c r="H576" s="667"/>
      <c r="I576" s="667"/>
      <c r="J576" s="667"/>
      <c r="K576" s="667"/>
      <c r="L576" s="667"/>
      <c r="M576" s="667"/>
      <c r="N576" s="667"/>
      <c r="O576" s="667"/>
      <c r="P576" s="667"/>
      <c r="Q576" s="667"/>
      <c r="R576" s="667"/>
      <c r="S576" s="826"/>
      <c r="T576" s="3"/>
      <c r="U576" s="3"/>
      <c r="V576" s="3"/>
      <c r="W576" s="3"/>
      <c r="X576" s="3"/>
      <c r="Y576" s="3"/>
      <c r="Z576" s="3"/>
    </row>
    <row r="577" ht="15.75" customHeight="1">
      <c r="C577" s="667"/>
      <c r="D577" s="667"/>
      <c r="E577" s="667"/>
      <c r="F577" s="668"/>
      <c r="G577" s="667"/>
      <c r="H577" s="667"/>
      <c r="I577" s="667"/>
      <c r="J577" s="667"/>
      <c r="K577" s="667"/>
      <c r="L577" s="667"/>
      <c r="M577" s="667"/>
      <c r="N577" s="667"/>
      <c r="O577" s="667"/>
      <c r="P577" s="667"/>
      <c r="Q577" s="667"/>
      <c r="R577" s="667"/>
      <c r="S577" s="826"/>
      <c r="T577" s="3"/>
      <c r="U577" s="3"/>
      <c r="V577" s="3"/>
      <c r="W577" s="3"/>
      <c r="X577" s="3"/>
      <c r="Y577" s="3"/>
      <c r="Z577" s="3"/>
    </row>
    <row r="578" ht="15.75" customHeight="1">
      <c r="C578" s="667"/>
      <c r="D578" s="667"/>
      <c r="E578" s="667"/>
      <c r="F578" s="668"/>
      <c r="G578" s="667"/>
      <c r="H578" s="667"/>
      <c r="I578" s="667"/>
      <c r="J578" s="667"/>
      <c r="K578" s="667"/>
      <c r="L578" s="667"/>
      <c r="M578" s="667"/>
      <c r="N578" s="667"/>
      <c r="O578" s="667"/>
      <c r="P578" s="667"/>
      <c r="Q578" s="667"/>
      <c r="R578" s="667"/>
      <c r="S578" s="826"/>
      <c r="T578" s="3"/>
      <c r="U578" s="3"/>
      <c r="V578" s="3"/>
      <c r="W578" s="3"/>
      <c r="X578" s="3"/>
      <c r="Y578" s="3"/>
      <c r="Z578" s="3"/>
    </row>
    <row r="579" ht="15.75" customHeight="1">
      <c r="C579" s="667"/>
      <c r="D579" s="667"/>
      <c r="E579" s="667"/>
      <c r="F579" s="668"/>
      <c r="G579" s="667"/>
      <c r="H579" s="667"/>
      <c r="I579" s="667"/>
      <c r="J579" s="667"/>
      <c r="K579" s="667"/>
      <c r="L579" s="667"/>
      <c r="M579" s="667"/>
      <c r="N579" s="667"/>
      <c r="O579" s="667"/>
      <c r="P579" s="667"/>
      <c r="Q579" s="667"/>
      <c r="R579" s="667"/>
      <c r="S579" s="826"/>
      <c r="T579" s="3"/>
      <c r="U579" s="3"/>
      <c r="V579" s="3"/>
      <c r="W579" s="3"/>
      <c r="X579" s="3"/>
      <c r="Y579" s="3"/>
      <c r="Z579" s="3"/>
    </row>
    <row r="580" ht="15.75" customHeight="1">
      <c r="C580" s="667"/>
      <c r="D580" s="667"/>
      <c r="E580" s="667"/>
      <c r="F580" s="668"/>
      <c r="G580" s="667"/>
      <c r="H580" s="667"/>
      <c r="I580" s="667"/>
      <c r="J580" s="667"/>
      <c r="K580" s="667"/>
      <c r="L580" s="667"/>
      <c r="M580" s="667"/>
      <c r="N580" s="667"/>
      <c r="O580" s="667"/>
      <c r="P580" s="667"/>
      <c r="Q580" s="667"/>
      <c r="R580" s="667"/>
      <c r="S580" s="826"/>
      <c r="T580" s="3"/>
      <c r="U580" s="3"/>
      <c r="V580" s="3"/>
      <c r="W580" s="3"/>
      <c r="X580" s="3"/>
      <c r="Y580" s="3"/>
      <c r="Z580" s="3"/>
    </row>
    <row r="581" ht="15.75" customHeight="1">
      <c r="C581" s="667"/>
      <c r="D581" s="667"/>
      <c r="E581" s="667"/>
      <c r="F581" s="668"/>
      <c r="G581" s="667"/>
      <c r="H581" s="667"/>
      <c r="I581" s="667"/>
      <c r="J581" s="667"/>
      <c r="K581" s="667"/>
      <c r="L581" s="667"/>
      <c r="M581" s="667"/>
      <c r="N581" s="667"/>
      <c r="O581" s="667"/>
      <c r="P581" s="667"/>
      <c r="Q581" s="667"/>
      <c r="R581" s="667"/>
      <c r="S581" s="826"/>
      <c r="T581" s="3"/>
      <c r="U581" s="3"/>
      <c r="V581" s="3"/>
      <c r="W581" s="3"/>
      <c r="X581" s="3"/>
      <c r="Y581" s="3"/>
      <c r="Z581" s="3"/>
    </row>
    <row r="582" ht="15.75" customHeight="1">
      <c r="C582" s="667"/>
      <c r="D582" s="667"/>
      <c r="E582" s="667"/>
      <c r="F582" s="668"/>
      <c r="G582" s="667"/>
      <c r="H582" s="667"/>
      <c r="I582" s="667"/>
      <c r="J582" s="667"/>
      <c r="K582" s="667"/>
      <c r="L582" s="667"/>
      <c r="M582" s="667"/>
      <c r="N582" s="667"/>
      <c r="O582" s="667"/>
      <c r="P582" s="667"/>
      <c r="Q582" s="667"/>
      <c r="R582" s="667"/>
      <c r="S582" s="826"/>
      <c r="T582" s="3"/>
      <c r="U582" s="3"/>
      <c r="V582" s="3"/>
      <c r="W582" s="3"/>
      <c r="X582" s="3"/>
      <c r="Y582" s="3"/>
      <c r="Z582" s="3"/>
    </row>
    <row r="583" ht="15.75" customHeight="1">
      <c r="C583" s="667"/>
      <c r="D583" s="667"/>
      <c r="E583" s="667"/>
      <c r="F583" s="668"/>
      <c r="G583" s="667"/>
      <c r="H583" s="667"/>
      <c r="I583" s="667"/>
      <c r="J583" s="667"/>
      <c r="K583" s="667"/>
      <c r="L583" s="667"/>
      <c r="M583" s="667"/>
      <c r="N583" s="667"/>
      <c r="O583" s="667"/>
      <c r="P583" s="667"/>
      <c r="Q583" s="667"/>
      <c r="R583" s="667"/>
      <c r="S583" s="826"/>
      <c r="T583" s="3"/>
      <c r="U583" s="3"/>
      <c r="V583" s="3"/>
      <c r="W583" s="3"/>
      <c r="X583" s="3"/>
      <c r="Y583" s="3"/>
      <c r="Z583" s="3"/>
    </row>
    <row r="584" ht="15.75" customHeight="1">
      <c r="C584" s="667"/>
      <c r="D584" s="667"/>
      <c r="E584" s="667"/>
      <c r="F584" s="668"/>
      <c r="G584" s="667"/>
      <c r="H584" s="667"/>
      <c r="I584" s="667"/>
      <c r="J584" s="667"/>
      <c r="K584" s="667"/>
      <c r="L584" s="667"/>
      <c r="M584" s="667"/>
      <c r="N584" s="667"/>
      <c r="O584" s="667"/>
      <c r="P584" s="667"/>
      <c r="Q584" s="667"/>
      <c r="R584" s="667"/>
      <c r="S584" s="826"/>
      <c r="T584" s="3"/>
      <c r="U584" s="3"/>
      <c r="V584" s="3"/>
      <c r="W584" s="3"/>
      <c r="X584" s="3"/>
      <c r="Y584" s="3"/>
      <c r="Z584" s="3"/>
    </row>
    <row r="585" ht="15.75" customHeight="1">
      <c r="C585" s="667"/>
      <c r="D585" s="667"/>
      <c r="E585" s="667"/>
      <c r="F585" s="668"/>
      <c r="G585" s="667"/>
      <c r="H585" s="667"/>
      <c r="I585" s="667"/>
      <c r="J585" s="667"/>
      <c r="K585" s="667"/>
      <c r="L585" s="667"/>
      <c r="M585" s="667"/>
      <c r="N585" s="667"/>
      <c r="O585" s="667"/>
      <c r="P585" s="667"/>
      <c r="Q585" s="667"/>
      <c r="R585" s="667"/>
      <c r="S585" s="826"/>
      <c r="T585" s="3"/>
      <c r="U585" s="3"/>
      <c r="V585" s="3"/>
      <c r="W585" s="3"/>
      <c r="X585" s="3"/>
      <c r="Y585" s="3"/>
      <c r="Z585" s="3"/>
    </row>
    <row r="586" ht="15.75" customHeight="1">
      <c r="C586" s="667"/>
      <c r="D586" s="667"/>
      <c r="E586" s="667"/>
      <c r="F586" s="668"/>
      <c r="G586" s="667"/>
      <c r="H586" s="667"/>
      <c r="I586" s="667"/>
      <c r="J586" s="667"/>
      <c r="K586" s="667"/>
      <c r="L586" s="667"/>
      <c r="M586" s="667"/>
      <c r="N586" s="667"/>
      <c r="O586" s="667"/>
      <c r="P586" s="667"/>
      <c r="Q586" s="667"/>
      <c r="R586" s="667"/>
      <c r="S586" s="826"/>
      <c r="T586" s="3"/>
      <c r="U586" s="3"/>
      <c r="V586" s="3"/>
      <c r="W586" s="3"/>
      <c r="X586" s="3"/>
      <c r="Y586" s="3"/>
      <c r="Z586" s="3"/>
    </row>
    <row r="587" ht="15.75" customHeight="1">
      <c r="C587" s="667"/>
      <c r="D587" s="667"/>
      <c r="E587" s="667"/>
      <c r="F587" s="668"/>
      <c r="G587" s="667"/>
      <c r="H587" s="667"/>
      <c r="I587" s="667"/>
      <c r="J587" s="667"/>
      <c r="K587" s="667"/>
      <c r="L587" s="667"/>
      <c r="M587" s="667"/>
      <c r="N587" s="667"/>
      <c r="O587" s="667"/>
      <c r="P587" s="667"/>
      <c r="Q587" s="667"/>
      <c r="R587" s="667"/>
      <c r="S587" s="826"/>
      <c r="T587" s="3"/>
      <c r="U587" s="3"/>
      <c r="V587" s="3"/>
      <c r="W587" s="3"/>
      <c r="X587" s="3"/>
      <c r="Y587" s="3"/>
      <c r="Z587" s="3"/>
    </row>
    <row r="588" ht="15.75" customHeight="1">
      <c r="C588" s="667"/>
      <c r="D588" s="667"/>
      <c r="E588" s="667"/>
      <c r="F588" s="668"/>
      <c r="G588" s="667"/>
      <c r="H588" s="667"/>
      <c r="I588" s="667"/>
      <c r="J588" s="667"/>
      <c r="K588" s="667"/>
      <c r="L588" s="667"/>
      <c r="M588" s="667"/>
      <c r="N588" s="667"/>
      <c r="O588" s="667"/>
      <c r="P588" s="667"/>
      <c r="Q588" s="667"/>
      <c r="R588" s="667"/>
      <c r="S588" s="826"/>
      <c r="T588" s="3"/>
      <c r="U588" s="3"/>
      <c r="V588" s="3"/>
      <c r="W588" s="3"/>
      <c r="X588" s="3"/>
      <c r="Y588" s="3"/>
      <c r="Z588" s="3"/>
    </row>
    <row r="589" ht="15.75" customHeight="1">
      <c r="C589" s="667"/>
      <c r="D589" s="667"/>
      <c r="E589" s="667"/>
      <c r="F589" s="668"/>
      <c r="G589" s="667"/>
      <c r="H589" s="667"/>
      <c r="I589" s="667"/>
      <c r="J589" s="667"/>
      <c r="K589" s="667"/>
      <c r="L589" s="667"/>
      <c r="M589" s="667"/>
      <c r="N589" s="667"/>
      <c r="O589" s="667"/>
      <c r="P589" s="667"/>
      <c r="Q589" s="667"/>
      <c r="R589" s="667"/>
      <c r="S589" s="826"/>
      <c r="T589" s="3"/>
      <c r="U589" s="3"/>
      <c r="V589" s="3"/>
      <c r="W589" s="3"/>
      <c r="X589" s="3"/>
      <c r="Y589" s="3"/>
      <c r="Z589" s="3"/>
    </row>
    <row r="590" ht="15.75" customHeight="1">
      <c r="C590" s="667"/>
      <c r="D590" s="667"/>
      <c r="E590" s="667"/>
      <c r="F590" s="668"/>
      <c r="G590" s="667"/>
      <c r="H590" s="667"/>
      <c r="I590" s="667"/>
      <c r="J590" s="667"/>
      <c r="K590" s="667"/>
      <c r="L590" s="667"/>
      <c r="M590" s="667"/>
      <c r="N590" s="667"/>
      <c r="O590" s="667"/>
      <c r="P590" s="667"/>
      <c r="Q590" s="667"/>
      <c r="R590" s="667"/>
      <c r="S590" s="826"/>
      <c r="T590" s="3"/>
      <c r="U590" s="3"/>
      <c r="V590" s="3"/>
      <c r="W590" s="3"/>
      <c r="X590" s="3"/>
      <c r="Y590" s="3"/>
      <c r="Z590" s="3"/>
    </row>
    <row r="591" ht="15.75" customHeight="1">
      <c r="C591" s="667"/>
      <c r="D591" s="667"/>
      <c r="E591" s="667"/>
      <c r="F591" s="668"/>
      <c r="G591" s="667"/>
      <c r="H591" s="667"/>
      <c r="I591" s="667"/>
      <c r="J591" s="667"/>
      <c r="K591" s="667"/>
      <c r="L591" s="667"/>
      <c r="M591" s="667"/>
      <c r="N591" s="667"/>
      <c r="O591" s="667"/>
      <c r="P591" s="667"/>
      <c r="Q591" s="667"/>
      <c r="R591" s="667"/>
      <c r="S591" s="826"/>
      <c r="T591" s="3"/>
      <c r="U591" s="3"/>
      <c r="V591" s="3"/>
      <c r="W591" s="3"/>
      <c r="X591" s="3"/>
      <c r="Y591" s="3"/>
      <c r="Z591" s="3"/>
    </row>
    <row r="592" ht="15.75" customHeight="1">
      <c r="C592" s="667"/>
      <c r="D592" s="667"/>
      <c r="E592" s="667"/>
      <c r="F592" s="668"/>
      <c r="G592" s="667"/>
      <c r="H592" s="667"/>
      <c r="I592" s="667"/>
      <c r="J592" s="667"/>
      <c r="K592" s="667"/>
      <c r="L592" s="667"/>
      <c r="M592" s="667"/>
      <c r="N592" s="667"/>
      <c r="O592" s="667"/>
      <c r="P592" s="667"/>
      <c r="Q592" s="667"/>
      <c r="R592" s="667"/>
      <c r="S592" s="826"/>
      <c r="T592" s="3"/>
      <c r="U592" s="3"/>
      <c r="V592" s="3"/>
      <c r="W592" s="3"/>
      <c r="X592" s="3"/>
      <c r="Y592" s="3"/>
      <c r="Z592" s="3"/>
    </row>
    <row r="593" ht="15.75" customHeight="1">
      <c r="C593" s="667"/>
      <c r="D593" s="667"/>
      <c r="E593" s="667"/>
      <c r="F593" s="668"/>
      <c r="G593" s="667"/>
      <c r="H593" s="667"/>
      <c r="I593" s="667"/>
      <c r="J593" s="667"/>
      <c r="K593" s="667"/>
      <c r="L593" s="667"/>
      <c r="M593" s="667"/>
      <c r="N593" s="667"/>
      <c r="O593" s="667"/>
      <c r="P593" s="667"/>
      <c r="Q593" s="667"/>
      <c r="R593" s="667"/>
      <c r="S593" s="826"/>
      <c r="T593" s="3"/>
      <c r="U593" s="3"/>
      <c r="V593" s="3"/>
      <c r="W593" s="3"/>
      <c r="X593" s="3"/>
      <c r="Y593" s="3"/>
      <c r="Z593" s="3"/>
    </row>
    <row r="594" ht="15.75" customHeight="1">
      <c r="C594" s="667"/>
      <c r="D594" s="667"/>
      <c r="E594" s="667"/>
      <c r="F594" s="668"/>
      <c r="G594" s="667"/>
      <c r="H594" s="667"/>
      <c r="I594" s="667"/>
      <c r="J594" s="667"/>
      <c r="K594" s="667"/>
      <c r="L594" s="667"/>
      <c r="M594" s="667"/>
      <c r="N594" s="667"/>
      <c r="O594" s="667"/>
      <c r="P594" s="667"/>
      <c r="Q594" s="667"/>
      <c r="R594" s="667"/>
      <c r="S594" s="826"/>
      <c r="T594" s="3"/>
      <c r="U594" s="3"/>
      <c r="V594" s="3"/>
      <c r="W594" s="3"/>
      <c r="X594" s="3"/>
      <c r="Y594" s="3"/>
      <c r="Z594" s="3"/>
    </row>
    <row r="595" ht="15.75" customHeight="1">
      <c r="C595" s="667"/>
      <c r="D595" s="667"/>
      <c r="E595" s="667"/>
      <c r="F595" s="668"/>
      <c r="G595" s="667"/>
      <c r="H595" s="667"/>
      <c r="I595" s="667"/>
      <c r="J595" s="667"/>
      <c r="K595" s="667"/>
      <c r="L595" s="667"/>
      <c r="M595" s="667"/>
      <c r="N595" s="667"/>
      <c r="O595" s="667"/>
      <c r="P595" s="667"/>
      <c r="Q595" s="667"/>
      <c r="R595" s="667"/>
      <c r="S595" s="826"/>
      <c r="T595" s="3"/>
      <c r="U595" s="3"/>
      <c r="V595" s="3"/>
      <c r="W595" s="3"/>
      <c r="X595" s="3"/>
      <c r="Y595" s="3"/>
      <c r="Z595" s="3"/>
    </row>
    <row r="596" ht="15.75" customHeight="1">
      <c r="C596" s="667"/>
      <c r="D596" s="667"/>
      <c r="E596" s="667"/>
      <c r="F596" s="668"/>
      <c r="G596" s="667"/>
      <c r="H596" s="667"/>
      <c r="I596" s="667"/>
      <c r="J596" s="667"/>
      <c r="K596" s="667"/>
      <c r="L596" s="667"/>
      <c r="M596" s="667"/>
      <c r="N596" s="667"/>
      <c r="O596" s="667"/>
      <c r="P596" s="667"/>
      <c r="Q596" s="667"/>
      <c r="R596" s="667"/>
      <c r="S596" s="826"/>
      <c r="T596" s="3"/>
      <c r="U596" s="3"/>
      <c r="V596" s="3"/>
      <c r="W596" s="3"/>
      <c r="X596" s="3"/>
      <c r="Y596" s="3"/>
      <c r="Z596" s="3"/>
    </row>
    <row r="597" ht="15.75" customHeight="1">
      <c r="C597" s="667"/>
      <c r="D597" s="667"/>
      <c r="E597" s="667"/>
      <c r="F597" s="668"/>
      <c r="G597" s="667"/>
      <c r="H597" s="667"/>
      <c r="I597" s="667"/>
      <c r="J597" s="667"/>
      <c r="K597" s="667"/>
      <c r="L597" s="667"/>
      <c r="M597" s="667"/>
      <c r="N597" s="667"/>
      <c r="O597" s="667"/>
      <c r="P597" s="667"/>
      <c r="Q597" s="667"/>
      <c r="R597" s="667"/>
      <c r="S597" s="826"/>
      <c r="T597" s="3"/>
      <c r="U597" s="3"/>
      <c r="V597" s="3"/>
      <c r="W597" s="3"/>
      <c r="X597" s="3"/>
      <c r="Y597" s="3"/>
      <c r="Z597" s="3"/>
    </row>
    <row r="598" ht="15.75" customHeight="1">
      <c r="C598" s="667"/>
      <c r="D598" s="667"/>
      <c r="E598" s="667"/>
      <c r="F598" s="668"/>
      <c r="G598" s="667"/>
      <c r="H598" s="667"/>
      <c r="I598" s="667"/>
      <c r="J598" s="667"/>
      <c r="K598" s="667"/>
      <c r="L598" s="667"/>
      <c r="M598" s="667"/>
      <c r="N598" s="667"/>
      <c r="O598" s="667"/>
      <c r="P598" s="667"/>
      <c r="Q598" s="667"/>
      <c r="R598" s="667"/>
      <c r="S598" s="826"/>
      <c r="T598" s="3"/>
      <c r="U598" s="3"/>
      <c r="V598" s="3"/>
      <c r="W598" s="3"/>
      <c r="X598" s="3"/>
      <c r="Y598" s="3"/>
      <c r="Z598" s="3"/>
    </row>
    <row r="599" ht="15.75" customHeight="1">
      <c r="C599" s="667"/>
      <c r="D599" s="667"/>
      <c r="E599" s="667"/>
      <c r="F599" s="668"/>
      <c r="G599" s="667"/>
      <c r="H599" s="667"/>
      <c r="I599" s="667"/>
      <c r="J599" s="667"/>
      <c r="K599" s="667"/>
      <c r="L599" s="667"/>
      <c r="M599" s="667"/>
      <c r="N599" s="667"/>
      <c r="O599" s="667"/>
      <c r="P599" s="667"/>
      <c r="Q599" s="667"/>
      <c r="R599" s="667"/>
      <c r="S599" s="826"/>
      <c r="T599" s="3"/>
      <c r="U599" s="3"/>
      <c r="V599" s="3"/>
      <c r="W599" s="3"/>
      <c r="X599" s="3"/>
      <c r="Y599" s="3"/>
      <c r="Z599" s="3"/>
    </row>
    <row r="600" ht="15.75" customHeight="1">
      <c r="C600" s="667"/>
      <c r="D600" s="667"/>
      <c r="E600" s="667"/>
      <c r="F600" s="668"/>
      <c r="G600" s="667"/>
      <c r="H600" s="667"/>
      <c r="I600" s="667"/>
      <c r="J600" s="667"/>
      <c r="K600" s="667"/>
      <c r="L600" s="667"/>
      <c r="M600" s="667"/>
      <c r="N600" s="667"/>
      <c r="O600" s="667"/>
      <c r="P600" s="667"/>
      <c r="Q600" s="667"/>
      <c r="R600" s="667"/>
      <c r="S600" s="826"/>
      <c r="T600" s="3"/>
      <c r="U600" s="3"/>
      <c r="V600" s="3"/>
      <c r="W600" s="3"/>
      <c r="X600" s="3"/>
      <c r="Y600" s="3"/>
      <c r="Z600" s="3"/>
    </row>
    <row r="601" ht="15.75" customHeight="1">
      <c r="C601" s="667"/>
      <c r="D601" s="667"/>
      <c r="E601" s="667"/>
      <c r="F601" s="668"/>
      <c r="G601" s="667"/>
      <c r="H601" s="667"/>
      <c r="I601" s="667"/>
      <c r="J601" s="667"/>
      <c r="K601" s="667"/>
      <c r="L601" s="667"/>
      <c r="M601" s="667"/>
      <c r="N601" s="667"/>
      <c r="O601" s="667"/>
      <c r="P601" s="667"/>
      <c r="Q601" s="667"/>
      <c r="R601" s="667"/>
      <c r="S601" s="826"/>
      <c r="T601" s="3"/>
      <c r="U601" s="3"/>
      <c r="V601" s="3"/>
      <c r="W601" s="3"/>
      <c r="X601" s="3"/>
      <c r="Y601" s="3"/>
      <c r="Z601" s="3"/>
    </row>
    <row r="602" ht="15.75" customHeight="1">
      <c r="C602" s="667"/>
      <c r="D602" s="667"/>
      <c r="E602" s="667"/>
      <c r="F602" s="668"/>
      <c r="G602" s="667"/>
      <c r="H602" s="667"/>
      <c r="I602" s="667"/>
      <c r="J602" s="667"/>
      <c r="K602" s="667"/>
      <c r="L602" s="667"/>
      <c r="M602" s="667"/>
      <c r="N602" s="667"/>
      <c r="O602" s="667"/>
      <c r="P602" s="667"/>
      <c r="Q602" s="667"/>
      <c r="R602" s="667"/>
      <c r="S602" s="826"/>
      <c r="T602" s="3"/>
      <c r="U602" s="3"/>
      <c r="V602" s="3"/>
      <c r="W602" s="3"/>
      <c r="X602" s="3"/>
      <c r="Y602" s="3"/>
      <c r="Z602" s="3"/>
    </row>
    <row r="603" ht="15.75" customHeight="1">
      <c r="C603" s="667"/>
      <c r="D603" s="667"/>
      <c r="E603" s="667"/>
      <c r="F603" s="668"/>
      <c r="G603" s="667"/>
      <c r="H603" s="667"/>
      <c r="I603" s="667"/>
      <c r="J603" s="667"/>
      <c r="K603" s="667"/>
      <c r="L603" s="667"/>
      <c r="M603" s="667"/>
      <c r="N603" s="667"/>
      <c r="O603" s="667"/>
      <c r="P603" s="667"/>
      <c r="Q603" s="667"/>
      <c r="R603" s="667"/>
      <c r="S603" s="826"/>
      <c r="T603" s="3"/>
      <c r="U603" s="3"/>
      <c r="V603" s="3"/>
      <c r="W603" s="3"/>
      <c r="X603" s="3"/>
      <c r="Y603" s="3"/>
      <c r="Z603" s="3"/>
    </row>
    <row r="604" ht="15.75" customHeight="1">
      <c r="C604" s="667"/>
      <c r="D604" s="667"/>
      <c r="E604" s="667"/>
      <c r="F604" s="668"/>
      <c r="G604" s="667"/>
      <c r="H604" s="667"/>
      <c r="I604" s="667"/>
      <c r="J604" s="667"/>
      <c r="K604" s="667"/>
      <c r="L604" s="667"/>
      <c r="M604" s="667"/>
      <c r="N604" s="667"/>
      <c r="O604" s="667"/>
      <c r="P604" s="667"/>
      <c r="Q604" s="667"/>
      <c r="R604" s="667"/>
      <c r="S604" s="826"/>
      <c r="T604" s="3"/>
      <c r="U604" s="3"/>
      <c r="V604" s="3"/>
      <c r="W604" s="3"/>
      <c r="X604" s="3"/>
      <c r="Y604" s="3"/>
      <c r="Z604" s="3"/>
    </row>
    <row r="605" ht="15.75" customHeight="1">
      <c r="C605" s="667"/>
      <c r="D605" s="667"/>
      <c r="E605" s="667"/>
      <c r="F605" s="668"/>
      <c r="G605" s="667"/>
      <c r="H605" s="667"/>
      <c r="I605" s="667"/>
      <c r="J605" s="667"/>
      <c r="K605" s="667"/>
      <c r="L605" s="667"/>
      <c r="M605" s="667"/>
      <c r="N605" s="667"/>
      <c r="O605" s="667"/>
      <c r="P605" s="667"/>
      <c r="Q605" s="667"/>
      <c r="R605" s="667"/>
      <c r="S605" s="826"/>
      <c r="T605" s="3"/>
      <c r="U605" s="3"/>
      <c r="V605" s="3"/>
      <c r="W605" s="3"/>
      <c r="X605" s="3"/>
      <c r="Y605" s="3"/>
      <c r="Z605" s="3"/>
    </row>
    <row r="606" ht="15.75" customHeight="1">
      <c r="C606" s="667"/>
      <c r="D606" s="667"/>
      <c r="E606" s="667"/>
      <c r="F606" s="668"/>
      <c r="G606" s="667"/>
      <c r="H606" s="667"/>
      <c r="I606" s="667"/>
      <c r="J606" s="667"/>
      <c r="K606" s="667"/>
      <c r="L606" s="667"/>
      <c r="M606" s="667"/>
      <c r="N606" s="667"/>
      <c r="O606" s="667"/>
      <c r="P606" s="667"/>
      <c r="Q606" s="667"/>
      <c r="R606" s="667"/>
      <c r="S606" s="826"/>
      <c r="T606" s="3"/>
      <c r="U606" s="3"/>
      <c r="V606" s="3"/>
      <c r="W606" s="3"/>
      <c r="X606" s="3"/>
      <c r="Y606" s="3"/>
      <c r="Z606" s="3"/>
    </row>
    <row r="607" ht="15.75" customHeight="1">
      <c r="C607" s="667"/>
      <c r="D607" s="667"/>
      <c r="E607" s="667"/>
      <c r="F607" s="668"/>
      <c r="G607" s="667"/>
      <c r="H607" s="667"/>
      <c r="I607" s="667"/>
      <c r="J607" s="667"/>
      <c r="K607" s="667"/>
      <c r="L607" s="667"/>
      <c r="M607" s="667"/>
      <c r="N607" s="667"/>
      <c r="O607" s="667"/>
      <c r="P607" s="667"/>
      <c r="Q607" s="667"/>
      <c r="R607" s="667"/>
      <c r="S607" s="826"/>
      <c r="T607" s="3"/>
      <c r="U607" s="3"/>
      <c r="V607" s="3"/>
      <c r="W607" s="3"/>
      <c r="X607" s="3"/>
      <c r="Y607" s="3"/>
      <c r="Z607" s="3"/>
    </row>
    <row r="608" ht="15.75" customHeight="1">
      <c r="C608" s="667"/>
      <c r="D608" s="667"/>
      <c r="E608" s="667"/>
      <c r="F608" s="668"/>
      <c r="G608" s="667"/>
      <c r="H608" s="667"/>
      <c r="I608" s="667"/>
      <c r="J608" s="667"/>
      <c r="K608" s="667"/>
      <c r="L608" s="667"/>
      <c r="M608" s="667"/>
      <c r="N608" s="667"/>
      <c r="O608" s="667"/>
      <c r="P608" s="667"/>
      <c r="Q608" s="667"/>
      <c r="R608" s="667"/>
      <c r="S608" s="826"/>
      <c r="T608" s="3"/>
      <c r="U608" s="3"/>
      <c r="V608" s="3"/>
      <c r="W608" s="3"/>
      <c r="X608" s="3"/>
      <c r="Y608" s="3"/>
      <c r="Z608" s="3"/>
    </row>
    <row r="609" ht="15.75" customHeight="1">
      <c r="C609" s="667"/>
      <c r="D609" s="667"/>
      <c r="E609" s="667"/>
      <c r="F609" s="668"/>
      <c r="G609" s="667"/>
      <c r="H609" s="667"/>
      <c r="I609" s="667"/>
      <c r="J609" s="667"/>
      <c r="K609" s="667"/>
      <c r="L609" s="667"/>
      <c r="M609" s="667"/>
      <c r="N609" s="667"/>
      <c r="O609" s="667"/>
      <c r="P609" s="667"/>
      <c r="Q609" s="667"/>
      <c r="R609" s="667"/>
      <c r="S609" s="826"/>
      <c r="T609" s="3"/>
      <c r="U609" s="3"/>
      <c r="V609" s="3"/>
      <c r="W609" s="3"/>
      <c r="X609" s="3"/>
      <c r="Y609" s="3"/>
      <c r="Z609" s="3"/>
    </row>
    <row r="610" ht="15.75" customHeight="1">
      <c r="C610" s="667"/>
      <c r="D610" s="667"/>
      <c r="E610" s="667"/>
      <c r="F610" s="668"/>
      <c r="G610" s="667"/>
      <c r="H610" s="667"/>
      <c r="I610" s="667"/>
      <c r="J610" s="667"/>
      <c r="K610" s="667"/>
      <c r="L610" s="667"/>
      <c r="M610" s="667"/>
      <c r="N610" s="667"/>
      <c r="O610" s="667"/>
      <c r="P610" s="667"/>
      <c r="Q610" s="667"/>
      <c r="R610" s="667"/>
      <c r="S610" s="826"/>
      <c r="T610" s="3"/>
      <c r="U610" s="3"/>
      <c r="V610" s="3"/>
      <c r="W610" s="3"/>
      <c r="X610" s="3"/>
      <c r="Y610" s="3"/>
      <c r="Z610" s="3"/>
    </row>
    <row r="611" ht="15.75" customHeight="1">
      <c r="C611" s="667"/>
      <c r="D611" s="667"/>
      <c r="E611" s="667"/>
      <c r="F611" s="668"/>
      <c r="G611" s="667"/>
      <c r="H611" s="667"/>
      <c r="I611" s="667"/>
      <c r="J611" s="667"/>
      <c r="K611" s="667"/>
      <c r="L611" s="667"/>
      <c r="M611" s="667"/>
      <c r="N611" s="667"/>
      <c r="O611" s="667"/>
      <c r="P611" s="667"/>
      <c r="Q611" s="667"/>
      <c r="R611" s="667"/>
      <c r="S611" s="826"/>
      <c r="T611" s="3"/>
      <c r="U611" s="3"/>
      <c r="V611" s="3"/>
      <c r="W611" s="3"/>
      <c r="X611" s="3"/>
      <c r="Y611" s="3"/>
      <c r="Z611" s="3"/>
    </row>
    <row r="612" ht="15.75" customHeight="1">
      <c r="C612" s="667"/>
      <c r="D612" s="667"/>
      <c r="E612" s="667"/>
      <c r="F612" s="668"/>
      <c r="G612" s="667"/>
      <c r="H612" s="667"/>
      <c r="I612" s="667"/>
      <c r="J612" s="667"/>
      <c r="K612" s="667"/>
      <c r="L612" s="667"/>
      <c r="M612" s="667"/>
      <c r="N612" s="667"/>
      <c r="O612" s="667"/>
      <c r="P612" s="667"/>
      <c r="Q612" s="667"/>
      <c r="R612" s="667"/>
      <c r="S612" s="826"/>
      <c r="T612" s="3"/>
      <c r="U612" s="3"/>
      <c r="V612" s="3"/>
      <c r="W612" s="3"/>
      <c r="X612" s="3"/>
      <c r="Y612" s="3"/>
      <c r="Z612" s="3"/>
    </row>
    <row r="613" ht="15.75" customHeight="1">
      <c r="C613" s="667"/>
      <c r="D613" s="667"/>
      <c r="E613" s="667"/>
      <c r="F613" s="668"/>
      <c r="G613" s="667"/>
      <c r="H613" s="667"/>
      <c r="I613" s="667"/>
      <c r="J613" s="667"/>
      <c r="K613" s="667"/>
      <c r="L613" s="667"/>
      <c r="M613" s="667"/>
      <c r="N613" s="667"/>
      <c r="O613" s="667"/>
      <c r="P613" s="667"/>
      <c r="Q613" s="667"/>
      <c r="R613" s="667"/>
      <c r="S613" s="826"/>
      <c r="T613" s="3"/>
      <c r="U613" s="3"/>
      <c r="V613" s="3"/>
      <c r="W613" s="3"/>
      <c r="X613" s="3"/>
      <c r="Y613" s="3"/>
      <c r="Z613" s="3"/>
    </row>
    <row r="614" ht="15.75" customHeight="1">
      <c r="C614" s="667"/>
      <c r="D614" s="667"/>
      <c r="E614" s="667"/>
      <c r="F614" s="668"/>
      <c r="G614" s="667"/>
      <c r="H614" s="667"/>
      <c r="I614" s="667"/>
      <c r="J614" s="667"/>
      <c r="K614" s="667"/>
      <c r="L614" s="667"/>
      <c r="M614" s="667"/>
      <c r="N614" s="667"/>
      <c r="O614" s="667"/>
      <c r="P614" s="667"/>
      <c r="Q614" s="667"/>
      <c r="R614" s="667"/>
      <c r="S614" s="826"/>
      <c r="T614" s="3"/>
      <c r="U614" s="3"/>
      <c r="V614" s="3"/>
      <c r="W614" s="3"/>
      <c r="X614" s="3"/>
      <c r="Y614" s="3"/>
      <c r="Z614" s="3"/>
    </row>
    <row r="615" ht="15.75" customHeight="1">
      <c r="C615" s="667"/>
      <c r="D615" s="667"/>
      <c r="E615" s="667"/>
      <c r="F615" s="668"/>
      <c r="G615" s="667"/>
      <c r="H615" s="667"/>
      <c r="I615" s="667"/>
      <c r="J615" s="667"/>
      <c r="K615" s="667"/>
      <c r="L615" s="667"/>
      <c r="M615" s="667"/>
      <c r="N615" s="667"/>
      <c r="O615" s="667"/>
      <c r="P615" s="667"/>
      <c r="Q615" s="667"/>
      <c r="R615" s="667"/>
      <c r="S615" s="826"/>
      <c r="T615" s="3"/>
      <c r="U615" s="3"/>
      <c r="V615" s="3"/>
      <c r="W615" s="3"/>
      <c r="X615" s="3"/>
      <c r="Y615" s="3"/>
      <c r="Z615" s="3"/>
    </row>
    <row r="616" ht="15.75" customHeight="1">
      <c r="C616" s="667"/>
      <c r="D616" s="667"/>
      <c r="E616" s="667"/>
      <c r="F616" s="668"/>
      <c r="G616" s="667"/>
      <c r="H616" s="667"/>
      <c r="I616" s="667"/>
      <c r="J616" s="667"/>
      <c r="K616" s="667"/>
      <c r="L616" s="667"/>
      <c r="M616" s="667"/>
      <c r="N616" s="667"/>
      <c r="O616" s="667"/>
      <c r="P616" s="667"/>
      <c r="Q616" s="667"/>
      <c r="R616" s="667"/>
      <c r="S616" s="826"/>
      <c r="T616" s="3"/>
      <c r="U616" s="3"/>
      <c r="V616" s="3"/>
      <c r="W616" s="3"/>
      <c r="X616" s="3"/>
      <c r="Y616" s="3"/>
      <c r="Z616" s="3"/>
    </row>
    <row r="617" ht="15.75" customHeight="1">
      <c r="C617" s="667"/>
      <c r="D617" s="667"/>
      <c r="E617" s="667"/>
      <c r="F617" s="668"/>
      <c r="G617" s="667"/>
      <c r="H617" s="667"/>
      <c r="I617" s="667"/>
      <c r="J617" s="667"/>
      <c r="K617" s="667"/>
      <c r="L617" s="667"/>
      <c r="M617" s="667"/>
      <c r="N617" s="667"/>
      <c r="O617" s="667"/>
      <c r="P617" s="667"/>
      <c r="Q617" s="667"/>
      <c r="R617" s="667"/>
      <c r="S617" s="826"/>
      <c r="T617" s="3"/>
      <c r="U617" s="3"/>
      <c r="V617" s="3"/>
      <c r="W617" s="3"/>
      <c r="X617" s="3"/>
      <c r="Y617" s="3"/>
      <c r="Z617" s="3"/>
    </row>
    <row r="618" ht="15.75" customHeight="1">
      <c r="C618" s="667"/>
      <c r="D618" s="667"/>
      <c r="E618" s="667"/>
      <c r="F618" s="668"/>
      <c r="G618" s="667"/>
      <c r="H618" s="667"/>
      <c r="I618" s="667"/>
      <c r="J618" s="667"/>
      <c r="K618" s="667"/>
      <c r="L618" s="667"/>
      <c r="M618" s="667"/>
      <c r="N618" s="667"/>
      <c r="O618" s="667"/>
      <c r="P618" s="667"/>
      <c r="Q618" s="667"/>
      <c r="R618" s="667"/>
      <c r="S618" s="826"/>
      <c r="T618" s="3"/>
      <c r="U618" s="3"/>
      <c r="V618" s="3"/>
      <c r="W618" s="3"/>
      <c r="X618" s="3"/>
      <c r="Y618" s="3"/>
      <c r="Z618" s="3"/>
    </row>
    <row r="619" ht="15.75" customHeight="1">
      <c r="C619" s="667"/>
      <c r="D619" s="667"/>
      <c r="E619" s="667"/>
      <c r="F619" s="668"/>
      <c r="G619" s="667"/>
      <c r="H619" s="667"/>
      <c r="I619" s="667"/>
      <c r="J619" s="667"/>
      <c r="K619" s="667"/>
      <c r="L619" s="667"/>
      <c r="M619" s="667"/>
      <c r="N619" s="667"/>
      <c r="O619" s="667"/>
      <c r="P619" s="667"/>
      <c r="Q619" s="667"/>
      <c r="R619" s="667"/>
      <c r="S619" s="826"/>
      <c r="T619" s="3"/>
      <c r="U619" s="3"/>
      <c r="V619" s="3"/>
      <c r="W619" s="3"/>
      <c r="X619" s="3"/>
      <c r="Y619" s="3"/>
      <c r="Z619" s="3"/>
    </row>
    <row r="620" ht="15.75" customHeight="1">
      <c r="C620" s="667"/>
      <c r="D620" s="667"/>
      <c r="E620" s="667"/>
      <c r="F620" s="668"/>
      <c r="G620" s="667"/>
      <c r="H620" s="667"/>
      <c r="I620" s="667"/>
      <c r="J620" s="667"/>
      <c r="K620" s="667"/>
      <c r="L620" s="667"/>
      <c r="M620" s="667"/>
      <c r="N620" s="667"/>
      <c r="O620" s="667"/>
      <c r="P620" s="667"/>
      <c r="Q620" s="667"/>
      <c r="R620" s="667"/>
      <c r="S620" s="826"/>
      <c r="T620" s="3"/>
      <c r="U620" s="3"/>
      <c r="V620" s="3"/>
      <c r="W620" s="3"/>
      <c r="X620" s="3"/>
      <c r="Y620" s="3"/>
      <c r="Z620" s="3"/>
    </row>
    <row r="621" ht="15.75" customHeight="1">
      <c r="C621" s="667"/>
      <c r="D621" s="667"/>
      <c r="E621" s="667"/>
      <c r="F621" s="668"/>
      <c r="G621" s="667"/>
      <c r="H621" s="667"/>
      <c r="I621" s="667"/>
      <c r="J621" s="667"/>
      <c r="K621" s="667"/>
      <c r="L621" s="667"/>
      <c r="M621" s="667"/>
      <c r="N621" s="667"/>
      <c r="O621" s="667"/>
      <c r="P621" s="667"/>
      <c r="Q621" s="667"/>
      <c r="R621" s="667"/>
      <c r="S621" s="826"/>
      <c r="T621" s="3"/>
      <c r="U621" s="3"/>
      <c r="V621" s="3"/>
      <c r="W621" s="3"/>
      <c r="X621" s="3"/>
      <c r="Y621" s="3"/>
      <c r="Z621" s="3"/>
    </row>
    <row r="622" ht="15.75" customHeight="1">
      <c r="C622" s="667"/>
      <c r="D622" s="667"/>
      <c r="E622" s="667"/>
      <c r="F622" s="668"/>
      <c r="G622" s="667"/>
      <c r="H622" s="667"/>
      <c r="I622" s="667"/>
      <c r="J622" s="667"/>
      <c r="K622" s="667"/>
      <c r="L622" s="667"/>
      <c r="M622" s="667"/>
      <c r="N622" s="667"/>
      <c r="O622" s="667"/>
      <c r="P622" s="667"/>
      <c r="Q622" s="667"/>
      <c r="R622" s="667"/>
      <c r="S622" s="826"/>
      <c r="T622" s="3"/>
      <c r="U622" s="3"/>
      <c r="V622" s="3"/>
      <c r="W622" s="3"/>
      <c r="X622" s="3"/>
      <c r="Y622" s="3"/>
      <c r="Z622" s="3"/>
    </row>
    <row r="623" ht="15.75" customHeight="1">
      <c r="C623" s="667"/>
      <c r="D623" s="667"/>
      <c r="E623" s="667"/>
      <c r="F623" s="668"/>
      <c r="G623" s="667"/>
      <c r="H623" s="667"/>
      <c r="I623" s="667"/>
      <c r="J623" s="667"/>
      <c r="K623" s="667"/>
      <c r="L623" s="667"/>
      <c r="M623" s="667"/>
      <c r="N623" s="667"/>
      <c r="O623" s="667"/>
      <c r="P623" s="667"/>
      <c r="Q623" s="667"/>
      <c r="R623" s="667"/>
      <c r="S623" s="826"/>
      <c r="T623" s="3"/>
      <c r="U623" s="3"/>
      <c r="V623" s="3"/>
      <c r="W623" s="3"/>
      <c r="X623" s="3"/>
      <c r="Y623" s="3"/>
      <c r="Z623" s="3"/>
    </row>
    <row r="624" ht="15.75" customHeight="1">
      <c r="C624" s="667"/>
      <c r="D624" s="667"/>
      <c r="E624" s="667"/>
      <c r="F624" s="668"/>
      <c r="G624" s="667"/>
      <c r="H624" s="667"/>
      <c r="I624" s="667"/>
      <c r="J624" s="667"/>
      <c r="K624" s="667"/>
      <c r="L624" s="667"/>
      <c r="M624" s="667"/>
      <c r="N624" s="667"/>
      <c r="O624" s="667"/>
      <c r="P624" s="667"/>
      <c r="Q624" s="667"/>
      <c r="R624" s="667"/>
      <c r="S624" s="826"/>
      <c r="T624" s="3"/>
      <c r="U624" s="3"/>
      <c r="V624" s="3"/>
      <c r="W624" s="3"/>
      <c r="X624" s="3"/>
      <c r="Y624" s="3"/>
      <c r="Z624" s="3"/>
    </row>
    <row r="625" ht="15.75" customHeight="1">
      <c r="C625" s="667"/>
      <c r="D625" s="667"/>
      <c r="E625" s="667"/>
      <c r="F625" s="668"/>
      <c r="G625" s="667"/>
      <c r="H625" s="667"/>
      <c r="I625" s="667"/>
      <c r="J625" s="667"/>
      <c r="K625" s="667"/>
      <c r="L625" s="667"/>
      <c r="M625" s="667"/>
      <c r="N625" s="667"/>
      <c r="O625" s="667"/>
      <c r="P625" s="667"/>
      <c r="Q625" s="667"/>
      <c r="R625" s="667"/>
      <c r="S625" s="826"/>
      <c r="T625" s="3"/>
      <c r="U625" s="3"/>
      <c r="V625" s="3"/>
      <c r="W625" s="3"/>
      <c r="X625" s="3"/>
      <c r="Y625" s="3"/>
      <c r="Z625" s="3"/>
    </row>
    <row r="626" ht="15.75" customHeight="1">
      <c r="C626" s="667"/>
      <c r="D626" s="667"/>
      <c r="E626" s="667"/>
      <c r="F626" s="668"/>
      <c r="G626" s="667"/>
      <c r="H626" s="667"/>
      <c r="I626" s="667"/>
      <c r="J626" s="667"/>
      <c r="K626" s="667"/>
      <c r="L626" s="667"/>
      <c r="M626" s="667"/>
      <c r="N626" s="667"/>
      <c r="O626" s="667"/>
      <c r="P626" s="667"/>
      <c r="Q626" s="667"/>
      <c r="R626" s="667"/>
      <c r="S626" s="826"/>
      <c r="T626" s="3"/>
      <c r="U626" s="3"/>
      <c r="V626" s="3"/>
      <c r="W626" s="3"/>
      <c r="X626" s="3"/>
      <c r="Y626" s="3"/>
      <c r="Z626" s="3"/>
    </row>
    <row r="627" ht="15.75" customHeight="1">
      <c r="C627" s="667"/>
      <c r="D627" s="667"/>
      <c r="E627" s="667"/>
      <c r="F627" s="668"/>
      <c r="G627" s="667"/>
      <c r="H627" s="667"/>
      <c r="I627" s="667"/>
      <c r="J627" s="667"/>
      <c r="K627" s="667"/>
      <c r="L627" s="667"/>
      <c r="M627" s="667"/>
      <c r="N627" s="667"/>
      <c r="O627" s="667"/>
      <c r="P627" s="667"/>
      <c r="Q627" s="667"/>
      <c r="R627" s="667"/>
      <c r="S627" s="826"/>
      <c r="T627" s="3"/>
      <c r="U627" s="3"/>
      <c r="V627" s="3"/>
      <c r="W627" s="3"/>
      <c r="X627" s="3"/>
      <c r="Y627" s="3"/>
      <c r="Z627" s="3"/>
    </row>
    <row r="628" ht="15.75" customHeight="1">
      <c r="C628" s="667"/>
      <c r="D628" s="667"/>
      <c r="E628" s="667"/>
      <c r="F628" s="668"/>
      <c r="G628" s="667"/>
      <c r="H628" s="667"/>
      <c r="I628" s="667"/>
      <c r="J628" s="667"/>
      <c r="K628" s="667"/>
      <c r="L628" s="667"/>
      <c r="M628" s="667"/>
      <c r="N628" s="667"/>
      <c r="O628" s="667"/>
      <c r="P628" s="667"/>
      <c r="Q628" s="667"/>
      <c r="R628" s="667"/>
      <c r="S628" s="826"/>
      <c r="T628" s="3"/>
      <c r="U628" s="3"/>
      <c r="V628" s="3"/>
      <c r="W628" s="3"/>
      <c r="X628" s="3"/>
      <c r="Y628" s="3"/>
      <c r="Z628" s="3"/>
    </row>
    <row r="629" ht="15.75" customHeight="1">
      <c r="C629" s="667"/>
      <c r="D629" s="667"/>
      <c r="E629" s="667"/>
      <c r="F629" s="668"/>
      <c r="G629" s="667"/>
      <c r="H629" s="667"/>
      <c r="I629" s="667"/>
      <c r="J629" s="667"/>
      <c r="K629" s="667"/>
      <c r="L629" s="667"/>
      <c r="M629" s="667"/>
      <c r="N629" s="667"/>
      <c r="O629" s="667"/>
      <c r="P629" s="667"/>
      <c r="Q629" s="667"/>
      <c r="R629" s="667"/>
      <c r="S629" s="826"/>
      <c r="T629" s="3"/>
      <c r="U629" s="3"/>
      <c r="V629" s="3"/>
      <c r="W629" s="3"/>
      <c r="X629" s="3"/>
      <c r="Y629" s="3"/>
      <c r="Z629" s="3"/>
    </row>
    <row r="630" ht="15.75" customHeight="1">
      <c r="C630" s="667"/>
      <c r="D630" s="667"/>
      <c r="E630" s="667"/>
      <c r="F630" s="668"/>
      <c r="G630" s="667"/>
      <c r="H630" s="667"/>
      <c r="I630" s="667"/>
      <c r="J630" s="667"/>
      <c r="K630" s="667"/>
      <c r="L630" s="667"/>
      <c r="M630" s="667"/>
      <c r="N630" s="667"/>
      <c r="O630" s="667"/>
      <c r="P630" s="667"/>
      <c r="Q630" s="667"/>
      <c r="R630" s="667"/>
      <c r="S630" s="826"/>
      <c r="T630" s="3"/>
      <c r="U630" s="3"/>
      <c r="V630" s="3"/>
      <c r="W630" s="3"/>
      <c r="X630" s="3"/>
      <c r="Y630" s="3"/>
      <c r="Z630" s="3"/>
    </row>
    <row r="631" ht="15.75" customHeight="1">
      <c r="C631" s="667"/>
      <c r="D631" s="667"/>
      <c r="E631" s="667"/>
      <c r="F631" s="668"/>
      <c r="G631" s="667"/>
      <c r="H631" s="667"/>
      <c r="I631" s="667"/>
      <c r="J631" s="667"/>
      <c r="K631" s="667"/>
      <c r="L631" s="667"/>
      <c r="M631" s="667"/>
      <c r="N631" s="667"/>
      <c r="O631" s="667"/>
      <c r="P631" s="667"/>
      <c r="Q631" s="667"/>
      <c r="R631" s="667"/>
      <c r="S631" s="826"/>
      <c r="T631" s="3"/>
      <c r="U631" s="3"/>
      <c r="V631" s="3"/>
      <c r="W631" s="3"/>
      <c r="X631" s="3"/>
      <c r="Y631" s="3"/>
      <c r="Z631" s="3"/>
    </row>
    <row r="632" ht="15.75" customHeight="1">
      <c r="C632" s="667"/>
      <c r="D632" s="667"/>
      <c r="E632" s="667"/>
      <c r="F632" s="668"/>
      <c r="G632" s="667"/>
      <c r="H632" s="667"/>
      <c r="I632" s="667"/>
      <c r="J632" s="667"/>
      <c r="K632" s="667"/>
      <c r="L632" s="667"/>
      <c r="M632" s="667"/>
      <c r="N632" s="667"/>
      <c r="O632" s="667"/>
      <c r="P632" s="667"/>
      <c r="Q632" s="667"/>
      <c r="R632" s="667"/>
      <c r="S632" s="826"/>
      <c r="T632" s="3"/>
      <c r="U632" s="3"/>
      <c r="V632" s="3"/>
      <c r="W632" s="3"/>
      <c r="X632" s="3"/>
      <c r="Y632" s="3"/>
      <c r="Z632" s="3"/>
    </row>
    <row r="633" ht="15.75" customHeight="1">
      <c r="C633" s="667"/>
      <c r="D633" s="667"/>
      <c r="E633" s="667"/>
      <c r="F633" s="668"/>
      <c r="G633" s="667"/>
      <c r="H633" s="667"/>
      <c r="I633" s="667"/>
      <c r="J633" s="667"/>
      <c r="K633" s="667"/>
      <c r="L633" s="667"/>
      <c r="M633" s="667"/>
      <c r="N633" s="667"/>
      <c r="O633" s="667"/>
      <c r="P633" s="667"/>
      <c r="Q633" s="667"/>
      <c r="R633" s="667"/>
      <c r="S633" s="826"/>
      <c r="T633" s="3"/>
      <c r="U633" s="3"/>
      <c r="V633" s="3"/>
      <c r="W633" s="3"/>
      <c r="X633" s="3"/>
      <c r="Y633" s="3"/>
      <c r="Z633" s="3"/>
    </row>
    <row r="634" ht="15.75" customHeight="1">
      <c r="C634" s="667"/>
      <c r="D634" s="667"/>
      <c r="E634" s="667"/>
      <c r="F634" s="668"/>
      <c r="G634" s="667"/>
      <c r="H634" s="667"/>
      <c r="I634" s="667"/>
      <c r="J634" s="667"/>
      <c r="K634" s="667"/>
      <c r="L634" s="667"/>
      <c r="M634" s="667"/>
      <c r="N634" s="667"/>
      <c r="O634" s="667"/>
      <c r="P634" s="667"/>
      <c r="Q634" s="667"/>
      <c r="R634" s="667"/>
      <c r="S634" s="826"/>
      <c r="T634" s="3"/>
      <c r="U634" s="3"/>
      <c r="V634" s="3"/>
      <c r="W634" s="3"/>
      <c r="X634" s="3"/>
      <c r="Y634" s="3"/>
      <c r="Z634" s="3"/>
    </row>
    <row r="635" ht="15.75" customHeight="1">
      <c r="C635" s="667"/>
      <c r="D635" s="667"/>
      <c r="E635" s="667"/>
      <c r="F635" s="668"/>
      <c r="G635" s="667"/>
      <c r="H635" s="667"/>
      <c r="I635" s="667"/>
      <c r="J635" s="667"/>
      <c r="K635" s="667"/>
      <c r="L635" s="667"/>
      <c r="M635" s="667"/>
      <c r="N635" s="667"/>
      <c r="O635" s="667"/>
      <c r="P635" s="667"/>
      <c r="Q635" s="667"/>
      <c r="R635" s="667"/>
      <c r="S635" s="826"/>
      <c r="T635" s="3"/>
      <c r="U635" s="3"/>
      <c r="V635" s="3"/>
      <c r="W635" s="3"/>
      <c r="X635" s="3"/>
      <c r="Y635" s="3"/>
      <c r="Z635" s="3"/>
    </row>
    <row r="636" ht="15.75" customHeight="1">
      <c r="C636" s="667"/>
      <c r="D636" s="667"/>
      <c r="E636" s="667"/>
      <c r="F636" s="668"/>
      <c r="G636" s="667"/>
      <c r="H636" s="667"/>
      <c r="I636" s="667"/>
      <c r="J636" s="667"/>
      <c r="K636" s="667"/>
      <c r="L636" s="667"/>
      <c r="M636" s="667"/>
      <c r="N636" s="667"/>
      <c r="O636" s="667"/>
      <c r="P636" s="667"/>
      <c r="Q636" s="667"/>
      <c r="R636" s="667"/>
      <c r="S636" s="826"/>
      <c r="T636" s="3"/>
      <c r="U636" s="3"/>
      <c r="V636" s="3"/>
      <c r="W636" s="3"/>
      <c r="X636" s="3"/>
      <c r="Y636" s="3"/>
      <c r="Z636" s="3"/>
    </row>
    <row r="637" ht="15.75" customHeight="1">
      <c r="C637" s="667"/>
      <c r="D637" s="667"/>
      <c r="E637" s="667"/>
      <c r="F637" s="668"/>
      <c r="G637" s="667"/>
      <c r="H637" s="667"/>
      <c r="I637" s="667"/>
      <c r="J637" s="667"/>
      <c r="K637" s="667"/>
      <c r="L637" s="667"/>
      <c r="M637" s="667"/>
      <c r="N637" s="667"/>
      <c r="O637" s="667"/>
      <c r="P637" s="667"/>
      <c r="Q637" s="667"/>
      <c r="R637" s="667"/>
      <c r="S637" s="826"/>
      <c r="T637" s="3"/>
      <c r="U637" s="3"/>
      <c r="V637" s="3"/>
      <c r="W637" s="3"/>
      <c r="X637" s="3"/>
      <c r="Y637" s="3"/>
      <c r="Z637" s="3"/>
    </row>
    <row r="638" ht="15.75" customHeight="1">
      <c r="C638" s="667"/>
      <c r="D638" s="667"/>
      <c r="E638" s="667"/>
      <c r="F638" s="668"/>
      <c r="G638" s="667"/>
      <c r="H638" s="667"/>
      <c r="I638" s="667"/>
      <c r="J638" s="667"/>
      <c r="K638" s="667"/>
      <c r="L638" s="667"/>
      <c r="M638" s="667"/>
      <c r="N638" s="667"/>
      <c r="O638" s="667"/>
      <c r="P638" s="667"/>
      <c r="Q638" s="667"/>
      <c r="R638" s="667"/>
      <c r="S638" s="826"/>
      <c r="T638" s="3"/>
      <c r="U638" s="3"/>
      <c r="V638" s="3"/>
      <c r="W638" s="3"/>
      <c r="X638" s="3"/>
      <c r="Y638" s="3"/>
      <c r="Z638" s="3"/>
    </row>
    <row r="639" ht="15.75" customHeight="1">
      <c r="C639" s="667"/>
      <c r="D639" s="667"/>
      <c r="E639" s="667"/>
      <c r="F639" s="668"/>
      <c r="G639" s="667"/>
      <c r="H639" s="667"/>
      <c r="I639" s="667"/>
      <c r="J639" s="667"/>
      <c r="K639" s="667"/>
      <c r="L639" s="667"/>
      <c r="M639" s="667"/>
      <c r="N639" s="667"/>
      <c r="O639" s="667"/>
      <c r="P639" s="667"/>
      <c r="Q639" s="667"/>
      <c r="R639" s="667"/>
      <c r="S639" s="826"/>
      <c r="T639" s="3"/>
      <c r="U639" s="3"/>
      <c r="V639" s="3"/>
      <c r="W639" s="3"/>
      <c r="X639" s="3"/>
      <c r="Y639" s="3"/>
      <c r="Z639" s="3"/>
    </row>
    <row r="640" ht="15.75" customHeight="1">
      <c r="C640" s="667"/>
      <c r="D640" s="667"/>
      <c r="E640" s="667"/>
      <c r="F640" s="668"/>
      <c r="G640" s="667"/>
      <c r="H640" s="667"/>
      <c r="I640" s="667"/>
      <c r="J640" s="667"/>
      <c r="K640" s="667"/>
      <c r="L640" s="667"/>
      <c r="M640" s="667"/>
      <c r="N640" s="667"/>
      <c r="O640" s="667"/>
      <c r="P640" s="667"/>
      <c r="Q640" s="667"/>
      <c r="R640" s="667"/>
      <c r="S640" s="826"/>
      <c r="T640" s="3"/>
      <c r="U640" s="3"/>
      <c r="V640" s="3"/>
      <c r="W640" s="3"/>
      <c r="X640" s="3"/>
      <c r="Y640" s="3"/>
      <c r="Z640" s="3"/>
    </row>
    <row r="641" ht="15.75" customHeight="1">
      <c r="C641" s="667"/>
      <c r="D641" s="667"/>
      <c r="E641" s="667"/>
      <c r="F641" s="668"/>
      <c r="G641" s="667"/>
      <c r="H641" s="667"/>
      <c r="I641" s="667"/>
      <c r="J641" s="667"/>
      <c r="K641" s="667"/>
      <c r="L641" s="667"/>
      <c r="M641" s="667"/>
      <c r="N641" s="667"/>
      <c r="O641" s="667"/>
      <c r="P641" s="667"/>
      <c r="Q641" s="667"/>
      <c r="R641" s="667"/>
      <c r="S641" s="826"/>
      <c r="T641" s="3"/>
      <c r="U641" s="3"/>
      <c r="V641" s="3"/>
      <c r="W641" s="3"/>
      <c r="X641" s="3"/>
      <c r="Y641" s="3"/>
      <c r="Z641" s="3"/>
    </row>
    <row r="642" ht="15.75" customHeight="1">
      <c r="C642" s="667"/>
      <c r="D642" s="667"/>
      <c r="E642" s="667"/>
      <c r="F642" s="668"/>
      <c r="G642" s="667"/>
      <c r="H642" s="667"/>
      <c r="I642" s="667"/>
      <c r="J642" s="667"/>
      <c r="K642" s="667"/>
      <c r="L642" s="667"/>
      <c r="M642" s="667"/>
      <c r="N642" s="667"/>
      <c r="O642" s="667"/>
      <c r="P642" s="667"/>
      <c r="Q642" s="667"/>
      <c r="R642" s="667"/>
      <c r="S642" s="826"/>
      <c r="T642" s="3"/>
      <c r="U642" s="3"/>
      <c r="V642" s="3"/>
      <c r="W642" s="3"/>
      <c r="X642" s="3"/>
      <c r="Y642" s="3"/>
      <c r="Z642" s="3"/>
    </row>
    <row r="643" ht="15.75" customHeight="1">
      <c r="C643" s="667"/>
      <c r="D643" s="667"/>
      <c r="E643" s="667"/>
      <c r="F643" s="668"/>
      <c r="G643" s="667"/>
      <c r="H643" s="667"/>
      <c r="I643" s="667"/>
      <c r="J643" s="667"/>
      <c r="K643" s="667"/>
      <c r="L643" s="667"/>
      <c r="M643" s="667"/>
      <c r="N643" s="667"/>
      <c r="O643" s="667"/>
      <c r="P643" s="667"/>
      <c r="Q643" s="667"/>
      <c r="R643" s="667"/>
      <c r="S643" s="826"/>
      <c r="T643" s="3"/>
      <c r="U643" s="3"/>
      <c r="V643" s="3"/>
      <c r="W643" s="3"/>
      <c r="X643" s="3"/>
      <c r="Y643" s="3"/>
      <c r="Z643" s="3"/>
    </row>
    <row r="644" ht="15.75" customHeight="1">
      <c r="C644" s="667"/>
      <c r="D644" s="667"/>
      <c r="E644" s="667"/>
      <c r="F644" s="668"/>
      <c r="G644" s="667"/>
      <c r="H644" s="667"/>
      <c r="I644" s="667"/>
      <c r="J644" s="667"/>
      <c r="K644" s="667"/>
      <c r="L644" s="667"/>
      <c r="M644" s="667"/>
      <c r="N644" s="667"/>
      <c r="O644" s="667"/>
      <c r="P644" s="667"/>
      <c r="Q644" s="667"/>
      <c r="R644" s="667"/>
      <c r="S644" s="826"/>
      <c r="T644" s="3"/>
      <c r="U644" s="3"/>
      <c r="V644" s="3"/>
      <c r="W644" s="3"/>
      <c r="X644" s="3"/>
      <c r="Y644" s="3"/>
      <c r="Z644" s="3"/>
    </row>
    <row r="645" ht="15.75" customHeight="1">
      <c r="C645" s="667"/>
      <c r="D645" s="667"/>
      <c r="E645" s="667"/>
      <c r="F645" s="668"/>
      <c r="G645" s="667"/>
      <c r="H645" s="667"/>
      <c r="I645" s="667"/>
      <c r="J645" s="667"/>
      <c r="K645" s="667"/>
      <c r="L645" s="667"/>
      <c r="M645" s="667"/>
      <c r="N645" s="667"/>
      <c r="O645" s="667"/>
      <c r="P645" s="667"/>
      <c r="Q645" s="667"/>
      <c r="R645" s="667"/>
      <c r="S645" s="826"/>
      <c r="T645" s="3"/>
      <c r="U645" s="3"/>
      <c r="V645" s="3"/>
      <c r="W645" s="3"/>
      <c r="X645" s="3"/>
      <c r="Y645" s="3"/>
      <c r="Z645" s="3"/>
    </row>
    <row r="646" ht="15.75" customHeight="1">
      <c r="C646" s="667"/>
      <c r="D646" s="667"/>
      <c r="E646" s="667"/>
      <c r="F646" s="668"/>
      <c r="G646" s="667"/>
      <c r="H646" s="667"/>
      <c r="I646" s="667"/>
      <c r="J646" s="667"/>
      <c r="K646" s="667"/>
      <c r="L646" s="667"/>
      <c r="M646" s="667"/>
      <c r="N646" s="667"/>
      <c r="O646" s="667"/>
      <c r="P646" s="667"/>
      <c r="Q646" s="667"/>
      <c r="R646" s="667"/>
      <c r="S646" s="826"/>
      <c r="T646" s="3"/>
      <c r="U646" s="3"/>
      <c r="V646" s="3"/>
      <c r="W646" s="3"/>
      <c r="X646" s="3"/>
      <c r="Y646" s="3"/>
      <c r="Z646" s="3"/>
    </row>
    <row r="647" ht="15.75" customHeight="1">
      <c r="C647" s="667"/>
      <c r="D647" s="667"/>
      <c r="E647" s="667"/>
      <c r="F647" s="668"/>
      <c r="G647" s="667"/>
      <c r="H647" s="667"/>
      <c r="I647" s="667"/>
      <c r="J647" s="667"/>
      <c r="K647" s="667"/>
      <c r="L647" s="667"/>
      <c r="M647" s="667"/>
      <c r="N647" s="667"/>
      <c r="O647" s="667"/>
      <c r="P647" s="667"/>
      <c r="Q647" s="667"/>
      <c r="R647" s="667"/>
      <c r="S647" s="826"/>
      <c r="T647" s="3"/>
      <c r="U647" s="3"/>
      <c r="V647" s="3"/>
      <c r="W647" s="3"/>
      <c r="X647" s="3"/>
      <c r="Y647" s="3"/>
      <c r="Z647" s="3"/>
    </row>
    <row r="648" ht="15.75" customHeight="1">
      <c r="C648" s="667"/>
      <c r="D648" s="667"/>
      <c r="E648" s="667"/>
      <c r="F648" s="668"/>
      <c r="G648" s="667"/>
      <c r="H648" s="667"/>
      <c r="I648" s="667"/>
      <c r="J648" s="667"/>
      <c r="K648" s="667"/>
      <c r="L648" s="667"/>
      <c r="M648" s="667"/>
      <c r="N648" s="667"/>
      <c r="O648" s="667"/>
      <c r="P648" s="667"/>
      <c r="Q648" s="667"/>
      <c r="R648" s="667"/>
      <c r="S648" s="826"/>
      <c r="T648" s="3"/>
      <c r="U648" s="3"/>
      <c r="V648" s="3"/>
      <c r="W648" s="3"/>
      <c r="X648" s="3"/>
      <c r="Y648" s="3"/>
      <c r="Z648" s="3"/>
    </row>
    <row r="649" ht="15.75" customHeight="1">
      <c r="C649" s="667"/>
      <c r="D649" s="667"/>
      <c r="E649" s="667"/>
      <c r="F649" s="668"/>
      <c r="G649" s="667"/>
      <c r="H649" s="667"/>
      <c r="I649" s="667"/>
      <c r="J649" s="667"/>
      <c r="K649" s="667"/>
      <c r="L649" s="667"/>
      <c r="M649" s="667"/>
      <c r="N649" s="667"/>
      <c r="O649" s="667"/>
      <c r="P649" s="667"/>
      <c r="Q649" s="667"/>
      <c r="R649" s="667"/>
      <c r="S649" s="826"/>
      <c r="T649" s="3"/>
      <c r="U649" s="3"/>
      <c r="V649" s="3"/>
      <c r="W649" s="3"/>
      <c r="X649" s="3"/>
      <c r="Y649" s="3"/>
      <c r="Z649" s="3"/>
    </row>
    <row r="650" ht="15.75" customHeight="1">
      <c r="C650" s="667"/>
      <c r="D650" s="667"/>
      <c r="E650" s="667"/>
      <c r="F650" s="668"/>
      <c r="G650" s="667"/>
      <c r="H650" s="667"/>
      <c r="I650" s="667"/>
      <c r="J650" s="667"/>
      <c r="K650" s="667"/>
      <c r="L650" s="667"/>
      <c r="M650" s="667"/>
      <c r="N650" s="667"/>
      <c r="O650" s="667"/>
      <c r="P650" s="667"/>
      <c r="Q650" s="667"/>
      <c r="R650" s="667"/>
      <c r="S650" s="826"/>
      <c r="T650" s="3"/>
      <c r="U650" s="3"/>
      <c r="V650" s="3"/>
      <c r="W650" s="3"/>
      <c r="X650" s="3"/>
      <c r="Y650" s="3"/>
      <c r="Z650" s="3"/>
    </row>
    <row r="651" ht="15.75" customHeight="1">
      <c r="C651" s="667"/>
      <c r="D651" s="667"/>
      <c r="E651" s="667"/>
      <c r="F651" s="668"/>
      <c r="G651" s="667"/>
      <c r="H651" s="667"/>
      <c r="I651" s="667"/>
      <c r="J651" s="667"/>
      <c r="K651" s="667"/>
      <c r="L651" s="667"/>
      <c r="M651" s="667"/>
      <c r="N651" s="667"/>
      <c r="O651" s="667"/>
      <c r="P651" s="667"/>
      <c r="Q651" s="667"/>
      <c r="R651" s="667"/>
      <c r="S651" s="826"/>
      <c r="T651" s="3"/>
      <c r="U651" s="3"/>
      <c r="V651" s="3"/>
      <c r="W651" s="3"/>
      <c r="X651" s="3"/>
      <c r="Y651" s="3"/>
      <c r="Z651" s="3"/>
    </row>
    <row r="652" ht="15.75" customHeight="1">
      <c r="C652" s="667"/>
      <c r="D652" s="667"/>
      <c r="E652" s="667"/>
      <c r="F652" s="668"/>
      <c r="G652" s="667"/>
      <c r="H652" s="667"/>
      <c r="I652" s="667"/>
      <c r="J652" s="667"/>
      <c r="K652" s="667"/>
      <c r="L652" s="667"/>
      <c r="M652" s="667"/>
      <c r="N652" s="667"/>
      <c r="O652" s="667"/>
      <c r="P652" s="667"/>
      <c r="Q652" s="667"/>
      <c r="R652" s="667"/>
      <c r="S652" s="826"/>
      <c r="T652" s="3"/>
      <c r="U652" s="3"/>
      <c r="V652" s="3"/>
      <c r="W652" s="3"/>
      <c r="X652" s="3"/>
      <c r="Y652" s="3"/>
      <c r="Z652" s="3"/>
    </row>
    <row r="653" ht="15.75" customHeight="1">
      <c r="C653" s="667"/>
      <c r="D653" s="667"/>
      <c r="E653" s="667"/>
      <c r="F653" s="668"/>
      <c r="G653" s="667"/>
      <c r="H653" s="667"/>
      <c r="I653" s="667"/>
      <c r="J653" s="667"/>
      <c r="K653" s="667"/>
      <c r="L653" s="667"/>
      <c r="M653" s="667"/>
      <c r="N653" s="667"/>
      <c r="O653" s="667"/>
      <c r="P653" s="667"/>
      <c r="Q653" s="667"/>
      <c r="R653" s="667"/>
      <c r="S653" s="826"/>
      <c r="T653" s="3"/>
      <c r="U653" s="3"/>
      <c r="V653" s="3"/>
      <c r="W653" s="3"/>
      <c r="X653" s="3"/>
      <c r="Y653" s="3"/>
      <c r="Z653" s="3"/>
    </row>
    <row r="654" ht="15.75" customHeight="1">
      <c r="C654" s="667"/>
      <c r="D654" s="667"/>
      <c r="E654" s="667"/>
      <c r="F654" s="668"/>
      <c r="G654" s="667"/>
      <c r="H654" s="667"/>
      <c r="I654" s="667"/>
      <c r="J654" s="667"/>
      <c r="K654" s="667"/>
      <c r="L654" s="667"/>
      <c r="M654" s="667"/>
      <c r="N654" s="667"/>
      <c r="O654" s="667"/>
      <c r="P654" s="667"/>
      <c r="Q654" s="667"/>
      <c r="R654" s="667"/>
      <c r="S654" s="826"/>
      <c r="T654" s="3"/>
      <c r="U654" s="3"/>
      <c r="V654" s="3"/>
      <c r="W654" s="3"/>
      <c r="X654" s="3"/>
      <c r="Y654" s="3"/>
      <c r="Z654" s="3"/>
    </row>
    <row r="655" ht="15.75" customHeight="1">
      <c r="C655" s="667"/>
      <c r="D655" s="667"/>
      <c r="E655" s="667"/>
      <c r="F655" s="668"/>
      <c r="G655" s="667"/>
      <c r="H655" s="667"/>
      <c r="I655" s="667"/>
      <c r="J655" s="667"/>
      <c r="K655" s="667"/>
      <c r="L655" s="667"/>
      <c r="M655" s="667"/>
      <c r="N655" s="667"/>
      <c r="O655" s="667"/>
      <c r="P655" s="667"/>
      <c r="Q655" s="667"/>
      <c r="R655" s="667"/>
      <c r="S655" s="826"/>
      <c r="T655" s="3"/>
      <c r="U655" s="3"/>
      <c r="V655" s="3"/>
      <c r="W655" s="3"/>
      <c r="X655" s="3"/>
      <c r="Y655" s="3"/>
      <c r="Z655" s="3"/>
    </row>
    <row r="656" ht="15.75" customHeight="1">
      <c r="C656" s="667"/>
      <c r="D656" s="667"/>
      <c r="E656" s="667"/>
      <c r="F656" s="668"/>
      <c r="G656" s="667"/>
      <c r="H656" s="667"/>
      <c r="I656" s="667"/>
      <c r="J656" s="667"/>
      <c r="K656" s="667"/>
      <c r="L656" s="667"/>
      <c r="M656" s="667"/>
      <c r="N656" s="667"/>
      <c r="O656" s="667"/>
      <c r="P656" s="667"/>
      <c r="Q656" s="667"/>
      <c r="R656" s="667"/>
      <c r="S656" s="826"/>
      <c r="T656" s="3"/>
      <c r="U656" s="3"/>
      <c r="V656" s="3"/>
      <c r="W656" s="3"/>
      <c r="X656" s="3"/>
      <c r="Y656" s="3"/>
      <c r="Z656" s="3"/>
    </row>
    <row r="657" ht="15.75" customHeight="1">
      <c r="C657" s="667"/>
      <c r="D657" s="667"/>
      <c r="E657" s="667"/>
      <c r="F657" s="668"/>
      <c r="G657" s="667"/>
      <c r="H657" s="667"/>
      <c r="I657" s="667"/>
      <c r="J657" s="667"/>
      <c r="K657" s="667"/>
      <c r="L657" s="667"/>
      <c r="M657" s="667"/>
      <c r="N657" s="667"/>
      <c r="O657" s="667"/>
      <c r="P657" s="667"/>
      <c r="Q657" s="667"/>
      <c r="R657" s="667"/>
      <c r="S657" s="826"/>
      <c r="T657" s="3"/>
      <c r="U657" s="3"/>
      <c r="V657" s="3"/>
      <c r="W657" s="3"/>
      <c r="X657" s="3"/>
      <c r="Y657" s="3"/>
      <c r="Z657" s="3"/>
    </row>
    <row r="658" ht="15.75" customHeight="1">
      <c r="C658" s="667"/>
      <c r="D658" s="667"/>
      <c r="E658" s="667"/>
      <c r="F658" s="668"/>
      <c r="G658" s="667"/>
      <c r="H658" s="667"/>
      <c r="I658" s="667"/>
      <c r="J658" s="667"/>
      <c r="K658" s="667"/>
      <c r="L658" s="667"/>
      <c r="M658" s="667"/>
      <c r="N658" s="667"/>
      <c r="O658" s="667"/>
      <c r="P658" s="667"/>
      <c r="Q658" s="667"/>
      <c r="R658" s="667"/>
      <c r="S658" s="826"/>
      <c r="T658" s="3"/>
      <c r="U658" s="3"/>
      <c r="V658" s="3"/>
      <c r="W658" s="3"/>
      <c r="X658" s="3"/>
      <c r="Y658" s="3"/>
      <c r="Z658" s="3"/>
    </row>
    <row r="659" ht="15.75" customHeight="1">
      <c r="C659" s="667"/>
      <c r="D659" s="667"/>
      <c r="E659" s="667"/>
      <c r="F659" s="668"/>
      <c r="G659" s="667"/>
      <c r="H659" s="667"/>
      <c r="I659" s="667"/>
      <c r="J659" s="667"/>
      <c r="K659" s="667"/>
      <c r="L659" s="667"/>
      <c r="M659" s="667"/>
      <c r="N659" s="667"/>
      <c r="O659" s="667"/>
      <c r="P659" s="667"/>
      <c r="Q659" s="667"/>
      <c r="R659" s="667"/>
      <c r="S659" s="826"/>
      <c r="T659" s="3"/>
      <c r="U659" s="3"/>
      <c r="V659" s="3"/>
      <c r="W659" s="3"/>
      <c r="X659" s="3"/>
      <c r="Y659" s="3"/>
      <c r="Z659" s="3"/>
    </row>
    <row r="660" ht="15.75" customHeight="1">
      <c r="C660" s="667"/>
      <c r="D660" s="667"/>
      <c r="E660" s="667"/>
      <c r="F660" s="668"/>
      <c r="G660" s="667"/>
      <c r="H660" s="667"/>
      <c r="I660" s="667"/>
      <c r="J660" s="667"/>
      <c r="K660" s="667"/>
      <c r="L660" s="667"/>
      <c r="M660" s="667"/>
      <c r="N660" s="667"/>
      <c r="O660" s="667"/>
      <c r="P660" s="667"/>
      <c r="Q660" s="667"/>
      <c r="R660" s="667"/>
      <c r="S660" s="826"/>
      <c r="T660" s="3"/>
      <c r="U660" s="3"/>
      <c r="V660" s="3"/>
      <c r="W660" s="3"/>
      <c r="X660" s="3"/>
      <c r="Y660" s="3"/>
      <c r="Z660" s="3"/>
    </row>
    <row r="661" ht="15.75" customHeight="1">
      <c r="C661" s="667"/>
      <c r="D661" s="667"/>
      <c r="E661" s="667"/>
      <c r="F661" s="668"/>
      <c r="G661" s="667"/>
      <c r="H661" s="667"/>
      <c r="I661" s="667"/>
      <c r="J661" s="667"/>
      <c r="K661" s="667"/>
      <c r="L661" s="667"/>
      <c r="M661" s="667"/>
      <c r="N661" s="667"/>
      <c r="O661" s="667"/>
      <c r="P661" s="667"/>
      <c r="Q661" s="667"/>
      <c r="R661" s="667"/>
      <c r="S661" s="826"/>
      <c r="T661" s="3"/>
      <c r="U661" s="3"/>
      <c r="V661" s="3"/>
      <c r="W661" s="3"/>
      <c r="X661" s="3"/>
      <c r="Y661" s="3"/>
      <c r="Z661" s="3"/>
    </row>
    <row r="662" ht="15.75" customHeight="1">
      <c r="C662" s="667"/>
      <c r="D662" s="667"/>
      <c r="E662" s="667"/>
      <c r="F662" s="668"/>
      <c r="G662" s="667"/>
      <c r="H662" s="667"/>
      <c r="I662" s="667"/>
      <c r="J662" s="667"/>
      <c r="K662" s="667"/>
      <c r="L662" s="667"/>
      <c r="M662" s="667"/>
      <c r="N662" s="667"/>
      <c r="O662" s="667"/>
      <c r="P662" s="667"/>
      <c r="Q662" s="667"/>
      <c r="R662" s="667"/>
      <c r="S662" s="826"/>
      <c r="T662" s="3"/>
      <c r="U662" s="3"/>
      <c r="V662" s="3"/>
      <c r="W662" s="3"/>
      <c r="X662" s="3"/>
      <c r="Y662" s="3"/>
      <c r="Z662" s="3"/>
    </row>
    <row r="663" ht="15.75" customHeight="1">
      <c r="C663" s="667"/>
      <c r="D663" s="667"/>
      <c r="E663" s="667"/>
      <c r="F663" s="668"/>
      <c r="G663" s="667"/>
      <c r="H663" s="667"/>
      <c r="I663" s="667"/>
      <c r="J663" s="667"/>
      <c r="K663" s="667"/>
      <c r="L663" s="667"/>
      <c r="M663" s="667"/>
      <c r="N663" s="667"/>
      <c r="O663" s="667"/>
      <c r="P663" s="667"/>
      <c r="Q663" s="667"/>
      <c r="R663" s="667"/>
      <c r="S663" s="826"/>
      <c r="T663" s="3"/>
      <c r="U663" s="3"/>
      <c r="V663" s="3"/>
      <c r="W663" s="3"/>
      <c r="X663" s="3"/>
      <c r="Y663" s="3"/>
      <c r="Z663" s="3"/>
    </row>
    <row r="664" ht="15.75" customHeight="1">
      <c r="C664" s="667"/>
      <c r="D664" s="667"/>
      <c r="E664" s="667"/>
      <c r="F664" s="668"/>
      <c r="G664" s="667"/>
      <c r="H664" s="667"/>
      <c r="I664" s="667"/>
      <c r="J664" s="667"/>
      <c r="K664" s="667"/>
      <c r="L664" s="667"/>
      <c r="M664" s="667"/>
      <c r="N664" s="667"/>
      <c r="O664" s="667"/>
      <c r="P664" s="667"/>
      <c r="Q664" s="667"/>
      <c r="R664" s="667"/>
      <c r="S664" s="826"/>
      <c r="T664" s="3"/>
      <c r="U664" s="3"/>
      <c r="V664" s="3"/>
      <c r="W664" s="3"/>
      <c r="X664" s="3"/>
      <c r="Y664" s="3"/>
      <c r="Z664" s="3"/>
    </row>
    <row r="665" ht="15.75" customHeight="1">
      <c r="C665" s="667"/>
      <c r="D665" s="667"/>
      <c r="E665" s="667"/>
      <c r="F665" s="668"/>
      <c r="G665" s="667"/>
      <c r="H665" s="667"/>
      <c r="I665" s="667"/>
      <c r="J665" s="667"/>
      <c r="K665" s="667"/>
      <c r="L665" s="667"/>
      <c r="M665" s="667"/>
      <c r="N665" s="667"/>
      <c r="O665" s="667"/>
      <c r="P665" s="667"/>
      <c r="Q665" s="667"/>
      <c r="R665" s="667"/>
      <c r="S665" s="826"/>
      <c r="T665" s="3"/>
      <c r="U665" s="3"/>
      <c r="V665" s="3"/>
      <c r="W665" s="3"/>
      <c r="X665" s="3"/>
      <c r="Y665" s="3"/>
      <c r="Z665" s="3"/>
    </row>
    <row r="666" ht="15.75" customHeight="1">
      <c r="C666" s="667"/>
      <c r="D666" s="667"/>
      <c r="E666" s="667"/>
      <c r="F666" s="668"/>
      <c r="G666" s="667"/>
      <c r="H666" s="667"/>
      <c r="I666" s="667"/>
      <c r="J666" s="667"/>
      <c r="K666" s="667"/>
      <c r="L666" s="667"/>
      <c r="M666" s="667"/>
      <c r="N666" s="667"/>
      <c r="O666" s="667"/>
      <c r="P666" s="667"/>
      <c r="Q666" s="667"/>
      <c r="R666" s="667"/>
      <c r="S666" s="826"/>
      <c r="T666" s="3"/>
      <c r="U666" s="3"/>
      <c r="V666" s="3"/>
      <c r="W666" s="3"/>
      <c r="X666" s="3"/>
      <c r="Y666" s="3"/>
      <c r="Z666" s="3"/>
    </row>
    <row r="667" ht="15.75" customHeight="1">
      <c r="C667" s="667"/>
      <c r="D667" s="667"/>
      <c r="E667" s="667"/>
      <c r="F667" s="668"/>
      <c r="G667" s="667"/>
      <c r="H667" s="667"/>
      <c r="I667" s="667"/>
      <c r="J667" s="667"/>
      <c r="K667" s="667"/>
      <c r="L667" s="667"/>
      <c r="M667" s="667"/>
      <c r="N667" s="667"/>
      <c r="O667" s="667"/>
      <c r="P667" s="667"/>
      <c r="Q667" s="667"/>
      <c r="R667" s="667"/>
      <c r="S667" s="826"/>
      <c r="T667" s="3"/>
      <c r="U667" s="3"/>
      <c r="V667" s="3"/>
      <c r="W667" s="3"/>
      <c r="X667" s="3"/>
      <c r="Y667" s="3"/>
      <c r="Z667" s="3"/>
    </row>
    <row r="668" ht="15.75" customHeight="1">
      <c r="C668" s="667"/>
      <c r="D668" s="667"/>
      <c r="E668" s="667"/>
      <c r="F668" s="668"/>
      <c r="G668" s="667"/>
      <c r="H668" s="667"/>
      <c r="I668" s="667"/>
      <c r="J668" s="667"/>
      <c r="K668" s="667"/>
      <c r="L668" s="667"/>
      <c r="M668" s="667"/>
      <c r="N668" s="667"/>
      <c r="O668" s="667"/>
      <c r="P668" s="667"/>
      <c r="Q668" s="667"/>
      <c r="R668" s="667"/>
      <c r="S668" s="826"/>
      <c r="T668" s="3"/>
      <c r="U668" s="3"/>
      <c r="V668" s="3"/>
      <c r="W668" s="3"/>
      <c r="X668" s="3"/>
      <c r="Y668" s="3"/>
      <c r="Z668" s="3"/>
    </row>
    <row r="669" ht="15.75" customHeight="1">
      <c r="C669" s="667"/>
      <c r="D669" s="667"/>
      <c r="E669" s="667"/>
      <c r="F669" s="668"/>
      <c r="G669" s="667"/>
      <c r="H669" s="667"/>
      <c r="I669" s="667"/>
      <c r="J669" s="667"/>
      <c r="K669" s="667"/>
      <c r="L669" s="667"/>
      <c r="M669" s="667"/>
      <c r="N669" s="667"/>
      <c r="O669" s="667"/>
      <c r="P669" s="667"/>
      <c r="Q669" s="667"/>
      <c r="R669" s="667"/>
      <c r="S669" s="826"/>
      <c r="T669" s="3"/>
      <c r="U669" s="3"/>
      <c r="V669" s="3"/>
      <c r="W669" s="3"/>
      <c r="X669" s="3"/>
      <c r="Y669" s="3"/>
      <c r="Z669" s="3"/>
    </row>
    <row r="670" ht="15.75" customHeight="1">
      <c r="C670" s="667"/>
      <c r="D670" s="667"/>
      <c r="E670" s="667"/>
      <c r="F670" s="668"/>
      <c r="G670" s="667"/>
      <c r="H670" s="667"/>
      <c r="I670" s="667"/>
      <c r="J670" s="667"/>
      <c r="K670" s="667"/>
      <c r="L670" s="667"/>
      <c r="M670" s="667"/>
      <c r="N670" s="667"/>
      <c r="O670" s="667"/>
      <c r="P670" s="667"/>
      <c r="Q670" s="667"/>
      <c r="R670" s="667"/>
      <c r="S670" s="826"/>
      <c r="T670" s="3"/>
      <c r="U670" s="3"/>
      <c r="V670" s="3"/>
      <c r="W670" s="3"/>
      <c r="X670" s="3"/>
      <c r="Y670" s="3"/>
      <c r="Z670" s="3"/>
    </row>
    <row r="671" ht="15.75" customHeight="1">
      <c r="C671" s="667"/>
      <c r="D671" s="667"/>
      <c r="E671" s="667"/>
      <c r="F671" s="668"/>
      <c r="G671" s="667"/>
      <c r="H671" s="667"/>
      <c r="I671" s="667"/>
      <c r="J671" s="667"/>
      <c r="K671" s="667"/>
      <c r="L671" s="667"/>
      <c r="M671" s="667"/>
      <c r="N671" s="667"/>
      <c r="O671" s="667"/>
      <c r="P671" s="667"/>
      <c r="Q671" s="667"/>
      <c r="R671" s="667"/>
      <c r="S671" s="826"/>
      <c r="T671" s="3"/>
      <c r="U671" s="3"/>
      <c r="V671" s="3"/>
      <c r="W671" s="3"/>
      <c r="X671" s="3"/>
      <c r="Y671" s="3"/>
      <c r="Z671" s="3"/>
    </row>
    <row r="672" ht="15.75" customHeight="1">
      <c r="C672" s="667"/>
      <c r="D672" s="667"/>
      <c r="E672" s="667"/>
      <c r="F672" s="668"/>
      <c r="G672" s="667"/>
      <c r="H672" s="667"/>
      <c r="I672" s="667"/>
      <c r="J672" s="667"/>
      <c r="K672" s="667"/>
      <c r="L672" s="667"/>
      <c r="M672" s="667"/>
      <c r="N672" s="667"/>
      <c r="O672" s="667"/>
      <c r="P672" s="667"/>
      <c r="Q672" s="667"/>
      <c r="R672" s="667"/>
      <c r="S672" s="826"/>
      <c r="T672" s="3"/>
      <c r="U672" s="3"/>
      <c r="V672" s="3"/>
      <c r="W672" s="3"/>
      <c r="X672" s="3"/>
      <c r="Y672" s="3"/>
      <c r="Z672" s="3"/>
    </row>
    <row r="673" ht="15.75" customHeight="1">
      <c r="C673" s="667"/>
      <c r="D673" s="667"/>
      <c r="E673" s="667"/>
      <c r="F673" s="668"/>
      <c r="G673" s="667"/>
      <c r="H673" s="667"/>
      <c r="I673" s="667"/>
      <c r="J673" s="667"/>
      <c r="K673" s="667"/>
      <c r="L673" s="667"/>
      <c r="M673" s="667"/>
      <c r="N673" s="667"/>
      <c r="O673" s="667"/>
      <c r="P673" s="667"/>
      <c r="Q673" s="667"/>
      <c r="R673" s="667"/>
      <c r="S673" s="826"/>
      <c r="T673" s="3"/>
      <c r="U673" s="3"/>
      <c r="V673" s="3"/>
      <c r="W673" s="3"/>
      <c r="X673" s="3"/>
      <c r="Y673" s="3"/>
      <c r="Z673" s="3"/>
    </row>
    <row r="674" ht="15.75" customHeight="1">
      <c r="C674" s="667"/>
      <c r="D674" s="667"/>
      <c r="E674" s="667"/>
      <c r="F674" s="668"/>
      <c r="G674" s="667"/>
      <c r="H674" s="667"/>
      <c r="I674" s="667"/>
      <c r="J674" s="667"/>
      <c r="K674" s="667"/>
      <c r="L674" s="667"/>
      <c r="M674" s="667"/>
      <c r="N674" s="667"/>
      <c r="O674" s="667"/>
      <c r="P674" s="667"/>
      <c r="Q674" s="667"/>
      <c r="R674" s="667"/>
      <c r="S674" s="826"/>
      <c r="T674" s="3"/>
      <c r="U674" s="3"/>
      <c r="V674" s="3"/>
      <c r="W674" s="3"/>
      <c r="X674" s="3"/>
      <c r="Y674" s="3"/>
      <c r="Z674" s="3"/>
    </row>
    <row r="675" ht="15.75" customHeight="1">
      <c r="C675" s="667"/>
      <c r="D675" s="667"/>
      <c r="E675" s="667"/>
      <c r="F675" s="668"/>
      <c r="G675" s="667"/>
      <c r="H675" s="667"/>
      <c r="I675" s="667"/>
      <c r="J675" s="667"/>
      <c r="K675" s="667"/>
      <c r="L675" s="667"/>
      <c r="M675" s="667"/>
      <c r="N675" s="667"/>
      <c r="O675" s="667"/>
      <c r="P675" s="667"/>
      <c r="Q675" s="667"/>
      <c r="R675" s="667"/>
      <c r="S675" s="826"/>
      <c r="T675" s="3"/>
      <c r="U675" s="3"/>
      <c r="V675" s="3"/>
      <c r="W675" s="3"/>
      <c r="X675" s="3"/>
      <c r="Y675" s="3"/>
      <c r="Z675" s="3"/>
    </row>
    <row r="676" ht="15.75" customHeight="1">
      <c r="C676" s="667"/>
      <c r="D676" s="667"/>
      <c r="E676" s="667"/>
      <c r="F676" s="668"/>
      <c r="G676" s="667"/>
      <c r="H676" s="667"/>
      <c r="I676" s="667"/>
      <c r="J676" s="667"/>
      <c r="K676" s="667"/>
      <c r="L676" s="667"/>
      <c r="M676" s="667"/>
      <c r="N676" s="667"/>
      <c r="O676" s="667"/>
      <c r="P676" s="667"/>
      <c r="Q676" s="667"/>
      <c r="R676" s="667"/>
      <c r="S676" s="826"/>
      <c r="T676" s="3"/>
      <c r="U676" s="3"/>
      <c r="V676" s="3"/>
      <c r="W676" s="3"/>
      <c r="X676" s="3"/>
      <c r="Y676" s="3"/>
      <c r="Z676" s="3"/>
    </row>
    <row r="677" ht="15.75" customHeight="1">
      <c r="C677" s="667"/>
      <c r="D677" s="667"/>
      <c r="E677" s="667"/>
      <c r="F677" s="668"/>
      <c r="G677" s="667"/>
      <c r="H677" s="667"/>
      <c r="I677" s="667"/>
      <c r="J677" s="667"/>
      <c r="K677" s="667"/>
      <c r="L677" s="667"/>
      <c r="M677" s="667"/>
      <c r="N677" s="667"/>
      <c r="O677" s="667"/>
      <c r="P677" s="667"/>
      <c r="Q677" s="667"/>
      <c r="R677" s="667"/>
      <c r="S677" s="826"/>
      <c r="T677" s="3"/>
      <c r="U677" s="3"/>
      <c r="V677" s="3"/>
      <c r="W677" s="3"/>
      <c r="X677" s="3"/>
      <c r="Y677" s="3"/>
      <c r="Z677" s="3"/>
    </row>
    <row r="678" ht="15.75" customHeight="1">
      <c r="C678" s="667"/>
      <c r="D678" s="667"/>
      <c r="E678" s="667"/>
      <c r="F678" s="668"/>
      <c r="G678" s="667"/>
      <c r="H678" s="667"/>
      <c r="I678" s="667"/>
      <c r="J678" s="667"/>
      <c r="K678" s="667"/>
      <c r="L678" s="667"/>
      <c r="M678" s="667"/>
      <c r="N678" s="667"/>
      <c r="O678" s="667"/>
      <c r="P678" s="667"/>
      <c r="Q678" s="667"/>
      <c r="R678" s="667"/>
      <c r="S678" s="826"/>
      <c r="T678" s="3"/>
      <c r="U678" s="3"/>
      <c r="V678" s="3"/>
      <c r="W678" s="3"/>
      <c r="X678" s="3"/>
      <c r="Y678" s="3"/>
      <c r="Z678" s="3"/>
    </row>
    <row r="679" ht="15.75" customHeight="1">
      <c r="C679" s="667"/>
      <c r="D679" s="667"/>
      <c r="E679" s="667"/>
      <c r="F679" s="668"/>
      <c r="G679" s="667"/>
      <c r="H679" s="667"/>
      <c r="I679" s="667"/>
      <c r="J679" s="667"/>
      <c r="K679" s="667"/>
      <c r="L679" s="667"/>
      <c r="M679" s="667"/>
      <c r="N679" s="667"/>
      <c r="O679" s="667"/>
      <c r="P679" s="667"/>
      <c r="Q679" s="667"/>
      <c r="R679" s="667"/>
      <c r="S679" s="826"/>
      <c r="T679" s="3"/>
      <c r="U679" s="3"/>
      <c r="V679" s="3"/>
      <c r="W679" s="3"/>
      <c r="X679" s="3"/>
      <c r="Y679" s="3"/>
      <c r="Z679" s="3"/>
    </row>
    <row r="680" ht="15.75" customHeight="1">
      <c r="C680" s="667"/>
      <c r="D680" s="667"/>
      <c r="E680" s="667"/>
      <c r="F680" s="668"/>
      <c r="G680" s="667"/>
      <c r="H680" s="667"/>
      <c r="I680" s="667"/>
      <c r="J680" s="667"/>
      <c r="K680" s="667"/>
      <c r="L680" s="667"/>
      <c r="M680" s="667"/>
      <c r="N680" s="667"/>
      <c r="O680" s="667"/>
      <c r="P680" s="667"/>
      <c r="Q680" s="667"/>
      <c r="R680" s="667"/>
      <c r="S680" s="826"/>
      <c r="T680" s="3"/>
      <c r="U680" s="3"/>
      <c r="V680" s="3"/>
      <c r="W680" s="3"/>
      <c r="X680" s="3"/>
      <c r="Y680" s="3"/>
      <c r="Z680" s="3"/>
    </row>
    <row r="681" ht="15.75" customHeight="1">
      <c r="C681" s="667"/>
      <c r="D681" s="667"/>
      <c r="E681" s="667"/>
      <c r="F681" s="668"/>
      <c r="G681" s="667"/>
      <c r="H681" s="667"/>
      <c r="I681" s="667"/>
      <c r="J681" s="667"/>
      <c r="K681" s="667"/>
      <c r="L681" s="667"/>
      <c r="M681" s="667"/>
      <c r="N681" s="667"/>
      <c r="O681" s="667"/>
      <c r="P681" s="667"/>
      <c r="Q681" s="667"/>
      <c r="R681" s="667"/>
      <c r="S681" s="826"/>
      <c r="T681" s="3"/>
      <c r="U681" s="3"/>
      <c r="V681" s="3"/>
      <c r="W681" s="3"/>
      <c r="X681" s="3"/>
      <c r="Y681" s="3"/>
      <c r="Z681" s="3"/>
    </row>
    <row r="682" ht="15.75" customHeight="1">
      <c r="C682" s="667"/>
      <c r="D682" s="667"/>
      <c r="E682" s="667"/>
      <c r="F682" s="668"/>
      <c r="G682" s="667"/>
      <c r="H682" s="667"/>
      <c r="I682" s="667"/>
      <c r="J682" s="667"/>
      <c r="K682" s="667"/>
      <c r="L682" s="667"/>
      <c r="M682" s="667"/>
      <c r="N682" s="667"/>
      <c r="O682" s="667"/>
      <c r="P682" s="667"/>
      <c r="Q682" s="667"/>
      <c r="R682" s="667"/>
      <c r="S682" s="826"/>
      <c r="T682" s="3"/>
      <c r="U682" s="3"/>
      <c r="V682" s="3"/>
      <c r="W682" s="3"/>
      <c r="X682" s="3"/>
      <c r="Y682" s="3"/>
      <c r="Z682" s="3"/>
    </row>
    <row r="683" ht="15.75" customHeight="1">
      <c r="C683" s="667"/>
      <c r="D683" s="667"/>
      <c r="E683" s="667"/>
      <c r="F683" s="668"/>
      <c r="G683" s="667"/>
      <c r="H683" s="667"/>
      <c r="I683" s="667"/>
      <c r="J683" s="667"/>
      <c r="K683" s="667"/>
      <c r="L683" s="667"/>
      <c r="M683" s="667"/>
      <c r="N683" s="667"/>
      <c r="O683" s="667"/>
      <c r="P683" s="667"/>
      <c r="Q683" s="667"/>
      <c r="R683" s="667"/>
      <c r="S683" s="826"/>
      <c r="T683" s="3"/>
      <c r="U683" s="3"/>
      <c r="V683" s="3"/>
      <c r="W683" s="3"/>
      <c r="X683" s="3"/>
      <c r="Y683" s="3"/>
      <c r="Z683" s="3"/>
    </row>
    <row r="684" ht="15.75" customHeight="1">
      <c r="C684" s="667"/>
      <c r="D684" s="667"/>
      <c r="E684" s="667"/>
      <c r="F684" s="668"/>
      <c r="G684" s="667"/>
      <c r="H684" s="667"/>
      <c r="I684" s="667"/>
      <c r="J684" s="667"/>
      <c r="K684" s="667"/>
      <c r="L684" s="667"/>
      <c r="M684" s="667"/>
      <c r="N684" s="667"/>
      <c r="O684" s="667"/>
      <c r="P684" s="667"/>
      <c r="Q684" s="667"/>
      <c r="R684" s="667"/>
      <c r="S684" s="826"/>
      <c r="T684" s="3"/>
      <c r="U684" s="3"/>
      <c r="V684" s="3"/>
      <c r="W684" s="3"/>
      <c r="X684" s="3"/>
      <c r="Y684" s="3"/>
      <c r="Z684" s="3"/>
    </row>
    <row r="685" ht="15.75" customHeight="1">
      <c r="C685" s="667"/>
      <c r="D685" s="667"/>
      <c r="E685" s="667"/>
      <c r="F685" s="668"/>
      <c r="G685" s="667"/>
      <c r="H685" s="667"/>
      <c r="I685" s="667"/>
      <c r="J685" s="667"/>
      <c r="K685" s="667"/>
      <c r="L685" s="667"/>
      <c r="M685" s="667"/>
      <c r="N685" s="667"/>
      <c r="O685" s="667"/>
      <c r="P685" s="667"/>
      <c r="Q685" s="667"/>
      <c r="R685" s="667"/>
      <c r="S685" s="826"/>
      <c r="T685" s="3"/>
      <c r="U685" s="3"/>
      <c r="V685" s="3"/>
      <c r="W685" s="3"/>
      <c r="X685" s="3"/>
      <c r="Y685" s="3"/>
      <c r="Z685" s="3"/>
    </row>
    <row r="686" ht="15.75" customHeight="1">
      <c r="C686" s="667"/>
      <c r="D686" s="667"/>
      <c r="E686" s="667"/>
      <c r="F686" s="668"/>
      <c r="G686" s="667"/>
      <c r="H686" s="667"/>
      <c r="I686" s="667"/>
      <c r="J686" s="667"/>
      <c r="K686" s="667"/>
      <c r="L686" s="667"/>
      <c r="M686" s="667"/>
      <c r="N686" s="667"/>
      <c r="O686" s="667"/>
      <c r="P686" s="667"/>
      <c r="Q686" s="667"/>
      <c r="R686" s="667"/>
      <c r="S686" s="826"/>
      <c r="T686" s="3"/>
      <c r="U686" s="3"/>
      <c r="V686" s="3"/>
      <c r="W686" s="3"/>
      <c r="X686" s="3"/>
      <c r="Y686" s="3"/>
      <c r="Z686" s="3"/>
    </row>
    <row r="687" ht="15.75" customHeight="1">
      <c r="C687" s="667"/>
      <c r="D687" s="667"/>
      <c r="E687" s="667"/>
      <c r="F687" s="668"/>
      <c r="G687" s="667"/>
      <c r="H687" s="667"/>
      <c r="I687" s="667"/>
      <c r="J687" s="667"/>
      <c r="K687" s="667"/>
      <c r="L687" s="667"/>
      <c r="M687" s="667"/>
      <c r="N687" s="667"/>
      <c r="O687" s="667"/>
      <c r="P687" s="667"/>
      <c r="Q687" s="667"/>
      <c r="R687" s="667"/>
      <c r="S687" s="826"/>
      <c r="T687" s="3"/>
      <c r="U687" s="3"/>
      <c r="V687" s="3"/>
      <c r="W687" s="3"/>
      <c r="X687" s="3"/>
      <c r="Y687" s="3"/>
      <c r="Z687" s="3"/>
    </row>
    <row r="688" ht="15.75" customHeight="1">
      <c r="C688" s="667"/>
      <c r="D688" s="667"/>
      <c r="E688" s="667"/>
      <c r="F688" s="668"/>
      <c r="G688" s="667"/>
      <c r="H688" s="667"/>
      <c r="I688" s="667"/>
      <c r="J688" s="667"/>
      <c r="K688" s="667"/>
      <c r="L688" s="667"/>
      <c r="M688" s="667"/>
      <c r="N688" s="667"/>
      <c r="O688" s="667"/>
      <c r="P688" s="667"/>
      <c r="Q688" s="667"/>
      <c r="R688" s="667"/>
      <c r="S688" s="826"/>
      <c r="T688" s="3"/>
      <c r="U688" s="3"/>
      <c r="V688" s="3"/>
      <c r="W688" s="3"/>
      <c r="X688" s="3"/>
      <c r="Y688" s="3"/>
      <c r="Z688" s="3"/>
    </row>
    <row r="689" ht="15.75" customHeight="1">
      <c r="C689" s="667"/>
      <c r="D689" s="667"/>
      <c r="E689" s="667"/>
      <c r="F689" s="668"/>
      <c r="G689" s="667"/>
      <c r="H689" s="667"/>
      <c r="I689" s="667"/>
      <c r="J689" s="667"/>
      <c r="K689" s="667"/>
      <c r="L689" s="667"/>
      <c r="M689" s="667"/>
      <c r="N689" s="667"/>
      <c r="O689" s="667"/>
      <c r="P689" s="667"/>
      <c r="Q689" s="667"/>
      <c r="R689" s="667"/>
      <c r="S689" s="826"/>
      <c r="T689" s="3"/>
      <c r="U689" s="3"/>
      <c r="V689" s="3"/>
      <c r="W689" s="3"/>
      <c r="X689" s="3"/>
      <c r="Y689" s="3"/>
      <c r="Z689" s="3"/>
    </row>
    <row r="690" ht="15.75" customHeight="1">
      <c r="C690" s="667"/>
      <c r="D690" s="667"/>
      <c r="E690" s="667"/>
      <c r="F690" s="668"/>
      <c r="G690" s="667"/>
      <c r="H690" s="667"/>
      <c r="I690" s="667"/>
      <c r="J690" s="667"/>
      <c r="K690" s="667"/>
      <c r="L690" s="667"/>
      <c r="M690" s="667"/>
      <c r="N690" s="667"/>
      <c r="O690" s="667"/>
      <c r="P690" s="667"/>
      <c r="Q690" s="667"/>
      <c r="R690" s="667"/>
      <c r="S690" s="826"/>
      <c r="T690" s="3"/>
      <c r="U690" s="3"/>
      <c r="V690" s="3"/>
      <c r="W690" s="3"/>
      <c r="X690" s="3"/>
      <c r="Y690" s="3"/>
      <c r="Z690" s="3"/>
    </row>
    <row r="691" ht="15.75" customHeight="1">
      <c r="C691" s="667"/>
      <c r="D691" s="667"/>
      <c r="E691" s="667"/>
      <c r="F691" s="668"/>
      <c r="G691" s="667"/>
      <c r="H691" s="667"/>
      <c r="I691" s="667"/>
      <c r="J691" s="667"/>
      <c r="K691" s="667"/>
      <c r="L691" s="667"/>
      <c r="M691" s="667"/>
      <c r="N691" s="667"/>
      <c r="O691" s="667"/>
      <c r="P691" s="667"/>
      <c r="Q691" s="667"/>
      <c r="R691" s="667"/>
      <c r="S691" s="826"/>
      <c r="T691" s="3"/>
      <c r="U691" s="3"/>
      <c r="V691" s="3"/>
      <c r="W691" s="3"/>
      <c r="X691" s="3"/>
      <c r="Y691" s="3"/>
      <c r="Z691" s="3"/>
    </row>
    <row r="692" ht="15.75" customHeight="1">
      <c r="C692" s="667"/>
      <c r="D692" s="667"/>
      <c r="E692" s="667"/>
      <c r="F692" s="668"/>
      <c r="G692" s="667"/>
      <c r="H692" s="667"/>
      <c r="I692" s="667"/>
      <c r="J692" s="667"/>
      <c r="K692" s="667"/>
      <c r="L692" s="667"/>
      <c r="M692" s="667"/>
      <c r="N692" s="667"/>
      <c r="O692" s="667"/>
      <c r="P692" s="667"/>
      <c r="Q692" s="667"/>
      <c r="R692" s="667"/>
      <c r="S692" s="826"/>
      <c r="T692" s="3"/>
      <c r="U692" s="3"/>
      <c r="V692" s="3"/>
      <c r="W692" s="3"/>
      <c r="X692" s="3"/>
      <c r="Y692" s="3"/>
      <c r="Z692" s="3"/>
    </row>
    <row r="693" ht="15.75" customHeight="1">
      <c r="C693" s="667"/>
      <c r="D693" s="667"/>
      <c r="E693" s="667"/>
      <c r="F693" s="668"/>
      <c r="G693" s="667"/>
      <c r="H693" s="667"/>
      <c r="I693" s="667"/>
      <c r="J693" s="667"/>
      <c r="K693" s="667"/>
      <c r="L693" s="667"/>
      <c r="M693" s="667"/>
      <c r="N693" s="667"/>
      <c r="O693" s="667"/>
      <c r="P693" s="667"/>
      <c r="Q693" s="667"/>
      <c r="R693" s="667"/>
      <c r="S693" s="826"/>
      <c r="T693" s="3"/>
      <c r="U693" s="3"/>
      <c r="V693" s="3"/>
      <c r="W693" s="3"/>
      <c r="X693" s="3"/>
      <c r="Y693" s="3"/>
      <c r="Z693" s="3"/>
    </row>
    <row r="694" ht="15.75" customHeight="1">
      <c r="C694" s="667"/>
      <c r="D694" s="667"/>
      <c r="E694" s="667"/>
      <c r="F694" s="668"/>
      <c r="G694" s="667"/>
      <c r="H694" s="667"/>
      <c r="I694" s="667"/>
      <c r="J694" s="667"/>
      <c r="K694" s="667"/>
      <c r="L694" s="667"/>
      <c r="M694" s="667"/>
      <c r="N694" s="667"/>
      <c r="O694" s="667"/>
      <c r="P694" s="667"/>
      <c r="Q694" s="667"/>
      <c r="R694" s="667"/>
      <c r="S694" s="826"/>
      <c r="T694" s="3"/>
      <c r="U694" s="3"/>
      <c r="V694" s="3"/>
      <c r="W694" s="3"/>
      <c r="X694" s="3"/>
      <c r="Y694" s="3"/>
      <c r="Z694" s="3"/>
    </row>
    <row r="695" ht="15.75" customHeight="1">
      <c r="C695" s="667"/>
      <c r="D695" s="667"/>
      <c r="E695" s="667"/>
      <c r="F695" s="668"/>
      <c r="G695" s="667"/>
      <c r="H695" s="667"/>
      <c r="I695" s="667"/>
      <c r="J695" s="667"/>
      <c r="K695" s="667"/>
      <c r="L695" s="667"/>
      <c r="M695" s="667"/>
      <c r="N695" s="667"/>
      <c r="O695" s="667"/>
      <c r="P695" s="667"/>
      <c r="Q695" s="667"/>
      <c r="R695" s="667"/>
      <c r="S695" s="826"/>
      <c r="T695" s="3"/>
      <c r="U695" s="3"/>
      <c r="V695" s="3"/>
      <c r="W695" s="3"/>
      <c r="X695" s="3"/>
      <c r="Y695" s="3"/>
      <c r="Z695" s="3"/>
    </row>
    <row r="696" ht="15.75" customHeight="1">
      <c r="C696" s="667"/>
      <c r="D696" s="667"/>
      <c r="E696" s="667"/>
      <c r="F696" s="668"/>
      <c r="G696" s="667"/>
      <c r="H696" s="667"/>
      <c r="I696" s="667"/>
      <c r="J696" s="667"/>
      <c r="K696" s="667"/>
      <c r="L696" s="667"/>
      <c r="M696" s="667"/>
      <c r="N696" s="667"/>
      <c r="O696" s="667"/>
      <c r="P696" s="667"/>
      <c r="Q696" s="667"/>
      <c r="R696" s="667"/>
      <c r="S696" s="826"/>
      <c r="T696" s="3"/>
      <c r="U696" s="3"/>
      <c r="V696" s="3"/>
      <c r="W696" s="3"/>
      <c r="X696" s="3"/>
      <c r="Y696" s="3"/>
      <c r="Z696" s="3"/>
    </row>
    <row r="697" ht="15.75" customHeight="1">
      <c r="C697" s="667"/>
      <c r="D697" s="667"/>
      <c r="E697" s="667"/>
      <c r="F697" s="668"/>
      <c r="G697" s="667"/>
      <c r="H697" s="667"/>
      <c r="I697" s="667"/>
      <c r="J697" s="667"/>
      <c r="K697" s="667"/>
      <c r="L697" s="667"/>
      <c r="M697" s="667"/>
      <c r="N697" s="667"/>
      <c r="O697" s="667"/>
      <c r="P697" s="667"/>
      <c r="Q697" s="667"/>
      <c r="R697" s="667"/>
      <c r="S697" s="826"/>
      <c r="T697" s="3"/>
      <c r="U697" s="3"/>
      <c r="V697" s="3"/>
      <c r="W697" s="3"/>
      <c r="X697" s="3"/>
      <c r="Y697" s="3"/>
      <c r="Z697" s="3"/>
    </row>
    <row r="698" ht="15.75" customHeight="1">
      <c r="C698" s="667"/>
      <c r="D698" s="667"/>
      <c r="E698" s="667"/>
      <c r="F698" s="668"/>
      <c r="G698" s="667"/>
      <c r="H698" s="667"/>
      <c r="I698" s="667"/>
      <c r="J698" s="667"/>
      <c r="K698" s="667"/>
      <c r="L698" s="667"/>
      <c r="M698" s="667"/>
      <c r="N698" s="667"/>
      <c r="O698" s="667"/>
      <c r="P698" s="667"/>
      <c r="Q698" s="667"/>
      <c r="R698" s="667"/>
      <c r="S698" s="826"/>
      <c r="T698" s="3"/>
      <c r="U698" s="3"/>
      <c r="V698" s="3"/>
      <c r="W698" s="3"/>
      <c r="X698" s="3"/>
      <c r="Y698" s="3"/>
      <c r="Z698" s="3"/>
    </row>
    <row r="699" ht="15.75" customHeight="1">
      <c r="C699" s="667"/>
      <c r="D699" s="667"/>
      <c r="E699" s="667"/>
      <c r="F699" s="668"/>
      <c r="G699" s="667"/>
      <c r="H699" s="667"/>
      <c r="I699" s="667"/>
      <c r="J699" s="667"/>
      <c r="K699" s="667"/>
      <c r="L699" s="667"/>
      <c r="M699" s="667"/>
      <c r="N699" s="667"/>
      <c r="O699" s="667"/>
      <c r="P699" s="667"/>
      <c r="Q699" s="667"/>
      <c r="R699" s="667"/>
      <c r="S699" s="826"/>
      <c r="T699" s="3"/>
      <c r="U699" s="3"/>
      <c r="V699" s="3"/>
      <c r="W699" s="3"/>
      <c r="X699" s="3"/>
      <c r="Y699" s="3"/>
      <c r="Z699" s="3"/>
    </row>
    <row r="700" ht="15.75" customHeight="1">
      <c r="C700" s="667"/>
      <c r="D700" s="667"/>
      <c r="E700" s="667"/>
      <c r="F700" s="668"/>
      <c r="G700" s="667"/>
      <c r="H700" s="667"/>
      <c r="I700" s="667"/>
      <c r="J700" s="667"/>
      <c r="K700" s="667"/>
      <c r="L700" s="667"/>
      <c r="M700" s="667"/>
      <c r="N700" s="667"/>
      <c r="O700" s="667"/>
      <c r="P700" s="667"/>
      <c r="Q700" s="667"/>
      <c r="R700" s="667"/>
      <c r="S700" s="826"/>
      <c r="T700" s="3"/>
      <c r="U700" s="3"/>
      <c r="V700" s="3"/>
      <c r="W700" s="3"/>
      <c r="X700" s="3"/>
      <c r="Y700" s="3"/>
      <c r="Z700" s="3"/>
    </row>
    <row r="701" ht="15.75" customHeight="1">
      <c r="C701" s="667"/>
      <c r="D701" s="667"/>
      <c r="E701" s="667"/>
      <c r="F701" s="668"/>
      <c r="G701" s="667"/>
      <c r="H701" s="667"/>
      <c r="I701" s="667"/>
      <c r="J701" s="667"/>
      <c r="K701" s="667"/>
      <c r="L701" s="667"/>
      <c r="M701" s="667"/>
      <c r="N701" s="667"/>
      <c r="O701" s="667"/>
      <c r="P701" s="667"/>
      <c r="Q701" s="667"/>
      <c r="R701" s="667"/>
      <c r="S701" s="826"/>
      <c r="T701" s="3"/>
      <c r="U701" s="3"/>
      <c r="V701" s="3"/>
      <c r="W701" s="3"/>
      <c r="X701" s="3"/>
      <c r="Y701" s="3"/>
      <c r="Z701" s="3"/>
    </row>
    <row r="702" ht="15.75" customHeight="1">
      <c r="C702" s="667"/>
      <c r="D702" s="667"/>
      <c r="E702" s="667"/>
      <c r="F702" s="668"/>
      <c r="G702" s="667"/>
      <c r="H702" s="667"/>
      <c r="I702" s="667"/>
      <c r="J702" s="667"/>
      <c r="K702" s="667"/>
      <c r="L702" s="667"/>
      <c r="M702" s="667"/>
      <c r="N702" s="667"/>
      <c r="O702" s="667"/>
      <c r="P702" s="667"/>
      <c r="Q702" s="667"/>
      <c r="R702" s="667"/>
      <c r="S702" s="826"/>
      <c r="T702" s="3"/>
      <c r="U702" s="3"/>
      <c r="V702" s="3"/>
      <c r="W702" s="3"/>
      <c r="X702" s="3"/>
      <c r="Y702" s="3"/>
      <c r="Z702" s="3"/>
    </row>
    <row r="703" ht="15.75" customHeight="1">
      <c r="C703" s="667"/>
      <c r="D703" s="667"/>
      <c r="E703" s="667"/>
      <c r="F703" s="668"/>
      <c r="G703" s="667"/>
      <c r="H703" s="667"/>
      <c r="I703" s="667"/>
      <c r="J703" s="667"/>
      <c r="K703" s="667"/>
      <c r="L703" s="667"/>
      <c r="M703" s="667"/>
      <c r="N703" s="667"/>
      <c r="O703" s="667"/>
      <c r="P703" s="667"/>
      <c r="Q703" s="667"/>
      <c r="R703" s="667"/>
      <c r="S703" s="826"/>
      <c r="T703" s="3"/>
      <c r="U703" s="3"/>
      <c r="V703" s="3"/>
      <c r="W703" s="3"/>
      <c r="X703" s="3"/>
      <c r="Y703" s="3"/>
      <c r="Z703" s="3"/>
    </row>
    <row r="704" ht="15.75" customHeight="1">
      <c r="C704" s="667"/>
      <c r="D704" s="667"/>
      <c r="E704" s="667"/>
      <c r="F704" s="668"/>
      <c r="G704" s="667"/>
      <c r="H704" s="667"/>
      <c r="I704" s="667"/>
      <c r="J704" s="667"/>
      <c r="K704" s="667"/>
      <c r="L704" s="667"/>
      <c r="M704" s="667"/>
      <c r="N704" s="667"/>
      <c r="O704" s="667"/>
      <c r="P704" s="667"/>
      <c r="Q704" s="667"/>
      <c r="R704" s="667"/>
      <c r="S704" s="826"/>
      <c r="T704" s="3"/>
      <c r="U704" s="3"/>
      <c r="V704" s="3"/>
      <c r="W704" s="3"/>
      <c r="X704" s="3"/>
      <c r="Y704" s="3"/>
      <c r="Z704" s="3"/>
    </row>
    <row r="705" ht="15.75" customHeight="1">
      <c r="C705" s="667"/>
      <c r="D705" s="667"/>
      <c r="E705" s="667"/>
      <c r="F705" s="668"/>
      <c r="G705" s="667"/>
      <c r="H705" s="667"/>
      <c r="I705" s="667"/>
      <c r="J705" s="667"/>
      <c r="K705" s="667"/>
      <c r="L705" s="667"/>
      <c r="M705" s="667"/>
      <c r="N705" s="667"/>
      <c r="O705" s="667"/>
      <c r="P705" s="667"/>
      <c r="Q705" s="667"/>
      <c r="R705" s="667"/>
      <c r="S705" s="826"/>
      <c r="T705" s="3"/>
      <c r="U705" s="3"/>
      <c r="V705" s="3"/>
      <c r="W705" s="3"/>
      <c r="X705" s="3"/>
      <c r="Y705" s="3"/>
      <c r="Z705" s="3"/>
    </row>
    <row r="706" ht="15.75" customHeight="1">
      <c r="C706" s="667"/>
      <c r="D706" s="667"/>
      <c r="E706" s="667"/>
      <c r="F706" s="668"/>
      <c r="G706" s="667"/>
      <c r="H706" s="667"/>
      <c r="I706" s="667"/>
      <c r="J706" s="667"/>
      <c r="K706" s="667"/>
      <c r="L706" s="667"/>
      <c r="M706" s="667"/>
      <c r="N706" s="667"/>
      <c r="O706" s="667"/>
      <c r="P706" s="667"/>
      <c r="Q706" s="667"/>
      <c r="R706" s="667"/>
      <c r="S706" s="826"/>
      <c r="T706" s="3"/>
      <c r="U706" s="3"/>
      <c r="V706" s="3"/>
      <c r="W706" s="3"/>
      <c r="X706" s="3"/>
      <c r="Y706" s="3"/>
      <c r="Z706" s="3"/>
    </row>
    <row r="707" ht="15.75" customHeight="1">
      <c r="C707" s="667"/>
      <c r="D707" s="667"/>
      <c r="E707" s="667"/>
      <c r="F707" s="668"/>
      <c r="G707" s="667"/>
      <c r="H707" s="667"/>
      <c r="I707" s="667"/>
      <c r="J707" s="667"/>
      <c r="K707" s="667"/>
      <c r="L707" s="667"/>
      <c r="M707" s="667"/>
      <c r="N707" s="667"/>
      <c r="O707" s="667"/>
      <c r="P707" s="667"/>
      <c r="Q707" s="667"/>
      <c r="R707" s="667"/>
      <c r="S707" s="826"/>
      <c r="T707" s="3"/>
      <c r="U707" s="3"/>
      <c r="V707" s="3"/>
      <c r="W707" s="3"/>
      <c r="X707" s="3"/>
      <c r="Y707" s="3"/>
      <c r="Z707" s="3"/>
    </row>
    <row r="708" ht="15.75" customHeight="1">
      <c r="C708" s="667"/>
      <c r="D708" s="667"/>
      <c r="E708" s="667"/>
      <c r="F708" s="668"/>
      <c r="G708" s="667"/>
      <c r="H708" s="667"/>
      <c r="I708" s="667"/>
      <c r="J708" s="667"/>
      <c r="K708" s="667"/>
      <c r="L708" s="667"/>
      <c r="M708" s="667"/>
      <c r="N708" s="667"/>
      <c r="O708" s="667"/>
      <c r="P708" s="667"/>
      <c r="Q708" s="667"/>
      <c r="R708" s="667"/>
      <c r="S708" s="826"/>
      <c r="T708" s="3"/>
      <c r="U708" s="3"/>
      <c r="V708" s="3"/>
      <c r="W708" s="3"/>
      <c r="X708" s="3"/>
      <c r="Y708" s="3"/>
      <c r="Z708" s="3"/>
    </row>
    <row r="709" ht="15.75" customHeight="1">
      <c r="C709" s="667"/>
      <c r="D709" s="667"/>
      <c r="E709" s="667"/>
      <c r="F709" s="668"/>
      <c r="G709" s="667"/>
      <c r="H709" s="667"/>
      <c r="I709" s="667"/>
      <c r="J709" s="667"/>
      <c r="K709" s="667"/>
      <c r="L709" s="667"/>
      <c r="M709" s="667"/>
      <c r="N709" s="667"/>
      <c r="O709" s="667"/>
      <c r="P709" s="667"/>
      <c r="Q709" s="667"/>
      <c r="R709" s="667"/>
      <c r="S709" s="826"/>
      <c r="T709" s="3"/>
      <c r="U709" s="3"/>
      <c r="V709" s="3"/>
      <c r="W709" s="3"/>
      <c r="X709" s="3"/>
      <c r="Y709" s="3"/>
      <c r="Z709" s="3"/>
    </row>
    <row r="710" ht="15.75" customHeight="1">
      <c r="C710" s="667"/>
      <c r="D710" s="667"/>
      <c r="E710" s="667"/>
      <c r="F710" s="668"/>
      <c r="G710" s="667"/>
      <c r="H710" s="667"/>
      <c r="I710" s="667"/>
      <c r="J710" s="667"/>
      <c r="K710" s="667"/>
      <c r="L710" s="667"/>
      <c r="M710" s="667"/>
      <c r="N710" s="667"/>
      <c r="O710" s="667"/>
      <c r="P710" s="667"/>
      <c r="Q710" s="667"/>
      <c r="R710" s="667"/>
      <c r="S710" s="826"/>
      <c r="T710" s="3"/>
      <c r="U710" s="3"/>
      <c r="V710" s="3"/>
      <c r="W710" s="3"/>
      <c r="X710" s="3"/>
      <c r="Y710" s="3"/>
      <c r="Z710" s="3"/>
    </row>
    <row r="711" ht="15.75" customHeight="1">
      <c r="C711" s="667"/>
      <c r="D711" s="667"/>
      <c r="E711" s="667"/>
      <c r="F711" s="668"/>
      <c r="G711" s="667"/>
      <c r="H711" s="667"/>
      <c r="I711" s="667"/>
      <c r="J711" s="667"/>
      <c r="K711" s="667"/>
      <c r="L711" s="667"/>
      <c r="M711" s="667"/>
      <c r="N711" s="667"/>
      <c r="O711" s="667"/>
      <c r="P711" s="667"/>
      <c r="Q711" s="667"/>
      <c r="R711" s="667"/>
      <c r="S711" s="826"/>
      <c r="T711" s="3"/>
      <c r="U711" s="3"/>
      <c r="V711" s="3"/>
      <c r="W711" s="3"/>
      <c r="X711" s="3"/>
      <c r="Y711" s="3"/>
      <c r="Z711" s="3"/>
    </row>
    <row r="712" ht="15.75" customHeight="1">
      <c r="C712" s="667"/>
      <c r="D712" s="667"/>
      <c r="E712" s="667"/>
      <c r="F712" s="668"/>
      <c r="G712" s="667"/>
      <c r="H712" s="667"/>
      <c r="I712" s="667"/>
      <c r="J712" s="667"/>
      <c r="K712" s="667"/>
      <c r="L712" s="667"/>
      <c r="M712" s="667"/>
      <c r="N712" s="667"/>
      <c r="O712" s="667"/>
      <c r="P712" s="667"/>
      <c r="Q712" s="667"/>
      <c r="R712" s="667"/>
      <c r="S712" s="826"/>
      <c r="T712" s="3"/>
      <c r="U712" s="3"/>
      <c r="V712" s="3"/>
      <c r="W712" s="3"/>
      <c r="X712" s="3"/>
      <c r="Y712" s="3"/>
      <c r="Z712" s="3"/>
    </row>
    <row r="713" ht="15.75" customHeight="1">
      <c r="C713" s="667"/>
      <c r="D713" s="667"/>
      <c r="E713" s="667"/>
      <c r="F713" s="668"/>
      <c r="G713" s="667"/>
      <c r="H713" s="667"/>
      <c r="I713" s="667"/>
      <c r="J713" s="667"/>
      <c r="K713" s="667"/>
      <c r="L713" s="667"/>
      <c r="M713" s="667"/>
      <c r="N713" s="667"/>
      <c r="O713" s="667"/>
      <c r="P713" s="667"/>
      <c r="Q713" s="667"/>
      <c r="R713" s="667"/>
      <c r="S713" s="826"/>
      <c r="T713" s="3"/>
      <c r="U713" s="3"/>
      <c r="V713" s="3"/>
      <c r="W713" s="3"/>
      <c r="X713" s="3"/>
      <c r="Y713" s="3"/>
      <c r="Z713" s="3"/>
    </row>
    <row r="714" ht="15.75" customHeight="1">
      <c r="C714" s="667"/>
      <c r="D714" s="667"/>
      <c r="E714" s="667"/>
      <c r="F714" s="668"/>
      <c r="G714" s="667"/>
      <c r="H714" s="667"/>
      <c r="I714" s="667"/>
      <c r="J714" s="667"/>
      <c r="K714" s="667"/>
      <c r="L714" s="667"/>
      <c r="M714" s="667"/>
      <c r="N714" s="667"/>
      <c r="O714" s="667"/>
      <c r="P714" s="667"/>
      <c r="Q714" s="667"/>
      <c r="R714" s="667"/>
      <c r="S714" s="826"/>
      <c r="T714" s="3"/>
      <c r="U714" s="3"/>
      <c r="V714" s="3"/>
      <c r="W714" s="3"/>
      <c r="X714" s="3"/>
      <c r="Y714" s="3"/>
      <c r="Z714" s="3"/>
    </row>
    <row r="715" ht="15.75" customHeight="1">
      <c r="C715" s="667"/>
      <c r="D715" s="667"/>
      <c r="E715" s="667"/>
      <c r="F715" s="668"/>
      <c r="G715" s="667"/>
      <c r="H715" s="667"/>
      <c r="I715" s="667"/>
      <c r="J715" s="667"/>
      <c r="K715" s="667"/>
      <c r="L715" s="667"/>
      <c r="M715" s="667"/>
      <c r="N715" s="667"/>
      <c r="O715" s="667"/>
      <c r="P715" s="667"/>
      <c r="Q715" s="667"/>
      <c r="R715" s="667"/>
      <c r="S715" s="826"/>
      <c r="T715" s="3"/>
      <c r="U715" s="3"/>
      <c r="V715" s="3"/>
      <c r="W715" s="3"/>
      <c r="X715" s="3"/>
      <c r="Y715" s="3"/>
      <c r="Z715" s="3"/>
    </row>
    <row r="716" ht="15.75" customHeight="1">
      <c r="C716" s="667"/>
      <c r="D716" s="667"/>
      <c r="E716" s="667"/>
      <c r="F716" s="668"/>
      <c r="G716" s="667"/>
      <c r="H716" s="667"/>
      <c r="I716" s="667"/>
      <c r="J716" s="667"/>
      <c r="K716" s="667"/>
      <c r="L716" s="667"/>
      <c r="M716" s="667"/>
      <c r="N716" s="667"/>
      <c r="O716" s="667"/>
      <c r="P716" s="667"/>
      <c r="Q716" s="667"/>
      <c r="R716" s="667"/>
      <c r="S716" s="826"/>
      <c r="T716" s="3"/>
      <c r="U716" s="3"/>
      <c r="V716" s="3"/>
      <c r="W716" s="3"/>
      <c r="X716" s="3"/>
      <c r="Y716" s="3"/>
      <c r="Z716" s="3"/>
    </row>
    <row r="717" ht="15.75" customHeight="1">
      <c r="C717" s="667"/>
      <c r="D717" s="667"/>
      <c r="E717" s="667"/>
      <c r="F717" s="668"/>
      <c r="G717" s="667"/>
      <c r="H717" s="667"/>
      <c r="I717" s="667"/>
      <c r="J717" s="667"/>
      <c r="K717" s="667"/>
      <c r="L717" s="667"/>
      <c r="M717" s="667"/>
      <c r="N717" s="667"/>
      <c r="O717" s="667"/>
      <c r="P717" s="667"/>
      <c r="Q717" s="667"/>
      <c r="R717" s="667"/>
      <c r="S717" s="826"/>
      <c r="T717" s="3"/>
      <c r="U717" s="3"/>
      <c r="V717" s="3"/>
      <c r="W717" s="3"/>
      <c r="X717" s="3"/>
      <c r="Y717" s="3"/>
      <c r="Z717" s="3"/>
    </row>
    <row r="718" ht="15.75" customHeight="1">
      <c r="C718" s="667"/>
      <c r="D718" s="667"/>
      <c r="E718" s="667"/>
      <c r="F718" s="668"/>
      <c r="G718" s="667"/>
      <c r="H718" s="667"/>
      <c r="I718" s="667"/>
      <c r="J718" s="667"/>
      <c r="K718" s="667"/>
      <c r="L718" s="667"/>
      <c r="M718" s="667"/>
      <c r="N718" s="667"/>
      <c r="O718" s="667"/>
      <c r="P718" s="667"/>
      <c r="Q718" s="667"/>
      <c r="R718" s="667"/>
      <c r="S718" s="826"/>
      <c r="T718" s="3"/>
      <c r="U718" s="3"/>
      <c r="V718" s="3"/>
      <c r="W718" s="3"/>
      <c r="X718" s="3"/>
      <c r="Y718" s="3"/>
      <c r="Z718" s="3"/>
    </row>
    <row r="719" ht="15.75" customHeight="1">
      <c r="C719" s="667"/>
      <c r="D719" s="667"/>
      <c r="E719" s="667"/>
      <c r="F719" s="668"/>
      <c r="G719" s="667"/>
      <c r="H719" s="667"/>
      <c r="I719" s="667"/>
      <c r="J719" s="667"/>
      <c r="K719" s="667"/>
      <c r="L719" s="667"/>
      <c r="M719" s="667"/>
      <c r="N719" s="667"/>
      <c r="O719" s="667"/>
      <c r="P719" s="667"/>
      <c r="Q719" s="667"/>
      <c r="R719" s="667"/>
      <c r="S719" s="826"/>
      <c r="T719" s="3"/>
      <c r="U719" s="3"/>
      <c r="V719" s="3"/>
      <c r="W719" s="3"/>
      <c r="X719" s="3"/>
      <c r="Y719" s="3"/>
      <c r="Z719" s="3"/>
    </row>
    <row r="720" ht="15.75" customHeight="1">
      <c r="C720" s="667"/>
      <c r="D720" s="667"/>
      <c r="E720" s="667"/>
      <c r="F720" s="668"/>
      <c r="G720" s="667"/>
      <c r="H720" s="667"/>
      <c r="I720" s="667"/>
      <c r="J720" s="667"/>
      <c r="K720" s="667"/>
      <c r="L720" s="667"/>
      <c r="M720" s="667"/>
      <c r="N720" s="667"/>
      <c r="O720" s="667"/>
      <c r="P720" s="667"/>
      <c r="Q720" s="667"/>
      <c r="R720" s="667"/>
      <c r="S720" s="826"/>
      <c r="T720" s="3"/>
      <c r="U720" s="3"/>
      <c r="V720" s="3"/>
      <c r="W720" s="3"/>
      <c r="X720" s="3"/>
      <c r="Y720" s="3"/>
      <c r="Z720" s="3"/>
    </row>
    <row r="721" ht="15.75" customHeight="1">
      <c r="C721" s="667"/>
      <c r="D721" s="667"/>
      <c r="E721" s="667"/>
      <c r="F721" s="668"/>
      <c r="G721" s="667"/>
      <c r="H721" s="667"/>
      <c r="I721" s="667"/>
      <c r="J721" s="667"/>
      <c r="K721" s="667"/>
      <c r="L721" s="667"/>
      <c r="M721" s="667"/>
      <c r="N721" s="667"/>
      <c r="O721" s="667"/>
      <c r="P721" s="667"/>
      <c r="Q721" s="667"/>
      <c r="R721" s="667"/>
      <c r="S721" s="826"/>
      <c r="T721" s="3"/>
      <c r="U721" s="3"/>
      <c r="V721" s="3"/>
      <c r="W721" s="3"/>
      <c r="X721" s="3"/>
      <c r="Y721" s="3"/>
      <c r="Z721" s="3"/>
    </row>
    <row r="722" ht="15.75" customHeight="1">
      <c r="C722" s="667"/>
      <c r="D722" s="667"/>
      <c r="E722" s="667"/>
      <c r="F722" s="668"/>
      <c r="G722" s="667"/>
      <c r="H722" s="667"/>
      <c r="I722" s="667"/>
      <c r="J722" s="667"/>
      <c r="K722" s="667"/>
      <c r="L722" s="667"/>
      <c r="M722" s="667"/>
      <c r="N722" s="667"/>
      <c r="O722" s="667"/>
      <c r="P722" s="667"/>
      <c r="Q722" s="667"/>
      <c r="R722" s="667"/>
      <c r="S722" s="826"/>
      <c r="T722" s="3"/>
      <c r="U722" s="3"/>
      <c r="V722" s="3"/>
      <c r="W722" s="3"/>
      <c r="X722" s="3"/>
      <c r="Y722" s="3"/>
      <c r="Z722" s="3"/>
    </row>
    <row r="723" ht="15.75" customHeight="1">
      <c r="C723" s="667"/>
      <c r="D723" s="667"/>
      <c r="E723" s="667"/>
      <c r="F723" s="668"/>
      <c r="G723" s="667"/>
      <c r="H723" s="667"/>
      <c r="I723" s="667"/>
      <c r="J723" s="667"/>
      <c r="K723" s="667"/>
      <c r="L723" s="667"/>
      <c r="M723" s="667"/>
      <c r="N723" s="667"/>
      <c r="O723" s="667"/>
      <c r="P723" s="667"/>
      <c r="Q723" s="667"/>
      <c r="R723" s="667"/>
      <c r="S723" s="826"/>
      <c r="T723" s="3"/>
      <c r="U723" s="3"/>
      <c r="V723" s="3"/>
      <c r="W723" s="3"/>
      <c r="X723" s="3"/>
      <c r="Y723" s="3"/>
      <c r="Z723" s="3"/>
    </row>
    <row r="724" ht="15.75" customHeight="1">
      <c r="C724" s="667"/>
      <c r="D724" s="667"/>
      <c r="E724" s="667"/>
      <c r="F724" s="668"/>
      <c r="G724" s="667"/>
      <c r="H724" s="667"/>
      <c r="I724" s="667"/>
      <c r="J724" s="667"/>
      <c r="K724" s="667"/>
      <c r="L724" s="667"/>
      <c r="M724" s="667"/>
      <c r="N724" s="667"/>
      <c r="O724" s="667"/>
      <c r="P724" s="667"/>
      <c r="Q724" s="667"/>
      <c r="R724" s="667"/>
      <c r="S724" s="826"/>
      <c r="T724" s="3"/>
      <c r="U724" s="3"/>
      <c r="V724" s="3"/>
      <c r="W724" s="3"/>
      <c r="X724" s="3"/>
      <c r="Y724" s="3"/>
      <c r="Z724" s="3"/>
    </row>
    <row r="725" ht="15.75" customHeight="1">
      <c r="C725" s="667"/>
      <c r="D725" s="667"/>
      <c r="E725" s="667"/>
      <c r="F725" s="668"/>
      <c r="G725" s="667"/>
      <c r="H725" s="667"/>
      <c r="I725" s="667"/>
      <c r="J725" s="667"/>
      <c r="K725" s="667"/>
      <c r="L725" s="667"/>
      <c r="M725" s="667"/>
      <c r="N725" s="667"/>
      <c r="O725" s="667"/>
      <c r="P725" s="667"/>
      <c r="Q725" s="667"/>
      <c r="R725" s="667"/>
      <c r="S725" s="826"/>
      <c r="T725" s="3"/>
      <c r="U725" s="3"/>
      <c r="V725" s="3"/>
      <c r="W725" s="3"/>
      <c r="X725" s="3"/>
      <c r="Y725" s="3"/>
      <c r="Z725" s="3"/>
    </row>
    <row r="726" ht="15.75" customHeight="1">
      <c r="C726" s="667"/>
      <c r="D726" s="667"/>
      <c r="E726" s="667"/>
      <c r="F726" s="668"/>
      <c r="G726" s="667"/>
      <c r="H726" s="667"/>
      <c r="I726" s="667"/>
      <c r="J726" s="667"/>
      <c r="K726" s="667"/>
      <c r="L726" s="667"/>
      <c r="M726" s="667"/>
      <c r="N726" s="667"/>
      <c r="O726" s="667"/>
      <c r="P726" s="667"/>
      <c r="Q726" s="667"/>
      <c r="R726" s="667"/>
      <c r="S726" s="826"/>
      <c r="T726" s="3"/>
      <c r="U726" s="3"/>
      <c r="V726" s="3"/>
      <c r="W726" s="3"/>
      <c r="X726" s="3"/>
      <c r="Y726" s="3"/>
      <c r="Z726" s="3"/>
    </row>
    <row r="727" ht="15.75" customHeight="1">
      <c r="C727" s="667"/>
      <c r="D727" s="667"/>
      <c r="E727" s="667"/>
      <c r="F727" s="668"/>
      <c r="G727" s="667"/>
      <c r="H727" s="667"/>
      <c r="I727" s="667"/>
      <c r="J727" s="667"/>
      <c r="K727" s="667"/>
      <c r="L727" s="667"/>
      <c r="M727" s="667"/>
      <c r="N727" s="667"/>
      <c r="O727" s="667"/>
      <c r="P727" s="667"/>
      <c r="Q727" s="667"/>
      <c r="R727" s="667"/>
      <c r="S727" s="826"/>
      <c r="T727" s="3"/>
      <c r="U727" s="3"/>
      <c r="V727" s="3"/>
      <c r="W727" s="3"/>
      <c r="X727" s="3"/>
      <c r="Y727" s="3"/>
      <c r="Z727" s="3"/>
    </row>
    <row r="728" ht="15.75" customHeight="1">
      <c r="C728" s="667"/>
      <c r="D728" s="667"/>
      <c r="E728" s="667"/>
      <c r="F728" s="668"/>
      <c r="G728" s="667"/>
      <c r="H728" s="667"/>
      <c r="I728" s="667"/>
      <c r="J728" s="667"/>
      <c r="K728" s="667"/>
      <c r="L728" s="667"/>
      <c r="M728" s="667"/>
      <c r="N728" s="667"/>
      <c r="O728" s="667"/>
      <c r="P728" s="667"/>
      <c r="Q728" s="667"/>
      <c r="R728" s="667"/>
      <c r="S728" s="826"/>
      <c r="T728" s="3"/>
      <c r="U728" s="3"/>
      <c r="V728" s="3"/>
      <c r="W728" s="3"/>
      <c r="X728" s="3"/>
      <c r="Y728" s="3"/>
      <c r="Z728" s="3"/>
    </row>
    <row r="729" ht="15.75" customHeight="1">
      <c r="C729" s="667"/>
      <c r="D729" s="667"/>
      <c r="E729" s="667"/>
      <c r="F729" s="668"/>
      <c r="G729" s="667"/>
      <c r="H729" s="667"/>
      <c r="I729" s="667"/>
      <c r="J729" s="667"/>
      <c r="K729" s="667"/>
      <c r="L729" s="667"/>
      <c r="M729" s="667"/>
      <c r="N729" s="667"/>
      <c r="O729" s="667"/>
      <c r="P729" s="667"/>
      <c r="Q729" s="667"/>
      <c r="R729" s="667"/>
      <c r="S729" s="826"/>
      <c r="T729" s="3"/>
      <c r="U729" s="3"/>
      <c r="V729" s="3"/>
      <c r="W729" s="3"/>
      <c r="X729" s="3"/>
      <c r="Y729" s="3"/>
      <c r="Z729" s="3"/>
    </row>
    <row r="730" ht="15.75" customHeight="1">
      <c r="C730" s="667"/>
      <c r="D730" s="667"/>
      <c r="E730" s="667"/>
      <c r="F730" s="668"/>
      <c r="G730" s="667"/>
      <c r="H730" s="667"/>
      <c r="I730" s="667"/>
      <c r="J730" s="667"/>
      <c r="K730" s="667"/>
      <c r="L730" s="667"/>
      <c r="M730" s="667"/>
      <c r="N730" s="667"/>
      <c r="O730" s="667"/>
      <c r="P730" s="667"/>
      <c r="Q730" s="667"/>
      <c r="R730" s="667"/>
      <c r="S730" s="826"/>
      <c r="T730" s="3"/>
      <c r="U730" s="3"/>
      <c r="V730" s="3"/>
      <c r="W730" s="3"/>
      <c r="X730" s="3"/>
      <c r="Y730" s="3"/>
      <c r="Z730" s="3"/>
    </row>
    <row r="731" ht="15.75" customHeight="1">
      <c r="C731" s="667"/>
      <c r="D731" s="667"/>
      <c r="E731" s="667"/>
      <c r="F731" s="668"/>
      <c r="G731" s="667"/>
      <c r="H731" s="667"/>
      <c r="I731" s="667"/>
      <c r="J731" s="667"/>
      <c r="K731" s="667"/>
      <c r="L731" s="667"/>
      <c r="M731" s="667"/>
      <c r="N731" s="667"/>
      <c r="O731" s="667"/>
      <c r="P731" s="667"/>
      <c r="Q731" s="667"/>
      <c r="R731" s="667"/>
      <c r="S731" s="826"/>
      <c r="T731" s="3"/>
      <c r="U731" s="3"/>
      <c r="V731" s="3"/>
      <c r="W731" s="3"/>
      <c r="X731" s="3"/>
      <c r="Y731" s="3"/>
      <c r="Z731" s="3"/>
    </row>
    <row r="732" ht="15.75" customHeight="1">
      <c r="C732" s="667"/>
      <c r="D732" s="667"/>
      <c r="E732" s="667"/>
      <c r="F732" s="668"/>
      <c r="G732" s="667"/>
      <c r="H732" s="667"/>
      <c r="I732" s="667"/>
      <c r="J732" s="667"/>
      <c r="K732" s="667"/>
      <c r="L732" s="667"/>
      <c r="M732" s="667"/>
      <c r="N732" s="667"/>
      <c r="O732" s="667"/>
      <c r="P732" s="667"/>
      <c r="Q732" s="667"/>
      <c r="R732" s="667"/>
      <c r="S732" s="826"/>
      <c r="T732" s="3"/>
      <c r="U732" s="3"/>
      <c r="V732" s="3"/>
      <c r="W732" s="3"/>
      <c r="X732" s="3"/>
      <c r="Y732" s="3"/>
      <c r="Z732" s="3"/>
    </row>
    <row r="733" ht="15.75" customHeight="1">
      <c r="C733" s="667"/>
      <c r="D733" s="667"/>
      <c r="E733" s="667"/>
      <c r="F733" s="668"/>
      <c r="G733" s="667"/>
      <c r="H733" s="667"/>
      <c r="I733" s="667"/>
      <c r="J733" s="667"/>
      <c r="K733" s="667"/>
      <c r="L733" s="667"/>
      <c r="M733" s="667"/>
      <c r="N733" s="667"/>
      <c r="O733" s="667"/>
      <c r="P733" s="667"/>
      <c r="Q733" s="667"/>
      <c r="R733" s="667"/>
      <c r="S733" s="826"/>
      <c r="T733" s="3"/>
      <c r="U733" s="3"/>
      <c r="V733" s="3"/>
      <c r="W733" s="3"/>
      <c r="X733" s="3"/>
      <c r="Y733" s="3"/>
      <c r="Z733" s="3"/>
    </row>
    <row r="734" ht="15.75" customHeight="1">
      <c r="C734" s="667"/>
      <c r="D734" s="667"/>
      <c r="E734" s="667"/>
      <c r="F734" s="668"/>
      <c r="G734" s="667"/>
      <c r="H734" s="667"/>
      <c r="I734" s="667"/>
      <c r="J734" s="667"/>
      <c r="K734" s="667"/>
      <c r="L734" s="667"/>
      <c r="M734" s="667"/>
      <c r="N734" s="667"/>
      <c r="O734" s="667"/>
      <c r="P734" s="667"/>
      <c r="Q734" s="667"/>
      <c r="R734" s="667"/>
      <c r="S734" s="826"/>
      <c r="T734" s="3"/>
      <c r="U734" s="3"/>
      <c r="V734" s="3"/>
      <c r="W734" s="3"/>
      <c r="X734" s="3"/>
      <c r="Y734" s="3"/>
      <c r="Z734" s="3"/>
    </row>
    <row r="735" ht="15.75" customHeight="1">
      <c r="C735" s="667"/>
      <c r="D735" s="667"/>
      <c r="E735" s="667"/>
      <c r="F735" s="668"/>
      <c r="G735" s="667"/>
      <c r="H735" s="667"/>
      <c r="I735" s="667"/>
      <c r="J735" s="667"/>
      <c r="K735" s="667"/>
      <c r="L735" s="667"/>
      <c r="M735" s="667"/>
      <c r="N735" s="667"/>
      <c r="O735" s="667"/>
      <c r="P735" s="667"/>
      <c r="Q735" s="667"/>
      <c r="R735" s="667"/>
      <c r="S735" s="826"/>
      <c r="T735" s="3"/>
      <c r="U735" s="3"/>
      <c r="V735" s="3"/>
      <c r="W735" s="3"/>
      <c r="X735" s="3"/>
      <c r="Y735" s="3"/>
      <c r="Z735" s="3"/>
    </row>
    <row r="736" ht="15.75" customHeight="1">
      <c r="C736" s="667"/>
      <c r="D736" s="667"/>
      <c r="E736" s="667"/>
      <c r="F736" s="668"/>
      <c r="G736" s="667"/>
      <c r="H736" s="667"/>
      <c r="I736" s="667"/>
      <c r="J736" s="667"/>
      <c r="K736" s="667"/>
      <c r="L736" s="667"/>
      <c r="M736" s="667"/>
      <c r="N736" s="667"/>
      <c r="O736" s="667"/>
      <c r="P736" s="667"/>
      <c r="Q736" s="667"/>
      <c r="R736" s="667"/>
      <c r="S736" s="826"/>
      <c r="T736" s="3"/>
      <c r="U736" s="3"/>
      <c r="V736" s="3"/>
      <c r="W736" s="3"/>
      <c r="X736" s="3"/>
      <c r="Y736" s="3"/>
      <c r="Z736" s="3"/>
    </row>
    <row r="737" ht="15.75" customHeight="1">
      <c r="C737" s="667"/>
      <c r="D737" s="667"/>
      <c r="E737" s="667"/>
      <c r="F737" s="668"/>
      <c r="G737" s="667"/>
      <c r="H737" s="667"/>
      <c r="I737" s="667"/>
      <c r="J737" s="667"/>
      <c r="K737" s="667"/>
      <c r="L737" s="667"/>
      <c r="M737" s="667"/>
      <c r="N737" s="667"/>
      <c r="O737" s="667"/>
      <c r="P737" s="667"/>
      <c r="Q737" s="667"/>
      <c r="R737" s="667"/>
      <c r="S737" s="826"/>
      <c r="T737" s="3"/>
      <c r="U737" s="3"/>
      <c r="V737" s="3"/>
      <c r="W737" s="3"/>
      <c r="X737" s="3"/>
      <c r="Y737" s="3"/>
      <c r="Z737" s="3"/>
    </row>
    <row r="738" ht="15.75" customHeight="1">
      <c r="C738" s="667"/>
      <c r="D738" s="667"/>
      <c r="E738" s="667"/>
      <c r="F738" s="668"/>
      <c r="G738" s="667"/>
      <c r="H738" s="667"/>
      <c r="I738" s="667"/>
      <c r="J738" s="667"/>
      <c r="K738" s="667"/>
      <c r="L738" s="667"/>
      <c r="M738" s="667"/>
      <c r="N738" s="667"/>
      <c r="O738" s="667"/>
      <c r="P738" s="667"/>
      <c r="Q738" s="667"/>
      <c r="R738" s="667"/>
      <c r="S738" s="826"/>
      <c r="T738" s="3"/>
      <c r="U738" s="3"/>
      <c r="V738" s="3"/>
      <c r="W738" s="3"/>
      <c r="X738" s="3"/>
      <c r="Y738" s="3"/>
      <c r="Z738" s="3"/>
    </row>
    <row r="739" ht="15.75" customHeight="1">
      <c r="C739" s="667"/>
      <c r="D739" s="667"/>
      <c r="E739" s="667"/>
      <c r="F739" s="668"/>
      <c r="G739" s="667"/>
      <c r="H739" s="667"/>
      <c r="I739" s="667"/>
      <c r="J739" s="667"/>
      <c r="K739" s="667"/>
      <c r="L739" s="667"/>
      <c r="M739" s="667"/>
      <c r="N739" s="667"/>
      <c r="O739" s="667"/>
      <c r="P739" s="667"/>
      <c r="Q739" s="667"/>
      <c r="R739" s="667"/>
      <c r="S739" s="826"/>
      <c r="T739" s="3"/>
      <c r="U739" s="3"/>
      <c r="V739" s="3"/>
      <c r="W739" s="3"/>
      <c r="X739" s="3"/>
      <c r="Y739" s="3"/>
      <c r="Z739" s="3"/>
    </row>
    <row r="740" ht="15.75" customHeight="1">
      <c r="C740" s="667"/>
      <c r="D740" s="667"/>
      <c r="E740" s="667"/>
      <c r="F740" s="668"/>
      <c r="G740" s="667"/>
      <c r="H740" s="667"/>
      <c r="I740" s="667"/>
      <c r="J740" s="667"/>
      <c r="K740" s="667"/>
      <c r="L740" s="667"/>
      <c r="M740" s="667"/>
      <c r="N740" s="667"/>
      <c r="O740" s="667"/>
      <c r="P740" s="667"/>
      <c r="Q740" s="667"/>
      <c r="R740" s="667"/>
      <c r="S740" s="826"/>
      <c r="T740" s="3"/>
      <c r="U740" s="3"/>
      <c r="V740" s="3"/>
      <c r="W740" s="3"/>
      <c r="X740" s="3"/>
      <c r="Y740" s="3"/>
      <c r="Z740" s="3"/>
    </row>
    <row r="741" ht="15.75" customHeight="1">
      <c r="C741" s="667"/>
      <c r="D741" s="667"/>
      <c r="E741" s="667"/>
      <c r="F741" s="668"/>
      <c r="G741" s="667"/>
      <c r="H741" s="667"/>
      <c r="I741" s="667"/>
      <c r="J741" s="667"/>
      <c r="K741" s="667"/>
      <c r="L741" s="667"/>
      <c r="M741" s="667"/>
      <c r="N741" s="667"/>
      <c r="O741" s="667"/>
      <c r="P741" s="667"/>
      <c r="Q741" s="667"/>
      <c r="R741" s="667"/>
      <c r="S741" s="826"/>
      <c r="T741" s="3"/>
      <c r="U741" s="3"/>
      <c r="V741" s="3"/>
      <c r="W741" s="3"/>
      <c r="X741" s="3"/>
      <c r="Y741" s="3"/>
      <c r="Z741" s="3"/>
    </row>
    <row r="742" ht="15.75" customHeight="1">
      <c r="C742" s="667"/>
      <c r="D742" s="667"/>
      <c r="E742" s="667"/>
      <c r="F742" s="668"/>
      <c r="G742" s="667"/>
      <c r="H742" s="667"/>
      <c r="I742" s="667"/>
      <c r="J742" s="667"/>
      <c r="K742" s="667"/>
      <c r="L742" s="667"/>
      <c r="M742" s="667"/>
      <c r="N742" s="667"/>
      <c r="O742" s="667"/>
      <c r="P742" s="667"/>
      <c r="Q742" s="667"/>
      <c r="R742" s="667"/>
      <c r="S742" s="826"/>
      <c r="T742" s="3"/>
      <c r="U742" s="3"/>
      <c r="V742" s="3"/>
      <c r="W742" s="3"/>
      <c r="X742" s="3"/>
      <c r="Y742" s="3"/>
      <c r="Z742" s="3"/>
    </row>
    <row r="743" ht="15.75" customHeight="1">
      <c r="C743" s="667"/>
      <c r="D743" s="667"/>
      <c r="E743" s="667"/>
      <c r="F743" s="668"/>
      <c r="G743" s="667"/>
      <c r="H743" s="667"/>
      <c r="I743" s="667"/>
      <c r="J743" s="667"/>
      <c r="K743" s="667"/>
      <c r="L743" s="667"/>
      <c r="M743" s="667"/>
      <c r="N743" s="667"/>
      <c r="O743" s="667"/>
      <c r="P743" s="667"/>
      <c r="Q743" s="667"/>
      <c r="R743" s="667"/>
      <c r="S743" s="826"/>
      <c r="T743" s="3"/>
      <c r="U743" s="3"/>
      <c r="V743" s="3"/>
      <c r="W743" s="3"/>
      <c r="X743" s="3"/>
      <c r="Y743" s="3"/>
      <c r="Z743" s="3"/>
    </row>
    <row r="744" ht="15.75" customHeight="1">
      <c r="C744" s="667"/>
      <c r="D744" s="667"/>
      <c r="E744" s="667"/>
      <c r="F744" s="668"/>
      <c r="G744" s="667"/>
      <c r="H744" s="667"/>
      <c r="I744" s="667"/>
      <c r="J744" s="667"/>
      <c r="K744" s="667"/>
      <c r="L744" s="667"/>
      <c r="M744" s="667"/>
      <c r="N744" s="667"/>
      <c r="O744" s="667"/>
      <c r="P744" s="667"/>
      <c r="Q744" s="667"/>
      <c r="R744" s="667"/>
      <c r="S744" s="826"/>
      <c r="T744" s="3"/>
      <c r="U744" s="3"/>
      <c r="V744" s="3"/>
      <c r="W744" s="3"/>
      <c r="X744" s="3"/>
      <c r="Y744" s="3"/>
      <c r="Z744" s="3"/>
    </row>
    <row r="745" ht="15.75" customHeight="1">
      <c r="C745" s="667"/>
      <c r="D745" s="667"/>
      <c r="E745" s="667"/>
      <c r="F745" s="668"/>
      <c r="G745" s="667"/>
      <c r="H745" s="667"/>
      <c r="I745" s="667"/>
      <c r="J745" s="667"/>
      <c r="K745" s="667"/>
      <c r="L745" s="667"/>
      <c r="M745" s="667"/>
      <c r="N745" s="667"/>
      <c r="O745" s="667"/>
      <c r="P745" s="667"/>
      <c r="Q745" s="667"/>
      <c r="R745" s="667"/>
      <c r="S745" s="826"/>
      <c r="T745" s="3"/>
      <c r="U745" s="3"/>
      <c r="V745" s="3"/>
      <c r="W745" s="3"/>
      <c r="X745" s="3"/>
      <c r="Y745" s="3"/>
      <c r="Z745" s="3"/>
    </row>
    <row r="746" ht="15.75" customHeight="1">
      <c r="C746" s="667"/>
      <c r="D746" s="667"/>
      <c r="E746" s="667"/>
      <c r="F746" s="668"/>
      <c r="G746" s="667"/>
      <c r="H746" s="667"/>
      <c r="I746" s="667"/>
      <c r="J746" s="667"/>
      <c r="K746" s="667"/>
      <c r="L746" s="667"/>
      <c r="M746" s="667"/>
      <c r="N746" s="667"/>
      <c r="O746" s="667"/>
      <c r="P746" s="667"/>
      <c r="Q746" s="667"/>
      <c r="R746" s="667"/>
      <c r="S746" s="826"/>
      <c r="T746" s="3"/>
      <c r="U746" s="3"/>
      <c r="V746" s="3"/>
      <c r="W746" s="3"/>
      <c r="X746" s="3"/>
      <c r="Y746" s="3"/>
      <c r="Z746" s="3"/>
    </row>
    <row r="747" ht="15.75" customHeight="1">
      <c r="C747" s="667"/>
      <c r="D747" s="667"/>
      <c r="E747" s="667"/>
      <c r="F747" s="668"/>
      <c r="G747" s="667"/>
      <c r="H747" s="667"/>
      <c r="I747" s="667"/>
      <c r="J747" s="667"/>
      <c r="K747" s="667"/>
      <c r="L747" s="667"/>
      <c r="M747" s="667"/>
      <c r="N747" s="667"/>
      <c r="O747" s="667"/>
      <c r="P747" s="667"/>
      <c r="Q747" s="667"/>
      <c r="R747" s="667"/>
      <c r="S747" s="826"/>
      <c r="T747" s="3"/>
      <c r="U747" s="3"/>
      <c r="V747" s="3"/>
      <c r="W747" s="3"/>
      <c r="X747" s="3"/>
      <c r="Y747" s="3"/>
      <c r="Z747" s="3"/>
    </row>
    <row r="748" ht="15.75" customHeight="1">
      <c r="C748" s="667"/>
      <c r="D748" s="667"/>
      <c r="E748" s="667"/>
      <c r="F748" s="668"/>
      <c r="G748" s="667"/>
      <c r="H748" s="667"/>
      <c r="I748" s="667"/>
      <c r="J748" s="667"/>
      <c r="K748" s="667"/>
      <c r="L748" s="667"/>
      <c r="M748" s="667"/>
      <c r="N748" s="667"/>
      <c r="O748" s="667"/>
      <c r="P748" s="667"/>
      <c r="Q748" s="667"/>
      <c r="R748" s="667"/>
      <c r="S748" s="826"/>
      <c r="T748" s="3"/>
      <c r="U748" s="3"/>
      <c r="V748" s="3"/>
      <c r="W748" s="3"/>
      <c r="X748" s="3"/>
      <c r="Y748" s="3"/>
      <c r="Z748" s="3"/>
    </row>
    <row r="749" ht="15.75" customHeight="1">
      <c r="C749" s="667"/>
      <c r="D749" s="667"/>
      <c r="E749" s="667"/>
      <c r="F749" s="668"/>
      <c r="G749" s="667"/>
      <c r="H749" s="667"/>
      <c r="I749" s="667"/>
      <c r="J749" s="667"/>
      <c r="K749" s="667"/>
      <c r="L749" s="667"/>
      <c r="M749" s="667"/>
      <c r="N749" s="667"/>
      <c r="O749" s="667"/>
      <c r="P749" s="667"/>
      <c r="Q749" s="667"/>
      <c r="R749" s="667"/>
      <c r="S749" s="826"/>
      <c r="T749" s="3"/>
      <c r="U749" s="3"/>
      <c r="V749" s="3"/>
      <c r="W749" s="3"/>
      <c r="X749" s="3"/>
      <c r="Y749" s="3"/>
      <c r="Z749" s="3"/>
    </row>
    <row r="750" ht="15.75" customHeight="1">
      <c r="C750" s="667"/>
      <c r="D750" s="667"/>
      <c r="E750" s="667"/>
      <c r="F750" s="668"/>
      <c r="G750" s="667"/>
      <c r="H750" s="667"/>
      <c r="I750" s="667"/>
      <c r="J750" s="667"/>
      <c r="K750" s="667"/>
      <c r="L750" s="667"/>
      <c r="M750" s="667"/>
      <c r="N750" s="667"/>
      <c r="O750" s="667"/>
      <c r="P750" s="667"/>
      <c r="Q750" s="667"/>
      <c r="R750" s="667"/>
      <c r="S750" s="826"/>
      <c r="T750" s="3"/>
      <c r="U750" s="3"/>
      <c r="V750" s="3"/>
      <c r="W750" s="3"/>
      <c r="X750" s="3"/>
      <c r="Y750" s="3"/>
      <c r="Z750" s="3"/>
    </row>
    <row r="751" ht="15.75" customHeight="1">
      <c r="C751" s="667"/>
      <c r="D751" s="667"/>
      <c r="E751" s="667"/>
      <c r="F751" s="668"/>
      <c r="G751" s="667"/>
      <c r="H751" s="667"/>
      <c r="I751" s="667"/>
      <c r="J751" s="667"/>
      <c r="K751" s="667"/>
      <c r="L751" s="667"/>
      <c r="M751" s="667"/>
      <c r="N751" s="667"/>
      <c r="O751" s="667"/>
      <c r="P751" s="667"/>
      <c r="Q751" s="667"/>
      <c r="R751" s="667"/>
      <c r="S751" s="826"/>
      <c r="T751" s="3"/>
      <c r="U751" s="3"/>
      <c r="V751" s="3"/>
      <c r="W751" s="3"/>
      <c r="X751" s="3"/>
      <c r="Y751" s="3"/>
      <c r="Z751" s="3"/>
    </row>
    <row r="752" ht="15.75" customHeight="1">
      <c r="C752" s="667"/>
      <c r="D752" s="667"/>
      <c r="E752" s="667"/>
      <c r="F752" s="668"/>
      <c r="G752" s="667"/>
      <c r="H752" s="667"/>
      <c r="I752" s="667"/>
      <c r="J752" s="667"/>
      <c r="K752" s="667"/>
      <c r="L752" s="667"/>
      <c r="M752" s="667"/>
      <c r="N752" s="667"/>
      <c r="O752" s="667"/>
      <c r="P752" s="667"/>
      <c r="Q752" s="667"/>
      <c r="R752" s="667"/>
      <c r="S752" s="826"/>
      <c r="T752" s="3"/>
      <c r="U752" s="3"/>
      <c r="V752" s="3"/>
      <c r="W752" s="3"/>
      <c r="X752" s="3"/>
      <c r="Y752" s="3"/>
      <c r="Z752" s="3"/>
    </row>
    <row r="753" ht="15.75" customHeight="1">
      <c r="C753" s="667"/>
      <c r="D753" s="667"/>
      <c r="E753" s="667"/>
      <c r="F753" s="668"/>
      <c r="G753" s="667"/>
      <c r="H753" s="667"/>
      <c r="I753" s="667"/>
      <c r="J753" s="667"/>
      <c r="K753" s="667"/>
      <c r="L753" s="667"/>
      <c r="M753" s="667"/>
      <c r="N753" s="667"/>
      <c r="O753" s="667"/>
      <c r="P753" s="667"/>
      <c r="Q753" s="667"/>
      <c r="R753" s="667"/>
      <c r="S753" s="826"/>
      <c r="T753" s="3"/>
      <c r="U753" s="3"/>
      <c r="V753" s="3"/>
      <c r="W753" s="3"/>
      <c r="X753" s="3"/>
      <c r="Y753" s="3"/>
      <c r="Z753" s="3"/>
    </row>
    <row r="754" ht="15.75" customHeight="1">
      <c r="C754" s="667"/>
      <c r="D754" s="667"/>
      <c r="E754" s="667"/>
      <c r="F754" s="668"/>
      <c r="G754" s="667"/>
      <c r="H754" s="667"/>
      <c r="I754" s="667"/>
      <c r="J754" s="667"/>
      <c r="K754" s="667"/>
      <c r="L754" s="667"/>
      <c r="M754" s="667"/>
      <c r="N754" s="667"/>
      <c r="O754" s="667"/>
      <c r="P754" s="667"/>
      <c r="Q754" s="667"/>
      <c r="R754" s="667"/>
      <c r="S754" s="826"/>
      <c r="T754" s="3"/>
      <c r="U754" s="3"/>
      <c r="V754" s="3"/>
      <c r="W754" s="3"/>
      <c r="X754" s="3"/>
      <c r="Y754" s="3"/>
      <c r="Z754" s="3"/>
    </row>
    <row r="755" ht="15.75" customHeight="1">
      <c r="C755" s="667"/>
      <c r="D755" s="667"/>
      <c r="E755" s="667"/>
      <c r="F755" s="668"/>
      <c r="G755" s="667"/>
      <c r="H755" s="667"/>
      <c r="I755" s="667"/>
      <c r="J755" s="667"/>
      <c r="K755" s="667"/>
      <c r="L755" s="667"/>
      <c r="M755" s="667"/>
      <c r="N755" s="667"/>
      <c r="O755" s="667"/>
      <c r="P755" s="667"/>
      <c r="Q755" s="667"/>
      <c r="R755" s="667"/>
      <c r="S755" s="826"/>
      <c r="T755" s="3"/>
      <c r="U755" s="3"/>
      <c r="V755" s="3"/>
      <c r="W755" s="3"/>
      <c r="X755" s="3"/>
      <c r="Y755" s="3"/>
      <c r="Z755" s="3"/>
    </row>
    <row r="756" ht="15.75" customHeight="1">
      <c r="C756" s="667"/>
      <c r="D756" s="667"/>
      <c r="E756" s="667"/>
      <c r="F756" s="668"/>
      <c r="G756" s="667"/>
      <c r="H756" s="667"/>
      <c r="I756" s="667"/>
      <c r="J756" s="667"/>
      <c r="K756" s="667"/>
      <c r="L756" s="667"/>
      <c r="M756" s="667"/>
      <c r="N756" s="667"/>
      <c r="O756" s="667"/>
      <c r="P756" s="667"/>
      <c r="Q756" s="667"/>
      <c r="R756" s="667"/>
      <c r="S756" s="826"/>
      <c r="T756" s="3"/>
      <c r="U756" s="3"/>
      <c r="V756" s="3"/>
      <c r="W756" s="3"/>
      <c r="X756" s="3"/>
      <c r="Y756" s="3"/>
      <c r="Z756" s="3"/>
    </row>
    <row r="757" ht="15.75" customHeight="1">
      <c r="C757" s="667"/>
      <c r="D757" s="667"/>
      <c r="E757" s="667"/>
      <c r="F757" s="668"/>
      <c r="G757" s="667"/>
      <c r="H757" s="667"/>
      <c r="I757" s="667"/>
      <c r="J757" s="667"/>
      <c r="K757" s="667"/>
      <c r="L757" s="667"/>
      <c r="M757" s="667"/>
      <c r="N757" s="667"/>
      <c r="O757" s="667"/>
      <c r="P757" s="667"/>
      <c r="Q757" s="667"/>
      <c r="R757" s="667"/>
      <c r="S757" s="826"/>
      <c r="T757" s="3"/>
      <c r="U757" s="3"/>
      <c r="V757" s="3"/>
      <c r="W757" s="3"/>
      <c r="X757" s="3"/>
      <c r="Y757" s="3"/>
      <c r="Z757" s="3"/>
    </row>
    <row r="758" ht="15.75" customHeight="1">
      <c r="C758" s="667"/>
      <c r="D758" s="667"/>
      <c r="E758" s="667"/>
      <c r="F758" s="668"/>
      <c r="G758" s="667"/>
      <c r="H758" s="667"/>
      <c r="I758" s="667"/>
      <c r="J758" s="667"/>
      <c r="K758" s="667"/>
      <c r="L758" s="667"/>
      <c r="M758" s="667"/>
      <c r="N758" s="667"/>
      <c r="O758" s="667"/>
      <c r="P758" s="667"/>
      <c r="Q758" s="667"/>
      <c r="R758" s="667"/>
      <c r="S758" s="826"/>
      <c r="T758" s="3"/>
      <c r="U758" s="3"/>
      <c r="V758" s="3"/>
      <c r="W758" s="3"/>
      <c r="X758" s="3"/>
      <c r="Y758" s="3"/>
      <c r="Z758" s="3"/>
    </row>
    <row r="759" ht="15.75" customHeight="1">
      <c r="C759" s="667"/>
      <c r="D759" s="667"/>
      <c r="E759" s="667"/>
      <c r="F759" s="668"/>
      <c r="G759" s="667"/>
      <c r="H759" s="667"/>
      <c r="I759" s="667"/>
      <c r="J759" s="667"/>
      <c r="K759" s="667"/>
      <c r="L759" s="667"/>
      <c r="M759" s="667"/>
      <c r="N759" s="667"/>
      <c r="O759" s="667"/>
      <c r="P759" s="667"/>
      <c r="Q759" s="667"/>
      <c r="R759" s="667"/>
      <c r="S759" s="826"/>
      <c r="T759" s="3"/>
      <c r="U759" s="3"/>
      <c r="V759" s="3"/>
      <c r="W759" s="3"/>
      <c r="X759" s="3"/>
      <c r="Y759" s="3"/>
      <c r="Z759" s="3"/>
    </row>
    <row r="760" ht="15.75" customHeight="1">
      <c r="C760" s="667"/>
      <c r="D760" s="667"/>
      <c r="E760" s="667"/>
      <c r="F760" s="668"/>
      <c r="G760" s="667"/>
      <c r="H760" s="667"/>
      <c r="I760" s="667"/>
      <c r="J760" s="667"/>
      <c r="K760" s="667"/>
      <c r="L760" s="667"/>
      <c r="M760" s="667"/>
      <c r="N760" s="667"/>
      <c r="O760" s="667"/>
      <c r="P760" s="667"/>
      <c r="Q760" s="667"/>
      <c r="R760" s="667"/>
      <c r="S760" s="826"/>
      <c r="T760" s="3"/>
      <c r="U760" s="3"/>
      <c r="V760" s="3"/>
      <c r="W760" s="3"/>
      <c r="X760" s="3"/>
      <c r="Y760" s="3"/>
      <c r="Z760" s="3"/>
    </row>
    <row r="761" ht="15.75" customHeight="1">
      <c r="C761" s="667"/>
      <c r="D761" s="667"/>
      <c r="E761" s="667"/>
      <c r="F761" s="668"/>
      <c r="G761" s="667"/>
      <c r="H761" s="667"/>
      <c r="I761" s="667"/>
      <c r="J761" s="667"/>
      <c r="K761" s="667"/>
      <c r="L761" s="667"/>
      <c r="M761" s="667"/>
      <c r="N761" s="667"/>
      <c r="O761" s="667"/>
      <c r="P761" s="667"/>
      <c r="Q761" s="667"/>
      <c r="R761" s="667"/>
      <c r="S761" s="826"/>
      <c r="T761" s="3"/>
      <c r="U761" s="3"/>
      <c r="V761" s="3"/>
      <c r="W761" s="3"/>
      <c r="X761" s="3"/>
      <c r="Y761" s="3"/>
      <c r="Z761" s="3"/>
    </row>
    <row r="762" ht="15.75" customHeight="1">
      <c r="C762" s="667"/>
      <c r="D762" s="667"/>
      <c r="E762" s="667"/>
      <c r="F762" s="668"/>
      <c r="G762" s="667"/>
      <c r="H762" s="667"/>
      <c r="I762" s="667"/>
      <c r="J762" s="667"/>
      <c r="K762" s="667"/>
      <c r="L762" s="667"/>
      <c r="M762" s="667"/>
      <c r="N762" s="667"/>
      <c r="O762" s="667"/>
      <c r="P762" s="667"/>
      <c r="Q762" s="667"/>
      <c r="R762" s="667"/>
      <c r="S762" s="826"/>
      <c r="T762" s="3"/>
      <c r="U762" s="3"/>
      <c r="V762" s="3"/>
      <c r="W762" s="3"/>
      <c r="X762" s="3"/>
      <c r="Y762" s="3"/>
      <c r="Z762" s="3"/>
    </row>
    <row r="763" ht="15.75" customHeight="1">
      <c r="C763" s="667"/>
      <c r="D763" s="667"/>
      <c r="E763" s="667"/>
      <c r="F763" s="668"/>
      <c r="G763" s="667"/>
      <c r="H763" s="667"/>
      <c r="I763" s="667"/>
      <c r="J763" s="667"/>
      <c r="K763" s="667"/>
      <c r="L763" s="667"/>
      <c r="M763" s="667"/>
      <c r="N763" s="667"/>
      <c r="O763" s="667"/>
      <c r="P763" s="667"/>
      <c r="Q763" s="667"/>
      <c r="R763" s="667"/>
      <c r="S763" s="826"/>
      <c r="T763" s="3"/>
      <c r="U763" s="3"/>
      <c r="V763" s="3"/>
      <c r="W763" s="3"/>
      <c r="X763" s="3"/>
      <c r="Y763" s="3"/>
      <c r="Z763" s="3"/>
    </row>
    <row r="764" ht="15.75" customHeight="1">
      <c r="C764" s="667"/>
      <c r="D764" s="667"/>
      <c r="E764" s="667"/>
      <c r="F764" s="668"/>
      <c r="G764" s="667"/>
      <c r="H764" s="667"/>
      <c r="I764" s="667"/>
      <c r="J764" s="667"/>
      <c r="K764" s="667"/>
      <c r="L764" s="667"/>
      <c r="M764" s="667"/>
      <c r="N764" s="667"/>
      <c r="O764" s="667"/>
      <c r="P764" s="667"/>
      <c r="Q764" s="667"/>
      <c r="R764" s="667"/>
      <c r="S764" s="826"/>
      <c r="T764" s="3"/>
      <c r="U764" s="3"/>
      <c r="V764" s="3"/>
      <c r="W764" s="3"/>
      <c r="X764" s="3"/>
      <c r="Y764" s="3"/>
      <c r="Z764" s="3"/>
    </row>
    <row r="765" ht="15.75" customHeight="1">
      <c r="C765" s="667"/>
      <c r="D765" s="667"/>
      <c r="E765" s="667"/>
      <c r="F765" s="668"/>
      <c r="G765" s="667"/>
      <c r="H765" s="667"/>
      <c r="I765" s="667"/>
      <c r="J765" s="667"/>
      <c r="K765" s="667"/>
      <c r="L765" s="667"/>
      <c r="M765" s="667"/>
      <c r="N765" s="667"/>
      <c r="O765" s="667"/>
      <c r="P765" s="667"/>
      <c r="Q765" s="667"/>
      <c r="R765" s="667"/>
      <c r="S765" s="826"/>
      <c r="T765" s="3"/>
      <c r="U765" s="3"/>
      <c r="V765" s="3"/>
      <c r="W765" s="3"/>
      <c r="X765" s="3"/>
      <c r="Y765" s="3"/>
      <c r="Z765" s="3"/>
    </row>
    <row r="766" ht="15.75" customHeight="1">
      <c r="C766" s="667"/>
      <c r="D766" s="667"/>
      <c r="E766" s="667"/>
      <c r="F766" s="668"/>
      <c r="G766" s="667"/>
      <c r="H766" s="667"/>
      <c r="I766" s="667"/>
      <c r="J766" s="667"/>
      <c r="K766" s="667"/>
      <c r="L766" s="667"/>
      <c r="M766" s="667"/>
      <c r="N766" s="667"/>
      <c r="O766" s="667"/>
      <c r="P766" s="667"/>
      <c r="Q766" s="667"/>
      <c r="R766" s="667"/>
      <c r="S766" s="826"/>
      <c r="T766" s="3"/>
      <c r="U766" s="3"/>
      <c r="V766" s="3"/>
      <c r="W766" s="3"/>
      <c r="X766" s="3"/>
      <c r="Y766" s="3"/>
      <c r="Z766" s="3"/>
    </row>
    <row r="767" ht="15.75" customHeight="1">
      <c r="C767" s="667"/>
      <c r="D767" s="667"/>
      <c r="E767" s="667"/>
      <c r="F767" s="668"/>
      <c r="G767" s="667"/>
      <c r="H767" s="667"/>
      <c r="I767" s="667"/>
      <c r="J767" s="667"/>
      <c r="K767" s="667"/>
      <c r="L767" s="667"/>
      <c r="M767" s="667"/>
      <c r="N767" s="667"/>
      <c r="O767" s="667"/>
      <c r="P767" s="667"/>
      <c r="Q767" s="667"/>
      <c r="R767" s="667"/>
      <c r="S767" s="826"/>
      <c r="T767" s="3"/>
      <c r="U767" s="3"/>
      <c r="V767" s="3"/>
      <c r="W767" s="3"/>
      <c r="X767" s="3"/>
      <c r="Y767" s="3"/>
      <c r="Z767" s="3"/>
    </row>
    <row r="768" ht="15.75" customHeight="1">
      <c r="C768" s="667"/>
      <c r="D768" s="667"/>
      <c r="E768" s="667"/>
      <c r="F768" s="668"/>
      <c r="G768" s="667"/>
      <c r="H768" s="667"/>
      <c r="I768" s="667"/>
      <c r="J768" s="667"/>
      <c r="K768" s="667"/>
      <c r="L768" s="667"/>
      <c r="M768" s="667"/>
      <c r="N768" s="667"/>
      <c r="O768" s="667"/>
      <c r="P768" s="667"/>
      <c r="Q768" s="667"/>
      <c r="R768" s="667"/>
      <c r="S768" s="826"/>
      <c r="T768" s="3"/>
      <c r="U768" s="3"/>
      <c r="V768" s="3"/>
      <c r="W768" s="3"/>
      <c r="X768" s="3"/>
      <c r="Y768" s="3"/>
      <c r="Z768" s="3"/>
    </row>
    <row r="769" ht="15.75" customHeight="1">
      <c r="C769" s="667"/>
      <c r="D769" s="667"/>
      <c r="E769" s="667"/>
      <c r="F769" s="668"/>
      <c r="G769" s="667"/>
      <c r="H769" s="667"/>
      <c r="I769" s="667"/>
      <c r="J769" s="667"/>
      <c r="K769" s="667"/>
      <c r="L769" s="667"/>
      <c r="M769" s="667"/>
      <c r="N769" s="667"/>
      <c r="O769" s="667"/>
      <c r="P769" s="667"/>
      <c r="Q769" s="667"/>
      <c r="R769" s="667"/>
      <c r="S769" s="826"/>
      <c r="T769" s="3"/>
      <c r="U769" s="3"/>
      <c r="V769" s="3"/>
      <c r="W769" s="3"/>
      <c r="X769" s="3"/>
      <c r="Y769" s="3"/>
      <c r="Z769" s="3"/>
    </row>
    <row r="770" ht="15.75" customHeight="1">
      <c r="C770" s="667"/>
      <c r="D770" s="667"/>
      <c r="E770" s="667"/>
      <c r="F770" s="668"/>
      <c r="G770" s="667"/>
      <c r="H770" s="667"/>
      <c r="I770" s="667"/>
      <c r="J770" s="667"/>
      <c r="K770" s="667"/>
      <c r="L770" s="667"/>
      <c r="M770" s="667"/>
      <c r="N770" s="667"/>
      <c r="O770" s="667"/>
      <c r="P770" s="667"/>
      <c r="Q770" s="667"/>
      <c r="R770" s="667"/>
      <c r="S770" s="826"/>
      <c r="T770" s="3"/>
      <c r="U770" s="3"/>
      <c r="V770" s="3"/>
      <c r="W770" s="3"/>
      <c r="X770" s="3"/>
      <c r="Y770" s="3"/>
      <c r="Z770" s="3"/>
    </row>
    <row r="771" ht="15.75" customHeight="1">
      <c r="C771" s="667"/>
      <c r="D771" s="667"/>
      <c r="E771" s="667"/>
      <c r="F771" s="668"/>
      <c r="G771" s="667"/>
      <c r="H771" s="667"/>
      <c r="I771" s="667"/>
      <c r="J771" s="667"/>
      <c r="K771" s="667"/>
      <c r="L771" s="667"/>
      <c r="M771" s="667"/>
      <c r="N771" s="667"/>
      <c r="O771" s="667"/>
      <c r="P771" s="667"/>
      <c r="Q771" s="667"/>
      <c r="R771" s="667"/>
      <c r="S771" s="826"/>
      <c r="T771" s="3"/>
      <c r="U771" s="3"/>
      <c r="V771" s="3"/>
      <c r="W771" s="3"/>
      <c r="X771" s="3"/>
      <c r="Y771" s="3"/>
      <c r="Z771" s="3"/>
    </row>
    <row r="772" ht="15.75" customHeight="1">
      <c r="C772" s="667"/>
      <c r="D772" s="667"/>
      <c r="E772" s="667"/>
      <c r="F772" s="668"/>
      <c r="G772" s="667"/>
      <c r="H772" s="667"/>
      <c r="I772" s="667"/>
      <c r="J772" s="667"/>
      <c r="K772" s="667"/>
      <c r="L772" s="667"/>
      <c r="M772" s="667"/>
      <c r="N772" s="667"/>
      <c r="O772" s="667"/>
      <c r="P772" s="667"/>
      <c r="Q772" s="667"/>
      <c r="R772" s="667"/>
      <c r="S772" s="826"/>
      <c r="T772" s="3"/>
      <c r="U772" s="3"/>
      <c r="V772" s="3"/>
      <c r="W772" s="3"/>
      <c r="X772" s="3"/>
      <c r="Y772" s="3"/>
      <c r="Z772" s="3"/>
    </row>
    <row r="773" ht="15.75" customHeight="1">
      <c r="C773" s="667"/>
      <c r="D773" s="667"/>
      <c r="E773" s="667"/>
      <c r="F773" s="668"/>
      <c r="G773" s="667"/>
      <c r="H773" s="667"/>
      <c r="I773" s="667"/>
      <c r="J773" s="667"/>
      <c r="K773" s="667"/>
      <c r="L773" s="667"/>
      <c r="M773" s="667"/>
      <c r="N773" s="667"/>
      <c r="O773" s="667"/>
      <c r="P773" s="667"/>
      <c r="Q773" s="667"/>
      <c r="R773" s="667"/>
      <c r="S773" s="826"/>
      <c r="T773" s="3"/>
      <c r="U773" s="3"/>
      <c r="V773" s="3"/>
      <c r="W773" s="3"/>
      <c r="X773" s="3"/>
      <c r="Y773" s="3"/>
      <c r="Z773" s="3"/>
    </row>
    <row r="774" ht="15.75" customHeight="1">
      <c r="C774" s="667"/>
      <c r="D774" s="667"/>
      <c r="E774" s="667"/>
      <c r="F774" s="668"/>
      <c r="G774" s="667"/>
      <c r="H774" s="667"/>
      <c r="I774" s="667"/>
      <c r="J774" s="667"/>
      <c r="K774" s="667"/>
      <c r="L774" s="667"/>
      <c r="M774" s="667"/>
      <c r="N774" s="667"/>
      <c r="O774" s="667"/>
      <c r="P774" s="667"/>
      <c r="Q774" s="667"/>
      <c r="R774" s="667"/>
      <c r="S774" s="826"/>
      <c r="T774" s="3"/>
      <c r="U774" s="3"/>
      <c r="V774" s="3"/>
      <c r="W774" s="3"/>
      <c r="X774" s="3"/>
      <c r="Y774" s="3"/>
      <c r="Z774" s="3"/>
    </row>
    <row r="775" ht="15.75" customHeight="1">
      <c r="C775" s="667"/>
      <c r="D775" s="667"/>
      <c r="E775" s="667"/>
      <c r="F775" s="668"/>
      <c r="G775" s="667"/>
      <c r="H775" s="667"/>
      <c r="I775" s="667"/>
      <c r="J775" s="667"/>
      <c r="K775" s="667"/>
      <c r="L775" s="667"/>
      <c r="M775" s="667"/>
      <c r="N775" s="667"/>
      <c r="O775" s="667"/>
      <c r="P775" s="667"/>
      <c r="Q775" s="667"/>
      <c r="R775" s="667"/>
      <c r="S775" s="826"/>
      <c r="T775" s="3"/>
      <c r="U775" s="3"/>
      <c r="V775" s="3"/>
      <c r="W775" s="3"/>
      <c r="X775" s="3"/>
      <c r="Y775" s="3"/>
      <c r="Z775" s="3"/>
    </row>
    <row r="776" ht="15.75" customHeight="1">
      <c r="C776" s="667"/>
      <c r="D776" s="667"/>
      <c r="E776" s="667"/>
      <c r="F776" s="668"/>
      <c r="G776" s="667"/>
      <c r="H776" s="667"/>
      <c r="I776" s="667"/>
      <c r="J776" s="667"/>
      <c r="K776" s="667"/>
      <c r="L776" s="667"/>
      <c r="M776" s="667"/>
      <c r="N776" s="667"/>
      <c r="O776" s="667"/>
      <c r="P776" s="667"/>
      <c r="Q776" s="667"/>
      <c r="R776" s="667"/>
      <c r="S776" s="826"/>
      <c r="T776" s="3"/>
      <c r="U776" s="3"/>
      <c r="V776" s="3"/>
      <c r="W776" s="3"/>
      <c r="X776" s="3"/>
      <c r="Y776" s="3"/>
      <c r="Z776" s="3"/>
    </row>
    <row r="777" ht="15.75" customHeight="1">
      <c r="C777" s="667"/>
      <c r="D777" s="667"/>
      <c r="E777" s="667"/>
      <c r="F777" s="668"/>
      <c r="G777" s="667"/>
      <c r="H777" s="667"/>
      <c r="I777" s="667"/>
      <c r="J777" s="667"/>
      <c r="K777" s="667"/>
      <c r="L777" s="667"/>
      <c r="M777" s="667"/>
      <c r="N777" s="667"/>
      <c r="O777" s="667"/>
      <c r="P777" s="667"/>
      <c r="Q777" s="667"/>
      <c r="R777" s="667"/>
      <c r="S777" s="826"/>
      <c r="T777" s="3"/>
      <c r="U777" s="3"/>
      <c r="V777" s="3"/>
      <c r="W777" s="3"/>
      <c r="X777" s="3"/>
      <c r="Y777" s="3"/>
      <c r="Z777" s="3"/>
    </row>
    <row r="778" ht="15.75" customHeight="1">
      <c r="C778" s="667"/>
      <c r="D778" s="667"/>
      <c r="E778" s="667"/>
      <c r="F778" s="668"/>
      <c r="G778" s="667"/>
      <c r="H778" s="667"/>
      <c r="I778" s="667"/>
      <c r="J778" s="667"/>
      <c r="K778" s="667"/>
      <c r="L778" s="667"/>
      <c r="M778" s="667"/>
      <c r="N778" s="667"/>
      <c r="O778" s="667"/>
      <c r="P778" s="667"/>
      <c r="Q778" s="667"/>
      <c r="R778" s="667"/>
      <c r="S778" s="826"/>
      <c r="T778" s="3"/>
      <c r="U778" s="3"/>
      <c r="V778" s="3"/>
      <c r="W778" s="3"/>
      <c r="X778" s="3"/>
      <c r="Y778" s="3"/>
      <c r="Z778" s="3"/>
    </row>
    <row r="779" ht="15.75" customHeight="1">
      <c r="C779" s="667"/>
      <c r="D779" s="667"/>
      <c r="E779" s="667"/>
      <c r="F779" s="668"/>
      <c r="G779" s="667"/>
      <c r="H779" s="667"/>
      <c r="I779" s="667"/>
      <c r="J779" s="667"/>
      <c r="K779" s="667"/>
      <c r="L779" s="667"/>
      <c r="M779" s="667"/>
      <c r="N779" s="667"/>
      <c r="O779" s="667"/>
      <c r="P779" s="667"/>
      <c r="Q779" s="667"/>
      <c r="R779" s="667"/>
      <c r="S779" s="826"/>
      <c r="T779" s="3"/>
      <c r="U779" s="3"/>
      <c r="V779" s="3"/>
      <c r="W779" s="3"/>
      <c r="X779" s="3"/>
      <c r="Y779" s="3"/>
      <c r="Z779" s="3"/>
    </row>
    <row r="780" ht="15.75" customHeight="1">
      <c r="C780" s="667"/>
      <c r="D780" s="667"/>
      <c r="E780" s="667"/>
      <c r="F780" s="668"/>
      <c r="G780" s="667"/>
      <c r="H780" s="667"/>
      <c r="I780" s="667"/>
      <c r="J780" s="667"/>
      <c r="K780" s="667"/>
      <c r="L780" s="667"/>
      <c r="M780" s="667"/>
      <c r="N780" s="667"/>
      <c r="O780" s="667"/>
      <c r="P780" s="667"/>
      <c r="Q780" s="667"/>
      <c r="R780" s="667"/>
      <c r="S780" s="826"/>
      <c r="T780" s="3"/>
      <c r="U780" s="3"/>
      <c r="V780" s="3"/>
      <c r="W780" s="3"/>
      <c r="X780" s="3"/>
      <c r="Y780" s="3"/>
      <c r="Z780" s="3"/>
    </row>
    <row r="781" ht="15.75" customHeight="1">
      <c r="C781" s="667"/>
      <c r="D781" s="667"/>
      <c r="E781" s="667"/>
      <c r="F781" s="668"/>
      <c r="G781" s="667"/>
      <c r="H781" s="667"/>
      <c r="I781" s="667"/>
      <c r="J781" s="667"/>
      <c r="K781" s="667"/>
      <c r="L781" s="667"/>
      <c r="M781" s="667"/>
      <c r="N781" s="667"/>
      <c r="O781" s="667"/>
      <c r="P781" s="667"/>
      <c r="Q781" s="667"/>
      <c r="R781" s="667"/>
      <c r="S781" s="826"/>
      <c r="T781" s="3"/>
      <c r="U781" s="3"/>
      <c r="V781" s="3"/>
      <c r="W781" s="3"/>
      <c r="X781" s="3"/>
      <c r="Y781" s="3"/>
      <c r="Z781" s="3"/>
    </row>
    <row r="782" ht="15.75" customHeight="1">
      <c r="C782" s="667"/>
      <c r="D782" s="667"/>
      <c r="E782" s="667"/>
      <c r="F782" s="668"/>
      <c r="G782" s="667"/>
      <c r="H782" s="667"/>
      <c r="I782" s="667"/>
      <c r="J782" s="667"/>
      <c r="K782" s="667"/>
      <c r="L782" s="667"/>
      <c r="M782" s="667"/>
      <c r="N782" s="667"/>
      <c r="O782" s="667"/>
      <c r="P782" s="667"/>
      <c r="Q782" s="667"/>
      <c r="R782" s="667"/>
      <c r="S782" s="826"/>
      <c r="T782" s="3"/>
      <c r="U782" s="3"/>
      <c r="V782" s="3"/>
      <c r="W782" s="3"/>
      <c r="X782" s="3"/>
      <c r="Y782" s="3"/>
      <c r="Z782" s="3"/>
    </row>
    <row r="783" ht="15.75" customHeight="1">
      <c r="C783" s="667"/>
      <c r="D783" s="667"/>
      <c r="E783" s="667"/>
      <c r="F783" s="668"/>
      <c r="G783" s="667"/>
      <c r="H783" s="667"/>
      <c r="I783" s="667"/>
      <c r="J783" s="667"/>
      <c r="K783" s="667"/>
      <c r="L783" s="667"/>
      <c r="M783" s="667"/>
      <c r="N783" s="667"/>
      <c r="O783" s="667"/>
      <c r="P783" s="667"/>
      <c r="Q783" s="667"/>
      <c r="R783" s="667"/>
      <c r="S783" s="826"/>
      <c r="T783" s="3"/>
      <c r="U783" s="3"/>
      <c r="V783" s="3"/>
      <c r="W783" s="3"/>
      <c r="X783" s="3"/>
      <c r="Y783" s="3"/>
      <c r="Z783" s="3"/>
    </row>
    <row r="784" ht="15.75" customHeight="1">
      <c r="C784" s="667"/>
      <c r="D784" s="667"/>
      <c r="E784" s="667"/>
      <c r="F784" s="668"/>
      <c r="G784" s="667"/>
      <c r="H784" s="667"/>
      <c r="I784" s="667"/>
      <c r="J784" s="667"/>
      <c r="K784" s="667"/>
      <c r="L784" s="667"/>
      <c r="M784" s="667"/>
      <c r="N784" s="667"/>
      <c r="O784" s="667"/>
      <c r="P784" s="667"/>
      <c r="Q784" s="667"/>
      <c r="R784" s="667"/>
      <c r="S784" s="826"/>
      <c r="T784" s="3"/>
      <c r="U784" s="3"/>
      <c r="V784" s="3"/>
      <c r="W784" s="3"/>
      <c r="X784" s="3"/>
      <c r="Y784" s="3"/>
      <c r="Z784" s="3"/>
    </row>
    <row r="785" ht="15.75" customHeight="1">
      <c r="C785" s="667"/>
      <c r="D785" s="667"/>
      <c r="E785" s="667"/>
      <c r="F785" s="668"/>
      <c r="G785" s="667"/>
      <c r="H785" s="667"/>
      <c r="I785" s="667"/>
      <c r="J785" s="667"/>
      <c r="K785" s="667"/>
      <c r="L785" s="667"/>
      <c r="M785" s="667"/>
      <c r="N785" s="667"/>
      <c r="O785" s="667"/>
      <c r="P785" s="667"/>
      <c r="Q785" s="667"/>
      <c r="R785" s="667"/>
      <c r="S785" s="826"/>
      <c r="T785" s="3"/>
      <c r="U785" s="3"/>
      <c r="V785" s="3"/>
      <c r="W785" s="3"/>
      <c r="X785" s="3"/>
      <c r="Y785" s="3"/>
      <c r="Z785" s="3"/>
    </row>
    <row r="786" ht="15.75" customHeight="1">
      <c r="C786" s="667"/>
      <c r="D786" s="667"/>
      <c r="E786" s="667"/>
      <c r="F786" s="668"/>
      <c r="G786" s="667"/>
      <c r="H786" s="667"/>
      <c r="I786" s="667"/>
      <c r="J786" s="667"/>
      <c r="K786" s="667"/>
      <c r="L786" s="667"/>
      <c r="M786" s="667"/>
      <c r="N786" s="667"/>
      <c r="O786" s="667"/>
      <c r="P786" s="667"/>
      <c r="Q786" s="667"/>
      <c r="R786" s="667"/>
      <c r="S786" s="826"/>
      <c r="T786" s="3"/>
      <c r="U786" s="3"/>
      <c r="V786" s="3"/>
      <c r="W786" s="3"/>
      <c r="X786" s="3"/>
      <c r="Y786" s="3"/>
      <c r="Z786" s="3"/>
    </row>
    <row r="787" ht="15.75" customHeight="1">
      <c r="C787" s="667"/>
      <c r="D787" s="667"/>
      <c r="E787" s="667"/>
      <c r="F787" s="668"/>
      <c r="G787" s="667"/>
      <c r="H787" s="667"/>
      <c r="I787" s="667"/>
      <c r="J787" s="667"/>
      <c r="K787" s="667"/>
      <c r="L787" s="667"/>
      <c r="M787" s="667"/>
      <c r="N787" s="667"/>
      <c r="O787" s="667"/>
      <c r="P787" s="667"/>
      <c r="Q787" s="667"/>
      <c r="R787" s="667"/>
      <c r="S787" s="826"/>
      <c r="T787" s="3"/>
      <c r="U787" s="3"/>
      <c r="V787" s="3"/>
      <c r="W787" s="3"/>
      <c r="X787" s="3"/>
      <c r="Y787" s="3"/>
      <c r="Z787" s="3"/>
    </row>
    <row r="788" ht="15.75" customHeight="1">
      <c r="C788" s="667"/>
      <c r="D788" s="667"/>
      <c r="E788" s="667"/>
      <c r="F788" s="668"/>
      <c r="G788" s="667"/>
      <c r="H788" s="667"/>
      <c r="I788" s="667"/>
      <c r="J788" s="667"/>
      <c r="K788" s="667"/>
      <c r="L788" s="667"/>
      <c r="M788" s="667"/>
      <c r="N788" s="667"/>
      <c r="O788" s="667"/>
      <c r="P788" s="667"/>
      <c r="Q788" s="667"/>
      <c r="R788" s="667"/>
      <c r="S788" s="826"/>
      <c r="T788" s="3"/>
      <c r="U788" s="3"/>
      <c r="V788" s="3"/>
      <c r="W788" s="3"/>
      <c r="X788" s="3"/>
      <c r="Y788" s="3"/>
      <c r="Z788" s="3"/>
    </row>
    <row r="789" ht="15.75" customHeight="1">
      <c r="C789" s="667"/>
      <c r="D789" s="667"/>
      <c r="E789" s="667"/>
      <c r="F789" s="668"/>
      <c r="G789" s="667"/>
      <c r="H789" s="667"/>
      <c r="I789" s="667"/>
      <c r="J789" s="667"/>
      <c r="K789" s="667"/>
      <c r="L789" s="667"/>
      <c r="M789" s="667"/>
      <c r="N789" s="667"/>
      <c r="O789" s="667"/>
      <c r="P789" s="667"/>
      <c r="Q789" s="667"/>
      <c r="R789" s="667"/>
      <c r="S789" s="826"/>
      <c r="T789" s="3"/>
      <c r="U789" s="3"/>
      <c r="V789" s="3"/>
      <c r="W789" s="3"/>
      <c r="X789" s="3"/>
      <c r="Y789" s="3"/>
      <c r="Z789" s="3"/>
    </row>
    <row r="790" ht="15.75" customHeight="1">
      <c r="C790" s="667"/>
      <c r="D790" s="667"/>
      <c r="E790" s="667"/>
      <c r="F790" s="668"/>
      <c r="G790" s="667"/>
      <c r="H790" s="667"/>
      <c r="I790" s="667"/>
      <c r="J790" s="667"/>
      <c r="K790" s="667"/>
      <c r="L790" s="667"/>
      <c r="M790" s="667"/>
      <c r="N790" s="667"/>
      <c r="O790" s="667"/>
      <c r="P790" s="667"/>
      <c r="Q790" s="667"/>
      <c r="R790" s="667"/>
      <c r="S790" s="826"/>
      <c r="T790" s="3"/>
      <c r="U790" s="3"/>
      <c r="V790" s="3"/>
      <c r="W790" s="3"/>
      <c r="X790" s="3"/>
      <c r="Y790" s="3"/>
      <c r="Z790" s="3"/>
    </row>
    <row r="791" ht="15.75" customHeight="1">
      <c r="C791" s="667"/>
      <c r="D791" s="667"/>
      <c r="E791" s="667"/>
      <c r="F791" s="668"/>
      <c r="G791" s="667"/>
      <c r="H791" s="667"/>
      <c r="I791" s="667"/>
      <c r="J791" s="667"/>
      <c r="K791" s="667"/>
      <c r="L791" s="667"/>
      <c r="M791" s="667"/>
      <c r="N791" s="667"/>
      <c r="O791" s="667"/>
      <c r="P791" s="667"/>
      <c r="Q791" s="667"/>
      <c r="R791" s="667"/>
      <c r="S791" s="826"/>
      <c r="T791" s="3"/>
      <c r="U791" s="3"/>
      <c r="V791" s="3"/>
      <c r="W791" s="3"/>
      <c r="X791" s="3"/>
      <c r="Y791" s="3"/>
      <c r="Z791" s="3"/>
    </row>
    <row r="792" ht="15.75" customHeight="1">
      <c r="C792" s="667"/>
      <c r="D792" s="667"/>
      <c r="E792" s="667"/>
      <c r="F792" s="668"/>
      <c r="G792" s="667"/>
      <c r="H792" s="667"/>
      <c r="I792" s="667"/>
      <c r="J792" s="667"/>
      <c r="K792" s="667"/>
      <c r="L792" s="667"/>
      <c r="M792" s="667"/>
      <c r="N792" s="667"/>
      <c r="O792" s="667"/>
      <c r="P792" s="667"/>
      <c r="Q792" s="667"/>
      <c r="R792" s="667"/>
      <c r="S792" s="826"/>
      <c r="T792" s="3"/>
      <c r="U792" s="3"/>
      <c r="V792" s="3"/>
      <c r="W792" s="3"/>
      <c r="X792" s="3"/>
      <c r="Y792" s="3"/>
      <c r="Z792" s="3"/>
    </row>
    <row r="793" ht="15.75" customHeight="1">
      <c r="C793" s="667"/>
      <c r="D793" s="667"/>
      <c r="E793" s="667"/>
      <c r="F793" s="668"/>
      <c r="G793" s="667"/>
      <c r="H793" s="667"/>
      <c r="I793" s="667"/>
      <c r="J793" s="667"/>
      <c r="K793" s="667"/>
      <c r="L793" s="667"/>
      <c r="M793" s="667"/>
      <c r="N793" s="667"/>
      <c r="O793" s="667"/>
      <c r="P793" s="667"/>
      <c r="Q793" s="667"/>
      <c r="R793" s="667"/>
      <c r="S793" s="826"/>
      <c r="T793" s="3"/>
      <c r="U793" s="3"/>
      <c r="V793" s="3"/>
      <c r="W793" s="3"/>
      <c r="X793" s="3"/>
      <c r="Y793" s="3"/>
      <c r="Z793" s="3"/>
    </row>
    <row r="794" ht="15.75" customHeight="1">
      <c r="C794" s="667"/>
      <c r="D794" s="667"/>
      <c r="E794" s="667"/>
      <c r="F794" s="668"/>
      <c r="G794" s="667"/>
      <c r="H794" s="667"/>
      <c r="I794" s="667"/>
      <c r="J794" s="667"/>
      <c r="K794" s="667"/>
      <c r="L794" s="667"/>
      <c r="M794" s="667"/>
      <c r="N794" s="667"/>
      <c r="O794" s="667"/>
      <c r="P794" s="667"/>
      <c r="Q794" s="667"/>
      <c r="R794" s="667"/>
      <c r="S794" s="826"/>
      <c r="T794" s="3"/>
      <c r="U794" s="3"/>
      <c r="V794" s="3"/>
      <c r="W794" s="3"/>
      <c r="X794" s="3"/>
      <c r="Y794" s="3"/>
      <c r="Z794" s="3"/>
    </row>
    <row r="795" ht="15.75" customHeight="1">
      <c r="C795" s="667"/>
      <c r="D795" s="667"/>
      <c r="E795" s="667"/>
      <c r="F795" s="668"/>
      <c r="G795" s="667"/>
      <c r="H795" s="667"/>
      <c r="I795" s="667"/>
      <c r="J795" s="667"/>
      <c r="K795" s="667"/>
      <c r="L795" s="667"/>
      <c r="M795" s="667"/>
      <c r="N795" s="667"/>
      <c r="O795" s="667"/>
      <c r="P795" s="667"/>
      <c r="Q795" s="667"/>
      <c r="R795" s="667"/>
      <c r="S795" s="826"/>
      <c r="T795" s="3"/>
      <c r="U795" s="3"/>
      <c r="V795" s="3"/>
      <c r="W795" s="3"/>
      <c r="X795" s="3"/>
      <c r="Y795" s="3"/>
      <c r="Z795" s="3"/>
    </row>
    <row r="796" ht="15.75" customHeight="1">
      <c r="C796" s="667"/>
      <c r="D796" s="667"/>
      <c r="E796" s="667"/>
      <c r="F796" s="668"/>
      <c r="G796" s="667"/>
      <c r="H796" s="667"/>
      <c r="I796" s="667"/>
      <c r="J796" s="667"/>
      <c r="K796" s="667"/>
      <c r="L796" s="667"/>
      <c r="M796" s="667"/>
      <c r="N796" s="667"/>
      <c r="O796" s="667"/>
      <c r="P796" s="667"/>
      <c r="Q796" s="667"/>
      <c r="R796" s="667"/>
      <c r="S796" s="826"/>
      <c r="T796" s="3"/>
      <c r="U796" s="3"/>
      <c r="V796" s="3"/>
      <c r="W796" s="3"/>
      <c r="X796" s="3"/>
      <c r="Y796" s="3"/>
      <c r="Z796" s="3"/>
    </row>
    <row r="797" ht="15.75" customHeight="1">
      <c r="C797" s="667"/>
      <c r="D797" s="667"/>
      <c r="E797" s="667"/>
      <c r="F797" s="668"/>
      <c r="G797" s="667"/>
      <c r="H797" s="667"/>
      <c r="I797" s="667"/>
      <c r="J797" s="667"/>
      <c r="K797" s="667"/>
      <c r="L797" s="667"/>
      <c r="M797" s="667"/>
      <c r="N797" s="667"/>
      <c r="O797" s="667"/>
      <c r="P797" s="667"/>
      <c r="Q797" s="667"/>
      <c r="R797" s="667"/>
      <c r="S797" s="826"/>
      <c r="T797" s="3"/>
      <c r="U797" s="3"/>
      <c r="V797" s="3"/>
      <c r="W797" s="3"/>
      <c r="X797" s="3"/>
      <c r="Y797" s="3"/>
      <c r="Z797" s="3"/>
    </row>
    <row r="798" ht="15.75" customHeight="1">
      <c r="C798" s="667"/>
      <c r="D798" s="667"/>
      <c r="E798" s="667"/>
      <c r="F798" s="668"/>
      <c r="G798" s="667"/>
      <c r="H798" s="667"/>
      <c r="I798" s="667"/>
      <c r="J798" s="667"/>
      <c r="K798" s="667"/>
      <c r="L798" s="667"/>
      <c r="M798" s="667"/>
      <c r="N798" s="667"/>
      <c r="O798" s="667"/>
      <c r="P798" s="667"/>
      <c r="Q798" s="667"/>
      <c r="R798" s="667"/>
      <c r="S798" s="826"/>
      <c r="T798" s="3"/>
      <c r="U798" s="3"/>
      <c r="V798" s="3"/>
      <c r="W798" s="3"/>
      <c r="X798" s="3"/>
      <c r="Y798" s="3"/>
      <c r="Z798" s="3"/>
    </row>
    <row r="799" ht="15.75" customHeight="1">
      <c r="C799" s="667"/>
      <c r="D799" s="667"/>
      <c r="E799" s="667"/>
      <c r="F799" s="668"/>
      <c r="G799" s="667"/>
      <c r="H799" s="667"/>
      <c r="I799" s="667"/>
      <c r="J799" s="667"/>
      <c r="K799" s="667"/>
      <c r="L799" s="667"/>
      <c r="M799" s="667"/>
      <c r="N799" s="667"/>
      <c r="O799" s="667"/>
      <c r="P799" s="667"/>
      <c r="Q799" s="667"/>
      <c r="R799" s="667"/>
      <c r="S799" s="826"/>
      <c r="T799" s="3"/>
      <c r="U799" s="3"/>
      <c r="V799" s="3"/>
      <c r="W799" s="3"/>
      <c r="X799" s="3"/>
      <c r="Y799" s="3"/>
      <c r="Z799" s="3"/>
    </row>
    <row r="800" ht="15.75" customHeight="1">
      <c r="C800" s="667"/>
      <c r="D800" s="667"/>
      <c r="E800" s="667"/>
      <c r="F800" s="668"/>
      <c r="G800" s="667"/>
      <c r="H800" s="667"/>
      <c r="I800" s="667"/>
      <c r="J800" s="667"/>
      <c r="K800" s="667"/>
      <c r="L800" s="667"/>
      <c r="M800" s="667"/>
      <c r="N800" s="667"/>
      <c r="O800" s="667"/>
      <c r="P800" s="667"/>
      <c r="Q800" s="667"/>
      <c r="R800" s="667"/>
      <c r="S800" s="826"/>
      <c r="T800" s="3"/>
      <c r="U800" s="3"/>
      <c r="V800" s="3"/>
      <c r="W800" s="3"/>
      <c r="X800" s="3"/>
      <c r="Y800" s="3"/>
      <c r="Z800" s="3"/>
    </row>
    <row r="801" ht="15.75" customHeight="1">
      <c r="C801" s="667"/>
      <c r="D801" s="667"/>
      <c r="E801" s="667"/>
      <c r="F801" s="668"/>
      <c r="G801" s="667"/>
      <c r="H801" s="667"/>
      <c r="I801" s="667"/>
      <c r="J801" s="667"/>
      <c r="K801" s="667"/>
      <c r="L801" s="667"/>
      <c r="M801" s="667"/>
      <c r="N801" s="667"/>
      <c r="O801" s="667"/>
      <c r="P801" s="667"/>
      <c r="Q801" s="667"/>
      <c r="R801" s="667"/>
      <c r="S801" s="826"/>
      <c r="T801" s="3"/>
      <c r="U801" s="3"/>
      <c r="V801" s="3"/>
      <c r="W801" s="3"/>
      <c r="X801" s="3"/>
      <c r="Y801" s="3"/>
      <c r="Z801" s="3"/>
    </row>
    <row r="802" ht="15.75" customHeight="1">
      <c r="C802" s="667"/>
      <c r="D802" s="667"/>
      <c r="E802" s="667"/>
      <c r="F802" s="668"/>
      <c r="G802" s="667"/>
      <c r="H802" s="667"/>
      <c r="I802" s="667"/>
      <c r="J802" s="667"/>
      <c r="K802" s="667"/>
      <c r="L802" s="667"/>
      <c r="M802" s="667"/>
      <c r="N802" s="667"/>
      <c r="O802" s="667"/>
      <c r="P802" s="667"/>
      <c r="Q802" s="667"/>
      <c r="R802" s="667"/>
      <c r="S802" s="826"/>
      <c r="T802" s="3"/>
      <c r="U802" s="3"/>
      <c r="V802" s="3"/>
      <c r="W802" s="3"/>
      <c r="X802" s="3"/>
      <c r="Y802" s="3"/>
      <c r="Z802" s="3"/>
    </row>
    <row r="803" ht="15.75" customHeight="1">
      <c r="C803" s="667"/>
      <c r="D803" s="667"/>
      <c r="E803" s="667"/>
      <c r="F803" s="668"/>
      <c r="G803" s="667"/>
      <c r="H803" s="667"/>
      <c r="I803" s="667"/>
      <c r="J803" s="667"/>
      <c r="K803" s="667"/>
      <c r="L803" s="667"/>
      <c r="M803" s="667"/>
      <c r="N803" s="667"/>
      <c r="O803" s="667"/>
      <c r="P803" s="667"/>
      <c r="Q803" s="667"/>
      <c r="R803" s="667"/>
      <c r="S803" s="826"/>
      <c r="T803" s="3"/>
      <c r="U803" s="3"/>
      <c r="V803" s="3"/>
      <c r="W803" s="3"/>
      <c r="X803" s="3"/>
      <c r="Y803" s="3"/>
      <c r="Z803" s="3"/>
    </row>
    <row r="804" ht="15.75" customHeight="1">
      <c r="C804" s="667"/>
      <c r="D804" s="667"/>
      <c r="E804" s="667"/>
      <c r="F804" s="668"/>
      <c r="G804" s="667"/>
      <c r="H804" s="667"/>
      <c r="I804" s="667"/>
      <c r="J804" s="667"/>
      <c r="K804" s="667"/>
      <c r="L804" s="667"/>
      <c r="M804" s="667"/>
      <c r="N804" s="667"/>
      <c r="O804" s="667"/>
      <c r="P804" s="667"/>
      <c r="Q804" s="667"/>
      <c r="R804" s="667"/>
      <c r="S804" s="826"/>
      <c r="T804" s="3"/>
      <c r="U804" s="3"/>
      <c r="V804" s="3"/>
      <c r="W804" s="3"/>
      <c r="X804" s="3"/>
      <c r="Y804" s="3"/>
      <c r="Z804" s="3"/>
    </row>
    <row r="805" ht="15.75" customHeight="1">
      <c r="C805" s="667"/>
      <c r="D805" s="667"/>
      <c r="E805" s="667"/>
      <c r="F805" s="668"/>
      <c r="G805" s="667"/>
      <c r="H805" s="667"/>
      <c r="I805" s="667"/>
      <c r="J805" s="667"/>
      <c r="K805" s="667"/>
      <c r="L805" s="667"/>
      <c r="M805" s="667"/>
      <c r="N805" s="667"/>
      <c r="O805" s="667"/>
      <c r="P805" s="667"/>
      <c r="Q805" s="667"/>
      <c r="R805" s="667"/>
      <c r="S805" s="826"/>
      <c r="T805" s="3"/>
      <c r="U805" s="3"/>
      <c r="V805" s="3"/>
      <c r="W805" s="3"/>
      <c r="X805" s="3"/>
      <c r="Y805" s="3"/>
      <c r="Z805" s="3"/>
    </row>
    <row r="806" ht="15.75" customHeight="1">
      <c r="C806" s="667"/>
      <c r="D806" s="667"/>
      <c r="E806" s="667"/>
      <c r="F806" s="668"/>
      <c r="G806" s="667"/>
      <c r="H806" s="667"/>
      <c r="I806" s="667"/>
      <c r="J806" s="667"/>
      <c r="K806" s="667"/>
      <c r="L806" s="667"/>
      <c r="M806" s="667"/>
      <c r="N806" s="667"/>
      <c r="O806" s="667"/>
      <c r="P806" s="667"/>
      <c r="Q806" s="667"/>
      <c r="R806" s="667"/>
      <c r="S806" s="826"/>
      <c r="T806" s="3"/>
      <c r="U806" s="3"/>
      <c r="V806" s="3"/>
      <c r="W806" s="3"/>
      <c r="X806" s="3"/>
      <c r="Y806" s="3"/>
      <c r="Z806" s="3"/>
    </row>
    <row r="807" ht="15.75" customHeight="1">
      <c r="C807" s="667"/>
      <c r="D807" s="667"/>
      <c r="E807" s="667"/>
      <c r="F807" s="668"/>
      <c r="G807" s="667"/>
      <c r="H807" s="667"/>
      <c r="I807" s="667"/>
      <c r="J807" s="667"/>
      <c r="K807" s="667"/>
      <c r="L807" s="667"/>
      <c r="M807" s="667"/>
      <c r="N807" s="667"/>
      <c r="O807" s="667"/>
      <c r="P807" s="667"/>
      <c r="Q807" s="667"/>
      <c r="R807" s="667"/>
      <c r="S807" s="826"/>
      <c r="T807" s="3"/>
      <c r="U807" s="3"/>
      <c r="V807" s="3"/>
      <c r="W807" s="3"/>
      <c r="X807" s="3"/>
      <c r="Y807" s="3"/>
      <c r="Z807" s="3"/>
    </row>
    <row r="808" ht="15.75" customHeight="1">
      <c r="C808" s="667"/>
      <c r="D808" s="667"/>
      <c r="E808" s="667"/>
      <c r="F808" s="668"/>
      <c r="G808" s="667"/>
      <c r="H808" s="667"/>
      <c r="I808" s="667"/>
      <c r="J808" s="667"/>
      <c r="K808" s="667"/>
      <c r="L808" s="667"/>
      <c r="M808" s="667"/>
      <c r="N808" s="667"/>
      <c r="O808" s="667"/>
      <c r="P808" s="667"/>
      <c r="Q808" s="667"/>
      <c r="R808" s="667"/>
      <c r="S808" s="826"/>
      <c r="T808" s="3"/>
      <c r="U808" s="3"/>
      <c r="V808" s="3"/>
      <c r="W808" s="3"/>
      <c r="X808" s="3"/>
      <c r="Y808" s="3"/>
      <c r="Z808" s="3"/>
    </row>
    <row r="809" ht="15.75" customHeight="1">
      <c r="C809" s="667"/>
      <c r="D809" s="667"/>
      <c r="E809" s="667"/>
      <c r="F809" s="668"/>
      <c r="G809" s="667"/>
      <c r="H809" s="667"/>
      <c r="I809" s="667"/>
      <c r="J809" s="667"/>
      <c r="K809" s="667"/>
      <c r="L809" s="667"/>
      <c r="M809" s="667"/>
      <c r="N809" s="667"/>
      <c r="O809" s="667"/>
      <c r="P809" s="667"/>
      <c r="Q809" s="667"/>
      <c r="R809" s="667"/>
      <c r="S809" s="826"/>
      <c r="T809" s="3"/>
      <c r="U809" s="3"/>
      <c r="V809" s="3"/>
      <c r="W809" s="3"/>
      <c r="X809" s="3"/>
      <c r="Y809" s="3"/>
      <c r="Z809" s="3"/>
    </row>
    <row r="810" ht="15.75" customHeight="1">
      <c r="C810" s="667"/>
      <c r="D810" s="667"/>
      <c r="E810" s="667"/>
      <c r="F810" s="668"/>
      <c r="G810" s="667"/>
      <c r="H810" s="667"/>
      <c r="I810" s="667"/>
      <c r="J810" s="667"/>
      <c r="K810" s="667"/>
      <c r="L810" s="667"/>
      <c r="M810" s="667"/>
      <c r="N810" s="667"/>
      <c r="O810" s="667"/>
      <c r="P810" s="667"/>
      <c r="Q810" s="667"/>
      <c r="R810" s="667"/>
      <c r="S810" s="826"/>
      <c r="T810" s="3"/>
      <c r="U810" s="3"/>
      <c r="V810" s="3"/>
      <c r="W810" s="3"/>
      <c r="X810" s="3"/>
      <c r="Y810" s="3"/>
      <c r="Z810" s="3"/>
    </row>
    <row r="811" ht="15.75" customHeight="1">
      <c r="C811" s="667"/>
      <c r="D811" s="667"/>
      <c r="E811" s="667"/>
      <c r="F811" s="668"/>
      <c r="G811" s="667"/>
      <c r="H811" s="667"/>
      <c r="I811" s="667"/>
      <c r="J811" s="667"/>
      <c r="K811" s="667"/>
      <c r="L811" s="667"/>
      <c r="M811" s="667"/>
      <c r="N811" s="667"/>
      <c r="O811" s="667"/>
      <c r="P811" s="667"/>
      <c r="Q811" s="667"/>
      <c r="R811" s="667"/>
      <c r="S811" s="826"/>
      <c r="T811" s="3"/>
      <c r="U811" s="3"/>
      <c r="V811" s="3"/>
      <c r="W811" s="3"/>
      <c r="X811" s="3"/>
      <c r="Y811" s="3"/>
      <c r="Z811" s="3"/>
    </row>
    <row r="812" ht="15.75" customHeight="1">
      <c r="C812" s="667"/>
      <c r="D812" s="667"/>
      <c r="E812" s="667"/>
      <c r="F812" s="668"/>
      <c r="G812" s="667"/>
      <c r="H812" s="667"/>
      <c r="I812" s="667"/>
      <c r="J812" s="667"/>
      <c r="K812" s="667"/>
      <c r="L812" s="667"/>
      <c r="M812" s="667"/>
      <c r="N812" s="667"/>
      <c r="O812" s="667"/>
      <c r="P812" s="667"/>
      <c r="Q812" s="667"/>
      <c r="R812" s="667"/>
      <c r="S812" s="826"/>
      <c r="T812" s="3"/>
      <c r="U812" s="3"/>
      <c r="V812" s="3"/>
      <c r="W812" s="3"/>
      <c r="X812" s="3"/>
      <c r="Y812" s="3"/>
      <c r="Z812" s="3"/>
    </row>
    <row r="813" ht="15.75" customHeight="1">
      <c r="C813" s="667"/>
      <c r="D813" s="667"/>
      <c r="E813" s="667"/>
      <c r="F813" s="668"/>
      <c r="G813" s="667"/>
      <c r="H813" s="667"/>
      <c r="I813" s="667"/>
      <c r="J813" s="667"/>
      <c r="K813" s="667"/>
      <c r="L813" s="667"/>
      <c r="M813" s="667"/>
      <c r="N813" s="667"/>
      <c r="O813" s="667"/>
      <c r="P813" s="667"/>
      <c r="Q813" s="667"/>
      <c r="R813" s="667"/>
      <c r="S813" s="826"/>
      <c r="T813" s="3"/>
      <c r="U813" s="3"/>
      <c r="V813" s="3"/>
      <c r="W813" s="3"/>
      <c r="X813" s="3"/>
      <c r="Y813" s="3"/>
      <c r="Z813" s="3"/>
    </row>
    <row r="814" ht="15.75" customHeight="1">
      <c r="C814" s="667"/>
      <c r="D814" s="667"/>
      <c r="E814" s="667"/>
      <c r="F814" s="668"/>
      <c r="G814" s="667"/>
      <c r="H814" s="667"/>
      <c r="I814" s="667"/>
      <c r="J814" s="667"/>
      <c r="K814" s="667"/>
      <c r="L814" s="667"/>
      <c r="M814" s="667"/>
      <c r="N814" s="667"/>
      <c r="O814" s="667"/>
      <c r="P814" s="667"/>
      <c r="Q814" s="667"/>
      <c r="R814" s="667"/>
      <c r="S814" s="826"/>
      <c r="T814" s="3"/>
      <c r="U814" s="3"/>
      <c r="V814" s="3"/>
      <c r="W814" s="3"/>
      <c r="X814" s="3"/>
      <c r="Y814" s="3"/>
      <c r="Z814" s="3"/>
    </row>
    <row r="815" ht="15.75" customHeight="1">
      <c r="C815" s="667"/>
      <c r="D815" s="667"/>
      <c r="E815" s="667"/>
      <c r="F815" s="668"/>
      <c r="G815" s="667"/>
      <c r="H815" s="667"/>
      <c r="I815" s="667"/>
      <c r="J815" s="667"/>
      <c r="K815" s="667"/>
      <c r="L815" s="667"/>
      <c r="M815" s="667"/>
      <c r="N815" s="667"/>
      <c r="O815" s="667"/>
      <c r="P815" s="667"/>
      <c r="Q815" s="667"/>
      <c r="R815" s="667"/>
      <c r="S815" s="826"/>
      <c r="T815" s="3"/>
      <c r="U815" s="3"/>
      <c r="V815" s="3"/>
      <c r="W815" s="3"/>
      <c r="X815" s="3"/>
      <c r="Y815" s="3"/>
      <c r="Z815" s="3"/>
    </row>
    <row r="816" ht="15.75" customHeight="1">
      <c r="C816" s="667"/>
      <c r="D816" s="667"/>
      <c r="E816" s="667"/>
      <c r="F816" s="668"/>
      <c r="G816" s="667"/>
      <c r="H816" s="667"/>
      <c r="I816" s="667"/>
      <c r="J816" s="667"/>
      <c r="K816" s="667"/>
      <c r="L816" s="667"/>
      <c r="M816" s="667"/>
      <c r="N816" s="667"/>
      <c r="O816" s="667"/>
      <c r="P816" s="667"/>
      <c r="Q816" s="667"/>
      <c r="R816" s="667"/>
      <c r="S816" s="826"/>
      <c r="T816" s="3"/>
      <c r="U816" s="3"/>
      <c r="V816" s="3"/>
      <c r="W816" s="3"/>
      <c r="X816" s="3"/>
      <c r="Y816" s="3"/>
      <c r="Z816" s="3"/>
    </row>
    <row r="817" ht="15.75" customHeight="1">
      <c r="C817" s="667"/>
      <c r="D817" s="667"/>
      <c r="E817" s="667"/>
      <c r="F817" s="668"/>
      <c r="G817" s="667"/>
      <c r="H817" s="667"/>
      <c r="I817" s="667"/>
      <c r="J817" s="667"/>
      <c r="K817" s="667"/>
      <c r="L817" s="667"/>
      <c r="M817" s="667"/>
      <c r="N817" s="667"/>
      <c r="O817" s="667"/>
      <c r="P817" s="667"/>
      <c r="Q817" s="667"/>
      <c r="R817" s="667"/>
      <c r="S817" s="826"/>
      <c r="T817" s="3"/>
      <c r="U817" s="3"/>
      <c r="V817" s="3"/>
      <c r="W817" s="3"/>
      <c r="X817" s="3"/>
      <c r="Y817" s="3"/>
      <c r="Z817" s="3"/>
    </row>
    <row r="818" ht="15.75" customHeight="1">
      <c r="C818" s="667"/>
      <c r="D818" s="667"/>
      <c r="E818" s="667"/>
      <c r="F818" s="668"/>
      <c r="G818" s="667"/>
      <c r="H818" s="667"/>
      <c r="I818" s="667"/>
      <c r="J818" s="667"/>
      <c r="K818" s="667"/>
      <c r="L818" s="667"/>
      <c r="M818" s="667"/>
      <c r="N818" s="667"/>
      <c r="O818" s="667"/>
      <c r="P818" s="667"/>
      <c r="Q818" s="667"/>
      <c r="R818" s="667"/>
      <c r="S818" s="826"/>
      <c r="T818" s="3"/>
      <c r="U818" s="3"/>
      <c r="V818" s="3"/>
      <c r="W818" s="3"/>
      <c r="X818" s="3"/>
      <c r="Y818" s="3"/>
      <c r="Z818" s="3"/>
    </row>
    <row r="819" ht="15.75" customHeight="1">
      <c r="C819" s="667"/>
      <c r="D819" s="667"/>
      <c r="E819" s="667"/>
      <c r="F819" s="668"/>
      <c r="G819" s="667"/>
      <c r="H819" s="667"/>
      <c r="I819" s="667"/>
      <c r="J819" s="667"/>
      <c r="K819" s="667"/>
      <c r="L819" s="667"/>
      <c r="M819" s="667"/>
      <c r="N819" s="667"/>
      <c r="O819" s="667"/>
      <c r="P819" s="667"/>
      <c r="Q819" s="667"/>
      <c r="R819" s="667"/>
      <c r="S819" s="826"/>
      <c r="T819" s="3"/>
      <c r="U819" s="3"/>
      <c r="V819" s="3"/>
      <c r="W819" s="3"/>
      <c r="X819" s="3"/>
      <c r="Y819" s="3"/>
      <c r="Z819" s="3"/>
    </row>
    <row r="820" ht="15.75" customHeight="1">
      <c r="C820" s="667"/>
      <c r="D820" s="667"/>
      <c r="E820" s="667"/>
      <c r="F820" s="668"/>
      <c r="G820" s="667"/>
      <c r="H820" s="667"/>
      <c r="I820" s="667"/>
      <c r="J820" s="667"/>
      <c r="K820" s="667"/>
      <c r="L820" s="667"/>
      <c r="M820" s="667"/>
      <c r="N820" s="667"/>
      <c r="O820" s="667"/>
      <c r="P820" s="667"/>
      <c r="Q820" s="667"/>
      <c r="R820" s="667"/>
      <c r="S820" s="826"/>
      <c r="T820" s="3"/>
      <c r="U820" s="3"/>
      <c r="V820" s="3"/>
      <c r="W820" s="3"/>
      <c r="X820" s="3"/>
      <c r="Y820" s="3"/>
      <c r="Z820" s="3"/>
    </row>
    <row r="821" ht="15.75" customHeight="1">
      <c r="C821" s="667"/>
      <c r="D821" s="667"/>
      <c r="E821" s="667"/>
      <c r="F821" s="668"/>
      <c r="G821" s="667"/>
      <c r="H821" s="667"/>
      <c r="I821" s="667"/>
      <c r="J821" s="667"/>
      <c r="K821" s="667"/>
      <c r="L821" s="667"/>
      <c r="M821" s="667"/>
      <c r="N821" s="667"/>
      <c r="O821" s="667"/>
      <c r="P821" s="667"/>
      <c r="Q821" s="667"/>
      <c r="R821" s="667"/>
      <c r="S821" s="826"/>
      <c r="T821" s="3"/>
      <c r="U821" s="3"/>
      <c r="V821" s="3"/>
      <c r="W821" s="3"/>
      <c r="X821" s="3"/>
      <c r="Y821" s="3"/>
      <c r="Z821" s="3"/>
    </row>
    <row r="822" ht="15.75" customHeight="1">
      <c r="C822" s="667"/>
      <c r="D822" s="667"/>
      <c r="E822" s="667"/>
      <c r="F822" s="668"/>
      <c r="G822" s="667"/>
      <c r="H822" s="667"/>
      <c r="I822" s="667"/>
      <c r="J822" s="667"/>
      <c r="K822" s="667"/>
      <c r="L822" s="667"/>
      <c r="M822" s="667"/>
      <c r="N822" s="667"/>
      <c r="O822" s="667"/>
      <c r="P822" s="667"/>
      <c r="Q822" s="667"/>
      <c r="R822" s="667"/>
      <c r="S822" s="826"/>
      <c r="T822" s="3"/>
      <c r="U822" s="3"/>
      <c r="V822" s="3"/>
      <c r="W822" s="3"/>
      <c r="X822" s="3"/>
      <c r="Y822" s="3"/>
      <c r="Z822" s="3"/>
    </row>
    <row r="823" ht="15.75" customHeight="1">
      <c r="C823" s="667"/>
      <c r="D823" s="667"/>
      <c r="E823" s="667"/>
      <c r="F823" s="668"/>
      <c r="G823" s="667"/>
      <c r="H823" s="667"/>
      <c r="I823" s="667"/>
      <c r="J823" s="667"/>
      <c r="K823" s="667"/>
      <c r="L823" s="667"/>
      <c r="M823" s="667"/>
      <c r="N823" s="667"/>
      <c r="O823" s="667"/>
      <c r="P823" s="667"/>
      <c r="Q823" s="667"/>
      <c r="R823" s="667"/>
      <c r="S823" s="826"/>
      <c r="T823" s="3"/>
      <c r="U823" s="3"/>
      <c r="V823" s="3"/>
      <c r="W823" s="3"/>
      <c r="X823" s="3"/>
      <c r="Y823" s="3"/>
      <c r="Z823" s="3"/>
    </row>
    <row r="824" ht="15.75" customHeight="1">
      <c r="C824" s="667"/>
      <c r="D824" s="667"/>
      <c r="E824" s="667"/>
      <c r="F824" s="668"/>
      <c r="G824" s="667"/>
      <c r="H824" s="667"/>
      <c r="I824" s="667"/>
      <c r="J824" s="667"/>
      <c r="K824" s="667"/>
      <c r="L824" s="667"/>
      <c r="M824" s="667"/>
      <c r="N824" s="667"/>
      <c r="O824" s="667"/>
      <c r="P824" s="667"/>
      <c r="Q824" s="667"/>
      <c r="R824" s="667"/>
      <c r="S824" s="826"/>
      <c r="T824" s="3"/>
      <c r="U824" s="3"/>
      <c r="V824" s="3"/>
      <c r="W824" s="3"/>
      <c r="X824" s="3"/>
      <c r="Y824" s="3"/>
      <c r="Z824" s="3"/>
    </row>
    <row r="825" ht="15.75" customHeight="1">
      <c r="C825" s="667"/>
      <c r="D825" s="667"/>
      <c r="E825" s="667"/>
      <c r="F825" s="668"/>
      <c r="G825" s="667"/>
      <c r="H825" s="667"/>
      <c r="I825" s="667"/>
      <c r="J825" s="667"/>
      <c r="K825" s="667"/>
      <c r="L825" s="667"/>
      <c r="M825" s="667"/>
      <c r="N825" s="667"/>
      <c r="O825" s="667"/>
      <c r="P825" s="667"/>
      <c r="Q825" s="667"/>
      <c r="R825" s="667"/>
      <c r="S825" s="826"/>
      <c r="T825" s="3"/>
      <c r="U825" s="3"/>
      <c r="V825" s="3"/>
      <c r="W825" s="3"/>
      <c r="X825" s="3"/>
      <c r="Y825" s="3"/>
      <c r="Z825" s="3"/>
    </row>
    <row r="826" ht="15.75" customHeight="1">
      <c r="C826" s="667"/>
      <c r="D826" s="667"/>
      <c r="E826" s="667"/>
      <c r="F826" s="668"/>
      <c r="G826" s="667"/>
      <c r="H826" s="667"/>
      <c r="I826" s="667"/>
      <c r="J826" s="667"/>
      <c r="K826" s="667"/>
      <c r="L826" s="667"/>
      <c r="M826" s="667"/>
      <c r="N826" s="667"/>
      <c r="O826" s="667"/>
      <c r="P826" s="667"/>
      <c r="Q826" s="667"/>
      <c r="R826" s="667"/>
      <c r="S826" s="826"/>
      <c r="T826" s="3"/>
      <c r="U826" s="3"/>
      <c r="V826" s="3"/>
      <c r="W826" s="3"/>
      <c r="X826" s="3"/>
      <c r="Y826" s="3"/>
      <c r="Z826" s="3"/>
    </row>
    <row r="827" ht="15.75" customHeight="1">
      <c r="C827" s="667"/>
      <c r="D827" s="667"/>
      <c r="E827" s="667"/>
      <c r="F827" s="668"/>
      <c r="G827" s="667"/>
      <c r="H827" s="667"/>
      <c r="I827" s="667"/>
      <c r="J827" s="667"/>
      <c r="K827" s="667"/>
      <c r="L827" s="667"/>
      <c r="M827" s="667"/>
      <c r="N827" s="667"/>
      <c r="O827" s="667"/>
      <c r="P827" s="667"/>
      <c r="Q827" s="667"/>
      <c r="R827" s="667"/>
      <c r="S827" s="826"/>
      <c r="T827" s="3"/>
      <c r="U827" s="3"/>
      <c r="V827" s="3"/>
      <c r="W827" s="3"/>
      <c r="X827" s="3"/>
      <c r="Y827" s="3"/>
      <c r="Z827" s="3"/>
    </row>
    <row r="828" ht="15.75" customHeight="1">
      <c r="C828" s="667"/>
      <c r="D828" s="667"/>
      <c r="E828" s="667"/>
      <c r="F828" s="668"/>
      <c r="G828" s="667"/>
      <c r="H828" s="667"/>
      <c r="I828" s="667"/>
      <c r="J828" s="667"/>
      <c r="K828" s="667"/>
      <c r="L828" s="667"/>
      <c r="M828" s="667"/>
      <c r="N828" s="667"/>
      <c r="O828" s="667"/>
      <c r="P828" s="667"/>
      <c r="Q828" s="667"/>
      <c r="R828" s="667"/>
      <c r="S828" s="826"/>
      <c r="T828" s="3"/>
      <c r="U828" s="3"/>
      <c r="V828" s="3"/>
      <c r="W828" s="3"/>
      <c r="X828" s="3"/>
      <c r="Y828" s="3"/>
      <c r="Z828" s="3"/>
    </row>
    <row r="829" ht="15.75" customHeight="1">
      <c r="C829" s="667"/>
      <c r="D829" s="667"/>
      <c r="E829" s="667"/>
      <c r="F829" s="668"/>
      <c r="G829" s="667"/>
      <c r="H829" s="667"/>
      <c r="I829" s="667"/>
      <c r="J829" s="667"/>
      <c r="K829" s="667"/>
      <c r="L829" s="667"/>
      <c r="M829" s="667"/>
      <c r="N829" s="667"/>
      <c r="O829" s="667"/>
      <c r="P829" s="667"/>
      <c r="Q829" s="667"/>
      <c r="R829" s="667"/>
      <c r="S829" s="826"/>
      <c r="T829" s="3"/>
      <c r="U829" s="3"/>
      <c r="V829" s="3"/>
      <c r="W829" s="3"/>
      <c r="X829" s="3"/>
      <c r="Y829" s="3"/>
      <c r="Z829" s="3"/>
    </row>
    <row r="830" ht="15.75" customHeight="1">
      <c r="C830" s="667"/>
      <c r="D830" s="667"/>
      <c r="E830" s="667"/>
      <c r="F830" s="668"/>
      <c r="G830" s="667"/>
      <c r="H830" s="667"/>
      <c r="I830" s="667"/>
      <c r="J830" s="667"/>
      <c r="K830" s="667"/>
      <c r="L830" s="667"/>
      <c r="M830" s="667"/>
      <c r="N830" s="667"/>
      <c r="O830" s="667"/>
      <c r="P830" s="667"/>
      <c r="Q830" s="667"/>
      <c r="R830" s="667"/>
      <c r="S830" s="826"/>
      <c r="T830" s="3"/>
      <c r="U830" s="3"/>
      <c r="V830" s="3"/>
      <c r="W830" s="3"/>
      <c r="X830" s="3"/>
      <c r="Y830" s="3"/>
      <c r="Z830" s="3"/>
    </row>
    <row r="831" ht="15.75" customHeight="1">
      <c r="C831" s="667"/>
      <c r="D831" s="667"/>
      <c r="E831" s="667"/>
      <c r="F831" s="668"/>
      <c r="G831" s="667"/>
      <c r="H831" s="667"/>
      <c r="I831" s="667"/>
      <c r="J831" s="667"/>
      <c r="K831" s="667"/>
      <c r="L831" s="667"/>
      <c r="M831" s="667"/>
      <c r="N831" s="667"/>
      <c r="O831" s="667"/>
      <c r="P831" s="667"/>
      <c r="Q831" s="667"/>
      <c r="R831" s="667"/>
      <c r="S831" s="826"/>
      <c r="T831" s="3"/>
      <c r="U831" s="3"/>
      <c r="V831" s="3"/>
      <c r="W831" s="3"/>
      <c r="X831" s="3"/>
      <c r="Y831" s="3"/>
      <c r="Z831" s="3"/>
    </row>
    <row r="832" ht="15.75" customHeight="1">
      <c r="C832" s="667"/>
      <c r="D832" s="667"/>
      <c r="E832" s="667"/>
      <c r="F832" s="668"/>
      <c r="G832" s="667"/>
      <c r="H832" s="667"/>
      <c r="I832" s="667"/>
      <c r="J832" s="667"/>
      <c r="K832" s="667"/>
      <c r="L832" s="667"/>
      <c r="M832" s="667"/>
      <c r="N832" s="667"/>
      <c r="O832" s="667"/>
      <c r="P832" s="667"/>
      <c r="Q832" s="667"/>
      <c r="R832" s="667"/>
      <c r="S832" s="826"/>
      <c r="T832" s="3"/>
      <c r="U832" s="3"/>
      <c r="V832" s="3"/>
      <c r="W832" s="3"/>
      <c r="X832" s="3"/>
      <c r="Y832" s="3"/>
      <c r="Z832" s="3"/>
    </row>
    <row r="833" ht="15.75" customHeight="1">
      <c r="C833" s="667"/>
      <c r="D833" s="667"/>
      <c r="E833" s="667"/>
      <c r="F833" s="668"/>
      <c r="G833" s="667"/>
      <c r="H833" s="667"/>
      <c r="I833" s="667"/>
      <c r="J833" s="667"/>
      <c r="K833" s="667"/>
      <c r="L833" s="667"/>
      <c r="M833" s="667"/>
      <c r="N833" s="667"/>
      <c r="O833" s="667"/>
      <c r="P833" s="667"/>
      <c r="Q833" s="667"/>
      <c r="R833" s="667"/>
      <c r="S833" s="826"/>
      <c r="T833" s="3"/>
      <c r="U833" s="3"/>
      <c r="V833" s="3"/>
      <c r="W833" s="3"/>
      <c r="X833" s="3"/>
      <c r="Y833" s="3"/>
      <c r="Z833" s="3"/>
    </row>
    <row r="834" ht="15.75" customHeight="1">
      <c r="C834" s="667"/>
      <c r="D834" s="667"/>
      <c r="E834" s="667"/>
      <c r="F834" s="668"/>
      <c r="G834" s="667"/>
      <c r="H834" s="667"/>
      <c r="I834" s="667"/>
      <c r="J834" s="667"/>
      <c r="K834" s="667"/>
      <c r="L834" s="667"/>
      <c r="M834" s="667"/>
      <c r="N834" s="667"/>
      <c r="O834" s="667"/>
      <c r="P834" s="667"/>
      <c r="Q834" s="667"/>
      <c r="R834" s="667"/>
      <c r="S834" s="826"/>
      <c r="T834" s="3"/>
      <c r="U834" s="3"/>
      <c r="V834" s="3"/>
      <c r="W834" s="3"/>
      <c r="X834" s="3"/>
      <c r="Y834" s="3"/>
      <c r="Z834" s="3"/>
    </row>
    <row r="835" ht="15.75" customHeight="1">
      <c r="C835" s="667"/>
      <c r="D835" s="667"/>
      <c r="E835" s="667"/>
      <c r="F835" s="668"/>
      <c r="G835" s="667"/>
      <c r="H835" s="667"/>
      <c r="I835" s="667"/>
      <c r="J835" s="667"/>
      <c r="K835" s="667"/>
      <c r="L835" s="667"/>
      <c r="M835" s="667"/>
      <c r="N835" s="667"/>
      <c r="O835" s="667"/>
      <c r="P835" s="667"/>
      <c r="Q835" s="667"/>
      <c r="R835" s="667"/>
      <c r="S835" s="826"/>
      <c r="T835" s="3"/>
      <c r="U835" s="3"/>
      <c r="V835" s="3"/>
      <c r="W835" s="3"/>
      <c r="X835" s="3"/>
      <c r="Y835" s="3"/>
      <c r="Z835" s="3"/>
    </row>
    <row r="836" ht="15.75" customHeight="1">
      <c r="C836" s="667"/>
      <c r="D836" s="667"/>
      <c r="E836" s="667"/>
      <c r="F836" s="668"/>
      <c r="G836" s="667"/>
      <c r="H836" s="667"/>
      <c r="I836" s="667"/>
      <c r="J836" s="667"/>
      <c r="K836" s="667"/>
      <c r="L836" s="667"/>
      <c r="M836" s="667"/>
      <c r="N836" s="667"/>
      <c r="O836" s="667"/>
      <c r="P836" s="667"/>
      <c r="Q836" s="667"/>
      <c r="R836" s="667"/>
      <c r="S836" s="826"/>
      <c r="T836" s="3"/>
      <c r="U836" s="3"/>
      <c r="V836" s="3"/>
      <c r="W836" s="3"/>
      <c r="X836" s="3"/>
      <c r="Y836" s="3"/>
      <c r="Z836" s="3"/>
    </row>
    <row r="837" ht="15.75" customHeight="1">
      <c r="C837" s="667"/>
      <c r="D837" s="667"/>
      <c r="E837" s="667"/>
      <c r="F837" s="668"/>
      <c r="G837" s="667"/>
      <c r="H837" s="667"/>
      <c r="I837" s="667"/>
      <c r="J837" s="667"/>
      <c r="K837" s="667"/>
      <c r="L837" s="667"/>
      <c r="M837" s="667"/>
      <c r="N837" s="667"/>
      <c r="O837" s="667"/>
      <c r="P837" s="667"/>
      <c r="Q837" s="667"/>
      <c r="R837" s="667"/>
      <c r="S837" s="826"/>
      <c r="T837" s="3"/>
      <c r="U837" s="3"/>
      <c r="V837" s="3"/>
      <c r="W837" s="3"/>
      <c r="X837" s="3"/>
      <c r="Y837" s="3"/>
      <c r="Z837" s="3"/>
    </row>
    <row r="838" ht="15.75" customHeight="1">
      <c r="C838" s="667"/>
      <c r="D838" s="667"/>
      <c r="E838" s="667"/>
      <c r="F838" s="668"/>
      <c r="G838" s="667"/>
      <c r="H838" s="667"/>
      <c r="I838" s="667"/>
      <c r="J838" s="667"/>
      <c r="K838" s="667"/>
      <c r="L838" s="667"/>
      <c r="M838" s="667"/>
      <c r="N838" s="667"/>
      <c r="O838" s="667"/>
      <c r="P838" s="667"/>
      <c r="Q838" s="667"/>
      <c r="R838" s="667"/>
      <c r="S838" s="826"/>
      <c r="T838" s="3"/>
      <c r="U838" s="3"/>
      <c r="V838" s="3"/>
      <c r="W838" s="3"/>
      <c r="X838" s="3"/>
      <c r="Y838" s="3"/>
      <c r="Z838" s="3"/>
    </row>
    <row r="839" ht="15.75" customHeight="1">
      <c r="C839" s="667"/>
      <c r="D839" s="667"/>
      <c r="E839" s="667"/>
      <c r="F839" s="668"/>
      <c r="G839" s="667"/>
      <c r="H839" s="667"/>
      <c r="I839" s="667"/>
      <c r="J839" s="667"/>
      <c r="K839" s="667"/>
      <c r="L839" s="667"/>
      <c r="M839" s="667"/>
      <c r="N839" s="667"/>
      <c r="O839" s="667"/>
      <c r="P839" s="667"/>
      <c r="Q839" s="667"/>
      <c r="R839" s="667"/>
      <c r="S839" s="826"/>
      <c r="T839" s="3"/>
      <c r="U839" s="3"/>
      <c r="V839" s="3"/>
      <c r="W839" s="3"/>
      <c r="X839" s="3"/>
      <c r="Y839" s="3"/>
      <c r="Z839" s="3"/>
    </row>
    <row r="840" ht="15.75" customHeight="1">
      <c r="C840" s="667"/>
      <c r="D840" s="667"/>
      <c r="E840" s="667"/>
      <c r="F840" s="668"/>
      <c r="G840" s="667"/>
      <c r="H840" s="667"/>
      <c r="I840" s="667"/>
      <c r="J840" s="667"/>
      <c r="K840" s="667"/>
      <c r="L840" s="667"/>
      <c r="M840" s="667"/>
      <c r="N840" s="667"/>
      <c r="O840" s="667"/>
      <c r="P840" s="667"/>
      <c r="Q840" s="667"/>
      <c r="R840" s="667"/>
      <c r="S840" s="826"/>
      <c r="T840" s="3"/>
      <c r="U840" s="3"/>
      <c r="V840" s="3"/>
      <c r="W840" s="3"/>
      <c r="X840" s="3"/>
      <c r="Y840" s="3"/>
      <c r="Z840" s="3"/>
    </row>
    <row r="841" ht="15.75" customHeight="1">
      <c r="C841" s="667"/>
      <c r="D841" s="667"/>
      <c r="E841" s="667"/>
      <c r="F841" s="668"/>
      <c r="G841" s="667"/>
      <c r="H841" s="667"/>
      <c r="I841" s="667"/>
      <c r="J841" s="667"/>
      <c r="K841" s="667"/>
      <c r="L841" s="667"/>
      <c r="M841" s="667"/>
      <c r="N841" s="667"/>
      <c r="O841" s="667"/>
      <c r="P841" s="667"/>
      <c r="Q841" s="667"/>
      <c r="R841" s="667"/>
      <c r="S841" s="826"/>
      <c r="T841" s="3"/>
      <c r="U841" s="3"/>
      <c r="V841" s="3"/>
      <c r="W841" s="3"/>
      <c r="X841" s="3"/>
      <c r="Y841" s="3"/>
      <c r="Z841" s="3"/>
    </row>
    <row r="842" ht="15.75" customHeight="1">
      <c r="C842" s="667"/>
      <c r="D842" s="667"/>
      <c r="E842" s="667"/>
      <c r="F842" s="668"/>
      <c r="G842" s="667"/>
      <c r="H842" s="667"/>
      <c r="I842" s="667"/>
      <c r="J842" s="667"/>
      <c r="K842" s="667"/>
      <c r="L842" s="667"/>
      <c r="M842" s="667"/>
      <c r="N842" s="667"/>
      <c r="O842" s="667"/>
      <c r="P842" s="667"/>
      <c r="Q842" s="667"/>
      <c r="R842" s="667"/>
      <c r="S842" s="826"/>
      <c r="T842" s="3"/>
      <c r="U842" s="3"/>
      <c r="V842" s="3"/>
      <c r="W842" s="3"/>
      <c r="X842" s="3"/>
      <c r="Y842" s="3"/>
      <c r="Z842" s="3"/>
    </row>
    <row r="843" ht="15.75" customHeight="1">
      <c r="C843" s="667"/>
      <c r="D843" s="667"/>
      <c r="E843" s="667"/>
      <c r="F843" s="668"/>
      <c r="G843" s="667"/>
      <c r="H843" s="667"/>
      <c r="I843" s="667"/>
      <c r="J843" s="667"/>
      <c r="K843" s="667"/>
      <c r="L843" s="667"/>
      <c r="M843" s="667"/>
      <c r="N843" s="667"/>
      <c r="O843" s="667"/>
      <c r="P843" s="667"/>
      <c r="Q843" s="667"/>
      <c r="R843" s="667"/>
      <c r="S843" s="826"/>
      <c r="T843" s="3"/>
      <c r="U843" s="3"/>
      <c r="V843" s="3"/>
      <c r="W843" s="3"/>
      <c r="X843" s="3"/>
      <c r="Y843" s="3"/>
      <c r="Z843" s="3"/>
    </row>
    <row r="844" ht="15.75" customHeight="1">
      <c r="C844" s="667"/>
      <c r="D844" s="667"/>
      <c r="E844" s="667"/>
      <c r="F844" s="668"/>
      <c r="G844" s="667"/>
      <c r="H844" s="667"/>
      <c r="I844" s="667"/>
      <c r="J844" s="667"/>
      <c r="K844" s="667"/>
      <c r="L844" s="667"/>
      <c r="M844" s="667"/>
      <c r="N844" s="667"/>
      <c r="O844" s="667"/>
      <c r="P844" s="667"/>
      <c r="Q844" s="667"/>
      <c r="R844" s="667"/>
      <c r="S844" s="826"/>
      <c r="T844" s="3"/>
      <c r="U844" s="3"/>
      <c r="V844" s="3"/>
      <c r="W844" s="3"/>
      <c r="X844" s="3"/>
      <c r="Y844" s="3"/>
      <c r="Z844" s="3"/>
    </row>
    <row r="845" ht="15.75" customHeight="1">
      <c r="C845" s="667"/>
      <c r="D845" s="667"/>
      <c r="E845" s="667"/>
      <c r="F845" s="668"/>
      <c r="G845" s="667"/>
      <c r="H845" s="667"/>
      <c r="I845" s="667"/>
      <c r="J845" s="667"/>
      <c r="K845" s="667"/>
      <c r="L845" s="667"/>
      <c r="M845" s="667"/>
      <c r="N845" s="667"/>
      <c r="O845" s="667"/>
      <c r="P845" s="667"/>
      <c r="Q845" s="667"/>
      <c r="R845" s="667"/>
      <c r="S845" s="826"/>
      <c r="T845" s="3"/>
      <c r="U845" s="3"/>
      <c r="V845" s="3"/>
      <c r="W845" s="3"/>
      <c r="X845" s="3"/>
      <c r="Y845" s="3"/>
      <c r="Z845" s="3"/>
    </row>
    <row r="846" ht="15.75" customHeight="1">
      <c r="C846" s="667"/>
      <c r="D846" s="667"/>
      <c r="E846" s="667"/>
      <c r="F846" s="668"/>
      <c r="G846" s="667"/>
      <c r="H846" s="667"/>
      <c r="I846" s="667"/>
      <c r="J846" s="667"/>
      <c r="K846" s="667"/>
      <c r="L846" s="667"/>
      <c r="M846" s="667"/>
      <c r="N846" s="667"/>
      <c r="O846" s="667"/>
      <c r="P846" s="667"/>
      <c r="Q846" s="667"/>
      <c r="R846" s="667"/>
      <c r="S846" s="826"/>
      <c r="T846" s="3"/>
      <c r="U846" s="3"/>
      <c r="V846" s="3"/>
      <c r="W846" s="3"/>
      <c r="X846" s="3"/>
      <c r="Y846" s="3"/>
      <c r="Z846" s="3"/>
    </row>
    <row r="847" ht="15.75" customHeight="1">
      <c r="C847" s="667"/>
      <c r="D847" s="667"/>
      <c r="E847" s="667"/>
      <c r="F847" s="668"/>
      <c r="G847" s="667"/>
      <c r="H847" s="667"/>
      <c r="I847" s="667"/>
      <c r="J847" s="667"/>
      <c r="K847" s="667"/>
      <c r="L847" s="667"/>
      <c r="M847" s="667"/>
      <c r="N847" s="667"/>
      <c r="O847" s="667"/>
      <c r="P847" s="667"/>
      <c r="Q847" s="667"/>
      <c r="R847" s="667"/>
      <c r="S847" s="826"/>
      <c r="T847" s="3"/>
      <c r="U847" s="3"/>
      <c r="V847" s="3"/>
      <c r="W847" s="3"/>
      <c r="X847" s="3"/>
      <c r="Y847" s="3"/>
      <c r="Z847" s="3"/>
    </row>
    <row r="848" ht="15.75" customHeight="1">
      <c r="C848" s="667"/>
      <c r="D848" s="667"/>
      <c r="E848" s="667"/>
      <c r="F848" s="668"/>
      <c r="G848" s="667"/>
      <c r="H848" s="667"/>
      <c r="I848" s="667"/>
      <c r="J848" s="667"/>
      <c r="K848" s="667"/>
      <c r="L848" s="667"/>
      <c r="M848" s="667"/>
      <c r="N848" s="667"/>
      <c r="O848" s="667"/>
      <c r="P848" s="667"/>
      <c r="Q848" s="667"/>
      <c r="R848" s="667"/>
      <c r="S848" s="826"/>
      <c r="T848" s="3"/>
      <c r="U848" s="3"/>
      <c r="V848" s="3"/>
      <c r="W848" s="3"/>
      <c r="X848" s="3"/>
      <c r="Y848" s="3"/>
      <c r="Z848" s="3"/>
    </row>
    <row r="849" ht="15.75" customHeight="1">
      <c r="C849" s="667"/>
      <c r="D849" s="667"/>
      <c r="E849" s="667"/>
      <c r="F849" s="668"/>
      <c r="G849" s="667"/>
      <c r="H849" s="667"/>
      <c r="I849" s="667"/>
      <c r="J849" s="667"/>
      <c r="K849" s="667"/>
      <c r="L849" s="667"/>
      <c r="M849" s="667"/>
      <c r="N849" s="667"/>
      <c r="O849" s="667"/>
      <c r="P849" s="667"/>
      <c r="Q849" s="667"/>
      <c r="R849" s="667"/>
      <c r="S849" s="826"/>
      <c r="T849" s="3"/>
      <c r="U849" s="3"/>
      <c r="V849" s="3"/>
      <c r="W849" s="3"/>
      <c r="X849" s="3"/>
      <c r="Y849" s="3"/>
      <c r="Z849" s="3"/>
    </row>
    <row r="850" ht="15.75" customHeight="1">
      <c r="C850" s="667"/>
      <c r="D850" s="667"/>
      <c r="E850" s="667"/>
      <c r="F850" s="668"/>
      <c r="G850" s="667"/>
      <c r="H850" s="667"/>
      <c r="I850" s="667"/>
      <c r="J850" s="667"/>
      <c r="K850" s="667"/>
      <c r="L850" s="667"/>
      <c r="M850" s="667"/>
      <c r="N850" s="667"/>
      <c r="O850" s="667"/>
      <c r="P850" s="667"/>
      <c r="Q850" s="667"/>
      <c r="R850" s="667"/>
      <c r="S850" s="826"/>
      <c r="T850" s="3"/>
      <c r="U850" s="3"/>
      <c r="V850" s="3"/>
      <c r="W850" s="3"/>
      <c r="X850" s="3"/>
      <c r="Y850" s="3"/>
      <c r="Z850" s="3"/>
    </row>
    <row r="851" ht="15.75" customHeight="1">
      <c r="C851" s="667"/>
      <c r="D851" s="667"/>
      <c r="E851" s="667"/>
      <c r="F851" s="668"/>
      <c r="G851" s="667"/>
      <c r="H851" s="667"/>
      <c r="I851" s="667"/>
      <c r="J851" s="667"/>
      <c r="K851" s="667"/>
      <c r="L851" s="667"/>
      <c r="M851" s="667"/>
      <c r="N851" s="667"/>
      <c r="O851" s="667"/>
      <c r="P851" s="667"/>
      <c r="Q851" s="667"/>
      <c r="R851" s="667"/>
      <c r="S851" s="826"/>
      <c r="T851" s="3"/>
      <c r="U851" s="3"/>
      <c r="V851" s="3"/>
      <c r="W851" s="3"/>
      <c r="X851" s="3"/>
      <c r="Y851" s="3"/>
      <c r="Z851" s="3"/>
    </row>
    <row r="852" ht="15.75" customHeight="1">
      <c r="C852" s="667"/>
      <c r="D852" s="667"/>
      <c r="E852" s="667"/>
      <c r="F852" s="668"/>
      <c r="G852" s="667"/>
      <c r="H852" s="667"/>
      <c r="I852" s="667"/>
      <c r="J852" s="667"/>
      <c r="K852" s="667"/>
      <c r="L852" s="667"/>
      <c r="M852" s="667"/>
      <c r="N852" s="667"/>
      <c r="O852" s="667"/>
      <c r="P852" s="667"/>
      <c r="Q852" s="667"/>
      <c r="R852" s="667"/>
      <c r="S852" s="826"/>
      <c r="T852" s="3"/>
      <c r="U852" s="3"/>
      <c r="V852" s="3"/>
      <c r="W852" s="3"/>
      <c r="X852" s="3"/>
      <c r="Y852" s="3"/>
      <c r="Z852" s="3"/>
    </row>
    <row r="853" ht="15.75" customHeight="1">
      <c r="C853" s="667"/>
      <c r="D853" s="667"/>
      <c r="E853" s="667"/>
      <c r="F853" s="668"/>
      <c r="G853" s="667"/>
      <c r="H853" s="667"/>
      <c r="I853" s="667"/>
      <c r="J853" s="667"/>
      <c r="K853" s="667"/>
      <c r="L853" s="667"/>
      <c r="M853" s="667"/>
      <c r="N853" s="667"/>
      <c r="O853" s="667"/>
      <c r="P853" s="667"/>
      <c r="Q853" s="667"/>
      <c r="R853" s="667"/>
      <c r="S853" s="826"/>
      <c r="T853" s="3"/>
      <c r="U853" s="3"/>
      <c r="V853" s="3"/>
      <c r="W853" s="3"/>
      <c r="X853" s="3"/>
      <c r="Y853" s="3"/>
      <c r="Z853" s="3"/>
    </row>
    <row r="854" ht="15.75" customHeight="1">
      <c r="C854" s="667"/>
      <c r="D854" s="667"/>
      <c r="E854" s="667"/>
      <c r="F854" s="668"/>
      <c r="G854" s="667"/>
      <c r="H854" s="667"/>
      <c r="I854" s="667"/>
      <c r="J854" s="667"/>
      <c r="K854" s="667"/>
      <c r="L854" s="667"/>
      <c r="M854" s="667"/>
      <c r="N854" s="667"/>
      <c r="O854" s="667"/>
      <c r="P854" s="667"/>
      <c r="Q854" s="667"/>
      <c r="R854" s="667"/>
      <c r="S854" s="826"/>
      <c r="T854" s="3"/>
      <c r="U854" s="3"/>
      <c r="V854" s="3"/>
      <c r="W854" s="3"/>
      <c r="X854" s="3"/>
      <c r="Y854" s="3"/>
      <c r="Z854" s="3"/>
    </row>
    <row r="855" ht="15.75" customHeight="1">
      <c r="C855" s="667"/>
      <c r="D855" s="667"/>
      <c r="E855" s="667"/>
      <c r="F855" s="668"/>
      <c r="G855" s="667"/>
      <c r="H855" s="667"/>
      <c r="I855" s="667"/>
      <c r="J855" s="667"/>
      <c r="K855" s="667"/>
      <c r="L855" s="667"/>
      <c r="M855" s="667"/>
      <c r="N855" s="667"/>
      <c r="O855" s="667"/>
      <c r="P855" s="667"/>
      <c r="Q855" s="667"/>
      <c r="R855" s="667"/>
      <c r="S855" s="826"/>
      <c r="T855" s="3"/>
      <c r="U855" s="3"/>
      <c r="V855" s="3"/>
      <c r="W855" s="3"/>
      <c r="X855" s="3"/>
      <c r="Y855" s="3"/>
      <c r="Z855" s="3"/>
    </row>
    <row r="856" ht="15.75" customHeight="1">
      <c r="C856" s="667"/>
      <c r="D856" s="667"/>
      <c r="E856" s="667"/>
      <c r="F856" s="668"/>
      <c r="G856" s="667"/>
      <c r="H856" s="667"/>
      <c r="I856" s="667"/>
      <c r="J856" s="667"/>
      <c r="K856" s="667"/>
      <c r="L856" s="667"/>
      <c r="M856" s="667"/>
      <c r="N856" s="667"/>
      <c r="O856" s="667"/>
      <c r="P856" s="667"/>
      <c r="Q856" s="667"/>
      <c r="R856" s="667"/>
      <c r="S856" s="826"/>
      <c r="T856" s="3"/>
      <c r="U856" s="3"/>
      <c r="V856" s="3"/>
      <c r="W856" s="3"/>
      <c r="X856" s="3"/>
      <c r="Y856" s="3"/>
      <c r="Z856" s="3"/>
    </row>
    <row r="857" ht="15.75" customHeight="1">
      <c r="C857" s="667"/>
      <c r="D857" s="667"/>
      <c r="E857" s="667"/>
      <c r="F857" s="668"/>
      <c r="G857" s="667"/>
      <c r="H857" s="667"/>
      <c r="I857" s="667"/>
      <c r="J857" s="667"/>
      <c r="K857" s="667"/>
      <c r="L857" s="667"/>
      <c r="M857" s="667"/>
      <c r="N857" s="667"/>
      <c r="O857" s="667"/>
      <c r="P857" s="667"/>
      <c r="Q857" s="667"/>
      <c r="R857" s="667"/>
      <c r="S857" s="826"/>
      <c r="T857" s="3"/>
      <c r="U857" s="3"/>
      <c r="V857" s="3"/>
      <c r="W857" s="3"/>
      <c r="X857" s="3"/>
      <c r="Y857" s="3"/>
      <c r="Z857" s="3"/>
    </row>
    <row r="858" ht="15.75" customHeight="1">
      <c r="C858" s="667"/>
      <c r="D858" s="667"/>
      <c r="E858" s="667"/>
      <c r="F858" s="668"/>
      <c r="G858" s="667"/>
      <c r="H858" s="667"/>
      <c r="I858" s="667"/>
      <c r="J858" s="667"/>
      <c r="K858" s="667"/>
      <c r="L858" s="667"/>
      <c r="M858" s="667"/>
      <c r="N858" s="667"/>
      <c r="O858" s="667"/>
      <c r="P858" s="667"/>
      <c r="Q858" s="667"/>
      <c r="R858" s="667"/>
      <c r="S858" s="826"/>
      <c r="T858" s="3"/>
      <c r="U858" s="3"/>
      <c r="V858" s="3"/>
      <c r="W858" s="3"/>
      <c r="X858" s="3"/>
      <c r="Y858" s="3"/>
      <c r="Z858" s="3"/>
    </row>
    <row r="859" ht="15.75" customHeight="1">
      <c r="C859" s="667"/>
      <c r="D859" s="667"/>
      <c r="E859" s="667"/>
      <c r="F859" s="668"/>
      <c r="G859" s="667"/>
      <c r="H859" s="667"/>
      <c r="I859" s="667"/>
      <c r="J859" s="667"/>
      <c r="K859" s="667"/>
      <c r="L859" s="667"/>
      <c r="M859" s="667"/>
      <c r="N859" s="667"/>
      <c r="O859" s="667"/>
      <c r="P859" s="667"/>
      <c r="Q859" s="667"/>
      <c r="R859" s="667"/>
      <c r="S859" s="826"/>
      <c r="T859" s="3"/>
      <c r="U859" s="3"/>
      <c r="V859" s="3"/>
      <c r="W859" s="3"/>
      <c r="X859" s="3"/>
      <c r="Y859" s="3"/>
      <c r="Z859" s="3"/>
    </row>
    <row r="860" ht="15.75" customHeight="1">
      <c r="C860" s="667"/>
      <c r="D860" s="667"/>
      <c r="E860" s="667"/>
      <c r="F860" s="668"/>
      <c r="G860" s="667"/>
      <c r="H860" s="667"/>
      <c r="I860" s="667"/>
      <c r="J860" s="667"/>
      <c r="K860" s="667"/>
      <c r="L860" s="667"/>
      <c r="M860" s="667"/>
      <c r="N860" s="667"/>
      <c r="O860" s="667"/>
      <c r="P860" s="667"/>
      <c r="Q860" s="667"/>
      <c r="R860" s="667"/>
      <c r="S860" s="826"/>
      <c r="T860" s="3"/>
      <c r="U860" s="3"/>
      <c r="V860" s="3"/>
      <c r="W860" s="3"/>
      <c r="X860" s="3"/>
      <c r="Y860" s="3"/>
      <c r="Z860" s="3"/>
    </row>
    <row r="861" ht="15.75" customHeight="1">
      <c r="C861" s="667"/>
      <c r="D861" s="667"/>
      <c r="E861" s="667"/>
      <c r="F861" s="668"/>
      <c r="G861" s="667"/>
      <c r="H861" s="667"/>
      <c r="I861" s="667"/>
      <c r="J861" s="667"/>
      <c r="K861" s="667"/>
      <c r="L861" s="667"/>
      <c r="M861" s="667"/>
      <c r="N861" s="667"/>
      <c r="O861" s="667"/>
      <c r="P861" s="667"/>
      <c r="Q861" s="667"/>
      <c r="R861" s="667"/>
      <c r="S861" s="826"/>
      <c r="T861" s="3"/>
      <c r="U861" s="3"/>
      <c r="V861" s="3"/>
      <c r="W861" s="3"/>
      <c r="X861" s="3"/>
      <c r="Y861" s="3"/>
      <c r="Z861" s="3"/>
    </row>
    <row r="862" ht="15.75" customHeight="1">
      <c r="C862" s="667"/>
      <c r="D862" s="667"/>
      <c r="E862" s="667"/>
      <c r="F862" s="668"/>
      <c r="G862" s="667"/>
      <c r="H862" s="667"/>
      <c r="I862" s="667"/>
      <c r="J862" s="667"/>
      <c r="K862" s="667"/>
      <c r="L862" s="667"/>
      <c r="M862" s="667"/>
      <c r="N862" s="667"/>
      <c r="O862" s="667"/>
      <c r="P862" s="667"/>
      <c r="Q862" s="667"/>
      <c r="R862" s="667"/>
      <c r="S862" s="826"/>
      <c r="T862" s="3"/>
      <c r="U862" s="3"/>
      <c r="V862" s="3"/>
      <c r="W862" s="3"/>
      <c r="X862" s="3"/>
      <c r="Y862" s="3"/>
      <c r="Z862" s="3"/>
    </row>
    <row r="863" ht="15.75" customHeight="1">
      <c r="C863" s="667"/>
      <c r="D863" s="667"/>
      <c r="E863" s="667"/>
      <c r="F863" s="668"/>
      <c r="G863" s="667"/>
      <c r="H863" s="667"/>
      <c r="I863" s="667"/>
      <c r="J863" s="667"/>
      <c r="K863" s="667"/>
      <c r="L863" s="667"/>
      <c r="M863" s="667"/>
      <c r="N863" s="667"/>
      <c r="O863" s="667"/>
      <c r="P863" s="667"/>
      <c r="Q863" s="667"/>
      <c r="R863" s="667"/>
      <c r="S863" s="826"/>
      <c r="T863" s="3"/>
      <c r="U863" s="3"/>
      <c r="V863" s="3"/>
      <c r="W863" s="3"/>
      <c r="X863" s="3"/>
      <c r="Y863" s="3"/>
      <c r="Z863" s="3"/>
    </row>
    <row r="864" ht="15.75" customHeight="1">
      <c r="C864" s="667"/>
      <c r="D864" s="667"/>
      <c r="E864" s="667"/>
      <c r="F864" s="668"/>
      <c r="G864" s="667"/>
      <c r="H864" s="667"/>
      <c r="I864" s="667"/>
      <c r="J864" s="667"/>
      <c r="K864" s="667"/>
      <c r="L864" s="667"/>
      <c r="M864" s="667"/>
      <c r="N864" s="667"/>
      <c r="O864" s="667"/>
      <c r="P864" s="667"/>
      <c r="Q864" s="667"/>
      <c r="R864" s="667"/>
      <c r="S864" s="826"/>
      <c r="T864" s="3"/>
      <c r="U864" s="3"/>
      <c r="V864" s="3"/>
      <c r="W864" s="3"/>
      <c r="X864" s="3"/>
      <c r="Y864" s="3"/>
      <c r="Z864" s="3"/>
    </row>
    <row r="865" ht="15.75" customHeight="1">
      <c r="C865" s="667"/>
      <c r="D865" s="667"/>
      <c r="E865" s="667"/>
      <c r="F865" s="668"/>
      <c r="G865" s="667"/>
      <c r="H865" s="667"/>
      <c r="I865" s="667"/>
      <c r="J865" s="667"/>
      <c r="K865" s="667"/>
      <c r="L865" s="667"/>
      <c r="M865" s="667"/>
      <c r="N865" s="667"/>
      <c r="O865" s="667"/>
      <c r="P865" s="667"/>
      <c r="Q865" s="667"/>
      <c r="R865" s="667"/>
      <c r="S865" s="826"/>
      <c r="T865" s="3"/>
      <c r="U865" s="3"/>
      <c r="V865" s="3"/>
      <c r="W865" s="3"/>
      <c r="X865" s="3"/>
      <c r="Y865" s="3"/>
      <c r="Z865" s="3"/>
    </row>
    <row r="866" ht="15.75" customHeight="1">
      <c r="C866" s="667"/>
      <c r="D866" s="667"/>
      <c r="E866" s="667"/>
      <c r="F866" s="668"/>
      <c r="G866" s="667"/>
      <c r="H866" s="667"/>
      <c r="I866" s="667"/>
      <c r="J866" s="667"/>
      <c r="K866" s="667"/>
      <c r="L866" s="667"/>
      <c r="M866" s="667"/>
      <c r="N866" s="667"/>
      <c r="O866" s="667"/>
      <c r="P866" s="667"/>
      <c r="Q866" s="667"/>
      <c r="R866" s="667"/>
      <c r="S866" s="826"/>
      <c r="T866" s="3"/>
      <c r="U866" s="3"/>
      <c r="V866" s="3"/>
      <c r="W866" s="3"/>
      <c r="X866" s="3"/>
      <c r="Y866" s="3"/>
      <c r="Z866" s="3"/>
    </row>
    <row r="867" ht="15.75" customHeight="1">
      <c r="C867" s="667"/>
      <c r="D867" s="667"/>
      <c r="E867" s="667"/>
      <c r="F867" s="668"/>
      <c r="G867" s="667"/>
      <c r="H867" s="667"/>
      <c r="I867" s="667"/>
      <c r="J867" s="667"/>
      <c r="K867" s="667"/>
      <c r="L867" s="667"/>
      <c r="M867" s="667"/>
      <c r="N867" s="667"/>
      <c r="O867" s="667"/>
      <c r="P867" s="667"/>
      <c r="Q867" s="667"/>
      <c r="R867" s="667"/>
      <c r="S867" s="826"/>
      <c r="T867" s="3"/>
      <c r="U867" s="3"/>
      <c r="V867" s="3"/>
      <c r="W867" s="3"/>
      <c r="X867" s="3"/>
      <c r="Y867" s="3"/>
      <c r="Z867" s="3"/>
    </row>
    <row r="868" ht="15.75" customHeight="1">
      <c r="C868" s="667"/>
      <c r="D868" s="667"/>
      <c r="E868" s="667"/>
      <c r="F868" s="668"/>
      <c r="G868" s="667"/>
      <c r="H868" s="667"/>
      <c r="I868" s="667"/>
      <c r="J868" s="667"/>
      <c r="K868" s="667"/>
      <c r="L868" s="667"/>
      <c r="M868" s="667"/>
      <c r="N868" s="667"/>
      <c r="O868" s="667"/>
      <c r="P868" s="667"/>
      <c r="Q868" s="667"/>
      <c r="R868" s="667"/>
      <c r="S868" s="826"/>
      <c r="T868" s="3"/>
      <c r="U868" s="3"/>
      <c r="V868" s="3"/>
      <c r="W868" s="3"/>
      <c r="X868" s="3"/>
      <c r="Y868" s="3"/>
      <c r="Z868" s="3"/>
    </row>
    <row r="869" ht="15.75" customHeight="1">
      <c r="C869" s="667"/>
      <c r="D869" s="667"/>
      <c r="E869" s="667"/>
      <c r="F869" s="668"/>
      <c r="G869" s="667"/>
      <c r="H869" s="667"/>
      <c r="I869" s="667"/>
      <c r="J869" s="667"/>
      <c r="K869" s="667"/>
      <c r="L869" s="667"/>
      <c r="M869" s="667"/>
      <c r="N869" s="667"/>
      <c r="O869" s="667"/>
      <c r="P869" s="667"/>
      <c r="Q869" s="667"/>
      <c r="R869" s="667"/>
      <c r="S869" s="826"/>
      <c r="T869" s="3"/>
      <c r="U869" s="3"/>
      <c r="V869" s="3"/>
      <c r="W869" s="3"/>
      <c r="X869" s="3"/>
      <c r="Y869" s="3"/>
      <c r="Z869" s="3"/>
    </row>
    <row r="870" ht="15.75" customHeight="1">
      <c r="C870" s="667"/>
      <c r="D870" s="667"/>
      <c r="E870" s="667"/>
      <c r="F870" s="668"/>
      <c r="G870" s="667"/>
      <c r="H870" s="667"/>
      <c r="I870" s="667"/>
      <c r="J870" s="667"/>
      <c r="K870" s="667"/>
      <c r="L870" s="667"/>
      <c r="M870" s="667"/>
      <c r="N870" s="667"/>
      <c r="O870" s="667"/>
      <c r="P870" s="667"/>
      <c r="Q870" s="667"/>
      <c r="R870" s="667"/>
      <c r="S870" s="826"/>
      <c r="T870" s="3"/>
      <c r="U870" s="3"/>
      <c r="V870" s="3"/>
      <c r="W870" s="3"/>
      <c r="X870" s="3"/>
      <c r="Y870" s="3"/>
      <c r="Z870" s="3"/>
    </row>
    <row r="871" ht="15.75" customHeight="1">
      <c r="C871" s="667"/>
      <c r="D871" s="667"/>
      <c r="E871" s="667"/>
      <c r="F871" s="668"/>
      <c r="G871" s="667"/>
      <c r="H871" s="667"/>
      <c r="I871" s="667"/>
      <c r="J871" s="667"/>
      <c r="K871" s="667"/>
      <c r="L871" s="667"/>
      <c r="M871" s="667"/>
      <c r="N871" s="667"/>
      <c r="O871" s="667"/>
      <c r="P871" s="667"/>
      <c r="Q871" s="667"/>
      <c r="R871" s="667"/>
      <c r="S871" s="826"/>
      <c r="T871" s="3"/>
      <c r="U871" s="3"/>
      <c r="V871" s="3"/>
      <c r="W871" s="3"/>
      <c r="X871" s="3"/>
      <c r="Y871" s="3"/>
      <c r="Z871" s="3"/>
    </row>
    <row r="872" ht="15.75" customHeight="1">
      <c r="C872" s="667"/>
      <c r="D872" s="667"/>
      <c r="E872" s="667"/>
      <c r="F872" s="668"/>
      <c r="G872" s="667"/>
      <c r="H872" s="667"/>
      <c r="I872" s="667"/>
      <c r="J872" s="667"/>
      <c r="K872" s="667"/>
      <c r="L872" s="667"/>
      <c r="M872" s="667"/>
      <c r="N872" s="667"/>
      <c r="O872" s="667"/>
      <c r="P872" s="667"/>
      <c r="Q872" s="667"/>
      <c r="R872" s="667"/>
      <c r="S872" s="826"/>
      <c r="T872" s="3"/>
      <c r="U872" s="3"/>
      <c r="V872" s="3"/>
      <c r="W872" s="3"/>
      <c r="X872" s="3"/>
      <c r="Y872" s="3"/>
      <c r="Z872" s="3"/>
    </row>
    <row r="873" ht="15.75" customHeight="1">
      <c r="C873" s="667"/>
      <c r="D873" s="667"/>
      <c r="E873" s="667"/>
      <c r="F873" s="668"/>
      <c r="G873" s="667"/>
      <c r="H873" s="667"/>
      <c r="I873" s="667"/>
      <c r="J873" s="667"/>
      <c r="K873" s="667"/>
      <c r="L873" s="667"/>
      <c r="M873" s="667"/>
      <c r="N873" s="667"/>
      <c r="O873" s="667"/>
      <c r="P873" s="667"/>
      <c r="Q873" s="667"/>
      <c r="R873" s="667"/>
      <c r="S873" s="826"/>
      <c r="T873" s="3"/>
      <c r="U873" s="3"/>
      <c r="V873" s="3"/>
      <c r="W873" s="3"/>
      <c r="X873" s="3"/>
      <c r="Y873" s="3"/>
      <c r="Z873" s="3"/>
    </row>
    <row r="874" ht="15.75" customHeight="1">
      <c r="C874" s="667"/>
      <c r="D874" s="667"/>
      <c r="E874" s="667"/>
      <c r="F874" s="668"/>
      <c r="G874" s="667"/>
      <c r="H874" s="667"/>
      <c r="I874" s="667"/>
      <c r="J874" s="667"/>
      <c r="K874" s="667"/>
      <c r="L874" s="667"/>
      <c r="M874" s="667"/>
      <c r="N874" s="667"/>
      <c r="O874" s="667"/>
      <c r="P874" s="667"/>
      <c r="Q874" s="667"/>
      <c r="R874" s="667"/>
      <c r="S874" s="826"/>
      <c r="T874" s="3"/>
      <c r="U874" s="3"/>
      <c r="V874" s="3"/>
      <c r="W874" s="3"/>
      <c r="X874" s="3"/>
      <c r="Y874" s="3"/>
      <c r="Z874" s="3"/>
    </row>
    <row r="875" ht="15.75" customHeight="1">
      <c r="C875" s="667"/>
      <c r="D875" s="667"/>
      <c r="E875" s="667"/>
      <c r="F875" s="668"/>
      <c r="G875" s="667"/>
      <c r="H875" s="667"/>
      <c r="I875" s="667"/>
      <c r="J875" s="667"/>
      <c r="K875" s="667"/>
      <c r="L875" s="667"/>
      <c r="M875" s="667"/>
      <c r="N875" s="667"/>
      <c r="O875" s="667"/>
      <c r="P875" s="667"/>
      <c r="Q875" s="667"/>
      <c r="R875" s="667"/>
      <c r="S875" s="826"/>
      <c r="T875" s="3"/>
      <c r="U875" s="3"/>
      <c r="V875" s="3"/>
      <c r="W875" s="3"/>
      <c r="X875" s="3"/>
      <c r="Y875" s="3"/>
      <c r="Z875" s="3"/>
    </row>
    <row r="876" ht="15.75" customHeight="1">
      <c r="C876" s="667"/>
      <c r="D876" s="667"/>
      <c r="E876" s="667"/>
      <c r="F876" s="668"/>
      <c r="G876" s="667"/>
      <c r="H876" s="667"/>
      <c r="I876" s="667"/>
      <c r="J876" s="667"/>
      <c r="K876" s="667"/>
      <c r="L876" s="667"/>
      <c r="M876" s="667"/>
      <c r="N876" s="667"/>
      <c r="O876" s="667"/>
      <c r="P876" s="667"/>
      <c r="Q876" s="667"/>
      <c r="R876" s="667"/>
      <c r="S876" s="826"/>
      <c r="T876" s="3"/>
      <c r="U876" s="3"/>
      <c r="V876" s="3"/>
      <c r="W876" s="3"/>
      <c r="X876" s="3"/>
      <c r="Y876" s="3"/>
      <c r="Z876" s="3"/>
    </row>
    <row r="877" ht="15.75" customHeight="1">
      <c r="C877" s="667"/>
      <c r="D877" s="667"/>
      <c r="E877" s="667"/>
      <c r="F877" s="668"/>
      <c r="G877" s="667"/>
      <c r="H877" s="667"/>
      <c r="I877" s="667"/>
      <c r="J877" s="667"/>
      <c r="K877" s="667"/>
      <c r="L877" s="667"/>
      <c r="M877" s="667"/>
      <c r="N877" s="667"/>
      <c r="O877" s="667"/>
      <c r="P877" s="667"/>
      <c r="Q877" s="667"/>
      <c r="R877" s="667"/>
      <c r="S877" s="826"/>
      <c r="T877" s="3"/>
      <c r="U877" s="3"/>
      <c r="V877" s="3"/>
      <c r="W877" s="3"/>
      <c r="X877" s="3"/>
      <c r="Y877" s="3"/>
      <c r="Z877" s="3"/>
    </row>
    <row r="878" ht="15.75" customHeight="1">
      <c r="C878" s="667"/>
      <c r="D878" s="667"/>
      <c r="E878" s="667"/>
      <c r="F878" s="668"/>
      <c r="G878" s="667"/>
      <c r="H878" s="667"/>
      <c r="I878" s="667"/>
      <c r="J878" s="667"/>
      <c r="K878" s="667"/>
      <c r="L878" s="667"/>
      <c r="M878" s="667"/>
      <c r="N878" s="667"/>
      <c r="O878" s="667"/>
      <c r="P878" s="667"/>
      <c r="Q878" s="667"/>
      <c r="R878" s="667"/>
      <c r="S878" s="826"/>
      <c r="T878" s="3"/>
      <c r="U878" s="3"/>
      <c r="V878" s="3"/>
      <c r="W878" s="3"/>
      <c r="X878" s="3"/>
      <c r="Y878" s="3"/>
      <c r="Z878" s="3"/>
    </row>
    <row r="879" ht="15.75" customHeight="1">
      <c r="C879" s="667"/>
      <c r="D879" s="667"/>
      <c r="E879" s="667"/>
      <c r="F879" s="668"/>
      <c r="G879" s="667"/>
      <c r="H879" s="667"/>
      <c r="I879" s="667"/>
      <c r="J879" s="667"/>
      <c r="K879" s="667"/>
      <c r="L879" s="667"/>
      <c r="M879" s="667"/>
      <c r="N879" s="667"/>
      <c r="O879" s="667"/>
      <c r="P879" s="667"/>
      <c r="Q879" s="667"/>
      <c r="R879" s="667"/>
      <c r="S879" s="826"/>
      <c r="T879" s="3"/>
      <c r="U879" s="3"/>
      <c r="V879" s="3"/>
      <c r="W879" s="3"/>
      <c r="X879" s="3"/>
      <c r="Y879" s="3"/>
      <c r="Z879" s="3"/>
    </row>
    <row r="880" ht="15.75" customHeight="1">
      <c r="C880" s="667"/>
      <c r="D880" s="667"/>
      <c r="E880" s="667"/>
      <c r="F880" s="668"/>
      <c r="G880" s="667"/>
      <c r="H880" s="667"/>
      <c r="I880" s="667"/>
      <c r="J880" s="667"/>
      <c r="K880" s="667"/>
      <c r="L880" s="667"/>
      <c r="M880" s="667"/>
      <c r="N880" s="667"/>
      <c r="O880" s="667"/>
      <c r="P880" s="667"/>
      <c r="Q880" s="667"/>
      <c r="R880" s="667"/>
      <c r="S880" s="826"/>
      <c r="T880" s="3"/>
      <c r="U880" s="3"/>
      <c r="V880" s="3"/>
      <c r="W880" s="3"/>
      <c r="X880" s="3"/>
      <c r="Y880" s="3"/>
      <c r="Z880" s="3"/>
    </row>
    <row r="881" ht="15.75" customHeight="1">
      <c r="C881" s="667"/>
      <c r="D881" s="667"/>
      <c r="E881" s="667"/>
      <c r="F881" s="668"/>
      <c r="G881" s="667"/>
      <c r="H881" s="667"/>
      <c r="I881" s="667"/>
      <c r="J881" s="667"/>
      <c r="K881" s="667"/>
      <c r="L881" s="667"/>
      <c r="M881" s="667"/>
      <c r="N881" s="667"/>
      <c r="O881" s="667"/>
      <c r="P881" s="667"/>
      <c r="Q881" s="667"/>
      <c r="R881" s="667"/>
      <c r="S881" s="826"/>
      <c r="T881" s="3"/>
      <c r="U881" s="3"/>
      <c r="V881" s="3"/>
      <c r="W881" s="3"/>
      <c r="X881" s="3"/>
      <c r="Y881" s="3"/>
      <c r="Z881" s="3"/>
    </row>
    <row r="882" ht="15.75" customHeight="1">
      <c r="C882" s="667"/>
      <c r="D882" s="667"/>
      <c r="E882" s="667"/>
      <c r="F882" s="668"/>
      <c r="G882" s="667"/>
      <c r="H882" s="667"/>
      <c r="I882" s="667"/>
      <c r="J882" s="667"/>
      <c r="K882" s="667"/>
      <c r="L882" s="667"/>
      <c r="M882" s="667"/>
      <c r="N882" s="667"/>
      <c r="O882" s="667"/>
      <c r="P882" s="667"/>
      <c r="Q882" s="667"/>
      <c r="R882" s="667"/>
      <c r="S882" s="826"/>
      <c r="T882" s="3"/>
      <c r="U882" s="3"/>
      <c r="V882" s="3"/>
      <c r="W882" s="3"/>
      <c r="X882" s="3"/>
      <c r="Y882" s="3"/>
      <c r="Z882" s="3"/>
    </row>
    <row r="883" ht="15.75" customHeight="1">
      <c r="C883" s="667"/>
      <c r="D883" s="667"/>
      <c r="E883" s="667"/>
      <c r="F883" s="668"/>
      <c r="G883" s="667"/>
      <c r="H883" s="667"/>
      <c r="I883" s="667"/>
      <c r="J883" s="667"/>
      <c r="K883" s="667"/>
      <c r="L883" s="667"/>
      <c r="M883" s="667"/>
      <c r="N883" s="667"/>
      <c r="O883" s="667"/>
      <c r="P883" s="667"/>
      <c r="Q883" s="667"/>
      <c r="R883" s="667"/>
      <c r="S883" s="826"/>
      <c r="T883" s="3"/>
      <c r="U883" s="3"/>
      <c r="V883" s="3"/>
      <c r="W883" s="3"/>
      <c r="X883" s="3"/>
      <c r="Y883" s="3"/>
      <c r="Z883" s="3"/>
    </row>
    <row r="884" ht="15.75" customHeight="1">
      <c r="C884" s="667"/>
      <c r="D884" s="667"/>
      <c r="E884" s="667"/>
      <c r="F884" s="668"/>
      <c r="G884" s="667"/>
      <c r="H884" s="667"/>
      <c r="I884" s="667"/>
      <c r="J884" s="667"/>
      <c r="K884" s="667"/>
      <c r="L884" s="667"/>
      <c r="M884" s="667"/>
      <c r="N884" s="667"/>
      <c r="O884" s="667"/>
      <c r="P884" s="667"/>
      <c r="Q884" s="667"/>
      <c r="R884" s="667"/>
      <c r="S884" s="826"/>
      <c r="T884" s="3"/>
      <c r="U884" s="3"/>
      <c r="V884" s="3"/>
      <c r="W884" s="3"/>
      <c r="X884" s="3"/>
      <c r="Y884" s="3"/>
      <c r="Z884" s="3"/>
    </row>
    <row r="885" ht="15.75" customHeight="1">
      <c r="C885" s="667"/>
      <c r="D885" s="667"/>
      <c r="E885" s="667"/>
      <c r="F885" s="668"/>
      <c r="G885" s="667"/>
      <c r="H885" s="667"/>
      <c r="I885" s="667"/>
      <c r="J885" s="667"/>
      <c r="K885" s="667"/>
      <c r="L885" s="667"/>
      <c r="M885" s="667"/>
      <c r="N885" s="667"/>
      <c r="O885" s="667"/>
      <c r="P885" s="667"/>
      <c r="Q885" s="667"/>
      <c r="R885" s="667"/>
      <c r="S885" s="826"/>
      <c r="T885" s="3"/>
      <c r="U885" s="3"/>
      <c r="V885" s="3"/>
      <c r="W885" s="3"/>
      <c r="X885" s="3"/>
      <c r="Y885" s="3"/>
      <c r="Z885" s="3"/>
    </row>
    <row r="886" ht="15.75" customHeight="1">
      <c r="C886" s="667"/>
      <c r="D886" s="667"/>
      <c r="E886" s="667"/>
      <c r="F886" s="668"/>
      <c r="G886" s="667"/>
      <c r="H886" s="667"/>
      <c r="I886" s="667"/>
      <c r="J886" s="667"/>
      <c r="K886" s="667"/>
      <c r="L886" s="667"/>
      <c r="M886" s="667"/>
      <c r="N886" s="667"/>
      <c r="O886" s="667"/>
      <c r="P886" s="667"/>
      <c r="Q886" s="667"/>
      <c r="R886" s="667"/>
      <c r="S886" s="826"/>
      <c r="T886" s="3"/>
      <c r="U886" s="3"/>
      <c r="V886" s="3"/>
      <c r="W886" s="3"/>
      <c r="X886" s="3"/>
      <c r="Y886" s="3"/>
      <c r="Z886" s="3"/>
    </row>
    <row r="887" ht="15.75" customHeight="1">
      <c r="C887" s="667"/>
      <c r="D887" s="667"/>
      <c r="E887" s="667"/>
      <c r="F887" s="668"/>
      <c r="G887" s="667"/>
      <c r="H887" s="667"/>
      <c r="I887" s="667"/>
      <c r="J887" s="667"/>
      <c r="K887" s="667"/>
      <c r="L887" s="667"/>
      <c r="M887" s="667"/>
      <c r="N887" s="667"/>
      <c r="O887" s="667"/>
      <c r="P887" s="667"/>
      <c r="Q887" s="667"/>
      <c r="R887" s="667"/>
      <c r="S887" s="826"/>
      <c r="T887" s="3"/>
      <c r="U887" s="3"/>
      <c r="V887" s="3"/>
      <c r="W887" s="3"/>
      <c r="X887" s="3"/>
      <c r="Y887" s="3"/>
      <c r="Z887" s="3"/>
    </row>
    <row r="888" ht="15.75" customHeight="1">
      <c r="C888" s="667"/>
      <c r="D888" s="667"/>
      <c r="E888" s="667"/>
      <c r="F888" s="668"/>
      <c r="G888" s="667"/>
      <c r="H888" s="667"/>
      <c r="I888" s="667"/>
      <c r="J888" s="667"/>
      <c r="K888" s="667"/>
      <c r="L888" s="667"/>
      <c r="M888" s="667"/>
      <c r="N888" s="667"/>
      <c r="O888" s="667"/>
      <c r="P888" s="667"/>
      <c r="Q888" s="667"/>
      <c r="R888" s="667"/>
      <c r="S888" s="826"/>
      <c r="T888" s="3"/>
      <c r="U888" s="3"/>
      <c r="V888" s="3"/>
      <c r="W888" s="3"/>
      <c r="X888" s="3"/>
      <c r="Y888" s="3"/>
      <c r="Z888" s="3"/>
    </row>
    <row r="889" ht="15.75" customHeight="1">
      <c r="C889" s="667"/>
      <c r="D889" s="667"/>
      <c r="E889" s="667"/>
      <c r="F889" s="668"/>
      <c r="G889" s="667"/>
      <c r="H889" s="667"/>
      <c r="I889" s="667"/>
      <c r="J889" s="667"/>
      <c r="K889" s="667"/>
      <c r="L889" s="667"/>
      <c r="M889" s="667"/>
      <c r="N889" s="667"/>
      <c r="O889" s="667"/>
      <c r="P889" s="667"/>
      <c r="Q889" s="667"/>
      <c r="R889" s="667"/>
      <c r="S889" s="826"/>
      <c r="T889" s="3"/>
      <c r="U889" s="3"/>
      <c r="V889" s="3"/>
      <c r="W889" s="3"/>
      <c r="X889" s="3"/>
      <c r="Y889" s="3"/>
      <c r="Z889" s="3"/>
    </row>
    <row r="890" ht="15.75" customHeight="1">
      <c r="C890" s="667"/>
      <c r="D890" s="667"/>
      <c r="E890" s="667"/>
      <c r="F890" s="668"/>
      <c r="G890" s="667"/>
      <c r="H890" s="667"/>
      <c r="I890" s="667"/>
      <c r="J890" s="667"/>
      <c r="K890" s="667"/>
      <c r="L890" s="667"/>
      <c r="M890" s="667"/>
      <c r="N890" s="667"/>
      <c r="O890" s="667"/>
      <c r="P890" s="667"/>
      <c r="Q890" s="667"/>
      <c r="R890" s="667"/>
      <c r="S890" s="826"/>
      <c r="T890" s="3"/>
      <c r="U890" s="3"/>
      <c r="V890" s="3"/>
      <c r="W890" s="3"/>
      <c r="X890" s="3"/>
      <c r="Y890" s="3"/>
      <c r="Z890" s="3"/>
    </row>
    <row r="891" ht="15.75" customHeight="1">
      <c r="C891" s="667"/>
      <c r="D891" s="667"/>
      <c r="E891" s="667"/>
      <c r="F891" s="668"/>
      <c r="G891" s="667"/>
      <c r="H891" s="667"/>
      <c r="I891" s="667"/>
      <c r="J891" s="667"/>
      <c r="K891" s="667"/>
      <c r="L891" s="667"/>
      <c r="M891" s="667"/>
      <c r="N891" s="667"/>
      <c r="O891" s="667"/>
      <c r="P891" s="667"/>
      <c r="Q891" s="667"/>
      <c r="R891" s="667"/>
      <c r="S891" s="826"/>
      <c r="T891" s="3"/>
      <c r="U891" s="3"/>
      <c r="V891" s="3"/>
      <c r="W891" s="3"/>
      <c r="X891" s="3"/>
      <c r="Y891" s="3"/>
      <c r="Z891" s="3"/>
    </row>
    <row r="892" ht="15.75" customHeight="1">
      <c r="C892" s="667"/>
      <c r="D892" s="667"/>
      <c r="E892" s="667"/>
      <c r="F892" s="668"/>
      <c r="G892" s="667"/>
      <c r="H892" s="667"/>
      <c r="I892" s="667"/>
      <c r="J892" s="667"/>
      <c r="K892" s="667"/>
      <c r="L892" s="667"/>
      <c r="M892" s="667"/>
      <c r="N892" s="667"/>
      <c r="O892" s="667"/>
      <c r="P892" s="667"/>
      <c r="Q892" s="667"/>
      <c r="R892" s="667"/>
      <c r="S892" s="826"/>
      <c r="T892" s="3"/>
      <c r="U892" s="3"/>
      <c r="V892" s="3"/>
      <c r="W892" s="3"/>
      <c r="X892" s="3"/>
      <c r="Y892" s="3"/>
      <c r="Z892" s="3"/>
    </row>
    <row r="893" ht="15.75" customHeight="1">
      <c r="C893" s="667"/>
      <c r="D893" s="667"/>
      <c r="E893" s="667"/>
      <c r="F893" s="668"/>
      <c r="G893" s="667"/>
      <c r="H893" s="667"/>
      <c r="I893" s="667"/>
      <c r="J893" s="667"/>
      <c r="K893" s="667"/>
      <c r="L893" s="667"/>
      <c r="M893" s="667"/>
      <c r="N893" s="667"/>
      <c r="O893" s="667"/>
      <c r="P893" s="667"/>
      <c r="Q893" s="667"/>
      <c r="R893" s="667"/>
      <c r="S893" s="826"/>
      <c r="T893" s="3"/>
      <c r="U893" s="3"/>
      <c r="V893" s="3"/>
      <c r="W893" s="3"/>
      <c r="X893" s="3"/>
      <c r="Y893" s="3"/>
      <c r="Z893" s="3"/>
    </row>
    <row r="894" ht="15.75" customHeight="1">
      <c r="C894" s="667"/>
      <c r="D894" s="667"/>
      <c r="E894" s="667"/>
      <c r="F894" s="668"/>
      <c r="G894" s="667"/>
      <c r="H894" s="667"/>
      <c r="I894" s="667"/>
      <c r="J894" s="667"/>
      <c r="K894" s="667"/>
      <c r="L894" s="667"/>
      <c r="M894" s="667"/>
      <c r="N894" s="667"/>
      <c r="O894" s="667"/>
      <c r="P894" s="667"/>
      <c r="Q894" s="667"/>
      <c r="R894" s="667"/>
      <c r="S894" s="826"/>
      <c r="T894" s="3"/>
      <c r="U894" s="3"/>
      <c r="V894" s="3"/>
      <c r="W894" s="3"/>
      <c r="X894" s="3"/>
      <c r="Y894" s="3"/>
      <c r="Z894" s="3"/>
    </row>
    <row r="895" ht="15.75" customHeight="1">
      <c r="C895" s="667"/>
      <c r="D895" s="667"/>
      <c r="E895" s="667"/>
      <c r="F895" s="668"/>
      <c r="G895" s="667"/>
      <c r="H895" s="667"/>
      <c r="I895" s="667"/>
      <c r="J895" s="667"/>
      <c r="K895" s="667"/>
      <c r="L895" s="667"/>
      <c r="M895" s="667"/>
      <c r="N895" s="667"/>
      <c r="O895" s="667"/>
      <c r="P895" s="667"/>
      <c r="Q895" s="667"/>
      <c r="R895" s="667"/>
      <c r="S895" s="826"/>
      <c r="T895" s="3"/>
      <c r="U895" s="3"/>
      <c r="V895" s="3"/>
      <c r="W895" s="3"/>
      <c r="X895" s="3"/>
      <c r="Y895" s="3"/>
      <c r="Z895" s="3"/>
    </row>
    <row r="896" ht="15.75" customHeight="1">
      <c r="C896" s="667"/>
      <c r="D896" s="667"/>
      <c r="E896" s="667"/>
      <c r="F896" s="668"/>
      <c r="G896" s="667"/>
      <c r="H896" s="667"/>
      <c r="I896" s="667"/>
      <c r="J896" s="667"/>
      <c r="K896" s="667"/>
      <c r="L896" s="667"/>
      <c r="M896" s="667"/>
      <c r="N896" s="667"/>
      <c r="O896" s="667"/>
      <c r="P896" s="667"/>
      <c r="Q896" s="667"/>
      <c r="R896" s="667"/>
      <c r="S896" s="826"/>
      <c r="T896" s="3"/>
      <c r="U896" s="3"/>
      <c r="V896" s="3"/>
      <c r="W896" s="3"/>
      <c r="X896" s="3"/>
      <c r="Y896" s="3"/>
      <c r="Z896" s="3"/>
    </row>
    <row r="897" ht="15.75" customHeight="1">
      <c r="C897" s="667"/>
      <c r="D897" s="667"/>
      <c r="E897" s="667"/>
      <c r="F897" s="668"/>
      <c r="G897" s="667"/>
      <c r="H897" s="667"/>
      <c r="I897" s="667"/>
      <c r="J897" s="667"/>
      <c r="K897" s="667"/>
      <c r="L897" s="667"/>
      <c r="M897" s="667"/>
      <c r="N897" s="667"/>
      <c r="O897" s="667"/>
      <c r="P897" s="667"/>
      <c r="Q897" s="667"/>
      <c r="R897" s="667"/>
      <c r="S897" s="826"/>
      <c r="T897" s="3"/>
      <c r="U897" s="3"/>
      <c r="V897" s="3"/>
      <c r="W897" s="3"/>
      <c r="X897" s="3"/>
      <c r="Y897" s="3"/>
      <c r="Z897" s="3"/>
    </row>
    <row r="898" ht="15.75" customHeight="1">
      <c r="C898" s="667"/>
      <c r="D898" s="667"/>
      <c r="E898" s="667"/>
      <c r="F898" s="668"/>
      <c r="G898" s="667"/>
      <c r="H898" s="667"/>
      <c r="I898" s="667"/>
      <c r="J898" s="667"/>
      <c r="K898" s="667"/>
      <c r="L898" s="667"/>
      <c r="M898" s="667"/>
      <c r="N898" s="667"/>
      <c r="O898" s="667"/>
      <c r="P898" s="667"/>
      <c r="Q898" s="667"/>
      <c r="R898" s="667"/>
      <c r="S898" s="826"/>
      <c r="T898" s="3"/>
      <c r="U898" s="3"/>
      <c r="V898" s="3"/>
      <c r="W898" s="3"/>
      <c r="X898" s="3"/>
      <c r="Y898" s="3"/>
      <c r="Z898" s="3"/>
    </row>
    <row r="899" ht="15.75" customHeight="1">
      <c r="C899" s="667"/>
      <c r="D899" s="667"/>
      <c r="E899" s="667"/>
      <c r="F899" s="668"/>
      <c r="G899" s="667"/>
      <c r="H899" s="667"/>
      <c r="I899" s="667"/>
      <c r="J899" s="667"/>
      <c r="K899" s="667"/>
      <c r="L899" s="667"/>
      <c r="M899" s="667"/>
      <c r="N899" s="667"/>
      <c r="O899" s="667"/>
      <c r="P899" s="667"/>
      <c r="Q899" s="667"/>
      <c r="R899" s="667"/>
      <c r="S899" s="826"/>
      <c r="T899" s="3"/>
      <c r="U899" s="3"/>
      <c r="V899" s="3"/>
      <c r="W899" s="3"/>
      <c r="X899" s="3"/>
      <c r="Y899" s="3"/>
      <c r="Z899" s="3"/>
    </row>
    <row r="900" ht="15.75" customHeight="1">
      <c r="C900" s="667"/>
      <c r="D900" s="667"/>
      <c r="E900" s="667"/>
      <c r="F900" s="668"/>
      <c r="G900" s="667"/>
      <c r="H900" s="667"/>
      <c r="I900" s="667"/>
      <c r="J900" s="667"/>
      <c r="K900" s="667"/>
      <c r="L900" s="667"/>
      <c r="M900" s="667"/>
      <c r="N900" s="667"/>
      <c r="O900" s="667"/>
      <c r="P900" s="667"/>
      <c r="Q900" s="667"/>
      <c r="R900" s="667"/>
      <c r="S900" s="826"/>
      <c r="T900" s="3"/>
      <c r="U900" s="3"/>
      <c r="V900" s="3"/>
      <c r="W900" s="3"/>
      <c r="X900" s="3"/>
      <c r="Y900" s="3"/>
      <c r="Z900" s="3"/>
    </row>
    <row r="901" ht="15.75" customHeight="1">
      <c r="C901" s="667"/>
      <c r="D901" s="667"/>
      <c r="E901" s="667"/>
      <c r="F901" s="668"/>
      <c r="G901" s="667"/>
      <c r="H901" s="667"/>
      <c r="I901" s="667"/>
      <c r="J901" s="667"/>
      <c r="K901" s="667"/>
      <c r="L901" s="667"/>
      <c r="M901" s="667"/>
      <c r="N901" s="667"/>
      <c r="O901" s="667"/>
      <c r="P901" s="667"/>
      <c r="Q901" s="667"/>
      <c r="R901" s="667"/>
      <c r="S901" s="826"/>
      <c r="T901" s="3"/>
      <c r="U901" s="3"/>
      <c r="V901" s="3"/>
      <c r="W901" s="3"/>
      <c r="X901" s="3"/>
      <c r="Y901" s="3"/>
      <c r="Z901" s="3"/>
    </row>
    <row r="902" ht="15.75" customHeight="1">
      <c r="C902" s="667"/>
      <c r="D902" s="667"/>
      <c r="E902" s="667"/>
      <c r="F902" s="668"/>
      <c r="G902" s="667"/>
      <c r="H902" s="667"/>
      <c r="I902" s="667"/>
      <c r="J902" s="667"/>
      <c r="K902" s="667"/>
      <c r="L902" s="667"/>
      <c r="M902" s="667"/>
      <c r="N902" s="667"/>
      <c r="O902" s="667"/>
      <c r="P902" s="667"/>
      <c r="Q902" s="667"/>
      <c r="R902" s="667"/>
      <c r="S902" s="826"/>
      <c r="T902" s="3"/>
      <c r="U902" s="3"/>
      <c r="V902" s="3"/>
      <c r="W902" s="3"/>
      <c r="X902" s="3"/>
      <c r="Y902" s="3"/>
      <c r="Z902" s="3"/>
    </row>
    <row r="903" ht="15.75" customHeight="1">
      <c r="C903" s="667"/>
      <c r="D903" s="667"/>
      <c r="E903" s="667"/>
      <c r="F903" s="668"/>
      <c r="G903" s="667"/>
      <c r="H903" s="667"/>
      <c r="I903" s="667"/>
      <c r="J903" s="667"/>
      <c r="K903" s="667"/>
      <c r="L903" s="667"/>
      <c r="M903" s="667"/>
      <c r="N903" s="667"/>
      <c r="O903" s="667"/>
      <c r="P903" s="667"/>
      <c r="Q903" s="667"/>
      <c r="R903" s="667"/>
      <c r="S903" s="826"/>
      <c r="T903" s="3"/>
      <c r="U903" s="3"/>
      <c r="V903" s="3"/>
      <c r="W903" s="3"/>
      <c r="X903" s="3"/>
      <c r="Y903" s="3"/>
      <c r="Z903" s="3"/>
    </row>
    <row r="904" ht="15.75" customHeight="1">
      <c r="C904" s="667"/>
      <c r="D904" s="667"/>
      <c r="E904" s="667"/>
      <c r="F904" s="668"/>
      <c r="G904" s="667"/>
      <c r="H904" s="667"/>
      <c r="I904" s="667"/>
      <c r="J904" s="667"/>
      <c r="K904" s="667"/>
      <c r="L904" s="667"/>
      <c r="M904" s="667"/>
      <c r="N904" s="667"/>
      <c r="O904" s="667"/>
      <c r="P904" s="667"/>
      <c r="Q904" s="667"/>
      <c r="R904" s="667"/>
      <c r="S904" s="826"/>
      <c r="T904" s="3"/>
      <c r="U904" s="3"/>
      <c r="V904" s="3"/>
      <c r="W904" s="3"/>
      <c r="X904" s="3"/>
      <c r="Y904" s="3"/>
      <c r="Z904" s="3"/>
    </row>
    <row r="905" ht="15.75" customHeight="1">
      <c r="C905" s="667"/>
      <c r="D905" s="667"/>
      <c r="E905" s="667"/>
      <c r="F905" s="668"/>
      <c r="G905" s="667"/>
      <c r="H905" s="667"/>
      <c r="I905" s="667"/>
      <c r="J905" s="667"/>
      <c r="K905" s="667"/>
      <c r="L905" s="667"/>
      <c r="M905" s="667"/>
      <c r="N905" s="667"/>
      <c r="O905" s="667"/>
      <c r="P905" s="667"/>
      <c r="Q905" s="667"/>
      <c r="R905" s="667"/>
      <c r="S905" s="826"/>
      <c r="T905" s="3"/>
      <c r="U905" s="3"/>
      <c r="V905" s="3"/>
      <c r="W905" s="3"/>
      <c r="X905" s="3"/>
      <c r="Y905" s="3"/>
      <c r="Z905" s="3"/>
    </row>
    <row r="906" ht="15.75" customHeight="1">
      <c r="C906" s="667"/>
      <c r="D906" s="667"/>
      <c r="E906" s="667"/>
      <c r="F906" s="668"/>
      <c r="G906" s="667"/>
      <c r="H906" s="667"/>
      <c r="I906" s="667"/>
      <c r="J906" s="667"/>
      <c r="K906" s="667"/>
      <c r="L906" s="667"/>
      <c r="M906" s="667"/>
      <c r="N906" s="667"/>
      <c r="O906" s="667"/>
      <c r="P906" s="667"/>
      <c r="Q906" s="667"/>
      <c r="R906" s="667"/>
      <c r="S906" s="826"/>
      <c r="T906" s="3"/>
      <c r="U906" s="3"/>
      <c r="V906" s="3"/>
      <c r="W906" s="3"/>
      <c r="X906" s="3"/>
      <c r="Y906" s="3"/>
      <c r="Z906" s="3"/>
    </row>
    <row r="907" ht="15.75" customHeight="1">
      <c r="C907" s="667"/>
      <c r="D907" s="667"/>
      <c r="E907" s="667"/>
      <c r="F907" s="668"/>
      <c r="G907" s="667"/>
      <c r="H907" s="667"/>
      <c r="I907" s="667"/>
      <c r="J907" s="667"/>
      <c r="K907" s="667"/>
      <c r="L907" s="667"/>
      <c r="M907" s="667"/>
      <c r="N907" s="667"/>
      <c r="O907" s="667"/>
      <c r="P907" s="667"/>
      <c r="Q907" s="667"/>
      <c r="R907" s="667"/>
      <c r="S907" s="826"/>
      <c r="T907" s="3"/>
      <c r="U907" s="3"/>
      <c r="V907" s="3"/>
      <c r="W907" s="3"/>
      <c r="X907" s="3"/>
      <c r="Y907" s="3"/>
      <c r="Z907" s="3"/>
    </row>
    <row r="908" ht="15.75" customHeight="1">
      <c r="C908" s="667"/>
      <c r="D908" s="667"/>
      <c r="E908" s="667"/>
      <c r="F908" s="668"/>
      <c r="G908" s="667"/>
      <c r="H908" s="667"/>
      <c r="I908" s="667"/>
      <c r="J908" s="667"/>
      <c r="K908" s="667"/>
      <c r="L908" s="667"/>
      <c r="M908" s="667"/>
      <c r="N908" s="667"/>
      <c r="O908" s="667"/>
      <c r="P908" s="667"/>
      <c r="Q908" s="667"/>
      <c r="R908" s="667"/>
      <c r="S908" s="826"/>
      <c r="T908" s="3"/>
      <c r="U908" s="3"/>
      <c r="V908" s="3"/>
      <c r="W908" s="3"/>
      <c r="X908" s="3"/>
      <c r="Y908" s="3"/>
      <c r="Z908" s="3"/>
    </row>
    <row r="909" ht="15.75" customHeight="1">
      <c r="C909" s="667"/>
      <c r="D909" s="667"/>
      <c r="E909" s="667"/>
      <c r="F909" s="668"/>
      <c r="G909" s="667"/>
      <c r="H909" s="667"/>
      <c r="I909" s="667"/>
      <c r="J909" s="667"/>
      <c r="K909" s="667"/>
      <c r="L909" s="667"/>
      <c r="M909" s="667"/>
      <c r="N909" s="667"/>
      <c r="O909" s="667"/>
      <c r="P909" s="667"/>
      <c r="Q909" s="667"/>
      <c r="R909" s="667"/>
      <c r="S909" s="826"/>
      <c r="T909" s="3"/>
      <c r="U909" s="3"/>
      <c r="V909" s="3"/>
      <c r="W909" s="3"/>
      <c r="X909" s="3"/>
      <c r="Y909" s="3"/>
      <c r="Z909" s="3"/>
    </row>
    <row r="910" ht="15.75" customHeight="1">
      <c r="C910" s="667"/>
      <c r="D910" s="667"/>
      <c r="E910" s="667"/>
      <c r="F910" s="668"/>
      <c r="G910" s="667"/>
      <c r="H910" s="667"/>
      <c r="I910" s="667"/>
      <c r="J910" s="667"/>
      <c r="K910" s="667"/>
      <c r="L910" s="667"/>
      <c r="M910" s="667"/>
      <c r="N910" s="667"/>
      <c r="O910" s="667"/>
      <c r="P910" s="667"/>
      <c r="Q910" s="667"/>
      <c r="R910" s="667"/>
      <c r="S910" s="826"/>
      <c r="T910" s="3"/>
      <c r="U910" s="3"/>
      <c r="V910" s="3"/>
      <c r="W910" s="3"/>
      <c r="X910" s="3"/>
      <c r="Y910" s="3"/>
      <c r="Z910" s="3"/>
    </row>
    <row r="911" ht="15.75" customHeight="1">
      <c r="C911" s="667"/>
      <c r="D911" s="667"/>
      <c r="E911" s="667"/>
      <c r="F911" s="668"/>
      <c r="G911" s="667"/>
      <c r="H911" s="667"/>
      <c r="I911" s="667"/>
      <c r="J911" s="667"/>
      <c r="K911" s="667"/>
      <c r="L911" s="667"/>
      <c r="M911" s="667"/>
      <c r="N911" s="667"/>
      <c r="O911" s="667"/>
      <c r="P911" s="667"/>
      <c r="Q911" s="667"/>
      <c r="R911" s="667"/>
      <c r="S911" s="826"/>
      <c r="T911" s="3"/>
      <c r="U911" s="3"/>
      <c r="V911" s="3"/>
      <c r="W911" s="3"/>
      <c r="X911" s="3"/>
      <c r="Y911" s="3"/>
      <c r="Z911" s="3"/>
    </row>
    <row r="912" ht="15.75" customHeight="1">
      <c r="C912" s="667"/>
      <c r="D912" s="667"/>
      <c r="E912" s="667"/>
      <c r="F912" s="668"/>
      <c r="G912" s="667"/>
      <c r="H912" s="667"/>
      <c r="I912" s="667"/>
      <c r="J912" s="667"/>
      <c r="K912" s="667"/>
      <c r="L912" s="667"/>
      <c r="M912" s="667"/>
      <c r="N912" s="667"/>
      <c r="O912" s="667"/>
      <c r="P912" s="667"/>
      <c r="Q912" s="667"/>
      <c r="R912" s="667"/>
      <c r="S912" s="826"/>
      <c r="T912" s="3"/>
      <c r="U912" s="3"/>
      <c r="V912" s="3"/>
      <c r="W912" s="3"/>
      <c r="X912" s="3"/>
      <c r="Y912" s="3"/>
      <c r="Z912" s="3"/>
    </row>
    <row r="913" ht="15.75" customHeight="1">
      <c r="C913" s="667"/>
      <c r="D913" s="667"/>
      <c r="E913" s="667"/>
      <c r="F913" s="668"/>
      <c r="G913" s="667"/>
      <c r="H913" s="667"/>
      <c r="I913" s="667"/>
      <c r="J913" s="667"/>
      <c r="K913" s="667"/>
      <c r="L913" s="667"/>
      <c r="M913" s="667"/>
      <c r="N913" s="667"/>
      <c r="O913" s="667"/>
      <c r="P913" s="667"/>
      <c r="Q913" s="667"/>
      <c r="R913" s="667"/>
      <c r="S913" s="826"/>
      <c r="T913" s="3"/>
      <c r="U913" s="3"/>
      <c r="V913" s="3"/>
      <c r="W913" s="3"/>
      <c r="X913" s="3"/>
      <c r="Y913" s="3"/>
      <c r="Z913" s="3"/>
    </row>
    <row r="914" ht="15.75" customHeight="1">
      <c r="C914" s="667"/>
      <c r="D914" s="667"/>
      <c r="E914" s="667"/>
      <c r="F914" s="668"/>
      <c r="G914" s="667"/>
      <c r="H914" s="667"/>
      <c r="I914" s="667"/>
      <c r="J914" s="667"/>
      <c r="K914" s="667"/>
      <c r="L914" s="667"/>
      <c r="M914" s="667"/>
      <c r="N914" s="667"/>
      <c r="O914" s="667"/>
      <c r="P914" s="667"/>
      <c r="Q914" s="667"/>
      <c r="R914" s="667"/>
      <c r="S914" s="826"/>
      <c r="T914" s="3"/>
      <c r="U914" s="3"/>
      <c r="V914" s="3"/>
      <c r="W914" s="3"/>
      <c r="X914" s="3"/>
      <c r="Y914" s="3"/>
      <c r="Z914" s="3"/>
    </row>
    <row r="915" ht="15.75" customHeight="1">
      <c r="C915" s="667"/>
      <c r="D915" s="667"/>
      <c r="E915" s="667"/>
      <c r="F915" s="668"/>
      <c r="G915" s="667"/>
      <c r="H915" s="667"/>
      <c r="I915" s="667"/>
      <c r="J915" s="667"/>
      <c r="K915" s="667"/>
      <c r="L915" s="667"/>
      <c r="M915" s="667"/>
      <c r="N915" s="667"/>
      <c r="O915" s="667"/>
      <c r="P915" s="667"/>
      <c r="Q915" s="667"/>
      <c r="R915" s="667"/>
      <c r="S915" s="826"/>
      <c r="T915" s="3"/>
      <c r="U915" s="3"/>
      <c r="V915" s="3"/>
      <c r="W915" s="3"/>
      <c r="X915" s="3"/>
      <c r="Y915" s="3"/>
      <c r="Z915" s="3"/>
    </row>
    <row r="916" ht="15.75" customHeight="1">
      <c r="C916" s="667"/>
      <c r="D916" s="667"/>
      <c r="E916" s="667"/>
      <c r="F916" s="668"/>
      <c r="G916" s="667"/>
      <c r="H916" s="667"/>
      <c r="I916" s="667"/>
      <c r="J916" s="667"/>
      <c r="K916" s="667"/>
      <c r="L916" s="667"/>
      <c r="M916" s="667"/>
      <c r="N916" s="667"/>
      <c r="O916" s="667"/>
      <c r="P916" s="667"/>
      <c r="Q916" s="667"/>
      <c r="R916" s="667"/>
      <c r="S916" s="826"/>
      <c r="T916" s="3"/>
      <c r="U916" s="3"/>
      <c r="V916" s="3"/>
      <c r="W916" s="3"/>
      <c r="X916" s="3"/>
      <c r="Y916" s="3"/>
      <c r="Z916" s="3"/>
    </row>
    <row r="917" ht="15.75" customHeight="1">
      <c r="C917" s="667"/>
      <c r="D917" s="667"/>
      <c r="E917" s="667"/>
      <c r="F917" s="668"/>
      <c r="G917" s="667"/>
      <c r="H917" s="667"/>
      <c r="I917" s="667"/>
      <c r="J917" s="667"/>
      <c r="K917" s="667"/>
      <c r="L917" s="667"/>
      <c r="M917" s="667"/>
      <c r="N917" s="667"/>
      <c r="O917" s="667"/>
      <c r="P917" s="667"/>
      <c r="Q917" s="667"/>
      <c r="R917" s="667"/>
      <c r="S917" s="826"/>
      <c r="T917" s="3"/>
      <c r="U917" s="3"/>
      <c r="V917" s="3"/>
      <c r="W917" s="3"/>
      <c r="X917" s="3"/>
      <c r="Y917" s="3"/>
      <c r="Z917" s="3"/>
    </row>
    <row r="918" ht="15.75" customHeight="1">
      <c r="C918" s="667"/>
      <c r="D918" s="667"/>
      <c r="E918" s="667"/>
      <c r="F918" s="668"/>
      <c r="G918" s="667"/>
      <c r="H918" s="667"/>
      <c r="I918" s="667"/>
      <c r="J918" s="667"/>
      <c r="K918" s="667"/>
      <c r="L918" s="667"/>
      <c r="M918" s="667"/>
      <c r="N918" s="667"/>
      <c r="O918" s="667"/>
      <c r="P918" s="667"/>
      <c r="Q918" s="667"/>
      <c r="R918" s="667"/>
      <c r="S918" s="826"/>
      <c r="T918" s="3"/>
      <c r="U918" s="3"/>
      <c r="V918" s="3"/>
      <c r="W918" s="3"/>
      <c r="X918" s="3"/>
      <c r="Y918" s="3"/>
      <c r="Z918" s="3"/>
    </row>
    <row r="919" ht="15.75" customHeight="1">
      <c r="C919" s="667"/>
      <c r="D919" s="667"/>
      <c r="E919" s="667"/>
      <c r="F919" s="668"/>
      <c r="G919" s="667"/>
      <c r="H919" s="667"/>
      <c r="I919" s="667"/>
      <c r="J919" s="667"/>
      <c r="K919" s="667"/>
      <c r="L919" s="667"/>
      <c r="M919" s="667"/>
      <c r="N919" s="667"/>
      <c r="O919" s="667"/>
      <c r="P919" s="667"/>
      <c r="Q919" s="667"/>
      <c r="R919" s="667"/>
      <c r="S919" s="826"/>
      <c r="T919" s="3"/>
      <c r="U919" s="3"/>
      <c r="V919" s="3"/>
      <c r="W919" s="3"/>
      <c r="X919" s="3"/>
      <c r="Y919" s="3"/>
      <c r="Z919" s="3"/>
    </row>
    <row r="920" ht="15.75" customHeight="1">
      <c r="C920" s="667"/>
      <c r="D920" s="667"/>
      <c r="E920" s="667"/>
      <c r="F920" s="668"/>
      <c r="G920" s="667"/>
      <c r="H920" s="667"/>
      <c r="I920" s="667"/>
      <c r="J920" s="667"/>
      <c r="K920" s="667"/>
      <c r="L920" s="667"/>
      <c r="M920" s="667"/>
      <c r="N920" s="667"/>
      <c r="O920" s="667"/>
      <c r="P920" s="667"/>
      <c r="Q920" s="667"/>
      <c r="R920" s="667"/>
      <c r="S920" s="826"/>
      <c r="T920" s="3"/>
      <c r="U920" s="3"/>
      <c r="V920" s="3"/>
      <c r="W920" s="3"/>
      <c r="X920" s="3"/>
      <c r="Y920" s="3"/>
      <c r="Z920" s="3"/>
    </row>
    <row r="921" ht="15.75" customHeight="1">
      <c r="C921" s="667"/>
      <c r="D921" s="667"/>
      <c r="E921" s="667"/>
      <c r="F921" s="668"/>
      <c r="G921" s="667"/>
      <c r="H921" s="667"/>
      <c r="I921" s="667"/>
      <c r="J921" s="667"/>
      <c r="K921" s="667"/>
      <c r="L921" s="667"/>
      <c r="M921" s="667"/>
      <c r="N921" s="667"/>
      <c r="O921" s="667"/>
      <c r="P921" s="667"/>
      <c r="Q921" s="667"/>
      <c r="R921" s="667"/>
      <c r="S921" s="826"/>
      <c r="T921" s="3"/>
      <c r="U921" s="3"/>
      <c r="V921" s="3"/>
      <c r="W921" s="3"/>
      <c r="X921" s="3"/>
      <c r="Y921" s="3"/>
      <c r="Z921" s="3"/>
    </row>
    <row r="922" ht="15.75" customHeight="1">
      <c r="C922" s="667"/>
      <c r="D922" s="667"/>
      <c r="E922" s="667"/>
      <c r="F922" s="668"/>
      <c r="G922" s="667"/>
      <c r="H922" s="667"/>
      <c r="I922" s="667"/>
      <c r="J922" s="667"/>
      <c r="K922" s="667"/>
      <c r="L922" s="667"/>
      <c r="M922" s="667"/>
      <c r="N922" s="667"/>
      <c r="O922" s="667"/>
      <c r="P922" s="667"/>
      <c r="Q922" s="667"/>
      <c r="R922" s="667"/>
      <c r="S922" s="826"/>
      <c r="T922" s="3"/>
      <c r="U922" s="3"/>
      <c r="V922" s="3"/>
      <c r="W922" s="3"/>
      <c r="X922" s="3"/>
      <c r="Y922" s="3"/>
      <c r="Z922" s="3"/>
    </row>
    <row r="923" ht="15.75" customHeight="1">
      <c r="C923" s="667"/>
      <c r="D923" s="667"/>
      <c r="E923" s="667"/>
      <c r="F923" s="668"/>
      <c r="G923" s="667"/>
      <c r="H923" s="667"/>
      <c r="I923" s="667"/>
      <c r="J923" s="667"/>
      <c r="K923" s="667"/>
      <c r="L923" s="667"/>
      <c r="M923" s="667"/>
      <c r="N923" s="667"/>
      <c r="O923" s="667"/>
      <c r="P923" s="667"/>
      <c r="Q923" s="667"/>
      <c r="R923" s="667"/>
      <c r="S923" s="826"/>
      <c r="T923" s="3"/>
      <c r="U923" s="3"/>
      <c r="V923" s="3"/>
      <c r="W923" s="3"/>
      <c r="X923" s="3"/>
      <c r="Y923" s="3"/>
      <c r="Z923" s="3"/>
    </row>
    <row r="924" ht="15.75" customHeight="1">
      <c r="C924" s="667"/>
      <c r="D924" s="667"/>
      <c r="E924" s="667"/>
      <c r="F924" s="668"/>
      <c r="G924" s="667"/>
      <c r="H924" s="667"/>
      <c r="I924" s="667"/>
      <c r="J924" s="667"/>
      <c r="K924" s="667"/>
      <c r="L924" s="667"/>
      <c r="M924" s="667"/>
      <c r="N924" s="667"/>
      <c r="O924" s="667"/>
      <c r="P924" s="667"/>
      <c r="Q924" s="667"/>
      <c r="R924" s="667"/>
      <c r="S924" s="826"/>
      <c r="T924" s="3"/>
      <c r="U924" s="3"/>
      <c r="V924" s="3"/>
      <c r="W924" s="3"/>
      <c r="X924" s="3"/>
      <c r="Y924" s="3"/>
      <c r="Z924" s="3"/>
    </row>
    <row r="925" ht="15.75" customHeight="1">
      <c r="C925" s="667"/>
      <c r="D925" s="667"/>
      <c r="E925" s="667"/>
      <c r="F925" s="668"/>
      <c r="G925" s="667"/>
      <c r="H925" s="667"/>
      <c r="I925" s="667"/>
      <c r="J925" s="667"/>
      <c r="K925" s="667"/>
      <c r="L925" s="667"/>
      <c r="M925" s="667"/>
      <c r="N925" s="667"/>
      <c r="O925" s="667"/>
      <c r="P925" s="667"/>
      <c r="Q925" s="667"/>
      <c r="R925" s="667"/>
      <c r="S925" s="826"/>
      <c r="T925" s="3"/>
      <c r="U925" s="3"/>
      <c r="V925" s="3"/>
      <c r="W925" s="3"/>
      <c r="X925" s="3"/>
      <c r="Y925" s="3"/>
      <c r="Z925" s="3"/>
    </row>
    <row r="926" ht="15.75" customHeight="1">
      <c r="C926" s="667"/>
      <c r="D926" s="667"/>
      <c r="E926" s="667"/>
      <c r="F926" s="668"/>
      <c r="G926" s="667"/>
      <c r="H926" s="667"/>
      <c r="I926" s="667"/>
      <c r="J926" s="667"/>
      <c r="K926" s="667"/>
      <c r="L926" s="667"/>
      <c r="M926" s="667"/>
      <c r="N926" s="667"/>
      <c r="O926" s="667"/>
      <c r="P926" s="667"/>
      <c r="Q926" s="667"/>
      <c r="R926" s="667"/>
      <c r="S926" s="826"/>
      <c r="T926" s="3"/>
      <c r="U926" s="3"/>
      <c r="V926" s="3"/>
      <c r="W926" s="3"/>
      <c r="X926" s="3"/>
      <c r="Y926" s="3"/>
      <c r="Z926" s="3"/>
    </row>
    <row r="927" ht="15.75" customHeight="1">
      <c r="C927" s="667"/>
      <c r="D927" s="667"/>
      <c r="E927" s="667"/>
      <c r="F927" s="668"/>
      <c r="G927" s="667"/>
      <c r="H927" s="667"/>
      <c r="I927" s="667"/>
      <c r="J927" s="667"/>
      <c r="K927" s="667"/>
      <c r="L927" s="667"/>
      <c r="M927" s="667"/>
      <c r="N927" s="667"/>
      <c r="O927" s="667"/>
      <c r="P927" s="667"/>
      <c r="Q927" s="667"/>
      <c r="R927" s="667"/>
      <c r="S927" s="826"/>
      <c r="T927" s="3"/>
      <c r="U927" s="3"/>
      <c r="V927" s="3"/>
      <c r="W927" s="3"/>
      <c r="X927" s="3"/>
      <c r="Y927" s="3"/>
      <c r="Z927" s="3"/>
    </row>
    <row r="928" ht="15.75" customHeight="1">
      <c r="C928" s="667"/>
      <c r="D928" s="667"/>
      <c r="E928" s="667"/>
      <c r="F928" s="668"/>
      <c r="G928" s="667"/>
      <c r="H928" s="667"/>
      <c r="I928" s="667"/>
      <c r="J928" s="667"/>
      <c r="K928" s="667"/>
      <c r="L928" s="667"/>
      <c r="M928" s="667"/>
      <c r="N928" s="667"/>
      <c r="O928" s="667"/>
      <c r="P928" s="667"/>
      <c r="Q928" s="667"/>
      <c r="R928" s="667"/>
      <c r="S928" s="826"/>
      <c r="T928" s="3"/>
      <c r="U928" s="3"/>
      <c r="V928" s="3"/>
      <c r="W928" s="3"/>
      <c r="X928" s="3"/>
      <c r="Y928" s="3"/>
      <c r="Z928" s="3"/>
    </row>
    <row r="929" ht="15.75" customHeight="1">
      <c r="C929" s="667"/>
      <c r="D929" s="667"/>
      <c r="E929" s="667"/>
      <c r="F929" s="668"/>
      <c r="G929" s="667"/>
      <c r="H929" s="667"/>
      <c r="I929" s="667"/>
      <c r="J929" s="667"/>
      <c r="K929" s="667"/>
      <c r="L929" s="667"/>
      <c r="M929" s="667"/>
      <c r="N929" s="667"/>
      <c r="O929" s="667"/>
      <c r="P929" s="667"/>
      <c r="Q929" s="667"/>
      <c r="R929" s="667"/>
      <c r="S929" s="826"/>
      <c r="T929" s="3"/>
      <c r="U929" s="3"/>
      <c r="V929" s="3"/>
      <c r="W929" s="3"/>
      <c r="X929" s="3"/>
      <c r="Y929" s="3"/>
      <c r="Z929" s="3"/>
    </row>
    <row r="930" ht="15.75" customHeight="1">
      <c r="C930" s="667"/>
      <c r="D930" s="667"/>
      <c r="E930" s="667"/>
      <c r="F930" s="668"/>
      <c r="G930" s="667"/>
      <c r="H930" s="667"/>
      <c r="I930" s="667"/>
      <c r="J930" s="667"/>
      <c r="K930" s="667"/>
      <c r="L930" s="667"/>
      <c r="M930" s="667"/>
      <c r="N930" s="667"/>
      <c r="O930" s="667"/>
      <c r="P930" s="667"/>
      <c r="Q930" s="667"/>
      <c r="R930" s="667"/>
      <c r="S930" s="826"/>
      <c r="T930" s="3"/>
      <c r="U930" s="3"/>
      <c r="V930" s="3"/>
      <c r="W930" s="3"/>
      <c r="X930" s="3"/>
      <c r="Y930" s="3"/>
      <c r="Z930" s="3"/>
    </row>
    <row r="931" ht="15.75" customHeight="1">
      <c r="C931" s="667"/>
      <c r="D931" s="667"/>
      <c r="E931" s="667"/>
      <c r="F931" s="668"/>
      <c r="G931" s="667"/>
      <c r="H931" s="667"/>
      <c r="I931" s="667"/>
      <c r="J931" s="667"/>
      <c r="K931" s="667"/>
      <c r="L931" s="667"/>
      <c r="M931" s="667"/>
      <c r="N931" s="667"/>
      <c r="O931" s="667"/>
      <c r="P931" s="667"/>
      <c r="Q931" s="667"/>
      <c r="R931" s="667"/>
      <c r="S931" s="826"/>
      <c r="T931" s="3"/>
      <c r="U931" s="3"/>
      <c r="V931" s="3"/>
      <c r="W931" s="3"/>
      <c r="X931" s="3"/>
      <c r="Y931" s="3"/>
      <c r="Z931" s="3"/>
    </row>
    <row r="932" ht="15.75" customHeight="1">
      <c r="C932" s="667"/>
      <c r="D932" s="667"/>
      <c r="E932" s="667"/>
      <c r="F932" s="668"/>
      <c r="G932" s="667"/>
      <c r="H932" s="667"/>
      <c r="I932" s="667"/>
      <c r="J932" s="667"/>
      <c r="K932" s="667"/>
      <c r="L932" s="667"/>
      <c r="M932" s="667"/>
      <c r="N932" s="667"/>
      <c r="O932" s="667"/>
      <c r="P932" s="667"/>
      <c r="Q932" s="667"/>
      <c r="R932" s="667"/>
      <c r="S932" s="826"/>
      <c r="T932" s="3"/>
      <c r="U932" s="3"/>
      <c r="V932" s="3"/>
      <c r="W932" s="3"/>
      <c r="X932" s="3"/>
      <c r="Y932" s="3"/>
      <c r="Z932" s="3"/>
    </row>
    <row r="933" ht="15.75" customHeight="1">
      <c r="C933" s="667"/>
      <c r="D933" s="667"/>
      <c r="E933" s="667"/>
      <c r="F933" s="668"/>
      <c r="G933" s="667"/>
      <c r="H933" s="667"/>
      <c r="I933" s="667"/>
      <c r="J933" s="667"/>
      <c r="K933" s="667"/>
      <c r="L933" s="667"/>
      <c r="M933" s="667"/>
      <c r="N933" s="667"/>
      <c r="O933" s="667"/>
      <c r="P933" s="667"/>
      <c r="Q933" s="667"/>
      <c r="R933" s="667"/>
      <c r="S933" s="826"/>
      <c r="T933" s="3"/>
      <c r="U933" s="3"/>
      <c r="V933" s="3"/>
      <c r="W933" s="3"/>
      <c r="X933" s="3"/>
      <c r="Y933" s="3"/>
      <c r="Z933" s="3"/>
    </row>
    <row r="934" ht="15.75" customHeight="1">
      <c r="C934" s="667"/>
      <c r="D934" s="667"/>
      <c r="E934" s="667"/>
      <c r="F934" s="668"/>
      <c r="G934" s="667"/>
      <c r="H934" s="667"/>
      <c r="I934" s="667"/>
      <c r="J934" s="667"/>
      <c r="K934" s="667"/>
      <c r="L934" s="667"/>
      <c r="M934" s="667"/>
      <c r="N934" s="667"/>
      <c r="O934" s="667"/>
      <c r="P934" s="667"/>
      <c r="Q934" s="667"/>
      <c r="R934" s="667"/>
      <c r="S934" s="826"/>
      <c r="T934" s="3"/>
      <c r="U934" s="3"/>
      <c r="V934" s="3"/>
      <c r="W934" s="3"/>
      <c r="X934" s="3"/>
      <c r="Y934" s="3"/>
      <c r="Z934" s="3"/>
    </row>
    <row r="935" ht="15.75" customHeight="1">
      <c r="C935" s="667"/>
      <c r="D935" s="667"/>
      <c r="E935" s="667"/>
      <c r="F935" s="668"/>
      <c r="G935" s="667"/>
      <c r="H935" s="667"/>
      <c r="I935" s="667"/>
      <c r="J935" s="667"/>
      <c r="K935" s="667"/>
      <c r="L935" s="667"/>
      <c r="M935" s="667"/>
      <c r="N935" s="667"/>
      <c r="O935" s="667"/>
      <c r="P935" s="667"/>
      <c r="Q935" s="667"/>
      <c r="R935" s="667"/>
      <c r="S935" s="826"/>
      <c r="T935" s="3"/>
      <c r="U935" s="3"/>
      <c r="V935" s="3"/>
      <c r="W935" s="3"/>
      <c r="X935" s="3"/>
      <c r="Y935" s="3"/>
      <c r="Z935" s="3"/>
    </row>
    <row r="936" ht="15.75" customHeight="1">
      <c r="C936" s="667"/>
      <c r="D936" s="667"/>
      <c r="E936" s="667"/>
      <c r="F936" s="668"/>
      <c r="G936" s="667"/>
      <c r="H936" s="667"/>
      <c r="I936" s="667"/>
      <c r="J936" s="667"/>
      <c r="K936" s="667"/>
      <c r="L936" s="667"/>
      <c r="M936" s="667"/>
      <c r="N936" s="667"/>
      <c r="O936" s="667"/>
      <c r="P936" s="667"/>
      <c r="Q936" s="667"/>
      <c r="R936" s="667"/>
      <c r="S936" s="826"/>
      <c r="T936" s="3"/>
      <c r="U936" s="3"/>
      <c r="V936" s="3"/>
      <c r="W936" s="3"/>
      <c r="X936" s="3"/>
      <c r="Y936" s="3"/>
      <c r="Z936" s="3"/>
    </row>
    <row r="937" ht="15.75" customHeight="1">
      <c r="C937" s="667"/>
      <c r="D937" s="667"/>
      <c r="E937" s="667"/>
      <c r="F937" s="668"/>
      <c r="G937" s="667"/>
      <c r="H937" s="667"/>
      <c r="I937" s="667"/>
      <c r="J937" s="667"/>
      <c r="K937" s="667"/>
      <c r="L937" s="667"/>
      <c r="M937" s="667"/>
      <c r="N937" s="667"/>
      <c r="O937" s="667"/>
      <c r="P937" s="667"/>
      <c r="Q937" s="667"/>
      <c r="R937" s="667"/>
      <c r="S937" s="826"/>
      <c r="T937" s="3"/>
      <c r="U937" s="3"/>
      <c r="V937" s="3"/>
      <c r="W937" s="3"/>
      <c r="X937" s="3"/>
      <c r="Y937" s="3"/>
      <c r="Z937" s="3"/>
    </row>
    <row r="938" ht="15.75" customHeight="1">
      <c r="C938" s="667"/>
      <c r="D938" s="667"/>
      <c r="E938" s="667"/>
      <c r="F938" s="668"/>
      <c r="G938" s="667"/>
      <c r="H938" s="667"/>
      <c r="I938" s="667"/>
      <c r="J938" s="667"/>
      <c r="K938" s="667"/>
      <c r="L938" s="667"/>
      <c r="M938" s="667"/>
      <c r="N938" s="667"/>
      <c r="O938" s="667"/>
      <c r="P938" s="667"/>
      <c r="Q938" s="667"/>
      <c r="R938" s="667"/>
      <c r="S938" s="826"/>
      <c r="T938" s="3"/>
      <c r="U938" s="3"/>
      <c r="V938" s="3"/>
      <c r="W938" s="3"/>
      <c r="X938" s="3"/>
      <c r="Y938" s="3"/>
      <c r="Z938" s="3"/>
    </row>
    <row r="939" ht="15.75" customHeight="1">
      <c r="C939" s="667"/>
      <c r="D939" s="667"/>
      <c r="E939" s="667"/>
      <c r="F939" s="668"/>
      <c r="G939" s="667"/>
      <c r="H939" s="667"/>
      <c r="I939" s="667"/>
      <c r="J939" s="667"/>
      <c r="K939" s="667"/>
      <c r="L939" s="667"/>
      <c r="M939" s="667"/>
      <c r="N939" s="667"/>
      <c r="O939" s="667"/>
      <c r="P939" s="667"/>
      <c r="Q939" s="667"/>
      <c r="R939" s="667"/>
      <c r="S939" s="826"/>
      <c r="T939" s="3"/>
      <c r="U939" s="3"/>
      <c r="V939" s="3"/>
      <c r="W939" s="3"/>
      <c r="X939" s="3"/>
      <c r="Y939" s="3"/>
      <c r="Z939" s="3"/>
    </row>
    <row r="940" ht="15.75" customHeight="1">
      <c r="C940" s="667"/>
      <c r="D940" s="667"/>
      <c r="E940" s="667"/>
      <c r="F940" s="668"/>
      <c r="G940" s="667"/>
      <c r="H940" s="667"/>
      <c r="I940" s="667"/>
      <c r="J940" s="667"/>
      <c r="K940" s="667"/>
      <c r="L940" s="667"/>
      <c r="M940" s="667"/>
      <c r="N940" s="667"/>
      <c r="O940" s="667"/>
      <c r="P940" s="667"/>
      <c r="Q940" s="667"/>
      <c r="R940" s="667"/>
      <c r="S940" s="826"/>
      <c r="T940" s="3"/>
      <c r="U940" s="3"/>
      <c r="V940" s="3"/>
      <c r="W940" s="3"/>
      <c r="X940" s="3"/>
      <c r="Y940" s="3"/>
      <c r="Z940" s="3"/>
    </row>
    <row r="941" ht="15.75" customHeight="1">
      <c r="C941" s="667"/>
      <c r="D941" s="667"/>
      <c r="E941" s="667"/>
      <c r="F941" s="668"/>
      <c r="G941" s="667"/>
      <c r="H941" s="667"/>
      <c r="I941" s="667"/>
      <c r="J941" s="667"/>
      <c r="K941" s="667"/>
      <c r="L941" s="667"/>
      <c r="M941" s="667"/>
      <c r="N941" s="667"/>
      <c r="O941" s="667"/>
      <c r="P941" s="667"/>
      <c r="Q941" s="667"/>
      <c r="R941" s="667"/>
      <c r="S941" s="826"/>
      <c r="T941" s="3"/>
      <c r="U941" s="3"/>
      <c r="V941" s="3"/>
      <c r="W941" s="3"/>
      <c r="X941" s="3"/>
      <c r="Y941" s="3"/>
      <c r="Z941" s="3"/>
    </row>
    <row r="942" ht="15.75" customHeight="1">
      <c r="C942" s="667"/>
      <c r="D942" s="667"/>
      <c r="E942" s="667"/>
      <c r="F942" s="668"/>
      <c r="G942" s="667"/>
      <c r="H942" s="667"/>
      <c r="I942" s="667"/>
      <c r="J942" s="667"/>
      <c r="K942" s="667"/>
      <c r="L942" s="667"/>
      <c r="M942" s="667"/>
      <c r="N942" s="667"/>
      <c r="O942" s="667"/>
      <c r="P942" s="667"/>
      <c r="Q942" s="667"/>
      <c r="R942" s="667"/>
      <c r="S942" s="826"/>
      <c r="T942" s="3"/>
      <c r="U942" s="3"/>
      <c r="V942" s="3"/>
      <c r="W942" s="3"/>
      <c r="X942" s="3"/>
      <c r="Y942" s="3"/>
      <c r="Z942" s="3"/>
    </row>
    <row r="943" ht="15.75" customHeight="1">
      <c r="C943" s="667"/>
      <c r="D943" s="667"/>
      <c r="E943" s="667"/>
      <c r="F943" s="668"/>
      <c r="G943" s="667"/>
      <c r="H943" s="667"/>
      <c r="I943" s="667"/>
      <c r="J943" s="667"/>
      <c r="K943" s="667"/>
      <c r="L943" s="667"/>
      <c r="M943" s="667"/>
      <c r="N943" s="667"/>
      <c r="O943" s="667"/>
      <c r="P943" s="667"/>
      <c r="Q943" s="667"/>
      <c r="R943" s="667"/>
      <c r="S943" s="826"/>
      <c r="T943" s="3"/>
      <c r="U943" s="3"/>
      <c r="V943" s="3"/>
      <c r="W943" s="3"/>
      <c r="X943" s="3"/>
      <c r="Y943" s="3"/>
      <c r="Z943" s="3"/>
    </row>
    <row r="944" ht="15.75" customHeight="1">
      <c r="C944" s="667"/>
      <c r="D944" s="667"/>
      <c r="E944" s="667"/>
      <c r="F944" s="668"/>
      <c r="G944" s="667"/>
      <c r="H944" s="667"/>
      <c r="I944" s="667"/>
      <c r="J944" s="667"/>
      <c r="K944" s="667"/>
      <c r="L944" s="667"/>
      <c r="M944" s="667"/>
      <c r="N944" s="667"/>
      <c r="O944" s="667"/>
      <c r="P944" s="667"/>
      <c r="Q944" s="667"/>
      <c r="R944" s="667"/>
      <c r="S944" s="826"/>
      <c r="T944" s="3"/>
      <c r="U944" s="3"/>
      <c r="V944" s="3"/>
      <c r="W944" s="3"/>
      <c r="X944" s="3"/>
      <c r="Y944" s="3"/>
      <c r="Z944" s="3"/>
    </row>
    <row r="945" ht="15.75" customHeight="1">
      <c r="C945" s="667"/>
      <c r="D945" s="667"/>
      <c r="E945" s="667"/>
      <c r="F945" s="668"/>
      <c r="G945" s="667"/>
      <c r="H945" s="667"/>
      <c r="I945" s="667"/>
      <c r="J945" s="667"/>
      <c r="K945" s="667"/>
      <c r="L945" s="667"/>
      <c r="M945" s="667"/>
      <c r="N945" s="667"/>
      <c r="O945" s="667"/>
      <c r="P945" s="667"/>
      <c r="Q945" s="667"/>
      <c r="R945" s="667"/>
      <c r="S945" s="826"/>
      <c r="T945" s="3"/>
      <c r="U945" s="3"/>
      <c r="V945" s="3"/>
      <c r="W945" s="3"/>
      <c r="X945" s="3"/>
      <c r="Y945" s="3"/>
      <c r="Z945" s="3"/>
    </row>
    <row r="946" ht="15.75" customHeight="1">
      <c r="C946" s="667"/>
      <c r="D946" s="667"/>
      <c r="E946" s="667"/>
      <c r="F946" s="668"/>
      <c r="G946" s="667"/>
      <c r="H946" s="667"/>
      <c r="I946" s="667"/>
      <c r="J946" s="667"/>
      <c r="K946" s="667"/>
      <c r="L946" s="667"/>
      <c r="M946" s="667"/>
      <c r="N946" s="667"/>
      <c r="O946" s="667"/>
      <c r="P946" s="667"/>
      <c r="Q946" s="667"/>
      <c r="R946" s="667"/>
      <c r="S946" s="826"/>
      <c r="T946" s="3"/>
      <c r="U946" s="3"/>
      <c r="V946" s="3"/>
      <c r="W946" s="3"/>
      <c r="X946" s="3"/>
      <c r="Y946" s="3"/>
      <c r="Z946" s="3"/>
    </row>
    <row r="947" ht="15.75" customHeight="1">
      <c r="C947" s="667"/>
      <c r="D947" s="667"/>
      <c r="E947" s="667"/>
      <c r="F947" s="668"/>
      <c r="G947" s="667"/>
      <c r="H947" s="667"/>
      <c r="I947" s="667"/>
      <c r="J947" s="667"/>
      <c r="K947" s="667"/>
      <c r="L947" s="667"/>
      <c r="M947" s="667"/>
      <c r="N947" s="667"/>
      <c r="O947" s="667"/>
      <c r="P947" s="667"/>
      <c r="Q947" s="667"/>
      <c r="R947" s="667"/>
      <c r="S947" s="826"/>
      <c r="T947" s="3"/>
      <c r="U947" s="3"/>
      <c r="V947" s="3"/>
      <c r="W947" s="3"/>
      <c r="X947" s="3"/>
      <c r="Y947" s="3"/>
      <c r="Z947" s="3"/>
    </row>
    <row r="948" ht="15.75" customHeight="1">
      <c r="C948" s="667"/>
      <c r="D948" s="667"/>
      <c r="E948" s="667"/>
      <c r="F948" s="668"/>
      <c r="G948" s="667"/>
      <c r="H948" s="667"/>
      <c r="I948" s="667"/>
      <c r="J948" s="667"/>
      <c r="K948" s="667"/>
      <c r="L948" s="667"/>
      <c r="M948" s="667"/>
      <c r="N948" s="667"/>
      <c r="O948" s="667"/>
      <c r="P948" s="667"/>
      <c r="Q948" s="667"/>
      <c r="R948" s="667"/>
      <c r="S948" s="826"/>
      <c r="T948" s="3"/>
      <c r="U948" s="3"/>
      <c r="V948" s="3"/>
      <c r="W948" s="3"/>
      <c r="X948" s="3"/>
      <c r="Y948" s="3"/>
      <c r="Z948" s="3"/>
    </row>
    <row r="949" ht="15.75" customHeight="1">
      <c r="C949" s="667"/>
      <c r="D949" s="667"/>
      <c r="E949" s="667"/>
      <c r="F949" s="668"/>
      <c r="G949" s="667"/>
      <c r="H949" s="667"/>
      <c r="I949" s="667"/>
      <c r="J949" s="667"/>
      <c r="K949" s="667"/>
      <c r="L949" s="667"/>
      <c r="M949" s="667"/>
      <c r="N949" s="667"/>
      <c r="O949" s="667"/>
      <c r="P949" s="667"/>
      <c r="Q949" s="667"/>
      <c r="R949" s="667"/>
      <c r="S949" s="826"/>
      <c r="T949" s="3"/>
      <c r="U949" s="3"/>
      <c r="V949" s="3"/>
      <c r="W949" s="3"/>
      <c r="X949" s="3"/>
      <c r="Y949" s="3"/>
      <c r="Z949" s="3"/>
    </row>
    <row r="950" ht="15.75" customHeight="1">
      <c r="C950" s="667"/>
      <c r="D950" s="667"/>
      <c r="E950" s="667"/>
      <c r="F950" s="668"/>
      <c r="G950" s="667"/>
      <c r="H950" s="667"/>
      <c r="I950" s="667"/>
      <c r="J950" s="667"/>
      <c r="K950" s="667"/>
      <c r="L950" s="667"/>
      <c r="M950" s="667"/>
      <c r="N950" s="667"/>
      <c r="O950" s="667"/>
      <c r="P950" s="667"/>
      <c r="Q950" s="667"/>
      <c r="R950" s="667"/>
      <c r="S950" s="826"/>
      <c r="T950" s="3"/>
      <c r="U950" s="3"/>
      <c r="V950" s="3"/>
      <c r="W950" s="3"/>
      <c r="X950" s="3"/>
      <c r="Y950" s="3"/>
      <c r="Z950" s="3"/>
    </row>
    <row r="951" ht="15.75" customHeight="1">
      <c r="C951" s="667"/>
      <c r="D951" s="667"/>
      <c r="E951" s="667"/>
      <c r="F951" s="668"/>
      <c r="G951" s="667"/>
      <c r="H951" s="667"/>
      <c r="I951" s="667"/>
      <c r="J951" s="667"/>
      <c r="K951" s="667"/>
      <c r="L951" s="667"/>
      <c r="M951" s="667"/>
      <c r="N951" s="667"/>
      <c r="O951" s="667"/>
      <c r="P951" s="667"/>
      <c r="Q951" s="667"/>
      <c r="R951" s="667"/>
      <c r="S951" s="826"/>
      <c r="T951" s="3"/>
      <c r="U951" s="3"/>
      <c r="V951" s="3"/>
      <c r="W951" s="3"/>
      <c r="X951" s="3"/>
      <c r="Y951" s="3"/>
      <c r="Z951" s="3"/>
    </row>
    <row r="952" ht="15.75" customHeight="1">
      <c r="C952" s="667"/>
      <c r="D952" s="667"/>
      <c r="E952" s="667"/>
      <c r="F952" s="668"/>
      <c r="G952" s="667"/>
      <c r="H952" s="667"/>
      <c r="I952" s="667"/>
      <c r="J952" s="667"/>
      <c r="K952" s="667"/>
      <c r="L952" s="667"/>
      <c r="M952" s="667"/>
      <c r="N952" s="667"/>
      <c r="O952" s="667"/>
      <c r="P952" s="667"/>
      <c r="Q952" s="667"/>
      <c r="R952" s="667"/>
      <c r="S952" s="826"/>
      <c r="T952" s="3"/>
      <c r="U952" s="3"/>
      <c r="V952" s="3"/>
      <c r="W952" s="3"/>
      <c r="X952" s="3"/>
      <c r="Y952" s="3"/>
      <c r="Z952" s="3"/>
    </row>
    <row r="953" ht="15.75" customHeight="1">
      <c r="C953" s="667"/>
      <c r="D953" s="667"/>
      <c r="E953" s="667"/>
      <c r="F953" s="668"/>
      <c r="G953" s="667"/>
      <c r="H953" s="667"/>
      <c r="I953" s="667"/>
      <c r="J953" s="667"/>
      <c r="K953" s="667"/>
      <c r="L953" s="667"/>
      <c r="M953" s="667"/>
      <c r="N953" s="667"/>
      <c r="O953" s="667"/>
      <c r="P953" s="667"/>
      <c r="Q953" s="667"/>
      <c r="R953" s="667"/>
      <c r="S953" s="826"/>
      <c r="T953" s="3"/>
      <c r="U953" s="3"/>
      <c r="V953" s="3"/>
      <c r="W953" s="3"/>
      <c r="X953" s="3"/>
      <c r="Y953" s="3"/>
      <c r="Z953" s="3"/>
    </row>
    <row r="954" ht="15.75" customHeight="1">
      <c r="C954" s="667"/>
      <c r="D954" s="667"/>
      <c r="E954" s="667"/>
      <c r="F954" s="668"/>
      <c r="G954" s="667"/>
      <c r="H954" s="667"/>
      <c r="I954" s="667"/>
      <c r="J954" s="667"/>
      <c r="K954" s="667"/>
      <c r="L954" s="667"/>
      <c r="M954" s="667"/>
      <c r="N954" s="667"/>
      <c r="O954" s="667"/>
      <c r="P954" s="667"/>
      <c r="Q954" s="667"/>
      <c r="R954" s="667"/>
      <c r="S954" s="826"/>
      <c r="T954" s="3"/>
      <c r="U954" s="3"/>
      <c r="V954" s="3"/>
      <c r="W954" s="3"/>
      <c r="X954" s="3"/>
      <c r="Y954" s="3"/>
      <c r="Z954" s="3"/>
    </row>
    <row r="955" ht="15.75" customHeight="1">
      <c r="C955" s="667"/>
      <c r="D955" s="667"/>
      <c r="E955" s="667"/>
      <c r="F955" s="668"/>
      <c r="G955" s="667"/>
      <c r="H955" s="667"/>
      <c r="I955" s="667"/>
      <c r="J955" s="667"/>
      <c r="K955" s="667"/>
      <c r="L955" s="667"/>
      <c r="M955" s="667"/>
      <c r="N955" s="667"/>
      <c r="O955" s="667"/>
      <c r="P955" s="667"/>
      <c r="Q955" s="667"/>
      <c r="R955" s="667"/>
      <c r="S955" s="826"/>
      <c r="T955" s="3"/>
      <c r="U955" s="3"/>
      <c r="V955" s="3"/>
      <c r="W955" s="3"/>
      <c r="X955" s="3"/>
      <c r="Y955" s="3"/>
      <c r="Z955" s="3"/>
    </row>
    <row r="956" ht="15.75" customHeight="1">
      <c r="C956" s="667"/>
      <c r="D956" s="667"/>
      <c r="E956" s="667"/>
      <c r="F956" s="668"/>
      <c r="G956" s="667"/>
      <c r="H956" s="667"/>
      <c r="I956" s="667"/>
      <c r="J956" s="667"/>
      <c r="K956" s="667"/>
      <c r="L956" s="667"/>
      <c r="M956" s="667"/>
      <c r="N956" s="667"/>
      <c r="O956" s="667"/>
      <c r="P956" s="667"/>
      <c r="Q956" s="667"/>
      <c r="R956" s="667"/>
      <c r="S956" s="826"/>
      <c r="T956" s="3"/>
      <c r="U956" s="3"/>
      <c r="V956" s="3"/>
      <c r="W956" s="3"/>
      <c r="X956" s="3"/>
      <c r="Y956" s="3"/>
      <c r="Z956" s="3"/>
    </row>
    <row r="957" ht="15.75" customHeight="1">
      <c r="C957" s="667"/>
      <c r="D957" s="667"/>
      <c r="E957" s="667"/>
      <c r="F957" s="668"/>
      <c r="G957" s="667"/>
      <c r="H957" s="667"/>
      <c r="I957" s="667"/>
      <c r="J957" s="667"/>
      <c r="K957" s="667"/>
      <c r="L957" s="667"/>
      <c r="M957" s="667"/>
      <c r="N957" s="667"/>
      <c r="O957" s="667"/>
      <c r="P957" s="667"/>
      <c r="Q957" s="667"/>
      <c r="R957" s="667"/>
      <c r="S957" s="826"/>
      <c r="T957" s="3"/>
      <c r="U957" s="3"/>
      <c r="V957" s="3"/>
      <c r="W957" s="3"/>
      <c r="X957" s="3"/>
      <c r="Y957" s="3"/>
      <c r="Z957" s="3"/>
    </row>
    <row r="958" ht="15.75" customHeight="1">
      <c r="C958" s="667"/>
      <c r="D958" s="667"/>
      <c r="E958" s="667"/>
      <c r="F958" s="668"/>
      <c r="G958" s="667"/>
      <c r="H958" s="667"/>
      <c r="I958" s="667"/>
      <c r="J958" s="667"/>
      <c r="K958" s="667"/>
      <c r="L958" s="667"/>
      <c r="M958" s="667"/>
      <c r="N958" s="667"/>
      <c r="O958" s="667"/>
      <c r="P958" s="667"/>
      <c r="Q958" s="667"/>
      <c r="R958" s="667"/>
      <c r="S958" s="826"/>
      <c r="T958" s="3"/>
      <c r="U958" s="3"/>
      <c r="V958" s="3"/>
      <c r="W958" s="3"/>
      <c r="X958" s="3"/>
      <c r="Y958" s="3"/>
      <c r="Z958" s="3"/>
    </row>
    <row r="959" ht="15.75" customHeight="1">
      <c r="C959" s="667"/>
      <c r="D959" s="667"/>
      <c r="E959" s="667"/>
      <c r="F959" s="668"/>
      <c r="G959" s="667"/>
      <c r="H959" s="667"/>
      <c r="I959" s="667"/>
      <c r="J959" s="667"/>
      <c r="K959" s="667"/>
      <c r="L959" s="667"/>
      <c r="M959" s="667"/>
      <c r="N959" s="667"/>
      <c r="O959" s="667"/>
      <c r="P959" s="667"/>
      <c r="Q959" s="667"/>
      <c r="R959" s="667"/>
      <c r="S959" s="826"/>
      <c r="T959" s="3"/>
      <c r="U959" s="3"/>
      <c r="V959" s="3"/>
      <c r="W959" s="3"/>
      <c r="X959" s="3"/>
      <c r="Y959" s="3"/>
      <c r="Z959" s="3"/>
    </row>
    <row r="960" ht="15.75" customHeight="1">
      <c r="C960" s="667"/>
      <c r="D960" s="667"/>
      <c r="E960" s="667"/>
      <c r="F960" s="668"/>
      <c r="G960" s="667"/>
      <c r="H960" s="667"/>
      <c r="I960" s="667"/>
      <c r="J960" s="667"/>
      <c r="K960" s="667"/>
      <c r="L960" s="667"/>
      <c r="M960" s="667"/>
      <c r="N960" s="667"/>
      <c r="O960" s="667"/>
      <c r="P960" s="667"/>
      <c r="Q960" s="667"/>
      <c r="R960" s="667"/>
      <c r="S960" s="826"/>
      <c r="T960" s="3"/>
      <c r="U960" s="3"/>
      <c r="V960" s="3"/>
      <c r="W960" s="3"/>
      <c r="X960" s="3"/>
      <c r="Y960" s="3"/>
      <c r="Z960" s="3"/>
    </row>
    <row r="961" ht="15.75" customHeight="1">
      <c r="C961" s="667"/>
      <c r="D961" s="667"/>
      <c r="E961" s="667"/>
      <c r="F961" s="668"/>
      <c r="G961" s="667"/>
      <c r="H961" s="667"/>
      <c r="I961" s="667"/>
      <c r="J961" s="667"/>
      <c r="K961" s="667"/>
      <c r="L961" s="667"/>
      <c r="M961" s="667"/>
      <c r="N961" s="667"/>
      <c r="O961" s="667"/>
      <c r="P961" s="667"/>
      <c r="Q961" s="667"/>
      <c r="R961" s="667"/>
      <c r="S961" s="826"/>
      <c r="T961" s="3"/>
      <c r="U961" s="3"/>
      <c r="V961" s="3"/>
      <c r="W961" s="3"/>
      <c r="X961" s="3"/>
      <c r="Y961" s="3"/>
      <c r="Z961" s="3"/>
    </row>
    <row r="962" ht="15.75" customHeight="1">
      <c r="C962" s="667"/>
      <c r="D962" s="667"/>
      <c r="E962" s="667"/>
      <c r="F962" s="668"/>
      <c r="G962" s="667"/>
      <c r="H962" s="667"/>
      <c r="I962" s="667"/>
      <c r="J962" s="667"/>
      <c r="K962" s="667"/>
      <c r="L962" s="667"/>
      <c r="M962" s="667"/>
      <c r="N962" s="667"/>
      <c r="O962" s="667"/>
      <c r="P962" s="667"/>
      <c r="Q962" s="667"/>
      <c r="R962" s="667"/>
      <c r="S962" s="826"/>
      <c r="T962" s="3"/>
      <c r="U962" s="3"/>
      <c r="V962" s="3"/>
      <c r="W962" s="3"/>
      <c r="X962" s="3"/>
      <c r="Y962" s="3"/>
      <c r="Z962" s="3"/>
    </row>
    <row r="963" ht="15.75" customHeight="1">
      <c r="C963" s="667"/>
      <c r="D963" s="667"/>
      <c r="E963" s="667"/>
      <c r="F963" s="668"/>
      <c r="G963" s="667"/>
      <c r="H963" s="667"/>
      <c r="I963" s="667"/>
      <c r="J963" s="667"/>
      <c r="K963" s="667"/>
      <c r="L963" s="667"/>
      <c r="M963" s="667"/>
      <c r="N963" s="667"/>
      <c r="O963" s="667"/>
      <c r="P963" s="667"/>
      <c r="Q963" s="667"/>
      <c r="R963" s="667"/>
      <c r="S963" s="826"/>
      <c r="T963" s="3"/>
      <c r="U963" s="3"/>
      <c r="V963" s="3"/>
      <c r="W963" s="3"/>
      <c r="X963" s="3"/>
      <c r="Y963" s="3"/>
      <c r="Z963" s="3"/>
    </row>
    <row r="964" ht="15.75" customHeight="1">
      <c r="C964" s="667"/>
      <c r="D964" s="667"/>
      <c r="E964" s="667"/>
      <c r="F964" s="668"/>
      <c r="G964" s="667"/>
      <c r="H964" s="667"/>
      <c r="I964" s="667"/>
      <c r="J964" s="667"/>
      <c r="K964" s="667"/>
      <c r="L964" s="667"/>
      <c r="M964" s="667"/>
      <c r="N964" s="667"/>
      <c r="O964" s="667"/>
      <c r="P964" s="667"/>
      <c r="Q964" s="667"/>
      <c r="R964" s="667"/>
      <c r="S964" s="826"/>
      <c r="T964" s="3"/>
      <c r="U964" s="3"/>
      <c r="V964" s="3"/>
      <c r="W964" s="3"/>
      <c r="X964" s="3"/>
      <c r="Y964" s="3"/>
      <c r="Z964" s="3"/>
    </row>
    <row r="965" ht="15.75" customHeight="1">
      <c r="C965" s="667"/>
      <c r="D965" s="667"/>
      <c r="E965" s="667"/>
      <c r="F965" s="668"/>
      <c r="G965" s="667"/>
      <c r="H965" s="667"/>
      <c r="I965" s="667"/>
      <c r="J965" s="667"/>
      <c r="K965" s="667"/>
      <c r="L965" s="667"/>
      <c r="M965" s="667"/>
      <c r="N965" s="667"/>
      <c r="O965" s="667"/>
      <c r="P965" s="667"/>
      <c r="Q965" s="667"/>
      <c r="R965" s="667"/>
      <c r="S965" s="826"/>
      <c r="T965" s="3"/>
      <c r="U965" s="3"/>
      <c r="V965" s="3"/>
      <c r="W965" s="3"/>
      <c r="X965" s="3"/>
      <c r="Y965" s="3"/>
      <c r="Z965" s="3"/>
    </row>
    <row r="966" ht="15.75" customHeight="1">
      <c r="C966" s="667"/>
      <c r="D966" s="667"/>
      <c r="E966" s="667"/>
      <c r="F966" s="668"/>
      <c r="G966" s="667"/>
      <c r="H966" s="667"/>
      <c r="I966" s="667"/>
      <c r="J966" s="667"/>
      <c r="K966" s="667"/>
      <c r="L966" s="667"/>
      <c r="M966" s="667"/>
      <c r="N966" s="667"/>
      <c r="O966" s="667"/>
      <c r="P966" s="667"/>
      <c r="Q966" s="667"/>
      <c r="R966" s="667"/>
      <c r="S966" s="826"/>
      <c r="T966" s="3"/>
      <c r="U966" s="3"/>
      <c r="V966" s="3"/>
      <c r="W966" s="3"/>
      <c r="X966" s="3"/>
      <c r="Y966" s="3"/>
      <c r="Z966" s="3"/>
    </row>
    <row r="967" ht="15.75" customHeight="1">
      <c r="C967" s="667"/>
      <c r="D967" s="667"/>
      <c r="E967" s="667"/>
      <c r="F967" s="668"/>
      <c r="G967" s="667"/>
      <c r="H967" s="667"/>
      <c r="I967" s="667"/>
      <c r="J967" s="667"/>
      <c r="K967" s="667"/>
      <c r="L967" s="667"/>
      <c r="M967" s="667"/>
      <c r="N967" s="667"/>
      <c r="O967" s="667"/>
      <c r="P967" s="667"/>
      <c r="Q967" s="667"/>
      <c r="R967" s="667"/>
      <c r="S967" s="826"/>
      <c r="T967" s="3"/>
      <c r="U967" s="3"/>
      <c r="V967" s="3"/>
      <c r="W967" s="3"/>
      <c r="X967" s="3"/>
      <c r="Y967" s="3"/>
      <c r="Z967" s="3"/>
    </row>
    <row r="968" ht="15.75" customHeight="1">
      <c r="C968" s="667"/>
      <c r="D968" s="667"/>
      <c r="E968" s="667"/>
      <c r="F968" s="668"/>
      <c r="G968" s="667"/>
      <c r="H968" s="667"/>
      <c r="I968" s="667"/>
      <c r="J968" s="667"/>
      <c r="K968" s="667"/>
      <c r="L968" s="667"/>
      <c r="M968" s="667"/>
      <c r="N968" s="667"/>
      <c r="O968" s="667"/>
      <c r="P968" s="667"/>
      <c r="Q968" s="667"/>
      <c r="R968" s="667"/>
      <c r="S968" s="826"/>
      <c r="T968" s="3"/>
      <c r="U968" s="3"/>
      <c r="V968" s="3"/>
      <c r="W968" s="3"/>
      <c r="X968" s="3"/>
      <c r="Y968" s="3"/>
      <c r="Z968" s="3"/>
    </row>
    <row r="969" ht="15.75" customHeight="1">
      <c r="C969" s="667"/>
      <c r="D969" s="667"/>
      <c r="E969" s="667"/>
      <c r="F969" s="668"/>
      <c r="G969" s="667"/>
      <c r="H969" s="667"/>
      <c r="I969" s="667"/>
      <c r="J969" s="667"/>
      <c r="K969" s="667"/>
      <c r="L969" s="667"/>
      <c r="M969" s="667"/>
      <c r="N969" s="667"/>
      <c r="O969" s="667"/>
      <c r="P969" s="667"/>
      <c r="Q969" s="667"/>
      <c r="R969" s="667"/>
      <c r="S969" s="826"/>
      <c r="T969" s="3"/>
      <c r="U969" s="3"/>
      <c r="V969" s="3"/>
      <c r="W969" s="3"/>
      <c r="X969" s="3"/>
      <c r="Y969" s="3"/>
      <c r="Z969" s="3"/>
    </row>
    <row r="970" ht="15.75" customHeight="1">
      <c r="C970" s="667"/>
      <c r="D970" s="667"/>
      <c r="E970" s="667"/>
      <c r="F970" s="668"/>
      <c r="G970" s="667"/>
      <c r="H970" s="667"/>
      <c r="I970" s="667"/>
      <c r="J970" s="667"/>
      <c r="K970" s="667"/>
      <c r="L970" s="667"/>
      <c r="M970" s="667"/>
      <c r="N970" s="667"/>
      <c r="O970" s="667"/>
      <c r="P970" s="667"/>
      <c r="Q970" s="667"/>
      <c r="R970" s="667"/>
      <c r="S970" s="826"/>
      <c r="T970" s="3"/>
      <c r="U970" s="3"/>
      <c r="V970" s="3"/>
      <c r="W970" s="3"/>
      <c r="X970" s="3"/>
      <c r="Y970" s="3"/>
      <c r="Z970" s="3"/>
    </row>
    <row r="971" ht="15.75" customHeight="1">
      <c r="C971" s="667"/>
      <c r="D971" s="667"/>
      <c r="E971" s="667"/>
      <c r="F971" s="668"/>
      <c r="G971" s="667"/>
      <c r="H971" s="667"/>
      <c r="I971" s="667"/>
      <c r="J971" s="667"/>
      <c r="K971" s="667"/>
      <c r="L971" s="667"/>
      <c r="M971" s="667"/>
      <c r="N971" s="667"/>
      <c r="O971" s="667"/>
      <c r="P971" s="667"/>
      <c r="Q971" s="667"/>
      <c r="R971" s="667"/>
      <c r="S971" s="826"/>
      <c r="T971" s="3"/>
      <c r="U971" s="3"/>
      <c r="V971" s="3"/>
      <c r="W971" s="3"/>
      <c r="X971" s="3"/>
      <c r="Y971" s="3"/>
      <c r="Z971" s="3"/>
    </row>
    <row r="972" ht="15.75" customHeight="1">
      <c r="C972" s="667"/>
      <c r="D972" s="667"/>
      <c r="E972" s="667"/>
      <c r="F972" s="668"/>
      <c r="G972" s="667"/>
      <c r="H972" s="667"/>
      <c r="I972" s="667"/>
      <c r="J972" s="667"/>
      <c r="K972" s="667"/>
      <c r="L972" s="667"/>
      <c r="M972" s="667"/>
      <c r="N972" s="667"/>
      <c r="O972" s="667"/>
      <c r="P972" s="667"/>
      <c r="Q972" s="667"/>
      <c r="R972" s="667"/>
      <c r="S972" s="826"/>
      <c r="T972" s="3"/>
      <c r="U972" s="3"/>
      <c r="V972" s="3"/>
      <c r="W972" s="3"/>
      <c r="X972" s="3"/>
      <c r="Y972" s="3"/>
      <c r="Z972" s="3"/>
    </row>
  </sheetData>
  <mergeCells count="5">
    <mergeCell ref="C1:R1"/>
    <mergeCell ref="D2:R2"/>
    <mergeCell ref="L3:N3"/>
    <mergeCell ref="P3:R3"/>
    <mergeCell ref="M4:N4"/>
  </mergeCells>
  <printOptions/>
  <pageMargins bottom="0.7480314960629921" footer="0.0" header="0.0" left="0.7086614173228347" right="0.7086614173228347" top="0.7480314960629921"/>
  <pageSetup paperSize="5" scale="88"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3.0"/>
    <col customWidth="1" min="2" max="2" width="4.71"/>
    <col customWidth="1" min="3" max="3" width="17.14"/>
    <col customWidth="1" min="4" max="4" width="9.57"/>
    <col customWidth="1" min="5" max="5" width="16.71"/>
    <col customWidth="1" min="6" max="6" width="9.57"/>
    <col customWidth="1" min="7" max="7" width="7.86"/>
    <col customWidth="1" min="8" max="8" width="8.86"/>
    <col customWidth="1" min="9" max="9" width="8.14"/>
    <col customWidth="1" min="10" max="10" width="9.0"/>
    <col customWidth="1" min="11" max="11" width="7.29"/>
    <col customWidth="1" min="12" max="12" width="12.43"/>
    <col customWidth="1" min="13" max="13" width="18.57"/>
    <col customWidth="1" min="14" max="14" width="16.71"/>
    <col customWidth="1" min="15" max="15" width="5.29"/>
    <col customWidth="1" min="16" max="16" width="11.43"/>
    <col customWidth="1" min="17" max="17" width="6.14"/>
    <col customWidth="1" min="18" max="37" width="8.71"/>
  </cols>
  <sheetData>
    <row r="1">
      <c r="B1" s="475" t="s">
        <v>14157</v>
      </c>
    </row>
    <row r="2" ht="42.75" customHeight="1">
      <c r="B2" s="458"/>
      <c r="C2" s="5" t="s">
        <v>1</v>
      </c>
      <c r="D2" s="6"/>
      <c r="E2" s="6"/>
      <c r="F2" s="6"/>
      <c r="G2" s="6"/>
      <c r="H2" s="6"/>
      <c r="I2" s="6"/>
      <c r="J2" s="6"/>
      <c r="K2" s="6"/>
      <c r="L2" s="6"/>
      <c r="M2" s="6"/>
      <c r="N2" s="6"/>
      <c r="O2" s="6"/>
      <c r="P2" s="6"/>
      <c r="Q2" s="7"/>
    </row>
    <row r="3">
      <c r="B3" s="458"/>
      <c r="C3" s="823"/>
      <c r="D3" s="9"/>
      <c r="E3" s="402"/>
      <c r="F3" s="9"/>
      <c r="G3" s="9"/>
      <c r="H3" s="9"/>
      <c r="I3" s="9"/>
      <c r="J3" s="9"/>
      <c r="K3" s="12"/>
      <c r="M3" s="13"/>
      <c r="N3" s="14" t="s">
        <v>3</v>
      </c>
      <c r="O3" s="15" t="s">
        <v>19370</v>
      </c>
      <c r="P3" s="16"/>
      <c r="Q3" s="17"/>
    </row>
    <row r="4">
      <c r="B4" s="458"/>
      <c r="C4" s="824"/>
      <c r="D4" s="9"/>
      <c r="E4" s="402"/>
      <c r="F4" s="9"/>
      <c r="G4" s="9"/>
      <c r="H4" s="458"/>
      <c r="I4" s="9"/>
      <c r="J4" s="9"/>
      <c r="K4" s="9"/>
      <c r="L4" s="825"/>
      <c r="M4" s="407"/>
      <c r="N4" s="9"/>
      <c r="O4" s="9"/>
      <c r="P4" s="9"/>
      <c r="Q4" s="9"/>
    </row>
    <row r="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851" t="s">
        <v>22</v>
      </c>
    </row>
    <row r="6">
      <c r="B6" s="433">
        <v>1.0</v>
      </c>
      <c r="C6" s="433"/>
      <c r="D6" s="433" t="s">
        <v>5480</v>
      </c>
      <c r="E6" s="434" t="s">
        <v>19371</v>
      </c>
      <c r="F6" s="433" t="s">
        <v>2863</v>
      </c>
      <c r="G6" s="433" t="s">
        <v>29</v>
      </c>
      <c r="H6" s="433" t="s">
        <v>30</v>
      </c>
      <c r="I6" s="433"/>
      <c r="J6" s="433" t="s">
        <v>38</v>
      </c>
      <c r="K6" s="433">
        <v>104.0</v>
      </c>
      <c r="L6" s="433"/>
      <c r="M6" s="433" t="s">
        <v>19372</v>
      </c>
      <c r="N6" s="433" t="s">
        <v>19373</v>
      </c>
      <c r="O6" s="433">
        <v>1986.0</v>
      </c>
      <c r="P6" s="433" t="s">
        <v>388</v>
      </c>
      <c r="Q6" s="433">
        <v>1.0</v>
      </c>
      <c r="R6" s="446"/>
    </row>
    <row r="7">
      <c r="B7" s="852" t="s">
        <v>19374</v>
      </c>
      <c r="C7" s="433"/>
      <c r="D7" s="433" t="s">
        <v>5501</v>
      </c>
      <c r="E7" s="434" t="s">
        <v>19375</v>
      </c>
      <c r="F7" s="433" t="s">
        <v>2863</v>
      </c>
      <c r="G7" s="433" t="s">
        <v>29</v>
      </c>
      <c r="H7" s="433" t="s">
        <v>30</v>
      </c>
      <c r="I7" s="433"/>
      <c r="J7" s="433" t="s">
        <v>14933</v>
      </c>
      <c r="K7" s="433">
        <v>80.0</v>
      </c>
      <c r="L7" s="433"/>
      <c r="M7" s="433" t="s">
        <v>19376</v>
      </c>
      <c r="N7" s="433" t="s">
        <v>19373</v>
      </c>
      <c r="O7" s="433">
        <v>1986.0</v>
      </c>
      <c r="P7" s="433" t="s">
        <v>388</v>
      </c>
      <c r="Q7" s="433">
        <v>1.0</v>
      </c>
      <c r="R7" s="446"/>
    </row>
    <row r="8">
      <c r="B8" s="852" t="s">
        <v>19377</v>
      </c>
      <c r="C8" s="433"/>
      <c r="D8" s="433" t="s">
        <v>19378</v>
      </c>
      <c r="E8" s="434" t="s">
        <v>19379</v>
      </c>
      <c r="F8" s="433" t="s">
        <v>2863</v>
      </c>
      <c r="G8" s="433" t="s">
        <v>29</v>
      </c>
      <c r="H8" s="433" t="s">
        <v>30</v>
      </c>
      <c r="I8" s="433"/>
      <c r="J8" s="433" t="s">
        <v>38</v>
      </c>
      <c r="K8" s="433">
        <v>248.0</v>
      </c>
      <c r="L8" s="433"/>
      <c r="M8" s="433" t="s">
        <v>19380</v>
      </c>
      <c r="N8" s="433" t="s">
        <v>19373</v>
      </c>
      <c r="O8" s="433">
        <v>1985.0</v>
      </c>
      <c r="P8" s="433" t="s">
        <v>388</v>
      </c>
      <c r="Q8" s="433">
        <v>1.0</v>
      </c>
      <c r="R8" s="446"/>
    </row>
    <row r="9">
      <c r="B9" s="852" t="s">
        <v>19381</v>
      </c>
      <c r="C9" s="433"/>
      <c r="D9" s="433" t="s">
        <v>19382</v>
      </c>
      <c r="E9" s="434" t="s">
        <v>19383</v>
      </c>
      <c r="F9" s="433" t="s">
        <v>2863</v>
      </c>
      <c r="G9" s="433" t="s">
        <v>29</v>
      </c>
      <c r="H9" s="433" t="s">
        <v>30</v>
      </c>
      <c r="I9" s="433"/>
      <c r="J9" s="433" t="s">
        <v>38</v>
      </c>
      <c r="K9" s="433">
        <v>145.0</v>
      </c>
      <c r="L9" s="433"/>
      <c r="M9" s="433" t="s">
        <v>5443</v>
      </c>
      <c r="N9" s="433" t="s">
        <v>19373</v>
      </c>
      <c r="O9" s="433">
        <v>1996.0</v>
      </c>
      <c r="P9" s="433" t="s">
        <v>388</v>
      </c>
      <c r="Q9" s="433">
        <v>1.0</v>
      </c>
      <c r="R9" s="446"/>
    </row>
    <row r="10">
      <c r="B10" s="852" t="s">
        <v>19384</v>
      </c>
      <c r="C10" s="433"/>
      <c r="D10" s="433" t="s">
        <v>5438</v>
      </c>
      <c r="E10" s="434" t="s">
        <v>19385</v>
      </c>
      <c r="F10" s="433" t="s">
        <v>2863</v>
      </c>
      <c r="G10" s="433" t="s">
        <v>29</v>
      </c>
      <c r="H10" s="433" t="s">
        <v>30</v>
      </c>
      <c r="I10" s="433"/>
      <c r="J10" s="433" t="s">
        <v>38</v>
      </c>
      <c r="K10" s="433">
        <v>104.0</v>
      </c>
      <c r="L10" s="433"/>
      <c r="M10" s="433" t="s">
        <v>19386</v>
      </c>
      <c r="N10" s="433" t="s">
        <v>19373</v>
      </c>
      <c r="O10" s="433">
        <v>1992.0</v>
      </c>
      <c r="P10" s="433" t="s">
        <v>388</v>
      </c>
      <c r="Q10" s="433">
        <v>1.0</v>
      </c>
      <c r="R10" s="446"/>
    </row>
    <row r="11">
      <c r="B11" s="852" t="s">
        <v>19387</v>
      </c>
      <c r="C11" s="433"/>
      <c r="D11" s="433" t="s">
        <v>6200</v>
      </c>
      <c r="E11" s="434" t="s">
        <v>19388</v>
      </c>
      <c r="F11" s="433" t="s">
        <v>2863</v>
      </c>
      <c r="G11" s="433" t="s">
        <v>29</v>
      </c>
      <c r="H11" s="433" t="s">
        <v>30</v>
      </c>
      <c r="I11" s="433"/>
      <c r="J11" s="433" t="s">
        <v>38</v>
      </c>
      <c r="K11" s="433">
        <v>63.0</v>
      </c>
      <c r="L11" s="433"/>
      <c r="M11" s="433" t="s">
        <v>19389</v>
      </c>
      <c r="N11" s="433" t="s">
        <v>19373</v>
      </c>
      <c r="O11" s="433">
        <v>1998.0</v>
      </c>
      <c r="P11" s="433" t="s">
        <v>388</v>
      </c>
      <c r="Q11" s="433">
        <v>1.0</v>
      </c>
      <c r="R11" s="446"/>
    </row>
    <row r="12">
      <c r="B12" s="852" t="s">
        <v>19390</v>
      </c>
      <c r="C12" s="433"/>
      <c r="D12" s="433" t="s">
        <v>6276</v>
      </c>
      <c r="E12" s="434" t="s">
        <v>19391</v>
      </c>
      <c r="F12" s="433" t="s">
        <v>2863</v>
      </c>
      <c r="G12" s="433" t="s">
        <v>29</v>
      </c>
      <c r="H12" s="433" t="s">
        <v>30</v>
      </c>
      <c r="I12" s="433"/>
      <c r="J12" s="433" t="s">
        <v>38</v>
      </c>
      <c r="K12" s="433">
        <v>129.0</v>
      </c>
      <c r="L12" s="433"/>
      <c r="M12" s="433" t="s">
        <v>19392</v>
      </c>
      <c r="N12" s="433" t="s">
        <v>19373</v>
      </c>
      <c r="O12" s="433">
        <v>1991.0</v>
      </c>
      <c r="P12" s="433" t="s">
        <v>388</v>
      </c>
      <c r="Q12" s="433">
        <v>1.0</v>
      </c>
      <c r="R12" s="446"/>
    </row>
    <row r="13">
      <c r="B13" s="852" t="s">
        <v>19393</v>
      </c>
      <c r="C13" s="433"/>
      <c r="D13" s="433" t="s">
        <v>5497</v>
      </c>
      <c r="E13" s="434" t="s">
        <v>19394</v>
      </c>
      <c r="F13" s="433" t="s">
        <v>2863</v>
      </c>
      <c r="G13" s="433" t="s">
        <v>29</v>
      </c>
      <c r="H13" s="433" t="s">
        <v>30</v>
      </c>
      <c r="I13" s="433"/>
      <c r="J13" s="433" t="s">
        <v>38</v>
      </c>
      <c r="K13" s="433">
        <v>69.0</v>
      </c>
      <c r="L13" s="433"/>
      <c r="M13" s="433" t="s">
        <v>19395</v>
      </c>
      <c r="N13" s="433" t="s">
        <v>19373</v>
      </c>
      <c r="O13" s="433">
        <v>1977.0</v>
      </c>
      <c r="P13" s="433" t="s">
        <v>388</v>
      </c>
      <c r="Q13" s="433">
        <v>1.0</v>
      </c>
      <c r="R13" s="446"/>
    </row>
    <row r="14">
      <c r="B14" s="852" t="s">
        <v>19396</v>
      </c>
      <c r="C14" s="433"/>
      <c r="D14" s="433" t="s">
        <v>5507</v>
      </c>
      <c r="E14" s="434" t="s">
        <v>19397</v>
      </c>
      <c r="F14" s="433" t="s">
        <v>2863</v>
      </c>
      <c r="G14" s="433" t="s">
        <v>29</v>
      </c>
      <c r="H14" s="433" t="s">
        <v>30</v>
      </c>
      <c r="I14" s="433"/>
      <c r="J14" s="433" t="s">
        <v>38</v>
      </c>
      <c r="K14" s="433">
        <v>288.0</v>
      </c>
      <c r="L14" s="433"/>
      <c r="M14" s="433" t="s">
        <v>19380</v>
      </c>
      <c r="N14" s="433" t="s">
        <v>19373</v>
      </c>
      <c r="O14" s="433">
        <v>1985.0</v>
      </c>
      <c r="P14" s="433" t="s">
        <v>388</v>
      </c>
      <c r="Q14" s="433">
        <v>1.0</v>
      </c>
      <c r="R14" s="446"/>
    </row>
    <row r="15">
      <c r="B15" s="852" t="s">
        <v>19398</v>
      </c>
      <c r="C15" s="433"/>
      <c r="D15" s="433" t="s">
        <v>6194</v>
      </c>
      <c r="E15" s="434" t="s">
        <v>19399</v>
      </c>
      <c r="F15" s="433" t="s">
        <v>2863</v>
      </c>
      <c r="G15" s="433" t="s">
        <v>29</v>
      </c>
      <c r="H15" s="433" t="s">
        <v>30</v>
      </c>
      <c r="I15" s="433"/>
      <c r="J15" s="433" t="s">
        <v>38</v>
      </c>
      <c r="K15" s="433">
        <v>84.0</v>
      </c>
      <c r="L15" s="433"/>
      <c r="M15" s="433" t="s">
        <v>6196</v>
      </c>
      <c r="N15" s="433" t="s">
        <v>19373</v>
      </c>
      <c r="O15" s="433">
        <v>1986.0</v>
      </c>
      <c r="P15" s="433" t="s">
        <v>388</v>
      </c>
      <c r="Q15" s="433">
        <v>1.0</v>
      </c>
      <c r="R15" s="446"/>
    </row>
    <row r="16">
      <c r="B16" s="852" t="s">
        <v>19400</v>
      </c>
      <c r="C16" s="433"/>
      <c r="D16" s="433" t="s">
        <v>5445</v>
      </c>
      <c r="E16" s="434" t="s">
        <v>19401</v>
      </c>
      <c r="F16" s="433" t="s">
        <v>2863</v>
      </c>
      <c r="G16" s="433" t="s">
        <v>29</v>
      </c>
      <c r="H16" s="433" t="s">
        <v>30</v>
      </c>
      <c r="I16" s="433"/>
      <c r="J16" s="433" t="s">
        <v>38</v>
      </c>
      <c r="K16" s="433">
        <v>67.0</v>
      </c>
      <c r="L16" s="433"/>
      <c r="M16" s="433" t="s">
        <v>5447</v>
      </c>
      <c r="N16" s="433" t="s">
        <v>19373</v>
      </c>
      <c r="O16" s="433">
        <v>1980.0</v>
      </c>
      <c r="P16" s="433" t="s">
        <v>388</v>
      </c>
      <c r="Q16" s="433">
        <v>1.0</v>
      </c>
      <c r="R16" s="446"/>
    </row>
    <row r="17">
      <c r="B17" s="852" t="s">
        <v>17301</v>
      </c>
      <c r="C17" s="433"/>
      <c r="D17" s="433" t="s">
        <v>5477</v>
      </c>
      <c r="E17" s="434" t="s">
        <v>19402</v>
      </c>
      <c r="F17" s="433" t="s">
        <v>2863</v>
      </c>
      <c r="G17" s="433" t="s">
        <v>29</v>
      </c>
      <c r="H17" s="433" t="s">
        <v>30</v>
      </c>
      <c r="I17" s="433"/>
      <c r="J17" s="433" t="s">
        <v>38</v>
      </c>
      <c r="K17" s="433">
        <v>72.0</v>
      </c>
      <c r="L17" s="433"/>
      <c r="M17" s="433" t="s">
        <v>5419</v>
      </c>
      <c r="N17" s="433" t="s">
        <v>19373</v>
      </c>
      <c r="O17" s="433">
        <v>1984.0</v>
      </c>
      <c r="P17" s="433" t="s">
        <v>388</v>
      </c>
      <c r="Q17" s="433">
        <v>1.0</v>
      </c>
      <c r="R17" s="446"/>
    </row>
    <row r="18">
      <c r="B18" s="852" t="s">
        <v>17304</v>
      </c>
      <c r="C18" s="433"/>
      <c r="D18" s="433" t="s">
        <v>19403</v>
      </c>
      <c r="E18" s="434" t="s">
        <v>19404</v>
      </c>
      <c r="F18" s="433" t="s">
        <v>2863</v>
      </c>
      <c r="G18" s="433" t="s">
        <v>29</v>
      </c>
      <c r="H18" s="433" t="s">
        <v>30</v>
      </c>
      <c r="I18" s="433"/>
      <c r="J18" s="433" t="s">
        <v>38</v>
      </c>
      <c r="K18" s="433">
        <v>108.0</v>
      </c>
      <c r="L18" s="433"/>
      <c r="M18" s="433" t="s">
        <v>19405</v>
      </c>
      <c r="N18" s="433" t="s">
        <v>19373</v>
      </c>
      <c r="O18" s="433">
        <v>1984.0</v>
      </c>
      <c r="P18" s="433" t="s">
        <v>388</v>
      </c>
      <c r="Q18" s="433">
        <v>1.0</v>
      </c>
      <c r="R18" s="446"/>
    </row>
    <row r="19">
      <c r="B19" s="852" t="s">
        <v>17307</v>
      </c>
      <c r="C19" s="433"/>
      <c r="D19" s="433" t="s">
        <v>6162</v>
      </c>
      <c r="E19" s="434" t="s">
        <v>19406</v>
      </c>
      <c r="F19" s="433" t="s">
        <v>2863</v>
      </c>
      <c r="G19" s="433" t="s">
        <v>29</v>
      </c>
      <c r="H19" s="433" t="s">
        <v>30</v>
      </c>
      <c r="I19" s="433"/>
      <c r="J19" s="433" t="s">
        <v>38</v>
      </c>
      <c r="K19" s="433">
        <v>91.0</v>
      </c>
      <c r="L19" s="433"/>
      <c r="M19" s="433" t="s">
        <v>6164</v>
      </c>
      <c r="N19" s="433" t="s">
        <v>19373</v>
      </c>
      <c r="O19" s="433">
        <v>1982.0</v>
      </c>
      <c r="P19" s="433" t="s">
        <v>388</v>
      </c>
      <c r="Q19" s="433">
        <v>1.0</v>
      </c>
      <c r="R19" s="446"/>
    </row>
    <row r="20">
      <c r="B20" s="852" t="s">
        <v>17310</v>
      </c>
      <c r="C20" s="433"/>
      <c r="D20" s="433" t="s">
        <v>19407</v>
      </c>
      <c r="E20" s="434" t="s">
        <v>19408</v>
      </c>
      <c r="F20" s="433" t="s">
        <v>2863</v>
      </c>
      <c r="G20" s="433" t="s">
        <v>29</v>
      </c>
      <c r="H20" s="433" t="s">
        <v>30</v>
      </c>
      <c r="I20" s="433"/>
      <c r="J20" s="433" t="s">
        <v>38</v>
      </c>
      <c r="K20" s="433">
        <v>72.0</v>
      </c>
      <c r="L20" s="433"/>
      <c r="M20" s="433" t="s">
        <v>19405</v>
      </c>
      <c r="N20" s="433" t="s">
        <v>19373</v>
      </c>
      <c r="O20" s="433">
        <v>1993.0</v>
      </c>
      <c r="P20" s="433" t="s">
        <v>388</v>
      </c>
      <c r="Q20" s="433">
        <v>1.0</v>
      </c>
      <c r="R20" s="446"/>
    </row>
    <row r="21" ht="15.75" customHeight="1">
      <c r="B21" s="852" t="s">
        <v>17313</v>
      </c>
      <c r="C21" s="433"/>
      <c r="D21" s="433" t="s">
        <v>19409</v>
      </c>
      <c r="E21" s="434" t="s">
        <v>19410</v>
      </c>
      <c r="F21" s="433" t="s">
        <v>2863</v>
      </c>
      <c r="G21" s="433" t="s">
        <v>29</v>
      </c>
      <c r="H21" s="433" t="s">
        <v>30</v>
      </c>
      <c r="I21" s="433"/>
      <c r="J21" s="433" t="s">
        <v>38</v>
      </c>
      <c r="K21" s="433">
        <v>101.0</v>
      </c>
      <c r="L21" s="433"/>
      <c r="M21" s="433" t="s">
        <v>5524</v>
      </c>
      <c r="N21" s="433" t="s">
        <v>19373</v>
      </c>
      <c r="O21" s="433">
        <v>2002.0</v>
      </c>
      <c r="P21" s="433" t="s">
        <v>388</v>
      </c>
      <c r="Q21" s="433">
        <v>1.0</v>
      </c>
      <c r="R21" s="446"/>
    </row>
    <row r="22" ht="15.75" customHeight="1">
      <c r="B22" s="852" t="s">
        <v>17317</v>
      </c>
      <c r="C22" s="433"/>
      <c r="D22" s="433" t="s">
        <v>19411</v>
      </c>
      <c r="E22" s="434" t="s">
        <v>19412</v>
      </c>
      <c r="F22" s="433" t="s">
        <v>2863</v>
      </c>
      <c r="G22" s="433" t="s">
        <v>29</v>
      </c>
      <c r="H22" s="433" t="s">
        <v>30</v>
      </c>
      <c r="I22" s="433"/>
      <c r="J22" s="433" t="s">
        <v>38</v>
      </c>
      <c r="K22" s="433">
        <v>21.0</v>
      </c>
      <c r="L22" s="433"/>
      <c r="M22" s="433" t="s">
        <v>19413</v>
      </c>
      <c r="N22" s="433" t="s">
        <v>19373</v>
      </c>
      <c r="O22" s="433">
        <v>1995.0</v>
      </c>
      <c r="P22" s="433" t="s">
        <v>388</v>
      </c>
      <c r="Q22" s="433">
        <v>1.0</v>
      </c>
      <c r="R22" s="446"/>
    </row>
    <row r="23" ht="15.75" customHeight="1">
      <c r="B23" s="852" t="s">
        <v>17324</v>
      </c>
      <c r="C23" s="433"/>
      <c r="D23" s="433" t="s">
        <v>6246</v>
      </c>
      <c r="E23" s="434" t="s">
        <v>19414</v>
      </c>
      <c r="F23" s="433" t="s">
        <v>2863</v>
      </c>
      <c r="G23" s="433" t="s">
        <v>29</v>
      </c>
      <c r="H23" s="433" t="s">
        <v>30</v>
      </c>
      <c r="I23" s="433"/>
      <c r="J23" s="433" t="s">
        <v>38</v>
      </c>
      <c r="K23" s="433">
        <v>67.0</v>
      </c>
      <c r="L23" s="433"/>
      <c r="M23" s="433" t="s">
        <v>19415</v>
      </c>
      <c r="N23" s="433" t="s">
        <v>19373</v>
      </c>
      <c r="O23" s="433">
        <v>1997.0</v>
      </c>
      <c r="P23" s="433" t="s">
        <v>388</v>
      </c>
      <c r="Q23" s="433">
        <v>1.0</v>
      </c>
      <c r="R23" s="446"/>
    </row>
    <row r="24" ht="15.75" customHeight="1">
      <c r="B24" s="852" t="s">
        <v>17327</v>
      </c>
      <c r="C24" s="433"/>
      <c r="D24" s="433" t="s">
        <v>6200</v>
      </c>
      <c r="E24" s="434" t="s">
        <v>19416</v>
      </c>
      <c r="F24" s="433" t="s">
        <v>2863</v>
      </c>
      <c r="G24" s="433" t="s">
        <v>29</v>
      </c>
      <c r="H24" s="433" t="s">
        <v>30</v>
      </c>
      <c r="I24" s="433"/>
      <c r="J24" s="433" t="s">
        <v>38</v>
      </c>
      <c r="K24" s="433">
        <v>53.0</v>
      </c>
      <c r="L24" s="433"/>
      <c r="M24" s="433" t="s">
        <v>5521</v>
      </c>
      <c r="N24" s="433" t="s">
        <v>19373</v>
      </c>
      <c r="O24" s="433">
        <v>1998.0</v>
      </c>
      <c r="P24" s="433" t="s">
        <v>388</v>
      </c>
      <c r="Q24" s="433">
        <v>1.0</v>
      </c>
      <c r="R24" s="446"/>
    </row>
    <row r="25" ht="15.75" customHeight="1">
      <c r="B25" s="852" t="s">
        <v>17330</v>
      </c>
      <c r="C25" s="433"/>
      <c r="D25" s="433" t="s">
        <v>31</v>
      </c>
      <c r="E25" s="434" t="s">
        <v>19417</v>
      </c>
      <c r="F25" s="433" t="s">
        <v>2863</v>
      </c>
      <c r="G25" s="433" t="s">
        <v>29</v>
      </c>
      <c r="H25" s="433" t="s">
        <v>30</v>
      </c>
      <c r="I25" s="433"/>
      <c r="J25" s="433" t="s">
        <v>18286</v>
      </c>
      <c r="K25" s="433">
        <v>72.0</v>
      </c>
      <c r="L25" s="433"/>
      <c r="M25" s="433" t="s">
        <v>19405</v>
      </c>
      <c r="N25" s="433" t="s">
        <v>19373</v>
      </c>
      <c r="O25" s="433">
        <v>1993.0</v>
      </c>
      <c r="P25" s="433" t="s">
        <v>388</v>
      </c>
      <c r="Q25" s="433">
        <v>1.0</v>
      </c>
      <c r="R25" s="446"/>
    </row>
    <row r="26" ht="15.75" customHeight="1">
      <c r="B26" s="852" t="s">
        <v>17336</v>
      </c>
      <c r="C26" s="433"/>
      <c r="D26" s="433" t="s">
        <v>19418</v>
      </c>
      <c r="E26" s="434" t="s">
        <v>19419</v>
      </c>
      <c r="F26" s="433" t="s">
        <v>2863</v>
      </c>
      <c r="G26" s="433" t="s">
        <v>29</v>
      </c>
      <c r="H26" s="433" t="s">
        <v>30</v>
      </c>
      <c r="I26" s="433"/>
      <c r="J26" s="433" t="s">
        <v>38</v>
      </c>
      <c r="K26" s="433">
        <v>167.0</v>
      </c>
      <c r="L26" s="433"/>
      <c r="M26" s="433" t="s">
        <v>5423</v>
      </c>
      <c r="N26" s="433" t="s">
        <v>19373</v>
      </c>
      <c r="O26" s="433">
        <v>1980.0</v>
      </c>
      <c r="P26" s="433" t="s">
        <v>388</v>
      </c>
      <c r="Q26" s="433">
        <v>1.0</v>
      </c>
      <c r="R26" s="446"/>
    </row>
    <row r="27" ht="15.75" customHeight="1">
      <c r="B27" s="852" t="s">
        <v>17339</v>
      </c>
      <c r="C27" s="433"/>
      <c r="D27" s="433" t="s">
        <v>19420</v>
      </c>
      <c r="E27" s="434" t="s">
        <v>19421</v>
      </c>
      <c r="F27" s="433" t="s">
        <v>2863</v>
      </c>
      <c r="G27" s="433" t="s">
        <v>29</v>
      </c>
      <c r="H27" s="433" t="s">
        <v>30</v>
      </c>
      <c r="I27" s="433"/>
      <c r="J27" s="433" t="s">
        <v>19422</v>
      </c>
      <c r="K27" s="433">
        <v>251.0</v>
      </c>
      <c r="L27" s="433"/>
      <c r="M27" s="433" t="s">
        <v>5426</v>
      </c>
      <c r="N27" s="433" t="s">
        <v>19373</v>
      </c>
      <c r="O27" s="433">
        <v>2003.0</v>
      </c>
      <c r="P27" s="433" t="s">
        <v>388</v>
      </c>
      <c r="Q27" s="433">
        <v>1.0</v>
      </c>
      <c r="R27" s="446"/>
    </row>
    <row r="28" ht="15.75" customHeight="1">
      <c r="B28" s="852" t="s">
        <v>17341</v>
      </c>
      <c r="C28" s="433"/>
      <c r="D28" s="433" t="s">
        <v>19423</v>
      </c>
      <c r="E28" s="434" t="s">
        <v>19424</v>
      </c>
      <c r="F28" s="433" t="s">
        <v>2863</v>
      </c>
      <c r="G28" s="433" t="s">
        <v>29</v>
      </c>
      <c r="H28" s="433" t="s">
        <v>30</v>
      </c>
      <c r="I28" s="433"/>
      <c r="J28" s="433" t="s">
        <v>38</v>
      </c>
      <c r="K28" s="433">
        <v>82.0</v>
      </c>
      <c r="L28" s="433"/>
      <c r="M28" s="433" t="s">
        <v>6362</v>
      </c>
      <c r="N28" s="433" t="s">
        <v>19373</v>
      </c>
      <c r="O28" s="433">
        <v>1996.0</v>
      </c>
      <c r="P28" s="433" t="s">
        <v>388</v>
      </c>
      <c r="Q28" s="433">
        <v>1.0</v>
      </c>
      <c r="R28" s="446"/>
    </row>
    <row r="29" ht="15.75" customHeight="1">
      <c r="B29" s="852" t="s">
        <v>17345</v>
      </c>
      <c r="C29" s="433"/>
      <c r="D29" s="433" t="s">
        <v>19425</v>
      </c>
      <c r="E29" s="434" t="s">
        <v>19426</v>
      </c>
      <c r="F29" s="433" t="s">
        <v>2863</v>
      </c>
      <c r="G29" s="433" t="s">
        <v>29</v>
      </c>
      <c r="H29" s="433" t="s">
        <v>30</v>
      </c>
      <c r="I29" s="433"/>
      <c r="J29" s="433" t="s">
        <v>38</v>
      </c>
      <c r="K29" s="433">
        <v>69.0</v>
      </c>
      <c r="L29" s="433"/>
      <c r="M29" s="433" t="s">
        <v>5476</v>
      </c>
      <c r="N29" s="433" t="s">
        <v>19373</v>
      </c>
      <c r="O29" s="433">
        <v>2001.0</v>
      </c>
      <c r="P29" s="433" t="s">
        <v>388</v>
      </c>
      <c r="Q29" s="433">
        <v>1.0</v>
      </c>
      <c r="R29" s="446"/>
    </row>
    <row r="30" ht="15.75" customHeight="1">
      <c r="B30" s="852" t="s">
        <v>15081</v>
      </c>
      <c r="C30" s="433"/>
      <c r="D30" s="433" t="s">
        <v>19427</v>
      </c>
      <c r="E30" s="434" t="s">
        <v>19428</v>
      </c>
      <c r="F30" s="433" t="s">
        <v>2863</v>
      </c>
      <c r="G30" s="433" t="s">
        <v>29</v>
      </c>
      <c r="H30" s="433" t="s">
        <v>30</v>
      </c>
      <c r="I30" s="433"/>
      <c r="J30" s="433" t="s">
        <v>38</v>
      </c>
      <c r="K30" s="433">
        <v>163.0</v>
      </c>
      <c r="L30" s="433"/>
      <c r="M30" s="433" t="s">
        <v>5491</v>
      </c>
      <c r="N30" s="433" t="s">
        <v>19373</v>
      </c>
      <c r="O30" s="433">
        <v>1999.0</v>
      </c>
      <c r="P30" s="433" t="s">
        <v>388</v>
      </c>
      <c r="Q30" s="433">
        <v>1.0</v>
      </c>
      <c r="R30" s="446"/>
    </row>
    <row r="31" ht="15.75" customHeight="1">
      <c r="B31" s="852" t="s">
        <v>15086</v>
      </c>
      <c r="C31" s="433"/>
      <c r="D31" s="433" t="s">
        <v>19382</v>
      </c>
      <c r="E31" s="434" t="s">
        <v>19429</v>
      </c>
      <c r="F31" s="433" t="s">
        <v>2863</v>
      </c>
      <c r="G31" s="433" t="s">
        <v>29</v>
      </c>
      <c r="H31" s="433" t="s">
        <v>30</v>
      </c>
      <c r="I31" s="433"/>
      <c r="J31" s="433" t="s">
        <v>38</v>
      </c>
      <c r="K31" s="433">
        <v>151.0</v>
      </c>
      <c r="L31" s="433"/>
      <c r="M31" s="433" t="s">
        <v>5443</v>
      </c>
      <c r="N31" s="433" t="s">
        <v>19373</v>
      </c>
      <c r="O31" s="433">
        <v>2000.0</v>
      </c>
      <c r="P31" s="433" t="s">
        <v>388</v>
      </c>
      <c r="Q31" s="433">
        <v>1.0</v>
      </c>
      <c r="R31" s="446"/>
    </row>
    <row r="32" ht="15.75" customHeight="1">
      <c r="B32" s="852" t="s">
        <v>15087</v>
      </c>
      <c r="C32" s="433"/>
      <c r="D32" s="433" t="s">
        <v>19430</v>
      </c>
      <c r="E32" s="434" t="s">
        <v>19431</v>
      </c>
      <c r="F32" s="433" t="s">
        <v>2863</v>
      </c>
      <c r="G32" s="433" t="s">
        <v>29</v>
      </c>
      <c r="H32" s="433" t="s">
        <v>30</v>
      </c>
      <c r="I32" s="433"/>
      <c r="J32" s="433" t="s">
        <v>38</v>
      </c>
      <c r="K32" s="433">
        <v>76.0</v>
      </c>
      <c r="L32" s="433"/>
      <c r="M32" s="433" t="s">
        <v>5419</v>
      </c>
      <c r="N32" s="433" t="s">
        <v>19373</v>
      </c>
      <c r="O32" s="433">
        <v>2004.0</v>
      </c>
      <c r="P32" s="433" t="s">
        <v>388</v>
      </c>
      <c r="Q32" s="433">
        <v>1.0</v>
      </c>
      <c r="R32" s="446"/>
    </row>
    <row r="33" ht="15.75" customHeight="1">
      <c r="B33" s="852" t="s">
        <v>15093</v>
      </c>
      <c r="C33" s="433"/>
      <c r="D33" s="433" t="s">
        <v>19432</v>
      </c>
      <c r="E33" s="434" t="s">
        <v>19433</v>
      </c>
      <c r="F33" s="433" t="s">
        <v>2863</v>
      </c>
      <c r="G33" s="433" t="s">
        <v>29</v>
      </c>
      <c r="H33" s="433" t="s">
        <v>30</v>
      </c>
      <c r="I33" s="433"/>
      <c r="J33" s="433" t="s">
        <v>38</v>
      </c>
      <c r="K33" s="433">
        <v>77.0</v>
      </c>
      <c r="L33" s="433"/>
      <c r="M33" s="433" t="s">
        <v>5426</v>
      </c>
      <c r="N33" s="433" t="s">
        <v>19373</v>
      </c>
      <c r="O33" s="433">
        <v>1983.0</v>
      </c>
      <c r="P33" s="433" t="s">
        <v>388</v>
      </c>
      <c r="Q33" s="433">
        <v>1.0</v>
      </c>
      <c r="R33" s="446"/>
    </row>
    <row r="34" ht="15.75" customHeight="1">
      <c r="B34" s="852" t="s">
        <v>15098</v>
      </c>
      <c r="C34" s="433"/>
      <c r="D34" s="433" t="s">
        <v>31</v>
      </c>
      <c r="E34" s="434" t="s">
        <v>19434</v>
      </c>
      <c r="F34" s="433" t="s">
        <v>2863</v>
      </c>
      <c r="G34" s="433" t="s">
        <v>29</v>
      </c>
      <c r="H34" s="433" t="s">
        <v>30</v>
      </c>
      <c r="I34" s="433"/>
      <c r="J34" s="433" t="s">
        <v>19435</v>
      </c>
      <c r="K34" s="433">
        <v>133.0</v>
      </c>
      <c r="L34" s="433"/>
      <c r="M34" s="433" t="s">
        <v>19413</v>
      </c>
      <c r="N34" s="433" t="s">
        <v>19373</v>
      </c>
      <c r="O34" s="433">
        <v>1999.0</v>
      </c>
      <c r="P34" s="433" t="s">
        <v>388</v>
      </c>
      <c r="Q34" s="433">
        <v>1.0</v>
      </c>
      <c r="R34" s="446"/>
    </row>
    <row r="35" ht="15.75" customHeight="1">
      <c r="B35" s="852" t="s">
        <v>15104</v>
      </c>
      <c r="C35" s="433"/>
      <c r="D35" s="433" t="s">
        <v>31</v>
      </c>
      <c r="E35" s="434" t="s">
        <v>19436</v>
      </c>
      <c r="F35" s="433" t="s">
        <v>2863</v>
      </c>
      <c r="G35" s="433" t="s">
        <v>29</v>
      </c>
      <c r="H35" s="433" t="s">
        <v>30</v>
      </c>
      <c r="I35" s="433"/>
      <c r="J35" s="433" t="s">
        <v>38</v>
      </c>
      <c r="K35" s="433">
        <v>132.0</v>
      </c>
      <c r="L35" s="433"/>
      <c r="M35" s="433" t="s">
        <v>19413</v>
      </c>
      <c r="N35" s="433" t="s">
        <v>19373</v>
      </c>
      <c r="O35" s="433">
        <v>2001.0</v>
      </c>
      <c r="P35" s="433" t="s">
        <v>388</v>
      </c>
      <c r="Q35" s="433">
        <v>1.0</v>
      </c>
      <c r="R35" s="446"/>
    </row>
    <row r="36" ht="15.75" customHeight="1">
      <c r="B36" s="852" t="s">
        <v>15108</v>
      </c>
      <c r="C36" s="433"/>
      <c r="D36" s="433" t="s">
        <v>19437</v>
      </c>
      <c r="E36" s="434" t="s">
        <v>19438</v>
      </c>
      <c r="F36" s="433" t="s">
        <v>2863</v>
      </c>
      <c r="G36" s="433" t="s">
        <v>29</v>
      </c>
      <c r="H36" s="433" t="s">
        <v>30</v>
      </c>
      <c r="I36" s="433"/>
      <c r="J36" s="433" t="s">
        <v>38</v>
      </c>
      <c r="K36" s="433">
        <v>128.0</v>
      </c>
      <c r="L36" s="433"/>
      <c r="M36" s="433" t="s">
        <v>19439</v>
      </c>
      <c r="N36" s="433" t="s">
        <v>19373</v>
      </c>
      <c r="O36" s="433">
        <v>1981.0</v>
      </c>
      <c r="P36" s="433" t="s">
        <v>388</v>
      </c>
      <c r="Q36" s="433">
        <v>1.0</v>
      </c>
      <c r="R36" s="446"/>
    </row>
    <row r="37" ht="15.75" customHeight="1">
      <c r="B37" s="852" t="s">
        <v>15113</v>
      </c>
      <c r="C37" s="433"/>
      <c r="D37" s="433" t="s">
        <v>19432</v>
      </c>
      <c r="E37" s="434" t="s">
        <v>19440</v>
      </c>
      <c r="F37" s="433" t="s">
        <v>2863</v>
      </c>
      <c r="G37" s="433" t="s">
        <v>29</v>
      </c>
      <c r="H37" s="433" t="s">
        <v>30</v>
      </c>
      <c r="I37" s="433"/>
      <c r="J37" s="433" t="s">
        <v>38</v>
      </c>
      <c r="K37" s="433">
        <v>81.0</v>
      </c>
      <c r="L37" s="433"/>
      <c r="M37" s="433" t="s">
        <v>5426</v>
      </c>
      <c r="N37" s="433" t="s">
        <v>19373</v>
      </c>
      <c r="O37" s="433">
        <v>1983.0</v>
      </c>
      <c r="P37" s="433" t="s">
        <v>388</v>
      </c>
      <c r="Q37" s="433">
        <v>1.0</v>
      </c>
      <c r="R37" s="446"/>
    </row>
    <row r="38" ht="15.75" customHeight="1">
      <c r="B38" s="852" t="s">
        <v>15118</v>
      </c>
      <c r="C38" s="433"/>
      <c r="D38" s="433" t="s">
        <v>5511</v>
      </c>
      <c r="E38" s="434" t="s">
        <v>19441</v>
      </c>
      <c r="F38" s="433" t="s">
        <v>2863</v>
      </c>
      <c r="G38" s="433" t="s">
        <v>29</v>
      </c>
      <c r="H38" s="433" t="s">
        <v>30</v>
      </c>
      <c r="I38" s="433"/>
      <c r="J38" s="433" t="s">
        <v>38</v>
      </c>
      <c r="K38" s="433">
        <v>100.0</v>
      </c>
      <c r="L38" s="433"/>
      <c r="M38" s="433" t="s">
        <v>5513</v>
      </c>
      <c r="N38" s="433" t="s">
        <v>19373</v>
      </c>
      <c r="O38" s="433">
        <v>1981.0</v>
      </c>
      <c r="P38" s="433" t="s">
        <v>388</v>
      </c>
      <c r="Q38" s="433">
        <v>1.0</v>
      </c>
      <c r="R38" s="446"/>
    </row>
    <row r="39" ht="15.75" customHeight="1">
      <c r="B39" s="852" t="s">
        <v>15124</v>
      </c>
      <c r="C39" s="433"/>
      <c r="D39" s="433" t="s">
        <v>5501</v>
      </c>
      <c r="E39" s="434" t="s">
        <v>19442</v>
      </c>
      <c r="F39" s="433" t="s">
        <v>2863</v>
      </c>
      <c r="G39" s="433" t="s">
        <v>29</v>
      </c>
      <c r="H39" s="433" t="s">
        <v>30</v>
      </c>
      <c r="I39" s="433"/>
      <c r="J39" s="433" t="s">
        <v>38</v>
      </c>
      <c r="K39" s="433">
        <v>87.0</v>
      </c>
      <c r="L39" s="433"/>
      <c r="M39" s="433" t="s">
        <v>19443</v>
      </c>
      <c r="N39" s="433" t="s">
        <v>19373</v>
      </c>
      <c r="O39" s="433">
        <v>1983.0</v>
      </c>
      <c r="P39" s="433" t="s">
        <v>388</v>
      </c>
      <c r="Q39" s="433">
        <v>1.0</v>
      </c>
      <c r="R39" s="446"/>
    </row>
    <row r="40" ht="15.75" customHeight="1">
      <c r="B40" s="852" t="s">
        <v>15130</v>
      </c>
      <c r="C40" s="433"/>
      <c r="D40" s="433" t="s">
        <v>6030</v>
      </c>
      <c r="E40" s="434" t="s">
        <v>19444</v>
      </c>
      <c r="F40" s="433" t="s">
        <v>2863</v>
      </c>
      <c r="G40" s="433" t="s">
        <v>29</v>
      </c>
      <c r="H40" s="433" t="s">
        <v>30</v>
      </c>
      <c r="I40" s="433"/>
      <c r="J40" s="433" t="s">
        <v>38</v>
      </c>
      <c r="K40" s="433">
        <v>80.0</v>
      </c>
      <c r="L40" s="433"/>
      <c r="M40" s="433" t="s">
        <v>6032</v>
      </c>
      <c r="N40" s="433" t="s">
        <v>19373</v>
      </c>
      <c r="O40" s="433">
        <v>1982.0</v>
      </c>
      <c r="P40" s="433" t="s">
        <v>388</v>
      </c>
      <c r="Q40" s="433">
        <v>1.0</v>
      </c>
      <c r="R40" s="446"/>
    </row>
    <row r="41" ht="15.75" customHeight="1">
      <c r="B41" s="852" t="s">
        <v>15131</v>
      </c>
      <c r="C41" s="433"/>
      <c r="D41" s="433" t="s">
        <v>5495</v>
      </c>
      <c r="E41" s="434" t="s">
        <v>19445</v>
      </c>
      <c r="F41" s="433" t="s">
        <v>2863</v>
      </c>
      <c r="G41" s="433" t="s">
        <v>29</v>
      </c>
      <c r="H41" s="433" t="s">
        <v>30</v>
      </c>
      <c r="I41" s="433"/>
      <c r="J41" s="433" t="s">
        <v>38</v>
      </c>
      <c r="K41" s="433">
        <v>104.0</v>
      </c>
      <c r="L41" s="433"/>
      <c r="M41" s="433" t="s">
        <v>5419</v>
      </c>
      <c r="N41" s="433" t="s">
        <v>19373</v>
      </c>
      <c r="O41" s="433">
        <v>1990.0</v>
      </c>
      <c r="P41" s="433" t="s">
        <v>388</v>
      </c>
      <c r="Q41" s="433">
        <v>1.0</v>
      </c>
      <c r="R41" s="446"/>
    </row>
    <row r="42" ht="15.75" customHeight="1">
      <c r="B42" s="852" t="s">
        <v>15132</v>
      </c>
      <c r="C42" s="433"/>
      <c r="D42" s="433" t="s">
        <v>5433</v>
      </c>
      <c r="E42" s="434" t="s">
        <v>19446</v>
      </c>
      <c r="F42" s="433" t="s">
        <v>2863</v>
      </c>
      <c r="G42" s="433" t="s">
        <v>29</v>
      </c>
      <c r="H42" s="433" t="s">
        <v>30</v>
      </c>
      <c r="I42" s="433"/>
      <c r="J42" s="433" t="s">
        <v>38</v>
      </c>
      <c r="K42" s="433">
        <v>90.0</v>
      </c>
      <c r="L42" s="433"/>
      <c r="M42" s="433" t="s">
        <v>19447</v>
      </c>
      <c r="N42" s="433" t="s">
        <v>19373</v>
      </c>
      <c r="O42" s="433">
        <v>1982.0</v>
      </c>
      <c r="P42" s="433" t="s">
        <v>388</v>
      </c>
      <c r="Q42" s="433">
        <v>1.0</v>
      </c>
      <c r="R42" s="446"/>
    </row>
    <row r="43" ht="15.75" customHeight="1">
      <c r="B43" s="852" t="s">
        <v>15133</v>
      </c>
      <c r="C43" s="433"/>
      <c r="D43" s="433" t="s">
        <v>5497</v>
      </c>
      <c r="E43" s="434" t="s">
        <v>19448</v>
      </c>
      <c r="F43" s="433" t="s">
        <v>2863</v>
      </c>
      <c r="G43" s="433" t="s">
        <v>29</v>
      </c>
      <c r="H43" s="433" t="s">
        <v>30</v>
      </c>
      <c r="I43" s="433"/>
      <c r="J43" s="433" t="s">
        <v>38</v>
      </c>
      <c r="K43" s="433">
        <v>90.0</v>
      </c>
      <c r="L43" s="433"/>
      <c r="M43" s="433" t="s">
        <v>19395</v>
      </c>
      <c r="N43" s="433" t="s">
        <v>19373</v>
      </c>
      <c r="O43" s="433">
        <v>1979.0</v>
      </c>
      <c r="P43" s="433" t="s">
        <v>388</v>
      </c>
      <c r="Q43" s="433">
        <v>1.0</v>
      </c>
      <c r="R43" s="446"/>
    </row>
    <row r="44" ht="15.75" customHeight="1">
      <c r="B44" s="852" t="s">
        <v>15134</v>
      </c>
      <c r="C44" s="433"/>
      <c r="D44" s="433" t="s">
        <v>19449</v>
      </c>
      <c r="E44" s="434" t="s">
        <v>19450</v>
      </c>
      <c r="F44" s="433" t="s">
        <v>2863</v>
      </c>
      <c r="G44" s="433" t="s">
        <v>29</v>
      </c>
      <c r="H44" s="433" t="s">
        <v>30</v>
      </c>
      <c r="I44" s="433"/>
      <c r="J44" s="433" t="s">
        <v>38</v>
      </c>
      <c r="K44" s="433">
        <v>68.0</v>
      </c>
      <c r="L44" s="433"/>
      <c r="M44" s="433" t="s">
        <v>5521</v>
      </c>
      <c r="N44" s="433" t="s">
        <v>19373</v>
      </c>
      <c r="O44" s="433">
        <v>1998.0</v>
      </c>
      <c r="P44" s="433" t="s">
        <v>388</v>
      </c>
      <c r="Q44" s="433">
        <v>1.0</v>
      </c>
      <c r="R44" s="446"/>
    </row>
    <row r="45" ht="15.75" customHeight="1">
      <c r="B45" s="852" t="s">
        <v>15135</v>
      </c>
      <c r="C45" s="433"/>
      <c r="D45" s="433" t="s">
        <v>19451</v>
      </c>
      <c r="E45" s="434" t="s">
        <v>19452</v>
      </c>
      <c r="F45" s="433" t="s">
        <v>2863</v>
      </c>
      <c r="G45" s="433" t="s">
        <v>29</v>
      </c>
      <c r="H45" s="433" t="s">
        <v>30</v>
      </c>
      <c r="I45" s="433"/>
      <c r="J45" s="433" t="s">
        <v>38</v>
      </c>
      <c r="K45" s="433">
        <v>137.0</v>
      </c>
      <c r="L45" s="433"/>
      <c r="M45" s="433" t="s">
        <v>5516</v>
      </c>
      <c r="N45" s="433" t="s">
        <v>19373</v>
      </c>
      <c r="O45" s="433">
        <v>1995.0</v>
      </c>
      <c r="P45" s="433" t="s">
        <v>388</v>
      </c>
      <c r="Q45" s="433">
        <v>1.0</v>
      </c>
      <c r="R45" s="446"/>
    </row>
    <row r="46" ht="15.75" customHeight="1">
      <c r="B46" s="852" t="s">
        <v>15136</v>
      </c>
      <c r="C46" s="433"/>
      <c r="D46" s="433" t="s">
        <v>19451</v>
      </c>
      <c r="E46" s="434" t="s">
        <v>19453</v>
      </c>
      <c r="F46" s="433" t="s">
        <v>2863</v>
      </c>
      <c r="G46" s="433" t="s">
        <v>29</v>
      </c>
      <c r="H46" s="433" t="s">
        <v>30</v>
      </c>
      <c r="I46" s="433"/>
      <c r="J46" s="433" t="s">
        <v>38</v>
      </c>
      <c r="K46" s="433">
        <v>128.0</v>
      </c>
      <c r="L46" s="433"/>
      <c r="M46" s="433" t="s">
        <v>5516</v>
      </c>
      <c r="N46" s="433" t="s">
        <v>19373</v>
      </c>
      <c r="O46" s="433">
        <v>1994.0</v>
      </c>
      <c r="P46" s="433" t="s">
        <v>388</v>
      </c>
      <c r="Q46" s="433">
        <v>1.0</v>
      </c>
      <c r="R46" s="446"/>
    </row>
    <row r="47" ht="15.75" customHeight="1">
      <c r="B47" s="852" t="s">
        <v>15137</v>
      </c>
      <c r="C47" s="433"/>
      <c r="D47" s="433" t="s">
        <v>19454</v>
      </c>
      <c r="E47" s="434" t="s">
        <v>19455</v>
      </c>
      <c r="F47" s="433" t="s">
        <v>2863</v>
      </c>
      <c r="G47" s="433" t="s">
        <v>29</v>
      </c>
      <c r="H47" s="433" t="s">
        <v>30</v>
      </c>
      <c r="I47" s="433"/>
      <c r="J47" s="433" t="s">
        <v>38</v>
      </c>
      <c r="K47" s="433">
        <v>84.0</v>
      </c>
      <c r="L47" s="433"/>
      <c r="M47" s="433" t="s">
        <v>19456</v>
      </c>
      <c r="N47" s="433" t="s">
        <v>19373</v>
      </c>
      <c r="O47" s="433">
        <v>1984.0</v>
      </c>
      <c r="P47" s="433" t="s">
        <v>388</v>
      </c>
      <c r="Q47" s="433">
        <v>1.0</v>
      </c>
      <c r="R47" s="446"/>
    </row>
    <row r="48" ht="15.75" customHeight="1">
      <c r="B48" s="852" t="s">
        <v>15138</v>
      </c>
      <c r="C48" s="433"/>
      <c r="D48" s="433" t="s">
        <v>5480</v>
      </c>
      <c r="E48" s="434" t="s">
        <v>19457</v>
      </c>
      <c r="F48" s="433" t="s">
        <v>2863</v>
      </c>
      <c r="G48" s="433" t="s">
        <v>29</v>
      </c>
      <c r="H48" s="433" t="s">
        <v>30</v>
      </c>
      <c r="I48" s="433"/>
      <c r="J48" s="433" t="s">
        <v>38</v>
      </c>
      <c r="K48" s="433">
        <v>104.0</v>
      </c>
      <c r="L48" s="433"/>
      <c r="M48" s="433" t="s">
        <v>19458</v>
      </c>
      <c r="N48" s="433" t="s">
        <v>19373</v>
      </c>
      <c r="O48" s="433">
        <v>1986.0</v>
      </c>
      <c r="P48" s="433" t="s">
        <v>388</v>
      </c>
      <c r="Q48" s="433">
        <v>1.0</v>
      </c>
      <c r="R48" s="446"/>
    </row>
    <row r="49" ht="15.75" customHeight="1">
      <c r="B49" s="852" t="s">
        <v>17408</v>
      </c>
      <c r="C49" s="433"/>
      <c r="D49" s="433" t="s">
        <v>5483</v>
      </c>
      <c r="E49" s="434" t="s">
        <v>19459</v>
      </c>
      <c r="F49" s="433" t="s">
        <v>2863</v>
      </c>
      <c r="G49" s="433" t="s">
        <v>29</v>
      </c>
      <c r="H49" s="433" t="s">
        <v>30</v>
      </c>
      <c r="I49" s="433"/>
      <c r="J49" s="433" t="s">
        <v>38</v>
      </c>
      <c r="K49" s="433">
        <v>65.0</v>
      </c>
      <c r="L49" s="433"/>
      <c r="M49" s="433" t="s">
        <v>5485</v>
      </c>
      <c r="N49" s="433" t="s">
        <v>19373</v>
      </c>
      <c r="O49" s="433">
        <v>1977.0</v>
      </c>
      <c r="P49" s="433" t="s">
        <v>388</v>
      </c>
      <c r="Q49" s="433">
        <v>2.0</v>
      </c>
      <c r="R49" s="446"/>
    </row>
    <row r="50" ht="15.75" customHeight="1">
      <c r="B50" s="852" t="s">
        <v>17413</v>
      </c>
      <c r="C50" s="433"/>
      <c r="D50" s="433" t="s">
        <v>5461</v>
      </c>
      <c r="E50" s="434" t="s">
        <v>19460</v>
      </c>
      <c r="F50" s="433" t="s">
        <v>2863</v>
      </c>
      <c r="G50" s="433" t="s">
        <v>29</v>
      </c>
      <c r="H50" s="433" t="s">
        <v>30</v>
      </c>
      <c r="I50" s="433"/>
      <c r="J50" s="433" t="s">
        <v>38</v>
      </c>
      <c r="K50" s="433">
        <v>64.0</v>
      </c>
      <c r="L50" s="433"/>
      <c r="M50" s="433" t="s">
        <v>19461</v>
      </c>
      <c r="N50" s="433" t="s">
        <v>19373</v>
      </c>
      <c r="O50" s="433">
        <v>1977.0</v>
      </c>
      <c r="P50" s="433" t="s">
        <v>388</v>
      </c>
      <c r="Q50" s="433">
        <v>1.0</v>
      </c>
      <c r="R50" s="446"/>
    </row>
    <row r="51" ht="15.75" customHeight="1">
      <c r="B51" s="852" t="s">
        <v>17417</v>
      </c>
      <c r="C51" s="433"/>
      <c r="D51" s="433" t="s">
        <v>5501</v>
      </c>
      <c r="E51" s="434" t="s">
        <v>19462</v>
      </c>
      <c r="F51" s="433" t="s">
        <v>2863</v>
      </c>
      <c r="G51" s="433" t="s">
        <v>29</v>
      </c>
      <c r="H51" s="433" t="s">
        <v>30</v>
      </c>
      <c r="I51" s="433"/>
      <c r="J51" s="433" t="s">
        <v>38</v>
      </c>
      <c r="K51" s="433">
        <v>79.0</v>
      </c>
      <c r="L51" s="433"/>
      <c r="M51" s="433" t="s">
        <v>5505</v>
      </c>
      <c r="N51" s="433" t="s">
        <v>19373</v>
      </c>
      <c r="O51" s="433">
        <v>1986.0</v>
      </c>
      <c r="P51" s="433" t="s">
        <v>388</v>
      </c>
      <c r="Q51" s="433">
        <v>1.0</v>
      </c>
      <c r="R51" s="446"/>
    </row>
    <row r="52" ht="15.75" customHeight="1">
      <c r="B52" s="852" t="s">
        <v>17420</v>
      </c>
      <c r="C52" s="433"/>
      <c r="D52" s="433" t="s">
        <v>19463</v>
      </c>
      <c r="E52" s="434" t="s">
        <v>5434</v>
      </c>
      <c r="F52" s="433" t="s">
        <v>2863</v>
      </c>
      <c r="G52" s="433" t="s">
        <v>29</v>
      </c>
      <c r="H52" s="433" t="s">
        <v>30</v>
      </c>
      <c r="I52" s="433"/>
      <c r="J52" s="433" t="s">
        <v>38</v>
      </c>
      <c r="K52" s="433">
        <v>59.0</v>
      </c>
      <c r="L52" s="433"/>
      <c r="M52" s="433" t="s">
        <v>5435</v>
      </c>
      <c r="N52" s="433" t="s">
        <v>19373</v>
      </c>
      <c r="O52" s="433">
        <v>1976.0</v>
      </c>
      <c r="P52" s="433" t="s">
        <v>388</v>
      </c>
      <c r="Q52" s="433">
        <v>1.0</v>
      </c>
      <c r="R52" s="446"/>
    </row>
    <row r="53" ht="15.75" customHeight="1">
      <c r="B53" s="852" t="s">
        <v>17423</v>
      </c>
      <c r="C53" s="433"/>
      <c r="D53" s="433" t="s">
        <v>5455</v>
      </c>
      <c r="E53" s="434" t="s">
        <v>19464</v>
      </c>
      <c r="F53" s="433" t="s">
        <v>2863</v>
      </c>
      <c r="G53" s="433" t="s">
        <v>29</v>
      </c>
      <c r="H53" s="433" t="s">
        <v>30</v>
      </c>
      <c r="I53" s="433"/>
      <c r="J53" s="433" t="s">
        <v>38</v>
      </c>
      <c r="K53" s="433"/>
      <c r="L53" s="433"/>
      <c r="M53" s="433" t="s">
        <v>19456</v>
      </c>
      <c r="N53" s="433" t="s">
        <v>19373</v>
      </c>
      <c r="O53" s="433">
        <v>1975.0</v>
      </c>
      <c r="P53" s="433" t="s">
        <v>388</v>
      </c>
      <c r="Q53" s="433">
        <v>1.0</v>
      </c>
      <c r="R53" s="446"/>
    </row>
    <row r="54" ht="15.75" customHeight="1">
      <c r="B54" s="852" t="s">
        <v>17426</v>
      </c>
      <c r="C54" s="433"/>
      <c r="D54" s="433" t="s">
        <v>5501</v>
      </c>
      <c r="E54" s="434" t="s">
        <v>19465</v>
      </c>
      <c r="F54" s="433" t="s">
        <v>2863</v>
      </c>
      <c r="G54" s="433" t="s">
        <v>29</v>
      </c>
      <c r="H54" s="433" t="s">
        <v>30</v>
      </c>
      <c r="I54" s="433"/>
      <c r="J54" s="433" t="s">
        <v>38</v>
      </c>
      <c r="K54" s="433">
        <v>118.0</v>
      </c>
      <c r="L54" s="433"/>
      <c r="M54" s="433" t="s">
        <v>19376</v>
      </c>
      <c r="N54" s="433" t="s">
        <v>19373</v>
      </c>
      <c r="O54" s="433">
        <v>1987.0</v>
      </c>
      <c r="P54" s="433" t="s">
        <v>388</v>
      </c>
      <c r="Q54" s="433">
        <v>1.0</v>
      </c>
      <c r="R54" s="446"/>
    </row>
    <row r="55" ht="15.75" customHeight="1">
      <c r="B55" s="852" t="s">
        <v>17429</v>
      </c>
      <c r="C55" s="433"/>
      <c r="D55" s="433" t="s">
        <v>19466</v>
      </c>
      <c r="E55" s="434" t="s">
        <v>19467</v>
      </c>
      <c r="F55" s="433" t="s">
        <v>2863</v>
      </c>
      <c r="G55" s="433" t="s">
        <v>29</v>
      </c>
      <c r="H55" s="433" t="s">
        <v>30</v>
      </c>
      <c r="I55" s="433"/>
      <c r="J55" s="433" t="s">
        <v>38</v>
      </c>
      <c r="K55" s="433">
        <v>176.0</v>
      </c>
      <c r="L55" s="433"/>
      <c r="M55" s="433" t="s">
        <v>5469</v>
      </c>
      <c r="N55" s="433" t="s">
        <v>19373</v>
      </c>
      <c r="O55" s="433">
        <v>1987.0</v>
      </c>
      <c r="P55" s="433" t="s">
        <v>388</v>
      </c>
      <c r="Q55" s="433">
        <v>1.0</v>
      </c>
      <c r="R55" s="446"/>
    </row>
    <row r="56" ht="15.75" customHeight="1">
      <c r="B56" s="852" t="s">
        <v>17432</v>
      </c>
      <c r="C56" s="433"/>
      <c r="D56" s="433" t="s">
        <v>19468</v>
      </c>
      <c r="E56" s="434" t="s">
        <v>19469</v>
      </c>
      <c r="F56" s="433" t="s">
        <v>2863</v>
      </c>
      <c r="G56" s="433" t="s">
        <v>29</v>
      </c>
      <c r="H56" s="433" t="s">
        <v>30</v>
      </c>
      <c r="I56" s="433"/>
      <c r="J56" s="433" t="s">
        <v>38</v>
      </c>
      <c r="K56" s="433">
        <v>103.0</v>
      </c>
      <c r="L56" s="433"/>
      <c r="M56" s="433" t="s">
        <v>19470</v>
      </c>
      <c r="N56" s="433" t="s">
        <v>19373</v>
      </c>
      <c r="O56" s="433">
        <v>1988.0</v>
      </c>
      <c r="P56" s="433" t="s">
        <v>388</v>
      </c>
      <c r="Q56" s="433">
        <v>1.0</v>
      </c>
      <c r="R56" s="446"/>
    </row>
    <row r="57" ht="15.75" customHeight="1">
      <c r="B57" s="852" t="s">
        <v>17435</v>
      </c>
      <c r="C57" s="433"/>
      <c r="D57" s="433" t="s">
        <v>6276</v>
      </c>
      <c r="E57" s="434" t="s">
        <v>19471</v>
      </c>
      <c r="F57" s="433" t="s">
        <v>2863</v>
      </c>
      <c r="G57" s="433" t="s">
        <v>29</v>
      </c>
      <c r="H57" s="433" t="s">
        <v>30</v>
      </c>
      <c r="I57" s="433"/>
      <c r="J57" s="433" t="s">
        <v>38</v>
      </c>
      <c r="K57" s="433">
        <v>118.0</v>
      </c>
      <c r="L57" s="433"/>
      <c r="M57" s="433" t="s">
        <v>19472</v>
      </c>
      <c r="N57" s="433" t="s">
        <v>19373</v>
      </c>
      <c r="O57" s="433">
        <v>1989.0</v>
      </c>
      <c r="P57" s="433" t="s">
        <v>388</v>
      </c>
      <c r="Q57" s="433">
        <v>1.0</v>
      </c>
      <c r="R57" s="446"/>
    </row>
    <row r="58" ht="15.75" customHeight="1">
      <c r="B58" s="852" t="s">
        <v>17440</v>
      </c>
      <c r="C58" s="433"/>
      <c r="D58" s="433" t="s">
        <v>6276</v>
      </c>
      <c r="E58" s="434" t="s">
        <v>19473</v>
      </c>
      <c r="F58" s="433" t="s">
        <v>2863</v>
      </c>
      <c r="G58" s="433" t="s">
        <v>29</v>
      </c>
      <c r="H58" s="433" t="s">
        <v>30</v>
      </c>
      <c r="I58" s="433"/>
      <c r="J58" s="433" t="s">
        <v>38</v>
      </c>
      <c r="K58" s="433">
        <v>128.0</v>
      </c>
      <c r="L58" s="433"/>
      <c r="M58" s="433" t="s">
        <v>6278</v>
      </c>
      <c r="N58" s="433" t="s">
        <v>19373</v>
      </c>
      <c r="O58" s="433">
        <v>1991.0</v>
      </c>
      <c r="P58" s="433" t="s">
        <v>388</v>
      </c>
      <c r="Q58" s="433">
        <v>1.0</v>
      </c>
      <c r="R58" s="446"/>
    </row>
    <row r="59" ht="15.75" customHeight="1">
      <c r="B59" s="852" t="s">
        <v>17444</v>
      </c>
      <c r="C59" s="433"/>
      <c r="D59" s="433" t="s">
        <v>5455</v>
      </c>
      <c r="E59" s="434" t="s">
        <v>19474</v>
      </c>
      <c r="F59" s="433" t="s">
        <v>2863</v>
      </c>
      <c r="G59" s="433" t="s">
        <v>29</v>
      </c>
      <c r="H59" s="433" t="s">
        <v>30</v>
      </c>
      <c r="I59" s="433"/>
      <c r="J59" s="433" t="s">
        <v>38</v>
      </c>
      <c r="K59" s="433">
        <v>64.0</v>
      </c>
      <c r="L59" s="433"/>
      <c r="M59" s="433" t="s">
        <v>19475</v>
      </c>
      <c r="N59" s="433" t="s">
        <v>19373</v>
      </c>
      <c r="O59" s="538"/>
      <c r="P59" s="433" t="s">
        <v>388</v>
      </c>
      <c r="Q59" s="433">
        <v>1.0</v>
      </c>
      <c r="R59" s="446"/>
    </row>
    <row r="60" ht="15.75" customHeight="1">
      <c r="B60" s="852" t="s">
        <v>17446</v>
      </c>
      <c r="C60" s="433"/>
      <c r="D60" s="433" t="s">
        <v>31</v>
      </c>
      <c r="E60" s="434" t="s">
        <v>19476</v>
      </c>
      <c r="F60" s="433" t="s">
        <v>2863</v>
      </c>
      <c r="G60" s="433" t="s">
        <v>29</v>
      </c>
      <c r="H60" s="433" t="s">
        <v>30</v>
      </c>
      <c r="I60" s="433"/>
      <c r="J60" s="433" t="s">
        <v>38</v>
      </c>
      <c r="K60" s="433">
        <v>47.0</v>
      </c>
      <c r="L60" s="433"/>
      <c r="M60" s="433" t="s">
        <v>31</v>
      </c>
      <c r="N60" s="433" t="s">
        <v>54</v>
      </c>
      <c r="O60" s="433">
        <v>1980.0</v>
      </c>
      <c r="P60" s="433" t="s">
        <v>388</v>
      </c>
      <c r="Q60" s="433">
        <v>1.0</v>
      </c>
      <c r="R60" s="446"/>
    </row>
    <row r="61" ht="15.75" customHeight="1">
      <c r="B61" s="852" t="s">
        <v>17449</v>
      </c>
      <c r="C61" s="433"/>
      <c r="D61" s="433" t="s">
        <v>31</v>
      </c>
      <c r="E61" s="434" t="s">
        <v>19477</v>
      </c>
      <c r="F61" s="433" t="s">
        <v>2863</v>
      </c>
      <c r="G61" s="433" t="s">
        <v>29</v>
      </c>
      <c r="H61" s="433" t="s">
        <v>38</v>
      </c>
      <c r="I61" s="433"/>
      <c r="J61" s="433" t="s">
        <v>38</v>
      </c>
      <c r="K61" s="538"/>
      <c r="L61" s="433"/>
      <c r="M61" s="433" t="s">
        <v>1473</v>
      </c>
      <c r="N61" s="433" t="s">
        <v>54</v>
      </c>
      <c r="O61" s="433">
        <v>1971.0</v>
      </c>
      <c r="P61" s="433" t="s">
        <v>388</v>
      </c>
      <c r="Q61" s="433">
        <v>1.0</v>
      </c>
      <c r="R61" s="446"/>
    </row>
    <row r="62" ht="15.75" customHeight="1">
      <c r="B62" s="852" t="s">
        <v>17454</v>
      </c>
      <c r="C62" s="433"/>
      <c r="D62" s="433" t="s">
        <v>31</v>
      </c>
      <c r="E62" s="434" t="s">
        <v>19478</v>
      </c>
      <c r="F62" s="433" t="s">
        <v>2863</v>
      </c>
      <c r="G62" s="433" t="s">
        <v>29</v>
      </c>
      <c r="H62" s="433" t="s">
        <v>38</v>
      </c>
      <c r="I62" s="433"/>
      <c r="J62" s="433" t="s">
        <v>38</v>
      </c>
      <c r="K62" s="433">
        <v>48.0</v>
      </c>
      <c r="L62" s="433"/>
      <c r="M62" s="433" t="s">
        <v>1473</v>
      </c>
      <c r="N62" s="433" t="s">
        <v>54</v>
      </c>
      <c r="O62" s="433">
        <v>1971.0</v>
      </c>
      <c r="P62" s="433" t="s">
        <v>388</v>
      </c>
      <c r="Q62" s="433">
        <v>1.0</v>
      </c>
      <c r="R62" s="446"/>
    </row>
    <row r="63" ht="15.75" customHeight="1">
      <c r="B63" s="852" t="s">
        <v>17457</v>
      </c>
      <c r="C63" s="433"/>
      <c r="D63" s="433" t="s">
        <v>31</v>
      </c>
      <c r="E63" s="434" t="s">
        <v>19479</v>
      </c>
      <c r="F63" s="433" t="s">
        <v>2863</v>
      </c>
      <c r="G63" s="433" t="s">
        <v>29</v>
      </c>
      <c r="H63" s="433" t="s">
        <v>38</v>
      </c>
      <c r="I63" s="433"/>
      <c r="J63" s="433" t="s">
        <v>38</v>
      </c>
      <c r="K63" s="433">
        <v>56.0</v>
      </c>
      <c r="L63" s="433"/>
      <c r="M63" s="433" t="s">
        <v>1473</v>
      </c>
      <c r="N63" s="433" t="s">
        <v>54</v>
      </c>
      <c r="O63" s="433">
        <v>1971.0</v>
      </c>
      <c r="P63" s="433" t="s">
        <v>388</v>
      </c>
      <c r="Q63" s="433">
        <v>1.0</v>
      </c>
      <c r="R63" s="446"/>
    </row>
    <row r="64" ht="15.75" customHeight="1">
      <c r="B64" s="852" t="s">
        <v>17461</v>
      </c>
      <c r="C64" s="433"/>
      <c r="D64" s="433" t="s">
        <v>31</v>
      </c>
      <c r="E64" s="434" t="s">
        <v>19480</v>
      </c>
      <c r="F64" s="433" t="s">
        <v>2863</v>
      </c>
      <c r="G64" s="433" t="s">
        <v>29</v>
      </c>
      <c r="H64" s="433" t="s">
        <v>38</v>
      </c>
      <c r="I64" s="433"/>
      <c r="J64" s="433" t="s">
        <v>38</v>
      </c>
      <c r="K64" s="433">
        <v>48.0</v>
      </c>
      <c r="L64" s="433"/>
      <c r="M64" s="433" t="s">
        <v>1473</v>
      </c>
      <c r="N64" s="433" t="s">
        <v>54</v>
      </c>
      <c r="O64" s="433">
        <v>1972.0</v>
      </c>
      <c r="P64" s="433" t="s">
        <v>388</v>
      </c>
      <c r="Q64" s="433">
        <v>1.0</v>
      </c>
      <c r="R64" s="446"/>
    </row>
    <row r="65" ht="15.75" customHeight="1">
      <c r="B65" s="852" t="s">
        <v>17465</v>
      </c>
      <c r="C65" s="433"/>
      <c r="D65" s="433" t="s">
        <v>31</v>
      </c>
      <c r="E65" s="434" t="s">
        <v>19481</v>
      </c>
      <c r="F65" s="433" t="s">
        <v>2863</v>
      </c>
      <c r="G65" s="433" t="s">
        <v>29</v>
      </c>
      <c r="H65" s="433" t="s">
        <v>38</v>
      </c>
      <c r="I65" s="433"/>
      <c r="J65" s="433" t="s">
        <v>38</v>
      </c>
      <c r="K65" s="538"/>
      <c r="L65" s="433"/>
      <c r="M65" s="433" t="s">
        <v>1473</v>
      </c>
      <c r="N65" s="433" t="s">
        <v>54</v>
      </c>
      <c r="O65" s="433">
        <v>1970.0</v>
      </c>
      <c r="P65" s="433" t="s">
        <v>388</v>
      </c>
      <c r="Q65" s="433">
        <v>1.0</v>
      </c>
      <c r="R65" s="446"/>
    </row>
    <row r="66" ht="15.75" customHeight="1">
      <c r="B66" s="852" t="s">
        <v>17469</v>
      </c>
      <c r="C66" s="433"/>
      <c r="D66" s="433" t="s">
        <v>31</v>
      </c>
      <c r="E66" s="434" t="s">
        <v>19481</v>
      </c>
      <c r="F66" s="433" t="s">
        <v>2863</v>
      </c>
      <c r="G66" s="433" t="s">
        <v>29</v>
      </c>
      <c r="H66" s="433" t="s">
        <v>38</v>
      </c>
      <c r="I66" s="433"/>
      <c r="J66" s="433" t="s">
        <v>38</v>
      </c>
      <c r="K66" s="433"/>
      <c r="L66" s="433"/>
      <c r="M66" s="433" t="s">
        <v>1473</v>
      </c>
      <c r="N66" s="433" t="s">
        <v>54</v>
      </c>
      <c r="O66" s="433">
        <v>1970.0</v>
      </c>
      <c r="P66" s="433" t="s">
        <v>388</v>
      </c>
      <c r="Q66" s="433">
        <v>1.0</v>
      </c>
      <c r="R66" s="446"/>
    </row>
    <row r="67" ht="15.75" customHeight="1">
      <c r="B67" s="852" t="s">
        <v>17473</v>
      </c>
      <c r="C67" s="433"/>
      <c r="D67" s="433" t="s">
        <v>31</v>
      </c>
      <c r="E67" s="434" t="s">
        <v>19482</v>
      </c>
      <c r="F67" s="433" t="s">
        <v>2863</v>
      </c>
      <c r="G67" s="433" t="s">
        <v>29</v>
      </c>
      <c r="H67" s="433" t="s">
        <v>38</v>
      </c>
      <c r="I67" s="433"/>
      <c r="J67" s="433" t="s">
        <v>38</v>
      </c>
      <c r="K67" s="433"/>
      <c r="L67" s="433"/>
      <c r="M67" s="433" t="s">
        <v>1473</v>
      </c>
      <c r="N67" s="433" t="s">
        <v>54</v>
      </c>
      <c r="O67" s="433">
        <v>1970.0</v>
      </c>
      <c r="P67" s="433" t="s">
        <v>388</v>
      </c>
      <c r="Q67" s="433">
        <v>1.0</v>
      </c>
      <c r="R67" s="446"/>
    </row>
    <row r="68" ht="15.75" customHeight="1">
      <c r="B68" s="852" t="s">
        <v>17476</v>
      </c>
      <c r="C68" s="433"/>
      <c r="D68" s="433" t="s">
        <v>31</v>
      </c>
      <c r="E68" s="434" t="s">
        <v>19483</v>
      </c>
      <c r="F68" s="433" t="s">
        <v>2863</v>
      </c>
      <c r="G68" s="433" t="s">
        <v>29</v>
      </c>
      <c r="H68" s="433" t="s">
        <v>38</v>
      </c>
      <c r="I68" s="433"/>
      <c r="J68" s="433" t="s">
        <v>38</v>
      </c>
      <c r="K68" s="433"/>
      <c r="L68" s="433"/>
      <c r="M68" s="433" t="s">
        <v>1473</v>
      </c>
      <c r="N68" s="433" t="s">
        <v>54</v>
      </c>
      <c r="O68" s="433">
        <v>1971.0</v>
      </c>
      <c r="P68" s="433" t="s">
        <v>388</v>
      </c>
      <c r="Q68" s="433">
        <v>1.0</v>
      </c>
      <c r="R68" s="446"/>
    </row>
    <row r="69" ht="15.75" customHeight="1">
      <c r="B69" s="852" t="s">
        <v>17481</v>
      </c>
      <c r="C69" s="433"/>
      <c r="D69" s="433"/>
      <c r="E69" s="434" t="s">
        <v>19484</v>
      </c>
      <c r="F69" s="433" t="s">
        <v>2863</v>
      </c>
      <c r="G69" s="433" t="s">
        <v>29</v>
      </c>
      <c r="H69" s="433"/>
      <c r="I69" s="433"/>
      <c r="J69" s="433"/>
      <c r="K69" s="433"/>
      <c r="L69" s="433"/>
      <c r="M69" s="450"/>
      <c r="N69" s="433"/>
      <c r="O69" s="433"/>
      <c r="P69" s="433" t="s">
        <v>388</v>
      </c>
      <c r="Q69" s="433">
        <v>1.0</v>
      </c>
      <c r="R69" s="446"/>
    </row>
    <row r="70" ht="15.75" customHeight="1">
      <c r="B70" s="853" t="s">
        <v>17486</v>
      </c>
      <c r="C70" s="433"/>
      <c r="D70" s="433"/>
      <c r="E70" s="434" t="s">
        <v>19485</v>
      </c>
      <c r="F70" s="433" t="s">
        <v>2863</v>
      </c>
      <c r="G70" s="433" t="s">
        <v>29</v>
      </c>
      <c r="H70" s="433" t="s">
        <v>30</v>
      </c>
      <c r="I70" s="433"/>
      <c r="J70" s="433" t="s">
        <v>30</v>
      </c>
      <c r="K70" s="433">
        <v>222.0</v>
      </c>
      <c r="L70" s="433"/>
      <c r="M70" s="433" t="s">
        <v>19486</v>
      </c>
      <c r="N70" s="433" t="s">
        <v>19487</v>
      </c>
      <c r="O70" s="433">
        <v>1992.0</v>
      </c>
      <c r="P70" s="433" t="s">
        <v>388</v>
      </c>
      <c r="Q70" s="433">
        <v>1.0</v>
      </c>
      <c r="R70" s="446"/>
    </row>
    <row r="71" ht="15.75" customHeight="1">
      <c r="B71" s="854" t="s">
        <v>17492</v>
      </c>
      <c r="C71" s="191" t="s">
        <v>19488</v>
      </c>
      <c r="D71" s="191" t="s">
        <v>19489</v>
      </c>
      <c r="E71" s="188" t="s">
        <v>19490</v>
      </c>
      <c r="F71" s="186" t="s">
        <v>2863</v>
      </c>
      <c r="G71" s="186" t="s">
        <v>29</v>
      </c>
      <c r="H71" s="186" t="s">
        <v>30</v>
      </c>
      <c r="I71" s="186"/>
      <c r="J71" s="186" t="s">
        <v>30</v>
      </c>
      <c r="K71" s="186">
        <v>181.0</v>
      </c>
      <c r="L71" s="186"/>
      <c r="M71" s="191" t="s">
        <v>5419</v>
      </c>
      <c r="N71" s="186" t="s">
        <v>19487</v>
      </c>
      <c r="O71" s="186">
        <v>1993.0</v>
      </c>
      <c r="P71" s="191">
        <v>15.0</v>
      </c>
      <c r="Q71" s="186">
        <v>1.0</v>
      </c>
      <c r="R71" s="436">
        <v>1.0</v>
      </c>
    </row>
    <row r="72" ht="15.75" customHeight="1">
      <c r="B72" s="414" t="s">
        <v>17503</v>
      </c>
      <c r="C72" s="191" t="s">
        <v>19491</v>
      </c>
      <c r="D72" s="191" t="s">
        <v>19492</v>
      </c>
      <c r="E72" s="35" t="s">
        <v>19493</v>
      </c>
      <c r="F72" s="186" t="s">
        <v>2863</v>
      </c>
      <c r="G72" s="186" t="s">
        <v>29</v>
      </c>
      <c r="H72" s="186" t="s">
        <v>30</v>
      </c>
      <c r="I72" s="186"/>
      <c r="J72" s="186" t="s">
        <v>30</v>
      </c>
      <c r="K72" s="186">
        <v>300.0</v>
      </c>
      <c r="L72" s="186"/>
      <c r="M72" s="186" t="s">
        <v>5505</v>
      </c>
      <c r="N72" s="186" t="s">
        <v>19487</v>
      </c>
      <c r="O72" s="186">
        <v>1995.0</v>
      </c>
      <c r="P72" s="191">
        <v>15.0</v>
      </c>
      <c r="Q72" s="186">
        <v>1.0</v>
      </c>
      <c r="R72" s="436">
        <v>1.0</v>
      </c>
    </row>
    <row r="73" ht="15.75" customHeight="1">
      <c r="B73" s="854" t="s">
        <v>17508</v>
      </c>
      <c r="C73" s="191" t="s">
        <v>19494</v>
      </c>
      <c r="D73" s="191" t="s">
        <v>19489</v>
      </c>
      <c r="E73" s="188" t="s">
        <v>19495</v>
      </c>
      <c r="F73" s="186" t="s">
        <v>2863</v>
      </c>
      <c r="G73" s="186" t="s">
        <v>29</v>
      </c>
      <c r="H73" s="186" t="s">
        <v>30</v>
      </c>
      <c r="I73" s="186"/>
      <c r="J73" s="186" t="s">
        <v>30</v>
      </c>
      <c r="K73" s="186">
        <v>294.0</v>
      </c>
      <c r="L73" s="186"/>
      <c r="M73" s="191" t="s">
        <v>5419</v>
      </c>
      <c r="N73" s="186" t="s">
        <v>19487</v>
      </c>
      <c r="O73" s="186">
        <v>1996.0</v>
      </c>
      <c r="P73" s="191">
        <v>15.0</v>
      </c>
      <c r="Q73" s="186">
        <v>1.0</v>
      </c>
      <c r="R73" s="436">
        <v>1.0</v>
      </c>
    </row>
    <row r="74" ht="15.75" customHeight="1">
      <c r="B74" s="852" t="s">
        <v>17511</v>
      </c>
      <c r="C74" s="433" t="s">
        <v>31</v>
      </c>
      <c r="D74" s="433" t="s">
        <v>19496</v>
      </c>
      <c r="E74" s="434" t="s">
        <v>19497</v>
      </c>
      <c r="F74" s="433" t="s">
        <v>2863</v>
      </c>
      <c r="G74" s="433" t="s">
        <v>29</v>
      </c>
      <c r="H74" s="433" t="s">
        <v>38</v>
      </c>
      <c r="I74" s="433"/>
      <c r="J74" s="433" t="s">
        <v>38</v>
      </c>
      <c r="K74" s="433">
        <v>251.0</v>
      </c>
      <c r="L74" s="433"/>
      <c r="M74" s="433" t="s">
        <v>2387</v>
      </c>
      <c r="N74" s="433" t="s">
        <v>54</v>
      </c>
      <c r="O74" s="433">
        <v>1974.0</v>
      </c>
      <c r="P74" s="433" t="s">
        <v>388</v>
      </c>
      <c r="Q74" s="433">
        <v>2.0</v>
      </c>
      <c r="R74" s="446"/>
    </row>
    <row r="75" ht="15.75" customHeight="1">
      <c r="B75" s="852" t="s">
        <v>17514</v>
      </c>
      <c r="C75" s="433" t="s">
        <v>31</v>
      </c>
      <c r="D75" s="433" t="s">
        <v>19498</v>
      </c>
      <c r="E75" s="434" t="s">
        <v>19499</v>
      </c>
      <c r="F75" s="433" t="s">
        <v>2863</v>
      </c>
      <c r="G75" s="433" t="s">
        <v>29</v>
      </c>
      <c r="H75" s="433" t="s">
        <v>38</v>
      </c>
      <c r="I75" s="433"/>
      <c r="J75" s="433" t="s">
        <v>38</v>
      </c>
      <c r="K75" s="433">
        <v>216.0</v>
      </c>
      <c r="L75" s="433"/>
      <c r="M75" s="433" t="s">
        <v>5709</v>
      </c>
      <c r="N75" s="433" t="s">
        <v>54</v>
      </c>
      <c r="O75" s="433">
        <v>1970.0</v>
      </c>
      <c r="P75" s="433" t="s">
        <v>388</v>
      </c>
      <c r="Q75" s="433">
        <v>1.0</v>
      </c>
      <c r="R75" s="446"/>
    </row>
    <row r="76" ht="15.75" customHeight="1">
      <c r="B76" s="852" t="s">
        <v>17518</v>
      </c>
      <c r="C76" s="433" t="s">
        <v>31</v>
      </c>
      <c r="D76" s="433" t="s">
        <v>31</v>
      </c>
      <c r="E76" s="855" t="s">
        <v>19500</v>
      </c>
      <c r="F76" s="433" t="s">
        <v>2863</v>
      </c>
      <c r="G76" s="433" t="s">
        <v>29</v>
      </c>
      <c r="H76" s="433" t="s">
        <v>38</v>
      </c>
      <c r="I76" s="433"/>
      <c r="J76" s="433" t="s">
        <v>38</v>
      </c>
      <c r="K76" s="433">
        <v>48.0</v>
      </c>
      <c r="L76" s="433"/>
      <c r="M76" s="433" t="s">
        <v>31</v>
      </c>
      <c r="N76" s="433" t="s">
        <v>54</v>
      </c>
      <c r="O76" s="433">
        <v>1976.0</v>
      </c>
      <c r="P76" s="433" t="s">
        <v>388</v>
      </c>
      <c r="Q76" s="433">
        <v>2.0</v>
      </c>
      <c r="R76" s="446"/>
    </row>
    <row r="77" ht="15.75" customHeight="1">
      <c r="B77" s="852" t="s">
        <v>17522</v>
      </c>
      <c r="C77" s="433" t="s">
        <v>31</v>
      </c>
      <c r="D77" s="433" t="s">
        <v>31</v>
      </c>
      <c r="E77" s="434" t="s">
        <v>19501</v>
      </c>
      <c r="F77" s="433" t="s">
        <v>2863</v>
      </c>
      <c r="G77" s="433" t="s">
        <v>29</v>
      </c>
      <c r="H77" s="433" t="s">
        <v>38</v>
      </c>
      <c r="I77" s="433"/>
      <c r="J77" s="433" t="s">
        <v>38</v>
      </c>
      <c r="K77" s="433" t="s">
        <v>31</v>
      </c>
      <c r="L77" s="433"/>
      <c r="M77" s="433" t="s">
        <v>31</v>
      </c>
      <c r="N77" s="433" t="s">
        <v>54</v>
      </c>
      <c r="O77" s="433">
        <v>1977.0</v>
      </c>
      <c r="P77" s="433" t="s">
        <v>388</v>
      </c>
      <c r="Q77" s="433">
        <v>1.0</v>
      </c>
      <c r="R77" s="446"/>
    </row>
    <row r="78" ht="15.75" customHeight="1">
      <c r="B78" s="852" t="s">
        <v>17525</v>
      </c>
      <c r="C78" s="433" t="s">
        <v>31</v>
      </c>
      <c r="D78" s="433" t="s">
        <v>31</v>
      </c>
      <c r="E78" s="840" t="s">
        <v>19502</v>
      </c>
      <c r="F78" s="433" t="s">
        <v>2863</v>
      </c>
      <c r="G78" s="433" t="s">
        <v>29</v>
      </c>
      <c r="H78" s="433" t="s">
        <v>38</v>
      </c>
      <c r="I78" s="433"/>
      <c r="J78" s="433" t="s">
        <v>38</v>
      </c>
      <c r="K78" s="433" t="s">
        <v>31</v>
      </c>
      <c r="L78" s="433"/>
      <c r="M78" s="433" t="s">
        <v>31</v>
      </c>
      <c r="N78" s="433" t="s">
        <v>54</v>
      </c>
      <c r="O78" s="433">
        <v>1981.0</v>
      </c>
      <c r="P78" s="433" t="s">
        <v>388</v>
      </c>
      <c r="Q78" s="433">
        <v>2.0</v>
      </c>
      <c r="R78" s="446"/>
    </row>
    <row r="79" ht="15.75" customHeight="1">
      <c r="B79" s="433">
        <v>74.0</v>
      </c>
      <c r="C79" s="433"/>
      <c r="D79" s="433" t="s">
        <v>31</v>
      </c>
      <c r="E79" s="840" t="s">
        <v>19503</v>
      </c>
      <c r="F79" s="433" t="s">
        <v>2863</v>
      </c>
      <c r="G79" s="433" t="s">
        <v>29</v>
      </c>
      <c r="H79" s="433" t="s">
        <v>38</v>
      </c>
      <c r="I79" s="433"/>
      <c r="J79" s="433" t="s">
        <v>38</v>
      </c>
      <c r="K79" s="433" t="s">
        <v>31</v>
      </c>
      <c r="L79" s="433"/>
      <c r="M79" s="433" t="s">
        <v>31</v>
      </c>
      <c r="N79" s="433" t="s">
        <v>54</v>
      </c>
      <c r="O79" s="433">
        <v>1980.0</v>
      </c>
      <c r="P79" s="433" t="s">
        <v>388</v>
      </c>
      <c r="Q79" s="433">
        <v>1.0</v>
      </c>
      <c r="R79" s="446"/>
    </row>
    <row r="80" ht="15.75" customHeight="1">
      <c r="B80" s="433">
        <v>75.0</v>
      </c>
      <c r="C80" s="433"/>
      <c r="D80" s="433" t="s">
        <v>31</v>
      </c>
      <c r="E80" s="840" t="s">
        <v>19504</v>
      </c>
      <c r="F80" s="433" t="s">
        <v>2863</v>
      </c>
      <c r="G80" s="433" t="s">
        <v>29</v>
      </c>
      <c r="H80" s="433" t="s">
        <v>38</v>
      </c>
      <c r="I80" s="433"/>
      <c r="J80" s="433" t="s">
        <v>38</v>
      </c>
      <c r="K80" s="433"/>
      <c r="L80" s="433"/>
      <c r="M80" s="433" t="s">
        <v>31</v>
      </c>
      <c r="N80" s="433" t="s">
        <v>54</v>
      </c>
      <c r="O80" s="433">
        <v>1979.0</v>
      </c>
      <c r="P80" s="433" t="s">
        <v>388</v>
      </c>
      <c r="Q80" s="433">
        <v>2.0</v>
      </c>
      <c r="R80" s="446"/>
    </row>
    <row r="81" ht="15.75" customHeight="1">
      <c r="B81" s="433">
        <v>76.0</v>
      </c>
      <c r="C81" s="433"/>
      <c r="D81" s="433" t="s">
        <v>31</v>
      </c>
      <c r="E81" s="840" t="s">
        <v>19505</v>
      </c>
      <c r="F81" s="433" t="s">
        <v>2863</v>
      </c>
      <c r="G81" s="433" t="s">
        <v>29</v>
      </c>
      <c r="H81" s="433" t="s">
        <v>38</v>
      </c>
      <c r="I81" s="433"/>
      <c r="J81" s="433" t="s">
        <v>38</v>
      </c>
      <c r="K81" s="433"/>
      <c r="L81" s="433"/>
      <c r="M81" s="433" t="s">
        <v>31</v>
      </c>
      <c r="N81" s="433" t="s">
        <v>54</v>
      </c>
      <c r="O81" s="433">
        <v>1980.0</v>
      </c>
      <c r="P81" s="433" t="s">
        <v>388</v>
      </c>
      <c r="Q81" s="433">
        <v>1.0</v>
      </c>
      <c r="R81" s="446"/>
    </row>
    <row r="82" ht="15.75" customHeight="1">
      <c r="B82" s="433">
        <v>77.0</v>
      </c>
      <c r="C82" s="433"/>
      <c r="D82" s="433" t="s">
        <v>31</v>
      </c>
      <c r="E82" s="840" t="s">
        <v>19506</v>
      </c>
      <c r="F82" s="433" t="s">
        <v>2863</v>
      </c>
      <c r="G82" s="433" t="s">
        <v>29</v>
      </c>
      <c r="H82" s="433" t="s">
        <v>38</v>
      </c>
      <c r="I82" s="433"/>
      <c r="J82" s="433" t="s">
        <v>38</v>
      </c>
      <c r="K82" s="433"/>
      <c r="L82" s="433"/>
      <c r="M82" s="433" t="s">
        <v>31</v>
      </c>
      <c r="N82" s="433" t="s">
        <v>54</v>
      </c>
      <c r="O82" s="433">
        <v>1978.0</v>
      </c>
      <c r="P82" s="433" t="s">
        <v>388</v>
      </c>
      <c r="Q82" s="433">
        <v>2.0</v>
      </c>
      <c r="R82" s="446"/>
    </row>
    <row r="83" ht="15.75" customHeight="1">
      <c r="B83" s="433">
        <v>78.0</v>
      </c>
      <c r="C83" s="433"/>
      <c r="D83" s="433" t="s">
        <v>31</v>
      </c>
      <c r="E83" s="840" t="s">
        <v>19507</v>
      </c>
      <c r="F83" s="433" t="s">
        <v>2863</v>
      </c>
      <c r="G83" s="433" t="s">
        <v>29</v>
      </c>
      <c r="H83" s="433" t="s">
        <v>38</v>
      </c>
      <c r="I83" s="433"/>
      <c r="J83" s="433" t="s">
        <v>38</v>
      </c>
      <c r="K83" s="433"/>
      <c r="L83" s="433"/>
      <c r="M83" s="433" t="s">
        <v>31</v>
      </c>
      <c r="N83" s="433" t="s">
        <v>54</v>
      </c>
      <c r="O83" s="433">
        <v>1978.0</v>
      </c>
      <c r="P83" s="433" t="s">
        <v>388</v>
      </c>
      <c r="Q83" s="433">
        <v>1.0</v>
      </c>
      <c r="R83" s="446"/>
    </row>
    <row r="84" ht="15.75" customHeight="1">
      <c r="B84" s="433">
        <v>79.0</v>
      </c>
      <c r="C84" s="433"/>
      <c r="D84" s="433" t="s">
        <v>31</v>
      </c>
      <c r="E84" s="840" t="s">
        <v>19508</v>
      </c>
      <c r="F84" s="433" t="s">
        <v>2863</v>
      </c>
      <c r="G84" s="433" t="s">
        <v>29</v>
      </c>
      <c r="H84" s="433" t="s">
        <v>38</v>
      </c>
      <c r="I84" s="433"/>
      <c r="J84" s="433" t="s">
        <v>38</v>
      </c>
      <c r="K84" s="433"/>
      <c r="L84" s="433"/>
      <c r="M84" s="433" t="s">
        <v>31</v>
      </c>
      <c r="N84" s="433" t="s">
        <v>54</v>
      </c>
      <c r="O84" s="433">
        <v>1981.0</v>
      </c>
      <c r="P84" s="433" t="s">
        <v>388</v>
      </c>
      <c r="Q84" s="433">
        <v>1.0</v>
      </c>
      <c r="R84" s="446"/>
    </row>
    <row r="85" ht="15.75" customHeight="1">
      <c r="B85" s="433">
        <v>80.0</v>
      </c>
      <c r="C85" s="433"/>
      <c r="D85" s="433" t="s">
        <v>31</v>
      </c>
      <c r="E85" s="840" t="s">
        <v>19509</v>
      </c>
      <c r="F85" s="433" t="s">
        <v>2863</v>
      </c>
      <c r="G85" s="433" t="s">
        <v>29</v>
      </c>
      <c r="H85" s="433" t="s">
        <v>38</v>
      </c>
      <c r="I85" s="433"/>
      <c r="J85" s="433" t="s">
        <v>38</v>
      </c>
      <c r="K85" s="433"/>
      <c r="L85" s="433"/>
      <c r="M85" s="433" t="s">
        <v>31</v>
      </c>
      <c r="N85" s="433" t="s">
        <v>54</v>
      </c>
      <c r="O85" s="433">
        <v>1970.0</v>
      </c>
      <c r="P85" s="433" t="s">
        <v>388</v>
      </c>
      <c r="Q85" s="433">
        <v>1.0</v>
      </c>
      <c r="R85" s="446"/>
    </row>
    <row r="86" ht="15.75" customHeight="1">
      <c r="B86" s="433">
        <v>81.0</v>
      </c>
      <c r="C86" s="433"/>
      <c r="D86" s="433" t="s">
        <v>31</v>
      </c>
      <c r="E86" s="840" t="s">
        <v>19510</v>
      </c>
      <c r="F86" s="433" t="s">
        <v>2863</v>
      </c>
      <c r="G86" s="433" t="s">
        <v>29</v>
      </c>
      <c r="H86" s="433" t="s">
        <v>38</v>
      </c>
      <c r="I86" s="433"/>
      <c r="J86" s="433" t="s">
        <v>38</v>
      </c>
      <c r="K86" s="433"/>
      <c r="L86" s="433"/>
      <c r="M86" s="433" t="s">
        <v>31</v>
      </c>
      <c r="N86" s="433" t="s">
        <v>54</v>
      </c>
      <c r="O86" s="433">
        <v>1971.0</v>
      </c>
      <c r="P86" s="433" t="s">
        <v>388</v>
      </c>
      <c r="Q86" s="433">
        <v>1.0</v>
      </c>
      <c r="R86" s="446"/>
    </row>
    <row r="87" ht="15.75" customHeight="1">
      <c r="B87" s="433">
        <v>82.0</v>
      </c>
      <c r="C87" s="433"/>
      <c r="D87" s="433" t="s">
        <v>31</v>
      </c>
      <c r="E87" s="840" t="s">
        <v>19511</v>
      </c>
      <c r="F87" s="433" t="s">
        <v>2863</v>
      </c>
      <c r="G87" s="433" t="s">
        <v>29</v>
      </c>
      <c r="H87" s="433" t="s">
        <v>38</v>
      </c>
      <c r="I87" s="433"/>
      <c r="J87" s="433" t="s">
        <v>38</v>
      </c>
      <c r="K87" s="433"/>
      <c r="L87" s="433"/>
      <c r="M87" s="433" t="s">
        <v>31</v>
      </c>
      <c r="N87" s="433" t="s">
        <v>54</v>
      </c>
      <c r="O87" s="433">
        <v>1970.0</v>
      </c>
      <c r="P87" s="433" t="s">
        <v>388</v>
      </c>
      <c r="Q87" s="433">
        <v>1.0</v>
      </c>
      <c r="R87" s="446"/>
    </row>
    <row r="88" ht="15.75" customHeight="1">
      <c r="B88" s="433">
        <v>83.0</v>
      </c>
      <c r="C88" s="538"/>
      <c r="D88" s="433"/>
      <c r="E88" s="434" t="s">
        <v>19512</v>
      </c>
      <c r="F88" s="433" t="s">
        <v>2863</v>
      </c>
      <c r="G88" s="433" t="s">
        <v>29</v>
      </c>
      <c r="H88" s="433" t="s">
        <v>38</v>
      </c>
      <c r="I88" s="433"/>
      <c r="J88" s="433" t="s">
        <v>38</v>
      </c>
      <c r="K88" s="433"/>
      <c r="L88" s="433"/>
      <c r="M88" s="433"/>
      <c r="N88" s="433" t="s">
        <v>54</v>
      </c>
      <c r="O88" s="433"/>
      <c r="P88" s="433" t="s">
        <v>388</v>
      </c>
      <c r="Q88" s="433">
        <v>1.0</v>
      </c>
      <c r="R88" s="446"/>
    </row>
    <row r="89" ht="15.75" customHeight="1">
      <c r="B89" s="433">
        <v>84.0</v>
      </c>
      <c r="C89" s="433"/>
      <c r="D89" s="433" t="s">
        <v>31</v>
      </c>
      <c r="E89" s="840" t="s">
        <v>19513</v>
      </c>
      <c r="F89" s="433" t="s">
        <v>2863</v>
      </c>
      <c r="G89" s="433" t="s">
        <v>29</v>
      </c>
      <c r="H89" s="433" t="s">
        <v>38</v>
      </c>
      <c r="I89" s="433"/>
      <c r="J89" s="433" t="s">
        <v>38</v>
      </c>
      <c r="K89" s="433"/>
      <c r="L89" s="433"/>
      <c r="M89" s="433" t="s">
        <v>31</v>
      </c>
      <c r="N89" s="433" t="s">
        <v>54</v>
      </c>
      <c r="O89" s="433"/>
      <c r="P89" s="433" t="s">
        <v>388</v>
      </c>
      <c r="Q89" s="433">
        <v>1.0</v>
      </c>
      <c r="R89" s="446"/>
    </row>
    <row r="90" ht="15.75" customHeight="1">
      <c r="B90" s="433">
        <v>85.0</v>
      </c>
      <c r="C90" s="433"/>
      <c r="D90" s="433"/>
      <c r="E90" s="434" t="s">
        <v>19514</v>
      </c>
      <c r="F90" s="433" t="s">
        <v>2863</v>
      </c>
      <c r="G90" s="433" t="s">
        <v>29</v>
      </c>
      <c r="H90" s="433"/>
      <c r="I90" s="433"/>
      <c r="J90" s="433"/>
      <c r="K90" s="433"/>
      <c r="L90" s="433"/>
      <c r="M90" s="433"/>
      <c r="N90" s="433"/>
      <c r="O90" s="433"/>
      <c r="P90" s="433" t="s">
        <v>388</v>
      </c>
      <c r="Q90" s="433">
        <v>1.0</v>
      </c>
      <c r="R90" s="446"/>
    </row>
    <row r="91" ht="15.75" customHeight="1">
      <c r="B91" s="433">
        <v>86.0</v>
      </c>
      <c r="C91" s="433" t="s">
        <v>19515</v>
      </c>
      <c r="D91" s="433"/>
      <c r="E91" s="434" t="s">
        <v>19516</v>
      </c>
      <c r="F91" s="433" t="s">
        <v>2863</v>
      </c>
      <c r="G91" s="433" t="s">
        <v>29</v>
      </c>
      <c r="H91" s="433" t="s">
        <v>37</v>
      </c>
      <c r="I91" s="433"/>
      <c r="J91" s="433" t="s">
        <v>38</v>
      </c>
      <c r="K91" s="433">
        <v>110.0</v>
      </c>
      <c r="L91" s="433"/>
      <c r="M91" s="433" t="s">
        <v>19517</v>
      </c>
      <c r="N91" s="433" t="s">
        <v>54</v>
      </c>
      <c r="O91" s="433">
        <v>2014.0</v>
      </c>
      <c r="P91" s="433" t="s">
        <v>388</v>
      </c>
      <c r="Q91" s="433">
        <v>1.0</v>
      </c>
      <c r="R91" s="446"/>
    </row>
    <row r="92" ht="15.75" customHeight="1">
      <c r="B92" s="433">
        <v>87.0</v>
      </c>
      <c r="C92" s="433" t="s">
        <v>19515</v>
      </c>
      <c r="D92" s="433"/>
      <c r="E92" s="434" t="s">
        <v>19518</v>
      </c>
      <c r="F92" s="433" t="s">
        <v>2863</v>
      </c>
      <c r="G92" s="433" t="s">
        <v>29</v>
      </c>
      <c r="H92" s="433" t="s">
        <v>37</v>
      </c>
      <c r="I92" s="433"/>
      <c r="J92" s="433" t="s">
        <v>38</v>
      </c>
      <c r="K92" s="433">
        <v>153.0</v>
      </c>
      <c r="L92" s="433"/>
      <c r="M92" s="433" t="s">
        <v>19519</v>
      </c>
      <c r="N92" s="433" t="s">
        <v>54</v>
      </c>
      <c r="O92" s="433">
        <v>2014.0</v>
      </c>
      <c r="P92" s="433" t="s">
        <v>388</v>
      </c>
      <c r="Q92" s="433">
        <v>1.0</v>
      </c>
      <c r="R92" s="446"/>
    </row>
    <row r="93" ht="15.75" customHeight="1">
      <c r="B93" s="433">
        <v>88.0</v>
      </c>
      <c r="C93" s="433" t="s">
        <v>19515</v>
      </c>
      <c r="D93" s="433"/>
      <c r="E93" s="434" t="s">
        <v>19520</v>
      </c>
      <c r="F93" s="433" t="s">
        <v>2863</v>
      </c>
      <c r="G93" s="433" t="s">
        <v>29</v>
      </c>
      <c r="H93" s="433" t="s">
        <v>37</v>
      </c>
      <c r="I93" s="433"/>
      <c r="J93" s="433" t="s">
        <v>38</v>
      </c>
      <c r="K93" s="433">
        <v>113.0</v>
      </c>
      <c r="L93" s="433"/>
      <c r="M93" s="433" t="s">
        <v>19521</v>
      </c>
      <c r="N93" s="433" t="s">
        <v>54</v>
      </c>
      <c r="O93" s="433">
        <v>2015.0</v>
      </c>
      <c r="P93" s="433" t="s">
        <v>388</v>
      </c>
      <c r="Q93" s="433">
        <v>1.0</v>
      </c>
      <c r="R93" s="446"/>
    </row>
    <row r="94" ht="15.75" customHeight="1">
      <c r="B94" s="433">
        <v>89.0</v>
      </c>
      <c r="C94" s="433" t="s">
        <v>19515</v>
      </c>
      <c r="D94" s="433"/>
      <c r="E94" s="434" t="s">
        <v>19522</v>
      </c>
      <c r="F94" s="433" t="s">
        <v>2863</v>
      </c>
      <c r="G94" s="433" t="s">
        <v>29</v>
      </c>
      <c r="H94" s="433" t="s">
        <v>37</v>
      </c>
      <c r="I94" s="433"/>
      <c r="J94" s="433" t="s">
        <v>38</v>
      </c>
      <c r="K94" s="433"/>
      <c r="L94" s="433"/>
      <c r="M94" s="433" t="s">
        <v>19523</v>
      </c>
      <c r="N94" s="433" t="s">
        <v>54</v>
      </c>
      <c r="O94" s="433">
        <v>2015.0</v>
      </c>
      <c r="P94" s="433" t="s">
        <v>388</v>
      </c>
      <c r="Q94" s="433">
        <v>2.0</v>
      </c>
      <c r="R94" s="446"/>
    </row>
    <row r="95" ht="15.75" customHeight="1">
      <c r="B95" s="433">
        <v>90.0</v>
      </c>
      <c r="C95" s="433" t="s">
        <v>4203</v>
      </c>
      <c r="D95" s="433"/>
      <c r="E95" s="434" t="s">
        <v>19524</v>
      </c>
      <c r="F95" s="433" t="s">
        <v>2863</v>
      </c>
      <c r="G95" s="433" t="s">
        <v>29</v>
      </c>
      <c r="H95" s="433" t="s">
        <v>37</v>
      </c>
      <c r="I95" s="433"/>
      <c r="J95" s="433" t="s">
        <v>38</v>
      </c>
      <c r="K95" s="433">
        <v>224.0</v>
      </c>
      <c r="L95" s="433"/>
      <c r="M95" s="433" t="s">
        <v>4206</v>
      </c>
      <c r="N95" s="433" t="s">
        <v>54</v>
      </c>
      <c r="O95" s="433">
        <v>2005.0</v>
      </c>
      <c r="P95" s="433" t="s">
        <v>388</v>
      </c>
      <c r="Q95" s="433">
        <v>1.0</v>
      </c>
      <c r="R95" s="446"/>
    </row>
    <row r="96" ht="15.75" customHeight="1">
      <c r="B96" s="433">
        <v>91.0</v>
      </c>
      <c r="C96" s="433"/>
      <c r="D96" s="433"/>
      <c r="E96" s="434" t="s">
        <v>19525</v>
      </c>
      <c r="F96" s="433" t="s">
        <v>2863</v>
      </c>
      <c r="G96" s="433" t="s">
        <v>29</v>
      </c>
      <c r="H96" s="433" t="s">
        <v>37</v>
      </c>
      <c r="I96" s="433"/>
      <c r="J96" s="433" t="s">
        <v>38</v>
      </c>
      <c r="K96" s="433">
        <v>146.0</v>
      </c>
      <c r="L96" s="433"/>
      <c r="M96" s="433" t="s">
        <v>13228</v>
      </c>
      <c r="N96" s="433" t="s">
        <v>54</v>
      </c>
      <c r="O96" s="433">
        <v>1986.0</v>
      </c>
      <c r="P96" s="433" t="s">
        <v>388</v>
      </c>
      <c r="Q96" s="433">
        <v>1.0</v>
      </c>
      <c r="R96" s="446"/>
    </row>
    <row r="97" ht="15.75" customHeight="1">
      <c r="B97" s="433">
        <v>92.0</v>
      </c>
      <c r="C97" s="433" t="s">
        <v>19526</v>
      </c>
      <c r="D97" s="433"/>
      <c r="E97" s="434" t="s">
        <v>19527</v>
      </c>
      <c r="F97" s="433" t="s">
        <v>2863</v>
      </c>
      <c r="G97" s="433" t="s">
        <v>29</v>
      </c>
      <c r="H97" s="433" t="s">
        <v>81</v>
      </c>
      <c r="I97" s="433"/>
      <c r="J97" s="433" t="s">
        <v>38</v>
      </c>
      <c r="K97" s="433">
        <v>69.0</v>
      </c>
      <c r="L97" s="433"/>
      <c r="M97" s="433" t="s">
        <v>19528</v>
      </c>
      <c r="N97" s="433" t="s">
        <v>54</v>
      </c>
      <c r="O97" s="433">
        <v>2003.0</v>
      </c>
      <c r="P97" s="433" t="s">
        <v>388</v>
      </c>
      <c r="Q97" s="433">
        <v>2.0</v>
      </c>
      <c r="R97" s="446"/>
    </row>
    <row r="98" ht="15.75" customHeight="1">
      <c r="B98" s="433">
        <v>93.0</v>
      </c>
      <c r="C98" s="433" t="s">
        <v>31</v>
      </c>
      <c r="D98" s="433" t="s">
        <v>31</v>
      </c>
      <c r="E98" s="434" t="s">
        <v>19529</v>
      </c>
      <c r="F98" s="433" t="s">
        <v>2863</v>
      </c>
      <c r="G98" s="433" t="s">
        <v>29</v>
      </c>
      <c r="H98" s="433" t="s">
        <v>38</v>
      </c>
      <c r="I98" s="433"/>
      <c r="J98" s="433" t="s">
        <v>38</v>
      </c>
      <c r="K98" s="433">
        <v>165.0</v>
      </c>
      <c r="L98" s="433"/>
      <c r="M98" s="433" t="s">
        <v>19530</v>
      </c>
      <c r="N98" s="433" t="s">
        <v>54</v>
      </c>
      <c r="O98" s="433">
        <v>1965.0</v>
      </c>
      <c r="P98" s="433" t="s">
        <v>388</v>
      </c>
      <c r="Q98" s="433">
        <v>1.0</v>
      </c>
      <c r="R98" s="446"/>
    </row>
    <row r="99" ht="15.75" customHeight="1">
      <c r="B99" s="433">
        <v>94.0</v>
      </c>
      <c r="C99" s="433" t="s">
        <v>31</v>
      </c>
      <c r="D99" s="433" t="s">
        <v>19531</v>
      </c>
      <c r="E99" s="434" t="s">
        <v>19532</v>
      </c>
      <c r="F99" s="433" t="s">
        <v>2863</v>
      </c>
      <c r="G99" s="433" t="s">
        <v>29</v>
      </c>
      <c r="H99" s="433" t="s">
        <v>37</v>
      </c>
      <c r="I99" s="433"/>
      <c r="J99" s="433" t="s">
        <v>38</v>
      </c>
      <c r="K99" s="433">
        <v>512.0</v>
      </c>
      <c r="L99" s="433"/>
      <c r="M99" s="433" t="s">
        <v>19533</v>
      </c>
      <c r="N99" s="433" t="s">
        <v>19534</v>
      </c>
      <c r="O99" s="433">
        <v>1968.0</v>
      </c>
      <c r="P99" s="433" t="s">
        <v>388</v>
      </c>
      <c r="Q99" s="433">
        <v>2.0</v>
      </c>
      <c r="R99" s="446"/>
    </row>
    <row r="100" ht="15.75" customHeight="1">
      <c r="B100" s="433">
        <v>95.0</v>
      </c>
      <c r="C100" s="433"/>
      <c r="D100" s="433" t="s">
        <v>19535</v>
      </c>
      <c r="E100" s="434" t="s">
        <v>19536</v>
      </c>
      <c r="F100" s="433" t="s">
        <v>2863</v>
      </c>
      <c r="G100" s="433" t="s">
        <v>29</v>
      </c>
      <c r="H100" s="433" t="s">
        <v>98</v>
      </c>
      <c r="I100" s="433"/>
      <c r="J100" s="433" t="s">
        <v>38</v>
      </c>
      <c r="K100" s="433">
        <v>620.0</v>
      </c>
      <c r="L100" s="433"/>
      <c r="M100" s="433" t="s">
        <v>19537</v>
      </c>
      <c r="N100" s="433" t="s">
        <v>54</v>
      </c>
      <c r="O100" s="433">
        <v>1977.0</v>
      </c>
      <c r="P100" s="433" t="s">
        <v>388</v>
      </c>
      <c r="Q100" s="433">
        <v>1.0</v>
      </c>
      <c r="R100" s="446"/>
    </row>
    <row r="101" ht="15.75" customHeight="1">
      <c r="B101" s="433">
        <v>96.0</v>
      </c>
      <c r="C101" s="433" t="s">
        <v>5788</v>
      </c>
      <c r="D101" s="433" t="s">
        <v>19538</v>
      </c>
      <c r="E101" s="434" t="s">
        <v>19536</v>
      </c>
      <c r="F101" s="433" t="s">
        <v>2863</v>
      </c>
      <c r="G101" s="433" t="s">
        <v>29</v>
      </c>
      <c r="H101" s="433" t="s">
        <v>37</v>
      </c>
      <c r="I101" s="433"/>
      <c r="J101" s="433" t="s">
        <v>38</v>
      </c>
      <c r="K101" s="433">
        <v>620.0</v>
      </c>
      <c r="L101" s="433"/>
      <c r="M101" s="433" t="s">
        <v>19537</v>
      </c>
      <c r="N101" s="433" t="s">
        <v>54</v>
      </c>
      <c r="O101" s="433">
        <v>1979.0</v>
      </c>
      <c r="P101" s="433" t="s">
        <v>388</v>
      </c>
      <c r="Q101" s="433">
        <v>1.0</v>
      </c>
      <c r="R101" s="446"/>
    </row>
    <row r="102" ht="15.75" customHeight="1">
      <c r="B102" s="433">
        <v>97.0</v>
      </c>
      <c r="C102" s="433" t="s">
        <v>19539</v>
      </c>
      <c r="D102" s="433" t="s">
        <v>31</v>
      </c>
      <c r="E102" s="434" t="s">
        <v>19540</v>
      </c>
      <c r="F102" s="433" t="s">
        <v>2863</v>
      </c>
      <c r="G102" s="433" t="s">
        <v>29</v>
      </c>
      <c r="H102" s="433" t="s">
        <v>37</v>
      </c>
      <c r="I102" s="433"/>
      <c r="J102" s="433" t="s">
        <v>38</v>
      </c>
      <c r="K102" s="433">
        <v>338.0</v>
      </c>
      <c r="L102" s="433"/>
      <c r="M102" s="433" t="s">
        <v>19541</v>
      </c>
      <c r="N102" s="433" t="s">
        <v>10580</v>
      </c>
      <c r="O102" s="433">
        <v>1996.0</v>
      </c>
      <c r="P102" s="433" t="s">
        <v>388</v>
      </c>
      <c r="Q102" s="433">
        <v>2.0</v>
      </c>
      <c r="R102" s="446"/>
    </row>
    <row r="103" ht="15.75" customHeight="1">
      <c r="B103" s="433">
        <v>98.0</v>
      </c>
      <c r="C103" s="433" t="s">
        <v>31</v>
      </c>
      <c r="D103" s="433" t="s">
        <v>5802</v>
      </c>
      <c r="E103" s="434" t="s">
        <v>19542</v>
      </c>
      <c r="F103" s="433" t="s">
        <v>2863</v>
      </c>
      <c r="G103" s="433" t="s">
        <v>29</v>
      </c>
      <c r="H103" s="433" t="s">
        <v>38</v>
      </c>
      <c r="I103" s="433"/>
      <c r="J103" s="433" t="s">
        <v>38</v>
      </c>
      <c r="K103" s="433">
        <v>216.0</v>
      </c>
      <c r="L103" s="433"/>
      <c r="M103" s="433" t="s">
        <v>5709</v>
      </c>
      <c r="N103" s="433" t="s">
        <v>54</v>
      </c>
      <c r="O103" s="433">
        <v>1970.0</v>
      </c>
      <c r="P103" s="433" t="s">
        <v>388</v>
      </c>
      <c r="Q103" s="433">
        <v>1.0</v>
      </c>
      <c r="R103" s="446"/>
    </row>
    <row r="104" ht="15.75" customHeight="1">
      <c r="B104" s="433">
        <v>99.0</v>
      </c>
      <c r="C104" s="433" t="s">
        <v>31</v>
      </c>
      <c r="D104" s="433" t="s">
        <v>19543</v>
      </c>
      <c r="E104" s="434" t="s">
        <v>19544</v>
      </c>
      <c r="F104" s="433" t="s">
        <v>2863</v>
      </c>
      <c r="G104" s="433" t="s">
        <v>29</v>
      </c>
      <c r="H104" s="433" t="s">
        <v>38</v>
      </c>
      <c r="I104" s="433"/>
      <c r="J104" s="433" t="s">
        <v>38</v>
      </c>
      <c r="K104" s="433">
        <v>76.0</v>
      </c>
      <c r="L104" s="433"/>
      <c r="M104" s="433" t="s">
        <v>1203</v>
      </c>
      <c r="N104" s="433" t="s">
        <v>1203</v>
      </c>
      <c r="O104" s="433">
        <v>1968.0</v>
      </c>
      <c r="P104" s="433" t="s">
        <v>388</v>
      </c>
      <c r="Q104" s="433">
        <v>1.0</v>
      </c>
      <c r="R104" s="446"/>
    </row>
    <row r="105" ht="15.75" customHeight="1">
      <c r="B105" s="433">
        <v>100.0</v>
      </c>
      <c r="C105" s="433" t="s">
        <v>31</v>
      </c>
      <c r="D105" s="433" t="s">
        <v>31</v>
      </c>
      <c r="E105" s="434" t="s">
        <v>19545</v>
      </c>
      <c r="F105" s="433" t="s">
        <v>2863</v>
      </c>
      <c r="G105" s="433" t="s">
        <v>29</v>
      </c>
      <c r="H105" s="433" t="s">
        <v>38</v>
      </c>
      <c r="I105" s="433"/>
      <c r="J105" s="433" t="s">
        <v>38</v>
      </c>
      <c r="K105" s="433">
        <v>153.0</v>
      </c>
      <c r="L105" s="433"/>
      <c r="M105" s="433" t="s">
        <v>19546</v>
      </c>
      <c r="N105" s="433" t="s">
        <v>54</v>
      </c>
      <c r="O105" s="433">
        <v>1986.0</v>
      </c>
      <c r="P105" s="433" t="s">
        <v>388</v>
      </c>
      <c r="Q105" s="433">
        <v>1.0</v>
      </c>
      <c r="R105" s="446"/>
    </row>
    <row r="106" ht="15.75" customHeight="1">
      <c r="B106" s="433">
        <v>101.0</v>
      </c>
      <c r="C106" s="433" t="s">
        <v>31</v>
      </c>
      <c r="D106" s="433" t="s">
        <v>19547</v>
      </c>
      <c r="E106" s="434" t="s">
        <v>19548</v>
      </c>
      <c r="F106" s="433" t="s">
        <v>2863</v>
      </c>
      <c r="G106" s="433" t="s">
        <v>29</v>
      </c>
      <c r="H106" s="433" t="s">
        <v>131</v>
      </c>
      <c r="I106" s="433"/>
      <c r="J106" s="433" t="s">
        <v>386</v>
      </c>
      <c r="K106" s="433">
        <v>383.0</v>
      </c>
      <c r="L106" s="433"/>
      <c r="M106" s="433" t="s">
        <v>19549</v>
      </c>
      <c r="N106" s="433" t="s">
        <v>19550</v>
      </c>
      <c r="O106" s="433">
        <v>1981.0</v>
      </c>
      <c r="P106" s="433" t="s">
        <v>388</v>
      </c>
      <c r="Q106" s="433">
        <v>1.0</v>
      </c>
      <c r="R106" s="446"/>
    </row>
    <row r="107" ht="15.75" customHeight="1">
      <c r="B107" s="433">
        <v>102.0</v>
      </c>
      <c r="C107" s="433" t="s">
        <v>31</v>
      </c>
      <c r="D107" s="433" t="s">
        <v>19551</v>
      </c>
      <c r="E107" s="434" t="s">
        <v>19552</v>
      </c>
      <c r="F107" s="433" t="s">
        <v>2863</v>
      </c>
      <c r="G107" s="433" t="s">
        <v>29</v>
      </c>
      <c r="H107" s="433" t="s">
        <v>30</v>
      </c>
      <c r="I107" s="433"/>
      <c r="J107" s="433" t="s">
        <v>30</v>
      </c>
      <c r="K107" s="433">
        <v>91.0</v>
      </c>
      <c r="L107" s="433"/>
      <c r="M107" s="433" t="s">
        <v>5450</v>
      </c>
      <c r="N107" s="433" t="s">
        <v>161</v>
      </c>
      <c r="O107" s="433">
        <v>1987.0</v>
      </c>
      <c r="P107" s="433" t="s">
        <v>388</v>
      </c>
      <c r="Q107" s="433">
        <v>1.0</v>
      </c>
      <c r="R107" s="446"/>
    </row>
    <row r="108" ht="15.75" customHeight="1">
      <c r="B108" s="433">
        <v>103.0</v>
      </c>
      <c r="C108" s="433"/>
      <c r="D108" s="433" t="s">
        <v>19553</v>
      </c>
      <c r="E108" s="434" t="s">
        <v>5905</v>
      </c>
      <c r="F108" s="433" t="s">
        <v>2863</v>
      </c>
      <c r="G108" s="433" t="s">
        <v>29</v>
      </c>
      <c r="H108" s="433" t="s">
        <v>38</v>
      </c>
      <c r="I108" s="433"/>
      <c r="J108" s="433" t="s">
        <v>38</v>
      </c>
      <c r="K108" s="433">
        <v>212.0</v>
      </c>
      <c r="L108" s="433"/>
      <c r="M108" s="433" t="s">
        <v>31</v>
      </c>
      <c r="N108" s="433" t="s">
        <v>54</v>
      </c>
      <c r="O108" s="433">
        <v>1967.0</v>
      </c>
      <c r="P108" s="433" t="s">
        <v>388</v>
      </c>
      <c r="Q108" s="433">
        <v>1.0</v>
      </c>
      <c r="R108" s="446"/>
    </row>
    <row r="109" ht="15.75" customHeight="1">
      <c r="B109" s="433">
        <v>104.0</v>
      </c>
      <c r="C109" s="433"/>
      <c r="D109" s="433" t="s">
        <v>19554</v>
      </c>
      <c r="E109" s="434" t="s">
        <v>19555</v>
      </c>
      <c r="F109" s="433" t="s">
        <v>2863</v>
      </c>
      <c r="G109" s="433" t="s">
        <v>29</v>
      </c>
      <c r="H109" s="433" t="s">
        <v>38</v>
      </c>
      <c r="I109" s="433"/>
      <c r="J109" s="433" t="s">
        <v>38</v>
      </c>
      <c r="K109" s="433">
        <v>148.0</v>
      </c>
      <c r="L109" s="433"/>
      <c r="M109" s="433" t="s">
        <v>19556</v>
      </c>
      <c r="N109" s="433" t="s">
        <v>54</v>
      </c>
      <c r="O109" s="433">
        <v>1950.0</v>
      </c>
      <c r="P109" s="433" t="s">
        <v>388</v>
      </c>
      <c r="Q109" s="433">
        <v>1.0</v>
      </c>
      <c r="R109" s="446"/>
    </row>
    <row r="110" ht="15.75" customHeight="1">
      <c r="B110" s="433">
        <v>105.0</v>
      </c>
      <c r="C110" s="433"/>
      <c r="D110" s="433" t="s">
        <v>19557</v>
      </c>
      <c r="E110" s="434" t="s">
        <v>19558</v>
      </c>
      <c r="F110" s="433" t="s">
        <v>2863</v>
      </c>
      <c r="G110" s="433" t="s">
        <v>29</v>
      </c>
      <c r="H110" s="433" t="s">
        <v>38</v>
      </c>
      <c r="I110" s="433"/>
      <c r="J110" s="433" t="s">
        <v>38</v>
      </c>
      <c r="K110" s="433">
        <v>244.0</v>
      </c>
      <c r="L110" s="433"/>
      <c r="M110" s="433" t="s">
        <v>19556</v>
      </c>
      <c r="N110" s="433" t="s">
        <v>54</v>
      </c>
      <c r="O110" s="433">
        <v>1952.0</v>
      </c>
      <c r="P110" s="433" t="s">
        <v>388</v>
      </c>
      <c r="Q110" s="433">
        <v>1.0</v>
      </c>
      <c r="R110" s="446"/>
    </row>
    <row r="111" ht="15.75" customHeight="1">
      <c r="B111" s="433">
        <v>106.0</v>
      </c>
      <c r="C111" s="433"/>
      <c r="D111" s="433" t="s">
        <v>31</v>
      </c>
      <c r="E111" s="434" t="s">
        <v>19559</v>
      </c>
      <c r="F111" s="433" t="s">
        <v>2863</v>
      </c>
      <c r="G111" s="433" t="s">
        <v>29</v>
      </c>
      <c r="H111" s="433" t="s">
        <v>37</v>
      </c>
      <c r="I111" s="433"/>
      <c r="J111" s="433" t="s">
        <v>38</v>
      </c>
      <c r="K111" s="433">
        <v>43.0</v>
      </c>
      <c r="L111" s="433"/>
      <c r="M111" s="433" t="s">
        <v>31</v>
      </c>
      <c r="N111" s="433" t="s">
        <v>54</v>
      </c>
      <c r="O111" s="433">
        <v>1987.0</v>
      </c>
      <c r="P111" s="433" t="s">
        <v>388</v>
      </c>
      <c r="Q111" s="433">
        <v>1.0</v>
      </c>
      <c r="R111" s="446"/>
    </row>
    <row r="112" ht="15.75" customHeight="1">
      <c r="B112" s="433">
        <v>107.0</v>
      </c>
      <c r="C112" s="433"/>
      <c r="D112" s="433" t="s">
        <v>31</v>
      </c>
      <c r="E112" s="434" t="s">
        <v>19560</v>
      </c>
      <c r="F112" s="433" t="s">
        <v>2863</v>
      </c>
      <c r="G112" s="433" t="s">
        <v>29</v>
      </c>
      <c r="H112" s="433" t="s">
        <v>37</v>
      </c>
      <c r="I112" s="433"/>
      <c r="J112" s="433" t="s">
        <v>38</v>
      </c>
      <c r="K112" s="433">
        <v>144.0</v>
      </c>
      <c r="L112" s="433"/>
      <c r="M112" s="433" t="s">
        <v>19561</v>
      </c>
      <c r="N112" s="433" t="s">
        <v>54</v>
      </c>
      <c r="O112" s="433" t="s">
        <v>31</v>
      </c>
      <c r="P112" s="433" t="s">
        <v>388</v>
      </c>
      <c r="Q112" s="433">
        <v>1.0</v>
      </c>
      <c r="R112" s="446"/>
    </row>
    <row r="113" ht="15.75" customHeight="1">
      <c r="B113" s="433">
        <v>108.0</v>
      </c>
      <c r="C113" s="433"/>
      <c r="D113" s="433" t="s">
        <v>19557</v>
      </c>
      <c r="E113" s="434" t="s">
        <v>19562</v>
      </c>
      <c r="F113" s="433" t="s">
        <v>2863</v>
      </c>
      <c r="G113" s="433" t="s">
        <v>29</v>
      </c>
      <c r="H113" s="433" t="s">
        <v>38</v>
      </c>
      <c r="I113" s="433"/>
      <c r="J113" s="433" t="s">
        <v>38</v>
      </c>
      <c r="K113" s="433">
        <v>244.0</v>
      </c>
      <c r="L113" s="433"/>
      <c r="M113" s="433" t="s">
        <v>31</v>
      </c>
      <c r="N113" s="433" t="s">
        <v>54</v>
      </c>
      <c r="O113" s="433">
        <v>1952.0</v>
      </c>
      <c r="P113" s="433" t="s">
        <v>388</v>
      </c>
      <c r="Q113" s="433">
        <v>1.0</v>
      </c>
      <c r="R113" s="446"/>
    </row>
    <row r="114" ht="15.75" customHeight="1">
      <c r="B114" s="433">
        <v>109.0</v>
      </c>
      <c r="C114" s="433"/>
      <c r="D114" s="433" t="s">
        <v>19553</v>
      </c>
      <c r="E114" s="434" t="s">
        <v>19563</v>
      </c>
      <c r="F114" s="433" t="s">
        <v>2863</v>
      </c>
      <c r="G114" s="433" t="s">
        <v>29</v>
      </c>
      <c r="H114" s="433" t="s">
        <v>38</v>
      </c>
      <c r="I114" s="433"/>
      <c r="J114" s="433" t="s">
        <v>38</v>
      </c>
      <c r="K114" s="433">
        <v>196.0</v>
      </c>
      <c r="L114" s="433"/>
      <c r="M114" s="433" t="s">
        <v>31</v>
      </c>
      <c r="N114" s="433" t="s">
        <v>54</v>
      </c>
      <c r="O114" s="433">
        <v>1967.0</v>
      </c>
      <c r="P114" s="433" t="s">
        <v>388</v>
      </c>
      <c r="Q114" s="433">
        <v>1.0</v>
      </c>
      <c r="R114" s="446"/>
    </row>
    <row r="115" ht="15.75" customHeight="1">
      <c r="B115" s="433">
        <v>110.0</v>
      </c>
      <c r="C115" s="433"/>
      <c r="D115" s="433" t="s">
        <v>31</v>
      </c>
      <c r="E115" s="434" t="s">
        <v>19564</v>
      </c>
      <c r="F115" s="433" t="s">
        <v>2863</v>
      </c>
      <c r="G115" s="433" t="s">
        <v>29</v>
      </c>
      <c r="H115" s="433" t="s">
        <v>38</v>
      </c>
      <c r="I115" s="433"/>
      <c r="J115" s="433" t="s">
        <v>38</v>
      </c>
      <c r="K115" s="433">
        <v>188.0</v>
      </c>
      <c r="L115" s="433"/>
      <c r="M115" s="433" t="s">
        <v>31</v>
      </c>
      <c r="N115" s="433" t="s">
        <v>54</v>
      </c>
      <c r="O115" s="433">
        <v>1950.0</v>
      </c>
      <c r="P115" s="433" t="s">
        <v>388</v>
      </c>
      <c r="Q115" s="433">
        <v>1.0</v>
      </c>
      <c r="R115" s="446"/>
    </row>
    <row r="116" ht="15.75" customHeight="1">
      <c r="B116" s="433">
        <v>111.0</v>
      </c>
      <c r="C116" s="433"/>
      <c r="D116" s="433" t="s">
        <v>31</v>
      </c>
      <c r="E116" s="434" t="s">
        <v>19565</v>
      </c>
      <c r="F116" s="433" t="s">
        <v>2863</v>
      </c>
      <c r="G116" s="433" t="s">
        <v>29</v>
      </c>
      <c r="H116" s="433" t="s">
        <v>38</v>
      </c>
      <c r="I116" s="433"/>
      <c r="J116" s="433" t="s">
        <v>38</v>
      </c>
      <c r="K116" s="433">
        <v>144.0</v>
      </c>
      <c r="L116" s="433"/>
      <c r="M116" s="433" t="s">
        <v>19566</v>
      </c>
      <c r="N116" s="433" t="s">
        <v>54</v>
      </c>
      <c r="O116" s="433">
        <v>1956.0</v>
      </c>
      <c r="P116" s="433" t="s">
        <v>388</v>
      </c>
      <c r="Q116" s="433">
        <v>1.0</v>
      </c>
      <c r="R116" s="446"/>
    </row>
    <row r="117" ht="15.75" customHeight="1">
      <c r="B117" s="433">
        <v>112.0</v>
      </c>
      <c r="C117" s="433"/>
      <c r="D117" s="433" t="s">
        <v>19567</v>
      </c>
      <c r="E117" s="434" t="s">
        <v>19568</v>
      </c>
      <c r="F117" s="433" t="s">
        <v>2863</v>
      </c>
      <c r="G117" s="433" t="s">
        <v>29</v>
      </c>
      <c r="H117" s="433" t="s">
        <v>38</v>
      </c>
      <c r="I117" s="433"/>
      <c r="J117" s="433" t="s">
        <v>38</v>
      </c>
      <c r="K117" s="433">
        <v>192.0</v>
      </c>
      <c r="L117" s="433"/>
      <c r="M117" s="433" t="s">
        <v>19561</v>
      </c>
      <c r="N117" s="433" t="s">
        <v>54</v>
      </c>
      <c r="O117" s="433">
        <v>1954.0</v>
      </c>
      <c r="P117" s="433" t="s">
        <v>388</v>
      </c>
      <c r="Q117" s="433">
        <v>1.0</v>
      </c>
      <c r="R117" s="446"/>
    </row>
    <row r="118" ht="15.75" customHeight="1">
      <c r="B118" s="433">
        <v>113.0</v>
      </c>
      <c r="C118" s="433"/>
      <c r="D118" s="433" t="s">
        <v>19553</v>
      </c>
      <c r="E118" s="434" t="s">
        <v>19568</v>
      </c>
      <c r="F118" s="433" t="s">
        <v>2863</v>
      </c>
      <c r="G118" s="433" t="s">
        <v>29</v>
      </c>
      <c r="H118" s="433" t="s">
        <v>38</v>
      </c>
      <c r="I118" s="433"/>
      <c r="J118" s="433" t="s">
        <v>38</v>
      </c>
      <c r="K118" s="433">
        <v>192.0</v>
      </c>
      <c r="L118" s="433"/>
      <c r="M118" s="433" t="s">
        <v>31</v>
      </c>
      <c r="N118" s="433" t="s">
        <v>54</v>
      </c>
      <c r="O118" s="433">
        <v>1954.0</v>
      </c>
      <c r="P118" s="433" t="s">
        <v>388</v>
      </c>
      <c r="Q118" s="433">
        <v>1.0</v>
      </c>
      <c r="R118" s="446"/>
    </row>
    <row r="119" ht="15.75" customHeight="1">
      <c r="B119" s="433">
        <v>114.0</v>
      </c>
      <c r="C119" s="433"/>
      <c r="D119" s="433" t="s">
        <v>31</v>
      </c>
      <c r="E119" s="434" t="s">
        <v>19569</v>
      </c>
      <c r="F119" s="433" t="s">
        <v>2863</v>
      </c>
      <c r="G119" s="433" t="s">
        <v>29</v>
      </c>
      <c r="H119" s="433" t="s">
        <v>37</v>
      </c>
      <c r="I119" s="433"/>
      <c r="J119" s="433" t="s">
        <v>38</v>
      </c>
      <c r="K119" s="433">
        <v>58.0</v>
      </c>
      <c r="L119" s="433"/>
      <c r="M119" s="433" t="s">
        <v>31</v>
      </c>
      <c r="N119" s="433" t="s">
        <v>54</v>
      </c>
      <c r="O119" s="433" t="s">
        <v>31</v>
      </c>
      <c r="P119" s="433" t="s">
        <v>388</v>
      </c>
      <c r="Q119" s="433">
        <v>1.0</v>
      </c>
      <c r="R119" s="446"/>
    </row>
    <row r="120" ht="15.75" customHeight="1">
      <c r="B120" s="433">
        <v>115.0</v>
      </c>
      <c r="C120" s="433"/>
      <c r="D120" s="433" t="s">
        <v>31</v>
      </c>
      <c r="E120" s="434" t="s">
        <v>19570</v>
      </c>
      <c r="F120" s="433" t="s">
        <v>2863</v>
      </c>
      <c r="G120" s="433" t="s">
        <v>29</v>
      </c>
      <c r="H120" s="433" t="s">
        <v>13380</v>
      </c>
      <c r="I120" s="433"/>
      <c r="J120" s="433" t="s">
        <v>38</v>
      </c>
      <c r="K120" s="433" t="s">
        <v>31</v>
      </c>
      <c r="L120" s="433"/>
      <c r="M120" s="433" t="s">
        <v>5099</v>
      </c>
      <c r="N120" s="433" t="s">
        <v>54</v>
      </c>
      <c r="O120" s="433">
        <v>1975.0</v>
      </c>
      <c r="P120" s="433" t="s">
        <v>388</v>
      </c>
      <c r="Q120" s="433">
        <v>1.0</v>
      </c>
      <c r="R120" s="446"/>
    </row>
    <row r="121" ht="15.75" customHeight="1">
      <c r="B121" s="433">
        <v>116.0</v>
      </c>
      <c r="C121" s="433"/>
      <c r="D121" s="433" t="s">
        <v>31</v>
      </c>
      <c r="E121" s="434" t="s">
        <v>19571</v>
      </c>
      <c r="F121" s="433" t="s">
        <v>2863</v>
      </c>
      <c r="G121" s="433" t="s">
        <v>29</v>
      </c>
      <c r="H121" s="433" t="s">
        <v>31</v>
      </c>
      <c r="I121" s="433"/>
      <c r="J121" s="433" t="s">
        <v>38</v>
      </c>
      <c r="K121" s="433">
        <v>64.0</v>
      </c>
      <c r="L121" s="433"/>
      <c r="M121" s="433" t="s">
        <v>31</v>
      </c>
      <c r="N121" s="433" t="s">
        <v>54</v>
      </c>
      <c r="O121" s="433">
        <v>1975.0</v>
      </c>
      <c r="P121" s="433" t="s">
        <v>388</v>
      </c>
      <c r="Q121" s="433">
        <v>1.0</v>
      </c>
      <c r="R121" s="446"/>
    </row>
    <row r="122" ht="15.75" customHeight="1">
      <c r="B122" s="433">
        <v>117.0</v>
      </c>
      <c r="C122" s="433"/>
      <c r="D122" s="433"/>
      <c r="E122" s="434" t="s">
        <v>19572</v>
      </c>
      <c r="F122" s="433" t="s">
        <v>2863</v>
      </c>
      <c r="G122" s="433" t="s">
        <v>29</v>
      </c>
      <c r="H122" s="433" t="s">
        <v>38</v>
      </c>
      <c r="I122" s="433"/>
      <c r="J122" s="433" t="s">
        <v>38</v>
      </c>
      <c r="K122" s="433">
        <v>178.0</v>
      </c>
      <c r="L122" s="433"/>
      <c r="M122" s="433" t="s">
        <v>19573</v>
      </c>
      <c r="N122" s="433" t="s">
        <v>54</v>
      </c>
      <c r="O122" s="433">
        <v>2012.0</v>
      </c>
      <c r="P122" s="433" t="s">
        <v>388</v>
      </c>
      <c r="Q122" s="433">
        <v>1.0</v>
      </c>
      <c r="R122" s="446"/>
    </row>
    <row r="123" ht="15.75" customHeight="1">
      <c r="B123" s="433">
        <v>118.0</v>
      </c>
      <c r="C123" s="433"/>
      <c r="D123" s="433"/>
      <c r="E123" s="434" t="s">
        <v>19574</v>
      </c>
      <c r="F123" s="433" t="s">
        <v>2863</v>
      </c>
      <c r="G123" s="433" t="s">
        <v>29</v>
      </c>
      <c r="H123" s="433" t="s">
        <v>38</v>
      </c>
      <c r="I123" s="433"/>
      <c r="J123" s="433" t="s">
        <v>38</v>
      </c>
      <c r="K123" s="433">
        <v>224.0</v>
      </c>
      <c r="L123" s="433"/>
      <c r="M123" s="433" t="s">
        <v>19573</v>
      </c>
      <c r="N123" s="433" t="s">
        <v>54</v>
      </c>
      <c r="O123" s="433">
        <v>2012.0</v>
      </c>
      <c r="P123" s="433" t="s">
        <v>388</v>
      </c>
      <c r="Q123" s="433">
        <v>1.0</v>
      </c>
      <c r="R123" s="446"/>
    </row>
    <row r="124" ht="15.75" customHeight="1">
      <c r="B124" s="433">
        <v>119.0</v>
      </c>
      <c r="C124" s="433"/>
      <c r="D124" s="433"/>
      <c r="E124" s="434" t="s">
        <v>19575</v>
      </c>
      <c r="F124" s="433" t="s">
        <v>2863</v>
      </c>
      <c r="G124" s="433" t="s">
        <v>29</v>
      </c>
      <c r="H124" s="433" t="s">
        <v>30</v>
      </c>
      <c r="I124" s="433"/>
      <c r="J124" s="433" t="s">
        <v>38</v>
      </c>
      <c r="K124" s="433"/>
      <c r="L124" s="433" t="s">
        <v>19576</v>
      </c>
      <c r="M124" s="433"/>
      <c r="N124" s="433" t="s">
        <v>19577</v>
      </c>
      <c r="O124" s="433">
        <v>2001.0</v>
      </c>
      <c r="P124" s="433" t="s">
        <v>388</v>
      </c>
      <c r="Q124" s="433">
        <v>1.0</v>
      </c>
      <c r="R124" s="446"/>
    </row>
    <row r="125" ht="15.75" customHeight="1">
      <c r="B125" s="433">
        <v>120.0</v>
      </c>
      <c r="C125" s="433"/>
      <c r="D125" s="433"/>
      <c r="E125" s="434" t="s">
        <v>19578</v>
      </c>
      <c r="F125" s="433" t="s">
        <v>2863</v>
      </c>
      <c r="G125" s="433" t="s">
        <v>29</v>
      </c>
      <c r="H125" s="433" t="s">
        <v>30</v>
      </c>
      <c r="I125" s="433"/>
      <c r="J125" s="433" t="s">
        <v>38</v>
      </c>
      <c r="K125" s="433"/>
      <c r="L125" s="433" t="s">
        <v>19579</v>
      </c>
      <c r="M125" s="433"/>
      <c r="N125" s="433" t="s">
        <v>19577</v>
      </c>
      <c r="O125" s="433">
        <v>2001.0</v>
      </c>
      <c r="P125" s="433" t="s">
        <v>388</v>
      </c>
      <c r="Q125" s="433">
        <v>1.0</v>
      </c>
      <c r="R125" s="446"/>
    </row>
    <row r="126" ht="15.75" customHeight="1">
      <c r="B126" s="433">
        <v>121.0</v>
      </c>
      <c r="C126" s="433"/>
      <c r="D126" s="433"/>
      <c r="E126" s="434" t="s">
        <v>19580</v>
      </c>
      <c r="F126" s="433" t="s">
        <v>2863</v>
      </c>
      <c r="G126" s="433" t="s">
        <v>29</v>
      </c>
      <c r="H126" s="433" t="s">
        <v>30</v>
      </c>
      <c r="I126" s="433"/>
      <c r="J126" s="433" t="s">
        <v>30</v>
      </c>
      <c r="K126" s="433"/>
      <c r="L126" s="433" t="s">
        <v>13582</v>
      </c>
      <c r="M126" s="433"/>
      <c r="N126" s="433" t="s">
        <v>6009</v>
      </c>
      <c r="O126" s="433">
        <v>2000.0</v>
      </c>
      <c r="P126" s="433" t="s">
        <v>388</v>
      </c>
      <c r="Q126" s="433">
        <v>1.0</v>
      </c>
      <c r="R126" s="446"/>
    </row>
    <row r="127" ht="15.75" customHeight="1">
      <c r="B127" s="433">
        <v>122.0</v>
      </c>
      <c r="C127" s="433"/>
      <c r="D127" s="433"/>
      <c r="E127" s="434" t="s">
        <v>19581</v>
      </c>
      <c r="F127" s="433" t="s">
        <v>2863</v>
      </c>
      <c r="G127" s="433" t="s">
        <v>29</v>
      </c>
      <c r="H127" s="433" t="s">
        <v>13593</v>
      </c>
      <c r="I127" s="433"/>
      <c r="J127" s="433" t="s">
        <v>38</v>
      </c>
      <c r="K127" s="433">
        <v>216.0</v>
      </c>
      <c r="L127" s="433"/>
      <c r="M127" s="433" t="s">
        <v>5709</v>
      </c>
      <c r="N127" s="433" t="s">
        <v>54</v>
      </c>
      <c r="O127" s="433">
        <v>1968.0</v>
      </c>
      <c r="P127" s="433" t="s">
        <v>388</v>
      </c>
      <c r="Q127" s="433">
        <v>1.0</v>
      </c>
      <c r="R127" s="446"/>
    </row>
    <row r="128" ht="15.75" customHeight="1">
      <c r="B128" s="433">
        <v>123.0</v>
      </c>
      <c r="C128" s="433" t="s">
        <v>19582</v>
      </c>
      <c r="D128" s="433"/>
      <c r="E128" s="434" t="s">
        <v>19583</v>
      </c>
      <c r="F128" s="433" t="s">
        <v>2863</v>
      </c>
      <c r="G128" s="433" t="s">
        <v>29</v>
      </c>
      <c r="H128" s="433" t="s">
        <v>3849</v>
      </c>
      <c r="I128" s="433"/>
      <c r="J128" s="433" t="s">
        <v>38</v>
      </c>
      <c r="K128" s="433">
        <v>325.0</v>
      </c>
      <c r="L128" s="433"/>
      <c r="M128" s="433" t="s">
        <v>19584</v>
      </c>
      <c r="N128" s="433" t="s">
        <v>54</v>
      </c>
      <c r="O128" s="433">
        <v>1973.0</v>
      </c>
      <c r="P128" s="433" t="s">
        <v>388</v>
      </c>
      <c r="Q128" s="433">
        <v>1.0</v>
      </c>
      <c r="R128" s="446"/>
    </row>
    <row r="129" ht="15.75" customHeight="1">
      <c r="B129" s="433">
        <v>124.0</v>
      </c>
      <c r="C129" s="433" t="s">
        <v>1056</v>
      </c>
      <c r="D129" s="433"/>
      <c r="E129" s="434" t="s">
        <v>19585</v>
      </c>
      <c r="F129" s="433" t="s">
        <v>2863</v>
      </c>
      <c r="G129" s="433" t="s">
        <v>29</v>
      </c>
      <c r="H129" s="433" t="s">
        <v>2743</v>
      </c>
      <c r="I129" s="433"/>
      <c r="J129" s="433" t="s">
        <v>38</v>
      </c>
      <c r="K129" s="433">
        <v>236.0</v>
      </c>
      <c r="L129" s="433"/>
      <c r="M129" s="433" t="s">
        <v>619</v>
      </c>
      <c r="N129" s="433" t="s">
        <v>54</v>
      </c>
      <c r="O129" s="433">
        <v>1976.0</v>
      </c>
      <c r="P129" s="433" t="s">
        <v>388</v>
      </c>
      <c r="Q129" s="433">
        <v>1.0</v>
      </c>
      <c r="R129" s="446"/>
    </row>
    <row r="130" ht="15.75" customHeight="1">
      <c r="B130" s="433">
        <v>125.0</v>
      </c>
      <c r="C130" s="433"/>
      <c r="D130" s="433"/>
      <c r="E130" s="434" t="s">
        <v>19586</v>
      </c>
      <c r="F130" s="433" t="s">
        <v>2863</v>
      </c>
      <c r="G130" s="433" t="s">
        <v>29</v>
      </c>
      <c r="H130" s="433" t="s">
        <v>2743</v>
      </c>
      <c r="I130" s="433"/>
      <c r="J130" s="433" t="s">
        <v>38</v>
      </c>
      <c r="K130" s="433">
        <v>537.0</v>
      </c>
      <c r="L130" s="433"/>
      <c r="M130" s="433" t="s">
        <v>5870</v>
      </c>
      <c r="N130" s="433" t="s">
        <v>19587</v>
      </c>
      <c r="O130" s="433">
        <v>1984.0</v>
      </c>
      <c r="P130" s="433" t="s">
        <v>388</v>
      </c>
      <c r="Q130" s="433">
        <v>1.0</v>
      </c>
      <c r="R130" s="446"/>
    </row>
    <row r="131" ht="15.75" customHeight="1">
      <c r="B131" s="433">
        <v>126.0</v>
      </c>
      <c r="C131" s="433"/>
      <c r="D131" s="433"/>
      <c r="E131" s="434" t="s">
        <v>19588</v>
      </c>
      <c r="F131" s="433" t="s">
        <v>2863</v>
      </c>
      <c r="G131" s="433" t="s">
        <v>29</v>
      </c>
      <c r="H131" s="433" t="s">
        <v>3746</v>
      </c>
      <c r="I131" s="433"/>
      <c r="J131" s="433" t="s">
        <v>38</v>
      </c>
      <c r="K131" s="433">
        <v>146.0</v>
      </c>
      <c r="L131" s="433"/>
      <c r="M131" s="433" t="s">
        <v>5979</v>
      </c>
      <c r="N131" s="433" t="s">
        <v>54</v>
      </c>
      <c r="O131" s="433">
        <v>1986.0</v>
      </c>
      <c r="P131" s="433" t="s">
        <v>388</v>
      </c>
      <c r="Q131" s="433">
        <v>1.0</v>
      </c>
      <c r="R131" s="446"/>
    </row>
    <row r="132" ht="15.75" customHeight="1">
      <c r="B132" s="433">
        <v>127.0</v>
      </c>
      <c r="C132" s="433"/>
      <c r="D132" s="433"/>
      <c r="E132" s="434" t="s">
        <v>19589</v>
      </c>
      <c r="F132" s="433" t="s">
        <v>2863</v>
      </c>
      <c r="G132" s="433" t="s">
        <v>29</v>
      </c>
      <c r="H132" s="433" t="s">
        <v>3849</v>
      </c>
      <c r="I132" s="433"/>
      <c r="J132" s="433" t="s">
        <v>38</v>
      </c>
      <c r="K132" s="433">
        <v>251.0</v>
      </c>
      <c r="L132" s="433"/>
      <c r="M132" s="433" t="s">
        <v>2387</v>
      </c>
      <c r="N132" s="433" t="s">
        <v>54</v>
      </c>
      <c r="O132" s="433">
        <v>1974.0</v>
      </c>
      <c r="P132" s="433" t="s">
        <v>388</v>
      </c>
      <c r="Q132" s="433">
        <v>1.0</v>
      </c>
      <c r="R132" s="446"/>
    </row>
    <row r="133" ht="15.75" customHeight="1">
      <c r="B133" s="433">
        <v>128.0</v>
      </c>
      <c r="C133" s="433"/>
      <c r="D133" s="433"/>
      <c r="E133" s="434" t="s">
        <v>5915</v>
      </c>
      <c r="F133" s="433" t="s">
        <v>2863</v>
      </c>
      <c r="G133" s="433" t="s">
        <v>29</v>
      </c>
      <c r="H133" s="433" t="s">
        <v>2179</v>
      </c>
      <c r="I133" s="433"/>
      <c r="J133" s="433" t="s">
        <v>38</v>
      </c>
      <c r="K133" s="433">
        <v>233.0</v>
      </c>
      <c r="L133" s="433"/>
      <c r="M133" s="433" t="s">
        <v>2387</v>
      </c>
      <c r="N133" s="433" t="s">
        <v>1203</v>
      </c>
      <c r="O133" s="433">
        <v>1974.0</v>
      </c>
      <c r="P133" s="433" t="s">
        <v>388</v>
      </c>
      <c r="Q133" s="433">
        <v>1.0</v>
      </c>
      <c r="R133" s="446"/>
    </row>
    <row r="134" ht="15.75" customHeight="1">
      <c r="B134" s="433">
        <v>129.0</v>
      </c>
      <c r="C134" s="433"/>
      <c r="D134" s="433"/>
      <c r="E134" s="434" t="s">
        <v>19590</v>
      </c>
      <c r="F134" s="433" t="s">
        <v>2863</v>
      </c>
      <c r="G134" s="433" t="s">
        <v>29</v>
      </c>
      <c r="H134" s="433" t="s">
        <v>19591</v>
      </c>
      <c r="I134" s="433"/>
      <c r="J134" s="433" t="s">
        <v>38</v>
      </c>
      <c r="K134" s="433">
        <v>158.0</v>
      </c>
      <c r="L134" s="433"/>
      <c r="M134" s="433" t="s">
        <v>619</v>
      </c>
      <c r="N134" s="433" t="s">
        <v>54</v>
      </c>
      <c r="O134" s="433">
        <v>1983.0</v>
      </c>
      <c r="P134" s="433" t="s">
        <v>388</v>
      </c>
      <c r="Q134" s="433">
        <v>1.0</v>
      </c>
      <c r="R134" s="446"/>
    </row>
    <row r="135" ht="15.75" customHeight="1">
      <c r="B135" s="433">
        <v>130.0</v>
      </c>
      <c r="C135" s="433" t="s">
        <v>1119</v>
      </c>
      <c r="D135" s="433"/>
      <c r="E135" s="434" t="s">
        <v>19592</v>
      </c>
      <c r="F135" s="433" t="s">
        <v>2863</v>
      </c>
      <c r="G135" s="433" t="s">
        <v>29</v>
      </c>
      <c r="H135" s="433" t="s">
        <v>19591</v>
      </c>
      <c r="I135" s="433"/>
      <c r="J135" s="433" t="s">
        <v>38</v>
      </c>
      <c r="K135" s="433">
        <v>388.0</v>
      </c>
      <c r="L135" s="433"/>
      <c r="M135" s="433" t="s">
        <v>619</v>
      </c>
      <c r="N135" s="433" t="s">
        <v>54</v>
      </c>
      <c r="O135" s="433">
        <v>1981.0</v>
      </c>
      <c r="P135" s="433" t="s">
        <v>388</v>
      </c>
      <c r="Q135" s="433">
        <v>1.0</v>
      </c>
      <c r="R135" s="446"/>
    </row>
    <row r="136" ht="15.75" customHeight="1">
      <c r="B136" s="433">
        <v>131.0</v>
      </c>
      <c r="C136" s="433" t="s">
        <v>19593</v>
      </c>
      <c r="D136" s="433"/>
      <c r="E136" s="434" t="s">
        <v>19594</v>
      </c>
      <c r="F136" s="433" t="s">
        <v>2863</v>
      </c>
      <c r="G136" s="433" t="s">
        <v>29</v>
      </c>
      <c r="H136" s="433" t="s">
        <v>19595</v>
      </c>
      <c r="I136" s="433"/>
      <c r="J136" s="433" t="s">
        <v>38</v>
      </c>
      <c r="K136" s="433">
        <v>463.0</v>
      </c>
      <c r="L136" s="433"/>
      <c r="M136" s="433" t="s">
        <v>19596</v>
      </c>
      <c r="N136" s="433" t="s">
        <v>19597</v>
      </c>
      <c r="O136" s="433">
        <v>1978.0</v>
      </c>
      <c r="P136" s="433" t="s">
        <v>388</v>
      </c>
      <c r="Q136" s="433">
        <v>1.0</v>
      </c>
      <c r="R136" s="446"/>
    </row>
    <row r="137" ht="15.75" customHeight="1">
      <c r="B137" s="433">
        <v>132.0</v>
      </c>
      <c r="C137" s="433" t="s">
        <v>3559</v>
      </c>
      <c r="D137" s="433"/>
      <c r="E137" s="434" t="s">
        <v>19598</v>
      </c>
      <c r="F137" s="433" t="s">
        <v>2863</v>
      </c>
      <c r="G137" s="433" t="s">
        <v>29</v>
      </c>
      <c r="H137" s="433" t="s">
        <v>2179</v>
      </c>
      <c r="I137" s="433"/>
      <c r="J137" s="433" t="s">
        <v>38</v>
      </c>
      <c r="K137" s="433">
        <v>110.0</v>
      </c>
      <c r="L137" s="433"/>
      <c r="M137" s="433" t="s">
        <v>19599</v>
      </c>
      <c r="N137" s="433" t="s">
        <v>54</v>
      </c>
      <c r="O137" s="433">
        <v>1992.0</v>
      </c>
      <c r="P137" s="433" t="s">
        <v>388</v>
      </c>
      <c r="Q137" s="433">
        <v>1.0</v>
      </c>
      <c r="R137" s="446"/>
    </row>
    <row r="138" ht="15.75" customHeight="1">
      <c r="B138" s="433">
        <v>133.0</v>
      </c>
      <c r="C138" s="433">
        <v>8552.0</v>
      </c>
      <c r="D138" s="433"/>
      <c r="E138" s="434" t="s">
        <v>19600</v>
      </c>
      <c r="F138" s="433" t="s">
        <v>2863</v>
      </c>
      <c r="G138" s="433" t="s">
        <v>29</v>
      </c>
      <c r="H138" s="433" t="s">
        <v>2179</v>
      </c>
      <c r="I138" s="433"/>
      <c r="J138" s="433" t="s">
        <v>38</v>
      </c>
      <c r="K138" s="433">
        <v>95.0</v>
      </c>
      <c r="L138" s="433"/>
      <c r="M138" s="433" t="s">
        <v>19601</v>
      </c>
      <c r="N138" s="433" t="s">
        <v>54</v>
      </c>
      <c r="O138" s="433">
        <v>1978.0</v>
      </c>
      <c r="P138" s="433" t="s">
        <v>388</v>
      </c>
      <c r="Q138" s="433">
        <v>1.0</v>
      </c>
      <c r="R138" s="446"/>
    </row>
    <row r="139" ht="15.75" customHeight="1">
      <c r="B139" s="433">
        <v>134.0</v>
      </c>
      <c r="C139" s="433">
        <v>8527.0</v>
      </c>
      <c r="D139" s="433"/>
      <c r="E139" s="434" t="s">
        <v>19602</v>
      </c>
      <c r="F139" s="433" t="s">
        <v>2863</v>
      </c>
      <c r="G139" s="433" t="s">
        <v>29</v>
      </c>
      <c r="H139" s="433" t="s">
        <v>2179</v>
      </c>
      <c r="I139" s="433"/>
      <c r="J139" s="433" t="s">
        <v>38</v>
      </c>
      <c r="K139" s="433">
        <v>176.0</v>
      </c>
      <c r="L139" s="433"/>
      <c r="M139" s="433" t="s">
        <v>19603</v>
      </c>
      <c r="N139" s="433" t="s">
        <v>54</v>
      </c>
      <c r="O139" s="433">
        <v>1976.0</v>
      </c>
      <c r="P139" s="433" t="s">
        <v>388</v>
      </c>
      <c r="Q139" s="433">
        <v>1.0</v>
      </c>
      <c r="R139" s="446"/>
    </row>
    <row r="140" ht="15.75" customHeight="1">
      <c r="B140" s="433">
        <v>135.0</v>
      </c>
      <c r="C140" s="433">
        <v>8258.0</v>
      </c>
      <c r="D140" s="433"/>
      <c r="E140" s="434" t="s">
        <v>19604</v>
      </c>
      <c r="F140" s="433" t="s">
        <v>2863</v>
      </c>
      <c r="G140" s="433" t="s">
        <v>29</v>
      </c>
      <c r="H140" s="433" t="s">
        <v>2179</v>
      </c>
      <c r="I140" s="433"/>
      <c r="J140" s="433" t="s">
        <v>38</v>
      </c>
      <c r="K140" s="433">
        <v>167.0</v>
      </c>
      <c r="L140" s="433"/>
      <c r="M140" s="433" t="s">
        <v>19605</v>
      </c>
      <c r="N140" s="433" t="s">
        <v>54</v>
      </c>
      <c r="O140" s="433">
        <v>1977.0</v>
      </c>
      <c r="P140" s="433" t="s">
        <v>388</v>
      </c>
      <c r="Q140" s="433">
        <v>1.0</v>
      </c>
      <c r="R140" s="446"/>
    </row>
    <row r="141" ht="15.75" customHeight="1">
      <c r="B141" s="433">
        <v>136.0</v>
      </c>
      <c r="C141" s="433">
        <v>8529.0</v>
      </c>
      <c r="D141" s="433"/>
      <c r="E141" s="434" t="s">
        <v>19606</v>
      </c>
      <c r="F141" s="433" t="s">
        <v>2863</v>
      </c>
      <c r="G141" s="433" t="s">
        <v>29</v>
      </c>
      <c r="H141" s="433" t="s">
        <v>2179</v>
      </c>
      <c r="I141" s="433"/>
      <c r="J141" s="433" t="s">
        <v>38</v>
      </c>
      <c r="K141" s="433">
        <v>149.0</v>
      </c>
      <c r="L141" s="433"/>
      <c r="M141" s="433" t="s">
        <v>19607</v>
      </c>
      <c r="N141" s="433" t="s">
        <v>54</v>
      </c>
      <c r="O141" s="433">
        <v>1977.0</v>
      </c>
      <c r="P141" s="433" t="s">
        <v>388</v>
      </c>
      <c r="Q141" s="433">
        <v>1.0</v>
      </c>
      <c r="R141" s="446"/>
    </row>
    <row r="142" ht="15.75" customHeight="1">
      <c r="B142" s="433">
        <v>137.0</v>
      </c>
      <c r="C142" s="433">
        <v>8577.0</v>
      </c>
      <c r="D142" s="433"/>
      <c r="E142" s="434" t="s">
        <v>19608</v>
      </c>
      <c r="F142" s="433" t="s">
        <v>2863</v>
      </c>
      <c r="G142" s="433" t="s">
        <v>29</v>
      </c>
      <c r="H142" s="433" t="s">
        <v>2179</v>
      </c>
      <c r="I142" s="433"/>
      <c r="J142" s="433" t="s">
        <v>38</v>
      </c>
      <c r="K142" s="433">
        <v>274.0</v>
      </c>
      <c r="L142" s="433"/>
      <c r="M142" s="433" t="s">
        <v>19609</v>
      </c>
      <c r="N142" s="433" t="s">
        <v>54</v>
      </c>
      <c r="O142" s="433">
        <v>1979.0</v>
      </c>
      <c r="P142" s="433" t="s">
        <v>388</v>
      </c>
      <c r="Q142" s="433">
        <v>1.0</v>
      </c>
      <c r="R142" s="446"/>
    </row>
    <row r="143" ht="15.75" customHeight="1">
      <c r="B143" s="433">
        <v>138.0</v>
      </c>
      <c r="C143" s="433" t="s">
        <v>10462</v>
      </c>
      <c r="D143" s="433"/>
      <c r="E143" s="434" t="s">
        <v>19610</v>
      </c>
      <c r="F143" s="433" t="s">
        <v>2863</v>
      </c>
      <c r="G143" s="433" t="s">
        <v>29</v>
      </c>
      <c r="H143" s="433" t="s">
        <v>2743</v>
      </c>
      <c r="I143" s="433"/>
      <c r="J143" s="433" t="s">
        <v>38</v>
      </c>
      <c r="K143" s="433">
        <v>292.0</v>
      </c>
      <c r="L143" s="433"/>
      <c r="M143" s="433" t="s">
        <v>10465</v>
      </c>
      <c r="N143" s="433" t="s">
        <v>19611</v>
      </c>
      <c r="O143" s="433">
        <v>1982.0</v>
      </c>
      <c r="P143" s="433" t="s">
        <v>388</v>
      </c>
      <c r="Q143" s="433">
        <v>1.0</v>
      </c>
      <c r="R143" s="446"/>
    </row>
    <row r="144" ht="15.75" customHeight="1">
      <c r="B144" s="433">
        <v>139.0</v>
      </c>
      <c r="C144" s="433"/>
      <c r="D144" s="433"/>
      <c r="E144" s="434" t="s">
        <v>19612</v>
      </c>
      <c r="F144" s="433" t="s">
        <v>2863</v>
      </c>
      <c r="G144" s="433" t="s">
        <v>29</v>
      </c>
      <c r="H144" s="433" t="s">
        <v>15225</v>
      </c>
      <c r="I144" s="433"/>
      <c r="J144" s="433" t="s">
        <v>38</v>
      </c>
      <c r="K144" s="433">
        <v>798.0</v>
      </c>
      <c r="L144" s="433"/>
      <c r="M144" s="433" t="s">
        <v>19613</v>
      </c>
      <c r="N144" s="433" t="s">
        <v>54</v>
      </c>
      <c r="O144" s="433">
        <v>1971.0</v>
      </c>
      <c r="P144" s="433" t="s">
        <v>388</v>
      </c>
      <c r="Q144" s="433">
        <v>1.0</v>
      </c>
      <c r="R144" s="446"/>
    </row>
    <row r="145" ht="15.75" customHeight="1">
      <c r="B145" s="433">
        <v>140.0</v>
      </c>
      <c r="C145" s="433" t="s">
        <v>5990</v>
      </c>
      <c r="D145" s="433"/>
      <c r="E145" s="434" t="s">
        <v>5992</v>
      </c>
      <c r="F145" s="433" t="s">
        <v>2863</v>
      </c>
      <c r="G145" s="433" t="s">
        <v>29</v>
      </c>
      <c r="H145" s="433" t="s">
        <v>3849</v>
      </c>
      <c r="I145" s="433"/>
      <c r="J145" s="433" t="s">
        <v>38</v>
      </c>
      <c r="K145" s="433">
        <v>579.0</v>
      </c>
      <c r="L145" s="433" t="s">
        <v>19614</v>
      </c>
      <c r="M145" s="433" t="s">
        <v>13552</v>
      </c>
      <c r="N145" s="433" t="s">
        <v>19615</v>
      </c>
      <c r="O145" s="433">
        <v>1973.0</v>
      </c>
      <c r="P145" s="433" t="s">
        <v>388</v>
      </c>
      <c r="Q145" s="433">
        <v>1.0</v>
      </c>
      <c r="R145" s="446"/>
    </row>
    <row r="146" ht="15.75" customHeight="1">
      <c r="B146" s="433">
        <v>141.0</v>
      </c>
      <c r="C146" s="433" t="s">
        <v>34</v>
      </c>
      <c r="D146" s="433" t="s">
        <v>31</v>
      </c>
      <c r="E146" s="434" t="s">
        <v>19616</v>
      </c>
      <c r="F146" s="433" t="s">
        <v>2863</v>
      </c>
      <c r="G146" s="433" t="s">
        <v>29</v>
      </c>
      <c r="H146" s="433" t="s">
        <v>37</v>
      </c>
      <c r="I146" s="433"/>
      <c r="J146" s="433" t="s">
        <v>38</v>
      </c>
      <c r="K146" s="433">
        <v>324.0</v>
      </c>
      <c r="L146" s="433"/>
      <c r="M146" s="433" t="s">
        <v>39</v>
      </c>
      <c r="N146" s="433" t="s">
        <v>6009</v>
      </c>
      <c r="O146" s="433">
        <v>1979.0</v>
      </c>
      <c r="P146" s="433" t="s">
        <v>388</v>
      </c>
      <c r="Q146" s="433">
        <v>1.0</v>
      </c>
      <c r="R146" s="446"/>
    </row>
    <row r="147" ht="15.75" customHeight="1">
      <c r="B147" s="433">
        <v>142.0</v>
      </c>
      <c r="C147" s="433" t="s">
        <v>41</v>
      </c>
      <c r="D147" s="433" t="s">
        <v>31</v>
      </c>
      <c r="E147" s="434" t="s">
        <v>19616</v>
      </c>
      <c r="F147" s="433" t="s">
        <v>2863</v>
      </c>
      <c r="G147" s="433" t="s">
        <v>29</v>
      </c>
      <c r="H147" s="433" t="s">
        <v>37</v>
      </c>
      <c r="I147" s="433"/>
      <c r="J147" s="433" t="s">
        <v>38</v>
      </c>
      <c r="K147" s="433">
        <v>236.0</v>
      </c>
      <c r="L147" s="433"/>
      <c r="M147" s="433" t="s">
        <v>39</v>
      </c>
      <c r="N147" s="433" t="s">
        <v>6009</v>
      </c>
      <c r="O147" s="433">
        <v>1985.0</v>
      </c>
      <c r="P147" s="433" t="s">
        <v>388</v>
      </c>
      <c r="Q147" s="433">
        <v>1.0</v>
      </c>
      <c r="R147" s="446"/>
    </row>
    <row r="148" ht="15.75" customHeight="1">
      <c r="B148" s="433">
        <v>143.0</v>
      </c>
      <c r="C148" s="433" t="s">
        <v>31</v>
      </c>
      <c r="D148" s="433" t="s">
        <v>31</v>
      </c>
      <c r="E148" s="434" t="s">
        <v>19617</v>
      </c>
      <c r="F148" s="433" t="s">
        <v>2863</v>
      </c>
      <c r="G148" s="433" t="s">
        <v>29</v>
      </c>
      <c r="H148" s="433" t="s">
        <v>30</v>
      </c>
      <c r="I148" s="433" t="s">
        <v>19618</v>
      </c>
      <c r="J148" s="433" t="s">
        <v>19619</v>
      </c>
      <c r="K148" s="433">
        <v>70.0</v>
      </c>
      <c r="L148" s="433"/>
      <c r="M148" s="433" t="s">
        <v>31</v>
      </c>
      <c r="N148" s="433" t="s">
        <v>19620</v>
      </c>
      <c r="O148" s="433">
        <v>2005.0</v>
      </c>
      <c r="P148" s="433" t="s">
        <v>388</v>
      </c>
      <c r="Q148" s="433">
        <v>1.0</v>
      </c>
      <c r="R148" s="446"/>
    </row>
    <row r="149" ht="15.75" customHeight="1">
      <c r="B149" s="433">
        <v>144.0</v>
      </c>
      <c r="C149" s="433" t="s">
        <v>3097</v>
      </c>
      <c r="D149" s="433" t="s">
        <v>19621</v>
      </c>
      <c r="E149" s="434" t="s">
        <v>19622</v>
      </c>
      <c r="F149" s="433" t="s">
        <v>2863</v>
      </c>
      <c r="G149" s="433" t="s">
        <v>29</v>
      </c>
      <c r="H149" s="433" t="s">
        <v>30</v>
      </c>
      <c r="I149" s="433"/>
      <c r="J149" s="433" t="s">
        <v>30</v>
      </c>
      <c r="K149" s="433">
        <v>581.0</v>
      </c>
      <c r="L149" s="433"/>
      <c r="M149" s="433" t="s">
        <v>19623</v>
      </c>
      <c r="N149" s="433" t="s">
        <v>151</v>
      </c>
      <c r="O149" s="433">
        <v>2010.0</v>
      </c>
      <c r="P149" s="433" t="s">
        <v>388</v>
      </c>
      <c r="Q149" s="433">
        <v>1.0</v>
      </c>
      <c r="R149" s="446"/>
    </row>
    <row r="150" ht="15.75" customHeight="1">
      <c r="B150" s="433">
        <v>145.0</v>
      </c>
      <c r="C150" s="433" t="s">
        <v>6079</v>
      </c>
      <c r="D150" s="433"/>
      <c r="E150" s="434" t="s">
        <v>19624</v>
      </c>
      <c r="F150" s="433" t="s">
        <v>2863</v>
      </c>
      <c r="G150" s="433" t="s">
        <v>29</v>
      </c>
      <c r="H150" s="433" t="s">
        <v>30</v>
      </c>
      <c r="I150" s="433" t="s">
        <v>31</v>
      </c>
      <c r="J150" s="433" t="s">
        <v>30</v>
      </c>
      <c r="K150" s="433">
        <v>405.0</v>
      </c>
      <c r="L150" s="433"/>
      <c r="M150" s="433" t="s">
        <v>19625</v>
      </c>
      <c r="N150" s="433" t="s">
        <v>4645</v>
      </c>
      <c r="O150" s="433">
        <v>2009.0</v>
      </c>
      <c r="P150" s="433" t="s">
        <v>388</v>
      </c>
      <c r="Q150" s="433">
        <v>1.0</v>
      </c>
      <c r="R150" s="446"/>
    </row>
    <row r="151" ht="15.75" customHeight="1">
      <c r="B151" s="433">
        <v>146.0</v>
      </c>
      <c r="C151" s="433" t="s">
        <v>5154</v>
      </c>
      <c r="D151" s="433" t="s">
        <v>31</v>
      </c>
      <c r="E151" s="434" t="s">
        <v>19626</v>
      </c>
      <c r="F151" s="433" t="s">
        <v>31</v>
      </c>
      <c r="G151" s="433" t="s">
        <v>29</v>
      </c>
      <c r="H151" s="433" t="s">
        <v>37</v>
      </c>
      <c r="I151" s="433"/>
      <c r="J151" s="433" t="s">
        <v>38</v>
      </c>
      <c r="K151" s="433">
        <v>381.0</v>
      </c>
      <c r="L151" s="433"/>
      <c r="M151" s="433" t="s">
        <v>5158</v>
      </c>
      <c r="N151" s="433" t="s">
        <v>6009</v>
      </c>
      <c r="O151" s="433">
        <v>1993.0</v>
      </c>
      <c r="P151" s="433" t="s">
        <v>388</v>
      </c>
      <c r="Q151" s="433">
        <v>1.0</v>
      </c>
      <c r="R151" s="446"/>
    </row>
    <row r="152" ht="38.25" customHeight="1">
      <c r="B152" s="433"/>
      <c r="C152" s="430" t="s">
        <v>5634</v>
      </c>
      <c r="D152" s="430" t="s">
        <v>19627</v>
      </c>
      <c r="E152" s="432" t="s">
        <v>19628</v>
      </c>
      <c r="F152" s="430" t="s">
        <v>31</v>
      </c>
      <c r="G152" s="430" t="s">
        <v>29</v>
      </c>
      <c r="H152" s="430" t="s">
        <v>37</v>
      </c>
      <c r="I152" s="430"/>
      <c r="J152" s="430" t="s">
        <v>38</v>
      </c>
      <c r="K152" s="430">
        <f>204+13</f>
        <v>217</v>
      </c>
      <c r="L152" s="430"/>
      <c r="M152" s="430" t="s">
        <v>19629</v>
      </c>
      <c r="N152" s="430" t="s">
        <v>5638</v>
      </c>
      <c r="O152" s="430">
        <v>1988.0</v>
      </c>
      <c r="P152" s="430" t="s">
        <v>388</v>
      </c>
      <c r="Q152" s="430">
        <v>1.0</v>
      </c>
      <c r="R152" s="446"/>
    </row>
    <row r="153" ht="15.75" customHeight="1">
      <c r="B153" s="433">
        <v>147.0</v>
      </c>
      <c r="C153" s="433" t="s">
        <v>31</v>
      </c>
      <c r="D153" s="433" t="s">
        <v>31</v>
      </c>
      <c r="E153" s="434" t="s">
        <v>19630</v>
      </c>
      <c r="F153" s="433" t="s">
        <v>31</v>
      </c>
      <c r="G153" s="433" t="s">
        <v>29</v>
      </c>
      <c r="H153" s="433" t="s">
        <v>31</v>
      </c>
      <c r="I153" s="433"/>
      <c r="J153" s="433" t="s">
        <v>38</v>
      </c>
      <c r="K153" s="433">
        <v>381.0</v>
      </c>
      <c r="L153" s="433"/>
      <c r="M153" s="433" t="s">
        <v>5158</v>
      </c>
      <c r="N153" s="433" t="s">
        <v>31</v>
      </c>
      <c r="O153" s="433">
        <v>1993.0</v>
      </c>
      <c r="P153" s="433" t="s">
        <v>388</v>
      </c>
      <c r="Q153" s="433">
        <v>1.0</v>
      </c>
      <c r="R153" s="446"/>
    </row>
    <row r="154" ht="15.75" customHeight="1">
      <c r="B154" s="433">
        <v>148.0</v>
      </c>
      <c r="C154" s="433"/>
      <c r="D154" s="433" t="s">
        <v>31</v>
      </c>
      <c r="E154" s="434" t="s">
        <v>19631</v>
      </c>
      <c r="F154" s="433" t="s">
        <v>31</v>
      </c>
      <c r="G154" s="433" t="s">
        <v>29</v>
      </c>
      <c r="H154" s="433" t="s">
        <v>15646</v>
      </c>
      <c r="I154" s="433"/>
      <c r="J154" s="433" t="s">
        <v>19632</v>
      </c>
      <c r="K154" s="433">
        <v>227.0</v>
      </c>
      <c r="L154" s="433"/>
      <c r="M154" s="433" t="s">
        <v>19633</v>
      </c>
      <c r="N154" s="433" t="s">
        <v>17364</v>
      </c>
      <c r="O154" s="433">
        <v>2007.0</v>
      </c>
      <c r="P154" s="433" t="s">
        <v>388</v>
      </c>
      <c r="Q154" s="433">
        <v>1.0</v>
      </c>
      <c r="R154" s="446"/>
    </row>
    <row r="155" ht="15.75" customHeight="1">
      <c r="B155" s="430">
        <v>149.0</v>
      </c>
      <c r="C155" s="433" t="s">
        <v>6445</v>
      </c>
      <c r="D155" s="433" t="s">
        <v>19634</v>
      </c>
      <c r="E155" s="434" t="s">
        <v>19635</v>
      </c>
      <c r="F155" s="433" t="s">
        <v>31</v>
      </c>
      <c r="G155" s="433" t="s">
        <v>29</v>
      </c>
      <c r="H155" s="433" t="s">
        <v>37</v>
      </c>
      <c r="I155" s="433"/>
      <c r="J155" s="433" t="s">
        <v>38</v>
      </c>
      <c r="K155" s="433">
        <f>62+6</f>
        <v>68</v>
      </c>
      <c r="L155" s="433"/>
      <c r="M155" s="433" t="s">
        <v>19636</v>
      </c>
      <c r="N155" s="433" t="s">
        <v>19637</v>
      </c>
      <c r="O155" s="433">
        <v>1990.0</v>
      </c>
      <c r="P155" s="433" t="s">
        <v>388</v>
      </c>
      <c r="Q155" s="433">
        <v>1.0</v>
      </c>
      <c r="R155" s="446"/>
    </row>
    <row r="156" ht="15.75" customHeight="1">
      <c r="B156" s="430">
        <v>150.0</v>
      </c>
      <c r="C156" s="433" t="s">
        <v>31</v>
      </c>
      <c r="D156" s="833" t="s">
        <v>19638</v>
      </c>
      <c r="E156" s="434" t="s">
        <v>19639</v>
      </c>
      <c r="F156" s="433" t="s">
        <v>31</v>
      </c>
      <c r="G156" s="433" t="s">
        <v>29</v>
      </c>
      <c r="H156" s="433" t="s">
        <v>38</v>
      </c>
      <c r="I156" s="433"/>
      <c r="J156" s="433" t="s">
        <v>38</v>
      </c>
      <c r="K156" s="433">
        <v>128.0</v>
      </c>
      <c r="L156" s="433"/>
      <c r="M156" s="433" t="s">
        <v>9258</v>
      </c>
      <c r="N156" s="433" t="s">
        <v>65</v>
      </c>
      <c r="O156" s="433">
        <v>1957.0</v>
      </c>
      <c r="P156" s="433" t="s">
        <v>388</v>
      </c>
      <c r="Q156" s="433">
        <v>1.0</v>
      </c>
      <c r="R156" s="446"/>
    </row>
    <row r="157" ht="15.75" customHeight="1">
      <c r="B157" s="430">
        <v>151.0</v>
      </c>
      <c r="C157" s="433" t="s">
        <v>5940</v>
      </c>
      <c r="D157" s="833" t="s">
        <v>19640</v>
      </c>
      <c r="E157" s="434" t="s">
        <v>19641</v>
      </c>
      <c r="F157" s="433" t="s">
        <v>31</v>
      </c>
      <c r="G157" s="433" t="s">
        <v>29</v>
      </c>
      <c r="H157" s="433" t="s">
        <v>37</v>
      </c>
      <c r="I157" s="433"/>
      <c r="J157" s="433" t="s">
        <v>38</v>
      </c>
      <c r="K157" s="433">
        <v>274.0</v>
      </c>
      <c r="L157" s="433"/>
      <c r="M157" s="433" t="s">
        <v>5943</v>
      </c>
      <c r="N157" s="433" t="s">
        <v>19637</v>
      </c>
      <c r="O157" s="433">
        <v>1986.0</v>
      </c>
      <c r="P157" s="433" t="s">
        <v>388</v>
      </c>
      <c r="Q157" s="433">
        <v>1.0</v>
      </c>
      <c r="R157" s="446"/>
    </row>
    <row r="158" ht="15.75" customHeight="1">
      <c r="B158" s="430">
        <v>152.0</v>
      </c>
      <c r="C158" s="433" t="s">
        <v>10365</v>
      </c>
      <c r="D158" s="433" t="s">
        <v>19642</v>
      </c>
      <c r="E158" s="434" t="s">
        <v>19643</v>
      </c>
      <c r="F158" s="433" t="s">
        <v>31</v>
      </c>
      <c r="G158" s="433" t="s">
        <v>29</v>
      </c>
      <c r="H158" s="433" t="s">
        <v>37</v>
      </c>
      <c r="I158" s="433"/>
      <c r="J158" s="433" t="s">
        <v>5762</v>
      </c>
      <c r="K158" s="433"/>
      <c r="L158" s="433"/>
      <c r="M158" s="433" t="s">
        <v>19644</v>
      </c>
      <c r="N158" s="433" t="s">
        <v>14369</v>
      </c>
      <c r="O158" s="433">
        <v>1979.0</v>
      </c>
      <c r="P158" s="433" t="s">
        <v>388</v>
      </c>
      <c r="Q158" s="433">
        <v>1.0</v>
      </c>
      <c r="R158" s="446"/>
    </row>
    <row r="159" ht="15.75" customHeight="1">
      <c r="B159" s="430">
        <v>153.0</v>
      </c>
      <c r="C159" s="433"/>
      <c r="D159" s="433" t="s">
        <v>19645</v>
      </c>
      <c r="E159" s="434" t="s">
        <v>19646</v>
      </c>
      <c r="F159" s="433" t="s">
        <v>31</v>
      </c>
      <c r="G159" s="433" t="s">
        <v>29</v>
      </c>
      <c r="H159" s="433" t="s">
        <v>30</v>
      </c>
      <c r="I159" s="433"/>
      <c r="J159" s="433" t="s">
        <v>30</v>
      </c>
      <c r="K159" s="433">
        <v>262.0</v>
      </c>
      <c r="L159" s="433"/>
      <c r="M159" s="433" t="s">
        <v>19647</v>
      </c>
      <c r="N159" s="433" t="s">
        <v>2258</v>
      </c>
      <c r="O159" s="433">
        <v>2015.0</v>
      </c>
      <c r="P159" s="433" t="s">
        <v>388</v>
      </c>
      <c r="Q159" s="433">
        <v>1.0</v>
      </c>
      <c r="R159" s="446"/>
    </row>
    <row r="160" ht="15.75" customHeight="1">
      <c r="B160" s="433">
        <v>154.0</v>
      </c>
      <c r="C160" s="433" t="s">
        <v>31</v>
      </c>
      <c r="D160" s="433" t="s">
        <v>19648</v>
      </c>
      <c r="E160" s="434" t="s">
        <v>6453</v>
      </c>
      <c r="F160" s="433" t="s">
        <v>31</v>
      </c>
      <c r="G160" s="433" t="s">
        <v>29</v>
      </c>
      <c r="H160" s="433" t="s">
        <v>6454</v>
      </c>
      <c r="I160" s="433"/>
      <c r="J160" s="433" t="s">
        <v>38</v>
      </c>
      <c r="K160" s="433" t="s">
        <v>31</v>
      </c>
      <c r="L160" s="433"/>
      <c r="M160" s="433" t="s">
        <v>31</v>
      </c>
      <c r="N160" s="433" t="s">
        <v>19649</v>
      </c>
      <c r="O160" s="433" t="s">
        <v>31</v>
      </c>
      <c r="P160" s="433" t="s">
        <v>388</v>
      </c>
      <c r="Q160" s="433">
        <v>1.0</v>
      </c>
      <c r="R160" s="446"/>
    </row>
    <row r="161" ht="15.75" customHeight="1">
      <c r="A161" s="45"/>
      <c r="B161" s="430">
        <v>155.0</v>
      </c>
      <c r="C161" s="433"/>
      <c r="D161" s="433" t="s">
        <v>19650</v>
      </c>
      <c r="E161" s="434" t="s">
        <v>19651</v>
      </c>
      <c r="F161" s="433" t="s">
        <v>31</v>
      </c>
      <c r="G161" s="433" t="s">
        <v>29</v>
      </c>
      <c r="H161" s="433" t="s">
        <v>30</v>
      </c>
      <c r="I161" s="433"/>
      <c r="J161" s="433" t="s">
        <v>30</v>
      </c>
      <c r="K161" s="433">
        <v>180.0</v>
      </c>
      <c r="L161" s="433"/>
      <c r="M161" s="433" t="s">
        <v>31</v>
      </c>
      <c r="N161" s="433" t="s">
        <v>19652</v>
      </c>
      <c r="O161" s="433">
        <v>2016.0</v>
      </c>
      <c r="P161" s="433" t="s">
        <v>388</v>
      </c>
      <c r="Q161" s="433">
        <v>1.0</v>
      </c>
      <c r="R161" s="446"/>
    </row>
    <row r="162" ht="15.75" customHeight="1">
      <c r="A162" s="45"/>
      <c r="B162" s="430">
        <v>156.0</v>
      </c>
      <c r="C162" s="322" t="s">
        <v>5578</v>
      </c>
      <c r="D162" s="322" t="s">
        <v>19653</v>
      </c>
      <c r="E162" s="420" t="s">
        <v>19654</v>
      </c>
      <c r="F162" s="322"/>
      <c r="G162" s="322" t="s">
        <v>29</v>
      </c>
      <c r="H162" s="322" t="s">
        <v>37</v>
      </c>
      <c r="I162" s="322"/>
      <c r="J162" s="322" t="s">
        <v>38</v>
      </c>
      <c r="K162" s="322">
        <v>242.0</v>
      </c>
      <c r="L162" s="322"/>
      <c r="M162" s="322" t="s">
        <v>5581</v>
      </c>
      <c r="N162" s="322" t="s">
        <v>382</v>
      </c>
      <c r="O162" s="322">
        <v>2011.0</v>
      </c>
      <c r="P162" s="322" t="s">
        <v>388</v>
      </c>
      <c r="Q162" s="322">
        <v>1.0</v>
      </c>
      <c r="R162" s="446"/>
      <c r="S162" s="149"/>
      <c r="T162" s="45"/>
      <c r="U162" s="45"/>
      <c r="V162" s="45"/>
      <c r="W162" s="45"/>
      <c r="X162" s="45"/>
      <c r="Y162" s="45"/>
      <c r="Z162" s="45"/>
      <c r="AA162" s="45"/>
      <c r="AB162" s="45"/>
      <c r="AC162" s="45"/>
      <c r="AD162" s="45"/>
      <c r="AE162" s="45"/>
      <c r="AF162" s="45"/>
      <c r="AG162" s="45"/>
      <c r="AH162" s="45"/>
      <c r="AI162" s="45"/>
      <c r="AJ162" s="45"/>
      <c r="AK162" s="45"/>
    </row>
    <row r="163" ht="15.75" customHeight="1">
      <c r="A163" s="45"/>
      <c r="B163" s="430">
        <v>157.0</v>
      </c>
      <c r="C163" s="322" t="s">
        <v>6101</v>
      </c>
      <c r="D163" s="322" t="s">
        <v>19655</v>
      </c>
      <c r="E163" s="420" t="s">
        <v>6102</v>
      </c>
      <c r="F163" s="322" t="s">
        <v>2863</v>
      </c>
      <c r="G163" s="322" t="s">
        <v>29</v>
      </c>
      <c r="H163" s="322" t="s">
        <v>30</v>
      </c>
      <c r="I163" s="322"/>
      <c r="J163" s="322" t="s">
        <v>30</v>
      </c>
      <c r="K163" s="322">
        <v>215.0</v>
      </c>
      <c r="L163" s="322" t="s">
        <v>19656</v>
      </c>
      <c r="M163" s="322" t="s">
        <v>6099</v>
      </c>
      <c r="N163" s="322" t="s">
        <v>6100</v>
      </c>
      <c r="O163" s="322">
        <v>2010.0</v>
      </c>
      <c r="P163" s="322" t="s">
        <v>388</v>
      </c>
      <c r="Q163" s="322">
        <v>1.0</v>
      </c>
      <c r="R163" s="446"/>
      <c r="S163" s="149"/>
      <c r="T163" s="45"/>
      <c r="U163" s="45"/>
      <c r="V163" s="45"/>
      <c r="W163" s="45"/>
      <c r="X163" s="45"/>
      <c r="Y163" s="45"/>
      <c r="Z163" s="45"/>
      <c r="AA163" s="45"/>
      <c r="AB163" s="45"/>
      <c r="AC163" s="45"/>
      <c r="AD163" s="45"/>
      <c r="AE163" s="45"/>
      <c r="AF163" s="45"/>
      <c r="AG163" s="45"/>
      <c r="AH163" s="45"/>
      <c r="AI163" s="45"/>
      <c r="AJ163" s="45"/>
      <c r="AK163" s="45"/>
    </row>
    <row r="164" ht="15.75" customHeight="1">
      <c r="A164" s="45"/>
      <c r="B164" s="430" t="s">
        <v>19657</v>
      </c>
      <c r="C164" s="430" t="s">
        <v>2941</v>
      </c>
      <c r="D164" s="430" t="s">
        <v>19658</v>
      </c>
      <c r="E164" s="432" t="s">
        <v>2943</v>
      </c>
      <c r="F164" s="430" t="s">
        <v>2863</v>
      </c>
      <c r="G164" s="430" t="s">
        <v>29</v>
      </c>
      <c r="H164" s="430" t="s">
        <v>37</v>
      </c>
      <c r="I164" s="430"/>
      <c r="J164" s="430" t="s">
        <v>38</v>
      </c>
      <c r="K164" s="430">
        <f>1027+24</f>
        <v>1051</v>
      </c>
      <c r="L164" s="430" t="s">
        <v>31</v>
      </c>
      <c r="M164" s="430" t="s">
        <v>2944</v>
      </c>
      <c r="N164" s="430" t="s">
        <v>19659</v>
      </c>
      <c r="O164" s="430">
        <v>1976.0</v>
      </c>
      <c r="P164" s="430" t="s">
        <v>388</v>
      </c>
      <c r="Q164" s="430">
        <v>1.0</v>
      </c>
      <c r="R164" s="446"/>
      <c r="S164" s="149"/>
      <c r="T164" s="45"/>
      <c r="U164" s="45"/>
      <c r="V164" s="45"/>
      <c r="W164" s="45"/>
      <c r="X164" s="45"/>
      <c r="Y164" s="45"/>
      <c r="Z164" s="45"/>
      <c r="AA164" s="45"/>
      <c r="AB164" s="45"/>
      <c r="AC164" s="45"/>
      <c r="AD164" s="45"/>
      <c r="AE164" s="45"/>
      <c r="AF164" s="45"/>
      <c r="AG164" s="45"/>
      <c r="AH164" s="45"/>
      <c r="AI164" s="45"/>
      <c r="AJ164" s="45"/>
      <c r="AK164" s="45"/>
    </row>
    <row r="165" ht="15.75" customHeight="1">
      <c r="B165" s="430" t="s">
        <v>19657</v>
      </c>
      <c r="C165" s="430" t="s">
        <v>31</v>
      </c>
      <c r="D165" s="430" t="s">
        <v>19660</v>
      </c>
      <c r="E165" s="432" t="s">
        <v>19661</v>
      </c>
      <c r="F165" s="430" t="s">
        <v>2863</v>
      </c>
      <c r="G165" s="430" t="s">
        <v>29</v>
      </c>
      <c r="H165" s="430" t="s">
        <v>37</v>
      </c>
      <c r="I165" s="430"/>
      <c r="J165" s="430" t="s">
        <v>38</v>
      </c>
      <c r="K165" s="430">
        <f>268+12</f>
        <v>280</v>
      </c>
      <c r="L165" s="430" t="s">
        <v>31</v>
      </c>
      <c r="M165" s="430" t="s">
        <v>19662</v>
      </c>
      <c r="N165" s="430" t="s">
        <v>2968</v>
      </c>
      <c r="O165" s="430">
        <v>1970.0</v>
      </c>
      <c r="P165" s="430" t="s">
        <v>388</v>
      </c>
      <c r="Q165" s="430">
        <v>1.0</v>
      </c>
      <c r="R165" s="446"/>
    </row>
    <row r="166" ht="15.75" customHeight="1">
      <c r="B166" s="322" t="s">
        <v>19657</v>
      </c>
      <c r="C166" s="430" t="s">
        <v>31</v>
      </c>
      <c r="D166" s="430" t="s">
        <v>19663</v>
      </c>
      <c r="E166" s="432" t="s">
        <v>19664</v>
      </c>
      <c r="F166" s="430" t="s">
        <v>2863</v>
      </c>
      <c r="G166" s="430" t="s">
        <v>29</v>
      </c>
      <c r="H166" s="430" t="s">
        <v>37</v>
      </c>
      <c r="I166" s="430"/>
      <c r="J166" s="430" t="s">
        <v>38</v>
      </c>
      <c r="K166" s="430">
        <v>95.0</v>
      </c>
      <c r="L166" s="430" t="s">
        <v>31</v>
      </c>
      <c r="M166" s="430" t="s">
        <v>19665</v>
      </c>
      <c r="N166" s="430" t="s">
        <v>19666</v>
      </c>
      <c r="O166" s="430">
        <v>1963.0</v>
      </c>
      <c r="P166" s="430" t="s">
        <v>388</v>
      </c>
      <c r="Q166" s="430">
        <v>1.0</v>
      </c>
      <c r="R166" s="446"/>
    </row>
    <row r="167" ht="15.75" customHeight="1">
      <c r="B167" s="430" t="s">
        <v>19657</v>
      </c>
      <c r="C167" s="430" t="s">
        <v>2890</v>
      </c>
      <c r="D167" s="430" t="s">
        <v>19667</v>
      </c>
      <c r="E167" s="432" t="s">
        <v>19668</v>
      </c>
      <c r="F167" s="430" t="s">
        <v>165</v>
      </c>
      <c r="G167" s="430" t="s">
        <v>29</v>
      </c>
      <c r="H167" s="430" t="s">
        <v>37</v>
      </c>
      <c r="I167" s="430"/>
      <c r="J167" s="430" t="s">
        <v>38</v>
      </c>
      <c r="K167" s="430">
        <v>153.0</v>
      </c>
      <c r="L167" s="430" t="s">
        <v>31</v>
      </c>
      <c r="M167" s="430" t="s">
        <v>2557</v>
      </c>
      <c r="N167" s="430" t="s">
        <v>4692</v>
      </c>
      <c r="O167" s="430">
        <v>1983.0</v>
      </c>
      <c r="P167" s="430" t="s">
        <v>388</v>
      </c>
      <c r="Q167" s="430">
        <v>1.0</v>
      </c>
      <c r="R167" s="446"/>
    </row>
    <row r="168" ht="15.75" customHeight="1">
      <c r="B168" s="430" t="s">
        <v>19657</v>
      </c>
      <c r="C168" s="430"/>
      <c r="D168" s="430" t="s">
        <v>19669</v>
      </c>
      <c r="E168" s="432" t="s">
        <v>3061</v>
      </c>
      <c r="F168" s="430" t="s">
        <v>28</v>
      </c>
      <c r="G168" s="430" t="s">
        <v>29</v>
      </c>
      <c r="H168" s="430" t="s">
        <v>37</v>
      </c>
      <c r="I168" s="430"/>
      <c r="J168" s="430" t="s">
        <v>38</v>
      </c>
      <c r="K168" s="430">
        <f>212</f>
        <v>212</v>
      </c>
      <c r="L168" s="430" t="s">
        <v>31</v>
      </c>
      <c r="M168" s="430" t="s">
        <v>19670</v>
      </c>
      <c r="N168" s="430" t="s">
        <v>382</v>
      </c>
      <c r="O168" s="430">
        <v>1968.0</v>
      </c>
      <c r="P168" s="430" t="s">
        <v>388</v>
      </c>
      <c r="Q168" s="430">
        <v>1.0</v>
      </c>
      <c r="R168" s="446"/>
    </row>
    <row r="169" ht="15.75" customHeight="1">
      <c r="B169" s="430" t="s">
        <v>19657</v>
      </c>
      <c r="C169" s="430" t="s">
        <v>31</v>
      </c>
      <c r="D169" s="430" t="s">
        <v>19671</v>
      </c>
      <c r="E169" s="432" t="s">
        <v>4144</v>
      </c>
      <c r="F169" s="430" t="s">
        <v>144</v>
      </c>
      <c r="G169" s="430" t="s">
        <v>29</v>
      </c>
      <c r="H169" s="430" t="s">
        <v>37</v>
      </c>
      <c r="I169" s="430"/>
      <c r="J169" s="430" t="s">
        <v>38</v>
      </c>
      <c r="K169" s="430">
        <f>370</f>
        <v>370</v>
      </c>
      <c r="L169" s="430" t="s">
        <v>31</v>
      </c>
      <c r="M169" s="430" t="s">
        <v>4145</v>
      </c>
      <c r="N169" s="430" t="s">
        <v>2471</v>
      </c>
      <c r="O169" s="430">
        <v>1966.0</v>
      </c>
      <c r="P169" s="430" t="s">
        <v>388</v>
      </c>
      <c r="Q169" s="430">
        <v>1.0</v>
      </c>
      <c r="R169" s="446"/>
    </row>
    <row r="170" ht="15.75" customHeight="1">
      <c r="B170" s="430" t="s">
        <v>19657</v>
      </c>
      <c r="C170" s="430" t="s">
        <v>31</v>
      </c>
      <c r="D170" s="430" t="s">
        <v>19672</v>
      </c>
      <c r="E170" s="432" t="s">
        <v>19673</v>
      </c>
      <c r="F170" s="430" t="s">
        <v>144</v>
      </c>
      <c r="G170" s="430" t="s">
        <v>29</v>
      </c>
      <c r="H170" s="430" t="s">
        <v>38</v>
      </c>
      <c r="I170" s="430"/>
      <c r="J170" s="430" t="s">
        <v>38</v>
      </c>
      <c r="K170" s="430">
        <f>241+8</f>
        <v>249</v>
      </c>
      <c r="L170" s="430"/>
      <c r="M170" s="430" t="s">
        <v>2848</v>
      </c>
      <c r="N170" s="430" t="s">
        <v>72</v>
      </c>
      <c r="O170" s="430">
        <v>1961.0</v>
      </c>
      <c r="P170" s="430" t="s">
        <v>388</v>
      </c>
      <c r="Q170" s="430">
        <v>1.0</v>
      </c>
      <c r="R170" s="446"/>
    </row>
    <row r="171" ht="15.75" customHeight="1">
      <c r="B171" s="430" t="s">
        <v>19657</v>
      </c>
      <c r="C171" s="430" t="s">
        <v>31</v>
      </c>
      <c r="D171" s="430" t="s">
        <v>19674</v>
      </c>
      <c r="E171" s="432" t="s">
        <v>19675</v>
      </c>
      <c r="F171" s="430" t="s">
        <v>2863</v>
      </c>
      <c r="G171" s="430" t="s">
        <v>29</v>
      </c>
      <c r="H171" s="430" t="s">
        <v>131</v>
      </c>
      <c r="I171" s="430"/>
      <c r="J171" s="430" t="s">
        <v>38</v>
      </c>
      <c r="K171" s="430">
        <f>331+10</f>
        <v>341</v>
      </c>
      <c r="L171" s="430"/>
      <c r="M171" s="430" t="s">
        <v>2387</v>
      </c>
      <c r="N171" s="430" t="s">
        <v>19676</v>
      </c>
      <c r="O171" s="430">
        <v>1964.0</v>
      </c>
      <c r="P171" s="430" t="s">
        <v>388</v>
      </c>
      <c r="Q171" s="430">
        <v>3.0</v>
      </c>
      <c r="R171" s="446"/>
    </row>
    <row r="172" ht="15.75" customHeight="1">
      <c r="B172" s="430" t="s">
        <v>19657</v>
      </c>
      <c r="C172" s="433"/>
      <c r="D172" s="433"/>
      <c r="E172" s="434" t="s">
        <v>19677</v>
      </c>
      <c r="F172" s="433" t="s">
        <v>2863</v>
      </c>
      <c r="G172" s="433" t="s">
        <v>29</v>
      </c>
      <c r="H172" s="433"/>
      <c r="I172" s="433"/>
      <c r="J172" s="433" t="s">
        <v>38</v>
      </c>
      <c r="K172" s="433">
        <v>384.0</v>
      </c>
      <c r="L172" s="433"/>
      <c r="M172" s="433" t="s">
        <v>19678</v>
      </c>
      <c r="N172" s="433" t="s">
        <v>19679</v>
      </c>
      <c r="O172" s="433" t="s">
        <v>31</v>
      </c>
      <c r="P172" s="433" t="s">
        <v>388</v>
      </c>
      <c r="Q172" s="433">
        <v>1.0</v>
      </c>
      <c r="R172" s="446"/>
    </row>
    <row r="173" ht="15.75" customHeight="1">
      <c r="B173" s="430" t="s">
        <v>19657</v>
      </c>
      <c r="C173" s="430" t="s">
        <v>4515</v>
      </c>
      <c r="D173" s="430" t="s">
        <v>19680</v>
      </c>
      <c r="E173" s="432" t="s">
        <v>4517</v>
      </c>
      <c r="F173" s="430" t="s">
        <v>2863</v>
      </c>
      <c r="G173" s="430" t="s">
        <v>29</v>
      </c>
      <c r="H173" s="430" t="s">
        <v>37</v>
      </c>
      <c r="I173" s="430"/>
      <c r="J173" s="430" t="s">
        <v>38</v>
      </c>
      <c r="K173" s="430">
        <f>288+8</f>
        <v>296</v>
      </c>
      <c r="L173" s="430"/>
      <c r="M173" s="430" t="s">
        <v>4518</v>
      </c>
      <c r="N173" s="430" t="s">
        <v>19681</v>
      </c>
      <c r="O173" s="430">
        <v>1995.0</v>
      </c>
      <c r="P173" s="430" t="s">
        <v>388</v>
      </c>
      <c r="Q173" s="430">
        <v>1.0</v>
      </c>
      <c r="R173" s="446"/>
    </row>
    <row r="174" ht="15.75" customHeight="1">
      <c r="B174" s="430" t="s">
        <v>19657</v>
      </c>
      <c r="C174" s="430"/>
      <c r="D174" s="430" t="s">
        <v>19682</v>
      </c>
      <c r="E174" s="432" t="s">
        <v>19683</v>
      </c>
      <c r="F174" s="430" t="s">
        <v>2863</v>
      </c>
      <c r="G174" s="430" t="s">
        <v>29</v>
      </c>
      <c r="H174" s="430" t="s">
        <v>38</v>
      </c>
      <c r="I174" s="430"/>
      <c r="J174" s="430" t="s">
        <v>38</v>
      </c>
      <c r="K174" s="430">
        <f>128</f>
        <v>128</v>
      </c>
      <c r="L174" s="430"/>
      <c r="M174" s="430" t="s">
        <v>9258</v>
      </c>
      <c r="N174" s="430" t="s">
        <v>65</v>
      </c>
      <c r="O174" s="430">
        <v>1957.0</v>
      </c>
      <c r="P174" s="430" t="s">
        <v>388</v>
      </c>
      <c r="Q174" s="430">
        <v>1.0</v>
      </c>
      <c r="R174" s="446"/>
    </row>
    <row r="175" ht="15.75" customHeight="1">
      <c r="B175" s="430" t="s">
        <v>19657</v>
      </c>
      <c r="C175" s="430" t="s">
        <v>19684</v>
      </c>
      <c r="D175" s="430" t="s">
        <v>19685</v>
      </c>
      <c r="E175" s="432" t="s">
        <v>19686</v>
      </c>
      <c r="F175" s="430" t="s">
        <v>2863</v>
      </c>
      <c r="G175" s="430" t="s">
        <v>29</v>
      </c>
      <c r="H175" s="430" t="s">
        <v>37</v>
      </c>
      <c r="I175" s="430"/>
      <c r="J175" s="430" t="s">
        <v>38</v>
      </c>
      <c r="K175" s="430">
        <f>297+22</f>
        <v>319</v>
      </c>
      <c r="L175" s="430"/>
      <c r="M175" s="430" t="s">
        <v>6380</v>
      </c>
      <c r="N175" s="430" t="s">
        <v>6381</v>
      </c>
      <c r="O175" s="430">
        <v>1968.0</v>
      </c>
      <c r="P175" s="430" t="s">
        <v>388</v>
      </c>
      <c r="Q175" s="430">
        <v>1.0</v>
      </c>
      <c r="R175" s="446"/>
    </row>
    <row r="176" ht="15.75" customHeight="1">
      <c r="B176" s="430">
        <v>159.0</v>
      </c>
      <c r="C176" s="430" t="s">
        <v>19687</v>
      </c>
      <c r="D176" s="430" t="s">
        <v>19688</v>
      </c>
      <c r="E176" s="432" t="s">
        <v>19689</v>
      </c>
      <c r="F176" s="430" t="s">
        <v>2863</v>
      </c>
      <c r="G176" s="430" t="s">
        <v>29</v>
      </c>
      <c r="H176" s="430" t="s">
        <v>37</v>
      </c>
      <c r="I176" s="430"/>
      <c r="J176" s="430" t="s">
        <v>38</v>
      </c>
      <c r="K176" s="430">
        <f>542+4+12</f>
        <v>558</v>
      </c>
      <c r="L176" s="430"/>
      <c r="M176" s="430" t="s">
        <v>19690</v>
      </c>
      <c r="N176" s="430" t="s">
        <v>2428</v>
      </c>
      <c r="O176" s="430">
        <v>1983.0</v>
      </c>
      <c r="P176" s="430" t="s">
        <v>388</v>
      </c>
      <c r="Q176" s="430">
        <v>1.0</v>
      </c>
      <c r="R176" s="446"/>
    </row>
    <row r="177" ht="15.75" customHeight="1">
      <c r="B177" s="430">
        <v>160.0</v>
      </c>
      <c r="C177" s="430" t="s">
        <v>9684</v>
      </c>
      <c r="D177" s="430" t="s">
        <v>19691</v>
      </c>
      <c r="E177" s="432" t="s">
        <v>19692</v>
      </c>
      <c r="F177" s="430" t="s">
        <v>2863</v>
      </c>
      <c r="G177" s="430" t="s">
        <v>29</v>
      </c>
      <c r="H177" s="430" t="s">
        <v>37</v>
      </c>
      <c r="I177" s="430"/>
      <c r="J177" s="430" t="s">
        <v>38</v>
      </c>
      <c r="K177" s="430">
        <f>263+14</f>
        <v>277</v>
      </c>
      <c r="L177" s="430"/>
      <c r="M177" s="430" t="s">
        <v>2868</v>
      </c>
      <c r="N177" s="430" t="s">
        <v>19693</v>
      </c>
      <c r="O177" s="430">
        <v>1985.0</v>
      </c>
      <c r="P177" s="430" t="s">
        <v>388</v>
      </c>
      <c r="Q177" s="430">
        <v>1.0</v>
      </c>
      <c r="R177" s="446"/>
    </row>
    <row r="178" ht="15.75" customHeight="1">
      <c r="B178" s="433">
        <v>161.0</v>
      </c>
      <c r="C178" s="433" t="s">
        <v>6434</v>
      </c>
      <c r="D178" s="433"/>
      <c r="E178" s="434"/>
      <c r="F178" s="433"/>
      <c r="G178" s="433"/>
      <c r="H178" s="433"/>
      <c r="I178" s="433"/>
      <c r="J178" s="433"/>
      <c r="K178" s="433"/>
      <c r="L178" s="433"/>
      <c r="M178" s="433"/>
      <c r="N178" s="433"/>
      <c r="O178" s="433"/>
      <c r="P178" s="433"/>
      <c r="Q178" s="433"/>
      <c r="R178" s="446"/>
    </row>
    <row r="179" ht="15.75" customHeight="1">
      <c r="B179" s="433"/>
      <c r="C179" s="433"/>
      <c r="D179" s="433"/>
      <c r="E179" s="434"/>
      <c r="F179" s="433"/>
      <c r="G179" s="433"/>
      <c r="H179" s="433"/>
      <c r="I179" s="433"/>
      <c r="J179" s="433"/>
      <c r="K179" s="433"/>
      <c r="L179" s="433"/>
      <c r="M179" s="433"/>
      <c r="N179" s="433"/>
      <c r="O179" s="433"/>
      <c r="P179" s="433"/>
      <c r="Q179" s="433"/>
      <c r="R179" s="446"/>
    </row>
    <row r="180" ht="15.75" customHeight="1">
      <c r="B180" s="433"/>
      <c r="C180" s="433"/>
      <c r="D180" s="433"/>
      <c r="E180" s="434"/>
      <c r="F180" s="433"/>
      <c r="G180" s="433"/>
      <c r="H180" s="433"/>
      <c r="I180" s="433"/>
      <c r="J180" s="433"/>
      <c r="K180" s="433"/>
      <c r="L180" s="433"/>
      <c r="M180" s="433"/>
      <c r="N180" s="433"/>
      <c r="O180" s="433"/>
      <c r="P180" s="433"/>
      <c r="Q180" s="433"/>
      <c r="R180" s="446"/>
    </row>
    <row r="181" ht="15.75" customHeight="1">
      <c r="B181" s="433"/>
      <c r="C181" s="433"/>
      <c r="D181" s="433"/>
      <c r="E181" s="434"/>
      <c r="F181" s="433"/>
      <c r="G181" s="433"/>
      <c r="H181" s="433"/>
      <c r="I181" s="433"/>
      <c r="J181" s="433"/>
      <c r="K181" s="433"/>
      <c r="L181" s="433"/>
      <c r="M181" s="433"/>
      <c r="N181" s="433"/>
      <c r="O181" s="433"/>
      <c r="P181" s="433"/>
      <c r="Q181" s="433"/>
      <c r="R181" s="446"/>
    </row>
    <row r="182" ht="15.75" customHeight="1">
      <c r="B182" s="433"/>
      <c r="C182" s="433"/>
      <c r="D182" s="433"/>
      <c r="E182" s="434"/>
      <c r="F182" s="433"/>
      <c r="G182" s="433"/>
      <c r="H182" s="433"/>
      <c r="I182" s="433"/>
      <c r="J182" s="433"/>
      <c r="K182" s="433"/>
      <c r="L182" s="433"/>
      <c r="M182" s="433"/>
      <c r="N182" s="433"/>
      <c r="O182" s="433"/>
      <c r="P182" s="433"/>
      <c r="Q182" s="433"/>
      <c r="R182" s="446"/>
    </row>
    <row r="183" ht="15.75" customHeight="1">
      <c r="B183" s="433"/>
      <c r="C183" s="433"/>
      <c r="D183" s="433"/>
      <c r="E183" s="434"/>
      <c r="F183" s="433"/>
      <c r="G183" s="433"/>
      <c r="H183" s="433"/>
      <c r="I183" s="433"/>
      <c r="J183" s="433"/>
      <c r="K183" s="433"/>
      <c r="L183" s="433"/>
      <c r="M183" s="433"/>
      <c r="N183" s="433"/>
      <c r="O183" s="433"/>
      <c r="P183" s="433"/>
      <c r="Q183" s="433"/>
      <c r="R183" s="446"/>
    </row>
    <row r="184" ht="15.75" customHeight="1">
      <c r="B184" s="433"/>
      <c r="C184" s="433"/>
      <c r="D184" s="433"/>
      <c r="E184" s="434"/>
      <c r="F184" s="433"/>
      <c r="G184" s="433"/>
      <c r="H184" s="433"/>
      <c r="I184" s="433"/>
      <c r="J184" s="433"/>
      <c r="K184" s="433"/>
      <c r="L184" s="433"/>
      <c r="M184" s="433"/>
      <c r="N184" s="433"/>
      <c r="O184" s="433"/>
      <c r="P184" s="433"/>
      <c r="Q184" s="433"/>
      <c r="R184" s="446"/>
    </row>
    <row r="185" ht="15.75" customHeight="1">
      <c r="B185" s="433"/>
      <c r="C185" s="433"/>
      <c r="D185" s="433"/>
      <c r="E185" s="434"/>
      <c r="F185" s="433"/>
      <c r="G185" s="433"/>
      <c r="H185" s="433"/>
      <c r="I185" s="433"/>
      <c r="J185" s="433"/>
      <c r="K185" s="433"/>
      <c r="L185" s="433"/>
      <c r="M185" s="433"/>
      <c r="N185" s="433"/>
      <c r="O185" s="433"/>
      <c r="P185" s="433"/>
      <c r="Q185" s="433"/>
      <c r="R185" s="446"/>
    </row>
    <row r="186" ht="15.75" customHeight="1">
      <c r="B186" s="433"/>
      <c r="C186" s="433"/>
      <c r="D186" s="433"/>
      <c r="E186" s="434"/>
      <c r="F186" s="433"/>
      <c r="G186" s="433"/>
      <c r="H186" s="433"/>
      <c r="I186" s="433"/>
      <c r="J186" s="433"/>
      <c r="K186" s="433"/>
      <c r="L186" s="433"/>
      <c r="M186" s="433"/>
      <c r="N186" s="433"/>
      <c r="O186" s="433"/>
      <c r="P186" s="433"/>
      <c r="Q186" s="433"/>
      <c r="R186" s="446"/>
    </row>
    <row r="187" ht="15.75" customHeight="1">
      <c r="B187" s="433"/>
      <c r="C187" s="433"/>
      <c r="D187" s="433"/>
      <c r="E187" s="434"/>
      <c r="F187" s="433"/>
      <c r="G187" s="433"/>
      <c r="H187" s="433"/>
      <c r="I187" s="433"/>
      <c r="J187" s="433"/>
      <c r="K187" s="433"/>
      <c r="L187" s="433"/>
      <c r="M187" s="433"/>
      <c r="N187" s="433"/>
      <c r="O187" s="433"/>
      <c r="P187" s="433"/>
      <c r="Q187" s="433">
        <f>SUM(Q6:Q181)</f>
        <v>184</v>
      </c>
      <c r="R187" s="453">
        <f>sum(R6:R186)</f>
        <v>3</v>
      </c>
    </row>
    <row r="188" ht="15.75" customHeight="1">
      <c r="B188" s="856"/>
      <c r="C188" s="455"/>
      <c r="D188" s="455"/>
      <c r="E188" s="455"/>
      <c r="F188" s="455"/>
      <c r="G188" s="455"/>
      <c r="H188" s="455"/>
      <c r="I188" s="455"/>
      <c r="J188" s="455"/>
      <c r="K188" s="455"/>
      <c r="L188" s="455"/>
      <c r="M188" s="455"/>
      <c r="N188" s="455"/>
      <c r="O188" s="455"/>
      <c r="P188" s="455"/>
      <c r="Q188" s="456"/>
    </row>
    <row r="189" ht="15.75" customHeight="1">
      <c r="B189" s="457"/>
      <c r="C189" s="6"/>
      <c r="D189" s="6"/>
      <c r="E189" s="6"/>
      <c r="F189" s="6"/>
      <c r="G189" s="6"/>
      <c r="H189" s="6"/>
      <c r="I189" s="6"/>
      <c r="J189" s="6"/>
      <c r="K189" s="6"/>
      <c r="L189" s="6"/>
      <c r="M189" s="6"/>
      <c r="N189" s="6"/>
      <c r="O189" s="6"/>
      <c r="P189" s="6"/>
      <c r="Q189" s="7"/>
    </row>
    <row r="190" ht="24.0" customHeight="1">
      <c r="B190" s="457" t="s">
        <v>14257</v>
      </c>
      <c r="C190" s="6"/>
      <c r="D190" s="6"/>
      <c r="E190" s="6"/>
      <c r="F190" s="6"/>
      <c r="G190" s="6"/>
      <c r="H190" s="6"/>
      <c r="I190" s="6"/>
      <c r="J190" s="6"/>
      <c r="K190" s="6"/>
      <c r="L190" s="6"/>
      <c r="M190" s="6"/>
      <c r="N190" s="6"/>
      <c r="O190" s="6"/>
      <c r="P190" s="6"/>
      <c r="Q190" s="7"/>
    </row>
    <row r="191" ht="15.75" customHeight="1">
      <c r="B191" s="327" t="s">
        <v>14150</v>
      </c>
      <c r="C191" s="457" t="s">
        <v>14151</v>
      </c>
      <c r="D191" s="6"/>
      <c r="E191" s="7"/>
      <c r="F191" s="458"/>
      <c r="G191" s="459"/>
      <c r="H191" s="7"/>
      <c r="I191" s="459"/>
      <c r="J191" s="6"/>
      <c r="K191" s="6"/>
      <c r="L191" s="7"/>
      <c r="M191" s="460"/>
      <c r="N191" s="461" t="s">
        <v>15140</v>
      </c>
      <c r="O191" s="461"/>
      <c r="P191" s="461"/>
      <c r="Q191" s="461"/>
    </row>
    <row r="192" ht="15.75" customHeight="1">
      <c r="B192" s="321"/>
      <c r="C192" s="399"/>
      <c r="D192" s="458"/>
      <c r="E192" s="462"/>
      <c r="F192" s="458"/>
      <c r="G192" s="463"/>
      <c r="H192" s="7"/>
      <c r="I192" s="321"/>
      <c r="J192" s="321"/>
      <c r="K192" s="463"/>
      <c r="L192" s="7"/>
      <c r="M192" s="321"/>
      <c r="N192" s="321"/>
      <c r="O192" s="321"/>
      <c r="P192" s="321"/>
      <c r="Q192" s="321"/>
    </row>
    <row r="193" ht="15.75" customHeight="1">
      <c r="B193" s="463"/>
      <c r="C193" s="7"/>
      <c r="D193" s="458"/>
      <c r="E193" s="463"/>
      <c r="F193" s="7"/>
      <c r="G193" s="321"/>
      <c r="H193" s="321"/>
      <c r="I193" s="321"/>
      <c r="J193" s="321"/>
      <c r="K193" s="321"/>
      <c r="L193" s="321"/>
      <c r="M193" s="321"/>
      <c r="N193" s="321"/>
      <c r="O193" s="321"/>
      <c r="P193" s="321"/>
      <c r="Q193" s="321"/>
    </row>
    <row r="194" ht="15.75" customHeight="1">
      <c r="B194" s="321"/>
      <c r="C194" s="457" t="s">
        <v>14153</v>
      </c>
      <c r="D194" s="6"/>
      <c r="E194" s="7"/>
      <c r="F194" s="458"/>
      <c r="G194" s="457"/>
      <c r="H194" s="7"/>
      <c r="I194" s="457"/>
      <c r="J194" s="6"/>
      <c r="K194" s="6"/>
      <c r="L194" s="7"/>
      <c r="M194" s="457" t="s">
        <v>14154</v>
      </c>
      <c r="N194" s="6"/>
      <c r="O194" s="6"/>
      <c r="P194" s="6"/>
      <c r="Q194" s="7"/>
    </row>
    <row r="195" ht="15.75" customHeight="1">
      <c r="B195" s="321"/>
      <c r="C195" s="457" t="s">
        <v>14155</v>
      </c>
      <c r="D195" s="6"/>
      <c r="E195" s="7"/>
      <c r="F195" s="458"/>
      <c r="G195" s="457"/>
      <c r="H195" s="7"/>
      <c r="I195" s="327"/>
      <c r="J195" s="457"/>
      <c r="K195" s="6"/>
      <c r="L195" s="7"/>
      <c r="M195" s="457" t="s">
        <v>14156</v>
      </c>
      <c r="N195" s="6"/>
      <c r="O195" s="6"/>
      <c r="P195" s="6"/>
      <c r="Q195" s="7"/>
    </row>
    <row r="196" ht="15.75" customHeight="1">
      <c r="B196" s="466"/>
      <c r="C196" s="667"/>
      <c r="D196" s="667"/>
      <c r="E196" s="668"/>
      <c r="F196" s="667"/>
      <c r="G196" s="667"/>
      <c r="H196" s="667"/>
      <c r="I196" s="667"/>
      <c r="J196" s="667"/>
      <c r="K196" s="667"/>
      <c r="L196" s="667"/>
      <c r="M196" s="667"/>
      <c r="N196" s="667"/>
      <c r="O196" s="667"/>
      <c r="P196" s="667"/>
      <c r="Q196" s="667"/>
    </row>
    <row r="197" ht="15.75" customHeight="1">
      <c r="B197" s="466"/>
      <c r="C197" s="667"/>
      <c r="D197" s="667"/>
      <c r="E197" s="668"/>
      <c r="F197" s="667"/>
      <c r="G197" s="667"/>
      <c r="H197" s="667"/>
      <c r="I197" s="667"/>
      <c r="J197" s="667"/>
      <c r="K197" s="667"/>
      <c r="L197" s="667"/>
      <c r="M197" s="667"/>
      <c r="N197" s="667"/>
      <c r="O197" s="667"/>
      <c r="P197" s="667"/>
      <c r="Q197" s="667"/>
    </row>
    <row r="198" ht="15.75" customHeight="1">
      <c r="B198" s="466"/>
      <c r="C198" s="667"/>
      <c r="D198" s="667"/>
      <c r="E198" s="668"/>
      <c r="F198" s="667"/>
      <c r="G198" s="667"/>
      <c r="H198" s="667"/>
      <c r="I198" s="667"/>
      <c r="J198" s="667"/>
      <c r="K198" s="667"/>
      <c r="L198" s="667"/>
      <c r="M198" s="667"/>
      <c r="N198" s="667"/>
      <c r="O198" s="667"/>
      <c r="P198" s="667"/>
      <c r="Q198" s="667"/>
    </row>
    <row r="199" ht="15.75" customHeight="1">
      <c r="B199" s="466"/>
      <c r="C199" s="667"/>
      <c r="D199" s="667"/>
      <c r="E199" s="668"/>
      <c r="F199" s="667"/>
      <c r="G199" s="667"/>
      <c r="H199" s="667"/>
      <c r="I199" s="667"/>
      <c r="J199" s="667"/>
      <c r="K199" s="667"/>
      <c r="L199" s="667"/>
      <c r="M199" s="667"/>
      <c r="N199" s="667"/>
      <c r="O199" s="667"/>
      <c r="P199" s="667"/>
      <c r="Q199" s="667"/>
    </row>
    <row r="200" ht="15.75" customHeight="1">
      <c r="B200" s="466"/>
      <c r="C200" s="667"/>
      <c r="D200" s="667"/>
      <c r="E200" s="668"/>
      <c r="F200" s="667"/>
      <c r="G200" s="667"/>
      <c r="H200" s="667"/>
      <c r="I200" s="667"/>
      <c r="J200" s="667"/>
      <c r="K200" s="667"/>
      <c r="L200" s="667"/>
      <c r="M200" s="667"/>
      <c r="N200" s="667"/>
      <c r="O200" s="667"/>
      <c r="P200" s="667"/>
      <c r="Q200" s="667"/>
    </row>
    <row r="201" ht="15.75" customHeight="1">
      <c r="B201" s="466"/>
      <c r="C201" s="667"/>
      <c r="D201" s="667"/>
      <c r="E201" s="668"/>
      <c r="F201" s="667"/>
      <c r="G201" s="667"/>
      <c r="H201" s="667"/>
      <c r="I201" s="667"/>
      <c r="J201" s="667"/>
      <c r="K201" s="667"/>
      <c r="L201" s="667"/>
      <c r="M201" s="667"/>
      <c r="N201" s="667"/>
      <c r="O201" s="667"/>
      <c r="P201" s="667"/>
      <c r="Q201" s="667"/>
    </row>
    <row r="202" ht="15.75" customHeight="1">
      <c r="B202" s="466"/>
      <c r="C202" s="667"/>
      <c r="D202" s="667"/>
      <c r="E202" s="668"/>
      <c r="F202" s="667"/>
      <c r="G202" s="667"/>
      <c r="H202" s="667"/>
      <c r="I202" s="667"/>
      <c r="J202" s="667"/>
      <c r="K202" s="667"/>
      <c r="L202" s="667"/>
      <c r="M202" s="667"/>
      <c r="N202" s="667"/>
      <c r="O202" s="667"/>
      <c r="P202" s="667"/>
      <c r="Q202" s="667"/>
    </row>
    <row r="203" ht="15.75" customHeight="1">
      <c r="B203" s="466"/>
      <c r="C203" s="667"/>
      <c r="D203" s="667"/>
      <c r="E203" s="668"/>
      <c r="F203" s="667"/>
      <c r="G203" s="667"/>
      <c r="H203" s="667"/>
      <c r="I203" s="667"/>
      <c r="J203" s="667"/>
      <c r="K203" s="667"/>
      <c r="L203" s="667"/>
      <c r="M203" s="667"/>
      <c r="N203" s="667"/>
      <c r="O203" s="667"/>
      <c r="P203" s="667"/>
      <c r="Q203" s="667"/>
    </row>
    <row r="204" ht="15.75" customHeight="1">
      <c r="B204" s="466"/>
      <c r="C204" s="667"/>
      <c r="D204" s="667"/>
      <c r="E204" s="668"/>
      <c r="F204" s="667"/>
      <c r="G204" s="667"/>
      <c r="H204" s="667"/>
      <c r="I204" s="667"/>
      <c r="J204" s="667"/>
      <c r="K204" s="667"/>
      <c r="L204" s="667"/>
      <c r="M204" s="667"/>
      <c r="N204" s="667"/>
      <c r="O204" s="667"/>
      <c r="P204" s="667"/>
      <c r="Q204" s="667"/>
    </row>
    <row r="205" ht="15.75" customHeight="1">
      <c r="B205" s="466"/>
      <c r="C205" s="667"/>
      <c r="D205" s="667"/>
      <c r="E205" s="668"/>
      <c r="F205" s="667"/>
      <c r="G205" s="667"/>
      <c r="H205" s="667"/>
      <c r="I205" s="667"/>
      <c r="J205" s="667"/>
      <c r="K205" s="667"/>
      <c r="L205" s="667"/>
      <c r="M205" s="667"/>
      <c r="N205" s="667"/>
      <c r="O205" s="667"/>
      <c r="P205" s="667"/>
      <c r="Q205" s="667"/>
    </row>
    <row r="206" ht="15.75" customHeight="1">
      <c r="B206" s="466"/>
      <c r="C206" s="667"/>
      <c r="D206" s="667"/>
      <c r="E206" s="668"/>
      <c r="F206" s="667"/>
      <c r="G206" s="667"/>
      <c r="H206" s="667"/>
      <c r="I206" s="667"/>
      <c r="J206" s="667"/>
      <c r="K206" s="667"/>
      <c r="L206" s="667"/>
      <c r="M206" s="667"/>
      <c r="N206" s="667"/>
      <c r="O206" s="667"/>
      <c r="P206" s="667"/>
      <c r="Q206" s="667"/>
    </row>
    <row r="207" ht="15.75" customHeight="1">
      <c r="B207" s="466"/>
      <c r="C207" s="667"/>
      <c r="D207" s="667"/>
      <c r="E207" s="668"/>
      <c r="F207" s="667"/>
      <c r="G207" s="667"/>
      <c r="H207" s="667"/>
      <c r="I207" s="667"/>
      <c r="J207" s="667"/>
      <c r="K207" s="667"/>
      <c r="L207" s="667"/>
      <c r="M207" s="667"/>
      <c r="N207" s="667"/>
      <c r="O207" s="667"/>
      <c r="P207" s="667"/>
      <c r="Q207" s="667"/>
    </row>
    <row r="208" ht="15.75" customHeight="1">
      <c r="B208" s="466"/>
      <c r="C208" s="667"/>
      <c r="D208" s="667"/>
      <c r="E208" s="668"/>
      <c r="F208" s="667"/>
      <c r="G208" s="667"/>
      <c r="H208" s="667"/>
      <c r="I208" s="667"/>
      <c r="J208" s="667"/>
      <c r="K208" s="667"/>
      <c r="L208" s="667"/>
      <c r="M208" s="667"/>
      <c r="N208" s="667"/>
      <c r="O208" s="667"/>
      <c r="P208" s="667"/>
      <c r="Q208" s="667"/>
    </row>
    <row r="209" ht="15.75" customHeight="1">
      <c r="B209" s="466"/>
      <c r="C209" s="667"/>
      <c r="D209" s="667"/>
      <c r="E209" s="668"/>
      <c r="F209" s="667"/>
      <c r="G209" s="667"/>
      <c r="H209" s="667"/>
      <c r="I209" s="667"/>
      <c r="J209" s="667"/>
      <c r="K209" s="667"/>
      <c r="L209" s="667"/>
      <c r="M209" s="667"/>
      <c r="N209" s="667"/>
      <c r="O209" s="667"/>
      <c r="P209" s="667"/>
      <c r="Q209" s="667"/>
    </row>
    <row r="210" ht="15.75" customHeight="1">
      <c r="B210" s="466"/>
      <c r="C210" s="667"/>
      <c r="D210" s="667"/>
      <c r="E210" s="668"/>
      <c r="F210" s="667"/>
      <c r="G210" s="667"/>
      <c r="H210" s="667"/>
      <c r="I210" s="667"/>
      <c r="J210" s="667"/>
      <c r="K210" s="667"/>
      <c r="L210" s="667"/>
      <c r="M210" s="667"/>
      <c r="N210" s="667"/>
      <c r="O210" s="667"/>
      <c r="P210" s="667"/>
      <c r="Q210" s="667"/>
    </row>
    <row r="211" ht="15.75" customHeight="1">
      <c r="B211" s="466"/>
      <c r="C211" s="667"/>
      <c r="D211" s="667"/>
      <c r="E211" s="668"/>
      <c r="F211" s="667"/>
      <c r="G211" s="667"/>
      <c r="H211" s="667"/>
      <c r="I211" s="667"/>
      <c r="J211" s="667"/>
      <c r="K211" s="667"/>
      <c r="L211" s="667"/>
      <c r="M211" s="667"/>
      <c r="N211" s="667"/>
      <c r="O211" s="667"/>
      <c r="P211" s="667"/>
      <c r="Q211" s="667"/>
    </row>
    <row r="212" ht="15.75" customHeight="1">
      <c r="B212" s="466"/>
      <c r="C212" s="667"/>
      <c r="D212" s="667"/>
      <c r="E212" s="668"/>
      <c r="F212" s="667"/>
      <c r="G212" s="667"/>
      <c r="H212" s="667"/>
      <c r="I212" s="667"/>
      <c r="J212" s="667"/>
      <c r="K212" s="667"/>
      <c r="L212" s="667"/>
      <c r="M212" s="667"/>
      <c r="N212" s="667"/>
      <c r="O212" s="667"/>
      <c r="P212" s="667"/>
      <c r="Q212" s="667"/>
    </row>
    <row r="213" ht="15.75" customHeight="1">
      <c r="B213" s="466"/>
      <c r="C213" s="667"/>
      <c r="D213" s="667"/>
      <c r="E213" s="668"/>
      <c r="F213" s="667"/>
      <c r="G213" s="667"/>
      <c r="H213" s="667"/>
      <c r="I213" s="667"/>
      <c r="J213" s="667"/>
      <c r="K213" s="667"/>
      <c r="L213" s="667"/>
      <c r="M213" s="667"/>
      <c r="N213" s="667"/>
      <c r="O213" s="667"/>
      <c r="P213" s="667"/>
      <c r="Q213" s="667"/>
    </row>
    <row r="214" ht="15.75" customHeight="1">
      <c r="B214" s="466"/>
      <c r="C214" s="667"/>
      <c r="D214" s="667"/>
      <c r="E214" s="668"/>
      <c r="F214" s="667"/>
      <c r="G214" s="667"/>
      <c r="H214" s="667"/>
      <c r="I214" s="667"/>
      <c r="J214" s="667"/>
      <c r="K214" s="667"/>
      <c r="L214" s="667"/>
      <c r="M214" s="667"/>
      <c r="N214" s="667"/>
      <c r="O214" s="667"/>
      <c r="P214" s="667"/>
      <c r="Q214" s="667"/>
    </row>
    <row r="215" ht="15.75" customHeight="1">
      <c r="B215" s="466"/>
      <c r="C215" s="667"/>
      <c r="D215" s="667"/>
      <c r="E215" s="668"/>
      <c r="F215" s="667"/>
      <c r="G215" s="667"/>
      <c r="H215" s="667"/>
      <c r="I215" s="667"/>
      <c r="J215" s="667"/>
      <c r="K215" s="667"/>
      <c r="L215" s="667"/>
      <c r="M215" s="667"/>
      <c r="N215" s="667"/>
      <c r="O215" s="667"/>
      <c r="P215" s="667"/>
      <c r="Q215" s="667"/>
    </row>
    <row r="216" ht="15.75" customHeight="1">
      <c r="B216" s="466"/>
      <c r="C216" s="667"/>
      <c r="D216" s="667"/>
      <c r="E216" s="668"/>
      <c r="F216" s="667"/>
      <c r="G216" s="667"/>
      <c r="H216" s="667"/>
      <c r="I216" s="667"/>
      <c r="J216" s="667"/>
      <c r="K216" s="667"/>
      <c r="L216" s="667"/>
      <c r="M216" s="667"/>
      <c r="N216" s="667"/>
      <c r="O216" s="667"/>
      <c r="P216" s="667"/>
      <c r="Q216" s="667"/>
    </row>
    <row r="217" ht="15.75" customHeight="1">
      <c r="B217" s="466"/>
      <c r="C217" s="667"/>
      <c r="D217" s="667"/>
      <c r="E217" s="668"/>
      <c r="F217" s="667"/>
      <c r="G217" s="667"/>
      <c r="H217" s="667"/>
      <c r="I217" s="667"/>
      <c r="J217" s="667"/>
      <c r="K217" s="667"/>
      <c r="L217" s="667"/>
      <c r="M217" s="667"/>
      <c r="N217" s="667"/>
      <c r="O217" s="667"/>
      <c r="P217" s="667"/>
      <c r="Q217" s="667"/>
    </row>
    <row r="218" ht="15.75" customHeight="1">
      <c r="B218" s="466"/>
      <c r="C218" s="667"/>
      <c r="D218" s="667"/>
      <c r="E218" s="668"/>
      <c r="F218" s="667"/>
      <c r="G218" s="667"/>
      <c r="H218" s="667"/>
      <c r="I218" s="667"/>
      <c r="J218" s="667"/>
      <c r="K218" s="667"/>
      <c r="L218" s="667"/>
      <c r="M218" s="667"/>
      <c r="N218" s="667"/>
      <c r="O218" s="667"/>
      <c r="P218" s="667"/>
      <c r="Q218" s="667"/>
    </row>
    <row r="219" ht="15.75" customHeight="1">
      <c r="B219" s="466"/>
      <c r="C219" s="667"/>
      <c r="D219" s="667"/>
      <c r="E219" s="668"/>
      <c r="F219" s="667"/>
      <c r="G219" s="667"/>
      <c r="H219" s="667"/>
      <c r="I219" s="667"/>
      <c r="J219" s="667"/>
      <c r="K219" s="667"/>
      <c r="L219" s="667"/>
      <c r="M219" s="667"/>
      <c r="N219" s="667"/>
      <c r="O219" s="667"/>
      <c r="P219" s="667"/>
      <c r="Q219" s="667"/>
    </row>
    <row r="220" ht="15.75" customHeight="1">
      <c r="B220" s="466"/>
      <c r="C220" s="667"/>
      <c r="D220" s="667"/>
      <c r="E220" s="668"/>
      <c r="F220" s="667"/>
      <c r="G220" s="667"/>
      <c r="H220" s="667"/>
      <c r="I220" s="667"/>
      <c r="J220" s="667"/>
      <c r="K220" s="667"/>
      <c r="L220" s="667"/>
      <c r="M220" s="667"/>
      <c r="N220" s="667"/>
      <c r="O220" s="667"/>
      <c r="P220" s="667"/>
      <c r="Q220" s="667"/>
    </row>
    <row r="221" ht="15.75" customHeight="1">
      <c r="B221" s="466"/>
      <c r="C221" s="667"/>
      <c r="D221" s="667"/>
      <c r="E221" s="668"/>
      <c r="F221" s="667"/>
      <c r="G221" s="667"/>
      <c r="H221" s="667"/>
      <c r="I221" s="667"/>
      <c r="J221" s="667"/>
      <c r="K221" s="667"/>
      <c r="L221" s="667"/>
      <c r="M221" s="667"/>
      <c r="N221" s="667"/>
      <c r="O221" s="667"/>
      <c r="P221" s="667"/>
      <c r="Q221" s="667"/>
    </row>
    <row r="222" ht="15.75" customHeight="1">
      <c r="B222" s="466"/>
      <c r="C222" s="667"/>
      <c r="D222" s="667"/>
      <c r="E222" s="668"/>
      <c r="F222" s="667"/>
      <c r="G222" s="667"/>
      <c r="H222" s="667"/>
      <c r="I222" s="667"/>
      <c r="J222" s="667"/>
      <c r="K222" s="667"/>
      <c r="L222" s="667"/>
      <c r="M222" s="667"/>
      <c r="N222" s="667"/>
      <c r="O222" s="667"/>
      <c r="P222" s="667"/>
      <c r="Q222" s="667"/>
    </row>
    <row r="223" ht="15.75" customHeight="1">
      <c r="B223" s="466"/>
      <c r="C223" s="667"/>
      <c r="D223" s="667"/>
      <c r="E223" s="668"/>
      <c r="F223" s="667"/>
      <c r="G223" s="667"/>
      <c r="H223" s="667"/>
      <c r="I223" s="667"/>
      <c r="J223" s="667"/>
      <c r="K223" s="667"/>
      <c r="L223" s="667"/>
      <c r="M223" s="667"/>
      <c r="N223" s="667"/>
      <c r="O223" s="667"/>
      <c r="P223" s="667"/>
      <c r="Q223" s="667"/>
    </row>
    <row r="224" ht="15.75" customHeight="1">
      <c r="B224" s="466"/>
      <c r="C224" s="667"/>
      <c r="D224" s="667"/>
      <c r="E224" s="668"/>
      <c r="F224" s="667"/>
      <c r="G224" s="667"/>
      <c r="H224" s="667"/>
      <c r="I224" s="667"/>
      <c r="J224" s="667"/>
      <c r="K224" s="667"/>
      <c r="L224" s="667"/>
      <c r="M224" s="667"/>
      <c r="N224" s="667"/>
      <c r="O224" s="667"/>
      <c r="P224" s="667"/>
      <c r="Q224" s="667"/>
    </row>
    <row r="225" ht="15.75" customHeight="1">
      <c r="B225" s="466"/>
      <c r="C225" s="667"/>
      <c r="D225" s="667"/>
      <c r="E225" s="668"/>
      <c r="F225" s="667"/>
      <c r="G225" s="667"/>
      <c r="H225" s="667"/>
      <c r="I225" s="667"/>
      <c r="J225" s="667"/>
      <c r="K225" s="667"/>
      <c r="L225" s="667"/>
      <c r="M225" s="667"/>
      <c r="N225" s="667"/>
      <c r="O225" s="667"/>
      <c r="P225" s="667"/>
      <c r="Q225" s="667"/>
    </row>
    <row r="226" ht="15.75" customHeight="1">
      <c r="B226" s="466"/>
      <c r="C226" s="667"/>
      <c r="D226" s="667"/>
      <c r="E226" s="668"/>
      <c r="F226" s="667"/>
      <c r="G226" s="667"/>
      <c r="H226" s="667"/>
      <c r="I226" s="667"/>
      <c r="J226" s="667"/>
      <c r="K226" s="667"/>
      <c r="L226" s="667"/>
      <c r="M226" s="667"/>
      <c r="N226" s="667"/>
      <c r="O226" s="667"/>
      <c r="P226" s="667"/>
      <c r="Q226" s="667"/>
    </row>
    <row r="227" ht="15.75" customHeight="1">
      <c r="B227" s="466"/>
      <c r="C227" s="667"/>
      <c r="D227" s="667"/>
      <c r="E227" s="668"/>
      <c r="F227" s="667"/>
      <c r="G227" s="667"/>
      <c r="H227" s="667"/>
      <c r="I227" s="667"/>
      <c r="J227" s="667"/>
      <c r="K227" s="667"/>
      <c r="L227" s="667"/>
      <c r="M227" s="667"/>
      <c r="N227" s="667"/>
      <c r="O227" s="667"/>
      <c r="P227" s="667"/>
      <c r="Q227" s="667"/>
    </row>
    <row r="228" ht="15.75" customHeight="1">
      <c r="B228" s="466"/>
      <c r="C228" s="667"/>
      <c r="D228" s="667"/>
      <c r="E228" s="668"/>
      <c r="F228" s="667"/>
      <c r="G228" s="667"/>
      <c r="H228" s="667"/>
      <c r="I228" s="667"/>
      <c r="J228" s="667"/>
      <c r="K228" s="667"/>
      <c r="L228" s="667"/>
      <c r="M228" s="667"/>
      <c r="N228" s="667"/>
      <c r="O228" s="667"/>
      <c r="P228" s="667"/>
      <c r="Q228" s="667"/>
    </row>
    <row r="229" ht="15.75" customHeight="1">
      <c r="B229" s="466"/>
      <c r="C229" s="667"/>
      <c r="D229" s="667"/>
      <c r="E229" s="668"/>
      <c r="F229" s="667"/>
      <c r="G229" s="667"/>
      <c r="H229" s="667"/>
      <c r="I229" s="667"/>
      <c r="J229" s="667"/>
      <c r="K229" s="667"/>
      <c r="L229" s="667"/>
      <c r="M229" s="667"/>
      <c r="N229" s="667"/>
      <c r="O229" s="667"/>
      <c r="P229" s="667"/>
      <c r="Q229" s="667"/>
    </row>
    <row r="230" ht="15.75" customHeight="1">
      <c r="B230" s="466"/>
      <c r="C230" s="667"/>
      <c r="D230" s="667"/>
      <c r="E230" s="668"/>
      <c r="F230" s="667"/>
      <c r="G230" s="667"/>
      <c r="H230" s="667"/>
      <c r="I230" s="667"/>
      <c r="J230" s="667"/>
      <c r="K230" s="667"/>
      <c r="L230" s="667"/>
      <c r="M230" s="667"/>
      <c r="N230" s="667"/>
      <c r="O230" s="667"/>
      <c r="P230" s="667"/>
      <c r="Q230" s="667"/>
    </row>
    <row r="231" ht="15.75" customHeight="1">
      <c r="B231" s="466"/>
      <c r="C231" s="667"/>
      <c r="D231" s="667"/>
      <c r="E231" s="668"/>
      <c r="F231" s="667"/>
      <c r="G231" s="667"/>
      <c r="H231" s="667"/>
      <c r="I231" s="667"/>
      <c r="J231" s="667"/>
      <c r="K231" s="667"/>
      <c r="L231" s="667"/>
      <c r="M231" s="667"/>
      <c r="N231" s="667"/>
      <c r="O231" s="667"/>
      <c r="P231" s="667"/>
      <c r="Q231" s="667"/>
    </row>
    <row r="232" ht="15.75" customHeight="1">
      <c r="B232" s="466"/>
      <c r="C232" s="667"/>
      <c r="D232" s="667"/>
      <c r="E232" s="668"/>
      <c r="F232" s="667"/>
      <c r="G232" s="667"/>
      <c r="H232" s="667"/>
      <c r="I232" s="667"/>
      <c r="J232" s="667"/>
      <c r="K232" s="667"/>
      <c r="L232" s="667"/>
      <c r="M232" s="667"/>
      <c r="N232" s="667"/>
      <c r="O232" s="667"/>
      <c r="P232" s="667"/>
      <c r="Q232" s="667"/>
    </row>
    <row r="233" ht="15.75" customHeight="1">
      <c r="B233" s="466"/>
      <c r="C233" s="667"/>
      <c r="D233" s="667"/>
      <c r="E233" s="668"/>
      <c r="F233" s="667"/>
      <c r="G233" s="667"/>
      <c r="H233" s="667"/>
      <c r="I233" s="667"/>
      <c r="J233" s="667"/>
      <c r="K233" s="667"/>
      <c r="L233" s="667"/>
      <c r="M233" s="667"/>
      <c r="N233" s="667"/>
      <c r="O233" s="667"/>
      <c r="P233" s="667"/>
      <c r="Q233" s="667"/>
    </row>
    <row r="234" ht="15.75" customHeight="1">
      <c r="B234" s="466"/>
      <c r="C234" s="667"/>
      <c r="D234" s="667"/>
      <c r="E234" s="668"/>
      <c r="F234" s="667"/>
      <c r="G234" s="667"/>
      <c r="H234" s="667"/>
      <c r="I234" s="667"/>
      <c r="J234" s="667"/>
      <c r="K234" s="667"/>
      <c r="L234" s="667"/>
      <c r="M234" s="667"/>
      <c r="N234" s="667"/>
      <c r="O234" s="667"/>
      <c r="P234" s="667"/>
      <c r="Q234" s="667"/>
    </row>
    <row r="235" ht="15.75" customHeight="1">
      <c r="B235" s="466"/>
      <c r="C235" s="667"/>
      <c r="D235" s="667"/>
      <c r="E235" s="668"/>
      <c r="F235" s="667"/>
      <c r="G235" s="667"/>
      <c r="H235" s="667"/>
      <c r="I235" s="667"/>
      <c r="J235" s="667"/>
      <c r="K235" s="667"/>
      <c r="L235" s="667"/>
      <c r="M235" s="667"/>
      <c r="N235" s="667"/>
      <c r="O235" s="667"/>
      <c r="P235" s="667"/>
      <c r="Q235" s="667"/>
    </row>
    <row r="236" ht="15.75" customHeight="1">
      <c r="B236" s="466"/>
      <c r="C236" s="667"/>
      <c r="D236" s="667"/>
      <c r="E236" s="668"/>
      <c r="F236" s="667"/>
      <c r="G236" s="667"/>
      <c r="H236" s="667"/>
      <c r="I236" s="667"/>
      <c r="J236" s="667"/>
      <c r="K236" s="667"/>
      <c r="L236" s="667"/>
      <c r="M236" s="667"/>
      <c r="N236" s="667"/>
      <c r="O236" s="667"/>
      <c r="P236" s="667"/>
      <c r="Q236" s="667"/>
    </row>
    <row r="237" ht="15.75" customHeight="1">
      <c r="B237" s="466"/>
      <c r="C237" s="667"/>
      <c r="D237" s="667"/>
      <c r="E237" s="668"/>
      <c r="F237" s="667"/>
      <c r="G237" s="667"/>
      <c r="H237" s="667"/>
      <c r="I237" s="667"/>
      <c r="J237" s="667"/>
      <c r="K237" s="667"/>
      <c r="L237" s="667"/>
      <c r="M237" s="667"/>
      <c r="N237" s="667"/>
      <c r="O237" s="667"/>
      <c r="P237" s="667"/>
      <c r="Q237" s="667"/>
    </row>
    <row r="238" ht="15.75" customHeight="1">
      <c r="B238" s="466"/>
      <c r="C238" s="667"/>
      <c r="D238" s="667"/>
      <c r="E238" s="668"/>
      <c r="F238" s="667"/>
      <c r="G238" s="667"/>
      <c r="H238" s="667"/>
      <c r="I238" s="667"/>
      <c r="J238" s="667"/>
      <c r="K238" s="667"/>
      <c r="L238" s="667"/>
      <c r="M238" s="667"/>
      <c r="N238" s="667"/>
      <c r="O238" s="667"/>
      <c r="P238" s="667"/>
      <c r="Q238" s="667"/>
    </row>
    <row r="239" ht="15.75" customHeight="1">
      <c r="B239" s="466"/>
      <c r="C239" s="667"/>
      <c r="D239" s="667"/>
      <c r="E239" s="668"/>
      <c r="F239" s="667"/>
      <c r="G239" s="667"/>
      <c r="H239" s="667"/>
      <c r="I239" s="667"/>
      <c r="J239" s="667"/>
      <c r="K239" s="667"/>
      <c r="L239" s="667"/>
      <c r="M239" s="667"/>
      <c r="N239" s="667"/>
      <c r="O239" s="667"/>
      <c r="P239" s="667"/>
      <c r="Q239" s="667"/>
    </row>
    <row r="240" ht="15.75" customHeight="1">
      <c r="B240" s="466"/>
      <c r="C240" s="667"/>
      <c r="D240" s="667"/>
      <c r="E240" s="668"/>
      <c r="F240" s="667"/>
      <c r="G240" s="667"/>
      <c r="H240" s="667"/>
      <c r="I240" s="667"/>
      <c r="J240" s="667"/>
      <c r="K240" s="667"/>
      <c r="L240" s="667"/>
      <c r="M240" s="667"/>
      <c r="N240" s="667"/>
      <c r="O240" s="667"/>
      <c r="P240" s="667"/>
      <c r="Q240" s="667"/>
    </row>
    <row r="241" ht="15.75" customHeight="1">
      <c r="B241" s="466"/>
      <c r="C241" s="667"/>
      <c r="D241" s="667"/>
      <c r="E241" s="668"/>
      <c r="F241" s="667"/>
      <c r="G241" s="667"/>
      <c r="H241" s="667"/>
      <c r="I241" s="667"/>
      <c r="J241" s="667"/>
      <c r="K241" s="667"/>
      <c r="L241" s="667"/>
      <c r="M241" s="667"/>
      <c r="N241" s="667"/>
      <c r="O241" s="667"/>
      <c r="P241" s="667"/>
      <c r="Q241" s="667"/>
    </row>
    <row r="242" ht="15.75" customHeight="1">
      <c r="B242" s="466"/>
      <c r="C242" s="667"/>
      <c r="D242" s="667"/>
      <c r="E242" s="668"/>
      <c r="F242" s="667"/>
      <c r="G242" s="667"/>
      <c r="H242" s="667"/>
      <c r="I242" s="667"/>
      <c r="J242" s="667"/>
      <c r="K242" s="667"/>
      <c r="L242" s="667"/>
      <c r="M242" s="667"/>
      <c r="N242" s="667"/>
      <c r="O242" s="667"/>
      <c r="P242" s="667"/>
      <c r="Q242" s="667"/>
    </row>
    <row r="243" ht="15.75" customHeight="1">
      <c r="B243" s="466"/>
      <c r="C243" s="667"/>
      <c r="D243" s="667"/>
      <c r="E243" s="668"/>
      <c r="F243" s="667"/>
      <c r="G243" s="667"/>
      <c r="H243" s="667"/>
      <c r="I243" s="667"/>
      <c r="J243" s="667"/>
      <c r="K243" s="667"/>
      <c r="L243" s="667"/>
      <c r="M243" s="667"/>
      <c r="N243" s="667"/>
      <c r="O243" s="667"/>
      <c r="P243" s="667"/>
      <c r="Q243" s="667"/>
    </row>
    <row r="244" ht="15.75" customHeight="1">
      <c r="B244" s="466"/>
      <c r="C244" s="667"/>
      <c r="D244" s="667"/>
      <c r="E244" s="668"/>
      <c r="F244" s="667"/>
      <c r="G244" s="667"/>
      <c r="H244" s="667"/>
      <c r="I244" s="667"/>
      <c r="J244" s="667"/>
      <c r="K244" s="667"/>
      <c r="L244" s="667"/>
      <c r="M244" s="667"/>
      <c r="N244" s="667"/>
      <c r="O244" s="667"/>
      <c r="P244" s="667"/>
      <c r="Q244" s="667"/>
    </row>
    <row r="245" ht="15.75" customHeight="1">
      <c r="B245" s="466"/>
      <c r="C245" s="667"/>
      <c r="D245" s="667"/>
      <c r="E245" s="668"/>
      <c r="F245" s="667"/>
      <c r="G245" s="667"/>
      <c r="H245" s="667"/>
      <c r="I245" s="667"/>
      <c r="J245" s="667"/>
      <c r="K245" s="667"/>
      <c r="L245" s="667"/>
      <c r="M245" s="667"/>
      <c r="N245" s="667"/>
      <c r="O245" s="667"/>
      <c r="P245" s="667"/>
      <c r="Q245" s="667"/>
    </row>
    <row r="246" ht="15.75" customHeight="1">
      <c r="B246" s="466"/>
      <c r="C246" s="667"/>
      <c r="D246" s="667"/>
      <c r="E246" s="668"/>
      <c r="F246" s="667"/>
      <c r="G246" s="667"/>
      <c r="H246" s="667"/>
      <c r="I246" s="667"/>
      <c r="J246" s="667"/>
      <c r="K246" s="667"/>
      <c r="L246" s="667"/>
      <c r="M246" s="667"/>
      <c r="N246" s="667"/>
      <c r="O246" s="667"/>
      <c r="P246" s="667"/>
      <c r="Q246" s="667"/>
    </row>
    <row r="247" ht="15.75" customHeight="1">
      <c r="B247" s="466"/>
      <c r="C247" s="667"/>
      <c r="D247" s="667"/>
      <c r="E247" s="668"/>
      <c r="F247" s="667"/>
      <c r="G247" s="667"/>
      <c r="H247" s="667"/>
      <c r="I247" s="667"/>
      <c r="J247" s="667"/>
      <c r="K247" s="667"/>
      <c r="L247" s="667"/>
      <c r="M247" s="667"/>
      <c r="N247" s="667"/>
      <c r="O247" s="667"/>
      <c r="P247" s="667"/>
      <c r="Q247" s="667"/>
    </row>
    <row r="248" ht="15.75" customHeight="1">
      <c r="B248" s="466"/>
      <c r="C248" s="667"/>
      <c r="D248" s="667"/>
      <c r="E248" s="668"/>
      <c r="F248" s="667"/>
      <c r="G248" s="667"/>
      <c r="H248" s="667"/>
      <c r="I248" s="667"/>
      <c r="J248" s="667"/>
      <c r="K248" s="667"/>
      <c r="L248" s="667"/>
      <c r="M248" s="667"/>
      <c r="N248" s="667"/>
      <c r="O248" s="667"/>
      <c r="P248" s="667"/>
      <c r="Q248" s="667"/>
    </row>
    <row r="249" ht="15.75" customHeight="1">
      <c r="B249" s="466"/>
      <c r="C249" s="667"/>
      <c r="D249" s="667"/>
      <c r="E249" s="668"/>
      <c r="F249" s="667"/>
      <c r="G249" s="667"/>
      <c r="H249" s="667"/>
      <c r="I249" s="667"/>
      <c r="J249" s="667"/>
      <c r="K249" s="667"/>
      <c r="L249" s="667"/>
      <c r="M249" s="667"/>
      <c r="N249" s="667"/>
      <c r="O249" s="667"/>
      <c r="P249" s="667"/>
      <c r="Q249" s="667"/>
    </row>
    <row r="250" ht="15.75" customHeight="1">
      <c r="B250" s="466"/>
      <c r="C250" s="667"/>
      <c r="D250" s="667"/>
      <c r="E250" s="668"/>
      <c r="F250" s="667"/>
      <c r="G250" s="667"/>
      <c r="H250" s="667"/>
      <c r="I250" s="667"/>
      <c r="J250" s="667"/>
      <c r="K250" s="667"/>
      <c r="L250" s="667"/>
      <c r="M250" s="667"/>
      <c r="N250" s="667"/>
      <c r="O250" s="667"/>
      <c r="P250" s="667"/>
      <c r="Q250" s="667"/>
    </row>
    <row r="251" ht="15.75" customHeight="1">
      <c r="B251" s="466"/>
      <c r="C251" s="667"/>
      <c r="D251" s="667"/>
      <c r="E251" s="668"/>
      <c r="F251" s="667"/>
      <c r="G251" s="667"/>
      <c r="H251" s="667"/>
      <c r="I251" s="667"/>
      <c r="J251" s="667"/>
      <c r="K251" s="667"/>
      <c r="L251" s="667"/>
      <c r="M251" s="667"/>
      <c r="N251" s="667"/>
      <c r="O251" s="667"/>
      <c r="P251" s="667"/>
      <c r="Q251" s="667"/>
    </row>
    <row r="252" ht="15.75" customHeight="1">
      <c r="B252" s="466"/>
      <c r="C252" s="667"/>
      <c r="D252" s="667"/>
      <c r="E252" s="668"/>
      <c r="F252" s="667"/>
      <c r="G252" s="667"/>
      <c r="H252" s="667"/>
      <c r="I252" s="667"/>
      <c r="J252" s="667"/>
      <c r="K252" s="667"/>
      <c r="L252" s="667"/>
      <c r="M252" s="667"/>
      <c r="N252" s="667"/>
      <c r="O252" s="667"/>
      <c r="P252" s="667"/>
      <c r="Q252" s="667"/>
    </row>
    <row r="253" ht="15.75" customHeight="1">
      <c r="B253" s="466"/>
      <c r="C253" s="667"/>
      <c r="D253" s="667"/>
      <c r="E253" s="668"/>
      <c r="F253" s="667"/>
      <c r="G253" s="667"/>
      <c r="H253" s="667"/>
      <c r="I253" s="667"/>
      <c r="J253" s="667"/>
      <c r="K253" s="667"/>
      <c r="L253" s="667"/>
      <c r="M253" s="667"/>
      <c r="N253" s="667"/>
      <c r="O253" s="667"/>
      <c r="P253" s="667"/>
      <c r="Q253" s="667"/>
    </row>
    <row r="254" ht="15.75" customHeight="1">
      <c r="B254" s="466"/>
      <c r="C254" s="667"/>
      <c r="D254" s="667"/>
      <c r="E254" s="668"/>
      <c r="F254" s="667"/>
      <c r="G254" s="667"/>
      <c r="H254" s="667"/>
      <c r="I254" s="667"/>
      <c r="J254" s="667"/>
      <c r="K254" s="667"/>
      <c r="L254" s="667"/>
      <c r="M254" s="667"/>
      <c r="N254" s="667"/>
      <c r="O254" s="667"/>
      <c r="P254" s="667"/>
      <c r="Q254" s="667"/>
    </row>
    <row r="255" ht="15.75" customHeight="1">
      <c r="B255" s="466"/>
      <c r="C255" s="667"/>
      <c r="D255" s="667"/>
      <c r="E255" s="668"/>
      <c r="F255" s="667"/>
      <c r="G255" s="667"/>
      <c r="H255" s="667"/>
      <c r="I255" s="667"/>
      <c r="J255" s="667"/>
      <c r="K255" s="667"/>
      <c r="L255" s="667"/>
      <c r="M255" s="667"/>
      <c r="N255" s="667"/>
      <c r="O255" s="667"/>
      <c r="P255" s="667"/>
      <c r="Q255" s="667"/>
    </row>
    <row r="256" ht="15.75" customHeight="1">
      <c r="B256" s="466"/>
      <c r="C256" s="667"/>
      <c r="D256" s="667"/>
      <c r="E256" s="668"/>
      <c r="F256" s="667"/>
      <c r="G256" s="667"/>
      <c r="H256" s="667"/>
      <c r="I256" s="667"/>
      <c r="J256" s="667"/>
      <c r="K256" s="667"/>
      <c r="L256" s="667"/>
      <c r="M256" s="667"/>
      <c r="N256" s="667"/>
      <c r="O256" s="667"/>
      <c r="P256" s="667"/>
      <c r="Q256" s="667"/>
    </row>
    <row r="257" ht="15.75" customHeight="1">
      <c r="B257" s="466"/>
      <c r="C257" s="667"/>
      <c r="D257" s="667"/>
      <c r="E257" s="668"/>
      <c r="F257" s="667"/>
      <c r="G257" s="667"/>
      <c r="H257" s="667"/>
      <c r="I257" s="667"/>
      <c r="J257" s="667"/>
      <c r="K257" s="667"/>
      <c r="L257" s="667"/>
      <c r="M257" s="667"/>
      <c r="N257" s="667"/>
      <c r="O257" s="667"/>
      <c r="P257" s="667"/>
      <c r="Q257" s="667"/>
    </row>
    <row r="258" ht="15.75" customHeight="1">
      <c r="B258" s="466"/>
      <c r="C258" s="667"/>
      <c r="D258" s="667"/>
      <c r="E258" s="668"/>
      <c r="F258" s="667"/>
      <c r="G258" s="667"/>
      <c r="H258" s="667"/>
      <c r="I258" s="667"/>
      <c r="J258" s="667"/>
      <c r="K258" s="667"/>
      <c r="L258" s="667"/>
      <c r="M258" s="667"/>
      <c r="N258" s="667"/>
      <c r="O258" s="667"/>
      <c r="P258" s="667"/>
      <c r="Q258" s="667"/>
    </row>
    <row r="259" ht="15.75" customHeight="1">
      <c r="B259" s="466"/>
      <c r="C259" s="667"/>
      <c r="D259" s="667"/>
      <c r="E259" s="668"/>
      <c r="F259" s="667"/>
      <c r="G259" s="667"/>
      <c r="H259" s="667"/>
      <c r="I259" s="667"/>
      <c r="J259" s="667"/>
      <c r="K259" s="667"/>
      <c r="L259" s="667"/>
      <c r="M259" s="667"/>
      <c r="N259" s="667"/>
      <c r="O259" s="667"/>
      <c r="P259" s="667"/>
      <c r="Q259" s="667"/>
    </row>
    <row r="260" ht="15.75" customHeight="1">
      <c r="B260" s="466"/>
      <c r="C260" s="667"/>
      <c r="D260" s="667"/>
      <c r="E260" s="668"/>
      <c r="F260" s="667"/>
      <c r="G260" s="667"/>
      <c r="H260" s="667"/>
      <c r="I260" s="667"/>
      <c r="J260" s="667"/>
      <c r="K260" s="667"/>
      <c r="L260" s="667"/>
      <c r="M260" s="667"/>
      <c r="N260" s="667"/>
      <c r="O260" s="667"/>
      <c r="P260" s="667"/>
      <c r="Q260" s="667"/>
    </row>
    <row r="261" ht="15.75" customHeight="1">
      <c r="B261" s="466"/>
      <c r="C261" s="667"/>
      <c r="D261" s="667"/>
      <c r="E261" s="668"/>
      <c r="F261" s="667"/>
      <c r="G261" s="667"/>
      <c r="H261" s="667"/>
      <c r="I261" s="667"/>
      <c r="J261" s="667"/>
      <c r="K261" s="667"/>
      <c r="L261" s="667"/>
      <c r="M261" s="667"/>
      <c r="N261" s="667"/>
      <c r="O261" s="667"/>
      <c r="P261" s="667"/>
      <c r="Q261" s="667"/>
    </row>
    <row r="262" ht="15.75" customHeight="1">
      <c r="B262" s="466"/>
      <c r="C262" s="667"/>
      <c r="D262" s="667"/>
      <c r="E262" s="668"/>
      <c r="F262" s="667"/>
      <c r="G262" s="667"/>
      <c r="H262" s="667"/>
      <c r="I262" s="667"/>
      <c r="J262" s="667"/>
      <c r="K262" s="667"/>
      <c r="L262" s="667"/>
      <c r="M262" s="667"/>
      <c r="N262" s="667"/>
      <c r="O262" s="667"/>
      <c r="P262" s="667"/>
      <c r="Q262" s="667"/>
    </row>
    <row r="263" ht="15.75" customHeight="1">
      <c r="B263" s="466"/>
      <c r="C263" s="667"/>
      <c r="D263" s="667"/>
      <c r="E263" s="668"/>
      <c r="F263" s="667"/>
      <c r="G263" s="667"/>
      <c r="H263" s="667"/>
      <c r="I263" s="667"/>
      <c r="J263" s="667"/>
      <c r="K263" s="667"/>
      <c r="L263" s="667"/>
      <c r="M263" s="667"/>
      <c r="N263" s="667"/>
      <c r="O263" s="667"/>
      <c r="P263" s="667"/>
      <c r="Q263" s="667"/>
    </row>
    <row r="264" ht="15.75" customHeight="1">
      <c r="B264" s="466"/>
      <c r="C264" s="667"/>
      <c r="D264" s="667"/>
      <c r="E264" s="668"/>
      <c r="F264" s="667"/>
      <c r="G264" s="667"/>
      <c r="H264" s="667"/>
      <c r="I264" s="667"/>
      <c r="J264" s="667"/>
      <c r="K264" s="667"/>
      <c r="L264" s="667"/>
      <c r="M264" s="667"/>
      <c r="N264" s="667"/>
      <c r="O264" s="667"/>
      <c r="P264" s="667"/>
      <c r="Q264" s="667"/>
    </row>
    <row r="265" ht="15.75" customHeight="1">
      <c r="B265" s="466"/>
      <c r="C265" s="667"/>
      <c r="D265" s="667"/>
      <c r="E265" s="668"/>
      <c r="F265" s="667"/>
      <c r="G265" s="667"/>
      <c r="H265" s="667"/>
      <c r="I265" s="667"/>
      <c r="J265" s="667"/>
      <c r="K265" s="667"/>
      <c r="L265" s="667"/>
      <c r="M265" s="667"/>
      <c r="N265" s="667"/>
      <c r="O265" s="667"/>
      <c r="P265" s="667"/>
      <c r="Q265" s="667"/>
    </row>
    <row r="266" ht="15.75" customHeight="1">
      <c r="B266" s="466"/>
      <c r="C266" s="667"/>
      <c r="D266" s="667"/>
      <c r="E266" s="668"/>
      <c r="F266" s="667"/>
      <c r="G266" s="667"/>
      <c r="H266" s="667"/>
      <c r="I266" s="667"/>
      <c r="J266" s="667"/>
      <c r="K266" s="667"/>
      <c r="L266" s="667"/>
      <c r="M266" s="667"/>
      <c r="N266" s="667"/>
      <c r="O266" s="667"/>
      <c r="P266" s="667"/>
      <c r="Q266" s="667"/>
    </row>
    <row r="267" ht="15.75" customHeight="1">
      <c r="B267" s="466"/>
      <c r="C267" s="667"/>
      <c r="D267" s="667"/>
      <c r="E267" s="668"/>
      <c r="F267" s="667"/>
      <c r="G267" s="667"/>
      <c r="H267" s="667"/>
      <c r="I267" s="667"/>
      <c r="J267" s="667"/>
      <c r="K267" s="667"/>
      <c r="L267" s="667"/>
      <c r="M267" s="667"/>
      <c r="N267" s="667"/>
      <c r="O267" s="667"/>
      <c r="P267" s="667"/>
      <c r="Q267" s="667"/>
    </row>
    <row r="268" ht="15.75" customHeight="1">
      <c r="B268" s="466"/>
      <c r="C268" s="667"/>
      <c r="D268" s="667"/>
      <c r="E268" s="668"/>
      <c r="F268" s="667"/>
      <c r="G268" s="667"/>
      <c r="H268" s="667"/>
      <c r="I268" s="667"/>
      <c r="J268" s="667"/>
      <c r="K268" s="667"/>
      <c r="L268" s="667"/>
      <c r="M268" s="667"/>
      <c r="N268" s="667"/>
      <c r="O268" s="667"/>
      <c r="P268" s="667"/>
      <c r="Q268" s="667"/>
    </row>
    <row r="269" ht="15.75" customHeight="1">
      <c r="B269" s="466"/>
      <c r="C269" s="667"/>
      <c r="D269" s="667"/>
      <c r="E269" s="668"/>
      <c r="F269" s="667"/>
      <c r="G269" s="667"/>
      <c r="H269" s="667"/>
      <c r="I269" s="667"/>
      <c r="J269" s="667"/>
      <c r="K269" s="667"/>
      <c r="L269" s="667"/>
      <c r="M269" s="667"/>
      <c r="N269" s="667"/>
      <c r="O269" s="667"/>
      <c r="P269" s="667"/>
      <c r="Q269" s="667"/>
    </row>
    <row r="270" ht="15.75" customHeight="1">
      <c r="B270" s="466"/>
      <c r="C270" s="667"/>
      <c r="D270" s="667"/>
      <c r="E270" s="668"/>
      <c r="F270" s="667"/>
      <c r="G270" s="667"/>
      <c r="H270" s="667"/>
      <c r="I270" s="667"/>
      <c r="J270" s="667"/>
      <c r="K270" s="667"/>
      <c r="L270" s="667"/>
      <c r="M270" s="667"/>
      <c r="N270" s="667"/>
      <c r="O270" s="667"/>
      <c r="P270" s="667"/>
      <c r="Q270" s="667"/>
    </row>
    <row r="271" ht="15.75" customHeight="1">
      <c r="B271" s="466"/>
      <c r="C271" s="667"/>
      <c r="D271" s="667"/>
      <c r="E271" s="668"/>
      <c r="F271" s="667"/>
      <c r="G271" s="667"/>
      <c r="H271" s="667"/>
      <c r="I271" s="667"/>
      <c r="J271" s="667"/>
      <c r="K271" s="667"/>
      <c r="L271" s="667"/>
      <c r="M271" s="667"/>
      <c r="N271" s="667"/>
      <c r="O271" s="667"/>
      <c r="P271" s="667"/>
      <c r="Q271" s="667"/>
    </row>
    <row r="272" ht="15.75" customHeight="1">
      <c r="B272" s="466"/>
      <c r="C272" s="667"/>
      <c r="D272" s="667"/>
      <c r="E272" s="668"/>
      <c r="F272" s="667"/>
      <c r="G272" s="667"/>
      <c r="H272" s="667"/>
      <c r="I272" s="667"/>
      <c r="J272" s="667"/>
      <c r="K272" s="667"/>
      <c r="L272" s="667"/>
      <c r="M272" s="667"/>
      <c r="N272" s="667"/>
      <c r="O272" s="667"/>
      <c r="P272" s="667"/>
      <c r="Q272" s="667"/>
    </row>
    <row r="273" ht="15.75" customHeight="1">
      <c r="B273" s="466"/>
      <c r="C273" s="667"/>
      <c r="D273" s="667"/>
      <c r="E273" s="668"/>
      <c r="F273" s="667"/>
      <c r="G273" s="667"/>
      <c r="H273" s="667"/>
      <c r="I273" s="667"/>
      <c r="J273" s="667"/>
      <c r="K273" s="667"/>
      <c r="L273" s="667"/>
      <c r="M273" s="667"/>
      <c r="N273" s="667"/>
      <c r="O273" s="667"/>
      <c r="P273" s="667"/>
      <c r="Q273" s="667"/>
    </row>
    <row r="274" ht="15.75" customHeight="1">
      <c r="B274" s="466"/>
      <c r="C274" s="667"/>
      <c r="D274" s="667"/>
      <c r="E274" s="668"/>
      <c r="F274" s="667"/>
      <c r="G274" s="667"/>
      <c r="H274" s="667"/>
      <c r="I274" s="667"/>
      <c r="J274" s="667"/>
      <c r="K274" s="667"/>
      <c r="L274" s="667"/>
      <c r="M274" s="667"/>
      <c r="N274" s="667"/>
      <c r="O274" s="667"/>
      <c r="P274" s="667"/>
      <c r="Q274" s="667"/>
    </row>
    <row r="275" ht="15.75" customHeight="1">
      <c r="B275" s="466"/>
      <c r="C275" s="667"/>
      <c r="D275" s="667"/>
      <c r="E275" s="668"/>
      <c r="F275" s="667"/>
      <c r="G275" s="667"/>
      <c r="H275" s="667"/>
      <c r="I275" s="667"/>
      <c r="J275" s="667"/>
      <c r="K275" s="667"/>
      <c r="L275" s="667"/>
      <c r="M275" s="667"/>
      <c r="N275" s="667"/>
      <c r="O275" s="667"/>
      <c r="P275" s="667"/>
      <c r="Q275" s="667"/>
    </row>
    <row r="276" ht="15.75" customHeight="1">
      <c r="B276" s="466"/>
      <c r="C276" s="667"/>
      <c r="D276" s="667"/>
      <c r="E276" s="668"/>
      <c r="F276" s="667"/>
      <c r="G276" s="667"/>
      <c r="H276" s="667"/>
      <c r="I276" s="667"/>
      <c r="J276" s="667"/>
      <c r="K276" s="667"/>
      <c r="L276" s="667"/>
      <c r="M276" s="667"/>
      <c r="N276" s="667"/>
      <c r="O276" s="667"/>
      <c r="P276" s="667"/>
      <c r="Q276" s="667"/>
    </row>
    <row r="277" ht="15.75" customHeight="1">
      <c r="B277" s="466"/>
      <c r="C277" s="667"/>
      <c r="D277" s="667"/>
      <c r="E277" s="668"/>
      <c r="F277" s="667"/>
      <c r="G277" s="667"/>
      <c r="H277" s="667"/>
      <c r="I277" s="667"/>
      <c r="J277" s="667"/>
      <c r="K277" s="667"/>
      <c r="L277" s="667"/>
      <c r="M277" s="667"/>
      <c r="N277" s="667"/>
      <c r="O277" s="667"/>
      <c r="P277" s="667"/>
      <c r="Q277" s="667"/>
    </row>
    <row r="278" ht="15.75" customHeight="1">
      <c r="B278" s="466"/>
      <c r="C278" s="667"/>
      <c r="D278" s="667"/>
      <c r="E278" s="668"/>
      <c r="F278" s="667"/>
      <c r="G278" s="667"/>
      <c r="H278" s="667"/>
      <c r="I278" s="667"/>
      <c r="J278" s="667"/>
      <c r="K278" s="667"/>
      <c r="L278" s="667"/>
      <c r="M278" s="667"/>
      <c r="N278" s="667"/>
      <c r="O278" s="667"/>
      <c r="P278" s="667"/>
      <c r="Q278" s="667"/>
    </row>
    <row r="279" ht="15.75" customHeight="1">
      <c r="B279" s="466"/>
      <c r="C279" s="667"/>
      <c r="D279" s="667"/>
      <c r="E279" s="668"/>
      <c r="F279" s="667"/>
      <c r="G279" s="667"/>
      <c r="H279" s="667"/>
      <c r="I279" s="667"/>
      <c r="J279" s="667"/>
      <c r="K279" s="667"/>
      <c r="L279" s="667"/>
      <c r="M279" s="667"/>
      <c r="N279" s="667"/>
      <c r="O279" s="667"/>
      <c r="P279" s="667"/>
      <c r="Q279" s="667"/>
    </row>
    <row r="280" ht="15.75" customHeight="1">
      <c r="B280" s="466"/>
      <c r="C280" s="667"/>
      <c r="D280" s="667"/>
      <c r="E280" s="668"/>
      <c r="F280" s="667"/>
      <c r="G280" s="667"/>
      <c r="H280" s="667"/>
      <c r="I280" s="667"/>
      <c r="J280" s="667"/>
      <c r="K280" s="667"/>
      <c r="L280" s="667"/>
      <c r="M280" s="667"/>
      <c r="N280" s="667"/>
      <c r="O280" s="667"/>
      <c r="P280" s="667"/>
      <c r="Q280" s="667"/>
    </row>
    <row r="281" ht="15.75" customHeight="1">
      <c r="B281" s="466"/>
      <c r="C281" s="667"/>
      <c r="D281" s="667"/>
      <c r="E281" s="668"/>
      <c r="F281" s="667"/>
      <c r="G281" s="667"/>
      <c r="H281" s="667"/>
      <c r="I281" s="667"/>
      <c r="J281" s="667"/>
      <c r="K281" s="667"/>
      <c r="L281" s="667"/>
      <c r="M281" s="667"/>
      <c r="N281" s="667"/>
      <c r="O281" s="667"/>
      <c r="P281" s="667"/>
      <c r="Q281" s="667"/>
    </row>
    <row r="282" ht="15.75" customHeight="1">
      <c r="B282" s="466"/>
      <c r="C282" s="667"/>
      <c r="D282" s="667"/>
      <c r="E282" s="668"/>
      <c r="F282" s="667"/>
      <c r="G282" s="667"/>
      <c r="H282" s="667"/>
      <c r="I282" s="667"/>
      <c r="J282" s="667"/>
      <c r="K282" s="667"/>
      <c r="L282" s="667"/>
      <c r="M282" s="667"/>
      <c r="N282" s="667"/>
      <c r="O282" s="667"/>
      <c r="P282" s="667"/>
      <c r="Q282" s="667"/>
    </row>
    <row r="283" ht="15.75" customHeight="1">
      <c r="B283" s="466"/>
      <c r="C283" s="667"/>
      <c r="D283" s="667"/>
      <c r="E283" s="668"/>
      <c r="F283" s="667"/>
      <c r="G283" s="667"/>
      <c r="H283" s="667"/>
      <c r="I283" s="667"/>
      <c r="J283" s="667"/>
      <c r="K283" s="667"/>
      <c r="L283" s="667"/>
      <c r="M283" s="667"/>
      <c r="N283" s="667"/>
      <c r="O283" s="667"/>
      <c r="P283" s="667"/>
      <c r="Q283" s="667"/>
    </row>
    <row r="284" ht="15.75" customHeight="1">
      <c r="B284" s="466"/>
      <c r="C284" s="667"/>
      <c r="D284" s="667"/>
      <c r="E284" s="668"/>
      <c r="F284" s="667"/>
      <c r="G284" s="667"/>
      <c r="H284" s="667"/>
      <c r="I284" s="667"/>
      <c r="J284" s="667"/>
      <c r="K284" s="667"/>
      <c r="L284" s="667"/>
      <c r="M284" s="667"/>
      <c r="N284" s="667"/>
      <c r="O284" s="667"/>
      <c r="P284" s="667"/>
      <c r="Q284" s="667"/>
    </row>
    <row r="285" ht="15.75" customHeight="1">
      <c r="B285" s="466"/>
      <c r="C285" s="667"/>
      <c r="D285" s="667"/>
      <c r="E285" s="668"/>
      <c r="F285" s="667"/>
      <c r="G285" s="667"/>
      <c r="H285" s="667"/>
      <c r="I285" s="667"/>
      <c r="J285" s="667"/>
      <c r="K285" s="667"/>
      <c r="L285" s="667"/>
      <c r="M285" s="667"/>
      <c r="N285" s="667"/>
      <c r="O285" s="667"/>
      <c r="P285" s="667"/>
      <c r="Q285" s="667"/>
    </row>
    <row r="286" ht="15.75" customHeight="1">
      <c r="B286" s="466"/>
      <c r="C286" s="667"/>
      <c r="D286" s="667"/>
      <c r="E286" s="668"/>
      <c r="F286" s="667"/>
      <c r="G286" s="667"/>
      <c r="H286" s="667"/>
      <c r="I286" s="667"/>
      <c r="J286" s="667"/>
      <c r="K286" s="667"/>
      <c r="L286" s="667"/>
      <c r="M286" s="667"/>
      <c r="N286" s="667"/>
      <c r="O286" s="667"/>
      <c r="P286" s="667"/>
      <c r="Q286" s="667"/>
    </row>
    <row r="287" ht="15.75" customHeight="1">
      <c r="B287" s="466"/>
      <c r="C287" s="667"/>
      <c r="D287" s="667"/>
      <c r="E287" s="668"/>
      <c r="F287" s="667"/>
      <c r="G287" s="667"/>
      <c r="H287" s="667"/>
      <c r="I287" s="667"/>
      <c r="J287" s="667"/>
      <c r="K287" s="667"/>
      <c r="L287" s="667"/>
      <c r="M287" s="667"/>
      <c r="N287" s="667"/>
      <c r="O287" s="667"/>
      <c r="P287" s="667"/>
      <c r="Q287" s="667"/>
    </row>
    <row r="288" ht="15.75" customHeight="1">
      <c r="B288" s="466"/>
      <c r="C288" s="667"/>
      <c r="D288" s="667"/>
      <c r="E288" s="668"/>
      <c r="F288" s="667"/>
      <c r="G288" s="667"/>
      <c r="H288" s="667"/>
      <c r="I288" s="667"/>
      <c r="J288" s="667"/>
      <c r="K288" s="667"/>
      <c r="L288" s="667"/>
      <c r="M288" s="667"/>
      <c r="N288" s="667"/>
      <c r="O288" s="667"/>
      <c r="P288" s="667"/>
      <c r="Q288" s="667"/>
    </row>
    <row r="289" ht="15.75" customHeight="1">
      <c r="B289" s="466"/>
      <c r="C289" s="667"/>
      <c r="D289" s="667"/>
      <c r="E289" s="668"/>
      <c r="F289" s="667"/>
      <c r="G289" s="667"/>
      <c r="H289" s="667"/>
      <c r="I289" s="667"/>
      <c r="J289" s="667"/>
      <c r="K289" s="667"/>
      <c r="L289" s="667"/>
      <c r="M289" s="667"/>
      <c r="N289" s="667"/>
      <c r="O289" s="667"/>
      <c r="P289" s="667"/>
      <c r="Q289" s="667"/>
    </row>
    <row r="290" ht="15.75" customHeight="1">
      <c r="B290" s="466"/>
      <c r="C290" s="667"/>
      <c r="D290" s="667"/>
      <c r="E290" s="668"/>
      <c r="F290" s="667"/>
      <c r="G290" s="667"/>
      <c r="H290" s="667"/>
      <c r="I290" s="667"/>
      <c r="J290" s="667"/>
      <c r="K290" s="667"/>
      <c r="L290" s="667"/>
      <c r="M290" s="667"/>
      <c r="N290" s="667"/>
      <c r="O290" s="667"/>
      <c r="P290" s="667"/>
      <c r="Q290" s="667"/>
    </row>
    <row r="291" ht="15.75" customHeight="1">
      <c r="B291" s="466"/>
      <c r="C291" s="667"/>
      <c r="D291" s="667"/>
      <c r="E291" s="668"/>
      <c r="F291" s="667"/>
      <c r="G291" s="667"/>
      <c r="H291" s="667"/>
      <c r="I291" s="667"/>
      <c r="J291" s="667"/>
      <c r="K291" s="667"/>
      <c r="L291" s="667"/>
      <c r="M291" s="667"/>
      <c r="N291" s="667"/>
      <c r="O291" s="667"/>
      <c r="P291" s="667"/>
      <c r="Q291" s="667"/>
    </row>
    <row r="292" ht="15.75" customHeight="1">
      <c r="B292" s="466"/>
      <c r="C292" s="667"/>
      <c r="D292" s="667"/>
      <c r="E292" s="668"/>
      <c r="F292" s="667"/>
      <c r="G292" s="667"/>
      <c r="H292" s="667"/>
      <c r="I292" s="667"/>
      <c r="J292" s="667"/>
      <c r="K292" s="667"/>
      <c r="L292" s="667"/>
      <c r="M292" s="667"/>
      <c r="N292" s="667"/>
      <c r="O292" s="667"/>
      <c r="P292" s="667"/>
      <c r="Q292" s="667"/>
    </row>
    <row r="293" ht="15.75" customHeight="1">
      <c r="B293" s="466"/>
      <c r="C293" s="667"/>
      <c r="D293" s="667"/>
      <c r="E293" s="668"/>
      <c r="F293" s="667"/>
      <c r="G293" s="667"/>
      <c r="H293" s="667"/>
      <c r="I293" s="667"/>
      <c r="J293" s="667"/>
      <c r="K293" s="667"/>
      <c r="L293" s="667"/>
      <c r="M293" s="667"/>
      <c r="N293" s="667"/>
      <c r="O293" s="667"/>
      <c r="P293" s="667"/>
      <c r="Q293" s="667"/>
    </row>
    <row r="294" ht="15.75" customHeight="1">
      <c r="B294" s="466"/>
      <c r="C294" s="667"/>
      <c r="D294" s="667"/>
      <c r="E294" s="668"/>
      <c r="F294" s="667"/>
      <c r="G294" s="667"/>
      <c r="H294" s="667"/>
      <c r="I294" s="667"/>
      <c r="J294" s="667"/>
      <c r="K294" s="667"/>
      <c r="L294" s="667"/>
      <c r="M294" s="667"/>
      <c r="N294" s="667"/>
      <c r="O294" s="667"/>
      <c r="P294" s="667"/>
      <c r="Q294" s="667"/>
    </row>
    <row r="295" ht="15.75" customHeight="1">
      <c r="B295" s="466"/>
      <c r="C295" s="667"/>
      <c r="D295" s="667"/>
      <c r="E295" s="668"/>
      <c r="F295" s="667"/>
      <c r="G295" s="667"/>
      <c r="H295" s="667"/>
      <c r="I295" s="667"/>
      <c r="J295" s="667"/>
      <c r="K295" s="667"/>
      <c r="L295" s="667"/>
      <c r="M295" s="667"/>
      <c r="N295" s="667"/>
      <c r="O295" s="667"/>
      <c r="P295" s="667"/>
      <c r="Q295" s="667"/>
    </row>
    <row r="296" ht="15.75" customHeight="1">
      <c r="B296" s="466"/>
      <c r="C296" s="667"/>
      <c r="D296" s="667"/>
      <c r="E296" s="668"/>
      <c r="F296" s="667"/>
      <c r="G296" s="667"/>
      <c r="H296" s="667"/>
      <c r="I296" s="667"/>
      <c r="J296" s="667"/>
      <c r="K296" s="667"/>
      <c r="L296" s="667"/>
      <c r="M296" s="667"/>
      <c r="N296" s="667"/>
      <c r="O296" s="667"/>
      <c r="P296" s="667"/>
      <c r="Q296" s="667"/>
    </row>
    <row r="297" ht="15.75" customHeight="1">
      <c r="B297" s="466"/>
      <c r="C297" s="667"/>
      <c r="D297" s="667"/>
      <c r="E297" s="668"/>
      <c r="F297" s="667"/>
      <c r="G297" s="667"/>
      <c r="H297" s="667"/>
      <c r="I297" s="667"/>
      <c r="J297" s="667"/>
      <c r="K297" s="667"/>
      <c r="L297" s="667"/>
      <c r="M297" s="667"/>
      <c r="N297" s="667"/>
      <c r="O297" s="667"/>
      <c r="P297" s="667"/>
      <c r="Q297" s="667"/>
    </row>
    <row r="298" ht="15.75" customHeight="1">
      <c r="B298" s="466"/>
      <c r="C298" s="667"/>
      <c r="D298" s="667"/>
      <c r="E298" s="668"/>
      <c r="F298" s="667"/>
      <c r="G298" s="667"/>
      <c r="H298" s="667"/>
      <c r="I298" s="667"/>
      <c r="J298" s="667"/>
      <c r="K298" s="667"/>
      <c r="L298" s="667"/>
      <c r="M298" s="667"/>
      <c r="N298" s="667"/>
      <c r="O298" s="667"/>
      <c r="P298" s="667"/>
      <c r="Q298" s="667"/>
    </row>
    <row r="299" ht="15.75" customHeight="1">
      <c r="B299" s="466"/>
      <c r="C299" s="667"/>
      <c r="D299" s="667"/>
      <c r="E299" s="668"/>
      <c r="F299" s="667"/>
      <c r="G299" s="667"/>
      <c r="H299" s="667"/>
      <c r="I299" s="667"/>
      <c r="J299" s="667"/>
      <c r="K299" s="667"/>
      <c r="L299" s="667"/>
      <c r="M299" s="667"/>
      <c r="N299" s="667"/>
      <c r="O299" s="667"/>
      <c r="P299" s="667"/>
      <c r="Q299" s="667"/>
    </row>
    <row r="300" ht="15.75" customHeight="1">
      <c r="B300" s="466"/>
      <c r="C300" s="667"/>
      <c r="D300" s="667"/>
      <c r="E300" s="668"/>
      <c r="F300" s="667"/>
      <c r="G300" s="667"/>
      <c r="H300" s="667"/>
      <c r="I300" s="667"/>
      <c r="J300" s="667"/>
      <c r="K300" s="667"/>
      <c r="L300" s="667"/>
      <c r="M300" s="667"/>
      <c r="N300" s="667"/>
      <c r="O300" s="667"/>
      <c r="P300" s="667"/>
      <c r="Q300" s="667"/>
    </row>
    <row r="301" ht="15.75" customHeight="1">
      <c r="B301" s="466"/>
      <c r="C301" s="667"/>
      <c r="D301" s="667"/>
      <c r="E301" s="668"/>
      <c r="F301" s="667"/>
      <c r="G301" s="667"/>
      <c r="H301" s="667"/>
      <c r="I301" s="667"/>
      <c r="J301" s="667"/>
      <c r="K301" s="667"/>
      <c r="L301" s="667"/>
      <c r="M301" s="667"/>
      <c r="N301" s="667"/>
      <c r="O301" s="667"/>
      <c r="P301" s="667"/>
      <c r="Q301" s="667"/>
    </row>
    <row r="302" ht="15.75" customHeight="1">
      <c r="B302" s="466"/>
      <c r="C302" s="667"/>
      <c r="D302" s="667"/>
      <c r="E302" s="668"/>
      <c r="F302" s="667"/>
      <c r="G302" s="667"/>
      <c r="H302" s="667"/>
      <c r="I302" s="667"/>
      <c r="J302" s="667"/>
      <c r="K302" s="667"/>
      <c r="L302" s="667"/>
      <c r="M302" s="667"/>
      <c r="N302" s="667"/>
      <c r="O302" s="667"/>
      <c r="P302" s="667"/>
      <c r="Q302" s="667"/>
    </row>
    <row r="303" ht="15.75" customHeight="1">
      <c r="B303" s="466"/>
      <c r="C303" s="667"/>
      <c r="D303" s="667"/>
      <c r="E303" s="668"/>
      <c r="F303" s="667"/>
      <c r="G303" s="667"/>
      <c r="H303" s="667"/>
      <c r="I303" s="667"/>
      <c r="J303" s="667"/>
      <c r="K303" s="667"/>
      <c r="L303" s="667"/>
      <c r="M303" s="667"/>
      <c r="N303" s="667"/>
      <c r="O303" s="667"/>
      <c r="P303" s="667"/>
      <c r="Q303" s="667"/>
    </row>
    <row r="304" ht="15.75" customHeight="1">
      <c r="B304" s="466"/>
      <c r="C304" s="667"/>
      <c r="D304" s="667"/>
      <c r="E304" s="668"/>
      <c r="F304" s="667"/>
      <c r="G304" s="667"/>
      <c r="H304" s="667"/>
      <c r="I304" s="667"/>
      <c r="J304" s="667"/>
      <c r="K304" s="667"/>
      <c r="L304" s="667"/>
      <c r="M304" s="667"/>
      <c r="N304" s="667"/>
      <c r="O304" s="667"/>
      <c r="P304" s="667"/>
      <c r="Q304" s="667"/>
    </row>
    <row r="305" ht="15.75" customHeight="1">
      <c r="B305" s="466"/>
      <c r="C305" s="667"/>
      <c r="D305" s="667"/>
      <c r="E305" s="668"/>
      <c r="F305" s="667"/>
      <c r="G305" s="667"/>
      <c r="H305" s="667"/>
      <c r="I305" s="667"/>
      <c r="J305" s="667"/>
      <c r="K305" s="667"/>
      <c r="L305" s="667"/>
      <c r="M305" s="667"/>
      <c r="N305" s="667"/>
      <c r="O305" s="667"/>
      <c r="P305" s="667"/>
      <c r="Q305" s="667"/>
    </row>
    <row r="306" ht="15.75" customHeight="1">
      <c r="B306" s="466"/>
      <c r="C306" s="667"/>
      <c r="D306" s="667"/>
      <c r="E306" s="668"/>
      <c r="F306" s="667"/>
      <c r="G306" s="667"/>
      <c r="H306" s="667"/>
      <c r="I306" s="667"/>
      <c r="J306" s="667"/>
      <c r="K306" s="667"/>
      <c r="L306" s="667"/>
      <c r="M306" s="667"/>
      <c r="N306" s="667"/>
      <c r="O306" s="667"/>
      <c r="P306" s="667"/>
      <c r="Q306" s="667"/>
    </row>
    <row r="307" ht="15.75" customHeight="1">
      <c r="B307" s="466"/>
      <c r="C307" s="667"/>
      <c r="D307" s="667"/>
      <c r="E307" s="668"/>
      <c r="F307" s="667"/>
      <c r="G307" s="667"/>
      <c r="H307" s="667"/>
      <c r="I307" s="667"/>
      <c r="J307" s="667"/>
      <c r="K307" s="667"/>
      <c r="L307" s="667"/>
      <c r="M307" s="667"/>
      <c r="N307" s="667"/>
      <c r="O307" s="667"/>
      <c r="P307" s="667"/>
      <c r="Q307" s="667"/>
    </row>
    <row r="308" ht="15.75" customHeight="1">
      <c r="B308" s="466"/>
      <c r="C308" s="667"/>
      <c r="D308" s="667"/>
      <c r="E308" s="668"/>
      <c r="F308" s="667"/>
      <c r="G308" s="667"/>
      <c r="H308" s="667"/>
      <c r="I308" s="667"/>
      <c r="J308" s="667"/>
      <c r="K308" s="667"/>
      <c r="L308" s="667"/>
      <c r="M308" s="667"/>
      <c r="N308" s="667"/>
      <c r="O308" s="667"/>
      <c r="P308" s="667"/>
      <c r="Q308" s="667"/>
    </row>
    <row r="309" ht="15.75" customHeight="1">
      <c r="B309" s="466"/>
      <c r="C309" s="667"/>
      <c r="D309" s="667"/>
      <c r="E309" s="668"/>
      <c r="F309" s="667"/>
      <c r="G309" s="667"/>
      <c r="H309" s="667"/>
      <c r="I309" s="667"/>
      <c r="J309" s="667"/>
      <c r="K309" s="667"/>
      <c r="L309" s="667"/>
      <c r="M309" s="667"/>
      <c r="N309" s="667"/>
      <c r="O309" s="667"/>
      <c r="P309" s="667"/>
      <c r="Q309" s="667"/>
    </row>
    <row r="310" ht="15.75" customHeight="1">
      <c r="B310" s="466"/>
      <c r="C310" s="667"/>
      <c r="D310" s="667"/>
      <c r="E310" s="668"/>
      <c r="F310" s="667"/>
      <c r="G310" s="667"/>
      <c r="H310" s="667"/>
      <c r="I310" s="667"/>
      <c r="J310" s="667"/>
      <c r="K310" s="667"/>
      <c r="L310" s="667"/>
      <c r="M310" s="667"/>
      <c r="N310" s="667"/>
      <c r="O310" s="667"/>
      <c r="P310" s="667"/>
      <c r="Q310" s="667"/>
    </row>
    <row r="311" ht="15.75" customHeight="1">
      <c r="B311" s="466"/>
      <c r="C311" s="667"/>
      <c r="D311" s="667"/>
      <c r="E311" s="668"/>
      <c r="F311" s="667"/>
      <c r="G311" s="667"/>
      <c r="H311" s="667"/>
      <c r="I311" s="667"/>
      <c r="J311" s="667"/>
      <c r="K311" s="667"/>
      <c r="L311" s="667"/>
      <c r="M311" s="667"/>
      <c r="N311" s="667"/>
      <c r="O311" s="667"/>
      <c r="P311" s="667"/>
      <c r="Q311" s="667"/>
    </row>
    <row r="312" ht="15.75" customHeight="1">
      <c r="B312" s="466"/>
      <c r="C312" s="667"/>
      <c r="D312" s="667"/>
      <c r="E312" s="668"/>
      <c r="F312" s="667"/>
      <c r="G312" s="667"/>
      <c r="H312" s="667"/>
      <c r="I312" s="667"/>
      <c r="J312" s="667"/>
      <c r="K312" s="667"/>
      <c r="L312" s="667"/>
      <c r="M312" s="667"/>
      <c r="N312" s="667"/>
      <c r="O312" s="667"/>
      <c r="P312" s="667"/>
      <c r="Q312" s="667"/>
    </row>
    <row r="313" ht="15.75" customHeight="1">
      <c r="B313" s="466"/>
      <c r="C313" s="667"/>
      <c r="D313" s="667"/>
      <c r="E313" s="668"/>
      <c r="F313" s="667"/>
      <c r="G313" s="667"/>
      <c r="H313" s="667"/>
      <c r="I313" s="667"/>
      <c r="J313" s="667"/>
      <c r="K313" s="667"/>
      <c r="L313" s="667"/>
      <c r="M313" s="667"/>
      <c r="N313" s="667"/>
      <c r="O313" s="667"/>
      <c r="P313" s="667"/>
      <c r="Q313" s="667"/>
    </row>
    <row r="314" ht="15.75" customHeight="1">
      <c r="B314" s="466"/>
      <c r="C314" s="667"/>
      <c r="D314" s="667"/>
      <c r="E314" s="668"/>
      <c r="F314" s="667"/>
      <c r="G314" s="667"/>
      <c r="H314" s="667"/>
      <c r="I314" s="667"/>
      <c r="J314" s="667"/>
      <c r="K314" s="667"/>
      <c r="L314" s="667"/>
      <c r="M314" s="667"/>
      <c r="N314" s="667"/>
      <c r="O314" s="667"/>
      <c r="P314" s="667"/>
      <c r="Q314" s="667"/>
    </row>
    <row r="315" ht="15.75" customHeight="1">
      <c r="B315" s="466"/>
      <c r="C315" s="667"/>
      <c r="D315" s="667"/>
      <c r="E315" s="668"/>
      <c r="F315" s="667"/>
      <c r="G315" s="667"/>
      <c r="H315" s="667"/>
      <c r="I315" s="667"/>
      <c r="J315" s="667"/>
      <c r="K315" s="667"/>
      <c r="L315" s="667"/>
      <c r="M315" s="667"/>
      <c r="N315" s="667"/>
      <c r="O315" s="667"/>
      <c r="P315" s="667"/>
      <c r="Q315" s="667"/>
    </row>
    <row r="316" ht="15.75" customHeight="1">
      <c r="B316" s="466"/>
      <c r="C316" s="667"/>
      <c r="D316" s="667"/>
      <c r="E316" s="668"/>
      <c r="F316" s="667"/>
      <c r="G316" s="667"/>
      <c r="H316" s="667"/>
      <c r="I316" s="667"/>
      <c r="J316" s="667"/>
      <c r="K316" s="667"/>
      <c r="L316" s="667"/>
      <c r="M316" s="667"/>
      <c r="N316" s="667"/>
      <c r="O316" s="667"/>
      <c r="P316" s="667"/>
      <c r="Q316" s="667"/>
    </row>
    <row r="317" ht="15.75" customHeight="1">
      <c r="B317" s="466"/>
      <c r="C317" s="667"/>
      <c r="D317" s="667"/>
      <c r="E317" s="668"/>
      <c r="F317" s="667"/>
      <c r="G317" s="667"/>
      <c r="H317" s="667"/>
      <c r="I317" s="667"/>
      <c r="J317" s="667"/>
      <c r="K317" s="667"/>
      <c r="L317" s="667"/>
      <c r="M317" s="667"/>
      <c r="N317" s="667"/>
      <c r="O317" s="667"/>
      <c r="P317" s="667"/>
      <c r="Q317" s="667"/>
    </row>
    <row r="318" ht="15.75" customHeight="1">
      <c r="B318" s="466"/>
      <c r="C318" s="667"/>
      <c r="D318" s="667"/>
      <c r="E318" s="668"/>
      <c r="F318" s="667"/>
      <c r="G318" s="667"/>
      <c r="H318" s="667"/>
      <c r="I318" s="667"/>
      <c r="J318" s="667"/>
      <c r="K318" s="667"/>
      <c r="L318" s="667"/>
      <c r="M318" s="667"/>
      <c r="N318" s="667"/>
      <c r="O318" s="667"/>
      <c r="P318" s="667"/>
      <c r="Q318" s="667"/>
    </row>
    <row r="319" ht="15.75" customHeight="1">
      <c r="B319" s="466"/>
      <c r="C319" s="667"/>
      <c r="D319" s="667"/>
      <c r="E319" s="668"/>
      <c r="F319" s="667"/>
      <c r="G319" s="667"/>
      <c r="H319" s="667"/>
      <c r="I319" s="667"/>
      <c r="J319" s="667"/>
      <c r="K319" s="667"/>
      <c r="L319" s="667"/>
      <c r="M319" s="667"/>
      <c r="N319" s="667"/>
      <c r="O319" s="667"/>
      <c r="P319" s="667"/>
      <c r="Q319" s="667"/>
    </row>
    <row r="320" ht="15.75" customHeight="1">
      <c r="B320" s="466"/>
      <c r="C320" s="667"/>
      <c r="D320" s="667"/>
      <c r="E320" s="668"/>
      <c r="F320" s="667"/>
      <c r="G320" s="667"/>
      <c r="H320" s="667"/>
      <c r="I320" s="667"/>
      <c r="J320" s="667"/>
      <c r="K320" s="667"/>
      <c r="L320" s="667"/>
      <c r="M320" s="667"/>
      <c r="N320" s="667"/>
      <c r="O320" s="667"/>
      <c r="P320" s="667"/>
      <c r="Q320" s="667"/>
    </row>
    <row r="321" ht="15.75" customHeight="1">
      <c r="B321" s="466"/>
      <c r="C321" s="667"/>
      <c r="D321" s="667"/>
      <c r="E321" s="668"/>
      <c r="F321" s="667"/>
      <c r="G321" s="667"/>
      <c r="H321" s="667"/>
      <c r="I321" s="667"/>
      <c r="J321" s="667"/>
      <c r="K321" s="667"/>
      <c r="L321" s="667"/>
      <c r="M321" s="667"/>
      <c r="N321" s="667"/>
      <c r="O321" s="667"/>
      <c r="P321" s="667"/>
      <c r="Q321" s="667"/>
    </row>
    <row r="322" ht="15.75" customHeight="1">
      <c r="B322" s="466"/>
      <c r="C322" s="667"/>
      <c r="D322" s="667"/>
      <c r="E322" s="668"/>
      <c r="F322" s="667"/>
      <c r="G322" s="667"/>
      <c r="H322" s="667"/>
      <c r="I322" s="667"/>
      <c r="J322" s="667"/>
      <c r="K322" s="667"/>
      <c r="L322" s="667"/>
      <c r="M322" s="667"/>
      <c r="N322" s="667"/>
      <c r="O322" s="667"/>
      <c r="P322" s="667"/>
      <c r="Q322" s="667"/>
    </row>
    <row r="323" ht="15.75" customHeight="1">
      <c r="B323" s="466"/>
      <c r="C323" s="667"/>
      <c r="D323" s="667"/>
      <c r="E323" s="668"/>
      <c r="F323" s="667"/>
      <c r="G323" s="667"/>
      <c r="H323" s="667"/>
      <c r="I323" s="667"/>
      <c r="J323" s="667"/>
      <c r="K323" s="667"/>
      <c r="L323" s="667"/>
      <c r="M323" s="667"/>
      <c r="N323" s="667"/>
      <c r="O323" s="667"/>
      <c r="P323" s="667"/>
      <c r="Q323" s="667"/>
    </row>
    <row r="324" ht="15.75" customHeight="1">
      <c r="B324" s="466"/>
      <c r="C324" s="667"/>
      <c r="D324" s="667"/>
      <c r="E324" s="668"/>
      <c r="F324" s="667"/>
      <c r="G324" s="667"/>
      <c r="H324" s="667"/>
      <c r="I324" s="667"/>
      <c r="J324" s="667"/>
      <c r="K324" s="667"/>
      <c r="L324" s="667"/>
      <c r="M324" s="667"/>
      <c r="N324" s="667"/>
      <c r="O324" s="667"/>
      <c r="P324" s="667"/>
      <c r="Q324" s="667"/>
    </row>
    <row r="325" ht="15.75" customHeight="1">
      <c r="B325" s="466"/>
      <c r="C325" s="667"/>
      <c r="D325" s="667"/>
      <c r="E325" s="668"/>
      <c r="F325" s="667"/>
      <c r="G325" s="667"/>
      <c r="H325" s="667"/>
      <c r="I325" s="667"/>
      <c r="J325" s="667"/>
      <c r="K325" s="667"/>
      <c r="L325" s="667"/>
      <c r="M325" s="667"/>
      <c r="N325" s="667"/>
      <c r="O325" s="667"/>
      <c r="P325" s="667"/>
      <c r="Q325" s="667"/>
    </row>
    <row r="326" ht="15.75" customHeight="1">
      <c r="B326" s="466"/>
      <c r="C326" s="667"/>
      <c r="D326" s="667"/>
      <c r="E326" s="668"/>
      <c r="F326" s="667"/>
      <c r="G326" s="667"/>
      <c r="H326" s="667"/>
      <c r="I326" s="667"/>
      <c r="J326" s="667"/>
      <c r="K326" s="667"/>
      <c r="L326" s="667"/>
      <c r="M326" s="667"/>
      <c r="N326" s="667"/>
      <c r="O326" s="667"/>
      <c r="P326" s="667"/>
      <c r="Q326" s="667"/>
    </row>
    <row r="327" ht="15.75" customHeight="1">
      <c r="B327" s="466"/>
      <c r="C327" s="667"/>
      <c r="D327" s="667"/>
      <c r="E327" s="668"/>
      <c r="F327" s="667"/>
      <c r="G327" s="667"/>
      <c r="H327" s="667"/>
      <c r="I327" s="667"/>
      <c r="J327" s="667"/>
      <c r="K327" s="667"/>
      <c r="L327" s="667"/>
      <c r="M327" s="667"/>
      <c r="N327" s="667"/>
      <c r="O327" s="667"/>
      <c r="P327" s="667"/>
      <c r="Q327" s="667"/>
    </row>
    <row r="328" ht="15.75" customHeight="1">
      <c r="B328" s="466"/>
      <c r="C328" s="667"/>
      <c r="D328" s="667"/>
      <c r="E328" s="668"/>
      <c r="F328" s="667"/>
      <c r="G328" s="667"/>
      <c r="H328" s="667"/>
      <c r="I328" s="667"/>
      <c r="J328" s="667"/>
      <c r="K328" s="667"/>
      <c r="L328" s="667"/>
      <c r="M328" s="667"/>
      <c r="N328" s="667"/>
      <c r="O328" s="667"/>
      <c r="P328" s="667"/>
      <c r="Q328" s="667"/>
    </row>
    <row r="329" ht="15.75" customHeight="1">
      <c r="B329" s="466"/>
      <c r="C329" s="667"/>
      <c r="D329" s="667"/>
      <c r="E329" s="668"/>
      <c r="F329" s="667"/>
      <c r="G329" s="667"/>
      <c r="H329" s="667"/>
      <c r="I329" s="667"/>
      <c r="J329" s="667"/>
      <c r="K329" s="667"/>
      <c r="L329" s="667"/>
      <c r="M329" s="667"/>
      <c r="N329" s="667"/>
      <c r="O329" s="667"/>
      <c r="P329" s="667"/>
      <c r="Q329" s="667"/>
    </row>
    <row r="330" ht="15.75" customHeight="1">
      <c r="B330" s="466"/>
      <c r="C330" s="667"/>
      <c r="D330" s="667"/>
      <c r="E330" s="668"/>
      <c r="F330" s="667"/>
      <c r="G330" s="667"/>
      <c r="H330" s="667"/>
      <c r="I330" s="667"/>
      <c r="J330" s="667"/>
      <c r="K330" s="667"/>
      <c r="L330" s="667"/>
      <c r="M330" s="667"/>
      <c r="N330" s="667"/>
      <c r="O330" s="667"/>
      <c r="P330" s="667"/>
      <c r="Q330" s="667"/>
    </row>
    <row r="331" ht="15.75" customHeight="1">
      <c r="B331" s="466"/>
      <c r="C331" s="667"/>
      <c r="D331" s="667"/>
      <c r="E331" s="668"/>
      <c r="F331" s="667"/>
      <c r="G331" s="667"/>
      <c r="H331" s="667"/>
      <c r="I331" s="667"/>
      <c r="J331" s="667"/>
      <c r="K331" s="667"/>
      <c r="L331" s="667"/>
      <c r="M331" s="667"/>
      <c r="N331" s="667"/>
      <c r="O331" s="667"/>
      <c r="P331" s="667"/>
      <c r="Q331" s="667"/>
    </row>
    <row r="332" ht="15.75" customHeight="1">
      <c r="B332" s="466"/>
      <c r="C332" s="667"/>
      <c r="D332" s="667"/>
      <c r="E332" s="668"/>
      <c r="F332" s="667"/>
      <c r="G332" s="667"/>
      <c r="H332" s="667"/>
      <c r="I332" s="667"/>
      <c r="J332" s="667"/>
      <c r="K332" s="667"/>
      <c r="L332" s="667"/>
      <c r="M332" s="667"/>
      <c r="N332" s="667"/>
      <c r="O332" s="667"/>
      <c r="P332" s="667"/>
      <c r="Q332" s="667"/>
    </row>
    <row r="333" ht="15.75" customHeight="1">
      <c r="B333" s="466"/>
      <c r="C333" s="667"/>
      <c r="D333" s="667"/>
      <c r="E333" s="668"/>
      <c r="F333" s="667"/>
      <c r="G333" s="667"/>
      <c r="H333" s="667"/>
      <c r="I333" s="667"/>
      <c r="J333" s="667"/>
      <c r="K333" s="667"/>
      <c r="L333" s="667"/>
      <c r="M333" s="667"/>
      <c r="N333" s="667"/>
      <c r="O333" s="667"/>
      <c r="P333" s="667"/>
      <c r="Q333" s="667"/>
    </row>
    <row r="334" ht="15.75" customHeight="1">
      <c r="B334" s="466"/>
      <c r="C334" s="667"/>
      <c r="D334" s="667"/>
      <c r="E334" s="668"/>
      <c r="F334" s="667"/>
      <c r="G334" s="667"/>
      <c r="H334" s="667"/>
      <c r="I334" s="667"/>
      <c r="J334" s="667"/>
      <c r="K334" s="667"/>
      <c r="L334" s="667"/>
      <c r="M334" s="667"/>
      <c r="N334" s="667"/>
      <c r="O334" s="667"/>
      <c r="P334" s="667"/>
      <c r="Q334" s="667"/>
    </row>
    <row r="335" ht="15.75" customHeight="1">
      <c r="B335" s="466"/>
      <c r="C335" s="667"/>
      <c r="D335" s="667"/>
      <c r="E335" s="668"/>
      <c r="F335" s="667"/>
      <c r="G335" s="667"/>
      <c r="H335" s="667"/>
      <c r="I335" s="667"/>
      <c r="J335" s="667"/>
      <c r="K335" s="667"/>
      <c r="L335" s="667"/>
      <c r="M335" s="667"/>
      <c r="N335" s="667"/>
      <c r="O335" s="667"/>
      <c r="P335" s="667"/>
      <c r="Q335" s="667"/>
    </row>
    <row r="336" ht="15.75" customHeight="1">
      <c r="B336" s="466"/>
      <c r="C336" s="667"/>
      <c r="D336" s="667"/>
      <c r="E336" s="668"/>
      <c r="F336" s="667"/>
      <c r="G336" s="667"/>
      <c r="H336" s="667"/>
      <c r="I336" s="667"/>
      <c r="J336" s="667"/>
      <c r="K336" s="667"/>
      <c r="L336" s="667"/>
      <c r="M336" s="667"/>
      <c r="N336" s="667"/>
      <c r="O336" s="667"/>
      <c r="P336" s="667"/>
      <c r="Q336" s="667"/>
    </row>
    <row r="337" ht="15.75" customHeight="1">
      <c r="B337" s="466"/>
      <c r="C337" s="667"/>
      <c r="D337" s="667"/>
      <c r="E337" s="668"/>
      <c r="F337" s="667"/>
      <c r="G337" s="667"/>
      <c r="H337" s="667"/>
      <c r="I337" s="667"/>
      <c r="J337" s="667"/>
      <c r="K337" s="667"/>
      <c r="L337" s="667"/>
      <c r="M337" s="667"/>
      <c r="N337" s="667"/>
      <c r="O337" s="667"/>
      <c r="P337" s="667"/>
      <c r="Q337" s="667"/>
    </row>
    <row r="338" ht="15.75" customHeight="1">
      <c r="B338" s="466"/>
      <c r="C338" s="667"/>
      <c r="D338" s="667"/>
      <c r="E338" s="668"/>
      <c r="F338" s="667"/>
      <c r="G338" s="667"/>
      <c r="H338" s="667"/>
      <c r="I338" s="667"/>
      <c r="J338" s="667"/>
      <c r="K338" s="667"/>
      <c r="L338" s="667"/>
      <c r="M338" s="667"/>
      <c r="N338" s="667"/>
      <c r="O338" s="667"/>
      <c r="P338" s="667"/>
      <c r="Q338" s="667"/>
    </row>
    <row r="339" ht="15.75" customHeight="1">
      <c r="B339" s="466"/>
      <c r="C339" s="667"/>
      <c r="D339" s="667"/>
      <c r="E339" s="668"/>
      <c r="F339" s="667"/>
      <c r="G339" s="667"/>
      <c r="H339" s="667"/>
      <c r="I339" s="667"/>
      <c r="J339" s="667"/>
      <c r="K339" s="667"/>
      <c r="L339" s="667"/>
      <c r="M339" s="667"/>
      <c r="N339" s="667"/>
      <c r="O339" s="667"/>
      <c r="P339" s="667"/>
      <c r="Q339" s="667"/>
    </row>
    <row r="340" ht="15.75" customHeight="1">
      <c r="B340" s="466"/>
      <c r="C340" s="667"/>
      <c r="D340" s="667"/>
      <c r="E340" s="668"/>
      <c r="F340" s="667"/>
      <c r="G340" s="667"/>
      <c r="H340" s="667"/>
      <c r="I340" s="667"/>
      <c r="J340" s="667"/>
      <c r="K340" s="667"/>
      <c r="L340" s="667"/>
      <c r="M340" s="667"/>
      <c r="N340" s="667"/>
      <c r="O340" s="667"/>
      <c r="P340" s="667"/>
      <c r="Q340" s="667"/>
    </row>
    <row r="341" ht="15.75" customHeight="1">
      <c r="B341" s="466"/>
      <c r="C341" s="667"/>
      <c r="D341" s="667"/>
      <c r="E341" s="668"/>
      <c r="F341" s="667"/>
      <c r="G341" s="667"/>
      <c r="H341" s="667"/>
      <c r="I341" s="667"/>
      <c r="J341" s="667"/>
      <c r="K341" s="667"/>
      <c r="L341" s="667"/>
      <c r="M341" s="667"/>
      <c r="N341" s="667"/>
      <c r="O341" s="667"/>
      <c r="P341" s="667"/>
      <c r="Q341" s="667"/>
    </row>
    <row r="342" ht="15.75" customHeight="1">
      <c r="B342" s="466"/>
      <c r="C342" s="667"/>
      <c r="D342" s="667"/>
      <c r="E342" s="668"/>
      <c r="F342" s="667"/>
      <c r="G342" s="667"/>
      <c r="H342" s="667"/>
      <c r="I342" s="667"/>
      <c r="J342" s="667"/>
      <c r="K342" s="667"/>
      <c r="L342" s="667"/>
      <c r="M342" s="667"/>
      <c r="N342" s="667"/>
      <c r="O342" s="667"/>
      <c r="P342" s="667"/>
      <c r="Q342" s="667"/>
    </row>
    <row r="343" ht="15.75" customHeight="1">
      <c r="B343" s="466"/>
      <c r="C343" s="667"/>
      <c r="D343" s="667"/>
      <c r="E343" s="668"/>
      <c r="F343" s="667"/>
      <c r="G343" s="667"/>
      <c r="H343" s="667"/>
      <c r="I343" s="667"/>
      <c r="J343" s="667"/>
      <c r="K343" s="667"/>
      <c r="L343" s="667"/>
      <c r="M343" s="667"/>
      <c r="N343" s="667"/>
      <c r="O343" s="667"/>
      <c r="P343" s="667"/>
      <c r="Q343" s="667"/>
    </row>
    <row r="344" ht="15.75" customHeight="1">
      <c r="B344" s="466"/>
      <c r="C344" s="667"/>
      <c r="D344" s="667"/>
      <c r="E344" s="668"/>
      <c r="F344" s="667"/>
      <c r="G344" s="667"/>
      <c r="H344" s="667"/>
      <c r="I344" s="667"/>
      <c r="J344" s="667"/>
      <c r="K344" s="667"/>
      <c r="L344" s="667"/>
      <c r="M344" s="667"/>
      <c r="N344" s="667"/>
      <c r="O344" s="667"/>
      <c r="P344" s="667"/>
      <c r="Q344" s="667"/>
    </row>
    <row r="345" ht="15.75" customHeight="1">
      <c r="B345" s="466"/>
      <c r="C345" s="667"/>
      <c r="D345" s="667"/>
      <c r="E345" s="668"/>
      <c r="F345" s="667"/>
      <c r="G345" s="667"/>
      <c r="H345" s="667"/>
      <c r="I345" s="667"/>
      <c r="J345" s="667"/>
      <c r="K345" s="667"/>
      <c r="L345" s="667"/>
      <c r="M345" s="667"/>
      <c r="N345" s="667"/>
      <c r="O345" s="667"/>
      <c r="P345" s="667"/>
      <c r="Q345" s="667"/>
    </row>
    <row r="346" ht="15.75" customHeight="1">
      <c r="B346" s="466"/>
      <c r="C346" s="667"/>
      <c r="D346" s="667"/>
      <c r="E346" s="668"/>
      <c r="F346" s="667"/>
      <c r="G346" s="667"/>
      <c r="H346" s="667"/>
      <c r="I346" s="667"/>
      <c r="J346" s="667"/>
      <c r="K346" s="667"/>
      <c r="L346" s="667"/>
      <c r="M346" s="667"/>
      <c r="N346" s="667"/>
      <c r="O346" s="667"/>
      <c r="P346" s="667"/>
      <c r="Q346" s="667"/>
    </row>
    <row r="347" ht="15.75" customHeight="1">
      <c r="B347" s="466"/>
      <c r="C347" s="667"/>
      <c r="D347" s="667"/>
      <c r="E347" s="668"/>
      <c r="F347" s="667"/>
      <c r="G347" s="667"/>
      <c r="H347" s="667"/>
      <c r="I347" s="667"/>
      <c r="J347" s="667"/>
      <c r="K347" s="667"/>
      <c r="L347" s="667"/>
      <c r="M347" s="667"/>
      <c r="N347" s="667"/>
      <c r="O347" s="667"/>
      <c r="P347" s="667"/>
      <c r="Q347" s="667"/>
    </row>
    <row r="348" ht="15.75" customHeight="1">
      <c r="B348" s="466"/>
      <c r="C348" s="667"/>
      <c r="D348" s="667"/>
      <c r="E348" s="668"/>
      <c r="F348" s="667"/>
      <c r="G348" s="667"/>
      <c r="H348" s="667"/>
      <c r="I348" s="667"/>
      <c r="J348" s="667"/>
      <c r="K348" s="667"/>
      <c r="L348" s="667"/>
      <c r="M348" s="667"/>
      <c r="N348" s="667"/>
      <c r="O348" s="667"/>
      <c r="P348" s="667"/>
      <c r="Q348" s="667"/>
    </row>
    <row r="349" ht="15.75" customHeight="1">
      <c r="B349" s="466"/>
      <c r="C349" s="667"/>
      <c r="D349" s="667"/>
      <c r="E349" s="668"/>
      <c r="F349" s="667"/>
      <c r="G349" s="667"/>
      <c r="H349" s="667"/>
      <c r="I349" s="667"/>
      <c r="J349" s="667"/>
      <c r="K349" s="667"/>
      <c r="L349" s="667"/>
      <c r="M349" s="667"/>
      <c r="N349" s="667"/>
      <c r="O349" s="667"/>
      <c r="P349" s="667"/>
      <c r="Q349" s="667"/>
    </row>
    <row r="350" ht="15.75" customHeight="1">
      <c r="B350" s="466"/>
      <c r="C350" s="667"/>
      <c r="D350" s="667"/>
      <c r="E350" s="668"/>
      <c r="F350" s="667"/>
      <c r="G350" s="667"/>
      <c r="H350" s="667"/>
      <c r="I350" s="667"/>
      <c r="J350" s="667"/>
      <c r="K350" s="667"/>
      <c r="L350" s="667"/>
      <c r="M350" s="667"/>
      <c r="N350" s="667"/>
      <c r="O350" s="667"/>
      <c r="P350" s="667"/>
      <c r="Q350" s="667"/>
    </row>
    <row r="351" ht="15.75" customHeight="1">
      <c r="B351" s="466"/>
      <c r="C351" s="667"/>
      <c r="D351" s="667"/>
      <c r="E351" s="668"/>
      <c r="F351" s="667"/>
      <c r="G351" s="667"/>
      <c r="H351" s="667"/>
      <c r="I351" s="667"/>
      <c r="J351" s="667"/>
      <c r="K351" s="667"/>
      <c r="L351" s="667"/>
      <c r="M351" s="667"/>
      <c r="N351" s="667"/>
      <c r="O351" s="667"/>
      <c r="P351" s="667"/>
      <c r="Q351" s="667"/>
    </row>
    <row r="352" ht="15.75" customHeight="1">
      <c r="B352" s="466"/>
      <c r="C352" s="667"/>
      <c r="D352" s="667"/>
      <c r="E352" s="668"/>
      <c r="F352" s="667"/>
      <c r="G352" s="667"/>
      <c r="H352" s="667"/>
      <c r="I352" s="667"/>
      <c r="J352" s="667"/>
      <c r="K352" s="667"/>
      <c r="L352" s="667"/>
      <c r="M352" s="667"/>
      <c r="N352" s="667"/>
      <c r="O352" s="667"/>
      <c r="P352" s="667"/>
      <c r="Q352" s="667"/>
    </row>
    <row r="353" ht="15.75" customHeight="1">
      <c r="B353" s="466"/>
      <c r="C353" s="667"/>
      <c r="D353" s="667"/>
      <c r="E353" s="668"/>
      <c r="F353" s="667"/>
      <c r="G353" s="667"/>
      <c r="H353" s="667"/>
      <c r="I353" s="667"/>
      <c r="J353" s="667"/>
      <c r="K353" s="667"/>
      <c r="L353" s="667"/>
      <c r="M353" s="667"/>
      <c r="N353" s="667"/>
      <c r="O353" s="667"/>
      <c r="P353" s="667"/>
      <c r="Q353" s="667"/>
    </row>
    <row r="354" ht="15.75" customHeight="1">
      <c r="B354" s="466"/>
      <c r="C354" s="667"/>
      <c r="D354" s="667"/>
      <c r="E354" s="668"/>
      <c r="F354" s="667"/>
      <c r="G354" s="667"/>
      <c r="H354" s="667"/>
      <c r="I354" s="667"/>
      <c r="J354" s="667"/>
      <c r="K354" s="667"/>
      <c r="L354" s="667"/>
      <c r="M354" s="667"/>
      <c r="N354" s="667"/>
      <c r="O354" s="667"/>
      <c r="P354" s="667"/>
      <c r="Q354" s="667"/>
    </row>
    <row r="355" ht="15.75" customHeight="1">
      <c r="B355" s="466"/>
      <c r="C355" s="667"/>
      <c r="D355" s="667"/>
      <c r="E355" s="668"/>
      <c r="F355" s="667"/>
      <c r="G355" s="667"/>
      <c r="H355" s="667"/>
      <c r="I355" s="667"/>
      <c r="J355" s="667"/>
      <c r="K355" s="667"/>
      <c r="L355" s="667"/>
      <c r="M355" s="667"/>
      <c r="N355" s="667"/>
      <c r="O355" s="667"/>
      <c r="P355" s="667"/>
      <c r="Q355" s="667"/>
    </row>
    <row r="356" ht="15.75" customHeight="1">
      <c r="B356" s="466"/>
      <c r="C356" s="667"/>
      <c r="D356" s="667"/>
      <c r="E356" s="668"/>
      <c r="F356" s="667"/>
      <c r="G356" s="667"/>
      <c r="H356" s="667"/>
      <c r="I356" s="667"/>
      <c r="J356" s="667"/>
      <c r="K356" s="667"/>
      <c r="L356" s="667"/>
      <c r="M356" s="667"/>
      <c r="N356" s="667"/>
      <c r="O356" s="667"/>
      <c r="P356" s="667"/>
      <c r="Q356" s="667"/>
    </row>
    <row r="357" ht="15.75" customHeight="1">
      <c r="B357" s="466"/>
      <c r="C357" s="667"/>
      <c r="D357" s="667"/>
      <c r="E357" s="668"/>
      <c r="F357" s="667"/>
      <c r="G357" s="667"/>
      <c r="H357" s="667"/>
      <c r="I357" s="667"/>
      <c r="J357" s="667"/>
      <c r="K357" s="667"/>
      <c r="L357" s="667"/>
      <c r="M357" s="667"/>
      <c r="N357" s="667"/>
      <c r="O357" s="667"/>
      <c r="P357" s="667"/>
      <c r="Q357" s="667"/>
    </row>
    <row r="358" ht="15.75" customHeight="1">
      <c r="B358" s="466"/>
      <c r="C358" s="667"/>
      <c r="D358" s="667"/>
      <c r="E358" s="668"/>
      <c r="F358" s="667"/>
      <c r="G358" s="667"/>
      <c r="H358" s="667"/>
      <c r="I358" s="667"/>
      <c r="J358" s="667"/>
      <c r="K358" s="667"/>
      <c r="L358" s="667"/>
      <c r="M358" s="667"/>
      <c r="N358" s="667"/>
      <c r="O358" s="667"/>
      <c r="P358" s="667"/>
      <c r="Q358" s="667"/>
    </row>
    <row r="359" ht="15.75" customHeight="1">
      <c r="B359" s="466"/>
      <c r="C359" s="667"/>
      <c r="D359" s="667"/>
      <c r="E359" s="668"/>
      <c r="F359" s="667"/>
      <c r="G359" s="667"/>
      <c r="H359" s="667"/>
      <c r="I359" s="667"/>
      <c r="J359" s="667"/>
      <c r="K359" s="667"/>
      <c r="L359" s="667"/>
      <c r="M359" s="667"/>
      <c r="N359" s="667"/>
      <c r="O359" s="667"/>
      <c r="P359" s="667"/>
      <c r="Q359" s="667"/>
    </row>
    <row r="360" ht="15.75" customHeight="1">
      <c r="B360" s="466"/>
      <c r="C360" s="667"/>
      <c r="D360" s="667"/>
      <c r="E360" s="668"/>
      <c r="F360" s="667"/>
      <c r="G360" s="667"/>
      <c r="H360" s="667"/>
      <c r="I360" s="667"/>
      <c r="J360" s="667"/>
      <c r="K360" s="667"/>
      <c r="L360" s="667"/>
      <c r="M360" s="667"/>
      <c r="N360" s="667"/>
      <c r="O360" s="667"/>
      <c r="P360" s="667"/>
      <c r="Q360" s="667"/>
    </row>
    <row r="361" ht="15.75" customHeight="1">
      <c r="B361" s="466"/>
      <c r="C361" s="667"/>
      <c r="D361" s="667"/>
      <c r="E361" s="668"/>
      <c r="F361" s="667"/>
      <c r="G361" s="667"/>
      <c r="H361" s="667"/>
      <c r="I361" s="667"/>
      <c r="J361" s="667"/>
      <c r="K361" s="667"/>
      <c r="L361" s="667"/>
      <c r="M361" s="667"/>
      <c r="N361" s="667"/>
      <c r="O361" s="667"/>
      <c r="P361" s="667"/>
      <c r="Q361" s="667"/>
    </row>
    <row r="362" ht="15.75" customHeight="1">
      <c r="B362" s="466"/>
      <c r="C362" s="667"/>
      <c r="D362" s="667"/>
      <c r="E362" s="668"/>
      <c r="F362" s="667"/>
      <c r="G362" s="667"/>
      <c r="H362" s="667"/>
      <c r="I362" s="667"/>
      <c r="J362" s="667"/>
      <c r="K362" s="667"/>
      <c r="L362" s="667"/>
      <c r="M362" s="667"/>
      <c r="N362" s="667"/>
      <c r="O362" s="667"/>
      <c r="P362" s="667"/>
      <c r="Q362" s="667"/>
    </row>
    <row r="363" ht="15.75" customHeight="1">
      <c r="B363" s="466"/>
      <c r="C363" s="667"/>
      <c r="D363" s="667"/>
      <c r="E363" s="668"/>
      <c r="F363" s="667"/>
      <c r="G363" s="667"/>
      <c r="H363" s="667"/>
      <c r="I363" s="667"/>
      <c r="J363" s="667"/>
      <c r="K363" s="667"/>
      <c r="L363" s="667"/>
      <c r="M363" s="667"/>
      <c r="N363" s="667"/>
      <c r="O363" s="667"/>
      <c r="P363" s="667"/>
      <c r="Q363" s="667"/>
    </row>
    <row r="364" ht="15.75" customHeight="1">
      <c r="B364" s="466"/>
      <c r="C364" s="667"/>
      <c r="D364" s="667"/>
      <c r="E364" s="668"/>
      <c r="F364" s="667"/>
      <c r="G364" s="667"/>
      <c r="H364" s="667"/>
      <c r="I364" s="667"/>
      <c r="J364" s="667"/>
      <c r="K364" s="667"/>
      <c r="L364" s="667"/>
      <c r="M364" s="667"/>
      <c r="N364" s="667"/>
      <c r="O364" s="667"/>
      <c r="P364" s="667"/>
      <c r="Q364" s="667"/>
    </row>
    <row r="365" ht="15.75" customHeight="1">
      <c r="B365" s="466"/>
      <c r="C365" s="667"/>
      <c r="D365" s="667"/>
      <c r="E365" s="668"/>
      <c r="F365" s="667"/>
      <c r="G365" s="667"/>
      <c r="H365" s="667"/>
      <c r="I365" s="667"/>
      <c r="J365" s="667"/>
      <c r="K365" s="667"/>
      <c r="L365" s="667"/>
      <c r="M365" s="667"/>
      <c r="N365" s="667"/>
      <c r="O365" s="667"/>
      <c r="P365" s="667"/>
      <c r="Q365" s="667"/>
    </row>
    <row r="366" ht="15.75" customHeight="1">
      <c r="B366" s="466"/>
      <c r="C366" s="667"/>
      <c r="D366" s="667"/>
      <c r="E366" s="668"/>
      <c r="F366" s="667"/>
      <c r="G366" s="667"/>
      <c r="H366" s="667"/>
      <c r="I366" s="667"/>
      <c r="J366" s="667"/>
      <c r="K366" s="667"/>
      <c r="L366" s="667"/>
      <c r="M366" s="667"/>
      <c r="N366" s="667"/>
      <c r="O366" s="667"/>
      <c r="P366" s="667"/>
      <c r="Q366" s="667"/>
    </row>
    <row r="367" ht="15.75" customHeight="1">
      <c r="B367" s="466"/>
      <c r="C367" s="667"/>
      <c r="D367" s="667"/>
      <c r="E367" s="668"/>
      <c r="F367" s="667"/>
      <c r="G367" s="667"/>
      <c r="H367" s="667"/>
      <c r="I367" s="667"/>
      <c r="J367" s="667"/>
      <c r="K367" s="667"/>
      <c r="L367" s="667"/>
      <c r="M367" s="667"/>
      <c r="N367" s="667"/>
      <c r="O367" s="667"/>
      <c r="P367" s="667"/>
      <c r="Q367" s="667"/>
    </row>
    <row r="368" ht="15.75" customHeight="1">
      <c r="B368" s="466"/>
      <c r="C368" s="667"/>
      <c r="D368" s="667"/>
      <c r="E368" s="668"/>
      <c r="F368" s="667"/>
      <c r="G368" s="667"/>
      <c r="H368" s="667"/>
      <c r="I368" s="667"/>
      <c r="J368" s="667"/>
      <c r="K368" s="667"/>
      <c r="L368" s="667"/>
      <c r="M368" s="667"/>
      <c r="N368" s="667"/>
      <c r="O368" s="667"/>
      <c r="P368" s="667"/>
      <c r="Q368" s="667"/>
    </row>
    <row r="369" ht="15.75" customHeight="1">
      <c r="B369" s="466"/>
      <c r="C369" s="667"/>
      <c r="D369" s="667"/>
      <c r="E369" s="668"/>
      <c r="F369" s="667"/>
      <c r="G369" s="667"/>
      <c r="H369" s="667"/>
      <c r="I369" s="667"/>
      <c r="J369" s="667"/>
      <c r="K369" s="667"/>
      <c r="L369" s="667"/>
      <c r="M369" s="667"/>
      <c r="N369" s="667"/>
      <c r="O369" s="667"/>
      <c r="P369" s="667"/>
      <c r="Q369" s="667"/>
    </row>
    <row r="370" ht="15.75" customHeight="1">
      <c r="B370" s="466"/>
      <c r="C370" s="667"/>
      <c r="D370" s="667"/>
      <c r="E370" s="668"/>
      <c r="F370" s="667"/>
      <c r="G370" s="667"/>
      <c r="H370" s="667"/>
      <c r="I370" s="667"/>
      <c r="J370" s="667"/>
      <c r="K370" s="667"/>
      <c r="L370" s="667"/>
      <c r="M370" s="667"/>
      <c r="N370" s="667"/>
      <c r="O370" s="667"/>
      <c r="P370" s="667"/>
      <c r="Q370" s="667"/>
    </row>
    <row r="371" ht="15.75" customHeight="1">
      <c r="B371" s="466"/>
      <c r="C371" s="667"/>
      <c r="D371" s="667"/>
      <c r="E371" s="668"/>
      <c r="F371" s="667"/>
      <c r="G371" s="667"/>
      <c r="H371" s="667"/>
      <c r="I371" s="667"/>
      <c r="J371" s="667"/>
      <c r="K371" s="667"/>
      <c r="L371" s="667"/>
      <c r="M371" s="667"/>
      <c r="N371" s="667"/>
      <c r="O371" s="667"/>
      <c r="P371" s="667"/>
      <c r="Q371" s="667"/>
    </row>
    <row r="372" ht="15.75" customHeight="1">
      <c r="B372" s="466"/>
      <c r="C372" s="667"/>
      <c r="D372" s="667"/>
      <c r="E372" s="668"/>
      <c r="F372" s="667"/>
      <c r="G372" s="667"/>
      <c r="H372" s="667"/>
      <c r="I372" s="667"/>
      <c r="J372" s="667"/>
      <c r="K372" s="667"/>
      <c r="L372" s="667"/>
      <c r="M372" s="667"/>
      <c r="N372" s="667"/>
      <c r="O372" s="667"/>
      <c r="P372" s="667"/>
      <c r="Q372" s="667"/>
    </row>
    <row r="373" ht="15.75" customHeight="1">
      <c r="B373" s="466"/>
      <c r="C373" s="667"/>
      <c r="D373" s="667"/>
      <c r="E373" s="668"/>
      <c r="F373" s="667"/>
      <c r="G373" s="667"/>
      <c r="H373" s="667"/>
      <c r="I373" s="667"/>
      <c r="J373" s="667"/>
      <c r="K373" s="667"/>
      <c r="L373" s="667"/>
      <c r="M373" s="667"/>
      <c r="N373" s="667"/>
      <c r="O373" s="667"/>
      <c r="P373" s="667"/>
      <c r="Q373" s="667"/>
    </row>
    <row r="374" ht="15.75" customHeight="1">
      <c r="B374" s="466"/>
      <c r="C374" s="667"/>
      <c r="D374" s="667"/>
      <c r="E374" s="668"/>
      <c r="F374" s="667"/>
      <c r="G374" s="667"/>
      <c r="H374" s="667"/>
      <c r="I374" s="667"/>
      <c r="J374" s="667"/>
      <c r="K374" s="667"/>
      <c r="L374" s="667"/>
      <c r="M374" s="667"/>
      <c r="N374" s="667"/>
      <c r="O374" s="667"/>
      <c r="P374" s="667"/>
      <c r="Q374" s="667"/>
    </row>
    <row r="375" ht="15.75" customHeight="1">
      <c r="B375" s="466"/>
      <c r="C375" s="667"/>
      <c r="D375" s="667"/>
      <c r="E375" s="668"/>
      <c r="F375" s="667"/>
      <c r="G375" s="667"/>
      <c r="H375" s="667"/>
      <c r="I375" s="667"/>
      <c r="J375" s="667"/>
      <c r="K375" s="667"/>
      <c r="L375" s="667"/>
      <c r="M375" s="667"/>
      <c r="N375" s="667"/>
      <c r="O375" s="667"/>
      <c r="P375" s="667"/>
      <c r="Q375" s="667"/>
    </row>
    <row r="376" ht="15.75" customHeight="1">
      <c r="B376" s="466"/>
      <c r="C376" s="667"/>
      <c r="D376" s="667"/>
      <c r="E376" s="668"/>
      <c r="F376" s="667"/>
      <c r="G376" s="667"/>
      <c r="H376" s="667"/>
      <c r="I376" s="667"/>
      <c r="J376" s="667"/>
      <c r="K376" s="667"/>
      <c r="L376" s="667"/>
      <c r="M376" s="667"/>
      <c r="N376" s="667"/>
      <c r="O376" s="667"/>
      <c r="P376" s="667"/>
      <c r="Q376" s="667"/>
    </row>
    <row r="377" ht="15.75" customHeight="1">
      <c r="B377" s="466"/>
      <c r="C377" s="667"/>
      <c r="D377" s="667"/>
      <c r="E377" s="668"/>
      <c r="F377" s="667"/>
      <c r="G377" s="667"/>
      <c r="H377" s="667"/>
      <c r="I377" s="667"/>
      <c r="J377" s="667"/>
      <c r="K377" s="667"/>
      <c r="L377" s="667"/>
      <c r="M377" s="667"/>
      <c r="N377" s="667"/>
      <c r="O377" s="667"/>
      <c r="P377" s="667"/>
      <c r="Q377" s="667"/>
    </row>
    <row r="378" ht="15.75" customHeight="1">
      <c r="B378" s="466"/>
      <c r="C378" s="667"/>
      <c r="D378" s="667"/>
      <c r="E378" s="668"/>
      <c r="F378" s="667"/>
      <c r="G378" s="667"/>
      <c r="H378" s="667"/>
      <c r="I378" s="667"/>
      <c r="J378" s="667"/>
      <c r="K378" s="667"/>
      <c r="L378" s="667"/>
      <c r="M378" s="667"/>
      <c r="N378" s="667"/>
      <c r="O378" s="667"/>
      <c r="P378" s="667"/>
      <c r="Q378" s="667"/>
    </row>
    <row r="379" ht="15.75" customHeight="1">
      <c r="B379" s="466"/>
      <c r="C379" s="667"/>
      <c r="D379" s="667"/>
      <c r="E379" s="668"/>
      <c r="F379" s="667"/>
      <c r="G379" s="667"/>
      <c r="H379" s="667"/>
      <c r="I379" s="667"/>
      <c r="J379" s="667"/>
      <c r="K379" s="667"/>
      <c r="L379" s="667"/>
      <c r="M379" s="667"/>
      <c r="N379" s="667"/>
      <c r="O379" s="667"/>
      <c r="P379" s="667"/>
      <c r="Q379" s="667"/>
    </row>
    <row r="380" ht="15.75" customHeight="1">
      <c r="B380" s="466"/>
      <c r="C380" s="667"/>
      <c r="D380" s="667"/>
      <c r="E380" s="668"/>
      <c r="F380" s="667"/>
      <c r="G380" s="667"/>
      <c r="H380" s="667"/>
      <c r="I380" s="667"/>
      <c r="J380" s="667"/>
      <c r="K380" s="667"/>
      <c r="L380" s="667"/>
      <c r="M380" s="667"/>
      <c r="N380" s="667"/>
      <c r="O380" s="667"/>
      <c r="P380" s="667"/>
      <c r="Q380" s="667"/>
    </row>
    <row r="381" ht="15.75" customHeight="1">
      <c r="B381" s="466"/>
      <c r="C381" s="667"/>
      <c r="D381" s="667"/>
      <c r="E381" s="668"/>
      <c r="F381" s="667"/>
      <c r="G381" s="667"/>
      <c r="H381" s="667"/>
      <c r="I381" s="667"/>
      <c r="J381" s="667"/>
      <c r="K381" s="667"/>
      <c r="L381" s="667"/>
      <c r="M381" s="667"/>
      <c r="N381" s="667"/>
      <c r="O381" s="667"/>
      <c r="P381" s="667"/>
      <c r="Q381" s="667"/>
    </row>
    <row r="382" ht="15.75" customHeight="1">
      <c r="B382" s="466"/>
      <c r="C382" s="667"/>
      <c r="D382" s="667"/>
      <c r="E382" s="668"/>
      <c r="F382" s="667"/>
      <c r="G382" s="667"/>
      <c r="H382" s="667"/>
      <c r="I382" s="667"/>
      <c r="J382" s="667"/>
      <c r="K382" s="667"/>
      <c r="L382" s="667"/>
      <c r="M382" s="667"/>
      <c r="N382" s="667"/>
      <c r="O382" s="667"/>
      <c r="P382" s="667"/>
      <c r="Q382" s="667"/>
    </row>
    <row r="383" ht="15.75" customHeight="1">
      <c r="B383" s="466"/>
      <c r="C383" s="667"/>
      <c r="D383" s="667"/>
      <c r="E383" s="668"/>
      <c r="F383" s="667"/>
      <c r="G383" s="667"/>
      <c r="H383" s="667"/>
      <c r="I383" s="667"/>
      <c r="J383" s="667"/>
      <c r="K383" s="667"/>
      <c r="L383" s="667"/>
      <c r="M383" s="667"/>
      <c r="N383" s="667"/>
      <c r="O383" s="667"/>
      <c r="P383" s="667"/>
      <c r="Q383" s="667"/>
    </row>
    <row r="384" ht="15.75" customHeight="1">
      <c r="B384" s="466"/>
      <c r="C384" s="667"/>
      <c r="D384" s="667"/>
      <c r="E384" s="668"/>
      <c r="F384" s="667"/>
      <c r="G384" s="667"/>
      <c r="H384" s="667"/>
      <c r="I384" s="667"/>
      <c r="J384" s="667"/>
      <c r="K384" s="667"/>
      <c r="L384" s="667"/>
      <c r="M384" s="667"/>
      <c r="N384" s="667"/>
      <c r="O384" s="667"/>
      <c r="P384" s="667"/>
      <c r="Q384" s="667"/>
    </row>
    <row r="385" ht="15.75" customHeight="1">
      <c r="B385" s="466"/>
      <c r="C385" s="667"/>
      <c r="D385" s="667"/>
      <c r="E385" s="668"/>
      <c r="F385" s="667"/>
      <c r="G385" s="667"/>
      <c r="H385" s="667"/>
      <c r="I385" s="667"/>
      <c r="J385" s="667"/>
      <c r="K385" s="667"/>
      <c r="L385" s="667"/>
      <c r="M385" s="667"/>
      <c r="N385" s="667"/>
      <c r="O385" s="667"/>
      <c r="P385" s="667"/>
      <c r="Q385" s="667"/>
    </row>
    <row r="386" ht="15.75" customHeight="1">
      <c r="B386" s="466"/>
      <c r="C386" s="667"/>
      <c r="D386" s="667"/>
      <c r="E386" s="668"/>
      <c r="F386" s="667"/>
      <c r="G386" s="667"/>
      <c r="H386" s="667"/>
      <c r="I386" s="667"/>
      <c r="J386" s="667"/>
      <c r="K386" s="667"/>
      <c r="L386" s="667"/>
      <c r="M386" s="667"/>
      <c r="N386" s="667"/>
      <c r="O386" s="667"/>
      <c r="P386" s="667"/>
      <c r="Q386" s="667"/>
    </row>
    <row r="387" ht="15.75" customHeight="1">
      <c r="B387" s="466"/>
      <c r="C387" s="667"/>
      <c r="D387" s="667"/>
      <c r="E387" s="668"/>
      <c r="F387" s="667"/>
      <c r="G387" s="667"/>
      <c r="H387" s="667"/>
      <c r="I387" s="667"/>
      <c r="J387" s="667"/>
      <c r="K387" s="667"/>
      <c r="L387" s="667"/>
      <c r="M387" s="667"/>
      <c r="N387" s="667"/>
      <c r="O387" s="667"/>
      <c r="P387" s="667"/>
      <c r="Q387" s="667"/>
    </row>
    <row r="388" ht="15.75" customHeight="1">
      <c r="B388" s="466"/>
      <c r="C388" s="667"/>
      <c r="D388" s="667"/>
      <c r="E388" s="668"/>
      <c r="F388" s="667"/>
      <c r="G388" s="667"/>
      <c r="H388" s="667"/>
      <c r="I388" s="667"/>
      <c r="J388" s="667"/>
      <c r="K388" s="667"/>
      <c r="L388" s="667"/>
      <c r="M388" s="667"/>
      <c r="N388" s="667"/>
      <c r="O388" s="667"/>
      <c r="P388" s="667"/>
      <c r="Q388" s="667"/>
    </row>
    <row r="389" ht="15.75" customHeight="1">
      <c r="B389" s="466"/>
      <c r="C389" s="667"/>
      <c r="D389" s="667"/>
      <c r="E389" s="668"/>
      <c r="F389" s="667"/>
      <c r="G389" s="667"/>
      <c r="H389" s="667"/>
      <c r="I389" s="667"/>
      <c r="J389" s="667"/>
      <c r="K389" s="667"/>
      <c r="L389" s="667"/>
      <c r="M389" s="667"/>
      <c r="N389" s="667"/>
      <c r="O389" s="667"/>
      <c r="P389" s="667"/>
      <c r="Q389" s="667"/>
    </row>
    <row r="390" ht="15.75" customHeight="1">
      <c r="B390" s="466"/>
      <c r="C390" s="667"/>
      <c r="D390" s="667"/>
      <c r="E390" s="668"/>
      <c r="F390" s="667"/>
      <c r="G390" s="667"/>
      <c r="H390" s="667"/>
      <c r="I390" s="667"/>
      <c r="J390" s="667"/>
      <c r="K390" s="667"/>
      <c r="L390" s="667"/>
      <c r="M390" s="667"/>
      <c r="N390" s="667"/>
      <c r="O390" s="667"/>
      <c r="P390" s="667"/>
      <c r="Q390" s="667"/>
    </row>
    <row r="391" ht="15.75" customHeight="1">
      <c r="B391" s="466"/>
      <c r="C391" s="667"/>
      <c r="D391" s="667"/>
      <c r="E391" s="668"/>
      <c r="F391" s="667"/>
      <c r="G391" s="667"/>
      <c r="H391" s="667"/>
      <c r="I391" s="667"/>
      <c r="J391" s="667"/>
      <c r="K391" s="667"/>
      <c r="L391" s="667"/>
      <c r="M391" s="667"/>
      <c r="N391" s="667"/>
      <c r="O391" s="667"/>
      <c r="P391" s="667"/>
      <c r="Q391" s="667"/>
    </row>
    <row r="392" ht="15.75" customHeight="1">
      <c r="B392" s="466"/>
      <c r="C392" s="667"/>
      <c r="D392" s="667"/>
      <c r="E392" s="668"/>
      <c r="F392" s="667"/>
      <c r="G392" s="667"/>
      <c r="H392" s="667"/>
      <c r="I392" s="667"/>
      <c r="J392" s="667"/>
      <c r="K392" s="667"/>
      <c r="L392" s="667"/>
      <c r="M392" s="667"/>
      <c r="N392" s="667"/>
      <c r="O392" s="667"/>
      <c r="P392" s="667"/>
      <c r="Q392" s="667"/>
    </row>
    <row r="393" ht="15.75" customHeight="1">
      <c r="B393" s="466"/>
      <c r="C393" s="667"/>
      <c r="D393" s="667"/>
      <c r="E393" s="668"/>
      <c r="F393" s="667"/>
      <c r="G393" s="667"/>
      <c r="H393" s="667"/>
      <c r="I393" s="667"/>
      <c r="J393" s="667"/>
      <c r="K393" s="667"/>
      <c r="L393" s="667"/>
      <c r="M393" s="667"/>
      <c r="N393" s="667"/>
      <c r="O393" s="667"/>
      <c r="P393" s="667"/>
      <c r="Q393" s="667"/>
    </row>
    <row r="394" ht="15.75" customHeight="1">
      <c r="B394" s="466"/>
      <c r="C394" s="667"/>
      <c r="D394" s="667"/>
      <c r="E394" s="668"/>
      <c r="F394" s="667"/>
      <c r="G394" s="667"/>
      <c r="H394" s="667"/>
      <c r="I394" s="667"/>
      <c r="J394" s="667"/>
      <c r="K394" s="667"/>
      <c r="L394" s="667"/>
      <c r="M394" s="667"/>
      <c r="N394" s="667"/>
      <c r="O394" s="667"/>
      <c r="P394" s="667"/>
      <c r="Q394" s="667"/>
    </row>
    <row r="395" ht="15.75" customHeight="1">
      <c r="B395" s="466"/>
      <c r="C395" s="667"/>
      <c r="D395" s="667"/>
      <c r="E395" s="668"/>
      <c r="F395" s="667"/>
      <c r="G395" s="667"/>
      <c r="H395" s="667"/>
      <c r="I395" s="667"/>
      <c r="J395" s="667"/>
      <c r="K395" s="667"/>
      <c r="L395" s="667"/>
      <c r="M395" s="667"/>
      <c r="N395" s="667"/>
      <c r="O395" s="667"/>
      <c r="P395" s="667"/>
      <c r="Q395" s="667"/>
    </row>
    <row r="396" ht="15.75" customHeight="1">
      <c r="B396" s="466"/>
      <c r="C396" s="667"/>
      <c r="D396" s="667"/>
      <c r="E396" s="668"/>
      <c r="F396" s="667"/>
      <c r="G396" s="667"/>
      <c r="H396" s="667"/>
      <c r="I396" s="667"/>
      <c r="J396" s="667"/>
      <c r="K396" s="667"/>
      <c r="L396" s="667"/>
      <c r="M396" s="667"/>
      <c r="N396" s="667"/>
      <c r="O396" s="667"/>
      <c r="P396" s="667"/>
      <c r="Q396" s="667"/>
    </row>
    <row r="397" ht="15.75" customHeight="1">
      <c r="B397" s="466"/>
      <c r="C397" s="667"/>
      <c r="D397" s="667"/>
      <c r="E397" s="668"/>
      <c r="F397" s="667"/>
      <c r="G397" s="667"/>
      <c r="H397" s="667"/>
      <c r="I397" s="667"/>
      <c r="J397" s="667"/>
      <c r="K397" s="667"/>
      <c r="L397" s="667"/>
      <c r="M397" s="667"/>
      <c r="N397" s="667"/>
      <c r="O397" s="667"/>
      <c r="P397" s="667"/>
      <c r="Q397" s="667"/>
    </row>
    <row r="398" ht="15.75" customHeight="1">
      <c r="B398" s="466"/>
      <c r="C398" s="667"/>
      <c r="D398" s="667"/>
      <c r="E398" s="668"/>
      <c r="F398" s="667"/>
      <c r="G398" s="667"/>
      <c r="H398" s="667"/>
      <c r="I398" s="667"/>
      <c r="J398" s="667"/>
      <c r="K398" s="667"/>
      <c r="L398" s="667"/>
      <c r="M398" s="667"/>
      <c r="N398" s="667"/>
      <c r="O398" s="667"/>
      <c r="P398" s="667"/>
      <c r="Q398" s="667"/>
    </row>
    <row r="399" ht="15.75" customHeight="1">
      <c r="B399" s="466"/>
      <c r="C399" s="667"/>
      <c r="D399" s="667"/>
      <c r="E399" s="668"/>
      <c r="F399" s="667"/>
      <c r="G399" s="667"/>
      <c r="H399" s="667"/>
      <c r="I399" s="667"/>
      <c r="J399" s="667"/>
      <c r="K399" s="667"/>
      <c r="L399" s="667"/>
      <c r="M399" s="667"/>
      <c r="N399" s="667"/>
      <c r="O399" s="667"/>
      <c r="P399" s="667"/>
      <c r="Q399" s="667"/>
    </row>
    <row r="400" ht="15.75" customHeight="1">
      <c r="B400" s="466"/>
      <c r="C400" s="667"/>
      <c r="D400" s="667"/>
      <c r="E400" s="668"/>
      <c r="F400" s="667"/>
      <c r="G400" s="667"/>
      <c r="H400" s="667"/>
      <c r="I400" s="667"/>
      <c r="J400" s="667"/>
      <c r="K400" s="667"/>
      <c r="L400" s="667"/>
      <c r="M400" s="667"/>
      <c r="N400" s="667"/>
      <c r="O400" s="667"/>
      <c r="P400" s="667"/>
      <c r="Q400" s="667"/>
    </row>
    <row r="401" ht="15.75" customHeight="1">
      <c r="B401" s="466"/>
      <c r="C401" s="667"/>
      <c r="D401" s="667"/>
      <c r="E401" s="668"/>
      <c r="F401" s="667"/>
      <c r="G401" s="667"/>
      <c r="H401" s="667"/>
      <c r="I401" s="667"/>
      <c r="J401" s="667"/>
      <c r="K401" s="667"/>
      <c r="L401" s="667"/>
      <c r="M401" s="667"/>
      <c r="N401" s="667"/>
      <c r="O401" s="667"/>
      <c r="P401" s="667"/>
      <c r="Q401" s="667"/>
    </row>
    <row r="402" ht="15.75" customHeight="1">
      <c r="B402" s="466"/>
      <c r="C402" s="667"/>
      <c r="D402" s="667"/>
      <c r="E402" s="668"/>
      <c r="F402" s="667"/>
      <c r="G402" s="667"/>
      <c r="H402" s="667"/>
      <c r="I402" s="667"/>
      <c r="J402" s="667"/>
      <c r="K402" s="667"/>
      <c r="L402" s="667"/>
      <c r="M402" s="667"/>
      <c r="N402" s="667"/>
      <c r="O402" s="667"/>
      <c r="P402" s="667"/>
      <c r="Q402" s="667"/>
    </row>
    <row r="403" ht="15.75" customHeight="1">
      <c r="B403" s="466"/>
      <c r="C403" s="667"/>
      <c r="D403" s="667"/>
      <c r="E403" s="668"/>
      <c r="F403" s="667"/>
      <c r="G403" s="667"/>
      <c r="H403" s="667"/>
      <c r="I403" s="667"/>
      <c r="J403" s="667"/>
      <c r="K403" s="667"/>
      <c r="L403" s="667"/>
      <c r="M403" s="667"/>
      <c r="N403" s="667"/>
      <c r="O403" s="667"/>
      <c r="P403" s="667"/>
      <c r="Q403" s="667"/>
    </row>
    <row r="404" ht="15.75" customHeight="1">
      <c r="B404" s="466"/>
      <c r="C404" s="667"/>
      <c r="D404" s="667"/>
      <c r="E404" s="668"/>
      <c r="F404" s="667"/>
      <c r="G404" s="667"/>
      <c r="H404" s="667"/>
      <c r="I404" s="667"/>
      <c r="J404" s="667"/>
      <c r="K404" s="667"/>
      <c r="L404" s="667"/>
      <c r="M404" s="667"/>
      <c r="N404" s="667"/>
      <c r="O404" s="667"/>
      <c r="P404" s="667"/>
      <c r="Q404" s="667"/>
    </row>
    <row r="405" ht="15.75" customHeight="1">
      <c r="B405" s="466"/>
      <c r="C405" s="667"/>
      <c r="D405" s="667"/>
      <c r="E405" s="668"/>
      <c r="F405" s="667"/>
      <c r="G405" s="667"/>
      <c r="H405" s="667"/>
      <c r="I405" s="667"/>
      <c r="J405" s="667"/>
      <c r="K405" s="667"/>
      <c r="L405" s="667"/>
      <c r="M405" s="667"/>
      <c r="N405" s="667"/>
      <c r="O405" s="667"/>
      <c r="P405" s="667"/>
      <c r="Q405" s="667"/>
    </row>
    <row r="406" ht="15.75" customHeight="1">
      <c r="B406" s="466"/>
      <c r="C406" s="667"/>
      <c r="D406" s="667"/>
      <c r="E406" s="668"/>
      <c r="F406" s="667"/>
      <c r="G406" s="667"/>
      <c r="H406" s="667"/>
      <c r="I406" s="667"/>
      <c r="J406" s="667"/>
      <c r="K406" s="667"/>
      <c r="L406" s="667"/>
      <c r="M406" s="667"/>
      <c r="N406" s="667"/>
      <c r="O406" s="667"/>
      <c r="P406" s="667"/>
      <c r="Q406" s="667"/>
    </row>
    <row r="407" ht="15.75" customHeight="1">
      <c r="B407" s="466"/>
      <c r="C407" s="667"/>
      <c r="D407" s="667"/>
      <c r="E407" s="668"/>
      <c r="F407" s="667"/>
      <c r="G407" s="667"/>
      <c r="H407" s="667"/>
      <c r="I407" s="667"/>
      <c r="J407" s="667"/>
      <c r="K407" s="667"/>
      <c r="L407" s="667"/>
      <c r="M407" s="667"/>
      <c r="N407" s="667"/>
      <c r="O407" s="667"/>
      <c r="P407" s="667"/>
      <c r="Q407" s="667"/>
    </row>
    <row r="408" ht="15.75" customHeight="1">
      <c r="B408" s="466"/>
      <c r="C408" s="667"/>
      <c r="D408" s="667"/>
      <c r="E408" s="668"/>
      <c r="F408" s="667"/>
      <c r="G408" s="667"/>
      <c r="H408" s="667"/>
      <c r="I408" s="667"/>
      <c r="J408" s="667"/>
      <c r="K408" s="667"/>
      <c r="L408" s="667"/>
      <c r="M408" s="667"/>
      <c r="N408" s="667"/>
      <c r="O408" s="667"/>
      <c r="P408" s="667"/>
      <c r="Q408" s="667"/>
    </row>
    <row r="409" ht="15.75" customHeight="1">
      <c r="B409" s="466"/>
      <c r="C409" s="667"/>
      <c r="D409" s="667"/>
      <c r="E409" s="668"/>
      <c r="F409" s="667"/>
      <c r="G409" s="667"/>
      <c r="H409" s="667"/>
      <c r="I409" s="667"/>
      <c r="J409" s="667"/>
      <c r="K409" s="667"/>
      <c r="L409" s="667"/>
      <c r="M409" s="667"/>
      <c r="N409" s="667"/>
      <c r="O409" s="667"/>
      <c r="P409" s="667"/>
      <c r="Q409" s="667"/>
    </row>
    <row r="410" ht="15.75" customHeight="1">
      <c r="B410" s="466"/>
      <c r="C410" s="667"/>
      <c r="D410" s="667"/>
      <c r="E410" s="668"/>
      <c r="F410" s="667"/>
      <c r="G410" s="667"/>
      <c r="H410" s="667"/>
      <c r="I410" s="667"/>
      <c r="J410" s="667"/>
      <c r="K410" s="667"/>
      <c r="L410" s="667"/>
      <c r="M410" s="667"/>
      <c r="N410" s="667"/>
      <c r="O410" s="667"/>
      <c r="P410" s="667"/>
      <c r="Q410" s="667"/>
    </row>
    <row r="411" ht="15.75" customHeight="1">
      <c r="B411" s="466"/>
      <c r="C411" s="667"/>
      <c r="D411" s="667"/>
      <c r="E411" s="668"/>
      <c r="F411" s="667"/>
      <c r="G411" s="667"/>
      <c r="H411" s="667"/>
      <c r="I411" s="667"/>
      <c r="J411" s="667"/>
      <c r="K411" s="667"/>
      <c r="L411" s="667"/>
      <c r="M411" s="667"/>
      <c r="N411" s="667"/>
      <c r="O411" s="667"/>
      <c r="P411" s="667"/>
      <c r="Q411" s="667"/>
    </row>
    <row r="412" ht="15.75" customHeight="1">
      <c r="B412" s="466"/>
      <c r="C412" s="667"/>
      <c r="D412" s="667"/>
      <c r="E412" s="668"/>
      <c r="F412" s="667"/>
      <c r="G412" s="667"/>
      <c r="H412" s="667"/>
      <c r="I412" s="667"/>
      <c r="J412" s="667"/>
      <c r="K412" s="667"/>
      <c r="L412" s="667"/>
      <c r="M412" s="667"/>
      <c r="N412" s="667"/>
      <c r="O412" s="667"/>
      <c r="P412" s="667"/>
      <c r="Q412" s="667"/>
    </row>
    <row r="413" ht="15.75" customHeight="1">
      <c r="B413" s="466"/>
      <c r="C413" s="667"/>
      <c r="D413" s="667"/>
      <c r="E413" s="668"/>
      <c r="F413" s="667"/>
      <c r="G413" s="667"/>
      <c r="H413" s="667"/>
      <c r="I413" s="667"/>
      <c r="J413" s="667"/>
      <c r="K413" s="667"/>
      <c r="L413" s="667"/>
      <c r="M413" s="667"/>
      <c r="N413" s="667"/>
      <c r="O413" s="667"/>
      <c r="P413" s="667"/>
      <c r="Q413" s="667"/>
    </row>
    <row r="414" ht="15.75" customHeight="1">
      <c r="B414" s="466"/>
      <c r="C414" s="667"/>
      <c r="D414" s="667"/>
      <c r="E414" s="668"/>
      <c r="F414" s="667"/>
      <c r="G414" s="667"/>
      <c r="H414" s="667"/>
      <c r="I414" s="667"/>
      <c r="J414" s="667"/>
      <c r="K414" s="667"/>
      <c r="L414" s="667"/>
      <c r="M414" s="667"/>
      <c r="N414" s="667"/>
      <c r="O414" s="667"/>
      <c r="P414" s="667"/>
      <c r="Q414" s="667"/>
    </row>
    <row r="415" ht="15.75" customHeight="1">
      <c r="B415" s="466"/>
      <c r="C415" s="667"/>
      <c r="D415" s="667"/>
      <c r="E415" s="668"/>
      <c r="F415" s="667"/>
      <c r="G415" s="667"/>
      <c r="H415" s="667"/>
      <c r="I415" s="667"/>
      <c r="J415" s="667"/>
      <c r="K415" s="667"/>
      <c r="L415" s="667"/>
      <c r="M415" s="667"/>
      <c r="N415" s="667"/>
      <c r="O415" s="667"/>
      <c r="P415" s="667"/>
      <c r="Q415" s="667"/>
    </row>
    <row r="416" ht="15.75" customHeight="1">
      <c r="B416" s="466"/>
      <c r="C416" s="667"/>
      <c r="D416" s="667"/>
      <c r="E416" s="668"/>
      <c r="F416" s="667"/>
      <c r="G416" s="667"/>
      <c r="H416" s="667"/>
      <c r="I416" s="667"/>
      <c r="J416" s="667"/>
      <c r="K416" s="667"/>
      <c r="L416" s="667"/>
      <c r="M416" s="667"/>
      <c r="N416" s="667"/>
      <c r="O416" s="667"/>
      <c r="P416" s="667"/>
      <c r="Q416" s="667"/>
    </row>
    <row r="417" ht="15.75" customHeight="1">
      <c r="B417" s="466"/>
      <c r="C417" s="667"/>
      <c r="D417" s="667"/>
      <c r="E417" s="668"/>
      <c r="F417" s="667"/>
      <c r="G417" s="667"/>
      <c r="H417" s="667"/>
      <c r="I417" s="667"/>
      <c r="J417" s="667"/>
      <c r="K417" s="667"/>
      <c r="L417" s="667"/>
      <c r="M417" s="667"/>
      <c r="N417" s="667"/>
      <c r="O417" s="667"/>
      <c r="P417" s="667"/>
      <c r="Q417" s="667"/>
    </row>
    <row r="418" ht="15.75" customHeight="1">
      <c r="B418" s="466"/>
      <c r="C418" s="667"/>
      <c r="D418" s="667"/>
      <c r="E418" s="668"/>
      <c r="F418" s="667"/>
      <c r="G418" s="667"/>
      <c r="H418" s="667"/>
      <c r="I418" s="667"/>
      <c r="J418" s="667"/>
      <c r="K418" s="667"/>
      <c r="L418" s="667"/>
      <c r="M418" s="667"/>
      <c r="N418" s="667"/>
      <c r="O418" s="667"/>
      <c r="P418" s="667"/>
      <c r="Q418" s="667"/>
    </row>
    <row r="419" ht="15.75" customHeight="1">
      <c r="B419" s="466"/>
      <c r="C419" s="667"/>
      <c r="D419" s="667"/>
      <c r="E419" s="668"/>
      <c r="F419" s="667"/>
      <c r="G419" s="667"/>
      <c r="H419" s="667"/>
      <c r="I419" s="667"/>
      <c r="J419" s="667"/>
      <c r="K419" s="667"/>
      <c r="L419" s="667"/>
      <c r="M419" s="667"/>
      <c r="N419" s="667"/>
      <c r="O419" s="667"/>
      <c r="P419" s="667"/>
      <c r="Q419" s="667"/>
    </row>
    <row r="420" ht="15.75" customHeight="1">
      <c r="B420" s="466"/>
      <c r="C420" s="667"/>
      <c r="D420" s="667"/>
      <c r="E420" s="668"/>
      <c r="F420" s="667"/>
      <c r="G420" s="667"/>
      <c r="H420" s="667"/>
      <c r="I420" s="667"/>
      <c r="J420" s="667"/>
      <c r="K420" s="667"/>
      <c r="L420" s="667"/>
      <c r="M420" s="667"/>
      <c r="N420" s="667"/>
      <c r="O420" s="667"/>
      <c r="P420" s="667"/>
      <c r="Q420" s="667"/>
    </row>
    <row r="421" ht="15.75" customHeight="1">
      <c r="B421" s="466"/>
      <c r="C421" s="667"/>
      <c r="D421" s="667"/>
      <c r="E421" s="668"/>
      <c r="F421" s="667"/>
      <c r="G421" s="667"/>
      <c r="H421" s="667"/>
      <c r="I421" s="667"/>
      <c r="J421" s="667"/>
      <c r="K421" s="667"/>
      <c r="L421" s="667"/>
      <c r="M421" s="667"/>
      <c r="N421" s="667"/>
      <c r="O421" s="667"/>
      <c r="P421" s="667"/>
      <c r="Q421" s="667"/>
    </row>
    <row r="422" ht="15.75" customHeight="1">
      <c r="B422" s="466"/>
      <c r="C422" s="667"/>
      <c r="D422" s="667"/>
      <c r="E422" s="668"/>
      <c r="F422" s="667"/>
      <c r="G422" s="667"/>
      <c r="H422" s="667"/>
      <c r="I422" s="667"/>
      <c r="J422" s="667"/>
      <c r="K422" s="667"/>
      <c r="L422" s="667"/>
      <c r="M422" s="667"/>
      <c r="N422" s="667"/>
      <c r="O422" s="667"/>
      <c r="P422" s="667"/>
      <c r="Q422" s="667"/>
    </row>
    <row r="423" ht="15.75" customHeight="1">
      <c r="B423" s="466"/>
      <c r="C423" s="667"/>
      <c r="D423" s="667"/>
      <c r="E423" s="668"/>
      <c r="F423" s="667"/>
      <c r="G423" s="667"/>
      <c r="H423" s="667"/>
      <c r="I423" s="667"/>
      <c r="J423" s="667"/>
      <c r="K423" s="667"/>
      <c r="L423" s="667"/>
      <c r="M423" s="667"/>
      <c r="N423" s="667"/>
      <c r="O423" s="667"/>
      <c r="P423" s="667"/>
      <c r="Q423" s="667"/>
    </row>
    <row r="424" ht="15.75" customHeight="1">
      <c r="B424" s="466"/>
      <c r="C424" s="667"/>
      <c r="D424" s="667"/>
      <c r="E424" s="668"/>
      <c r="F424" s="667"/>
      <c r="G424" s="667"/>
      <c r="H424" s="667"/>
      <c r="I424" s="667"/>
      <c r="J424" s="667"/>
      <c r="K424" s="667"/>
      <c r="L424" s="667"/>
      <c r="M424" s="667"/>
      <c r="N424" s="667"/>
      <c r="O424" s="667"/>
      <c r="P424" s="667"/>
      <c r="Q424" s="667"/>
    </row>
    <row r="425" ht="15.75" customHeight="1">
      <c r="B425" s="466"/>
      <c r="C425" s="667"/>
      <c r="D425" s="667"/>
      <c r="E425" s="668"/>
      <c r="F425" s="667"/>
      <c r="G425" s="667"/>
      <c r="H425" s="667"/>
      <c r="I425" s="667"/>
      <c r="J425" s="667"/>
      <c r="K425" s="667"/>
      <c r="L425" s="667"/>
      <c r="M425" s="667"/>
      <c r="N425" s="667"/>
      <c r="O425" s="667"/>
      <c r="P425" s="667"/>
      <c r="Q425" s="667"/>
    </row>
    <row r="426" ht="15.75" customHeight="1">
      <c r="B426" s="466"/>
      <c r="C426" s="667"/>
      <c r="D426" s="667"/>
      <c r="E426" s="668"/>
      <c r="F426" s="667"/>
      <c r="G426" s="667"/>
      <c r="H426" s="667"/>
      <c r="I426" s="667"/>
      <c r="J426" s="667"/>
      <c r="K426" s="667"/>
      <c r="L426" s="667"/>
      <c r="M426" s="667"/>
      <c r="N426" s="667"/>
      <c r="O426" s="667"/>
      <c r="P426" s="667"/>
      <c r="Q426" s="667"/>
    </row>
    <row r="427" ht="15.75" customHeight="1">
      <c r="B427" s="466"/>
      <c r="C427" s="667"/>
      <c r="D427" s="667"/>
      <c r="E427" s="668"/>
      <c r="F427" s="667"/>
      <c r="G427" s="667"/>
      <c r="H427" s="667"/>
      <c r="I427" s="667"/>
      <c r="J427" s="667"/>
      <c r="K427" s="667"/>
      <c r="L427" s="667"/>
      <c r="M427" s="667"/>
      <c r="N427" s="667"/>
      <c r="O427" s="667"/>
      <c r="P427" s="667"/>
      <c r="Q427" s="667"/>
    </row>
    <row r="428" ht="15.75" customHeight="1">
      <c r="B428" s="466"/>
      <c r="C428" s="667"/>
      <c r="D428" s="667"/>
      <c r="E428" s="668"/>
      <c r="F428" s="667"/>
      <c r="G428" s="667"/>
      <c r="H428" s="667"/>
      <c r="I428" s="667"/>
      <c r="J428" s="667"/>
      <c r="K428" s="667"/>
      <c r="L428" s="667"/>
      <c r="M428" s="667"/>
      <c r="N428" s="667"/>
      <c r="O428" s="667"/>
      <c r="P428" s="667"/>
      <c r="Q428" s="667"/>
    </row>
    <row r="429" ht="15.75" customHeight="1">
      <c r="B429" s="466"/>
      <c r="C429" s="667"/>
      <c r="D429" s="667"/>
      <c r="E429" s="668"/>
      <c r="F429" s="667"/>
      <c r="G429" s="667"/>
      <c r="H429" s="667"/>
      <c r="I429" s="667"/>
      <c r="J429" s="667"/>
      <c r="K429" s="667"/>
      <c r="L429" s="667"/>
      <c r="M429" s="667"/>
      <c r="N429" s="667"/>
      <c r="O429" s="667"/>
      <c r="P429" s="667"/>
      <c r="Q429" s="667"/>
    </row>
    <row r="430" ht="15.75" customHeight="1">
      <c r="B430" s="466"/>
      <c r="C430" s="667"/>
      <c r="D430" s="667"/>
      <c r="E430" s="668"/>
      <c r="F430" s="667"/>
      <c r="G430" s="667"/>
      <c r="H430" s="667"/>
      <c r="I430" s="667"/>
      <c r="J430" s="667"/>
      <c r="K430" s="667"/>
      <c r="L430" s="667"/>
      <c r="M430" s="667"/>
      <c r="N430" s="667"/>
      <c r="O430" s="667"/>
      <c r="P430" s="667"/>
      <c r="Q430" s="667"/>
    </row>
    <row r="431" ht="15.75" customHeight="1">
      <c r="B431" s="466"/>
      <c r="C431" s="667"/>
      <c r="D431" s="667"/>
      <c r="E431" s="668"/>
      <c r="F431" s="667"/>
      <c r="G431" s="667"/>
      <c r="H431" s="667"/>
      <c r="I431" s="667"/>
      <c r="J431" s="667"/>
      <c r="K431" s="667"/>
      <c r="L431" s="667"/>
      <c r="M431" s="667"/>
      <c r="N431" s="667"/>
      <c r="O431" s="667"/>
      <c r="P431" s="667"/>
      <c r="Q431" s="667"/>
    </row>
    <row r="432" ht="15.75" customHeight="1">
      <c r="B432" s="466"/>
      <c r="C432" s="667"/>
      <c r="D432" s="667"/>
      <c r="E432" s="668"/>
      <c r="F432" s="667"/>
      <c r="G432" s="667"/>
      <c r="H432" s="667"/>
      <c r="I432" s="667"/>
      <c r="J432" s="667"/>
      <c r="K432" s="667"/>
      <c r="L432" s="667"/>
      <c r="M432" s="667"/>
      <c r="N432" s="667"/>
      <c r="O432" s="667"/>
      <c r="P432" s="667"/>
      <c r="Q432" s="667"/>
    </row>
    <row r="433" ht="15.75" customHeight="1">
      <c r="B433" s="466"/>
      <c r="C433" s="667"/>
      <c r="D433" s="667"/>
      <c r="E433" s="668"/>
      <c r="F433" s="667"/>
      <c r="G433" s="667"/>
      <c r="H433" s="667"/>
      <c r="I433" s="667"/>
      <c r="J433" s="667"/>
      <c r="K433" s="667"/>
      <c r="L433" s="667"/>
      <c r="M433" s="667"/>
      <c r="N433" s="667"/>
      <c r="O433" s="667"/>
      <c r="P433" s="667"/>
      <c r="Q433" s="667"/>
    </row>
    <row r="434" ht="15.75" customHeight="1">
      <c r="B434" s="466"/>
      <c r="C434" s="667"/>
      <c r="D434" s="667"/>
      <c r="E434" s="668"/>
      <c r="F434" s="667"/>
      <c r="G434" s="667"/>
      <c r="H434" s="667"/>
      <c r="I434" s="667"/>
      <c r="J434" s="667"/>
      <c r="K434" s="667"/>
      <c r="L434" s="667"/>
      <c r="M434" s="667"/>
      <c r="N434" s="667"/>
      <c r="O434" s="667"/>
      <c r="P434" s="667"/>
      <c r="Q434" s="667"/>
    </row>
    <row r="435" ht="15.75" customHeight="1">
      <c r="B435" s="466"/>
      <c r="C435" s="667"/>
      <c r="D435" s="667"/>
      <c r="E435" s="668"/>
      <c r="F435" s="667"/>
      <c r="G435" s="667"/>
      <c r="H435" s="667"/>
      <c r="I435" s="667"/>
      <c r="J435" s="667"/>
      <c r="K435" s="667"/>
      <c r="L435" s="667"/>
      <c r="M435" s="667"/>
      <c r="N435" s="667"/>
      <c r="O435" s="667"/>
      <c r="P435" s="667"/>
      <c r="Q435" s="667"/>
    </row>
    <row r="436" ht="15.75" customHeight="1">
      <c r="B436" s="466"/>
      <c r="C436" s="667"/>
      <c r="D436" s="667"/>
      <c r="E436" s="668"/>
      <c r="F436" s="667"/>
      <c r="G436" s="667"/>
      <c r="H436" s="667"/>
      <c r="I436" s="667"/>
      <c r="J436" s="667"/>
      <c r="K436" s="667"/>
      <c r="L436" s="667"/>
      <c r="M436" s="667"/>
      <c r="N436" s="667"/>
      <c r="O436" s="667"/>
      <c r="P436" s="667"/>
      <c r="Q436" s="667"/>
    </row>
    <row r="437" ht="15.75" customHeight="1">
      <c r="B437" s="466"/>
      <c r="C437" s="667"/>
      <c r="D437" s="667"/>
      <c r="E437" s="668"/>
      <c r="F437" s="667"/>
      <c r="G437" s="667"/>
      <c r="H437" s="667"/>
      <c r="I437" s="667"/>
      <c r="J437" s="667"/>
      <c r="K437" s="667"/>
      <c r="L437" s="667"/>
      <c r="M437" s="667"/>
      <c r="N437" s="667"/>
      <c r="O437" s="667"/>
      <c r="P437" s="667"/>
      <c r="Q437" s="667"/>
    </row>
    <row r="438" ht="15.75" customHeight="1">
      <c r="B438" s="466"/>
      <c r="C438" s="667"/>
      <c r="D438" s="667"/>
      <c r="E438" s="668"/>
      <c r="F438" s="667"/>
      <c r="G438" s="667"/>
      <c r="H438" s="667"/>
      <c r="I438" s="667"/>
      <c r="J438" s="667"/>
      <c r="K438" s="667"/>
      <c r="L438" s="667"/>
      <c r="M438" s="667"/>
      <c r="N438" s="667"/>
      <c r="O438" s="667"/>
      <c r="P438" s="667"/>
      <c r="Q438" s="667"/>
    </row>
    <row r="439" ht="15.75" customHeight="1">
      <c r="B439" s="466"/>
      <c r="C439" s="667"/>
      <c r="D439" s="667"/>
      <c r="E439" s="668"/>
      <c r="F439" s="667"/>
      <c r="G439" s="667"/>
      <c r="H439" s="667"/>
      <c r="I439" s="667"/>
      <c r="J439" s="667"/>
      <c r="K439" s="667"/>
      <c r="L439" s="667"/>
      <c r="M439" s="667"/>
      <c r="N439" s="667"/>
      <c r="O439" s="667"/>
      <c r="P439" s="667"/>
      <c r="Q439" s="667"/>
    </row>
    <row r="440" ht="15.75" customHeight="1">
      <c r="B440" s="466"/>
      <c r="C440" s="667"/>
      <c r="D440" s="667"/>
      <c r="E440" s="668"/>
      <c r="F440" s="667"/>
      <c r="G440" s="667"/>
      <c r="H440" s="667"/>
      <c r="I440" s="667"/>
      <c r="J440" s="667"/>
      <c r="K440" s="667"/>
      <c r="L440" s="667"/>
      <c r="M440" s="667"/>
      <c r="N440" s="667"/>
      <c r="O440" s="667"/>
      <c r="P440" s="667"/>
      <c r="Q440" s="667"/>
    </row>
    <row r="441" ht="15.75" customHeight="1">
      <c r="B441" s="466"/>
      <c r="C441" s="667"/>
      <c r="D441" s="667"/>
      <c r="E441" s="668"/>
      <c r="F441" s="667"/>
      <c r="G441" s="667"/>
      <c r="H441" s="667"/>
      <c r="I441" s="667"/>
      <c r="J441" s="667"/>
      <c r="K441" s="667"/>
      <c r="L441" s="667"/>
      <c r="M441" s="667"/>
      <c r="N441" s="667"/>
      <c r="O441" s="667"/>
      <c r="P441" s="667"/>
      <c r="Q441" s="667"/>
    </row>
    <row r="442" ht="15.75" customHeight="1">
      <c r="B442" s="466"/>
      <c r="C442" s="667"/>
      <c r="D442" s="667"/>
      <c r="E442" s="668"/>
      <c r="F442" s="667"/>
      <c r="G442" s="667"/>
      <c r="H442" s="667"/>
      <c r="I442" s="667"/>
      <c r="J442" s="667"/>
      <c r="K442" s="667"/>
      <c r="L442" s="667"/>
      <c r="M442" s="667"/>
      <c r="N442" s="667"/>
      <c r="O442" s="667"/>
      <c r="P442" s="667"/>
      <c r="Q442" s="667"/>
    </row>
    <row r="443" ht="15.75" customHeight="1">
      <c r="B443" s="466"/>
      <c r="C443" s="667"/>
      <c r="D443" s="667"/>
      <c r="E443" s="668"/>
      <c r="F443" s="667"/>
      <c r="G443" s="667"/>
      <c r="H443" s="667"/>
      <c r="I443" s="667"/>
      <c r="J443" s="667"/>
      <c r="K443" s="667"/>
      <c r="L443" s="667"/>
      <c r="M443" s="667"/>
      <c r="N443" s="667"/>
      <c r="O443" s="667"/>
      <c r="P443" s="667"/>
      <c r="Q443" s="667"/>
    </row>
    <row r="444" ht="15.75" customHeight="1">
      <c r="B444" s="466"/>
      <c r="C444" s="667"/>
      <c r="D444" s="667"/>
      <c r="E444" s="668"/>
      <c r="F444" s="667"/>
      <c r="G444" s="667"/>
      <c r="H444" s="667"/>
      <c r="I444" s="667"/>
      <c r="J444" s="667"/>
      <c r="K444" s="667"/>
      <c r="L444" s="667"/>
      <c r="M444" s="667"/>
      <c r="N444" s="667"/>
      <c r="O444" s="667"/>
      <c r="P444" s="667"/>
      <c r="Q444" s="667"/>
    </row>
    <row r="445" ht="15.75" customHeight="1">
      <c r="B445" s="466"/>
      <c r="C445" s="667"/>
      <c r="D445" s="667"/>
      <c r="E445" s="668"/>
      <c r="F445" s="667"/>
      <c r="G445" s="667"/>
      <c r="H445" s="667"/>
      <c r="I445" s="667"/>
      <c r="J445" s="667"/>
      <c r="K445" s="667"/>
      <c r="L445" s="667"/>
      <c r="M445" s="667"/>
      <c r="N445" s="667"/>
      <c r="O445" s="667"/>
      <c r="P445" s="667"/>
      <c r="Q445" s="667"/>
    </row>
    <row r="446" ht="15.75" customHeight="1">
      <c r="B446" s="466"/>
      <c r="C446" s="667"/>
      <c r="D446" s="667"/>
      <c r="E446" s="668"/>
      <c r="F446" s="667"/>
      <c r="G446" s="667"/>
      <c r="H446" s="667"/>
      <c r="I446" s="667"/>
      <c r="J446" s="667"/>
      <c r="K446" s="667"/>
      <c r="L446" s="667"/>
      <c r="M446" s="667"/>
      <c r="N446" s="667"/>
      <c r="O446" s="667"/>
      <c r="P446" s="667"/>
      <c r="Q446" s="667"/>
    </row>
    <row r="447" ht="15.75" customHeight="1">
      <c r="B447" s="466"/>
      <c r="C447" s="667"/>
      <c r="D447" s="667"/>
      <c r="E447" s="668"/>
      <c r="F447" s="667"/>
      <c r="G447" s="667"/>
      <c r="H447" s="667"/>
      <c r="I447" s="667"/>
      <c r="J447" s="667"/>
      <c r="K447" s="667"/>
      <c r="L447" s="667"/>
      <c r="M447" s="667"/>
      <c r="N447" s="667"/>
      <c r="O447" s="667"/>
      <c r="P447" s="667"/>
      <c r="Q447" s="667"/>
    </row>
    <row r="448" ht="15.75" customHeight="1">
      <c r="B448" s="466"/>
      <c r="C448" s="667"/>
      <c r="D448" s="667"/>
      <c r="E448" s="668"/>
      <c r="F448" s="667"/>
      <c r="G448" s="667"/>
      <c r="H448" s="667"/>
      <c r="I448" s="667"/>
      <c r="J448" s="667"/>
      <c r="K448" s="667"/>
      <c r="L448" s="667"/>
      <c r="M448" s="667"/>
      <c r="N448" s="667"/>
      <c r="O448" s="667"/>
      <c r="P448" s="667"/>
      <c r="Q448" s="667"/>
    </row>
    <row r="449" ht="15.75" customHeight="1">
      <c r="B449" s="466"/>
      <c r="C449" s="667"/>
      <c r="D449" s="667"/>
      <c r="E449" s="668"/>
      <c r="F449" s="667"/>
      <c r="G449" s="667"/>
      <c r="H449" s="667"/>
      <c r="I449" s="667"/>
      <c r="J449" s="667"/>
      <c r="K449" s="667"/>
      <c r="L449" s="667"/>
      <c r="M449" s="667"/>
      <c r="N449" s="667"/>
      <c r="O449" s="667"/>
      <c r="P449" s="667"/>
      <c r="Q449" s="667"/>
    </row>
    <row r="450" ht="15.75" customHeight="1">
      <c r="B450" s="466"/>
      <c r="C450" s="667"/>
      <c r="D450" s="667"/>
      <c r="E450" s="668"/>
      <c r="F450" s="667"/>
      <c r="G450" s="667"/>
      <c r="H450" s="667"/>
      <c r="I450" s="667"/>
      <c r="J450" s="667"/>
      <c r="K450" s="667"/>
      <c r="L450" s="667"/>
      <c r="M450" s="667"/>
      <c r="N450" s="667"/>
      <c r="O450" s="667"/>
      <c r="P450" s="667"/>
      <c r="Q450" s="667"/>
    </row>
    <row r="451" ht="15.75" customHeight="1">
      <c r="B451" s="466"/>
      <c r="C451" s="667"/>
      <c r="D451" s="667"/>
      <c r="E451" s="668"/>
      <c r="F451" s="667"/>
      <c r="G451" s="667"/>
      <c r="H451" s="667"/>
      <c r="I451" s="667"/>
      <c r="J451" s="667"/>
      <c r="K451" s="667"/>
      <c r="L451" s="667"/>
      <c r="M451" s="667"/>
      <c r="N451" s="667"/>
      <c r="O451" s="667"/>
      <c r="P451" s="667"/>
      <c r="Q451" s="667"/>
    </row>
    <row r="452" ht="15.75" customHeight="1">
      <c r="B452" s="466"/>
      <c r="C452" s="667"/>
      <c r="D452" s="667"/>
      <c r="E452" s="668"/>
      <c r="F452" s="667"/>
      <c r="G452" s="667"/>
      <c r="H452" s="667"/>
      <c r="I452" s="667"/>
      <c r="J452" s="667"/>
      <c r="K452" s="667"/>
      <c r="L452" s="667"/>
      <c r="M452" s="667"/>
      <c r="N452" s="667"/>
      <c r="O452" s="667"/>
      <c r="P452" s="667"/>
      <c r="Q452" s="667"/>
    </row>
    <row r="453" ht="15.75" customHeight="1">
      <c r="B453" s="466"/>
      <c r="C453" s="667"/>
      <c r="D453" s="667"/>
      <c r="E453" s="668"/>
      <c r="F453" s="667"/>
      <c r="G453" s="667"/>
      <c r="H453" s="667"/>
      <c r="I453" s="667"/>
      <c r="J453" s="667"/>
      <c r="K453" s="667"/>
      <c r="L453" s="667"/>
      <c r="M453" s="667"/>
      <c r="N453" s="667"/>
      <c r="O453" s="667"/>
      <c r="P453" s="667"/>
      <c r="Q453" s="667"/>
    </row>
    <row r="454" ht="15.75" customHeight="1">
      <c r="B454" s="466"/>
      <c r="C454" s="667"/>
      <c r="D454" s="667"/>
      <c r="E454" s="668"/>
      <c r="F454" s="667"/>
      <c r="G454" s="667"/>
      <c r="H454" s="667"/>
      <c r="I454" s="667"/>
      <c r="J454" s="667"/>
      <c r="K454" s="667"/>
      <c r="L454" s="667"/>
      <c r="M454" s="667"/>
      <c r="N454" s="667"/>
      <c r="O454" s="667"/>
      <c r="P454" s="667"/>
      <c r="Q454" s="667"/>
    </row>
    <row r="455" ht="15.75" customHeight="1">
      <c r="B455" s="466"/>
      <c r="C455" s="667"/>
      <c r="D455" s="667"/>
      <c r="E455" s="668"/>
      <c r="F455" s="667"/>
      <c r="G455" s="667"/>
      <c r="H455" s="667"/>
      <c r="I455" s="667"/>
      <c r="J455" s="667"/>
      <c r="K455" s="667"/>
      <c r="L455" s="667"/>
      <c r="M455" s="667"/>
      <c r="N455" s="667"/>
      <c r="O455" s="667"/>
      <c r="P455" s="667"/>
      <c r="Q455" s="667"/>
    </row>
    <row r="456" ht="15.75" customHeight="1">
      <c r="B456" s="466"/>
      <c r="C456" s="667"/>
      <c r="D456" s="667"/>
      <c r="E456" s="668"/>
      <c r="F456" s="667"/>
      <c r="G456" s="667"/>
      <c r="H456" s="667"/>
      <c r="I456" s="667"/>
      <c r="J456" s="667"/>
      <c r="K456" s="667"/>
      <c r="L456" s="667"/>
      <c r="M456" s="667"/>
      <c r="N456" s="667"/>
      <c r="O456" s="667"/>
      <c r="P456" s="667"/>
      <c r="Q456" s="667"/>
    </row>
    <row r="457" ht="15.75" customHeight="1">
      <c r="B457" s="466"/>
      <c r="C457" s="667"/>
      <c r="D457" s="667"/>
      <c r="E457" s="668"/>
      <c r="F457" s="667"/>
      <c r="G457" s="667"/>
      <c r="H457" s="667"/>
      <c r="I457" s="667"/>
      <c r="J457" s="667"/>
      <c r="K457" s="667"/>
      <c r="L457" s="667"/>
      <c r="M457" s="667"/>
      <c r="N457" s="667"/>
      <c r="O457" s="667"/>
      <c r="P457" s="667"/>
      <c r="Q457" s="667"/>
    </row>
    <row r="458" ht="15.75" customHeight="1">
      <c r="B458" s="466"/>
      <c r="C458" s="667"/>
      <c r="D458" s="667"/>
      <c r="E458" s="668"/>
      <c r="F458" s="667"/>
      <c r="G458" s="667"/>
      <c r="H458" s="667"/>
      <c r="I458" s="667"/>
      <c r="J458" s="667"/>
      <c r="K458" s="667"/>
      <c r="L458" s="667"/>
      <c r="M458" s="667"/>
      <c r="N458" s="667"/>
      <c r="O458" s="667"/>
      <c r="P458" s="667"/>
      <c r="Q458" s="667"/>
    </row>
    <row r="459" ht="15.75" customHeight="1">
      <c r="B459" s="466"/>
      <c r="C459" s="667"/>
      <c r="D459" s="667"/>
      <c r="E459" s="668"/>
      <c r="F459" s="667"/>
      <c r="G459" s="667"/>
      <c r="H459" s="667"/>
      <c r="I459" s="667"/>
      <c r="J459" s="667"/>
      <c r="K459" s="667"/>
      <c r="L459" s="667"/>
      <c r="M459" s="667"/>
      <c r="N459" s="667"/>
      <c r="O459" s="667"/>
      <c r="P459" s="667"/>
      <c r="Q459" s="667"/>
    </row>
    <row r="460" ht="15.75" customHeight="1">
      <c r="B460" s="466"/>
      <c r="C460" s="667"/>
      <c r="D460" s="667"/>
      <c r="E460" s="668"/>
      <c r="F460" s="667"/>
      <c r="G460" s="667"/>
      <c r="H460" s="667"/>
      <c r="I460" s="667"/>
      <c r="J460" s="667"/>
      <c r="K460" s="667"/>
      <c r="L460" s="667"/>
      <c r="M460" s="667"/>
      <c r="N460" s="667"/>
      <c r="O460" s="667"/>
      <c r="P460" s="667"/>
      <c r="Q460" s="667"/>
    </row>
    <row r="461" ht="15.75" customHeight="1">
      <c r="B461" s="466"/>
      <c r="C461" s="667"/>
      <c r="D461" s="667"/>
      <c r="E461" s="668"/>
      <c r="F461" s="667"/>
      <c r="G461" s="667"/>
      <c r="H461" s="667"/>
      <c r="I461" s="667"/>
      <c r="J461" s="667"/>
      <c r="K461" s="667"/>
      <c r="L461" s="667"/>
      <c r="M461" s="667"/>
      <c r="N461" s="667"/>
      <c r="O461" s="667"/>
      <c r="P461" s="667"/>
      <c r="Q461" s="667"/>
    </row>
    <row r="462" ht="15.75" customHeight="1">
      <c r="B462" s="466"/>
      <c r="C462" s="667"/>
      <c r="D462" s="667"/>
      <c r="E462" s="668"/>
      <c r="F462" s="667"/>
      <c r="G462" s="667"/>
      <c r="H462" s="667"/>
      <c r="I462" s="667"/>
      <c r="J462" s="667"/>
      <c r="K462" s="667"/>
      <c r="L462" s="667"/>
      <c r="M462" s="667"/>
      <c r="N462" s="667"/>
      <c r="O462" s="667"/>
      <c r="P462" s="667"/>
      <c r="Q462" s="667"/>
    </row>
    <row r="463" ht="15.75" customHeight="1">
      <c r="B463" s="466"/>
      <c r="C463" s="667"/>
      <c r="D463" s="667"/>
      <c r="E463" s="668"/>
      <c r="F463" s="667"/>
      <c r="G463" s="667"/>
      <c r="H463" s="667"/>
      <c r="I463" s="667"/>
      <c r="J463" s="667"/>
      <c r="K463" s="667"/>
      <c r="L463" s="667"/>
      <c r="M463" s="667"/>
      <c r="N463" s="667"/>
      <c r="O463" s="667"/>
      <c r="P463" s="667"/>
      <c r="Q463" s="667"/>
    </row>
    <row r="464" ht="15.75" customHeight="1">
      <c r="B464" s="466"/>
      <c r="C464" s="667"/>
      <c r="D464" s="667"/>
      <c r="E464" s="668"/>
      <c r="F464" s="667"/>
      <c r="G464" s="667"/>
      <c r="H464" s="667"/>
      <c r="I464" s="667"/>
      <c r="J464" s="667"/>
      <c r="K464" s="667"/>
      <c r="L464" s="667"/>
      <c r="M464" s="667"/>
      <c r="N464" s="667"/>
      <c r="O464" s="667"/>
      <c r="P464" s="667"/>
      <c r="Q464" s="667"/>
    </row>
    <row r="465" ht="15.75" customHeight="1">
      <c r="B465" s="466"/>
      <c r="C465" s="667"/>
      <c r="D465" s="667"/>
      <c r="E465" s="668"/>
      <c r="F465" s="667"/>
      <c r="G465" s="667"/>
      <c r="H465" s="667"/>
      <c r="I465" s="667"/>
      <c r="J465" s="667"/>
      <c r="K465" s="667"/>
      <c r="L465" s="667"/>
      <c r="M465" s="667"/>
      <c r="N465" s="667"/>
      <c r="O465" s="667"/>
      <c r="P465" s="667"/>
      <c r="Q465" s="667"/>
    </row>
    <row r="466" ht="15.75" customHeight="1">
      <c r="B466" s="466"/>
      <c r="C466" s="667"/>
      <c r="D466" s="667"/>
      <c r="E466" s="668"/>
      <c r="F466" s="667"/>
      <c r="G466" s="667"/>
      <c r="H466" s="667"/>
      <c r="I466" s="667"/>
      <c r="J466" s="667"/>
      <c r="K466" s="667"/>
      <c r="L466" s="667"/>
      <c r="M466" s="667"/>
      <c r="N466" s="667"/>
      <c r="O466" s="667"/>
      <c r="P466" s="667"/>
      <c r="Q466" s="667"/>
    </row>
    <row r="467" ht="15.75" customHeight="1">
      <c r="B467" s="466"/>
      <c r="C467" s="667"/>
      <c r="D467" s="667"/>
      <c r="E467" s="668"/>
      <c r="F467" s="667"/>
      <c r="G467" s="667"/>
      <c r="H467" s="667"/>
      <c r="I467" s="667"/>
      <c r="J467" s="667"/>
      <c r="K467" s="667"/>
      <c r="L467" s="667"/>
      <c r="M467" s="667"/>
      <c r="N467" s="667"/>
      <c r="O467" s="667"/>
      <c r="P467" s="667"/>
      <c r="Q467" s="667"/>
    </row>
    <row r="468" ht="15.75" customHeight="1">
      <c r="B468" s="466"/>
      <c r="C468" s="667"/>
      <c r="D468" s="667"/>
      <c r="E468" s="668"/>
      <c r="F468" s="667"/>
      <c r="G468" s="667"/>
      <c r="H468" s="667"/>
      <c r="I468" s="667"/>
      <c r="J468" s="667"/>
      <c r="K468" s="667"/>
      <c r="L468" s="667"/>
      <c r="M468" s="667"/>
      <c r="N468" s="667"/>
      <c r="O468" s="667"/>
      <c r="P468" s="667"/>
      <c r="Q468" s="667"/>
    </row>
    <row r="469" ht="15.75" customHeight="1">
      <c r="B469" s="466"/>
      <c r="C469" s="667"/>
      <c r="D469" s="667"/>
      <c r="E469" s="668"/>
      <c r="F469" s="667"/>
      <c r="G469" s="667"/>
      <c r="H469" s="667"/>
      <c r="I469" s="667"/>
      <c r="J469" s="667"/>
      <c r="K469" s="667"/>
      <c r="L469" s="667"/>
      <c r="M469" s="667"/>
      <c r="N469" s="667"/>
      <c r="O469" s="667"/>
      <c r="P469" s="667"/>
      <c r="Q469" s="667"/>
    </row>
    <row r="470" ht="15.75" customHeight="1">
      <c r="B470" s="466"/>
      <c r="C470" s="667"/>
      <c r="D470" s="667"/>
      <c r="E470" s="668"/>
      <c r="F470" s="667"/>
      <c r="G470" s="667"/>
      <c r="H470" s="667"/>
      <c r="I470" s="667"/>
      <c r="J470" s="667"/>
      <c r="K470" s="667"/>
      <c r="L470" s="667"/>
      <c r="M470" s="667"/>
      <c r="N470" s="667"/>
      <c r="O470" s="667"/>
      <c r="P470" s="667"/>
      <c r="Q470" s="667"/>
    </row>
    <row r="471" ht="15.75" customHeight="1">
      <c r="B471" s="466"/>
      <c r="C471" s="667"/>
      <c r="D471" s="667"/>
      <c r="E471" s="668"/>
      <c r="F471" s="667"/>
      <c r="G471" s="667"/>
      <c r="H471" s="667"/>
      <c r="I471" s="667"/>
      <c r="J471" s="667"/>
      <c r="K471" s="667"/>
      <c r="L471" s="667"/>
      <c r="M471" s="667"/>
      <c r="N471" s="667"/>
      <c r="O471" s="667"/>
      <c r="P471" s="667"/>
      <c r="Q471" s="667"/>
    </row>
    <row r="472" ht="15.75" customHeight="1">
      <c r="B472" s="466"/>
      <c r="C472" s="667"/>
      <c r="D472" s="667"/>
      <c r="E472" s="668"/>
      <c r="F472" s="667"/>
      <c r="G472" s="667"/>
      <c r="H472" s="667"/>
      <c r="I472" s="667"/>
      <c r="J472" s="667"/>
      <c r="K472" s="667"/>
      <c r="L472" s="667"/>
      <c r="M472" s="667"/>
      <c r="N472" s="667"/>
      <c r="O472" s="667"/>
      <c r="P472" s="667"/>
      <c r="Q472" s="667"/>
    </row>
    <row r="473" ht="15.75" customHeight="1">
      <c r="B473" s="466"/>
      <c r="C473" s="667"/>
      <c r="D473" s="667"/>
      <c r="E473" s="668"/>
      <c r="F473" s="667"/>
      <c r="G473" s="667"/>
      <c r="H473" s="667"/>
      <c r="I473" s="667"/>
      <c r="J473" s="667"/>
      <c r="K473" s="667"/>
      <c r="L473" s="667"/>
      <c r="M473" s="667"/>
      <c r="N473" s="667"/>
      <c r="O473" s="667"/>
      <c r="P473" s="667"/>
      <c r="Q473" s="667"/>
    </row>
    <row r="474" ht="15.75" customHeight="1">
      <c r="B474" s="466"/>
      <c r="C474" s="667"/>
      <c r="D474" s="667"/>
      <c r="E474" s="668"/>
      <c r="F474" s="667"/>
      <c r="G474" s="667"/>
      <c r="H474" s="667"/>
      <c r="I474" s="667"/>
      <c r="J474" s="667"/>
      <c r="K474" s="667"/>
      <c r="L474" s="667"/>
      <c r="M474" s="667"/>
      <c r="N474" s="667"/>
      <c r="O474" s="667"/>
      <c r="P474" s="667"/>
      <c r="Q474" s="667"/>
    </row>
    <row r="475" ht="15.75" customHeight="1">
      <c r="B475" s="466"/>
      <c r="C475" s="667"/>
      <c r="D475" s="667"/>
      <c r="E475" s="668"/>
      <c r="F475" s="667"/>
      <c r="G475" s="667"/>
      <c r="H475" s="667"/>
      <c r="I475" s="667"/>
      <c r="J475" s="667"/>
      <c r="K475" s="667"/>
      <c r="L475" s="667"/>
      <c r="M475" s="667"/>
      <c r="N475" s="667"/>
      <c r="O475" s="667"/>
      <c r="P475" s="667"/>
      <c r="Q475" s="667"/>
    </row>
    <row r="476" ht="15.75" customHeight="1">
      <c r="B476" s="466"/>
      <c r="C476" s="667"/>
      <c r="D476" s="667"/>
      <c r="E476" s="668"/>
      <c r="F476" s="667"/>
      <c r="G476" s="667"/>
      <c r="H476" s="667"/>
      <c r="I476" s="667"/>
      <c r="J476" s="667"/>
      <c r="K476" s="667"/>
      <c r="L476" s="667"/>
      <c r="M476" s="667"/>
      <c r="N476" s="667"/>
      <c r="O476" s="667"/>
      <c r="P476" s="667"/>
      <c r="Q476" s="667"/>
    </row>
    <row r="477" ht="15.75" customHeight="1">
      <c r="B477" s="466"/>
      <c r="C477" s="667"/>
      <c r="D477" s="667"/>
      <c r="E477" s="668"/>
      <c r="F477" s="667"/>
      <c r="G477" s="667"/>
      <c r="H477" s="667"/>
      <c r="I477" s="667"/>
      <c r="J477" s="667"/>
      <c r="K477" s="667"/>
      <c r="L477" s="667"/>
      <c r="M477" s="667"/>
      <c r="N477" s="667"/>
      <c r="O477" s="667"/>
      <c r="P477" s="667"/>
      <c r="Q477" s="667"/>
    </row>
    <row r="478" ht="15.75" customHeight="1">
      <c r="B478" s="466"/>
      <c r="C478" s="667"/>
      <c r="D478" s="667"/>
      <c r="E478" s="668"/>
      <c r="F478" s="667"/>
      <c r="G478" s="667"/>
      <c r="H478" s="667"/>
      <c r="I478" s="667"/>
      <c r="J478" s="667"/>
      <c r="K478" s="667"/>
      <c r="L478" s="667"/>
      <c r="M478" s="667"/>
      <c r="N478" s="667"/>
      <c r="O478" s="667"/>
      <c r="P478" s="667"/>
      <c r="Q478" s="667"/>
    </row>
    <row r="479" ht="15.75" customHeight="1">
      <c r="B479" s="466"/>
      <c r="C479" s="667"/>
      <c r="D479" s="667"/>
      <c r="E479" s="668"/>
      <c r="F479" s="667"/>
      <c r="G479" s="667"/>
      <c r="H479" s="667"/>
      <c r="I479" s="667"/>
      <c r="J479" s="667"/>
      <c r="K479" s="667"/>
      <c r="L479" s="667"/>
      <c r="M479" s="667"/>
      <c r="N479" s="667"/>
      <c r="O479" s="667"/>
      <c r="P479" s="667"/>
      <c r="Q479" s="667"/>
    </row>
    <row r="480" ht="15.75" customHeight="1">
      <c r="B480" s="466"/>
      <c r="C480" s="667"/>
      <c r="D480" s="667"/>
      <c r="E480" s="668"/>
      <c r="F480" s="667"/>
      <c r="G480" s="667"/>
      <c r="H480" s="667"/>
      <c r="I480" s="667"/>
      <c r="J480" s="667"/>
      <c r="K480" s="667"/>
      <c r="L480" s="667"/>
      <c r="M480" s="667"/>
      <c r="N480" s="667"/>
      <c r="O480" s="667"/>
      <c r="P480" s="667"/>
      <c r="Q480" s="667"/>
    </row>
    <row r="481" ht="15.75" customHeight="1">
      <c r="B481" s="466"/>
      <c r="C481" s="667"/>
      <c r="D481" s="667"/>
      <c r="E481" s="668"/>
      <c r="F481" s="667"/>
      <c r="G481" s="667"/>
      <c r="H481" s="667"/>
      <c r="I481" s="667"/>
      <c r="J481" s="667"/>
      <c r="K481" s="667"/>
      <c r="L481" s="667"/>
      <c r="M481" s="667"/>
      <c r="N481" s="667"/>
      <c r="O481" s="667"/>
      <c r="P481" s="667"/>
      <c r="Q481" s="667"/>
    </row>
    <row r="482" ht="15.75" customHeight="1">
      <c r="B482" s="466"/>
      <c r="C482" s="667"/>
      <c r="D482" s="667"/>
      <c r="E482" s="668"/>
      <c r="F482" s="667"/>
      <c r="G482" s="667"/>
      <c r="H482" s="667"/>
      <c r="I482" s="667"/>
      <c r="J482" s="667"/>
      <c r="K482" s="667"/>
      <c r="L482" s="667"/>
      <c r="M482" s="667"/>
      <c r="N482" s="667"/>
      <c r="O482" s="667"/>
      <c r="P482" s="667"/>
      <c r="Q482" s="667"/>
    </row>
    <row r="483" ht="15.75" customHeight="1">
      <c r="B483" s="466"/>
      <c r="C483" s="667"/>
      <c r="D483" s="667"/>
      <c r="E483" s="668"/>
      <c r="F483" s="667"/>
      <c r="G483" s="667"/>
      <c r="H483" s="667"/>
      <c r="I483" s="667"/>
      <c r="J483" s="667"/>
      <c r="K483" s="667"/>
      <c r="L483" s="667"/>
      <c r="M483" s="667"/>
      <c r="N483" s="667"/>
      <c r="O483" s="667"/>
      <c r="P483" s="667"/>
      <c r="Q483" s="667"/>
    </row>
    <row r="484" ht="15.75" customHeight="1">
      <c r="B484" s="466"/>
      <c r="C484" s="667"/>
      <c r="D484" s="667"/>
      <c r="E484" s="668"/>
      <c r="F484" s="667"/>
      <c r="G484" s="667"/>
      <c r="H484" s="667"/>
      <c r="I484" s="667"/>
      <c r="J484" s="667"/>
      <c r="K484" s="667"/>
      <c r="L484" s="667"/>
      <c r="M484" s="667"/>
      <c r="N484" s="667"/>
      <c r="O484" s="667"/>
      <c r="P484" s="667"/>
      <c r="Q484" s="667"/>
    </row>
    <row r="485" ht="15.75" customHeight="1">
      <c r="B485" s="466"/>
      <c r="C485" s="667"/>
      <c r="D485" s="667"/>
      <c r="E485" s="668"/>
      <c r="F485" s="667"/>
      <c r="G485" s="667"/>
      <c r="H485" s="667"/>
      <c r="I485" s="667"/>
      <c r="J485" s="667"/>
      <c r="K485" s="667"/>
      <c r="L485" s="667"/>
      <c r="M485" s="667"/>
      <c r="N485" s="667"/>
      <c r="O485" s="667"/>
      <c r="P485" s="667"/>
      <c r="Q485" s="667"/>
    </row>
    <row r="486" ht="15.75" customHeight="1">
      <c r="B486" s="466"/>
      <c r="C486" s="667"/>
      <c r="D486" s="667"/>
      <c r="E486" s="668"/>
      <c r="F486" s="667"/>
      <c r="G486" s="667"/>
      <c r="H486" s="667"/>
      <c r="I486" s="667"/>
      <c r="J486" s="667"/>
      <c r="K486" s="667"/>
      <c r="L486" s="667"/>
      <c r="M486" s="667"/>
      <c r="N486" s="667"/>
      <c r="O486" s="667"/>
      <c r="P486" s="667"/>
      <c r="Q486" s="667"/>
    </row>
    <row r="487" ht="15.75" customHeight="1">
      <c r="B487" s="466"/>
      <c r="C487" s="667"/>
      <c r="D487" s="667"/>
      <c r="E487" s="668"/>
      <c r="F487" s="667"/>
      <c r="G487" s="667"/>
      <c r="H487" s="667"/>
      <c r="I487" s="667"/>
      <c r="J487" s="667"/>
      <c r="K487" s="667"/>
      <c r="L487" s="667"/>
      <c r="M487" s="667"/>
      <c r="N487" s="667"/>
      <c r="O487" s="667"/>
      <c r="P487" s="667"/>
      <c r="Q487" s="667"/>
    </row>
    <row r="488" ht="15.75" customHeight="1">
      <c r="B488" s="466"/>
      <c r="C488" s="667"/>
      <c r="D488" s="667"/>
      <c r="E488" s="668"/>
      <c r="F488" s="667"/>
      <c r="G488" s="667"/>
      <c r="H488" s="667"/>
      <c r="I488" s="667"/>
      <c r="J488" s="667"/>
      <c r="K488" s="667"/>
      <c r="L488" s="667"/>
      <c r="M488" s="667"/>
      <c r="N488" s="667"/>
      <c r="O488" s="667"/>
      <c r="P488" s="667"/>
      <c r="Q488" s="667"/>
    </row>
    <row r="489" ht="15.75" customHeight="1">
      <c r="B489" s="466"/>
      <c r="C489" s="667"/>
      <c r="D489" s="667"/>
      <c r="E489" s="668"/>
      <c r="F489" s="667"/>
      <c r="G489" s="667"/>
      <c r="H489" s="667"/>
      <c r="I489" s="667"/>
      <c r="J489" s="667"/>
      <c r="K489" s="667"/>
      <c r="L489" s="667"/>
      <c r="M489" s="667"/>
      <c r="N489" s="667"/>
      <c r="O489" s="667"/>
      <c r="P489" s="667"/>
      <c r="Q489" s="667"/>
    </row>
    <row r="490" ht="15.75" customHeight="1">
      <c r="B490" s="466"/>
      <c r="C490" s="667"/>
      <c r="D490" s="667"/>
      <c r="E490" s="668"/>
      <c r="F490" s="667"/>
      <c r="G490" s="667"/>
      <c r="H490" s="667"/>
      <c r="I490" s="667"/>
      <c r="J490" s="667"/>
      <c r="K490" s="667"/>
      <c r="L490" s="667"/>
      <c r="M490" s="667"/>
      <c r="N490" s="667"/>
      <c r="O490" s="667"/>
      <c r="P490" s="667"/>
      <c r="Q490" s="667"/>
    </row>
    <row r="491" ht="15.75" customHeight="1">
      <c r="B491" s="466"/>
      <c r="C491" s="667"/>
      <c r="D491" s="667"/>
      <c r="E491" s="668"/>
      <c r="F491" s="667"/>
      <c r="G491" s="667"/>
      <c r="H491" s="667"/>
      <c r="I491" s="667"/>
      <c r="J491" s="667"/>
      <c r="K491" s="667"/>
      <c r="L491" s="667"/>
      <c r="M491" s="667"/>
      <c r="N491" s="667"/>
      <c r="O491" s="667"/>
      <c r="P491" s="667"/>
      <c r="Q491" s="667"/>
    </row>
    <row r="492" ht="15.75" customHeight="1">
      <c r="B492" s="466"/>
      <c r="C492" s="667"/>
      <c r="D492" s="667"/>
      <c r="E492" s="668"/>
      <c r="F492" s="667"/>
      <c r="G492" s="667"/>
      <c r="H492" s="667"/>
      <c r="I492" s="667"/>
      <c r="J492" s="667"/>
      <c r="K492" s="667"/>
      <c r="L492" s="667"/>
      <c r="M492" s="667"/>
      <c r="N492" s="667"/>
      <c r="O492" s="667"/>
      <c r="P492" s="667"/>
      <c r="Q492" s="667"/>
    </row>
    <row r="493" ht="15.75" customHeight="1">
      <c r="B493" s="466"/>
      <c r="C493" s="667"/>
      <c r="D493" s="667"/>
      <c r="E493" s="668"/>
      <c r="F493" s="667"/>
      <c r="G493" s="667"/>
      <c r="H493" s="667"/>
      <c r="I493" s="667"/>
      <c r="J493" s="667"/>
      <c r="K493" s="667"/>
      <c r="L493" s="667"/>
      <c r="M493" s="667"/>
      <c r="N493" s="667"/>
      <c r="O493" s="667"/>
      <c r="P493" s="667"/>
      <c r="Q493" s="667"/>
    </row>
    <row r="494" ht="15.75" customHeight="1">
      <c r="B494" s="466"/>
      <c r="C494" s="667"/>
      <c r="D494" s="667"/>
      <c r="E494" s="668"/>
      <c r="F494" s="667"/>
      <c r="G494" s="667"/>
      <c r="H494" s="667"/>
      <c r="I494" s="667"/>
      <c r="J494" s="667"/>
      <c r="K494" s="667"/>
      <c r="L494" s="667"/>
      <c r="M494" s="667"/>
      <c r="N494" s="667"/>
      <c r="O494" s="667"/>
      <c r="P494" s="667"/>
      <c r="Q494" s="667"/>
    </row>
    <row r="495" ht="15.75" customHeight="1">
      <c r="B495" s="466"/>
      <c r="C495" s="667"/>
      <c r="D495" s="667"/>
      <c r="E495" s="668"/>
      <c r="F495" s="667"/>
      <c r="G495" s="667"/>
      <c r="H495" s="667"/>
      <c r="I495" s="667"/>
      <c r="J495" s="667"/>
      <c r="K495" s="667"/>
      <c r="L495" s="667"/>
      <c r="M495" s="667"/>
      <c r="N495" s="667"/>
      <c r="O495" s="667"/>
      <c r="P495" s="667"/>
      <c r="Q495" s="667"/>
    </row>
    <row r="496" ht="15.75" customHeight="1">
      <c r="B496" s="466"/>
      <c r="C496" s="667"/>
      <c r="D496" s="667"/>
      <c r="E496" s="668"/>
      <c r="F496" s="667"/>
      <c r="G496" s="667"/>
      <c r="H496" s="667"/>
      <c r="I496" s="667"/>
      <c r="J496" s="667"/>
      <c r="K496" s="667"/>
      <c r="L496" s="667"/>
      <c r="M496" s="667"/>
      <c r="N496" s="667"/>
      <c r="O496" s="667"/>
      <c r="P496" s="667"/>
      <c r="Q496" s="667"/>
    </row>
    <row r="497" ht="15.75" customHeight="1">
      <c r="B497" s="466"/>
      <c r="C497" s="667"/>
      <c r="D497" s="667"/>
      <c r="E497" s="668"/>
      <c r="F497" s="667"/>
      <c r="G497" s="667"/>
      <c r="H497" s="667"/>
      <c r="I497" s="667"/>
      <c r="J497" s="667"/>
      <c r="K497" s="667"/>
      <c r="L497" s="667"/>
      <c r="M497" s="667"/>
      <c r="N497" s="667"/>
      <c r="O497" s="667"/>
      <c r="P497" s="667"/>
      <c r="Q497" s="667"/>
    </row>
    <row r="498" ht="15.75" customHeight="1">
      <c r="B498" s="466"/>
      <c r="C498" s="667"/>
      <c r="D498" s="667"/>
      <c r="E498" s="668"/>
      <c r="F498" s="667"/>
      <c r="G498" s="667"/>
      <c r="H498" s="667"/>
      <c r="I498" s="667"/>
      <c r="J498" s="667"/>
      <c r="K498" s="667"/>
      <c r="L498" s="667"/>
      <c r="M498" s="667"/>
      <c r="N498" s="667"/>
      <c r="O498" s="667"/>
      <c r="P498" s="667"/>
      <c r="Q498" s="667"/>
    </row>
    <row r="499" ht="15.75" customHeight="1">
      <c r="B499" s="466"/>
      <c r="C499" s="667"/>
      <c r="D499" s="667"/>
      <c r="E499" s="668"/>
      <c r="F499" s="667"/>
      <c r="G499" s="667"/>
      <c r="H499" s="667"/>
      <c r="I499" s="667"/>
      <c r="J499" s="667"/>
      <c r="K499" s="667"/>
      <c r="L499" s="667"/>
      <c r="M499" s="667"/>
      <c r="N499" s="667"/>
      <c r="O499" s="667"/>
      <c r="P499" s="667"/>
      <c r="Q499" s="667"/>
    </row>
    <row r="500" ht="15.75" customHeight="1">
      <c r="B500" s="466"/>
      <c r="C500" s="667"/>
      <c r="D500" s="667"/>
      <c r="E500" s="668"/>
      <c r="F500" s="667"/>
      <c r="G500" s="667"/>
      <c r="H500" s="667"/>
      <c r="I500" s="667"/>
      <c r="J500" s="667"/>
      <c r="K500" s="667"/>
      <c r="L500" s="667"/>
      <c r="M500" s="667"/>
      <c r="N500" s="667"/>
      <c r="O500" s="667"/>
      <c r="P500" s="667"/>
      <c r="Q500" s="667"/>
    </row>
    <row r="501" ht="15.75" customHeight="1">
      <c r="B501" s="466"/>
      <c r="C501" s="667"/>
      <c r="D501" s="667"/>
      <c r="E501" s="668"/>
      <c r="F501" s="667"/>
      <c r="G501" s="667"/>
      <c r="H501" s="667"/>
      <c r="I501" s="667"/>
      <c r="J501" s="667"/>
      <c r="K501" s="667"/>
      <c r="L501" s="667"/>
      <c r="M501" s="667"/>
      <c r="N501" s="667"/>
      <c r="O501" s="667"/>
      <c r="P501" s="667"/>
      <c r="Q501" s="667"/>
    </row>
    <row r="502" ht="15.75" customHeight="1">
      <c r="B502" s="466"/>
      <c r="C502" s="667"/>
      <c r="D502" s="667"/>
      <c r="E502" s="668"/>
      <c r="F502" s="667"/>
      <c r="G502" s="667"/>
      <c r="H502" s="667"/>
      <c r="I502" s="667"/>
      <c r="J502" s="667"/>
      <c r="K502" s="667"/>
      <c r="L502" s="667"/>
      <c r="M502" s="667"/>
      <c r="N502" s="667"/>
      <c r="O502" s="667"/>
      <c r="P502" s="667"/>
      <c r="Q502" s="667"/>
    </row>
    <row r="503" ht="15.75" customHeight="1">
      <c r="B503" s="466"/>
      <c r="C503" s="667"/>
      <c r="D503" s="667"/>
      <c r="E503" s="668"/>
      <c r="F503" s="667"/>
      <c r="G503" s="667"/>
      <c r="H503" s="667"/>
      <c r="I503" s="667"/>
      <c r="J503" s="667"/>
      <c r="K503" s="667"/>
      <c r="L503" s="667"/>
      <c r="M503" s="667"/>
      <c r="N503" s="667"/>
      <c r="O503" s="667"/>
      <c r="P503" s="667"/>
      <c r="Q503" s="667"/>
    </row>
    <row r="504" ht="15.75" customHeight="1">
      <c r="B504" s="466"/>
      <c r="C504" s="667"/>
      <c r="D504" s="667"/>
      <c r="E504" s="668"/>
      <c r="F504" s="667"/>
      <c r="G504" s="667"/>
      <c r="H504" s="667"/>
      <c r="I504" s="667"/>
      <c r="J504" s="667"/>
      <c r="K504" s="667"/>
      <c r="L504" s="667"/>
      <c r="M504" s="667"/>
      <c r="N504" s="667"/>
      <c r="O504" s="667"/>
      <c r="P504" s="667"/>
      <c r="Q504" s="667"/>
    </row>
    <row r="505" ht="15.75" customHeight="1">
      <c r="B505" s="466"/>
      <c r="C505" s="667"/>
      <c r="D505" s="667"/>
      <c r="E505" s="668"/>
      <c r="F505" s="667"/>
      <c r="G505" s="667"/>
      <c r="H505" s="667"/>
      <c r="I505" s="667"/>
      <c r="J505" s="667"/>
      <c r="K505" s="667"/>
      <c r="L505" s="667"/>
      <c r="M505" s="667"/>
      <c r="N505" s="667"/>
      <c r="O505" s="667"/>
      <c r="P505" s="667"/>
      <c r="Q505" s="667"/>
    </row>
    <row r="506" ht="15.75" customHeight="1">
      <c r="B506" s="466"/>
      <c r="C506" s="667"/>
      <c r="D506" s="667"/>
      <c r="E506" s="668"/>
      <c r="F506" s="667"/>
      <c r="G506" s="667"/>
      <c r="H506" s="667"/>
      <c r="I506" s="667"/>
      <c r="J506" s="667"/>
      <c r="K506" s="667"/>
      <c r="L506" s="667"/>
      <c r="M506" s="667"/>
      <c r="N506" s="667"/>
      <c r="O506" s="667"/>
      <c r="P506" s="667"/>
      <c r="Q506" s="667"/>
    </row>
    <row r="507" ht="15.75" customHeight="1">
      <c r="B507" s="466"/>
      <c r="C507" s="667"/>
      <c r="D507" s="667"/>
      <c r="E507" s="668"/>
      <c r="F507" s="667"/>
      <c r="G507" s="667"/>
      <c r="H507" s="667"/>
      <c r="I507" s="667"/>
      <c r="J507" s="667"/>
      <c r="K507" s="667"/>
      <c r="L507" s="667"/>
      <c r="M507" s="667"/>
      <c r="N507" s="667"/>
      <c r="O507" s="667"/>
      <c r="P507" s="667"/>
      <c r="Q507" s="667"/>
    </row>
    <row r="508" ht="15.75" customHeight="1">
      <c r="B508" s="466"/>
      <c r="C508" s="667"/>
      <c r="D508" s="667"/>
      <c r="E508" s="668"/>
      <c r="F508" s="667"/>
      <c r="G508" s="667"/>
      <c r="H508" s="667"/>
      <c r="I508" s="667"/>
      <c r="J508" s="667"/>
      <c r="K508" s="667"/>
      <c r="L508" s="667"/>
      <c r="M508" s="667"/>
      <c r="N508" s="667"/>
      <c r="O508" s="667"/>
      <c r="P508" s="667"/>
      <c r="Q508" s="667"/>
    </row>
    <row r="509" ht="15.75" customHeight="1">
      <c r="B509" s="466"/>
      <c r="C509" s="667"/>
      <c r="D509" s="667"/>
      <c r="E509" s="668"/>
      <c r="F509" s="667"/>
      <c r="G509" s="667"/>
      <c r="H509" s="667"/>
      <c r="I509" s="667"/>
      <c r="J509" s="667"/>
      <c r="K509" s="667"/>
      <c r="L509" s="667"/>
      <c r="M509" s="667"/>
      <c r="N509" s="667"/>
      <c r="O509" s="667"/>
      <c r="P509" s="667"/>
      <c r="Q509" s="667"/>
    </row>
    <row r="510" ht="15.75" customHeight="1">
      <c r="B510" s="466"/>
      <c r="C510" s="667"/>
      <c r="D510" s="667"/>
      <c r="E510" s="668"/>
      <c r="F510" s="667"/>
      <c r="G510" s="667"/>
      <c r="H510" s="667"/>
      <c r="I510" s="667"/>
      <c r="J510" s="667"/>
      <c r="K510" s="667"/>
      <c r="L510" s="667"/>
      <c r="M510" s="667"/>
      <c r="N510" s="667"/>
      <c r="O510" s="667"/>
      <c r="P510" s="667"/>
      <c r="Q510" s="667"/>
    </row>
    <row r="511" ht="15.75" customHeight="1">
      <c r="B511" s="466"/>
      <c r="C511" s="667"/>
      <c r="D511" s="667"/>
      <c r="E511" s="668"/>
      <c r="F511" s="667"/>
      <c r="G511" s="667"/>
      <c r="H511" s="667"/>
      <c r="I511" s="667"/>
      <c r="J511" s="667"/>
      <c r="K511" s="667"/>
      <c r="L511" s="667"/>
      <c r="M511" s="667"/>
      <c r="N511" s="667"/>
      <c r="O511" s="667"/>
      <c r="P511" s="667"/>
      <c r="Q511" s="667"/>
    </row>
    <row r="512" ht="15.75" customHeight="1">
      <c r="B512" s="466"/>
      <c r="C512" s="667"/>
      <c r="D512" s="667"/>
      <c r="E512" s="668"/>
      <c r="F512" s="667"/>
      <c r="G512" s="667"/>
      <c r="H512" s="667"/>
      <c r="I512" s="667"/>
      <c r="J512" s="667"/>
      <c r="K512" s="667"/>
      <c r="L512" s="667"/>
      <c r="M512" s="667"/>
      <c r="N512" s="667"/>
      <c r="O512" s="667"/>
      <c r="P512" s="667"/>
      <c r="Q512" s="667"/>
    </row>
    <row r="513" ht="15.75" customHeight="1">
      <c r="B513" s="466"/>
      <c r="C513" s="667"/>
      <c r="D513" s="667"/>
      <c r="E513" s="668"/>
      <c r="F513" s="667"/>
      <c r="G513" s="667"/>
      <c r="H513" s="667"/>
      <c r="I513" s="667"/>
      <c r="J513" s="667"/>
      <c r="K513" s="667"/>
      <c r="L513" s="667"/>
      <c r="M513" s="667"/>
      <c r="N513" s="667"/>
      <c r="O513" s="667"/>
      <c r="P513" s="667"/>
      <c r="Q513" s="667"/>
    </row>
    <row r="514" ht="15.75" customHeight="1">
      <c r="B514" s="466"/>
      <c r="C514" s="667"/>
      <c r="D514" s="667"/>
      <c r="E514" s="668"/>
      <c r="F514" s="667"/>
      <c r="G514" s="667"/>
      <c r="H514" s="667"/>
      <c r="I514" s="667"/>
      <c r="J514" s="667"/>
      <c r="K514" s="667"/>
      <c r="L514" s="667"/>
      <c r="M514" s="667"/>
      <c r="N514" s="667"/>
      <c r="O514" s="667"/>
      <c r="P514" s="667"/>
      <c r="Q514" s="667"/>
    </row>
    <row r="515" ht="15.75" customHeight="1">
      <c r="B515" s="466"/>
      <c r="C515" s="667"/>
      <c r="D515" s="667"/>
      <c r="E515" s="668"/>
      <c r="F515" s="667"/>
      <c r="G515" s="667"/>
      <c r="H515" s="667"/>
      <c r="I515" s="667"/>
      <c r="J515" s="667"/>
      <c r="K515" s="667"/>
      <c r="L515" s="667"/>
      <c r="M515" s="667"/>
      <c r="N515" s="667"/>
      <c r="O515" s="667"/>
      <c r="P515" s="667"/>
      <c r="Q515" s="667"/>
    </row>
    <row r="516" ht="15.75" customHeight="1">
      <c r="B516" s="466"/>
      <c r="C516" s="667"/>
      <c r="D516" s="667"/>
      <c r="E516" s="668"/>
      <c r="F516" s="667"/>
      <c r="G516" s="667"/>
      <c r="H516" s="667"/>
      <c r="I516" s="667"/>
      <c r="J516" s="667"/>
      <c r="K516" s="667"/>
      <c r="L516" s="667"/>
      <c r="M516" s="667"/>
      <c r="N516" s="667"/>
      <c r="O516" s="667"/>
      <c r="P516" s="667"/>
      <c r="Q516" s="667"/>
    </row>
    <row r="517" ht="15.75" customHeight="1">
      <c r="B517" s="466"/>
      <c r="C517" s="667"/>
      <c r="D517" s="667"/>
      <c r="E517" s="668"/>
      <c r="F517" s="667"/>
      <c r="G517" s="667"/>
      <c r="H517" s="667"/>
      <c r="I517" s="667"/>
      <c r="J517" s="667"/>
      <c r="K517" s="667"/>
      <c r="L517" s="667"/>
      <c r="M517" s="667"/>
      <c r="N517" s="667"/>
      <c r="O517" s="667"/>
      <c r="P517" s="667"/>
      <c r="Q517" s="667"/>
    </row>
    <row r="518" ht="15.75" customHeight="1">
      <c r="B518" s="466"/>
      <c r="C518" s="667"/>
      <c r="D518" s="667"/>
      <c r="E518" s="668"/>
      <c r="F518" s="667"/>
      <c r="G518" s="667"/>
      <c r="H518" s="667"/>
      <c r="I518" s="667"/>
      <c r="J518" s="667"/>
      <c r="K518" s="667"/>
      <c r="L518" s="667"/>
      <c r="M518" s="667"/>
      <c r="N518" s="667"/>
      <c r="O518" s="667"/>
      <c r="P518" s="667"/>
      <c r="Q518" s="667"/>
    </row>
    <row r="519" ht="15.75" customHeight="1">
      <c r="B519" s="466"/>
      <c r="C519" s="667"/>
      <c r="D519" s="667"/>
      <c r="E519" s="668"/>
      <c r="F519" s="667"/>
      <c r="G519" s="667"/>
      <c r="H519" s="667"/>
      <c r="I519" s="667"/>
      <c r="J519" s="667"/>
      <c r="K519" s="667"/>
      <c r="L519" s="667"/>
      <c r="M519" s="667"/>
      <c r="N519" s="667"/>
      <c r="O519" s="667"/>
      <c r="P519" s="667"/>
      <c r="Q519" s="667"/>
    </row>
    <row r="520" ht="15.75" customHeight="1">
      <c r="B520" s="466"/>
      <c r="C520" s="667"/>
      <c r="D520" s="667"/>
      <c r="E520" s="668"/>
      <c r="F520" s="667"/>
      <c r="G520" s="667"/>
      <c r="H520" s="667"/>
      <c r="I520" s="667"/>
      <c r="J520" s="667"/>
      <c r="K520" s="667"/>
      <c r="L520" s="667"/>
      <c r="M520" s="667"/>
      <c r="N520" s="667"/>
      <c r="O520" s="667"/>
      <c r="P520" s="667"/>
      <c r="Q520" s="667"/>
    </row>
    <row r="521" ht="15.75" customHeight="1">
      <c r="B521" s="466"/>
      <c r="C521" s="667"/>
      <c r="D521" s="667"/>
      <c r="E521" s="668"/>
      <c r="F521" s="667"/>
      <c r="G521" s="667"/>
      <c r="H521" s="667"/>
      <c r="I521" s="667"/>
      <c r="J521" s="667"/>
      <c r="K521" s="667"/>
      <c r="L521" s="667"/>
      <c r="M521" s="667"/>
      <c r="N521" s="667"/>
      <c r="O521" s="667"/>
      <c r="P521" s="667"/>
      <c r="Q521" s="667"/>
    </row>
    <row r="522" ht="15.75" customHeight="1">
      <c r="B522" s="466"/>
      <c r="C522" s="667"/>
      <c r="D522" s="667"/>
      <c r="E522" s="668"/>
      <c r="F522" s="667"/>
      <c r="G522" s="667"/>
      <c r="H522" s="667"/>
      <c r="I522" s="667"/>
      <c r="J522" s="667"/>
      <c r="K522" s="667"/>
      <c r="L522" s="667"/>
      <c r="M522" s="667"/>
      <c r="N522" s="667"/>
      <c r="O522" s="667"/>
      <c r="P522" s="667"/>
      <c r="Q522" s="667"/>
    </row>
    <row r="523" ht="15.75" customHeight="1">
      <c r="B523" s="466"/>
      <c r="C523" s="667"/>
      <c r="D523" s="667"/>
      <c r="E523" s="668"/>
      <c r="F523" s="667"/>
      <c r="G523" s="667"/>
      <c r="H523" s="667"/>
      <c r="I523" s="667"/>
      <c r="J523" s="667"/>
      <c r="K523" s="667"/>
      <c r="L523" s="667"/>
      <c r="M523" s="667"/>
      <c r="N523" s="667"/>
      <c r="O523" s="667"/>
      <c r="P523" s="667"/>
      <c r="Q523" s="667"/>
    </row>
    <row r="524" ht="15.75" customHeight="1">
      <c r="B524" s="466"/>
      <c r="C524" s="667"/>
      <c r="D524" s="667"/>
      <c r="E524" s="668"/>
      <c r="F524" s="667"/>
      <c r="G524" s="667"/>
      <c r="H524" s="667"/>
      <c r="I524" s="667"/>
      <c r="J524" s="667"/>
      <c r="K524" s="667"/>
      <c r="L524" s="667"/>
      <c r="M524" s="667"/>
      <c r="N524" s="667"/>
      <c r="O524" s="667"/>
      <c r="P524" s="667"/>
      <c r="Q524" s="667"/>
    </row>
    <row r="525" ht="15.75" customHeight="1">
      <c r="B525" s="466"/>
      <c r="C525" s="667"/>
      <c r="D525" s="667"/>
      <c r="E525" s="668"/>
      <c r="F525" s="667"/>
      <c r="G525" s="667"/>
      <c r="H525" s="667"/>
      <c r="I525" s="667"/>
      <c r="J525" s="667"/>
      <c r="K525" s="667"/>
      <c r="L525" s="667"/>
      <c r="M525" s="667"/>
      <c r="N525" s="667"/>
      <c r="O525" s="667"/>
      <c r="P525" s="667"/>
      <c r="Q525" s="667"/>
    </row>
    <row r="526" ht="15.75" customHeight="1">
      <c r="B526" s="466"/>
      <c r="C526" s="667"/>
      <c r="D526" s="667"/>
      <c r="E526" s="668"/>
      <c r="F526" s="667"/>
      <c r="G526" s="667"/>
      <c r="H526" s="667"/>
      <c r="I526" s="667"/>
      <c r="J526" s="667"/>
      <c r="K526" s="667"/>
      <c r="L526" s="667"/>
      <c r="M526" s="667"/>
      <c r="N526" s="667"/>
      <c r="O526" s="667"/>
      <c r="P526" s="667"/>
      <c r="Q526" s="667"/>
    </row>
    <row r="527" ht="15.75" customHeight="1">
      <c r="B527" s="466"/>
      <c r="C527" s="667"/>
      <c r="D527" s="667"/>
      <c r="E527" s="668"/>
      <c r="F527" s="667"/>
      <c r="G527" s="667"/>
      <c r="H527" s="667"/>
      <c r="I527" s="667"/>
      <c r="J527" s="667"/>
      <c r="K527" s="667"/>
      <c r="L527" s="667"/>
      <c r="M527" s="667"/>
      <c r="N527" s="667"/>
      <c r="O527" s="667"/>
      <c r="P527" s="667"/>
      <c r="Q527" s="667"/>
    </row>
    <row r="528" ht="15.75" customHeight="1">
      <c r="B528" s="466"/>
      <c r="C528" s="667"/>
      <c r="D528" s="667"/>
      <c r="E528" s="668"/>
      <c r="F528" s="667"/>
      <c r="G528" s="667"/>
      <c r="H528" s="667"/>
      <c r="I528" s="667"/>
      <c r="J528" s="667"/>
      <c r="K528" s="667"/>
      <c r="L528" s="667"/>
      <c r="M528" s="667"/>
      <c r="N528" s="667"/>
      <c r="O528" s="667"/>
      <c r="P528" s="667"/>
      <c r="Q528" s="667"/>
    </row>
    <row r="529" ht="15.75" customHeight="1">
      <c r="B529" s="466"/>
      <c r="C529" s="667"/>
      <c r="D529" s="667"/>
      <c r="E529" s="668"/>
      <c r="F529" s="667"/>
      <c r="G529" s="667"/>
      <c r="H529" s="667"/>
      <c r="I529" s="667"/>
      <c r="J529" s="667"/>
      <c r="K529" s="667"/>
      <c r="L529" s="667"/>
      <c r="M529" s="667"/>
      <c r="N529" s="667"/>
      <c r="O529" s="667"/>
      <c r="P529" s="667"/>
      <c r="Q529" s="667"/>
    </row>
    <row r="530" ht="15.75" customHeight="1">
      <c r="B530" s="466"/>
      <c r="C530" s="667"/>
      <c r="D530" s="667"/>
      <c r="E530" s="668"/>
      <c r="F530" s="667"/>
      <c r="G530" s="667"/>
      <c r="H530" s="667"/>
      <c r="I530" s="667"/>
      <c r="J530" s="667"/>
      <c r="K530" s="667"/>
      <c r="L530" s="667"/>
      <c r="M530" s="667"/>
      <c r="N530" s="667"/>
      <c r="O530" s="667"/>
      <c r="P530" s="667"/>
      <c r="Q530" s="667"/>
    </row>
    <row r="531" ht="15.75" customHeight="1">
      <c r="B531" s="466"/>
      <c r="C531" s="667"/>
      <c r="D531" s="667"/>
      <c r="E531" s="668"/>
      <c r="F531" s="667"/>
      <c r="G531" s="667"/>
      <c r="H531" s="667"/>
      <c r="I531" s="667"/>
      <c r="J531" s="667"/>
      <c r="K531" s="667"/>
      <c r="L531" s="667"/>
      <c r="M531" s="667"/>
      <c r="N531" s="667"/>
      <c r="O531" s="667"/>
      <c r="P531" s="667"/>
      <c r="Q531" s="667"/>
    </row>
    <row r="532" ht="15.75" customHeight="1">
      <c r="B532" s="466"/>
      <c r="C532" s="667"/>
      <c r="D532" s="667"/>
      <c r="E532" s="668"/>
      <c r="F532" s="667"/>
      <c r="G532" s="667"/>
      <c r="H532" s="667"/>
      <c r="I532" s="667"/>
      <c r="J532" s="667"/>
      <c r="K532" s="667"/>
      <c r="L532" s="667"/>
      <c r="M532" s="667"/>
      <c r="N532" s="667"/>
      <c r="O532" s="667"/>
      <c r="P532" s="667"/>
      <c r="Q532" s="667"/>
    </row>
    <row r="533" ht="15.75" customHeight="1">
      <c r="B533" s="466"/>
      <c r="C533" s="667"/>
      <c r="D533" s="667"/>
      <c r="E533" s="668"/>
      <c r="F533" s="667"/>
      <c r="G533" s="667"/>
      <c r="H533" s="667"/>
      <c r="I533" s="667"/>
      <c r="J533" s="667"/>
      <c r="K533" s="667"/>
      <c r="L533" s="667"/>
      <c r="M533" s="667"/>
      <c r="N533" s="667"/>
      <c r="O533" s="667"/>
      <c r="P533" s="667"/>
      <c r="Q533" s="667"/>
    </row>
    <row r="534" ht="15.75" customHeight="1">
      <c r="B534" s="466"/>
      <c r="C534" s="667"/>
      <c r="D534" s="667"/>
      <c r="E534" s="668"/>
      <c r="F534" s="667"/>
      <c r="G534" s="667"/>
      <c r="H534" s="667"/>
      <c r="I534" s="667"/>
      <c r="J534" s="667"/>
      <c r="K534" s="667"/>
      <c r="L534" s="667"/>
      <c r="M534" s="667"/>
      <c r="N534" s="667"/>
      <c r="O534" s="667"/>
      <c r="P534" s="667"/>
      <c r="Q534" s="667"/>
    </row>
    <row r="535" ht="15.75" customHeight="1">
      <c r="B535" s="466"/>
      <c r="C535" s="667"/>
      <c r="D535" s="667"/>
      <c r="E535" s="668"/>
      <c r="F535" s="667"/>
      <c r="G535" s="667"/>
      <c r="H535" s="667"/>
      <c r="I535" s="667"/>
      <c r="J535" s="667"/>
      <c r="K535" s="667"/>
      <c r="L535" s="667"/>
      <c r="M535" s="667"/>
      <c r="N535" s="667"/>
      <c r="O535" s="667"/>
      <c r="P535" s="667"/>
      <c r="Q535" s="667"/>
    </row>
    <row r="536" ht="15.75" customHeight="1">
      <c r="B536" s="466"/>
      <c r="C536" s="667"/>
      <c r="D536" s="667"/>
      <c r="E536" s="668"/>
      <c r="F536" s="667"/>
      <c r="G536" s="667"/>
      <c r="H536" s="667"/>
      <c r="I536" s="667"/>
      <c r="J536" s="667"/>
      <c r="K536" s="667"/>
      <c r="L536" s="667"/>
      <c r="M536" s="667"/>
      <c r="N536" s="667"/>
      <c r="O536" s="667"/>
      <c r="P536" s="667"/>
      <c r="Q536" s="667"/>
    </row>
    <row r="537" ht="15.75" customHeight="1">
      <c r="B537" s="466"/>
      <c r="C537" s="667"/>
      <c r="D537" s="667"/>
      <c r="E537" s="668"/>
      <c r="F537" s="667"/>
      <c r="G537" s="667"/>
      <c r="H537" s="667"/>
      <c r="I537" s="667"/>
      <c r="J537" s="667"/>
      <c r="K537" s="667"/>
      <c r="L537" s="667"/>
      <c r="M537" s="667"/>
      <c r="N537" s="667"/>
      <c r="O537" s="667"/>
      <c r="P537" s="667"/>
      <c r="Q537" s="667"/>
    </row>
    <row r="538" ht="15.75" customHeight="1">
      <c r="B538" s="466"/>
      <c r="C538" s="667"/>
      <c r="D538" s="667"/>
      <c r="E538" s="668"/>
      <c r="F538" s="667"/>
      <c r="G538" s="667"/>
      <c r="H538" s="667"/>
      <c r="I538" s="667"/>
      <c r="J538" s="667"/>
      <c r="K538" s="667"/>
      <c r="L538" s="667"/>
      <c r="M538" s="667"/>
      <c r="N538" s="667"/>
      <c r="O538" s="667"/>
      <c r="P538" s="667"/>
      <c r="Q538" s="667"/>
    </row>
    <row r="539" ht="15.75" customHeight="1">
      <c r="B539" s="466"/>
      <c r="C539" s="667"/>
      <c r="D539" s="667"/>
      <c r="E539" s="668"/>
      <c r="F539" s="667"/>
      <c r="G539" s="667"/>
      <c r="H539" s="667"/>
      <c r="I539" s="667"/>
      <c r="J539" s="667"/>
      <c r="K539" s="667"/>
      <c r="L539" s="667"/>
      <c r="M539" s="667"/>
      <c r="N539" s="667"/>
      <c r="O539" s="667"/>
      <c r="P539" s="667"/>
      <c r="Q539" s="667"/>
    </row>
    <row r="540" ht="15.75" customHeight="1">
      <c r="B540" s="466"/>
      <c r="C540" s="667"/>
      <c r="D540" s="667"/>
      <c r="E540" s="668"/>
      <c r="F540" s="667"/>
      <c r="G540" s="667"/>
      <c r="H540" s="667"/>
      <c r="I540" s="667"/>
      <c r="J540" s="667"/>
      <c r="K540" s="667"/>
      <c r="L540" s="667"/>
      <c r="M540" s="667"/>
      <c r="N540" s="667"/>
      <c r="O540" s="667"/>
      <c r="P540" s="667"/>
      <c r="Q540" s="667"/>
    </row>
    <row r="541" ht="15.75" customHeight="1">
      <c r="B541" s="466"/>
      <c r="C541" s="667"/>
      <c r="D541" s="667"/>
      <c r="E541" s="668"/>
      <c r="F541" s="667"/>
      <c r="G541" s="667"/>
      <c r="H541" s="667"/>
      <c r="I541" s="667"/>
      <c r="J541" s="667"/>
      <c r="K541" s="667"/>
      <c r="L541" s="667"/>
      <c r="M541" s="667"/>
      <c r="N541" s="667"/>
      <c r="O541" s="667"/>
      <c r="P541" s="667"/>
      <c r="Q541" s="667"/>
    </row>
    <row r="542" ht="15.75" customHeight="1">
      <c r="B542" s="466"/>
      <c r="C542" s="667"/>
      <c r="D542" s="667"/>
      <c r="E542" s="668"/>
      <c r="F542" s="667"/>
      <c r="G542" s="667"/>
      <c r="H542" s="667"/>
      <c r="I542" s="667"/>
      <c r="J542" s="667"/>
      <c r="K542" s="667"/>
      <c r="L542" s="667"/>
      <c r="M542" s="667"/>
      <c r="N542" s="667"/>
      <c r="O542" s="667"/>
      <c r="P542" s="667"/>
      <c r="Q542" s="667"/>
    </row>
    <row r="543" ht="15.75" customHeight="1">
      <c r="B543" s="466"/>
      <c r="C543" s="667"/>
      <c r="D543" s="667"/>
      <c r="E543" s="668"/>
      <c r="F543" s="667"/>
      <c r="G543" s="667"/>
      <c r="H543" s="667"/>
      <c r="I543" s="667"/>
      <c r="J543" s="667"/>
      <c r="K543" s="667"/>
      <c r="L543" s="667"/>
      <c r="M543" s="667"/>
      <c r="N543" s="667"/>
      <c r="O543" s="667"/>
      <c r="P543" s="667"/>
      <c r="Q543" s="667"/>
    </row>
    <row r="544" ht="15.75" customHeight="1">
      <c r="B544" s="466"/>
      <c r="C544" s="667"/>
      <c r="D544" s="667"/>
      <c r="E544" s="668"/>
      <c r="F544" s="667"/>
      <c r="G544" s="667"/>
      <c r="H544" s="667"/>
      <c r="I544" s="667"/>
      <c r="J544" s="667"/>
      <c r="K544" s="667"/>
      <c r="L544" s="667"/>
      <c r="M544" s="667"/>
      <c r="N544" s="667"/>
      <c r="O544" s="667"/>
      <c r="P544" s="667"/>
      <c r="Q544" s="667"/>
    </row>
    <row r="545" ht="15.75" customHeight="1">
      <c r="B545" s="466"/>
      <c r="C545" s="667"/>
      <c r="D545" s="667"/>
      <c r="E545" s="668"/>
      <c r="F545" s="667"/>
      <c r="G545" s="667"/>
      <c r="H545" s="667"/>
      <c r="I545" s="667"/>
      <c r="J545" s="667"/>
      <c r="K545" s="667"/>
      <c r="L545" s="667"/>
      <c r="M545" s="667"/>
      <c r="N545" s="667"/>
      <c r="O545" s="667"/>
      <c r="P545" s="667"/>
      <c r="Q545" s="667"/>
    </row>
    <row r="546" ht="15.75" customHeight="1">
      <c r="B546" s="466"/>
      <c r="C546" s="667"/>
      <c r="D546" s="667"/>
      <c r="E546" s="668"/>
      <c r="F546" s="667"/>
      <c r="G546" s="667"/>
      <c r="H546" s="667"/>
      <c r="I546" s="667"/>
      <c r="J546" s="667"/>
      <c r="K546" s="667"/>
      <c r="L546" s="667"/>
      <c r="M546" s="667"/>
      <c r="N546" s="667"/>
      <c r="O546" s="667"/>
      <c r="P546" s="667"/>
      <c r="Q546" s="667"/>
    </row>
    <row r="547" ht="15.75" customHeight="1">
      <c r="B547" s="466"/>
      <c r="C547" s="667"/>
      <c r="D547" s="667"/>
      <c r="E547" s="668"/>
      <c r="F547" s="667"/>
      <c r="G547" s="667"/>
      <c r="H547" s="667"/>
      <c r="I547" s="667"/>
      <c r="J547" s="667"/>
      <c r="K547" s="667"/>
      <c r="L547" s="667"/>
      <c r="M547" s="667"/>
      <c r="N547" s="667"/>
      <c r="O547" s="667"/>
      <c r="P547" s="667"/>
      <c r="Q547" s="667"/>
    </row>
    <row r="548" ht="15.75" customHeight="1">
      <c r="B548" s="466"/>
      <c r="C548" s="667"/>
      <c r="D548" s="667"/>
      <c r="E548" s="668"/>
      <c r="F548" s="667"/>
      <c r="G548" s="667"/>
      <c r="H548" s="667"/>
      <c r="I548" s="667"/>
      <c r="J548" s="667"/>
      <c r="K548" s="667"/>
      <c r="L548" s="667"/>
      <c r="M548" s="667"/>
      <c r="N548" s="667"/>
      <c r="O548" s="667"/>
      <c r="P548" s="667"/>
      <c r="Q548" s="667"/>
    </row>
    <row r="549" ht="15.75" customHeight="1">
      <c r="B549" s="466"/>
      <c r="C549" s="667"/>
      <c r="D549" s="667"/>
      <c r="E549" s="668"/>
      <c r="F549" s="667"/>
      <c r="G549" s="667"/>
      <c r="H549" s="667"/>
      <c r="I549" s="667"/>
      <c r="J549" s="667"/>
      <c r="K549" s="667"/>
      <c r="L549" s="667"/>
      <c r="M549" s="667"/>
      <c r="N549" s="667"/>
      <c r="O549" s="667"/>
      <c r="P549" s="667"/>
      <c r="Q549" s="667"/>
    </row>
    <row r="550" ht="15.75" customHeight="1">
      <c r="B550" s="466"/>
      <c r="C550" s="667"/>
      <c r="D550" s="667"/>
      <c r="E550" s="668"/>
      <c r="F550" s="667"/>
      <c r="G550" s="667"/>
      <c r="H550" s="667"/>
      <c r="I550" s="667"/>
      <c r="J550" s="667"/>
      <c r="K550" s="667"/>
      <c r="L550" s="667"/>
      <c r="M550" s="667"/>
      <c r="N550" s="667"/>
      <c r="O550" s="667"/>
      <c r="P550" s="667"/>
      <c r="Q550" s="667"/>
    </row>
    <row r="551" ht="15.75" customHeight="1">
      <c r="B551" s="466"/>
      <c r="C551" s="667"/>
      <c r="D551" s="667"/>
      <c r="E551" s="668"/>
      <c r="F551" s="667"/>
      <c r="G551" s="667"/>
      <c r="H551" s="667"/>
      <c r="I551" s="667"/>
      <c r="J551" s="667"/>
      <c r="K551" s="667"/>
      <c r="L551" s="667"/>
      <c r="M551" s="667"/>
      <c r="N551" s="667"/>
      <c r="O551" s="667"/>
      <c r="P551" s="667"/>
      <c r="Q551" s="667"/>
    </row>
    <row r="552" ht="15.75" customHeight="1">
      <c r="B552" s="466"/>
      <c r="C552" s="667"/>
      <c r="D552" s="667"/>
      <c r="E552" s="668"/>
      <c r="F552" s="667"/>
      <c r="G552" s="667"/>
      <c r="H552" s="667"/>
      <c r="I552" s="667"/>
      <c r="J552" s="667"/>
      <c r="K552" s="667"/>
      <c r="L552" s="667"/>
      <c r="M552" s="667"/>
      <c r="N552" s="667"/>
      <c r="O552" s="667"/>
      <c r="P552" s="667"/>
      <c r="Q552" s="667"/>
    </row>
    <row r="553" ht="15.75" customHeight="1">
      <c r="B553" s="466"/>
      <c r="C553" s="667"/>
      <c r="D553" s="667"/>
      <c r="E553" s="668"/>
      <c r="F553" s="667"/>
      <c r="G553" s="667"/>
      <c r="H553" s="667"/>
      <c r="I553" s="667"/>
      <c r="J553" s="667"/>
      <c r="K553" s="667"/>
      <c r="L553" s="667"/>
      <c r="M553" s="667"/>
      <c r="N553" s="667"/>
      <c r="O553" s="667"/>
      <c r="P553" s="667"/>
      <c r="Q553" s="667"/>
    </row>
    <row r="554" ht="15.75" customHeight="1">
      <c r="B554" s="466"/>
      <c r="C554" s="667"/>
      <c r="D554" s="667"/>
      <c r="E554" s="668"/>
      <c r="F554" s="667"/>
      <c r="G554" s="667"/>
      <c r="H554" s="667"/>
      <c r="I554" s="667"/>
      <c r="J554" s="667"/>
      <c r="K554" s="667"/>
      <c r="L554" s="667"/>
      <c r="M554" s="667"/>
      <c r="N554" s="667"/>
      <c r="O554" s="667"/>
      <c r="P554" s="667"/>
      <c r="Q554" s="667"/>
    </row>
    <row r="555" ht="15.75" customHeight="1">
      <c r="B555" s="466"/>
      <c r="C555" s="667"/>
      <c r="D555" s="667"/>
      <c r="E555" s="668"/>
      <c r="F555" s="667"/>
      <c r="G555" s="667"/>
      <c r="H555" s="667"/>
      <c r="I555" s="667"/>
      <c r="J555" s="667"/>
      <c r="K555" s="667"/>
      <c r="L555" s="667"/>
      <c r="M555" s="667"/>
      <c r="N555" s="667"/>
      <c r="O555" s="667"/>
      <c r="P555" s="667"/>
      <c r="Q555" s="667"/>
    </row>
    <row r="556" ht="15.75" customHeight="1">
      <c r="B556" s="466"/>
      <c r="C556" s="667"/>
      <c r="D556" s="667"/>
      <c r="E556" s="668"/>
      <c r="F556" s="667"/>
      <c r="G556" s="667"/>
      <c r="H556" s="667"/>
      <c r="I556" s="667"/>
      <c r="J556" s="667"/>
      <c r="K556" s="667"/>
      <c r="L556" s="667"/>
      <c r="M556" s="667"/>
      <c r="N556" s="667"/>
      <c r="O556" s="667"/>
      <c r="P556" s="667"/>
      <c r="Q556" s="667"/>
    </row>
    <row r="557" ht="15.75" customHeight="1">
      <c r="B557" s="466"/>
      <c r="C557" s="667"/>
      <c r="D557" s="667"/>
      <c r="E557" s="668"/>
      <c r="F557" s="667"/>
      <c r="G557" s="667"/>
      <c r="H557" s="667"/>
      <c r="I557" s="667"/>
      <c r="J557" s="667"/>
      <c r="K557" s="667"/>
      <c r="L557" s="667"/>
      <c r="M557" s="667"/>
      <c r="N557" s="667"/>
      <c r="O557" s="667"/>
      <c r="P557" s="667"/>
      <c r="Q557" s="667"/>
    </row>
    <row r="558" ht="15.75" customHeight="1">
      <c r="B558" s="466"/>
      <c r="C558" s="667"/>
      <c r="D558" s="667"/>
      <c r="E558" s="668"/>
      <c r="F558" s="667"/>
      <c r="G558" s="667"/>
      <c r="H558" s="667"/>
      <c r="I558" s="667"/>
      <c r="J558" s="667"/>
      <c r="K558" s="667"/>
      <c r="L558" s="667"/>
      <c r="M558" s="667"/>
      <c r="N558" s="667"/>
      <c r="O558" s="667"/>
      <c r="P558" s="667"/>
      <c r="Q558" s="667"/>
    </row>
    <row r="559" ht="15.75" customHeight="1">
      <c r="B559" s="466"/>
      <c r="C559" s="667"/>
      <c r="D559" s="667"/>
      <c r="E559" s="668"/>
      <c r="F559" s="667"/>
      <c r="G559" s="667"/>
      <c r="H559" s="667"/>
      <c r="I559" s="667"/>
      <c r="J559" s="667"/>
      <c r="K559" s="667"/>
      <c r="L559" s="667"/>
      <c r="M559" s="667"/>
      <c r="N559" s="667"/>
      <c r="O559" s="667"/>
      <c r="P559" s="667"/>
      <c r="Q559" s="667"/>
    </row>
    <row r="560" ht="15.75" customHeight="1">
      <c r="B560" s="466"/>
      <c r="C560" s="667"/>
      <c r="D560" s="667"/>
      <c r="E560" s="668"/>
      <c r="F560" s="667"/>
      <c r="G560" s="667"/>
      <c r="H560" s="667"/>
      <c r="I560" s="667"/>
      <c r="J560" s="667"/>
      <c r="K560" s="667"/>
      <c r="L560" s="667"/>
      <c r="M560" s="667"/>
      <c r="N560" s="667"/>
      <c r="O560" s="667"/>
      <c r="P560" s="667"/>
      <c r="Q560" s="667"/>
    </row>
    <row r="561" ht="15.75" customHeight="1">
      <c r="B561" s="466"/>
      <c r="C561" s="667"/>
      <c r="D561" s="667"/>
      <c r="E561" s="668"/>
      <c r="F561" s="667"/>
      <c r="G561" s="667"/>
      <c r="H561" s="667"/>
      <c r="I561" s="667"/>
      <c r="J561" s="667"/>
      <c r="K561" s="667"/>
      <c r="L561" s="667"/>
      <c r="M561" s="667"/>
      <c r="N561" s="667"/>
      <c r="O561" s="667"/>
      <c r="P561" s="667"/>
      <c r="Q561" s="667"/>
    </row>
    <row r="562" ht="15.75" customHeight="1">
      <c r="B562" s="466"/>
      <c r="C562" s="667"/>
      <c r="D562" s="667"/>
      <c r="E562" s="668"/>
      <c r="F562" s="667"/>
      <c r="G562" s="667"/>
      <c r="H562" s="667"/>
      <c r="I562" s="667"/>
      <c r="J562" s="667"/>
      <c r="K562" s="667"/>
      <c r="L562" s="667"/>
      <c r="M562" s="667"/>
      <c r="N562" s="667"/>
      <c r="O562" s="667"/>
      <c r="P562" s="667"/>
      <c r="Q562" s="667"/>
    </row>
    <row r="563" ht="15.75" customHeight="1">
      <c r="B563" s="466"/>
      <c r="C563" s="667"/>
      <c r="D563" s="667"/>
      <c r="E563" s="668"/>
      <c r="F563" s="667"/>
      <c r="G563" s="667"/>
      <c r="H563" s="667"/>
      <c r="I563" s="667"/>
      <c r="J563" s="667"/>
      <c r="K563" s="667"/>
      <c r="L563" s="667"/>
      <c r="M563" s="667"/>
      <c r="N563" s="667"/>
      <c r="O563" s="667"/>
      <c r="P563" s="667"/>
      <c r="Q563" s="667"/>
    </row>
    <row r="564" ht="15.75" customHeight="1">
      <c r="B564" s="466"/>
      <c r="C564" s="667"/>
      <c r="D564" s="667"/>
      <c r="E564" s="668"/>
      <c r="F564" s="667"/>
      <c r="G564" s="667"/>
      <c r="H564" s="667"/>
      <c r="I564" s="667"/>
      <c r="J564" s="667"/>
      <c r="K564" s="667"/>
      <c r="L564" s="667"/>
      <c r="M564" s="667"/>
      <c r="N564" s="667"/>
      <c r="O564" s="667"/>
      <c r="P564" s="667"/>
      <c r="Q564" s="667"/>
    </row>
    <row r="565" ht="15.75" customHeight="1">
      <c r="B565" s="466"/>
      <c r="C565" s="667"/>
      <c r="D565" s="667"/>
      <c r="E565" s="668"/>
      <c r="F565" s="667"/>
      <c r="G565" s="667"/>
      <c r="H565" s="667"/>
      <c r="I565" s="667"/>
      <c r="J565" s="667"/>
      <c r="K565" s="667"/>
      <c r="L565" s="667"/>
      <c r="M565" s="667"/>
      <c r="N565" s="667"/>
      <c r="O565" s="667"/>
      <c r="P565" s="667"/>
      <c r="Q565" s="667"/>
    </row>
    <row r="566" ht="15.75" customHeight="1">
      <c r="B566" s="466"/>
      <c r="C566" s="667"/>
      <c r="D566" s="667"/>
      <c r="E566" s="668"/>
      <c r="F566" s="667"/>
      <c r="G566" s="667"/>
      <c r="H566" s="667"/>
      <c r="I566" s="667"/>
      <c r="J566" s="667"/>
      <c r="K566" s="667"/>
      <c r="L566" s="667"/>
      <c r="M566" s="667"/>
      <c r="N566" s="667"/>
      <c r="O566" s="667"/>
      <c r="P566" s="667"/>
      <c r="Q566" s="667"/>
    </row>
    <row r="567" ht="15.75" customHeight="1">
      <c r="B567" s="466"/>
      <c r="C567" s="667"/>
      <c r="D567" s="667"/>
      <c r="E567" s="668"/>
      <c r="F567" s="667"/>
      <c r="G567" s="667"/>
      <c r="H567" s="667"/>
      <c r="I567" s="667"/>
      <c r="J567" s="667"/>
      <c r="K567" s="667"/>
      <c r="L567" s="667"/>
      <c r="M567" s="667"/>
      <c r="N567" s="667"/>
      <c r="O567" s="667"/>
      <c r="P567" s="667"/>
      <c r="Q567" s="667"/>
    </row>
    <row r="568" ht="15.75" customHeight="1">
      <c r="B568" s="466"/>
      <c r="C568" s="667"/>
      <c r="D568" s="667"/>
      <c r="E568" s="668"/>
      <c r="F568" s="667"/>
      <c r="G568" s="667"/>
      <c r="H568" s="667"/>
      <c r="I568" s="667"/>
      <c r="J568" s="667"/>
      <c r="K568" s="667"/>
      <c r="L568" s="667"/>
      <c r="M568" s="667"/>
      <c r="N568" s="667"/>
      <c r="O568" s="667"/>
      <c r="P568" s="667"/>
      <c r="Q568" s="667"/>
    </row>
    <row r="569" ht="15.75" customHeight="1">
      <c r="B569" s="466"/>
      <c r="C569" s="667"/>
      <c r="D569" s="667"/>
      <c r="E569" s="668"/>
      <c r="F569" s="667"/>
      <c r="G569" s="667"/>
      <c r="H569" s="667"/>
      <c r="I569" s="667"/>
      <c r="J569" s="667"/>
      <c r="K569" s="667"/>
      <c r="L569" s="667"/>
      <c r="M569" s="667"/>
      <c r="N569" s="667"/>
      <c r="O569" s="667"/>
      <c r="P569" s="667"/>
      <c r="Q569" s="667"/>
    </row>
    <row r="570" ht="15.75" customHeight="1">
      <c r="B570" s="466"/>
      <c r="C570" s="667"/>
      <c r="D570" s="667"/>
      <c r="E570" s="668"/>
      <c r="F570" s="667"/>
      <c r="G570" s="667"/>
      <c r="H570" s="667"/>
      <c r="I570" s="667"/>
      <c r="J570" s="667"/>
      <c r="K570" s="667"/>
      <c r="L570" s="667"/>
      <c r="M570" s="667"/>
      <c r="N570" s="667"/>
      <c r="O570" s="667"/>
      <c r="P570" s="667"/>
      <c r="Q570" s="667"/>
    </row>
    <row r="571" ht="15.75" customHeight="1">
      <c r="B571" s="466"/>
      <c r="C571" s="667"/>
      <c r="D571" s="667"/>
      <c r="E571" s="668"/>
      <c r="F571" s="667"/>
      <c r="G571" s="667"/>
      <c r="H571" s="667"/>
      <c r="I571" s="667"/>
      <c r="J571" s="667"/>
      <c r="K571" s="667"/>
      <c r="L571" s="667"/>
      <c r="M571" s="667"/>
      <c r="N571" s="667"/>
      <c r="O571" s="667"/>
      <c r="P571" s="667"/>
      <c r="Q571" s="667"/>
    </row>
    <row r="572" ht="15.75" customHeight="1">
      <c r="B572" s="466"/>
      <c r="C572" s="667"/>
      <c r="D572" s="667"/>
      <c r="E572" s="668"/>
      <c r="F572" s="667"/>
      <c r="G572" s="667"/>
      <c r="H572" s="667"/>
      <c r="I572" s="667"/>
      <c r="J572" s="667"/>
      <c r="K572" s="667"/>
      <c r="L572" s="667"/>
      <c r="M572" s="667"/>
      <c r="N572" s="667"/>
      <c r="O572" s="667"/>
      <c r="P572" s="667"/>
      <c r="Q572" s="667"/>
    </row>
    <row r="573" ht="15.75" customHeight="1">
      <c r="B573" s="466"/>
      <c r="C573" s="667"/>
      <c r="D573" s="667"/>
      <c r="E573" s="668"/>
      <c r="F573" s="667"/>
      <c r="G573" s="667"/>
      <c r="H573" s="667"/>
      <c r="I573" s="667"/>
      <c r="J573" s="667"/>
      <c r="K573" s="667"/>
      <c r="L573" s="667"/>
      <c r="M573" s="667"/>
      <c r="N573" s="667"/>
      <c r="O573" s="667"/>
      <c r="P573" s="667"/>
      <c r="Q573" s="667"/>
    </row>
    <row r="574" ht="15.75" customHeight="1">
      <c r="B574" s="466"/>
      <c r="C574" s="667"/>
      <c r="D574" s="667"/>
      <c r="E574" s="668"/>
      <c r="F574" s="667"/>
      <c r="G574" s="667"/>
      <c r="H574" s="667"/>
      <c r="I574" s="667"/>
      <c r="J574" s="667"/>
      <c r="K574" s="667"/>
      <c r="L574" s="667"/>
      <c r="M574" s="667"/>
      <c r="N574" s="667"/>
      <c r="O574" s="667"/>
      <c r="P574" s="667"/>
      <c r="Q574" s="667"/>
    </row>
    <row r="575" ht="15.75" customHeight="1">
      <c r="B575" s="466"/>
      <c r="C575" s="667"/>
      <c r="D575" s="667"/>
      <c r="E575" s="668"/>
      <c r="F575" s="667"/>
      <c r="G575" s="667"/>
      <c r="H575" s="667"/>
      <c r="I575" s="667"/>
      <c r="J575" s="667"/>
      <c r="K575" s="667"/>
      <c r="L575" s="667"/>
      <c r="M575" s="667"/>
      <c r="N575" s="667"/>
      <c r="O575" s="667"/>
      <c r="P575" s="667"/>
      <c r="Q575" s="667"/>
    </row>
    <row r="576" ht="15.75" customHeight="1">
      <c r="B576" s="466"/>
      <c r="C576" s="667"/>
      <c r="D576" s="667"/>
      <c r="E576" s="668"/>
      <c r="F576" s="667"/>
      <c r="G576" s="667"/>
      <c r="H576" s="667"/>
      <c r="I576" s="667"/>
      <c r="J576" s="667"/>
      <c r="K576" s="667"/>
      <c r="L576" s="667"/>
      <c r="M576" s="667"/>
      <c r="N576" s="667"/>
      <c r="O576" s="667"/>
      <c r="P576" s="667"/>
      <c r="Q576" s="667"/>
    </row>
    <row r="577" ht="15.75" customHeight="1">
      <c r="B577" s="466"/>
      <c r="C577" s="667"/>
      <c r="D577" s="667"/>
      <c r="E577" s="668"/>
      <c r="F577" s="667"/>
      <c r="G577" s="667"/>
      <c r="H577" s="667"/>
      <c r="I577" s="667"/>
      <c r="J577" s="667"/>
      <c r="K577" s="667"/>
      <c r="L577" s="667"/>
      <c r="M577" s="667"/>
      <c r="N577" s="667"/>
      <c r="O577" s="667"/>
      <c r="P577" s="667"/>
      <c r="Q577" s="667"/>
    </row>
    <row r="578" ht="15.75" customHeight="1">
      <c r="B578" s="466"/>
      <c r="C578" s="667"/>
      <c r="D578" s="667"/>
      <c r="E578" s="668"/>
      <c r="F578" s="667"/>
      <c r="G578" s="667"/>
      <c r="H578" s="667"/>
      <c r="I578" s="667"/>
      <c r="J578" s="667"/>
      <c r="K578" s="667"/>
      <c r="L578" s="667"/>
      <c r="M578" s="667"/>
      <c r="N578" s="667"/>
      <c r="O578" s="667"/>
      <c r="P578" s="667"/>
      <c r="Q578" s="667"/>
    </row>
    <row r="579" ht="15.75" customHeight="1">
      <c r="B579" s="466"/>
      <c r="C579" s="667"/>
      <c r="D579" s="667"/>
      <c r="E579" s="668"/>
      <c r="F579" s="667"/>
      <c r="G579" s="667"/>
      <c r="H579" s="667"/>
      <c r="I579" s="667"/>
      <c r="J579" s="667"/>
      <c r="K579" s="667"/>
      <c r="L579" s="667"/>
      <c r="M579" s="667"/>
      <c r="N579" s="667"/>
      <c r="O579" s="667"/>
      <c r="P579" s="667"/>
      <c r="Q579" s="667"/>
    </row>
    <row r="580" ht="15.75" customHeight="1">
      <c r="B580" s="466"/>
      <c r="C580" s="667"/>
      <c r="D580" s="667"/>
      <c r="E580" s="668"/>
      <c r="F580" s="667"/>
      <c r="G580" s="667"/>
      <c r="H580" s="667"/>
      <c r="I580" s="667"/>
      <c r="J580" s="667"/>
      <c r="K580" s="667"/>
      <c r="L580" s="667"/>
      <c r="M580" s="667"/>
      <c r="N580" s="667"/>
      <c r="O580" s="667"/>
      <c r="P580" s="667"/>
      <c r="Q580" s="667"/>
    </row>
    <row r="581" ht="15.75" customHeight="1">
      <c r="B581" s="466"/>
      <c r="C581" s="667"/>
      <c r="D581" s="667"/>
      <c r="E581" s="668"/>
      <c r="F581" s="667"/>
      <c r="G581" s="667"/>
      <c r="H581" s="667"/>
      <c r="I581" s="667"/>
      <c r="J581" s="667"/>
      <c r="K581" s="667"/>
      <c r="L581" s="667"/>
      <c r="M581" s="667"/>
      <c r="N581" s="667"/>
      <c r="O581" s="667"/>
      <c r="P581" s="667"/>
      <c r="Q581" s="667"/>
    </row>
    <row r="582" ht="15.75" customHeight="1">
      <c r="B582" s="466"/>
      <c r="C582" s="667"/>
      <c r="D582" s="667"/>
      <c r="E582" s="668"/>
      <c r="F582" s="667"/>
      <c r="G582" s="667"/>
      <c r="H582" s="667"/>
      <c r="I582" s="667"/>
      <c r="J582" s="667"/>
      <c r="K582" s="667"/>
      <c r="L582" s="667"/>
      <c r="M582" s="667"/>
      <c r="N582" s="667"/>
      <c r="O582" s="667"/>
      <c r="P582" s="667"/>
      <c r="Q582" s="667"/>
    </row>
    <row r="583" ht="15.75" customHeight="1">
      <c r="B583" s="466"/>
      <c r="C583" s="667"/>
      <c r="D583" s="667"/>
      <c r="E583" s="668"/>
      <c r="F583" s="667"/>
      <c r="G583" s="667"/>
      <c r="H583" s="667"/>
      <c r="I583" s="667"/>
      <c r="J583" s="667"/>
      <c r="K583" s="667"/>
      <c r="L583" s="667"/>
      <c r="M583" s="667"/>
      <c r="N583" s="667"/>
      <c r="O583" s="667"/>
      <c r="P583" s="667"/>
      <c r="Q583" s="667"/>
    </row>
    <row r="584" ht="15.75" customHeight="1">
      <c r="B584" s="466"/>
      <c r="C584" s="667"/>
      <c r="D584" s="667"/>
      <c r="E584" s="668"/>
      <c r="F584" s="667"/>
      <c r="G584" s="667"/>
      <c r="H584" s="667"/>
      <c r="I584" s="667"/>
      <c r="J584" s="667"/>
      <c r="K584" s="667"/>
      <c r="L584" s="667"/>
      <c r="M584" s="667"/>
      <c r="N584" s="667"/>
      <c r="O584" s="667"/>
      <c r="P584" s="667"/>
      <c r="Q584" s="667"/>
    </row>
    <row r="585" ht="15.75" customHeight="1">
      <c r="B585" s="466"/>
      <c r="C585" s="667"/>
      <c r="D585" s="667"/>
      <c r="E585" s="668"/>
      <c r="F585" s="667"/>
      <c r="G585" s="667"/>
      <c r="H585" s="667"/>
      <c r="I585" s="667"/>
      <c r="J585" s="667"/>
      <c r="K585" s="667"/>
      <c r="L585" s="667"/>
      <c r="M585" s="667"/>
      <c r="N585" s="667"/>
      <c r="O585" s="667"/>
      <c r="P585" s="667"/>
      <c r="Q585" s="667"/>
    </row>
    <row r="586" ht="15.75" customHeight="1">
      <c r="B586" s="466"/>
      <c r="C586" s="667"/>
      <c r="D586" s="667"/>
      <c r="E586" s="668"/>
      <c r="F586" s="667"/>
      <c r="G586" s="667"/>
      <c r="H586" s="667"/>
      <c r="I586" s="667"/>
      <c r="J586" s="667"/>
      <c r="K586" s="667"/>
      <c r="L586" s="667"/>
      <c r="M586" s="667"/>
      <c r="N586" s="667"/>
      <c r="O586" s="667"/>
      <c r="P586" s="667"/>
      <c r="Q586" s="667"/>
    </row>
    <row r="587" ht="15.75" customHeight="1">
      <c r="B587" s="466"/>
      <c r="C587" s="667"/>
      <c r="D587" s="667"/>
      <c r="E587" s="668"/>
      <c r="F587" s="667"/>
      <c r="G587" s="667"/>
      <c r="H587" s="667"/>
      <c r="I587" s="667"/>
      <c r="J587" s="667"/>
      <c r="K587" s="667"/>
      <c r="L587" s="667"/>
      <c r="M587" s="667"/>
      <c r="N587" s="667"/>
      <c r="O587" s="667"/>
      <c r="P587" s="667"/>
      <c r="Q587" s="667"/>
    </row>
    <row r="588" ht="15.75" customHeight="1">
      <c r="B588" s="466"/>
      <c r="C588" s="667"/>
      <c r="D588" s="667"/>
      <c r="E588" s="668"/>
      <c r="F588" s="667"/>
      <c r="G588" s="667"/>
      <c r="H588" s="667"/>
      <c r="I588" s="667"/>
      <c r="J588" s="667"/>
      <c r="K588" s="667"/>
      <c r="L588" s="667"/>
      <c r="M588" s="667"/>
      <c r="N588" s="667"/>
      <c r="O588" s="667"/>
      <c r="P588" s="667"/>
      <c r="Q588" s="667"/>
    </row>
    <row r="589" ht="15.75" customHeight="1">
      <c r="B589" s="466"/>
      <c r="C589" s="667"/>
      <c r="D589" s="667"/>
      <c r="E589" s="668"/>
      <c r="F589" s="667"/>
      <c r="G589" s="667"/>
      <c r="H589" s="667"/>
      <c r="I589" s="667"/>
      <c r="J589" s="667"/>
      <c r="K589" s="667"/>
      <c r="L589" s="667"/>
      <c r="M589" s="667"/>
      <c r="N589" s="667"/>
      <c r="O589" s="667"/>
      <c r="P589" s="667"/>
      <c r="Q589" s="667"/>
    </row>
    <row r="590" ht="15.75" customHeight="1">
      <c r="B590" s="466"/>
      <c r="C590" s="667"/>
      <c r="D590" s="667"/>
      <c r="E590" s="668"/>
      <c r="F590" s="667"/>
      <c r="G590" s="667"/>
      <c r="H590" s="667"/>
      <c r="I590" s="667"/>
      <c r="J590" s="667"/>
      <c r="K590" s="667"/>
      <c r="L590" s="667"/>
      <c r="M590" s="667"/>
      <c r="N590" s="667"/>
      <c r="O590" s="667"/>
      <c r="P590" s="667"/>
      <c r="Q590" s="667"/>
    </row>
    <row r="591" ht="15.75" customHeight="1">
      <c r="B591" s="466"/>
      <c r="C591" s="667"/>
      <c r="D591" s="667"/>
      <c r="E591" s="668"/>
      <c r="F591" s="667"/>
      <c r="G591" s="667"/>
      <c r="H591" s="667"/>
      <c r="I591" s="667"/>
      <c r="J591" s="667"/>
      <c r="K591" s="667"/>
      <c r="L591" s="667"/>
      <c r="M591" s="667"/>
      <c r="N591" s="667"/>
      <c r="O591" s="667"/>
      <c r="P591" s="667"/>
      <c r="Q591" s="667"/>
    </row>
    <row r="592" ht="15.75" customHeight="1">
      <c r="B592" s="466"/>
      <c r="C592" s="667"/>
      <c r="D592" s="667"/>
      <c r="E592" s="668"/>
      <c r="F592" s="667"/>
      <c r="G592" s="667"/>
      <c r="H592" s="667"/>
      <c r="I592" s="667"/>
      <c r="J592" s="667"/>
      <c r="K592" s="667"/>
      <c r="L592" s="667"/>
      <c r="M592" s="667"/>
      <c r="N592" s="667"/>
      <c r="O592" s="667"/>
      <c r="P592" s="667"/>
      <c r="Q592" s="667"/>
    </row>
    <row r="593" ht="15.75" customHeight="1">
      <c r="B593" s="466"/>
      <c r="C593" s="667"/>
      <c r="D593" s="667"/>
      <c r="E593" s="668"/>
      <c r="F593" s="667"/>
      <c r="G593" s="667"/>
      <c r="H593" s="667"/>
      <c r="I593" s="667"/>
      <c r="J593" s="667"/>
      <c r="K593" s="667"/>
      <c r="L593" s="667"/>
      <c r="M593" s="667"/>
      <c r="N593" s="667"/>
      <c r="O593" s="667"/>
      <c r="P593" s="667"/>
      <c r="Q593" s="667"/>
    </row>
    <row r="594" ht="15.75" customHeight="1">
      <c r="B594" s="466"/>
      <c r="C594" s="667"/>
      <c r="D594" s="667"/>
      <c r="E594" s="668"/>
      <c r="F594" s="667"/>
      <c r="G594" s="667"/>
      <c r="H594" s="667"/>
      <c r="I594" s="667"/>
      <c r="J594" s="667"/>
      <c r="K594" s="667"/>
      <c r="L594" s="667"/>
      <c r="M594" s="667"/>
      <c r="N594" s="667"/>
      <c r="O594" s="667"/>
      <c r="P594" s="667"/>
      <c r="Q594" s="667"/>
    </row>
    <row r="595" ht="15.75" customHeight="1">
      <c r="B595" s="466"/>
      <c r="C595" s="667"/>
      <c r="D595" s="667"/>
      <c r="E595" s="668"/>
      <c r="F595" s="667"/>
      <c r="G595" s="667"/>
      <c r="H595" s="667"/>
      <c r="I595" s="667"/>
      <c r="J595" s="667"/>
      <c r="K595" s="667"/>
      <c r="L595" s="667"/>
      <c r="M595" s="667"/>
      <c r="N595" s="667"/>
      <c r="O595" s="667"/>
      <c r="P595" s="667"/>
      <c r="Q595" s="667"/>
    </row>
    <row r="596" ht="15.75" customHeight="1">
      <c r="B596" s="466"/>
      <c r="C596" s="667"/>
      <c r="D596" s="667"/>
      <c r="E596" s="668"/>
      <c r="F596" s="667"/>
      <c r="G596" s="667"/>
      <c r="H596" s="667"/>
      <c r="I596" s="667"/>
      <c r="J596" s="667"/>
      <c r="K596" s="667"/>
      <c r="L596" s="667"/>
      <c r="M596" s="667"/>
      <c r="N596" s="667"/>
      <c r="O596" s="667"/>
      <c r="P596" s="667"/>
      <c r="Q596" s="667"/>
    </row>
    <row r="597" ht="15.75" customHeight="1">
      <c r="B597" s="466"/>
      <c r="C597" s="667"/>
      <c r="D597" s="667"/>
      <c r="E597" s="668"/>
      <c r="F597" s="667"/>
      <c r="G597" s="667"/>
      <c r="H597" s="667"/>
      <c r="I597" s="667"/>
      <c r="J597" s="667"/>
      <c r="K597" s="667"/>
      <c r="L597" s="667"/>
      <c r="M597" s="667"/>
      <c r="N597" s="667"/>
      <c r="O597" s="667"/>
      <c r="P597" s="667"/>
      <c r="Q597" s="667"/>
    </row>
    <row r="598" ht="15.75" customHeight="1">
      <c r="B598" s="466"/>
      <c r="C598" s="667"/>
      <c r="D598" s="667"/>
      <c r="E598" s="668"/>
      <c r="F598" s="667"/>
      <c r="G598" s="667"/>
      <c r="H598" s="667"/>
      <c r="I598" s="667"/>
      <c r="J598" s="667"/>
      <c r="K598" s="667"/>
      <c r="L598" s="667"/>
      <c r="M598" s="667"/>
      <c r="N598" s="667"/>
      <c r="O598" s="667"/>
      <c r="P598" s="667"/>
      <c r="Q598" s="667"/>
    </row>
    <row r="599" ht="15.75" customHeight="1">
      <c r="B599" s="466"/>
      <c r="C599" s="667"/>
      <c r="D599" s="667"/>
      <c r="E599" s="668"/>
      <c r="F599" s="667"/>
      <c r="G599" s="667"/>
      <c r="H599" s="667"/>
      <c r="I599" s="667"/>
      <c r="J599" s="667"/>
      <c r="K599" s="667"/>
      <c r="L599" s="667"/>
      <c r="M599" s="667"/>
      <c r="N599" s="667"/>
      <c r="O599" s="667"/>
      <c r="P599" s="667"/>
      <c r="Q599" s="667"/>
    </row>
    <row r="600" ht="15.75" customHeight="1">
      <c r="B600" s="466"/>
      <c r="C600" s="667"/>
      <c r="D600" s="667"/>
      <c r="E600" s="668"/>
      <c r="F600" s="667"/>
      <c r="G600" s="667"/>
      <c r="H600" s="667"/>
      <c r="I600" s="667"/>
      <c r="J600" s="667"/>
      <c r="K600" s="667"/>
      <c r="L600" s="667"/>
      <c r="M600" s="667"/>
      <c r="N600" s="667"/>
      <c r="O600" s="667"/>
      <c r="P600" s="667"/>
      <c r="Q600" s="667"/>
    </row>
    <row r="601" ht="15.75" customHeight="1">
      <c r="B601" s="466"/>
      <c r="C601" s="667"/>
      <c r="D601" s="667"/>
      <c r="E601" s="668"/>
      <c r="F601" s="667"/>
      <c r="G601" s="667"/>
      <c r="H601" s="667"/>
      <c r="I601" s="667"/>
      <c r="J601" s="667"/>
      <c r="K601" s="667"/>
      <c r="L601" s="667"/>
      <c r="M601" s="667"/>
      <c r="N601" s="667"/>
      <c r="O601" s="667"/>
      <c r="P601" s="667"/>
      <c r="Q601" s="667"/>
    </row>
    <row r="602" ht="15.75" customHeight="1">
      <c r="B602" s="466"/>
      <c r="C602" s="667"/>
      <c r="D602" s="667"/>
      <c r="E602" s="668"/>
      <c r="F602" s="667"/>
      <c r="G602" s="667"/>
      <c r="H602" s="667"/>
      <c r="I602" s="667"/>
      <c r="J602" s="667"/>
      <c r="K602" s="667"/>
      <c r="L602" s="667"/>
      <c r="M602" s="667"/>
      <c r="N602" s="667"/>
      <c r="O602" s="667"/>
      <c r="P602" s="667"/>
      <c r="Q602" s="667"/>
    </row>
    <row r="603" ht="15.75" customHeight="1">
      <c r="B603" s="466"/>
      <c r="C603" s="667"/>
      <c r="D603" s="667"/>
      <c r="E603" s="668"/>
      <c r="F603" s="667"/>
      <c r="G603" s="667"/>
      <c r="H603" s="667"/>
      <c r="I603" s="667"/>
      <c r="J603" s="667"/>
      <c r="K603" s="667"/>
      <c r="L603" s="667"/>
      <c r="M603" s="667"/>
      <c r="N603" s="667"/>
      <c r="O603" s="667"/>
      <c r="P603" s="667"/>
      <c r="Q603" s="667"/>
    </row>
    <row r="604" ht="15.75" customHeight="1">
      <c r="B604" s="466"/>
      <c r="C604" s="667"/>
      <c r="D604" s="667"/>
      <c r="E604" s="668"/>
      <c r="F604" s="667"/>
      <c r="G604" s="667"/>
      <c r="H604" s="667"/>
      <c r="I604" s="667"/>
      <c r="J604" s="667"/>
      <c r="K604" s="667"/>
      <c r="L604" s="667"/>
      <c r="M604" s="667"/>
      <c r="N604" s="667"/>
      <c r="O604" s="667"/>
      <c r="P604" s="667"/>
      <c r="Q604" s="667"/>
    </row>
    <row r="605" ht="15.75" customHeight="1">
      <c r="B605" s="466"/>
      <c r="C605" s="667"/>
      <c r="D605" s="667"/>
      <c r="E605" s="668"/>
      <c r="F605" s="667"/>
      <c r="G605" s="667"/>
      <c r="H605" s="667"/>
      <c r="I605" s="667"/>
      <c r="J605" s="667"/>
      <c r="K605" s="667"/>
      <c r="L605" s="667"/>
      <c r="M605" s="667"/>
      <c r="N605" s="667"/>
      <c r="O605" s="667"/>
      <c r="P605" s="667"/>
      <c r="Q605" s="667"/>
    </row>
    <row r="606" ht="15.75" customHeight="1">
      <c r="B606" s="466"/>
      <c r="C606" s="667"/>
      <c r="D606" s="667"/>
      <c r="E606" s="668"/>
      <c r="F606" s="667"/>
      <c r="G606" s="667"/>
      <c r="H606" s="667"/>
      <c r="I606" s="667"/>
      <c r="J606" s="667"/>
      <c r="K606" s="667"/>
      <c r="L606" s="667"/>
      <c r="M606" s="667"/>
      <c r="N606" s="667"/>
      <c r="O606" s="667"/>
      <c r="P606" s="667"/>
      <c r="Q606" s="667"/>
    </row>
    <row r="607" ht="15.75" customHeight="1">
      <c r="B607" s="466"/>
      <c r="C607" s="667"/>
      <c r="D607" s="667"/>
      <c r="E607" s="668"/>
      <c r="F607" s="667"/>
      <c r="G607" s="667"/>
      <c r="H607" s="667"/>
      <c r="I607" s="667"/>
      <c r="J607" s="667"/>
      <c r="K607" s="667"/>
      <c r="L607" s="667"/>
      <c r="M607" s="667"/>
      <c r="N607" s="667"/>
      <c r="O607" s="667"/>
      <c r="P607" s="667"/>
      <c r="Q607" s="667"/>
    </row>
    <row r="608" ht="15.75" customHeight="1">
      <c r="B608" s="466"/>
      <c r="C608" s="667"/>
      <c r="D608" s="667"/>
      <c r="E608" s="668"/>
      <c r="F608" s="667"/>
      <c r="G608" s="667"/>
      <c r="H608" s="667"/>
      <c r="I608" s="667"/>
      <c r="J608" s="667"/>
      <c r="K608" s="667"/>
      <c r="L608" s="667"/>
      <c r="M608" s="667"/>
      <c r="N608" s="667"/>
      <c r="O608" s="667"/>
      <c r="P608" s="667"/>
      <c r="Q608" s="667"/>
    </row>
    <row r="609" ht="15.75" customHeight="1">
      <c r="B609" s="466"/>
      <c r="C609" s="667"/>
      <c r="D609" s="667"/>
      <c r="E609" s="668"/>
      <c r="F609" s="667"/>
      <c r="G609" s="667"/>
      <c r="H609" s="667"/>
      <c r="I609" s="667"/>
      <c r="J609" s="667"/>
      <c r="K609" s="667"/>
      <c r="L609" s="667"/>
      <c r="M609" s="667"/>
      <c r="N609" s="667"/>
      <c r="O609" s="667"/>
      <c r="P609" s="667"/>
      <c r="Q609" s="667"/>
    </row>
    <row r="610" ht="15.75" customHeight="1">
      <c r="B610" s="466"/>
      <c r="C610" s="667"/>
      <c r="D610" s="667"/>
      <c r="E610" s="668"/>
      <c r="F610" s="667"/>
      <c r="G610" s="667"/>
      <c r="H610" s="667"/>
      <c r="I610" s="667"/>
      <c r="J610" s="667"/>
      <c r="K610" s="667"/>
      <c r="L610" s="667"/>
      <c r="M610" s="667"/>
      <c r="N610" s="667"/>
      <c r="O610" s="667"/>
      <c r="P610" s="667"/>
      <c r="Q610" s="667"/>
    </row>
    <row r="611" ht="15.75" customHeight="1">
      <c r="B611" s="466"/>
      <c r="C611" s="667"/>
      <c r="D611" s="667"/>
      <c r="E611" s="668"/>
      <c r="F611" s="667"/>
      <c r="G611" s="667"/>
      <c r="H611" s="667"/>
      <c r="I611" s="667"/>
      <c r="J611" s="667"/>
      <c r="K611" s="667"/>
      <c r="L611" s="667"/>
      <c r="M611" s="667"/>
      <c r="N611" s="667"/>
      <c r="O611" s="667"/>
      <c r="P611" s="667"/>
      <c r="Q611" s="667"/>
    </row>
    <row r="612" ht="15.75" customHeight="1">
      <c r="B612" s="466"/>
      <c r="C612" s="667"/>
      <c r="D612" s="667"/>
      <c r="E612" s="668"/>
      <c r="F612" s="667"/>
      <c r="G612" s="667"/>
      <c r="H612" s="667"/>
      <c r="I612" s="667"/>
      <c r="J612" s="667"/>
      <c r="K612" s="667"/>
      <c r="L612" s="667"/>
      <c r="M612" s="667"/>
      <c r="N612" s="667"/>
      <c r="O612" s="667"/>
      <c r="P612" s="667"/>
      <c r="Q612" s="667"/>
    </row>
    <row r="613" ht="15.75" customHeight="1">
      <c r="B613" s="466"/>
      <c r="C613" s="667"/>
      <c r="D613" s="667"/>
      <c r="E613" s="668"/>
      <c r="F613" s="667"/>
      <c r="G613" s="667"/>
      <c r="H613" s="667"/>
      <c r="I613" s="667"/>
      <c r="J613" s="667"/>
      <c r="K613" s="667"/>
      <c r="L613" s="667"/>
      <c r="M613" s="667"/>
      <c r="N613" s="667"/>
      <c r="O613" s="667"/>
      <c r="P613" s="667"/>
      <c r="Q613" s="667"/>
    </row>
    <row r="614" ht="15.75" customHeight="1">
      <c r="B614" s="466"/>
      <c r="C614" s="667"/>
      <c r="D614" s="667"/>
      <c r="E614" s="668"/>
      <c r="F614" s="667"/>
      <c r="G614" s="667"/>
      <c r="H614" s="667"/>
      <c r="I614" s="667"/>
      <c r="J614" s="667"/>
      <c r="K614" s="667"/>
      <c r="L614" s="667"/>
      <c r="M614" s="667"/>
      <c r="N614" s="667"/>
      <c r="O614" s="667"/>
      <c r="P614" s="667"/>
      <c r="Q614" s="667"/>
    </row>
    <row r="615" ht="15.75" customHeight="1">
      <c r="B615" s="466"/>
      <c r="C615" s="667"/>
      <c r="D615" s="667"/>
      <c r="E615" s="668"/>
      <c r="F615" s="667"/>
      <c r="G615" s="667"/>
      <c r="H615" s="667"/>
      <c r="I615" s="667"/>
      <c r="J615" s="667"/>
      <c r="K615" s="667"/>
      <c r="L615" s="667"/>
      <c r="M615" s="667"/>
      <c r="N615" s="667"/>
      <c r="O615" s="667"/>
      <c r="P615" s="667"/>
      <c r="Q615" s="667"/>
    </row>
    <row r="616" ht="15.75" customHeight="1">
      <c r="B616" s="466"/>
      <c r="C616" s="667"/>
      <c r="D616" s="667"/>
      <c r="E616" s="668"/>
      <c r="F616" s="667"/>
      <c r="G616" s="667"/>
      <c r="H616" s="667"/>
      <c r="I616" s="667"/>
      <c r="J616" s="667"/>
      <c r="K616" s="667"/>
      <c r="L616" s="667"/>
      <c r="M616" s="667"/>
      <c r="N616" s="667"/>
      <c r="O616" s="667"/>
      <c r="P616" s="667"/>
      <c r="Q616" s="667"/>
    </row>
    <row r="617" ht="15.75" customHeight="1">
      <c r="B617" s="466"/>
      <c r="C617" s="667"/>
      <c r="D617" s="667"/>
      <c r="E617" s="668"/>
      <c r="F617" s="667"/>
      <c r="G617" s="667"/>
      <c r="H617" s="667"/>
      <c r="I617" s="667"/>
      <c r="J617" s="667"/>
      <c r="K617" s="667"/>
      <c r="L617" s="667"/>
      <c r="M617" s="667"/>
      <c r="N617" s="667"/>
      <c r="O617" s="667"/>
      <c r="P617" s="667"/>
      <c r="Q617" s="667"/>
    </row>
    <row r="618" ht="15.75" customHeight="1">
      <c r="B618" s="466"/>
      <c r="C618" s="667"/>
      <c r="D618" s="667"/>
      <c r="E618" s="668"/>
      <c r="F618" s="667"/>
      <c r="G618" s="667"/>
      <c r="H618" s="667"/>
      <c r="I618" s="667"/>
      <c r="J618" s="667"/>
      <c r="K618" s="667"/>
      <c r="L618" s="667"/>
      <c r="M618" s="667"/>
      <c r="N618" s="667"/>
      <c r="O618" s="667"/>
      <c r="P618" s="667"/>
      <c r="Q618" s="667"/>
    </row>
    <row r="619" ht="15.75" customHeight="1">
      <c r="B619" s="466"/>
      <c r="C619" s="667"/>
      <c r="D619" s="667"/>
      <c r="E619" s="668"/>
      <c r="F619" s="667"/>
      <c r="G619" s="667"/>
      <c r="H619" s="667"/>
      <c r="I619" s="667"/>
      <c r="J619" s="667"/>
      <c r="K619" s="667"/>
      <c r="L619" s="667"/>
      <c r="M619" s="667"/>
      <c r="N619" s="667"/>
      <c r="O619" s="667"/>
      <c r="P619" s="667"/>
      <c r="Q619" s="667"/>
    </row>
    <row r="620" ht="15.75" customHeight="1">
      <c r="B620" s="466"/>
      <c r="C620" s="667"/>
      <c r="D620" s="667"/>
      <c r="E620" s="668"/>
      <c r="F620" s="667"/>
      <c r="G620" s="667"/>
      <c r="H620" s="667"/>
      <c r="I620" s="667"/>
      <c r="J620" s="667"/>
      <c r="K620" s="667"/>
      <c r="L620" s="667"/>
      <c r="M620" s="667"/>
      <c r="N620" s="667"/>
      <c r="O620" s="667"/>
      <c r="P620" s="667"/>
      <c r="Q620" s="667"/>
    </row>
    <row r="621" ht="15.75" customHeight="1">
      <c r="B621" s="466"/>
      <c r="C621" s="667"/>
      <c r="D621" s="667"/>
      <c r="E621" s="668"/>
      <c r="F621" s="667"/>
      <c r="G621" s="667"/>
      <c r="H621" s="667"/>
      <c r="I621" s="667"/>
      <c r="J621" s="667"/>
      <c r="K621" s="667"/>
      <c r="L621" s="667"/>
      <c r="M621" s="667"/>
      <c r="N621" s="667"/>
      <c r="O621" s="667"/>
      <c r="P621" s="667"/>
      <c r="Q621" s="667"/>
    </row>
    <row r="622" ht="15.75" customHeight="1">
      <c r="B622" s="466"/>
      <c r="C622" s="667"/>
      <c r="D622" s="667"/>
      <c r="E622" s="668"/>
      <c r="F622" s="667"/>
      <c r="G622" s="667"/>
      <c r="H622" s="667"/>
      <c r="I622" s="667"/>
      <c r="J622" s="667"/>
      <c r="K622" s="667"/>
      <c r="L622" s="667"/>
      <c r="M622" s="667"/>
      <c r="N622" s="667"/>
      <c r="O622" s="667"/>
      <c r="P622" s="667"/>
      <c r="Q622" s="667"/>
    </row>
    <row r="623" ht="15.75" customHeight="1">
      <c r="B623" s="466"/>
      <c r="C623" s="667"/>
      <c r="D623" s="667"/>
      <c r="E623" s="668"/>
      <c r="F623" s="667"/>
      <c r="G623" s="667"/>
      <c r="H623" s="667"/>
      <c r="I623" s="667"/>
      <c r="J623" s="667"/>
      <c r="K623" s="667"/>
      <c r="L623" s="667"/>
      <c r="M623" s="667"/>
      <c r="N623" s="667"/>
      <c r="O623" s="667"/>
      <c r="P623" s="667"/>
      <c r="Q623" s="667"/>
    </row>
    <row r="624" ht="15.75" customHeight="1">
      <c r="B624" s="466"/>
      <c r="C624" s="667"/>
      <c r="D624" s="667"/>
      <c r="E624" s="668"/>
      <c r="F624" s="667"/>
      <c r="G624" s="667"/>
      <c r="H624" s="667"/>
      <c r="I624" s="667"/>
      <c r="J624" s="667"/>
      <c r="K624" s="667"/>
      <c r="L624" s="667"/>
      <c r="M624" s="667"/>
      <c r="N624" s="667"/>
      <c r="O624" s="667"/>
      <c r="P624" s="667"/>
      <c r="Q624" s="667"/>
    </row>
    <row r="625" ht="15.75" customHeight="1">
      <c r="B625" s="466"/>
      <c r="C625" s="667"/>
      <c r="D625" s="667"/>
      <c r="E625" s="668"/>
      <c r="F625" s="667"/>
      <c r="G625" s="667"/>
      <c r="H625" s="667"/>
      <c r="I625" s="667"/>
      <c r="J625" s="667"/>
      <c r="K625" s="667"/>
      <c r="L625" s="667"/>
      <c r="M625" s="667"/>
      <c r="N625" s="667"/>
      <c r="O625" s="667"/>
      <c r="P625" s="667"/>
      <c r="Q625" s="667"/>
    </row>
    <row r="626" ht="15.75" customHeight="1">
      <c r="B626" s="466"/>
      <c r="C626" s="667"/>
      <c r="D626" s="667"/>
      <c r="E626" s="668"/>
      <c r="F626" s="667"/>
      <c r="G626" s="667"/>
      <c r="H626" s="667"/>
      <c r="I626" s="667"/>
      <c r="J626" s="667"/>
      <c r="K626" s="667"/>
      <c r="L626" s="667"/>
      <c r="M626" s="667"/>
      <c r="N626" s="667"/>
      <c r="O626" s="667"/>
      <c r="P626" s="667"/>
      <c r="Q626" s="667"/>
    </row>
    <row r="627" ht="15.75" customHeight="1">
      <c r="B627" s="466"/>
      <c r="C627" s="667"/>
      <c r="D627" s="667"/>
      <c r="E627" s="668"/>
      <c r="F627" s="667"/>
      <c r="G627" s="667"/>
      <c r="H627" s="667"/>
      <c r="I627" s="667"/>
      <c r="J627" s="667"/>
      <c r="K627" s="667"/>
      <c r="L627" s="667"/>
      <c r="M627" s="667"/>
      <c r="N627" s="667"/>
      <c r="O627" s="667"/>
      <c r="P627" s="667"/>
      <c r="Q627" s="667"/>
    </row>
    <row r="628" ht="15.75" customHeight="1">
      <c r="B628" s="466"/>
      <c r="C628" s="667"/>
      <c r="D628" s="667"/>
      <c r="E628" s="668"/>
      <c r="F628" s="667"/>
      <c r="G628" s="667"/>
      <c r="H628" s="667"/>
      <c r="I628" s="667"/>
      <c r="J628" s="667"/>
      <c r="K628" s="667"/>
      <c r="L628" s="667"/>
      <c r="M628" s="667"/>
      <c r="N628" s="667"/>
      <c r="O628" s="667"/>
      <c r="P628" s="667"/>
      <c r="Q628" s="667"/>
    </row>
    <row r="629" ht="15.75" customHeight="1">
      <c r="B629" s="466"/>
      <c r="C629" s="667"/>
      <c r="D629" s="667"/>
      <c r="E629" s="668"/>
      <c r="F629" s="667"/>
      <c r="G629" s="667"/>
      <c r="H629" s="667"/>
      <c r="I629" s="667"/>
      <c r="J629" s="667"/>
      <c r="K629" s="667"/>
      <c r="L629" s="667"/>
      <c r="M629" s="667"/>
      <c r="N629" s="667"/>
      <c r="O629" s="667"/>
      <c r="P629" s="667"/>
      <c r="Q629" s="667"/>
    </row>
    <row r="630" ht="15.75" customHeight="1">
      <c r="B630" s="466"/>
      <c r="C630" s="667"/>
      <c r="D630" s="667"/>
      <c r="E630" s="668"/>
      <c r="F630" s="667"/>
      <c r="G630" s="667"/>
      <c r="H630" s="667"/>
      <c r="I630" s="667"/>
      <c r="J630" s="667"/>
      <c r="K630" s="667"/>
      <c r="L630" s="667"/>
      <c r="M630" s="667"/>
      <c r="N630" s="667"/>
      <c r="O630" s="667"/>
      <c r="P630" s="667"/>
      <c r="Q630" s="667"/>
    </row>
    <row r="631" ht="15.75" customHeight="1">
      <c r="B631" s="466"/>
      <c r="C631" s="667"/>
      <c r="D631" s="667"/>
      <c r="E631" s="668"/>
      <c r="F631" s="667"/>
      <c r="G631" s="667"/>
      <c r="H631" s="667"/>
      <c r="I631" s="667"/>
      <c r="J631" s="667"/>
      <c r="K631" s="667"/>
      <c r="L631" s="667"/>
      <c r="M631" s="667"/>
      <c r="N631" s="667"/>
      <c r="O631" s="667"/>
      <c r="P631" s="667"/>
      <c r="Q631" s="667"/>
    </row>
    <row r="632" ht="15.75" customHeight="1">
      <c r="B632" s="466"/>
      <c r="C632" s="667"/>
      <c r="D632" s="667"/>
      <c r="E632" s="668"/>
      <c r="F632" s="667"/>
      <c r="G632" s="667"/>
      <c r="H632" s="667"/>
      <c r="I632" s="667"/>
      <c r="J632" s="667"/>
      <c r="K632" s="667"/>
      <c r="L632" s="667"/>
      <c r="M632" s="667"/>
      <c r="N632" s="667"/>
      <c r="O632" s="667"/>
      <c r="P632" s="667"/>
      <c r="Q632" s="667"/>
    </row>
    <row r="633" ht="15.75" customHeight="1">
      <c r="B633" s="466"/>
      <c r="C633" s="667"/>
      <c r="D633" s="667"/>
      <c r="E633" s="668"/>
      <c r="F633" s="667"/>
      <c r="G633" s="667"/>
      <c r="H633" s="667"/>
      <c r="I633" s="667"/>
      <c r="J633" s="667"/>
      <c r="K633" s="667"/>
      <c r="L633" s="667"/>
      <c r="M633" s="667"/>
      <c r="N633" s="667"/>
      <c r="O633" s="667"/>
      <c r="P633" s="667"/>
      <c r="Q633" s="667"/>
    </row>
    <row r="634" ht="15.75" customHeight="1">
      <c r="B634" s="466"/>
      <c r="C634" s="667"/>
      <c r="D634" s="667"/>
      <c r="E634" s="668"/>
      <c r="F634" s="667"/>
      <c r="G634" s="667"/>
      <c r="H634" s="667"/>
      <c r="I634" s="667"/>
      <c r="J634" s="667"/>
      <c r="K634" s="667"/>
      <c r="L634" s="667"/>
      <c r="M634" s="667"/>
      <c r="N634" s="667"/>
      <c r="O634" s="667"/>
      <c r="P634" s="667"/>
      <c r="Q634" s="667"/>
    </row>
    <row r="635" ht="15.75" customHeight="1">
      <c r="B635" s="466"/>
      <c r="C635" s="667"/>
      <c r="D635" s="667"/>
      <c r="E635" s="668"/>
      <c r="F635" s="667"/>
      <c r="G635" s="667"/>
      <c r="H635" s="667"/>
      <c r="I635" s="667"/>
      <c r="J635" s="667"/>
      <c r="K635" s="667"/>
      <c r="L635" s="667"/>
      <c r="M635" s="667"/>
      <c r="N635" s="667"/>
      <c r="O635" s="667"/>
      <c r="P635" s="667"/>
      <c r="Q635" s="667"/>
    </row>
    <row r="636" ht="15.75" customHeight="1">
      <c r="B636" s="466"/>
      <c r="C636" s="667"/>
      <c r="D636" s="667"/>
      <c r="E636" s="668"/>
      <c r="F636" s="667"/>
      <c r="G636" s="667"/>
      <c r="H636" s="667"/>
      <c r="I636" s="667"/>
      <c r="J636" s="667"/>
      <c r="K636" s="667"/>
      <c r="L636" s="667"/>
      <c r="M636" s="667"/>
      <c r="N636" s="667"/>
      <c r="O636" s="667"/>
      <c r="P636" s="667"/>
      <c r="Q636" s="667"/>
    </row>
    <row r="637" ht="15.75" customHeight="1">
      <c r="B637" s="466"/>
      <c r="C637" s="667"/>
      <c r="D637" s="667"/>
      <c r="E637" s="668"/>
      <c r="F637" s="667"/>
      <c r="G637" s="667"/>
      <c r="H637" s="667"/>
      <c r="I637" s="667"/>
      <c r="J637" s="667"/>
      <c r="K637" s="667"/>
      <c r="L637" s="667"/>
      <c r="M637" s="667"/>
      <c r="N637" s="667"/>
      <c r="O637" s="667"/>
      <c r="P637" s="667"/>
      <c r="Q637" s="667"/>
    </row>
    <row r="638" ht="15.75" customHeight="1">
      <c r="B638" s="466"/>
      <c r="C638" s="667"/>
      <c r="D638" s="667"/>
      <c r="E638" s="668"/>
      <c r="F638" s="667"/>
      <c r="G638" s="667"/>
      <c r="H638" s="667"/>
      <c r="I638" s="667"/>
      <c r="J638" s="667"/>
      <c r="K638" s="667"/>
      <c r="L638" s="667"/>
      <c r="M638" s="667"/>
      <c r="N638" s="667"/>
      <c r="O638" s="667"/>
      <c r="P638" s="667"/>
      <c r="Q638" s="667"/>
    </row>
    <row r="639" ht="15.75" customHeight="1">
      <c r="B639" s="466"/>
      <c r="C639" s="667"/>
      <c r="D639" s="667"/>
      <c r="E639" s="668"/>
      <c r="F639" s="667"/>
      <c r="G639" s="667"/>
      <c r="H639" s="667"/>
      <c r="I639" s="667"/>
      <c r="J639" s="667"/>
      <c r="K639" s="667"/>
      <c r="L639" s="667"/>
      <c r="M639" s="667"/>
      <c r="N639" s="667"/>
      <c r="O639" s="667"/>
      <c r="P639" s="667"/>
      <c r="Q639" s="667"/>
    </row>
    <row r="640" ht="15.75" customHeight="1">
      <c r="B640" s="466"/>
      <c r="C640" s="667"/>
      <c r="D640" s="667"/>
      <c r="E640" s="668"/>
      <c r="F640" s="667"/>
      <c r="G640" s="667"/>
      <c r="H640" s="667"/>
      <c r="I640" s="667"/>
      <c r="J640" s="667"/>
      <c r="K640" s="667"/>
      <c r="L640" s="667"/>
      <c r="M640" s="667"/>
      <c r="N640" s="667"/>
      <c r="O640" s="667"/>
      <c r="P640" s="667"/>
      <c r="Q640" s="667"/>
    </row>
    <row r="641" ht="15.75" customHeight="1">
      <c r="B641" s="466"/>
      <c r="C641" s="667"/>
      <c r="D641" s="667"/>
      <c r="E641" s="668"/>
      <c r="F641" s="667"/>
      <c r="G641" s="667"/>
      <c r="H641" s="667"/>
      <c r="I641" s="667"/>
      <c r="J641" s="667"/>
      <c r="K641" s="667"/>
      <c r="L641" s="667"/>
      <c r="M641" s="667"/>
      <c r="N641" s="667"/>
      <c r="O641" s="667"/>
      <c r="P641" s="667"/>
      <c r="Q641" s="667"/>
    </row>
    <row r="642" ht="15.75" customHeight="1">
      <c r="B642" s="466"/>
      <c r="C642" s="667"/>
      <c r="D642" s="667"/>
      <c r="E642" s="668"/>
      <c r="F642" s="667"/>
      <c r="G642" s="667"/>
      <c r="H642" s="667"/>
      <c r="I642" s="667"/>
      <c r="J642" s="667"/>
      <c r="K642" s="667"/>
      <c r="L642" s="667"/>
      <c r="M642" s="667"/>
      <c r="N642" s="667"/>
      <c r="O642" s="667"/>
      <c r="P642" s="667"/>
      <c r="Q642" s="667"/>
    </row>
    <row r="643" ht="15.75" customHeight="1">
      <c r="B643" s="466"/>
      <c r="C643" s="667"/>
      <c r="D643" s="667"/>
      <c r="E643" s="668"/>
      <c r="F643" s="667"/>
      <c r="G643" s="667"/>
      <c r="H643" s="667"/>
      <c r="I643" s="667"/>
      <c r="J643" s="667"/>
      <c r="K643" s="667"/>
      <c r="L643" s="667"/>
      <c r="M643" s="667"/>
      <c r="N643" s="667"/>
      <c r="O643" s="667"/>
      <c r="P643" s="667"/>
      <c r="Q643" s="667"/>
    </row>
    <row r="644" ht="15.75" customHeight="1">
      <c r="B644" s="466"/>
      <c r="C644" s="667"/>
      <c r="D644" s="667"/>
      <c r="E644" s="668"/>
      <c r="F644" s="667"/>
      <c r="G644" s="667"/>
      <c r="H644" s="667"/>
      <c r="I644" s="667"/>
      <c r="J644" s="667"/>
      <c r="K644" s="667"/>
      <c r="L644" s="667"/>
      <c r="M644" s="667"/>
      <c r="N644" s="667"/>
      <c r="O644" s="667"/>
      <c r="P644" s="667"/>
      <c r="Q644" s="667"/>
    </row>
    <row r="645" ht="15.75" customHeight="1">
      <c r="B645" s="466"/>
      <c r="C645" s="667"/>
      <c r="D645" s="667"/>
      <c r="E645" s="668"/>
      <c r="F645" s="667"/>
      <c r="G645" s="667"/>
      <c r="H645" s="667"/>
      <c r="I645" s="667"/>
      <c r="J645" s="667"/>
      <c r="K645" s="667"/>
      <c r="L645" s="667"/>
      <c r="M645" s="667"/>
      <c r="N645" s="667"/>
      <c r="O645" s="667"/>
      <c r="P645" s="667"/>
      <c r="Q645" s="667"/>
    </row>
    <row r="646" ht="15.75" customHeight="1">
      <c r="B646" s="466"/>
      <c r="C646" s="667"/>
      <c r="D646" s="667"/>
      <c r="E646" s="668"/>
      <c r="F646" s="667"/>
      <c r="G646" s="667"/>
      <c r="H646" s="667"/>
      <c r="I646" s="667"/>
      <c r="J646" s="667"/>
      <c r="K646" s="667"/>
      <c r="L646" s="667"/>
      <c r="M646" s="667"/>
      <c r="N646" s="667"/>
      <c r="O646" s="667"/>
      <c r="P646" s="667"/>
      <c r="Q646" s="667"/>
    </row>
    <row r="647" ht="15.75" customHeight="1">
      <c r="B647" s="466"/>
      <c r="C647" s="667"/>
      <c r="D647" s="667"/>
      <c r="E647" s="668"/>
      <c r="F647" s="667"/>
      <c r="G647" s="667"/>
      <c r="H647" s="667"/>
      <c r="I647" s="667"/>
      <c r="J647" s="667"/>
      <c r="K647" s="667"/>
      <c r="L647" s="667"/>
      <c r="M647" s="667"/>
      <c r="N647" s="667"/>
      <c r="O647" s="667"/>
      <c r="P647" s="667"/>
      <c r="Q647" s="667"/>
    </row>
    <row r="648" ht="15.75" customHeight="1">
      <c r="B648" s="466"/>
      <c r="C648" s="667"/>
      <c r="D648" s="667"/>
      <c r="E648" s="668"/>
      <c r="F648" s="667"/>
      <c r="G648" s="667"/>
      <c r="H648" s="667"/>
      <c r="I648" s="667"/>
      <c r="J648" s="667"/>
      <c r="K648" s="667"/>
      <c r="L648" s="667"/>
      <c r="M648" s="667"/>
      <c r="N648" s="667"/>
      <c r="O648" s="667"/>
      <c r="P648" s="667"/>
      <c r="Q648" s="667"/>
    </row>
    <row r="649" ht="15.75" customHeight="1">
      <c r="B649" s="466"/>
      <c r="C649" s="667"/>
      <c r="D649" s="667"/>
      <c r="E649" s="668"/>
      <c r="F649" s="667"/>
      <c r="G649" s="667"/>
      <c r="H649" s="667"/>
      <c r="I649" s="667"/>
      <c r="J649" s="667"/>
      <c r="K649" s="667"/>
      <c r="L649" s="667"/>
      <c r="M649" s="667"/>
      <c r="N649" s="667"/>
      <c r="O649" s="667"/>
      <c r="P649" s="667"/>
      <c r="Q649" s="667"/>
    </row>
    <row r="650" ht="15.75" customHeight="1">
      <c r="B650" s="466"/>
      <c r="C650" s="667"/>
      <c r="D650" s="667"/>
      <c r="E650" s="668"/>
      <c r="F650" s="667"/>
      <c r="G650" s="667"/>
      <c r="H650" s="667"/>
      <c r="I650" s="667"/>
      <c r="J650" s="667"/>
      <c r="K650" s="667"/>
      <c r="L650" s="667"/>
      <c r="M650" s="667"/>
      <c r="N650" s="667"/>
      <c r="O650" s="667"/>
      <c r="P650" s="667"/>
      <c r="Q650" s="667"/>
    </row>
    <row r="651" ht="15.75" customHeight="1">
      <c r="B651" s="466"/>
      <c r="C651" s="667"/>
      <c r="D651" s="667"/>
      <c r="E651" s="668"/>
      <c r="F651" s="667"/>
      <c r="G651" s="667"/>
      <c r="H651" s="667"/>
      <c r="I651" s="667"/>
      <c r="J651" s="667"/>
      <c r="K651" s="667"/>
      <c r="L651" s="667"/>
      <c r="M651" s="667"/>
      <c r="N651" s="667"/>
      <c r="O651" s="667"/>
      <c r="P651" s="667"/>
      <c r="Q651" s="667"/>
    </row>
    <row r="652" ht="15.75" customHeight="1">
      <c r="B652" s="466"/>
      <c r="C652" s="667"/>
      <c r="D652" s="667"/>
      <c r="E652" s="668"/>
      <c r="F652" s="667"/>
      <c r="G652" s="667"/>
      <c r="H652" s="667"/>
      <c r="I652" s="667"/>
      <c r="J652" s="667"/>
      <c r="K652" s="667"/>
      <c r="L652" s="667"/>
      <c r="M652" s="667"/>
      <c r="N652" s="667"/>
      <c r="O652" s="667"/>
      <c r="P652" s="667"/>
      <c r="Q652" s="667"/>
    </row>
    <row r="653" ht="15.75" customHeight="1">
      <c r="B653" s="466"/>
      <c r="C653" s="667"/>
      <c r="D653" s="667"/>
      <c r="E653" s="668"/>
      <c r="F653" s="667"/>
      <c r="G653" s="667"/>
      <c r="H653" s="667"/>
      <c r="I653" s="667"/>
      <c r="J653" s="667"/>
      <c r="K653" s="667"/>
      <c r="L653" s="667"/>
      <c r="M653" s="667"/>
      <c r="N653" s="667"/>
      <c r="O653" s="667"/>
      <c r="P653" s="667"/>
      <c r="Q653" s="667"/>
    </row>
    <row r="654" ht="15.75" customHeight="1">
      <c r="B654" s="466"/>
      <c r="C654" s="667"/>
      <c r="D654" s="667"/>
      <c r="E654" s="668"/>
      <c r="F654" s="667"/>
      <c r="G654" s="667"/>
      <c r="H654" s="667"/>
      <c r="I654" s="667"/>
      <c r="J654" s="667"/>
      <c r="K654" s="667"/>
      <c r="L654" s="667"/>
      <c r="M654" s="667"/>
      <c r="N654" s="667"/>
      <c r="O654" s="667"/>
      <c r="P654" s="667"/>
      <c r="Q654" s="667"/>
    </row>
    <row r="655" ht="15.75" customHeight="1">
      <c r="B655" s="466"/>
      <c r="C655" s="667"/>
      <c r="D655" s="667"/>
      <c r="E655" s="668"/>
      <c r="F655" s="667"/>
      <c r="G655" s="667"/>
      <c r="H655" s="667"/>
      <c r="I655" s="667"/>
      <c r="J655" s="667"/>
      <c r="K655" s="667"/>
      <c r="L655" s="667"/>
      <c r="M655" s="667"/>
      <c r="N655" s="667"/>
      <c r="O655" s="667"/>
      <c r="P655" s="667"/>
      <c r="Q655" s="667"/>
    </row>
    <row r="656" ht="15.75" customHeight="1">
      <c r="B656" s="466"/>
      <c r="C656" s="667"/>
      <c r="D656" s="667"/>
      <c r="E656" s="668"/>
      <c r="F656" s="667"/>
      <c r="G656" s="667"/>
      <c r="H656" s="667"/>
      <c r="I656" s="667"/>
      <c r="J656" s="667"/>
      <c r="K656" s="667"/>
      <c r="L656" s="667"/>
      <c r="M656" s="667"/>
      <c r="N656" s="667"/>
      <c r="O656" s="667"/>
      <c r="P656" s="667"/>
      <c r="Q656" s="667"/>
    </row>
    <row r="657" ht="15.75" customHeight="1">
      <c r="B657" s="466"/>
      <c r="C657" s="667"/>
      <c r="D657" s="667"/>
      <c r="E657" s="668"/>
      <c r="F657" s="667"/>
      <c r="G657" s="667"/>
      <c r="H657" s="667"/>
      <c r="I657" s="667"/>
      <c r="J657" s="667"/>
      <c r="K657" s="667"/>
      <c r="L657" s="667"/>
      <c r="M657" s="667"/>
      <c r="N657" s="667"/>
      <c r="O657" s="667"/>
      <c r="P657" s="667"/>
      <c r="Q657" s="667"/>
    </row>
    <row r="658" ht="15.75" customHeight="1">
      <c r="B658" s="466"/>
      <c r="C658" s="667"/>
      <c r="D658" s="667"/>
      <c r="E658" s="668"/>
      <c r="F658" s="667"/>
      <c r="G658" s="667"/>
      <c r="H658" s="667"/>
      <c r="I658" s="667"/>
      <c r="J658" s="667"/>
      <c r="K658" s="667"/>
      <c r="L658" s="667"/>
      <c r="M658" s="667"/>
      <c r="N658" s="667"/>
      <c r="O658" s="667"/>
      <c r="P658" s="667"/>
      <c r="Q658" s="667"/>
    </row>
    <row r="659" ht="15.75" customHeight="1">
      <c r="B659" s="466"/>
      <c r="C659" s="667"/>
      <c r="D659" s="667"/>
      <c r="E659" s="668"/>
      <c r="F659" s="667"/>
      <c r="G659" s="667"/>
      <c r="H659" s="667"/>
      <c r="I659" s="667"/>
      <c r="J659" s="667"/>
      <c r="K659" s="667"/>
      <c r="L659" s="667"/>
      <c r="M659" s="667"/>
      <c r="N659" s="667"/>
      <c r="O659" s="667"/>
      <c r="P659" s="667"/>
      <c r="Q659" s="667"/>
    </row>
    <row r="660" ht="15.75" customHeight="1">
      <c r="B660" s="466"/>
      <c r="C660" s="667"/>
      <c r="D660" s="667"/>
      <c r="E660" s="668"/>
      <c r="F660" s="667"/>
      <c r="G660" s="667"/>
      <c r="H660" s="667"/>
      <c r="I660" s="667"/>
      <c r="J660" s="667"/>
      <c r="K660" s="667"/>
      <c r="L660" s="667"/>
      <c r="M660" s="667"/>
      <c r="N660" s="667"/>
      <c r="O660" s="667"/>
      <c r="P660" s="667"/>
      <c r="Q660" s="667"/>
    </row>
    <row r="661" ht="15.75" customHeight="1">
      <c r="B661" s="466"/>
      <c r="C661" s="667"/>
      <c r="D661" s="667"/>
      <c r="E661" s="668"/>
      <c r="F661" s="667"/>
      <c r="G661" s="667"/>
      <c r="H661" s="667"/>
      <c r="I661" s="667"/>
      <c r="J661" s="667"/>
      <c r="K661" s="667"/>
      <c r="L661" s="667"/>
      <c r="M661" s="667"/>
      <c r="N661" s="667"/>
      <c r="O661" s="667"/>
      <c r="P661" s="667"/>
      <c r="Q661" s="667"/>
    </row>
    <row r="662" ht="15.75" customHeight="1">
      <c r="B662" s="466"/>
      <c r="C662" s="667"/>
      <c r="D662" s="667"/>
      <c r="E662" s="668"/>
      <c r="F662" s="667"/>
      <c r="G662" s="667"/>
      <c r="H662" s="667"/>
      <c r="I662" s="667"/>
      <c r="J662" s="667"/>
      <c r="K662" s="667"/>
      <c r="L662" s="667"/>
      <c r="M662" s="667"/>
      <c r="N662" s="667"/>
      <c r="O662" s="667"/>
      <c r="P662" s="667"/>
      <c r="Q662" s="667"/>
    </row>
    <row r="663" ht="15.75" customHeight="1">
      <c r="B663" s="466"/>
      <c r="C663" s="667"/>
      <c r="D663" s="667"/>
      <c r="E663" s="668"/>
      <c r="F663" s="667"/>
      <c r="G663" s="667"/>
      <c r="H663" s="667"/>
      <c r="I663" s="667"/>
      <c r="J663" s="667"/>
      <c r="K663" s="667"/>
      <c r="L663" s="667"/>
      <c r="M663" s="667"/>
      <c r="N663" s="667"/>
      <c r="O663" s="667"/>
      <c r="P663" s="667"/>
      <c r="Q663" s="667"/>
    </row>
    <row r="664" ht="15.75" customHeight="1">
      <c r="B664" s="466"/>
      <c r="C664" s="667"/>
      <c r="D664" s="667"/>
      <c r="E664" s="668"/>
      <c r="F664" s="667"/>
      <c r="G664" s="667"/>
      <c r="H664" s="667"/>
      <c r="I664" s="667"/>
      <c r="J664" s="667"/>
      <c r="K664" s="667"/>
      <c r="L664" s="667"/>
      <c r="M664" s="667"/>
      <c r="N664" s="667"/>
      <c r="O664" s="667"/>
      <c r="P664" s="667"/>
      <c r="Q664" s="667"/>
    </row>
    <row r="665" ht="15.75" customHeight="1">
      <c r="B665" s="466"/>
      <c r="C665" s="667"/>
      <c r="D665" s="667"/>
      <c r="E665" s="668"/>
      <c r="F665" s="667"/>
      <c r="G665" s="667"/>
      <c r="H665" s="667"/>
      <c r="I665" s="667"/>
      <c r="J665" s="667"/>
      <c r="K665" s="667"/>
      <c r="L665" s="667"/>
      <c r="M665" s="667"/>
      <c r="N665" s="667"/>
      <c r="O665" s="667"/>
      <c r="P665" s="667"/>
      <c r="Q665" s="667"/>
    </row>
    <row r="666" ht="15.75" customHeight="1">
      <c r="B666" s="466"/>
      <c r="C666" s="667"/>
      <c r="D666" s="667"/>
      <c r="E666" s="668"/>
      <c r="F666" s="667"/>
      <c r="G666" s="667"/>
      <c r="H666" s="667"/>
      <c r="I666" s="667"/>
      <c r="J666" s="667"/>
      <c r="K666" s="667"/>
      <c r="L666" s="667"/>
      <c r="M666" s="667"/>
      <c r="N666" s="667"/>
      <c r="O666" s="667"/>
      <c r="P666" s="667"/>
      <c r="Q666" s="667"/>
    </row>
    <row r="667" ht="15.75" customHeight="1">
      <c r="B667" s="466"/>
      <c r="C667" s="667"/>
      <c r="D667" s="667"/>
      <c r="E667" s="668"/>
      <c r="F667" s="667"/>
      <c r="G667" s="667"/>
      <c r="H667" s="667"/>
      <c r="I667" s="667"/>
      <c r="J667" s="667"/>
      <c r="K667" s="667"/>
      <c r="L667" s="667"/>
      <c r="M667" s="667"/>
      <c r="N667" s="667"/>
      <c r="O667" s="667"/>
      <c r="P667" s="667"/>
      <c r="Q667" s="667"/>
    </row>
    <row r="668" ht="15.75" customHeight="1">
      <c r="B668" s="466"/>
      <c r="C668" s="667"/>
      <c r="D668" s="667"/>
      <c r="E668" s="668"/>
      <c r="F668" s="667"/>
      <c r="G668" s="667"/>
      <c r="H668" s="667"/>
      <c r="I668" s="667"/>
      <c r="J668" s="667"/>
      <c r="K668" s="667"/>
      <c r="L668" s="667"/>
      <c r="M668" s="667"/>
      <c r="N668" s="667"/>
      <c r="O668" s="667"/>
      <c r="P668" s="667"/>
      <c r="Q668" s="667"/>
    </row>
    <row r="669" ht="15.75" customHeight="1">
      <c r="B669" s="466"/>
      <c r="C669" s="667"/>
      <c r="D669" s="667"/>
      <c r="E669" s="668"/>
      <c r="F669" s="667"/>
      <c r="G669" s="667"/>
      <c r="H669" s="667"/>
      <c r="I669" s="667"/>
      <c r="J669" s="667"/>
      <c r="K669" s="667"/>
      <c r="L669" s="667"/>
      <c r="M669" s="667"/>
      <c r="N669" s="667"/>
      <c r="O669" s="667"/>
      <c r="P669" s="667"/>
      <c r="Q669" s="667"/>
    </row>
    <row r="670" ht="15.75" customHeight="1">
      <c r="B670" s="466"/>
      <c r="C670" s="667"/>
      <c r="D670" s="667"/>
      <c r="E670" s="668"/>
      <c r="F670" s="667"/>
      <c r="G670" s="667"/>
      <c r="H670" s="667"/>
      <c r="I670" s="667"/>
      <c r="J670" s="667"/>
      <c r="K670" s="667"/>
      <c r="L670" s="667"/>
      <c r="M670" s="667"/>
      <c r="N670" s="667"/>
      <c r="O670" s="667"/>
      <c r="P670" s="667"/>
      <c r="Q670" s="667"/>
    </row>
    <row r="671" ht="15.75" customHeight="1">
      <c r="B671" s="466"/>
      <c r="C671" s="667"/>
      <c r="D671" s="667"/>
      <c r="E671" s="668"/>
      <c r="F671" s="667"/>
      <c r="G671" s="667"/>
      <c r="H671" s="667"/>
      <c r="I671" s="667"/>
      <c r="J671" s="667"/>
      <c r="K671" s="667"/>
      <c r="L671" s="667"/>
      <c r="M671" s="667"/>
      <c r="N671" s="667"/>
      <c r="O671" s="667"/>
      <c r="P671" s="667"/>
      <c r="Q671" s="667"/>
    </row>
    <row r="672" ht="15.75" customHeight="1">
      <c r="B672" s="466"/>
      <c r="C672" s="667"/>
      <c r="D672" s="667"/>
      <c r="E672" s="668"/>
      <c r="F672" s="667"/>
      <c r="G672" s="667"/>
      <c r="H672" s="667"/>
      <c r="I672" s="667"/>
      <c r="J672" s="667"/>
      <c r="K672" s="667"/>
      <c r="L672" s="667"/>
      <c r="M672" s="667"/>
      <c r="N672" s="667"/>
      <c r="O672" s="667"/>
      <c r="P672" s="667"/>
      <c r="Q672" s="667"/>
    </row>
    <row r="673" ht="15.75" customHeight="1">
      <c r="B673" s="466"/>
      <c r="C673" s="667"/>
      <c r="D673" s="667"/>
      <c r="E673" s="668"/>
      <c r="F673" s="667"/>
      <c r="G673" s="667"/>
      <c r="H673" s="667"/>
      <c r="I673" s="667"/>
      <c r="J673" s="667"/>
      <c r="K673" s="667"/>
      <c r="L673" s="667"/>
      <c r="M673" s="667"/>
      <c r="N673" s="667"/>
      <c r="O673" s="667"/>
      <c r="P673" s="667"/>
      <c r="Q673" s="667"/>
    </row>
    <row r="674" ht="15.75" customHeight="1">
      <c r="B674" s="466"/>
      <c r="C674" s="667"/>
      <c r="D674" s="667"/>
      <c r="E674" s="668"/>
      <c r="F674" s="667"/>
      <c r="G674" s="667"/>
      <c r="H674" s="667"/>
      <c r="I674" s="667"/>
      <c r="J674" s="667"/>
      <c r="K674" s="667"/>
      <c r="L674" s="667"/>
      <c r="M674" s="667"/>
      <c r="N674" s="667"/>
      <c r="O674" s="667"/>
      <c r="P674" s="667"/>
      <c r="Q674" s="667"/>
    </row>
    <row r="675" ht="15.75" customHeight="1">
      <c r="B675" s="466"/>
      <c r="C675" s="667"/>
      <c r="D675" s="667"/>
      <c r="E675" s="668"/>
      <c r="F675" s="667"/>
      <c r="G675" s="667"/>
      <c r="H675" s="667"/>
      <c r="I675" s="667"/>
      <c r="J675" s="667"/>
      <c r="K675" s="667"/>
      <c r="L675" s="667"/>
      <c r="M675" s="667"/>
      <c r="N675" s="667"/>
      <c r="O675" s="667"/>
      <c r="P675" s="667"/>
      <c r="Q675" s="667"/>
    </row>
    <row r="676" ht="15.75" customHeight="1">
      <c r="B676" s="466"/>
      <c r="C676" s="667"/>
      <c r="D676" s="667"/>
      <c r="E676" s="668"/>
      <c r="F676" s="667"/>
      <c r="G676" s="667"/>
      <c r="H676" s="667"/>
      <c r="I676" s="667"/>
      <c r="J676" s="667"/>
      <c r="K676" s="667"/>
      <c r="L676" s="667"/>
      <c r="M676" s="667"/>
      <c r="N676" s="667"/>
      <c r="O676" s="667"/>
      <c r="P676" s="667"/>
      <c r="Q676" s="667"/>
    </row>
    <row r="677" ht="15.75" customHeight="1">
      <c r="B677" s="466"/>
      <c r="C677" s="667"/>
      <c r="D677" s="667"/>
      <c r="E677" s="668"/>
      <c r="F677" s="667"/>
      <c r="G677" s="667"/>
      <c r="H677" s="667"/>
      <c r="I677" s="667"/>
      <c r="J677" s="667"/>
      <c r="K677" s="667"/>
      <c r="L677" s="667"/>
      <c r="M677" s="667"/>
      <c r="N677" s="667"/>
      <c r="O677" s="667"/>
      <c r="P677" s="667"/>
      <c r="Q677" s="667"/>
    </row>
    <row r="678" ht="15.75" customHeight="1">
      <c r="B678" s="466"/>
      <c r="C678" s="667"/>
      <c r="D678" s="667"/>
      <c r="E678" s="668"/>
      <c r="F678" s="667"/>
      <c r="G678" s="667"/>
      <c r="H678" s="667"/>
      <c r="I678" s="667"/>
      <c r="J678" s="667"/>
      <c r="K678" s="667"/>
      <c r="L678" s="667"/>
      <c r="M678" s="667"/>
      <c r="N678" s="667"/>
      <c r="O678" s="667"/>
      <c r="P678" s="667"/>
      <c r="Q678" s="667"/>
    </row>
    <row r="679" ht="15.75" customHeight="1">
      <c r="B679" s="466"/>
      <c r="C679" s="667"/>
      <c r="D679" s="667"/>
      <c r="E679" s="668"/>
      <c r="F679" s="667"/>
      <c r="G679" s="667"/>
      <c r="H679" s="667"/>
      <c r="I679" s="667"/>
      <c r="J679" s="667"/>
      <c r="K679" s="667"/>
      <c r="L679" s="667"/>
      <c r="M679" s="667"/>
      <c r="N679" s="667"/>
      <c r="O679" s="667"/>
      <c r="P679" s="667"/>
      <c r="Q679" s="667"/>
    </row>
    <row r="680" ht="15.75" customHeight="1">
      <c r="B680" s="466"/>
      <c r="C680" s="667"/>
      <c r="D680" s="667"/>
      <c r="E680" s="668"/>
      <c r="F680" s="667"/>
      <c r="G680" s="667"/>
      <c r="H680" s="667"/>
      <c r="I680" s="667"/>
      <c r="J680" s="667"/>
      <c r="K680" s="667"/>
      <c r="L680" s="667"/>
      <c r="M680" s="667"/>
      <c r="N680" s="667"/>
      <c r="O680" s="667"/>
      <c r="P680" s="667"/>
      <c r="Q680" s="667"/>
    </row>
    <row r="681" ht="15.75" customHeight="1">
      <c r="B681" s="466"/>
      <c r="C681" s="667"/>
      <c r="D681" s="667"/>
      <c r="E681" s="668"/>
      <c r="F681" s="667"/>
      <c r="G681" s="667"/>
      <c r="H681" s="667"/>
      <c r="I681" s="667"/>
      <c r="J681" s="667"/>
      <c r="K681" s="667"/>
      <c r="L681" s="667"/>
      <c r="M681" s="667"/>
      <c r="N681" s="667"/>
      <c r="O681" s="667"/>
      <c r="P681" s="667"/>
      <c r="Q681" s="667"/>
    </row>
    <row r="682" ht="15.75" customHeight="1">
      <c r="B682" s="466"/>
      <c r="C682" s="667"/>
      <c r="D682" s="667"/>
      <c r="E682" s="668"/>
      <c r="F682" s="667"/>
      <c r="G682" s="667"/>
      <c r="H682" s="667"/>
      <c r="I682" s="667"/>
      <c r="J682" s="667"/>
      <c r="K682" s="667"/>
      <c r="L682" s="667"/>
      <c r="M682" s="667"/>
      <c r="N682" s="667"/>
      <c r="O682" s="667"/>
      <c r="P682" s="667"/>
      <c r="Q682" s="667"/>
    </row>
    <row r="683" ht="15.75" customHeight="1">
      <c r="B683" s="466"/>
      <c r="C683" s="667"/>
      <c r="D683" s="667"/>
      <c r="E683" s="668"/>
      <c r="F683" s="667"/>
      <c r="G683" s="667"/>
      <c r="H683" s="667"/>
      <c r="I683" s="667"/>
      <c r="J683" s="667"/>
      <c r="K683" s="667"/>
      <c r="L683" s="667"/>
      <c r="M683" s="667"/>
      <c r="N683" s="667"/>
      <c r="O683" s="667"/>
      <c r="P683" s="667"/>
      <c r="Q683" s="667"/>
    </row>
    <row r="684" ht="15.75" customHeight="1">
      <c r="B684" s="466"/>
      <c r="C684" s="667"/>
      <c r="D684" s="667"/>
      <c r="E684" s="668"/>
      <c r="F684" s="667"/>
      <c r="G684" s="667"/>
      <c r="H684" s="667"/>
      <c r="I684" s="667"/>
      <c r="J684" s="667"/>
      <c r="K684" s="667"/>
      <c r="L684" s="667"/>
      <c r="M684" s="667"/>
      <c r="N684" s="667"/>
      <c r="O684" s="667"/>
      <c r="P684" s="667"/>
      <c r="Q684" s="667"/>
    </row>
    <row r="685" ht="15.75" customHeight="1">
      <c r="B685" s="466"/>
      <c r="C685" s="667"/>
      <c r="D685" s="667"/>
      <c r="E685" s="668"/>
      <c r="F685" s="667"/>
      <c r="G685" s="667"/>
      <c r="H685" s="667"/>
      <c r="I685" s="667"/>
      <c r="J685" s="667"/>
      <c r="K685" s="667"/>
      <c r="L685" s="667"/>
      <c r="M685" s="667"/>
      <c r="N685" s="667"/>
      <c r="O685" s="667"/>
      <c r="P685" s="667"/>
      <c r="Q685" s="667"/>
    </row>
    <row r="686" ht="15.75" customHeight="1">
      <c r="B686" s="466"/>
      <c r="C686" s="667"/>
      <c r="D686" s="667"/>
      <c r="E686" s="668"/>
      <c r="F686" s="667"/>
      <c r="G686" s="667"/>
      <c r="H686" s="667"/>
      <c r="I686" s="667"/>
      <c r="J686" s="667"/>
      <c r="K686" s="667"/>
      <c r="L686" s="667"/>
      <c r="M686" s="667"/>
      <c r="N686" s="667"/>
      <c r="O686" s="667"/>
      <c r="P686" s="667"/>
      <c r="Q686" s="667"/>
    </row>
    <row r="687" ht="15.75" customHeight="1">
      <c r="B687" s="466"/>
      <c r="C687" s="667"/>
      <c r="D687" s="667"/>
      <c r="E687" s="668"/>
      <c r="F687" s="667"/>
      <c r="G687" s="667"/>
      <c r="H687" s="667"/>
      <c r="I687" s="667"/>
      <c r="J687" s="667"/>
      <c r="K687" s="667"/>
      <c r="L687" s="667"/>
      <c r="M687" s="667"/>
      <c r="N687" s="667"/>
      <c r="O687" s="667"/>
      <c r="P687" s="667"/>
      <c r="Q687" s="667"/>
    </row>
    <row r="688" ht="15.75" customHeight="1">
      <c r="B688" s="466"/>
      <c r="C688" s="667"/>
      <c r="D688" s="667"/>
      <c r="E688" s="668"/>
      <c r="F688" s="667"/>
      <c r="G688" s="667"/>
      <c r="H688" s="667"/>
      <c r="I688" s="667"/>
      <c r="J688" s="667"/>
      <c r="K688" s="667"/>
      <c r="L688" s="667"/>
      <c r="M688" s="667"/>
      <c r="N688" s="667"/>
      <c r="O688" s="667"/>
      <c r="P688" s="667"/>
      <c r="Q688" s="667"/>
    </row>
    <row r="689" ht="15.75" customHeight="1">
      <c r="B689" s="466"/>
      <c r="C689" s="667"/>
      <c r="D689" s="667"/>
      <c r="E689" s="668"/>
      <c r="F689" s="667"/>
      <c r="G689" s="667"/>
      <c r="H689" s="667"/>
      <c r="I689" s="667"/>
      <c r="J689" s="667"/>
      <c r="K689" s="667"/>
      <c r="L689" s="667"/>
      <c r="M689" s="667"/>
      <c r="N689" s="667"/>
      <c r="O689" s="667"/>
      <c r="P689" s="667"/>
      <c r="Q689" s="667"/>
    </row>
    <row r="690" ht="15.75" customHeight="1">
      <c r="B690" s="466"/>
      <c r="C690" s="667"/>
      <c r="D690" s="667"/>
      <c r="E690" s="668"/>
      <c r="F690" s="667"/>
      <c r="G690" s="667"/>
      <c r="H690" s="667"/>
      <c r="I690" s="667"/>
      <c r="J690" s="667"/>
      <c r="K690" s="667"/>
      <c r="L690" s="667"/>
      <c r="M690" s="667"/>
      <c r="N690" s="667"/>
      <c r="O690" s="667"/>
      <c r="P690" s="667"/>
      <c r="Q690" s="667"/>
    </row>
    <row r="691" ht="15.75" customHeight="1">
      <c r="B691" s="466"/>
      <c r="C691" s="667"/>
      <c r="D691" s="667"/>
      <c r="E691" s="668"/>
      <c r="F691" s="667"/>
      <c r="G691" s="667"/>
      <c r="H691" s="667"/>
      <c r="I691" s="667"/>
      <c r="J691" s="667"/>
      <c r="K691" s="667"/>
      <c r="L691" s="667"/>
      <c r="M691" s="667"/>
      <c r="N691" s="667"/>
      <c r="O691" s="667"/>
      <c r="P691" s="667"/>
      <c r="Q691" s="667"/>
    </row>
    <row r="692" ht="15.75" customHeight="1">
      <c r="B692" s="466"/>
      <c r="C692" s="667"/>
      <c r="D692" s="667"/>
      <c r="E692" s="668"/>
      <c r="F692" s="667"/>
      <c r="G692" s="667"/>
      <c r="H692" s="667"/>
      <c r="I692" s="667"/>
      <c r="J692" s="667"/>
      <c r="K692" s="667"/>
      <c r="L692" s="667"/>
      <c r="M692" s="667"/>
      <c r="N692" s="667"/>
      <c r="O692" s="667"/>
      <c r="P692" s="667"/>
      <c r="Q692" s="667"/>
    </row>
    <row r="693" ht="15.75" customHeight="1">
      <c r="B693" s="466"/>
      <c r="C693" s="667"/>
      <c r="D693" s="667"/>
      <c r="E693" s="668"/>
      <c r="F693" s="667"/>
      <c r="G693" s="667"/>
      <c r="H693" s="667"/>
      <c r="I693" s="667"/>
      <c r="J693" s="667"/>
      <c r="K693" s="667"/>
      <c r="L693" s="667"/>
      <c r="M693" s="667"/>
      <c r="N693" s="667"/>
      <c r="O693" s="667"/>
      <c r="P693" s="667"/>
      <c r="Q693" s="667"/>
    </row>
    <row r="694" ht="15.75" customHeight="1">
      <c r="B694" s="466"/>
      <c r="C694" s="667"/>
      <c r="D694" s="667"/>
      <c r="E694" s="668"/>
      <c r="F694" s="667"/>
      <c r="G694" s="667"/>
      <c r="H694" s="667"/>
      <c r="I694" s="667"/>
      <c r="J694" s="667"/>
      <c r="K694" s="667"/>
      <c r="L694" s="667"/>
      <c r="M694" s="667"/>
      <c r="N694" s="667"/>
      <c r="O694" s="667"/>
      <c r="P694" s="667"/>
      <c r="Q694" s="667"/>
    </row>
    <row r="695" ht="15.75" customHeight="1">
      <c r="B695" s="466"/>
      <c r="C695" s="667"/>
      <c r="D695" s="667"/>
      <c r="E695" s="668"/>
      <c r="F695" s="667"/>
      <c r="G695" s="667"/>
      <c r="H695" s="667"/>
      <c r="I695" s="667"/>
      <c r="J695" s="667"/>
      <c r="K695" s="667"/>
      <c r="L695" s="667"/>
      <c r="M695" s="667"/>
      <c r="N695" s="667"/>
      <c r="O695" s="667"/>
      <c r="P695" s="667"/>
      <c r="Q695" s="667"/>
    </row>
    <row r="696" ht="15.75" customHeight="1">
      <c r="B696" s="466"/>
      <c r="C696" s="667"/>
      <c r="D696" s="667"/>
      <c r="E696" s="668"/>
      <c r="F696" s="667"/>
      <c r="G696" s="667"/>
      <c r="H696" s="667"/>
      <c r="I696" s="667"/>
      <c r="J696" s="667"/>
      <c r="K696" s="667"/>
      <c r="L696" s="667"/>
      <c r="M696" s="667"/>
      <c r="N696" s="667"/>
      <c r="O696" s="667"/>
      <c r="P696" s="667"/>
      <c r="Q696" s="667"/>
    </row>
    <row r="697" ht="15.75" customHeight="1">
      <c r="B697" s="466"/>
      <c r="C697" s="667"/>
      <c r="D697" s="667"/>
      <c r="E697" s="668"/>
      <c r="F697" s="667"/>
      <c r="G697" s="667"/>
      <c r="H697" s="667"/>
      <c r="I697" s="667"/>
      <c r="J697" s="667"/>
      <c r="K697" s="667"/>
      <c r="L697" s="667"/>
      <c r="M697" s="667"/>
      <c r="N697" s="667"/>
      <c r="O697" s="667"/>
      <c r="P697" s="667"/>
      <c r="Q697" s="667"/>
    </row>
    <row r="698" ht="15.75" customHeight="1">
      <c r="B698" s="466"/>
      <c r="C698" s="667"/>
      <c r="D698" s="667"/>
      <c r="E698" s="668"/>
      <c r="F698" s="667"/>
      <c r="G698" s="667"/>
      <c r="H698" s="667"/>
      <c r="I698" s="667"/>
      <c r="J698" s="667"/>
      <c r="K698" s="667"/>
      <c r="L698" s="667"/>
      <c r="M698" s="667"/>
      <c r="N698" s="667"/>
      <c r="O698" s="667"/>
      <c r="P698" s="667"/>
      <c r="Q698" s="667"/>
    </row>
    <row r="699" ht="15.75" customHeight="1">
      <c r="B699" s="466"/>
      <c r="C699" s="667"/>
      <c r="D699" s="667"/>
      <c r="E699" s="668"/>
      <c r="F699" s="667"/>
      <c r="G699" s="667"/>
      <c r="H699" s="667"/>
      <c r="I699" s="667"/>
      <c r="J699" s="667"/>
      <c r="K699" s="667"/>
      <c r="L699" s="667"/>
      <c r="M699" s="667"/>
      <c r="N699" s="667"/>
      <c r="O699" s="667"/>
      <c r="P699" s="667"/>
      <c r="Q699" s="667"/>
    </row>
    <row r="700" ht="15.75" customHeight="1">
      <c r="B700" s="466"/>
      <c r="C700" s="667"/>
      <c r="D700" s="667"/>
      <c r="E700" s="668"/>
      <c r="F700" s="667"/>
      <c r="G700" s="667"/>
      <c r="H700" s="667"/>
      <c r="I700" s="667"/>
      <c r="J700" s="667"/>
      <c r="K700" s="667"/>
      <c r="L700" s="667"/>
      <c r="M700" s="667"/>
      <c r="N700" s="667"/>
      <c r="O700" s="667"/>
      <c r="P700" s="667"/>
      <c r="Q700" s="667"/>
    </row>
    <row r="701" ht="15.75" customHeight="1">
      <c r="B701" s="466"/>
      <c r="C701" s="667"/>
      <c r="D701" s="667"/>
      <c r="E701" s="668"/>
      <c r="F701" s="667"/>
      <c r="G701" s="667"/>
      <c r="H701" s="667"/>
      <c r="I701" s="667"/>
      <c r="J701" s="667"/>
      <c r="K701" s="667"/>
      <c r="L701" s="667"/>
      <c r="M701" s="667"/>
      <c r="N701" s="667"/>
      <c r="O701" s="667"/>
      <c r="P701" s="667"/>
      <c r="Q701" s="667"/>
    </row>
    <row r="702" ht="15.75" customHeight="1">
      <c r="B702" s="466"/>
      <c r="C702" s="667"/>
      <c r="D702" s="667"/>
      <c r="E702" s="668"/>
      <c r="F702" s="667"/>
      <c r="G702" s="667"/>
      <c r="H702" s="667"/>
      <c r="I702" s="667"/>
      <c r="J702" s="667"/>
      <c r="K702" s="667"/>
      <c r="L702" s="667"/>
      <c r="M702" s="667"/>
      <c r="N702" s="667"/>
      <c r="O702" s="667"/>
      <c r="P702" s="667"/>
      <c r="Q702" s="667"/>
    </row>
    <row r="703" ht="15.75" customHeight="1">
      <c r="B703" s="466"/>
      <c r="C703" s="667"/>
      <c r="D703" s="667"/>
      <c r="E703" s="668"/>
      <c r="F703" s="667"/>
      <c r="G703" s="667"/>
      <c r="H703" s="667"/>
      <c r="I703" s="667"/>
      <c r="J703" s="667"/>
      <c r="K703" s="667"/>
      <c r="L703" s="667"/>
      <c r="M703" s="667"/>
      <c r="N703" s="667"/>
      <c r="O703" s="667"/>
      <c r="P703" s="667"/>
      <c r="Q703" s="667"/>
    </row>
    <row r="704" ht="15.75" customHeight="1">
      <c r="B704" s="466"/>
      <c r="C704" s="667"/>
      <c r="D704" s="667"/>
      <c r="E704" s="668"/>
      <c r="F704" s="667"/>
      <c r="G704" s="667"/>
      <c r="H704" s="667"/>
      <c r="I704" s="667"/>
      <c r="J704" s="667"/>
      <c r="K704" s="667"/>
      <c r="L704" s="667"/>
      <c r="M704" s="667"/>
      <c r="N704" s="667"/>
      <c r="O704" s="667"/>
      <c r="P704" s="667"/>
      <c r="Q704" s="667"/>
    </row>
    <row r="705" ht="15.75" customHeight="1">
      <c r="B705" s="466"/>
      <c r="C705" s="667"/>
      <c r="D705" s="667"/>
      <c r="E705" s="668"/>
      <c r="F705" s="667"/>
      <c r="G705" s="667"/>
      <c r="H705" s="667"/>
      <c r="I705" s="667"/>
      <c r="J705" s="667"/>
      <c r="K705" s="667"/>
      <c r="L705" s="667"/>
      <c r="M705" s="667"/>
      <c r="N705" s="667"/>
      <c r="O705" s="667"/>
      <c r="P705" s="667"/>
      <c r="Q705" s="667"/>
    </row>
    <row r="706" ht="15.75" customHeight="1">
      <c r="B706" s="466"/>
      <c r="C706" s="667"/>
      <c r="D706" s="667"/>
      <c r="E706" s="668"/>
      <c r="F706" s="667"/>
      <c r="G706" s="667"/>
      <c r="H706" s="667"/>
      <c r="I706" s="667"/>
      <c r="J706" s="667"/>
      <c r="K706" s="667"/>
      <c r="L706" s="667"/>
      <c r="M706" s="667"/>
      <c r="N706" s="667"/>
      <c r="O706" s="667"/>
      <c r="P706" s="667"/>
      <c r="Q706" s="667"/>
    </row>
    <row r="707" ht="15.75" customHeight="1">
      <c r="B707" s="466"/>
      <c r="C707" s="667"/>
      <c r="D707" s="667"/>
      <c r="E707" s="668"/>
      <c r="F707" s="667"/>
      <c r="G707" s="667"/>
      <c r="H707" s="667"/>
      <c r="I707" s="667"/>
      <c r="J707" s="667"/>
      <c r="K707" s="667"/>
      <c r="L707" s="667"/>
      <c r="M707" s="667"/>
      <c r="N707" s="667"/>
      <c r="O707" s="667"/>
      <c r="P707" s="667"/>
      <c r="Q707" s="667"/>
    </row>
    <row r="708" ht="15.75" customHeight="1">
      <c r="B708" s="466"/>
      <c r="C708" s="667"/>
      <c r="D708" s="667"/>
      <c r="E708" s="668"/>
      <c r="F708" s="667"/>
      <c r="G708" s="667"/>
      <c r="H708" s="667"/>
      <c r="I708" s="667"/>
      <c r="J708" s="667"/>
      <c r="K708" s="667"/>
      <c r="L708" s="667"/>
      <c r="M708" s="667"/>
      <c r="N708" s="667"/>
      <c r="O708" s="667"/>
      <c r="P708" s="667"/>
      <c r="Q708" s="667"/>
    </row>
    <row r="709" ht="15.75" customHeight="1">
      <c r="B709" s="466"/>
      <c r="C709" s="667"/>
      <c r="D709" s="667"/>
      <c r="E709" s="668"/>
      <c r="F709" s="667"/>
      <c r="G709" s="667"/>
      <c r="H709" s="667"/>
      <c r="I709" s="667"/>
      <c r="J709" s="667"/>
      <c r="K709" s="667"/>
      <c r="L709" s="667"/>
      <c r="M709" s="667"/>
      <c r="N709" s="667"/>
      <c r="O709" s="667"/>
      <c r="P709" s="667"/>
      <c r="Q709" s="667"/>
    </row>
    <row r="710" ht="15.75" customHeight="1">
      <c r="B710" s="466"/>
      <c r="C710" s="667"/>
      <c r="D710" s="667"/>
      <c r="E710" s="668"/>
      <c r="F710" s="667"/>
      <c r="G710" s="667"/>
      <c r="H710" s="667"/>
      <c r="I710" s="667"/>
      <c r="J710" s="667"/>
      <c r="K710" s="667"/>
      <c r="L710" s="667"/>
      <c r="M710" s="667"/>
      <c r="N710" s="667"/>
      <c r="O710" s="667"/>
      <c r="P710" s="667"/>
      <c r="Q710" s="667"/>
    </row>
    <row r="711" ht="15.75" customHeight="1">
      <c r="B711" s="466"/>
      <c r="C711" s="667"/>
      <c r="D711" s="667"/>
      <c r="E711" s="668"/>
      <c r="F711" s="667"/>
      <c r="G711" s="667"/>
      <c r="H711" s="667"/>
      <c r="I711" s="667"/>
      <c r="J711" s="667"/>
      <c r="K711" s="667"/>
      <c r="L711" s="667"/>
      <c r="M711" s="667"/>
      <c r="N711" s="667"/>
      <c r="O711" s="667"/>
      <c r="P711" s="667"/>
      <c r="Q711" s="667"/>
    </row>
    <row r="712" ht="15.75" customHeight="1">
      <c r="B712" s="466"/>
      <c r="C712" s="667"/>
      <c r="D712" s="667"/>
      <c r="E712" s="668"/>
      <c r="F712" s="667"/>
      <c r="G712" s="667"/>
      <c r="H712" s="667"/>
      <c r="I712" s="667"/>
      <c r="J712" s="667"/>
      <c r="K712" s="667"/>
      <c r="L712" s="667"/>
      <c r="M712" s="667"/>
      <c r="N712" s="667"/>
      <c r="O712" s="667"/>
      <c r="P712" s="667"/>
      <c r="Q712" s="667"/>
    </row>
    <row r="713" ht="15.75" customHeight="1">
      <c r="B713" s="466"/>
      <c r="C713" s="667"/>
      <c r="D713" s="667"/>
      <c r="E713" s="668"/>
      <c r="F713" s="667"/>
      <c r="G713" s="667"/>
      <c r="H713" s="667"/>
      <c r="I713" s="667"/>
      <c r="J713" s="667"/>
      <c r="K713" s="667"/>
      <c r="L713" s="667"/>
      <c r="M713" s="667"/>
      <c r="N713" s="667"/>
      <c r="O713" s="667"/>
      <c r="P713" s="667"/>
      <c r="Q713" s="667"/>
    </row>
    <row r="714" ht="15.75" customHeight="1">
      <c r="B714" s="466"/>
      <c r="C714" s="667"/>
      <c r="D714" s="667"/>
      <c r="E714" s="668"/>
      <c r="F714" s="667"/>
      <c r="G714" s="667"/>
      <c r="H714" s="667"/>
      <c r="I714" s="667"/>
      <c r="J714" s="667"/>
      <c r="K714" s="667"/>
      <c r="L714" s="667"/>
      <c r="M714" s="667"/>
      <c r="N714" s="667"/>
      <c r="O714" s="667"/>
      <c r="P714" s="667"/>
      <c r="Q714" s="667"/>
    </row>
    <row r="715" ht="15.75" customHeight="1">
      <c r="B715" s="466"/>
      <c r="C715" s="667"/>
      <c r="D715" s="667"/>
      <c r="E715" s="668"/>
      <c r="F715" s="667"/>
      <c r="G715" s="667"/>
      <c r="H715" s="667"/>
      <c r="I715" s="667"/>
      <c r="J715" s="667"/>
      <c r="K715" s="667"/>
      <c r="L715" s="667"/>
      <c r="M715" s="667"/>
      <c r="N715" s="667"/>
      <c r="O715" s="667"/>
      <c r="P715" s="667"/>
      <c r="Q715" s="667"/>
    </row>
    <row r="716" ht="15.75" customHeight="1">
      <c r="B716" s="466"/>
      <c r="C716" s="667"/>
      <c r="D716" s="667"/>
      <c r="E716" s="668"/>
      <c r="F716" s="667"/>
      <c r="G716" s="667"/>
      <c r="H716" s="667"/>
      <c r="I716" s="667"/>
      <c r="J716" s="667"/>
      <c r="K716" s="667"/>
      <c r="L716" s="667"/>
      <c r="M716" s="667"/>
      <c r="N716" s="667"/>
      <c r="O716" s="667"/>
      <c r="P716" s="667"/>
      <c r="Q716" s="667"/>
    </row>
    <row r="717" ht="15.75" customHeight="1">
      <c r="B717" s="466"/>
      <c r="C717" s="667"/>
      <c r="D717" s="667"/>
      <c r="E717" s="668"/>
      <c r="F717" s="667"/>
      <c r="G717" s="667"/>
      <c r="H717" s="667"/>
      <c r="I717" s="667"/>
      <c r="J717" s="667"/>
      <c r="K717" s="667"/>
      <c r="L717" s="667"/>
      <c r="M717" s="667"/>
      <c r="N717" s="667"/>
      <c r="O717" s="667"/>
      <c r="P717" s="667"/>
      <c r="Q717" s="667"/>
    </row>
    <row r="718" ht="15.75" customHeight="1">
      <c r="B718" s="466"/>
      <c r="C718" s="667"/>
      <c r="D718" s="667"/>
      <c r="E718" s="668"/>
      <c r="F718" s="667"/>
      <c r="G718" s="667"/>
      <c r="H718" s="667"/>
      <c r="I718" s="667"/>
      <c r="J718" s="667"/>
      <c r="K718" s="667"/>
      <c r="L718" s="667"/>
      <c r="M718" s="667"/>
      <c r="N718" s="667"/>
      <c r="O718" s="667"/>
      <c r="P718" s="667"/>
      <c r="Q718" s="667"/>
    </row>
    <row r="719" ht="15.75" customHeight="1">
      <c r="B719" s="466"/>
      <c r="C719" s="667"/>
      <c r="D719" s="667"/>
      <c r="E719" s="668"/>
      <c r="F719" s="667"/>
      <c r="G719" s="667"/>
      <c r="H719" s="667"/>
      <c r="I719" s="667"/>
      <c r="J719" s="667"/>
      <c r="K719" s="667"/>
      <c r="L719" s="667"/>
      <c r="M719" s="667"/>
      <c r="N719" s="667"/>
      <c r="O719" s="667"/>
      <c r="P719" s="667"/>
      <c r="Q719" s="667"/>
    </row>
    <row r="720" ht="15.75" customHeight="1">
      <c r="B720" s="466"/>
      <c r="C720" s="667"/>
      <c r="D720" s="667"/>
      <c r="E720" s="668"/>
      <c r="F720" s="667"/>
      <c r="G720" s="667"/>
      <c r="H720" s="667"/>
      <c r="I720" s="667"/>
      <c r="J720" s="667"/>
      <c r="K720" s="667"/>
      <c r="L720" s="667"/>
      <c r="M720" s="667"/>
      <c r="N720" s="667"/>
      <c r="O720" s="667"/>
      <c r="P720" s="667"/>
      <c r="Q720" s="667"/>
    </row>
    <row r="721" ht="15.75" customHeight="1">
      <c r="B721" s="466"/>
      <c r="C721" s="667"/>
      <c r="D721" s="667"/>
      <c r="E721" s="668"/>
      <c r="F721" s="667"/>
      <c r="G721" s="667"/>
      <c r="H721" s="667"/>
      <c r="I721" s="667"/>
      <c r="J721" s="667"/>
      <c r="K721" s="667"/>
      <c r="L721" s="667"/>
      <c r="M721" s="667"/>
      <c r="N721" s="667"/>
      <c r="O721" s="667"/>
      <c r="P721" s="667"/>
      <c r="Q721" s="667"/>
    </row>
    <row r="722" ht="15.75" customHeight="1">
      <c r="B722" s="466"/>
      <c r="C722" s="667"/>
      <c r="D722" s="667"/>
      <c r="E722" s="668"/>
      <c r="F722" s="667"/>
      <c r="G722" s="667"/>
      <c r="H722" s="667"/>
      <c r="I722" s="667"/>
      <c r="J722" s="667"/>
      <c r="K722" s="667"/>
      <c r="L722" s="667"/>
      <c r="M722" s="667"/>
      <c r="N722" s="667"/>
      <c r="O722" s="667"/>
      <c r="P722" s="667"/>
      <c r="Q722" s="667"/>
    </row>
    <row r="723" ht="15.75" customHeight="1">
      <c r="B723" s="466"/>
      <c r="C723" s="667"/>
      <c r="D723" s="667"/>
      <c r="E723" s="668"/>
      <c r="F723" s="667"/>
      <c r="G723" s="667"/>
      <c r="H723" s="667"/>
      <c r="I723" s="667"/>
      <c r="J723" s="667"/>
      <c r="K723" s="667"/>
      <c r="L723" s="667"/>
      <c r="M723" s="667"/>
      <c r="N723" s="667"/>
      <c r="O723" s="667"/>
      <c r="P723" s="667"/>
      <c r="Q723" s="667"/>
    </row>
    <row r="724" ht="15.75" customHeight="1">
      <c r="B724" s="466"/>
      <c r="C724" s="667"/>
      <c r="D724" s="667"/>
      <c r="E724" s="668"/>
      <c r="F724" s="667"/>
      <c r="G724" s="667"/>
      <c r="H724" s="667"/>
      <c r="I724" s="667"/>
      <c r="J724" s="667"/>
      <c r="K724" s="667"/>
      <c r="L724" s="667"/>
      <c r="M724" s="667"/>
      <c r="N724" s="667"/>
      <c r="O724" s="667"/>
      <c r="P724" s="667"/>
      <c r="Q724" s="667"/>
    </row>
    <row r="725" ht="15.75" customHeight="1">
      <c r="B725" s="466"/>
      <c r="C725" s="667"/>
      <c r="D725" s="667"/>
      <c r="E725" s="668"/>
      <c r="F725" s="667"/>
      <c r="G725" s="667"/>
      <c r="H725" s="667"/>
      <c r="I725" s="667"/>
      <c r="J725" s="667"/>
      <c r="K725" s="667"/>
      <c r="L725" s="667"/>
      <c r="M725" s="667"/>
      <c r="N725" s="667"/>
      <c r="O725" s="667"/>
      <c r="P725" s="667"/>
      <c r="Q725" s="667"/>
    </row>
    <row r="726" ht="15.75" customHeight="1">
      <c r="B726" s="466"/>
      <c r="C726" s="667"/>
      <c r="D726" s="667"/>
      <c r="E726" s="668"/>
      <c r="F726" s="667"/>
      <c r="G726" s="667"/>
      <c r="H726" s="667"/>
      <c r="I726" s="667"/>
      <c r="J726" s="667"/>
      <c r="K726" s="667"/>
      <c r="L726" s="667"/>
      <c r="M726" s="667"/>
      <c r="N726" s="667"/>
      <c r="O726" s="667"/>
      <c r="P726" s="667"/>
      <c r="Q726" s="667"/>
    </row>
    <row r="727" ht="15.75" customHeight="1">
      <c r="B727" s="466"/>
      <c r="C727" s="667"/>
      <c r="D727" s="667"/>
      <c r="E727" s="668"/>
      <c r="F727" s="667"/>
      <c r="G727" s="667"/>
      <c r="H727" s="667"/>
      <c r="I727" s="667"/>
      <c r="J727" s="667"/>
      <c r="K727" s="667"/>
      <c r="L727" s="667"/>
      <c r="M727" s="667"/>
      <c r="N727" s="667"/>
      <c r="O727" s="667"/>
      <c r="P727" s="667"/>
      <c r="Q727" s="667"/>
    </row>
    <row r="728" ht="15.75" customHeight="1">
      <c r="B728" s="466"/>
      <c r="C728" s="667"/>
      <c r="D728" s="667"/>
      <c r="E728" s="668"/>
      <c r="F728" s="667"/>
      <c r="G728" s="667"/>
      <c r="H728" s="667"/>
      <c r="I728" s="667"/>
      <c r="J728" s="667"/>
      <c r="K728" s="667"/>
      <c r="L728" s="667"/>
      <c r="M728" s="667"/>
      <c r="N728" s="667"/>
      <c r="O728" s="667"/>
      <c r="P728" s="667"/>
      <c r="Q728" s="667"/>
    </row>
    <row r="729" ht="15.75" customHeight="1">
      <c r="B729" s="466"/>
      <c r="C729" s="667"/>
      <c r="D729" s="667"/>
      <c r="E729" s="668"/>
      <c r="F729" s="667"/>
      <c r="G729" s="667"/>
      <c r="H729" s="667"/>
      <c r="I729" s="667"/>
      <c r="J729" s="667"/>
      <c r="K729" s="667"/>
      <c r="L729" s="667"/>
      <c r="M729" s="667"/>
      <c r="N729" s="667"/>
      <c r="O729" s="667"/>
      <c r="P729" s="667"/>
      <c r="Q729" s="667"/>
    </row>
    <row r="730" ht="15.75" customHeight="1">
      <c r="B730" s="466"/>
      <c r="C730" s="667"/>
      <c r="D730" s="667"/>
      <c r="E730" s="668"/>
      <c r="F730" s="667"/>
      <c r="G730" s="667"/>
      <c r="H730" s="667"/>
      <c r="I730" s="667"/>
      <c r="J730" s="667"/>
      <c r="K730" s="667"/>
      <c r="L730" s="667"/>
      <c r="M730" s="667"/>
      <c r="N730" s="667"/>
      <c r="O730" s="667"/>
      <c r="P730" s="667"/>
      <c r="Q730" s="667"/>
    </row>
    <row r="731" ht="15.75" customHeight="1">
      <c r="B731" s="466"/>
      <c r="C731" s="667"/>
      <c r="D731" s="667"/>
      <c r="E731" s="668"/>
      <c r="F731" s="667"/>
      <c r="G731" s="667"/>
      <c r="H731" s="667"/>
      <c r="I731" s="667"/>
      <c r="J731" s="667"/>
      <c r="K731" s="667"/>
      <c r="L731" s="667"/>
      <c r="M731" s="667"/>
      <c r="N731" s="667"/>
      <c r="O731" s="667"/>
      <c r="P731" s="667"/>
      <c r="Q731" s="667"/>
    </row>
    <row r="732" ht="15.75" customHeight="1">
      <c r="B732" s="466"/>
      <c r="C732" s="667"/>
      <c r="D732" s="667"/>
      <c r="E732" s="668"/>
      <c r="F732" s="667"/>
      <c r="G732" s="667"/>
      <c r="H732" s="667"/>
      <c r="I732" s="667"/>
      <c r="J732" s="667"/>
      <c r="K732" s="667"/>
      <c r="L732" s="667"/>
      <c r="M732" s="667"/>
      <c r="N732" s="667"/>
      <c r="O732" s="667"/>
      <c r="P732" s="667"/>
      <c r="Q732" s="667"/>
    </row>
    <row r="733" ht="15.75" customHeight="1">
      <c r="B733" s="466"/>
      <c r="C733" s="667"/>
      <c r="D733" s="667"/>
      <c r="E733" s="668"/>
      <c r="F733" s="667"/>
      <c r="G733" s="667"/>
      <c r="H733" s="667"/>
      <c r="I733" s="667"/>
      <c r="J733" s="667"/>
      <c r="K733" s="667"/>
      <c r="L733" s="667"/>
      <c r="M733" s="667"/>
      <c r="N733" s="667"/>
      <c r="O733" s="667"/>
      <c r="P733" s="667"/>
      <c r="Q733" s="667"/>
    </row>
    <row r="734" ht="15.75" customHeight="1">
      <c r="B734" s="466"/>
      <c r="C734" s="667"/>
      <c r="D734" s="667"/>
      <c r="E734" s="668"/>
      <c r="F734" s="667"/>
      <c r="G734" s="667"/>
      <c r="H734" s="667"/>
      <c r="I734" s="667"/>
      <c r="J734" s="667"/>
      <c r="K734" s="667"/>
      <c r="L734" s="667"/>
      <c r="M734" s="667"/>
      <c r="N734" s="667"/>
      <c r="O734" s="667"/>
      <c r="P734" s="667"/>
      <c r="Q734" s="667"/>
    </row>
    <row r="735" ht="15.75" customHeight="1">
      <c r="B735" s="466"/>
      <c r="C735" s="667"/>
      <c r="D735" s="667"/>
      <c r="E735" s="668"/>
      <c r="F735" s="667"/>
      <c r="G735" s="667"/>
      <c r="H735" s="667"/>
      <c r="I735" s="667"/>
      <c r="J735" s="667"/>
      <c r="K735" s="667"/>
      <c r="L735" s="667"/>
      <c r="M735" s="667"/>
      <c r="N735" s="667"/>
      <c r="O735" s="667"/>
      <c r="P735" s="667"/>
      <c r="Q735" s="667"/>
    </row>
    <row r="736" ht="15.75" customHeight="1">
      <c r="B736" s="466"/>
      <c r="C736" s="667"/>
      <c r="D736" s="667"/>
      <c r="E736" s="668"/>
      <c r="F736" s="667"/>
      <c r="G736" s="667"/>
      <c r="H736" s="667"/>
      <c r="I736" s="667"/>
      <c r="J736" s="667"/>
      <c r="K736" s="667"/>
      <c r="L736" s="667"/>
      <c r="M736" s="667"/>
      <c r="N736" s="667"/>
      <c r="O736" s="667"/>
      <c r="P736" s="667"/>
      <c r="Q736" s="667"/>
    </row>
    <row r="737" ht="15.75" customHeight="1">
      <c r="B737" s="466"/>
      <c r="C737" s="667"/>
      <c r="D737" s="667"/>
      <c r="E737" s="668"/>
      <c r="F737" s="667"/>
      <c r="G737" s="667"/>
      <c r="H737" s="667"/>
      <c r="I737" s="667"/>
      <c r="J737" s="667"/>
      <c r="K737" s="667"/>
      <c r="L737" s="667"/>
      <c r="M737" s="667"/>
      <c r="N737" s="667"/>
      <c r="O737" s="667"/>
      <c r="P737" s="667"/>
      <c r="Q737" s="667"/>
    </row>
    <row r="738" ht="15.75" customHeight="1">
      <c r="B738" s="466"/>
      <c r="C738" s="667"/>
      <c r="D738" s="667"/>
      <c r="E738" s="668"/>
      <c r="F738" s="667"/>
      <c r="G738" s="667"/>
      <c r="H738" s="667"/>
      <c r="I738" s="667"/>
      <c r="J738" s="667"/>
      <c r="K738" s="667"/>
      <c r="L738" s="667"/>
      <c r="M738" s="667"/>
      <c r="N738" s="667"/>
      <c r="O738" s="667"/>
      <c r="P738" s="667"/>
      <c r="Q738" s="667"/>
    </row>
    <row r="739" ht="15.75" customHeight="1">
      <c r="B739" s="466"/>
      <c r="C739" s="667"/>
      <c r="D739" s="667"/>
      <c r="E739" s="668"/>
      <c r="F739" s="667"/>
      <c r="G739" s="667"/>
      <c r="H739" s="667"/>
      <c r="I739" s="667"/>
      <c r="J739" s="667"/>
      <c r="K739" s="667"/>
      <c r="L739" s="667"/>
      <c r="M739" s="667"/>
      <c r="N739" s="667"/>
      <c r="O739" s="667"/>
      <c r="P739" s="667"/>
      <c r="Q739" s="667"/>
    </row>
    <row r="740" ht="15.75" customHeight="1">
      <c r="B740" s="466"/>
      <c r="C740" s="667"/>
      <c r="D740" s="667"/>
      <c r="E740" s="668"/>
      <c r="F740" s="667"/>
      <c r="G740" s="667"/>
      <c r="H740" s="667"/>
      <c r="I740" s="667"/>
      <c r="J740" s="667"/>
      <c r="K740" s="667"/>
      <c r="L740" s="667"/>
      <c r="M740" s="667"/>
      <c r="N740" s="667"/>
      <c r="O740" s="667"/>
      <c r="P740" s="667"/>
      <c r="Q740" s="667"/>
    </row>
    <row r="741" ht="15.75" customHeight="1">
      <c r="B741" s="466"/>
      <c r="C741" s="667"/>
      <c r="D741" s="667"/>
      <c r="E741" s="668"/>
      <c r="F741" s="667"/>
      <c r="G741" s="667"/>
      <c r="H741" s="667"/>
      <c r="I741" s="667"/>
      <c r="J741" s="667"/>
      <c r="K741" s="667"/>
      <c r="L741" s="667"/>
      <c r="M741" s="667"/>
      <c r="N741" s="667"/>
      <c r="O741" s="667"/>
      <c r="P741" s="667"/>
      <c r="Q741" s="667"/>
    </row>
    <row r="742" ht="15.75" customHeight="1">
      <c r="B742" s="466"/>
      <c r="C742" s="667"/>
      <c r="D742" s="667"/>
      <c r="E742" s="668"/>
      <c r="F742" s="667"/>
      <c r="G742" s="667"/>
      <c r="H742" s="667"/>
      <c r="I742" s="667"/>
      <c r="J742" s="667"/>
      <c r="K742" s="667"/>
      <c r="L742" s="667"/>
      <c r="M742" s="667"/>
      <c r="N742" s="667"/>
      <c r="O742" s="667"/>
      <c r="P742" s="667"/>
      <c r="Q742" s="667"/>
    </row>
    <row r="743" ht="15.75" customHeight="1">
      <c r="B743" s="466"/>
      <c r="C743" s="667"/>
      <c r="D743" s="667"/>
      <c r="E743" s="668"/>
      <c r="F743" s="667"/>
      <c r="G743" s="667"/>
      <c r="H743" s="667"/>
      <c r="I743" s="667"/>
      <c r="J743" s="667"/>
      <c r="K743" s="667"/>
      <c r="L743" s="667"/>
      <c r="M743" s="667"/>
      <c r="N743" s="667"/>
      <c r="O743" s="667"/>
      <c r="P743" s="667"/>
      <c r="Q743" s="667"/>
    </row>
    <row r="744" ht="15.75" customHeight="1">
      <c r="B744" s="466"/>
      <c r="C744" s="667"/>
      <c r="D744" s="667"/>
      <c r="E744" s="668"/>
      <c r="F744" s="667"/>
      <c r="G744" s="667"/>
      <c r="H744" s="667"/>
      <c r="I744" s="667"/>
      <c r="J744" s="667"/>
      <c r="K744" s="667"/>
      <c r="L744" s="667"/>
      <c r="M744" s="667"/>
      <c r="N744" s="667"/>
      <c r="O744" s="667"/>
      <c r="P744" s="667"/>
      <c r="Q744" s="667"/>
    </row>
    <row r="745" ht="15.75" customHeight="1">
      <c r="B745" s="466"/>
      <c r="C745" s="667"/>
      <c r="D745" s="667"/>
      <c r="E745" s="668"/>
      <c r="F745" s="667"/>
      <c r="G745" s="667"/>
      <c r="H745" s="667"/>
      <c r="I745" s="667"/>
      <c r="J745" s="667"/>
      <c r="K745" s="667"/>
      <c r="L745" s="667"/>
      <c r="M745" s="667"/>
      <c r="N745" s="667"/>
      <c r="O745" s="667"/>
      <c r="P745" s="667"/>
      <c r="Q745" s="667"/>
    </row>
    <row r="746" ht="15.75" customHeight="1">
      <c r="B746" s="466"/>
      <c r="C746" s="667"/>
      <c r="D746" s="667"/>
      <c r="E746" s="668"/>
      <c r="F746" s="667"/>
      <c r="G746" s="667"/>
      <c r="H746" s="667"/>
      <c r="I746" s="667"/>
      <c r="J746" s="667"/>
      <c r="K746" s="667"/>
      <c r="L746" s="667"/>
      <c r="M746" s="667"/>
      <c r="N746" s="667"/>
      <c r="O746" s="667"/>
      <c r="P746" s="667"/>
      <c r="Q746" s="667"/>
    </row>
    <row r="747" ht="15.75" customHeight="1">
      <c r="B747" s="466"/>
      <c r="C747" s="667"/>
      <c r="D747" s="667"/>
      <c r="E747" s="668"/>
      <c r="F747" s="667"/>
      <c r="G747" s="667"/>
      <c r="H747" s="667"/>
      <c r="I747" s="667"/>
      <c r="J747" s="667"/>
      <c r="K747" s="667"/>
      <c r="L747" s="667"/>
      <c r="M747" s="667"/>
      <c r="N747" s="667"/>
      <c r="O747" s="667"/>
      <c r="P747" s="667"/>
      <c r="Q747" s="667"/>
    </row>
    <row r="748" ht="15.75" customHeight="1">
      <c r="B748" s="466"/>
      <c r="C748" s="667"/>
      <c r="D748" s="667"/>
      <c r="E748" s="668"/>
      <c r="F748" s="667"/>
      <c r="G748" s="667"/>
      <c r="H748" s="667"/>
      <c r="I748" s="667"/>
      <c r="J748" s="667"/>
      <c r="K748" s="667"/>
      <c r="L748" s="667"/>
      <c r="M748" s="667"/>
      <c r="N748" s="667"/>
      <c r="O748" s="667"/>
      <c r="P748" s="667"/>
      <c r="Q748" s="667"/>
    </row>
    <row r="749" ht="15.75" customHeight="1">
      <c r="B749" s="466"/>
      <c r="C749" s="667"/>
      <c r="D749" s="667"/>
      <c r="E749" s="668"/>
      <c r="F749" s="667"/>
      <c r="G749" s="667"/>
      <c r="H749" s="667"/>
      <c r="I749" s="667"/>
      <c r="J749" s="667"/>
      <c r="K749" s="667"/>
      <c r="L749" s="667"/>
      <c r="M749" s="667"/>
      <c r="N749" s="667"/>
      <c r="O749" s="667"/>
      <c r="P749" s="667"/>
      <c r="Q749" s="667"/>
    </row>
    <row r="750" ht="15.75" customHeight="1">
      <c r="B750" s="466"/>
      <c r="C750" s="667"/>
      <c r="D750" s="667"/>
      <c r="E750" s="668"/>
      <c r="F750" s="667"/>
      <c r="G750" s="667"/>
      <c r="H750" s="667"/>
      <c r="I750" s="667"/>
      <c r="J750" s="667"/>
      <c r="K750" s="667"/>
      <c r="L750" s="667"/>
      <c r="M750" s="667"/>
      <c r="N750" s="667"/>
      <c r="O750" s="667"/>
      <c r="P750" s="667"/>
      <c r="Q750" s="667"/>
    </row>
    <row r="751" ht="15.75" customHeight="1">
      <c r="B751" s="466"/>
      <c r="C751" s="667"/>
      <c r="D751" s="667"/>
      <c r="E751" s="668"/>
      <c r="F751" s="667"/>
      <c r="G751" s="667"/>
      <c r="H751" s="667"/>
      <c r="I751" s="667"/>
      <c r="J751" s="667"/>
      <c r="K751" s="667"/>
      <c r="L751" s="667"/>
      <c r="M751" s="667"/>
      <c r="N751" s="667"/>
      <c r="O751" s="667"/>
      <c r="P751" s="667"/>
      <c r="Q751" s="667"/>
    </row>
    <row r="752" ht="15.75" customHeight="1">
      <c r="B752" s="466"/>
      <c r="C752" s="667"/>
      <c r="D752" s="667"/>
      <c r="E752" s="668"/>
      <c r="F752" s="667"/>
      <c r="G752" s="667"/>
      <c r="H752" s="667"/>
      <c r="I752" s="667"/>
      <c r="J752" s="667"/>
      <c r="K752" s="667"/>
      <c r="L752" s="667"/>
      <c r="M752" s="667"/>
      <c r="N752" s="667"/>
      <c r="O752" s="667"/>
      <c r="P752" s="667"/>
      <c r="Q752" s="667"/>
    </row>
    <row r="753" ht="15.75" customHeight="1">
      <c r="B753" s="466"/>
      <c r="C753" s="667"/>
      <c r="D753" s="667"/>
      <c r="E753" s="668"/>
      <c r="F753" s="667"/>
      <c r="G753" s="667"/>
      <c r="H753" s="667"/>
      <c r="I753" s="667"/>
      <c r="J753" s="667"/>
      <c r="K753" s="667"/>
      <c r="L753" s="667"/>
      <c r="M753" s="667"/>
      <c r="N753" s="667"/>
      <c r="O753" s="667"/>
      <c r="P753" s="667"/>
      <c r="Q753" s="667"/>
    </row>
    <row r="754" ht="15.75" customHeight="1">
      <c r="B754" s="466"/>
      <c r="C754" s="667"/>
      <c r="D754" s="667"/>
      <c r="E754" s="668"/>
      <c r="F754" s="667"/>
      <c r="G754" s="667"/>
      <c r="H754" s="667"/>
      <c r="I754" s="667"/>
      <c r="J754" s="667"/>
      <c r="K754" s="667"/>
      <c r="L754" s="667"/>
      <c r="M754" s="667"/>
      <c r="N754" s="667"/>
      <c r="O754" s="667"/>
      <c r="P754" s="667"/>
      <c r="Q754" s="667"/>
    </row>
    <row r="755" ht="15.75" customHeight="1">
      <c r="B755" s="466"/>
      <c r="C755" s="667"/>
      <c r="D755" s="667"/>
      <c r="E755" s="668"/>
      <c r="F755" s="667"/>
      <c r="G755" s="667"/>
      <c r="H755" s="667"/>
      <c r="I755" s="667"/>
      <c r="J755" s="667"/>
      <c r="K755" s="667"/>
      <c r="L755" s="667"/>
      <c r="M755" s="667"/>
      <c r="N755" s="667"/>
      <c r="O755" s="667"/>
      <c r="P755" s="667"/>
      <c r="Q755" s="667"/>
    </row>
    <row r="756" ht="15.75" customHeight="1">
      <c r="B756" s="466"/>
      <c r="C756" s="667"/>
      <c r="D756" s="667"/>
      <c r="E756" s="668"/>
      <c r="F756" s="667"/>
      <c r="G756" s="667"/>
      <c r="H756" s="667"/>
      <c r="I756" s="667"/>
      <c r="J756" s="667"/>
      <c r="K756" s="667"/>
      <c r="L756" s="667"/>
      <c r="M756" s="667"/>
      <c r="N756" s="667"/>
      <c r="O756" s="667"/>
      <c r="P756" s="667"/>
      <c r="Q756" s="667"/>
    </row>
    <row r="757" ht="15.75" customHeight="1">
      <c r="B757" s="466"/>
      <c r="C757" s="667"/>
      <c r="D757" s="667"/>
      <c r="E757" s="668"/>
      <c r="F757" s="667"/>
      <c r="G757" s="667"/>
      <c r="H757" s="667"/>
      <c r="I757" s="667"/>
      <c r="J757" s="667"/>
      <c r="K757" s="667"/>
      <c r="L757" s="667"/>
      <c r="M757" s="667"/>
      <c r="N757" s="667"/>
      <c r="O757" s="667"/>
      <c r="P757" s="667"/>
      <c r="Q757" s="667"/>
    </row>
    <row r="758" ht="15.75" customHeight="1">
      <c r="B758" s="466"/>
      <c r="C758" s="667"/>
      <c r="D758" s="667"/>
      <c r="E758" s="668"/>
      <c r="F758" s="667"/>
      <c r="G758" s="667"/>
      <c r="H758" s="667"/>
      <c r="I758" s="667"/>
      <c r="J758" s="667"/>
      <c r="K758" s="667"/>
      <c r="L758" s="667"/>
      <c r="M758" s="667"/>
      <c r="N758" s="667"/>
      <c r="O758" s="667"/>
      <c r="P758" s="667"/>
      <c r="Q758" s="667"/>
    </row>
    <row r="759" ht="15.75" customHeight="1">
      <c r="B759" s="466"/>
      <c r="C759" s="667"/>
      <c r="D759" s="667"/>
      <c r="E759" s="668"/>
      <c r="F759" s="667"/>
      <c r="G759" s="667"/>
      <c r="H759" s="667"/>
      <c r="I759" s="667"/>
      <c r="J759" s="667"/>
      <c r="K759" s="667"/>
      <c r="L759" s="667"/>
      <c r="M759" s="667"/>
      <c r="N759" s="667"/>
      <c r="O759" s="667"/>
      <c r="P759" s="667"/>
      <c r="Q759" s="667"/>
    </row>
    <row r="760" ht="15.75" customHeight="1">
      <c r="B760" s="466"/>
      <c r="C760" s="667"/>
      <c r="D760" s="667"/>
      <c r="E760" s="668"/>
      <c r="F760" s="667"/>
      <c r="G760" s="667"/>
      <c r="H760" s="667"/>
      <c r="I760" s="667"/>
      <c r="J760" s="667"/>
      <c r="K760" s="667"/>
      <c r="L760" s="667"/>
      <c r="M760" s="667"/>
      <c r="N760" s="667"/>
      <c r="O760" s="667"/>
      <c r="P760" s="667"/>
      <c r="Q760" s="667"/>
    </row>
    <row r="761" ht="15.75" customHeight="1">
      <c r="B761" s="466"/>
      <c r="C761" s="667"/>
      <c r="D761" s="667"/>
      <c r="E761" s="668"/>
      <c r="F761" s="667"/>
      <c r="G761" s="667"/>
      <c r="H761" s="667"/>
      <c r="I761" s="667"/>
      <c r="J761" s="667"/>
      <c r="K761" s="667"/>
      <c r="L761" s="667"/>
      <c r="M761" s="667"/>
      <c r="N761" s="667"/>
      <c r="O761" s="667"/>
      <c r="P761" s="667"/>
      <c r="Q761" s="667"/>
    </row>
    <row r="762" ht="15.75" customHeight="1">
      <c r="B762" s="466"/>
      <c r="C762" s="667"/>
      <c r="D762" s="667"/>
      <c r="E762" s="668"/>
      <c r="F762" s="667"/>
      <c r="G762" s="667"/>
      <c r="H762" s="667"/>
      <c r="I762" s="667"/>
      <c r="J762" s="667"/>
      <c r="K762" s="667"/>
      <c r="L762" s="667"/>
      <c r="M762" s="667"/>
      <c r="N762" s="667"/>
      <c r="O762" s="667"/>
      <c r="P762" s="667"/>
      <c r="Q762" s="667"/>
    </row>
    <row r="763" ht="15.75" customHeight="1">
      <c r="B763" s="466"/>
      <c r="C763" s="667"/>
      <c r="D763" s="667"/>
      <c r="E763" s="668"/>
      <c r="F763" s="667"/>
      <c r="G763" s="667"/>
      <c r="H763" s="667"/>
      <c r="I763" s="667"/>
      <c r="J763" s="667"/>
      <c r="K763" s="667"/>
      <c r="L763" s="667"/>
      <c r="M763" s="667"/>
      <c r="N763" s="667"/>
      <c r="O763" s="667"/>
      <c r="P763" s="667"/>
      <c r="Q763" s="667"/>
    </row>
    <row r="764" ht="15.75" customHeight="1">
      <c r="B764" s="466"/>
      <c r="C764" s="667"/>
      <c r="D764" s="667"/>
      <c r="E764" s="668"/>
      <c r="F764" s="667"/>
      <c r="G764" s="667"/>
      <c r="H764" s="667"/>
      <c r="I764" s="667"/>
      <c r="J764" s="667"/>
      <c r="K764" s="667"/>
      <c r="L764" s="667"/>
      <c r="M764" s="667"/>
      <c r="N764" s="667"/>
      <c r="O764" s="667"/>
      <c r="P764" s="667"/>
      <c r="Q764" s="667"/>
    </row>
    <row r="765" ht="15.75" customHeight="1">
      <c r="B765" s="466"/>
      <c r="C765" s="667"/>
      <c r="D765" s="667"/>
      <c r="E765" s="668"/>
      <c r="F765" s="667"/>
      <c r="G765" s="667"/>
      <c r="H765" s="667"/>
      <c r="I765" s="667"/>
      <c r="J765" s="667"/>
      <c r="K765" s="667"/>
      <c r="L765" s="667"/>
      <c r="M765" s="667"/>
      <c r="N765" s="667"/>
      <c r="O765" s="667"/>
      <c r="P765" s="667"/>
      <c r="Q765" s="667"/>
    </row>
    <row r="766" ht="15.75" customHeight="1">
      <c r="B766" s="466"/>
      <c r="C766" s="667"/>
      <c r="D766" s="667"/>
      <c r="E766" s="668"/>
      <c r="F766" s="667"/>
      <c r="G766" s="667"/>
      <c r="H766" s="667"/>
      <c r="I766" s="667"/>
      <c r="J766" s="667"/>
      <c r="K766" s="667"/>
      <c r="L766" s="667"/>
      <c r="M766" s="667"/>
      <c r="N766" s="667"/>
      <c r="O766" s="667"/>
      <c r="P766" s="667"/>
      <c r="Q766" s="667"/>
    </row>
    <row r="767" ht="15.75" customHeight="1">
      <c r="B767" s="466"/>
      <c r="C767" s="667"/>
      <c r="D767" s="667"/>
      <c r="E767" s="668"/>
      <c r="F767" s="667"/>
      <c r="G767" s="667"/>
      <c r="H767" s="667"/>
      <c r="I767" s="667"/>
      <c r="J767" s="667"/>
      <c r="K767" s="667"/>
      <c r="L767" s="667"/>
      <c r="M767" s="667"/>
      <c r="N767" s="667"/>
      <c r="O767" s="667"/>
      <c r="P767" s="667"/>
      <c r="Q767" s="667"/>
    </row>
    <row r="768" ht="15.75" customHeight="1">
      <c r="B768" s="466"/>
      <c r="C768" s="667"/>
      <c r="D768" s="667"/>
      <c r="E768" s="668"/>
      <c r="F768" s="667"/>
      <c r="G768" s="667"/>
      <c r="H768" s="667"/>
      <c r="I768" s="667"/>
      <c r="J768" s="667"/>
      <c r="K768" s="667"/>
      <c r="L768" s="667"/>
      <c r="M768" s="667"/>
      <c r="N768" s="667"/>
      <c r="O768" s="667"/>
      <c r="P768" s="667"/>
      <c r="Q768" s="667"/>
    </row>
    <row r="769" ht="15.75" customHeight="1">
      <c r="B769" s="466"/>
      <c r="C769" s="667"/>
      <c r="D769" s="667"/>
      <c r="E769" s="668"/>
      <c r="F769" s="667"/>
      <c r="G769" s="667"/>
      <c r="H769" s="667"/>
      <c r="I769" s="667"/>
      <c r="J769" s="667"/>
      <c r="K769" s="667"/>
      <c r="L769" s="667"/>
      <c r="M769" s="667"/>
      <c r="N769" s="667"/>
      <c r="O769" s="667"/>
      <c r="P769" s="667"/>
      <c r="Q769" s="667"/>
    </row>
    <row r="770" ht="15.75" customHeight="1">
      <c r="B770" s="466"/>
      <c r="C770" s="667"/>
      <c r="D770" s="667"/>
      <c r="E770" s="668"/>
      <c r="F770" s="667"/>
      <c r="G770" s="667"/>
      <c r="H770" s="667"/>
      <c r="I770" s="667"/>
      <c r="J770" s="667"/>
      <c r="K770" s="667"/>
      <c r="L770" s="667"/>
      <c r="M770" s="667"/>
      <c r="N770" s="667"/>
      <c r="O770" s="667"/>
      <c r="P770" s="667"/>
      <c r="Q770" s="667"/>
    </row>
    <row r="771" ht="15.75" customHeight="1">
      <c r="B771" s="466"/>
      <c r="C771" s="667"/>
      <c r="D771" s="667"/>
      <c r="E771" s="668"/>
      <c r="F771" s="667"/>
      <c r="G771" s="667"/>
      <c r="H771" s="667"/>
      <c r="I771" s="667"/>
      <c r="J771" s="667"/>
      <c r="K771" s="667"/>
      <c r="L771" s="667"/>
      <c r="M771" s="667"/>
      <c r="N771" s="667"/>
      <c r="O771" s="667"/>
      <c r="P771" s="667"/>
      <c r="Q771" s="667"/>
    </row>
    <row r="772" ht="15.75" customHeight="1">
      <c r="B772" s="466"/>
      <c r="C772" s="667"/>
      <c r="D772" s="667"/>
      <c r="E772" s="668"/>
      <c r="F772" s="667"/>
      <c r="G772" s="667"/>
      <c r="H772" s="667"/>
      <c r="I772" s="667"/>
      <c r="J772" s="667"/>
      <c r="K772" s="667"/>
      <c r="L772" s="667"/>
      <c r="M772" s="667"/>
      <c r="N772" s="667"/>
      <c r="O772" s="667"/>
      <c r="P772" s="667"/>
      <c r="Q772" s="667"/>
    </row>
    <row r="773" ht="15.75" customHeight="1">
      <c r="B773" s="466"/>
      <c r="C773" s="667"/>
      <c r="D773" s="667"/>
      <c r="E773" s="668"/>
      <c r="F773" s="667"/>
      <c r="G773" s="667"/>
      <c r="H773" s="667"/>
      <c r="I773" s="667"/>
      <c r="J773" s="667"/>
      <c r="K773" s="667"/>
      <c r="L773" s="667"/>
      <c r="M773" s="667"/>
      <c r="N773" s="667"/>
      <c r="O773" s="667"/>
      <c r="P773" s="667"/>
      <c r="Q773" s="667"/>
    </row>
    <row r="774" ht="15.75" customHeight="1">
      <c r="B774" s="466"/>
      <c r="C774" s="667"/>
      <c r="D774" s="667"/>
      <c r="E774" s="668"/>
      <c r="F774" s="667"/>
      <c r="G774" s="667"/>
      <c r="H774" s="667"/>
      <c r="I774" s="667"/>
      <c r="J774" s="667"/>
      <c r="K774" s="667"/>
      <c r="L774" s="667"/>
      <c r="M774" s="667"/>
      <c r="N774" s="667"/>
      <c r="O774" s="667"/>
      <c r="P774" s="667"/>
      <c r="Q774" s="667"/>
    </row>
    <row r="775" ht="15.75" customHeight="1">
      <c r="B775" s="466"/>
      <c r="C775" s="667"/>
      <c r="D775" s="667"/>
      <c r="E775" s="668"/>
      <c r="F775" s="667"/>
      <c r="G775" s="667"/>
      <c r="H775" s="667"/>
      <c r="I775" s="667"/>
      <c r="J775" s="667"/>
      <c r="K775" s="667"/>
      <c r="L775" s="667"/>
      <c r="M775" s="667"/>
      <c r="N775" s="667"/>
      <c r="O775" s="667"/>
      <c r="P775" s="667"/>
      <c r="Q775" s="667"/>
    </row>
    <row r="776" ht="15.75" customHeight="1">
      <c r="B776" s="466"/>
      <c r="C776" s="667"/>
      <c r="D776" s="667"/>
      <c r="E776" s="668"/>
      <c r="F776" s="667"/>
      <c r="G776" s="667"/>
      <c r="H776" s="667"/>
      <c r="I776" s="667"/>
      <c r="J776" s="667"/>
      <c r="K776" s="667"/>
      <c r="L776" s="667"/>
      <c r="M776" s="667"/>
      <c r="N776" s="667"/>
      <c r="O776" s="667"/>
      <c r="P776" s="667"/>
      <c r="Q776" s="667"/>
    </row>
    <row r="777" ht="15.75" customHeight="1">
      <c r="B777" s="466"/>
      <c r="C777" s="667"/>
      <c r="D777" s="667"/>
      <c r="E777" s="668"/>
      <c r="F777" s="667"/>
      <c r="G777" s="667"/>
      <c r="H777" s="667"/>
      <c r="I777" s="667"/>
      <c r="J777" s="667"/>
      <c r="K777" s="667"/>
      <c r="L777" s="667"/>
      <c r="M777" s="667"/>
      <c r="N777" s="667"/>
      <c r="O777" s="667"/>
      <c r="P777" s="667"/>
      <c r="Q777" s="667"/>
    </row>
    <row r="778" ht="15.75" customHeight="1">
      <c r="B778" s="466"/>
      <c r="C778" s="667"/>
      <c r="D778" s="667"/>
      <c r="E778" s="668"/>
      <c r="F778" s="667"/>
      <c r="G778" s="667"/>
      <c r="H778" s="667"/>
      <c r="I778" s="667"/>
      <c r="J778" s="667"/>
      <c r="K778" s="667"/>
      <c r="L778" s="667"/>
      <c r="M778" s="667"/>
      <c r="N778" s="667"/>
      <c r="O778" s="667"/>
      <c r="P778" s="667"/>
      <c r="Q778" s="667"/>
    </row>
    <row r="779" ht="15.75" customHeight="1">
      <c r="B779" s="466"/>
      <c r="C779" s="667"/>
      <c r="D779" s="667"/>
      <c r="E779" s="668"/>
      <c r="F779" s="667"/>
      <c r="G779" s="667"/>
      <c r="H779" s="667"/>
      <c r="I779" s="667"/>
      <c r="J779" s="667"/>
      <c r="K779" s="667"/>
      <c r="L779" s="667"/>
      <c r="M779" s="667"/>
      <c r="N779" s="667"/>
      <c r="O779" s="667"/>
      <c r="P779" s="667"/>
      <c r="Q779" s="667"/>
    </row>
    <row r="780" ht="15.75" customHeight="1">
      <c r="B780" s="466"/>
      <c r="C780" s="667"/>
      <c r="D780" s="667"/>
      <c r="E780" s="668"/>
      <c r="F780" s="667"/>
      <c r="G780" s="667"/>
      <c r="H780" s="667"/>
      <c r="I780" s="667"/>
      <c r="J780" s="667"/>
      <c r="K780" s="667"/>
      <c r="L780" s="667"/>
      <c r="M780" s="667"/>
      <c r="N780" s="667"/>
      <c r="O780" s="667"/>
      <c r="P780" s="667"/>
      <c r="Q780" s="667"/>
    </row>
    <row r="781" ht="15.75" customHeight="1">
      <c r="B781" s="466"/>
      <c r="C781" s="667"/>
      <c r="D781" s="667"/>
      <c r="E781" s="668"/>
      <c r="F781" s="667"/>
      <c r="G781" s="667"/>
      <c r="H781" s="667"/>
      <c r="I781" s="667"/>
      <c r="J781" s="667"/>
      <c r="K781" s="667"/>
      <c r="L781" s="667"/>
      <c r="M781" s="667"/>
      <c r="N781" s="667"/>
      <c r="O781" s="667"/>
      <c r="P781" s="667"/>
      <c r="Q781" s="667"/>
    </row>
    <row r="782" ht="15.75" customHeight="1">
      <c r="B782" s="466"/>
      <c r="C782" s="667"/>
      <c r="D782" s="667"/>
      <c r="E782" s="668"/>
      <c r="F782" s="667"/>
      <c r="G782" s="667"/>
      <c r="H782" s="667"/>
      <c r="I782" s="667"/>
      <c r="J782" s="667"/>
      <c r="K782" s="667"/>
      <c r="L782" s="667"/>
      <c r="M782" s="667"/>
      <c r="N782" s="667"/>
      <c r="O782" s="667"/>
      <c r="P782" s="667"/>
      <c r="Q782" s="667"/>
    </row>
    <row r="783" ht="15.75" customHeight="1">
      <c r="B783" s="466"/>
      <c r="C783" s="667"/>
      <c r="D783" s="667"/>
      <c r="E783" s="668"/>
      <c r="F783" s="667"/>
      <c r="G783" s="667"/>
      <c r="H783" s="667"/>
      <c r="I783" s="667"/>
      <c r="J783" s="667"/>
      <c r="K783" s="667"/>
      <c r="L783" s="667"/>
      <c r="M783" s="667"/>
      <c r="N783" s="667"/>
      <c r="O783" s="667"/>
      <c r="P783" s="667"/>
      <c r="Q783" s="667"/>
    </row>
    <row r="784" ht="15.75" customHeight="1">
      <c r="B784" s="466"/>
      <c r="C784" s="667"/>
      <c r="D784" s="667"/>
      <c r="E784" s="668"/>
      <c r="F784" s="667"/>
      <c r="G784" s="667"/>
      <c r="H784" s="667"/>
      <c r="I784" s="667"/>
      <c r="J784" s="667"/>
      <c r="K784" s="667"/>
      <c r="L784" s="667"/>
      <c r="M784" s="667"/>
      <c r="N784" s="667"/>
      <c r="O784" s="667"/>
      <c r="P784" s="667"/>
      <c r="Q784" s="667"/>
    </row>
    <row r="785" ht="15.75" customHeight="1">
      <c r="B785" s="466"/>
      <c r="C785" s="667"/>
      <c r="D785" s="667"/>
      <c r="E785" s="668"/>
      <c r="F785" s="667"/>
      <c r="G785" s="667"/>
      <c r="H785" s="667"/>
      <c r="I785" s="667"/>
      <c r="J785" s="667"/>
      <c r="K785" s="667"/>
      <c r="L785" s="667"/>
      <c r="M785" s="667"/>
      <c r="N785" s="667"/>
      <c r="O785" s="667"/>
      <c r="P785" s="667"/>
      <c r="Q785" s="667"/>
    </row>
    <row r="786" ht="15.75" customHeight="1">
      <c r="B786" s="466"/>
      <c r="C786" s="667"/>
      <c r="D786" s="667"/>
      <c r="E786" s="668"/>
      <c r="F786" s="667"/>
      <c r="G786" s="667"/>
      <c r="H786" s="667"/>
      <c r="I786" s="667"/>
      <c r="J786" s="667"/>
      <c r="K786" s="667"/>
      <c r="L786" s="667"/>
      <c r="M786" s="667"/>
      <c r="N786" s="667"/>
      <c r="O786" s="667"/>
      <c r="P786" s="667"/>
      <c r="Q786" s="667"/>
    </row>
    <row r="787" ht="15.75" customHeight="1">
      <c r="B787" s="466"/>
      <c r="C787" s="667"/>
      <c r="D787" s="667"/>
      <c r="E787" s="668"/>
      <c r="F787" s="667"/>
      <c r="G787" s="667"/>
      <c r="H787" s="667"/>
      <c r="I787" s="667"/>
      <c r="J787" s="667"/>
      <c r="K787" s="667"/>
      <c r="L787" s="667"/>
      <c r="M787" s="667"/>
      <c r="N787" s="667"/>
      <c r="O787" s="667"/>
      <c r="P787" s="667"/>
      <c r="Q787" s="667"/>
    </row>
    <row r="788" ht="15.75" customHeight="1">
      <c r="B788" s="466"/>
      <c r="C788" s="667"/>
      <c r="D788" s="667"/>
      <c r="E788" s="668"/>
      <c r="F788" s="667"/>
      <c r="G788" s="667"/>
      <c r="H788" s="667"/>
      <c r="I788" s="667"/>
      <c r="J788" s="667"/>
      <c r="K788" s="667"/>
      <c r="L788" s="667"/>
      <c r="M788" s="667"/>
      <c r="N788" s="667"/>
      <c r="O788" s="667"/>
      <c r="P788" s="667"/>
      <c r="Q788" s="667"/>
    </row>
    <row r="789" ht="15.75" customHeight="1">
      <c r="B789" s="466"/>
      <c r="C789" s="667"/>
      <c r="D789" s="667"/>
      <c r="E789" s="668"/>
      <c r="F789" s="667"/>
      <c r="G789" s="667"/>
      <c r="H789" s="667"/>
      <c r="I789" s="667"/>
      <c r="J789" s="667"/>
      <c r="K789" s="667"/>
      <c r="L789" s="667"/>
      <c r="M789" s="667"/>
      <c r="N789" s="667"/>
      <c r="O789" s="667"/>
      <c r="P789" s="667"/>
      <c r="Q789" s="667"/>
    </row>
    <row r="790" ht="15.75" customHeight="1">
      <c r="B790" s="466"/>
      <c r="C790" s="667"/>
      <c r="D790" s="667"/>
      <c r="E790" s="668"/>
      <c r="F790" s="667"/>
      <c r="G790" s="667"/>
      <c r="H790" s="667"/>
      <c r="I790" s="667"/>
      <c r="J790" s="667"/>
      <c r="K790" s="667"/>
      <c r="L790" s="667"/>
      <c r="M790" s="667"/>
      <c r="N790" s="667"/>
      <c r="O790" s="667"/>
      <c r="P790" s="667"/>
      <c r="Q790" s="667"/>
    </row>
    <row r="791" ht="15.75" customHeight="1">
      <c r="B791" s="466"/>
      <c r="C791" s="667"/>
      <c r="D791" s="667"/>
      <c r="E791" s="668"/>
      <c r="F791" s="667"/>
      <c r="G791" s="667"/>
      <c r="H791" s="667"/>
      <c r="I791" s="667"/>
      <c r="J791" s="667"/>
      <c r="K791" s="667"/>
      <c r="L791" s="667"/>
      <c r="M791" s="667"/>
      <c r="N791" s="667"/>
      <c r="O791" s="667"/>
      <c r="P791" s="667"/>
      <c r="Q791" s="667"/>
    </row>
    <row r="792" ht="15.75" customHeight="1">
      <c r="B792" s="466"/>
      <c r="C792" s="667"/>
      <c r="D792" s="667"/>
      <c r="E792" s="668"/>
      <c r="F792" s="667"/>
      <c r="G792" s="667"/>
      <c r="H792" s="667"/>
      <c r="I792" s="667"/>
      <c r="J792" s="667"/>
      <c r="K792" s="667"/>
      <c r="L792" s="667"/>
      <c r="M792" s="667"/>
      <c r="N792" s="667"/>
      <c r="O792" s="667"/>
      <c r="P792" s="667"/>
      <c r="Q792" s="667"/>
    </row>
    <row r="793" ht="15.75" customHeight="1">
      <c r="B793" s="466"/>
      <c r="C793" s="667"/>
      <c r="D793" s="667"/>
      <c r="E793" s="668"/>
      <c r="F793" s="667"/>
      <c r="G793" s="667"/>
      <c r="H793" s="667"/>
      <c r="I793" s="667"/>
      <c r="J793" s="667"/>
      <c r="K793" s="667"/>
      <c r="L793" s="667"/>
      <c r="M793" s="667"/>
      <c r="N793" s="667"/>
      <c r="O793" s="667"/>
      <c r="P793" s="667"/>
      <c r="Q793" s="667"/>
    </row>
    <row r="794" ht="15.75" customHeight="1">
      <c r="B794" s="466"/>
      <c r="C794" s="667"/>
      <c r="D794" s="667"/>
      <c r="E794" s="668"/>
      <c r="F794" s="667"/>
      <c r="G794" s="667"/>
      <c r="H794" s="667"/>
      <c r="I794" s="667"/>
      <c r="J794" s="667"/>
      <c r="K794" s="667"/>
      <c r="L794" s="667"/>
      <c r="M794" s="667"/>
      <c r="N794" s="667"/>
      <c r="O794" s="667"/>
      <c r="P794" s="667"/>
      <c r="Q794" s="667"/>
    </row>
    <row r="795" ht="15.75" customHeight="1">
      <c r="B795" s="466"/>
      <c r="C795" s="667"/>
      <c r="D795" s="667"/>
      <c r="E795" s="668"/>
      <c r="F795" s="667"/>
      <c r="G795" s="667"/>
      <c r="H795" s="667"/>
      <c r="I795" s="667"/>
      <c r="J795" s="667"/>
      <c r="K795" s="667"/>
      <c r="L795" s="667"/>
      <c r="M795" s="667"/>
      <c r="N795" s="667"/>
      <c r="O795" s="667"/>
      <c r="P795" s="667"/>
      <c r="Q795" s="667"/>
    </row>
    <row r="796" ht="15.75" customHeight="1">
      <c r="B796" s="466"/>
      <c r="C796" s="667"/>
      <c r="D796" s="667"/>
      <c r="E796" s="668"/>
      <c r="F796" s="667"/>
      <c r="G796" s="667"/>
      <c r="H796" s="667"/>
      <c r="I796" s="667"/>
      <c r="J796" s="667"/>
      <c r="K796" s="667"/>
      <c r="L796" s="667"/>
      <c r="M796" s="667"/>
      <c r="N796" s="667"/>
      <c r="O796" s="667"/>
      <c r="P796" s="667"/>
      <c r="Q796" s="667"/>
    </row>
    <row r="797" ht="15.75" customHeight="1">
      <c r="B797" s="466"/>
      <c r="C797" s="667"/>
      <c r="D797" s="667"/>
      <c r="E797" s="668"/>
      <c r="F797" s="667"/>
      <c r="G797" s="667"/>
      <c r="H797" s="667"/>
      <c r="I797" s="667"/>
      <c r="J797" s="667"/>
      <c r="K797" s="667"/>
      <c r="L797" s="667"/>
      <c r="M797" s="667"/>
      <c r="N797" s="667"/>
      <c r="O797" s="667"/>
      <c r="P797" s="667"/>
      <c r="Q797" s="667"/>
    </row>
    <row r="798" ht="15.75" customHeight="1">
      <c r="B798" s="466"/>
      <c r="C798" s="667"/>
      <c r="D798" s="667"/>
      <c r="E798" s="668"/>
      <c r="F798" s="667"/>
      <c r="G798" s="667"/>
      <c r="H798" s="667"/>
      <c r="I798" s="667"/>
      <c r="J798" s="667"/>
      <c r="K798" s="667"/>
      <c r="L798" s="667"/>
      <c r="M798" s="667"/>
      <c r="N798" s="667"/>
      <c r="O798" s="667"/>
      <c r="P798" s="667"/>
      <c r="Q798" s="667"/>
    </row>
    <row r="799" ht="15.75" customHeight="1">
      <c r="B799" s="466"/>
      <c r="C799" s="667"/>
      <c r="D799" s="667"/>
      <c r="E799" s="668"/>
      <c r="F799" s="667"/>
      <c r="G799" s="667"/>
      <c r="H799" s="667"/>
      <c r="I799" s="667"/>
      <c r="J799" s="667"/>
      <c r="K799" s="667"/>
      <c r="L799" s="667"/>
      <c r="M799" s="667"/>
      <c r="N799" s="667"/>
      <c r="O799" s="667"/>
      <c r="P799" s="667"/>
      <c r="Q799" s="667"/>
    </row>
    <row r="800" ht="15.75" customHeight="1">
      <c r="B800" s="466"/>
      <c r="C800" s="667"/>
      <c r="D800" s="667"/>
      <c r="E800" s="668"/>
      <c r="F800" s="667"/>
      <c r="G800" s="667"/>
      <c r="H800" s="667"/>
      <c r="I800" s="667"/>
      <c r="J800" s="667"/>
      <c r="K800" s="667"/>
      <c r="L800" s="667"/>
      <c r="M800" s="667"/>
      <c r="N800" s="667"/>
      <c r="O800" s="667"/>
      <c r="P800" s="667"/>
      <c r="Q800" s="667"/>
    </row>
    <row r="801" ht="15.75" customHeight="1">
      <c r="B801" s="466"/>
      <c r="C801" s="667"/>
      <c r="D801" s="667"/>
      <c r="E801" s="668"/>
      <c r="F801" s="667"/>
      <c r="G801" s="667"/>
      <c r="H801" s="667"/>
      <c r="I801" s="667"/>
      <c r="J801" s="667"/>
      <c r="K801" s="667"/>
      <c r="L801" s="667"/>
      <c r="M801" s="667"/>
      <c r="N801" s="667"/>
      <c r="O801" s="667"/>
      <c r="P801" s="667"/>
      <c r="Q801" s="667"/>
    </row>
    <row r="802" ht="15.75" customHeight="1">
      <c r="B802" s="466"/>
      <c r="C802" s="667"/>
      <c r="D802" s="667"/>
      <c r="E802" s="668"/>
      <c r="F802" s="667"/>
      <c r="G802" s="667"/>
      <c r="H802" s="667"/>
      <c r="I802" s="667"/>
      <c r="J802" s="667"/>
      <c r="K802" s="667"/>
      <c r="L802" s="667"/>
      <c r="M802" s="667"/>
      <c r="N802" s="667"/>
      <c r="O802" s="667"/>
      <c r="P802" s="667"/>
      <c r="Q802" s="667"/>
    </row>
    <row r="803" ht="15.75" customHeight="1">
      <c r="B803" s="466"/>
      <c r="C803" s="667"/>
      <c r="D803" s="667"/>
      <c r="E803" s="668"/>
      <c r="F803" s="667"/>
      <c r="G803" s="667"/>
      <c r="H803" s="667"/>
      <c r="I803" s="667"/>
      <c r="J803" s="667"/>
      <c r="K803" s="667"/>
      <c r="L803" s="667"/>
      <c r="M803" s="667"/>
      <c r="N803" s="667"/>
      <c r="O803" s="667"/>
      <c r="P803" s="667"/>
      <c r="Q803" s="667"/>
    </row>
    <row r="804" ht="15.75" customHeight="1">
      <c r="B804" s="466"/>
      <c r="C804" s="667"/>
      <c r="D804" s="667"/>
      <c r="E804" s="668"/>
      <c r="F804" s="667"/>
      <c r="G804" s="667"/>
      <c r="H804" s="667"/>
      <c r="I804" s="667"/>
      <c r="J804" s="667"/>
      <c r="K804" s="667"/>
      <c r="L804" s="667"/>
      <c r="M804" s="667"/>
      <c r="N804" s="667"/>
      <c r="O804" s="667"/>
      <c r="P804" s="667"/>
      <c r="Q804" s="667"/>
    </row>
    <row r="805" ht="15.75" customHeight="1">
      <c r="B805" s="466"/>
      <c r="C805" s="667"/>
      <c r="D805" s="667"/>
      <c r="E805" s="668"/>
      <c r="F805" s="667"/>
      <c r="G805" s="667"/>
      <c r="H805" s="667"/>
      <c r="I805" s="667"/>
      <c r="J805" s="667"/>
      <c r="K805" s="667"/>
      <c r="L805" s="667"/>
      <c r="M805" s="667"/>
      <c r="N805" s="667"/>
      <c r="O805" s="667"/>
      <c r="P805" s="667"/>
      <c r="Q805" s="667"/>
    </row>
    <row r="806" ht="15.75" customHeight="1">
      <c r="B806" s="466"/>
      <c r="C806" s="667"/>
      <c r="D806" s="667"/>
      <c r="E806" s="668"/>
      <c r="F806" s="667"/>
      <c r="G806" s="667"/>
      <c r="H806" s="667"/>
      <c r="I806" s="667"/>
      <c r="J806" s="667"/>
      <c r="K806" s="667"/>
      <c r="L806" s="667"/>
      <c r="M806" s="667"/>
      <c r="N806" s="667"/>
      <c r="O806" s="667"/>
      <c r="P806" s="667"/>
      <c r="Q806" s="667"/>
    </row>
    <row r="807" ht="15.75" customHeight="1">
      <c r="B807" s="466"/>
      <c r="C807" s="667"/>
      <c r="D807" s="667"/>
      <c r="E807" s="668"/>
      <c r="F807" s="667"/>
      <c r="G807" s="667"/>
      <c r="H807" s="667"/>
      <c r="I807" s="667"/>
      <c r="J807" s="667"/>
      <c r="K807" s="667"/>
      <c r="L807" s="667"/>
      <c r="M807" s="667"/>
      <c r="N807" s="667"/>
      <c r="O807" s="667"/>
      <c r="P807" s="667"/>
      <c r="Q807" s="667"/>
    </row>
    <row r="808" ht="15.75" customHeight="1">
      <c r="B808" s="466"/>
      <c r="C808" s="667"/>
      <c r="D808" s="667"/>
      <c r="E808" s="668"/>
      <c r="F808" s="667"/>
      <c r="G808" s="667"/>
      <c r="H808" s="667"/>
      <c r="I808" s="667"/>
      <c r="J808" s="667"/>
      <c r="K808" s="667"/>
      <c r="L808" s="667"/>
      <c r="M808" s="667"/>
      <c r="N808" s="667"/>
      <c r="O808" s="667"/>
      <c r="P808" s="667"/>
      <c r="Q808" s="667"/>
    </row>
    <row r="809" ht="15.75" customHeight="1">
      <c r="B809" s="466"/>
      <c r="C809" s="667"/>
      <c r="D809" s="667"/>
      <c r="E809" s="668"/>
      <c r="F809" s="667"/>
      <c r="G809" s="667"/>
      <c r="H809" s="667"/>
      <c r="I809" s="667"/>
      <c r="J809" s="667"/>
      <c r="K809" s="667"/>
      <c r="L809" s="667"/>
      <c r="M809" s="667"/>
      <c r="N809" s="667"/>
      <c r="O809" s="667"/>
      <c r="P809" s="667"/>
      <c r="Q809" s="667"/>
    </row>
    <row r="810" ht="15.75" customHeight="1">
      <c r="B810" s="466"/>
      <c r="C810" s="667"/>
      <c r="D810" s="667"/>
      <c r="E810" s="668"/>
      <c r="F810" s="667"/>
      <c r="G810" s="667"/>
      <c r="H810" s="667"/>
      <c r="I810" s="667"/>
      <c r="J810" s="667"/>
      <c r="K810" s="667"/>
      <c r="L810" s="667"/>
      <c r="M810" s="667"/>
      <c r="N810" s="667"/>
      <c r="O810" s="667"/>
      <c r="P810" s="667"/>
      <c r="Q810" s="667"/>
    </row>
    <row r="811" ht="15.75" customHeight="1">
      <c r="B811" s="466"/>
      <c r="C811" s="667"/>
      <c r="D811" s="667"/>
      <c r="E811" s="668"/>
      <c r="F811" s="667"/>
      <c r="G811" s="667"/>
      <c r="H811" s="667"/>
      <c r="I811" s="667"/>
      <c r="J811" s="667"/>
      <c r="K811" s="667"/>
      <c r="L811" s="667"/>
      <c r="M811" s="667"/>
      <c r="N811" s="667"/>
      <c r="O811" s="667"/>
      <c r="P811" s="667"/>
      <c r="Q811" s="667"/>
    </row>
    <row r="812" ht="15.75" customHeight="1">
      <c r="B812" s="466"/>
      <c r="C812" s="667"/>
      <c r="D812" s="667"/>
      <c r="E812" s="668"/>
      <c r="F812" s="667"/>
      <c r="G812" s="667"/>
      <c r="H812" s="667"/>
      <c r="I812" s="667"/>
      <c r="J812" s="667"/>
      <c r="K812" s="667"/>
      <c r="L812" s="667"/>
      <c r="M812" s="667"/>
      <c r="N812" s="667"/>
      <c r="O812" s="667"/>
      <c r="P812" s="667"/>
      <c r="Q812" s="667"/>
    </row>
    <row r="813" ht="15.75" customHeight="1">
      <c r="B813" s="466"/>
      <c r="C813" s="667"/>
      <c r="D813" s="667"/>
      <c r="E813" s="668"/>
      <c r="F813" s="667"/>
      <c r="G813" s="667"/>
      <c r="H813" s="667"/>
      <c r="I813" s="667"/>
      <c r="J813" s="667"/>
      <c r="K813" s="667"/>
      <c r="L813" s="667"/>
      <c r="M813" s="667"/>
      <c r="N813" s="667"/>
      <c r="O813" s="667"/>
      <c r="P813" s="667"/>
      <c r="Q813" s="667"/>
    </row>
    <row r="814" ht="15.75" customHeight="1">
      <c r="B814" s="466"/>
      <c r="C814" s="667"/>
      <c r="D814" s="667"/>
      <c r="E814" s="668"/>
      <c r="F814" s="667"/>
      <c r="G814" s="667"/>
      <c r="H814" s="667"/>
      <c r="I814" s="667"/>
      <c r="J814" s="667"/>
      <c r="K814" s="667"/>
      <c r="L814" s="667"/>
      <c r="M814" s="667"/>
      <c r="N814" s="667"/>
      <c r="O814" s="667"/>
      <c r="P814" s="667"/>
      <c r="Q814" s="667"/>
    </row>
    <row r="815" ht="15.75" customHeight="1">
      <c r="B815" s="466"/>
      <c r="C815" s="667"/>
      <c r="D815" s="667"/>
      <c r="E815" s="668"/>
      <c r="F815" s="667"/>
      <c r="G815" s="667"/>
      <c r="H815" s="667"/>
      <c r="I815" s="667"/>
      <c r="J815" s="667"/>
      <c r="K815" s="667"/>
      <c r="L815" s="667"/>
      <c r="M815" s="667"/>
      <c r="N815" s="667"/>
      <c r="O815" s="667"/>
      <c r="P815" s="667"/>
      <c r="Q815" s="667"/>
    </row>
    <row r="816" ht="15.75" customHeight="1">
      <c r="B816" s="466"/>
      <c r="C816" s="667"/>
      <c r="D816" s="667"/>
      <c r="E816" s="668"/>
      <c r="F816" s="667"/>
      <c r="G816" s="667"/>
      <c r="H816" s="667"/>
      <c r="I816" s="667"/>
      <c r="J816" s="667"/>
      <c r="K816" s="667"/>
      <c r="L816" s="667"/>
      <c r="M816" s="667"/>
      <c r="N816" s="667"/>
      <c r="O816" s="667"/>
      <c r="P816" s="667"/>
      <c r="Q816" s="667"/>
    </row>
    <row r="817" ht="15.75" customHeight="1">
      <c r="B817" s="466"/>
      <c r="C817" s="667"/>
      <c r="D817" s="667"/>
      <c r="E817" s="668"/>
      <c r="F817" s="667"/>
      <c r="G817" s="667"/>
      <c r="H817" s="667"/>
      <c r="I817" s="667"/>
      <c r="J817" s="667"/>
      <c r="K817" s="667"/>
      <c r="L817" s="667"/>
      <c r="M817" s="667"/>
      <c r="N817" s="667"/>
      <c r="O817" s="667"/>
      <c r="P817" s="667"/>
      <c r="Q817" s="667"/>
    </row>
    <row r="818" ht="15.75" customHeight="1">
      <c r="B818" s="466"/>
      <c r="C818" s="667"/>
      <c r="D818" s="667"/>
      <c r="E818" s="668"/>
      <c r="F818" s="667"/>
      <c r="G818" s="667"/>
      <c r="H818" s="667"/>
      <c r="I818" s="667"/>
      <c r="J818" s="667"/>
      <c r="K818" s="667"/>
      <c r="L818" s="667"/>
      <c r="M818" s="667"/>
      <c r="N818" s="667"/>
      <c r="O818" s="667"/>
      <c r="P818" s="667"/>
      <c r="Q818" s="667"/>
    </row>
    <row r="819" ht="15.75" customHeight="1">
      <c r="B819" s="466"/>
      <c r="C819" s="667"/>
      <c r="D819" s="667"/>
      <c r="E819" s="668"/>
      <c r="F819" s="667"/>
      <c r="G819" s="667"/>
      <c r="H819" s="667"/>
      <c r="I819" s="667"/>
      <c r="J819" s="667"/>
      <c r="K819" s="667"/>
      <c r="L819" s="667"/>
      <c r="M819" s="667"/>
      <c r="N819" s="667"/>
      <c r="O819" s="667"/>
      <c r="P819" s="667"/>
      <c r="Q819" s="667"/>
    </row>
    <row r="820" ht="15.75" customHeight="1">
      <c r="B820" s="466"/>
      <c r="C820" s="667"/>
      <c r="D820" s="667"/>
      <c r="E820" s="668"/>
      <c r="F820" s="667"/>
      <c r="G820" s="667"/>
      <c r="H820" s="667"/>
      <c r="I820" s="667"/>
      <c r="J820" s="667"/>
      <c r="K820" s="667"/>
      <c r="L820" s="667"/>
      <c r="M820" s="667"/>
      <c r="N820" s="667"/>
      <c r="O820" s="667"/>
      <c r="P820" s="667"/>
      <c r="Q820" s="667"/>
    </row>
    <row r="821" ht="15.75" customHeight="1">
      <c r="B821" s="466"/>
      <c r="C821" s="667"/>
      <c r="D821" s="667"/>
      <c r="E821" s="668"/>
      <c r="F821" s="667"/>
      <c r="G821" s="667"/>
      <c r="H821" s="667"/>
      <c r="I821" s="667"/>
      <c r="J821" s="667"/>
      <c r="K821" s="667"/>
      <c r="L821" s="667"/>
      <c r="M821" s="667"/>
      <c r="N821" s="667"/>
      <c r="O821" s="667"/>
      <c r="P821" s="667"/>
      <c r="Q821" s="667"/>
    </row>
    <row r="822" ht="15.75" customHeight="1">
      <c r="B822" s="466"/>
      <c r="C822" s="667"/>
      <c r="D822" s="667"/>
      <c r="E822" s="668"/>
      <c r="F822" s="667"/>
      <c r="G822" s="667"/>
      <c r="H822" s="667"/>
      <c r="I822" s="667"/>
      <c r="J822" s="667"/>
      <c r="K822" s="667"/>
      <c r="L822" s="667"/>
      <c r="M822" s="667"/>
      <c r="N822" s="667"/>
      <c r="O822" s="667"/>
      <c r="P822" s="667"/>
      <c r="Q822" s="667"/>
    </row>
    <row r="823" ht="15.75" customHeight="1">
      <c r="B823" s="466"/>
      <c r="C823" s="667"/>
      <c r="D823" s="667"/>
      <c r="E823" s="668"/>
      <c r="F823" s="667"/>
      <c r="G823" s="667"/>
      <c r="H823" s="667"/>
      <c r="I823" s="667"/>
      <c r="J823" s="667"/>
      <c r="K823" s="667"/>
      <c r="L823" s="667"/>
      <c r="M823" s="667"/>
      <c r="N823" s="667"/>
      <c r="O823" s="667"/>
      <c r="P823" s="667"/>
      <c r="Q823" s="667"/>
    </row>
    <row r="824" ht="15.75" customHeight="1">
      <c r="B824" s="466"/>
      <c r="C824" s="667"/>
      <c r="D824" s="667"/>
      <c r="E824" s="668"/>
      <c r="F824" s="667"/>
      <c r="G824" s="667"/>
      <c r="H824" s="667"/>
      <c r="I824" s="667"/>
      <c r="J824" s="667"/>
      <c r="K824" s="667"/>
      <c r="L824" s="667"/>
      <c r="M824" s="667"/>
      <c r="N824" s="667"/>
      <c r="O824" s="667"/>
      <c r="P824" s="667"/>
      <c r="Q824" s="667"/>
    </row>
    <row r="825" ht="15.75" customHeight="1">
      <c r="B825" s="466"/>
      <c r="C825" s="667"/>
      <c r="D825" s="667"/>
      <c r="E825" s="668"/>
      <c r="F825" s="667"/>
      <c r="G825" s="667"/>
      <c r="H825" s="667"/>
      <c r="I825" s="667"/>
      <c r="J825" s="667"/>
      <c r="K825" s="667"/>
      <c r="L825" s="667"/>
      <c r="M825" s="667"/>
      <c r="N825" s="667"/>
      <c r="O825" s="667"/>
      <c r="P825" s="667"/>
      <c r="Q825" s="667"/>
    </row>
    <row r="826" ht="15.75" customHeight="1">
      <c r="B826" s="466"/>
      <c r="C826" s="667"/>
      <c r="D826" s="667"/>
      <c r="E826" s="668"/>
      <c r="F826" s="667"/>
      <c r="G826" s="667"/>
      <c r="H826" s="667"/>
      <c r="I826" s="667"/>
      <c r="J826" s="667"/>
      <c r="K826" s="667"/>
      <c r="L826" s="667"/>
      <c r="M826" s="667"/>
      <c r="N826" s="667"/>
      <c r="O826" s="667"/>
      <c r="P826" s="667"/>
      <c r="Q826" s="667"/>
    </row>
    <row r="827" ht="15.75" customHeight="1">
      <c r="B827" s="466"/>
      <c r="C827" s="667"/>
      <c r="D827" s="667"/>
      <c r="E827" s="668"/>
      <c r="F827" s="667"/>
      <c r="G827" s="667"/>
      <c r="H827" s="667"/>
      <c r="I827" s="667"/>
      <c r="J827" s="667"/>
      <c r="K827" s="667"/>
      <c r="L827" s="667"/>
      <c r="M827" s="667"/>
      <c r="N827" s="667"/>
      <c r="O827" s="667"/>
      <c r="P827" s="667"/>
      <c r="Q827" s="667"/>
    </row>
    <row r="828" ht="15.75" customHeight="1">
      <c r="B828" s="466"/>
      <c r="C828" s="667"/>
      <c r="D828" s="667"/>
      <c r="E828" s="668"/>
      <c r="F828" s="667"/>
      <c r="G828" s="667"/>
      <c r="H828" s="667"/>
      <c r="I828" s="667"/>
      <c r="J828" s="667"/>
      <c r="K828" s="667"/>
      <c r="L828" s="667"/>
      <c r="M828" s="667"/>
      <c r="N828" s="667"/>
      <c r="O828" s="667"/>
      <c r="P828" s="667"/>
      <c r="Q828" s="667"/>
    </row>
    <row r="829" ht="15.75" customHeight="1">
      <c r="B829" s="466"/>
      <c r="C829" s="667"/>
      <c r="D829" s="667"/>
      <c r="E829" s="668"/>
      <c r="F829" s="667"/>
      <c r="G829" s="667"/>
      <c r="H829" s="667"/>
      <c r="I829" s="667"/>
      <c r="J829" s="667"/>
      <c r="K829" s="667"/>
      <c r="L829" s="667"/>
      <c r="M829" s="667"/>
      <c r="N829" s="667"/>
      <c r="O829" s="667"/>
      <c r="P829" s="667"/>
      <c r="Q829" s="667"/>
    </row>
    <row r="830" ht="15.75" customHeight="1">
      <c r="B830" s="466"/>
      <c r="C830" s="667"/>
      <c r="D830" s="667"/>
      <c r="E830" s="668"/>
      <c r="F830" s="667"/>
      <c r="G830" s="667"/>
      <c r="H830" s="667"/>
      <c r="I830" s="667"/>
      <c r="J830" s="667"/>
      <c r="K830" s="667"/>
      <c r="L830" s="667"/>
      <c r="M830" s="667"/>
      <c r="N830" s="667"/>
      <c r="O830" s="667"/>
      <c r="P830" s="667"/>
      <c r="Q830" s="667"/>
    </row>
    <row r="831" ht="15.75" customHeight="1">
      <c r="B831" s="466"/>
      <c r="C831" s="667"/>
      <c r="D831" s="667"/>
      <c r="E831" s="668"/>
      <c r="F831" s="667"/>
      <c r="G831" s="667"/>
      <c r="H831" s="667"/>
      <c r="I831" s="667"/>
      <c r="J831" s="667"/>
      <c r="K831" s="667"/>
      <c r="L831" s="667"/>
      <c r="M831" s="667"/>
      <c r="N831" s="667"/>
      <c r="O831" s="667"/>
      <c r="P831" s="667"/>
      <c r="Q831" s="667"/>
    </row>
    <row r="832" ht="15.75" customHeight="1">
      <c r="B832" s="466"/>
      <c r="C832" s="667"/>
      <c r="D832" s="667"/>
      <c r="E832" s="668"/>
      <c r="F832" s="667"/>
      <c r="G832" s="667"/>
      <c r="H832" s="667"/>
      <c r="I832" s="667"/>
      <c r="J832" s="667"/>
      <c r="K832" s="667"/>
      <c r="L832" s="667"/>
      <c r="M832" s="667"/>
      <c r="N832" s="667"/>
      <c r="O832" s="667"/>
      <c r="P832" s="667"/>
      <c r="Q832" s="667"/>
    </row>
    <row r="833" ht="15.75" customHeight="1">
      <c r="B833" s="466"/>
      <c r="C833" s="667"/>
      <c r="D833" s="667"/>
      <c r="E833" s="668"/>
      <c r="F833" s="667"/>
      <c r="G833" s="667"/>
      <c r="H833" s="667"/>
      <c r="I833" s="667"/>
      <c r="J833" s="667"/>
      <c r="K833" s="667"/>
      <c r="L833" s="667"/>
      <c r="M833" s="667"/>
      <c r="N833" s="667"/>
      <c r="O833" s="667"/>
      <c r="P833" s="667"/>
      <c r="Q833" s="667"/>
    </row>
    <row r="834" ht="15.75" customHeight="1">
      <c r="B834" s="466"/>
      <c r="C834" s="667"/>
      <c r="D834" s="667"/>
      <c r="E834" s="668"/>
      <c r="F834" s="667"/>
      <c r="G834" s="667"/>
      <c r="H834" s="667"/>
      <c r="I834" s="667"/>
      <c r="J834" s="667"/>
      <c r="K834" s="667"/>
      <c r="L834" s="667"/>
      <c r="M834" s="667"/>
      <c r="N834" s="667"/>
      <c r="O834" s="667"/>
      <c r="P834" s="667"/>
      <c r="Q834" s="667"/>
    </row>
    <row r="835" ht="15.75" customHeight="1">
      <c r="B835" s="466"/>
      <c r="C835" s="667"/>
      <c r="D835" s="667"/>
      <c r="E835" s="668"/>
      <c r="F835" s="667"/>
      <c r="G835" s="667"/>
      <c r="H835" s="667"/>
      <c r="I835" s="667"/>
      <c r="J835" s="667"/>
      <c r="K835" s="667"/>
      <c r="L835" s="667"/>
      <c r="M835" s="667"/>
      <c r="N835" s="667"/>
      <c r="O835" s="667"/>
      <c r="P835" s="667"/>
      <c r="Q835" s="667"/>
    </row>
    <row r="836" ht="15.75" customHeight="1">
      <c r="B836" s="466"/>
      <c r="C836" s="667"/>
      <c r="D836" s="667"/>
      <c r="E836" s="668"/>
      <c r="F836" s="667"/>
      <c r="G836" s="667"/>
      <c r="H836" s="667"/>
      <c r="I836" s="667"/>
      <c r="J836" s="667"/>
      <c r="K836" s="667"/>
      <c r="L836" s="667"/>
      <c r="M836" s="667"/>
      <c r="N836" s="667"/>
      <c r="O836" s="667"/>
      <c r="P836" s="667"/>
      <c r="Q836" s="667"/>
    </row>
    <row r="837" ht="15.75" customHeight="1">
      <c r="B837" s="466"/>
      <c r="C837" s="667"/>
      <c r="D837" s="667"/>
      <c r="E837" s="668"/>
      <c r="F837" s="667"/>
      <c r="G837" s="667"/>
      <c r="H837" s="667"/>
      <c r="I837" s="667"/>
      <c r="J837" s="667"/>
      <c r="K837" s="667"/>
      <c r="L837" s="667"/>
      <c r="M837" s="667"/>
      <c r="N837" s="667"/>
      <c r="O837" s="667"/>
      <c r="P837" s="667"/>
      <c r="Q837" s="667"/>
    </row>
    <row r="838" ht="15.75" customHeight="1">
      <c r="B838" s="466"/>
      <c r="C838" s="667"/>
      <c r="D838" s="667"/>
      <c r="E838" s="668"/>
      <c r="F838" s="667"/>
      <c r="G838" s="667"/>
      <c r="H838" s="667"/>
      <c r="I838" s="667"/>
      <c r="J838" s="667"/>
      <c r="K838" s="667"/>
      <c r="L838" s="667"/>
      <c r="M838" s="667"/>
      <c r="N838" s="667"/>
      <c r="O838" s="667"/>
      <c r="P838" s="667"/>
      <c r="Q838" s="667"/>
    </row>
    <row r="839" ht="15.75" customHeight="1">
      <c r="B839" s="466"/>
      <c r="C839" s="667"/>
      <c r="D839" s="667"/>
      <c r="E839" s="668"/>
      <c r="F839" s="667"/>
      <c r="G839" s="667"/>
      <c r="H839" s="667"/>
      <c r="I839" s="667"/>
      <c r="J839" s="667"/>
      <c r="K839" s="667"/>
      <c r="L839" s="667"/>
      <c r="M839" s="667"/>
      <c r="N839" s="667"/>
      <c r="O839" s="667"/>
      <c r="P839" s="667"/>
      <c r="Q839" s="667"/>
    </row>
    <row r="840" ht="15.75" customHeight="1">
      <c r="B840" s="466"/>
      <c r="C840" s="667"/>
      <c r="D840" s="667"/>
      <c r="E840" s="668"/>
      <c r="F840" s="667"/>
      <c r="G840" s="667"/>
      <c r="H840" s="667"/>
      <c r="I840" s="667"/>
      <c r="J840" s="667"/>
      <c r="K840" s="667"/>
      <c r="L840" s="667"/>
      <c r="M840" s="667"/>
      <c r="N840" s="667"/>
      <c r="O840" s="667"/>
      <c r="P840" s="667"/>
      <c r="Q840" s="667"/>
    </row>
    <row r="841" ht="15.75" customHeight="1">
      <c r="B841" s="466"/>
      <c r="C841" s="667"/>
      <c r="D841" s="667"/>
      <c r="E841" s="668"/>
      <c r="F841" s="667"/>
      <c r="G841" s="667"/>
      <c r="H841" s="667"/>
      <c r="I841" s="667"/>
      <c r="J841" s="667"/>
      <c r="K841" s="667"/>
      <c r="L841" s="667"/>
      <c r="M841" s="667"/>
      <c r="N841" s="667"/>
      <c r="O841" s="667"/>
      <c r="P841" s="667"/>
      <c r="Q841" s="667"/>
    </row>
    <row r="842" ht="15.75" customHeight="1">
      <c r="B842" s="466"/>
      <c r="C842" s="667"/>
      <c r="D842" s="667"/>
      <c r="E842" s="668"/>
      <c r="F842" s="667"/>
      <c r="G842" s="667"/>
      <c r="H842" s="667"/>
      <c r="I842" s="667"/>
      <c r="J842" s="667"/>
      <c r="K842" s="667"/>
      <c r="L842" s="667"/>
      <c r="M842" s="667"/>
      <c r="N842" s="667"/>
      <c r="O842" s="667"/>
      <c r="P842" s="667"/>
      <c r="Q842" s="667"/>
    </row>
    <row r="843" ht="15.75" customHeight="1">
      <c r="B843" s="466"/>
      <c r="C843" s="667"/>
      <c r="D843" s="667"/>
      <c r="E843" s="668"/>
      <c r="F843" s="667"/>
      <c r="G843" s="667"/>
      <c r="H843" s="667"/>
      <c r="I843" s="667"/>
      <c r="J843" s="667"/>
      <c r="K843" s="667"/>
      <c r="L843" s="667"/>
      <c r="M843" s="667"/>
      <c r="N843" s="667"/>
      <c r="O843" s="667"/>
      <c r="P843" s="667"/>
      <c r="Q843" s="667"/>
    </row>
    <row r="844" ht="15.75" customHeight="1">
      <c r="B844" s="466"/>
      <c r="C844" s="667"/>
      <c r="D844" s="667"/>
      <c r="E844" s="668"/>
      <c r="F844" s="667"/>
      <c r="G844" s="667"/>
      <c r="H844" s="667"/>
      <c r="I844" s="667"/>
      <c r="J844" s="667"/>
      <c r="K844" s="667"/>
      <c r="L844" s="667"/>
      <c r="M844" s="667"/>
      <c r="N844" s="667"/>
      <c r="O844" s="667"/>
      <c r="P844" s="667"/>
      <c r="Q844" s="667"/>
    </row>
    <row r="845" ht="15.75" customHeight="1">
      <c r="B845" s="466"/>
      <c r="C845" s="667"/>
      <c r="D845" s="667"/>
      <c r="E845" s="668"/>
      <c r="F845" s="667"/>
      <c r="G845" s="667"/>
      <c r="H845" s="667"/>
      <c r="I845" s="667"/>
      <c r="J845" s="667"/>
      <c r="K845" s="667"/>
      <c r="L845" s="667"/>
      <c r="M845" s="667"/>
      <c r="N845" s="667"/>
      <c r="O845" s="667"/>
      <c r="P845" s="667"/>
      <c r="Q845" s="667"/>
    </row>
    <row r="846" ht="15.75" customHeight="1">
      <c r="B846" s="466"/>
      <c r="C846" s="667"/>
      <c r="D846" s="667"/>
      <c r="E846" s="668"/>
      <c r="F846" s="667"/>
      <c r="G846" s="667"/>
      <c r="H846" s="667"/>
      <c r="I846" s="667"/>
      <c r="J846" s="667"/>
      <c r="K846" s="667"/>
      <c r="L846" s="667"/>
      <c r="M846" s="667"/>
      <c r="N846" s="667"/>
      <c r="O846" s="667"/>
      <c r="P846" s="667"/>
      <c r="Q846" s="667"/>
    </row>
    <row r="847" ht="15.75" customHeight="1">
      <c r="B847" s="466"/>
      <c r="C847" s="667"/>
      <c r="D847" s="667"/>
      <c r="E847" s="668"/>
      <c r="F847" s="667"/>
      <c r="G847" s="667"/>
      <c r="H847" s="667"/>
      <c r="I847" s="667"/>
      <c r="J847" s="667"/>
      <c r="K847" s="667"/>
      <c r="L847" s="667"/>
      <c r="M847" s="667"/>
      <c r="N847" s="667"/>
      <c r="O847" s="667"/>
      <c r="P847" s="667"/>
      <c r="Q847" s="667"/>
    </row>
    <row r="848" ht="15.75" customHeight="1">
      <c r="B848" s="466"/>
      <c r="C848" s="667"/>
      <c r="D848" s="667"/>
      <c r="E848" s="668"/>
      <c r="F848" s="667"/>
      <c r="G848" s="667"/>
      <c r="H848" s="667"/>
      <c r="I848" s="667"/>
      <c r="J848" s="667"/>
      <c r="K848" s="667"/>
      <c r="L848" s="667"/>
      <c r="M848" s="667"/>
      <c r="N848" s="667"/>
      <c r="O848" s="667"/>
      <c r="P848" s="667"/>
      <c r="Q848" s="667"/>
    </row>
    <row r="849" ht="15.75" customHeight="1">
      <c r="B849" s="466"/>
      <c r="C849" s="667"/>
      <c r="D849" s="667"/>
      <c r="E849" s="668"/>
      <c r="F849" s="667"/>
      <c r="G849" s="667"/>
      <c r="H849" s="667"/>
      <c r="I849" s="667"/>
      <c r="J849" s="667"/>
      <c r="K849" s="667"/>
      <c r="L849" s="667"/>
      <c r="M849" s="667"/>
      <c r="N849" s="667"/>
      <c r="O849" s="667"/>
      <c r="P849" s="667"/>
      <c r="Q849" s="667"/>
    </row>
    <row r="850" ht="15.75" customHeight="1">
      <c r="B850" s="466"/>
      <c r="C850" s="667"/>
      <c r="D850" s="667"/>
      <c r="E850" s="668"/>
      <c r="F850" s="667"/>
      <c r="G850" s="667"/>
      <c r="H850" s="667"/>
      <c r="I850" s="667"/>
      <c r="J850" s="667"/>
      <c r="K850" s="667"/>
      <c r="L850" s="667"/>
      <c r="M850" s="667"/>
      <c r="N850" s="667"/>
      <c r="O850" s="667"/>
      <c r="P850" s="667"/>
      <c r="Q850" s="667"/>
    </row>
    <row r="851" ht="15.75" customHeight="1">
      <c r="B851" s="466"/>
      <c r="C851" s="667"/>
      <c r="D851" s="667"/>
      <c r="E851" s="668"/>
      <c r="F851" s="667"/>
      <c r="G851" s="667"/>
      <c r="H851" s="667"/>
      <c r="I851" s="667"/>
      <c r="J851" s="667"/>
      <c r="K851" s="667"/>
      <c r="L851" s="667"/>
      <c r="M851" s="667"/>
      <c r="N851" s="667"/>
      <c r="O851" s="667"/>
      <c r="P851" s="667"/>
      <c r="Q851" s="667"/>
    </row>
    <row r="852" ht="15.75" customHeight="1">
      <c r="B852" s="466"/>
      <c r="C852" s="667"/>
      <c r="D852" s="667"/>
      <c r="E852" s="668"/>
      <c r="F852" s="667"/>
      <c r="G852" s="667"/>
      <c r="H852" s="667"/>
      <c r="I852" s="667"/>
      <c r="J852" s="667"/>
      <c r="K852" s="667"/>
      <c r="L852" s="667"/>
      <c r="M852" s="667"/>
      <c r="N852" s="667"/>
      <c r="O852" s="667"/>
      <c r="P852" s="667"/>
      <c r="Q852" s="667"/>
    </row>
    <row r="853" ht="15.75" customHeight="1">
      <c r="B853" s="466"/>
      <c r="C853" s="667"/>
      <c r="D853" s="667"/>
      <c r="E853" s="668"/>
      <c r="F853" s="667"/>
      <c r="G853" s="667"/>
      <c r="H853" s="667"/>
      <c r="I853" s="667"/>
      <c r="J853" s="667"/>
      <c r="K853" s="667"/>
      <c r="L853" s="667"/>
      <c r="M853" s="667"/>
      <c r="N853" s="667"/>
      <c r="O853" s="667"/>
      <c r="P853" s="667"/>
      <c r="Q853" s="667"/>
    </row>
    <row r="854" ht="15.75" customHeight="1">
      <c r="B854" s="466"/>
      <c r="C854" s="667"/>
      <c r="D854" s="667"/>
      <c r="E854" s="668"/>
      <c r="F854" s="667"/>
      <c r="G854" s="667"/>
      <c r="H854" s="667"/>
      <c r="I854" s="667"/>
      <c r="J854" s="667"/>
      <c r="K854" s="667"/>
      <c r="L854" s="667"/>
      <c r="M854" s="667"/>
      <c r="N854" s="667"/>
      <c r="O854" s="667"/>
      <c r="P854" s="667"/>
      <c r="Q854" s="667"/>
    </row>
    <row r="855" ht="15.75" customHeight="1">
      <c r="B855" s="466"/>
      <c r="C855" s="667"/>
      <c r="D855" s="667"/>
      <c r="E855" s="668"/>
      <c r="F855" s="667"/>
      <c r="G855" s="667"/>
      <c r="H855" s="667"/>
      <c r="I855" s="667"/>
      <c r="J855" s="667"/>
      <c r="K855" s="667"/>
      <c r="L855" s="667"/>
      <c r="M855" s="667"/>
      <c r="N855" s="667"/>
      <c r="O855" s="667"/>
      <c r="P855" s="667"/>
      <c r="Q855" s="667"/>
    </row>
    <row r="856" ht="15.75" customHeight="1">
      <c r="B856" s="466"/>
      <c r="C856" s="667"/>
      <c r="D856" s="667"/>
      <c r="E856" s="668"/>
      <c r="F856" s="667"/>
      <c r="G856" s="667"/>
      <c r="H856" s="667"/>
      <c r="I856" s="667"/>
      <c r="J856" s="667"/>
      <c r="K856" s="667"/>
      <c r="L856" s="667"/>
      <c r="M856" s="667"/>
      <c r="N856" s="667"/>
      <c r="O856" s="667"/>
      <c r="P856" s="667"/>
      <c r="Q856" s="667"/>
    </row>
    <row r="857" ht="15.75" customHeight="1">
      <c r="B857" s="466"/>
      <c r="C857" s="667"/>
      <c r="D857" s="667"/>
      <c r="E857" s="668"/>
      <c r="F857" s="667"/>
      <c r="G857" s="667"/>
      <c r="H857" s="667"/>
      <c r="I857" s="667"/>
      <c r="J857" s="667"/>
      <c r="K857" s="667"/>
      <c r="L857" s="667"/>
      <c r="M857" s="667"/>
      <c r="N857" s="667"/>
      <c r="O857" s="667"/>
      <c r="P857" s="667"/>
      <c r="Q857" s="667"/>
    </row>
    <row r="858" ht="15.75" customHeight="1">
      <c r="B858" s="466"/>
      <c r="C858" s="667"/>
      <c r="D858" s="667"/>
      <c r="E858" s="668"/>
      <c r="F858" s="667"/>
      <c r="G858" s="667"/>
      <c r="H858" s="667"/>
      <c r="I858" s="667"/>
      <c r="J858" s="667"/>
      <c r="K858" s="667"/>
      <c r="L858" s="667"/>
      <c r="M858" s="667"/>
      <c r="N858" s="667"/>
      <c r="O858" s="667"/>
      <c r="P858" s="667"/>
      <c r="Q858" s="667"/>
    </row>
    <row r="859" ht="15.75" customHeight="1">
      <c r="B859" s="466"/>
      <c r="C859" s="667"/>
      <c r="D859" s="667"/>
      <c r="E859" s="668"/>
      <c r="F859" s="667"/>
      <c r="G859" s="667"/>
      <c r="H859" s="667"/>
      <c r="I859" s="667"/>
      <c r="J859" s="667"/>
      <c r="K859" s="667"/>
      <c r="L859" s="667"/>
      <c r="M859" s="667"/>
      <c r="N859" s="667"/>
      <c r="O859" s="667"/>
      <c r="P859" s="667"/>
      <c r="Q859" s="667"/>
    </row>
    <row r="860" ht="15.75" customHeight="1">
      <c r="B860" s="466"/>
      <c r="C860" s="667"/>
      <c r="D860" s="667"/>
      <c r="E860" s="668"/>
      <c r="F860" s="667"/>
      <c r="G860" s="667"/>
      <c r="H860" s="667"/>
      <c r="I860" s="667"/>
      <c r="J860" s="667"/>
      <c r="K860" s="667"/>
      <c r="L860" s="667"/>
      <c r="M860" s="667"/>
      <c r="N860" s="667"/>
      <c r="O860" s="667"/>
      <c r="P860" s="667"/>
      <c r="Q860" s="667"/>
    </row>
    <row r="861" ht="15.75" customHeight="1">
      <c r="B861" s="466"/>
      <c r="C861" s="667"/>
      <c r="D861" s="667"/>
      <c r="E861" s="668"/>
      <c r="F861" s="667"/>
      <c r="G861" s="667"/>
      <c r="H861" s="667"/>
      <c r="I861" s="667"/>
      <c r="J861" s="667"/>
      <c r="K861" s="667"/>
      <c r="L861" s="667"/>
      <c r="M861" s="667"/>
      <c r="N861" s="667"/>
      <c r="O861" s="667"/>
      <c r="P861" s="667"/>
      <c r="Q861" s="667"/>
    </row>
    <row r="862" ht="15.75" customHeight="1">
      <c r="B862" s="466"/>
      <c r="C862" s="667"/>
      <c r="D862" s="667"/>
      <c r="E862" s="668"/>
      <c r="F862" s="667"/>
      <c r="G862" s="667"/>
      <c r="H862" s="667"/>
      <c r="I862" s="667"/>
      <c r="J862" s="667"/>
      <c r="K862" s="667"/>
      <c r="L862" s="667"/>
      <c r="M862" s="667"/>
      <c r="N862" s="667"/>
      <c r="O862" s="667"/>
      <c r="P862" s="667"/>
      <c r="Q862" s="667"/>
    </row>
    <row r="863" ht="15.75" customHeight="1">
      <c r="B863" s="466"/>
      <c r="C863" s="667"/>
      <c r="D863" s="667"/>
      <c r="E863" s="668"/>
      <c r="F863" s="667"/>
      <c r="G863" s="667"/>
      <c r="H863" s="667"/>
      <c r="I863" s="667"/>
      <c r="J863" s="667"/>
      <c r="K863" s="667"/>
      <c r="L863" s="667"/>
      <c r="M863" s="667"/>
      <c r="N863" s="667"/>
      <c r="O863" s="667"/>
      <c r="P863" s="667"/>
      <c r="Q863" s="667"/>
    </row>
    <row r="864" ht="15.75" customHeight="1">
      <c r="B864" s="466"/>
      <c r="C864" s="667"/>
      <c r="D864" s="667"/>
      <c r="E864" s="668"/>
      <c r="F864" s="667"/>
      <c r="G864" s="667"/>
      <c r="H864" s="667"/>
      <c r="I864" s="667"/>
      <c r="J864" s="667"/>
      <c r="K864" s="667"/>
      <c r="L864" s="667"/>
      <c r="M864" s="667"/>
      <c r="N864" s="667"/>
      <c r="O864" s="667"/>
      <c r="P864" s="667"/>
      <c r="Q864" s="667"/>
    </row>
    <row r="865" ht="15.75" customHeight="1">
      <c r="B865" s="466"/>
      <c r="C865" s="667"/>
      <c r="D865" s="667"/>
      <c r="E865" s="668"/>
      <c r="F865" s="667"/>
      <c r="G865" s="667"/>
      <c r="H865" s="667"/>
      <c r="I865" s="667"/>
      <c r="J865" s="667"/>
      <c r="K865" s="667"/>
      <c r="L865" s="667"/>
      <c r="M865" s="667"/>
      <c r="N865" s="667"/>
      <c r="O865" s="667"/>
      <c r="P865" s="667"/>
      <c r="Q865" s="667"/>
    </row>
    <row r="866" ht="15.75" customHeight="1">
      <c r="B866" s="466"/>
      <c r="C866" s="667"/>
      <c r="D866" s="667"/>
      <c r="E866" s="668"/>
      <c r="F866" s="667"/>
      <c r="G866" s="667"/>
      <c r="H866" s="667"/>
      <c r="I866" s="667"/>
      <c r="J866" s="667"/>
      <c r="K866" s="667"/>
      <c r="L866" s="667"/>
      <c r="M866" s="667"/>
      <c r="N866" s="667"/>
      <c r="O866" s="667"/>
      <c r="P866" s="667"/>
      <c r="Q866" s="667"/>
    </row>
    <row r="867" ht="15.75" customHeight="1">
      <c r="B867" s="466"/>
      <c r="C867" s="667"/>
      <c r="D867" s="667"/>
      <c r="E867" s="668"/>
      <c r="F867" s="667"/>
      <c r="G867" s="667"/>
      <c r="H867" s="667"/>
      <c r="I867" s="667"/>
      <c r="J867" s="667"/>
      <c r="K867" s="667"/>
      <c r="L867" s="667"/>
      <c r="M867" s="667"/>
      <c r="N867" s="667"/>
      <c r="O867" s="667"/>
      <c r="P867" s="667"/>
      <c r="Q867" s="667"/>
    </row>
    <row r="868" ht="15.75" customHeight="1">
      <c r="B868" s="466"/>
      <c r="C868" s="667"/>
      <c r="D868" s="667"/>
      <c r="E868" s="668"/>
      <c r="F868" s="667"/>
      <c r="G868" s="667"/>
      <c r="H868" s="667"/>
      <c r="I868" s="667"/>
      <c r="J868" s="667"/>
      <c r="K868" s="667"/>
      <c r="L868" s="667"/>
      <c r="M868" s="667"/>
      <c r="N868" s="667"/>
      <c r="O868" s="667"/>
      <c r="P868" s="667"/>
      <c r="Q868" s="667"/>
    </row>
    <row r="869" ht="15.75" customHeight="1">
      <c r="B869" s="466"/>
      <c r="C869" s="667"/>
      <c r="D869" s="667"/>
      <c r="E869" s="668"/>
      <c r="F869" s="667"/>
      <c r="G869" s="667"/>
      <c r="H869" s="667"/>
      <c r="I869" s="667"/>
      <c r="J869" s="667"/>
      <c r="K869" s="667"/>
      <c r="L869" s="667"/>
      <c r="M869" s="667"/>
      <c r="N869" s="667"/>
      <c r="O869" s="667"/>
      <c r="P869" s="667"/>
      <c r="Q869" s="667"/>
    </row>
    <row r="870" ht="15.75" customHeight="1">
      <c r="B870" s="466"/>
      <c r="C870" s="667"/>
      <c r="D870" s="667"/>
      <c r="E870" s="668"/>
      <c r="F870" s="667"/>
      <c r="G870" s="667"/>
      <c r="H870" s="667"/>
      <c r="I870" s="667"/>
      <c r="J870" s="667"/>
      <c r="K870" s="667"/>
      <c r="L870" s="667"/>
      <c r="M870" s="667"/>
      <c r="N870" s="667"/>
      <c r="O870" s="667"/>
      <c r="P870" s="667"/>
      <c r="Q870" s="667"/>
    </row>
    <row r="871" ht="15.75" customHeight="1">
      <c r="B871" s="466"/>
      <c r="C871" s="667"/>
      <c r="D871" s="667"/>
      <c r="E871" s="668"/>
      <c r="F871" s="667"/>
      <c r="G871" s="667"/>
      <c r="H871" s="667"/>
      <c r="I871" s="667"/>
      <c r="J871" s="667"/>
      <c r="K871" s="667"/>
      <c r="L871" s="667"/>
      <c r="M871" s="667"/>
      <c r="N871" s="667"/>
      <c r="O871" s="667"/>
      <c r="P871" s="667"/>
      <c r="Q871" s="667"/>
    </row>
    <row r="872" ht="15.75" customHeight="1">
      <c r="B872" s="466"/>
      <c r="C872" s="667"/>
      <c r="D872" s="667"/>
      <c r="E872" s="668"/>
      <c r="F872" s="667"/>
      <c r="G872" s="667"/>
      <c r="H872" s="667"/>
      <c r="I872" s="667"/>
      <c r="J872" s="667"/>
      <c r="K872" s="667"/>
      <c r="L872" s="667"/>
      <c r="M872" s="667"/>
      <c r="N872" s="667"/>
      <c r="O872" s="667"/>
      <c r="P872" s="667"/>
      <c r="Q872" s="667"/>
    </row>
    <row r="873" ht="15.75" customHeight="1">
      <c r="B873" s="466"/>
      <c r="C873" s="667"/>
      <c r="D873" s="667"/>
      <c r="E873" s="668"/>
      <c r="F873" s="667"/>
      <c r="G873" s="667"/>
      <c r="H873" s="667"/>
      <c r="I873" s="667"/>
      <c r="J873" s="667"/>
      <c r="K873" s="667"/>
      <c r="L873" s="667"/>
      <c r="M873" s="667"/>
      <c r="N873" s="667"/>
      <c r="O873" s="667"/>
      <c r="P873" s="667"/>
      <c r="Q873" s="667"/>
    </row>
    <row r="874" ht="15.75" customHeight="1">
      <c r="B874" s="466"/>
      <c r="C874" s="667"/>
      <c r="D874" s="667"/>
      <c r="E874" s="668"/>
      <c r="F874" s="667"/>
      <c r="G874" s="667"/>
      <c r="H874" s="667"/>
      <c r="I874" s="667"/>
      <c r="J874" s="667"/>
      <c r="K874" s="667"/>
      <c r="L874" s="667"/>
      <c r="M874" s="667"/>
      <c r="N874" s="667"/>
      <c r="O874" s="667"/>
      <c r="P874" s="667"/>
      <c r="Q874" s="667"/>
    </row>
    <row r="875" ht="15.75" customHeight="1">
      <c r="B875" s="466"/>
      <c r="C875" s="667"/>
      <c r="D875" s="667"/>
      <c r="E875" s="668"/>
      <c r="F875" s="667"/>
      <c r="G875" s="667"/>
      <c r="H875" s="667"/>
      <c r="I875" s="667"/>
      <c r="J875" s="667"/>
      <c r="K875" s="667"/>
      <c r="L875" s="667"/>
      <c r="M875" s="667"/>
      <c r="N875" s="667"/>
      <c r="O875" s="667"/>
      <c r="P875" s="667"/>
      <c r="Q875" s="667"/>
    </row>
    <row r="876" ht="15.75" customHeight="1">
      <c r="B876" s="466"/>
      <c r="C876" s="667"/>
      <c r="D876" s="667"/>
      <c r="E876" s="668"/>
      <c r="F876" s="667"/>
      <c r="G876" s="667"/>
      <c r="H876" s="667"/>
      <c r="I876" s="667"/>
      <c r="J876" s="667"/>
      <c r="K876" s="667"/>
      <c r="L876" s="667"/>
      <c r="M876" s="667"/>
      <c r="N876" s="667"/>
      <c r="O876" s="667"/>
      <c r="P876" s="667"/>
      <c r="Q876" s="667"/>
    </row>
    <row r="877" ht="15.75" customHeight="1">
      <c r="B877" s="466"/>
      <c r="C877" s="667"/>
      <c r="D877" s="667"/>
      <c r="E877" s="668"/>
      <c r="F877" s="667"/>
      <c r="G877" s="667"/>
      <c r="H877" s="667"/>
      <c r="I877" s="667"/>
      <c r="J877" s="667"/>
      <c r="K877" s="667"/>
      <c r="L877" s="667"/>
      <c r="M877" s="667"/>
      <c r="N877" s="667"/>
      <c r="O877" s="667"/>
      <c r="P877" s="667"/>
      <c r="Q877" s="667"/>
    </row>
    <row r="878" ht="15.75" customHeight="1">
      <c r="B878" s="466"/>
      <c r="C878" s="667"/>
      <c r="D878" s="667"/>
      <c r="E878" s="668"/>
      <c r="F878" s="667"/>
      <c r="G878" s="667"/>
      <c r="H878" s="667"/>
      <c r="I878" s="667"/>
      <c r="J878" s="667"/>
      <c r="K878" s="667"/>
      <c r="L878" s="667"/>
      <c r="M878" s="667"/>
      <c r="N878" s="667"/>
      <c r="O878" s="667"/>
      <c r="P878" s="667"/>
      <c r="Q878" s="667"/>
    </row>
    <row r="879" ht="15.75" customHeight="1">
      <c r="B879" s="466"/>
      <c r="C879" s="667"/>
      <c r="D879" s="667"/>
      <c r="E879" s="668"/>
      <c r="F879" s="667"/>
      <c r="G879" s="667"/>
      <c r="H879" s="667"/>
      <c r="I879" s="667"/>
      <c r="J879" s="667"/>
      <c r="K879" s="667"/>
      <c r="L879" s="667"/>
      <c r="M879" s="667"/>
      <c r="N879" s="667"/>
      <c r="O879" s="667"/>
      <c r="P879" s="667"/>
      <c r="Q879" s="667"/>
    </row>
    <row r="880" ht="15.75" customHeight="1">
      <c r="B880" s="466"/>
      <c r="C880" s="667"/>
      <c r="D880" s="667"/>
      <c r="E880" s="668"/>
      <c r="F880" s="667"/>
      <c r="G880" s="667"/>
      <c r="H880" s="667"/>
      <c r="I880" s="667"/>
      <c r="J880" s="667"/>
      <c r="K880" s="667"/>
      <c r="L880" s="667"/>
      <c r="M880" s="667"/>
      <c r="N880" s="667"/>
      <c r="O880" s="667"/>
      <c r="P880" s="667"/>
      <c r="Q880" s="667"/>
    </row>
    <row r="881" ht="15.75" customHeight="1">
      <c r="B881" s="466"/>
      <c r="C881" s="667"/>
      <c r="D881" s="667"/>
      <c r="E881" s="668"/>
      <c r="F881" s="667"/>
      <c r="G881" s="667"/>
      <c r="H881" s="667"/>
      <c r="I881" s="667"/>
      <c r="J881" s="667"/>
      <c r="K881" s="667"/>
      <c r="L881" s="667"/>
      <c r="M881" s="667"/>
      <c r="N881" s="667"/>
      <c r="O881" s="667"/>
      <c r="P881" s="667"/>
      <c r="Q881" s="667"/>
    </row>
    <row r="882" ht="15.75" customHeight="1">
      <c r="B882" s="466"/>
      <c r="C882" s="667"/>
      <c r="D882" s="667"/>
      <c r="E882" s="668"/>
      <c r="F882" s="667"/>
      <c r="G882" s="667"/>
      <c r="H882" s="667"/>
      <c r="I882" s="667"/>
      <c r="J882" s="667"/>
      <c r="K882" s="667"/>
      <c r="L882" s="667"/>
      <c r="M882" s="667"/>
      <c r="N882" s="667"/>
      <c r="O882" s="667"/>
      <c r="P882" s="667"/>
      <c r="Q882" s="667"/>
    </row>
    <row r="883" ht="15.75" customHeight="1">
      <c r="B883" s="466"/>
      <c r="C883" s="667"/>
      <c r="D883" s="667"/>
      <c r="E883" s="668"/>
      <c r="F883" s="667"/>
      <c r="G883" s="667"/>
      <c r="H883" s="667"/>
      <c r="I883" s="667"/>
      <c r="J883" s="667"/>
      <c r="K883" s="667"/>
      <c r="L883" s="667"/>
      <c r="M883" s="667"/>
      <c r="N883" s="667"/>
      <c r="O883" s="667"/>
      <c r="P883" s="667"/>
      <c r="Q883" s="667"/>
    </row>
    <row r="884" ht="15.75" customHeight="1">
      <c r="B884" s="466"/>
      <c r="C884" s="667"/>
      <c r="D884" s="667"/>
      <c r="E884" s="668"/>
      <c r="F884" s="667"/>
      <c r="G884" s="667"/>
      <c r="H884" s="667"/>
      <c r="I884" s="667"/>
      <c r="J884" s="667"/>
      <c r="K884" s="667"/>
      <c r="L884" s="667"/>
      <c r="M884" s="667"/>
      <c r="N884" s="667"/>
      <c r="O884" s="667"/>
      <c r="P884" s="667"/>
      <c r="Q884" s="667"/>
    </row>
    <row r="885" ht="15.75" customHeight="1">
      <c r="B885" s="466"/>
      <c r="C885" s="667"/>
      <c r="D885" s="667"/>
      <c r="E885" s="668"/>
      <c r="F885" s="667"/>
      <c r="G885" s="667"/>
      <c r="H885" s="667"/>
      <c r="I885" s="667"/>
      <c r="J885" s="667"/>
      <c r="K885" s="667"/>
      <c r="L885" s="667"/>
      <c r="M885" s="667"/>
      <c r="N885" s="667"/>
      <c r="O885" s="667"/>
      <c r="P885" s="667"/>
      <c r="Q885" s="667"/>
    </row>
    <row r="886" ht="15.75" customHeight="1">
      <c r="B886" s="466"/>
      <c r="C886" s="667"/>
      <c r="D886" s="667"/>
      <c r="E886" s="668"/>
      <c r="F886" s="667"/>
      <c r="G886" s="667"/>
      <c r="H886" s="667"/>
      <c r="I886" s="667"/>
      <c r="J886" s="667"/>
      <c r="K886" s="667"/>
      <c r="L886" s="667"/>
      <c r="M886" s="667"/>
      <c r="N886" s="667"/>
      <c r="O886" s="667"/>
      <c r="P886" s="667"/>
      <c r="Q886" s="667"/>
    </row>
    <row r="887" ht="15.75" customHeight="1">
      <c r="B887" s="466"/>
      <c r="C887" s="667"/>
      <c r="D887" s="667"/>
      <c r="E887" s="668"/>
      <c r="F887" s="667"/>
      <c r="G887" s="667"/>
      <c r="H887" s="667"/>
      <c r="I887" s="667"/>
      <c r="J887" s="667"/>
      <c r="K887" s="667"/>
      <c r="L887" s="667"/>
      <c r="M887" s="667"/>
      <c r="N887" s="667"/>
      <c r="O887" s="667"/>
      <c r="P887" s="667"/>
      <c r="Q887" s="667"/>
    </row>
    <row r="888" ht="15.75" customHeight="1">
      <c r="B888" s="466"/>
      <c r="C888" s="667"/>
      <c r="D888" s="667"/>
      <c r="E888" s="668"/>
      <c r="F888" s="667"/>
      <c r="G888" s="667"/>
      <c r="H888" s="667"/>
      <c r="I888" s="667"/>
      <c r="J888" s="667"/>
      <c r="K888" s="667"/>
      <c r="L888" s="667"/>
      <c r="M888" s="667"/>
      <c r="N888" s="667"/>
      <c r="O888" s="667"/>
      <c r="P888" s="667"/>
      <c r="Q888" s="667"/>
    </row>
    <row r="889" ht="15.75" customHeight="1">
      <c r="B889" s="466"/>
      <c r="C889" s="667"/>
      <c r="D889" s="667"/>
      <c r="E889" s="668"/>
      <c r="F889" s="667"/>
      <c r="G889" s="667"/>
      <c r="H889" s="667"/>
      <c r="I889" s="667"/>
      <c r="J889" s="667"/>
      <c r="K889" s="667"/>
      <c r="L889" s="667"/>
      <c r="M889" s="667"/>
      <c r="N889" s="667"/>
      <c r="O889" s="667"/>
      <c r="P889" s="667"/>
      <c r="Q889" s="667"/>
    </row>
    <row r="890" ht="15.75" customHeight="1">
      <c r="B890" s="466"/>
      <c r="C890" s="667"/>
      <c r="D890" s="667"/>
      <c r="E890" s="668"/>
      <c r="F890" s="667"/>
      <c r="G890" s="667"/>
      <c r="H890" s="667"/>
      <c r="I890" s="667"/>
      <c r="J890" s="667"/>
      <c r="K890" s="667"/>
      <c r="L890" s="667"/>
      <c r="M890" s="667"/>
      <c r="N890" s="667"/>
      <c r="O890" s="667"/>
      <c r="P890" s="667"/>
      <c r="Q890" s="667"/>
    </row>
    <row r="891" ht="15.75" customHeight="1">
      <c r="B891" s="466"/>
      <c r="C891" s="667"/>
      <c r="D891" s="667"/>
      <c r="E891" s="668"/>
      <c r="F891" s="667"/>
      <c r="G891" s="667"/>
      <c r="H891" s="667"/>
      <c r="I891" s="667"/>
      <c r="J891" s="667"/>
      <c r="K891" s="667"/>
      <c r="L891" s="667"/>
      <c r="M891" s="667"/>
      <c r="N891" s="667"/>
      <c r="O891" s="667"/>
      <c r="P891" s="667"/>
      <c r="Q891" s="667"/>
    </row>
    <row r="892" ht="15.75" customHeight="1">
      <c r="B892" s="466"/>
      <c r="C892" s="667"/>
      <c r="D892" s="667"/>
      <c r="E892" s="668"/>
      <c r="F892" s="667"/>
      <c r="G892" s="667"/>
      <c r="H892" s="667"/>
      <c r="I892" s="667"/>
      <c r="J892" s="667"/>
      <c r="K892" s="667"/>
      <c r="L892" s="667"/>
      <c r="M892" s="667"/>
      <c r="N892" s="667"/>
      <c r="O892" s="667"/>
      <c r="P892" s="667"/>
      <c r="Q892" s="667"/>
    </row>
    <row r="893" ht="15.75" customHeight="1">
      <c r="B893" s="466"/>
      <c r="C893" s="667"/>
      <c r="D893" s="667"/>
      <c r="E893" s="668"/>
      <c r="F893" s="667"/>
      <c r="G893" s="667"/>
      <c r="H893" s="667"/>
      <c r="I893" s="667"/>
      <c r="J893" s="667"/>
      <c r="K893" s="667"/>
      <c r="L893" s="667"/>
      <c r="M893" s="667"/>
      <c r="N893" s="667"/>
      <c r="O893" s="667"/>
      <c r="P893" s="667"/>
      <c r="Q893" s="667"/>
    </row>
    <row r="894" ht="15.75" customHeight="1">
      <c r="B894" s="466"/>
      <c r="C894" s="667"/>
      <c r="D894" s="667"/>
      <c r="E894" s="668"/>
      <c r="F894" s="667"/>
      <c r="G894" s="667"/>
      <c r="H894" s="667"/>
      <c r="I894" s="667"/>
      <c r="J894" s="667"/>
      <c r="K894" s="667"/>
      <c r="L894" s="667"/>
      <c r="M894" s="667"/>
      <c r="N894" s="667"/>
      <c r="O894" s="667"/>
      <c r="P894" s="667"/>
      <c r="Q894" s="667"/>
    </row>
    <row r="895" ht="15.75" customHeight="1">
      <c r="B895" s="466"/>
      <c r="C895" s="667"/>
      <c r="D895" s="667"/>
      <c r="E895" s="668"/>
      <c r="F895" s="667"/>
      <c r="G895" s="667"/>
      <c r="H895" s="667"/>
      <c r="I895" s="667"/>
      <c r="J895" s="667"/>
      <c r="K895" s="667"/>
      <c r="L895" s="667"/>
      <c r="M895" s="667"/>
      <c r="N895" s="667"/>
      <c r="O895" s="667"/>
      <c r="P895" s="667"/>
      <c r="Q895" s="667"/>
    </row>
    <row r="896" ht="15.75" customHeight="1">
      <c r="B896" s="466"/>
      <c r="C896" s="667"/>
      <c r="D896" s="667"/>
      <c r="E896" s="668"/>
      <c r="F896" s="667"/>
      <c r="G896" s="667"/>
      <c r="H896" s="667"/>
      <c r="I896" s="667"/>
      <c r="J896" s="667"/>
      <c r="K896" s="667"/>
      <c r="L896" s="667"/>
      <c r="M896" s="667"/>
      <c r="N896" s="667"/>
      <c r="O896" s="667"/>
      <c r="P896" s="667"/>
      <c r="Q896" s="667"/>
    </row>
    <row r="897" ht="15.75" customHeight="1">
      <c r="B897" s="466"/>
      <c r="C897" s="667"/>
      <c r="D897" s="667"/>
      <c r="E897" s="668"/>
      <c r="F897" s="667"/>
      <c r="G897" s="667"/>
      <c r="H897" s="667"/>
      <c r="I897" s="667"/>
      <c r="J897" s="667"/>
      <c r="K897" s="667"/>
      <c r="L897" s="667"/>
      <c r="M897" s="667"/>
      <c r="N897" s="667"/>
      <c r="O897" s="667"/>
      <c r="P897" s="667"/>
      <c r="Q897" s="667"/>
    </row>
    <row r="898" ht="15.75" customHeight="1">
      <c r="B898" s="466"/>
      <c r="C898" s="667"/>
      <c r="D898" s="667"/>
      <c r="E898" s="668"/>
      <c r="F898" s="667"/>
      <c r="G898" s="667"/>
      <c r="H898" s="667"/>
      <c r="I898" s="667"/>
      <c r="J898" s="667"/>
      <c r="K898" s="667"/>
      <c r="L898" s="667"/>
      <c r="M898" s="667"/>
      <c r="N898" s="667"/>
      <c r="O898" s="667"/>
      <c r="P898" s="667"/>
      <c r="Q898" s="667"/>
    </row>
    <row r="899" ht="15.75" customHeight="1">
      <c r="B899" s="466"/>
      <c r="C899" s="667"/>
      <c r="D899" s="667"/>
      <c r="E899" s="668"/>
      <c r="F899" s="667"/>
      <c r="G899" s="667"/>
      <c r="H899" s="667"/>
      <c r="I899" s="667"/>
      <c r="J899" s="667"/>
      <c r="K899" s="667"/>
      <c r="L899" s="667"/>
      <c r="M899" s="667"/>
      <c r="N899" s="667"/>
      <c r="O899" s="667"/>
      <c r="P899" s="667"/>
      <c r="Q899" s="667"/>
    </row>
    <row r="900" ht="15.75" customHeight="1">
      <c r="B900" s="466"/>
      <c r="C900" s="667"/>
      <c r="D900" s="667"/>
      <c r="E900" s="668"/>
      <c r="F900" s="667"/>
      <c r="G900" s="667"/>
      <c r="H900" s="667"/>
      <c r="I900" s="667"/>
      <c r="J900" s="667"/>
      <c r="K900" s="667"/>
      <c r="L900" s="667"/>
      <c r="M900" s="667"/>
      <c r="N900" s="667"/>
      <c r="O900" s="667"/>
      <c r="P900" s="667"/>
      <c r="Q900" s="667"/>
    </row>
    <row r="901" ht="15.75" customHeight="1">
      <c r="B901" s="466"/>
      <c r="C901" s="667"/>
      <c r="D901" s="667"/>
      <c r="E901" s="668"/>
      <c r="F901" s="667"/>
      <c r="G901" s="667"/>
      <c r="H901" s="667"/>
      <c r="I901" s="667"/>
      <c r="J901" s="667"/>
      <c r="K901" s="667"/>
      <c r="L901" s="667"/>
      <c r="M901" s="667"/>
      <c r="N901" s="667"/>
      <c r="O901" s="667"/>
      <c r="P901" s="667"/>
      <c r="Q901" s="667"/>
    </row>
    <row r="902" ht="15.75" customHeight="1">
      <c r="B902" s="466"/>
      <c r="C902" s="667"/>
      <c r="D902" s="667"/>
      <c r="E902" s="668"/>
      <c r="F902" s="667"/>
      <c r="G902" s="667"/>
      <c r="H902" s="667"/>
      <c r="I902" s="667"/>
      <c r="J902" s="667"/>
      <c r="K902" s="667"/>
      <c r="L902" s="667"/>
      <c r="M902" s="667"/>
      <c r="N902" s="667"/>
      <c r="O902" s="667"/>
      <c r="P902" s="667"/>
      <c r="Q902" s="667"/>
    </row>
    <row r="903" ht="15.75" customHeight="1">
      <c r="B903" s="466"/>
      <c r="C903" s="667"/>
      <c r="D903" s="667"/>
      <c r="E903" s="668"/>
      <c r="F903" s="667"/>
      <c r="G903" s="667"/>
      <c r="H903" s="667"/>
      <c r="I903" s="667"/>
      <c r="J903" s="667"/>
      <c r="K903" s="667"/>
      <c r="L903" s="667"/>
      <c r="M903" s="667"/>
      <c r="N903" s="667"/>
      <c r="O903" s="667"/>
      <c r="P903" s="667"/>
      <c r="Q903" s="667"/>
    </row>
    <row r="904" ht="15.75" customHeight="1">
      <c r="B904" s="466"/>
      <c r="C904" s="667"/>
      <c r="D904" s="667"/>
      <c r="E904" s="668"/>
      <c r="F904" s="667"/>
      <c r="G904" s="667"/>
      <c r="H904" s="667"/>
      <c r="I904" s="667"/>
      <c r="J904" s="667"/>
      <c r="K904" s="667"/>
      <c r="L904" s="667"/>
      <c r="M904" s="667"/>
      <c r="N904" s="667"/>
      <c r="O904" s="667"/>
      <c r="P904" s="667"/>
      <c r="Q904" s="667"/>
    </row>
    <row r="905" ht="15.75" customHeight="1">
      <c r="B905" s="466"/>
      <c r="C905" s="667"/>
      <c r="D905" s="667"/>
      <c r="E905" s="668"/>
      <c r="F905" s="667"/>
      <c r="G905" s="667"/>
      <c r="H905" s="667"/>
      <c r="I905" s="667"/>
      <c r="J905" s="667"/>
      <c r="K905" s="667"/>
      <c r="L905" s="667"/>
      <c r="M905" s="667"/>
      <c r="N905" s="667"/>
      <c r="O905" s="667"/>
      <c r="P905" s="667"/>
      <c r="Q905" s="667"/>
    </row>
    <row r="906" ht="15.75" customHeight="1">
      <c r="B906" s="466"/>
      <c r="C906" s="667"/>
      <c r="D906" s="667"/>
      <c r="E906" s="668"/>
      <c r="F906" s="667"/>
      <c r="G906" s="667"/>
      <c r="H906" s="667"/>
      <c r="I906" s="667"/>
      <c r="J906" s="667"/>
      <c r="K906" s="667"/>
      <c r="L906" s="667"/>
      <c r="M906" s="667"/>
      <c r="N906" s="667"/>
      <c r="O906" s="667"/>
      <c r="P906" s="667"/>
      <c r="Q906" s="667"/>
    </row>
    <row r="907" ht="15.75" customHeight="1">
      <c r="B907" s="466"/>
      <c r="C907" s="667"/>
      <c r="D907" s="667"/>
      <c r="E907" s="668"/>
      <c r="F907" s="667"/>
      <c r="G907" s="667"/>
      <c r="H907" s="667"/>
      <c r="I907" s="667"/>
      <c r="J907" s="667"/>
      <c r="K907" s="667"/>
      <c r="L907" s="667"/>
      <c r="M907" s="667"/>
      <c r="N907" s="667"/>
      <c r="O907" s="667"/>
      <c r="P907" s="667"/>
      <c r="Q907" s="667"/>
    </row>
    <row r="908" ht="15.75" customHeight="1">
      <c r="B908" s="466"/>
      <c r="C908" s="667"/>
      <c r="D908" s="667"/>
      <c r="E908" s="668"/>
      <c r="F908" s="667"/>
      <c r="G908" s="667"/>
      <c r="H908" s="667"/>
      <c r="I908" s="667"/>
      <c r="J908" s="667"/>
      <c r="K908" s="667"/>
      <c r="L908" s="667"/>
      <c r="M908" s="667"/>
      <c r="N908" s="667"/>
      <c r="O908" s="667"/>
      <c r="P908" s="667"/>
      <c r="Q908" s="667"/>
    </row>
    <row r="909" ht="15.75" customHeight="1">
      <c r="B909" s="466"/>
      <c r="C909" s="667"/>
      <c r="D909" s="667"/>
      <c r="E909" s="668"/>
      <c r="F909" s="667"/>
      <c r="G909" s="667"/>
      <c r="H909" s="667"/>
      <c r="I909" s="667"/>
      <c r="J909" s="667"/>
      <c r="K909" s="667"/>
      <c r="L909" s="667"/>
      <c r="M909" s="667"/>
      <c r="N909" s="667"/>
      <c r="O909" s="667"/>
      <c r="P909" s="667"/>
      <c r="Q909" s="667"/>
    </row>
    <row r="910" ht="15.75" customHeight="1">
      <c r="B910" s="466"/>
      <c r="C910" s="667"/>
      <c r="D910" s="667"/>
      <c r="E910" s="668"/>
      <c r="F910" s="667"/>
      <c r="G910" s="667"/>
      <c r="H910" s="667"/>
      <c r="I910" s="667"/>
      <c r="J910" s="667"/>
      <c r="K910" s="667"/>
      <c r="L910" s="667"/>
      <c r="M910" s="667"/>
      <c r="N910" s="667"/>
      <c r="O910" s="667"/>
      <c r="P910" s="667"/>
      <c r="Q910" s="667"/>
    </row>
    <row r="911" ht="15.75" customHeight="1">
      <c r="B911" s="466"/>
      <c r="C911" s="667"/>
      <c r="D911" s="667"/>
      <c r="E911" s="668"/>
      <c r="F911" s="667"/>
      <c r="G911" s="667"/>
      <c r="H911" s="667"/>
      <c r="I911" s="667"/>
      <c r="J911" s="667"/>
      <c r="K911" s="667"/>
      <c r="L911" s="667"/>
      <c r="M911" s="667"/>
      <c r="N911" s="667"/>
      <c r="O911" s="667"/>
      <c r="P911" s="667"/>
      <c r="Q911" s="667"/>
    </row>
    <row r="912" ht="15.75" customHeight="1">
      <c r="B912" s="466"/>
      <c r="C912" s="667"/>
      <c r="D912" s="667"/>
      <c r="E912" s="668"/>
      <c r="F912" s="667"/>
      <c r="G912" s="667"/>
      <c r="H912" s="667"/>
      <c r="I912" s="667"/>
      <c r="J912" s="667"/>
      <c r="K912" s="667"/>
      <c r="L912" s="667"/>
      <c r="M912" s="667"/>
      <c r="N912" s="667"/>
      <c r="O912" s="667"/>
      <c r="P912" s="667"/>
      <c r="Q912" s="667"/>
    </row>
    <row r="913" ht="15.75" customHeight="1">
      <c r="B913" s="466"/>
      <c r="C913" s="667"/>
      <c r="D913" s="667"/>
      <c r="E913" s="668"/>
      <c r="F913" s="667"/>
      <c r="G913" s="667"/>
      <c r="H913" s="667"/>
      <c r="I913" s="667"/>
      <c r="J913" s="667"/>
      <c r="K913" s="667"/>
      <c r="L913" s="667"/>
      <c r="M913" s="667"/>
      <c r="N913" s="667"/>
      <c r="O913" s="667"/>
      <c r="P913" s="667"/>
      <c r="Q913" s="667"/>
    </row>
    <row r="914" ht="15.75" customHeight="1">
      <c r="B914" s="466"/>
      <c r="C914" s="667"/>
      <c r="D914" s="667"/>
      <c r="E914" s="668"/>
      <c r="F914" s="667"/>
      <c r="G914" s="667"/>
      <c r="H914" s="667"/>
      <c r="I914" s="667"/>
      <c r="J914" s="667"/>
      <c r="K914" s="667"/>
      <c r="L914" s="667"/>
      <c r="M914" s="667"/>
      <c r="N914" s="667"/>
      <c r="O914" s="667"/>
      <c r="P914" s="667"/>
      <c r="Q914" s="667"/>
    </row>
    <row r="915" ht="15.75" customHeight="1">
      <c r="B915" s="466"/>
      <c r="C915" s="667"/>
      <c r="D915" s="667"/>
      <c r="E915" s="668"/>
      <c r="F915" s="667"/>
      <c r="G915" s="667"/>
      <c r="H915" s="667"/>
      <c r="I915" s="667"/>
      <c r="J915" s="667"/>
      <c r="K915" s="667"/>
      <c r="L915" s="667"/>
      <c r="M915" s="667"/>
      <c r="N915" s="667"/>
      <c r="O915" s="667"/>
      <c r="P915" s="667"/>
      <c r="Q915" s="667"/>
    </row>
    <row r="916" ht="15.75" customHeight="1">
      <c r="B916" s="466"/>
      <c r="C916" s="667"/>
      <c r="D916" s="667"/>
      <c r="E916" s="668"/>
      <c r="F916" s="667"/>
      <c r="G916" s="667"/>
      <c r="H916" s="667"/>
      <c r="I916" s="667"/>
      <c r="J916" s="667"/>
      <c r="K916" s="667"/>
      <c r="L916" s="667"/>
      <c r="M916" s="667"/>
      <c r="N916" s="667"/>
      <c r="O916" s="667"/>
      <c r="P916" s="667"/>
      <c r="Q916" s="667"/>
    </row>
    <row r="917" ht="15.75" customHeight="1">
      <c r="B917" s="466"/>
      <c r="C917" s="667"/>
      <c r="D917" s="667"/>
      <c r="E917" s="668"/>
      <c r="F917" s="667"/>
      <c r="G917" s="667"/>
      <c r="H917" s="667"/>
      <c r="I917" s="667"/>
      <c r="J917" s="667"/>
      <c r="K917" s="667"/>
      <c r="L917" s="667"/>
      <c r="M917" s="667"/>
      <c r="N917" s="667"/>
      <c r="O917" s="667"/>
      <c r="P917" s="667"/>
      <c r="Q917" s="667"/>
    </row>
    <row r="918" ht="15.75" customHeight="1">
      <c r="B918" s="466"/>
      <c r="C918" s="667"/>
      <c r="D918" s="667"/>
      <c r="E918" s="668"/>
      <c r="F918" s="667"/>
      <c r="G918" s="667"/>
      <c r="H918" s="667"/>
      <c r="I918" s="667"/>
      <c r="J918" s="667"/>
      <c r="K918" s="667"/>
      <c r="L918" s="667"/>
      <c r="M918" s="667"/>
      <c r="N918" s="667"/>
      <c r="O918" s="667"/>
      <c r="P918" s="667"/>
      <c r="Q918" s="667"/>
    </row>
    <row r="919" ht="15.75" customHeight="1">
      <c r="B919" s="466"/>
      <c r="C919" s="667"/>
      <c r="D919" s="667"/>
      <c r="E919" s="668"/>
      <c r="F919" s="667"/>
      <c r="G919" s="667"/>
      <c r="H919" s="667"/>
      <c r="I919" s="667"/>
      <c r="J919" s="667"/>
      <c r="K919" s="667"/>
      <c r="L919" s="667"/>
      <c r="M919" s="667"/>
      <c r="N919" s="667"/>
      <c r="O919" s="667"/>
      <c r="P919" s="667"/>
      <c r="Q919" s="667"/>
    </row>
    <row r="920" ht="15.75" customHeight="1">
      <c r="B920" s="466"/>
      <c r="C920" s="667"/>
      <c r="D920" s="667"/>
      <c r="E920" s="668"/>
      <c r="F920" s="667"/>
      <c r="G920" s="667"/>
      <c r="H920" s="667"/>
      <c r="I920" s="667"/>
      <c r="J920" s="667"/>
      <c r="K920" s="667"/>
      <c r="L920" s="667"/>
      <c r="M920" s="667"/>
      <c r="N920" s="667"/>
      <c r="O920" s="667"/>
      <c r="P920" s="667"/>
      <c r="Q920" s="667"/>
    </row>
    <row r="921" ht="15.75" customHeight="1">
      <c r="B921" s="466"/>
      <c r="C921" s="667"/>
      <c r="D921" s="667"/>
      <c r="E921" s="668"/>
      <c r="F921" s="667"/>
      <c r="G921" s="667"/>
      <c r="H921" s="667"/>
      <c r="I921" s="667"/>
      <c r="J921" s="667"/>
      <c r="K921" s="667"/>
      <c r="L921" s="667"/>
      <c r="M921" s="667"/>
      <c r="N921" s="667"/>
      <c r="O921" s="667"/>
      <c r="P921" s="667"/>
      <c r="Q921" s="667"/>
    </row>
    <row r="922" ht="15.75" customHeight="1">
      <c r="B922" s="466"/>
      <c r="C922" s="667"/>
      <c r="D922" s="667"/>
      <c r="E922" s="668"/>
      <c r="F922" s="667"/>
      <c r="G922" s="667"/>
      <c r="H922" s="667"/>
      <c r="I922" s="667"/>
      <c r="J922" s="667"/>
      <c r="K922" s="667"/>
      <c r="L922" s="667"/>
      <c r="M922" s="667"/>
      <c r="N922" s="667"/>
      <c r="O922" s="667"/>
      <c r="P922" s="667"/>
      <c r="Q922" s="667"/>
    </row>
    <row r="923" ht="15.75" customHeight="1">
      <c r="B923" s="466"/>
      <c r="C923" s="667"/>
      <c r="D923" s="667"/>
      <c r="E923" s="668"/>
      <c r="F923" s="667"/>
      <c r="G923" s="667"/>
      <c r="H923" s="667"/>
      <c r="I923" s="667"/>
      <c r="J923" s="667"/>
      <c r="K923" s="667"/>
      <c r="L923" s="667"/>
      <c r="M923" s="667"/>
      <c r="N923" s="667"/>
      <c r="O923" s="667"/>
      <c r="P923" s="667"/>
      <c r="Q923" s="667"/>
    </row>
    <row r="924" ht="15.75" customHeight="1">
      <c r="B924" s="466"/>
      <c r="C924" s="667"/>
      <c r="D924" s="667"/>
      <c r="E924" s="668"/>
      <c r="F924" s="667"/>
      <c r="G924" s="667"/>
      <c r="H924" s="667"/>
      <c r="I924" s="667"/>
      <c r="J924" s="667"/>
      <c r="K924" s="667"/>
      <c r="L924" s="667"/>
      <c r="M924" s="667"/>
      <c r="N924" s="667"/>
      <c r="O924" s="667"/>
      <c r="P924" s="667"/>
      <c r="Q924" s="667"/>
    </row>
    <row r="925" ht="15.75" customHeight="1">
      <c r="B925" s="466"/>
      <c r="C925" s="667"/>
      <c r="D925" s="667"/>
      <c r="E925" s="668"/>
      <c r="F925" s="667"/>
      <c r="G925" s="667"/>
      <c r="H925" s="667"/>
      <c r="I925" s="667"/>
      <c r="J925" s="667"/>
      <c r="K925" s="667"/>
      <c r="L925" s="667"/>
      <c r="M925" s="667"/>
      <c r="N925" s="667"/>
      <c r="O925" s="667"/>
      <c r="P925" s="667"/>
      <c r="Q925" s="667"/>
    </row>
    <row r="926" ht="15.75" customHeight="1">
      <c r="B926" s="466"/>
      <c r="C926" s="667"/>
      <c r="D926" s="667"/>
      <c r="E926" s="668"/>
      <c r="F926" s="667"/>
      <c r="G926" s="667"/>
      <c r="H926" s="667"/>
      <c r="I926" s="667"/>
      <c r="J926" s="667"/>
      <c r="K926" s="667"/>
      <c r="L926" s="667"/>
      <c r="M926" s="667"/>
      <c r="N926" s="667"/>
      <c r="O926" s="667"/>
      <c r="P926" s="667"/>
      <c r="Q926" s="667"/>
    </row>
    <row r="927" ht="15.75" customHeight="1">
      <c r="B927" s="466"/>
      <c r="C927" s="667"/>
      <c r="D927" s="667"/>
      <c r="E927" s="668"/>
      <c r="F927" s="667"/>
      <c r="G927" s="667"/>
      <c r="H927" s="667"/>
      <c r="I927" s="667"/>
      <c r="J927" s="667"/>
      <c r="K927" s="667"/>
      <c r="L927" s="667"/>
      <c r="M927" s="667"/>
      <c r="N927" s="667"/>
      <c r="O927" s="667"/>
      <c r="P927" s="667"/>
      <c r="Q927" s="667"/>
    </row>
    <row r="928" ht="15.75" customHeight="1">
      <c r="B928" s="466"/>
      <c r="C928" s="667"/>
      <c r="D928" s="667"/>
      <c r="E928" s="668"/>
      <c r="F928" s="667"/>
      <c r="G928" s="667"/>
      <c r="H928" s="667"/>
      <c r="I928" s="667"/>
      <c r="J928" s="667"/>
      <c r="K928" s="667"/>
      <c r="L928" s="667"/>
      <c r="M928" s="667"/>
      <c r="N928" s="667"/>
      <c r="O928" s="667"/>
      <c r="P928" s="667"/>
      <c r="Q928" s="667"/>
    </row>
    <row r="929" ht="15.75" customHeight="1">
      <c r="B929" s="466"/>
      <c r="C929" s="667"/>
      <c r="D929" s="667"/>
      <c r="E929" s="668"/>
      <c r="F929" s="667"/>
      <c r="G929" s="667"/>
      <c r="H929" s="667"/>
      <c r="I929" s="667"/>
      <c r="J929" s="667"/>
      <c r="K929" s="667"/>
      <c r="L929" s="667"/>
      <c r="M929" s="667"/>
      <c r="N929" s="667"/>
      <c r="O929" s="667"/>
      <c r="P929" s="667"/>
      <c r="Q929" s="667"/>
    </row>
    <row r="930" ht="15.75" customHeight="1">
      <c r="B930" s="466"/>
      <c r="C930" s="667"/>
      <c r="D930" s="667"/>
      <c r="E930" s="668"/>
      <c r="F930" s="667"/>
      <c r="G930" s="667"/>
      <c r="H930" s="667"/>
      <c r="I930" s="667"/>
      <c r="J930" s="667"/>
      <c r="K930" s="667"/>
      <c r="L930" s="667"/>
      <c r="M930" s="667"/>
      <c r="N930" s="667"/>
      <c r="O930" s="667"/>
      <c r="P930" s="667"/>
      <c r="Q930" s="667"/>
    </row>
    <row r="931" ht="15.75" customHeight="1">
      <c r="B931" s="466"/>
      <c r="C931" s="667"/>
      <c r="D931" s="667"/>
      <c r="E931" s="668"/>
      <c r="F931" s="667"/>
      <c r="G931" s="667"/>
      <c r="H931" s="667"/>
      <c r="I931" s="667"/>
      <c r="J931" s="667"/>
      <c r="K931" s="667"/>
      <c r="L931" s="667"/>
      <c r="M931" s="667"/>
      <c r="N931" s="667"/>
      <c r="O931" s="667"/>
      <c r="P931" s="667"/>
      <c r="Q931" s="667"/>
    </row>
    <row r="932" ht="15.75" customHeight="1">
      <c r="B932" s="466"/>
      <c r="C932" s="667"/>
      <c r="D932" s="667"/>
      <c r="E932" s="668"/>
      <c r="F932" s="667"/>
      <c r="G932" s="667"/>
      <c r="H932" s="667"/>
      <c r="I932" s="667"/>
      <c r="J932" s="667"/>
      <c r="K932" s="667"/>
      <c r="L932" s="667"/>
      <c r="M932" s="667"/>
      <c r="N932" s="667"/>
      <c r="O932" s="667"/>
      <c r="P932" s="667"/>
      <c r="Q932" s="667"/>
    </row>
    <row r="933" ht="15.75" customHeight="1">
      <c r="B933" s="466"/>
      <c r="C933" s="667"/>
      <c r="D933" s="667"/>
      <c r="E933" s="668"/>
      <c r="F933" s="667"/>
      <c r="G933" s="667"/>
      <c r="H933" s="667"/>
      <c r="I933" s="667"/>
      <c r="J933" s="667"/>
      <c r="K933" s="667"/>
      <c r="L933" s="667"/>
      <c r="M933" s="667"/>
      <c r="N933" s="667"/>
      <c r="O933" s="667"/>
      <c r="P933" s="667"/>
      <c r="Q933" s="667"/>
    </row>
    <row r="934" ht="15.75" customHeight="1">
      <c r="B934" s="466"/>
      <c r="C934" s="667"/>
      <c r="D934" s="667"/>
      <c r="E934" s="668"/>
      <c r="F934" s="667"/>
      <c r="G934" s="667"/>
      <c r="H934" s="667"/>
      <c r="I934" s="667"/>
      <c r="J934" s="667"/>
      <c r="K934" s="667"/>
      <c r="L934" s="667"/>
      <c r="M934" s="667"/>
      <c r="N934" s="667"/>
      <c r="O934" s="667"/>
      <c r="P934" s="667"/>
      <c r="Q934" s="667"/>
    </row>
    <row r="935" ht="15.75" customHeight="1">
      <c r="B935" s="466"/>
      <c r="C935" s="667"/>
      <c r="D935" s="667"/>
      <c r="E935" s="668"/>
      <c r="F935" s="667"/>
      <c r="G935" s="667"/>
      <c r="H935" s="667"/>
      <c r="I935" s="667"/>
      <c r="J935" s="667"/>
      <c r="K935" s="667"/>
      <c r="L935" s="667"/>
      <c r="M935" s="667"/>
      <c r="N935" s="667"/>
      <c r="O935" s="667"/>
      <c r="P935" s="667"/>
      <c r="Q935" s="667"/>
    </row>
    <row r="936" ht="15.75" customHeight="1">
      <c r="B936" s="466"/>
      <c r="C936" s="667"/>
      <c r="D936" s="667"/>
      <c r="E936" s="668"/>
      <c r="F936" s="667"/>
      <c r="G936" s="667"/>
      <c r="H936" s="667"/>
      <c r="I936" s="667"/>
      <c r="J936" s="667"/>
      <c r="K936" s="667"/>
      <c r="L936" s="667"/>
      <c r="M936" s="667"/>
      <c r="N936" s="667"/>
      <c r="O936" s="667"/>
      <c r="P936" s="667"/>
      <c r="Q936" s="667"/>
    </row>
    <row r="937" ht="15.75" customHeight="1">
      <c r="B937" s="466"/>
      <c r="C937" s="667"/>
      <c r="D937" s="667"/>
      <c r="E937" s="668"/>
      <c r="F937" s="667"/>
      <c r="G937" s="667"/>
      <c r="H937" s="667"/>
      <c r="I937" s="667"/>
      <c r="J937" s="667"/>
      <c r="K937" s="667"/>
      <c r="L937" s="667"/>
      <c r="M937" s="667"/>
      <c r="N937" s="667"/>
      <c r="O937" s="667"/>
      <c r="P937" s="667"/>
      <c r="Q937" s="667"/>
    </row>
    <row r="938" ht="15.75" customHeight="1">
      <c r="B938" s="466"/>
      <c r="C938" s="667"/>
      <c r="D938" s="667"/>
      <c r="E938" s="668"/>
      <c r="F938" s="667"/>
      <c r="G938" s="667"/>
      <c r="H938" s="667"/>
      <c r="I938" s="667"/>
      <c r="J938" s="667"/>
      <c r="K938" s="667"/>
      <c r="L938" s="667"/>
      <c r="M938" s="667"/>
      <c r="N938" s="667"/>
      <c r="O938" s="667"/>
      <c r="P938" s="667"/>
      <c r="Q938" s="667"/>
    </row>
    <row r="939" ht="15.75" customHeight="1">
      <c r="B939" s="466"/>
      <c r="C939" s="667"/>
      <c r="D939" s="667"/>
      <c r="E939" s="668"/>
      <c r="F939" s="667"/>
      <c r="G939" s="667"/>
      <c r="H939" s="667"/>
      <c r="I939" s="667"/>
      <c r="J939" s="667"/>
      <c r="K939" s="667"/>
      <c r="L939" s="667"/>
      <c r="M939" s="667"/>
      <c r="N939" s="667"/>
      <c r="O939" s="667"/>
      <c r="P939" s="667"/>
      <c r="Q939" s="667"/>
    </row>
    <row r="940" ht="15.75" customHeight="1">
      <c r="B940" s="466"/>
      <c r="C940" s="667"/>
      <c r="D940" s="667"/>
      <c r="E940" s="668"/>
      <c r="F940" s="667"/>
      <c r="G940" s="667"/>
      <c r="H940" s="667"/>
      <c r="I940" s="667"/>
      <c r="J940" s="667"/>
      <c r="K940" s="667"/>
      <c r="L940" s="667"/>
      <c r="M940" s="667"/>
      <c r="N940" s="667"/>
      <c r="O940" s="667"/>
      <c r="P940" s="667"/>
      <c r="Q940" s="667"/>
    </row>
    <row r="941" ht="15.75" customHeight="1">
      <c r="B941" s="466"/>
      <c r="C941" s="667"/>
      <c r="D941" s="667"/>
      <c r="E941" s="668"/>
      <c r="F941" s="667"/>
      <c r="G941" s="667"/>
      <c r="H941" s="667"/>
      <c r="I941" s="667"/>
      <c r="J941" s="667"/>
      <c r="K941" s="667"/>
      <c r="L941" s="667"/>
      <c r="M941" s="667"/>
      <c r="N941" s="667"/>
      <c r="O941" s="667"/>
      <c r="P941" s="667"/>
      <c r="Q941" s="667"/>
    </row>
    <row r="942" ht="15.75" customHeight="1">
      <c r="B942" s="466"/>
      <c r="C942" s="667"/>
      <c r="D942" s="667"/>
      <c r="E942" s="668"/>
      <c r="F942" s="667"/>
      <c r="G942" s="667"/>
      <c r="H942" s="667"/>
      <c r="I942" s="667"/>
      <c r="J942" s="667"/>
      <c r="K942" s="667"/>
      <c r="L942" s="667"/>
      <c r="M942" s="667"/>
      <c r="N942" s="667"/>
      <c r="O942" s="667"/>
      <c r="P942" s="667"/>
      <c r="Q942" s="667"/>
    </row>
    <row r="943" ht="15.75" customHeight="1">
      <c r="B943" s="466"/>
      <c r="C943" s="667"/>
      <c r="D943" s="667"/>
      <c r="E943" s="668"/>
      <c r="F943" s="667"/>
      <c r="G943" s="667"/>
      <c r="H943" s="667"/>
      <c r="I943" s="667"/>
      <c r="J943" s="667"/>
      <c r="K943" s="667"/>
      <c r="L943" s="667"/>
      <c r="M943" s="667"/>
      <c r="N943" s="667"/>
      <c r="O943" s="667"/>
      <c r="P943" s="667"/>
      <c r="Q943" s="667"/>
    </row>
    <row r="944" ht="15.75" customHeight="1">
      <c r="B944" s="466"/>
      <c r="C944" s="667"/>
      <c r="D944" s="667"/>
      <c r="E944" s="668"/>
      <c r="F944" s="667"/>
      <c r="G944" s="667"/>
      <c r="H944" s="667"/>
      <c r="I944" s="667"/>
      <c r="J944" s="667"/>
      <c r="K944" s="667"/>
      <c r="L944" s="667"/>
      <c r="M944" s="667"/>
      <c r="N944" s="667"/>
      <c r="O944" s="667"/>
      <c r="P944" s="667"/>
      <c r="Q944" s="667"/>
    </row>
    <row r="945" ht="15.75" customHeight="1">
      <c r="B945" s="466"/>
      <c r="C945" s="667"/>
      <c r="D945" s="667"/>
      <c r="E945" s="668"/>
      <c r="F945" s="667"/>
      <c r="G945" s="667"/>
      <c r="H945" s="667"/>
      <c r="I945" s="667"/>
      <c r="J945" s="667"/>
      <c r="K945" s="667"/>
      <c r="L945" s="667"/>
      <c r="M945" s="667"/>
      <c r="N945" s="667"/>
      <c r="O945" s="667"/>
      <c r="P945" s="667"/>
      <c r="Q945" s="667"/>
    </row>
    <row r="946" ht="15.75" customHeight="1">
      <c r="B946" s="466"/>
      <c r="C946" s="667"/>
      <c r="D946" s="667"/>
      <c r="E946" s="668"/>
      <c r="F946" s="667"/>
      <c r="G946" s="667"/>
      <c r="H946" s="667"/>
      <c r="I946" s="667"/>
      <c r="J946" s="667"/>
      <c r="K946" s="667"/>
      <c r="L946" s="667"/>
      <c r="M946" s="667"/>
      <c r="N946" s="667"/>
      <c r="O946" s="667"/>
      <c r="P946" s="667"/>
      <c r="Q946" s="667"/>
    </row>
    <row r="947" ht="15.75" customHeight="1">
      <c r="B947" s="466"/>
      <c r="C947" s="667"/>
      <c r="D947" s="667"/>
      <c r="E947" s="668"/>
      <c r="F947" s="667"/>
      <c r="G947" s="667"/>
      <c r="H947" s="667"/>
      <c r="I947" s="667"/>
      <c r="J947" s="667"/>
      <c r="K947" s="667"/>
      <c r="L947" s="667"/>
      <c r="M947" s="667"/>
      <c r="N947" s="667"/>
      <c r="O947" s="667"/>
      <c r="P947" s="667"/>
      <c r="Q947" s="667"/>
    </row>
    <row r="948" ht="15.75" customHeight="1">
      <c r="B948" s="466"/>
      <c r="C948" s="667"/>
      <c r="D948" s="667"/>
      <c r="E948" s="668"/>
      <c r="F948" s="667"/>
      <c r="G948" s="667"/>
      <c r="H948" s="667"/>
      <c r="I948" s="667"/>
      <c r="J948" s="667"/>
      <c r="K948" s="667"/>
      <c r="L948" s="667"/>
      <c r="M948" s="667"/>
      <c r="N948" s="667"/>
      <c r="O948" s="667"/>
      <c r="P948" s="667"/>
      <c r="Q948" s="667"/>
    </row>
    <row r="949" ht="15.75" customHeight="1">
      <c r="B949" s="466"/>
      <c r="C949" s="667"/>
      <c r="D949" s="667"/>
      <c r="E949" s="668"/>
      <c r="F949" s="667"/>
      <c r="G949" s="667"/>
      <c r="H949" s="667"/>
      <c r="I949" s="667"/>
      <c r="J949" s="667"/>
      <c r="K949" s="667"/>
      <c r="L949" s="667"/>
      <c r="M949" s="667"/>
      <c r="N949" s="667"/>
      <c r="O949" s="667"/>
      <c r="P949" s="667"/>
      <c r="Q949" s="667"/>
    </row>
    <row r="950" ht="15.75" customHeight="1">
      <c r="B950" s="466"/>
      <c r="C950" s="667"/>
      <c r="D950" s="667"/>
      <c r="E950" s="668"/>
      <c r="F950" s="667"/>
      <c r="G950" s="667"/>
      <c r="H950" s="667"/>
      <c r="I950" s="667"/>
      <c r="J950" s="667"/>
      <c r="K950" s="667"/>
      <c r="L950" s="667"/>
      <c r="M950" s="667"/>
      <c r="N950" s="667"/>
      <c r="O950" s="667"/>
      <c r="P950" s="667"/>
      <c r="Q950" s="667"/>
    </row>
    <row r="951" ht="15.75" customHeight="1">
      <c r="B951" s="466"/>
      <c r="C951" s="667"/>
      <c r="D951" s="667"/>
      <c r="E951" s="668"/>
      <c r="F951" s="667"/>
      <c r="G951" s="667"/>
      <c r="H951" s="667"/>
      <c r="I951" s="667"/>
      <c r="J951" s="667"/>
      <c r="K951" s="667"/>
      <c r="L951" s="667"/>
      <c r="M951" s="667"/>
      <c r="N951" s="667"/>
      <c r="O951" s="667"/>
      <c r="P951" s="667"/>
      <c r="Q951" s="667"/>
    </row>
    <row r="952" ht="15.75" customHeight="1">
      <c r="B952" s="466"/>
      <c r="C952" s="667"/>
      <c r="D952" s="667"/>
      <c r="E952" s="668"/>
      <c r="F952" s="667"/>
      <c r="G952" s="667"/>
      <c r="H952" s="667"/>
      <c r="I952" s="667"/>
      <c r="J952" s="667"/>
      <c r="K952" s="667"/>
      <c r="L952" s="667"/>
      <c r="M952" s="667"/>
      <c r="N952" s="667"/>
      <c r="O952" s="667"/>
      <c r="P952" s="667"/>
      <c r="Q952" s="667"/>
    </row>
    <row r="953" ht="15.75" customHeight="1">
      <c r="B953" s="466"/>
      <c r="C953" s="667"/>
      <c r="D953" s="667"/>
      <c r="E953" s="668"/>
      <c r="F953" s="667"/>
      <c r="G953" s="667"/>
      <c r="H953" s="667"/>
      <c r="I953" s="667"/>
      <c r="J953" s="667"/>
      <c r="K953" s="667"/>
      <c r="L953" s="667"/>
      <c r="M953" s="667"/>
      <c r="N953" s="667"/>
      <c r="O953" s="667"/>
      <c r="P953" s="667"/>
      <c r="Q953" s="667"/>
    </row>
    <row r="954" ht="15.75" customHeight="1">
      <c r="B954" s="466"/>
      <c r="C954" s="667"/>
      <c r="D954" s="667"/>
      <c r="E954" s="668"/>
      <c r="F954" s="667"/>
      <c r="G954" s="667"/>
      <c r="H954" s="667"/>
      <c r="I954" s="667"/>
      <c r="J954" s="667"/>
      <c r="K954" s="667"/>
      <c r="L954" s="667"/>
      <c r="M954" s="667"/>
      <c r="N954" s="667"/>
      <c r="O954" s="667"/>
      <c r="P954" s="667"/>
      <c r="Q954" s="667"/>
    </row>
    <row r="955" ht="15.75" customHeight="1">
      <c r="B955" s="466"/>
      <c r="C955" s="667"/>
      <c r="D955" s="667"/>
      <c r="E955" s="668"/>
      <c r="F955" s="667"/>
      <c r="G955" s="667"/>
      <c r="H955" s="667"/>
      <c r="I955" s="667"/>
      <c r="J955" s="667"/>
      <c r="K955" s="667"/>
      <c r="L955" s="667"/>
      <c r="M955" s="667"/>
      <c r="N955" s="667"/>
      <c r="O955" s="667"/>
      <c r="P955" s="667"/>
      <c r="Q955" s="667"/>
    </row>
    <row r="956" ht="15.75" customHeight="1">
      <c r="B956" s="466"/>
      <c r="C956" s="667"/>
      <c r="D956" s="667"/>
      <c r="E956" s="668"/>
      <c r="F956" s="667"/>
      <c r="G956" s="667"/>
      <c r="H956" s="667"/>
      <c r="I956" s="667"/>
      <c r="J956" s="667"/>
      <c r="K956" s="667"/>
      <c r="L956" s="667"/>
      <c r="M956" s="667"/>
      <c r="N956" s="667"/>
      <c r="O956" s="667"/>
      <c r="P956" s="667"/>
      <c r="Q956" s="667"/>
    </row>
    <row r="957" ht="15.75" customHeight="1">
      <c r="B957" s="466"/>
      <c r="C957" s="667"/>
      <c r="D957" s="667"/>
      <c r="E957" s="668"/>
      <c r="F957" s="667"/>
      <c r="G957" s="667"/>
      <c r="H957" s="667"/>
      <c r="I957" s="667"/>
      <c r="J957" s="667"/>
      <c r="K957" s="667"/>
      <c r="L957" s="667"/>
      <c r="M957" s="667"/>
      <c r="N957" s="667"/>
      <c r="O957" s="667"/>
      <c r="P957" s="667"/>
      <c r="Q957" s="667"/>
    </row>
    <row r="958" ht="15.75" customHeight="1">
      <c r="B958" s="466"/>
      <c r="C958" s="667"/>
      <c r="D958" s="667"/>
      <c r="E958" s="668"/>
      <c r="F958" s="667"/>
      <c r="G958" s="667"/>
      <c r="H958" s="667"/>
      <c r="I958" s="667"/>
      <c r="J958" s="667"/>
      <c r="K958" s="667"/>
      <c r="L958" s="667"/>
      <c r="M958" s="667"/>
      <c r="N958" s="667"/>
      <c r="O958" s="667"/>
      <c r="P958" s="667"/>
      <c r="Q958" s="667"/>
    </row>
    <row r="959" ht="15.75" customHeight="1">
      <c r="B959" s="466"/>
      <c r="C959" s="667"/>
      <c r="D959" s="667"/>
      <c r="E959" s="668"/>
      <c r="F959" s="667"/>
      <c r="G959" s="667"/>
      <c r="H959" s="667"/>
      <c r="I959" s="667"/>
      <c r="J959" s="667"/>
      <c r="K959" s="667"/>
      <c r="L959" s="667"/>
      <c r="M959" s="667"/>
      <c r="N959" s="667"/>
      <c r="O959" s="667"/>
      <c r="P959" s="667"/>
      <c r="Q959" s="667"/>
    </row>
    <row r="960" ht="15.75" customHeight="1">
      <c r="B960" s="466"/>
      <c r="C960" s="667"/>
      <c r="D960" s="667"/>
      <c r="E960" s="668"/>
      <c r="F960" s="667"/>
      <c r="G960" s="667"/>
      <c r="H960" s="667"/>
      <c r="I960" s="667"/>
      <c r="J960" s="667"/>
      <c r="K960" s="667"/>
      <c r="L960" s="667"/>
      <c r="M960" s="667"/>
      <c r="N960" s="667"/>
      <c r="O960" s="667"/>
      <c r="P960" s="667"/>
      <c r="Q960" s="667"/>
    </row>
    <row r="961" ht="15.75" customHeight="1">
      <c r="B961" s="466"/>
      <c r="C961" s="667"/>
      <c r="D961" s="667"/>
      <c r="E961" s="668"/>
      <c r="F961" s="667"/>
      <c r="G961" s="667"/>
      <c r="H961" s="667"/>
      <c r="I961" s="667"/>
      <c r="J961" s="667"/>
      <c r="K961" s="667"/>
      <c r="L961" s="667"/>
      <c r="M961" s="667"/>
      <c r="N961" s="667"/>
      <c r="O961" s="667"/>
      <c r="P961" s="667"/>
      <c r="Q961" s="667"/>
    </row>
    <row r="962" ht="15.75" customHeight="1">
      <c r="B962" s="466"/>
      <c r="C962" s="667"/>
      <c r="D962" s="667"/>
      <c r="E962" s="668"/>
      <c r="F962" s="667"/>
      <c r="G962" s="667"/>
      <c r="H962" s="667"/>
      <c r="I962" s="667"/>
      <c r="J962" s="667"/>
      <c r="K962" s="667"/>
      <c r="L962" s="667"/>
      <c r="M962" s="667"/>
      <c r="N962" s="667"/>
      <c r="O962" s="667"/>
      <c r="P962" s="667"/>
      <c r="Q962" s="667"/>
    </row>
    <row r="963" ht="15.75" customHeight="1">
      <c r="B963" s="466"/>
      <c r="C963" s="667"/>
      <c r="D963" s="667"/>
      <c r="E963" s="668"/>
      <c r="F963" s="667"/>
      <c r="G963" s="667"/>
      <c r="H963" s="667"/>
      <c r="I963" s="667"/>
      <c r="J963" s="667"/>
      <c r="K963" s="667"/>
      <c r="L963" s="667"/>
      <c r="M963" s="667"/>
      <c r="N963" s="667"/>
      <c r="O963" s="667"/>
      <c r="P963" s="667"/>
      <c r="Q963" s="667"/>
    </row>
    <row r="964" ht="15.75" customHeight="1">
      <c r="B964" s="466"/>
      <c r="C964" s="667"/>
      <c r="D964" s="667"/>
      <c r="E964" s="668"/>
      <c r="F964" s="667"/>
      <c r="G964" s="667"/>
      <c r="H964" s="667"/>
      <c r="I964" s="667"/>
      <c r="J964" s="667"/>
      <c r="K964" s="667"/>
      <c r="L964" s="667"/>
      <c r="M964" s="667"/>
      <c r="N964" s="667"/>
      <c r="O964" s="667"/>
      <c r="P964" s="667"/>
      <c r="Q964" s="667"/>
    </row>
    <row r="965" ht="15.75" customHeight="1">
      <c r="B965" s="466"/>
      <c r="C965" s="667"/>
      <c r="D965" s="667"/>
      <c r="E965" s="668"/>
      <c r="F965" s="667"/>
      <c r="G965" s="667"/>
      <c r="H965" s="667"/>
      <c r="I965" s="667"/>
      <c r="J965" s="667"/>
      <c r="K965" s="667"/>
      <c r="L965" s="667"/>
      <c r="M965" s="667"/>
      <c r="N965" s="667"/>
      <c r="O965" s="667"/>
      <c r="P965" s="667"/>
      <c r="Q965" s="667"/>
    </row>
    <row r="966" ht="15.75" customHeight="1">
      <c r="B966" s="466"/>
      <c r="C966" s="667"/>
      <c r="D966" s="667"/>
      <c r="E966" s="668"/>
      <c r="F966" s="667"/>
      <c r="G966" s="667"/>
      <c r="H966" s="667"/>
      <c r="I966" s="667"/>
      <c r="J966" s="667"/>
      <c r="K966" s="667"/>
      <c r="L966" s="667"/>
      <c r="M966" s="667"/>
      <c r="N966" s="667"/>
      <c r="O966" s="667"/>
      <c r="P966" s="667"/>
      <c r="Q966" s="667"/>
    </row>
    <row r="967" ht="15.75" customHeight="1">
      <c r="B967" s="466"/>
      <c r="C967" s="667"/>
      <c r="D967" s="667"/>
      <c r="E967" s="668"/>
      <c r="F967" s="667"/>
      <c r="G967" s="667"/>
      <c r="H967" s="667"/>
      <c r="I967" s="667"/>
      <c r="J967" s="667"/>
      <c r="K967" s="667"/>
      <c r="L967" s="667"/>
      <c r="M967" s="667"/>
      <c r="N967" s="667"/>
      <c r="O967" s="667"/>
      <c r="P967" s="667"/>
      <c r="Q967" s="667"/>
    </row>
    <row r="968" ht="15.75" customHeight="1">
      <c r="B968" s="466"/>
      <c r="C968" s="667"/>
      <c r="D968" s="667"/>
      <c r="E968" s="668"/>
      <c r="F968" s="667"/>
      <c r="G968" s="667"/>
      <c r="H968" s="667"/>
      <c r="I968" s="667"/>
      <c r="J968" s="667"/>
      <c r="K968" s="667"/>
      <c r="L968" s="667"/>
      <c r="M968" s="667"/>
      <c r="N968" s="667"/>
      <c r="O968" s="667"/>
      <c r="P968" s="667"/>
      <c r="Q968" s="667"/>
    </row>
    <row r="969" ht="15.75" customHeight="1">
      <c r="B969" s="466"/>
      <c r="C969" s="667"/>
      <c r="D969" s="667"/>
      <c r="E969" s="668"/>
      <c r="F969" s="667"/>
      <c r="G969" s="667"/>
      <c r="H969" s="667"/>
      <c r="I969" s="667"/>
      <c r="J969" s="667"/>
      <c r="K969" s="667"/>
      <c r="L969" s="667"/>
      <c r="M969" s="667"/>
      <c r="N969" s="667"/>
      <c r="O969" s="667"/>
      <c r="P969" s="667"/>
      <c r="Q969" s="667"/>
    </row>
    <row r="970" ht="15.75" customHeight="1">
      <c r="B970" s="466"/>
      <c r="C970" s="667"/>
      <c r="D970" s="667"/>
      <c r="E970" s="668"/>
      <c r="F970" s="667"/>
      <c r="G970" s="667"/>
      <c r="H970" s="667"/>
      <c r="I970" s="667"/>
      <c r="J970" s="667"/>
      <c r="K970" s="667"/>
      <c r="L970" s="667"/>
      <c r="M970" s="667"/>
      <c r="N970" s="667"/>
      <c r="O970" s="667"/>
      <c r="P970" s="667"/>
      <c r="Q970" s="667"/>
    </row>
    <row r="971" ht="15.75" customHeight="1">
      <c r="B971" s="466"/>
      <c r="C971" s="667"/>
      <c r="D971" s="667"/>
      <c r="E971" s="668"/>
      <c r="F971" s="667"/>
      <c r="G971" s="667"/>
      <c r="H971" s="667"/>
      <c r="I971" s="667"/>
      <c r="J971" s="667"/>
      <c r="K971" s="667"/>
      <c r="L971" s="667"/>
      <c r="M971" s="667"/>
      <c r="N971" s="667"/>
      <c r="O971" s="667"/>
      <c r="P971" s="667"/>
      <c r="Q971" s="667"/>
    </row>
    <row r="972" ht="15.75" customHeight="1">
      <c r="B972" s="466"/>
      <c r="C972" s="667"/>
      <c r="D972" s="667"/>
      <c r="E972" s="668"/>
      <c r="F972" s="667"/>
      <c r="G972" s="667"/>
      <c r="H972" s="667"/>
      <c r="I972" s="667"/>
      <c r="J972" s="667"/>
      <c r="K972" s="667"/>
      <c r="L972" s="667"/>
      <c r="M972" s="667"/>
      <c r="N972" s="667"/>
      <c r="O972" s="667"/>
      <c r="P972" s="667"/>
      <c r="Q972" s="667"/>
    </row>
    <row r="973" ht="15.75" customHeight="1">
      <c r="B973" s="466"/>
      <c r="C973" s="667"/>
      <c r="D973" s="667"/>
      <c r="E973" s="668"/>
      <c r="F973" s="667"/>
      <c r="G973" s="667"/>
      <c r="H973" s="667"/>
      <c r="I973" s="667"/>
      <c r="J973" s="667"/>
      <c r="K973" s="667"/>
      <c r="L973" s="667"/>
      <c r="M973" s="667"/>
      <c r="N973" s="667"/>
      <c r="O973" s="667"/>
      <c r="P973" s="667"/>
      <c r="Q973" s="667"/>
    </row>
    <row r="974" ht="15.75" customHeight="1">
      <c r="B974" s="466"/>
      <c r="C974" s="667"/>
      <c r="D974" s="667"/>
      <c r="E974" s="668"/>
      <c r="F974" s="667"/>
      <c r="G974" s="667"/>
      <c r="H974" s="667"/>
      <c r="I974" s="667"/>
      <c r="J974" s="667"/>
      <c r="K974" s="667"/>
      <c r="L974" s="667"/>
      <c r="M974" s="667"/>
      <c r="N974" s="667"/>
      <c r="O974" s="667"/>
      <c r="P974" s="667"/>
      <c r="Q974" s="667"/>
    </row>
    <row r="975" ht="15.75" customHeight="1">
      <c r="B975" s="466"/>
      <c r="C975" s="667"/>
      <c r="D975" s="667"/>
      <c r="E975" s="668"/>
      <c r="F975" s="667"/>
      <c r="G975" s="667"/>
      <c r="H975" s="667"/>
      <c r="I975" s="667"/>
      <c r="J975" s="667"/>
      <c r="K975" s="667"/>
      <c r="L975" s="667"/>
      <c r="M975" s="667"/>
      <c r="N975" s="667"/>
      <c r="O975" s="667"/>
      <c r="P975" s="667"/>
      <c r="Q975" s="667"/>
    </row>
    <row r="976" ht="15.75" customHeight="1">
      <c r="B976" s="466"/>
      <c r="C976" s="667"/>
      <c r="D976" s="667"/>
      <c r="E976" s="668"/>
      <c r="F976" s="667"/>
      <c r="G976" s="667"/>
      <c r="H976" s="667"/>
      <c r="I976" s="667"/>
      <c r="J976" s="667"/>
      <c r="K976" s="667"/>
      <c r="L976" s="667"/>
      <c r="M976" s="667"/>
      <c r="N976" s="667"/>
      <c r="O976" s="667"/>
      <c r="P976" s="667"/>
      <c r="Q976" s="667"/>
    </row>
    <row r="977" ht="15.75" customHeight="1">
      <c r="B977" s="466"/>
      <c r="C977" s="667"/>
      <c r="D977" s="667"/>
      <c r="E977" s="668"/>
      <c r="F977" s="667"/>
      <c r="G977" s="667"/>
      <c r="H977" s="667"/>
      <c r="I977" s="667"/>
      <c r="J977" s="667"/>
      <c r="K977" s="667"/>
      <c r="L977" s="667"/>
      <c r="M977" s="667"/>
      <c r="N977" s="667"/>
      <c r="O977" s="667"/>
      <c r="P977" s="667"/>
      <c r="Q977" s="667"/>
    </row>
    <row r="978" ht="15.75" customHeight="1">
      <c r="B978" s="466"/>
      <c r="C978" s="667"/>
      <c r="D978" s="667"/>
      <c r="E978" s="668"/>
      <c r="F978" s="667"/>
      <c r="G978" s="667"/>
      <c r="H978" s="667"/>
      <c r="I978" s="667"/>
      <c r="J978" s="667"/>
      <c r="K978" s="667"/>
      <c r="L978" s="667"/>
      <c r="M978" s="667"/>
      <c r="N978" s="667"/>
      <c r="O978" s="667"/>
      <c r="P978" s="667"/>
      <c r="Q978" s="667"/>
    </row>
    <row r="979" ht="15.75" customHeight="1">
      <c r="B979" s="466"/>
      <c r="C979" s="667"/>
      <c r="D979" s="667"/>
      <c r="E979" s="668"/>
      <c r="F979" s="667"/>
      <c r="G979" s="667"/>
      <c r="H979" s="667"/>
      <c r="I979" s="667"/>
      <c r="J979" s="667"/>
      <c r="K979" s="667"/>
      <c r="L979" s="667"/>
      <c r="M979" s="667"/>
      <c r="N979" s="667"/>
      <c r="O979" s="667"/>
      <c r="P979" s="667"/>
      <c r="Q979" s="667"/>
    </row>
    <row r="980" ht="15.75" customHeight="1">
      <c r="B980" s="466"/>
      <c r="C980" s="667"/>
      <c r="D980" s="667"/>
      <c r="E980" s="668"/>
      <c r="F980" s="667"/>
      <c r="G980" s="667"/>
      <c r="H980" s="667"/>
      <c r="I980" s="667"/>
      <c r="J980" s="667"/>
      <c r="K980" s="667"/>
      <c r="L980" s="667"/>
      <c r="M980" s="667"/>
      <c r="N980" s="667"/>
      <c r="O980" s="667"/>
      <c r="P980" s="667"/>
      <c r="Q980" s="667"/>
    </row>
    <row r="981" ht="15.75" customHeight="1">
      <c r="B981" s="466"/>
      <c r="C981" s="667"/>
      <c r="D981" s="667"/>
      <c r="E981" s="668"/>
      <c r="F981" s="667"/>
      <c r="G981" s="667"/>
      <c r="H981" s="667"/>
      <c r="I981" s="667"/>
      <c r="J981" s="667"/>
      <c r="K981" s="667"/>
      <c r="L981" s="667"/>
      <c r="M981" s="667"/>
      <c r="N981" s="667"/>
      <c r="O981" s="667"/>
      <c r="P981" s="667"/>
      <c r="Q981" s="667"/>
    </row>
    <row r="982" ht="15.75" customHeight="1">
      <c r="B982" s="466"/>
      <c r="C982" s="667"/>
      <c r="D982" s="667"/>
      <c r="E982" s="668"/>
      <c r="F982" s="667"/>
      <c r="G982" s="667"/>
      <c r="H982" s="667"/>
      <c r="I982" s="667"/>
      <c r="J982" s="667"/>
      <c r="K982" s="667"/>
      <c r="L982" s="667"/>
      <c r="M982" s="667"/>
      <c r="N982" s="667"/>
      <c r="O982" s="667"/>
      <c r="P982" s="667"/>
      <c r="Q982" s="667"/>
    </row>
    <row r="983" ht="15.75" customHeight="1">
      <c r="B983" s="466"/>
      <c r="C983" s="667"/>
      <c r="D983" s="667"/>
      <c r="E983" s="668"/>
      <c r="F983" s="667"/>
      <c r="G983" s="667"/>
      <c r="H983" s="667"/>
      <c r="I983" s="667"/>
      <c r="J983" s="667"/>
      <c r="K983" s="667"/>
      <c r="L983" s="667"/>
      <c r="M983" s="667"/>
      <c r="N983" s="667"/>
      <c r="O983" s="667"/>
      <c r="P983" s="667"/>
      <c r="Q983" s="667"/>
    </row>
    <row r="984" ht="15.75" customHeight="1">
      <c r="B984" s="466"/>
      <c r="C984" s="667"/>
      <c r="D984" s="667"/>
      <c r="E984" s="668"/>
      <c r="F984" s="667"/>
      <c r="G984" s="667"/>
      <c r="H984" s="667"/>
      <c r="I984" s="667"/>
      <c r="J984" s="667"/>
      <c r="K984" s="667"/>
      <c r="L984" s="667"/>
      <c r="M984" s="667"/>
      <c r="N984" s="667"/>
      <c r="O984" s="667"/>
      <c r="P984" s="667"/>
      <c r="Q984" s="667"/>
    </row>
    <row r="985" ht="15.75" customHeight="1">
      <c r="B985" s="466"/>
      <c r="C985" s="667"/>
      <c r="D985" s="667"/>
      <c r="E985" s="668"/>
      <c r="F985" s="667"/>
      <c r="G985" s="667"/>
      <c r="H985" s="667"/>
      <c r="I985" s="667"/>
      <c r="J985" s="667"/>
      <c r="K985" s="667"/>
      <c r="L985" s="667"/>
      <c r="M985" s="667"/>
      <c r="N985" s="667"/>
      <c r="O985" s="667"/>
      <c r="P985" s="667"/>
      <c r="Q985" s="667"/>
    </row>
    <row r="986" ht="15.75" customHeight="1">
      <c r="B986" s="466"/>
      <c r="C986" s="667"/>
      <c r="D986" s="667"/>
      <c r="E986" s="668"/>
      <c r="F986" s="667"/>
      <c r="G986" s="667"/>
      <c r="H986" s="667"/>
      <c r="I986" s="667"/>
      <c r="J986" s="667"/>
      <c r="K986" s="667"/>
      <c r="L986" s="667"/>
      <c r="M986" s="667"/>
      <c r="N986" s="667"/>
      <c r="O986" s="667"/>
      <c r="P986" s="667"/>
      <c r="Q986" s="667"/>
    </row>
    <row r="987" ht="15.75" customHeight="1">
      <c r="B987" s="466"/>
      <c r="C987" s="667"/>
      <c r="D987" s="667"/>
      <c r="E987" s="668"/>
      <c r="F987" s="667"/>
      <c r="G987" s="667"/>
      <c r="H987" s="667"/>
      <c r="I987" s="667"/>
      <c r="J987" s="667"/>
      <c r="K987" s="667"/>
      <c r="L987" s="667"/>
      <c r="M987" s="667"/>
      <c r="N987" s="667"/>
      <c r="O987" s="667"/>
      <c r="P987" s="667"/>
      <c r="Q987" s="667"/>
    </row>
    <row r="988" ht="15.75" customHeight="1">
      <c r="B988" s="466"/>
      <c r="C988" s="667"/>
      <c r="D988" s="667"/>
      <c r="E988" s="668"/>
      <c r="F988" s="667"/>
      <c r="G988" s="667"/>
      <c r="H988" s="667"/>
      <c r="I988" s="667"/>
      <c r="J988" s="667"/>
      <c r="K988" s="667"/>
      <c r="L988" s="667"/>
      <c r="M988" s="667"/>
      <c r="N988" s="667"/>
      <c r="O988" s="667"/>
      <c r="P988" s="667"/>
      <c r="Q988" s="667"/>
    </row>
    <row r="989" ht="15.75" customHeight="1">
      <c r="B989" s="466"/>
      <c r="C989" s="667"/>
      <c r="D989" s="667"/>
      <c r="E989" s="668"/>
      <c r="F989" s="667"/>
      <c r="G989" s="667"/>
      <c r="H989" s="667"/>
      <c r="I989" s="667"/>
      <c r="J989" s="667"/>
      <c r="K989" s="667"/>
      <c r="L989" s="667"/>
      <c r="M989" s="667"/>
      <c r="N989" s="667"/>
      <c r="O989" s="667"/>
      <c r="P989" s="667"/>
      <c r="Q989" s="667"/>
    </row>
    <row r="990" ht="15.75" customHeight="1">
      <c r="B990" s="466"/>
      <c r="C990" s="667"/>
      <c r="D990" s="667"/>
      <c r="E990" s="668"/>
      <c r="F990" s="667"/>
      <c r="G990" s="667"/>
      <c r="H990" s="667"/>
      <c r="I990" s="667"/>
      <c r="J990" s="667"/>
      <c r="K990" s="667"/>
      <c r="L990" s="667"/>
      <c r="M990" s="667"/>
      <c r="N990" s="667"/>
      <c r="O990" s="667"/>
      <c r="P990" s="667"/>
      <c r="Q990" s="667"/>
    </row>
    <row r="991" ht="15.75" customHeight="1">
      <c r="B991" s="466"/>
      <c r="C991" s="667"/>
      <c r="D991" s="667"/>
      <c r="E991" s="668"/>
      <c r="F991" s="667"/>
      <c r="G991" s="667"/>
      <c r="H991" s="667"/>
      <c r="I991" s="667"/>
      <c r="J991" s="667"/>
      <c r="K991" s="667"/>
      <c r="L991" s="667"/>
      <c r="M991" s="667"/>
      <c r="N991" s="667"/>
      <c r="O991" s="667"/>
      <c r="P991" s="667"/>
      <c r="Q991" s="667"/>
    </row>
    <row r="992" ht="15.75" customHeight="1">
      <c r="B992" s="466"/>
      <c r="C992" s="667"/>
      <c r="D992" s="667"/>
      <c r="E992" s="668"/>
      <c r="F992" s="667"/>
      <c r="G992" s="667"/>
      <c r="H992" s="667"/>
      <c r="I992" s="667"/>
      <c r="J992" s="667"/>
      <c r="K992" s="667"/>
      <c r="L992" s="667"/>
      <c r="M992" s="667"/>
      <c r="N992" s="667"/>
      <c r="O992" s="667"/>
      <c r="P992" s="667"/>
      <c r="Q992" s="667"/>
    </row>
    <row r="993" ht="15.75" customHeight="1">
      <c r="B993" s="466"/>
      <c r="C993" s="667"/>
      <c r="D993" s="667"/>
      <c r="E993" s="668"/>
      <c r="F993" s="667"/>
      <c r="G993" s="667"/>
      <c r="H993" s="667"/>
      <c r="I993" s="667"/>
      <c r="J993" s="667"/>
      <c r="K993" s="667"/>
      <c r="L993" s="667"/>
      <c r="M993" s="667"/>
      <c r="N993" s="667"/>
      <c r="O993" s="667"/>
      <c r="P993" s="667"/>
      <c r="Q993" s="667"/>
    </row>
    <row r="994" ht="15.75" customHeight="1">
      <c r="B994" s="466"/>
      <c r="C994" s="667"/>
      <c r="D994" s="667"/>
      <c r="E994" s="668"/>
      <c r="F994" s="667"/>
      <c r="G994" s="667"/>
      <c r="H994" s="667"/>
      <c r="I994" s="667"/>
      <c r="J994" s="667"/>
      <c r="K994" s="667"/>
      <c r="L994" s="667"/>
      <c r="M994" s="667"/>
      <c r="N994" s="667"/>
      <c r="O994" s="667"/>
      <c r="P994" s="667"/>
      <c r="Q994" s="667"/>
    </row>
    <row r="995" ht="15.75" customHeight="1">
      <c r="B995" s="466"/>
      <c r="C995" s="667"/>
      <c r="D995" s="667"/>
      <c r="E995" s="668"/>
      <c r="F995" s="667"/>
      <c r="G995" s="667"/>
      <c r="H995" s="667"/>
      <c r="I995" s="667"/>
      <c r="J995" s="667"/>
      <c r="K995" s="667"/>
      <c r="L995" s="667"/>
      <c r="M995" s="667"/>
      <c r="N995" s="667"/>
      <c r="O995" s="667"/>
      <c r="P995" s="667"/>
      <c r="Q995" s="667"/>
    </row>
    <row r="996" ht="15.75" customHeight="1">
      <c r="B996" s="466"/>
      <c r="C996" s="667"/>
      <c r="D996" s="667"/>
      <c r="E996" s="668"/>
      <c r="F996" s="667"/>
      <c r="G996" s="667"/>
      <c r="H996" s="667"/>
      <c r="I996" s="667"/>
      <c r="J996" s="667"/>
      <c r="K996" s="667"/>
      <c r="L996" s="667"/>
      <c r="M996" s="667"/>
      <c r="N996" s="667"/>
      <c r="O996" s="667"/>
      <c r="P996" s="667"/>
      <c r="Q996" s="667"/>
    </row>
    <row r="997" ht="15.75" customHeight="1">
      <c r="B997" s="466"/>
      <c r="C997" s="667"/>
      <c r="D997" s="667"/>
      <c r="E997" s="668"/>
      <c r="F997" s="667"/>
      <c r="G997" s="667"/>
      <c r="H997" s="667"/>
      <c r="I997" s="667"/>
      <c r="J997" s="667"/>
      <c r="K997" s="667"/>
      <c r="L997" s="667"/>
      <c r="M997" s="667"/>
      <c r="N997" s="667"/>
      <c r="O997" s="667"/>
      <c r="P997" s="667"/>
      <c r="Q997" s="667"/>
    </row>
    <row r="998" ht="15.75" customHeight="1">
      <c r="B998" s="466"/>
      <c r="C998" s="667"/>
      <c r="D998" s="667"/>
      <c r="E998" s="668"/>
      <c r="F998" s="667"/>
      <c r="G998" s="667"/>
      <c r="H998" s="667"/>
      <c r="I998" s="667"/>
      <c r="J998" s="667"/>
      <c r="K998" s="667"/>
      <c r="L998" s="667"/>
      <c r="M998" s="667"/>
      <c r="N998" s="667"/>
      <c r="O998" s="667"/>
      <c r="P998" s="667"/>
      <c r="Q998" s="667"/>
    </row>
    <row r="999" ht="15.75" customHeight="1">
      <c r="B999" s="466"/>
      <c r="C999" s="667"/>
      <c r="D999" s="667"/>
      <c r="E999" s="668"/>
      <c r="F999" s="667"/>
      <c r="G999" s="667"/>
      <c r="H999" s="667"/>
      <c r="I999" s="667"/>
      <c r="J999" s="667"/>
      <c r="K999" s="667"/>
      <c r="L999" s="667"/>
      <c r="M999" s="667"/>
      <c r="N999" s="667"/>
      <c r="O999" s="667"/>
      <c r="P999" s="667"/>
      <c r="Q999" s="667"/>
    </row>
    <row r="1000" ht="15.75" customHeight="1">
      <c r="B1000" s="466"/>
      <c r="C1000" s="667"/>
      <c r="D1000" s="667"/>
      <c r="E1000" s="668"/>
      <c r="F1000" s="667"/>
      <c r="G1000" s="667"/>
      <c r="H1000" s="667"/>
      <c r="I1000" s="667"/>
      <c r="J1000" s="667"/>
      <c r="K1000" s="667"/>
      <c r="L1000" s="667"/>
      <c r="M1000" s="667"/>
      <c r="N1000" s="667"/>
      <c r="O1000" s="667"/>
      <c r="P1000" s="667"/>
      <c r="Q1000" s="667"/>
    </row>
  </sheetData>
  <mergeCells count="23">
    <mergeCell ref="B1:Q1"/>
    <mergeCell ref="C2:Q2"/>
    <mergeCell ref="K3:M3"/>
    <mergeCell ref="O3:Q3"/>
    <mergeCell ref="L4:M4"/>
    <mergeCell ref="B188:Q188"/>
    <mergeCell ref="B189:Q189"/>
    <mergeCell ref="B190:Q190"/>
    <mergeCell ref="C191:E191"/>
    <mergeCell ref="G191:H191"/>
    <mergeCell ref="I191:L191"/>
    <mergeCell ref="G192:H192"/>
    <mergeCell ref="K192:L192"/>
    <mergeCell ref="B193:C193"/>
    <mergeCell ref="J195:L195"/>
    <mergeCell ref="M195:Q195"/>
    <mergeCell ref="E193:F193"/>
    <mergeCell ref="C194:E194"/>
    <mergeCell ref="G194:H194"/>
    <mergeCell ref="I194:L194"/>
    <mergeCell ref="M194:Q194"/>
    <mergeCell ref="C195:E195"/>
    <mergeCell ref="G195:H195"/>
  </mergeCells>
  <printOptions/>
  <pageMargins bottom="0.7480314960629921" footer="0.0" header="0.0" left="0.7086614173228347" right="0.7086614173228347" top="0.7480314960629921"/>
  <pageSetup paperSize="5" scale="90"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71"/>
    <col customWidth="1" min="2" max="2" width="14.0"/>
    <col customWidth="1" min="3" max="3" width="11.43"/>
    <col customWidth="1" min="4" max="4" width="39.29"/>
    <col customWidth="1" min="5" max="5" width="9.86"/>
    <col customWidth="1" min="6" max="6" width="7.86"/>
    <col customWidth="1" min="7" max="7" width="8.71"/>
    <col customWidth="1" min="8" max="8" width="7.57"/>
    <col customWidth="1" min="9" max="9" width="9.0"/>
    <col customWidth="1" min="10" max="10" width="7.29"/>
    <col customWidth="1" min="11" max="11" width="12.43"/>
    <col customWidth="1" min="12" max="12" width="22.14"/>
    <col customWidth="1" min="13" max="13" width="16.71"/>
    <col customWidth="1" min="14" max="14" width="6.86"/>
    <col customWidth="1" min="15" max="15" width="11.43"/>
    <col customWidth="1" min="16" max="16" width="6.14"/>
    <col customWidth="1" min="17" max="36" width="8.71"/>
  </cols>
  <sheetData>
    <row r="1">
      <c r="A1" s="475" t="s">
        <v>14157</v>
      </c>
      <c r="Q1" s="857"/>
      <c r="R1" s="858"/>
      <c r="S1" s="858"/>
      <c r="T1" s="858"/>
      <c r="U1" s="858"/>
      <c r="V1" s="858"/>
      <c r="W1" s="858"/>
      <c r="X1" s="858"/>
      <c r="Y1" s="858"/>
      <c r="Z1" s="858"/>
      <c r="AA1" s="858"/>
      <c r="AB1" s="858"/>
      <c r="AC1" s="858"/>
      <c r="AD1" s="858"/>
      <c r="AE1" s="858"/>
      <c r="AF1" s="858"/>
      <c r="AG1" s="858"/>
      <c r="AH1" s="858"/>
      <c r="AI1" s="858"/>
      <c r="AJ1" s="858"/>
    </row>
    <row r="2">
      <c r="A2" s="321"/>
      <c r="B2" s="859" t="s">
        <v>19694</v>
      </c>
      <c r="C2" s="6"/>
      <c r="D2" s="6"/>
      <c r="E2" s="6"/>
      <c r="F2" s="6"/>
      <c r="G2" s="6"/>
      <c r="H2" s="6"/>
      <c r="I2" s="6"/>
      <c r="J2" s="6"/>
      <c r="K2" s="6"/>
      <c r="L2" s="6"/>
      <c r="M2" s="6"/>
      <c r="N2" s="6"/>
      <c r="O2" s="6"/>
      <c r="P2" s="7"/>
      <c r="Q2" s="857"/>
      <c r="R2" s="858"/>
      <c r="S2" s="858"/>
      <c r="T2" s="858"/>
      <c r="U2" s="858"/>
      <c r="V2" s="858"/>
      <c r="W2" s="858"/>
      <c r="X2" s="858"/>
      <c r="Y2" s="858"/>
      <c r="Z2" s="858"/>
      <c r="AA2" s="858"/>
      <c r="AB2" s="858"/>
      <c r="AC2" s="858"/>
      <c r="AD2" s="858"/>
      <c r="AE2" s="858"/>
      <c r="AF2" s="858"/>
      <c r="AG2" s="858"/>
      <c r="AH2" s="858"/>
      <c r="AI2" s="858"/>
      <c r="AJ2" s="858"/>
    </row>
    <row r="3">
      <c r="A3" s="321"/>
      <c r="B3" s="860"/>
      <c r="C3" s="861"/>
      <c r="D3" s="862"/>
      <c r="E3" s="861"/>
      <c r="F3" s="860"/>
      <c r="G3" s="860"/>
      <c r="H3" s="403"/>
      <c r="I3" s="861"/>
      <c r="J3" s="667"/>
      <c r="L3" s="13"/>
      <c r="M3" s="669" t="s">
        <v>3</v>
      </c>
      <c r="N3" s="670" t="s">
        <v>19695</v>
      </c>
      <c r="O3" s="16"/>
      <c r="P3" s="17"/>
      <c r="Q3" s="857"/>
      <c r="R3" s="863"/>
      <c r="S3" s="858"/>
      <c r="T3" s="858"/>
      <c r="U3" s="858"/>
      <c r="V3" s="858"/>
      <c r="W3" s="858"/>
      <c r="X3" s="858"/>
      <c r="Y3" s="858"/>
      <c r="Z3" s="858"/>
      <c r="AA3" s="858"/>
      <c r="AB3" s="858"/>
      <c r="AC3" s="858"/>
      <c r="AD3" s="858"/>
      <c r="AE3" s="858"/>
      <c r="AF3" s="858"/>
      <c r="AG3" s="858"/>
      <c r="AH3" s="858"/>
      <c r="AI3" s="858"/>
      <c r="AJ3" s="858"/>
    </row>
    <row r="4">
      <c r="A4" s="321"/>
      <c r="B4" s="860"/>
      <c r="C4" s="861"/>
      <c r="D4" s="862"/>
      <c r="E4" s="861"/>
      <c r="F4" s="860"/>
      <c r="G4" s="325"/>
      <c r="H4" s="403"/>
      <c r="I4" s="861"/>
      <c r="J4" s="860"/>
      <c r="K4" s="864"/>
      <c r="L4" s="407"/>
      <c r="M4" s="861"/>
      <c r="N4" s="860"/>
      <c r="O4" s="860"/>
      <c r="P4" s="865"/>
      <c r="Q4" s="857"/>
      <c r="R4" s="863"/>
      <c r="S4" s="858"/>
      <c r="T4" s="858"/>
      <c r="U4" s="858"/>
      <c r="V4" s="858"/>
      <c r="W4" s="858"/>
      <c r="X4" s="858"/>
      <c r="Y4" s="858"/>
      <c r="Z4" s="858"/>
      <c r="AA4" s="858"/>
      <c r="AB4" s="858"/>
      <c r="AC4" s="858"/>
      <c r="AD4" s="858"/>
      <c r="AE4" s="858"/>
      <c r="AF4" s="858"/>
      <c r="AG4" s="858"/>
      <c r="AH4" s="858"/>
      <c r="AI4" s="858"/>
      <c r="AJ4" s="858"/>
    </row>
    <row r="5">
      <c r="A5" s="409" t="s">
        <v>13864</v>
      </c>
      <c r="B5" s="866" t="s">
        <v>13834</v>
      </c>
      <c r="C5" s="867" t="s">
        <v>10</v>
      </c>
      <c r="D5" s="868" t="s">
        <v>11</v>
      </c>
      <c r="E5" s="867" t="s">
        <v>12</v>
      </c>
      <c r="F5" s="867" t="s">
        <v>13</v>
      </c>
      <c r="G5" s="867" t="s">
        <v>14</v>
      </c>
      <c r="H5" s="409" t="s">
        <v>13835</v>
      </c>
      <c r="I5" s="867" t="s">
        <v>13865</v>
      </c>
      <c r="J5" s="867" t="s">
        <v>16</v>
      </c>
      <c r="K5" s="869" t="s">
        <v>13836</v>
      </c>
      <c r="L5" s="869" t="s">
        <v>13837</v>
      </c>
      <c r="M5" s="867" t="s">
        <v>18</v>
      </c>
      <c r="N5" s="867" t="s">
        <v>19</v>
      </c>
      <c r="O5" s="867" t="s">
        <v>20</v>
      </c>
      <c r="P5" s="867" t="s">
        <v>21</v>
      </c>
      <c r="Q5" s="870" t="s">
        <v>15362</v>
      </c>
      <c r="R5" s="863"/>
      <c r="S5" s="858"/>
      <c r="T5" s="858"/>
      <c r="U5" s="858"/>
      <c r="V5" s="858"/>
      <c r="W5" s="858"/>
      <c r="X5" s="858"/>
      <c r="Y5" s="858"/>
      <c r="Z5" s="858"/>
      <c r="AA5" s="858"/>
      <c r="AB5" s="858"/>
      <c r="AC5" s="858"/>
      <c r="AD5" s="858"/>
      <c r="AE5" s="858"/>
      <c r="AF5" s="858"/>
      <c r="AG5" s="858"/>
      <c r="AH5" s="858"/>
      <c r="AI5" s="858"/>
      <c r="AJ5" s="858"/>
    </row>
    <row r="6">
      <c r="A6" s="322">
        <v>1.0</v>
      </c>
      <c r="B6" s="871" t="s">
        <v>31</v>
      </c>
      <c r="C6" s="872" t="s">
        <v>19696</v>
      </c>
      <c r="D6" s="873" t="s">
        <v>19697</v>
      </c>
      <c r="E6" s="871" t="s">
        <v>144</v>
      </c>
      <c r="F6" s="871" t="s">
        <v>29</v>
      </c>
      <c r="G6" s="871" t="s">
        <v>31</v>
      </c>
      <c r="H6" s="322"/>
      <c r="I6" s="871" t="s">
        <v>38</v>
      </c>
      <c r="J6" s="871">
        <v>234.0</v>
      </c>
      <c r="K6" s="871"/>
      <c r="L6" s="871"/>
      <c r="M6" s="871" t="s">
        <v>19698</v>
      </c>
      <c r="N6" s="871">
        <v>1990.0</v>
      </c>
      <c r="O6" s="871" t="s">
        <v>388</v>
      </c>
      <c r="P6" s="871">
        <v>1.0</v>
      </c>
      <c r="Q6" s="874">
        <v>1.0</v>
      </c>
      <c r="R6" s="593"/>
      <c r="S6" s="593"/>
      <c r="T6" s="593"/>
      <c r="U6" s="593"/>
      <c r="V6" s="593"/>
      <c r="W6" s="593"/>
      <c r="X6" s="593"/>
      <c r="Y6" s="593"/>
      <c r="Z6" s="593"/>
      <c r="AA6" s="593"/>
      <c r="AB6" s="593"/>
      <c r="AC6" s="593"/>
      <c r="AD6" s="593"/>
      <c r="AE6" s="593"/>
      <c r="AF6" s="593"/>
      <c r="AG6" s="593"/>
      <c r="AH6" s="593"/>
      <c r="AI6" s="593"/>
      <c r="AJ6" s="593"/>
    </row>
    <row r="7">
      <c r="A7" s="342">
        <v>1.0</v>
      </c>
      <c r="B7" s="875" t="s">
        <v>19699</v>
      </c>
      <c r="C7" s="875" t="s">
        <v>19700</v>
      </c>
      <c r="D7" s="876" t="s">
        <v>19701</v>
      </c>
      <c r="E7" s="345" t="s">
        <v>13047</v>
      </c>
      <c r="F7" s="345" t="s">
        <v>29</v>
      </c>
      <c r="G7" s="345" t="s">
        <v>131</v>
      </c>
      <c r="H7" s="342"/>
      <c r="I7" s="345" t="s">
        <v>38</v>
      </c>
      <c r="J7" s="345">
        <v>94.0</v>
      </c>
      <c r="K7" s="877"/>
      <c r="L7" s="875" t="s">
        <v>31</v>
      </c>
      <c r="M7" s="875" t="s">
        <v>3465</v>
      </c>
      <c r="N7" s="875">
        <v>2012.0</v>
      </c>
      <c r="O7" s="875" t="s">
        <v>388</v>
      </c>
      <c r="P7" s="875">
        <v>1.0</v>
      </c>
      <c r="Q7" s="874">
        <v>1.0</v>
      </c>
      <c r="R7" s="863"/>
      <c r="S7" s="858"/>
      <c r="T7" s="858"/>
      <c r="U7" s="858"/>
      <c r="V7" s="858"/>
      <c r="W7" s="858"/>
      <c r="X7" s="858"/>
      <c r="Y7" s="858"/>
      <c r="Z7" s="858"/>
      <c r="AA7" s="858"/>
      <c r="AB7" s="858"/>
      <c r="AC7" s="858"/>
      <c r="AD7" s="858"/>
      <c r="AE7" s="858"/>
      <c r="AF7" s="858"/>
      <c r="AG7" s="858"/>
      <c r="AH7" s="858"/>
      <c r="AI7" s="858"/>
      <c r="AJ7" s="858"/>
    </row>
    <row r="8">
      <c r="A8" s="342">
        <v>2.0</v>
      </c>
      <c r="B8" s="875" t="s">
        <v>19699</v>
      </c>
      <c r="C8" s="875" t="s">
        <v>19700</v>
      </c>
      <c r="D8" s="876" t="s">
        <v>19702</v>
      </c>
      <c r="E8" s="345" t="s">
        <v>13047</v>
      </c>
      <c r="F8" s="345" t="s">
        <v>29</v>
      </c>
      <c r="G8" s="345" t="s">
        <v>131</v>
      </c>
      <c r="H8" s="342"/>
      <c r="I8" s="345" t="s">
        <v>38</v>
      </c>
      <c r="J8" s="345">
        <v>276.0</v>
      </c>
      <c r="K8" s="875"/>
      <c r="L8" s="875" t="s">
        <v>31</v>
      </c>
      <c r="M8" s="875" t="s">
        <v>3465</v>
      </c>
      <c r="N8" s="875">
        <v>2011.0</v>
      </c>
      <c r="O8" s="875" t="s">
        <v>388</v>
      </c>
      <c r="P8" s="875">
        <v>1.0</v>
      </c>
      <c r="Q8" s="874">
        <v>1.0</v>
      </c>
      <c r="R8" s="863"/>
      <c r="S8" s="858"/>
      <c r="T8" s="858"/>
      <c r="U8" s="858"/>
      <c r="V8" s="858"/>
      <c r="W8" s="858"/>
      <c r="X8" s="858"/>
      <c r="Y8" s="858"/>
      <c r="Z8" s="858"/>
      <c r="AA8" s="858"/>
      <c r="AB8" s="858"/>
      <c r="AC8" s="858"/>
      <c r="AD8" s="858"/>
      <c r="AE8" s="858"/>
      <c r="AF8" s="858"/>
      <c r="AG8" s="858"/>
      <c r="AH8" s="858"/>
      <c r="AI8" s="858"/>
      <c r="AJ8" s="858"/>
    </row>
    <row r="9" ht="15.75" customHeight="1">
      <c r="A9" s="342">
        <v>3.0</v>
      </c>
      <c r="B9" s="875" t="s">
        <v>19699</v>
      </c>
      <c r="C9" s="875" t="s">
        <v>19700</v>
      </c>
      <c r="D9" s="876" t="s">
        <v>19703</v>
      </c>
      <c r="E9" s="345" t="s">
        <v>13047</v>
      </c>
      <c r="F9" s="345" t="s">
        <v>29</v>
      </c>
      <c r="G9" s="345" t="s">
        <v>131</v>
      </c>
      <c r="H9" s="342"/>
      <c r="I9" s="345" t="s">
        <v>38</v>
      </c>
      <c r="J9" s="345">
        <v>136.0</v>
      </c>
      <c r="K9" s="875"/>
      <c r="L9" s="875" t="s">
        <v>31</v>
      </c>
      <c r="M9" s="875" t="s">
        <v>3465</v>
      </c>
      <c r="N9" s="875">
        <v>2011.0</v>
      </c>
      <c r="O9" s="875" t="s">
        <v>388</v>
      </c>
      <c r="P9" s="875">
        <v>1.0</v>
      </c>
      <c r="Q9" s="874">
        <v>1.0</v>
      </c>
      <c r="R9" s="863"/>
      <c r="S9" s="858"/>
      <c r="T9" s="858"/>
      <c r="U9" s="858"/>
      <c r="V9" s="858"/>
      <c r="W9" s="858"/>
      <c r="X9" s="858"/>
      <c r="Y9" s="858"/>
      <c r="Z9" s="858"/>
      <c r="AA9" s="858"/>
      <c r="AB9" s="858"/>
      <c r="AC9" s="858"/>
      <c r="AD9" s="858"/>
      <c r="AE9" s="858"/>
      <c r="AF9" s="858"/>
      <c r="AG9" s="858"/>
      <c r="AH9" s="858"/>
      <c r="AI9" s="858"/>
      <c r="AJ9" s="858"/>
    </row>
    <row r="10" ht="15.75" customHeight="1">
      <c r="A10" s="342">
        <v>4.0</v>
      </c>
      <c r="B10" s="875" t="s">
        <v>19699</v>
      </c>
      <c r="C10" s="875" t="s">
        <v>19700</v>
      </c>
      <c r="D10" s="876" t="s">
        <v>19704</v>
      </c>
      <c r="E10" s="345" t="s">
        <v>13047</v>
      </c>
      <c r="F10" s="345" t="s">
        <v>29</v>
      </c>
      <c r="G10" s="345" t="s">
        <v>131</v>
      </c>
      <c r="H10" s="342"/>
      <c r="I10" s="345" t="s">
        <v>38</v>
      </c>
      <c r="J10" s="345">
        <v>317.0</v>
      </c>
      <c r="K10" s="875"/>
      <c r="L10" s="875" t="s">
        <v>31</v>
      </c>
      <c r="M10" s="875" t="s">
        <v>3465</v>
      </c>
      <c r="N10" s="875">
        <v>2009.0</v>
      </c>
      <c r="O10" s="875" t="s">
        <v>388</v>
      </c>
      <c r="P10" s="875">
        <v>1.0</v>
      </c>
      <c r="Q10" s="874">
        <v>1.0</v>
      </c>
      <c r="R10" s="863"/>
      <c r="S10" s="858"/>
      <c r="T10" s="858"/>
      <c r="U10" s="858"/>
      <c r="V10" s="858"/>
      <c r="W10" s="858"/>
      <c r="X10" s="858"/>
      <c r="Y10" s="858"/>
      <c r="Z10" s="858"/>
      <c r="AA10" s="858"/>
      <c r="AB10" s="858"/>
      <c r="AC10" s="858"/>
      <c r="AD10" s="858"/>
      <c r="AE10" s="858"/>
      <c r="AF10" s="858"/>
      <c r="AG10" s="858"/>
      <c r="AH10" s="858"/>
      <c r="AI10" s="858"/>
      <c r="AJ10" s="858"/>
    </row>
    <row r="11" ht="15.75" customHeight="1">
      <c r="A11" s="342">
        <v>5.0</v>
      </c>
      <c r="B11" s="875" t="s">
        <v>19699</v>
      </c>
      <c r="C11" s="875" t="s">
        <v>19700</v>
      </c>
      <c r="D11" s="876" t="s">
        <v>19705</v>
      </c>
      <c r="E11" s="345" t="s">
        <v>13047</v>
      </c>
      <c r="F11" s="345" t="s">
        <v>29</v>
      </c>
      <c r="G11" s="345" t="s">
        <v>131</v>
      </c>
      <c r="H11" s="342"/>
      <c r="I11" s="345" t="s">
        <v>38</v>
      </c>
      <c r="J11" s="345">
        <v>95.0</v>
      </c>
      <c r="K11" s="875"/>
      <c r="L11" s="875" t="s">
        <v>19706</v>
      </c>
      <c r="M11" s="875" t="s">
        <v>3465</v>
      </c>
      <c r="N11" s="875">
        <v>2010.0</v>
      </c>
      <c r="O11" s="875" t="s">
        <v>388</v>
      </c>
      <c r="P11" s="875">
        <v>1.0</v>
      </c>
      <c r="Q11" s="874">
        <v>1.0</v>
      </c>
      <c r="R11" s="863"/>
      <c r="S11" s="858"/>
      <c r="T11" s="858"/>
      <c r="U11" s="858"/>
      <c r="V11" s="858"/>
      <c r="W11" s="858"/>
      <c r="X11" s="858"/>
      <c r="Y11" s="858"/>
      <c r="Z11" s="858"/>
      <c r="AA11" s="858"/>
      <c r="AB11" s="858"/>
      <c r="AC11" s="858"/>
      <c r="AD11" s="858"/>
      <c r="AE11" s="858"/>
      <c r="AF11" s="858"/>
      <c r="AG11" s="858"/>
      <c r="AH11" s="858"/>
      <c r="AI11" s="858"/>
      <c r="AJ11" s="858"/>
    </row>
    <row r="12" ht="15.75" customHeight="1">
      <c r="A12" s="342">
        <v>6.0</v>
      </c>
      <c r="B12" s="875" t="s">
        <v>19699</v>
      </c>
      <c r="C12" s="875" t="s">
        <v>19700</v>
      </c>
      <c r="D12" s="876" t="s">
        <v>19707</v>
      </c>
      <c r="E12" s="345" t="s">
        <v>13047</v>
      </c>
      <c r="F12" s="345" t="s">
        <v>29</v>
      </c>
      <c r="G12" s="345" t="s">
        <v>131</v>
      </c>
      <c r="H12" s="342"/>
      <c r="I12" s="345" t="s">
        <v>38</v>
      </c>
      <c r="J12" s="345">
        <v>196.0</v>
      </c>
      <c r="K12" s="875"/>
      <c r="L12" s="875" t="s">
        <v>19706</v>
      </c>
      <c r="M12" s="875" t="s">
        <v>3465</v>
      </c>
      <c r="N12" s="875">
        <v>2010.0</v>
      </c>
      <c r="O12" s="875" t="s">
        <v>388</v>
      </c>
      <c r="P12" s="875">
        <v>1.0</v>
      </c>
      <c r="Q12" s="874">
        <v>1.0</v>
      </c>
      <c r="R12" s="863"/>
      <c r="S12" s="858"/>
      <c r="T12" s="858"/>
      <c r="U12" s="858"/>
      <c r="V12" s="858"/>
      <c r="W12" s="858"/>
      <c r="X12" s="858"/>
      <c r="Y12" s="858"/>
      <c r="Z12" s="858"/>
      <c r="AA12" s="858"/>
      <c r="AB12" s="858"/>
      <c r="AC12" s="858"/>
      <c r="AD12" s="858"/>
      <c r="AE12" s="858"/>
      <c r="AF12" s="858"/>
      <c r="AG12" s="858"/>
      <c r="AH12" s="858"/>
      <c r="AI12" s="858"/>
      <c r="AJ12" s="858"/>
    </row>
    <row r="13" ht="15.75" customHeight="1">
      <c r="A13" s="342">
        <v>7.0</v>
      </c>
      <c r="B13" s="875" t="s">
        <v>19699</v>
      </c>
      <c r="C13" s="875" t="s">
        <v>19700</v>
      </c>
      <c r="D13" s="876" t="s">
        <v>19708</v>
      </c>
      <c r="E13" s="345" t="s">
        <v>13047</v>
      </c>
      <c r="F13" s="345" t="s">
        <v>29</v>
      </c>
      <c r="G13" s="345" t="s">
        <v>131</v>
      </c>
      <c r="H13" s="342"/>
      <c r="I13" s="345" t="s">
        <v>38</v>
      </c>
      <c r="J13" s="345">
        <v>287.0</v>
      </c>
      <c r="K13" s="875"/>
      <c r="L13" s="875" t="s">
        <v>19706</v>
      </c>
      <c r="M13" s="875" t="s">
        <v>3465</v>
      </c>
      <c r="N13" s="875">
        <v>2010.0</v>
      </c>
      <c r="O13" s="875" t="s">
        <v>388</v>
      </c>
      <c r="P13" s="875">
        <v>1.0</v>
      </c>
      <c r="Q13" s="874">
        <v>1.0</v>
      </c>
      <c r="R13" s="863"/>
      <c r="S13" s="858"/>
      <c r="T13" s="858"/>
      <c r="U13" s="858"/>
      <c r="V13" s="858"/>
      <c r="W13" s="858"/>
      <c r="X13" s="858"/>
      <c r="Y13" s="858"/>
      <c r="Z13" s="858"/>
      <c r="AA13" s="858"/>
      <c r="AB13" s="858"/>
      <c r="AC13" s="858"/>
      <c r="AD13" s="858"/>
      <c r="AE13" s="858"/>
      <c r="AF13" s="858"/>
      <c r="AG13" s="858"/>
      <c r="AH13" s="858"/>
      <c r="AI13" s="858"/>
      <c r="AJ13" s="858"/>
    </row>
    <row r="14" ht="15.75" customHeight="1">
      <c r="A14" s="342">
        <v>8.0</v>
      </c>
      <c r="B14" s="875" t="s">
        <v>19709</v>
      </c>
      <c r="C14" s="875" t="s">
        <v>19700</v>
      </c>
      <c r="D14" s="876" t="s">
        <v>19710</v>
      </c>
      <c r="E14" s="345" t="s">
        <v>13047</v>
      </c>
      <c r="F14" s="345" t="s">
        <v>29</v>
      </c>
      <c r="G14" s="345" t="s">
        <v>38</v>
      </c>
      <c r="H14" s="342"/>
      <c r="I14" s="345" t="s">
        <v>38</v>
      </c>
      <c r="J14" s="345">
        <v>124.0</v>
      </c>
      <c r="K14" s="875"/>
      <c r="L14" s="875" t="s">
        <v>19711</v>
      </c>
      <c r="M14" s="875" t="s">
        <v>19712</v>
      </c>
      <c r="N14" s="875">
        <v>2010.0</v>
      </c>
      <c r="O14" s="875" t="s">
        <v>388</v>
      </c>
      <c r="P14" s="875">
        <v>1.0</v>
      </c>
      <c r="Q14" s="874">
        <v>1.0</v>
      </c>
      <c r="R14" s="863"/>
      <c r="S14" s="858"/>
      <c r="T14" s="858"/>
      <c r="U14" s="858"/>
      <c r="V14" s="858"/>
      <c r="W14" s="858"/>
      <c r="X14" s="858"/>
      <c r="Y14" s="858"/>
      <c r="Z14" s="858"/>
      <c r="AA14" s="858"/>
      <c r="AB14" s="858"/>
      <c r="AC14" s="858"/>
      <c r="AD14" s="858"/>
      <c r="AE14" s="858"/>
      <c r="AF14" s="858"/>
      <c r="AG14" s="858"/>
      <c r="AH14" s="858"/>
      <c r="AI14" s="858"/>
      <c r="AJ14" s="858"/>
    </row>
    <row r="15" ht="15.75" customHeight="1">
      <c r="A15" s="557"/>
      <c r="B15" s="878" t="s">
        <v>19709</v>
      </c>
      <c r="C15" s="878" t="s">
        <v>19700</v>
      </c>
      <c r="D15" s="879" t="s">
        <v>19713</v>
      </c>
      <c r="E15" s="494" t="s">
        <v>13047</v>
      </c>
      <c r="F15" s="494" t="s">
        <v>29</v>
      </c>
      <c r="G15" s="494" t="s">
        <v>38</v>
      </c>
      <c r="H15" s="557"/>
      <c r="I15" s="494" t="s">
        <v>38</v>
      </c>
      <c r="J15" s="494">
        <v>124.0</v>
      </c>
      <c r="K15" s="878"/>
      <c r="L15" s="878" t="s">
        <v>19714</v>
      </c>
      <c r="M15" s="878" t="s">
        <v>19712</v>
      </c>
      <c r="N15" s="878">
        <v>2016.0</v>
      </c>
      <c r="O15" s="878">
        <v>2016.0</v>
      </c>
      <c r="P15" s="878">
        <v>1.0</v>
      </c>
      <c r="Q15" s="874">
        <v>1.0</v>
      </c>
      <c r="R15" s="863"/>
      <c r="S15" s="858"/>
      <c r="T15" s="858"/>
      <c r="U15" s="858"/>
      <c r="V15" s="858"/>
      <c r="W15" s="858"/>
      <c r="X15" s="858"/>
      <c r="Y15" s="858"/>
      <c r="Z15" s="858"/>
      <c r="AA15" s="858"/>
      <c r="AB15" s="858"/>
      <c r="AC15" s="858"/>
      <c r="AD15" s="858"/>
      <c r="AE15" s="858"/>
      <c r="AF15" s="858"/>
      <c r="AG15" s="858"/>
      <c r="AH15" s="858"/>
      <c r="AI15" s="858"/>
      <c r="AJ15" s="858"/>
    </row>
    <row r="16" ht="15.75" customHeight="1">
      <c r="A16" s="342">
        <v>9.0</v>
      </c>
      <c r="B16" s="875" t="s">
        <v>19709</v>
      </c>
      <c r="C16" s="875" t="s">
        <v>19700</v>
      </c>
      <c r="D16" s="876" t="s">
        <v>19715</v>
      </c>
      <c r="E16" s="345" t="s">
        <v>13047</v>
      </c>
      <c r="F16" s="345" t="s">
        <v>29</v>
      </c>
      <c r="G16" s="345" t="s">
        <v>38</v>
      </c>
      <c r="H16" s="342"/>
      <c r="I16" s="345" t="s">
        <v>38</v>
      </c>
      <c r="J16" s="345">
        <v>179.0</v>
      </c>
      <c r="K16" s="875"/>
      <c r="L16" s="875" t="s">
        <v>19711</v>
      </c>
      <c r="M16" s="875" t="s">
        <v>19712</v>
      </c>
      <c r="N16" s="880">
        <v>2010.0</v>
      </c>
      <c r="O16" s="875" t="s">
        <v>388</v>
      </c>
      <c r="P16" s="875">
        <v>1.0</v>
      </c>
      <c r="Q16" s="874">
        <v>1.0</v>
      </c>
      <c r="R16" s="863"/>
      <c r="S16" s="858"/>
      <c r="T16" s="858"/>
      <c r="U16" s="858"/>
      <c r="V16" s="858"/>
      <c r="W16" s="858"/>
      <c r="X16" s="858"/>
      <c r="Y16" s="858"/>
      <c r="Z16" s="858"/>
      <c r="AA16" s="858"/>
      <c r="AB16" s="858"/>
      <c r="AC16" s="858"/>
      <c r="AD16" s="858"/>
      <c r="AE16" s="858"/>
      <c r="AF16" s="858"/>
      <c r="AG16" s="858"/>
      <c r="AH16" s="858"/>
      <c r="AI16" s="858"/>
      <c r="AJ16" s="858"/>
    </row>
    <row r="17" ht="15.75" customHeight="1">
      <c r="A17" s="342">
        <v>10.0</v>
      </c>
      <c r="B17" s="875" t="s">
        <v>19709</v>
      </c>
      <c r="C17" s="875" t="s">
        <v>19700</v>
      </c>
      <c r="D17" s="876" t="s">
        <v>19716</v>
      </c>
      <c r="E17" s="345" t="s">
        <v>13047</v>
      </c>
      <c r="F17" s="345" t="s">
        <v>29</v>
      </c>
      <c r="G17" s="345" t="s">
        <v>38</v>
      </c>
      <c r="H17" s="342"/>
      <c r="I17" s="345" t="s">
        <v>38</v>
      </c>
      <c r="J17" s="345">
        <v>494.0</v>
      </c>
      <c r="K17" s="875"/>
      <c r="L17" s="875" t="s">
        <v>19711</v>
      </c>
      <c r="M17" s="875" t="s">
        <v>19712</v>
      </c>
      <c r="N17" s="875">
        <v>2010.0</v>
      </c>
      <c r="O17" s="875" t="s">
        <v>388</v>
      </c>
      <c r="P17" s="875">
        <v>1.0</v>
      </c>
      <c r="Q17" s="874">
        <v>1.0</v>
      </c>
      <c r="R17" s="863"/>
      <c r="S17" s="858"/>
      <c r="T17" s="858"/>
      <c r="U17" s="858"/>
      <c r="V17" s="858"/>
      <c r="W17" s="858"/>
      <c r="X17" s="858"/>
      <c r="Y17" s="858"/>
      <c r="Z17" s="858"/>
      <c r="AA17" s="858"/>
      <c r="AB17" s="858"/>
      <c r="AC17" s="858"/>
      <c r="AD17" s="858"/>
      <c r="AE17" s="858"/>
      <c r="AF17" s="858"/>
      <c r="AG17" s="858"/>
      <c r="AH17" s="858"/>
      <c r="AI17" s="858"/>
      <c r="AJ17" s="858"/>
    </row>
    <row r="18" ht="15.75" customHeight="1">
      <c r="A18" s="342">
        <v>11.0</v>
      </c>
      <c r="B18" s="875" t="s">
        <v>19709</v>
      </c>
      <c r="C18" s="875" t="s">
        <v>19700</v>
      </c>
      <c r="D18" s="876" t="s">
        <v>19717</v>
      </c>
      <c r="E18" s="345" t="s">
        <v>13047</v>
      </c>
      <c r="F18" s="345" t="s">
        <v>29</v>
      </c>
      <c r="G18" s="345" t="s">
        <v>38</v>
      </c>
      <c r="H18" s="342"/>
      <c r="I18" s="345" t="s">
        <v>38</v>
      </c>
      <c r="J18" s="345">
        <v>370.0</v>
      </c>
      <c r="K18" s="875"/>
      <c r="L18" s="875" t="s">
        <v>19711</v>
      </c>
      <c r="M18" s="875" t="s">
        <v>19712</v>
      </c>
      <c r="N18" s="875">
        <v>2010.0</v>
      </c>
      <c r="O18" s="875" t="s">
        <v>388</v>
      </c>
      <c r="P18" s="875">
        <v>1.0</v>
      </c>
      <c r="Q18" s="874">
        <v>1.0</v>
      </c>
      <c r="R18" s="863"/>
      <c r="S18" s="858"/>
      <c r="T18" s="858"/>
      <c r="U18" s="858"/>
      <c r="V18" s="858"/>
      <c r="W18" s="858"/>
      <c r="X18" s="858"/>
      <c r="Y18" s="858"/>
      <c r="Z18" s="858"/>
      <c r="AA18" s="858"/>
      <c r="AB18" s="858"/>
      <c r="AC18" s="858"/>
      <c r="AD18" s="858"/>
      <c r="AE18" s="858"/>
      <c r="AF18" s="858"/>
      <c r="AG18" s="858"/>
      <c r="AH18" s="858"/>
      <c r="AI18" s="858"/>
      <c r="AJ18" s="858"/>
    </row>
    <row r="19" ht="15.75" customHeight="1">
      <c r="A19" s="342">
        <v>12.0</v>
      </c>
      <c r="B19" s="875" t="s">
        <v>19709</v>
      </c>
      <c r="C19" s="875" t="s">
        <v>19700</v>
      </c>
      <c r="D19" s="876" t="s">
        <v>19718</v>
      </c>
      <c r="E19" s="345" t="s">
        <v>13047</v>
      </c>
      <c r="F19" s="345" t="s">
        <v>29</v>
      </c>
      <c r="G19" s="345" t="s">
        <v>38</v>
      </c>
      <c r="H19" s="342"/>
      <c r="I19" s="345" t="s">
        <v>38</v>
      </c>
      <c r="J19" s="345">
        <v>118.0</v>
      </c>
      <c r="K19" s="875"/>
      <c r="L19" s="875" t="s">
        <v>19711</v>
      </c>
      <c r="M19" s="875" t="s">
        <v>19712</v>
      </c>
      <c r="N19" s="875">
        <v>2008.0</v>
      </c>
      <c r="O19" s="875" t="s">
        <v>388</v>
      </c>
      <c r="P19" s="875">
        <v>1.0</v>
      </c>
      <c r="Q19" s="874">
        <v>1.0</v>
      </c>
      <c r="R19" s="863"/>
      <c r="S19" s="858"/>
      <c r="T19" s="858"/>
      <c r="U19" s="858"/>
      <c r="V19" s="858"/>
      <c r="W19" s="858"/>
      <c r="X19" s="858"/>
      <c r="Y19" s="858"/>
      <c r="Z19" s="858"/>
      <c r="AA19" s="858"/>
      <c r="AB19" s="858"/>
      <c r="AC19" s="858"/>
      <c r="AD19" s="858"/>
      <c r="AE19" s="858"/>
      <c r="AF19" s="858"/>
      <c r="AG19" s="858"/>
      <c r="AH19" s="858"/>
      <c r="AI19" s="858"/>
      <c r="AJ19" s="858"/>
    </row>
    <row r="20" ht="15.75" customHeight="1">
      <c r="A20" s="342">
        <v>13.0</v>
      </c>
      <c r="B20" s="875" t="s">
        <v>19709</v>
      </c>
      <c r="C20" s="875" t="s">
        <v>19700</v>
      </c>
      <c r="D20" s="876" t="s">
        <v>19719</v>
      </c>
      <c r="E20" s="345" t="s">
        <v>13047</v>
      </c>
      <c r="F20" s="345" t="s">
        <v>29</v>
      </c>
      <c r="G20" s="345" t="s">
        <v>38</v>
      </c>
      <c r="H20" s="342"/>
      <c r="I20" s="345" t="s">
        <v>38</v>
      </c>
      <c r="J20" s="345">
        <v>208.0</v>
      </c>
      <c r="K20" s="875"/>
      <c r="L20" s="875" t="s">
        <v>19711</v>
      </c>
      <c r="M20" s="875" t="s">
        <v>19712</v>
      </c>
      <c r="N20" s="875">
        <v>2011.0</v>
      </c>
      <c r="O20" s="875" t="s">
        <v>388</v>
      </c>
      <c r="P20" s="875">
        <v>1.0</v>
      </c>
      <c r="Q20" s="874">
        <v>1.0</v>
      </c>
      <c r="R20" s="863"/>
      <c r="S20" s="858"/>
      <c r="T20" s="858"/>
      <c r="U20" s="858"/>
      <c r="V20" s="858"/>
      <c r="W20" s="858"/>
      <c r="X20" s="858"/>
      <c r="Y20" s="858"/>
      <c r="Z20" s="858"/>
      <c r="AA20" s="858"/>
      <c r="AB20" s="858"/>
      <c r="AC20" s="858"/>
      <c r="AD20" s="858"/>
      <c r="AE20" s="858"/>
      <c r="AF20" s="858"/>
      <c r="AG20" s="858"/>
      <c r="AH20" s="858"/>
      <c r="AI20" s="858"/>
      <c r="AJ20" s="858"/>
    </row>
    <row r="21" ht="15.75" customHeight="1">
      <c r="A21" s="342">
        <v>14.0</v>
      </c>
      <c r="B21" s="875" t="s">
        <v>19709</v>
      </c>
      <c r="C21" s="875" t="s">
        <v>19700</v>
      </c>
      <c r="D21" s="876" t="s">
        <v>19720</v>
      </c>
      <c r="E21" s="345" t="s">
        <v>13047</v>
      </c>
      <c r="F21" s="345" t="s">
        <v>29</v>
      </c>
      <c r="G21" s="345" t="s">
        <v>38</v>
      </c>
      <c r="H21" s="342"/>
      <c r="I21" s="345" t="s">
        <v>38</v>
      </c>
      <c r="J21" s="345">
        <v>110.0</v>
      </c>
      <c r="K21" s="875"/>
      <c r="L21" s="875" t="s">
        <v>19711</v>
      </c>
      <c r="M21" s="875" t="s">
        <v>19712</v>
      </c>
      <c r="N21" s="875">
        <v>2011.0</v>
      </c>
      <c r="O21" s="875" t="s">
        <v>388</v>
      </c>
      <c r="P21" s="875">
        <v>1.0</v>
      </c>
      <c r="Q21" s="874">
        <v>1.0</v>
      </c>
      <c r="R21" s="863"/>
      <c r="S21" s="858"/>
      <c r="T21" s="858"/>
      <c r="U21" s="858"/>
      <c r="V21" s="858"/>
      <c r="W21" s="858"/>
      <c r="X21" s="858"/>
      <c r="Y21" s="858"/>
      <c r="Z21" s="858"/>
      <c r="AA21" s="858"/>
      <c r="AB21" s="858"/>
      <c r="AC21" s="858"/>
      <c r="AD21" s="858"/>
      <c r="AE21" s="858"/>
      <c r="AF21" s="858"/>
      <c r="AG21" s="858"/>
      <c r="AH21" s="858"/>
      <c r="AI21" s="858"/>
      <c r="AJ21" s="858"/>
    </row>
    <row r="22" ht="15.75" customHeight="1">
      <c r="A22" s="342">
        <v>15.0</v>
      </c>
      <c r="B22" s="875" t="s">
        <v>19709</v>
      </c>
      <c r="C22" s="875" t="s">
        <v>19700</v>
      </c>
      <c r="D22" s="876" t="s">
        <v>19721</v>
      </c>
      <c r="E22" s="345" t="s">
        <v>13047</v>
      </c>
      <c r="F22" s="345" t="s">
        <v>29</v>
      </c>
      <c r="G22" s="345" t="s">
        <v>38</v>
      </c>
      <c r="H22" s="342"/>
      <c r="I22" s="345" t="s">
        <v>38</v>
      </c>
      <c r="J22" s="345">
        <v>181.0</v>
      </c>
      <c r="K22" s="875"/>
      <c r="L22" s="875" t="s">
        <v>19711</v>
      </c>
      <c r="M22" s="875" t="s">
        <v>19712</v>
      </c>
      <c r="N22" s="875">
        <v>2011.0</v>
      </c>
      <c r="O22" s="875" t="s">
        <v>388</v>
      </c>
      <c r="P22" s="875">
        <v>1.0</v>
      </c>
      <c r="Q22" s="874">
        <v>1.0</v>
      </c>
      <c r="R22" s="863"/>
      <c r="S22" s="858"/>
      <c r="T22" s="858"/>
      <c r="U22" s="858"/>
      <c r="V22" s="858"/>
      <c r="W22" s="858"/>
      <c r="X22" s="858"/>
      <c r="Y22" s="858"/>
      <c r="Z22" s="858"/>
      <c r="AA22" s="858"/>
      <c r="AB22" s="858"/>
      <c r="AC22" s="858"/>
      <c r="AD22" s="858"/>
      <c r="AE22" s="858"/>
      <c r="AF22" s="858"/>
      <c r="AG22" s="858"/>
      <c r="AH22" s="858"/>
      <c r="AI22" s="858"/>
      <c r="AJ22" s="858"/>
    </row>
    <row r="23" ht="15.75" customHeight="1">
      <c r="A23" s="342">
        <v>16.0</v>
      </c>
      <c r="B23" s="875" t="s">
        <v>19709</v>
      </c>
      <c r="C23" s="875" t="s">
        <v>19700</v>
      </c>
      <c r="D23" s="876" t="s">
        <v>19722</v>
      </c>
      <c r="E23" s="345" t="s">
        <v>13047</v>
      </c>
      <c r="F23" s="345" t="s">
        <v>29</v>
      </c>
      <c r="G23" s="345" t="s">
        <v>38</v>
      </c>
      <c r="H23" s="342"/>
      <c r="I23" s="345" t="s">
        <v>38</v>
      </c>
      <c r="J23" s="345">
        <v>443.0</v>
      </c>
      <c r="K23" s="875"/>
      <c r="L23" s="875" t="s">
        <v>19711</v>
      </c>
      <c r="M23" s="875" t="s">
        <v>19712</v>
      </c>
      <c r="N23" s="875">
        <v>2011.0</v>
      </c>
      <c r="O23" s="875" t="s">
        <v>388</v>
      </c>
      <c r="P23" s="875">
        <v>1.0</v>
      </c>
      <c r="Q23" s="874">
        <v>1.0</v>
      </c>
      <c r="R23" s="863"/>
      <c r="S23" s="858"/>
      <c r="T23" s="858"/>
      <c r="U23" s="858"/>
      <c r="V23" s="858"/>
      <c r="W23" s="858"/>
      <c r="X23" s="858"/>
      <c r="Y23" s="858"/>
      <c r="Z23" s="858"/>
      <c r="AA23" s="858"/>
      <c r="AB23" s="858"/>
      <c r="AC23" s="858"/>
      <c r="AD23" s="858"/>
      <c r="AE23" s="858"/>
      <c r="AF23" s="858"/>
      <c r="AG23" s="858"/>
      <c r="AH23" s="858"/>
      <c r="AI23" s="858"/>
      <c r="AJ23" s="858"/>
    </row>
    <row r="24" ht="15.75" customHeight="1">
      <c r="A24" s="342">
        <v>17.0</v>
      </c>
      <c r="B24" s="875" t="s">
        <v>19709</v>
      </c>
      <c r="C24" s="875" t="s">
        <v>19700</v>
      </c>
      <c r="D24" s="876" t="s">
        <v>19723</v>
      </c>
      <c r="E24" s="345" t="s">
        <v>13047</v>
      </c>
      <c r="F24" s="345" t="s">
        <v>29</v>
      </c>
      <c r="G24" s="345" t="s">
        <v>38</v>
      </c>
      <c r="H24" s="342"/>
      <c r="I24" s="345" t="s">
        <v>38</v>
      </c>
      <c r="J24" s="345">
        <v>346.0</v>
      </c>
      <c r="K24" s="875"/>
      <c r="L24" s="875" t="s">
        <v>19711</v>
      </c>
      <c r="M24" s="875" t="s">
        <v>19712</v>
      </c>
      <c r="N24" s="875">
        <v>2011.0</v>
      </c>
      <c r="O24" s="875" t="s">
        <v>388</v>
      </c>
      <c r="P24" s="875">
        <v>1.0</v>
      </c>
      <c r="Q24" s="874">
        <v>1.0</v>
      </c>
      <c r="R24" s="863"/>
      <c r="S24" s="858"/>
      <c r="T24" s="858"/>
      <c r="U24" s="858"/>
      <c r="V24" s="858"/>
      <c r="W24" s="858"/>
      <c r="X24" s="858"/>
      <c r="Y24" s="858"/>
      <c r="Z24" s="858"/>
      <c r="AA24" s="858"/>
      <c r="AB24" s="858"/>
      <c r="AC24" s="858"/>
      <c r="AD24" s="858"/>
      <c r="AE24" s="858"/>
      <c r="AF24" s="858"/>
      <c r="AG24" s="858"/>
      <c r="AH24" s="858"/>
      <c r="AI24" s="858"/>
      <c r="AJ24" s="858"/>
    </row>
    <row r="25" ht="15.75" customHeight="1">
      <c r="A25" s="342">
        <v>18.0</v>
      </c>
      <c r="B25" s="875" t="s">
        <v>19709</v>
      </c>
      <c r="C25" s="875" t="s">
        <v>19700</v>
      </c>
      <c r="D25" s="876" t="s">
        <v>19724</v>
      </c>
      <c r="E25" s="345" t="s">
        <v>13047</v>
      </c>
      <c r="F25" s="345" t="s">
        <v>29</v>
      </c>
      <c r="G25" s="345" t="s">
        <v>38</v>
      </c>
      <c r="H25" s="342"/>
      <c r="I25" s="345" t="s">
        <v>38</v>
      </c>
      <c r="J25" s="345">
        <v>220.0</v>
      </c>
      <c r="K25" s="875"/>
      <c r="L25" s="875" t="s">
        <v>19711</v>
      </c>
      <c r="M25" s="875" t="s">
        <v>19712</v>
      </c>
      <c r="N25" s="875">
        <v>2010.0</v>
      </c>
      <c r="O25" s="875" t="s">
        <v>388</v>
      </c>
      <c r="P25" s="875">
        <v>1.0</v>
      </c>
      <c r="Q25" s="874">
        <v>1.0</v>
      </c>
      <c r="R25" s="863"/>
      <c r="S25" s="858"/>
      <c r="T25" s="858"/>
      <c r="U25" s="858"/>
      <c r="V25" s="858"/>
      <c r="W25" s="858"/>
      <c r="X25" s="858"/>
      <c r="Y25" s="858"/>
      <c r="Z25" s="858"/>
      <c r="AA25" s="858"/>
      <c r="AB25" s="858"/>
      <c r="AC25" s="858"/>
      <c r="AD25" s="858"/>
      <c r="AE25" s="858"/>
      <c r="AF25" s="858"/>
      <c r="AG25" s="858"/>
      <c r="AH25" s="858"/>
      <c r="AI25" s="858"/>
      <c r="AJ25" s="858"/>
    </row>
    <row r="26" ht="15.75" customHeight="1">
      <c r="A26" s="342">
        <v>19.0</v>
      </c>
      <c r="B26" s="875" t="s">
        <v>19709</v>
      </c>
      <c r="C26" s="875" t="s">
        <v>19700</v>
      </c>
      <c r="D26" s="876" t="s">
        <v>19725</v>
      </c>
      <c r="E26" s="345" t="s">
        <v>13047</v>
      </c>
      <c r="F26" s="345" t="s">
        <v>29</v>
      </c>
      <c r="G26" s="345" t="s">
        <v>38</v>
      </c>
      <c r="H26" s="342"/>
      <c r="I26" s="345" t="s">
        <v>38</v>
      </c>
      <c r="J26" s="345">
        <v>152.0</v>
      </c>
      <c r="K26" s="875"/>
      <c r="L26" s="875" t="s">
        <v>19726</v>
      </c>
      <c r="M26" s="875" t="s">
        <v>19712</v>
      </c>
      <c r="N26" s="875">
        <v>2010.0</v>
      </c>
      <c r="O26" s="875" t="s">
        <v>388</v>
      </c>
      <c r="P26" s="875">
        <v>1.0</v>
      </c>
      <c r="Q26" s="874">
        <v>1.0</v>
      </c>
      <c r="R26" s="863"/>
      <c r="S26" s="858"/>
      <c r="T26" s="858"/>
      <c r="U26" s="858"/>
      <c r="V26" s="858"/>
      <c r="W26" s="858"/>
      <c r="X26" s="858"/>
      <c r="Y26" s="858"/>
      <c r="Z26" s="858"/>
      <c r="AA26" s="858"/>
      <c r="AB26" s="858"/>
      <c r="AC26" s="858"/>
      <c r="AD26" s="858"/>
      <c r="AE26" s="858"/>
      <c r="AF26" s="858"/>
      <c r="AG26" s="858"/>
      <c r="AH26" s="858"/>
      <c r="AI26" s="858"/>
      <c r="AJ26" s="858"/>
    </row>
    <row r="27" ht="15.75" customHeight="1">
      <c r="A27" s="342">
        <v>20.0</v>
      </c>
      <c r="B27" s="875" t="s">
        <v>19709</v>
      </c>
      <c r="C27" s="875" t="s">
        <v>19727</v>
      </c>
      <c r="D27" s="876" t="s">
        <v>19728</v>
      </c>
      <c r="E27" s="345" t="s">
        <v>13047</v>
      </c>
      <c r="F27" s="345" t="s">
        <v>29</v>
      </c>
      <c r="G27" s="345" t="s">
        <v>38</v>
      </c>
      <c r="H27" s="342"/>
      <c r="I27" s="345" t="s">
        <v>38</v>
      </c>
      <c r="J27" s="345">
        <v>127.0</v>
      </c>
      <c r="K27" s="875"/>
      <c r="L27" s="875" t="s">
        <v>19726</v>
      </c>
      <c r="M27" s="875" t="s">
        <v>19712</v>
      </c>
      <c r="N27" s="875">
        <v>2015.0</v>
      </c>
      <c r="O27" s="875" t="s">
        <v>388</v>
      </c>
      <c r="P27" s="875">
        <v>1.0</v>
      </c>
      <c r="Q27" s="874">
        <v>1.0</v>
      </c>
      <c r="R27" s="863"/>
      <c r="S27" s="858"/>
      <c r="T27" s="858"/>
      <c r="U27" s="858"/>
      <c r="V27" s="858"/>
      <c r="W27" s="858"/>
      <c r="X27" s="858"/>
      <c r="Y27" s="858"/>
      <c r="Z27" s="858"/>
      <c r="AA27" s="858"/>
      <c r="AB27" s="858"/>
      <c r="AC27" s="858"/>
      <c r="AD27" s="858"/>
      <c r="AE27" s="858"/>
      <c r="AF27" s="858"/>
      <c r="AG27" s="858"/>
      <c r="AH27" s="858"/>
      <c r="AI27" s="858"/>
      <c r="AJ27" s="858"/>
    </row>
    <row r="28" ht="15.75" customHeight="1">
      <c r="A28" s="342">
        <v>21.0</v>
      </c>
      <c r="B28" s="875" t="s">
        <v>19709</v>
      </c>
      <c r="C28" s="875" t="s">
        <v>19727</v>
      </c>
      <c r="D28" s="876" t="s">
        <v>19729</v>
      </c>
      <c r="E28" s="345" t="s">
        <v>13047</v>
      </c>
      <c r="F28" s="345" t="s">
        <v>29</v>
      </c>
      <c r="G28" s="345" t="s">
        <v>38</v>
      </c>
      <c r="H28" s="342"/>
      <c r="I28" s="345" t="s">
        <v>38</v>
      </c>
      <c r="J28" s="345">
        <v>127.0</v>
      </c>
      <c r="K28" s="875"/>
      <c r="L28" s="875" t="s">
        <v>19730</v>
      </c>
      <c r="M28" s="875" t="s">
        <v>19712</v>
      </c>
      <c r="N28" s="875">
        <v>2015.0</v>
      </c>
      <c r="O28" s="875" t="s">
        <v>388</v>
      </c>
      <c r="P28" s="875">
        <v>1.0</v>
      </c>
      <c r="Q28" s="874">
        <v>1.0</v>
      </c>
      <c r="R28" s="863"/>
      <c r="S28" s="858"/>
      <c r="T28" s="858"/>
      <c r="U28" s="858"/>
      <c r="V28" s="858"/>
      <c r="W28" s="858"/>
      <c r="X28" s="858"/>
      <c r="Y28" s="858"/>
      <c r="Z28" s="858"/>
      <c r="AA28" s="858"/>
      <c r="AB28" s="858"/>
      <c r="AC28" s="858"/>
      <c r="AD28" s="858"/>
      <c r="AE28" s="858"/>
      <c r="AF28" s="858"/>
      <c r="AG28" s="858"/>
      <c r="AH28" s="858"/>
      <c r="AI28" s="858"/>
      <c r="AJ28" s="858"/>
    </row>
    <row r="29" ht="15.75" customHeight="1">
      <c r="A29" s="342">
        <v>22.0</v>
      </c>
      <c r="B29" s="875" t="s">
        <v>19709</v>
      </c>
      <c r="C29" s="875" t="s">
        <v>19700</v>
      </c>
      <c r="D29" s="876" t="s">
        <v>19731</v>
      </c>
      <c r="E29" s="345" t="s">
        <v>13047</v>
      </c>
      <c r="F29" s="345" t="s">
        <v>29</v>
      </c>
      <c r="G29" s="345" t="s">
        <v>38</v>
      </c>
      <c r="H29" s="342"/>
      <c r="I29" s="345" t="s">
        <v>38</v>
      </c>
      <c r="J29" s="345">
        <v>384.0</v>
      </c>
      <c r="K29" s="875"/>
      <c r="L29" s="875" t="s">
        <v>19732</v>
      </c>
      <c r="M29" s="875" t="s">
        <v>19712</v>
      </c>
      <c r="N29" s="875">
        <v>2011.0</v>
      </c>
      <c r="O29" s="875" t="s">
        <v>388</v>
      </c>
      <c r="P29" s="875">
        <v>1.0</v>
      </c>
      <c r="Q29" s="874">
        <v>1.0</v>
      </c>
      <c r="R29" s="863"/>
      <c r="S29" s="858"/>
      <c r="T29" s="858"/>
      <c r="U29" s="858"/>
      <c r="V29" s="858"/>
      <c r="W29" s="858"/>
      <c r="X29" s="858"/>
      <c r="Y29" s="858"/>
      <c r="Z29" s="858"/>
      <c r="AA29" s="858"/>
      <c r="AB29" s="858"/>
      <c r="AC29" s="858"/>
      <c r="AD29" s="858"/>
      <c r="AE29" s="858"/>
      <c r="AF29" s="858"/>
      <c r="AG29" s="858"/>
      <c r="AH29" s="858"/>
      <c r="AI29" s="858"/>
      <c r="AJ29" s="858"/>
    </row>
    <row r="30" ht="15.75" customHeight="1">
      <c r="A30" s="557"/>
      <c r="B30" s="878" t="s">
        <v>19709</v>
      </c>
      <c r="C30" s="878" t="s">
        <v>19700</v>
      </c>
      <c r="D30" s="879" t="s">
        <v>19733</v>
      </c>
      <c r="E30" s="494" t="s">
        <v>13047</v>
      </c>
      <c r="F30" s="494" t="s">
        <v>29</v>
      </c>
      <c r="G30" s="494" t="s">
        <v>38</v>
      </c>
      <c r="H30" s="557"/>
      <c r="I30" s="494" t="s">
        <v>38</v>
      </c>
      <c r="J30" s="494">
        <f>510-384</f>
        <v>126</v>
      </c>
      <c r="K30" s="878"/>
      <c r="L30" s="878" t="s">
        <v>19734</v>
      </c>
      <c r="M30" s="878" t="s">
        <v>19712</v>
      </c>
      <c r="N30" s="878">
        <v>2017.0</v>
      </c>
      <c r="O30" s="878" t="s">
        <v>388</v>
      </c>
      <c r="P30" s="878">
        <v>2.0</v>
      </c>
      <c r="Q30" s="874">
        <v>1.0</v>
      </c>
      <c r="R30" s="863"/>
      <c r="S30" s="858"/>
      <c r="T30" s="858"/>
      <c r="U30" s="858"/>
      <c r="V30" s="858"/>
      <c r="W30" s="858"/>
      <c r="X30" s="858"/>
      <c r="Y30" s="858"/>
      <c r="Z30" s="858"/>
      <c r="AA30" s="858"/>
      <c r="AB30" s="858"/>
      <c r="AC30" s="858"/>
      <c r="AD30" s="858"/>
      <c r="AE30" s="858"/>
      <c r="AF30" s="858"/>
      <c r="AG30" s="858"/>
      <c r="AH30" s="858"/>
      <c r="AI30" s="858"/>
      <c r="AJ30" s="858"/>
    </row>
    <row r="31" ht="15.75" customHeight="1">
      <c r="A31" s="557"/>
      <c r="B31" s="878" t="s">
        <v>19709</v>
      </c>
      <c r="C31" s="878" t="s">
        <v>19700</v>
      </c>
      <c r="D31" s="879" t="s">
        <v>19735</v>
      </c>
      <c r="E31" s="494" t="s">
        <v>13047</v>
      </c>
      <c r="F31" s="494" t="s">
        <v>29</v>
      </c>
      <c r="G31" s="494" t="s">
        <v>38</v>
      </c>
      <c r="H31" s="557"/>
      <c r="I31" s="494" t="s">
        <v>38</v>
      </c>
      <c r="J31" s="494">
        <v>138.0</v>
      </c>
      <c r="K31" s="878"/>
      <c r="L31" s="878" t="s">
        <v>19736</v>
      </c>
      <c r="M31" s="878" t="s">
        <v>19712</v>
      </c>
      <c r="N31" s="878">
        <v>2017.0</v>
      </c>
      <c r="O31" s="878" t="s">
        <v>388</v>
      </c>
      <c r="P31" s="878">
        <v>1.0</v>
      </c>
      <c r="Q31" s="874">
        <v>1.0</v>
      </c>
      <c r="R31" s="863"/>
      <c r="S31" s="858"/>
      <c r="T31" s="858"/>
      <c r="U31" s="858"/>
      <c r="V31" s="858"/>
      <c r="W31" s="858"/>
      <c r="X31" s="858"/>
      <c r="Y31" s="858"/>
      <c r="Z31" s="858"/>
      <c r="AA31" s="858"/>
      <c r="AB31" s="858"/>
      <c r="AC31" s="858"/>
      <c r="AD31" s="858"/>
      <c r="AE31" s="858"/>
      <c r="AF31" s="858"/>
      <c r="AG31" s="858"/>
      <c r="AH31" s="858"/>
      <c r="AI31" s="858"/>
      <c r="AJ31" s="858"/>
    </row>
    <row r="32" ht="15.75" customHeight="1">
      <c r="A32" s="342">
        <v>23.0</v>
      </c>
      <c r="B32" s="875" t="s">
        <v>19709</v>
      </c>
      <c r="C32" s="875" t="s">
        <v>19700</v>
      </c>
      <c r="D32" s="876" t="s">
        <v>19737</v>
      </c>
      <c r="E32" s="345" t="s">
        <v>13047</v>
      </c>
      <c r="F32" s="345" t="s">
        <v>29</v>
      </c>
      <c r="G32" s="345" t="s">
        <v>38</v>
      </c>
      <c r="H32" s="342"/>
      <c r="I32" s="345" t="s">
        <v>38</v>
      </c>
      <c r="J32" s="345">
        <v>255.0</v>
      </c>
      <c r="K32" s="875"/>
      <c r="L32" s="875" t="s">
        <v>19738</v>
      </c>
      <c r="M32" s="875" t="s">
        <v>19712</v>
      </c>
      <c r="N32" s="875">
        <v>2010.0</v>
      </c>
      <c r="O32" s="875" t="s">
        <v>388</v>
      </c>
      <c r="P32" s="875">
        <v>1.0</v>
      </c>
      <c r="Q32" s="874">
        <v>1.0</v>
      </c>
      <c r="R32" s="863"/>
      <c r="S32" s="858"/>
      <c r="T32" s="858"/>
      <c r="U32" s="858"/>
      <c r="V32" s="858"/>
      <c r="W32" s="858"/>
      <c r="X32" s="858"/>
      <c r="Y32" s="858"/>
      <c r="Z32" s="858"/>
      <c r="AA32" s="858"/>
      <c r="AB32" s="858"/>
      <c r="AC32" s="858"/>
      <c r="AD32" s="858"/>
      <c r="AE32" s="858"/>
      <c r="AF32" s="858"/>
      <c r="AG32" s="858"/>
      <c r="AH32" s="858"/>
      <c r="AI32" s="858"/>
      <c r="AJ32" s="858"/>
    </row>
    <row r="33" ht="15.75" customHeight="1">
      <c r="A33" s="342">
        <v>24.0</v>
      </c>
      <c r="B33" s="875" t="s">
        <v>19709</v>
      </c>
      <c r="C33" s="875" t="s">
        <v>19700</v>
      </c>
      <c r="D33" s="876" t="s">
        <v>19739</v>
      </c>
      <c r="E33" s="345" t="s">
        <v>13047</v>
      </c>
      <c r="F33" s="345" t="s">
        <v>29</v>
      </c>
      <c r="G33" s="345" t="s">
        <v>38</v>
      </c>
      <c r="H33" s="342"/>
      <c r="I33" s="345" t="s">
        <v>38</v>
      </c>
      <c r="J33" s="345">
        <v>248.0</v>
      </c>
      <c r="K33" s="875"/>
      <c r="L33" s="875" t="s">
        <v>19740</v>
      </c>
      <c r="M33" s="875" t="s">
        <v>19712</v>
      </c>
      <c r="N33" s="875">
        <v>2010.0</v>
      </c>
      <c r="O33" s="875" t="s">
        <v>388</v>
      </c>
      <c r="P33" s="875">
        <v>1.0</v>
      </c>
      <c r="Q33" s="874">
        <v>1.0</v>
      </c>
      <c r="R33" s="863"/>
      <c r="S33" s="858"/>
      <c r="T33" s="858"/>
      <c r="U33" s="858"/>
      <c r="V33" s="858"/>
      <c r="W33" s="858"/>
      <c r="X33" s="858"/>
      <c r="Y33" s="858"/>
      <c r="Z33" s="858"/>
      <c r="AA33" s="858"/>
      <c r="AB33" s="858"/>
      <c r="AC33" s="858"/>
      <c r="AD33" s="858"/>
      <c r="AE33" s="858"/>
      <c r="AF33" s="858"/>
      <c r="AG33" s="858"/>
      <c r="AH33" s="858"/>
      <c r="AI33" s="858"/>
      <c r="AJ33" s="858"/>
    </row>
    <row r="34" ht="15.75" customHeight="1">
      <c r="A34" s="342">
        <v>25.0</v>
      </c>
      <c r="B34" s="875" t="s">
        <v>19709</v>
      </c>
      <c r="C34" s="875" t="s">
        <v>19700</v>
      </c>
      <c r="D34" s="876" t="s">
        <v>19741</v>
      </c>
      <c r="E34" s="345" t="s">
        <v>13047</v>
      </c>
      <c r="F34" s="345" t="s">
        <v>29</v>
      </c>
      <c r="G34" s="345" t="s">
        <v>38</v>
      </c>
      <c r="H34" s="342"/>
      <c r="I34" s="345" t="s">
        <v>38</v>
      </c>
      <c r="J34" s="345">
        <v>510.0</v>
      </c>
      <c r="K34" s="875"/>
      <c r="L34" s="875" t="s">
        <v>19742</v>
      </c>
      <c r="M34" s="875" t="s">
        <v>19712</v>
      </c>
      <c r="N34" s="875">
        <v>2011.0</v>
      </c>
      <c r="O34" s="875" t="s">
        <v>388</v>
      </c>
      <c r="P34" s="875">
        <v>1.0</v>
      </c>
      <c r="Q34" s="874">
        <v>1.0</v>
      </c>
      <c r="R34" s="863"/>
      <c r="S34" s="858"/>
      <c r="T34" s="858"/>
      <c r="U34" s="858"/>
      <c r="V34" s="858"/>
      <c r="W34" s="858"/>
      <c r="X34" s="858"/>
      <c r="Y34" s="858"/>
      <c r="Z34" s="858"/>
      <c r="AA34" s="858"/>
      <c r="AB34" s="858"/>
      <c r="AC34" s="858"/>
      <c r="AD34" s="858"/>
      <c r="AE34" s="858"/>
      <c r="AF34" s="858"/>
      <c r="AG34" s="858"/>
      <c r="AH34" s="858"/>
      <c r="AI34" s="858"/>
      <c r="AJ34" s="858"/>
    </row>
    <row r="35" ht="15.75" customHeight="1">
      <c r="A35" s="342">
        <v>26.0</v>
      </c>
      <c r="B35" s="875" t="s">
        <v>19709</v>
      </c>
      <c r="C35" s="875" t="s">
        <v>19700</v>
      </c>
      <c r="D35" s="876" t="s">
        <v>19743</v>
      </c>
      <c r="E35" s="345" t="s">
        <v>13047</v>
      </c>
      <c r="F35" s="345" t="s">
        <v>29</v>
      </c>
      <c r="G35" s="345" t="s">
        <v>38</v>
      </c>
      <c r="H35" s="342"/>
      <c r="I35" s="345" t="s">
        <v>38</v>
      </c>
      <c r="J35" s="345">
        <v>126.0</v>
      </c>
      <c r="K35" s="875"/>
      <c r="L35" s="875" t="s">
        <v>19744</v>
      </c>
      <c r="M35" s="875" t="s">
        <v>19712</v>
      </c>
      <c r="N35" s="875">
        <v>2011.0</v>
      </c>
      <c r="O35" s="875" t="s">
        <v>388</v>
      </c>
      <c r="P35" s="875">
        <v>1.0</v>
      </c>
      <c r="Q35" s="874">
        <v>1.0</v>
      </c>
      <c r="R35" s="863"/>
      <c r="S35" s="858"/>
      <c r="T35" s="858"/>
      <c r="U35" s="858"/>
      <c r="V35" s="858"/>
      <c r="W35" s="858"/>
      <c r="X35" s="858"/>
      <c r="Y35" s="858"/>
      <c r="Z35" s="858"/>
      <c r="AA35" s="858"/>
      <c r="AB35" s="858"/>
      <c r="AC35" s="858"/>
      <c r="AD35" s="858"/>
      <c r="AE35" s="858"/>
      <c r="AF35" s="858"/>
      <c r="AG35" s="858"/>
      <c r="AH35" s="858"/>
      <c r="AI35" s="858"/>
      <c r="AJ35" s="858"/>
    </row>
    <row r="36" ht="15.75" customHeight="1">
      <c r="A36" s="342">
        <v>27.0</v>
      </c>
      <c r="B36" s="875" t="s">
        <v>19709</v>
      </c>
      <c r="C36" s="875" t="s">
        <v>19700</v>
      </c>
      <c r="D36" s="876" t="s">
        <v>19745</v>
      </c>
      <c r="E36" s="345" t="s">
        <v>13047</v>
      </c>
      <c r="F36" s="345" t="s">
        <v>29</v>
      </c>
      <c r="G36" s="345" t="s">
        <v>38</v>
      </c>
      <c r="H36" s="342"/>
      <c r="I36" s="345" t="s">
        <v>38</v>
      </c>
      <c r="J36" s="345">
        <v>255.0</v>
      </c>
      <c r="K36" s="875"/>
      <c r="L36" s="875" t="s">
        <v>19746</v>
      </c>
      <c r="M36" s="875" t="s">
        <v>19712</v>
      </c>
      <c r="N36" s="880">
        <v>2011.0</v>
      </c>
      <c r="O36" s="875" t="s">
        <v>388</v>
      </c>
      <c r="P36" s="875">
        <v>1.0</v>
      </c>
      <c r="Q36" s="874">
        <v>1.0</v>
      </c>
      <c r="R36" s="863"/>
      <c r="S36" s="858"/>
      <c r="T36" s="858"/>
      <c r="U36" s="858"/>
      <c r="V36" s="858"/>
      <c r="W36" s="858"/>
      <c r="X36" s="858"/>
      <c r="Y36" s="858"/>
      <c r="Z36" s="858"/>
      <c r="AA36" s="858"/>
      <c r="AB36" s="858"/>
      <c r="AC36" s="858"/>
      <c r="AD36" s="858"/>
      <c r="AE36" s="858"/>
      <c r="AF36" s="858"/>
      <c r="AG36" s="858"/>
      <c r="AH36" s="858"/>
      <c r="AI36" s="858"/>
      <c r="AJ36" s="858"/>
    </row>
    <row r="37" ht="53.25" customHeight="1">
      <c r="A37" s="342">
        <v>28.0</v>
      </c>
      <c r="B37" s="875" t="s">
        <v>19709</v>
      </c>
      <c r="C37" s="875" t="s">
        <v>19700</v>
      </c>
      <c r="D37" s="876" t="s">
        <v>19747</v>
      </c>
      <c r="E37" s="345" t="s">
        <v>13047</v>
      </c>
      <c r="F37" s="345" t="s">
        <v>29</v>
      </c>
      <c r="G37" s="345" t="s">
        <v>38</v>
      </c>
      <c r="H37" s="342"/>
      <c r="I37" s="345" t="s">
        <v>38</v>
      </c>
      <c r="J37" s="345">
        <v>246.0</v>
      </c>
      <c r="K37" s="875"/>
      <c r="L37" s="875" t="s">
        <v>19740</v>
      </c>
      <c r="M37" s="875" t="s">
        <v>19712</v>
      </c>
      <c r="N37" s="875">
        <v>2012.0</v>
      </c>
      <c r="O37" s="875" t="s">
        <v>388</v>
      </c>
      <c r="P37" s="875">
        <v>1.0</v>
      </c>
      <c r="Q37" s="874">
        <v>1.0</v>
      </c>
      <c r="R37" s="863"/>
      <c r="S37" s="858"/>
      <c r="T37" s="858"/>
      <c r="U37" s="858"/>
      <c r="V37" s="858"/>
      <c r="W37" s="858"/>
      <c r="X37" s="858"/>
      <c r="Y37" s="858"/>
      <c r="Z37" s="858"/>
      <c r="AA37" s="858"/>
      <c r="AB37" s="858"/>
      <c r="AC37" s="858"/>
      <c r="AD37" s="858"/>
      <c r="AE37" s="858"/>
      <c r="AF37" s="858"/>
      <c r="AG37" s="858"/>
      <c r="AH37" s="858"/>
      <c r="AI37" s="858"/>
      <c r="AJ37" s="858"/>
    </row>
    <row r="38" ht="55.5" customHeight="1">
      <c r="A38" s="342">
        <v>29.0</v>
      </c>
      <c r="B38" s="875" t="s">
        <v>19709</v>
      </c>
      <c r="C38" s="875" t="s">
        <v>19700</v>
      </c>
      <c r="D38" s="876" t="s">
        <v>19748</v>
      </c>
      <c r="E38" s="345" t="s">
        <v>13047</v>
      </c>
      <c r="F38" s="345" t="s">
        <v>29</v>
      </c>
      <c r="G38" s="345" t="s">
        <v>38</v>
      </c>
      <c r="H38" s="342"/>
      <c r="I38" s="345" t="s">
        <v>38</v>
      </c>
      <c r="J38" s="345">
        <v>246.0</v>
      </c>
      <c r="K38" s="875"/>
      <c r="L38" s="875" t="s">
        <v>19740</v>
      </c>
      <c r="M38" s="875" t="s">
        <v>19712</v>
      </c>
      <c r="N38" s="875">
        <v>2011.0</v>
      </c>
      <c r="O38" s="875" t="s">
        <v>388</v>
      </c>
      <c r="P38" s="875">
        <v>1.0</v>
      </c>
      <c r="Q38" s="874">
        <v>1.0</v>
      </c>
      <c r="R38" s="863"/>
      <c r="S38" s="858"/>
      <c r="T38" s="858"/>
      <c r="U38" s="858"/>
      <c r="V38" s="858"/>
      <c r="W38" s="858"/>
      <c r="X38" s="858"/>
      <c r="Y38" s="858"/>
      <c r="Z38" s="858"/>
      <c r="AA38" s="858"/>
      <c r="AB38" s="858"/>
      <c r="AC38" s="858"/>
      <c r="AD38" s="858"/>
      <c r="AE38" s="858"/>
      <c r="AF38" s="858"/>
      <c r="AG38" s="858"/>
      <c r="AH38" s="858"/>
      <c r="AI38" s="858"/>
      <c r="AJ38" s="858"/>
    </row>
    <row r="39" ht="15.75" customHeight="1">
      <c r="A39" s="342">
        <v>30.0</v>
      </c>
      <c r="B39" s="875" t="s">
        <v>19709</v>
      </c>
      <c r="C39" s="875" t="s">
        <v>19700</v>
      </c>
      <c r="D39" s="876" t="s">
        <v>19749</v>
      </c>
      <c r="E39" s="345" t="s">
        <v>13047</v>
      </c>
      <c r="F39" s="345" t="s">
        <v>29</v>
      </c>
      <c r="G39" s="345" t="s">
        <v>38</v>
      </c>
      <c r="H39" s="342"/>
      <c r="I39" s="345" t="s">
        <v>38</v>
      </c>
      <c r="J39" s="345"/>
      <c r="K39" s="875"/>
      <c r="L39" s="875" t="s">
        <v>19750</v>
      </c>
      <c r="M39" s="875" t="s">
        <v>19712</v>
      </c>
      <c r="N39" s="875">
        <v>2015.0</v>
      </c>
      <c r="O39" s="875" t="s">
        <v>388</v>
      </c>
      <c r="P39" s="875">
        <v>1.0</v>
      </c>
      <c r="Q39" s="874">
        <v>1.0</v>
      </c>
      <c r="R39" s="863"/>
      <c r="S39" s="858"/>
      <c r="T39" s="858"/>
      <c r="U39" s="858"/>
      <c r="V39" s="858"/>
      <c r="W39" s="858"/>
      <c r="X39" s="858"/>
      <c r="Y39" s="858"/>
      <c r="Z39" s="858"/>
      <c r="AA39" s="858"/>
      <c r="AB39" s="858"/>
      <c r="AC39" s="858"/>
      <c r="AD39" s="858"/>
      <c r="AE39" s="858"/>
      <c r="AF39" s="858"/>
      <c r="AG39" s="858"/>
      <c r="AH39" s="858"/>
      <c r="AI39" s="858"/>
      <c r="AJ39" s="858"/>
    </row>
    <row r="40" ht="15.75" customHeight="1">
      <c r="A40" s="342">
        <v>31.0</v>
      </c>
      <c r="B40" s="875" t="s">
        <v>19709</v>
      </c>
      <c r="C40" s="875" t="s">
        <v>19700</v>
      </c>
      <c r="D40" s="876" t="s">
        <v>19751</v>
      </c>
      <c r="E40" s="345" t="s">
        <v>13047</v>
      </c>
      <c r="F40" s="345" t="s">
        <v>29</v>
      </c>
      <c r="G40" s="345" t="s">
        <v>38</v>
      </c>
      <c r="H40" s="342"/>
      <c r="I40" s="345" t="s">
        <v>38</v>
      </c>
      <c r="J40" s="345">
        <v>135.0</v>
      </c>
      <c r="K40" s="875"/>
      <c r="L40" s="875" t="s">
        <v>19752</v>
      </c>
      <c r="M40" s="875" t="s">
        <v>19712</v>
      </c>
      <c r="N40" s="875">
        <v>2015.0</v>
      </c>
      <c r="O40" s="875" t="s">
        <v>388</v>
      </c>
      <c r="P40" s="875">
        <v>1.0</v>
      </c>
      <c r="Q40" s="874">
        <v>1.0</v>
      </c>
      <c r="R40" s="863"/>
      <c r="S40" s="858"/>
      <c r="T40" s="858"/>
      <c r="U40" s="858"/>
      <c r="V40" s="858"/>
      <c r="W40" s="858"/>
      <c r="X40" s="858"/>
      <c r="Y40" s="858"/>
      <c r="Z40" s="858"/>
      <c r="AA40" s="858"/>
      <c r="AB40" s="858"/>
      <c r="AC40" s="858"/>
      <c r="AD40" s="858"/>
      <c r="AE40" s="858"/>
      <c r="AF40" s="858"/>
      <c r="AG40" s="858"/>
      <c r="AH40" s="858"/>
      <c r="AI40" s="858"/>
      <c r="AJ40" s="858"/>
    </row>
    <row r="41" ht="15.75" customHeight="1">
      <c r="A41" s="342">
        <v>32.0</v>
      </c>
      <c r="B41" s="875" t="s">
        <v>19753</v>
      </c>
      <c r="C41" s="875" t="s">
        <v>19754</v>
      </c>
      <c r="D41" s="876" t="s">
        <v>19755</v>
      </c>
      <c r="E41" s="345" t="s">
        <v>13047</v>
      </c>
      <c r="F41" s="345" t="s">
        <v>29</v>
      </c>
      <c r="G41" s="345" t="s">
        <v>38</v>
      </c>
      <c r="H41" s="342"/>
      <c r="I41" s="345" t="s">
        <v>38</v>
      </c>
      <c r="J41" s="345">
        <v>140.0</v>
      </c>
      <c r="K41" s="875"/>
      <c r="L41" s="875" t="s">
        <v>19756</v>
      </c>
      <c r="M41" s="875" t="s">
        <v>19712</v>
      </c>
      <c r="N41" s="345">
        <v>2012.0</v>
      </c>
      <c r="O41" s="875" t="s">
        <v>388</v>
      </c>
      <c r="P41" s="345">
        <v>1.0</v>
      </c>
      <c r="Q41" s="874">
        <v>1.0</v>
      </c>
      <c r="R41" s="863"/>
      <c r="S41" s="858"/>
      <c r="T41" s="858"/>
      <c r="U41" s="858"/>
      <c r="V41" s="858"/>
      <c r="W41" s="858"/>
      <c r="X41" s="858"/>
      <c r="Y41" s="858"/>
      <c r="Z41" s="858"/>
      <c r="AA41" s="858"/>
      <c r="AB41" s="858"/>
      <c r="AC41" s="858"/>
      <c r="AD41" s="858"/>
      <c r="AE41" s="858"/>
      <c r="AF41" s="858"/>
      <c r="AG41" s="858"/>
      <c r="AH41" s="858"/>
      <c r="AI41" s="858"/>
      <c r="AJ41" s="858"/>
    </row>
    <row r="42" ht="15.75" customHeight="1">
      <c r="A42" s="342">
        <v>33.0</v>
      </c>
      <c r="B42" s="875" t="s">
        <v>19753</v>
      </c>
      <c r="C42" s="875" t="s">
        <v>19754</v>
      </c>
      <c r="D42" s="876" t="s">
        <v>19757</v>
      </c>
      <c r="E42" s="345" t="s">
        <v>13047</v>
      </c>
      <c r="F42" s="345" t="s">
        <v>29</v>
      </c>
      <c r="G42" s="345" t="s">
        <v>38</v>
      </c>
      <c r="H42" s="342"/>
      <c r="I42" s="345" t="s">
        <v>38</v>
      </c>
      <c r="J42" s="345">
        <v>140.0</v>
      </c>
      <c r="K42" s="875"/>
      <c r="L42" s="875" t="s">
        <v>19756</v>
      </c>
      <c r="M42" s="875" t="s">
        <v>19712</v>
      </c>
      <c r="N42" s="345">
        <v>2012.0</v>
      </c>
      <c r="O42" s="875" t="s">
        <v>388</v>
      </c>
      <c r="P42" s="345">
        <v>1.0</v>
      </c>
      <c r="Q42" s="874">
        <v>1.0</v>
      </c>
      <c r="R42" s="863"/>
      <c r="S42" s="858"/>
      <c r="T42" s="858"/>
      <c r="U42" s="858"/>
      <c r="V42" s="858"/>
      <c r="W42" s="858"/>
      <c r="X42" s="858"/>
      <c r="Y42" s="858"/>
      <c r="Z42" s="858"/>
      <c r="AA42" s="858"/>
      <c r="AB42" s="858"/>
      <c r="AC42" s="858"/>
      <c r="AD42" s="858"/>
      <c r="AE42" s="858"/>
      <c r="AF42" s="858"/>
      <c r="AG42" s="858"/>
      <c r="AH42" s="858"/>
      <c r="AI42" s="858"/>
      <c r="AJ42" s="858"/>
    </row>
    <row r="43" ht="15.75" customHeight="1">
      <c r="A43" s="557"/>
      <c r="B43" s="878"/>
      <c r="C43" s="878" t="s">
        <v>19754</v>
      </c>
      <c r="D43" s="879" t="s">
        <v>19758</v>
      </c>
      <c r="E43" s="494" t="s">
        <v>13047</v>
      </c>
      <c r="F43" s="494" t="s">
        <v>29</v>
      </c>
      <c r="G43" s="494" t="s">
        <v>38</v>
      </c>
      <c r="H43" s="557"/>
      <c r="I43" s="494" t="s">
        <v>38</v>
      </c>
      <c r="J43" s="494">
        <v>140.0</v>
      </c>
      <c r="K43" s="878"/>
      <c r="L43" s="878" t="s">
        <v>19756</v>
      </c>
      <c r="M43" s="878" t="s">
        <v>19712</v>
      </c>
      <c r="N43" s="494">
        <v>2012.0</v>
      </c>
      <c r="O43" s="878" t="s">
        <v>388</v>
      </c>
      <c r="P43" s="494">
        <v>1.0</v>
      </c>
      <c r="Q43" s="874">
        <v>1.0</v>
      </c>
      <c r="R43" s="863"/>
      <c r="S43" s="858"/>
      <c r="T43" s="858"/>
      <c r="U43" s="858"/>
      <c r="V43" s="858"/>
      <c r="W43" s="858"/>
      <c r="X43" s="858"/>
      <c r="Y43" s="858"/>
      <c r="Z43" s="858"/>
      <c r="AA43" s="858"/>
      <c r="AB43" s="858"/>
      <c r="AC43" s="858"/>
      <c r="AD43" s="858"/>
      <c r="AE43" s="858"/>
      <c r="AF43" s="858"/>
      <c r="AG43" s="858"/>
      <c r="AH43" s="858"/>
      <c r="AI43" s="858"/>
      <c r="AJ43" s="858"/>
    </row>
    <row r="44" ht="15.75" customHeight="1">
      <c r="A44" s="342">
        <v>34.0</v>
      </c>
      <c r="B44" s="875" t="s">
        <v>19753</v>
      </c>
      <c r="C44" s="875" t="s">
        <v>19754</v>
      </c>
      <c r="D44" s="876" t="s">
        <v>19759</v>
      </c>
      <c r="E44" s="345" t="s">
        <v>13047</v>
      </c>
      <c r="F44" s="345" t="s">
        <v>29</v>
      </c>
      <c r="G44" s="345" t="s">
        <v>38</v>
      </c>
      <c r="H44" s="342"/>
      <c r="I44" s="345" t="s">
        <v>38</v>
      </c>
      <c r="J44" s="345">
        <v>276.0</v>
      </c>
      <c r="K44" s="875"/>
      <c r="L44" s="875" t="s">
        <v>19760</v>
      </c>
      <c r="M44" s="875" t="s">
        <v>19712</v>
      </c>
      <c r="N44" s="345">
        <v>2011.0</v>
      </c>
      <c r="O44" s="875" t="s">
        <v>388</v>
      </c>
      <c r="P44" s="345">
        <v>1.0</v>
      </c>
      <c r="Q44" s="874">
        <v>1.0</v>
      </c>
      <c r="R44" s="863"/>
      <c r="S44" s="858"/>
      <c r="T44" s="858"/>
      <c r="U44" s="858"/>
      <c r="V44" s="858"/>
      <c r="W44" s="858"/>
      <c r="X44" s="858"/>
      <c r="Y44" s="858"/>
      <c r="Z44" s="858"/>
      <c r="AA44" s="858"/>
      <c r="AB44" s="858"/>
      <c r="AC44" s="858"/>
      <c r="AD44" s="858"/>
      <c r="AE44" s="858"/>
      <c r="AF44" s="858"/>
      <c r="AG44" s="858"/>
      <c r="AH44" s="858"/>
      <c r="AI44" s="858"/>
      <c r="AJ44" s="858"/>
    </row>
    <row r="45" ht="15.75" customHeight="1">
      <c r="A45" s="342">
        <v>35.0</v>
      </c>
      <c r="B45" s="875" t="s">
        <v>19753</v>
      </c>
      <c r="C45" s="875" t="s">
        <v>19754</v>
      </c>
      <c r="D45" s="876" t="s">
        <v>19761</v>
      </c>
      <c r="E45" s="345" t="s">
        <v>13047</v>
      </c>
      <c r="F45" s="345" t="s">
        <v>29</v>
      </c>
      <c r="G45" s="345" t="s">
        <v>38</v>
      </c>
      <c r="H45" s="342"/>
      <c r="I45" s="345" t="s">
        <v>38</v>
      </c>
      <c r="J45" s="345">
        <v>427.0</v>
      </c>
      <c r="K45" s="875"/>
      <c r="L45" s="875" t="s">
        <v>19762</v>
      </c>
      <c r="M45" s="875" t="s">
        <v>19712</v>
      </c>
      <c r="N45" s="345">
        <v>2010.0</v>
      </c>
      <c r="O45" s="875" t="s">
        <v>388</v>
      </c>
      <c r="P45" s="345">
        <v>1.0</v>
      </c>
      <c r="Q45" s="874">
        <v>1.0</v>
      </c>
      <c r="R45" s="863"/>
      <c r="S45" s="858"/>
      <c r="T45" s="858"/>
      <c r="U45" s="858"/>
      <c r="V45" s="858"/>
      <c r="W45" s="858"/>
      <c r="X45" s="858"/>
      <c r="Y45" s="858"/>
      <c r="Z45" s="858"/>
      <c r="AA45" s="858"/>
      <c r="AB45" s="858"/>
      <c r="AC45" s="858"/>
      <c r="AD45" s="858"/>
      <c r="AE45" s="858"/>
      <c r="AF45" s="858"/>
      <c r="AG45" s="858"/>
      <c r="AH45" s="858"/>
      <c r="AI45" s="858"/>
      <c r="AJ45" s="858"/>
    </row>
    <row r="46" ht="15.75" customHeight="1">
      <c r="A46" s="342">
        <v>36.0</v>
      </c>
      <c r="B46" s="875" t="s">
        <v>19753</v>
      </c>
      <c r="C46" s="875" t="s">
        <v>19754</v>
      </c>
      <c r="D46" s="876" t="s">
        <v>19763</v>
      </c>
      <c r="E46" s="345" t="s">
        <v>13047</v>
      </c>
      <c r="F46" s="345" t="s">
        <v>29</v>
      </c>
      <c r="G46" s="345" t="s">
        <v>38</v>
      </c>
      <c r="H46" s="342"/>
      <c r="I46" s="345" t="s">
        <v>38</v>
      </c>
      <c r="J46" s="345">
        <v>126.0</v>
      </c>
      <c r="K46" s="875"/>
      <c r="L46" s="875" t="s">
        <v>19764</v>
      </c>
      <c r="M46" s="875" t="s">
        <v>19712</v>
      </c>
      <c r="N46" s="345">
        <v>2010.0</v>
      </c>
      <c r="O46" s="875" t="s">
        <v>388</v>
      </c>
      <c r="P46" s="345">
        <v>1.0</v>
      </c>
      <c r="Q46" s="874">
        <v>1.0</v>
      </c>
      <c r="R46" s="863"/>
      <c r="S46" s="858"/>
      <c r="T46" s="858"/>
      <c r="U46" s="858"/>
      <c r="V46" s="858"/>
      <c r="W46" s="858"/>
      <c r="X46" s="858"/>
      <c r="Y46" s="858"/>
      <c r="Z46" s="858"/>
      <c r="AA46" s="858"/>
      <c r="AB46" s="858"/>
      <c r="AC46" s="858"/>
      <c r="AD46" s="858"/>
      <c r="AE46" s="858"/>
      <c r="AF46" s="858"/>
      <c r="AG46" s="858"/>
      <c r="AH46" s="858"/>
      <c r="AI46" s="858"/>
      <c r="AJ46" s="858"/>
    </row>
    <row r="47" ht="15.75" customHeight="1">
      <c r="A47" s="342">
        <v>37.0</v>
      </c>
      <c r="B47" s="875" t="s">
        <v>19753</v>
      </c>
      <c r="C47" s="875" t="s">
        <v>19754</v>
      </c>
      <c r="D47" s="876" t="s">
        <v>19765</v>
      </c>
      <c r="E47" s="345" t="s">
        <v>13047</v>
      </c>
      <c r="F47" s="345" t="s">
        <v>29</v>
      </c>
      <c r="G47" s="345" t="s">
        <v>38</v>
      </c>
      <c r="H47" s="342"/>
      <c r="I47" s="345" t="s">
        <v>38</v>
      </c>
      <c r="J47" s="345">
        <v>299.0</v>
      </c>
      <c r="K47" s="875"/>
      <c r="L47" s="875" t="s">
        <v>19766</v>
      </c>
      <c r="M47" s="875" t="s">
        <v>19712</v>
      </c>
      <c r="N47" s="345">
        <v>2010.0</v>
      </c>
      <c r="O47" s="875" t="s">
        <v>388</v>
      </c>
      <c r="P47" s="345">
        <v>1.0</v>
      </c>
      <c r="Q47" s="874">
        <v>1.0</v>
      </c>
      <c r="R47" s="863"/>
      <c r="S47" s="858"/>
      <c r="T47" s="858"/>
      <c r="U47" s="858"/>
      <c r="V47" s="858"/>
      <c r="W47" s="858"/>
      <c r="X47" s="858"/>
      <c r="Y47" s="858"/>
      <c r="Z47" s="858"/>
      <c r="AA47" s="858"/>
      <c r="AB47" s="858"/>
      <c r="AC47" s="858"/>
      <c r="AD47" s="858"/>
      <c r="AE47" s="858"/>
      <c r="AF47" s="858"/>
      <c r="AG47" s="858"/>
      <c r="AH47" s="858"/>
      <c r="AI47" s="858"/>
      <c r="AJ47" s="858"/>
    </row>
    <row r="48" ht="15.75" customHeight="1">
      <c r="A48" s="342">
        <v>38.0</v>
      </c>
      <c r="B48" s="875" t="s">
        <v>19753</v>
      </c>
      <c r="C48" s="875" t="s">
        <v>19754</v>
      </c>
      <c r="D48" s="876" t="s">
        <v>19767</v>
      </c>
      <c r="E48" s="345" t="s">
        <v>13047</v>
      </c>
      <c r="F48" s="345" t="s">
        <v>29</v>
      </c>
      <c r="G48" s="345" t="s">
        <v>38</v>
      </c>
      <c r="H48" s="342"/>
      <c r="I48" s="345" t="s">
        <v>38</v>
      </c>
      <c r="J48" s="345">
        <v>431.0</v>
      </c>
      <c r="K48" s="875"/>
      <c r="L48" s="875" t="s">
        <v>19768</v>
      </c>
      <c r="M48" s="875" t="s">
        <v>19712</v>
      </c>
      <c r="N48" s="345">
        <v>2008.0</v>
      </c>
      <c r="O48" s="875" t="s">
        <v>388</v>
      </c>
      <c r="P48" s="345">
        <v>1.0</v>
      </c>
      <c r="Q48" s="874">
        <v>1.0</v>
      </c>
      <c r="R48" s="863"/>
      <c r="S48" s="858"/>
      <c r="T48" s="858"/>
      <c r="U48" s="858"/>
      <c r="V48" s="858"/>
      <c r="W48" s="858"/>
      <c r="X48" s="858"/>
      <c r="Y48" s="858"/>
      <c r="Z48" s="858"/>
      <c r="AA48" s="858"/>
      <c r="AB48" s="858"/>
      <c r="AC48" s="858"/>
      <c r="AD48" s="858"/>
      <c r="AE48" s="858"/>
      <c r="AF48" s="858"/>
      <c r="AG48" s="858"/>
      <c r="AH48" s="858"/>
      <c r="AI48" s="858"/>
      <c r="AJ48" s="858"/>
    </row>
    <row r="49" ht="15.75" customHeight="1">
      <c r="A49" s="342">
        <v>39.0</v>
      </c>
      <c r="B49" s="875" t="s">
        <v>19753</v>
      </c>
      <c r="C49" s="875" t="s">
        <v>19754</v>
      </c>
      <c r="D49" s="876" t="s">
        <v>19769</v>
      </c>
      <c r="E49" s="345" t="s">
        <v>13047</v>
      </c>
      <c r="F49" s="345" t="s">
        <v>29</v>
      </c>
      <c r="G49" s="345" t="s">
        <v>38</v>
      </c>
      <c r="H49" s="342"/>
      <c r="I49" s="345" t="s">
        <v>38</v>
      </c>
      <c r="J49" s="345">
        <v>421.0</v>
      </c>
      <c r="K49" s="875"/>
      <c r="L49" s="875" t="s">
        <v>19770</v>
      </c>
      <c r="M49" s="875" t="s">
        <v>19712</v>
      </c>
      <c r="N49" s="345">
        <v>2011.0</v>
      </c>
      <c r="O49" s="875" t="s">
        <v>388</v>
      </c>
      <c r="P49" s="345">
        <v>1.0</v>
      </c>
      <c r="Q49" s="874">
        <v>1.0</v>
      </c>
      <c r="R49" s="863"/>
      <c r="S49" s="858"/>
      <c r="T49" s="858"/>
      <c r="U49" s="858"/>
      <c r="V49" s="858"/>
      <c r="W49" s="858"/>
      <c r="X49" s="858"/>
      <c r="Y49" s="858"/>
      <c r="Z49" s="858"/>
      <c r="AA49" s="858"/>
      <c r="AB49" s="858"/>
      <c r="AC49" s="858"/>
      <c r="AD49" s="858"/>
      <c r="AE49" s="858"/>
      <c r="AF49" s="858"/>
      <c r="AG49" s="858"/>
      <c r="AH49" s="858"/>
      <c r="AI49" s="858"/>
      <c r="AJ49" s="858"/>
    </row>
    <row r="50" ht="15.75" customHeight="1">
      <c r="A50" s="342">
        <v>40.0</v>
      </c>
      <c r="B50" s="875" t="s">
        <v>19753</v>
      </c>
      <c r="C50" s="875" t="s">
        <v>19754</v>
      </c>
      <c r="D50" s="876" t="s">
        <v>19771</v>
      </c>
      <c r="E50" s="345" t="s">
        <v>13047</v>
      </c>
      <c r="F50" s="345" t="s">
        <v>29</v>
      </c>
      <c r="G50" s="345" t="s">
        <v>38</v>
      </c>
      <c r="H50" s="342"/>
      <c r="I50" s="345" t="s">
        <v>38</v>
      </c>
      <c r="J50" s="345">
        <v>162.0</v>
      </c>
      <c r="K50" s="875"/>
      <c r="L50" s="875" t="s">
        <v>19772</v>
      </c>
      <c r="M50" s="875" t="s">
        <v>19712</v>
      </c>
      <c r="N50" s="345">
        <v>2011.0</v>
      </c>
      <c r="O50" s="875" t="s">
        <v>388</v>
      </c>
      <c r="P50" s="345">
        <v>1.0</v>
      </c>
      <c r="Q50" s="874">
        <v>1.0</v>
      </c>
      <c r="R50" s="863"/>
      <c r="S50" s="858"/>
      <c r="T50" s="858"/>
      <c r="U50" s="858"/>
      <c r="V50" s="858"/>
      <c r="W50" s="858"/>
      <c r="X50" s="858"/>
      <c r="Y50" s="858"/>
      <c r="Z50" s="858"/>
      <c r="AA50" s="858"/>
      <c r="AB50" s="858"/>
      <c r="AC50" s="858"/>
      <c r="AD50" s="858"/>
      <c r="AE50" s="858"/>
      <c r="AF50" s="858"/>
      <c r="AG50" s="858"/>
      <c r="AH50" s="858"/>
      <c r="AI50" s="858"/>
      <c r="AJ50" s="858"/>
    </row>
    <row r="51" ht="15.75" customHeight="1">
      <c r="A51" s="342">
        <v>41.0</v>
      </c>
      <c r="B51" s="875" t="s">
        <v>19753</v>
      </c>
      <c r="C51" s="875" t="s">
        <v>19754</v>
      </c>
      <c r="D51" s="876" t="s">
        <v>19773</v>
      </c>
      <c r="E51" s="345" t="s">
        <v>13047</v>
      </c>
      <c r="F51" s="345" t="s">
        <v>29</v>
      </c>
      <c r="G51" s="345" t="s">
        <v>38</v>
      </c>
      <c r="H51" s="342"/>
      <c r="I51" s="345" t="s">
        <v>38</v>
      </c>
      <c r="J51" s="345">
        <f>439-285</f>
        <v>154</v>
      </c>
      <c r="K51" s="875"/>
      <c r="L51" s="875" t="s">
        <v>19774</v>
      </c>
      <c r="M51" s="875" t="s">
        <v>19712</v>
      </c>
      <c r="N51" s="345">
        <v>2011.0</v>
      </c>
      <c r="O51" s="875" t="s">
        <v>388</v>
      </c>
      <c r="P51" s="345">
        <v>1.0</v>
      </c>
      <c r="Q51" s="874">
        <v>1.0</v>
      </c>
      <c r="R51" s="863"/>
      <c r="S51" s="858"/>
      <c r="T51" s="858"/>
      <c r="U51" s="858"/>
      <c r="V51" s="858"/>
      <c r="W51" s="858"/>
      <c r="X51" s="858"/>
      <c r="Y51" s="858"/>
      <c r="Z51" s="858"/>
      <c r="AA51" s="858"/>
      <c r="AB51" s="858"/>
      <c r="AC51" s="858"/>
      <c r="AD51" s="858"/>
      <c r="AE51" s="858"/>
      <c r="AF51" s="858"/>
      <c r="AG51" s="858"/>
      <c r="AH51" s="858"/>
      <c r="AI51" s="858"/>
      <c r="AJ51" s="858"/>
    </row>
    <row r="52" ht="15.75" customHeight="1">
      <c r="A52" s="342">
        <v>42.0</v>
      </c>
      <c r="B52" s="875" t="s">
        <v>19775</v>
      </c>
      <c r="C52" s="875" t="s">
        <v>19776</v>
      </c>
      <c r="D52" s="876" t="s">
        <v>19777</v>
      </c>
      <c r="E52" s="345" t="s">
        <v>13047</v>
      </c>
      <c r="F52" s="345" t="s">
        <v>29</v>
      </c>
      <c r="G52" s="875" t="s">
        <v>37</v>
      </c>
      <c r="H52" s="342"/>
      <c r="I52" s="345" t="s">
        <v>38</v>
      </c>
      <c r="J52" s="345">
        <v>150.0</v>
      </c>
      <c r="K52" s="875"/>
      <c r="L52" s="345" t="s">
        <v>31</v>
      </c>
      <c r="M52" s="875" t="s">
        <v>2698</v>
      </c>
      <c r="N52" s="345">
        <v>2011.0</v>
      </c>
      <c r="O52" s="875" t="s">
        <v>388</v>
      </c>
      <c r="P52" s="345">
        <v>1.0</v>
      </c>
      <c r="Q52" s="874">
        <v>1.0</v>
      </c>
      <c r="R52" s="863"/>
      <c r="S52" s="858"/>
      <c r="T52" s="858"/>
      <c r="U52" s="858"/>
      <c r="V52" s="858"/>
      <c r="W52" s="858"/>
      <c r="X52" s="858"/>
      <c r="Y52" s="858"/>
      <c r="Z52" s="858"/>
      <c r="AA52" s="858"/>
      <c r="AB52" s="858"/>
      <c r="AC52" s="858"/>
      <c r="AD52" s="858"/>
      <c r="AE52" s="858"/>
      <c r="AF52" s="858"/>
      <c r="AG52" s="858"/>
      <c r="AH52" s="858"/>
      <c r="AI52" s="858"/>
      <c r="AJ52" s="858"/>
    </row>
    <row r="53" ht="15.75" customHeight="1">
      <c r="A53" s="342">
        <v>43.0</v>
      </c>
      <c r="B53" s="875" t="s">
        <v>19775</v>
      </c>
      <c r="C53" s="875" t="s">
        <v>19776</v>
      </c>
      <c r="D53" s="876" t="s">
        <v>19778</v>
      </c>
      <c r="E53" s="345" t="s">
        <v>13047</v>
      </c>
      <c r="F53" s="345" t="s">
        <v>29</v>
      </c>
      <c r="G53" s="875" t="s">
        <v>37</v>
      </c>
      <c r="H53" s="342"/>
      <c r="I53" s="345" t="s">
        <v>38</v>
      </c>
      <c r="J53" s="345">
        <v>146.0</v>
      </c>
      <c r="K53" s="875"/>
      <c r="L53" s="345" t="s">
        <v>19779</v>
      </c>
      <c r="M53" s="875" t="s">
        <v>19780</v>
      </c>
      <c r="N53" s="345">
        <v>2012.0</v>
      </c>
      <c r="O53" s="875" t="s">
        <v>388</v>
      </c>
      <c r="P53" s="345">
        <v>1.0</v>
      </c>
      <c r="Q53" s="874">
        <v>1.0</v>
      </c>
      <c r="R53" s="863"/>
      <c r="S53" s="858"/>
      <c r="T53" s="858"/>
      <c r="U53" s="858"/>
      <c r="V53" s="858"/>
      <c r="W53" s="858"/>
      <c r="X53" s="858"/>
      <c r="Y53" s="858"/>
      <c r="Z53" s="858"/>
      <c r="AA53" s="858"/>
      <c r="AB53" s="858"/>
      <c r="AC53" s="858"/>
      <c r="AD53" s="858"/>
      <c r="AE53" s="858"/>
      <c r="AF53" s="858"/>
      <c r="AG53" s="858"/>
      <c r="AH53" s="858"/>
      <c r="AI53" s="858"/>
      <c r="AJ53" s="858"/>
    </row>
    <row r="54" ht="15.75" customHeight="1">
      <c r="A54" s="342">
        <v>44.0</v>
      </c>
      <c r="B54" s="875" t="s">
        <v>19775</v>
      </c>
      <c r="C54" s="875" t="s">
        <v>19776</v>
      </c>
      <c r="D54" s="876" t="s">
        <v>19781</v>
      </c>
      <c r="E54" s="345" t="s">
        <v>13047</v>
      </c>
      <c r="F54" s="345" t="s">
        <v>29</v>
      </c>
      <c r="G54" s="875" t="s">
        <v>37</v>
      </c>
      <c r="H54" s="342"/>
      <c r="I54" s="345" t="s">
        <v>38</v>
      </c>
      <c r="J54" s="345">
        <v>152.0</v>
      </c>
      <c r="K54" s="875"/>
      <c r="L54" s="345" t="s">
        <v>31</v>
      </c>
      <c r="M54" s="875" t="s">
        <v>19780</v>
      </c>
      <c r="N54" s="345">
        <v>2012.0</v>
      </c>
      <c r="O54" s="875" t="s">
        <v>388</v>
      </c>
      <c r="P54" s="345">
        <v>1.0</v>
      </c>
      <c r="Q54" s="874">
        <v>1.0</v>
      </c>
      <c r="R54" s="863"/>
      <c r="S54" s="858"/>
      <c r="T54" s="858"/>
      <c r="U54" s="858"/>
      <c r="V54" s="858"/>
      <c r="W54" s="858"/>
      <c r="X54" s="858"/>
      <c r="Y54" s="858"/>
      <c r="Z54" s="858"/>
      <c r="AA54" s="858"/>
      <c r="AB54" s="858"/>
      <c r="AC54" s="858"/>
      <c r="AD54" s="858"/>
      <c r="AE54" s="858"/>
      <c r="AF54" s="858"/>
      <c r="AG54" s="858"/>
      <c r="AH54" s="858"/>
      <c r="AI54" s="858"/>
      <c r="AJ54" s="858"/>
    </row>
    <row r="55" ht="15.75" customHeight="1">
      <c r="A55" s="342">
        <v>45.0</v>
      </c>
      <c r="B55" s="875" t="s">
        <v>19775</v>
      </c>
      <c r="C55" s="875" t="s">
        <v>19776</v>
      </c>
      <c r="D55" s="876" t="s">
        <v>19782</v>
      </c>
      <c r="E55" s="345" t="s">
        <v>13047</v>
      </c>
      <c r="F55" s="345" t="s">
        <v>29</v>
      </c>
      <c r="G55" s="875" t="s">
        <v>37</v>
      </c>
      <c r="H55" s="342"/>
      <c r="I55" s="345" t="s">
        <v>38</v>
      </c>
      <c r="J55" s="345">
        <v>152.0</v>
      </c>
      <c r="K55" s="875"/>
      <c r="L55" s="345" t="s">
        <v>31</v>
      </c>
      <c r="M55" s="875" t="s">
        <v>19780</v>
      </c>
      <c r="N55" s="345">
        <v>2012.0</v>
      </c>
      <c r="O55" s="875" t="s">
        <v>388</v>
      </c>
      <c r="P55" s="345">
        <v>1.0</v>
      </c>
      <c r="Q55" s="874">
        <v>1.0</v>
      </c>
      <c r="R55" s="863"/>
      <c r="S55" s="858"/>
      <c r="T55" s="858"/>
      <c r="U55" s="858"/>
      <c r="V55" s="858"/>
      <c r="W55" s="858"/>
      <c r="X55" s="858"/>
      <c r="Y55" s="858"/>
      <c r="Z55" s="858"/>
      <c r="AA55" s="858"/>
      <c r="AB55" s="858"/>
      <c r="AC55" s="858"/>
      <c r="AD55" s="858"/>
      <c r="AE55" s="858"/>
      <c r="AF55" s="858"/>
      <c r="AG55" s="858"/>
      <c r="AH55" s="858"/>
      <c r="AI55" s="858"/>
      <c r="AJ55" s="858"/>
    </row>
    <row r="56" ht="15.75" customHeight="1">
      <c r="A56" s="342">
        <v>46.0</v>
      </c>
      <c r="B56" s="875" t="s">
        <v>19775</v>
      </c>
      <c r="C56" s="875" t="s">
        <v>19776</v>
      </c>
      <c r="D56" s="876" t="s">
        <v>19783</v>
      </c>
      <c r="E56" s="345" t="s">
        <v>13047</v>
      </c>
      <c r="F56" s="345" t="s">
        <v>29</v>
      </c>
      <c r="G56" s="875" t="s">
        <v>37</v>
      </c>
      <c r="H56" s="342"/>
      <c r="I56" s="345" t="s">
        <v>38</v>
      </c>
      <c r="J56" s="345">
        <v>160.0</v>
      </c>
      <c r="K56" s="875"/>
      <c r="L56" s="345" t="s">
        <v>31</v>
      </c>
      <c r="M56" s="875" t="s">
        <v>19780</v>
      </c>
      <c r="N56" s="345">
        <v>2011.0</v>
      </c>
      <c r="O56" s="875" t="s">
        <v>388</v>
      </c>
      <c r="P56" s="345">
        <v>1.0</v>
      </c>
      <c r="Q56" s="874">
        <v>1.0</v>
      </c>
      <c r="R56" s="863"/>
      <c r="S56" s="858"/>
      <c r="T56" s="858"/>
      <c r="U56" s="858"/>
      <c r="V56" s="858"/>
      <c r="W56" s="858"/>
      <c r="X56" s="858"/>
      <c r="Y56" s="858"/>
      <c r="Z56" s="858"/>
      <c r="AA56" s="858"/>
      <c r="AB56" s="858"/>
      <c r="AC56" s="858"/>
      <c r="AD56" s="858"/>
      <c r="AE56" s="858"/>
      <c r="AF56" s="858"/>
      <c r="AG56" s="858"/>
      <c r="AH56" s="858"/>
      <c r="AI56" s="858"/>
      <c r="AJ56" s="858"/>
    </row>
    <row r="57" ht="15.75" customHeight="1">
      <c r="A57" s="342">
        <v>47.0</v>
      </c>
      <c r="B57" s="875" t="s">
        <v>19775</v>
      </c>
      <c r="C57" s="875" t="s">
        <v>19776</v>
      </c>
      <c r="D57" s="876" t="s">
        <v>19784</v>
      </c>
      <c r="E57" s="345" t="s">
        <v>13047</v>
      </c>
      <c r="F57" s="345" t="s">
        <v>29</v>
      </c>
      <c r="G57" s="875" t="s">
        <v>37</v>
      </c>
      <c r="H57" s="342"/>
      <c r="I57" s="345" t="s">
        <v>38</v>
      </c>
      <c r="J57" s="345">
        <v>146.0</v>
      </c>
      <c r="K57" s="875"/>
      <c r="L57" s="345" t="s">
        <v>31</v>
      </c>
      <c r="M57" s="875" t="s">
        <v>19780</v>
      </c>
      <c r="N57" s="345">
        <v>2011.0</v>
      </c>
      <c r="O57" s="875" t="s">
        <v>388</v>
      </c>
      <c r="P57" s="345">
        <v>1.0</v>
      </c>
      <c r="Q57" s="874">
        <v>1.0</v>
      </c>
      <c r="R57" s="863"/>
      <c r="S57" s="858"/>
      <c r="T57" s="858"/>
      <c r="U57" s="858"/>
      <c r="V57" s="858"/>
      <c r="W57" s="858"/>
      <c r="X57" s="858"/>
      <c r="Y57" s="858"/>
      <c r="Z57" s="858"/>
      <c r="AA57" s="858"/>
      <c r="AB57" s="858"/>
      <c r="AC57" s="858"/>
      <c r="AD57" s="858"/>
      <c r="AE57" s="858"/>
      <c r="AF57" s="858"/>
      <c r="AG57" s="858"/>
      <c r="AH57" s="858"/>
      <c r="AI57" s="858"/>
      <c r="AJ57" s="858"/>
    </row>
    <row r="58" ht="15.75" customHeight="1">
      <c r="A58" s="342">
        <v>48.0</v>
      </c>
      <c r="B58" s="875" t="s">
        <v>19775</v>
      </c>
      <c r="C58" s="875" t="s">
        <v>19776</v>
      </c>
      <c r="D58" s="876" t="s">
        <v>19785</v>
      </c>
      <c r="E58" s="345" t="s">
        <v>13047</v>
      </c>
      <c r="F58" s="345" t="s">
        <v>29</v>
      </c>
      <c r="G58" s="875" t="s">
        <v>37</v>
      </c>
      <c r="H58" s="342"/>
      <c r="I58" s="345" t="s">
        <v>38</v>
      </c>
      <c r="J58" s="345">
        <v>156.0</v>
      </c>
      <c r="K58" s="875"/>
      <c r="L58" s="345" t="s">
        <v>31</v>
      </c>
      <c r="M58" s="875" t="s">
        <v>19780</v>
      </c>
      <c r="N58" s="345">
        <v>2011.0</v>
      </c>
      <c r="O58" s="875" t="s">
        <v>388</v>
      </c>
      <c r="P58" s="345">
        <v>1.0</v>
      </c>
      <c r="Q58" s="874">
        <v>1.0</v>
      </c>
      <c r="R58" s="863"/>
      <c r="S58" s="858"/>
      <c r="T58" s="858"/>
      <c r="U58" s="858"/>
      <c r="V58" s="858"/>
      <c r="W58" s="858"/>
      <c r="X58" s="858"/>
      <c r="Y58" s="858"/>
      <c r="Z58" s="858"/>
      <c r="AA58" s="858"/>
      <c r="AB58" s="858"/>
      <c r="AC58" s="858"/>
      <c r="AD58" s="858"/>
      <c r="AE58" s="858"/>
      <c r="AF58" s="858"/>
      <c r="AG58" s="858"/>
      <c r="AH58" s="858"/>
      <c r="AI58" s="858"/>
      <c r="AJ58" s="858"/>
    </row>
    <row r="59" ht="15.75" customHeight="1">
      <c r="A59" s="342">
        <v>49.0</v>
      </c>
      <c r="B59" s="875" t="s">
        <v>19775</v>
      </c>
      <c r="C59" s="875" t="s">
        <v>19776</v>
      </c>
      <c r="D59" s="876" t="s">
        <v>19786</v>
      </c>
      <c r="E59" s="345" t="s">
        <v>13047</v>
      </c>
      <c r="F59" s="345" t="s">
        <v>29</v>
      </c>
      <c r="G59" s="875" t="s">
        <v>37</v>
      </c>
      <c r="H59" s="342"/>
      <c r="I59" s="345" t="s">
        <v>38</v>
      </c>
      <c r="J59" s="345">
        <v>136.0</v>
      </c>
      <c r="K59" s="875"/>
      <c r="L59" s="345" t="s">
        <v>31</v>
      </c>
      <c r="M59" s="875" t="s">
        <v>19780</v>
      </c>
      <c r="N59" s="345">
        <v>2011.0</v>
      </c>
      <c r="O59" s="875" t="s">
        <v>388</v>
      </c>
      <c r="P59" s="345">
        <v>1.0</v>
      </c>
      <c r="Q59" s="874">
        <v>1.0</v>
      </c>
      <c r="R59" s="863"/>
      <c r="S59" s="858"/>
      <c r="T59" s="858"/>
      <c r="U59" s="858"/>
      <c r="V59" s="858"/>
      <c r="W59" s="858"/>
      <c r="X59" s="858"/>
      <c r="Y59" s="858"/>
      <c r="Z59" s="858"/>
      <c r="AA59" s="858"/>
      <c r="AB59" s="858"/>
      <c r="AC59" s="858"/>
      <c r="AD59" s="858"/>
      <c r="AE59" s="858"/>
      <c r="AF59" s="858"/>
      <c r="AG59" s="858"/>
      <c r="AH59" s="858"/>
      <c r="AI59" s="858"/>
      <c r="AJ59" s="858"/>
    </row>
    <row r="60" ht="15.75" customHeight="1">
      <c r="A60" s="342">
        <v>50.0</v>
      </c>
      <c r="B60" s="875" t="s">
        <v>19775</v>
      </c>
      <c r="C60" s="875" t="s">
        <v>19776</v>
      </c>
      <c r="D60" s="876" t="s">
        <v>19787</v>
      </c>
      <c r="E60" s="345" t="s">
        <v>13047</v>
      </c>
      <c r="F60" s="345" t="s">
        <v>29</v>
      </c>
      <c r="G60" s="875" t="s">
        <v>37</v>
      </c>
      <c r="H60" s="342"/>
      <c r="I60" s="345" t="s">
        <v>38</v>
      </c>
      <c r="J60" s="345">
        <v>148.0</v>
      </c>
      <c r="K60" s="875"/>
      <c r="L60" s="345" t="s">
        <v>31</v>
      </c>
      <c r="M60" s="875" t="s">
        <v>19780</v>
      </c>
      <c r="N60" s="345">
        <v>2011.0</v>
      </c>
      <c r="O60" s="875" t="s">
        <v>388</v>
      </c>
      <c r="P60" s="345">
        <v>1.0</v>
      </c>
      <c r="Q60" s="874">
        <v>1.0</v>
      </c>
      <c r="R60" s="863"/>
      <c r="S60" s="858"/>
      <c r="T60" s="858"/>
      <c r="U60" s="858"/>
      <c r="V60" s="858"/>
      <c r="W60" s="858"/>
      <c r="X60" s="858"/>
      <c r="Y60" s="858"/>
      <c r="Z60" s="858"/>
      <c r="AA60" s="858"/>
      <c r="AB60" s="858"/>
      <c r="AC60" s="858"/>
      <c r="AD60" s="858"/>
      <c r="AE60" s="858"/>
      <c r="AF60" s="858"/>
      <c r="AG60" s="858"/>
      <c r="AH60" s="858"/>
      <c r="AI60" s="858"/>
      <c r="AJ60" s="858"/>
    </row>
    <row r="61" ht="15.75" customHeight="1">
      <c r="A61" s="342">
        <v>51.0</v>
      </c>
      <c r="B61" s="875" t="s">
        <v>19775</v>
      </c>
      <c r="C61" s="875" t="s">
        <v>19776</v>
      </c>
      <c r="D61" s="876" t="s">
        <v>19788</v>
      </c>
      <c r="E61" s="345" t="s">
        <v>13047</v>
      </c>
      <c r="F61" s="345" t="s">
        <v>29</v>
      </c>
      <c r="G61" s="875" t="s">
        <v>37</v>
      </c>
      <c r="H61" s="342"/>
      <c r="I61" s="345" t="s">
        <v>38</v>
      </c>
      <c r="J61" s="345">
        <v>148.0</v>
      </c>
      <c r="K61" s="875"/>
      <c r="L61" s="345" t="s">
        <v>31</v>
      </c>
      <c r="M61" s="875" t="s">
        <v>19780</v>
      </c>
      <c r="N61" s="345">
        <v>2011.0</v>
      </c>
      <c r="O61" s="875" t="s">
        <v>388</v>
      </c>
      <c r="P61" s="345">
        <v>1.0</v>
      </c>
      <c r="Q61" s="874">
        <v>1.0</v>
      </c>
      <c r="R61" s="863"/>
      <c r="S61" s="858"/>
      <c r="T61" s="858"/>
      <c r="U61" s="858"/>
      <c r="V61" s="858"/>
      <c r="W61" s="858"/>
      <c r="X61" s="858"/>
      <c r="Y61" s="858"/>
      <c r="Z61" s="858"/>
      <c r="AA61" s="858"/>
      <c r="AB61" s="858"/>
      <c r="AC61" s="858"/>
      <c r="AD61" s="858"/>
      <c r="AE61" s="858"/>
      <c r="AF61" s="858"/>
      <c r="AG61" s="858"/>
      <c r="AH61" s="858"/>
      <c r="AI61" s="858"/>
      <c r="AJ61" s="858"/>
    </row>
    <row r="62" ht="15.75" customHeight="1">
      <c r="A62" s="342">
        <v>52.0</v>
      </c>
      <c r="B62" s="875" t="s">
        <v>19775</v>
      </c>
      <c r="C62" s="875" t="s">
        <v>19776</v>
      </c>
      <c r="D62" s="876" t="s">
        <v>19789</v>
      </c>
      <c r="E62" s="345" t="s">
        <v>13047</v>
      </c>
      <c r="F62" s="345" t="s">
        <v>29</v>
      </c>
      <c r="G62" s="875" t="s">
        <v>37</v>
      </c>
      <c r="H62" s="342"/>
      <c r="I62" s="345" t="s">
        <v>38</v>
      </c>
      <c r="J62" s="345">
        <v>152.0</v>
      </c>
      <c r="K62" s="875"/>
      <c r="L62" s="345" t="s">
        <v>31</v>
      </c>
      <c r="M62" s="875" t="s">
        <v>19780</v>
      </c>
      <c r="N62" s="345">
        <v>2011.0</v>
      </c>
      <c r="O62" s="875" t="s">
        <v>388</v>
      </c>
      <c r="P62" s="345">
        <v>1.0</v>
      </c>
      <c r="Q62" s="874">
        <v>1.0</v>
      </c>
      <c r="R62" s="863"/>
      <c r="S62" s="858"/>
      <c r="T62" s="858"/>
      <c r="U62" s="858"/>
      <c r="V62" s="858"/>
      <c r="W62" s="858"/>
      <c r="X62" s="858"/>
      <c r="Y62" s="858"/>
      <c r="Z62" s="858"/>
      <c r="AA62" s="858"/>
      <c r="AB62" s="858"/>
      <c r="AC62" s="858"/>
      <c r="AD62" s="858"/>
      <c r="AE62" s="858"/>
      <c r="AF62" s="858"/>
      <c r="AG62" s="858"/>
      <c r="AH62" s="858"/>
      <c r="AI62" s="858"/>
      <c r="AJ62" s="858"/>
    </row>
    <row r="63" ht="15.75" customHeight="1">
      <c r="A63" s="342">
        <v>53.0</v>
      </c>
      <c r="B63" s="875" t="s">
        <v>19775</v>
      </c>
      <c r="C63" s="875" t="s">
        <v>19776</v>
      </c>
      <c r="D63" s="876" t="s">
        <v>19790</v>
      </c>
      <c r="E63" s="345" t="s">
        <v>13047</v>
      </c>
      <c r="F63" s="345" t="s">
        <v>29</v>
      </c>
      <c r="G63" s="875" t="s">
        <v>37</v>
      </c>
      <c r="H63" s="342"/>
      <c r="I63" s="345" t="s">
        <v>38</v>
      </c>
      <c r="J63" s="345">
        <v>140.0</v>
      </c>
      <c r="K63" s="875"/>
      <c r="L63" s="345" t="s">
        <v>31</v>
      </c>
      <c r="M63" s="875" t="s">
        <v>19780</v>
      </c>
      <c r="N63" s="345">
        <v>2011.0</v>
      </c>
      <c r="O63" s="875" t="s">
        <v>388</v>
      </c>
      <c r="P63" s="345">
        <v>1.0</v>
      </c>
      <c r="Q63" s="874">
        <v>1.0</v>
      </c>
      <c r="R63" s="863"/>
      <c r="S63" s="858"/>
      <c r="T63" s="858"/>
      <c r="U63" s="858"/>
      <c r="V63" s="858"/>
      <c r="W63" s="858"/>
      <c r="X63" s="858"/>
      <c r="Y63" s="858"/>
      <c r="Z63" s="858"/>
      <c r="AA63" s="858"/>
      <c r="AB63" s="858"/>
      <c r="AC63" s="858"/>
      <c r="AD63" s="858"/>
      <c r="AE63" s="858"/>
      <c r="AF63" s="858"/>
      <c r="AG63" s="858"/>
      <c r="AH63" s="858"/>
      <c r="AI63" s="858"/>
      <c r="AJ63" s="858"/>
    </row>
    <row r="64" ht="15.75" customHeight="1">
      <c r="A64" s="342">
        <v>54.0</v>
      </c>
      <c r="B64" s="875" t="s">
        <v>19775</v>
      </c>
      <c r="C64" s="875" t="s">
        <v>19776</v>
      </c>
      <c r="D64" s="876" t="s">
        <v>19791</v>
      </c>
      <c r="E64" s="345" t="s">
        <v>13047</v>
      </c>
      <c r="F64" s="345" t="s">
        <v>29</v>
      </c>
      <c r="G64" s="875" t="s">
        <v>37</v>
      </c>
      <c r="H64" s="342"/>
      <c r="I64" s="345" t="s">
        <v>38</v>
      </c>
      <c r="J64" s="345">
        <v>148.0</v>
      </c>
      <c r="K64" s="875"/>
      <c r="L64" s="345" t="s">
        <v>31</v>
      </c>
      <c r="M64" s="875" t="s">
        <v>19780</v>
      </c>
      <c r="N64" s="345">
        <v>2011.0</v>
      </c>
      <c r="O64" s="875" t="s">
        <v>388</v>
      </c>
      <c r="P64" s="345">
        <v>1.0</v>
      </c>
      <c r="Q64" s="874">
        <v>1.0</v>
      </c>
      <c r="R64" s="863"/>
      <c r="S64" s="858"/>
      <c r="T64" s="858"/>
      <c r="U64" s="858"/>
      <c r="V64" s="858"/>
      <c r="W64" s="858"/>
      <c r="X64" s="858"/>
      <c r="Y64" s="858"/>
      <c r="Z64" s="858"/>
      <c r="AA64" s="858"/>
      <c r="AB64" s="858"/>
      <c r="AC64" s="858"/>
      <c r="AD64" s="858"/>
      <c r="AE64" s="858"/>
      <c r="AF64" s="858"/>
      <c r="AG64" s="858"/>
      <c r="AH64" s="858"/>
      <c r="AI64" s="858"/>
      <c r="AJ64" s="858"/>
    </row>
    <row r="65" ht="15.75" customHeight="1">
      <c r="A65" s="342">
        <v>55.0</v>
      </c>
      <c r="B65" s="875" t="s">
        <v>19775</v>
      </c>
      <c r="C65" s="875" t="s">
        <v>19776</v>
      </c>
      <c r="D65" s="876" t="s">
        <v>19792</v>
      </c>
      <c r="E65" s="345" t="s">
        <v>13047</v>
      </c>
      <c r="F65" s="345" t="s">
        <v>29</v>
      </c>
      <c r="G65" s="875" t="s">
        <v>37</v>
      </c>
      <c r="H65" s="342"/>
      <c r="I65" s="345" t="s">
        <v>38</v>
      </c>
      <c r="J65" s="345">
        <v>138.0</v>
      </c>
      <c r="K65" s="875"/>
      <c r="L65" s="345" t="s">
        <v>31</v>
      </c>
      <c r="M65" s="875" t="s">
        <v>19780</v>
      </c>
      <c r="N65" s="345">
        <v>2010.0</v>
      </c>
      <c r="O65" s="875" t="s">
        <v>388</v>
      </c>
      <c r="P65" s="345">
        <v>1.0</v>
      </c>
      <c r="Q65" s="874">
        <v>1.0</v>
      </c>
      <c r="R65" s="863"/>
      <c r="S65" s="858"/>
      <c r="T65" s="858"/>
      <c r="U65" s="858"/>
      <c r="V65" s="858"/>
      <c r="W65" s="858"/>
      <c r="X65" s="858"/>
      <c r="Y65" s="858"/>
      <c r="Z65" s="858"/>
      <c r="AA65" s="858"/>
      <c r="AB65" s="858"/>
      <c r="AC65" s="858"/>
      <c r="AD65" s="858"/>
      <c r="AE65" s="858"/>
      <c r="AF65" s="858"/>
      <c r="AG65" s="858"/>
      <c r="AH65" s="858"/>
      <c r="AI65" s="858"/>
      <c r="AJ65" s="858"/>
    </row>
    <row r="66" ht="15.75" customHeight="1">
      <c r="A66" s="342">
        <v>56.0</v>
      </c>
      <c r="B66" s="875" t="s">
        <v>19775</v>
      </c>
      <c r="C66" s="875" t="s">
        <v>19776</v>
      </c>
      <c r="D66" s="876" t="s">
        <v>19793</v>
      </c>
      <c r="E66" s="345" t="s">
        <v>13047</v>
      </c>
      <c r="F66" s="345" t="s">
        <v>29</v>
      </c>
      <c r="G66" s="875" t="s">
        <v>37</v>
      </c>
      <c r="H66" s="342"/>
      <c r="I66" s="345" t="s">
        <v>38</v>
      </c>
      <c r="J66" s="345">
        <v>144.0</v>
      </c>
      <c r="K66" s="875"/>
      <c r="L66" s="345" t="s">
        <v>31</v>
      </c>
      <c r="M66" s="875" t="s">
        <v>19780</v>
      </c>
      <c r="N66" s="345">
        <v>2011.0</v>
      </c>
      <c r="O66" s="875" t="s">
        <v>388</v>
      </c>
      <c r="P66" s="345">
        <v>1.0</v>
      </c>
      <c r="Q66" s="874">
        <v>1.0</v>
      </c>
      <c r="R66" s="863"/>
      <c r="S66" s="858"/>
      <c r="T66" s="858"/>
      <c r="U66" s="858"/>
      <c r="V66" s="858"/>
      <c r="W66" s="858"/>
      <c r="X66" s="858"/>
      <c r="Y66" s="858"/>
      <c r="Z66" s="858"/>
      <c r="AA66" s="858"/>
      <c r="AB66" s="858"/>
      <c r="AC66" s="858"/>
      <c r="AD66" s="858"/>
      <c r="AE66" s="858"/>
      <c r="AF66" s="858"/>
      <c r="AG66" s="858"/>
      <c r="AH66" s="858"/>
      <c r="AI66" s="858"/>
      <c r="AJ66" s="858"/>
    </row>
    <row r="67" ht="15.75" customHeight="1">
      <c r="A67" s="342">
        <v>57.0</v>
      </c>
      <c r="B67" s="875" t="s">
        <v>19775</v>
      </c>
      <c r="C67" s="875" t="s">
        <v>19776</v>
      </c>
      <c r="D67" s="876" t="s">
        <v>19794</v>
      </c>
      <c r="E67" s="345" t="s">
        <v>13047</v>
      </c>
      <c r="F67" s="345" t="s">
        <v>29</v>
      </c>
      <c r="G67" s="875" t="s">
        <v>37</v>
      </c>
      <c r="H67" s="342"/>
      <c r="I67" s="345" t="s">
        <v>38</v>
      </c>
      <c r="J67" s="345">
        <v>130.0</v>
      </c>
      <c r="K67" s="875"/>
      <c r="L67" s="345" t="s">
        <v>31</v>
      </c>
      <c r="M67" s="875" t="s">
        <v>19780</v>
      </c>
      <c r="N67" s="345">
        <v>2013.0</v>
      </c>
      <c r="O67" s="875" t="s">
        <v>388</v>
      </c>
      <c r="P67" s="345">
        <v>1.0</v>
      </c>
      <c r="Q67" s="874">
        <v>1.0</v>
      </c>
      <c r="R67" s="863"/>
      <c r="S67" s="858"/>
      <c r="T67" s="858"/>
      <c r="U67" s="858"/>
      <c r="V67" s="858"/>
      <c r="W67" s="858"/>
      <c r="X67" s="858"/>
      <c r="Y67" s="858"/>
      <c r="Z67" s="858"/>
      <c r="AA67" s="858"/>
      <c r="AB67" s="858"/>
      <c r="AC67" s="858"/>
      <c r="AD67" s="858"/>
      <c r="AE67" s="858"/>
      <c r="AF67" s="858"/>
      <c r="AG67" s="858"/>
      <c r="AH67" s="858"/>
      <c r="AI67" s="858"/>
      <c r="AJ67" s="858"/>
    </row>
    <row r="68" ht="15.75" customHeight="1">
      <c r="A68" s="342">
        <v>58.0</v>
      </c>
      <c r="B68" s="875" t="s">
        <v>19775</v>
      </c>
      <c r="C68" s="875" t="s">
        <v>19776</v>
      </c>
      <c r="D68" s="876" t="s">
        <v>19795</v>
      </c>
      <c r="E68" s="345" t="s">
        <v>13047</v>
      </c>
      <c r="F68" s="345" t="s">
        <v>29</v>
      </c>
      <c r="G68" s="875" t="s">
        <v>37</v>
      </c>
      <c r="H68" s="342"/>
      <c r="I68" s="345" t="s">
        <v>38</v>
      </c>
      <c r="J68" s="345">
        <v>146.0</v>
      </c>
      <c r="K68" s="875"/>
      <c r="L68" s="345" t="s">
        <v>31</v>
      </c>
      <c r="M68" s="875" t="s">
        <v>19780</v>
      </c>
      <c r="N68" s="345">
        <v>2012.0</v>
      </c>
      <c r="O68" s="875" t="s">
        <v>388</v>
      </c>
      <c r="P68" s="345">
        <v>1.0</v>
      </c>
      <c r="Q68" s="874">
        <v>1.0</v>
      </c>
      <c r="R68" s="863"/>
      <c r="S68" s="858"/>
      <c r="T68" s="858"/>
      <c r="U68" s="858"/>
      <c r="V68" s="858"/>
      <c r="W68" s="858"/>
      <c r="X68" s="858"/>
      <c r="Y68" s="858"/>
      <c r="Z68" s="858"/>
      <c r="AA68" s="858"/>
      <c r="AB68" s="858"/>
      <c r="AC68" s="858"/>
      <c r="AD68" s="858"/>
      <c r="AE68" s="858"/>
      <c r="AF68" s="858"/>
      <c r="AG68" s="858"/>
      <c r="AH68" s="858"/>
      <c r="AI68" s="858"/>
      <c r="AJ68" s="858"/>
    </row>
    <row r="69" ht="15.75" customHeight="1">
      <c r="A69" s="342">
        <v>59.0</v>
      </c>
      <c r="B69" s="875" t="s">
        <v>19775</v>
      </c>
      <c r="C69" s="875" t="s">
        <v>19776</v>
      </c>
      <c r="D69" s="876" t="s">
        <v>19796</v>
      </c>
      <c r="E69" s="345" t="s">
        <v>13047</v>
      </c>
      <c r="F69" s="345" t="s">
        <v>29</v>
      </c>
      <c r="G69" s="875" t="s">
        <v>37</v>
      </c>
      <c r="H69" s="342"/>
      <c r="I69" s="345" t="s">
        <v>38</v>
      </c>
      <c r="J69" s="345">
        <v>142.0</v>
      </c>
      <c r="K69" s="875"/>
      <c r="L69" s="345" t="s">
        <v>31</v>
      </c>
      <c r="M69" s="875" t="s">
        <v>19780</v>
      </c>
      <c r="N69" s="345">
        <v>2012.0</v>
      </c>
      <c r="O69" s="875" t="s">
        <v>388</v>
      </c>
      <c r="P69" s="345">
        <v>1.0</v>
      </c>
      <c r="Q69" s="874">
        <v>1.0</v>
      </c>
      <c r="R69" s="863"/>
      <c r="S69" s="858"/>
      <c r="T69" s="858"/>
      <c r="U69" s="858"/>
      <c r="V69" s="858"/>
      <c r="W69" s="858"/>
      <c r="X69" s="858"/>
      <c r="Y69" s="858"/>
      <c r="Z69" s="858"/>
      <c r="AA69" s="858"/>
      <c r="AB69" s="858"/>
      <c r="AC69" s="858"/>
      <c r="AD69" s="858"/>
      <c r="AE69" s="858"/>
      <c r="AF69" s="858"/>
      <c r="AG69" s="858"/>
      <c r="AH69" s="858"/>
      <c r="AI69" s="858"/>
      <c r="AJ69" s="858"/>
    </row>
    <row r="70" ht="15.75" customHeight="1">
      <c r="A70" s="342">
        <v>60.0</v>
      </c>
      <c r="B70" s="875" t="s">
        <v>19775</v>
      </c>
      <c r="C70" s="875" t="s">
        <v>19776</v>
      </c>
      <c r="D70" s="876" t="s">
        <v>19797</v>
      </c>
      <c r="E70" s="345" t="s">
        <v>13047</v>
      </c>
      <c r="F70" s="345" t="s">
        <v>29</v>
      </c>
      <c r="G70" s="875" t="s">
        <v>37</v>
      </c>
      <c r="H70" s="342"/>
      <c r="I70" s="345" t="s">
        <v>38</v>
      </c>
      <c r="J70" s="345">
        <v>144.0</v>
      </c>
      <c r="K70" s="875"/>
      <c r="L70" s="345" t="s">
        <v>31</v>
      </c>
      <c r="M70" s="875" t="s">
        <v>19780</v>
      </c>
      <c r="N70" s="345">
        <v>2012.0</v>
      </c>
      <c r="O70" s="875" t="s">
        <v>388</v>
      </c>
      <c r="P70" s="345">
        <v>1.0</v>
      </c>
      <c r="Q70" s="874">
        <v>1.0</v>
      </c>
      <c r="R70" s="863"/>
      <c r="S70" s="858"/>
      <c r="T70" s="858"/>
      <c r="U70" s="858"/>
      <c r="V70" s="858"/>
      <c r="W70" s="858"/>
      <c r="X70" s="858"/>
      <c r="Y70" s="858"/>
      <c r="Z70" s="858"/>
      <c r="AA70" s="858"/>
      <c r="AB70" s="858"/>
      <c r="AC70" s="858"/>
      <c r="AD70" s="858"/>
      <c r="AE70" s="858"/>
      <c r="AF70" s="858"/>
      <c r="AG70" s="858"/>
      <c r="AH70" s="858"/>
      <c r="AI70" s="858"/>
      <c r="AJ70" s="858"/>
    </row>
    <row r="71" ht="15.75" customHeight="1">
      <c r="A71" s="342">
        <v>61.0</v>
      </c>
      <c r="B71" s="875" t="s">
        <v>19775</v>
      </c>
      <c r="C71" s="875" t="s">
        <v>19776</v>
      </c>
      <c r="D71" s="876" t="s">
        <v>19798</v>
      </c>
      <c r="E71" s="345" t="s">
        <v>13047</v>
      </c>
      <c r="F71" s="345" t="s">
        <v>29</v>
      </c>
      <c r="G71" s="875" t="s">
        <v>37</v>
      </c>
      <c r="H71" s="342"/>
      <c r="I71" s="345" t="s">
        <v>38</v>
      </c>
      <c r="J71" s="345">
        <v>146.0</v>
      </c>
      <c r="K71" s="875"/>
      <c r="L71" s="345" t="s">
        <v>31</v>
      </c>
      <c r="M71" s="875" t="s">
        <v>19780</v>
      </c>
      <c r="N71" s="345">
        <v>2012.0</v>
      </c>
      <c r="O71" s="875" t="s">
        <v>388</v>
      </c>
      <c r="P71" s="345">
        <v>1.0</v>
      </c>
      <c r="Q71" s="874">
        <v>1.0</v>
      </c>
      <c r="R71" s="863"/>
      <c r="S71" s="858"/>
      <c r="T71" s="858"/>
      <c r="U71" s="858"/>
      <c r="V71" s="858"/>
      <c r="W71" s="858"/>
      <c r="X71" s="858"/>
      <c r="Y71" s="858"/>
      <c r="Z71" s="858"/>
      <c r="AA71" s="858"/>
      <c r="AB71" s="858"/>
      <c r="AC71" s="858"/>
      <c r="AD71" s="858"/>
      <c r="AE71" s="858"/>
      <c r="AF71" s="858"/>
      <c r="AG71" s="858"/>
      <c r="AH71" s="858"/>
      <c r="AI71" s="858"/>
      <c r="AJ71" s="858"/>
    </row>
    <row r="72" ht="15.75" customHeight="1">
      <c r="A72" s="342">
        <v>62.0</v>
      </c>
      <c r="B72" s="875" t="s">
        <v>19775</v>
      </c>
      <c r="C72" s="875" t="s">
        <v>19776</v>
      </c>
      <c r="D72" s="876" t="s">
        <v>19799</v>
      </c>
      <c r="E72" s="345" t="s">
        <v>13047</v>
      </c>
      <c r="F72" s="345" t="s">
        <v>29</v>
      </c>
      <c r="G72" s="875" t="s">
        <v>37</v>
      </c>
      <c r="H72" s="342"/>
      <c r="I72" s="345" t="s">
        <v>38</v>
      </c>
      <c r="J72" s="345">
        <v>146.0</v>
      </c>
      <c r="K72" s="875"/>
      <c r="L72" s="345" t="s">
        <v>31</v>
      </c>
      <c r="M72" s="875" t="s">
        <v>19780</v>
      </c>
      <c r="N72" s="345">
        <v>2012.0</v>
      </c>
      <c r="O72" s="875" t="s">
        <v>388</v>
      </c>
      <c r="P72" s="345">
        <v>1.0</v>
      </c>
      <c r="Q72" s="874">
        <v>1.0</v>
      </c>
      <c r="R72" s="863"/>
      <c r="S72" s="858"/>
      <c r="T72" s="858"/>
      <c r="U72" s="858"/>
      <c r="V72" s="858"/>
      <c r="W72" s="858"/>
      <c r="X72" s="858"/>
      <c r="Y72" s="858"/>
      <c r="Z72" s="858"/>
      <c r="AA72" s="858"/>
      <c r="AB72" s="858"/>
      <c r="AC72" s="858"/>
      <c r="AD72" s="858"/>
      <c r="AE72" s="858"/>
      <c r="AF72" s="858"/>
      <c r="AG72" s="858"/>
      <c r="AH72" s="858"/>
      <c r="AI72" s="858"/>
      <c r="AJ72" s="858"/>
    </row>
    <row r="73" ht="15.75" customHeight="1">
      <c r="A73" s="342">
        <v>63.0</v>
      </c>
      <c r="B73" s="875" t="s">
        <v>19775</v>
      </c>
      <c r="C73" s="875" t="s">
        <v>19776</v>
      </c>
      <c r="D73" s="876" t="s">
        <v>19800</v>
      </c>
      <c r="E73" s="345" t="s">
        <v>13047</v>
      </c>
      <c r="F73" s="345" t="s">
        <v>29</v>
      </c>
      <c r="G73" s="875" t="s">
        <v>37</v>
      </c>
      <c r="H73" s="342"/>
      <c r="I73" s="345" t="s">
        <v>38</v>
      </c>
      <c r="J73" s="345">
        <v>132.0</v>
      </c>
      <c r="K73" s="875"/>
      <c r="L73" s="345" t="s">
        <v>31</v>
      </c>
      <c r="M73" s="875" t="s">
        <v>19780</v>
      </c>
      <c r="N73" s="345">
        <v>2012.0</v>
      </c>
      <c r="O73" s="875" t="s">
        <v>388</v>
      </c>
      <c r="P73" s="345">
        <v>1.0</v>
      </c>
      <c r="Q73" s="874">
        <v>1.0</v>
      </c>
      <c r="R73" s="863"/>
      <c r="S73" s="858"/>
      <c r="T73" s="858"/>
      <c r="U73" s="858"/>
      <c r="V73" s="858"/>
      <c r="W73" s="858"/>
      <c r="X73" s="858"/>
      <c r="Y73" s="858"/>
      <c r="Z73" s="858"/>
      <c r="AA73" s="858"/>
      <c r="AB73" s="858"/>
      <c r="AC73" s="858"/>
      <c r="AD73" s="858"/>
      <c r="AE73" s="858"/>
      <c r="AF73" s="858"/>
      <c r="AG73" s="858"/>
      <c r="AH73" s="858"/>
      <c r="AI73" s="858"/>
      <c r="AJ73" s="858"/>
    </row>
    <row r="74" ht="15.75" customHeight="1">
      <c r="A74" s="342">
        <v>64.0</v>
      </c>
      <c r="B74" s="875" t="s">
        <v>19775</v>
      </c>
      <c r="C74" s="875" t="s">
        <v>19776</v>
      </c>
      <c r="D74" s="876" t="s">
        <v>19801</v>
      </c>
      <c r="E74" s="345" t="s">
        <v>13047</v>
      </c>
      <c r="F74" s="345" t="s">
        <v>29</v>
      </c>
      <c r="G74" s="875" t="s">
        <v>37</v>
      </c>
      <c r="H74" s="342"/>
      <c r="I74" s="345" t="s">
        <v>38</v>
      </c>
      <c r="J74" s="345">
        <v>142.0</v>
      </c>
      <c r="K74" s="875"/>
      <c r="L74" s="345" t="s">
        <v>31</v>
      </c>
      <c r="M74" s="875" t="s">
        <v>19780</v>
      </c>
      <c r="N74" s="345">
        <v>2012.0</v>
      </c>
      <c r="O74" s="875" t="s">
        <v>388</v>
      </c>
      <c r="P74" s="345">
        <v>1.0</v>
      </c>
      <c r="Q74" s="874">
        <v>1.0</v>
      </c>
      <c r="R74" s="863"/>
      <c r="S74" s="858"/>
      <c r="T74" s="858"/>
      <c r="U74" s="858"/>
      <c r="V74" s="858"/>
      <c r="W74" s="858"/>
      <c r="X74" s="858"/>
      <c r="Y74" s="858"/>
      <c r="Z74" s="858"/>
      <c r="AA74" s="858"/>
      <c r="AB74" s="858"/>
      <c r="AC74" s="858"/>
      <c r="AD74" s="858"/>
      <c r="AE74" s="858"/>
      <c r="AF74" s="858"/>
      <c r="AG74" s="858"/>
      <c r="AH74" s="858"/>
      <c r="AI74" s="858"/>
      <c r="AJ74" s="858"/>
    </row>
    <row r="75" ht="15.75" customHeight="1">
      <c r="A75" s="342">
        <v>65.0</v>
      </c>
      <c r="B75" s="875" t="s">
        <v>19775</v>
      </c>
      <c r="C75" s="875" t="s">
        <v>19776</v>
      </c>
      <c r="D75" s="876" t="s">
        <v>19802</v>
      </c>
      <c r="E75" s="345" t="s">
        <v>13047</v>
      </c>
      <c r="F75" s="345" t="s">
        <v>29</v>
      </c>
      <c r="G75" s="875" t="s">
        <v>37</v>
      </c>
      <c r="H75" s="342"/>
      <c r="I75" s="345" t="s">
        <v>38</v>
      </c>
      <c r="J75" s="345">
        <v>142.0</v>
      </c>
      <c r="K75" s="875"/>
      <c r="L75" s="345" t="s">
        <v>31</v>
      </c>
      <c r="M75" s="875" t="s">
        <v>19780</v>
      </c>
      <c r="N75" s="345">
        <v>2012.0</v>
      </c>
      <c r="O75" s="875" t="s">
        <v>388</v>
      </c>
      <c r="P75" s="345">
        <v>1.0</v>
      </c>
      <c r="Q75" s="874">
        <v>1.0</v>
      </c>
      <c r="R75" s="863"/>
      <c r="S75" s="858"/>
      <c r="T75" s="858"/>
      <c r="U75" s="858"/>
      <c r="V75" s="858"/>
      <c r="W75" s="858"/>
      <c r="X75" s="858"/>
      <c r="Y75" s="858"/>
      <c r="Z75" s="858"/>
      <c r="AA75" s="858"/>
      <c r="AB75" s="858"/>
      <c r="AC75" s="858"/>
      <c r="AD75" s="858"/>
      <c r="AE75" s="858"/>
      <c r="AF75" s="858"/>
      <c r="AG75" s="858"/>
      <c r="AH75" s="858"/>
      <c r="AI75" s="858"/>
      <c r="AJ75" s="858"/>
    </row>
    <row r="76" ht="15.75" customHeight="1">
      <c r="A76" s="342"/>
      <c r="B76" s="878" t="s">
        <v>19775</v>
      </c>
      <c r="C76" s="878" t="s">
        <v>19776</v>
      </c>
      <c r="D76" s="879" t="s">
        <v>19803</v>
      </c>
      <c r="E76" s="494" t="s">
        <v>13047</v>
      </c>
      <c r="F76" s="494" t="s">
        <v>29</v>
      </c>
      <c r="G76" s="878" t="s">
        <v>37</v>
      </c>
      <c r="H76" s="557"/>
      <c r="I76" s="494" t="s">
        <v>38</v>
      </c>
      <c r="J76" s="494">
        <v>142.0</v>
      </c>
      <c r="K76" s="878"/>
      <c r="L76" s="494" t="s">
        <v>31</v>
      </c>
      <c r="M76" s="878" t="s">
        <v>19780</v>
      </c>
      <c r="N76" s="494">
        <v>2012.0</v>
      </c>
      <c r="O76" s="878" t="s">
        <v>388</v>
      </c>
      <c r="P76" s="494">
        <v>1.0</v>
      </c>
      <c r="Q76" s="874">
        <v>1.0</v>
      </c>
      <c r="R76" s="863"/>
      <c r="S76" s="858"/>
      <c r="T76" s="858"/>
      <c r="U76" s="858"/>
      <c r="V76" s="858"/>
      <c r="W76" s="858"/>
      <c r="X76" s="858"/>
      <c r="Y76" s="858"/>
      <c r="Z76" s="858"/>
      <c r="AA76" s="858"/>
      <c r="AB76" s="858"/>
      <c r="AC76" s="858"/>
      <c r="AD76" s="858"/>
      <c r="AE76" s="858"/>
      <c r="AF76" s="858"/>
      <c r="AG76" s="858"/>
      <c r="AH76" s="858"/>
      <c r="AI76" s="858"/>
      <c r="AJ76" s="858"/>
    </row>
    <row r="77" ht="15.75" customHeight="1">
      <c r="A77" s="342"/>
      <c r="B77" s="878" t="s">
        <v>19804</v>
      </c>
      <c r="C77" s="878" t="s">
        <v>19805</v>
      </c>
      <c r="D77" s="879" t="s">
        <v>19806</v>
      </c>
      <c r="E77" s="494" t="s">
        <v>13047</v>
      </c>
      <c r="F77" s="494" t="s">
        <v>29</v>
      </c>
      <c r="G77" s="878" t="s">
        <v>30</v>
      </c>
      <c r="H77" s="557"/>
      <c r="I77" s="494" t="s">
        <v>30</v>
      </c>
      <c r="J77" s="494">
        <v>109.0</v>
      </c>
      <c r="K77" s="878"/>
      <c r="L77" s="494" t="s">
        <v>19807</v>
      </c>
      <c r="M77" s="878" t="s">
        <v>19808</v>
      </c>
      <c r="N77" s="494">
        <v>2017.0</v>
      </c>
      <c r="O77" s="878" t="s">
        <v>388</v>
      </c>
      <c r="P77" s="494">
        <v>1.0</v>
      </c>
      <c r="Q77" s="874">
        <v>1.0</v>
      </c>
      <c r="R77" s="863"/>
      <c r="S77" s="858"/>
      <c r="T77" s="858"/>
      <c r="U77" s="858"/>
      <c r="V77" s="858"/>
      <c r="W77" s="858"/>
      <c r="X77" s="858"/>
      <c r="Y77" s="858"/>
      <c r="Z77" s="858"/>
      <c r="AA77" s="858"/>
      <c r="AB77" s="858"/>
      <c r="AC77" s="858"/>
      <c r="AD77" s="858"/>
      <c r="AE77" s="858"/>
      <c r="AF77" s="858"/>
      <c r="AG77" s="858"/>
      <c r="AH77" s="858"/>
      <c r="AI77" s="858"/>
      <c r="AJ77" s="858"/>
    </row>
    <row r="78" ht="15.75" customHeight="1">
      <c r="A78" s="342">
        <v>66.0</v>
      </c>
      <c r="B78" s="875" t="s">
        <v>19804</v>
      </c>
      <c r="C78" s="875" t="s">
        <v>19805</v>
      </c>
      <c r="D78" s="876" t="s">
        <v>19809</v>
      </c>
      <c r="E78" s="345" t="s">
        <v>13047</v>
      </c>
      <c r="F78" s="345" t="s">
        <v>29</v>
      </c>
      <c r="G78" s="875" t="s">
        <v>30</v>
      </c>
      <c r="H78" s="342"/>
      <c r="I78" s="345" t="s">
        <v>30</v>
      </c>
      <c r="J78" s="345">
        <v>109.0</v>
      </c>
      <c r="K78" s="875"/>
      <c r="L78" s="345" t="s">
        <v>31</v>
      </c>
      <c r="M78" s="875" t="s">
        <v>19808</v>
      </c>
      <c r="N78" s="345">
        <v>2015.0</v>
      </c>
      <c r="O78" s="875" t="s">
        <v>388</v>
      </c>
      <c r="P78" s="345">
        <v>1.0</v>
      </c>
      <c r="Q78" s="874">
        <v>1.0</v>
      </c>
      <c r="R78" s="863"/>
      <c r="S78" s="858"/>
      <c r="T78" s="858"/>
      <c r="U78" s="858"/>
      <c r="V78" s="858"/>
      <c r="W78" s="858"/>
      <c r="X78" s="858"/>
      <c r="Y78" s="858"/>
      <c r="Z78" s="858"/>
      <c r="AA78" s="858"/>
      <c r="AB78" s="858"/>
      <c r="AC78" s="858"/>
      <c r="AD78" s="858"/>
      <c r="AE78" s="858"/>
      <c r="AF78" s="858"/>
      <c r="AG78" s="858"/>
      <c r="AH78" s="858"/>
      <c r="AI78" s="858"/>
      <c r="AJ78" s="858"/>
    </row>
    <row r="79" ht="15.75" customHeight="1">
      <c r="A79" s="342">
        <v>67.0</v>
      </c>
      <c r="B79" s="875" t="s">
        <v>19804</v>
      </c>
      <c r="C79" s="875" t="s">
        <v>19805</v>
      </c>
      <c r="D79" s="876" t="s">
        <v>19810</v>
      </c>
      <c r="E79" s="345" t="s">
        <v>13047</v>
      </c>
      <c r="F79" s="345" t="s">
        <v>29</v>
      </c>
      <c r="G79" s="875" t="s">
        <v>30</v>
      </c>
      <c r="H79" s="342"/>
      <c r="I79" s="345" t="s">
        <v>30</v>
      </c>
      <c r="J79" s="345">
        <v>99.0</v>
      </c>
      <c r="K79" s="875"/>
      <c r="L79" s="345" t="s">
        <v>31</v>
      </c>
      <c r="M79" s="875" t="s">
        <v>19808</v>
      </c>
      <c r="N79" s="345">
        <v>2015.0</v>
      </c>
      <c r="O79" s="875" t="s">
        <v>388</v>
      </c>
      <c r="P79" s="345">
        <v>1.0</v>
      </c>
      <c r="Q79" s="874">
        <v>1.0</v>
      </c>
      <c r="R79" s="863"/>
      <c r="S79" s="858"/>
      <c r="T79" s="858"/>
      <c r="U79" s="858"/>
      <c r="V79" s="858"/>
      <c r="W79" s="858"/>
      <c r="X79" s="858"/>
      <c r="Y79" s="858"/>
      <c r="Z79" s="858"/>
      <c r="AA79" s="858"/>
      <c r="AB79" s="858"/>
      <c r="AC79" s="858"/>
      <c r="AD79" s="858"/>
      <c r="AE79" s="858"/>
      <c r="AF79" s="858"/>
      <c r="AG79" s="858"/>
      <c r="AH79" s="858"/>
      <c r="AI79" s="858"/>
      <c r="AJ79" s="858"/>
    </row>
    <row r="80" ht="15.75" customHeight="1">
      <c r="A80" s="342">
        <v>68.0</v>
      </c>
      <c r="B80" s="875" t="s">
        <v>19804</v>
      </c>
      <c r="C80" s="875" t="s">
        <v>19805</v>
      </c>
      <c r="D80" s="876" t="s">
        <v>19811</v>
      </c>
      <c r="E80" s="345" t="s">
        <v>13047</v>
      </c>
      <c r="F80" s="345" t="s">
        <v>29</v>
      </c>
      <c r="G80" s="875" t="s">
        <v>30</v>
      </c>
      <c r="H80" s="342"/>
      <c r="I80" s="345" t="s">
        <v>30</v>
      </c>
      <c r="J80" s="345">
        <f>210-101</f>
        <v>109</v>
      </c>
      <c r="K80" s="875"/>
      <c r="L80" s="345" t="s">
        <v>31</v>
      </c>
      <c r="M80" s="875" t="s">
        <v>19808</v>
      </c>
      <c r="N80" s="345">
        <v>2015.0</v>
      </c>
      <c r="O80" s="875" t="s">
        <v>388</v>
      </c>
      <c r="P80" s="345">
        <v>1.0</v>
      </c>
      <c r="Q80" s="874">
        <v>1.0</v>
      </c>
      <c r="R80" s="863"/>
      <c r="S80" s="858"/>
      <c r="T80" s="858"/>
      <c r="U80" s="858"/>
      <c r="V80" s="858"/>
      <c r="W80" s="858"/>
      <c r="X80" s="858"/>
      <c r="Y80" s="858"/>
      <c r="Z80" s="858"/>
      <c r="AA80" s="858"/>
      <c r="AB80" s="858"/>
      <c r="AC80" s="858"/>
      <c r="AD80" s="858"/>
      <c r="AE80" s="858"/>
      <c r="AF80" s="858"/>
      <c r="AG80" s="858"/>
      <c r="AH80" s="858"/>
      <c r="AI80" s="858"/>
      <c r="AJ80" s="858"/>
    </row>
    <row r="81" ht="15.75" customHeight="1">
      <c r="A81" s="342">
        <v>69.0</v>
      </c>
      <c r="B81" s="875" t="s">
        <v>19812</v>
      </c>
      <c r="C81" s="875" t="s">
        <v>19813</v>
      </c>
      <c r="D81" s="876" t="s">
        <v>19814</v>
      </c>
      <c r="E81" s="345" t="s">
        <v>13047</v>
      </c>
      <c r="F81" s="345" t="s">
        <v>29</v>
      </c>
      <c r="G81" s="875" t="s">
        <v>30</v>
      </c>
      <c r="H81" s="342"/>
      <c r="I81" s="345" t="s">
        <v>30</v>
      </c>
      <c r="J81" s="345">
        <v>125.0</v>
      </c>
      <c r="K81" s="875"/>
      <c r="L81" s="345" t="s">
        <v>31</v>
      </c>
      <c r="M81" s="875" t="s">
        <v>19815</v>
      </c>
      <c r="N81" s="345">
        <v>2015.0</v>
      </c>
      <c r="O81" s="875" t="s">
        <v>388</v>
      </c>
      <c r="P81" s="345">
        <v>1.0</v>
      </c>
      <c r="Q81" s="874">
        <v>1.0</v>
      </c>
      <c r="R81" s="863"/>
      <c r="S81" s="858"/>
      <c r="T81" s="858"/>
      <c r="U81" s="858"/>
      <c r="V81" s="858"/>
      <c r="W81" s="858"/>
      <c r="X81" s="858"/>
      <c r="Y81" s="858"/>
      <c r="Z81" s="858"/>
      <c r="AA81" s="858"/>
      <c r="AB81" s="858"/>
      <c r="AC81" s="858"/>
      <c r="AD81" s="858"/>
      <c r="AE81" s="858"/>
      <c r="AF81" s="858"/>
      <c r="AG81" s="858"/>
      <c r="AH81" s="858"/>
      <c r="AI81" s="858"/>
      <c r="AJ81" s="858"/>
    </row>
    <row r="82" ht="15.75" customHeight="1">
      <c r="A82" s="342">
        <v>70.0</v>
      </c>
      <c r="B82" s="875" t="s">
        <v>19775</v>
      </c>
      <c r="C82" s="875" t="s">
        <v>19816</v>
      </c>
      <c r="D82" s="876" t="s">
        <v>19817</v>
      </c>
      <c r="E82" s="345" t="s">
        <v>13047</v>
      </c>
      <c r="F82" s="345" t="s">
        <v>29</v>
      </c>
      <c r="G82" s="875" t="s">
        <v>37</v>
      </c>
      <c r="H82" s="342"/>
      <c r="I82" s="345" t="s">
        <v>38</v>
      </c>
      <c r="J82" s="345">
        <v>130.0</v>
      </c>
      <c r="K82" s="875"/>
      <c r="L82" s="875" t="s">
        <v>31</v>
      </c>
      <c r="M82" s="875" t="s">
        <v>19780</v>
      </c>
      <c r="N82" s="345">
        <v>2015.0</v>
      </c>
      <c r="O82" s="875" t="s">
        <v>388</v>
      </c>
      <c r="P82" s="345">
        <v>1.0</v>
      </c>
      <c r="Q82" s="874">
        <v>1.0</v>
      </c>
      <c r="R82" s="863"/>
      <c r="S82" s="858"/>
      <c r="T82" s="858"/>
      <c r="U82" s="858"/>
      <c r="V82" s="858"/>
      <c r="W82" s="858"/>
      <c r="X82" s="858"/>
      <c r="Y82" s="858"/>
      <c r="Z82" s="858"/>
      <c r="AA82" s="858"/>
      <c r="AB82" s="858"/>
      <c r="AC82" s="858"/>
      <c r="AD82" s="858"/>
      <c r="AE82" s="858"/>
      <c r="AF82" s="858"/>
      <c r="AG82" s="858"/>
      <c r="AH82" s="858"/>
      <c r="AI82" s="858"/>
      <c r="AJ82" s="858"/>
    </row>
    <row r="83" ht="15.75" customHeight="1">
      <c r="A83" s="342">
        <v>71.0</v>
      </c>
      <c r="B83" s="875" t="s">
        <v>19775</v>
      </c>
      <c r="C83" s="875" t="s">
        <v>19816</v>
      </c>
      <c r="D83" s="876" t="s">
        <v>19818</v>
      </c>
      <c r="E83" s="345" t="s">
        <v>13047</v>
      </c>
      <c r="F83" s="345" t="s">
        <v>29</v>
      </c>
      <c r="G83" s="875" t="s">
        <v>37</v>
      </c>
      <c r="H83" s="342"/>
      <c r="I83" s="345" t="s">
        <v>38</v>
      </c>
      <c r="J83" s="345">
        <v>130.0</v>
      </c>
      <c r="K83" s="875"/>
      <c r="L83" s="875" t="s">
        <v>31</v>
      </c>
      <c r="M83" s="875" t="s">
        <v>19780</v>
      </c>
      <c r="N83" s="345">
        <v>2015.0</v>
      </c>
      <c r="O83" s="875" t="s">
        <v>388</v>
      </c>
      <c r="P83" s="345">
        <v>1.0</v>
      </c>
      <c r="Q83" s="874">
        <v>1.0</v>
      </c>
      <c r="R83" s="863"/>
      <c r="S83" s="858"/>
      <c r="T83" s="858"/>
      <c r="U83" s="858"/>
      <c r="V83" s="858"/>
      <c r="W83" s="858"/>
      <c r="X83" s="858"/>
      <c r="Y83" s="858"/>
      <c r="Z83" s="858"/>
      <c r="AA83" s="858"/>
      <c r="AB83" s="858"/>
      <c r="AC83" s="858"/>
      <c r="AD83" s="858"/>
      <c r="AE83" s="858"/>
      <c r="AF83" s="858"/>
      <c r="AG83" s="858"/>
      <c r="AH83" s="858"/>
      <c r="AI83" s="858"/>
      <c r="AJ83" s="858"/>
    </row>
    <row r="84" ht="15.75" customHeight="1">
      <c r="A84" s="342">
        <v>72.0</v>
      </c>
      <c r="B84" s="875" t="s">
        <v>19775</v>
      </c>
      <c r="C84" s="875" t="s">
        <v>19816</v>
      </c>
      <c r="D84" s="876" t="s">
        <v>19819</v>
      </c>
      <c r="E84" s="345" t="s">
        <v>13047</v>
      </c>
      <c r="F84" s="345" t="s">
        <v>29</v>
      </c>
      <c r="G84" s="875" t="s">
        <v>37</v>
      </c>
      <c r="H84" s="342"/>
      <c r="I84" s="345" t="s">
        <v>38</v>
      </c>
      <c r="J84" s="345">
        <v>130.0</v>
      </c>
      <c r="K84" s="875"/>
      <c r="L84" s="875" t="s">
        <v>31</v>
      </c>
      <c r="M84" s="875" t="s">
        <v>19780</v>
      </c>
      <c r="N84" s="345">
        <v>2015.0</v>
      </c>
      <c r="O84" s="875" t="s">
        <v>388</v>
      </c>
      <c r="P84" s="345">
        <v>1.0</v>
      </c>
      <c r="Q84" s="874">
        <v>1.0</v>
      </c>
      <c r="R84" s="863"/>
      <c r="S84" s="858"/>
      <c r="T84" s="858"/>
      <c r="U84" s="858"/>
      <c r="V84" s="858"/>
      <c r="W84" s="858"/>
      <c r="X84" s="858"/>
      <c r="Y84" s="858"/>
      <c r="Z84" s="858"/>
      <c r="AA84" s="858"/>
      <c r="AB84" s="858"/>
      <c r="AC84" s="858"/>
      <c r="AD84" s="858"/>
      <c r="AE84" s="858"/>
      <c r="AF84" s="858"/>
      <c r="AG84" s="858"/>
      <c r="AH84" s="858"/>
      <c r="AI84" s="858"/>
      <c r="AJ84" s="858"/>
    </row>
    <row r="85" ht="15.75" customHeight="1">
      <c r="A85" s="342">
        <v>73.0</v>
      </c>
      <c r="B85" s="875" t="s">
        <v>19775</v>
      </c>
      <c r="C85" s="875" t="s">
        <v>19816</v>
      </c>
      <c r="D85" s="876" t="s">
        <v>19820</v>
      </c>
      <c r="E85" s="345" t="s">
        <v>13047</v>
      </c>
      <c r="F85" s="345" t="s">
        <v>29</v>
      </c>
      <c r="G85" s="875" t="s">
        <v>37</v>
      </c>
      <c r="H85" s="342"/>
      <c r="I85" s="345" t="s">
        <v>38</v>
      </c>
      <c r="J85" s="345">
        <v>130.0</v>
      </c>
      <c r="K85" s="875"/>
      <c r="L85" s="875" t="s">
        <v>31</v>
      </c>
      <c r="M85" s="875" t="s">
        <v>19780</v>
      </c>
      <c r="N85" s="345">
        <v>2015.0</v>
      </c>
      <c r="O85" s="875" t="s">
        <v>388</v>
      </c>
      <c r="P85" s="345">
        <v>1.0</v>
      </c>
      <c r="Q85" s="874">
        <v>1.0</v>
      </c>
      <c r="R85" s="863"/>
      <c r="S85" s="858"/>
      <c r="T85" s="858"/>
      <c r="U85" s="858"/>
      <c r="V85" s="858"/>
      <c r="W85" s="858"/>
      <c r="X85" s="858"/>
      <c r="Y85" s="858"/>
      <c r="Z85" s="858"/>
      <c r="AA85" s="858"/>
      <c r="AB85" s="858"/>
      <c r="AC85" s="858"/>
      <c r="AD85" s="858"/>
      <c r="AE85" s="858"/>
      <c r="AF85" s="858"/>
      <c r="AG85" s="858"/>
      <c r="AH85" s="858"/>
      <c r="AI85" s="858"/>
      <c r="AJ85" s="858"/>
    </row>
    <row r="86" ht="15.75" customHeight="1">
      <c r="A86" s="342">
        <v>74.0</v>
      </c>
      <c r="B86" s="875" t="s">
        <v>19775</v>
      </c>
      <c r="C86" s="875" t="s">
        <v>19816</v>
      </c>
      <c r="D86" s="876" t="s">
        <v>19821</v>
      </c>
      <c r="E86" s="345" t="s">
        <v>13047</v>
      </c>
      <c r="F86" s="345" t="s">
        <v>29</v>
      </c>
      <c r="G86" s="875" t="s">
        <v>37</v>
      </c>
      <c r="H86" s="342"/>
      <c r="I86" s="345" t="s">
        <v>38</v>
      </c>
      <c r="J86" s="345">
        <v>130.0</v>
      </c>
      <c r="K86" s="875"/>
      <c r="L86" s="875" t="s">
        <v>31</v>
      </c>
      <c r="M86" s="875" t="s">
        <v>19780</v>
      </c>
      <c r="N86" s="345">
        <v>2015.0</v>
      </c>
      <c r="O86" s="875" t="s">
        <v>388</v>
      </c>
      <c r="P86" s="345">
        <v>1.0</v>
      </c>
      <c r="Q86" s="874">
        <v>1.0</v>
      </c>
      <c r="R86" s="863"/>
      <c r="S86" s="858"/>
      <c r="T86" s="858"/>
      <c r="U86" s="858"/>
      <c r="V86" s="858"/>
      <c r="W86" s="858"/>
      <c r="X86" s="858"/>
      <c r="Y86" s="858"/>
      <c r="Z86" s="858"/>
      <c r="AA86" s="858"/>
      <c r="AB86" s="858"/>
      <c r="AC86" s="858"/>
      <c r="AD86" s="858"/>
      <c r="AE86" s="858"/>
      <c r="AF86" s="858"/>
      <c r="AG86" s="858"/>
      <c r="AH86" s="858"/>
      <c r="AI86" s="858"/>
      <c r="AJ86" s="858"/>
    </row>
    <row r="87" ht="15.75" customHeight="1">
      <c r="A87" s="342">
        <v>75.0</v>
      </c>
      <c r="B87" s="875" t="s">
        <v>19775</v>
      </c>
      <c r="C87" s="875" t="s">
        <v>19816</v>
      </c>
      <c r="D87" s="876" t="s">
        <v>19822</v>
      </c>
      <c r="E87" s="345" t="s">
        <v>13047</v>
      </c>
      <c r="F87" s="345" t="s">
        <v>29</v>
      </c>
      <c r="G87" s="875" t="s">
        <v>37</v>
      </c>
      <c r="H87" s="342"/>
      <c r="I87" s="345" t="s">
        <v>38</v>
      </c>
      <c r="J87" s="345">
        <v>130.0</v>
      </c>
      <c r="K87" s="875"/>
      <c r="L87" s="875" t="s">
        <v>31</v>
      </c>
      <c r="M87" s="875" t="s">
        <v>19780</v>
      </c>
      <c r="N87" s="345">
        <v>2015.0</v>
      </c>
      <c r="O87" s="875" t="s">
        <v>388</v>
      </c>
      <c r="P87" s="345">
        <v>1.0</v>
      </c>
      <c r="Q87" s="874">
        <v>1.0</v>
      </c>
      <c r="R87" s="863"/>
      <c r="S87" s="858"/>
      <c r="T87" s="858"/>
      <c r="U87" s="858"/>
      <c r="V87" s="858"/>
      <c r="W87" s="858"/>
      <c r="X87" s="858"/>
      <c r="Y87" s="858"/>
      <c r="Z87" s="858"/>
      <c r="AA87" s="858"/>
      <c r="AB87" s="858"/>
      <c r="AC87" s="858"/>
      <c r="AD87" s="858"/>
      <c r="AE87" s="858"/>
      <c r="AF87" s="858"/>
      <c r="AG87" s="858"/>
      <c r="AH87" s="858"/>
      <c r="AI87" s="858"/>
      <c r="AJ87" s="858"/>
    </row>
    <row r="88" ht="15.75" customHeight="1">
      <c r="A88" s="342">
        <v>76.0</v>
      </c>
      <c r="B88" s="875" t="s">
        <v>19775</v>
      </c>
      <c r="C88" s="875" t="s">
        <v>19816</v>
      </c>
      <c r="D88" s="876" t="s">
        <v>19823</v>
      </c>
      <c r="E88" s="345" t="s">
        <v>13047</v>
      </c>
      <c r="F88" s="345" t="s">
        <v>29</v>
      </c>
      <c r="G88" s="875" t="s">
        <v>37</v>
      </c>
      <c r="H88" s="342"/>
      <c r="I88" s="345" t="s">
        <v>38</v>
      </c>
      <c r="J88" s="345">
        <v>130.0</v>
      </c>
      <c r="K88" s="875"/>
      <c r="L88" s="875" t="s">
        <v>31</v>
      </c>
      <c r="M88" s="875" t="s">
        <v>19780</v>
      </c>
      <c r="N88" s="345">
        <v>2015.0</v>
      </c>
      <c r="O88" s="875" t="s">
        <v>388</v>
      </c>
      <c r="P88" s="345">
        <v>1.0</v>
      </c>
      <c r="Q88" s="874">
        <v>1.0</v>
      </c>
      <c r="R88" s="863"/>
      <c r="S88" s="858"/>
      <c r="T88" s="858"/>
      <c r="U88" s="858"/>
      <c r="V88" s="858"/>
      <c r="W88" s="858"/>
      <c r="X88" s="858"/>
      <c r="Y88" s="858"/>
      <c r="Z88" s="858"/>
      <c r="AA88" s="858"/>
      <c r="AB88" s="858"/>
      <c r="AC88" s="858"/>
      <c r="AD88" s="858"/>
      <c r="AE88" s="858"/>
      <c r="AF88" s="858"/>
      <c r="AG88" s="858"/>
      <c r="AH88" s="858"/>
      <c r="AI88" s="858"/>
      <c r="AJ88" s="858"/>
    </row>
    <row r="89" ht="15.75" customHeight="1">
      <c r="A89" s="342">
        <v>77.0</v>
      </c>
      <c r="B89" s="875" t="s">
        <v>19775</v>
      </c>
      <c r="C89" s="875" t="s">
        <v>19816</v>
      </c>
      <c r="D89" s="876" t="s">
        <v>19824</v>
      </c>
      <c r="E89" s="345" t="s">
        <v>13047</v>
      </c>
      <c r="F89" s="345" t="s">
        <v>29</v>
      </c>
      <c r="G89" s="875" t="s">
        <v>37</v>
      </c>
      <c r="H89" s="342"/>
      <c r="I89" s="345" t="s">
        <v>38</v>
      </c>
      <c r="J89" s="345">
        <v>130.0</v>
      </c>
      <c r="K89" s="875"/>
      <c r="L89" s="875" t="s">
        <v>31</v>
      </c>
      <c r="M89" s="875" t="s">
        <v>19780</v>
      </c>
      <c r="N89" s="345">
        <v>2015.0</v>
      </c>
      <c r="O89" s="875" t="s">
        <v>388</v>
      </c>
      <c r="P89" s="345">
        <v>1.0</v>
      </c>
      <c r="Q89" s="874">
        <v>1.0</v>
      </c>
      <c r="R89" s="863"/>
      <c r="S89" s="858"/>
      <c r="T89" s="858"/>
      <c r="U89" s="858"/>
      <c r="V89" s="858"/>
      <c r="W89" s="858"/>
      <c r="X89" s="858"/>
      <c r="Y89" s="858"/>
      <c r="Z89" s="858"/>
      <c r="AA89" s="858"/>
      <c r="AB89" s="858"/>
      <c r="AC89" s="858"/>
      <c r="AD89" s="858"/>
      <c r="AE89" s="858"/>
      <c r="AF89" s="858"/>
      <c r="AG89" s="858"/>
      <c r="AH89" s="858"/>
      <c r="AI89" s="858"/>
      <c r="AJ89" s="858"/>
    </row>
    <row r="90" ht="15.75" customHeight="1">
      <c r="A90" s="342">
        <v>78.0</v>
      </c>
      <c r="B90" s="875" t="s">
        <v>19775</v>
      </c>
      <c r="C90" s="875" t="s">
        <v>19816</v>
      </c>
      <c r="D90" s="876" t="s">
        <v>19825</v>
      </c>
      <c r="E90" s="345" t="s">
        <v>13047</v>
      </c>
      <c r="F90" s="345" t="s">
        <v>29</v>
      </c>
      <c r="G90" s="875" t="s">
        <v>37</v>
      </c>
      <c r="H90" s="342"/>
      <c r="I90" s="345" t="s">
        <v>38</v>
      </c>
      <c r="J90" s="345">
        <v>130.0</v>
      </c>
      <c r="K90" s="875"/>
      <c r="L90" s="875" t="s">
        <v>31</v>
      </c>
      <c r="M90" s="875" t="s">
        <v>19780</v>
      </c>
      <c r="N90" s="345">
        <v>2015.0</v>
      </c>
      <c r="O90" s="875" t="s">
        <v>388</v>
      </c>
      <c r="P90" s="345">
        <v>1.0</v>
      </c>
      <c r="Q90" s="874">
        <v>1.0</v>
      </c>
      <c r="R90" s="863"/>
      <c r="S90" s="858"/>
      <c r="T90" s="858"/>
      <c r="U90" s="858"/>
      <c r="V90" s="858"/>
      <c r="W90" s="858"/>
      <c r="X90" s="858"/>
      <c r="Y90" s="858"/>
      <c r="Z90" s="858"/>
      <c r="AA90" s="858"/>
      <c r="AB90" s="858"/>
      <c r="AC90" s="858"/>
      <c r="AD90" s="858"/>
      <c r="AE90" s="858"/>
      <c r="AF90" s="858"/>
      <c r="AG90" s="858"/>
      <c r="AH90" s="858"/>
      <c r="AI90" s="858"/>
      <c r="AJ90" s="858"/>
    </row>
    <row r="91" ht="15.75" customHeight="1">
      <c r="A91" s="342">
        <v>79.0</v>
      </c>
      <c r="B91" s="875" t="s">
        <v>19775</v>
      </c>
      <c r="C91" s="875" t="s">
        <v>19816</v>
      </c>
      <c r="D91" s="876" t="s">
        <v>19826</v>
      </c>
      <c r="E91" s="345" t="s">
        <v>13047</v>
      </c>
      <c r="F91" s="345" t="s">
        <v>29</v>
      </c>
      <c r="G91" s="875" t="s">
        <v>37</v>
      </c>
      <c r="H91" s="342"/>
      <c r="I91" s="345" t="s">
        <v>38</v>
      </c>
      <c r="J91" s="345">
        <v>130.0</v>
      </c>
      <c r="K91" s="875"/>
      <c r="L91" s="875" t="s">
        <v>31</v>
      </c>
      <c r="M91" s="875" t="s">
        <v>19780</v>
      </c>
      <c r="N91" s="345">
        <v>2015.0</v>
      </c>
      <c r="O91" s="875" t="s">
        <v>388</v>
      </c>
      <c r="P91" s="345">
        <v>1.0</v>
      </c>
      <c r="Q91" s="874">
        <v>1.0</v>
      </c>
      <c r="R91" s="863"/>
      <c r="S91" s="858"/>
      <c r="T91" s="858"/>
      <c r="U91" s="858"/>
      <c r="V91" s="858"/>
      <c r="W91" s="858"/>
      <c r="X91" s="858"/>
      <c r="Y91" s="858"/>
      <c r="Z91" s="858"/>
      <c r="AA91" s="858"/>
      <c r="AB91" s="858"/>
      <c r="AC91" s="858"/>
      <c r="AD91" s="858"/>
      <c r="AE91" s="858"/>
      <c r="AF91" s="858"/>
      <c r="AG91" s="858"/>
      <c r="AH91" s="858"/>
      <c r="AI91" s="858"/>
      <c r="AJ91" s="858"/>
    </row>
    <row r="92" ht="15.75" customHeight="1">
      <c r="A92" s="342">
        <v>80.0</v>
      </c>
      <c r="B92" s="875" t="s">
        <v>19775</v>
      </c>
      <c r="C92" s="875" t="s">
        <v>19816</v>
      </c>
      <c r="D92" s="876" t="s">
        <v>19827</v>
      </c>
      <c r="E92" s="345" t="s">
        <v>13047</v>
      </c>
      <c r="F92" s="345" t="s">
        <v>29</v>
      </c>
      <c r="G92" s="875" t="s">
        <v>37</v>
      </c>
      <c r="H92" s="342"/>
      <c r="I92" s="345" t="s">
        <v>38</v>
      </c>
      <c r="J92" s="345">
        <v>130.0</v>
      </c>
      <c r="K92" s="875"/>
      <c r="L92" s="875" t="s">
        <v>31</v>
      </c>
      <c r="M92" s="875" t="s">
        <v>19780</v>
      </c>
      <c r="N92" s="345">
        <v>2015.0</v>
      </c>
      <c r="O92" s="875" t="s">
        <v>388</v>
      </c>
      <c r="P92" s="345">
        <v>1.0</v>
      </c>
      <c r="Q92" s="874">
        <v>1.0</v>
      </c>
      <c r="R92" s="863"/>
      <c r="S92" s="858"/>
      <c r="T92" s="858"/>
      <c r="U92" s="858"/>
      <c r="V92" s="858"/>
      <c r="W92" s="858"/>
      <c r="X92" s="858"/>
      <c r="Y92" s="858"/>
      <c r="Z92" s="858"/>
      <c r="AA92" s="858"/>
      <c r="AB92" s="858"/>
      <c r="AC92" s="858"/>
      <c r="AD92" s="858"/>
      <c r="AE92" s="858"/>
      <c r="AF92" s="858"/>
      <c r="AG92" s="858"/>
      <c r="AH92" s="858"/>
      <c r="AI92" s="858"/>
      <c r="AJ92" s="858"/>
    </row>
    <row r="93" ht="15.75" customHeight="1">
      <c r="A93" s="342">
        <v>81.0</v>
      </c>
      <c r="B93" s="875" t="s">
        <v>19775</v>
      </c>
      <c r="C93" s="875" t="s">
        <v>19816</v>
      </c>
      <c r="D93" s="876" t="s">
        <v>19828</v>
      </c>
      <c r="E93" s="345" t="s">
        <v>13047</v>
      </c>
      <c r="F93" s="345" t="s">
        <v>29</v>
      </c>
      <c r="G93" s="875" t="s">
        <v>37</v>
      </c>
      <c r="H93" s="342"/>
      <c r="I93" s="345" t="s">
        <v>38</v>
      </c>
      <c r="J93" s="345">
        <v>130.0</v>
      </c>
      <c r="K93" s="875"/>
      <c r="L93" s="875" t="s">
        <v>31</v>
      </c>
      <c r="M93" s="875" t="s">
        <v>19780</v>
      </c>
      <c r="N93" s="345">
        <v>2015.0</v>
      </c>
      <c r="O93" s="875" t="s">
        <v>388</v>
      </c>
      <c r="P93" s="345">
        <v>1.0</v>
      </c>
      <c r="Q93" s="874">
        <v>1.0</v>
      </c>
      <c r="R93" s="863"/>
      <c r="S93" s="858"/>
      <c r="T93" s="858"/>
      <c r="U93" s="858"/>
      <c r="V93" s="858"/>
      <c r="W93" s="858"/>
      <c r="X93" s="858"/>
      <c r="Y93" s="858"/>
      <c r="Z93" s="858"/>
      <c r="AA93" s="858"/>
      <c r="AB93" s="858"/>
      <c r="AC93" s="858"/>
      <c r="AD93" s="858"/>
      <c r="AE93" s="858"/>
      <c r="AF93" s="858"/>
      <c r="AG93" s="858"/>
      <c r="AH93" s="858"/>
      <c r="AI93" s="858"/>
      <c r="AJ93" s="858"/>
    </row>
    <row r="94" ht="15.75" customHeight="1">
      <c r="A94" s="342">
        <v>82.0</v>
      </c>
      <c r="B94" s="875" t="s">
        <v>19775</v>
      </c>
      <c r="C94" s="875" t="s">
        <v>19816</v>
      </c>
      <c r="D94" s="876" t="s">
        <v>19829</v>
      </c>
      <c r="E94" s="345" t="s">
        <v>13047</v>
      </c>
      <c r="F94" s="345" t="s">
        <v>29</v>
      </c>
      <c r="G94" s="875" t="s">
        <v>37</v>
      </c>
      <c r="H94" s="342"/>
      <c r="I94" s="345" t="s">
        <v>38</v>
      </c>
      <c r="J94" s="345">
        <v>130.0</v>
      </c>
      <c r="K94" s="875"/>
      <c r="L94" s="875" t="s">
        <v>31</v>
      </c>
      <c r="M94" s="875" t="s">
        <v>19780</v>
      </c>
      <c r="N94" s="345">
        <v>2015.0</v>
      </c>
      <c r="O94" s="875" t="s">
        <v>388</v>
      </c>
      <c r="P94" s="345">
        <v>1.0</v>
      </c>
      <c r="Q94" s="874">
        <v>1.0</v>
      </c>
      <c r="R94" s="863"/>
      <c r="S94" s="858"/>
      <c r="T94" s="858"/>
      <c r="U94" s="858"/>
      <c r="V94" s="858"/>
      <c r="W94" s="858"/>
      <c r="X94" s="858"/>
      <c r="Y94" s="858"/>
      <c r="Z94" s="858"/>
      <c r="AA94" s="858"/>
      <c r="AB94" s="858"/>
      <c r="AC94" s="858"/>
      <c r="AD94" s="858"/>
      <c r="AE94" s="858"/>
      <c r="AF94" s="858"/>
      <c r="AG94" s="858"/>
      <c r="AH94" s="858"/>
      <c r="AI94" s="858"/>
      <c r="AJ94" s="858"/>
    </row>
    <row r="95" ht="15.75" customHeight="1">
      <c r="A95" s="342">
        <v>83.0</v>
      </c>
      <c r="B95" s="875" t="s">
        <v>19775</v>
      </c>
      <c r="C95" s="875" t="s">
        <v>19816</v>
      </c>
      <c r="D95" s="876" t="s">
        <v>19830</v>
      </c>
      <c r="E95" s="345" t="s">
        <v>13047</v>
      </c>
      <c r="F95" s="345" t="s">
        <v>29</v>
      </c>
      <c r="G95" s="875" t="s">
        <v>37</v>
      </c>
      <c r="H95" s="342"/>
      <c r="I95" s="345" t="s">
        <v>38</v>
      </c>
      <c r="J95" s="345">
        <v>130.0</v>
      </c>
      <c r="K95" s="875"/>
      <c r="L95" s="875" t="s">
        <v>31</v>
      </c>
      <c r="M95" s="875" t="s">
        <v>19780</v>
      </c>
      <c r="N95" s="345">
        <v>2015.0</v>
      </c>
      <c r="O95" s="875" t="s">
        <v>388</v>
      </c>
      <c r="P95" s="345">
        <v>1.0</v>
      </c>
      <c r="Q95" s="874">
        <v>1.0</v>
      </c>
      <c r="R95" s="863"/>
      <c r="S95" s="858"/>
      <c r="T95" s="858"/>
      <c r="U95" s="858"/>
      <c r="V95" s="858"/>
      <c r="W95" s="858"/>
      <c r="X95" s="858"/>
      <c r="Y95" s="858"/>
      <c r="Z95" s="858"/>
      <c r="AA95" s="858"/>
      <c r="AB95" s="858"/>
      <c r="AC95" s="858"/>
      <c r="AD95" s="858"/>
      <c r="AE95" s="858"/>
      <c r="AF95" s="858"/>
      <c r="AG95" s="858"/>
      <c r="AH95" s="858"/>
      <c r="AI95" s="858"/>
      <c r="AJ95" s="858"/>
    </row>
    <row r="96" ht="15.75" customHeight="1">
      <c r="A96" s="342">
        <v>84.0</v>
      </c>
      <c r="B96" s="875" t="s">
        <v>19775</v>
      </c>
      <c r="C96" s="875" t="s">
        <v>19816</v>
      </c>
      <c r="D96" s="876" t="s">
        <v>19831</v>
      </c>
      <c r="E96" s="345" t="s">
        <v>13047</v>
      </c>
      <c r="F96" s="345" t="s">
        <v>29</v>
      </c>
      <c r="G96" s="875" t="s">
        <v>37</v>
      </c>
      <c r="H96" s="342"/>
      <c r="I96" s="345" t="s">
        <v>38</v>
      </c>
      <c r="J96" s="345">
        <v>130.0</v>
      </c>
      <c r="K96" s="875"/>
      <c r="L96" s="875" t="s">
        <v>31</v>
      </c>
      <c r="M96" s="875" t="s">
        <v>19780</v>
      </c>
      <c r="N96" s="345">
        <v>2015.0</v>
      </c>
      <c r="O96" s="875" t="s">
        <v>388</v>
      </c>
      <c r="P96" s="345">
        <v>1.0</v>
      </c>
      <c r="Q96" s="874">
        <v>1.0</v>
      </c>
      <c r="R96" s="863"/>
      <c r="S96" s="858"/>
      <c r="T96" s="858"/>
      <c r="U96" s="858"/>
      <c r="V96" s="858"/>
      <c r="W96" s="858"/>
      <c r="X96" s="858"/>
      <c r="Y96" s="858"/>
      <c r="Z96" s="858"/>
      <c r="AA96" s="858"/>
      <c r="AB96" s="858"/>
      <c r="AC96" s="858"/>
      <c r="AD96" s="858"/>
      <c r="AE96" s="858"/>
      <c r="AF96" s="858"/>
      <c r="AG96" s="858"/>
      <c r="AH96" s="858"/>
      <c r="AI96" s="858"/>
      <c r="AJ96" s="858"/>
    </row>
    <row r="97" ht="15.75" customHeight="1">
      <c r="A97" s="342">
        <v>85.0</v>
      </c>
      <c r="B97" s="875" t="s">
        <v>19775</v>
      </c>
      <c r="C97" s="875" t="s">
        <v>19816</v>
      </c>
      <c r="D97" s="876" t="s">
        <v>19832</v>
      </c>
      <c r="E97" s="345" t="s">
        <v>13047</v>
      </c>
      <c r="F97" s="345" t="s">
        <v>29</v>
      </c>
      <c r="G97" s="875" t="s">
        <v>37</v>
      </c>
      <c r="H97" s="342"/>
      <c r="I97" s="345" t="s">
        <v>38</v>
      </c>
      <c r="J97" s="345">
        <v>130.0</v>
      </c>
      <c r="K97" s="875"/>
      <c r="L97" s="875" t="s">
        <v>31</v>
      </c>
      <c r="M97" s="875" t="s">
        <v>19780</v>
      </c>
      <c r="N97" s="345">
        <v>2015.0</v>
      </c>
      <c r="O97" s="875" t="s">
        <v>388</v>
      </c>
      <c r="P97" s="345">
        <v>1.0</v>
      </c>
      <c r="Q97" s="874">
        <v>1.0</v>
      </c>
      <c r="R97" s="863"/>
      <c r="S97" s="858"/>
      <c r="T97" s="858"/>
      <c r="U97" s="858"/>
      <c r="V97" s="858"/>
      <c r="W97" s="858"/>
      <c r="X97" s="858"/>
      <c r="Y97" s="858"/>
      <c r="Z97" s="858"/>
      <c r="AA97" s="858"/>
      <c r="AB97" s="858"/>
      <c r="AC97" s="858"/>
      <c r="AD97" s="858"/>
      <c r="AE97" s="858"/>
      <c r="AF97" s="858"/>
      <c r="AG97" s="858"/>
      <c r="AH97" s="858"/>
      <c r="AI97" s="858"/>
      <c r="AJ97" s="858"/>
    </row>
    <row r="98" ht="15.75" customHeight="1">
      <c r="A98" s="342">
        <v>86.0</v>
      </c>
      <c r="B98" s="875" t="s">
        <v>19775</v>
      </c>
      <c r="C98" s="875" t="s">
        <v>19816</v>
      </c>
      <c r="D98" s="876" t="s">
        <v>19833</v>
      </c>
      <c r="E98" s="345" t="s">
        <v>13047</v>
      </c>
      <c r="F98" s="345" t="s">
        <v>29</v>
      </c>
      <c r="G98" s="875" t="s">
        <v>37</v>
      </c>
      <c r="H98" s="342"/>
      <c r="I98" s="345" t="s">
        <v>38</v>
      </c>
      <c r="J98" s="345">
        <v>130.0</v>
      </c>
      <c r="K98" s="875"/>
      <c r="L98" s="875" t="s">
        <v>31</v>
      </c>
      <c r="M98" s="875" t="s">
        <v>19780</v>
      </c>
      <c r="N98" s="345">
        <v>2015.0</v>
      </c>
      <c r="O98" s="875" t="s">
        <v>388</v>
      </c>
      <c r="P98" s="345">
        <v>1.0</v>
      </c>
      <c r="Q98" s="874">
        <v>1.0</v>
      </c>
      <c r="R98" s="863"/>
      <c r="S98" s="858"/>
      <c r="T98" s="858"/>
      <c r="U98" s="858"/>
      <c r="V98" s="858"/>
      <c r="W98" s="858"/>
      <c r="X98" s="858"/>
      <c r="Y98" s="858"/>
      <c r="Z98" s="858"/>
      <c r="AA98" s="858"/>
      <c r="AB98" s="858"/>
      <c r="AC98" s="858"/>
      <c r="AD98" s="858"/>
      <c r="AE98" s="858"/>
      <c r="AF98" s="858"/>
      <c r="AG98" s="858"/>
      <c r="AH98" s="858"/>
      <c r="AI98" s="858"/>
      <c r="AJ98" s="858"/>
    </row>
    <row r="99" ht="15.75" customHeight="1">
      <c r="A99" s="342">
        <v>87.0</v>
      </c>
      <c r="B99" s="875" t="s">
        <v>19775</v>
      </c>
      <c r="C99" s="875" t="s">
        <v>19816</v>
      </c>
      <c r="D99" s="876" t="s">
        <v>19834</v>
      </c>
      <c r="E99" s="345" t="s">
        <v>13047</v>
      </c>
      <c r="F99" s="345" t="s">
        <v>29</v>
      </c>
      <c r="G99" s="875" t="s">
        <v>37</v>
      </c>
      <c r="H99" s="342"/>
      <c r="I99" s="345" t="s">
        <v>38</v>
      </c>
      <c r="J99" s="345">
        <v>130.0</v>
      </c>
      <c r="K99" s="875"/>
      <c r="L99" s="875" t="s">
        <v>31</v>
      </c>
      <c r="M99" s="875" t="s">
        <v>19780</v>
      </c>
      <c r="N99" s="345">
        <v>2015.0</v>
      </c>
      <c r="O99" s="875" t="s">
        <v>388</v>
      </c>
      <c r="P99" s="345">
        <v>1.0</v>
      </c>
      <c r="Q99" s="874">
        <v>1.0</v>
      </c>
      <c r="R99" s="863"/>
      <c r="S99" s="858"/>
      <c r="T99" s="858"/>
      <c r="U99" s="858"/>
      <c r="V99" s="858"/>
      <c r="W99" s="858"/>
      <c r="X99" s="858"/>
      <c r="Y99" s="858"/>
      <c r="Z99" s="858"/>
      <c r="AA99" s="858"/>
      <c r="AB99" s="858"/>
      <c r="AC99" s="858"/>
      <c r="AD99" s="858"/>
      <c r="AE99" s="858"/>
      <c r="AF99" s="858"/>
      <c r="AG99" s="858"/>
      <c r="AH99" s="858"/>
      <c r="AI99" s="858"/>
      <c r="AJ99" s="858"/>
    </row>
    <row r="100" ht="15.75" customHeight="1">
      <c r="A100" s="342">
        <v>88.0</v>
      </c>
      <c r="B100" s="875" t="s">
        <v>19775</v>
      </c>
      <c r="C100" s="875" t="s">
        <v>19816</v>
      </c>
      <c r="D100" s="876" t="s">
        <v>19835</v>
      </c>
      <c r="E100" s="345" t="s">
        <v>13047</v>
      </c>
      <c r="F100" s="345" t="s">
        <v>29</v>
      </c>
      <c r="G100" s="875" t="s">
        <v>37</v>
      </c>
      <c r="H100" s="342"/>
      <c r="I100" s="345" t="s">
        <v>38</v>
      </c>
      <c r="J100" s="345">
        <v>130.0</v>
      </c>
      <c r="K100" s="875"/>
      <c r="L100" s="875" t="s">
        <v>31</v>
      </c>
      <c r="M100" s="875" t="s">
        <v>19780</v>
      </c>
      <c r="N100" s="345">
        <v>2015.0</v>
      </c>
      <c r="O100" s="875" t="s">
        <v>388</v>
      </c>
      <c r="P100" s="345">
        <v>1.0</v>
      </c>
      <c r="Q100" s="874">
        <v>1.0</v>
      </c>
      <c r="R100" s="863"/>
      <c r="S100" s="858"/>
      <c r="T100" s="858"/>
      <c r="U100" s="858"/>
      <c r="V100" s="858"/>
      <c r="W100" s="858"/>
      <c r="X100" s="858"/>
      <c r="Y100" s="858"/>
      <c r="Z100" s="858"/>
      <c r="AA100" s="858"/>
      <c r="AB100" s="858"/>
      <c r="AC100" s="858"/>
      <c r="AD100" s="858"/>
      <c r="AE100" s="858"/>
      <c r="AF100" s="858"/>
      <c r="AG100" s="858"/>
      <c r="AH100" s="858"/>
      <c r="AI100" s="858"/>
      <c r="AJ100" s="858"/>
    </row>
    <row r="101" ht="15.75" customHeight="1">
      <c r="A101" s="342">
        <v>89.0</v>
      </c>
      <c r="B101" s="875" t="s">
        <v>19775</v>
      </c>
      <c r="C101" s="875" t="s">
        <v>19816</v>
      </c>
      <c r="D101" s="876" t="s">
        <v>19836</v>
      </c>
      <c r="E101" s="345" t="s">
        <v>13047</v>
      </c>
      <c r="F101" s="345" t="s">
        <v>29</v>
      </c>
      <c r="G101" s="875" t="s">
        <v>37</v>
      </c>
      <c r="H101" s="342"/>
      <c r="I101" s="345" t="s">
        <v>38</v>
      </c>
      <c r="J101" s="345">
        <v>130.0</v>
      </c>
      <c r="K101" s="875"/>
      <c r="L101" s="875" t="s">
        <v>31</v>
      </c>
      <c r="M101" s="875" t="s">
        <v>19780</v>
      </c>
      <c r="N101" s="345">
        <v>2015.0</v>
      </c>
      <c r="O101" s="875" t="s">
        <v>388</v>
      </c>
      <c r="P101" s="345">
        <v>1.0</v>
      </c>
      <c r="Q101" s="874">
        <v>1.0</v>
      </c>
      <c r="R101" s="863"/>
      <c r="S101" s="858"/>
      <c r="T101" s="858"/>
      <c r="U101" s="858"/>
      <c r="V101" s="858"/>
      <c r="W101" s="858"/>
      <c r="X101" s="858"/>
      <c r="Y101" s="858"/>
      <c r="Z101" s="858"/>
      <c r="AA101" s="858"/>
      <c r="AB101" s="858"/>
      <c r="AC101" s="858"/>
      <c r="AD101" s="858"/>
      <c r="AE101" s="858"/>
      <c r="AF101" s="858"/>
      <c r="AG101" s="858"/>
      <c r="AH101" s="858"/>
      <c r="AI101" s="858"/>
      <c r="AJ101" s="858"/>
    </row>
    <row r="102" ht="15.75" customHeight="1">
      <c r="A102" s="342">
        <v>90.0</v>
      </c>
      <c r="B102" s="875" t="s">
        <v>19775</v>
      </c>
      <c r="C102" s="875" t="s">
        <v>19816</v>
      </c>
      <c r="D102" s="876" t="s">
        <v>19837</v>
      </c>
      <c r="E102" s="345" t="s">
        <v>13047</v>
      </c>
      <c r="F102" s="345" t="s">
        <v>29</v>
      </c>
      <c r="G102" s="875" t="s">
        <v>37</v>
      </c>
      <c r="H102" s="342"/>
      <c r="I102" s="345" t="s">
        <v>38</v>
      </c>
      <c r="J102" s="345">
        <v>130.0</v>
      </c>
      <c r="K102" s="875"/>
      <c r="L102" s="875" t="s">
        <v>31</v>
      </c>
      <c r="M102" s="875" t="s">
        <v>19780</v>
      </c>
      <c r="N102" s="345">
        <v>2015.0</v>
      </c>
      <c r="O102" s="875" t="s">
        <v>388</v>
      </c>
      <c r="P102" s="345">
        <v>1.0</v>
      </c>
      <c r="Q102" s="874">
        <v>1.0</v>
      </c>
      <c r="R102" s="863"/>
      <c r="S102" s="858"/>
      <c r="T102" s="858"/>
      <c r="U102" s="858"/>
      <c r="V102" s="858"/>
      <c r="W102" s="858"/>
      <c r="X102" s="858"/>
      <c r="Y102" s="858"/>
      <c r="Z102" s="858"/>
      <c r="AA102" s="858"/>
      <c r="AB102" s="858"/>
      <c r="AC102" s="858"/>
      <c r="AD102" s="858"/>
      <c r="AE102" s="858"/>
      <c r="AF102" s="858"/>
      <c r="AG102" s="858"/>
      <c r="AH102" s="858"/>
      <c r="AI102" s="858"/>
      <c r="AJ102" s="858"/>
    </row>
    <row r="103" ht="15.75" customHeight="1">
      <c r="A103" s="342">
        <v>91.0</v>
      </c>
      <c r="B103" s="875" t="s">
        <v>19775</v>
      </c>
      <c r="C103" s="875" t="s">
        <v>19816</v>
      </c>
      <c r="D103" s="876" t="s">
        <v>19838</v>
      </c>
      <c r="E103" s="345" t="s">
        <v>13047</v>
      </c>
      <c r="F103" s="345" t="s">
        <v>29</v>
      </c>
      <c r="G103" s="875" t="s">
        <v>37</v>
      </c>
      <c r="H103" s="342"/>
      <c r="I103" s="345" t="s">
        <v>38</v>
      </c>
      <c r="J103" s="345">
        <v>130.0</v>
      </c>
      <c r="K103" s="875"/>
      <c r="L103" s="875" t="s">
        <v>31</v>
      </c>
      <c r="M103" s="875" t="s">
        <v>19780</v>
      </c>
      <c r="N103" s="345">
        <v>2015.0</v>
      </c>
      <c r="O103" s="875" t="s">
        <v>388</v>
      </c>
      <c r="P103" s="345">
        <v>1.0</v>
      </c>
      <c r="Q103" s="874">
        <v>1.0</v>
      </c>
      <c r="R103" s="863"/>
      <c r="S103" s="858"/>
      <c r="T103" s="858"/>
      <c r="U103" s="858"/>
      <c r="V103" s="858"/>
      <c r="W103" s="858"/>
      <c r="X103" s="858"/>
      <c r="Y103" s="858"/>
      <c r="Z103" s="858"/>
      <c r="AA103" s="858"/>
      <c r="AB103" s="858"/>
      <c r="AC103" s="858"/>
      <c r="AD103" s="858"/>
      <c r="AE103" s="858"/>
      <c r="AF103" s="858"/>
      <c r="AG103" s="858"/>
      <c r="AH103" s="858"/>
      <c r="AI103" s="858"/>
      <c r="AJ103" s="858"/>
    </row>
    <row r="104" ht="15.75" customHeight="1">
      <c r="A104" s="342">
        <v>92.0</v>
      </c>
      <c r="B104" s="875" t="s">
        <v>19775</v>
      </c>
      <c r="C104" s="875" t="s">
        <v>19816</v>
      </c>
      <c r="D104" s="876" t="s">
        <v>19839</v>
      </c>
      <c r="E104" s="345" t="s">
        <v>13047</v>
      </c>
      <c r="F104" s="345" t="s">
        <v>29</v>
      </c>
      <c r="G104" s="875" t="s">
        <v>37</v>
      </c>
      <c r="H104" s="342"/>
      <c r="I104" s="345" t="s">
        <v>38</v>
      </c>
      <c r="J104" s="345">
        <v>130.0</v>
      </c>
      <c r="K104" s="875"/>
      <c r="L104" s="875" t="s">
        <v>31</v>
      </c>
      <c r="M104" s="875" t="s">
        <v>19780</v>
      </c>
      <c r="N104" s="345">
        <v>2015.0</v>
      </c>
      <c r="O104" s="875" t="s">
        <v>388</v>
      </c>
      <c r="P104" s="345">
        <v>1.0</v>
      </c>
      <c r="Q104" s="874">
        <v>1.0</v>
      </c>
      <c r="R104" s="863"/>
      <c r="S104" s="858"/>
      <c r="T104" s="858"/>
      <c r="U104" s="858"/>
      <c r="V104" s="858"/>
      <c r="W104" s="858"/>
      <c r="X104" s="858"/>
      <c r="Y104" s="858"/>
      <c r="Z104" s="858"/>
      <c r="AA104" s="858"/>
      <c r="AB104" s="858"/>
      <c r="AC104" s="858"/>
      <c r="AD104" s="858"/>
      <c r="AE104" s="858"/>
      <c r="AF104" s="858"/>
      <c r="AG104" s="858"/>
      <c r="AH104" s="858"/>
      <c r="AI104" s="858"/>
      <c r="AJ104" s="858"/>
    </row>
    <row r="105" ht="15.75" customHeight="1">
      <c r="A105" s="342">
        <v>93.0</v>
      </c>
      <c r="B105" s="875" t="s">
        <v>19775</v>
      </c>
      <c r="C105" s="875" t="s">
        <v>19816</v>
      </c>
      <c r="D105" s="876" t="s">
        <v>19840</v>
      </c>
      <c r="E105" s="345" t="s">
        <v>13047</v>
      </c>
      <c r="F105" s="345" t="s">
        <v>29</v>
      </c>
      <c r="G105" s="875" t="s">
        <v>37</v>
      </c>
      <c r="H105" s="342"/>
      <c r="I105" s="345" t="s">
        <v>38</v>
      </c>
      <c r="J105" s="345">
        <v>130.0</v>
      </c>
      <c r="K105" s="875"/>
      <c r="L105" s="875" t="s">
        <v>31</v>
      </c>
      <c r="M105" s="875" t="s">
        <v>19780</v>
      </c>
      <c r="N105" s="345">
        <v>2015.0</v>
      </c>
      <c r="O105" s="875" t="s">
        <v>388</v>
      </c>
      <c r="P105" s="345">
        <v>1.0</v>
      </c>
      <c r="Q105" s="874">
        <v>1.0</v>
      </c>
      <c r="R105" s="863"/>
      <c r="S105" s="858"/>
      <c r="T105" s="858"/>
      <c r="U105" s="858"/>
      <c r="V105" s="858"/>
      <c r="W105" s="858"/>
      <c r="X105" s="858"/>
      <c r="Y105" s="858"/>
      <c r="Z105" s="858"/>
      <c r="AA105" s="858"/>
      <c r="AB105" s="858"/>
      <c r="AC105" s="858"/>
      <c r="AD105" s="858"/>
      <c r="AE105" s="858"/>
      <c r="AF105" s="858"/>
      <c r="AG105" s="858"/>
      <c r="AH105" s="858"/>
      <c r="AI105" s="858"/>
      <c r="AJ105" s="858"/>
    </row>
    <row r="106" ht="15.75" customHeight="1">
      <c r="A106" s="342">
        <v>94.0</v>
      </c>
      <c r="B106" s="875" t="s">
        <v>19775</v>
      </c>
      <c r="C106" s="875" t="s">
        <v>19816</v>
      </c>
      <c r="D106" s="876" t="s">
        <v>19841</v>
      </c>
      <c r="E106" s="345" t="s">
        <v>13047</v>
      </c>
      <c r="F106" s="345" t="s">
        <v>29</v>
      </c>
      <c r="G106" s="875" t="s">
        <v>37</v>
      </c>
      <c r="H106" s="342"/>
      <c r="I106" s="345" t="s">
        <v>38</v>
      </c>
      <c r="J106" s="345">
        <v>130.0</v>
      </c>
      <c r="K106" s="875"/>
      <c r="L106" s="875" t="s">
        <v>31</v>
      </c>
      <c r="M106" s="875" t="s">
        <v>19780</v>
      </c>
      <c r="N106" s="345">
        <v>2015.0</v>
      </c>
      <c r="O106" s="875" t="s">
        <v>388</v>
      </c>
      <c r="P106" s="345">
        <v>1.0</v>
      </c>
      <c r="Q106" s="874">
        <v>1.0</v>
      </c>
      <c r="R106" s="863"/>
      <c r="S106" s="858"/>
      <c r="T106" s="858"/>
      <c r="U106" s="858"/>
      <c r="V106" s="858"/>
      <c r="W106" s="858"/>
      <c r="X106" s="858"/>
      <c r="Y106" s="858"/>
      <c r="Z106" s="858"/>
      <c r="AA106" s="858"/>
      <c r="AB106" s="858"/>
      <c r="AC106" s="858"/>
      <c r="AD106" s="858"/>
      <c r="AE106" s="858"/>
      <c r="AF106" s="858"/>
      <c r="AG106" s="858"/>
      <c r="AH106" s="858"/>
      <c r="AI106" s="858"/>
      <c r="AJ106" s="858"/>
    </row>
    <row r="107" ht="15.75" customHeight="1">
      <c r="A107" s="342">
        <v>95.0</v>
      </c>
      <c r="B107" s="875" t="s">
        <v>19775</v>
      </c>
      <c r="C107" s="875" t="s">
        <v>19816</v>
      </c>
      <c r="D107" s="876" t="s">
        <v>19842</v>
      </c>
      <c r="E107" s="345" t="s">
        <v>13047</v>
      </c>
      <c r="F107" s="345" t="s">
        <v>29</v>
      </c>
      <c r="G107" s="875" t="s">
        <v>37</v>
      </c>
      <c r="H107" s="342"/>
      <c r="I107" s="345" t="s">
        <v>38</v>
      </c>
      <c r="J107" s="345">
        <v>130.0</v>
      </c>
      <c r="K107" s="875"/>
      <c r="L107" s="875" t="s">
        <v>31</v>
      </c>
      <c r="M107" s="875" t="s">
        <v>19780</v>
      </c>
      <c r="N107" s="345">
        <v>2015.0</v>
      </c>
      <c r="O107" s="875" t="s">
        <v>388</v>
      </c>
      <c r="P107" s="345">
        <v>1.0</v>
      </c>
      <c r="Q107" s="874">
        <v>1.0</v>
      </c>
      <c r="R107" s="863"/>
      <c r="S107" s="858"/>
      <c r="T107" s="858"/>
      <c r="U107" s="858"/>
      <c r="V107" s="858"/>
      <c r="W107" s="858"/>
      <c r="X107" s="858"/>
      <c r="Y107" s="858"/>
      <c r="Z107" s="858"/>
      <c r="AA107" s="858"/>
      <c r="AB107" s="858"/>
      <c r="AC107" s="858"/>
      <c r="AD107" s="858"/>
      <c r="AE107" s="858"/>
      <c r="AF107" s="858"/>
      <c r="AG107" s="858"/>
      <c r="AH107" s="858"/>
      <c r="AI107" s="858"/>
      <c r="AJ107" s="858"/>
    </row>
    <row r="108" ht="15.75" customHeight="1">
      <c r="A108" s="342">
        <v>96.0</v>
      </c>
      <c r="B108" s="875" t="s">
        <v>19775</v>
      </c>
      <c r="C108" s="875" t="s">
        <v>19816</v>
      </c>
      <c r="D108" s="876" t="s">
        <v>19843</v>
      </c>
      <c r="E108" s="345" t="s">
        <v>13047</v>
      </c>
      <c r="F108" s="345" t="s">
        <v>29</v>
      </c>
      <c r="G108" s="875" t="s">
        <v>37</v>
      </c>
      <c r="H108" s="342"/>
      <c r="I108" s="345" t="s">
        <v>38</v>
      </c>
      <c r="J108" s="345">
        <v>130.0</v>
      </c>
      <c r="K108" s="875"/>
      <c r="L108" s="875" t="s">
        <v>31</v>
      </c>
      <c r="M108" s="875" t="s">
        <v>19780</v>
      </c>
      <c r="N108" s="345">
        <v>2015.0</v>
      </c>
      <c r="O108" s="875" t="s">
        <v>388</v>
      </c>
      <c r="P108" s="345">
        <v>1.0</v>
      </c>
      <c r="Q108" s="874">
        <v>1.0</v>
      </c>
      <c r="R108" s="863"/>
      <c r="S108" s="858"/>
      <c r="T108" s="858"/>
      <c r="U108" s="858"/>
      <c r="V108" s="858"/>
      <c r="W108" s="858"/>
      <c r="X108" s="858"/>
      <c r="Y108" s="858"/>
      <c r="Z108" s="858"/>
      <c r="AA108" s="858"/>
      <c r="AB108" s="858"/>
      <c r="AC108" s="858"/>
      <c r="AD108" s="858"/>
      <c r="AE108" s="858"/>
      <c r="AF108" s="858"/>
      <c r="AG108" s="858"/>
      <c r="AH108" s="858"/>
      <c r="AI108" s="858"/>
      <c r="AJ108" s="858"/>
    </row>
    <row r="109" ht="15.75" customHeight="1">
      <c r="A109" s="342">
        <v>97.0</v>
      </c>
      <c r="B109" s="875" t="s">
        <v>19775</v>
      </c>
      <c r="C109" s="875" t="s">
        <v>19816</v>
      </c>
      <c r="D109" s="876" t="s">
        <v>19844</v>
      </c>
      <c r="E109" s="345" t="s">
        <v>13047</v>
      </c>
      <c r="F109" s="345" t="s">
        <v>29</v>
      </c>
      <c r="G109" s="875" t="s">
        <v>37</v>
      </c>
      <c r="H109" s="342"/>
      <c r="I109" s="345" t="s">
        <v>38</v>
      </c>
      <c r="J109" s="345">
        <v>130.0</v>
      </c>
      <c r="K109" s="875"/>
      <c r="L109" s="875" t="s">
        <v>31</v>
      </c>
      <c r="M109" s="875" t="s">
        <v>19780</v>
      </c>
      <c r="N109" s="345">
        <v>2015.0</v>
      </c>
      <c r="O109" s="875" t="s">
        <v>388</v>
      </c>
      <c r="P109" s="345">
        <v>1.0</v>
      </c>
      <c r="Q109" s="874">
        <v>1.0</v>
      </c>
      <c r="R109" s="863"/>
      <c r="S109" s="858"/>
      <c r="T109" s="858"/>
      <c r="U109" s="858"/>
      <c r="V109" s="858"/>
      <c r="W109" s="858"/>
      <c r="X109" s="858"/>
      <c r="Y109" s="858"/>
      <c r="Z109" s="858"/>
      <c r="AA109" s="858"/>
      <c r="AB109" s="858"/>
      <c r="AC109" s="858"/>
      <c r="AD109" s="858"/>
      <c r="AE109" s="858"/>
      <c r="AF109" s="858"/>
      <c r="AG109" s="858"/>
      <c r="AH109" s="858"/>
      <c r="AI109" s="858"/>
      <c r="AJ109" s="858"/>
    </row>
    <row r="110" ht="15.75" customHeight="1">
      <c r="A110" s="342">
        <v>98.0</v>
      </c>
      <c r="B110" s="875" t="s">
        <v>19775</v>
      </c>
      <c r="C110" s="875" t="s">
        <v>19816</v>
      </c>
      <c r="D110" s="876" t="s">
        <v>19845</v>
      </c>
      <c r="E110" s="345" t="s">
        <v>13047</v>
      </c>
      <c r="F110" s="345" t="s">
        <v>29</v>
      </c>
      <c r="G110" s="875" t="s">
        <v>37</v>
      </c>
      <c r="H110" s="342"/>
      <c r="I110" s="345" t="s">
        <v>38</v>
      </c>
      <c r="J110" s="345">
        <v>130.0</v>
      </c>
      <c r="K110" s="875"/>
      <c r="L110" s="875" t="s">
        <v>31</v>
      </c>
      <c r="M110" s="875" t="s">
        <v>19780</v>
      </c>
      <c r="N110" s="345">
        <v>2015.0</v>
      </c>
      <c r="O110" s="875" t="s">
        <v>388</v>
      </c>
      <c r="P110" s="345">
        <v>1.0</v>
      </c>
      <c r="Q110" s="874">
        <v>1.0</v>
      </c>
      <c r="R110" s="863"/>
      <c r="S110" s="858"/>
      <c r="T110" s="858"/>
      <c r="U110" s="858"/>
      <c r="V110" s="858"/>
      <c r="W110" s="858"/>
      <c r="X110" s="858"/>
      <c r="Y110" s="858"/>
      <c r="Z110" s="858"/>
      <c r="AA110" s="858"/>
      <c r="AB110" s="858"/>
      <c r="AC110" s="858"/>
      <c r="AD110" s="858"/>
      <c r="AE110" s="858"/>
      <c r="AF110" s="858"/>
      <c r="AG110" s="858"/>
      <c r="AH110" s="858"/>
      <c r="AI110" s="858"/>
      <c r="AJ110" s="858"/>
    </row>
    <row r="111" ht="15.75" customHeight="1">
      <c r="A111" s="342">
        <v>99.0</v>
      </c>
      <c r="B111" s="875" t="s">
        <v>19775</v>
      </c>
      <c r="C111" s="875" t="s">
        <v>19816</v>
      </c>
      <c r="D111" s="876" t="s">
        <v>19846</v>
      </c>
      <c r="E111" s="345" t="s">
        <v>13047</v>
      </c>
      <c r="F111" s="345" t="s">
        <v>29</v>
      </c>
      <c r="G111" s="875" t="s">
        <v>37</v>
      </c>
      <c r="H111" s="342"/>
      <c r="I111" s="345" t="s">
        <v>38</v>
      </c>
      <c r="J111" s="345">
        <v>130.0</v>
      </c>
      <c r="K111" s="875"/>
      <c r="L111" s="875" t="s">
        <v>31</v>
      </c>
      <c r="M111" s="875" t="s">
        <v>19780</v>
      </c>
      <c r="N111" s="345">
        <v>2015.0</v>
      </c>
      <c r="O111" s="875" t="s">
        <v>388</v>
      </c>
      <c r="P111" s="345">
        <v>1.0</v>
      </c>
      <c r="Q111" s="874">
        <v>1.0</v>
      </c>
      <c r="R111" s="863"/>
      <c r="S111" s="858"/>
      <c r="T111" s="858"/>
      <c r="U111" s="858"/>
      <c r="V111" s="858"/>
      <c r="W111" s="858"/>
      <c r="X111" s="858"/>
      <c r="Y111" s="858"/>
      <c r="Z111" s="858"/>
      <c r="AA111" s="858"/>
      <c r="AB111" s="858"/>
      <c r="AC111" s="858"/>
      <c r="AD111" s="858"/>
      <c r="AE111" s="858"/>
      <c r="AF111" s="858"/>
      <c r="AG111" s="858"/>
      <c r="AH111" s="858"/>
      <c r="AI111" s="858"/>
      <c r="AJ111" s="858"/>
    </row>
    <row r="112" ht="15.75" customHeight="1">
      <c r="A112" s="342">
        <v>100.0</v>
      </c>
      <c r="B112" s="875" t="s">
        <v>19775</v>
      </c>
      <c r="C112" s="875" t="s">
        <v>19816</v>
      </c>
      <c r="D112" s="876" t="s">
        <v>19847</v>
      </c>
      <c r="E112" s="345" t="s">
        <v>13047</v>
      </c>
      <c r="F112" s="345" t="s">
        <v>29</v>
      </c>
      <c r="G112" s="875" t="s">
        <v>37</v>
      </c>
      <c r="H112" s="342"/>
      <c r="I112" s="345" t="s">
        <v>38</v>
      </c>
      <c r="J112" s="345">
        <v>130.0</v>
      </c>
      <c r="K112" s="875"/>
      <c r="L112" s="875" t="s">
        <v>31</v>
      </c>
      <c r="M112" s="875" t="s">
        <v>19780</v>
      </c>
      <c r="N112" s="345">
        <v>2015.0</v>
      </c>
      <c r="O112" s="875" t="s">
        <v>388</v>
      </c>
      <c r="P112" s="345">
        <v>1.0</v>
      </c>
      <c r="Q112" s="874">
        <v>1.0</v>
      </c>
      <c r="R112" s="863"/>
      <c r="S112" s="858"/>
      <c r="T112" s="858"/>
      <c r="U112" s="858"/>
      <c r="V112" s="858"/>
      <c r="W112" s="858"/>
      <c r="X112" s="858"/>
      <c r="Y112" s="858"/>
      <c r="Z112" s="858"/>
      <c r="AA112" s="858"/>
      <c r="AB112" s="858"/>
      <c r="AC112" s="858"/>
      <c r="AD112" s="858"/>
      <c r="AE112" s="858"/>
      <c r="AF112" s="858"/>
      <c r="AG112" s="858"/>
      <c r="AH112" s="858"/>
      <c r="AI112" s="858"/>
      <c r="AJ112" s="858"/>
    </row>
    <row r="113" ht="15.75" customHeight="1">
      <c r="A113" s="342">
        <v>101.0</v>
      </c>
      <c r="B113" s="875" t="s">
        <v>19775</v>
      </c>
      <c r="C113" s="875" t="s">
        <v>19816</v>
      </c>
      <c r="D113" s="876" t="s">
        <v>19848</v>
      </c>
      <c r="E113" s="345" t="s">
        <v>13047</v>
      </c>
      <c r="F113" s="345" t="s">
        <v>29</v>
      </c>
      <c r="G113" s="875" t="s">
        <v>37</v>
      </c>
      <c r="H113" s="342"/>
      <c r="I113" s="345" t="s">
        <v>38</v>
      </c>
      <c r="J113" s="345">
        <v>130.0</v>
      </c>
      <c r="K113" s="875"/>
      <c r="L113" s="875" t="s">
        <v>31</v>
      </c>
      <c r="M113" s="875" t="s">
        <v>19780</v>
      </c>
      <c r="N113" s="345">
        <v>2015.0</v>
      </c>
      <c r="O113" s="875" t="s">
        <v>388</v>
      </c>
      <c r="P113" s="345">
        <v>1.0</v>
      </c>
      <c r="Q113" s="874">
        <v>1.0</v>
      </c>
      <c r="R113" s="863"/>
      <c r="S113" s="858"/>
      <c r="T113" s="858"/>
      <c r="U113" s="858"/>
      <c r="V113" s="858"/>
      <c r="W113" s="858"/>
      <c r="X113" s="858"/>
      <c r="Y113" s="858"/>
      <c r="Z113" s="858"/>
      <c r="AA113" s="858"/>
      <c r="AB113" s="858"/>
      <c r="AC113" s="858"/>
      <c r="AD113" s="858"/>
      <c r="AE113" s="858"/>
      <c r="AF113" s="858"/>
      <c r="AG113" s="858"/>
      <c r="AH113" s="858"/>
      <c r="AI113" s="858"/>
      <c r="AJ113" s="858"/>
    </row>
    <row r="114" ht="15.75" customHeight="1">
      <c r="A114" s="342">
        <v>102.0</v>
      </c>
      <c r="B114" s="875" t="s">
        <v>19775</v>
      </c>
      <c r="C114" s="875" t="s">
        <v>19816</v>
      </c>
      <c r="D114" s="876" t="s">
        <v>19849</v>
      </c>
      <c r="E114" s="345" t="s">
        <v>13047</v>
      </c>
      <c r="F114" s="345" t="s">
        <v>29</v>
      </c>
      <c r="G114" s="875" t="s">
        <v>37</v>
      </c>
      <c r="H114" s="342"/>
      <c r="I114" s="345" t="s">
        <v>38</v>
      </c>
      <c r="J114" s="345">
        <v>130.0</v>
      </c>
      <c r="K114" s="875"/>
      <c r="L114" s="875" t="s">
        <v>31</v>
      </c>
      <c r="M114" s="875" t="s">
        <v>19780</v>
      </c>
      <c r="N114" s="345">
        <v>2015.0</v>
      </c>
      <c r="O114" s="875" t="s">
        <v>388</v>
      </c>
      <c r="P114" s="345">
        <v>1.0</v>
      </c>
      <c r="Q114" s="874">
        <v>1.0</v>
      </c>
      <c r="R114" s="863"/>
      <c r="S114" s="858"/>
      <c r="T114" s="858"/>
      <c r="U114" s="858"/>
      <c r="V114" s="858"/>
      <c r="W114" s="858"/>
      <c r="X114" s="858"/>
      <c r="Y114" s="858"/>
      <c r="Z114" s="858"/>
      <c r="AA114" s="858"/>
      <c r="AB114" s="858"/>
      <c r="AC114" s="858"/>
      <c r="AD114" s="858"/>
      <c r="AE114" s="858"/>
      <c r="AF114" s="858"/>
      <c r="AG114" s="858"/>
      <c r="AH114" s="858"/>
      <c r="AI114" s="858"/>
      <c r="AJ114" s="858"/>
    </row>
    <row r="115" ht="15.75" customHeight="1">
      <c r="A115" s="342">
        <v>103.0</v>
      </c>
      <c r="B115" s="875" t="s">
        <v>19775</v>
      </c>
      <c r="C115" s="875" t="s">
        <v>19816</v>
      </c>
      <c r="D115" s="876" t="s">
        <v>19850</v>
      </c>
      <c r="E115" s="345" t="s">
        <v>13047</v>
      </c>
      <c r="F115" s="345" t="s">
        <v>29</v>
      </c>
      <c r="G115" s="875" t="s">
        <v>37</v>
      </c>
      <c r="H115" s="342"/>
      <c r="I115" s="345" t="s">
        <v>38</v>
      </c>
      <c r="J115" s="345">
        <v>130.0</v>
      </c>
      <c r="K115" s="875"/>
      <c r="L115" s="875" t="s">
        <v>31</v>
      </c>
      <c r="M115" s="875" t="s">
        <v>19780</v>
      </c>
      <c r="N115" s="345">
        <v>2015.0</v>
      </c>
      <c r="O115" s="875" t="s">
        <v>388</v>
      </c>
      <c r="P115" s="345">
        <v>1.0</v>
      </c>
      <c r="Q115" s="874">
        <v>1.0</v>
      </c>
      <c r="R115" s="863"/>
      <c r="S115" s="858"/>
      <c r="T115" s="858"/>
      <c r="U115" s="858"/>
      <c r="V115" s="858"/>
      <c r="W115" s="858"/>
      <c r="X115" s="858"/>
      <c r="Y115" s="858"/>
      <c r="Z115" s="858"/>
      <c r="AA115" s="858"/>
      <c r="AB115" s="858"/>
      <c r="AC115" s="858"/>
      <c r="AD115" s="858"/>
      <c r="AE115" s="858"/>
      <c r="AF115" s="858"/>
      <c r="AG115" s="858"/>
      <c r="AH115" s="858"/>
      <c r="AI115" s="858"/>
      <c r="AJ115" s="858"/>
    </row>
    <row r="116" ht="15.75" customHeight="1">
      <c r="A116" s="342">
        <v>104.0</v>
      </c>
      <c r="B116" s="875" t="s">
        <v>19775</v>
      </c>
      <c r="C116" s="875" t="s">
        <v>19816</v>
      </c>
      <c r="D116" s="876" t="s">
        <v>19851</v>
      </c>
      <c r="E116" s="345" t="s">
        <v>13047</v>
      </c>
      <c r="F116" s="345" t="s">
        <v>29</v>
      </c>
      <c r="G116" s="875" t="s">
        <v>37</v>
      </c>
      <c r="H116" s="342"/>
      <c r="I116" s="345" t="s">
        <v>38</v>
      </c>
      <c r="J116" s="345">
        <v>130.0</v>
      </c>
      <c r="K116" s="875"/>
      <c r="L116" s="875" t="s">
        <v>31</v>
      </c>
      <c r="M116" s="875" t="s">
        <v>19780</v>
      </c>
      <c r="N116" s="345">
        <v>2015.0</v>
      </c>
      <c r="O116" s="875" t="s">
        <v>388</v>
      </c>
      <c r="P116" s="345">
        <v>1.0</v>
      </c>
      <c r="Q116" s="874">
        <v>1.0</v>
      </c>
      <c r="R116" s="863"/>
      <c r="S116" s="858"/>
      <c r="T116" s="858"/>
      <c r="U116" s="858"/>
      <c r="V116" s="858"/>
      <c r="W116" s="858"/>
      <c r="X116" s="858"/>
      <c r="Y116" s="858"/>
      <c r="Z116" s="858"/>
      <c r="AA116" s="858"/>
      <c r="AB116" s="858"/>
      <c r="AC116" s="858"/>
      <c r="AD116" s="858"/>
      <c r="AE116" s="858"/>
      <c r="AF116" s="858"/>
      <c r="AG116" s="858"/>
      <c r="AH116" s="858"/>
      <c r="AI116" s="858"/>
      <c r="AJ116" s="858"/>
    </row>
    <row r="117" ht="15.75" customHeight="1">
      <c r="A117" s="342">
        <v>105.0</v>
      </c>
      <c r="B117" s="875" t="s">
        <v>19775</v>
      </c>
      <c r="C117" s="875" t="s">
        <v>19816</v>
      </c>
      <c r="D117" s="876" t="s">
        <v>19851</v>
      </c>
      <c r="E117" s="345" t="s">
        <v>13047</v>
      </c>
      <c r="F117" s="345" t="s">
        <v>29</v>
      </c>
      <c r="G117" s="875" t="s">
        <v>37</v>
      </c>
      <c r="H117" s="342"/>
      <c r="I117" s="345" t="s">
        <v>38</v>
      </c>
      <c r="J117" s="345">
        <v>130.0</v>
      </c>
      <c r="K117" s="875"/>
      <c r="L117" s="875" t="s">
        <v>31</v>
      </c>
      <c r="M117" s="875" t="s">
        <v>19780</v>
      </c>
      <c r="N117" s="345">
        <v>2015.0</v>
      </c>
      <c r="O117" s="875" t="s">
        <v>388</v>
      </c>
      <c r="P117" s="345">
        <v>1.0</v>
      </c>
      <c r="Q117" s="874">
        <v>1.0</v>
      </c>
      <c r="R117" s="863"/>
      <c r="S117" s="858"/>
      <c r="T117" s="858"/>
      <c r="U117" s="858"/>
      <c r="V117" s="858"/>
      <c r="W117" s="858"/>
      <c r="X117" s="858"/>
      <c r="Y117" s="858"/>
      <c r="Z117" s="858"/>
      <c r="AA117" s="858"/>
      <c r="AB117" s="858"/>
      <c r="AC117" s="858"/>
      <c r="AD117" s="858"/>
      <c r="AE117" s="858"/>
      <c r="AF117" s="858"/>
      <c r="AG117" s="858"/>
      <c r="AH117" s="858"/>
      <c r="AI117" s="858"/>
      <c r="AJ117" s="858"/>
    </row>
    <row r="118" ht="15.75" customHeight="1">
      <c r="A118" s="342">
        <v>106.0</v>
      </c>
      <c r="B118" s="875" t="s">
        <v>19775</v>
      </c>
      <c r="C118" s="875" t="s">
        <v>19816</v>
      </c>
      <c r="D118" s="876" t="s">
        <v>19852</v>
      </c>
      <c r="E118" s="345" t="s">
        <v>13047</v>
      </c>
      <c r="F118" s="345" t="s">
        <v>29</v>
      </c>
      <c r="G118" s="875" t="s">
        <v>37</v>
      </c>
      <c r="H118" s="342"/>
      <c r="I118" s="345" t="s">
        <v>38</v>
      </c>
      <c r="J118" s="345">
        <v>130.0</v>
      </c>
      <c r="K118" s="875"/>
      <c r="L118" s="875" t="s">
        <v>31</v>
      </c>
      <c r="M118" s="875" t="s">
        <v>19780</v>
      </c>
      <c r="N118" s="345">
        <v>2015.0</v>
      </c>
      <c r="O118" s="875" t="s">
        <v>388</v>
      </c>
      <c r="P118" s="345">
        <v>1.0</v>
      </c>
      <c r="Q118" s="874">
        <v>1.0</v>
      </c>
      <c r="R118" s="863"/>
      <c r="S118" s="858"/>
      <c r="T118" s="858"/>
      <c r="U118" s="858"/>
      <c r="V118" s="858"/>
      <c r="W118" s="858"/>
      <c r="X118" s="858"/>
      <c r="Y118" s="858"/>
      <c r="Z118" s="858"/>
      <c r="AA118" s="858"/>
      <c r="AB118" s="858"/>
      <c r="AC118" s="858"/>
      <c r="AD118" s="858"/>
      <c r="AE118" s="858"/>
      <c r="AF118" s="858"/>
      <c r="AG118" s="858"/>
      <c r="AH118" s="858"/>
      <c r="AI118" s="858"/>
      <c r="AJ118" s="858"/>
    </row>
    <row r="119" ht="15.75" customHeight="1">
      <c r="A119" s="342">
        <v>107.0</v>
      </c>
      <c r="B119" s="875" t="s">
        <v>19775</v>
      </c>
      <c r="C119" s="875" t="s">
        <v>19816</v>
      </c>
      <c r="D119" s="876" t="s">
        <v>19853</v>
      </c>
      <c r="E119" s="345" t="s">
        <v>13047</v>
      </c>
      <c r="F119" s="345" t="s">
        <v>29</v>
      </c>
      <c r="G119" s="875" t="s">
        <v>37</v>
      </c>
      <c r="H119" s="342"/>
      <c r="I119" s="345" t="s">
        <v>38</v>
      </c>
      <c r="J119" s="345">
        <v>130.0</v>
      </c>
      <c r="K119" s="875"/>
      <c r="L119" s="875" t="s">
        <v>31</v>
      </c>
      <c r="M119" s="875" t="s">
        <v>19780</v>
      </c>
      <c r="N119" s="345">
        <v>2015.0</v>
      </c>
      <c r="O119" s="875" t="s">
        <v>388</v>
      </c>
      <c r="P119" s="345">
        <v>1.0</v>
      </c>
      <c r="Q119" s="874">
        <v>1.0</v>
      </c>
      <c r="R119" s="863"/>
      <c r="S119" s="858"/>
      <c r="T119" s="858"/>
      <c r="U119" s="858"/>
      <c r="V119" s="858"/>
      <c r="W119" s="858"/>
      <c r="X119" s="858"/>
      <c r="Y119" s="858"/>
      <c r="Z119" s="858"/>
      <c r="AA119" s="858"/>
      <c r="AB119" s="858"/>
      <c r="AC119" s="858"/>
      <c r="AD119" s="858"/>
      <c r="AE119" s="858"/>
      <c r="AF119" s="858"/>
      <c r="AG119" s="858"/>
      <c r="AH119" s="858"/>
      <c r="AI119" s="858"/>
      <c r="AJ119" s="858"/>
    </row>
    <row r="120" ht="15.75" customHeight="1">
      <c r="A120" s="342">
        <v>108.0</v>
      </c>
      <c r="B120" s="875" t="s">
        <v>19775</v>
      </c>
      <c r="C120" s="875" t="s">
        <v>19816</v>
      </c>
      <c r="D120" s="876" t="s">
        <v>19854</v>
      </c>
      <c r="E120" s="345" t="s">
        <v>13047</v>
      </c>
      <c r="F120" s="345" t="s">
        <v>29</v>
      </c>
      <c r="G120" s="875" t="s">
        <v>37</v>
      </c>
      <c r="H120" s="342"/>
      <c r="I120" s="345" t="s">
        <v>38</v>
      </c>
      <c r="J120" s="345">
        <v>130.0</v>
      </c>
      <c r="K120" s="875"/>
      <c r="L120" s="875" t="s">
        <v>31</v>
      </c>
      <c r="M120" s="875" t="s">
        <v>19780</v>
      </c>
      <c r="N120" s="345">
        <v>2015.0</v>
      </c>
      <c r="O120" s="875" t="s">
        <v>388</v>
      </c>
      <c r="P120" s="345">
        <v>1.0</v>
      </c>
      <c r="Q120" s="874">
        <v>1.0</v>
      </c>
      <c r="R120" s="863"/>
      <c r="S120" s="858"/>
      <c r="T120" s="858"/>
      <c r="U120" s="858"/>
      <c r="V120" s="858"/>
      <c r="W120" s="858"/>
      <c r="X120" s="858"/>
      <c r="Y120" s="858"/>
      <c r="Z120" s="858"/>
      <c r="AA120" s="858"/>
      <c r="AB120" s="858"/>
      <c r="AC120" s="858"/>
      <c r="AD120" s="858"/>
      <c r="AE120" s="858"/>
      <c r="AF120" s="858"/>
      <c r="AG120" s="858"/>
      <c r="AH120" s="858"/>
      <c r="AI120" s="858"/>
      <c r="AJ120" s="858"/>
    </row>
    <row r="121" ht="15.75" customHeight="1">
      <c r="A121" s="342">
        <v>109.0</v>
      </c>
      <c r="B121" s="875" t="s">
        <v>19775</v>
      </c>
      <c r="C121" s="875" t="s">
        <v>19816</v>
      </c>
      <c r="D121" s="876" t="s">
        <v>19855</v>
      </c>
      <c r="E121" s="345" t="s">
        <v>13047</v>
      </c>
      <c r="F121" s="345" t="s">
        <v>29</v>
      </c>
      <c r="G121" s="875" t="s">
        <v>37</v>
      </c>
      <c r="H121" s="342"/>
      <c r="I121" s="345" t="s">
        <v>38</v>
      </c>
      <c r="J121" s="345">
        <v>130.0</v>
      </c>
      <c r="K121" s="875"/>
      <c r="L121" s="875" t="s">
        <v>31</v>
      </c>
      <c r="M121" s="875" t="s">
        <v>19780</v>
      </c>
      <c r="N121" s="345">
        <v>2015.0</v>
      </c>
      <c r="O121" s="875" t="s">
        <v>388</v>
      </c>
      <c r="P121" s="345">
        <v>1.0</v>
      </c>
      <c r="Q121" s="874">
        <v>1.0</v>
      </c>
      <c r="R121" s="863"/>
      <c r="S121" s="858"/>
      <c r="T121" s="858"/>
      <c r="U121" s="858"/>
      <c r="V121" s="858"/>
      <c r="W121" s="858"/>
      <c r="X121" s="858"/>
      <c r="Y121" s="858"/>
      <c r="Z121" s="858"/>
      <c r="AA121" s="858"/>
      <c r="AB121" s="858"/>
      <c r="AC121" s="858"/>
      <c r="AD121" s="858"/>
      <c r="AE121" s="858"/>
      <c r="AF121" s="858"/>
      <c r="AG121" s="858"/>
      <c r="AH121" s="858"/>
      <c r="AI121" s="858"/>
      <c r="AJ121" s="858"/>
    </row>
    <row r="122" ht="15.75" customHeight="1">
      <c r="A122" s="342">
        <v>110.0</v>
      </c>
      <c r="B122" s="875" t="s">
        <v>19775</v>
      </c>
      <c r="C122" s="875" t="s">
        <v>19816</v>
      </c>
      <c r="D122" s="876" t="s">
        <v>19856</v>
      </c>
      <c r="E122" s="345" t="s">
        <v>13047</v>
      </c>
      <c r="F122" s="345" t="s">
        <v>29</v>
      </c>
      <c r="G122" s="875" t="s">
        <v>37</v>
      </c>
      <c r="H122" s="342"/>
      <c r="I122" s="345" t="s">
        <v>38</v>
      </c>
      <c r="J122" s="345">
        <v>130.0</v>
      </c>
      <c r="K122" s="875"/>
      <c r="L122" s="875" t="s">
        <v>31</v>
      </c>
      <c r="M122" s="875" t="s">
        <v>19780</v>
      </c>
      <c r="N122" s="345">
        <v>2015.0</v>
      </c>
      <c r="O122" s="875" t="s">
        <v>388</v>
      </c>
      <c r="P122" s="345">
        <v>1.0</v>
      </c>
      <c r="Q122" s="874">
        <v>1.0</v>
      </c>
      <c r="R122" s="863"/>
      <c r="S122" s="858"/>
      <c r="T122" s="858"/>
      <c r="U122" s="858"/>
      <c r="V122" s="858"/>
      <c r="W122" s="858"/>
      <c r="X122" s="858"/>
      <c r="Y122" s="858"/>
      <c r="Z122" s="858"/>
      <c r="AA122" s="858"/>
      <c r="AB122" s="858"/>
      <c r="AC122" s="858"/>
      <c r="AD122" s="858"/>
      <c r="AE122" s="858"/>
      <c r="AF122" s="858"/>
      <c r="AG122" s="858"/>
      <c r="AH122" s="858"/>
      <c r="AI122" s="858"/>
      <c r="AJ122" s="858"/>
    </row>
    <row r="123" ht="15.75" customHeight="1">
      <c r="A123" s="342">
        <v>111.0</v>
      </c>
      <c r="B123" s="875" t="s">
        <v>19775</v>
      </c>
      <c r="C123" s="875" t="s">
        <v>19816</v>
      </c>
      <c r="D123" s="876" t="s">
        <v>19857</v>
      </c>
      <c r="E123" s="345" t="s">
        <v>13047</v>
      </c>
      <c r="F123" s="345" t="s">
        <v>29</v>
      </c>
      <c r="G123" s="875" t="s">
        <v>37</v>
      </c>
      <c r="H123" s="342"/>
      <c r="I123" s="345" t="s">
        <v>38</v>
      </c>
      <c r="J123" s="345">
        <v>142.0</v>
      </c>
      <c r="K123" s="875"/>
      <c r="L123" s="875" t="s">
        <v>31</v>
      </c>
      <c r="M123" s="875" t="s">
        <v>19780</v>
      </c>
      <c r="N123" s="345">
        <v>2015.0</v>
      </c>
      <c r="O123" s="875" t="s">
        <v>388</v>
      </c>
      <c r="P123" s="345">
        <v>1.0</v>
      </c>
      <c r="Q123" s="874">
        <v>1.0</v>
      </c>
      <c r="R123" s="863"/>
      <c r="S123" s="858"/>
      <c r="T123" s="858"/>
      <c r="U123" s="858"/>
      <c r="V123" s="858"/>
      <c r="W123" s="858"/>
      <c r="X123" s="858"/>
      <c r="Y123" s="858"/>
      <c r="Z123" s="858"/>
      <c r="AA123" s="858"/>
      <c r="AB123" s="858"/>
      <c r="AC123" s="858"/>
      <c r="AD123" s="858"/>
      <c r="AE123" s="858"/>
      <c r="AF123" s="858"/>
      <c r="AG123" s="858"/>
      <c r="AH123" s="858"/>
      <c r="AI123" s="858"/>
      <c r="AJ123" s="858"/>
    </row>
    <row r="124" ht="15.75" customHeight="1">
      <c r="A124" s="342">
        <v>112.0</v>
      </c>
      <c r="B124" s="875" t="s">
        <v>19775</v>
      </c>
      <c r="C124" s="875" t="s">
        <v>19816</v>
      </c>
      <c r="D124" s="876" t="s">
        <v>19858</v>
      </c>
      <c r="E124" s="345" t="s">
        <v>13047</v>
      </c>
      <c r="F124" s="345" t="s">
        <v>29</v>
      </c>
      <c r="G124" s="875" t="s">
        <v>37</v>
      </c>
      <c r="H124" s="342"/>
      <c r="I124" s="345" t="s">
        <v>38</v>
      </c>
      <c r="J124" s="345">
        <v>148.0</v>
      </c>
      <c r="K124" s="875"/>
      <c r="L124" s="875" t="s">
        <v>31</v>
      </c>
      <c r="M124" s="875" t="s">
        <v>19780</v>
      </c>
      <c r="N124" s="345">
        <v>2015.0</v>
      </c>
      <c r="O124" s="875" t="s">
        <v>388</v>
      </c>
      <c r="P124" s="345">
        <v>1.0</v>
      </c>
      <c r="Q124" s="874">
        <v>1.0</v>
      </c>
      <c r="R124" s="863"/>
      <c r="S124" s="858"/>
      <c r="T124" s="858"/>
      <c r="U124" s="858"/>
      <c r="V124" s="858"/>
      <c r="W124" s="858"/>
      <c r="X124" s="858"/>
      <c r="Y124" s="858"/>
      <c r="Z124" s="858"/>
      <c r="AA124" s="858"/>
      <c r="AB124" s="858"/>
      <c r="AC124" s="858"/>
      <c r="AD124" s="858"/>
      <c r="AE124" s="858"/>
      <c r="AF124" s="858"/>
      <c r="AG124" s="858"/>
      <c r="AH124" s="858"/>
      <c r="AI124" s="858"/>
      <c r="AJ124" s="858"/>
    </row>
    <row r="125" ht="15.75" customHeight="1">
      <c r="A125" s="342">
        <v>113.0</v>
      </c>
      <c r="B125" s="875" t="s">
        <v>19775</v>
      </c>
      <c r="C125" s="875" t="s">
        <v>19816</v>
      </c>
      <c r="D125" s="876" t="s">
        <v>19859</v>
      </c>
      <c r="E125" s="345" t="s">
        <v>13047</v>
      </c>
      <c r="F125" s="345" t="s">
        <v>29</v>
      </c>
      <c r="G125" s="875" t="s">
        <v>37</v>
      </c>
      <c r="H125" s="342"/>
      <c r="I125" s="345" t="s">
        <v>38</v>
      </c>
      <c r="J125" s="345">
        <v>130.0</v>
      </c>
      <c r="K125" s="875"/>
      <c r="L125" s="875" t="s">
        <v>31</v>
      </c>
      <c r="M125" s="875" t="s">
        <v>19780</v>
      </c>
      <c r="N125" s="345">
        <v>2015.0</v>
      </c>
      <c r="O125" s="875" t="s">
        <v>388</v>
      </c>
      <c r="P125" s="345">
        <v>1.0</v>
      </c>
      <c r="Q125" s="874">
        <v>1.0</v>
      </c>
      <c r="R125" s="863"/>
      <c r="S125" s="858"/>
      <c r="T125" s="858"/>
      <c r="U125" s="858"/>
      <c r="V125" s="858"/>
      <c r="W125" s="858"/>
      <c r="X125" s="858"/>
      <c r="Y125" s="858"/>
      <c r="Z125" s="858"/>
      <c r="AA125" s="858"/>
      <c r="AB125" s="858"/>
      <c r="AC125" s="858"/>
      <c r="AD125" s="858"/>
      <c r="AE125" s="858"/>
      <c r="AF125" s="858"/>
      <c r="AG125" s="858"/>
      <c r="AH125" s="858"/>
      <c r="AI125" s="858"/>
      <c r="AJ125" s="858"/>
    </row>
    <row r="126" ht="15.75" customHeight="1">
      <c r="A126" s="342">
        <v>114.0</v>
      </c>
      <c r="B126" s="875" t="s">
        <v>19775</v>
      </c>
      <c r="C126" s="875" t="s">
        <v>19816</v>
      </c>
      <c r="D126" s="876" t="s">
        <v>19860</v>
      </c>
      <c r="E126" s="345" t="s">
        <v>13047</v>
      </c>
      <c r="F126" s="345" t="s">
        <v>29</v>
      </c>
      <c r="G126" s="875" t="s">
        <v>30</v>
      </c>
      <c r="H126" s="342"/>
      <c r="I126" s="345" t="s">
        <v>30</v>
      </c>
      <c r="J126" s="345">
        <v>130.0</v>
      </c>
      <c r="K126" s="875"/>
      <c r="L126" s="875" t="s">
        <v>31</v>
      </c>
      <c r="M126" s="875" t="s">
        <v>19861</v>
      </c>
      <c r="N126" s="345">
        <v>2015.0</v>
      </c>
      <c r="O126" s="875" t="s">
        <v>388</v>
      </c>
      <c r="P126" s="345">
        <v>1.0</v>
      </c>
      <c r="Q126" s="874">
        <v>1.0</v>
      </c>
      <c r="R126" s="863"/>
      <c r="S126" s="858"/>
      <c r="T126" s="858"/>
      <c r="U126" s="858"/>
      <c r="V126" s="858"/>
      <c r="W126" s="858"/>
      <c r="X126" s="858"/>
      <c r="Y126" s="858"/>
      <c r="Z126" s="858"/>
      <c r="AA126" s="858"/>
      <c r="AB126" s="858"/>
      <c r="AC126" s="858"/>
      <c r="AD126" s="858"/>
      <c r="AE126" s="858"/>
      <c r="AF126" s="858"/>
      <c r="AG126" s="858"/>
      <c r="AH126" s="858"/>
      <c r="AI126" s="858"/>
      <c r="AJ126" s="858"/>
    </row>
    <row r="127" ht="15.75" customHeight="1">
      <c r="A127" s="342">
        <v>115.0</v>
      </c>
      <c r="B127" s="875" t="s">
        <v>19775</v>
      </c>
      <c r="C127" s="875" t="s">
        <v>19816</v>
      </c>
      <c r="D127" s="876" t="s">
        <v>19862</v>
      </c>
      <c r="E127" s="345" t="s">
        <v>13047</v>
      </c>
      <c r="F127" s="345" t="s">
        <v>29</v>
      </c>
      <c r="G127" s="875" t="s">
        <v>37</v>
      </c>
      <c r="H127" s="342"/>
      <c r="I127" s="345" t="s">
        <v>38</v>
      </c>
      <c r="J127" s="345">
        <v>130.0</v>
      </c>
      <c r="K127" s="875"/>
      <c r="L127" s="875" t="s">
        <v>31</v>
      </c>
      <c r="M127" s="875" t="s">
        <v>19780</v>
      </c>
      <c r="N127" s="345">
        <v>2015.0</v>
      </c>
      <c r="O127" s="875" t="s">
        <v>388</v>
      </c>
      <c r="P127" s="345">
        <v>1.0</v>
      </c>
      <c r="Q127" s="874">
        <v>1.0</v>
      </c>
      <c r="R127" s="863"/>
      <c r="S127" s="858"/>
      <c r="T127" s="858"/>
      <c r="U127" s="858"/>
      <c r="V127" s="858"/>
      <c r="W127" s="858"/>
      <c r="X127" s="858"/>
      <c r="Y127" s="858"/>
      <c r="Z127" s="858"/>
      <c r="AA127" s="858"/>
      <c r="AB127" s="858"/>
      <c r="AC127" s="858"/>
      <c r="AD127" s="858"/>
      <c r="AE127" s="858"/>
      <c r="AF127" s="858"/>
      <c r="AG127" s="858"/>
      <c r="AH127" s="858"/>
      <c r="AI127" s="858"/>
      <c r="AJ127" s="858"/>
    </row>
    <row r="128" ht="15.75" customHeight="1">
      <c r="A128" s="342">
        <v>116.0</v>
      </c>
      <c r="B128" s="875" t="s">
        <v>19775</v>
      </c>
      <c r="C128" s="875" t="s">
        <v>19816</v>
      </c>
      <c r="D128" s="876" t="s">
        <v>19863</v>
      </c>
      <c r="E128" s="345" t="s">
        <v>13047</v>
      </c>
      <c r="F128" s="345" t="s">
        <v>29</v>
      </c>
      <c r="G128" s="875" t="s">
        <v>37</v>
      </c>
      <c r="H128" s="342"/>
      <c r="I128" s="345" t="s">
        <v>38</v>
      </c>
      <c r="J128" s="345">
        <v>130.0</v>
      </c>
      <c r="K128" s="875"/>
      <c r="L128" s="875" t="s">
        <v>31</v>
      </c>
      <c r="M128" s="875" t="s">
        <v>19861</v>
      </c>
      <c r="N128" s="345">
        <v>2015.0</v>
      </c>
      <c r="O128" s="875" t="s">
        <v>388</v>
      </c>
      <c r="P128" s="345">
        <v>1.0</v>
      </c>
      <c r="Q128" s="874">
        <v>1.0</v>
      </c>
      <c r="R128" s="863"/>
      <c r="S128" s="858"/>
      <c r="T128" s="858"/>
      <c r="U128" s="858"/>
      <c r="V128" s="858"/>
      <c r="W128" s="858"/>
      <c r="X128" s="858"/>
      <c r="Y128" s="858"/>
      <c r="Z128" s="858"/>
      <c r="AA128" s="858"/>
      <c r="AB128" s="858"/>
      <c r="AC128" s="858"/>
      <c r="AD128" s="858"/>
      <c r="AE128" s="858"/>
      <c r="AF128" s="858"/>
      <c r="AG128" s="858"/>
      <c r="AH128" s="858"/>
      <c r="AI128" s="858"/>
      <c r="AJ128" s="858"/>
    </row>
    <row r="129" ht="15.75" customHeight="1">
      <c r="A129" s="342">
        <v>117.0</v>
      </c>
      <c r="B129" s="875" t="s">
        <v>19775</v>
      </c>
      <c r="C129" s="875" t="s">
        <v>19816</v>
      </c>
      <c r="D129" s="876" t="s">
        <v>19864</v>
      </c>
      <c r="E129" s="345" t="s">
        <v>13047</v>
      </c>
      <c r="F129" s="345" t="s">
        <v>29</v>
      </c>
      <c r="G129" s="875" t="s">
        <v>37</v>
      </c>
      <c r="H129" s="342"/>
      <c r="I129" s="345" t="s">
        <v>38</v>
      </c>
      <c r="J129" s="345">
        <v>148.0</v>
      </c>
      <c r="K129" s="875"/>
      <c r="L129" s="875" t="s">
        <v>31</v>
      </c>
      <c r="M129" s="875" t="s">
        <v>19861</v>
      </c>
      <c r="N129" s="345">
        <v>2015.0</v>
      </c>
      <c r="O129" s="875" t="s">
        <v>388</v>
      </c>
      <c r="P129" s="345">
        <v>1.0</v>
      </c>
      <c r="Q129" s="874">
        <v>1.0</v>
      </c>
      <c r="R129" s="863"/>
      <c r="S129" s="858"/>
      <c r="T129" s="858"/>
      <c r="U129" s="858"/>
      <c r="V129" s="858"/>
      <c r="W129" s="858"/>
      <c r="X129" s="858"/>
      <c r="Y129" s="858"/>
      <c r="Z129" s="858"/>
      <c r="AA129" s="858"/>
      <c r="AB129" s="858"/>
      <c r="AC129" s="858"/>
      <c r="AD129" s="858"/>
      <c r="AE129" s="858"/>
      <c r="AF129" s="858"/>
      <c r="AG129" s="858"/>
      <c r="AH129" s="858"/>
      <c r="AI129" s="858"/>
      <c r="AJ129" s="858"/>
    </row>
    <row r="130" ht="15.75" customHeight="1">
      <c r="A130" s="342">
        <v>118.0</v>
      </c>
      <c r="B130" s="875" t="s">
        <v>19775</v>
      </c>
      <c r="C130" s="875" t="s">
        <v>19816</v>
      </c>
      <c r="D130" s="876" t="s">
        <v>19865</v>
      </c>
      <c r="E130" s="345" t="s">
        <v>13047</v>
      </c>
      <c r="F130" s="345" t="s">
        <v>29</v>
      </c>
      <c r="G130" s="875" t="s">
        <v>37</v>
      </c>
      <c r="H130" s="342"/>
      <c r="I130" s="345" t="s">
        <v>38</v>
      </c>
      <c r="J130" s="345">
        <v>130.0</v>
      </c>
      <c r="K130" s="875"/>
      <c r="L130" s="875" t="s">
        <v>31</v>
      </c>
      <c r="M130" s="875" t="s">
        <v>19861</v>
      </c>
      <c r="N130" s="345">
        <v>2015.0</v>
      </c>
      <c r="O130" s="875" t="s">
        <v>388</v>
      </c>
      <c r="P130" s="345">
        <v>1.0</v>
      </c>
      <c r="Q130" s="874">
        <v>1.0</v>
      </c>
      <c r="R130" s="863"/>
      <c r="S130" s="858"/>
      <c r="T130" s="858"/>
      <c r="U130" s="858"/>
      <c r="V130" s="858"/>
      <c r="W130" s="858"/>
      <c r="X130" s="858"/>
      <c r="Y130" s="858"/>
      <c r="Z130" s="858"/>
      <c r="AA130" s="858"/>
      <c r="AB130" s="858"/>
      <c r="AC130" s="858"/>
      <c r="AD130" s="858"/>
      <c r="AE130" s="858"/>
      <c r="AF130" s="858"/>
      <c r="AG130" s="858"/>
      <c r="AH130" s="858"/>
      <c r="AI130" s="858"/>
      <c r="AJ130" s="858"/>
    </row>
    <row r="131" ht="15.75" customHeight="1">
      <c r="A131" s="342">
        <v>119.0</v>
      </c>
      <c r="B131" s="875" t="s">
        <v>19775</v>
      </c>
      <c r="C131" s="875" t="s">
        <v>19816</v>
      </c>
      <c r="D131" s="876" t="s">
        <v>19866</v>
      </c>
      <c r="E131" s="345" t="s">
        <v>13047</v>
      </c>
      <c r="F131" s="345" t="s">
        <v>29</v>
      </c>
      <c r="G131" s="875" t="s">
        <v>37</v>
      </c>
      <c r="H131" s="342"/>
      <c r="I131" s="345" t="s">
        <v>38</v>
      </c>
      <c r="J131" s="345">
        <v>144.0</v>
      </c>
      <c r="K131" s="875"/>
      <c r="L131" s="875" t="s">
        <v>31</v>
      </c>
      <c r="M131" s="875" t="s">
        <v>19861</v>
      </c>
      <c r="N131" s="345">
        <v>2015.0</v>
      </c>
      <c r="O131" s="875" t="s">
        <v>388</v>
      </c>
      <c r="P131" s="345">
        <v>1.0</v>
      </c>
      <c r="Q131" s="874">
        <v>1.0</v>
      </c>
      <c r="R131" s="863"/>
      <c r="S131" s="858"/>
      <c r="T131" s="858"/>
      <c r="U131" s="858"/>
      <c r="V131" s="858"/>
      <c r="W131" s="858"/>
      <c r="X131" s="858"/>
      <c r="Y131" s="858"/>
      <c r="Z131" s="858"/>
      <c r="AA131" s="858"/>
      <c r="AB131" s="858"/>
      <c r="AC131" s="858"/>
      <c r="AD131" s="858"/>
      <c r="AE131" s="858"/>
      <c r="AF131" s="858"/>
      <c r="AG131" s="858"/>
      <c r="AH131" s="858"/>
      <c r="AI131" s="858"/>
      <c r="AJ131" s="858"/>
    </row>
    <row r="132" ht="15.75" customHeight="1">
      <c r="A132" s="342">
        <v>120.0</v>
      </c>
      <c r="B132" s="875" t="s">
        <v>19775</v>
      </c>
      <c r="C132" s="875" t="s">
        <v>19816</v>
      </c>
      <c r="D132" s="876" t="s">
        <v>19867</v>
      </c>
      <c r="E132" s="345" t="s">
        <v>13047</v>
      </c>
      <c r="F132" s="345" t="s">
        <v>29</v>
      </c>
      <c r="G132" s="875" t="s">
        <v>37</v>
      </c>
      <c r="H132" s="342"/>
      <c r="I132" s="345" t="s">
        <v>38</v>
      </c>
      <c r="J132" s="345">
        <v>130.0</v>
      </c>
      <c r="K132" s="875"/>
      <c r="L132" s="875" t="s">
        <v>31</v>
      </c>
      <c r="M132" s="875" t="s">
        <v>19861</v>
      </c>
      <c r="N132" s="345">
        <v>2015.0</v>
      </c>
      <c r="O132" s="875" t="s">
        <v>388</v>
      </c>
      <c r="P132" s="345">
        <v>1.0</v>
      </c>
      <c r="Q132" s="874">
        <v>1.0</v>
      </c>
      <c r="R132" s="863"/>
      <c r="S132" s="858"/>
      <c r="T132" s="858"/>
      <c r="U132" s="858"/>
      <c r="V132" s="858"/>
      <c r="W132" s="858"/>
      <c r="X132" s="858"/>
      <c r="Y132" s="858"/>
      <c r="Z132" s="858"/>
      <c r="AA132" s="858"/>
      <c r="AB132" s="858"/>
      <c r="AC132" s="858"/>
      <c r="AD132" s="858"/>
      <c r="AE132" s="858"/>
      <c r="AF132" s="858"/>
      <c r="AG132" s="858"/>
      <c r="AH132" s="858"/>
      <c r="AI132" s="858"/>
      <c r="AJ132" s="858"/>
    </row>
    <row r="133" ht="15.75" customHeight="1">
      <c r="A133" s="342">
        <v>121.0</v>
      </c>
      <c r="B133" s="875" t="s">
        <v>19775</v>
      </c>
      <c r="C133" s="875" t="s">
        <v>19816</v>
      </c>
      <c r="D133" s="876" t="s">
        <v>19868</v>
      </c>
      <c r="E133" s="345" t="s">
        <v>13047</v>
      </c>
      <c r="F133" s="345" t="s">
        <v>29</v>
      </c>
      <c r="G133" s="875" t="s">
        <v>37</v>
      </c>
      <c r="H133" s="342"/>
      <c r="I133" s="345" t="s">
        <v>38</v>
      </c>
      <c r="J133" s="345">
        <v>136.0</v>
      </c>
      <c r="K133" s="875"/>
      <c r="L133" s="875" t="s">
        <v>31</v>
      </c>
      <c r="M133" s="875" t="s">
        <v>19780</v>
      </c>
      <c r="N133" s="345">
        <v>2016.0</v>
      </c>
      <c r="O133" s="875" t="s">
        <v>388</v>
      </c>
      <c r="P133" s="345">
        <v>1.0</v>
      </c>
      <c r="Q133" s="874">
        <v>1.0</v>
      </c>
      <c r="R133" s="863"/>
      <c r="S133" s="858"/>
      <c r="T133" s="858"/>
      <c r="U133" s="858"/>
      <c r="V133" s="858"/>
      <c r="W133" s="858"/>
      <c r="X133" s="858"/>
      <c r="Y133" s="858"/>
      <c r="Z133" s="858"/>
      <c r="AA133" s="858"/>
      <c r="AB133" s="858"/>
      <c r="AC133" s="858"/>
      <c r="AD133" s="858"/>
      <c r="AE133" s="858"/>
      <c r="AF133" s="858"/>
      <c r="AG133" s="858"/>
      <c r="AH133" s="858"/>
      <c r="AI133" s="858"/>
      <c r="AJ133" s="858"/>
    </row>
    <row r="134" ht="15.75" customHeight="1">
      <c r="A134" s="342">
        <v>122.0</v>
      </c>
      <c r="B134" s="875" t="s">
        <v>19775</v>
      </c>
      <c r="C134" s="875" t="s">
        <v>19816</v>
      </c>
      <c r="D134" s="876" t="s">
        <v>19869</v>
      </c>
      <c r="E134" s="345" t="s">
        <v>13047</v>
      </c>
      <c r="F134" s="345" t="s">
        <v>29</v>
      </c>
      <c r="G134" s="875" t="s">
        <v>30</v>
      </c>
      <c r="H134" s="342"/>
      <c r="I134" s="345" t="s">
        <v>30</v>
      </c>
      <c r="J134" s="345">
        <v>130.0</v>
      </c>
      <c r="K134" s="875"/>
      <c r="L134" s="875" t="s">
        <v>31</v>
      </c>
      <c r="M134" s="875" t="s">
        <v>19870</v>
      </c>
      <c r="N134" s="345">
        <v>2016.0</v>
      </c>
      <c r="O134" s="875" t="s">
        <v>388</v>
      </c>
      <c r="P134" s="345">
        <v>1.0</v>
      </c>
      <c r="Q134" s="874">
        <v>1.0</v>
      </c>
      <c r="R134" s="863"/>
      <c r="S134" s="858"/>
      <c r="T134" s="858"/>
      <c r="U134" s="858"/>
      <c r="V134" s="858"/>
      <c r="W134" s="858"/>
      <c r="X134" s="858"/>
      <c r="Y134" s="858"/>
      <c r="Z134" s="858"/>
      <c r="AA134" s="858"/>
      <c r="AB134" s="858"/>
      <c r="AC134" s="858"/>
      <c r="AD134" s="858"/>
      <c r="AE134" s="858"/>
      <c r="AF134" s="858"/>
      <c r="AG134" s="858"/>
      <c r="AH134" s="858"/>
      <c r="AI134" s="858"/>
      <c r="AJ134" s="858"/>
    </row>
    <row r="135" ht="15.75" customHeight="1">
      <c r="A135" s="342">
        <v>123.0</v>
      </c>
      <c r="B135" s="875" t="s">
        <v>19775</v>
      </c>
      <c r="C135" s="875" t="s">
        <v>19816</v>
      </c>
      <c r="D135" s="876" t="s">
        <v>19871</v>
      </c>
      <c r="E135" s="345" t="s">
        <v>13047</v>
      </c>
      <c r="F135" s="345" t="s">
        <v>29</v>
      </c>
      <c r="G135" s="875" t="s">
        <v>37</v>
      </c>
      <c r="H135" s="342"/>
      <c r="I135" s="345" t="s">
        <v>38</v>
      </c>
      <c r="J135" s="345">
        <v>136.0</v>
      </c>
      <c r="K135" s="875"/>
      <c r="L135" s="875" t="s">
        <v>31</v>
      </c>
      <c r="M135" s="875" t="s">
        <v>19780</v>
      </c>
      <c r="N135" s="345">
        <v>2016.0</v>
      </c>
      <c r="O135" s="875" t="s">
        <v>388</v>
      </c>
      <c r="P135" s="345">
        <v>1.0</v>
      </c>
      <c r="Q135" s="874">
        <v>1.0</v>
      </c>
      <c r="R135" s="863"/>
      <c r="S135" s="858"/>
      <c r="T135" s="858"/>
      <c r="U135" s="858"/>
      <c r="V135" s="858"/>
      <c r="W135" s="858"/>
      <c r="X135" s="858"/>
      <c r="Y135" s="858"/>
      <c r="Z135" s="858"/>
      <c r="AA135" s="858"/>
      <c r="AB135" s="858"/>
      <c r="AC135" s="858"/>
      <c r="AD135" s="858"/>
      <c r="AE135" s="858"/>
      <c r="AF135" s="858"/>
      <c r="AG135" s="858"/>
      <c r="AH135" s="858"/>
      <c r="AI135" s="858"/>
      <c r="AJ135" s="858"/>
    </row>
    <row r="136" ht="15.75" customHeight="1">
      <c r="A136" s="342">
        <v>124.0</v>
      </c>
      <c r="B136" s="875" t="s">
        <v>19775</v>
      </c>
      <c r="C136" s="875" t="s">
        <v>19816</v>
      </c>
      <c r="D136" s="876" t="s">
        <v>19871</v>
      </c>
      <c r="E136" s="345" t="s">
        <v>13047</v>
      </c>
      <c r="F136" s="345" t="s">
        <v>29</v>
      </c>
      <c r="G136" s="875" t="s">
        <v>37</v>
      </c>
      <c r="H136" s="342"/>
      <c r="I136" s="345" t="s">
        <v>38</v>
      </c>
      <c r="J136" s="345">
        <v>136.0</v>
      </c>
      <c r="K136" s="875"/>
      <c r="L136" s="875" t="s">
        <v>31</v>
      </c>
      <c r="M136" s="875" t="s">
        <v>19780</v>
      </c>
      <c r="N136" s="345">
        <v>2016.0</v>
      </c>
      <c r="O136" s="875" t="s">
        <v>388</v>
      </c>
      <c r="P136" s="345">
        <v>1.0</v>
      </c>
      <c r="Q136" s="874">
        <v>1.0</v>
      </c>
      <c r="R136" s="863"/>
      <c r="S136" s="858"/>
      <c r="T136" s="858"/>
      <c r="U136" s="858"/>
      <c r="V136" s="858"/>
      <c r="W136" s="858"/>
      <c r="X136" s="858"/>
      <c r="Y136" s="858"/>
      <c r="Z136" s="858"/>
      <c r="AA136" s="858"/>
      <c r="AB136" s="858"/>
      <c r="AC136" s="858"/>
      <c r="AD136" s="858"/>
      <c r="AE136" s="858"/>
      <c r="AF136" s="858"/>
      <c r="AG136" s="858"/>
      <c r="AH136" s="858"/>
      <c r="AI136" s="858"/>
      <c r="AJ136" s="858"/>
    </row>
    <row r="137" ht="15.75" customHeight="1">
      <c r="A137" s="342">
        <v>125.0</v>
      </c>
      <c r="B137" s="875" t="s">
        <v>19775</v>
      </c>
      <c r="C137" s="875" t="s">
        <v>19816</v>
      </c>
      <c r="D137" s="876" t="s">
        <v>19872</v>
      </c>
      <c r="E137" s="345" t="s">
        <v>13047</v>
      </c>
      <c r="F137" s="345" t="s">
        <v>29</v>
      </c>
      <c r="G137" s="875" t="s">
        <v>37</v>
      </c>
      <c r="H137" s="342"/>
      <c r="I137" s="345" t="s">
        <v>38</v>
      </c>
      <c r="J137" s="345">
        <v>136.0</v>
      </c>
      <c r="K137" s="875"/>
      <c r="L137" s="875" t="s">
        <v>31</v>
      </c>
      <c r="M137" s="875" t="s">
        <v>19780</v>
      </c>
      <c r="N137" s="345">
        <v>2016.0</v>
      </c>
      <c r="O137" s="875" t="s">
        <v>388</v>
      </c>
      <c r="P137" s="345">
        <v>1.0</v>
      </c>
      <c r="Q137" s="874">
        <v>1.0</v>
      </c>
      <c r="R137" s="863"/>
      <c r="S137" s="858"/>
      <c r="T137" s="858"/>
      <c r="U137" s="858"/>
      <c r="V137" s="858"/>
      <c r="W137" s="858"/>
      <c r="X137" s="858"/>
      <c r="Y137" s="858"/>
      <c r="Z137" s="858"/>
      <c r="AA137" s="858"/>
      <c r="AB137" s="858"/>
      <c r="AC137" s="858"/>
      <c r="AD137" s="858"/>
      <c r="AE137" s="858"/>
      <c r="AF137" s="858"/>
      <c r="AG137" s="858"/>
      <c r="AH137" s="858"/>
      <c r="AI137" s="858"/>
      <c r="AJ137" s="858"/>
    </row>
    <row r="138" ht="15.75" customHeight="1">
      <c r="A138" s="342">
        <v>126.0</v>
      </c>
      <c r="B138" s="875" t="s">
        <v>19775</v>
      </c>
      <c r="C138" s="875" t="s">
        <v>19816</v>
      </c>
      <c r="D138" s="876" t="s">
        <v>19873</v>
      </c>
      <c r="E138" s="345" t="s">
        <v>13047</v>
      </c>
      <c r="F138" s="345" t="s">
        <v>29</v>
      </c>
      <c r="G138" s="875" t="s">
        <v>37</v>
      </c>
      <c r="H138" s="342"/>
      <c r="I138" s="345" t="s">
        <v>30</v>
      </c>
      <c r="J138" s="345">
        <v>136.0</v>
      </c>
      <c r="K138" s="875"/>
      <c r="L138" s="875" t="s">
        <v>31</v>
      </c>
      <c r="M138" s="875" t="s">
        <v>19861</v>
      </c>
      <c r="N138" s="345">
        <v>2016.0</v>
      </c>
      <c r="O138" s="875" t="s">
        <v>388</v>
      </c>
      <c r="P138" s="345">
        <v>1.0</v>
      </c>
      <c r="Q138" s="874">
        <v>1.0</v>
      </c>
      <c r="R138" s="863"/>
      <c r="S138" s="858"/>
      <c r="T138" s="858"/>
      <c r="U138" s="858"/>
      <c r="V138" s="858"/>
      <c r="W138" s="858"/>
      <c r="X138" s="858"/>
      <c r="Y138" s="858"/>
      <c r="Z138" s="858"/>
      <c r="AA138" s="858"/>
      <c r="AB138" s="858"/>
      <c r="AC138" s="858"/>
      <c r="AD138" s="858"/>
      <c r="AE138" s="858"/>
      <c r="AF138" s="858"/>
      <c r="AG138" s="858"/>
      <c r="AH138" s="858"/>
      <c r="AI138" s="858"/>
      <c r="AJ138" s="858"/>
    </row>
    <row r="139" ht="15.75" customHeight="1">
      <c r="A139" s="342">
        <v>127.0</v>
      </c>
      <c r="B139" s="875" t="s">
        <v>19775</v>
      </c>
      <c r="C139" s="875" t="s">
        <v>19816</v>
      </c>
      <c r="D139" s="876" t="s">
        <v>19874</v>
      </c>
      <c r="E139" s="345" t="s">
        <v>13047</v>
      </c>
      <c r="F139" s="345" t="s">
        <v>29</v>
      </c>
      <c r="G139" s="875" t="s">
        <v>37</v>
      </c>
      <c r="H139" s="342"/>
      <c r="I139" s="345" t="s">
        <v>30</v>
      </c>
      <c r="J139" s="345">
        <v>136.0</v>
      </c>
      <c r="K139" s="875"/>
      <c r="L139" s="875" t="s">
        <v>31</v>
      </c>
      <c r="M139" s="875" t="s">
        <v>19861</v>
      </c>
      <c r="N139" s="345">
        <v>2016.0</v>
      </c>
      <c r="O139" s="875" t="s">
        <v>388</v>
      </c>
      <c r="P139" s="345">
        <v>1.0</v>
      </c>
      <c r="Q139" s="874">
        <v>1.0</v>
      </c>
      <c r="R139" s="863"/>
      <c r="S139" s="858"/>
      <c r="T139" s="858"/>
      <c r="U139" s="858"/>
      <c r="V139" s="858"/>
      <c r="W139" s="858"/>
      <c r="X139" s="858"/>
      <c r="Y139" s="858"/>
      <c r="Z139" s="858"/>
      <c r="AA139" s="858"/>
      <c r="AB139" s="858"/>
      <c r="AC139" s="858"/>
      <c r="AD139" s="858"/>
      <c r="AE139" s="858"/>
      <c r="AF139" s="858"/>
      <c r="AG139" s="858"/>
      <c r="AH139" s="858"/>
      <c r="AI139" s="858"/>
      <c r="AJ139" s="858"/>
    </row>
    <row r="140" ht="15.75" customHeight="1">
      <c r="A140" s="342">
        <v>128.0</v>
      </c>
      <c r="B140" s="875" t="s">
        <v>19775</v>
      </c>
      <c r="C140" s="875" t="s">
        <v>19816</v>
      </c>
      <c r="D140" s="876" t="s">
        <v>19875</v>
      </c>
      <c r="E140" s="345" t="s">
        <v>13047</v>
      </c>
      <c r="F140" s="345" t="s">
        <v>29</v>
      </c>
      <c r="G140" s="875" t="s">
        <v>37</v>
      </c>
      <c r="H140" s="342"/>
      <c r="I140" s="345" t="s">
        <v>38</v>
      </c>
      <c r="J140" s="345">
        <v>136.0</v>
      </c>
      <c r="K140" s="875"/>
      <c r="L140" s="875" t="s">
        <v>31</v>
      </c>
      <c r="M140" s="875" t="s">
        <v>19780</v>
      </c>
      <c r="N140" s="345">
        <v>2016.0</v>
      </c>
      <c r="O140" s="875" t="s">
        <v>388</v>
      </c>
      <c r="P140" s="345">
        <v>1.0</v>
      </c>
      <c r="Q140" s="874">
        <v>1.0</v>
      </c>
      <c r="R140" s="863"/>
      <c r="S140" s="858"/>
      <c r="T140" s="858"/>
      <c r="U140" s="858"/>
      <c r="V140" s="858"/>
      <c r="W140" s="858"/>
      <c r="X140" s="858"/>
      <c r="Y140" s="858"/>
      <c r="Z140" s="858"/>
      <c r="AA140" s="858"/>
      <c r="AB140" s="858"/>
      <c r="AC140" s="858"/>
      <c r="AD140" s="858"/>
      <c r="AE140" s="858"/>
      <c r="AF140" s="858"/>
      <c r="AG140" s="858"/>
      <c r="AH140" s="858"/>
      <c r="AI140" s="858"/>
      <c r="AJ140" s="858"/>
    </row>
    <row r="141" ht="15.75" customHeight="1">
      <c r="A141" s="342">
        <v>129.0</v>
      </c>
      <c r="B141" s="875" t="s">
        <v>19775</v>
      </c>
      <c r="C141" s="875" t="s">
        <v>19816</v>
      </c>
      <c r="D141" s="876" t="s">
        <v>19876</v>
      </c>
      <c r="E141" s="345" t="s">
        <v>13047</v>
      </c>
      <c r="F141" s="345" t="s">
        <v>29</v>
      </c>
      <c r="G141" s="875" t="s">
        <v>37</v>
      </c>
      <c r="H141" s="342"/>
      <c r="I141" s="345" t="s">
        <v>38</v>
      </c>
      <c r="J141" s="345">
        <v>136.0</v>
      </c>
      <c r="K141" s="875"/>
      <c r="L141" s="875" t="s">
        <v>31</v>
      </c>
      <c r="M141" s="875" t="s">
        <v>19780</v>
      </c>
      <c r="N141" s="345">
        <v>2016.0</v>
      </c>
      <c r="O141" s="875" t="s">
        <v>388</v>
      </c>
      <c r="P141" s="345">
        <v>1.0</v>
      </c>
      <c r="Q141" s="874">
        <v>1.0</v>
      </c>
      <c r="R141" s="863"/>
      <c r="S141" s="858"/>
      <c r="T141" s="858"/>
      <c r="U141" s="858"/>
      <c r="V141" s="858"/>
      <c r="W141" s="858"/>
      <c r="X141" s="858"/>
      <c r="Y141" s="858"/>
      <c r="Z141" s="858"/>
      <c r="AA141" s="858"/>
      <c r="AB141" s="858"/>
      <c r="AC141" s="858"/>
      <c r="AD141" s="858"/>
      <c r="AE141" s="858"/>
      <c r="AF141" s="858"/>
      <c r="AG141" s="858"/>
      <c r="AH141" s="858"/>
      <c r="AI141" s="858"/>
      <c r="AJ141" s="858"/>
    </row>
    <row r="142" ht="15.75" customHeight="1">
      <c r="A142" s="342">
        <v>130.0</v>
      </c>
      <c r="B142" s="875" t="s">
        <v>19775</v>
      </c>
      <c r="C142" s="875" t="s">
        <v>19816</v>
      </c>
      <c r="D142" s="876" t="s">
        <v>19877</v>
      </c>
      <c r="E142" s="345" t="s">
        <v>13047</v>
      </c>
      <c r="F142" s="345" t="s">
        <v>29</v>
      </c>
      <c r="G142" s="875" t="s">
        <v>37</v>
      </c>
      <c r="H142" s="342"/>
      <c r="I142" s="345" t="s">
        <v>30</v>
      </c>
      <c r="J142" s="345">
        <v>130.0</v>
      </c>
      <c r="K142" s="875"/>
      <c r="L142" s="875" t="s">
        <v>31</v>
      </c>
      <c r="M142" s="875" t="s">
        <v>14949</v>
      </c>
      <c r="N142" s="345">
        <v>2016.0</v>
      </c>
      <c r="O142" s="875" t="s">
        <v>388</v>
      </c>
      <c r="P142" s="345">
        <v>1.0</v>
      </c>
      <c r="Q142" s="874">
        <v>1.0</v>
      </c>
      <c r="R142" s="863"/>
      <c r="S142" s="858"/>
      <c r="T142" s="858"/>
      <c r="U142" s="858"/>
      <c r="V142" s="858"/>
      <c r="W142" s="858"/>
      <c r="X142" s="858"/>
      <c r="Y142" s="858"/>
      <c r="Z142" s="858"/>
      <c r="AA142" s="858"/>
      <c r="AB142" s="858"/>
      <c r="AC142" s="858"/>
      <c r="AD142" s="858"/>
      <c r="AE142" s="858"/>
      <c r="AF142" s="858"/>
      <c r="AG142" s="858"/>
      <c r="AH142" s="858"/>
      <c r="AI142" s="858"/>
      <c r="AJ142" s="858"/>
    </row>
    <row r="143" ht="15.75" customHeight="1">
      <c r="A143" s="342">
        <v>131.0</v>
      </c>
      <c r="B143" s="875" t="s">
        <v>19775</v>
      </c>
      <c r="C143" s="875" t="s">
        <v>19816</v>
      </c>
      <c r="D143" s="876" t="s">
        <v>19878</v>
      </c>
      <c r="E143" s="345" t="s">
        <v>13047</v>
      </c>
      <c r="F143" s="345" t="s">
        <v>29</v>
      </c>
      <c r="G143" s="875" t="s">
        <v>37</v>
      </c>
      <c r="H143" s="342"/>
      <c r="I143" s="345" t="s">
        <v>30</v>
      </c>
      <c r="J143" s="345">
        <v>130.0</v>
      </c>
      <c r="K143" s="875"/>
      <c r="L143" s="875" t="s">
        <v>31</v>
      </c>
      <c r="M143" s="875" t="s">
        <v>19780</v>
      </c>
      <c r="N143" s="345">
        <v>2016.0</v>
      </c>
      <c r="O143" s="875" t="s">
        <v>388</v>
      </c>
      <c r="P143" s="345">
        <v>1.0</v>
      </c>
      <c r="Q143" s="874">
        <v>1.0</v>
      </c>
      <c r="R143" s="863"/>
      <c r="S143" s="858"/>
      <c r="T143" s="858"/>
      <c r="U143" s="858"/>
      <c r="V143" s="858"/>
      <c r="W143" s="858"/>
      <c r="X143" s="858"/>
      <c r="Y143" s="858"/>
      <c r="Z143" s="858"/>
      <c r="AA143" s="858"/>
      <c r="AB143" s="858"/>
      <c r="AC143" s="858"/>
      <c r="AD143" s="858"/>
      <c r="AE143" s="858"/>
      <c r="AF143" s="858"/>
      <c r="AG143" s="858"/>
      <c r="AH143" s="858"/>
      <c r="AI143" s="858"/>
      <c r="AJ143" s="858"/>
    </row>
    <row r="144" ht="15.75" customHeight="1">
      <c r="A144" s="342">
        <v>132.0</v>
      </c>
      <c r="B144" s="875" t="s">
        <v>19775</v>
      </c>
      <c r="C144" s="875" t="s">
        <v>19816</v>
      </c>
      <c r="D144" s="876" t="s">
        <v>19879</v>
      </c>
      <c r="E144" s="345" t="s">
        <v>13047</v>
      </c>
      <c r="F144" s="345" t="s">
        <v>29</v>
      </c>
      <c r="G144" s="875" t="s">
        <v>30</v>
      </c>
      <c r="H144" s="342"/>
      <c r="I144" s="345" t="s">
        <v>30</v>
      </c>
      <c r="J144" s="345">
        <v>130.0</v>
      </c>
      <c r="K144" s="875"/>
      <c r="L144" s="875" t="s">
        <v>31</v>
      </c>
      <c r="M144" s="875" t="s">
        <v>14949</v>
      </c>
      <c r="N144" s="345">
        <v>2016.0</v>
      </c>
      <c r="O144" s="875" t="s">
        <v>388</v>
      </c>
      <c r="P144" s="345">
        <v>1.0</v>
      </c>
      <c r="Q144" s="874">
        <v>1.0</v>
      </c>
      <c r="R144" s="863"/>
      <c r="S144" s="858"/>
      <c r="T144" s="858"/>
      <c r="U144" s="858"/>
      <c r="V144" s="858"/>
      <c r="W144" s="858"/>
      <c r="X144" s="858"/>
      <c r="Y144" s="858"/>
      <c r="Z144" s="858"/>
      <c r="AA144" s="858"/>
      <c r="AB144" s="858"/>
      <c r="AC144" s="858"/>
      <c r="AD144" s="858"/>
      <c r="AE144" s="858"/>
      <c r="AF144" s="858"/>
      <c r="AG144" s="858"/>
      <c r="AH144" s="858"/>
      <c r="AI144" s="858"/>
      <c r="AJ144" s="858"/>
    </row>
    <row r="145" ht="15.75" customHeight="1">
      <c r="A145" s="342">
        <v>133.0</v>
      </c>
      <c r="B145" s="875" t="s">
        <v>19775</v>
      </c>
      <c r="C145" s="875" t="s">
        <v>19816</v>
      </c>
      <c r="D145" s="876" t="s">
        <v>19880</v>
      </c>
      <c r="E145" s="345" t="s">
        <v>13047</v>
      </c>
      <c r="F145" s="345" t="s">
        <v>29</v>
      </c>
      <c r="G145" s="875" t="s">
        <v>30</v>
      </c>
      <c r="H145" s="342"/>
      <c r="I145" s="345" t="s">
        <v>30</v>
      </c>
      <c r="J145" s="345">
        <v>130.0</v>
      </c>
      <c r="K145" s="875"/>
      <c r="L145" s="875" t="s">
        <v>31</v>
      </c>
      <c r="M145" s="875" t="s">
        <v>14949</v>
      </c>
      <c r="N145" s="345">
        <v>2016.0</v>
      </c>
      <c r="O145" s="875" t="s">
        <v>388</v>
      </c>
      <c r="P145" s="345">
        <v>1.0</v>
      </c>
      <c r="Q145" s="874">
        <v>1.0</v>
      </c>
      <c r="R145" s="863"/>
      <c r="S145" s="858"/>
      <c r="T145" s="858"/>
      <c r="U145" s="858"/>
      <c r="V145" s="858"/>
      <c r="W145" s="858"/>
      <c r="X145" s="858"/>
      <c r="Y145" s="858"/>
      <c r="Z145" s="858"/>
      <c r="AA145" s="858"/>
      <c r="AB145" s="858"/>
      <c r="AC145" s="858"/>
      <c r="AD145" s="858"/>
      <c r="AE145" s="858"/>
      <c r="AF145" s="858"/>
      <c r="AG145" s="858"/>
      <c r="AH145" s="858"/>
      <c r="AI145" s="858"/>
      <c r="AJ145" s="858"/>
    </row>
    <row r="146" ht="15.75" customHeight="1">
      <c r="A146" s="881" t="s">
        <v>19881</v>
      </c>
      <c r="B146" s="875" t="s">
        <v>19775</v>
      </c>
      <c r="C146" s="875" t="s">
        <v>19816</v>
      </c>
      <c r="D146" s="876" t="s">
        <v>19882</v>
      </c>
      <c r="E146" s="345" t="s">
        <v>13047</v>
      </c>
      <c r="F146" s="345" t="s">
        <v>29</v>
      </c>
      <c r="G146" s="875" t="s">
        <v>37</v>
      </c>
      <c r="H146" s="342"/>
      <c r="I146" s="345" t="s">
        <v>30</v>
      </c>
      <c r="J146" s="345">
        <v>130.0</v>
      </c>
      <c r="K146" s="875"/>
      <c r="L146" s="875" t="s">
        <v>31</v>
      </c>
      <c r="M146" s="875" t="s">
        <v>19780</v>
      </c>
      <c r="N146" s="345">
        <v>2016.0</v>
      </c>
      <c r="O146" s="875" t="s">
        <v>388</v>
      </c>
      <c r="P146" s="345">
        <v>1.0</v>
      </c>
      <c r="Q146" s="874">
        <v>1.0</v>
      </c>
      <c r="R146" s="863"/>
      <c r="S146" s="858"/>
      <c r="T146" s="858"/>
      <c r="U146" s="858"/>
      <c r="V146" s="858"/>
      <c r="W146" s="858"/>
      <c r="X146" s="858"/>
      <c r="Y146" s="858"/>
      <c r="Z146" s="858"/>
      <c r="AA146" s="858"/>
      <c r="AB146" s="858"/>
      <c r="AC146" s="858"/>
      <c r="AD146" s="858"/>
      <c r="AE146" s="858"/>
      <c r="AF146" s="858"/>
      <c r="AG146" s="858"/>
      <c r="AH146" s="858"/>
      <c r="AI146" s="858"/>
      <c r="AJ146" s="858"/>
    </row>
    <row r="147" ht="15.75" customHeight="1">
      <c r="A147" s="881" t="s">
        <v>19883</v>
      </c>
      <c r="B147" s="875" t="s">
        <v>19775</v>
      </c>
      <c r="C147" s="875" t="s">
        <v>19816</v>
      </c>
      <c r="D147" s="876" t="s">
        <v>19882</v>
      </c>
      <c r="E147" s="345" t="s">
        <v>13047</v>
      </c>
      <c r="F147" s="345" t="s">
        <v>29</v>
      </c>
      <c r="G147" s="875" t="s">
        <v>37</v>
      </c>
      <c r="H147" s="342"/>
      <c r="I147" s="345" t="s">
        <v>30</v>
      </c>
      <c r="J147" s="345">
        <v>130.0</v>
      </c>
      <c r="K147" s="875"/>
      <c r="L147" s="875" t="s">
        <v>31</v>
      </c>
      <c r="M147" s="875" t="s">
        <v>19780</v>
      </c>
      <c r="N147" s="345">
        <v>2016.0</v>
      </c>
      <c r="O147" s="875" t="s">
        <v>388</v>
      </c>
      <c r="P147" s="345">
        <v>1.0</v>
      </c>
      <c r="Q147" s="874">
        <v>1.0</v>
      </c>
      <c r="R147" s="863"/>
      <c r="S147" s="858"/>
      <c r="T147" s="858"/>
      <c r="U147" s="858"/>
      <c r="V147" s="858"/>
      <c r="W147" s="858"/>
      <c r="X147" s="858"/>
      <c r="Y147" s="858"/>
      <c r="Z147" s="858"/>
      <c r="AA147" s="858"/>
      <c r="AB147" s="858"/>
      <c r="AC147" s="858"/>
      <c r="AD147" s="858"/>
      <c r="AE147" s="858"/>
      <c r="AF147" s="858"/>
      <c r="AG147" s="858"/>
      <c r="AH147" s="858"/>
      <c r="AI147" s="858"/>
      <c r="AJ147" s="858"/>
    </row>
    <row r="148" ht="15.75" customHeight="1">
      <c r="A148" s="881" t="s">
        <v>19884</v>
      </c>
      <c r="B148" s="878" t="s">
        <v>19775</v>
      </c>
      <c r="C148" s="878" t="s">
        <v>19816</v>
      </c>
      <c r="D148" s="879" t="s">
        <v>19885</v>
      </c>
      <c r="E148" s="494" t="s">
        <v>13047</v>
      </c>
      <c r="F148" s="494" t="s">
        <v>29</v>
      </c>
      <c r="G148" s="878" t="s">
        <v>37</v>
      </c>
      <c r="H148" s="557"/>
      <c r="I148" s="494" t="s">
        <v>30</v>
      </c>
      <c r="J148" s="494">
        <v>130.0</v>
      </c>
      <c r="K148" s="878"/>
      <c r="L148" s="878" t="s">
        <v>31</v>
      </c>
      <c r="M148" s="878" t="s">
        <v>14949</v>
      </c>
      <c r="N148" s="494">
        <v>2016.0</v>
      </c>
      <c r="O148" s="878" t="s">
        <v>388</v>
      </c>
      <c r="P148" s="494">
        <v>1.0</v>
      </c>
      <c r="Q148" s="874">
        <v>1.0</v>
      </c>
      <c r="R148" s="863"/>
      <c r="S148" s="858"/>
      <c r="T148" s="858"/>
      <c r="U148" s="858"/>
      <c r="V148" s="858"/>
      <c r="W148" s="858"/>
      <c r="X148" s="858"/>
      <c r="Y148" s="858"/>
      <c r="Z148" s="858"/>
      <c r="AA148" s="858"/>
      <c r="AB148" s="858"/>
      <c r="AC148" s="858"/>
      <c r="AD148" s="858"/>
      <c r="AE148" s="858"/>
      <c r="AF148" s="858"/>
      <c r="AG148" s="858"/>
      <c r="AH148" s="858"/>
      <c r="AI148" s="858"/>
      <c r="AJ148" s="858"/>
    </row>
    <row r="149" ht="15.75" customHeight="1">
      <c r="A149" s="881" t="s">
        <v>19886</v>
      </c>
      <c r="B149" s="878" t="s">
        <v>19775</v>
      </c>
      <c r="C149" s="878" t="s">
        <v>19816</v>
      </c>
      <c r="D149" s="879" t="s">
        <v>19887</v>
      </c>
      <c r="E149" s="494" t="s">
        <v>13047</v>
      </c>
      <c r="F149" s="494" t="s">
        <v>29</v>
      </c>
      <c r="G149" s="878" t="s">
        <v>37</v>
      </c>
      <c r="H149" s="557"/>
      <c r="I149" s="494" t="s">
        <v>30</v>
      </c>
      <c r="J149" s="494">
        <v>130.0</v>
      </c>
      <c r="K149" s="878"/>
      <c r="L149" s="878" t="s">
        <v>31</v>
      </c>
      <c r="M149" s="878" t="s">
        <v>19780</v>
      </c>
      <c r="N149" s="494">
        <v>2017.0</v>
      </c>
      <c r="O149" s="878" t="s">
        <v>388</v>
      </c>
      <c r="P149" s="494">
        <v>1.0</v>
      </c>
      <c r="Q149" s="874">
        <v>1.0</v>
      </c>
      <c r="R149" s="863"/>
      <c r="S149" s="858"/>
      <c r="T149" s="858"/>
      <c r="U149" s="858"/>
      <c r="V149" s="858"/>
      <c r="W149" s="858"/>
      <c r="X149" s="858"/>
      <c r="Y149" s="858"/>
      <c r="Z149" s="858"/>
      <c r="AA149" s="858"/>
      <c r="AB149" s="858"/>
      <c r="AC149" s="858"/>
      <c r="AD149" s="858"/>
      <c r="AE149" s="858"/>
      <c r="AF149" s="858"/>
      <c r="AG149" s="858"/>
      <c r="AH149" s="858"/>
      <c r="AI149" s="858"/>
      <c r="AJ149" s="858"/>
    </row>
    <row r="150" ht="15.75" customHeight="1">
      <c r="A150" s="881" t="s">
        <v>19888</v>
      </c>
      <c r="B150" s="878" t="s">
        <v>19775</v>
      </c>
      <c r="C150" s="878" t="s">
        <v>19816</v>
      </c>
      <c r="D150" s="879" t="s">
        <v>19889</v>
      </c>
      <c r="E150" s="494" t="s">
        <v>13047</v>
      </c>
      <c r="F150" s="494" t="s">
        <v>29</v>
      </c>
      <c r="G150" s="878" t="s">
        <v>37</v>
      </c>
      <c r="H150" s="557"/>
      <c r="I150" s="494" t="s">
        <v>30</v>
      </c>
      <c r="J150" s="494">
        <v>130.0</v>
      </c>
      <c r="K150" s="878"/>
      <c r="L150" s="878" t="s">
        <v>31</v>
      </c>
      <c r="M150" s="878" t="s">
        <v>14949</v>
      </c>
      <c r="N150" s="494">
        <v>2017.0</v>
      </c>
      <c r="O150" s="878" t="s">
        <v>388</v>
      </c>
      <c r="P150" s="494">
        <v>1.0</v>
      </c>
      <c r="Q150" s="874">
        <v>1.0</v>
      </c>
      <c r="R150" s="863"/>
      <c r="S150" s="858"/>
      <c r="T150" s="858"/>
      <c r="U150" s="858"/>
      <c r="V150" s="858"/>
      <c r="W150" s="858"/>
      <c r="X150" s="858"/>
      <c r="Y150" s="858"/>
      <c r="Z150" s="858"/>
      <c r="AA150" s="858"/>
      <c r="AB150" s="858"/>
      <c r="AC150" s="858"/>
      <c r="AD150" s="858"/>
      <c r="AE150" s="858"/>
      <c r="AF150" s="858"/>
      <c r="AG150" s="858"/>
      <c r="AH150" s="858"/>
      <c r="AI150" s="858"/>
      <c r="AJ150" s="858"/>
    </row>
    <row r="151" ht="15.75" customHeight="1">
      <c r="A151" s="881" t="s">
        <v>19890</v>
      </c>
      <c r="B151" s="878" t="s">
        <v>19775</v>
      </c>
      <c r="C151" s="878" t="s">
        <v>19816</v>
      </c>
      <c r="D151" s="879" t="s">
        <v>19891</v>
      </c>
      <c r="E151" s="494" t="s">
        <v>13047</v>
      </c>
      <c r="F151" s="494" t="s">
        <v>29</v>
      </c>
      <c r="G151" s="878" t="s">
        <v>37</v>
      </c>
      <c r="H151" s="557"/>
      <c r="I151" s="494" t="s">
        <v>30</v>
      </c>
      <c r="J151" s="494">
        <v>130.0</v>
      </c>
      <c r="K151" s="878"/>
      <c r="L151" s="878" t="s">
        <v>31</v>
      </c>
      <c r="M151" s="878" t="s">
        <v>19780</v>
      </c>
      <c r="N151" s="494">
        <v>2017.0</v>
      </c>
      <c r="O151" s="878" t="s">
        <v>388</v>
      </c>
      <c r="P151" s="494">
        <v>1.0</v>
      </c>
      <c r="Q151" s="874">
        <v>1.0</v>
      </c>
      <c r="R151" s="863"/>
      <c r="S151" s="858"/>
      <c r="T151" s="858"/>
      <c r="U151" s="858"/>
      <c r="V151" s="858"/>
      <c r="W151" s="858"/>
      <c r="X151" s="858"/>
      <c r="Y151" s="858"/>
      <c r="Z151" s="858"/>
      <c r="AA151" s="858"/>
      <c r="AB151" s="858"/>
      <c r="AC151" s="858"/>
      <c r="AD151" s="858"/>
      <c r="AE151" s="858"/>
      <c r="AF151" s="858"/>
      <c r="AG151" s="858"/>
      <c r="AH151" s="858"/>
      <c r="AI151" s="858"/>
      <c r="AJ151" s="858"/>
    </row>
    <row r="152" ht="15.75" customHeight="1">
      <c r="A152" s="881" t="s">
        <v>19892</v>
      </c>
      <c r="B152" s="878" t="s">
        <v>19775</v>
      </c>
      <c r="C152" s="878" t="s">
        <v>19816</v>
      </c>
      <c r="D152" s="879" t="s">
        <v>19893</v>
      </c>
      <c r="E152" s="494" t="s">
        <v>13047</v>
      </c>
      <c r="F152" s="494" t="s">
        <v>29</v>
      </c>
      <c r="G152" s="878" t="s">
        <v>37</v>
      </c>
      <c r="H152" s="557"/>
      <c r="I152" s="494" t="s">
        <v>30</v>
      </c>
      <c r="J152" s="494">
        <v>130.0</v>
      </c>
      <c r="K152" s="878"/>
      <c r="L152" s="878" t="s">
        <v>31</v>
      </c>
      <c r="M152" s="878" t="s">
        <v>19780</v>
      </c>
      <c r="N152" s="494">
        <v>2017.0</v>
      </c>
      <c r="O152" s="878" t="s">
        <v>388</v>
      </c>
      <c r="P152" s="494">
        <v>1.0</v>
      </c>
      <c r="Q152" s="874">
        <v>1.0</v>
      </c>
      <c r="R152" s="863"/>
      <c r="S152" s="858"/>
      <c r="T152" s="858"/>
      <c r="U152" s="858"/>
      <c r="V152" s="858"/>
      <c r="W152" s="858"/>
      <c r="X152" s="858"/>
      <c r="Y152" s="858"/>
      <c r="Z152" s="858"/>
      <c r="AA152" s="858"/>
      <c r="AB152" s="858"/>
      <c r="AC152" s="858"/>
      <c r="AD152" s="858"/>
      <c r="AE152" s="858"/>
      <c r="AF152" s="858"/>
      <c r="AG152" s="858"/>
      <c r="AH152" s="858"/>
      <c r="AI152" s="858"/>
      <c r="AJ152" s="858"/>
    </row>
    <row r="153" ht="15.75" customHeight="1">
      <c r="A153" s="303"/>
      <c r="B153" s="878" t="s">
        <v>19775</v>
      </c>
      <c r="C153" s="878" t="s">
        <v>19816</v>
      </c>
      <c r="D153" s="879" t="s">
        <v>19894</v>
      </c>
      <c r="E153" s="494" t="s">
        <v>13047</v>
      </c>
      <c r="F153" s="494" t="s">
        <v>29</v>
      </c>
      <c r="G153" s="878" t="s">
        <v>37</v>
      </c>
      <c r="H153" s="557"/>
      <c r="I153" s="494" t="s">
        <v>30</v>
      </c>
      <c r="J153" s="494">
        <v>130.0</v>
      </c>
      <c r="K153" s="878"/>
      <c r="L153" s="878" t="s">
        <v>31</v>
      </c>
      <c r="M153" s="878" t="s">
        <v>19780</v>
      </c>
      <c r="N153" s="494">
        <v>2017.0</v>
      </c>
      <c r="O153" s="878" t="s">
        <v>388</v>
      </c>
      <c r="P153" s="494">
        <v>1.0</v>
      </c>
      <c r="Q153" s="874">
        <v>1.0</v>
      </c>
      <c r="R153" s="863"/>
      <c r="S153" s="858"/>
      <c r="T153" s="858"/>
      <c r="U153" s="858"/>
      <c r="V153" s="858"/>
      <c r="W153" s="858"/>
      <c r="X153" s="858"/>
      <c r="Y153" s="858"/>
      <c r="Z153" s="858"/>
      <c r="AA153" s="858"/>
      <c r="AB153" s="858"/>
      <c r="AC153" s="858"/>
      <c r="AD153" s="858"/>
      <c r="AE153" s="858"/>
      <c r="AF153" s="858"/>
      <c r="AG153" s="858"/>
      <c r="AH153" s="858"/>
      <c r="AI153" s="858"/>
      <c r="AJ153" s="858"/>
    </row>
    <row r="154" ht="15.75" customHeight="1">
      <c r="A154" s="881" t="s">
        <v>19895</v>
      </c>
      <c r="B154" s="878" t="s">
        <v>19775</v>
      </c>
      <c r="C154" s="878" t="s">
        <v>19816</v>
      </c>
      <c r="D154" s="879" t="s">
        <v>19896</v>
      </c>
      <c r="E154" s="494" t="s">
        <v>13047</v>
      </c>
      <c r="F154" s="494" t="s">
        <v>29</v>
      </c>
      <c r="G154" s="878" t="s">
        <v>37</v>
      </c>
      <c r="H154" s="557"/>
      <c r="I154" s="494" t="s">
        <v>30</v>
      </c>
      <c r="J154" s="494">
        <v>130.0</v>
      </c>
      <c r="K154" s="878"/>
      <c r="L154" s="878" t="s">
        <v>31</v>
      </c>
      <c r="M154" s="878" t="s">
        <v>14949</v>
      </c>
      <c r="N154" s="494">
        <v>2017.0</v>
      </c>
      <c r="O154" s="878" t="s">
        <v>388</v>
      </c>
      <c r="P154" s="494">
        <v>1.0</v>
      </c>
      <c r="Q154" s="874">
        <v>1.0</v>
      </c>
      <c r="R154" s="863"/>
      <c r="S154" s="858"/>
      <c r="T154" s="858"/>
      <c r="U154" s="858"/>
      <c r="V154" s="858"/>
      <c r="W154" s="858"/>
      <c r="X154" s="858"/>
      <c r="Y154" s="858"/>
      <c r="Z154" s="858"/>
      <c r="AA154" s="858"/>
      <c r="AB154" s="858"/>
      <c r="AC154" s="858"/>
      <c r="AD154" s="858"/>
      <c r="AE154" s="858"/>
      <c r="AF154" s="858"/>
      <c r="AG154" s="858"/>
      <c r="AH154" s="858"/>
      <c r="AI154" s="858"/>
      <c r="AJ154" s="858"/>
    </row>
    <row r="155" ht="15.75" customHeight="1">
      <c r="A155" s="881" t="s">
        <v>19897</v>
      </c>
      <c r="B155" s="878" t="s">
        <v>19775</v>
      </c>
      <c r="C155" s="878" t="s">
        <v>19816</v>
      </c>
      <c r="D155" s="879" t="s">
        <v>19898</v>
      </c>
      <c r="E155" s="494" t="s">
        <v>13047</v>
      </c>
      <c r="F155" s="494" t="s">
        <v>29</v>
      </c>
      <c r="G155" s="878" t="s">
        <v>37</v>
      </c>
      <c r="H155" s="557"/>
      <c r="I155" s="494" t="s">
        <v>30</v>
      </c>
      <c r="J155" s="494">
        <v>130.0</v>
      </c>
      <c r="K155" s="878"/>
      <c r="L155" s="878" t="s">
        <v>31</v>
      </c>
      <c r="M155" s="878" t="s">
        <v>14949</v>
      </c>
      <c r="N155" s="494">
        <v>2017.0</v>
      </c>
      <c r="O155" s="878" t="s">
        <v>388</v>
      </c>
      <c r="P155" s="494">
        <v>1.0</v>
      </c>
      <c r="Q155" s="874">
        <v>1.0</v>
      </c>
      <c r="R155" s="863"/>
      <c r="S155" s="858"/>
      <c r="T155" s="858"/>
      <c r="U155" s="858"/>
      <c r="V155" s="858"/>
      <c r="W155" s="858"/>
      <c r="X155" s="858"/>
      <c r="Y155" s="858"/>
      <c r="Z155" s="858"/>
      <c r="AA155" s="858"/>
      <c r="AB155" s="858"/>
      <c r="AC155" s="858"/>
      <c r="AD155" s="858"/>
      <c r="AE155" s="858"/>
      <c r="AF155" s="858"/>
      <c r="AG155" s="858"/>
      <c r="AH155" s="858"/>
      <c r="AI155" s="858"/>
      <c r="AJ155" s="858"/>
    </row>
    <row r="156" ht="15.75" customHeight="1">
      <c r="A156" s="881" t="s">
        <v>19899</v>
      </c>
      <c r="B156" s="878" t="s">
        <v>19775</v>
      </c>
      <c r="C156" s="878" t="s">
        <v>19816</v>
      </c>
      <c r="D156" s="879" t="s">
        <v>19900</v>
      </c>
      <c r="E156" s="494" t="s">
        <v>13047</v>
      </c>
      <c r="F156" s="494" t="s">
        <v>29</v>
      </c>
      <c r="G156" s="878" t="s">
        <v>37</v>
      </c>
      <c r="H156" s="557"/>
      <c r="I156" s="494" t="s">
        <v>30</v>
      </c>
      <c r="J156" s="494">
        <v>130.0</v>
      </c>
      <c r="K156" s="878"/>
      <c r="L156" s="878" t="s">
        <v>31</v>
      </c>
      <c r="M156" s="878" t="s">
        <v>14949</v>
      </c>
      <c r="N156" s="494">
        <v>2017.0</v>
      </c>
      <c r="O156" s="878" t="s">
        <v>388</v>
      </c>
      <c r="P156" s="494">
        <v>1.0</v>
      </c>
      <c r="Q156" s="874">
        <v>1.0</v>
      </c>
      <c r="R156" s="863"/>
      <c r="S156" s="858"/>
      <c r="T156" s="858"/>
      <c r="U156" s="858"/>
      <c r="V156" s="858"/>
      <c r="W156" s="858"/>
      <c r="X156" s="858"/>
      <c r="Y156" s="858"/>
      <c r="Z156" s="858"/>
      <c r="AA156" s="858"/>
      <c r="AB156" s="858"/>
      <c r="AC156" s="858"/>
      <c r="AD156" s="858"/>
      <c r="AE156" s="858"/>
      <c r="AF156" s="858"/>
      <c r="AG156" s="858"/>
      <c r="AH156" s="858"/>
      <c r="AI156" s="858"/>
      <c r="AJ156" s="858"/>
    </row>
    <row r="157" ht="15.75" customHeight="1">
      <c r="A157" s="881" t="s">
        <v>19901</v>
      </c>
      <c r="B157" s="878" t="s">
        <v>19775</v>
      </c>
      <c r="C157" s="878" t="s">
        <v>19816</v>
      </c>
      <c r="D157" s="879" t="s">
        <v>19902</v>
      </c>
      <c r="E157" s="494" t="s">
        <v>13047</v>
      </c>
      <c r="F157" s="494" t="s">
        <v>29</v>
      </c>
      <c r="G157" s="878" t="s">
        <v>37</v>
      </c>
      <c r="H157" s="557"/>
      <c r="I157" s="494" t="s">
        <v>30</v>
      </c>
      <c r="J157" s="494">
        <v>130.0</v>
      </c>
      <c r="K157" s="878"/>
      <c r="L157" s="878" t="s">
        <v>31</v>
      </c>
      <c r="M157" s="878" t="s">
        <v>19780</v>
      </c>
      <c r="N157" s="494">
        <v>2017.0</v>
      </c>
      <c r="O157" s="878" t="s">
        <v>388</v>
      </c>
      <c r="P157" s="494">
        <v>1.0</v>
      </c>
      <c r="Q157" s="874">
        <v>1.0</v>
      </c>
      <c r="R157" s="863"/>
      <c r="S157" s="858"/>
      <c r="T157" s="858"/>
      <c r="U157" s="858"/>
      <c r="V157" s="858"/>
      <c r="W157" s="858"/>
      <c r="X157" s="858"/>
      <c r="Y157" s="858"/>
      <c r="Z157" s="858"/>
      <c r="AA157" s="858"/>
      <c r="AB157" s="858"/>
      <c r="AC157" s="858"/>
      <c r="AD157" s="858"/>
      <c r="AE157" s="858"/>
      <c r="AF157" s="858"/>
      <c r="AG157" s="858"/>
      <c r="AH157" s="858"/>
      <c r="AI157" s="858"/>
      <c r="AJ157" s="858"/>
    </row>
    <row r="158" ht="15.75" customHeight="1">
      <c r="A158" s="881" t="s">
        <v>19903</v>
      </c>
      <c r="B158" s="878" t="s">
        <v>19775</v>
      </c>
      <c r="C158" s="878" t="s">
        <v>19816</v>
      </c>
      <c r="D158" s="879" t="s">
        <v>19904</v>
      </c>
      <c r="E158" s="494" t="s">
        <v>13047</v>
      </c>
      <c r="F158" s="494" t="s">
        <v>29</v>
      </c>
      <c r="G158" s="878" t="s">
        <v>37</v>
      </c>
      <c r="H158" s="557"/>
      <c r="I158" s="494" t="s">
        <v>30</v>
      </c>
      <c r="J158" s="494">
        <v>130.0</v>
      </c>
      <c r="K158" s="878"/>
      <c r="L158" s="878" t="s">
        <v>31</v>
      </c>
      <c r="M158" s="878" t="s">
        <v>14949</v>
      </c>
      <c r="N158" s="494">
        <v>2017.0</v>
      </c>
      <c r="O158" s="878" t="s">
        <v>388</v>
      </c>
      <c r="P158" s="494">
        <v>1.0</v>
      </c>
      <c r="Q158" s="874">
        <v>1.0</v>
      </c>
      <c r="R158" s="863"/>
      <c r="S158" s="858"/>
      <c r="T158" s="858"/>
      <c r="U158" s="858"/>
      <c r="V158" s="858"/>
      <c r="W158" s="858"/>
      <c r="X158" s="858"/>
      <c r="Y158" s="858"/>
      <c r="Z158" s="858"/>
      <c r="AA158" s="858"/>
      <c r="AB158" s="858"/>
      <c r="AC158" s="858"/>
      <c r="AD158" s="858"/>
      <c r="AE158" s="858"/>
      <c r="AF158" s="858"/>
      <c r="AG158" s="858"/>
      <c r="AH158" s="858"/>
      <c r="AI158" s="858"/>
      <c r="AJ158" s="858"/>
    </row>
    <row r="159" ht="15.75" customHeight="1">
      <c r="A159" s="881" t="s">
        <v>19905</v>
      </c>
      <c r="B159" s="878" t="s">
        <v>19775</v>
      </c>
      <c r="C159" s="878" t="s">
        <v>19816</v>
      </c>
      <c r="D159" s="879" t="s">
        <v>19906</v>
      </c>
      <c r="E159" s="494" t="s">
        <v>13047</v>
      </c>
      <c r="F159" s="494" t="s">
        <v>29</v>
      </c>
      <c r="G159" s="878" t="s">
        <v>37</v>
      </c>
      <c r="H159" s="557"/>
      <c r="I159" s="494" t="s">
        <v>30</v>
      </c>
      <c r="J159" s="494">
        <v>130.0</v>
      </c>
      <c r="K159" s="878"/>
      <c r="L159" s="878" t="s">
        <v>31</v>
      </c>
      <c r="M159" s="878" t="s">
        <v>19780</v>
      </c>
      <c r="N159" s="494">
        <v>2016.0</v>
      </c>
      <c r="O159" s="878" t="s">
        <v>388</v>
      </c>
      <c r="P159" s="494">
        <v>1.0</v>
      </c>
      <c r="Q159" s="874">
        <v>1.0</v>
      </c>
      <c r="R159" s="863"/>
      <c r="S159" s="858"/>
      <c r="T159" s="858"/>
      <c r="U159" s="858"/>
      <c r="V159" s="858"/>
      <c r="W159" s="858"/>
      <c r="X159" s="858"/>
      <c r="Y159" s="858"/>
      <c r="Z159" s="858"/>
      <c r="AA159" s="858"/>
      <c r="AB159" s="858"/>
      <c r="AC159" s="858"/>
      <c r="AD159" s="858"/>
      <c r="AE159" s="858"/>
      <c r="AF159" s="858"/>
      <c r="AG159" s="858"/>
      <c r="AH159" s="858"/>
      <c r="AI159" s="858"/>
      <c r="AJ159" s="858"/>
    </row>
    <row r="160" ht="15.75" customHeight="1">
      <c r="A160" s="881" t="s">
        <v>19907</v>
      </c>
      <c r="B160" s="878" t="s">
        <v>19775</v>
      </c>
      <c r="C160" s="878" t="s">
        <v>19816</v>
      </c>
      <c r="D160" s="879" t="s">
        <v>19908</v>
      </c>
      <c r="E160" s="494" t="s">
        <v>13047</v>
      </c>
      <c r="F160" s="494" t="s">
        <v>29</v>
      </c>
      <c r="G160" s="878" t="s">
        <v>37</v>
      </c>
      <c r="H160" s="557"/>
      <c r="I160" s="494" t="s">
        <v>30</v>
      </c>
      <c r="J160" s="494">
        <v>130.0</v>
      </c>
      <c r="K160" s="878"/>
      <c r="L160" s="878" t="s">
        <v>31</v>
      </c>
      <c r="M160" s="878" t="s">
        <v>19780</v>
      </c>
      <c r="N160" s="494">
        <v>2016.0</v>
      </c>
      <c r="O160" s="878" t="s">
        <v>388</v>
      </c>
      <c r="P160" s="494">
        <v>1.0</v>
      </c>
      <c r="Q160" s="874">
        <v>1.0</v>
      </c>
      <c r="R160" s="863"/>
      <c r="S160" s="858"/>
      <c r="T160" s="858"/>
      <c r="U160" s="858"/>
      <c r="V160" s="858"/>
      <c r="W160" s="858"/>
      <c r="X160" s="858"/>
      <c r="Y160" s="858"/>
      <c r="Z160" s="858"/>
      <c r="AA160" s="858"/>
      <c r="AB160" s="858"/>
      <c r="AC160" s="858"/>
      <c r="AD160" s="858"/>
      <c r="AE160" s="858"/>
      <c r="AF160" s="858"/>
      <c r="AG160" s="858"/>
      <c r="AH160" s="858"/>
      <c r="AI160" s="858"/>
      <c r="AJ160" s="858"/>
    </row>
    <row r="161" ht="15.75" customHeight="1">
      <c r="A161" s="303"/>
      <c r="B161" s="878"/>
      <c r="C161" s="878"/>
      <c r="D161" s="879" t="s">
        <v>19909</v>
      </c>
      <c r="E161" s="494" t="s">
        <v>13047</v>
      </c>
      <c r="F161" s="494" t="s">
        <v>29</v>
      </c>
      <c r="G161" s="878" t="s">
        <v>30</v>
      </c>
      <c r="H161" s="557"/>
      <c r="I161" s="494" t="s">
        <v>30</v>
      </c>
      <c r="J161" s="494">
        <v>130.0</v>
      </c>
      <c r="K161" s="878"/>
      <c r="L161" s="878"/>
      <c r="M161" s="878" t="s">
        <v>19780</v>
      </c>
      <c r="N161" s="494">
        <v>2017.0</v>
      </c>
      <c r="O161" s="878" t="s">
        <v>388</v>
      </c>
      <c r="P161" s="494">
        <v>1.0</v>
      </c>
      <c r="Q161" s="874">
        <v>1.0</v>
      </c>
      <c r="R161" s="863"/>
      <c r="S161" s="858"/>
      <c r="T161" s="858"/>
      <c r="U161" s="858"/>
      <c r="V161" s="858"/>
      <c r="W161" s="858"/>
      <c r="X161" s="858"/>
      <c r="Y161" s="858"/>
      <c r="Z161" s="858"/>
      <c r="AA161" s="858"/>
      <c r="AB161" s="858"/>
      <c r="AC161" s="858"/>
      <c r="AD161" s="858"/>
      <c r="AE161" s="858"/>
      <c r="AF161" s="858"/>
      <c r="AG161" s="858"/>
      <c r="AH161" s="858"/>
      <c r="AI161" s="858"/>
      <c r="AJ161" s="858"/>
    </row>
    <row r="162" ht="171.75" customHeight="1">
      <c r="A162" s="881" t="s">
        <v>19910</v>
      </c>
      <c r="B162" s="875" t="s">
        <v>31</v>
      </c>
      <c r="C162" s="875" t="s">
        <v>31</v>
      </c>
      <c r="D162" s="876" t="s">
        <v>19911</v>
      </c>
      <c r="E162" s="345" t="s">
        <v>13047</v>
      </c>
      <c r="F162" s="345" t="s">
        <v>29</v>
      </c>
      <c r="G162" s="345" t="s">
        <v>131</v>
      </c>
      <c r="H162" s="342"/>
      <c r="I162" s="345" t="s">
        <v>38</v>
      </c>
      <c r="J162" s="345">
        <v>205.0</v>
      </c>
      <c r="K162" s="875"/>
      <c r="L162" s="875" t="s">
        <v>19912</v>
      </c>
      <c r="M162" s="875" t="s">
        <v>3465</v>
      </c>
      <c r="N162" s="345">
        <v>2010.0</v>
      </c>
      <c r="O162" s="875" t="s">
        <v>388</v>
      </c>
      <c r="P162" s="345">
        <v>1.0</v>
      </c>
      <c r="Q162" s="874">
        <v>1.0</v>
      </c>
      <c r="R162" s="863"/>
      <c r="S162" s="858"/>
      <c r="T162" s="858"/>
      <c r="U162" s="858"/>
      <c r="V162" s="858"/>
      <c r="W162" s="858"/>
      <c r="X162" s="858"/>
      <c r="Y162" s="858"/>
      <c r="Z162" s="858"/>
      <c r="AA162" s="858"/>
      <c r="AB162" s="858"/>
      <c r="AC162" s="858"/>
      <c r="AD162" s="858"/>
      <c r="AE162" s="858"/>
      <c r="AF162" s="858"/>
      <c r="AG162" s="858"/>
      <c r="AH162" s="858"/>
      <c r="AI162" s="858"/>
      <c r="AJ162" s="858"/>
    </row>
    <row r="163" ht="15.75" customHeight="1">
      <c r="A163" s="881" t="s">
        <v>19913</v>
      </c>
      <c r="B163" s="875" t="s">
        <v>31</v>
      </c>
      <c r="C163" s="875" t="s">
        <v>31</v>
      </c>
      <c r="D163" s="876" t="s">
        <v>19914</v>
      </c>
      <c r="E163" s="345" t="s">
        <v>13047</v>
      </c>
      <c r="F163" s="345" t="s">
        <v>29</v>
      </c>
      <c r="G163" s="345" t="s">
        <v>131</v>
      </c>
      <c r="H163" s="342"/>
      <c r="I163" s="345" t="s">
        <v>38</v>
      </c>
      <c r="J163" s="345">
        <v>104.0</v>
      </c>
      <c r="K163" s="875"/>
      <c r="L163" s="882"/>
      <c r="M163" s="875" t="s">
        <v>3465</v>
      </c>
      <c r="N163" s="345">
        <v>2011.0</v>
      </c>
      <c r="O163" s="875" t="s">
        <v>388</v>
      </c>
      <c r="P163" s="345">
        <v>1.0</v>
      </c>
      <c r="Q163" s="874">
        <v>1.0</v>
      </c>
      <c r="R163" s="863"/>
      <c r="S163" s="858"/>
      <c r="T163" s="858"/>
      <c r="U163" s="858"/>
      <c r="V163" s="858"/>
      <c r="W163" s="858"/>
      <c r="X163" s="858"/>
      <c r="Y163" s="858"/>
      <c r="Z163" s="858"/>
      <c r="AA163" s="858"/>
      <c r="AB163" s="858"/>
      <c r="AC163" s="858"/>
      <c r="AD163" s="858"/>
      <c r="AE163" s="858"/>
      <c r="AF163" s="858"/>
      <c r="AG163" s="858"/>
      <c r="AH163" s="858"/>
      <c r="AI163" s="858"/>
      <c r="AJ163" s="858"/>
    </row>
    <row r="164" ht="15.75" customHeight="1">
      <c r="A164" s="881" t="s">
        <v>19915</v>
      </c>
      <c r="B164" s="875"/>
      <c r="C164" s="875" t="s">
        <v>31</v>
      </c>
      <c r="D164" s="876" t="s">
        <v>19916</v>
      </c>
      <c r="E164" s="345" t="s">
        <v>13047</v>
      </c>
      <c r="F164" s="345" t="s">
        <v>29</v>
      </c>
      <c r="G164" s="345" t="s">
        <v>131</v>
      </c>
      <c r="H164" s="342"/>
      <c r="I164" s="345" t="s">
        <v>38</v>
      </c>
      <c r="J164" s="345">
        <f>342-227</f>
        <v>115</v>
      </c>
      <c r="K164" s="875"/>
      <c r="L164" s="875" t="s">
        <v>19917</v>
      </c>
      <c r="M164" s="875" t="s">
        <v>3465</v>
      </c>
      <c r="N164" s="345">
        <v>2015.0</v>
      </c>
      <c r="O164" s="875" t="s">
        <v>388</v>
      </c>
      <c r="P164" s="345">
        <v>1.0</v>
      </c>
      <c r="Q164" s="874">
        <v>1.0</v>
      </c>
      <c r="R164" s="863"/>
      <c r="S164" s="858"/>
      <c r="T164" s="858"/>
      <c r="U164" s="858"/>
      <c r="V164" s="858"/>
      <c r="W164" s="858"/>
      <c r="X164" s="858"/>
      <c r="Y164" s="858"/>
      <c r="Z164" s="858"/>
      <c r="AA164" s="858"/>
      <c r="AB164" s="858"/>
      <c r="AC164" s="858"/>
      <c r="AD164" s="858"/>
      <c r="AE164" s="858"/>
      <c r="AF164" s="858"/>
      <c r="AG164" s="858"/>
      <c r="AH164" s="858"/>
      <c r="AI164" s="858"/>
      <c r="AJ164" s="858"/>
    </row>
    <row r="165" ht="15.75" customHeight="1">
      <c r="A165" s="881" t="s">
        <v>19918</v>
      </c>
      <c r="B165" s="875"/>
      <c r="C165" s="875" t="s">
        <v>31</v>
      </c>
      <c r="D165" s="876" t="s">
        <v>19919</v>
      </c>
      <c r="E165" s="345" t="s">
        <v>13047</v>
      </c>
      <c r="F165" s="345" t="s">
        <v>29</v>
      </c>
      <c r="G165" s="345" t="s">
        <v>131</v>
      </c>
      <c r="H165" s="342"/>
      <c r="I165" s="345" t="s">
        <v>38</v>
      </c>
      <c r="J165" s="345"/>
      <c r="K165" s="875"/>
      <c r="L165" s="875" t="s">
        <v>19920</v>
      </c>
      <c r="M165" s="875" t="s">
        <v>3465</v>
      </c>
      <c r="N165" s="345">
        <v>2015.0</v>
      </c>
      <c r="O165" s="875" t="s">
        <v>388</v>
      </c>
      <c r="P165" s="345">
        <v>1.0</v>
      </c>
      <c r="Q165" s="874">
        <v>1.0</v>
      </c>
      <c r="R165" s="863"/>
      <c r="S165" s="858"/>
      <c r="T165" s="858"/>
      <c r="U165" s="858"/>
      <c r="V165" s="858"/>
      <c r="W165" s="858"/>
      <c r="X165" s="858"/>
      <c r="Y165" s="858"/>
      <c r="Z165" s="858"/>
      <c r="AA165" s="858"/>
      <c r="AB165" s="858"/>
      <c r="AC165" s="858"/>
      <c r="AD165" s="858"/>
      <c r="AE165" s="858"/>
      <c r="AF165" s="858"/>
      <c r="AG165" s="858"/>
      <c r="AH165" s="858"/>
      <c r="AI165" s="858"/>
      <c r="AJ165" s="858"/>
    </row>
    <row r="166" ht="15.75" customHeight="1">
      <c r="A166" s="881" t="s">
        <v>19921</v>
      </c>
      <c r="B166" s="875"/>
      <c r="C166" s="875" t="s">
        <v>19922</v>
      </c>
      <c r="D166" s="876" t="s">
        <v>19923</v>
      </c>
      <c r="E166" s="345" t="s">
        <v>13047</v>
      </c>
      <c r="F166" s="345" t="s">
        <v>29</v>
      </c>
      <c r="G166" s="345" t="s">
        <v>131</v>
      </c>
      <c r="H166" s="342"/>
      <c r="I166" s="345" t="s">
        <v>38</v>
      </c>
      <c r="J166" s="345">
        <v>478.0</v>
      </c>
      <c r="K166" s="875"/>
      <c r="L166" s="875" t="s">
        <v>19924</v>
      </c>
      <c r="M166" s="875" t="s">
        <v>3465</v>
      </c>
      <c r="N166" s="345">
        <v>2012.0</v>
      </c>
      <c r="O166" s="875" t="s">
        <v>388</v>
      </c>
      <c r="P166" s="345">
        <v>1.0</v>
      </c>
      <c r="Q166" s="874">
        <v>1.0</v>
      </c>
      <c r="R166" s="863"/>
      <c r="S166" s="858"/>
      <c r="T166" s="858"/>
      <c r="U166" s="858"/>
      <c r="V166" s="858"/>
      <c r="W166" s="858"/>
      <c r="X166" s="858"/>
      <c r="Y166" s="858"/>
      <c r="Z166" s="858"/>
      <c r="AA166" s="858"/>
      <c r="AB166" s="858"/>
      <c r="AC166" s="858"/>
      <c r="AD166" s="858"/>
      <c r="AE166" s="858"/>
      <c r="AF166" s="858"/>
      <c r="AG166" s="858"/>
      <c r="AH166" s="858"/>
      <c r="AI166" s="858"/>
      <c r="AJ166" s="858"/>
    </row>
    <row r="167" ht="15.75" customHeight="1">
      <c r="A167" s="881" t="s">
        <v>19925</v>
      </c>
      <c r="B167" s="875" t="s">
        <v>31</v>
      </c>
      <c r="C167" s="875" t="s">
        <v>31</v>
      </c>
      <c r="D167" s="876" t="s">
        <v>19926</v>
      </c>
      <c r="E167" s="345" t="s">
        <v>13047</v>
      </c>
      <c r="F167" s="345" t="s">
        <v>29</v>
      </c>
      <c r="G167" s="345" t="s">
        <v>131</v>
      </c>
      <c r="H167" s="342"/>
      <c r="I167" s="345" t="s">
        <v>38</v>
      </c>
      <c r="J167" s="345">
        <v>669.0</v>
      </c>
      <c r="K167" s="875"/>
      <c r="L167" s="875" t="s">
        <v>19927</v>
      </c>
      <c r="M167" s="875" t="s">
        <v>3465</v>
      </c>
      <c r="N167" s="345">
        <v>2012.0</v>
      </c>
      <c r="O167" s="875" t="s">
        <v>388</v>
      </c>
      <c r="P167" s="345">
        <v>1.0</v>
      </c>
      <c r="Q167" s="874">
        <v>1.0</v>
      </c>
      <c r="R167" s="863"/>
      <c r="S167" s="858"/>
      <c r="T167" s="858"/>
      <c r="U167" s="858"/>
      <c r="V167" s="858"/>
      <c r="W167" s="858"/>
      <c r="X167" s="858"/>
      <c r="Y167" s="858"/>
      <c r="Z167" s="858"/>
      <c r="AA167" s="858"/>
      <c r="AB167" s="858"/>
      <c r="AC167" s="858"/>
      <c r="AD167" s="858"/>
      <c r="AE167" s="858"/>
      <c r="AF167" s="858"/>
      <c r="AG167" s="858"/>
      <c r="AH167" s="858"/>
      <c r="AI167" s="858"/>
      <c r="AJ167" s="858"/>
    </row>
    <row r="168" ht="15.75" customHeight="1">
      <c r="A168" s="881" t="s">
        <v>19928</v>
      </c>
      <c r="B168" s="875" t="s">
        <v>19929</v>
      </c>
      <c r="C168" s="875" t="s">
        <v>31</v>
      </c>
      <c r="D168" s="876" t="s">
        <v>19930</v>
      </c>
      <c r="E168" s="345" t="s">
        <v>13047</v>
      </c>
      <c r="F168" s="345" t="s">
        <v>29</v>
      </c>
      <c r="G168" s="345" t="s">
        <v>131</v>
      </c>
      <c r="H168" s="342"/>
      <c r="I168" s="345" t="s">
        <v>38</v>
      </c>
      <c r="J168" s="345">
        <v>116.0</v>
      </c>
      <c r="K168" s="875"/>
      <c r="L168" s="875" t="s">
        <v>19931</v>
      </c>
      <c r="M168" s="875" t="s">
        <v>3465</v>
      </c>
      <c r="N168" s="345">
        <v>2013.0</v>
      </c>
      <c r="O168" s="875" t="s">
        <v>388</v>
      </c>
      <c r="P168" s="345">
        <v>1.0</v>
      </c>
      <c r="Q168" s="874">
        <v>1.0</v>
      </c>
      <c r="R168" s="863"/>
      <c r="S168" s="858"/>
      <c r="T168" s="858"/>
      <c r="U168" s="858"/>
      <c r="V168" s="858"/>
      <c r="W168" s="858"/>
      <c r="X168" s="858"/>
      <c r="Y168" s="858"/>
      <c r="Z168" s="858"/>
      <c r="AA168" s="858"/>
      <c r="AB168" s="858"/>
      <c r="AC168" s="858"/>
      <c r="AD168" s="858"/>
      <c r="AE168" s="858"/>
      <c r="AF168" s="858"/>
      <c r="AG168" s="858"/>
      <c r="AH168" s="858"/>
      <c r="AI168" s="858"/>
      <c r="AJ168" s="858"/>
    </row>
    <row r="169" ht="15.75" customHeight="1">
      <c r="A169" s="881" t="s">
        <v>19932</v>
      </c>
      <c r="B169" s="875" t="s">
        <v>31</v>
      </c>
      <c r="C169" s="875" t="s">
        <v>31</v>
      </c>
      <c r="D169" s="876" t="s">
        <v>19933</v>
      </c>
      <c r="E169" s="345" t="s">
        <v>13047</v>
      </c>
      <c r="F169" s="345" t="s">
        <v>29</v>
      </c>
      <c r="G169" s="345" t="s">
        <v>131</v>
      </c>
      <c r="H169" s="342"/>
      <c r="I169" s="345" t="s">
        <v>38</v>
      </c>
      <c r="J169" s="345">
        <v>727.0</v>
      </c>
      <c r="K169" s="875"/>
      <c r="L169" s="875" t="s">
        <v>19934</v>
      </c>
      <c r="M169" s="875" t="s">
        <v>3465</v>
      </c>
      <c r="N169" s="345">
        <v>2011.0</v>
      </c>
      <c r="O169" s="875" t="s">
        <v>388</v>
      </c>
      <c r="P169" s="345">
        <v>1.0</v>
      </c>
      <c r="Q169" s="874">
        <v>1.0</v>
      </c>
      <c r="R169" s="863"/>
      <c r="S169" s="858"/>
      <c r="T169" s="858"/>
      <c r="U169" s="858"/>
      <c r="V169" s="858"/>
      <c r="W169" s="858"/>
      <c r="X169" s="858"/>
      <c r="Y169" s="858"/>
      <c r="Z169" s="858"/>
      <c r="AA169" s="858"/>
      <c r="AB169" s="858"/>
      <c r="AC169" s="858"/>
      <c r="AD169" s="858"/>
      <c r="AE169" s="858"/>
      <c r="AF169" s="858"/>
      <c r="AG169" s="858"/>
      <c r="AH169" s="858"/>
      <c r="AI169" s="858"/>
      <c r="AJ169" s="858"/>
    </row>
    <row r="170" ht="15.75" customHeight="1">
      <c r="A170" s="881" t="s">
        <v>19935</v>
      </c>
      <c r="B170" s="875" t="s">
        <v>31</v>
      </c>
      <c r="C170" s="875" t="s">
        <v>31</v>
      </c>
      <c r="D170" s="876" t="s">
        <v>19936</v>
      </c>
      <c r="E170" s="345" t="s">
        <v>13047</v>
      </c>
      <c r="F170" s="345" t="s">
        <v>29</v>
      </c>
      <c r="G170" s="345" t="s">
        <v>131</v>
      </c>
      <c r="H170" s="342"/>
      <c r="I170" s="345" t="s">
        <v>38</v>
      </c>
      <c r="J170" s="345">
        <v>131.0</v>
      </c>
      <c r="K170" s="875"/>
      <c r="L170" s="875" t="s">
        <v>19937</v>
      </c>
      <c r="M170" s="875" t="s">
        <v>3465</v>
      </c>
      <c r="N170" s="345">
        <v>2012.0</v>
      </c>
      <c r="O170" s="875" t="s">
        <v>388</v>
      </c>
      <c r="P170" s="345">
        <v>1.0</v>
      </c>
      <c r="Q170" s="874">
        <v>1.0</v>
      </c>
      <c r="R170" s="863"/>
      <c r="S170" s="858"/>
      <c r="T170" s="858"/>
      <c r="U170" s="858"/>
      <c r="V170" s="858"/>
      <c r="W170" s="858"/>
      <c r="X170" s="858"/>
      <c r="Y170" s="858"/>
      <c r="Z170" s="858"/>
      <c r="AA170" s="858"/>
      <c r="AB170" s="858"/>
      <c r="AC170" s="858"/>
      <c r="AD170" s="858"/>
      <c r="AE170" s="858"/>
      <c r="AF170" s="858"/>
      <c r="AG170" s="858"/>
      <c r="AH170" s="858"/>
      <c r="AI170" s="858"/>
      <c r="AJ170" s="858"/>
    </row>
    <row r="171" ht="15.75" customHeight="1">
      <c r="A171" s="881" t="s">
        <v>19938</v>
      </c>
      <c r="B171" s="875" t="s">
        <v>31</v>
      </c>
      <c r="C171" s="875" t="s">
        <v>31</v>
      </c>
      <c r="D171" s="876" t="s">
        <v>19939</v>
      </c>
      <c r="E171" s="345" t="s">
        <v>13047</v>
      </c>
      <c r="F171" s="345" t="s">
        <v>29</v>
      </c>
      <c r="G171" s="345" t="s">
        <v>131</v>
      </c>
      <c r="H171" s="342"/>
      <c r="I171" s="345" t="s">
        <v>38</v>
      </c>
      <c r="J171" s="345">
        <v>298.0</v>
      </c>
      <c r="K171" s="875"/>
      <c r="L171" s="875" t="s">
        <v>19940</v>
      </c>
      <c r="M171" s="875" t="s">
        <v>3465</v>
      </c>
      <c r="N171" s="345">
        <v>2012.0</v>
      </c>
      <c r="O171" s="875" t="s">
        <v>388</v>
      </c>
      <c r="P171" s="345">
        <v>1.0</v>
      </c>
      <c r="Q171" s="874">
        <v>1.0</v>
      </c>
      <c r="R171" s="863"/>
      <c r="S171" s="858"/>
      <c r="T171" s="858"/>
      <c r="U171" s="858"/>
      <c r="V171" s="858"/>
      <c r="W171" s="858"/>
      <c r="X171" s="858"/>
      <c r="Y171" s="858"/>
      <c r="Z171" s="858"/>
      <c r="AA171" s="858"/>
      <c r="AB171" s="858"/>
      <c r="AC171" s="858"/>
      <c r="AD171" s="858"/>
      <c r="AE171" s="858"/>
      <c r="AF171" s="858"/>
      <c r="AG171" s="858"/>
      <c r="AH171" s="858"/>
      <c r="AI171" s="858"/>
      <c r="AJ171" s="858"/>
    </row>
    <row r="172" ht="15.75" customHeight="1">
      <c r="A172" s="881" t="s">
        <v>19941</v>
      </c>
      <c r="B172" s="875" t="s">
        <v>31</v>
      </c>
      <c r="C172" s="875" t="s">
        <v>31</v>
      </c>
      <c r="D172" s="876" t="s">
        <v>19942</v>
      </c>
      <c r="E172" s="345" t="s">
        <v>13047</v>
      </c>
      <c r="F172" s="345" t="s">
        <v>29</v>
      </c>
      <c r="G172" s="345" t="s">
        <v>131</v>
      </c>
      <c r="H172" s="342"/>
      <c r="I172" s="345" t="s">
        <v>38</v>
      </c>
      <c r="J172" s="345">
        <v>549.0</v>
      </c>
      <c r="K172" s="875"/>
      <c r="L172" s="875" t="s">
        <v>19943</v>
      </c>
      <c r="M172" s="875" t="s">
        <v>3465</v>
      </c>
      <c r="N172" s="345">
        <v>2011.0</v>
      </c>
      <c r="O172" s="875" t="s">
        <v>388</v>
      </c>
      <c r="P172" s="345">
        <v>1.0</v>
      </c>
      <c r="Q172" s="874">
        <v>1.0</v>
      </c>
      <c r="R172" s="863"/>
      <c r="S172" s="858"/>
      <c r="T172" s="858"/>
      <c r="U172" s="858"/>
      <c r="V172" s="858"/>
      <c r="W172" s="858"/>
      <c r="X172" s="858"/>
      <c r="Y172" s="858"/>
      <c r="Z172" s="858"/>
      <c r="AA172" s="858"/>
      <c r="AB172" s="858"/>
      <c r="AC172" s="858"/>
      <c r="AD172" s="858"/>
      <c r="AE172" s="858"/>
      <c r="AF172" s="858"/>
      <c r="AG172" s="858"/>
      <c r="AH172" s="858"/>
      <c r="AI172" s="858"/>
      <c r="AJ172" s="858"/>
    </row>
    <row r="173" ht="15.75" customHeight="1">
      <c r="A173" s="881" t="s">
        <v>19944</v>
      </c>
      <c r="B173" s="875" t="s">
        <v>31</v>
      </c>
      <c r="C173" s="875" t="s">
        <v>31</v>
      </c>
      <c r="D173" s="876" t="s">
        <v>19945</v>
      </c>
      <c r="E173" s="345" t="s">
        <v>13047</v>
      </c>
      <c r="F173" s="345" t="s">
        <v>29</v>
      </c>
      <c r="G173" s="345" t="s">
        <v>131</v>
      </c>
      <c r="H173" s="342"/>
      <c r="I173" s="345" t="s">
        <v>38</v>
      </c>
      <c r="J173" s="345">
        <v>337.0</v>
      </c>
      <c r="K173" s="875"/>
      <c r="L173" s="875" t="s">
        <v>19946</v>
      </c>
      <c r="M173" s="875" t="s">
        <v>3465</v>
      </c>
      <c r="N173" s="345">
        <v>2011.0</v>
      </c>
      <c r="O173" s="875" t="s">
        <v>388</v>
      </c>
      <c r="P173" s="345">
        <v>1.0</v>
      </c>
      <c r="Q173" s="874">
        <v>1.0</v>
      </c>
      <c r="R173" s="863"/>
      <c r="S173" s="858"/>
      <c r="T173" s="858"/>
      <c r="U173" s="858"/>
      <c r="V173" s="858"/>
      <c r="W173" s="858"/>
      <c r="X173" s="858"/>
      <c r="Y173" s="858"/>
      <c r="Z173" s="858"/>
      <c r="AA173" s="858"/>
      <c r="AB173" s="858"/>
      <c r="AC173" s="858"/>
      <c r="AD173" s="858"/>
      <c r="AE173" s="858"/>
      <c r="AF173" s="858"/>
      <c r="AG173" s="858"/>
      <c r="AH173" s="858"/>
      <c r="AI173" s="858"/>
      <c r="AJ173" s="858"/>
    </row>
    <row r="174" ht="15.75" customHeight="1">
      <c r="A174" s="881" t="s">
        <v>19947</v>
      </c>
      <c r="B174" s="875" t="s">
        <v>31</v>
      </c>
      <c r="C174" s="875" t="s">
        <v>31</v>
      </c>
      <c r="D174" s="876" t="s">
        <v>19948</v>
      </c>
      <c r="E174" s="345" t="s">
        <v>13047</v>
      </c>
      <c r="F174" s="345" t="s">
        <v>29</v>
      </c>
      <c r="G174" s="345" t="s">
        <v>131</v>
      </c>
      <c r="H174" s="342"/>
      <c r="I174" s="345" t="s">
        <v>38</v>
      </c>
      <c r="J174" s="345">
        <v>164.0</v>
      </c>
      <c r="K174" s="875"/>
      <c r="L174" s="875" t="s">
        <v>19949</v>
      </c>
      <c r="M174" s="875" t="s">
        <v>3465</v>
      </c>
      <c r="N174" s="345">
        <v>2010.0</v>
      </c>
      <c r="O174" s="875" t="s">
        <v>388</v>
      </c>
      <c r="P174" s="345">
        <v>1.0</v>
      </c>
      <c r="Q174" s="874">
        <v>1.0</v>
      </c>
      <c r="R174" s="863"/>
      <c r="S174" s="858"/>
      <c r="T174" s="858"/>
      <c r="U174" s="858"/>
      <c r="V174" s="858"/>
      <c r="W174" s="858"/>
      <c r="X174" s="858"/>
      <c r="Y174" s="858"/>
      <c r="Z174" s="858"/>
      <c r="AA174" s="858"/>
      <c r="AB174" s="858"/>
      <c r="AC174" s="858"/>
      <c r="AD174" s="858"/>
      <c r="AE174" s="858"/>
      <c r="AF174" s="858"/>
      <c r="AG174" s="858"/>
      <c r="AH174" s="858"/>
      <c r="AI174" s="858"/>
      <c r="AJ174" s="858"/>
    </row>
    <row r="175" ht="15.75" customHeight="1">
      <c r="A175" s="881" t="s">
        <v>19950</v>
      </c>
      <c r="B175" s="875" t="s">
        <v>31</v>
      </c>
      <c r="C175" s="875" t="s">
        <v>31</v>
      </c>
      <c r="D175" s="876" t="s">
        <v>19951</v>
      </c>
      <c r="E175" s="345" t="s">
        <v>13047</v>
      </c>
      <c r="F175" s="345" t="s">
        <v>29</v>
      </c>
      <c r="G175" s="345" t="s">
        <v>131</v>
      </c>
      <c r="H175" s="342"/>
      <c r="I175" s="345" t="s">
        <v>38</v>
      </c>
      <c r="J175" s="345">
        <v>307.0</v>
      </c>
      <c r="K175" s="875"/>
      <c r="L175" s="875" t="s">
        <v>19952</v>
      </c>
      <c r="M175" s="875" t="s">
        <v>3465</v>
      </c>
      <c r="N175" s="345">
        <v>2010.0</v>
      </c>
      <c r="O175" s="875" t="s">
        <v>388</v>
      </c>
      <c r="P175" s="345">
        <v>1.0</v>
      </c>
      <c r="Q175" s="874">
        <v>1.0</v>
      </c>
      <c r="R175" s="863"/>
      <c r="S175" s="858"/>
      <c r="T175" s="858"/>
      <c r="U175" s="858"/>
      <c r="V175" s="858"/>
      <c r="W175" s="858"/>
      <c r="X175" s="858"/>
      <c r="Y175" s="858"/>
      <c r="Z175" s="858"/>
      <c r="AA175" s="858"/>
      <c r="AB175" s="858"/>
      <c r="AC175" s="858"/>
      <c r="AD175" s="858"/>
      <c r="AE175" s="858"/>
      <c r="AF175" s="858"/>
      <c r="AG175" s="858"/>
      <c r="AH175" s="858"/>
      <c r="AI175" s="858"/>
      <c r="AJ175" s="858"/>
    </row>
    <row r="176" ht="15.75" customHeight="1">
      <c r="A176" s="881" t="s">
        <v>19953</v>
      </c>
      <c r="B176" s="875"/>
      <c r="C176" s="875"/>
      <c r="D176" s="876" t="s">
        <v>19954</v>
      </c>
      <c r="E176" s="345" t="s">
        <v>13047</v>
      </c>
      <c r="F176" s="345" t="s">
        <v>29</v>
      </c>
      <c r="G176" s="345" t="s">
        <v>131</v>
      </c>
      <c r="H176" s="342"/>
      <c r="I176" s="345" t="s">
        <v>38</v>
      </c>
      <c r="J176" s="345"/>
      <c r="K176" s="875"/>
      <c r="L176" s="875" t="s">
        <v>19955</v>
      </c>
      <c r="M176" s="875"/>
      <c r="N176" s="345"/>
      <c r="O176" s="875" t="s">
        <v>388</v>
      </c>
      <c r="P176" s="345">
        <v>1.0</v>
      </c>
      <c r="Q176" s="874">
        <v>1.0</v>
      </c>
      <c r="R176" s="863"/>
      <c r="S176" s="858"/>
      <c r="T176" s="858"/>
      <c r="U176" s="858"/>
      <c r="V176" s="858"/>
      <c r="W176" s="858"/>
      <c r="X176" s="858"/>
      <c r="Y176" s="858"/>
      <c r="Z176" s="858"/>
      <c r="AA176" s="858"/>
      <c r="AB176" s="858"/>
      <c r="AC176" s="858"/>
      <c r="AD176" s="858"/>
      <c r="AE176" s="858"/>
      <c r="AF176" s="858"/>
      <c r="AG176" s="858"/>
      <c r="AH176" s="858"/>
      <c r="AI176" s="858"/>
      <c r="AJ176" s="858"/>
    </row>
    <row r="177" ht="15.75" customHeight="1">
      <c r="A177" s="881" t="s">
        <v>19956</v>
      </c>
      <c r="B177" s="875" t="s">
        <v>19957</v>
      </c>
      <c r="C177" s="875"/>
      <c r="D177" s="876" t="s">
        <v>19958</v>
      </c>
      <c r="E177" s="345" t="s">
        <v>13047</v>
      </c>
      <c r="F177" s="345" t="s">
        <v>29</v>
      </c>
      <c r="G177" s="345" t="s">
        <v>131</v>
      </c>
      <c r="H177" s="342"/>
      <c r="I177" s="345" t="s">
        <v>38</v>
      </c>
      <c r="J177" s="345">
        <f>506-339</f>
        <v>167</v>
      </c>
      <c r="K177" s="875"/>
      <c r="L177" s="875" t="s">
        <v>19959</v>
      </c>
      <c r="M177" s="875" t="s">
        <v>3465</v>
      </c>
      <c r="N177" s="345">
        <v>2015.0</v>
      </c>
      <c r="O177" s="875" t="s">
        <v>388</v>
      </c>
      <c r="P177" s="345">
        <v>1.0</v>
      </c>
      <c r="Q177" s="874">
        <v>1.0</v>
      </c>
      <c r="R177" s="863"/>
      <c r="S177" s="858"/>
      <c r="T177" s="858"/>
      <c r="U177" s="858"/>
      <c r="V177" s="858"/>
      <c r="W177" s="858"/>
      <c r="X177" s="858"/>
      <c r="Y177" s="858"/>
      <c r="Z177" s="858"/>
      <c r="AA177" s="858"/>
      <c r="AB177" s="858"/>
      <c r="AC177" s="858"/>
      <c r="AD177" s="858"/>
      <c r="AE177" s="858"/>
      <c r="AF177" s="858"/>
      <c r="AG177" s="858"/>
      <c r="AH177" s="858"/>
      <c r="AI177" s="858"/>
      <c r="AJ177" s="858"/>
    </row>
    <row r="178" ht="15.75" customHeight="1">
      <c r="A178" s="881" t="s">
        <v>19960</v>
      </c>
      <c r="B178" s="875" t="s">
        <v>19957</v>
      </c>
      <c r="C178" s="875"/>
      <c r="D178" s="876" t="s">
        <v>19961</v>
      </c>
      <c r="E178" s="345" t="s">
        <v>13047</v>
      </c>
      <c r="F178" s="345" t="s">
        <v>29</v>
      </c>
      <c r="G178" s="345" t="s">
        <v>131</v>
      </c>
      <c r="H178" s="342"/>
      <c r="I178" s="345" t="s">
        <v>38</v>
      </c>
      <c r="J178" s="345">
        <f>687-505</f>
        <v>182</v>
      </c>
      <c r="K178" s="875"/>
      <c r="L178" s="875" t="s">
        <v>19736</v>
      </c>
      <c r="M178" s="875" t="s">
        <v>3465</v>
      </c>
      <c r="N178" s="345">
        <v>2015.0</v>
      </c>
      <c r="O178" s="875" t="s">
        <v>388</v>
      </c>
      <c r="P178" s="345">
        <v>1.0</v>
      </c>
      <c r="Q178" s="874">
        <v>1.0</v>
      </c>
      <c r="R178" s="863"/>
      <c r="S178" s="858"/>
      <c r="T178" s="858"/>
      <c r="U178" s="858"/>
      <c r="V178" s="858"/>
      <c r="W178" s="858"/>
      <c r="X178" s="858"/>
      <c r="Y178" s="858"/>
      <c r="Z178" s="858"/>
      <c r="AA178" s="858"/>
      <c r="AB178" s="858"/>
      <c r="AC178" s="858"/>
      <c r="AD178" s="858"/>
      <c r="AE178" s="858"/>
      <c r="AF178" s="858"/>
      <c r="AG178" s="858"/>
      <c r="AH178" s="858"/>
      <c r="AI178" s="858"/>
      <c r="AJ178" s="858"/>
    </row>
    <row r="179" ht="15.75" customHeight="1">
      <c r="A179" s="881" t="s">
        <v>19962</v>
      </c>
      <c r="B179" s="875" t="s">
        <v>19957</v>
      </c>
      <c r="C179" s="875"/>
      <c r="D179" s="876" t="s">
        <v>19963</v>
      </c>
      <c r="E179" s="345" t="s">
        <v>13047</v>
      </c>
      <c r="F179" s="345" t="s">
        <v>29</v>
      </c>
      <c r="G179" s="345" t="s">
        <v>131</v>
      </c>
      <c r="H179" s="342"/>
      <c r="I179" s="345" t="s">
        <v>38</v>
      </c>
      <c r="J179" s="345">
        <v>184.0</v>
      </c>
      <c r="K179" s="875"/>
      <c r="L179" s="875" t="s">
        <v>19964</v>
      </c>
      <c r="M179" s="875" t="s">
        <v>3465</v>
      </c>
      <c r="N179" s="345">
        <v>2016.0</v>
      </c>
      <c r="O179" s="875" t="s">
        <v>388</v>
      </c>
      <c r="P179" s="345">
        <v>1.0</v>
      </c>
      <c r="Q179" s="874">
        <v>1.0</v>
      </c>
      <c r="R179" s="863"/>
      <c r="S179" s="858"/>
      <c r="T179" s="858"/>
      <c r="U179" s="858"/>
      <c r="V179" s="858"/>
      <c r="W179" s="858"/>
      <c r="X179" s="858"/>
      <c r="Y179" s="858"/>
      <c r="Z179" s="858"/>
      <c r="AA179" s="858"/>
      <c r="AB179" s="858"/>
      <c r="AC179" s="858"/>
      <c r="AD179" s="858"/>
      <c r="AE179" s="858"/>
      <c r="AF179" s="858"/>
      <c r="AG179" s="858"/>
      <c r="AH179" s="858"/>
      <c r="AI179" s="858"/>
      <c r="AJ179" s="858"/>
    </row>
    <row r="180" ht="15.75" customHeight="1">
      <c r="A180" s="881" t="s">
        <v>19965</v>
      </c>
      <c r="B180" s="875" t="s">
        <v>19957</v>
      </c>
      <c r="C180" s="875"/>
      <c r="D180" s="876" t="s">
        <v>19966</v>
      </c>
      <c r="E180" s="345" t="s">
        <v>13047</v>
      </c>
      <c r="F180" s="345" t="s">
        <v>29</v>
      </c>
      <c r="G180" s="345" t="s">
        <v>131</v>
      </c>
      <c r="H180" s="342"/>
      <c r="I180" s="345" t="s">
        <v>38</v>
      </c>
      <c r="J180" s="345">
        <v>184.0</v>
      </c>
      <c r="K180" s="875"/>
      <c r="L180" s="875" t="s">
        <v>19967</v>
      </c>
      <c r="M180" s="875" t="s">
        <v>3465</v>
      </c>
      <c r="N180" s="345">
        <v>2016.0</v>
      </c>
      <c r="O180" s="875" t="s">
        <v>388</v>
      </c>
      <c r="P180" s="345">
        <v>1.0</v>
      </c>
      <c r="Q180" s="874">
        <v>1.0</v>
      </c>
      <c r="R180" s="863"/>
      <c r="S180" s="858"/>
      <c r="T180" s="858"/>
      <c r="U180" s="858"/>
      <c r="V180" s="858"/>
      <c r="W180" s="858"/>
      <c r="X180" s="858"/>
      <c r="Y180" s="858"/>
      <c r="Z180" s="858"/>
      <c r="AA180" s="858"/>
      <c r="AB180" s="858"/>
      <c r="AC180" s="858"/>
      <c r="AD180" s="858"/>
      <c r="AE180" s="858"/>
      <c r="AF180" s="858"/>
      <c r="AG180" s="858"/>
      <c r="AH180" s="858"/>
      <c r="AI180" s="858"/>
      <c r="AJ180" s="858"/>
    </row>
    <row r="181" ht="15.75" customHeight="1">
      <c r="A181" s="881" t="s">
        <v>19968</v>
      </c>
      <c r="B181" s="878" t="s">
        <v>19957</v>
      </c>
      <c r="C181" s="878"/>
      <c r="D181" s="879" t="s">
        <v>19969</v>
      </c>
      <c r="E181" s="494" t="s">
        <v>13047</v>
      </c>
      <c r="F181" s="494" t="s">
        <v>29</v>
      </c>
      <c r="G181" s="494" t="s">
        <v>131</v>
      </c>
      <c r="H181" s="557"/>
      <c r="I181" s="494" t="s">
        <v>38</v>
      </c>
      <c r="J181" s="494">
        <v>184.0</v>
      </c>
      <c r="K181" s="878"/>
      <c r="L181" s="878" t="s">
        <v>19970</v>
      </c>
      <c r="M181" s="878" t="s">
        <v>3465</v>
      </c>
      <c r="N181" s="494">
        <v>2016.0</v>
      </c>
      <c r="O181" s="878" t="s">
        <v>388</v>
      </c>
      <c r="P181" s="494">
        <v>1.0</v>
      </c>
      <c r="Q181" s="874">
        <v>1.0</v>
      </c>
      <c r="R181" s="863"/>
      <c r="S181" s="858"/>
      <c r="T181" s="858"/>
      <c r="U181" s="858"/>
      <c r="V181" s="858"/>
      <c r="W181" s="858"/>
      <c r="X181" s="858"/>
      <c r="Y181" s="858"/>
      <c r="Z181" s="858"/>
      <c r="AA181" s="858"/>
      <c r="AB181" s="858"/>
      <c r="AC181" s="858"/>
      <c r="AD181" s="858"/>
      <c r="AE181" s="858"/>
      <c r="AF181" s="858"/>
      <c r="AG181" s="858"/>
      <c r="AH181" s="858"/>
      <c r="AI181" s="858"/>
      <c r="AJ181" s="858"/>
    </row>
    <row r="182" ht="15.75" customHeight="1">
      <c r="A182" s="881" t="s">
        <v>19971</v>
      </c>
      <c r="B182" s="875" t="s">
        <v>19709</v>
      </c>
      <c r="C182" s="875"/>
      <c r="D182" s="876" t="s">
        <v>19972</v>
      </c>
      <c r="E182" s="345" t="s">
        <v>13047</v>
      </c>
      <c r="F182" s="345" t="s">
        <v>29</v>
      </c>
      <c r="G182" s="345" t="s">
        <v>37</v>
      </c>
      <c r="H182" s="342"/>
      <c r="I182" s="345" t="s">
        <v>38</v>
      </c>
      <c r="J182" s="345">
        <f>256-137</f>
        <v>119</v>
      </c>
      <c r="K182" s="875"/>
      <c r="L182" s="875" t="s">
        <v>19973</v>
      </c>
      <c r="M182" s="875" t="s">
        <v>19712</v>
      </c>
      <c r="N182" s="345">
        <v>2015.0</v>
      </c>
      <c r="O182" s="875" t="s">
        <v>388</v>
      </c>
      <c r="P182" s="345">
        <v>1.0</v>
      </c>
      <c r="Q182" s="874">
        <v>1.0</v>
      </c>
      <c r="R182" s="863"/>
      <c r="S182" s="858"/>
      <c r="T182" s="858"/>
      <c r="U182" s="858"/>
      <c r="V182" s="858"/>
      <c r="W182" s="858"/>
      <c r="X182" s="858"/>
      <c r="Y182" s="858"/>
      <c r="Z182" s="858"/>
      <c r="AA182" s="858"/>
      <c r="AB182" s="858"/>
      <c r="AC182" s="858"/>
      <c r="AD182" s="858"/>
      <c r="AE182" s="858"/>
      <c r="AF182" s="858"/>
      <c r="AG182" s="858"/>
      <c r="AH182" s="858"/>
      <c r="AI182" s="858"/>
      <c r="AJ182" s="858"/>
    </row>
    <row r="183" ht="241.5" customHeight="1">
      <c r="A183" s="881" t="s">
        <v>19974</v>
      </c>
      <c r="B183" s="875" t="s">
        <v>31</v>
      </c>
      <c r="C183" s="875" t="s">
        <v>31</v>
      </c>
      <c r="D183" s="876" t="s">
        <v>19975</v>
      </c>
      <c r="E183" s="345" t="s">
        <v>13047</v>
      </c>
      <c r="F183" s="345" t="s">
        <v>29</v>
      </c>
      <c r="G183" s="345" t="s">
        <v>37</v>
      </c>
      <c r="H183" s="342"/>
      <c r="I183" s="345" t="s">
        <v>38</v>
      </c>
      <c r="J183" s="345"/>
      <c r="K183" s="875"/>
      <c r="L183" s="875" t="s">
        <v>19740</v>
      </c>
      <c r="M183" s="875" t="s">
        <v>19976</v>
      </c>
      <c r="N183" s="345" t="s">
        <v>19977</v>
      </c>
      <c r="O183" s="875" t="s">
        <v>388</v>
      </c>
      <c r="P183" s="875">
        <v>1.0</v>
      </c>
      <c r="Q183" s="874">
        <v>1.0</v>
      </c>
      <c r="R183" s="863"/>
      <c r="S183" s="858"/>
      <c r="T183" s="858"/>
      <c r="U183" s="858"/>
      <c r="V183" s="858"/>
      <c r="W183" s="858"/>
      <c r="X183" s="858"/>
      <c r="Y183" s="858"/>
      <c r="Z183" s="858"/>
      <c r="AA183" s="858"/>
      <c r="AB183" s="858"/>
      <c r="AC183" s="858"/>
      <c r="AD183" s="858"/>
      <c r="AE183" s="858"/>
      <c r="AF183" s="858"/>
      <c r="AG183" s="858"/>
      <c r="AH183" s="858"/>
      <c r="AI183" s="858"/>
      <c r="AJ183" s="858"/>
    </row>
    <row r="184" ht="15.75" customHeight="1">
      <c r="A184" s="881" t="s">
        <v>19978</v>
      </c>
      <c r="B184" s="875" t="s">
        <v>31</v>
      </c>
      <c r="C184" s="875" t="s">
        <v>31</v>
      </c>
      <c r="D184" s="876" t="s">
        <v>19979</v>
      </c>
      <c r="E184" s="345" t="s">
        <v>13047</v>
      </c>
      <c r="F184" s="345" t="s">
        <v>29</v>
      </c>
      <c r="G184" s="345" t="s">
        <v>38</v>
      </c>
      <c r="H184" s="342"/>
      <c r="I184" s="345" t="s">
        <v>38</v>
      </c>
      <c r="J184" s="345"/>
      <c r="K184" s="875"/>
      <c r="L184" s="875" t="s">
        <v>19740</v>
      </c>
      <c r="M184" s="875" t="s">
        <v>19712</v>
      </c>
      <c r="N184" s="345" t="s">
        <v>19980</v>
      </c>
      <c r="O184" s="875" t="s">
        <v>388</v>
      </c>
      <c r="P184" s="875">
        <v>1.0</v>
      </c>
      <c r="Q184" s="874">
        <v>1.0</v>
      </c>
      <c r="R184" s="863"/>
      <c r="S184" s="858"/>
      <c r="T184" s="858"/>
      <c r="U184" s="858"/>
      <c r="V184" s="858"/>
      <c r="W184" s="858"/>
      <c r="X184" s="858"/>
      <c r="Y184" s="858"/>
      <c r="Z184" s="858"/>
      <c r="AA184" s="858"/>
      <c r="AB184" s="858"/>
      <c r="AC184" s="858"/>
      <c r="AD184" s="858"/>
      <c r="AE184" s="858"/>
      <c r="AF184" s="858"/>
      <c r="AG184" s="858"/>
      <c r="AH184" s="858"/>
      <c r="AI184" s="858"/>
      <c r="AJ184" s="858"/>
    </row>
    <row r="185" ht="15.75" customHeight="1">
      <c r="A185" s="881" t="s">
        <v>19981</v>
      </c>
      <c r="B185" s="875" t="s">
        <v>31</v>
      </c>
      <c r="C185" s="875" t="s">
        <v>31</v>
      </c>
      <c r="D185" s="883" t="s">
        <v>19982</v>
      </c>
      <c r="E185" s="345" t="s">
        <v>13047</v>
      </c>
      <c r="F185" s="345" t="s">
        <v>29</v>
      </c>
      <c r="G185" s="345" t="s">
        <v>38</v>
      </c>
      <c r="H185" s="342"/>
      <c r="I185" s="345" t="s">
        <v>38</v>
      </c>
      <c r="J185" s="345"/>
      <c r="K185" s="875"/>
      <c r="L185" s="875" t="s">
        <v>19740</v>
      </c>
      <c r="M185" s="875" t="s">
        <v>19712</v>
      </c>
      <c r="N185" s="345" t="s">
        <v>19983</v>
      </c>
      <c r="O185" s="875" t="s">
        <v>388</v>
      </c>
      <c r="P185" s="875">
        <v>1.0</v>
      </c>
      <c r="Q185" s="874">
        <v>1.0</v>
      </c>
      <c r="R185" s="863"/>
      <c r="S185" s="858"/>
      <c r="T185" s="858"/>
      <c r="U185" s="858"/>
      <c r="V185" s="858"/>
      <c r="W185" s="858"/>
      <c r="X185" s="858"/>
      <c r="Y185" s="858"/>
      <c r="Z185" s="858"/>
      <c r="AA185" s="858"/>
      <c r="AB185" s="858"/>
      <c r="AC185" s="858"/>
      <c r="AD185" s="858"/>
      <c r="AE185" s="858"/>
      <c r="AF185" s="858"/>
      <c r="AG185" s="858"/>
      <c r="AH185" s="858"/>
      <c r="AI185" s="858"/>
      <c r="AJ185" s="858"/>
    </row>
    <row r="186" ht="15.75" customHeight="1">
      <c r="A186" s="881" t="s">
        <v>19984</v>
      </c>
      <c r="B186" s="875" t="s">
        <v>31</v>
      </c>
      <c r="C186" s="875" t="s">
        <v>31</v>
      </c>
      <c r="D186" s="876" t="s">
        <v>19985</v>
      </c>
      <c r="E186" s="345" t="s">
        <v>13047</v>
      </c>
      <c r="F186" s="345" t="s">
        <v>29</v>
      </c>
      <c r="G186" s="345" t="s">
        <v>38</v>
      </c>
      <c r="H186" s="342"/>
      <c r="I186" s="345" t="s">
        <v>38</v>
      </c>
      <c r="J186" s="345"/>
      <c r="K186" s="875"/>
      <c r="L186" s="875" t="s">
        <v>19740</v>
      </c>
      <c r="M186" s="875" t="s">
        <v>19712</v>
      </c>
      <c r="N186" s="345">
        <v>2009.0</v>
      </c>
      <c r="O186" s="875" t="s">
        <v>388</v>
      </c>
      <c r="P186" s="875">
        <v>1.0</v>
      </c>
      <c r="Q186" s="874">
        <v>1.0</v>
      </c>
      <c r="R186" s="863"/>
      <c r="S186" s="858"/>
      <c r="T186" s="858"/>
      <c r="U186" s="858"/>
      <c r="V186" s="858"/>
      <c r="W186" s="858"/>
      <c r="X186" s="858"/>
      <c r="Y186" s="858"/>
      <c r="Z186" s="858"/>
      <c r="AA186" s="858"/>
      <c r="AB186" s="858"/>
      <c r="AC186" s="858"/>
      <c r="AD186" s="858"/>
      <c r="AE186" s="858"/>
      <c r="AF186" s="858"/>
      <c r="AG186" s="858"/>
      <c r="AH186" s="858"/>
      <c r="AI186" s="858"/>
      <c r="AJ186" s="858"/>
    </row>
    <row r="187" ht="15.75" customHeight="1">
      <c r="A187" s="881" t="s">
        <v>19986</v>
      </c>
      <c r="B187" s="875" t="s">
        <v>31</v>
      </c>
      <c r="C187" s="875" t="s">
        <v>31</v>
      </c>
      <c r="D187" s="883" t="s">
        <v>19987</v>
      </c>
      <c r="E187" s="345" t="s">
        <v>13047</v>
      </c>
      <c r="F187" s="345" t="s">
        <v>29</v>
      </c>
      <c r="G187" s="345" t="s">
        <v>38</v>
      </c>
      <c r="H187" s="342"/>
      <c r="I187" s="345" t="s">
        <v>38</v>
      </c>
      <c r="J187" s="345"/>
      <c r="K187" s="875"/>
      <c r="L187" s="875" t="s">
        <v>19740</v>
      </c>
      <c r="M187" s="875" t="s">
        <v>19712</v>
      </c>
      <c r="N187" s="875" t="s">
        <v>19988</v>
      </c>
      <c r="O187" s="875" t="s">
        <v>388</v>
      </c>
      <c r="P187" s="875">
        <v>1.0</v>
      </c>
      <c r="Q187" s="874">
        <v>1.0</v>
      </c>
      <c r="R187" s="863"/>
      <c r="S187" s="858"/>
      <c r="T187" s="858"/>
      <c r="U187" s="858"/>
      <c r="V187" s="858"/>
      <c r="W187" s="858"/>
      <c r="X187" s="858"/>
      <c r="Y187" s="858"/>
      <c r="Z187" s="858"/>
      <c r="AA187" s="858"/>
      <c r="AB187" s="858"/>
      <c r="AC187" s="858"/>
      <c r="AD187" s="858"/>
      <c r="AE187" s="858"/>
      <c r="AF187" s="858"/>
      <c r="AG187" s="858"/>
      <c r="AH187" s="858"/>
      <c r="AI187" s="858"/>
      <c r="AJ187" s="858"/>
    </row>
    <row r="188" ht="15.75" customHeight="1">
      <c r="A188" s="881" t="s">
        <v>19989</v>
      </c>
      <c r="B188" s="875" t="s">
        <v>31</v>
      </c>
      <c r="C188" s="875" t="s">
        <v>31</v>
      </c>
      <c r="D188" s="883" t="s">
        <v>19990</v>
      </c>
      <c r="E188" s="345" t="s">
        <v>13047</v>
      </c>
      <c r="F188" s="345" t="s">
        <v>29</v>
      </c>
      <c r="G188" s="345" t="s">
        <v>38</v>
      </c>
      <c r="H188" s="342"/>
      <c r="I188" s="345" t="s">
        <v>38</v>
      </c>
      <c r="J188" s="345"/>
      <c r="K188" s="875"/>
      <c r="L188" s="875" t="s">
        <v>19740</v>
      </c>
      <c r="M188" s="875" t="s">
        <v>19712</v>
      </c>
      <c r="N188" s="345" t="s">
        <v>19991</v>
      </c>
      <c r="O188" s="875" t="s">
        <v>388</v>
      </c>
      <c r="P188" s="875">
        <v>1.0</v>
      </c>
      <c r="Q188" s="874">
        <v>1.0</v>
      </c>
      <c r="R188" s="863"/>
      <c r="S188" s="858"/>
      <c r="T188" s="858"/>
      <c r="U188" s="858"/>
      <c r="V188" s="858"/>
      <c r="W188" s="858"/>
      <c r="X188" s="858"/>
      <c r="Y188" s="858"/>
      <c r="Z188" s="858"/>
      <c r="AA188" s="858"/>
      <c r="AB188" s="858"/>
      <c r="AC188" s="858"/>
      <c r="AD188" s="858"/>
      <c r="AE188" s="858"/>
      <c r="AF188" s="858"/>
      <c r="AG188" s="858"/>
      <c r="AH188" s="858"/>
      <c r="AI188" s="858"/>
      <c r="AJ188" s="858"/>
    </row>
    <row r="189" ht="256.5" customHeight="1">
      <c r="A189" s="881" t="s">
        <v>19992</v>
      </c>
      <c r="B189" s="875" t="s">
        <v>31</v>
      </c>
      <c r="C189" s="875" t="s">
        <v>31</v>
      </c>
      <c r="D189" s="883" t="s">
        <v>19993</v>
      </c>
      <c r="E189" s="345" t="s">
        <v>13047</v>
      </c>
      <c r="F189" s="345" t="s">
        <v>29</v>
      </c>
      <c r="G189" s="345" t="s">
        <v>37</v>
      </c>
      <c r="H189" s="342"/>
      <c r="I189" s="345" t="s">
        <v>38</v>
      </c>
      <c r="J189" s="345"/>
      <c r="K189" s="875"/>
      <c r="L189" s="875" t="s">
        <v>19740</v>
      </c>
      <c r="M189" s="875" t="s">
        <v>19976</v>
      </c>
      <c r="N189" s="345" t="s">
        <v>19994</v>
      </c>
      <c r="O189" s="875" t="s">
        <v>388</v>
      </c>
      <c r="P189" s="875">
        <v>1.0</v>
      </c>
      <c r="Q189" s="874">
        <v>1.0</v>
      </c>
      <c r="R189" s="863"/>
      <c r="S189" s="858"/>
      <c r="T189" s="858"/>
      <c r="U189" s="858"/>
      <c r="V189" s="858"/>
      <c r="W189" s="858"/>
      <c r="X189" s="858"/>
      <c r="Y189" s="858"/>
      <c r="Z189" s="858"/>
      <c r="AA189" s="858"/>
      <c r="AB189" s="858"/>
      <c r="AC189" s="858"/>
      <c r="AD189" s="858"/>
      <c r="AE189" s="858"/>
      <c r="AF189" s="858"/>
      <c r="AG189" s="858"/>
      <c r="AH189" s="858"/>
      <c r="AI189" s="858"/>
      <c r="AJ189" s="858"/>
    </row>
    <row r="190" ht="15.75" customHeight="1">
      <c r="A190" s="881" t="s">
        <v>19995</v>
      </c>
      <c r="B190" s="875" t="s">
        <v>31</v>
      </c>
      <c r="C190" s="875" t="s">
        <v>31</v>
      </c>
      <c r="D190" s="883" t="s">
        <v>19996</v>
      </c>
      <c r="E190" s="345" t="s">
        <v>13047</v>
      </c>
      <c r="F190" s="345" t="s">
        <v>29</v>
      </c>
      <c r="G190" s="345" t="s">
        <v>37</v>
      </c>
      <c r="H190" s="342"/>
      <c r="I190" s="345" t="s">
        <v>38</v>
      </c>
      <c r="J190" s="345"/>
      <c r="K190" s="875"/>
      <c r="L190" s="875" t="s">
        <v>19997</v>
      </c>
      <c r="M190" s="875" t="s">
        <v>19712</v>
      </c>
      <c r="N190" s="345" t="s">
        <v>19983</v>
      </c>
      <c r="O190" s="875" t="s">
        <v>388</v>
      </c>
      <c r="P190" s="875">
        <v>1.0</v>
      </c>
      <c r="Q190" s="874">
        <v>1.0</v>
      </c>
      <c r="R190" s="863"/>
      <c r="S190" s="858"/>
      <c r="T190" s="858"/>
      <c r="U190" s="858"/>
      <c r="V190" s="858"/>
      <c r="W190" s="858"/>
      <c r="X190" s="858"/>
      <c r="Y190" s="858"/>
      <c r="Z190" s="858"/>
      <c r="AA190" s="858"/>
      <c r="AB190" s="858"/>
      <c r="AC190" s="858"/>
      <c r="AD190" s="858"/>
      <c r="AE190" s="858"/>
      <c r="AF190" s="858"/>
      <c r="AG190" s="858"/>
      <c r="AH190" s="858"/>
      <c r="AI190" s="858"/>
      <c r="AJ190" s="858"/>
    </row>
    <row r="191" ht="15.75" customHeight="1">
      <c r="A191" s="881" t="s">
        <v>19998</v>
      </c>
      <c r="B191" s="875" t="s">
        <v>31</v>
      </c>
      <c r="C191" s="875" t="s">
        <v>31</v>
      </c>
      <c r="D191" s="883" t="s">
        <v>19999</v>
      </c>
      <c r="E191" s="345" t="s">
        <v>13047</v>
      </c>
      <c r="F191" s="345" t="s">
        <v>29</v>
      </c>
      <c r="G191" s="345" t="s">
        <v>37</v>
      </c>
      <c r="H191" s="342"/>
      <c r="I191" s="345" t="s">
        <v>38</v>
      </c>
      <c r="J191" s="345"/>
      <c r="K191" s="875"/>
      <c r="L191" s="875" t="s">
        <v>19997</v>
      </c>
      <c r="M191" s="875" t="s">
        <v>19712</v>
      </c>
      <c r="N191" s="345" t="s">
        <v>20000</v>
      </c>
      <c r="O191" s="875" t="s">
        <v>388</v>
      </c>
      <c r="P191" s="875">
        <v>1.0</v>
      </c>
      <c r="Q191" s="874">
        <v>1.0</v>
      </c>
      <c r="R191" s="863"/>
      <c r="S191" s="858"/>
      <c r="T191" s="858"/>
      <c r="U191" s="858"/>
      <c r="V191" s="858"/>
      <c r="W191" s="858"/>
      <c r="X191" s="858"/>
      <c r="Y191" s="858"/>
      <c r="Z191" s="858"/>
      <c r="AA191" s="858"/>
      <c r="AB191" s="858"/>
      <c r="AC191" s="858"/>
      <c r="AD191" s="858"/>
      <c r="AE191" s="858"/>
      <c r="AF191" s="858"/>
      <c r="AG191" s="858"/>
      <c r="AH191" s="858"/>
      <c r="AI191" s="858"/>
      <c r="AJ191" s="858"/>
    </row>
    <row r="192" ht="15.75" customHeight="1">
      <c r="A192" s="881" t="s">
        <v>20001</v>
      </c>
      <c r="B192" s="875" t="s">
        <v>31</v>
      </c>
      <c r="C192" s="875" t="s">
        <v>31</v>
      </c>
      <c r="D192" s="883" t="s">
        <v>20002</v>
      </c>
      <c r="E192" s="345" t="s">
        <v>13047</v>
      </c>
      <c r="F192" s="345" t="s">
        <v>29</v>
      </c>
      <c r="G192" s="345" t="s">
        <v>38</v>
      </c>
      <c r="H192" s="342"/>
      <c r="I192" s="345" t="s">
        <v>38</v>
      </c>
      <c r="J192" s="345"/>
      <c r="K192" s="875"/>
      <c r="L192" s="875" t="s">
        <v>19997</v>
      </c>
      <c r="M192" s="875" t="s">
        <v>19712</v>
      </c>
      <c r="N192" s="345" t="s">
        <v>19980</v>
      </c>
      <c r="O192" s="875" t="s">
        <v>388</v>
      </c>
      <c r="P192" s="875">
        <v>2.0</v>
      </c>
      <c r="Q192" s="874">
        <v>1.0</v>
      </c>
      <c r="R192" s="863"/>
      <c r="S192" s="858"/>
      <c r="T192" s="858"/>
      <c r="U192" s="858"/>
      <c r="V192" s="858"/>
      <c r="W192" s="858"/>
      <c r="X192" s="858"/>
      <c r="Y192" s="858"/>
      <c r="Z192" s="858"/>
      <c r="AA192" s="858"/>
      <c r="AB192" s="858"/>
      <c r="AC192" s="858"/>
      <c r="AD192" s="858"/>
      <c r="AE192" s="858"/>
      <c r="AF192" s="858"/>
      <c r="AG192" s="858"/>
      <c r="AH192" s="858"/>
      <c r="AI192" s="858"/>
      <c r="AJ192" s="858"/>
    </row>
    <row r="193" ht="15.75" customHeight="1">
      <c r="A193" s="881" t="s">
        <v>20003</v>
      </c>
      <c r="B193" s="875" t="s">
        <v>31</v>
      </c>
      <c r="C193" s="875" t="s">
        <v>31</v>
      </c>
      <c r="D193" s="883" t="s">
        <v>20004</v>
      </c>
      <c r="E193" s="345" t="s">
        <v>13047</v>
      </c>
      <c r="F193" s="345" t="s">
        <v>29</v>
      </c>
      <c r="G193" s="345" t="s">
        <v>37</v>
      </c>
      <c r="H193" s="342"/>
      <c r="I193" s="345" t="s">
        <v>38</v>
      </c>
      <c r="J193" s="345"/>
      <c r="K193" s="875"/>
      <c r="L193" s="875" t="s">
        <v>20005</v>
      </c>
      <c r="M193" s="875" t="s">
        <v>19976</v>
      </c>
      <c r="N193" s="345" t="s">
        <v>19977</v>
      </c>
      <c r="O193" s="875" t="s">
        <v>388</v>
      </c>
      <c r="P193" s="875">
        <v>1.0</v>
      </c>
      <c r="Q193" s="874">
        <v>1.0</v>
      </c>
      <c r="R193" s="863"/>
      <c r="S193" s="858"/>
      <c r="T193" s="858"/>
      <c r="U193" s="858"/>
      <c r="V193" s="858"/>
      <c r="W193" s="858"/>
      <c r="X193" s="858"/>
      <c r="Y193" s="858"/>
      <c r="Z193" s="858"/>
      <c r="AA193" s="858"/>
      <c r="AB193" s="858"/>
      <c r="AC193" s="858"/>
      <c r="AD193" s="858"/>
      <c r="AE193" s="858"/>
      <c r="AF193" s="858"/>
      <c r="AG193" s="858"/>
      <c r="AH193" s="858"/>
      <c r="AI193" s="858"/>
      <c r="AJ193" s="858"/>
    </row>
    <row r="194" ht="15.75" customHeight="1">
      <c r="A194" s="881" t="s">
        <v>20006</v>
      </c>
      <c r="B194" s="875" t="s">
        <v>31</v>
      </c>
      <c r="C194" s="875" t="s">
        <v>31</v>
      </c>
      <c r="D194" s="883" t="s">
        <v>20007</v>
      </c>
      <c r="E194" s="345" t="s">
        <v>13047</v>
      </c>
      <c r="F194" s="345" t="s">
        <v>29</v>
      </c>
      <c r="G194" s="345" t="s">
        <v>37</v>
      </c>
      <c r="H194" s="342"/>
      <c r="I194" s="345" t="s">
        <v>38</v>
      </c>
      <c r="J194" s="345"/>
      <c r="K194" s="875"/>
      <c r="L194" s="875" t="s">
        <v>19997</v>
      </c>
      <c r="M194" s="875" t="s">
        <v>19976</v>
      </c>
      <c r="N194" s="345" t="s">
        <v>19994</v>
      </c>
      <c r="O194" s="875" t="s">
        <v>388</v>
      </c>
      <c r="P194" s="875">
        <v>1.0</v>
      </c>
      <c r="Q194" s="874">
        <v>1.0</v>
      </c>
      <c r="R194" s="863"/>
      <c r="S194" s="858"/>
      <c r="T194" s="858"/>
      <c r="U194" s="858"/>
      <c r="V194" s="858"/>
      <c r="W194" s="858"/>
      <c r="X194" s="858"/>
      <c r="Y194" s="858"/>
      <c r="Z194" s="858"/>
      <c r="AA194" s="858"/>
      <c r="AB194" s="858"/>
      <c r="AC194" s="858"/>
      <c r="AD194" s="858"/>
      <c r="AE194" s="858"/>
      <c r="AF194" s="858"/>
      <c r="AG194" s="858"/>
      <c r="AH194" s="858"/>
      <c r="AI194" s="858"/>
      <c r="AJ194" s="858"/>
    </row>
    <row r="195" ht="15.75" customHeight="1">
      <c r="A195" s="881" t="s">
        <v>20008</v>
      </c>
      <c r="B195" s="875" t="s">
        <v>31</v>
      </c>
      <c r="C195" s="875" t="s">
        <v>31</v>
      </c>
      <c r="D195" s="883" t="s">
        <v>20009</v>
      </c>
      <c r="E195" s="345" t="s">
        <v>13047</v>
      </c>
      <c r="F195" s="345" t="s">
        <v>29</v>
      </c>
      <c r="G195" s="345" t="s">
        <v>38</v>
      </c>
      <c r="H195" s="342"/>
      <c r="I195" s="345" t="s">
        <v>38</v>
      </c>
      <c r="J195" s="345"/>
      <c r="K195" s="875"/>
      <c r="L195" s="875" t="s">
        <v>19711</v>
      </c>
      <c r="M195" s="875" t="s">
        <v>19712</v>
      </c>
      <c r="N195" s="345">
        <v>2009.0</v>
      </c>
      <c r="O195" s="875" t="s">
        <v>388</v>
      </c>
      <c r="P195" s="875">
        <v>1.0</v>
      </c>
      <c r="Q195" s="874">
        <v>1.0</v>
      </c>
      <c r="R195" s="863"/>
      <c r="S195" s="858"/>
      <c r="T195" s="858"/>
      <c r="U195" s="858"/>
      <c r="V195" s="858"/>
      <c r="W195" s="858"/>
      <c r="X195" s="858"/>
      <c r="Y195" s="858"/>
      <c r="Z195" s="858"/>
      <c r="AA195" s="858"/>
      <c r="AB195" s="858"/>
      <c r="AC195" s="858"/>
      <c r="AD195" s="858"/>
      <c r="AE195" s="858"/>
      <c r="AF195" s="858"/>
      <c r="AG195" s="858"/>
      <c r="AH195" s="858"/>
      <c r="AI195" s="858"/>
      <c r="AJ195" s="858"/>
    </row>
    <row r="196" ht="15.75" customHeight="1">
      <c r="A196" s="881" t="s">
        <v>20010</v>
      </c>
      <c r="B196" s="875" t="s">
        <v>19699</v>
      </c>
      <c r="C196" s="875" t="s">
        <v>31</v>
      </c>
      <c r="D196" s="876" t="s">
        <v>20011</v>
      </c>
      <c r="E196" s="345" t="s">
        <v>13047</v>
      </c>
      <c r="F196" s="345" t="s">
        <v>29</v>
      </c>
      <c r="G196" s="345" t="s">
        <v>131</v>
      </c>
      <c r="H196" s="342"/>
      <c r="I196" s="345" t="s">
        <v>38</v>
      </c>
      <c r="J196" s="345">
        <v>95.0</v>
      </c>
      <c r="K196" s="667"/>
      <c r="L196" s="875" t="s">
        <v>20012</v>
      </c>
      <c r="M196" s="875" t="s">
        <v>3465</v>
      </c>
      <c r="N196" s="345">
        <v>2005.0</v>
      </c>
      <c r="O196" s="875" t="s">
        <v>388</v>
      </c>
      <c r="P196" s="875">
        <v>1.0</v>
      </c>
      <c r="Q196" s="874">
        <v>1.0</v>
      </c>
      <c r="R196" s="863"/>
      <c r="S196" s="858"/>
      <c r="T196" s="858"/>
      <c r="U196" s="858"/>
      <c r="V196" s="858"/>
      <c r="W196" s="858"/>
      <c r="X196" s="858"/>
      <c r="Y196" s="858"/>
      <c r="Z196" s="858"/>
      <c r="AA196" s="858"/>
      <c r="AB196" s="858"/>
      <c r="AC196" s="858"/>
      <c r="AD196" s="858"/>
      <c r="AE196" s="858"/>
      <c r="AF196" s="858"/>
      <c r="AG196" s="858"/>
      <c r="AH196" s="858"/>
      <c r="AI196" s="858"/>
      <c r="AJ196" s="858"/>
    </row>
    <row r="197" ht="15.75" customHeight="1">
      <c r="A197" s="881" t="s">
        <v>20013</v>
      </c>
      <c r="B197" s="875" t="s">
        <v>19753</v>
      </c>
      <c r="C197" s="875" t="s">
        <v>31</v>
      </c>
      <c r="D197" s="876" t="s">
        <v>20014</v>
      </c>
      <c r="E197" s="345" t="s">
        <v>13047</v>
      </c>
      <c r="F197" s="345" t="s">
        <v>29</v>
      </c>
      <c r="G197" s="345" t="s">
        <v>38</v>
      </c>
      <c r="H197" s="342"/>
      <c r="I197" s="345" t="s">
        <v>38</v>
      </c>
      <c r="J197" s="345">
        <v>120.0</v>
      </c>
      <c r="K197" s="875"/>
      <c r="L197" s="875" t="s">
        <v>20015</v>
      </c>
      <c r="M197" s="875" t="s">
        <v>19712</v>
      </c>
      <c r="N197" s="345">
        <v>2015.0</v>
      </c>
      <c r="O197" s="875" t="s">
        <v>388</v>
      </c>
      <c r="P197" s="875">
        <v>1.0</v>
      </c>
      <c r="Q197" s="874">
        <v>1.0</v>
      </c>
      <c r="R197" s="863"/>
      <c r="S197" s="858"/>
      <c r="T197" s="858"/>
      <c r="U197" s="858"/>
      <c r="V197" s="858"/>
      <c r="W197" s="858"/>
      <c r="X197" s="858"/>
      <c r="Y197" s="858"/>
      <c r="Z197" s="858"/>
      <c r="AA197" s="858"/>
      <c r="AB197" s="858"/>
      <c r="AC197" s="858"/>
      <c r="AD197" s="858"/>
      <c r="AE197" s="858"/>
      <c r="AF197" s="858"/>
      <c r="AG197" s="858"/>
      <c r="AH197" s="858"/>
      <c r="AI197" s="858"/>
      <c r="AJ197" s="858"/>
    </row>
    <row r="198" ht="15.75" customHeight="1">
      <c r="A198" s="881" t="s">
        <v>20016</v>
      </c>
      <c r="B198" s="875" t="s">
        <v>20017</v>
      </c>
      <c r="C198" s="875" t="s">
        <v>31</v>
      </c>
      <c r="D198" s="876" t="s">
        <v>20018</v>
      </c>
      <c r="E198" s="345" t="s">
        <v>13047</v>
      </c>
      <c r="F198" s="345" t="s">
        <v>29</v>
      </c>
      <c r="G198" s="345" t="s">
        <v>30</v>
      </c>
      <c r="H198" s="342"/>
      <c r="I198" s="345" t="s">
        <v>30</v>
      </c>
      <c r="J198" s="345">
        <v>151.0</v>
      </c>
      <c r="K198" s="875"/>
      <c r="L198" s="875" t="s">
        <v>20019</v>
      </c>
      <c r="M198" s="875" t="s">
        <v>20020</v>
      </c>
      <c r="N198" s="345">
        <v>2015.0</v>
      </c>
      <c r="O198" s="875" t="s">
        <v>388</v>
      </c>
      <c r="P198" s="875">
        <v>1.0</v>
      </c>
      <c r="Q198" s="874">
        <v>1.0</v>
      </c>
      <c r="R198" s="863"/>
      <c r="S198" s="858"/>
      <c r="T198" s="858"/>
      <c r="U198" s="858"/>
      <c r="V198" s="858"/>
      <c r="W198" s="858"/>
      <c r="X198" s="858"/>
      <c r="Y198" s="858"/>
      <c r="Z198" s="858"/>
      <c r="AA198" s="858"/>
      <c r="AB198" s="858"/>
      <c r="AC198" s="858"/>
      <c r="AD198" s="858"/>
      <c r="AE198" s="858"/>
      <c r="AF198" s="858"/>
      <c r="AG198" s="858"/>
      <c r="AH198" s="858"/>
      <c r="AI198" s="858"/>
      <c r="AJ198" s="858"/>
    </row>
    <row r="199" ht="15.75" customHeight="1">
      <c r="A199" s="881" t="s">
        <v>20021</v>
      </c>
      <c r="B199" s="875" t="s">
        <v>20022</v>
      </c>
      <c r="C199" s="875" t="s">
        <v>31</v>
      </c>
      <c r="D199" s="876" t="s">
        <v>20023</v>
      </c>
      <c r="E199" s="345" t="s">
        <v>13047</v>
      </c>
      <c r="F199" s="345" t="s">
        <v>29</v>
      </c>
      <c r="G199" s="345" t="s">
        <v>30</v>
      </c>
      <c r="H199" s="342"/>
      <c r="I199" s="345" t="s">
        <v>30</v>
      </c>
      <c r="J199" s="345"/>
      <c r="K199" s="875"/>
      <c r="L199" s="875" t="s">
        <v>20024</v>
      </c>
      <c r="M199" s="875" t="s">
        <v>20025</v>
      </c>
      <c r="N199" s="345">
        <v>2015.0</v>
      </c>
      <c r="O199" s="875" t="s">
        <v>388</v>
      </c>
      <c r="P199" s="875">
        <v>1.0</v>
      </c>
      <c r="Q199" s="874">
        <v>1.0</v>
      </c>
      <c r="R199" s="863"/>
      <c r="S199" s="858"/>
      <c r="T199" s="858"/>
      <c r="U199" s="858"/>
      <c r="V199" s="858"/>
      <c r="W199" s="858"/>
      <c r="X199" s="858"/>
      <c r="Y199" s="858"/>
      <c r="Z199" s="858"/>
      <c r="AA199" s="858"/>
      <c r="AB199" s="858"/>
      <c r="AC199" s="858"/>
      <c r="AD199" s="858"/>
      <c r="AE199" s="858"/>
      <c r="AF199" s="858"/>
      <c r="AG199" s="858"/>
      <c r="AH199" s="858"/>
      <c r="AI199" s="858"/>
      <c r="AJ199" s="858"/>
    </row>
    <row r="200" ht="223.5" customHeight="1">
      <c r="A200" s="881" t="s">
        <v>20026</v>
      </c>
      <c r="B200" s="875" t="s">
        <v>31</v>
      </c>
      <c r="C200" s="875" t="s">
        <v>31</v>
      </c>
      <c r="D200" s="883" t="s">
        <v>20027</v>
      </c>
      <c r="E200" s="345" t="s">
        <v>13047</v>
      </c>
      <c r="F200" s="345" t="s">
        <v>29</v>
      </c>
      <c r="G200" s="345" t="s">
        <v>38</v>
      </c>
      <c r="H200" s="342"/>
      <c r="I200" s="345" t="s">
        <v>38</v>
      </c>
      <c r="J200" s="345"/>
      <c r="K200" s="875"/>
      <c r="L200" s="875" t="s">
        <v>19997</v>
      </c>
      <c r="M200" s="875" t="s">
        <v>19712</v>
      </c>
      <c r="N200" s="345" t="s">
        <v>20028</v>
      </c>
      <c r="O200" s="875" t="s">
        <v>388</v>
      </c>
      <c r="P200" s="875">
        <v>1.0</v>
      </c>
      <c r="Q200" s="874">
        <v>1.0</v>
      </c>
      <c r="R200" s="863"/>
      <c r="S200" s="858"/>
      <c r="T200" s="858"/>
      <c r="U200" s="858"/>
      <c r="V200" s="858"/>
      <c r="W200" s="858"/>
      <c r="X200" s="858"/>
      <c r="Y200" s="858"/>
      <c r="Z200" s="858"/>
      <c r="AA200" s="858"/>
      <c r="AB200" s="858"/>
      <c r="AC200" s="858"/>
      <c r="AD200" s="858"/>
      <c r="AE200" s="858"/>
      <c r="AF200" s="858"/>
      <c r="AG200" s="858"/>
      <c r="AH200" s="858"/>
      <c r="AI200" s="858"/>
      <c r="AJ200" s="858"/>
    </row>
    <row r="201" ht="15.75" customHeight="1">
      <c r="A201" s="881" t="s">
        <v>20029</v>
      </c>
      <c r="B201" s="875" t="s">
        <v>19775</v>
      </c>
      <c r="C201" s="875" t="s">
        <v>19816</v>
      </c>
      <c r="D201" s="876" t="s">
        <v>20030</v>
      </c>
      <c r="E201" s="345" t="s">
        <v>13047</v>
      </c>
      <c r="F201" s="345" t="s">
        <v>29</v>
      </c>
      <c r="G201" s="345" t="s">
        <v>38</v>
      </c>
      <c r="H201" s="342"/>
      <c r="I201" s="345" t="s">
        <v>38</v>
      </c>
      <c r="J201" s="345"/>
      <c r="K201" s="875"/>
      <c r="L201" s="875" t="s">
        <v>20031</v>
      </c>
      <c r="M201" s="875" t="s">
        <v>19780</v>
      </c>
      <c r="N201" s="345">
        <v>2007.0</v>
      </c>
      <c r="O201" s="875" t="s">
        <v>388</v>
      </c>
      <c r="P201" s="875">
        <v>1.0</v>
      </c>
      <c r="Q201" s="874">
        <v>1.0</v>
      </c>
      <c r="R201" s="863"/>
      <c r="S201" s="858"/>
      <c r="T201" s="858"/>
      <c r="U201" s="858"/>
      <c r="V201" s="858"/>
      <c r="W201" s="858"/>
      <c r="X201" s="858"/>
      <c r="Y201" s="858"/>
      <c r="Z201" s="858"/>
      <c r="AA201" s="858"/>
      <c r="AB201" s="858"/>
      <c r="AC201" s="858"/>
      <c r="AD201" s="858"/>
      <c r="AE201" s="858"/>
      <c r="AF201" s="858"/>
      <c r="AG201" s="858"/>
      <c r="AH201" s="858"/>
      <c r="AI201" s="858"/>
      <c r="AJ201" s="858"/>
    </row>
    <row r="202" ht="15.75" customHeight="1">
      <c r="A202" s="881" t="s">
        <v>20032</v>
      </c>
      <c r="B202" s="875" t="s">
        <v>19775</v>
      </c>
      <c r="C202" s="875" t="s">
        <v>19816</v>
      </c>
      <c r="D202" s="876" t="s">
        <v>20033</v>
      </c>
      <c r="E202" s="345" t="s">
        <v>13047</v>
      </c>
      <c r="F202" s="345" t="s">
        <v>29</v>
      </c>
      <c r="G202" s="345" t="s">
        <v>38</v>
      </c>
      <c r="H202" s="342"/>
      <c r="I202" s="345" t="s">
        <v>38</v>
      </c>
      <c r="J202" s="345"/>
      <c r="K202" s="875"/>
      <c r="L202" s="875" t="s">
        <v>20031</v>
      </c>
      <c r="M202" s="875" t="s">
        <v>19780</v>
      </c>
      <c r="N202" s="345">
        <v>2006.0</v>
      </c>
      <c r="O202" s="875" t="s">
        <v>388</v>
      </c>
      <c r="P202" s="875">
        <v>1.0</v>
      </c>
      <c r="Q202" s="874">
        <v>1.0</v>
      </c>
      <c r="R202" s="863"/>
      <c r="S202" s="858"/>
      <c r="T202" s="858"/>
      <c r="U202" s="858"/>
      <c r="V202" s="858"/>
      <c r="W202" s="858"/>
      <c r="X202" s="858"/>
      <c r="Y202" s="858"/>
      <c r="Z202" s="858"/>
      <c r="AA202" s="858"/>
      <c r="AB202" s="858"/>
      <c r="AC202" s="858"/>
      <c r="AD202" s="858"/>
      <c r="AE202" s="858"/>
      <c r="AF202" s="858"/>
      <c r="AG202" s="858"/>
      <c r="AH202" s="858"/>
      <c r="AI202" s="858"/>
      <c r="AJ202" s="858"/>
    </row>
    <row r="203" ht="15.75" customHeight="1">
      <c r="A203" s="881" t="s">
        <v>20034</v>
      </c>
      <c r="B203" s="875" t="s">
        <v>19775</v>
      </c>
      <c r="C203" s="875" t="s">
        <v>19816</v>
      </c>
      <c r="D203" s="876" t="s">
        <v>20035</v>
      </c>
      <c r="E203" s="345" t="s">
        <v>13047</v>
      </c>
      <c r="F203" s="345" t="s">
        <v>29</v>
      </c>
      <c r="G203" s="345" t="s">
        <v>37</v>
      </c>
      <c r="H203" s="342"/>
      <c r="I203" s="345" t="s">
        <v>38</v>
      </c>
      <c r="J203" s="345"/>
      <c r="K203" s="875"/>
      <c r="L203" s="875" t="s">
        <v>20036</v>
      </c>
      <c r="M203" s="875" t="s">
        <v>19780</v>
      </c>
      <c r="N203" s="345">
        <v>2005.0</v>
      </c>
      <c r="O203" s="875" t="s">
        <v>388</v>
      </c>
      <c r="P203" s="875">
        <v>1.0</v>
      </c>
      <c r="Q203" s="874">
        <v>1.0</v>
      </c>
      <c r="R203" s="863"/>
      <c r="S203" s="858"/>
      <c r="T203" s="858"/>
      <c r="U203" s="858"/>
      <c r="V203" s="858"/>
      <c r="W203" s="858"/>
      <c r="X203" s="858"/>
      <c r="Y203" s="858"/>
      <c r="Z203" s="858"/>
      <c r="AA203" s="858"/>
      <c r="AB203" s="858"/>
      <c r="AC203" s="858"/>
      <c r="AD203" s="858"/>
      <c r="AE203" s="858"/>
      <c r="AF203" s="858"/>
      <c r="AG203" s="858"/>
      <c r="AH203" s="858"/>
      <c r="AI203" s="858"/>
      <c r="AJ203" s="858"/>
    </row>
    <row r="204" ht="15.75" customHeight="1">
      <c r="A204" s="881" t="s">
        <v>20037</v>
      </c>
      <c r="B204" s="875" t="s">
        <v>19775</v>
      </c>
      <c r="C204" s="875" t="s">
        <v>19816</v>
      </c>
      <c r="D204" s="876" t="s">
        <v>20038</v>
      </c>
      <c r="E204" s="345" t="s">
        <v>13047</v>
      </c>
      <c r="F204" s="345" t="s">
        <v>29</v>
      </c>
      <c r="G204" s="345" t="s">
        <v>37</v>
      </c>
      <c r="H204" s="342"/>
      <c r="I204" s="345" t="s">
        <v>38</v>
      </c>
      <c r="J204" s="345"/>
      <c r="K204" s="875"/>
      <c r="L204" s="875" t="s">
        <v>19779</v>
      </c>
      <c r="M204" s="875" t="s">
        <v>19780</v>
      </c>
      <c r="N204" s="345">
        <v>2008.0</v>
      </c>
      <c r="O204" s="875" t="s">
        <v>388</v>
      </c>
      <c r="P204" s="875">
        <v>1.0</v>
      </c>
      <c r="Q204" s="874">
        <v>1.0</v>
      </c>
      <c r="R204" s="863"/>
      <c r="S204" s="858"/>
      <c r="T204" s="858"/>
      <c r="U204" s="858"/>
      <c r="V204" s="858"/>
      <c r="W204" s="858"/>
      <c r="X204" s="858"/>
      <c r="Y204" s="858"/>
      <c r="Z204" s="858"/>
      <c r="AA204" s="858"/>
      <c r="AB204" s="858"/>
      <c r="AC204" s="858"/>
      <c r="AD204" s="858"/>
      <c r="AE204" s="858"/>
      <c r="AF204" s="858"/>
      <c r="AG204" s="858"/>
      <c r="AH204" s="858"/>
      <c r="AI204" s="858"/>
      <c r="AJ204" s="858"/>
    </row>
    <row r="205" ht="15.75" customHeight="1">
      <c r="A205" s="881" t="s">
        <v>20039</v>
      </c>
      <c r="B205" s="875" t="s">
        <v>19775</v>
      </c>
      <c r="C205" s="875" t="s">
        <v>19816</v>
      </c>
      <c r="D205" s="876" t="s">
        <v>20040</v>
      </c>
      <c r="E205" s="345" t="s">
        <v>13047</v>
      </c>
      <c r="F205" s="345" t="s">
        <v>29</v>
      </c>
      <c r="G205" s="345" t="s">
        <v>37</v>
      </c>
      <c r="H205" s="342"/>
      <c r="I205" s="345" t="s">
        <v>38</v>
      </c>
      <c r="J205" s="345"/>
      <c r="K205" s="875"/>
      <c r="L205" s="875" t="s">
        <v>19779</v>
      </c>
      <c r="M205" s="875" t="s">
        <v>19780</v>
      </c>
      <c r="N205" s="345">
        <v>2009.0</v>
      </c>
      <c r="O205" s="875" t="s">
        <v>388</v>
      </c>
      <c r="P205" s="875">
        <v>1.0</v>
      </c>
      <c r="Q205" s="874">
        <v>1.0</v>
      </c>
      <c r="R205" s="863"/>
      <c r="S205" s="858"/>
      <c r="T205" s="858"/>
      <c r="U205" s="858"/>
      <c r="V205" s="858"/>
      <c r="W205" s="858"/>
      <c r="X205" s="858"/>
      <c r="Y205" s="858"/>
      <c r="Z205" s="858"/>
      <c r="AA205" s="858"/>
      <c r="AB205" s="858"/>
      <c r="AC205" s="858"/>
      <c r="AD205" s="858"/>
      <c r="AE205" s="858"/>
      <c r="AF205" s="858"/>
      <c r="AG205" s="858"/>
      <c r="AH205" s="858"/>
      <c r="AI205" s="858"/>
      <c r="AJ205" s="858"/>
    </row>
    <row r="206" ht="15.75" customHeight="1">
      <c r="A206" s="881" t="s">
        <v>20041</v>
      </c>
      <c r="B206" s="875" t="s">
        <v>19775</v>
      </c>
      <c r="C206" s="875" t="s">
        <v>19816</v>
      </c>
      <c r="D206" s="876" t="s">
        <v>20042</v>
      </c>
      <c r="E206" s="345" t="s">
        <v>13047</v>
      </c>
      <c r="F206" s="345" t="s">
        <v>29</v>
      </c>
      <c r="G206" s="345" t="s">
        <v>37</v>
      </c>
      <c r="H206" s="342"/>
      <c r="I206" s="345" t="s">
        <v>38</v>
      </c>
      <c r="J206" s="345"/>
      <c r="K206" s="875"/>
      <c r="L206" s="875" t="s">
        <v>19779</v>
      </c>
      <c r="M206" s="875" t="s">
        <v>19780</v>
      </c>
      <c r="N206" s="345">
        <v>2010.0</v>
      </c>
      <c r="O206" s="875" t="s">
        <v>388</v>
      </c>
      <c r="P206" s="875">
        <v>1.0</v>
      </c>
      <c r="Q206" s="874">
        <v>1.0</v>
      </c>
      <c r="R206" s="863"/>
      <c r="S206" s="858"/>
      <c r="T206" s="858"/>
      <c r="U206" s="858"/>
      <c r="V206" s="858"/>
      <c r="W206" s="858"/>
      <c r="X206" s="858"/>
      <c r="Y206" s="858"/>
      <c r="Z206" s="858"/>
      <c r="AA206" s="858"/>
      <c r="AB206" s="858"/>
      <c r="AC206" s="858"/>
      <c r="AD206" s="858"/>
      <c r="AE206" s="858"/>
      <c r="AF206" s="858"/>
      <c r="AG206" s="858"/>
      <c r="AH206" s="858"/>
      <c r="AI206" s="858"/>
      <c r="AJ206" s="858"/>
    </row>
    <row r="207" ht="15.75" customHeight="1">
      <c r="A207" s="881" t="s">
        <v>20043</v>
      </c>
      <c r="B207" s="875" t="s">
        <v>19775</v>
      </c>
      <c r="C207" s="875" t="s">
        <v>19816</v>
      </c>
      <c r="D207" s="876" t="s">
        <v>20044</v>
      </c>
      <c r="E207" s="345" t="s">
        <v>13047</v>
      </c>
      <c r="F207" s="345" t="s">
        <v>29</v>
      </c>
      <c r="G207" s="345" t="s">
        <v>37</v>
      </c>
      <c r="H207" s="342"/>
      <c r="I207" s="345" t="s">
        <v>38</v>
      </c>
      <c r="J207" s="345"/>
      <c r="K207" s="875"/>
      <c r="L207" s="875" t="s">
        <v>19779</v>
      </c>
      <c r="M207" s="875" t="s">
        <v>19780</v>
      </c>
      <c r="N207" s="345">
        <v>2009.0</v>
      </c>
      <c r="O207" s="875" t="s">
        <v>388</v>
      </c>
      <c r="P207" s="875">
        <v>1.0</v>
      </c>
      <c r="Q207" s="874">
        <v>1.0</v>
      </c>
      <c r="R207" s="863"/>
      <c r="S207" s="858"/>
      <c r="T207" s="858"/>
      <c r="U207" s="858"/>
      <c r="V207" s="858"/>
      <c r="W207" s="858"/>
      <c r="X207" s="858"/>
      <c r="Y207" s="858"/>
      <c r="Z207" s="858"/>
      <c r="AA207" s="858"/>
      <c r="AB207" s="858"/>
      <c r="AC207" s="858"/>
      <c r="AD207" s="858"/>
      <c r="AE207" s="858"/>
      <c r="AF207" s="858"/>
      <c r="AG207" s="858"/>
      <c r="AH207" s="858"/>
      <c r="AI207" s="858"/>
      <c r="AJ207" s="858"/>
    </row>
    <row r="208" ht="15.75" customHeight="1">
      <c r="A208" s="881" t="s">
        <v>20045</v>
      </c>
      <c r="B208" s="875" t="s">
        <v>31</v>
      </c>
      <c r="C208" s="875" t="s">
        <v>31</v>
      </c>
      <c r="D208" s="876" t="s">
        <v>20046</v>
      </c>
      <c r="E208" s="345" t="s">
        <v>13047</v>
      </c>
      <c r="F208" s="345" t="s">
        <v>29</v>
      </c>
      <c r="G208" s="875" t="s">
        <v>37</v>
      </c>
      <c r="H208" s="342"/>
      <c r="I208" s="345" t="s">
        <v>38</v>
      </c>
      <c r="J208" s="345">
        <v>684.0</v>
      </c>
      <c r="K208" s="875"/>
      <c r="L208" s="875" t="s">
        <v>20047</v>
      </c>
      <c r="M208" s="875" t="s">
        <v>20048</v>
      </c>
      <c r="N208" s="345">
        <v>1997.0</v>
      </c>
      <c r="O208" s="875" t="s">
        <v>388</v>
      </c>
      <c r="P208" s="345">
        <v>2.0</v>
      </c>
      <c r="Q208" s="874">
        <v>1.0</v>
      </c>
      <c r="R208" s="863"/>
      <c r="S208" s="858"/>
      <c r="T208" s="858"/>
      <c r="U208" s="858"/>
      <c r="V208" s="858"/>
      <c r="W208" s="858"/>
      <c r="X208" s="858"/>
      <c r="Y208" s="858"/>
      <c r="Z208" s="858"/>
      <c r="AA208" s="858"/>
      <c r="AB208" s="858"/>
      <c r="AC208" s="858"/>
      <c r="AD208" s="858"/>
      <c r="AE208" s="858"/>
      <c r="AF208" s="858"/>
      <c r="AG208" s="858"/>
      <c r="AH208" s="858"/>
      <c r="AI208" s="858"/>
      <c r="AJ208" s="858"/>
    </row>
    <row r="209" ht="15.75" customHeight="1">
      <c r="A209" s="881" t="s">
        <v>20049</v>
      </c>
      <c r="B209" s="875" t="s">
        <v>31</v>
      </c>
      <c r="C209" s="875" t="s">
        <v>31</v>
      </c>
      <c r="D209" s="876" t="s">
        <v>20050</v>
      </c>
      <c r="E209" s="345" t="s">
        <v>13047</v>
      </c>
      <c r="F209" s="345" t="s">
        <v>29</v>
      </c>
      <c r="G209" s="875" t="s">
        <v>37</v>
      </c>
      <c r="H209" s="342"/>
      <c r="I209" s="345" t="s">
        <v>38</v>
      </c>
      <c r="J209" s="345">
        <v>797.0</v>
      </c>
      <c r="K209" s="875"/>
      <c r="L209" s="875" t="s">
        <v>20051</v>
      </c>
      <c r="M209" s="875" t="s">
        <v>20048</v>
      </c>
      <c r="N209" s="345">
        <v>1995.0</v>
      </c>
      <c r="O209" s="875" t="s">
        <v>388</v>
      </c>
      <c r="P209" s="345">
        <v>2.0</v>
      </c>
      <c r="Q209" s="874">
        <v>1.0</v>
      </c>
      <c r="R209" s="863"/>
      <c r="S209" s="858"/>
      <c r="T209" s="858"/>
      <c r="U209" s="858"/>
      <c r="V209" s="858"/>
      <c r="W209" s="858"/>
      <c r="X209" s="858"/>
      <c r="Y209" s="858"/>
      <c r="Z209" s="858"/>
      <c r="AA209" s="858"/>
      <c r="AB209" s="858"/>
      <c r="AC209" s="858"/>
      <c r="AD209" s="858"/>
      <c r="AE209" s="858"/>
      <c r="AF209" s="858"/>
      <c r="AG209" s="858"/>
      <c r="AH209" s="858"/>
      <c r="AI209" s="858"/>
      <c r="AJ209" s="858"/>
    </row>
    <row r="210" ht="15.75" customHeight="1">
      <c r="A210" s="881" t="s">
        <v>20052</v>
      </c>
      <c r="B210" s="875" t="s">
        <v>31</v>
      </c>
      <c r="C210" s="875" t="s">
        <v>31</v>
      </c>
      <c r="D210" s="876" t="s">
        <v>20053</v>
      </c>
      <c r="E210" s="345" t="s">
        <v>13047</v>
      </c>
      <c r="F210" s="345" t="s">
        <v>29</v>
      </c>
      <c r="G210" s="875" t="s">
        <v>37</v>
      </c>
      <c r="H210" s="342"/>
      <c r="I210" s="345" t="s">
        <v>38</v>
      </c>
      <c r="J210" s="345">
        <v>907.0</v>
      </c>
      <c r="K210" s="875"/>
      <c r="L210" s="875" t="s">
        <v>20054</v>
      </c>
      <c r="M210" s="875" t="s">
        <v>20048</v>
      </c>
      <c r="N210" s="345">
        <v>1996.0</v>
      </c>
      <c r="O210" s="875" t="s">
        <v>388</v>
      </c>
      <c r="P210" s="345">
        <v>2.0</v>
      </c>
      <c r="Q210" s="874">
        <v>1.0</v>
      </c>
      <c r="R210" s="863"/>
      <c r="S210" s="858"/>
      <c r="T210" s="858"/>
      <c r="U210" s="858"/>
      <c r="V210" s="858"/>
      <c r="W210" s="858"/>
      <c r="X210" s="858"/>
      <c r="Y210" s="858"/>
      <c r="Z210" s="858"/>
      <c r="AA210" s="858"/>
      <c r="AB210" s="858"/>
      <c r="AC210" s="858"/>
      <c r="AD210" s="858"/>
      <c r="AE210" s="858"/>
      <c r="AF210" s="858"/>
      <c r="AG210" s="858"/>
      <c r="AH210" s="858"/>
      <c r="AI210" s="858"/>
      <c r="AJ210" s="858"/>
    </row>
    <row r="211" ht="15.75" customHeight="1">
      <c r="A211" s="881" t="s">
        <v>20055</v>
      </c>
      <c r="B211" s="875" t="s">
        <v>31</v>
      </c>
      <c r="C211" s="875" t="s">
        <v>20056</v>
      </c>
      <c r="D211" s="876" t="s">
        <v>20057</v>
      </c>
      <c r="E211" s="345" t="s">
        <v>13047</v>
      </c>
      <c r="F211" s="345" t="s">
        <v>29</v>
      </c>
      <c r="G211" s="875" t="s">
        <v>37</v>
      </c>
      <c r="H211" s="342"/>
      <c r="I211" s="345" t="s">
        <v>38</v>
      </c>
      <c r="J211" s="345">
        <v>249.0</v>
      </c>
      <c r="K211" s="875"/>
      <c r="L211" s="875" t="s">
        <v>20058</v>
      </c>
      <c r="M211" s="875" t="s">
        <v>20059</v>
      </c>
      <c r="N211" s="345">
        <v>1999.0</v>
      </c>
      <c r="O211" s="875" t="s">
        <v>388</v>
      </c>
      <c r="P211" s="345">
        <v>1.0</v>
      </c>
      <c r="Q211" s="874">
        <v>1.0</v>
      </c>
      <c r="R211" s="863"/>
      <c r="S211" s="858"/>
      <c r="T211" s="858"/>
      <c r="U211" s="858"/>
      <c r="V211" s="858"/>
      <c r="W211" s="858"/>
      <c r="X211" s="858"/>
      <c r="Y211" s="858"/>
      <c r="Z211" s="858"/>
      <c r="AA211" s="858"/>
      <c r="AB211" s="858"/>
      <c r="AC211" s="858"/>
      <c r="AD211" s="858"/>
      <c r="AE211" s="858"/>
      <c r="AF211" s="858"/>
      <c r="AG211" s="858"/>
      <c r="AH211" s="858"/>
      <c r="AI211" s="858"/>
      <c r="AJ211" s="858"/>
    </row>
    <row r="212" ht="15.75" customHeight="1">
      <c r="A212" s="881" t="s">
        <v>20060</v>
      </c>
      <c r="B212" s="875" t="s">
        <v>31</v>
      </c>
      <c r="C212" s="875" t="s">
        <v>31</v>
      </c>
      <c r="D212" s="876" t="s">
        <v>20061</v>
      </c>
      <c r="E212" s="345" t="s">
        <v>13047</v>
      </c>
      <c r="F212" s="345" t="s">
        <v>29</v>
      </c>
      <c r="G212" s="875" t="s">
        <v>38</v>
      </c>
      <c r="H212" s="342"/>
      <c r="I212" s="345" t="s">
        <v>38</v>
      </c>
      <c r="J212" s="345">
        <v>100.0</v>
      </c>
      <c r="K212" s="875"/>
      <c r="L212" s="875" t="s">
        <v>20062</v>
      </c>
      <c r="M212" s="875" t="s">
        <v>54</v>
      </c>
      <c r="N212" s="345">
        <v>1952.0</v>
      </c>
      <c r="O212" s="875" t="s">
        <v>388</v>
      </c>
      <c r="P212" s="345">
        <v>1.0</v>
      </c>
      <c r="Q212" s="874">
        <v>1.0</v>
      </c>
      <c r="R212" s="863"/>
      <c r="S212" s="858"/>
      <c r="T212" s="858"/>
      <c r="U212" s="858"/>
      <c r="V212" s="858"/>
      <c r="W212" s="858"/>
      <c r="X212" s="858"/>
      <c r="Y212" s="858"/>
      <c r="Z212" s="858"/>
      <c r="AA212" s="858"/>
      <c r="AB212" s="858"/>
      <c r="AC212" s="858"/>
      <c r="AD212" s="858"/>
      <c r="AE212" s="858"/>
      <c r="AF212" s="858"/>
      <c r="AG212" s="858"/>
      <c r="AH212" s="858"/>
      <c r="AI212" s="858"/>
      <c r="AJ212" s="858"/>
    </row>
    <row r="213" ht="15.75" customHeight="1">
      <c r="A213" s="881" t="s">
        <v>20063</v>
      </c>
      <c r="B213" s="878" t="s">
        <v>31</v>
      </c>
      <c r="C213" s="878" t="s">
        <v>31</v>
      </c>
      <c r="D213" s="879" t="s">
        <v>20064</v>
      </c>
      <c r="E213" s="494" t="s">
        <v>13047</v>
      </c>
      <c r="F213" s="494" t="s">
        <v>29</v>
      </c>
      <c r="G213" s="878" t="s">
        <v>38</v>
      </c>
      <c r="H213" s="557"/>
      <c r="I213" s="494" t="s">
        <v>38</v>
      </c>
      <c r="J213" s="494">
        <v>128.0</v>
      </c>
      <c r="K213" s="878"/>
      <c r="L213" s="878" t="s">
        <v>20065</v>
      </c>
      <c r="M213" s="878" t="s">
        <v>54</v>
      </c>
      <c r="N213" s="494">
        <v>2017.0</v>
      </c>
      <c r="O213" s="878" t="s">
        <v>388</v>
      </c>
      <c r="P213" s="494">
        <v>4.0</v>
      </c>
      <c r="Q213" s="874">
        <v>1.0</v>
      </c>
      <c r="R213" s="863"/>
      <c r="S213" s="858"/>
      <c r="T213" s="858"/>
      <c r="U213" s="858"/>
      <c r="V213" s="858"/>
      <c r="W213" s="858"/>
      <c r="X213" s="858"/>
      <c r="Y213" s="858"/>
      <c r="Z213" s="858"/>
      <c r="AA213" s="858"/>
      <c r="AB213" s="858"/>
      <c r="AC213" s="858"/>
      <c r="AD213" s="858"/>
      <c r="AE213" s="858"/>
      <c r="AF213" s="858"/>
      <c r="AG213" s="858"/>
      <c r="AH213" s="858"/>
      <c r="AI213" s="858"/>
      <c r="AJ213" s="858"/>
    </row>
    <row r="214" ht="15.75" customHeight="1">
      <c r="A214" s="342">
        <v>185.0</v>
      </c>
      <c r="B214" s="875" t="s">
        <v>31</v>
      </c>
      <c r="C214" s="875" t="s">
        <v>31</v>
      </c>
      <c r="D214" s="876" t="s">
        <v>20066</v>
      </c>
      <c r="E214" s="345" t="s">
        <v>13047</v>
      </c>
      <c r="F214" s="345" t="s">
        <v>29</v>
      </c>
      <c r="G214" s="875" t="s">
        <v>37</v>
      </c>
      <c r="H214" s="342"/>
      <c r="I214" s="345" t="s">
        <v>38</v>
      </c>
      <c r="J214" s="345">
        <v>232.0</v>
      </c>
      <c r="K214" s="875"/>
      <c r="L214" s="875" t="s">
        <v>20067</v>
      </c>
      <c r="M214" s="875" t="s">
        <v>20048</v>
      </c>
      <c r="N214" s="345">
        <v>1995.0</v>
      </c>
      <c r="O214" s="875" t="s">
        <v>388</v>
      </c>
      <c r="P214" s="345">
        <v>1.0</v>
      </c>
      <c r="Q214" s="874">
        <v>1.0</v>
      </c>
      <c r="R214" s="863"/>
      <c r="S214" s="858"/>
      <c r="T214" s="858"/>
      <c r="U214" s="858"/>
      <c r="V214" s="858"/>
      <c r="W214" s="858"/>
      <c r="X214" s="858"/>
      <c r="Y214" s="858"/>
      <c r="Z214" s="858"/>
      <c r="AA214" s="858"/>
      <c r="AB214" s="858"/>
      <c r="AC214" s="858"/>
      <c r="AD214" s="858"/>
      <c r="AE214" s="858"/>
      <c r="AF214" s="858"/>
      <c r="AG214" s="858"/>
      <c r="AH214" s="858"/>
      <c r="AI214" s="858"/>
      <c r="AJ214" s="858"/>
    </row>
    <row r="215" ht="15.75" customHeight="1">
      <c r="A215" s="342">
        <v>186.0</v>
      </c>
      <c r="B215" s="875"/>
      <c r="C215" s="875"/>
      <c r="D215" s="876" t="s">
        <v>20068</v>
      </c>
      <c r="E215" s="345" t="s">
        <v>13047</v>
      </c>
      <c r="F215" s="345" t="s">
        <v>29</v>
      </c>
      <c r="G215" s="345" t="s">
        <v>37</v>
      </c>
      <c r="H215" s="342"/>
      <c r="I215" s="345" t="s">
        <v>38</v>
      </c>
      <c r="J215" s="345">
        <v>80.0</v>
      </c>
      <c r="K215" s="875"/>
      <c r="L215" s="875" t="s">
        <v>20069</v>
      </c>
      <c r="M215" s="875" t="s">
        <v>7218</v>
      </c>
      <c r="N215" s="345">
        <v>2015.0</v>
      </c>
      <c r="O215" s="875" t="s">
        <v>388</v>
      </c>
      <c r="P215" s="345">
        <v>1.0</v>
      </c>
      <c r="Q215" s="874">
        <v>1.0</v>
      </c>
      <c r="R215" s="863"/>
      <c r="S215" s="858"/>
      <c r="T215" s="858"/>
      <c r="U215" s="858"/>
      <c r="V215" s="858"/>
      <c r="W215" s="858"/>
      <c r="X215" s="858"/>
      <c r="Y215" s="858"/>
      <c r="Z215" s="858"/>
      <c r="AA215" s="858"/>
      <c r="AB215" s="858"/>
      <c r="AC215" s="858"/>
      <c r="AD215" s="858"/>
      <c r="AE215" s="858"/>
      <c r="AF215" s="858"/>
      <c r="AG215" s="858"/>
      <c r="AH215" s="858"/>
      <c r="AI215" s="858"/>
      <c r="AJ215" s="858"/>
    </row>
    <row r="216" ht="15.75" customHeight="1">
      <c r="A216" s="342">
        <v>187.0</v>
      </c>
      <c r="B216" s="875"/>
      <c r="C216" s="875"/>
      <c r="D216" s="876" t="s">
        <v>20070</v>
      </c>
      <c r="E216" s="345" t="s">
        <v>13047</v>
      </c>
      <c r="F216" s="345" t="s">
        <v>29</v>
      </c>
      <c r="G216" s="345" t="s">
        <v>30</v>
      </c>
      <c r="H216" s="342"/>
      <c r="I216" s="345" t="s">
        <v>30</v>
      </c>
      <c r="J216" s="345">
        <f>299-161</f>
        <v>138</v>
      </c>
      <c r="K216" s="875"/>
      <c r="L216" s="875"/>
      <c r="M216" s="875" t="s">
        <v>1271</v>
      </c>
      <c r="N216" s="875">
        <v>2014.0</v>
      </c>
      <c r="O216" s="875" t="s">
        <v>388</v>
      </c>
      <c r="P216" s="345">
        <v>1.0</v>
      </c>
      <c r="Q216" s="874">
        <v>1.0</v>
      </c>
      <c r="R216" s="863"/>
      <c r="S216" s="858"/>
      <c r="T216" s="858"/>
      <c r="U216" s="858"/>
      <c r="V216" s="858"/>
      <c r="W216" s="858"/>
      <c r="X216" s="858"/>
      <c r="Y216" s="858"/>
      <c r="Z216" s="858"/>
      <c r="AA216" s="858"/>
      <c r="AB216" s="858"/>
      <c r="AC216" s="858"/>
      <c r="AD216" s="858"/>
      <c r="AE216" s="858"/>
      <c r="AF216" s="858"/>
      <c r="AG216" s="858"/>
      <c r="AH216" s="858"/>
      <c r="AI216" s="858"/>
      <c r="AJ216" s="858"/>
    </row>
    <row r="217" ht="15.75" customHeight="1">
      <c r="A217" s="342">
        <v>188.0</v>
      </c>
      <c r="B217" s="875" t="s">
        <v>20071</v>
      </c>
      <c r="C217" s="875"/>
      <c r="D217" s="876" t="s">
        <v>20072</v>
      </c>
      <c r="E217" s="345" t="s">
        <v>13047</v>
      </c>
      <c r="F217" s="345" t="s">
        <v>29</v>
      </c>
      <c r="G217" s="345" t="s">
        <v>30</v>
      </c>
      <c r="H217" s="342"/>
      <c r="I217" s="345" t="s">
        <v>30</v>
      </c>
      <c r="J217" s="345">
        <v>60.0</v>
      </c>
      <c r="K217" s="875"/>
      <c r="L217" s="875"/>
      <c r="M217" s="875" t="s">
        <v>20073</v>
      </c>
      <c r="N217" s="875">
        <v>2015.0</v>
      </c>
      <c r="O217" s="875" t="s">
        <v>388</v>
      </c>
      <c r="P217" s="345">
        <v>1.0</v>
      </c>
      <c r="Q217" s="874">
        <v>1.0</v>
      </c>
      <c r="R217" s="863"/>
      <c r="S217" s="858"/>
      <c r="T217" s="858"/>
      <c r="U217" s="858"/>
      <c r="V217" s="858"/>
      <c r="W217" s="858"/>
      <c r="X217" s="858"/>
      <c r="Y217" s="858"/>
      <c r="Z217" s="858"/>
      <c r="AA217" s="858"/>
      <c r="AB217" s="858"/>
      <c r="AC217" s="858"/>
      <c r="AD217" s="858"/>
      <c r="AE217" s="858"/>
      <c r="AF217" s="858"/>
      <c r="AG217" s="858"/>
      <c r="AH217" s="858"/>
      <c r="AI217" s="858"/>
      <c r="AJ217" s="858"/>
    </row>
    <row r="218" ht="15.75" customHeight="1">
      <c r="A218" s="342">
        <v>189.0</v>
      </c>
      <c r="B218" s="875" t="s">
        <v>20071</v>
      </c>
      <c r="C218" s="875"/>
      <c r="D218" s="876" t="s">
        <v>20074</v>
      </c>
      <c r="E218" s="345" t="s">
        <v>13047</v>
      </c>
      <c r="F218" s="345" t="s">
        <v>29</v>
      </c>
      <c r="G218" s="345" t="s">
        <v>30</v>
      </c>
      <c r="H218" s="342"/>
      <c r="I218" s="345" t="s">
        <v>30</v>
      </c>
      <c r="J218" s="345">
        <v>60.0</v>
      </c>
      <c r="K218" s="875"/>
      <c r="L218" s="875"/>
      <c r="M218" s="875" t="s">
        <v>20073</v>
      </c>
      <c r="N218" s="875">
        <v>2015.0</v>
      </c>
      <c r="O218" s="875" t="s">
        <v>388</v>
      </c>
      <c r="P218" s="345">
        <v>1.0</v>
      </c>
      <c r="Q218" s="874">
        <v>1.0</v>
      </c>
      <c r="R218" s="863"/>
      <c r="S218" s="858"/>
      <c r="T218" s="858"/>
      <c r="U218" s="858"/>
      <c r="V218" s="858"/>
      <c r="W218" s="858"/>
      <c r="X218" s="858"/>
      <c r="Y218" s="858"/>
      <c r="Z218" s="858"/>
      <c r="AA218" s="858"/>
      <c r="AB218" s="858"/>
      <c r="AC218" s="858"/>
      <c r="AD218" s="858"/>
      <c r="AE218" s="858"/>
      <c r="AF218" s="858"/>
      <c r="AG218" s="858"/>
      <c r="AH218" s="858"/>
      <c r="AI218" s="858"/>
      <c r="AJ218" s="858"/>
    </row>
    <row r="219" ht="15.75" customHeight="1">
      <c r="A219" s="342">
        <v>190.0</v>
      </c>
      <c r="B219" s="875" t="s">
        <v>20071</v>
      </c>
      <c r="C219" s="875"/>
      <c r="D219" s="876" t="s">
        <v>20075</v>
      </c>
      <c r="E219" s="345" t="s">
        <v>13047</v>
      </c>
      <c r="F219" s="345" t="s">
        <v>29</v>
      </c>
      <c r="G219" s="345" t="s">
        <v>30</v>
      </c>
      <c r="H219" s="342"/>
      <c r="I219" s="345" t="s">
        <v>30</v>
      </c>
      <c r="J219" s="345">
        <v>60.0</v>
      </c>
      <c r="K219" s="875"/>
      <c r="L219" s="875"/>
      <c r="M219" s="875" t="s">
        <v>20073</v>
      </c>
      <c r="N219" s="875">
        <v>2015.0</v>
      </c>
      <c r="O219" s="875" t="s">
        <v>388</v>
      </c>
      <c r="P219" s="345">
        <v>1.0</v>
      </c>
      <c r="Q219" s="874">
        <v>1.0</v>
      </c>
      <c r="R219" s="863"/>
      <c r="S219" s="858"/>
      <c r="T219" s="858"/>
      <c r="U219" s="858"/>
      <c r="V219" s="858"/>
      <c r="W219" s="858"/>
      <c r="X219" s="858"/>
      <c r="Y219" s="858"/>
      <c r="Z219" s="858"/>
      <c r="AA219" s="858"/>
      <c r="AB219" s="858"/>
      <c r="AC219" s="858"/>
      <c r="AD219" s="858"/>
      <c r="AE219" s="858"/>
      <c r="AF219" s="858"/>
      <c r="AG219" s="858"/>
      <c r="AH219" s="858"/>
      <c r="AI219" s="858"/>
      <c r="AJ219" s="858"/>
    </row>
    <row r="220" ht="15.75" customHeight="1">
      <c r="A220" s="342">
        <v>191.0</v>
      </c>
      <c r="B220" s="875" t="s">
        <v>20071</v>
      </c>
      <c r="C220" s="875"/>
      <c r="D220" s="876" t="s">
        <v>20076</v>
      </c>
      <c r="E220" s="345" t="s">
        <v>13047</v>
      </c>
      <c r="F220" s="345" t="s">
        <v>29</v>
      </c>
      <c r="G220" s="345" t="s">
        <v>30</v>
      </c>
      <c r="H220" s="342"/>
      <c r="I220" s="345" t="s">
        <v>30</v>
      </c>
      <c r="J220" s="345">
        <v>60.0</v>
      </c>
      <c r="K220" s="875"/>
      <c r="L220" s="875"/>
      <c r="M220" s="875" t="s">
        <v>20073</v>
      </c>
      <c r="N220" s="875">
        <v>2015.0</v>
      </c>
      <c r="O220" s="875" t="s">
        <v>388</v>
      </c>
      <c r="P220" s="345">
        <v>1.0</v>
      </c>
      <c r="Q220" s="874">
        <v>1.0</v>
      </c>
      <c r="R220" s="863"/>
      <c r="S220" s="858"/>
      <c r="T220" s="858"/>
      <c r="U220" s="858"/>
      <c r="V220" s="858"/>
      <c r="W220" s="858"/>
      <c r="X220" s="858"/>
      <c r="Y220" s="858"/>
      <c r="Z220" s="858"/>
      <c r="AA220" s="858"/>
      <c r="AB220" s="858"/>
      <c r="AC220" s="858"/>
      <c r="AD220" s="858"/>
      <c r="AE220" s="858"/>
      <c r="AF220" s="858"/>
      <c r="AG220" s="858"/>
      <c r="AH220" s="858"/>
      <c r="AI220" s="858"/>
      <c r="AJ220" s="858"/>
    </row>
    <row r="221" ht="15.75" customHeight="1">
      <c r="A221" s="342">
        <v>192.0</v>
      </c>
      <c r="B221" s="875" t="s">
        <v>20071</v>
      </c>
      <c r="C221" s="875"/>
      <c r="D221" s="876" t="s">
        <v>20077</v>
      </c>
      <c r="E221" s="345" t="s">
        <v>13047</v>
      </c>
      <c r="F221" s="345" t="s">
        <v>29</v>
      </c>
      <c r="G221" s="345" t="s">
        <v>30</v>
      </c>
      <c r="H221" s="342"/>
      <c r="I221" s="345" t="s">
        <v>30</v>
      </c>
      <c r="J221" s="345">
        <v>60.0</v>
      </c>
      <c r="K221" s="875"/>
      <c r="L221" s="875"/>
      <c r="M221" s="875" t="s">
        <v>20073</v>
      </c>
      <c r="N221" s="875">
        <v>2015.0</v>
      </c>
      <c r="O221" s="875" t="s">
        <v>388</v>
      </c>
      <c r="P221" s="345">
        <v>1.0</v>
      </c>
      <c r="Q221" s="874">
        <v>1.0</v>
      </c>
      <c r="R221" s="863"/>
      <c r="S221" s="858"/>
      <c r="T221" s="858"/>
      <c r="U221" s="858"/>
      <c r="V221" s="858"/>
      <c r="W221" s="858"/>
      <c r="X221" s="858"/>
      <c r="Y221" s="858"/>
      <c r="Z221" s="858"/>
      <c r="AA221" s="858"/>
      <c r="AB221" s="858"/>
      <c r="AC221" s="858"/>
      <c r="AD221" s="858"/>
      <c r="AE221" s="858"/>
      <c r="AF221" s="858"/>
      <c r="AG221" s="858"/>
      <c r="AH221" s="858"/>
      <c r="AI221" s="858"/>
      <c r="AJ221" s="858"/>
    </row>
    <row r="222" ht="15.75" customHeight="1">
      <c r="A222" s="342">
        <v>193.0</v>
      </c>
      <c r="B222" s="875" t="s">
        <v>20071</v>
      </c>
      <c r="C222" s="875"/>
      <c r="D222" s="876" t="s">
        <v>20078</v>
      </c>
      <c r="E222" s="345" t="s">
        <v>13047</v>
      </c>
      <c r="F222" s="345" t="s">
        <v>29</v>
      </c>
      <c r="G222" s="345" t="s">
        <v>30</v>
      </c>
      <c r="H222" s="342"/>
      <c r="I222" s="345" t="s">
        <v>30</v>
      </c>
      <c r="J222" s="345">
        <v>60.0</v>
      </c>
      <c r="K222" s="875"/>
      <c r="L222" s="875"/>
      <c r="M222" s="875" t="s">
        <v>20073</v>
      </c>
      <c r="N222" s="875">
        <v>2015.0</v>
      </c>
      <c r="O222" s="875" t="s">
        <v>388</v>
      </c>
      <c r="P222" s="345">
        <v>1.0</v>
      </c>
      <c r="Q222" s="874">
        <v>1.0</v>
      </c>
      <c r="R222" s="863"/>
      <c r="S222" s="858"/>
      <c r="T222" s="858"/>
      <c r="U222" s="858"/>
      <c r="V222" s="858"/>
      <c r="W222" s="858"/>
      <c r="X222" s="858"/>
      <c r="Y222" s="858"/>
      <c r="Z222" s="858"/>
      <c r="AA222" s="858"/>
      <c r="AB222" s="858"/>
      <c r="AC222" s="858"/>
      <c r="AD222" s="858"/>
      <c r="AE222" s="858"/>
      <c r="AF222" s="858"/>
      <c r="AG222" s="858"/>
      <c r="AH222" s="858"/>
      <c r="AI222" s="858"/>
      <c r="AJ222" s="858"/>
    </row>
    <row r="223" ht="15.75" customHeight="1">
      <c r="A223" s="342">
        <v>194.0</v>
      </c>
      <c r="B223" s="875" t="s">
        <v>20071</v>
      </c>
      <c r="C223" s="875"/>
      <c r="D223" s="876" t="s">
        <v>20079</v>
      </c>
      <c r="E223" s="345" t="s">
        <v>13047</v>
      </c>
      <c r="F223" s="345" t="s">
        <v>29</v>
      </c>
      <c r="G223" s="345" t="s">
        <v>30</v>
      </c>
      <c r="H223" s="342"/>
      <c r="I223" s="345" t="s">
        <v>30</v>
      </c>
      <c r="J223" s="345">
        <v>60.0</v>
      </c>
      <c r="K223" s="875"/>
      <c r="L223" s="875"/>
      <c r="M223" s="875" t="s">
        <v>20073</v>
      </c>
      <c r="N223" s="875">
        <v>2015.0</v>
      </c>
      <c r="O223" s="875" t="s">
        <v>388</v>
      </c>
      <c r="P223" s="345">
        <v>1.0</v>
      </c>
      <c r="Q223" s="874">
        <v>1.0</v>
      </c>
      <c r="R223" s="863"/>
      <c r="S223" s="858"/>
      <c r="T223" s="858"/>
      <c r="U223" s="858"/>
      <c r="V223" s="858"/>
      <c r="W223" s="858"/>
      <c r="X223" s="858"/>
      <c r="Y223" s="858"/>
      <c r="Z223" s="858"/>
      <c r="AA223" s="858"/>
      <c r="AB223" s="858"/>
      <c r="AC223" s="858"/>
      <c r="AD223" s="858"/>
      <c r="AE223" s="858"/>
      <c r="AF223" s="858"/>
      <c r="AG223" s="858"/>
      <c r="AH223" s="858"/>
      <c r="AI223" s="858"/>
      <c r="AJ223" s="858"/>
    </row>
    <row r="224" ht="15.75" customHeight="1">
      <c r="A224" s="342">
        <v>195.0</v>
      </c>
      <c r="B224" s="875" t="s">
        <v>20071</v>
      </c>
      <c r="C224" s="875"/>
      <c r="D224" s="876" t="s">
        <v>20080</v>
      </c>
      <c r="E224" s="345" t="s">
        <v>13047</v>
      </c>
      <c r="F224" s="345" t="s">
        <v>29</v>
      </c>
      <c r="G224" s="345" t="s">
        <v>30</v>
      </c>
      <c r="H224" s="342"/>
      <c r="I224" s="345" t="s">
        <v>30</v>
      </c>
      <c r="J224" s="345">
        <v>60.0</v>
      </c>
      <c r="K224" s="875"/>
      <c r="L224" s="875"/>
      <c r="M224" s="875" t="s">
        <v>20073</v>
      </c>
      <c r="N224" s="875">
        <v>2015.0</v>
      </c>
      <c r="O224" s="875" t="s">
        <v>388</v>
      </c>
      <c r="P224" s="345">
        <v>1.0</v>
      </c>
      <c r="Q224" s="874">
        <v>1.0</v>
      </c>
      <c r="R224" s="863"/>
      <c r="S224" s="858"/>
      <c r="T224" s="858"/>
      <c r="U224" s="858"/>
      <c r="V224" s="858"/>
      <c r="W224" s="858"/>
      <c r="X224" s="858"/>
      <c r="Y224" s="858"/>
      <c r="Z224" s="858"/>
      <c r="AA224" s="858"/>
      <c r="AB224" s="858"/>
      <c r="AC224" s="858"/>
      <c r="AD224" s="858"/>
      <c r="AE224" s="858"/>
      <c r="AF224" s="858"/>
      <c r="AG224" s="858"/>
      <c r="AH224" s="858"/>
      <c r="AI224" s="858"/>
      <c r="AJ224" s="858"/>
    </row>
    <row r="225" ht="15.75" customHeight="1">
      <c r="A225" s="342">
        <v>196.0</v>
      </c>
      <c r="B225" s="875"/>
      <c r="C225" s="875"/>
      <c r="D225" s="876" t="s">
        <v>20081</v>
      </c>
      <c r="E225" s="345" t="s">
        <v>13047</v>
      </c>
      <c r="F225" s="345" t="s">
        <v>29</v>
      </c>
      <c r="G225" s="345" t="s">
        <v>30</v>
      </c>
      <c r="H225" s="342"/>
      <c r="I225" s="345" t="s">
        <v>30</v>
      </c>
      <c r="J225" s="345">
        <v>115.0</v>
      </c>
      <c r="K225" s="875"/>
      <c r="L225" s="875"/>
      <c r="M225" s="875" t="s">
        <v>20020</v>
      </c>
      <c r="N225" s="875">
        <v>2014.0</v>
      </c>
      <c r="O225" s="875" t="s">
        <v>388</v>
      </c>
      <c r="P225" s="345">
        <v>1.0</v>
      </c>
      <c r="Q225" s="874">
        <v>1.0</v>
      </c>
      <c r="R225" s="863"/>
      <c r="S225" s="858"/>
      <c r="T225" s="858"/>
      <c r="U225" s="858"/>
      <c r="V225" s="858"/>
      <c r="W225" s="858"/>
      <c r="X225" s="858"/>
      <c r="Y225" s="858"/>
      <c r="Z225" s="858"/>
      <c r="AA225" s="858"/>
      <c r="AB225" s="858"/>
      <c r="AC225" s="858"/>
      <c r="AD225" s="858"/>
      <c r="AE225" s="858"/>
      <c r="AF225" s="858"/>
      <c r="AG225" s="858"/>
      <c r="AH225" s="858"/>
      <c r="AI225" s="858"/>
      <c r="AJ225" s="858"/>
    </row>
    <row r="226" ht="15.75" customHeight="1">
      <c r="A226" s="342">
        <v>197.0</v>
      </c>
      <c r="B226" s="875" t="s">
        <v>20082</v>
      </c>
      <c r="C226" s="875"/>
      <c r="D226" s="876" t="s">
        <v>20083</v>
      </c>
      <c r="E226" s="345" t="s">
        <v>13047</v>
      </c>
      <c r="F226" s="345" t="s">
        <v>29</v>
      </c>
      <c r="G226" s="345" t="s">
        <v>37</v>
      </c>
      <c r="H226" s="622"/>
      <c r="I226" s="345" t="s">
        <v>38</v>
      </c>
      <c r="J226" s="345">
        <f>479-349</f>
        <v>130</v>
      </c>
      <c r="K226" s="875"/>
      <c r="L226" s="875"/>
      <c r="M226" s="875" t="s">
        <v>19712</v>
      </c>
      <c r="N226" s="345">
        <v>2015.0</v>
      </c>
      <c r="O226" s="875" t="s">
        <v>388</v>
      </c>
      <c r="P226" s="345">
        <v>1.0</v>
      </c>
      <c r="Q226" s="874">
        <v>1.0</v>
      </c>
      <c r="R226" s="863"/>
      <c r="S226" s="858"/>
      <c r="T226" s="858"/>
      <c r="U226" s="858"/>
      <c r="V226" s="858"/>
      <c r="W226" s="858"/>
      <c r="X226" s="858"/>
      <c r="Y226" s="858"/>
      <c r="Z226" s="858"/>
      <c r="AA226" s="858"/>
      <c r="AB226" s="858"/>
      <c r="AC226" s="858"/>
      <c r="AD226" s="858"/>
      <c r="AE226" s="858"/>
      <c r="AF226" s="858"/>
      <c r="AG226" s="858"/>
      <c r="AH226" s="858"/>
      <c r="AI226" s="858"/>
      <c r="AJ226" s="858"/>
    </row>
    <row r="227" ht="15.75" customHeight="1">
      <c r="A227" s="342">
        <v>198.0</v>
      </c>
      <c r="B227" s="875" t="s">
        <v>19709</v>
      </c>
      <c r="C227" s="875"/>
      <c r="D227" s="876" t="s">
        <v>20084</v>
      </c>
      <c r="E227" s="345" t="s">
        <v>13047</v>
      </c>
      <c r="F227" s="345" t="s">
        <v>29</v>
      </c>
      <c r="G227" s="345" t="s">
        <v>37</v>
      </c>
      <c r="H227" s="622"/>
      <c r="I227" s="345" t="s">
        <v>38</v>
      </c>
      <c r="J227" s="345">
        <f>236</f>
        <v>236</v>
      </c>
      <c r="K227" s="875"/>
      <c r="L227" s="875"/>
      <c r="M227" s="875" t="s">
        <v>19712</v>
      </c>
      <c r="N227" s="345">
        <v>2015.0</v>
      </c>
      <c r="O227" s="875" t="s">
        <v>388</v>
      </c>
      <c r="P227" s="345">
        <v>1.0</v>
      </c>
      <c r="Q227" s="874">
        <v>1.0</v>
      </c>
      <c r="R227" s="863"/>
      <c r="S227" s="858"/>
      <c r="T227" s="858"/>
      <c r="U227" s="858"/>
      <c r="V227" s="858"/>
      <c r="W227" s="858"/>
      <c r="X227" s="858"/>
      <c r="Y227" s="858"/>
      <c r="Z227" s="858"/>
      <c r="AA227" s="858"/>
      <c r="AB227" s="858"/>
      <c r="AC227" s="858"/>
      <c r="AD227" s="858"/>
      <c r="AE227" s="858"/>
      <c r="AF227" s="858"/>
      <c r="AG227" s="858"/>
      <c r="AH227" s="858"/>
      <c r="AI227" s="858"/>
      <c r="AJ227" s="858"/>
    </row>
    <row r="228" ht="161.25" customHeight="1">
      <c r="A228" s="342"/>
      <c r="B228" s="875"/>
      <c r="C228" s="875"/>
      <c r="D228" s="876"/>
      <c r="E228" s="345"/>
      <c r="F228" s="345"/>
      <c r="G228" s="345"/>
      <c r="H228" s="622"/>
      <c r="I228" s="345"/>
      <c r="J228" s="345"/>
      <c r="K228" s="875"/>
      <c r="L228" s="875"/>
      <c r="M228" s="875"/>
      <c r="N228" s="345"/>
      <c r="O228" s="875"/>
      <c r="P228" s="345"/>
      <c r="Q228" s="874">
        <v>1.0</v>
      </c>
      <c r="R228" s="863"/>
      <c r="S228" s="858"/>
      <c r="T228" s="858"/>
      <c r="U228" s="858"/>
      <c r="V228" s="858"/>
      <c r="W228" s="858"/>
      <c r="X228" s="858"/>
      <c r="Y228" s="858"/>
      <c r="Z228" s="858"/>
      <c r="AA228" s="858"/>
      <c r="AB228" s="858"/>
      <c r="AC228" s="858"/>
      <c r="AD228" s="858"/>
      <c r="AE228" s="858"/>
      <c r="AF228" s="858"/>
      <c r="AG228" s="858"/>
      <c r="AH228" s="858"/>
      <c r="AI228" s="858"/>
      <c r="AJ228" s="858"/>
    </row>
    <row r="229" ht="15.75" customHeight="1">
      <c r="A229" s="342">
        <v>268.0</v>
      </c>
      <c r="B229" s="875" t="s">
        <v>20085</v>
      </c>
      <c r="C229" s="875"/>
      <c r="D229" s="876" t="s">
        <v>20086</v>
      </c>
      <c r="E229" s="345" t="s">
        <v>13047</v>
      </c>
      <c r="F229" s="345" t="s">
        <v>29</v>
      </c>
      <c r="G229" s="345" t="s">
        <v>131</v>
      </c>
      <c r="H229" s="622"/>
      <c r="I229" s="345" t="s">
        <v>38</v>
      </c>
      <c r="J229" s="345">
        <f>340-169</f>
        <v>171</v>
      </c>
      <c r="K229" s="875"/>
      <c r="L229" s="875"/>
      <c r="M229" s="875" t="s">
        <v>3465</v>
      </c>
      <c r="N229" s="345">
        <v>2015.0</v>
      </c>
      <c r="O229" s="875" t="s">
        <v>388</v>
      </c>
      <c r="P229" s="345">
        <v>1.0</v>
      </c>
      <c r="Q229" s="874">
        <v>1.0</v>
      </c>
      <c r="R229" s="863"/>
      <c r="S229" s="858"/>
      <c r="T229" s="858"/>
      <c r="U229" s="858"/>
      <c r="V229" s="858"/>
      <c r="W229" s="858"/>
      <c r="X229" s="858"/>
      <c r="Y229" s="858"/>
      <c r="Z229" s="858"/>
      <c r="AA229" s="858"/>
      <c r="AB229" s="858"/>
      <c r="AC229" s="858"/>
      <c r="AD229" s="858"/>
      <c r="AE229" s="858"/>
      <c r="AF229" s="858"/>
      <c r="AG229" s="858"/>
      <c r="AH229" s="858"/>
      <c r="AI229" s="858"/>
      <c r="AJ229" s="858"/>
    </row>
    <row r="230" ht="15.75" customHeight="1">
      <c r="A230" s="342">
        <v>269.0</v>
      </c>
      <c r="B230" s="875"/>
      <c r="C230" s="875"/>
      <c r="D230" s="884" t="s">
        <v>20087</v>
      </c>
      <c r="E230" s="345" t="s">
        <v>13047</v>
      </c>
      <c r="F230" s="345" t="s">
        <v>29</v>
      </c>
      <c r="G230" s="345" t="s">
        <v>30</v>
      </c>
      <c r="H230" s="342"/>
      <c r="I230" s="345" t="s">
        <v>30</v>
      </c>
      <c r="J230" s="875"/>
      <c r="K230" s="875"/>
      <c r="L230" s="875"/>
      <c r="M230" s="875" t="s">
        <v>20088</v>
      </c>
      <c r="N230" s="345">
        <v>1985.0</v>
      </c>
      <c r="O230" s="875" t="s">
        <v>388</v>
      </c>
      <c r="P230" s="875">
        <v>1.0</v>
      </c>
      <c r="Q230" s="874">
        <v>1.0</v>
      </c>
      <c r="R230" s="863"/>
      <c r="S230" s="858"/>
      <c r="T230" s="858"/>
      <c r="U230" s="858"/>
      <c r="V230" s="858"/>
      <c r="W230" s="858"/>
      <c r="X230" s="858"/>
      <c r="Y230" s="858"/>
      <c r="Z230" s="858"/>
      <c r="AA230" s="858"/>
      <c r="AB230" s="858"/>
      <c r="AC230" s="858"/>
      <c r="AD230" s="858"/>
      <c r="AE230" s="858"/>
      <c r="AF230" s="858"/>
      <c r="AG230" s="858"/>
      <c r="AH230" s="858"/>
      <c r="AI230" s="858"/>
      <c r="AJ230" s="858"/>
    </row>
    <row r="231" ht="15.75" customHeight="1">
      <c r="A231" s="342">
        <v>270.0</v>
      </c>
      <c r="B231" s="875"/>
      <c r="C231" s="875"/>
      <c r="D231" s="876" t="s">
        <v>20089</v>
      </c>
      <c r="E231" s="345" t="s">
        <v>13047</v>
      </c>
      <c r="F231" s="345" t="s">
        <v>29</v>
      </c>
      <c r="G231" s="345" t="s">
        <v>30</v>
      </c>
      <c r="H231" s="342"/>
      <c r="I231" s="345" t="s">
        <v>30</v>
      </c>
      <c r="J231" s="875"/>
      <c r="K231" s="875"/>
      <c r="L231" s="875"/>
      <c r="M231" s="875" t="s">
        <v>20090</v>
      </c>
      <c r="N231" s="345" t="s">
        <v>31</v>
      </c>
      <c r="O231" s="875" t="s">
        <v>388</v>
      </c>
      <c r="P231" s="875">
        <v>1.0</v>
      </c>
      <c r="Q231" s="874">
        <v>1.0</v>
      </c>
      <c r="R231" s="863"/>
      <c r="S231" s="858"/>
      <c r="T231" s="858"/>
      <c r="U231" s="858"/>
      <c r="V231" s="858"/>
      <c r="W231" s="858"/>
      <c r="X231" s="858"/>
      <c r="Y231" s="858"/>
      <c r="Z231" s="858"/>
      <c r="AA231" s="858"/>
      <c r="AB231" s="858"/>
      <c r="AC231" s="858"/>
      <c r="AD231" s="858"/>
      <c r="AE231" s="858"/>
      <c r="AF231" s="858"/>
      <c r="AG231" s="858"/>
      <c r="AH231" s="858"/>
      <c r="AI231" s="858"/>
      <c r="AJ231" s="858"/>
    </row>
    <row r="232" ht="15.75" customHeight="1">
      <c r="A232" s="342">
        <v>271.0</v>
      </c>
      <c r="B232" s="875"/>
      <c r="C232" s="875"/>
      <c r="D232" s="884" t="s">
        <v>20091</v>
      </c>
      <c r="E232" s="345" t="s">
        <v>13047</v>
      </c>
      <c r="F232" s="345" t="s">
        <v>29</v>
      </c>
      <c r="G232" s="345" t="s">
        <v>30</v>
      </c>
      <c r="H232" s="342"/>
      <c r="I232" s="345" t="s">
        <v>30</v>
      </c>
      <c r="J232" s="875"/>
      <c r="K232" s="875"/>
      <c r="L232" s="875"/>
      <c r="M232" s="875" t="s">
        <v>20020</v>
      </c>
      <c r="N232" s="345" t="s">
        <v>31</v>
      </c>
      <c r="O232" s="875" t="s">
        <v>388</v>
      </c>
      <c r="P232" s="345">
        <v>1.0</v>
      </c>
      <c r="Q232" s="874">
        <v>1.0</v>
      </c>
      <c r="R232" s="863"/>
      <c r="S232" s="858"/>
      <c r="T232" s="858"/>
      <c r="U232" s="858"/>
      <c r="V232" s="858"/>
      <c r="W232" s="858"/>
      <c r="X232" s="858"/>
      <c r="Y232" s="858"/>
      <c r="Z232" s="858"/>
      <c r="AA232" s="858"/>
      <c r="AB232" s="858"/>
      <c r="AC232" s="858"/>
      <c r="AD232" s="858"/>
      <c r="AE232" s="858"/>
      <c r="AF232" s="858"/>
      <c r="AG232" s="858"/>
      <c r="AH232" s="858"/>
      <c r="AI232" s="858"/>
      <c r="AJ232" s="858"/>
    </row>
    <row r="233" ht="15.75" customHeight="1">
      <c r="A233" s="342">
        <v>272.0</v>
      </c>
      <c r="B233" s="875"/>
      <c r="C233" s="875" t="s">
        <v>31</v>
      </c>
      <c r="D233" s="876" t="s">
        <v>20092</v>
      </c>
      <c r="E233" s="345" t="s">
        <v>13047</v>
      </c>
      <c r="F233" s="345" t="s">
        <v>29</v>
      </c>
      <c r="G233" s="875" t="s">
        <v>30</v>
      </c>
      <c r="H233" s="433"/>
      <c r="I233" s="875" t="s">
        <v>30</v>
      </c>
      <c r="J233" s="875"/>
      <c r="K233" s="875"/>
      <c r="L233" s="875" t="s">
        <v>20093</v>
      </c>
      <c r="M233" s="875" t="s">
        <v>20094</v>
      </c>
      <c r="N233" s="875">
        <v>2009.0</v>
      </c>
      <c r="O233" s="875" t="s">
        <v>388</v>
      </c>
      <c r="P233" s="875">
        <v>1.0</v>
      </c>
      <c r="Q233" s="874">
        <v>1.0</v>
      </c>
      <c r="R233" s="863"/>
      <c r="S233" s="858"/>
      <c r="T233" s="858"/>
      <c r="U233" s="858"/>
      <c r="V233" s="858"/>
      <c r="W233" s="858"/>
      <c r="X233" s="858"/>
      <c r="Y233" s="858"/>
      <c r="Z233" s="858"/>
      <c r="AA233" s="858"/>
      <c r="AB233" s="858"/>
      <c r="AC233" s="858"/>
      <c r="AD233" s="858"/>
      <c r="AE233" s="858"/>
      <c r="AF233" s="858"/>
      <c r="AG233" s="858"/>
      <c r="AH233" s="858"/>
      <c r="AI233" s="858"/>
      <c r="AJ233" s="858"/>
    </row>
    <row r="234" ht="85.5" customHeight="1">
      <c r="A234" s="342">
        <v>273.0</v>
      </c>
      <c r="B234" s="875" t="s">
        <v>31</v>
      </c>
      <c r="C234" s="875"/>
      <c r="D234" s="876" t="s">
        <v>20095</v>
      </c>
      <c r="E234" s="345" t="s">
        <v>13047</v>
      </c>
      <c r="F234" s="345" t="s">
        <v>29</v>
      </c>
      <c r="G234" s="875" t="s">
        <v>30</v>
      </c>
      <c r="H234" s="433"/>
      <c r="I234" s="875" t="s">
        <v>30</v>
      </c>
      <c r="J234" s="875"/>
      <c r="K234" s="875"/>
      <c r="L234" s="875" t="s">
        <v>20096</v>
      </c>
      <c r="M234" s="875" t="s">
        <v>20094</v>
      </c>
      <c r="N234" s="875">
        <v>2010.0</v>
      </c>
      <c r="O234" s="875" t="s">
        <v>388</v>
      </c>
      <c r="P234" s="875">
        <v>1.0</v>
      </c>
      <c r="Q234" s="874">
        <v>1.0</v>
      </c>
      <c r="R234" s="863"/>
      <c r="S234" s="858"/>
      <c r="T234" s="858"/>
      <c r="U234" s="858"/>
      <c r="V234" s="858"/>
      <c r="W234" s="858"/>
      <c r="X234" s="858"/>
      <c r="Y234" s="858"/>
      <c r="Z234" s="858"/>
      <c r="AA234" s="858"/>
      <c r="AB234" s="858"/>
      <c r="AC234" s="858"/>
      <c r="AD234" s="858"/>
      <c r="AE234" s="858"/>
      <c r="AF234" s="858"/>
      <c r="AG234" s="858"/>
      <c r="AH234" s="858"/>
      <c r="AI234" s="858"/>
      <c r="AJ234" s="858"/>
    </row>
    <row r="235" ht="60.0" customHeight="1">
      <c r="A235" s="342">
        <v>274.0</v>
      </c>
      <c r="B235" s="875"/>
      <c r="C235" s="875"/>
      <c r="D235" s="876" t="s">
        <v>20097</v>
      </c>
      <c r="E235" s="345" t="s">
        <v>13047</v>
      </c>
      <c r="F235" s="345" t="s">
        <v>29</v>
      </c>
      <c r="G235" s="875" t="s">
        <v>30</v>
      </c>
      <c r="H235" s="433"/>
      <c r="I235" s="875" t="s">
        <v>30</v>
      </c>
      <c r="J235" s="875"/>
      <c r="K235" s="875"/>
      <c r="L235" s="875" t="s">
        <v>20098</v>
      </c>
      <c r="M235" s="875" t="s">
        <v>20094</v>
      </c>
      <c r="N235" s="875">
        <v>2010.0</v>
      </c>
      <c r="O235" s="875" t="s">
        <v>388</v>
      </c>
      <c r="P235" s="875">
        <v>1.0</v>
      </c>
      <c r="Q235" s="874">
        <v>1.0</v>
      </c>
      <c r="R235" s="863"/>
      <c r="S235" s="858"/>
      <c r="T235" s="858"/>
      <c r="U235" s="858"/>
      <c r="V235" s="858"/>
      <c r="W235" s="858"/>
      <c r="X235" s="858"/>
      <c r="Y235" s="858"/>
      <c r="Z235" s="858"/>
      <c r="AA235" s="858"/>
      <c r="AB235" s="858"/>
      <c r="AC235" s="858"/>
      <c r="AD235" s="858"/>
      <c r="AE235" s="858"/>
      <c r="AF235" s="858"/>
      <c r="AG235" s="858"/>
      <c r="AH235" s="858"/>
      <c r="AI235" s="858"/>
      <c r="AJ235" s="858"/>
    </row>
    <row r="236" ht="15.75" customHeight="1">
      <c r="A236" s="342">
        <v>275.0</v>
      </c>
      <c r="B236" s="875"/>
      <c r="C236" s="875"/>
      <c r="D236" s="876" t="s">
        <v>20099</v>
      </c>
      <c r="E236" s="345" t="s">
        <v>13047</v>
      </c>
      <c r="F236" s="345" t="s">
        <v>29</v>
      </c>
      <c r="G236" s="875" t="s">
        <v>30</v>
      </c>
      <c r="H236" s="433"/>
      <c r="I236" s="875" t="s">
        <v>30</v>
      </c>
      <c r="J236" s="875"/>
      <c r="K236" s="875"/>
      <c r="L236" s="875" t="s">
        <v>20100</v>
      </c>
      <c r="M236" s="875" t="s">
        <v>20094</v>
      </c>
      <c r="N236" s="875">
        <v>2011.0</v>
      </c>
      <c r="O236" s="875" t="s">
        <v>388</v>
      </c>
      <c r="P236" s="875">
        <v>1.0</v>
      </c>
      <c r="Q236" s="874">
        <v>1.0</v>
      </c>
      <c r="R236" s="863"/>
      <c r="S236" s="858"/>
      <c r="T236" s="858"/>
      <c r="U236" s="858"/>
      <c r="V236" s="858"/>
      <c r="W236" s="858"/>
      <c r="X236" s="858"/>
      <c r="Y236" s="858"/>
      <c r="Z236" s="858"/>
      <c r="AA236" s="858"/>
      <c r="AB236" s="858"/>
      <c r="AC236" s="858"/>
      <c r="AD236" s="858"/>
      <c r="AE236" s="858"/>
      <c r="AF236" s="858"/>
      <c r="AG236" s="858"/>
      <c r="AH236" s="858"/>
      <c r="AI236" s="858"/>
      <c r="AJ236" s="858"/>
    </row>
    <row r="237" ht="87.0" customHeight="1">
      <c r="A237" s="342">
        <v>276.0</v>
      </c>
      <c r="B237" s="875"/>
      <c r="C237" s="875"/>
      <c r="D237" s="876" t="s">
        <v>20101</v>
      </c>
      <c r="E237" s="345" t="s">
        <v>13047</v>
      </c>
      <c r="F237" s="345" t="s">
        <v>29</v>
      </c>
      <c r="G237" s="875" t="s">
        <v>30</v>
      </c>
      <c r="H237" s="433"/>
      <c r="I237" s="875" t="s">
        <v>30</v>
      </c>
      <c r="J237" s="875"/>
      <c r="K237" s="875"/>
      <c r="L237" s="875" t="s">
        <v>20102</v>
      </c>
      <c r="M237" s="875" t="s">
        <v>20094</v>
      </c>
      <c r="N237" s="875">
        <v>2012.0</v>
      </c>
      <c r="O237" s="875" t="s">
        <v>388</v>
      </c>
      <c r="P237" s="875">
        <v>1.0</v>
      </c>
      <c r="Q237" s="874">
        <v>1.0</v>
      </c>
      <c r="R237" s="863"/>
      <c r="S237" s="858"/>
      <c r="T237" s="858"/>
      <c r="U237" s="858"/>
      <c r="V237" s="858"/>
      <c r="W237" s="858"/>
      <c r="X237" s="858"/>
      <c r="Y237" s="858"/>
      <c r="Z237" s="858"/>
      <c r="AA237" s="858"/>
      <c r="AB237" s="858"/>
      <c r="AC237" s="858"/>
      <c r="AD237" s="858"/>
      <c r="AE237" s="858"/>
      <c r="AF237" s="858"/>
      <c r="AG237" s="858"/>
      <c r="AH237" s="858"/>
      <c r="AI237" s="858"/>
      <c r="AJ237" s="858"/>
    </row>
    <row r="238" ht="15.75" customHeight="1">
      <c r="A238" s="342">
        <v>277.0</v>
      </c>
      <c r="B238" s="875"/>
      <c r="C238" s="875"/>
      <c r="D238" s="876" t="s">
        <v>20103</v>
      </c>
      <c r="E238" s="345" t="s">
        <v>13047</v>
      </c>
      <c r="F238" s="345" t="s">
        <v>29</v>
      </c>
      <c r="G238" s="875"/>
      <c r="H238" s="433"/>
      <c r="I238" s="875"/>
      <c r="J238" s="875"/>
      <c r="K238" s="875"/>
      <c r="L238" s="875" t="s">
        <v>20104</v>
      </c>
      <c r="M238" s="875" t="s">
        <v>20094</v>
      </c>
      <c r="N238" s="875">
        <v>2012.0</v>
      </c>
      <c r="O238" s="875" t="s">
        <v>388</v>
      </c>
      <c r="P238" s="875">
        <v>1.0</v>
      </c>
      <c r="Q238" s="874">
        <v>1.0</v>
      </c>
      <c r="R238" s="863"/>
      <c r="S238" s="858"/>
      <c r="T238" s="858"/>
      <c r="U238" s="858"/>
      <c r="V238" s="858"/>
      <c r="W238" s="858"/>
      <c r="X238" s="858"/>
      <c r="Y238" s="858"/>
      <c r="Z238" s="858"/>
      <c r="AA238" s="858"/>
      <c r="AB238" s="858"/>
      <c r="AC238" s="858"/>
      <c r="AD238" s="858"/>
      <c r="AE238" s="858"/>
      <c r="AF238" s="858"/>
      <c r="AG238" s="858"/>
      <c r="AH238" s="858"/>
      <c r="AI238" s="858"/>
      <c r="AJ238" s="858"/>
    </row>
    <row r="239" ht="15.75" customHeight="1">
      <c r="A239" s="342">
        <v>278.0</v>
      </c>
      <c r="B239" s="875" t="s">
        <v>31</v>
      </c>
      <c r="C239" s="875" t="s">
        <v>31</v>
      </c>
      <c r="D239" s="876" t="s">
        <v>20105</v>
      </c>
      <c r="E239" s="345" t="s">
        <v>13047</v>
      </c>
      <c r="F239" s="345" t="s">
        <v>29</v>
      </c>
      <c r="G239" s="875" t="s">
        <v>30</v>
      </c>
      <c r="H239" s="433"/>
      <c r="I239" s="875" t="s">
        <v>30</v>
      </c>
      <c r="J239" s="875"/>
      <c r="K239" s="875"/>
      <c r="L239" s="875" t="s">
        <v>20106</v>
      </c>
      <c r="M239" s="875" t="s">
        <v>20094</v>
      </c>
      <c r="N239" s="875">
        <v>2013.0</v>
      </c>
      <c r="O239" s="875" t="s">
        <v>388</v>
      </c>
      <c r="P239" s="875">
        <v>1.0</v>
      </c>
      <c r="Q239" s="874">
        <v>1.0</v>
      </c>
      <c r="R239" s="863"/>
      <c r="S239" s="858"/>
      <c r="T239" s="858"/>
      <c r="U239" s="858"/>
      <c r="V239" s="858"/>
      <c r="W239" s="858"/>
      <c r="X239" s="858"/>
      <c r="Y239" s="858"/>
      <c r="Z239" s="858"/>
      <c r="AA239" s="858"/>
      <c r="AB239" s="858"/>
      <c r="AC239" s="858"/>
      <c r="AD239" s="858"/>
      <c r="AE239" s="858"/>
      <c r="AF239" s="858"/>
      <c r="AG239" s="858"/>
      <c r="AH239" s="858"/>
      <c r="AI239" s="858"/>
      <c r="AJ239" s="858"/>
    </row>
    <row r="240" ht="92.25" customHeight="1">
      <c r="A240" s="342">
        <v>279.0</v>
      </c>
      <c r="B240" s="875"/>
      <c r="C240" s="875"/>
      <c r="D240" s="876" t="s">
        <v>20107</v>
      </c>
      <c r="E240" s="345" t="s">
        <v>13047</v>
      </c>
      <c r="F240" s="345" t="s">
        <v>29</v>
      </c>
      <c r="G240" s="875" t="s">
        <v>30</v>
      </c>
      <c r="H240" s="433"/>
      <c r="I240" s="875" t="s">
        <v>30</v>
      </c>
      <c r="J240" s="875"/>
      <c r="K240" s="875"/>
      <c r="L240" s="875" t="s">
        <v>20108</v>
      </c>
      <c r="M240" s="875" t="s">
        <v>20094</v>
      </c>
      <c r="N240" s="875">
        <v>2013.0</v>
      </c>
      <c r="O240" s="875" t="s">
        <v>388</v>
      </c>
      <c r="P240" s="875">
        <v>1.0</v>
      </c>
      <c r="Q240" s="874">
        <v>1.0</v>
      </c>
      <c r="R240" s="863"/>
      <c r="S240" s="858"/>
      <c r="T240" s="858"/>
      <c r="U240" s="858"/>
      <c r="V240" s="858"/>
      <c r="W240" s="858"/>
      <c r="X240" s="858"/>
      <c r="Y240" s="858"/>
      <c r="Z240" s="858"/>
      <c r="AA240" s="858"/>
      <c r="AB240" s="858"/>
      <c r="AC240" s="858"/>
      <c r="AD240" s="858"/>
      <c r="AE240" s="858"/>
      <c r="AF240" s="858"/>
      <c r="AG240" s="858"/>
      <c r="AH240" s="858"/>
      <c r="AI240" s="858"/>
      <c r="AJ240" s="858"/>
    </row>
    <row r="241" ht="92.25" customHeight="1">
      <c r="A241" s="342"/>
      <c r="B241" s="875"/>
      <c r="C241" s="875"/>
      <c r="D241" s="879" t="s">
        <v>20109</v>
      </c>
      <c r="E241" s="494" t="s">
        <v>13047</v>
      </c>
      <c r="F241" s="494" t="s">
        <v>29</v>
      </c>
      <c r="G241" s="878" t="s">
        <v>30</v>
      </c>
      <c r="H241" s="430"/>
      <c r="I241" s="878" t="s">
        <v>30</v>
      </c>
      <c r="J241" s="878"/>
      <c r="K241" s="878"/>
      <c r="L241" s="878" t="s">
        <v>20108</v>
      </c>
      <c r="M241" s="878" t="s">
        <v>20094</v>
      </c>
      <c r="N241" s="878">
        <v>2013.0</v>
      </c>
      <c r="O241" s="878" t="s">
        <v>388</v>
      </c>
      <c r="P241" s="878">
        <v>1.0</v>
      </c>
      <c r="Q241" s="874">
        <v>1.0</v>
      </c>
      <c r="R241" s="863"/>
      <c r="S241" s="858"/>
      <c r="T241" s="858"/>
      <c r="U241" s="858"/>
      <c r="V241" s="858"/>
      <c r="W241" s="858"/>
      <c r="X241" s="858"/>
      <c r="Y241" s="858"/>
      <c r="Z241" s="858"/>
      <c r="AA241" s="858"/>
      <c r="AB241" s="858"/>
      <c r="AC241" s="858"/>
      <c r="AD241" s="858"/>
      <c r="AE241" s="858"/>
      <c r="AF241" s="858"/>
      <c r="AG241" s="858"/>
      <c r="AH241" s="858"/>
      <c r="AI241" s="858"/>
      <c r="AJ241" s="858"/>
    </row>
    <row r="242" ht="92.25" customHeight="1">
      <c r="A242" s="342">
        <v>280.0</v>
      </c>
      <c r="B242" s="875"/>
      <c r="C242" s="875"/>
      <c r="D242" s="876" t="s">
        <v>20110</v>
      </c>
      <c r="E242" s="345" t="s">
        <v>13047</v>
      </c>
      <c r="F242" s="345" t="s">
        <v>29</v>
      </c>
      <c r="G242" s="875" t="s">
        <v>30</v>
      </c>
      <c r="H242" s="433"/>
      <c r="I242" s="875" t="s">
        <v>30</v>
      </c>
      <c r="J242" s="875">
        <f t="shared" ref="J242:J243" si="1">205-103</f>
        <v>102</v>
      </c>
      <c r="K242" s="875"/>
      <c r="L242" s="875" t="s">
        <v>20111</v>
      </c>
      <c r="M242" s="875" t="s">
        <v>20094</v>
      </c>
      <c r="N242" s="875">
        <v>2015.0</v>
      </c>
      <c r="O242" s="875" t="s">
        <v>388</v>
      </c>
      <c r="P242" s="875">
        <v>1.0</v>
      </c>
      <c r="Q242" s="874">
        <v>1.0</v>
      </c>
      <c r="R242" s="863"/>
      <c r="S242" s="858"/>
      <c r="T242" s="858"/>
      <c r="U242" s="858"/>
      <c r="V242" s="858"/>
      <c r="W242" s="858"/>
      <c r="X242" s="858"/>
      <c r="Y242" s="858"/>
      <c r="Z242" s="858"/>
      <c r="AA242" s="858"/>
      <c r="AB242" s="858"/>
      <c r="AC242" s="858"/>
      <c r="AD242" s="858"/>
      <c r="AE242" s="858"/>
      <c r="AF242" s="858"/>
      <c r="AG242" s="858"/>
      <c r="AH242" s="858"/>
      <c r="AI242" s="858"/>
      <c r="AJ242" s="858"/>
    </row>
    <row r="243" ht="92.25" customHeight="1">
      <c r="A243" s="342">
        <v>281.0</v>
      </c>
      <c r="B243" s="875"/>
      <c r="C243" s="875"/>
      <c r="D243" s="879" t="s">
        <v>20112</v>
      </c>
      <c r="E243" s="494" t="s">
        <v>13047</v>
      </c>
      <c r="F243" s="494" t="s">
        <v>29</v>
      </c>
      <c r="G243" s="878" t="s">
        <v>30</v>
      </c>
      <c r="H243" s="430"/>
      <c r="I243" s="878" t="s">
        <v>30</v>
      </c>
      <c r="J243" s="878">
        <f t="shared" si="1"/>
        <v>102</v>
      </c>
      <c r="K243" s="878"/>
      <c r="L243" s="878" t="s">
        <v>20111</v>
      </c>
      <c r="M243" s="878" t="s">
        <v>20094</v>
      </c>
      <c r="N243" s="878">
        <v>2015.0</v>
      </c>
      <c r="O243" s="878" t="s">
        <v>388</v>
      </c>
      <c r="P243" s="878">
        <v>1.0</v>
      </c>
      <c r="Q243" s="874">
        <v>1.0</v>
      </c>
      <c r="R243" s="863"/>
      <c r="S243" s="858"/>
      <c r="T243" s="858"/>
      <c r="U243" s="858"/>
      <c r="V243" s="858"/>
      <c r="W243" s="858"/>
      <c r="X243" s="858"/>
      <c r="Y243" s="858"/>
      <c r="Z243" s="858"/>
      <c r="AA243" s="858"/>
      <c r="AB243" s="858"/>
      <c r="AC243" s="858"/>
      <c r="AD243" s="858"/>
      <c r="AE243" s="858"/>
      <c r="AF243" s="858"/>
      <c r="AG243" s="858"/>
      <c r="AH243" s="858"/>
      <c r="AI243" s="858"/>
      <c r="AJ243" s="858"/>
    </row>
    <row r="244" ht="92.25" customHeight="1">
      <c r="A244" s="342"/>
      <c r="B244" s="875"/>
      <c r="C244" s="875"/>
      <c r="D244" s="879" t="s">
        <v>20113</v>
      </c>
      <c r="E244" s="494" t="s">
        <v>13047</v>
      </c>
      <c r="F244" s="494" t="s">
        <v>29</v>
      </c>
      <c r="G244" s="878" t="s">
        <v>30</v>
      </c>
      <c r="H244" s="430"/>
      <c r="I244" s="878" t="s">
        <v>30</v>
      </c>
      <c r="J244" s="878">
        <f>109+2</f>
        <v>111</v>
      </c>
      <c r="K244" s="878"/>
      <c r="L244" s="878" t="s">
        <v>20111</v>
      </c>
      <c r="M244" s="878" t="s">
        <v>20094</v>
      </c>
      <c r="N244" s="878">
        <v>2015.0</v>
      </c>
      <c r="O244" s="878" t="s">
        <v>388</v>
      </c>
      <c r="P244" s="878">
        <v>1.0</v>
      </c>
      <c r="Q244" s="874">
        <v>1.0</v>
      </c>
      <c r="R244" s="863"/>
      <c r="S244" s="858"/>
      <c r="T244" s="858"/>
      <c r="U244" s="858"/>
      <c r="V244" s="858"/>
      <c r="W244" s="858"/>
      <c r="X244" s="858"/>
      <c r="Y244" s="858"/>
      <c r="Z244" s="858"/>
      <c r="AA244" s="858"/>
      <c r="AB244" s="858"/>
      <c r="AC244" s="858"/>
      <c r="AD244" s="858"/>
      <c r="AE244" s="858"/>
      <c r="AF244" s="858"/>
      <c r="AG244" s="858"/>
      <c r="AH244" s="858"/>
      <c r="AI244" s="858"/>
      <c r="AJ244" s="858"/>
    </row>
    <row r="245" ht="15.75" customHeight="1">
      <c r="A245" s="342">
        <v>282.0</v>
      </c>
      <c r="B245" s="875" t="s">
        <v>31</v>
      </c>
      <c r="C245" s="875" t="s">
        <v>31</v>
      </c>
      <c r="D245" s="876" t="s">
        <v>20114</v>
      </c>
      <c r="E245" s="345" t="s">
        <v>13047</v>
      </c>
      <c r="F245" s="345" t="s">
        <v>29</v>
      </c>
      <c r="G245" s="875" t="s">
        <v>30</v>
      </c>
      <c r="H245" s="433"/>
      <c r="I245" s="875" t="s">
        <v>30</v>
      </c>
      <c r="J245" s="875"/>
      <c r="K245" s="875"/>
      <c r="L245" s="875" t="s">
        <v>20115</v>
      </c>
      <c r="M245" s="875" t="s">
        <v>1271</v>
      </c>
      <c r="N245" s="875">
        <v>2001.0</v>
      </c>
      <c r="O245" s="875" t="s">
        <v>388</v>
      </c>
      <c r="P245" s="875">
        <v>1.0</v>
      </c>
      <c r="Q245" s="874">
        <v>1.0</v>
      </c>
      <c r="R245" s="863"/>
      <c r="S245" s="858"/>
      <c r="T245" s="858"/>
      <c r="U245" s="858"/>
      <c r="V245" s="858"/>
      <c r="W245" s="858"/>
      <c r="X245" s="858"/>
      <c r="Y245" s="858"/>
      <c r="Z245" s="858"/>
      <c r="AA245" s="858"/>
      <c r="AB245" s="858"/>
      <c r="AC245" s="858"/>
      <c r="AD245" s="858"/>
      <c r="AE245" s="858"/>
      <c r="AF245" s="858"/>
      <c r="AG245" s="858"/>
      <c r="AH245" s="858"/>
      <c r="AI245" s="858"/>
      <c r="AJ245" s="858"/>
    </row>
    <row r="246" ht="15.75" customHeight="1">
      <c r="A246" s="342">
        <v>283.0</v>
      </c>
      <c r="B246" s="875" t="s">
        <v>31</v>
      </c>
      <c r="C246" s="875" t="s">
        <v>31</v>
      </c>
      <c r="D246" s="876" t="s">
        <v>20116</v>
      </c>
      <c r="E246" s="345" t="s">
        <v>13047</v>
      </c>
      <c r="F246" s="345" t="s">
        <v>29</v>
      </c>
      <c r="G246" s="875" t="s">
        <v>30</v>
      </c>
      <c r="H246" s="433"/>
      <c r="I246" s="875" t="s">
        <v>30</v>
      </c>
      <c r="J246" s="875"/>
      <c r="K246" s="875"/>
      <c r="L246" s="875" t="s">
        <v>20117</v>
      </c>
      <c r="M246" s="875" t="s">
        <v>1271</v>
      </c>
      <c r="N246" s="875">
        <v>2002.0</v>
      </c>
      <c r="O246" s="875" t="s">
        <v>388</v>
      </c>
      <c r="P246" s="875">
        <v>1.0</v>
      </c>
      <c r="Q246" s="874">
        <v>1.0</v>
      </c>
      <c r="R246" s="863"/>
      <c r="S246" s="858"/>
      <c r="T246" s="858"/>
      <c r="U246" s="858"/>
      <c r="V246" s="858"/>
      <c r="W246" s="858"/>
      <c r="X246" s="858"/>
      <c r="Y246" s="858"/>
      <c r="Z246" s="858"/>
      <c r="AA246" s="858"/>
      <c r="AB246" s="858"/>
      <c r="AC246" s="858"/>
      <c r="AD246" s="858"/>
      <c r="AE246" s="858"/>
      <c r="AF246" s="858"/>
      <c r="AG246" s="858"/>
      <c r="AH246" s="858"/>
      <c r="AI246" s="858"/>
      <c r="AJ246" s="858"/>
    </row>
    <row r="247" ht="15.75" customHeight="1">
      <c r="A247" s="342">
        <v>284.0</v>
      </c>
      <c r="B247" s="875" t="s">
        <v>31</v>
      </c>
      <c r="C247" s="875" t="s">
        <v>31</v>
      </c>
      <c r="D247" s="876" t="s">
        <v>20118</v>
      </c>
      <c r="E247" s="345" t="s">
        <v>13047</v>
      </c>
      <c r="F247" s="345" t="s">
        <v>29</v>
      </c>
      <c r="G247" s="875" t="s">
        <v>30</v>
      </c>
      <c r="H247" s="433"/>
      <c r="I247" s="875" t="s">
        <v>30</v>
      </c>
      <c r="J247" s="875">
        <f>J248-J253</f>
        <v>0</v>
      </c>
      <c r="K247" s="875"/>
      <c r="L247" s="875" t="s">
        <v>20119</v>
      </c>
      <c r="M247" s="875" t="s">
        <v>1271</v>
      </c>
      <c r="N247" s="875">
        <v>2009.0</v>
      </c>
      <c r="O247" s="875" t="s">
        <v>388</v>
      </c>
      <c r="P247" s="875">
        <v>2.0</v>
      </c>
      <c r="Q247" s="874">
        <v>1.0</v>
      </c>
      <c r="R247" s="863"/>
      <c r="S247" s="858"/>
      <c r="T247" s="858"/>
      <c r="U247" s="858"/>
      <c r="V247" s="858"/>
      <c r="W247" s="858"/>
      <c r="X247" s="858"/>
      <c r="Y247" s="858"/>
      <c r="Z247" s="858"/>
      <c r="AA247" s="858"/>
      <c r="AB247" s="858"/>
      <c r="AC247" s="858"/>
      <c r="AD247" s="858"/>
      <c r="AE247" s="858"/>
      <c r="AF247" s="858"/>
      <c r="AG247" s="858"/>
      <c r="AH247" s="858"/>
      <c r="AI247" s="858"/>
      <c r="AJ247" s="858"/>
    </row>
    <row r="248" ht="54.0" customHeight="1">
      <c r="A248" s="342">
        <v>285.0</v>
      </c>
      <c r="B248" s="875" t="s">
        <v>31</v>
      </c>
      <c r="C248" s="875" t="s">
        <v>31</v>
      </c>
      <c r="D248" s="876" t="s">
        <v>20120</v>
      </c>
      <c r="E248" s="345" t="s">
        <v>13047</v>
      </c>
      <c r="F248" s="345" t="s">
        <v>29</v>
      </c>
      <c r="G248" s="875" t="s">
        <v>30</v>
      </c>
      <c r="H248" s="433"/>
      <c r="I248" s="875" t="s">
        <v>30</v>
      </c>
      <c r="J248" s="875"/>
      <c r="K248" s="875"/>
      <c r="L248" s="875" t="s">
        <v>20121</v>
      </c>
      <c r="M248" s="875" t="s">
        <v>1271</v>
      </c>
      <c r="N248" s="875">
        <v>2010.0</v>
      </c>
      <c r="O248" s="875" t="s">
        <v>388</v>
      </c>
      <c r="P248" s="875">
        <v>2.0</v>
      </c>
      <c r="Q248" s="874">
        <v>1.0</v>
      </c>
      <c r="R248" s="863"/>
      <c r="S248" s="858"/>
      <c r="T248" s="858"/>
      <c r="U248" s="858"/>
      <c r="V248" s="858"/>
      <c r="W248" s="858"/>
      <c r="X248" s="858"/>
      <c r="Y248" s="858"/>
      <c r="Z248" s="858"/>
      <c r="AA248" s="858"/>
      <c r="AB248" s="858"/>
      <c r="AC248" s="858"/>
      <c r="AD248" s="858"/>
      <c r="AE248" s="858"/>
      <c r="AF248" s="858"/>
      <c r="AG248" s="858"/>
      <c r="AH248" s="858"/>
      <c r="AI248" s="858"/>
      <c r="AJ248" s="858"/>
    </row>
    <row r="249" ht="15.75" customHeight="1">
      <c r="A249" s="342">
        <v>286.0</v>
      </c>
      <c r="B249" s="875" t="s">
        <v>31</v>
      </c>
      <c r="C249" s="875" t="s">
        <v>31</v>
      </c>
      <c r="D249" s="876" t="s">
        <v>20122</v>
      </c>
      <c r="E249" s="345" t="s">
        <v>13047</v>
      </c>
      <c r="F249" s="345" t="s">
        <v>29</v>
      </c>
      <c r="G249" s="875" t="s">
        <v>30</v>
      </c>
      <c r="H249" s="433"/>
      <c r="I249" s="875" t="s">
        <v>30</v>
      </c>
      <c r="J249" s="875"/>
      <c r="K249" s="875"/>
      <c r="L249" s="875" t="s">
        <v>20123</v>
      </c>
      <c r="M249" s="875" t="s">
        <v>1271</v>
      </c>
      <c r="N249" s="875">
        <v>2011.0</v>
      </c>
      <c r="O249" s="875" t="s">
        <v>388</v>
      </c>
      <c r="P249" s="875">
        <v>1.0</v>
      </c>
      <c r="Q249" s="874">
        <v>1.0</v>
      </c>
      <c r="R249" s="863"/>
      <c r="S249" s="858"/>
      <c r="T249" s="858"/>
      <c r="U249" s="858"/>
      <c r="V249" s="858"/>
      <c r="W249" s="858"/>
      <c r="X249" s="858"/>
      <c r="Y249" s="858"/>
      <c r="Z249" s="858"/>
      <c r="AA249" s="858"/>
      <c r="AB249" s="858"/>
      <c r="AC249" s="858"/>
      <c r="AD249" s="858"/>
      <c r="AE249" s="858"/>
      <c r="AF249" s="858"/>
      <c r="AG249" s="858"/>
      <c r="AH249" s="858"/>
      <c r="AI249" s="858"/>
      <c r="AJ249" s="858"/>
    </row>
    <row r="250" ht="56.25" customHeight="1">
      <c r="A250" s="342">
        <v>287.0</v>
      </c>
      <c r="B250" s="875" t="s">
        <v>31</v>
      </c>
      <c r="C250" s="875" t="s">
        <v>31</v>
      </c>
      <c r="D250" s="876" t="s">
        <v>20124</v>
      </c>
      <c r="E250" s="345" t="s">
        <v>13047</v>
      </c>
      <c r="F250" s="345" t="s">
        <v>29</v>
      </c>
      <c r="G250" s="875" t="s">
        <v>30</v>
      </c>
      <c r="H250" s="433"/>
      <c r="I250" s="875" t="s">
        <v>30</v>
      </c>
      <c r="J250" s="875"/>
      <c r="K250" s="875"/>
      <c r="L250" s="875" t="s">
        <v>20125</v>
      </c>
      <c r="M250" s="875" t="s">
        <v>1271</v>
      </c>
      <c r="N250" s="875">
        <v>2012.0</v>
      </c>
      <c r="O250" s="875" t="s">
        <v>388</v>
      </c>
      <c r="P250" s="875">
        <v>2.0</v>
      </c>
      <c r="Q250" s="874">
        <v>1.0</v>
      </c>
      <c r="R250" s="863"/>
      <c r="S250" s="858"/>
      <c r="T250" s="858"/>
      <c r="U250" s="858"/>
      <c r="V250" s="858"/>
      <c r="W250" s="858"/>
      <c r="X250" s="858"/>
      <c r="Y250" s="858"/>
      <c r="Z250" s="858"/>
      <c r="AA250" s="858"/>
      <c r="AB250" s="858"/>
      <c r="AC250" s="858"/>
      <c r="AD250" s="858"/>
      <c r="AE250" s="858"/>
      <c r="AF250" s="858"/>
      <c r="AG250" s="858"/>
      <c r="AH250" s="858"/>
      <c r="AI250" s="858"/>
      <c r="AJ250" s="858"/>
    </row>
    <row r="251" ht="15.75" customHeight="1">
      <c r="A251" s="342">
        <v>288.0</v>
      </c>
      <c r="B251" s="875" t="s">
        <v>31</v>
      </c>
      <c r="C251" s="875"/>
      <c r="D251" s="876" t="s">
        <v>20126</v>
      </c>
      <c r="E251" s="345" t="s">
        <v>13047</v>
      </c>
      <c r="F251" s="345" t="s">
        <v>29</v>
      </c>
      <c r="G251" s="875" t="s">
        <v>30</v>
      </c>
      <c r="H251" s="433"/>
      <c r="I251" s="875" t="s">
        <v>30</v>
      </c>
      <c r="J251" s="875"/>
      <c r="K251" s="875"/>
      <c r="L251" s="875" t="s">
        <v>20127</v>
      </c>
      <c r="M251" s="875" t="s">
        <v>1271</v>
      </c>
      <c r="N251" s="875">
        <v>2013.0</v>
      </c>
      <c r="O251" s="875" t="s">
        <v>388</v>
      </c>
      <c r="P251" s="875">
        <v>1.0</v>
      </c>
      <c r="Q251" s="874">
        <v>1.0</v>
      </c>
      <c r="R251" s="863"/>
      <c r="S251" s="858"/>
      <c r="T251" s="858"/>
      <c r="U251" s="858"/>
      <c r="V251" s="858"/>
      <c r="W251" s="858"/>
      <c r="X251" s="858"/>
      <c r="Y251" s="858"/>
      <c r="Z251" s="858"/>
      <c r="AA251" s="858"/>
      <c r="AB251" s="858"/>
      <c r="AC251" s="858"/>
      <c r="AD251" s="858"/>
      <c r="AE251" s="858"/>
      <c r="AF251" s="858"/>
      <c r="AG251" s="858"/>
      <c r="AH251" s="858"/>
      <c r="AI251" s="858"/>
      <c r="AJ251" s="858"/>
    </row>
    <row r="252" ht="15.75" customHeight="1">
      <c r="A252" s="342">
        <v>289.0</v>
      </c>
      <c r="B252" s="875" t="s">
        <v>31</v>
      </c>
      <c r="C252" s="875" t="s">
        <v>31</v>
      </c>
      <c r="D252" s="876" t="s">
        <v>20128</v>
      </c>
      <c r="E252" s="345" t="s">
        <v>13047</v>
      </c>
      <c r="F252" s="345" t="s">
        <v>29</v>
      </c>
      <c r="G252" s="875" t="s">
        <v>30</v>
      </c>
      <c r="H252" s="433"/>
      <c r="I252" s="875" t="s">
        <v>30</v>
      </c>
      <c r="J252" s="875"/>
      <c r="K252" s="875"/>
      <c r="L252" s="875" t="s">
        <v>20129</v>
      </c>
      <c r="M252" s="875" t="s">
        <v>20020</v>
      </c>
      <c r="N252" s="875">
        <v>2005.0</v>
      </c>
      <c r="O252" s="875" t="s">
        <v>388</v>
      </c>
      <c r="P252" s="875">
        <v>1.0</v>
      </c>
      <c r="Q252" s="874">
        <v>1.0</v>
      </c>
      <c r="R252" s="863"/>
      <c r="S252" s="858"/>
      <c r="T252" s="858"/>
      <c r="U252" s="858"/>
      <c r="V252" s="858"/>
      <c r="W252" s="858"/>
      <c r="X252" s="858"/>
      <c r="Y252" s="858"/>
      <c r="Z252" s="858"/>
      <c r="AA252" s="858"/>
      <c r="AB252" s="858"/>
      <c r="AC252" s="858"/>
      <c r="AD252" s="858"/>
      <c r="AE252" s="858"/>
      <c r="AF252" s="858"/>
      <c r="AG252" s="858"/>
      <c r="AH252" s="858"/>
      <c r="AI252" s="858"/>
      <c r="AJ252" s="858"/>
    </row>
    <row r="253" ht="15.75" customHeight="1">
      <c r="A253" s="342">
        <v>290.0</v>
      </c>
      <c r="B253" s="875" t="s">
        <v>31</v>
      </c>
      <c r="C253" s="875" t="s">
        <v>31</v>
      </c>
      <c r="D253" s="876" t="s">
        <v>20130</v>
      </c>
      <c r="E253" s="345" t="s">
        <v>13047</v>
      </c>
      <c r="F253" s="345" t="s">
        <v>29</v>
      </c>
      <c r="G253" s="875" t="s">
        <v>30</v>
      </c>
      <c r="H253" s="433"/>
      <c r="I253" s="875" t="s">
        <v>30</v>
      </c>
      <c r="J253" s="875"/>
      <c r="K253" s="875"/>
      <c r="L253" s="875" t="s">
        <v>20131</v>
      </c>
      <c r="M253" s="875" t="s">
        <v>20020</v>
      </c>
      <c r="N253" s="875">
        <v>2005.0</v>
      </c>
      <c r="O253" s="875" t="s">
        <v>388</v>
      </c>
      <c r="P253" s="875">
        <v>1.0</v>
      </c>
      <c r="Q253" s="874">
        <v>1.0</v>
      </c>
      <c r="R253" s="863"/>
      <c r="S253" s="858"/>
      <c r="T253" s="858"/>
      <c r="U253" s="858"/>
      <c r="V253" s="858"/>
      <c r="W253" s="858"/>
      <c r="X253" s="858"/>
      <c r="Y253" s="858"/>
      <c r="Z253" s="858"/>
      <c r="AA253" s="858"/>
      <c r="AB253" s="858"/>
      <c r="AC253" s="858"/>
      <c r="AD253" s="858"/>
      <c r="AE253" s="858"/>
      <c r="AF253" s="858"/>
      <c r="AG253" s="858"/>
      <c r="AH253" s="858"/>
      <c r="AI253" s="858"/>
      <c r="AJ253" s="858"/>
    </row>
    <row r="254" ht="15.75" customHeight="1">
      <c r="A254" s="342">
        <v>291.0</v>
      </c>
      <c r="B254" s="875" t="s">
        <v>31</v>
      </c>
      <c r="C254" s="875"/>
      <c r="D254" s="876" t="s">
        <v>20132</v>
      </c>
      <c r="E254" s="345" t="s">
        <v>13047</v>
      </c>
      <c r="F254" s="345" t="s">
        <v>29</v>
      </c>
      <c r="G254" s="875" t="s">
        <v>30</v>
      </c>
      <c r="H254" s="433"/>
      <c r="I254" s="875" t="s">
        <v>30</v>
      </c>
      <c r="J254" s="875"/>
      <c r="K254" s="875"/>
      <c r="L254" s="875" t="s">
        <v>20133</v>
      </c>
      <c r="M254" s="875" t="s">
        <v>20020</v>
      </c>
      <c r="N254" s="875">
        <v>2005.0</v>
      </c>
      <c r="O254" s="875" t="s">
        <v>388</v>
      </c>
      <c r="P254" s="875">
        <v>1.0</v>
      </c>
      <c r="Q254" s="874">
        <v>1.0</v>
      </c>
      <c r="R254" s="863"/>
      <c r="S254" s="858"/>
      <c r="T254" s="858"/>
      <c r="U254" s="858"/>
      <c r="V254" s="858"/>
      <c r="W254" s="858"/>
      <c r="X254" s="858"/>
      <c r="Y254" s="858"/>
      <c r="Z254" s="858"/>
      <c r="AA254" s="858"/>
      <c r="AB254" s="858"/>
      <c r="AC254" s="858"/>
      <c r="AD254" s="858"/>
      <c r="AE254" s="858"/>
      <c r="AF254" s="858"/>
      <c r="AG254" s="858"/>
      <c r="AH254" s="858"/>
      <c r="AI254" s="858"/>
      <c r="AJ254" s="858"/>
    </row>
    <row r="255" ht="15.75" customHeight="1">
      <c r="A255" s="342">
        <v>292.0</v>
      </c>
      <c r="B255" s="875" t="s">
        <v>31</v>
      </c>
      <c r="C255" s="875" t="s">
        <v>31</v>
      </c>
      <c r="D255" s="876" t="s">
        <v>20134</v>
      </c>
      <c r="E255" s="345" t="s">
        <v>13047</v>
      </c>
      <c r="F255" s="345" t="s">
        <v>29</v>
      </c>
      <c r="G255" s="875" t="s">
        <v>30</v>
      </c>
      <c r="H255" s="433"/>
      <c r="I255" s="875" t="s">
        <v>30</v>
      </c>
      <c r="J255" s="875"/>
      <c r="K255" s="875"/>
      <c r="L255" s="875" t="s">
        <v>20135</v>
      </c>
      <c r="M255" s="875" t="s">
        <v>20020</v>
      </c>
      <c r="N255" s="875">
        <v>2006.0</v>
      </c>
      <c r="O255" s="875" t="s">
        <v>388</v>
      </c>
      <c r="P255" s="875">
        <v>1.0</v>
      </c>
      <c r="Q255" s="874">
        <v>1.0</v>
      </c>
      <c r="R255" s="863"/>
      <c r="S255" s="858"/>
      <c r="T255" s="858"/>
      <c r="U255" s="858"/>
      <c r="V255" s="858"/>
      <c r="W255" s="858"/>
      <c r="X255" s="858"/>
      <c r="Y255" s="858"/>
      <c r="Z255" s="858"/>
      <c r="AA255" s="858"/>
      <c r="AB255" s="858"/>
      <c r="AC255" s="858"/>
      <c r="AD255" s="858"/>
      <c r="AE255" s="858"/>
      <c r="AF255" s="858"/>
      <c r="AG255" s="858"/>
      <c r="AH255" s="858"/>
      <c r="AI255" s="858"/>
      <c r="AJ255" s="858"/>
    </row>
    <row r="256" ht="15.75" customHeight="1">
      <c r="A256" s="342">
        <v>293.0</v>
      </c>
      <c r="B256" s="875" t="s">
        <v>31</v>
      </c>
      <c r="C256" s="875" t="s">
        <v>31</v>
      </c>
      <c r="D256" s="876" t="s">
        <v>20136</v>
      </c>
      <c r="E256" s="345" t="s">
        <v>13047</v>
      </c>
      <c r="F256" s="345" t="s">
        <v>29</v>
      </c>
      <c r="G256" s="875" t="s">
        <v>30</v>
      </c>
      <c r="H256" s="433"/>
      <c r="I256" s="875" t="s">
        <v>30</v>
      </c>
      <c r="J256" s="875"/>
      <c r="K256" s="875"/>
      <c r="L256" s="875" t="s">
        <v>20137</v>
      </c>
      <c r="M256" s="875" t="s">
        <v>20020</v>
      </c>
      <c r="N256" s="875">
        <v>2007.0</v>
      </c>
      <c r="O256" s="875" t="s">
        <v>388</v>
      </c>
      <c r="P256" s="875">
        <v>1.0</v>
      </c>
      <c r="Q256" s="874">
        <v>1.0</v>
      </c>
      <c r="R256" s="863"/>
      <c r="S256" s="858"/>
      <c r="T256" s="858"/>
      <c r="U256" s="858"/>
      <c r="V256" s="858"/>
      <c r="W256" s="858"/>
      <c r="X256" s="858"/>
      <c r="Y256" s="858"/>
      <c r="Z256" s="858"/>
      <c r="AA256" s="858"/>
      <c r="AB256" s="858"/>
      <c r="AC256" s="858"/>
      <c r="AD256" s="858"/>
      <c r="AE256" s="858"/>
      <c r="AF256" s="858"/>
      <c r="AG256" s="858"/>
      <c r="AH256" s="858"/>
      <c r="AI256" s="858"/>
      <c r="AJ256" s="858"/>
    </row>
    <row r="257" ht="15.75" customHeight="1">
      <c r="A257" s="342">
        <v>294.0</v>
      </c>
      <c r="B257" s="875"/>
      <c r="C257" s="875" t="s">
        <v>31</v>
      </c>
      <c r="D257" s="876" t="s">
        <v>20138</v>
      </c>
      <c r="E257" s="345" t="s">
        <v>13047</v>
      </c>
      <c r="F257" s="345" t="s">
        <v>29</v>
      </c>
      <c r="G257" s="875" t="s">
        <v>30</v>
      </c>
      <c r="H257" s="433"/>
      <c r="I257" s="875" t="s">
        <v>30</v>
      </c>
      <c r="J257" s="875"/>
      <c r="K257" s="875"/>
      <c r="L257" s="875" t="s">
        <v>20139</v>
      </c>
      <c r="M257" s="875" t="s">
        <v>20020</v>
      </c>
      <c r="N257" s="875">
        <v>2010.0</v>
      </c>
      <c r="O257" s="875" t="s">
        <v>388</v>
      </c>
      <c r="P257" s="875">
        <v>1.0</v>
      </c>
      <c r="Q257" s="874">
        <v>1.0</v>
      </c>
      <c r="R257" s="863"/>
      <c r="S257" s="858"/>
      <c r="T257" s="858"/>
      <c r="U257" s="858"/>
      <c r="V257" s="858"/>
      <c r="W257" s="858"/>
      <c r="X257" s="858"/>
      <c r="Y257" s="858"/>
      <c r="Z257" s="858"/>
      <c r="AA257" s="858"/>
      <c r="AB257" s="858"/>
      <c r="AC257" s="858"/>
      <c r="AD257" s="858"/>
      <c r="AE257" s="858"/>
      <c r="AF257" s="858"/>
      <c r="AG257" s="858"/>
      <c r="AH257" s="858"/>
      <c r="AI257" s="858"/>
      <c r="AJ257" s="858"/>
    </row>
    <row r="258" ht="15.75" customHeight="1">
      <c r="A258" s="342">
        <v>295.0</v>
      </c>
      <c r="B258" s="875"/>
      <c r="C258" s="875" t="s">
        <v>31</v>
      </c>
      <c r="D258" s="876" t="s">
        <v>20140</v>
      </c>
      <c r="E258" s="345" t="s">
        <v>13047</v>
      </c>
      <c r="F258" s="345" t="s">
        <v>29</v>
      </c>
      <c r="G258" s="875" t="s">
        <v>30</v>
      </c>
      <c r="H258" s="433"/>
      <c r="I258" s="875" t="s">
        <v>30</v>
      </c>
      <c r="J258" s="875"/>
      <c r="K258" s="875"/>
      <c r="L258" s="875" t="s">
        <v>20141</v>
      </c>
      <c r="M258" s="875" t="s">
        <v>20020</v>
      </c>
      <c r="N258" s="875">
        <v>2011.0</v>
      </c>
      <c r="O258" s="875" t="s">
        <v>388</v>
      </c>
      <c r="P258" s="875">
        <v>1.0</v>
      </c>
      <c r="Q258" s="874">
        <v>1.0</v>
      </c>
      <c r="R258" s="863"/>
      <c r="S258" s="858"/>
      <c r="T258" s="858"/>
      <c r="U258" s="858"/>
      <c r="V258" s="858"/>
      <c r="W258" s="858"/>
      <c r="X258" s="858"/>
      <c r="Y258" s="858"/>
      <c r="Z258" s="858"/>
      <c r="AA258" s="858"/>
      <c r="AB258" s="858"/>
      <c r="AC258" s="858"/>
      <c r="AD258" s="858"/>
      <c r="AE258" s="858"/>
      <c r="AF258" s="858"/>
      <c r="AG258" s="858"/>
      <c r="AH258" s="858"/>
      <c r="AI258" s="858"/>
      <c r="AJ258" s="858"/>
    </row>
    <row r="259" ht="15.75" customHeight="1">
      <c r="A259" s="342">
        <v>296.0</v>
      </c>
      <c r="B259" s="875"/>
      <c r="C259" s="875" t="s">
        <v>31</v>
      </c>
      <c r="D259" s="876" t="s">
        <v>20142</v>
      </c>
      <c r="E259" s="345" t="s">
        <v>13047</v>
      </c>
      <c r="F259" s="345" t="s">
        <v>29</v>
      </c>
      <c r="G259" s="875" t="s">
        <v>30</v>
      </c>
      <c r="H259" s="433"/>
      <c r="I259" s="875" t="s">
        <v>30</v>
      </c>
      <c r="J259" s="875"/>
      <c r="K259" s="875"/>
      <c r="L259" s="875" t="s">
        <v>20143</v>
      </c>
      <c r="M259" s="875" t="s">
        <v>20020</v>
      </c>
      <c r="N259" s="875">
        <v>2011.0</v>
      </c>
      <c r="O259" s="875" t="s">
        <v>388</v>
      </c>
      <c r="P259" s="875">
        <v>1.0</v>
      </c>
      <c r="Q259" s="874">
        <v>1.0</v>
      </c>
      <c r="R259" s="863"/>
      <c r="S259" s="858"/>
      <c r="T259" s="858"/>
      <c r="U259" s="858"/>
      <c r="V259" s="858"/>
      <c r="W259" s="858"/>
      <c r="X259" s="858"/>
      <c r="Y259" s="858"/>
      <c r="Z259" s="858"/>
      <c r="AA259" s="858"/>
      <c r="AB259" s="858"/>
      <c r="AC259" s="858"/>
      <c r="AD259" s="858"/>
      <c r="AE259" s="858"/>
      <c r="AF259" s="858"/>
      <c r="AG259" s="858"/>
      <c r="AH259" s="858"/>
      <c r="AI259" s="858"/>
      <c r="AJ259" s="858"/>
    </row>
    <row r="260" ht="15.75" customHeight="1">
      <c r="A260" s="342">
        <v>297.0</v>
      </c>
      <c r="B260" s="875"/>
      <c r="C260" s="875" t="s">
        <v>31</v>
      </c>
      <c r="D260" s="876" t="s">
        <v>20144</v>
      </c>
      <c r="E260" s="345" t="s">
        <v>13047</v>
      </c>
      <c r="F260" s="345" t="s">
        <v>29</v>
      </c>
      <c r="G260" s="875" t="s">
        <v>30</v>
      </c>
      <c r="H260" s="433"/>
      <c r="I260" s="875" t="s">
        <v>30</v>
      </c>
      <c r="J260" s="875"/>
      <c r="K260" s="875"/>
      <c r="L260" s="875" t="s">
        <v>20145</v>
      </c>
      <c r="M260" s="875" t="s">
        <v>20020</v>
      </c>
      <c r="N260" s="875">
        <v>2012.0</v>
      </c>
      <c r="O260" s="875" t="s">
        <v>388</v>
      </c>
      <c r="P260" s="875">
        <v>1.0</v>
      </c>
      <c r="Q260" s="874">
        <v>1.0</v>
      </c>
      <c r="R260" s="863"/>
      <c r="S260" s="858"/>
      <c r="T260" s="858"/>
      <c r="U260" s="858"/>
      <c r="V260" s="858"/>
      <c r="W260" s="858"/>
      <c r="X260" s="858"/>
      <c r="Y260" s="858"/>
      <c r="Z260" s="858"/>
      <c r="AA260" s="858"/>
      <c r="AB260" s="858"/>
      <c r="AC260" s="858"/>
      <c r="AD260" s="858"/>
      <c r="AE260" s="858"/>
      <c r="AF260" s="858"/>
      <c r="AG260" s="858"/>
      <c r="AH260" s="858"/>
      <c r="AI260" s="858"/>
      <c r="AJ260" s="858"/>
    </row>
    <row r="261" ht="15.75" customHeight="1">
      <c r="A261" s="342">
        <v>298.0</v>
      </c>
      <c r="B261" s="875"/>
      <c r="C261" s="875" t="s">
        <v>31</v>
      </c>
      <c r="D261" s="876" t="s">
        <v>20146</v>
      </c>
      <c r="E261" s="345" t="s">
        <v>13047</v>
      </c>
      <c r="F261" s="345" t="s">
        <v>29</v>
      </c>
      <c r="G261" s="875" t="s">
        <v>30</v>
      </c>
      <c r="H261" s="433"/>
      <c r="I261" s="875" t="s">
        <v>30</v>
      </c>
      <c r="J261" s="875"/>
      <c r="K261" s="875"/>
      <c r="L261" s="875" t="s">
        <v>20147</v>
      </c>
      <c r="M261" s="875" t="s">
        <v>20020</v>
      </c>
      <c r="N261" s="875">
        <v>2012.0</v>
      </c>
      <c r="O261" s="875" t="s">
        <v>388</v>
      </c>
      <c r="P261" s="875">
        <v>1.0</v>
      </c>
      <c r="Q261" s="874">
        <v>1.0</v>
      </c>
      <c r="R261" s="863"/>
      <c r="S261" s="858"/>
      <c r="T261" s="858"/>
      <c r="U261" s="858"/>
      <c r="V261" s="858"/>
      <c r="W261" s="858"/>
      <c r="X261" s="858"/>
      <c r="Y261" s="858"/>
      <c r="Z261" s="858"/>
      <c r="AA261" s="858"/>
      <c r="AB261" s="858"/>
      <c r="AC261" s="858"/>
      <c r="AD261" s="858"/>
      <c r="AE261" s="858"/>
      <c r="AF261" s="858"/>
      <c r="AG261" s="858"/>
      <c r="AH261" s="858"/>
      <c r="AI261" s="858"/>
      <c r="AJ261" s="858"/>
    </row>
    <row r="262" ht="15.75" customHeight="1">
      <c r="A262" s="342">
        <v>299.0</v>
      </c>
      <c r="B262" s="875" t="s">
        <v>31</v>
      </c>
      <c r="C262" s="875" t="s">
        <v>31</v>
      </c>
      <c r="D262" s="876" t="s">
        <v>20148</v>
      </c>
      <c r="E262" s="345" t="s">
        <v>13047</v>
      </c>
      <c r="F262" s="345" t="s">
        <v>29</v>
      </c>
      <c r="G262" s="875" t="s">
        <v>30</v>
      </c>
      <c r="H262" s="433"/>
      <c r="I262" s="875" t="s">
        <v>30</v>
      </c>
      <c r="J262" s="875"/>
      <c r="K262" s="875"/>
      <c r="L262" s="875" t="s">
        <v>20149</v>
      </c>
      <c r="M262" s="875" t="s">
        <v>20020</v>
      </c>
      <c r="N262" s="875">
        <v>2013.0</v>
      </c>
      <c r="O262" s="875" t="s">
        <v>388</v>
      </c>
      <c r="P262" s="875">
        <v>1.0</v>
      </c>
      <c r="Q262" s="874">
        <v>1.0</v>
      </c>
      <c r="R262" s="863"/>
      <c r="S262" s="858"/>
      <c r="T262" s="858"/>
      <c r="U262" s="858"/>
      <c r="V262" s="858"/>
      <c r="W262" s="858"/>
      <c r="X262" s="858"/>
      <c r="Y262" s="858"/>
      <c r="Z262" s="858"/>
      <c r="AA262" s="858"/>
      <c r="AB262" s="858"/>
      <c r="AC262" s="858"/>
      <c r="AD262" s="858"/>
      <c r="AE262" s="858"/>
      <c r="AF262" s="858"/>
      <c r="AG262" s="858"/>
      <c r="AH262" s="858"/>
      <c r="AI262" s="858"/>
      <c r="AJ262" s="858"/>
    </row>
    <row r="263" ht="15.75" customHeight="1">
      <c r="A263" s="342">
        <v>300.0</v>
      </c>
      <c r="B263" s="875"/>
      <c r="C263" s="875"/>
      <c r="D263" s="876" t="s">
        <v>20150</v>
      </c>
      <c r="E263" s="345" t="s">
        <v>13047</v>
      </c>
      <c r="F263" s="345" t="s">
        <v>29</v>
      </c>
      <c r="G263" s="875" t="s">
        <v>30</v>
      </c>
      <c r="H263" s="433"/>
      <c r="I263" s="875" t="s">
        <v>30</v>
      </c>
      <c r="J263" s="875"/>
      <c r="K263" s="875"/>
      <c r="L263" s="875" t="s">
        <v>20151</v>
      </c>
      <c r="M263" s="875" t="s">
        <v>20020</v>
      </c>
      <c r="N263" s="875">
        <v>2013.0</v>
      </c>
      <c r="O263" s="875" t="s">
        <v>388</v>
      </c>
      <c r="P263" s="875">
        <v>1.0</v>
      </c>
      <c r="Q263" s="874">
        <v>1.0</v>
      </c>
      <c r="R263" s="863"/>
      <c r="S263" s="858"/>
      <c r="T263" s="858"/>
      <c r="U263" s="858"/>
      <c r="V263" s="858"/>
      <c r="W263" s="858"/>
      <c r="X263" s="858"/>
      <c r="Y263" s="858"/>
      <c r="Z263" s="858"/>
      <c r="AA263" s="858"/>
      <c r="AB263" s="858"/>
      <c r="AC263" s="858"/>
      <c r="AD263" s="858"/>
      <c r="AE263" s="858"/>
      <c r="AF263" s="858"/>
      <c r="AG263" s="858"/>
      <c r="AH263" s="858"/>
      <c r="AI263" s="858"/>
      <c r="AJ263" s="858"/>
    </row>
    <row r="264" ht="15.75" customHeight="1">
      <c r="A264" s="342">
        <v>301.0</v>
      </c>
      <c r="B264" s="875"/>
      <c r="C264" s="875"/>
      <c r="D264" s="876" t="s">
        <v>20152</v>
      </c>
      <c r="E264" s="345" t="s">
        <v>13047</v>
      </c>
      <c r="F264" s="345" t="s">
        <v>29</v>
      </c>
      <c r="G264" s="875" t="s">
        <v>30</v>
      </c>
      <c r="H264" s="433"/>
      <c r="I264" s="875" t="s">
        <v>30</v>
      </c>
      <c r="J264" s="875"/>
      <c r="K264" s="875"/>
      <c r="L264" s="875" t="s">
        <v>20153</v>
      </c>
      <c r="M264" s="875" t="s">
        <v>20020</v>
      </c>
      <c r="N264" s="875">
        <v>2015.0</v>
      </c>
      <c r="O264" s="875" t="s">
        <v>388</v>
      </c>
      <c r="P264" s="875">
        <v>1.0</v>
      </c>
      <c r="Q264" s="874">
        <v>1.0</v>
      </c>
      <c r="R264" s="863"/>
      <c r="S264" s="858"/>
      <c r="T264" s="858"/>
      <c r="U264" s="858"/>
      <c r="V264" s="858"/>
      <c r="W264" s="858"/>
      <c r="X264" s="858"/>
      <c r="Y264" s="858"/>
      <c r="Z264" s="858"/>
      <c r="AA264" s="858"/>
      <c r="AB264" s="858"/>
      <c r="AC264" s="858"/>
      <c r="AD264" s="858"/>
      <c r="AE264" s="858"/>
      <c r="AF264" s="858"/>
      <c r="AG264" s="858"/>
      <c r="AH264" s="858"/>
      <c r="AI264" s="858"/>
      <c r="AJ264" s="858"/>
    </row>
    <row r="265" ht="15.75" customHeight="1">
      <c r="A265" s="342">
        <v>302.0</v>
      </c>
      <c r="B265" s="875"/>
      <c r="C265" s="875" t="s">
        <v>13552</v>
      </c>
      <c r="D265" s="876" t="s">
        <v>20154</v>
      </c>
      <c r="E265" s="345" t="s">
        <v>13047</v>
      </c>
      <c r="F265" s="345" t="s">
        <v>29</v>
      </c>
      <c r="G265" s="875" t="s">
        <v>30</v>
      </c>
      <c r="H265" s="433"/>
      <c r="I265" s="875" t="s">
        <v>30</v>
      </c>
      <c r="J265" s="875"/>
      <c r="K265" s="875"/>
      <c r="L265" s="875" t="s">
        <v>20155</v>
      </c>
      <c r="M265" s="875" t="s">
        <v>20156</v>
      </c>
      <c r="N265" s="875">
        <v>2010.0</v>
      </c>
      <c r="O265" s="875" t="s">
        <v>388</v>
      </c>
      <c r="P265" s="875">
        <v>1.0</v>
      </c>
      <c r="Q265" s="874">
        <v>1.0</v>
      </c>
      <c r="R265" s="863"/>
      <c r="S265" s="858"/>
      <c r="T265" s="858"/>
      <c r="U265" s="858"/>
      <c r="V265" s="858"/>
      <c r="W265" s="858"/>
      <c r="X265" s="858"/>
      <c r="Y265" s="858"/>
      <c r="Z265" s="858"/>
      <c r="AA265" s="858"/>
      <c r="AB265" s="858"/>
      <c r="AC265" s="858"/>
      <c r="AD265" s="858"/>
      <c r="AE265" s="858"/>
      <c r="AF265" s="858"/>
      <c r="AG265" s="858"/>
      <c r="AH265" s="858"/>
      <c r="AI265" s="858"/>
      <c r="AJ265" s="858"/>
    </row>
    <row r="266" ht="15.75" customHeight="1">
      <c r="A266" s="342">
        <v>303.0</v>
      </c>
      <c r="B266" s="875" t="s">
        <v>31</v>
      </c>
      <c r="C266" s="875" t="s">
        <v>0</v>
      </c>
      <c r="D266" s="876" t="s">
        <v>20157</v>
      </c>
      <c r="E266" s="345" t="s">
        <v>13047</v>
      </c>
      <c r="F266" s="345" t="s">
        <v>29</v>
      </c>
      <c r="G266" s="875" t="s">
        <v>30</v>
      </c>
      <c r="H266" s="433"/>
      <c r="I266" s="875" t="s">
        <v>30</v>
      </c>
      <c r="J266" s="875"/>
      <c r="K266" s="875"/>
      <c r="L266" s="875" t="s">
        <v>20158</v>
      </c>
      <c r="M266" s="875" t="s">
        <v>20156</v>
      </c>
      <c r="N266" s="875">
        <v>2011.0</v>
      </c>
      <c r="O266" s="875" t="s">
        <v>388</v>
      </c>
      <c r="P266" s="875">
        <v>1.0</v>
      </c>
      <c r="Q266" s="874">
        <v>1.0</v>
      </c>
      <c r="R266" s="863"/>
      <c r="S266" s="858"/>
      <c r="T266" s="858"/>
      <c r="U266" s="858"/>
      <c r="V266" s="858"/>
      <c r="W266" s="858"/>
      <c r="X266" s="858"/>
      <c r="Y266" s="858"/>
      <c r="Z266" s="858"/>
      <c r="AA266" s="858"/>
      <c r="AB266" s="858"/>
      <c r="AC266" s="858"/>
      <c r="AD266" s="858"/>
      <c r="AE266" s="858"/>
      <c r="AF266" s="858"/>
      <c r="AG266" s="858"/>
      <c r="AH266" s="858"/>
      <c r="AI266" s="858"/>
      <c r="AJ266" s="858"/>
    </row>
    <row r="267" ht="15.75" customHeight="1">
      <c r="A267" s="342">
        <v>304.0</v>
      </c>
      <c r="B267" s="875"/>
      <c r="C267" s="875"/>
      <c r="D267" s="876" t="s">
        <v>20159</v>
      </c>
      <c r="E267" s="345" t="s">
        <v>13047</v>
      </c>
      <c r="F267" s="345" t="s">
        <v>29</v>
      </c>
      <c r="G267" s="875" t="s">
        <v>30</v>
      </c>
      <c r="H267" s="433"/>
      <c r="I267" s="875" t="s">
        <v>30</v>
      </c>
      <c r="J267" s="875"/>
      <c r="K267" s="875"/>
      <c r="L267" s="875" t="s">
        <v>20160</v>
      </c>
      <c r="M267" s="875" t="s">
        <v>20156</v>
      </c>
      <c r="N267" s="875">
        <v>2011.0</v>
      </c>
      <c r="O267" s="875" t="s">
        <v>388</v>
      </c>
      <c r="P267" s="875">
        <v>2.0</v>
      </c>
      <c r="Q267" s="874">
        <v>1.0</v>
      </c>
      <c r="R267" s="863"/>
      <c r="S267" s="858"/>
      <c r="T267" s="858"/>
      <c r="U267" s="858"/>
      <c r="V267" s="858"/>
      <c r="W267" s="858"/>
      <c r="X267" s="858"/>
      <c r="Y267" s="858"/>
      <c r="Z267" s="858"/>
      <c r="AA267" s="858"/>
      <c r="AB267" s="858"/>
      <c r="AC267" s="858"/>
      <c r="AD267" s="858"/>
      <c r="AE267" s="858"/>
      <c r="AF267" s="858"/>
      <c r="AG267" s="858"/>
      <c r="AH267" s="858"/>
      <c r="AI267" s="858"/>
      <c r="AJ267" s="858"/>
    </row>
    <row r="268" ht="15.75" customHeight="1">
      <c r="A268" s="342">
        <v>305.0</v>
      </c>
      <c r="B268" s="875"/>
      <c r="C268" s="875"/>
      <c r="D268" s="876" t="s">
        <v>20161</v>
      </c>
      <c r="E268" s="345" t="s">
        <v>13047</v>
      </c>
      <c r="F268" s="345" t="s">
        <v>29</v>
      </c>
      <c r="G268" s="875" t="s">
        <v>30</v>
      </c>
      <c r="H268" s="433"/>
      <c r="I268" s="875" t="s">
        <v>30</v>
      </c>
      <c r="J268" s="875"/>
      <c r="K268" s="875"/>
      <c r="L268" s="875" t="s">
        <v>20162</v>
      </c>
      <c r="M268" s="875" t="s">
        <v>20156</v>
      </c>
      <c r="N268" s="875">
        <v>2012.0</v>
      </c>
      <c r="O268" s="875" t="s">
        <v>388</v>
      </c>
      <c r="P268" s="875">
        <v>2.0</v>
      </c>
      <c r="Q268" s="874">
        <v>1.0</v>
      </c>
      <c r="R268" s="863"/>
      <c r="S268" s="858"/>
      <c r="T268" s="858"/>
      <c r="U268" s="858"/>
      <c r="V268" s="858"/>
      <c r="W268" s="858"/>
      <c r="X268" s="858"/>
      <c r="Y268" s="858"/>
      <c r="Z268" s="858"/>
      <c r="AA268" s="858"/>
      <c r="AB268" s="858"/>
      <c r="AC268" s="858"/>
      <c r="AD268" s="858"/>
      <c r="AE268" s="858"/>
      <c r="AF268" s="858"/>
      <c r="AG268" s="858"/>
      <c r="AH268" s="858"/>
      <c r="AI268" s="858"/>
      <c r="AJ268" s="858"/>
    </row>
    <row r="269" ht="15.75" customHeight="1">
      <c r="A269" s="342">
        <v>306.0</v>
      </c>
      <c r="B269" s="875"/>
      <c r="C269" s="875"/>
      <c r="D269" s="876" t="s">
        <v>20163</v>
      </c>
      <c r="E269" s="345" t="s">
        <v>13047</v>
      </c>
      <c r="F269" s="345" t="s">
        <v>29</v>
      </c>
      <c r="G269" s="875" t="s">
        <v>30</v>
      </c>
      <c r="H269" s="433"/>
      <c r="I269" s="875" t="s">
        <v>30</v>
      </c>
      <c r="J269" s="875"/>
      <c r="K269" s="875"/>
      <c r="L269" s="875" t="s">
        <v>20164</v>
      </c>
      <c r="M269" s="875" t="s">
        <v>20156</v>
      </c>
      <c r="N269" s="875">
        <v>2013.0</v>
      </c>
      <c r="O269" s="875" t="s">
        <v>388</v>
      </c>
      <c r="P269" s="875">
        <v>2.0</v>
      </c>
      <c r="Q269" s="874">
        <v>1.0</v>
      </c>
      <c r="R269" s="863"/>
      <c r="S269" s="858"/>
      <c r="T269" s="858"/>
      <c r="U269" s="858"/>
      <c r="V269" s="858"/>
      <c r="W269" s="858"/>
      <c r="X269" s="858"/>
      <c r="Y269" s="858"/>
      <c r="Z269" s="858"/>
      <c r="AA269" s="858"/>
      <c r="AB269" s="858"/>
      <c r="AC269" s="858"/>
      <c r="AD269" s="858"/>
      <c r="AE269" s="858"/>
      <c r="AF269" s="858"/>
      <c r="AG269" s="858"/>
      <c r="AH269" s="858"/>
      <c r="AI269" s="858"/>
      <c r="AJ269" s="858"/>
    </row>
    <row r="270" ht="15.75" customHeight="1">
      <c r="A270" s="342">
        <v>307.0</v>
      </c>
      <c r="B270" s="875"/>
      <c r="C270" s="875"/>
      <c r="D270" s="876" t="s">
        <v>20165</v>
      </c>
      <c r="E270" s="345" t="s">
        <v>13047</v>
      </c>
      <c r="F270" s="345" t="s">
        <v>29</v>
      </c>
      <c r="G270" s="875" t="s">
        <v>131</v>
      </c>
      <c r="H270" s="433"/>
      <c r="I270" s="875" t="s">
        <v>38</v>
      </c>
      <c r="J270" s="875">
        <v>96.0</v>
      </c>
      <c r="K270" s="875"/>
      <c r="L270" s="875" t="s">
        <v>20166</v>
      </c>
      <c r="M270" s="875" t="s">
        <v>3465</v>
      </c>
      <c r="N270" s="875">
        <v>2013.0</v>
      </c>
      <c r="O270" s="875" t="s">
        <v>388</v>
      </c>
      <c r="P270" s="875">
        <v>1.0</v>
      </c>
      <c r="Q270" s="874">
        <v>1.0</v>
      </c>
      <c r="R270" s="863"/>
      <c r="S270" s="858"/>
      <c r="T270" s="858"/>
      <c r="U270" s="858"/>
      <c r="V270" s="858"/>
      <c r="W270" s="858"/>
      <c r="X270" s="858"/>
      <c r="Y270" s="858"/>
      <c r="Z270" s="858"/>
      <c r="AA270" s="858"/>
      <c r="AB270" s="858"/>
      <c r="AC270" s="858"/>
      <c r="AD270" s="858"/>
      <c r="AE270" s="858"/>
      <c r="AF270" s="858"/>
      <c r="AG270" s="858"/>
      <c r="AH270" s="858"/>
      <c r="AI270" s="858"/>
      <c r="AJ270" s="858"/>
    </row>
    <row r="271" ht="15.75" customHeight="1">
      <c r="A271" s="342">
        <v>308.0</v>
      </c>
      <c r="B271" s="875"/>
      <c r="C271" s="875"/>
      <c r="D271" s="876" t="s">
        <v>20167</v>
      </c>
      <c r="E271" s="345" t="s">
        <v>13047</v>
      </c>
      <c r="F271" s="345" t="s">
        <v>29</v>
      </c>
      <c r="G271" s="875" t="s">
        <v>131</v>
      </c>
      <c r="H271" s="433"/>
      <c r="I271" s="875" t="s">
        <v>38</v>
      </c>
      <c r="J271" s="875">
        <v>204.0</v>
      </c>
      <c r="K271" s="875"/>
      <c r="L271" s="875" t="s">
        <v>20168</v>
      </c>
      <c r="M271" s="875" t="s">
        <v>3465</v>
      </c>
      <c r="N271" s="875">
        <v>2013.0</v>
      </c>
      <c r="O271" s="875" t="s">
        <v>388</v>
      </c>
      <c r="P271" s="875">
        <v>1.0</v>
      </c>
      <c r="Q271" s="874">
        <v>1.0</v>
      </c>
      <c r="R271" s="863"/>
      <c r="S271" s="858"/>
      <c r="T271" s="858"/>
      <c r="U271" s="858"/>
      <c r="V271" s="858"/>
      <c r="W271" s="858"/>
      <c r="X271" s="858"/>
      <c r="Y271" s="858"/>
      <c r="Z271" s="858"/>
      <c r="AA271" s="858"/>
      <c r="AB271" s="858"/>
      <c r="AC271" s="858"/>
      <c r="AD271" s="858"/>
      <c r="AE271" s="858"/>
      <c r="AF271" s="858"/>
      <c r="AG271" s="858"/>
      <c r="AH271" s="858"/>
      <c r="AI271" s="858"/>
      <c r="AJ271" s="858"/>
    </row>
    <row r="272" ht="88.5" customHeight="1">
      <c r="A272" s="342">
        <v>309.0</v>
      </c>
      <c r="B272" s="875"/>
      <c r="C272" s="875"/>
      <c r="D272" s="876" t="s">
        <v>20169</v>
      </c>
      <c r="E272" s="345" t="s">
        <v>13047</v>
      </c>
      <c r="F272" s="345" t="s">
        <v>29</v>
      </c>
      <c r="G272" s="875" t="s">
        <v>131</v>
      </c>
      <c r="H272" s="433"/>
      <c r="I272" s="875" t="s">
        <v>38</v>
      </c>
      <c r="J272" s="875">
        <v>308.0</v>
      </c>
      <c r="K272" s="875"/>
      <c r="L272" s="875" t="s">
        <v>20170</v>
      </c>
      <c r="M272" s="875" t="s">
        <v>3465</v>
      </c>
      <c r="N272" s="875">
        <v>2013.0</v>
      </c>
      <c r="O272" s="875" t="s">
        <v>388</v>
      </c>
      <c r="P272" s="875">
        <v>1.0</v>
      </c>
      <c r="Q272" s="874">
        <v>1.0</v>
      </c>
      <c r="R272" s="863"/>
      <c r="S272" s="858"/>
      <c r="T272" s="858"/>
      <c r="U272" s="858"/>
      <c r="V272" s="858"/>
      <c r="W272" s="858"/>
      <c r="X272" s="858"/>
      <c r="Y272" s="858"/>
      <c r="Z272" s="858"/>
      <c r="AA272" s="858"/>
      <c r="AB272" s="858"/>
      <c r="AC272" s="858"/>
      <c r="AD272" s="858"/>
      <c r="AE272" s="858"/>
      <c r="AF272" s="858"/>
      <c r="AG272" s="858"/>
      <c r="AH272" s="858"/>
      <c r="AI272" s="858"/>
      <c r="AJ272" s="858"/>
    </row>
    <row r="273" ht="87.0" customHeight="1">
      <c r="A273" s="342">
        <v>310.0</v>
      </c>
      <c r="B273" s="875"/>
      <c r="C273" s="875"/>
      <c r="D273" s="876" t="s">
        <v>20171</v>
      </c>
      <c r="E273" s="345" t="s">
        <v>13047</v>
      </c>
      <c r="F273" s="345" t="s">
        <v>29</v>
      </c>
      <c r="G273" s="875" t="s">
        <v>131</v>
      </c>
      <c r="H273" s="433"/>
      <c r="I273" s="875" t="s">
        <v>38</v>
      </c>
      <c r="J273" s="875">
        <v>418.0</v>
      </c>
      <c r="K273" s="875"/>
      <c r="L273" s="875" t="s">
        <v>20170</v>
      </c>
      <c r="M273" s="875" t="s">
        <v>3465</v>
      </c>
      <c r="N273" s="875">
        <v>2013.0</v>
      </c>
      <c r="O273" s="875" t="s">
        <v>388</v>
      </c>
      <c r="P273" s="875">
        <v>1.0</v>
      </c>
      <c r="Q273" s="874">
        <v>1.0</v>
      </c>
      <c r="R273" s="863"/>
      <c r="S273" s="858"/>
      <c r="T273" s="858"/>
      <c r="U273" s="858"/>
      <c r="V273" s="858"/>
      <c r="W273" s="858"/>
      <c r="X273" s="858"/>
      <c r="Y273" s="858"/>
      <c r="Z273" s="858"/>
      <c r="AA273" s="858"/>
      <c r="AB273" s="858"/>
      <c r="AC273" s="858"/>
      <c r="AD273" s="858"/>
      <c r="AE273" s="858"/>
      <c r="AF273" s="858"/>
      <c r="AG273" s="858"/>
      <c r="AH273" s="858"/>
      <c r="AI273" s="858"/>
      <c r="AJ273" s="858"/>
    </row>
    <row r="274" ht="87.0" customHeight="1">
      <c r="A274" s="342">
        <v>311.0</v>
      </c>
      <c r="B274" s="875"/>
      <c r="C274" s="875"/>
      <c r="D274" s="876" t="s">
        <v>20172</v>
      </c>
      <c r="E274" s="345" t="s">
        <v>13047</v>
      </c>
      <c r="F274" s="345" t="s">
        <v>29</v>
      </c>
      <c r="G274" s="875" t="s">
        <v>131</v>
      </c>
      <c r="H274" s="433"/>
      <c r="I274" s="875" t="s">
        <v>38</v>
      </c>
      <c r="J274" s="875">
        <v>418.0</v>
      </c>
      <c r="K274" s="875"/>
      <c r="L274" s="875" t="s">
        <v>20170</v>
      </c>
      <c r="M274" s="875" t="s">
        <v>3465</v>
      </c>
      <c r="N274" s="875">
        <v>2013.0</v>
      </c>
      <c r="O274" s="875" t="s">
        <v>388</v>
      </c>
      <c r="P274" s="875">
        <v>1.0</v>
      </c>
      <c r="Q274" s="874">
        <v>1.0</v>
      </c>
      <c r="R274" s="863"/>
      <c r="S274" s="858"/>
      <c r="T274" s="858"/>
      <c r="U274" s="858"/>
      <c r="V274" s="858"/>
      <c r="W274" s="858"/>
      <c r="X274" s="858"/>
      <c r="Y274" s="858"/>
      <c r="Z274" s="858"/>
      <c r="AA274" s="858"/>
      <c r="AB274" s="858"/>
      <c r="AC274" s="858"/>
      <c r="AD274" s="858"/>
      <c r="AE274" s="858"/>
      <c r="AF274" s="858"/>
      <c r="AG274" s="858"/>
      <c r="AH274" s="858"/>
      <c r="AI274" s="858"/>
      <c r="AJ274" s="858"/>
    </row>
    <row r="275" ht="101.25" customHeight="1">
      <c r="A275" s="342">
        <v>312.0</v>
      </c>
      <c r="B275" s="875"/>
      <c r="C275" s="875"/>
      <c r="D275" s="884" t="s">
        <v>20173</v>
      </c>
      <c r="E275" s="345" t="s">
        <v>13047</v>
      </c>
      <c r="F275" s="345" t="s">
        <v>29</v>
      </c>
      <c r="G275" s="875" t="s">
        <v>131</v>
      </c>
      <c r="H275" s="433"/>
      <c r="I275" s="875" t="s">
        <v>38</v>
      </c>
      <c r="J275" s="875">
        <v>176.0</v>
      </c>
      <c r="K275" s="875"/>
      <c r="L275" s="875" t="s">
        <v>20174</v>
      </c>
      <c r="M275" s="875" t="s">
        <v>3465</v>
      </c>
      <c r="N275" s="875">
        <v>2013.0</v>
      </c>
      <c r="O275" s="875" t="s">
        <v>388</v>
      </c>
      <c r="P275" s="875">
        <v>1.0</v>
      </c>
      <c r="Q275" s="874">
        <v>1.0</v>
      </c>
      <c r="R275" s="863"/>
      <c r="S275" s="858"/>
      <c r="T275" s="858"/>
      <c r="U275" s="858"/>
      <c r="V275" s="858"/>
      <c r="W275" s="858"/>
      <c r="X275" s="858"/>
      <c r="Y275" s="858"/>
      <c r="Z275" s="858"/>
      <c r="AA275" s="858"/>
      <c r="AB275" s="858"/>
      <c r="AC275" s="858"/>
      <c r="AD275" s="858"/>
      <c r="AE275" s="858"/>
      <c r="AF275" s="858"/>
      <c r="AG275" s="858"/>
      <c r="AH275" s="858"/>
      <c r="AI275" s="858"/>
      <c r="AJ275" s="858"/>
    </row>
    <row r="276" ht="88.5" customHeight="1">
      <c r="A276" s="342">
        <v>313.0</v>
      </c>
      <c r="B276" s="875"/>
      <c r="C276" s="875"/>
      <c r="D276" s="884" t="s">
        <v>20175</v>
      </c>
      <c r="E276" s="345" t="s">
        <v>13047</v>
      </c>
      <c r="F276" s="345" t="s">
        <v>29</v>
      </c>
      <c r="G276" s="875" t="s">
        <v>131</v>
      </c>
      <c r="H276" s="433"/>
      <c r="I276" s="875" t="s">
        <v>38</v>
      </c>
      <c r="J276" s="875">
        <v>512.0</v>
      </c>
      <c r="K276" s="875"/>
      <c r="L276" s="875" t="s">
        <v>20174</v>
      </c>
      <c r="M276" s="875" t="s">
        <v>3465</v>
      </c>
      <c r="N276" s="875">
        <v>2013.0</v>
      </c>
      <c r="O276" s="875" t="s">
        <v>388</v>
      </c>
      <c r="P276" s="875">
        <v>1.0</v>
      </c>
      <c r="Q276" s="874">
        <v>1.0</v>
      </c>
      <c r="R276" s="863"/>
      <c r="S276" s="858"/>
      <c r="T276" s="858"/>
      <c r="U276" s="858"/>
      <c r="V276" s="858"/>
      <c r="W276" s="858"/>
      <c r="X276" s="858"/>
      <c r="Y276" s="858"/>
      <c r="Z276" s="858"/>
      <c r="AA276" s="858"/>
      <c r="AB276" s="858"/>
      <c r="AC276" s="858"/>
      <c r="AD276" s="858"/>
      <c r="AE276" s="858"/>
      <c r="AF276" s="858"/>
      <c r="AG276" s="858"/>
      <c r="AH276" s="858"/>
      <c r="AI276" s="858"/>
      <c r="AJ276" s="858"/>
    </row>
    <row r="277" ht="15.75" customHeight="1">
      <c r="A277" s="342">
        <v>314.0</v>
      </c>
      <c r="B277" s="875"/>
      <c r="C277" s="875"/>
      <c r="D277" s="876" t="s">
        <v>20176</v>
      </c>
      <c r="E277" s="345" t="s">
        <v>13047</v>
      </c>
      <c r="F277" s="345" t="s">
        <v>29</v>
      </c>
      <c r="G277" s="875" t="s">
        <v>131</v>
      </c>
      <c r="H277" s="433"/>
      <c r="I277" s="875" t="s">
        <v>38</v>
      </c>
      <c r="J277" s="875">
        <v>689.0</v>
      </c>
      <c r="K277" s="875"/>
      <c r="L277" s="875" t="s">
        <v>20174</v>
      </c>
      <c r="M277" s="875" t="s">
        <v>3465</v>
      </c>
      <c r="N277" s="875">
        <v>2013.0</v>
      </c>
      <c r="O277" s="875" t="s">
        <v>388</v>
      </c>
      <c r="P277" s="875">
        <v>1.0</v>
      </c>
      <c r="Q277" s="874">
        <v>1.0</v>
      </c>
      <c r="R277" s="863"/>
      <c r="S277" s="858"/>
      <c r="T277" s="858"/>
      <c r="U277" s="858"/>
      <c r="V277" s="858"/>
      <c r="W277" s="858"/>
      <c r="X277" s="858"/>
      <c r="Y277" s="858"/>
      <c r="Z277" s="858"/>
      <c r="AA277" s="858"/>
      <c r="AB277" s="858"/>
      <c r="AC277" s="858"/>
      <c r="AD277" s="858"/>
      <c r="AE277" s="858"/>
      <c r="AF277" s="858"/>
      <c r="AG277" s="858"/>
      <c r="AH277" s="858"/>
      <c r="AI277" s="858"/>
      <c r="AJ277" s="858"/>
    </row>
    <row r="278" ht="15.75" customHeight="1">
      <c r="A278" s="342">
        <v>315.0</v>
      </c>
      <c r="B278" s="875"/>
      <c r="C278" s="875"/>
      <c r="D278" s="876" t="s">
        <v>20177</v>
      </c>
      <c r="E278" s="345" t="s">
        <v>13047</v>
      </c>
      <c r="F278" s="345" t="s">
        <v>29</v>
      </c>
      <c r="G278" s="875" t="s">
        <v>131</v>
      </c>
      <c r="H278" s="433"/>
      <c r="I278" s="875" t="s">
        <v>38</v>
      </c>
      <c r="J278" s="875">
        <v>116.0</v>
      </c>
      <c r="K278" s="875"/>
      <c r="L278" s="875" t="s">
        <v>20174</v>
      </c>
      <c r="M278" s="875" t="s">
        <v>3465</v>
      </c>
      <c r="N278" s="875">
        <v>2013.0</v>
      </c>
      <c r="O278" s="875" t="s">
        <v>388</v>
      </c>
      <c r="P278" s="875">
        <v>1.0</v>
      </c>
      <c r="Q278" s="874">
        <v>1.0</v>
      </c>
      <c r="R278" s="863"/>
      <c r="S278" s="858"/>
      <c r="T278" s="858"/>
      <c r="U278" s="858"/>
      <c r="V278" s="858"/>
      <c r="W278" s="858"/>
      <c r="X278" s="858"/>
      <c r="Y278" s="858"/>
      <c r="Z278" s="858"/>
      <c r="AA278" s="858"/>
      <c r="AB278" s="858"/>
      <c r="AC278" s="858"/>
      <c r="AD278" s="858"/>
      <c r="AE278" s="858"/>
      <c r="AF278" s="858"/>
      <c r="AG278" s="858"/>
      <c r="AH278" s="858"/>
      <c r="AI278" s="858"/>
      <c r="AJ278" s="858"/>
    </row>
    <row r="279" ht="15.75" customHeight="1">
      <c r="A279" s="342">
        <v>316.0</v>
      </c>
      <c r="B279" s="875"/>
      <c r="C279" s="875"/>
      <c r="D279" s="876" t="s">
        <v>20178</v>
      </c>
      <c r="E279" s="345" t="s">
        <v>13047</v>
      </c>
      <c r="F279" s="345" t="s">
        <v>29</v>
      </c>
      <c r="G279" s="875" t="s">
        <v>131</v>
      </c>
      <c r="H279" s="433"/>
      <c r="I279" s="875" t="s">
        <v>38</v>
      </c>
      <c r="J279" s="875">
        <v>172.0</v>
      </c>
      <c r="K279" s="875"/>
      <c r="L279" s="875" t="s">
        <v>20179</v>
      </c>
      <c r="M279" s="875"/>
      <c r="N279" s="875"/>
      <c r="O279" s="875" t="s">
        <v>388</v>
      </c>
      <c r="P279" s="345">
        <v>1.0</v>
      </c>
      <c r="Q279" s="874">
        <v>1.0</v>
      </c>
      <c r="R279" s="863"/>
      <c r="S279" s="858"/>
      <c r="T279" s="858"/>
      <c r="U279" s="858"/>
      <c r="V279" s="858"/>
      <c r="W279" s="858"/>
      <c r="X279" s="858"/>
      <c r="Y279" s="858"/>
      <c r="Z279" s="858"/>
      <c r="AA279" s="858"/>
      <c r="AB279" s="858"/>
      <c r="AC279" s="858"/>
      <c r="AD279" s="858"/>
      <c r="AE279" s="858"/>
      <c r="AF279" s="858"/>
      <c r="AG279" s="858"/>
      <c r="AH279" s="858"/>
      <c r="AI279" s="858"/>
      <c r="AJ279" s="858"/>
    </row>
    <row r="280" ht="15.75" customHeight="1">
      <c r="A280" s="342">
        <v>317.0</v>
      </c>
      <c r="B280" s="875"/>
      <c r="C280" s="875"/>
      <c r="D280" s="876" t="s">
        <v>20180</v>
      </c>
      <c r="E280" s="345" t="s">
        <v>13047</v>
      </c>
      <c r="F280" s="345" t="s">
        <v>29</v>
      </c>
      <c r="G280" s="875" t="s">
        <v>37</v>
      </c>
      <c r="H280" s="433"/>
      <c r="I280" s="875" t="s">
        <v>38</v>
      </c>
      <c r="J280" s="875">
        <v>129.0</v>
      </c>
      <c r="K280" s="875"/>
      <c r="L280" s="875" t="s">
        <v>20181</v>
      </c>
      <c r="M280" s="875" t="s">
        <v>20182</v>
      </c>
      <c r="N280" s="875">
        <v>2012.0</v>
      </c>
      <c r="O280" s="875" t="s">
        <v>388</v>
      </c>
      <c r="P280" s="875">
        <v>1.0</v>
      </c>
      <c r="Q280" s="874">
        <v>1.0</v>
      </c>
      <c r="R280" s="863"/>
      <c r="S280" s="858"/>
      <c r="T280" s="858"/>
      <c r="U280" s="858"/>
      <c r="V280" s="858"/>
      <c r="W280" s="858"/>
      <c r="X280" s="858"/>
      <c r="Y280" s="858"/>
      <c r="Z280" s="858"/>
      <c r="AA280" s="858"/>
      <c r="AB280" s="858"/>
      <c r="AC280" s="858"/>
      <c r="AD280" s="858"/>
      <c r="AE280" s="858"/>
      <c r="AF280" s="858"/>
      <c r="AG280" s="858"/>
      <c r="AH280" s="858"/>
      <c r="AI280" s="858"/>
      <c r="AJ280" s="858"/>
    </row>
    <row r="281" ht="15.75" customHeight="1">
      <c r="A281" s="342">
        <v>318.0</v>
      </c>
      <c r="B281" s="875"/>
      <c r="C281" s="875"/>
      <c r="D281" s="876" t="s">
        <v>20183</v>
      </c>
      <c r="E281" s="345" t="s">
        <v>13047</v>
      </c>
      <c r="F281" s="345" t="s">
        <v>29</v>
      </c>
      <c r="G281" s="875" t="s">
        <v>37</v>
      </c>
      <c r="H281" s="433"/>
      <c r="I281" s="875" t="s">
        <v>38</v>
      </c>
      <c r="J281" s="875">
        <v>257.0</v>
      </c>
      <c r="K281" s="875"/>
      <c r="L281" s="875" t="s">
        <v>20184</v>
      </c>
      <c r="M281" s="875" t="s">
        <v>20182</v>
      </c>
      <c r="N281" s="875">
        <v>2013.0</v>
      </c>
      <c r="O281" s="875" t="s">
        <v>388</v>
      </c>
      <c r="P281" s="875">
        <v>1.0</v>
      </c>
      <c r="Q281" s="874">
        <v>1.0</v>
      </c>
      <c r="R281" s="863"/>
      <c r="S281" s="858"/>
      <c r="T281" s="858"/>
      <c r="U281" s="858"/>
      <c r="V281" s="858"/>
      <c r="W281" s="858"/>
      <c r="X281" s="858"/>
      <c r="Y281" s="858"/>
      <c r="Z281" s="858"/>
      <c r="AA281" s="858"/>
      <c r="AB281" s="858"/>
      <c r="AC281" s="858"/>
      <c r="AD281" s="858"/>
      <c r="AE281" s="858"/>
      <c r="AF281" s="858"/>
      <c r="AG281" s="858"/>
      <c r="AH281" s="858"/>
      <c r="AI281" s="858"/>
      <c r="AJ281" s="858"/>
    </row>
    <row r="282" ht="15.75" customHeight="1">
      <c r="A282" s="342">
        <v>319.0</v>
      </c>
      <c r="B282" s="875"/>
      <c r="C282" s="875"/>
      <c r="D282" s="876" t="s">
        <v>20185</v>
      </c>
      <c r="E282" s="345" t="s">
        <v>13047</v>
      </c>
      <c r="F282" s="345" t="s">
        <v>29</v>
      </c>
      <c r="G282" s="875" t="s">
        <v>37</v>
      </c>
      <c r="H282" s="433"/>
      <c r="I282" s="875" t="s">
        <v>38</v>
      </c>
      <c r="J282" s="875">
        <v>388.0</v>
      </c>
      <c r="K282" s="875"/>
      <c r="L282" s="875" t="s">
        <v>20186</v>
      </c>
      <c r="M282" s="875" t="s">
        <v>20182</v>
      </c>
      <c r="N282" s="875">
        <v>2013.0</v>
      </c>
      <c r="O282" s="875" t="s">
        <v>388</v>
      </c>
      <c r="P282" s="875">
        <v>1.0</v>
      </c>
      <c r="Q282" s="874">
        <v>1.0</v>
      </c>
      <c r="R282" s="863"/>
      <c r="S282" s="858"/>
      <c r="T282" s="858"/>
      <c r="U282" s="858"/>
      <c r="V282" s="858"/>
      <c r="W282" s="858"/>
      <c r="X282" s="858"/>
      <c r="Y282" s="858"/>
      <c r="Z282" s="858"/>
      <c r="AA282" s="858"/>
      <c r="AB282" s="858"/>
      <c r="AC282" s="858"/>
      <c r="AD282" s="858"/>
      <c r="AE282" s="858"/>
      <c r="AF282" s="858"/>
      <c r="AG282" s="858"/>
      <c r="AH282" s="858"/>
      <c r="AI282" s="858"/>
      <c r="AJ282" s="858"/>
    </row>
    <row r="283" ht="15.75" customHeight="1">
      <c r="A283" s="342">
        <v>320.0</v>
      </c>
      <c r="B283" s="875"/>
      <c r="C283" s="875"/>
      <c r="D283" s="876" t="s">
        <v>20187</v>
      </c>
      <c r="E283" s="345" t="s">
        <v>13047</v>
      </c>
      <c r="F283" s="345" t="s">
        <v>29</v>
      </c>
      <c r="G283" s="875" t="s">
        <v>37</v>
      </c>
      <c r="H283" s="433"/>
      <c r="I283" s="875" t="s">
        <v>38</v>
      </c>
      <c r="J283" s="875">
        <v>129.0</v>
      </c>
      <c r="K283" s="875"/>
      <c r="L283" s="875" t="s">
        <v>20188</v>
      </c>
      <c r="M283" s="875" t="s">
        <v>20182</v>
      </c>
      <c r="N283" s="875">
        <v>2013.0</v>
      </c>
      <c r="O283" s="875" t="s">
        <v>388</v>
      </c>
      <c r="P283" s="875">
        <v>1.0</v>
      </c>
      <c r="Q283" s="874">
        <v>1.0</v>
      </c>
      <c r="R283" s="863"/>
      <c r="S283" s="858"/>
      <c r="T283" s="858"/>
      <c r="U283" s="858"/>
      <c r="V283" s="858"/>
      <c r="W283" s="858"/>
      <c r="X283" s="858"/>
      <c r="Y283" s="858"/>
      <c r="Z283" s="858"/>
      <c r="AA283" s="858"/>
      <c r="AB283" s="858"/>
      <c r="AC283" s="858"/>
      <c r="AD283" s="858"/>
      <c r="AE283" s="858"/>
      <c r="AF283" s="858"/>
      <c r="AG283" s="858"/>
      <c r="AH283" s="858"/>
      <c r="AI283" s="858"/>
      <c r="AJ283" s="858"/>
    </row>
    <row r="284" ht="66.0" customHeight="1">
      <c r="A284" s="342">
        <v>321.0</v>
      </c>
      <c r="B284" s="875"/>
      <c r="C284" s="875"/>
      <c r="D284" s="876" t="s">
        <v>20189</v>
      </c>
      <c r="E284" s="345" t="s">
        <v>13047</v>
      </c>
      <c r="F284" s="345" t="s">
        <v>29</v>
      </c>
      <c r="G284" s="875" t="s">
        <v>37</v>
      </c>
      <c r="H284" s="433"/>
      <c r="I284" s="875" t="s">
        <v>38</v>
      </c>
      <c r="J284" s="875">
        <v>289.0</v>
      </c>
      <c r="K284" s="875"/>
      <c r="L284" s="875" t="s">
        <v>20190</v>
      </c>
      <c r="M284" s="875" t="s">
        <v>20182</v>
      </c>
      <c r="N284" s="875">
        <v>2013.0</v>
      </c>
      <c r="O284" s="875" t="s">
        <v>388</v>
      </c>
      <c r="P284" s="875">
        <v>1.0</v>
      </c>
      <c r="Q284" s="874">
        <v>1.0</v>
      </c>
      <c r="R284" s="863"/>
      <c r="S284" s="858"/>
      <c r="T284" s="858"/>
      <c r="U284" s="858"/>
      <c r="V284" s="858"/>
      <c r="W284" s="858"/>
      <c r="X284" s="858"/>
      <c r="Y284" s="858"/>
      <c r="Z284" s="858"/>
      <c r="AA284" s="858"/>
      <c r="AB284" s="858"/>
      <c r="AC284" s="858"/>
      <c r="AD284" s="858"/>
      <c r="AE284" s="858"/>
      <c r="AF284" s="858"/>
      <c r="AG284" s="858"/>
      <c r="AH284" s="858"/>
      <c r="AI284" s="858"/>
      <c r="AJ284" s="858"/>
    </row>
    <row r="285" ht="15.75" customHeight="1">
      <c r="A285" s="342">
        <v>322.0</v>
      </c>
      <c r="B285" s="875"/>
      <c r="C285" s="875"/>
      <c r="D285" s="876" t="s">
        <v>20191</v>
      </c>
      <c r="E285" s="345" t="s">
        <v>13047</v>
      </c>
      <c r="F285" s="345" t="s">
        <v>29</v>
      </c>
      <c r="G285" s="875" t="s">
        <v>20192</v>
      </c>
      <c r="H285" s="433"/>
      <c r="I285" s="875" t="s">
        <v>38</v>
      </c>
      <c r="J285" s="875">
        <v>297.0</v>
      </c>
      <c r="K285" s="875"/>
      <c r="L285" s="875" t="s">
        <v>20193</v>
      </c>
      <c r="M285" s="875" t="s">
        <v>20182</v>
      </c>
      <c r="N285" s="875">
        <v>2012.0</v>
      </c>
      <c r="O285" s="875" t="s">
        <v>388</v>
      </c>
      <c r="P285" s="875">
        <v>1.0</v>
      </c>
      <c r="Q285" s="874">
        <v>1.0</v>
      </c>
      <c r="R285" s="863"/>
      <c r="S285" s="858"/>
      <c r="T285" s="858"/>
      <c r="U285" s="858"/>
      <c r="V285" s="858"/>
      <c r="W285" s="858"/>
      <c r="X285" s="858"/>
      <c r="Y285" s="858"/>
      <c r="Z285" s="858"/>
      <c r="AA285" s="858"/>
      <c r="AB285" s="858"/>
      <c r="AC285" s="858"/>
      <c r="AD285" s="858"/>
      <c r="AE285" s="858"/>
      <c r="AF285" s="858"/>
      <c r="AG285" s="858"/>
      <c r="AH285" s="858"/>
      <c r="AI285" s="858"/>
      <c r="AJ285" s="858"/>
    </row>
    <row r="286" ht="15.75" customHeight="1">
      <c r="A286" s="342">
        <v>323.0</v>
      </c>
      <c r="B286" s="875" t="s">
        <v>20194</v>
      </c>
      <c r="C286" s="885" t="s">
        <v>20195</v>
      </c>
      <c r="D286" s="876" t="s">
        <v>20196</v>
      </c>
      <c r="E286" s="345" t="s">
        <v>13047</v>
      </c>
      <c r="F286" s="345" t="s">
        <v>29</v>
      </c>
      <c r="G286" s="875" t="s">
        <v>20192</v>
      </c>
      <c r="H286" s="433"/>
      <c r="I286" s="875" t="s">
        <v>38</v>
      </c>
      <c r="J286" s="875">
        <v>180.0</v>
      </c>
      <c r="K286" s="875"/>
      <c r="L286" s="875" t="s">
        <v>20197</v>
      </c>
      <c r="M286" s="875" t="s">
        <v>20182</v>
      </c>
      <c r="N286" s="875">
        <v>2012.0</v>
      </c>
      <c r="O286" s="875" t="s">
        <v>388</v>
      </c>
      <c r="P286" s="875">
        <v>1.0</v>
      </c>
      <c r="Q286" s="874">
        <v>1.0</v>
      </c>
      <c r="R286" s="863"/>
      <c r="S286" s="858"/>
      <c r="T286" s="858"/>
      <c r="U286" s="858"/>
      <c r="V286" s="858"/>
      <c r="W286" s="858"/>
      <c r="X286" s="858"/>
      <c r="Y286" s="858"/>
      <c r="Z286" s="858"/>
      <c r="AA286" s="858"/>
      <c r="AB286" s="858"/>
      <c r="AC286" s="858"/>
      <c r="AD286" s="858"/>
      <c r="AE286" s="858"/>
      <c r="AF286" s="858"/>
      <c r="AG286" s="858"/>
      <c r="AH286" s="858"/>
      <c r="AI286" s="858"/>
      <c r="AJ286" s="858"/>
    </row>
    <row r="287" ht="15.75" customHeight="1">
      <c r="A287" s="342">
        <v>324.0</v>
      </c>
      <c r="B287" s="875" t="s">
        <v>20194</v>
      </c>
      <c r="C287" s="885" t="s">
        <v>20198</v>
      </c>
      <c r="D287" s="876" t="s">
        <v>20199</v>
      </c>
      <c r="E287" s="345" t="s">
        <v>13047</v>
      </c>
      <c r="F287" s="345" t="s">
        <v>29</v>
      </c>
      <c r="G287" s="875" t="s">
        <v>20192</v>
      </c>
      <c r="H287" s="433"/>
      <c r="I287" s="875" t="s">
        <v>38</v>
      </c>
      <c r="J287" s="875">
        <v>180.0</v>
      </c>
      <c r="K287" s="875"/>
      <c r="L287" s="875" t="s">
        <v>20197</v>
      </c>
      <c r="M287" s="875" t="s">
        <v>20182</v>
      </c>
      <c r="N287" s="875">
        <v>2012.0</v>
      </c>
      <c r="O287" s="875" t="s">
        <v>388</v>
      </c>
      <c r="P287" s="875">
        <v>1.0</v>
      </c>
      <c r="Q287" s="874">
        <v>1.0</v>
      </c>
      <c r="R287" s="863"/>
      <c r="S287" s="858"/>
      <c r="T287" s="858"/>
      <c r="U287" s="858"/>
      <c r="V287" s="858"/>
      <c r="W287" s="858"/>
      <c r="X287" s="858"/>
      <c r="Y287" s="858"/>
      <c r="Z287" s="858"/>
      <c r="AA287" s="858"/>
      <c r="AB287" s="858"/>
      <c r="AC287" s="858"/>
      <c r="AD287" s="858"/>
      <c r="AE287" s="858"/>
      <c r="AF287" s="858"/>
      <c r="AG287" s="858"/>
      <c r="AH287" s="858"/>
      <c r="AI287" s="858"/>
      <c r="AJ287" s="858"/>
    </row>
    <row r="288" ht="15.75" customHeight="1">
      <c r="A288" s="342">
        <v>325.0</v>
      </c>
      <c r="B288" s="875" t="s">
        <v>19699</v>
      </c>
      <c r="C288" s="885" t="s">
        <v>20195</v>
      </c>
      <c r="D288" s="876" t="s">
        <v>20200</v>
      </c>
      <c r="E288" s="345" t="s">
        <v>13047</v>
      </c>
      <c r="F288" s="345" t="s">
        <v>29</v>
      </c>
      <c r="G288" s="875" t="s">
        <v>131</v>
      </c>
      <c r="H288" s="433"/>
      <c r="I288" s="875" t="s">
        <v>38</v>
      </c>
      <c r="J288" s="875">
        <v>188.0</v>
      </c>
      <c r="K288" s="875"/>
      <c r="L288" s="875" t="s">
        <v>20201</v>
      </c>
      <c r="M288" s="875" t="s">
        <v>3465</v>
      </c>
      <c r="N288" s="875">
        <v>2012.0</v>
      </c>
      <c r="O288" s="875" t="s">
        <v>388</v>
      </c>
      <c r="P288" s="875">
        <v>1.0</v>
      </c>
      <c r="Q288" s="874">
        <v>1.0</v>
      </c>
      <c r="R288" s="863"/>
      <c r="S288" s="858"/>
      <c r="T288" s="858"/>
      <c r="U288" s="858"/>
      <c r="V288" s="858"/>
      <c r="W288" s="858"/>
      <c r="X288" s="858"/>
      <c r="Y288" s="858"/>
      <c r="Z288" s="858"/>
      <c r="AA288" s="858"/>
      <c r="AB288" s="858"/>
      <c r="AC288" s="858"/>
      <c r="AD288" s="858"/>
      <c r="AE288" s="858"/>
      <c r="AF288" s="858"/>
      <c r="AG288" s="858"/>
      <c r="AH288" s="858"/>
      <c r="AI288" s="858"/>
      <c r="AJ288" s="858"/>
    </row>
    <row r="289" ht="2.25" hidden="1" customHeight="1">
      <c r="A289" s="342">
        <v>326.0</v>
      </c>
      <c r="B289" s="875"/>
      <c r="C289" s="885"/>
      <c r="D289" s="876"/>
      <c r="E289" s="345"/>
      <c r="F289" s="345"/>
      <c r="G289" s="875"/>
      <c r="H289" s="433"/>
      <c r="I289" s="875"/>
      <c r="J289" s="875"/>
      <c r="K289" s="875"/>
      <c r="L289" s="875"/>
      <c r="M289" s="875"/>
      <c r="N289" s="875"/>
      <c r="O289" s="875"/>
      <c r="P289" s="875"/>
      <c r="Q289" s="874">
        <v>1.0</v>
      </c>
      <c r="R289" s="863"/>
      <c r="S289" s="858"/>
      <c r="T289" s="858"/>
      <c r="U289" s="858"/>
      <c r="V289" s="858"/>
      <c r="W289" s="858"/>
      <c r="X289" s="858"/>
      <c r="Y289" s="858"/>
      <c r="Z289" s="858"/>
      <c r="AA289" s="858"/>
      <c r="AB289" s="858"/>
      <c r="AC289" s="858"/>
      <c r="AD289" s="858"/>
      <c r="AE289" s="858"/>
      <c r="AF289" s="858"/>
      <c r="AG289" s="858"/>
      <c r="AH289" s="858"/>
      <c r="AI289" s="858"/>
      <c r="AJ289" s="858"/>
    </row>
    <row r="290" ht="15.75" customHeight="1">
      <c r="A290" s="342">
        <v>327.0</v>
      </c>
      <c r="B290" s="875" t="s">
        <v>19699</v>
      </c>
      <c r="C290" s="885" t="s">
        <v>20195</v>
      </c>
      <c r="D290" s="876" t="s">
        <v>20202</v>
      </c>
      <c r="E290" s="345" t="s">
        <v>13047</v>
      </c>
      <c r="F290" s="345" t="s">
        <v>29</v>
      </c>
      <c r="G290" s="875" t="s">
        <v>131</v>
      </c>
      <c r="H290" s="433"/>
      <c r="I290" s="875" t="s">
        <v>38</v>
      </c>
      <c r="J290" s="875">
        <v>95.0</v>
      </c>
      <c r="K290" s="875"/>
      <c r="L290" s="875" t="s">
        <v>20203</v>
      </c>
      <c r="M290" s="875" t="s">
        <v>3465</v>
      </c>
      <c r="N290" s="875">
        <v>2015.0</v>
      </c>
      <c r="O290" s="875" t="s">
        <v>388</v>
      </c>
      <c r="P290" s="875">
        <v>1.0</v>
      </c>
      <c r="Q290" s="874">
        <v>1.0</v>
      </c>
      <c r="R290" s="863"/>
      <c r="S290" s="858"/>
      <c r="T290" s="858"/>
      <c r="U290" s="858"/>
      <c r="V290" s="858"/>
      <c r="W290" s="858"/>
      <c r="X290" s="858"/>
      <c r="Y290" s="858"/>
      <c r="Z290" s="858"/>
      <c r="AA290" s="858"/>
      <c r="AB290" s="858"/>
      <c r="AC290" s="858"/>
      <c r="AD290" s="858"/>
      <c r="AE290" s="858"/>
      <c r="AF290" s="858"/>
      <c r="AG290" s="858"/>
      <c r="AH290" s="858"/>
      <c r="AI290" s="858"/>
      <c r="AJ290" s="858"/>
    </row>
    <row r="291" ht="15.75" customHeight="1">
      <c r="A291" s="342">
        <v>328.0</v>
      </c>
      <c r="B291" s="875" t="s">
        <v>19753</v>
      </c>
      <c r="C291" s="885" t="s">
        <v>20204</v>
      </c>
      <c r="D291" s="876" t="s">
        <v>20205</v>
      </c>
      <c r="E291" s="345" t="s">
        <v>13047</v>
      </c>
      <c r="F291" s="345" t="s">
        <v>29</v>
      </c>
      <c r="G291" s="875" t="s">
        <v>37</v>
      </c>
      <c r="H291" s="433"/>
      <c r="I291" s="875" t="s">
        <v>38</v>
      </c>
      <c r="J291" s="875">
        <v>301.0</v>
      </c>
      <c r="K291" s="875"/>
      <c r="L291" s="875" t="s">
        <v>20206</v>
      </c>
      <c r="M291" s="875" t="s">
        <v>20182</v>
      </c>
      <c r="N291" s="875">
        <v>2013.0</v>
      </c>
      <c r="O291" s="875" t="s">
        <v>388</v>
      </c>
      <c r="P291" s="875">
        <v>1.0</v>
      </c>
      <c r="Q291" s="874">
        <v>1.0</v>
      </c>
      <c r="R291" s="886"/>
      <c r="S291" s="583"/>
      <c r="T291" s="583"/>
      <c r="U291" s="583"/>
      <c r="V291" s="583"/>
      <c r="W291" s="583"/>
      <c r="X291" s="583"/>
      <c r="Y291" s="583"/>
      <c r="Z291" s="583"/>
      <c r="AA291" s="583"/>
      <c r="AB291" s="583"/>
      <c r="AC291" s="583"/>
      <c r="AD291" s="583"/>
      <c r="AE291" s="583"/>
      <c r="AF291" s="583"/>
      <c r="AG291" s="583"/>
      <c r="AH291" s="583"/>
      <c r="AI291" s="583"/>
      <c r="AJ291" s="583"/>
    </row>
    <row r="292" ht="15.75" customHeight="1">
      <c r="A292" s="342">
        <v>329.0</v>
      </c>
      <c r="B292" s="875" t="s">
        <v>19753</v>
      </c>
      <c r="C292" s="885" t="s">
        <v>20204</v>
      </c>
      <c r="D292" s="876" t="s">
        <v>20207</v>
      </c>
      <c r="E292" s="345" t="s">
        <v>13047</v>
      </c>
      <c r="F292" s="345" t="s">
        <v>29</v>
      </c>
      <c r="G292" s="875" t="s">
        <v>37</v>
      </c>
      <c r="H292" s="433"/>
      <c r="I292" s="875" t="s">
        <v>38</v>
      </c>
      <c r="J292" s="875">
        <v>301.0</v>
      </c>
      <c r="K292" s="875"/>
      <c r="L292" s="875" t="s">
        <v>20206</v>
      </c>
      <c r="M292" s="875" t="s">
        <v>20182</v>
      </c>
      <c r="N292" s="875">
        <v>2013.0</v>
      </c>
      <c r="O292" s="875" t="s">
        <v>388</v>
      </c>
      <c r="P292" s="875">
        <v>1.0</v>
      </c>
      <c r="Q292" s="874">
        <v>1.0</v>
      </c>
      <c r="R292" s="863"/>
      <c r="S292" s="858"/>
      <c r="T292" s="858"/>
      <c r="U292" s="858"/>
      <c r="V292" s="858"/>
      <c r="W292" s="858"/>
      <c r="X292" s="858"/>
      <c r="Y292" s="858"/>
      <c r="Z292" s="858"/>
      <c r="AA292" s="858"/>
      <c r="AB292" s="858"/>
      <c r="AC292" s="858"/>
      <c r="AD292" s="858"/>
      <c r="AE292" s="858"/>
      <c r="AF292" s="858"/>
      <c r="AG292" s="858"/>
      <c r="AH292" s="858"/>
      <c r="AI292" s="858"/>
      <c r="AJ292" s="858"/>
    </row>
    <row r="293" ht="15.75" customHeight="1">
      <c r="A293" s="342">
        <v>330.0</v>
      </c>
      <c r="B293" s="875"/>
      <c r="C293" s="875"/>
      <c r="D293" s="876" t="s">
        <v>20208</v>
      </c>
      <c r="E293" s="345" t="s">
        <v>13047</v>
      </c>
      <c r="F293" s="345" t="s">
        <v>29</v>
      </c>
      <c r="G293" s="875" t="s">
        <v>30</v>
      </c>
      <c r="H293" s="433"/>
      <c r="I293" s="875" t="s">
        <v>30</v>
      </c>
      <c r="J293" s="875"/>
      <c r="K293" s="875"/>
      <c r="L293" s="875" t="s">
        <v>20209</v>
      </c>
      <c r="M293" s="875" t="s">
        <v>20025</v>
      </c>
      <c r="N293" s="875">
        <v>2001.0</v>
      </c>
      <c r="O293" s="875" t="s">
        <v>388</v>
      </c>
      <c r="P293" s="875">
        <v>1.0</v>
      </c>
      <c r="Q293" s="874">
        <v>1.0</v>
      </c>
      <c r="R293" s="863"/>
      <c r="S293" s="858"/>
      <c r="T293" s="858"/>
      <c r="U293" s="858"/>
      <c r="V293" s="858"/>
      <c r="W293" s="858"/>
      <c r="X293" s="858"/>
      <c r="Y293" s="858"/>
      <c r="Z293" s="858"/>
      <c r="AA293" s="858"/>
      <c r="AB293" s="858"/>
      <c r="AC293" s="858"/>
      <c r="AD293" s="858"/>
      <c r="AE293" s="858"/>
      <c r="AF293" s="858"/>
      <c r="AG293" s="858"/>
      <c r="AH293" s="858"/>
      <c r="AI293" s="858"/>
      <c r="AJ293" s="858"/>
    </row>
    <row r="294" ht="15.75" customHeight="1">
      <c r="A294" s="342">
        <v>331.0</v>
      </c>
      <c r="B294" s="875"/>
      <c r="C294" s="875"/>
      <c r="D294" s="876" t="s">
        <v>20210</v>
      </c>
      <c r="E294" s="345" t="s">
        <v>13047</v>
      </c>
      <c r="F294" s="345" t="s">
        <v>29</v>
      </c>
      <c r="G294" s="875" t="s">
        <v>30</v>
      </c>
      <c r="H294" s="433"/>
      <c r="I294" s="875" t="s">
        <v>30</v>
      </c>
      <c r="J294" s="875"/>
      <c r="K294" s="875"/>
      <c r="L294" s="875" t="s">
        <v>20211</v>
      </c>
      <c r="M294" s="875" t="s">
        <v>20025</v>
      </c>
      <c r="N294" s="875">
        <v>2002.0</v>
      </c>
      <c r="O294" s="875" t="s">
        <v>388</v>
      </c>
      <c r="P294" s="875">
        <v>1.0</v>
      </c>
      <c r="Q294" s="874">
        <v>1.0</v>
      </c>
      <c r="R294" s="863"/>
      <c r="S294" s="858"/>
      <c r="T294" s="858"/>
      <c r="U294" s="858"/>
      <c r="V294" s="858"/>
      <c r="W294" s="858"/>
      <c r="X294" s="858"/>
      <c r="Y294" s="858"/>
      <c r="Z294" s="858"/>
      <c r="AA294" s="858"/>
      <c r="AB294" s="858"/>
      <c r="AC294" s="858"/>
      <c r="AD294" s="858"/>
      <c r="AE294" s="858"/>
      <c r="AF294" s="858"/>
      <c r="AG294" s="858"/>
      <c r="AH294" s="858"/>
      <c r="AI294" s="858"/>
      <c r="AJ294" s="858"/>
    </row>
    <row r="295" ht="15.75" customHeight="1">
      <c r="A295" s="342">
        <v>332.0</v>
      </c>
      <c r="B295" s="875"/>
      <c r="C295" s="875"/>
      <c r="D295" s="876" t="s">
        <v>20212</v>
      </c>
      <c r="E295" s="345" t="s">
        <v>13047</v>
      </c>
      <c r="F295" s="345" t="s">
        <v>29</v>
      </c>
      <c r="G295" s="875" t="s">
        <v>30</v>
      </c>
      <c r="H295" s="433"/>
      <c r="I295" s="875" t="s">
        <v>30</v>
      </c>
      <c r="J295" s="875"/>
      <c r="K295" s="875"/>
      <c r="L295" s="875" t="s">
        <v>20213</v>
      </c>
      <c r="M295" s="875" t="s">
        <v>20214</v>
      </c>
      <c r="N295" s="875">
        <v>2010.0</v>
      </c>
      <c r="O295" s="875" t="s">
        <v>388</v>
      </c>
      <c r="P295" s="875">
        <v>1.0</v>
      </c>
      <c r="Q295" s="874">
        <v>1.0</v>
      </c>
      <c r="R295" s="863"/>
      <c r="S295" s="858"/>
      <c r="T295" s="858"/>
      <c r="U295" s="858"/>
      <c r="V295" s="858"/>
      <c r="W295" s="858"/>
      <c r="X295" s="858"/>
      <c r="Y295" s="858"/>
      <c r="Z295" s="858"/>
      <c r="AA295" s="858"/>
      <c r="AB295" s="858"/>
      <c r="AC295" s="858"/>
      <c r="AD295" s="858"/>
      <c r="AE295" s="858"/>
      <c r="AF295" s="858"/>
      <c r="AG295" s="858"/>
      <c r="AH295" s="858"/>
      <c r="AI295" s="858"/>
      <c r="AJ295" s="858"/>
    </row>
    <row r="296" ht="15.75" customHeight="1">
      <c r="A296" s="342">
        <v>333.0</v>
      </c>
      <c r="B296" s="875"/>
      <c r="C296" s="875"/>
      <c r="D296" s="876" t="s">
        <v>20215</v>
      </c>
      <c r="E296" s="345" t="s">
        <v>13047</v>
      </c>
      <c r="F296" s="345" t="s">
        <v>29</v>
      </c>
      <c r="G296" s="875" t="s">
        <v>30</v>
      </c>
      <c r="H296" s="433"/>
      <c r="I296" s="875" t="s">
        <v>30</v>
      </c>
      <c r="J296" s="875"/>
      <c r="K296" s="875"/>
      <c r="L296" s="875" t="s">
        <v>20216</v>
      </c>
      <c r="M296" s="875" t="s">
        <v>2451</v>
      </c>
      <c r="N296" s="875">
        <v>2004.0</v>
      </c>
      <c r="O296" s="875" t="s">
        <v>388</v>
      </c>
      <c r="P296" s="875">
        <v>1.0</v>
      </c>
      <c r="Q296" s="874">
        <v>1.0</v>
      </c>
      <c r="R296" s="863"/>
      <c r="S296" s="858"/>
      <c r="T296" s="858"/>
      <c r="U296" s="858"/>
      <c r="V296" s="858"/>
      <c r="W296" s="858"/>
      <c r="X296" s="858"/>
      <c r="Y296" s="858"/>
      <c r="Z296" s="858"/>
      <c r="AA296" s="858"/>
      <c r="AB296" s="858"/>
      <c r="AC296" s="858"/>
      <c r="AD296" s="858"/>
      <c r="AE296" s="858"/>
      <c r="AF296" s="858"/>
      <c r="AG296" s="858"/>
      <c r="AH296" s="858"/>
      <c r="AI296" s="858"/>
      <c r="AJ296" s="858"/>
    </row>
    <row r="297" ht="15.75" customHeight="1">
      <c r="A297" s="342">
        <v>334.0</v>
      </c>
      <c r="B297" s="875"/>
      <c r="C297" s="875"/>
      <c r="D297" s="876" t="s">
        <v>20217</v>
      </c>
      <c r="E297" s="345" t="s">
        <v>13047</v>
      </c>
      <c r="F297" s="345" t="s">
        <v>29</v>
      </c>
      <c r="G297" s="875" t="s">
        <v>30</v>
      </c>
      <c r="H297" s="433"/>
      <c r="I297" s="875" t="s">
        <v>30</v>
      </c>
      <c r="J297" s="875"/>
      <c r="K297" s="875"/>
      <c r="L297" s="875" t="s">
        <v>20218</v>
      </c>
      <c r="M297" s="875" t="s">
        <v>2451</v>
      </c>
      <c r="N297" s="875">
        <v>2001.0</v>
      </c>
      <c r="O297" s="875" t="s">
        <v>388</v>
      </c>
      <c r="P297" s="875">
        <v>1.0</v>
      </c>
      <c r="Q297" s="874">
        <v>1.0</v>
      </c>
      <c r="R297" s="863"/>
      <c r="S297" s="858"/>
      <c r="T297" s="858"/>
      <c r="U297" s="858"/>
      <c r="V297" s="858"/>
      <c r="W297" s="858"/>
      <c r="X297" s="858"/>
      <c r="Y297" s="858"/>
      <c r="Z297" s="858"/>
      <c r="AA297" s="858"/>
      <c r="AB297" s="858"/>
      <c r="AC297" s="858"/>
      <c r="AD297" s="858"/>
      <c r="AE297" s="858"/>
      <c r="AF297" s="858"/>
      <c r="AG297" s="858"/>
      <c r="AH297" s="858"/>
      <c r="AI297" s="858"/>
      <c r="AJ297" s="858"/>
    </row>
    <row r="298" ht="15.75" customHeight="1">
      <c r="A298" s="342">
        <v>335.0</v>
      </c>
      <c r="B298" s="875"/>
      <c r="C298" s="875"/>
      <c r="D298" s="876" t="s">
        <v>20219</v>
      </c>
      <c r="E298" s="345" t="s">
        <v>13047</v>
      </c>
      <c r="F298" s="345" t="s">
        <v>29</v>
      </c>
      <c r="G298" s="875" t="s">
        <v>30</v>
      </c>
      <c r="H298" s="433"/>
      <c r="I298" s="880" t="s">
        <v>30</v>
      </c>
      <c r="J298" s="875"/>
      <c r="K298" s="875"/>
      <c r="L298" s="875" t="s">
        <v>20220</v>
      </c>
      <c r="M298" s="875" t="s">
        <v>20221</v>
      </c>
      <c r="N298" s="875">
        <v>2002.0</v>
      </c>
      <c r="O298" s="875" t="s">
        <v>388</v>
      </c>
      <c r="P298" s="875">
        <v>1.0</v>
      </c>
      <c r="Q298" s="874">
        <v>1.0</v>
      </c>
      <c r="R298" s="863"/>
      <c r="S298" s="858"/>
      <c r="T298" s="858"/>
      <c r="U298" s="858"/>
      <c r="V298" s="858"/>
      <c r="W298" s="858"/>
      <c r="X298" s="858"/>
      <c r="Y298" s="858"/>
      <c r="Z298" s="858"/>
      <c r="AA298" s="858"/>
      <c r="AB298" s="858"/>
      <c r="AC298" s="858"/>
      <c r="AD298" s="858"/>
      <c r="AE298" s="858"/>
      <c r="AF298" s="858"/>
      <c r="AG298" s="858"/>
      <c r="AH298" s="858"/>
      <c r="AI298" s="858"/>
      <c r="AJ298" s="858"/>
    </row>
    <row r="299" ht="101.25" customHeight="1">
      <c r="A299" s="342">
        <v>336.0</v>
      </c>
      <c r="B299" s="875"/>
      <c r="C299" s="875"/>
      <c r="D299" s="876" t="s">
        <v>20219</v>
      </c>
      <c r="E299" s="345" t="s">
        <v>13047</v>
      </c>
      <c r="F299" s="345" t="s">
        <v>29</v>
      </c>
      <c r="G299" s="880" t="s">
        <v>30</v>
      </c>
      <c r="H299" s="433"/>
      <c r="I299" s="875" t="s">
        <v>30</v>
      </c>
      <c r="J299" s="875"/>
      <c r="K299" s="875"/>
      <c r="L299" s="875" t="s">
        <v>20222</v>
      </c>
      <c r="M299" s="875" t="s">
        <v>20221</v>
      </c>
      <c r="N299" s="875">
        <v>2006.0</v>
      </c>
      <c r="O299" s="875" t="s">
        <v>388</v>
      </c>
      <c r="P299" s="875">
        <v>1.0</v>
      </c>
      <c r="Q299" s="874">
        <v>1.0</v>
      </c>
      <c r="R299" s="863"/>
      <c r="S299" s="858"/>
      <c r="T299" s="858"/>
      <c r="U299" s="858"/>
      <c r="V299" s="858"/>
      <c r="W299" s="858"/>
      <c r="X299" s="858"/>
      <c r="Y299" s="858"/>
      <c r="Z299" s="858"/>
      <c r="AA299" s="858"/>
      <c r="AB299" s="858"/>
      <c r="AC299" s="858"/>
      <c r="AD299" s="858"/>
      <c r="AE299" s="858"/>
      <c r="AF299" s="858"/>
      <c r="AG299" s="858"/>
      <c r="AH299" s="858"/>
      <c r="AI299" s="858"/>
      <c r="AJ299" s="858"/>
    </row>
    <row r="300" ht="221.25" customHeight="1">
      <c r="A300" s="342">
        <v>337.0</v>
      </c>
      <c r="B300" s="875"/>
      <c r="C300" s="875"/>
      <c r="D300" s="876" t="s">
        <v>20223</v>
      </c>
      <c r="E300" s="345" t="s">
        <v>13047</v>
      </c>
      <c r="F300" s="345" t="s">
        <v>29</v>
      </c>
      <c r="G300" s="875" t="s">
        <v>30</v>
      </c>
      <c r="H300" s="433"/>
      <c r="I300" s="875" t="s">
        <v>30</v>
      </c>
      <c r="J300" s="875"/>
      <c r="K300" s="875" t="s">
        <v>20224</v>
      </c>
      <c r="L300" s="875" t="s">
        <v>20225</v>
      </c>
      <c r="M300" s="875" t="s">
        <v>20226</v>
      </c>
      <c r="N300" s="875">
        <v>2009.0</v>
      </c>
      <c r="O300" s="875" t="s">
        <v>388</v>
      </c>
      <c r="P300" s="875">
        <v>1.0</v>
      </c>
      <c r="Q300" s="874">
        <v>1.0</v>
      </c>
      <c r="R300" s="863"/>
      <c r="S300" s="858"/>
      <c r="T300" s="858"/>
      <c r="U300" s="858"/>
      <c r="V300" s="858"/>
      <c r="W300" s="858"/>
      <c r="X300" s="858"/>
      <c r="Y300" s="858"/>
      <c r="Z300" s="858"/>
      <c r="AA300" s="858"/>
      <c r="AB300" s="858"/>
      <c r="AC300" s="858"/>
      <c r="AD300" s="858"/>
      <c r="AE300" s="858"/>
      <c r="AF300" s="858"/>
      <c r="AG300" s="858"/>
      <c r="AH300" s="858"/>
      <c r="AI300" s="858"/>
      <c r="AJ300" s="858"/>
    </row>
    <row r="301" ht="15.75" customHeight="1">
      <c r="A301" s="342">
        <v>338.0</v>
      </c>
      <c r="B301" s="875"/>
      <c r="C301" s="875"/>
      <c r="D301" s="876" t="s">
        <v>20227</v>
      </c>
      <c r="E301" s="345" t="s">
        <v>13047</v>
      </c>
      <c r="F301" s="345" t="s">
        <v>29</v>
      </c>
      <c r="G301" s="875" t="s">
        <v>30</v>
      </c>
      <c r="H301" s="433"/>
      <c r="I301" s="875" t="s">
        <v>30</v>
      </c>
      <c r="J301" s="875"/>
      <c r="K301" s="875" t="s">
        <v>20228</v>
      </c>
      <c r="L301" s="875" t="s">
        <v>20229</v>
      </c>
      <c r="M301" s="875" t="s">
        <v>20025</v>
      </c>
      <c r="N301" s="875">
        <v>2011.0</v>
      </c>
      <c r="O301" s="875" t="s">
        <v>388</v>
      </c>
      <c r="P301" s="875">
        <v>1.0</v>
      </c>
      <c r="Q301" s="874">
        <v>1.0</v>
      </c>
      <c r="R301" s="863"/>
      <c r="S301" s="858"/>
      <c r="T301" s="858"/>
      <c r="U301" s="858"/>
      <c r="V301" s="858"/>
      <c r="W301" s="858"/>
      <c r="X301" s="858"/>
      <c r="Y301" s="858"/>
      <c r="Z301" s="858"/>
      <c r="AA301" s="858"/>
      <c r="AB301" s="858"/>
      <c r="AC301" s="858"/>
      <c r="AD301" s="858"/>
      <c r="AE301" s="858"/>
      <c r="AF301" s="858"/>
      <c r="AG301" s="858"/>
      <c r="AH301" s="858"/>
      <c r="AI301" s="858"/>
      <c r="AJ301" s="858"/>
    </row>
    <row r="302" ht="15.75" customHeight="1">
      <c r="A302" s="342">
        <v>339.0</v>
      </c>
      <c r="B302" s="875"/>
      <c r="C302" s="875"/>
      <c r="D302" s="876" t="s">
        <v>20230</v>
      </c>
      <c r="E302" s="345" t="s">
        <v>13047</v>
      </c>
      <c r="F302" s="345" t="s">
        <v>29</v>
      </c>
      <c r="G302" s="875" t="s">
        <v>30</v>
      </c>
      <c r="H302" s="433"/>
      <c r="I302" s="875" t="s">
        <v>38</v>
      </c>
      <c r="J302" s="875"/>
      <c r="K302" s="875"/>
      <c r="L302" s="875" t="s">
        <v>20231</v>
      </c>
      <c r="M302" s="875" t="s">
        <v>20025</v>
      </c>
      <c r="N302" s="875">
        <v>2012.0</v>
      </c>
      <c r="O302" s="875" t="s">
        <v>388</v>
      </c>
      <c r="P302" s="875">
        <v>1.0</v>
      </c>
      <c r="Q302" s="874">
        <v>1.0</v>
      </c>
      <c r="R302" s="863"/>
      <c r="S302" s="858"/>
      <c r="T302" s="858"/>
      <c r="U302" s="858"/>
      <c r="V302" s="858"/>
      <c r="W302" s="858"/>
      <c r="X302" s="858"/>
      <c r="Y302" s="858"/>
      <c r="Z302" s="858"/>
      <c r="AA302" s="858"/>
      <c r="AB302" s="858"/>
      <c r="AC302" s="858"/>
      <c r="AD302" s="858"/>
      <c r="AE302" s="858"/>
      <c r="AF302" s="858"/>
      <c r="AG302" s="858"/>
      <c r="AH302" s="858"/>
      <c r="AI302" s="858"/>
      <c r="AJ302" s="858"/>
    </row>
    <row r="303" ht="15.75" customHeight="1">
      <c r="A303" s="342">
        <v>340.0</v>
      </c>
      <c r="B303" s="875"/>
      <c r="C303" s="875"/>
      <c r="D303" s="876" t="s">
        <v>20232</v>
      </c>
      <c r="E303" s="345" t="s">
        <v>13047</v>
      </c>
      <c r="F303" s="345" t="s">
        <v>29</v>
      </c>
      <c r="G303" s="875" t="s">
        <v>30</v>
      </c>
      <c r="H303" s="433"/>
      <c r="I303" s="875" t="s">
        <v>38</v>
      </c>
      <c r="J303" s="875"/>
      <c r="K303" s="875"/>
      <c r="L303" s="875" t="s">
        <v>20233</v>
      </c>
      <c r="M303" s="875" t="s">
        <v>20025</v>
      </c>
      <c r="N303" s="875">
        <v>2013.0</v>
      </c>
      <c r="O303" s="875" t="s">
        <v>388</v>
      </c>
      <c r="P303" s="875">
        <v>1.0</v>
      </c>
      <c r="Q303" s="874">
        <v>1.0</v>
      </c>
      <c r="R303" s="863"/>
      <c r="S303" s="858"/>
      <c r="T303" s="858"/>
      <c r="U303" s="858"/>
      <c r="V303" s="858"/>
      <c r="W303" s="858"/>
      <c r="X303" s="858"/>
      <c r="Y303" s="858"/>
      <c r="Z303" s="858"/>
      <c r="AA303" s="858"/>
      <c r="AB303" s="858"/>
      <c r="AC303" s="858"/>
      <c r="AD303" s="858"/>
      <c r="AE303" s="858"/>
      <c r="AF303" s="858"/>
      <c r="AG303" s="858"/>
      <c r="AH303" s="858"/>
      <c r="AI303" s="858"/>
      <c r="AJ303" s="858"/>
    </row>
    <row r="304" ht="15.75" customHeight="1">
      <c r="A304" s="342">
        <v>341.0</v>
      </c>
      <c r="B304" s="875"/>
      <c r="C304" s="875"/>
      <c r="D304" s="876" t="s">
        <v>20234</v>
      </c>
      <c r="E304" s="345" t="s">
        <v>13047</v>
      </c>
      <c r="F304" s="345" t="s">
        <v>29</v>
      </c>
      <c r="G304" s="875" t="s">
        <v>30</v>
      </c>
      <c r="H304" s="433"/>
      <c r="I304" s="875" t="s">
        <v>30</v>
      </c>
      <c r="J304" s="875"/>
      <c r="K304" s="875"/>
      <c r="L304" s="875" t="s">
        <v>20235</v>
      </c>
      <c r="M304" s="875" t="s">
        <v>20236</v>
      </c>
      <c r="N304" s="875">
        <v>2010.0</v>
      </c>
      <c r="O304" s="875" t="s">
        <v>388</v>
      </c>
      <c r="P304" s="875">
        <v>2.0</v>
      </c>
      <c r="Q304" s="874">
        <v>1.0</v>
      </c>
      <c r="R304" s="863"/>
      <c r="S304" s="858"/>
      <c r="T304" s="858"/>
      <c r="U304" s="858"/>
      <c r="V304" s="858"/>
      <c r="W304" s="858"/>
      <c r="X304" s="858"/>
      <c r="Y304" s="858"/>
      <c r="Z304" s="858"/>
      <c r="AA304" s="858"/>
      <c r="AB304" s="858"/>
      <c r="AC304" s="858"/>
      <c r="AD304" s="858"/>
      <c r="AE304" s="858"/>
      <c r="AF304" s="858"/>
      <c r="AG304" s="858"/>
      <c r="AH304" s="858"/>
      <c r="AI304" s="858"/>
      <c r="AJ304" s="858"/>
    </row>
    <row r="305" ht="78.0" customHeight="1">
      <c r="A305" s="342">
        <v>342.0</v>
      </c>
      <c r="B305" s="875"/>
      <c r="C305" s="875"/>
      <c r="D305" s="876" t="s">
        <v>20237</v>
      </c>
      <c r="E305" s="345" t="s">
        <v>13047</v>
      </c>
      <c r="F305" s="345" t="s">
        <v>29</v>
      </c>
      <c r="G305" s="875" t="s">
        <v>30</v>
      </c>
      <c r="H305" s="433"/>
      <c r="I305" s="875" t="s">
        <v>30</v>
      </c>
      <c r="J305" s="875"/>
      <c r="K305" s="875"/>
      <c r="L305" s="875" t="s">
        <v>20238</v>
      </c>
      <c r="M305" s="875" t="s">
        <v>20236</v>
      </c>
      <c r="N305" s="875">
        <v>2010.0</v>
      </c>
      <c r="O305" s="875" t="s">
        <v>388</v>
      </c>
      <c r="P305" s="875">
        <v>2.0</v>
      </c>
      <c r="Q305" s="874">
        <v>1.0</v>
      </c>
      <c r="R305" s="863"/>
      <c r="S305" s="858"/>
      <c r="T305" s="858"/>
      <c r="U305" s="858"/>
      <c r="V305" s="858"/>
      <c r="W305" s="858"/>
      <c r="X305" s="858"/>
      <c r="Y305" s="858"/>
      <c r="Z305" s="858"/>
      <c r="AA305" s="858"/>
      <c r="AB305" s="858"/>
      <c r="AC305" s="858"/>
      <c r="AD305" s="858"/>
      <c r="AE305" s="858"/>
      <c r="AF305" s="858"/>
      <c r="AG305" s="858"/>
      <c r="AH305" s="858"/>
      <c r="AI305" s="858"/>
      <c r="AJ305" s="858"/>
    </row>
    <row r="306" ht="15.75" customHeight="1">
      <c r="A306" s="342">
        <v>343.0</v>
      </c>
      <c r="B306" s="875"/>
      <c r="C306" s="875"/>
      <c r="D306" s="876" t="s">
        <v>20239</v>
      </c>
      <c r="E306" s="345" t="s">
        <v>13047</v>
      </c>
      <c r="F306" s="345" t="s">
        <v>29</v>
      </c>
      <c r="G306" s="875" t="s">
        <v>30</v>
      </c>
      <c r="H306" s="433"/>
      <c r="I306" s="875" t="s">
        <v>38</v>
      </c>
      <c r="J306" s="875"/>
      <c r="K306" s="875" t="s">
        <v>20240</v>
      </c>
      <c r="L306" s="875" t="s">
        <v>20241</v>
      </c>
      <c r="M306" s="875" t="s">
        <v>20236</v>
      </c>
      <c r="N306" s="875">
        <v>2007.0</v>
      </c>
      <c r="O306" s="875" t="s">
        <v>388</v>
      </c>
      <c r="P306" s="875">
        <v>1.0</v>
      </c>
      <c r="Q306" s="874">
        <v>1.0</v>
      </c>
      <c r="R306" s="863"/>
      <c r="S306" s="858"/>
      <c r="T306" s="858"/>
      <c r="U306" s="858"/>
      <c r="V306" s="858"/>
      <c r="W306" s="858"/>
      <c r="X306" s="858"/>
      <c r="Y306" s="858"/>
      <c r="Z306" s="858"/>
      <c r="AA306" s="858"/>
      <c r="AB306" s="858"/>
      <c r="AC306" s="858"/>
      <c r="AD306" s="858"/>
      <c r="AE306" s="858"/>
      <c r="AF306" s="858"/>
      <c r="AG306" s="858"/>
      <c r="AH306" s="858"/>
      <c r="AI306" s="858"/>
      <c r="AJ306" s="858"/>
    </row>
    <row r="307" ht="15.75" customHeight="1">
      <c r="A307" s="342">
        <v>344.0</v>
      </c>
      <c r="B307" s="875"/>
      <c r="C307" s="875"/>
      <c r="D307" s="876" t="s">
        <v>20242</v>
      </c>
      <c r="E307" s="345" t="s">
        <v>13047</v>
      </c>
      <c r="F307" s="345" t="s">
        <v>29</v>
      </c>
      <c r="G307" s="875" t="s">
        <v>30</v>
      </c>
      <c r="H307" s="433"/>
      <c r="I307" s="875" t="s">
        <v>30</v>
      </c>
      <c r="J307" s="875"/>
      <c r="K307" s="875"/>
      <c r="L307" s="875" t="s">
        <v>20243</v>
      </c>
      <c r="M307" s="875" t="s">
        <v>20236</v>
      </c>
      <c r="N307" s="875">
        <v>2009.0</v>
      </c>
      <c r="O307" s="875" t="s">
        <v>388</v>
      </c>
      <c r="P307" s="875">
        <v>2.0</v>
      </c>
      <c r="Q307" s="874">
        <v>1.0</v>
      </c>
      <c r="R307" s="863"/>
      <c r="S307" s="858"/>
      <c r="T307" s="858"/>
      <c r="U307" s="858"/>
      <c r="V307" s="858"/>
      <c r="W307" s="858"/>
      <c r="X307" s="858"/>
      <c r="Y307" s="858"/>
      <c r="Z307" s="858"/>
      <c r="AA307" s="858"/>
      <c r="AB307" s="858"/>
      <c r="AC307" s="858"/>
      <c r="AD307" s="858"/>
      <c r="AE307" s="858"/>
      <c r="AF307" s="858"/>
      <c r="AG307" s="858"/>
      <c r="AH307" s="858"/>
      <c r="AI307" s="858"/>
      <c r="AJ307" s="858"/>
    </row>
    <row r="308" ht="15.75" customHeight="1">
      <c r="A308" s="342">
        <v>345.0</v>
      </c>
      <c r="B308" s="875"/>
      <c r="C308" s="875"/>
      <c r="D308" s="876" t="s">
        <v>20244</v>
      </c>
      <c r="E308" s="345" t="s">
        <v>13047</v>
      </c>
      <c r="F308" s="345" t="s">
        <v>29</v>
      </c>
      <c r="G308" s="875" t="s">
        <v>30</v>
      </c>
      <c r="H308" s="433"/>
      <c r="I308" s="875" t="s">
        <v>30</v>
      </c>
      <c r="J308" s="875"/>
      <c r="K308" s="875"/>
      <c r="L308" s="875" t="s">
        <v>20245</v>
      </c>
      <c r="M308" s="875" t="s">
        <v>20246</v>
      </c>
      <c r="N308" s="875">
        <v>2002.0</v>
      </c>
      <c r="O308" s="875" t="s">
        <v>388</v>
      </c>
      <c r="P308" s="875">
        <v>1.0</v>
      </c>
      <c r="Q308" s="874">
        <v>1.0</v>
      </c>
      <c r="R308" s="863"/>
      <c r="S308" s="858"/>
      <c r="T308" s="858"/>
      <c r="U308" s="858"/>
      <c r="V308" s="858"/>
      <c r="W308" s="858"/>
      <c r="X308" s="858"/>
      <c r="Y308" s="858"/>
      <c r="Z308" s="858"/>
      <c r="AA308" s="858"/>
      <c r="AB308" s="858"/>
      <c r="AC308" s="858"/>
      <c r="AD308" s="858"/>
      <c r="AE308" s="858"/>
      <c r="AF308" s="858"/>
      <c r="AG308" s="858"/>
      <c r="AH308" s="858"/>
      <c r="AI308" s="858"/>
      <c r="AJ308" s="858"/>
    </row>
    <row r="309" ht="15.75" customHeight="1">
      <c r="A309" s="342">
        <v>346.0</v>
      </c>
      <c r="B309" s="875"/>
      <c r="C309" s="875"/>
      <c r="D309" s="876" t="s">
        <v>20247</v>
      </c>
      <c r="E309" s="345" t="s">
        <v>13047</v>
      </c>
      <c r="F309" s="345" t="s">
        <v>29</v>
      </c>
      <c r="G309" s="875" t="s">
        <v>30</v>
      </c>
      <c r="H309" s="433"/>
      <c r="I309" s="875" t="s">
        <v>30</v>
      </c>
      <c r="J309" s="875"/>
      <c r="K309" s="875"/>
      <c r="L309" s="875" t="s">
        <v>20248</v>
      </c>
      <c r="M309" s="875" t="s">
        <v>20249</v>
      </c>
      <c r="N309" s="875">
        <v>2001.0</v>
      </c>
      <c r="O309" s="875" t="s">
        <v>388</v>
      </c>
      <c r="P309" s="875">
        <v>1.0</v>
      </c>
      <c r="Q309" s="874">
        <v>1.0</v>
      </c>
      <c r="R309" s="863"/>
      <c r="S309" s="858"/>
      <c r="T309" s="858"/>
      <c r="U309" s="858"/>
      <c r="V309" s="858"/>
      <c r="W309" s="858"/>
      <c r="X309" s="858"/>
      <c r="Y309" s="858"/>
      <c r="Z309" s="858"/>
      <c r="AA309" s="858"/>
      <c r="AB309" s="858"/>
      <c r="AC309" s="858"/>
      <c r="AD309" s="858"/>
      <c r="AE309" s="858"/>
      <c r="AF309" s="858"/>
      <c r="AG309" s="858"/>
      <c r="AH309" s="858"/>
      <c r="AI309" s="858"/>
      <c r="AJ309" s="858"/>
    </row>
    <row r="310" ht="15.75" customHeight="1">
      <c r="A310" s="342">
        <v>347.0</v>
      </c>
      <c r="B310" s="875"/>
      <c r="C310" s="875"/>
      <c r="D310" s="876" t="s">
        <v>20250</v>
      </c>
      <c r="E310" s="345" t="s">
        <v>13047</v>
      </c>
      <c r="F310" s="345" t="s">
        <v>29</v>
      </c>
      <c r="G310" s="875" t="s">
        <v>30</v>
      </c>
      <c r="H310" s="433"/>
      <c r="I310" s="875" t="s">
        <v>30</v>
      </c>
      <c r="J310" s="875"/>
      <c r="K310" s="875" t="s">
        <v>20251</v>
      </c>
      <c r="L310" s="875" t="s">
        <v>20252</v>
      </c>
      <c r="M310" s="875" t="s">
        <v>2451</v>
      </c>
      <c r="N310" s="875">
        <v>2002.0</v>
      </c>
      <c r="O310" s="875" t="s">
        <v>388</v>
      </c>
      <c r="P310" s="875">
        <v>1.0</v>
      </c>
      <c r="Q310" s="874">
        <v>1.0</v>
      </c>
      <c r="R310" s="863"/>
      <c r="S310" s="858"/>
      <c r="T310" s="858"/>
      <c r="U310" s="858"/>
      <c r="V310" s="858"/>
      <c r="W310" s="858"/>
      <c r="X310" s="858"/>
      <c r="Y310" s="858"/>
      <c r="Z310" s="858"/>
      <c r="AA310" s="858"/>
      <c r="AB310" s="858"/>
      <c r="AC310" s="858"/>
      <c r="AD310" s="858"/>
      <c r="AE310" s="858"/>
      <c r="AF310" s="858"/>
      <c r="AG310" s="858"/>
      <c r="AH310" s="858"/>
      <c r="AI310" s="858"/>
      <c r="AJ310" s="858"/>
    </row>
    <row r="311" ht="15.75" customHeight="1">
      <c r="A311" s="342">
        <v>348.0</v>
      </c>
      <c r="B311" s="875"/>
      <c r="C311" s="875"/>
      <c r="D311" s="876" t="s">
        <v>20253</v>
      </c>
      <c r="E311" s="345" t="s">
        <v>13047</v>
      </c>
      <c r="F311" s="345" t="s">
        <v>29</v>
      </c>
      <c r="G311" s="875" t="s">
        <v>30</v>
      </c>
      <c r="H311" s="433"/>
      <c r="I311" s="875" t="s">
        <v>38</v>
      </c>
      <c r="J311" s="875"/>
      <c r="K311" s="875"/>
      <c r="L311" s="875" t="s">
        <v>20254</v>
      </c>
      <c r="M311" s="875" t="s">
        <v>20255</v>
      </c>
      <c r="N311" s="875">
        <v>2004.0</v>
      </c>
      <c r="O311" s="875" t="s">
        <v>388</v>
      </c>
      <c r="P311" s="875">
        <v>1.0</v>
      </c>
      <c r="Q311" s="874">
        <v>1.0</v>
      </c>
      <c r="R311" s="863"/>
      <c r="S311" s="858"/>
      <c r="T311" s="858"/>
      <c r="U311" s="858"/>
      <c r="V311" s="858"/>
      <c r="W311" s="858"/>
      <c r="X311" s="858"/>
      <c r="Y311" s="858"/>
      <c r="Z311" s="858"/>
      <c r="AA311" s="858"/>
      <c r="AB311" s="858"/>
      <c r="AC311" s="858"/>
      <c r="AD311" s="858"/>
      <c r="AE311" s="858"/>
      <c r="AF311" s="858"/>
      <c r="AG311" s="858"/>
      <c r="AH311" s="858"/>
      <c r="AI311" s="858"/>
      <c r="AJ311" s="858"/>
    </row>
    <row r="312" ht="15.75" customHeight="1">
      <c r="A312" s="342">
        <v>349.0</v>
      </c>
      <c r="B312" s="871"/>
      <c r="C312" s="871"/>
      <c r="D312" s="873" t="s">
        <v>20256</v>
      </c>
      <c r="E312" s="345" t="s">
        <v>13047</v>
      </c>
      <c r="F312" s="345" t="s">
        <v>29</v>
      </c>
      <c r="G312" s="871" t="s">
        <v>30</v>
      </c>
      <c r="H312" s="322"/>
      <c r="I312" s="871" t="s">
        <v>38</v>
      </c>
      <c r="J312" s="871"/>
      <c r="K312" s="871"/>
      <c r="L312" s="871" t="s">
        <v>20257</v>
      </c>
      <c r="M312" s="871" t="s">
        <v>20255</v>
      </c>
      <c r="N312" s="871">
        <v>2006.0</v>
      </c>
      <c r="O312" s="875" t="s">
        <v>388</v>
      </c>
      <c r="P312" s="871">
        <v>1.0</v>
      </c>
      <c r="Q312" s="874">
        <v>1.0</v>
      </c>
      <c r="R312" s="887"/>
      <c r="S312" s="888"/>
      <c r="T312" s="888"/>
      <c r="U312" s="888"/>
      <c r="V312" s="888"/>
      <c r="W312" s="888"/>
      <c r="X312" s="888"/>
      <c r="Y312" s="888"/>
      <c r="Z312" s="888"/>
      <c r="AA312" s="888"/>
      <c r="AB312" s="888"/>
      <c r="AC312" s="888"/>
      <c r="AD312" s="888"/>
      <c r="AE312" s="888"/>
      <c r="AF312" s="888"/>
      <c r="AG312" s="888"/>
      <c r="AH312" s="888"/>
      <c r="AI312" s="888"/>
      <c r="AJ312" s="888"/>
    </row>
    <row r="313" ht="15.75" customHeight="1">
      <c r="A313" s="342">
        <v>350.0</v>
      </c>
      <c r="B313" s="882"/>
      <c r="C313" s="875"/>
      <c r="D313" s="876" t="s">
        <v>20258</v>
      </c>
      <c r="E313" s="345" t="s">
        <v>13047</v>
      </c>
      <c r="F313" s="345" t="s">
        <v>29</v>
      </c>
      <c r="G313" s="875" t="s">
        <v>30</v>
      </c>
      <c r="H313" s="538"/>
      <c r="I313" s="875" t="s">
        <v>38</v>
      </c>
      <c r="J313" s="882"/>
      <c r="K313" s="875" t="s">
        <v>20259</v>
      </c>
      <c r="L313" s="2"/>
      <c r="M313" s="875" t="s">
        <v>20260</v>
      </c>
      <c r="N313" s="875">
        <v>2010.0</v>
      </c>
      <c r="O313" s="875" t="s">
        <v>388</v>
      </c>
      <c r="P313" s="875">
        <v>1.0</v>
      </c>
      <c r="Q313" s="874">
        <v>1.0</v>
      </c>
      <c r="R313" s="863"/>
      <c r="S313" s="858"/>
      <c r="T313" s="858"/>
      <c r="U313" s="858"/>
      <c r="V313" s="858"/>
      <c r="W313" s="858"/>
      <c r="X313" s="858"/>
      <c r="Y313" s="858"/>
      <c r="Z313" s="858"/>
      <c r="AA313" s="858"/>
      <c r="AB313" s="858"/>
      <c r="AC313" s="858"/>
      <c r="AD313" s="858"/>
      <c r="AE313" s="858"/>
      <c r="AF313" s="858"/>
      <c r="AG313" s="858"/>
      <c r="AH313" s="858"/>
      <c r="AI313" s="858"/>
      <c r="AJ313" s="858"/>
    </row>
    <row r="314" ht="15.75" customHeight="1">
      <c r="A314" s="342">
        <v>351.0</v>
      </c>
      <c r="B314" s="875"/>
      <c r="C314" s="875"/>
      <c r="D314" s="876" t="s">
        <v>20261</v>
      </c>
      <c r="E314" s="345" t="s">
        <v>13047</v>
      </c>
      <c r="F314" s="345" t="s">
        <v>29</v>
      </c>
      <c r="G314" s="875"/>
      <c r="H314" s="433"/>
      <c r="I314" s="875" t="s">
        <v>38</v>
      </c>
      <c r="J314" s="875">
        <v>138.0</v>
      </c>
      <c r="K314" s="875" t="s">
        <v>13582</v>
      </c>
      <c r="L314" s="875"/>
      <c r="M314" s="875"/>
      <c r="N314" s="875">
        <v>2010.0</v>
      </c>
      <c r="O314" s="875" t="s">
        <v>388</v>
      </c>
      <c r="P314" s="875">
        <v>1.0</v>
      </c>
      <c r="Q314" s="874">
        <v>1.0</v>
      </c>
      <c r="R314" s="863"/>
      <c r="S314" s="858"/>
      <c r="T314" s="858"/>
      <c r="U314" s="858"/>
      <c r="V314" s="858"/>
      <c r="W314" s="858"/>
      <c r="X314" s="858"/>
      <c r="Y314" s="858"/>
      <c r="Z314" s="858"/>
      <c r="AA314" s="858"/>
      <c r="AB314" s="858"/>
      <c r="AC314" s="858"/>
      <c r="AD314" s="858"/>
      <c r="AE314" s="858"/>
      <c r="AF314" s="858"/>
      <c r="AG314" s="858"/>
      <c r="AH314" s="858"/>
      <c r="AI314" s="858"/>
      <c r="AJ314" s="858"/>
    </row>
    <row r="315" ht="15.75" customHeight="1">
      <c r="A315" s="342">
        <v>352.0</v>
      </c>
      <c r="B315" s="875"/>
      <c r="C315" s="875"/>
      <c r="D315" s="876" t="s">
        <v>20262</v>
      </c>
      <c r="E315" s="345" t="s">
        <v>13047</v>
      </c>
      <c r="F315" s="345" t="s">
        <v>29</v>
      </c>
      <c r="G315" s="875"/>
      <c r="H315" s="433"/>
      <c r="I315" s="875" t="s">
        <v>38</v>
      </c>
      <c r="J315" s="875">
        <v>152.0</v>
      </c>
      <c r="K315" s="875" t="s">
        <v>13582</v>
      </c>
      <c r="L315" s="875"/>
      <c r="M315" s="875"/>
      <c r="N315" s="875">
        <v>2011.0</v>
      </c>
      <c r="O315" s="875" t="s">
        <v>388</v>
      </c>
      <c r="P315" s="875">
        <v>1.0</v>
      </c>
      <c r="Q315" s="874">
        <v>1.0</v>
      </c>
      <c r="R315" s="863"/>
      <c r="S315" s="858"/>
      <c r="T315" s="858"/>
      <c r="U315" s="858"/>
      <c r="V315" s="858"/>
      <c r="W315" s="858"/>
      <c r="X315" s="858"/>
      <c r="Y315" s="858"/>
      <c r="Z315" s="858"/>
      <c r="AA315" s="858"/>
      <c r="AB315" s="858"/>
      <c r="AC315" s="858"/>
      <c r="AD315" s="858"/>
      <c r="AE315" s="858"/>
      <c r="AF315" s="858"/>
      <c r="AG315" s="858"/>
      <c r="AH315" s="858"/>
      <c r="AI315" s="858"/>
      <c r="AJ315" s="858"/>
    </row>
    <row r="316" ht="15.75" customHeight="1">
      <c r="A316" s="342">
        <v>353.0</v>
      </c>
      <c r="B316" s="875"/>
      <c r="C316" s="875"/>
      <c r="D316" s="876" t="s">
        <v>20263</v>
      </c>
      <c r="E316" s="345" t="s">
        <v>13047</v>
      </c>
      <c r="F316" s="345" t="s">
        <v>29</v>
      </c>
      <c r="G316" s="875"/>
      <c r="H316" s="433"/>
      <c r="I316" s="875" t="s">
        <v>38</v>
      </c>
      <c r="J316" s="875">
        <v>131.0</v>
      </c>
      <c r="K316" s="875" t="s">
        <v>13582</v>
      </c>
      <c r="L316" s="875"/>
      <c r="M316" s="875"/>
      <c r="N316" s="875">
        <v>2013.0</v>
      </c>
      <c r="O316" s="875" t="s">
        <v>388</v>
      </c>
      <c r="P316" s="875">
        <v>3.0</v>
      </c>
      <c r="Q316" s="874">
        <v>1.0</v>
      </c>
      <c r="R316" s="863"/>
      <c r="S316" s="858"/>
      <c r="T316" s="858"/>
      <c r="U316" s="858"/>
      <c r="V316" s="858"/>
      <c r="W316" s="858"/>
      <c r="X316" s="858"/>
      <c r="Y316" s="858"/>
      <c r="Z316" s="858"/>
      <c r="AA316" s="858"/>
      <c r="AB316" s="858"/>
      <c r="AC316" s="858"/>
      <c r="AD316" s="858"/>
      <c r="AE316" s="858"/>
      <c r="AF316" s="858"/>
      <c r="AG316" s="858"/>
      <c r="AH316" s="858"/>
      <c r="AI316" s="858"/>
      <c r="AJ316" s="858"/>
    </row>
    <row r="317" ht="15.75" customHeight="1">
      <c r="A317" s="342">
        <v>354.0</v>
      </c>
      <c r="B317" s="875"/>
      <c r="C317" s="875"/>
      <c r="D317" s="876" t="s">
        <v>20264</v>
      </c>
      <c r="E317" s="345" t="s">
        <v>13047</v>
      </c>
      <c r="F317" s="345" t="s">
        <v>29</v>
      </c>
      <c r="G317" s="875" t="s">
        <v>30</v>
      </c>
      <c r="H317" s="433"/>
      <c r="I317" s="875" t="s">
        <v>30</v>
      </c>
      <c r="J317" s="875">
        <v>58.0</v>
      </c>
      <c r="K317" s="875" t="s">
        <v>20265</v>
      </c>
      <c r="L317" s="875" t="s">
        <v>20266</v>
      </c>
      <c r="M317" s="875" t="s">
        <v>20267</v>
      </c>
      <c r="N317" s="875">
        <v>2003.0</v>
      </c>
      <c r="O317" s="875" t="s">
        <v>388</v>
      </c>
      <c r="P317" s="875">
        <v>1.0</v>
      </c>
      <c r="Q317" s="874">
        <v>1.0</v>
      </c>
      <c r="R317" s="863"/>
      <c r="S317" s="858"/>
      <c r="T317" s="858"/>
      <c r="U317" s="858"/>
      <c r="V317" s="858"/>
      <c r="W317" s="858"/>
      <c r="X317" s="858"/>
      <c r="Y317" s="858"/>
      <c r="Z317" s="858"/>
      <c r="AA317" s="858"/>
      <c r="AB317" s="858"/>
      <c r="AC317" s="858"/>
      <c r="AD317" s="858"/>
      <c r="AE317" s="858"/>
      <c r="AF317" s="858"/>
      <c r="AG317" s="858"/>
      <c r="AH317" s="858"/>
      <c r="AI317" s="858"/>
      <c r="AJ317" s="858"/>
    </row>
    <row r="318" ht="15.75" customHeight="1">
      <c r="A318" s="342">
        <v>355.0</v>
      </c>
      <c r="B318" s="875"/>
      <c r="C318" s="875"/>
      <c r="D318" s="876" t="s">
        <v>20268</v>
      </c>
      <c r="E318" s="345" t="s">
        <v>13047</v>
      </c>
      <c r="F318" s="345" t="s">
        <v>29</v>
      </c>
      <c r="G318" s="875" t="s">
        <v>30</v>
      </c>
      <c r="H318" s="433"/>
      <c r="I318" s="875" t="s">
        <v>30</v>
      </c>
      <c r="J318" s="875">
        <v>72.0</v>
      </c>
      <c r="K318" s="875" t="s">
        <v>20265</v>
      </c>
      <c r="L318" s="875" t="s">
        <v>20269</v>
      </c>
      <c r="M318" s="875" t="s">
        <v>20270</v>
      </c>
      <c r="N318" s="875">
        <v>2002.0</v>
      </c>
      <c r="O318" s="875" t="s">
        <v>388</v>
      </c>
      <c r="P318" s="875">
        <v>1.0</v>
      </c>
      <c r="Q318" s="874">
        <v>1.0</v>
      </c>
      <c r="R318" s="863"/>
      <c r="S318" s="858"/>
      <c r="T318" s="858"/>
      <c r="U318" s="858"/>
      <c r="V318" s="858"/>
      <c r="W318" s="858"/>
      <c r="X318" s="858"/>
      <c r="Y318" s="858"/>
      <c r="Z318" s="858"/>
      <c r="AA318" s="858"/>
      <c r="AB318" s="858"/>
      <c r="AC318" s="858"/>
      <c r="AD318" s="858"/>
      <c r="AE318" s="858"/>
      <c r="AF318" s="858"/>
      <c r="AG318" s="858"/>
      <c r="AH318" s="858"/>
      <c r="AI318" s="858"/>
      <c r="AJ318" s="858"/>
    </row>
    <row r="319" ht="15.75" customHeight="1">
      <c r="A319" s="342">
        <v>356.0</v>
      </c>
      <c r="B319" s="875"/>
      <c r="C319" s="875"/>
      <c r="D319" s="876" t="s">
        <v>20271</v>
      </c>
      <c r="E319" s="345" t="s">
        <v>13047</v>
      </c>
      <c r="F319" s="345" t="s">
        <v>29</v>
      </c>
      <c r="G319" s="875" t="s">
        <v>30</v>
      </c>
      <c r="H319" s="433"/>
      <c r="I319" s="875" t="s">
        <v>30</v>
      </c>
      <c r="J319" s="875">
        <v>72.0</v>
      </c>
      <c r="K319" s="875" t="s">
        <v>13645</v>
      </c>
      <c r="L319" s="875" t="s">
        <v>20272</v>
      </c>
      <c r="M319" s="875" t="s">
        <v>20270</v>
      </c>
      <c r="N319" s="875">
        <v>2003.0</v>
      </c>
      <c r="O319" s="875" t="s">
        <v>388</v>
      </c>
      <c r="P319" s="875">
        <v>1.0</v>
      </c>
      <c r="Q319" s="874">
        <v>1.0</v>
      </c>
      <c r="R319" s="863"/>
      <c r="S319" s="858"/>
      <c r="T319" s="858"/>
      <c r="U319" s="858"/>
      <c r="V319" s="858"/>
      <c r="W319" s="858"/>
      <c r="X319" s="858"/>
      <c r="Y319" s="858"/>
      <c r="Z319" s="858"/>
      <c r="AA319" s="858"/>
      <c r="AB319" s="858"/>
      <c r="AC319" s="858"/>
      <c r="AD319" s="858"/>
      <c r="AE319" s="858"/>
      <c r="AF319" s="858"/>
      <c r="AG319" s="858"/>
      <c r="AH319" s="858"/>
      <c r="AI319" s="858"/>
      <c r="AJ319" s="858"/>
    </row>
    <row r="320" ht="15.75" customHeight="1">
      <c r="A320" s="342">
        <v>357.0</v>
      </c>
      <c r="B320" s="875"/>
      <c r="C320" s="875"/>
      <c r="D320" s="876" t="s">
        <v>20273</v>
      </c>
      <c r="E320" s="345" t="s">
        <v>13047</v>
      </c>
      <c r="F320" s="345" t="s">
        <v>29</v>
      </c>
      <c r="G320" s="875" t="s">
        <v>30</v>
      </c>
      <c r="H320" s="433"/>
      <c r="I320" s="875" t="s">
        <v>30</v>
      </c>
      <c r="J320" s="875">
        <v>51.0</v>
      </c>
      <c r="K320" s="875"/>
      <c r="L320" s="875" t="s">
        <v>20274</v>
      </c>
      <c r="M320" s="875" t="s">
        <v>20275</v>
      </c>
      <c r="N320" s="875">
        <v>2008.0</v>
      </c>
      <c r="O320" s="875" t="s">
        <v>388</v>
      </c>
      <c r="P320" s="875">
        <v>4.0</v>
      </c>
      <c r="Q320" s="874">
        <v>1.0</v>
      </c>
      <c r="R320" s="863"/>
      <c r="S320" s="858"/>
      <c r="T320" s="858"/>
      <c r="U320" s="858"/>
      <c r="V320" s="858"/>
      <c r="W320" s="858"/>
      <c r="X320" s="858"/>
      <c r="Y320" s="858"/>
      <c r="Z320" s="858"/>
      <c r="AA320" s="858"/>
      <c r="AB320" s="858"/>
      <c r="AC320" s="858"/>
      <c r="AD320" s="858"/>
      <c r="AE320" s="858"/>
      <c r="AF320" s="858"/>
      <c r="AG320" s="858"/>
      <c r="AH320" s="858"/>
      <c r="AI320" s="858"/>
      <c r="AJ320" s="858"/>
    </row>
    <row r="321" ht="15.75" customHeight="1">
      <c r="A321" s="342">
        <v>358.0</v>
      </c>
      <c r="B321" s="875"/>
      <c r="C321" s="875"/>
      <c r="D321" s="876" t="s">
        <v>20276</v>
      </c>
      <c r="E321" s="345" t="s">
        <v>13047</v>
      </c>
      <c r="F321" s="345" t="s">
        <v>29</v>
      </c>
      <c r="G321" s="875" t="s">
        <v>30</v>
      </c>
      <c r="H321" s="433"/>
      <c r="I321" s="875" t="s">
        <v>30</v>
      </c>
      <c r="J321" s="875">
        <v>172.0</v>
      </c>
      <c r="K321" s="875" t="s">
        <v>20277</v>
      </c>
      <c r="L321" s="875" t="s">
        <v>20278</v>
      </c>
      <c r="M321" s="875" t="s">
        <v>20270</v>
      </c>
      <c r="N321" s="875">
        <v>2011.0</v>
      </c>
      <c r="O321" s="875" t="s">
        <v>388</v>
      </c>
      <c r="P321" s="875">
        <v>1.0</v>
      </c>
      <c r="Q321" s="874">
        <v>1.0</v>
      </c>
      <c r="R321" s="863"/>
      <c r="S321" s="858"/>
      <c r="T321" s="858"/>
      <c r="U321" s="858"/>
      <c r="V321" s="858"/>
      <c r="W321" s="858"/>
      <c r="X321" s="858"/>
      <c r="Y321" s="858"/>
      <c r="Z321" s="858"/>
      <c r="AA321" s="858"/>
      <c r="AB321" s="858"/>
      <c r="AC321" s="858"/>
      <c r="AD321" s="858"/>
      <c r="AE321" s="858"/>
      <c r="AF321" s="858"/>
      <c r="AG321" s="858"/>
      <c r="AH321" s="858"/>
      <c r="AI321" s="858"/>
      <c r="AJ321" s="858"/>
    </row>
    <row r="322" ht="15.75" customHeight="1">
      <c r="A322" s="342">
        <v>359.0</v>
      </c>
      <c r="B322" s="875"/>
      <c r="C322" s="875"/>
      <c r="D322" s="876" t="s">
        <v>20279</v>
      </c>
      <c r="E322" s="345" t="s">
        <v>13047</v>
      </c>
      <c r="F322" s="345" t="s">
        <v>29</v>
      </c>
      <c r="G322" s="875" t="s">
        <v>30</v>
      </c>
      <c r="H322" s="433"/>
      <c r="I322" s="875" t="s">
        <v>30</v>
      </c>
      <c r="J322" s="875">
        <v>85.0</v>
      </c>
      <c r="K322" s="875" t="s">
        <v>20280</v>
      </c>
      <c r="L322" s="875" t="s">
        <v>20278</v>
      </c>
      <c r="M322" s="875" t="s">
        <v>20270</v>
      </c>
      <c r="N322" s="875">
        <v>2009.0</v>
      </c>
      <c r="O322" s="875" t="s">
        <v>388</v>
      </c>
      <c r="P322" s="875">
        <v>1.0</v>
      </c>
      <c r="Q322" s="874">
        <v>1.0</v>
      </c>
      <c r="R322" s="863"/>
      <c r="S322" s="858"/>
      <c r="T322" s="858"/>
      <c r="U322" s="858"/>
      <c r="V322" s="858"/>
      <c r="W322" s="858"/>
      <c r="X322" s="858"/>
      <c r="Y322" s="858"/>
      <c r="Z322" s="858"/>
      <c r="AA322" s="858"/>
      <c r="AB322" s="858"/>
      <c r="AC322" s="858"/>
      <c r="AD322" s="858"/>
      <c r="AE322" s="858"/>
      <c r="AF322" s="858"/>
      <c r="AG322" s="858"/>
      <c r="AH322" s="858"/>
      <c r="AI322" s="858"/>
      <c r="AJ322" s="858"/>
    </row>
    <row r="323" ht="15.75" customHeight="1">
      <c r="A323" s="342">
        <v>360.0</v>
      </c>
      <c r="B323" s="875"/>
      <c r="C323" s="875"/>
      <c r="D323" s="876" t="s">
        <v>20281</v>
      </c>
      <c r="E323" s="345" t="s">
        <v>13047</v>
      </c>
      <c r="F323" s="345" t="s">
        <v>29</v>
      </c>
      <c r="G323" s="875" t="s">
        <v>30</v>
      </c>
      <c r="H323" s="433"/>
      <c r="I323" s="875" t="s">
        <v>30</v>
      </c>
      <c r="J323" s="875">
        <v>39.0</v>
      </c>
      <c r="K323" s="875" t="s">
        <v>20282</v>
      </c>
      <c r="L323" s="875" t="s">
        <v>20283</v>
      </c>
      <c r="M323" s="875" t="s">
        <v>20284</v>
      </c>
      <c r="N323" s="875">
        <v>1979.0</v>
      </c>
      <c r="O323" s="875" t="s">
        <v>388</v>
      </c>
      <c r="P323" s="875">
        <v>1.0</v>
      </c>
      <c r="Q323" s="874">
        <v>1.0</v>
      </c>
      <c r="R323" s="863"/>
      <c r="S323" s="858"/>
      <c r="T323" s="858"/>
      <c r="U323" s="858"/>
      <c r="V323" s="858"/>
      <c r="W323" s="858"/>
      <c r="X323" s="858"/>
      <c r="Y323" s="858"/>
      <c r="Z323" s="858"/>
      <c r="AA323" s="858"/>
      <c r="AB323" s="858"/>
      <c r="AC323" s="858"/>
      <c r="AD323" s="858"/>
      <c r="AE323" s="858"/>
      <c r="AF323" s="858"/>
      <c r="AG323" s="858"/>
      <c r="AH323" s="858"/>
      <c r="AI323" s="858"/>
      <c r="AJ323" s="858"/>
    </row>
    <row r="324" ht="15.75" customHeight="1">
      <c r="A324" s="342">
        <v>361.0</v>
      </c>
      <c r="B324" s="875"/>
      <c r="C324" s="875"/>
      <c r="D324" s="876" t="s">
        <v>20285</v>
      </c>
      <c r="E324" s="345" t="s">
        <v>13047</v>
      </c>
      <c r="F324" s="345" t="s">
        <v>29</v>
      </c>
      <c r="G324" s="875" t="s">
        <v>30</v>
      </c>
      <c r="H324" s="433"/>
      <c r="I324" s="875" t="s">
        <v>30</v>
      </c>
      <c r="J324" s="875">
        <v>100.0</v>
      </c>
      <c r="K324" s="875" t="s">
        <v>20282</v>
      </c>
      <c r="L324" s="875" t="s">
        <v>20286</v>
      </c>
      <c r="M324" s="875" t="s">
        <v>20287</v>
      </c>
      <c r="N324" s="875">
        <v>2012.0</v>
      </c>
      <c r="O324" s="875" t="s">
        <v>388</v>
      </c>
      <c r="P324" s="875">
        <v>1.0</v>
      </c>
      <c r="Q324" s="874">
        <v>1.0</v>
      </c>
      <c r="R324" s="863"/>
      <c r="S324" s="858"/>
      <c r="T324" s="858"/>
      <c r="U324" s="858"/>
      <c r="V324" s="858"/>
      <c r="W324" s="858"/>
      <c r="X324" s="858"/>
      <c r="Y324" s="858"/>
      <c r="Z324" s="858"/>
      <c r="AA324" s="858"/>
      <c r="AB324" s="858"/>
      <c r="AC324" s="858"/>
      <c r="AD324" s="858"/>
      <c r="AE324" s="858"/>
      <c r="AF324" s="858"/>
      <c r="AG324" s="858"/>
      <c r="AH324" s="858"/>
      <c r="AI324" s="858"/>
      <c r="AJ324" s="858"/>
    </row>
    <row r="325" ht="15.75" customHeight="1">
      <c r="A325" s="342">
        <v>362.0</v>
      </c>
      <c r="B325" s="875"/>
      <c r="C325" s="875"/>
      <c r="D325" s="876" t="s">
        <v>20288</v>
      </c>
      <c r="E325" s="345" t="s">
        <v>13047</v>
      </c>
      <c r="F325" s="345" t="s">
        <v>29</v>
      </c>
      <c r="G325" s="875" t="s">
        <v>15646</v>
      </c>
      <c r="H325" s="433"/>
      <c r="I325" s="875" t="s">
        <v>38</v>
      </c>
      <c r="J325" s="875">
        <v>155.0</v>
      </c>
      <c r="K325" s="875"/>
      <c r="L325" s="875" t="s">
        <v>20289</v>
      </c>
      <c r="M325" s="875" t="s">
        <v>20290</v>
      </c>
      <c r="N325" s="875">
        <v>1996.0</v>
      </c>
      <c r="O325" s="875" t="s">
        <v>388</v>
      </c>
      <c r="P325" s="875">
        <v>1.0</v>
      </c>
      <c r="Q325" s="874">
        <v>1.0</v>
      </c>
      <c r="R325" s="863"/>
      <c r="S325" s="858"/>
      <c r="T325" s="858"/>
      <c r="U325" s="858"/>
      <c r="V325" s="858"/>
      <c r="W325" s="858"/>
      <c r="X325" s="858"/>
      <c r="Y325" s="858"/>
      <c r="Z325" s="858"/>
      <c r="AA325" s="858"/>
      <c r="AB325" s="858"/>
      <c r="AC325" s="858"/>
      <c r="AD325" s="858"/>
      <c r="AE325" s="858"/>
      <c r="AF325" s="858"/>
      <c r="AG325" s="858"/>
      <c r="AH325" s="858"/>
      <c r="AI325" s="858"/>
      <c r="AJ325" s="858"/>
    </row>
    <row r="326" ht="15.75" customHeight="1">
      <c r="A326" s="342">
        <v>363.0</v>
      </c>
      <c r="B326" s="875" t="s">
        <v>20291</v>
      </c>
      <c r="C326" s="875" t="s">
        <v>20292</v>
      </c>
      <c r="D326" s="876" t="s">
        <v>20293</v>
      </c>
      <c r="E326" s="345" t="s">
        <v>13047</v>
      </c>
      <c r="F326" s="345" t="s">
        <v>29</v>
      </c>
      <c r="G326" s="875" t="s">
        <v>30</v>
      </c>
      <c r="H326" s="433" t="s">
        <v>31</v>
      </c>
      <c r="I326" s="875" t="s">
        <v>30</v>
      </c>
      <c r="J326" s="875">
        <f t="shared" ref="J326:J327" si="2">480-349</f>
        <v>131</v>
      </c>
      <c r="K326" s="875"/>
      <c r="L326" s="875" t="s">
        <v>31</v>
      </c>
      <c r="M326" s="875"/>
      <c r="N326" s="875">
        <v>2015.0</v>
      </c>
      <c r="O326" s="875" t="s">
        <v>388</v>
      </c>
      <c r="P326" s="875">
        <v>1.0</v>
      </c>
      <c r="Q326" s="874">
        <v>1.0</v>
      </c>
      <c r="R326" s="863"/>
      <c r="S326" s="858"/>
      <c r="T326" s="858"/>
      <c r="U326" s="858"/>
      <c r="V326" s="858"/>
      <c r="W326" s="858"/>
      <c r="X326" s="858"/>
      <c r="Y326" s="858"/>
      <c r="Z326" s="858"/>
      <c r="AA326" s="858"/>
      <c r="AB326" s="858"/>
      <c r="AC326" s="858"/>
      <c r="AD326" s="858"/>
      <c r="AE326" s="858"/>
      <c r="AF326" s="858"/>
      <c r="AG326" s="858"/>
      <c r="AH326" s="858"/>
      <c r="AI326" s="858"/>
      <c r="AJ326" s="858"/>
    </row>
    <row r="327" ht="15.75" customHeight="1">
      <c r="A327" s="342">
        <v>364.0</v>
      </c>
      <c r="B327" s="875" t="s">
        <v>20291</v>
      </c>
      <c r="C327" s="875" t="s">
        <v>20292</v>
      </c>
      <c r="D327" s="876" t="s">
        <v>20294</v>
      </c>
      <c r="E327" s="345" t="s">
        <v>13047</v>
      </c>
      <c r="F327" s="345" t="s">
        <v>29</v>
      </c>
      <c r="G327" s="875" t="s">
        <v>30</v>
      </c>
      <c r="H327" s="433" t="s">
        <v>31</v>
      </c>
      <c r="I327" s="875" t="s">
        <v>30</v>
      </c>
      <c r="J327" s="875">
        <f t="shared" si="2"/>
        <v>131</v>
      </c>
      <c r="K327" s="875"/>
      <c r="L327" s="875" t="s">
        <v>31</v>
      </c>
      <c r="M327" s="875"/>
      <c r="N327" s="875">
        <v>2015.0</v>
      </c>
      <c r="O327" s="875" t="s">
        <v>388</v>
      </c>
      <c r="P327" s="875">
        <v>1.0</v>
      </c>
      <c r="Q327" s="874">
        <v>1.0</v>
      </c>
      <c r="R327" s="863"/>
      <c r="S327" s="858"/>
      <c r="T327" s="858"/>
      <c r="U327" s="858"/>
      <c r="V327" s="858"/>
      <c r="W327" s="858"/>
      <c r="X327" s="858"/>
      <c r="Y327" s="858"/>
      <c r="Z327" s="858"/>
      <c r="AA327" s="858"/>
      <c r="AB327" s="858"/>
      <c r="AC327" s="858"/>
      <c r="AD327" s="858"/>
      <c r="AE327" s="858"/>
      <c r="AF327" s="858"/>
      <c r="AG327" s="858"/>
      <c r="AH327" s="858"/>
      <c r="AI327" s="858"/>
      <c r="AJ327" s="858"/>
    </row>
    <row r="328" ht="15.75" customHeight="1">
      <c r="A328" s="342">
        <v>365.0</v>
      </c>
      <c r="B328" s="875" t="s">
        <v>19957</v>
      </c>
      <c r="C328" s="875" t="s">
        <v>20295</v>
      </c>
      <c r="D328" s="876" t="s">
        <v>20296</v>
      </c>
      <c r="E328" s="345" t="s">
        <v>13047</v>
      </c>
      <c r="F328" s="345" t="s">
        <v>29</v>
      </c>
      <c r="G328" s="875" t="s">
        <v>131</v>
      </c>
      <c r="H328" s="433" t="s">
        <v>31</v>
      </c>
      <c r="I328" s="875" t="s">
        <v>38</v>
      </c>
      <c r="J328" s="875">
        <v>171.0</v>
      </c>
      <c r="K328" s="875"/>
      <c r="L328" s="875" t="s">
        <v>31</v>
      </c>
      <c r="M328" s="875" t="s">
        <v>3465</v>
      </c>
      <c r="N328" s="875">
        <v>2015.0</v>
      </c>
      <c r="O328" s="875" t="s">
        <v>388</v>
      </c>
      <c r="P328" s="875">
        <v>1.0</v>
      </c>
      <c r="Q328" s="874">
        <v>1.0</v>
      </c>
      <c r="R328" s="863"/>
      <c r="S328" s="858"/>
      <c r="T328" s="858"/>
      <c r="U328" s="858"/>
      <c r="V328" s="858"/>
      <c r="W328" s="858"/>
      <c r="X328" s="858"/>
      <c r="Y328" s="858"/>
      <c r="Z328" s="858"/>
      <c r="AA328" s="858"/>
      <c r="AB328" s="858"/>
      <c r="AC328" s="858"/>
      <c r="AD328" s="858"/>
      <c r="AE328" s="858"/>
      <c r="AF328" s="858"/>
      <c r="AG328" s="858"/>
      <c r="AH328" s="858"/>
      <c r="AI328" s="858"/>
      <c r="AJ328" s="858"/>
    </row>
    <row r="329" ht="15.75" customHeight="1">
      <c r="A329" s="342">
        <v>366.0</v>
      </c>
      <c r="B329" s="875" t="s">
        <v>20297</v>
      </c>
      <c r="C329" s="875" t="s">
        <v>20298</v>
      </c>
      <c r="D329" s="876" t="s">
        <v>20299</v>
      </c>
      <c r="E329" s="345" t="s">
        <v>13047</v>
      </c>
      <c r="F329" s="345" t="s">
        <v>29</v>
      </c>
      <c r="G329" s="875" t="s">
        <v>30</v>
      </c>
      <c r="H329" s="433" t="s">
        <v>31</v>
      </c>
      <c r="I329" s="875" t="s">
        <v>30</v>
      </c>
      <c r="J329" s="875">
        <v>72.0</v>
      </c>
      <c r="K329" s="875"/>
      <c r="L329" s="875" t="s">
        <v>31</v>
      </c>
      <c r="M329" s="875" t="s">
        <v>7218</v>
      </c>
      <c r="N329" s="875">
        <v>2016.0</v>
      </c>
      <c r="O329" s="875" t="s">
        <v>388</v>
      </c>
      <c r="P329" s="875">
        <v>1.0</v>
      </c>
      <c r="Q329" s="874">
        <v>1.0</v>
      </c>
      <c r="R329" s="863"/>
      <c r="S329" s="858"/>
      <c r="T329" s="858"/>
      <c r="U329" s="858"/>
      <c r="V329" s="858"/>
      <c r="W329" s="858"/>
      <c r="X329" s="858"/>
      <c r="Y329" s="858"/>
      <c r="Z329" s="858"/>
      <c r="AA329" s="858"/>
      <c r="AB329" s="858"/>
      <c r="AC329" s="858"/>
      <c r="AD329" s="858"/>
      <c r="AE329" s="858"/>
      <c r="AF329" s="858"/>
      <c r="AG329" s="858"/>
      <c r="AH329" s="858"/>
      <c r="AI329" s="858"/>
      <c r="AJ329" s="858"/>
    </row>
    <row r="330" ht="15.75" customHeight="1">
      <c r="A330" s="342">
        <v>367.0</v>
      </c>
      <c r="B330" s="875" t="s">
        <v>20297</v>
      </c>
      <c r="C330" s="875" t="s">
        <v>20298</v>
      </c>
      <c r="D330" s="876" t="s">
        <v>20300</v>
      </c>
      <c r="E330" s="345" t="s">
        <v>13047</v>
      </c>
      <c r="F330" s="345" t="s">
        <v>29</v>
      </c>
      <c r="G330" s="875" t="s">
        <v>30</v>
      </c>
      <c r="H330" s="433" t="s">
        <v>31</v>
      </c>
      <c r="I330" s="875" t="s">
        <v>30</v>
      </c>
      <c r="J330" s="875">
        <v>72.0</v>
      </c>
      <c r="K330" s="875"/>
      <c r="L330" s="875" t="s">
        <v>31</v>
      </c>
      <c r="M330" s="875" t="s">
        <v>7218</v>
      </c>
      <c r="N330" s="875">
        <v>2015.0</v>
      </c>
      <c r="O330" s="875" t="s">
        <v>388</v>
      </c>
      <c r="P330" s="875">
        <v>1.0</v>
      </c>
      <c r="Q330" s="874">
        <v>1.0</v>
      </c>
      <c r="R330" s="863"/>
      <c r="S330" s="858"/>
      <c r="T330" s="858"/>
      <c r="U330" s="858"/>
      <c r="V330" s="858"/>
      <c r="W330" s="858"/>
      <c r="X330" s="858"/>
      <c r="Y330" s="858"/>
      <c r="Z330" s="858"/>
      <c r="AA330" s="858"/>
      <c r="AB330" s="858"/>
      <c r="AC330" s="858"/>
      <c r="AD330" s="858"/>
      <c r="AE330" s="858"/>
      <c r="AF330" s="858"/>
      <c r="AG330" s="858"/>
      <c r="AH330" s="858"/>
      <c r="AI330" s="858"/>
      <c r="AJ330" s="858"/>
    </row>
    <row r="331" ht="15.75" customHeight="1">
      <c r="A331" s="342">
        <v>368.0</v>
      </c>
      <c r="B331" s="875" t="s">
        <v>20297</v>
      </c>
      <c r="C331" s="875" t="s">
        <v>20301</v>
      </c>
      <c r="D331" s="876" t="s">
        <v>19560</v>
      </c>
      <c r="E331" s="345" t="s">
        <v>13047</v>
      </c>
      <c r="F331" s="345" t="s">
        <v>29</v>
      </c>
      <c r="G331" s="875" t="s">
        <v>31</v>
      </c>
      <c r="H331" s="433" t="s">
        <v>31</v>
      </c>
      <c r="I331" s="875" t="s">
        <v>38</v>
      </c>
      <c r="J331" s="875">
        <f>346-209</f>
        <v>137</v>
      </c>
      <c r="K331" s="875"/>
      <c r="L331" s="875" t="s">
        <v>31</v>
      </c>
      <c r="M331" s="875" t="s">
        <v>2953</v>
      </c>
      <c r="N331" s="875">
        <v>2015.0</v>
      </c>
      <c r="O331" s="875" t="s">
        <v>388</v>
      </c>
      <c r="P331" s="875">
        <v>3.0</v>
      </c>
      <c r="Q331" s="874">
        <v>1.0</v>
      </c>
      <c r="R331" s="863"/>
      <c r="S331" s="858"/>
      <c r="T331" s="858"/>
      <c r="U331" s="858"/>
      <c r="V331" s="858"/>
      <c r="W331" s="858"/>
      <c r="X331" s="858"/>
      <c r="Y331" s="858"/>
      <c r="Z331" s="858"/>
      <c r="AA331" s="858"/>
      <c r="AB331" s="858"/>
      <c r="AC331" s="858"/>
      <c r="AD331" s="858"/>
      <c r="AE331" s="858"/>
      <c r="AF331" s="858"/>
      <c r="AG331" s="858"/>
      <c r="AH331" s="858"/>
      <c r="AI331" s="858"/>
      <c r="AJ331" s="858"/>
    </row>
    <row r="332" ht="15.75" customHeight="1">
      <c r="A332" s="342">
        <v>369.0</v>
      </c>
      <c r="B332" s="875" t="s">
        <v>19957</v>
      </c>
      <c r="C332" s="875" t="s">
        <v>20295</v>
      </c>
      <c r="D332" s="876" t="s">
        <v>20302</v>
      </c>
      <c r="E332" s="345" t="s">
        <v>13047</v>
      </c>
      <c r="F332" s="345" t="s">
        <v>29</v>
      </c>
      <c r="G332" s="875" t="s">
        <v>131</v>
      </c>
      <c r="H332" s="433" t="s">
        <v>31</v>
      </c>
      <c r="I332" s="875" t="s">
        <v>38</v>
      </c>
      <c r="J332" s="875">
        <f>687-505</f>
        <v>182</v>
      </c>
      <c r="K332" s="875"/>
      <c r="L332" s="875" t="s">
        <v>31</v>
      </c>
      <c r="M332" s="669" t="s">
        <v>20303</v>
      </c>
      <c r="N332" s="889"/>
      <c r="O332" s="669" t="s">
        <v>388</v>
      </c>
      <c r="P332" s="875">
        <v>1.0</v>
      </c>
      <c r="Q332" s="874">
        <v>1.0</v>
      </c>
      <c r="R332" s="863"/>
      <c r="S332" s="858"/>
      <c r="T332" s="858"/>
      <c r="U332" s="858"/>
      <c r="V332" s="858"/>
      <c r="W332" s="858"/>
      <c r="X332" s="858"/>
      <c r="Y332" s="858"/>
      <c r="Z332" s="858"/>
      <c r="AA332" s="858"/>
      <c r="AB332" s="858"/>
      <c r="AC332" s="858"/>
      <c r="AD332" s="858"/>
      <c r="AE332" s="858"/>
      <c r="AF332" s="858"/>
      <c r="AG332" s="858"/>
      <c r="AH332" s="858"/>
      <c r="AI332" s="858"/>
      <c r="AJ332" s="858"/>
    </row>
    <row r="333" ht="15.75" customHeight="1">
      <c r="A333" s="342">
        <v>370.0</v>
      </c>
      <c r="B333" s="875" t="s">
        <v>19709</v>
      </c>
      <c r="C333" s="875" t="s">
        <v>19700</v>
      </c>
      <c r="D333" s="876" t="s">
        <v>20304</v>
      </c>
      <c r="E333" s="345" t="s">
        <v>13047</v>
      </c>
      <c r="F333" s="345" t="s">
        <v>29</v>
      </c>
      <c r="G333" s="875" t="s">
        <v>15252</v>
      </c>
      <c r="H333" s="433" t="s">
        <v>31</v>
      </c>
      <c r="I333" s="875" t="s">
        <v>38</v>
      </c>
      <c r="J333" s="875">
        <f>256-137</f>
        <v>119</v>
      </c>
      <c r="K333" s="875" t="s">
        <v>31</v>
      </c>
      <c r="L333" s="875" t="s">
        <v>20305</v>
      </c>
      <c r="M333" s="669" t="s">
        <v>20306</v>
      </c>
      <c r="N333" s="669">
        <v>2015.0</v>
      </c>
      <c r="O333" s="669" t="s">
        <v>388</v>
      </c>
      <c r="P333" s="875">
        <v>1.0</v>
      </c>
      <c r="Q333" s="874">
        <v>1.0</v>
      </c>
      <c r="R333" s="863"/>
      <c r="S333" s="858"/>
      <c r="T333" s="858"/>
      <c r="U333" s="858"/>
      <c r="V333" s="858"/>
      <c r="W333" s="858"/>
      <c r="X333" s="858"/>
      <c r="Y333" s="858"/>
      <c r="Z333" s="858"/>
      <c r="AA333" s="858"/>
      <c r="AB333" s="858"/>
      <c r="AC333" s="858"/>
      <c r="AD333" s="858"/>
      <c r="AE333" s="858"/>
      <c r="AF333" s="858"/>
      <c r="AG333" s="858"/>
      <c r="AH333" s="858"/>
      <c r="AI333" s="858"/>
      <c r="AJ333" s="858"/>
    </row>
    <row r="334" ht="15.75" customHeight="1">
      <c r="A334" s="342">
        <v>371.0</v>
      </c>
      <c r="B334" s="875" t="s">
        <v>19699</v>
      </c>
      <c r="C334" s="875" t="s">
        <v>19700</v>
      </c>
      <c r="D334" s="876" t="s">
        <v>20307</v>
      </c>
      <c r="E334" s="345" t="s">
        <v>13047</v>
      </c>
      <c r="F334" s="345" t="s">
        <v>29</v>
      </c>
      <c r="G334" s="875" t="s">
        <v>131</v>
      </c>
      <c r="H334" s="433" t="s">
        <v>31</v>
      </c>
      <c r="I334" s="875" t="s">
        <v>38</v>
      </c>
      <c r="J334" s="875">
        <v>95.0</v>
      </c>
      <c r="K334" s="875" t="s">
        <v>31</v>
      </c>
      <c r="L334" s="875" t="s">
        <v>20203</v>
      </c>
      <c r="M334" s="669" t="s">
        <v>20303</v>
      </c>
      <c r="N334" s="669">
        <v>2015.0</v>
      </c>
      <c r="O334" s="669" t="s">
        <v>388</v>
      </c>
      <c r="P334" s="875">
        <v>1.0</v>
      </c>
      <c r="Q334" s="874">
        <v>1.0</v>
      </c>
      <c r="R334" s="863"/>
      <c r="S334" s="858"/>
      <c r="T334" s="858"/>
      <c r="U334" s="858"/>
      <c r="V334" s="858"/>
      <c r="W334" s="858"/>
      <c r="X334" s="858"/>
      <c r="Y334" s="858"/>
      <c r="Z334" s="858"/>
      <c r="AA334" s="858"/>
      <c r="AB334" s="858"/>
      <c r="AC334" s="858"/>
      <c r="AD334" s="858"/>
      <c r="AE334" s="858"/>
      <c r="AF334" s="858"/>
      <c r="AG334" s="858"/>
      <c r="AH334" s="858"/>
      <c r="AI334" s="858"/>
      <c r="AJ334" s="858"/>
    </row>
    <row r="335" ht="15.75" customHeight="1">
      <c r="A335" s="342">
        <v>372.0</v>
      </c>
      <c r="B335" s="875" t="s">
        <v>20308</v>
      </c>
      <c r="C335" s="875" t="s">
        <v>19700</v>
      </c>
      <c r="D335" s="876" t="s">
        <v>20309</v>
      </c>
      <c r="E335" s="345" t="s">
        <v>13047</v>
      </c>
      <c r="F335" s="345" t="s">
        <v>29</v>
      </c>
      <c r="G335" s="875" t="s">
        <v>38</v>
      </c>
      <c r="H335" s="433" t="s">
        <v>31</v>
      </c>
      <c r="I335" s="875" t="s">
        <v>38</v>
      </c>
      <c r="J335" s="875">
        <f>258-129</f>
        <v>129</v>
      </c>
      <c r="K335" s="875" t="s">
        <v>31</v>
      </c>
      <c r="L335" s="875" t="s">
        <v>20203</v>
      </c>
      <c r="M335" s="669" t="s">
        <v>20303</v>
      </c>
      <c r="N335" s="669">
        <v>2015.0</v>
      </c>
      <c r="O335" s="669" t="s">
        <v>388</v>
      </c>
      <c r="P335" s="875">
        <v>1.0</v>
      </c>
      <c r="Q335" s="874">
        <v>1.0</v>
      </c>
      <c r="R335" s="863"/>
      <c r="S335" s="858"/>
      <c r="T335" s="858"/>
      <c r="U335" s="858"/>
      <c r="V335" s="858"/>
      <c r="W335" s="858"/>
      <c r="X335" s="858"/>
      <c r="Y335" s="858"/>
      <c r="Z335" s="858"/>
      <c r="AA335" s="858"/>
      <c r="AB335" s="858"/>
      <c r="AC335" s="858"/>
      <c r="AD335" s="858"/>
      <c r="AE335" s="858"/>
      <c r="AF335" s="858"/>
      <c r="AG335" s="858"/>
      <c r="AH335" s="858"/>
      <c r="AI335" s="858"/>
      <c r="AJ335" s="858"/>
    </row>
    <row r="336" ht="37.5" customHeight="1">
      <c r="A336" s="342">
        <v>373.0</v>
      </c>
      <c r="B336" s="875" t="s">
        <v>31</v>
      </c>
      <c r="C336" s="875" t="s">
        <v>20310</v>
      </c>
      <c r="D336" s="876" t="s">
        <v>20311</v>
      </c>
      <c r="E336" s="345" t="s">
        <v>13047</v>
      </c>
      <c r="F336" s="345" t="s">
        <v>29</v>
      </c>
      <c r="G336" s="875" t="s">
        <v>30</v>
      </c>
      <c r="H336" s="433" t="s">
        <v>31</v>
      </c>
      <c r="I336" s="875" t="s">
        <v>30</v>
      </c>
      <c r="J336" s="875">
        <f>96-49</f>
        <v>47</v>
      </c>
      <c r="K336" s="875" t="s">
        <v>31</v>
      </c>
      <c r="L336" s="875" t="s">
        <v>20312</v>
      </c>
      <c r="M336" s="669" t="s">
        <v>3991</v>
      </c>
      <c r="N336" s="669">
        <v>2015.0</v>
      </c>
      <c r="O336" s="669" t="s">
        <v>388</v>
      </c>
      <c r="P336" s="875">
        <v>1.0</v>
      </c>
      <c r="Q336" s="874">
        <v>1.0</v>
      </c>
      <c r="R336" s="863"/>
      <c r="S336" s="858"/>
      <c r="T336" s="858"/>
      <c r="U336" s="858"/>
      <c r="V336" s="858"/>
      <c r="W336" s="858"/>
      <c r="X336" s="858"/>
      <c r="Y336" s="858"/>
      <c r="Z336" s="858"/>
      <c r="AA336" s="858"/>
      <c r="AB336" s="858"/>
      <c r="AC336" s="858"/>
      <c r="AD336" s="858"/>
      <c r="AE336" s="858"/>
      <c r="AF336" s="858"/>
      <c r="AG336" s="858"/>
      <c r="AH336" s="858"/>
      <c r="AI336" s="858"/>
      <c r="AJ336" s="858"/>
    </row>
    <row r="337" ht="15.75" customHeight="1">
      <c r="A337" s="342">
        <v>374.0</v>
      </c>
      <c r="B337" s="875"/>
      <c r="C337" s="875" t="s">
        <v>20313</v>
      </c>
      <c r="D337" s="876" t="s">
        <v>20314</v>
      </c>
      <c r="E337" s="345" t="s">
        <v>13047</v>
      </c>
      <c r="F337" s="345" t="s">
        <v>29</v>
      </c>
      <c r="G337" s="875" t="s">
        <v>20315</v>
      </c>
      <c r="H337" s="433"/>
      <c r="I337" s="875" t="s">
        <v>38</v>
      </c>
      <c r="J337" s="875">
        <v>116.0</v>
      </c>
      <c r="K337" s="875"/>
      <c r="L337" s="875" t="s">
        <v>20316</v>
      </c>
      <c r="M337" s="875" t="s">
        <v>3465</v>
      </c>
      <c r="N337" s="875">
        <v>2016.0</v>
      </c>
      <c r="O337" s="875" t="s">
        <v>388</v>
      </c>
      <c r="P337" s="875">
        <v>1.0</v>
      </c>
      <c r="Q337" s="874">
        <v>1.0</v>
      </c>
      <c r="R337" s="863"/>
      <c r="S337" s="858"/>
      <c r="T337" s="858"/>
      <c r="U337" s="858"/>
      <c r="V337" s="858"/>
      <c r="W337" s="858"/>
      <c r="X337" s="858"/>
      <c r="Y337" s="858"/>
      <c r="Z337" s="858"/>
      <c r="AA337" s="858"/>
      <c r="AB337" s="858"/>
      <c r="AC337" s="858"/>
      <c r="AD337" s="858"/>
      <c r="AE337" s="858"/>
      <c r="AF337" s="858"/>
      <c r="AG337" s="858"/>
      <c r="AH337" s="858"/>
      <c r="AI337" s="858"/>
      <c r="AJ337" s="858"/>
    </row>
    <row r="338" ht="15.75" customHeight="1">
      <c r="A338" s="342">
        <v>375.0</v>
      </c>
      <c r="B338" s="875"/>
      <c r="C338" s="875" t="s">
        <v>20313</v>
      </c>
      <c r="D338" s="876" t="s">
        <v>20317</v>
      </c>
      <c r="E338" s="345" t="s">
        <v>13047</v>
      </c>
      <c r="F338" s="345" t="s">
        <v>29</v>
      </c>
      <c r="G338" s="875" t="s">
        <v>20315</v>
      </c>
      <c r="H338" s="433"/>
      <c r="I338" s="875" t="s">
        <v>38</v>
      </c>
      <c r="J338" s="875">
        <v>116.0</v>
      </c>
      <c r="K338" s="875"/>
      <c r="L338" s="875" t="s">
        <v>20318</v>
      </c>
      <c r="M338" s="875" t="s">
        <v>3465</v>
      </c>
      <c r="N338" s="875">
        <v>2016.0</v>
      </c>
      <c r="O338" s="875" t="s">
        <v>388</v>
      </c>
      <c r="P338" s="875">
        <v>1.0</v>
      </c>
      <c r="Q338" s="874">
        <v>1.0</v>
      </c>
      <c r="R338" s="863"/>
      <c r="S338" s="858"/>
      <c r="T338" s="858"/>
      <c r="U338" s="858"/>
      <c r="V338" s="858"/>
      <c r="W338" s="858"/>
      <c r="X338" s="858"/>
      <c r="Y338" s="858"/>
      <c r="Z338" s="858"/>
      <c r="AA338" s="858"/>
      <c r="AB338" s="858"/>
      <c r="AC338" s="858"/>
      <c r="AD338" s="858"/>
      <c r="AE338" s="858"/>
      <c r="AF338" s="858"/>
      <c r="AG338" s="858"/>
      <c r="AH338" s="858"/>
      <c r="AI338" s="858"/>
      <c r="AJ338" s="858"/>
    </row>
    <row r="339" ht="15.75" customHeight="1">
      <c r="A339" s="342">
        <v>376.0</v>
      </c>
      <c r="B339" s="875"/>
      <c r="C339" s="875"/>
      <c r="D339" s="890" t="s">
        <v>20319</v>
      </c>
      <c r="E339" s="345" t="s">
        <v>13047</v>
      </c>
      <c r="F339" s="345" t="s">
        <v>29</v>
      </c>
      <c r="G339" s="875" t="s">
        <v>30</v>
      </c>
      <c r="H339" s="433"/>
      <c r="I339" s="875" t="s">
        <v>30</v>
      </c>
      <c r="J339" s="875"/>
      <c r="K339" s="875"/>
      <c r="L339" s="890" t="s">
        <v>20320</v>
      </c>
      <c r="M339" s="875"/>
      <c r="N339" s="345">
        <v>1987.0</v>
      </c>
      <c r="O339" s="875" t="s">
        <v>388</v>
      </c>
      <c r="P339" s="875">
        <v>1.0</v>
      </c>
      <c r="Q339" s="874">
        <v>1.0</v>
      </c>
      <c r="R339" s="863"/>
      <c r="S339" s="858"/>
      <c r="T339" s="858"/>
      <c r="U339" s="858"/>
      <c r="V339" s="858"/>
      <c r="W339" s="858"/>
      <c r="X339" s="858"/>
      <c r="Y339" s="858"/>
      <c r="Z339" s="858"/>
      <c r="AA339" s="858"/>
      <c r="AB339" s="858"/>
      <c r="AC339" s="858"/>
      <c r="AD339" s="858"/>
      <c r="AE339" s="858"/>
      <c r="AF339" s="858"/>
      <c r="AG339" s="858"/>
      <c r="AH339" s="858"/>
      <c r="AI339" s="858"/>
      <c r="AJ339" s="858"/>
    </row>
    <row r="340" ht="15.75" customHeight="1">
      <c r="A340" s="342">
        <v>377.0</v>
      </c>
      <c r="B340" s="875"/>
      <c r="C340" s="875"/>
      <c r="D340" s="890" t="s">
        <v>20095</v>
      </c>
      <c r="E340" s="345" t="s">
        <v>13047</v>
      </c>
      <c r="F340" s="345" t="s">
        <v>29</v>
      </c>
      <c r="G340" s="875" t="s">
        <v>30</v>
      </c>
      <c r="H340" s="433"/>
      <c r="I340" s="875" t="s">
        <v>30</v>
      </c>
      <c r="J340" s="875"/>
      <c r="K340" s="875"/>
      <c r="L340" s="890" t="s">
        <v>20320</v>
      </c>
      <c r="M340" s="875"/>
      <c r="N340" s="345">
        <v>1987.0</v>
      </c>
      <c r="O340" s="875" t="s">
        <v>388</v>
      </c>
      <c r="P340" s="875">
        <v>1.0</v>
      </c>
      <c r="Q340" s="874">
        <v>1.0</v>
      </c>
      <c r="R340" s="863"/>
      <c r="S340" s="858"/>
      <c r="T340" s="858"/>
      <c r="U340" s="858"/>
      <c r="V340" s="858"/>
      <c r="W340" s="858"/>
      <c r="X340" s="858"/>
      <c r="Y340" s="858"/>
      <c r="Z340" s="858"/>
      <c r="AA340" s="858"/>
      <c r="AB340" s="858"/>
      <c r="AC340" s="858"/>
      <c r="AD340" s="858"/>
      <c r="AE340" s="858"/>
      <c r="AF340" s="858"/>
      <c r="AG340" s="858"/>
      <c r="AH340" s="858"/>
      <c r="AI340" s="858"/>
      <c r="AJ340" s="858"/>
    </row>
    <row r="341" ht="15.75" customHeight="1">
      <c r="A341" s="342">
        <v>378.0</v>
      </c>
      <c r="B341" s="875"/>
      <c r="C341" s="875"/>
      <c r="D341" s="890" t="s">
        <v>20321</v>
      </c>
      <c r="E341" s="345" t="s">
        <v>13047</v>
      </c>
      <c r="F341" s="345" t="s">
        <v>29</v>
      </c>
      <c r="G341" s="875" t="s">
        <v>30</v>
      </c>
      <c r="H341" s="433"/>
      <c r="I341" s="875" t="s">
        <v>30</v>
      </c>
      <c r="J341" s="875"/>
      <c r="K341" s="875"/>
      <c r="L341" s="890" t="s">
        <v>20320</v>
      </c>
      <c r="M341" s="875"/>
      <c r="N341" s="345">
        <v>1987.0</v>
      </c>
      <c r="O341" s="875" t="s">
        <v>388</v>
      </c>
      <c r="P341" s="875">
        <v>1.0</v>
      </c>
      <c r="Q341" s="874">
        <v>1.0</v>
      </c>
      <c r="R341" s="863"/>
      <c r="S341" s="858"/>
      <c r="T341" s="858"/>
      <c r="U341" s="858"/>
      <c r="V341" s="858"/>
      <c r="W341" s="858"/>
      <c r="X341" s="858"/>
      <c r="Y341" s="858"/>
      <c r="Z341" s="858"/>
      <c r="AA341" s="858"/>
      <c r="AB341" s="858"/>
      <c r="AC341" s="858"/>
      <c r="AD341" s="858"/>
      <c r="AE341" s="858"/>
      <c r="AF341" s="858"/>
      <c r="AG341" s="858"/>
      <c r="AH341" s="858"/>
      <c r="AI341" s="858"/>
      <c r="AJ341" s="858"/>
    </row>
    <row r="342" ht="15.75" customHeight="1">
      <c r="A342" s="342">
        <v>379.0</v>
      </c>
      <c r="B342" s="875"/>
      <c r="C342" s="875"/>
      <c r="D342" s="890" t="s">
        <v>20322</v>
      </c>
      <c r="E342" s="345" t="s">
        <v>13047</v>
      </c>
      <c r="F342" s="345" t="s">
        <v>29</v>
      </c>
      <c r="G342" s="875" t="s">
        <v>30</v>
      </c>
      <c r="H342" s="433"/>
      <c r="I342" s="875" t="s">
        <v>30</v>
      </c>
      <c r="J342" s="875"/>
      <c r="K342" s="875"/>
      <c r="L342" s="890" t="s">
        <v>20320</v>
      </c>
      <c r="M342" s="875"/>
      <c r="N342" s="345">
        <v>1987.0</v>
      </c>
      <c r="O342" s="875" t="s">
        <v>388</v>
      </c>
      <c r="P342" s="875">
        <v>1.0</v>
      </c>
      <c r="Q342" s="874">
        <v>1.0</v>
      </c>
      <c r="R342" s="863"/>
      <c r="S342" s="858"/>
      <c r="T342" s="858"/>
      <c r="U342" s="858"/>
      <c r="V342" s="858"/>
      <c r="W342" s="858"/>
      <c r="X342" s="858"/>
      <c r="Y342" s="858"/>
      <c r="Z342" s="858"/>
      <c r="AA342" s="858"/>
      <c r="AB342" s="858"/>
      <c r="AC342" s="858"/>
      <c r="AD342" s="858"/>
      <c r="AE342" s="858"/>
      <c r="AF342" s="858"/>
      <c r="AG342" s="858"/>
      <c r="AH342" s="858"/>
      <c r="AI342" s="858"/>
      <c r="AJ342" s="858"/>
    </row>
    <row r="343" ht="15.75" customHeight="1">
      <c r="A343" s="342">
        <v>380.0</v>
      </c>
      <c r="B343" s="875"/>
      <c r="C343" s="875"/>
      <c r="D343" s="890" t="s">
        <v>20105</v>
      </c>
      <c r="E343" s="345" t="s">
        <v>13047</v>
      </c>
      <c r="F343" s="345" t="s">
        <v>29</v>
      </c>
      <c r="G343" s="875" t="s">
        <v>30</v>
      </c>
      <c r="H343" s="433"/>
      <c r="I343" s="875" t="s">
        <v>30</v>
      </c>
      <c r="J343" s="875"/>
      <c r="K343" s="875"/>
      <c r="L343" s="890" t="s">
        <v>20320</v>
      </c>
      <c r="M343" s="875"/>
      <c r="N343" s="345">
        <v>1987.0</v>
      </c>
      <c r="O343" s="875" t="s">
        <v>388</v>
      </c>
      <c r="P343" s="875">
        <v>1.0</v>
      </c>
      <c r="Q343" s="874">
        <v>1.0</v>
      </c>
      <c r="R343" s="863"/>
      <c r="S343" s="858"/>
      <c r="T343" s="858"/>
      <c r="U343" s="858"/>
      <c r="V343" s="858"/>
      <c r="W343" s="858"/>
      <c r="X343" s="858"/>
      <c r="Y343" s="858"/>
      <c r="Z343" s="858"/>
      <c r="AA343" s="858"/>
      <c r="AB343" s="858"/>
      <c r="AC343" s="858"/>
      <c r="AD343" s="858"/>
      <c r="AE343" s="858"/>
      <c r="AF343" s="858"/>
      <c r="AG343" s="858"/>
      <c r="AH343" s="858"/>
      <c r="AI343" s="858"/>
      <c r="AJ343" s="858"/>
    </row>
    <row r="344" ht="15.75" customHeight="1">
      <c r="A344" s="342">
        <v>381.0</v>
      </c>
      <c r="B344" s="875"/>
      <c r="C344" s="875"/>
      <c r="D344" s="890" t="s">
        <v>20114</v>
      </c>
      <c r="E344" s="345" t="s">
        <v>13047</v>
      </c>
      <c r="F344" s="345" t="s">
        <v>29</v>
      </c>
      <c r="G344" s="875" t="s">
        <v>30</v>
      </c>
      <c r="H344" s="433"/>
      <c r="I344" s="875" t="s">
        <v>30</v>
      </c>
      <c r="J344" s="875"/>
      <c r="K344" s="875"/>
      <c r="L344" s="890" t="s">
        <v>20320</v>
      </c>
      <c r="M344" s="875"/>
      <c r="N344" s="345">
        <v>2000.0</v>
      </c>
      <c r="O344" s="875" t="s">
        <v>388</v>
      </c>
      <c r="P344" s="875">
        <v>1.0</v>
      </c>
      <c r="Q344" s="874">
        <v>1.0</v>
      </c>
      <c r="R344" s="863"/>
      <c r="S344" s="858"/>
      <c r="T344" s="858"/>
      <c r="U344" s="858"/>
      <c r="V344" s="858"/>
      <c r="W344" s="858"/>
      <c r="X344" s="858"/>
      <c r="Y344" s="858"/>
      <c r="Z344" s="858"/>
      <c r="AA344" s="858"/>
      <c r="AB344" s="858"/>
      <c r="AC344" s="858"/>
      <c r="AD344" s="858"/>
      <c r="AE344" s="858"/>
      <c r="AF344" s="858"/>
      <c r="AG344" s="858"/>
      <c r="AH344" s="858"/>
      <c r="AI344" s="858"/>
      <c r="AJ344" s="858"/>
    </row>
    <row r="345" ht="15.75" customHeight="1">
      <c r="A345" s="342">
        <v>382.0</v>
      </c>
      <c r="B345" s="875"/>
      <c r="C345" s="875"/>
      <c r="D345" s="890" t="s">
        <v>20116</v>
      </c>
      <c r="E345" s="345" t="s">
        <v>13047</v>
      </c>
      <c r="F345" s="345" t="s">
        <v>29</v>
      </c>
      <c r="G345" s="875" t="s">
        <v>30</v>
      </c>
      <c r="H345" s="433"/>
      <c r="I345" s="875" t="s">
        <v>30</v>
      </c>
      <c r="J345" s="875"/>
      <c r="K345" s="875"/>
      <c r="L345" s="890" t="s">
        <v>20320</v>
      </c>
      <c r="M345" s="875"/>
      <c r="N345" s="345">
        <v>2000.0</v>
      </c>
      <c r="O345" s="875" t="s">
        <v>388</v>
      </c>
      <c r="P345" s="875">
        <v>1.0</v>
      </c>
      <c r="Q345" s="874">
        <v>1.0</v>
      </c>
      <c r="R345" s="863"/>
      <c r="S345" s="858"/>
      <c r="T345" s="858"/>
      <c r="U345" s="858"/>
      <c r="V345" s="858"/>
      <c r="W345" s="858"/>
      <c r="X345" s="858"/>
      <c r="Y345" s="858"/>
      <c r="Z345" s="858"/>
      <c r="AA345" s="858"/>
      <c r="AB345" s="858"/>
      <c r="AC345" s="858"/>
      <c r="AD345" s="858"/>
      <c r="AE345" s="858"/>
      <c r="AF345" s="858"/>
      <c r="AG345" s="858"/>
      <c r="AH345" s="858"/>
      <c r="AI345" s="858"/>
      <c r="AJ345" s="858"/>
    </row>
    <row r="346" ht="15.75" customHeight="1">
      <c r="A346" s="342">
        <v>383.0</v>
      </c>
      <c r="B346" s="875"/>
      <c r="C346" s="875"/>
      <c r="D346" s="890" t="s">
        <v>20323</v>
      </c>
      <c r="E346" s="345" t="s">
        <v>13047</v>
      </c>
      <c r="F346" s="345" t="s">
        <v>29</v>
      </c>
      <c r="G346" s="875" t="s">
        <v>30</v>
      </c>
      <c r="H346" s="433"/>
      <c r="I346" s="875" t="s">
        <v>30</v>
      </c>
      <c r="J346" s="875"/>
      <c r="K346" s="875"/>
      <c r="L346" s="890" t="s">
        <v>20320</v>
      </c>
      <c r="M346" s="875"/>
      <c r="N346" s="345">
        <v>2000.0</v>
      </c>
      <c r="O346" s="875" t="s">
        <v>388</v>
      </c>
      <c r="P346" s="875">
        <v>1.0</v>
      </c>
      <c r="Q346" s="874">
        <v>1.0</v>
      </c>
      <c r="R346" s="863"/>
      <c r="S346" s="858"/>
      <c r="T346" s="858"/>
      <c r="U346" s="858"/>
      <c r="V346" s="858"/>
      <c r="W346" s="858"/>
      <c r="X346" s="858"/>
      <c r="Y346" s="858"/>
      <c r="Z346" s="858"/>
      <c r="AA346" s="858"/>
      <c r="AB346" s="858"/>
      <c r="AC346" s="858"/>
      <c r="AD346" s="858"/>
      <c r="AE346" s="858"/>
      <c r="AF346" s="858"/>
      <c r="AG346" s="858"/>
      <c r="AH346" s="858"/>
      <c r="AI346" s="858"/>
      <c r="AJ346" s="858"/>
    </row>
    <row r="347" ht="15.75" customHeight="1">
      <c r="A347" s="342">
        <v>384.0</v>
      </c>
      <c r="B347" s="875"/>
      <c r="C347" s="875"/>
      <c r="D347" s="890" t="s">
        <v>20324</v>
      </c>
      <c r="E347" s="345" t="s">
        <v>13047</v>
      </c>
      <c r="F347" s="345" t="s">
        <v>29</v>
      </c>
      <c r="G347" s="875" t="s">
        <v>30</v>
      </c>
      <c r="H347" s="433"/>
      <c r="I347" s="875" t="s">
        <v>30</v>
      </c>
      <c r="J347" s="875"/>
      <c r="K347" s="875"/>
      <c r="L347" s="890" t="s">
        <v>20320</v>
      </c>
      <c r="M347" s="875"/>
      <c r="N347" s="345">
        <v>2000.0</v>
      </c>
      <c r="O347" s="875" t="s">
        <v>388</v>
      </c>
      <c r="P347" s="875">
        <v>1.0</v>
      </c>
      <c r="Q347" s="874">
        <v>1.0</v>
      </c>
      <c r="R347" s="863"/>
      <c r="S347" s="858"/>
      <c r="T347" s="858"/>
      <c r="U347" s="858"/>
      <c r="V347" s="858"/>
      <c r="W347" s="858"/>
      <c r="X347" s="858"/>
      <c r="Y347" s="858"/>
      <c r="Z347" s="858"/>
      <c r="AA347" s="858"/>
      <c r="AB347" s="858"/>
      <c r="AC347" s="858"/>
      <c r="AD347" s="858"/>
      <c r="AE347" s="858"/>
      <c r="AF347" s="858"/>
      <c r="AG347" s="858"/>
      <c r="AH347" s="858"/>
      <c r="AI347" s="858"/>
      <c r="AJ347" s="858"/>
    </row>
    <row r="348" ht="15.75" customHeight="1">
      <c r="A348" s="342">
        <v>385.0</v>
      </c>
      <c r="B348" s="875"/>
      <c r="C348" s="875"/>
      <c r="D348" s="890" t="s">
        <v>20122</v>
      </c>
      <c r="E348" s="345" t="s">
        <v>13047</v>
      </c>
      <c r="F348" s="345" t="s">
        <v>29</v>
      </c>
      <c r="G348" s="875" t="s">
        <v>30</v>
      </c>
      <c r="H348" s="433"/>
      <c r="I348" s="875" t="s">
        <v>30</v>
      </c>
      <c r="J348" s="875"/>
      <c r="K348" s="875"/>
      <c r="L348" s="890" t="s">
        <v>20320</v>
      </c>
      <c r="M348" s="875"/>
      <c r="N348" s="345">
        <v>2000.0</v>
      </c>
      <c r="O348" s="875" t="s">
        <v>388</v>
      </c>
      <c r="P348" s="875">
        <v>1.0</v>
      </c>
      <c r="Q348" s="874">
        <v>1.0</v>
      </c>
      <c r="R348" s="863"/>
      <c r="S348" s="858"/>
      <c r="T348" s="858"/>
      <c r="U348" s="858"/>
      <c r="V348" s="858"/>
      <c r="W348" s="858"/>
      <c r="X348" s="858"/>
      <c r="Y348" s="858"/>
      <c r="Z348" s="858"/>
      <c r="AA348" s="858"/>
      <c r="AB348" s="858"/>
      <c r="AC348" s="858"/>
      <c r="AD348" s="858"/>
      <c r="AE348" s="858"/>
      <c r="AF348" s="858"/>
      <c r="AG348" s="858"/>
      <c r="AH348" s="858"/>
      <c r="AI348" s="858"/>
      <c r="AJ348" s="858"/>
    </row>
    <row r="349" ht="15.75" customHeight="1">
      <c r="A349" s="342">
        <v>386.0</v>
      </c>
      <c r="B349" s="875"/>
      <c r="C349" s="875"/>
      <c r="D349" s="890" t="s">
        <v>20325</v>
      </c>
      <c r="E349" s="345" t="s">
        <v>13047</v>
      </c>
      <c r="F349" s="345" t="s">
        <v>29</v>
      </c>
      <c r="G349" s="875" t="s">
        <v>30</v>
      </c>
      <c r="H349" s="433"/>
      <c r="I349" s="875" t="s">
        <v>30</v>
      </c>
      <c r="J349" s="875"/>
      <c r="K349" s="875"/>
      <c r="L349" s="890" t="s">
        <v>20320</v>
      </c>
      <c r="M349" s="875"/>
      <c r="N349" s="345">
        <v>2000.0</v>
      </c>
      <c r="O349" s="875" t="s">
        <v>388</v>
      </c>
      <c r="P349" s="875">
        <v>1.0</v>
      </c>
      <c r="Q349" s="874">
        <v>1.0</v>
      </c>
      <c r="R349" s="863"/>
      <c r="S349" s="858"/>
      <c r="T349" s="858"/>
      <c r="U349" s="858"/>
      <c r="V349" s="858"/>
      <c r="W349" s="858"/>
      <c r="X349" s="858"/>
      <c r="Y349" s="858"/>
      <c r="Z349" s="858"/>
      <c r="AA349" s="858"/>
      <c r="AB349" s="858"/>
      <c r="AC349" s="858"/>
      <c r="AD349" s="858"/>
      <c r="AE349" s="858"/>
      <c r="AF349" s="858"/>
      <c r="AG349" s="858"/>
      <c r="AH349" s="858"/>
      <c r="AI349" s="858"/>
      <c r="AJ349" s="858"/>
    </row>
    <row r="350" ht="15.75" customHeight="1">
      <c r="A350" s="342">
        <v>387.0</v>
      </c>
      <c r="B350" s="875"/>
      <c r="C350" s="875"/>
      <c r="D350" s="890" t="s">
        <v>20126</v>
      </c>
      <c r="E350" s="345" t="s">
        <v>13047</v>
      </c>
      <c r="F350" s="345" t="s">
        <v>29</v>
      </c>
      <c r="G350" s="875" t="s">
        <v>30</v>
      </c>
      <c r="H350" s="433"/>
      <c r="I350" s="875" t="s">
        <v>30</v>
      </c>
      <c r="J350" s="875"/>
      <c r="K350" s="875"/>
      <c r="L350" s="890" t="s">
        <v>20320</v>
      </c>
      <c r="M350" s="875"/>
      <c r="N350" s="345">
        <v>2000.0</v>
      </c>
      <c r="O350" s="875" t="s">
        <v>388</v>
      </c>
      <c r="P350" s="875">
        <v>1.0</v>
      </c>
      <c r="Q350" s="874">
        <v>1.0</v>
      </c>
      <c r="R350" s="863"/>
      <c r="S350" s="858"/>
      <c r="T350" s="858"/>
      <c r="U350" s="858"/>
      <c r="V350" s="858"/>
      <c r="W350" s="858"/>
      <c r="X350" s="858"/>
      <c r="Y350" s="858"/>
      <c r="Z350" s="858"/>
      <c r="AA350" s="858"/>
      <c r="AB350" s="858"/>
      <c r="AC350" s="858"/>
      <c r="AD350" s="858"/>
      <c r="AE350" s="858"/>
      <c r="AF350" s="858"/>
      <c r="AG350" s="858"/>
      <c r="AH350" s="858"/>
      <c r="AI350" s="858"/>
      <c r="AJ350" s="858"/>
    </row>
    <row r="351" ht="15.75" customHeight="1">
      <c r="A351" s="342">
        <v>388.0</v>
      </c>
      <c r="B351" s="875"/>
      <c r="C351" s="875"/>
      <c r="D351" s="890" t="s">
        <v>20128</v>
      </c>
      <c r="E351" s="345" t="s">
        <v>13047</v>
      </c>
      <c r="F351" s="345" t="s">
        <v>29</v>
      </c>
      <c r="G351" s="875" t="s">
        <v>30</v>
      </c>
      <c r="H351" s="433"/>
      <c r="I351" s="875" t="s">
        <v>30</v>
      </c>
      <c r="J351" s="875"/>
      <c r="K351" s="875"/>
      <c r="L351" s="890" t="s">
        <v>20320</v>
      </c>
      <c r="M351" s="875"/>
      <c r="N351" s="345">
        <v>2005.0</v>
      </c>
      <c r="O351" s="875" t="s">
        <v>388</v>
      </c>
      <c r="P351" s="875">
        <v>1.0</v>
      </c>
      <c r="Q351" s="874">
        <v>1.0</v>
      </c>
      <c r="R351" s="863"/>
      <c r="S351" s="858"/>
      <c r="T351" s="858"/>
      <c r="U351" s="858"/>
      <c r="V351" s="858"/>
      <c r="W351" s="858"/>
      <c r="X351" s="858"/>
      <c r="Y351" s="858"/>
      <c r="Z351" s="858"/>
      <c r="AA351" s="858"/>
      <c r="AB351" s="858"/>
      <c r="AC351" s="858"/>
      <c r="AD351" s="858"/>
      <c r="AE351" s="858"/>
      <c r="AF351" s="858"/>
      <c r="AG351" s="858"/>
      <c r="AH351" s="858"/>
      <c r="AI351" s="858"/>
      <c r="AJ351" s="858"/>
    </row>
    <row r="352" ht="15.75" customHeight="1">
      <c r="A352" s="342">
        <v>389.0</v>
      </c>
      <c r="B352" s="875"/>
      <c r="C352" s="875"/>
      <c r="D352" s="890" t="s">
        <v>20326</v>
      </c>
      <c r="E352" s="345" t="s">
        <v>13047</v>
      </c>
      <c r="F352" s="345" t="s">
        <v>29</v>
      </c>
      <c r="G352" s="875" t="s">
        <v>30</v>
      </c>
      <c r="H352" s="433"/>
      <c r="I352" s="875" t="s">
        <v>30</v>
      </c>
      <c r="J352" s="875"/>
      <c r="K352" s="875"/>
      <c r="L352" s="890" t="s">
        <v>20320</v>
      </c>
      <c r="M352" s="875"/>
      <c r="N352" s="345">
        <v>2005.0</v>
      </c>
      <c r="O352" s="875" t="s">
        <v>388</v>
      </c>
      <c r="P352" s="875">
        <v>1.0</v>
      </c>
      <c r="Q352" s="874">
        <v>1.0</v>
      </c>
      <c r="R352" s="863"/>
      <c r="S352" s="858"/>
      <c r="T352" s="858"/>
      <c r="U352" s="858"/>
      <c r="V352" s="858"/>
      <c r="W352" s="858"/>
      <c r="X352" s="858"/>
      <c r="Y352" s="858"/>
      <c r="Z352" s="858"/>
      <c r="AA352" s="858"/>
      <c r="AB352" s="858"/>
      <c r="AC352" s="858"/>
      <c r="AD352" s="858"/>
      <c r="AE352" s="858"/>
      <c r="AF352" s="858"/>
      <c r="AG352" s="858"/>
      <c r="AH352" s="858"/>
      <c r="AI352" s="858"/>
      <c r="AJ352" s="858"/>
    </row>
    <row r="353" ht="15.75" customHeight="1">
      <c r="A353" s="342">
        <v>390.0</v>
      </c>
      <c r="B353" s="875"/>
      <c r="C353" s="875"/>
      <c r="D353" s="890" t="s">
        <v>20132</v>
      </c>
      <c r="E353" s="345" t="s">
        <v>13047</v>
      </c>
      <c r="F353" s="345" t="s">
        <v>29</v>
      </c>
      <c r="G353" s="875" t="s">
        <v>30</v>
      </c>
      <c r="H353" s="433"/>
      <c r="I353" s="875" t="s">
        <v>30</v>
      </c>
      <c r="J353" s="875"/>
      <c r="K353" s="875"/>
      <c r="L353" s="890" t="s">
        <v>20320</v>
      </c>
      <c r="M353" s="875"/>
      <c r="N353" s="875">
        <v>2005.0</v>
      </c>
      <c r="O353" s="875" t="s">
        <v>388</v>
      </c>
      <c r="P353" s="875">
        <v>1.0</v>
      </c>
      <c r="Q353" s="874">
        <v>1.0</v>
      </c>
      <c r="R353" s="863"/>
      <c r="S353" s="858"/>
      <c r="T353" s="858"/>
      <c r="U353" s="858"/>
      <c r="V353" s="858"/>
      <c r="W353" s="858"/>
      <c r="X353" s="858"/>
      <c r="Y353" s="858"/>
      <c r="Z353" s="858"/>
      <c r="AA353" s="858"/>
      <c r="AB353" s="858"/>
      <c r="AC353" s="858"/>
      <c r="AD353" s="858"/>
      <c r="AE353" s="858"/>
      <c r="AF353" s="858"/>
      <c r="AG353" s="858"/>
      <c r="AH353" s="858"/>
      <c r="AI353" s="858"/>
      <c r="AJ353" s="858"/>
    </row>
    <row r="354" ht="15.75" customHeight="1">
      <c r="A354" s="342">
        <v>391.0</v>
      </c>
      <c r="B354" s="875"/>
      <c r="C354" s="875"/>
      <c r="D354" s="890" t="s">
        <v>20134</v>
      </c>
      <c r="E354" s="345" t="s">
        <v>13047</v>
      </c>
      <c r="F354" s="345" t="s">
        <v>29</v>
      </c>
      <c r="G354" s="875" t="s">
        <v>30</v>
      </c>
      <c r="H354" s="433"/>
      <c r="I354" s="875" t="s">
        <v>30</v>
      </c>
      <c r="J354" s="875"/>
      <c r="K354" s="875"/>
      <c r="L354" s="890" t="s">
        <v>20320</v>
      </c>
      <c r="M354" s="875"/>
      <c r="N354" s="345">
        <v>2006.0</v>
      </c>
      <c r="O354" s="875" t="s">
        <v>388</v>
      </c>
      <c r="P354" s="875">
        <v>1.0</v>
      </c>
      <c r="Q354" s="874">
        <v>1.0</v>
      </c>
      <c r="R354" s="863"/>
      <c r="S354" s="858"/>
      <c r="T354" s="858"/>
      <c r="U354" s="858"/>
      <c r="V354" s="858"/>
      <c r="W354" s="858"/>
      <c r="X354" s="858"/>
      <c r="Y354" s="858"/>
      <c r="Z354" s="858"/>
      <c r="AA354" s="858"/>
      <c r="AB354" s="858"/>
      <c r="AC354" s="858"/>
      <c r="AD354" s="858"/>
      <c r="AE354" s="858"/>
      <c r="AF354" s="858"/>
      <c r="AG354" s="858"/>
      <c r="AH354" s="858"/>
      <c r="AI354" s="858"/>
      <c r="AJ354" s="858"/>
    </row>
    <row r="355" ht="15.75" customHeight="1">
      <c r="A355" s="342">
        <v>392.0</v>
      </c>
      <c r="B355" s="875"/>
      <c r="C355" s="875"/>
      <c r="D355" s="890" t="s">
        <v>20136</v>
      </c>
      <c r="E355" s="345" t="s">
        <v>13047</v>
      </c>
      <c r="F355" s="345" t="s">
        <v>29</v>
      </c>
      <c r="G355" s="875" t="s">
        <v>30</v>
      </c>
      <c r="H355" s="433"/>
      <c r="I355" s="875" t="s">
        <v>30</v>
      </c>
      <c r="J355" s="875"/>
      <c r="K355" s="875"/>
      <c r="L355" s="890" t="s">
        <v>20320</v>
      </c>
      <c r="M355" s="875"/>
      <c r="N355" s="345">
        <v>2007.0</v>
      </c>
      <c r="O355" s="875" t="s">
        <v>388</v>
      </c>
      <c r="P355" s="875">
        <v>1.0</v>
      </c>
      <c r="Q355" s="874">
        <v>1.0</v>
      </c>
      <c r="R355" s="863"/>
      <c r="S355" s="858"/>
      <c r="T355" s="858"/>
      <c r="U355" s="858"/>
      <c r="V355" s="858"/>
      <c r="W355" s="858"/>
      <c r="X355" s="858"/>
      <c r="Y355" s="858"/>
      <c r="Z355" s="858"/>
      <c r="AA355" s="858"/>
      <c r="AB355" s="858"/>
      <c r="AC355" s="858"/>
      <c r="AD355" s="858"/>
      <c r="AE355" s="858"/>
      <c r="AF355" s="858"/>
      <c r="AG355" s="858"/>
      <c r="AH355" s="858"/>
      <c r="AI355" s="858"/>
      <c r="AJ355" s="858"/>
    </row>
    <row r="356" ht="15.75" customHeight="1">
      <c r="A356" s="342">
        <v>393.0</v>
      </c>
      <c r="B356" s="875"/>
      <c r="C356" s="875"/>
      <c r="D356" s="890" t="s">
        <v>20138</v>
      </c>
      <c r="E356" s="345" t="s">
        <v>13047</v>
      </c>
      <c r="F356" s="345" t="s">
        <v>29</v>
      </c>
      <c r="G356" s="875" t="s">
        <v>30</v>
      </c>
      <c r="H356" s="433"/>
      <c r="I356" s="875" t="s">
        <v>30</v>
      </c>
      <c r="J356" s="875"/>
      <c r="K356" s="875"/>
      <c r="L356" s="890" t="s">
        <v>20320</v>
      </c>
      <c r="M356" s="875"/>
      <c r="N356" s="345">
        <v>2010.0</v>
      </c>
      <c r="O356" s="875" t="s">
        <v>388</v>
      </c>
      <c r="P356" s="875">
        <v>1.0</v>
      </c>
      <c r="Q356" s="874">
        <v>1.0</v>
      </c>
      <c r="R356" s="863"/>
      <c r="S356" s="858"/>
      <c r="T356" s="858"/>
      <c r="U356" s="858"/>
      <c r="V356" s="858"/>
      <c r="W356" s="858"/>
      <c r="X356" s="858"/>
      <c r="Y356" s="858"/>
      <c r="Z356" s="858"/>
      <c r="AA356" s="858"/>
      <c r="AB356" s="858"/>
      <c r="AC356" s="858"/>
      <c r="AD356" s="858"/>
      <c r="AE356" s="858"/>
      <c r="AF356" s="858"/>
      <c r="AG356" s="858"/>
      <c r="AH356" s="858"/>
      <c r="AI356" s="858"/>
      <c r="AJ356" s="858"/>
    </row>
    <row r="357" ht="15.75" customHeight="1">
      <c r="A357" s="342">
        <v>394.0</v>
      </c>
      <c r="B357" s="875"/>
      <c r="C357" s="875"/>
      <c r="D357" s="890" t="s">
        <v>20140</v>
      </c>
      <c r="E357" s="345" t="s">
        <v>13047</v>
      </c>
      <c r="F357" s="345" t="s">
        <v>29</v>
      </c>
      <c r="G357" s="875" t="s">
        <v>30</v>
      </c>
      <c r="H357" s="433"/>
      <c r="I357" s="875" t="s">
        <v>30</v>
      </c>
      <c r="J357" s="875"/>
      <c r="K357" s="875"/>
      <c r="L357" s="890" t="s">
        <v>20320</v>
      </c>
      <c r="M357" s="875"/>
      <c r="N357" s="345">
        <v>2011.0</v>
      </c>
      <c r="O357" s="875" t="s">
        <v>388</v>
      </c>
      <c r="P357" s="875">
        <v>1.0</v>
      </c>
      <c r="Q357" s="874">
        <v>1.0</v>
      </c>
      <c r="R357" s="863"/>
      <c r="S357" s="858"/>
      <c r="T357" s="858"/>
      <c r="U357" s="858"/>
      <c r="V357" s="858"/>
      <c r="W357" s="858"/>
      <c r="X357" s="858"/>
      <c r="Y357" s="858"/>
      <c r="Z357" s="858"/>
      <c r="AA357" s="858"/>
      <c r="AB357" s="858"/>
      <c r="AC357" s="858"/>
      <c r="AD357" s="858"/>
      <c r="AE357" s="858"/>
      <c r="AF357" s="858"/>
      <c r="AG357" s="858"/>
      <c r="AH357" s="858"/>
      <c r="AI357" s="858"/>
      <c r="AJ357" s="858"/>
    </row>
    <row r="358" ht="15.75" customHeight="1">
      <c r="A358" s="342">
        <v>395.0</v>
      </c>
      <c r="B358" s="875"/>
      <c r="C358" s="875"/>
      <c r="D358" s="890" t="s">
        <v>20142</v>
      </c>
      <c r="E358" s="345" t="s">
        <v>13047</v>
      </c>
      <c r="F358" s="345" t="s">
        <v>29</v>
      </c>
      <c r="G358" s="875" t="s">
        <v>30</v>
      </c>
      <c r="H358" s="433"/>
      <c r="I358" s="875" t="s">
        <v>30</v>
      </c>
      <c r="J358" s="875"/>
      <c r="K358" s="875"/>
      <c r="L358" s="890" t="s">
        <v>20320</v>
      </c>
      <c r="M358" s="875"/>
      <c r="N358" s="345">
        <v>2011.0</v>
      </c>
      <c r="O358" s="875" t="s">
        <v>388</v>
      </c>
      <c r="P358" s="875">
        <v>1.0</v>
      </c>
      <c r="Q358" s="874">
        <v>1.0</v>
      </c>
      <c r="R358" s="863"/>
      <c r="S358" s="858"/>
      <c r="T358" s="858"/>
      <c r="U358" s="858"/>
      <c r="V358" s="858"/>
      <c r="W358" s="858"/>
      <c r="X358" s="858"/>
      <c r="Y358" s="858"/>
      <c r="Z358" s="858"/>
      <c r="AA358" s="858"/>
      <c r="AB358" s="858"/>
      <c r="AC358" s="858"/>
      <c r="AD358" s="858"/>
      <c r="AE358" s="858"/>
      <c r="AF358" s="858"/>
      <c r="AG358" s="858"/>
      <c r="AH358" s="858"/>
      <c r="AI358" s="858"/>
      <c r="AJ358" s="858"/>
    </row>
    <row r="359" ht="15.75" customHeight="1">
      <c r="A359" s="342">
        <v>396.0</v>
      </c>
      <c r="B359" s="875"/>
      <c r="C359" s="875"/>
      <c r="D359" s="890" t="s">
        <v>20144</v>
      </c>
      <c r="E359" s="345" t="s">
        <v>13047</v>
      </c>
      <c r="F359" s="345" t="s">
        <v>29</v>
      </c>
      <c r="G359" s="875" t="s">
        <v>30</v>
      </c>
      <c r="H359" s="433"/>
      <c r="I359" s="875" t="s">
        <v>30</v>
      </c>
      <c r="J359" s="875"/>
      <c r="K359" s="875"/>
      <c r="L359" s="890" t="s">
        <v>20320</v>
      </c>
      <c r="M359" s="875"/>
      <c r="N359" s="345">
        <v>2012.0</v>
      </c>
      <c r="O359" s="875" t="s">
        <v>388</v>
      </c>
      <c r="P359" s="875">
        <v>1.0</v>
      </c>
      <c r="Q359" s="874">
        <v>1.0</v>
      </c>
      <c r="R359" s="863"/>
      <c r="S359" s="858"/>
      <c r="T359" s="858"/>
      <c r="U359" s="858"/>
      <c r="V359" s="858"/>
      <c r="W359" s="858"/>
      <c r="X359" s="858"/>
      <c r="Y359" s="858"/>
      <c r="Z359" s="858"/>
      <c r="AA359" s="858"/>
      <c r="AB359" s="858"/>
      <c r="AC359" s="858"/>
      <c r="AD359" s="858"/>
      <c r="AE359" s="858"/>
      <c r="AF359" s="858"/>
      <c r="AG359" s="858"/>
      <c r="AH359" s="858"/>
      <c r="AI359" s="858"/>
      <c r="AJ359" s="858"/>
    </row>
    <row r="360" ht="15.75" customHeight="1">
      <c r="A360" s="342">
        <v>397.0</v>
      </c>
      <c r="B360" s="875"/>
      <c r="C360" s="875"/>
      <c r="D360" s="890" t="s">
        <v>20146</v>
      </c>
      <c r="E360" s="345" t="s">
        <v>13047</v>
      </c>
      <c r="F360" s="345" t="s">
        <v>29</v>
      </c>
      <c r="G360" s="875" t="s">
        <v>30</v>
      </c>
      <c r="H360" s="433"/>
      <c r="I360" s="875" t="s">
        <v>30</v>
      </c>
      <c r="J360" s="875"/>
      <c r="K360" s="875"/>
      <c r="L360" s="890" t="s">
        <v>20320</v>
      </c>
      <c r="M360" s="875"/>
      <c r="N360" s="345">
        <v>2012.0</v>
      </c>
      <c r="O360" s="875" t="s">
        <v>388</v>
      </c>
      <c r="P360" s="875">
        <v>1.0</v>
      </c>
      <c r="Q360" s="874">
        <v>1.0</v>
      </c>
      <c r="R360" s="863"/>
      <c r="S360" s="858"/>
      <c r="T360" s="858"/>
      <c r="U360" s="858"/>
      <c r="V360" s="858"/>
      <c r="W360" s="858"/>
      <c r="X360" s="858"/>
      <c r="Y360" s="858"/>
      <c r="Z360" s="858"/>
      <c r="AA360" s="858"/>
      <c r="AB360" s="858"/>
      <c r="AC360" s="858"/>
      <c r="AD360" s="858"/>
      <c r="AE360" s="858"/>
      <c r="AF360" s="858"/>
      <c r="AG360" s="858"/>
      <c r="AH360" s="858"/>
      <c r="AI360" s="858"/>
      <c r="AJ360" s="858"/>
    </row>
    <row r="361" ht="15.75" customHeight="1">
      <c r="A361" s="342">
        <v>398.0</v>
      </c>
      <c r="B361" s="875"/>
      <c r="C361" s="875"/>
      <c r="D361" s="890" t="s">
        <v>20148</v>
      </c>
      <c r="E361" s="345" t="s">
        <v>13047</v>
      </c>
      <c r="F361" s="345" t="s">
        <v>29</v>
      </c>
      <c r="G361" s="875" t="s">
        <v>30</v>
      </c>
      <c r="H361" s="433"/>
      <c r="I361" s="875" t="s">
        <v>30</v>
      </c>
      <c r="J361" s="875"/>
      <c r="K361" s="875"/>
      <c r="L361" s="890" t="s">
        <v>20320</v>
      </c>
      <c r="M361" s="875"/>
      <c r="N361" s="345">
        <v>2013.0</v>
      </c>
      <c r="O361" s="875" t="s">
        <v>388</v>
      </c>
      <c r="P361" s="875">
        <v>1.0</v>
      </c>
      <c r="Q361" s="874">
        <v>1.0</v>
      </c>
      <c r="R361" s="863"/>
      <c r="S361" s="858"/>
      <c r="T361" s="858"/>
      <c r="U361" s="858"/>
      <c r="V361" s="858"/>
      <c r="W361" s="858"/>
      <c r="X361" s="858"/>
      <c r="Y361" s="858"/>
      <c r="Z361" s="858"/>
      <c r="AA361" s="858"/>
      <c r="AB361" s="858"/>
      <c r="AC361" s="858"/>
      <c r="AD361" s="858"/>
      <c r="AE361" s="858"/>
      <c r="AF361" s="858"/>
      <c r="AG361" s="858"/>
      <c r="AH361" s="858"/>
      <c r="AI361" s="858"/>
      <c r="AJ361" s="858"/>
    </row>
    <row r="362" ht="15.75" customHeight="1">
      <c r="A362" s="342">
        <v>399.0</v>
      </c>
      <c r="B362" s="875"/>
      <c r="C362" s="875"/>
      <c r="D362" s="890" t="s">
        <v>20327</v>
      </c>
      <c r="E362" s="345" t="s">
        <v>13047</v>
      </c>
      <c r="F362" s="345" t="s">
        <v>29</v>
      </c>
      <c r="G362" s="875" t="s">
        <v>30</v>
      </c>
      <c r="H362" s="433"/>
      <c r="I362" s="875" t="s">
        <v>30</v>
      </c>
      <c r="J362" s="875">
        <v>104.0</v>
      </c>
      <c r="K362" s="875"/>
      <c r="L362" s="890" t="s">
        <v>20328</v>
      </c>
      <c r="M362" s="875"/>
      <c r="N362" s="345">
        <v>2015.0</v>
      </c>
      <c r="O362" s="875" t="s">
        <v>388</v>
      </c>
      <c r="P362" s="875">
        <v>1.0</v>
      </c>
      <c r="Q362" s="874">
        <v>1.0</v>
      </c>
      <c r="R362" s="863"/>
      <c r="S362" s="858"/>
      <c r="T362" s="858"/>
      <c r="U362" s="858"/>
      <c r="V362" s="858"/>
      <c r="W362" s="858"/>
      <c r="X362" s="858"/>
      <c r="Y362" s="858"/>
      <c r="Z362" s="858"/>
      <c r="AA362" s="858"/>
      <c r="AB362" s="858"/>
      <c r="AC362" s="858"/>
      <c r="AD362" s="858"/>
      <c r="AE362" s="858"/>
      <c r="AF362" s="858"/>
      <c r="AG362" s="858"/>
      <c r="AH362" s="858"/>
      <c r="AI362" s="858"/>
      <c r="AJ362" s="858"/>
    </row>
    <row r="363" ht="15.75" customHeight="1">
      <c r="A363" s="342">
        <v>400.0</v>
      </c>
      <c r="B363" s="875"/>
      <c r="C363" s="875"/>
      <c r="D363" s="890" t="s">
        <v>20329</v>
      </c>
      <c r="E363" s="345" t="s">
        <v>13047</v>
      </c>
      <c r="F363" s="345" t="s">
        <v>29</v>
      </c>
      <c r="G363" s="875" t="s">
        <v>30</v>
      </c>
      <c r="H363" s="433"/>
      <c r="I363" s="875" t="s">
        <v>30</v>
      </c>
      <c r="J363" s="875">
        <f t="shared" ref="J363:J365" si="3">96-49</f>
        <v>47</v>
      </c>
      <c r="K363" s="875"/>
      <c r="L363" s="890" t="s">
        <v>3991</v>
      </c>
      <c r="M363" s="875"/>
      <c r="N363" s="345">
        <v>2016.0</v>
      </c>
      <c r="O363" s="875" t="s">
        <v>388</v>
      </c>
      <c r="P363" s="875">
        <v>1.0</v>
      </c>
      <c r="Q363" s="874">
        <v>1.0</v>
      </c>
      <c r="R363" s="863"/>
      <c r="S363" s="858"/>
      <c r="T363" s="858"/>
      <c r="U363" s="858"/>
      <c r="V363" s="858"/>
      <c r="W363" s="858"/>
      <c r="X363" s="858"/>
      <c r="Y363" s="858"/>
      <c r="Z363" s="858"/>
      <c r="AA363" s="858"/>
      <c r="AB363" s="858"/>
      <c r="AC363" s="858"/>
      <c r="AD363" s="858"/>
      <c r="AE363" s="858"/>
      <c r="AF363" s="858"/>
      <c r="AG363" s="858"/>
      <c r="AH363" s="858"/>
      <c r="AI363" s="858"/>
      <c r="AJ363" s="858"/>
    </row>
    <row r="364" ht="15.75" customHeight="1">
      <c r="A364" s="342">
        <v>401.0</v>
      </c>
      <c r="B364" s="875" t="s">
        <v>31</v>
      </c>
      <c r="C364" s="875" t="s">
        <v>20330</v>
      </c>
      <c r="D364" s="890" t="s">
        <v>20331</v>
      </c>
      <c r="E364" s="345" t="s">
        <v>13047</v>
      </c>
      <c r="F364" s="345" t="s">
        <v>29</v>
      </c>
      <c r="G364" s="875" t="s">
        <v>30</v>
      </c>
      <c r="H364" s="433"/>
      <c r="I364" s="875" t="s">
        <v>30</v>
      </c>
      <c r="J364" s="875">
        <f t="shared" si="3"/>
        <v>47</v>
      </c>
      <c r="K364" s="875"/>
      <c r="L364" s="890" t="s">
        <v>3991</v>
      </c>
      <c r="M364" s="875"/>
      <c r="N364" s="345">
        <v>2016.0</v>
      </c>
      <c r="O364" s="875" t="s">
        <v>388</v>
      </c>
      <c r="P364" s="875">
        <v>1.0</v>
      </c>
      <c r="Q364" s="874">
        <v>1.0</v>
      </c>
      <c r="R364" s="863"/>
      <c r="S364" s="858"/>
      <c r="T364" s="858"/>
      <c r="U364" s="858"/>
      <c r="V364" s="858"/>
      <c r="W364" s="858"/>
      <c r="X364" s="858"/>
      <c r="Y364" s="858"/>
      <c r="Z364" s="858"/>
      <c r="AA364" s="858"/>
      <c r="AB364" s="858"/>
      <c r="AC364" s="858"/>
      <c r="AD364" s="858"/>
      <c r="AE364" s="858"/>
      <c r="AF364" s="858"/>
      <c r="AG364" s="858"/>
      <c r="AH364" s="858"/>
      <c r="AI364" s="858"/>
      <c r="AJ364" s="858"/>
    </row>
    <row r="365" ht="15.75" customHeight="1">
      <c r="A365" s="342">
        <v>402.0</v>
      </c>
      <c r="B365" s="875" t="s">
        <v>31</v>
      </c>
      <c r="C365" s="875" t="s">
        <v>20332</v>
      </c>
      <c r="D365" s="890" t="s">
        <v>20333</v>
      </c>
      <c r="E365" s="345" t="s">
        <v>13047</v>
      </c>
      <c r="F365" s="345" t="s">
        <v>29</v>
      </c>
      <c r="G365" s="875" t="s">
        <v>30</v>
      </c>
      <c r="H365" s="433"/>
      <c r="I365" s="875" t="s">
        <v>30</v>
      </c>
      <c r="J365" s="875">
        <f t="shared" si="3"/>
        <v>47</v>
      </c>
      <c r="K365" s="875"/>
      <c r="L365" s="890" t="s">
        <v>3991</v>
      </c>
      <c r="M365" s="875"/>
      <c r="N365" s="345">
        <v>2016.0</v>
      </c>
      <c r="O365" s="875" t="s">
        <v>388</v>
      </c>
      <c r="P365" s="875">
        <v>1.0</v>
      </c>
      <c r="Q365" s="874">
        <v>1.0</v>
      </c>
      <c r="R365" s="863"/>
      <c r="S365" s="858"/>
      <c r="T365" s="858"/>
      <c r="U365" s="858"/>
      <c r="V365" s="858"/>
      <c r="W365" s="858"/>
      <c r="X365" s="858"/>
      <c r="Y365" s="858"/>
      <c r="Z365" s="858"/>
      <c r="AA365" s="858"/>
      <c r="AB365" s="858"/>
      <c r="AC365" s="858"/>
      <c r="AD365" s="858"/>
      <c r="AE365" s="858"/>
      <c r="AF365" s="858"/>
      <c r="AG365" s="858"/>
      <c r="AH365" s="858"/>
      <c r="AI365" s="858"/>
      <c r="AJ365" s="858"/>
    </row>
    <row r="366" ht="15.75" customHeight="1">
      <c r="A366" s="342">
        <v>403.0</v>
      </c>
      <c r="B366" s="875" t="s">
        <v>31</v>
      </c>
      <c r="C366" s="875" t="s">
        <v>20334</v>
      </c>
      <c r="D366" s="890" t="s">
        <v>20335</v>
      </c>
      <c r="E366" s="345" t="s">
        <v>13047</v>
      </c>
      <c r="F366" s="345" t="s">
        <v>29</v>
      </c>
      <c r="G366" s="875" t="s">
        <v>30</v>
      </c>
      <c r="H366" s="433"/>
      <c r="I366" s="875" t="s">
        <v>30</v>
      </c>
      <c r="J366" s="875">
        <v>91.0</v>
      </c>
      <c r="K366" s="875"/>
      <c r="L366" s="890" t="s">
        <v>20336</v>
      </c>
      <c r="M366" s="875"/>
      <c r="N366" s="345">
        <v>2015.0</v>
      </c>
      <c r="O366" s="875" t="s">
        <v>388</v>
      </c>
      <c r="P366" s="875">
        <v>1.0</v>
      </c>
      <c r="Q366" s="874">
        <v>1.0</v>
      </c>
      <c r="R366" s="863"/>
      <c r="S366" s="858"/>
      <c r="T366" s="858"/>
      <c r="U366" s="858"/>
      <c r="V366" s="858"/>
      <c r="W366" s="858"/>
      <c r="X366" s="858"/>
      <c r="Y366" s="858"/>
      <c r="Z366" s="858"/>
      <c r="AA366" s="858"/>
      <c r="AB366" s="858"/>
      <c r="AC366" s="858"/>
      <c r="AD366" s="858"/>
      <c r="AE366" s="858"/>
      <c r="AF366" s="858"/>
      <c r="AG366" s="858"/>
      <c r="AH366" s="858"/>
      <c r="AI366" s="858"/>
      <c r="AJ366" s="858"/>
    </row>
    <row r="367" ht="15.75" customHeight="1">
      <c r="A367" s="342">
        <v>404.0</v>
      </c>
      <c r="B367" s="875" t="s">
        <v>31</v>
      </c>
      <c r="C367" s="875" t="s">
        <v>20334</v>
      </c>
      <c r="D367" s="890" t="s">
        <v>20337</v>
      </c>
      <c r="E367" s="345" t="s">
        <v>13047</v>
      </c>
      <c r="F367" s="345" t="s">
        <v>29</v>
      </c>
      <c r="G367" s="875" t="s">
        <v>30</v>
      </c>
      <c r="H367" s="433"/>
      <c r="I367" s="875" t="s">
        <v>30</v>
      </c>
      <c r="J367" s="875">
        <v>91.0</v>
      </c>
      <c r="K367" s="875"/>
      <c r="L367" s="890" t="s">
        <v>20336</v>
      </c>
      <c r="M367" s="875"/>
      <c r="N367" s="345">
        <v>2015.0</v>
      </c>
      <c r="O367" s="875" t="s">
        <v>388</v>
      </c>
      <c r="P367" s="875">
        <v>1.0</v>
      </c>
      <c r="Q367" s="874">
        <v>1.0</v>
      </c>
      <c r="R367" s="863"/>
      <c r="S367" s="858"/>
      <c r="T367" s="858"/>
      <c r="U367" s="858"/>
      <c r="V367" s="858"/>
      <c r="W367" s="858"/>
      <c r="X367" s="858"/>
      <c r="Y367" s="858"/>
      <c r="Z367" s="858"/>
      <c r="AA367" s="858"/>
      <c r="AB367" s="858"/>
      <c r="AC367" s="858"/>
      <c r="AD367" s="858"/>
      <c r="AE367" s="858"/>
      <c r="AF367" s="858"/>
      <c r="AG367" s="858"/>
      <c r="AH367" s="858"/>
      <c r="AI367" s="858"/>
      <c r="AJ367" s="858"/>
    </row>
    <row r="368" ht="15.75" customHeight="1">
      <c r="A368" s="342">
        <v>405.0</v>
      </c>
      <c r="B368" s="875" t="s">
        <v>20338</v>
      </c>
      <c r="C368" s="875" t="s">
        <v>20339</v>
      </c>
      <c r="D368" s="890" t="s">
        <v>20340</v>
      </c>
      <c r="E368" s="345" t="s">
        <v>13047</v>
      </c>
      <c r="F368" s="345" t="s">
        <v>29</v>
      </c>
      <c r="G368" s="875" t="s">
        <v>38</v>
      </c>
      <c r="H368" s="433"/>
      <c r="I368" s="875" t="s">
        <v>38</v>
      </c>
      <c r="J368" s="875">
        <v>115.0</v>
      </c>
      <c r="K368" s="875"/>
      <c r="L368" s="876" t="s">
        <v>20341</v>
      </c>
      <c r="M368" s="875"/>
      <c r="N368" s="345">
        <v>2016.0</v>
      </c>
      <c r="O368" s="875" t="s">
        <v>388</v>
      </c>
      <c r="P368" s="875">
        <v>1.0</v>
      </c>
      <c r="Q368" s="874">
        <v>1.0</v>
      </c>
      <c r="R368" s="863"/>
      <c r="S368" s="858"/>
      <c r="T368" s="858"/>
      <c r="U368" s="858"/>
      <c r="V368" s="858"/>
      <c r="W368" s="858"/>
      <c r="X368" s="858"/>
      <c r="Y368" s="858"/>
      <c r="Z368" s="858"/>
      <c r="AA368" s="858"/>
      <c r="AB368" s="858"/>
      <c r="AC368" s="858"/>
      <c r="AD368" s="858"/>
      <c r="AE368" s="858"/>
      <c r="AF368" s="858"/>
      <c r="AG368" s="858"/>
      <c r="AH368" s="858"/>
      <c r="AI368" s="858"/>
      <c r="AJ368" s="858"/>
    </row>
    <row r="369" ht="15.75" customHeight="1">
      <c r="A369" s="342">
        <v>406.0</v>
      </c>
      <c r="B369" s="875" t="s">
        <v>20342</v>
      </c>
      <c r="C369" s="875" t="s">
        <v>20343</v>
      </c>
      <c r="D369" s="890" t="s">
        <v>20344</v>
      </c>
      <c r="E369" s="345" t="s">
        <v>13047</v>
      </c>
      <c r="F369" s="345" t="s">
        <v>29</v>
      </c>
      <c r="G369" s="875" t="s">
        <v>38</v>
      </c>
      <c r="H369" s="433"/>
      <c r="I369" s="875" t="s">
        <v>131</v>
      </c>
      <c r="J369" s="875">
        <v>119.0</v>
      </c>
      <c r="K369" s="875"/>
      <c r="L369" s="890" t="s">
        <v>20345</v>
      </c>
      <c r="M369" s="875"/>
      <c r="N369" s="345">
        <v>2015.0</v>
      </c>
      <c r="O369" s="875" t="s">
        <v>388</v>
      </c>
      <c r="P369" s="875">
        <v>1.0</v>
      </c>
      <c r="Q369" s="874">
        <v>1.0</v>
      </c>
      <c r="R369" s="863"/>
      <c r="S369" s="858"/>
      <c r="T369" s="858"/>
      <c r="U369" s="858"/>
      <c r="V369" s="858"/>
      <c r="W369" s="858"/>
      <c r="X369" s="858"/>
      <c r="Y369" s="858"/>
      <c r="Z369" s="858"/>
      <c r="AA369" s="858"/>
      <c r="AB369" s="858"/>
      <c r="AC369" s="858"/>
      <c r="AD369" s="858"/>
      <c r="AE369" s="858"/>
      <c r="AF369" s="858"/>
      <c r="AG369" s="858"/>
      <c r="AH369" s="858"/>
      <c r="AI369" s="858"/>
      <c r="AJ369" s="858"/>
    </row>
    <row r="370" ht="15.75" customHeight="1">
      <c r="A370" s="342">
        <v>407.0</v>
      </c>
      <c r="B370" s="875" t="s">
        <v>5026</v>
      </c>
      <c r="C370" s="875" t="s">
        <v>20346</v>
      </c>
      <c r="D370" s="876" t="s">
        <v>19560</v>
      </c>
      <c r="E370" s="345" t="s">
        <v>13047</v>
      </c>
      <c r="F370" s="345" t="s">
        <v>29</v>
      </c>
      <c r="G370" s="875" t="s">
        <v>38</v>
      </c>
      <c r="H370" s="433"/>
      <c r="I370" s="875" t="s">
        <v>38</v>
      </c>
      <c r="J370" s="875">
        <v>104.0</v>
      </c>
      <c r="K370" s="875"/>
      <c r="L370" s="890"/>
      <c r="M370" s="875" t="s">
        <v>20306</v>
      </c>
      <c r="N370" s="345">
        <v>2016.0</v>
      </c>
      <c r="O370" s="875" t="s">
        <v>388</v>
      </c>
      <c r="P370" s="875">
        <v>5.0</v>
      </c>
      <c r="Q370" s="874">
        <v>1.0</v>
      </c>
      <c r="R370" s="863"/>
      <c r="S370" s="858"/>
      <c r="T370" s="858"/>
      <c r="U370" s="858"/>
      <c r="V370" s="858"/>
      <c r="W370" s="858"/>
      <c r="X370" s="858"/>
      <c r="Y370" s="858"/>
      <c r="Z370" s="858"/>
      <c r="AA370" s="858"/>
      <c r="AB370" s="858"/>
      <c r="AC370" s="858"/>
      <c r="AD370" s="858"/>
      <c r="AE370" s="858"/>
      <c r="AF370" s="858"/>
      <c r="AG370" s="858"/>
      <c r="AH370" s="858"/>
      <c r="AI370" s="858"/>
      <c r="AJ370" s="858"/>
    </row>
    <row r="371" ht="15.75" customHeight="1">
      <c r="A371" s="342">
        <v>408.0</v>
      </c>
      <c r="B371" s="875" t="s">
        <v>31</v>
      </c>
      <c r="C371" s="875" t="s">
        <v>20347</v>
      </c>
      <c r="D371" s="890" t="s">
        <v>20348</v>
      </c>
      <c r="E371" s="345" t="s">
        <v>13047</v>
      </c>
      <c r="F371" s="345" t="s">
        <v>29</v>
      </c>
      <c r="G371" s="875" t="s">
        <v>131</v>
      </c>
      <c r="H371" s="433"/>
      <c r="I371" s="875" t="s">
        <v>38</v>
      </c>
      <c r="J371" s="875">
        <f>374-91</f>
        <v>283</v>
      </c>
      <c r="K371" s="875"/>
      <c r="L371" s="890"/>
      <c r="M371" s="875" t="s">
        <v>20303</v>
      </c>
      <c r="N371" s="345">
        <v>2015.0</v>
      </c>
      <c r="O371" s="875" t="s">
        <v>388</v>
      </c>
      <c r="P371" s="875">
        <v>1.0</v>
      </c>
      <c r="Q371" s="874">
        <v>1.0</v>
      </c>
      <c r="R371" s="863"/>
      <c r="S371" s="858"/>
      <c r="T371" s="858"/>
      <c r="U371" s="858"/>
      <c r="V371" s="858"/>
      <c r="W371" s="858"/>
      <c r="X371" s="858"/>
      <c r="Y371" s="858"/>
      <c r="Z371" s="858"/>
      <c r="AA371" s="858"/>
      <c r="AB371" s="858"/>
      <c r="AC371" s="858"/>
      <c r="AD371" s="858"/>
      <c r="AE371" s="858"/>
      <c r="AF371" s="858"/>
      <c r="AG371" s="858"/>
      <c r="AH371" s="858"/>
      <c r="AI371" s="858"/>
      <c r="AJ371" s="858"/>
    </row>
    <row r="372" ht="15.75" customHeight="1">
      <c r="A372" s="342">
        <v>409.0</v>
      </c>
      <c r="B372" s="875" t="s">
        <v>19775</v>
      </c>
      <c r="C372" s="875" t="s">
        <v>19776</v>
      </c>
      <c r="D372" s="890" t="s">
        <v>20349</v>
      </c>
      <c r="E372" s="345" t="s">
        <v>13047</v>
      </c>
      <c r="F372" s="345" t="s">
        <v>29</v>
      </c>
      <c r="G372" s="875" t="s">
        <v>37</v>
      </c>
      <c r="H372" s="433"/>
      <c r="I372" s="875" t="s">
        <v>30</v>
      </c>
      <c r="J372" s="875">
        <v>130.0</v>
      </c>
      <c r="K372" s="875"/>
      <c r="L372" s="890"/>
      <c r="M372" s="875" t="s">
        <v>19870</v>
      </c>
      <c r="N372" s="345">
        <v>2016.0</v>
      </c>
      <c r="O372" s="875" t="s">
        <v>388</v>
      </c>
      <c r="P372" s="875">
        <v>1.0</v>
      </c>
      <c r="Q372" s="874">
        <v>1.0</v>
      </c>
      <c r="R372" s="863"/>
      <c r="S372" s="858"/>
      <c r="T372" s="858"/>
      <c r="U372" s="858"/>
      <c r="V372" s="858"/>
      <c r="W372" s="858"/>
      <c r="X372" s="858"/>
      <c r="Y372" s="858"/>
      <c r="Z372" s="858"/>
      <c r="AA372" s="858"/>
      <c r="AB372" s="858"/>
      <c r="AC372" s="858"/>
      <c r="AD372" s="858"/>
      <c r="AE372" s="858"/>
      <c r="AF372" s="858"/>
      <c r="AG372" s="858"/>
      <c r="AH372" s="858"/>
      <c r="AI372" s="858"/>
      <c r="AJ372" s="858"/>
    </row>
    <row r="373" ht="15.75" customHeight="1">
      <c r="A373" s="342">
        <v>410.0</v>
      </c>
      <c r="B373" s="875"/>
      <c r="C373" s="875" t="s">
        <v>20350</v>
      </c>
      <c r="D373" s="890" t="s">
        <v>20351</v>
      </c>
      <c r="E373" s="345" t="s">
        <v>13047</v>
      </c>
      <c r="F373" s="345" t="s">
        <v>29</v>
      </c>
      <c r="G373" s="875" t="s">
        <v>37</v>
      </c>
      <c r="H373" s="433"/>
      <c r="I373" s="875" t="s">
        <v>38</v>
      </c>
      <c r="J373" s="875">
        <v>131.0</v>
      </c>
      <c r="K373" s="875"/>
      <c r="L373" s="890"/>
      <c r="M373" s="875" t="s">
        <v>20306</v>
      </c>
      <c r="N373" s="345">
        <v>2016.0</v>
      </c>
      <c r="O373" s="875" t="s">
        <v>388</v>
      </c>
      <c r="P373" s="875">
        <v>1.0</v>
      </c>
      <c r="Q373" s="874">
        <v>1.0</v>
      </c>
      <c r="R373" s="863"/>
      <c r="S373" s="858"/>
      <c r="T373" s="858"/>
      <c r="U373" s="858"/>
      <c r="V373" s="858"/>
      <c r="W373" s="858"/>
      <c r="X373" s="858"/>
      <c r="Y373" s="858"/>
      <c r="Z373" s="858"/>
      <c r="AA373" s="858"/>
      <c r="AB373" s="858"/>
      <c r="AC373" s="858"/>
      <c r="AD373" s="858"/>
      <c r="AE373" s="858"/>
      <c r="AF373" s="858"/>
      <c r="AG373" s="858"/>
      <c r="AH373" s="858"/>
      <c r="AI373" s="858"/>
      <c r="AJ373" s="858"/>
    </row>
    <row r="374" ht="15.75" customHeight="1">
      <c r="A374" s="342">
        <v>411.0</v>
      </c>
      <c r="B374" s="875" t="s">
        <v>31</v>
      </c>
      <c r="C374" s="875" t="s">
        <v>20352</v>
      </c>
      <c r="D374" s="890" t="s">
        <v>20353</v>
      </c>
      <c r="E374" s="345" t="s">
        <v>13047</v>
      </c>
      <c r="F374" s="345" t="s">
        <v>29</v>
      </c>
      <c r="G374" s="875" t="s">
        <v>37</v>
      </c>
      <c r="H374" s="433"/>
      <c r="I374" s="875" t="s">
        <v>38</v>
      </c>
      <c r="J374" s="875">
        <f>409-271</f>
        <v>138</v>
      </c>
      <c r="K374" s="875"/>
      <c r="L374" s="890"/>
      <c r="M374" s="875" t="s">
        <v>20306</v>
      </c>
      <c r="N374" s="345">
        <v>2016.0</v>
      </c>
      <c r="O374" s="875" t="s">
        <v>388</v>
      </c>
      <c r="P374" s="875">
        <v>1.0</v>
      </c>
      <c r="Q374" s="874">
        <v>1.0</v>
      </c>
      <c r="R374" s="863"/>
      <c r="S374" s="858"/>
      <c r="T374" s="858"/>
      <c r="U374" s="858"/>
      <c r="V374" s="858"/>
      <c r="W374" s="858"/>
      <c r="X374" s="858"/>
      <c r="Y374" s="858"/>
      <c r="Z374" s="858"/>
      <c r="AA374" s="858"/>
      <c r="AB374" s="858"/>
      <c r="AC374" s="858"/>
      <c r="AD374" s="858"/>
      <c r="AE374" s="858"/>
      <c r="AF374" s="858"/>
      <c r="AG374" s="858"/>
      <c r="AH374" s="858"/>
      <c r="AI374" s="858"/>
      <c r="AJ374" s="858"/>
    </row>
    <row r="375" ht="15.75" customHeight="1">
      <c r="A375" s="342">
        <v>412.0</v>
      </c>
      <c r="B375" s="875" t="s">
        <v>31</v>
      </c>
      <c r="C375" s="875" t="s">
        <v>20354</v>
      </c>
      <c r="D375" s="890" t="s">
        <v>20355</v>
      </c>
      <c r="E375" s="345" t="s">
        <v>13047</v>
      </c>
      <c r="F375" s="345" t="s">
        <v>29</v>
      </c>
      <c r="G375" s="875" t="s">
        <v>30</v>
      </c>
      <c r="H375" s="433"/>
      <c r="I375" s="875" t="s">
        <v>30</v>
      </c>
      <c r="J375" s="875">
        <v>108.0</v>
      </c>
      <c r="K375" s="875"/>
      <c r="L375" s="890"/>
      <c r="M375" s="875" t="s">
        <v>20356</v>
      </c>
      <c r="N375" s="345">
        <v>2016.0</v>
      </c>
      <c r="O375" s="875" t="s">
        <v>388</v>
      </c>
      <c r="P375" s="875">
        <v>1.0</v>
      </c>
      <c r="Q375" s="874">
        <v>1.0</v>
      </c>
      <c r="R375" s="863"/>
      <c r="S375" s="858"/>
      <c r="T375" s="858"/>
      <c r="U375" s="858"/>
      <c r="V375" s="858"/>
      <c r="W375" s="858"/>
      <c r="X375" s="858"/>
      <c r="Y375" s="858"/>
      <c r="Z375" s="858"/>
      <c r="AA375" s="858"/>
      <c r="AB375" s="858"/>
      <c r="AC375" s="858"/>
      <c r="AD375" s="858"/>
      <c r="AE375" s="858"/>
      <c r="AF375" s="858"/>
      <c r="AG375" s="858"/>
      <c r="AH375" s="858"/>
      <c r="AI375" s="858"/>
      <c r="AJ375" s="858"/>
    </row>
    <row r="376" ht="15.75" customHeight="1">
      <c r="A376" s="342">
        <v>413.0</v>
      </c>
      <c r="B376" s="875" t="s">
        <v>31</v>
      </c>
      <c r="C376" s="875" t="s">
        <v>20357</v>
      </c>
      <c r="D376" s="890" t="s">
        <v>20358</v>
      </c>
      <c r="E376" s="345" t="s">
        <v>13047</v>
      </c>
      <c r="F376" s="345" t="s">
        <v>29</v>
      </c>
      <c r="G376" s="875" t="s">
        <v>131</v>
      </c>
      <c r="H376" s="433"/>
      <c r="I376" s="875" t="s">
        <v>38</v>
      </c>
      <c r="J376" s="875">
        <f t="shared" ref="J376:J377" si="4">348-233</f>
        <v>115</v>
      </c>
      <c r="K376" s="875"/>
      <c r="L376" s="890"/>
      <c r="M376" s="875" t="s">
        <v>20303</v>
      </c>
      <c r="N376" s="345">
        <v>2016.0</v>
      </c>
      <c r="O376" s="875" t="s">
        <v>388</v>
      </c>
      <c r="P376" s="875">
        <v>1.0</v>
      </c>
      <c r="Q376" s="874">
        <v>1.0</v>
      </c>
      <c r="R376" s="863"/>
      <c r="S376" s="858"/>
      <c r="T376" s="858"/>
      <c r="U376" s="858"/>
      <c r="V376" s="858"/>
      <c r="W376" s="858"/>
      <c r="X376" s="858"/>
      <c r="Y376" s="858"/>
      <c r="Z376" s="858"/>
      <c r="AA376" s="858"/>
      <c r="AB376" s="858"/>
      <c r="AC376" s="858"/>
      <c r="AD376" s="858"/>
      <c r="AE376" s="858"/>
      <c r="AF376" s="858"/>
      <c r="AG376" s="858"/>
      <c r="AH376" s="858"/>
      <c r="AI376" s="858"/>
      <c r="AJ376" s="858"/>
    </row>
    <row r="377" ht="15.75" customHeight="1">
      <c r="A377" s="557"/>
      <c r="B377" s="878" t="s">
        <v>31</v>
      </c>
      <c r="C377" s="878" t="s">
        <v>20357</v>
      </c>
      <c r="D377" s="891" t="s">
        <v>20359</v>
      </c>
      <c r="E377" s="494" t="s">
        <v>13047</v>
      </c>
      <c r="F377" s="494" t="s">
        <v>29</v>
      </c>
      <c r="G377" s="878" t="s">
        <v>131</v>
      </c>
      <c r="H377" s="430"/>
      <c r="I377" s="878" t="s">
        <v>38</v>
      </c>
      <c r="J377" s="878">
        <f t="shared" si="4"/>
        <v>115</v>
      </c>
      <c r="K377" s="878"/>
      <c r="L377" s="891"/>
      <c r="M377" s="878" t="s">
        <v>20303</v>
      </c>
      <c r="N377" s="494">
        <v>2017.0</v>
      </c>
      <c r="O377" s="878" t="s">
        <v>388</v>
      </c>
      <c r="P377" s="878">
        <v>1.0</v>
      </c>
      <c r="Q377" s="874">
        <v>1.0</v>
      </c>
      <c r="R377" s="863"/>
      <c r="S377" s="858"/>
      <c r="T377" s="858"/>
      <c r="U377" s="858"/>
      <c r="V377" s="858"/>
      <c r="W377" s="858"/>
      <c r="X377" s="858"/>
      <c r="Y377" s="858"/>
      <c r="Z377" s="858"/>
      <c r="AA377" s="858"/>
      <c r="AB377" s="858"/>
      <c r="AC377" s="858"/>
      <c r="AD377" s="858"/>
      <c r="AE377" s="858"/>
      <c r="AF377" s="858"/>
      <c r="AG377" s="858"/>
      <c r="AH377" s="858"/>
      <c r="AI377" s="858"/>
      <c r="AJ377" s="858"/>
    </row>
    <row r="378" ht="15.75" customHeight="1">
      <c r="A378" s="342">
        <v>414.0</v>
      </c>
      <c r="B378" s="875" t="s">
        <v>31</v>
      </c>
      <c r="C378" s="875" t="s">
        <v>20360</v>
      </c>
      <c r="D378" s="890" t="s">
        <v>20361</v>
      </c>
      <c r="E378" s="345" t="s">
        <v>13047</v>
      </c>
      <c r="F378" s="345" t="s">
        <v>29</v>
      </c>
      <c r="G378" s="875" t="s">
        <v>131</v>
      </c>
      <c r="H378" s="433"/>
      <c r="I378" s="875" t="s">
        <v>38</v>
      </c>
      <c r="J378" s="875">
        <f>512-349</f>
        <v>163</v>
      </c>
      <c r="K378" s="875"/>
      <c r="L378" s="890"/>
      <c r="M378" s="875" t="s">
        <v>20303</v>
      </c>
      <c r="N378" s="345">
        <v>2016.0</v>
      </c>
      <c r="O378" s="875" t="s">
        <v>388</v>
      </c>
      <c r="P378" s="875">
        <v>1.0</v>
      </c>
      <c r="Q378" s="874">
        <v>1.0</v>
      </c>
      <c r="R378" s="863"/>
      <c r="S378" s="858"/>
      <c r="T378" s="858"/>
      <c r="U378" s="858"/>
      <c r="V378" s="858"/>
      <c r="W378" s="858"/>
      <c r="X378" s="858"/>
      <c r="Y378" s="858"/>
      <c r="Z378" s="858"/>
      <c r="AA378" s="858"/>
      <c r="AB378" s="858"/>
      <c r="AC378" s="858"/>
      <c r="AD378" s="858"/>
      <c r="AE378" s="858"/>
      <c r="AF378" s="858"/>
      <c r="AG378" s="858"/>
      <c r="AH378" s="858"/>
      <c r="AI378" s="858"/>
      <c r="AJ378" s="858"/>
    </row>
    <row r="379" ht="15.75" customHeight="1">
      <c r="A379" s="557">
        <v>415.0</v>
      </c>
      <c r="B379" s="878" t="s">
        <v>0</v>
      </c>
      <c r="C379" s="878" t="s">
        <v>20362</v>
      </c>
      <c r="D379" s="891" t="s">
        <v>20363</v>
      </c>
      <c r="E379" s="494" t="s">
        <v>13047</v>
      </c>
      <c r="F379" s="494" t="s">
        <v>29</v>
      </c>
      <c r="G379" s="878" t="s">
        <v>30</v>
      </c>
      <c r="H379" s="430"/>
      <c r="I379" s="878" t="s">
        <v>30</v>
      </c>
      <c r="J379" s="878">
        <v>50.0</v>
      </c>
      <c r="K379" s="878"/>
      <c r="L379" s="891"/>
      <c r="M379" s="878" t="s">
        <v>3991</v>
      </c>
      <c r="N379" s="494">
        <v>2017.0</v>
      </c>
      <c r="O379" s="878" t="s">
        <v>388</v>
      </c>
      <c r="P379" s="878">
        <v>1.0</v>
      </c>
      <c r="Q379" s="892">
        <v>1.0</v>
      </c>
      <c r="R379" s="886"/>
      <c r="S379" s="583"/>
      <c r="T379" s="583"/>
      <c r="U379" s="583"/>
      <c r="V379" s="583"/>
      <c r="W379" s="583"/>
      <c r="X379" s="583"/>
      <c r="Y379" s="583"/>
      <c r="Z379" s="583"/>
      <c r="AA379" s="583"/>
      <c r="AB379" s="583"/>
      <c r="AC379" s="583"/>
      <c r="AD379" s="583"/>
      <c r="AE379" s="583"/>
      <c r="AF379" s="583"/>
      <c r="AG379" s="583"/>
      <c r="AH379" s="583"/>
      <c r="AI379" s="583"/>
      <c r="AJ379" s="583"/>
    </row>
    <row r="380" ht="15.75" customHeight="1">
      <c r="A380" s="893">
        <v>416.0</v>
      </c>
      <c r="B380" s="878" t="s">
        <v>20194</v>
      </c>
      <c r="C380" s="878" t="s">
        <v>20339</v>
      </c>
      <c r="D380" s="891" t="s">
        <v>20364</v>
      </c>
      <c r="E380" s="494" t="s">
        <v>13047</v>
      </c>
      <c r="F380" s="494" t="s">
        <v>29</v>
      </c>
      <c r="G380" s="878" t="s">
        <v>38</v>
      </c>
      <c r="H380" s="430"/>
      <c r="I380" s="878" t="s">
        <v>38</v>
      </c>
      <c r="J380" s="878">
        <v>116.0</v>
      </c>
      <c r="K380" s="878"/>
      <c r="L380" s="891"/>
      <c r="M380" s="878" t="s">
        <v>20306</v>
      </c>
      <c r="N380" s="494">
        <v>2016.0</v>
      </c>
      <c r="O380" s="878" t="s">
        <v>388</v>
      </c>
      <c r="P380" s="878">
        <v>1.0</v>
      </c>
      <c r="Q380" s="892">
        <v>1.0</v>
      </c>
      <c r="R380" s="886"/>
      <c r="S380" s="583"/>
      <c r="T380" s="583"/>
      <c r="U380" s="583"/>
      <c r="V380" s="583"/>
      <c r="W380" s="583"/>
      <c r="X380" s="583"/>
      <c r="Y380" s="583"/>
      <c r="Z380" s="583"/>
      <c r="AA380" s="583"/>
      <c r="AB380" s="583"/>
      <c r="AC380" s="583"/>
      <c r="AD380" s="583"/>
      <c r="AE380" s="583"/>
      <c r="AF380" s="583"/>
      <c r="AG380" s="583"/>
      <c r="AH380" s="583"/>
      <c r="AI380" s="583"/>
      <c r="AJ380" s="583"/>
    </row>
    <row r="381" ht="15.75" customHeight="1">
      <c r="A381" s="893">
        <v>417.0</v>
      </c>
      <c r="B381" s="878" t="s">
        <v>20338</v>
      </c>
      <c r="C381" s="878" t="s">
        <v>20339</v>
      </c>
      <c r="D381" s="891" t="s">
        <v>20365</v>
      </c>
      <c r="E381" s="494" t="s">
        <v>13047</v>
      </c>
      <c r="F381" s="494" t="s">
        <v>29</v>
      </c>
      <c r="G381" s="878" t="s">
        <v>38</v>
      </c>
      <c r="H381" s="430"/>
      <c r="I381" s="878" t="s">
        <v>38</v>
      </c>
      <c r="J381" s="878">
        <v>260.0</v>
      </c>
      <c r="K381" s="878"/>
      <c r="L381" s="891"/>
      <c r="M381" s="878" t="s">
        <v>20306</v>
      </c>
      <c r="N381" s="494">
        <v>2016.0</v>
      </c>
      <c r="O381" s="878" t="s">
        <v>388</v>
      </c>
      <c r="P381" s="878">
        <v>1.0</v>
      </c>
      <c r="Q381" s="892">
        <v>1.0</v>
      </c>
      <c r="R381" s="886"/>
      <c r="S381" s="583"/>
      <c r="T381" s="583"/>
      <c r="U381" s="583"/>
      <c r="V381" s="583"/>
      <c r="W381" s="583"/>
      <c r="X381" s="583"/>
      <c r="Y381" s="583"/>
      <c r="Z381" s="583"/>
      <c r="AA381" s="583"/>
      <c r="AB381" s="583"/>
      <c r="AC381" s="583"/>
      <c r="AD381" s="583"/>
      <c r="AE381" s="583"/>
      <c r="AF381" s="583"/>
      <c r="AG381" s="583"/>
      <c r="AH381" s="583"/>
      <c r="AI381" s="583"/>
      <c r="AJ381" s="583"/>
    </row>
    <row r="382" ht="15.75" customHeight="1">
      <c r="A382" s="557">
        <v>418.0</v>
      </c>
      <c r="B382" s="878" t="s">
        <v>20366</v>
      </c>
      <c r="C382" s="878" t="s">
        <v>20339</v>
      </c>
      <c r="D382" s="891" t="s">
        <v>20367</v>
      </c>
      <c r="E382" s="494" t="s">
        <v>13047</v>
      </c>
      <c r="F382" s="494" t="s">
        <v>29</v>
      </c>
      <c r="G382" s="878" t="s">
        <v>38</v>
      </c>
      <c r="H382" s="430"/>
      <c r="I382" s="878" t="s">
        <v>38</v>
      </c>
      <c r="J382" s="878">
        <v>230.0</v>
      </c>
      <c r="K382" s="878"/>
      <c r="L382" s="891"/>
      <c r="M382" s="878" t="s">
        <v>20306</v>
      </c>
      <c r="N382" s="494">
        <v>2016.0</v>
      </c>
      <c r="O382" s="878" t="s">
        <v>388</v>
      </c>
      <c r="P382" s="878">
        <v>1.0</v>
      </c>
      <c r="Q382" s="892">
        <v>1.0</v>
      </c>
      <c r="R382" s="886"/>
      <c r="S382" s="583"/>
      <c r="T382" s="583"/>
      <c r="U382" s="583"/>
      <c r="V382" s="583"/>
      <c r="W382" s="583"/>
      <c r="X382" s="583"/>
      <c r="Y382" s="583"/>
      <c r="Z382" s="583"/>
      <c r="AA382" s="583"/>
      <c r="AB382" s="583"/>
      <c r="AC382" s="583"/>
      <c r="AD382" s="583"/>
      <c r="AE382" s="583"/>
      <c r="AF382" s="583"/>
      <c r="AG382" s="583"/>
      <c r="AH382" s="583"/>
      <c r="AI382" s="583"/>
      <c r="AJ382" s="583"/>
    </row>
    <row r="383" ht="15.75" customHeight="1">
      <c r="A383" s="557">
        <v>419.0</v>
      </c>
      <c r="B383" s="878" t="s">
        <v>19753</v>
      </c>
      <c r="C383" s="878" t="s">
        <v>19754</v>
      </c>
      <c r="D383" s="891" t="s">
        <v>20368</v>
      </c>
      <c r="E383" s="494" t="s">
        <v>13047</v>
      </c>
      <c r="F383" s="494" t="s">
        <v>29</v>
      </c>
      <c r="G383" s="878" t="s">
        <v>37</v>
      </c>
      <c r="H383" s="430"/>
      <c r="I383" s="878" t="s">
        <v>38</v>
      </c>
      <c r="J383" s="878">
        <v>260.0</v>
      </c>
      <c r="K383" s="878"/>
      <c r="L383" s="891"/>
      <c r="M383" s="878" t="s">
        <v>20306</v>
      </c>
      <c r="N383" s="494">
        <v>2017.0</v>
      </c>
      <c r="O383" s="878" t="s">
        <v>388</v>
      </c>
      <c r="P383" s="878">
        <v>1.0</v>
      </c>
      <c r="Q383" s="892">
        <v>1.0</v>
      </c>
      <c r="R383" s="886"/>
      <c r="S383" s="583"/>
      <c r="T383" s="583"/>
      <c r="U383" s="583"/>
      <c r="V383" s="583"/>
      <c r="W383" s="583"/>
      <c r="X383" s="583"/>
      <c r="Y383" s="583"/>
      <c r="Z383" s="583"/>
      <c r="AA383" s="583"/>
      <c r="AB383" s="583"/>
      <c r="AC383" s="583"/>
      <c r="AD383" s="583"/>
      <c r="AE383" s="583"/>
      <c r="AF383" s="583"/>
      <c r="AG383" s="583"/>
      <c r="AH383" s="583"/>
      <c r="AI383" s="583"/>
      <c r="AJ383" s="583"/>
    </row>
    <row r="384" ht="15.75" customHeight="1">
      <c r="A384" s="557">
        <v>420.0</v>
      </c>
      <c r="B384" s="878" t="s">
        <v>20369</v>
      </c>
      <c r="C384" s="878" t="s">
        <v>20370</v>
      </c>
      <c r="D384" s="891" t="s">
        <v>20371</v>
      </c>
      <c r="E384" s="494" t="s">
        <v>13047</v>
      </c>
      <c r="F384" s="494" t="s">
        <v>29</v>
      </c>
      <c r="G384" s="878" t="s">
        <v>131</v>
      </c>
      <c r="H384" s="430"/>
      <c r="I384" s="878" t="s">
        <v>38</v>
      </c>
      <c r="J384" s="878">
        <v>172.0</v>
      </c>
      <c r="K384" s="878"/>
      <c r="L384" s="891"/>
      <c r="M384" s="878" t="s">
        <v>20303</v>
      </c>
      <c r="N384" s="494">
        <v>2017.0</v>
      </c>
      <c r="O384" s="878" t="s">
        <v>388</v>
      </c>
      <c r="P384" s="878">
        <v>1.0</v>
      </c>
      <c r="Q384" s="892">
        <v>1.0</v>
      </c>
      <c r="R384" s="886"/>
      <c r="S384" s="583"/>
      <c r="T384" s="583"/>
      <c r="U384" s="583"/>
      <c r="V384" s="583"/>
      <c r="W384" s="583"/>
      <c r="X384" s="583"/>
      <c r="Y384" s="583"/>
      <c r="Z384" s="583"/>
      <c r="AA384" s="583"/>
      <c r="AB384" s="583"/>
      <c r="AC384" s="583"/>
      <c r="AD384" s="583"/>
      <c r="AE384" s="583"/>
      <c r="AF384" s="583"/>
      <c r="AG384" s="583"/>
      <c r="AH384" s="583"/>
      <c r="AI384" s="583"/>
      <c r="AJ384" s="583"/>
    </row>
    <row r="385" ht="15.75" customHeight="1">
      <c r="A385" s="557">
        <v>421.0</v>
      </c>
      <c r="B385" s="878" t="s">
        <v>20372</v>
      </c>
      <c r="C385" s="878" t="s">
        <v>20373</v>
      </c>
      <c r="D385" s="891" t="s">
        <v>20374</v>
      </c>
      <c r="E385" s="494" t="s">
        <v>13047</v>
      </c>
      <c r="F385" s="494" t="s">
        <v>29</v>
      </c>
      <c r="G385" s="878" t="s">
        <v>131</v>
      </c>
      <c r="H385" s="430" t="s">
        <v>31</v>
      </c>
      <c r="I385" s="878" t="s">
        <v>38</v>
      </c>
      <c r="J385" s="878">
        <f>342-171</f>
        <v>171</v>
      </c>
      <c r="K385" s="878"/>
      <c r="L385" s="891" t="s">
        <v>31</v>
      </c>
      <c r="M385" s="878" t="s">
        <v>20303</v>
      </c>
      <c r="N385" s="494">
        <v>2017.0</v>
      </c>
      <c r="O385" s="878"/>
      <c r="P385" s="878">
        <v>1.0</v>
      </c>
      <c r="Q385" s="892">
        <v>1.0</v>
      </c>
      <c r="R385" s="886"/>
      <c r="S385" s="583"/>
      <c r="T385" s="583"/>
      <c r="U385" s="583"/>
      <c r="V385" s="583"/>
      <c r="W385" s="583"/>
      <c r="X385" s="583"/>
      <c r="Y385" s="583"/>
      <c r="Z385" s="583"/>
      <c r="AA385" s="583"/>
      <c r="AB385" s="583"/>
      <c r="AC385" s="583"/>
      <c r="AD385" s="583"/>
      <c r="AE385" s="583"/>
      <c r="AF385" s="583"/>
      <c r="AG385" s="583"/>
      <c r="AH385" s="583"/>
      <c r="AI385" s="583"/>
      <c r="AJ385" s="583"/>
    </row>
    <row r="386" ht="15.75" customHeight="1">
      <c r="A386" s="557">
        <v>422.0</v>
      </c>
      <c r="B386" s="878" t="s">
        <v>20375</v>
      </c>
      <c r="C386" s="878" t="s">
        <v>20376</v>
      </c>
      <c r="D386" s="891" t="s">
        <v>20377</v>
      </c>
      <c r="E386" s="494" t="s">
        <v>13047</v>
      </c>
      <c r="F386" s="494" t="s">
        <v>29</v>
      </c>
      <c r="G386" s="878" t="s">
        <v>30</v>
      </c>
      <c r="H386" s="430"/>
      <c r="I386" s="878" t="s">
        <v>30</v>
      </c>
      <c r="J386" s="878">
        <f>117+4</f>
        <v>121</v>
      </c>
      <c r="K386" s="878" t="s">
        <v>20378</v>
      </c>
      <c r="L386" s="891"/>
      <c r="M386" s="878" t="s">
        <v>20379</v>
      </c>
      <c r="N386" s="494">
        <v>2015.0</v>
      </c>
      <c r="O386" s="878" t="s">
        <v>388</v>
      </c>
      <c r="P386" s="878">
        <v>1.0</v>
      </c>
      <c r="Q386" s="892">
        <v>1.0</v>
      </c>
      <c r="R386" s="886"/>
      <c r="S386" s="583"/>
      <c r="T386" s="583"/>
      <c r="U386" s="583"/>
      <c r="V386" s="583"/>
      <c r="W386" s="583"/>
      <c r="X386" s="583"/>
      <c r="Y386" s="583"/>
      <c r="Z386" s="583"/>
      <c r="AA386" s="583"/>
      <c r="AB386" s="583"/>
      <c r="AC386" s="583"/>
      <c r="AD386" s="583"/>
      <c r="AE386" s="583"/>
      <c r="AF386" s="583"/>
      <c r="AG386" s="583"/>
      <c r="AH386" s="583"/>
      <c r="AI386" s="583"/>
      <c r="AJ386" s="583"/>
    </row>
    <row r="387" ht="15.75" customHeight="1">
      <c r="A387" s="560" t="s">
        <v>20380</v>
      </c>
      <c r="B387" s="878" t="s">
        <v>20381</v>
      </c>
      <c r="C387" s="878" t="s">
        <v>20382</v>
      </c>
      <c r="D387" s="891" t="s">
        <v>20383</v>
      </c>
      <c r="E387" s="494" t="s">
        <v>13047</v>
      </c>
      <c r="F387" s="494" t="s">
        <v>29</v>
      </c>
      <c r="G387" s="878" t="s">
        <v>131</v>
      </c>
      <c r="H387" s="430"/>
      <c r="I387" s="878" t="s">
        <v>38</v>
      </c>
      <c r="J387" s="878">
        <f t="shared" ref="J387:J388" si="5">115</f>
        <v>115</v>
      </c>
      <c r="K387" s="878"/>
      <c r="L387" s="891" t="s">
        <v>31</v>
      </c>
      <c r="M387" s="878" t="s">
        <v>20303</v>
      </c>
      <c r="N387" s="494">
        <v>2017.0</v>
      </c>
      <c r="O387" s="878" t="s">
        <v>388</v>
      </c>
      <c r="P387" s="878">
        <v>1.0</v>
      </c>
      <c r="Q387" s="892">
        <v>1.0</v>
      </c>
      <c r="R387" s="886"/>
      <c r="S387" s="583"/>
      <c r="T387" s="583"/>
      <c r="U387" s="583"/>
      <c r="V387" s="583"/>
      <c r="W387" s="583"/>
      <c r="X387" s="583"/>
      <c r="Y387" s="583"/>
      <c r="Z387" s="583"/>
      <c r="AA387" s="583"/>
      <c r="AB387" s="583"/>
      <c r="AC387" s="583"/>
      <c r="AD387" s="583"/>
      <c r="AE387" s="583"/>
      <c r="AF387" s="583"/>
      <c r="AG387" s="583"/>
      <c r="AH387" s="583"/>
      <c r="AI387" s="583"/>
      <c r="AJ387" s="583"/>
    </row>
    <row r="388" ht="15.75" customHeight="1">
      <c r="A388" s="560" t="s">
        <v>20384</v>
      </c>
      <c r="B388" s="878" t="s">
        <v>20381</v>
      </c>
      <c r="C388" s="878" t="s">
        <v>20382</v>
      </c>
      <c r="D388" s="891" t="s">
        <v>20383</v>
      </c>
      <c r="E388" s="494" t="s">
        <v>13047</v>
      </c>
      <c r="F388" s="494" t="s">
        <v>29</v>
      </c>
      <c r="G388" s="878" t="s">
        <v>131</v>
      </c>
      <c r="H388" s="430"/>
      <c r="I388" s="878" t="s">
        <v>38</v>
      </c>
      <c r="J388" s="878">
        <f t="shared" si="5"/>
        <v>115</v>
      </c>
      <c r="K388" s="878"/>
      <c r="L388" s="891" t="s">
        <v>31</v>
      </c>
      <c r="M388" s="878" t="s">
        <v>20303</v>
      </c>
      <c r="N388" s="494">
        <v>2017.0</v>
      </c>
      <c r="O388" s="878" t="s">
        <v>388</v>
      </c>
      <c r="P388" s="878">
        <v>1.0</v>
      </c>
      <c r="Q388" s="892">
        <v>1.0</v>
      </c>
      <c r="R388" s="886"/>
      <c r="S388" s="583"/>
      <c r="T388" s="583"/>
      <c r="U388" s="583"/>
      <c r="V388" s="583"/>
      <c r="W388" s="583"/>
      <c r="X388" s="858"/>
      <c r="Y388" s="858"/>
      <c r="Z388" s="858"/>
      <c r="AA388" s="858"/>
      <c r="AB388" s="858"/>
      <c r="AC388" s="858"/>
      <c r="AD388" s="858"/>
      <c r="AE388" s="858"/>
      <c r="AF388" s="858"/>
      <c r="AG388" s="858"/>
      <c r="AH388" s="858"/>
      <c r="AI388" s="858"/>
      <c r="AJ388" s="858"/>
    </row>
    <row r="389" ht="15.75" customHeight="1">
      <c r="A389" s="560" t="s">
        <v>20380</v>
      </c>
      <c r="B389" s="878" t="s">
        <v>19775</v>
      </c>
      <c r="C389" s="878" t="s">
        <v>19816</v>
      </c>
      <c r="D389" s="891" t="s">
        <v>20385</v>
      </c>
      <c r="E389" s="494" t="s">
        <v>13047</v>
      </c>
      <c r="F389" s="494" t="s">
        <v>29</v>
      </c>
      <c r="G389" s="878" t="s">
        <v>37</v>
      </c>
      <c r="H389" s="430"/>
      <c r="I389" s="878" t="s">
        <v>38</v>
      </c>
      <c r="J389" s="878">
        <v>132.0</v>
      </c>
      <c r="K389" s="878"/>
      <c r="L389" s="891"/>
      <c r="M389" s="878" t="s">
        <v>19780</v>
      </c>
      <c r="N389" s="494">
        <v>2017.0</v>
      </c>
      <c r="O389" s="878" t="s">
        <v>388</v>
      </c>
      <c r="P389" s="878">
        <v>1.0</v>
      </c>
      <c r="Q389" s="892">
        <v>1.0</v>
      </c>
      <c r="R389" s="886"/>
      <c r="S389" s="583"/>
      <c r="T389" s="583"/>
      <c r="U389" s="583"/>
      <c r="V389" s="583"/>
      <c r="W389" s="583"/>
      <c r="X389" s="858"/>
      <c r="Y389" s="858"/>
      <c r="Z389" s="858"/>
      <c r="AA389" s="858"/>
      <c r="AB389" s="858"/>
      <c r="AC389" s="858"/>
      <c r="AD389" s="858"/>
      <c r="AE389" s="858"/>
      <c r="AF389" s="858"/>
      <c r="AG389" s="858"/>
      <c r="AH389" s="858"/>
      <c r="AI389" s="858"/>
      <c r="AJ389" s="858"/>
    </row>
    <row r="390" ht="15.75" customHeight="1">
      <c r="A390" s="560" t="s">
        <v>20386</v>
      </c>
      <c r="B390" s="878" t="s">
        <v>19775</v>
      </c>
      <c r="C390" s="878" t="s">
        <v>19816</v>
      </c>
      <c r="D390" s="891" t="s">
        <v>20387</v>
      </c>
      <c r="E390" s="494" t="s">
        <v>13047</v>
      </c>
      <c r="F390" s="494" t="s">
        <v>29</v>
      </c>
      <c r="G390" s="878" t="s">
        <v>37</v>
      </c>
      <c r="H390" s="430"/>
      <c r="I390" s="878" t="s">
        <v>38</v>
      </c>
      <c r="J390" s="878">
        <v>132.0</v>
      </c>
      <c r="K390" s="878"/>
      <c r="L390" s="891"/>
      <c r="M390" s="878" t="s">
        <v>19780</v>
      </c>
      <c r="N390" s="494">
        <v>2017.0</v>
      </c>
      <c r="O390" s="878" t="s">
        <v>388</v>
      </c>
      <c r="P390" s="878">
        <v>1.0</v>
      </c>
      <c r="Q390" s="892">
        <v>1.0</v>
      </c>
      <c r="R390" s="886"/>
      <c r="S390" s="583"/>
      <c r="T390" s="583"/>
      <c r="U390" s="583"/>
      <c r="V390" s="583"/>
      <c r="W390" s="583"/>
      <c r="X390" s="858"/>
      <c r="Y390" s="858"/>
      <c r="Z390" s="858"/>
      <c r="AA390" s="858"/>
      <c r="AB390" s="858"/>
      <c r="AC390" s="858"/>
      <c r="AD390" s="858"/>
      <c r="AE390" s="858"/>
      <c r="AF390" s="858"/>
      <c r="AG390" s="858"/>
      <c r="AH390" s="858"/>
      <c r="AI390" s="858"/>
      <c r="AJ390" s="858"/>
    </row>
    <row r="391" ht="15.75" customHeight="1">
      <c r="A391" s="557"/>
      <c r="B391" s="878"/>
      <c r="C391" s="878"/>
      <c r="D391" s="891"/>
      <c r="E391" s="494"/>
      <c r="F391" s="494"/>
      <c r="G391" s="878"/>
      <c r="H391" s="430"/>
      <c r="I391" s="878"/>
      <c r="J391" s="878"/>
      <c r="K391" s="878"/>
      <c r="L391" s="891"/>
      <c r="M391" s="878"/>
      <c r="N391" s="494"/>
      <c r="O391" s="878"/>
      <c r="P391" s="878"/>
      <c r="Q391" s="892">
        <v>1.0</v>
      </c>
      <c r="R391" s="886"/>
      <c r="S391" s="583"/>
      <c r="T391" s="583"/>
      <c r="U391" s="583"/>
      <c r="V391" s="583"/>
      <c r="W391" s="583"/>
      <c r="X391" s="858"/>
      <c r="Y391" s="858"/>
      <c r="Z391" s="858"/>
      <c r="AA391" s="858"/>
      <c r="AB391" s="858"/>
      <c r="AC391" s="858"/>
      <c r="AD391" s="858"/>
      <c r="AE391" s="858"/>
      <c r="AF391" s="858"/>
      <c r="AG391" s="858"/>
      <c r="AH391" s="858"/>
      <c r="AI391" s="858"/>
      <c r="AJ391" s="858"/>
    </row>
    <row r="392" ht="15.75" customHeight="1">
      <c r="A392" s="560" t="s">
        <v>20388</v>
      </c>
      <c r="B392" s="878" t="s">
        <v>20389</v>
      </c>
      <c r="C392" s="878" t="s">
        <v>20390</v>
      </c>
      <c r="D392" s="891" t="s">
        <v>20391</v>
      </c>
      <c r="E392" s="494" t="s">
        <v>13047</v>
      </c>
      <c r="F392" s="494" t="s">
        <v>29</v>
      </c>
      <c r="G392" s="878" t="s">
        <v>30</v>
      </c>
      <c r="H392" s="430"/>
      <c r="I392" s="878" t="s">
        <v>30</v>
      </c>
      <c r="J392" s="878">
        <f>248-133</f>
        <v>115</v>
      </c>
      <c r="K392" s="878"/>
      <c r="L392" s="891"/>
      <c r="M392" s="878" t="s">
        <v>13048</v>
      </c>
      <c r="N392" s="494">
        <v>2016.0</v>
      </c>
      <c r="O392" s="878" t="s">
        <v>388</v>
      </c>
      <c r="P392" s="878">
        <v>1.0</v>
      </c>
      <c r="Q392" s="892">
        <v>1.0</v>
      </c>
      <c r="R392" s="886"/>
      <c r="S392" s="583"/>
      <c r="T392" s="583"/>
      <c r="U392" s="583"/>
      <c r="V392" s="583"/>
      <c r="W392" s="583"/>
      <c r="X392" s="858"/>
      <c r="Y392" s="858"/>
      <c r="Z392" s="858"/>
      <c r="AA392" s="858"/>
      <c r="AB392" s="858"/>
      <c r="AC392" s="858"/>
      <c r="AD392" s="858"/>
      <c r="AE392" s="858"/>
      <c r="AF392" s="858"/>
      <c r="AG392" s="858"/>
      <c r="AH392" s="858"/>
      <c r="AI392" s="858"/>
      <c r="AJ392" s="858"/>
    </row>
    <row r="393" ht="15.75" customHeight="1">
      <c r="A393" s="560" t="s">
        <v>20392</v>
      </c>
      <c r="B393" s="878" t="s">
        <v>20393</v>
      </c>
      <c r="C393" s="878" t="s">
        <v>20394</v>
      </c>
      <c r="D393" s="891" t="s">
        <v>20395</v>
      </c>
      <c r="E393" s="494" t="s">
        <v>13047</v>
      </c>
      <c r="F393" s="494" t="s">
        <v>29</v>
      </c>
      <c r="G393" s="878" t="s">
        <v>30</v>
      </c>
      <c r="H393" s="430"/>
      <c r="I393" s="878" t="s">
        <v>30</v>
      </c>
      <c r="J393" s="878">
        <v>57.0</v>
      </c>
      <c r="K393" s="878"/>
      <c r="L393" s="891"/>
      <c r="M393" s="878" t="s">
        <v>3991</v>
      </c>
      <c r="N393" s="494">
        <v>2017.0</v>
      </c>
      <c r="O393" s="878" t="s">
        <v>388</v>
      </c>
      <c r="P393" s="878">
        <v>1.0</v>
      </c>
      <c r="Q393" s="892">
        <v>1.0</v>
      </c>
      <c r="R393" s="886"/>
      <c r="S393" s="583"/>
      <c r="T393" s="583"/>
      <c r="U393" s="583"/>
      <c r="V393" s="583"/>
      <c r="W393" s="583"/>
      <c r="X393" s="858"/>
      <c r="Y393" s="858"/>
      <c r="Z393" s="858"/>
      <c r="AA393" s="858"/>
      <c r="AB393" s="858"/>
      <c r="AC393" s="858"/>
      <c r="AD393" s="858"/>
      <c r="AE393" s="858"/>
      <c r="AF393" s="858"/>
      <c r="AG393" s="858"/>
      <c r="AH393" s="858"/>
      <c r="AI393" s="858"/>
      <c r="AJ393" s="858"/>
    </row>
    <row r="394" ht="15.75" customHeight="1">
      <c r="A394" s="560" t="s">
        <v>20396</v>
      </c>
      <c r="B394" s="878" t="s">
        <v>20397</v>
      </c>
      <c r="C394" s="878" t="s">
        <v>20398</v>
      </c>
      <c r="D394" s="891" t="s">
        <v>20399</v>
      </c>
      <c r="E394" s="494" t="s">
        <v>13047</v>
      </c>
      <c r="F394" s="494" t="s">
        <v>29</v>
      </c>
      <c r="G394" s="878" t="s">
        <v>30</v>
      </c>
      <c r="H394" s="430"/>
      <c r="I394" s="878" t="s">
        <v>30</v>
      </c>
      <c r="J394" s="878">
        <v>73.0</v>
      </c>
      <c r="K394" s="878"/>
      <c r="L394" s="891"/>
      <c r="M394" s="878" t="s">
        <v>20073</v>
      </c>
      <c r="N394" s="494">
        <v>2016.0</v>
      </c>
      <c r="O394" s="878" t="s">
        <v>388</v>
      </c>
      <c r="P394" s="878">
        <v>1.0</v>
      </c>
      <c r="Q394" s="892">
        <v>1.0</v>
      </c>
      <c r="R394" s="886"/>
      <c r="S394" s="583"/>
      <c r="T394" s="583"/>
      <c r="U394" s="583"/>
      <c r="V394" s="583"/>
      <c r="W394" s="583"/>
      <c r="X394" s="858"/>
      <c r="Y394" s="858"/>
      <c r="Z394" s="858"/>
      <c r="AA394" s="858"/>
      <c r="AB394" s="858"/>
      <c r="AC394" s="858"/>
      <c r="AD394" s="858"/>
      <c r="AE394" s="858"/>
      <c r="AF394" s="858"/>
      <c r="AG394" s="858"/>
      <c r="AH394" s="858"/>
      <c r="AI394" s="858"/>
      <c r="AJ394" s="858"/>
    </row>
    <row r="395" ht="15.75" customHeight="1">
      <c r="A395" s="560" t="s">
        <v>20400</v>
      </c>
      <c r="B395" s="878" t="s">
        <v>20401</v>
      </c>
      <c r="C395" s="878" t="s">
        <v>20402</v>
      </c>
      <c r="D395" s="891" t="s">
        <v>20403</v>
      </c>
      <c r="E395" s="494" t="s">
        <v>13047</v>
      </c>
      <c r="F395" s="494" t="s">
        <v>29</v>
      </c>
      <c r="G395" s="878" t="s">
        <v>30</v>
      </c>
      <c r="H395" s="430"/>
      <c r="I395" s="878" t="s">
        <v>30</v>
      </c>
      <c r="J395" s="878">
        <f>383-263</f>
        <v>120</v>
      </c>
      <c r="K395" s="878"/>
      <c r="L395" s="891"/>
      <c r="M395" s="878" t="s">
        <v>2953</v>
      </c>
      <c r="N395" s="494">
        <v>2016.0</v>
      </c>
      <c r="O395" s="878" t="s">
        <v>388</v>
      </c>
      <c r="P395" s="878">
        <v>2.0</v>
      </c>
      <c r="Q395" s="892">
        <v>1.0</v>
      </c>
      <c r="R395" s="886"/>
      <c r="S395" s="583"/>
      <c r="T395" s="583"/>
      <c r="U395" s="583"/>
      <c r="V395" s="583"/>
      <c r="W395" s="583"/>
      <c r="X395" s="858"/>
      <c r="Y395" s="858"/>
      <c r="Z395" s="858"/>
      <c r="AA395" s="858"/>
      <c r="AB395" s="858"/>
      <c r="AC395" s="858"/>
      <c r="AD395" s="858"/>
      <c r="AE395" s="858"/>
      <c r="AF395" s="858"/>
      <c r="AG395" s="858"/>
      <c r="AH395" s="858"/>
      <c r="AI395" s="858"/>
      <c r="AJ395" s="858"/>
    </row>
    <row r="396" ht="15.75" customHeight="1">
      <c r="A396" s="560" t="s">
        <v>20404</v>
      </c>
      <c r="B396" s="878" t="s">
        <v>20405</v>
      </c>
      <c r="C396" s="878" t="s">
        <v>20406</v>
      </c>
      <c r="D396" s="891" t="s">
        <v>20407</v>
      </c>
      <c r="E396" s="494" t="s">
        <v>13047</v>
      </c>
      <c r="F396" s="494" t="s">
        <v>29</v>
      </c>
      <c r="G396" s="878" t="s">
        <v>98</v>
      </c>
      <c r="H396" s="430"/>
      <c r="I396" s="878" t="s">
        <v>98</v>
      </c>
      <c r="J396" s="878">
        <v>92.0</v>
      </c>
      <c r="K396" s="878"/>
      <c r="L396" s="891"/>
      <c r="M396" s="878" t="s">
        <v>20408</v>
      </c>
      <c r="N396" s="494">
        <v>2016.0</v>
      </c>
      <c r="O396" s="878" t="s">
        <v>388</v>
      </c>
      <c r="P396" s="878">
        <v>1.0</v>
      </c>
      <c r="Q396" s="892">
        <v>1.0</v>
      </c>
      <c r="R396" s="886"/>
      <c r="S396" s="583"/>
      <c r="T396" s="583"/>
      <c r="U396" s="583"/>
      <c r="V396" s="583"/>
      <c r="W396" s="583"/>
      <c r="X396" s="858"/>
      <c r="Y396" s="858"/>
      <c r="Z396" s="858"/>
      <c r="AA396" s="858"/>
      <c r="AB396" s="858"/>
      <c r="AC396" s="858"/>
      <c r="AD396" s="858"/>
      <c r="AE396" s="858"/>
      <c r="AF396" s="858"/>
      <c r="AG396" s="858"/>
      <c r="AH396" s="858"/>
      <c r="AI396" s="858"/>
      <c r="AJ396" s="858"/>
    </row>
    <row r="397" ht="15.75" customHeight="1">
      <c r="A397" s="560" t="s">
        <v>20409</v>
      </c>
      <c r="B397" s="878" t="s">
        <v>12977</v>
      </c>
      <c r="C397" s="878" t="s">
        <v>20410</v>
      </c>
      <c r="D397" s="891" t="s">
        <v>20407</v>
      </c>
      <c r="E397" s="494" t="s">
        <v>13047</v>
      </c>
      <c r="F397" s="494" t="s">
        <v>29</v>
      </c>
      <c r="G397" s="878" t="s">
        <v>98</v>
      </c>
      <c r="H397" s="430"/>
      <c r="I397" s="878" t="s">
        <v>98</v>
      </c>
      <c r="J397" s="878">
        <v>184.0</v>
      </c>
      <c r="K397" s="878"/>
      <c r="L397" s="891"/>
      <c r="M397" s="878" t="s">
        <v>20408</v>
      </c>
      <c r="N397" s="494">
        <v>2016.0</v>
      </c>
      <c r="O397" s="878" t="s">
        <v>388</v>
      </c>
      <c r="P397" s="878">
        <v>1.0</v>
      </c>
      <c r="Q397" s="892">
        <v>1.0</v>
      </c>
      <c r="R397" s="886"/>
      <c r="S397" s="583"/>
      <c r="T397" s="583"/>
      <c r="U397" s="583"/>
      <c r="V397" s="583"/>
      <c r="W397" s="583"/>
      <c r="X397" s="858"/>
      <c r="Y397" s="858"/>
      <c r="Z397" s="858"/>
      <c r="AA397" s="858"/>
      <c r="AB397" s="858"/>
      <c r="AC397" s="858"/>
      <c r="AD397" s="858"/>
      <c r="AE397" s="858"/>
      <c r="AF397" s="858"/>
      <c r="AG397" s="858"/>
      <c r="AH397" s="858"/>
      <c r="AI397" s="858"/>
      <c r="AJ397" s="858"/>
    </row>
    <row r="398" ht="15.75" customHeight="1">
      <c r="A398" s="560" t="s">
        <v>20411</v>
      </c>
      <c r="B398" s="878" t="s">
        <v>20412</v>
      </c>
      <c r="C398" s="878" t="s">
        <v>20413</v>
      </c>
      <c r="D398" s="891" t="s">
        <v>20414</v>
      </c>
      <c r="E398" s="494" t="s">
        <v>13047</v>
      </c>
      <c r="F398" s="494" t="s">
        <v>29</v>
      </c>
      <c r="G398" s="878" t="s">
        <v>30</v>
      </c>
      <c r="H398" s="430"/>
      <c r="I398" s="878" t="s">
        <v>30</v>
      </c>
      <c r="J398" s="878">
        <v>221.0</v>
      </c>
      <c r="K398" s="878"/>
      <c r="L398" s="891"/>
      <c r="M398" s="878" t="s">
        <v>20415</v>
      </c>
      <c r="N398" s="494">
        <v>2016.0</v>
      </c>
      <c r="O398" s="878" t="s">
        <v>388</v>
      </c>
      <c r="P398" s="878">
        <v>1.0</v>
      </c>
      <c r="Q398" s="892">
        <v>1.0</v>
      </c>
      <c r="R398" s="886"/>
      <c r="S398" s="583"/>
      <c r="T398" s="583"/>
      <c r="U398" s="583"/>
      <c r="V398" s="583"/>
      <c r="W398" s="583"/>
      <c r="X398" s="858"/>
      <c r="Y398" s="858"/>
      <c r="Z398" s="858"/>
      <c r="AA398" s="858"/>
      <c r="AB398" s="858"/>
      <c r="AC398" s="858"/>
      <c r="AD398" s="858"/>
      <c r="AE398" s="858"/>
      <c r="AF398" s="858"/>
      <c r="AG398" s="858"/>
      <c r="AH398" s="858"/>
      <c r="AI398" s="858"/>
      <c r="AJ398" s="858"/>
    </row>
    <row r="399" ht="15.75" customHeight="1">
      <c r="A399" s="557"/>
      <c r="B399" s="878" t="s">
        <v>20412</v>
      </c>
      <c r="C399" s="878" t="s">
        <v>20413</v>
      </c>
      <c r="D399" s="891" t="s">
        <v>20416</v>
      </c>
      <c r="E399" s="494" t="s">
        <v>13047</v>
      </c>
      <c r="F399" s="494" t="s">
        <v>29</v>
      </c>
      <c r="G399" s="878" t="s">
        <v>30</v>
      </c>
      <c r="H399" s="430"/>
      <c r="I399" s="878" t="s">
        <v>30</v>
      </c>
      <c r="J399" s="878">
        <v>221.0</v>
      </c>
      <c r="K399" s="878"/>
      <c r="L399" s="891"/>
      <c r="M399" s="878" t="s">
        <v>20415</v>
      </c>
      <c r="N399" s="494">
        <v>2016.0</v>
      </c>
      <c r="O399" s="878" t="s">
        <v>388</v>
      </c>
      <c r="P399" s="878">
        <v>1.0</v>
      </c>
      <c r="Q399" s="892">
        <v>1.0</v>
      </c>
      <c r="R399" s="886"/>
      <c r="S399" s="583"/>
      <c r="T399" s="583"/>
      <c r="U399" s="583"/>
      <c r="V399" s="583"/>
      <c r="W399" s="583"/>
      <c r="X399" s="858"/>
      <c r="Y399" s="858"/>
      <c r="Z399" s="858"/>
      <c r="AA399" s="858"/>
      <c r="AB399" s="858"/>
      <c r="AC399" s="858"/>
      <c r="AD399" s="858"/>
      <c r="AE399" s="858"/>
      <c r="AF399" s="858"/>
      <c r="AG399" s="858"/>
      <c r="AH399" s="858"/>
      <c r="AI399" s="858"/>
      <c r="AJ399" s="858"/>
    </row>
    <row r="400" ht="15.75" customHeight="1">
      <c r="A400" s="560" t="s">
        <v>20417</v>
      </c>
      <c r="B400" s="878" t="s">
        <v>12977</v>
      </c>
      <c r="C400" s="878" t="s">
        <v>20418</v>
      </c>
      <c r="D400" s="891" t="s">
        <v>20407</v>
      </c>
      <c r="E400" s="494" t="s">
        <v>13047</v>
      </c>
      <c r="F400" s="494" t="s">
        <v>29</v>
      </c>
      <c r="G400" s="878" t="s">
        <v>98</v>
      </c>
      <c r="H400" s="430"/>
      <c r="I400" s="878" t="s">
        <v>98</v>
      </c>
      <c r="J400" s="878">
        <v>184.0</v>
      </c>
      <c r="K400" s="878"/>
      <c r="L400" s="891"/>
      <c r="M400" s="878" t="s">
        <v>20408</v>
      </c>
      <c r="N400" s="494">
        <v>2016.0</v>
      </c>
      <c r="O400" s="878" t="s">
        <v>388</v>
      </c>
      <c r="P400" s="878">
        <v>1.0</v>
      </c>
      <c r="Q400" s="892">
        <v>1.0</v>
      </c>
      <c r="R400" s="886"/>
      <c r="S400" s="583"/>
      <c r="T400" s="583"/>
      <c r="U400" s="583"/>
      <c r="V400" s="583"/>
      <c r="W400" s="583"/>
      <c r="X400" s="858"/>
      <c r="Y400" s="858"/>
      <c r="Z400" s="858"/>
      <c r="AA400" s="858"/>
      <c r="AB400" s="858"/>
      <c r="AC400" s="858"/>
      <c r="AD400" s="858"/>
      <c r="AE400" s="858"/>
      <c r="AF400" s="858"/>
      <c r="AG400" s="858"/>
      <c r="AH400" s="858"/>
      <c r="AI400" s="858"/>
      <c r="AJ400" s="858"/>
    </row>
    <row r="401" ht="15.75" customHeight="1">
      <c r="A401" s="560" t="s">
        <v>20419</v>
      </c>
      <c r="B401" s="878" t="s">
        <v>20420</v>
      </c>
      <c r="C401" s="878" t="s">
        <v>20413</v>
      </c>
      <c r="D401" s="891" t="s">
        <v>20414</v>
      </c>
      <c r="E401" s="494" t="s">
        <v>13047</v>
      </c>
      <c r="F401" s="494" t="s">
        <v>29</v>
      </c>
      <c r="G401" s="878" t="s">
        <v>30</v>
      </c>
      <c r="H401" s="430"/>
      <c r="I401" s="878" t="s">
        <v>30</v>
      </c>
      <c r="J401" s="878">
        <v>221.0</v>
      </c>
      <c r="K401" s="878"/>
      <c r="L401" s="891"/>
      <c r="M401" s="878" t="s">
        <v>20415</v>
      </c>
      <c r="N401" s="494">
        <v>2016.0</v>
      </c>
      <c r="O401" s="878" t="s">
        <v>388</v>
      </c>
      <c r="P401" s="878">
        <v>1.0</v>
      </c>
      <c r="Q401" s="892">
        <v>1.0</v>
      </c>
      <c r="R401" s="886"/>
      <c r="S401" s="583"/>
      <c r="T401" s="583"/>
      <c r="U401" s="583"/>
      <c r="V401" s="583"/>
      <c r="W401" s="583"/>
      <c r="X401" s="858"/>
      <c r="Y401" s="858"/>
      <c r="Z401" s="858"/>
      <c r="AA401" s="858"/>
      <c r="AB401" s="858"/>
      <c r="AC401" s="858"/>
      <c r="AD401" s="858"/>
      <c r="AE401" s="858"/>
      <c r="AF401" s="858"/>
      <c r="AG401" s="858"/>
      <c r="AH401" s="858"/>
      <c r="AI401" s="858"/>
      <c r="AJ401" s="858"/>
    </row>
    <row r="402" ht="15.75" customHeight="1">
      <c r="A402" s="557">
        <v>435.0</v>
      </c>
      <c r="B402" s="878" t="s">
        <v>20421</v>
      </c>
      <c r="C402" s="878" t="s">
        <v>19813</v>
      </c>
      <c r="D402" s="891" t="s">
        <v>20422</v>
      </c>
      <c r="E402" s="494" t="s">
        <v>13047</v>
      </c>
      <c r="F402" s="494" t="s">
        <v>29</v>
      </c>
      <c r="G402" s="878" t="s">
        <v>30</v>
      </c>
      <c r="H402" s="430"/>
      <c r="I402" s="878" t="s">
        <v>30</v>
      </c>
      <c r="J402" s="878">
        <v>124.0</v>
      </c>
      <c r="K402" s="878"/>
      <c r="L402" s="891"/>
      <c r="M402" s="878" t="s">
        <v>20423</v>
      </c>
      <c r="N402" s="494">
        <v>2016.0</v>
      </c>
      <c r="O402" s="878" t="s">
        <v>388</v>
      </c>
      <c r="P402" s="878">
        <v>2.0</v>
      </c>
      <c r="Q402" s="892">
        <v>1.0</v>
      </c>
      <c r="R402" s="886"/>
      <c r="S402" s="583"/>
      <c r="T402" s="583"/>
      <c r="U402" s="583"/>
      <c r="V402" s="583"/>
      <c r="W402" s="583"/>
      <c r="X402" s="858"/>
      <c r="Y402" s="858"/>
      <c r="Z402" s="858"/>
      <c r="AA402" s="858"/>
      <c r="AB402" s="858"/>
      <c r="AC402" s="858"/>
      <c r="AD402" s="858"/>
      <c r="AE402" s="858"/>
      <c r="AF402" s="858"/>
      <c r="AG402" s="858"/>
      <c r="AH402" s="858"/>
      <c r="AI402" s="858"/>
      <c r="AJ402" s="858"/>
    </row>
    <row r="403" ht="15.75" customHeight="1">
      <c r="A403" s="557">
        <v>436.0</v>
      </c>
      <c r="B403" s="878" t="s">
        <v>20424</v>
      </c>
      <c r="C403" s="878" t="s">
        <v>20425</v>
      </c>
      <c r="D403" s="891" t="s">
        <v>20426</v>
      </c>
      <c r="E403" s="494" t="s">
        <v>13047</v>
      </c>
      <c r="F403" s="494" t="s">
        <v>29</v>
      </c>
      <c r="G403" s="878" t="s">
        <v>38</v>
      </c>
      <c r="H403" s="430"/>
      <c r="I403" s="878" t="s">
        <v>38</v>
      </c>
      <c r="J403" s="878">
        <f t="shared" ref="J403:J404" si="6">261-105</f>
        <v>156</v>
      </c>
      <c r="K403" s="878"/>
      <c r="L403" s="891"/>
      <c r="M403" s="878" t="s">
        <v>2953</v>
      </c>
      <c r="N403" s="494">
        <v>2016.0</v>
      </c>
      <c r="O403" s="878" t="s">
        <v>388</v>
      </c>
      <c r="P403" s="878">
        <v>2.0</v>
      </c>
      <c r="Q403" s="892">
        <v>1.0</v>
      </c>
      <c r="R403" s="886"/>
      <c r="S403" s="583"/>
      <c r="T403" s="583"/>
      <c r="U403" s="583"/>
      <c r="V403" s="583"/>
      <c r="W403" s="583"/>
      <c r="X403" s="858"/>
      <c r="Y403" s="858"/>
      <c r="Z403" s="858"/>
      <c r="AA403" s="858"/>
      <c r="AB403" s="858"/>
      <c r="AC403" s="858"/>
      <c r="AD403" s="858"/>
      <c r="AE403" s="858"/>
      <c r="AF403" s="858"/>
      <c r="AG403" s="858"/>
      <c r="AH403" s="858"/>
      <c r="AI403" s="858"/>
      <c r="AJ403" s="858"/>
    </row>
    <row r="404" ht="15.75" customHeight="1">
      <c r="A404" s="557">
        <v>437.0</v>
      </c>
      <c r="B404" s="878" t="s">
        <v>20424</v>
      </c>
      <c r="C404" s="878" t="s">
        <v>20425</v>
      </c>
      <c r="D404" s="891" t="s">
        <v>20427</v>
      </c>
      <c r="E404" s="494" t="s">
        <v>13047</v>
      </c>
      <c r="F404" s="494" t="s">
        <v>29</v>
      </c>
      <c r="G404" s="878" t="s">
        <v>38</v>
      </c>
      <c r="H404" s="430"/>
      <c r="I404" s="878" t="s">
        <v>38</v>
      </c>
      <c r="J404" s="878">
        <f t="shared" si="6"/>
        <v>156</v>
      </c>
      <c r="K404" s="878"/>
      <c r="L404" s="891"/>
      <c r="M404" s="878" t="s">
        <v>2953</v>
      </c>
      <c r="N404" s="494">
        <v>2017.0</v>
      </c>
      <c r="O404" s="878" t="s">
        <v>388</v>
      </c>
      <c r="P404" s="878">
        <v>2.0</v>
      </c>
      <c r="Q404" s="892">
        <v>1.0</v>
      </c>
      <c r="R404" s="886"/>
      <c r="S404" s="583"/>
      <c r="T404" s="583"/>
      <c r="U404" s="583"/>
      <c r="V404" s="583"/>
      <c r="W404" s="583"/>
      <c r="X404" s="583"/>
      <c r="Y404" s="583"/>
      <c r="Z404" s="583"/>
      <c r="AA404" s="583"/>
      <c r="AB404" s="583"/>
      <c r="AC404" s="583"/>
      <c r="AD404" s="583"/>
      <c r="AE404" s="583"/>
      <c r="AF404" s="583"/>
      <c r="AG404" s="583"/>
      <c r="AH404" s="583"/>
      <c r="AI404" s="583"/>
      <c r="AJ404" s="583"/>
    </row>
    <row r="405" ht="15.75" customHeight="1">
      <c r="A405" s="560" t="s">
        <v>20428</v>
      </c>
      <c r="B405" s="878" t="s">
        <v>20429</v>
      </c>
      <c r="C405" s="878" t="s">
        <v>20430</v>
      </c>
      <c r="D405" s="891" t="s">
        <v>20431</v>
      </c>
      <c r="E405" s="494" t="s">
        <v>13047</v>
      </c>
      <c r="F405" s="494" t="s">
        <v>29</v>
      </c>
      <c r="G405" s="878" t="s">
        <v>30</v>
      </c>
      <c r="H405" s="430"/>
      <c r="I405" s="878" t="s">
        <v>30</v>
      </c>
      <c r="J405" s="878">
        <f t="shared" ref="J405:J406" si="7">58</f>
        <v>58</v>
      </c>
      <c r="K405" s="878"/>
      <c r="L405" s="891"/>
      <c r="M405" s="878" t="s">
        <v>12022</v>
      </c>
      <c r="N405" s="494">
        <v>2017.0</v>
      </c>
      <c r="O405" s="878" t="s">
        <v>388</v>
      </c>
      <c r="P405" s="878">
        <v>1.0</v>
      </c>
      <c r="Q405" s="892">
        <v>1.0</v>
      </c>
      <c r="R405" s="886"/>
      <c r="S405" s="583"/>
      <c r="T405" s="583"/>
      <c r="U405" s="583"/>
      <c r="V405" s="583"/>
      <c r="W405" s="583"/>
      <c r="X405" s="583"/>
      <c r="Y405" s="583"/>
      <c r="Z405" s="583"/>
      <c r="AA405" s="583"/>
      <c r="AB405" s="583"/>
      <c r="AC405" s="583"/>
      <c r="AD405" s="583"/>
      <c r="AE405" s="583"/>
      <c r="AF405" s="583"/>
      <c r="AG405" s="583"/>
      <c r="AH405" s="583"/>
      <c r="AI405" s="583"/>
      <c r="AJ405" s="583"/>
    </row>
    <row r="406" ht="15.75" customHeight="1">
      <c r="A406" s="560" t="s">
        <v>20432</v>
      </c>
      <c r="B406" s="878" t="s">
        <v>20429</v>
      </c>
      <c r="C406" s="878" t="s">
        <v>20430</v>
      </c>
      <c r="D406" s="891" t="s">
        <v>20433</v>
      </c>
      <c r="E406" s="494" t="s">
        <v>13047</v>
      </c>
      <c r="F406" s="494" t="s">
        <v>29</v>
      </c>
      <c r="G406" s="878" t="s">
        <v>30</v>
      </c>
      <c r="H406" s="430"/>
      <c r="I406" s="878" t="s">
        <v>30</v>
      </c>
      <c r="J406" s="878">
        <f t="shared" si="7"/>
        <v>58</v>
      </c>
      <c r="K406" s="878"/>
      <c r="L406" s="891"/>
      <c r="M406" s="878" t="s">
        <v>12022</v>
      </c>
      <c r="N406" s="494">
        <v>2017.0</v>
      </c>
      <c r="O406" s="878" t="s">
        <v>388</v>
      </c>
      <c r="P406" s="878">
        <v>1.0</v>
      </c>
      <c r="Q406" s="892">
        <v>1.0</v>
      </c>
      <c r="R406" s="886"/>
      <c r="S406" s="583"/>
      <c r="T406" s="583"/>
      <c r="U406" s="583"/>
      <c r="V406" s="583"/>
      <c r="W406" s="583"/>
      <c r="X406" s="858"/>
      <c r="Y406" s="858"/>
      <c r="Z406" s="858"/>
      <c r="AA406" s="858"/>
      <c r="AB406" s="858"/>
      <c r="AC406" s="858"/>
      <c r="AD406" s="858"/>
      <c r="AE406" s="858"/>
      <c r="AF406" s="858"/>
      <c r="AG406" s="858"/>
      <c r="AH406" s="858"/>
      <c r="AI406" s="858"/>
      <c r="AJ406" s="858"/>
    </row>
    <row r="407" ht="15.75" customHeight="1">
      <c r="A407" s="560" t="s">
        <v>20434</v>
      </c>
      <c r="B407" s="878" t="s">
        <v>20429</v>
      </c>
      <c r="C407" s="878" t="s">
        <v>20435</v>
      </c>
      <c r="D407" s="891" t="s">
        <v>20436</v>
      </c>
      <c r="E407" s="494" t="s">
        <v>13047</v>
      </c>
      <c r="F407" s="494" t="s">
        <v>29</v>
      </c>
      <c r="G407" s="878" t="s">
        <v>30</v>
      </c>
      <c r="H407" s="430"/>
      <c r="I407" s="878" t="s">
        <v>30</v>
      </c>
      <c r="J407" s="878">
        <v>68.0</v>
      </c>
      <c r="K407" s="878"/>
      <c r="L407" s="891"/>
      <c r="M407" s="878" t="s">
        <v>20437</v>
      </c>
      <c r="N407" s="494">
        <v>2017.0</v>
      </c>
      <c r="O407" s="878" t="s">
        <v>388</v>
      </c>
      <c r="P407" s="878">
        <v>1.0</v>
      </c>
      <c r="Q407" s="892">
        <v>1.0</v>
      </c>
      <c r="R407" s="886"/>
      <c r="S407" s="583"/>
      <c r="T407" s="583"/>
      <c r="U407" s="583"/>
      <c r="V407" s="583"/>
      <c r="W407" s="583"/>
      <c r="X407" s="858"/>
      <c r="Y407" s="858"/>
      <c r="Z407" s="858"/>
      <c r="AA407" s="858"/>
      <c r="AB407" s="858"/>
      <c r="AC407" s="858"/>
      <c r="AD407" s="858"/>
      <c r="AE407" s="858"/>
      <c r="AF407" s="858"/>
      <c r="AG407" s="858"/>
      <c r="AH407" s="858"/>
      <c r="AI407" s="858"/>
      <c r="AJ407" s="858"/>
    </row>
    <row r="408" ht="15.75" customHeight="1">
      <c r="A408" s="560" t="s">
        <v>20438</v>
      </c>
      <c r="B408" s="878" t="s">
        <v>20439</v>
      </c>
      <c r="C408" s="878" t="s">
        <v>20440</v>
      </c>
      <c r="D408" s="891" t="s">
        <v>20441</v>
      </c>
      <c r="E408" s="494" t="s">
        <v>19069</v>
      </c>
      <c r="F408" s="494" t="s">
        <v>29</v>
      </c>
      <c r="G408" s="878" t="s">
        <v>30</v>
      </c>
      <c r="H408" s="430"/>
      <c r="I408" s="878" t="s">
        <v>30</v>
      </c>
      <c r="J408" s="878">
        <v>80.0</v>
      </c>
      <c r="K408" s="878"/>
      <c r="L408" s="891"/>
      <c r="M408" s="878" t="s">
        <v>20442</v>
      </c>
      <c r="N408" s="494">
        <v>2017.0</v>
      </c>
      <c r="O408" s="878" t="s">
        <v>388</v>
      </c>
      <c r="P408" s="878">
        <v>1.0</v>
      </c>
      <c r="Q408" s="892">
        <v>1.0</v>
      </c>
      <c r="R408" s="886"/>
      <c r="S408" s="583"/>
      <c r="T408" s="583"/>
      <c r="U408" s="583"/>
      <c r="V408" s="583"/>
      <c r="W408" s="583"/>
      <c r="X408" s="858"/>
      <c r="Y408" s="858"/>
      <c r="Z408" s="858"/>
      <c r="AA408" s="858"/>
      <c r="AB408" s="858"/>
      <c r="AC408" s="858"/>
      <c r="AD408" s="858"/>
      <c r="AE408" s="858"/>
      <c r="AF408" s="858"/>
      <c r="AG408" s="858"/>
      <c r="AH408" s="858"/>
      <c r="AI408" s="858"/>
      <c r="AJ408" s="858"/>
    </row>
    <row r="409" ht="15.75" customHeight="1">
      <c r="A409" s="560" t="s">
        <v>20443</v>
      </c>
      <c r="B409" s="878"/>
      <c r="C409" s="878" t="s">
        <v>20444</v>
      </c>
      <c r="D409" s="891" t="s">
        <v>20445</v>
      </c>
      <c r="E409" s="494" t="s">
        <v>19069</v>
      </c>
      <c r="F409" s="494" t="s">
        <v>29</v>
      </c>
      <c r="G409" s="878" t="s">
        <v>30</v>
      </c>
      <c r="H409" s="430"/>
      <c r="I409" s="878" t="s">
        <v>30</v>
      </c>
      <c r="J409" s="878">
        <v>88.0</v>
      </c>
      <c r="K409" s="878"/>
      <c r="L409" s="891"/>
      <c r="M409" s="878" t="s">
        <v>20446</v>
      </c>
      <c r="N409" s="494">
        <v>2017.0</v>
      </c>
      <c r="O409" s="878" t="s">
        <v>388</v>
      </c>
      <c r="P409" s="878">
        <v>1.0</v>
      </c>
      <c r="Q409" s="874">
        <v>1.0</v>
      </c>
      <c r="R409" s="863"/>
      <c r="S409" s="858"/>
      <c r="T409" s="858"/>
      <c r="U409" s="858"/>
      <c r="V409" s="858"/>
      <c r="W409" s="858"/>
      <c r="X409" s="858"/>
      <c r="Y409" s="858"/>
      <c r="Z409" s="858"/>
      <c r="AA409" s="858"/>
      <c r="AB409" s="858"/>
      <c r="AC409" s="858"/>
      <c r="AD409" s="858"/>
      <c r="AE409" s="858"/>
      <c r="AF409" s="858"/>
      <c r="AG409" s="858"/>
      <c r="AH409" s="858"/>
      <c r="AI409" s="858"/>
      <c r="AJ409" s="858"/>
    </row>
    <row r="410" ht="15.75" customHeight="1">
      <c r="A410" s="557"/>
      <c r="B410" s="878" t="s">
        <v>20429</v>
      </c>
      <c r="C410" s="878" t="s">
        <v>20435</v>
      </c>
      <c r="D410" s="891" t="s">
        <v>20447</v>
      </c>
      <c r="E410" s="494" t="s">
        <v>13047</v>
      </c>
      <c r="F410" s="494" t="s">
        <v>29</v>
      </c>
      <c r="G410" s="878" t="s">
        <v>30</v>
      </c>
      <c r="H410" s="430"/>
      <c r="I410" s="878" t="s">
        <v>30</v>
      </c>
      <c r="J410" s="878">
        <v>68.0</v>
      </c>
      <c r="K410" s="878"/>
      <c r="L410" s="891"/>
      <c r="M410" s="878" t="s">
        <v>20437</v>
      </c>
      <c r="N410" s="494">
        <v>2017.0</v>
      </c>
      <c r="O410" s="878" t="s">
        <v>388</v>
      </c>
      <c r="P410" s="878">
        <v>1.0</v>
      </c>
      <c r="Q410" s="874">
        <v>1.0</v>
      </c>
      <c r="R410" s="863"/>
      <c r="S410" s="858"/>
      <c r="T410" s="858"/>
      <c r="U410" s="858"/>
      <c r="V410" s="858"/>
      <c r="W410" s="858"/>
      <c r="X410" s="858"/>
      <c r="Y410" s="858"/>
      <c r="Z410" s="858"/>
      <c r="AA410" s="858"/>
      <c r="AB410" s="858"/>
      <c r="AC410" s="858"/>
      <c r="AD410" s="858"/>
      <c r="AE410" s="858"/>
      <c r="AF410" s="858"/>
      <c r="AG410" s="858"/>
      <c r="AH410" s="858"/>
      <c r="AI410" s="858"/>
      <c r="AJ410" s="858"/>
    </row>
    <row r="411" ht="15.75" customHeight="1">
      <c r="A411" s="557"/>
      <c r="B411" s="878" t="s">
        <v>20429</v>
      </c>
      <c r="C411" s="878" t="s">
        <v>20430</v>
      </c>
      <c r="D411" s="891" t="s">
        <v>20448</v>
      </c>
      <c r="E411" s="494" t="s">
        <v>13047</v>
      </c>
      <c r="F411" s="494" t="s">
        <v>29</v>
      </c>
      <c r="G411" s="878" t="s">
        <v>30</v>
      </c>
      <c r="H411" s="430"/>
      <c r="I411" s="878" t="s">
        <v>30</v>
      </c>
      <c r="J411" s="878">
        <f>58</f>
        <v>58</v>
      </c>
      <c r="K411" s="878"/>
      <c r="L411" s="891"/>
      <c r="M411" s="878" t="s">
        <v>12022</v>
      </c>
      <c r="N411" s="494">
        <v>2017.0</v>
      </c>
      <c r="O411" s="878" t="s">
        <v>388</v>
      </c>
      <c r="P411" s="878">
        <v>1.0</v>
      </c>
      <c r="Q411" s="874">
        <v>1.0</v>
      </c>
      <c r="R411" s="863"/>
      <c r="S411" s="858"/>
      <c r="T411" s="858"/>
      <c r="U411" s="858"/>
      <c r="V411" s="858"/>
      <c r="W411" s="858"/>
      <c r="X411" s="858"/>
      <c r="Y411" s="858"/>
      <c r="Z411" s="858"/>
      <c r="AA411" s="858"/>
      <c r="AB411" s="858"/>
      <c r="AC411" s="858"/>
      <c r="AD411" s="858"/>
      <c r="AE411" s="858"/>
      <c r="AF411" s="858"/>
      <c r="AG411" s="858"/>
      <c r="AH411" s="858"/>
      <c r="AI411" s="858"/>
      <c r="AJ411" s="858"/>
    </row>
    <row r="412" ht="15.75" customHeight="1">
      <c r="A412" s="560" t="s">
        <v>20449</v>
      </c>
      <c r="B412" s="878" t="s">
        <v>20450</v>
      </c>
      <c r="C412" s="878" t="s">
        <v>19754</v>
      </c>
      <c r="D412" s="891" t="s">
        <v>20451</v>
      </c>
      <c r="E412" s="494" t="s">
        <v>13047</v>
      </c>
      <c r="F412" s="494" t="s">
        <v>29</v>
      </c>
      <c r="G412" s="878" t="s">
        <v>38</v>
      </c>
      <c r="H412" s="430"/>
      <c r="I412" s="878" t="s">
        <v>38</v>
      </c>
      <c r="J412" s="878">
        <f>390-261</f>
        <v>129</v>
      </c>
      <c r="K412" s="878"/>
      <c r="L412" s="891"/>
      <c r="M412" s="878" t="s">
        <v>20306</v>
      </c>
      <c r="N412" s="494">
        <v>2017.0</v>
      </c>
      <c r="O412" s="878" t="s">
        <v>388</v>
      </c>
      <c r="P412" s="878">
        <v>1.0</v>
      </c>
      <c r="Q412" s="874">
        <v>1.0</v>
      </c>
      <c r="R412" s="863"/>
      <c r="S412" s="858"/>
      <c r="T412" s="858"/>
      <c r="U412" s="858"/>
      <c r="V412" s="858"/>
      <c r="W412" s="858"/>
      <c r="X412" s="858"/>
      <c r="Y412" s="858"/>
      <c r="Z412" s="858"/>
      <c r="AA412" s="858"/>
      <c r="AB412" s="858"/>
      <c r="AC412" s="858"/>
      <c r="AD412" s="858"/>
      <c r="AE412" s="858"/>
      <c r="AF412" s="858"/>
      <c r="AG412" s="858"/>
      <c r="AH412" s="858"/>
      <c r="AI412" s="858"/>
      <c r="AJ412" s="858"/>
    </row>
    <row r="413" ht="15.75" customHeight="1">
      <c r="A413" s="560" t="s">
        <v>20452</v>
      </c>
      <c r="B413" s="878" t="s">
        <v>20453</v>
      </c>
      <c r="C413" s="878" t="s">
        <v>20454</v>
      </c>
      <c r="D413" s="879" t="s">
        <v>20455</v>
      </c>
      <c r="E413" s="494" t="s">
        <v>13047</v>
      </c>
      <c r="F413" s="494" t="s">
        <v>29</v>
      </c>
      <c r="G413" s="878" t="s">
        <v>131</v>
      </c>
      <c r="H413" s="430"/>
      <c r="I413" s="878" t="s">
        <v>38</v>
      </c>
      <c r="J413" s="878">
        <f>504-341</f>
        <v>163</v>
      </c>
      <c r="K413" s="878"/>
      <c r="L413" s="878"/>
      <c r="M413" s="878" t="s">
        <v>20303</v>
      </c>
      <c r="N413" s="878">
        <v>2017.0</v>
      </c>
      <c r="O413" s="878" t="s">
        <v>388</v>
      </c>
      <c r="P413" s="878">
        <v>1.0</v>
      </c>
      <c r="Q413" s="874">
        <v>1.0</v>
      </c>
      <c r="R413" s="863"/>
      <c r="S413" s="858"/>
      <c r="T413" s="858"/>
      <c r="U413" s="858"/>
      <c r="V413" s="858"/>
      <c r="W413" s="858"/>
      <c r="X413" s="858"/>
      <c r="Y413" s="858"/>
      <c r="Z413" s="858"/>
      <c r="AA413" s="858"/>
      <c r="AB413" s="858"/>
      <c r="AC413" s="858"/>
      <c r="AD413" s="858"/>
      <c r="AE413" s="858"/>
      <c r="AF413" s="858"/>
      <c r="AG413" s="858"/>
      <c r="AH413" s="858"/>
      <c r="AI413" s="858"/>
      <c r="AJ413" s="858"/>
    </row>
    <row r="414" ht="15.75" customHeight="1">
      <c r="A414" s="560" t="s">
        <v>20456</v>
      </c>
      <c r="B414" s="878" t="s">
        <v>20457</v>
      </c>
      <c r="C414" s="878" t="s">
        <v>20458</v>
      </c>
      <c r="D414" s="891" t="s">
        <v>20459</v>
      </c>
      <c r="E414" s="494" t="s">
        <v>20460</v>
      </c>
      <c r="F414" s="494" t="s">
        <v>29</v>
      </c>
      <c r="G414" s="878" t="s">
        <v>37</v>
      </c>
      <c r="H414" s="430"/>
      <c r="I414" s="878" t="s">
        <v>38</v>
      </c>
      <c r="J414" s="878">
        <f>197+10</f>
        <v>207</v>
      </c>
      <c r="K414" s="878"/>
      <c r="L414" s="891"/>
      <c r="M414" s="878" t="s">
        <v>83</v>
      </c>
      <c r="N414" s="494">
        <v>1972.0</v>
      </c>
      <c r="O414" s="878" t="s">
        <v>388</v>
      </c>
      <c r="P414" s="878">
        <v>1.0</v>
      </c>
      <c r="Q414" s="874">
        <v>1.0</v>
      </c>
      <c r="R414" s="863"/>
      <c r="S414" s="858"/>
      <c r="T414" s="858"/>
      <c r="U414" s="858"/>
      <c r="V414" s="858"/>
      <c r="W414" s="858"/>
      <c r="X414" s="858"/>
      <c r="Y414" s="858"/>
      <c r="Z414" s="858"/>
      <c r="AA414" s="858"/>
      <c r="AB414" s="858"/>
      <c r="AC414" s="858"/>
      <c r="AD414" s="858"/>
      <c r="AE414" s="858"/>
      <c r="AF414" s="858"/>
      <c r="AG414" s="858"/>
      <c r="AH414" s="858"/>
      <c r="AI414" s="858"/>
      <c r="AJ414" s="858"/>
    </row>
    <row r="415" ht="15.75" customHeight="1">
      <c r="A415" s="560" t="s">
        <v>20461</v>
      </c>
      <c r="B415" s="878" t="s">
        <v>1860</v>
      </c>
      <c r="C415" s="878" t="s">
        <v>20462</v>
      </c>
      <c r="D415" s="891" t="s">
        <v>20463</v>
      </c>
      <c r="E415" s="494" t="s">
        <v>28</v>
      </c>
      <c r="F415" s="494" t="s">
        <v>29</v>
      </c>
      <c r="G415" s="878" t="s">
        <v>37</v>
      </c>
      <c r="H415" s="430"/>
      <c r="I415" s="878" t="s">
        <v>38</v>
      </c>
      <c r="J415" s="878">
        <f>111+10</f>
        <v>121</v>
      </c>
      <c r="K415" s="878"/>
      <c r="L415" s="891"/>
      <c r="M415" s="878" t="s">
        <v>20464</v>
      </c>
      <c r="N415" s="494">
        <v>2017.0</v>
      </c>
      <c r="O415" s="878" t="s">
        <v>388</v>
      </c>
      <c r="P415" s="878">
        <v>1.0</v>
      </c>
      <c r="Q415" s="874">
        <v>1.0</v>
      </c>
      <c r="R415" s="863"/>
      <c r="S415" s="858"/>
      <c r="T415" s="858"/>
      <c r="U415" s="858"/>
      <c r="V415" s="858"/>
      <c r="W415" s="858"/>
      <c r="X415" s="858"/>
      <c r="Y415" s="858"/>
      <c r="Z415" s="858"/>
      <c r="AA415" s="858"/>
      <c r="AB415" s="858"/>
      <c r="AC415" s="858"/>
      <c r="AD415" s="858"/>
      <c r="AE415" s="858"/>
      <c r="AF415" s="858"/>
      <c r="AG415" s="858"/>
      <c r="AH415" s="858"/>
      <c r="AI415" s="858"/>
      <c r="AJ415" s="858"/>
    </row>
    <row r="416" ht="15.75" customHeight="1">
      <c r="A416" s="560" t="s">
        <v>20465</v>
      </c>
      <c r="B416" s="878" t="s">
        <v>20466</v>
      </c>
      <c r="C416" s="878" t="s">
        <v>20467</v>
      </c>
      <c r="D416" s="891" t="s">
        <v>20468</v>
      </c>
      <c r="E416" s="494" t="s">
        <v>28</v>
      </c>
      <c r="F416" s="494" t="s">
        <v>29</v>
      </c>
      <c r="G416" s="878" t="s">
        <v>37</v>
      </c>
      <c r="H416" s="430"/>
      <c r="I416" s="878" t="s">
        <v>38</v>
      </c>
      <c r="J416" s="878">
        <f>774+20</f>
        <v>794</v>
      </c>
      <c r="K416" s="878"/>
      <c r="L416" s="891"/>
      <c r="M416" s="878" t="s">
        <v>49</v>
      </c>
      <c r="N416" s="494">
        <v>1994.0</v>
      </c>
      <c r="O416" s="878" t="s">
        <v>388</v>
      </c>
      <c r="P416" s="878">
        <v>1.0</v>
      </c>
      <c r="Q416" s="874">
        <v>1.0</v>
      </c>
      <c r="R416" s="863"/>
      <c r="S416" s="858"/>
      <c r="T416" s="858"/>
      <c r="U416" s="858"/>
      <c r="V416" s="858"/>
      <c r="W416" s="858"/>
      <c r="X416" s="858"/>
      <c r="Y416" s="858"/>
      <c r="Z416" s="858"/>
      <c r="AA416" s="858"/>
      <c r="AB416" s="858"/>
      <c r="AC416" s="858"/>
      <c r="AD416" s="858"/>
      <c r="AE416" s="858"/>
      <c r="AF416" s="858"/>
      <c r="AG416" s="858"/>
      <c r="AH416" s="858"/>
      <c r="AI416" s="858"/>
      <c r="AJ416" s="858"/>
    </row>
    <row r="417" ht="15.75" customHeight="1">
      <c r="A417" s="560" t="s">
        <v>20469</v>
      </c>
      <c r="B417" s="878" t="s">
        <v>0</v>
      </c>
      <c r="C417" s="878" t="s">
        <v>20470</v>
      </c>
      <c r="D417" s="891" t="s">
        <v>20471</v>
      </c>
      <c r="E417" s="494" t="s">
        <v>13047</v>
      </c>
      <c r="F417" s="494" t="s">
        <v>29</v>
      </c>
      <c r="G417" s="878" t="s">
        <v>30</v>
      </c>
      <c r="H417" s="430"/>
      <c r="I417" s="878" t="s">
        <v>30</v>
      </c>
      <c r="J417" s="878">
        <f>73+4</f>
        <v>77</v>
      </c>
      <c r="K417" s="878"/>
      <c r="L417" s="891"/>
      <c r="M417" s="878" t="s">
        <v>20336</v>
      </c>
      <c r="N417" s="494">
        <v>2017.0</v>
      </c>
      <c r="O417" s="878" t="s">
        <v>388</v>
      </c>
      <c r="P417" s="878">
        <v>1.0</v>
      </c>
      <c r="Q417" s="874">
        <v>1.0</v>
      </c>
      <c r="R417" s="863"/>
      <c r="S417" s="858"/>
      <c r="T417" s="858"/>
      <c r="U417" s="858"/>
      <c r="V417" s="858"/>
      <c r="W417" s="858"/>
      <c r="X417" s="858"/>
      <c r="Y417" s="858"/>
      <c r="Z417" s="858"/>
      <c r="AA417" s="858"/>
      <c r="AB417" s="858"/>
      <c r="AC417" s="858"/>
      <c r="AD417" s="858"/>
      <c r="AE417" s="858"/>
      <c r="AF417" s="858"/>
      <c r="AG417" s="858"/>
      <c r="AH417" s="858"/>
      <c r="AI417" s="858"/>
      <c r="AJ417" s="858"/>
    </row>
    <row r="418" ht="15.75" customHeight="1">
      <c r="A418" s="557">
        <v>451.0</v>
      </c>
      <c r="B418" s="878" t="s">
        <v>20472</v>
      </c>
      <c r="C418" s="878" t="s">
        <v>20473</v>
      </c>
      <c r="D418" s="891" t="s">
        <v>20474</v>
      </c>
      <c r="E418" s="494" t="s">
        <v>13047</v>
      </c>
      <c r="F418" s="494" t="s">
        <v>29</v>
      </c>
      <c r="G418" s="878" t="s">
        <v>30</v>
      </c>
      <c r="H418" s="430"/>
      <c r="I418" s="878" t="s">
        <v>30</v>
      </c>
      <c r="J418" s="878">
        <f>105+2</f>
        <v>107</v>
      </c>
      <c r="K418" s="878"/>
      <c r="L418" s="891"/>
      <c r="M418" s="878" t="s">
        <v>20475</v>
      </c>
      <c r="N418" s="494">
        <v>2017.0</v>
      </c>
      <c r="O418" s="878" t="s">
        <v>388</v>
      </c>
      <c r="P418" s="878">
        <v>1.0</v>
      </c>
      <c r="Q418" s="874">
        <v>1.0</v>
      </c>
      <c r="R418" s="863"/>
      <c r="S418" s="858"/>
      <c r="T418" s="858"/>
      <c r="U418" s="858"/>
      <c r="V418" s="858"/>
      <c r="W418" s="858"/>
      <c r="X418" s="858"/>
      <c r="Y418" s="858"/>
      <c r="Z418" s="858"/>
      <c r="AA418" s="858"/>
      <c r="AB418" s="858"/>
      <c r="AC418" s="858"/>
      <c r="AD418" s="858"/>
      <c r="AE418" s="858"/>
      <c r="AF418" s="858"/>
      <c r="AG418" s="858"/>
      <c r="AH418" s="858"/>
      <c r="AI418" s="858"/>
      <c r="AJ418" s="858"/>
    </row>
    <row r="419" ht="15.75" customHeight="1">
      <c r="A419" s="894">
        <v>452.0</v>
      </c>
      <c r="B419" s="878" t="s">
        <v>20472</v>
      </c>
      <c r="C419" s="878" t="s">
        <v>20476</v>
      </c>
      <c r="D419" s="879" t="s">
        <v>20477</v>
      </c>
      <c r="E419" s="494" t="s">
        <v>13047</v>
      </c>
      <c r="F419" s="494" t="s">
        <v>29</v>
      </c>
      <c r="G419" s="878" t="s">
        <v>38</v>
      </c>
      <c r="H419" s="430"/>
      <c r="I419" s="878" t="s">
        <v>38</v>
      </c>
      <c r="J419" s="878">
        <f>227+2</f>
        <v>229</v>
      </c>
      <c r="K419" s="878"/>
      <c r="L419" s="891"/>
      <c r="M419" s="878" t="s">
        <v>13051</v>
      </c>
      <c r="N419" s="494">
        <v>2017.0</v>
      </c>
      <c r="O419" s="878" t="s">
        <v>388</v>
      </c>
      <c r="P419" s="878">
        <v>1.0</v>
      </c>
      <c r="Q419" s="874">
        <v>1.0</v>
      </c>
      <c r="R419" s="863"/>
      <c r="S419" s="858"/>
      <c r="T419" s="858"/>
      <c r="U419" s="858"/>
      <c r="V419" s="858"/>
      <c r="W419" s="858"/>
      <c r="X419" s="858"/>
      <c r="Y419" s="858"/>
      <c r="Z419" s="858"/>
      <c r="AA419" s="858"/>
      <c r="AB419" s="858"/>
      <c r="AC419" s="858"/>
      <c r="AD419" s="858"/>
      <c r="AE419" s="858"/>
      <c r="AF419" s="858"/>
      <c r="AG419" s="858"/>
      <c r="AH419" s="858"/>
      <c r="AI419" s="858"/>
      <c r="AJ419" s="858"/>
    </row>
    <row r="420" ht="15.75" customHeight="1">
      <c r="A420" s="557"/>
      <c r="B420" s="878"/>
      <c r="C420" s="878" t="s">
        <v>20478</v>
      </c>
      <c r="D420" s="891" t="s">
        <v>20479</v>
      </c>
      <c r="E420" s="494" t="s">
        <v>13047</v>
      </c>
      <c r="F420" s="494" t="s">
        <v>29</v>
      </c>
      <c r="G420" s="878" t="s">
        <v>38</v>
      </c>
      <c r="H420" s="430"/>
      <c r="I420" s="878" t="s">
        <v>38</v>
      </c>
      <c r="J420" s="878">
        <f>345-233</f>
        <v>112</v>
      </c>
      <c r="K420" s="878"/>
      <c r="L420" s="891" t="s">
        <v>20480</v>
      </c>
      <c r="M420" s="878" t="s">
        <v>13051</v>
      </c>
      <c r="N420" s="494">
        <v>2017.0</v>
      </c>
      <c r="O420" s="878" t="s">
        <v>388</v>
      </c>
      <c r="P420" s="878">
        <v>1.0</v>
      </c>
      <c r="Q420" s="874">
        <v>1.0</v>
      </c>
      <c r="R420" s="863"/>
      <c r="S420" s="858"/>
      <c r="T420" s="858"/>
      <c r="U420" s="858"/>
      <c r="V420" s="858"/>
      <c r="W420" s="858"/>
      <c r="X420" s="858"/>
      <c r="Y420" s="858"/>
      <c r="Z420" s="858"/>
      <c r="AA420" s="858"/>
      <c r="AB420" s="858"/>
      <c r="AC420" s="858"/>
      <c r="AD420" s="858"/>
      <c r="AE420" s="858"/>
      <c r="AF420" s="858"/>
      <c r="AG420" s="858"/>
      <c r="AH420" s="858"/>
      <c r="AI420" s="858"/>
      <c r="AJ420" s="858"/>
    </row>
    <row r="421" ht="15.75" customHeight="1">
      <c r="A421" s="557"/>
      <c r="B421" s="878"/>
      <c r="C421" s="878" t="s">
        <v>20478</v>
      </c>
      <c r="D421" s="891" t="s">
        <v>20481</v>
      </c>
      <c r="E421" s="494" t="s">
        <v>13047</v>
      </c>
      <c r="F421" s="494" t="s">
        <v>29</v>
      </c>
      <c r="G421" s="878" t="s">
        <v>38</v>
      </c>
      <c r="H421" s="430"/>
      <c r="I421" s="878" t="s">
        <v>38</v>
      </c>
      <c r="J421" s="878">
        <f>471-339</f>
        <v>132</v>
      </c>
      <c r="K421" s="878"/>
      <c r="L421" s="891" t="s">
        <v>20482</v>
      </c>
      <c r="M421" s="878" t="s">
        <v>13051</v>
      </c>
      <c r="N421" s="494">
        <v>2017.0</v>
      </c>
      <c r="O421" s="878" t="s">
        <v>388</v>
      </c>
      <c r="P421" s="878">
        <v>1.0</v>
      </c>
      <c r="Q421" s="874">
        <v>1.0</v>
      </c>
      <c r="R421" s="863"/>
      <c r="S421" s="858"/>
      <c r="T421" s="858"/>
      <c r="U421" s="858"/>
      <c r="V421" s="858"/>
      <c r="W421" s="858"/>
      <c r="X421" s="858"/>
      <c r="Y421" s="858"/>
      <c r="Z421" s="858"/>
      <c r="AA421" s="858"/>
      <c r="AB421" s="858"/>
      <c r="AC421" s="858"/>
      <c r="AD421" s="858"/>
      <c r="AE421" s="858"/>
      <c r="AF421" s="858"/>
      <c r="AG421" s="858"/>
      <c r="AH421" s="858"/>
      <c r="AI421" s="858"/>
      <c r="AJ421" s="858"/>
    </row>
    <row r="422" ht="15.75" customHeight="1">
      <c r="A422" s="557"/>
      <c r="B422" s="878"/>
      <c r="C422" s="878" t="s">
        <v>20483</v>
      </c>
      <c r="D422" s="891" t="s">
        <v>20481</v>
      </c>
      <c r="E422" s="494" t="s">
        <v>13047</v>
      </c>
      <c r="F422" s="494" t="s">
        <v>29</v>
      </c>
      <c r="G422" s="878" t="s">
        <v>38</v>
      </c>
      <c r="H422" s="430"/>
      <c r="I422" s="878" t="s">
        <v>38</v>
      </c>
      <c r="J422" s="878">
        <f>471-347</f>
        <v>124</v>
      </c>
      <c r="K422" s="878"/>
      <c r="L422" s="891" t="s">
        <v>20484</v>
      </c>
      <c r="M422" s="878" t="s">
        <v>13051</v>
      </c>
      <c r="N422" s="494">
        <v>2017.0</v>
      </c>
      <c r="O422" s="878" t="s">
        <v>388</v>
      </c>
      <c r="P422" s="878">
        <v>1.0</v>
      </c>
      <c r="Q422" s="874">
        <v>1.0</v>
      </c>
      <c r="R422" s="863"/>
      <c r="S422" s="858"/>
      <c r="T422" s="858"/>
      <c r="U422" s="858"/>
      <c r="V422" s="858"/>
      <c r="W422" s="858"/>
      <c r="X422" s="858"/>
      <c r="Y422" s="858"/>
      <c r="Z422" s="858"/>
      <c r="AA422" s="858"/>
      <c r="AB422" s="858"/>
      <c r="AC422" s="858"/>
      <c r="AD422" s="858"/>
      <c r="AE422" s="858"/>
      <c r="AF422" s="858"/>
      <c r="AG422" s="858"/>
      <c r="AH422" s="858"/>
      <c r="AI422" s="858"/>
      <c r="AJ422" s="858"/>
    </row>
    <row r="423" ht="15.75" customHeight="1">
      <c r="A423" s="557"/>
      <c r="B423" s="878"/>
      <c r="C423" s="878" t="s">
        <v>20485</v>
      </c>
      <c r="D423" s="891" t="s">
        <v>20486</v>
      </c>
      <c r="E423" s="494" t="s">
        <v>13047</v>
      </c>
      <c r="F423" s="494" t="s">
        <v>29</v>
      </c>
      <c r="G423" s="878" t="s">
        <v>38</v>
      </c>
      <c r="H423" s="430"/>
      <c r="I423" s="878" t="s">
        <v>38</v>
      </c>
      <c r="J423" s="878">
        <f>120</f>
        <v>120</v>
      </c>
      <c r="K423" s="878"/>
      <c r="L423" s="891" t="s">
        <v>20487</v>
      </c>
      <c r="M423" s="878" t="s">
        <v>13051</v>
      </c>
      <c r="N423" s="494">
        <v>2017.0</v>
      </c>
      <c r="O423" s="878" t="s">
        <v>388</v>
      </c>
      <c r="P423" s="878">
        <v>1.0</v>
      </c>
      <c r="Q423" s="874">
        <v>1.0</v>
      </c>
      <c r="R423" s="863"/>
      <c r="S423" s="858"/>
      <c r="T423" s="858"/>
      <c r="U423" s="858"/>
      <c r="V423" s="858"/>
      <c r="W423" s="858"/>
      <c r="X423" s="858"/>
      <c r="Y423" s="858"/>
      <c r="Z423" s="858"/>
      <c r="AA423" s="858"/>
      <c r="AB423" s="858"/>
      <c r="AC423" s="858"/>
      <c r="AD423" s="858"/>
      <c r="AE423" s="858"/>
      <c r="AF423" s="858"/>
      <c r="AG423" s="858"/>
      <c r="AH423" s="858"/>
      <c r="AI423" s="858"/>
      <c r="AJ423" s="858"/>
    </row>
    <row r="424" ht="15.75" customHeight="1">
      <c r="A424" s="557"/>
      <c r="B424" s="878"/>
      <c r="C424" s="878" t="s">
        <v>20488</v>
      </c>
      <c r="D424" s="891" t="s">
        <v>20489</v>
      </c>
      <c r="E424" s="494" t="s">
        <v>20490</v>
      </c>
      <c r="F424" s="494" t="s">
        <v>29</v>
      </c>
      <c r="G424" s="878" t="s">
        <v>131</v>
      </c>
      <c r="H424" s="430"/>
      <c r="I424" s="878" t="s">
        <v>38</v>
      </c>
      <c r="J424" s="878">
        <f>168+4</f>
        <v>172</v>
      </c>
      <c r="K424" s="878"/>
      <c r="L424" s="891" t="s">
        <v>20491</v>
      </c>
      <c r="M424" s="878" t="s">
        <v>20303</v>
      </c>
      <c r="N424" s="494">
        <v>2017.0</v>
      </c>
      <c r="O424" s="878" t="s">
        <v>388</v>
      </c>
      <c r="P424" s="878">
        <v>1.0</v>
      </c>
      <c r="Q424" s="874">
        <v>1.0</v>
      </c>
      <c r="R424" s="863"/>
      <c r="S424" s="858"/>
      <c r="T424" s="858"/>
      <c r="U424" s="858"/>
      <c r="V424" s="858"/>
      <c r="W424" s="858"/>
      <c r="X424" s="858"/>
      <c r="Y424" s="858"/>
      <c r="Z424" s="858"/>
      <c r="AA424" s="858"/>
      <c r="AB424" s="858"/>
      <c r="AC424" s="858"/>
      <c r="AD424" s="858"/>
      <c r="AE424" s="858"/>
      <c r="AF424" s="858"/>
      <c r="AG424" s="858"/>
      <c r="AH424" s="858"/>
      <c r="AI424" s="858"/>
      <c r="AJ424" s="858"/>
    </row>
    <row r="425" ht="15.75" customHeight="1">
      <c r="A425" s="895"/>
      <c r="B425" s="878" t="s">
        <v>20421</v>
      </c>
      <c r="C425" s="878" t="s">
        <v>20492</v>
      </c>
      <c r="D425" s="891" t="s">
        <v>20493</v>
      </c>
      <c r="E425" s="494" t="s">
        <v>13047</v>
      </c>
      <c r="F425" s="494" t="s">
        <v>29</v>
      </c>
      <c r="G425" s="878" t="s">
        <v>30</v>
      </c>
      <c r="H425" s="430"/>
      <c r="I425" s="878" t="s">
        <v>30</v>
      </c>
      <c r="J425" s="878">
        <f>122+5</f>
        <v>127</v>
      </c>
      <c r="K425" s="878"/>
      <c r="L425" s="891" t="s">
        <v>20494</v>
      </c>
      <c r="M425" s="878" t="s">
        <v>20495</v>
      </c>
      <c r="N425" s="494">
        <v>2017.0</v>
      </c>
      <c r="O425" s="878" t="s">
        <v>388</v>
      </c>
      <c r="P425" s="878">
        <v>2.0</v>
      </c>
      <c r="Q425" s="874">
        <v>1.0</v>
      </c>
      <c r="R425" s="863"/>
      <c r="S425" s="858"/>
      <c r="T425" s="858"/>
      <c r="U425" s="858"/>
      <c r="V425" s="858"/>
      <c r="W425" s="858"/>
      <c r="X425" s="858"/>
      <c r="Y425" s="858"/>
      <c r="Z425" s="858"/>
      <c r="AA425" s="858"/>
      <c r="AB425" s="858"/>
      <c r="AC425" s="858"/>
      <c r="AD425" s="858"/>
      <c r="AE425" s="858"/>
      <c r="AF425" s="858"/>
      <c r="AG425" s="858"/>
      <c r="AH425" s="858"/>
      <c r="AI425" s="858"/>
      <c r="AJ425" s="858"/>
    </row>
    <row r="426" ht="15.75" customHeight="1">
      <c r="A426" s="557"/>
      <c r="B426" s="878" t="s">
        <v>20496</v>
      </c>
      <c r="C426" s="878" t="s">
        <v>20497</v>
      </c>
      <c r="D426" s="891" t="s">
        <v>20498</v>
      </c>
      <c r="E426" s="494" t="s">
        <v>13047</v>
      </c>
      <c r="F426" s="494" t="s">
        <v>29</v>
      </c>
      <c r="G426" s="878" t="s">
        <v>30</v>
      </c>
      <c r="H426" s="430"/>
      <c r="I426" s="878" t="s">
        <v>30</v>
      </c>
      <c r="J426" s="878">
        <v>48.0</v>
      </c>
      <c r="K426" s="878"/>
      <c r="L426" s="891" t="s">
        <v>20499</v>
      </c>
      <c r="M426" s="878" t="s">
        <v>3991</v>
      </c>
      <c r="N426" s="494">
        <v>2018.0</v>
      </c>
      <c r="O426" s="878" t="s">
        <v>388</v>
      </c>
      <c r="P426" s="878">
        <v>1.0</v>
      </c>
      <c r="Q426" s="874">
        <v>1.0</v>
      </c>
      <c r="R426" s="863"/>
      <c r="S426" s="858"/>
      <c r="T426" s="858"/>
      <c r="U426" s="858"/>
      <c r="V426" s="858"/>
      <c r="W426" s="858"/>
      <c r="X426" s="858"/>
      <c r="Y426" s="858"/>
      <c r="Z426" s="858"/>
      <c r="AA426" s="858"/>
      <c r="AB426" s="858"/>
      <c r="AC426" s="858"/>
      <c r="AD426" s="858"/>
      <c r="AE426" s="858"/>
      <c r="AF426" s="858"/>
      <c r="AG426" s="858"/>
      <c r="AH426" s="858"/>
      <c r="AI426" s="858"/>
      <c r="AJ426" s="858"/>
    </row>
    <row r="427" ht="15.75" customHeight="1">
      <c r="A427" s="557"/>
      <c r="B427" s="878" t="s">
        <v>20500</v>
      </c>
      <c r="C427" s="878" t="s">
        <v>20501</v>
      </c>
      <c r="D427" s="891" t="s">
        <v>20502</v>
      </c>
      <c r="E427" s="494" t="s">
        <v>13047</v>
      </c>
      <c r="F427" s="494" t="s">
        <v>29</v>
      </c>
      <c r="G427" s="878" t="s">
        <v>30</v>
      </c>
      <c r="H427" s="430"/>
      <c r="I427" s="878" t="s">
        <v>30</v>
      </c>
      <c r="J427" s="878">
        <v>174.0</v>
      </c>
      <c r="K427" s="878"/>
      <c r="L427" s="891"/>
      <c r="M427" s="891" t="s">
        <v>12022</v>
      </c>
      <c r="N427" s="494">
        <v>2018.0</v>
      </c>
      <c r="O427" s="878" t="s">
        <v>388</v>
      </c>
      <c r="P427" s="878">
        <v>1.0</v>
      </c>
      <c r="Q427" s="874">
        <v>1.0</v>
      </c>
      <c r="R427" s="863"/>
      <c r="S427" s="858"/>
      <c r="T427" s="858"/>
      <c r="U427" s="858"/>
      <c r="V427" s="858"/>
      <c r="W427" s="858"/>
      <c r="X427" s="858"/>
      <c r="Y427" s="858"/>
      <c r="Z427" s="858"/>
      <c r="AA427" s="858"/>
      <c r="AB427" s="858"/>
      <c r="AC427" s="858"/>
      <c r="AD427" s="858"/>
      <c r="AE427" s="858"/>
      <c r="AF427" s="858"/>
      <c r="AG427" s="858"/>
      <c r="AH427" s="858"/>
      <c r="AI427" s="858"/>
      <c r="AJ427" s="858"/>
    </row>
    <row r="428" ht="15.75" customHeight="1">
      <c r="A428" s="557"/>
      <c r="B428" s="878"/>
      <c r="C428" s="878" t="s">
        <v>20503</v>
      </c>
      <c r="D428" s="891" t="s">
        <v>20504</v>
      </c>
      <c r="E428" s="494" t="s">
        <v>13047</v>
      </c>
      <c r="F428" s="494" t="s">
        <v>29</v>
      </c>
      <c r="G428" s="878" t="s">
        <v>38</v>
      </c>
      <c r="H428" s="430"/>
      <c r="I428" s="878" t="s">
        <v>38</v>
      </c>
      <c r="J428" s="878">
        <v>398.0</v>
      </c>
      <c r="K428" s="878"/>
      <c r="L428" s="891"/>
      <c r="M428" s="878" t="s">
        <v>13051</v>
      </c>
      <c r="N428" s="494">
        <v>2017.0</v>
      </c>
      <c r="O428" s="878" t="s">
        <v>388</v>
      </c>
      <c r="P428" s="878">
        <v>1.0</v>
      </c>
      <c r="Q428" s="874">
        <v>1.0</v>
      </c>
      <c r="R428" s="863"/>
      <c r="S428" s="858"/>
      <c r="T428" s="858"/>
      <c r="U428" s="858"/>
      <c r="V428" s="858"/>
      <c r="W428" s="858"/>
      <c r="X428" s="858"/>
      <c r="Y428" s="858"/>
      <c r="Z428" s="858"/>
      <c r="AA428" s="858"/>
      <c r="AB428" s="858"/>
      <c r="AC428" s="858"/>
      <c r="AD428" s="858"/>
      <c r="AE428" s="858"/>
      <c r="AF428" s="858"/>
      <c r="AG428" s="858"/>
      <c r="AH428" s="858"/>
      <c r="AI428" s="858"/>
      <c r="AJ428" s="858"/>
    </row>
    <row r="429" ht="15.75" customHeight="1">
      <c r="A429" s="557"/>
      <c r="B429" s="878"/>
      <c r="C429" s="896" t="s">
        <v>20505</v>
      </c>
      <c r="D429" s="897" t="s">
        <v>20506</v>
      </c>
      <c r="E429" s="494" t="s">
        <v>13047</v>
      </c>
      <c r="F429" s="494" t="s">
        <v>29</v>
      </c>
      <c r="G429" s="878" t="s">
        <v>38</v>
      </c>
      <c r="H429" s="430"/>
      <c r="I429" s="878" t="s">
        <v>38</v>
      </c>
      <c r="J429" s="896">
        <v>552.0</v>
      </c>
      <c r="K429" s="878"/>
      <c r="L429" s="891"/>
      <c r="M429" s="878" t="s">
        <v>13051</v>
      </c>
      <c r="N429" s="898">
        <v>2020.0</v>
      </c>
      <c r="O429" s="878"/>
      <c r="P429" s="878"/>
      <c r="Q429" s="874">
        <v>1.0</v>
      </c>
      <c r="R429" s="863"/>
      <c r="S429" s="858"/>
      <c r="T429" s="858"/>
      <c r="U429" s="858"/>
      <c r="V429" s="858"/>
      <c r="W429" s="858"/>
      <c r="X429" s="858"/>
      <c r="Y429" s="858"/>
      <c r="Z429" s="858"/>
      <c r="AA429" s="858"/>
      <c r="AB429" s="858"/>
      <c r="AC429" s="858"/>
      <c r="AD429" s="858"/>
      <c r="AE429" s="858"/>
      <c r="AF429" s="858"/>
      <c r="AG429" s="858"/>
      <c r="AH429" s="858"/>
      <c r="AI429" s="858"/>
      <c r="AJ429" s="858"/>
    </row>
    <row r="430" ht="15.75" customHeight="1">
      <c r="A430" s="28"/>
      <c r="B430" s="415" t="s">
        <v>20507</v>
      </c>
      <c r="C430" s="415" t="s">
        <v>11111</v>
      </c>
      <c r="D430" s="899" t="s">
        <v>20508</v>
      </c>
      <c r="E430" s="37" t="s">
        <v>13047</v>
      </c>
      <c r="F430" s="37" t="s">
        <v>29</v>
      </c>
      <c r="G430" s="415" t="s">
        <v>30</v>
      </c>
      <c r="H430" s="186"/>
      <c r="I430" s="415" t="s">
        <v>30</v>
      </c>
      <c r="J430" s="415">
        <v>145.0</v>
      </c>
      <c r="K430" s="900"/>
      <c r="L430" s="901" t="s">
        <v>5014</v>
      </c>
      <c r="M430" s="415" t="s">
        <v>4207</v>
      </c>
      <c r="N430" s="37">
        <v>2020.0</v>
      </c>
      <c r="O430" s="900"/>
      <c r="P430" s="415">
        <v>1.0</v>
      </c>
      <c r="Q430" s="415">
        <v>1.0</v>
      </c>
      <c r="R430" s="863"/>
      <c r="S430" s="858"/>
      <c r="T430" s="858"/>
      <c r="U430" s="858"/>
      <c r="V430" s="858"/>
      <c r="W430" s="858"/>
      <c r="X430" s="858"/>
      <c r="Y430" s="858"/>
      <c r="Z430" s="858"/>
      <c r="AA430" s="858"/>
      <c r="AB430" s="858"/>
      <c r="AC430" s="858"/>
      <c r="AD430" s="858"/>
      <c r="AE430" s="858"/>
      <c r="AF430" s="858"/>
      <c r="AG430" s="858"/>
      <c r="AH430" s="858"/>
      <c r="AI430" s="858"/>
      <c r="AJ430" s="858"/>
    </row>
    <row r="431" ht="15.75" customHeight="1">
      <c r="A431" s="28"/>
      <c r="B431" s="415" t="s">
        <v>20507</v>
      </c>
      <c r="C431" s="415" t="s">
        <v>11111</v>
      </c>
      <c r="D431" s="899" t="s">
        <v>20509</v>
      </c>
      <c r="E431" s="37" t="s">
        <v>13047</v>
      </c>
      <c r="F431" s="37" t="s">
        <v>29</v>
      </c>
      <c r="G431" s="415" t="s">
        <v>30</v>
      </c>
      <c r="H431" s="186"/>
      <c r="I431" s="415" t="s">
        <v>30</v>
      </c>
      <c r="J431" s="415">
        <v>253.0</v>
      </c>
      <c r="K431" s="900"/>
      <c r="L431" s="901" t="s">
        <v>5014</v>
      </c>
      <c r="M431" s="415" t="s">
        <v>4207</v>
      </c>
      <c r="N431" s="37">
        <v>2020.0</v>
      </c>
      <c r="O431" s="900"/>
      <c r="P431" s="415">
        <v>2.0</v>
      </c>
      <c r="Q431" s="415">
        <v>2.0</v>
      </c>
      <c r="R431" s="863"/>
      <c r="S431" s="858"/>
      <c r="T431" s="858"/>
      <c r="U431" s="858"/>
      <c r="V431" s="858"/>
      <c r="W431" s="858"/>
      <c r="X431" s="858"/>
      <c r="Y431" s="858"/>
      <c r="Z431" s="858"/>
      <c r="AA431" s="858"/>
      <c r="AB431" s="858"/>
      <c r="AC431" s="858"/>
      <c r="AD431" s="858"/>
      <c r="AE431" s="858"/>
      <c r="AF431" s="858"/>
      <c r="AG431" s="858"/>
      <c r="AH431" s="858"/>
      <c r="AI431" s="858"/>
      <c r="AJ431" s="858"/>
    </row>
    <row r="432" ht="15.75" customHeight="1">
      <c r="A432" s="28"/>
      <c r="B432" s="415" t="s">
        <v>20507</v>
      </c>
      <c r="C432" s="415" t="s">
        <v>11111</v>
      </c>
      <c r="D432" s="899" t="s">
        <v>20510</v>
      </c>
      <c r="E432" s="37" t="s">
        <v>13047</v>
      </c>
      <c r="F432" s="37" t="s">
        <v>29</v>
      </c>
      <c r="G432" s="415" t="s">
        <v>30</v>
      </c>
      <c r="H432" s="186"/>
      <c r="I432" s="415" t="s">
        <v>30</v>
      </c>
      <c r="J432" s="415">
        <v>377.0</v>
      </c>
      <c r="K432" s="900"/>
      <c r="L432" s="901" t="s">
        <v>5014</v>
      </c>
      <c r="M432" s="415" t="s">
        <v>4207</v>
      </c>
      <c r="N432" s="37">
        <v>2020.0</v>
      </c>
      <c r="O432" s="900"/>
      <c r="P432" s="415">
        <v>2.0</v>
      </c>
      <c r="Q432" s="415">
        <v>2.0</v>
      </c>
      <c r="R432" s="863"/>
      <c r="S432" s="858"/>
      <c r="T432" s="858"/>
      <c r="U432" s="858"/>
      <c r="V432" s="858"/>
      <c r="W432" s="858"/>
      <c r="X432" s="858"/>
      <c r="Y432" s="858"/>
      <c r="Z432" s="858"/>
      <c r="AA432" s="858"/>
      <c r="AB432" s="858"/>
      <c r="AC432" s="858"/>
      <c r="AD432" s="858"/>
      <c r="AE432" s="858"/>
      <c r="AF432" s="858"/>
      <c r="AG432" s="858"/>
      <c r="AH432" s="858"/>
      <c r="AI432" s="858"/>
      <c r="AJ432" s="858"/>
    </row>
    <row r="433" ht="15.75" customHeight="1">
      <c r="A433" s="28"/>
      <c r="B433" s="415" t="s">
        <v>20507</v>
      </c>
      <c r="C433" s="415" t="s">
        <v>11111</v>
      </c>
      <c r="D433" s="899" t="s">
        <v>20511</v>
      </c>
      <c r="E433" s="37" t="s">
        <v>13047</v>
      </c>
      <c r="F433" s="37" t="s">
        <v>29</v>
      </c>
      <c r="G433" s="415" t="s">
        <v>30</v>
      </c>
      <c r="H433" s="186"/>
      <c r="I433" s="415" t="s">
        <v>30</v>
      </c>
      <c r="J433" s="415">
        <v>139.0</v>
      </c>
      <c r="K433" s="900"/>
      <c r="L433" s="901" t="s">
        <v>5014</v>
      </c>
      <c r="M433" s="415" t="s">
        <v>4207</v>
      </c>
      <c r="N433" s="37">
        <v>2021.0</v>
      </c>
      <c r="O433" s="900"/>
      <c r="P433" s="415">
        <v>2.0</v>
      </c>
      <c r="Q433" s="415">
        <v>2.0</v>
      </c>
      <c r="R433" s="863"/>
      <c r="S433" s="858"/>
      <c r="T433" s="858"/>
      <c r="U433" s="858"/>
      <c r="V433" s="858"/>
      <c r="W433" s="858"/>
      <c r="X433" s="858"/>
      <c r="Y433" s="858"/>
      <c r="Z433" s="858"/>
      <c r="AA433" s="858"/>
      <c r="AB433" s="858"/>
      <c r="AC433" s="858"/>
      <c r="AD433" s="858"/>
      <c r="AE433" s="858"/>
      <c r="AF433" s="858"/>
      <c r="AG433" s="858"/>
      <c r="AH433" s="858"/>
      <c r="AI433" s="858"/>
      <c r="AJ433" s="858"/>
    </row>
    <row r="434" ht="15.75" customHeight="1">
      <c r="A434" s="28"/>
      <c r="B434" s="415" t="s">
        <v>20507</v>
      </c>
      <c r="C434" s="415" t="s">
        <v>11111</v>
      </c>
      <c r="D434" s="899" t="s">
        <v>20512</v>
      </c>
      <c r="E434" s="37" t="s">
        <v>13047</v>
      </c>
      <c r="F434" s="37" t="s">
        <v>29</v>
      </c>
      <c r="G434" s="415" t="s">
        <v>30</v>
      </c>
      <c r="H434" s="186"/>
      <c r="I434" s="415" t="s">
        <v>30</v>
      </c>
      <c r="J434" s="415">
        <v>272.0</v>
      </c>
      <c r="K434" s="900"/>
      <c r="L434" s="901" t="s">
        <v>5014</v>
      </c>
      <c r="M434" s="415" t="s">
        <v>4207</v>
      </c>
      <c r="N434" s="37">
        <v>2021.0</v>
      </c>
      <c r="O434" s="900"/>
      <c r="P434" s="415">
        <v>2.0</v>
      </c>
      <c r="Q434" s="415">
        <v>2.0</v>
      </c>
      <c r="R434" s="863"/>
      <c r="S434" s="858"/>
      <c r="T434" s="858"/>
      <c r="U434" s="858"/>
      <c r="V434" s="858"/>
      <c r="W434" s="858"/>
      <c r="X434" s="858"/>
      <c r="Y434" s="858"/>
      <c r="Z434" s="858"/>
      <c r="AA434" s="858"/>
      <c r="AB434" s="858"/>
      <c r="AC434" s="858"/>
      <c r="AD434" s="858"/>
      <c r="AE434" s="858"/>
      <c r="AF434" s="858"/>
      <c r="AG434" s="858"/>
      <c r="AH434" s="858"/>
      <c r="AI434" s="858"/>
      <c r="AJ434" s="858"/>
    </row>
    <row r="435" ht="15.75" customHeight="1">
      <c r="A435" s="28"/>
      <c r="B435" s="415" t="s">
        <v>20513</v>
      </c>
      <c r="C435" s="415" t="s">
        <v>11111</v>
      </c>
      <c r="D435" s="899" t="s">
        <v>20514</v>
      </c>
      <c r="E435" s="37" t="s">
        <v>13047</v>
      </c>
      <c r="F435" s="37" t="s">
        <v>29</v>
      </c>
      <c r="G435" s="415" t="s">
        <v>30</v>
      </c>
      <c r="H435" s="186"/>
      <c r="I435" s="415" t="s">
        <v>30</v>
      </c>
      <c r="J435" s="415">
        <v>399.0</v>
      </c>
      <c r="K435" s="900"/>
      <c r="L435" s="901" t="s">
        <v>5014</v>
      </c>
      <c r="M435" s="415" t="s">
        <v>4207</v>
      </c>
      <c r="N435" s="37">
        <v>2021.0</v>
      </c>
      <c r="O435" s="900"/>
      <c r="P435" s="415">
        <v>2.0</v>
      </c>
      <c r="Q435" s="415">
        <v>2.0</v>
      </c>
      <c r="R435" s="863"/>
      <c r="S435" s="858"/>
      <c r="T435" s="858"/>
      <c r="U435" s="858"/>
      <c r="V435" s="858"/>
      <c r="W435" s="858"/>
      <c r="X435" s="858"/>
      <c r="Y435" s="858"/>
      <c r="Z435" s="858"/>
      <c r="AA435" s="858"/>
      <c r="AB435" s="858"/>
      <c r="AC435" s="858"/>
      <c r="AD435" s="858"/>
      <c r="AE435" s="858"/>
      <c r="AF435" s="858"/>
      <c r="AG435" s="858"/>
      <c r="AH435" s="858"/>
      <c r="AI435" s="858"/>
      <c r="AJ435" s="858"/>
    </row>
    <row r="436" ht="15.75" customHeight="1">
      <c r="A436" s="28"/>
      <c r="B436" s="415" t="s">
        <v>20515</v>
      </c>
      <c r="C436" s="415" t="s">
        <v>11111</v>
      </c>
      <c r="D436" s="899" t="s">
        <v>20516</v>
      </c>
      <c r="E436" s="37" t="s">
        <v>13047</v>
      </c>
      <c r="F436" s="37" t="s">
        <v>29</v>
      </c>
      <c r="G436" s="32" t="s">
        <v>38</v>
      </c>
      <c r="H436" s="186"/>
      <c r="I436" s="32" t="s">
        <v>38</v>
      </c>
      <c r="J436" s="415">
        <v>396.0</v>
      </c>
      <c r="K436" s="900"/>
      <c r="L436" s="901" t="s">
        <v>5014</v>
      </c>
      <c r="M436" s="900" t="s">
        <v>19712</v>
      </c>
      <c r="N436" s="37">
        <v>2022.0</v>
      </c>
      <c r="O436" s="900"/>
      <c r="P436" s="415">
        <v>1.0</v>
      </c>
      <c r="Q436" s="415">
        <v>1.0</v>
      </c>
      <c r="R436" s="863"/>
      <c r="S436" s="858"/>
      <c r="T436" s="858"/>
      <c r="U436" s="858"/>
      <c r="V436" s="858"/>
      <c r="W436" s="858"/>
      <c r="X436" s="858"/>
      <c r="Y436" s="858"/>
      <c r="Z436" s="858"/>
      <c r="AA436" s="858"/>
      <c r="AB436" s="858"/>
      <c r="AC436" s="858"/>
      <c r="AD436" s="858"/>
      <c r="AE436" s="858"/>
      <c r="AF436" s="858"/>
      <c r="AG436" s="858"/>
      <c r="AH436" s="858"/>
      <c r="AI436" s="858"/>
      <c r="AJ436" s="858"/>
    </row>
    <row r="437" ht="15.75" customHeight="1">
      <c r="A437" s="28"/>
      <c r="B437" s="415" t="s">
        <v>20517</v>
      </c>
      <c r="C437" s="415" t="s">
        <v>11111</v>
      </c>
      <c r="D437" s="899" t="s">
        <v>20518</v>
      </c>
      <c r="E437" s="37" t="s">
        <v>13047</v>
      </c>
      <c r="F437" s="37" t="s">
        <v>29</v>
      </c>
      <c r="G437" s="37" t="s">
        <v>38</v>
      </c>
      <c r="H437" s="186"/>
      <c r="I437" s="37" t="s">
        <v>38</v>
      </c>
      <c r="J437" s="415">
        <v>282.0</v>
      </c>
      <c r="K437" s="900"/>
      <c r="L437" s="901" t="s">
        <v>20519</v>
      </c>
      <c r="M437" s="415" t="s">
        <v>20520</v>
      </c>
      <c r="N437" s="37">
        <v>2022.0</v>
      </c>
      <c r="O437" s="900"/>
      <c r="P437" s="415">
        <v>2.0</v>
      </c>
      <c r="Q437" s="415">
        <v>2.0</v>
      </c>
      <c r="R437" s="863"/>
      <c r="S437" s="858"/>
      <c r="T437" s="858"/>
      <c r="U437" s="858"/>
      <c r="V437" s="858"/>
      <c r="W437" s="858"/>
      <c r="X437" s="858"/>
      <c r="Y437" s="858"/>
      <c r="Z437" s="858"/>
      <c r="AA437" s="858"/>
      <c r="AB437" s="858"/>
      <c r="AC437" s="858"/>
      <c r="AD437" s="858"/>
      <c r="AE437" s="858"/>
      <c r="AF437" s="858"/>
      <c r="AG437" s="858"/>
      <c r="AH437" s="858"/>
      <c r="AI437" s="858"/>
      <c r="AJ437" s="858"/>
    </row>
    <row r="438" ht="15.75" customHeight="1">
      <c r="A438" s="28"/>
      <c r="B438" s="415" t="s">
        <v>20521</v>
      </c>
      <c r="C438" s="415" t="s">
        <v>20522</v>
      </c>
      <c r="D438" s="902" t="s">
        <v>20523</v>
      </c>
      <c r="E438" s="32" t="s">
        <v>13047</v>
      </c>
      <c r="F438" s="32" t="s">
        <v>29</v>
      </c>
      <c r="G438" s="32" t="s">
        <v>38</v>
      </c>
      <c r="H438" s="28"/>
      <c r="I438" s="32" t="s">
        <v>38</v>
      </c>
      <c r="J438" s="37">
        <v>513.0</v>
      </c>
      <c r="K438" s="900"/>
      <c r="L438" s="415" t="s">
        <v>20524</v>
      </c>
      <c r="M438" s="900" t="s">
        <v>19712</v>
      </c>
      <c r="N438" s="415">
        <v>2020.0</v>
      </c>
      <c r="O438" s="900"/>
      <c r="P438" s="415">
        <v>2.0</v>
      </c>
      <c r="Q438" s="415">
        <v>2.0</v>
      </c>
      <c r="R438" s="863"/>
      <c r="S438" s="858"/>
      <c r="T438" s="858"/>
      <c r="U438" s="858"/>
      <c r="V438" s="858"/>
      <c r="W438" s="858"/>
      <c r="X438" s="858"/>
      <c r="Y438" s="858"/>
      <c r="Z438" s="858"/>
      <c r="AA438" s="858"/>
      <c r="AB438" s="858"/>
      <c r="AC438" s="858"/>
      <c r="AD438" s="858"/>
      <c r="AE438" s="858"/>
      <c r="AF438" s="858"/>
      <c r="AG438" s="858"/>
      <c r="AH438" s="858"/>
      <c r="AI438" s="858"/>
      <c r="AJ438" s="858"/>
    </row>
    <row r="439" ht="15.75" customHeight="1">
      <c r="A439" s="28"/>
      <c r="B439" s="415" t="s">
        <v>20521</v>
      </c>
      <c r="C439" s="415" t="s">
        <v>20522</v>
      </c>
      <c r="D439" s="902" t="s">
        <v>20525</v>
      </c>
      <c r="E439" s="32" t="s">
        <v>13047</v>
      </c>
      <c r="F439" s="32" t="s">
        <v>29</v>
      </c>
      <c r="G439" s="32" t="s">
        <v>38</v>
      </c>
      <c r="H439" s="28"/>
      <c r="I439" s="32" t="s">
        <v>38</v>
      </c>
      <c r="J439" s="37">
        <v>756.0</v>
      </c>
      <c r="K439" s="900"/>
      <c r="L439" s="415" t="s">
        <v>20524</v>
      </c>
      <c r="M439" s="900" t="s">
        <v>19712</v>
      </c>
      <c r="N439" s="415">
        <v>2020.0</v>
      </c>
      <c r="O439" s="900"/>
      <c r="P439" s="415">
        <v>1.0</v>
      </c>
      <c r="Q439" s="415">
        <v>1.0</v>
      </c>
      <c r="R439" s="863"/>
      <c r="S439" s="858"/>
      <c r="T439" s="858"/>
      <c r="U439" s="858"/>
      <c r="V439" s="858"/>
      <c r="W439" s="858"/>
      <c r="X439" s="858"/>
      <c r="Y439" s="858"/>
      <c r="Z439" s="858"/>
      <c r="AA439" s="858"/>
      <c r="AB439" s="858"/>
      <c r="AC439" s="858"/>
      <c r="AD439" s="858"/>
      <c r="AE439" s="858"/>
      <c r="AF439" s="858"/>
      <c r="AG439" s="858"/>
      <c r="AH439" s="858"/>
      <c r="AI439" s="858"/>
      <c r="AJ439" s="858"/>
    </row>
    <row r="440" ht="15.75" customHeight="1">
      <c r="A440" s="28"/>
      <c r="B440" s="415" t="s">
        <v>20521</v>
      </c>
      <c r="C440" s="415" t="s">
        <v>20522</v>
      </c>
      <c r="D440" s="902" t="s">
        <v>20526</v>
      </c>
      <c r="E440" s="32" t="s">
        <v>13047</v>
      </c>
      <c r="F440" s="32" t="s">
        <v>29</v>
      </c>
      <c r="G440" s="32" t="s">
        <v>38</v>
      </c>
      <c r="H440" s="28"/>
      <c r="I440" s="32" t="s">
        <v>38</v>
      </c>
      <c r="J440" s="37">
        <v>166.0</v>
      </c>
      <c r="K440" s="900"/>
      <c r="L440" s="415" t="s">
        <v>20524</v>
      </c>
      <c r="M440" s="900" t="s">
        <v>19712</v>
      </c>
      <c r="N440" s="415">
        <v>2020.0</v>
      </c>
      <c r="O440" s="900"/>
      <c r="P440" s="415">
        <v>1.0</v>
      </c>
      <c r="Q440" s="415">
        <v>1.0</v>
      </c>
      <c r="R440" s="863"/>
      <c r="S440" s="858"/>
      <c r="T440" s="858"/>
      <c r="U440" s="858"/>
      <c r="V440" s="858"/>
      <c r="W440" s="858"/>
      <c r="X440" s="858"/>
      <c r="Y440" s="858"/>
      <c r="Z440" s="858"/>
      <c r="AA440" s="858"/>
      <c r="AB440" s="858"/>
      <c r="AC440" s="858"/>
      <c r="AD440" s="858"/>
      <c r="AE440" s="858"/>
      <c r="AF440" s="858"/>
      <c r="AG440" s="858"/>
      <c r="AH440" s="858"/>
      <c r="AI440" s="858"/>
      <c r="AJ440" s="858"/>
    </row>
    <row r="441" ht="15.75" customHeight="1">
      <c r="A441" s="28"/>
      <c r="B441" s="415" t="s">
        <v>20521</v>
      </c>
      <c r="C441" s="415" t="s">
        <v>20522</v>
      </c>
      <c r="D441" s="902" t="s">
        <v>20527</v>
      </c>
      <c r="E441" s="32" t="s">
        <v>13047</v>
      </c>
      <c r="F441" s="32" t="s">
        <v>29</v>
      </c>
      <c r="G441" s="32" t="s">
        <v>38</v>
      </c>
      <c r="H441" s="28"/>
      <c r="I441" s="32" t="s">
        <v>38</v>
      </c>
      <c r="J441" s="37">
        <v>140.0</v>
      </c>
      <c r="K441" s="900"/>
      <c r="L441" s="415" t="s">
        <v>20524</v>
      </c>
      <c r="M441" s="900" t="s">
        <v>19712</v>
      </c>
      <c r="N441" s="415">
        <v>2020.0</v>
      </c>
      <c r="O441" s="900"/>
      <c r="P441" s="415">
        <v>1.0</v>
      </c>
      <c r="Q441" s="415">
        <v>1.0</v>
      </c>
      <c r="R441" s="863"/>
      <c r="S441" s="858"/>
      <c r="T441" s="858"/>
      <c r="U441" s="858"/>
      <c r="V441" s="858"/>
      <c r="W441" s="858"/>
      <c r="X441" s="858"/>
      <c r="Y441" s="858"/>
      <c r="Z441" s="858"/>
      <c r="AA441" s="858"/>
      <c r="AB441" s="858"/>
      <c r="AC441" s="858"/>
      <c r="AD441" s="858"/>
      <c r="AE441" s="858"/>
      <c r="AF441" s="858"/>
      <c r="AG441" s="858"/>
      <c r="AH441" s="858"/>
      <c r="AI441" s="858"/>
      <c r="AJ441" s="858"/>
    </row>
    <row r="442" ht="15.75" customHeight="1">
      <c r="A442" s="28"/>
      <c r="B442" s="415" t="s">
        <v>20521</v>
      </c>
      <c r="C442" s="415" t="s">
        <v>20522</v>
      </c>
      <c r="D442" s="902" t="s">
        <v>20528</v>
      </c>
      <c r="E442" s="32" t="s">
        <v>13047</v>
      </c>
      <c r="F442" s="32" t="s">
        <v>29</v>
      </c>
      <c r="G442" s="32" t="s">
        <v>38</v>
      </c>
      <c r="H442" s="28"/>
      <c r="I442" s="32" t="s">
        <v>38</v>
      </c>
      <c r="J442" s="37">
        <v>287.0</v>
      </c>
      <c r="K442" s="900"/>
      <c r="L442" s="415" t="s">
        <v>20524</v>
      </c>
      <c r="M442" s="900" t="s">
        <v>19712</v>
      </c>
      <c r="N442" s="415">
        <v>2020.0</v>
      </c>
      <c r="O442" s="900"/>
      <c r="P442" s="415">
        <v>1.0</v>
      </c>
      <c r="Q442" s="415">
        <v>1.0</v>
      </c>
      <c r="R442" s="863"/>
      <c r="S442" s="858"/>
      <c r="T442" s="858"/>
      <c r="U442" s="858"/>
      <c r="V442" s="858"/>
      <c r="W442" s="858"/>
      <c r="X442" s="858"/>
      <c r="Y442" s="858"/>
      <c r="Z442" s="858"/>
      <c r="AA442" s="858"/>
      <c r="AB442" s="858"/>
      <c r="AC442" s="858"/>
      <c r="AD442" s="858"/>
      <c r="AE442" s="858"/>
      <c r="AF442" s="858"/>
      <c r="AG442" s="858"/>
      <c r="AH442" s="858"/>
      <c r="AI442" s="858"/>
      <c r="AJ442" s="858"/>
    </row>
    <row r="443" ht="15.75" customHeight="1">
      <c r="A443" s="28"/>
      <c r="B443" s="415" t="s">
        <v>20529</v>
      </c>
      <c r="C443" s="415" t="s">
        <v>20522</v>
      </c>
      <c r="D443" s="902" t="s">
        <v>20530</v>
      </c>
      <c r="E443" s="32" t="s">
        <v>13047</v>
      </c>
      <c r="F443" s="32" t="s">
        <v>29</v>
      </c>
      <c r="G443" s="32" t="s">
        <v>38</v>
      </c>
      <c r="H443" s="28"/>
      <c r="I443" s="32" t="s">
        <v>38</v>
      </c>
      <c r="J443" s="37">
        <v>427.0</v>
      </c>
      <c r="K443" s="900"/>
      <c r="L443" s="415" t="s">
        <v>20531</v>
      </c>
      <c r="M443" s="900" t="s">
        <v>19712</v>
      </c>
      <c r="N443" s="415">
        <v>2020.0</v>
      </c>
      <c r="O443" s="900"/>
      <c r="P443" s="415">
        <v>1.0</v>
      </c>
      <c r="Q443" s="415">
        <v>1.0</v>
      </c>
      <c r="R443" s="863"/>
      <c r="S443" s="858"/>
      <c r="T443" s="858"/>
      <c r="U443" s="858"/>
      <c r="V443" s="858"/>
      <c r="W443" s="858"/>
      <c r="X443" s="858"/>
      <c r="Y443" s="858"/>
      <c r="Z443" s="858"/>
      <c r="AA443" s="858"/>
      <c r="AB443" s="858"/>
      <c r="AC443" s="858"/>
      <c r="AD443" s="858"/>
      <c r="AE443" s="858"/>
      <c r="AF443" s="858"/>
      <c r="AG443" s="858"/>
      <c r="AH443" s="858"/>
      <c r="AI443" s="858"/>
      <c r="AJ443" s="858"/>
    </row>
    <row r="444" ht="15.75" customHeight="1">
      <c r="A444" s="28"/>
      <c r="B444" s="415" t="s">
        <v>20529</v>
      </c>
      <c r="C444" s="415" t="s">
        <v>20522</v>
      </c>
      <c r="D444" s="902" t="s">
        <v>20532</v>
      </c>
      <c r="E444" s="32" t="s">
        <v>13047</v>
      </c>
      <c r="F444" s="32" t="s">
        <v>29</v>
      </c>
      <c r="G444" s="32" t="s">
        <v>38</v>
      </c>
      <c r="H444" s="28"/>
      <c r="I444" s="32" t="s">
        <v>38</v>
      </c>
      <c r="J444" s="37">
        <v>552.0</v>
      </c>
      <c r="K444" s="900"/>
      <c r="L444" s="415" t="s">
        <v>20531</v>
      </c>
      <c r="M444" s="900" t="s">
        <v>19712</v>
      </c>
      <c r="N444" s="415">
        <v>2020.0</v>
      </c>
      <c r="O444" s="900"/>
      <c r="P444" s="415">
        <v>1.0</v>
      </c>
      <c r="Q444" s="415">
        <v>1.0</v>
      </c>
      <c r="R444" s="863"/>
      <c r="S444" s="858"/>
      <c r="T444" s="858"/>
      <c r="U444" s="858"/>
      <c r="V444" s="858"/>
      <c r="W444" s="858"/>
      <c r="X444" s="858"/>
      <c r="Y444" s="858"/>
      <c r="Z444" s="858"/>
      <c r="AA444" s="858"/>
      <c r="AB444" s="858"/>
      <c r="AC444" s="858"/>
      <c r="AD444" s="858"/>
      <c r="AE444" s="858"/>
      <c r="AF444" s="858"/>
      <c r="AG444" s="858"/>
      <c r="AH444" s="858"/>
      <c r="AI444" s="858"/>
      <c r="AJ444" s="858"/>
    </row>
    <row r="445" ht="15.75" customHeight="1">
      <c r="A445" s="28"/>
      <c r="B445" s="415" t="s">
        <v>20529</v>
      </c>
      <c r="C445" s="415" t="s">
        <v>20522</v>
      </c>
      <c r="D445" s="902" t="s">
        <v>20533</v>
      </c>
      <c r="E445" s="32" t="s">
        <v>13047</v>
      </c>
      <c r="F445" s="32" t="s">
        <v>29</v>
      </c>
      <c r="G445" s="32" t="s">
        <v>38</v>
      </c>
      <c r="H445" s="28"/>
      <c r="I445" s="32" t="s">
        <v>38</v>
      </c>
      <c r="J445" s="37">
        <v>144.0</v>
      </c>
      <c r="K445" s="900"/>
      <c r="L445" s="415" t="s">
        <v>20531</v>
      </c>
      <c r="M445" s="900" t="s">
        <v>19712</v>
      </c>
      <c r="N445" s="415">
        <v>2020.0</v>
      </c>
      <c r="O445" s="900"/>
      <c r="P445" s="415">
        <v>1.0</v>
      </c>
      <c r="Q445" s="415">
        <v>1.0</v>
      </c>
      <c r="R445" s="863"/>
      <c r="S445" s="858"/>
      <c r="T445" s="858"/>
      <c r="U445" s="858"/>
      <c r="V445" s="858"/>
      <c r="W445" s="858"/>
      <c r="X445" s="858"/>
      <c r="Y445" s="858"/>
      <c r="Z445" s="858"/>
      <c r="AA445" s="858"/>
      <c r="AB445" s="858"/>
      <c r="AC445" s="858"/>
      <c r="AD445" s="858"/>
      <c r="AE445" s="858"/>
      <c r="AF445" s="858"/>
      <c r="AG445" s="858"/>
      <c r="AH445" s="858"/>
      <c r="AI445" s="858"/>
      <c r="AJ445" s="858"/>
    </row>
    <row r="446" ht="15.75" customHeight="1">
      <c r="A446" s="28"/>
      <c r="B446" s="415" t="s">
        <v>20529</v>
      </c>
      <c r="C446" s="415" t="s">
        <v>20522</v>
      </c>
      <c r="D446" s="902" t="s">
        <v>20534</v>
      </c>
      <c r="E446" s="32" t="s">
        <v>13047</v>
      </c>
      <c r="F446" s="32" t="s">
        <v>29</v>
      </c>
      <c r="G446" s="32" t="s">
        <v>38</v>
      </c>
      <c r="H446" s="28"/>
      <c r="I446" s="32" t="s">
        <v>38</v>
      </c>
      <c r="J446" s="37">
        <v>298.0</v>
      </c>
      <c r="K446" s="900"/>
      <c r="L446" s="415" t="s">
        <v>20531</v>
      </c>
      <c r="M446" s="900" t="s">
        <v>19712</v>
      </c>
      <c r="N446" s="415">
        <v>2020.0</v>
      </c>
      <c r="O446" s="900"/>
      <c r="P446" s="415">
        <v>1.0</v>
      </c>
      <c r="Q446" s="415">
        <v>1.0</v>
      </c>
      <c r="R446" s="863"/>
      <c r="S446" s="858"/>
      <c r="T446" s="858"/>
      <c r="U446" s="858"/>
      <c r="V446" s="858"/>
      <c r="W446" s="858"/>
      <c r="X446" s="858"/>
      <c r="Y446" s="858"/>
      <c r="Z446" s="858"/>
      <c r="AA446" s="858"/>
      <c r="AB446" s="858"/>
      <c r="AC446" s="858"/>
      <c r="AD446" s="858"/>
      <c r="AE446" s="858"/>
      <c r="AF446" s="858"/>
      <c r="AG446" s="858"/>
      <c r="AH446" s="858"/>
      <c r="AI446" s="858"/>
      <c r="AJ446" s="858"/>
    </row>
    <row r="447" ht="15.75" customHeight="1">
      <c r="A447" s="28"/>
      <c r="B447" s="415" t="s">
        <v>20535</v>
      </c>
      <c r="C447" s="415" t="s">
        <v>20536</v>
      </c>
      <c r="D447" s="902" t="s">
        <v>20537</v>
      </c>
      <c r="E447" s="32" t="s">
        <v>13047</v>
      </c>
      <c r="F447" s="32" t="s">
        <v>29</v>
      </c>
      <c r="G447" s="32" t="s">
        <v>38</v>
      </c>
      <c r="H447" s="28"/>
      <c r="I447" s="32" t="s">
        <v>38</v>
      </c>
      <c r="J447" s="37">
        <v>202.0</v>
      </c>
      <c r="K447" s="900"/>
      <c r="L447" s="415" t="s">
        <v>20538</v>
      </c>
      <c r="M447" s="900" t="s">
        <v>19712</v>
      </c>
      <c r="N447" s="37">
        <v>2020.0</v>
      </c>
      <c r="O447" s="900"/>
      <c r="P447" s="37">
        <v>2.0</v>
      </c>
      <c r="Q447" s="415">
        <v>1.0</v>
      </c>
      <c r="R447" s="863"/>
      <c r="S447" s="858"/>
      <c r="T447" s="858"/>
      <c r="U447" s="858"/>
      <c r="V447" s="858"/>
      <c r="W447" s="858"/>
      <c r="X447" s="858"/>
      <c r="Y447" s="858"/>
      <c r="Z447" s="858"/>
      <c r="AA447" s="858"/>
      <c r="AB447" s="858"/>
      <c r="AC447" s="858"/>
      <c r="AD447" s="858"/>
      <c r="AE447" s="858"/>
      <c r="AF447" s="858"/>
      <c r="AG447" s="858"/>
      <c r="AH447" s="858"/>
      <c r="AI447" s="858"/>
      <c r="AJ447" s="858"/>
    </row>
    <row r="448" ht="15.75" customHeight="1">
      <c r="A448" s="28"/>
      <c r="B448" s="415" t="s">
        <v>20535</v>
      </c>
      <c r="C448" s="415" t="s">
        <v>20536</v>
      </c>
      <c r="D448" s="902" t="s">
        <v>20539</v>
      </c>
      <c r="E448" s="32" t="s">
        <v>13047</v>
      </c>
      <c r="F448" s="32" t="s">
        <v>29</v>
      </c>
      <c r="G448" s="32" t="s">
        <v>38</v>
      </c>
      <c r="H448" s="28"/>
      <c r="I448" s="32" t="s">
        <v>38</v>
      </c>
      <c r="J448" s="37">
        <v>304.0</v>
      </c>
      <c r="K448" s="900"/>
      <c r="L448" s="415" t="s">
        <v>20538</v>
      </c>
      <c r="M448" s="900" t="s">
        <v>19712</v>
      </c>
      <c r="N448" s="37">
        <v>2020.0</v>
      </c>
      <c r="O448" s="900"/>
      <c r="P448" s="32">
        <v>1.0</v>
      </c>
      <c r="Q448" s="415">
        <v>1.0</v>
      </c>
      <c r="R448" s="863"/>
      <c r="S448" s="858"/>
      <c r="T448" s="858"/>
      <c r="U448" s="858"/>
      <c r="V448" s="858"/>
      <c r="W448" s="858"/>
      <c r="X448" s="858"/>
      <c r="Y448" s="858"/>
      <c r="Z448" s="858"/>
      <c r="AA448" s="858"/>
      <c r="AB448" s="858"/>
      <c r="AC448" s="858"/>
      <c r="AD448" s="858"/>
      <c r="AE448" s="858"/>
      <c r="AF448" s="858"/>
      <c r="AG448" s="858"/>
      <c r="AH448" s="858"/>
      <c r="AI448" s="858"/>
      <c r="AJ448" s="858"/>
    </row>
    <row r="449" ht="15.75" customHeight="1">
      <c r="A449" s="28"/>
      <c r="B449" s="415" t="s">
        <v>20535</v>
      </c>
      <c r="C449" s="415" t="s">
        <v>20536</v>
      </c>
      <c r="D449" s="902" t="s">
        <v>20540</v>
      </c>
      <c r="E449" s="32" t="s">
        <v>13047</v>
      </c>
      <c r="F449" s="32" t="s">
        <v>29</v>
      </c>
      <c r="G449" s="32" t="s">
        <v>38</v>
      </c>
      <c r="H449" s="28"/>
      <c r="I449" s="32" t="s">
        <v>38</v>
      </c>
      <c r="J449" s="37">
        <v>114.0</v>
      </c>
      <c r="K449" s="900"/>
      <c r="L449" s="415" t="s">
        <v>20538</v>
      </c>
      <c r="M449" s="900" t="s">
        <v>19712</v>
      </c>
      <c r="N449" s="37">
        <v>2020.0</v>
      </c>
      <c r="O449" s="900"/>
      <c r="P449" s="32">
        <v>1.0</v>
      </c>
      <c r="Q449" s="415">
        <v>1.0</v>
      </c>
      <c r="R449" s="863"/>
      <c r="S449" s="858"/>
      <c r="T449" s="858"/>
      <c r="U449" s="858"/>
      <c r="V449" s="858"/>
      <c r="W449" s="858"/>
      <c r="X449" s="858"/>
      <c r="Y449" s="858"/>
      <c r="Z449" s="858"/>
      <c r="AA449" s="858"/>
      <c r="AB449" s="858"/>
      <c r="AC449" s="858"/>
      <c r="AD449" s="858"/>
      <c r="AE449" s="858"/>
      <c r="AF449" s="858"/>
      <c r="AG449" s="858"/>
      <c r="AH449" s="858"/>
      <c r="AI449" s="858"/>
      <c r="AJ449" s="858"/>
    </row>
    <row r="450" ht="15.75" customHeight="1">
      <c r="A450" s="28"/>
      <c r="B450" s="415" t="s">
        <v>20535</v>
      </c>
      <c r="C450" s="415" t="s">
        <v>20536</v>
      </c>
      <c r="D450" s="902" t="s">
        <v>20541</v>
      </c>
      <c r="E450" s="32" t="s">
        <v>13047</v>
      </c>
      <c r="F450" s="32" t="s">
        <v>29</v>
      </c>
      <c r="G450" s="32" t="s">
        <v>38</v>
      </c>
      <c r="H450" s="28"/>
      <c r="I450" s="32" t="s">
        <v>38</v>
      </c>
      <c r="J450" s="37">
        <v>204.0</v>
      </c>
      <c r="K450" s="900"/>
      <c r="L450" s="415" t="s">
        <v>20538</v>
      </c>
      <c r="M450" s="900" t="s">
        <v>19712</v>
      </c>
      <c r="N450" s="37">
        <v>2021.0</v>
      </c>
      <c r="O450" s="900"/>
      <c r="P450" s="32">
        <v>1.0</v>
      </c>
      <c r="Q450" s="415">
        <v>1.0</v>
      </c>
      <c r="R450" s="863"/>
      <c r="S450" s="858"/>
      <c r="T450" s="858"/>
      <c r="U450" s="858"/>
      <c r="V450" s="858"/>
      <c r="W450" s="858"/>
      <c r="X450" s="858"/>
      <c r="Y450" s="858"/>
      <c r="Z450" s="858"/>
      <c r="AA450" s="858"/>
      <c r="AB450" s="858"/>
      <c r="AC450" s="858"/>
      <c r="AD450" s="858"/>
      <c r="AE450" s="858"/>
      <c r="AF450" s="858"/>
      <c r="AG450" s="858"/>
      <c r="AH450" s="858"/>
      <c r="AI450" s="858"/>
      <c r="AJ450" s="858"/>
    </row>
    <row r="451" ht="15.75" customHeight="1">
      <c r="A451" s="28"/>
      <c r="B451" s="415" t="s">
        <v>20535</v>
      </c>
      <c r="C451" s="415" t="s">
        <v>20536</v>
      </c>
      <c r="D451" s="902" t="s">
        <v>20542</v>
      </c>
      <c r="E451" s="32" t="s">
        <v>13047</v>
      </c>
      <c r="F451" s="32" t="s">
        <v>29</v>
      </c>
      <c r="G451" s="32" t="s">
        <v>38</v>
      </c>
      <c r="H451" s="28"/>
      <c r="I451" s="32" t="s">
        <v>38</v>
      </c>
      <c r="J451" s="37">
        <v>127.0</v>
      </c>
      <c r="K451" s="900"/>
      <c r="L451" s="415" t="s">
        <v>20538</v>
      </c>
      <c r="M451" s="900" t="s">
        <v>19712</v>
      </c>
      <c r="N451" s="37">
        <v>2021.0</v>
      </c>
      <c r="O451" s="900"/>
      <c r="P451" s="32">
        <v>1.0</v>
      </c>
      <c r="Q451" s="415">
        <v>1.0</v>
      </c>
      <c r="R451" s="863"/>
      <c r="S451" s="858"/>
      <c r="T451" s="858"/>
      <c r="U451" s="858"/>
      <c r="V451" s="858"/>
      <c r="W451" s="858"/>
      <c r="X451" s="858"/>
      <c r="Y451" s="858"/>
      <c r="Z451" s="858"/>
      <c r="AA451" s="858"/>
      <c r="AB451" s="858"/>
      <c r="AC451" s="858"/>
      <c r="AD451" s="858"/>
      <c r="AE451" s="858"/>
      <c r="AF451" s="858"/>
      <c r="AG451" s="858"/>
      <c r="AH451" s="858"/>
      <c r="AI451" s="858"/>
      <c r="AJ451" s="858"/>
    </row>
    <row r="452" ht="15.75" customHeight="1">
      <c r="A452" s="28"/>
      <c r="B452" s="415" t="s">
        <v>20535</v>
      </c>
      <c r="C452" s="415" t="s">
        <v>20536</v>
      </c>
      <c r="D452" s="902" t="s">
        <v>20543</v>
      </c>
      <c r="E452" s="32" t="s">
        <v>13047</v>
      </c>
      <c r="F452" s="32" t="s">
        <v>29</v>
      </c>
      <c r="G452" s="32" t="s">
        <v>38</v>
      </c>
      <c r="H452" s="28"/>
      <c r="I452" s="32" t="s">
        <v>38</v>
      </c>
      <c r="J452" s="37">
        <v>260.0</v>
      </c>
      <c r="K452" s="900"/>
      <c r="L452" s="415" t="s">
        <v>20538</v>
      </c>
      <c r="M452" s="900" t="s">
        <v>19712</v>
      </c>
      <c r="N452" s="37">
        <v>2022.0</v>
      </c>
      <c r="O452" s="900"/>
      <c r="P452" s="32">
        <v>1.0</v>
      </c>
      <c r="Q452" s="415">
        <v>1.0</v>
      </c>
      <c r="R452" s="863"/>
      <c r="S452" s="858"/>
      <c r="T452" s="858"/>
      <c r="U452" s="858"/>
      <c r="V452" s="858"/>
      <c r="W452" s="858"/>
      <c r="X452" s="858"/>
      <c r="Y452" s="858"/>
      <c r="Z452" s="858"/>
      <c r="AA452" s="858"/>
      <c r="AB452" s="858"/>
      <c r="AC452" s="858"/>
      <c r="AD452" s="858"/>
      <c r="AE452" s="858"/>
      <c r="AF452" s="858"/>
      <c r="AG452" s="858"/>
      <c r="AH452" s="858"/>
      <c r="AI452" s="858"/>
      <c r="AJ452" s="858"/>
    </row>
    <row r="453" ht="15.75" customHeight="1">
      <c r="A453" s="28"/>
      <c r="B453" s="415" t="s">
        <v>20535</v>
      </c>
      <c r="C453" s="415" t="s">
        <v>20536</v>
      </c>
      <c r="D453" s="902" t="s">
        <v>20544</v>
      </c>
      <c r="E453" s="32" t="s">
        <v>13047</v>
      </c>
      <c r="F453" s="32" t="s">
        <v>29</v>
      </c>
      <c r="G453" s="32" t="s">
        <v>38</v>
      </c>
      <c r="H453" s="28"/>
      <c r="I453" s="32" t="s">
        <v>38</v>
      </c>
      <c r="J453" s="37">
        <v>199.0</v>
      </c>
      <c r="K453" s="900"/>
      <c r="L453" s="415" t="s">
        <v>20538</v>
      </c>
      <c r="M453" s="900" t="s">
        <v>19712</v>
      </c>
      <c r="N453" s="37">
        <v>2022.0</v>
      </c>
      <c r="O453" s="900"/>
      <c r="P453" s="32">
        <v>1.0</v>
      </c>
      <c r="Q453" s="415">
        <v>1.0</v>
      </c>
      <c r="R453" s="863"/>
      <c r="S453" s="858"/>
      <c r="T453" s="858"/>
      <c r="U453" s="858"/>
      <c r="V453" s="858"/>
      <c r="W453" s="858"/>
      <c r="X453" s="858"/>
      <c r="Y453" s="858"/>
      <c r="Z453" s="858"/>
      <c r="AA453" s="858"/>
      <c r="AB453" s="858"/>
      <c r="AC453" s="858"/>
      <c r="AD453" s="858"/>
      <c r="AE453" s="858"/>
      <c r="AF453" s="858"/>
      <c r="AG453" s="858"/>
      <c r="AH453" s="858"/>
      <c r="AI453" s="858"/>
      <c r="AJ453" s="858"/>
    </row>
    <row r="454" ht="15.75" customHeight="1">
      <c r="A454" s="28"/>
      <c r="B454" s="415" t="s">
        <v>20535</v>
      </c>
      <c r="C454" s="415" t="s">
        <v>20536</v>
      </c>
      <c r="D454" s="902" t="s">
        <v>20545</v>
      </c>
      <c r="E454" s="32" t="s">
        <v>13047</v>
      </c>
      <c r="F454" s="32" t="s">
        <v>29</v>
      </c>
      <c r="G454" s="32" t="s">
        <v>38</v>
      </c>
      <c r="H454" s="28"/>
      <c r="I454" s="32" t="s">
        <v>38</v>
      </c>
      <c r="J454" s="37">
        <v>374.0</v>
      </c>
      <c r="K454" s="900"/>
      <c r="L454" s="415" t="s">
        <v>20538</v>
      </c>
      <c r="M454" s="900" t="s">
        <v>19712</v>
      </c>
      <c r="N454" s="37">
        <v>2022.0</v>
      </c>
      <c r="O454" s="900"/>
      <c r="P454" s="37">
        <v>1.0</v>
      </c>
      <c r="Q454" s="415">
        <v>1.0</v>
      </c>
      <c r="R454" s="863"/>
      <c r="S454" s="858"/>
      <c r="T454" s="858"/>
      <c r="U454" s="858"/>
      <c r="V454" s="858"/>
      <c r="W454" s="858"/>
      <c r="X454" s="858"/>
      <c r="Y454" s="858"/>
      <c r="Z454" s="858"/>
      <c r="AA454" s="858"/>
      <c r="AB454" s="858"/>
      <c r="AC454" s="858"/>
      <c r="AD454" s="858"/>
      <c r="AE454" s="858"/>
      <c r="AF454" s="858"/>
      <c r="AG454" s="858"/>
      <c r="AH454" s="858"/>
      <c r="AI454" s="858"/>
      <c r="AJ454" s="858"/>
    </row>
    <row r="455" ht="15.75" customHeight="1">
      <c r="A455" s="28"/>
      <c r="B455" s="415" t="s">
        <v>20546</v>
      </c>
      <c r="C455" s="415" t="s">
        <v>20547</v>
      </c>
      <c r="D455" s="902" t="s">
        <v>20548</v>
      </c>
      <c r="E455" s="32" t="s">
        <v>13047</v>
      </c>
      <c r="F455" s="32" t="s">
        <v>29</v>
      </c>
      <c r="G455" s="900" t="s">
        <v>30</v>
      </c>
      <c r="H455" s="186"/>
      <c r="I455" s="900" t="s">
        <v>30</v>
      </c>
      <c r="J455" s="415">
        <v>146.0</v>
      </c>
      <c r="K455" s="900"/>
      <c r="L455" s="415" t="s">
        <v>20549</v>
      </c>
      <c r="M455" s="415" t="s">
        <v>20550</v>
      </c>
      <c r="N455" s="415">
        <v>2021.0</v>
      </c>
      <c r="O455" s="900"/>
      <c r="P455" s="900">
        <v>1.0</v>
      </c>
      <c r="Q455" s="415">
        <v>1.0</v>
      </c>
      <c r="R455" s="863"/>
      <c r="S455" s="858"/>
      <c r="T455" s="858"/>
      <c r="U455" s="858"/>
      <c r="V455" s="858"/>
      <c r="W455" s="858"/>
      <c r="X455" s="858"/>
      <c r="Y455" s="858"/>
      <c r="Z455" s="858"/>
      <c r="AA455" s="858"/>
      <c r="AB455" s="858"/>
      <c r="AC455" s="858"/>
      <c r="AD455" s="858"/>
      <c r="AE455" s="858"/>
      <c r="AF455" s="858"/>
      <c r="AG455" s="858"/>
      <c r="AH455" s="858"/>
      <c r="AI455" s="858"/>
      <c r="AJ455" s="858"/>
    </row>
    <row r="456" ht="15.75" customHeight="1">
      <c r="A456" s="28"/>
      <c r="B456" s="415" t="s">
        <v>20551</v>
      </c>
      <c r="C456" s="415" t="s">
        <v>20547</v>
      </c>
      <c r="D456" s="902" t="s">
        <v>20552</v>
      </c>
      <c r="E456" s="32" t="s">
        <v>13047</v>
      </c>
      <c r="F456" s="32" t="s">
        <v>29</v>
      </c>
      <c r="G456" s="900" t="s">
        <v>30</v>
      </c>
      <c r="H456" s="186"/>
      <c r="I456" s="900" t="s">
        <v>30</v>
      </c>
      <c r="J456" s="415">
        <v>275.0</v>
      </c>
      <c r="K456" s="900"/>
      <c r="L456" s="415" t="s">
        <v>20549</v>
      </c>
      <c r="M456" s="415" t="s">
        <v>20550</v>
      </c>
      <c r="N456" s="415">
        <v>2022.0</v>
      </c>
      <c r="O456" s="900"/>
      <c r="P456" s="900">
        <v>1.0</v>
      </c>
      <c r="Q456" s="415">
        <v>1.0</v>
      </c>
      <c r="R456" s="863"/>
      <c r="S456" s="858"/>
      <c r="T456" s="858"/>
      <c r="U456" s="858"/>
      <c r="V456" s="858"/>
      <c r="W456" s="858"/>
      <c r="X456" s="858"/>
      <c r="Y456" s="858"/>
      <c r="Z456" s="858"/>
      <c r="AA456" s="858"/>
      <c r="AB456" s="858"/>
      <c r="AC456" s="858"/>
      <c r="AD456" s="858"/>
      <c r="AE456" s="858"/>
      <c r="AF456" s="858"/>
      <c r="AG456" s="858"/>
      <c r="AH456" s="858"/>
      <c r="AI456" s="858"/>
      <c r="AJ456" s="858"/>
    </row>
    <row r="457" ht="15.75" customHeight="1">
      <c r="A457" s="28"/>
      <c r="B457" s="415" t="s">
        <v>20553</v>
      </c>
      <c r="C457" s="415" t="s">
        <v>20554</v>
      </c>
      <c r="D457" s="899" t="s">
        <v>20555</v>
      </c>
      <c r="E457" s="37" t="s">
        <v>13047</v>
      </c>
      <c r="F457" s="37" t="s">
        <v>29</v>
      </c>
      <c r="G457" s="415" t="s">
        <v>30</v>
      </c>
      <c r="H457" s="186"/>
      <c r="I457" s="415" t="s">
        <v>30</v>
      </c>
      <c r="J457" s="415">
        <v>95.0</v>
      </c>
      <c r="K457" s="900"/>
      <c r="L457" s="415" t="s">
        <v>20556</v>
      </c>
      <c r="M457" s="900" t="s">
        <v>20073</v>
      </c>
      <c r="N457" s="415">
        <v>2019.0</v>
      </c>
      <c r="O457" s="900"/>
      <c r="P457" s="415">
        <v>1.0</v>
      </c>
      <c r="Q457" s="415">
        <v>1.0</v>
      </c>
      <c r="R457" s="863"/>
      <c r="S457" s="858"/>
      <c r="T457" s="858"/>
      <c r="U457" s="858"/>
      <c r="V457" s="858"/>
      <c r="W457" s="858"/>
      <c r="X457" s="858"/>
      <c r="Y457" s="858"/>
      <c r="Z457" s="858"/>
      <c r="AA457" s="858"/>
      <c r="AB457" s="858"/>
      <c r="AC457" s="858"/>
      <c r="AD457" s="858"/>
      <c r="AE457" s="858"/>
      <c r="AF457" s="858"/>
      <c r="AG457" s="858"/>
      <c r="AH457" s="858"/>
      <c r="AI457" s="858"/>
      <c r="AJ457" s="858"/>
    </row>
    <row r="458" ht="15.75" customHeight="1">
      <c r="A458" s="28"/>
      <c r="B458" s="415" t="s">
        <v>20553</v>
      </c>
      <c r="C458" s="415" t="s">
        <v>20554</v>
      </c>
      <c r="D458" s="899" t="s">
        <v>20557</v>
      </c>
      <c r="E458" s="37" t="s">
        <v>13047</v>
      </c>
      <c r="F458" s="37" t="s">
        <v>29</v>
      </c>
      <c r="G458" s="415" t="s">
        <v>30</v>
      </c>
      <c r="H458" s="186"/>
      <c r="I458" s="415" t="s">
        <v>30</v>
      </c>
      <c r="J458" s="415">
        <v>80.0</v>
      </c>
      <c r="K458" s="900"/>
      <c r="L458" s="415" t="s">
        <v>20556</v>
      </c>
      <c r="M458" s="900" t="s">
        <v>20073</v>
      </c>
      <c r="N458" s="415">
        <v>2021.0</v>
      </c>
      <c r="O458" s="900"/>
      <c r="P458" s="415">
        <v>1.0</v>
      </c>
      <c r="Q458" s="415">
        <v>1.0</v>
      </c>
      <c r="R458" s="863"/>
      <c r="S458" s="858"/>
      <c r="T458" s="858"/>
      <c r="U458" s="858"/>
      <c r="V458" s="858"/>
      <c r="W458" s="858"/>
      <c r="X458" s="858"/>
      <c r="Y458" s="858"/>
      <c r="Z458" s="858"/>
      <c r="AA458" s="858"/>
      <c r="AB458" s="858"/>
      <c r="AC458" s="858"/>
      <c r="AD458" s="858"/>
      <c r="AE458" s="858"/>
      <c r="AF458" s="858"/>
      <c r="AG458" s="858"/>
      <c r="AH458" s="858"/>
      <c r="AI458" s="858"/>
      <c r="AJ458" s="858"/>
    </row>
    <row r="459" ht="15.75" customHeight="1">
      <c r="A459" s="28"/>
      <c r="B459" s="900" t="s">
        <v>19775</v>
      </c>
      <c r="C459" s="415" t="s">
        <v>20558</v>
      </c>
      <c r="D459" s="899" t="s">
        <v>20559</v>
      </c>
      <c r="E459" s="32" t="s">
        <v>13047</v>
      </c>
      <c r="F459" s="32" t="s">
        <v>29</v>
      </c>
      <c r="G459" s="415" t="s">
        <v>30</v>
      </c>
      <c r="H459" s="186"/>
      <c r="I459" s="415" t="s">
        <v>30</v>
      </c>
      <c r="J459" s="415">
        <v>82.0</v>
      </c>
      <c r="K459" s="900"/>
      <c r="L459" s="415" t="s">
        <v>20560</v>
      </c>
      <c r="M459" s="900" t="s">
        <v>19780</v>
      </c>
      <c r="N459" s="37">
        <v>2021.0</v>
      </c>
      <c r="O459" s="900"/>
      <c r="P459" s="900">
        <v>1.0</v>
      </c>
      <c r="Q459" s="415">
        <v>1.0</v>
      </c>
      <c r="R459" s="863"/>
      <c r="S459" s="858"/>
      <c r="T459" s="858"/>
      <c r="U459" s="858"/>
      <c r="V459" s="858"/>
      <c r="W459" s="858"/>
      <c r="X459" s="858"/>
      <c r="Y459" s="858"/>
      <c r="Z459" s="858"/>
      <c r="AA459" s="858"/>
      <c r="AB459" s="858"/>
      <c r="AC459" s="858"/>
      <c r="AD459" s="858"/>
      <c r="AE459" s="858"/>
      <c r="AF459" s="858"/>
      <c r="AG459" s="858"/>
      <c r="AH459" s="858"/>
      <c r="AI459" s="858"/>
      <c r="AJ459" s="858"/>
    </row>
    <row r="460" ht="15.75" customHeight="1">
      <c r="A460" s="28"/>
      <c r="B460" s="900" t="s">
        <v>19775</v>
      </c>
      <c r="C460" s="415" t="s">
        <v>20558</v>
      </c>
      <c r="D460" s="902" t="s">
        <v>20561</v>
      </c>
      <c r="E460" s="37" t="s">
        <v>13047</v>
      </c>
      <c r="F460" s="37" t="s">
        <v>29</v>
      </c>
      <c r="G460" s="415" t="s">
        <v>30</v>
      </c>
      <c r="H460" s="186"/>
      <c r="I460" s="415" t="s">
        <v>30</v>
      </c>
      <c r="J460" s="415">
        <v>82.0</v>
      </c>
      <c r="K460" s="900"/>
      <c r="L460" s="415" t="s">
        <v>20560</v>
      </c>
      <c r="M460" s="415" t="s">
        <v>19780</v>
      </c>
      <c r="N460" s="37">
        <v>2021.0</v>
      </c>
      <c r="O460" s="900"/>
      <c r="P460" s="415">
        <v>1.0</v>
      </c>
      <c r="Q460" s="415">
        <v>1.0</v>
      </c>
      <c r="R460" s="863"/>
      <c r="S460" s="858"/>
      <c r="T460" s="858"/>
      <c r="U460" s="858"/>
      <c r="V460" s="858"/>
      <c r="W460" s="858"/>
      <c r="X460" s="858"/>
      <c r="Y460" s="858"/>
      <c r="Z460" s="858"/>
      <c r="AA460" s="858"/>
      <c r="AB460" s="858"/>
      <c r="AC460" s="858"/>
      <c r="AD460" s="858"/>
      <c r="AE460" s="858"/>
      <c r="AF460" s="858"/>
      <c r="AG460" s="858"/>
      <c r="AH460" s="858"/>
      <c r="AI460" s="858"/>
      <c r="AJ460" s="858"/>
    </row>
    <row r="461" ht="15.75" customHeight="1">
      <c r="A461" s="28"/>
      <c r="B461" s="900" t="s">
        <v>19775</v>
      </c>
      <c r="C461" s="415" t="s">
        <v>20558</v>
      </c>
      <c r="D461" s="902" t="s">
        <v>20562</v>
      </c>
      <c r="E461" s="37" t="s">
        <v>13047</v>
      </c>
      <c r="F461" s="37" t="s">
        <v>29</v>
      </c>
      <c r="G461" s="415" t="s">
        <v>30</v>
      </c>
      <c r="H461" s="186"/>
      <c r="I461" s="415" t="s">
        <v>30</v>
      </c>
      <c r="J461" s="415">
        <v>82.0</v>
      </c>
      <c r="K461" s="900"/>
      <c r="L461" s="415" t="s">
        <v>20560</v>
      </c>
      <c r="M461" s="415" t="s">
        <v>19780</v>
      </c>
      <c r="N461" s="37">
        <v>2021.0</v>
      </c>
      <c r="O461" s="900"/>
      <c r="P461" s="415">
        <v>1.0</v>
      </c>
      <c r="Q461" s="415">
        <v>1.0</v>
      </c>
      <c r="R461" s="863"/>
      <c r="S461" s="858"/>
      <c r="T461" s="858"/>
      <c r="U461" s="858"/>
      <c r="V461" s="858"/>
      <c r="W461" s="858"/>
      <c r="X461" s="858"/>
      <c r="Y461" s="858"/>
      <c r="Z461" s="858"/>
      <c r="AA461" s="858"/>
      <c r="AB461" s="858"/>
      <c r="AC461" s="858"/>
      <c r="AD461" s="858"/>
      <c r="AE461" s="858"/>
      <c r="AF461" s="858"/>
      <c r="AG461" s="858"/>
      <c r="AH461" s="858"/>
      <c r="AI461" s="858"/>
      <c r="AJ461" s="858"/>
    </row>
    <row r="462" ht="15.75" customHeight="1">
      <c r="A462" s="28"/>
      <c r="B462" s="900" t="s">
        <v>19775</v>
      </c>
      <c r="C462" s="415" t="s">
        <v>20558</v>
      </c>
      <c r="D462" s="902" t="s">
        <v>20563</v>
      </c>
      <c r="E462" s="37" t="s">
        <v>13047</v>
      </c>
      <c r="F462" s="37" t="s">
        <v>29</v>
      </c>
      <c r="G462" s="415" t="s">
        <v>30</v>
      </c>
      <c r="H462" s="186"/>
      <c r="I462" s="415" t="s">
        <v>30</v>
      </c>
      <c r="J462" s="415">
        <v>82.0</v>
      </c>
      <c r="K462" s="900"/>
      <c r="L462" s="415" t="s">
        <v>20560</v>
      </c>
      <c r="M462" s="415" t="s">
        <v>19780</v>
      </c>
      <c r="N462" s="37">
        <v>2021.0</v>
      </c>
      <c r="O462" s="900"/>
      <c r="P462" s="415">
        <v>1.0</v>
      </c>
      <c r="Q462" s="415">
        <v>1.0</v>
      </c>
      <c r="R462" s="863"/>
      <c r="S462" s="858"/>
      <c r="T462" s="858"/>
      <c r="U462" s="858"/>
      <c r="V462" s="858"/>
      <c r="W462" s="858"/>
      <c r="X462" s="858"/>
      <c r="Y462" s="858"/>
      <c r="Z462" s="858"/>
      <c r="AA462" s="858"/>
      <c r="AB462" s="858"/>
      <c r="AC462" s="858"/>
      <c r="AD462" s="858"/>
      <c r="AE462" s="858"/>
      <c r="AF462" s="858"/>
      <c r="AG462" s="858"/>
      <c r="AH462" s="858"/>
      <c r="AI462" s="858"/>
      <c r="AJ462" s="858"/>
    </row>
    <row r="463" ht="15.75" customHeight="1">
      <c r="A463" s="28"/>
      <c r="B463" s="900" t="s">
        <v>19775</v>
      </c>
      <c r="C463" s="415" t="s">
        <v>20558</v>
      </c>
      <c r="D463" s="902" t="s">
        <v>20564</v>
      </c>
      <c r="E463" s="37" t="s">
        <v>13047</v>
      </c>
      <c r="F463" s="37" t="s">
        <v>29</v>
      </c>
      <c r="G463" s="415" t="s">
        <v>30</v>
      </c>
      <c r="H463" s="186"/>
      <c r="I463" s="415" t="s">
        <v>30</v>
      </c>
      <c r="J463" s="415">
        <v>82.0</v>
      </c>
      <c r="K463" s="900"/>
      <c r="L463" s="415" t="s">
        <v>20560</v>
      </c>
      <c r="M463" s="415" t="s">
        <v>19780</v>
      </c>
      <c r="N463" s="37">
        <v>2021.0</v>
      </c>
      <c r="O463" s="900"/>
      <c r="P463" s="415">
        <v>1.0</v>
      </c>
      <c r="Q463" s="415">
        <v>1.0</v>
      </c>
      <c r="R463" s="863"/>
      <c r="S463" s="858"/>
      <c r="T463" s="858"/>
      <c r="U463" s="858"/>
      <c r="V463" s="858"/>
      <c r="W463" s="858"/>
      <c r="X463" s="858"/>
      <c r="Y463" s="858"/>
      <c r="Z463" s="858"/>
      <c r="AA463" s="858"/>
      <c r="AB463" s="858"/>
      <c r="AC463" s="858"/>
      <c r="AD463" s="858"/>
      <c r="AE463" s="858"/>
      <c r="AF463" s="858"/>
      <c r="AG463" s="858"/>
      <c r="AH463" s="858"/>
      <c r="AI463" s="858"/>
      <c r="AJ463" s="858"/>
    </row>
    <row r="464" ht="15.75" customHeight="1">
      <c r="A464" s="28"/>
      <c r="B464" s="900" t="s">
        <v>19775</v>
      </c>
      <c r="C464" s="415" t="s">
        <v>20558</v>
      </c>
      <c r="D464" s="902" t="s">
        <v>20565</v>
      </c>
      <c r="E464" s="37" t="s">
        <v>13047</v>
      </c>
      <c r="F464" s="37" t="s">
        <v>29</v>
      </c>
      <c r="G464" s="415" t="s">
        <v>30</v>
      </c>
      <c r="H464" s="186"/>
      <c r="I464" s="415" t="s">
        <v>30</v>
      </c>
      <c r="J464" s="415">
        <v>82.0</v>
      </c>
      <c r="K464" s="900"/>
      <c r="L464" s="415" t="s">
        <v>20560</v>
      </c>
      <c r="M464" s="415" t="s">
        <v>19780</v>
      </c>
      <c r="N464" s="37">
        <v>2021.0</v>
      </c>
      <c r="O464" s="900"/>
      <c r="P464" s="415">
        <v>1.0</v>
      </c>
      <c r="Q464" s="415">
        <v>1.0</v>
      </c>
      <c r="R464" s="863"/>
      <c r="S464" s="858"/>
      <c r="T464" s="858"/>
      <c r="U464" s="858"/>
      <c r="V464" s="858"/>
      <c r="W464" s="858"/>
      <c r="X464" s="858"/>
      <c r="Y464" s="858"/>
      <c r="Z464" s="858"/>
      <c r="AA464" s="858"/>
      <c r="AB464" s="858"/>
      <c r="AC464" s="858"/>
      <c r="AD464" s="858"/>
      <c r="AE464" s="858"/>
      <c r="AF464" s="858"/>
      <c r="AG464" s="858"/>
      <c r="AH464" s="858"/>
      <c r="AI464" s="858"/>
      <c r="AJ464" s="858"/>
    </row>
    <row r="465" ht="15.75" customHeight="1">
      <c r="A465" s="28"/>
      <c r="B465" s="900" t="s">
        <v>19775</v>
      </c>
      <c r="C465" s="415" t="s">
        <v>20558</v>
      </c>
      <c r="D465" s="902" t="s">
        <v>20566</v>
      </c>
      <c r="E465" s="37" t="s">
        <v>13047</v>
      </c>
      <c r="F465" s="37" t="s">
        <v>29</v>
      </c>
      <c r="G465" s="415" t="s">
        <v>30</v>
      </c>
      <c r="H465" s="186"/>
      <c r="I465" s="415" t="s">
        <v>30</v>
      </c>
      <c r="J465" s="415">
        <v>82.0</v>
      </c>
      <c r="K465" s="900"/>
      <c r="L465" s="415" t="s">
        <v>20560</v>
      </c>
      <c r="M465" s="415" t="s">
        <v>19780</v>
      </c>
      <c r="N465" s="37">
        <v>2021.0</v>
      </c>
      <c r="O465" s="900"/>
      <c r="P465" s="415">
        <v>1.0</v>
      </c>
      <c r="Q465" s="415">
        <v>1.0</v>
      </c>
      <c r="R465" s="863"/>
      <c r="S465" s="858"/>
      <c r="T465" s="858"/>
      <c r="U465" s="858"/>
      <c r="V465" s="858"/>
      <c r="W465" s="858"/>
      <c r="X465" s="858"/>
      <c r="Y465" s="858"/>
      <c r="Z465" s="858"/>
      <c r="AA465" s="858"/>
      <c r="AB465" s="858"/>
      <c r="AC465" s="858"/>
      <c r="AD465" s="858"/>
      <c r="AE465" s="858"/>
      <c r="AF465" s="858"/>
      <c r="AG465" s="858"/>
      <c r="AH465" s="858"/>
      <c r="AI465" s="858"/>
      <c r="AJ465" s="858"/>
    </row>
    <row r="466" ht="15.75" customHeight="1">
      <c r="A466" s="28"/>
      <c r="B466" s="900" t="s">
        <v>19775</v>
      </c>
      <c r="C466" s="415" t="s">
        <v>20558</v>
      </c>
      <c r="D466" s="902" t="s">
        <v>20567</v>
      </c>
      <c r="E466" s="37" t="s">
        <v>13047</v>
      </c>
      <c r="F466" s="37" t="s">
        <v>29</v>
      </c>
      <c r="G466" s="415" t="s">
        <v>30</v>
      </c>
      <c r="H466" s="186"/>
      <c r="I466" s="415" t="s">
        <v>30</v>
      </c>
      <c r="J466" s="415">
        <v>82.0</v>
      </c>
      <c r="K466" s="900"/>
      <c r="L466" s="415" t="s">
        <v>20560</v>
      </c>
      <c r="M466" s="415" t="s">
        <v>19780</v>
      </c>
      <c r="N466" s="37">
        <v>2021.0</v>
      </c>
      <c r="O466" s="900"/>
      <c r="P466" s="415">
        <v>1.0</v>
      </c>
      <c r="Q466" s="415">
        <v>1.0</v>
      </c>
      <c r="R466" s="863"/>
      <c r="S466" s="858"/>
      <c r="T466" s="858"/>
      <c r="U466" s="858"/>
      <c r="V466" s="858"/>
      <c r="W466" s="858"/>
      <c r="X466" s="858"/>
      <c r="Y466" s="858"/>
      <c r="Z466" s="858"/>
      <c r="AA466" s="858"/>
      <c r="AB466" s="858"/>
      <c r="AC466" s="858"/>
      <c r="AD466" s="858"/>
      <c r="AE466" s="858"/>
      <c r="AF466" s="858"/>
      <c r="AG466" s="858"/>
      <c r="AH466" s="858"/>
      <c r="AI466" s="858"/>
      <c r="AJ466" s="858"/>
    </row>
    <row r="467" ht="15.75" customHeight="1">
      <c r="A467" s="28"/>
      <c r="B467" s="900" t="s">
        <v>19775</v>
      </c>
      <c r="C467" s="415" t="s">
        <v>20558</v>
      </c>
      <c r="D467" s="902" t="s">
        <v>20568</v>
      </c>
      <c r="E467" s="37" t="s">
        <v>13047</v>
      </c>
      <c r="F467" s="37" t="s">
        <v>29</v>
      </c>
      <c r="G467" s="415" t="s">
        <v>30</v>
      </c>
      <c r="H467" s="186"/>
      <c r="I467" s="415" t="s">
        <v>30</v>
      </c>
      <c r="J467" s="415">
        <v>82.0</v>
      </c>
      <c r="K467" s="900"/>
      <c r="L467" s="415" t="s">
        <v>20560</v>
      </c>
      <c r="M467" s="415" t="s">
        <v>19780</v>
      </c>
      <c r="N467" s="37">
        <v>2022.0</v>
      </c>
      <c r="O467" s="900"/>
      <c r="P467" s="415">
        <v>1.0</v>
      </c>
      <c r="Q467" s="415">
        <v>1.0</v>
      </c>
      <c r="R467" s="863"/>
      <c r="S467" s="858"/>
      <c r="T467" s="858"/>
      <c r="U467" s="858"/>
      <c r="V467" s="858"/>
      <c r="W467" s="858"/>
      <c r="X467" s="858"/>
      <c r="Y467" s="858"/>
      <c r="Z467" s="858"/>
      <c r="AA467" s="858"/>
      <c r="AB467" s="858"/>
      <c r="AC467" s="858"/>
      <c r="AD467" s="858"/>
      <c r="AE467" s="858"/>
      <c r="AF467" s="858"/>
      <c r="AG467" s="858"/>
      <c r="AH467" s="858"/>
      <c r="AI467" s="858"/>
      <c r="AJ467" s="858"/>
    </row>
    <row r="468" ht="15.75" customHeight="1">
      <c r="A468" s="28"/>
      <c r="B468" s="900" t="s">
        <v>19775</v>
      </c>
      <c r="C468" s="415" t="s">
        <v>20558</v>
      </c>
      <c r="D468" s="902" t="s">
        <v>20569</v>
      </c>
      <c r="E468" s="37" t="s">
        <v>13047</v>
      </c>
      <c r="F468" s="37" t="s">
        <v>29</v>
      </c>
      <c r="G468" s="415" t="s">
        <v>30</v>
      </c>
      <c r="H468" s="186"/>
      <c r="I468" s="415" t="s">
        <v>30</v>
      </c>
      <c r="J468" s="415">
        <v>82.0</v>
      </c>
      <c r="K468" s="900"/>
      <c r="L468" s="415" t="s">
        <v>20560</v>
      </c>
      <c r="M468" s="415" t="s">
        <v>19780</v>
      </c>
      <c r="N468" s="37">
        <v>2022.0</v>
      </c>
      <c r="O468" s="900"/>
      <c r="P468" s="415">
        <v>1.0</v>
      </c>
      <c r="Q468" s="415">
        <v>1.0</v>
      </c>
      <c r="R468" s="863"/>
      <c r="S468" s="858"/>
      <c r="T468" s="858"/>
      <c r="U468" s="858"/>
      <c r="V468" s="858"/>
      <c r="W468" s="858"/>
      <c r="X468" s="858"/>
      <c r="Y468" s="858"/>
      <c r="Z468" s="858"/>
      <c r="AA468" s="858"/>
      <c r="AB468" s="858"/>
      <c r="AC468" s="858"/>
      <c r="AD468" s="858"/>
      <c r="AE468" s="858"/>
      <c r="AF468" s="858"/>
      <c r="AG468" s="858"/>
      <c r="AH468" s="858"/>
      <c r="AI468" s="858"/>
      <c r="AJ468" s="858"/>
    </row>
    <row r="469" ht="15.75" customHeight="1">
      <c r="A469" s="28"/>
      <c r="B469" s="900" t="s">
        <v>19775</v>
      </c>
      <c r="C469" s="415" t="s">
        <v>20558</v>
      </c>
      <c r="D469" s="902" t="s">
        <v>20570</v>
      </c>
      <c r="E469" s="37" t="s">
        <v>13047</v>
      </c>
      <c r="F469" s="37" t="s">
        <v>29</v>
      </c>
      <c r="G469" s="415" t="s">
        <v>30</v>
      </c>
      <c r="H469" s="186"/>
      <c r="I469" s="415" t="s">
        <v>30</v>
      </c>
      <c r="J469" s="415">
        <v>82.0</v>
      </c>
      <c r="K469" s="900"/>
      <c r="L469" s="415" t="s">
        <v>20560</v>
      </c>
      <c r="M469" s="415" t="s">
        <v>19780</v>
      </c>
      <c r="N469" s="37">
        <v>2022.0</v>
      </c>
      <c r="O469" s="900"/>
      <c r="P469" s="415">
        <v>1.0</v>
      </c>
      <c r="Q469" s="415">
        <v>1.0</v>
      </c>
      <c r="R469" s="863"/>
      <c r="S469" s="858"/>
      <c r="T469" s="858"/>
      <c r="U469" s="858"/>
      <c r="V469" s="858"/>
      <c r="W469" s="858"/>
      <c r="X469" s="858"/>
      <c r="Y469" s="858"/>
      <c r="Z469" s="858"/>
      <c r="AA469" s="858"/>
      <c r="AB469" s="858"/>
      <c r="AC469" s="858"/>
      <c r="AD469" s="858"/>
      <c r="AE469" s="858"/>
      <c r="AF469" s="858"/>
      <c r="AG469" s="858"/>
      <c r="AH469" s="858"/>
      <c r="AI469" s="858"/>
      <c r="AJ469" s="858"/>
    </row>
    <row r="470" ht="15.75" customHeight="1">
      <c r="A470" s="28"/>
      <c r="B470" s="900" t="s">
        <v>19775</v>
      </c>
      <c r="C470" s="415" t="s">
        <v>20558</v>
      </c>
      <c r="D470" s="902" t="s">
        <v>20571</v>
      </c>
      <c r="E470" s="37" t="s">
        <v>13047</v>
      </c>
      <c r="F470" s="37" t="s">
        <v>29</v>
      </c>
      <c r="G470" s="415" t="s">
        <v>30</v>
      </c>
      <c r="H470" s="186"/>
      <c r="I470" s="415" t="s">
        <v>30</v>
      </c>
      <c r="J470" s="415">
        <v>82.0</v>
      </c>
      <c r="K470" s="900"/>
      <c r="L470" s="415" t="s">
        <v>20560</v>
      </c>
      <c r="M470" s="415" t="s">
        <v>19780</v>
      </c>
      <c r="N470" s="37">
        <v>2022.0</v>
      </c>
      <c r="O470" s="900"/>
      <c r="P470" s="415">
        <v>1.0</v>
      </c>
      <c r="Q470" s="415">
        <v>1.0</v>
      </c>
      <c r="R470" s="863"/>
      <c r="S470" s="858"/>
      <c r="T470" s="858"/>
      <c r="U470" s="858"/>
      <c r="V470" s="858"/>
      <c r="W470" s="858"/>
      <c r="X470" s="858"/>
      <c r="Y470" s="858"/>
      <c r="Z470" s="858"/>
      <c r="AA470" s="858"/>
      <c r="AB470" s="858"/>
      <c r="AC470" s="858"/>
      <c r="AD470" s="858"/>
      <c r="AE470" s="858"/>
      <c r="AF470" s="858"/>
      <c r="AG470" s="858"/>
      <c r="AH470" s="858"/>
      <c r="AI470" s="858"/>
      <c r="AJ470" s="858"/>
    </row>
    <row r="471" ht="15.75" customHeight="1">
      <c r="A471" s="28"/>
      <c r="B471" s="900" t="s">
        <v>19775</v>
      </c>
      <c r="C471" s="415" t="s">
        <v>20558</v>
      </c>
      <c r="D471" s="902" t="s">
        <v>20572</v>
      </c>
      <c r="E471" s="37" t="s">
        <v>13047</v>
      </c>
      <c r="F471" s="37" t="s">
        <v>29</v>
      </c>
      <c r="G471" s="415" t="s">
        <v>30</v>
      </c>
      <c r="H471" s="186"/>
      <c r="I471" s="415" t="s">
        <v>30</v>
      </c>
      <c r="J471" s="415">
        <v>82.0</v>
      </c>
      <c r="K471" s="900"/>
      <c r="L471" s="415" t="s">
        <v>20560</v>
      </c>
      <c r="M471" s="415" t="s">
        <v>19780</v>
      </c>
      <c r="N471" s="37">
        <v>2022.0</v>
      </c>
      <c r="O471" s="900"/>
      <c r="P471" s="415">
        <v>1.0</v>
      </c>
      <c r="Q471" s="415">
        <v>1.0</v>
      </c>
      <c r="R471" s="863"/>
      <c r="S471" s="858"/>
      <c r="T471" s="858"/>
      <c r="U471" s="858"/>
      <c r="V471" s="858"/>
      <c r="W471" s="858"/>
      <c r="X471" s="858"/>
      <c r="Y471" s="858"/>
      <c r="Z471" s="858"/>
      <c r="AA471" s="858"/>
      <c r="AB471" s="858"/>
      <c r="AC471" s="858"/>
      <c r="AD471" s="858"/>
      <c r="AE471" s="858"/>
      <c r="AF471" s="858"/>
      <c r="AG471" s="858"/>
      <c r="AH471" s="858"/>
      <c r="AI471" s="858"/>
      <c r="AJ471" s="858"/>
    </row>
    <row r="472" ht="15.75" customHeight="1">
      <c r="A472" s="28"/>
      <c r="B472" s="900" t="s">
        <v>19775</v>
      </c>
      <c r="C472" s="415" t="s">
        <v>20558</v>
      </c>
      <c r="D472" s="902" t="s">
        <v>20573</v>
      </c>
      <c r="E472" s="37" t="s">
        <v>13047</v>
      </c>
      <c r="F472" s="37" t="s">
        <v>29</v>
      </c>
      <c r="G472" s="415" t="s">
        <v>30</v>
      </c>
      <c r="H472" s="186"/>
      <c r="I472" s="415" t="s">
        <v>30</v>
      </c>
      <c r="J472" s="415">
        <v>82.0</v>
      </c>
      <c r="K472" s="900"/>
      <c r="L472" s="415" t="s">
        <v>20560</v>
      </c>
      <c r="M472" s="415" t="s">
        <v>19780</v>
      </c>
      <c r="N472" s="37">
        <v>2022.0</v>
      </c>
      <c r="O472" s="900"/>
      <c r="P472" s="415">
        <v>1.0</v>
      </c>
      <c r="Q472" s="415">
        <v>1.0</v>
      </c>
      <c r="R472" s="863"/>
      <c r="S472" s="858"/>
      <c r="T472" s="858"/>
      <c r="U472" s="858"/>
      <c r="V472" s="858"/>
      <c r="W472" s="858"/>
      <c r="X472" s="858"/>
      <c r="Y472" s="858"/>
      <c r="Z472" s="858"/>
      <c r="AA472" s="858"/>
      <c r="AB472" s="858"/>
      <c r="AC472" s="858"/>
      <c r="AD472" s="858"/>
      <c r="AE472" s="858"/>
      <c r="AF472" s="858"/>
      <c r="AG472" s="858"/>
      <c r="AH472" s="858"/>
      <c r="AI472" s="858"/>
      <c r="AJ472" s="858"/>
    </row>
    <row r="473" ht="15.75" customHeight="1">
      <c r="A473" s="28"/>
      <c r="B473" s="900" t="s">
        <v>19775</v>
      </c>
      <c r="C473" s="415" t="s">
        <v>20558</v>
      </c>
      <c r="D473" s="902" t="s">
        <v>20574</v>
      </c>
      <c r="E473" s="37" t="s">
        <v>13047</v>
      </c>
      <c r="F473" s="37" t="s">
        <v>29</v>
      </c>
      <c r="G473" s="415" t="s">
        <v>30</v>
      </c>
      <c r="H473" s="186"/>
      <c r="I473" s="415" t="s">
        <v>30</v>
      </c>
      <c r="J473" s="415">
        <v>82.0</v>
      </c>
      <c r="K473" s="900"/>
      <c r="L473" s="415" t="s">
        <v>20560</v>
      </c>
      <c r="M473" s="415" t="s">
        <v>19780</v>
      </c>
      <c r="N473" s="37">
        <v>2022.0</v>
      </c>
      <c r="O473" s="900"/>
      <c r="P473" s="415">
        <v>1.0</v>
      </c>
      <c r="Q473" s="415">
        <v>1.0</v>
      </c>
      <c r="R473" s="863"/>
      <c r="S473" s="858"/>
      <c r="T473" s="858"/>
      <c r="U473" s="858"/>
      <c r="V473" s="858"/>
      <c r="W473" s="858"/>
      <c r="X473" s="858"/>
      <c r="Y473" s="858"/>
      <c r="Z473" s="858"/>
      <c r="AA473" s="858"/>
      <c r="AB473" s="858"/>
      <c r="AC473" s="858"/>
      <c r="AD473" s="858"/>
      <c r="AE473" s="858"/>
      <c r="AF473" s="858"/>
      <c r="AG473" s="858"/>
      <c r="AH473" s="858"/>
      <c r="AI473" s="858"/>
      <c r="AJ473" s="858"/>
    </row>
    <row r="474" ht="15.75" customHeight="1">
      <c r="A474" s="28"/>
      <c r="B474" s="900" t="s">
        <v>19775</v>
      </c>
      <c r="C474" s="415" t="s">
        <v>20558</v>
      </c>
      <c r="D474" s="902" t="s">
        <v>20575</v>
      </c>
      <c r="E474" s="37" t="s">
        <v>13047</v>
      </c>
      <c r="F474" s="37" t="s">
        <v>29</v>
      </c>
      <c r="G474" s="415" t="s">
        <v>30</v>
      </c>
      <c r="H474" s="186"/>
      <c r="I474" s="415" t="s">
        <v>30</v>
      </c>
      <c r="J474" s="415">
        <v>82.0</v>
      </c>
      <c r="K474" s="900"/>
      <c r="L474" s="415" t="s">
        <v>20560</v>
      </c>
      <c r="M474" s="415" t="s">
        <v>19780</v>
      </c>
      <c r="N474" s="37">
        <v>2022.0</v>
      </c>
      <c r="O474" s="900"/>
      <c r="P474" s="415">
        <v>1.0</v>
      </c>
      <c r="Q474" s="415">
        <v>1.0</v>
      </c>
      <c r="R474" s="863"/>
      <c r="S474" s="858"/>
      <c r="T474" s="858"/>
      <c r="U474" s="858"/>
      <c r="V474" s="858"/>
      <c r="W474" s="858"/>
      <c r="X474" s="858"/>
      <c r="Y474" s="858"/>
      <c r="Z474" s="858"/>
      <c r="AA474" s="858"/>
      <c r="AB474" s="858"/>
      <c r="AC474" s="858"/>
      <c r="AD474" s="858"/>
      <c r="AE474" s="858"/>
      <c r="AF474" s="858"/>
      <c r="AG474" s="858"/>
      <c r="AH474" s="858"/>
      <c r="AI474" s="858"/>
      <c r="AJ474" s="858"/>
    </row>
    <row r="475" ht="15.75" customHeight="1">
      <c r="A475" s="28"/>
      <c r="B475" s="900" t="s">
        <v>19775</v>
      </c>
      <c r="C475" s="415" t="s">
        <v>20558</v>
      </c>
      <c r="D475" s="902" t="s">
        <v>20576</v>
      </c>
      <c r="E475" s="37" t="s">
        <v>13047</v>
      </c>
      <c r="F475" s="37" t="s">
        <v>29</v>
      </c>
      <c r="G475" s="415" t="s">
        <v>30</v>
      </c>
      <c r="H475" s="186"/>
      <c r="I475" s="415" t="s">
        <v>30</v>
      </c>
      <c r="J475" s="415">
        <v>82.0</v>
      </c>
      <c r="K475" s="900"/>
      <c r="L475" s="415" t="s">
        <v>20560</v>
      </c>
      <c r="M475" s="415" t="s">
        <v>19780</v>
      </c>
      <c r="N475" s="37">
        <v>2022.0</v>
      </c>
      <c r="O475" s="900"/>
      <c r="P475" s="415">
        <v>1.0</v>
      </c>
      <c r="Q475" s="415">
        <v>1.0</v>
      </c>
      <c r="R475" s="863"/>
      <c r="S475" s="858"/>
      <c r="T475" s="858"/>
      <c r="U475" s="858"/>
      <c r="V475" s="858"/>
      <c r="W475" s="858"/>
      <c r="X475" s="858"/>
      <c r="Y475" s="858"/>
      <c r="Z475" s="858"/>
      <c r="AA475" s="858"/>
      <c r="AB475" s="858"/>
      <c r="AC475" s="858"/>
      <c r="AD475" s="858"/>
      <c r="AE475" s="858"/>
      <c r="AF475" s="858"/>
      <c r="AG475" s="858"/>
      <c r="AH475" s="858"/>
      <c r="AI475" s="858"/>
      <c r="AJ475" s="858"/>
    </row>
    <row r="476" ht="15.75" customHeight="1">
      <c r="A476" s="28"/>
      <c r="B476" s="900" t="s">
        <v>19775</v>
      </c>
      <c r="C476" s="415" t="s">
        <v>20558</v>
      </c>
      <c r="D476" s="902" t="s">
        <v>20577</v>
      </c>
      <c r="E476" s="37" t="s">
        <v>13047</v>
      </c>
      <c r="F476" s="37" t="s">
        <v>29</v>
      </c>
      <c r="G476" s="415" t="s">
        <v>30</v>
      </c>
      <c r="H476" s="186"/>
      <c r="I476" s="415" t="s">
        <v>30</v>
      </c>
      <c r="J476" s="415">
        <v>82.0</v>
      </c>
      <c r="K476" s="900"/>
      <c r="L476" s="415" t="s">
        <v>20560</v>
      </c>
      <c r="M476" s="415" t="s">
        <v>19780</v>
      </c>
      <c r="N476" s="37">
        <v>2022.0</v>
      </c>
      <c r="O476" s="900"/>
      <c r="P476" s="415">
        <v>1.0</v>
      </c>
      <c r="Q476" s="415">
        <v>1.0</v>
      </c>
      <c r="R476" s="863"/>
      <c r="S476" s="858"/>
      <c r="T476" s="858"/>
      <c r="U476" s="858"/>
      <c r="V476" s="858"/>
      <c r="W476" s="858"/>
      <c r="X476" s="858"/>
      <c r="Y476" s="858"/>
      <c r="Z476" s="858"/>
      <c r="AA476" s="858"/>
      <c r="AB476" s="858"/>
      <c r="AC476" s="858"/>
      <c r="AD476" s="858"/>
      <c r="AE476" s="858"/>
      <c r="AF476" s="858"/>
      <c r="AG476" s="858"/>
      <c r="AH476" s="858"/>
      <c r="AI476" s="858"/>
      <c r="AJ476" s="858"/>
    </row>
    <row r="477" ht="15.75" customHeight="1">
      <c r="A477" s="28"/>
      <c r="B477" s="900" t="s">
        <v>19775</v>
      </c>
      <c r="C477" s="415" t="s">
        <v>20558</v>
      </c>
      <c r="D477" s="902" t="s">
        <v>20578</v>
      </c>
      <c r="E477" s="37" t="s">
        <v>13047</v>
      </c>
      <c r="F477" s="37" t="s">
        <v>29</v>
      </c>
      <c r="G477" s="415" t="s">
        <v>30</v>
      </c>
      <c r="H477" s="186"/>
      <c r="I477" s="415" t="s">
        <v>30</v>
      </c>
      <c r="J477" s="415">
        <v>82.0</v>
      </c>
      <c r="K477" s="900"/>
      <c r="L477" s="415" t="s">
        <v>20560</v>
      </c>
      <c r="M477" s="415" t="s">
        <v>19780</v>
      </c>
      <c r="N477" s="37">
        <v>2022.0</v>
      </c>
      <c r="O477" s="900"/>
      <c r="P477" s="415">
        <v>1.0</v>
      </c>
      <c r="Q477" s="415">
        <v>1.0</v>
      </c>
      <c r="R477" s="863"/>
      <c r="S477" s="858"/>
      <c r="T477" s="858"/>
      <c r="U477" s="858"/>
      <c r="V477" s="858"/>
      <c r="W477" s="858"/>
      <c r="X477" s="858"/>
      <c r="Y477" s="858"/>
      <c r="Z477" s="858"/>
      <c r="AA477" s="858"/>
      <c r="AB477" s="858"/>
      <c r="AC477" s="858"/>
      <c r="AD477" s="858"/>
      <c r="AE477" s="858"/>
      <c r="AF477" s="858"/>
      <c r="AG477" s="858"/>
      <c r="AH477" s="858"/>
      <c r="AI477" s="858"/>
      <c r="AJ477" s="858"/>
    </row>
    <row r="478" ht="15.75" customHeight="1">
      <c r="A478" s="28"/>
      <c r="B478" s="900" t="s">
        <v>19775</v>
      </c>
      <c r="C478" s="415" t="s">
        <v>20558</v>
      </c>
      <c r="D478" s="902" t="s">
        <v>20579</v>
      </c>
      <c r="E478" s="37" t="s">
        <v>13047</v>
      </c>
      <c r="F478" s="37" t="s">
        <v>29</v>
      </c>
      <c r="G478" s="415" t="s">
        <v>30</v>
      </c>
      <c r="H478" s="186"/>
      <c r="I478" s="415" t="s">
        <v>30</v>
      </c>
      <c r="J478" s="415">
        <v>82.0</v>
      </c>
      <c r="K478" s="900"/>
      <c r="L478" s="415" t="s">
        <v>20560</v>
      </c>
      <c r="M478" s="415" t="s">
        <v>19780</v>
      </c>
      <c r="N478" s="37">
        <v>2022.0</v>
      </c>
      <c r="O478" s="900"/>
      <c r="P478" s="415">
        <v>1.0</v>
      </c>
      <c r="Q478" s="415">
        <v>1.0</v>
      </c>
      <c r="R478" s="863"/>
      <c r="S478" s="858"/>
      <c r="T478" s="858"/>
      <c r="U478" s="858"/>
      <c r="V478" s="858"/>
      <c r="W478" s="858"/>
      <c r="X478" s="858"/>
      <c r="Y478" s="858"/>
      <c r="Z478" s="858"/>
      <c r="AA478" s="858"/>
      <c r="AB478" s="858"/>
      <c r="AC478" s="858"/>
      <c r="AD478" s="858"/>
      <c r="AE478" s="858"/>
      <c r="AF478" s="858"/>
      <c r="AG478" s="858"/>
      <c r="AH478" s="858"/>
      <c r="AI478" s="858"/>
      <c r="AJ478" s="858"/>
    </row>
    <row r="479" ht="15.75" customHeight="1">
      <c r="A479" s="28"/>
      <c r="B479" s="900" t="s">
        <v>20500</v>
      </c>
      <c r="C479" s="415" t="s">
        <v>20430</v>
      </c>
      <c r="D479" s="902" t="s">
        <v>20580</v>
      </c>
      <c r="E479" s="32" t="s">
        <v>13047</v>
      </c>
      <c r="F479" s="32" t="s">
        <v>29</v>
      </c>
      <c r="G479" s="900" t="s">
        <v>30</v>
      </c>
      <c r="H479" s="186"/>
      <c r="I479" s="900" t="s">
        <v>30</v>
      </c>
      <c r="J479" s="415">
        <v>150.0</v>
      </c>
      <c r="K479" s="900"/>
      <c r="L479" s="899" t="s">
        <v>20581</v>
      </c>
      <c r="M479" s="903" t="s">
        <v>12022</v>
      </c>
      <c r="N479" s="37">
        <v>2021.0</v>
      </c>
      <c r="O479" s="900"/>
      <c r="P479" s="415">
        <v>2.0</v>
      </c>
      <c r="Q479" s="415">
        <v>2.0</v>
      </c>
      <c r="R479" s="863"/>
      <c r="S479" s="858"/>
      <c r="T479" s="858"/>
      <c r="U479" s="858"/>
      <c r="V479" s="858"/>
      <c r="W479" s="858"/>
      <c r="X479" s="858"/>
      <c r="Y479" s="858"/>
      <c r="Z479" s="858"/>
      <c r="AA479" s="858"/>
      <c r="AB479" s="858"/>
      <c r="AC479" s="858"/>
      <c r="AD479" s="858"/>
      <c r="AE479" s="858"/>
      <c r="AF479" s="858"/>
      <c r="AG479" s="858"/>
      <c r="AH479" s="858"/>
      <c r="AI479" s="858"/>
      <c r="AJ479" s="858"/>
    </row>
    <row r="480" ht="15.75" customHeight="1">
      <c r="A480" s="28"/>
      <c r="B480" s="415" t="s">
        <v>20500</v>
      </c>
      <c r="C480" s="415" t="s">
        <v>20430</v>
      </c>
      <c r="D480" s="902" t="s">
        <v>20582</v>
      </c>
      <c r="E480" s="32" t="s">
        <v>13047</v>
      </c>
      <c r="F480" s="32" t="s">
        <v>29</v>
      </c>
      <c r="G480" s="900" t="s">
        <v>30</v>
      </c>
      <c r="H480" s="186"/>
      <c r="I480" s="900" t="s">
        <v>30</v>
      </c>
      <c r="J480" s="415">
        <v>150.0</v>
      </c>
      <c r="K480" s="900"/>
      <c r="L480" s="899" t="s">
        <v>20581</v>
      </c>
      <c r="M480" s="903" t="s">
        <v>12022</v>
      </c>
      <c r="N480" s="37">
        <v>2022.0</v>
      </c>
      <c r="O480" s="900"/>
      <c r="P480" s="415">
        <v>1.0</v>
      </c>
      <c r="Q480" s="415">
        <v>1.0</v>
      </c>
      <c r="R480" s="863"/>
      <c r="S480" s="858"/>
      <c r="T480" s="858"/>
      <c r="U480" s="858"/>
      <c r="V480" s="858"/>
      <c r="W480" s="858"/>
      <c r="X480" s="858"/>
      <c r="Y480" s="858"/>
      <c r="Z480" s="858"/>
      <c r="AA480" s="858"/>
      <c r="AB480" s="858"/>
      <c r="AC480" s="858"/>
      <c r="AD480" s="858"/>
      <c r="AE480" s="858"/>
      <c r="AF480" s="858"/>
      <c r="AG480" s="858"/>
      <c r="AH480" s="858"/>
      <c r="AI480" s="858"/>
      <c r="AJ480" s="858"/>
    </row>
    <row r="481" ht="15.75" customHeight="1">
      <c r="A481" s="28"/>
      <c r="B481" s="415" t="s">
        <v>20500</v>
      </c>
      <c r="C481" s="415" t="s">
        <v>20430</v>
      </c>
      <c r="D481" s="902" t="s">
        <v>20583</v>
      </c>
      <c r="E481" s="32" t="s">
        <v>13047</v>
      </c>
      <c r="F481" s="32" t="s">
        <v>29</v>
      </c>
      <c r="G481" s="900" t="s">
        <v>30</v>
      </c>
      <c r="H481" s="186"/>
      <c r="I481" s="900" t="s">
        <v>30</v>
      </c>
      <c r="J481" s="415">
        <v>158.0</v>
      </c>
      <c r="K481" s="900"/>
      <c r="L481" s="899" t="s">
        <v>20581</v>
      </c>
      <c r="M481" s="903" t="s">
        <v>12022</v>
      </c>
      <c r="N481" s="37">
        <v>2022.0</v>
      </c>
      <c r="O481" s="900"/>
      <c r="P481" s="415">
        <v>1.0</v>
      </c>
      <c r="Q481" s="415">
        <v>1.0</v>
      </c>
      <c r="R481" s="863"/>
      <c r="S481" s="858"/>
      <c r="T481" s="858"/>
      <c r="U481" s="858"/>
      <c r="V481" s="858"/>
      <c r="W481" s="858"/>
      <c r="X481" s="858"/>
      <c r="Y481" s="858"/>
      <c r="Z481" s="858"/>
      <c r="AA481" s="858"/>
      <c r="AB481" s="858"/>
      <c r="AC481" s="858"/>
      <c r="AD481" s="858"/>
      <c r="AE481" s="858"/>
      <c r="AF481" s="858"/>
      <c r="AG481" s="858"/>
      <c r="AH481" s="858"/>
      <c r="AI481" s="858"/>
      <c r="AJ481" s="858"/>
    </row>
    <row r="482" ht="15.75" customHeight="1">
      <c r="A482" s="28"/>
      <c r="B482" s="415" t="s">
        <v>20584</v>
      </c>
      <c r="C482" s="415" t="s">
        <v>20430</v>
      </c>
      <c r="D482" s="902" t="s">
        <v>20585</v>
      </c>
      <c r="E482" s="32" t="s">
        <v>13047</v>
      </c>
      <c r="F482" s="32" t="s">
        <v>29</v>
      </c>
      <c r="G482" s="900" t="s">
        <v>30</v>
      </c>
      <c r="H482" s="186"/>
      <c r="I482" s="900" t="s">
        <v>30</v>
      </c>
      <c r="J482" s="415">
        <v>151.0</v>
      </c>
      <c r="K482" s="900"/>
      <c r="L482" s="899" t="s">
        <v>20581</v>
      </c>
      <c r="M482" s="903" t="s">
        <v>12022</v>
      </c>
      <c r="N482" s="37">
        <v>2022.0</v>
      </c>
      <c r="O482" s="900"/>
      <c r="P482" s="415">
        <v>1.0</v>
      </c>
      <c r="Q482" s="415">
        <v>1.0</v>
      </c>
      <c r="R482" s="863"/>
      <c r="S482" s="858"/>
      <c r="T482" s="858"/>
      <c r="U482" s="858"/>
      <c r="V482" s="858"/>
      <c r="W482" s="858"/>
      <c r="X482" s="858"/>
      <c r="Y482" s="858"/>
      <c r="Z482" s="858"/>
      <c r="AA482" s="858"/>
      <c r="AB482" s="858"/>
      <c r="AC482" s="858"/>
      <c r="AD482" s="858"/>
      <c r="AE482" s="858"/>
      <c r="AF482" s="858"/>
      <c r="AG482" s="858"/>
      <c r="AH482" s="858"/>
      <c r="AI482" s="858"/>
      <c r="AJ482" s="858"/>
    </row>
    <row r="483" ht="15.75" customHeight="1">
      <c r="A483" s="28"/>
      <c r="B483" s="900" t="s">
        <v>20496</v>
      </c>
      <c r="C483" s="415" t="s">
        <v>20310</v>
      </c>
      <c r="D483" s="902" t="s">
        <v>20586</v>
      </c>
      <c r="E483" s="37" t="s">
        <v>20587</v>
      </c>
      <c r="F483" s="32" t="s">
        <v>29</v>
      </c>
      <c r="G483" s="900" t="s">
        <v>30</v>
      </c>
      <c r="H483" s="186"/>
      <c r="I483" s="900" t="s">
        <v>30</v>
      </c>
      <c r="J483" s="415">
        <v>144.0</v>
      </c>
      <c r="K483" s="900"/>
      <c r="L483" s="415" t="s">
        <v>20588</v>
      </c>
      <c r="M483" s="900" t="s">
        <v>3991</v>
      </c>
      <c r="N483" s="37">
        <v>2021.0</v>
      </c>
      <c r="O483" s="900"/>
      <c r="P483" s="900">
        <v>1.0</v>
      </c>
      <c r="Q483" s="415">
        <v>1.0</v>
      </c>
      <c r="R483" s="863"/>
      <c r="S483" s="858"/>
      <c r="T483" s="858"/>
      <c r="U483" s="858"/>
      <c r="V483" s="858"/>
      <c r="W483" s="858"/>
      <c r="X483" s="858"/>
      <c r="Y483" s="858"/>
      <c r="Z483" s="858"/>
      <c r="AA483" s="858"/>
      <c r="AB483" s="858"/>
      <c r="AC483" s="858"/>
      <c r="AD483" s="858"/>
      <c r="AE483" s="858"/>
      <c r="AF483" s="858"/>
      <c r="AG483" s="858"/>
      <c r="AH483" s="858"/>
      <c r="AI483" s="858"/>
      <c r="AJ483" s="858"/>
    </row>
    <row r="484" ht="15.75" customHeight="1">
      <c r="A484" s="28"/>
      <c r="B484" s="415" t="s">
        <v>20496</v>
      </c>
      <c r="C484" s="415" t="s">
        <v>20310</v>
      </c>
      <c r="D484" s="902" t="s">
        <v>20589</v>
      </c>
      <c r="E484" s="37" t="s">
        <v>20587</v>
      </c>
      <c r="F484" s="32" t="s">
        <v>29</v>
      </c>
      <c r="G484" s="900" t="s">
        <v>30</v>
      </c>
      <c r="H484" s="186"/>
      <c r="I484" s="900" t="s">
        <v>30</v>
      </c>
      <c r="J484" s="415">
        <v>190.0</v>
      </c>
      <c r="K484" s="904"/>
      <c r="L484" s="415" t="s">
        <v>20588</v>
      </c>
      <c r="M484" s="415" t="s">
        <v>3991</v>
      </c>
      <c r="N484" s="415">
        <v>2021.0</v>
      </c>
      <c r="O484" s="900"/>
      <c r="P484" s="900">
        <v>1.0</v>
      </c>
      <c r="Q484" s="415">
        <v>1.0</v>
      </c>
      <c r="R484" s="863"/>
      <c r="S484" s="858"/>
      <c r="T484" s="858"/>
      <c r="U484" s="858"/>
      <c r="V484" s="858"/>
      <c r="W484" s="858"/>
      <c r="X484" s="858"/>
      <c r="Y484" s="858"/>
      <c r="Z484" s="858"/>
      <c r="AA484" s="858"/>
      <c r="AB484" s="858"/>
      <c r="AC484" s="858"/>
      <c r="AD484" s="858"/>
      <c r="AE484" s="858"/>
      <c r="AF484" s="858"/>
      <c r="AG484" s="858"/>
      <c r="AH484" s="858"/>
      <c r="AI484" s="858"/>
      <c r="AJ484" s="858"/>
    </row>
    <row r="485" ht="15.75" customHeight="1">
      <c r="A485" s="58"/>
      <c r="B485" s="415" t="s">
        <v>20496</v>
      </c>
      <c r="C485" s="415" t="s">
        <v>20310</v>
      </c>
      <c r="D485" s="902" t="s">
        <v>20590</v>
      </c>
      <c r="E485" s="37" t="s">
        <v>20587</v>
      </c>
      <c r="F485" s="32" t="s">
        <v>29</v>
      </c>
      <c r="G485" s="900" t="s">
        <v>30</v>
      </c>
      <c r="H485" s="186"/>
      <c r="I485" s="900" t="s">
        <v>30</v>
      </c>
      <c r="J485" s="415">
        <v>48.0</v>
      </c>
      <c r="K485" s="904"/>
      <c r="L485" s="415" t="s">
        <v>20588</v>
      </c>
      <c r="M485" s="415" t="s">
        <v>3991</v>
      </c>
      <c r="N485" s="415">
        <v>2022.0</v>
      </c>
      <c r="O485" s="900"/>
      <c r="P485" s="415">
        <v>1.0</v>
      </c>
      <c r="Q485" s="415">
        <v>1.0</v>
      </c>
      <c r="R485" s="863"/>
      <c r="S485" s="858"/>
      <c r="T485" s="858"/>
      <c r="U485" s="858"/>
      <c r="V485" s="858"/>
      <c r="W485" s="858"/>
      <c r="X485" s="858"/>
      <c r="Y485" s="858"/>
      <c r="Z485" s="858"/>
      <c r="AA485" s="858"/>
      <c r="AB485" s="858"/>
      <c r="AC485" s="858"/>
      <c r="AD485" s="858"/>
      <c r="AE485" s="858"/>
      <c r="AF485" s="858"/>
      <c r="AG485" s="858"/>
      <c r="AH485" s="858"/>
      <c r="AI485" s="858"/>
      <c r="AJ485" s="858"/>
    </row>
    <row r="486" ht="15.75" customHeight="1">
      <c r="A486" s="58"/>
      <c r="B486" s="415" t="s">
        <v>20496</v>
      </c>
      <c r="C486" s="415" t="s">
        <v>20310</v>
      </c>
      <c r="D486" s="902" t="s">
        <v>20591</v>
      </c>
      <c r="E486" s="37" t="s">
        <v>20587</v>
      </c>
      <c r="F486" s="32" t="s">
        <v>29</v>
      </c>
      <c r="G486" s="900" t="s">
        <v>30</v>
      </c>
      <c r="H486" s="186"/>
      <c r="I486" s="900" t="s">
        <v>30</v>
      </c>
      <c r="J486" s="415">
        <v>144.0</v>
      </c>
      <c r="K486" s="904"/>
      <c r="L486" s="415" t="s">
        <v>20588</v>
      </c>
      <c r="M486" s="415" t="s">
        <v>3991</v>
      </c>
      <c r="N486" s="415">
        <v>2022.0</v>
      </c>
      <c r="O486" s="900"/>
      <c r="P486" s="415">
        <v>1.0</v>
      </c>
      <c r="Q486" s="415">
        <v>1.0</v>
      </c>
      <c r="R486" s="863"/>
      <c r="S486" s="858"/>
      <c r="T486" s="858"/>
      <c r="U486" s="858"/>
      <c r="V486" s="858"/>
      <c r="W486" s="858"/>
      <c r="X486" s="858"/>
      <c r="Y486" s="858"/>
      <c r="Z486" s="858"/>
      <c r="AA486" s="858"/>
      <c r="AB486" s="858"/>
      <c r="AC486" s="858"/>
      <c r="AD486" s="858"/>
      <c r="AE486" s="858"/>
      <c r="AF486" s="858"/>
      <c r="AG486" s="858"/>
      <c r="AH486" s="858"/>
      <c r="AI486" s="858"/>
      <c r="AJ486" s="858"/>
    </row>
    <row r="487" ht="15.75" customHeight="1">
      <c r="A487" s="412"/>
      <c r="B487" s="415" t="s">
        <v>20592</v>
      </c>
      <c r="C487" s="900" t="s">
        <v>20593</v>
      </c>
      <c r="D487" s="905" t="s">
        <v>20594</v>
      </c>
      <c r="E487" s="900" t="s">
        <v>16872</v>
      </c>
      <c r="F487" s="32" t="s">
        <v>29</v>
      </c>
      <c r="G487" s="900" t="s">
        <v>30</v>
      </c>
      <c r="H487" s="186" t="s">
        <v>31</v>
      </c>
      <c r="I487" s="900" t="s">
        <v>30</v>
      </c>
      <c r="J487" s="900">
        <v>76.0</v>
      </c>
      <c r="K487" s="900"/>
      <c r="L487" s="415" t="s">
        <v>20595</v>
      </c>
      <c r="M487" s="900" t="s">
        <v>20596</v>
      </c>
      <c r="N487" s="415">
        <v>2021.0</v>
      </c>
      <c r="O487" s="900"/>
      <c r="P487" s="900">
        <v>2.0</v>
      </c>
      <c r="Q487" s="415">
        <v>2.0</v>
      </c>
      <c r="R487" s="863"/>
      <c r="S487" s="858"/>
      <c r="T487" s="858"/>
      <c r="U487" s="858"/>
      <c r="V487" s="858"/>
      <c r="W487" s="858"/>
      <c r="X487" s="858"/>
      <c r="Y487" s="858"/>
      <c r="Z487" s="858"/>
      <c r="AA487" s="858"/>
      <c r="AB487" s="858"/>
      <c r="AC487" s="858"/>
      <c r="AD487" s="858"/>
      <c r="AE487" s="858"/>
      <c r="AF487" s="858"/>
      <c r="AG487" s="858"/>
      <c r="AH487" s="858"/>
      <c r="AI487" s="858"/>
      <c r="AJ487" s="858"/>
    </row>
    <row r="488" ht="15.75" customHeight="1">
      <c r="A488" s="28"/>
      <c r="B488" s="415" t="s">
        <v>20592</v>
      </c>
      <c r="C488" s="900" t="s">
        <v>20593</v>
      </c>
      <c r="D488" s="902" t="s">
        <v>20597</v>
      </c>
      <c r="E488" s="900" t="s">
        <v>16872</v>
      </c>
      <c r="F488" s="32" t="s">
        <v>29</v>
      </c>
      <c r="G488" s="900" t="s">
        <v>30</v>
      </c>
      <c r="H488" s="186"/>
      <c r="I488" s="900" t="s">
        <v>30</v>
      </c>
      <c r="J488" s="415">
        <v>66.0</v>
      </c>
      <c r="K488" s="900"/>
      <c r="L488" s="415" t="s">
        <v>20595</v>
      </c>
      <c r="M488" s="900" t="s">
        <v>20596</v>
      </c>
      <c r="N488" s="415">
        <v>2021.0</v>
      </c>
      <c r="O488" s="900"/>
      <c r="P488" s="415">
        <v>2.0</v>
      </c>
      <c r="Q488" s="415">
        <v>2.0</v>
      </c>
      <c r="R488" s="863"/>
      <c r="S488" s="858"/>
      <c r="T488" s="858"/>
      <c r="U488" s="858"/>
      <c r="V488" s="858"/>
      <c r="W488" s="858"/>
      <c r="X488" s="858"/>
      <c r="Y488" s="858"/>
      <c r="Z488" s="858"/>
      <c r="AA488" s="858"/>
      <c r="AB488" s="858"/>
      <c r="AC488" s="858"/>
      <c r="AD488" s="858"/>
      <c r="AE488" s="858"/>
      <c r="AF488" s="858"/>
      <c r="AG488" s="858"/>
      <c r="AH488" s="858"/>
      <c r="AI488" s="858"/>
      <c r="AJ488" s="858"/>
    </row>
    <row r="489" ht="15.75" customHeight="1">
      <c r="A489" s="28"/>
      <c r="B489" s="415" t="s">
        <v>20592</v>
      </c>
      <c r="C489" s="900" t="s">
        <v>20593</v>
      </c>
      <c r="D489" s="902" t="s">
        <v>20598</v>
      </c>
      <c r="E489" s="900" t="s">
        <v>16872</v>
      </c>
      <c r="F489" s="32" t="s">
        <v>29</v>
      </c>
      <c r="G489" s="900" t="s">
        <v>30</v>
      </c>
      <c r="H489" s="186"/>
      <c r="I489" s="900" t="s">
        <v>30</v>
      </c>
      <c r="J489" s="415">
        <v>60.0</v>
      </c>
      <c r="K489" s="900"/>
      <c r="L489" s="415" t="s">
        <v>20595</v>
      </c>
      <c r="M489" s="900" t="s">
        <v>20596</v>
      </c>
      <c r="N489" s="415">
        <v>2021.0</v>
      </c>
      <c r="O489" s="900"/>
      <c r="P489" s="415">
        <v>2.0</v>
      </c>
      <c r="Q489" s="415">
        <v>2.0</v>
      </c>
      <c r="R489" s="863"/>
      <c r="S489" s="858"/>
      <c r="T489" s="858"/>
      <c r="U489" s="858"/>
      <c r="V489" s="858"/>
      <c r="W489" s="858"/>
      <c r="X489" s="858"/>
      <c r="Y489" s="858"/>
      <c r="Z489" s="858"/>
      <c r="AA489" s="858"/>
      <c r="AB489" s="858"/>
      <c r="AC489" s="858"/>
      <c r="AD489" s="858"/>
      <c r="AE489" s="858"/>
      <c r="AF489" s="858"/>
      <c r="AG489" s="858"/>
      <c r="AH489" s="858"/>
      <c r="AI489" s="858"/>
      <c r="AJ489" s="858"/>
    </row>
    <row r="490" ht="15.75" customHeight="1">
      <c r="A490" s="28"/>
      <c r="B490" s="415" t="s">
        <v>20592</v>
      </c>
      <c r="C490" s="415" t="s">
        <v>20599</v>
      </c>
      <c r="D490" s="902" t="s">
        <v>20600</v>
      </c>
      <c r="E490" s="37" t="s">
        <v>16872</v>
      </c>
      <c r="F490" s="37" t="s">
        <v>29</v>
      </c>
      <c r="G490" s="415" t="s">
        <v>30</v>
      </c>
      <c r="H490" s="186"/>
      <c r="I490" s="415" t="s">
        <v>30</v>
      </c>
      <c r="J490" s="415">
        <v>30.0</v>
      </c>
      <c r="K490" s="900"/>
      <c r="L490" s="415" t="s">
        <v>20595</v>
      </c>
      <c r="M490" s="900" t="s">
        <v>20596</v>
      </c>
      <c r="N490" s="37">
        <v>2022.0</v>
      </c>
      <c r="O490" s="900"/>
      <c r="P490" s="415">
        <v>2.0</v>
      </c>
      <c r="Q490" s="415">
        <v>2.0</v>
      </c>
      <c r="R490" s="863"/>
      <c r="S490" s="858"/>
      <c r="T490" s="858"/>
      <c r="U490" s="858"/>
      <c r="V490" s="858"/>
      <c r="W490" s="858"/>
      <c r="X490" s="858"/>
      <c r="Y490" s="858"/>
      <c r="Z490" s="858"/>
      <c r="AA490" s="858"/>
      <c r="AB490" s="858"/>
      <c r="AC490" s="858"/>
      <c r="AD490" s="858"/>
      <c r="AE490" s="858"/>
      <c r="AF490" s="858"/>
      <c r="AG490" s="858"/>
      <c r="AH490" s="858"/>
      <c r="AI490" s="858"/>
      <c r="AJ490" s="858"/>
    </row>
    <row r="491" ht="15.75" customHeight="1">
      <c r="A491" s="28"/>
      <c r="B491" s="415" t="s">
        <v>20592</v>
      </c>
      <c r="C491" s="415" t="s">
        <v>20599</v>
      </c>
      <c r="D491" s="902" t="s">
        <v>20601</v>
      </c>
      <c r="E491" s="37" t="s">
        <v>16872</v>
      </c>
      <c r="F491" s="37" t="s">
        <v>29</v>
      </c>
      <c r="G491" s="415" t="s">
        <v>30</v>
      </c>
      <c r="H491" s="186"/>
      <c r="I491" s="415" t="s">
        <v>30</v>
      </c>
      <c r="J491" s="415">
        <v>31.0</v>
      </c>
      <c r="K491" s="900"/>
      <c r="L491" s="415" t="s">
        <v>20595</v>
      </c>
      <c r="M491" s="900" t="s">
        <v>20596</v>
      </c>
      <c r="N491" s="37">
        <v>2022.0</v>
      </c>
      <c r="O491" s="900"/>
      <c r="P491" s="415">
        <v>2.0</v>
      </c>
      <c r="Q491" s="415">
        <v>2.0</v>
      </c>
      <c r="R491" s="863"/>
      <c r="S491" s="858"/>
      <c r="T491" s="858"/>
      <c r="U491" s="858"/>
      <c r="V491" s="858"/>
      <c r="W491" s="858"/>
      <c r="X491" s="858"/>
      <c r="Y491" s="858"/>
      <c r="Z491" s="858"/>
      <c r="AA491" s="858"/>
      <c r="AB491" s="858"/>
      <c r="AC491" s="858"/>
      <c r="AD491" s="858"/>
      <c r="AE491" s="858"/>
      <c r="AF491" s="858"/>
      <c r="AG491" s="858"/>
      <c r="AH491" s="858"/>
      <c r="AI491" s="858"/>
      <c r="AJ491" s="858"/>
    </row>
    <row r="492" ht="15.75" customHeight="1">
      <c r="A492" s="28"/>
      <c r="B492" s="415" t="s">
        <v>20602</v>
      </c>
      <c r="C492" s="415" t="s">
        <v>20599</v>
      </c>
      <c r="D492" s="902" t="s">
        <v>20603</v>
      </c>
      <c r="E492" s="37" t="s">
        <v>16872</v>
      </c>
      <c r="F492" s="37" t="s">
        <v>29</v>
      </c>
      <c r="G492" s="415" t="s">
        <v>30</v>
      </c>
      <c r="H492" s="186"/>
      <c r="I492" s="415" t="s">
        <v>30</v>
      </c>
      <c r="J492" s="415">
        <v>31.0</v>
      </c>
      <c r="K492" s="900"/>
      <c r="L492" s="415" t="s">
        <v>20595</v>
      </c>
      <c r="M492" s="900" t="s">
        <v>20596</v>
      </c>
      <c r="N492" s="37">
        <v>2022.0</v>
      </c>
      <c r="O492" s="900"/>
      <c r="P492" s="415">
        <v>2.0</v>
      </c>
      <c r="Q492" s="415">
        <v>2.0</v>
      </c>
      <c r="R492" s="863"/>
      <c r="S492" s="858"/>
      <c r="T492" s="858"/>
      <c r="U492" s="858"/>
      <c r="V492" s="858"/>
      <c r="W492" s="858"/>
      <c r="X492" s="858"/>
      <c r="Y492" s="858"/>
      <c r="Z492" s="858"/>
      <c r="AA492" s="858"/>
      <c r="AB492" s="858"/>
      <c r="AC492" s="858"/>
      <c r="AD492" s="858"/>
      <c r="AE492" s="858"/>
      <c r="AF492" s="858"/>
      <c r="AG492" s="858"/>
      <c r="AH492" s="858"/>
      <c r="AI492" s="858"/>
      <c r="AJ492" s="858"/>
    </row>
    <row r="493" ht="15.75" customHeight="1">
      <c r="A493" s="28"/>
      <c r="B493" s="415" t="s">
        <v>20602</v>
      </c>
      <c r="C493" s="415" t="s">
        <v>20599</v>
      </c>
      <c r="D493" s="902" t="s">
        <v>20604</v>
      </c>
      <c r="E493" s="37" t="s">
        <v>16872</v>
      </c>
      <c r="F493" s="37" t="s">
        <v>29</v>
      </c>
      <c r="G493" s="415" t="s">
        <v>30</v>
      </c>
      <c r="H493" s="186"/>
      <c r="I493" s="415" t="s">
        <v>30</v>
      </c>
      <c r="J493" s="415">
        <v>31.0</v>
      </c>
      <c r="K493" s="900"/>
      <c r="L493" s="415" t="s">
        <v>20595</v>
      </c>
      <c r="M493" s="900" t="s">
        <v>20596</v>
      </c>
      <c r="N493" s="37">
        <v>2022.0</v>
      </c>
      <c r="O493" s="900"/>
      <c r="P493" s="415">
        <v>2.0</v>
      </c>
      <c r="Q493" s="415">
        <v>2.0</v>
      </c>
      <c r="R493" s="863"/>
      <c r="S493" s="858"/>
      <c r="T493" s="858"/>
      <c r="U493" s="858"/>
      <c r="V493" s="858"/>
      <c r="W493" s="858"/>
      <c r="X493" s="858"/>
      <c r="Y493" s="858"/>
      <c r="Z493" s="858"/>
      <c r="AA493" s="858"/>
      <c r="AB493" s="858"/>
      <c r="AC493" s="858"/>
      <c r="AD493" s="858"/>
      <c r="AE493" s="858"/>
      <c r="AF493" s="858"/>
      <c r="AG493" s="858"/>
      <c r="AH493" s="858"/>
      <c r="AI493" s="858"/>
      <c r="AJ493" s="858"/>
    </row>
    <row r="494" ht="15.75" customHeight="1">
      <c r="A494" s="28"/>
      <c r="B494" s="415" t="s">
        <v>20546</v>
      </c>
      <c r="C494" s="415" t="s">
        <v>20547</v>
      </c>
      <c r="D494" s="902" t="s">
        <v>20605</v>
      </c>
      <c r="E494" s="37" t="s">
        <v>13047</v>
      </c>
      <c r="F494" s="37" t="s">
        <v>29</v>
      </c>
      <c r="G494" s="415" t="s">
        <v>30</v>
      </c>
      <c r="H494" s="186"/>
      <c r="I494" s="415" t="s">
        <v>30</v>
      </c>
      <c r="J494" s="415">
        <v>277.0</v>
      </c>
      <c r="K494" s="900"/>
      <c r="L494" s="415" t="s">
        <v>20549</v>
      </c>
      <c r="M494" s="415" t="s">
        <v>20550</v>
      </c>
      <c r="N494" s="37">
        <v>2022.0</v>
      </c>
      <c r="O494" s="900"/>
      <c r="P494" s="415">
        <v>1.0</v>
      </c>
      <c r="Q494" s="415">
        <v>1.0</v>
      </c>
      <c r="R494" s="858"/>
      <c r="S494" s="858"/>
      <c r="T494" s="858"/>
      <c r="U494" s="858"/>
      <c r="V494" s="858"/>
      <c r="W494" s="858"/>
      <c r="X494" s="858"/>
      <c r="Y494" s="858"/>
      <c r="Z494" s="858"/>
      <c r="AA494" s="858"/>
      <c r="AB494" s="858"/>
      <c r="AC494" s="858"/>
      <c r="AD494" s="858"/>
      <c r="AE494" s="858"/>
      <c r="AF494" s="858"/>
      <c r="AG494" s="858"/>
      <c r="AH494" s="858"/>
      <c r="AI494" s="858"/>
      <c r="AJ494" s="858"/>
    </row>
    <row r="495" ht="15.75" customHeight="1">
      <c r="A495" s="28"/>
      <c r="B495" s="37" t="s">
        <v>20606</v>
      </c>
      <c r="C495" s="37" t="s">
        <v>20607</v>
      </c>
      <c r="D495" s="906" t="s">
        <v>20608</v>
      </c>
      <c r="E495" s="37" t="s">
        <v>13047</v>
      </c>
      <c r="F495" s="37" t="s">
        <v>29</v>
      </c>
      <c r="G495" s="37" t="s">
        <v>37</v>
      </c>
      <c r="H495" s="186"/>
      <c r="I495" s="37" t="s">
        <v>38</v>
      </c>
      <c r="J495" s="37">
        <v>112.0</v>
      </c>
      <c r="K495" s="900"/>
      <c r="L495" s="37" t="s">
        <v>5884</v>
      </c>
      <c r="M495" s="37" t="s">
        <v>20609</v>
      </c>
      <c r="N495" s="37">
        <v>1995.0</v>
      </c>
      <c r="O495" s="900"/>
      <c r="P495" s="37">
        <v>1.0</v>
      </c>
      <c r="Q495" s="37">
        <v>1.0</v>
      </c>
      <c r="R495" s="858"/>
      <c r="S495" s="858"/>
      <c r="T495" s="858"/>
      <c r="U495" s="858"/>
      <c r="V495" s="858"/>
      <c r="W495" s="858"/>
      <c r="X495" s="858"/>
      <c r="Y495" s="858"/>
      <c r="Z495" s="858"/>
      <c r="AA495" s="858"/>
      <c r="AB495" s="858"/>
      <c r="AC495" s="858"/>
      <c r="AD495" s="858"/>
      <c r="AE495" s="858"/>
      <c r="AF495" s="858"/>
      <c r="AG495" s="858"/>
      <c r="AH495" s="858"/>
      <c r="AI495" s="858"/>
      <c r="AJ495" s="858"/>
    </row>
    <row r="496" ht="15.75" customHeight="1">
      <c r="A496" s="28"/>
      <c r="B496" s="37" t="s">
        <v>20606</v>
      </c>
      <c r="C496" s="37" t="s">
        <v>20610</v>
      </c>
      <c r="D496" s="906" t="s">
        <v>20611</v>
      </c>
      <c r="E496" s="37" t="s">
        <v>13047</v>
      </c>
      <c r="F496" s="37" t="s">
        <v>29</v>
      </c>
      <c r="G496" s="37" t="s">
        <v>37</v>
      </c>
      <c r="H496" s="186"/>
      <c r="I496" s="37" t="s">
        <v>38</v>
      </c>
      <c r="J496" s="37">
        <v>112.0</v>
      </c>
      <c r="K496" s="900"/>
      <c r="L496" s="37" t="s">
        <v>3484</v>
      </c>
      <c r="M496" s="37" t="s">
        <v>20609</v>
      </c>
      <c r="N496" s="37">
        <v>1997.0</v>
      </c>
      <c r="O496" s="900"/>
      <c r="P496" s="37">
        <v>1.0</v>
      </c>
      <c r="Q496" s="37">
        <v>1.0</v>
      </c>
      <c r="R496" s="858"/>
      <c r="S496" s="858"/>
      <c r="T496" s="858"/>
      <c r="U496" s="858"/>
      <c r="V496" s="858"/>
      <c r="W496" s="858"/>
      <c r="X496" s="858"/>
      <c r="Y496" s="858"/>
      <c r="Z496" s="858"/>
      <c r="AA496" s="858"/>
      <c r="AB496" s="858"/>
      <c r="AC496" s="858"/>
      <c r="AD496" s="858"/>
      <c r="AE496" s="858"/>
      <c r="AF496" s="858"/>
      <c r="AG496" s="858"/>
      <c r="AH496" s="858"/>
      <c r="AI496" s="858"/>
      <c r="AJ496" s="858"/>
    </row>
    <row r="497" ht="15.75" customHeight="1">
      <c r="A497" s="28"/>
      <c r="B497" s="37" t="s">
        <v>20606</v>
      </c>
      <c r="C497" s="37" t="s">
        <v>20612</v>
      </c>
      <c r="D497" s="906" t="s">
        <v>20613</v>
      </c>
      <c r="E497" s="37" t="s">
        <v>13047</v>
      </c>
      <c r="F497" s="37" t="s">
        <v>29</v>
      </c>
      <c r="G497" s="37" t="s">
        <v>37</v>
      </c>
      <c r="H497" s="186"/>
      <c r="I497" s="37" t="s">
        <v>38</v>
      </c>
      <c r="J497" s="37">
        <v>112.0</v>
      </c>
      <c r="K497" s="900"/>
      <c r="L497" s="37" t="s">
        <v>5884</v>
      </c>
      <c r="M497" s="37" t="s">
        <v>20609</v>
      </c>
      <c r="N497" s="37">
        <v>1996.0</v>
      </c>
      <c r="O497" s="900"/>
      <c r="P497" s="37">
        <v>1.0</v>
      </c>
      <c r="Q497" s="37">
        <v>1.0</v>
      </c>
      <c r="R497" s="858"/>
      <c r="S497" s="858"/>
      <c r="T497" s="858"/>
      <c r="U497" s="858"/>
      <c r="V497" s="858"/>
      <c r="W497" s="858"/>
      <c r="X497" s="858"/>
      <c r="Y497" s="858"/>
      <c r="Z497" s="858"/>
      <c r="AA497" s="858"/>
      <c r="AB497" s="858"/>
      <c r="AC497" s="858"/>
      <c r="AD497" s="858"/>
      <c r="AE497" s="858"/>
      <c r="AF497" s="858"/>
      <c r="AG497" s="858"/>
      <c r="AH497" s="858"/>
      <c r="AI497" s="858"/>
      <c r="AJ497" s="858"/>
    </row>
    <row r="498" ht="15.75" customHeight="1">
      <c r="A498" s="28"/>
      <c r="B498" s="37" t="s">
        <v>20606</v>
      </c>
      <c r="C498" s="37" t="s">
        <v>20614</v>
      </c>
      <c r="D498" s="906" t="s">
        <v>20615</v>
      </c>
      <c r="E498" s="37" t="s">
        <v>13047</v>
      </c>
      <c r="F498" s="37" t="s">
        <v>29</v>
      </c>
      <c r="G498" s="37" t="s">
        <v>37</v>
      </c>
      <c r="H498" s="186"/>
      <c r="I498" s="37" t="s">
        <v>38</v>
      </c>
      <c r="J498" s="37">
        <v>112.0</v>
      </c>
      <c r="K498" s="900"/>
      <c r="L498" s="37" t="s">
        <v>3484</v>
      </c>
      <c r="M498" s="37" t="s">
        <v>20609</v>
      </c>
      <c r="N498" s="37">
        <v>1999.0</v>
      </c>
      <c r="O498" s="900"/>
      <c r="P498" s="37">
        <v>1.0</v>
      </c>
      <c r="Q498" s="37">
        <v>1.0</v>
      </c>
      <c r="R498" s="858"/>
      <c r="S498" s="858"/>
      <c r="T498" s="858"/>
      <c r="U498" s="858"/>
      <c r="V498" s="858"/>
      <c r="W498" s="858"/>
      <c r="X498" s="858"/>
      <c r="Y498" s="858"/>
      <c r="Z498" s="858"/>
      <c r="AA498" s="858"/>
      <c r="AB498" s="858"/>
      <c r="AC498" s="858"/>
      <c r="AD498" s="858"/>
      <c r="AE498" s="858"/>
      <c r="AF498" s="858"/>
      <c r="AG498" s="858"/>
      <c r="AH498" s="858"/>
      <c r="AI498" s="858"/>
      <c r="AJ498" s="858"/>
    </row>
    <row r="499" ht="15.75" customHeight="1">
      <c r="A499" s="28"/>
      <c r="B499" s="37" t="s">
        <v>20606</v>
      </c>
      <c r="C499" s="37" t="s">
        <v>20616</v>
      </c>
      <c r="D499" s="906" t="s">
        <v>20617</v>
      </c>
      <c r="E499" s="37" t="s">
        <v>13047</v>
      </c>
      <c r="F499" s="37" t="s">
        <v>29</v>
      </c>
      <c r="G499" s="37" t="s">
        <v>37</v>
      </c>
      <c r="H499" s="186"/>
      <c r="I499" s="37" t="s">
        <v>38</v>
      </c>
      <c r="J499" s="37">
        <v>112.0</v>
      </c>
      <c r="K499" s="900"/>
      <c r="L499" s="37" t="s">
        <v>5884</v>
      </c>
      <c r="M499" s="37" t="s">
        <v>20609</v>
      </c>
      <c r="N499" s="37">
        <v>1994.0</v>
      </c>
      <c r="O499" s="900"/>
      <c r="P499" s="37">
        <v>1.0</v>
      </c>
      <c r="Q499" s="37">
        <v>1.0</v>
      </c>
      <c r="R499" s="858"/>
      <c r="S499" s="858"/>
      <c r="T499" s="858"/>
      <c r="U499" s="858"/>
      <c r="V499" s="858"/>
      <c r="W499" s="858"/>
      <c r="X499" s="858"/>
      <c r="Y499" s="858"/>
      <c r="Z499" s="858"/>
      <c r="AA499" s="858"/>
      <c r="AB499" s="858"/>
      <c r="AC499" s="858"/>
      <c r="AD499" s="858"/>
      <c r="AE499" s="858"/>
      <c r="AF499" s="858"/>
      <c r="AG499" s="858"/>
      <c r="AH499" s="858"/>
      <c r="AI499" s="858"/>
      <c r="AJ499" s="858"/>
    </row>
    <row r="500" ht="15.75" customHeight="1">
      <c r="A500" s="28"/>
      <c r="B500" s="37" t="s">
        <v>20606</v>
      </c>
      <c r="C500" s="37" t="s">
        <v>20614</v>
      </c>
      <c r="D500" s="906" t="s">
        <v>20618</v>
      </c>
      <c r="E500" s="37" t="s">
        <v>13047</v>
      </c>
      <c r="F500" s="37" t="s">
        <v>29</v>
      </c>
      <c r="G500" s="37" t="s">
        <v>37</v>
      </c>
      <c r="H500" s="186"/>
      <c r="I500" s="37" t="s">
        <v>38</v>
      </c>
      <c r="J500" s="37">
        <v>112.0</v>
      </c>
      <c r="K500" s="900"/>
      <c r="L500" s="37" t="s">
        <v>3484</v>
      </c>
      <c r="M500" s="37" t="s">
        <v>20609</v>
      </c>
      <c r="N500" s="37">
        <v>1998.0</v>
      </c>
      <c r="O500" s="900"/>
      <c r="P500" s="37">
        <v>1.0</v>
      </c>
      <c r="Q500" s="37">
        <v>1.0</v>
      </c>
      <c r="R500" s="858"/>
      <c r="S500" s="858"/>
      <c r="T500" s="858"/>
      <c r="U500" s="858"/>
      <c r="V500" s="858"/>
      <c r="W500" s="858"/>
      <c r="X500" s="858"/>
      <c r="Y500" s="858"/>
      <c r="Z500" s="858"/>
      <c r="AA500" s="858"/>
      <c r="AB500" s="858"/>
      <c r="AC500" s="858"/>
      <c r="AD500" s="858"/>
      <c r="AE500" s="858"/>
      <c r="AF500" s="858"/>
      <c r="AG500" s="858"/>
      <c r="AH500" s="858"/>
      <c r="AI500" s="858"/>
      <c r="AJ500" s="858"/>
    </row>
    <row r="501" ht="15.75" customHeight="1">
      <c r="A501" s="28"/>
      <c r="B501" s="37" t="s">
        <v>20606</v>
      </c>
      <c r="C501" s="37" t="s">
        <v>20619</v>
      </c>
      <c r="D501" s="906" t="s">
        <v>20620</v>
      </c>
      <c r="E501" s="37" t="s">
        <v>13047</v>
      </c>
      <c r="F501" s="37" t="s">
        <v>29</v>
      </c>
      <c r="G501" s="37" t="s">
        <v>37</v>
      </c>
      <c r="H501" s="186"/>
      <c r="I501" s="37" t="s">
        <v>38</v>
      </c>
      <c r="J501" s="37">
        <v>224.0</v>
      </c>
      <c r="K501" s="900"/>
      <c r="L501" s="37" t="s">
        <v>5884</v>
      </c>
      <c r="M501" s="37" t="s">
        <v>20609</v>
      </c>
      <c r="N501" s="37">
        <v>1996.0</v>
      </c>
      <c r="O501" s="900"/>
      <c r="P501" s="37">
        <v>1.0</v>
      </c>
      <c r="Q501" s="37">
        <v>1.0</v>
      </c>
      <c r="R501" s="858"/>
      <c r="S501" s="858"/>
      <c r="T501" s="858"/>
      <c r="U501" s="858"/>
      <c r="V501" s="858"/>
      <c r="W501" s="858"/>
      <c r="X501" s="858"/>
      <c r="Y501" s="858"/>
      <c r="Z501" s="858"/>
      <c r="AA501" s="858"/>
      <c r="AB501" s="858"/>
      <c r="AC501" s="858"/>
      <c r="AD501" s="858"/>
      <c r="AE501" s="858"/>
      <c r="AF501" s="858"/>
      <c r="AG501" s="858"/>
      <c r="AH501" s="858"/>
      <c r="AI501" s="858"/>
      <c r="AJ501" s="858"/>
    </row>
    <row r="502" ht="15.75" customHeight="1">
      <c r="A502" s="28"/>
      <c r="B502" s="37" t="s">
        <v>20606</v>
      </c>
      <c r="C502" s="37" t="s">
        <v>20614</v>
      </c>
      <c r="D502" s="906" t="s">
        <v>20621</v>
      </c>
      <c r="E502" s="37" t="s">
        <v>13047</v>
      </c>
      <c r="F502" s="37" t="s">
        <v>29</v>
      </c>
      <c r="G502" s="37" t="s">
        <v>37</v>
      </c>
      <c r="H502" s="186"/>
      <c r="I502" s="37" t="s">
        <v>38</v>
      </c>
      <c r="J502" s="37">
        <v>224.0</v>
      </c>
      <c r="K502" s="900"/>
      <c r="L502" s="37" t="s">
        <v>3484</v>
      </c>
      <c r="M502" s="37" t="s">
        <v>20609</v>
      </c>
      <c r="N502" s="37">
        <v>1999.0</v>
      </c>
      <c r="O502" s="900"/>
      <c r="P502" s="37">
        <v>1.0</v>
      </c>
      <c r="Q502" s="37">
        <v>1.0</v>
      </c>
      <c r="R502" s="858"/>
      <c r="S502" s="858"/>
      <c r="T502" s="858"/>
      <c r="U502" s="858"/>
      <c r="V502" s="858"/>
      <c r="W502" s="858"/>
      <c r="X502" s="858"/>
      <c r="Y502" s="858"/>
      <c r="Z502" s="858"/>
      <c r="AA502" s="858"/>
      <c r="AB502" s="858"/>
      <c r="AC502" s="858"/>
      <c r="AD502" s="858"/>
      <c r="AE502" s="858"/>
      <c r="AF502" s="858"/>
      <c r="AG502" s="858"/>
      <c r="AH502" s="858"/>
      <c r="AI502" s="858"/>
      <c r="AJ502" s="858"/>
    </row>
    <row r="503" ht="15.75" customHeight="1">
      <c r="A503" s="28"/>
      <c r="B503" s="37" t="s">
        <v>20606</v>
      </c>
      <c r="C503" s="37" t="s">
        <v>20622</v>
      </c>
      <c r="D503" s="906" t="s">
        <v>20623</v>
      </c>
      <c r="E503" s="37" t="s">
        <v>13047</v>
      </c>
      <c r="F503" s="37" t="s">
        <v>29</v>
      </c>
      <c r="G503" s="37" t="s">
        <v>37</v>
      </c>
      <c r="H503" s="186"/>
      <c r="I503" s="37" t="s">
        <v>38</v>
      </c>
      <c r="J503" s="415">
        <v>224.0</v>
      </c>
      <c r="K503" s="900"/>
      <c r="L503" s="415" t="s">
        <v>5884</v>
      </c>
      <c r="M503" s="415" t="s">
        <v>20609</v>
      </c>
      <c r="N503" s="37">
        <v>1995.0</v>
      </c>
      <c r="O503" s="900"/>
      <c r="P503" s="37">
        <v>1.0</v>
      </c>
      <c r="Q503" s="907">
        <v>1.0</v>
      </c>
      <c r="R503" s="863"/>
      <c r="S503" s="858"/>
      <c r="T503" s="858"/>
      <c r="U503" s="858"/>
      <c r="V503" s="858"/>
      <c r="W503" s="858"/>
      <c r="X503" s="858"/>
      <c r="Y503" s="858"/>
      <c r="Z503" s="858"/>
      <c r="AA503" s="858"/>
      <c r="AB503" s="858"/>
      <c r="AC503" s="858"/>
      <c r="AD503" s="858"/>
      <c r="AE503" s="858"/>
      <c r="AF503" s="858"/>
      <c r="AG503" s="858"/>
      <c r="AH503" s="858"/>
      <c r="AI503" s="858"/>
      <c r="AJ503" s="858"/>
    </row>
    <row r="504" ht="15.75" customHeight="1">
      <c r="A504" s="28"/>
      <c r="B504" s="37" t="s">
        <v>20606</v>
      </c>
      <c r="C504" s="415" t="s">
        <v>20612</v>
      </c>
      <c r="D504" s="902" t="s">
        <v>20624</v>
      </c>
      <c r="E504" s="37" t="s">
        <v>13047</v>
      </c>
      <c r="F504" s="37" t="s">
        <v>29</v>
      </c>
      <c r="G504" s="37" t="s">
        <v>37</v>
      </c>
      <c r="H504" s="186"/>
      <c r="I504" s="37" t="s">
        <v>38</v>
      </c>
      <c r="J504" s="415">
        <v>224.0</v>
      </c>
      <c r="K504" s="900"/>
      <c r="L504" s="415" t="s">
        <v>5884</v>
      </c>
      <c r="M504" s="415" t="s">
        <v>20609</v>
      </c>
      <c r="N504" s="37">
        <v>1993.0</v>
      </c>
      <c r="O504" s="900"/>
      <c r="P504" s="37">
        <v>1.0</v>
      </c>
      <c r="Q504" s="907">
        <v>1.0</v>
      </c>
      <c r="R504" s="863"/>
      <c r="S504" s="858"/>
      <c r="T504" s="858"/>
      <c r="U504" s="858"/>
      <c r="V504" s="858"/>
      <c r="W504" s="858"/>
      <c r="X504" s="858"/>
      <c r="Y504" s="858"/>
      <c r="Z504" s="858"/>
      <c r="AA504" s="858"/>
      <c r="AB504" s="858"/>
      <c r="AC504" s="858"/>
      <c r="AD504" s="858"/>
      <c r="AE504" s="858"/>
      <c r="AF504" s="858"/>
      <c r="AG504" s="858"/>
      <c r="AH504" s="858"/>
      <c r="AI504" s="858"/>
      <c r="AJ504" s="858"/>
    </row>
    <row r="505" ht="15.75" customHeight="1">
      <c r="A505" s="28"/>
      <c r="B505" s="37" t="s">
        <v>20606</v>
      </c>
      <c r="C505" s="415" t="s">
        <v>20625</v>
      </c>
      <c r="D505" s="902" t="s">
        <v>20626</v>
      </c>
      <c r="E505" s="37" t="s">
        <v>13047</v>
      </c>
      <c r="F505" s="37" t="s">
        <v>29</v>
      </c>
      <c r="G505" s="37" t="s">
        <v>37</v>
      </c>
      <c r="H505" s="186"/>
      <c r="I505" s="37" t="s">
        <v>38</v>
      </c>
      <c r="J505" s="415">
        <v>224.0</v>
      </c>
      <c r="K505" s="900"/>
      <c r="L505" s="415" t="s">
        <v>3484</v>
      </c>
      <c r="M505" s="415" t="s">
        <v>20609</v>
      </c>
      <c r="N505" s="37">
        <v>1998.0</v>
      </c>
      <c r="O505" s="900"/>
      <c r="P505" s="37">
        <v>1.0</v>
      </c>
      <c r="Q505" s="907">
        <v>1.0</v>
      </c>
      <c r="R505" s="863"/>
      <c r="S505" s="858"/>
      <c r="T505" s="858"/>
      <c r="U505" s="858"/>
      <c r="V505" s="858"/>
      <c r="W505" s="858"/>
      <c r="X505" s="858"/>
      <c r="Y505" s="858"/>
      <c r="Z505" s="858"/>
      <c r="AA505" s="858"/>
      <c r="AB505" s="858"/>
      <c r="AC505" s="858"/>
      <c r="AD505" s="858"/>
      <c r="AE505" s="858"/>
      <c r="AF505" s="858"/>
      <c r="AG505" s="858"/>
      <c r="AH505" s="858"/>
      <c r="AI505" s="858"/>
      <c r="AJ505" s="858"/>
    </row>
    <row r="506" ht="15.75" customHeight="1">
      <c r="A506" s="28"/>
      <c r="B506" s="37" t="s">
        <v>20606</v>
      </c>
      <c r="C506" s="415" t="s">
        <v>20625</v>
      </c>
      <c r="D506" s="902" t="s">
        <v>20627</v>
      </c>
      <c r="E506" s="37" t="s">
        <v>13047</v>
      </c>
      <c r="F506" s="37" t="s">
        <v>29</v>
      </c>
      <c r="G506" s="37" t="s">
        <v>37</v>
      </c>
      <c r="H506" s="186"/>
      <c r="I506" s="37" t="s">
        <v>38</v>
      </c>
      <c r="J506" s="415">
        <v>224.0</v>
      </c>
      <c r="K506" s="900"/>
      <c r="L506" s="415" t="s">
        <v>3484</v>
      </c>
      <c r="M506" s="415" t="s">
        <v>20609</v>
      </c>
      <c r="N506" s="37">
        <v>1997.0</v>
      </c>
      <c r="O506" s="900"/>
      <c r="P506" s="37">
        <v>1.0</v>
      </c>
      <c r="Q506" s="907">
        <v>1.0</v>
      </c>
      <c r="R506" s="863"/>
      <c r="S506" s="858"/>
      <c r="T506" s="858"/>
      <c r="U506" s="858"/>
      <c r="V506" s="858"/>
      <c r="W506" s="858"/>
      <c r="X506" s="858"/>
      <c r="Y506" s="858"/>
      <c r="Z506" s="858"/>
      <c r="AA506" s="858"/>
      <c r="AB506" s="858"/>
      <c r="AC506" s="858"/>
      <c r="AD506" s="858"/>
      <c r="AE506" s="858"/>
      <c r="AF506" s="858"/>
      <c r="AG506" s="858"/>
      <c r="AH506" s="858"/>
      <c r="AI506" s="858"/>
      <c r="AJ506" s="858"/>
    </row>
    <row r="507" ht="15.75" customHeight="1">
      <c r="A507" s="28"/>
      <c r="B507" s="37" t="s">
        <v>20606</v>
      </c>
      <c r="C507" s="415" t="s">
        <v>20628</v>
      </c>
      <c r="D507" s="902" t="s">
        <v>20629</v>
      </c>
      <c r="E507" s="37" t="s">
        <v>13047</v>
      </c>
      <c r="F507" s="37" t="s">
        <v>29</v>
      </c>
      <c r="G507" s="37" t="s">
        <v>37</v>
      </c>
      <c r="H507" s="186"/>
      <c r="I507" s="37" t="s">
        <v>38</v>
      </c>
      <c r="J507" s="415">
        <v>448.0</v>
      </c>
      <c r="K507" s="900"/>
      <c r="L507" s="415" t="s">
        <v>5884</v>
      </c>
      <c r="M507" s="415" t="s">
        <v>20609</v>
      </c>
      <c r="N507" s="37">
        <v>1995.0</v>
      </c>
      <c r="O507" s="900"/>
      <c r="P507" s="37">
        <v>1.0</v>
      </c>
      <c r="Q507" s="907">
        <v>1.0</v>
      </c>
      <c r="R507" s="863"/>
      <c r="S507" s="858"/>
      <c r="T507" s="858"/>
      <c r="U507" s="858"/>
      <c r="V507" s="858"/>
      <c r="W507" s="858"/>
      <c r="X507" s="858"/>
      <c r="Y507" s="858"/>
      <c r="Z507" s="858"/>
      <c r="AA507" s="858"/>
      <c r="AB507" s="858"/>
      <c r="AC507" s="858"/>
      <c r="AD507" s="858"/>
      <c r="AE507" s="858"/>
      <c r="AF507" s="858"/>
      <c r="AG507" s="858"/>
      <c r="AH507" s="858"/>
      <c r="AI507" s="858"/>
      <c r="AJ507" s="858"/>
    </row>
    <row r="508" ht="15.75" customHeight="1">
      <c r="A508" s="28"/>
      <c r="B508" s="37" t="s">
        <v>20606</v>
      </c>
      <c r="C508" s="415" t="s">
        <v>20630</v>
      </c>
      <c r="D508" s="902" t="s">
        <v>20631</v>
      </c>
      <c r="E508" s="37" t="s">
        <v>13047</v>
      </c>
      <c r="F508" s="37" t="s">
        <v>29</v>
      </c>
      <c r="G508" s="37" t="s">
        <v>37</v>
      </c>
      <c r="H508" s="186"/>
      <c r="I508" s="37" t="s">
        <v>38</v>
      </c>
      <c r="J508" s="415">
        <v>456.0</v>
      </c>
      <c r="K508" s="900"/>
      <c r="L508" s="415" t="s">
        <v>3484</v>
      </c>
      <c r="M508" s="415" t="s">
        <v>20609</v>
      </c>
      <c r="N508" s="37">
        <v>1999.0</v>
      </c>
      <c r="O508" s="900"/>
      <c r="P508" s="37">
        <v>1.0</v>
      </c>
      <c r="Q508" s="907">
        <v>1.0</v>
      </c>
      <c r="R508" s="863"/>
      <c r="S508" s="858"/>
      <c r="T508" s="858"/>
      <c r="U508" s="858"/>
      <c r="V508" s="858"/>
      <c r="W508" s="858"/>
      <c r="X508" s="858"/>
      <c r="Y508" s="858"/>
      <c r="Z508" s="858"/>
      <c r="AA508" s="858"/>
      <c r="AB508" s="858"/>
      <c r="AC508" s="858"/>
      <c r="AD508" s="858"/>
      <c r="AE508" s="858"/>
      <c r="AF508" s="858"/>
      <c r="AG508" s="858"/>
      <c r="AH508" s="858"/>
      <c r="AI508" s="858"/>
      <c r="AJ508" s="858"/>
    </row>
    <row r="509" ht="15.75" customHeight="1">
      <c r="A509" s="28"/>
      <c r="B509" s="37" t="s">
        <v>20606</v>
      </c>
      <c r="C509" s="415" t="s">
        <v>20632</v>
      </c>
      <c r="D509" s="902" t="s">
        <v>20633</v>
      </c>
      <c r="E509" s="37" t="s">
        <v>13047</v>
      </c>
      <c r="F509" s="37" t="s">
        <v>29</v>
      </c>
      <c r="G509" s="37" t="s">
        <v>37</v>
      </c>
      <c r="H509" s="186"/>
      <c r="I509" s="37" t="s">
        <v>38</v>
      </c>
      <c r="J509" s="415">
        <v>448.0</v>
      </c>
      <c r="K509" s="900"/>
      <c r="L509" s="415" t="s">
        <v>5884</v>
      </c>
      <c r="M509" s="415" t="s">
        <v>20609</v>
      </c>
      <c r="N509" s="37">
        <v>1994.0</v>
      </c>
      <c r="O509" s="900"/>
      <c r="P509" s="37">
        <v>1.0</v>
      </c>
      <c r="Q509" s="907">
        <v>1.0</v>
      </c>
      <c r="R509" s="863"/>
      <c r="S509" s="858"/>
      <c r="T509" s="858"/>
      <c r="U509" s="858"/>
      <c r="V509" s="858"/>
      <c r="W509" s="858"/>
      <c r="X509" s="858"/>
      <c r="Y509" s="858"/>
      <c r="Z509" s="858"/>
      <c r="AA509" s="858"/>
      <c r="AB509" s="858"/>
      <c r="AC509" s="858"/>
      <c r="AD509" s="858"/>
      <c r="AE509" s="858"/>
      <c r="AF509" s="858"/>
      <c r="AG509" s="858"/>
      <c r="AH509" s="858"/>
      <c r="AI509" s="858"/>
      <c r="AJ509" s="858"/>
    </row>
    <row r="510" ht="15.75" customHeight="1">
      <c r="A510" s="28"/>
      <c r="B510" s="37" t="s">
        <v>20606</v>
      </c>
      <c r="C510" s="415" t="s">
        <v>20634</v>
      </c>
      <c r="D510" s="902" t="s">
        <v>20635</v>
      </c>
      <c r="E510" s="37" t="s">
        <v>13047</v>
      </c>
      <c r="F510" s="37" t="s">
        <v>29</v>
      </c>
      <c r="G510" s="37" t="s">
        <v>37</v>
      </c>
      <c r="H510" s="186"/>
      <c r="I510" s="37" t="s">
        <v>38</v>
      </c>
      <c r="J510" s="415">
        <v>448.0</v>
      </c>
      <c r="K510" s="900"/>
      <c r="L510" s="415" t="s">
        <v>5884</v>
      </c>
      <c r="M510" s="415" t="s">
        <v>20609</v>
      </c>
      <c r="N510" s="415">
        <v>1996.0</v>
      </c>
      <c r="O510" s="900"/>
      <c r="P510" s="37">
        <v>1.0</v>
      </c>
      <c r="Q510" s="907">
        <v>1.0</v>
      </c>
      <c r="R510" s="863"/>
      <c r="S510" s="858"/>
      <c r="T510" s="858"/>
      <c r="U510" s="858"/>
      <c r="V510" s="858"/>
      <c r="W510" s="858"/>
      <c r="X510" s="858"/>
      <c r="Y510" s="858"/>
      <c r="Z510" s="858"/>
      <c r="AA510" s="858"/>
      <c r="AB510" s="858"/>
      <c r="AC510" s="858"/>
      <c r="AD510" s="858"/>
      <c r="AE510" s="858"/>
      <c r="AF510" s="858"/>
      <c r="AG510" s="858"/>
      <c r="AH510" s="858"/>
      <c r="AI510" s="858"/>
      <c r="AJ510" s="858"/>
    </row>
    <row r="511" ht="15.75" customHeight="1">
      <c r="A511" s="28"/>
      <c r="B511" s="37" t="s">
        <v>20606</v>
      </c>
      <c r="C511" s="415" t="s">
        <v>20636</v>
      </c>
      <c r="D511" s="902" t="s">
        <v>20637</v>
      </c>
      <c r="E511" s="37" t="s">
        <v>13047</v>
      </c>
      <c r="F511" s="37" t="s">
        <v>29</v>
      </c>
      <c r="G511" s="37" t="s">
        <v>37</v>
      </c>
      <c r="H511" s="186"/>
      <c r="I511" s="37" t="s">
        <v>38</v>
      </c>
      <c r="J511" s="415">
        <v>456.0</v>
      </c>
      <c r="K511" s="900"/>
      <c r="L511" s="415" t="s">
        <v>3484</v>
      </c>
      <c r="M511" s="415" t="s">
        <v>20609</v>
      </c>
      <c r="N511" s="415">
        <v>1998.0</v>
      </c>
      <c r="O511" s="900"/>
      <c r="P511" s="37">
        <v>1.0</v>
      </c>
      <c r="Q511" s="907">
        <v>1.0</v>
      </c>
      <c r="R511" s="863"/>
      <c r="S511" s="858"/>
      <c r="T511" s="858"/>
      <c r="U511" s="858"/>
      <c r="V511" s="858"/>
      <c r="W511" s="858"/>
      <c r="X511" s="858"/>
      <c r="Y511" s="858"/>
      <c r="Z511" s="858"/>
      <c r="AA511" s="858"/>
      <c r="AB511" s="858"/>
      <c r="AC511" s="858"/>
      <c r="AD511" s="858"/>
      <c r="AE511" s="858"/>
      <c r="AF511" s="858"/>
      <c r="AG511" s="858"/>
      <c r="AH511" s="858"/>
      <c r="AI511" s="858"/>
      <c r="AJ511" s="858"/>
    </row>
    <row r="512" ht="15.75" customHeight="1">
      <c r="A512" s="28"/>
      <c r="B512" s="37" t="s">
        <v>20606</v>
      </c>
      <c r="C512" s="415" t="s">
        <v>20638</v>
      </c>
      <c r="D512" s="902" t="s">
        <v>20639</v>
      </c>
      <c r="E512" s="37" t="s">
        <v>13047</v>
      </c>
      <c r="F512" s="37" t="s">
        <v>29</v>
      </c>
      <c r="G512" s="37" t="s">
        <v>37</v>
      </c>
      <c r="H512" s="186"/>
      <c r="I512" s="37" t="s">
        <v>38</v>
      </c>
      <c r="J512" s="415">
        <v>456.0</v>
      </c>
      <c r="K512" s="900"/>
      <c r="L512" s="415" t="s">
        <v>3484</v>
      </c>
      <c r="M512" s="415" t="s">
        <v>20609</v>
      </c>
      <c r="N512" s="415">
        <v>1997.0</v>
      </c>
      <c r="O512" s="900"/>
      <c r="P512" s="37">
        <v>1.0</v>
      </c>
      <c r="Q512" s="907">
        <v>1.0</v>
      </c>
      <c r="R512" s="863"/>
      <c r="S512" s="858"/>
      <c r="T512" s="858"/>
      <c r="U512" s="858"/>
      <c r="V512" s="858"/>
      <c r="W512" s="858"/>
      <c r="X512" s="858"/>
      <c r="Y512" s="858"/>
      <c r="Z512" s="858"/>
      <c r="AA512" s="858"/>
      <c r="AB512" s="858"/>
      <c r="AC512" s="858"/>
      <c r="AD512" s="858"/>
      <c r="AE512" s="858"/>
      <c r="AF512" s="858"/>
      <c r="AG512" s="858"/>
      <c r="AH512" s="858"/>
      <c r="AI512" s="858"/>
      <c r="AJ512" s="858"/>
    </row>
    <row r="513" ht="15.75" customHeight="1">
      <c r="A513" s="28"/>
      <c r="B513" s="37" t="s">
        <v>20606</v>
      </c>
      <c r="C513" s="415" t="s">
        <v>20640</v>
      </c>
      <c r="D513" s="902" t="s">
        <v>20641</v>
      </c>
      <c r="E513" s="37" t="s">
        <v>13047</v>
      </c>
      <c r="F513" s="37" t="s">
        <v>29</v>
      </c>
      <c r="G513" s="37" t="s">
        <v>37</v>
      </c>
      <c r="H513" s="186"/>
      <c r="I513" s="37" t="s">
        <v>38</v>
      </c>
      <c r="J513" s="415">
        <v>448.0</v>
      </c>
      <c r="K513" s="900"/>
      <c r="L513" s="415" t="s">
        <v>5884</v>
      </c>
      <c r="M513" s="415" t="s">
        <v>20609</v>
      </c>
      <c r="N513" s="415">
        <v>1993.0</v>
      </c>
      <c r="O513" s="900"/>
      <c r="P513" s="37">
        <v>1.0</v>
      </c>
      <c r="Q513" s="907">
        <v>1.0</v>
      </c>
      <c r="R513" s="863"/>
      <c r="S513" s="858"/>
      <c r="T513" s="858"/>
      <c r="U513" s="858"/>
      <c r="V513" s="858"/>
      <c r="W513" s="858"/>
      <c r="X513" s="858"/>
      <c r="Y513" s="858"/>
      <c r="Z513" s="858"/>
      <c r="AA513" s="858"/>
      <c r="AB513" s="858"/>
      <c r="AC513" s="858"/>
      <c r="AD513" s="858"/>
      <c r="AE513" s="858"/>
      <c r="AF513" s="858"/>
      <c r="AG513" s="858"/>
      <c r="AH513" s="858"/>
      <c r="AI513" s="858"/>
      <c r="AJ513" s="858"/>
    </row>
    <row r="514" ht="15.75" customHeight="1">
      <c r="A514" s="28"/>
      <c r="B514" s="37" t="s">
        <v>20606</v>
      </c>
      <c r="C514" s="415" t="s">
        <v>20612</v>
      </c>
      <c r="D514" s="902" t="s">
        <v>20642</v>
      </c>
      <c r="E514" s="37" t="s">
        <v>13047</v>
      </c>
      <c r="F514" s="37" t="s">
        <v>29</v>
      </c>
      <c r="G514" s="37" t="s">
        <v>37</v>
      </c>
      <c r="H514" s="186"/>
      <c r="I514" s="37" t="s">
        <v>38</v>
      </c>
      <c r="J514" s="415">
        <v>336.0</v>
      </c>
      <c r="K514" s="900"/>
      <c r="L514" s="415" t="s">
        <v>5884</v>
      </c>
      <c r="M514" s="415" t="s">
        <v>20609</v>
      </c>
      <c r="N514" s="415">
        <v>1995.0</v>
      </c>
      <c r="O514" s="900"/>
      <c r="P514" s="37">
        <v>1.0</v>
      </c>
      <c r="Q514" s="907">
        <v>1.0</v>
      </c>
      <c r="R514" s="863"/>
      <c r="S514" s="858"/>
      <c r="T514" s="858"/>
      <c r="U514" s="858"/>
      <c r="V514" s="858"/>
      <c r="W514" s="858"/>
      <c r="X514" s="858"/>
      <c r="Y514" s="858"/>
      <c r="Z514" s="858"/>
      <c r="AA514" s="858"/>
      <c r="AB514" s="858"/>
      <c r="AC514" s="858"/>
      <c r="AD514" s="858"/>
      <c r="AE514" s="858"/>
      <c r="AF514" s="858"/>
      <c r="AG514" s="858"/>
      <c r="AH514" s="858"/>
      <c r="AI514" s="858"/>
      <c r="AJ514" s="858"/>
    </row>
    <row r="515" ht="15.75" customHeight="1">
      <c r="A515" s="28"/>
      <c r="B515" s="37" t="s">
        <v>20606</v>
      </c>
      <c r="C515" s="415" t="s">
        <v>20643</v>
      </c>
      <c r="D515" s="902" t="s">
        <v>20644</v>
      </c>
      <c r="E515" s="37" t="s">
        <v>13047</v>
      </c>
      <c r="F515" s="37" t="s">
        <v>29</v>
      </c>
      <c r="G515" s="37" t="s">
        <v>37</v>
      </c>
      <c r="H515" s="186"/>
      <c r="I515" s="37" t="s">
        <v>38</v>
      </c>
      <c r="J515" s="415">
        <v>336.0</v>
      </c>
      <c r="K515" s="900"/>
      <c r="L515" s="415" t="s">
        <v>3484</v>
      </c>
      <c r="M515" s="415" t="s">
        <v>20609</v>
      </c>
      <c r="N515" s="415">
        <v>1999.0</v>
      </c>
      <c r="O515" s="900"/>
      <c r="P515" s="37">
        <v>1.0</v>
      </c>
      <c r="Q515" s="907">
        <v>1.0</v>
      </c>
      <c r="R515" s="863"/>
      <c r="S515" s="858"/>
      <c r="T515" s="858"/>
      <c r="U515" s="858"/>
      <c r="V515" s="858"/>
      <c r="W515" s="858"/>
      <c r="X515" s="858"/>
      <c r="Y515" s="858"/>
      <c r="Z515" s="858"/>
      <c r="AA515" s="858"/>
      <c r="AB515" s="858"/>
      <c r="AC515" s="858"/>
      <c r="AD515" s="858"/>
      <c r="AE515" s="858"/>
      <c r="AF515" s="858"/>
      <c r="AG515" s="858"/>
      <c r="AH515" s="858"/>
      <c r="AI515" s="858"/>
      <c r="AJ515" s="858"/>
    </row>
    <row r="516" ht="15.75" customHeight="1">
      <c r="A516" s="28"/>
      <c r="B516" s="37" t="s">
        <v>20606</v>
      </c>
      <c r="C516" s="415" t="s">
        <v>20616</v>
      </c>
      <c r="D516" s="902" t="s">
        <v>20645</v>
      </c>
      <c r="E516" s="37" t="s">
        <v>13047</v>
      </c>
      <c r="F516" s="37" t="s">
        <v>29</v>
      </c>
      <c r="G516" s="37" t="s">
        <v>37</v>
      </c>
      <c r="H516" s="186"/>
      <c r="I516" s="37" t="s">
        <v>38</v>
      </c>
      <c r="J516" s="415">
        <v>336.0</v>
      </c>
      <c r="K516" s="900"/>
      <c r="L516" s="415" t="s">
        <v>5884</v>
      </c>
      <c r="M516" s="415" t="s">
        <v>20609</v>
      </c>
      <c r="N516" s="415">
        <v>1996.0</v>
      </c>
      <c r="O516" s="900"/>
      <c r="P516" s="37">
        <v>1.0</v>
      </c>
      <c r="Q516" s="907">
        <v>1.0</v>
      </c>
      <c r="R516" s="863"/>
      <c r="S516" s="858"/>
      <c r="T516" s="858"/>
      <c r="U516" s="858"/>
      <c r="V516" s="858"/>
      <c r="W516" s="858"/>
      <c r="X516" s="858"/>
      <c r="Y516" s="858"/>
      <c r="Z516" s="858"/>
      <c r="AA516" s="858"/>
      <c r="AB516" s="858"/>
      <c r="AC516" s="858"/>
      <c r="AD516" s="858"/>
      <c r="AE516" s="858"/>
      <c r="AF516" s="858"/>
      <c r="AG516" s="858"/>
      <c r="AH516" s="858"/>
      <c r="AI516" s="858"/>
      <c r="AJ516" s="858"/>
    </row>
    <row r="517" ht="15.75" customHeight="1">
      <c r="A517" s="28"/>
      <c r="B517" s="37" t="s">
        <v>20606</v>
      </c>
      <c r="C517" s="37" t="s">
        <v>20646</v>
      </c>
      <c r="D517" s="902" t="s">
        <v>20647</v>
      </c>
      <c r="E517" s="37" t="s">
        <v>13047</v>
      </c>
      <c r="F517" s="37" t="s">
        <v>29</v>
      </c>
      <c r="G517" s="37" t="s">
        <v>37</v>
      </c>
      <c r="H517" s="32"/>
      <c r="I517" s="37" t="s">
        <v>38</v>
      </c>
      <c r="J517" s="37">
        <v>336.0</v>
      </c>
      <c r="K517" s="900"/>
      <c r="L517" s="37" t="s">
        <v>3484</v>
      </c>
      <c r="M517" s="415" t="s">
        <v>20609</v>
      </c>
      <c r="N517" s="37">
        <v>1998.0</v>
      </c>
      <c r="O517" s="900"/>
      <c r="P517" s="37">
        <v>1.0</v>
      </c>
      <c r="Q517" s="907">
        <v>1.0</v>
      </c>
      <c r="R517" s="863"/>
      <c r="S517" s="858"/>
      <c r="T517" s="858"/>
      <c r="U517" s="858"/>
      <c r="V517" s="858"/>
      <c r="W517" s="858"/>
      <c r="X517" s="858"/>
      <c r="Y517" s="858"/>
      <c r="Z517" s="858"/>
      <c r="AA517" s="858"/>
      <c r="AB517" s="858"/>
      <c r="AC517" s="858"/>
      <c r="AD517" s="858"/>
      <c r="AE517" s="858"/>
      <c r="AF517" s="858"/>
      <c r="AG517" s="858"/>
      <c r="AH517" s="858"/>
      <c r="AI517" s="858"/>
      <c r="AJ517" s="858"/>
    </row>
    <row r="518" ht="15.75" customHeight="1">
      <c r="A518" s="28"/>
      <c r="B518" s="37" t="s">
        <v>20606</v>
      </c>
      <c r="C518" s="37" t="s">
        <v>20648</v>
      </c>
      <c r="D518" s="902" t="s">
        <v>20649</v>
      </c>
      <c r="E518" s="37" t="s">
        <v>13047</v>
      </c>
      <c r="F518" s="37" t="s">
        <v>29</v>
      </c>
      <c r="G518" s="37" t="s">
        <v>37</v>
      </c>
      <c r="H518" s="32"/>
      <c r="I518" s="37" t="s">
        <v>38</v>
      </c>
      <c r="J518" s="37">
        <v>336.0</v>
      </c>
      <c r="K518" s="900"/>
      <c r="L518" s="37" t="s">
        <v>3484</v>
      </c>
      <c r="M518" s="415" t="s">
        <v>20609</v>
      </c>
      <c r="N518" s="37">
        <v>1997.0</v>
      </c>
      <c r="O518" s="900"/>
      <c r="P518" s="37">
        <v>1.0</v>
      </c>
      <c r="Q518" s="907">
        <v>1.0</v>
      </c>
      <c r="R518" s="863"/>
      <c r="S518" s="858"/>
      <c r="T518" s="858"/>
      <c r="U518" s="858"/>
      <c r="V518" s="858"/>
      <c r="W518" s="858"/>
      <c r="X518" s="858"/>
      <c r="Y518" s="858"/>
      <c r="Z518" s="858"/>
      <c r="AA518" s="858"/>
      <c r="AB518" s="858"/>
      <c r="AC518" s="858"/>
      <c r="AD518" s="858"/>
      <c r="AE518" s="858"/>
      <c r="AF518" s="858"/>
      <c r="AG518" s="858"/>
      <c r="AH518" s="858"/>
      <c r="AI518" s="858"/>
      <c r="AJ518" s="858"/>
    </row>
    <row r="519" ht="15.75" customHeight="1">
      <c r="A519" s="28"/>
      <c r="B519" s="37" t="s">
        <v>20606</v>
      </c>
      <c r="C519" s="37" t="s">
        <v>20616</v>
      </c>
      <c r="D519" s="902" t="s">
        <v>20611</v>
      </c>
      <c r="E519" s="37" t="s">
        <v>13047</v>
      </c>
      <c r="F519" s="37" t="s">
        <v>29</v>
      </c>
      <c r="G519" s="37" t="s">
        <v>37</v>
      </c>
      <c r="H519" s="32"/>
      <c r="I519" s="37" t="s">
        <v>38</v>
      </c>
      <c r="J519" s="37">
        <v>336.0</v>
      </c>
      <c r="K519" s="900"/>
      <c r="L519" s="37" t="s">
        <v>5884</v>
      </c>
      <c r="M519" s="415" t="s">
        <v>20609</v>
      </c>
      <c r="N519" s="37">
        <v>1994.0</v>
      </c>
      <c r="O519" s="900"/>
      <c r="P519" s="37">
        <v>1.0</v>
      </c>
      <c r="Q519" s="907">
        <v>1.0</v>
      </c>
      <c r="R519" s="908"/>
      <c r="S519" s="858"/>
      <c r="T519" s="858"/>
      <c r="U519" s="858"/>
      <c r="V519" s="858"/>
      <c r="W519" s="858"/>
      <c r="X519" s="858"/>
      <c r="Y519" s="858"/>
      <c r="Z519" s="858"/>
      <c r="AA519" s="858"/>
      <c r="AB519" s="858"/>
      <c r="AC519" s="858"/>
      <c r="AD519" s="858"/>
      <c r="AE519" s="858"/>
      <c r="AF519" s="858"/>
      <c r="AG519" s="858"/>
      <c r="AH519" s="858"/>
      <c r="AI519" s="858"/>
      <c r="AJ519" s="858"/>
    </row>
    <row r="520" ht="15.75" customHeight="1">
      <c r="A520" s="28"/>
      <c r="B520" s="37" t="s">
        <v>20606</v>
      </c>
      <c r="C520" s="37" t="s">
        <v>20607</v>
      </c>
      <c r="D520" s="902" t="s">
        <v>20650</v>
      </c>
      <c r="E520" s="37" t="s">
        <v>13047</v>
      </c>
      <c r="F520" s="37" t="s">
        <v>29</v>
      </c>
      <c r="G520" s="37" t="s">
        <v>37</v>
      </c>
      <c r="H520" s="32"/>
      <c r="I520" s="37" t="s">
        <v>38</v>
      </c>
      <c r="J520" s="37">
        <v>336.0</v>
      </c>
      <c r="K520" s="900"/>
      <c r="L520" s="37" t="s">
        <v>5884</v>
      </c>
      <c r="M520" s="415" t="s">
        <v>20609</v>
      </c>
      <c r="N520" s="37">
        <v>1993.0</v>
      </c>
      <c r="O520" s="900"/>
      <c r="P520" s="37">
        <v>1.0</v>
      </c>
      <c r="Q520" s="907">
        <v>1.0</v>
      </c>
      <c r="R520" s="908"/>
      <c r="S520" s="858"/>
      <c r="T520" s="858"/>
      <c r="U520" s="858"/>
      <c r="V520" s="858"/>
      <c r="W520" s="858"/>
      <c r="X520" s="858"/>
      <c r="Y520" s="858"/>
      <c r="Z520" s="858"/>
      <c r="AA520" s="858"/>
      <c r="AB520" s="858"/>
      <c r="AC520" s="858"/>
      <c r="AD520" s="858"/>
      <c r="AE520" s="858"/>
      <c r="AF520" s="858"/>
      <c r="AG520" s="858"/>
      <c r="AH520" s="858"/>
      <c r="AI520" s="858"/>
      <c r="AJ520" s="858"/>
    </row>
    <row r="521" ht="15.75" customHeight="1">
      <c r="A521" s="28"/>
      <c r="B521" s="37" t="s">
        <v>20606</v>
      </c>
      <c r="C521" s="37" t="s">
        <v>20612</v>
      </c>
      <c r="D521" s="902" t="s">
        <v>20651</v>
      </c>
      <c r="E521" s="37" t="s">
        <v>13047</v>
      </c>
      <c r="F521" s="37" t="s">
        <v>29</v>
      </c>
      <c r="G521" s="37" t="s">
        <v>37</v>
      </c>
      <c r="H521" s="32"/>
      <c r="I521" s="37" t="s">
        <v>38</v>
      </c>
      <c r="J521" s="37">
        <v>224.0</v>
      </c>
      <c r="K521" s="900"/>
      <c r="L521" s="37" t="s">
        <v>5884</v>
      </c>
      <c r="M521" s="415" t="s">
        <v>20609</v>
      </c>
      <c r="N521" s="37">
        <v>1991.0</v>
      </c>
      <c r="O521" s="900"/>
      <c r="P521" s="37">
        <v>1.0</v>
      </c>
      <c r="Q521" s="907">
        <v>1.0</v>
      </c>
      <c r="R521" s="908"/>
      <c r="S521" s="858"/>
      <c r="T521" s="858"/>
      <c r="U521" s="858"/>
      <c r="V521" s="858"/>
      <c r="W521" s="858"/>
      <c r="X521" s="858"/>
      <c r="Y521" s="858"/>
      <c r="Z521" s="858"/>
      <c r="AA521" s="858"/>
      <c r="AB521" s="858"/>
      <c r="AC521" s="858"/>
      <c r="AD521" s="858"/>
      <c r="AE521" s="858"/>
      <c r="AF521" s="858"/>
      <c r="AG521" s="858"/>
      <c r="AH521" s="858"/>
      <c r="AI521" s="858"/>
      <c r="AJ521" s="858"/>
    </row>
    <row r="522" ht="15.75" customHeight="1">
      <c r="A522" s="28"/>
      <c r="B522" s="37" t="s">
        <v>20606</v>
      </c>
      <c r="C522" s="37" t="s">
        <v>20652</v>
      </c>
      <c r="D522" s="902" t="s">
        <v>20653</v>
      </c>
      <c r="E522" s="37" t="s">
        <v>13047</v>
      </c>
      <c r="F522" s="37" t="s">
        <v>29</v>
      </c>
      <c r="G522" s="37" t="s">
        <v>37</v>
      </c>
      <c r="H522" s="32"/>
      <c r="I522" s="37" t="s">
        <v>38</v>
      </c>
      <c r="J522" s="37">
        <v>336.0</v>
      </c>
      <c r="K522" s="900"/>
      <c r="L522" s="37" t="s">
        <v>5884</v>
      </c>
      <c r="M522" s="415" t="s">
        <v>20609</v>
      </c>
      <c r="N522" s="37">
        <v>1991.0</v>
      </c>
      <c r="O522" s="900"/>
      <c r="P522" s="37">
        <v>1.0</v>
      </c>
      <c r="Q522" s="907">
        <v>1.0</v>
      </c>
      <c r="R522" s="908"/>
      <c r="S522" s="858"/>
      <c r="T522" s="858"/>
      <c r="U522" s="858"/>
      <c r="V522" s="858"/>
      <c r="W522" s="858"/>
      <c r="X522" s="858"/>
      <c r="Y522" s="858"/>
      <c r="Z522" s="858"/>
      <c r="AA522" s="858"/>
      <c r="AB522" s="858"/>
      <c r="AC522" s="858"/>
      <c r="AD522" s="858"/>
      <c r="AE522" s="858"/>
      <c r="AF522" s="858"/>
      <c r="AG522" s="858"/>
      <c r="AH522" s="858"/>
      <c r="AI522" s="858"/>
      <c r="AJ522" s="858"/>
    </row>
    <row r="523" ht="15.75" customHeight="1">
      <c r="A523" s="28"/>
      <c r="B523" s="37" t="s">
        <v>20606</v>
      </c>
      <c r="C523" s="37" t="s">
        <v>20654</v>
      </c>
      <c r="D523" s="902" t="s">
        <v>20611</v>
      </c>
      <c r="E523" s="37" t="s">
        <v>13047</v>
      </c>
      <c r="F523" s="37" t="s">
        <v>29</v>
      </c>
      <c r="G523" s="37" t="s">
        <v>37</v>
      </c>
      <c r="H523" s="32"/>
      <c r="I523" s="37" t="s">
        <v>38</v>
      </c>
      <c r="J523" s="37">
        <v>112.0</v>
      </c>
      <c r="K523" s="900"/>
      <c r="L523" s="37" t="s">
        <v>20655</v>
      </c>
      <c r="M523" s="415" t="s">
        <v>20609</v>
      </c>
      <c r="N523" s="37">
        <v>1990.0</v>
      </c>
      <c r="O523" s="900"/>
      <c r="P523" s="37">
        <v>1.0</v>
      </c>
      <c r="Q523" s="907">
        <v>1.0</v>
      </c>
      <c r="R523" s="908"/>
      <c r="S523" s="858"/>
      <c r="T523" s="858"/>
      <c r="U523" s="858"/>
      <c r="V523" s="858"/>
      <c r="W523" s="858"/>
      <c r="X523" s="858"/>
      <c r="Y523" s="858"/>
      <c r="Z523" s="858"/>
      <c r="AA523" s="858"/>
      <c r="AB523" s="858"/>
      <c r="AC523" s="858"/>
      <c r="AD523" s="858"/>
      <c r="AE523" s="858"/>
      <c r="AF523" s="858"/>
      <c r="AG523" s="858"/>
      <c r="AH523" s="858"/>
      <c r="AI523" s="858"/>
      <c r="AJ523" s="858"/>
    </row>
    <row r="524" ht="15.75" customHeight="1">
      <c r="A524" s="28"/>
      <c r="B524" s="37" t="s">
        <v>20606</v>
      </c>
      <c r="C524" s="37" t="s">
        <v>20616</v>
      </c>
      <c r="D524" s="902" t="s">
        <v>20611</v>
      </c>
      <c r="E524" s="37" t="s">
        <v>13047</v>
      </c>
      <c r="F524" s="37" t="s">
        <v>29</v>
      </c>
      <c r="G524" s="37" t="s">
        <v>37</v>
      </c>
      <c r="H524" s="32"/>
      <c r="I524" s="37" t="s">
        <v>38</v>
      </c>
      <c r="J524" s="37">
        <v>112.0</v>
      </c>
      <c r="K524" s="900"/>
      <c r="L524" s="37" t="s">
        <v>5884</v>
      </c>
      <c r="M524" s="415" t="s">
        <v>20609</v>
      </c>
      <c r="N524" s="37">
        <v>1991.0</v>
      </c>
      <c r="O524" s="900"/>
      <c r="P524" s="37">
        <v>1.0</v>
      </c>
      <c r="Q524" s="907">
        <v>1.0</v>
      </c>
      <c r="R524" s="908"/>
      <c r="S524" s="858"/>
      <c r="T524" s="858"/>
      <c r="U524" s="858"/>
      <c r="V524" s="858"/>
      <c r="W524" s="858"/>
      <c r="X524" s="858"/>
      <c r="Y524" s="858"/>
      <c r="Z524" s="858"/>
      <c r="AA524" s="858"/>
      <c r="AB524" s="858"/>
      <c r="AC524" s="858"/>
      <c r="AD524" s="858"/>
      <c r="AE524" s="858"/>
      <c r="AF524" s="858"/>
      <c r="AG524" s="858"/>
      <c r="AH524" s="858"/>
      <c r="AI524" s="858"/>
      <c r="AJ524" s="858"/>
    </row>
    <row r="525" ht="15.75" customHeight="1">
      <c r="A525" s="28"/>
      <c r="B525" s="37" t="s">
        <v>20606</v>
      </c>
      <c r="C525" s="37" t="s">
        <v>20612</v>
      </c>
      <c r="D525" s="902" t="s">
        <v>20656</v>
      </c>
      <c r="E525" s="37" t="s">
        <v>13047</v>
      </c>
      <c r="F525" s="37" t="s">
        <v>29</v>
      </c>
      <c r="G525" s="37" t="s">
        <v>37</v>
      </c>
      <c r="H525" s="32"/>
      <c r="I525" s="37" t="s">
        <v>38</v>
      </c>
      <c r="J525" s="37">
        <v>224.0</v>
      </c>
      <c r="K525" s="900"/>
      <c r="L525" s="37" t="s">
        <v>5884</v>
      </c>
      <c r="M525" s="415" t="s">
        <v>20609</v>
      </c>
      <c r="N525" s="37">
        <v>1992.0</v>
      </c>
      <c r="O525" s="900"/>
      <c r="P525" s="37">
        <v>1.0</v>
      </c>
      <c r="Q525" s="907">
        <v>1.0</v>
      </c>
      <c r="R525" s="908"/>
      <c r="S525" s="858"/>
      <c r="T525" s="858"/>
      <c r="U525" s="858"/>
      <c r="V525" s="858"/>
      <c r="W525" s="858"/>
      <c r="X525" s="858"/>
      <c r="Y525" s="858"/>
      <c r="Z525" s="858"/>
      <c r="AA525" s="858"/>
      <c r="AB525" s="858"/>
      <c r="AC525" s="858"/>
      <c r="AD525" s="858"/>
      <c r="AE525" s="858"/>
      <c r="AF525" s="858"/>
      <c r="AG525" s="858"/>
      <c r="AH525" s="858"/>
      <c r="AI525" s="858"/>
      <c r="AJ525" s="858"/>
    </row>
    <row r="526" ht="15.75" customHeight="1">
      <c r="A526" s="28"/>
      <c r="B526" s="37" t="s">
        <v>20606</v>
      </c>
      <c r="C526" s="37" t="s">
        <v>20612</v>
      </c>
      <c r="D526" s="902" t="s">
        <v>20657</v>
      </c>
      <c r="E526" s="37" t="s">
        <v>13047</v>
      </c>
      <c r="F526" s="37" t="s">
        <v>29</v>
      </c>
      <c r="G526" s="37" t="s">
        <v>37</v>
      </c>
      <c r="H526" s="32"/>
      <c r="I526" s="37" t="s">
        <v>38</v>
      </c>
      <c r="J526" s="37">
        <v>336.0</v>
      </c>
      <c r="K526" s="900"/>
      <c r="L526" s="37" t="s">
        <v>5884</v>
      </c>
      <c r="M526" s="415" t="s">
        <v>20609</v>
      </c>
      <c r="N526" s="37">
        <v>1992.0</v>
      </c>
      <c r="O526" s="900"/>
      <c r="P526" s="37">
        <v>1.0</v>
      </c>
      <c r="Q526" s="907">
        <v>1.0</v>
      </c>
      <c r="R526" s="908"/>
      <c r="S526" s="858"/>
      <c r="T526" s="858"/>
      <c r="U526" s="858"/>
      <c r="V526" s="858"/>
      <c r="W526" s="858"/>
      <c r="X526" s="858"/>
      <c r="Y526" s="858"/>
      <c r="Z526" s="858"/>
      <c r="AA526" s="858"/>
      <c r="AB526" s="858"/>
      <c r="AC526" s="858"/>
      <c r="AD526" s="858"/>
      <c r="AE526" s="858"/>
      <c r="AF526" s="858"/>
      <c r="AG526" s="858"/>
      <c r="AH526" s="858"/>
      <c r="AI526" s="858"/>
      <c r="AJ526" s="858"/>
    </row>
    <row r="527" ht="15.75" customHeight="1">
      <c r="A527" s="28"/>
      <c r="B527" s="37" t="s">
        <v>20606</v>
      </c>
      <c r="C527" s="37" t="s">
        <v>20612</v>
      </c>
      <c r="D527" s="902" t="s">
        <v>20658</v>
      </c>
      <c r="E527" s="37" t="s">
        <v>13047</v>
      </c>
      <c r="F527" s="37" t="s">
        <v>29</v>
      </c>
      <c r="G527" s="37" t="s">
        <v>37</v>
      </c>
      <c r="H527" s="32"/>
      <c r="I527" s="37" t="s">
        <v>38</v>
      </c>
      <c r="J527" s="37">
        <v>447.0</v>
      </c>
      <c r="K527" s="900"/>
      <c r="L527" s="37" t="s">
        <v>5884</v>
      </c>
      <c r="M527" s="415" t="s">
        <v>20609</v>
      </c>
      <c r="N527" s="37">
        <v>1992.0</v>
      </c>
      <c r="O527" s="900"/>
      <c r="P527" s="37">
        <v>1.0</v>
      </c>
      <c r="Q527" s="907">
        <v>1.0</v>
      </c>
      <c r="R527" s="908"/>
      <c r="S527" s="858"/>
      <c r="T527" s="858"/>
      <c r="U527" s="858"/>
      <c r="V527" s="858"/>
      <c r="W527" s="858"/>
      <c r="X527" s="858"/>
      <c r="Y527" s="858"/>
      <c r="Z527" s="858"/>
      <c r="AA527" s="858"/>
      <c r="AB527" s="858"/>
      <c r="AC527" s="858"/>
      <c r="AD527" s="858"/>
      <c r="AE527" s="858"/>
      <c r="AF527" s="858"/>
      <c r="AG527" s="858"/>
      <c r="AH527" s="858"/>
      <c r="AI527" s="858"/>
      <c r="AJ527" s="858"/>
    </row>
    <row r="528" ht="15.75" customHeight="1">
      <c r="A528" s="28"/>
      <c r="B528" s="37" t="s">
        <v>20606</v>
      </c>
      <c r="C528" s="37" t="s">
        <v>20616</v>
      </c>
      <c r="D528" s="902" t="s">
        <v>20659</v>
      </c>
      <c r="E528" s="37" t="s">
        <v>13047</v>
      </c>
      <c r="F528" s="37" t="s">
        <v>29</v>
      </c>
      <c r="G528" s="37" t="s">
        <v>37</v>
      </c>
      <c r="H528" s="32"/>
      <c r="I528" s="37" t="s">
        <v>38</v>
      </c>
      <c r="J528" s="37">
        <v>112.0</v>
      </c>
      <c r="K528" s="900"/>
      <c r="L528" s="37" t="s">
        <v>5884</v>
      </c>
      <c r="M528" s="415" t="s">
        <v>20609</v>
      </c>
      <c r="N528" s="37">
        <v>1993.0</v>
      </c>
      <c r="O528" s="900"/>
      <c r="P528" s="37">
        <v>1.0</v>
      </c>
      <c r="Q528" s="37">
        <v>1.0</v>
      </c>
      <c r="R528" s="908"/>
      <c r="S528" s="858"/>
      <c r="T528" s="858"/>
      <c r="U528" s="858"/>
      <c r="V528" s="858"/>
      <c r="W528" s="858"/>
      <c r="X528" s="858"/>
      <c r="Y528" s="858"/>
      <c r="Z528" s="858"/>
      <c r="AA528" s="858"/>
      <c r="AB528" s="858"/>
      <c r="AC528" s="858"/>
      <c r="AD528" s="858"/>
      <c r="AE528" s="858"/>
      <c r="AF528" s="858"/>
      <c r="AG528" s="858"/>
      <c r="AH528" s="858"/>
      <c r="AI528" s="858"/>
      <c r="AJ528" s="858"/>
    </row>
    <row r="529" ht="15.75" customHeight="1">
      <c r="A529" s="28"/>
      <c r="B529" s="37" t="s">
        <v>20606</v>
      </c>
      <c r="C529" s="37" t="s">
        <v>20612</v>
      </c>
      <c r="D529" s="902" t="s">
        <v>20660</v>
      </c>
      <c r="E529" s="37" t="s">
        <v>13047</v>
      </c>
      <c r="F529" s="37" t="s">
        <v>29</v>
      </c>
      <c r="G529" s="37" t="s">
        <v>37</v>
      </c>
      <c r="H529" s="32"/>
      <c r="I529" s="37" t="s">
        <v>38</v>
      </c>
      <c r="J529" s="37">
        <v>448.0</v>
      </c>
      <c r="K529" s="900"/>
      <c r="L529" s="37" t="s">
        <v>5884</v>
      </c>
      <c r="M529" s="415" t="s">
        <v>20609</v>
      </c>
      <c r="N529" s="37">
        <v>1991.0</v>
      </c>
      <c r="O529" s="900"/>
      <c r="P529" s="37">
        <v>1.0</v>
      </c>
      <c r="Q529" s="37">
        <v>1.0</v>
      </c>
      <c r="R529" s="908"/>
      <c r="S529" s="858"/>
      <c r="T529" s="858"/>
      <c r="U529" s="858"/>
      <c r="V529" s="858"/>
      <c r="W529" s="858"/>
      <c r="X529" s="858"/>
      <c r="Y529" s="858"/>
      <c r="Z529" s="858"/>
      <c r="AA529" s="858"/>
      <c r="AB529" s="858"/>
      <c r="AC529" s="858"/>
      <c r="AD529" s="858"/>
      <c r="AE529" s="858"/>
      <c r="AF529" s="858"/>
      <c r="AG529" s="858"/>
      <c r="AH529" s="858"/>
      <c r="AI529" s="858"/>
      <c r="AJ529" s="858"/>
    </row>
    <row r="530" ht="15.75" customHeight="1">
      <c r="A530" s="28"/>
      <c r="B530" s="37" t="s">
        <v>20606</v>
      </c>
      <c r="C530" s="37" t="s">
        <v>20612</v>
      </c>
      <c r="D530" s="902" t="s">
        <v>20661</v>
      </c>
      <c r="E530" s="37" t="s">
        <v>13047</v>
      </c>
      <c r="F530" s="37" t="s">
        <v>29</v>
      </c>
      <c r="G530" s="37" t="s">
        <v>37</v>
      </c>
      <c r="H530" s="32"/>
      <c r="I530" s="37" t="s">
        <v>38</v>
      </c>
      <c r="J530" s="37">
        <v>112.0</v>
      </c>
      <c r="K530" s="900"/>
      <c r="L530" s="37" t="s">
        <v>5884</v>
      </c>
      <c r="M530" s="415" t="s">
        <v>20609</v>
      </c>
      <c r="N530" s="37">
        <v>1992.0</v>
      </c>
      <c r="O530" s="900"/>
      <c r="P530" s="37">
        <v>1.0</v>
      </c>
      <c r="Q530" s="37">
        <v>1.0</v>
      </c>
      <c r="R530" s="908"/>
      <c r="S530" s="858"/>
      <c r="T530" s="858"/>
      <c r="U530" s="858"/>
      <c r="V530" s="858"/>
      <c r="W530" s="858"/>
      <c r="X530" s="858"/>
      <c r="Y530" s="858"/>
      <c r="Z530" s="858"/>
      <c r="AA530" s="858"/>
      <c r="AB530" s="858"/>
      <c r="AC530" s="858"/>
      <c r="AD530" s="858"/>
      <c r="AE530" s="858"/>
      <c r="AF530" s="858"/>
      <c r="AG530" s="858"/>
      <c r="AH530" s="858"/>
      <c r="AI530" s="858"/>
      <c r="AJ530" s="858"/>
    </row>
    <row r="531" ht="15.75" customHeight="1">
      <c r="A531" s="28"/>
      <c r="B531" s="37" t="s">
        <v>20606</v>
      </c>
      <c r="C531" s="37" t="s">
        <v>20662</v>
      </c>
      <c r="D531" s="902" t="s">
        <v>20663</v>
      </c>
      <c r="E531" s="37" t="s">
        <v>13047</v>
      </c>
      <c r="F531" s="37" t="s">
        <v>29</v>
      </c>
      <c r="G531" s="37" t="s">
        <v>37</v>
      </c>
      <c r="H531" s="32"/>
      <c r="I531" s="37" t="s">
        <v>38</v>
      </c>
      <c r="J531" s="37">
        <v>336.0</v>
      </c>
      <c r="K531" s="900"/>
      <c r="L531" s="37" t="s">
        <v>20655</v>
      </c>
      <c r="M531" s="415" t="s">
        <v>20609</v>
      </c>
      <c r="N531" s="37">
        <v>1990.0</v>
      </c>
      <c r="O531" s="900"/>
      <c r="P531" s="37">
        <v>1.0</v>
      </c>
      <c r="Q531" s="37">
        <v>1.0</v>
      </c>
      <c r="R531" s="908"/>
      <c r="S531" s="858"/>
      <c r="T531" s="858"/>
      <c r="U531" s="858"/>
      <c r="V531" s="858"/>
      <c r="W531" s="858"/>
      <c r="X531" s="858"/>
      <c r="Y531" s="858"/>
      <c r="Z531" s="858"/>
      <c r="AA531" s="858"/>
      <c r="AB531" s="858"/>
      <c r="AC531" s="858"/>
      <c r="AD531" s="858"/>
      <c r="AE531" s="858"/>
      <c r="AF531" s="858"/>
      <c r="AG531" s="858"/>
      <c r="AH531" s="858"/>
      <c r="AI531" s="858"/>
      <c r="AJ531" s="858"/>
    </row>
    <row r="532" ht="15.75" customHeight="1">
      <c r="A532" s="28"/>
      <c r="B532" s="37" t="s">
        <v>20606</v>
      </c>
      <c r="C532" s="37" t="s">
        <v>20664</v>
      </c>
      <c r="D532" s="902" t="s">
        <v>20665</v>
      </c>
      <c r="E532" s="37" t="s">
        <v>13047</v>
      </c>
      <c r="F532" s="37" t="s">
        <v>29</v>
      </c>
      <c r="G532" s="37" t="s">
        <v>37</v>
      </c>
      <c r="H532" s="32"/>
      <c r="I532" s="37" t="s">
        <v>38</v>
      </c>
      <c r="J532" s="37">
        <v>448.0</v>
      </c>
      <c r="K532" s="900"/>
      <c r="L532" s="37" t="s">
        <v>20655</v>
      </c>
      <c r="M532" s="415" t="s">
        <v>20609</v>
      </c>
      <c r="N532" s="37">
        <v>1987.0</v>
      </c>
      <c r="O532" s="900"/>
      <c r="P532" s="37">
        <v>1.0</v>
      </c>
      <c r="Q532" s="37">
        <v>1.0</v>
      </c>
      <c r="R532" s="908"/>
      <c r="S532" s="858"/>
      <c r="T532" s="858"/>
      <c r="U532" s="858"/>
      <c r="V532" s="858"/>
      <c r="W532" s="858"/>
      <c r="X532" s="858"/>
      <c r="Y532" s="858"/>
      <c r="Z532" s="858"/>
      <c r="AA532" s="858"/>
      <c r="AB532" s="858"/>
      <c r="AC532" s="858"/>
      <c r="AD532" s="858"/>
      <c r="AE532" s="858"/>
      <c r="AF532" s="858"/>
      <c r="AG532" s="858"/>
      <c r="AH532" s="858"/>
      <c r="AI532" s="858"/>
      <c r="AJ532" s="858"/>
    </row>
    <row r="533" ht="15.75" customHeight="1">
      <c r="A533" s="28"/>
      <c r="B533" s="37" t="s">
        <v>20606</v>
      </c>
      <c r="C533" s="37" t="s">
        <v>20662</v>
      </c>
      <c r="D533" s="902" t="s">
        <v>20666</v>
      </c>
      <c r="E533" s="37" t="s">
        <v>13047</v>
      </c>
      <c r="F533" s="37" t="s">
        <v>29</v>
      </c>
      <c r="G533" s="37" t="s">
        <v>37</v>
      </c>
      <c r="H533" s="32"/>
      <c r="I533" s="37" t="s">
        <v>38</v>
      </c>
      <c r="J533" s="37">
        <v>112.0</v>
      </c>
      <c r="K533" s="900"/>
      <c r="L533" s="37" t="s">
        <v>20655</v>
      </c>
      <c r="M533" s="415" t="s">
        <v>20609</v>
      </c>
      <c r="N533" s="37">
        <v>1988.0</v>
      </c>
      <c r="O533" s="900"/>
      <c r="P533" s="37">
        <v>1.0</v>
      </c>
      <c r="Q533" s="37">
        <v>1.0</v>
      </c>
      <c r="R533" s="908"/>
      <c r="S533" s="858"/>
      <c r="T533" s="858"/>
      <c r="U533" s="858"/>
      <c r="V533" s="858"/>
      <c r="W533" s="858"/>
      <c r="X533" s="858"/>
      <c r="Y533" s="858"/>
      <c r="Z533" s="858"/>
      <c r="AA533" s="858"/>
      <c r="AB533" s="858"/>
      <c r="AC533" s="858"/>
      <c r="AD533" s="858"/>
      <c r="AE533" s="858"/>
      <c r="AF533" s="858"/>
      <c r="AG533" s="858"/>
      <c r="AH533" s="858"/>
      <c r="AI533" s="858"/>
      <c r="AJ533" s="858"/>
    </row>
    <row r="534" ht="15.75" customHeight="1">
      <c r="A534" s="28"/>
      <c r="B534" s="37" t="s">
        <v>20606</v>
      </c>
      <c r="C534" s="37" t="s">
        <v>20662</v>
      </c>
      <c r="D534" s="902" t="s">
        <v>20667</v>
      </c>
      <c r="E534" s="37" t="s">
        <v>13047</v>
      </c>
      <c r="F534" s="37" t="s">
        <v>29</v>
      </c>
      <c r="G534" s="37" t="s">
        <v>37</v>
      </c>
      <c r="H534" s="32"/>
      <c r="I534" s="37" t="s">
        <v>38</v>
      </c>
      <c r="J534" s="37">
        <v>224.0</v>
      </c>
      <c r="K534" s="900"/>
      <c r="L534" s="37" t="s">
        <v>20655</v>
      </c>
      <c r="M534" s="415" t="s">
        <v>20609</v>
      </c>
      <c r="N534" s="37">
        <v>1988.0</v>
      </c>
      <c r="O534" s="900"/>
      <c r="P534" s="37">
        <v>1.0</v>
      </c>
      <c r="Q534" s="37">
        <v>1.0</v>
      </c>
      <c r="R534" s="908"/>
      <c r="S534" s="858"/>
      <c r="T534" s="858"/>
      <c r="U534" s="858"/>
      <c r="V534" s="858"/>
      <c r="W534" s="858"/>
      <c r="X534" s="858"/>
      <c r="Y534" s="858"/>
      <c r="Z534" s="858"/>
      <c r="AA534" s="858"/>
      <c r="AB534" s="858"/>
      <c r="AC534" s="858"/>
      <c r="AD534" s="858"/>
      <c r="AE534" s="858"/>
      <c r="AF534" s="858"/>
      <c r="AG534" s="858"/>
      <c r="AH534" s="858"/>
      <c r="AI534" s="858"/>
      <c r="AJ534" s="858"/>
    </row>
    <row r="535" ht="15.75" customHeight="1">
      <c r="A535" s="28"/>
      <c r="B535" s="37" t="s">
        <v>20606</v>
      </c>
      <c r="C535" s="37" t="s">
        <v>20654</v>
      </c>
      <c r="D535" s="902" t="s">
        <v>20611</v>
      </c>
      <c r="E535" s="37" t="s">
        <v>13047</v>
      </c>
      <c r="F535" s="37" t="s">
        <v>29</v>
      </c>
      <c r="G535" s="37" t="s">
        <v>37</v>
      </c>
      <c r="H535" s="32"/>
      <c r="I535" s="37" t="s">
        <v>38</v>
      </c>
      <c r="J535" s="37">
        <v>336.0</v>
      </c>
      <c r="K535" s="900"/>
      <c r="L535" s="37" t="s">
        <v>20655</v>
      </c>
      <c r="M535" s="415" t="s">
        <v>20609</v>
      </c>
      <c r="N535" s="37">
        <v>1988.0</v>
      </c>
      <c r="O535" s="900"/>
      <c r="P535" s="37">
        <v>1.0</v>
      </c>
      <c r="Q535" s="37">
        <v>1.0</v>
      </c>
      <c r="R535" s="908"/>
      <c r="S535" s="858"/>
      <c r="T535" s="858"/>
      <c r="U535" s="858"/>
      <c r="V535" s="858"/>
      <c r="W535" s="858"/>
      <c r="X535" s="858"/>
      <c r="Y535" s="858"/>
      <c r="Z535" s="858"/>
      <c r="AA535" s="858"/>
      <c r="AB535" s="858"/>
      <c r="AC535" s="858"/>
      <c r="AD535" s="858"/>
      <c r="AE535" s="858"/>
      <c r="AF535" s="858"/>
      <c r="AG535" s="858"/>
      <c r="AH535" s="858"/>
      <c r="AI535" s="858"/>
      <c r="AJ535" s="858"/>
    </row>
    <row r="536" ht="15.75" customHeight="1">
      <c r="A536" s="28"/>
      <c r="B536" s="37" t="s">
        <v>20606</v>
      </c>
      <c r="C536" s="37" t="s">
        <v>20662</v>
      </c>
      <c r="D536" s="902" t="s">
        <v>20668</v>
      </c>
      <c r="E536" s="37" t="s">
        <v>13047</v>
      </c>
      <c r="F536" s="37" t="s">
        <v>29</v>
      </c>
      <c r="G536" s="37" t="s">
        <v>37</v>
      </c>
      <c r="H536" s="32"/>
      <c r="I536" s="37" t="s">
        <v>38</v>
      </c>
      <c r="J536" s="37">
        <v>448.0</v>
      </c>
      <c r="K536" s="900"/>
      <c r="L536" s="37" t="s">
        <v>20655</v>
      </c>
      <c r="M536" s="415" t="s">
        <v>20609</v>
      </c>
      <c r="N536" s="37">
        <v>1988.0</v>
      </c>
      <c r="O536" s="900"/>
      <c r="P536" s="37">
        <v>1.0</v>
      </c>
      <c r="Q536" s="37">
        <v>1.0</v>
      </c>
      <c r="R536" s="908"/>
      <c r="S536" s="858"/>
      <c r="T536" s="858"/>
      <c r="U536" s="858"/>
      <c r="V536" s="858"/>
      <c r="W536" s="858"/>
      <c r="X536" s="858"/>
      <c r="Y536" s="858"/>
      <c r="Z536" s="858"/>
      <c r="AA536" s="858"/>
      <c r="AB536" s="858"/>
      <c r="AC536" s="858"/>
      <c r="AD536" s="858"/>
      <c r="AE536" s="858"/>
      <c r="AF536" s="858"/>
      <c r="AG536" s="858"/>
      <c r="AH536" s="858"/>
      <c r="AI536" s="858"/>
      <c r="AJ536" s="858"/>
    </row>
    <row r="537" ht="15.75" customHeight="1">
      <c r="A537" s="28"/>
      <c r="B537" s="37" t="s">
        <v>20606</v>
      </c>
      <c r="C537" s="37" t="s">
        <v>20669</v>
      </c>
      <c r="D537" s="902" t="s">
        <v>20670</v>
      </c>
      <c r="E537" s="37" t="s">
        <v>13047</v>
      </c>
      <c r="F537" s="37" t="s">
        <v>29</v>
      </c>
      <c r="G537" s="37" t="s">
        <v>37</v>
      </c>
      <c r="H537" s="32"/>
      <c r="I537" s="37" t="s">
        <v>38</v>
      </c>
      <c r="J537" s="37">
        <v>112.0</v>
      </c>
      <c r="K537" s="900"/>
      <c r="L537" s="37" t="s">
        <v>20655</v>
      </c>
      <c r="M537" s="415" t="s">
        <v>20609</v>
      </c>
      <c r="N537" s="37">
        <v>1989.0</v>
      </c>
      <c r="O537" s="900"/>
      <c r="P537" s="37">
        <v>1.0</v>
      </c>
      <c r="Q537" s="37">
        <v>1.0</v>
      </c>
      <c r="R537" s="908"/>
      <c r="S537" s="858"/>
      <c r="T537" s="858"/>
      <c r="U537" s="858"/>
      <c r="V537" s="858"/>
      <c r="W537" s="858"/>
      <c r="X537" s="858"/>
      <c r="Y537" s="858"/>
      <c r="Z537" s="858"/>
      <c r="AA537" s="858"/>
      <c r="AB537" s="858"/>
      <c r="AC537" s="858"/>
      <c r="AD537" s="858"/>
      <c r="AE537" s="858"/>
      <c r="AF537" s="858"/>
      <c r="AG537" s="858"/>
      <c r="AH537" s="858"/>
      <c r="AI537" s="858"/>
      <c r="AJ537" s="858"/>
    </row>
    <row r="538" ht="15.75" customHeight="1">
      <c r="A538" s="28"/>
      <c r="B538" s="37" t="s">
        <v>20606</v>
      </c>
      <c r="C538" s="37" t="s">
        <v>20669</v>
      </c>
      <c r="D538" s="902" t="s">
        <v>20670</v>
      </c>
      <c r="E538" s="37" t="s">
        <v>13047</v>
      </c>
      <c r="F538" s="37" t="s">
        <v>29</v>
      </c>
      <c r="G538" s="37" t="s">
        <v>37</v>
      </c>
      <c r="H538" s="32"/>
      <c r="I538" s="37" t="s">
        <v>38</v>
      </c>
      <c r="J538" s="37">
        <v>224.0</v>
      </c>
      <c r="K538" s="900"/>
      <c r="L538" s="37" t="s">
        <v>20655</v>
      </c>
      <c r="M538" s="415" t="s">
        <v>20609</v>
      </c>
      <c r="N538" s="37">
        <v>1989.0</v>
      </c>
      <c r="O538" s="900"/>
      <c r="P538" s="37">
        <v>1.0</v>
      </c>
      <c r="Q538" s="37">
        <v>1.0</v>
      </c>
      <c r="R538" s="908"/>
      <c r="S538" s="858"/>
      <c r="T538" s="858"/>
      <c r="U538" s="858"/>
      <c r="V538" s="858"/>
      <c r="W538" s="858"/>
      <c r="X538" s="858"/>
      <c r="Y538" s="858"/>
      <c r="Z538" s="858"/>
      <c r="AA538" s="858"/>
      <c r="AB538" s="858"/>
      <c r="AC538" s="858"/>
      <c r="AD538" s="858"/>
      <c r="AE538" s="858"/>
      <c r="AF538" s="858"/>
      <c r="AG538" s="858"/>
      <c r="AH538" s="858"/>
      <c r="AI538" s="858"/>
      <c r="AJ538" s="858"/>
    </row>
    <row r="539" ht="15.75" customHeight="1">
      <c r="A539" s="28"/>
      <c r="B539" s="37" t="s">
        <v>20606</v>
      </c>
      <c r="C539" s="37" t="s">
        <v>20671</v>
      </c>
      <c r="D539" s="902" t="s">
        <v>20672</v>
      </c>
      <c r="E539" s="37" t="s">
        <v>13047</v>
      </c>
      <c r="F539" s="37" t="s">
        <v>29</v>
      </c>
      <c r="G539" s="37" t="s">
        <v>37</v>
      </c>
      <c r="H539" s="32"/>
      <c r="I539" s="37" t="s">
        <v>38</v>
      </c>
      <c r="J539" s="37">
        <v>224.0</v>
      </c>
      <c r="K539" s="900"/>
      <c r="L539" s="37" t="s">
        <v>20655</v>
      </c>
      <c r="M539" s="415" t="s">
        <v>20609</v>
      </c>
      <c r="N539" s="37">
        <v>1990.0</v>
      </c>
      <c r="O539" s="900"/>
      <c r="P539" s="37">
        <v>1.0</v>
      </c>
      <c r="Q539" s="37">
        <v>1.0</v>
      </c>
      <c r="R539" s="908"/>
      <c r="S539" s="858"/>
      <c r="T539" s="858"/>
      <c r="U539" s="858"/>
      <c r="V539" s="858"/>
      <c r="W539" s="858"/>
      <c r="X539" s="858"/>
      <c r="Y539" s="858"/>
      <c r="Z539" s="858"/>
      <c r="AA539" s="858"/>
      <c r="AB539" s="858"/>
      <c r="AC539" s="858"/>
      <c r="AD539" s="858"/>
      <c r="AE539" s="858"/>
      <c r="AF539" s="858"/>
      <c r="AG539" s="858"/>
      <c r="AH539" s="858"/>
      <c r="AI539" s="858"/>
      <c r="AJ539" s="858"/>
    </row>
    <row r="540" ht="15.75" customHeight="1">
      <c r="A540" s="28"/>
      <c r="B540" s="37" t="s">
        <v>20606</v>
      </c>
      <c r="C540" s="37" t="s">
        <v>20673</v>
      </c>
      <c r="D540" s="902" t="s">
        <v>20674</v>
      </c>
      <c r="E540" s="37" t="s">
        <v>13047</v>
      </c>
      <c r="F540" s="37" t="s">
        <v>29</v>
      </c>
      <c r="G540" s="37" t="s">
        <v>37</v>
      </c>
      <c r="H540" s="32"/>
      <c r="I540" s="37" t="s">
        <v>38</v>
      </c>
      <c r="J540" s="37">
        <v>448.0</v>
      </c>
      <c r="K540" s="900"/>
      <c r="L540" s="37" t="s">
        <v>20655</v>
      </c>
      <c r="M540" s="415" t="s">
        <v>20609</v>
      </c>
      <c r="N540" s="37">
        <v>1989.0</v>
      </c>
      <c r="O540" s="900"/>
      <c r="P540" s="37">
        <v>1.0</v>
      </c>
      <c r="Q540" s="37">
        <v>1.0</v>
      </c>
      <c r="R540" s="908"/>
      <c r="S540" s="858"/>
      <c r="T540" s="858"/>
      <c r="U540" s="858"/>
      <c r="V540" s="858"/>
      <c r="W540" s="858"/>
      <c r="X540" s="858"/>
      <c r="Y540" s="858"/>
      <c r="Z540" s="858"/>
      <c r="AA540" s="858"/>
      <c r="AB540" s="858"/>
      <c r="AC540" s="858"/>
      <c r="AD540" s="858"/>
      <c r="AE540" s="858"/>
      <c r="AF540" s="858"/>
      <c r="AG540" s="858"/>
      <c r="AH540" s="858"/>
      <c r="AI540" s="858"/>
      <c r="AJ540" s="858"/>
    </row>
    <row r="541" ht="15.75" customHeight="1">
      <c r="A541" s="576"/>
      <c r="B541" s="2"/>
      <c r="C541" s="2"/>
      <c r="D541" s="668"/>
      <c r="E541" s="2"/>
      <c r="F541" s="2"/>
      <c r="G541" s="2"/>
      <c r="H541" s="2"/>
      <c r="I541" s="2"/>
      <c r="J541" s="2"/>
      <c r="K541" s="2"/>
      <c r="L541" s="2"/>
      <c r="M541" s="667"/>
      <c r="N541" s="2"/>
      <c r="O541" s="2"/>
      <c r="P541" s="2">
        <f t="shared" ref="P541:Q541" si="8">sum(P6:P540)</f>
        <v>580</v>
      </c>
      <c r="Q541" s="857">
        <f t="shared" si="8"/>
        <v>550</v>
      </c>
      <c r="R541" s="858"/>
      <c r="S541" s="858"/>
      <c r="T541" s="858"/>
      <c r="U541" s="858"/>
      <c r="V541" s="858"/>
      <c r="W541" s="858"/>
      <c r="X541" s="858"/>
      <c r="Y541" s="858"/>
      <c r="Z541" s="858"/>
      <c r="AA541" s="858"/>
      <c r="AB541" s="858"/>
      <c r="AC541" s="858"/>
      <c r="AD541" s="858"/>
      <c r="AE541" s="858"/>
      <c r="AF541" s="858"/>
      <c r="AG541" s="858"/>
      <c r="AH541" s="858"/>
      <c r="AI541" s="858"/>
      <c r="AJ541" s="858"/>
    </row>
    <row r="542" ht="15.75" customHeight="1">
      <c r="A542" s="576"/>
      <c r="B542" s="2"/>
      <c r="C542" s="2"/>
      <c r="D542" s="668"/>
      <c r="E542" s="2"/>
      <c r="F542" s="2"/>
      <c r="G542" s="2"/>
      <c r="H542" s="2"/>
      <c r="I542" s="2"/>
      <c r="J542" s="2"/>
      <c r="K542" s="2"/>
      <c r="L542" s="2"/>
      <c r="M542" s="667"/>
      <c r="N542" s="2"/>
      <c r="O542" s="2"/>
      <c r="P542" s="2"/>
      <c r="Q542" s="857"/>
      <c r="R542" s="858"/>
      <c r="S542" s="858"/>
      <c r="T542" s="858"/>
      <c r="U542" s="858"/>
      <c r="V542" s="858"/>
      <c r="W542" s="858"/>
      <c r="X542" s="858"/>
      <c r="Y542" s="858"/>
      <c r="Z542" s="858"/>
      <c r="AA542" s="858"/>
      <c r="AB542" s="858"/>
      <c r="AC542" s="858"/>
      <c r="AD542" s="858"/>
      <c r="AE542" s="858"/>
      <c r="AF542" s="858"/>
      <c r="AG542" s="858"/>
      <c r="AH542" s="858"/>
      <c r="AI542" s="858"/>
      <c r="AJ542" s="858"/>
    </row>
    <row r="543" ht="15.75" customHeight="1">
      <c r="A543" s="576"/>
      <c r="B543" s="2"/>
      <c r="C543" s="2"/>
      <c r="D543" s="668"/>
      <c r="E543" s="2"/>
      <c r="F543" s="2"/>
      <c r="G543" s="2"/>
      <c r="H543" s="2"/>
      <c r="I543" s="2"/>
      <c r="J543" s="2"/>
      <c r="K543" s="2"/>
      <c r="L543" s="2"/>
      <c r="M543" s="667"/>
      <c r="N543" s="2"/>
      <c r="O543" s="2"/>
      <c r="P543" s="2"/>
      <c r="Q543" s="857"/>
      <c r="R543" s="858"/>
      <c r="S543" s="858"/>
      <c r="T543" s="858"/>
      <c r="U543" s="858"/>
      <c r="V543" s="858"/>
      <c r="W543" s="858"/>
      <c r="X543" s="858"/>
      <c r="Y543" s="858"/>
      <c r="Z543" s="858"/>
      <c r="AA543" s="858"/>
      <c r="AB543" s="858"/>
      <c r="AC543" s="858"/>
      <c r="AD543" s="858"/>
      <c r="AE543" s="858"/>
      <c r="AF543" s="858"/>
      <c r="AG543" s="858"/>
      <c r="AH543" s="858"/>
      <c r="AI543" s="858"/>
      <c r="AJ543" s="858"/>
    </row>
    <row r="544" ht="15.75" customHeight="1">
      <c r="A544" s="576"/>
      <c r="B544" s="2"/>
      <c r="C544" s="2"/>
      <c r="D544" s="668"/>
      <c r="E544" s="2"/>
      <c r="F544" s="2"/>
      <c r="G544" s="2"/>
      <c r="H544" s="2"/>
      <c r="I544" s="2"/>
      <c r="J544" s="2"/>
      <c r="K544" s="2"/>
      <c r="L544" s="2"/>
      <c r="M544" s="667"/>
      <c r="N544" s="2"/>
      <c r="O544" s="2"/>
      <c r="P544" s="2"/>
      <c r="Q544" s="857"/>
      <c r="R544" s="858"/>
      <c r="S544" s="858"/>
      <c r="T544" s="858"/>
      <c r="U544" s="858"/>
      <c r="V544" s="858"/>
      <c r="W544" s="858"/>
      <c r="X544" s="858"/>
      <c r="Y544" s="858"/>
      <c r="Z544" s="858"/>
      <c r="AA544" s="858"/>
      <c r="AB544" s="858"/>
      <c r="AC544" s="858"/>
      <c r="AD544" s="858"/>
      <c r="AE544" s="858"/>
      <c r="AF544" s="858"/>
      <c r="AG544" s="858"/>
      <c r="AH544" s="858"/>
      <c r="AI544" s="858"/>
      <c r="AJ544" s="858"/>
    </row>
    <row r="545" ht="15.75" customHeight="1">
      <c r="A545" s="576"/>
      <c r="B545" s="2"/>
      <c r="C545" s="2"/>
      <c r="D545" s="668"/>
      <c r="E545" s="2"/>
      <c r="F545" s="2"/>
      <c r="G545" s="2"/>
      <c r="H545" s="2"/>
      <c r="I545" s="2"/>
      <c r="J545" s="2"/>
      <c r="K545" s="2"/>
      <c r="L545" s="2"/>
      <c r="M545" s="667"/>
      <c r="N545" s="2"/>
      <c r="O545" s="2"/>
      <c r="P545" s="2"/>
      <c r="Q545" s="857"/>
      <c r="R545" s="858"/>
      <c r="S545" s="858"/>
      <c r="T545" s="858"/>
      <c r="U545" s="858"/>
      <c r="V545" s="858"/>
      <c r="W545" s="858"/>
      <c r="X545" s="858"/>
      <c r="Y545" s="858"/>
      <c r="Z545" s="858"/>
      <c r="AA545" s="858"/>
      <c r="AB545" s="858"/>
      <c r="AC545" s="858"/>
      <c r="AD545" s="858"/>
      <c r="AE545" s="858"/>
      <c r="AF545" s="858"/>
      <c r="AG545" s="858"/>
      <c r="AH545" s="858"/>
      <c r="AI545" s="858"/>
      <c r="AJ545" s="858"/>
    </row>
    <row r="546" ht="15.75" customHeight="1">
      <c r="A546" s="576"/>
      <c r="B546" s="2"/>
      <c r="C546" s="2"/>
      <c r="D546" s="668"/>
      <c r="E546" s="2"/>
      <c r="F546" s="2"/>
      <c r="G546" s="2"/>
      <c r="H546" s="2"/>
      <c r="I546" s="2"/>
      <c r="J546" s="2"/>
      <c r="K546" s="2"/>
      <c r="L546" s="2"/>
      <c r="M546" s="667"/>
      <c r="N546" s="2"/>
      <c r="O546" s="2"/>
      <c r="P546" s="2"/>
      <c r="Q546" s="857"/>
      <c r="R546" s="858"/>
      <c r="S546" s="858"/>
      <c r="T546" s="858"/>
      <c r="U546" s="858"/>
      <c r="V546" s="858"/>
      <c r="W546" s="858"/>
      <c r="X546" s="858"/>
      <c r="Y546" s="858"/>
      <c r="Z546" s="858"/>
      <c r="AA546" s="858"/>
      <c r="AB546" s="858"/>
      <c r="AC546" s="858"/>
      <c r="AD546" s="858"/>
      <c r="AE546" s="858"/>
      <c r="AF546" s="858"/>
      <c r="AG546" s="858"/>
      <c r="AH546" s="858"/>
      <c r="AI546" s="858"/>
      <c r="AJ546" s="858"/>
    </row>
    <row r="547" ht="15.75" customHeight="1">
      <c r="A547" s="576"/>
      <c r="B547" s="2"/>
      <c r="C547" s="2"/>
      <c r="D547" s="668"/>
      <c r="E547" s="2"/>
      <c r="F547" s="2"/>
      <c r="G547" s="2"/>
      <c r="H547" s="2"/>
      <c r="I547" s="2"/>
      <c r="J547" s="2"/>
      <c r="K547" s="2"/>
      <c r="L547" s="2"/>
      <c r="M547" s="667"/>
      <c r="N547" s="2"/>
      <c r="O547" s="2"/>
      <c r="P547" s="2"/>
      <c r="Q547" s="857"/>
      <c r="R547" s="858"/>
      <c r="S547" s="858"/>
      <c r="T547" s="858"/>
      <c r="U547" s="858"/>
      <c r="V547" s="858"/>
      <c r="W547" s="858"/>
      <c r="X547" s="858"/>
      <c r="Y547" s="858"/>
      <c r="Z547" s="858"/>
      <c r="AA547" s="858"/>
      <c r="AB547" s="858"/>
      <c r="AC547" s="858"/>
      <c r="AD547" s="858"/>
      <c r="AE547" s="858"/>
      <c r="AF547" s="858"/>
      <c r="AG547" s="858"/>
      <c r="AH547" s="858"/>
      <c r="AI547" s="858"/>
      <c r="AJ547" s="858"/>
    </row>
    <row r="548" ht="15.75" customHeight="1">
      <c r="A548" s="576"/>
      <c r="B548" s="2"/>
      <c r="C548" s="2"/>
      <c r="D548" s="668"/>
      <c r="E548" s="2"/>
      <c r="F548" s="2"/>
      <c r="G548" s="2"/>
      <c r="H548" s="2"/>
      <c r="I548" s="2"/>
      <c r="J548" s="2"/>
      <c r="K548" s="2"/>
      <c r="L548" s="2"/>
      <c r="M548" s="667"/>
      <c r="N548" s="2"/>
      <c r="O548" s="2"/>
      <c r="P548" s="2"/>
      <c r="Q548" s="857"/>
      <c r="R548" s="858"/>
      <c r="S548" s="858"/>
      <c r="T548" s="858"/>
      <c r="U548" s="858"/>
      <c r="V548" s="858"/>
      <c r="W548" s="858"/>
      <c r="X548" s="858"/>
      <c r="Y548" s="858"/>
      <c r="Z548" s="858"/>
      <c r="AA548" s="858"/>
      <c r="AB548" s="858"/>
      <c r="AC548" s="858"/>
      <c r="AD548" s="858"/>
      <c r="AE548" s="858"/>
      <c r="AF548" s="858"/>
      <c r="AG548" s="858"/>
      <c r="AH548" s="858"/>
      <c r="AI548" s="858"/>
      <c r="AJ548" s="858"/>
    </row>
    <row r="549" ht="15.75" customHeight="1">
      <c r="A549" s="576"/>
      <c r="B549" s="2"/>
      <c r="C549" s="2"/>
      <c r="D549" s="668"/>
      <c r="E549" s="2"/>
      <c r="F549" s="2"/>
      <c r="G549" s="2"/>
      <c r="H549" s="2"/>
      <c r="I549" s="2"/>
      <c r="J549" s="2"/>
      <c r="K549" s="2"/>
      <c r="L549" s="2"/>
      <c r="M549" s="667"/>
      <c r="N549" s="2"/>
      <c r="O549" s="2"/>
      <c r="P549" s="2"/>
      <c r="Q549" s="857"/>
      <c r="R549" s="858"/>
      <c r="S549" s="858"/>
      <c r="T549" s="858"/>
      <c r="U549" s="858"/>
      <c r="V549" s="858"/>
      <c r="W549" s="858"/>
      <c r="X549" s="858"/>
      <c r="Y549" s="858"/>
      <c r="Z549" s="858"/>
      <c r="AA549" s="858"/>
      <c r="AB549" s="858"/>
      <c r="AC549" s="858"/>
      <c r="AD549" s="858"/>
      <c r="AE549" s="858"/>
      <c r="AF549" s="858"/>
      <c r="AG549" s="858"/>
      <c r="AH549" s="858"/>
      <c r="AI549" s="858"/>
      <c r="AJ549" s="858"/>
    </row>
    <row r="550" ht="15.75" customHeight="1">
      <c r="A550" s="576"/>
      <c r="B550" s="2"/>
      <c r="C550" s="2"/>
      <c r="D550" s="668"/>
      <c r="E550" s="2"/>
      <c r="F550" s="2"/>
      <c r="G550" s="2"/>
      <c r="H550" s="2"/>
      <c r="I550" s="2"/>
      <c r="J550" s="2"/>
      <c r="K550" s="2"/>
      <c r="L550" s="2"/>
      <c r="M550" s="667"/>
      <c r="N550" s="2"/>
      <c r="O550" s="2"/>
      <c r="P550" s="2"/>
      <c r="Q550" s="857"/>
      <c r="R550" s="858"/>
      <c r="S550" s="858"/>
      <c r="T550" s="858"/>
      <c r="U550" s="858"/>
      <c r="V550" s="858"/>
      <c r="W550" s="858"/>
      <c r="X550" s="858"/>
      <c r="Y550" s="858"/>
      <c r="Z550" s="858"/>
      <c r="AA550" s="858"/>
      <c r="AB550" s="858"/>
      <c r="AC550" s="858"/>
      <c r="AD550" s="858"/>
      <c r="AE550" s="858"/>
      <c r="AF550" s="858"/>
      <c r="AG550" s="858"/>
      <c r="AH550" s="858"/>
      <c r="AI550" s="858"/>
      <c r="AJ550" s="858"/>
    </row>
    <row r="551" ht="15.75" customHeight="1">
      <c r="A551" s="576"/>
      <c r="B551" s="2"/>
      <c r="C551" s="2"/>
      <c r="D551" s="668"/>
      <c r="E551" s="2"/>
      <c r="F551" s="2"/>
      <c r="G551" s="2"/>
      <c r="H551" s="2"/>
      <c r="I551" s="2"/>
      <c r="J551" s="2"/>
      <c r="K551" s="2"/>
      <c r="L551" s="2"/>
      <c r="M551" s="667"/>
      <c r="N551" s="2"/>
      <c r="O551" s="2"/>
      <c r="P551" s="2"/>
      <c r="Q551" s="857"/>
      <c r="R551" s="858"/>
      <c r="S551" s="858"/>
      <c r="T551" s="858"/>
      <c r="U551" s="858"/>
      <c r="V551" s="858"/>
      <c r="W551" s="858"/>
      <c r="X551" s="858"/>
      <c r="Y551" s="858"/>
      <c r="Z551" s="858"/>
      <c r="AA551" s="858"/>
      <c r="AB551" s="858"/>
      <c r="AC551" s="858"/>
      <c r="AD551" s="858"/>
      <c r="AE551" s="858"/>
      <c r="AF551" s="858"/>
      <c r="AG551" s="858"/>
      <c r="AH551" s="858"/>
      <c r="AI551" s="858"/>
      <c r="AJ551" s="858"/>
    </row>
    <row r="552" ht="15.75" customHeight="1">
      <c r="A552" s="576"/>
      <c r="B552" s="2"/>
      <c r="C552" s="2"/>
      <c r="D552" s="668"/>
      <c r="E552" s="2"/>
      <c r="F552" s="2"/>
      <c r="G552" s="2"/>
      <c r="H552" s="2"/>
      <c r="I552" s="2"/>
      <c r="J552" s="2"/>
      <c r="K552" s="2"/>
      <c r="L552" s="2"/>
      <c r="M552" s="667"/>
      <c r="N552" s="2"/>
      <c r="O552" s="2"/>
      <c r="P552" s="2"/>
      <c r="Q552" s="857"/>
      <c r="R552" s="858"/>
      <c r="S552" s="858"/>
      <c r="T552" s="858"/>
      <c r="U552" s="858"/>
      <c r="V552" s="858"/>
      <c r="W552" s="858"/>
      <c r="X552" s="858"/>
      <c r="Y552" s="858"/>
      <c r="Z552" s="858"/>
      <c r="AA552" s="858"/>
      <c r="AB552" s="858"/>
      <c r="AC552" s="858"/>
      <c r="AD552" s="858"/>
      <c r="AE552" s="858"/>
      <c r="AF552" s="858"/>
      <c r="AG552" s="858"/>
      <c r="AH552" s="858"/>
      <c r="AI552" s="858"/>
      <c r="AJ552" s="858"/>
    </row>
    <row r="553" ht="15.75" customHeight="1">
      <c r="A553" s="576"/>
      <c r="B553" s="2"/>
      <c r="C553" s="2"/>
      <c r="D553" s="668"/>
      <c r="E553" s="2"/>
      <c r="F553" s="2"/>
      <c r="G553" s="2"/>
      <c r="H553" s="2"/>
      <c r="I553" s="2"/>
      <c r="J553" s="2"/>
      <c r="K553" s="2"/>
      <c r="L553" s="2"/>
      <c r="M553" s="667"/>
      <c r="N553" s="2"/>
      <c r="O553" s="2"/>
      <c r="P553" s="2"/>
      <c r="Q553" s="857"/>
      <c r="R553" s="858"/>
      <c r="S553" s="858"/>
      <c r="T553" s="858"/>
      <c r="U553" s="858"/>
      <c r="V553" s="858"/>
      <c r="W553" s="858"/>
      <c r="X553" s="858"/>
      <c r="Y553" s="858"/>
      <c r="Z553" s="858"/>
      <c r="AA553" s="858"/>
      <c r="AB553" s="858"/>
      <c r="AC553" s="858"/>
      <c r="AD553" s="858"/>
      <c r="AE553" s="858"/>
      <c r="AF553" s="858"/>
      <c r="AG553" s="858"/>
      <c r="AH553" s="858"/>
      <c r="AI553" s="858"/>
      <c r="AJ553" s="858"/>
    </row>
    <row r="554" ht="15.75" customHeight="1">
      <c r="A554" s="576"/>
      <c r="B554" s="2"/>
      <c r="C554" s="2"/>
      <c r="D554" s="668"/>
      <c r="E554" s="2"/>
      <c r="F554" s="2"/>
      <c r="G554" s="2"/>
      <c r="H554" s="2"/>
      <c r="I554" s="2"/>
      <c r="J554" s="2"/>
      <c r="K554" s="2"/>
      <c r="L554" s="2"/>
      <c r="M554" s="667"/>
      <c r="N554" s="2"/>
      <c r="O554" s="2"/>
      <c r="P554" s="2"/>
      <c r="Q554" s="857"/>
      <c r="R554" s="858"/>
      <c r="S554" s="858"/>
      <c r="T554" s="858"/>
      <c r="U554" s="858"/>
      <c r="V554" s="858"/>
      <c r="W554" s="858"/>
      <c r="X554" s="858"/>
      <c r="Y554" s="858"/>
      <c r="Z554" s="858"/>
      <c r="AA554" s="858"/>
      <c r="AB554" s="858"/>
      <c r="AC554" s="858"/>
      <c r="AD554" s="858"/>
      <c r="AE554" s="858"/>
      <c r="AF554" s="858"/>
      <c r="AG554" s="858"/>
      <c r="AH554" s="858"/>
      <c r="AI554" s="858"/>
      <c r="AJ554" s="858"/>
    </row>
    <row r="555" ht="15.75" customHeight="1">
      <c r="A555" s="576"/>
      <c r="B555" s="2"/>
      <c r="C555" s="2"/>
      <c r="D555" s="668"/>
      <c r="E555" s="2"/>
      <c r="F555" s="2"/>
      <c r="G555" s="2"/>
      <c r="H555" s="2"/>
      <c r="I555" s="2"/>
      <c r="J555" s="2"/>
      <c r="K555" s="2"/>
      <c r="L555" s="2"/>
      <c r="M555" s="667"/>
      <c r="N555" s="2"/>
      <c r="O555" s="2"/>
      <c r="P555" s="2"/>
      <c r="Q555" s="857"/>
      <c r="R555" s="858"/>
      <c r="S555" s="858"/>
      <c r="T555" s="858"/>
      <c r="U555" s="858"/>
      <c r="V555" s="858"/>
      <c r="W555" s="858"/>
      <c r="X555" s="858"/>
      <c r="Y555" s="858"/>
      <c r="Z555" s="858"/>
      <c r="AA555" s="858"/>
      <c r="AB555" s="858"/>
      <c r="AC555" s="858"/>
      <c r="AD555" s="858"/>
      <c r="AE555" s="858"/>
      <c r="AF555" s="858"/>
      <c r="AG555" s="858"/>
      <c r="AH555" s="858"/>
      <c r="AI555" s="858"/>
      <c r="AJ555" s="858"/>
    </row>
    <row r="556" ht="15.75" customHeight="1">
      <c r="A556" s="576"/>
      <c r="B556" s="2"/>
      <c r="C556" s="2"/>
      <c r="D556" s="668"/>
      <c r="E556" s="2"/>
      <c r="F556" s="2"/>
      <c r="G556" s="2"/>
      <c r="H556" s="2"/>
      <c r="I556" s="2"/>
      <c r="J556" s="2"/>
      <c r="K556" s="2"/>
      <c r="L556" s="2"/>
      <c r="M556" s="667"/>
      <c r="N556" s="2"/>
      <c r="O556" s="2"/>
      <c r="P556" s="2"/>
      <c r="Q556" s="857"/>
      <c r="R556" s="858"/>
      <c r="S556" s="858"/>
      <c r="T556" s="858"/>
      <c r="U556" s="858"/>
      <c r="V556" s="858"/>
      <c r="W556" s="858"/>
      <c r="X556" s="858"/>
      <c r="Y556" s="858"/>
      <c r="Z556" s="858"/>
      <c r="AA556" s="858"/>
      <c r="AB556" s="858"/>
      <c r="AC556" s="858"/>
      <c r="AD556" s="858"/>
      <c r="AE556" s="858"/>
      <c r="AF556" s="858"/>
      <c r="AG556" s="858"/>
      <c r="AH556" s="858"/>
      <c r="AI556" s="858"/>
      <c r="AJ556" s="858"/>
    </row>
    <row r="557" ht="15.75" customHeight="1">
      <c r="A557" s="576"/>
      <c r="B557" s="2"/>
      <c r="C557" s="2"/>
      <c r="D557" s="668"/>
      <c r="E557" s="2"/>
      <c r="F557" s="2"/>
      <c r="G557" s="2"/>
      <c r="H557" s="2"/>
      <c r="I557" s="2"/>
      <c r="J557" s="2"/>
      <c r="K557" s="2"/>
      <c r="L557" s="2"/>
      <c r="M557" s="667"/>
      <c r="N557" s="2"/>
      <c r="O557" s="2"/>
      <c r="P557" s="2"/>
      <c r="Q557" s="857"/>
      <c r="R557" s="858"/>
      <c r="S557" s="858"/>
      <c r="T557" s="858"/>
      <c r="U557" s="858"/>
      <c r="V557" s="858"/>
      <c r="W557" s="858"/>
      <c r="X557" s="858"/>
      <c r="Y557" s="858"/>
      <c r="Z557" s="858"/>
      <c r="AA557" s="858"/>
      <c r="AB557" s="858"/>
      <c r="AC557" s="858"/>
      <c r="AD557" s="858"/>
      <c r="AE557" s="858"/>
      <c r="AF557" s="858"/>
      <c r="AG557" s="858"/>
      <c r="AH557" s="858"/>
      <c r="AI557" s="858"/>
      <c r="AJ557" s="858"/>
    </row>
    <row r="558" ht="15.75" customHeight="1">
      <c r="A558" s="576"/>
      <c r="B558" s="2"/>
      <c r="C558" s="2"/>
      <c r="D558" s="668"/>
      <c r="E558" s="2"/>
      <c r="F558" s="2"/>
      <c r="G558" s="2"/>
      <c r="H558" s="2"/>
      <c r="I558" s="2"/>
      <c r="J558" s="2"/>
      <c r="K558" s="2"/>
      <c r="L558" s="2"/>
      <c r="M558" s="667"/>
      <c r="N558" s="2"/>
      <c r="O558" s="2"/>
      <c r="P558" s="2"/>
      <c r="Q558" s="857"/>
      <c r="R558" s="858"/>
      <c r="S558" s="858"/>
      <c r="T558" s="858"/>
      <c r="U558" s="858"/>
      <c r="V558" s="858"/>
      <c r="W558" s="858"/>
      <c r="X558" s="858"/>
      <c r="Y558" s="858"/>
      <c r="Z558" s="858"/>
      <c r="AA558" s="858"/>
      <c r="AB558" s="858"/>
      <c r="AC558" s="858"/>
      <c r="AD558" s="858"/>
      <c r="AE558" s="858"/>
      <c r="AF558" s="858"/>
      <c r="AG558" s="858"/>
      <c r="AH558" s="858"/>
      <c r="AI558" s="858"/>
      <c r="AJ558" s="858"/>
    </row>
    <row r="559" ht="15.75" customHeight="1">
      <c r="A559" s="576"/>
      <c r="B559" s="2"/>
      <c r="C559" s="2"/>
      <c r="D559" s="668"/>
      <c r="E559" s="2"/>
      <c r="F559" s="2"/>
      <c r="G559" s="2"/>
      <c r="H559" s="2"/>
      <c r="I559" s="2"/>
      <c r="J559" s="2"/>
      <c r="K559" s="2"/>
      <c r="L559" s="2"/>
      <c r="M559" s="667"/>
      <c r="N559" s="2"/>
      <c r="O559" s="2"/>
      <c r="P559" s="2"/>
      <c r="Q559" s="857"/>
      <c r="R559" s="858"/>
      <c r="S559" s="858"/>
      <c r="T559" s="858"/>
      <c r="U559" s="858"/>
      <c r="V559" s="858"/>
      <c r="W559" s="858"/>
      <c r="X559" s="858"/>
      <c r="Y559" s="858"/>
      <c r="Z559" s="858"/>
      <c r="AA559" s="858"/>
      <c r="AB559" s="858"/>
      <c r="AC559" s="858"/>
      <c r="AD559" s="858"/>
      <c r="AE559" s="858"/>
      <c r="AF559" s="858"/>
      <c r="AG559" s="858"/>
      <c r="AH559" s="858"/>
      <c r="AI559" s="858"/>
      <c r="AJ559" s="858"/>
    </row>
    <row r="560" ht="15.75" customHeight="1">
      <c r="A560" s="576"/>
      <c r="B560" s="2"/>
      <c r="C560" s="2"/>
      <c r="D560" s="668"/>
      <c r="E560" s="2"/>
      <c r="F560" s="2"/>
      <c r="G560" s="2"/>
      <c r="H560" s="2"/>
      <c r="I560" s="2"/>
      <c r="J560" s="2"/>
      <c r="K560" s="2"/>
      <c r="L560" s="2"/>
      <c r="M560" s="667"/>
      <c r="N560" s="2"/>
      <c r="O560" s="2"/>
      <c r="P560" s="2"/>
      <c r="Q560" s="857"/>
      <c r="R560" s="858"/>
      <c r="S560" s="858"/>
      <c r="T560" s="858"/>
      <c r="U560" s="858"/>
      <c r="V560" s="858"/>
      <c r="W560" s="858"/>
      <c r="X560" s="858"/>
      <c r="Y560" s="858"/>
      <c r="Z560" s="858"/>
      <c r="AA560" s="858"/>
      <c r="AB560" s="858"/>
      <c r="AC560" s="858"/>
      <c r="AD560" s="858"/>
      <c r="AE560" s="858"/>
      <c r="AF560" s="858"/>
      <c r="AG560" s="858"/>
      <c r="AH560" s="858"/>
      <c r="AI560" s="858"/>
      <c r="AJ560" s="858"/>
    </row>
    <row r="561" ht="15.75" customHeight="1">
      <c r="A561" s="576"/>
      <c r="B561" s="2"/>
      <c r="C561" s="2"/>
      <c r="D561" s="668"/>
      <c r="E561" s="2"/>
      <c r="F561" s="2"/>
      <c r="G561" s="2"/>
      <c r="H561" s="2"/>
      <c r="I561" s="2"/>
      <c r="J561" s="2"/>
      <c r="K561" s="2"/>
      <c r="L561" s="2"/>
      <c r="M561" s="667"/>
      <c r="N561" s="2"/>
      <c r="O561" s="2"/>
      <c r="P561" s="2"/>
      <c r="Q561" s="857"/>
      <c r="R561" s="858"/>
      <c r="S561" s="858"/>
      <c r="T561" s="858"/>
      <c r="U561" s="858"/>
      <c r="V561" s="858"/>
      <c r="W561" s="858"/>
      <c r="X561" s="858"/>
      <c r="Y561" s="858"/>
      <c r="Z561" s="858"/>
      <c r="AA561" s="858"/>
      <c r="AB561" s="858"/>
      <c r="AC561" s="858"/>
      <c r="AD561" s="858"/>
      <c r="AE561" s="858"/>
      <c r="AF561" s="858"/>
      <c r="AG561" s="858"/>
      <c r="AH561" s="858"/>
      <c r="AI561" s="858"/>
      <c r="AJ561" s="858"/>
    </row>
    <row r="562" ht="15.75" customHeight="1">
      <c r="A562" s="576"/>
      <c r="B562" s="2"/>
      <c r="C562" s="2"/>
      <c r="D562" s="668"/>
      <c r="E562" s="2"/>
      <c r="F562" s="2"/>
      <c r="G562" s="2"/>
      <c r="H562" s="2"/>
      <c r="I562" s="2"/>
      <c r="J562" s="2"/>
      <c r="K562" s="2"/>
      <c r="L562" s="2"/>
      <c r="M562" s="667"/>
      <c r="N562" s="2"/>
      <c r="O562" s="2"/>
      <c r="P562" s="2"/>
      <c r="Q562" s="857"/>
      <c r="R562" s="858"/>
      <c r="S562" s="858"/>
      <c r="T562" s="858"/>
      <c r="U562" s="858"/>
      <c r="V562" s="858"/>
      <c r="W562" s="858"/>
      <c r="X562" s="858"/>
      <c r="Y562" s="858"/>
      <c r="Z562" s="858"/>
      <c r="AA562" s="858"/>
      <c r="AB562" s="858"/>
      <c r="AC562" s="858"/>
      <c r="AD562" s="858"/>
      <c r="AE562" s="858"/>
      <c r="AF562" s="858"/>
      <c r="AG562" s="858"/>
      <c r="AH562" s="858"/>
      <c r="AI562" s="858"/>
      <c r="AJ562" s="858"/>
    </row>
    <row r="563" ht="15.75" customHeight="1">
      <c r="A563" s="576"/>
      <c r="B563" s="2"/>
      <c r="C563" s="2"/>
      <c r="D563" s="668"/>
      <c r="E563" s="2"/>
      <c r="F563" s="2"/>
      <c r="G563" s="2"/>
      <c r="H563" s="2"/>
      <c r="I563" s="2"/>
      <c r="J563" s="2"/>
      <c r="K563" s="2"/>
      <c r="L563" s="2"/>
      <c r="M563" s="667"/>
      <c r="N563" s="2"/>
      <c r="O563" s="2"/>
      <c r="P563" s="2"/>
      <c r="Q563" s="857"/>
      <c r="R563" s="858"/>
      <c r="S563" s="858"/>
      <c r="T563" s="858"/>
      <c r="U563" s="858"/>
      <c r="V563" s="858"/>
      <c r="W563" s="858"/>
      <c r="X563" s="858"/>
      <c r="Y563" s="858"/>
      <c r="Z563" s="858"/>
      <c r="AA563" s="858"/>
      <c r="AB563" s="858"/>
      <c r="AC563" s="858"/>
      <c r="AD563" s="858"/>
      <c r="AE563" s="858"/>
      <c r="AF563" s="858"/>
      <c r="AG563" s="858"/>
      <c r="AH563" s="858"/>
      <c r="AI563" s="858"/>
      <c r="AJ563" s="858"/>
    </row>
    <row r="564" ht="15.75" customHeight="1">
      <c r="A564" s="576"/>
      <c r="B564" s="2"/>
      <c r="C564" s="2"/>
      <c r="D564" s="668"/>
      <c r="E564" s="2"/>
      <c r="F564" s="2"/>
      <c r="G564" s="2"/>
      <c r="H564" s="2"/>
      <c r="I564" s="2"/>
      <c r="J564" s="2"/>
      <c r="K564" s="2"/>
      <c r="L564" s="2"/>
      <c r="M564" s="667"/>
      <c r="N564" s="2"/>
      <c r="O564" s="2"/>
      <c r="P564" s="2"/>
      <c r="Q564" s="857"/>
      <c r="R564" s="858"/>
      <c r="S564" s="858"/>
      <c r="T564" s="858"/>
      <c r="U564" s="858"/>
      <c r="V564" s="858"/>
      <c r="W564" s="858"/>
      <c r="X564" s="858"/>
      <c r="Y564" s="858"/>
      <c r="Z564" s="858"/>
      <c r="AA564" s="858"/>
      <c r="AB564" s="858"/>
      <c r="AC564" s="858"/>
      <c r="AD564" s="858"/>
      <c r="AE564" s="858"/>
      <c r="AF564" s="858"/>
      <c r="AG564" s="858"/>
      <c r="AH564" s="858"/>
      <c r="AI564" s="858"/>
      <c r="AJ564" s="858"/>
    </row>
    <row r="565" ht="15.75" customHeight="1">
      <c r="A565" s="576"/>
      <c r="B565" s="2"/>
      <c r="C565" s="2"/>
      <c r="D565" s="668"/>
      <c r="E565" s="2"/>
      <c r="F565" s="2"/>
      <c r="G565" s="2"/>
      <c r="H565" s="2"/>
      <c r="I565" s="2"/>
      <c r="J565" s="2"/>
      <c r="K565" s="2"/>
      <c r="L565" s="2"/>
      <c r="M565" s="667"/>
      <c r="N565" s="2"/>
      <c r="O565" s="2"/>
      <c r="P565" s="2"/>
      <c r="Q565" s="857"/>
      <c r="R565" s="858"/>
      <c r="S565" s="858"/>
      <c r="T565" s="858"/>
      <c r="U565" s="858"/>
      <c r="V565" s="858"/>
      <c r="W565" s="858"/>
      <c r="X565" s="858"/>
      <c r="Y565" s="858"/>
      <c r="Z565" s="858"/>
      <c r="AA565" s="858"/>
      <c r="AB565" s="858"/>
      <c r="AC565" s="858"/>
      <c r="AD565" s="858"/>
      <c r="AE565" s="858"/>
      <c r="AF565" s="858"/>
      <c r="AG565" s="858"/>
      <c r="AH565" s="858"/>
      <c r="AI565" s="858"/>
      <c r="AJ565" s="858"/>
    </row>
    <row r="566" ht="15.75" customHeight="1">
      <c r="A566" s="576"/>
      <c r="B566" s="2"/>
      <c r="C566" s="2"/>
      <c r="D566" s="668"/>
      <c r="E566" s="2"/>
      <c r="F566" s="2"/>
      <c r="G566" s="2"/>
      <c r="H566" s="2"/>
      <c r="I566" s="2"/>
      <c r="J566" s="2"/>
      <c r="K566" s="2"/>
      <c r="L566" s="2"/>
      <c r="M566" s="667"/>
      <c r="N566" s="2"/>
      <c r="O566" s="2"/>
      <c r="P566" s="2"/>
      <c r="Q566" s="857"/>
      <c r="R566" s="858"/>
      <c r="S566" s="858"/>
      <c r="T566" s="858"/>
      <c r="U566" s="858"/>
      <c r="V566" s="858"/>
      <c r="W566" s="858"/>
      <c r="X566" s="858"/>
      <c r="Y566" s="858"/>
      <c r="Z566" s="858"/>
      <c r="AA566" s="858"/>
      <c r="AB566" s="858"/>
      <c r="AC566" s="858"/>
      <c r="AD566" s="858"/>
      <c r="AE566" s="858"/>
      <c r="AF566" s="858"/>
      <c r="AG566" s="858"/>
      <c r="AH566" s="858"/>
      <c r="AI566" s="858"/>
      <c r="AJ566" s="858"/>
    </row>
    <row r="567" ht="15.75" customHeight="1">
      <c r="A567" s="576"/>
      <c r="B567" s="2"/>
      <c r="C567" s="2"/>
      <c r="D567" s="668"/>
      <c r="E567" s="2"/>
      <c r="F567" s="2"/>
      <c r="G567" s="2"/>
      <c r="H567" s="2"/>
      <c r="I567" s="2"/>
      <c r="J567" s="2"/>
      <c r="K567" s="2"/>
      <c r="L567" s="2"/>
      <c r="M567" s="667"/>
      <c r="N567" s="2"/>
      <c r="O567" s="2"/>
      <c r="P567" s="2"/>
      <c r="Q567" s="857"/>
      <c r="R567" s="858"/>
      <c r="S567" s="858"/>
      <c r="T567" s="858"/>
      <c r="U567" s="858"/>
      <c r="V567" s="858"/>
      <c r="W567" s="858"/>
      <c r="X567" s="858"/>
      <c r="Y567" s="858"/>
      <c r="Z567" s="858"/>
      <c r="AA567" s="858"/>
      <c r="AB567" s="858"/>
      <c r="AC567" s="858"/>
      <c r="AD567" s="858"/>
      <c r="AE567" s="858"/>
      <c r="AF567" s="858"/>
      <c r="AG567" s="858"/>
      <c r="AH567" s="858"/>
      <c r="AI567" s="858"/>
      <c r="AJ567" s="858"/>
    </row>
    <row r="568" ht="15.75" customHeight="1">
      <c r="A568" s="576"/>
      <c r="B568" s="2"/>
      <c r="C568" s="2"/>
      <c r="D568" s="668"/>
      <c r="E568" s="2"/>
      <c r="F568" s="2"/>
      <c r="G568" s="2"/>
      <c r="H568" s="2"/>
      <c r="I568" s="2"/>
      <c r="J568" s="2"/>
      <c r="K568" s="2"/>
      <c r="L568" s="2"/>
      <c r="M568" s="667"/>
      <c r="N568" s="2"/>
      <c r="O568" s="2"/>
      <c r="P568" s="2"/>
      <c r="Q568" s="857"/>
      <c r="R568" s="858"/>
      <c r="S568" s="858"/>
      <c r="T568" s="858"/>
      <c r="U568" s="858"/>
      <c r="V568" s="858"/>
      <c r="W568" s="858"/>
      <c r="X568" s="858"/>
      <c r="Y568" s="858"/>
      <c r="Z568" s="858"/>
      <c r="AA568" s="858"/>
      <c r="AB568" s="858"/>
      <c r="AC568" s="858"/>
      <c r="AD568" s="858"/>
      <c r="AE568" s="858"/>
      <c r="AF568" s="858"/>
      <c r="AG568" s="858"/>
      <c r="AH568" s="858"/>
      <c r="AI568" s="858"/>
      <c r="AJ568" s="858"/>
    </row>
    <row r="569" ht="15.75" customHeight="1">
      <c r="A569" s="576"/>
      <c r="B569" s="2"/>
      <c r="C569" s="2"/>
      <c r="D569" s="668"/>
      <c r="E569" s="2"/>
      <c r="F569" s="2"/>
      <c r="G569" s="2"/>
      <c r="H569" s="2"/>
      <c r="I569" s="2"/>
      <c r="J569" s="2"/>
      <c r="K569" s="2"/>
      <c r="L569" s="2"/>
      <c r="M569" s="667"/>
      <c r="N569" s="2"/>
      <c r="O569" s="2"/>
      <c r="P569" s="2"/>
      <c r="Q569" s="857"/>
      <c r="R569" s="858"/>
      <c r="S569" s="858"/>
      <c r="T569" s="858"/>
      <c r="U569" s="858"/>
      <c r="V569" s="858"/>
      <c r="W569" s="858"/>
      <c r="X569" s="858"/>
      <c r="Y569" s="858"/>
      <c r="Z569" s="858"/>
      <c r="AA569" s="858"/>
      <c r="AB569" s="858"/>
      <c r="AC569" s="858"/>
      <c r="AD569" s="858"/>
      <c r="AE569" s="858"/>
      <c r="AF569" s="858"/>
      <c r="AG569" s="858"/>
      <c r="AH569" s="858"/>
      <c r="AI569" s="858"/>
      <c r="AJ569" s="858"/>
    </row>
    <row r="570" ht="15.75" customHeight="1">
      <c r="A570" s="576"/>
      <c r="B570" s="2"/>
      <c r="C570" s="2"/>
      <c r="D570" s="668"/>
      <c r="E570" s="2"/>
      <c r="F570" s="2"/>
      <c r="G570" s="2"/>
      <c r="H570" s="2"/>
      <c r="I570" s="2"/>
      <c r="J570" s="2"/>
      <c r="K570" s="2"/>
      <c r="L570" s="2"/>
      <c r="M570" s="667"/>
      <c r="N570" s="2"/>
      <c r="O570" s="2"/>
      <c r="P570" s="2"/>
      <c r="Q570" s="857"/>
      <c r="R570" s="858"/>
      <c r="S570" s="858"/>
      <c r="T570" s="858"/>
      <c r="U570" s="858"/>
      <c r="V570" s="858"/>
      <c r="W570" s="858"/>
      <c r="X570" s="858"/>
      <c r="Y570" s="858"/>
      <c r="Z570" s="858"/>
      <c r="AA570" s="858"/>
      <c r="AB570" s="858"/>
      <c r="AC570" s="858"/>
      <c r="AD570" s="858"/>
      <c r="AE570" s="858"/>
      <c r="AF570" s="858"/>
      <c r="AG570" s="858"/>
      <c r="AH570" s="858"/>
      <c r="AI570" s="858"/>
      <c r="AJ570" s="858"/>
    </row>
    <row r="571" ht="15.75" customHeight="1">
      <c r="A571" s="576"/>
      <c r="B571" s="2"/>
      <c r="C571" s="2"/>
      <c r="D571" s="668"/>
      <c r="E571" s="2"/>
      <c r="F571" s="2"/>
      <c r="G571" s="2"/>
      <c r="H571" s="2"/>
      <c r="I571" s="2"/>
      <c r="J571" s="2"/>
      <c r="K571" s="2"/>
      <c r="L571" s="2"/>
      <c r="M571" s="667"/>
      <c r="N571" s="2"/>
      <c r="O571" s="2"/>
      <c r="P571" s="2"/>
      <c r="Q571" s="857"/>
      <c r="R571" s="858"/>
      <c r="S571" s="858"/>
      <c r="T571" s="858"/>
      <c r="U571" s="858"/>
      <c r="V571" s="858"/>
      <c r="W571" s="858"/>
      <c r="X571" s="858"/>
      <c r="Y571" s="858"/>
      <c r="Z571" s="858"/>
      <c r="AA571" s="858"/>
      <c r="AB571" s="858"/>
      <c r="AC571" s="858"/>
      <c r="AD571" s="858"/>
      <c r="AE571" s="858"/>
      <c r="AF571" s="858"/>
      <c r="AG571" s="858"/>
      <c r="AH571" s="858"/>
      <c r="AI571" s="858"/>
      <c r="AJ571" s="858"/>
    </row>
    <row r="572" ht="15.75" customHeight="1">
      <c r="A572" s="576"/>
      <c r="B572" s="2"/>
      <c r="C572" s="2"/>
      <c r="D572" s="668"/>
      <c r="E572" s="2"/>
      <c r="F572" s="2"/>
      <c r="G572" s="2"/>
      <c r="H572" s="2"/>
      <c r="I572" s="2"/>
      <c r="J572" s="2"/>
      <c r="K572" s="2"/>
      <c r="L572" s="2"/>
      <c r="M572" s="667"/>
      <c r="N572" s="2"/>
      <c r="O572" s="2"/>
      <c r="P572" s="2"/>
      <c r="Q572" s="857"/>
      <c r="R572" s="858"/>
      <c r="S572" s="858"/>
      <c r="T572" s="858"/>
      <c r="U572" s="858"/>
      <c r="V572" s="858"/>
      <c r="W572" s="858"/>
      <c r="X572" s="858"/>
      <c r="Y572" s="858"/>
      <c r="Z572" s="858"/>
      <c r="AA572" s="858"/>
      <c r="AB572" s="858"/>
      <c r="AC572" s="858"/>
      <c r="AD572" s="858"/>
      <c r="AE572" s="858"/>
      <c r="AF572" s="858"/>
      <c r="AG572" s="858"/>
      <c r="AH572" s="858"/>
      <c r="AI572" s="858"/>
      <c r="AJ572" s="858"/>
    </row>
    <row r="573" ht="15.75" customHeight="1">
      <c r="A573" s="576"/>
      <c r="B573" s="2"/>
      <c r="C573" s="2"/>
      <c r="D573" s="668"/>
      <c r="E573" s="2"/>
      <c r="F573" s="2"/>
      <c r="G573" s="2"/>
      <c r="H573" s="2"/>
      <c r="I573" s="2"/>
      <c r="J573" s="2"/>
      <c r="K573" s="2"/>
      <c r="L573" s="2"/>
      <c r="M573" s="667"/>
      <c r="N573" s="2"/>
      <c r="O573" s="2"/>
      <c r="P573" s="2"/>
      <c r="Q573" s="857"/>
      <c r="R573" s="858"/>
      <c r="S573" s="858"/>
      <c r="T573" s="858"/>
      <c r="U573" s="858"/>
      <c r="V573" s="858"/>
      <c r="W573" s="858"/>
      <c r="X573" s="858"/>
      <c r="Y573" s="858"/>
      <c r="Z573" s="858"/>
      <c r="AA573" s="858"/>
      <c r="AB573" s="858"/>
      <c r="AC573" s="858"/>
      <c r="AD573" s="858"/>
      <c r="AE573" s="858"/>
      <c r="AF573" s="858"/>
      <c r="AG573" s="858"/>
      <c r="AH573" s="858"/>
      <c r="AI573" s="858"/>
      <c r="AJ573" s="858"/>
    </row>
    <row r="574" ht="15.75" customHeight="1">
      <c r="A574" s="576"/>
      <c r="B574" s="2"/>
      <c r="C574" s="2"/>
      <c r="D574" s="668"/>
      <c r="E574" s="2"/>
      <c r="F574" s="2"/>
      <c r="G574" s="2"/>
      <c r="H574" s="2"/>
      <c r="I574" s="2"/>
      <c r="J574" s="2"/>
      <c r="K574" s="2"/>
      <c r="L574" s="2"/>
      <c r="M574" s="667"/>
      <c r="N574" s="2"/>
      <c r="O574" s="2"/>
      <c r="P574" s="2"/>
      <c r="Q574" s="857"/>
      <c r="R574" s="858"/>
      <c r="S574" s="858"/>
      <c r="T574" s="858"/>
      <c r="U574" s="858"/>
      <c r="V574" s="858"/>
      <c r="W574" s="858"/>
      <c r="X574" s="858"/>
      <c r="Y574" s="858"/>
      <c r="Z574" s="858"/>
      <c r="AA574" s="858"/>
      <c r="AB574" s="858"/>
      <c r="AC574" s="858"/>
      <c r="AD574" s="858"/>
      <c r="AE574" s="858"/>
      <c r="AF574" s="858"/>
      <c r="AG574" s="858"/>
      <c r="AH574" s="858"/>
      <c r="AI574" s="858"/>
      <c r="AJ574" s="858"/>
    </row>
    <row r="575" ht="15.75" customHeight="1">
      <c r="A575" s="576"/>
      <c r="B575" s="2"/>
      <c r="C575" s="2"/>
      <c r="D575" s="668"/>
      <c r="E575" s="2"/>
      <c r="F575" s="2"/>
      <c r="G575" s="2"/>
      <c r="H575" s="2"/>
      <c r="I575" s="2"/>
      <c r="J575" s="2"/>
      <c r="K575" s="2"/>
      <c r="L575" s="2"/>
      <c r="M575" s="667"/>
      <c r="N575" s="2"/>
      <c r="O575" s="2"/>
      <c r="P575" s="2"/>
      <c r="Q575" s="857"/>
      <c r="R575" s="858"/>
      <c r="S575" s="858"/>
      <c r="T575" s="858"/>
      <c r="U575" s="858"/>
      <c r="V575" s="858"/>
      <c r="W575" s="858"/>
      <c r="X575" s="858"/>
      <c r="Y575" s="858"/>
      <c r="Z575" s="858"/>
      <c r="AA575" s="858"/>
      <c r="AB575" s="858"/>
      <c r="AC575" s="858"/>
      <c r="AD575" s="858"/>
      <c r="AE575" s="858"/>
      <c r="AF575" s="858"/>
      <c r="AG575" s="858"/>
      <c r="AH575" s="858"/>
      <c r="AI575" s="858"/>
      <c r="AJ575" s="858"/>
    </row>
    <row r="576" ht="15.75" customHeight="1">
      <c r="A576" s="576"/>
      <c r="B576" s="2"/>
      <c r="C576" s="2"/>
      <c r="D576" s="668"/>
      <c r="E576" s="2"/>
      <c r="F576" s="2"/>
      <c r="G576" s="2"/>
      <c r="H576" s="2"/>
      <c r="I576" s="2"/>
      <c r="J576" s="2"/>
      <c r="K576" s="2"/>
      <c r="L576" s="2"/>
      <c r="M576" s="667"/>
      <c r="N576" s="2"/>
      <c r="O576" s="2"/>
      <c r="P576" s="2"/>
      <c r="Q576" s="857"/>
      <c r="R576" s="858"/>
      <c r="S576" s="858"/>
      <c r="T576" s="858"/>
      <c r="U576" s="858"/>
      <c r="V576" s="858"/>
      <c r="W576" s="858"/>
      <c r="X576" s="858"/>
      <c r="Y576" s="858"/>
      <c r="Z576" s="858"/>
      <c r="AA576" s="858"/>
      <c r="AB576" s="858"/>
      <c r="AC576" s="858"/>
      <c r="AD576" s="858"/>
      <c r="AE576" s="858"/>
      <c r="AF576" s="858"/>
      <c r="AG576" s="858"/>
      <c r="AH576" s="858"/>
      <c r="AI576" s="858"/>
      <c r="AJ576" s="858"/>
    </row>
    <row r="577" ht="15.75" customHeight="1">
      <c r="A577" s="576"/>
      <c r="B577" s="2"/>
      <c r="C577" s="2"/>
      <c r="D577" s="668"/>
      <c r="E577" s="2"/>
      <c r="F577" s="2"/>
      <c r="G577" s="2"/>
      <c r="H577" s="2"/>
      <c r="I577" s="2"/>
      <c r="J577" s="2"/>
      <c r="K577" s="2"/>
      <c r="L577" s="2"/>
      <c r="M577" s="667"/>
      <c r="N577" s="2"/>
      <c r="O577" s="2"/>
      <c r="P577" s="2"/>
      <c r="Q577" s="857"/>
      <c r="R577" s="858"/>
      <c r="S577" s="858"/>
      <c r="T577" s="858"/>
      <c r="U577" s="858"/>
      <c r="V577" s="858"/>
      <c r="W577" s="858"/>
      <c r="X577" s="858"/>
      <c r="Y577" s="858"/>
      <c r="Z577" s="858"/>
      <c r="AA577" s="858"/>
      <c r="AB577" s="858"/>
      <c r="AC577" s="858"/>
      <c r="AD577" s="858"/>
      <c r="AE577" s="858"/>
      <c r="AF577" s="858"/>
      <c r="AG577" s="858"/>
      <c r="AH577" s="858"/>
      <c r="AI577" s="858"/>
      <c r="AJ577" s="858"/>
    </row>
    <row r="578" ht="15.75" customHeight="1">
      <c r="A578" s="576"/>
      <c r="B578" s="2"/>
      <c r="C578" s="2"/>
      <c r="D578" s="668"/>
      <c r="E578" s="2"/>
      <c r="F578" s="2"/>
      <c r="G578" s="2"/>
      <c r="H578" s="2"/>
      <c r="I578" s="2"/>
      <c r="J578" s="2"/>
      <c r="K578" s="2"/>
      <c r="L578" s="2"/>
      <c r="M578" s="667"/>
      <c r="N578" s="2"/>
      <c r="O578" s="2"/>
      <c r="P578" s="2"/>
      <c r="Q578" s="857"/>
      <c r="R578" s="858"/>
      <c r="S578" s="858"/>
      <c r="T578" s="858"/>
      <c r="U578" s="858"/>
      <c r="V578" s="858"/>
      <c r="W578" s="858"/>
      <c r="X578" s="858"/>
      <c r="Y578" s="858"/>
      <c r="Z578" s="858"/>
      <c r="AA578" s="858"/>
      <c r="AB578" s="858"/>
      <c r="AC578" s="858"/>
      <c r="AD578" s="858"/>
      <c r="AE578" s="858"/>
      <c r="AF578" s="858"/>
      <c r="AG578" s="858"/>
      <c r="AH578" s="858"/>
      <c r="AI578" s="858"/>
      <c r="AJ578" s="858"/>
    </row>
    <row r="579" ht="15.75" customHeight="1">
      <c r="A579" s="576"/>
      <c r="B579" s="2"/>
      <c r="C579" s="2"/>
      <c r="D579" s="668"/>
      <c r="E579" s="2"/>
      <c r="F579" s="2"/>
      <c r="G579" s="2"/>
      <c r="H579" s="2"/>
      <c r="I579" s="2"/>
      <c r="J579" s="2"/>
      <c r="K579" s="2"/>
      <c r="L579" s="2"/>
      <c r="M579" s="667"/>
      <c r="N579" s="2"/>
      <c r="O579" s="2"/>
      <c r="P579" s="2"/>
      <c r="Q579" s="857"/>
      <c r="R579" s="858"/>
      <c r="S579" s="858"/>
      <c r="T579" s="858"/>
      <c r="U579" s="858"/>
      <c r="V579" s="858"/>
      <c r="W579" s="858"/>
      <c r="X579" s="858"/>
      <c r="Y579" s="858"/>
      <c r="Z579" s="858"/>
      <c r="AA579" s="858"/>
      <c r="AB579" s="858"/>
      <c r="AC579" s="858"/>
      <c r="AD579" s="858"/>
      <c r="AE579" s="858"/>
      <c r="AF579" s="858"/>
      <c r="AG579" s="858"/>
      <c r="AH579" s="858"/>
      <c r="AI579" s="858"/>
      <c r="AJ579" s="858"/>
    </row>
    <row r="580" ht="15.75" customHeight="1">
      <c r="A580" s="576"/>
      <c r="B580" s="2"/>
      <c r="C580" s="2"/>
      <c r="D580" s="668"/>
      <c r="E580" s="2"/>
      <c r="F580" s="2"/>
      <c r="G580" s="2"/>
      <c r="H580" s="2"/>
      <c r="I580" s="2"/>
      <c r="J580" s="2"/>
      <c r="K580" s="2"/>
      <c r="L580" s="2"/>
      <c r="M580" s="667"/>
      <c r="N580" s="2"/>
      <c r="O580" s="2"/>
      <c r="P580" s="2"/>
      <c r="Q580" s="857"/>
      <c r="R580" s="858"/>
      <c r="S580" s="858"/>
      <c r="T580" s="858"/>
      <c r="U580" s="858"/>
      <c r="V580" s="858"/>
      <c r="W580" s="858"/>
      <c r="X580" s="858"/>
      <c r="Y580" s="858"/>
      <c r="Z580" s="858"/>
      <c r="AA580" s="858"/>
      <c r="AB580" s="858"/>
      <c r="AC580" s="858"/>
      <c r="AD580" s="858"/>
      <c r="AE580" s="858"/>
      <c r="AF580" s="858"/>
      <c r="AG580" s="858"/>
      <c r="AH580" s="858"/>
      <c r="AI580" s="858"/>
      <c r="AJ580" s="858"/>
    </row>
    <row r="581" ht="15.75" customHeight="1">
      <c r="A581" s="576"/>
      <c r="B581" s="2"/>
      <c r="C581" s="2"/>
      <c r="D581" s="668"/>
      <c r="E581" s="2"/>
      <c r="F581" s="2"/>
      <c r="G581" s="2"/>
      <c r="H581" s="2"/>
      <c r="I581" s="2"/>
      <c r="J581" s="2"/>
      <c r="K581" s="2"/>
      <c r="L581" s="2"/>
      <c r="M581" s="667"/>
      <c r="N581" s="2"/>
      <c r="O581" s="2"/>
      <c r="P581" s="2"/>
      <c r="Q581" s="857"/>
      <c r="R581" s="858"/>
      <c r="S581" s="858"/>
      <c r="T581" s="858"/>
      <c r="U581" s="858"/>
      <c r="V581" s="858"/>
      <c r="W581" s="858"/>
      <c r="X581" s="858"/>
      <c r="Y581" s="858"/>
      <c r="Z581" s="858"/>
      <c r="AA581" s="858"/>
      <c r="AB581" s="858"/>
      <c r="AC581" s="858"/>
      <c r="AD581" s="858"/>
      <c r="AE581" s="858"/>
      <c r="AF581" s="858"/>
      <c r="AG581" s="858"/>
      <c r="AH581" s="858"/>
      <c r="AI581" s="858"/>
      <c r="AJ581" s="858"/>
    </row>
    <row r="582" ht="15.75" customHeight="1">
      <c r="A582" s="576"/>
      <c r="B582" s="2"/>
      <c r="C582" s="2"/>
      <c r="D582" s="668"/>
      <c r="E582" s="2"/>
      <c r="F582" s="2"/>
      <c r="G582" s="2"/>
      <c r="H582" s="2"/>
      <c r="I582" s="2"/>
      <c r="J582" s="2"/>
      <c r="K582" s="2"/>
      <c r="L582" s="2"/>
      <c r="M582" s="667"/>
      <c r="N582" s="2"/>
      <c r="O582" s="2"/>
      <c r="P582" s="2"/>
      <c r="Q582" s="857"/>
      <c r="R582" s="858"/>
      <c r="S582" s="858"/>
      <c r="T582" s="858"/>
      <c r="U582" s="858"/>
      <c r="V582" s="858"/>
      <c r="W582" s="858"/>
      <c r="X582" s="858"/>
      <c r="Y582" s="858"/>
      <c r="Z582" s="858"/>
      <c r="AA582" s="858"/>
      <c r="AB582" s="858"/>
      <c r="AC582" s="858"/>
      <c r="AD582" s="858"/>
      <c r="AE582" s="858"/>
      <c r="AF582" s="858"/>
      <c r="AG582" s="858"/>
      <c r="AH582" s="858"/>
      <c r="AI582" s="858"/>
      <c r="AJ582" s="858"/>
    </row>
    <row r="583" ht="15.75" customHeight="1">
      <c r="A583" s="576"/>
      <c r="B583" s="2"/>
      <c r="C583" s="2"/>
      <c r="D583" s="668"/>
      <c r="E583" s="2"/>
      <c r="F583" s="2"/>
      <c r="G583" s="2"/>
      <c r="H583" s="2"/>
      <c r="I583" s="2"/>
      <c r="J583" s="2"/>
      <c r="K583" s="2"/>
      <c r="L583" s="2"/>
      <c r="M583" s="667"/>
      <c r="N583" s="2"/>
      <c r="O583" s="2"/>
      <c r="P583" s="2"/>
      <c r="Q583" s="857"/>
      <c r="R583" s="858"/>
      <c r="S583" s="858"/>
      <c r="T583" s="858"/>
      <c r="U583" s="858"/>
      <c r="V583" s="858"/>
      <c r="W583" s="858"/>
      <c r="X583" s="858"/>
      <c r="Y583" s="858"/>
      <c r="Z583" s="858"/>
      <c r="AA583" s="858"/>
      <c r="AB583" s="858"/>
      <c r="AC583" s="858"/>
      <c r="AD583" s="858"/>
      <c r="AE583" s="858"/>
      <c r="AF583" s="858"/>
      <c r="AG583" s="858"/>
      <c r="AH583" s="858"/>
      <c r="AI583" s="858"/>
      <c r="AJ583" s="858"/>
    </row>
    <row r="584" ht="15.75" customHeight="1">
      <c r="A584" s="576"/>
      <c r="B584" s="2"/>
      <c r="C584" s="2"/>
      <c r="D584" s="668"/>
      <c r="E584" s="2"/>
      <c r="F584" s="2"/>
      <c r="G584" s="2"/>
      <c r="H584" s="2"/>
      <c r="I584" s="2"/>
      <c r="J584" s="2"/>
      <c r="K584" s="2"/>
      <c r="L584" s="2"/>
      <c r="M584" s="667"/>
      <c r="N584" s="2"/>
      <c r="O584" s="2"/>
      <c r="P584" s="2"/>
      <c r="Q584" s="857"/>
      <c r="R584" s="858"/>
      <c r="S584" s="858"/>
      <c r="T584" s="858"/>
      <c r="U584" s="858"/>
      <c r="V584" s="858"/>
      <c r="W584" s="858"/>
      <c r="X584" s="858"/>
      <c r="Y584" s="858"/>
      <c r="Z584" s="858"/>
      <c r="AA584" s="858"/>
      <c r="AB584" s="858"/>
      <c r="AC584" s="858"/>
      <c r="AD584" s="858"/>
      <c r="AE584" s="858"/>
      <c r="AF584" s="858"/>
      <c r="AG584" s="858"/>
      <c r="AH584" s="858"/>
      <c r="AI584" s="858"/>
      <c r="AJ584" s="858"/>
    </row>
    <row r="585" ht="15.75" customHeight="1">
      <c r="A585" s="576"/>
      <c r="B585" s="2"/>
      <c r="C585" s="2"/>
      <c r="D585" s="668"/>
      <c r="E585" s="2"/>
      <c r="F585" s="2"/>
      <c r="G585" s="2"/>
      <c r="H585" s="2"/>
      <c r="I585" s="2"/>
      <c r="J585" s="2"/>
      <c r="K585" s="2"/>
      <c r="L585" s="2"/>
      <c r="M585" s="667"/>
      <c r="N585" s="2"/>
      <c r="O585" s="2"/>
      <c r="P585" s="2"/>
      <c r="Q585" s="857"/>
      <c r="R585" s="858"/>
      <c r="S585" s="858"/>
      <c r="T585" s="858"/>
      <c r="U585" s="858"/>
      <c r="V585" s="858"/>
      <c r="W585" s="858"/>
      <c r="X585" s="858"/>
      <c r="Y585" s="858"/>
      <c r="Z585" s="858"/>
      <c r="AA585" s="858"/>
      <c r="AB585" s="858"/>
      <c r="AC585" s="858"/>
      <c r="AD585" s="858"/>
      <c r="AE585" s="858"/>
      <c r="AF585" s="858"/>
      <c r="AG585" s="858"/>
      <c r="AH585" s="858"/>
      <c r="AI585" s="858"/>
      <c r="AJ585" s="858"/>
    </row>
    <row r="586" ht="15.75" customHeight="1">
      <c r="A586" s="576"/>
      <c r="B586" s="2"/>
      <c r="C586" s="2"/>
      <c r="D586" s="668"/>
      <c r="E586" s="2"/>
      <c r="F586" s="2"/>
      <c r="G586" s="2"/>
      <c r="H586" s="2"/>
      <c r="I586" s="2"/>
      <c r="J586" s="2"/>
      <c r="K586" s="2"/>
      <c r="L586" s="2"/>
      <c r="M586" s="667"/>
      <c r="N586" s="2"/>
      <c r="O586" s="2"/>
      <c r="P586" s="2"/>
      <c r="Q586" s="857"/>
      <c r="R586" s="858"/>
      <c r="S586" s="858"/>
      <c r="T586" s="858"/>
      <c r="U586" s="858"/>
      <c r="V586" s="858"/>
      <c r="W586" s="858"/>
      <c r="X586" s="858"/>
      <c r="Y586" s="858"/>
      <c r="Z586" s="858"/>
      <c r="AA586" s="858"/>
      <c r="AB586" s="858"/>
      <c r="AC586" s="858"/>
      <c r="AD586" s="858"/>
      <c r="AE586" s="858"/>
      <c r="AF586" s="858"/>
      <c r="AG586" s="858"/>
      <c r="AH586" s="858"/>
      <c r="AI586" s="858"/>
      <c r="AJ586" s="858"/>
    </row>
    <row r="587" ht="15.75" customHeight="1">
      <c r="A587" s="576"/>
      <c r="B587" s="2"/>
      <c r="C587" s="2"/>
      <c r="D587" s="668"/>
      <c r="E587" s="2"/>
      <c r="F587" s="2"/>
      <c r="G587" s="2"/>
      <c r="H587" s="2"/>
      <c r="I587" s="2"/>
      <c r="J587" s="2"/>
      <c r="K587" s="2"/>
      <c r="L587" s="2"/>
      <c r="M587" s="667"/>
      <c r="N587" s="2"/>
      <c r="O587" s="2"/>
      <c r="P587" s="2"/>
      <c r="Q587" s="857"/>
      <c r="R587" s="858"/>
      <c r="S587" s="858"/>
      <c r="T587" s="858"/>
      <c r="U587" s="858"/>
      <c r="V587" s="858"/>
      <c r="W587" s="858"/>
      <c r="X587" s="858"/>
      <c r="Y587" s="858"/>
      <c r="Z587" s="858"/>
      <c r="AA587" s="858"/>
      <c r="AB587" s="858"/>
      <c r="AC587" s="858"/>
      <c r="AD587" s="858"/>
      <c r="AE587" s="858"/>
      <c r="AF587" s="858"/>
      <c r="AG587" s="858"/>
      <c r="AH587" s="858"/>
      <c r="AI587" s="858"/>
      <c r="AJ587" s="858"/>
    </row>
    <row r="588" ht="15.75" customHeight="1">
      <c r="A588" s="576"/>
      <c r="B588" s="2"/>
      <c r="C588" s="2"/>
      <c r="D588" s="668"/>
      <c r="E588" s="2"/>
      <c r="F588" s="2"/>
      <c r="G588" s="2"/>
      <c r="H588" s="2"/>
      <c r="I588" s="2"/>
      <c r="J588" s="2"/>
      <c r="K588" s="2"/>
      <c r="L588" s="2"/>
      <c r="M588" s="667"/>
      <c r="N588" s="2"/>
      <c r="O588" s="2"/>
      <c r="P588" s="2"/>
      <c r="Q588" s="857"/>
      <c r="R588" s="858"/>
      <c r="S588" s="858"/>
      <c r="T588" s="858"/>
      <c r="U588" s="858"/>
      <c r="V588" s="858"/>
      <c r="W588" s="858"/>
      <c r="X588" s="858"/>
      <c r="Y588" s="858"/>
      <c r="Z588" s="858"/>
      <c r="AA588" s="858"/>
      <c r="AB588" s="858"/>
      <c r="AC588" s="858"/>
      <c r="AD588" s="858"/>
      <c r="AE588" s="858"/>
      <c r="AF588" s="858"/>
      <c r="AG588" s="858"/>
      <c r="AH588" s="858"/>
      <c r="AI588" s="858"/>
      <c r="AJ588" s="858"/>
    </row>
    <row r="589" ht="15.75" customHeight="1">
      <c r="A589" s="576"/>
      <c r="B589" s="2"/>
      <c r="C589" s="2"/>
      <c r="D589" s="668"/>
      <c r="E589" s="2"/>
      <c r="F589" s="2"/>
      <c r="G589" s="2"/>
      <c r="H589" s="2"/>
      <c r="I589" s="2"/>
      <c r="J589" s="2"/>
      <c r="K589" s="2"/>
      <c r="L589" s="2"/>
      <c r="M589" s="667"/>
      <c r="N589" s="2"/>
      <c r="O589" s="2"/>
      <c r="P589" s="2"/>
      <c r="Q589" s="857"/>
      <c r="R589" s="858"/>
      <c r="S589" s="858"/>
      <c r="T589" s="858"/>
      <c r="U589" s="858"/>
      <c r="V589" s="858"/>
      <c r="W589" s="858"/>
      <c r="X589" s="858"/>
      <c r="Y589" s="858"/>
      <c r="Z589" s="858"/>
      <c r="AA589" s="858"/>
      <c r="AB589" s="858"/>
      <c r="AC589" s="858"/>
      <c r="AD589" s="858"/>
      <c r="AE589" s="858"/>
      <c r="AF589" s="858"/>
      <c r="AG589" s="858"/>
      <c r="AH589" s="858"/>
      <c r="AI589" s="858"/>
      <c r="AJ589" s="858"/>
    </row>
    <row r="590" ht="15.75" customHeight="1">
      <c r="A590" s="576"/>
      <c r="B590" s="2"/>
      <c r="C590" s="2"/>
      <c r="D590" s="668"/>
      <c r="E590" s="2"/>
      <c r="F590" s="2"/>
      <c r="G590" s="2"/>
      <c r="H590" s="2"/>
      <c r="I590" s="2"/>
      <c r="J590" s="2"/>
      <c r="K590" s="2"/>
      <c r="L590" s="2"/>
      <c r="M590" s="667"/>
      <c r="N590" s="2"/>
      <c r="O590" s="2"/>
      <c r="P590" s="2"/>
      <c r="Q590" s="857"/>
      <c r="R590" s="858"/>
      <c r="S590" s="858"/>
      <c r="T590" s="858"/>
      <c r="U590" s="858"/>
      <c r="V590" s="858"/>
      <c r="W590" s="858"/>
      <c r="X590" s="858"/>
      <c r="Y590" s="858"/>
      <c r="Z590" s="858"/>
      <c r="AA590" s="858"/>
      <c r="AB590" s="858"/>
      <c r="AC590" s="858"/>
      <c r="AD590" s="858"/>
      <c r="AE590" s="858"/>
      <c r="AF590" s="858"/>
      <c r="AG590" s="858"/>
      <c r="AH590" s="858"/>
      <c r="AI590" s="858"/>
      <c r="AJ590" s="858"/>
    </row>
    <row r="591" ht="15.75" customHeight="1">
      <c r="A591" s="576"/>
      <c r="B591" s="2"/>
      <c r="C591" s="2"/>
      <c r="D591" s="668"/>
      <c r="E591" s="2"/>
      <c r="F591" s="2"/>
      <c r="G591" s="2"/>
      <c r="H591" s="2"/>
      <c r="I591" s="2"/>
      <c r="J591" s="2"/>
      <c r="K591" s="2"/>
      <c r="L591" s="2"/>
      <c r="M591" s="667"/>
      <c r="N591" s="2"/>
      <c r="O591" s="2"/>
      <c r="P591" s="2"/>
      <c r="Q591" s="857"/>
      <c r="R591" s="858"/>
      <c r="S591" s="858"/>
      <c r="T591" s="858"/>
      <c r="U591" s="858"/>
      <c r="V591" s="858"/>
      <c r="W591" s="858"/>
      <c r="X591" s="858"/>
      <c r="Y591" s="858"/>
      <c r="Z591" s="858"/>
      <c r="AA591" s="858"/>
      <c r="AB591" s="858"/>
      <c r="AC591" s="858"/>
      <c r="AD591" s="858"/>
      <c r="AE591" s="858"/>
      <c r="AF591" s="858"/>
      <c r="AG591" s="858"/>
      <c r="AH591" s="858"/>
      <c r="AI591" s="858"/>
      <c r="AJ591" s="858"/>
    </row>
    <row r="592" ht="15.75" customHeight="1">
      <c r="A592" s="576"/>
      <c r="B592" s="2"/>
      <c r="C592" s="2"/>
      <c r="D592" s="668"/>
      <c r="E592" s="2"/>
      <c r="F592" s="2"/>
      <c r="G592" s="2"/>
      <c r="H592" s="2"/>
      <c r="I592" s="2"/>
      <c r="J592" s="2"/>
      <c r="K592" s="2"/>
      <c r="L592" s="2"/>
      <c r="M592" s="667"/>
      <c r="N592" s="2"/>
      <c r="O592" s="2"/>
      <c r="P592" s="2"/>
      <c r="Q592" s="857"/>
      <c r="R592" s="858"/>
      <c r="S592" s="858"/>
      <c r="T592" s="858"/>
      <c r="U592" s="858"/>
      <c r="V592" s="858"/>
      <c r="W592" s="858"/>
      <c r="X592" s="858"/>
      <c r="Y592" s="858"/>
      <c r="Z592" s="858"/>
      <c r="AA592" s="858"/>
      <c r="AB592" s="858"/>
      <c r="AC592" s="858"/>
      <c r="AD592" s="858"/>
      <c r="AE592" s="858"/>
      <c r="AF592" s="858"/>
      <c r="AG592" s="858"/>
      <c r="AH592" s="858"/>
      <c r="AI592" s="858"/>
      <c r="AJ592" s="858"/>
    </row>
    <row r="593" ht="15.75" customHeight="1">
      <c r="A593" s="576"/>
      <c r="B593" s="2"/>
      <c r="C593" s="2"/>
      <c r="D593" s="668"/>
      <c r="E593" s="2"/>
      <c r="F593" s="2"/>
      <c r="G593" s="2"/>
      <c r="H593" s="2"/>
      <c r="I593" s="2"/>
      <c r="J593" s="2"/>
      <c r="K593" s="2"/>
      <c r="L593" s="2"/>
      <c r="M593" s="667"/>
      <c r="N593" s="2"/>
      <c r="O593" s="2"/>
      <c r="P593" s="2"/>
      <c r="Q593" s="857"/>
      <c r="R593" s="858"/>
      <c r="S593" s="858"/>
      <c r="T593" s="858"/>
      <c r="U593" s="858"/>
      <c r="V593" s="858"/>
      <c r="W593" s="858"/>
      <c r="X593" s="858"/>
      <c r="Y593" s="858"/>
      <c r="Z593" s="858"/>
      <c r="AA593" s="858"/>
      <c r="AB593" s="858"/>
      <c r="AC593" s="858"/>
      <c r="AD593" s="858"/>
      <c r="AE593" s="858"/>
      <c r="AF593" s="858"/>
      <c r="AG593" s="858"/>
      <c r="AH593" s="858"/>
      <c r="AI593" s="858"/>
      <c r="AJ593" s="858"/>
    </row>
    <row r="594" ht="15.75" customHeight="1">
      <c r="A594" s="576"/>
      <c r="B594" s="2"/>
      <c r="C594" s="2"/>
      <c r="D594" s="668"/>
      <c r="E594" s="2"/>
      <c r="F594" s="2"/>
      <c r="G594" s="2"/>
      <c r="H594" s="2"/>
      <c r="I594" s="2"/>
      <c r="J594" s="2"/>
      <c r="K594" s="2"/>
      <c r="L594" s="2"/>
      <c r="M594" s="667"/>
      <c r="N594" s="2"/>
      <c r="O594" s="2"/>
      <c r="P594" s="2"/>
      <c r="Q594" s="857"/>
      <c r="R594" s="858"/>
      <c r="S594" s="858"/>
      <c r="T594" s="858"/>
      <c r="U594" s="858"/>
      <c r="V594" s="858"/>
      <c r="W594" s="858"/>
      <c r="X594" s="858"/>
      <c r="Y594" s="858"/>
      <c r="Z594" s="858"/>
      <c r="AA594" s="858"/>
      <c r="AB594" s="858"/>
      <c r="AC594" s="858"/>
      <c r="AD594" s="858"/>
      <c r="AE594" s="858"/>
      <c r="AF594" s="858"/>
      <c r="AG594" s="858"/>
      <c r="AH594" s="858"/>
      <c r="AI594" s="858"/>
      <c r="AJ594" s="858"/>
    </row>
    <row r="595" ht="15.75" customHeight="1">
      <c r="A595" s="576"/>
      <c r="B595" s="2"/>
      <c r="C595" s="2"/>
      <c r="D595" s="668"/>
      <c r="E595" s="2"/>
      <c r="F595" s="2"/>
      <c r="G595" s="2"/>
      <c r="H595" s="2"/>
      <c r="I595" s="2"/>
      <c r="J595" s="2"/>
      <c r="K595" s="2"/>
      <c r="L595" s="2"/>
      <c r="M595" s="667"/>
      <c r="N595" s="2"/>
      <c r="O595" s="2"/>
      <c r="P595" s="2"/>
      <c r="Q595" s="857"/>
      <c r="R595" s="858"/>
      <c r="S595" s="858"/>
      <c r="T595" s="858"/>
      <c r="U595" s="858"/>
      <c r="V595" s="858"/>
      <c r="W595" s="858"/>
      <c r="X595" s="858"/>
      <c r="Y595" s="858"/>
      <c r="Z595" s="858"/>
      <c r="AA595" s="858"/>
      <c r="AB595" s="858"/>
      <c r="AC595" s="858"/>
      <c r="AD595" s="858"/>
      <c r="AE595" s="858"/>
      <c r="AF595" s="858"/>
      <c r="AG595" s="858"/>
      <c r="AH595" s="858"/>
      <c r="AI595" s="858"/>
      <c r="AJ595" s="858"/>
    </row>
    <row r="596" ht="15.75" customHeight="1">
      <c r="A596" s="576"/>
      <c r="B596" s="2"/>
      <c r="C596" s="2"/>
      <c r="D596" s="668"/>
      <c r="E596" s="2"/>
      <c r="F596" s="2"/>
      <c r="G596" s="2"/>
      <c r="H596" s="2"/>
      <c r="I596" s="2"/>
      <c r="J596" s="2"/>
      <c r="K596" s="2"/>
      <c r="L596" s="2"/>
      <c r="M596" s="667"/>
      <c r="N596" s="2"/>
      <c r="O596" s="2"/>
      <c r="P596" s="2"/>
      <c r="Q596" s="857"/>
      <c r="R596" s="858"/>
      <c r="S596" s="858"/>
      <c r="T596" s="858"/>
      <c r="U596" s="858"/>
      <c r="V596" s="858"/>
      <c r="W596" s="858"/>
      <c r="X596" s="858"/>
      <c r="Y596" s="858"/>
      <c r="Z596" s="858"/>
      <c r="AA596" s="858"/>
      <c r="AB596" s="858"/>
      <c r="AC596" s="858"/>
      <c r="AD596" s="858"/>
      <c r="AE596" s="858"/>
      <c r="AF596" s="858"/>
      <c r="AG596" s="858"/>
      <c r="AH596" s="858"/>
      <c r="AI596" s="858"/>
      <c r="AJ596" s="858"/>
    </row>
    <row r="597" ht="15.75" customHeight="1">
      <c r="A597" s="576"/>
      <c r="B597" s="2"/>
      <c r="C597" s="2"/>
      <c r="D597" s="668"/>
      <c r="E597" s="2"/>
      <c r="F597" s="2"/>
      <c r="G597" s="2"/>
      <c r="H597" s="2"/>
      <c r="I597" s="2"/>
      <c r="J597" s="2"/>
      <c r="K597" s="2"/>
      <c r="L597" s="2"/>
      <c r="M597" s="667"/>
      <c r="N597" s="2"/>
      <c r="O597" s="2"/>
      <c r="P597" s="2"/>
      <c r="Q597" s="857"/>
      <c r="R597" s="858"/>
      <c r="S597" s="858"/>
      <c r="T597" s="858"/>
      <c r="U597" s="858"/>
      <c r="V597" s="858"/>
      <c r="W597" s="858"/>
      <c r="X597" s="858"/>
      <c r="Y597" s="858"/>
      <c r="Z597" s="858"/>
      <c r="AA597" s="858"/>
      <c r="AB597" s="858"/>
      <c r="AC597" s="858"/>
      <c r="AD597" s="858"/>
      <c r="AE597" s="858"/>
      <c r="AF597" s="858"/>
      <c r="AG597" s="858"/>
      <c r="AH597" s="858"/>
      <c r="AI597" s="858"/>
      <c r="AJ597" s="858"/>
    </row>
    <row r="598" ht="15.75" customHeight="1">
      <c r="A598" s="576"/>
      <c r="B598" s="2"/>
      <c r="C598" s="2"/>
      <c r="D598" s="668"/>
      <c r="E598" s="2"/>
      <c r="F598" s="2"/>
      <c r="G598" s="2"/>
      <c r="H598" s="2"/>
      <c r="I598" s="2"/>
      <c r="J598" s="2"/>
      <c r="K598" s="2"/>
      <c r="L598" s="2"/>
      <c r="M598" s="667"/>
      <c r="N598" s="2"/>
      <c r="O598" s="2"/>
      <c r="P598" s="2"/>
      <c r="Q598" s="857"/>
      <c r="R598" s="858"/>
      <c r="S598" s="858"/>
      <c r="T598" s="858"/>
      <c r="U598" s="858"/>
      <c r="V598" s="858"/>
      <c r="W598" s="858"/>
      <c r="X598" s="858"/>
      <c r="Y598" s="858"/>
      <c r="Z598" s="858"/>
      <c r="AA598" s="858"/>
      <c r="AB598" s="858"/>
      <c r="AC598" s="858"/>
      <c r="AD598" s="858"/>
      <c r="AE598" s="858"/>
      <c r="AF598" s="858"/>
      <c r="AG598" s="858"/>
      <c r="AH598" s="858"/>
      <c r="AI598" s="858"/>
      <c r="AJ598" s="858"/>
    </row>
    <row r="599" ht="15.75" customHeight="1">
      <c r="A599" s="576"/>
      <c r="B599" s="2"/>
      <c r="C599" s="2"/>
      <c r="D599" s="668"/>
      <c r="E599" s="2"/>
      <c r="F599" s="2"/>
      <c r="G599" s="2"/>
      <c r="H599" s="2"/>
      <c r="I599" s="2"/>
      <c r="J599" s="2"/>
      <c r="K599" s="2"/>
      <c r="L599" s="2"/>
      <c r="M599" s="667"/>
      <c r="N599" s="2"/>
      <c r="O599" s="2"/>
      <c r="P599" s="2"/>
      <c r="Q599" s="857"/>
      <c r="R599" s="858"/>
      <c r="S599" s="858"/>
      <c r="T599" s="858"/>
      <c r="U599" s="858"/>
      <c r="V599" s="858"/>
      <c r="W599" s="858"/>
      <c r="X599" s="858"/>
      <c r="Y599" s="858"/>
      <c r="Z599" s="858"/>
      <c r="AA599" s="858"/>
      <c r="AB599" s="858"/>
      <c r="AC599" s="858"/>
      <c r="AD599" s="858"/>
      <c r="AE599" s="858"/>
      <c r="AF599" s="858"/>
      <c r="AG599" s="858"/>
      <c r="AH599" s="858"/>
      <c r="AI599" s="858"/>
      <c r="AJ599" s="858"/>
    </row>
    <row r="600" ht="15.75" customHeight="1">
      <c r="A600" s="576"/>
      <c r="B600" s="2"/>
      <c r="C600" s="2"/>
      <c r="D600" s="668"/>
      <c r="E600" s="2"/>
      <c r="F600" s="2"/>
      <c r="G600" s="2"/>
      <c r="H600" s="2"/>
      <c r="I600" s="2"/>
      <c r="J600" s="2"/>
      <c r="K600" s="2"/>
      <c r="L600" s="2"/>
      <c r="M600" s="667"/>
      <c r="N600" s="2"/>
      <c r="O600" s="2"/>
      <c r="P600" s="2"/>
      <c r="Q600" s="857"/>
      <c r="R600" s="858"/>
      <c r="S600" s="858"/>
      <c r="T600" s="858"/>
      <c r="U600" s="858"/>
      <c r="V600" s="858"/>
      <c r="W600" s="858"/>
      <c r="X600" s="858"/>
      <c r="Y600" s="858"/>
      <c r="Z600" s="858"/>
      <c r="AA600" s="858"/>
      <c r="AB600" s="858"/>
      <c r="AC600" s="858"/>
      <c r="AD600" s="858"/>
      <c r="AE600" s="858"/>
      <c r="AF600" s="858"/>
      <c r="AG600" s="858"/>
      <c r="AH600" s="858"/>
      <c r="AI600" s="858"/>
      <c r="AJ600" s="858"/>
    </row>
    <row r="601" ht="15.75" customHeight="1">
      <c r="A601" s="576"/>
      <c r="B601" s="2"/>
      <c r="C601" s="2"/>
      <c r="D601" s="668"/>
      <c r="E601" s="2"/>
      <c r="F601" s="2"/>
      <c r="G601" s="2"/>
      <c r="H601" s="2"/>
      <c r="I601" s="2"/>
      <c r="J601" s="2"/>
      <c r="K601" s="2"/>
      <c r="L601" s="2"/>
      <c r="M601" s="667"/>
      <c r="N601" s="2"/>
      <c r="O601" s="2"/>
      <c r="P601" s="2"/>
      <c r="Q601" s="857"/>
      <c r="R601" s="858"/>
      <c r="S601" s="858"/>
      <c r="T601" s="858"/>
      <c r="U601" s="858"/>
      <c r="V601" s="858"/>
      <c r="W601" s="858"/>
      <c r="X601" s="858"/>
      <c r="Y601" s="858"/>
      <c r="Z601" s="858"/>
      <c r="AA601" s="858"/>
      <c r="AB601" s="858"/>
      <c r="AC601" s="858"/>
      <c r="AD601" s="858"/>
      <c r="AE601" s="858"/>
      <c r="AF601" s="858"/>
      <c r="AG601" s="858"/>
      <c r="AH601" s="858"/>
      <c r="AI601" s="858"/>
      <c r="AJ601" s="858"/>
    </row>
    <row r="602" ht="15.75" customHeight="1">
      <c r="A602" s="576"/>
      <c r="B602" s="2"/>
      <c r="C602" s="2"/>
      <c r="D602" s="668"/>
      <c r="E602" s="2"/>
      <c r="F602" s="2"/>
      <c r="G602" s="2"/>
      <c r="H602" s="2"/>
      <c r="I602" s="2"/>
      <c r="J602" s="2"/>
      <c r="K602" s="2"/>
      <c r="L602" s="2"/>
      <c r="M602" s="667"/>
      <c r="N602" s="2"/>
      <c r="O602" s="2"/>
      <c r="P602" s="2"/>
      <c r="Q602" s="857"/>
      <c r="R602" s="858"/>
      <c r="S602" s="858"/>
      <c r="T602" s="858"/>
      <c r="U602" s="858"/>
      <c r="V602" s="858"/>
      <c r="W602" s="858"/>
      <c r="X602" s="858"/>
      <c r="Y602" s="858"/>
      <c r="Z602" s="858"/>
      <c r="AA602" s="858"/>
      <c r="AB602" s="858"/>
      <c r="AC602" s="858"/>
      <c r="AD602" s="858"/>
      <c r="AE602" s="858"/>
      <c r="AF602" s="858"/>
      <c r="AG602" s="858"/>
      <c r="AH602" s="858"/>
      <c r="AI602" s="858"/>
      <c r="AJ602" s="858"/>
    </row>
    <row r="603" ht="15.75" customHeight="1">
      <c r="A603" s="576"/>
      <c r="B603" s="2"/>
      <c r="C603" s="2"/>
      <c r="D603" s="668"/>
      <c r="E603" s="2"/>
      <c r="F603" s="2"/>
      <c r="G603" s="2"/>
      <c r="H603" s="2"/>
      <c r="I603" s="2"/>
      <c r="J603" s="2"/>
      <c r="K603" s="2"/>
      <c r="L603" s="2"/>
      <c r="M603" s="667"/>
      <c r="N603" s="2"/>
      <c r="O603" s="2"/>
      <c r="P603" s="2"/>
      <c r="Q603" s="857"/>
      <c r="R603" s="858"/>
      <c r="S603" s="858"/>
      <c r="T603" s="858"/>
      <c r="U603" s="858"/>
      <c r="V603" s="858"/>
      <c r="W603" s="858"/>
      <c r="X603" s="858"/>
      <c r="Y603" s="858"/>
      <c r="Z603" s="858"/>
      <c r="AA603" s="858"/>
      <c r="AB603" s="858"/>
      <c r="AC603" s="858"/>
      <c r="AD603" s="858"/>
      <c r="AE603" s="858"/>
      <c r="AF603" s="858"/>
      <c r="AG603" s="858"/>
      <c r="AH603" s="858"/>
      <c r="AI603" s="858"/>
      <c r="AJ603" s="858"/>
    </row>
    <row r="604" ht="15.75" customHeight="1">
      <c r="A604" s="576"/>
      <c r="B604" s="2"/>
      <c r="C604" s="2"/>
      <c r="D604" s="668"/>
      <c r="E604" s="2"/>
      <c r="F604" s="2"/>
      <c r="G604" s="2"/>
      <c r="H604" s="2"/>
      <c r="I604" s="2"/>
      <c r="J604" s="2"/>
      <c r="K604" s="2"/>
      <c r="L604" s="2"/>
      <c r="M604" s="667"/>
      <c r="N604" s="2"/>
      <c r="O604" s="2"/>
      <c r="P604" s="2"/>
      <c r="Q604" s="857"/>
      <c r="R604" s="858"/>
      <c r="S604" s="858"/>
      <c r="T604" s="858"/>
      <c r="U604" s="858"/>
      <c r="V604" s="858"/>
      <c r="W604" s="858"/>
      <c r="X604" s="858"/>
      <c r="Y604" s="858"/>
      <c r="Z604" s="858"/>
      <c r="AA604" s="858"/>
      <c r="AB604" s="858"/>
      <c r="AC604" s="858"/>
      <c r="AD604" s="858"/>
      <c r="AE604" s="858"/>
      <c r="AF604" s="858"/>
      <c r="AG604" s="858"/>
      <c r="AH604" s="858"/>
      <c r="AI604" s="858"/>
      <c r="AJ604" s="858"/>
    </row>
    <row r="605" ht="15.75" customHeight="1">
      <c r="A605" s="576"/>
      <c r="B605" s="2"/>
      <c r="C605" s="2"/>
      <c r="D605" s="668"/>
      <c r="E605" s="2"/>
      <c r="F605" s="2"/>
      <c r="G605" s="2"/>
      <c r="H605" s="2"/>
      <c r="I605" s="2"/>
      <c r="J605" s="2"/>
      <c r="K605" s="2"/>
      <c r="L605" s="2"/>
      <c r="M605" s="667"/>
      <c r="N605" s="2"/>
      <c r="O605" s="2"/>
      <c r="P605" s="2"/>
      <c r="Q605" s="857"/>
      <c r="R605" s="858"/>
      <c r="S605" s="858"/>
      <c r="T605" s="858"/>
      <c r="U605" s="858"/>
      <c r="V605" s="858"/>
      <c r="W605" s="858"/>
      <c r="X605" s="858"/>
      <c r="Y605" s="858"/>
      <c r="Z605" s="858"/>
      <c r="AA605" s="858"/>
      <c r="AB605" s="858"/>
      <c r="AC605" s="858"/>
      <c r="AD605" s="858"/>
      <c r="AE605" s="858"/>
      <c r="AF605" s="858"/>
      <c r="AG605" s="858"/>
      <c r="AH605" s="858"/>
      <c r="AI605" s="858"/>
      <c r="AJ605" s="858"/>
    </row>
    <row r="606" ht="15.75" customHeight="1">
      <c r="A606" s="576"/>
      <c r="B606" s="2"/>
      <c r="C606" s="2"/>
      <c r="D606" s="668"/>
      <c r="E606" s="2"/>
      <c r="F606" s="2"/>
      <c r="G606" s="2"/>
      <c r="H606" s="2"/>
      <c r="I606" s="2"/>
      <c r="J606" s="2"/>
      <c r="K606" s="2"/>
      <c r="L606" s="2"/>
      <c r="M606" s="667"/>
      <c r="N606" s="2"/>
      <c r="O606" s="2"/>
      <c r="P606" s="2"/>
      <c r="Q606" s="857"/>
      <c r="R606" s="858"/>
      <c r="S606" s="858"/>
      <c r="T606" s="858"/>
      <c r="U606" s="858"/>
      <c r="V606" s="858"/>
      <c r="W606" s="858"/>
      <c r="X606" s="858"/>
      <c r="Y606" s="858"/>
      <c r="Z606" s="858"/>
      <c r="AA606" s="858"/>
      <c r="AB606" s="858"/>
      <c r="AC606" s="858"/>
      <c r="AD606" s="858"/>
      <c r="AE606" s="858"/>
      <c r="AF606" s="858"/>
      <c r="AG606" s="858"/>
      <c r="AH606" s="858"/>
      <c r="AI606" s="858"/>
      <c r="AJ606" s="858"/>
    </row>
    <row r="607" ht="15.75" customHeight="1">
      <c r="A607" s="576"/>
      <c r="B607" s="2"/>
      <c r="C607" s="2"/>
      <c r="D607" s="668"/>
      <c r="E607" s="2"/>
      <c r="F607" s="2"/>
      <c r="G607" s="2"/>
      <c r="H607" s="2"/>
      <c r="I607" s="2"/>
      <c r="J607" s="2"/>
      <c r="K607" s="2"/>
      <c r="L607" s="2"/>
      <c r="M607" s="667"/>
      <c r="N607" s="2"/>
      <c r="O607" s="2"/>
      <c r="P607" s="2"/>
      <c r="Q607" s="857"/>
      <c r="R607" s="858"/>
      <c r="S607" s="858"/>
      <c r="T607" s="858"/>
      <c r="U607" s="858"/>
      <c r="V607" s="858"/>
      <c r="W607" s="858"/>
      <c r="X607" s="858"/>
      <c r="Y607" s="858"/>
      <c r="Z607" s="858"/>
      <c r="AA607" s="858"/>
      <c r="AB607" s="858"/>
      <c r="AC607" s="858"/>
      <c r="AD607" s="858"/>
      <c r="AE607" s="858"/>
      <c r="AF607" s="858"/>
      <c r="AG607" s="858"/>
      <c r="AH607" s="858"/>
      <c r="AI607" s="858"/>
      <c r="AJ607" s="858"/>
    </row>
    <row r="608" ht="15.75" customHeight="1">
      <c r="A608" s="576"/>
      <c r="B608" s="2"/>
      <c r="C608" s="2"/>
      <c r="D608" s="668"/>
      <c r="E608" s="2"/>
      <c r="F608" s="2"/>
      <c r="G608" s="2"/>
      <c r="H608" s="2"/>
      <c r="I608" s="2"/>
      <c r="J608" s="2"/>
      <c r="K608" s="2"/>
      <c r="L608" s="2"/>
      <c r="M608" s="667"/>
      <c r="N608" s="2"/>
      <c r="O608" s="2"/>
      <c r="P608" s="2"/>
      <c r="Q608" s="857"/>
      <c r="R608" s="858"/>
      <c r="S608" s="858"/>
      <c r="T608" s="858"/>
      <c r="U608" s="858"/>
      <c r="V608" s="858"/>
      <c r="W608" s="858"/>
      <c r="X608" s="858"/>
      <c r="Y608" s="858"/>
      <c r="Z608" s="858"/>
      <c r="AA608" s="858"/>
      <c r="AB608" s="858"/>
      <c r="AC608" s="858"/>
      <c r="AD608" s="858"/>
      <c r="AE608" s="858"/>
      <c r="AF608" s="858"/>
      <c r="AG608" s="858"/>
      <c r="AH608" s="858"/>
      <c r="AI608" s="858"/>
      <c r="AJ608" s="858"/>
    </row>
    <row r="609" ht="15.75" customHeight="1">
      <c r="A609" s="576"/>
      <c r="B609" s="2"/>
      <c r="C609" s="2"/>
      <c r="D609" s="668"/>
      <c r="E609" s="2"/>
      <c r="F609" s="2"/>
      <c r="G609" s="2"/>
      <c r="H609" s="2"/>
      <c r="I609" s="2"/>
      <c r="J609" s="2"/>
      <c r="K609" s="2"/>
      <c r="L609" s="2"/>
      <c r="M609" s="667"/>
      <c r="N609" s="2"/>
      <c r="O609" s="2"/>
      <c r="P609" s="2"/>
      <c r="Q609" s="857"/>
      <c r="R609" s="858"/>
      <c r="S609" s="858"/>
      <c r="T609" s="858"/>
      <c r="U609" s="858"/>
      <c r="V609" s="858"/>
      <c r="W609" s="858"/>
      <c r="X609" s="858"/>
      <c r="Y609" s="858"/>
      <c r="Z609" s="858"/>
      <c r="AA609" s="858"/>
      <c r="AB609" s="858"/>
      <c r="AC609" s="858"/>
      <c r="AD609" s="858"/>
      <c r="AE609" s="858"/>
      <c r="AF609" s="858"/>
      <c r="AG609" s="858"/>
      <c r="AH609" s="858"/>
      <c r="AI609" s="858"/>
      <c r="AJ609" s="858"/>
    </row>
    <row r="610" ht="15.75" customHeight="1">
      <c r="A610" s="576"/>
      <c r="B610" s="2"/>
      <c r="C610" s="2"/>
      <c r="D610" s="668"/>
      <c r="E610" s="2"/>
      <c r="F610" s="2"/>
      <c r="G610" s="2"/>
      <c r="H610" s="2"/>
      <c r="I610" s="2"/>
      <c r="J610" s="2"/>
      <c r="K610" s="2"/>
      <c r="L610" s="2"/>
      <c r="M610" s="667"/>
      <c r="N610" s="2"/>
      <c r="O610" s="2"/>
      <c r="P610" s="2"/>
      <c r="Q610" s="857"/>
      <c r="R610" s="858"/>
      <c r="S610" s="858"/>
      <c r="T610" s="858"/>
      <c r="U610" s="858"/>
      <c r="V610" s="858"/>
      <c r="W610" s="858"/>
      <c r="X610" s="858"/>
      <c r="Y610" s="858"/>
      <c r="Z610" s="858"/>
      <c r="AA610" s="858"/>
      <c r="AB610" s="858"/>
      <c r="AC610" s="858"/>
      <c r="AD610" s="858"/>
      <c r="AE610" s="858"/>
      <c r="AF610" s="858"/>
      <c r="AG610" s="858"/>
      <c r="AH610" s="858"/>
      <c r="AI610" s="858"/>
      <c r="AJ610" s="858"/>
    </row>
    <row r="611" ht="15.75" customHeight="1">
      <c r="A611" s="576"/>
      <c r="B611" s="2"/>
      <c r="C611" s="2"/>
      <c r="D611" s="668"/>
      <c r="E611" s="2"/>
      <c r="F611" s="2"/>
      <c r="G611" s="2"/>
      <c r="H611" s="2"/>
      <c r="I611" s="2"/>
      <c r="J611" s="2"/>
      <c r="K611" s="2"/>
      <c r="L611" s="2"/>
      <c r="M611" s="667"/>
      <c r="N611" s="2"/>
      <c r="O611" s="2"/>
      <c r="P611" s="2"/>
      <c r="Q611" s="857"/>
      <c r="R611" s="858"/>
      <c r="S611" s="858"/>
      <c r="T611" s="858"/>
      <c r="U611" s="858"/>
      <c r="V611" s="858"/>
      <c r="W611" s="858"/>
      <c r="X611" s="858"/>
      <c r="Y611" s="858"/>
      <c r="Z611" s="858"/>
      <c r="AA611" s="858"/>
      <c r="AB611" s="858"/>
      <c r="AC611" s="858"/>
      <c r="AD611" s="858"/>
      <c r="AE611" s="858"/>
      <c r="AF611" s="858"/>
      <c r="AG611" s="858"/>
      <c r="AH611" s="858"/>
      <c r="AI611" s="858"/>
      <c r="AJ611" s="858"/>
    </row>
    <row r="612" ht="15.75" customHeight="1">
      <c r="A612" s="576"/>
      <c r="B612" s="2"/>
      <c r="C612" s="2"/>
      <c r="D612" s="668"/>
      <c r="E612" s="2"/>
      <c r="F612" s="2"/>
      <c r="G612" s="2"/>
      <c r="H612" s="2"/>
      <c r="I612" s="2"/>
      <c r="J612" s="2"/>
      <c r="K612" s="2"/>
      <c r="L612" s="2"/>
      <c r="M612" s="667"/>
      <c r="N612" s="2"/>
      <c r="O612" s="2"/>
      <c r="P612" s="2"/>
      <c r="Q612" s="857"/>
      <c r="R612" s="858"/>
      <c r="S612" s="858"/>
      <c r="T612" s="858"/>
      <c r="U612" s="858"/>
      <c r="V612" s="858"/>
      <c r="W612" s="858"/>
      <c r="X612" s="858"/>
      <c r="Y612" s="858"/>
      <c r="Z612" s="858"/>
      <c r="AA612" s="858"/>
      <c r="AB612" s="858"/>
      <c r="AC612" s="858"/>
      <c r="AD612" s="858"/>
      <c r="AE612" s="858"/>
      <c r="AF612" s="858"/>
      <c r="AG612" s="858"/>
      <c r="AH612" s="858"/>
      <c r="AI612" s="858"/>
      <c r="AJ612" s="858"/>
    </row>
    <row r="613" ht="15.75" customHeight="1">
      <c r="A613" s="576"/>
      <c r="B613" s="2"/>
      <c r="C613" s="2"/>
      <c r="D613" s="668"/>
      <c r="E613" s="2"/>
      <c r="F613" s="2"/>
      <c r="G613" s="2"/>
      <c r="H613" s="2"/>
      <c r="I613" s="2"/>
      <c r="J613" s="2"/>
      <c r="K613" s="2"/>
      <c r="L613" s="2"/>
      <c r="M613" s="667"/>
      <c r="N613" s="2"/>
      <c r="O613" s="2"/>
      <c r="P613" s="2"/>
      <c r="Q613" s="857"/>
      <c r="R613" s="858"/>
      <c r="S613" s="858"/>
      <c r="T613" s="858"/>
      <c r="U613" s="858"/>
      <c r="V613" s="858"/>
      <c r="W613" s="858"/>
      <c r="X613" s="858"/>
      <c r="Y613" s="858"/>
      <c r="Z613" s="858"/>
      <c r="AA613" s="858"/>
      <c r="AB613" s="858"/>
      <c r="AC613" s="858"/>
      <c r="AD613" s="858"/>
      <c r="AE613" s="858"/>
      <c r="AF613" s="858"/>
      <c r="AG613" s="858"/>
      <c r="AH613" s="858"/>
      <c r="AI613" s="858"/>
      <c r="AJ613" s="858"/>
    </row>
    <row r="614" ht="15.75" customHeight="1">
      <c r="A614" s="576"/>
      <c r="B614" s="2"/>
      <c r="C614" s="2"/>
      <c r="D614" s="668"/>
      <c r="E614" s="2"/>
      <c r="F614" s="2"/>
      <c r="G614" s="2"/>
      <c r="H614" s="2"/>
      <c r="I614" s="2"/>
      <c r="J614" s="2"/>
      <c r="K614" s="2"/>
      <c r="L614" s="2"/>
      <c r="M614" s="667"/>
      <c r="N614" s="2"/>
      <c r="O614" s="2"/>
      <c r="P614" s="2"/>
      <c r="Q614" s="857"/>
      <c r="R614" s="858"/>
      <c r="S614" s="858"/>
      <c r="T614" s="858"/>
      <c r="U614" s="858"/>
      <c r="V614" s="858"/>
      <c r="W614" s="858"/>
      <c r="X614" s="858"/>
      <c r="Y614" s="858"/>
      <c r="Z614" s="858"/>
      <c r="AA614" s="858"/>
      <c r="AB614" s="858"/>
      <c r="AC614" s="858"/>
      <c r="AD614" s="858"/>
      <c r="AE614" s="858"/>
      <c r="AF614" s="858"/>
      <c r="AG614" s="858"/>
      <c r="AH614" s="858"/>
      <c r="AI614" s="858"/>
      <c r="AJ614" s="858"/>
    </row>
    <row r="615" ht="15.75" customHeight="1">
      <c r="A615" s="576"/>
      <c r="B615" s="2"/>
      <c r="C615" s="2"/>
      <c r="D615" s="668"/>
      <c r="E615" s="2"/>
      <c r="F615" s="2"/>
      <c r="G615" s="2"/>
      <c r="H615" s="2"/>
      <c r="I615" s="2"/>
      <c r="J615" s="2"/>
      <c r="K615" s="2"/>
      <c r="L615" s="2"/>
      <c r="M615" s="667"/>
      <c r="N615" s="2"/>
      <c r="O615" s="2"/>
      <c r="P615" s="2"/>
      <c r="Q615" s="857"/>
      <c r="R615" s="858"/>
      <c r="S615" s="858"/>
      <c r="T615" s="858"/>
      <c r="U615" s="858"/>
      <c r="V615" s="858"/>
      <c r="W615" s="858"/>
      <c r="X615" s="858"/>
      <c r="Y615" s="858"/>
      <c r="Z615" s="858"/>
      <c r="AA615" s="858"/>
      <c r="AB615" s="858"/>
      <c r="AC615" s="858"/>
      <c r="AD615" s="858"/>
      <c r="AE615" s="858"/>
      <c r="AF615" s="858"/>
      <c r="AG615" s="858"/>
      <c r="AH615" s="858"/>
      <c r="AI615" s="858"/>
      <c r="AJ615" s="858"/>
    </row>
    <row r="616" ht="15.75" customHeight="1">
      <c r="A616" s="576"/>
      <c r="B616" s="2"/>
      <c r="C616" s="2"/>
      <c r="D616" s="668"/>
      <c r="E616" s="2"/>
      <c r="F616" s="2"/>
      <c r="G616" s="2"/>
      <c r="H616" s="2"/>
      <c r="I616" s="2"/>
      <c r="J616" s="2"/>
      <c r="K616" s="2"/>
      <c r="L616" s="2"/>
      <c r="M616" s="667"/>
      <c r="N616" s="2"/>
      <c r="O616" s="2"/>
      <c r="P616" s="2"/>
      <c r="Q616" s="857"/>
      <c r="R616" s="858"/>
      <c r="S616" s="858"/>
      <c r="T616" s="858"/>
      <c r="U616" s="858"/>
      <c r="V616" s="858"/>
      <c r="W616" s="858"/>
      <c r="X616" s="858"/>
      <c r="Y616" s="858"/>
      <c r="Z616" s="858"/>
      <c r="AA616" s="858"/>
      <c r="AB616" s="858"/>
      <c r="AC616" s="858"/>
      <c r="AD616" s="858"/>
      <c r="AE616" s="858"/>
      <c r="AF616" s="858"/>
      <c r="AG616" s="858"/>
      <c r="AH616" s="858"/>
      <c r="AI616" s="858"/>
      <c r="AJ616" s="858"/>
    </row>
    <row r="617" ht="15.75" customHeight="1">
      <c r="A617" s="576"/>
      <c r="B617" s="2"/>
      <c r="C617" s="2"/>
      <c r="D617" s="668"/>
      <c r="E617" s="2"/>
      <c r="F617" s="2"/>
      <c r="G617" s="2"/>
      <c r="H617" s="2"/>
      <c r="I617" s="2"/>
      <c r="J617" s="2"/>
      <c r="K617" s="2"/>
      <c r="L617" s="2"/>
      <c r="M617" s="667"/>
      <c r="N617" s="2"/>
      <c r="O617" s="2"/>
      <c r="P617" s="2"/>
      <c r="Q617" s="857"/>
      <c r="R617" s="858"/>
      <c r="S617" s="858"/>
      <c r="T617" s="858"/>
      <c r="U617" s="858"/>
      <c r="V617" s="858"/>
      <c r="W617" s="858"/>
      <c r="X617" s="858"/>
      <c r="Y617" s="858"/>
      <c r="Z617" s="858"/>
      <c r="AA617" s="858"/>
      <c r="AB617" s="858"/>
      <c r="AC617" s="858"/>
      <c r="AD617" s="858"/>
      <c r="AE617" s="858"/>
      <c r="AF617" s="858"/>
      <c r="AG617" s="858"/>
      <c r="AH617" s="858"/>
      <c r="AI617" s="858"/>
      <c r="AJ617" s="858"/>
    </row>
    <row r="618" ht="15.75" customHeight="1">
      <c r="A618" s="576"/>
      <c r="B618" s="2"/>
      <c r="C618" s="2"/>
      <c r="D618" s="668"/>
      <c r="E618" s="2"/>
      <c r="F618" s="2"/>
      <c r="G618" s="2"/>
      <c r="H618" s="2"/>
      <c r="I618" s="2"/>
      <c r="J618" s="2"/>
      <c r="K618" s="2"/>
      <c r="L618" s="2"/>
      <c r="M618" s="667"/>
      <c r="N618" s="2"/>
      <c r="O618" s="2"/>
      <c r="P618" s="2"/>
      <c r="Q618" s="857"/>
      <c r="R618" s="858"/>
      <c r="S618" s="858"/>
      <c r="T618" s="858"/>
      <c r="U618" s="858"/>
      <c r="V618" s="858"/>
      <c r="W618" s="858"/>
      <c r="X618" s="858"/>
      <c r="Y618" s="858"/>
      <c r="Z618" s="858"/>
      <c r="AA618" s="858"/>
      <c r="AB618" s="858"/>
      <c r="AC618" s="858"/>
      <c r="AD618" s="858"/>
      <c r="AE618" s="858"/>
      <c r="AF618" s="858"/>
      <c r="AG618" s="858"/>
      <c r="AH618" s="858"/>
      <c r="AI618" s="858"/>
      <c r="AJ618" s="858"/>
    </row>
    <row r="619" ht="15.75" customHeight="1">
      <c r="A619" s="576"/>
      <c r="B619" s="2"/>
      <c r="C619" s="2"/>
      <c r="D619" s="668"/>
      <c r="E619" s="2"/>
      <c r="F619" s="2"/>
      <c r="G619" s="2"/>
      <c r="H619" s="2"/>
      <c r="I619" s="2"/>
      <c r="J619" s="2"/>
      <c r="K619" s="2"/>
      <c r="L619" s="2"/>
      <c r="M619" s="667"/>
      <c r="N619" s="2"/>
      <c r="O619" s="2"/>
      <c r="P619" s="2"/>
      <c r="Q619" s="857"/>
      <c r="R619" s="858"/>
      <c r="S619" s="858"/>
      <c r="T619" s="858"/>
      <c r="U619" s="858"/>
      <c r="V619" s="858"/>
      <c r="W619" s="858"/>
      <c r="X619" s="858"/>
      <c r="Y619" s="858"/>
      <c r="Z619" s="858"/>
      <c r="AA619" s="858"/>
      <c r="AB619" s="858"/>
      <c r="AC619" s="858"/>
      <c r="AD619" s="858"/>
      <c r="AE619" s="858"/>
      <c r="AF619" s="858"/>
      <c r="AG619" s="858"/>
      <c r="AH619" s="858"/>
      <c r="AI619" s="858"/>
      <c r="AJ619" s="858"/>
    </row>
    <row r="620" ht="15.75" customHeight="1">
      <c r="A620" s="576"/>
      <c r="B620" s="2"/>
      <c r="C620" s="2"/>
      <c r="D620" s="668"/>
      <c r="E620" s="2"/>
      <c r="F620" s="2"/>
      <c r="G620" s="2"/>
      <c r="H620" s="2"/>
      <c r="I620" s="2"/>
      <c r="J620" s="2"/>
      <c r="K620" s="2"/>
      <c r="L620" s="2"/>
      <c r="M620" s="667"/>
      <c r="N620" s="2"/>
      <c r="O620" s="2"/>
      <c r="P620" s="2"/>
      <c r="Q620" s="857"/>
      <c r="R620" s="858"/>
      <c r="S620" s="858"/>
      <c r="T620" s="858"/>
      <c r="U620" s="858"/>
      <c r="V620" s="858"/>
      <c r="W620" s="858"/>
      <c r="X620" s="858"/>
      <c r="Y620" s="858"/>
      <c r="Z620" s="858"/>
      <c r="AA620" s="858"/>
      <c r="AB620" s="858"/>
      <c r="AC620" s="858"/>
      <c r="AD620" s="858"/>
      <c r="AE620" s="858"/>
      <c r="AF620" s="858"/>
      <c r="AG620" s="858"/>
      <c r="AH620" s="858"/>
      <c r="AI620" s="858"/>
      <c r="AJ620" s="858"/>
    </row>
    <row r="621" ht="15.75" customHeight="1">
      <c r="A621" s="576"/>
      <c r="B621" s="2"/>
      <c r="C621" s="2"/>
      <c r="D621" s="668"/>
      <c r="E621" s="2"/>
      <c r="F621" s="2"/>
      <c r="G621" s="2"/>
      <c r="H621" s="2"/>
      <c r="I621" s="2"/>
      <c r="J621" s="2"/>
      <c r="K621" s="2"/>
      <c r="L621" s="2"/>
      <c r="M621" s="667"/>
      <c r="N621" s="2"/>
      <c r="O621" s="2"/>
      <c r="P621" s="2"/>
      <c r="Q621" s="857"/>
      <c r="R621" s="858"/>
      <c r="S621" s="858"/>
      <c r="T621" s="858"/>
      <c r="U621" s="858"/>
      <c r="V621" s="858"/>
      <c r="W621" s="858"/>
      <c r="X621" s="858"/>
      <c r="Y621" s="858"/>
      <c r="Z621" s="858"/>
      <c r="AA621" s="858"/>
      <c r="AB621" s="858"/>
      <c r="AC621" s="858"/>
      <c r="AD621" s="858"/>
      <c r="AE621" s="858"/>
      <c r="AF621" s="858"/>
      <c r="AG621" s="858"/>
      <c r="AH621" s="858"/>
      <c r="AI621" s="858"/>
      <c r="AJ621" s="858"/>
    </row>
    <row r="622" ht="15.75" customHeight="1">
      <c r="A622" s="576"/>
      <c r="B622" s="2"/>
      <c r="C622" s="2"/>
      <c r="D622" s="668"/>
      <c r="E622" s="2"/>
      <c r="F622" s="2"/>
      <c r="G622" s="2"/>
      <c r="H622" s="2"/>
      <c r="I622" s="2"/>
      <c r="J622" s="2"/>
      <c r="K622" s="2"/>
      <c r="L622" s="2"/>
      <c r="M622" s="667"/>
      <c r="N622" s="2"/>
      <c r="O622" s="2"/>
      <c r="P622" s="2"/>
      <c r="Q622" s="857"/>
      <c r="R622" s="858"/>
      <c r="S622" s="858"/>
      <c r="T622" s="858"/>
      <c r="U622" s="858"/>
      <c r="V622" s="858"/>
      <c r="W622" s="858"/>
      <c r="X622" s="858"/>
      <c r="Y622" s="858"/>
      <c r="Z622" s="858"/>
      <c r="AA622" s="858"/>
      <c r="AB622" s="858"/>
      <c r="AC622" s="858"/>
      <c r="AD622" s="858"/>
      <c r="AE622" s="858"/>
      <c r="AF622" s="858"/>
      <c r="AG622" s="858"/>
      <c r="AH622" s="858"/>
      <c r="AI622" s="858"/>
      <c r="AJ622" s="858"/>
    </row>
    <row r="623" ht="15.75" customHeight="1">
      <c r="A623" s="576"/>
      <c r="B623" s="2"/>
      <c r="C623" s="2"/>
      <c r="D623" s="668"/>
      <c r="E623" s="2"/>
      <c r="F623" s="2"/>
      <c r="G623" s="2"/>
      <c r="H623" s="2"/>
      <c r="I623" s="2"/>
      <c r="J623" s="2"/>
      <c r="K623" s="2"/>
      <c r="L623" s="2"/>
      <c r="M623" s="667"/>
      <c r="N623" s="2"/>
      <c r="O623" s="2"/>
      <c r="P623" s="2"/>
      <c r="Q623" s="857"/>
      <c r="R623" s="858"/>
      <c r="S623" s="858"/>
      <c r="T623" s="858"/>
      <c r="U623" s="858"/>
      <c r="V623" s="858"/>
      <c r="W623" s="858"/>
      <c r="X623" s="858"/>
      <c r="Y623" s="858"/>
      <c r="Z623" s="858"/>
      <c r="AA623" s="858"/>
      <c r="AB623" s="858"/>
      <c r="AC623" s="858"/>
      <c r="AD623" s="858"/>
      <c r="AE623" s="858"/>
      <c r="AF623" s="858"/>
      <c r="AG623" s="858"/>
      <c r="AH623" s="858"/>
      <c r="AI623" s="858"/>
      <c r="AJ623" s="858"/>
    </row>
    <row r="624" ht="15.75" customHeight="1">
      <c r="A624" s="576"/>
      <c r="B624" s="2"/>
      <c r="C624" s="2"/>
      <c r="D624" s="668"/>
      <c r="E624" s="2"/>
      <c r="F624" s="2"/>
      <c r="G624" s="2"/>
      <c r="H624" s="2"/>
      <c r="I624" s="2"/>
      <c r="J624" s="2"/>
      <c r="K624" s="2"/>
      <c r="L624" s="2"/>
      <c r="M624" s="667"/>
      <c r="N624" s="2"/>
      <c r="O624" s="2"/>
      <c r="P624" s="2"/>
      <c r="Q624" s="857"/>
      <c r="R624" s="858"/>
      <c r="S624" s="858"/>
      <c r="T624" s="858"/>
      <c r="U624" s="858"/>
      <c r="V624" s="858"/>
      <c r="W624" s="858"/>
      <c r="X624" s="858"/>
      <c r="Y624" s="858"/>
      <c r="Z624" s="858"/>
      <c r="AA624" s="858"/>
      <c r="AB624" s="858"/>
      <c r="AC624" s="858"/>
      <c r="AD624" s="858"/>
      <c r="AE624" s="858"/>
      <c r="AF624" s="858"/>
      <c r="AG624" s="858"/>
      <c r="AH624" s="858"/>
      <c r="AI624" s="858"/>
      <c r="AJ624" s="858"/>
    </row>
    <row r="625" ht="15.75" customHeight="1">
      <c r="A625" s="576"/>
      <c r="B625" s="2"/>
      <c r="C625" s="2"/>
      <c r="D625" s="668"/>
      <c r="E625" s="2"/>
      <c r="F625" s="2"/>
      <c r="G625" s="2"/>
      <c r="H625" s="2"/>
      <c r="I625" s="2"/>
      <c r="J625" s="2"/>
      <c r="K625" s="2"/>
      <c r="L625" s="2"/>
      <c r="M625" s="667"/>
      <c r="N625" s="2"/>
      <c r="O625" s="2"/>
      <c r="P625" s="2"/>
      <c r="Q625" s="857"/>
      <c r="R625" s="858"/>
      <c r="S625" s="858"/>
      <c r="T625" s="858"/>
      <c r="U625" s="858"/>
      <c r="V625" s="858"/>
      <c r="W625" s="858"/>
      <c r="X625" s="858"/>
      <c r="Y625" s="858"/>
      <c r="Z625" s="858"/>
      <c r="AA625" s="858"/>
      <c r="AB625" s="858"/>
      <c r="AC625" s="858"/>
      <c r="AD625" s="858"/>
      <c r="AE625" s="858"/>
      <c r="AF625" s="858"/>
      <c r="AG625" s="858"/>
      <c r="AH625" s="858"/>
      <c r="AI625" s="858"/>
      <c r="AJ625" s="858"/>
    </row>
    <row r="626" ht="15.75" customHeight="1">
      <c r="A626" s="576"/>
      <c r="B626" s="2"/>
      <c r="C626" s="2"/>
      <c r="D626" s="668"/>
      <c r="E626" s="2"/>
      <c r="F626" s="2"/>
      <c r="G626" s="2"/>
      <c r="H626" s="2"/>
      <c r="I626" s="2"/>
      <c r="J626" s="2"/>
      <c r="K626" s="2"/>
      <c r="L626" s="2"/>
      <c r="M626" s="667"/>
      <c r="N626" s="2"/>
      <c r="O626" s="2"/>
      <c r="P626" s="2"/>
      <c r="Q626" s="857"/>
      <c r="R626" s="858"/>
      <c r="S626" s="858"/>
      <c r="T626" s="858"/>
      <c r="U626" s="858"/>
      <c r="V626" s="858"/>
      <c r="W626" s="858"/>
      <c r="X626" s="858"/>
      <c r="Y626" s="858"/>
      <c r="Z626" s="858"/>
      <c r="AA626" s="858"/>
      <c r="AB626" s="858"/>
      <c r="AC626" s="858"/>
      <c r="AD626" s="858"/>
      <c r="AE626" s="858"/>
      <c r="AF626" s="858"/>
      <c r="AG626" s="858"/>
      <c r="AH626" s="858"/>
      <c r="AI626" s="858"/>
      <c r="AJ626" s="858"/>
    </row>
    <row r="627" ht="15.75" customHeight="1">
      <c r="A627" s="576"/>
      <c r="B627" s="2"/>
      <c r="C627" s="2"/>
      <c r="D627" s="668"/>
      <c r="E627" s="2"/>
      <c r="F627" s="2"/>
      <c r="G627" s="2"/>
      <c r="H627" s="2"/>
      <c r="I627" s="2"/>
      <c r="J627" s="2"/>
      <c r="K627" s="2"/>
      <c r="L627" s="2"/>
      <c r="M627" s="667"/>
      <c r="N627" s="2"/>
      <c r="O627" s="2"/>
      <c r="P627" s="2"/>
      <c r="Q627" s="857"/>
      <c r="R627" s="858"/>
      <c r="S627" s="858"/>
      <c r="T627" s="858"/>
      <c r="U627" s="858"/>
      <c r="V627" s="858"/>
      <c r="W627" s="858"/>
      <c r="X627" s="858"/>
      <c r="Y627" s="858"/>
      <c r="Z627" s="858"/>
      <c r="AA627" s="858"/>
      <c r="AB627" s="858"/>
      <c r="AC627" s="858"/>
      <c r="AD627" s="858"/>
      <c r="AE627" s="858"/>
      <c r="AF627" s="858"/>
      <c r="AG627" s="858"/>
      <c r="AH627" s="858"/>
      <c r="AI627" s="858"/>
      <c r="AJ627" s="858"/>
    </row>
    <row r="628" ht="15.75" customHeight="1">
      <c r="A628" s="576"/>
      <c r="B628" s="2"/>
      <c r="C628" s="2"/>
      <c r="D628" s="668"/>
      <c r="E628" s="2"/>
      <c r="F628" s="2"/>
      <c r="G628" s="2"/>
      <c r="H628" s="2"/>
      <c r="I628" s="2"/>
      <c r="J628" s="2"/>
      <c r="K628" s="2"/>
      <c r="L628" s="2"/>
      <c r="M628" s="667"/>
      <c r="N628" s="2"/>
      <c r="O628" s="2"/>
      <c r="P628" s="2"/>
      <c r="Q628" s="857"/>
      <c r="R628" s="858"/>
      <c r="S628" s="858"/>
      <c r="T628" s="858"/>
      <c r="U628" s="858"/>
      <c r="V628" s="858"/>
      <c r="W628" s="858"/>
      <c r="X628" s="858"/>
      <c r="Y628" s="858"/>
      <c r="Z628" s="858"/>
      <c r="AA628" s="858"/>
      <c r="AB628" s="858"/>
      <c r="AC628" s="858"/>
      <c r="AD628" s="858"/>
      <c r="AE628" s="858"/>
      <c r="AF628" s="858"/>
      <c r="AG628" s="858"/>
      <c r="AH628" s="858"/>
      <c r="AI628" s="858"/>
      <c r="AJ628" s="858"/>
    </row>
    <row r="629" ht="15.75" customHeight="1">
      <c r="A629" s="576"/>
      <c r="B629" s="2"/>
      <c r="C629" s="2"/>
      <c r="D629" s="668"/>
      <c r="E629" s="2"/>
      <c r="F629" s="2"/>
      <c r="G629" s="2"/>
      <c r="H629" s="2"/>
      <c r="I629" s="2"/>
      <c r="J629" s="2"/>
      <c r="K629" s="2"/>
      <c r="L629" s="2"/>
      <c r="M629" s="667"/>
      <c r="N629" s="2"/>
      <c r="O629" s="2"/>
      <c r="P629" s="2"/>
      <c r="Q629" s="857"/>
      <c r="R629" s="858"/>
      <c r="S629" s="858"/>
      <c r="T629" s="858"/>
      <c r="U629" s="858"/>
      <c r="V629" s="858"/>
      <c r="W629" s="858"/>
      <c r="X629" s="858"/>
      <c r="Y629" s="858"/>
      <c r="Z629" s="858"/>
      <c r="AA629" s="858"/>
      <c r="AB629" s="858"/>
      <c r="AC629" s="858"/>
      <c r="AD629" s="858"/>
      <c r="AE629" s="858"/>
      <c r="AF629" s="858"/>
      <c r="AG629" s="858"/>
      <c r="AH629" s="858"/>
      <c r="AI629" s="858"/>
      <c r="AJ629" s="858"/>
    </row>
    <row r="630" ht="15.75" customHeight="1">
      <c r="A630" s="576"/>
      <c r="B630" s="2"/>
      <c r="C630" s="2"/>
      <c r="D630" s="668"/>
      <c r="E630" s="2"/>
      <c r="F630" s="2"/>
      <c r="G630" s="2"/>
      <c r="H630" s="2"/>
      <c r="I630" s="2"/>
      <c r="J630" s="2"/>
      <c r="K630" s="2"/>
      <c r="L630" s="2"/>
      <c r="M630" s="667"/>
      <c r="N630" s="2"/>
      <c r="O630" s="2"/>
      <c r="P630" s="2"/>
      <c r="Q630" s="857"/>
      <c r="R630" s="858"/>
      <c r="S630" s="858"/>
      <c r="T630" s="858"/>
      <c r="U630" s="858"/>
      <c r="V630" s="858"/>
      <c r="W630" s="858"/>
      <c r="X630" s="858"/>
      <c r="Y630" s="858"/>
      <c r="Z630" s="858"/>
      <c r="AA630" s="858"/>
      <c r="AB630" s="858"/>
      <c r="AC630" s="858"/>
      <c r="AD630" s="858"/>
      <c r="AE630" s="858"/>
      <c r="AF630" s="858"/>
      <c r="AG630" s="858"/>
      <c r="AH630" s="858"/>
      <c r="AI630" s="858"/>
      <c r="AJ630" s="858"/>
    </row>
    <row r="631" ht="15.75" customHeight="1">
      <c r="A631" s="576"/>
      <c r="B631" s="2"/>
      <c r="C631" s="2"/>
      <c r="D631" s="668"/>
      <c r="E631" s="2"/>
      <c r="F631" s="2"/>
      <c r="G631" s="2"/>
      <c r="H631" s="2"/>
      <c r="I631" s="2"/>
      <c r="J631" s="2"/>
      <c r="K631" s="2"/>
      <c r="L631" s="2"/>
      <c r="M631" s="667"/>
      <c r="N631" s="2"/>
      <c r="O631" s="2"/>
      <c r="P631" s="2"/>
      <c r="Q631" s="857"/>
      <c r="R631" s="858"/>
      <c r="S631" s="858"/>
      <c r="T631" s="858"/>
      <c r="U631" s="858"/>
      <c r="V631" s="858"/>
      <c r="W631" s="858"/>
      <c r="X631" s="858"/>
      <c r="Y631" s="858"/>
      <c r="Z631" s="858"/>
      <c r="AA631" s="858"/>
      <c r="AB631" s="858"/>
      <c r="AC631" s="858"/>
      <c r="AD631" s="858"/>
      <c r="AE631" s="858"/>
      <c r="AF631" s="858"/>
      <c r="AG631" s="858"/>
      <c r="AH631" s="858"/>
      <c r="AI631" s="858"/>
      <c r="AJ631" s="858"/>
    </row>
    <row r="632" ht="15.75" customHeight="1">
      <c r="A632" s="576"/>
      <c r="B632" s="2"/>
      <c r="C632" s="2"/>
      <c r="D632" s="668"/>
      <c r="E632" s="2"/>
      <c r="F632" s="2"/>
      <c r="G632" s="2"/>
      <c r="H632" s="2"/>
      <c r="I632" s="2"/>
      <c r="J632" s="2"/>
      <c r="K632" s="2"/>
      <c r="L632" s="2"/>
      <c r="M632" s="667"/>
      <c r="N632" s="2"/>
      <c r="O632" s="2"/>
      <c r="P632" s="2"/>
      <c r="Q632" s="857"/>
      <c r="R632" s="858"/>
      <c r="S632" s="858"/>
      <c r="T632" s="858"/>
      <c r="U632" s="858"/>
      <c r="V632" s="858"/>
      <c r="W632" s="858"/>
      <c r="X632" s="858"/>
      <c r="Y632" s="858"/>
      <c r="Z632" s="858"/>
      <c r="AA632" s="858"/>
      <c r="AB632" s="858"/>
      <c r="AC632" s="858"/>
      <c r="AD632" s="858"/>
      <c r="AE632" s="858"/>
      <c r="AF632" s="858"/>
      <c r="AG632" s="858"/>
      <c r="AH632" s="858"/>
      <c r="AI632" s="858"/>
      <c r="AJ632" s="858"/>
    </row>
    <row r="633" ht="15.75" customHeight="1">
      <c r="A633" s="576"/>
      <c r="B633" s="2"/>
      <c r="C633" s="2"/>
      <c r="D633" s="668"/>
      <c r="E633" s="2"/>
      <c r="F633" s="2"/>
      <c r="G633" s="2"/>
      <c r="H633" s="2"/>
      <c r="I633" s="2"/>
      <c r="J633" s="2"/>
      <c r="K633" s="2"/>
      <c r="L633" s="2"/>
      <c r="M633" s="667"/>
      <c r="N633" s="2"/>
      <c r="O633" s="2"/>
      <c r="P633" s="2"/>
      <c r="Q633" s="857"/>
      <c r="R633" s="858"/>
      <c r="S633" s="858"/>
      <c r="T633" s="858"/>
      <c r="U633" s="858"/>
      <c r="V633" s="858"/>
      <c r="W633" s="858"/>
      <c r="X633" s="858"/>
      <c r="Y633" s="858"/>
      <c r="Z633" s="858"/>
      <c r="AA633" s="858"/>
      <c r="AB633" s="858"/>
      <c r="AC633" s="858"/>
      <c r="AD633" s="858"/>
      <c r="AE633" s="858"/>
      <c r="AF633" s="858"/>
      <c r="AG633" s="858"/>
      <c r="AH633" s="858"/>
      <c r="AI633" s="858"/>
      <c r="AJ633" s="858"/>
    </row>
    <row r="634" ht="15.75" customHeight="1">
      <c r="A634" s="576"/>
      <c r="B634" s="2"/>
      <c r="C634" s="2"/>
      <c r="D634" s="668"/>
      <c r="E634" s="2"/>
      <c r="F634" s="2"/>
      <c r="G634" s="2"/>
      <c r="H634" s="2"/>
      <c r="I634" s="2"/>
      <c r="J634" s="2"/>
      <c r="K634" s="2"/>
      <c r="L634" s="2"/>
      <c r="M634" s="667"/>
      <c r="N634" s="2"/>
      <c r="O634" s="2"/>
      <c r="P634" s="2"/>
      <c r="Q634" s="857"/>
      <c r="R634" s="858"/>
      <c r="S634" s="858"/>
      <c r="T634" s="858"/>
      <c r="U634" s="858"/>
      <c r="V634" s="858"/>
      <c r="W634" s="858"/>
      <c r="X634" s="858"/>
      <c r="Y634" s="858"/>
      <c r="Z634" s="858"/>
      <c r="AA634" s="858"/>
      <c r="AB634" s="858"/>
      <c r="AC634" s="858"/>
      <c r="AD634" s="858"/>
      <c r="AE634" s="858"/>
      <c r="AF634" s="858"/>
      <c r="AG634" s="858"/>
      <c r="AH634" s="858"/>
      <c r="AI634" s="858"/>
      <c r="AJ634" s="858"/>
    </row>
    <row r="635" ht="15.75" customHeight="1">
      <c r="A635" s="576"/>
      <c r="B635" s="2"/>
      <c r="C635" s="2"/>
      <c r="D635" s="668"/>
      <c r="E635" s="2"/>
      <c r="F635" s="2"/>
      <c r="G635" s="2"/>
      <c r="H635" s="2"/>
      <c r="I635" s="2"/>
      <c r="J635" s="2"/>
      <c r="K635" s="2"/>
      <c r="L635" s="2"/>
      <c r="M635" s="667"/>
      <c r="N635" s="2"/>
      <c r="O635" s="2"/>
      <c r="P635" s="2"/>
      <c r="Q635" s="857"/>
      <c r="R635" s="858"/>
      <c r="S635" s="858"/>
      <c r="T635" s="858"/>
      <c r="U635" s="858"/>
      <c r="V635" s="858"/>
      <c r="W635" s="858"/>
      <c r="X635" s="858"/>
      <c r="Y635" s="858"/>
      <c r="Z635" s="858"/>
      <c r="AA635" s="858"/>
      <c r="AB635" s="858"/>
      <c r="AC635" s="858"/>
      <c r="AD635" s="858"/>
      <c r="AE635" s="858"/>
      <c r="AF635" s="858"/>
      <c r="AG635" s="858"/>
      <c r="AH635" s="858"/>
      <c r="AI635" s="858"/>
      <c r="AJ635" s="858"/>
    </row>
    <row r="636" ht="15.75" customHeight="1">
      <c r="A636" s="576"/>
      <c r="B636" s="2"/>
      <c r="C636" s="2"/>
      <c r="D636" s="668"/>
      <c r="E636" s="2"/>
      <c r="F636" s="2"/>
      <c r="G636" s="2"/>
      <c r="H636" s="2"/>
      <c r="I636" s="2"/>
      <c r="J636" s="2"/>
      <c r="K636" s="2"/>
      <c r="L636" s="2"/>
      <c r="M636" s="667"/>
      <c r="N636" s="2"/>
      <c r="O636" s="2"/>
      <c r="P636" s="2"/>
      <c r="Q636" s="857"/>
      <c r="R636" s="858"/>
      <c r="S636" s="858"/>
      <c r="T636" s="858"/>
      <c r="U636" s="858"/>
      <c r="V636" s="858"/>
      <c r="W636" s="858"/>
      <c r="X636" s="858"/>
      <c r="Y636" s="858"/>
      <c r="Z636" s="858"/>
      <c r="AA636" s="858"/>
      <c r="AB636" s="858"/>
      <c r="AC636" s="858"/>
      <c r="AD636" s="858"/>
      <c r="AE636" s="858"/>
      <c r="AF636" s="858"/>
      <c r="AG636" s="858"/>
      <c r="AH636" s="858"/>
      <c r="AI636" s="858"/>
      <c r="AJ636" s="858"/>
    </row>
    <row r="637" ht="15.75" customHeight="1">
      <c r="A637" s="576"/>
      <c r="B637" s="2"/>
      <c r="C637" s="2"/>
      <c r="D637" s="668"/>
      <c r="E637" s="2"/>
      <c r="F637" s="2"/>
      <c r="G637" s="2"/>
      <c r="H637" s="2"/>
      <c r="I637" s="2"/>
      <c r="J637" s="2"/>
      <c r="K637" s="2"/>
      <c r="L637" s="2"/>
      <c r="M637" s="667"/>
      <c r="N637" s="2"/>
      <c r="O637" s="2"/>
      <c r="P637" s="2"/>
      <c r="Q637" s="857"/>
      <c r="R637" s="858"/>
      <c r="S637" s="858"/>
      <c r="T637" s="858"/>
      <c r="U637" s="858"/>
      <c r="V637" s="858"/>
      <c r="W637" s="858"/>
      <c r="X637" s="858"/>
      <c r="Y637" s="858"/>
      <c r="Z637" s="858"/>
      <c r="AA637" s="858"/>
      <c r="AB637" s="858"/>
      <c r="AC637" s="858"/>
      <c r="AD637" s="858"/>
      <c r="AE637" s="858"/>
      <c r="AF637" s="858"/>
      <c r="AG637" s="858"/>
      <c r="AH637" s="858"/>
      <c r="AI637" s="858"/>
      <c r="AJ637" s="858"/>
    </row>
    <row r="638" ht="15.75" customHeight="1">
      <c r="A638" s="576"/>
      <c r="B638" s="2"/>
      <c r="C638" s="2"/>
      <c r="D638" s="668"/>
      <c r="E638" s="2"/>
      <c r="F638" s="2"/>
      <c r="G638" s="2"/>
      <c r="H638" s="2"/>
      <c r="I638" s="2"/>
      <c r="J638" s="2"/>
      <c r="K638" s="2"/>
      <c r="L638" s="2"/>
      <c r="M638" s="667"/>
      <c r="N638" s="2"/>
      <c r="O638" s="2"/>
      <c r="P638" s="2"/>
      <c r="Q638" s="857"/>
      <c r="R638" s="858"/>
      <c r="S638" s="858"/>
      <c r="T638" s="858"/>
      <c r="U638" s="858"/>
      <c r="V638" s="858"/>
      <c r="W638" s="858"/>
      <c r="X638" s="858"/>
      <c r="Y638" s="858"/>
      <c r="Z638" s="858"/>
      <c r="AA638" s="858"/>
      <c r="AB638" s="858"/>
      <c r="AC638" s="858"/>
      <c r="AD638" s="858"/>
      <c r="AE638" s="858"/>
      <c r="AF638" s="858"/>
      <c r="AG638" s="858"/>
      <c r="AH638" s="858"/>
      <c r="AI638" s="858"/>
      <c r="AJ638" s="858"/>
    </row>
    <row r="639" ht="15.75" customHeight="1">
      <c r="A639" s="576"/>
      <c r="B639" s="2"/>
      <c r="C639" s="2"/>
      <c r="D639" s="668"/>
      <c r="E639" s="2"/>
      <c r="F639" s="2"/>
      <c r="G639" s="2"/>
      <c r="H639" s="2"/>
      <c r="I639" s="2"/>
      <c r="J639" s="2"/>
      <c r="K639" s="2"/>
      <c r="L639" s="2"/>
      <c r="M639" s="667"/>
      <c r="N639" s="2"/>
      <c r="O639" s="2"/>
      <c r="P639" s="2"/>
      <c r="Q639" s="857"/>
      <c r="R639" s="858"/>
      <c r="S639" s="858"/>
      <c r="T639" s="858"/>
      <c r="U639" s="858"/>
      <c r="V639" s="858"/>
      <c r="W639" s="858"/>
      <c r="X639" s="858"/>
      <c r="Y639" s="858"/>
      <c r="Z639" s="858"/>
      <c r="AA639" s="858"/>
      <c r="AB639" s="858"/>
      <c r="AC639" s="858"/>
      <c r="AD639" s="858"/>
      <c r="AE639" s="858"/>
      <c r="AF639" s="858"/>
      <c r="AG639" s="858"/>
      <c r="AH639" s="858"/>
      <c r="AI639" s="858"/>
      <c r="AJ639" s="858"/>
    </row>
    <row r="640" ht="15.75" customHeight="1">
      <c r="A640" s="576"/>
      <c r="B640" s="2"/>
      <c r="C640" s="2"/>
      <c r="D640" s="668"/>
      <c r="E640" s="2"/>
      <c r="F640" s="2"/>
      <c r="G640" s="2"/>
      <c r="H640" s="2"/>
      <c r="I640" s="2"/>
      <c r="J640" s="2"/>
      <c r="K640" s="2"/>
      <c r="L640" s="2"/>
      <c r="M640" s="667"/>
      <c r="N640" s="2"/>
      <c r="O640" s="2"/>
      <c r="P640" s="2"/>
      <c r="Q640" s="857"/>
      <c r="R640" s="858"/>
      <c r="S640" s="858"/>
      <c r="T640" s="858"/>
      <c r="U640" s="858"/>
      <c r="V640" s="858"/>
      <c r="W640" s="858"/>
      <c r="X640" s="858"/>
      <c r="Y640" s="858"/>
      <c r="Z640" s="858"/>
      <c r="AA640" s="858"/>
      <c r="AB640" s="858"/>
      <c r="AC640" s="858"/>
      <c r="AD640" s="858"/>
      <c r="AE640" s="858"/>
      <c r="AF640" s="858"/>
      <c r="AG640" s="858"/>
      <c r="AH640" s="858"/>
      <c r="AI640" s="858"/>
      <c r="AJ640" s="858"/>
    </row>
    <row r="641" ht="15.75" customHeight="1">
      <c r="A641" s="457" t="s">
        <v>14257</v>
      </c>
      <c r="B641" s="6"/>
      <c r="C641" s="6"/>
      <c r="D641" s="6"/>
      <c r="E641" s="6"/>
      <c r="F641" s="6"/>
      <c r="G641" s="6"/>
      <c r="H641" s="6"/>
      <c r="I641" s="6"/>
      <c r="J641" s="6"/>
      <c r="K641" s="6"/>
      <c r="L641" s="6"/>
      <c r="M641" s="6"/>
      <c r="N641" s="6"/>
      <c r="O641" s="6"/>
      <c r="P641" s="7"/>
      <c r="Q641" s="857"/>
      <c r="R641" s="858"/>
      <c r="S641" s="858"/>
      <c r="T641" s="858"/>
      <c r="U641" s="858"/>
      <c r="V641" s="858"/>
      <c r="W641" s="858"/>
      <c r="X641" s="858"/>
      <c r="Y641" s="858"/>
      <c r="Z641" s="858"/>
      <c r="AA641" s="858"/>
      <c r="AB641" s="858"/>
      <c r="AC641" s="858"/>
      <c r="AD641" s="858"/>
      <c r="AE641" s="858"/>
      <c r="AF641" s="858"/>
      <c r="AG641" s="858"/>
      <c r="AH641" s="858"/>
      <c r="AI641" s="858"/>
      <c r="AJ641" s="858"/>
    </row>
    <row r="642" ht="15.75" customHeight="1">
      <c r="A642" s="327" t="s">
        <v>14150</v>
      </c>
      <c r="B642" s="909" t="s">
        <v>14151</v>
      </c>
      <c r="C642" s="6"/>
      <c r="D642" s="7"/>
      <c r="E642" s="910"/>
      <c r="F642" s="911"/>
      <c r="G642" s="7"/>
      <c r="H642" s="459"/>
      <c r="I642" s="6"/>
      <c r="J642" s="6"/>
      <c r="K642" s="7"/>
      <c r="L642" s="667"/>
      <c r="M642" s="912" t="s">
        <v>15140</v>
      </c>
      <c r="N642" s="912"/>
      <c r="O642" s="912"/>
      <c r="P642" s="912"/>
      <c r="Q642" s="857"/>
      <c r="R642" s="858"/>
      <c r="S642" s="858"/>
      <c r="T642" s="858"/>
      <c r="U642" s="858"/>
      <c r="V642" s="858"/>
      <c r="W642" s="858"/>
      <c r="X642" s="858"/>
      <c r="Y642" s="858"/>
      <c r="Z642" s="858"/>
      <c r="AA642" s="858"/>
      <c r="AB642" s="858"/>
      <c r="AC642" s="858"/>
      <c r="AD642" s="858"/>
      <c r="AE642" s="858"/>
      <c r="AF642" s="858"/>
      <c r="AG642" s="858"/>
      <c r="AH642" s="858"/>
      <c r="AI642" s="858"/>
      <c r="AJ642" s="858"/>
    </row>
    <row r="643" ht="15.75" customHeight="1">
      <c r="A643" s="321"/>
      <c r="B643" s="325"/>
      <c r="C643" s="910"/>
      <c r="D643" s="913"/>
      <c r="E643" s="910"/>
      <c r="F643" s="914"/>
      <c r="G643" s="7"/>
      <c r="H643" s="321"/>
      <c r="I643" s="325"/>
      <c r="J643" s="914"/>
      <c r="K643" s="7"/>
      <c r="L643" s="325"/>
      <c r="M643" s="325"/>
      <c r="N643" s="325"/>
      <c r="O643" s="325"/>
      <c r="P643" s="325"/>
      <c r="Q643" s="857"/>
      <c r="R643" s="858"/>
      <c r="S643" s="858"/>
      <c r="T643" s="858"/>
      <c r="U643" s="858"/>
      <c r="V643" s="858"/>
      <c r="W643" s="858"/>
      <c r="X643" s="858"/>
      <c r="Y643" s="858"/>
      <c r="Z643" s="858"/>
      <c r="AA643" s="858"/>
      <c r="AB643" s="858"/>
      <c r="AC643" s="858"/>
      <c r="AD643" s="858"/>
      <c r="AE643" s="858"/>
      <c r="AF643" s="858"/>
      <c r="AG643" s="858"/>
      <c r="AH643" s="858"/>
      <c r="AI643" s="858"/>
      <c r="AJ643" s="858"/>
    </row>
    <row r="644" ht="15.75" customHeight="1">
      <c r="A644" s="463"/>
      <c r="B644" s="7"/>
      <c r="C644" s="910"/>
      <c r="D644" s="915"/>
      <c r="E644" s="7"/>
      <c r="F644" s="325"/>
      <c r="G644" s="325"/>
      <c r="H644" s="321"/>
      <c r="I644" s="325"/>
      <c r="J644" s="325"/>
      <c r="K644" s="325"/>
      <c r="L644" s="325"/>
      <c r="M644" s="325"/>
      <c r="N644" s="325"/>
      <c r="O644" s="325"/>
      <c r="P644" s="325"/>
      <c r="Q644" s="857"/>
      <c r="R644" s="858"/>
      <c r="S644" s="858"/>
      <c r="T644" s="858"/>
      <c r="U644" s="858"/>
      <c r="V644" s="858"/>
      <c r="W644" s="858"/>
      <c r="X644" s="858"/>
      <c r="Y644" s="858"/>
      <c r="Z644" s="858"/>
      <c r="AA644" s="858"/>
      <c r="AB644" s="858"/>
      <c r="AC644" s="858"/>
      <c r="AD644" s="858"/>
      <c r="AE644" s="858"/>
      <c r="AF644" s="858"/>
      <c r="AG644" s="858"/>
      <c r="AH644" s="858"/>
      <c r="AI644" s="858"/>
      <c r="AJ644" s="858"/>
    </row>
    <row r="645" ht="15.75" customHeight="1">
      <c r="A645" s="321"/>
      <c r="B645" s="909" t="s">
        <v>15030</v>
      </c>
      <c r="C645" s="6"/>
      <c r="D645" s="7"/>
      <c r="E645" s="910"/>
      <c r="F645" s="909"/>
      <c r="G645" s="7"/>
      <c r="H645" s="457"/>
      <c r="I645" s="6"/>
      <c r="J645" s="6"/>
      <c r="K645" s="7"/>
      <c r="L645" s="909" t="s">
        <v>14154</v>
      </c>
      <c r="M645" s="6"/>
      <c r="N645" s="6"/>
      <c r="O645" s="6"/>
      <c r="P645" s="7"/>
      <c r="Q645" s="857"/>
      <c r="R645" s="858"/>
      <c r="S645" s="858"/>
      <c r="T645" s="858"/>
      <c r="U645" s="858"/>
      <c r="V645" s="858"/>
      <c r="W645" s="858"/>
      <c r="X645" s="858"/>
      <c r="Y645" s="858"/>
      <c r="Z645" s="858"/>
      <c r="AA645" s="858"/>
      <c r="AB645" s="858"/>
      <c r="AC645" s="858"/>
      <c r="AD645" s="858"/>
      <c r="AE645" s="858"/>
      <c r="AF645" s="858"/>
      <c r="AG645" s="858"/>
      <c r="AH645" s="858"/>
      <c r="AI645" s="858"/>
      <c r="AJ645" s="858"/>
    </row>
    <row r="646" ht="15.75" customHeight="1">
      <c r="A646" s="321"/>
      <c r="B646" s="909" t="s">
        <v>14155</v>
      </c>
      <c r="C646" s="6"/>
      <c r="D646" s="7"/>
      <c r="E646" s="910"/>
      <c r="F646" s="909"/>
      <c r="G646" s="7"/>
      <c r="H646" s="327"/>
      <c r="I646" s="909"/>
      <c r="J646" s="6"/>
      <c r="K646" s="7"/>
      <c r="L646" s="909" t="s">
        <v>14156</v>
      </c>
      <c r="M646" s="6"/>
      <c r="N646" s="6"/>
      <c r="O646" s="6"/>
      <c r="P646" s="7"/>
      <c r="Q646" s="857"/>
      <c r="R646" s="858"/>
      <c r="S646" s="858"/>
      <c r="T646" s="858"/>
      <c r="U646" s="858"/>
      <c r="V646" s="858"/>
      <c r="W646" s="858"/>
      <c r="X646" s="858"/>
      <c r="Y646" s="858"/>
      <c r="Z646" s="858"/>
      <c r="AA646" s="858"/>
      <c r="AB646" s="858"/>
      <c r="AC646" s="858"/>
      <c r="AD646" s="858"/>
      <c r="AE646" s="858"/>
      <c r="AF646" s="858"/>
      <c r="AG646" s="858"/>
      <c r="AH646" s="858"/>
      <c r="AI646" s="858"/>
      <c r="AJ646" s="858"/>
    </row>
    <row r="647" ht="15.75" customHeight="1">
      <c r="A647" s="576"/>
      <c r="B647" s="2"/>
      <c r="C647" s="2"/>
      <c r="D647" s="668"/>
      <c r="E647" s="2"/>
      <c r="F647" s="2"/>
      <c r="G647" s="2"/>
      <c r="H647" s="2"/>
      <c r="I647" s="2"/>
      <c r="J647" s="2"/>
      <c r="K647" s="2"/>
      <c r="L647" s="2"/>
      <c r="M647" s="667"/>
      <c r="N647" s="2"/>
      <c r="O647" s="2"/>
      <c r="P647" s="2"/>
      <c r="Q647" s="857"/>
      <c r="R647" s="858"/>
      <c r="S647" s="858"/>
      <c r="T647" s="858"/>
      <c r="U647" s="858"/>
      <c r="V647" s="858"/>
      <c r="W647" s="858"/>
      <c r="X647" s="858"/>
      <c r="Y647" s="858"/>
      <c r="Z647" s="858"/>
      <c r="AA647" s="858"/>
      <c r="AB647" s="858"/>
      <c r="AC647" s="858"/>
      <c r="AD647" s="858"/>
      <c r="AE647" s="858"/>
      <c r="AF647" s="858"/>
      <c r="AG647" s="858"/>
      <c r="AH647" s="858"/>
      <c r="AI647" s="858"/>
      <c r="AJ647" s="858"/>
    </row>
    <row r="648" ht="15.75" customHeight="1">
      <c r="A648" s="576"/>
      <c r="B648" s="2"/>
      <c r="C648" s="2"/>
      <c r="D648" s="668"/>
      <c r="E648" s="2"/>
      <c r="F648" s="2"/>
      <c r="G648" s="2"/>
      <c r="H648" s="2"/>
      <c r="I648" s="2"/>
      <c r="J648" s="2"/>
      <c r="K648" s="2"/>
      <c r="L648" s="2"/>
      <c r="M648" s="667"/>
      <c r="N648" s="2"/>
      <c r="O648" s="2"/>
      <c r="P648" s="2"/>
      <c r="Q648" s="857"/>
      <c r="R648" s="858"/>
      <c r="S648" s="858"/>
      <c r="T648" s="858"/>
      <c r="U648" s="858"/>
      <c r="V648" s="858"/>
      <c r="W648" s="858"/>
      <c r="X648" s="858"/>
      <c r="Y648" s="858"/>
      <c r="Z648" s="858"/>
      <c r="AA648" s="858"/>
      <c r="AB648" s="858"/>
      <c r="AC648" s="858"/>
      <c r="AD648" s="858"/>
      <c r="AE648" s="858"/>
      <c r="AF648" s="858"/>
      <c r="AG648" s="858"/>
      <c r="AH648" s="858"/>
      <c r="AI648" s="858"/>
      <c r="AJ648" s="858"/>
    </row>
    <row r="649" ht="15.75" customHeight="1">
      <c r="A649" s="576"/>
      <c r="B649" s="2"/>
      <c r="C649" s="2"/>
      <c r="D649" s="668"/>
      <c r="E649" s="2"/>
      <c r="F649" s="2"/>
      <c r="G649" s="2"/>
      <c r="H649" s="2"/>
      <c r="I649" s="2"/>
      <c r="J649" s="2"/>
      <c r="K649" s="2"/>
      <c r="L649" s="2"/>
      <c r="M649" s="667"/>
      <c r="N649" s="2"/>
      <c r="O649" s="2"/>
      <c r="P649" s="2"/>
      <c r="Q649" s="857"/>
      <c r="R649" s="858"/>
      <c r="S649" s="858"/>
      <c r="T649" s="858"/>
      <c r="U649" s="858"/>
      <c r="V649" s="858"/>
      <c r="W649" s="858"/>
      <c r="X649" s="858"/>
      <c r="Y649" s="858"/>
      <c r="Z649" s="858"/>
      <c r="AA649" s="858"/>
      <c r="AB649" s="858"/>
      <c r="AC649" s="858"/>
      <c r="AD649" s="858"/>
      <c r="AE649" s="858"/>
      <c r="AF649" s="858"/>
      <c r="AG649" s="858"/>
      <c r="AH649" s="858"/>
      <c r="AI649" s="858"/>
      <c r="AJ649" s="858"/>
    </row>
    <row r="650" ht="15.75" customHeight="1">
      <c r="A650" s="576"/>
      <c r="B650" s="2"/>
      <c r="C650" s="2"/>
      <c r="D650" s="668"/>
      <c r="E650" s="2"/>
      <c r="F650" s="2"/>
      <c r="G650" s="2"/>
      <c r="H650" s="2"/>
      <c r="I650" s="2"/>
      <c r="J650" s="2"/>
      <c r="K650" s="2"/>
      <c r="L650" s="2"/>
      <c r="M650" s="667"/>
      <c r="N650" s="2"/>
      <c r="O650" s="2"/>
      <c r="P650" s="2"/>
      <c r="Q650" s="857"/>
      <c r="R650" s="858"/>
      <c r="S650" s="858"/>
      <c r="T650" s="858"/>
      <c r="U650" s="858"/>
      <c r="V650" s="858"/>
      <c r="W650" s="858"/>
      <c r="X650" s="858"/>
      <c r="Y650" s="858"/>
      <c r="Z650" s="858"/>
      <c r="AA650" s="858"/>
      <c r="AB650" s="858"/>
      <c r="AC650" s="858"/>
      <c r="AD650" s="858"/>
      <c r="AE650" s="858"/>
      <c r="AF650" s="858"/>
      <c r="AG650" s="858"/>
      <c r="AH650" s="858"/>
      <c r="AI650" s="858"/>
      <c r="AJ650" s="858"/>
    </row>
    <row r="651" ht="15.75" customHeight="1">
      <c r="A651" s="576"/>
      <c r="B651" s="2"/>
      <c r="C651" s="2"/>
      <c r="D651" s="668"/>
      <c r="E651" s="2"/>
      <c r="F651" s="2"/>
      <c r="G651" s="2"/>
      <c r="H651" s="2"/>
      <c r="I651" s="2"/>
      <c r="J651" s="2"/>
      <c r="K651" s="2"/>
      <c r="L651" s="2"/>
      <c r="M651" s="667"/>
      <c r="N651" s="2"/>
      <c r="O651" s="2"/>
      <c r="P651" s="2"/>
      <c r="Q651" s="857"/>
      <c r="R651" s="858"/>
      <c r="S651" s="858"/>
      <c r="T651" s="858"/>
      <c r="U651" s="858"/>
      <c r="V651" s="858"/>
      <c r="W651" s="858"/>
      <c r="X651" s="858"/>
      <c r="Y651" s="858"/>
      <c r="Z651" s="858"/>
      <c r="AA651" s="858"/>
      <c r="AB651" s="858"/>
      <c r="AC651" s="858"/>
      <c r="AD651" s="858"/>
      <c r="AE651" s="858"/>
      <c r="AF651" s="858"/>
      <c r="AG651" s="858"/>
      <c r="AH651" s="858"/>
      <c r="AI651" s="858"/>
      <c r="AJ651" s="858"/>
    </row>
    <row r="652" ht="15.75" customHeight="1">
      <c r="A652" s="576"/>
      <c r="B652" s="2"/>
      <c r="C652" s="2"/>
      <c r="D652" s="668"/>
      <c r="E652" s="2"/>
      <c r="F652" s="2"/>
      <c r="G652" s="2"/>
      <c r="H652" s="2"/>
      <c r="I652" s="2"/>
      <c r="J652" s="2"/>
      <c r="K652" s="2"/>
      <c r="L652" s="2"/>
      <c r="M652" s="667"/>
      <c r="N652" s="2"/>
      <c r="O652" s="2"/>
      <c r="P652" s="2"/>
      <c r="Q652" s="857"/>
      <c r="R652" s="858"/>
      <c r="S652" s="858"/>
      <c r="T652" s="858"/>
      <c r="U652" s="858"/>
      <c r="V652" s="858"/>
      <c r="W652" s="858"/>
      <c r="X652" s="858"/>
      <c r="Y652" s="858"/>
      <c r="Z652" s="858"/>
      <c r="AA652" s="858"/>
      <c r="AB652" s="858"/>
      <c r="AC652" s="858"/>
      <c r="AD652" s="858"/>
      <c r="AE652" s="858"/>
      <c r="AF652" s="858"/>
      <c r="AG652" s="858"/>
      <c r="AH652" s="858"/>
      <c r="AI652" s="858"/>
      <c r="AJ652" s="858"/>
    </row>
    <row r="653" ht="15.75" customHeight="1">
      <c r="A653" s="576"/>
      <c r="B653" s="2"/>
      <c r="C653" s="2"/>
      <c r="D653" s="668"/>
      <c r="E653" s="2"/>
      <c r="F653" s="2"/>
      <c r="G653" s="2"/>
      <c r="H653" s="2"/>
      <c r="I653" s="2"/>
      <c r="J653" s="2"/>
      <c r="K653" s="2"/>
      <c r="L653" s="2"/>
      <c r="M653" s="667"/>
      <c r="N653" s="2"/>
      <c r="O653" s="2"/>
      <c r="P653" s="2"/>
      <c r="Q653" s="857"/>
      <c r="R653" s="858"/>
      <c r="S653" s="858"/>
      <c r="T653" s="858"/>
      <c r="U653" s="858"/>
      <c r="V653" s="858"/>
      <c r="W653" s="858"/>
      <c r="X653" s="858"/>
      <c r="Y653" s="858"/>
      <c r="Z653" s="858"/>
      <c r="AA653" s="858"/>
      <c r="AB653" s="858"/>
      <c r="AC653" s="858"/>
      <c r="AD653" s="858"/>
      <c r="AE653" s="858"/>
      <c r="AF653" s="858"/>
      <c r="AG653" s="858"/>
      <c r="AH653" s="858"/>
      <c r="AI653" s="858"/>
      <c r="AJ653" s="858"/>
    </row>
    <row r="654" ht="15.75" customHeight="1">
      <c r="A654" s="576"/>
      <c r="B654" s="2"/>
      <c r="C654" s="2"/>
      <c r="D654" s="668"/>
      <c r="E654" s="2"/>
      <c r="F654" s="2"/>
      <c r="G654" s="2"/>
      <c r="H654" s="2"/>
      <c r="I654" s="2"/>
      <c r="J654" s="2"/>
      <c r="K654" s="2"/>
      <c r="L654" s="2"/>
      <c r="M654" s="667"/>
      <c r="N654" s="2"/>
      <c r="O654" s="2"/>
      <c r="P654" s="2"/>
      <c r="Q654" s="857"/>
      <c r="R654" s="858"/>
      <c r="S654" s="858"/>
      <c r="T654" s="858"/>
      <c r="U654" s="858"/>
      <c r="V654" s="858"/>
      <c r="W654" s="858"/>
      <c r="X654" s="858"/>
      <c r="Y654" s="858"/>
      <c r="Z654" s="858"/>
      <c r="AA654" s="858"/>
      <c r="AB654" s="858"/>
      <c r="AC654" s="858"/>
      <c r="AD654" s="858"/>
      <c r="AE654" s="858"/>
      <c r="AF654" s="858"/>
      <c r="AG654" s="858"/>
      <c r="AH654" s="858"/>
      <c r="AI654" s="858"/>
      <c r="AJ654" s="858"/>
    </row>
    <row r="655" ht="15.75" customHeight="1">
      <c r="A655" s="576"/>
      <c r="B655" s="2"/>
      <c r="C655" s="2"/>
      <c r="D655" s="668"/>
      <c r="E655" s="2"/>
      <c r="F655" s="2"/>
      <c r="G655" s="2"/>
      <c r="H655" s="2"/>
      <c r="I655" s="2"/>
      <c r="J655" s="2"/>
      <c r="K655" s="2"/>
      <c r="L655" s="2"/>
      <c r="M655" s="667"/>
      <c r="N655" s="2"/>
      <c r="O655" s="2"/>
      <c r="P655" s="2"/>
      <c r="Q655" s="857"/>
      <c r="R655" s="858"/>
      <c r="S655" s="858"/>
      <c r="T655" s="858"/>
      <c r="U655" s="858"/>
      <c r="V655" s="858"/>
      <c r="W655" s="858"/>
      <c r="X655" s="858"/>
      <c r="Y655" s="858"/>
      <c r="Z655" s="858"/>
      <c r="AA655" s="858"/>
      <c r="AB655" s="858"/>
      <c r="AC655" s="858"/>
      <c r="AD655" s="858"/>
      <c r="AE655" s="858"/>
      <c r="AF655" s="858"/>
      <c r="AG655" s="858"/>
      <c r="AH655" s="858"/>
      <c r="AI655" s="858"/>
      <c r="AJ655" s="858"/>
    </row>
    <row r="656" ht="15.75" customHeight="1">
      <c r="A656" s="576"/>
      <c r="B656" s="2"/>
      <c r="C656" s="2"/>
      <c r="D656" s="668"/>
      <c r="E656" s="2"/>
      <c r="F656" s="2"/>
      <c r="G656" s="2"/>
      <c r="H656" s="2"/>
      <c r="I656" s="2"/>
      <c r="J656" s="2"/>
      <c r="K656" s="2"/>
      <c r="L656" s="2"/>
      <c r="M656" s="667"/>
      <c r="N656" s="2"/>
      <c r="O656" s="2"/>
      <c r="P656" s="2"/>
      <c r="Q656" s="857"/>
      <c r="R656" s="858"/>
      <c r="S656" s="858"/>
      <c r="T656" s="858"/>
      <c r="U656" s="858"/>
      <c r="V656" s="858"/>
      <c r="W656" s="858"/>
      <c r="X656" s="858"/>
      <c r="Y656" s="858"/>
      <c r="Z656" s="858"/>
      <c r="AA656" s="858"/>
      <c r="AB656" s="858"/>
      <c r="AC656" s="858"/>
      <c r="AD656" s="858"/>
      <c r="AE656" s="858"/>
      <c r="AF656" s="858"/>
      <c r="AG656" s="858"/>
      <c r="AH656" s="858"/>
      <c r="AI656" s="858"/>
      <c r="AJ656" s="858"/>
    </row>
    <row r="657" ht="15.75" customHeight="1">
      <c r="A657" s="576"/>
      <c r="B657" s="2"/>
      <c r="C657" s="2"/>
      <c r="D657" s="668"/>
      <c r="E657" s="2"/>
      <c r="F657" s="2"/>
      <c r="G657" s="2"/>
      <c r="H657" s="2"/>
      <c r="I657" s="2"/>
      <c r="J657" s="2"/>
      <c r="K657" s="2"/>
      <c r="L657" s="2"/>
      <c r="M657" s="667"/>
      <c r="N657" s="2"/>
      <c r="O657" s="2"/>
      <c r="P657" s="2"/>
      <c r="Q657" s="857"/>
      <c r="R657" s="858"/>
      <c r="S657" s="858"/>
      <c r="T657" s="858"/>
      <c r="U657" s="858"/>
      <c r="V657" s="858"/>
      <c r="W657" s="858"/>
      <c r="X657" s="858"/>
      <c r="Y657" s="858"/>
      <c r="Z657" s="858"/>
      <c r="AA657" s="858"/>
      <c r="AB657" s="858"/>
      <c r="AC657" s="858"/>
      <c r="AD657" s="858"/>
      <c r="AE657" s="858"/>
      <c r="AF657" s="858"/>
      <c r="AG657" s="858"/>
      <c r="AH657" s="858"/>
      <c r="AI657" s="858"/>
      <c r="AJ657" s="858"/>
    </row>
    <row r="658" ht="15.75" customHeight="1">
      <c r="A658" s="576"/>
      <c r="B658" s="2"/>
      <c r="C658" s="2"/>
      <c r="D658" s="668"/>
      <c r="E658" s="2"/>
      <c r="F658" s="2"/>
      <c r="G658" s="2"/>
      <c r="H658" s="2"/>
      <c r="I658" s="2"/>
      <c r="J658" s="2"/>
      <c r="K658" s="2"/>
      <c r="L658" s="2"/>
      <c r="M658" s="667"/>
      <c r="N658" s="2"/>
      <c r="O658" s="2"/>
      <c r="P658" s="2"/>
      <c r="Q658" s="857"/>
      <c r="R658" s="858"/>
      <c r="S658" s="858"/>
      <c r="T658" s="858"/>
      <c r="U658" s="858"/>
      <c r="V658" s="858"/>
      <c r="W658" s="858"/>
      <c r="X658" s="858"/>
      <c r="Y658" s="858"/>
      <c r="Z658" s="858"/>
      <c r="AA658" s="858"/>
      <c r="AB658" s="858"/>
      <c r="AC658" s="858"/>
      <c r="AD658" s="858"/>
      <c r="AE658" s="858"/>
      <c r="AF658" s="858"/>
      <c r="AG658" s="858"/>
      <c r="AH658" s="858"/>
      <c r="AI658" s="858"/>
      <c r="AJ658" s="858"/>
    </row>
    <row r="659" ht="15.75" customHeight="1">
      <c r="A659" s="576"/>
      <c r="B659" s="2"/>
      <c r="C659" s="2"/>
      <c r="D659" s="668"/>
      <c r="E659" s="2"/>
      <c r="F659" s="2"/>
      <c r="G659" s="2"/>
      <c r="H659" s="2"/>
      <c r="I659" s="2"/>
      <c r="J659" s="2"/>
      <c r="K659" s="2"/>
      <c r="L659" s="2"/>
      <c r="M659" s="667"/>
      <c r="N659" s="2"/>
      <c r="O659" s="2"/>
      <c r="P659" s="2"/>
      <c r="Q659" s="857"/>
      <c r="R659" s="858"/>
      <c r="S659" s="858"/>
      <c r="T659" s="858"/>
      <c r="U659" s="858"/>
      <c r="V659" s="858"/>
      <c r="W659" s="858"/>
      <c r="X659" s="858"/>
      <c r="Y659" s="858"/>
      <c r="Z659" s="858"/>
      <c r="AA659" s="858"/>
      <c r="AB659" s="858"/>
      <c r="AC659" s="858"/>
      <c r="AD659" s="858"/>
      <c r="AE659" s="858"/>
      <c r="AF659" s="858"/>
      <c r="AG659" s="858"/>
      <c r="AH659" s="858"/>
      <c r="AI659" s="858"/>
      <c r="AJ659" s="858"/>
    </row>
    <row r="660" ht="15.75" customHeight="1">
      <c r="A660" s="576"/>
      <c r="B660" s="2"/>
      <c r="C660" s="2"/>
      <c r="D660" s="668"/>
      <c r="E660" s="2"/>
      <c r="F660" s="2"/>
      <c r="G660" s="2"/>
      <c r="H660" s="2"/>
      <c r="I660" s="2"/>
      <c r="J660" s="2"/>
      <c r="K660" s="2"/>
      <c r="L660" s="2"/>
      <c r="M660" s="667"/>
      <c r="N660" s="2"/>
      <c r="O660" s="2"/>
      <c r="P660" s="2"/>
      <c r="Q660" s="857"/>
      <c r="R660" s="858"/>
      <c r="S660" s="858"/>
      <c r="T660" s="858"/>
      <c r="U660" s="858"/>
      <c r="V660" s="858"/>
      <c r="W660" s="858"/>
      <c r="X660" s="858"/>
      <c r="Y660" s="858"/>
      <c r="Z660" s="858"/>
      <c r="AA660" s="858"/>
      <c r="AB660" s="858"/>
      <c r="AC660" s="858"/>
      <c r="AD660" s="858"/>
      <c r="AE660" s="858"/>
      <c r="AF660" s="858"/>
      <c r="AG660" s="858"/>
      <c r="AH660" s="858"/>
      <c r="AI660" s="858"/>
      <c r="AJ660" s="858"/>
    </row>
    <row r="661" ht="15.75" customHeight="1">
      <c r="A661" s="576"/>
      <c r="B661" s="2"/>
      <c r="C661" s="2"/>
      <c r="D661" s="668"/>
      <c r="E661" s="2"/>
      <c r="F661" s="2"/>
      <c r="G661" s="2"/>
      <c r="H661" s="2"/>
      <c r="I661" s="2"/>
      <c r="J661" s="2"/>
      <c r="K661" s="2"/>
      <c r="L661" s="2"/>
      <c r="M661" s="667"/>
      <c r="N661" s="2"/>
      <c r="O661" s="2"/>
      <c r="P661" s="2"/>
      <c r="Q661" s="857"/>
      <c r="R661" s="858"/>
      <c r="S661" s="858"/>
      <c r="T661" s="858"/>
      <c r="U661" s="858"/>
      <c r="V661" s="858"/>
      <c r="W661" s="858"/>
      <c r="X661" s="858"/>
      <c r="Y661" s="858"/>
      <c r="Z661" s="858"/>
      <c r="AA661" s="858"/>
      <c r="AB661" s="858"/>
      <c r="AC661" s="858"/>
      <c r="AD661" s="858"/>
      <c r="AE661" s="858"/>
      <c r="AF661" s="858"/>
      <c r="AG661" s="858"/>
      <c r="AH661" s="858"/>
      <c r="AI661" s="858"/>
      <c r="AJ661" s="858"/>
    </row>
    <row r="662" ht="15.75" customHeight="1">
      <c r="A662" s="576"/>
      <c r="B662" s="2"/>
      <c r="C662" s="2"/>
      <c r="D662" s="668"/>
      <c r="E662" s="2"/>
      <c r="F662" s="2"/>
      <c r="G662" s="2"/>
      <c r="H662" s="2"/>
      <c r="I662" s="2"/>
      <c r="J662" s="2"/>
      <c r="K662" s="2"/>
      <c r="L662" s="2"/>
      <c r="M662" s="667"/>
      <c r="N662" s="2"/>
      <c r="O662" s="2"/>
      <c r="P662" s="2"/>
      <c r="Q662" s="857"/>
      <c r="R662" s="858"/>
      <c r="S662" s="858"/>
      <c r="T662" s="858"/>
      <c r="U662" s="858"/>
      <c r="V662" s="858"/>
      <c r="W662" s="858"/>
      <c r="X662" s="858"/>
      <c r="Y662" s="858"/>
      <c r="Z662" s="858"/>
      <c r="AA662" s="858"/>
      <c r="AB662" s="858"/>
      <c r="AC662" s="858"/>
      <c r="AD662" s="858"/>
      <c r="AE662" s="858"/>
      <c r="AF662" s="858"/>
      <c r="AG662" s="858"/>
      <c r="AH662" s="858"/>
      <c r="AI662" s="858"/>
      <c r="AJ662" s="858"/>
    </row>
    <row r="663" ht="15.75" customHeight="1">
      <c r="A663" s="576"/>
      <c r="B663" s="2"/>
      <c r="C663" s="2"/>
      <c r="D663" s="668"/>
      <c r="E663" s="2"/>
      <c r="F663" s="2"/>
      <c r="G663" s="2"/>
      <c r="H663" s="2"/>
      <c r="I663" s="2"/>
      <c r="J663" s="2"/>
      <c r="K663" s="2"/>
      <c r="L663" s="2"/>
      <c r="M663" s="667"/>
      <c r="N663" s="2"/>
      <c r="O663" s="2"/>
      <c r="P663" s="2"/>
      <c r="Q663" s="857"/>
      <c r="R663" s="858"/>
      <c r="S663" s="858"/>
      <c r="T663" s="858"/>
      <c r="U663" s="858"/>
      <c r="V663" s="858"/>
      <c r="W663" s="858"/>
      <c r="X663" s="858"/>
      <c r="Y663" s="858"/>
      <c r="Z663" s="858"/>
      <c r="AA663" s="858"/>
      <c r="AB663" s="858"/>
      <c r="AC663" s="858"/>
      <c r="AD663" s="858"/>
      <c r="AE663" s="858"/>
      <c r="AF663" s="858"/>
      <c r="AG663" s="858"/>
      <c r="AH663" s="858"/>
      <c r="AI663" s="858"/>
      <c r="AJ663" s="858"/>
    </row>
    <row r="664" ht="15.75" customHeight="1">
      <c r="A664" s="576"/>
      <c r="B664" s="2"/>
      <c r="C664" s="2"/>
      <c r="D664" s="668"/>
      <c r="E664" s="2"/>
      <c r="F664" s="2"/>
      <c r="G664" s="2"/>
      <c r="H664" s="2"/>
      <c r="I664" s="2"/>
      <c r="J664" s="2"/>
      <c r="K664" s="2"/>
      <c r="L664" s="2"/>
      <c r="M664" s="667"/>
      <c r="N664" s="2"/>
      <c r="O664" s="2"/>
      <c r="P664" s="2"/>
      <c r="Q664" s="857"/>
      <c r="R664" s="858"/>
      <c r="S664" s="858"/>
      <c r="T664" s="858"/>
      <c r="U664" s="858"/>
      <c r="V664" s="858"/>
      <c r="W664" s="858"/>
      <c r="X664" s="858"/>
      <c r="Y664" s="858"/>
      <c r="Z664" s="858"/>
      <c r="AA664" s="858"/>
      <c r="AB664" s="858"/>
      <c r="AC664" s="858"/>
      <c r="AD664" s="858"/>
      <c r="AE664" s="858"/>
      <c r="AF664" s="858"/>
      <c r="AG664" s="858"/>
      <c r="AH664" s="858"/>
      <c r="AI664" s="858"/>
      <c r="AJ664" s="858"/>
    </row>
    <row r="665" ht="15.75" customHeight="1">
      <c r="A665" s="576"/>
      <c r="B665" s="2"/>
      <c r="C665" s="2"/>
      <c r="D665" s="668"/>
      <c r="E665" s="2"/>
      <c r="F665" s="2"/>
      <c r="G665" s="2"/>
      <c r="H665" s="2"/>
      <c r="I665" s="2"/>
      <c r="J665" s="2"/>
      <c r="K665" s="2"/>
      <c r="L665" s="2"/>
      <c r="M665" s="667"/>
      <c r="N665" s="2"/>
      <c r="O665" s="2"/>
      <c r="P665" s="2"/>
      <c r="Q665" s="857"/>
      <c r="R665" s="858"/>
      <c r="S665" s="858"/>
      <c r="T665" s="858"/>
      <c r="U665" s="858"/>
      <c r="V665" s="858"/>
      <c r="W665" s="858"/>
      <c r="X665" s="858"/>
      <c r="Y665" s="858"/>
      <c r="Z665" s="858"/>
      <c r="AA665" s="858"/>
      <c r="AB665" s="858"/>
      <c r="AC665" s="858"/>
      <c r="AD665" s="858"/>
      <c r="AE665" s="858"/>
      <c r="AF665" s="858"/>
      <c r="AG665" s="858"/>
      <c r="AH665" s="858"/>
      <c r="AI665" s="858"/>
      <c r="AJ665" s="858"/>
    </row>
    <row r="666" ht="15.75" customHeight="1">
      <c r="A666" s="576"/>
      <c r="B666" s="2"/>
      <c r="C666" s="2"/>
      <c r="D666" s="668"/>
      <c r="E666" s="2"/>
      <c r="F666" s="2"/>
      <c r="G666" s="2"/>
      <c r="H666" s="2"/>
      <c r="I666" s="2"/>
      <c r="J666" s="2"/>
      <c r="K666" s="2"/>
      <c r="L666" s="2"/>
      <c r="M666" s="667"/>
      <c r="N666" s="2"/>
      <c r="O666" s="2"/>
      <c r="P666" s="2"/>
      <c r="Q666" s="857"/>
      <c r="R666" s="858"/>
      <c r="S666" s="858"/>
      <c r="T666" s="858"/>
      <c r="U666" s="858"/>
      <c r="V666" s="858"/>
      <c r="W666" s="858"/>
      <c r="X666" s="858"/>
      <c r="Y666" s="858"/>
      <c r="Z666" s="858"/>
      <c r="AA666" s="858"/>
      <c r="AB666" s="858"/>
      <c r="AC666" s="858"/>
      <c r="AD666" s="858"/>
      <c r="AE666" s="858"/>
      <c r="AF666" s="858"/>
      <c r="AG666" s="858"/>
      <c r="AH666" s="858"/>
      <c r="AI666" s="858"/>
      <c r="AJ666" s="858"/>
    </row>
    <row r="667" ht="15.75" customHeight="1">
      <c r="A667" s="576"/>
      <c r="B667" s="2"/>
      <c r="C667" s="2"/>
      <c r="D667" s="668"/>
      <c r="E667" s="2"/>
      <c r="F667" s="2"/>
      <c r="G667" s="2"/>
      <c r="H667" s="2"/>
      <c r="I667" s="2"/>
      <c r="J667" s="2"/>
      <c r="K667" s="2"/>
      <c r="L667" s="2"/>
      <c r="M667" s="667"/>
      <c r="N667" s="2"/>
      <c r="O667" s="2"/>
      <c r="P667" s="2"/>
      <c r="Q667" s="857"/>
      <c r="R667" s="858"/>
      <c r="S667" s="858"/>
      <c r="T667" s="858"/>
      <c r="U667" s="858"/>
      <c r="V667" s="858"/>
      <c r="W667" s="858"/>
      <c r="X667" s="858"/>
      <c r="Y667" s="858"/>
      <c r="Z667" s="858"/>
      <c r="AA667" s="858"/>
      <c r="AB667" s="858"/>
      <c r="AC667" s="858"/>
      <c r="AD667" s="858"/>
      <c r="AE667" s="858"/>
      <c r="AF667" s="858"/>
      <c r="AG667" s="858"/>
      <c r="AH667" s="858"/>
      <c r="AI667" s="858"/>
      <c r="AJ667" s="858"/>
    </row>
    <row r="668" ht="15.75" customHeight="1">
      <c r="A668" s="576"/>
      <c r="B668" s="2"/>
      <c r="C668" s="2"/>
      <c r="D668" s="668"/>
      <c r="E668" s="2"/>
      <c r="F668" s="2"/>
      <c r="G668" s="2"/>
      <c r="H668" s="2"/>
      <c r="I668" s="2"/>
      <c r="J668" s="2"/>
      <c r="K668" s="2"/>
      <c r="L668" s="2"/>
      <c r="M668" s="667"/>
      <c r="N668" s="2"/>
      <c r="O668" s="2"/>
      <c r="P668" s="2"/>
      <c r="Q668" s="857"/>
      <c r="R668" s="858"/>
      <c r="S668" s="858"/>
      <c r="T668" s="858"/>
      <c r="U668" s="858"/>
      <c r="V668" s="858"/>
      <c r="W668" s="858"/>
      <c r="X668" s="858"/>
      <c r="Y668" s="858"/>
      <c r="Z668" s="858"/>
      <c r="AA668" s="858"/>
      <c r="AB668" s="858"/>
      <c r="AC668" s="858"/>
      <c r="AD668" s="858"/>
      <c r="AE668" s="858"/>
      <c r="AF668" s="858"/>
      <c r="AG668" s="858"/>
      <c r="AH668" s="858"/>
      <c r="AI668" s="858"/>
      <c r="AJ668" s="858"/>
    </row>
    <row r="669" ht="15.75" customHeight="1">
      <c r="A669" s="576"/>
      <c r="B669" s="2"/>
      <c r="C669" s="2"/>
      <c r="D669" s="668"/>
      <c r="E669" s="2"/>
      <c r="F669" s="2"/>
      <c r="G669" s="2"/>
      <c r="H669" s="2"/>
      <c r="I669" s="2"/>
      <c r="J669" s="2"/>
      <c r="K669" s="2"/>
      <c r="L669" s="2"/>
      <c r="M669" s="667"/>
      <c r="N669" s="2"/>
      <c r="O669" s="2"/>
      <c r="P669" s="2"/>
      <c r="Q669" s="857"/>
      <c r="R669" s="858"/>
      <c r="S669" s="858"/>
      <c r="T669" s="858"/>
      <c r="U669" s="858"/>
      <c r="V669" s="858"/>
      <c r="W669" s="858"/>
      <c r="X669" s="858"/>
      <c r="Y669" s="858"/>
      <c r="Z669" s="858"/>
      <c r="AA669" s="858"/>
      <c r="AB669" s="858"/>
      <c r="AC669" s="858"/>
      <c r="AD669" s="858"/>
      <c r="AE669" s="858"/>
      <c r="AF669" s="858"/>
      <c r="AG669" s="858"/>
      <c r="AH669" s="858"/>
      <c r="AI669" s="858"/>
      <c r="AJ669" s="858"/>
    </row>
    <row r="670" ht="15.75" customHeight="1">
      <c r="A670" s="576"/>
      <c r="B670" s="2"/>
      <c r="C670" s="2"/>
      <c r="D670" s="668"/>
      <c r="E670" s="2"/>
      <c r="F670" s="2"/>
      <c r="G670" s="2"/>
      <c r="H670" s="2"/>
      <c r="I670" s="2"/>
      <c r="J670" s="2"/>
      <c r="K670" s="2"/>
      <c r="L670" s="2"/>
      <c r="M670" s="667"/>
      <c r="N670" s="2"/>
      <c r="O670" s="2"/>
      <c r="P670" s="2"/>
      <c r="Q670" s="857"/>
      <c r="R670" s="858"/>
      <c r="S670" s="858"/>
      <c r="T670" s="858"/>
      <c r="U670" s="858"/>
      <c r="V670" s="858"/>
      <c r="W670" s="858"/>
      <c r="X670" s="858"/>
      <c r="Y670" s="858"/>
      <c r="Z670" s="858"/>
      <c r="AA670" s="858"/>
      <c r="AB670" s="858"/>
      <c r="AC670" s="858"/>
      <c r="AD670" s="858"/>
      <c r="AE670" s="858"/>
      <c r="AF670" s="858"/>
      <c r="AG670" s="858"/>
      <c r="AH670" s="858"/>
      <c r="AI670" s="858"/>
      <c r="AJ670" s="858"/>
    </row>
    <row r="671" ht="15.75" customHeight="1">
      <c r="A671" s="576"/>
      <c r="B671" s="2"/>
      <c r="C671" s="2"/>
      <c r="D671" s="668"/>
      <c r="E671" s="2"/>
      <c r="F671" s="2"/>
      <c r="G671" s="2"/>
      <c r="H671" s="2"/>
      <c r="I671" s="2"/>
      <c r="J671" s="2"/>
      <c r="K671" s="2"/>
      <c r="L671" s="2"/>
      <c r="M671" s="667"/>
      <c r="N671" s="2"/>
      <c r="O671" s="2"/>
      <c r="P671" s="2"/>
      <c r="Q671" s="857"/>
      <c r="R671" s="858"/>
      <c r="S671" s="858"/>
      <c r="T671" s="858"/>
      <c r="U671" s="858"/>
      <c r="V671" s="858"/>
      <c r="W671" s="858"/>
      <c r="X671" s="858"/>
      <c r="Y671" s="858"/>
      <c r="Z671" s="858"/>
      <c r="AA671" s="858"/>
      <c r="AB671" s="858"/>
      <c r="AC671" s="858"/>
      <c r="AD671" s="858"/>
      <c r="AE671" s="858"/>
      <c r="AF671" s="858"/>
      <c r="AG671" s="858"/>
      <c r="AH671" s="858"/>
      <c r="AI671" s="858"/>
      <c r="AJ671" s="858"/>
    </row>
    <row r="672" ht="15.75" customHeight="1">
      <c r="A672" s="576"/>
      <c r="B672" s="2"/>
      <c r="C672" s="2"/>
      <c r="D672" s="668"/>
      <c r="E672" s="2"/>
      <c r="F672" s="2"/>
      <c r="G672" s="2"/>
      <c r="H672" s="2"/>
      <c r="I672" s="2"/>
      <c r="J672" s="2"/>
      <c r="K672" s="2"/>
      <c r="L672" s="2"/>
      <c r="M672" s="667"/>
      <c r="N672" s="2"/>
      <c r="O672" s="2"/>
      <c r="P672" s="2"/>
      <c r="Q672" s="857"/>
      <c r="R672" s="858"/>
      <c r="S672" s="858"/>
      <c r="T672" s="858"/>
      <c r="U672" s="858"/>
      <c r="V672" s="858"/>
      <c r="W672" s="858"/>
      <c r="X672" s="858"/>
      <c r="Y672" s="858"/>
      <c r="Z672" s="858"/>
      <c r="AA672" s="858"/>
      <c r="AB672" s="858"/>
      <c r="AC672" s="858"/>
      <c r="AD672" s="858"/>
      <c r="AE672" s="858"/>
      <c r="AF672" s="858"/>
      <c r="AG672" s="858"/>
      <c r="AH672" s="858"/>
      <c r="AI672" s="858"/>
      <c r="AJ672" s="858"/>
    </row>
    <row r="673" ht="15.75" customHeight="1">
      <c r="A673" s="576"/>
      <c r="B673" s="2"/>
      <c r="C673" s="2"/>
      <c r="D673" s="668"/>
      <c r="E673" s="2"/>
      <c r="F673" s="2"/>
      <c r="G673" s="2"/>
      <c r="H673" s="2"/>
      <c r="I673" s="2"/>
      <c r="J673" s="2"/>
      <c r="K673" s="2"/>
      <c r="L673" s="2"/>
      <c r="M673" s="667"/>
      <c r="N673" s="2"/>
      <c r="O673" s="2"/>
      <c r="P673" s="2"/>
      <c r="Q673" s="857"/>
      <c r="R673" s="858"/>
      <c r="S673" s="858"/>
      <c r="T673" s="858"/>
      <c r="U673" s="858"/>
      <c r="V673" s="858"/>
      <c r="W673" s="858"/>
      <c r="X673" s="858"/>
      <c r="Y673" s="858"/>
      <c r="Z673" s="858"/>
      <c r="AA673" s="858"/>
      <c r="AB673" s="858"/>
      <c r="AC673" s="858"/>
      <c r="AD673" s="858"/>
      <c r="AE673" s="858"/>
      <c r="AF673" s="858"/>
      <c r="AG673" s="858"/>
      <c r="AH673" s="858"/>
      <c r="AI673" s="858"/>
      <c r="AJ673" s="858"/>
    </row>
    <row r="674" ht="15.75" customHeight="1">
      <c r="A674" s="576"/>
      <c r="B674" s="2"/>
      <c r="C674" s="2"/>
      <c r="D674" s="668"/>
      <c r="E674" s="2"/>
      <c r="F674" s="2"/>
      <c r="G674" s="2"/>
      <c r="H674" s="2"/>
      <c r="I674" s="2"/>
      <c r="J674" s="2"/>
      <c r="K674" s="2"/>
      <c r="L674" s="2"/>
      <c r="M674" s="667"/>
      <c r="N674" s="2"/>
      <c r="O674" s="2"/>
      <c r="P674" s="2"/>
      <c r="Q674" s="857"/>
      <c r="R674" s="858"/>
      <c r="S674" s="858"/>
      <c r="T674" s="858"/>
      <c r="U674" s="858"/>
      <c r="V674" s="858"/>
      <c r="W674" s="858"/>
      <c r="X674" s="858"/>
      <c r="Y674" s="858"/>
      <c r="Z674" s="858"/>
      <c r="AA674" s="858"/>
      <c r="AB674" s="858"/>
      <c r="AC674" s="858"/>
      <c r="AD674" s="858"/>
      <c r="AE674" s="858"/>
      <c r="AF674" s="858"/>
      <c r="AG674" s="858"/>
      <c r="AH674" s="858"/>
      <c r="AI674" s="858"/>
      <c r="AJ674" s="858"/>
    </row>
    <row r="675" ht="15.75" customHeight="1">
      <c r="A675" s="576"/>
      <c r="B675" s="2"/>
      <c r="C675" s="2"/>
      <c r="D675" s="668"/>
      <c r="E675" s="2"/>
      <c r="F675" s="2"/>
      <c r="G675" s="2"/>
      <c r="H675" s="2"/>
      <c r="I675" s="2"/>
      <c r="J675" s="2"/>
      <c r="K675" s="2"/>
      <c r="L675" s="2"/>
      <c r="M675" s="667"/>
      <c r="N675" s="2"/>
      <c r="O675" s="2"/>
      <c r="P675" s="2"/>
      <c r="Q675" s="857"/>
      <c r="R675" s="858"/>
      <c r="S675" s="858"/>
      <c r="T675" s="858"/>
      <c r="U675" s="858"/>
      <c r="V675" s="858"/>
      <c r="W675" s="858"/>
      <c r="X675" s="858"/>
      <c r="Y675" s="858"/>
      <c r="Z675" s="858"/>
      <c r="AA675" s="858"/>
      <c r="AB675" s="858"/>
      <c r="AC675" s="858"/>
      <c r="AD675" s="858"/>
      <c r="AE675" s="858"/>
      <c r="AF675" s="858"/>
      <c r="AG675" s="858"/>
      <c r="AH675" s="858"/>
      <c r="AI675" s="858"/>
      <c r="AJ675" s="858"/>
    </row>
    <row r="676" ht="15.75" customHeight="1">
      <c r="A676" s="576"/>
      <c r="B676" s="2"/>
      <c r="C676" s="2"/>
      <c r="D676" s="668"/>
      <c r="E676" s="2"/>
      <c r="F676" s="2"/>
      <c r="G676" s="2"/>
      <c r="H676" s="2"/>
      <c r="I676" s="2"/>
      <c r="J676" s="2"/>
      <c r="K676" s="2"/>
      <c r="L676" s="2"/>
      <c r="M676" s="667"/>
      <c r="N676" s="2"/>
      <c r="O676" s="2"/>
      <c r="P676" s="2"/>
      <c r="Q676" s="857"/>
      <c r="R676" s="858"/>
      <c r="S676" s="858"/>
      <c r="T676" s="858"/>
      <c r="U676" s="858"/>
      <c r="V676" s="858"/>
      <c r="W676" s="858"/>
      <c r="X676" s="858"/>
      <c r="Y676" s="858"/>
      <c r="Z676" s="858"/>
      <c r="AA676" s="858"/>
      <c r="AB676" s="858"/>
      <c r="AC676" s="858"/>
      <c r="AD676" s="858"/>
      <c r="AE676" s="858"/>
      <c r="AF676" s="858"/>
      <c r="AG676" s="858"/>
      <c r="AH676" s="858"/>
      <c r="AI676" s="858"/>
      <c r="AJ676" s="858"/>
    </row>
    <row r="677" ht="15.75" customHeight="1">
      <c r="A677" s="576"/>
      <c r="B677" s="2"/>
      <c r="C677" s="2"/>
      <c r="D677" s="668"/>
      <c r="E677" s="2"/>
      <c r="F677" s="2"/>
      <c r="G677" s="2"/>
      <c r="H677" s="2"/>
      <c r="I677" s="2"/>
      <c r="J677" s="2"/>
      <c r="K677" s="2"/>
      <c r="L677" s="2"/>
      <c r="M677" s="667"/>
      <c r="N677" s="2"/>
      <c r="O677" s="2"/>
      <c r="P677" s="2"/>
      <c r="Q677" s="857"/>
      <c r="R677" s="858"/>
      <c r="S677" s="858"/>
      <c r="T677" s="858"/>
      <c r="U677" s="858"/>
      <c r="V677" s="858"/>
      <c r="W677" s="858"/>
      <c r="X677" s="858"/>
      <c r="Y677" s="858"/>
      <c r="Z677" s="858"/>
      <c r="AA677" s="858"/>
      <c r="AB677" s="858"/>
      <c r="AC677" s="858"/>
      <c r="AD677" s="858"/>
      <c r="AE677" s="858"/>
      <c r="AF677" s="858"/>
      <c r="AG677" s="858"/>
      <c r="AH677" s="858"/>
      <c r="AI677" s="858"/>
      <c r="AJ677" s="858"/>
    </row>
    <row r="678" ht="15.75" customHeight="1">
      <c r="A678" s="576"/>
      <c r="B678" s="2"/>
      <c r="C678" s="2"/>
      <c r="D678" s="668"/>
      <c r="E678" s="2"/>
      <c r="F678" s="2"/>
      <c r="G678" s="2"/>
      <c r="H678" s="2"/>
      <c r="I678" s="2"/>
      <c r="J678" s="2"/>
      <c r="K678" s="2"/>
      <c r="L678" s="2"/>
      <c r="M678" s="667"/>
      <c r="N678" s="2"/>
      <c r="O678" s="2"/>
      <c r="P678" s="2"/>
      <c r="Q678" s="857"/>
      <c r="R678" s="858"/>
      <c r="S678" s="858"/>
      <c r="T678" s="858"/>
      <c r="U678" s="858"/>
      <c r="V678" s="858"/>
      <c r="W678" s="858"/>
      <c r="X678" s="858"/>
      <c r="Y678" s="858"/>
      <c r="Z678" s="858"/>
      <c r="AA678" s="858"/>
      <c r="AB678" s="858"/>
      <c r="AC678" s="858"/>
      <c r="AD678" s="858"/>
      <c r="AE678" s="858"/>
      <c r="AF678" s="858"/>
      <c r="AG678" s="858"/>
      <c r="AH678" s="858"/>
      <c r="AI678" s="858"/>
      <c r="AJ678" s="858"/>
    </row>
    <row r="679" ht="15.75" customHeight="1">
      <c r="A679" s="576"/>
      <c r="B679" s="2"/>
      <c r="C679" s="2"/>
      <c r="D679" s="668"/>
      <c r="E679" s="2"/>
      <c r="F679" s="2"/>
      <c r="G679" s="2"/>
      <c r="H679" s="2"/>
      <c r="I679" s="2"/>
      <c r="J679" s="2"/>
      <c r="K679" s="2"/>
      <c r="L679" s="2"/>
      <c r="M679" s="667"/>
      <c r="N679" s="2"/>
      <c r="O679" s="2"/>
      <c r="P679" s="2"/>
      <c r="Q679" s="857"/>
      <c r="R679" s="858"/>
      <c r="S679" s="858"/>
      <c r="T679" s="858"/>
      <c r="U679" s="858"/>
      <c r="V679" s="858"/>
      <c r="W679" s="858"/>
      <c r="X679" s="858"/>
      <c r="Y679" s="858"/>
      <c r="Z679" s="858"/>
      <c r="AA679" s="858"/>
      <c r="AB679" s="858"/>
      <c r="AC679" s="858"/>
      <c r="AD679" s="858"/>
      <c r="AE679" s="858"/>
      <c r="AF679" s="858"/>
      <c r="AG679" s="858"/>
      <c r="AH679" s="858"/>
      <c r="AI679" s="858"/>
      <c r="AJ679" s="858"/>
    </row>
    <row r="680" ht="15.75" customHeight="1">
      <c r="A680" s="576"/>
      <c r="B680" s="2"/>
      <c r="C680" s="2"/>
      <c r="D680" s="668"/>
      <c r="E680" s="2"/>
      <c r="F680" s="2"/>
      <c r="G680" s="2"/>
      <c r="H680" s="2"/>
      <c r="I680" s="2"/>
      <c r="J680" s="2"/>
      <c r="K680" s="2"/>
      <c r="L680" s="2"/>
      <c r="M680" s="667"/>
      <c r="N680" s="2"/>
      <c r="O680" s="2"/>
      <c r="P680" s="2"/>
      <c r="Q680" s="857"/>
      <c r="R680" s="858"/>
      <c r="S680" s="858"/>
      <c r="T680" s="858"/>
      <c r="U680" s="858"/>
      <c r="V680" s="858"/>
      <c r="W680" s="858"/>
      <c r="X680" s="858"/>
      <c r="Y680" s="858"/>
      <c r="Z680" s="858"/>
      <c r="AA680" s="858"/>
      <c r="AB680" s="858"/>
      <c r="AC680" s="858"/>
      <c r="AD680" s="858"/>
      <c r="AE680" s="858"/>
      <c r="AF680" s="858"/>
      <c r="AG680" s="858"/>
      <c r="AH680" s="858"/>
      <c r="AI680" s="858"/>
      <c r="AJ680" s="858"/>
    </row>
    <row r="681" ht="15.75" customHeight="1">
      <c r="A681" s="576"/>
      <c r="B681" s="2"/>
      <c r="C681" s="2"/>
      <c r="D681" s="668"/>
      <c r="E681" s="2"/>
      <c r="F681" s="2"/>
      <c r="G681" s="2"/>
      <c r="H681" s="2"/>
      <c r="I681" s="2"/>
      <c r="J681" s="2"/>
      <c r="K681" s="2"/>
      <c r="L681" s="2"/>
      <c r="M681" s="667"/>
      <c r="N681" s="2"/>
      <c r="O681" s="2"/>
      <c r="P681" s="2"/>
      <c r="Q681" s="857"/>
      <c r="R681" s="858"/>
      <c r="S681" s="858"/>
      <c r="T681" s="858"/>
      <c r="U681" s="858"/>
      <c r="V681" s="858"/>
      <c r="W681" s="858"/>
      <c r="X681" s="858"/>
      <c r="Y681" s="858"/>
      <c r="Z681" s="858"/>
      <c r="AA681" s="858"/>
      <c r="AB681" s="858"/>
      <c r="AC681" s="858"/>
      <c r="AD681" s="858"/>
      <c r="AE681" s="858"/>
      <c r="AF681" s="858"/>
      <c r="AG681" s="858"/>
      <c r="AH681" s="858"/>
      <c r="AI681" s="858"/>
      <c r="AJ681" s="858"/>
    </row>
    <row r="682" ht="15.75" customHeight="1">
      <c r="A682" s="576"/>
      <c r="B682" s="2"/>
      <c r="C682" s="2"/>
      <c r="D682" s="668"/>
      <c r="E682" s="2"/>
      <c r="F682" s="2"/>
      <c r="G682" s="2"/>
      <c r="H682" s="2"/>
      <c r="I682" s="2"/>
      <c r="J682" s="2"/>
      <c r="K682" s="2"/>
      <c r="L682" s="2"/>
      <c r="M682" s="667"/>
      <c r="N682" s="2"/>
      <c r="O682" s="2"/>
      <c r="P682" s="2"/>
      <c r="Q682" s="857"/>
      <c r="R682" s="858"/>
      <c r="S682" s="858"/>
      <c r="T682" s="858"/>
      <c r="U682" s="858"/>
      <c r="V682" s="858"/>
      <c r="W682" s="858"/>
      <c r="X682" s="858"/>
      <c r="Y682" s="858"/>
      <c r="Z682" s="858"/>
      <c r="AA682" s="858"/>
      <c r="AB682" s="858"/>
      <c r="AC682" s="858"/>
      <c r="AD682" s="858"/>
      <c r="AE682" s="858"/>
      <c r="AF682" s="858"/>
      <c r="AG682" s="858"/>
      <c r="AH682" s="858"/>
      <c r="AI682" s="858"/>
      <c r="AJ682" s="858"/>
    </row>
    <row r="683" ht="15.75" customHeight="1">
      <c r="A683" s="576"/>
      <c r="B683" s="2"/>
      <c r="C683" s="2"/>
      <c r="D683" s="668"/>
      <c r="E683" s="2"/>
      <c r="F683" s="2"/>
      <c r="G683" s="2"/>
      <c r="H683" s="2"/>
      <c r="I683" s="2"/>
      <c r="J683" s="2"/>
      <c r="K683" s="2"/>
      <c r="L683" s="2"/>
      <c r="M683" s="667"/>
      <c r="N683" s="2"/>
      <c r="O683" s="2"/>
      <c r="P683" s="2"/>
      <c r="Q683" s="857"/>
      <c r="R683" s="858"/>
      <c r="S683" s="858"/>
      <c r="T683" s="858"/>
      <c r="U683" s="858"/>
      <c r="V683" s="858"/>
      <c r="W683" s="858"/>
      <c r="X683" s="858"/>
      <c r="Y683" s="858"/>
      <c r="Z683" s="858"/>
      <c r="AA683" s="858"/>
      <c r="AB683" s="858"/>
      <c r="AC683" s="858"/>
      <c r="AD683" s="858"/>
      <c r="AE683" s="858"/>
      <c r="AF683" s="858"/>
      <c r="AG683" s="858"/>
      <c r="AH683" s="858"/>
      <c r="AI683" s="858"/>
      <c r="AJ683" s="858"/>
    </row>
    <row r="684" ht="15.75" customHeight="1">
      <c r="A684" s="576"/>
      <c r="B684" s="2"/>
      <c r="C684" s="2"/>
      <c r="D684" s="668"/>
      <c r="E684" s="2"/>
      <c r="F684" s="2"/>
      <c r="G684" s="2"/>
      <c r="H684" s="2"/>
      <c r="I684" s="2"/>
      <c r="J684" s="2"/>
      <c r="K684" s="2"/>
      <c r="L684" s="2"/>
      <c r="M684" s="667"/>
      <c r="N684" s="2"/>
      <c r="O684" s="2"/>
      <c r="P684" s="2"/>
      <c r="Q684" s="857"/>
      <c r="R684" s="858"/>
      <c r="S684" s="858"/>
      <c r="T684" s="858"/>
      <c r="U684" s="858"/>
      <c r="V684" s="858"/>
      <c r="W684" s="858"/>
      <c r="X684" s="858"/>
      <c r="Y684" s="858"/>
      <c r="Z684" s="858"/>
      <c r="AA684" s="858"/>
      <c r="AB684" s="858"/>
      <c r="AC684" s="858"/>
      <c r="AD684" s="858"/>
      <c r="AE684" s="858"/>
      <c r="AF684" s="858"/>
      <c r="AG684" s="858"/>
      <c r="AH684" s="858"/>
      <c r="AI684" s="858"/>
      <c r="AJ684" s="858"/>
    </row>
    <row r="685" ht="15.75" customHeight="1">
      <c r="A685" s="576"/>
      <c r="B685" s="2"/>
      <c r="C685" s="2"/>
      <c r="D685" s="668"/>
      <c r="E685" s="2"/>
      <c r="F685" s="2"/>
      <c r="G685" s="2"/>
      <c r="H685" s="2"/>
      <c r="I685" s="2"/>
      <c r="J685" s="2"/>
      <c r="K685" s="2"/>
      <c r="L685" s="2"/>
      <c r="M685" s="667"/>
      <c r="N685" s="2"/>
      <c r="O685" s="2"/>
      <c r="P685" s="2"/>
      <c r="Q685" s="857"/>
      <c r="R685" s="858"/>
      <c r="S685" s="858"/>
      <c r="T685" s="858"/>
      <c r="U685" s="858"/>
      <c r="V685" s="858"/>
      <c r="W685" s="858"/>
      <c r="X685" s="858"/>
      <c r="Y685" s="858"/>
      <c r="Z685" s="858"/>
      <c r="AA685" s="858"/>
      <c r="AB685" s="858"/>
      <c r="AC685" s="858"/>
      <c r="AD685" s="858"/>
      <c r="AE685" s="858"/>
      <c r="AF685" s="858"/>
      <c r="AG685" s="858"/>
      <c r="AH685" s="858"/>
      <c r="AI685" s="858"/>
      <c r="AJ685" s="858"/>
    </row>
    <row r="686" ht="15.75" customHeight="1">
      <c r="A686" s="576"/>
      <c r="B686" s="2"/>
      <c r="C686" s="2"/>
      <c r="D686" s="668"/>
      <c r="E686" s="2"/>
      <c r="F686" s="2"/>
      <c r="G686" s="2"/>
      <c r="H686" s="2"/>
      <c r="I686" s="2"/>
      <c r="J686" s="2"/>
      <c r="K686" s="2"/>
      <c r="L686" s="2"/>
      <c r="M686" s="667"/>
      <c r="N686" s="2"/>
      <c r="O686" s="2"/>
      <c r="P686" s="2"/>
      <c r="Q686" s="857"/>
      <c r="R686" s="858"/>
      <c r="S686" s="858"/>
      <c r="T686" s="858"/>
      <c r="U686" s="858"/>
      <c r="V686" s="858"/>
      <c r="W686" s="858"/>
      <c r="X686" s="858"/>
      <c r="Y686" s="858"/>
      <c r="Z686" s="858"/>
      <c r="AA686" s="858"/>
      <c r="AB686" s="858"/>
      <c r="AC686" s="858"/>
      <c r="AD686" s="858"/>
      <c r="AE686" s="858"/>
      <c r="AF686" s="858"/>
      <c r="AG686" s="858"/>
      <c r="AH686" s="858"/>
      <c r="AI686" s="858"/>
      <c r="AJ686" s="858"/>
    </row>
    <row r="687" ht="15.75" customHeight="1">
      <c r="A687" s="576"/>
      <c r="B687" s="2"/>
      <c r="C687" s="2"/>
      <c r="D687" s="668"/>
      <c r="E687" s="2"/>
      <c r="F687" s="2"/>
      <c r="G687" s="2"/>
      <c r="H687" s="2"/>
      <c r="I687" s="2"/>
      <c r="J687" s="2"/>
      <c r="K687" s="2"/>
      <c r="L687" s="2"/>
      <c r="M687" s="667"/>
      <c r="N687" s="2"/>
      <c r="O687" s="2"/>
      <c r="P687" s="2"/>
      <c r="Q687" s="857"/>
      <c r="R687" s="858"/>
      <c r="S687" s="858"/>
      <c r="T687" s="858"/>
      <c r="U687" s="858"/>
      <c r="V687" s="858"/>
      <c r="W687" s="858"/>
      <c r="X687" s="858"/>
      <c r="Y687" s="858"/>
      <c r="Z687" s="858"/>
      <c r="AA687" s="858"/>
      <c r="AB687" s="858"/>
      <c r="AC687" s="858"/>
      <c r="AD687" s="858"/>
      <c r="AE687" s="858"/>
      <c r="AF687" s="858"/>
      <c r="AG687" s="858"/>
      <c r="AH687" s="858"/>
      <c r="AI687" s="858"/>
      <c r="AJ687" s="858"/>
    </row>
    <row r="688" ht="15.75" customHeight="1">
      <c r="A688" s="576"/>
      <c r="B688" s="2"/>
      <c r="C688" s="2"/>
      <c r="D688" s="668"/>
      <c r="E688" s="2"/>
      <c r="F688" s="2"/>
      <c r="G688" s="2"/>
      <c r="H688" s="2"/>
      <c r="I688" s="2"/>
      <c r="J688" s="2"/>
      <c r="K688" s="2"/>
      <c r="L688" s="2"/>
      <c r="M688" s="667"/>
      <c r="N688" s="2"/>
      <c r="O688" s="2"/>
      <c r="P688" s="2"/>
      <c r="Q688" s="857"/>
      <c r="R688" s="858"/>
      <c r="S688" s="858"/>
      <c r="T688" s="858"/>
      <c r="U688" s="858"/>
      <c r="V688" s="858"/>
      <c r="W688" s="858"/>
      <c r="X688" s="858"/>
      <c r="Y688" s="858"/>
      <c r="Z688" s="858"/>
      <c r="AA688" s="858"/>
      <c r="AB688" s="858"/>
      <c r="AC688" s="858"/>
      <c r="AD688" s="858"/>
      <c r="AE688" s="858"/>
      <c r="AF688" s="858"/>
      <c r="AG688" s="858"/>
      <c r="AH688" s="858"/>
      <c r="AI688" s="858"/>
      <c r="AJ688" s="858"/>
    </row>
    <row r="689" ht="15.75" customHeight="1">
      <c r="A689" s="576"/>
      <c r="B689" s="2"/>
      <c r="C689" s="2"/>
      <c r="D689" s="668"/>
      <c r="E689" s="2"/>
      <c r="F689" s="2"/>
      <c r="G689" s="2"/>
      <c r="H689" s="2"/>
      <c r="I689" s="2"/>
      <c r="J689" s="2"/>
      <c r="K689" s="2"/>
      <c r="L689" s="2"/>
      <c r="M689" s="667"/>
      <c r="N689" s="2"/>
      <c r="O689" s="2"/>
      <c r="P689" s="2"/>
      <c r="Q689" s="857"/>
      <c r="R689" s="858"/>
      <c r="S689" s="858"/>
      <c r="T689" s="858"/>
      <c r="U689" s="858"/>
      <c r="V689" s="858"/>
      <c r="W689" s="858"/>
      <c r="X689" s="858"/>
      <c r="Y689" s="858"/>
      <c r="Z689" s="858"/>
      <c r="AA689" s="858"/>
      <c r="AB689" s="858"/>
      <c r="AC689" s="858"/>
      <c r="AD689" s="858"/>
      <c r="AE689" s="858"/>
      <c r="AF689" s="858"/>
      <c r="AG689" s="858"/>
      <c r="AH689" s="858"/>
      <c r="AI689" s="858"/>
      <c r="AJ689" s="858"/>
    </row>
    <row r="690" ht="15.75" customHeight="1">
      <c r="A690" s="576"/>
      <c r="B690" s="2"/>
      <c r="C690" s="2"/>
      <c r="D690" s="668"/>
      <c r="E690" s="2"/>
      <c r="F690" s="2"/>
      <c r="G690" s="2"/>
      <c r="H690" s="2"/>
      <c r="I690" s="2"/>
      <c r="J690" s="2"/>
      <c r="K690" s="2"/>
      <c r="L690" s="2"/>
      <c r="M690" s="667"/>
      <c r="N690" s="2"/>
      <c r="O690" s="2"/>
      <c r="P690" s="2"/>
      <c r="Q690" s="857"/>
      <c r="R690" s="858"/>
      <c r="S690" s="858"/>
      <c r="T690" s="858"/>
      <c r="U690" s="858"/>
      <c r="V690" s="858"/>
      <c r="W690" s="858"/>
      <c r="X690" s="858"/>
      <c r="Y690" s="858"/>
      <c r="Z690" s="858"/>
      <c r="AA690" s="858"/>
      <c r="AB690" s="858"/>
      <c r="AC690" s="858"/>
      <c r="AD690" s="858"/>
      <c r="AE690" s="858"/>
      <c r="AF690" s="858"/>
      <c r="AG690" s="858"/>
      <c r="AH690" s="858"/>
      <c r="AI690" s="858"/>
      <c r="AJ690" s="858"/>
    </row>
    <row r="691" ht="15.75" customHeight="1">
      <c r="A691" s="576"/>
      <c r="B691" s="2"/>
      <c r="C691" s="2"/>
      <c r="D691" s="668"/>
      <c r="E691" s="2"/>
      <c r="F691" s="2"/>
      <c r="G691" s="2"/>
      <c r="H691" s="2"/>
      <c r="I691" s="2"/>
      <c r="J691" s="2"/>
      <c r="K691" s="2"/>
      <c r="L691" s="2"/>
      <c r="M691" s="667"/>
      <c r="N691" s="2"/>
      <c r="O691" s="2"/>
      <c r="P691" s="2"/>
      <c r="Q691" s="857"/>
      <c r="R691" s="858"/>
      <c r="S691" s="858"/>
      <c r="T691" s="858"/>
      <c r="U691" s="858"/>
      <c r="V691" s="858"/>
      <c r="W691" s="858"/>
      <c r="X691" s="858"/>
      <c r="Y691" s="858"/>
      <c r="Z691" s="858"/>
      <c r="AA691" s="858"/>
      <c r="AB691" s="858"/>
      <c r="AC691" s="858"/>
      <c r="AD691" s="858"/>
      <c r="AE691" s="858"/>
      <c r="AF691" s="858"/>
      <c r="AG691" s="858"/>
      <c r="AH691" s="858"/>
      <c r="AI691" s="858"/>
      <c r="AJ691" s="858"/>
    </row>
    <row r="692" ht="15.75" customHeight="1">
      <c r="A692" s="576"/>
      <c r="B692" s="2"/>
      <c r="C692" s="2"/>
      <c r="D692" s="668"/>
      <c r="E692" s="2"/>
      <c r="F692" s="2"/>
      <c r="G692" s="2"/>
      <c r="H692" s="2"/>
      <c r="I692" s="2"/>
      <c r="J692" s="2"/>
      <c r="K692" s="2"/>
      <c r="L692" s="2"/>
      <c r="M692" s="667"/>
      <c r="N692" s="2"/>
      <c r="O692" s="2"/>
      <c r="P692" s="2"/>
      <c r="Q692" s="857"/>
      <c r="R692" s="858"/>
      <c r="S692" s="858"/>
      <c r="T692" s="858"/>
      <c r="U692" s="858"/>
      <c r="V692" s="858"/>
      <c r="W692" s="858"/>
      <c r="X692" s="858"/>
      <c r="Y692" s="858"/>
      <c r="Z692" s="858"/>
      <c r="AA692" s="858"/>
      <c r="AB692" s="858"/>
      <c r="AC692" s="858"/>
      <c r="AD692" s="858"/>
      <c r="AE692" s="858"/>
      <c r="AF692" s="858"/>
      <c r="AG692" s="858"/>
      <c r="AH692" s="858"/>
      <c r="AI692" s="858"/>
      <c r="AJ692" s="858"/>
    </row>
    <row r="693" ht="15.75" customHeight="1">
      <c r="A693" s="576"/>
      <c r="B693" s="2"/>
      <c r="C693" s="2"/>
      <c r="D693" s="668"/>
      <c r="E693" s="2"/>
      <c r="F693" s="2"/>
      <c r="G693" s="2"/>
      <c r="H693" s="2"/>
      <c r="I693" s="2"/>
      <c r="J693" s="2"/>
      <c r="K693" s="2"/>
      <c r="L693" s="2"/>
      <c r="M693" s="667"/>
      <c r="N693" s="2"/>
      <c r="O693" s="2"/>
      <c r="P693" s="2"/>
      <c r="Q693" s="857"/>
      <c r="R693" s="858"/>
      <c r="S693" s="858"/>
      <c r="T693" s="858"/>
      <c r="U693" s="858"/>
      <c r="V693" s="858"/>
      <c r="W693" s="858"/>
      <c r="X693" s="858"/>
      <c r="Y693" s="858"/>
      <c r="Z693" s="858"/>
      <c r="AA693" s="858"/>
      <c r="AB693" s="858"/>
      <c r="AC693" s="858"/>
      <c r="AD693" s="858"/>
      <c r="AE693" s="858"/>
      <c r="AF693" s="858"/>
      <c r="AG693" s="858"/>
      <c r="AH693" s="858"/>
      <c r="AI693" s="858"/>
      <c r="AJ693" s="858"/>
    </row>
    <row r="694" ht="15.75" customHeight="1">
      <c r="A694" s="576"/>
      <c r="B694" s="2"/>
      <c r="C694" s="2"/>
      <c r="D694" s="668"/>
      <c r="E694" s="2"/>
      <c r="F694" s="2"/>
      <c r="G694" s="2"/>
      <c r="H694" s="2"/>
      <c r="I694" s="2"/>
      <c r="J694" s="2"/>
      <c r="K694" s="2"/>
      <c r="L694" s="2"/>
      <c r="M694" s="667"/>
      <c r="N694" s="2"/>
      <c r="O694" s="2"/>
      <c r="P694" s="2"/>
      <c r="Q694" s="857"/>
      <c r="R694" s="858"/>
      <c r="S694" s="858"/>
      <c r="T694" s="858"/>
      <c r="U694" s="858"/>
      <c r="V694" s="858"/>
      <c r="W694" s="858"/>
      <c r="X694" s="858"/>
      <c r="Y694" s="858"/>
      <c r="Z694" s="858"/>
      <c r="AA694" s="858"/>
      <c r="AB694" s="858"/>
      <c r="AC694" s="858"/>
      <c r="AD694" s="858"/>
      <c r="AE694" s="858"/>
      <c r="AF694" s="858"/>
      <c r="AG694" s="858"/>
      <c r="AH694" s="858"/>
      <c r="AI694" s="858"/>
      <c r="AJ694" s="858"/>
    </row>
    <row r="695" ht="15.75" customHeight="1">
      <c r="A695" s="576"/>
      <c r="B695" s="2"/>
      <c r="C695" s="2"/>
      <c r="D695" s="668"/>
      <c r="E695" s="2"/>
      <c r="F695" s="2"/>
      <c r="G695" s="2"/>
      <c r="H695" s="2"/>
      <c r="I695" s="2"/>
      <c r="J695" s="2"/>
      <c r="K695" s="2"/>
      <c r="L695" s="2"/>
      <c r="M695" s="667"/>
      <c r="N695" s="2"/>
      <c r="O695" s="2"/>
      <c r="P695" s="2"/>
      <c r="Q695" s="857"/>
      <c r="R695" s="858"/>
      <c r="S695" s="858"/>
      <c r="T695" s="858"/>
      <c r="U695" s="858"/>
      <c r="V695" s="858"/>
      <c r="W695" s="858"/>
      <c r="X695" s="858"/>
      <c r="Y695" s="858"/>
      <c r="Z695" s="858"/>
      <c r="AA695" s="858"/>
      <c r="AB695" s="858"/>
      <c r="AC695" s="858"/>
      <c r="AD695" s="858"/>
      <c r="AE695" s="858"/>
      <c r="AF695" s="858"/>
      <c r="AG695" s="858"/>
      <c r="AH695" s="858"/>
      <c r="AI695" s="858"/>
      <c r="AJ695" s="858"/>
    </row>
    <row r="696" ht="15.75" customHeight="1">
      <c r="A696" s="576"/>
      <c r="B696" s="2"/>
      <c r="C696" s="2"/>
      <c r="D696" s="668"/>
      <c r="E696" s="2"/>
      <c r="F696" s="2"/>
      <c r="G696" s="2"/>
      <c r="H696" s="2"/>
      <c r="I696" s="2"/>
      <c r="J696" s="2"/>
      <c r="K696" s="2"/>
      <c r="L696" s="2"/>
      <c r="M696" s="667"/>
      <c r="N696" s="2"/>
      <c r="O696" s="2"/>
      <c r="P696" s="2"/>
      <c r="Q696" s="857"/>
      <c r="R696" s="858"/>
      <c r="S696" s="858"/>
      <c r="T696" s="858"/>
      <c r="U696" s="858"/>
      <c r="V696" s="858"/>
      <c r="W696" s="858"/>
      <c r="X696" s="858"/>
      <c r="Y696" s="858"/>
      <c r="Z696" s="858"/>
      <c r="AA696" s="858"/>
      <c r="AB696" s="858"/>
      <c r="AC696" s="858"/>
      <c r="AD696" s="858"/>
      <c r="AE696" s="858"/>
      <c r="AF696" s="858"/>
      <c r="AG696" s="858"/>
      <c r="AH696" s="858"/>
      <c r="AI696" s="858"/>
      <c r="AJ696" s="858"/>
    </row>
    <row r="697" ht="15.75" customHeight="1">
      <c r="A697" s="576"/>
      <c r="B697" s="2"/>
      <c r="C697" s="2"/>
      <c r="D697" s="668"/>
      <c r="E697" s="2"/>
      <c r="F697" s="2"/>
      <c r="G697" s="2"/>
      <c r="H697" s="2"/>
      <c r="I697" s="2"/>
      <c r="J697" s="2"/>
      <c r="K697" s="2"/>
      <c r="L697" s="2"/>
      <c r="M697" s="667"/>
      <c r="N697" s="2"/>
      <c r="O697" s="2"/>
      <c r="P697" s="2"/>
      <c r="Q697" s="857"/>
      <c r="R697" s="858"/>
      <c r="S697" s="858"/>
      <c r="T697" s="858"/>
      <c r="U697" s="858"/>
      <c r="V697" s="858"/>
      <c r="W697" s="858"/>
      <c r="X697" s="858"/>
      <c r="Y697" s="858"/>
      <c r="Z697" s="858"/>
      <c r="AA697" s="858"/>
      <c r="AB697" s="858"/>
      <c r="AC697" s="858"/>
      <c r="AD697" s="858"/>
      <c r="AE697" s="858"/>
      <c r="AF697" s="858"/>
      <c r="AG697" s="858"/>
      <c r="AH697" s="858"/>
      <c r="AI697" s="858"/>
      <c r="AJ697" s="858"/>
    </row>
    <row r="698" ht="15.75" customHeight="1">
      <c r="A698" s="576"/>
      <c r="B698" s="2"/>
      <c r="C698" s="2"/>
      <c r="D698" s="668"/>
      <c r="E698" s="2"/>
      <c r="F698" s="2"/>
      <c r="G698" s="2"/>
      <c r="H698" s="2"/>
      <c r="I698" s="2"/>
      <c r="J698" s="2"/>
      <c r="K698" s="2"/>
      <c r="L698" s="2"/>
      <c r="M698" s="667"/>
      <c r="N698" s="2"/>
      <c r="O698" s="2"/>
      <c r="P698" s="2"/>
      <c r="Q698" s="857"/>
      <c r="R698" s="858"/>
      <c r="S698" s="858"/>
      <c r="T698" s="858"/>
      <c r="U698" s="858"/>
      <c r="V698" s="858"/>
      <c r="W698" s="858"/>
      <c r="X698" s="858"/>
      <c r="Y698" s="858"/>
      <c r="Z698" s="858"/>
      <c r="AA698" s="858"/>
      <c r="AB698" s="858"/>
      <c r="AC698" s="858"/>
      <c r="AD698" s="858"/>
      <c r="AE698" s="858"/>
      <c r="AF698" s="858"/>
      <c r="AG698" s="858"/>
      <c r="AH698" s="858"/>
      <c r="AI698" s="858"/>
      <c r="AJ698" s="858"/>
    </row>
    <row r="699" ht="15.75" customHeight="1">
      <c r="A699" s="576"/>
      <c r="B699" s="2"/>
      <c r="C699" s="2"/>
      <c r="D699" s="668"/>
      <c r="E699" s="2"/>
      <c r="F699" s="2"/>
      <c r="G699" s="2"/>
      <c r="H699" s="2"/>
      <c r="I699" s="2"/>
      <c r="J699" s="2"/>
      <c r="K699" s="2"/>
      <c r="L699" s="2"/>
      <c r="M699" s="667"/>
      <c r="N699" s="2"/>
      <c r="O699" s="2"/>
      <c r="P699" s="2"/>
      <c r="Q699" s="857"/>
      <c r="R699" s="858"/>
      <c r="S699" s="858"/>
      <c r="T699" s="858"/>
      <c r="U699" s="858"/>
      <c r="V699" s="858"/>
      <c r="W699" s="858"/>
      <c r="X699" s="858"/>
      <c r="Y699" s="858"/>
      <c r="Z699" s="858"/>
      <c r="AA699" s="858"/>
      <c r="AB699" s="858"/>
      <c r="AC699" s="858"/>
      <c r="AD699" s="858"/>
      <c r="AE699" s="858"/>
      <c r="AF699" s="858"/>
      <c r="AG699" s="858"/>
      <c r="AH699" s="858"/>
      <c r="AI699" s="858"/>
      <c r="AJ699" s="858"/>
    </row>
    <row r="700" ht="15.75" customHeight="1">
      <c r="A700" s="576"/>
      <c r="B700" s="2"/>
      <c r="C700" s="2"/>
      <c r="D700" s="668"/>
      <c r="E700" s="2"/>
      <c r="F700" s="2"/>
      <c r="G700" s="2"/>
      <c r="H700" s="2"/>
      <c r="I700" s="2"/>
      <c r="J700" s="2"/>
      <c r="K700" s="2"/>
      <c r="L700" s="2"/>
      <c r="M700" s="667"/>
      <c r="N700" s="2"/>
      <c r="O700" s="2"/>
      <c r="P700" s="2"/>
      <c r="Q700" s="857"/>
      <c r="R700" s="858"/>
      <c r="S700" s="858"/>
      <c r="T700" s="858"/>
      <c r="U700" s="858"/>
      <c r="V700" s="858"/>
      <c r="W700" s="858"/>
      <c r="X700" s="858"/>
      <c r="Y700" s="858"/>
      <c r="Z700" s="858"/>
      <c r="AA700" s="858"/>
      <c r="AB700" s="858"/>
      <c r="AC700" s="858"/>
      <c r="AD700" s="858"/>
      <c r="AE700" s="858"/>
      <c r="AF700" s="858"/>
      <c r="AG700" s="858"/>
      <c r="AH700" s="858"/>
      <c r="AI700" s="858"/>
      <c r="AJ700" s="858"/>
    </row>
    <row r="701" ht="15.75" customHeight="1">
      <c r="A701" s="576"/>
      <c r="B701" s="2"/>
      <c r="C701" s="2"/>
      <c r="D701" s="668"/>
      <c r="E701" s="2"/>
      <c r="F701" s="2"/>
      <c r="G701" s="2"/>
      <c r="H701" s="2"/>
      <c r="I701" s="2"/>
      <c r="J701" s="2"/>
      <c r="K701" s="2"/>
      <c r="L701" s="2"/>
      <c r="M701" s="667"/>
      <c r="N701" s="2"/>
      <c r="O701" s="2"/>
      <c r="P701" s="2"/>
      <c r="Q701" s="857"/>
      <c r="R701" s="858"/>
      <c r="S701" s="858"/>
      <c r="T701" s="858"/>
      <c r="U701" s="858"/>
      <c r="V701" s="858"/>
      <c r="W701" s="858"/>
      <c r="X701" s="858"/>
      <c r="Y701" s="858"/>
      <c r="Z701" s="858"/>
      <c r="AA701" s="858"/>
      <c r="AB701" s="858"/>
      <c r="AC701" s="858"/>
      <c r="AD701" s="858"/>
      <c r="AE701" s="858"/>
      <c r="AF701" s="858"/>
      <c r="AG701" s="858"/>
      <c r="AH701" s="858"/>
      <c r="AI701" s="858"/>
      <c r="AJ701" s="858"/>
    </row>
    <row r="702" ht="15.75" customHeight="1">
      <c r="A702" s="576"/>
      <c r="B702" s="2"/>
      <c r="C702" s="2"/>
      <c r="D702" s="668"/>
      <c r="E702" s="2"/>
      <c r="F702" s="2"/>
      <c r="G702" s="2"/>
      <c r="H702" s="2"/>
      <c r="I702" s="2"/>
      <c r="J702" s="2"/>
      <c r="K702" s="2"/>
      <c r="L702" s="2"/>
      <c r="M702" s="667"/>
      <c r="N702" s="2"/>
      <c r="O702" s="2"/>
      <c r="P702" s="2"/>
      <c r="Q702" s="857"/>
      <c r="R702" s="858"/>
      <c r="S702" s="858"/>
      <c r="T702" s="858"/>
      <c r="U702" s="858"/>
      <c r="V702" s="858"/>
      <c r="W702" s="858"/>
      <c r="X702" s="858"/>
      <c r="Y702" s="858"/>
      <c r="Z702" s="858"/>
      <c r="AA702" s="858"/>
      <c r="AB702" s="858"/>
      <c r="AC702" s="858"/>
      <c r="AD702" s="858"/>
      <c r="AE702" s="858"/>
      <c r="AF702" s="858"/>
      <c r="AG702" s="858"/>
      <c r="AH702" s="858"/>
      <c r="AI702" s="858"/>
      <c r="AJ702" s="858"/>
    </row>
    <row r="703" ht="15.75" customHeight="1">
      <c r="A703" s="576"/>
      <c r="B703" s="2"/>
      <c r="C703" s="2"/>
      <c r="D703" s="668"/>
      <c r="E703" s="2"/>
      <c r="F703" s="2"/>
      <c r="G703" s="2"/>
      <c r="H703" s="2"/>
      <c r="I703" s="2"/>
      <c r="J703" s="2"/>
      <c r="K703" s="2"/>
      <c r="L703" s="2"/>
      <c r="M703" s="667"/>
      <c r="N703" s="2"/>
      <c r="O703" s="2"/>
      <c r="P703" s="2"/>
      <c r="Q703" s="857"/>
      <c r="R703" s="858"/>
      <c r="S703" s="858"/>
      <c r="T703" s="858"/>
      <c r="U703" s="858"/>
      <c r="V703" s="858"/>
      <c r="W703" s="858"/>
      <c r="X703" s="858"/>
      <c r="Y703" s="858"/>
      <c r="Z703" s="858"/>
      <c r="AA703" s="858"/>
      <c r="AB703" s="858"/>
      <c r="AC703" s="858"/>
      <c r="AD703" s="858"/>
      <c r="AE703" s="858"/>
      <c r="AF703" s="858"/>
      <c r="AG703" s="858"/>
      <c r="AH703" s="858"/>
      <c r="AI703" s="858"/>
      <c r="AJ703" s="858"/>
    </row>
    <row r="704" ht="15.75" customHeight="1">
      <c r="A704" s="576"/>
      <c r="B704" s="2"/>
      <c r="C704" s="2"/>
      <c r="D704" s="668"/>
      <c r="E704" s="2"/>
      <c r="F704" s="2"/>
      <c r="G704" s="2"/>
      <c r="H704" s="2"/>
      <c r="I704" s="2"/>
      <c r="J704" s="2"/>
      <c r="K704" s="2"/>
      <c r="L704" s="2"/>
      <c r="M704" s="667"/>
      <c r="N704" s="2"/>
      <c r="O704" s="2"/>
      <c r="P704" s="2"/>
      <c r="Q704" s="857"/>
      <c r="R704" s="858"/>
      <c r="S704" s="858"/>
      <c r="T704" s="858"/>
      <c r="U704" s="858"/>
      <c r="V704" s="858"/>
      <c r="W704" s="858"/>
      <c r="X704" s="858"/>
      <c r="Y704" s="858"/>
      <c r="Z704" s="858"/>
      <c r="AA704" s="858"/>
      <c r="AB704" s="858"/>
      <c r="AC704" s="858"/>
      <c r="AD704" s="858"/>
      <c r="AE704" s="858"/>
      <c r="AF704" s="858"/>
      <c r="AG704" s="858"/>
      <c r="AH704" s="858"/>
      <c r="AI704" s="858"/>
      <c r="AJ704" s="858"/>
    </row>
    <row r="705" ht="15.75" customHeight="1">
      <c r="A705" s="576"/>
      <c r="B705" s="2"/>
      <c r="C705" s="2"/>
      <c r="D705" s="668"/>
      <c r="E705" s="2"/>
      <c r="F705" s="2"/>
      <c r="G705" s="2"/>
      <c r="H705" s="2"/>
      <c r="I705" s="2"/>
      <c r="J705" s="2"/>
      <c r="K705" s="2"/>
      <c r="L705" s="2"/>
      <c r="M705" s="667"/>
      <c r="N705" s="2"/>
      <c r="O705" s="2"/>
      <c r="P705" s="2"/>
      <c r="Q705" s="857"/>
      <c r="R705" s="858"/>
      <c r="S705" s="858"/>
      <c r="T705" s="858"/>
      <c r="U705" s="858"/>
      <c r="V705" s="858"/>
      <c r="W705" s="858"/>
      <c r="X705" s="858"/>
      <c r="Y705" s="858"/>
      <c r="Z705" s="858"/>
      <c r="AA705" s="858"/>
      <c r="AB705" s="858"/>
      <c r="AC705" s="858"/>
      <c r="AD705" s="858"/>
      <c r="AE705" s="858"/>
      <c r="AF705" s="858"/>
      <c r="AG705" s="858"/>
      <c r="AH705" s="858"/>
      <c r="AI705" s="858"/>
      <c r="AJ705" s="858"/>
    </row>
    <row r="706" ht="15.75" customHeight="1">
      <c r="A706" s="576"/>
      <c r="B706" s="2"/>
      <c r="C706" s="2"/>
      <c r="D706" s="668"/>
      <c r="E706" s="2"/>
      <c r="F706" s="2"/>
      <c r="G706" s="2"/>
      <c r="H706" s="2"/>
      <c r="I706" s="2"/>
      <c r="J706" s="2"/>
      <c r="K706" s="2"/>
      <c r="L706" s="2"/>
      <c r="M706" s="667"/>
      <c r="N706" s="2"/>
      <c r="O706" s="2"/>
      <c r="P706" s="2"/>
      <c r="Q706" s="857"/>
      <c r="R706" s="858"/>
      <c r="S706" s="858"/>
      <c r="T706" s="858"/>
      <c r="U706" s="858"/>
      <c r="V706" s="858"/>
      <c r="W706" s="858"/>
      <c r="X706" s="858"/>
      <c r="Y706" s="858"/>
      <c r="Z706" s="858"/>
      <c r="AA706" s="858"/>
      <c r="AB706" s="858"/>
      <c r="AC706" s="858"/>
      <c r="AD706" s="858"/>
      <c r="AE706" s="858"/>
      <c r="AF706" s="858"/>
      <c r="AG706" s="858"/>
      <c r="AH706" s="858"/>
      <c r="AI706" s="858"/>
      <c r="AJ706" s="858"/>
    </row>
    <row r="707" ht="15.75" customHeight="1">
      <c r="A707" s="576"/>
      <c r="B707" s="2"/>
      <c r="C707" s="2"/>
      <c r="D707" s="668"/>
      <c r="E707" s="2"/>
      <c r="F707" s="2"/>
      <c r="G707" s="2"/>
      <c r="H707" s="2"/>
      <c r="I707" s="2"/>
      <c r="J707" s="2"/>
      <c r="K707" s="2"/>
      <c r="L707" s="2"/>
      <c r="M707" s="667"/>
      <c r="N707" s="2"/>
      <c r="O707" s="2"/>
      <c r="P707" s="2"/>
      <c r="Q707" s="857"/>
      <c r="R707" s="858"/>
      <c r="S707" s="858"/>
      <c r="T707" s="858"/>
      <c r="U707" s="858"/>
      <c r="V707" s="858"/>
      <c r="W707" s="858"/>
      <c r="X707" s="858"/>
      <c r="Y707" s="858"/>
      <c r="Z707" s="858"/>
      <c r="AA707" s="858"/>
      <c r="AB707" s="858"/>
      <c r="AC707" s="858"/>
      <c r="AD707" s="858"/>
      <c r="AE707" s="858"/>
      <c r="AF707" s="858"/>
      <c r="AG707" s="858"/>
      <c r="AH707" s="858"/>
      <c r="AI707" s="858"/>
      <c r="AJ707" s="858"/>
    </row>
    <row r="708" ht="15.75" customHeight="1">
      <c r="A708" s="576"/>
      <c r="B708" s="2"/>
      <c r="C708" s="2"/>
      <c r="D708" s="668"/>
      <c r="E708" s="2"/>
      <c r="F708" s="2"/>
      <c r="G708" s="2"/>
      <c r="H708" s="2"/>
      <c r="I708" s="2"/>
      <c r="J708" s="2"/>
      <c r="K708" s="2"/>
      <c r="L708" s="2"/>
      <c r="M708" s="667"/>
      <c r="N708" s="2"/>
      <c r="O708" s="2"/>
      <c r="P708" s="2"/>
      <c r="Q708" s="857"/>
      <c r="R708" s="858"/>
      <c r="S708" s="858"/>
      <c r="T708" s="858"/>
      <c r="U708" s="858"/>
      <c r="V708" s="858"/>
      <c r="W708" s="858"/>
      <c r="X708" s="858"/>
      <c r="Y708" s="858"/>
      <c r="Z708" s="858"/>
      <c r="AA708" s="858"/>
      <c r="AB708" s="858"/>
      <c r="AC708" s="858"/>
      <c r="AD708" s="858"/>
      <c r="AE708" s="858"/>
      <c r="AF708" s="858"/>
      <c r="AG708" s="858"/>
      <c r="AH708" s="858"/>
      <c r="AI708" s="858"/>
      <c r="AJ708" s="858"/>
    </row>
    <row r="709" ht="15.75" customHeight="1">
      <c r="A709" s="576"/>
      <c r="B709" s="2"/>
      <c r="C709" s="2"/>
      <c r="D709" s="668"/>
      <c r="E709" s="2"/>
      <c r="F709" s="2"/>
      <c r="G709" s="2"/>
      <c r="H709" s="2"/>
      <c r="I709" s="2"/>
      <c r="J709" s="2"/>
      <c r="K709" s="2"/>
      <c r="L709" s="2"/>
      <c r="M709" s="667"/>
      <c r="N709" s="2"/>
      <c r="O709" s="2"/>
      <c r="P709" s="2"/>
      <c r="Q709" s="857"/>
      <c r="R709" s="858"/>
      <c r="S709" s="858"/>
      <c r="T709" s="858"/>
      <c r="U709" s="858"/>
      <c r="V709" s="858"/>
      <c r="W709" s="858"/>
      <c r="X709" s="858"/>
      <c r="Y709" s="858"/>
      <c r="Z709" s="858"/>
      <c r="AA709" s="858"/>
      <c r="AB709" s="858"/>
      <c r="AC709" s="858"/>
      <c r="AD709" s="858"/>
      <c r="AE709" s="858"/>
      <c r="AF709" s="858"/>
      <c r="AG709" s="858"/>
      <c r="AH709" s="858"/>
      <c r="AI709" s="858"/>
      <c r="AJ709" s="858"/>
    </row>
    <row r="710" ht="15.75" customHeight="1">
      <c r="A710" s="576"/>
      <c r="B710" s="2"/>
      <c r="C710" s="2"/>
      <c r="D710" s="668"/>
      <c r="E710" s="2"/>
      <c r="F710" s="2"/>
      <c r="G710" s="2"/>
      <c r="H710" s="2"/>
      <c r="I710" s="2"/>
      <c r="J710" s="2"/>
      <c r="K710" s="2"/>
      <c r="L710" s="2"/>
      <c r="M710" s="667"/>
      <c r="N710" s="2"/>
      <c r="O710" s="2"/>
      <c r="P710" s="2"/>
      <c r="Q710" s="857"/>
      <c r="R710" s="858"/>
      <c r="S710" s="858"/>
      <c r="T710" s="858"/>
      <c r="U710" s="858"/>
      <c r="V710" s="858"/>
      <c r="W710" s="858"/>
      <c r="X710" s="858"/>
      <c r="Y710" s="858"/>
      <c r="Z710" s="858"/>
      <c r="AA710" s="858"/>
      <c r="AB710" s="858"/>
      <c r="AC710" s="858"/>
      <c r="AD710" s="858"/>
      <c r="AE710" s="858"/>
      <c r="AF710" s="858"/>
      <c r="AG710" s="858"/>
      <c r="AH710" s="858"/>
      <c r="AI710" s="858"/>
      <c r="AJ710" s="858"/>
    </row>
    <row r="711" ht="15.75" customHeight="1">
      <c r="A711" s="576"/>
      <c r="B711" s="2"/>
      <c r="C711" s="2"/>
      <c r="D711" s="668"/>
      <c r="E711" s="2"/>
      <c r="F711" s="2"/>
      <c r="G711" s="2"/>
      <c r="H711" s="2"/>
      <c r="I711" s="2"/>
      <c r="J711" s="2"/>
      <c r="K711" s="2"/>
      <c r="L711" s="2"/>
      <c r="M711" s="667"/>
      <c r="N711" s="2"/>
      <c r="O711" s="2"/>
      <c r="P711" s="2"/>
      <c r="Q711" s="857"/>
      <c r="R711" s="858"/>
      <c r="S711" s="858"/>
      <c r="T711" s="858"/>
      <c r="U711" s="858"/>
      <c r="V711" s="858"/>
      <c r="W711" s="858"/>
      <c r="X711" s="858"/>
      <c r="Y711" s="858"/>
      <c r="Z711" s="858"/>
      <c r="AA711" s="858"/>
      <c r="AB711" s="858"/>
      <c r="AC711" s="858"/>
      <c r="AD711" s="858"/>
      <c r="AE711" s="858"/>
      <c r="AF711" s="858"/>
      <c r="AG711" s="858"/>
      <c r="AH711" s="858"/>
      <c r="AI711" s="858"/>
      <c r="AJ711" s="858"/>
    </row>
    <row r="712" ht="15.75" customHeight="1">
      <c r="A712" s="576"/>
      <c r="B712" s="2"/>
      <c r="C712" s="2"/>
      <c r="D712" s="668"/>
      <c r="E712" s="2"/>
      <c r="F712" s="2"/>
      <c r="G712" s="2"/>
      <c r="H712" s="2"/>
      <c r="I712" s="2"/>
      <c r="J712" s="2"/>
      <c r="K712" s="2"/>
      <c r="L712" s="2"/>
      <c r="M712" s="667"/>
      <c r="N712" s="2"/>
      <c r="O712" s="2"/>
      <c r="P712" s="2"/>
      <c r="Q712" s="857"/>
      <c r="R712" s="858"/>
      <c r="S712" s="858"/>
      <c r="T712" s="858"/>
      <c r="U712" s="858"/>
      <c r="V712" s="858"/>
      <c r="W712" s="858"/>
      <c r="X712" s="858"/>
      <c r="Y712" s="858"/>
      <c r="Z712" s="858"/>
      <c r="AA712" s="858"/>
      <c r="AB712" s="858"/>
      <c r="AC712" s="858"/>
      <c r="AD712" s="858"/>
      <c r="AE712" s="858"/>
      <c r="AF712" s="858"/>
      <c r="AG712" s="858"/>
      <c r="AH712" s="858"/>
      <c r="AI712" s="858"/>
      <c r="AJ712" s="858"/>
    </row>
    <row r="713" ht="15.75" customHeight="1">
      <c r="A713" s="576"/>
      <c r="B713" s="2"/>
      <c r="C713" s="2"/>
      <c r="D713" s="668"/>
      <c r="E713" s="2"/>
      <c r="F713" s="2"/>
      <c r="G713" s="2"/>
      <c r="H713" s="2"/>
      <c r="I713" s="2"/>
      <c r="J713" s="2"/>
      <c r="K713" s="2"/>
      <c r="L713" s="2"/>
      <c r="M713" s="667"/>
      <c r="N713" s="2"/>
      <c r="O713" s="2"/>
      <c r="P713" s="2"/>
      <c r="Q713" s="857"/>
      <c r="R713" s="858"/>
      <c r="S713" s="858"/>
      <c r="T713" s="858"/>
      <c r="U713" s="858"/>
      <c r="V713" s="858"/>
      <c r="W713" s="858"/>
      <c r="X713" s="858"/>
      <c r="Y713" s="858"/>
      <c r="Z713" s="858"/>
      <c r="AA713" s="858"/>
      <c r="AB713" s="858"/>
      <c r="AC713" s="858"/>
      <c r="AD713" s="858"/>
      <c r="AE713" s="858"/>
      <c r="AF713" s="858"/>
      <c r="AG713" s="858"/>
      <c r="AH713" s="858"/>
      <c r="AI713" s="858"/>
      <c r="AJ713" s="858"/>
    </row>
    <row r="714" ht="15.75" customHeight="1">
      <c r="A714" s="576"/>
      <c r="B714" s="2"/>
      <c r="C714" s="2"/>
      <c r="D714" s="668"/>
      <c r="E714" s="2"/>
      <c r="F714" s="2"/>
      <c r="G714" s="2"/>
      <c r="H714" s="2"/>
      <c r="I714" s="2"/>
      <c r="J714" s="2"/>
      <c r="K714" s="2"/>
      <c r="L714" s="2"/>
      <c r="M714" s="667"/>
      <c r="N714" s="2"/>
      <c r="O714" s="2"/>
      <c r="P714" s="2"/>
      <c r="Q714" s="857"/>
      <c r="R714" s="858"/>
      <c r="S714" s="858"/>
      <c r="T714" s="858"/>
      <c r="U714" s="858"/>
      <c r="V714" s="858"/>
      <c r="W714" s="858"/>
      <c r="X714" s="858"/>
      <c r="Y714" s="858"/>
      <c r="Z714" s="858"/>
      <c r="AA714" s="858"/>
      <c r="AB714" s="858"/>
      <c r="AC714" s="858"/>
      <c r="AD714" s="858"/>
      <c r="AE714" s="858"/>
      <c r="AF714" s="858"/>
      <c r="AG714" s="858"/>
      <c r="AH714" s="858"/>
      <c r="AI714" s="858"/>
      <c r="AJ714" s="858"/>
    </row>
    <row r="715" ht="15.75" customHeight="1">
      <c r="A715" s="576"/>
      <c r="B715" s="2"/>
      <c r="C715" s="2"/>
      <c r="D715" s="668"/>
      <c r="E715" s="2"/>
      <c r="F715" s="2"/>
      <c r="G715" s="2"/>
      <c r="H715" s="2"/>
      <c r="I715" s="2"/>
      <c r="J715" s="2"/>
      <c r="K715" s="2"/>
      <c r="L715" s="2"/>
      <c r="M715" s="667"/>
      <c r="N715" s="2"/>
      <c r="O715" s="2"/>
      <c r="P715" s="2"/>
      <c r="Q715" s="857"/>
      <c r="R715" s="858"/>
      <c r="S715" s="858"/>
      <c r="T715" s="858"/>
      <c r="U715" s="858"/>
      <c r="V715" s="858"/>
      <c r="W715" s="858"/>
      <c r="X715" s="858"/>
      <c r="Y715" s="858"/>
      <c r="Z715" s="858"/>
      <c r="AA715" s="858"/>
      <c r="AB715" s="858"/>
      <c r="AC715" s="858"/>
      <c r="AD715" s="858"/>
      <c r="AE715" s="858"/>
      <c r="AF715" s="858"/>
      <c r="AG715" s="858"/>
      <c r="AH715" s="858"/>
      <c r="AI715" s="858"/>
      <c r="AJ715" s="858"/>
    </row>
    <row r="716" ht="15.75" customHeight="1">
      <c r="A716" s="576"/>
      <c r="B716" s="2"/>
      <c r="C716" s="2"/>
      <c r="D716" s="668"/>
      <c r="E716" s="2"/>
      <c r="F716" s="2"/>
      <c r="G716" s="2"/>
      <c r="H716" s="2"/>
      <c r="I716" s="2"/>
      <c r="J716" s="2"/>
      <c r="K716" s="2"/>
      <c r="L716" s="2"/>
      <c r="M716" s="667"/>
      <c r="N716" s="2"/>
      <c r="O716" s="2"/>
      <c r="P716" s="2"/>
      <c r="Q716" s="857"/>
      <c r="R716" s="858"/>
      <c r="S716" s="858"/>
      <c r="T716" s="858"/>
      <c r="U716" s="858"/>
      <c r="V716" s="858"/>
      <c r="W716" s="858"/>
      <c r="X716" s="858"/>
      <c r="Y716" s="858"/>
      <c r="Z716" s="858"/>
      <c r="AA716" s="858"/>
      <c r="AB716" s="858"/>
      <c r="AC716" s="858"/>
      <c r="AD716" s="858"/>
      <c r="AE716" s="858"/>
      <c r="AF716" s="858"/>
      <c r="AG716" s="858"/>
      <c r="AH716" s="858"/>
      <c r="AI716" s="858"/>
      <c r="AJ716" s="858"/>
    </row>
    <row r="717" ht="15.75" customHeight="1">
      <c r="A717" s="576"/>
      <c r="B717" s="2"/>
      <c r="C717" s="2"/>
      <c r="D717" s="668"/>
      <c r="E717" s="2"/>
      <c r="F717" s="2"/>
      <c r="G717" s="2"/>
      <c r="H717" s="2"/>
      <c r="I717" s="2"/>
      <c r="J717" s="2"/>
      <c r="K717" s="2"/>
      <c r="L717" s="2"/>
      <c r="M717" s="667"/>
      <c r="N717" s="2"/>
      <c r="O717" s="2"/>
      <c r="P717" s="2"/>
      <c r="Q717" s="857"/>
      <c r="R717" s="858"/>
      <c r="S717" s="858"/>
      <c r="T717" s="858"/>
      <c r="U717" s="858"/>
      <c r="V717" s="858"/>
      <c r="W717" s="858"/>
      <c r="X717" s="858"/>
      <c r="Y717" s="858"/>
      <c r="Z717" s="858"/>
      <c r="AA717" s="858"/>
      <c r="AB717" s="858"/>
      <c r="AC717" s="858"/>
      <c r="AD717" s="858"/>
      <c r="AE717" s="858"/>
      <c r="AF717" s="858"/>
      <c r="AG717" s="858"/>
      <c r="AH717" s="858"/>
      <c r="AI717" s="858"/>
      <c r="AJ717" s="858"/>
    </row>
    <row r="718" ht="15.75" customHeight="1">
      <c r="A718" s="576"/>
      <c r="B718" s="2"/>
      <c r="C718" s="2"/>
      <c r="D718" s="668"/>
      <c r="E718" s="2"/>
      <c r="F718" s="2"/>
      <c r="G718" s="2"/>
      <c r="H718" s="2"/>
      <c r="I718" s="2"/>
      <c r="J718" s="2"/>
      <c r="K718" s="2"/>
      <c r="L718" s="2"/>
      <c r="M718" s="667"/>
      <c r="N718" s="2"/>
      <c r="O718" s="2"/>
      <c r="P718" s="2"/>
      <c r="Q718" s="857"/>
      <c r="R718" s="858"/>
      <c r="S718" s="858"/>
      <c r="T718" s="858"/>
      <c r="U718" s="858"/>
      <c r="V718" s="858"/>
      <c r="W718" s="858"/>
      <c r="X718" s="858"/>
      <c r="Y718" s="858"/>
      <c r="Z718" s="858"/>
      <c r="AA718" s="858"/>
      <c r="AB718" s="858"/>
      <c r="AC718" s="858"/>
      <c r="AD718" s="858"/>
      <c r="AE718" s="858"/>
      <c r="AF718" s="858"/>
      <c r="AG718" s="858"/>
      <c r="AH718" s="858"/>
      <c r="AI718" s="858"/>
      <c r="AJ718" s="858"/>
    </row>
    <row r="719" ht="15.75" customHeight="1">
      <c r="A719" s="576"/>
      <c r="B719" s="2"/>
      <c r="C719" s="2"/>
      <c r="D719" s="668"/>
      <c r="E719" s="2"/>
      <c r="F719" s="2"/>
      <c r="G719" s="2"/>
      <c r="H719" s="2"/>
      <c r="I719" s="2"/>
      <c r="J719" s="2"/>
      <c r="K719" s="2"/>
      <c r="L719" s="2"/>
      <c r="M719" s="667"/>
      <c r="N719" s="2"/>
      <c r="O719" s="2"/>
      <c r="P719" s="2"/>
      <c r="Q719" s="857"/>
      <c r="R719" s="858"/>
      <c r="S719" s="858"/>
      <c r="T719" s="858"/>
      <c r="U719" s="858"/>
      <c r="V719" s="858"/>
      <c r="W719" s="858"/>
      <c r="X719" s="858"/>
      <c r="Y719" s="858"/>
      <c r="Z719" s="858"/>
      <c r="AA719" s="858"/>
      <c r="AB719" s="858"/>
      <c r="AC719" s="858"/>
      <c r="AD719" s="858"/>
      <c r="AE719" s="858"/>
      <c r="AF719" s="858"/>
      <c r="AG719" s="858"/>
      <c r="AH719" s="858"/>
      <c r="AI719" s="858"/>
      <c r="AJ719" s="858"/>
    </row>
    <row r="720" ht="15.75" customHeight="1">
      <c r="A720" s="576"/>
      <c r="B720" s="2"/>
      <c r="C720" s="2"/>
      <c r="D720" s="668"/>
      <c r="E720" s="2"/>
      <c r="F720" s="2"/>
      <c r="G720" s="2"/>
      <c r="H720" s="2"/>
      <c r="I720" s="2"/>
      <c r="J720" s="2"/>
      <c r="K720" s="2"/>
      <c r="L720" s="2"/>
      <c r="M720" s="667"/>
      <c r="N720" s="2"/>
      <c r="O720" s="2"/>
      <c r="P720" s="2"/>
      <c r="Q720" s="857"/>
      <c r="R720" s="858"/>
      <c r="S720" s="858"/>
      <c r="T720" s="858"/>
      <c r="U720" s="858"/>
      <c r="V720" s="858"/>
      <c r="W720" s="858"/>
      <c r="X720" s="858"/>
      <c r="Y720" s="858"/>
      <c r="Z720" s="858"/>
      <c r="AA720" s="858"/>
      <c r="AB720" s="858"/>
      <c r="AC720" s="858"/>
      <c r="AD720" s="858"/>
      <c r="AE720" s="858"/>
      <c r="AF720" s="858"/>
      <c r="AG720" s="858"/>
      <c r="AH720" s="858"/>
      <c r="AI720" s="858"/>
      <c r="AJ720" s="858"/>
    </row>
    <row r="721" ht="15.75" customHeight="1">
      <c r="A721" s="576"/>
      <c r="B721" s="2"/>
      <c r="C721" s="2"/>
      <c r="D721" s="668"/>
      <c r="E721" s="2"/>
      <c r="F721" s="2"/>
      <c r="G721" s="2"/>
      <c r="H721" s="2"/>
      <c r="I721" s="2"/>
      <c r="J721" s="2"/>
      <c r="K721" s="2"/>
      <c r="L721" s="2"/>
      <c r="M721" s="667"/>
      <c r="N721" s="2"/>
      <c r="O721" s="2"/>
      <c r="P721" s="2"/>
      <c r="Q721" s="857"/>
      <c r="R721" s="858"/>
      <c r="S721" s="858"/>
      <c r="T721" s="858"/>
      <c r="U721" s="858"/>
      <c r="V721" s="858"/>
      <c r="W721" s="858"/>
      <c r="X721" s="858"/>
      <c r="Y721" s="858"/>
      <c r="Z721" s="858"/>
      <c r="AA721" s="858"/>
      <c r="AB721" s="858"/>
      <c r="AC721" s="858"/>
      <c r="AD721" s="858"/>
      <c r="AE721" s="858"/>
      <c r="AF721" s="858"/>
      <c r="AG721" s="858"/>
      <c r="AH721" s="858"/>
      <c r="AI721" s="858"/>
      <c r="AJ721" s="858"/>
    </row>
    <row r="722" ht="15.75" customHeight="1">
      <c r="A722" s="576"/>
      <c r="B722" s="2"/>
      <c r="C722" s="2"/>
      <c r="D722" s="668"/>
      <c r="E722" s="2"/>
      <c r="F722" s="2"/>
      <c r="G722" s="2"/>
      <c r="H722" s="2"/>
      <c r="I722" s="2"/>
      <c r="J722" s="2"/>
      <c r="K722" s="2"/>
      <c r="L722" s="2"/>
      <c r="M722" s="667"/>
      <c r="N722" s="2"/>
      <c r="O722" s="2"/>
      <c r="P722" s="2"/>
      <c r="Q722" s="857"/>
      <c r="R722" s="858"/>
      <c r="S722" s="858"/>
      <c r="T722" s="858"/>
      <c r="U722" s="858"/>
      <c r="V722" s="858"/>
      <c r="W722" s="858"/>
      <c r="X722" s="858"/>
      <c r="Y722" s="858"/>
      <c r="Z722" s="858"/>
      <c r="AA722" s="858"/>
      <c r="AB722" s="858"/>
      <c r="AC722" s="858"/>
      <c r="AD722" s="858"/>
      <c r="AE722" s="858"/>
      <c r="AF722" s="858"/>
      <c r="AG722" s="858"/>
      <c r="AH722" s="858"/>
      <c r="AI722" s="858"/>
      <c r="AJ722" s="858"/>
    </row>
    <row r="723" ht="15.75" customHeight="1">
      <c r="A723" s="576"/>
      <c r="B723" s="2"/>
      <c r="C723" s="2"/>
      <c r="D723" s="668"/>
      <c r="E723" s="2"/>
      <c r="F723" s="2"/>
      <c r="G723" s="2"/>
      <c r="H723" s="2"/>
      <c r="I723" s="2"/>
      <c r="J723" s="2"/>
      <c r="K723" s="2"/>
      <c r="L723" s="2"/>
      <c r="M723" s="667"/>
      <c r="N723" s="2"/>
      <c r="O723" s="2"/>
      <c r="P723" s="2"/>
      <c r="Q723" s="857"/>
      <c r="R723" s="858"/>
      <c r="S723" s="858"/>
      <c r="T723" s="858"/>
      <c r="U723" s="858"/>
      <c r="V723" s="858"/>
      <c r="W723" s="858"/>
      <c r="X723" s="858"/>
      <c r="Y723" s="858"/>
      <c r="Z723" s="858"/>
      <c r="AA723" s="858"/>
      <c r="AB723" s="858"/>
      <c r="AC723" s="858"/>
      <c r="AD723" s="858"/>
      <c r="AE723" s="858"/>
      <c r="AF723" s="858"/>
      <c r="AG723" s="858"/>
      <c r="AH723" s="858"/>
      <c r="AI723" s="858"/>
      <c r="AJ723" s="858"/>
    </row>
    <row r="724" ht="15.75" customHeight="1">
      <c r="A724" s="576"/>
      <c r="B724" s="2"/>
      <c r="C724" s="2"/>
      <c r="D724" s="668"/>
      <c r="E724" s="2"/>
      <c r="F724" s="2"/>
      <c r="G724" s="2"/>
      <c r="H724" s="2"/>
      <c r="I724" s="2"/>
      <c r="J724" s="2"/>
      <c r="K724" s="2"/>
      <c r="L724" s="2"/>
      <c r="M724" s="667"/>
      <c r="N724" s="2"/>
      <c r="O724" s="2"/>
      <c r="P724" s="2"/>
      <c r="Q724" s="857"/>
      <c r="R724" s="858"/>
      <c r="S724" s="858"/>
      <c r="T724" s="858"/>
      <c r="U724" s="858"/>
      <c r="V724" s="858"/>
      <c r="W724" s="858"/>
      <c r="X724" s="858"/>
      <c r="Y724" s="858"/>
      <c r="Z724" s="858"/>
      <c r="AA724" s="858"/>
      <c r="AB724" s="858"/>
      <c r="AC724" s="858"/>
      <c r="AD724" s="858"/>
      <c r="AE724" s="858"/>
      <c r="AF724" s="858"/>
      <c r="AG724" s="858"/>
      <c r="AH724" s="858"/>
      <c r="AI724" s="858"/>
      <c r="AJ724" s="858"/>
    </row>
    <row r="725" ht="15.75" customHeight="1">
      <c r="A725" s="576"/>
      <c r="B725" s="2"/>
      <c r="C725" s="2"/>
      <c r="D725" s="668"/>
      <c r="E725" s="2"/>
      <c r="F725" s="2"/>
      <c r="G725" s="2"/>
      <c r="H725" s="2"/>
      <c r="I725" s="2"/>
      <c r="J725" s="2"/>
      <c r="K725" s="2"/>
      <c r="L725" s="2"/>
      <c r="M725" s="667"/>
      <c r="N725" s="2"/>
      <c r="O725" s="2"/>
      <c r="P725" s="2"/>
      <c r="Q725" s="857"/>
      <c r="R725" s="858"/>
      <c r="S725" s="858"/>
      <c r="T725" s="858"/>
      <c r="U725" s="858"/>
      <c r="V725" s="858"/>
      <c r="W725" s="858"/>
      <c r="X725" s="858"/>
      <c r="Y725" s="858"/>
      <c r="Z725" s="858"/>
      <c r="AA725" s="858"/>
      <c r="AB725" s="858"/>
      <c r="AC725" s="858"/>
      <c r="AD725" s="858"/>
      <c r="AE725" s="858"/>
      <c r="AF725" s="858"/>
      <c r="AG725" s="858"/>
      <c r="AH725" s="858"/>
      <c r="AI725" s="858"/>
      <c r="AJ725" s="858"/>
    </row>
    <row r="726" ht="15.75" customHeight="1">
      <c r="A726" s="576"/>
      <c r="B726" s="2"/>
      <c r="C726" s="2"/>
      <c r="D726" s="668"/>
      <c r="E726" s="2"/>
      <c r="F726" s="2"/>
      <c r="G726" s="2"/>
      <c r="H726" s="2"/>
      <c r="I726" s="2"/>
      <c r="J726" s="2"/>
      <c r="K726" s="2"/>
      <c r="L726" s="2"/>
      <c r="M726" s="667"/>
      <c r="N726" s="2"/>
      <c r="O726" s="2"/>
      <c r="P726" s="2"/>
      <c r="Q726" s="857"/>
      <c r="R726" s="858"/>
      <c r="S726" s="858"/>
      <c r="T726" s="858"/>
      <c r="U726" s="858"/>
      <c r="V726" s="858"/>
      <c r="W726" s="858"/>
      <c r="X726" s="858"/>
      <c r="Y726" s="858"/>
      <c r="Z726" s="858"/>
      <c r="AA726" s="858"/>
      <c r="AB726" s="858"/>
      <c r="AC726" s="858"/>
      <c r="AD726" s="858"/>
      <c r="AE726" s="858"/>
      <c r="AF726" s="858"/>
      <c r="AG726" s="858"/>
      <c r="AH726" s="858"/>
      <c r="AI726" s="858"/>
      <c r="AJ726" s="858"/>
    </row>
    <row r="727" ht="15.75" customHeight="1">
      <c r="A727" s="576"/>
      <c r="B727" s="2"/>
      <c r="C727" s="2"/>
      <c r="D727" s="668"/>
      <c r="E727" s="2"/>
      <c r="F727" s="2"/>
      <c r="G727" s="2"/>
      <c r="H727" s="2"/>
      <c r="I727" s="2"/>
      <c r="J727" s="2"/>
      <c r="K727" s="2"/>
      <c r="L727" s="2"/>
      <c r="M727" s="667"/>
      <c r="N727" s="2"/>
      <c r="O727" s="2"/>
      <c r="P727" s="2"/>
      <c r="Q727" s="857"/>
      <c r="R727" s="858"/>
      <c r="S727" s="858"/>
      <c r="T727" s="858"/>
      <c r="U727" s="858"/>
      <c r="V727" s="858"/>
      <c r="W727" s="858"/>
      <c r="X727" s="858"/>
      <c r="Y727" s="858"/>
      <c r="Z727" s="858"/>
      <c r="AA727" s="858"/>
      <c r="AB727" s="858"/>
      <c r="AC727" s="858"/>
      <c r="AD727" s="858"/>
      <c r="AE727" s="858"/>
      <c r="AF727" s="858"/>
      <c r="AG727" s="858"/>
      <c r="AH727" s="858"/>
      <c r="AI727" s="858"/>
      <c r="AJ727" s="858"/>
    </row>
    <row r="728" ht="15.75" customHeight="1">
      <c r="A728" s="576"/>
      <c r="B728" s="2"/>
      <c r="C728" s="2"/>
      <c r="D728" s="668"/>
      <c r="E728" s="2"/>
      <c r="F728" s="2"/>
      <c r="G728" s="2"/>
      <c r="H728" s="2"/>
      <c r="I728" s="2"/>
      <c r="J728" s="2"/>
      <c r="K728" s="2"/>
      <c r="L728" s="2"/>
      <c r="M728" s="667"/>
      <c r="N728" s="2"/>
      <c r="O728" s="2"/>
      <c r="P728" s="2"/>
      <c r="Q728" s="857"/>
      <c r="R728" s="858"/>
      <c r="S728" s="858"/>
      <c r="T728" s="858"/>
      <c r="U728" s="858"/>
      <c r="V728" s="858"/>
      <c r="W728" s="858"/>
      <c r="X728" s="858"/>
      <c r="Y728" s="858"/>
      <c r="Z728" s="858"/>
      <c r="AA728" s="858"/>
      <c r="AB728" s="858"/>
      <c r="AC728" s="858"/>
      <c r="AD728" s="858"/>
      <c r="AE728" s="858"/>
      <c r="AF728" s="858"/>
      <c r="AG728" s="858"/>
      <c r="AH728" s="858"/>
      <c r="AI728" s="858"/>
      <c r="AJ728" s="858"/>
    </row>
    <row r="729" ht="15.75" customHeight="1">
      <c r="A729" s="576"/>
      <c r="B729" s="2"/>
      <c r="C729" s="2"/>
      <c r="D729" s="668"/>
      <c r="E729" s="2"/>
      <c r="F729" s="2"/>
      <c r="G729" s="2"/>
      <c r="H729" s="2"/>
      <c r="I729" s="2"/>
      <c r="J729" s="2"/>
      <c r="K729" s="2"/>
      <c r="L729" s="2"/>
      <c r="M729" s="667"/>
      <c r="N729" s="2"/>
      <c r="O729" s="2"/>
      <c r="P729" s="2"/>
      <c r="Q729" s="857"/>
      <c r="R729" s="858"/>
      <c r="S729" s="858"/>
      <c r="T729" s="858"/>
      <c r="U729" s="858"/>
      <c r="V729" s="858"/>
      <c r="W729" s="858"/>
      <c r="X729" s="858"/>
      <c r="Y729" s="858"/>
      <c r="Z729" s="858"/>
      <c r="AA729" s="858"/>
      <c r="AB729" s="858"/>
      <c r="AC729" s="858"/>
      <c r="AD729" s="858"/>
      <c r="AE729" s="858"/>
      <c r="AF729" s="858"/>
      <c r="AG729" s="858"/>
      <c r="AH729" s="858"/>
      <c r="AI729" s="858"/>
      <c r="AJ729" s="858"/>
    </row>
    <row r="730" ht="15.75" customHeight="1">
      <c r="A730" s="576"/>
      <c r="B730" s="2"/>
      <c r="C730" s="2"/>
      <c r="D730" s="668"/>
      <c r="E730" s="2"/>
      <c r="F730" s="2"/>
      <c r="G730" s="2"/>
      <c r="H730" s="2"/>
      <c r="I730" s="2"/>
      <c r="J730" s="2"/>
      <c r="K730" s="2"/>
      <c r="L730" s="2"/>
      <c r="M730" s="667"/>
      <c r="N730" s="2"/>
      <c r="O730" s="2"/>
      <c r="P730" s="2"/>
      <c r="Q730" s="857"/>
      <c r="R730" s="858"/>
      <c r="S730" s="858"/>
      <c r="T730" s="858"/>
      <c r="U730" s="858"/>
      <c r="V730" s="858"/>
      <c r="W730" s="858"/>
      <c r="X730" s="858"/>
      <c r="Y730" s="858"/>
      <c r="Z730" s="858"/>
      <c r="AA730" s="858"/>
      <c r="AB730" s="858"/>
      <c r="AC730" s="858"/>
      <c r="AD730" s="858"/>
      <c r="AE730" s="858"/>
      <c r="AF730" s="858"/>
      <c r="AG730" s="858"/>
      <c r="AH730" s="858"/>
      <c r="AI730" s="858"/>
      <c r="AJ730" s="858"/>
    </row>
    <row r="731" ht="15.75" customHeight="1">
      <c r="A731" s="576"/>
      <c r="B731" s="2"/>
      <c r="C731" s="2"/>
      <c r="D731" s="668"/>
      <c r="E731" s="2"/>
      <c r="F731" s="2"/>
      <c r="G731" s="2"/>
      <c r="H731" s="2"/>
      <c r="I731" s="2"/>
      <c r="J731" s="2"/>
      <c r="K731" s="2"/>
      <c r="L731" s="2"/>
      <c r="M731" s="667"/>
      <c r="N731" s="2"/>
      <c r="O731" s="2"/>
      <c r="P731" s="2"/>
      <c r="Q731" s="857"/>
      <c r="R731" s="858"/>
      <c r="S731" s="858"/>
      <c r="T731" s="858"/>
      <c r="U731" s="858"/>
      <c r="V731" s="858"/>
      <c r="W731" s="858"/>
      <c r="X731" s="858"/>
      <c r="Y731" s="858"/>
      <c r="Z731" s="858"/>
      <c r="AA731" s="858"/>
      <c r="AB731" s="858"/>
      <c r="AC731" s="858"/>
      <c r="AD731" s="858"/>
      <c r="AE731" s="858"/>
      <c r="AF731" s="858"/>
      <c r="AG731" s="858"/>
      <c r="AH731" s="858"/>
      <c r="AI731" s="858"/>
      <c r="AJ731" s="858"/>
    </row>
    <row r="732" ht="15.75" customHeight="1">
      <c r="A732" s="576"/>
      <c r="B732" s="2"/>
      <c r="C732" s="2"/>
      <c r="D732" s="668"/>
      <c r="E732" s="2"/>
      <c r="F732" s="2"/>
      <c r="G732" s="2"/>
      <c r="H732" s="2"/>
      <c r="I732" s="2"/>
      <c r="J732" s="2"/>
      <c r="K732" s="2"/>
      <c r="L732" s="2"/>
      <c r="M732" s="667"/>
      <c r="N732" s="2"/>
      <c r="O732" s="2"/>
      <c r="P732" s="2"/>
      <c r="Q732" s="857"/>
      <c r="R732" s="858"/>
      <c r="S732" s="858"/>
      <c r="T732" s="858"/>
      <c r="U732" s="858"/>
      <c r="V732" s="858"/>
      <c r="W732" s="858"/>
      <c r="X732" s="858"/>
      <c r="Y732" s="858"/>
      <c r="Z732" s="858"/>
      <c r="AA732" s="858"/>
      <c r="AB732" s="858"/>
      <c r="AC732" s="858"/>
      <c r="AD732" s="858"/>
      <c r="AE732" s="858"/>
      <c r="AF732" s="858"/>
      <c r="AG732" s="858"/>
      <c r="AH732" s="858"/>
      <c r="AI732" s="858"/>
      <c r="AJ732" s="858"/>
    </row>
    <row r="733" ht="15.75" customHeight="1">
      <c r="A733" s="576"/>
      <c r="B733" s="2"/>
      <c r="C733" s="2"/>
      <c r="D733" s="668"/>
      <c r="E733" s="2"/>
      <c r="F733" s="2"/>
      <c r="G733" s="2"/>
      <c r="H733" s="2"/>
      <c r="I733" s="2"/>
      <c r="J733" s="2"/>
      <c r="K733" s="2"/>
      <c r="L733" s="2"/>
      <c r="M733" s="667"/>
      <c r="N733" s="2"/>
      <c r="O733" s="2"/>
      <c r="P733" s="2"/>
      <c r="Q733" s="857"/>
      <c r="R733" s="858"/>
      <c r="S733" s="858"/>
      <c r="T733" s="858"/>
      <c r="U733" s="858"/>
      <c r="V733" s="858"/>
      <c r="W733" s="858"/>
      <c r="X733" s="858"/>
      <c r="Y733" s="858"/>
      <c r="Z733" s="858"/>
      <c r="AA733" s="858"/>
      <c r="AB733" s="858"/>
      <c r="AC733" s="858"/>
      <c r="AD733" s="858"/>
      <c r="AE733" s="858"/>
      <c r="AF733" s="858"/>
      <c r="AG733" s="858"/>
      <c r="AH733" s="858"/>
      <c r="AI733" s="858"/>
      <c r="AJ733" s="858"/>
    </row>
    <row r="734" ht="15.75" customHeight="1">
      <c r="A734" s="576"/>
      <c r="B734" s="2"/>
      <c r="C734" s="2"/>
      <c r="D734" s="668"/>
      <c r="E734" s="2"/>
      <c r="F734" s="2"/>
      <c r="G734" s="2"/>
      <c r="H734" s="2"/>
      <c r="I734" s="2"/>
      <c r="J734" s="2"/>
      <c r="K734" s="2"/>
      <c r="L734" s="2"/>
      <c r="M734" s="667"/>
      <c r="N734" s="2"/>
      <c r="O734" s="2"/>
      <c r="P734" s="2"/>
      <c r="Q734" s="857"/>
      <c r="R734" s="858"/>
      <c r="S734" s="858"/>
      <c r="T734" s="858"/>
      <c r="U734" s="858"/>
      <c r="V734" s="858"/>
      <c r="W734" s="858"/>
      <c r="X734" s="858"/>
      <c r="Y734" s="858"/>
      <c r="Z734" s="858"/>
      <c r="AA734" s="858"/>
      <c r="AB734" s="858"/>
      <c r="AC734" s="858"/>
      <c r="AD734" s="858"/>
      <c r="AE734" s="858"/>
      <c r="AF734" s="858"/>
      <c r="AG734" s="858"/>
      <c r="AH734" s="858"/>
      <c r="AI734" s="858"/>
      <c r="AJ734" s="858"/>
    </row>
    <row r="735" ht="15.75" customHeight="1">
      <c r="A735" s="576"/>
      <c r="B735" s="2"/>
      <c r="C735" s="2"/>
      <c r="D735" s="668"/>
      <c r="E735" s="2"/>
      <c r="F735" s="2"/>
      <c r="G735" s="2"/>
      <c r="H735" s="2"/>
      <c r="I735" s="2"/>
      <c r="J735" s="2"/>
      <c r="K735" s="2"/>
      <c r="L735" s="2"/>
      <c r="M735" s="667"/>
      <c r="N735" s="2"/>
      <c r="O735" s="2"/>
      <c r="P735" s="2"/>
      <c r="Q735" s="857"/>
      <c r="R735" s="858"/>
      <c r="S735" s="858"/>
      <c r="T735" s="858"/>
      <c r="U735" s="858"/>
      <c r="V735" s="858"/>
      <c r="W735" s="858"/>
      <c r="X735" s="858"/>
      <c r="Y735" s="858"/>
      <c r="Z735" s="858"/>
      <c r="AA735" s="858"/>
      <c r="AB735" s="858"/>
      <c r="AC735" s="858"/>
      <c r="AD735" s="858"/>
      <c r="AE735" s="858"/>
      <c r="AF735" s="858"/>
      <c r="AG735" s="858"/>
      <c r="AH735" s="858"/>
      <c r="AI735" s="858"/>
      <c r="AJ735" s="858"/>
    </row>
    <row r="736" ht="15.75" customHeight="1">
      <c r="A736" s="576"/>
      <c r="B736" s="2"/>
      <c r="C736" s="2"/>
      <c r="D736" s="668"/>
      <c r="E736" s="2"/>
      <c r="F736" s="2"/>
      <c r="G736" s="2"/>
      <c r="H736" s="2"/>
      <c r="I736" s="2"/>
      <c r="J736" s="2"/>
      <c r="K736" s="2"/>
      <c r="L736" s="2"/>
      <c r="M736" s="667"/>
      <c r="N736" s="2"/>
      <c r="O736" s="2"/>
      <c r="P736" s="2"/>
      <c r="Q736" s="857"/>
      <c r="R736" s="858"/>
      <c r="S736" s="858"/>
      <c r="T736" s="858"/>
      <c r="U736" s="858"/>
      <c r="V736" s="858"/>
      <c r="W736" s="858"/>
      <c r="X736" s="858"/>
      <c r="Y736" s="858"/>
      <c r="Z736" s="858"/>
      <c r="AA736" s="858"/>
      <c r="AB736" s="858"/>
      <c r="AC736" s="858"/>
      <c r="AD736" s="858"/>
      <c r="AE736" s="858"/>
      <c r="AF736" s="858"/>
      <c r="AG736" s="858"/>
      <c r="AH736" s="858"/>
      <c r="AI736" s="858"/>
      <c r="AJ736" s="858"/>
    </row>
    <row r="737" ht="15.75" customHeight="1">
      <c r="A737" s="576"/>
      <c r="B737" s="2"/>
      <c r="C737" s="2"/>
      <c r="D737" s="668"/>
      <c r="E737" s="2"/>
      <c r="F737" s="2"/>
      <c r="G737" s="2"/>
      <c r="H737" s="2"/>
      <c r="I737" s="2"/>
      <c r="J737" s="2"/>
      <c r="K737" s="2"/>
      <c r="L737" s="2"/>
      <c r="M737" s="667"/>
      <c r="N737" s="2"/>
      <c r="O737" s="2"/>
      <c r="P737" s="2"/>
      <c r="Q737" s="857"/>
      <c r="R737" s="858"/>
      <c r="S737" s="858"/>
      <c r="T737" s="858"/>
      <c r="U737" s="858"/>
      <c r="V737" s="858"/>
      <c r="W737" s="858"/>
      <c r="X737" s="858"/>
      <c r="Y737" s="858"/>
      <c r="Z737" s="858"/>
      <c r="AA737" s="858"/>
      <c r="AB737" s="858"/>
      <c r="AC737" s="858"/>
      <c r="AD737" s="858"/>
      <c r="AE737" s="858"/>
      <c r="AF737" s="858"/>
      <c r="AG737" s="858"/>
      <c r="AH737" s="858"/>
      <c r="AI737" s="858"/>
      <c r="AJ737" s="858"/>
    </row>
    <row r="738" ht="15.75" customHeight="1">
      <c r="A738" s="576"/>
      <c r="B738" s="2"/>
      <c r="C738" s="2"/>
      <c r="D738" s="668"/>
      <c r="E738" s="2"/>
      <c r="F738" s="2"/>
      <c r="G738" s="2"/>
      <c r="H738" s="2"/>
      <c r="I738" s="2"/>
      <c r="J738" s="2"/>
      <c r="K738" s="2"/>
      <c r="L738" s="2"/>
      <c r="M738" s="667"/>
      <c r="N738" s="2"/>
      <c r="O738" s="2"/>
      <c r="P738" s="2"/>
      <c r="Q738" s="857"/>
      <c r="R738" s="858"/>
      <c r="S738" s="858"/>
      <c r="T738" s="858"/>
      <c r="U738" s="858"/>
      <c r="V738" s="858"/>
      <c r="W738" s="858"/>
      <c r="X738" s="858"/>
      <c r="Y738" s="858"/>
      <c r="Z738" s="858"/>
      <c r="AA738" s="858"/>
      <c r="AB738" s="858"/>
      <c r="AC738" s="858"/>
      <c r="AD738" s="858"/>
      <c r="AE738" s="858"/>
      <c r="AF738" s="858"/>
      <c r="AG738" s="858"/>
      <c r="AH738" s="858"/>
      <c r="AI738" s="858"/>
      <c r="AJ738" s="858"/>
    </row>
    <row r="739" ht="15.75" customHeight="1">
      <c r="A739" s="576"/>
      <c r="B739" s="2"/>
      <c r="C739" s="2"/>
      <c r="D739" s="668"/>
      <c r="E739" s="2"/>
      <c r="F739" s="2"/>
      <c r="G739" s="2"/>
      <c r="H739" s="2"/>
      <c r="I739" s="2"/>
      <c r="J739" s="2"/>
      <c r="K739" s="2"/>
      <c r="L739" s="2"/>
      <c r="M739" s="667"/>
      <c r="N739" s="2"/>
      <c r="O739" s="2"/>
      <c r="P739" s="2"/>
      <c r="Q739" s="857"/>
      <c r="R739" s="858"/>
      <c r="S739" s="858"/>
      <c r="T739" s="858"/>
      <c r="U739" s="858"/>
      <c r="V739" s="858"/>
      <c r="W739" s="858"/>
      <c r="X739" s="858"/>
      <c r="Y739" s="858"/>
      <c r="Z739" s="858"/>
      <c r="AA739" s="858"/>
      <c r="AB739" s="858"/>
      <c r="AC739" s="858"/>
      <c r="AD739" s="858"/>
      <c r="AE739" s="858"/>
      <c r="AF739" s="858"/>
      <c r="AG739" s="858"/>
      <c r="AH739" s="858"/>
      <c r="AI739" s="858"/>
      <c r="AJ739" s="858"/>
    </row>
    <row r="740" ht="15.75" customHeight="1">
      <c r="A740" s="576"/>
      <c r="B740" s="2"/>
      <c r="C740" s="2"/>
      <c r="D740" s="668"/>
      <c r="E740" s="2"/>
      <c r="F740" s="2"/>
      <c r="G740" s="2"/>
      <c r="H740" s="2"/>
      <c r="I740" s="2"/>
      <c r="J740" s="2"/>
      <c r="K740" s="2"/>
      <c r="L740" s="2"/>
      <c r="M740" s="667"/>
      <c r="N740" s="2"/>
      <c r="O740" s="2"/>
      <c r="P740" s="2"/>
      <c r="Q740" s="857"/>
      <c r="R740" s="858"/>
      <c r="S740" s="858"/>
      <c r="T740" s="858"/>
      <c r="U740" s="858"/>
      <c r="V740" s="858"/>
      <c r="W740" s="858"/>
      <c r="X740" s="858"/>
      <c r="Y740" s="858"/>
      <c r="Z740" s="858"/>
      <c r="AA740" s="858"/>
      <c r="AB740" s="858"/>
      <c r="AC740" s="858"/>
      <c r="AD740" s="858"/>
      <c r="AE740" s="858"/>
      <c r="AF740" s="858"/>
      <c r="AG740" s="858"/>
      <c r="AH740" s="858"/>
      <c r="AI740" s="858"/>
      <c r="AJ740" s="858"/>
    </row>
    <row r="741" ht="15.75" customHeight="1">
      <c r="A741" s="576"/>
      <c r="B741" s="2"/>
      <c r="C741" s="2"/>
      <c r="D741" s="668"/>
      <c r="E741" s="2"/>
      <c r="F741" s="2"/>
      <c r="G741" s="2"/>
      <c r="H741" s="2"/>
      <c r="I741" s="2"/>
      <c r="J741" s="2"/>
      <c r="K741" s="2"/>
      <c r="L741" s="2"/>
      <c r="M741" s="667"/>
      <c r="N741" s="2"/>
      <c r="O741" s="2"/>
      <c r="P741" s="2"/>
      <c r="Q741" s="857"/>
      <c r="R741" s="858"/>
      <c r="S741" s="858"/>
      <c r="T741" s="858"/>
      <c r="U741" s="858"/>
      <c r="V741" s="858"/>
      <c r="W741" s="858"/>
      <c r="X741" s="858"/>
      <c r="Y741" s="858"/>
      <c r="Z741" s="858"/>
      <c r="AA741" s="858"/>
      <c r="AB741" s="858"/>
      <c r="AC741" s="858"/>
      <c r="AD741" s="858"/>
      <c r="AE741" s="858"/>
      <c r="AF741" s="858"/>
      <c r="AG741" s="858"/>
      <c r="AH741" s="858"/>
      <c r="AI741" s="858"/>
      <c r="AJ741" s="858"/>
    </row>
    <row r="742" ht="15.75" customHeight="1">
      <c r="A742" s="576"/>
      <c r="B742" s="2"/>
      <c r="C742" s="2"/>
      <c r="D742" s="668"/>
      <c r="E742" s="2"/>
      <c r="F742" s="2"/>
      <c r="G742" s="2"/>
      <c r="H742" s="2"/>
      <c r="I742" s="2"/>
      <c r="J742" s="2"/>
      <c r="K742" s="2"/>
      <c r="L742" s="2"/>
      <c r="M742" s="667"/>
      <c r="N742" s="2"/>
      <c r="O742" s="2"/>
      <c r="P742" s="2"/>
      <c r="Q742" s="857"/>
      <c r="R742" s="858"/>
      <c r="S742" s="858"/>
      <c r="T742" s="858"/>
      <c r="U742" s="858"/>
      <c r="V742" s="858"/>
      <c r="W742" s="858"/>
      <c r="X742" s="858"/>
      <c r="Y742" s="858"/>
      <c r="Z742" s="858"/>
      <c r="AA742" s="858"/>
      <c r="AB742" s="858"/>
      <c r="AC742" s="858"/>
      <c r="AD742" s="858"/>
      <c r="AE742" s="858"/>
      <c r="AF742" s="858"/>
      <c r="AG742" s="858"/>
      <c r="AH742" s="858"/>
      <c r="AI742" s="858"/>
      <c r="AJ742" s="858"/>
    </row>
    <row r="743" ht="15.75" customHeight="1">
      <c r="A743" s="576"/>
      <c r="B743" s="2"/>
      <c r="C743" s="2"/>
      <c r="D743" s="668"/>
      <c r="E743" s="2"/>
      <c r="F743" s="2"/>
      <c r="G743" s="2"/>
      <c r="H743" s="2"/>
      <c r="I743" s="2"/>
      <c r="J743" s="2"/>
      <c r="K743" s="2"/>
      <c r="L743" s="2"/>
      <c r="M743" s="667"/>
      <c r="N743" s="2"/>
      <c r="O743" s="2"/>
      <c r="P743" s="2"/>
      <c r="Q743" s="857"/>
      <c r="R743" s="858"/>
      <c r="S743" s="858"/>
      <c r="T743" s="858"/>
      <c r="U743" s="858"/>
      <c r="V743" s="858"/>
      <c r="W743" s="858"/>
      <c r="X743" s="858"/>
      <c r="Y743" s="858"/>
      <c r="Z743" s="858"/>
      <c r="AA743" s="858"/>
      <c r="AB743" s="858"/>
      <c r="AC743" s="858"/>
      <c r="AD743" s="858"/>
      <c r="AE743" s="858"/>
      <c r="AF743" s="858"/>
      <c r="AG743" s="858"/>
      <c r="AH743" s="858"/>
      <c r="AI743" s="858"/>
      <c r="AJ743" s="858"/>
    </row>
    <row r="744" ht="15.75" customHeight="1">
      <c r="A744" s="576"/>
      <c r="B744" s="2"/>
      <c r="C744" s="2"/>
      <c r="D744" s="668"/>
      <c r="E744" s="2"/>
      <c r="F744" s="2"/>
      <c r="G744" s="2"/>
      <c r="H744" s="2"/>
      <c r="I744" s="2"/>
      <c r="J744" s="2"/>
      <c r="K744" s="2"/>
      <c r="L744" s="2"/>
      <c r="M744" s="667"/>
      <c r="N744" s="2"/>
      <c r="O744" s="2"/>
      <c r="P744" s="2"/>
      <c r="Q744" s="857"/>
      <c r="R744" s="858"/>
      <c r="S744" s="858"/>
      <c r="T744" s="858"/>
      <c r="U744" s="858"/>
      <c r="V744" s="858"/>
      <c r="W744" s="858"/>
      <c r="X744" s="858"/>
      <c r="Y744" s="858"/>
      <c r="Z744" s="858"/>
      <c r="AA744" s="858"/>
      <c r="AB744" s="858"/>
      <c r="AC744" s="858"/>
      <c r="AD744" s="858"/>
      <c r="AE744" s="858"/>
      <c r="AF744" s="858"/>
      <c r="AG744" s="858"/>
      <c r="AH744" s="858"/>
      <c r="AI744" s="858"/>
      <c r="AJ744" s="858"/>
    </row>
    <row r="745" ht="15.75" customHeight="1">
      <c r="A745" s="576"/>
      <c r="B745" s="2"/>
      <c r="C745" s="2"/>
      <c r="D745" s="668"/>
      <c r="E745" s="2"/>
      <c r="F745" s="2"/>
      <c r="G745" s="2"/>
      <c r="H745" s="2"/>
      <c r="I745" s="2"/>
      <c r="J745" s="2"/>
      <c r="K745" s="2"/>
      <c r="L745" s="2"/>
      <c r="M745" s="667"/>
      <c r="N745" s="2"/>
      <c r="O745" s="2"/>
      <c r="P745" s="2"/>
      <c r="Q745" s="857"/>
      <c r="R745" s="858"/>
      <c r="S745" s="858"/>
      <c r="T745" s="858"/>
      <c r="U745" s="858"/>
      <c r="V745" s="858"/>
      <c r="W745" s="858"/>
      <c r="X745" s="858"/>
      <c r="Y745" s="858"/>
      <c r="Z745" s="858"/>
      <c r="AA745" s="858"/>
      <c r="AB745" s="858"/>
      <c r="AC745" s="858"/>
      <c r="AD745" s="858"/>
      <c r="AE745" s="858"/>
      <c r="AF745" s="858"/>
      <c r="AG745" s="858"/>
      <c r="AH745" s="858"/>
      <c r="AI745" s="858"/>
      <c r="AJ745" s="858"/>
    </row>
    <row r="746" ht="15.75" customHeight="1">
      <c r="A746" s="576"/>
      <c r="B746" s="2"/>
      <c r="C746" s="2"/>
      <c r="D746" s="668"/>
      <c r="E746" s="2"/>
      <c r="F746" s="2"/>
      <c r="G746" s="2"/>
      <c r="H746" s="2"/>
      <c r="I746" s="2"/>
      <c r="J746" s="2"/>
      <c r="K746" s="2"/>
      <c r="L746" s="2"/>
      <c r="M746" s="667"/>
      <c r="N746" s="2"/>
      <c r="O746" s="2"/>
      <c r="P746" s="2"/>
      <c r="Q746" s="857"/>
      <c r="R746" s="858"/>
      <c r="S746" s="858"/>
      <c r="T746" s="858"/>
      <c r="U746" s="858"/>
      <c r="V746" s="858"/>
      <c r="W746" s="858"/>
      <c r="X746" s="858"/>
      <c r="Y746" s="858"/>
      <c r="Z746" s="858"/>
      <c r="AA746" s="858"/>
      <c r="AB746" s="858"/>
      <c r="AC746" s="858"/>
      <c r="AD746" s="858"/>
      <c r="AE746" s="858"/>
      <c r="AF746" s="858"/>
      <c r="AG746" s="858"/>
      <c r="AH746" s="858"/>
      <c r="AI746" s="858"/>
      <c r="AJ746" s="858"/>
    </row>
    <row r="747" ht="15.75" customHeight="1">
      <c r="A747" s="576"/>
      <c r="B747" s="2"/>
      <c r="C747" s="2"/>
      <c r="D747" s="668"/>
      <c r="E747" s="2"/>
      <c r="F747" s="2"/>
      <c r="G747" s="2"/>
      <c r="H747" s="2"/>
      <c r="I747" s="2"/>
      <c r="J747" s="2"/>
      <c r="K747" s="2"/>
      <c r="L747" s="2"/>
      <c r="M747" s="667"/>
      <c r="N747" s="2"/>
      <c r="O747" s="2"/>
      <c r="P747" s="2"/>
      <c r="Q747" s="857"/>
      <c r="R747" s="858"/>
      <c r="S747" s="858"/>
      <c r="T747" s="858"/>
      <c r="U747" s="858"/>
      <c r="V747" s="858"/>
      <c r="W747" s="858"/>
      <c r="X747" s="858"/>
      <c r="Y747" s="858"/>
      <c r="Z747" s="858"/>
      <c r="AA747" s="858"/>
      <c r="AB747" s="858"/>
      <c r="AC747" s="858"/>
      <c r="AD747" s="858"/>
      <c r="AE747" s="858"/>
      <c r="AF747" s="858"/>
      <c r="AG747" s="858"/>
      <c r="AH747" s="858"/>
      <c r="AI747" s="858"/>
      <c r="AJ747" s="858"/>
    </row>
    <row r="748" ht="15.75" customHeight="1">
      <c r="A748" s="576"/>
      <c r="B748" s="2"/>
      <c r="C748" s="2"/>
      <c r="D748" s="668"/>
      <c r="E748" s="2"/>
      <c r="F748" s="2"/>
      <c r="G748" s="2"/>
      <c r="H748" s="2"/>
      <c r="I748" s="2"/>
      <c r="J748" s="2"/>
      <c r="K748" s="2"/>
      <c r="L748" s="2"/>
      <c r="M748" s="667"/>
      <c r="N748" s="2"/>
      <c r="O748" s="2"/>
      <c r="P748" s="2"/>
      <c r="Q748" s="857"/>
      <c r="R748" s="858"/>
      <c r="S748" s="858"/>
      <c r="T748" s="858"/>
      <c r="U748" s="858"/>
      <c r="V748" s="858"/>
      <c r="W748" s="858"/>
      <c r="X748" s="858"/>
      <c r="Y748" s="858"/>
      <c r="Z748" s="858"/>
      <c r="AA748" s="858"/>
      <c r="AB748" s="858"/>
      <c r="AC748" s="858"/>
      <c r="AD748" s="858"/>
      <c r="AE748" s="858"/>
      <c r="AF748" s="858"/>
      <c r="AG748" s="858"/>
      <c r="AH748" s="858"/>
      <c r="AI748" s="858"/>
      <c r="AJ748" s="858"/>
    </row>
    <row r="749" ht="15.75" customHeight="1">
      <c r="A749" s="576"/>
      <c r="B749" s="2"/>
      <c r="C749" s="2"/>
      <c r="D749" s="668"/>
      <c r="E749" s="2"/>
      <c r="F749" s="2"/>
      <c r="G749" s="2"/>
      <c r="H749" s="2"/>
      <c r="I749" s="2"/>
      <c r="J749" s="2"/>
      <c r="K749" s="2"/>
      <c r="L749" s="2"/>
      <c r="M749" s="667"/>
      <c r="N749" s="2"/>
      <c r="O749" s="2"/>
      <c r="P749" s="2"/>
      <c r="Q749" s="857"/>
      <c r="R749" s="858"/>
      <c r="S749" s="858"/>
      <c r="T749" s="858"/>
      <c r="U749" s="858"/>
      <c r="V749" s="858"/>
      <c r="W749" s="858"/>
      <c r="X749" s="858"/>
      <c r="Y749" s="858"/>
      <c r="Z749" s="858"/>
      <c r="AA749" s="858"/>
      <c r="AB749" s="858"/>
      <c r="AC749" s="858"/>
      <c r="AD749" s="858"/>
      <c r="AE749" s="858"/>
      <c r="AF749" s="858"/>
      <c r="AG749" s="858"/>
      <c r="AH749" s="858"/>
      <c r="AI749" s="858"/>
      <c r="AJ749" s="858"/>
    </row>
    <row r="750" ht="15.75" customHeight="1">
      <c r="A750" s="576"/>
      <c r="B750" s="2"/>
      <c r="C750" s="2"/>
      <c r="D750" s="668"/>
      <c r="E750" s="2"/>
      <c r="F750" s="2"/>
      <c r="G750" s="2"/>
      <c r="H750" s="2"/>
      <c r="I750" s="2"/>
      <c r="J750" s="2"/>
      <c r="K750" s="2"/>
      <c r="L750" s="2"/>
      <c r="M750" s="667"/>
      <c r="N750" s="2"/>
      <c r="O750" s="2"/>
      <c r="P750" s="2"/>
      <c r="Q750" s="857"/>
      <c r="R750" s="858"/>
      <c r="S750" s="858"/>
      <c r="T750" s="858"/>
      <c r="U750" s="858"/>
      <c r="V750" s="858"/>
      <c r="W750" s="858"/>
      <c r="X750" s="858"/>
      <c r="Y750" s="858"/>
      <c r="Z750" s="858"/>
      <c r="AA750" s="858"/>
      <c r="AB750" s="858"/>
      <c r="AC750" s="858"/>
      <c r="AD750" s="858"/>
      <c r="AE750" s="858"/>
      <c r="AF750" s="858"/>
      <c r="AG750" s="858"/>
      <c r="AH750" s="858"/>
      <c r="AI750" s="858"/>
      <c r="AJ750" s="858"/>
    </row>
    <row r="751" ht="15.75" customHeight="1">
      <c r="A751" s="576"/>
      <c r="B751" s="2"/>
      <c r="C751" s="2"/>
      <c r="D751" s="668"/>
      <c r="E751" s="2"/>
      <c r="F751" s="2"/>
      <c r="G751" s="2"/>
      <c r="H751" s="2"/>
      <c r="I751" s="2"/>
      <c r="J751" s="2"/>
      <c r="K751" s="2"/>
      <c r="L751" s="2"/>
      <c r="M751" s="667"/>
      <c r="N751" s="2"/>
      <c r="O751" s="2"/>
      <c r="P751" s="2"/>
      <c r="Q751" s="857"/>
      <c r="R751" s="858"/>
      <c r="S751" s="858"/>
      <c r="T751" s="858"/>
      <c r="U751" s="858"/>
      <c r="V751" s="858"/>
      <c r="W751" s="858"/>
      <c r="X751" s="858"/>
      <c r="Y751" s="858"/>
      <c r="Z751" s="858"/>
      <c r="AA751" s="858"/>
      <c r="AB751" s="858"/>
      <c r="AC751" s="858"/>
      <c r="AD751" s="858"/>
      <c r="AE751" s="858"/>
      <c r="AF751" s="858"/>
      <c r="AG751" s="858"/>
      <c r="AH751" s="858"/>
      <c r="AI751" s="858"/>
      <c r="AJ751" s="858"/>
    </row>
    <row r="752" ht="15.75" customHeight="1">
      <c r="A752" s="576"/>
      <c r="B752" s="2"/>
      <c r="C752" s="2"/>
      <c r="D752" s="668"/>
      <c r="E752" s="2"/>
      <c r="F752" s="2"/>
      <c r="G752" s="2"/>
      <c r="H752" s="2"/>
      <c r="I752" s="2"/>
      <c r="J752" s="2"/>
      <c r="K752" s="2"/>
      <c r="L752" s="2"/>
      <c r="M752" s="667"/>
      <c r="N752" s="2"/>
      <c r="O752" s="2"/>
      <c r="P752" s="2"/>
      <c r="Q752" s="857"/>
      <c r="R752" s="858"/>
      <c r="S752" s="858"/>
      <c r="T752" s="858"/>
      <c r="U752" s="858"/>
      <c r="V752" s="858"/>
      <c r="W752" s="858"/>
      <c r="X752" s="858"/>
      <c r="Y752" s="858"/>
      <c r="Z752" s="858"/>
      <c r="AA752" s="858"/>
      <c r="AB752" s="858"/>
      <c r="AC752" s="858"/>
      <c r="AD752" s="858"/>
      <c r="AE752" s="858"/>
      <c r="AF752" s="858"/>
      <c r="AG752" s="858"/>
      <c r="AH752" s="858"/>
      <c r="AI752" s="858"/>
      <c r="AJ752" s="858"/>
    </row>
    <row r="753" ht="15.75" customHeight="1">
      <c r="A753" s="576"/>
      <c r="B753" s="2"/>
      <c r="C753" s="2"/>
      <c r="D753" s="668"/>
      <c r="E753" s="2"/>
      <c r="F753" s="2"/>
      <c r="G753" s="2"/>
      <c r="H753" s="2"/>
      <c r="I753" s="2"/>
      <c r="J753" s="2"/>
      <c r="K753" s="2"/>
      <c r="L753" s="2"/>
      <c r="M753" s="667"/>
      <c r="N753" s="2"/>
      <c r="O753" s="2"/>
      <c r="P753" s="2"/>
      <c r="Q753" s="857"/>
      <c r="R753" s="858"/>
      <c r="S753" s="858"/>
      <c r="T753" s="858"/>
      <c r="U753" s="858"/>
      <c r="V753" s="858"/>
      <c r="W753" s="858"/>
      <c r="X753" s="858"/>
      <c r="Y753" s="858"/>
      <c r="Z753" s="858"/>
      <c r="AA753" s="858"/>
      <c r="AB753" s="858"/>
      <c r="AC753" s="858"/>
      <c r="AD753" s="858"/>
      <c r="AE753" s="858"/>
      <c r="AF753" s="858"/>
      <c r="AG753" s="858"/>
      <c r="AH753" s="858"/>
      <c r="AI753" s="858"/>
      <c r="AJ753" s="858"/>
    </row>
    <row r="754" ht="15.75" customHeight="1">
      <c r="A754" s="576"/>
      <c r="B754" s="2"/>
      <c r="C754" s="2"/>
      <c r="D754" s="668"/>
      <c r="E754" s="2"/>
      <c r="F754" s="2"/>
      <c r="G754" s="2"/>
      <c r="H754" s="2"/>
      <c r="I754" s="2"/>
      <c r="J754" s="2"/>
      <c r="K754" s="2"/>
      <c r="L754" s="2"/>
      <c r="M754" s="667"/>
      <c r="N754" s="2"/>
      <c r="O754" s="2"/>
      <c r="P754" s="2"/>
      <c r="Q754" s="857"/>
      <c r="R754" s="858"/>
      <c r="S754" s="858"/>
      <c r="T754" s="858"/>
      <c r="U754" s="858"/>
      <c r="V754" s="858"/>
      <c r="W754" s="858"/>
      <c r="X754" s="858"/>
      <c r="Y754" s="858"/>
      <c r="Z754" s="858"/>
      <c r="AA754" s="858"/>
      <c r="AB754" s="858"/>
      <c r="AC754" s="858"/>
      <c r="AD754" s="858"/>
      <c r="AE754" s="858"/>
      <c r="AF754" s="858"/>
      <c r="AG754" s="858"/>
      <c r="AH754" s="858"/>
      <c r="AI754" s="858"/>
      <c r="AJ754" s="858"/>
    </row>
    <row r="755" ht="15.75" customHeight="1">
      <c r="A755" s="576"/>
      <c r="B755" s="2"/>
      <c r="C755" s="2"/>
      <c r="D755" s="668"/>
      <c r="E755" s="2"/>
      <c r="F755" s="2"/>
      <c r="G755" s="2"/>
      <c r="H755" s="2"/>
      <c r="I755" s="2"/>
      <c r="J755" s="2"/>
      <c r="K755" s="2"/>
      <c r="L755" s="2"/>
      <c r="M755" s="667"/>
      <c r="N755" s="2"/>
      <c r="O755" s="2"/>
      <c r="P755" s="2"/>
      <c r="Q755" s="857"/>
      <c r="R755" s="858"/>
      <c r="S755" s="858"/>
      <c r="T755" s="858"/>
      <c r="U755" s="858"/>
      <c r="V755" s="858"/>
      <c r="W755" s="858"/>
      <c r="X755" s="858"/>
      <c r="Y755" s="858"/>
      <c r="Z755" s="858"/>
      <c r="AA755" s="858"/>
      <c r="AB755" s="858"/>
      <c r="AC755" s="858"/>
      <c r="AD755" s="858"/>
      <c r="AE755" s="858"/>
      <c r="AF755" s="858"/>
      <c r="AG755" s="858"/>
      <c r="AH755" s="858"/>
      <c r="AI755" s="858"/>
      <c r="AJ755" s="858"/>
    </row>
    <row r="756" ht="15.75" customHeight="1">
      <c r="A756" s="576"/>
      <c r="B756" s="2"/>
      <c r="C756" s="2"/>
      <c r="D756" s="668"/>
      <c r="E756" s="2"/>
      <c r="F756" s="2"/>
      <c r="G756" s="2"/>
      <c r="H756" s="2"/>
      <c r="I756" s="2"/>
      <c r="J756" s="2"/>
      <c r="K756" s="2"/>
      <c r="L756" s="2"/>
      <c r="M756" s="667"/>
      <c r="N756" s="2"/>
      <c r="O756" s="2"/>
      <c r="P756" s="2"/>
      <c r="Q756" s="857"/>
      <c r="R756" s="858"/>
      <c r="S756" s="858"/>
      <c r="T756" s="858"/>
      <c r="U756" s="858"/>
      <c r="V756" s="858"/>
      <c r="W756" s="858"/>
      <c r="X756" s="858"/>
      <c r="Y756" s="858"/>
      <c r="Z756" s="858"/>
      <c r="AA756" s="858"/>
      <c r="AB756" s="858"/>
      <c r="AC756" s="858"/>
      <c r="AD756" s="858"/>
      <c r="AE756" s="858"/>
      <c r="AF756" s="858"/>
      <c r="AG756" s="858"/>
      <c r="AH756" s="858"/>
      <c r="AI756" s="858"/>
      <c r="AJ756" s="858"/>
    </row>
    <row r="757" ht="15.75" customHeight="1">
      <c r="A757" s="576"/>
      <c r="B757" s="2"/>
      <c r="C757" s="2"/>
      <c r="D757" s="668"/>
      <c r="E757" s="2"/>
      <c r="F757" s="2"/>
      <c r="G757" s="2"/>
      <c r="H757" s="2"/>
      <c r="I757" s="2"/>
      <c r="J757" s="2"/>
      <c r="K757" s="2"/>
      <c r="L757" s="2"/>
      <c r="M757" s="667"/>
      <c r="N757" s="2"/>
      <c r="O757" s="2"/>
      <c r="P757" s="2"/>
      <c r="Q757" s="857"/>
      <c r="R757" s="858"/>
      <c r="S757" s="858"/>
      <c r="T757" s="858"/>
      <c r="U757" s="858"/>
      <c r="V757" s="858"/>
      <c r="W757" s="858"/>
      <c r="X757" s="858"/>
      <c r="Y757" s="858"/>
      <c r="Z757" s="858"/>
      <c r="AA757" s="858"/>
      <c r="AB757" s="858"/>
      <c r="AC757" s="858"/>
      <c r="AD757" s="858"/>
      <c r="AE757" s="858"/>
      <c r="AF757" s="858"/>
      <c r="AG757" s="858"/>
      <c r="AH757" s="858"/>
      <c r="AI757" s="858"/>
      <c r="AJ757" s="858"/>
    </row>
    <row r="758" ht="15.75" customHeight="1">
      <c r="A758" s="576"/>
      <c r="B758" s="2"/>
      <c r="C758" s="2"/>
      <c r="D758" s="668"/>
      <c r="E758" s="2"/>
      <c r="F758" s="2"/>
      <c r="G758" s="2"/>
      <c r="H758" s="2"/>
      <c r="I758" s="2"/>
      <c r="J758" s="2"/>
      <c r="K758" s="2"/>
      <c r="L758" s="2"/>
      <c r="M758" s="667"/>
      <c r="N758" s="2"/>
      <c r="O758" s="2"/>
      <c r="P758" s="2"/>
      <c r="Q758" s="857"/>
      <c r="R758" s="858"/>
      <c r="S758" s="858"/>
      <c r="T758" s="858"/>
      <c r="U758" s="858"/>
      <c r="V758" s="858"/>
      <c r="W758" s="858"/>
      <c r="X758" s="858"/>
      <c r="Y758" s="858"/>
      <c r="Z758" s="858"/>
      <c r="AA758" s="858"/>
      <c r="AB758" s="858"/>
      <c r="AC758" s="858"/>
      <c r="AD758" s="858"/>
      <c r="AE758" s="858"/>
      <c r="AF758" s="858"/>
      <c r="AG758" s="858"/>
      <c r="AH758" s="858"/>
      <c r="AI758" s="858"/>
      <c r="AJ758" s="858"/>
    </row>
    <row r="759" ht="15.75" customHeight="1">
      <c r="A759" s="576"/>
      <c r="B759" s="2"/>
      <c r="C759" s="2"/>
      <c r="D759" s="668"/>
      <c r="E759" s="2"/>
      <c r="F759" s="2"/>
      <c r="G759" s="2"/>
      <c r="H759" s="2"/>
      <c r="I759" s="2"/>
      <c r="J759" s="2"/>
      <c r="K759" s="2"/>
      <c r="L759" s="2"/>
      <c r="M759" s="667"/>
      <c r="N759" s="2"/>
      <c r="O759" s="2"/>
      <c r="P759" s="2"/>
      <c r="Q759" s="857"/>
      <c r="R759" s="858"/>
      <c r="S759" s="858"/>
      <c r="T759" s="858"/>
      <c r="U759" s="858"/>
      <c r="V759" s="858"/>
      <c r="W759" s="858"/>
      <c r="X759" s="858"/>
      <c r="Y759" s="858"/>
      <c r="Z759" s="858"/>
      <c r="AA759" s="858"/>
      <c r="AB759" s="858"/>
      <c r="AC759" s="858"/>
      <c r="AD759" s="858"/>
      <c r="AE759" s="858"/>
      <c r="AF759" s="858"/>
      <c r="AG759" s="858"/>
      <c r="AH759" s="858"/>
      <c r="AI759" s="858"/>
      <c r="AJ759" s="858"/>
    </row>
    <row r="760" ht="15.75" customHeight="1">
      <c r="A760" s="576"/>
      <c r="B760" s="2"/>
      <c r="C760" s="2"/>
      <c r="D760" s="668"/>
      <c r="E760" s="2"/>
      <c r="F760" s="2"/>
      <c r="G760" s="2"/>
      <c r="H760" s="2"/>
      <c r="I760" s="2"/>
      <c r="J760" s="2"/>
      <c r="K760" s="2"/>
      <c r="L760" s="2"/>
      <c r="M760" s="667"/>
      <c r="N760" s="2"/>
      <c r="O760" s="2"/>
      <c r="P760" s="2"/>
      <c r="Q760" s="857"/>
      <c r="R760" s="858"/>
      <c r="S760" s="858"/>
      <c r="T760" s="858"/>
      <c r="U760" s="858"/>
      <c r="V760" s="858"/>
      <c r="W760" s="858"/>
      <c r="X760" s="858"/>
      <c r="Y760" s="858"/>
      <c r="Z760" s="858"/>
      <c r="AA760" s="858"/>
      <c r="AB760" s="858"/>
      <c r="AC760" s="858"/>
      <c r="AD760" s="858"/>
      <c r="AE760" s="858"/>
      <c r="AF760" s="858"/>
      <c r="AG760" s="858"/>
      <c r="AH760" s="858"/>
      <c r="AI760" s="858"/>
      <c r="AJ760" s="858"/>
    </row>
    <row r="761" ht="15.75" customHeight="1">
      <c r="A761" s="576"/>
      <c r="B761" s="2"/>
      <c r="C761" s="2"/>
      <c r="D761" s="668"/>
      <c r="E761" s="2"/>
      <c r="F761" s="2"/>
      <c r="G761" s="2"/>
      <c r="H761" s="2"/>
      <c r="I761" s="2"/>
      <c r="J761" s="2"/>
      <c r="K761" s="2"/>
      <c r="L761" s="2"/>
      <c r="M761" s="667"/>
      <c r="N761" s="2"/>
      <c r="O761" s="2"/>
      <c r="P761" s="2"/>
      <c r="Q761" s="857"/>
      <c r="R761" s="858"/>
      <c r="S761" s="858"/>
      <c r="T761" s="858"/>
      <c r="U761" s="858"/>
      <c r="V761" s="858"/>
      <c r="W761" s="858"/>
      <c r="X761" s="858"/>
      <c r="Y761" s="858"/>
      <c r="Z761" s="858"/>
      <c r="AA761" s="858"/>
      <c r="AB761" s="858"/>
      <c r="AC761" s="858"/>
      <c r="AD761" s="858"/>
      <c r="AE761" s="858"/>
      <c r="AF761" s="858"/>
      <c r="AG761" s="858"/>
      <c r="AH761" s="858"/>
      <c r="AI761" s="858"/>
      <c r="AJ761" s="858"/>
    </row>
    <row r="762" ht="15.75" customHeight="1">
      <c r="A762" s="576"/>
      <c r="B762" s="2"/>
      <c r="C762" s="2"/>
      <c r="D762" s="668"/>
      <c r="E762" s="2"/>
      <c r="F762" s="2"/>
      <c r="G762" s="2"/>
      <c r="H762" s="2"/>
      <c r="I762" s="2"/>
      <c r="J762" s="2"/>
      <c r="K762" s="2"/>
      <c r="L762" s="2"/>
      <c r="M762" s="667"/>
      <c r="N762" s="2"/>
      <c r="O762" s="2"/>
      <c r="P762" s="2"/>
      <c r="Q762" s="857"/>
      <c r="R762" s="858"/>
      <c r="S762" s="858"/>
      <c r="T762" s="858"/>
      <c r="U762" s="858"/>
      <c r="V762" s="858"/>
      <c r="W762" s="858"/>
      <c r="X762" s="858"/>
      <c r="Y762" s="858"/>
      <c r="Z762" s="858"/>
      <c r="AA762" s="858"/>
      <c r="AB762" s="858"/>
      <c r="AC762" s="858"/>
      <c r="AD762" s="858"/>
      <c r="AE762" s="858"/>
      <c r="AF762" s="858"/>
      <c r="AG762" s="858"/>
      <c r="AH762" s="858"/>
      <c r="AI762" s="858"/>
      <c r="AJ762" s="858"/>
    </row>
    <row r="763" ht="15.75" customHeight="1">
      <c r="A763" s="576"/>
      <c r="B763" s="2"/>
      <c r="C763" s="2"/>
      <c r="D763" s="668"/>
      <c r="E763" s="2"/>
      <c r="F763" s="2"/>
      <c r="G763" s="2"/>
      <c r="H763" s="2"/>
      <c r="I763" s="2"/>
      <c r="J763" s="2"/>
      <c r="K763" s="2"/>
      <c r="L763" s="2"/>
      <c r="M763" s="667"/>
      <c r="N763" s="2"/>
      <c r="O763" s="2"/>
      <c r="P763" s="2"/>
      <c r="Q763" s="857"/>
      <c r="R763" s="858"/>
      <c r="S763" s="858"/>
      <c r="T763" s="858"/>
      <c r="U763" s="858"/>
      <c r="V763" s="858"/>
      <c r="W763" s="858"/>
      <c r="X763" s="858"/>
      <c r="Y763" s="858"/>
      <c r="Z763" s="858"/>
      <c r="AA763" s="858"/>
      <c r="AB763" s="858"/>
      <c r="AC763" s="858"/>
      <c r="AD763" s="858"/>
      <c r="AE763" s="858"/>
      <c r="AF763" s="858"/>
      <c r="AG763" s="858"/>
      <c r="AH763" s="858"/>
      <c r="AI763" s="858"/>
      <c r="AJ763" s="858"/>
    </row>
    <row r="764" ht="15.75" customHeight="1">
      <c r="A764" s="576"/>
      <c r="B764" s="2"/>
      <c r="C764" s="2"/>
      <c r="D764" s="668"/>
      <c r="E764" s="2"/>
      <c r="F764" s="2"/>
      <c r="G764" s="2"/>
      <c r="H764" s="2"/>
      <c r="I764" s="2"/>
      <c r="J764" s="2"/>
      <c r="K764" s="2"/>
      <c r="L764" s="2"/>
      <c r="M764" s="667"/>
      <c r="N764" s="2"/>
      <c r="O764" s="2"/>
      <c r="P764" s="2"/>
      <c r="Q764" s="857"/>
      <c r="R764" s="858"/>
      <c r="S764" s="858"/>
      <c r="T764" s="858"/>
      <c r="U764" s="858"/>
      <c r="V764" s="858"/>
      <c r="W764" s="858"/>
      <c r="X764" s="858"/>
      <c r="Y764" s="858"/>
      <c r="Z764" s="858"/>
      <c r="AA764" s="858"/>
      <c r="AB764" s="858"/>
      <c r="AC764" s="858"/>
      <c r="AD764" s="858"/>
      <c r="AE764" s="858"/>
      <c r="AF764" s="858"/>
      <c r="AG764" s="858"/>
      <c r="AH764" s="858"/>
      <c r="AI764" s="858"/>
      <c r="AJ764" s="858"/>
    </row>
    <row r="765" ht="15.75" customHeight="1">
      <c r="A765" s="576"/>
      <c r="B765" s="2"/>
      <c r="C765" s="2"/>
      <c r="D765" s="668"/>
      <c r="E765" s="2"/>
      <c r="F765" s="2"/>
      <c r="G765" s="2"/>
      <c r="H765" s="2"/>
      <c r="I765" s="2"/>
      <c r="J765" s="2"/>
      <c r="K765" s="2"/>
      <c r="L765" s="2"/>
      <c r="M765" s="667"/>
      <c r="N765" s="2"/>
      <c r="O765" s="2"/>
      <c r="P765" s="2"/>
      <c r="Q765" s="857"/>
      <c r="R765" s="858"/>
      <c r="S765" s="858"/>
      <c r="T765" s="858"/>
      <c r="U765" s="858"/>
      <c r="V765" s="858"/>
      <c r="W765" s="858"/>
      <c r="X765" s="858"/>
      <c r="Y765" s="858"/>
      <c r="Z765" s="858"/>
      <c r="AA765" s="858"/>
      <c r="AB765" s="858"/>
      <c r="AC765" s="858"/>
      <c r="AD765" s="858"/>
      <c r="AE765" s="858"/>
      <c r="AF765" s="858"/>
      <c r="AG765" s="858"/>
      <c r="AH765" s="858"/>
      <c r="AI765" s="858"/>
      <c r="AJ765" s="858"/>
    </row>
    <row r="766" ht="15.75" customHeight="1">
      <c r="A766" s="576"/>
      <c r="B766" s="2"/>
      <c r="C766" s="2"/>
      <c r="D766" s="668"/>
      <c r="E766" s="2"/>
      <c r="F766" s="2"/>
      <c r="G766" s="2"/>
      <c r="H766" s="2"/>
      <c r="I766" s="2"/>
      <c r="J766" s="2"/>
      <c r="K766" s="2"/>
      <c r="L766" s="2"/>
      <c r="M766" s="667"/>
      <c r="N766" s="2"/>
      <c r="O766" s="2"/>
      <c r="P766" s="2"/>
      <c r="Q766" s="857"/>
      <c r="R766" s="858"/>
      <c r="S766" s="858"/>
      <c r="T766" s="858"/>
      <c r="U766" s="858"/>
      <c r="V766" s="858"/>
      <c r="W766" s="858"/>
      <c r="X766" s="858"/>
      <c r="Y766" s="858"/>
      <c r="Z766" s="858"/>
      <c r="AA766" s="858"/>
      <c r="AB766" s="858"/>
      <c r="AC766" s="858"/>
      <c r="AD766" s="858"/>
      <c r="AE766" s="858"/>
      <c r="AF766" s="858"/>
      <c r="AG766" s="858"/>
      <c r="AH766" s="858"/>
      <c r="AI766" s="858"/>
      <c r="AJ766" s="858"/>
    </row>
    <row r="767" ht="15.75" customHeight="1">
      <c r="A767" s="576"/>
      <c r="B767" s="2"/>
      <c r="C767" s="2"/>
      <c r="D767" s="668"/>
      <c r="E767" s="2"/>
      <c r="F767" s="2"/>
      <c r="G767" s="2"/>
      <c r="H767" s="2"/>
      <c r="I767" s="2"/>
      <c r="J767" s="2"/>
      <c r="K767" s="2"/>
      <c r="L767" s="2"/>
      <c r="M767" s="667"/>
      <c r="N767" s="2"/>
      <c r="O767" s="2"/>
      <c r="P767" s="2"/>
      <c r="Q767" s="857"/>
      <c r="R767" s="858"/>
      <c r="S767" s="858"/>
      <c r="T767" s="858"/>
      <c r="U767" s="858"/>
      <c r="V767" s="858"/>
      <c r="W767" s="858"/>
      <c r="X767" s="858"/>
      <c r="Y767" s="858"/>
      <c r="Z767" s="858"/>
      <c r="AA767" s="858"/>
      <c r="AB767" s="858"/>
      <c r="AC767" s="858"/>
      <c r="AD767" s="858"/>
      <c r="AE767" s="858"/>
      <c r="AF767" s="858"/>
      <c r="AG767" s="858"/>
      <c r="AH767" s="858"/>
      <c r="AI767" s="858"/>
      <c r="AJ767" s="858"/>
    </row>
    <row r="768" ht="15.75" customHeight="1">
      <c r="A768" s="576"/>
      <c r="B768" s="2"/>
      <c r="C768" s="2"/>
      <c r="D768" s="668"/>
      <c r="E768" s="2"/>
      <c r="F768" s="2"/>
      <c r="G768" s="2"/>
      <c r="H768" s="2"/>
      <c r="I768" s="2"/>
      <c r="J768" s="2"/>
      <c r="K768" s="2"/>
      <c r="L768" s="2"/>
      <c r="M768" s="667"/>
      <c r="N768" s="2"/>
      <c r="O768" s="2"/>
      <c r="P768" s="2"/>
      <c r="Q768" s="857"/>
      <c r="R768" s="858"/>
      <c r="S768" s="858"/>
      <c r="T768" s="858"/>
      <c r="U768" s="858"/>
      <c r="V768" s="858"/>
      <c r="W768" s="858"/>
      <c r="X768" s="858"/>
      <c r="Y768" s="858"/>
      <c r="Z768" s="858"/>
      <c r="AA768" s="858"/>
      <c r="AB768" s="858"/>
      <c r="AC768" s="858"/>
      <c r="AD768" s="858"/>
      <c r="AE768" s="858"/>
      <c r="AF768" s="858"/>
      <c r="AG768" s="858"/>
      <c r="AH768" s="858"/>
      <c r="AI768" s="858"/>
      <c r="AJ768" s="858"/>
    </row>
    <row r="769" ht="15.75" customHeight="1">
      <c r="A769" s="576"/>
      <c r="B769" s="2"/>
      <c r="C769" s="2"/>
      <c r="D769" s="668"/>
      <c r="E769" s="2"/>
      <c r="F769" s="2"/>
      <c r="G769" s="2"/>
      <c r="H769" s="2"/>
      <c r="I769" s="2"/>
      <c r="J769" s="2"/>
      <c r="K769" s="2"/>
      <c r="L769" s="2"/>
      <c r="M769" s="667"/>
      <c r="N769" s="2"/>
      <c r="O769" s="2"/>
      <c r="P769" s="2"/>
      <c r="Q769" s="857"/>
      <c r="R769" s="858"/>
      <c r="S769" s="858"/>
      <c r="T769" s="858"/>
      <c r="U769" s="858"/>
      <c r="V769" s="858"/>
      <c r="W769" s="858"/>
      <c r="X769" s="858"/>
      <c r="Y769" s="858"/>
      <c r="Z769" s="858"/>
      <c r="AA769" s="858"/>
      <c r="AB769" s="858"/>
      <c r="AC769" s="858"/>
      <c r="AD769" s="858"/>
      <c r="AE769" s="858"/>
      <c r="AF769" s="858"/>
      <c r="AG769" s="858"/>
      <c r="AH769" s="858"/>
      <c r="AI769" s="858"/>
      <c r="AJ769" s="858"/>
    </row>
    <row r="770" ht="15.75" customHeight="1">
      <c r="A770" s="576"/>
      <c r="B770" s="2"/>
      <c r="C770" s="2"/>
      <c r="D770" s="668"/>
      <c r="E770" s="2"/>
      <c r="F770" s="2"/>
      <c r="G770" s="2"/>
      <c r="H770" s="2"/>
      <c r="I770" s="2"/>
      <c r="J770" s="2"/>
      <c r="K770" s="2"/>
      <c r="L770" s="2"/>
      <c r="M770" s="667"/>
      <c r="N770" s="2"/>
      <c r="O770" s="2"/>
      <c r="P770" s="2"/>
      <c r="Q770" s="857"/>
      <c r="R770" s="858"/>
      <c r="S770" s="858"/>
      <c r="T770" s="858"/>
      <c r="U770" s="858"/>
      <c r="V770" s="858"/>
      <c r="W770" s="858"/>
      <c r="X770" s="858"/>
      <c r="Y770" s="858"/>
      <c r="Z770" s="858"/>
      <c r="AA770" s="858"/>
      <c r="AB770" s="858"/>
      <c r="AC770" s="858"/>
      <c r="AD770" s="858"/>
      <c r="AE770" s="858"/>
      <c r="AF770" s="858"/>
      <c r="AG770" s="858"/>
      <c r="AH770" s="858"/>
      <c r="AI770" s="858"/>
      <c r="AJ770" s="858"/>
    </row>
    <row r="771" ht="15.75" customHeight="1">
      <c r="A771" s="576"/>
      <c r="B771" s="2"/>
      <c r="C771" s="2"/>
      <c r="D771" s="668"/>
      <c r="E771" s="2"/>
      <c r="F771" s="2"/>
      <c r="G771" s="2"/>
      <c r="H771" s="2"/>
      <c r="I771" s="2"/>
      <c r="J771" s="2"/>
      <c r="K771" s="2"/>
      <c r="L771" s="2"/>
      <c r="M771" s="667"/>
      <c r="N771" s="2"/>
      <c r="O771" s="2"/>
      <c r="P771" s="2"/>
      <c r="Q771" s="857"/>
      <c r="R771" s="858"/>
      <c r="S771" s="858"/>
      <c r="T771" s="858"/>
      <c r="U771" s="858"/>
      <c r="V771" s="858"/>
      <c r="W771" s="858"/>
      <c r="X771" s="858"/>
      <c r="Y771" s="858"/>
      <c r="Z771" s="858"/>
      <c r="AA771" s="858"/>
      <c r="AB771" s="858"/>
      <c r="AC771" s="858"/>
      <c r="AD771" s="858"/>
      <c r="AE771" s="858"/>
      <c r="AF771" s="858"/>
      <c r="AG771" s="858"/>
      <c r="AH771" s="858"/>
      <c r="AI771" s="858"/>
      <c r="AJ771" s="858"/>
    </row>
    <row r="772" ht="15.75" customHeight="1">
      <c r="A772" s="576"/>
      <c r="B772" s="2"/>
      <c r="C772" s="2"/>
      <c r="D772" s="668"/>
      <c r="E772" s="2"/>
      <c r="F772" s="2"/>
      <c r="G772" s="2"/>
      <c r="H772" s="2"/>
      <c r="I772" s="2"/>
      <c r="J772" s="2"/>
      <c r="K772" s="2"/>
      <c r="L772" s="2"/>
      <c r="M772" s="667"/>
      <c r="N772" s="2"/>
      <c r="O772" s="2"/>
      <c r="P772" s="2"/>
      <c r="Q772" s="857"/>
      <c r="R772" s="858"/>
      <c r="S772" s="858"/>
      <c r="T772" s="858"/>
      <c r="U772" s="858"/>
      <c r="V772" s="858"/>
      <c r="W772" s="858"/>
      <c r="X772" s="858"/>
      <c r="Y772" s="858"/>
      <c r="Z772" s="858"/>
      <c r="AA772" s="858"/>
      <c r="AB772" s="858"/>
      <c r="AC772" s="858"/>
      <c r="AD772" s="858"/>
      <c r="AE772" s="858"/>
      <c r="AF772" s="858"/>
      <c r="AG772" s="858"/>
      <c r="AH772" s="858"/>
      <c r="AI772" s="858"/>
      <c r="AJ772" s="858"/>
    </row>
    <row r="773" ht="15.75" customHeight="1">
      <c r="A773" s="576"/>
      <c r="B773" s="2"/>
      <c r="C773" s="2"/>
      <c r="D773" s="668"/>
      <c r="E773" s="2"/>
      <c r="F773" s="2"/>
      <c r="G773" s="2"/>
      <c r="H773" s="2"/>
      <c r="I773" s="2"/>
      <c r="J773" s="2"/>
      <c r="K773" s="2"/>
      <c r="L773" s="2"/>
      <c r="M773" s="667"/>
      <c r="N773" s="2"/>
      <c r="O773" s="2"/>
      <c r="P773" s="2"/>
      <c r="Q773" s="857"/>
      <c r="R773" s="858"/>
      <c r="S773" s="858"/>
      <c r="T773" s="858"/>
      <c r="U773" s="858"/>
      <c r="V773" s="858"/>
      <c r="W773" s="858"/>
      <c r="X773" s="858"/>
      <c r="Y773" s="858"/>
      <c r="Z773" s="858"/>
      <c r="AA773" s="858"/>
      <c r="AB773" s="858"/>
      <c r="AC773" s="858"/>
      <c r="AD773" s="858"/>
      <c r="AE773" s="858"/>
      <c r="AF773" s="858"/>
      <c r="AG773" s="858"/>
      <c r="AH773" s="858"/>
      <c r="AI773" s="858"/>
      <c r="AJ773" s="858"/>
    </row>
    <row r="774" ht="15.75" customHeight="1">
      <c r="A774" s="576"/>
      <c r="B774" s="2"/>
      <c r="C774" s="2"/>
      <c r="D774" s="668"/>
      <c r="E774" s="2"/>
      <c r="F774" s="2"/>
      <c r="G774" s="2"/>
      <c r="H774" s="2"/>
      <c r="I774" s="2"/>
      <c r="J774" s="2"/>
      <c r="K774" s="2"/>
      <c r="L774" s="2"/>
      <c r="M774" s="667"/>
      <c r="N774" s="2"/>
      <c r="O774" s="2"/>
      <c r="P774" s="2"/>
      <c r="Q774" s="857"/>
      <c r="R774" s="858"/>
      <c r="S774" s="858"/>
      <c r="T774" s="858"/>
      <c r="U774" s="858"/>
      <c r="V774" s="858"/>
      <c r="W774" s="858"/>
      <c r="X774" s="858"/>
      <c r="Y774" s="858"/>
      <c r="Z774" s="858"/>
      <c r="AA774" s="858"/>
      <c r="AB774" s="858"/>
      <c r="AC774" s="858"/>
      <c r="AD774" s="858"/>
      <c r="AE774" s="858"/>
      <c r="AF774" s="858"/>
      <c r="AG774" s="858"/>
      <c r="AH774" s="858"/>
      <c r="AI774" s="858"/>
      <c r="AJ774" s="858"/>
    </row>
    <row r="775" ht="15.75" customHeight="1">
      <c r="A775" s="576"/>
      <c r="B775" s="2"/>
      <c r="C775" s="2"/>
      <c r="D775" s="668"/>
      <c r="E775" s="2"/>
      <c r="F775" s="2"/>
      <c r="G775" s="2"/>
      <c r="H775" s="2"/>
      <c r="I775" s="2"/>
      <c r="J775" s="2"/>
      <c r="K775" s="2"/>
      <c r="L775" s="2"/>
      <c r="M775" s="667"/>
      <c r="N775" s="2"/>
      <c r="O775" s="2"/>
      <c r="P775" s="2"/>
      <c r="Q775" s="857"/>
      <c r="R775" s="858"/>
      <c r="S775" s="858"/>
      <c r="T775" s="858"/>
      <c r="U775" s="858"/>
      <c r="V775" s="858"/>
      <c r="W775" s="858"/>
      <c r="X775" s="858"/>
      <c r="Y775" s="858"/>
      <c r="Z775" s="858"/>
      <c r="AA775" s="858"/>
      <c r="AB775" s="858"/>
      <c r="AC775" s="858"/>
      <c r="AD775" s="858"/>
      <c r="AE775" s="858"/>
      <c r="AF775" s="858"/>
      <c r="AG775" s="858"/>
      <c r="AH775" s="858"/>
      <c r="AI775" s="858"/>
      <c r="AJ775" s="858"/>
    </row>
    <row r="776" ht="15.75" customHeight="1">
      <c r="A776" s="576"/>
      <c r="B776" s="2"/>
      <c r="C776" s="2"/>
      <c r="D776" s="668"/>
      <c r="E776" s="2"/>
      <c r="F776" s="2"/>
      <c r="G776" s="2"/>
      <c r="H776" s="2"/>
      <c r="I776" s="2"/>
      <c r="J776" s="2"/>
      <c r="K776" s="2"/>
      <c r="L776" s="2"/>
      <c r="M776" s="667"/>
      <c r="N776" s="2"/>
      <c r="O776" s="2"/>
      <c r="P776" s="2"/>
      <c r="Q776" s="857"/>
      <c r="R776" s="858"/>
      <c r="S776" s="858"/>
      <c r="T776" s="858"/>
      <c r="U776" s="858"/>
      <c r="V776" s="858"/>
      <c r="W776" s="858"/>
      <c r="X776" s="858"/>
      <c r="Y776" s="858"/>
      <c r="Z776" s="858"/>
      <c r="AA776" s="858"/>
      <c r="AB776" s="858"/>
      <c r="AC776" s="858"/>
      <c r="AD776" s="858"/>
      <c r="AE776" s="858"/>
      <c r="AF776" s="858"/>
      <c r="AG776" s="858"/>
      <c r="AH776" s="858"/>
      <c r="AI776" s="858"/>
      <c r="AJ776" s="858"/>
    </row>
    <row r="777" ht="15.75" customHeight="1">
      <c r="A777" s="576"/>
      <c r="B777" s="2"/>
      <c r="C777" s="2"/>
      <c r="D777" s="668"/>
      <c r="E777" s="2"/>
      <c r="F777" s="2"/>
      <c r="G777" s="2"/>
      <c r="H777" s="2"/>
      <c r="I777" s="2"/>
      <c r="J777" s="2"/>
      <c r="K777" s="2"/>
      <c r="L777" s="2"/>
      <c r="M777" s="667"/>
      <c r="N777" s="2"/>
      <c r="O777" s="2"/>
      <c r="P777" s="2"/>
      <c r="Q777" s="857"/>
      <c r="R777" s="858"/>
      <c r="S777" s="858"/>
      <c r="T777" s="858"/>
      <c r="U777" s="858"/>
      <c r="V777" s="858"/>
      <c r="W777" s="858"/>
      <c r="X777" s="858"/>
      <c r="Y777" s="858"/>
      <c r="Z777" s="858"/>
      <c r="AA777" s="858"/>
      <c r="AB777" s="858"/>
      <c r="AC777" s="858"/>
      <c r="AD777" s="858"/>
      <c r="AE777" s="858"/>
      <c r="AF777" s="858"/>
      <c r="AG777" s="858"/>
      <c r="AH777" s="858"/>
      <c r="AI777" s="858"/>
      <c r="AJ777" s="858"/>
    </row>
    <row r="778" ht="15.75" customHeight="1">
      <c r="A778" s="576"/>
      <c r="B778" s="2"/>
      <c r="C778" s="2"/>
      <c r="D778" s="668"/>
      <c r="E778" s="2"/>
      <c r="F778" s="2"/>
      <c r="G778" s="2"/>
      <c r="H778" s="2"/>
      <c r="I778" s="2"/>
      <c r="J778" s="2"/>
      <c r="K778" s="2"/>
      <c r="L778" s="2"/>
      <c r="M778" s="667"/>
      <c r="N778" s="2"/>
      <c r="O778" s="2"/>
      <c r="P778" s="2"/>
      <c r="Q778" s="857"/>
      <c r="R778" s="858"/>
      <c r="S778" s="858"/>
      <c r="T778" s="858"/>
      <c r="U778" s="858"/>
      <c r="V778" s="858"/>
      <c r="W778" s="858"/>
      <c r="X778" s="858"/>
      <c r="Y778" s="858"/>
      <c r="Z778" s="858"/>
      <c r="AA778" s="858"/>
      <c r="AB778" s="858"/>
      <c r="AC778" s="858"/>
      <c r="AD778" s="858"/>
      <c r="AE778" s="858"/>
      <c r="AF778" s="858"/>
      <c r="AG778" s="858"/>
      <c r="AH778" s="858"/>
      <c r="AI778" s="858"/>
      <c r="AJ778" s="858"/>
    </row>
    <row r="779" ht="15.75" customHeight="1">
      <c r="A779" s="576"/>
      <c r="B779" s="2"/>
      <c r="C779" s="2"/>
      <c r="D779" s="668"/>
      <c r="E779" s="2"/>
      <c r="F779" s="2"/>
      <c r="G779" s="2"/>
      <c r="H779" s="2"/>
      <c r="I779" s="2"/>
      <c r="J779" s="2"/>
      <c r="K779" s="2"/>
      <c r="L779" s="2"/>
      <c r="M779" s="667"/>
      <c r="N779" s="2"/>
      <c r="O779" s="2"/>
      <c r="P779" s="2"/>
      <c r="Q779" s="857"/>
      <c r="R779" s="858"/>
      <c r="S779" s="858"/>
      <c r="T779" s="858"/>
      <c r="U779" s="858"/>
      <c r="V779" s="858"/>
      <c r="W779" s="858"/>
      <c r="X779" s="858"/>
      <c r="Y779" s="858"/>
      <c r="Z779" s="858"/>
      <c r="AA779" s="858"/>
      <c r="AB779" s="858"/>
      <c r="AC779" s="858"/>
      <c r="AD779" s="858"/>
      <c r="AE779" s="858"/>
      <c r="AF779" s="858"/>
      <c r="AG779" s="858"/>
      <c r="AH779" s="858"/>
      <c r="AI779" s="858"/>
      <c r="AJ779" s="858"/>
    </row>
    <row r="780" ht="15.75" customHeight="1">
      <c r="A780" s="576"/>
      <c r="B780" s="2"/>
      <c r="C780" s="2"/>
      <c r="D780" s="668"/>
      <c r="E780" s="2"/>
      <c r="F780" s="2"/>
      <c r="G780" s="2"/>
      <c r="H780" s="2"/>
      <c r="I780" s="2"/>
      <c r="J780" s="2"/>
      <c r="K780" s="2"/>
      <c r="L780" s="2"/>
      <c r="M780" s="667"/>
      <c r="N780" s="2"/>
      <c r="O780" s="2"/>
      <c r="P780" s="2"/>
      <c r="Q780" s="857"/>
      <c r="R780" s="858"/>
      <c r="S780" s="858"/>
      <c r="T780" s="858"/>
      <c r="U780" s="858"/>
      <c r="V780" s="858"/>
      <c r="W780" s="858"/>
      <c r="X780" s="858"/>
      <c r="Y780" s="858"/>
      <c r="Z780" s="858"/>
      <c r="AA780" s="858"/>
      <c r="AB780" s="858"/>
      <c r="AC780" s="858"/>
      <c r="AD780" s="858"/>
      <c r="AE780" s="858"/>
      <c r="AF780" s="858"/>
      <c r="AG780" s="858"/>
      <c r="AH780" s="858"/>
      <c r="AI780" s="858"/>
      <c r="AJ780" s="858"/>
    </row>
    <row r="781" ht="15.75" customHeight="1">
      <c r="A781" s="576"/>
      <c r="B781" s="2"/>
      <c r="C781" s="2"/>
      <c r="D781" s="668"/>
      <c r="E781" s="2"/>
      <c r="F781" s="2"/>
      <c r="G781" s="2"/>
      <c r="H781" s="2"/>
      <c r="I781" s="2"/>
      <c r="J781" s="2"/>
      <c r="K781" s="2"/>
      <c r="L781" s="2"/>
      <c r="M781" s="667"/>
      <c r="N781" s="2"/>
      <c r="O781" s="2"/>
      <c r="P781" s="2"/>
      <c r="Q781" s="857"/>
      <c r="R781" s="858"/>
      <c r="S781" s="858"/>
      <c r="T781" s="858"/>
      <c r="U781" s="858"/>
      <c r="V781" s="858"/>
      <c r="W781" s="858"/>
      <c r="X781" s="858"/>
      <c r="Y781" s="858"/>
      <c r="Z781" s="858"/>
      <c r="AA781" s="858"/>
      <c r="AB781" s="858"/>
      <c r="AC781" s="858"/>
      <c r="AD781" s="858"/>
      <c r="AE781" s="858"/>
      <c r="AF781" s="858"/>
      <c r="AG781" s="858"/>
      <c r="AH781" s="858"/>
      <c r="AI781" s="858"/>
      <c r="AJ781" s="858"/>
    </row>
    <row r="782" ht="15.75" customHeight="1">
      <c r="A782" s="576"/>
      <c r="B782" s="2"/>
      <c r="C782" s="2"/>
      <c r="D782" s="668"/>
      <c r="E782" s="2"/>
      <c r="F782" s="2"/>
      <c r="G782" s="2"/>
      <c r="H782" s="2"/>
      <c r="I782" s="2"/>
      <c r="J782" s="2"/>
      <c r="K782" s="2"/>
      <c r="L782" s="2"/>
      <c r="M782" s="667"/>
      <c r="N782" s="2"/>
      <c r="O782" s="2"/>
      <c r="P782" s="2"/>
      <c r="Q782" s="857"/>
      <c r="R782" s="858"/>
      <c r="S782" s="858"/>
      <c r="T782" s="858"/>
      <c r="U782" s="858"/>
      <c r="V782" s="858"/>
      <c r="W782" s="858"/>
      <c r="X782" s="858"/>
      <c r="Y782" s="858"/>
      <c r="Z782" s="858"/>
      <c r="AA782" s="858"/>
      <c r="AB782" s="858"/>
      <c r="AC782" s="858"/>
      <c r="AD782" s="858"/>
      <c r="AE782" s="858"/>
      <c r="AF782" s="858"/>
      <c r="AG782" s="858"/>
      <c r="AH782" s="858"/>
      <c r="AI782" s="858"/>
      <c r="AJ782" s="858"/>
    </row>
    <row r="783" ht="15.75" customHeight="1">
      <c r="A783" s="576"/>
      <c r="B783" s="2"/>
      <c r="C783" s="2"/>
      <c r="D783" s="668"/>
      <c r="E783" s="2"/>
      <c r="F783" s="2"/>
      <c r="G783" s="2"/>
      <c r="H783" s="2"/>
      <c r="I783" s="2"/>
      <c r="J783" s="2"/>
      <c r="K783" s="2"/>
      <c r="L783" s="2"/>
      <c r="M783" s="667"/>
      <c r="N783" s="2"/>
      <c r="O783" s="2"/>
      <c r="P783" s="2"/>
      <c r="Q783" s="857"/>
      <c r="R783" s="858"/>
      <c r="S783" s="858"/>
      <c r="T783" s="858"/>
      <c r="U783" s="858"/>
      <c r="V783" s="858"/>
      <c r="W783" s="858"/>
      <c r="X783" s="858"/>
      <c r="Y783" s="858"/>
      <c r="Z783" s="858"/>
      <c r="AA783" s="858"/>
      <c r="AB783" s="858"/>
      <c r="AC783" s="858"/>
      <c r="AD783" s="858"/>
      <c r="AE783" s="858"/>
      <c r="AF783" s="858"/>
      <c r="AG783" s="858"/>
      <c r="AH783" s="858"/>
      <c r="AI783" s="858"/>
      <c r="AJ783" s="858"/>
    </row>
    <row r="784" ht="15.75" customHeight="1">
      <c r="A784" s="576"/>
      <c r="B784" s="2"/>
      <c r="C784" s="2"/>
      <c r="D784" s="668"/>
      <c r="E784" s="2"/>
      <c r="F784" s="2"/>
      <c r="G784" s="2"/>
      <c r="H784" s="2"/>
      <c r="I784" s="2"/>
      <c r="J784" s="2"/>
      <c r="K784" s="2"/>
      <c r="L784" s="2"/>
      <c r="M784" s="667"/>
      <c r="N784" s="2"/>
      <c r="O784" s="2"/>
      <c r="P784" s="2"/>
      <c r="Q784" s="857"/>
      <c r="R784" s="858"/>
      <c r="S784" s="858"/>
      <c r="T784" s="858"/>
      <c r="U784" s="858"/>
      <c r="V784" s="858"/>
      <c r="W784" s="858"/>
      <c r="X784" s="858"/>
      <c r="Y784" s="858"/>
      <c r="Z784" s="858"/>
      <c r="AA784" s="858"/>
      <c r="AB784" s="858"/>
      <c r="AC784" s="858"/>
      <c r="AD784" s="858"/>
      <c r="AE784" s="858"/>
      <c r="AF784" s="858"/>
      <c r="AG784" s="858"/>
      <c r="AH784" s="858"/>
      <c r="AI784" s="858"/>
      <c r="AJ784" s="858"/>
    </row>
    <row r="785" ht="15.75" customHeight="1">
      <c r="A785" s="576"/>
      <c r="B785" s="2"/>
      <c r="C785" s="2"/>
      <c r="D785" s="668"/>
      <c r="E785" s="2"/>
      <c r="F785" s="2"/>
      <c r="G785" s="2"/>
      <c r="H785" s="2"/>
      <c r="I785" s="2"/>
      <c r="J785" s="2"/>
      <c r="K785" s="2"/>
      <c r="L785" s="2"/>
      <c r="M785" s="667"/>
      <c r="N785" s="2"/>
      <c r="O785" s="2"/>
      <c r="P785" s="2"/>
      <c r="Q785" s="857"/>
      <c r="R785" s="858"/>
      <c r="S785" s="858"/>
      <c r="T785" s="858"/>
      <c r="U785" s="858"/>
      <c r="V785" s="858"/>
      <c r="W785" s="858"/>
      <c r="X785" s="858"/>
      <c r="Y785" s="858"/>
      <c r="Z785" s="858"/>
      <c r="AA785" s="858"/>
      <c r="AB785" s="858"/>
      <c r="AC785" s="858"/>
      <c r="AD785" s="858"/>
      <c r="AE785" s="858"/>
      <c r="AF785" s="858"/>
      <c r="AG785" s="858"/>
      <c r="AH785" s="858"/>
      <c r="AI785" s="858"/>
      <c r="AJ785" s="858"/>
    </row>
    <row r="786" ht="15.75" customHeight="1">
      <c r="A786" s="576"/>
      <c r="B786" s="2"/>
      <c r="C786" s="2"/>
      <c r="D786" s="668"/>
      <c r="E786" s="2"/>
      <c r="F786" s="2"/>
      <c r="G786" s="2"/>
      <c r="H786" s="2"/>
      <c r="I786" s="2"/>
      <c r="J786" s="2"/>
      <c r="K786" s="2"/>
      <c r="L786" s="2"/>
      <c r="M786" s="667"/>
      <c r="N786" s="2"/>
      <c r="O786" s="2"/>
      <c r="P786" s="2"/>
      <c r="Q786" s="857"/>
      <c r="R786" s="858"/>
      <c r="S786" s="858"/>
      <c r="T786" s="858"/>
      <c r="U786" s="858"/>
      <c r="V786" s="858"/>
      <c r="W786" s="858"/>
      <c r="X786" s="858"/>
      <c r="Y786" s="858"/>
      <c r="Z786" s="858"/>
      <c r="AA786" s="858"/>
      <c r="AB786" s="858"/>
      <c r="AC786" s="858"/>
      <c r="AD786" s="858"/>
      <c r="AE786" s="858"/>
      <c r="AF786" s="858"/>
      <c r="AG786" s="858"/>
      <c r="AH786" s="858"/>
      <c r="AI786" s="858"/>
      <c r="AJ786" s="858"/>
    </row>
    <row r="787" ht="15.75" customHeight="1">
      <c r="A787" s="576"/>
      <c r="B787" s="2"/>
      <c r="C787" s="2"/>
      <c r="D787" s="668"/>
      <c r="E787" s="2"/>
      <c r="F787" s="2"/>
      <c r="G787" s="2"/>
      <c r="H787" s="2"/>
      <c r="I787" s="2"/>
      <c r="J787" s="2"/>
      <c r="K787" s="2"/>
      <c r="L787" s="2"/>
      <c r="M787" s="667"/>
      <c r="N787" s="2"/>
      <c r="O787" s="2"/>
      <c r="P787" s="2"/>
      <c r="Q787" s="857"/>
      <c r="R787" s="858"/>
      <c r="S787" s="858"/>
      <c r="T787" s="858"/>
      <c r="U787" s="858"/>
      <c r="V787" s="858"/>
      <c r="W787" s="858"/>
      <c r="X787" s="858"/>
      <c r="Y787" s="858"/>
      <c r="Z787" s="858"/>
      <c r="AA787" s="858"/>
      <c r="AB787" s="858"/>
      <c r="AC787" s="858"/>
      <c r="AD787" s="858"/>
      <c r="AE787" s="858"/>
      <c r="AF787" s="858"/>
      <c r="AG787" s="858"/>
      <c r="AH787" s="858"/>
      <c r="AI787" s="858"/>
      <c r="AJ787" s="858"/>
    </row>
    <row r="788" ht="15.75" customHeight="1">
      <c r="A788" s="576"/>
      <c r="B788" s="2"/>
      <c r="C788" s="2"/>
      <c r="D788" s="668"/>
      <c r="E788" s="2"/>
      <c r="F788" s="2"/>
      <c r="G788" s="2"/>
      <c r="H788" s="2"/>
      <c r="I788" s="2"/>
      <c r="J788" s="2"/>
      <c r="K788" s="2"/>
      <c r="L788" s="2"/>
      <c r="M788" s="667"/>
      <c r="N788" s="2"/>
      <c r="O788" s="2"/>
      <c r="P788" s="2"/>
      <c r="Q788" s="857"/>
      <c r="R788" s="858"/>
      <c r="S788" s="858"/>
      <c r="T788" s="858"/>
      <c r="U788" s="858"/>
      <c r="V788" s="858"/>
      <c r="W788" s="858"/>
      <c r="X788" s="858"/>
      <c r="Y788" s="858"/>
      <c r="Z788" s="858"/>
      <c r="AA788" s="858"/>
      <c r="AB788" s="858"/>
      <c r="AC788" s="858"/>
      <c r="AD788" s="858"/>
      <c r="AE788" s="858"/>
      <c r="AF788" s="858"/>
      <c r="AG788" s="858"/>
      <c r="AH788" s="858"/>
      <c r="AI788" s="858"/>
      <c r="AJ788" s="858"/>
    </row>
    <row r="789" ht="15.75" customHeight="1">
      <c r="A789" s="576"/>
      <c r="B789" s="2"/>
      <c r="C789" s="2"/>
      <c r="D789" s="668"/>
      <c r="E789" s="2"/>
      <c r="F789" s="2"/>
      <c r="G789" s="2"/>
      <c r="H789" s="2"/>
      <c r="I789" s="2"/>
      <c r="J789" s="2"/>
      <c r="K789" s="2"/>
      <c r="L789" s="2"/>
      <c r="M789" s="667"/>
      <c r="N789" s="2"/>
      <c r="O789" s="2"/>
      <c r="P789" s="2"/>
      <c r="Q789" s="857"/>
      <c r="R789" s="858"/>
      <c r="S789" s="858"/>
      <c r="T789" s="858"/>
      <c r="U789" s="858"/>
      <c r="V789" s="858"/>
      <c r="W789" s="858"/>
      <c r="X789" s="858"/>
      <c r="Y789" s="858"/>
      <c r="Z789" s="858"/>
      <c r="AA789" s="858"/>
      <c r="AB789" s="858"/>
      <c r="AC789" s="858"/>
      <c r="AD789" s="858"/>
      <c r="AE789" s="858"/>
      <c r="AF789" s="858"/>
      <c r="AG789" s="858"/>
      <c r="AH789" s="858"/>
      <c r="AI789" s="858"/>
      <c r="AJ789" s="858"/>
    </row>
    <row r="790" ht="15.75" customHeight="1">
      <c r="A790" s="576"/>
      <c r="B790" s="2"/>
      <c r="C790" s="2"/>
      <c r="D790" s="668"/>
      <c r="E790" s="2"/>
      <c r="F790" s="2"/>
      <c r="G790" s="2"/>
      <c r="H790" s="2"/>
      <c r="I790" s="2"/>
      <c r="J790" s="2"/>
      <c r="K790" s="2"/>
      <c r="L790" s="2"/>
      <c r="M790" s="667"/>
      <c r="N790" s="2"/>
      <c r="O790" s="2"/>
      <c r="P790" s="2"/>
      <c r="Q790" s="857"/>
      <c r="R790" s="858"/>
      <c r="S790" s="858"/>
      <c r="T790" s="858"/>
      <c r="U790" s="858"/>
      <c r="V790" s="858"/>
      <c r="W790" s="858"/>
      <c r="X790" s="858"/>
      <c r="Y790" s="858"/>
      <c r="Z790" s="858"/>
      <c r="AA790" s="858"/>
      <c r="AB790" s="858"/>
      <c r="AC790" s="858"/>
      <c r="AD790" s="858"/>
      <c r="AE790" s="858"/>
      <c r="AF790" s="858"/>
      <c r="AG790" s="858"/>
      <c r="AH790" s="858"/>
      <c r="AI790" s="858"/>
      <c r="AJ790" s="858"/>
    </row>
    <row r="791" ht="15.75" customHeight="1">
      <c r="A791" s="576"/>
      <c r="B791" s="2"/>
      <c r="C791" s="2"/>
      <c r="D791" s="668"/>
      <c r="E791" s="2"/>
      <c r="F791" s="2"/>
      <c r="G791" s="2"/>
      <c r="H791" s="2"/>
      <c r="I791" s="2"/>
      <c r="J791" s="2"/>
      <c r="K791" s="2"/>
      <c r="L791" s="2"/>
      <c r="M791" s="667"/>
      <c r="N791" s="2"/>
      <c r="O791" s="2"/>
      <c r="P791" s="2"/>
      <c r="Q791" s="857"/>
      <c r="R791" s="858"/>
      <c r="S791" s="858"/>
      <c r="T791" s="858"/>
      <c r="U791" s="858"/>
      <c r="V791" s="858"/>
      <c r="W791" s="858"/>
      <c r="X791" s="858"/>
      <c r="Y791" s="858"/>
      <c r="Z791" s="858"/>
      <c r="AA791" s="858"/>
      <c r="AB791" s="858"/>
      <c r="AC791" s="858"/>
      <c r="AD791" s="858"/>
      <c r="AE791" s="858"/>
      <c r="AF791" s="858"/>
      <c r="AG791" s="858"/>
      <c r="AH791" s="858"/>
      <c r="AI791" s="858"/>
      <c r="AJ791" s="858"/>
    </row>
    <row r="792" ht="15.75" customHeight="1">
      <c r="A792" s="576"/>
      <c r="B792" s="2"/>
      <c r="C792" s="2"/>
      <c r="D792" s="668"/>
      <c r="E792" s="2"/>
      <c r="F792" s="2"/>
      <c r="G792" s="2"/>
      <c r="H792" s="2"/>
      <c r="I792" s="2"/>
      <c r="J792" s="2"/>
      <c r="K792" s="2"/>
      <c r="L792" s="2"/>
      <c r="M792" s="667"/>
      <c r="N792" s="2"/>
      <c r="O792" s="2"/>
      <c r="P792" s="2"/>
      <c r="Q792" s="857"/>
      <c r="R792" s="858"/>
      <c r="S792" s="858"/>
      <c r="T792" s="858"/>
      <c r="U792" s="858"/>
      <c r="V792" s="858"/>
      <c r="W792" s="858"/>
      <c r="X792" s="858"/>
      <c r="Y792" s="858"/>
      <c r="Z792" s="858"/>
      <c r="AA792" s="858"/>
      <c r="AB792" s="858"/>
      <c r="AC792" s="858"/>
      <c r="AD792" s="858"/>
      <c r="AE792" s="858"/>
      <c r="AF792" s="858"/>
      <c r="AG792" s="858"/>
      <c r="AH792" s="858"/>
      <c r="AI792" s="858"/>
      <c r="AJ792" s="858"/>
    </row>
    <row r="793" ht="15.75" customHeight="1">
      <c r="A793" s="576"/>
      <c r="B793" s="2"/>
      <c r="C793" s="2"/>
      <c r="D793" s="668"/>
      <c r="E793" s="2"/>
      <c r="F793" s="2"/>
      <c r="G793" s="2"/>
      <c r="H793" s="2"/>
      <c r="I793" s="2"/>
      <c r="J793" s="2"/>
      <c r="K793" s="2"/>
      <c r="L793" s="2"/>
      <c r="M793" s="667"/>
      <c r="N793" s="2"/>
      <c r="O793" s="2"/>
      <c r="P793" s="2"/>
      <c r="Q793" s="857"/>
      <c r="R793" s="858"/>
      <c r="S793" s="858"/>
      <c r="T793" s="858"/>
      <c r="U793" s="858"/>
      <c r="V793" s="858"/>
      <c r="W793" s="858"/>
      <c r="X793" s="858"/>
      <c r="Y793" s="858"/>
      <c r="Z793" s="858"/>
      <c r="AA793" s="858"/>
      <c r="AB793" s="858"/>
      <c r="AC793" s="858"/>
      <c r="AD793" s="858"/>
      <c r="AE793" s="858"/>
      <c r="AF793" s="858"/>
      <c r="AG793" s="858"/>
      <c r="AH793" s="858"/>
      <c r="AI793" s="858"/>
      <c r="AJ793" s="858"/>
    </row>
    <row r="794" ht="15.75" customHeight="1">
      <c r="A794" s="576"/>
      <c r="B794" s="2"/>
      <c r="C794" s="2"/>
      <c r="D794" s="668"/>
      <c r="E794" s="2"/>
      <c r="F794" s="2"/>
      <c r="G794" s="2"/>
      <c r="H794" s="2"/>
      <c r="I794" s="2"/>
      <c r="J794" s="2"/>
      <c r="K794" s="2"/>
      <c r="L794" s="2"/>
      <c r="M794" s="667"/>
      <c r="N794" s="2"/>
      <c r="O794" s="2"/>
      <c r="P794" s="2"/>
      <c r="Q794" s="857"/>
      <c r="R794" s="858"/>
      <c r="S794" s="858"/>
      <c r="T794" s="858"/>
      <c r="U794" s="858"/>
      <c r="V794" s="858"/>
      <c r="W794" s="858"/>
      <c r="X794" s="858"/>
      <c r="Y794" s="858"/>
      <c r="Z794" s="858"/>
      <c r="AA794" s="858"/>
      <c r="AB794" s="858"/>
      <c r="AC794" s="858"/>
      <c r="AD794" s="858"/>
      <c r="AE794" s="858"/>
      <c r="AF794" s="858"/>
      <c r="AG794" s="858"/>
      <c r="AH794" s="858"/>
      <c r="AI794" s="858"/>
      <c r="AJ794" s="858"/>
    </row>
    <row r="795" ht="15.75" customHeight="1">
      <c r="A795" s="576"/>
      <c r="B795" s="2"/>
      <c r="C795" s="2"/>
      <c r="D795" s="668"/>
      <c r="E795" s="2"/>
      <c r="F795" s="2"/>
      <c r="G795" s="2"/>
      <c r="H795" s="2"/>
      <c r="I795" s="2"/>
      <c r="J795" s="2"/>
      <c r="K795" s="2"/>
      <c r="L795" s="2"/>
      <c r="M795" s="667"/>
      <c r="N795" s="2"/>
      <c r="O795" s="2"/>
      <c r="P795" s="2"/>
      <c r="Q795" s="857"/>
      <c r="R795" s="858"/>
      <c r="S795" s="858"/>
      <c r="T795" s="858"/>
      <c r="U795" s="858"/>
      <c r="V795" s="858"/>
      <c r="W795" s="858"/>
      <c r="X795" s="858"/>
      <c r="Y795" s="858"/>
      <c r="Z795" s="858"/>
      <c r="AA795" s="858"/>
      <c r="AB795" s="858"/>
      <c r="AC795" s="858"/>
      <c r="AD795" s="858"/>
      <c r="AE795" s="858"/>
      <c r="AF795" s="858"/>
      <c r="AG795" s="858"/>
      <c r="AH795" s="858"/>
      <c r="AI795" s="858"/>
      <c r="AJ795" s="858"/>
    </row>
    <row r="796" ht="15.75" customHeight="1">
      <c r="A796" s="576"/>
      <c r="B796" s="2"/>
      <c r="C796" s="2"/>
      <c r="D796" s="668"/>
      <c r="E796" s="2"/>
      <c r="F796" s="2"/>
      <c r="G796" s="2"/>
      <c r="H796" s="2"/>
      <c r="I796" s="2"/>
      <c r="J796" s="2"/>
      <c r="K796" s="2"/>
      <c r="L796" s="2"/>
      <c r="M796" s="667"/>
      <c r="N796" s="2"/>
      <c r="O796" s="2"/>
      <c r="P796" s="2"/>
      <c r="Q796" s="857"/>
      <c r="R796" s="858"/>
      <c r="S796" s="858"/>
      <c r="T796" s="858"/>
      <c r="U796" s="858"/>
      <c r="V796" s="858"/>
      <c r="W796" s="858"/>
      <c r="X796" s="858"/>
      <c r="Y796" s="858"/>
      <c r="Z796" s="858"/>
      <c r="AA796" s="858"/>
      <c r="AB796" s="858"/>
      <c r="AC796" s="858"/>
      <c r="AD796" s="858"/>
      <c r="AE796" s="858"/>
      <c r="AF796" s="858"/>
      <c r="AG796" s="858"/>
      <c r="AH796" s="858"/>
      <c r="AI796" s="858"/>
      <c r="AJ796" s="858"/>
    </row>
    <row r="797" ht="15.75" customHeight="1">
      <c r="A797" s="576"/>
      <c r="B797" s="2"/>
      <c r="C797" s="2"/>
      <c r="D797" s="668"/>
      <c r="E797" s="2"/>
      <c r="F797" s="2"/>
      <c r="G797" s="2"/>
      <c r="H797" s="2"/>
      <c r="I797" s="2"/>
      <c r="J797" s="2"/>
      <c r="K797" s="2"/>
      <c r="L797" s="2"/>
      <c r="M797" s="667"/>
      <c r="N797" s="2"/>
      <c r="O797" s="2"/>
      <c r="P797" s="2"/>
      <c r="Q797" s="857"/>
      <c r="R797" s="858"/>
      <c r="S797" s="858"/>
      <c r="T797" s="858"/>
      <c r="U797" s="858"/>
      <c r="V797" s="858"/>
      <c r="W797" s="858"/>
      <c r="X797" s="858"/>
      <c r="Y797" s="858"/>
      <c r="Z797" s="858"/>
      <c r="AA797" s="858"/>
      <c r="AB797" s="858"/>
      <c r="AC797" s="858"/>
      <c r="AD797" s="858"/>
      <c r="AE797" s="858"/>
      <c r="AF797" s="858"/>
      <c r="AG797" s="858"/>
      <c r="AH797" s="858"/>
      <c r="AI797" s="858"/>
      <c r="AJ797" s="858"/>
    </row>
    <row r="798" ht="15.75" customHeight="1">
      <c r="A798" s="576"/>
      <c r="B798" s="2"/>
      <c r="C798" s="2"/>
      <c r="D798" s="668"/>
      <c r="E798" s="2"/>
      <c r="F798" s="2"/>
      <c r="G798" s="2"/>
      <c r="H798" s="2"/>
      <c r="I798" s="2"/>
      <c r="J798" s="2"/>
      <c r="K798" s="2"/>
      <c r="L798" s="2"/>
      <c r="M798" s="667"/>
      <c r="N798" s="2"/>
      <c r="O798" s="2"/>
      <c r="P798" s="2"/>
      <c r="Q798" s="857"/>
      <c r="R798" s="858"/>
      <c r="S798" s="858"/>
      <c r="T798" s="858"/>
      <c r="U798" s="858"/>
      <c r="V798" s="858"/>
      <c r="W798" s="858"/>
      <c r="X798" s="858"/>
      <c r="Y798" s="858"/>
      <c r="Z798" s="858"/>
      <c r="AA798" s="858"/>
      <c r="AB798" s="858"/>
      <c r="AC798" s="858"/>
      <c r="AD798" s="858"/>
      <c r="AE798" s="858"/>
      <c r="AF798" s="858"/>
      <c r="AG798" s="858"/>
      <c r="AH798" s="858"/>
      <c r="AI798" s="858"/>
      <c r="AJ798" s="858"/>
    </row>
    <row r="799" ht="15.75" customHeight="1">
      <c r="A799" s="576"/>
      <c r="B799" s="2"/>
      <c r="C799" s="2"/>
      <c r="D799" s="668"/>
      <c r="E799" s="2"/>
      <c r="F799" s="2"/>
      <c r="G799" s="2"/>
      <c r="H799" s="2"/>
      <c r="I799" s="2"/>
      <c r="J799" s="2"/>
      <c r="K799" s="2"/>
      <c r="L799" s="2"/>
      <c r="M799" s="667"/>
      <c r="N799" s="2"/>
      <c r="O799" s="2"/>
      <c r="P799" s="2"/>
      <c r="Q799" s="857"/>
      <c r="R799" s="858"/>
      <c r="S799" s="858"/>
      <c r="T799" s="858"/>
      <c r="U799" s="858"/>
      <c r="V799" s="858"/>
      <c r="W799" s="858"/>
      <c r="X799" s="858"/>
      <c r="Y799" s="858"/>
      <c r="Z799" s="858"/>
      <c r="AA799" s="858"/>
      <c r="AB799" s="858"/>
      <c r="AC799" s="858"/>
      <c r="AD799" s="858"/>
      <c r="AE799" s="858"/>
      <c r="AF799" s="858"/>
      <c r="AG799" s="858"/>
      <c r="AH799" s="858"/>
      <c r="AI799" s="858"/>
      <c r="AJ799" s="858"/>
    </row>
    <row r="800" ht="15.75" customHeight="1">
      <c r="A800" s="576"/>
      <c r="B800" s="2"/>
      <c r="C800" s="2"/>
      <c r="D800" s="668"/>
      <c r="E800" s="2"/>
      <c r="F800" s="2"/>
      <c r="G800" s="2"/>
      <c r="H800" s="2"/>
      <c r="I800" s="2"/>
      <c r="J800" s="2"/>
      <c r="K800" s="2"/>
      <c r="L800" s="2"/>
      <c r="M800" s="667"/>
      <c r="N800" s="2"/>
      <c r="O800" s="2"/>
      <c r="P800" s="2"/>
      <c r="Q800" s="857"/>
      <c r="R800" s="858"/>
      <c r="S800" s="858"/>
      <c r="T800" s="858"/>
      <c r="U800" s="858"/>
      <c r="V800" s="858"/>
      <c r="W800" s="858"/>
      <c r="X800" s="858"/>
      <c r="Y800" s="858"/>
      <c r="Z800" s="858"/>
      <c r="AA800" s="858"/>
      <c r="AB800" s="858"/>
      <c r="AC800" s="858"/>
      <c r="AD800" s="858"/>
      <c r="AE800" s="858"/>
      <c r="AF800" s="858"/>
      <c r="AG800" s="858"/>
      <c r="AH800" s="858"/>
      <c r="AI800" s="858"/>
      <c r="AJ800" s="858"/>
    </row>
    <row r="801" ht="15.75" customHeight="1">
      <c r="A801" s="576"/>
      <c r="B801" s="2"/>
      <c r="C801" s="2"/>
      <c r="D801" s="668"/>
      <c r="E801" s="2"/>
      <c r="F801" s="2"/>
      <c r="G801" s="2"/>
      <c r="H801" s="2"/>
      <c r="I801" s="2"/>
      <c r="J801" s="2"/>
      <c r="K801" s="2"/>
      <c r="L801" s="2"/>
      <c r="M801" s="667"/>
      <c r="N801" s="2"/>
      <c r="O801" s="2"/>
      <c r="P801" s="2"/>
      <c r="Q801" s="857"/>
      <c r="R801" s="858"/>
      <c r="S801" s="858"/>
      <c r="T801" s="858"/>
      <c r="U801" s="858"/>
      <c r="V801" s="858"/>
      <c r="W801" s="858"/>
      <c r="X801" s="858"/>
      <c r="Y801" s="858"/>
      <c r="Z801" s="858"/>
      <c r="AA801" s="858"/>
      <c r="AB801" s="858"/>
      <c r="AC801" s="858"/>
      <c r="AD801" s="858"/>
      <c r="AE801" s="858"/>
      <c r="AF801" s="858"/>
      <c r="AG801" s="858"/>
      <c r="AH801" s="858"/>
      <c r="AI801" s="858"/>
      <c r="AJ801" s="858"/>
    </row>
    <row r="802" ht="15.75" customHeight="1">
      <c r="A802" s="576"/>
      <c r="B802" s="2"/>
      <c r="C802" s="2"/>
      <c r="D802" s="668"/>
      <c r="E802" s="2"/>
      <c r="F802" s="2"/>
      <c r="G802" s="2"/>
      <c r="H802" s="2"/>
      <c r="I802" s="2"/>
      <c r="J802" s="2"/>
      <c r="K802" s="2"/>
      <c r="L802" s="2"/>
      <c r="M802" s="667"/>
      <c r="N802" s="2"/>
      <c r="O802" s="2"/>
      <c r="P802" s="2"/>
      <c r="Q802" s="857"/>
      <c r="R802" s="858"/>
      <c r="S802" s="858"/>
      <c r="T802" s="858"/>
      <c r="U802" s="858"/>
      <c r="V802" s="858"/>
      <c r="W802" s="858"/>
      <c r="X802" s="858"/>
      <c r="Y802" s="858"/>
      <c r="Z802" s="858"/>
      <c r="AA802" s="858"/>
      <c r="AB802" s="858"/>
      <c r="AC802" s="858"/>
      <c r="AD802" s="858"/>
      <c r="AE802" s="858"/>
      <c r="AF802" s="858"/>
      <c r="AG802" s="858"/>
      <c r="AH802" s="858"/>
      <c r="AI802" s="858"/>
      <c r="AJ802" s="858"/>
    </row>
    <row r="803" ht="15.75" customHeight="1">
      <c r="A803" s="576"/>
      <c r="B803" s="2"/>
      <c r="C803" s="2"/>
      <c r="D803" s="668"/>
      <c r="E803" s="2"/>
      <c r="F803" s="2"/>
      <c r="G803" s="2"/>
      <c r="H803" s="2"/>
      <c r="I803" s="2"/>
      <c r="J803" s="2"/>
      <c r="K803" s="2"/>
      <c r="L803" s="2"/>
      <c r="M803" s="667"/>
      <c r="N803" s="2"/>
      <c r="O803" s="2"/>
      <c r="P803" s="2"/>
      <c r="Q803" s="857"/>
      <c r="R803" s="858"/>
      <c r="S803" s="858"/>
      <c r="T803" s="858"/>
      <c r="U803" s="858"/>
      <c r="V803" s="858"/>
      <c r="W803" s="858"/>
      <c r="X803" s="858"/>
      <c r="Y803" s="858"/>
      <c r="Z803" s="858"/>
      <c r="AA803" s="858"/>
      <c r="AB803" s="858"/>
      <c r="AC803" s="858"/>
      <c r="AD803" s="858"/>
      <c r="AE803" s="858"/>
      <c r="AF803" s="858"/>
      <c r="AG803" s="858"/>
      <c r="AH803" s="858"/>
      <c r="AI803" s="858"/>
      <c r="AJ803" s="858"/>
    </row>
    <row r="804" ht="15.75" customHeight="1">
      <c r="A804" s="576"/>
      <c r="B804" s="2"/>
      <c r="C804" s="2"/>
      <c r="D804" s="668"/>
      <c r="E804" s="2"/>
      <c r="F804" s="2"/>
      <c r="G804" s="2"/>
      <c r="H804" s="2"/>
      <c r="I804" s="2"/>
      <c r="J804" s="2"/>
      <c r="K804" s="2"/>
      <c r="L804" s="2"/>
      <c r="M804" s="667"/>
      <c r="N804" s="2"/>
      <c r="O804" s="2"/>
      <c r="P804" s="2"/>
      <c r="Q804" s="857"/>
      <c r="R804" s="858"/>
      <c r="S804" s="858"/>
      <c r="T804" s="858"/>
      <c r="U804" s="858"/>
      <c r="V804" s="858"/>
      <c r="W804" s="858"/>
      <c r="X804" s="858"/>
      <c r="Y804" s="858"/>
      <c r="Z804" s="858"/>
      <c r="AA804" s="858"/>
      <c r="AB804" s="858"/>
      <c r="AC804" s="858"/>
      <c r="AD804" s="858"/>
      <c r="AE804" s="858"/>
      <c r="AF804" s="858"/>
      <c r="AG804" s="858"/>
      <c r="AH804" s="858"/>
      <c r="AI804" s="858"/>
      <c r="AJ804" s="858"/>
    </row>
    <row r="805" ht="15.75" customHeight="1">
      <c r="A805" s="576"/>
      <c r="B805" s="2"/>
      <c r="C805" s="2"/>
      <c r="D805" s="668"/>
      <c r="E805" s="2"/>
      <c r="F805" s="2"/>
      <c r="G805" s="2"/>
      <c r="H805" s="2"/>
      <c r="I805" s="2"/>
      <c r="J805" s="2"/>
      <c r="K805" s="2"/>
      <c r="L805" s="2"/>
      <c r="M805" s="667"/>
      <c r="N805" s="2"/>
      <c r="O805" s="2"/>
      <c r="P805" s="2"/>
      <c r="Q805" s="857"/>
      <c r="R805" s="858"/>
      <c r="S805" s="858"/>
      <c r="T805" s="858"/>
      <c r="U805" s="858"/>
      <c r="V805" s="858"/>
      <c r="W805" s="858"/>
      <c r="X805" s="858"/>
      <c r="Y805" s="858"/>
      <c r="Z805" s="858"/>
      <c r="AA805" s="858"/>
      <c r="AB805" s="858"/>
      <c r="AC805" s="858"/>
      <c r="AD805" s="858"/>
      <c r="AE805" s="858"/>
      <c r="AF805" s="858"/>
      <c r="AG805" s="858"/>
      <c r="AH805" s="858"/>
      <c r="AI805" s="858"/>
      <c r="AJ805" s="858"/>
    </row>
    <row r="806" ht="15.75" customHeight="1">
      <c r="A806" s="576"/>
      <c r="B806" s="2"/>
      <c r="C806" s="2"/>
      <c r="D806" s="668"/>
      <c r="E806" s="2"/>
      <c r="F806" s="2"/>
      <c r="G806" s="2"/>
      <c r="H806" s="2"/>
      <c r="I806" s="2"/>
      <c r="J806" s="2"/>
      <c r="K806" s="2"/>
      <c r="L806" s="2"/>
      <c r="M806" s="667"/>
      <c r="N806" s="2"/>
      <c r="O806" s="2"/>
      <c r="P806" s="2"/>
      <c r="Q806" s="857"/>
      <c r="R806" s="858"/>
      <c r="S806" s="858"/>
      <c r="T806" s="858"/>
      <c r="U806" s="858"/>
      <c r="V806" s="858"/>
      <c r="W806" s="858"/>
      <c r="X806" s="858"/>
      <c r="Y806" s="858"/>
      <c r="Z806" s="858"/>
      <c r="AA806" s="858"/>
      <c r="AB806" s="858"/>
      <c r="AC806" s="858"/>
      <c r="AD806" s="858"/>
      <c r="AE806" s="858"/>
      <c r="AF806" s="858"/>
      <c r="AG806" s="858"/>
      <c r="AH806" s="858"/>
      <c r="AI806" s="858"/>
      <c r="AJ806" s="858"/>
    </row>
    <row r="807" ht="15.75" customHeight="1">
      <c r="A807" s="576"/>
      <c r="B807" s="2"/>
      <c r="C807" s="2"/>
      <c r="D807" s="668"/>
      <c r="E807" s="2"/>
      <c r="F807" s="2"/>
      <c r="G807" s="2"/>
      <c r="H807" s="2"/>
      <c r="I807" s="2"/>
      <c r="J807" s="2"/>
      <c r="K807" s="2"/>
      <c r="L807" s="2"/>
      <c r="M807" s="667"/>
      <c r="N807" s="2"/>
      <c r="O807" s="2"/>
      <c r="P807" s="2"/>
      <c r="Q807" s="857"/>
      <c r="R807" s="858"/>
      <c r="S807" s="858"/>
      <c r="T807" s="858"/>
      <c r="U807" s="858"/>
      <c r="V807" s="858"/>
      <c r="W807" s="858"/>
      <c r="X807" s="858"/>
      <c r="Y807" s="858"/>
      <c r="Z807" s="858"/>
      <c r="AA807" s="858"/>
      <c r="AB807" s="858"/>
      <c r="AC807" s="858"/>
      <c r="AD807" s="858"/>
      <c r="AE807" s="858"/>
      <c r="AF807" s="858"/>
      <c r="AG807" s="858"/>
      <c r="AH807" s="858"/>
      <c r="AI807" s="858"/>
      <c r="AJ807" s="858"/>
    </row>
    <row r="808" ht="15.75" customHeight="1">
      <c r="A808" s="576"/>
      <c r="B808" s="2"/>
      <c r="C808" s="2"/>
      <c r="D808" s="668"/>
      <c r="E808" s="2"/>
      <c r="F808" s="2"/>
      <c r="G808" s="2"/>
      <c r="H808" s="2"/>
      <c r="I808" s="2"/>
      <c r="J808" s="2"/>
      <c r="K808" s="2"/>
      <c r="L808" s="2"/>
      <c r="M808" s="667"/>
      <c r="N808" s="2"/>
      <c r="O808" s="2"/>
      <c r="P808" s="2"/>
      <c r="Q808" s="857"/>
      <c r="R808" s="858"/>
      <c r="S808" s="858"/>
      <c r="T808" s="858"/>
      <c r="U808" s="858"/>
      <c r="V808" s="858"/>
      <c r="W808" s="858"/>
      <c r="X808" s="858"/>
      <c r="Y808" s="858"/>
      <c r="Z808" s="858"/>
      <c r="AA808" s="858"/>
      <c r="AB808" s="858"/>
      <c r="AC808" s="858"/>
      <c r="AD808" s="858"/>
      <c r="AE808" s="858"/>
      <c r="AF808" s="858"/>
      <c r="AG808" s="858"/>
      <c r="AH808" s="858"/>
      <c r="AI808" s="858"/>
      <c r="AJ808" s="858"/>
    </row>
    <row r="809" ht="15.75" customHeight="1">
      <c r="A809" s="576"/>
      <c r="B809" s="2"/>
      <c r="C809" s="2"/>
      <c r="D809" s="668"/>
      <c r="E809" s="2"/>
      <c r="F809" s="2"/>
      <c r="G809" s="2"/>
      <c r="H809" s="2"/>
      <c r="I809" s="2"/>
      <c r="J809" s="2"/>
      <c r="K809" s="2"/>
      <c r="L809" s="2"/>
      <c r="M809" s="667"/>
      <c r="N809" s="2"/>
      <c r="O809" s="2"/>
      <c r="P809" s="2"/>
      <c r="Q809" s="857"/>
      <c r="R809" s="858"/>
      <c r="S809" s="858"/>
      <c r="T809" s="858"/>
      <c r="U809" s="858"/>
      <c r="V809" s="858"/>
      <c r="W809" s="858"/>
      <c r="X809" s="858"/>
      <c r="Y809" s="858"/>
      <c r="Z809" s="858"/>
      <c r="AA809" s="858"/>
      <c r="AB809" s="858"/>
      <c r="AC809" s="858"/>
      <c r="AD809" s="858"/>
      <c r="AE809" s="858"/>
      <c r="AF809" s="858"/>
      <c r="AG809" s="858"/>
      <c r="AH809" s="858"/>
      <c r="AI809" s="858"/>
      <c r="AJ809" s="858"/>
    </row>
    <row r="810" ht="15.75" customHeight="1">
      <c r="A810" s="576"/>
      <c r="B810" s="2"/>
      <c r="C810" s="2"/>
      <c r="D810" s="668"/>
      <c r="E810" s="2"/>
      <c r="F810" s="2"/>
      <c r="G810" s="2"/>
      <c r="H810" s="2"/>
      <c r="I810" s="2"/>
      <c r="J810" s="2"/>
      <c r="K810" s="2"/>
      <c r="L810" s="2"/>
      <c r="M810" s="667"/>
      <c r="N810" s="2"/>
      <c r="O810" s="2"/>
      <c r="P810" s="2"/>
      <c r="Q810" s="857"/>
      <c r="R810" s="858"/>
      <c r="S810" s="858"/>
      <c r="T810" s="858"/>
      <c r="U810" s="858"/>
      <c r="V810" s="858"/>
      <c r="W810" s="858"/>
      <c r="X810" s="858"/>
      <c r="Y810" s="858"/>
      <c r="Z810" s="858"/>
      <c r="AA810" s="858"/>
      <c r="AB810" s="858"/>
      <c r="AC810" s="858"/>
      <c r="AD810" s="858"/>
      <c r="AE810" s="858"/>
      <c r="AF810" s="858"/>
      <c r="AG810" s="858"/>
      <c r="AH810" s="858"/>
      <c r="AI810" s="858"/>
      <c r="AJ810" s="858"/>
    </row>
    <row r="811" ht="15.75" customHeight="1">
      <c r="A811" s="576"/>
      <c r="B811" s="2"/>
      <c r="C811" s="2"/>
      <c r="D811" s="668"/>
      <c r="E811" s="2"/>
      <c r="F811" s="2"/>
      <c r="G811" s="2"/>
      <c r="H811" s="2"/>
      <c r="I811" s="2"/>
      <c r="J811" s="2"/>
      <c r="K811" s="2"/>
      <c r="L811" s="2"/>
      <c r="M811" s="667"/>
      <c r="N811" s="2"/>
      <c r="O811" s="2"/>
      <c r="P811" s="2"/>
      <c r="Q811" s="857"/>
      <c r="R811" s="858"/>
      <c r="S811" s="858"/>
      <c r="T811" s="858"/>
      <c r="U811" s="858"/>
      <c r="V811" s="858"/>
      <c r="W811" s="858"/>
      <c r="X811" s="858"/>
      <c r="Y811" s="858"/>
      <c r="Z811" s="858"/>
      <c r="AA811" s="858"/>
      <c r="AB811" s="858"/>
      <c r="AC811" s="858"/>
      <c r="AD811" s="858"/>
      <c r="AE811" s="858"/>
      <c r="AF811" s="858"/>
      <c r="AG811" s="858"/>
      <c r="AH811" s="858"/>
      <c r="AI811" s="858"/>
      <c r="AJ811" s="858"/>
    </row>
    <row r="812" ht="15.75" customHeight="1">
      <c r="A812" s="576"/>
      <c r="B812" s="2"/>
      <c r="C812" s="2"/>
      <c r="D812" s="668"/>
      <c r="E812" s="2"/>
      <c r="F812" s="2"/>
      <c r="G812" s="2"/>
      <c r="H812" s="2"/>
      <c r="I812" s="2"/>
      <c r="J812" s="2"/>
      <c r="K812" s="2"/>
      <c r="L812" s="2"/>
      <c r="M812" s="667"/>
      <c r="N812" s="2"/>
      <c r="O812" s="2"/>
      <c r="P812" s="2"/>
      <c r="Q812" s="857"/>
      <c r="R812" s="858"/>
      <c r="S812" s="858"/>
      <c r="T812" s="858"/>
      <c r="U812" s="858"/>
      <c r="V812" s="858"/>
      <c r="W812" s="858"/>
      <c r="X812" s="858"/>
      <c r="Y812" s="858"/>
      <c r="Z812" s="858"/>
      <c r="AA812" s="858"/>
      <c r="AB812" s="858"/>
      <c r="AC812" s="858"/>
      <c r="AD812" s="858"/>
      <c r="AE812" s="858"/>
      <c r="AF812" s="858"/>
      <c r="AG812" s="858"/>
      <c r="AH812" s="858"/>
      <c r="AI812" s="858"/>
      <c r="AJ812" s="858"/>
    </row>
    <row r="813" ht="15.75" customHeight="1">
      <c r="A813" s="576"/>
      <c r="B813" s="2"/>
      <c r="C813" s="2"/>
      <c r="D813" s="668"/>
      <c r="E813" s="2"/>
      <c r="F813" s="2"/>
      <c r="G813" s="2"/>
      <c r="H813" s="2"/>
      <c r="I813" s="2"/>
      <c r="J813" s="2"/>
      <c r="K813" s="2"/>
      <c r="L813" s="2"/>
      <c r="M813" s="667"/>
      <c r="N813" s="2"/>
      <c r="O813" s="2"/>
      <c r="P813" s="2"/>
      <c r="Q813" s="857"/>
      <c r="R813" s="858"/>
      <c r="S813" s="858"/>
      <c r="T813" s="858"/>
      <c r="U813" s="858"/>
      <c r="V813" s="858"/>
      <c r="W813" s="858"/>
      <c r="X813" s="858"/>
      <c r="Y813" s="858"/>
      <c r="Z813" s="858"/>
      <c r="AA813" s="858"/>
      <c r="AB813" s="858"/>
      <c r="AC813" s="858"/>
      <c r="AD813" s="858"/>
      <c r="AE813" s="858"/>
      <c r="AF813" s="858"/>
      <c r="AG813" s="858"/>
      <c r="AH813" s="858"/>
      <c r="AI813" s="858"/>
      <c r="AJ813" s="858"/>
    </row>
    <row r="814" ht="15.75" customHeight="1">
      <c r="A814" s="576"/>
      <c r="B814" s="2"/>
      <c r="C814" s="2"/>
      <c r="D814" s="668"/>
      <c r="E814" s="2"/>
      <c r="F814" s="2"/>
      <c r="G814" s="2"/>
      <c r="H814" s="2"/>
      <c r="I814" s="2"/>
      <c r="J814" s="2"/>
      <c r="K814" s="2"/>
      <c r="L814" s="2"/>
      <c r="M814" s="667"/>
      <c r="N814" s="2"/>
      <c r="O814" s="2"/>
      <c r="P814" s="2"/>
      <c r="Q814" s="857"/>
      <c r="R814" s="858"/>
      <c r="S814" s="858"/>
      <c r="T814" s="858"/>
      <c r="U814" s="858"/>
      <c r="V814" s="858"/>
      <c r="W814" s="858"/>
      <c r="X814" s="858"/>
      <c r="Y814" s="858"/>
      <c r="Z814" s="858"/>
      <c r="AA814" s="858"/>
      <c r="AB814" s="858"/>
      <c r="AC814" s="858"/>
      <c r="AD814" s="858"/>
      <c r="AE814" s="858"/>
      <c r="AF814" s="858"/>
      <c r="AG814" s="858"/>
      <c r="AH814" s="858"/>
      <c r="AI814" s="858"/>
      <c r="AJ814" s="858"/>
    </row>
    <row r="815" ht="15.75" customHeight="1">
      <c r="A815" s="576"/>
      <c r="B815" s="2"/>
      <c r="C815" s="2"/>
      <c r="D815" s="668"/>
      <c r="E815" s="2"/>
      <c r="F815" s="2"/>
      <c r="G815" s="2"/>
      <c r="H815" s="2"/>
      <c r="I815" s="2"/>
      <c r="J815" s="2"/>
      <c r="K815" s="2"/>
      <c r="L815" s="2"/>
      <c r="M815" s="667"/>
      <c r="N815" s="2"/>
      <c r="O815" s="2"/>
      <c r="P815" s="2"/>
      <c r="Q815" s="857"/>
      <c r="R815" s="858"/>
      <c r="S815" s="858"/>
      <c r="T815" s="858"/>
      <c r="U815" s="858"/>
      <c r="V815" s="858"/>
      <c r="W815" s="858"/>
      <c r="X815" s="858"/>
      <c r="Y815" s="858"/>
      <c r="Z815" s="858"/>
      <c r="AA815" s="858"/>
      <c r="AB815" s="858"/>
      <c r="AC815" s="858"/>
      <c r="AD815" s="858"/>
      <c r="AE815" s="858"/>
      <c r="AF815" s="858"/>
      <c r="AG815" s="858"/>
      <c r="AH815" s="858"/>
      <c r="AI815" s="858"/>
      <c r="AJ815" s="858"/>
    </row>
    <row r="816" ht="15.75" customHeight="1">
      <c r="A816" s="576"/>
      <c r="B816" s="2"/>
      <c r="C816" s="2"/>
      <c r="D816" s="668"/>
      <c r="E816" s="2"/>
      <c r="F816" s="2"/>
      <c r="G816" s="2"/>
      <c r="H816" s="2"/>
      <c r="I816" s="2"/>
      <c r="J816" s="2"/>
      <c r="K816" s="2"/>
      <c r="L816" s="2"/>
      <c r="M816" s="667"/>
      <c r="N816" s="2"/>
      <c r="O816" s="2"/>
      <c r="P816" s="2"/>
      <c r="Q816" s="857"/>
      <c r="R816" s="858"/>
      <c r="S816" s="858"/>
      <c r="T816" s="858"/>
      <c r="U816" s="858"/>
      <c r="V816" s="858"/>
      <c r="W816" s="858"/>
      <c r="X816" s="858"/>
      <c r="Y816" s="858"/>
      <c r="Z816" s="858"/>
      <c r="AA816" s="858"/>
      <c r="AB816" s="858"/>
      <c r="AC816" s="858"/>
      <c r="AD816" s="858"/>
      <c r="AE816" s="858"/>
      <c r="AF816" s="858"/>
      <c r="AG816" s="858"/>
      <c r="AH816" s="858"/>
      <c r="AI816" s="858"/>
      <c r="AJ816" s="858"/>
    </row>
    <row r="817" ht="15.75" customHeight="1">
      <c r="A817" s="576"/>
      <c r="B817" s="2"/>
      <c r="C817" s="2"/>
      <c r="D817" s="668"/>
      <c r="E817" s="2"/>
      <c r="F817" s="2"/>
      <c r="G817" s="2"/>
      <c r="H817" s="2"/>
      <c r="I817" s="2"/>
      <c r="J817" s="2"/>
      <c r="K817" s="2"/>
      <c r="L817" s="2"/>
      <c r="M817" s="667"/>
      <c r="N817" s="2"/>
      <c r="O817" s="2"/>
      <c r="P817" s="2"/>
      <c r="Q817" s="857"/>
      <c r="R817" s="858"/>
      <c r="S817" s="858"/>
      <c r="T817" s="858"/>
      <c r="U817" s="858"/>
      <c r="V817" s="858"/>
      <c r="W817" s="858"/>
      <c r="X817" s="858"/>
      <c r="Y817" s="858"/>
      <c r="Z817" s="858"/>
      <c r="AA817" s="858"/>
      <c r="AB817" s="858"/>
      <c r="AC817" s="858"/>
      <c r="AD817" s="858"/>
      <c r="AE817" s="858"/>
      <c r="AF817" s="858"/>
      <c r="AG817" s="858"/>
      <c r="AH817" s="858"/>
      <c r="AI817" s="858"/>
      <c r="AJ817" s="858"/>
    </row>
    <row r="818" ht="15.75" customHeight="1">
      <c r="A818" s="576"/>
      <c r="B818" s="2"/>
      <c r="C818" s="2"/>
      <c r="D818" s="668"/>
      <c r="E818" s="2"/>
      <c r="F818" s="2"/>
      <c r="G818" s="2"/>
      <c r="H818" s="2"/>
      <c r="I818" s="2"/>
      <c r="J818" s="2"/>
      <c r="K818" s="2"/>
      <c r="L818" s="2"/>
      <c r="M818" s="667"/>
      <c r="N818" s="2"/>
      <c r="O818" s="2"/>
      <c r="P818" s="2"/>
      <c r="Q818" s="857"/>
      <c r="R818" s="858"/>
      <c r="S818" s="858"/>
      <c r="T818" s="858"/>
      <c r="U818" s="858"/>
      <c r="V818" s="858"/>
      <c r="W818" s="858"/>
      <c r="X818" s="858"/>
      <c r="Y818" s="858"/>
      <c r="Z818" s="858"/>
      <c r="AA818" s="858"/>
      <c r="AB818" s="858"/>
      <c r="AC818" s="858"/>
      <c r="AD818" s="858"/>
      <c r="AE818" s="858"/>
      <c r="AF818" s="858"/>
      <c r="AG818" s="858"/>
      <c r="AH818" s="858"/>
      <c r="AI818" s="858"/>
      <c r="AJ818" s="858"/>
    </row>
    <row r="819" ht="15.75" customHeight="1">
      <c r="A819" s="576"/>
      <c r="B819" s="2"/>
      <c r="C819" s="2"/>
      <c r="D819" s="668"/>
      <c r="E819" s="2"/>
      <c r="F819" s="2"/>
      <c r="G819" s="2"/>
      <c r="H819" s="2"/>
      <c r="I819" s="2"/>
      <c r="J819" s="2"/>
      <c r="K819" s="2"/>
      <c r="L819" s="2"/>
      <c r="M819" s="667"/>
      <c r="N819" s="2"/>
      <c r="O819" s="2"/>
      <c r="P819" s="2"/>
      <c r="Q819" s="857"/>
      <c r="R819" s="858"/>
      <c r="S819" s="858"/>
      <c r="T819" s="858"/>
      <c r="U819" s="858"/>
      <c r="V819" s="858"/>
      <c r="W819" s="858"/>
      <c r="X819" s="858"/>
      <c r="Y819" s="858"/>
      <c r="Z819" s="858"/>
      <c r="AA819" s="858"/>
      <c r="AB819" s="858"/>
      <c r="AC819" s="858"/>
      <c r="AD819" s="858"/>
      <c r="AE819" s="858"/>
      <c r="AF819" s="858"/>
      <c r="AG819" s="858"/>
      <c r="AH819" s="858"/>
      <c r="AI819" s="858"/>
      <c r="AJ819" s="858"/>
    </row>
    <row r="820" ht="15.75" customHeight="1">
      <c r="A820" s="576"/>
      <c r="B820" s="2"/>
      <c r="C820" s="2"/>
      <c r="D820" s="668"/>
      <c r="E820" s="2"/>
      <c r="F820" s="2"/>
      <c r="G820" s="2"/>
      <c r="H820" s="2"/>
      <c r="I820" s="2"/>
      <c r="J820" s="2"/>
      <c r="K820" s="2"/>
      <c r="L820" s="2"/>
      <c r="M820" s="667"/>
      <c r="N820" s="2"/>
      <c r="O820" s="2"/>
      <c r="P820" s="2"/>
      <c r="Q820" s="857"/>
      <c r="R820" s="858"/>
      <c r="S820" s="858"/>
      <c r="T820" s="858"/>
      <c r="U820" s="858"/>
      <c r="V820" s="858"/>
      <c r="W820" s="858"/>
      <c r="X820" s="858"/>
      <c r="Y820" s="858"/>
      <c r="Z820" s="858"/>
      <c r="AA820" s="858"/>
      <c r="AB820" s="858"/>
      <c r="AC820" s="858"/>
      <c r="AD820" s="858"/>
      <c r="AE820" s="858"/>
      <c r="AF820" s="858"/>
      <c r="AG820" s="858"/>
      <c r="AH820" s="858"/>
      <c r="AI820" s="858"/>
      <c r="AJ820" s="858"/>
    </row>
    <row r="821" ht="15.75" customHeight="1">
      <c r="A821" s="576"/>
      <c r="B821" s="2"/>
      <c r="C821" s="2"/>
      <c r="D821" s="668"/>
      <c r="E821" s="2"/>
      <c r="F821" s="2"/>
      <c r="G821" s="2"/>
      <c r="H821" s="2"/>
      <c r="I821" s="2"/>
      <c r="J821" s="2"/>
      <c r="K821" s="2"/>
      <c r="L821" s="2"/>
      <c r="M821" s="667"/>
      <c r="N821" s="2"/>
      <c r="O821" s="2"/>
      <c r="P821" s="2"/>
      <c r="Q821" s="857"/>
      <c r="R821" s="858"/>
      <c r="S821" s="858"/>
      <c r="T821" s="858"/>
      <c r="U821" s="858"/>
      <c r="V821" s="858"/>
      <c r="W821" s="858"/>
      <c r="X821" s="858"/>
      <c r="Y821" s="858"/>
      <c r="Z821" s="858"/>
      <c r="AA821" s="858"/>
      <c r="AB821" s="858"/>
      <c r="AC821" s="858"/>
      <c r="AD821" s="858"/>
      <c r="AE821" s="858"/>
      <c r="AF821" s="858"/>
      <c r="AG821" s="858"/>
      <c r="AH821" s="858"/>
      <c r="AI821" s="858"/>
      <c r="AJ821" s="858"/>
    </row>
    <row r="822" ht="15.75" customHeight="1">
      <c r="A822" s="576"/>
      <c r="B822" s="2"/>
      <c r="C822" s="2"/>
      <c r="D822" s="668"/>
      <c r="E822" s="2"/>
      <c r="F822" s="2"/>
      <c r="G822" s="2"/>
      <c r="H822" s="2"/>
      <c r="I822" s="2"/>
      <c r="J822" s="2"/>
      <c r="K822" s="2"/>
      <c r="L822" s="2"/>
      <c r="M822" s="667"/>
      <c r="N822" s="2"/>
      <c r="O822" s="2"/>
      <c r="P822" s="2"/>
      <c r="Q822" s="857"/>
      <c r="R822" s="858"/>
      <c r="S822" s="858"/>
      <c r="T822" s="858"/>
      <c r="U822" s="858"/>
      <c r="V822" s="858"/>
      <c r="W822" s="858"/>
      <c r="X822" s="858"/>
      <c r="Y822" s="858"/>
      <c r="Z822" s="858"/>
      <c r="AA822" s="858"/>
      <c r="AB822" s="858"/>
      <c r="AC822" s="858"/>
      <c r="AD822" s="858"/>
      <c r="AE822" s="858"/>
      <c r="AF822" s="858"/>
      <c r="AG822" s="858"/>
      <c r="AH822" s="858"/>
      <c r="AI822" s="858"/>
      <c r="AJ822" s="858"/>
    </row>
    <row r="823" ht="15.75" customHeight="1">
      <c r="A823" s="576"/>
      <c r="B823" s="2"/>
      <c r="C823" s="2"/>
      <c r="D823" s="668"/>
      <c r="E823" s="2"/>
      <c r="F823" s="2"/>
      <c r="G823" s="2"/>
      <c r="H823" s="2"/>
      <c r="I823" s="2"/>
      <c r="J823" s="2"/>
      <c r="K823" s="2"/>
      <c r="L823" s="2"/>
      <c r="M823" s="667"/>
      <c r="N823" s="2"/>
      <c r="O823" s="2"/>
      <c r="P823" s="2"/>
      <c r="Q823" s="857"/>
      <c r="R823" s="858"/>
      <c r="S823" s="858"/>
      <c r="T823" s="858"/>
      <c r="U823" s="858"/>
      <c r="V823" s="858"/>
      <c r="W823" s="858"/>
      <c r="X823" s="858"/>
      <c r="Y823" s="858"/>
      <c r="Z823" s="858"/>
      <c r="AA823" s="858"/>
      <c r="AB823" s="858"/>
      <c r="AC823" s="858"/>
      <c r="AD823" s="858"/>
      <c r="AE823" s="858"/>
      <c r="AF823" s="858"/>
      <c r="AG823" s="858"/>
      <c r="AH823" s="858"/>
      <c r="AI823" s="858"/>
      <c r="AJ823" s="858"/>
    </row>
    <row r="824" ht="15.75" customHeight="1">
      <c r="A824" s="576"/>
      <c r="B824" s="2"/>
      <c r="C824" s="2"/>
      <c r="D824" s="668"/>
      <c r="E824" s="2"/>
      <c r="F824" s="2"/>
      <c r="G824" s="2"/>
      <c r="H824" s="2"/>
      <c r="I824" s="2"/>
      <c r="J824" s="2"/>
      <c r="K824" s="2"/>
      <c r="L824" s="2"/>
      <c r="M824" s="667"/>
      <c r="N824" s="2"/>
      <c r="O824" s="2"/>
      <c r="P824" s="2"/>
      <c r="Q824" s="857"/>
      <c r="R824" s="858"/>
      <c r="S824" s="858"/>
      <c r="T824" s="858"/>
      <c r="U824" s="858"/>
      <c r="V824" s="858"/>
      <c r="W824" s="858"/>
      <c r="X824" s="858"/>
      <c r="Y824" s="858"/>
      <c r="Z824" s="858"/>
      <c r="AA824" s="858"/>
      <c r="AB824" s="858"/>
      <c r="AC824" s="858"/>
      <c r="AD824" s="858"/>
      <c r="AE824" s="858"/>
      <c r="AF824" s="858"/>
      <c r="AG824" s="858"/>
      <c r="AH824" s="858"/>
      <c r="AI824" s="858"/>
      <c r="AJ824" s="858"/>
    </row>
    <row r="825" ht="15.75" customHeight="1">
      <c r="A825" s="576"/>
      <c r="B825" s="2"/>
      <c r="C825" s="2"/>
      <c r="D825" s="668"/>
      <c r="E825" s="2"/>
      <c r="F825" s="2"/>
      <c r="G825" s="2"/>
      <c r="H825" s="2"/>
      <c r="I825" s="2"/>
      <c r="J825" s="2"/>
      <c r="K825" s="2"/>
      <c r="L825" s="2"/>
      <c r="M825" s="667"/>
      <c r="N825" s="2"/>
      <c r="O825" s="2"/>
      <c r="P825" s="2"/>
      <c r="Q825" s="857"/>
      <c r="R825" s="858"/>
      <c r="S825" s="858"/>
      <c r="T825" s="858"/>
      <c r="U825" s="858"/>
      <c r="V825" s="858"/>
      <c r="W825" s="858"/>
      <c r="X825" s="858"/>
      <c r="Y825" s="858"/>
      <c r="Z825" s="858"/>
      <c r="AA825" s="858"/>
      <c r="AB825" s="858"/>
      <c r="AC825" s="858"/>
      <c r="AD825" s="858"/>
      <c r="AE825" s="858"/>
      <c r="AF825" s="858"/>
      <c r="AG825" s="858"/>
      <c r="AH825" s="858"/>
      <c r="AI825" s="858"/>
      <c r="AJ825" s="858"/>
    </row>
    <row r="826" ht="15.75" customHeight="1">
      <c r="A826" s="576"/>
      <c r="B826" s="2"/>
      <c r="C826" s="2"/>
      <c r="D826" s="668"/>
      <c r="E826" s="2"/>
      <c r="F826" s="2"/>
      <c r="G826" s="2"/>
      <c r="H826" s="2"/>
      <c r="I826" s="2"/>
      <c r="J826" s="2"/>
      <c r="K826" s="2"/>
      <c r="L826" s="2"/>
      <c r="M826" s="667"/>
      <c r="N826" s="2"/>
      <c r="O826" s="2"/>
      <c r="P826" s="2"/>
      <c r="Q826" s="857"/>
      <c r="R826" s="858"/>
      <c r="S826" s="858"/>
      <c r="T826" s="858"/>
      <c r="U826" s="858"/>
      <c r="V826" s="858"/>
      <c r="W826" s="858"/>
      <c r="X826" s="858"/>
      <c r="Y826" s="858"/>
      <c r="Z826" s="858"/>
      <c r="AA826" s="858"/>
      <c r="AB826" s="858"/>
      <c r="AC826" s="858"/>
      <c r="AD826" s="858"/>
      <c r="AE826" s="858"/>
      <c r="AF826" s="858"/>
      <c r="AG826" s="858"/>
      <c r="AH826" s="858"/>
      <c r="AI826" s="858"/>
      <c r="AJ826" s="858"/>
    </row>
    <row r="827" ht="15.75" customHeight="1">
      <c r="A827" s="576"/>
      <c r="B827" s="2"/>
      <c r="C827" s="2"/>
      <c r="D827" s="668"/>
      <c r="E827" s="2"/>
      <c r="F827" s="2"/>
      <c r="G827" s="2"/>
      <c r="H827" s="2"/>
      <c r="I827" s="2"/>
      <c r="J827" s="2"/>
      <c r="K827" s="2"/>
      <c r="L827" s="2"/>
      <c r="M827" s="667"/>
      <c r="N827" s="2"/>
      <c r="O827" s="2"/>
      <c r="P827" s="2"/>
      <c r="Q827" s="857"/>
      <c r="R827" s="858"/>
      <c r="S827" s="858"/>
      <c r="T827" s="858"/>
      <c r="U827" s="858"/>
      <c r="V827" s="858"/>
      <c r="W827" s="858"/>
      <c r="X827" s="858"/>
      <c r="Y827" s="858"/>
      <c r="Z827" s="858"/>
      <c r="AA827" s="858"/>
      <c r="AB827" s="858"/>
      <c r="AC827" s="858"/>
      <c r="AD827" s="858"/>
      <c r="AE827" s="858"/>
      <c r="AF827" s="858"/>
      <c r="AG827" s="858"/>
      <c r="AH827" s="858"/>
      <c r="AI827" s="858"/>
      <c r="AJ827" s="858"/>
    </row>
    <row r="828" ht="15.75" customHeight="1">
      <c r="A828" s="576"/>
      <c r="B828" s="2"/>
      <c r="C828" s="2"/>
      <c r="D828" s="668"/>
      <c r="E828" s="2"/>
      <c r="F828" s="2"/>
      <c r="G828" s="2"/>
      <c r="H828" s="2"/>
      <c r="I828" s="2"/>
      <c r="J828" s="2"/>
      <c r="K828" s="2"/>
      <c r="L828" s="2"/>
      <c r="M828" s="667"/>
      <c r="N828" s="2"/>
      <c r="O828" s="2"/>
      <c r="P828" s="2"/>
      <c r="Q828" s="857"/>
      <c r="R828" s="858"/>
      <c r="S828" s="858"/>
      <c r="T828" s="858"/>
      <c r="U828" s="858"/>
      <c r="V828" s="858"/>
      <c r="W828" s="858"/>
      <c r="X828" s="858"/>
      <c r="Y828" s="858"/>
      <c r="Z828" s="858"/>
      <c r="AA828" s="858"/>
      <c r="AB828" s="858"/>
      <c r="AC828" s="858"/>
      <c r="AD828" s="858"/>
      <c r="AE828" s="858"/>
      <c r="AF828" s="858"/>
      <c r="AG828" s="858"/>
      <c r="AH828" s="858"/>
      <c r="AI828" s="858"/>
      <c r="AJ828" s="858"/>
    </row>
    <row r="829" ht="15.75" customHeight="1">
      <c r="A829" s="576"/>
      <c r="B829" s="2"/>
      <c r="C829" s="2"/>
      <c r="D829" s="668"/>
      <c r="E829" s="2"/>
      <c r="F829" s="2"/>
      <c r="G829" s="2"/>
      <c r="H829" s="2"/>
      <c r="I829" s="2"/>
      <c r="J829" s="2"/>
      <c r="K829" s="2"/>
      <c r="L829" s="2"/>
      <c r="M829" s="667"/>
      <c r="N829" s="2"/>
      <c r="O829" s="2"/>
      <c r="P829" s="2"/>
      <c r="Q829" s="857"/>
      <c r="R829" s="858"/>
      <c r="S829" s="858"/>
      <c r="T829" s="858"/>
      <c r="U829" s="858"/>
      <c r="V829" s="858"/>
      <c r="W829" s="858"/>
      <c r="X829" s="858"/>
      <c r="Y829" s="858"/>
      <c r="Z829" s="858"/>
      <c r="AA829" s="858"/>
      <c r="AB829" s="858"/>
      <c r="AC829" s="858"/>
      <c r="AD829" s="858"/>
      <c r="AE829" s="858"/>
      <c r="AF829" s="858"/>
      <c r="AG829" s="858"/>
      <c r="AH829" s="858"/>
      <c r="AI829" s="858"/>
      <c r="AJ829" s="858"/>
    </row>
    <row r="830" ht="15.75" customHeight="1">
      <c r="A830" s="576"/>
      <c r="B830" s="2"/>
      <c r="C830" s="2"/>
      <c r="D830" s="668"/>
      <c r="E830" s="2"/>
      <c r="F830" s="2"/>
      <c r="G830" s="2"/>
      <c r="H830" s="2"/>
      <c r="I830" s="2"/>
      <c r="J830" s="2"/>
      <c r="K830" s="2"/>
      <c r="L830" s="2"/>
      <c r="M830" s="667"/>
      <c r="N830" s="2"/>
      <c r="O830" s="2"/>
      <c r="P830" s="2"/>
      <c r="Q830" s="857"/>
      <c r="R830" s="858"/>
      <c r="S830" s="858"/>
      <c r="T830" s="858"/>
      <c r="U830" s="858"/>
      <c r="V830" s="858"/>
      <c r="W830" s="858"/>
      <c r="X830" s="858"/>
      <c r="Y830" s="858"/>
      <c r="Z830" s="858"/>
      <c r="AA830" s="858"/>
      <c r="AB830" s="858"/>
      <c r="AC830" s="858"/>
      <c r="AD830" s="858"/>
      <c r="AE830" s="858"/>
      <c r="AF830" s="858"/>
      <c r="AG830" s="858"/>
      <c r="AH830" s="858"/>
      <c r="AI830" s="858"/>
      <c r="AJ830" s="858"/>
    </row>
    <row r="831" ht="15.75" customHeight="1">
      <c r="A831" s="576"/>
      <c r="B831" s="2"/>
      <c r="C831" s="2"/>
      <c r="D831" s="668"/>
      <c r="E831" s="2"/>
      <c r="F831" s="2"/>
      <c r="G831" s="2"/>
      <c r="H831" s="2"/>
      <c r="I831" s="2"/>
      <c r="J831" s="2"/>
      <c r="K831" s="2"/>
      <c r="L831" s="2"/>
      <c r="M831" s="667"/>
      <c r="N831" s="2"/>
      <c r="O831" s="2"/>
      <c r="P831" s="2"/>
      <c r="Q831" s="857"/>
      <c r="R831" s="858"/>
      <c r="S831" s="858"/>
      <c r="T831" s="858"/>
      <c r="U831" s="858"/>
      <c r="V831" s="858"/>
      <c r="W831" s="858"/>
      <c r="X831" s="858"/>
      <c r="Y831" s="858"/>
      <c r="Z831" s="858"/>
      <c r="AA831" s="858"/>
      <c r="AB831" s="858"/>
      <c r="AC831" s="858"/>
      <c r="AD831" s="858"/>
      <c r="AE831" s="858"/>
      <c r="AF831" s="858"/>
      <c r="AG831" s="858"/>
      <c r="AH831" s="858"/>
      <c r="AI831" s="858"/>
      <c r="AJ831" s="858"/>
    </row>
    <row r="832" ht="15.75" customHeight="1">
      <c r="A832" s="576"/>
      <c r="B832" s="2"/>
      <c r="C832" s="2"/>
      <c r="D832" s="668"/>
      <c r="E832" s="2"/>
      <c r="F832" s="2"/>
      <c r="G832" s="2"/>
      <c r="H832" s="2"/>
      <c r="I832" s="2"/>
      <c r="J832" s="2"/>
      <c r="K832" s="2"/>
      <c r="L832" s="2"/>
      <c r="M832" s="667"/>
      <c r="N832" s="2"/>
      <c r="O832" s="2"/>
      <c r="P832" s="2"/>
      <c r="Q832" s="857"/>
      <c r="R832" s="858"/>
      <c r="S832" s="858"/>
      <c r="T832" s="858"/>
      <c r="U832" s="858"/>
      <c r="V832" s="858"/>
      <c r="W832" s="858"/>
      <c r="X832" s="858"/>
      <c r="Y832" s="858"/>
      <c r="Z832" s="858"/>
      <c r="AA832" s="858"/>
      <c r="AB832" s="858"/>
      <c r="AC832" s="858"/>
      <c r="AD832" s="858"/>
      <c r="AE832" s="858"/>
      <c r="AF832" s="858"/>
      <c r="AG832" s="858"/>
      <c r="AH832" s="858"/>
      <c r="AI832" s="858"/>
      <c r="AJ832" s="858"/>
    </row>
    <row r="833" ht="15.75" customHeight="1">
      <c r="A833" s="576"/>
      <c r="B833" s="2"/>
      <c r="C833" s="2"/>
      <c r="D833" s="668"/>
      <c r="E833" s="2"/>
      <c r="F833" s="2"/>
      <c r="G833" s="2"/>
      <c r="H833" s="2"/>
      <c r="I833" s="2"/>
      <c r="J833" s="2"/>
      <c r="K833" s="2"/>
      <c r="L833" s="2"/>
      <c r="M833" s="667"/>
      <c r="N833" s="2"/>
      <c r="O833" s="2"/>
      <c r="P833" s="2"/>
      <c r="Q833" s="857"/>
      <c r="R833" s="858"/>
      <c r="S833" s="858"/>
      <c r="T833" s="858"/>
      <c r="U833" s="858"/>
      <c r="V833" s="858"/>
      <c r="W833" s="858"/>
      <c r="X833" s="858"/>
      <c r="Y833" s="858"/>
      <c r="Z833" s="858"/>
      <c r="AA833" s="858"/>
      <c r="AB833" s="858"/>
      <c r="AC833" s="858"/>
      <c r="AD833" s="858"/>
      <c r="AE833" s="858"/>
      <c r="AF833" s="858"/>
      <c r="AG833" s="858"/>
      <c r="AH833" s="858"/>
      <c r="AI833" s="858"/>
      <c r="AJ833" s="858"/>
    </row>
    <row r="834" ht="15.75" customHeight="1">
      <c r="A834" s="576"/>
      <c r="B834" s="2"/>
      <c r="C834" s="2"/>
      <c r="D834" s="668"/>
      <c r="E834" s="2"/>
      <c r="F834" s="2"/>
      <c r="G834" s="2"/>
      <c r="H834" s="2"/>
      <c r="I834" s="2"/>
      <c r="J834" s="2"/>
      <c r="K834" s="2"/>
      <c r="L834" s="2"/>
      <c r="M834" s="667"/>
      <c r="N834" s="2"/>
      <c r="O834" s="2"/>
      <c r="P834" s="2"/>
      <c r="Q834" s="857"/>
      <c r="R834" s="858"/>
      <c r="S834" s="858"/>
      <c r="T834" s="858"/>
      <c r="U834" s="858"/>
      <c r="V834" s="858"/>
      <c r="W834" s="858"/>
      <c r="X834" s="858"/>
      <c r="Y834" s="858"/>
      <c r="Z834" s="858"/>
      <c r="AA834" s="858"/>
      <c r="AB834" s="858"/>
      <c r="AC834" s="858"/>
      <c r="AD834" s="858"/>
      <c r="AE834" s="858"/>
      <c r="AF834" s="858"/>
      <c r="AG834" s="858"/>
      <c r="AH834" s="858"/>
      <c r="AI834" s="858"/>
      <c r="AJ834" s="858"/>
    </row>
    <row r="835" ht="15.75" customHeight="1">
      <c r="A835" s="576"/>
      <c r="B835" s="2"/>
      <c r="C835" s="2"/>
      <c r="D835" s="668"/>
      <c r="E835" s="2"/>
      <c r="F835" s="2"/>
      <c r="G835" s="2"/>
      <c r="H835" s="2"/>
      <c r="I835" s="2"/>
      <c r="J835" s="2"/>
      <c r="K835" s="2"/>
      <c r="L835" s="2"/>
      <c r="M835" s="667"/>
      <c r="N835" s="2"/>
      <c r="O835" s="2"/>
      <c r="P835" s="2"/>
      <c r="Q835" s="857"/>
      <c r="R835" s="858"/>
      <c r="S835" s="858"/>
      <c r="T835" s="858"/>
      <c r="U835" s="858"/>
      <c r="V835" s="858"/>
      <c r="W835" s="858"/>
      <c r="X835" s="858"/>
      <c r="Y835" s="858"/>
      <c r="Z835" s="858"/>
      <c r="AA835" s="858"/>
      <c r="AB835" s="858"/>
      <c r="AC835" s="858"/>
      <c r="AD835" s="858"/>
      <c r="AE835" s="858"/>
      <c r="AF835" s="858"/>
      <c r="AG835" s="858"/>
      <c r="AH835" s="858"/>
      <c r="AI835" s="858"/>
      <c r="AJ835" s="858"/>
    </row>
    <row r="836" ht="15.75" customHeight="1">
      <c r="A836" s="576"/>
      <c r="B836" s="2"/>
      <c r="C836" s="2"/>
      <c r="D836" s="668"/>
      <c r="E836" s="2"/>
      <c r="F836" s="2"/>
      <c r="G836" s="2"/>
      <c r="H836" s="2"/>
      <c r="I836" s="2"/>
      <c r="J836" s="2"/>
      <c r="K836" s="2"/>
      <c r="L836" s="2"/>
      <c r="M836" s="667"/>
      <c r="N836" s="2"/>
      <c r="O836" s="2"/>
      <c r="P836" s="2"/>
      <c r="Q836" s="857"/>
      <c r="R836" s="858"/>
      <c r="S836" s="858"/>
      <c r="T836" s="858"/>
      <c r="U836" s="858"/>
      <c r="V836" s="858"/>
      <c r="W836" s="858"/>
      <c r="X836" s="858"/>
      <c r="Y836" s="858"/>
      <c r="Z836" s="858"/>
      <c r="AA836" s="858"/>
      <c r="AB836" s="858"/>
      <c r="AC836" s="858"/>
      <c r="AD836" s="858"/>
      <c r="AE836" s="858"/>
      <c r="AF836" s="858"/>
      <c r="AG836" s="858"/>
      <c r="AH836" s="858"/>
      <c r="AI836" s="858"/>
      <c r="AJ836" s="858"/>
    </row>
    <row r="837" ht="15.75" customHeight="1">
      <c r="A837" s="576"/>
      <c r="B837" s="2"/>
      <c r="C837" s="2"/>
      <c r="D837" s="668"/>
      <c r="E837" s="2"/>
      <c r="F837" s="2"/>
      <c r="G837" s="2"/>
      <c r="H837" s="2"/>
      <c r="I837" s="2"/>
      <c r="J837" s="2"/>
      <c r="K837" s="2"/>
      <c r="L837" s="2"/>
      <c r="M837" s="667"/>
      <c r="N837" s="2"/>
      <c r="O837" s="2"/>
      <c r="P837" s="2"/>
      <c r="Q837" s="857"/>
      <c r="R837" s="858"/>
      <c r="S837" s="858"/>
      <c r="T837" s="858"/>
      <c r="U837" s="858"/>
      <c r="V837" s="858"/>
      <c r="W837" s="858"/>
      <c r="X837" s="858"/>
      <c r="Y837" s="858"/>
      <c r="Z837" s="858"/>
      <c r="AA837" s="858"/>
      <c r="AB837" s="858"/>
      <c r="AC837" s="858"/>
      <c r="AD837" s="858"/>
      <c r="AE837" s="858"/>
      <c r="AF837" s="858"/>
      <c r="AG837" s="858"/>
      <c r="AH837" s="858"/>
      <c r="AI837" s="858"/>
      <c r="AJ837" s="858"/>
    </row>
    <row r="838" ht="15.75" customHeight="1">
      <c r="A838" s="576"/>
      <c r="B838" s="2"/>
      <c r="C838" s="2"/>
      <c r="D838" s="668"/>
      <c r="E838" s="2"/>
      <c r="F838" s="2"/>
      <c r="G838" s="2"/>
      <c r="H838" s="2"/>
      <c r="I838" s="2"/>
      <c r="J838" s="2"/>
      <c r="K838" s="2"/>
      <c r="L838" s="2"/>
      <c r="M838" s="667"/>
      <c r="N838" s="2"/>
      <c r="O838" s="2"/>
      <c r="P838" s="2"/>
      <c r="Q838" s="857"/>
      <c r="R838" s="858"/>
      <c r="S838" s="858"/>
      <c r="T838" s="858"/>
      <c r="U838" s="858"/>
      <c r="V838" s="858"/>
      <c r="W838" s="858"/>
      <c r="X838" s="858"/>
      <c r="Y838" s="858"/>
      <c r="Z838" s="858"/>
      <c r="AA838" s="858"/>
      <c r="AB838" s="858"/>
      <c r="AC838" s="858"/>
      <c r="AD838" s="858"/>
      <c r="AE838" s="858"/>
      <c r="AF838" s="858"/>
      <c r="AG838" s="858"/>
      <c r="AH838" s="858"/>
      <c r="AI838" s="858"/>
      <c r="AJ838" s="858"/>
    </row>
    <row r="839" ht="15.75" customHeight="1">
      <c r="A839" s="576"/>
      <c r="B839" s="2"/>
      <c r="C839" s="2"/>
      <c r="D839" s="668"/>
      <c r="E839" s="2"/>
      <c r="F839" s="2"/>
      <c r="G839" s="2"/>
      <c r="H839" s="2"/>
      <c r="I839" s="2"/>
      <c r="J839" s="2"/>
      <c r="K839" s="2"/>
      <c r="L839" s="2"/>
      <c r="M839" s="667"/>
      <c r="N839" s="2"/>
      <c r="O839" s="2"/>
      <c r="P839" s="2"/>
      <c r="Q839" s="857"/>
      <c r="R839" s="858"/>
      <c r="S839" s="858"/>
      <c r="T839" s="858"/>
      <c r="U839" s="858"/>
      <c r="V839" s="858"/>
      <c r="W839" s="858"/>
      <c r="X839" s="858"/>
      <c r="Y839" s="858"/>
      <c r="Z839" s="858"/>
      <c r="AA839" s="858"/>
      <c r="AB839" s="858"/>
      <c r="AC839" s="858"/>
      <c r="AD839" s="858"/>
      <c r="AE839" s="858"/>
      <c r="AF839" s="858"/>
      <c r="AG839" s="858"/>
      <c r="AH839" s="858"/>
      <c r="AI839" s="858"/>
      <c r="AJ839" s="858"/>
    </row>
    <row r="840" ht="15.75" customHeight="1">
      <c r="A840" s="576"/>
      <c r="B840" s="2"/>
      <c r="C840" s="2"/>
      <c r="D840" s="668"/>
      <c r="E840" s="2"/>
      <c r="F840" s="2"/>
      <c r="G840" s="2"/>
      <c r="H840" s="2"/>
      <c r="I840" s="2"/>
      <c r="J840" s="2"/>
      <c r="K840" s="2"/>
      <c r="L840" s="2"/>
      <c r="M840" s="667"/>
      <c r="N840" s="2"/>
      <c r="O840" s="2"/>
      <c r="P840" s="2"/>
      <c r="Q840" s="857"/>
      <c r="R840" s="858"/>
      <c r="S840" s="858"/>
      <c r="T840" s="858"/>
      <c r="U840" s="858"/>
      <c r="V840" s="858"/>
      <c r="W840" s="858"/>
      <c r="X840" s="858"/>
      <c r="Y840" s="858"/>
      <c r="Z840" s="858"/>
      <c r="AA840" s="858"/>
      <c r="AB840" s="858"/>
      <c r="AC840" s="858"/>
      <c r="AD840" s="858"/>
      <c r="AE840" s="858"/>
      <c r="AF840" s="858"/>
      <c r="AG840" s="858"/>
      <c r="AH840" s="858"/>
      <c r="AI840" s="858"/>
      <c r="AJ840" s="858"/>
    </row>
    <row r="841" ht="15.75" customHeight="1">
      <c r="A841" s="576"/>
      <c r="B841" s="2"/>
      <c r="C841" s="2"/>
      <c r="D841" s="668"/>
      <c r="E841" s="2"/>
      <c r="F841" s="2"/>
      <c r="G841" s="2"/>
      <c r="H841" s="2"/>
      <c r="I841" s="2"/>
      <c r="J841" s="2"/>
      <c r="K841" s="2"/>
      <c r="L841" s="2"/>
      <c r="M841" s="667"/>
      <c r="N841" s="2"/>
      <c r="O841" s="2"/>
      <c r="P841" s="2"/>
      <c r="Q841" s="857"/>
      <c r="R841" s="858"/>
      <c r="S841" s="858"/>
      <c r="T841" s="858"/>
      <c r="U841" s="858"/>
      <c r="V841" s="858"/>
      <c r="W841" s="858"/>
      <c r="X841" s="858"/>
      <c r="Y841" s="858"/>
      <c r="Z841" s="858"/>
      <c r="AA841" s="858"/>
      <c r="AB841" s="858"/>
      <c r="AC841" s="858"/>
      <c r="AD841" s="858"/>
      <c r="AE841" s="858"/>
      <c r="AF841" s="858"/>
      <c r="AG841" s="858"/>
      <c r="AH841" s="858"/>
      <c r="AI841" s="858"/>
      <c r="AJ841" s="858"/>
    </row>
    <row r="842" ht="15.75" customHeight="1">
      <c r="A842" s="576"/>
      <c r="B842" s="2"/>
      <c r="C842" s="2"/>
      <c r="D842" s="668"/>
      <c r="E842" s="2"/>
      <c r="F842" s="2"/>
      <c r="G842" s="2"/>
      <c r="H842" s="2"/>
      <c r="I842" s="2"/>
      <c r="J842" s="2"/>
      <c r="K842" s="2"/>
      <c r="L842" s="2"/>
      <c r="M842" s="667"/>
      <c r="N842" s="2"/>
      <c r="O842" s="2"/>
      <c r="P842" s="2"/>
      <c r="Q842" s="857"/>
      <c r="R842" s="858"/>
      <c r="S842" s="858"/>
      <c r="T842" s="858"/>
      <c r="U842" s="858"/>
      <c r="V842" s="858"/>
      <c r="W842" s="858"/>
      <c r="X842" s="858"/>
      <c r="Y842" s="858"/>
      <c r="Z842" s="858"/>
      <c r="AA842" s="858"/>
      <c r="AB842" s="858"/>
      <c r="AC842" s="858"/>
      <c r="AD842" s="858"/>
      <c r="AE842" s="858"/>
      <c r="AF842" s="858"/>
      <c r="AG842" s="858"/>
      <c r="AH842" s="858"/>
      <c r="AI842" s="858"/>
      <c r="AJ842" s="858"/>
    </row>
    <row r="843" ht="15.75" customHeight="1">
      <c r="A843" s="576"/>
      <c r="B843" s="2"/>
      <c r="C843" s="2"/>
      <c r="D843" s="668"/>
      <c r="E843" s="2"/>
      <c r="F843" s="2"/>
      <c r="G843" s="2"/>
      <c r="H843" s="2"/>
      <c r="I843" s="2"/>
      <c r="J843" s="2"/>
      <c r="K843" s="2"/>
      <c r="L843" s="2"/>
      <c r="M843" s="667"/>
      <c r="N843" s="2"/>
      <c r="O843" s="2"/>
      <c r="P843" s="2"/>
      <c r="Q843" s="857"/>
      <c r="R843" s="858"/>
      <c r="S843" s="858"/>
      <c r="T843" s="858"/>
      <c r="U843" s="858"/>
      <c r="V843" s="858"/>
      <c r="W843" s="858"/>
      <c r="X843" s="858"/>
      <c r="Y843" s="858"/>
      <c r="Z843" s="858"/>
      <c r="AA843" s="858"/>
      <c r="AB843" s="858"/>
      <c r="AC843" s="858"/>
      <c r="AD843" s="858"/>
      <c r="AE843" s="858"/>
      <c r="AF843" s="858"/>
      <c r="AG843" s="858"/>
      <c r="AH843" s="858"/>
      <c r="AI843" s="858"/>
      <c r="AJ843" s="858"/>
    </row>
    <row r="844" ht="15.75" customHeight="1">
      <c r="A844" s="576"/>
      <c r="B844" s="2"/>
      <c r="C844" s="2"/>
      <c r="D844" s="668"/>
      <c r="E844" s="2"/>
      <c r="F844" s="2"/>
      <c r="G844" s="2"/>
      <c r="H844" s="2"/>
      <c r="I844" s="2"/>
      <c r="J844" s="2"/>
      <c r="K844" s="2"/>
      <c r="L844" s="2"/>
      <c r="M844" s="667"/>
      <c r="N844" s="2"/>
      <c r="O844" s="2"/>
      <c r="P844" s="2"/>
      <c r="Q844" s="857"/>
      <c r="R844" s="858"/>
      <c r="S844" s="858"/>
      <c r="T844" s="858"/>
      <c r="U844" s="858"/>
      <c r="V844" s="858"/>
      <c r="W844" s="858"/>
      <c r="X844" s="858"/>
      <c r="Y844" s="858"/>
      <c r="Z844" s="858"/>
      <c r="AA844" s="858"/>
      <c r="AB844" s="858"/>
      <c r="AC844" s="858"/>
      <c r="AD844" s="858"/>
      <c r="AE844" s="858"/>
      <c r="AF844" s="858"/>
      <c r="AG844" s="858"/>
      <c r="AH844" s="858"/>
      <c r="AI844" s="858"/>
      <c r="AJ844" s="858"/>
    </row>
    <row r="845" ht="15.75" customHeight="1">
      <c r="A845" s="576"/>
      <c r="B845" s="2"/>
      <c r="C845" s="2"/>
      <c r="D845" s="668"/>
      <c r="E845" s="2"/>
      <c r="F845" s="2"/>
      <c r="G845" s="2"/>
      <c r="H845" s="2"/>
      <c r="I845" s="2"/>
      <c r="J845" s="2"/>
      <c r="K845" s="2"/>
      <c r="L845" s="2"/>
      <c r="M845" s="667"/>
      <c r="N845" s="2"/>
      <c r="O845" s="2"/>
      <c r="P845" s="2"/>
      <c r="Q845" s="857"/>
      <c r="R845" s="858"/>
      <c r="S845" s="858"/>
      <c r="T845" s="858"/>
      <c r="U845" s="858"/>
      <c r="V845" s="858"/>
      <c r="W845" s="858"/>
      <c r="X845" s="858"/>
      <c r="Y845" s="858"/>
      <c r="Z845" s="858"/>
      <c r="AA845" s="858"/>
      <c r="AB845" s="858"/>
      <c r="AC845" s="858"/>
      <c r="AD845" s="858"/>
      <c r="AE845" s="858"/>
      <c r="AF845" s="858"/>
      <c r="AG845" s="858"/>
      <c r="AH845" s="858"/>
      <c r="AI845" s="858"/>
      <c r="AJ845" s="858"/>
    </row>
    <row r="846" ht="15.75" customHeight="1">
      <c r="A846" s="576"/>
      <c r="B846" s="2"/>
      <c r="C846" s="2"/>
      <c r="D846" s="668"/>
      <c r="E846" s="2"/>
      <c r="F846" s="2"/>
      <c r="G846" s="2"/>
      <c r="H846" s="2"/>
      <c r="I846" s="2"/>
      <c r="J846" s="2"/>
      <c r="K846" s="2"/>
      <c r="L846" s="2"/>
      <c r="M846" s="667"/>
      <c r="N846" s="2"/>
      <c r="O846" s="2"/>
      <c r="P846" s="2"/>
      <c r="Q846" s="857"/>
      <c r="R846" s="858"/>
      <c r="S846" s="858"/>
      <c r="T846" s="858"/>
      <c r="U846" s="858"/>
      <c r="V846" s="858"/>
      <c r="W846" s="858"/>
      <c r="X846" s="858"/>
      <c r="Y846" s="858"/>
      <c r="Z846" s="858"/>
      <c r="AA846" s="858"/>
      <c r="AB846" s="858"/>
      <c r="AC846" s="858"/>
      <c r="AD846" s="858"/>
      <c r="AE846" s="858"/>
      <c r="AF846" s="858"/>
      <c r="AG846" s="858"/>
      <c r="AH846" s="858"/>
      <c r="AI846" s="858"/>
      <c r="AJ846" s="858"/>
    </row>
    <row r="847" ht="15.75" customHeight="1">
      <c r="A847" s="576"/>
      <c r="B847" s="2"/>
      <c r="C847" s="2"/>
      <c r="D847" s="668"/>
      <c r="E847" s="2"/>
      <c r="F847" s="2"/>
      <c r="G847" s="2"/>
      <c r="H847" s="2"/>
      <c r="I847" s="2"/>
      <c r="J847" s="2"/>
      <c r="K847" s="2"/>
      <c r="L847" s="2"/>
      <c r="M847" s="667"/>
      <c r="N847" s="2"/>
      <c r="O847" s="2"/>
      <c r="P847" s="2"/>
      <c r="Q847" s="857"/>
      <c r="R847" s="858"/>
      <c r="S847" s="858"/>
      <c r="T847" s="858"/>
      <c r="U847" s="858"/>
      <c r="V847" s="858"/>
      <c r="W847" s="858"/>
      <c r="X847" s="858"/>
      <c r="Y847" s="858"/>
      <c r="Z847" s="858"/>
      <c r="AA847" s="858"/>
      <c r="AB847" s="858"/>
      <c r="AC847" s="858"/>
      <c r="AD847" s="858"/>
      <c r="AE847" s="858"/>
      <c r="AF847" s="858"/>
      <c r="AG847" s="858"/>
      <c r="AH847" s="858"/>
      <c r="AI847" s="858"/>
      <c r="AJ847" s="858"/>
    </row>
    <row r="848" ht="15.75" customHeight="1">
      <c r="A848" s="576"/>
      <c r="B848" s="2"/>
      <c r="C848" s="2"/>
      <c r="D848" s="668"/>
      <c r="E848" s="2"/>
      <c r="F848" s="2"/>
      <c r="G848" s="2"/>
      <c r="H848" s="2"/>
      <c r="I848" s="2"/>
      <c r="J848" s="2"/>
      <c r="K848" s="2"/>
      <c r="L848" s="2"/>
      <c r="M848" s="667"/>
      <c r="N848" s="2"/>
      <c r="O848" s="2"/>
      <c r="P848" s="2"/>
      <c r="Q848" s="857"/>
      <c r="R848" s="858"/>
      <c r="S848" s="858"/>
      <c r="T848" s="858"/>
      <c r="U848" s="858"/>
      <c r="V848" s="858"/>
      <c r="W848" s="858"/>
      <c r="X848" s="858"/>
      <c r="Y848" s="858"/>
      <c r="Z848" s="858"/>
      <c r="AA848" s="858"/>
      <c r="AB848" s="858"/>
      <c r="AC848" s="858"/>
      <c r="AD848" s="858"/>
      <c r="AE848" s="858"/>
      <c r="AF848" s="858"/>
      <c r="AG848" s="858"/>
      <c r="AH848" s="858"/>
      <c r="AI848" s="858"/>
      <c r="AJ848" s="858"/>
    </row>
    <row r="849" ht="15.75" customHeight="1">
      <c r="A849" s="576"/>
      <c r="B849" s="2"/>
      <c r="C849" s="2"/>
      <c r="D849" s="668"/>
      <c r="E849" s="2"/>
      <c r="F849" s="2"/>
      <c r="G849" s="2"/>
      <c r="H849" s="2"/>
      <c r="I849" s="2"/>
      <c r="J849" s="2"/>
      <c r="K849" s="2"/>
      <c r="L849" s="2"/>
      <c r="M849" s="667"/>
      <c r="N849" s="2"/>
      <c r="O849" s="2"/>
      <c r="P849" s="2"/>
      <c r="Q849" s="857"/>
      <c r="R849" s="858"/>
      <c r="S849" s="858"/>
      <c r="T849" s="858"/>
      <c r="U849" s="858"/>
      <c r="V849" s="858"/>
      <c r="W849" s="858"/>
      <c r="X849" s="858"/>
      <c r="Y849" s="858"/>
      <c r="Z849" s="858"/>
      <c r="AA849" s="858"/>
      <c r="AB849" s="858"/>
      <c r="AC849" s="858"/>
      <c r="AD849" s="858"/>
      <c r="AE849" s="858"/>
      <c r="AF849" s="858"/>
      <c r="AG849" s="858"/>
      <c r="AH849" s="858"/>
      <c r="AI849" s="858"/>
      <c r="AJ849" s="858"/>
    </row>
    <row r="850" ht="15.75" customHeight="1">
      <c r="A850" s="576"/>
      <c r="B850" s="2"/>
      <c r="C850" s="2"/>
      <c r="D850" s="668"/>
      <c r="E850" s="2"/>
      <c r="F850" s="2"/>
      <c r="G850" s="2"/>
      <c r="H850" s="2"/>
      <c r="I850" s="2"/>
      <c r="J850" s="2"/>
      <c r="K850" s="2"/>
      <c r="L850" s="2"/>
      <c r="M850" s="667"/>
      <c r="N850" s="2"/>
      <c r="O850" s="2"/>
      <c r="P850" s="2"/>
      <c r="Q850" s="857"/>
      <c r="R850" s="858"/>
      <c r="S850" s="858"/>
      <c r="T850" s="858"/>
      <c r="U850" s="858"/>
      <c r="V850" s="858"/>
      <c r="W850" s="858"/>
      <c r="X850" s="858"/>
      <c r="Y850" s="858"/>
      <c r="Z850" s="858"/>
      <c r="AA850" s="858"/>
      <c r="AB850" s="858"/>
      <c r="AC850" s="858"/>
      <c r="AD850" s="858"/>
      <c r="AE850" s="858"/>
      <c r="AF850" s="858"/>
      <c r="AG850" s="858"/>
      <c r="AH850" s="858"/>
      <c r="AI850" s="858"/>
      <c r="AJ850" s="858"/>
    </row>
    <row r="851" ht="15.75" customHeight="1">
      <c r="A851" s="576"/>
      <c r="B851" s="2"/>
      <c r="C851" s="2"/>
      <c r="D851" s="668"/>
      <c r="E851" s="2"/>
      <c r="F851" s="2"/>
      <c r="G851" s="2"/>
      <c r="H851" s="2"/>
      <c r="I851" s="2"/>
      <c r="J851" s="2"/>
      <c r="K851" s="2"/>
      <c r="L851" s="2"/>
      <c r="M851" s="667"/>
      <c r="N851" s="2"/>
      <c r="O851" s="2"/>
      <c r="P851" s="2"/>
      <c r="Q851" s="857"/>
      <c r="R851" s="858"/>
      <c r="S851" s="858"/>
      <c r="T851" s="858"/>
      <c r="U851" s="858"/>
      <c r="V851" s="858"/>
      <c r="W851" s="858"/>
      <c r="X851" s="858"/>
      <c r="Y851" s="858"/>
      <c r="Z851" s="858"/>
      <c r="AA851" s="858"/>
      <c r="AB851" s="858"/>
      <c r="AC851" s="858"/>
      <c r="AD851" s="858"/>
      <c r="AE851" s="858"/>
      <c r="AF851" s="858"/>
      <c r="AG851" s="858"/>
      <c r="AH851" s="858"/>
      <c r="AI851" s="858"/>
      <c r="AJ851" s="858"/>
    </row>
    <row r="852" ht="15.75" customHeight="1">
      <c r="A852" s="576"/>
      <c r="B852" s="2"/>
      <c r="C852" s="2"/>
      <c r="D852" s="668"/>
      <c r="E852" s="2"/>
      <c r="F852" s="2"/>
      <c r="G852" s="2"/>
      <c r="H852" s="2"/>
      <c r="I852" s="2"/>
      <c r="J852" s="2"/>
      <c r="K852" s="2"/>
      <c r="L852" s="2"/>
      <c r="M852" s="667"/>
      <c r="N852" s="2"/>
      <c r="O852" s="2"/>
      <c r="P852" s="2"/>
      <c r="Q852" s="857"/>
      <c r="R852" s="858"/>
      <c r="S852" s="858"/>
      <c r="T852" s="858"/>
      <c r="U852" s="858"/>
      <c r="V852" s="858"/>
      <c r="W852" s="858"/>
      <c r="X852" s="858"/>
      <c r="Y852" s="858"/>
      <c r="Z852" s="858"/>
      <c r="AA852" s="858"/>
      <c r="AB852" s="858"/>
      <c r="AC852" s="858"/>
      <c r="AD852" s="858"/>
      <c r="AE852" s="858"/>
      <c r="AF852" s="858"/>
      <c r="AG852" s="858"/>
      <c r="AH852" s="858"/>
      <c r="AI852" s="858"/>
      <c r="AJ852" s="858"/>
    </row>
    <row r="853" ht="15.75" customHeight="1">
      <c r="A853" s="576"/>
      <c r="B853" s="2"/>
      <c r="C853" s="2"/>
      <c r="D853" s="668"/>
      <c r="E853" s="2"/>
      <c r="F853" s="2"/>
      <c r="G853" s="2"/>
      <c r="H853" s="2"/>
      <c r="I853" s="2"/>
      <c r="J853" s="2"/>
      <c r="K853" s="2"/>
      <c r="L853" s="2"/>
      <c r="M853" s="667"/>
      <c r="N853" s="2"/>
      <c r="O853" s="2"/>
      <c r="P853" s="2"/>
      <c r="Q853" s="857"/>
      <c r="R853" s="858"/>
      <c r="S853" s="858"/>
      <c r="T853" s="858"/>
      <c r="U853" s="858"/>
      <c r="V853" s="858"/>
      <c r="W853" s="858"/>
      <c r="X853" s="858"/>
      <c r="Y853" s="858"/>
      <c r="Z853" s="858"/>
      <c r="AA853" s="858"/>
      <c r="AB853" s="858"/>
      <c r="AC853" s="858"/>
      <c r="AD853" s="858"/>
      <c r="AE853" s="858"/>
      <c r="AF853" s="858"/>
      <c r="AG853" s="858"/>
      <c r="AH853" s="858"/>
      <c r="AI853" s="858"/>
      <c r="AJ853" s="858"/>
    </row>
    <row r="854" ht="15.75" customHeight="1">
      <c r="A854" s="576"/>
      <c r="B854" s="2"/>
      <c r="C854" s="2"/>
      <c r="D854" s="668"/>
      <c r="E854" s="2"/>
      <c r="F854" s="2"/>
      <c r="G854" s="2"/>
      <c r="H854" s="2"/>
      <c r="I854" s="2"/>
      <c r="J854" s="2"/>
      <c r="K854" s="2"/>
      <c r="L854" s="2"/>
      <c r="M854" s="667"/>
      <c r="N854" s="2"/>
      <c r="O854" s="2"/>
      <c r="P854" s="2"/>
      <c r="Q854" s="857"/>
      <c r="R854" s="858"/>
      <c r="S854" s="858"/>
      <c r="T854" s="858"/>
      <c r="U854" s="858"/>
      <c r="V854" s="858"/>
      <c r="W854" s="858"/>
      <c r="X854" s="858"/>
      <c r="Y854" s="858"/>
      <c r="Z854" s="858"/>
      <c r="AA854" s="858"/>
      <c r="AB854" s="858"/>
      <c r="AC854" s="858"/>
      <c r="AD854" s="858"/>
      <c r="AE854" s="858"/>
      <c r="AF854" s="858"/>
      <c r="AG854" s="858"/>
      <c r="AH854" s="858"/>
      <c r="AI854" s="858"/>
      <c r="AJ854" s="858"/>
    </row>
    <row r="855" ht="15.75" customHeight="1">
      <c r="A855" s="576"/>
      <c r="B855" s="2"/>
      <c r="C855" s="2"/>
      <c r="D855" s="668"/>
      <c r="E855" s="2"/>
      <c r="F855" s="2"/>
      <c r="G855" s="2"/>
      <c r="H855" s="2"/>
      <c r="I855" s="2"/>
      <c r="J855" s="2"/>
      <c r="K855" s="2"/>
      <c r="L855" s="2"/>
      <c r="M855" s="667"/>
      <c r="N855" s="2"/>
      <c r="O855" s="2"/>
      <c r="P855" s="2"/>
      <c r="Q855" s="857"/>
      <c r="R855" s="858"/>
      <c r="S855" s="858"/>
      <c r="T855" s="858"/>
      <c r="U855" s="858"/>
      <c r="V855" s="858"/>
      <c r="W855" s="858"/>
      <c r="X855" s="858"/>
      <c r="Y855" s="858"/>
      <c r="Z855" s="858"/>
      <c r="AA855" s="858"/>
      <c r="AB855" s="858"/>
      <c r="AC855" s="858"/>
      <c r="AD855" s="858"/>
      <c r="AE855" s="858"/>
      <c r="AF855" s="858"/>
      <c r="AG855" s="858"/>
      <c r="AH855" s="858"/>
      <c r="AI855" s="858"/>
      <c r="AJ855" s="858"/>
    </row>
    <row r="856" ht="15.75" customHeight="1">
      <c r="A856" s="576"/>
      <c r="B856" s="2"/>
      <c r="C856" s="2"/>
      <c r="D856" s="668"/>
      <c r="E856" s="2"/>
      <c r="F856" s="2"/>
      <c r="G856" s="2"/>
      <c r="H856" s="2"/>
      <c r="I856" s="2"/>
      <c r="J856" s="2"/>
      <c r="K856" s="2"/>
      <c r="L856" s="2"/>
      <c r="M856" s="667"/>
      <c r="N856" s="2"/>
      <c r="O856" s="2"/>
      <c r="P856" s="2"/>
      <c r="Q856" s="857"/>
      <c r="R856" s="858"/>
      <c r="S856" s="858"/>
      <c r="T856" s="858"/>
      <c r="U856" s="858"/>
      <c r="V856" s="858"/>
      <c r="W856" s="858"/>
      <c r="X856" s="858"/>
      <c r="Y856" s="858"/>
      <c r="Z856" s="858"/>
      <c r="AA856" s="858"/>
      <c r="AB856" s="858"/>
      <c r="AC856" s="858"/>
      <c r="AD856" s="858"/>
      <c r="AE856" s="858"/>
      <c r="AF856" s="858"/>
      <c r="AG856" s="858"/>
      <c r="AH856" s="858"/>
      <c r="AI856" s="858"/>
      <c r="AJ856" s="858"/>
    </row>
    <row r="857" ht="15.75" customHeight="1">
      <c r="A857" s="576"/>
      <c r="B857" s="2"/>
      <c r="C857" s="2"/>
      <c r="D857" s="668"/>
      <c r="E857" s="2"/>
      <c r="F857" s="2"/>
      <c r="G857" s="2"/>
      <c r="H857" s="2"/>
      <c r="I857" s="2"/>
      <c r="J857" s="2"/>
      <c r="K857" s="2"/>
      <c r="L857" s="2"/>
      <c r="M857" s="667"/>
      <c r="N857" s="2"/>
      <c r="O857" s="2"/>
      <c r="P857" s="2"/>
      <c r="Q857" s="857"/>
      <c r="R857" s="858"/>
      <c r="S857" s="858"/>
      <c r="T857" s="858"/>
      <c r="U857" s="858"/>
      <c r="V857" s="858"/>
      <c r="W857" s="858"/>
      <c r="X857" s="858"/>
      <c r="Y857" s="858"/>
      <c r="Z857" s="858"/>
      <c r="AA857" s="858"/>
      <c r="AB857" s="858"/>
      <c r="AC857" s="858"/>
      <c r="AD857" s="858"/>
      <c r="AE857" s="858"/>
      <c r="AF857" s="858"/>
      <c r="AG857" s="858"/>
      <c r="AH857" s="858"/>
      <c r="AI857" s="858"/>
      <c r="AJ857" s="858"/>
    </row>
    <row r="858" ht="15.75" customHeight="1">
      <c r="A858" s="576"/>
      <c r="B858" s="2"/>
      <c r="C858" s="2"/>
      <c r="D858" s="668"/>
      <c r="E858" s="2"/>
      <c r="F858" s="2"/>
      <c r="G858" s="2"/>
      <c r="H858" s="2"/>
      <c r="I858" s="2"/>
      <c r="J858" s="2"/>
      <c r="K858" s="2"/>
      <c r="L858" s="2"/>
      <c r="M858" s="667"/>
      <c r="N858" s="2"/>
      <c r="O858" s="2"/>
      <c r="P858" s="2"/>
      <c r="Q858" s="857"/>
      <c r="R858" s="858"/>
      <c r="S858" s="858"/>
      <c r="T858" s="858"/>
      <c r="U858" s="858"/>
      <c r="V858" s="858"/>
      <c r="W858" s="858"/>
      <c r="X858" s="858"/>
      <c r="Y858" s="858"/>
      <c r="Z858" s="858"/>
      <c r="AA858" s="858"/>
      <c r="AB858" s="858"/>
      <c r="AC858" s="858"/>
      <c r="AD858" s="858"/>
      <c r="AE858" s="858"/>
      <c r="AF858" s="858"/>
      <c r="AG858" s="858"/>
      <c r="AH858" s="858"/>
      <c r="AI858" s="858"/>
      <c r="AJ858" s="858"/>
    </row>
    <row r="859" ht="15.75" customHeight="1">
      <c r="A859" s="576"/>
      <c r="B859" s="2"/>
      <c r="C859" s="2"/>
      <c r="D859" s="668"/>
      <c r="E859" s="2"/>
      <c r="F859" s="2"/>
      <c r="G859" s="2"/>
      <c r="H859" s="2"/>
      <c r="I859" s="2"/>
      <c r="J859" s="2"/>
      <c r="K859" s="2"/>
      <c r="L859" s="2"/>
      <c r="M859" s="667"/>
      <c r="N859" s="2"/>
      <c r="O859" s="2"/>
      <c r="P859" s="2"/>
      <c r="Q859" s="857"/>
      <c r="R859" s="858"/>
      <c r="S859" s="858"/>
      <c r="T859" s="858"/>
      <c r="U859" s="858"/>
      <c r="V859" s="858"/>
      <c r="W859" s="858"/>
      <c r="X859" s="858"/>
      <c r="Y859" s="858"/>
      <c r="Z859" s="858"/>
      <c r="AA859" s="858"/>
      <c r="AB859" s="858"/>
      <c r="AC859" s="858"/>
      <c r="AD859" s="858"/>
      <c r="AE859" s="858"/>
      <c r="AF859" s="858"/>
      <c r="AG859" s="858"/>
      <c r="AH859" s="858"/>
      <c r="AI859" s="858"/>
      <c r="AJ859" s="858"/>
    </row>
    <row r="860" ht="15.75" customHeight="1">
      <c r="A860" s="576"/>
      <c r="B860" s="2"/>
      <c r="C860" s="2"/>
      <c r="D860" s="668"/>
      <c r="E860" s="2"/>
      <c r="F860" s="2"/>
      <c r="G860" s="2"/>
      <c r="H860" s="2"/>
      <c r="I860" s="2"/>
      <c r="J860" s="2"/>
      <c r="K860" s="2"/>
      <c r="L860" s="2"/>
      <c r="M860" s="667"/>
      <c r="N860" s="2"/>
      <c r="O860" s="2"/>
      <c r="P860" s="2"/>
      <c r="Q860" s="857"/>
      <c r="R860" s="858"/>
      <c r="S860" s="858"/>
      <c r="T860" s="858"/>
      <c r="U860" s="858"/>
      <c r="V860" s="858"/>
      <c r="W860" s="858"/>
      <c r="X860" s="858"/>
      <c r="Y860" s="858"/>
      <c r="Z860" s="858"/>
      <c r="AA860" s="858"/>
      <c r="AB860" s="858"/>
      <c r="AC860" s="858"/>
      <c r="AD860" s="858"/>
      <c r="AE860" s="858"/>
      <c r="AF860" s="858"/>
      <c r="AG860" s="858"/>
      <c r="AH860" s="858"/>
      <c r="AI860" s="858"/>
      <c r="AJ860" s="858"/>
    </row>
    <row r="861" ht="15.75" customHeight="1">
      <c r="A861" s="576"/>
      <c r="B861" s="2"/>
      <c r="C861" s="2"/>
      <c r="D861" s="668"/>
      <c r="E861" s="2"/>
      <c r="F861" s="2"/>
      <c r="G861" s="2"/>
      <c r="H861" s="2"/>
      <c r="I861" s="2"/>
      <c r="J861" s="2"/>
      <c r="K861" s="2"/>
      <c r="L861" s="2"/>
      <c r="M861" s="667"/>
      <c r="N861" s="2"/>
      <c r="O861" s="2"/>
      <c r="P861" s="2"/>
      <c r="Q861" s="857"/>
      <c r="R861" s="858"/>
      <c r="S861" s="858"/>
      <c r="T861" s="858"/>
      <c r="U861" s="858"/>
      <c r="V861" s="858"/>
      <c r="W861" s="858"/>
      <c r="X861" s="858"/>
      <c r="Y861" s="858"/>
      <c r="Z861" s="858"/>
      <c r="AA861" s="858"/>
      <c r="AB861" s="858"/>
      <c r="AC861" s="858"/>
      <c r="AD861" s="858"/>
      <c r="AE861" s="858"/>
      <c r="AF861" s="858"/>
      <c r="AG861" s="858"/>
      <c r="AH861" s="858"/>
      <c r="AI861" s="858"/>
      <c r="AJ861" s="858"/>
    </row>
    <row r="862" ht="15.75" customHeight="1">
      <c r="A862" s="576"/>
      <c r="B862" s="2"/>
      <c r="C862" s="2"/>
      <c r="D862" s="668"/>
      <c r="E862" s="2"/>
      <c r="F862" s="2"/>
      <c r="G862" s="2"/>
      <c r="H862" s="2"/>
      <c r="I862" s="2"/>
      <c r="J862" s="2"/>
      <c r="K862" s="2"/>
      <c r="L862" s="2"/>
      <c r="M862" s="667"/>
      <c r="N862" s="2"/>
      <c r="O862" s="2"/>
      <c r="P862" s="2"/>
      <c r="Q862" s="857"/>
      <c r="R862" s="858"/>
      <c r="S862" s="858"/>
      <c r="T862" s="858"/>
      <c r="U862" s="858"/>
      <c r="V862" s="858"/>
      <c r="W862" s="858"/>
      <c r="X862" s="858"/>
      <c r="Y862" s="858"/>
      <c r="Z862" s="858"/>
      <c r="AA862" s="858"/>
      <c r="AB862" s="858"/>
      <c r="AC862" s="858"/>
      <c r="AD862" s="858"/>
      <c r="AE862" s="858"/>
      <c r="AF862" s="858"/>
      <c r="AG862" s="858"/>
      <c r="AH862" s="858"/>
      <c r="AI862" s="858"/>
      <c r="AJ862" s="858"/>
    </row>
    <row r="863" ht="15.75" customHeight="1">
      <c r="A863" s="576"/>
      <c r="B863" s="2"/>
      <c r="C863" s="2"/>
      <c r="D863" s="668"/>
      <c r="E863" s="2"/>
      <c r="F863" s="2"/>
      <c r="G863" s="2"/>
      <c r="H863" s="2"/>
      <c r="I863" s="2"/>
      <c r="J863" s="2"/>
      <c r="K863" s="2"/>
      <c r="L863" s="2"/>
      <c r="M863" s="667"/>
      <c r="N863" s="2"/>
      <c r="O863" s="2"/>
      <c r="P863" s="2"/>
      <c r="Q863" s="857"/>
      <c r="R863" s="858"/>
      <c r="S863" s="858"/>
      <c r="T863" s="858"/>
      <c r="U863" s="858"/>
      <c r="V863" s="858"/>
      <c r="W863" s="858"/>
      <c r="X863" s="858"/>
      <c r="Y863" s="858"/>
      <c r="Z863" s="858"/>
      <c r="AA863" s="858"/>
      <c r="AB863" s="858"/>
      <c r="AC863" s="858"/>
      <c r="AD863" s="858"/>
      <c r="AE863" s="858"/>
      <c r="AF863" s="858"/>
      <c r="AG863" s="858"/>
      <c r="AH863" s="858"/>
      <c r="AI863" s="858"/>
      <c r="AJ863" s="858"/>
    </row>
    <row r="864" ht="15.75" customHeight="1">
      <c r="A864" s="576"/>
      <c r="B864" s="2"/>
      <c r="C864" s="2"/>
      <c r="D864" s="668"/>
      <c r="E864" s="2"/>
      <c r="F864" s="2"/>
      <c r="G864" s="2"/>
      <c r="H864" s="2"/>
      <c r="I864" s="2"/>
      <c r="J864" s="2"/>
      <c r="K864" s="2"/>
      <c r="L864" s="2"/>
      <c r="M864" s="667"/>
      <c r="N864" s="2"/>
      <c r="O864" s="2"/>
      <c r="P864" s="2"/>
      <c r="Q864" s="857"/>
      <c r="R864" s="858"/>
      <c r="S864" s="858"/>
      <c r="T864" s="858"/>
      <c r="U864" s="858"/>
      <c r="V864" s="858"/>
      <c r="W864" s="858"/>
      <c r="X864" s="858"/>
      <c r="Y864" s="858"/>
      <c r="Z864" s="858"/>
      <c r="AA864" s="858"/>
      <c r="AB864" s="858"/>
      <c r="AC864" s="858"/>
      <c r="AD864" s="858"/>
      <c r="AE864" s="858"/>
      <c r="AF864" s="858"/>
      <c r="AG864" s="858"/>
      <c r="AH864" s="858"/>
      <c r="AI864" s="858"/>
      <c r="AJ864" s="858"/>
    </row>
    <row r="865" ht="15.75" customHeight="1">
      <c r="A865" s="576"/>
      <c r="B865" s="2"/>
      <c r="C865" s="2"/>
      <c r="D865" s="668"/>
      <c r="E865" s="2"/>
      <c r="F865" s="2"/>
      <c r="G865" s="2"/>
      <c r="H865" s="2"/>
      <c r="I865" s="2"/>
      <c r="J865" s="2"/>
      <c r="K865" s="2"/>
      <c r="L865" s="2"/>
      <c r="M865" s="667"/>
      <c r="N865" s="2"/>
      <c r="O865" s="2"/>
      <c r="P865" s="2"/>
      <c r="Q865" s="857"/>
      <c r="R865" s="858"/>
      <c r="S865" s="858"/>
      <c r="T865" s="858"/>
      <c r="U865" s="858"/>
      <c r="V865" s="858"/>
      <c r="W865" s="858"/>
      <c r="X865" s="858"/>
      <c r="Y865" s="858"/>
      <c r="Z865" s="858"/>
      <c r="AA865" s="858"/>
      <c r="AB865" s="858"/>
      <c r="AC865" s="858"/>
      <c r="AD865" s="858"/>
      <c r="AE865" s="858"/>
      <c r="AF865" s="858"/>
      <c r="AG865" s="858"/>
      <c r="AH865" s="858"/>
      <c r="AI865" s="858"/>
      <c r="AJ865" s="858"/>
    </row>
    <row r="866" ht="15.75" customHeight="1">
      <c r="A866" s="576"/>
      <c r="B866" s="2"/>
      <c r="C866" s="2"/>
      <c r="D866" s="668"/>
      <c r="E866" s="2"/>
      <c r="F866" s="2"/>
      <c r="G866" s="2"/>
      <c r="H866" s="2"/>
      <c r="I866" s="2"/>
      <c r="J866" s="2"/>
      <c r="K866" s="2"/>
      <c r="L866" s="2"/>
      <c r="M866" s="667"/>
      <c r="N866" s="2"/>
      <c r="O866" s="2"/>
      <c r="P866" s="2"/>
      <c r="Q866" s="857"/>
      <c r="R866" s="858"/>
      <c r="S866" s="858"/>
      <c r="T866" s="858"/>
      <c r="U866" s="858"/>
      <c r="V866" s="858"/>
      <c r="W866" s="858"/>
      <c r="X866" s="858"/>
      <c r="Y866" s="858"/>
      <c r="Z866" s="858"/>
      <c r="AA866" s="858"/>
      <c r="AB866" s="858"/>
      <c r="AC866" s="858"/>
      <c r="AD866" s="858"/>
      <c r="AE866" s="858"/>
      <c r="AF866" s="858"/>
      <c r="AG866" s="858"/>
      <c r="AH866" s="858"/>
      <c r="AI866" s="858"/>
      <c r="AJ866" s="858"/>
    </row>
    <row r="867" ht="15.75" customHeight="1">
      <c r="A867" s="576"/>
      <c r="B867" s="2"/>
      <c r="C867" s="2"/>
      <c r="D867" s="668"/>
      <c r="E867" s="2"/>
      <c r="F867" s="2"/>
      <c r="G867" s="2"/>
      <c r="H867" s="2"/>
      <c r="I867" s="2"/>
      <c r="J867" s="2"/>
      <c r="K867" s="2"/>
      <c r="L867" s="2"/>
      <c r="M867" s="667"/>
      <c r="N867" s="2"/>
      <c r="O867" s="2"/>
      <c r="P867" s="2"/>
      <c r="Q867" s="857"/>
      <c r="R867" s="858"/>
      <c r="S867" s="858"/>
      <c r="T867" s="858"/>
      <c r="U867" s="858"/>
      <c r="V867" s="858"/>
      <c r="W867" s="858"/>
      <c r="X867" s="858"/>
      <c r="Y867" s="858"/>
      <c r="Z867" s="858"/>
      <c r="AA867" s="858"/>
      <c r="AB867" s="858"/>
      <c r="AC867" s="858"/>
      <c r="AD867" s="858"/>
      <c r="AE867" s="858"/>
      <c r="AF867" s="858"/>
      <c r="AG867" s="858"/>
      <c r="AH867" s="858"/>
      <c r="AI867" s="858"/>
      <c r="AJ867" s="858"/>
    </row>
    <row r="868" ht="15.75" customHeight="1">
      <c r="A868" s="576"/>
      <c r="B868" s="2"/>
      <c r="C868" s="2"/>
      <c r="D868" s="668"/>
      <c r="E868" s="2"/>
      <c r="F868" s="2"/>
      <c r="G868" s="2"/>
      <c r="H868" s="2"/>
      <c r="I868" s="2"/>
      <c r="J868" s="2"/>
      <c r="K868" s="2"/>
      <c r="L868" s="2"/>
      <c r="M868" s="667"/>
      <c r="N868" s="2"/>
      <c r="O868" s="2"/>
      <c r="P868" s="2"/>
      <c r="Q868" s="857"/>
      <c r="R868" s="858"/>
      <c r="S868" s="858"/>
      <c r="T868" s="858"/>
      <c r="U868" s="858"/>
      <c r="V868" s="858"/>
      <c r="W868" s="858"/>
      <c r="X868" s="858"/>
      <c r="Y868" s="858"/>
      <c r="Z868" s="858"/>
      <c r="AA868" s="858"/>
      <c r="AB868" s="858"/>
      <c r="AC868" s="858"/>
      <c r="AD868" s="858"/>
      <c r="AE868" s="858"/>
      <c r="AF868" s="858"/>
      <c r="AG868" s="858"/>
      <c r="AH868" s="858"/>
      <c r="AI868" s="858"/>
      <c r="AJ868" s="858"/>
    </row>
    <row r="869" ht="15.75" customHeight="1">
      <c r="A869" s="576"/>
      <c r="B869" s="2"/>
      <c r="C869" s="2"/>
      <c r="D869" s="668"/>
      <c r="E869" s="2"/>
      <c r="F869" s="2"/>
      <c r="G869" s="2"/>
      <c r="H869" s="2"/>
      <c r="I869" s="2"/>
      <c r="J869" s="2"/>
      <c r="K869" s="2"/>
      <c r="L869" s="2"/>
      <c r="M869" s="667"/>
      <c r="N869" s="2"/>
      <c r="O869" s="2"/>
      <c r="P869" s="2"/>
      <c r="Q869" s="857"/>
      <c r="R869" s="858"/>
      <c r="S869" s="858"/>
      <c r="T869" s="858"/>
      <c r="U869" s="858"/>
      <c r="V869" s="858"/>
      <c r="W869" s="858"/>
      <c r="X869" s="858"/>
      <c r="Y869" s="858"/>
      <c r="Z869" s="858"/>
      <c r="AA869" s="858"/>
      <c r="AB869" s="858"/>
      <c r="AC869" s="858"/>
      <c r="AD869" s="858"/>
      <c r="AE869" s="858"/>
      <c r="AF869" s="858"/>
      <c r="AG869" s="858"/>
      <c r="AH869" s="858"/>
      <c r="AI869" s="858"/>
      <c r="AJ869" s="858"/>
    </row>
    <row r="870" ht="15.75" customHeight="1">
      <c r="A870" s="576"/>
      <c r="B870" s="2"/>
      <c r="C870" s="2"/>
      <c r="D870" s="668"/>
      <c r="E870" s="2"/>
      <c r="F870" s="2"/>
      <c r="G870" s="2"/>
      <c r="H870" s="2"/>
      <c r="I870" s="2"/>
      <c r="J870" s="2"/>
      <c r="K870" s="2"/>
      <c r="L870" s="2"/>
      <c r="M870" s="667"/>
      <c r="N870" s="2"/>
      <c r="O870" s="2"/>
      <c r="P870" s="2"/>
      <c r="Q870" s="857"/>
      <c r="R870" s="858"/>
      <c r="S870" s="858"/>
      <c r="T870" s="858"/>
      <c r="U870" s="858"/>
      <c r="V870" s="858"/>
      <c r="W870" s="858"/>
      <c r="X870" s="858"/>
      <c r="Y870" s="858"/>
      <c r="Z870" s="858"/>
      <c r="AA870" s="858"/>
      <c r="AB870" s="858"/>
      <c r="AC870" s="858"/>
      <c r="AD870" s="858"/>
      <c r="AE870" s="858"/>
      <c r="AF870" s="858"/>
      <c r="AG870" s="858"/>
      <c r="AH870" s="858"/>
      <c r="AI870" s="858"/>
      <c r="AJ870" s="858"/>
    </row>
    <row r="871" ht="15.75" customHeight="1">
      <c r="A871" s="576"/>
      <c r="B871" s="2"/>
      <c r="C871" s="2"/>
      <c r="D871" s="668"/>
      <c r="E871" s="2"/>
      <c r="F871" s="2"/>
      <c r="G871" s="2"/>
      <c r="H871" s="2"/>
      <c r="I871" s="2"/>
      <c r="J871" s="2"/>
      <c r="K871" s="2"/>
      <c r="L871" s="2"/>
      <c r="M871" s="667"/>
      <c r="N871" s="2"/>
      <c r="O871" s="2"/>
      <c r="P871" s="2"/>
      <c r="Q871" s="857"/>
      <c r="R871" s="858"/>
      <c r="S871" s="858"/>
      <c r="T871" s="858"/>
      <c r="U871" s="858"/>
      <c r="V871" s="858"/>
      <c r="W871" s="858"/>
      <c r="X871" s="858"/>
      <c r="Y871" s="858"/>
      <c r="Z871" s="858"/>
      <c r="AA871" s="858"/>
      <c r="AB871" s="858"/>
      <c r="AC871" s="858"/>
      <c r="AD871" s="858"/>
      <c r="AE871" s="858"/>
      <c r="AF871" s="858"/>
      <c r="AG871" s="858"/>
      <c r="AH871" s="858"/>
      <c r="AI871" s="858"/>
      <c r="AJ871" s="858"/>
    </row>
    <row r="872" ht="15.75" customHeight="1">
      <c r="A872" s="576"/>
      <c r="B872" s="2"/>
      <c r="C872" s="2"/>
      <c r="D872" s="668"/>
      <c r="E872" s="2"/>
      <c r="F872" s="2"/>
      <c r="G872" s="2"/>
      <c r="H872" s="2"/>
      <c r="I872" s="2"/>
      <c r="J872" s="2"/>
      <c r="K872" s="2"/>
      <c r="L872" s="2"/>
      <c r="M872" s="667"/>
      <c r="N872" s="2"/>
      <c r="O872" s="2"/>
      <c r="P872" s="2"/>
      <c r="Q872" s="857"/>
      <c r="R872" s="858"/>
      <c r="S872" s="858"/>
      <c r="T872" s="858"/>
      <c r="U872" s="858"/>
      <c r="V872" s="858"/>
      <c r="W872" s="858"/>
      <c r="X872" s="858"/>
      <c r="Y872" s="858"/>
      <c r="Z872" s="858"/>
      <c r="AA872" s="858"/>
      <c r="AB872" s="858"/>
      <c r="AC872" s="858"/>
      <c r="AD872" s="858"/>
      <c r="AE872" s="858"/>
      <c r="AF872" s="858"/>
      <c r="AG872" s="858"/>
      <c r="AH872" s="858"/>
      <c r="AI872" s="858"/>
      <c r="AJ872" s="858"/>
    </row>
    <row r="873" ht="15.75" customHeight="1">
      <c r="A873" s="576"/>
      <c r="B873" s="2"/>
      <c r="C873" s="2"/>
      <c r="D873" s="668"/>
      <c r="E873" s="2"/>
      <c r="F873" s="2"/>
      <c r="G873" s="2"/>
      <c r="H873" s="2"/>
      <c r="I873" s="2"/>
      <c r="J873" s="2"/>
      <c r="K873" s="2"/>
      <c r="L873" s="2"/>
      <c r="M873" s="667"/>
      <c r="N873" s="2"/>
      <c r="O873" s="2"/>
      <c r="P873" s="2"/>
      <c r="Q873" s="857"/>
      <c r="R873" s="858"/>
      <c r="S873" s="858"/>
      <c r="T873" s="858"/>
      <c r="U873" s="858"/>
      <c r="V873" s="858"/>
      <c r="W873" s="858"/>
      <c r="X873" s="858"/>
      <c r="Y873" s="858"/>
      <c r="Z873" s="858"/>
      <c r="AA873" s="858"/>
      <c r="AB873" s="858"/>
      <c r="AC873" s="858"/>
      <c r="AD873" s="858"/>
      <c r="AE873" s="858"/>
      <c r="AF873" s="858"/>
      <c r="AG873" s="858"/>
      <c r="AH873" s="858"/>
      <c r="AI873" s="858"/>
      <c r="AJ873" s="858"/>
    </row>
    <row r="874" ht="15.75" customHeight="1">
      <c r="A874" s="576"/>
      <c r="B874" s="2"/>
      <c r="C874" s="2"/>
      <c r="D874" s="668"/>
      <c r="E874" s="2"/>
      <c r="F874" s="2"/>
      <c r="G874" s="2"/>
      <c r="H874" s="2"/>
      <c r="I874" s="2"/>
      <c r="J874" s="2"/>
      <c r="K874" s="2"/>
      <c r="L874" s="2"/>
      <c r="M874" s="667"/>
      <c r="N874" s="2"/>
      <c r="O874" s="2"/>
      <c r="P874" s="2"/>
      <c r="Q874" s="857"/>
      <c r="R874" s="858"/>
      <c r="S874" s="858"/>
      <c r="T874" s="858"/>
      <c r="U874" s="858"/>
      <c r="V874" s="858"/>
      <c r="W874" s="858"/>
      <c r="X874" s="858"/>
      <c r="Y874" s="858"/>
      <c r="Z874" s="858"/>
      <c r="AA874" s="858"/>
      <c r="AB874" s="858"/>
      <c r="AC874" s="858"/>
      <c r="AD874" s="858"/>
      <c r="AE874" s="858"/>
      <c r="AF874" s="858"/>
      <c r="AG874" s="858"/>
      <c r="AH874" s="858"/>
      <c r="AI874" s="858"/>
      <c r="AJ874" s="858"/>
    </row>
    <row r="875" ht="15.75" customHeight="1">
      <c r="A875" s="576"/>
      <c r="B875" s="2"/>
      <c r="C875" s="2"/>
      <c r="D875" s="668"/>
      <c r="E875" s="2"/>
      <c r="F875" s="2"/>
      <c r="G875" s="2"/>
      <c r="H875" s="2"/>
      <c r="I875" s="2"/>
      <c r="J875" s="2"/>
      <c r="K875" s="2"/>
      <c r="L875" s="2"/>
      <c r="M875" s="667"/>
      <c r="N875" s="2"/>
      <c r="O875" s="2"/>
      <c r="P875" s="2"/>
      <c r="Q875" s="857"/>
      <c r="R875" s="858"/>
      <c r="S875" s="858"/>
      <c r="T875" s="858"/>
      <c r="U875" s="858"/>
      <c r="V875" s="858"/>
      <c r="W875" s="858"/>
      <c r="X875" s="858"/>
      <c r="Y875" s="858"/>
      <c r="Z875" s="858"/>
      <c r="AA875" s="858"/>
      <c r="AB875" s="858"/>
      <c r="AC875" s="858"/>
      <c r="AD875" s="858"/>
      <c r="AE875" s="858"/>
      <c r="AF875" s="858"/>
      <c r="AG875" s="858"/>
      <c r="AH875" s="858"/>
      <c r="AI875" s="858"/>
      <c r="AJ875" s="858"/>
    </row>
    <row r="876" ht="15.75" customHeight="1">
      <c r="A876" s="576"/>
      <c r="B876" s="2"/>
      <c r="C876" s="2"/>
      <c r="D876" s="668"/>
      <c r="E876" s="2"/>
      <c r="F876" s="2"/>
      <c r="G876" s="2"/>
      <c r="H876" s="2"/>
      <c r="I876" s="2"/>
      <c r="J876" s="2"/>
      <c r="K876" s="2"/>
      <c r="L876" s="2"/>
      <c r="M876" s="667"/>
      <c r="N876" s="2"/>
      <c r="O876" s="2"/>
      <c r="P876" s="2"/>
      <c r="Q876" s="857"/>
      <c r="R876" s="858"/>
      <c r="S876" s="858"/>
      <c r="T876" s="858"/>
      <c r="U876" s="858"/>
      <c r="V876" s="858"/>
      <c r="W876" s="858"/>
      <c r="X876" s="858"/>
      <c r="Y876" s="858"/>
      <c r="Z876" s="858"/>
      <c r="AA876" s="858"/>
      <c r="AB876" s="858"/>
      <c r="AC876" s="858"/>
      <c r="AD876" s="858"/>
      <c r="AE876" s="858"/>
      <c r="AF876" s="858"/>
      <c r="AG876" s="858"/>
      <c r="AH876" s="858"/>
      <c r="AI876" s="858"/>
      <c r="AJ876" s="858"/>
    </row>
    <row r="877" ht="15.75" customHeight="1">
      <c r="A877" s="576"/>
      <c r="B877" s="2"/>
      <c r="C877" s="2"/>
      <c r="D877" s="668"/>
      <c r="E877" s="2"/>
      <c r="F877" s="2"/>
      <c r="G877" s="2"/>
      <c r="H877" s="2"/>
      <c r="I877" s="2"/>
      <c r="J877" s="2"/>
      <c r="K877" s="2"/>
      <c r="L877" s="2"/>
      <c r="M877" s="667"/>
      <c r="N877" s="2"/>
      <c r="O877" s="2"/>
      <c r="P877" s="2"/>
      <c r="Q877" s="857"/>
      <c r="R877" s="858"/>
      <c r="S877" s="858"/>
      <c r="T877" s="858"/>
      <c r="U877" s="858"/>
      <c r="V877" s="858"/>
      <c r="W877" s="858"/>
      <c r="X877" s="858"/>
      <c r="Y877" s="858"/>
      <c r="Z877" s="858"/>
      <c r="AA877" s="858"/>
      <c r="AB877" s="858"/>
      <c r="AC877" s="858"/>
      <c r="AD877" s="858"/>
      <c r="AE877" s="858"/>
      <c r="AF877" s="858"/>
      <c r="AG877" s="858"/>
      <c r="AH877" s="858"/>
      <c r="AI877" s="858"/>
      <c r="AJ877" s="858"/>
    </row>
    <row r="878" ht="15.75" customHeight="1">
      <c r="A878" s="576"/>
      <c r="B878" s="2"/>
      <c r="C878" s="2"/>
      <c r="D878" s="668"/>
      <c r="E878" s="2"/>
      <c r="F878" s="2"/>
      <c r="G878" s="2"/>
      <c r="H878" s="2"/>
      <c r="I878" s="2"/>
      <c r="J878" s="2"/>
      <c r="K878" s="2"/>
      <c r="L878" s="2"/>
      <c r="M878" s="667"/>
      <c r="N878" s="2"/>
      <c r="O878" s="2"/>
      <c r="P878" s="2"/>
      <c r="Q878" s="857"/>
      <c r="R878" s="858"/>
      <c r="S878" s="858"/>
      <c r="T878" s="858"/>
      <c r="U878" s="858"/>
      <c r="V878" s="858"/>
      <c r="W878" s="858"/>
      <c r="X878" s="858"/>
      <c r="Y878" s="858"/>
      <c r="Z878" s="858"/>
      <c r="AA878" s="858"/>
      <c r="AB878" s="858"/>
      <c r="AC878" s="858"/>
      <c r="AD878" s="858"/>
      <c r="AE878" s="858"/>
      <c r="AF878" s="858"/>
      <c r="AG878" s="858"/>
      <c r="AH878" s="858"/>
      <c r="AI878" s="858"/>
      <c r="AJ878" s="858"/>
    </row>
    <row r="879" ht="15.75" customHeight="1">
      <c r="A879" s="576"/>
      <c r="B879" s="2"/>
      <c r="C879" s="2"/>
      <c r="D879" s="668"/>
      <c r="E879" s="2"/>
      <c r="F879" s="2"/>
      <c r="G879" s="2"/>
      <c r="H879" s="2"/>
      <c r="I879" s="2"/>
      <c r="J879" s="2"/>
      <c r="K879" s="2"/>
      <c r="L879" s="2"/>
      <c r="M879" s="667"/>
      <c r="N879" s="2"/>
      <c r="O879" s="2"/>
      <c r="P879" s="2"/>
      <c r="Q879" s="857"/>
      <c r="R879" s="858"/>
      <c r="S879" s="858"/>
      <c r="T879" s="858"/>
      <c r="U879" s="858"/>
      <c r="V879" s="858"/>
      <c r="W879" s="858"/>
      <c r="X879" s="858"/>
      <c r="Y879" s="858"/>
      <c r="Z879" s="858"/>
      <c r="AA879" s="858"/>
      <c r="AB879" s="858"/>
      <c r="AC879" s="858"/>
      <c r="AD879" s="858"/>
      <c r="AE879" s="858"/>
      <c r="AF879" s="858"/>
      <c r="AG879" s="858"/>
      <c r="AH879" s="858"/>
      <c r="AI879" s="858"/>
      <c r="AJ879" s="858"/>
    </row>
    <row r="880" ht="15.75" customHeight="1">
      <c r="A880" s="576"/>
      <c r="B880" s="2"/>
      <c r="C880" s="2"/>
      <c r="D880" s="668"/>
      <c r="E880" s="2"/>
      <c r="F880" s="2"/>
      <c r="G880" s="2"/>
      <c r="H880" s="2"/>
      <c r="I880" s="2"/>
      <c r="J880" s="2"/>
      <c r="K880" s="2"/>
      <c r="L880" s="2"/>
      <c r="M880" s="667"/>
      <c r="N880" s="2"/>
      <c r="O880" s="2"/>
      <c r="P880" s="2"/>
      <c r="Q880" s="857"/>
      <c r="R880" s="858"/>
      <c r="S880" s="858"/>
      <c r="T880" s="858"/>
      <c r="U880" s="858"/>
      <c r="V880" s="858"/>
      <c r="W880" s="858"/>
      <c r="X880" s="858"/>
      <c r="Y880" s="858"/>
      <c r="Z880" s="858"/>
      <c r="AA880" s="858"/>
      <c r="AB880" s="858"/>
      <c r="AC880" s="858"/>
      <c r="AD880" s="858"/>
      <c r="AE880" s="858"/>
      <c r="AF880" s="858"/>
      <c r="AG880" s="858"/>
      <c r="AH880" s="858"/>
      <c r="AI880" s="858"/>
      <c r="AJ880" s="858"/>
    </row>
    <row r="881" ht="15.75" customHeight="1">
      <c r="A881" s="576"/>
      <c r="B881" s="2"/>
      <c r="C881" s="2"/>
      <c r="D881" s="668"/>
      <c r="E881" s="2"/>
      <c r="F881" s="2"/>
      <c r="G881" s="2"/>
      <c r="H881" s="2"/>
      <c r="I881" s="2"/>
      <c r="J881" s="2"/>
      <c r="K881" s="2"/>
      <c r="L881" s="2"/>
      <c r="M881" s="667"/>
      <c r="N881" s="2"/>
      <c r="O881" s="2"/>
      <c r="P881" s="2"/>
      <c r="Q881" s="857"/>
      <c r="R881" s="858"/>
      <c r="S881" s="858"/>
      <c r="T881" s="858"/>
      <c r="U881" s="858"/>
      <c r="V881" s="858"/>
      <c r="W881" s="858"/>
      <c r="X881" s="858"/>
      <c r="Y881" s="858"/>
      <c r="Z881" s="858"/>
      <c r="AA881" s="858"/>
      <c r="AB881" s="858"/>
      <c r="AC881" s="858"/>
      <c r="AD881" s="858"/>
      <c r="AE881" s="858"/>
      <c r="AF881" s="858"/>
      <c r="AG881" s="858"/>
      <c r="AH881" s="858"/>
      <c r="AI881" s="858"/>
      <c r="AJ881" s="858"/>
    </row>
    <row r="882" ht="15.75" customHeight="1">
      <c r="A882" s="576"/>
      <c r="B882" s="2"/>
      <c r="C882" s="2"/>
      <c r="D882" s="668"/>
      <c r="E882" s="2"/>
      <c r="F882" s="2"/>
      <c r="G882" s="2"/>
      <c r="H882" s="2"/>
      <c r="I882" s="2"/>
      <c r="J882" s="2"/>
      <c r="K882" s="2"/>
      <c r="L882" s="2"/>
      <c r="M882" s="667"/>
      <c r="N882" s="2"/>
      <c r="O882" s="2"/>
      <c r="P882" s="2"/>
      <c r="Q882" s="857"/>
      <c r="R882" s="858"/>
      <c r="S882" s="858"/>
      <c r="T882" s="858"/>
      <c r="U882" s="858"/>
      <c r="V882" s="858"/>
      <c r="W882" s="858"/>
      <c r="X882" s="858"/>
      <c r="Y882" s="858"/>
      <c r="Z882" s="858"/>
      <c r="AA882" s="858"/>
      <c r="AB882" s="858"/>
      <c r="AC882" s="858"/>
      <c r="AD882" s="858"/>
      <c r="AE882" s="858"/>
      <c r="AF882" s="858"/>
      <c r="AG882" s="858"/>
      <c r="AH882" s="858"/>
      <c r="AI882" s="858"/>
      <c r="AJ882" s="858"/>
    </row>
    <row r="883" ht="15.75" customHeight="1">
      <c r="A883" s="576"/>
      <c r="B883" s="2"/>
      <c r="C883" s="2"/>
      <c r="D883" s="668"/>
      <c r="E883" s="2"/>
      <c r="F883" s="2"/>
      <c r="G883" s="2"/>
      <c r="H883" s="2"/>
      <c r="I883" s="2"/>
      <c r="J883" s="2"/>
      <c r="K883" s="2"/>
      <c r="L883" s="2"/>
      <c r="M883" s="667"/>
      <c r="N883" s="2"/>
      <c r="O883" s="2"/>
      <c r="P883" s="2"/>
      <c r="Q883" s="857"/>
      <c r="R883" s="858"/>
      <c r="S883" s="858"/>
      <c r="T883" s="858"/>
      <c r="U883" s="858"/>
      <c r="V883" s="858"/>
      <c r="W883" s="858"/>
      <c r="X883" s="858"/>
      <c r="Y883" s="858"/>
      <c r="Z883" s="858"/>
      <c r="AA883" s="858"/>
      <c r="AB883" s="858"/>
      <c r="AC883" s="858"/>
      <c r="AD883" s="858"/>
      <c r="AE883" s="858"/>
      <c r="AF883" s="858"/>
      <c r="AG883" s="858"/>
      <c r="AH883" s="858"/>
      <c r="AI883" s="858"/>
      <c r="AJ883" s="858"/>
    </row>
    <row r="884" ht="15.75" customHeight="1">
      <c r="A884" s="576"/>
      <c r="B884" s="2"/>
      <c r="C884" s="2"/>
      <c r="D884" s="668"/>
      <c r="E884" s="2"/>
      <c r="F884" s="2"/>
      <c r="G884" s="2"/>
      <c r="H884" s="2"/>
      <c r="I884" s="2"/>
      <c r="J884" s="2"/>
      <c r="K884" s="2"/>
      <c r="L884" s="2"/>
      <c r="M884" s="667"/>
      <c r="N884" s="2"/>
      <c r="O884" s="2"/>
      <c r="P884" s="2"/>
      <c r="Q884" s="857"/>
      <c r="R884" s="858"/>
      <c r="S884" s="858"/>
      <c r="T884" s="858"/>
      <c r="U884" s="858"/>
      <c r="V884" s="858"/>
      <c r="W884" s="858"/>
      <c r="X884" s="858"/>
      <c r="Y884" s="858"/>
      <c r="Z884" s="858"/>
      <c r="AA884" s="858"/>
      <c r="AB884" s="858"/>
      <c r="AC884" s="858"/>
      <c r="AD884" s="858"/>
      <c r="AE884" s="858"/>
      <c r="AF884" s="858"/>
      <c r="AG884" s="858"/>
      <c r="AH884" s="858"/>
      <c r="AI884" s="858"/>
      <c r="AJ884" s="858"/>
    </row>
    <row r="885" ht="15.75" customHeight="1">
      <c r="A885" s="576"/>
      <c r="B885" s="2"/>
      <c r="C885" s="2"/>
      <c r="D885" s="668"/>
      <c r="E885" s="2"/>
      <c r="F885" s="2"/>
      <c r="G885" s="2"/>
      <c r="H885" s="2"/>
      <c r="I885" s="2"/>
      <c r="J885" s="2"/>
      <c r="K885" s="2"/>
      <c r="L885" s="2"/>
      <c r="M885" s="667"/>
      <c r="N885" s="2"/>
      <c r="O885" s="2"/>
      <c r="P885" s="2"/>
      <c r="Q885" s="857"/>
      <c r="R885" s="858"/>
      <c r="S885" s="858"/>
      <c r="T885" s="858"/>
      <c r="U885" s="858"/>
      <c r="V885" s="858"/>
      <c r="W885" s="858"/>
      <c r="X885" s="858"/>
      <c r="Y885" s="858"/>
      <c r="Z885" s="858"/>
      <c r="AA885" s="858"/>
      <c r="AB885" s="858"/>
      <c r="AC885" s="858"/>
      <c r="AD885" s="858"/>
      <c r="AE885" s="858"/>
      <c r="AF885" s="858"/>
      <c r="AG885" s="858"/>
      <c r="AH885" s="858"/>
      <c r="AI885" s="858"/>
      <c r="AJ885" s="858"/>
    </row>
    <row r="886" ht="15.75" customHeight="1">
      <c r="A886" s="576"/>
      <c r="B886" s="2"/>
      <c r="C886" s="2"/>
      <c r="D886" s="668"/>
      <c r="E886" s="2"/>
      <c r="F886" s="2"/>
      <c r="G886" s="2"/>
      <c r="H886" s="2"/>
      <c r="I886" s="2"/>
      <c r="J886" s="2"/>
      <c r="K886" s="2"/>
      <c r="L886" s="2"/>
      <c r="M886" s="667"/>
      <c r="N886" s="2"/>
      <c r="O886" s="2"/>
      <c r="P886" s="2"/>
      <c r="Q886" s="857"/>
      <c r="R886" s="858"/>
      <c r="S886" s="858"/>
      <c r="T886" s="858"/>
      <c r="U886" s="858"/>
      <c r="V886" s="858"/>
      <c r="W886" s="858"/>
      <c r="X886" s="858"/>
      <c r="Y886" s="858"/>
      <c r="Z886" s="858"/>
      <c r="AA886" s="858"/>
      <c r="AB886" s="858"/>
      <c r="AC886" s="858"/>
      <c r="AD886" s="858"/>
      <c r="AE886" s="858"/>
      <c r="AF886" s="858"/>
      <c r="AG886" s="858"/>
      <c r="AH886" s="858"/>
      <c r="AI886" s="858"/>
      <c r="AJ886" s="858"/>
    </row>
    <row r="887" ht="15.75" customHeight="1">
      <c r="A887" s="576"/>
      <c r="B887" s="2"/>
      <c r="C887" s="2"/>
      <c r="D887" s="668"/>
      <c r="E887" s="2"/>
      <c r="F887" s="2"/>
      <c r="G887" s="2"/>
      <c r="H887" s="2"/>
      <c r="I887" s="2"/>
      <c r="J887" s="2"/>
      <c r="K887" s="2"/>
      <c r="L887" s="2"/>
      <c r="M887" s="667"/>
      <c r="N887" s="2"/>
      <c r="O887" s="2"/>
      <c r="P887" s="2"/>
      <c r="Q887" s="857"/>
      <c r="R887" s="858"/>
      <c r="S887" s="858"/>
      <c r="T887" s="858"/>
      <c r="U887" s="858"/>
      <c r="V887" s="858"/>
      <c r="W887" s="858"/>
      <c r="X887" s="858"/>
      <c r="Y887" s="858"/>
      <c r="Z887" s="858"/>
      <c r="AA887" s="858"/>
      <c r="AB887" s="858"/>
      <c r="AC887" s="858"/>
      <c r="AD887" s="858"/>
      <c r="AE887" s="858"/>
      <c r="AF887" s="858"/>
      <c r="AG887" s="858"/>
      <c r="AH887" s="858"/>
      <c r="AI887" s="858"/>
      <c r="AJ887" s="858"/>
    </row>
    <row r="888" ht="15.75" customHeight="1">
      <c r="A888" s="576"/>
      <c r="B888" s="2"/>
      <c r="C888" s="2"/>
      <c r="D888" s="668"/>
      <c r="E888" s="2"/>
      <c r="F888" s="2"/>
      <c r="G888" s="2"/>
      <c r="H888" s="2"/>
      <c r="I888" s="2"/>
      <c r="J888" s="2"/>
      <c r="K888" s="2"/>
      <c r="L888" s="2"/>
      <c r="M888" s="667"/>
      <c r="N888" s="2"/>
      <c r="O888" s="2"/>
      <c r="P888" s="2"/>
      <c r="Q888" s="857"/>
      <c r="R888" s="858"/>
      <c r="S888" s="858"/>
      <c r="T888" s="858"/>
      <c r="U888" s="858"/>
      <c r="V888" s="858"/>
      <c r="W888" s="858"/>
      <c r="X888" s="858"/>
      <c r="Y888" s="858"/>
      <c r="Z888" s="858"/>
      <c r="AA888" s="858"/>
      <c r="AB888" s="858"/>
      <c r="AC888" s="858"/>
      <c r="AD888" s="858"/>
      <c r="AE888" s="858"/>
      <c r="AF888" s="858"/>
      <c r="AG888" s="858"/>
      <c r="AH888" s="858"/>
      <c r="AI888" s="858"/>
      <c r="AJ888" s="858"/>
    </row>
    <row r="889" ht="15.75" customHeight="1">
      <c r="A889" s="576"/>
      <c r="B889" s="2"/>
      <c r="C889" s="2"/>
      <c r="D889" s="668"/>
      <c r="E889" s="2"/>
      <c r="F889" s="2"/>
      <c r="G889" s="2"/>
      <c r="H889" s="2"/>
      <c r="I889" s="2"/>
      <c r="J889" s="2"/>
      <c r="K889" s="2"/>
      <c r="L889" s="2"/>
      <c r="M889" s="667"/>
      <c r="N889" s="2"/>
      <c r="O889" s="2"/>
      <c r="P889" s="2"/>
      <c r="Q889" s="857"/>
      <c r="R889" s="858"/>
      <c r="S889" s="858"/>
      <c r="T889" s="858"/>
      <c r="U889" s="858"/>
      <c r="V889" s="858"/>
      <c r="W889" s="858"/>
      <c r="X889" s="858"/>
      <c r="Y889" s="858"/>
      <c r="Z889" s="858"/>
      <c r="AA889" s="858"/>
      <c r="AB889" s="858"/>
      <c r="AC889" s="858"/>
      <c r="AD889" s="858"/>
      <c r="AE889" s="858"/>
      <c r="AF889" s="858"/>
      <c r="AG889" s="858"/>
      <c r="AH889" s="858"/>
      <c r="AI889" s="858"/>
      <c r="AJ889" s="858"/>
    </row>
    <row r="890" ht="15.75" customHeight="1">
      <c r="A890" s="576"/>
      <c r="B890" s="2"/>
      <c r="C890" s="2"/>
      <c r="D890" s="668"/>
      <c r="E890" s="2"/>
      <c r="F890" s="2"/>
      <c r="G890" s="2"/>
      <c r="H890" s="2"/>
      <c r="I890" s="2"/>
      <c r="J890" s="2"/>
      <c r="K890" s="2"/>
      <c r="L890" s="2"/>
      <c r="M890" s="667"/>
      <c r="N890" s="2"/>
      <c r="O890" s="2"/>
      <c r="P890" s="2"/>
      <c r="Q890" s="857"/>
      <c r="R890" s="858"/>
      <c r="S890" s="858"/>
      <c r="T890" s="858"/>
      <c r="U890" s="858"/>
      <c r="V890" s="858"/>
      <c r="W890" s="858"/>
      <c r="X890" s="858"/>
      <c r="Y890" s="858"/>
      <c r="Z890" s="858"/>
      <c r="AA890" s="858"/>
      <c r="AB890" s="858"/>
      <c r="AC890" s="858"/>
      <c r="AD890" s="858"/>
      <c r="AE890" s="858"/>
      <c r="AF890" s="858"/>
      <c r="AG890" s="858"/>
      <c r="AH890" s="858"/>
      <c r="AI890" s="858"/>
      <c r="AJ890" s="858"/>
    </row>
    <row r="891" ht="15.75" customHeight="1">
      <c r="A891" s="576"/>
      <c r="B891" s="2"/>
      <c r="C891" s="2"/>
      <c r="D891" s="668"/>
      <c r="E891" s="2"/>
      <c r="F891" s="2"/>
      <c r="G891" s="2"/>
      <c r="H891" s="2"/>
      <c r="I891" s="2"/>
      <c r="J891" s="2"/>
      <c r="K891" s="2"/>
      <c r="L891" s="2"/>
      <c r="M891" s="667"/>
      <c r="N891" s="2"/>
      <c r="O891" s="2"/>
      <c r="P891" s="2"/>
      <c r="Q891" s="857"/>
      <c r="R891" s="858"/>
      <c r="S891" s="858"/>
      <c r="T891" s="858"/>
      <c r="U891" s="858"/>
      <c r="V891" s="858"/>
      <c r="W891" s="858"/>
      <c r="X891" s="858"/>
      <c r="Y891" s="858"/>
      <c r="Z891" s="858"/>
      <c r="AA891" s="858"/>
      <c r="AB891" s="858"/>
      <c r="AC891" s="858"/>
      <c r="AD891" s="858"/>
      <c r="AE891" s="858"/>
      <c r="AF891" s="858"/>
      <c r="AG891" s="858"/>
      <c r="AH891" s="858"/>
      <c r="AI891" s="858"/>
      <c r="AJ891" s="858"/>
    </row>
    <row r="892" ht="15.75" customHeight="1">
      <c r="A892" s="576"/>
      <c r="B892" s="2"/>
      <c r="C892" s="2"/>
      <c r="D892" s="668"/>
      <c r="E892" s="2"/>
      <c r="F892" s="2"/>
      <c r="G892" s="2"/>
      <c r="H892" s="2"/>
      <c r="I892" s="2"/>
      <c r="J892" s="2"/>
      <c r="K892" s="2"/>
      <c r="L892" s="2"/>
      <c r="M892" s="667"/>
      <c r="N892" s="2"/>
      <c r="O892" s="2"/>
      <c r="P892" s="2"/>
      <c r="Q892" s="857"/>
      <c r="R892" s="858"/>
      <c r="S892" s="858"/>
      <c r="T892" s="858"/>
      <c r="U892" s="858"/>
      <c r="V892" s="858"/>
      <c r="W892" s="858"/>
      <c r="X892" s="858"/>
      <c r="Y892" s="858"/>
      <c r="Z892" s="858"/>
      <c r="AA892" s="858"/>
      <c r="AB892" s="858"/>
      <c r="AC892" s="858"/>
      <c r="AD892" s="858"/>
      <c r="AE892" s="858"/>
      <c r="AF892" s="858"/>
      <c r="AG892" s="858"/>
      <c r="AH892" s="858"/>
      <c r="AI892" s="858"/>
      <c r="AJ892" s="858"/>
    </row>
    <row r="893" ht="15.75" customHeight="1">
      <c r="A893" s="576"/>
      <c r="B893" s="2"/>
      <c r="C893" s="2"/>
      <c r="D893" s="668"/>
      <c r="E893" s="2"/>
      <c r="F893" s="2"/>
      <c r="G893" s="2"/>
      <c r="H893" s="2"/>
      <c r="I893" s="2"/>
      <c r="J893" s="2"/>
      <c r="K893" s="2"/>
      <c r="L893" s="2"/>
      <c r="M893" s="667"/>
      <c r="N893" s="2"/>
      <c r="O893" s="2"/>
      <c r="P893" s="2"/>
      <c r="Q893" s="857"/>
      <c r="R893" s="858"/>
      <c r="S893" s="858"/>
      <c r="T893" s="858"/>
      <c r="U893" s="858"/>
      <c r="V893" s="858"/>
      <c r="W893" s="858"/>
      <c r="X893" s="858"/>
      <c r="Y893" s="858"/>
      <c r="Z893" s="858"/>
      <c r="AA893" s="858"/>
      <c r="AB893" s="858"/>
      <c r="AC893" s="858"/>
      <c r="AD893" s="858"/>
      <c r="AE893" s="858"/>
      <c r="AF893" s="858"/>
      <c r="AG893" s="858"/>
      <c r="AH893" s="858"/>
      <c r="AI893" s="858"/>
      <c r="AJ893" s="858"/>
    </row>
    <row r="894" ht="15.75" customHeight="1">
      <c r="A894" s="576"/>
      <c r="B894" s="2"/>
      <c r="C894" s="2"/>
      <c r="D894" s="668"/>
      <c r="E894" s="2"/>
      <c r="F894" s="2"/>
      <c r="G894" s="2"/>
      <c r="H894" s="2"/>
      <c r="I894" s="2"/>
      <c r="J894" s="2"/>
      <c r="K894" s="2"/>
      <c r="L894" s="2"/>
      <c r="M894" s="667"/>
      <c r="N894" s="2"/>
      <c r="O894" s="2"/>
      <c r="P894" s="2"/>
      <c r="Q894" s="857"/>
      <c r="R894" s="858"/>
      <c r="S894" s="858"/>
      <c r="T894" s="858"/>
      <c r="U894" s="858"/>
      <c r="V894" s="858"/>
      <c r="W894" s="858"/>
      <c r="X894" s="858"/>
      <c r="Y894" s="858"/>
      <c r="Z894" s="858"/>
      <c r="AA894" s="858"/>
      <c r="AB894" s="858"/>
      <c r="AC894" s="858"/>
      <c r="AD894" s="858"/>
      <c r="AE894" s="858"/>
      <c r="AF894" s="858"/>
      <c r="AG894" s="858"/>
      <c r="AH894" s="858"/>
      <c r="AI894" s="858"/>
      <c r="AJ894" s="858"/>
    </row>
    <row r="895" ht="15.75" customHeight="1">
      <c r="A895" s="576"/>
      <c r="B895" s="2"/>
      <c r="C895" s="2"/>
      <c r="D895" s="668"/>
      <c r="E895" s="2"/>
      <c r="F895" s="2"/>
      <c r="G895" s="2"/>
      <c r="H895" s="2"/>
      <c r="I895" s="2"/>
      <c r="J895" s="2"/>
      <c r="K895" s="2"/>
      <c r="L895" s="2"/>
      <c r="M895" s="667"/>
      <c r="N895" s="2"/>
      <c r="O895" s="2"/>
      <c r="P895" s="2"/>
      <c r="Q895" s="857"/>
      <c r="R895" s="858"/>
      <c r="S895" s="858"/>
      <c r="T895" s="858"/>
      <c r="U895" s="858"/>
      <c r="V895" s="858"/>
      <c r="W895" s="858"/>
      <c r="X895" s="858"/>
      <c r="Y895" s="858"/>
      <c r="Z895" s="858"/>
      <c r="AA895" s="858"/>
      <c r="AB895" s="858"/>
      <c r="AC895" s="858"/>
      <c r="AD895" s="858"/>
      <c r="AE895" s="858"/>
      <c r="AF895" s="858"/>
      <c r="AG895" s="858"/>
      <c r="AH895" s="858"/>
      <c r="AI895" s="858"/>
      <c r="AJ895" s="858"/>
    </row>
    <row r="896" ht="15.75" customHeight="1">
      <c r="A896" s="576"/>
      <c r="B896" s="2"/>
      <c r="C896" s="2"/>
      <c r="D896" s="668"/>
      <c r="E896" s="2"/>
      <c r="F896" s="2"/>
      <c r="G896" s="2"/>
      <c r="H896" s="2"/>
      <c r="I896" s="2"/>
      <c r="J896" s="2"/>
      <c r="K896" s="2"/>
      <c r="L896" s="2"/>
      <c r="M896" s="667"/>
      <c r="N896" s="2"/>
      <c r="O896" s="2"/>
      <c r="P896" s="2"/>
      <c r="Q896" s="857"/>
      <c r="R896" s="858"/>
      <c r="S896" s="858"/>
      <c r="T896" s="858"/>
      <c r="U896" s="858"/>
      <c r="V896" s="858"/>
      <c r="W896" s="858"/>
      <c r="X896" s="858"/>
      <c r="Y896" s="858"/>
      <c r="Z896" s="858"/>
      <c r="AA896" s="858"/>
      <c r="AB896" s="858"/>
      <c r="AC896" s="858"/>
      <c r="AD896" s="858"/>
      <c r="AE896" s="858"/>
      <c r="AF896" s="858"/>
      <c r="AG896" s="858"/>
      <c r="AH896" s="858"/>
      <c r="AI896" s="858"/>
      <c r="AJ896" s="858"/>
    </row>
    <row r="897" ht="15.75" customHeight="1">
      <c r="A897" s="576"/>
      <c r="B897" s="2"/>
      <c r="C897" s="2"/>
      <c r="D897" s="668"/>
      <c r="E897" s="2"/>
      <c r="F897" s="2"/>
      <c r="G897" s="2"/>
      <c r="H897" s="2"/>
      <c r="I897" s="2"/>
      <c r="J897" s="2"/>
      <c r="K897" s="2"/>
      <c r="L897" s="2"/>
      <c r="M897" s="667"/>
      <c r="N897" s="2"/>
      <c r="O897" s="2"/>
      <c r="P897" s="2"/>
      <c r="Q897" s="857"/>
      <c r="R897" s="858"/>
      <c r="S897" s="858"/>
      <c r="T897" s="858"/>
      <c r="U897" s="858"/>
      <c r="V897" s="858"/>
      <c r="W897" s="858"/>
      <c r="X897" s="858"/>
      <c r="Y897" s="858"/>
      <c r="Z897" s="858"/>
      <c r="AA897" s="858"/>
      <c r="AB897" s="858"/>
      <c r="AC897" s="858"/>
      <c r="AD897" s="858"/>
      <c r="AE897" s="858"/>
      <c r="AF897" s="858"/>
      <c r="AG897" s="858"/>
      <c r="AH897" s="858"/>
      <c r="AI897" s="858"/>
      <c r="AJ897" s="858"/>
    </row>
    <row r="898" ht="15.75" customHeight="1">
      <c r="A898" s="576"/>
      <c r="B898" s="2"/>
      <c r="C898" s="2"/>
      <c r="D898" s="668"/>
      <c r="E898" s="2"/>
      <c r="F898" s="2"/>
      <c r="G898" s="2"/>
      <c r="H898" s="2"/>
      <c r="I898" s="2"/>
      <c r="J898" s="2"/>
      <c r="K898" s="2"/>
      <c r="L898" s="2"/>
      <c r="M898" s="667"/>
      <c r="N898" s="2"/>
      <c r="O898" s="2"/>
      <c r="P898" s="2"/>
      <c r="Q898" s="857"/>
      <c r="R898" s="858"/>
      <c r="S898" s="858"/>
      <c r="T898" s="858"/>
      <c r="U898" s="858"/>
      <c r="V898" s="858"/>
      <c r="W898" s="858"/>
      <c r="X898" s="858"/>
      <c r="Y898" s="858"/>
      <c r="Z898" s="858"/>
      <c r="AA898" s="858"/>
      <c r="AB898" s="858"/>
      <c r="AC898" s="858"/>
      <c r="AD898" s="858"/>
      <c r="AE898" s="858"/>
      <c r="AF898" s="858"/>
      <c r="AG898" s="858"/>
      <c r="AH898" s="858"/>
      <c r="AI898" s="858"/>
      <c r="AJ898" s="858"/>
    </row>
    <row r="899" ht="15.75" customHeight="1">
      <c r="A899" s="576"/>
      <c r="B899" s="2"/>
      <c r="C899" s="2"/>
      <c r="D899" s="668"/>
      <c r="E899" s="2"/>
      <c r="F899" s="2"/>
      <c r="G899" s="2"/>
      <c r="H899" s="2"/>
      <c r="I899" s="2"/>
      <c r="J899" s="2"/>
      <c r="K899" s="2"/>
      <c r="L899" s="2"/>
      <c r="M899" s="667"/>
      <c r="N899" s="2"/>
      <c r="O899" s="2"/>
      <c r="P899" s="2"/>
      <c r="Q899" s="857"/>
      <c r="R899" s="858"/>
      <c r="S899" s="858"/>
      <c r="T899" s="858"/>
      <c r="U899" s="858"/>
      <c r="V899" s="858"/>
      <c r="W899" s="858"/>
      <c r="X899" s="858"/>
      <c r="Y899" s="858"/>
      <c r="Z899" s="858"/>
      <c r="AA899" s="858"/>
      <c r="AB899" s="858"/>
      <c r="AC899" s="858"/>
      <c r="AD899" s="858"/>
      <c r="AE899" s="858"/>
      <c r="AF899" s="858"/>
      <c r="AG899" s="858"/>
      <c r="AH899" s="858"/>
      <c r="AI899" s="858"/>
      <c r="AJ899" s="858"/>
    </row>
    <row r="900" ht="15.75" customHeight="1">
      <c r="A900" s="576"/>
      <c r="B900" s="2"/>
      <c r="C900" s="2"/>
      <c r="D900" s="668"/>
      <c r="E900" s="2"/>
      <c r="F900" s="2"/>
      <c r="G900" s="2"/>
      <c r="H900" s="2"/>
      <c r="I900" s="2"/>
      <c r="J900" s="2"/>
      <c r="K900" s="2"/>
      <c r="L900" s="2"/>
      <c r="M900" s="667"/>
      <c r="N900" s="2"/>
      <c r="O900" s="2"/>
      <c r="P900" s="2"/>
      <c r="Q900" s="857"/>
      <c r="R900" s="858"/>
      <c r="S900" s="858"/>
      <c r="T900" s="858"/>
      <c r="U900" s="858"/>
      <c r="V900" s="858"/>
      <c r="W900" s="858"/>
      <c r="X900" s="858"/>
      <c r="Y900" s="858"/>
      <c r="Z900" s="858"/>
      <c r="AA900" s="858"/>
      <c r="AB900" s="858"/>
      <c r="AC900" s="858"/>
      <c r="AD900" s="858"/>
      <c r="AE900" s="858"/>
      <c r="AF900" s="858"/>
      <c r="AG900" s="858"/>
      <c r="AH900" s="858"/>
      <c r="AI900" s="858"/>
      <c r="AJ900" s="858"/>
    </row>
    <row r="901" ht="15.75" customHeight="1">
      <c r="A901" s="576"/>
      <c r="B901" s="2"/>
      <c r="C901" s="2"/>
      <c r="D901" s="668"/>
      <c r="E901" s="2"/>
      <c r="F901" s="2"/>
      <c r="G901" s="2"/>
      <c r="H901" s="2"/>
      <c r="I901" s="2"/>
      <c r="J901" s="2"/>
      <c r="K901" s="2"/>
      <c r="L901" s="2"/>
      <c r="M901" s="667"/>
      <c r="N901" s="2"/>
      <c r="O901" s="2"/>
      <c r="P901" s="2"/>
      <c r="Q901" s="857"/>
      <c r="R901" s="858"/>
      <c r="S901" s="858"/>
      <c r="T901" s="858"/>
      <c r="U901" s="858"/>
      <c r="V901" s="858"/>
      <c r="W901" s="858"/>
      <c r="X901" s="858"/>
      <c r="Y901" s="858"/>
      <c r="Z901" s="858"/>
      <c r="AA901" s="858"/>
      <c r="AB901" s="858"/>
      <c r="AC901" s="858"/>
      <c r="AD901" s="858"/>
      <c r="AE901" s="858"/>
      <c r="AF901" s="858"/>
      <c r="AG901" s="858"/>
      <c r="AH901" s="858"/>
      <c r="AI901" s="858"/>
      <c r="AJ901" s="858"/>
    </row>
    <row r="902" ht="15.75" customHeight="1">
      <c r="A902" s="576"/>
      <c r="B902" s="2"/>
      <c r="C902" s="2"/>
      <c r="D902" s="668"/>
      <c r="E902" s="2"/>
      <c r="F902" s="2"/>
      <c r="G902" s="2"/>
      <c r="H902" s="2"/>
      <c r="I902" s="2"/>
      <c r="J902" s="2"/>
      <c r="K902" s="2"/>
      <c r="L902" s="2"/>
      <c r="M902" s="667"/>
      <c r="N902" s="2"/>
      <c r="O902" s="2"/>
      <c r="P902" s="2"/>
      <c r="Q902" s="857"/>
      <c r="R902" s="858"/>
      <c r="S902" s="858"/>
      <c r="T902" s="858"/>
      <c r="U902" s="858"/>
      <c r="V902" s="858"/>
      <c r="W902" s="858"/>
      <c r="X902" s="858"/>
      <c r="Y902" s="858"/>
      <c r="Z902" s="858"/>
      <c r="AA902" s="858"/>
      <c r="AB902" s="858"/>
      <c r="AC902" s="858"/>
      <c r="AD902" s="858"/>
      <c r="AE902" s="858"/>
      <c r="AF902" s="858"/>
      <c r="AG902" s="858"/>
      <c r="AH902" s="858"/>
      <c r="AI902" s="858"/>
      <c r="AJ902" s="858"/>
    </row>
    <row r="903" ht="15.75" customHeight="1">
      <c r="A903" s="576"/>
      <c r="B903" s="2"/>
      <c r="C903" s="2"/>
      <c r="D903" s="668"/>
      <c r="E903" s="2"/>
      <c r="F903" s="2"/>
      <c r="G903" s="2"/>
      <c r="H903" s="2"/>
      <c r="I903" s="2"/>
      <c r="J903" s="2"/>
      <c r="K903" s="2"/>
      <c r="L903" s="2"/>
      <c r="M903" s="667"/>
      <c r="N903" s="2"/>
      <c r="O903" s="2"/>
      <c r="P903" s="2"/>
      <c r="Q903" s="857"/>
      <c r="R903" s="858"/>
      <c r="S903" s="858"/>
      <c r="T903" s="858"/>
      <c r="U903" s="858"/>
      <c r="V903" s="858"/>
      <c r="W903" s="858"/>
      <c r="X903" s="858"/>
      <c r="Y903" s="858"/>
      <c r="Z903" s="858"/>
      <c r="AA903" s="858"/>
      <c r="AB903" s="858"/>
      <c r="AC903" s="858"/>
      <c r="AD903" s="858"/>
      <c r="AE903" s="858"/>
      <c r="AF903" s="858"/>
      <c r="AG903" s="858"/>
      <c r="AH903" s="858"/>
      <c r="AI903" s="858"/>
      <c r="AJ903" s="858"/>
    </row>
    <row r="904" ht="15.75" customHeight="1">
      <c r="A904" s="576"/>
      <c r="B904" s="2"/>
      <c r="C904" s="2"/>
      <c r="D904" s="668"/>
      <c r="E904" s="2"/>
      <c r="F904" s="2"/>
      <c r="G904" s="2"/>
      <c r="H904" s="2"/>
      <c r="I904" s="2"/>
      <c r="J904" s="2"/>
      <c r="K904" s="2"/>
      <c r="L904" s="2"/>
      <c r="M904" s="667"/>
      <c r="N904" s="2"/>
      <c r="O904" s="2"/>
      <c r="P904" s="2"/>
      <c r="Q904" s="857"/>
      <c r="R904" s="858"/>
      <c r="S904" s="858"/>
      <c r="T904" s="858"/>
      <c r="U904" s="858"/>
      <c r="V904" s="858"/>
      <c r="W904" s="858"/>
      <c r="X904" s="858"/>
      <c r="Y904" s="858"/>
      <c r="Z904" s="858"/>
      <c r="AA904" s="858"/>
      <c r="AB904" s="858"/>
      <c r="AC904" s="858"/>
      <c r="AD904" s="858"/>
      <c r="AE904" s="858"/>
      <c r="AF904" s="858"/>
      <c r="AG904" s="858"/>
      <c r="AH904" s="858"/>
      <c r="AI904" s="858"/>
      <c r="AJ904" s="858"/>
    </row>
    <row r="905" ht="15.75" customHeight="1">
      <c r="A905" s="576"/>
      <c r="B905" s="2"/>
      <c r="C905" s="2"/>
      <c r="D905" s="668"/>
      <c r="E905" s="2"/>
      <c r="F905" s="2"/>
      <c r="G905" s="2"/>
      <c r="H905" s="2"/>
      <c r="I905" s="2"/>
      <c r="J905" s="2"/>
      <c r="K905" s="2"/>
      <c r="L905" s="2"/>
      <c r="M905" s="667"/>
      <c r="N905" s="2"/>
      <c r="O905" s="2"/>
      <c r="P905" s="2"/>
      <c r="Q905" s="857"/>
      <c r="R905" s="858"/>
      <c r="S905" s="858"/>
      <c r="T905" s="858"/>
      <c r="U905" s="858"/>
      <c r="V905" s="858"/>
      <c r="W905" s="858"/>
      <c r="X905" s="858"/>
      <c r="Y905" s="858"/>
      <c r="Z905" s="858"/>
      <c r="AA905" s="858"/>
      <c r="AB905" s="858"/>
      <c r="AC905" s="858"/>
      <c r="AD905" s="858"/>
      <c r="AE905" s="858"/>
      <c r="AF905" s="858"/>
      <c r="AG905" s="858"/>
      <c r="AH905" s="858"/>
      <c r="AI905" s="858"/>
      <c r="AJ905" s="858"/>
    </row>
    <row r="906" ht="15.75" customHeight="1">
      <c r="A906" s="576"/>
      <c r="B906" s="2"/>
      <c r="C906" s="2"/>
      <c r="D906" s="668"/>
      <c r="E906" s="2"/>
      <c r="F906" s="2"/>
      <c r="G906" s="2"/>
      <c r="H906" s="2"/>
      <c r="I906" s="2"/>
      <c r="J906" s="2"/>
      <c r="K906" s="2"/>
      <c r="L906" s="2"/>
      <c r="M906" s="667"/>
      <c r="N906" s="2"/>
      <c r="O906" s="2"/>
      <c r="P906" s="2"/>
      <c r="Q906" s="857"/>
      <c r="R906" s="858"/>
      <c r="S906" s="858"/>
      <c r="T906" s="858"/>
      <c r="U906" s="858"/>
      <c r="V906" s="858"/>
      <c r="W906" s="858"/>
      <c r="X906" s="858"/>
      <c r="Y906" s="858"/>
      <c r="Z906" s="858"/>
      <c r="AA906" s="858"/>
      <c r="AB906" s="858"/>
      <c r="AC906" s="858"/>
      <c r="AD906" s="858"/>
      <c r="AE906" s="858"/>
      <c r="AF906" s="858"/>
      <c r="AG906" s="858"/>
      <c r="AH906" s="858"/>
      <c r="AI906" s="858"/>
      <c r="AJ906" s="858"/>
    </row>
    <row r="907" ht="15.75" customHeight="1">
      <c r="A907" s="576"/>
      <c r="B907" s="2"/>
      <c r="C907" s="2"/>
      <c r="D907" s="668"/>
      <c r="E907" s="2"/>
      <c r="F907" s="2"/>
      <c r="G907" s="2"/>
      <c r="H907" s="2"/>
      <c r="I907" s="2"/>
      <c r="J907" s="2"/>
      <c r="K907" s="2"/>
      <c r="L907" s="2"/>
      <c r="M907" s="667"/>
      <c r="N907" s="2"/>
      <c r="O907" s="2"/>
      <c r="P907" s="2"/>
      <c r="Q907" s="857"/>
      <c r="R907" s="858"/>
      <c r="S907" s="858"/>
      <c r="T907" s="858"/>
      <c r="U907" s="858"/>
      <c r="V907" s="858"/>
      <c r="W907" s="858"/>
      <c r="X907" s="858"/>
      <c r="Y907" s="858"/>
      <c r="Z907" s="858"/>
      <c r="AA907" s="858"/>
      <c r="AB907" s="858"/>
      <c r="AC907" s="858"/>
      <c r="AD907" s="858"/>
      <c r="AE907" s="858"/>
      <c r="AF907" s="858"/>
      <c r="AG907" s="858"/>
      <c r="AH907" s="858"/>
      <c r="AI907" s="858"/>
      <c r="AJ907" s="858"/>
    </row>
    <row r="908" ht="15.75" customHeight="1">
      <c r="A908" s="576"/>
      <c r="B908" s="2"/>
      <c r="C908" s="2"/>
      <c r="D908" s="668"/>
      <c r="E908" s="2"/>
      <c r="F908" s="2"/>
      <c r="G908" s="2"/>
      <c r="H908" s="2"/>
      <c r="I908" s="2"/>
      <c r="J908" s="2"/>
      <c r="K908" s="2"/>
      <c r="L908" s="2"/>
      <c r="M908" s="667"/>
      <c r="N908" s="2"/>
      <c r="O908" s="2"/>
      <c r="P908" s="2"/>
      <c r="Q908" s="857"/>
      <c r="R908" s="858"/>
      <c r="S908" s="858"/>
      <c r="T908" s="858"/>
      <c r="U908" s="858"/>
      <c r="V908" s="858"/>
      <c r="W908" s="858"/>
      <c r="X908" s="858"/>
      <c r="Y908" s="858"/>
      <c r="Z908" s="858"/>
      <c r="AA908" s="858"/>
      <c r="AB908" s="858"/>
      <c r="AC908" s="858"/>
      <c r="AD908" s="858"/>
      <c r="AE908" s="858"/>
      <c r="AF908" s="858"/>
      <c r="AG908" s="858"/>
      <c r="AH908" s="858"/>
      <c r="AI908" s="858"/>
      <c r="AJ908" s="858"/>
    </row>
    <row r="909" ht="15.75" customHeight="1">
      <c r="A909" s="576"/>
      <c r="B909" s="2"/>
      <c r="C909" s="2"/>
      <c r="D909" s="668"/>
      <c r="E909" s="2"/>
      <c r="F909" s="2"/>
      <c r="G909" s="2"/>
      <c r="H909" s="2"/>
      <c r="I909" s="2"/>
      <c r="J909" s="2"/>
      <c r="K909" s="2"/>
      <c r="L909" s="2"/>
      <c r="M909" s="667"/>
      <c r="N909" s="2"/>
      <c r="O909" s="2"/>
      <c r="P909" s="2"/>
      <c r="Q909" s="857"/>
      <c r="R909" s="858"/>
      <c r="S909" s="858"/>
      <c r="T909" s="858"/>
      <c r="U909" s="858"/>
      <c r="V909" s="858"/>
      <c r="W909" s="858"/>
      <c r="X909" s="858"/>
      <c r="Y909" s="858"/>
      <c r="Z909" s="858"/>
      <c r="AA909" s="858"/>
      <c r="AB909" s="858"/>
      <c r="AC909" s="858"/>
      <c r="AD909" s="858"/>
      <c r="AE909" s="858"/>
      <c r="AF909" s="858"/>
      <c r="AG909" s="858"/>
      <c r="AH909" s="858"/>
      <c r="AI909" s="858"/>
      <c r="AJ909" s="858"/>
    </row>
    <row r="910" ht="15.75" customHeight="1">
      <c r="A910" s="576"/>
      <c r="B910" s="2"/>
      <c r="C910" s="2"/>
      <c r="D910" s="668"/>
      <c r="E910" s="2"/>
      <c r="F910" s="2"/>
      <c r="G910" s="2"/>
      <c r="H910" s="2"/>
      <c r="I910" s="2"/>
      <c r="J910" s="2"/>
      <c r="K910" s="2"/>
      <c r="L910" s="2"/>
      <c r="M910" s="667"/>
      <c r="N910" s="2"/>
      <c r="O910" s="2"/>
      <c r="P910" s="2"/>
      <c r="Q910" s="857"/>
      <c r="R910" s="858"/>
      <c r="S910" s="858"/>
      <c r="T910" s="858"/>
      <c r="U910" s="858"/>
      <c r="V910" s="858"/>
      <c r="W910" s="858"/>
      <c r="X910" s="858"/>
      <c r="Y910" s="858"/>
      <c r="Z910" s="858"/>
      <c r="AA910" s="858"/>
      <c r="AB910" s="858"/>
      <c r="AC910" s="858"/>
      <c r="AD910" s="858"/>
      <c r="AE910" s="858"/>
      <c r="AF910" s="858"/>
      <c r="AG910" s="858"/>
      <c r="AH910" s="858"/>
      <c r="AI910" s="858"/>
      <c r="AJ910" s="858"/>
    </row>
    <row r="911" ht="15.75" customHeight="1">
      <c r="A911" s="576"/>
      <c r="B911" s="2"/>
      <c r="C911" s="2"/>
      <c r="D911" s="668"/>
      <c r="E911" s="2"/>
      <c r="F911" s="2"/>
      <c r="G911" s="2"/>
      <c r="H911" s="2"/>
      <c r="I911" s="2"/>
      <c r="J911" s="2"/>
      <c r="K911" s="2"/>
      <c r="L911" s="2"/>
      <c r="M911" s="667"/>
      <c r="N911" s="2"/>
      <c r="O911" s="2"/>
      <c r="P911" s="2"/>
      <c r="Q911" s="857"/>
      <c r="R911" s="858"/>
      <c r="S911" s="858"/>
      <c r="T911" s="858"/>
      <c r="U911" s="858"/>
      <c r="V911" s="858"/>
      <c r="W911" s="858"/>
      <c r="X911" s="858"/>
      <c r="Y911" s="858"/>
      <c r="Z911" s="858"/>
      <c r="AA911" s="858"/>
      <c r="AB911" s="858"/>
      <c r="AC911" s="858"/>
      <c r="AD911" s="858"/>
      <c r="AE911" s="858"/>
      <c r="AF911" s="858"/>
      <c r="AG911" s="858"/>
      <c r="AH911" s="858"/>
      <c r="AI911" s="858"/>
      <c r="AJ911" s="858"/>
    </row>
    <row r="912" ht="15.75" customHeight="1">
      <c r="A912" s="576"/>
      <c r="B912" s="2"/>
      <c r="C912" s="2"/>
      <c r="D912" s="668"/>
      <c r="E912" s="2"/>
      <c r="F912" s="2"/>
      <c r="G912" s="2"/>
      <c r="H912" s="2"/>
      <c r="I912" s="2"/>
      <c r="J912" s="2"/>
      <c r="K912" s="2"/>
      <c r="L912" s="2"/>
      <c r="M912" s="667"/>
      <c r="N912" s="2"/>
      <c r="O912" s="2"/>
      <c r="P912" s="2"/>
      <c r="Q912" s="857"/>
      <c r="R912" s="858"/>
      <c r="S912" s="858"/>
      <c r="T912" s="858"/>
      <c r="U912" s="858"/>
      <c r="V912" s="858"/>
      <c r="W912" s="858"/>
      <c r="X912" s="858"/>
      <c r="Y912" s="858"/>
      <c r="Z912" s="858"/>
      <c r="AA912" s="858"/>
      <c r="AB912" s="858"/>
      <c r="AC912" s="858"/>
      <c r="AD912" s="858"/>
      <c r="AE912" s="858"/>
      <c r="AF912" s="858"/>
      <c r="AG912" s="858"/>
      <c r="AH912" s="858"/>
      <c r="AI912" s="858"/>
      <c r="AJ912" s="858"/>
    </row>
    <row r="913" ht="15.75" customHeight="1">
      <c r="A913" s="576"/>
      <c r="B913" s="2"/>
      <c r="C913" s="2"/>
      <c r="D913" s="668"/>
      <c r="E913" s="2"/>
      <c r="F913" s="2"/>
      <c r="G913" s="2"/>
      <c r="H913" s="2"/>
      <c r="I913" s="2"/>
      <c r="J913" s="2"/>
      <c r="K913" s="2"/>
      <c r="L913" s="2"/>
      <c r="M913" s="667"/>
      <c r="N913" s="2"/>
      <c r="O913" s="2"/>
      <c r="P913" s="2"/>
      <c r="Q913" s="857"/>
      <c r="R913" s="858"/>
      <c r="S913" s="858"/>
      <c r="T913" s="858"/>
      <c r="U913" s="858"/>
      <c r="V913" s="858"/>
      <c r="W913" s="858"/>
      <c r="X913" s="858"/>
      <c r="Y913" s="858"/>
      <c r="Z913" s="858"/>
      <c r="AA913" s="858"/>
      <c r="AB913" s="858"/>
      <c r="AC913" s="858"/>
      <c r="AD913" s="858"/>
      <c r="AE913" s="858"/>
      <c r="AF913" s="858"/>
      <c r="AG913" s="858"/>
      <c r="AH913" s="858"/>
      <c r="AI913" s="858"/>
      <c r="AJ913" s="858"/>
    </row>
    <row r="914" ht="15.75" customHeight="1">
      <c r="A914" s="576"/>
      <c r="B914" s="2"/>
      <c r="C914" s="2"/>
      <c r="D914" s="668"/>
      <c r="E914" s="2"/>
      <c r="F914" s="2"/>
      <c r="G914" s="2"/>
      <c r="H914" s="2"/>
      <c r="I914" s="2"/>
      <c r="J914" s="2"/>
      <c r="K914" s="2"/>
      <c r="L914" s="2"/>
      <c r="M914" s="667"/>
      <c r="N914" s="2"/>
      <c r="O914" s="2"/>
      <c r="P914" s="2"/>
      <c r="Q914" s="857"/>
      <c r="R914" s="858"/>
      <c r="S914" s="858"/>
      <c r="T914" s="858"/>
      <c r="U914" s="858"/>
      <c r="V914" s="858"/>
      <c r="W914" s="858"/>
      <c r="X914" s="858"/>
      <c r="Y914" s="858"/>
      <c r="Z914" s="858"/>
      <c r="AA914" s="858"/>
      <c r="AB914" s="858"/>
      <c r="AC914" s="858"/>
      <c r="AD914" s="858"/>
      <c r="AE914" s="858"/>
      <c r="AF914" s="858"/>
      <c r="AG914" s="858"/>
      <c r="AH914" s="858"/>
      <c r="AI914" s="858"/>
      <c r="AJ914" s="858"/>
    </row>
    <row r="915" ht="15.75" customHeight="1">
      <c r="A915" s="576"/>
      <c r="B915" s="2"/>
      <c r="C915" s="2"/>
      <c r="D915" s="668"/>
      <c r="E915" s="2"/>
      <c r="F915" s="2"/>
      <c r="G915" s="2"/>
      <c r="H915" s="2"/>
      <c r="I915" s="2"/>
      <c r="J915" s="2"/>
      <c r="K915" s="2"/>
      <c r="L915" s="2"/>
      <c r="M915" s="667"/>
      <c r="N915" s="2"/>
      <c r="O915" s="2"/>
      <c r="P915" s="2"/>
      <c r="Q915" s="857"/>
      <c r="R915" s="858"/>
      <c r="S915" s="858"/>
      <c r="T915" s="858"/>
      <c r="U915" s="858"/>
      <c r="V915" s="858"/>
      <c r="W915" s="858"/>
      <c r="X915" s="858"/>
      <c r="Y915" s="858"/>
      <c r="Z915" s="858"/>
      <c r="AA915" s="858"/>
      <c r="AB915" s="858"/>
      <c r="AC915" s="858"/>
      <c r="AD915" s="858"/>
      <c r="AE915" s="858"/>
      <c r="AF915" s="858"/>
      <c r="AG915" s="858"/>
      <c r="AH915" s="858"/>
      <c r="AI915" s="858"/>
      <c r="AJ915" s="858"/>
    </row>
    <row r="916" ht="15.75" customHeight="1">
      <c r="A916" s="576"/>
      <c r="B916" s="2"/>
      <c r="C916" s="2"/>
      <c r="D916" s="668"/>
      <c r="E916" s="2"/>
      <c r="F916" s="2"/>
      <c r="G916" s="2"/>
      <c r="H916" s="2"/>
      <c r="I916" s="2"/>
      <c r="J916" s="2"/>
      <c r="K916" s="2"/>
      <c r="L916" s="2"/>
      <c r="M916" s="667"/>
      <c r="N916" s="2"/>
      <c r="O916" s="2"/>
      <c r="P916" s="2"/>
      <c r="Q916" s="857"/>
      <c r="R916" s="858"/>
      <c r="S916" s="858"/>
      <c r="T916" s="858"/>
      <c r="U916" s="858"/>
      <c r="V916" s="858"/>
      <c r="W916" s="858"/>
      <c r="X916" s="858"/>
      <c r="Y916" s="858"/>
      <c r="Z916" s="858"/>
      <c r="AA916" s="858"/>
      <c r="AB916" s="858"/>
      <c r="AC916" s="858"/>
      <c r="AD916" s="858"/>
      <c r="AE916" s="858"/>
      <c r="AF916" s="858"/>
      <c r="AG916" s="858"/>
      <c r="AH916" s="858"/>
      <c r="AI916" s="858"/>
      <c r="AJ916" s="858"/>
    </row>
    <row r="917" ht="15.75" customHeight="1">
      <c r="A917" s="576"/>
      <c r="B917" s="2"/>
      <c r="C917" s="2"/>
      <c r="D917" s="668"/>
      <c r="E917" s="2"/>
      <c r="F917" s="2"/>
      <c r="G917" s="2"/>
      <c r="H917" s="2"/>
      <c r="I917" s="2"/>
      <c r="J917" s="2"/>
      <c r="K917" s="2"/>
      <c r="L917" s="2"/>
      <c r="M917" s="667"/>
      <c r="N917" s="2"/>
      <c r="O917" s="2"/>
      <c r="P917" s="2"/>
      <c r="Q917" s="857"/>
      <c r="R917" s="858"/>
      <c r="S917" s="858"/>
      <c r="T917" s="858"/>
      <c r="U917" s="858"/>
      <c r="V917" s="858"/>
      <c r="W917" s="858"/>
      <c r="X917" s="858"/>
      <c r="Y917" s="858"/>
      <c r="Z917" s="858"/>
      <c r="AA917" s="858"/>
      <c r="AB917" s="858"/>
      <c r="AC917" s="858"/>
      <c r="AD917" s="858"/>
      <c r="AE917" s="858"/>
      <c r="AF917" s="858"/>
      <c r="AG917" s="858"/>
      <c r="AH917" s="858"/>
      <c r="AI917" s="858"/>
      <c r="AJ917" s="858"/>
    </row>
    <row r="918" ht="15.75" customHeight="1">
      <c r="A918" s="576"/>
      <c r="B918" s="2"/>
      <c r="C918" s="2"/>
      <c r="D918" s="668"/>
      <c r="E918" s="2"/>
      <c r="F918" s="2"/>
      <c r="G918" s="2"/>
      <c r="H918" s="2"/>
      <c r="I918" s="2"/>
      <c r="J918" s="2"/>
      <c r="K918" s="2"/>
      <c r="L918" s="2"/>
      <c r="M918" s="667"/>
      <c r="N918" s="2"/>
      <c r="O918" s="2"/>
      <c r="P918" s="2"/>
      <c r="Q918" s="857"/>
      <c r="R918" s="858"/>
      <c r="S918" s="858"/>
      <c r="T918" s="858"/>
      <c r="U918" s="858"/>
      <c r="V918" s="858"/>
      <c r="W918" s="858"/>
      <c r="X918" s="858"/>
      <c r="Y918" s="858"/>
      <c r="Z918" s="858"/>
      <c r="AA918" s="858"/>
      <c r="AB918" s="858"/>
      <c r="AC918" s="858"/>
      <c r="AD918" s="858"/>
      <c r="AE918" s="858"/>
      <c r="AF918" s="858"/>
      <c r="AG918" s="858"/>
      <c r="AH918" s="858"/>
      <c r="AI918" s="858"/>
      <c r="AJ918" s="858"/>
    </row>
    <row r="919" ht="15.75" customHeight="1">
      <c r="A919" s="576"/>
      <c r="B919" s="2"/>
      <c r="C919" s="2"/>
      <c r="D919" s="668"/>
      <c r="E919" s="2"/>
      <c r="F919" s="2"/>
      <c r="G919" s="2"/>
      <c r="H919" s="2"/>
      <c r="I919" s="2"/>
      <c r="J919" s="2"/>
      <c r="K919" s="2"/>
      <c r="L919" s="2"/>
      <c r="M919" s="667"/>
      <c r="N919" s="2"/>
      <c r="O919" s="2"/>
      <c r="P919" s="2"/>
      <c r="Q919" s="857"/>
      <c r="R919" s="858"/>
      <c r="S919" s="858"/>
      <c r="T919" s="858"/>
      <c r="U919" s="858"/>
      <c r="V919" s="858"/>
      <c r="W919" s="858"/>
      <c r="X919" s="858"/>
      <c r="Y919" s="858"/>
      <c r="Z919" s="858"/>
      <c r="AA919" s="858"/>
      <c r="AB919" s="858"/>
      <c r="AC919" s="858"/>
      <c r="AD919" s="858"/>
      <c r="AE919" s="858"/>
      <c r="AF919" s="858"/>
      <c r="AG919" s="858"/>
      <c r="AH919" s="858"/>
      <c r="AI919" s="858"/>
      <c r="AJ919" s="858"/>
    </row>
    <row r="920" ht="15.75" customHeight="1">
      <c r="A920" s="576"/>
      <c r="B920" s="2"/>
      <c r="C920" s="2"/>
      <c r="D920" s="668"/>
      <c r="E920" s="2"/>
      <c r="F920" s="2"/>
      <c r="G920" s="2"/>
      <c r="H920" s="2"/>
      <c r="I920" s="2"/>
      <c r="J920" s="2"/>
      <c r="K920" s="2"/>
      <c r="L920" s="2"/>
      <c r="M920" s="667"/>
      <c r="N920" s="2"/>
      <c r="O920" s="2"/>
      <c r="P920" s="2"/>
      <c r="Q920" s="857"/>
      <c r="R920" s="858"/>
      <c r="S920" s="858"/>
      <c r="T920" s="858"/>
      <c r="U920" s="858"/>
      <c r="V920" s="858"/>
      <c r="W920" s="858"/>
      <c r="X920" s="858"/>
      <c r="Y920" s="858"/>
      <c r="Z920" s="858"/>
      <c r="AA920" s="858"/>
      <c r="AB920" s="858"/>
      <c r="AC920" s="858"/>
      <c r="AD920" s="858"/>
      <c r="AE920" s="858"/>
      <c r="AF920" s="858"/>
      <c r="AG920" s="858"/>
      <c r="AH920" s="858"/>
      <c r="AI920" s="858"/>
      <c r="AJ920" s="858"/>
    </row>
    <row r="921" ht="15.75" customHeight="1">
      <c r="A921" s="576"/>
      <c r="B921" s="2"/>
      <c r="C921" s="2"/>
      <c r="D921" s="668"/>
      <c r="E921" s="2"/>
      <c r="F921" s="2"/>
      <c r="G921" s="2"/>
      <c r="H921" s="2"/>
      <c r="I921" s="2"/>
      <c r="J921" s="2"/>
      <c r="K921" s="2"/>
      <c r="L921" s="2"/>
      <c r="M921" s="667"/>
      <c r="N921" s="2"/>
      <c r="O921" s="2"/>
      <c r="P921" s="2"/>
      <c r="Q921" s="857"/>
      <c r="R921" s="858"/>
      <c r="S921" s="858"/>
      <c r="T921" s="858"/>
      <c r="U921" s="858"/>
      <c r="V921" s="858"/>
      <c r="W921" s="858"/>
      <c r="X921" s="858"/>
      <c r="Y921" s="858"/>
      <c r="Z921" s="858"/>
      <c r="AA921" s="858"/>
      <c r="AB921" s="858"/>
      <c r="AC921" s="858"/>
      <c r="AD921" s="858"/>
      <c r="AE921" s="858"/>
      <c r="AF921" s="858"/>
      <c r="AG921" s="858"/>
      <c r="AH921" s="858"/>
      <c r="AI921" s="858"/>
      <c r="AJ921" s="858"/>
    </row>
    <row r="922" ht="15.75" customHeight="1">
      <c r="A922" s="576"/>
      <c r="B922" s="2"/>
      <c r="C922" s="2"/>
      <c r="D922" s="668"/>
      <c r="E922" s="2"/>
      <c r="F922" s="2"/>
      <c r="G922" s="2"/>
      <c r="H922" s="2"/>
      <c r="I922" s="2"/>
      <c r="J922" s="2"/>
      <c r="K922" s="2"/>
      <c r="L922" s="2"/>
      <c r="M922" s="667"/>
      <c r="N922" s="2"/>
      <c r="O922" s="2"/>
      <c r="P922" s="2"/>
      <c r="Q922" s="857"/>
      <c r="R922" s="858"/>
      <c r="S922" s="858"/>
      <c r="T922" s="858"/>
      <c r="U922" s="858"/>
      <c r="V922" s="858"/>
      <c r="W922" s="858"/>
      <c r="X922" s="858"/>
      <c r="Y922" s="858"/>
      <c r="Z922" s="858"/>
      <c r="AA922" s="858"/>
      <c r="AB922" s="858"/>
      <c r="AC922" s="858"/>
      <c r="AD922" s="858"/>
      <c r="AE922" s="858"/>
      <c r="AF922" s="858"/>
      <c r="AG922" s="858"/>
      <c r="AH922" s="858"/>
      <c r="AI922" s="858"/>
      <c r="AJ922" s="858"/>
    </row>
    <row r="923" ht="15.75" customHeight="1">
      <c r="A923" s="576"/>
      <c r="B923" s="2"/>
      <c r="C923" s="2"/>
      <c r="D923" s="668"/>
      <c r="E923" s="2"/>
      <c r="F923" s="2"/>
      <c r="G923" s="2"/>
      <c r="H923" s="2"/>
      <c r="I923" s="2"/>
      <c r="J923" s="2"/>
      <c r="K923" s="2"/>
      <c r="L923" s="2"/>
      <c r="M923" s="667"/>
      <c r="N923" s="2"/>
      <c r="O923" s="2"/>
      <c r="P923" s="2"/>
      <c r="Q923" s="857"/>
      <c r="R923" s="858"/>
      <c r="S923" s="858"/>
      <c r="T923" s="858"/>
      <c r="U923" s="858"/>
      <c r="V923" s="858"/>
      <c r="W923" s="858"/>
      <c r="X923" s="858"/>
      <c r="Y923" s="858"/>
      <c r="Z923" s="858"/>
      <c r="AA923" s="858"/>
      <c r="AB923" s="858"/>
      <c r="AC923" s="858"/>
      <c r="AD923" s="858"/>
      <c r="AE923" s="858"/>
      <c r="AF923" s="858"/>
      <c r="AG923" s="858"/>
      <c r="AH923" s="858"/>
      <c r="AI923" s="858"/>
      <c r="AJ923" s="858"/>
    </row>
    <row r="924" ht="15.75" customHeight="1">
      <c r="A924" s="576"/>
      <c r="B924" s="2"/>
      <c r="C924" s="2"/>
      <c r="D924" s="668"/>
      <c r="E924" s="2"/>
      <c r="F924" s="2"/>
      <c r="G924" s="2"/>
      <c r="H924" s="2"/>
      <c r="I924" s="2"/>
      <c r="J924" s="2"/>
      <c r="K924" s="2"/>
      <c r="L924" s="2"/>
      <c r="M924" s="667"/>
      <c r="N924" s="2"/>
      <c r="O924" s="2"/>
      <c r="P924" s="2"/>
      <c r="Q924" s="857"/>
      <c r="R924" s="858"/>
      <c r="S924" s="858"/>
      <c r="T924" s="858"/>
      <c r="U924" s="858"/>
      <c r="V924" s="858"/>
      <c r="W924" s="858"/>
      <c r="X924" s="858"/>
      <c r="Y924" s="858"/>
      <c r="Z924" s="858"/>
      <c r="AA924" s="858"/>
      <c r="AB924" s="858"/>
      <c r="AC924" s="858"/>
      <c r="AD924" s="858"/>
      <c r="AE924" s="858"/>
      <c r="AF924" s="858"/>
      <c r="AG924" s="858"/>
      <c r="AH924" s="858"/>
      <c r="AI924" s="858"/>
      <c r="AJ924" s="858"/>
    </row>
    <row r="925" ht="15.75" customHeight="1">
      <c r="A925" s="576"/>
      <c r="B925" s="2"/>
      <c r="C925" s="2"/>
      <c r="D925" s="668"/>
      <c r="E925" s="2"/>
      <c r="F925" s="2"/>
      <c r="G925" s="2"/>
      <c r="H925" s="2"/>
      <c r="I925" s="2"/>
      <c r="J925" s="2"/>
      <c r="K925" s="2"/>
      <c r="L925" s="2"/>
      <c r="M925" s="667"/>
      <c r="N925" s="2"/>
      <c r="O925" s="2"/>
      <c r="P925" s="2"/>
      <c r="Q925" s="857"/>
      <c r="R925" s="858"/>
      <c r="S925" s="858"/>
      <c r="T925" s="858"/>
      <c r="U925" s="858"/>
      <c r="V925" s="858"/>
      <c r="W925" s="858"/>
      <c r="X925" s="858"/>
      <c r="Y925" s="858"/>
      <c r="Z925" s="858"/>
      <c r="AA925" s="858"/>
      <c r="AB925" s="858"/>
      <c r="AC925" s="858"/>
      <c r="AD925" s="858"/>
      <c r="AE925" s="858"/>
      <c r="AF925" s="858"/>
      <c r="AG925" s="858"/>
      <c r="AH925" s="858"/>
      <c r="AI925" s="858"/>
      <c r="AJ925" s="858"/>
    </row>
    <row r="926" ht="15.75" customHeight="1">
      <c r="A926" s="576"/>
      <c r="B926" s="2"/>
      <c r="C926" s="2"/>
      <c r="D926" s="668"/>
      <c r="E926" s="2"/>
      <c r="F926" s="2"/>
      <c r="G926" s="2"/>
      <c r="H926" s="2"/>
      <c r="I926" s="2"/>
      <c r="J926" s="2"/>
      <c r="K926" s="2"/>
      <c r="L926" s="2"/>
      <c r="M926" s="667"/>
      <c r="N926" s="2"/>
      <c r="O926" s="2"/>
      <c r="P926" s="2"/>
      <c r="Q926" s="857"/>
      <c r="R926" s="858"/>
      <c r="S926" s="858"/>
      <c r="T926" s="858"/>
      <c r="U926" s="858"/>
      <c r="V926" s="858"/>
      <c r="W926" s="858"/>
      <c r="X926" s="858"/>
      <c r="Y926" s="858"/>
      <c r="Z926" s="858"/>
      <c r="AA926" s="858"/>
      <c r="AB926" s="858"/>
      <c r="AC926" s="858"/>
      <c r="AD926" s="858"/>
      <c r="AE926" s="858"/>
      <c r="AF926" s="858"/>
      <c r="AG926" s="858"/>
      <c r="AH926" s="858"/>
      <c r="AI926" s="858"/>
      <c r="AJ926" s="858"/>
    </row>
    <row r="927" ht="15.75" customHeight="1">
      <c r="A927" s="576"/>
      <c r="B927" s="2"/>
      <c r="C927" s="2"/>
      <c r="D927" s="668"/>
      <c r="E927" s="2"/>
      <c r="F927" s="2"/>
      <c r="G927" s="2"/>
      <c r="H927" s="2"/>
      <c r="I927" s="2"/>
      <c r="J927" s="2"/>
      <c r="K927" s="2"/>
      <c r="L927" s="2"/>
      <c r="M927" s="667"/>
      <c r="N927" s="2"/>
      <c r="O927" s="2"/>
      <c r="P927" s="2"/>
      <c r="Q927" s="857"/>
      <c r="R927" s="858"/>
      <c r="S927" s="858"/>
      <c r="T927" s="858"/>
      <c r="U927" s="858"/>
      <c r="V927" s="858"/>
      <c r="W927" s="858"/>
      <c r="X927" s="858"/>
      <c r="Y927" s="858"/>
      <c r="Z927" s="858"/>
      <c r="AA927" s="858"/>
      <c r="AB927" s="858"/>
      <c r="AC927" s="858"/>
      <c r="AD927" s="858"/>
      <c r="AE927" s="858"/>
      <c r="AF927" s="858"/>
      <c r="AG927" s="858"/>
      <c r="AH927" s="858"/>
      <c r="AI927" s="858"/>
      <c r="AJ927" s="858"/>
    </row>
    <row r="928" ht="15.75" customHeight="1">
      <c r="A928" s="576"/>
      <c r="B928" s="2"/>
      <c r="C928" s="2"/>
      <c r="D928" s="668"/>
      <c r="E928" s="2"/>
      <c r="F928" s="2"/>
      <c r="G928" s="2"/>
      <c r="H928" s="2"/>
      <c r="I928" s="2"/>
      <c r="J928" s="2"/>
      <c r="K928" s="2"/>
      <c r="L928" s="2"/>
      <c r="M928" s="667"/>
      <c r="N928" s="2"/>
      <c r="O928" s="2"/>
      <c r="P928" s="2"/>
      <c r="Q928" s="857"/>
      <c r="R928" s="858"/>
      <c r="S928" s="858"/>
      <c r="T928" s="858"/>
      <c r="U928" s="858"/>
      <c r="V928" s="858"/>
      <c r="W928" s="858"/>
      <c r="X928" s="858"/>
      <c r="Y928" s="858"/>
      <c r="Z928" s="858"/>
      <c r="AA928" s="858"/>
      <c r="AB928" s="858"/>
      <c r="AC928" s="858"/>
      <c r="AD928" s="858"/>
      <c r="AE928" s="858"/>
      <c r="AF928" s="858"/>
      <c r="AG928" s="858"/>
      <c r="AH928" s="858"/>
      <c r="AI928" s="858"/>
      <c r="AJ928" s="858"/>
    </row>
    <row r="929" ht="15.75" customHeight="1">
      <c r="A929" s="576"/>
      <c r="B929" s="2"/>
      <c r="C929" s="2"/>
      <c r="D929" s="668"/>
      <c r="E929" s="2"/>
      <c r="F929" s="2"/>
      <c r="G929" s="2"/>
      <c r="H929" s="2"/>
      <c r="I929" s="2"/>
      <c r="J929" s="2"/>
      <c r="K929" s="2"/>
      <c r="L929" s="2"/>
      <c r="M929" s="667"/>
      <c r="N929" s="2"/>
      <c r="O929" s="2"/>
      <c r="P929" s="2"/>
      <c r="Q929" s="857"/>
      <c r="R929" s="858"/>
      <c r="S929" s="858"/>
      <c r="T929" s="858"/>
      <c r="U929" s="858"/>
      <c r="V929" s="858"/>
      <c r="W929" s="858"/>
      <c r="X929" s="858"/>
      <c r="Y929" s="858"/>
      <c r="Z929" s="858"/>
      <c r="AA929" s="858"/>
      <c r="AB929" s="858"/>
      <c r="AC929" s="858"/>
      <c r="AD929" s="858"/>
      <c r="AE929" s="858"/>
      <c r="AF929" s="858"/>
      <c r="AG929" s="858"/>
      <c r="AH929" s="858"/>
      <c r="AI929" s="858"/>
      <c r="AJ929" s="858"/>
    </row>
    <row r="930" ht="15.75" customHeight="1">
      <c r="A930" s="576"/>
      <c r="B930" s="2"/>
      <c r="C930" s="2"/>
      <c r="D930" s="668"/>
      <c r="E930" s="2"/>
      <c r="F930" s="2"/>
      <c r="G930" s="2"/>
      <c r="H930" s="2"/>
      <c r="I930" s="2"/>
      <c r="J930" s="2"/>
      <c r="K930" s="2"/>
      <c r="L930" s="2"/>
      <c r="M930" s="667"/>
      <c r="N930" s="2"/>
      <c r="O930" s="2"/>
      <c r="P930" s="2"/>
      <c r="Q930" s="857"/>
      <c r="R930" s="858"/>
      <c r="S930" s="858"/>
      <c r="T930" s="858"/>
      <c r="U930" s="858"/>
      <c r="V930" s="858"/>
      <c r="W930" s="858"/>
      <c r="X930" s="858"/>
      <c r="Y930" s="858"/>
      <c r="Z930" s="858"/>
      <c r="AA930" s="858"/>
      <c r="AB930" s="858"/>
      <c r="AC930" s="858"/>
      <c r="AD930" s="858"/>
      <c r="AE930" s="858"/>
      <c r="AF930" s="858"/>
      <c r="AG930" s="858"/>
      <c r="AH930" s="858"/>
      <c r="AI930" s="858"/>
      <c r="AJ930" s="858"/>
    </row>
    <row r="931" ht="15.75" customHeight="1">
      <c r="A931" s="576"/>
      <c r="B931" s="2"/>
      <c r="C931" s="2"/>
      <c r="D931" s="668"/>
      <c r="E931" s="2"/>
      <c r="F931" s="2"/>
      <c r="G931" s="2"/>
      <c r="H931" s="2"/>
      <c r="I931" s="2"/>
      <c r="J931" s="2"/>
      <c r="K931" s="2"/>
      <c r="L931" s="2"/>
      <c r="M931" s="667"/>
      <c r="N931" s="2"/>
      <c r="O931" s="2"/>
      <c r="P931" s="2"/>
      <c r="Q931" s="857"/>
      <c r="R931" s="858"/>
      <c r="S931" s="858"/>
      <c r="T931" s="858"/>
      <c r="U931" s="858"/>
      <c r="V931" s="858"/>
      <c r="W931" s="858"/>
      <c r="X931" s="858"/>
      <c r="Y931" s="858"/>
      <c r="Z931" s="858"/>
      <c r="AA931" s="858"/>
      <c r="AB931" s="858"/>
      <c r="AC931" s="858"/>
      <c r="AD931" s="858"/>
      <c r="AE931" s="858"/>
      <c r="AF931" s="858"/>
      <c r="AG931" s="858"/>
      <c r="AH931" s="858"/>
      <c r="AI931" s="858"/>
      <c r="AJ931" s="858"/>
    </row>
    <row r="932" ht="15.75" customHeight="1">
      <c r="A932" s="576"/>
      <c r="B932" s="2"/>
      <c r="C932" s="2"/>
      <c r="D932" s="668"/>
      <c r="E932" s="2"/>
      <c r="F932" s="2"/>
      <c r="G932" s="2"/>
      <c r="H932" s="2"/>
      <c r="I932" s="2"/>
      <c r="J932" s="2"/>
      <c r="K932" s="2"/>
      <c r="L932" s="2"/>
      <c r="M932" s="667"/>
      <c r="N932" s="2"/>
      <c r="O932" s="2"/>
      <c r="P932" s="2"/>
      <c r="Q932" s="857"/>
      <c r="R932" s="858"/>
      <c r="S932" s="858"/>
      <c r="T932" s="858"/>
      <c r="U932" s="858"/>
      <c r="V932" s="858"/>
      <c r="W932" s="858"/>
      <c r="X932" s="858"/>
      <c r="Y932" s="858"/>
      <c r="Z932" s="858"/>
      <c r="AA932" s="858"/>
      <c r="AB932" s="858"/>
      <c r="AC932" s="858"/>
      <c r="AD932" s="858"/>
      <c r="AE932" s="858"/>
      <c r="AF932" s="858"/>
      <c r="AG932" s="858"/>
      <c r="AH932" s="858"/>
      <c r="AI932" s="858"/>
      <c r="AJ932" s="858"/>
    </row>
    <row r="933" ht="15.75" customHeight="1">
      <c r="A933" s="576"/>
      <c r="B933" s="2"/>
      <c r="C933" s="2"/>
      <c r="D933" s="668"/>
      <c r="E933" s="2"/>
      <c r="F933" s="2"/>
      <c r="G933" s="2"/>
      <c r="H933" s="2"/>
      <c r="I933" s="2"/>
      <c r="J933" s="2"/>
      <c r="K933" s="2"/>
      <c r="L933" s="2"/>
      <c r="M933" s="667"/>
      <c r="N933" s="2"/>
      <c r="O933" s="2"/>
      <c r="P933" s="2"/>
      <c r="Q933" s="857"/>
      <c r="R933" s="858"/>
      <c r="S933" s="858"/>
      <c r="T933" s="858"/>
      <c r="U933" s="858"/>
      <c r="V933" s="858"/>
      <c r="W933" s="858"/>
      <c r="X933" s="858"/>
      <c r="Y933" s="858"/>
      <c r="Z933" s="858"/>
      <c r="AA933" s="858"/>
      <c r="AB933" s="858"/>
      <c r="AC933" s="858"/>
      <c r="AD933" s="858"/>
      <c r="AE933" s="858"/>
      <c r="AF933" s="858"/>
      <c r="AG933" s="858"/>
      <c r="AH933" s="858"/>
      <c r="AI933" s="858"/>
      <c r="AJ933" s="858"/>
    </row>
    <row r="934" ht="15.75" customHeight="1">
      <c r="A934" s="576"/>
      <c r="B934" s="2"/>
      <c r="C934" s="2"/>
      <c r="D934" s="668"/>
      <c r="E934" s="2"/>
      <c r="F934" s="2"/>
      <c r="G934" s="2"/>
      <c r="H934" s="2"/>
      <c r="I934" s="2"/>
      <c r="J934" s="2"/>
      <c r="K934" s="2"/>
      <c r="L934" s="2"/>
      <c r="M934" s="667"/>
      <c r="N934" s="2"/>
      <c r="O934" s="2"/>
      <c r="P934" s="2"/>
      <c r="Q934" s="857"/>
      <c r="R934" s="858"/>
      <c r="S934" s="858"/>
      <c r="T934" s="858"/>
      <c r="U934" s="858"/>
      <c r="V934" s="858"/>
      <c r="W934" s="858"/>
      <c r="X934" s="858"/>
      <c r="Y934" s="858"/>
      <c r="Z934" s="858"/>
      <c r="AA934" s="858"/>
      <c r="AB934" s="858"/>
      <c r="AC934" s="858"/>
      <c r="AD934" s="858"/>
      <c r="AE934" s="858"/>
      <c r="AF934" s="858"/>
      <c r="AG934" s="858"/>
      <c r="AH934" s="858"/>
      <c r="AI934" s="858"/>
      <c r="AJ934" s="858"/>
    </row>
    <row r="935" ht="15.75" customHeight="1">
      <c r="A935" s="576"/>
      <c r="B935" s="2"/>
      <c r="C935" s="2"/>
      <c r="D935" s="668"/>
      <c r="E935" s="2"/>
      <c r="F935" s="2"/>
      <c r="G935" s="2"/>
      <c r="H935" s="2"/>
      <c r="I935" s="2"/>
      <c r="J935" s="2"/>
      <c r="K935" s="2"/>
      <c r="L935" s="2"/>
      <c r="M935" s="667"/>
      <c r="N935" s="2"/>
      <c r="O935" s="2"/>
      <c r="P935" s="2"/>
      <c r="Q935" s="857"/>
      <c r="R935" s="858"/>
      <c r="S935" s="858"/>
      <c r="T935" s="858"/>
      <c r="U935" s="858"/>
      <c r="V935" s="858"/>
      <c r="W935" s="858"/>
      <c r="X935" s="858"/>
      <c r="Y935" s="858"/>
      <c r="Z935" s="858"/>
      <c r="AA935" s="858"/>
      <c r="AB935" s="858"/>
      <c r="AC935" s="858"/>
      <c r="AD935" s="858"/>
      <c r="AE935" s="858"/>
      <c r="AF935" s="858"/>
      <c r="AG935" s="858"/>
      <c r="AH935" s="858"/>
      <c r="AI935" s="858"/>
      <c r="AJ935" s="858"/>
    </row>
    <row r="936" ht="15.75" customHeight="1">
      <c r="A936" s="576"/>
      <c r="B936" s="2"/>
      <c r="C936" s="2"/>
      <c r="D936" s="668"/>
      <c r="E936" s="2"/>
      <c r="F936" s="2"/>
      <c r="G936" s="2"/>
      <c r="H936" s="2"/>
      <c r="I936" s="2"/>
      <c r="J936" s="2"/>
      <c r="K936" s="2"/>
      <c r="L936" s="2"/>
      <c r="M936" s="667"/>
      <c r="N936" s="2"/>
      <c r="O936" s="2"/>
      <c r="P936" s="2"/>
      <c r="Q936" s="857"/>
      <c r="R936" s="858"/>
      <c r="S936" s="858"/>
      <c r="T936" s="858"/>
      <c r="U936" s="858"/>
      <c r="V936" s="858"/>
      <c r="W936" s="858"/>
      <c r="X936" s="858"/>
      <c r="Y936" s="858"/>
      <c r="Z936" s="858"/>
      <c r="AA936" s="858"/>
      <c r="AB936" s="858"/>
      <c r="AC936" s="858"/>
      <c r="AD936" s="858"/>
      <c r="AE936" s="858"/>
      <c r="AF936" s="858"/>
      <c r="AG936" s="858"/>
      <c r="AH936" s="858"/>
      <c r="AI936" s="858"/>
      <c r="AJ936" s="858"/>
    </row>
    <row r="937" ht="15.75" customHeight="1">
      <c r="A937" s="576"/>
      <c r="B937" s="2"/>
      <c r="C937" s="2"/>
      <c r="D937" s="668"/>
      <c r="E937" s="2"/>
      <c r="F937" s="2"/>
      <c r="G937" s="2"/>
      <c r="H937" s="2"/>
      <c r="I937" s="2"/>
      <c r="J937" s="2"/>
      <c r="K937" s="2"/>
      <c r="L937" s="2"/>
      <c r="M937" s="667"/>
      <c r="N937" s="2"/>
      <c r="O937" s="2"/>
      <c r="P937" s="2"/>
      <c r="Q937" s="857"/>
      <c r="R937" s="858"/>
      <c r="S937" s="858"/>
      <c r="T937" s="858"/>
      <c r="U937" s="858"/>
      <c r="V937" s="858"/>
      <c r="W937" s="858"/>
      <c r="X937" s="858"/>
      <c r="Y937" s="858"/>
      <c r="Z937" s="858"/>
      <c r="AA937" s="858"/>
      <c r="AB937" s="858"/>
      <c r="AC937" s="858"/>
      <c r="AD937" s="858"/>
      <c r="AE937" s="858"/>
      <c r="AF937" s="858"/>
      <c r="AG937" s="858"/>
      <c r="AH937" s="858"/>
      <c r="AI937" s="858"/>
      <c r="AJ937" s="858"/>
    </row>
    <row r="938" ht="15.75" customHeight="1">
      <c r="A938" s="576"/>
      <c r="B938" s="2"/>
      <c r="C938" s="2"/>
      <c r="D938" s="668"/>
      <c r="E938" s="2"/>
      <c r="F938" s="2"/>
      <c r="G938" s="2"/>
      <c r="H938" s="2"/>
      <c r="I938" s="2"/>
      <c r="J938" s="2"/>
      <c r="K938" s="2"/>
      <c r="L938" s="2"/>
      <c r="M938" s="667"/>
      <c r="N938" s="2"/>
      <c r="O938" s="2"/>
      <c r="P938" s="2"/>
      <c r="Q938" s="857"/>
      <c r="R938" s="858"/>
      <c r="S938" s="858"/>
      <c r="T938" s="858"/>
      <c r="U938" s="858"/>
      <c r="V938" s="858"/>
      <c r="W938" s="858"/>
      <c r="X938" s="858"/>
      <c r="Y938" s="858"/>
      <c r="Z938" s="858"/>
      <c r="AA938" s="858"/>
      <c r="AB938" s="858"/>
      <c r="AC938" s="858"/>
      <c r="AD938" s="858"/>
      <c r="AE938" s="858"/>
      <c r="AF938" s="858"/>
      <c r="AG938" s="858"/>
      <c r="AH938" s="858"/>
      <c r="AI938" s="858"/>
      <c r="AJ938" s="858"/>
    </row>
    <row r="939" ht="15.75" customHeight="1">
      <c r="A939" s="576"/>
      <c r="B939" s="2"/>
      <c r="C939" s="2"/>
      <c r="D939" s="668"/>
      <c r="E939" s="2"/>
      <c r="F939" s="2"/>
      <c r="G939" s="2"/>
      <c r="H939" s="2"/>
      <c r="I939" s="2"/>
      <c r="J939" s="2"/>
      <c r="K939" s="2"/>
      <c r="L939" s="2"/>
      <c r="M939" s="667"/>
      <c r="N939" s="2"/>
      <c r="O939" s="2"/>
      <c r="P939" s="2"/>
      <c r="Q939" s="857"/>
      <c r="R939" s="858"/>
      <c r="S939" s="858"/>
      <c r="T939" s="858"/>
      <c r="U939" s="858"/>
      <c r="V939" s="858"/>
      <c r="W939" s="858"/>
      <c r="X939" s="858"/>
      <c r="Y939" s="858"/>
      <c r="Z939" s="858"/>
      <c r="AA939" s="858"/>
      <c r="AB939" s="858"/>
      <c r="AC939" s="858"/>
      <c r="AD939" s="858"/>
      <c r="AE939" s="858"/>
      <c r="AF939" s="858"/>
      <c r="AG939" s="858"/>
      <c r="AH939" s="858"/>
      <c r="AI939" s="858"/>
      <c r="AJ939" s="858"/>
    </row>
    <row r="940" ht="15.75" customHeight="1">
      <c r="A940" s="576"/>
      <c r="B940" s="2"/>
      <c r="C940" s="2"/>
      <c r="D940" s="668"/>
      <c r="E940" s="2"/>
      <c r="F940" s="2"/>
      <c r="G940" s="2"/>
      <c r="H940" s="2"/>
      <c r="I940" s="2"/>
      <c r="J940" s="2"/>
      <c r="K940" s="2"/>
      <c r="L940" s="2"/>
      <c r="M940" s="667"/>
      <c r="N940" s="2"/>
      <c r="O940" s="2"/>
      <c r="P940" s="2"/>
      <c r="Q940" s="857"/>
      <c r="R940" s="858"/>
      <c r="S940" s="858"/>
      <c r="T940" s="858"/>
      <c r="U940" s="858"/>
      <c r="V940" s="858"/>
      <c r="W940" s="858"/>
      <c r="X940" s="858"/>
      <c r="Y940" s="858"/>
      <c r="Z940" s="858"/>
      <c r="AA940" s="858"/>
      <c r="AB940" s="858"/>
      <c r="AC940" s="858"/>
      <c r="AD940" s="858"/>
      <c r="AE940" s="858"/>
      <c r="AF940" s="858"/>
      <c r="AG940" s="858"/>
      <c r="AH940" s="858"/>
      <c r="AI940" s="858"/>
      <c r="AJ940" s="858"/>
    </row>
    <row r="941" ht="15.75" customHeight="1">
      <c r="A941" s="576"/>
      <c r="B941" s="2"/>
      <c r="C941" s="2"/>
      <c r="D941" s="668"/>
      <c r="E941" s="2"/>
      <c r="F941" s="2"/>
      <c r="G941" s="2"/>
      <c r="H941" s="2"/>
      <c r="I941" s="2"/>
      <c r="J941" s="2"/>
      <c r="K941" s="2"/>
      <c r="L941" s="2"/>
      <c r="M941" s="667"/>
      <c r="N941" s="2"/>
      <c r="O941" s="2"/>
      <c r="P941" s="2"/>
      <c r="Q941" s="857"/>
      <c r="R941" s="858"/>
      <c r="S941" s="858"/>
      <c r="T941" s="858"/>
      <c r="U941" s="858"/>
      <c r="V941" s="858"/>
      <c r="W941" s="858"/>
      <c r="X941" s="858"/>
      <c r="Y941" s="858"/>
      <c r="Z941" s="858"/>
      <c r="AA941" s="858"/>
      <c r="AB941" s="858"/>
      <c r="AC941" s="858"/>
      <c r="AD941" s="858"/>
      <c r="AE941" s="858"/>
      <c r="AF941" s="858"/>
      <c r="AG941" s="858"/>
      <c r="AH941" s="858"/>
      <c r="AI941" s="858"/>
      <c r="AJ941" s="858"/>
    </row>
    <row r="942" ht="15.75" customHeight="1">
      <c r="A942" s="576"/>
      <c r="B942" s="2"/>
      <c r="C942" s="2"/>
      <c r="D942" s="668"/>
      <c r="E942" s="2"/>
      <c r="F942" s="2"/>
      <c r="G942" s="2"/>
      <c r="H942" s="2"/>
      <c r="I942" s="2"/>
      <c r="J942" s="2"/>
      <c r="K942" s="2"/>
      <c r="L942" s="2"/>
      <c r="M942" s="667"/>
      <c r="N942" s="2"/>
      <c r="O942" s="2"/>
      <c r="P942" s="2"/>
      <c r="Q942" s="857"/>
      <c r="R942" s="858"/>
      <c r="S942" s="858"/>
      <c r="T942" s="858"/>
      <c r="U942" s="858"/>
      <c r="V942" s="858"/>
      <c r="W942" s="858"/>
      <c r="X942" s="858"/>
      <c r="Y942" s="858"/>
      <c r="Z942" s="858"/>
      <c r="AA942" s="858"/>
      <c r="AB942" s="858"/>
      <c r="AC942" s="858"/>
      <c r="AD942" s="858"/>
      <c r="AE942" s="858"/>
      <c r="AF942" s="858"/>
      <c r="AG942" s="858"/>
      <c r="AH942" s="858"/>
      <c r="AI942" s="858"/>
      <c r="AJ942" s="858"/>
    </row>
    <row r="943" ht="15.75" customHeight="1">
      <c r="A943" s="576"/>
      <c r="B943" s="2"/>
      <c r="C943" s="2"/>
      <c r="D943" s="668"/>
      <c r="E943" s="2"/>
      <c r="F943" s="2"/>
      <c r="G943" s="2"/>
      <c r="H943" s="2"/>
      <c r="I943" s="2"/>
      <c r="J943" s="2"/>
      <c r="K943" s="2"/>
      <c r="L943" s="2"/>
      <c r="M943" s="667"/>
      <c r="N943" s="2"/>
      <c r="O943" s="2"/>
      <c r="P943" s="2"/>
      <c r="Q943" s="857"/>
      <c r="R943" s="858"/>
      <c r="S943" s="858"/>
      <c r="T943" s="858"/>
      <c r="U943" s="858"/>
      <c r="V943" s="858"/>
      <c r="W943" s="858"/>
      <c r="X943" s="858"/>
      <c r="Y943" s="858"/>
      <c r="Z943" s="858"/>
      <c r="AA943" s="858"/>
      <c r="AB943" s="858"/>
      <c r="AC943" s="858"/>
      <c r="AD943" s="858"/>
      <c r="AE943" s="858"/>
      <c r="AF943" s="858"/>
      <c r="AG943" s="858"/>
      <c r="AH943" s="858"/>
      <c r="AI943" s="858"/>
      <c r="AJ943" s="858"/>
    </row>
    <row r="944" ht="15.75" customHeight="1">
      <c r="A944" s="576"/>
      <c r="B944" s="2"/>
      <c r="C944" s="2"/>
      <c r="D944" s="668"/>
      <c r="E944" s="2"/>
      <c r="F944" s="2"/>
      <c r="G944" s="2"/>
      <c r="H944" s="2"/>
      <c r="I944" s="2"/>
      <c r="J944" s="2"/>
      <c r="K944" s="2"/>
      <c r="L944" s="2"/>
      <c r="M944" s="667"/>
      <c r="N944" s="2"/>
      <c r="O944" s="2"/>
      <c r="P944" s="2"/>
      <c r="Q944" s="857"/>
      <c r="R944" s="858"/>
      <c r="S944" s="858"/>
      <c r="T944" s="858"/>
      <c r="U944" s="858"/>
      <c r="V944" s="858"/>
      <c r="W944" s="858"/>
      <c r="X944" s="858"/>
      <c r="Y944" s="858"/>
      <c r="Z944" s="858"/>
      <c r="AA944" s="858"/>
      <c r="AB944" s="858"/>
      <c r="AC944" s="858"/>
      <c r="AD944" s="858"/>
      <c r="AE944" s="858"/>
      <c r="AF944" s="858"/>
      <c r="AG944" s="858"/>
      <c r="AH944" s="858"/>
      <c r="AI944" s="858"/>
      <c r="AJ944" s="858"/>
    </row>
    <row r="945" ht="15.75" customHeight="1">
      <c r="A945" s="576"/>
      <c r="B945" s="2"/>
      <c r="C945" s="2"/>
      <c r="D945" s="668"/>
      <c r="E945" s="2"/>
      <c r="F945" s="2"/>
      <c r="G945" s="2"/>
      <c r="H945" s="2"/>
      <c r="I945" s="2"/>
      <c r="J945" s="2"/>
      <c r="K945" s="2"/>
      <c r="L945" s="2"/>
      <c r="M945" s="667"/>
      <c r="N945" s="2"/>
      <c r="O945" s="2"/>
      <c r="P945" s="2"/>
      <c r="Q945" s="857"/>
      <c r="R945" s="858"/>
      <c r="S945" s="858"/>
      <c r="T945" s="858"/>
      <c r="U945" s="858"/>
      <c r="V945" s="858"/>
      <c r="W945" s="858"/>
      <c r="X945" s="858"/>
      <c r="Y945" s="858"/>
      <c r="Z945" s="858"/>
      <c r="AA945" s="858"/>
      <c r="AB945" s="858"/>
      <c r="AC945" s="858"/>
      <c r="AD945" s="858"/>
      <c r="AE945" s="858"/>
      <c r="AF945" s="858"/>
      <c r="AG945" s="858"/>
      <c r="AH945" s="858"/>
      <c r="AI945" s="858"/>
      <c r="AJ945" s="858"/>
    </row>
    <row r="946" ht="15.75" customHeight="1">
      <c r="A946" s="576"/>
      <c r="B946" s="2"/>
      <c r="C946" s="2"/>
      <c r="D946" s="668"/>
      <c r="E946" s="2"/>
      <c r="F946" s="2"/>
      <c r="G946" s="2"/>
      <c r="H946" s="2"/>
      <c r="I946" s="2"/>
      <c r="J946" s="2"/>
      <c r="K946" s="2"/>
      <c r="L946" s="2"/>
      <c r="M946" s="667"/>
      <c r="N946" s="2"/>
      <c r="O946" s="2"/>
      <c r="P946" s="2"/>
      <c r="Q946" s="857"/>
      <c r="R946" s="858"/>
      <c r="S946" s="858"/>
      <c r="T946" s="858"/>
      <c r="U946" s="858"/>
      <c r="V946" s="858"/>
      <c r="W946" s="858"/>
      <c r="X946" s="858"/>
      <c r="Y946" s="858"/>
      <c r="Z946" s="858"/>
      <c r="AA946" s="858"/>
      <c r="AB946" s="858"/>
      <c r="AC946" s="858"/>
      <c r="AD946" s="858"/>
      <c r="AE946" s="858"/>
      <c r="AF946" s="858"/>
      <c r="AG946" s="858"/>
      <c r="AH946" s="858"/>
      <c r="AI946" s="858"/>
      <c r="AJ946" s="858"/>
    </row>
    <row r="947" ht="15.75" customHeight="1">
      <c r="A947" s="576"/>
      <c r="B947" s="2"/>
      <c r="C947" s="2"/>
      <c r="D947" s="668"/>
      <c r="E947" s="2"/>
      <c r="F947" s="2"/>
      <c r="G947" s="2"/>
      <c r="H947" s="2"/>
      <c r="I947" s="2"/>
      <c r="J947" s="2"/>
      <c r="K947" s="2"/>
      <c r="L947" s="2"/>
      <c r="M947" s="667"/>
      <c r="N947" s="2"/>
      <c r="O947" s="2"/>
      <c r="P947" s="2"/>
      <c r="Q947" s="857"/>
      <c r="R947" s="858"/>
      <c r="S947" s="858"/>
      <c r="T947" s="858"/>
      <c r="U947" s="858"/>
      <c r="V947" s="858"/>
      <c r="W947" s="858"/>
      <c r="X947" s="858"/>
      <c r="Y947" s="858"/>
      <c r="Z947" s="858"/>
      <c r="AA947" s="858"/>
      <c r="AB947" s="858"/>
      <c r="AC947" s="858"/>
      <c r="AD947" s="858"/>
      <c r="AE947" s="858"/>
      <c r="AF947" s="858"/>
      <c r="AG947" s="858"/>
      <c r="AH947" s="858"/>
      <c r="AI947" s="858"/>
      <c r="AJ947" s="858"/>
    </row>
    <row r="948" ht="15.75" customHeight="1">
      <c r="A948" s="576"/>
      <c r="B948" s="2"/>
      <c r="C948" s="2"/>
      <c r="D948" s="668"/>
      <c r="E948" s="2"/>
      <c r="F948" s="2"/>
      <c r="G948" s="2"/>
      <c r="H948" s="2"/>
      <c r="I948" s="2"/>
      <c r="J948" s="2"/>
      <c r="K948" s="2"/>
      <c r="L948" s="2"/>
      <c r="M948" s="667"/>
      <c r="N948" s="2"/>
      <c r="O948" s="2"/>
      <c r="P948" s="2"/>
      <c r="Q948" s="857"/>
      <c r="R948" s="858"/>
      <c r="S948" s="858"/>
      <c r="T948" s="858"/>
      <c r="U948" s="858"/>
      <c r="V948" s="858"/>
      <c r="W948" s="858"/>
      <c r="X948" s="858"/>
      <c r="Y948" s="858"/>
      <c r="Z948" s="858"/>
      <c r="AA948" s="858"/>
      <c r="AB948" s="858"/>
      <c r="AC948" s="858"/>
      <c r="AD948" s="858"/>
      <c r="AE948" s="858"/>
      <c r="AF948" s="858"/>
      <c r="AG948" s="858"/>
      <c r="AH948" s="858"/>
      <c r="AI948" s="858"/>
      <c r="AJ948" s="858"/>
    </row>
    <row r="949" ht="15.75" customHeight="1">
      <c r="A949" s="576"/>
      <c r="B949" s="2"/>
      <c r="C949" s="2"/>
      <c r="D949" s="668"/>
      <c r="E949" s="2"/>
      <c r="F949" s="2"/>
      <c r="G949" s="2"/>
      <c r="H949" s="2"/>
      <c r="I949" s="2"/>
      <c r="J949" s="2"/>
      <c r="K949" s="2"/>
      <c r="L949" s="2"/>
      <c r="M949" s="667"/>
      <c r="N949" s="2"/>
      <c r="O949" s="2"/>
      <c r="P949" s="2"/>
      <c r="Q949" s="857"/>
      <c r="R949" s="858"/>
      <c r="S949" s="858"/>
      <c r="T949" s="858"/>
      <c r="U949" s="858"/>
      <c r="V949" s="858"/>
      <c r="W949" s="858"/>
      <c r="X949" s="858"/>
      <c r="Y949" s="858"/>
      <c r="Z949" s="858"/>
      <c r="AA949" s="858"/>
      <c r="AB949" s="858"/>
      <c r="AC949" s="858"/>
      <c r="AD949" s="858"/>
      <c r="AE949" s="858"/>
      <c r="AF949" s="858"/>
      <c r="AG949" s="858"/>
      <c r="AH949" s="858"/>
      <c r="AI949" s="858"/>
      <c r="AJ949" s="858"/>
    </row>
    <row r="950" ht="15.75" customHeight="1">
      <c r="A950" s="576"/>
      <c r="B950" s="2"/>
      <c r="C950" s="2"/>
      <c r="D950" s="668"/>
      <c r="E950" s="2"/>
      <c r="F950" s="2"/>
      <c r="G950" s="2"/>
      <c r="H950" s="2"/>
      <c r="I950" s="2"/>
      <c r="J950" s="2"/>
      <c r="K950" s="2"/>
      <c r="L950" s="2"/>
      <c r="M950" s="667"/>
      <c r="N950" s="2"/>
      <c r="O950" s="2"/>
      <c r="P950" s="2"/>
      <c r="Q950" s="857"/>
      <c r="R950" s="858"/>
      <c r="S950" s="858"/>
      <c r="T950" s="858"/>
      <c r="U950" s="858"/>
      <c r="V950" s="858"/>
      <c r="W950" s="858"/>
      <c r="X950" s="858"/>
      <c r="Y950" s="858"/>
      <c r="Z950" s="858"/>
      <c r="AA950" s="858"/>
      <c r="AB950" s="858"/>
      <c r="AC950" s="858"/>
      <c r="AD950" s="858"/>
      <c r="AE950" s="858"/>
      <c r="AF950" s="858"/>
      <c r="AG950" s="858"/>
      <c r="AH950" s="858"/>
      <c r="AI950" s="858"/>
      <c r="AJ950" s="858"/>
    </row>
    <row r="951" ht="15.75" customHeight="1">
      <c r="A951" s="576"/>
      <c r="B951" s="2"/>
      <c r="C951" s="2"/>
      <c r="D951" s="668"/>
      <c r="E951" s="2"/>
      <c r="F951" s="2"/>
      <c r="G951" s="2"/>
      <c r="H951" s="2"/>
      <c r="I951" s="2"/>
      <c r="J951" s="2"/>
      <c r="K951" s="2"/>
      <c r="L951" s="2"/>
      <c r="M951" s="667"/>
      <c r="N951" s="2"/>
      <c r="O951" s="2"/>
      <c r="P951" s="2"/>
      <c r="Q951" s="857"/>
      <c r="R951" s="858"/>
      <c r="S951" s="858"/>
      <c r="T951" s="858"/>
      <c r="U951" s="858"/>
      <c r="V951" s="858"/>
      <c r="W951" s="858"/>
      <c r="X951" s="858"/>
      <c r="Y951" s="858"/>
      <c r="Z951" s="858"/>
      <c r="AA951" s="858"/>
      <c r="AB951" s="858"/>
      <c r="AC951" s="858"/>
      <c r="AD951" s="858"/>
      <c r="AE951" s="858"/>
      <c r="AF951" s="858"/>
      <c r="AG951" s="858"/>
      <c r="AH951" s="858"/>
      <c r="AI951" s="858"/>
      <c r="AJ951" s="858"/>
    </row>
    <row r="952" ht="15.75" customHeight="1">
      <c r="A952" s="576"/>
      <c r="B952" s="2"/>
      <c r="C952" s="2"/>
      <c r="D952" s="668"/>
      <c r="E952" s="2"/>
      <c r="F952" s="2"/>
      <c r="G952" s="2"/>
      <c r="H952" s="2"/>
      <c r="I952" s="2"/>
      <c r="J952" s="2"/>
      <c r="K952" s="2"/>
      <c r="L952" s="2"/>
      <c r="M952" s="667"/>
      <c r="N952" s="2"/>
      <c r="O952" s="2"/>
      <c r="P952" s="2"/>
      <c r="Q952" s="857"/>
      <c r="R952" s="858"/>
      <c r="S952" s="858"/>
      <c r="T952" s="858"/>
      <c r="U952" s="858"/>
      <c r="V952" s="858"/>
      <c r="W952" s="858"/>
      <c r="X952" s="858"/>
      <c r="Y952" s="858"/>
      <c r="Z952" s="858"/>
      <c r="AA952" s="858"/>
      <c r="AB952" s="858"/>
      <c r="AC952" s="858"/>
      <c r="AD952" s="858"/>
      <c r="AE952" s="858"/>
      <c r="AF952" s="858"/>
      <c r="AG952" s="858"/>
      <c r="AH952" s="858"/>
      <c r="AI952" s="858"/>
      <c r="AJ952" s="858"/>
    </row>
    <row r="953" ht="15.75" customHeight="1">
      <c r="A953" s="576"/>
      <c r="B953" s="2"/>
      <c r="C953" s="2"/>
      <c r="D953" s="668"/>
      <c r="E953" s="2"/>
      <c r="F953" s="2"/>
      <c r="G953" s="2"/>
      <c r="H953" s="2"/>
      <c r="I953" s="2"/>
      <c r="J953" s="2"/>
      <c r="K953" s="2"/>
      <c r="L953" s="2"/>
      <c r="M953" s="667"/>
      <c r="N953" s="2"/>
      <c r="O953" s="2"/>
      <c r="P953" s="2"/>
      <c r="Q953" s="857"/>
      <c r="R953" s="858"/>
      <c r="S953" s="858"/>
      <c r="T953" s="858"/>
      <c r="U953" s="858"/>
      <c r="V953" s="858"/>
      <c r="W953" s="858"/>
      <c r="X953" s="858"/>
      <c r="Y953" s="858"/>
      <c r="Z953" s="858"/>
      <c r="AA953" s="858"/>
      <c r="AB953" s="858"/>
      <c r="AC953" s="858"/>
      <c r="AD953" s="858"/>
      <c r="AE953" s="858"/>
      <c r="AF953" s="858"/>
      <c r="AG953" s="858"/>
      <c r="AH953" s="858"/>
      <c r="AI953" s="858"/>
      <c r="AJ953" s="858"/>
    </row>
    <row r="954" ht="15.75" customHeight="1">
      <c r="A954" s="576"/>
      <c r="B954" s="2"/>
      <c r="C954" s="2"/>
      <c r="D954" s="668"/>
      <c r="E954" s="2"/>
      <c r="F954" s="2"/>
      <c r="G954" s="2"/>
      <c r="H954" s="2"/>
      <c r="I954" s="2"/>
      <c r="J954" s="2"/>
      <c r="K954" s="2"/>
      <c r="L954" s="2"/>
      <c r="M954" s="667"/>
      <c r="N954" s="2"/>
      <c r="O954" s="2"/>
      <c r="P954" s="2"/>
      <c r="Q954" s="857"/>
      <c r="R954" s="858"/>
      <c r="S954" s="858"/>
      <c r="T954" s="858"/>
      <c r="U954" s="858"/>
      <c r="V954" s="858"/>
      <c r="W954" s="858"/>
      <c r="X954" s="858"/>
      <c r="Y954" s="858"/>
      <c r="Z954" s="858"/>
      <c r="AA954" s="858"/>
      <c r="AB954" s="858"/>
      <c r="AC954" s="858"/>
      <c r="AD954" s="858"/>
      <c r="AE954" s="858"/>
      <c r="AF954" s="858"/>
      <c r="AG954" s="858"/>
      <c r="AH954" s="858"/>
      <c r="AI954" s="858"/>
      <c r="AJ954" s="858"/>
    </row>
    <row r="955" ht="15.75" customHeight="1">
      <c r="A955" s="576"/>
      <c r="B955" s="2"/>
      <c r="C955" s="2"/>
      <c r="D955" s="668"/>
      <c r="E955" s="2"/>
      <c r="F955" s="2"/>
      <c r="G955" s="2"/>
      <c r="H955" s="2"/>
      <c r="I955" s="2"/>
      <c r="J955" s="2"/>
      <c r="K955" s="2"/>
      <c r="L955" s="2"/>
      <c r="M955" s="667"/>
      <c r="N955" s="2"/>
      <c r="O955" s="2"/>
      <c r="P955" s="2"/>
      <c r="Q955" s="857"/>
      <c r="R955" s="858"/>
      <c r="S955" s="858"/>
      <c r="T955" s="858"/>
      <c r="U955" s="858"/>
      <c r="V955" s="858"/>
      <c r="W955" s="858"/>
      <c r="X955" s="858"/>
      <c r="Y955" s="858"/>
      <c r="Z955" s="858"/>
      <c r="AA955" s="858"/>
      <c r="AB955" s="858"/>
      <c r="AC955" s="858"/>
      <c r="AD955" s="858"/>
      <c r="AE955" s="858"/>
      <c r="AF955" s="858"/>
      <c r="AG955" s="858"/>
      <c r="AH955" s="858"/>
      <c r="AI955" s="858"/>
      <c r="AJ955" s="858"/>
    </row>
    <row r="956" ht="15.75" customHeight="1">
      <c r="A956" s="576"/>
      <c r="B956" s="2"/>
      <c r="C956" s="2"/>
      <c r="D956" s="668"/>
      <c r="E956" s="2"/>
      <c r="F956" s="2"/>
      <c r="G956" s="2"/>
      <c r="H956" s="2"/>
      <c r="I956" s="2"/>
      <c r="J956" s="2"/>
      <c r="K956" s="2"/>
      <c r="L956" s="2"/>
      <c r="M956" s="667"/>
      <c r="N956" s="2"/>
      <c r="O956" s="2"/>
      <c r="P956" s="2"/>
      <c r="Q956" s="857"/>
      <c r="R956" s="858"/>
      <c r="S956" s="858"/>
      <c r="T956" s="858"/>
      <c r="U956" s="858"/>
      <c r="V956" s="858"/>
      <c r="W956" s="858"/>
      <c r="X956" s="858"/>
      <c r="Y956" s="858"/>
      <c r="Z956" s="858"/>
      <c r="AA956" s="858"/>
      <c r="AB956" s="858"/>
      <c r="AC956" s="858"/>
      <c r="AD956" s="858"/>
      <c r="AE956" s="858"/>
      <c r="AF956" s="858"/>
      <c r="AG956" s="858"/>
      <c r="AH956" s="858"/>
      <c r="AI956" s="858"/>
      <c r="AJ956" s="858"/>
    </row>
    <row r="957" ht="15.75" customHeight="1">
      <c r="A957" s="576"/>
      <c r="B957" s="2"/>
      <c r="C957" s="2"/>
      <c r="D957" s="668"/>
      <c r="E957" s="2"/>
      <c r="F957" s="2"/>
      <c r="G957" s="2"/>
      <c r="H957" s="2"/>
      <c r="I957" s="2"/>
      <c r="J957" s="2"/>
      <c r="K957" s="2"/>
      <c r="L957" s="2"/>
      <c r="M957" s="667"/>
      <c r="N957" s="2"/>
      <c r="O957" s="2"/>
      <c r="P957" s="2"/>
      <c r="Q957" s="857"/>
      <c r="R957" s="858"/>
      <c r="S957" s="858"/>
      <c r="T957" s="858"/>
      <c r="U957" s="858"/>
      <c r="V957" s="858"/>
      <c r="W957" s="858"/>
      <c r="X957" s="858"/>
      <c r="Y957" s="858"/>
      <c r="Z957" s="858"/>
      <c r="AA957" s="858"/>
      <c r="AB957" s="858"/>
      <c r="AC957" s="858"/>
      <c r="AD957" s="858"/>
      <c r="AE957" s="858"/>
      <c r="AF957" s="858"/>
      <c r="AG957" s="858"/>
      <c r="AH957" s="858"/>
      <c r="AI957" s="858"/>
      <c r="AJ957" s="858"/>
    </row>
    <row r="958" ht="15.75" customHeight="1">
      <c r="A958" s="576"/>
      <c r="B958" s="2"/>
      <c r="C958" s="2"/>
      <c r="D958" s="668"/>
      <c r="E958" s="2"/>
      <c r="F958" s="2"/>
      <c r="G958" s="2"/>
      <c r="H958" s="2"/>
      <c r="I958" s="2"/>
      <c r="J958" s="2"/>
      <c r="K958" s="2"/>
      <c r="L958" s="2"/>
      <c r="M958" s="667"/>
      <c r="N958" s="2"/>
      <c r="O958" s="2"/>
      <c r="P958" s="2"/>
      <c r="Q958" s="857"/>
      <c r="R958" s="858"/>
      <c r="S958" s="858"/>
      <c r="T958" s="858"/>
      <c r="U958" s="858"/>
      <c r="V958" s="858"/>
      <c r="W958" s="858"/>
      <c r="X958" s="858"/>
      <c r="Y958" s="858"/>
      <c r="Z958" s="858"/>
      <c r="AA958" s="858"/>
      <c r="AB958" s="858"/>
      <c r="AC958" s="858"/>
      <c r="AD958" s="858"/>
      <c r="AE958" s="858"/>
      <c r="AF958" s="858"/>
      <c r="AG958" s="858"/>
      <c r="AH958" s="858"/>
      <c r="AI958" s="858"/>
      <c r="AJ958" s="858"/>
    </row>
    <row r="959" ht="15.75" customHeight="1">
      <c r="A959" s="576"/>
      <c r="B959" s="2"/>
      <c r="C959" s="2"/>
      <c r="D959" s="668"/>
      <c r="E959" s="2"/>
      <c r="F959" s="2"/>
      <c r="G959" s="2"/>
      <c r="H959" s="2"/>
      <c r="I959" s="2"/>
      <c r="J959" s="2"/>
      <c r="K959" s="2"/>
      <c r="L959" s="2"/>
      <c r="M959" s="667"/>
      <c r="N959" s="2"/>
      <c r="O959" s="2"/>
      <c r="P959" s="2"/>
      <c r="Q959" s="857"/>
      <c r="R959" s="858"/>
      <c r="S959" s="858"/>
      <c r="T959" s="858"/>
      <c r="U959" s="858"/>
      <c r="V959" s="858"/>
      <c r="W959" s="858"/>
      <c r="X959" s="858"/>
      <c r="Y959" s="858"/>
      <c r="Z959" s="858"/>
      <c r="AA959" s="858"/>
      <c r="AB959" s="858"/>
      <c r="AC959" s="858"/>
      <c r="AD959" s="858"/>
      <c r="AE959" s="858"/>
      <c r="AF959" s="858"/>
      <c r="AG959" s="858"/>
      <c r="AH959" s="858"/>
      <c r="AI959" s="858"/>
      <c r="AJ959" s="858"/>
    </row>
    <row r="960" ht="15.75" customHeight="1">
      <c r="A960" s="576"/>
      <c r="B960" s="2"/>
      <c r="C960" s="2"/>
      <c r="D960" s="668"/>
      <c r="E960" s="2"/>
      <c r="F960" s="2"/>
      <c r="G960" s="2"/>
      <c r="H960" s="2"/>
      <c r="I960" s="2"/>
      <c r="J960" s="2"/>
      <c r="K960" s="2"/>
      <c r="L960" s="2"/>
      <c r="M960" s="667"/>
      <c r="N960" s="2"/>
      <c r="O960" s="2"/>
      <c r="P960" s="2"/>
      <c r="Q960" s="857"/>
      <c r="R960" s="858"/>
      <c r="S960" s="858"/>
      <c r="T960" s="858"/>
      <c r="U960" s="858"/>
      <c r="V960" s="858"/>
      <c r="W960" s="858"/>
      <c r="X960" s="858"/>
      <c r="Y960" s="858"/>
      <c r="Z960" s="858"/>
      <c r="AA960" s="858"/>
      <c r="AB960" s="858"/>
      <c r="AC960" s="858"/>
      <c r="AD960" s="858"/>
      <c r="AE960" s="858"/>
      <c r="AF960" s="858"/>
      <c r="AG960" s="858"/>
      <c r="AH960" s="858"/>
      <c r="AI960" s="858"/>
      <c r="AJ960" s="858"/>
    </row>
    <row r="961" ht="15.75" customHeight="1">
      <c r="A961" s="576"/>
      <c r="B961" s="2"/>
      <c r="C961" s="2"/>
      <c r="D961" s="668"/>
      <c r="E961" s="2"/>
      <c r="F961" s="2"/>
      <c r="G961" s="2"/>
      <c r="H961" s="2"/>
      <c r="I961" s="2"/>
      <c r="J961" s="2"/>
      <c r="K961" s="2"/>
      <c r="L961" s="2"/>
      <c r="M961" s="667"/>
      <c r="N961" s="2"/>
      <c r="O961" s="2"/>
      <c r="P961" s="2"/>
      <c r="Q961" s="857"/>
      <c r="R961" s="858"/>
      <c r="S961" s="858"/>
      <c r="T961" s="858"/>
      <c r="U961" s="858"/>
      <c r="V961" s="858"/>
      <c r="W961" s="858"/>
      <c r="X961" s="858"/>
      <c r="Y961" s="858"/>
      <c r="Z961" s="858"/>
      <c r="AA961" s="858"/>
      <c r="AB961" s="858"/>
      <c r="AC961" s="858"/>
      <c r="AD961" s="858"/>
      <c r="AE961" s="858"/>
      <c r="AF961" s="858"/>
      <c r="AG961" s="858"/>
      <c r="AH961" s="858"/>
      <c r="AI961" s="858"/>
      <c r="AJ961" s="858"/>
    </row>
    <row r="962" ht="15.75" customHeight="1">
      <c r="A962" s="576"/>
      <c r="B962" s="2"/>
      <c r="C962" s="2"/>
      <c r="D962" s="668"/>
      <c r="E962" s="2"/>
      <c r="F962" s="2"/>
      <c r="G962" s="2"/>
      <c r="H962" s="2"/>
      <c r="I962" s="2"/>
      <c r="J962" s="2"/>
      <c r="K962" s="2"/>
      <c r="L962" s="2"/>
      <c r="M962" s="667"/>
      <c r="N962" s="2"/>
      <c r="O962" s="2"/>
      <c r="P962" s="2"/>
      <c r="Q962" s="857"/>
      <c r="R962" s="858"/>
      <c r="S962" s="858"/>
      <c r="T962" s="858"/>
      <c r="U962" s="858"/>
      <c r="V962" s="858"/>
      <c r="W962" s="858"/>
      <c r="X962" s="858"/>
      <c r="Y962" s="858"/>
      <c r="Z962" s="858"/>
      <c r="AA962" s="858"/>
      <c r="AB962" s="858"/>
      <c r="AC962" s="858"/>
      <c r="AD962" s="858"/>
      <c r="AE962" s="858"/>
      <c r="AF962" s="858"/>
      <c r="AG962" s="858"/>
      <c r="AH962" s="858"/>
      <c r="AI962" s="858"/>
      <c r="AJ962" s="858"/>
    </row>
    <row r="963" ht="15.75" customHeight="1">
      <c r="A963" s="576"/>
      <c r="B963" s="2"/>
      <c r="C963" s="2"/>
      <c r="D963" s="668"/>
      <c r="E963" s="2"/>
      <c r="F963" s="2"/>
      <c r="G963" s="2"/>
      <c r="H963" s="2"/>
      <c r="I963" s="2"/>
      <c r="J963" s="2"/>
      <c r="K963" s="2"/>
      <c r="L963" s="2"/>
      <c r="M963" s="667"/>
      <c r="N963" s="2"/>
      <c r="O963" s="2"/>
      <c r="P963" s="2"/>
      <c r="Q963" s="857"/>
      <c r="R963" s="858"/>
      <c r="S963" s="858"/>
      <c r="T963" s="858"/>
      <c r="U963" s="858"/>
      <c r="V963" s="858"/>
      <c r="W963" s="858"/>
      <c r="X963" s="858"/>
      <c r="Y963" s="858"/>
      <c r="Z963" s="858"/>
      <c r="AA963" s="858"/>
      <c r="AB963" s="858"/>
      <c r="AC963" s="858"/>
      <c r="AD963" s="858"/>
      <c r="AE963" s="858"/>
      <c r="AF963" s="858"/>
      <c r="AG963" s="858"/>
      <c r="AH963" s="858"/>
      <c r="AI963" s="858"/>
      <c r="AJ963" s="858"/>
    </row>
    <row r="964" ht="15.75" customHeight="1">
      <c r="A964" s="576"/>
      <c r="B964" s="2"/>
      <c r="C964" s="2"/>
      <c r="D964" s="668"/>
      <c r="E964" s="2"/>
      <c r="F964" s="2"/>
      <c r="G964" s="2"/>
      <c r="H964" s="2"/>
      <c r="I964" s="2"/>
      <c r="J964" s="2"/>
      <c r="K964" s="2"/>
      <c r="L964" s="2"/>
      <c r="M964" s="667"/>
      <c r="N964" s="2"/>
      <c r="O964" s="2"/>
      <c r="P964" s="2"/>
      <c r="Q964" s="857"/>
      <c r="R964" s="858"/>
      <c r="S964" s="858"/>
      <c r="T964" s="858"/>
      <c r="U964" s="858"/>
      <c r="V964" s="858"/>
      <c r="W964" s="858"/>
      <c r="X964" s="858"/>
      <c r="Y964" s="858"/>
      <c r="Z964" s="858"/>
      <c r="AA964" s="858"/>
      <c r="AB964" s="858"/>
      <c r="AC964" s="858"/>
      <c r="AD964" s="858"/>
      <c r="AE964" s="858"/>
      <c r="AF964" s="858"/>
      <c r="AG964" s="858"/>
      <c r="AH964" s="858"/>
      <c r="AI964" s="858"/>
      <c r="AJ964" s="858"/>
    </row>
    <row r="965" ht="15.75" customHeight="1">
      <c r="A965" s="576"/>
      <c r="B965" s="2"/>
      <c r="C965" s="2"/>
      <c r="D965" s="668"/>
      <c r="E965" s="2"/>
      <c r="F965" s="2"/>
      <c r="G965" s="2"/>
      <c r="H965" s="2"/>
      <c r="I965" s="2"/>
      <c r="J965" s="2"/>
      <c r="K965" s="2"/>
      <c r="L965" s="2"/>
      <c r="M965" s="667"/>
      <c r="N965" s="2"/>
      <c r="O965" s="2"/>
      <c r="P965" s="2"/>
      <c r="Q965" s="857"/>
      <c r="R965" s="858"/>
      <c r="S965" s="858"/>
      <c r="T965" s="858"/>
      <c r="U965" s="858"/>
      <c r="V965" s="858"/>
      <c r="W965" s="858"/>
      <c r="X965" s="858"/>
      <c r="Y965" s="858"/>
      <c r="Z965" s="858"/>
      <c r="AA965" s="858"/>
      <c r="AB965" s="858"/>
      <c r="AC965" s="858"/>
      <c r="AD965" s="858"/>
      <c r="AE965" s="858"/>
      <c r="AF965" s="858"/>
      <c r="AG965" s="858"/>
      <c r="AH965" s="858"/>
      <c r="AI965" s="858"/>
      <c r="AJ965" s="858"/>
    </row>
    <row r="966" ht="15.75" customHeight="1">
      <c r="A966" s="576"/>
      <c r="B966" s="2"/>
      <c r="C966" s="2"/>
      <c r="D966" s="668"/>
      <c r="E966" s="2"/>
      <c r="F966" s="2"/>
      <c r="G966" s="2"/>
      <c r="H966" s="2"/>
      <c r="I966" s="2"/>
      <c r="J966" s="2"/>
      <c r="K966" s="2"/>
      <c r="L966" s="2"/>
      <c r="M966" s="667"/>
      <c r="N966" s="2"/>
      <c r="O966" s="2"/>
      <c r="P966" s="2"/>
      <c r="Q966" s="857"/>
      <c r="R966" s="858"/>
      <c r="S966" s="858"/>
      <c r="T966" s="858"/>
      <c r="U966" s="858"/>
      <c r="V966" s="858"/>
      <c r="W966" s="858"/>
      <c r="X966" s="858"/>
      <c r="Y966" s="858"/>
      <c r="Z966" s="858"/>
      <c r="AA966" s="858"/>
      <c r="AB966" s="858"/>
      <c r="AC966" s="858"/>
      <c r="AD966" s="858"/>
      <c r="AE966" s="858"/>
      <c r="AF966" s="858"/>
      <c r="AG966" s="858"/>
      <c r="AH966" s="858"/>
      <c r="AI966" s="858"/>
      <c r="AJ966" s="858"/>
    </row>
    <row r="967" ht="15.75" customHeight="1">
      <c r="A967" s="576"/>
      <c r="B967" s="2"/>
      <c r="C967" s="2"/>
      <c r="D967" s="668"/>
      <c r="E967" s="2"/>
      <c r="F967" s="2"/>
      <c r="G967" s="2"/>
      <c r="H967" s="2"/>
      <c r="I967" s="2"/>
      <c r="J967" s="2"/>
      <c r="K967" s="2"/>
      <c r="L967" s="2"/>
      <c r="M967" s="667"/>
      <c r="N967" s="2"/>
      <c r="O967" s="2"/>
      <c r="P967" s="2"/>
      <c r="Q967" s="857"/>
      <c r="R967" s="858"/>
      <c r="S967" s="858"/>
      <c r="T967" s="858"/>
      <c r="U967" s="858"/>
      <c r="V967" s="858"/>
      <c r="W967" s="858"/>
      <c r="X967" s="858"/>
      <c r="Y967" s="858"/>
      <c r="Z967" s="858"/>
      <c r="AA967" s="858"/>
      <c r="AB967" s="858"/>
      <c r="AC967" s="858"/>
      <c r="AD967" s="858"/>
      <c r="AE967" s="858"/>
      <c r="AF967" s="858"/>
      <c r="AG967" s="858"/>
      <c r="AH967" s="858"/>
      <c r="AI967" s="858"/>
      <c r="AJ967" s="858"/>
    </row>
    <row r="968" ht="15.75" customHeight="1">
      <c r="A968" s="576"/>
      <c r="B968" s="2"/>
      <c r="C968" s="2"/>
      <c r="D968" s="668"/>
      <c r="E968" s="2"/>
      <c r="F968" s="2"/>
      <c r="G968" s="2"/>
      <c r="H968" s="2"/>
      <c r="I968" s="2"/>
      <c r="J968" s="2"/>
      <c r="K968" s="2"/>
      <c r="L968" s="2"/>
      <c r="M968" s="667"/>
      <c r="N968" s="2"/>
      <c r="O968" s="2"/>
      <c r="P968" s="2"/>
      <c r="Q968" s="857"/>
      <c r="R968" s="858"/>
      <c r="S968" s="858"/>
      <c r="T968" s="858"/>
      <c r="U968" s="858"/>
      <c r="V968" s="858"/>
      <c r="W968" s="858"/>
      <c r="X968" s="858"/>
      <c r="Y968" s="858"/>
      <c r="Z968" s="858"/>
      <c r="AA968" s="858"/>
      <c r="AB968" s="858"/>
      <c r="AC968" s="858"/>
      <c r="AD968" s="858"/>
      <c r="AE968" s="858"/>
      <c r="AF968" s="858"/>
      <c r="AG968" s="858"/>
      <c r="AH968" s="858"/>
      <c r="AI968" s="858"/>
      <c r="AJ968" s="858"/>
    </row>
    <row r="969" ht="15.75" customHeight="1">
      <c r="A969" s="576"/>
      <c r="B969" s="2"/>
      <c r="C969" s="2"/>
      <c r="D969" s="668"/>
      <c r="E969" s="2"/>
      <c r="F969" s="2"/>
      <c r="G969" s="2"/>
      <c r="H969" s="2"/>
      <c r="I969" s="2"/>
      <c r="J969" s="2"/>
      <c r="K969" s="2"/>
      <c r="L969" s="2"/>
      <c r="M969" s="667"/>
      <c r="N969" s="2"/>
      <c r="O969" s="2"/>
      <c r="P969" s="2"/>
      <c r="Q969" s="857"/>
      <c r="R969" s="858"/>
      <c r="S969" s="858"/>
      <c r="T969" s="858"/>
      <c r="U969" s="858"/>
      <c r="V969" s="858"/>
      <c r="W969" s="858"/>
      <c r="X969" s="858"/>
      <c r="Y969" s="858"/>
      <c r="Z969" s="858"/>
      <c r="AA969" s="858"/>
      <c r="AB969" s="858"/>
      <c r="AC969" s="858"/>
      <c r="AD969" s="858"/>
      <c r="AE969" s="858"/>
      <c r="AF969" s="858"/>
      <c r="AG969" s="858"/>
      <c r="AH969" s="858"/>
      <c r="AI969" s="858"/>
      <c r="AJ969" s="858"/>
    </row>
    <row r="970" ht="15.75" customHeight="1">
      <c r="A970" s="576"/>
      <c r="B970" s="2"/>
      <c r="C970" s="2"/>
      <c r="D970" s="668"/>
      <c r="E970" s="2"/>
      <c r="F970" s="2"/>
      <c r="G970" s="2"/>
      <c r="H970" s="2"/>
      <c r="I970" s="2"/>
      <c r="J970" s="2"/>
      <c r="K970" s="2"/>
      <c r="L970" s="2"/>
      <c r="M970" s="667"/>
      <c r="N970" s="2"/>
      <c r="O970" s="2"/>
      <c r="P970" s="2"/>
      <c r="Q970" s="857"/>
      <c r="R970" s="858"/>
      <c r="S970" s="858"/>
      <c r="T970" s="858"/>
      <c r="U970" s="858"/>
      <c r="V970" s="858"/>
      <c r="W970" s="858"/>
      <c r="X970" s="858"/>
      <c r="Y970" s="858"/>
      <c r="Z970" s="858"/>
      <c r="AA970" s="858"/>
      <c r="AB970" s="858"/>
      <c r="AC970" s="858"/>
      <c r="AD970" s="858"/>
      <c r="AE970" s="858"/>
      <c r="AF970" s="858"/>
      <c r="AG970" s="858"/>
      <c r="AH970" s="858"/>
      <c r="AI970" s="858"/>
      <c r="AJ970" s="858"/>
    </row>
    <row r="971" ht="15.75" customHeight="1">
      <c r="A971" s="576"/>
      <c r="B971" s="2"/>
      <c r="C971" s="2"/>
      <c r="D971" s="668"/>
      <c r="E971" s="2"/>
      <c r="F971" s="2"/>
      <c r="G971" s="2"/>
      <c r="H971" s="2"/>
      <c r="I971" s="2"/>
      <c r="J971" s="2"/>
      <c r="K971" s="2"/>
      <c r="L971" s="2"/>
      <c r="M971" s="667"/>
      <c r="N971" s="2"/>
      <c r="O971" s="2"/>
      <c r="P971" s="2"/>
      <c r="Q971" s="857"/>
      <c r="R971" s="858"/>
      <c r="S971" s="858"/>
      <c r="T971" s="858"/>
      <c r="U971" s="858"/>
      <c r="V971" s="858"/>
      <c r="W971" s="858"/>
      <c r="X971" s="858"/>
      <c r="Y971" s="858"/>
      <c r="Z971" s="858"/>
      <c r="AA971" s="858"/>
      <c r="AB971" s="858"/>
      <c r="AC971" s="858"/>
      <c r="AD971" s="858"/>
      <c r="AE971" s="858"/>
      <c r="AF971" s="858"/>
      <c r="AG971" s="858"/>
      <c r="AH971" s="858"/>
      <c r="AI971" s="858"/>
      <c r="AJ971" s="858"/>
    </row>
    <row r="972" ht="15.75" customHeight="1">
      <c r="A972" s="576"/>
      <c r="B972" s="2"/>
      <c r="C972" s="2"/>
      <c r="D972" s="668"/>
      <c r="E972" s="2"/>
      <c r="F972" s="2"/>
      <c r="G972" s="2"/>
      <c r="H972" s="2"/>
      <c r="I972" s="2"/>
      <c r="J972" s="2"/>
      <c r="K972" s="2"/>
      <c r="L972" s="2"/>
      <c r="M972" s="667"/>
      <c r="N972" s="2"/>
      <c r="O972" s="2"/>
      <c r="P972" s="2"/>
      <c r="Q972" s="857"/>
      <c r="R972" s="858"/>
      <c r="S972" s="858"/>
      <c r="T972" s="858"/>
      <c r="U972" s="858"/>
      <c r="V972" s="858"/>
      <c r="W972" s="858"/>
      <c r="X972" s="858"/>
      <c r="Y972" s="858"/>
      <c r="Z972" s="858"/>
      <c r="AA972" s="858"/>
      <c r="AB972" s="858"/>
      <c r="AC972" s="858"/>
      <c r="AD972" s="858"/>
      <c r="AE972" s="858"/>
      <c r="AF972" s="858"/>
      <c r="AG972" s="858"/>
      <c r="AH972" s="858"/>
      <c r="AI972" s="858"/>
      <c r="AJ972" s="858"/>
    </row>
    <row r="973" ht="15.75" customHeight="1">
      <c r="A973" s="576"/>
      <c r="B973" s="2"/>
      <c r="C973" s="2"/>
      <c r="D973" s="668"/>
      <c r="E973" s="2"/>
      <c r="F973" s="2"/>
      <c r="G973" s="2"/>
      <c r="H973" s="2"/>
      <c r="I973" s="2"/>
      <c r="J973" s="2"/>
      <c r="K973" s="2"/>
      <c r="L973" s="2"/>
      <c r="M973" s="667"/>
      <c r="N973" s="2"/>
      <c r="O973" s="2"/>
      <c r="P973" s="2"/>
      <c r="Q973" s="857"/>
      <c r="R973" s="858"/>
      <c r="S973" s="858"/>
      <c r="T973" s="858"/>
      <c r="U973" s="858"/>
      <c r="V973" s="858"/>
      <c r="W973" s="858"/>
      <c r="X973" s="858"/>
      <c r="Y973" s="858"/>
      <c r="Z973" s="858"/>
      <c r="AA973" s="858"/>
      <c r="AB973" s="858"/>
      <c r="AC973" s="858"/>
      <c r="AD973" s="858"/>
      <c r="AE973" s="858"/>
      <c r="AF973" s="858"/>
      <c r="AG973" s="858"/>
      <c r="AH973" s="858"/>
      <c r="AI973" s="858"/>
      <c r="AJ973" s="858"/>
    </row>
    <row r="974" ht="15.75" customHeight="1">
      <c r="A974" s="576"/>
      <c r="B974" s="2"/>
      <c r="C974" s="2"/>
      <c r="D974" s="668"/>
      <c r="E974" s="2"/>
      <c r="F974" s="2"/>
      <c r="G974" s="2"/>
      <c r="H974" s="2"/>
      <c r="I974" s="2"/>
      <c r="J974" s="2"/>
      <c r="K974" s="2"/>
      <c r="L974" s="2"/>
      <c r="M974" s="667"/>
      <c r="N974" s="2"/>
      <c r="O974" s="2"/>
      <c r="P974" s="2"/>
      <c r="Q974" s="857"/>
      <c r="R974" s="858"/>
      <c r="S974" s="858"/>
      <c r="T974" s="858"/>
      <c r="U974" s="858"/>
      <c r="V974" s="858"/>
      <c r="W974" s="858"/>
      <c r="X974" s="858"/>
      <c r="Y974" s="858"/>
      <c r="Z974" s="858"/>
      <c r="AA974" s="858"/>
      <c r="AB974" s="858"/>
      <c r="AC974" s="858"/>
      <c r="AD974" s="858"/>
      <c r="AE974" s="858"/>
      <c r="AF974" s="858"/>
      <c r="AG974" s="858"/>
      <c r="AH974" s="858"/>
      <c r="AI974" s="858"/>
      <c r="AJ974" s="858"/>
    </row>
    <row r="975" ht="15.75" customHeight="1">
      <c r="A975" s="576"/>
      <c r="B975" s="2"/>
      <c r="C975" s="2"/>
      <c r="D975" s="668"/>
      <c r="E975" s="2"/>
      <c r="F975" s="2"/>
      <c r="G975" s="2"/>
      <c r="H975" s="2"/>
      <c r="I975" s="2"/>
      <c r="J975" s="2"/>
      <c r="K975" s="2"/>
      <c r="L975" s="2"/>
      <c r="M975" s="667"/>
      <c r="N975" s="2"/>
      <c r="O975" s="2"/>
      <c r="P975" s="2"/>
      <c r="Q975" s="857"/>
      <c r="R975" s="858"/>
      <c r="S975" s="858"/>
      <c r="T975" s="858"/>
      <c r="U975" s="858"/>
      <c r="V975" s="858"/>
      <c r="W975" s="858"/>
      <c r="X975" s="858"/>
      <c r="Y975" s="858"/>
      <c r="Z975" s="858"/>
      <c r="AA975" s="858"/>
      <c r="AB975" s="858"/>
      <c r="AC975" s="858"/>
      <c r="AD975" s="858"/>
      <c r="AE975" s="858"/>
      <c r="AF975" s="858"/>
      <c r="AG975" s="858"/>
      <c r="AH975" s="858"/>
      <c r="AI975" s="858"/>
      <c r="AJ975" s="858"/>
    </row>
    <row r="976" ht="15.75" customHeight="1">
      <c r="A976" s="576"/>
      <c r="B976" s="2"/>
      <c r="C976" s="2"/>
      <c r="D976" s="668"/>
      <c r="E976" s="2"/>
      <c r="F976" s="2"/>
      <c r="G976" s="2"/>
      <c r="H976" s="2"/>
      <c r="I976" s="2"/>
      <c r="J976" s="2"/>
      <c r="K976" s="2"/>
      <c r="L976" s="2"/>
      <c r="M976" s="667"/>
      <c r="N976" s="2"/>
      <c r="O976" s="2"/>
      <c r="P976" s="2"/>
      <c r="Q976" s="857"/>
      <c r="R976" s="858"/>
      <c r="S976" s="858"/>
      <c r="T976" s="858"/>
      <c r="U976" s="858"/>
      <c r="V976" s="858"/>
      <c r="W976" s="858"/>
      <c r="X976" s="858"/>
      <c r="Y976" s="858"/>
      <c r="Z976" s="858"/>
      <c r="AA976" s="858"/>
      <c r="AB976" s="858"/>
      <c r="AC976" s="858"/>
      <c r="AD976" s="858"/>
      <c r="AE976" s="858"/>
      <c r="AF976" s="858"/>
      <c r="AG976" s="858"/>
      <c r="AH976" s="858"/>
      <c r="AI976" s="858"/>
      <c r="AJ976" s="858"/>
    </row>
    <row r="977" ht="15.75" customHeight="1">
      <c r="A977" s="576"/>
      <c r="B977" s="2"/>
      <c r="C977" s="2"/>
      <c r="D977" s="668"/>
      <c r="E977" s="2"/>
      <c r="F977" s="2"/>
      <c r="G977" s="2"/>
      <c r="H977" s="2"/>
      <c r="I977" s="2"/>
      <c r="J977" s="2"/>
      <c r="K977" s="2"/>
      <c r="L977" s="2"/>
      <c r="M977" s="667"/>
      <c r="N977" s="2"/>
      <c r="O977" s="2"/>
      <c r="P977" s="2"/>
      <c r="Q977" s="857"/>
      <c r="R977" s="858"/>
      <c r="S977" s="858"/>
      <c r="T977" s="858"/>
      <c r="U977" s="858"/>
      <c r="V977" s="858"/>
      <c r="W977" s="858"/>
      <c r="X977" s="858"/>
      <c r="Y977" s="858"/>
      <c r="Z977" s="858"/>
      <c r="AA977" s="858"/>
      <c r="AB977" s="858"/>
      <c r="AC977" s="858"/>
      <c r="AD977" s="858"/>
      <c r="AE977" s="858"/>
      <c r="AF977" s="858"/>
      <c r="AG977" s="858"/>
      <c r="AH977" s="858"/>
      <c r="AI977" s="858"/>
      <c r="AJ977" s="858"/>
    </row>
    <row r="978" ht="15.75" customHeight="1">
      <c r="A978" s="576"/>
      <c r="B978" s="2"/>
      <c r="C978" s="2"/>
      <c r="D978" s="668"/>
      <c r="E978" s="2"/>
      <c r="F978" s="2"/>
      <c r="G978" s="2"/>
      <c r="H978" s="2"/>
      <c r="I978" s="2"/>
      <c r="J978" s="2"/>
      <c r="K978" s="2"/>
      <c r="L978" s="2"/>
      <c r="M978" s="667"/>
      <c r="N978" s="2"/>
      <c r="O978" s="2"/>
      <c r="P978" s="2"/>
      <c r="Q978" s="857"/>
      <c r="R978" s="858"/>
      <c r="S978" s="858"/>
      <c r="T978" s="858"/>
      <c r="U978" s="858"/>
      <c r="V978" s="858"/>
      <c r="W978" s="858"/>
      <c r="X978" s="858"/>
      <c r="Y978" s="858"/>
      <c r="Z978" s="858"/>
      <c r="AA978" s="858"/>
      <c r="AB978" s="858"/>
      <c r="AC978" s="858"/>
      <c r="AD978" s="858"/>
      <c r="AE978" s="858"/>
      <c r="AF978" s="858"/>
      <c r="AG978" s="858"/>
      <c r="AH978" s="858"/>
      <c r="AI978" s="858"/>
      <c r="AJ978" s="858"/>
    </row>
    <row r="979" ht="15.75" customHeight="1">
      <c r="A979" s="576"/>
      <c r="B979" s="2"/>
      <c r="C979" s="2"/>
      <c r="D979" s="668"/>
      <c r="E979" s="2"/>
      <c r="F979" s="2"/>
      <c r="G979" s="2"/>
      <c r="H979" s="2"/>
      <c r="I979" s="2"/>
      <c r="J979" s="2"/>
      <c r="K979" s="2"/>
      <c r="L979" s="2"/>
      <c r="M979" s="667"/>
      <c r="N979" s="2"/>
      <c r="O979" s="2"/>
      <c r="P979" s="2"/>
      <c r="Q979" s="857"/>
      <c r="R979" s="858"/>
      <c r="S979" s="858"/>
      <c r="T979" s="858"/>
      <c r="U979" s="858"/>
      <c r="V979" s="858"/>
      <c r="W979" s="858"/>
      <c r="X979" s="858"/>
      <c r="Y979" s="858"/>
      <c r="Z979" s="858"/>
      <c r="AA979" s="858"/>
      <c r="AB979" s="858"/>
      <c r="AC979" s="858"/>
      <c r="AD979" s="858"/>
      <c r="AE979" s="858"/>
      <c r="AF979" s="858"/>
      <c r="AG979" s="858"/>
      <c r="AH979" s="858"/>
      <c r="AI979" s="858"/>
      <c r="AJ979" s="858"/>
    </row>
    <row r="980" ht="15.75" customHeight="1">
      <c r="A980" s="576"/>
      <c r="B980" s="2"/>
      <c r="C980" s="2"/>
      <c r="D980" s="668"/>
      <c r="E980" s="2"/>
      <c r="F980" s="2"/>
      <c r="G980" s="2"/>
      <c r="H980" s="2"/>
      <c r="I980" s="2"/>
      <c r="J980" s="2"/>
      <c r="K980" s="2"/>
      <c r="L980" s="2"/>
      <c r="M980" s="667"/>
      <c r="N980" s="2"/>
      <c r="O980" s="2"/>
      <c r="P980" s="2"/>
      <c r="Q980" s="857"/>
      <c r="R980" s="858"/>
      <c r="S980" s="858"/>
      <c r="T980" s="858"/>
      <c r="U980" s="858"/>
      <c r="V980" s="858"/>
      <c r="W980" s="858"/>
      <c r="X980" s="858"/>
      <c r="Y980" s="858"/>
      <c r="Z980" s="858"/>
      <c r="AA980" s="858"/>
      <c r="AB980" s="858"/>
      <c r="AC980" s="858"/>
      <c r="AD980" s="858"/>
      <c r="AE980" s="858"/>
      <c r="AF980" s="858"/>
      <c r="AG980" s="858"/>
      <c r="AH980" s="858"/>
      <c r="AI980" s="858"/>
      <c r="AJ980" s="858"/>
    </row>
    <row r="981" ht="15.75" customHeight="1">
      <c r="A981" s="576"/>
      <c r="B981" s="2"/>
      <c r="C981" s="2"/>
      <c r="D981" s="668"/>
      <c r="E981" s="2"/>
      <c r="F981" s="2"/>
      <c r="G981" s="2"/>
      <c r="H981" s="2"/>
      <c r="I981" s="2"/>
      <c r="J981" s="2"/>
      <c r="K981" s="2"/>
      <c r="L981" s="2"/>
      <c r="M981" s="667"/>
      <c r="N981" s="2"/>
      <c r="O981" s="2"/>
      <c r="P981" s="2"/>
      <c r="Q981" s="857"/>
      <c r="R981" s="858"/>
      <c r="S981" s="858"/>
      <c r="T981" s="858"/>
      <c r="U981" s="858"/>
      <c r="V981" s="858"/>
      <c r="W981" s="858"/>
      <c r="X981" s="858"/>
      <c r="Y981" s="858"/>
      <c r="Z981" s="858"/>
      <c r="AA981" s="858"/>
      <c r="AB981" s="858"/>
      <c r="AC981" s="858"/>
      <c r="AD981" s="858"/>
      <c r="AE981" s="858"/>
      <c r="AF981" s="858"/>
      <c r="AG981" s="858"/>
      <c r="AH981" s="858"/>
      <c r="AI981" s="858"/>
      <c r="AJ981" s="858"/>
    </row>
    <row r="982" ht="15.75" customHeight="1">
      <c r="A982" s="576"/>
      <c r="B982" s="2"/>
      <c r="C982" s="2"/>
      <c r="D982" s="668"/>
      <c r="E982" s="2"/>
      <c r="F982" s="2"/>
      <c r="G982" s="2"/>
      <c r="H982" s="2"/>
      <c r="I982" s="2"/>
      <c r="J982" s="2"/>
      <c r="K982" s="2"/>
      <c r="L982" s="2"/>
      <c r="M982" s="667"/>
      <c r="N982" s="2"/>
      <c r="O982" s="2"/>
      <c r="P982" s="2"/>
      <c r="Q982" s="857"/>
      <c r="R982" s="858"/>
      <c r="S982" s="858"/>
      <c r="T982" s="858"/>
      <c r="U982" s="858"/>
      <c r="V982" s="858"/>
      <c r="W982" s="858"/>
      <c r="X982" s="858"/>
      <c r="Y982" s="858"/>
      <c r="Z982" s="858"/>
      <c r="AA982" s="858"/>
      <c r="AB982" s="858"/>
      <c r="AC982" s="858"/>
      <c r="AD982" s="858"/>
      <c r="AE982" s="858"/>
      <c r="AF982" s="858"/>
      <c r="AG982" s="858"/>
      <c r="AH982" s="858"/>
      <c r="AI982" s="858"/>
      <c r="AJ982" s="858"/>
    </row>
    <row r="983" ht="15.75" customHeight="1">
      <c r="A983" s="576"/>
      <c r="B983" s="2"/>
      <c r="C983" s="2"/>
      <c r="D983" s="668"/>
      <c r="E983" s="2"/>
      <c r="F983" s="2"/>
      <c r="G983" s="2"/>
      <c r="H983" s="2"/>
      <c r="I983" s="2"/>
      <c r="J983" s="2"/>
      <c r="K983" s="2"/>
      <c r="L983" s="2"/>
      <c r="M983" s="667"/>
      <c r="N983" s="2"/>
      <c r="O983" s="2"/>
      <c r="P983" s="2"/>
      <c r="Q983" s="857"/>
      <c r="R983" s="858"/>
      <c r="S983" s="858"/>
      <c r="T983" s="858"/>
      <c r="U983" s="858"/>
      <c r="V983" s="858"/>
      <c r="W983" s="858"/>
      <c r="X983" s="858"/>
      <c r="Y983" s="858"/>
      <c r="Z983" s="858"/>
      <c r="AA983" s="858"/>
      <c r="AB983" s="858"/>
      <c r="AC983" s="858"/>
      <c r="AD983" s="858"/>
      <c r="AE983" s="858"/>
      <c r="AF983" s="858"/>
      <c r="AG983" s="858"/>
      <c r="AH983" s="858"/>
      <c r="AI983" s="858"/>
      <c r="AJ983" s="858"/>
    </row>
    <row r="984" ht="15.75" customHeight="1">
      <c r="A984" s="576"/>
      <c r="B984" s="2"/>
      <c r="C984" s="2"/>
      <c r="D984" s="668"/>
      <c r="E984" s="2"/>
      <c r="F984" s="2"/>
      <c r="G984" s="2"/>
      <c r="H984" s="2"/>
      <c r="I984" s="2"/>
      <c r="J984" s="2"/>
      <c r="K984" s="2"/>
      <c r="L984" s="2"/>
      <c r="M984" s="667"/>
      <c r="N984" s="2"/>
      <c r="O984" s="2"/>
      <c r="P984" s="2"/>
      <c r="Q984" s="857"/>
      <c r="R984" s="858"/>
      <c r="S984" s="858"/>
      <c r="T984" s="858"/>
      <c r="U984" s="858"/>
      <c r="V984" s="858"/>
      <c r="W984" s="858"/>
      <c r="X984" s="858"/>
      <c r="Y984" s="858"/>
      <c r="Z984" s="858"/>
      <c r="AA984" s="858"/>
      <c r="AB984" s="858"/>
      <c r="AC984" s="858"/>
      <c r="AD984" s="858"/>
      <c r="AE984" s="858"/>
      <c r="AF984" s="858"/>
      <c r="AG984" s="858"/>
      <c r="AH984" s="858"/>
      <c r="AI984" s="858"/>
      <c r="AJ984" s="858"/>
    </row>
    <row r="985" ht="15.75" customHeight="1">
      <c r="A985" s="576"/>
      <c r="B985" s="2"/>
      <c r="C985" s="2"/>
      <c r="D985" s="668"/>
      <c r="E985" s="2"/>
      <c r="F985" s="2"/>
      <c r="G985" s="2"/>
      <c r="H985" s="2"/>
      <c r="I985" s="2"/>
      <c r="J985" s="2"/>
      <c r="K985" s="2"/>
      <c r="L985" s="2"/>
      <c r="M985" s="667"/>
      <c r="N985" s="2"/>
      <c r="O985" s="2"/>
      <c r="P985" s="2"/>
      <c r="Q985" s="857"/>
      <c r="R985" s="858"/>
      <c r="S985" s="858"/>
      <c r="T985" s="858"/>
      <c r="U985" s="858"/>
      <c r="V985" s="858"/>
      <c r="W985" s="858"/>
      <c r="X985" s="858"/>
      <c r="Y985" s="858"/>
      <c r="Z985" s="858"/>
      <c r="AA985" s="858"/>
      <c r="AB985" s="858"/>
      <c r="AC985" s="858"/>
      <c r="AD985" s="858"/>
      <c r="AE985" s="858"/>
      <c r="AF985" s="858"/>
      <c r="AG985" s="858"/>
      <c r="AH985" s="858"/>
      <c r="AI985" s="858"/>
      <c r="AJ985" s="858"/>
    </row>
    <row r="986" ht="15.75" customHeight="1">
      <c r="A986" s="576"/>
      <c r="B986" s="2"/>
      <c r="C986" s="2"/>
      <c r="D986" s="668"/>
      <c r="E986" s="2"/>
      <c r="F986" s="2"/>
      <c r="G986" s="2"/>
      <c r="H986" s="2"/>
      <c r="I986" s="2"/>
      <c r="J986" s="2"/>
      <c r="K986" s="2"/>
      <c r="L986" s="2"/>
      <c r="M986" s="667"/>
      <c r="N986" s="2"/>
      <c r="O986" s="2"/>
      <c r="P986" s="2"/>
      <c r="Q986" s="857"/>
      <c r="R986" s="858"/>
      <c r="S986" s="858"/>
      <c r="T986" s="858"/>
      <c r="U986" s="858"/>
      <c r="V986" s="858"/>
      <c r="W986" s="858"/>
      <c r="X986" s="858"/>
      <c r="Y986" s="858"/>
      <c r="Z986" s="858"/>
      <c r="AA986" s="858"/>
      <c r="AB986" s="858"/>
      <c r="AC986" s="858"/>
      <c r="AD986" s="858"/>
      <c r="AE986" s="858"/>
      <c r="AF986" s="858"/>
      <c r="AG986" s="858"/>
      <c r="AH986" s="858"/>
      <c r="AI986" s="858"/>
      <c r="AJ986" s="858"/>
    </row>
    <row r="987" ht="15.75" customHeight="1">
      <c r="A987" s="576"/>
      <c r="B987" s="2"/>
      <c r="C987" s="2"/>
      <c r="D987" s="668"/>
      <c r="E987" s="2"/>
      <c r="F987" s="2"/>
      <c r="G987" s="2"/>
      <c r="H987" s="2"/>
      <c r="I987" s="2"/>
      <c r="J987" s="2"/>
      <c r="K987" s="2"/>
      <c r="L987" s="2"/>
      <c r="M987" s="667"/>
      <c r="N987" s="2"/>
      <c r="O987" s="2"/>
      <c r="P987" s="2"/>
      <c r="Q987" s="857"/>
      <c r="R987" s="858"/>
      <c r="S987" s="858"/>
      <c r="T987" s="858"/>
      <c r="U987" s="858"/>
      <c r="V987" s="858"/>
      <c r="W987" s="858"/>
      <c r="X987" s="858"/>
      <c r="Y987" s="858"/>
      <c r="Z987" s="858"/>
      <c r="AA987" s="858"/>
      <c r="AB987" s="858"/>
      <c r="AC987" s="858"/>
      <c r="AD987" s="858"/>
      <c r="AE987" s="858"/>
      <c r="AF987" s="858"/>
      <c r="AG987" s="858"/>
      <c r="AH987" s="858"/>
      <c r="AI987" s="858"/>
      <c r="AJ987" s="858"/>
    </row>
    <row r="988" ht="15.75" customHeight="1">
      <c r="A988" s="576"/>
      <c r="B988" s="2"/>
      <c r="C988" s="2"/>
      <c r="D988" s="668"/>
      <c r="E988" s="2"/>
      <c r="F988" s="2"/>
      <c r="G988" s="2"/>
      <c r="H988" s="2"/>
      <c r="I988" s="2"/>
      <c r="J988" s="2"/>
      <c r="K988" s="2"/>
      <c r="L988" s="2"/>
      <c r="M988" s="667"/>
      <c r="N988" s="2"/>
      <c r="O988" s="2"/>
      <c r="P988" s="2"/>
      <c r="Q988" s="857"/>
      <c r="R988" s="858"/>
      <c r="S988" s="858"/>
      <c r="T988" s="858"/>
      <c r="U988" s="858"/>
      <c r="V988" s="858"/>
      <c r="W988" s="858"/>
      <c r="X988" s="858"/>
      <c r="Y988" s="858"/>
      <c r="Z988" s="858"/>
      <c r="AA988" s="858"/>
      <c r="AB988" s="858"/>
      <c r="AC988" s="858"/>
      <c r="AD988" s="858"/>
      <c r="AE988" s="858"/>
      <c r="AF988" s="858"/>
      <c r="AG988" s="858"/>
      <c r="AH988" s="858"/>
      <c r="AI988" s="858"/>
      <c r="AJ988" s="858"/>
    </row>
    <row r="989" ht="15.75" customHeight="1">
      <c r="A989" s="576"/>
      <c r="B989" s="2"/>
      <c r="C989" s="2"/>
      <c r="D989" s="668"/>
      <c r="E989" s="2"/>
      <c r="F989" s="2"/>
      <c r="G989" s="2"/>
      <c r="H989" s="2"/>
      <c r="I989" s="2"/>
      <c r="J989" s="2"/>
      <c r="K989" s="2"/>
      <c r="L989" s="2"/>
      <c r="M989" s="667"/>
      <c r="N989" s="2"/>
      <c r="O989" s="2"/>
      <c r="P989" s="2"/>
      <c r="Q989" s="857"/>
      <c r="R989" s="858"/>
      <c r="S989" s="858"/>
      <c r="T989" s="858"/>
      <c r="U989" s="858"/>
      <c r="V989" s="858"/>
      <c r="W989" s="858"/>
      <c r="X989" s="858"/>
      <c r="Y989" s="858"/>
      <c r="Z989" s="858"/>
      <c r="AA989" s="858"/>
      <c r="AB989" s="858"/>
      <c r="AC989" s="858"/>
      <c r="AD989" s="858"/>
      <c r="AE989" s="858"/>
      <c r="AF989" s="858"/>
      <c r="AG989" s="858"/>
      <c r="AH989" s="858"/>
      <c r="AI989" s="858"/>
      <c r="AJ989" s="858"/>
    </row>
    <row r="990" ht="15.75" customHeight="1">
      <c r="A990" s="576"/>
      <c r="B990" s="2"/>
      <c r="C990" s="2"/>
      <c r="D990" s="668"/>
      <c r="E990" s="2"/>
      <c r="F990" s="2"/>
      <c r="G990" s="2"/>
      <c r="H990" s="2"/>
      <c r="I990" s="2"/>
      <c r="J990" s="2"/>
      <c r="K990" s="2"/>
      <c r="L990" s="2"/>
      <c r="M990" s="667"/>
      <c r="N990" s="2"/>
      <c r="O990" s="2"/>
      <c r="P990" s="2"/>
      <c r="Q990" s="857"/>
      <c r="R990" s="858"/>
      <c r="S990" s="858"/>
      <c r="T990" s="858"/>
      <c r="U990" s="858"/>
      <c r="V990" s="858"/>
      <c r="W990" s="858"/>
      <c r="X990" s="858"/>
      <c r="Y990" s="858"/>
      <c r="Z990" s="858"/>
      <c r="AA990" s="858"/>
      <c r="AB990" s="858"/>
      <c r="AC990" s="858"/>
      <c r="AD990" s="858"/>
      <c r="AE990" s="858"/>
      <c r="AF990" s="858"/>
      <c r="AG990" s="858"/>
      <c r="AH990" s="858"/>
      <c r="AI990" s="858"/>
      <c r="AJ990" s="858"/>
    </row>
    <row r="991" ht="15.75" customHeight="1">
      <c r="A991" s="576"/>
      <c r="B991" s="2"/>
      <c r="C991" s="2"/>
      <c r="D991" s="668"/>
      <c r="E991" s="2"/>
      <c r="F991" s="2"/>
      <c r="G991" s="2"/>
      <c r="H991" s="2"/>
      <c r="I991" s="2"/>
      <c r="J991" s="2"/>
      <c r="K991" s="2"/>
      <c r="L991" s="2"/>
      <c r="M991" s="667"/>
      <c r="N991" s="2"/>
      <c r="O991" s="2"/>
      <c r="P991" s="2"/>
      <c r="Q991" s="857"/>
      <c r="R991" s="858"/>
      <c r="S991" s="858"/>
      <c r="T991" s="858"/>
      <c r="U991" s="858"/>
      <c r="V991" s="858"/>
      <c r="W991" s="858"/>
      <c r="X991" s="858"/>
      <c r="Y991" s="858"/>
      <c r="Z991" s="858"/>
      <c r="AA991" s="858"/>
      <c r="AB991" s="858"/>
      <c r="AC991" s="858"/>
      <c r="AD991" s="858"/>
      <c r="AE991" s="858"/>
      <c r="AF991" s="858"/>
      <c r="AG991" s="858"/>
      <c r="AH991" s="858"/>
      <c r="AI991" s="858"/>
      <c r="AJ991" s="858"/>
    </row>
    <row r="992" ht="15.75" customHeight="1">
      <c r="A992" s="576"/>
      <c r="B992" s="2"/>
      <c r="C992" s="2"/>
      <c r="D992" s="668"/>
      <c r="E992" s="2"/>
      <c r="F992" s="2"/>
      <c r="G992" s="2"/>
      <c r="H992" s="2"/>
      <c r="I992" s="2"/>
      <c r="J992" s="2"/>
      <c r="K992" s="2"/>
      <c r="L992" s="2"/>
      <c r="M992" s="667"/>
      <c r="N992" s="2"/>
      <c r="O992" s="2"/>
      <c r="P992" s="2"/>
      <c r="Q992" s="857"/>
      <c r="R992" s="858"/>
      <c r="S992" s="858"/>
      <c r="T992" s="858"/>
      <c r="U992" s="858"/>
      <c r="V992" s="858"/>
      <c r="W992" s="858"/>
      <c r="X992" s="858"/>
      <c r="Y992" s="858"/>
      <c r="Z992" s="858"/>
      <c r="AA992" s="858"/>
      <c r="AB992" s="858"/>
      <c r="AC992" s="858"/>
      <c r="AD992" s="858"/>
      <c r="AE992" s="858"/>
      <c r="AF992" s="858"/>
      <c r="AG992" s="858"/>
      <c r="AH992" s="858"/>
      <c r="AI992" s="858"/>
      <c r="AJ992" s="858"/>
    </row>
    <row r="993" ht="15.75" customHeight="1">
      <c r="A993" s="576"/>
      <c r="B993" s="2"/>
      <c r="C993" s="2"/>
      <c r="D993" s="668"/>
      <c r="E993" s="2"/>
      <c r="F993" s="2"/>
      <c r="G993" s="2"/>
      <c r="H993" s="2"/>
      <c r="I993" s="2"/>
      <c r="J993" s="2"/>
      <c r="K993" s="2"/>
      <c r="L993" s="2"/>
      <c r="M993" s="667"/>
      <c r="N993" s="2"/>
      <c r="O993" s="2"/>
      <c r="P993" s="2"/>
      <c r="Q993" s="857"/>
      <c r="R993" s="858"/>
      <c r="S993" s="858"/>
      <c r="T993" s="858"/>
      <c r="U993" s="858"/>
      <c r="V993" s="858"/>
      <c r="W993" s="858"/>
      <c r="X993" s="858"/>
      <c r="Y993" s="858"/>
      <c r="Z993" s="858"/>
      <c r="AA993" s="858"/>
      <c r="AB993" s="858"/>
      <c r="AC993" s="858"/>
      <c r="AD993" s="858"/>
      <c r="AE993" s="858"/>
      <c r="AF993" s="858"/>
      <c r="AG993" s="858"/>
      <c r="AH993" s="858"/>
      <c r="AI993" s="858"/>
      <c r="AJ993" s="858"/>
    </row>
    <row r="994" ht="15.75" customHeight="1">
      <c r="A994" s="576"/>
      <c r="B994" s="2"/>
      <c r="C994" s="2"/>
      <c r="D994" s="668"/>
      <c r="E994" s="2"/>
      <c r="F994" s="2"/>
      <c r="G994" s="2"/>
      <c r="H994" s="2"/>
      <c r="I994" s="2"/>
      <c r="J994" s="2"/>
      <c r="K994" s="2"/>
      <c r="L994" s="2"/>
      <c r="M994" s="667"/>
      <c r="N994" s="2"/>
      <c r="O994" s="2"/>
      <c r="P994" s="2"/>
      <c r="Q994" s="857"/>
      <c r="R994" s="858"/>
      <c r="S994" s="858"/>
      <c r="T994" s="858"/>
      <c r="U994" s="858"/>
      <c r="V994" s="858"/>
      <c r="W994" s="858"/>
      <c r="X994" s="858"/>
      <c r="Y994" s="858"/>
      <c r="Z994" s="858"/>
      <c r="AA994" s="858"/>
      <c r="AB994" s="858"/>
      <c r="AC994" s="858"/>
      <c r="AD994" s="858"/>
      <c r="AE994" s="858"/>
      <c r="AF994" s="858"/>
      <c r="AG994" s="858"/>
      <c r="AH994" s="858"/>
      <c r="AI994" s="858"/>
      <c r="AJ994" s="858"/>
    </row>
    <row r="995" ht="15.75" customHeight="1">
      <c r="A995" s="576"/>
      <c r="B995" s="2"/>
      <c r="C995" s="2"/>
      <c r="D995" s="668"/>
      <c r="E995" s="2"/>
      <c r="F995" s="2"/>
      <c r="G995" s="2"/>
      <c r="H995" s="2"/>
      <c r="I995" s="2"/>
      <c r="J995" s="2"/>
      <c r="K995" s="2"/>
      <c r="L995" s="2"/>
      <c r="M995" s="667"/>
      <c r="N995" s="2"/>
      <c r="O995" s="2"/>
      <c r="P995" s="2"/>
      <c r="Q995" s="857"/>
      <c r="R995" s="858"/>
      <c r="S995" s="858"/>
      <c r="T995" s="858"/>
      <c r="U995" s="858"/>
      <c r="V995" s="858"/>
      <c r="W995" s="858"/>
      <c r="X995" s="858"/>
      <c r="Y995" s="858"/>
      <c r="Z995" s="858"/>
      <c r="AA995" s="858"/>
      <c r="AB995" s="858"/>
      <c r="AC995" s="858"/>
      <c r="AD995" s="858"/>
      <c r="AE995" s="858"/>
      <c r="AF995" s="858"/>
      <c r="AG995" s="858"/>
      <c r="AH995" s="858"/>
      <c r="AI995" s="858"/>
      <c r="AJ995" s="858"/>
    </row>
    <row r="996" ht="15.75" customHeight="1">
      <c r="A996" s="576"/>
      <c r="B996" s="2"/>
      <c r="C996" s="2"/>
      <c r="D996" s="668"/>
      <c r="E996" s="2"/>
      <c r="F996" s="2"/>
      <c r="G996" s="2"/>
      <c r="H996" s="2"/>
      <c r="I996" s="2"/>
      <c r="J996" s="2"/>
      <c r="K996" s="2"/>
      <c r="L996" s="2"/>
      <c r="M996" s="667"/>
      <c r="N996" s="2"/>
      <c r="O996" s="2"/>
      <c r="P996" s="2"/>
      <c r="Q996" s="857"/>
      <c r="R996" s="858"/>
      <c r="S996" s="858"/>
      <c r="T996" s="858"/>
      <c r="U996" s="858"/>
      <c r="V996" s="858"/>
      <c r="W996" s="858"/>
      <c r="X996" s="858"/>
      <c r="Y996" s="858"/>
      <c r="Z996" s="858"/>
      <c r="AA996" s="858"/>
      <c r="AB996" s="858"/>
      <c r="AC996" s="858"/>
      <c r="AD996" s="858"/>
      <c r="AE996" s="858"/>
      <c r="AF996" s="858"/>
      <c r="AG996" s="858"/>
      <c r="AH996" s="858"/>
      <c r="AI996" s="858"/>
      <c r="AJ996" s="858"/>
    </row>
    <row r="997" ht="15.75" customHeight="1">
      <c r="A997" s="576"/>
      <c r="B997" s="2"/>
      <c r="C997" s="2"/>
      <c r="D997" s="668"/>
      <c r="E997" s="2"/>
      <c r="F997" s="2"/>
      <c r="G997" s="2"/>
      <c r="H997" s="2"/>
      <c r="I997" s="2"/>
      <c r="J997" s="2"/>
      <c r="K997" s="2"/>
      <c r="L997" s="2"/>
      <c r="M997" s="667"/>
      <c r="N997" s="2"/>
      <c r="O997" s="2"/>
      <c r="P997" s="2"/>
      <c r="Q997" s="857"/>
      <c r="R997" s="858"/>
      <c r="S997" s="858"/>
      <c r="T997" s="858"/>
      <c r="U997" s="858"/>
      <c r="V997" s="858"/>
      <c r="W997" s="858"/>
      <c r="X997" s="858"/>
      <c r="Y997" s="858"/>
      <c r="Z997" s="858"/>
      <c r="AA997" s="858"/>
      <c r="AB997" s="858"/>
      <c r="AC997" s="858"/>
      <c r="AD997" s="858"/>
      <c r="AE997" s="858"/>
      <c r="AF997" s="858"/>
      <c r="AG997" s="858"/>
      <c r="AH997" s="858"/>
      <c r="AI997" s="858"/>
      <c r="AJ997" s="858"/>
    </row>
    <row r="998" ht="15.75" customHeight="1">
      <c r="A998" s="576"/>
      <c r="B998" s="2"/>
      <c r="C998" s="2"/>
      <c r="D998" s="668"/>
      <c r="E998" s="2"/>
      <c r="F998" s="2"/>
      <c r="G998" s="2"/>
      <c r="H998" s="2"/>
      <c r="I998" s="2"/>
      <c r="J998" s="2"/>
      <c r="K998" s="2"/>
      <c r="L998" s="2"/>
      <c r="M998" s="667"/>
      <c r="N998" s="2"/>
      <c r="O998" s="2"/>
      <c r="P998" s="2"/>
      <c r="Q998" s="857"/>
      <c r="R998" s="858"/>
      <c r="S998" s="858"/>
      <c r="T998" s="858"/>
      <c r="U998" s="858"/>
      <c r="V998" s="858"/>
      <c r="W998" s="858"/>
      <c r="X998" s="858"/>
      <c r="Y998" s="858"/>
      <c r="Z998" s="858"/>
      <c r="AA998" s="858"/>
      <c r="AB998" s="858"/>
      <c r="AC998" s="858"/>
      <c r="AD998" s="858"/>
      <c r="AE998" s="858"/>
      <c r="AF998" s="858"/>
      <c r="AG998" s="858"/>
      <c r="AH998" s="858"/>
      <c r="AI998" s="858"/>
      <c r="AJ998" s="858"/>
    </row>
    <row r="999" ht="15.75" customHeight="1">
      <c r="A999" s="576"/>
      <c r="B999" s="2"/>
      <c r="C999" s="2"/>
      <c r="D999" s="668"/>
      <c r="E999" s="2"/>
      <c r="F999" s="2"/>
      <c r="G999" s="2"/>
      <c r="H999" s="2"/>
      <c r="I999" s="2"/>
      <c r="J999" s="2"/>
      <c r="K999" s="2"/>
      <c r="L999" s="2"/>
      <c r="M999" s="667"/>
      <c r="N999" s="2"/>
      <c r="O999" s="2"/>
      <c r="P999" s="2"/>
      <c r="Q999" s="857"/>
      <c r="R999" s="858"/>
      <c r="S999" s="858"/>
      <c r="T999" s="858"/>
      <c r="U999" s="858"/>
      <c r="V999" s="858"/>
      <c r="W999" s="858"/>
      <c r="X999" s="858"/>
      <c r="Y999" s="858"/>
      <c r="Z999" s="858"/>
      <c r="AA999" s="858"/>
      <c r="AB999" s="858"/>
      <c r="AC999" s="858"/>
      <c r="AD999" s="858"/>
      <c r="AE999" s="858"/>
      <c r="AF999" s="858"/>
      <c r="AG999" s="858"/>
      <c r="AH999" s="858"/>
      <c r="AI999" s="858"/>
      <c r="AJ999" s="858"/>
    </row>
    <row r="1000" ht="15.75" customHeight="1">
      <c r="A1000" s="576"/>
      <c r="B1000" s="2"/>
      <c r="C1000" s="2"/>
      <c r="D1000" s="668"/>
      <c r="E1000" s="2"/>
      <c r="F1000" s="2"/>
      <c r="G1000" s="2"/>
      <c r="H1000" s="2"/>
      <c r="I1000" s="2"/>
      <c r="J1000" s="2"/>
      <c r="K1000" s="2"/>
      <c r="L1000" s="2"/>
      <c r="M1000" s="667"/>
      <c r="N1000" s="2"/>
      <c r="O1000" s="2"/>
      <c r="P1000" s="2"/>
      <c r="Q1000" s="857"/>
      <c r="R1000" s="858"/>
      <c r="S1000" s="858"/>
      <c r="T1000" s="858"/>
      <c r="U1000" s="858"/>
      <c r="V1000" s="858"/>
      <c r="W1000" s="858"/>
      <c r="X1000" s="858"/>
      <c r="Y1000" s="858"/>
      <c r="Z1000" s="858"/>
      <c r="AA1000" s="858"/>
      <c r="AB1000" s="858"/>
      <c r="AC1000" s="858"/>
      <c r="AD1000" s="858"/>
      <c r="AE1000" s="858"/>
      <c r="AF1000" s="858"/>
      <c r="AG1000" s="858"/>
      <c r="AH1000" s="858"/>
      <c r="AI1000" s="858"/>
      <c r="AJ1000" s="858"/>
    </row>
    <row r="1001" ht="15.75" customHeight="1">
      <c r="A1001" s="576"/>
      <c r="B1001" s="2"/>
      <c r="C1001" s="2"/>
      <c r="D1001" s="668"/>
      <c r="E1001" s="2"/>
      <c r="F1001" s="2"/>
      <c r="G1001" s="2"/>
      <c r="H1001" s="2"/>
      <c r="I1001" s="2"/>
      <c r="J1001" s="2"/>
      <c r="K1001" s="2"/>
      <c r="L1001" s="2"/>
      <c r="M1001" s="667"/>
      <c r="N1001" s="2"/>
      <c r="O1001" s="2"/>
      <c r="P1001" s="2"/>
      <c r="Q1001" s="857"/>
      <c r="R1001" s="858"/>
      <c r="S1001" s="858"/>
      <c r="T1001" s="858"/>
      <c r="U1001" s="858"/>
      <c r="V1001" s="858"/>
      <c r="W1001" s="858"/>
      <c r="X1001" s="858"/>
      <c r="Y1001" s="858"/>
      <c r="Z1001" s="858"/>
      <c r="AA1001" s="858"/>
      <c r="AB1001" s="858"/>
      <c r="AC1001" s="858"/>
      <c r="AD1001" s="858"/>
      <c r="AE1001" s="858"/>
      <c r="AF1001" s="858"/>
      <c r="AG1001" s="858"/>
      <c r="AH1001" s="858"/>
      <c r="AI1001" s="858"/>
      <c r="AJ1001" s="858"/>
    </row>
    <row r="1002" ht="15.75" customHeight="1">
      <c r="A1002" s="576"/>
      <c r="B1002" s="2"/>
      <c r="C1002" s="2"/>
      <c r="D1002" s="668"/>
      <c r="E1002" s="2"/>
      <c r="F1002" s="2"/>
      <c r="G1002" s="2"/>
      <c r="H1002" s="2"/>
      <c r="I1002" s="2"/>
      <c r="J1002" s="2"/>
      <c r="K1002" s="2"/>
      <c r="L1002" s="2"/>
      <c r="M1002" s="667"/>
      <c r="N1002" s="2"/>
      <c r="O1002" s="2"/>
      <c r="P1002" s="2"/>
      <c r="Q1002" s="857"/>
      <c r="R1002" s="858"/>
      <c r="S1002" s="858"/>
      <c r="T1002" s="858"/>
      <c r="U1002" s="858"/>
      <c r="V1002" s="858"/>
      <c r="W1002" s="858"/>
      <c r="X1002" s="858"/>
      <c r="Y1002" s="858"/>
      <c r="Z1002" s="858"/>
      <c r="AA1002" s="858"/>
      <c r="AB1002" s="858"/>
      <c r="AC1002" s="858"/>
      <c r="AD1002" s="858"/>
      <c r="AE1002" s="858"/>
      <c r="AF1002" s="858"/>
      <c r="AG1002" s="858"/>
      <c r="AH1002" s="858"/>
      <c r="AI1002" s="858"/>
      <c r="AJ1002" s="858"/>
    </row>
    <row r="1003" ht="15.75" customHeight="1">
      <c r="A1003" s="576"/>
      <c r="B1003" s="2"/>
      <c r="C1003" s="2"/>
      <c r="D1003" s="668"/>
      <c r="E1003" s="2"/>
      <c r="F1003" s="2"/>
      <c r="G1003" s="2"/>
      <c r="H1003" s="2"/>
      <c r="I1003" s="2"/>
      <c r="J1003" s="2"/>
      <c r="K1003" s="2"/>
      <c r="L1003" s="2"/>
      <c r="M1003" s="667"/>
      <c r="N1003" s="2"/>
      <c r="O1003" s="2"/>
      <c r="P1003" s="2"/>
      <c r="Q1003" s="857"/>
      <c r="R1003" s="858"/>
      <c r="S1003" s="858"/>
      <c r="T1003" s="858"/>
      <c r="U1003" s="858"/>
      <c r="V1003" s="858"/>
      <c r="W1003" s="858"/>
      <c r="X1003" s="858"/>
      <c r="Y1003" s="858"/>
      <c r="Z1003" s="858"/>
      <c r="AA1003" s="858"/>
      <c r="AB1003" s="858"/>
      <c r="AC1003" s="858"/>
      <c r="AD1003" s="858"/>
      <c r="AE1003" s="858"/>
      <c r="AF1003" s="858"/>
      <c r="AG1003" s="858"/>
      <c r="AH1003" s="858"/>
      <c r="AI1003" s="858"/>
      <c r="AJ1003" s="858"/>
    </row>
    <row r="1004" ht="15.75" customHeight="1">
      <c r="A1004" s="576"/>
      <c r="B1004" s="2"/>
      <c r="C1004" s="2"/>
      <c r="D1004" s="668"/>
      <c r="E1004" s="2"/>
      <c r="F1004" s="2"/>
      <c r="G1004" s="2"/>
      <c r="H1004" s="2"/>
      <c r="I1004" s="2"/>
      <c r="J1004" s="2"/>
      <c r="K1004" s="2"/>
      <c r="L1004" s="2"/>
      <c r="M1004" s="667"/>
      <c r="N1004" s="2"/>
      <c r="O1004" s="2"/>
      <c r="P1004" s="2"/>
      <c r="Q1004" s="857"/>
      <c r="R1004" s="858"/>
      <c r="S1004" s="858"/>
      <c r="T1004" s="858"/>
      <c r="U1004" s="858"/>
      <c r="V1004" s="858"/>
      <c r="W1004" s="858"/>
      <c r="X1004" s="858"/>
      <c r="Y1004" s="858"/>
      <c r="Z1004" s="858"/>
      <c r="AA1004" s="858"/>
      <c r="AB1004" s="858"/>
      <c r="AC1004" s="858"/>
      <c r="AD1004" s="858"/>
      <c r="AE1004" s="858"/>
      <c r="AF1004" s="858"/>
      <c r="AG1004" s="858"/>
      <c r="AH1004" s="858"/>
      <c r="AI1004" s="858"/>
      <c r="AJ1004" s="858"/>
    </row>
    <row r="1005" ht="15.75" customHeight="1">
      <c r="A1005" s="576"/>
      <c r="B1005" s="2"/>
      <c r="C1005" s="2"/>
      <c r="D1005" s="668"/>
      <c r="E1005" s="2"/>
      <c r="F1005" s="2"/>
      <c r="G1005" s="2"/>
      <c r="H1005" s="2"/>
      <c r="I1005" s="2"/>
      <c r="J1005" s="2"/>
      <c r="K1005" s="2"/>
      <c r="L1005" s="2"/>
      <c r="M1005" s="667"/>
      <c r="N1005" s="2"/>
      <c r="O1005" s="2"/>
      <c r="P1005" s="2"/>
      <c r="Q1005" s="857"/>
      <c r="R1005" s="858"/>
      <c r="S1005" s="858"/>
      <c r="T1005" s="858"/>
      <c r="U1005" s="858"/>
      <c r="V1005" s="858"/>
      <c r="W1005" s="858"/>
      <c r="X1005" s="858"/>
      <c r="Y1005" s="858"/>
      <c r="Z1005" s="858"/>
      <c r="AA1005" s="858"/>
      <c r="AB1005" s="858"/>
      <c r="AC1005" s="858"/>
      <c r="AD1005" s="858"/>
      <c r="AE1005" s="858"/>
      <c r="AF1005" s="858"/>
      <c r="AG1005" s="858"/>
      <c r="AH1005" s="858"/>
      <c r="AI1005" s="858"/>
      <c r="AJ1005" s="858"/>
    </row>
    <row r="1006" ht="15.75" customHeight="1">
      <c r="A1006" s="576"/>
      <c r="B1006" s="2"/>
      <c r="C1006" s="2"/>
      <c r="D1006" s="668"/>
      <c r="E1006" s="2"/>
      <c r="F1006" s="2"/>
      <c r="G1006" s="2"/>
      <c r="H1006" s="2"/>
      <c r="I1006" s="2"/>
      <c r="J1006" s="2"/>
      <c r="K1006" s="2"/>
      <c r="L1006" s="2"/>
      <c r="M1006" s="667"/>
      <c r="N1006" s="2"/>
      <c r="O1006" s="2"/>
      <c r="P1006" s="2"/>
      <c r="Q1006" s="857"/>
      <c r="R1006" s="858"/>
      <c r="S1006" s="858"/>
      <c r="T1006" s="858"/>
      <c r="U1006" s="858"/>
      <c r="V1006" s="858"/>
      <c r="W1006" s="858"/>
      <c r="X1006" s="858"/>
      <c r="Y1006" s="858"/>
      <c r="Z1006" s="858"/>
      <c r="AA1006" s="858"/>
      <c r="AB1006" s="858"/>
      <c r="AC1006" s="858"/>
      <c r="AD1006" s="858"/>
      <c r="AE1006" s="858"/>
      <c r="AF1006" s="858"/>
      <c r="AG1006" s="858"/>
      <c r="AH1006" s="858"/>
      <c r="AI1006" s="858"/>
      <c r="AJ1006" s="858"/>
    </row>
    <row r="1007" ht="15.75" customHeight="1">
      <c r="A1007" s="576"/>
      <c r="B1007" s="2"/>
      <c r="C1007" s="2"/>
      <c r="D1007" s="668"/>
      <c r="E1007" s="2"/>
      <c r="F1007" s="2"/>
      <c r="G1007" s="2"/>
      <c r="H1007" s="2"/>
      <c r="I1007" s="2"/>
      <c r="J1007" s="2"/>
      <c r="K1007" s="2"/>
      <c r="L1007" s="2"/>
      <c r="M1007" s="667"/>
      <c r="N1007" s="2"/>
      <c r="O1007" s="2"/>
      <c r="P1007" s="2"/>
      <c r="Q1007" s="857"/>
      <c r="R1007" s="858"/>
      <c r="S1007" s="858"/>
      <c r="T1007" s="858"/>
      <c r="U1007" s="858"/>
      <c r="V1007" s="858"/>
      <c r="W1007" s="858"/>
      <c r="X1007" s="858"/>
      <c r="Y1007" s="858"/>
      <c r="Z1007" s="858"/>
      <c r="AA1007" s="858"/>
      <c r="AB1007" s="858"/>
      <c r="AC1007" s="858"/>
      <c r="AD1007" s="858"/>
      <c r="AE1007" s="858"/>
      <c r="AF1007" s="858"/>
      <c r="AG1007" s="858"/>
      <c r="AH1007" s="858"/>
      <c r="AI1007" s="858"/>
      <c r="AJ1007" s="858"/>
    </row>
    <row r="1008" ht="15.75" customHeight="1">
      <c r="A1008" s="576"/>
      <c r="B1008" s="2"/>
      <c r="C1008" s="2"/>
      <c r="D1008" s="668"/>
      <c r="E1008" s="2"/>
      <c r="F1008" s="2"/>
      <c r="G1008" s="2"/>
      <c r="H1008" s="2"/>
      <c r="I1008" s="2"/>
      <c r="J1008" s="2"/>
      <c r="K1008" s="2"/>
      <c r="L1008" s="2"/>
      <c r="M1008" s="667"/>
      <c r="N1008" s="2"/>
      <c r="O1008" s="2"/>
      <c r="P1008" s="2"/>
      <c r="Q1008" s="857"/>
      <c r="R1008" s="858"/>
      <c r="S1008" s="858"/>
      <c r="T1008" s="858"/>
      <c r="U1008" s="858"/>
      <c r="V1008" s="858"/>
      <c r="W1008" s="858"/>
      <c r="X1008" s="858"/>
      <c r="Y1008" s="858"/>
      <c r="Z1008" s="858"/>
      <c r="AA1008" s="858"/>
      <c r="AB1008" s="858"/>
      <c r="AC1008" s="858"/>
      <c r="AD1008" s="858"/>
      <c r="AE1008" s="858"/>
      <c r="AF1008" s="858"/>
      <c r="AG1008" s="858"/>
      <c r="AH1008" s="858"/>
      <c r="AI1008" s="858"/>
      <c r="AJ1008" s="858"/>
    </row>
    <row r="1009" ht="15.75" customHeight="1">
      <c r="A1009" s="576"/>
      <c r="B1009" s="2"/>
      <c r="C1009" s="2"/>
      <c r="D1009" s="668"/>
      <c r="E1009" s="2"/>
      <c r="F1009" s="2"/>
      <c r="G1009" s="2"/>
      <c r="H1009" s="2"/>
      <c r="I1009" s="2"/>
      <c r="J1009" s="2"/>
      <c r="K1009" s="2"/>
      <c r="L1009" s="2"/>
      <c r="M1009" s="667"/>
      <c r="N1009" s="2"/>
      <c r="O1009" s="2"/>
      <c r="P1009" s="2"/>
      <c r="Q1009" s="857"/>
      <c r="R1009" s="858"/>
      <c r="S1009" s="858"/>
      <c r="T1009" s="858"/>
      <c r="U1009" s="858"/>
      <c r="V1009" s="858"/>
      <c r="W1009" s="858"/>
      <c r="X1009" s="858"/>
      <c r="Y1009" s="858"/>
      <c r="Z1009" s="858"/>
      <c r="AA1009" s="858"/>
      <c r="AB1009" s="858"/>
      <c r="AC1009" s="858"/>
      <c r="AD1009" s="858"/>
      <c r="AE1009" s="858"/>
      <c r="AF1009" s="858"/>
      <c r="AG1009" s="858"/>
      <c r="AH1009" s="858"/>
      <c r="AI1009" s="858"/>
      <c r="AJ1009" s="858"/>
    </row>
    <row r="1010" ht="15.75" customHeight="1">
      <c r="A1010" s="576"/>
      <c r="B1010" s="2"/>
      <c r="C1010" s="2"/>
      <c r="D1010" s="668"/>
      <c r="E1010" s="2"/>
      <c r="F1010" s="2"/>
      <c r="G1010" s="2"/>
      <c r="H1010" s="2"/>
      <c r="I1010" s="2"/>
      <c r="J1010" s="2"/>
      <c r="K1010" s="2"/>
      <c r="L1010" s="2"/>
      <c r="M1010" s="667"/>
      <c r="N1010" s="2"/>
      <c r="O1010" s="2"/>
      <c r="P1010" s="2"/>
      <c r="Q1010" s="857"/>
      <c r="R1010" s="858"/>
      <c r="S1010" s="858"/>
      <c r="T1010" s="858"/>
      <c r="U1010" s="858"/>
      <c r="V1010" s="858"/>
      <c r="W1010" s="858"/>
      <c r="X1010" s="858"/>
      <c r="Y1010" s="858"/>
      <c r="Z1010" s="858"/>
      <c r="AA1010" s="858"/>
      <c r="AB1010" s="858"/>
      <c r="AC1010" s="858"/>
      <c r="AD1010" s="858"/>
      <c r="AE1010" s="858"/>
      <c r="AF1010" s="858"/>
      <c r="AG1010" s="858"/>
      <c r="AH1010" s="858"/>
      <c r="AI1010" s="858"/>
      <c r="AJ1010" s="858"/>
    </row>
    <row r="1011" ht="15.75" customHeight="1">
      <c r="A1011" s="576"/>
      <c r="B1011" s="2"/>
      <c r="C1011" s="2"/>
      <c r="D1011" s="668"/>
      <c r="E1011" s="2"/>
      <c r="F1011" s="2"/>
      <c r="G1011" s="2"/>
      <c r="H1011" s="2"/>
      <c r="I1011" s="2"/>
      <c r="J1011" s="2"/>
      <c r="K1011" s="2"/>
      <c r="L1011" s="2"/>
      <c r="M1011" s="667"/>
      <c r="N1011" s="2"/>
      <c r="O1011" s="2"/>
      <c r="P1011" s="2"/>
      <c r="Q1011" s="857"/>
      <c r="R1011" s="858"/>
      <c r="S1011" s="858"/>
      <c r="T1011" s="858"/>
      <c r="U1011" s="858"/>
      <c r="V1011" s="858"/>
      <c r="W1011" s="858"/>
      <c r="X1011" s="858"/>
      <c r="Y1011" s="858"/>
      <c r="Z1011" s="858"/>
      <c r="AA1011" s="858"/>
      <c r="AB1011" s="858"/>
      <c r="AC1011" s="858"/>
      <c r="AD1011" s="858"/>
      <c r="AE1011" s="858"/>
      <c r="AF1011" s="858"/>
      <c r="AG1011" s="858"/>
      <c r="AH1011" s="858"/>
      <c r="AI1011" s="858"/>
      <c r="AJ1011" s="858"/>
    </row>
    <row r="1012" ht="15.75" customHeight="1">
      <c r="A1012" s="576"/>
      <c r="B1012" s="2"/>
      <c r="C1012" s="2"/>
      <c r="D1012" s="668"/>
      <c r="E1012" s="2"/>
      <c r="F1012" s="2"/>
      <c r="G1012" s="2"/>
      <c r="H1012" s="2"/>
      <c r="I1012" s="2"/>
      <c r="J1012" s="2"/>
      <c r="K1012" s="2"/>
      <c r="L1012" s="2"/>
      <c r="M1012" s="667"/>
      <c r="N1012" s="2"/>
      <c r="O1012" s="2"/>
      <c r="P1012" s="2"/>
      <c r="Q1012" s="857"/>
      <c r="R1012" s="858"/>
      <c r="S1012" s="858"/>
      <c r="T1012" s="858"/>
      <c r="U1012" s="858"/>
      <c r="V1012" s="858"/>
      <c r="W1012" s="858"/>
      <c r="X1012" s="858"/>
      <c r="Y1012" s="858"/>
      <c r="Z1012" s="858"/>
      <c r="AA1012" s="858"/>
      <c r="AB1012" s="858"/>
      <c r="AC1012" s="858"/>
      <c r="AD1012" s="858"/>
      <c r="AE1012" s="858"/>
      <c r="AF1012" s="858"/>
      <c r="AG1012" s="858"/>
      <c r="AH1012" s="858"/>
      <c r="AI1012" s="858"/>
      <c r="AJ1012" s="858"/>
    </row>
    <row r="1013" ht="15.75" customHeight="1">
      <c r="A1013" s="576"/>
      <c r="B1013" s="2"/>
      <c r="C1013" s="2"/>
      <c r="D1013" s="668"/>
      <c r="E1013" s="2"/>
      <c r="F1013" s="2"/>
      <c r="G1013" s="2"/>
      <c r="H1013" s="2"/>
      <c r="I1013" s="2"/>
      <c r="J1013" s="2"/>
      <c r="K1013" s="2"/>
      <c r="L1013" s="2"/>
      <c r="M1013" s="667"/>
      <c r="N1013" s="2"/>
      <c r="O1013" s="2"/>
      <c r="P1013" s="2"/>
      <c r="Q1013" s="857"/>
      <c r="R1013" s="858"/>
      <c r="S1013" s="858"/>
      <c r="T1013" s="858"/>
      <c r="U1013" s="858"/>
      <c r="V1013" s="858"/>
      <c r="W1013" s="858"/>
      <c r="X1013" s="858"/>
      <c r="Y1013" s="858"/>
      <c r="Z1013" s="858"/>
      <c r="AA1013" s="858"/>
      <c r="AB1013" s="858"/>
      <c r="AC1013" s="858"/>
      <c r="AD1013" s="858"/>
      <c r="AE1013" s="858"/>
      <c r="AF1013" s="858"/>
      <c r="AG1013" s="858"/>
      <c r="AH1013" s="858"/>
      <c r="AI1013" s="858"/>
      <c r="AJ1013" s="858"/>
    </row>
    <row r="1014" ht="15.75" customHeight="1">
      <c r="A1014" s="576"/>
      <c r="B1014" s="2"/>
      <c r="C1014" s="2"/>
      <c r="D1014" s="668"/>
      <c r="E1014" s="2"/>
      <c r="F1014" s="2"/>
      <c r="G1014" s="2"/>
      <c r="H1014" s="2"/>
      <c r="I1014" s="2"/>
      <c r="J1014" s="2"/>
      <c r="K1014" s="2"/>
      <c r="L1014" s="2"/>
      <c r="M1014" s="667"/>
      <c r="N1014" s="2"/>
      <c r="O1014" s="2"/>
      <c r="P1014" s="2"/>
      <c r="Q1014" s="857"/>
      <c r="R1014" s="858"/>
      <c r="S1014" s="858"/>
      <c r="T1014" s="858"/>
      <c r="U1014" s="858"/>
      <c r="V1014" s="858"/>
      <c r="W1014" s="858"/>
      <c r="X1014" s="858"/>
      <c r="Y1014" s="858"/>
      <c r="Z1014" s="858"/>
      <c r="AA1014" s="858"/>
      <c r="AB1014" s="858"/>
      <c r="AC1014" s="858"/>
      <c r="AD1014" s="858"/>
      <c r="AE1014" s="858"/>
      <c r="AF1014" s="858"/>
      <c r="AG1014" s="858"/>
      <c r="AH1014" s="858"/>
      <c r="AI1014" s="858"/>
      <c r="AJ1014" s="858"/>
    </row>
    <row r="1015" ht="15.75" customHeight="1">
      <c r="A1015" s="576"/>
      <c r="B1015" s="2"/>
      <c r="C1015" s="2"/>
      <c r="D1015" s="668"/>
      <c r="E1015" s="2"/>
      <c r="F1015" s="2"/>
      <c r="G1015" s="2"/>
      <c r="H1015" s="2"/>
      <c r="I1015" s="2"/>
      <c r="J1015" s="2"/>
      <c r="K1015" s="2"/>
      <c r="L1015" s="2"/>
      <c r="M1015" s="667"/>
      <c r="N1015" s="2"/>
      <c r="O1015" s="2"/>
      <c r="P1015" s="2"/>
      <c r="Q1015" s="857"/>
      <c r="R1015" s="858"/>
      <c r="S1015" s="858"/>
      <c r="T1015" s="858"/>
      <c r="U1015" s="858"/>
      <c r="V1015" s="858"/>
      <c r="W1015" s="858"/>
      <c r="X1015" s="858"/>
      <c r="Y1015" s="858"/>
      <c r="Z1015" s="858"/>
      <c r="AA1015" s="858"/>
      <c r="AB1015" s="858"/>
      <c r="AC1015" s="858"/>
      <c r="AD1015" s="858"/>
      <c r="AE1015" s="858"/>
      <c r="AF1015" s="858"/>
      <c r="AG1015" s="858"/>
      <c r="AH1015" s="858"/>
      <c r="AI1015" s="858"/>
      <c r="AJ1015" s="858"/>
    </row>
    <row r="1016" ht="15.75" customHeight="1">
      <c r="A1016" s="576"/>
      <c r="B1016" s="2"/>
      <c r="C1016" s="2"/>
      <c r="D1016" s="668"/>
      <c r="E1016" s="2"/>
      <c r="F1016" s="2"/>
      <c r="G1016" s="2"/>
      <c r="H1016" s="2"/>
      <c r="I1016" s="2"/>
      <c r="J1016" s="2"/>
      <c r="K1016" s="2"/>
      <c r="L1016" s="2"/>
      <c r="M1016" s="667"/>
      <c r="N1016" s="2"/>
      <c r="O1016" s="2"/>
      <c r="P1016" s="2"/>
      <c r="Q1016" s="857"/>
      <c r="R1016" s="858"/>
      <c r="S1016" s="858"/>
      <c r="T1016" s="858"/>
      <c r="U1016" s="858"/>
      <c r="V1016" s="858"/>
      <c r="W1016" s="858"/>
      <c r="X1016" s="858"/>
      <c r="Y1016" s="858"/>
      <c r="Z1016" s="858"/>
      <c r="AA1016" s="858"/>
      <c r="AB1016" s="858"/>
      <c r="AC1016" s="858"/>
      <c r="AD1016" s="858"/>
      <c r="AE1016" s="858"/>
      <c r="AF1016" s="858"/>
      <c r="AG1016" s="858"/>
      <c r="AH1016" s="858"/>
      <c r="AI1016" s="858"/>
      <c r="AJ1016" s="858"/>
    </row>
    <row r="1017" ht="15.75" customHeight="1">
      <c r="A1017" s="576"/>
      <c r="B1017" s="2"/>
      <c r="C1017" s="2"/>
      <c r="D1017" s="668"/>
      <c r="E1017" s="2"/>
      <c r="F1017" s="2"/>
      <c r="G1017" s="2"/>
      <c r="H1017" s="2"/>
      <c r="I1017" s="2"/>
      <c r="J1017" s="2"/>
      <c r="K1017" s="2"/>
      <c r="L1017" s="2"/>
      <c r="M1017" s="667"/>
      <c r="N1017" s="2"/>
      <c r="O1017" s="2"/>
      <c r="P1017" s="2"/>
      <c r="Q1017" s="857"/>
      <c r="R1017" s="858"/>
      <c r="S1017" s="858"/>
      <c r="T1017" s="858"/>
      <c r="U1017" s="858"/>
      <c r="V1017" s="858"/>
      <c r="W1017" s="858"/>
      <c r="X1017" s="858"/>
      <c r="Y1017" s="858"/>
      <c r="Z1017" s="858"/>
      <c r="AA1017" s="858"/>
      <c r="AB1017" s="858"/>
      <c r="AC1017" s="858"/>
      <c r="AD1017" s="858"/>
      <c r="AE1017" s="858"/>
      <c r="AF1017" s="858"/>
      <c r="AG1017" s="858"/>
      <c r="AH1017" s="858"/>
      <c r="AI1017" s="858"/>
      <c r="AJ1017" s="858"/>
    </row>
    <row r="1018" ht="15.75" customHeight="1">
      <c r="A1018" s="576"/>
      <c r="B1018" s="2"/>
      <c r="C1018" s="2"/>
      <c r="D1018" s="668"/>
      <c r="E1018" s="2"/>
      <c r="F1018" s="2"/>
      <c r="G1018" s="2"/>
      <c r="H1018" s="2"/>
      <c r="I1018" s="2"/>
      <c r="J1018" s="2"/>
      <c r="K1018" s="2"/>
      <c r="L1018" s="2"/>
      <c r="M1018" s="667"/>
      <c r="N1018" s="2"/>
      <c r="O1018" s="2"/>
      <c r="P1018" s="2"/>
      <c r="Q1018" s="857"/>
      <c r="R1018" s="858"/>
      <c r="S1018" s="858"/>
      <c r="T1018" s="858"/>
      <c r="U1018" s="858"/>
      <c r="V1018" s="858"/>
      <c r="W1018" s="858"/>
      <c r="X1018" s="858"/>
      <c r="Y1018" s="858"/>
      <c r="Z1018" s="858"/>
      <c r="AA1018" s="858"/>
      <c r="AB1018" s="858"/>
      <c r="AC1018" s="858"/>
      <c r="AD1018" s="858"/>
      <c r="AE1018" s="858"/>
      <c r="AF1018" s="858"/>
      <c r="AG1018" s="858"/>
      <c r="AH1018" s="858"/>
      <c r="AI1018" s="858"/>
      <c r="AJ1018" s="858"/>
    </row>
    <row r="1019" ht="15.75" customHeight="1">
      <c r="A1019" s="576"/>
      <c r="B1019" s="2"/>
      <c r="C1019" s="2"/>
      <c r="D1019" s="668"/>
      <c r="E1019" s="2"/>
      <c r="F1019" s="2"/>
      <c r="G1019" s="2"/>
      <c r="H1019" s="2"/>
      <c r="I1019" s="2"/>
      <c r="J1019" s="2"/>
      <c r="K1019" s="2"/>
      <c r="L1019" s="2"/>
      <c r="M1019" s="667"/>
      <c r="N1019" s="2"/>
      <c r="O1019" s="2"/>
      <c r="P1019" s="2"/>
      <c r="Q1019" s="857"/>
      <c r="R1019" s="858"/>
      <c r="S1019" s="858"/>
      <c r="T1019" s="858"/>
      <c r="U1019" s="858"/>
      <c r="V1019" s="858"/>
      <c r="W1019" s="858"/>
      <c r="X1019" s="858"/>
      <c r="Y1019" s="858"/>
      <c r="Z1019" s="858"/>
      <c r="AA1019" s="858"/>
      <c r="AB1019" s="858"/>
      <c r="AC1019" s="858"/>
      <c r="AD1019" s="858"/>
      <c r="AE1019" s="858"/>
      <c r="AF1019" s="858"/>
      <c r="AG1019" s="858"/>
      <c r="AH1019" s="858"/>
      <c r="AI1019" s="858"/>
      <c r="AJ1019" s="858"/>
    </row>
    <row r="1020" ht="15.75" customHeight="1">
      <c r="A1020" s="576"/>
      <c r="B1020" s="2"/>
      <c r="C1020" s="2"/>
      <c r="D1020" s="668"/>
      <c r="E1020" s="2"/>
      <c r="F1020" s="2"/>
      <c r="G1020" s="2"/>
      <c r="H1020" s="2"/>
      <c r="I1020" s="2"/>
      <c r="J1020" s="2"/>
      <c r="K1020" s="2"/>
      <c r="L1020" s="2"/>
      <c r="M1020" s="667"/>
      <c r="N1020" s="2"/>
      <c r="O1020" s="2"/>
      <c r="P1020" s="2"/>
      <c r="Q1020" s="857"/>
      <c r="R1020" s="858"/>
      <c r="S1020" s="858"/>
      <c r="T1020" s="858"/>
      <c r="U1020" s="858"/>
      <c r="V1020" s="858"/>
      <c r="W1020" s="858"/>
      <c r="X1020" s="858"/>
      <c r="Y1020" s="858"/>
      <c r="Z1020" s="858"/>
      <c r="AA1020" s="858"/>
      <c r="AB1020" s="858"/>
      <c r="AC1020" s="858"/>
      <c r="AD1020" s="858"/>
      <c r="AE1020" s="858"/>
      <c r="AF1020" s="858"/>
      <c r="AG1020" s="858"/>
      <c r="AH1020" s="858"/>
      <c r="AI1020" s="858"/>
      <c r="AJ1020" s="858"/>
    </row>
    <row r="1021" ht="15.75" customHeight="1">
      <c r="A1021" s="576"/>
      <c r="B1021" s="2"/>
      <c r="C1021" s="2"/>
      <c r="D1021" s="668"/>
      <c r="E1021" s="2"/>
      <c r="F1021" s="2"/>
      <c r="G1021" s="2"/>
      <c r="H1021" s="2"/>
      <c r="I1021" s="2"/>
      <c r="J1021" s="2"/>
      <c r="K1021" s="2"/>
      <c r="L1021" s="2"/>
      <c r="M1021" s="667"/>
      <c r="N1021" s="2"/>
      <c r="O1021" s="2"/>
      <c r="P1021" s="2"/>
      <c r="Q1021" s="857"/>
      <c r="R1021" s="858"/>
      <c r="S1021" s="858"/>
      <c r="T1021" s="858"/>
      <c r="U1021" s="858"/>
      <c r="V1021" s="858"/>
      <c r="W1021" s="858"/>
      <c r="X1021" s="858"/>
      <c r="Y1021" s="858"/>
      <c r="Z1021" s="858"/>
      <c r="AA1021" s="858"/>
      <c r="AB1021" s="858"/>
      <c r="AC1021" s="858"/>
      <c r="AD1021" s="858"/>
      <c r="AE1021" s="858"/>
      <c r="AF1021" s="858"/>
      <c r="AG1021" s="858"/>
      <c r="AH1021" s="858"/>
      <c r="AI1021" s="858"/>
      <c r="AJ1021" s="858"/>
    </row>
    <row r="1022" ht="15.75" customHeight="1">
      <c r="A1022" s="576"/>
      <c r="B1022" s="2"/>
      <c r="C1022" s="2"/>
      <c r="D1022" s="668"/>
      <c r="E1022" s="2"/>
      <c r="F1022" s="2"/>
      <c r="G1022" s="2"/>
      <c r="H1022" s="2"/>
      <c r="I1022" s="2"/>
      <c r="J1022" s="2"/>
      <c r="K1022" s="2"/>
      <c r="L1022" s="2"/>
      <c r="M1022" s="667"/>
      <c r="N1022" s="2"/>
      <c r="O1022" s="2"/>
      <c r="P1022" s="2"/>
      <c r="Q1022" s="857"/>
      <c r="R1022" s="858"/>
      <c r="S1022" s="858"/>
      <c r="T1022" s="858"/>
      <c r="U1022" s="858"/>
      <c r="V1022" s="858"/>
      <c r="W1022" s="858"/>
      <c r="X1022" s="858"/>
      <c r="Y1022" s="858"/>
      <c r="Z1022" s="858"/>
      <c r="AA1022" s="858"/>
      <c r="AB1022" s="858"/>
      <c r="AC1022" s="858"/>
      <c r="AD1022" s="858"/>
      <c r="AE1022" s="858"/>
      <c r="AF1022" s="858"/>
      <c r="AG1022" s="858"/>
      <c r="AH1022" s="858"/>
      <c r="AI1022" s="858"/>
      <c r="AJ1022" s="858"/>
    </row>
    <row r="1023" ht="15.75" customHeight="1">
      <c r="A1023" s="576"/>
      <c r="B1023" s="2"/>
      <c r="C1023" s="2"/>
      <c r="D1023" s="668"/>
      <c r="E1023" s="2"/>
      <c r="F1023" s="2"/>
      <c r="G1023" s="2"/>
      <c r="H1023" s="2"/>
      <c r="I1023" s="2"/>
      <c r="J1023" s="2"/>
      <c r="K1023" s="2"/>
      <c r="L1023" s="2"/>
      <c r="M1023" s="667"/>
      <c r="N1023" s="2"/>
      <c r="O1023" s="2"/>
      <c r="P1023" s="2"/>
      <c r="Q1023" s="857"/>
      <c r="R1023" s="858"/>
      <c r="S1023" s="858"/>
      <c r="T1023" s="858"/>
      <c r="U1023" s="858"/>
      <c r="V1023" s="858"/>
      <c r="W1023" s="858"/>
      <c r="X1023" s="858"/>
      <c r="Y1023" s="858"/>
      <c r="Z1023" s="858"/>
      <c r="AA1023" s="858"/>
      <c r="AB1023" s="858"/>
      <c r="AC1023" s="858"/>
      <c r="AD1023" s="858"/>
      <c r="AE1023" s="858"/>
      <c r="AF1023" s="858"/>
      <c r="AG1023" s="858"/>
      <c r="AH1023" s="858"/>
      <c r="AI1023" s="858"/>
      <c r="AJ1023" s="858"/>
    </row>
    <row r="1024" ht="15.75" customHeight="1">
      <c r="A1024" s="576"/>
      <c r="B1024" s="2"/>
      <c r="C1024" s="2"/>
      <c r="D1024" s="668"/>
      <c r="E1024" s="2"/>
      <c r="F1024" s="2"/>
      <c r="G1024" s="2"/>
      <c r="H1024" s="2"/>
      <c r="I1024" s="2"/>
      <c r="J1024" s="2"/>
      <c r="K1024" s="2"/>
      <c r="L1024" s="2"/>
      <c r="M1024" s="667"/>
      <c r="N1024" s="2"/>
      <c r="O1024" s="2"/>
      <c r="P1024" s="2"/>
      <c r="Q1024" s="857"/>
      <c r="R1024" s="858"/>
      <c r="S1024" s="858"/>
      <c r="T1024" s="858"/>
      <c r="U1024" s="858"/>
      <c r="V1024" s="858"/>
      <c r="W1024" s="858"/>
      <c r="X1024" s="858"/>
      <c r="Y1024" s="858"/>
      <c r="Z1024" s="858"/>
      <c r="AA1024" s="858"/>
      <c r="AB1024" s="858"/>
      <c r="AC1024" s="858"/>
      <c r="AD1024" s="858"/>
      <c r="AE1024" s="858"/>
      <c r="AF1024" s="858"/>
      <c r="AG1024" s="858"/>
      <c r="AH1024" s="858"/>
      <c r="AI1024" s="858"/>
      <c r="AJ1024" s="858"/>
    </row>
    <row r="1025" ht="15.75" customHeight="1">
      <c r="A1025" s="576"/>
      <c r="B1025" s="2"/>
      <c r="C1025" s="2"/>
      <c r="D1025" s="668"/>
      <c r="E1025" s="2"/>
      <c r="F1025" s="2"/>
      <c r="G1025" s="2"/>
      <c r="H1025" s="2"/>
      <c r="I1025" s="2"/>
      <c r="J1025" s="2"/>
      <c r="K1025" s="2"/>
      <c r="L1025" s="2"/>
      <c r="M1025" s="667"/>
      <c r="N1025" s="2"/>
      <c r="O1025" s="2"/>
      <c r="P1025" s="2"/>
      <c r="Q1025" s="857"/>
      <c r="R1025" s="858"/>
      <c r="S1025" s="858"/>
      <c r="T1025" s="858"/>
      <c r="U1025" s="858"/>
      <c r="V1025" s="858"/>
      <c r="W1025" s="858"/>
      <c r="X1025" s="858"/>
      <c r="Y1025" s="858"/>
      <c r="Z1025" s="858"/>
      <c r="AA1025" s="858"/>
      <c r="AB1025" s="858"/>
      <c r="AC1025" s="858"/>
      <c r="AD1025" s="858"/>
      <c r="AE1025" s="858"/>
      <c r="AF1025" s="858"/>
      <c r="AG1025" s="858"/>
      <c r="AH1025" s="858"/>
      <c r="AI1025" s="858"/>
      <c r="AJ1025" s="858"/>
    </row>
    <row r="1026" ht="15.75" customHeight="1">
      <c r="A1026" s="576"/>
      <c r="B1026" s="2"/>
      <c r="C1026" s="2"/>
      <c r="D1026" s="668"/>
      <c r="E1026" s="2"/>
      <c r="F1026" s="2"/>
      <c r="G1026" s="2"/>
      <c r="H1026" s="2"/>
      <c r="I1026" s="2"/>
      <c r="J1026" s="2"/>
      <c r="K1026" s="2"/>
      <c r="L1026" s="2"/>
      <c r="M1026" s="667"/>
      <c r="N1026" s="2"/>
      <c r="O1026" s="2"/>
      <c r="P1026" s="2"/>
      <c r="Q1026" s="857"/>
      <c r="R1026" s="858"/>
      <c r="S1026" s="858"/>
      <c r="T1026" s="858"/>
      <c r="U1026" s="858"/>
      <c r="V1026" s="858"/>
      <c r="W1026" s="858"/>
      <c r="X1026" s="858"/>
      <c r="Y1026" s="858"/>
      <c r="Z1026" s="858"/>
      <c r="AA1026" s="858"/>
      <c r="AB1026" s="858"/>
      <c r="AC1026" s="858"/>
      <c r="AD1026" s="858"/>
      <c r="AE1026" s="858"/>
      <c r="AF1026" s="858"/>
      <c r="AG1026" s="858"/>
      <c r="AH1026" s="858"/>
      <c r="AI1026" s="858"/>
      <c r="AJ1026" s="858"/>
    </row>
    <row r="1027" ht="15.75" customHeight="1">
      <c r="A1027" s="576"/>
      <c r="B1027" s="2"/>
      <c r="C1027" s="2"/>
      <c r="D1027" s="668"/>
      <c r="E1027" s="2"/>
      <c r="F1027" s="2"/>
      <c r="G1027" s="2"/>
      <c r="H1027" s="2"/>
      <c r="I1027" s="2"/>
      <c r="J1027" s="2"/>
      <c r="K1027" s="2"/>
      <c r="L1027" s="2"/>
      <c r="M1027" s="667"/>
      <c r="N1027" s="2"/>
      <c r="O1027" s="2"/>
      <c r="P1027" s="2"/>
      <c r="Q1027" s="857"/>
      <c r="R1027" s="858"/>
      <c r="S1027" s="858"/>
      <c r="T1027" s="858"/>
      <c r="U1027" s="858"/>
      <c r="V1027" s="858"/>
      <c r="W1027" s="858"/>
      <c r="X1027" s="858"/>
      <c r="Y1027" s="858"/>
      <c r="Z1027" s="858"/>
      <c r="AA1027" s="858"/>
      <c r="AB1027" s="858"/>
      <c r="AC1027" s="858"/>
      <c r="AD1027" s="858"/>
      <c r="AE1027" s="858"/>
      <c r="AF1027" s="858"/>
      <c r="AG1027" s="858"/>
      <c r="AH1027" s="858"/>
      <c r="AI1027" s="858"/>
      <c r="AJ1027" s="858"/>
    </row>
    <row r="1028" ht="15.75" customHeight="1">
      <c r="A1028" s="576"/>
      <c r="B1028" s="2"/>
      <c r="C1028" s="2"/>
      <c r="D1028" s="668"/>
      <c r="E1028" s="2"/>
      <c r="F1028" s="2"/>
      <c r="G1028" s="2"/>
      <c r="H1028" s="2"/>
      <c r="I1028" s="2"/>
      <c r="J1028" s="2"/>
      <c r="K1028" s="2"/>
      <c r="L1028" s="2"/>
      <c r="M1028" s="667"/>
      <c r="N1028" s="2"/>
      <c r="O1028" s="2"/>
      <c r="P1028" s="2"/>
      <c r="Q1028" s="857"/>
      <c r="R1028" s="858"/>
      <c r="S1028" s="858"/>
      <c r="T1028" s="858"/>
      <c r="U1028" s="858"/>
      <c r="V1028" s="858"/>
      <c r="W1028" s="858"/>
      <c r="X1028" s="858"/>
      <c r="Y1028" s="858"/>
      <c r="Z1028" s="858"/>
      <c r="AA1028" s="858"/>
      <c r="AB1028" s="858"/>
      <c r="AC1028" s="858"/>
      <c r="AD1028" s="858"/>
      <c r="AE1028" s="858"/>
      <c r="AF1028" s="858"/>
      <c r="AG1028" s="858"/>
      <c r="AH1028" s="858"/>
      <c r="AI1028" s="858"/>
      <c r="AJ1028" s="858"/>
    </row>
    <row r="1029" ht="15.75" customHeight="1">
      <c r="A1029" s="576"/>
      <c r="B1029" s="2"/>
      <c r="C1029" s="2"/>
      <c r="D1029" s="668"/>
      <c r="E1029" s="2"/>
      <c r="F1029" s="2"/>
      <c r="G1029" s="2"/>
      <c r="H1029" s="2"/>
      <c r="I1029" s="2"/>
      <c r="J1029" s="2"/>
      <c r="K1029" s="2"/>
      <c r="L1029" s="2"/>
      <c r="M1029" s="667"/>
      <c r="N1029" s="2"/>
      <c r="O1029" s="2"/>
      <c r="P1029" s="2"/>
      <c r="Q1029" s="857"/>
      <c r="R1029" s="858"/>
      <c r="S1029" s="858"/>
      <c r="T1029" s="858"/>
      <c r="U1029" s="858"/>
      <c r="V1029" s="858"/>
      <c r="W1029" s="858"/>
      <c r="X1029" s="858"/>
      <c r="Y1029" s="858"/>
      <c r="Z1029" s="858"/>
      <c r="AA1029" s="858"/>
      <c r="AB1029" s="858"/>
      <c r="AC1029" s="858"/>
      <c r="AD1029" s="858"/>
      <c r="AE1029" s="858"/>
      <c r="AF1029" s="858"/>
      <c r="AG1029" s="858"/>
      <c r="AH1029" s="858"/>
      <c r="AI1029" s="858"/>
      <c r="AJ1029" s="858"/>
    </row>
    <row r="1030" ht="15.75" customHeight="1">
      <c r="A1030" s="576"/>
      <c r="B1030" s="2"/>
      <c r="C1030" s="2"/>
      <c r="D1030" s="668"/>
      <c r="E1030" s="2"/>
      <c r="F1030" s="2"/>
      <c r="G1030" s="2"/>
      <c r="H1030" s="2"/>
      <c r="I1030" s="2"/>
      <c r="J1030" s="2"/>
      <c r="K1030" s="2"/>
      <c r="L1030" s="2"/>
      <c r="M1030" s="667"/>
      <c r="N1030" s="2"/>
      <c r="O1030" s="2"/>
      <c r="P1030" s="2"/>
      <c r="Q1030" s="857"/>
      <c r="R1030" s="858"/>
      <c r="S1030" s="858"/>
      <c r="T1030" s="858"/>
      <c r="U1030" s="858"/>
      <c r="V1030" s="858"/>
      <c r="W1030" s="858"/>
      <c r="X1030" s="858"/>
      <c r="Y1030" s="858"/>
      <c r="Z1030" s="858"/>
      <c r="AA1030" s="858"/>
      <c r="AB1030" s="858"/>
      <c r="AC1030" s="858"/>
      <c r="AD1030" s="858"/>
      <c r="AE1030" s="858"/>
      <c r="AF1030" s="858"/>
      <c r="AG1030" s="858"/>
      <c r="AH1030" s="858"/>
      <c r="AI1030" s="858"/>
      <c r="AJ1030" s="858"/>
    </row>
    <row r="1031" ht="15.75" customHeight="1">
      <c r="A1031" s="576"/>
      <c r="B1031" s="2"/>
      <c r="C1031" s="2"/>
      <c r="D1031" s="668"/>
      <c r="E1031" s="2"/>
      <c r="F1031" s="2"/>
      <c r="G1031" s="2"/>
      <c r="H1031" s="2"/>
      <c r="I1031" s="2"/>
      <c r="J1031" s="2"/>
      <c r="K1031" s="2"/>
      <c r="L1031" s="2"/>
      <c r="M1031" s="667"/>
      <c r="N1031" s="2"/>
      <c r="O1031" s="2"/>
      <c r="P1031" s="2"/>
      <c r="Q1031" s="857"/>
      <c r="R1031" s="858"/>
      <c r="S1031" s="858"/>
      <c r="T1031" s="858"/>
      <c r="U1031" s="858"/>
      <c r="V1031" s="858"/>
      <c r="W1031" s="858"/>
      <c r="X1031" s="858"/>
      <c r="Y1031" s="858"/>
      <c r="Z1031" s="858"/>
      <c r="AA1031" s="858"/>
      <c r="AB1031" s="858"/>
      <c r="AC1031" s="858"/>
      <c r="AD1031" s="858"/>
      <c r="AE1031" s="858"/>
      <c r="AF1031" s="858"/>
      <c r="AG1031" s="858"/>
      <c r="AH1031" s="858"/>
      <c r="AI1031" s="858"/>
      <c r="AJ1031" s="858"/>
    </row>
    <row r="1032" ht="15.75" customHeight="1">
      <c r="A1032" s="576"/>
      <c r="B1032" s="2"/>
      <c r="C1032" s="2"/>
      <c r="D1032" s="668"/>
      <c r="E1032" s="2"/>
      <c r="F1032" s="2"/>
      <c r="G1032" s="2"/>
      <c r="H1032" s="2"/>
      <c r="I1032" s="2"/>
      <c r="J1032" s="2"/>
      <c r="K1032" s="2"/>
      <c r="L1032" s="2"/>
      <c r="M1032" s="667"/>
      <c r="N1032" s="2"/>
      <c r="O1032" s="2"/>
      <c r="P1032" s="2"/>
      <c r="Q1032" s="857"/>
      <c r="R1032" s="858"/>
      <c r="S1032" s="858"/>
      <c r="T1032" s="858"/>
      <c r="U1032" s="858"/>
      <c r="V1032" s="858"/>
      <c r="W1032" s="858"/>
      <c r="X1032" s="858"/>
      <c r="Y1032" s="858"/>
      <c r="Z1032" s="858"/>
      <c r="AA1032" s="858"/>
      <c r="AB1032" s="858"/>
      <c r="AC1032" s="858"/>
      <c r="AD1032" s="858"/>
      <c r="AE1032" s="858"/>
      <c r="AF1032" s="858"/>
      <c r="AG1032" s="858"/>
      <c r="AH1032" s="858"/>
      <c r="AI1032" s="858"/>
      <c r="AJ1032" s="858"/>
    </row>
    <row r="1033" ht="15.75" customHeight="1">
      <c r="A1033" s="576"/>
      <c r="B1033" s="2"/>
      <c r="C1033" s="2"/>
      <c r="D1033" s="668"/>
      <c r="E1033" s="2"/>
      <c r="F1033" s="2"/>
      <c r="G1033" s="2"/>
      <c r="H1033" s="2"/>
      <c r="I1033" s="2"/>
      <c r="J1033" s="2"/>
      <c r="K1033" s="2"/>
      <c r="L1033" s="2"/>
      <c r="M1033" s="667"/>
      <c r="N1033" s="2"/>
      <c r="O1033" s="2"/>
      <c r="P1033" s="2"/>
      <c r="Q1033" s="857"/>
      <c r="R1033" s="858"/>
      <c r="S1033" s="858"/>
      <c r="T1033" s="858"/>
      <c r="U1033" s="858"/>
      <c r="V1033" s="858"/>
      <c r="W1033" s="858"/>
      <c r="X1033" s="858"/>
      <c r="Y1033" s="858"/>
      <c r="Z1033" s="858"/>
      <c r="AA1033" s="858"/>
      <c r="AB1033" s="858"/>
      <c r="AC1033" s="858"/>
      <c r="AD1033" s="858"/>
      <c r="AE1033" s="858"/>
      <c r="AF1033" s="858"/>
      <c r="AG1033" s="858"/>
      <c r="AH1033" s="858"/>
      <c r="AI1033" s="858"/>
      <c r="AJ1033" s="858"/>
    </row>
    <row r="1034" ht="15.75" customHeight="1">
      <c r="A1034" s="576"/>
      <c r="B1034" s="2"/>
      <c r="C1034" s="2"/>
      <c r="D1034" s="668"/>
      <c r="E1034" s="2"/>
      <c r="F1034" s="2"/>
      <c r="G1034" s="2"/>
      <c r="H1034" s="2"/>
      <c r="I1034" s="2"/>
      <c r="J1034" s="2"/>
      <c r="K1034" s="2"/>
      <c r="L1034" s="2"/>
      <c r="M1034" s="667"/>
      <c r="N1034" s="2"/>
      <c r="O1034" s="2"/>
      <c r="P1034" s="2"/>
      <c r="Q1034" s="857"/>
      <c r="R1034" s="858"/>
      <c r="S1034" s="858"/>
      <c r="T1034" s="858"/>
      <c r="U1034" s="858"/>
      <c r="V1034" s="858"/>
      <c r="W1034" s="858"/>
      <c r="X1034" s="858"/>
      <c r="Y1034" s="858"/>
      <c r="Z1034" s="858"/>
      <c r="AA1034" s="858"/>
      <c r="AB1034" s="858"/>
      <c r="AC1034" s="858"/>
      <c r="AD1034" s="858"/>
      <c r="AE1034" s="858"/>
      <c r="AF1034" s="858"/>
      <c r="AG1034" s="858"/>
      <c r="AH1034" s="858"/>
      <c r="AI1034" s="858"/>
      <c r="AJ1034" s="858"/>
    </row>
    <row r="1035" ht="15.75" customHeight="1">
      <c r="A1035" s="576"/>
      <c r="B1035" s="2"/>
      <c r="C1035" s="2"/>
      <c r="D1035" s="668"/>
      <c r="E1035" s="2"/>
      <c r="F1035" s="2"/>
      <c r="G1035" s="2"/>
      <c r="H1035" s="2"/>
      <c r="I1035" s="2"/>
      <c r="J1035" s="2"/>
      <c r="K1035" s="2"/>
      <c r="L1035" s="2"/>
      <c r="M1035" s="667"/>
      <c r="N1035" s="2"/>
      <c r="O1035" s="2"/>
      <c r="P1035" s="2"/>
      <c r="Q1035" s="857"/>
      <c r="R1035" s="858"/>
      <c r="S1035" s="858"/>
      <c r="T1035" s="858"/>
      <c r="U1035" s="858"/>
      <c r="V1035" s="858"/>
      <c r="W1035" s="858"/>
      <c r="X1035" s="858"/>
      <c r="Y1035" s="858"/>
      <c r="Z1035" s="858"/>
      <c r="AA1035" s="858"/>
      <c r="AB1035" s="858"/>
      <c r="AC1035" s="858"/>
      <c r="AD1035" s="858"/>
      <c r="AE1035" s="858"/>
      <c r="AF1035" s="858"/>
      <c r="AG1035" s="858"/>
      <c r="AH1035" s="858"/>
      <c r="AI1035" s="858"/>
      <c r="AJ1035" s="858"/>
    </row>
    <row r="1036" ht="15.75" customHeight="1">
      <c r="A1036" s="576"/>
      <c r="B1036" s="2"/>
      <c r="C1036" s="2"/>
      <c r="D1036" s="668"/>
      <c r="E1036" s="2"/>
      <c r="F1036" s="2"/>
      <c r="G1036" s="2"/>
      <c r="H1036" s="2"/>
      <c r="I1036" s="2"/>
      <c r="J1036" s="2"/>
      <c r="K1036" s="2"/>
      <c r="L1036" s="2"/>
      <c r="M1036" s="667"/>
      <c r="N1036" s="2"/>
      <c r="O1036" s="2"/>
      <c r="P1036" s="2"/>
      <c r="Q1036" s="857"/>
      <c r="R1036" s="858"/>
      <c r="S1036" s="858"/>
      <c r="T1036" s="858"/>
      <c r="U1036" s="858"/>
      <c r="V1036" s="858"/>
      <c r="W1036" s="858"/>
      <c r="X1036" s="858"/>
      <c r="Y1036" s="858"/>
      <c r="Z1036" s="858"/>
      <c r="AA1036" s="858"/>
      <c r="AB1036" s="858"/>
      <c r="AC1036" s="858"/>
      <c r="AD1036" s="858"/>
      <c r="AE1036" s="858"/>
      <c r="AF1036" s="858"/>
      <c r="AG1036" s="858"/>
      <c r="AH1036" s="858"/>
      <c r="AI1036" s="858"/>
      <c r="AJ1036" s="858"/>
    </row>
    <row r="1037" ht="15.75" customHeight="1">
      <c r="A1037" s="576"/>
      <c r="B1037" s="2"/>
      <c r="C1037" s="2"/>
      <c r="D1037" s="668"/>
      <c r="E1037" s="2"/>
      <c r="F1037" s="2"/>
      <c r="G1037" s="2"/>
      <c r="H1037" s="2"/>
      <c r="I1037" s="2"/>
      <c r="J1037" s="2"/>
      <c r="K1037" s="2"/>
      <c r="L1037" s="2"/>
      <c r="M1037" s="667"/>
      <c r="N1037" s="2"/>
      <c r="O1037" s="2"/>
      <c r="P1037" s="2"/>
      <c r="Q1037" s="857"/>
      <c r="R1037" s="858"/>
      <c r="S1037" s="858"/>
      <c r="T1037" s="858"/>
      <c r="U1037" s="858"/>
      <c r="V1037" s="858"/>
      <c r="W1037" s="858"/>
      <c r="X1037" s="858"/>
      <c r="Y1037" s="858"/>
      <c r="Z1037" s="858"/>
      <c r="AA1037" s="858"/>
      <c r="AB1037" s="858"/>
      <c r="AC1037" s="858"/>
      <c r="AD1037" s="858"/>
      <c r="AE1037" s="858"/>
      <c r="AF1037" s="858"/>
      <c r="AG1037" s="858"/>
      <c r="AH1037" s="858"/>
      <c r="AI1037" s="858"/>
      <c r="AJ1037" s="858"/>
    </row>
    <row r="1038" ht="15.75" customHeight="1">
      <c r="A1038" s="576"/>
      <c r="B1038" s="2"/>
      <c r="C1038" s="2"/>
      <c r="D1038" s="668"/>
      <c r="E1038" s="2"/>
      <c r="F1038" s="2"/>
      <c r="G1038" s="2"/>
      <c r="H1038" s="2"/>
      <c r="I1038" s="2"/>
      <c r="J1038" s="2"/>
      <c r="K1038" s="2"/>
      <c r="L1038" s="2"/>
      <c r="M1038" s="667"/>
      <c r="N1038" s="2"/>
      <c r="O1038" s="2"/>
      <c r="P1038" s="2"/>
      <c r="Q1038" s="857"/>
      <c r="R1038" s="858"/>
      <c r="S1038" s="858"/>
      <c r="T1038" s="858"/>
      <c r="U1038" s="858"/>
      <c r="V1038" s="858"/>
      <c r="W1038" s="858"/>
      <c r="X1038" s="858"/>
      <c r="Y1038" s="858"/>
      <c r="Z1038" s="858"/>
      <c r="AA1038" s="858"/>
      <c r="AB1038" s="858"/>
      <c r="AC1038" s="858"/>
      <c r="AD1038" s="858"/>
      <c r="AE1038" s="858"/>
      <c r="AF1038" s="858"/>
      <c r="AG1038" s="858"/>
      <c r="AH1038" s="858"/>
      <c r="AI1038" s="858"/>
      <c r="AJ1038" s="858"/>
    </row>
    <row r="1039" ht="15.75" customHeight="1">
      <c r="A1039" s="576"/>
      <c r="B1039" s="2"/>
      <c r="C1039" s="2"/>
      <c r="D1039" s="668"/>
      <c r="E1039" s="2"/>
      <c r="F1039" s="2"/>
      <c r="G1039" s="2"/>
      <c r="H1039" s="2"/>
      <c r="I1039" s="2"/>
      <c r="J1039" s="2"/>
      <c r="K1039" s="2"/>
      <c r="L1039" s="2"/>
      <c r="M1039" s="667"/>
      <c r="N1039" s="2"/>
      <c r="O1039" s="2"/>
      <c r="P1039" s="2"/>
      <c r="Q1039" s="857"/>
      <c r="R1039" s="858"/>
      <c r="S1039" s="858"/>
      <c r="T1039" s="858"/>
      <c r="U1039" s="858"/>
      <c r="V1039" s="858"/>
      <c r="W1039" s="858"/>
      <c r="X1039" s="858"/>
      <c r="Y1039" s="858"/>
      <c r="Z1039" s="858"/>
      <c r="AA1039" s="858"/>
      <c r="AB1039" s="858"/>
      <c r="AC1039" s="858"/>
      <c r="AD1039" s="858"/>
      <c r="AE1039" s="858"/>
      <c r="AF1039" s="858"/>
      <c r="AG1039" s="858"/>
      <c r="AH1039" s="858"/>
      <c r="AI1039" s="858"/>
      <c r="AJ1039" s="858"/>
    </row>
    <row r="1040" ht="15.75" customHeight="1">
      <c r="A1040" s="576"/>
      <c r="B1040" s="2"/>
      <c r="C1040" s="2"/>
      <c r="D1040" s="668"/>
      <c r="E1040" s="2"/>
      <c r="F1040" s="2"/>
      <c r="G1040" s="2"/>
      <c r="H1040" s="2"/>
      <c r="I1040" s="2"/>
      <c r="J1040" s="2"/>
      <c r="K1040" s="2"/>
      <c r="L1040" s="2"/>
      <c r="M1040" s="667"/>
      <c r="N1040" s="2"/>
      <c r="O1040" s="2"/>
      <c r="P1040" s="2"/>
      <c r="Q1040" s="857"/>
      <c r="R1040" s="858"/>
      <c r="S1040" s="858"/>
      <c r="T1040" s="858"/>
      <c r="U1040" s="858"/>
      <c r="V1040" s="858"/>
      <c r="W1040" s="858"/>
      <c r="X1040" s="858"/>
      <c r="Y1040" s="858"/>
      <c r="Z1040" s="858"/>
      <c r="AA1040" s="858"/>
      <c r="AB1040" s="858"/>
      <c r="AC1040" s="858"/>
      <c r="AD1040" s="858"/>
      <c r="AE1040" s="858"/>
      <c r="AF1040" s="858"/>
      <c r="AG1040" s="858"/>
      <c r="AH1040" s="858"/>
      <c r="AI1040" s="858"/>
      <c r="AJ1040" s="858"/>
    </row>
    <row r="1041" ht="15.75" customHeight="1">
      <c r="A1041" s="576"/>
      <c r="B1041" s="2"/>
      <c r="C1041" s="2"/>
      <c r="D1041" s="668"/>
      <c r="E1041" s="2"/>
      <c r="F1041" s="2"/>
      <c r="G1041" s="2"/>
      <c r="H1041" s="2"/>
      <c r="I1041" s="2"/>
      <c r="J1041" s="2"/>
      <c r="K1041" s="2"/>
      <c r="L1041" s="2"/>
      <c r="M1041" s="667"/>
      <c r="N1041" s="2"/>
      <c r="O1041" s="2"/>
      <c r="P1041" s="2"/>
      <c r="Q1041" s="857"/>
      <c r="R1041" s="858"/>
      <c r="S1041" s="858"/>
      <c r="T1041" s="858"/>
      <c r="U1041" s="858"/>
      <c r="V1041" s="858"/>
      <c r="W1041" s="858"/>
      <c r="X1041" s="858"/>
      <c r="Y1041" s="858"/>
      <c r="Z1041" s="858"/>
      <c r="AA1041" s="858"/>
      <c r="AB1041" s="858"/>
      <c r="AC1041" s="858"/>
      <c r="AD1041" s="858"/>
      <c r="AE1041" s="858"/>
      <c r="AF1041" s="858"/>
      <c r="AG1041" s="858"/>
      <c r="AH1041" s="858"/>
      <c r="AI1041" s="858"/>
      <c r="AJ1041" s="858"/>
    </row>
    <row r="1042" ht="15.75" customHeight="1">
      <c r="A1042" s="576"/>
      <c r="B1042" s="2"/>
      <c r="C1042" s="2"/>
      <c r="D1042" s="668"/>
      <c r="E1042" s="2"/>
      <c r="F1042" s="2"/>
      <c r="G1042" s="2"/>
      <c r="H1042" s="2"/>
      <c r="I1042" s="2"/>
      <c r="J1042" s="2"/>
      <c r="K1042" s="2"/>
      <c r="L1042" s="2"/>
      <c r="M1042" s="667"/>
      <c r="N1042" s="2"/>
      <c r="O1042" s="2"/>
      <c r="P1042" s="2"/>
      <c r="Q1042" s="857"/>
      <c r="R1042" s="858"/>
      <c r="S1042" s="858"/>
      <c r="T1042" s="858"/>
      <c r="U1042" s="858"/>
      <c r="V1042" s="858"/>
      <c r="W1042" s="858"/>
      <c r="X1042" s="858"/>
      <c r="Y1042" s="858"/>
      <c r="Z1042" s="858"/>
      <c r="AA1042" s="858"/>
      <c r="AB1042" s="858"/>
      <c r="AC1042" s="858"/>
      <c r="AD1042" s="858"/>
      <c r="AE1042" s="858"/>
      <c r="AF1042" s="858"/>
      <c r="AG1042" s="858"/>
      <c r="AH1042" s="858"/>
      <c r="AI1042" s="858"/>
      <c r="AJ1042" s="858"/>
    </row>
    <row r="1043" ht="15.75" customHeight="1">
      <c r="A1043" s="576"/>
      <c r="B1043" s="2"/>
      <c r="C1043" s="2"/>
      <c r="D1043" s="668"/>
      <c r="E1043" s="2"/>
      <c r="F1043" s="2"/>
      <c r="G1043" s="2"/>
      <c r="H1043" s="2"/>
      <c r="I1043" s="2"/>
      <c r="J1043" s="2"/>
      <c r="K1043" s="2"/>
      <c r="L1043" s="2"/>
      <c r="M1043" s="667"/>
      <c r="N1043" s="2"/>
      <c r="O1043" s="2"/>
      <c r="P1043" s="2"/>
      <c r="Q1043" s="857"/>
      <c r="R1043" s="858"/>
      <c r="S1043" s="858"/>
      <c r="T1043" s="858"/>
      <c r="U1043" s="858"/>
      <c r="V1043" s="858"/>
      <c r="W1043" s="858"/>
      <c r="X1043" s="858"/>
      <c r="Y1043" s="858"/>
      <c r="Z1043" s="858"/>
      <c r="AA1043" s="858"/>
      <c r="AB1043" s="858"/>
      <c r="AC1043" s="858"/>
      <c r="AD1043" s="858"/>
      <c r="AE1043" s="858"/>
      <c r="AF1043" s="858"/>
      <c r="AG1043" s="858"/>
      <c r="AH1043" s="858"/>
      <c r="AI1043" s="858"/>
      <c r="AJ1043" s="858"/>
    </row>
    <row r="1044" ht="15.75" customHeight="1">
      <c r="A1044" s="576"/>
      <c r="B1044" s="2"/>
      <c r="C1044" s="2"/>
      <c r="D1044" s="668"/>
      <c r="E1044" s="2"/>
      <c r="F1044" s="2"/>
      <c r="G1044" s="2"/>
      <c r="H1044" s="2"/>
      <c r="I1044" s="2"/>
      <c r="J1044" s="2"/>
      <c r="K1044" s="2"/>
      <c r="L1044" s="2"/>
      <c r="M1044" s="667"/>
      <c r="N1044" s="2"/>
      <c r="O1044" s="2"/>
      <c r="P1044" s="2"/>
      <c r="Q1044" s="857"/>
      <c r="R1044" s="858"/>
      <c r="S1044" s="858"/>
      <c r="T1044" s="858"/>
      <c r="U1044" s="858"/>
      <c r="V1044" s="858"/>
      <c r="W1044" s="858"/>
      <c r="X1044" s="858"/>
      <c r="Y1044" s="858"/>
      <c r="Z1044" s="858"/>
      <c r="AA1044" s="858"/>
      <c r="AB1044" s="858"/>
      <c r="AC1044" s="858"/>
      <c r="AD1044" s="858"/>
      <c r="AE1044" s="858"/>
      <c r="AF1044" s="858"/>
      <c r="AG1044" s="858"/>
      <c r="AH1044" s="858"/>
      <c r="AI1044" s="858"/>
      <c r="AJ1044" s="858"/>
    </row>
    <row r="1045" ht="15.75" customHeight="1">
      <c r="A1045" s="576"/>
      <c r="B1045" s="2"/>
      <c r="C1045" s="2"/>
      <c r="D1045" s="668"/>
      <c r="E1045" s="2"/>
      <c r="F1045" s="2"/>
      <c r="G1045" s="2"/>
      <c r="H1045" s="2"/>
      <c r="I1045" s="2"/>
      <c r="J1045" s="2"/>
      <c r="K1045" s="2"/>
      <c r="L1045" s="2"/>
      <c r="M1045" s="667"/>
      <c r="N1045" s="2"/>
      <c r="O1045" s="2"/>
      <c r="P1045" s="2"/>
      <c r="Q1045" s="857"/>
      <c r="R1045" s="858"/>
      <c r="S1045" s="858"/>
      <c r="T1045" s="858"/>
      <c r="U1045" s="858"/>
      <c r="V1045" s="858"/>
      <c r="W1045" s="858"/>
      <c r="X1045" s="858"/>
      <c r="Y1045" s="858"/>
      <c r="Z1045" s="858"/>
      <c r="AA1045" s="858"/>
      <c r="AB1045" s="858"/>
      <c r="AC1045" s="858"/>
      <c r="AD1045" s="858"/>
      <c r="AE1045" s="858"/>
      <c r="AF1045" s="858"/>
      <c r="AG1045" s="858"/>
      <c r="AH1045" s="858"/>
      <c r="AI1045" s="858"/>
      <c r="AJ1045" s="858"/>
    </row>
    <row r="1046" ht="15.75" customHeight="1">
      <c r="A1046" s="576"/>
      <c r="B1046" s="2"/>
      <c r="C1046" s="2"/>
      <c r="D1046" s="668"/>
      <c r="E1046" s="2"/>
      <c r="F1046" s="2"/>
      <c r="G1046" s="2"/>
      <c r="H1046" s="2"/>
      <c r="I1046" s="2"/>
      <c r="J1046" s="2"/>
      <c r="K1046" s="2"/>
      <c r="L1046" s="2"/>
      <c r="M1046" s="667"/>
      <c r="N1046" s="2"/>
      <c r="O1046" s="2"/>
      <c r="P1046" s="2"/>
      <c r="Q1046" s="857"/>
      <c r="R1046" s="858"/>
      <c r="S1046" s="858"/>
      <c r="T1046" s="858"/>
      <c r="U1046" s="858"/>
      <c r="V1046" s="858"/>
      <c r="W1046" s="858"/>
      <c r="X1046" s="858"/>
      <c r="Y1046" s="858"/>
      <c r="Z1046" s="858"/>
      <c r="AA1046" s="858"/>
      <c r="AB1046" s="858"/>
      <c r="AC1046" s="858"/>
      <c r="AD1046" s="858"/>
      <c r="AE1046" s="858"/>
      <c r="AF1046" s="858"/>
      <c r="AG1046" s="858"/>
      <c r="AH1046" s="858"/>
      <c r="AI1046" s="858"/>
      <c r="AJ1046" s="858"/>
    </row>
    <row r="1047" ht="15.75" customHeight="1">
      <c r="A1047" s="576"/>
      <c r="B1047" s="2"/>
      <c r="C1047" s="2"/>
      <c r="D1047" s="668"/>
      <c r="E1047" s="2"/>
      <c r="F1047" s="2"/>
      <c r="G1047" s="2"/>
      <c r="H1047" s="2"/>
      <c r="I1047" s="2"/>
      <c r="J1047" s="2"/>
      <c r="K1047" s="2"/>
      <c r="L1047" s="2"/>
      <c r="M1047" s="667"/>
      <c r="N1047" s="2"/>
      <c r="O1047" s="2"/>
      <c r="P1047" s="2"/>
      <c r="Q1047" s="857"/>
      <c r="R1047" s="858"/>
      <c r="S1047" s="858"/>
      <c r="T1047" s="858"/>
      <c r="U1047" s="858"/>
      <c r="V1047" s="858"/>
      <c r="W1047" s="858"/>
      <c r="X1047" s="858"/>
      <c r="Y1047" s="858"/>
      <c r="Z1047" s="858"/>
      <c r="AA1047" s="858"/>
      <c r="AB1047" s="858"/>
      <c r="AC1047" s="858"/>
      <c r="AD1047" s="858"/>
      <c r="AE1047" s="858"/>
      <c r="AF1047" s="858"/>
      <c r="AG1047" s="858"/>
      <c r="AH1047" s="858"/>
      <c r="AI1047" s="858"/>
      <c r="AJ1047" s="858"/>
    </row>
    <row r="1048" ht="15.75" customHeight="1">
      <c r="A1048" s="576"/>
      <c r="B1048" s="2"/>
      <c r="C1048" s="2"/>
      <c r="D1048" s="668"/>
      <c r="E1048" s="2"/>
      <c r="F1048" s="2"/>
      <c r="G1048" s="2"/>
      <c r="H1048" s="2"/>
      <c r="I1048" s="2"/>
      <c r="J1048" s="2"/>
      <c r="K1048" s="2"/>
      <c r="L1048" s="2"/>
      <c r="M1048" s="667"/>
      <c r="N1048" s="2"/>
      <c r="O1048" s="2"/>
      <c r="P1048" s="2"/>
      <c r="Q1048" s="857"/>
      <c r="R1048" s="858"/>
      <c r="S1048" s="858"/>
      <c r="T1048" s="858"/>
      <c r="U1048" s="858"/>
      <c r="V1048" s="858"/>
      <c r="W1048" s="858"/>
      <c r="X1048" s="858"/>
      <c r="Y1048" s="858"/>
      <c r="Z1048" s="858"/>
      <c r="AA1048" s="858"/>
      <c r="AB1048" s="858"/>
      <c r="AC1048" s="858"/>
      <c r="AD1048" s="858"/>
      <c r="AE1048" s="858"/>
      <c r="AF1048" s="858"/>
      <c r="AG1048" s="858"/>
      <c r="AH1048" s="858"/>
      <c r="AI1048" s="858"/>
      <c r="AJ1048" s="858"/>
    </row>
    <row r="1049" ht="15.75" customHeight="1">
      <c r="A1049" s="576"/>
      <c r="B1049" s="2"/>
      <c r="C1049" s="2"/>
      <c r="D1049" s="668"/>
      <c r="E1049" s="2"/>
      <c r="F1049" s="2"/>
      <c r="G1049" s="2"/>
      <c r="H1049" s="2"/>
      <c r="I1049" s="2"/>
      <c r="J1049" s="2"/>
      <c r="K1049" s="2"/>
      <c r="L1049" s="2"/>
      <c r="M1049" s="667"/>
      <c r="N1049" s="2"/>
      <c r="O1049" s="2"/>
      <c r="P1049" s="2"/>
      <c r="Q1049" s="857"/>
      <c r="R1049" s="858"/>
      <c r="S1049" s="858"/>
      <c r="T1049" s="858"/>
      <c r="U1049" s="858"/>
      <c r="V1049" s="858"/>
      <c r="W1049" s="858"/>
      <c r="X1049" s="858"/>
      <c r="Y1049" s="858"/>
      <c r="Z1049" s="858"/>
      <c r="AA1049" s="858"/>
      <c r="AB1049" s="858"/>
      <c r="AC1049" s="858"/>
      <c r="AD1049" s="858"/>
      <c r="AE1049" s="858"/>
      <c r="AF1049" s="858"/>
      <c r="AG1049" s="858"/>
      <c r="AH1049" s="858"/>
      <c r="AI1049" s="858"/>
      <c r="AJ1049" s="858"/>
    </row>
    <row r="1050" ht="15.75" customHeight="1">
      <c r="A1050" s="576"/>
      <c r="B1050" s="2"/>
      <c r="C1050" s="2"/>
      <c r="D1050" s="668"/>
      <c r="E1050" s="2"/>
      <c r="F1050" s="2"/>
      <c r="G1050" s="2"/>
      <c r="H1050" s="2"/>
      <c r="I1050" s="2"/>
      <c r="J1050" s="2"/>
      <c r="K1050" s="2"/>
      <c r="L1050" s="2"/>
      <c r="M1050" s="667"/>
      <c r="N1050" s="2"/>
      <c r="O1050" s="2"/>
      <c r="P1050" s="2"/>
      <c r="Q1050" s="857"/>
      <c r="R1050" s="858"/>
      <c r="S1050" s="858"/>
      <c r="T1050" s="858"/>
      <c r="U1050" s="858"/>
      <c r="V1050" s="858"/>
      <c r="W1050" s="858"/>
      <c r="X1050" s="858"/>
      <c r="Y1050" s="858"/>
      <c r="Z1050" s="858"/>
      <c r="AA1050" s="858"/>
      <c r="AB1050" s="858"/>
      <c r="AC1050" s="858"/>
      <c r="AD1050" s="858"/>
      <c r="AE1050" s="858"/>
      <c r="AF1050" s="858"/>
      <c r="AG1050" s="858"/>
      <c r="AH1050" s="858"/>
      <c r="AI1050" s="858"/>
      <c r="AJ1050" s="858"/>
    </row>
    <row r="1051" ht="15.75" customHeight="1">
      <c r="A1051" s="576"/>
      <c r="B1051" s="2"/>
      <c r="C1051" s="2"/>
      <c r="D1051" s="668"/>
      <c r="E1051" s="2"/>
      <c r="F1051" s="2"/>
      <c r="G1051" s="2"/>
      <c r="H1051" s="2"/>
      <c r="I1051" s="2"/>
      <c r="J1051" s="2"/>
      <c r="K1051" s="2"/>
      <c r="L1051" s="2"/>
      <c r="M1051" s="667"/>
      <c r="N1051" s="2"/>
      <c r="O1051" s="2"/>
      <c r="P1051" s="2"/>
      <c r="Q1051" s="857"/>
      <c r="R1051" s="858"/>
      <c r="S1051" s="858"/>
      <c r="T1051" s="858"/>
      <c r="U1051" s="858"/>
      <c r="V1051" s="858"/>
      <c r="W1051" s="858"/>
      <c r="X1051" s="858"/>
      <c r="Y1051" s="858"/>
      <c r="Z1051" s="858"/>
      <c r="AA1051" s="858"/>
      <c r="AB1051" s="858"/>
      <c r="AC1051" s="858"/>
      <c r="AD1051" s="858"/>
      <c r="AE1051" s="858"/>
      <c r="AF1051" s="858"/>
      <c r="AG1051" s="858"/>
      <c r="AH1051" s="858"/>
      <c r="AI1051" s="858"/>
      <c r="AJ1051" s="858"/>
    </row>
    <row r="1052" ht="15.75" customHeight="1">
      <c r="A1052" s="576"/>
      <c r="B1052" s="2"/>
      <c r="C1052" s="2"/>
      <c r="D1052" s="668"/>
      <c r="E1052" s="2"/>
      <c r="F1052" s="2"/>
      <c r="G1052" s="2"/>
      <c r="H1052" s="2"/>
      <c r="I1052" s="2"/>
      <c r="J1052" s="2"/>
      <c r="K1052" s="2"/>
      <c r="L1052" s="2"/>
      <c r="M1052" s="667"/>
      <c r="N1052" s="2"/>
      <c r="O1052" s="2"/>
      <c r="P1052" s="2"/>
      <c r="Q1052" s="857"/>
      <c r="R1052" s="858"/>
      <c r="S1052" s="858"/>
      <c r="T1052" s="858"/>
      <c r="U1052" s="858"/>
      <c r="V1052" s="858"/>
      <c r="W1052" s="858"/>
      <c r="X1052" s="858"/>
      <c r="Y1052" s="858"/>
      <c r="Z1052" s="858"/>
      <c r="AA1052" s="858"/>
      <c r="AB1052" s="858"/>
      <c r="AC1052" s="858"/>
      <c r="AD1052" s="858"/>
      <c r="AE1052" s="858"/>
      <c r="AF1052" s="858"/>
      <c r="AG1052" s="858"/>
      <c r="AH1052" s="858"/>
      <c r="AI1052" s="858"/>
      <c r="AJ1052" s="858"/>
    </row>
    <row r="1053" ht="15.75" customHeight="1">
      <c r="A1053" s="576"/>
      <c r="B1053" s="2"/>
      <c r="C1053" s="2"/>
      <c r="D1053" s="668"/>
      <c r="E1053" s="2"/>
      <c r="F1053" s="2"/>
      <c r="G1053" s="2"/>
      <c r="H1053" s="2"/>
      <c r="I1053" s="2"/>
      <c r="J1053" s="2"/>
      <c r="K1053" s="2"/>
      <c r="L1053" s="2"/>
      <c r="M1053" s="667"/>
      <c r="N1053" s="2"/>
      <c r="O1053" s="2"/>
      <c r="P1053" s="2"/>
      <c r="Q1053" s="857"/>
      <c r="R1053" s="858"/>
      <c r="S1053" s="858"/>
      <c r="T1053" s="858"/>
      <c r="U1053" s="858"/>
      <c r="V1053" s="858"/>
      <c r="W1053" s="858"/>
      <c r="X1053" s="858"/>
      <c r="Y1053" s="858"/>
      <c r="Z1053" s="858"/>
      <c r="AA1053" s="858"/>
      <c r="AB1053" s="858"/>
      <c r="AC1053" s="858"/>
      <c r="AD1053" s="858"/>
      <c r="AE1053" s="858"/>
      <c r="AF1053" s="858"/>
      <c r="AG1053" s="858"/>
      <c r="AH1053" s="858"/>
      <c r="AI1053" s="858"/>
      <c r="AJ1053" s="858"/>
    </row>
    <row r="1054" ht="15.75" customHeight="1">
      <c r="A1054" s="576"/>
      <c r="B1054" s="2"/>
      <c r="C1054" s="2"/>
      <c r="D1054" s="668"/>
      <c r="E1054" s="2"/>
      <c r="F1054" s="2"/>
      <c r="G1054" s="2"/>
      <c r="H1054" s="2"/>
      <c r="I1054" s="2"/>
      <c r="J1054" s="2"/>
      <c r="K1054" s="2"/>
      <c r="L1054" s="2"/>
      <c r="M1054" s="667"/>
      <c r="N1054" s="2"/>
      <c r="O1054" s="2"/>
      <c r="P1054" s="2"/>
      <c r="Q1054" s="857"/>
      <c r="R1054" s="858"/>
      <c r="S1054" s="858"/>
      <c r="T1054" s="858"/>
      <c r="U1054" s="858"/>
      <c r="V1054" s="858"/>
      <c r="W1054" s="858"/>
      <c r="X1054" s="858"/>
      <c r="Y1054" s="858"/>
      <c r="Z1054" s="858"/>
      <c r="AA1054" s="858"/>
      <c r="AB1054" s="858"/>
      <c r="AC1054" s="858"/>
      <c r="AD1054" s="858"/>
      <c r="AE1054" s="858"/>
      <c r="AF1054" s="858"/>
      <c r="AG1054" s="858"/>
      <c r="AH1054" s="858"/>
      <c r="AI1054" s="858"/>
      <c r="AJ1054" s="858"/>
    </row>
    <row r="1055" ht="15.75" customHeight="1">
      <c r="A1055" s="576"/>
      <c r="B1055" s="2"/>
      <c r="C1055" s="2"/>
      <c r="D1055" s="668"/>
      <c r="E1055" s="2"/>
      <c r="F1055" s="2"/>
      <c r="G1055" s="2"/>
      <c r="H1055" s="2"/>
      <c r="I1055" s="2"/>
      <c r="J1055" s="2"/>
      <c r="K1055" s="2"/>
      <c r="L1055" s="2"/>
      <c r="M1055" s="667"/>
      <c r="N1055" s="2"/>
      <c r="O1055" s="2"/>
      <c r="P1055" s="2"/>
      <c r="Q1055" s="857"/>
      <c r="R1055" s="858"/>
      <c r="S1055" s="858"/>
      <c r="T1055" s="858"/>
      <c r="U1055" s="858"/>
      <c r="V1055" s="858"/>
      <c r="W1055" s="858"/>
      <c r="X1055" s="858"/>
      <c r="Y1055" s="858"/>
      <c r="Z1055" s="858"/>
      <c r="AA1055" s="858"/>
      <c r="AB1055" s="858"/>
      <c r="AC1055" s="858"/>
      <c r="AD1055" s="858"/>
      <c r="AE1055" s="858"/>
      <c r="AF1055" s="858"/>
      <c r="AG1055" s="858"/>
      <c r="AH1055" s="858"/>
      <c r="AI1055" s="858"/>
      <c r="AJ1055" s="858"/>
    </row>
    <row r="1056" ht="15.75" customHeight="1">
      <c r="A1056" s="576"/>
      <c r="B1056" s="2"/>
      <c r="C1056" s="2"/>
      <c r="D1056" s="668"/>
      <c r="E1056" s="2"/>
      <c r="F1056" s="2"/>
      <c r="G1056" s="2"/>
      <c r="H1056" s="2"/>
      <c r="I1056" s="2"/>
      <c r="J1056" s="2"/>
      <c r="K1056" s="2"/>
      <c r="L1056" s="2"/>
      <c r="M1056" s="667"/>
      <c r="N1056" s="2"/>
      <c r="O1056" s="2"/>
      <c r="P1056" s="2"/>
      <c r="Q1056" s="857"/>
      <c r="R1056" s="858"/>
      <c r="S1056" s="858"/>
      <c r="T1056" s="858"/>
      <c r="U1056" s="858"/>
      <c r="V1056" s="858"/>
      <c r="W1056" s="858"/>
      <c r="X1056" s="858"/>
      <c r="Y1056" s="858"/>
      <c r="Z1056" s="858"/>
      <c r="AA1056" s="858"/>
      <c r="AB1056" s="858"/>
      <c r="AC1056" s="858"/>
      <c r="AD1056" s="858"/>
      <c r="AE1056" s="858"/>
      <c r="AF1056" s="858"/>
      <c r="AG1056" s="858"/>
      <c r="AH1056" s="858"/>
      <c r="AI1056" s="858"/>
      <c r="AJ1056" s="858"/>
    </row>
    <row r="1057" ht="15.75" customHeight="1">
      <c r="A1057" s="576"/>
      <c r="B1057" s="2"/>
      <c r="C1057" s="2"/>
      <c r="D1057" s="668"/>
      <c r="E1057" s="2"/>
      <c r="F1057" s="2"/>
      <c r="G1057" s="2"/>
      <c r="H1057" s="2"/>
      <c r="I1057" s="2"/>
      <c r="J1057" s="2"/>
      <c r="K1057" s="2"/>
      <c r="L1057" s="2"/>
      <c r="M1057" s="667"/>
      <c r="N1057" s="2"/>
      <c r="O1057" s="2"/>
      <c r="P1057" s="2"/>
      <c r="Q1057" s="857"/>
      <c r="R1057" s="858"/>
      <c r="S1057" s="858"/>
      <c r="T1057" s="858"/>
      <c r="U1057" s="858"/>
      <c r="V1057" s="858"/>
      <c r="W1057" s="858"/>
      <c r="X1057" s="858"/>
      <c r="Y1057" s="858"/>
      <c r="Z1057" s="858"/>
      <c r="AA1057" s="858"/>
      <c r="AB1057" s="858"/>
      <c r="AC1057" s="858"/>
      <c r="AD1057" s="858"/>
      <c r="AE1057" s="858"/>
      <c r="AF1057" s="858"/>
      <c r="AG1057" s="858"/>
      <c r="AH1057" s="858"/>
      <c r="AI1057" s="858"/>
      <c r="AJ1057" s="858"/>
    </row>
    <row r="1058" ht="15.75" customHeight="1">
      <c r="A1058" s="576"/>
      <c r="B1058" s="2"/>
      <c r="C1058" s="2"/>
      <c r="D1058" s="668"/>
      <c r="E1058" s="2"/>
      <c r="F1058" s="2"/>
      <c r="G1058" s="2"/>
      <c r="H1058" s="2"/>
      <c r="I1058" s="2"/>
      <c r="J1058" s="2"/>
      <c r="K1058" s="2"/>
      <c r="L1058" s="2"/>
      <c r="M1058" s="667"/>
      <c r="N1058" s="2"/>
      <c r="O1058" s="2"/>
      <c r="P1058" s="2"/>
      <c r="Q1058" s="857"/>
      <c r="R1058" s="858"/>
      <c r="S1058" s="858"/>
      <c r="T1058" s="858"/>
      <c r="U1058" s="858"/>
      <c r="V1058" s="858"/>
      <c r="W1058" s="858"/>
      <c r="X1058" s="858"/>
      <c r="Y1058" s="858"/>
      <c r="Z1058" s="858"/>
      <c r="AA1058" s="858"/>
      <c r="AB1058" s="858"/>
      <c r="AC1058" s="858"/>
      <c r="AD1058" s="858"/>
      <c r="AE1058" s="858"/>
      <c r="AF1058" s="858"/>
      <c r="AG1058" s="858"/>
      <c r="AH1058" s="858"/>
      <c r="AI1058" s="858"/>
      <c r="AJ1058" s="858"/>
    </row>
    <row r="1059" ht="15.75" customHeight="1">
      <c r="A1059" s="576"/>
      <c r="B1059" s="2"/>
      <c r="C1059" s="2"/>
      <c r="D1059" s="668"/>
      <c r="E1059" s="2"/>
      <c r="F1059" s="2"/>
      <c r="G1059" s="2"/>
      <c r="H1059" s="2"/>
      <c r="I1059" s="2"/>
      <c r="J1059" s="2"/>
      <c r="K1059" s="2"/>
      <c r="L1059" s="2"/>
      <c r="M1059" s="667"/>
      <c r="N1059" s="2"/>
      <c r="O1059" s="2"/>
      <c r="P1059" s="2"/>
      <c r="Q1059" s="857"/>
      <c r="R1059" s="858"/>
      <c r="S1059" s="858"/>
      <c r="T1059" s="858"/>
      <c r="U1059" s="858"/>
      <c r="V1059" s="858"/>
      <c r="W1059" s="858"/>
      <c r="X1059" s="858"/>
      <c r="Y1059" s="858"/>
      <c r="Z1059" s="858"/>
      <c r="AA1059" s="858"/>
      <c r="AB1059" s="858"/>
      <c r="AC1059" s="858"/>
      <c r="AD1059" s="858"/>
      <c r="AE1059" s="858"/>
      <c r="AF1059" s="858"/>
      <c r="AG1059" s="858"/>
      <c r="AH1059" s="858"/>
      <c r="AI1059" s="858"/>
      <c r="AJ1059" s="858"/>
    </row>
    <row r="1060" ht="15.75" customHeight="1">
      <c r="A1060" s="576"/>
      <c r="B1060" s="2"/>
      <c r="C1060" s="2"/>
      <c r="D1060" s="668"/>
      <c r="E1060" s="2"/>
      <c r="F1060" s="2"/>
      <c r="G1060" s="2"/>
      <c r="H1060" s="2"/>
      <c r="I1060" s="2"/>
      <c r="J1060" s="2"/>
      <c r="K1060" s="2"/>
      <c r="L1060" s="2"/>
      <c r="M1060" s="667"/>
      <c r="N1060" s="2"/>
      <c r="O1060" s="2"/>
      <c r="P1060" s="2"/>
      <c r="Q1060" s="857"/>
      <c r="R1060" s="858"/>
      <c r="S1060" s="858"/>
      <c r="T1060" s="858"/>
      <c r="U1060" s="858"/>
      <c r="V1060" s="858"/>
      <c r="W1060" s="858"/>
      <c r="X1060" s="858"/>
      <c r="Y1060" s="858"/>
      <c r="Z1060" s="858"/>
      <c r="AA1060" s="858"/>
      <c r="AB1060" s="858"/>
      <c r="AC1060" s="858"/>
      <c r="AD1060" s="858"/>
      <c r="AE1060" s="858"/>
      <c r="AF1060" s="858"/>
      <c r="AG1060" s="858"/>
      <c r="AH1060" s="858"/>
      <c r="AI1060" s="858"/>
      <c r="AJ1060" s="858"/>
    </row>
    <row r="1061" ht="15.75" customHeight="1">
      <c r="A1061" s="576"/>
      <c r="B1061" s="2"/>
      <c r="C1061" s="2"/>
      <c r="D1061" s="668"/>
      <c r="E1061" s="2"/>
      <c r="F1061" s="2"/>
      <c r="G1061" s="2"/>
      <c r="H1061" s="2"/>
      <c r="I1061" s="2"/>
      <c r="J1061" s="2"/>
      <c r="K1061" s="2"/>
      <c r="L1061" s="2"/>
      <c r="M1061" s="667"/>
      <c r="N1061" s="2"/>
      <c r="O1061" s="2"/>
      <c r="P1061" s="2"/>
      <c r="Q1061" s="857"/>
      <c r="R1061" s="858"/>
      <c r="S1061" s="858"/>
      <c r="T1061" s="858"/>
      <c r="U1061" s="858"/>
      <c r="V1061" s="858"/>
      <c r="W1061" s="858"/>
      <c r="X1061" s="858"/>
      <c r="Y1061" s="858"/>
      <c r="Z1061" s="858"/>
      <c r="AA1061" s="858"/>
      <c r="AB1061" s="858"/>
      <c r="AC1061" s="858"/>
      <c r="AD1061" s="858"/>
      <c r="AE1061" s="858"/>
      <c r="AF1061" s="858"/>
      <c r="AG1061" s="858"/>
      <c r="AH1061" s="858"/>
      <c r="AI1061" s="858"/>
      <c r="AJ1061" s="858"/>
    </row>
    <row r="1062" ht="15.75" customHeight="1">
      <c r="A1062" s="576"/>
      <c r="B1062" s="2"/>
      <c r="C1062" s="2"/>
      <c r="D1062" s="668"/>
      <c r="E1062" s="2"/>
      <c r="F1062" s="2"/>
      <c r="G1062" s="2"/>
      <c r="H1062" s="2"/>
      <c r="I1062" s="2"/>
      <c r="J1062" s="2"/>
      <c r="K1062" s="2"/>
      <c r="L1062" s="2"/>
      <c r="M1062" s="667"/>
      <c r="N1062" s="2"/>
      <c r="O1062" s="2"/>
      <c r="P1062" s="2"/>
      <c r="Q1062" s="857"/>
      <c r="R1062" s="858"/>
      <c r="S1062" s="858"/>
      <c r="T1062" s="858"/>
      <c r="U1062" s="858"/>
      <c r="V1062" s="858"/>
      <c r="W1062" s="858"/>
      <c r="X1062" s="858"/>
      <c r="Y1062" s="858"/>
      <c r="Z1062" s="858"/>
      <c r="AA1062" s="858"/>
      <c r="AB1062" s="858"/>
      <c r="AC1062" s="858"/>
      <c r="AD1062" s="858"/>
      <c r="AE1062" s="858"/>
      <c r="AF1062" s="858"/>
      <c r="AG1062" s="858"/>
      <c r="AH1062" s="858"/>
      <c r="AI1062" s="858"/>
      <c r="AJ1062" s="858"/>
    </row>
    <row r="1063" ht="15.75" customHeight="1">
      <c r="A1063" s="576"/>
      <c r="B1063" s="2"/>
      <c r="C1063" s="2"/>
      <c r="D1063" s="668"/>
      <c r="E1063" s="2"/>
      <c r="F1063" s="2"/>
      <c r="G1063" s="2"/>
      <c r="H1063" s="2"/>
      <c r="I1063" s="2"/>
      <c r="J1063" s="2"/>
      <c r="K1063" s="2"/>
      <c r="L1063" s="2"/>
      <c r="M1063" s="667"/>
      <c r="N1063" s="2"/>
      <c r="O1063" s="2"/>
      <c r="P1063" s="2"/>
      <c r="Q1063" s="857"/>
      <c r="R1063" s="858"/>
      <c r="S1063" s="858"/>
      <c r="T1063" s="858"/>
      <c r="U1063" s="858"/>
      <c r="V1063" s="858"/>
      <c r="W1063" s="858"/>
      <c r="X1063" s="858"/>
      <c r="Y1063" s="858"/>
      <c r="Z1063" s="858"/>
      <c r="AA1063" s="858"/>
      <c r="AB1063" s="858"/>
      <c r="AC1063" s="858"/>
      <c r="AD1063" s="858"/>
      <c r="AE1063" s="858"/>
      <c r="AF1063" s="858"/>
      <c r="AG1063" s="858"/>
      <c r="AH1063" s="858"/>
      <c r="AI1063" s="858"/>
      <c r="AJ1063" s="858"/>
    </row>
    <row r="1064" ht="15.75" customHeight="1">
      <c r="A1064" s="576"/>
      <c r="B1064" s="2"/>
      <c r="C1064" s="2"/>
      <c r="D1064" s="668"/>
      <c r="E1064" s="2"/>
      <c r="F1064" s="2"/>
      <c r="G1064" s="2"/>
      <c r="H1064" s="2"/>
      <c r="I1064" s="2"/>
      <c r="J1064" s="2"/>
      <c r="K1064" s="2"/>
      <c r="L1064" s="2"/>
      <c r="M1064" s="667"/>
      <c r="N1064" s="2"/>
      <c r="O1064" s="2"/>
      <c r="P1064" s="2"/>
      <c r="Q1064" s="857"/>
      <c r="R1064" s="858"/>
      <c r="S1064" s="858"/>
      <c r="T1064" s="858"/>
      <c r="U1064" s="858"/>
      <c r="V1064" s="858"/>
      <c r="W1064" s="858"/>
      <c r="X1064" s="858"/>
      <c r="Y1064" s="858"/>
      <c r="Z1064" s="858"/>
      <c r="AA1064" s="858"/>
      <c r="AB1064" s="858"/>
      <c r="AC1064" s="858"/>
      <c r="AD1064" s="858"/>
      <c r="AE1064" s="858"/>
      <c r="AF1064" s="858"/>
      <c r="AG1064" s="858"/>
      <c r="AH1064" s="858"/>
      <c r="AI1064" s="858"/>
      <c r="AJ1064" s="858"/>
    </row>
  </sheetData>
  <mergeCells count="21">
    <mergeCell ref="A1:P1"/>
    <mergeCell ref="B2:P2"/>
    <mergeCell ref="J3:L3"/>
    <mergeCell ref="N3:P3"/>
    <mergeCell ref="K4:L4"/>
    <mergeCell ref="A641:P641"/>
    <mergeCell ref="B642:D642"/>
    <mergeCell ref="F645:G645"/>
    <mergeCell ref="H645:K645"/>
    <mergeCell ref="L645:P645"/>
    <mergeCell ref="B646:D646"/>
    <mergeCell ref="F646:G646"/>
    <mergeCell ref="I646:K646"/>
    <mergeCell ref="L646:P646"/>
    <mergeCell ref="F642:G642"/>
    <mergeCell ref="H642:K642"/>
    <mergeCell ref="F643:G643"/>
    <mergeCell ref="J643:K643"/>
    <mergeCell ref="A644:B644"/>
    <mergeCell ref="D644:E644"/>
    <mergeCell ref="B645:D645"/>
  </mergeCells>
  <printOptions/>
  <pageMargins bottom="0.7480314960629921" footer="0.0" header="0.0" left="0.7086614173228347" right="0.7086614173228347" top="0.7480314960629921"/>
  <pageSetup paperSize="5" scale="90"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9.29"/>
    <col customWidth="1" min="2" max="2" width="4.71"/>
    <col customWidth="1" min="3" max="3" width="11.43"/>
    <col customWidth="1" min="4" max="4" width="13.71"/>
    <col customWidth="1" min="5" max="5" width="45.57"/>
    <col customWidth="1" min="6" max="6" width="9.57"/>
    <col customWidth="1" min="7" max="7" width="7.86"/>
    <col customWidth="1" min="8" max="8" width="9.0"/>
    <col customWidth="1" min="9" max="9" width="7.57"/>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37" width="8.71"/>
  </cols>
  <sheetData>
    <row r="1">
      <c r="A1" s="3"/>
      <c r="B1" s="524" t="s">
        <v>14157</v>
      </c>
      <c r="S1" s="3"/>
      <c r="T1" s="3"/>
      <c r="U1" s="3"/>
      <c r="V1" s="3"/>
      <c r="W1" s="3"/>
      <c r="X1" s="3"/>
      <c r="Y1" s="3"/>
      <c r="Z1" s="3"/>
      <c r="AA1" s="3"/>
      <c r="AB1" s="3"/>
      <c r="AC1" s="3"/>
      <c r="AD1" s="3"/>
      <c r="AE1" s="3"/>
      <c r="AF1" s="3"/>
      <c r="AG1" s="3"/>
      <c r="AH1" s="3"/>
      <c r="AI1" s="3"/>
      <c r="AJ1" s="3"/>
      <c r="AK1" s="3"/>
    </row>
    <row r="2">
      <c r="A2" s="3"/>
      <c r="B2" s="458"/>
      <c r="C2" s="5" t="s">
        <v>1</v>
      </c>
      <c r="D2" s="6"/>
      <c r="E2" s="6"/>
      <c r="F2" s="6"/>
      <c r="G2" s="6"/>
      <c r="H2" s="6"/>
      <c r="I2" s="6"/>
      <c r="J2" s="6"/>
      <c r="K2" s="6"/>
      <c r="L2" s="6"/>
      <c r="M2" s="6"/>
      <c r="N2" s="6"/>
      <c r="O2" s="6"/>
      <c r="P2" s="6"/>
      <c r="Q2" s="7"/>
      <c r="S2" s="3"/>
      <c r="T2" s="3"/>
      <c r="U2" s="3"/>
      <c r="V2" s="3"/>
      <c r="W2" s="3"/>
      <c r="X2" s="3"/>
      <c r="Y2" s="3"/>
      <c r="Z2" s="3"/>
      <c r="AA2" s="3"/>
      <c r="AB2" s="3"/>
      <c r="AC2" s="3"/>
      <c r="AD2" s="3"/>
      <c r="AE2" s="3"/>
      <c r="AF2" s="3"/>
      <c r="AG2" s="3"/>
      <c r="AH2" s="3"/>
      <c r="AI2" s="3"/>
      <c r="AJ2" s="3"/>
      <c r="AK2" s="3"/>
    </row>
    <row r="3">
      <c r="A3" s="3"/>
      <c r="B3" s="458"/>
      <c r="C3" s="823"/>
      <c r="D3" s="9"/>
      <c r="E3" s="402"/>
      <c r="F3" s="9"/>
      <c r="G3" s="9"/>
      <c r="H3" s="9"/>
      <c r="I3" s="9"/>
      <c r="J3" s="9"/>
      <c r="K3" s="12"/>
      <c r="M3" s="13"/>
      <c r="N3" s="14" t="s">
        <v>3</v>
      </c>
      <c r="O3" s="15" t="s">
        <v>20675</v>
      </c>
      <c r="P3" s="16"/>
      <c r="Q3" s="17"/>
      <c r="S3" s="3"/>
      <c r="T3" s="3"/>
      <c r="U3" s="3"/>
      <c r="V3" s="3"/>
      <c r="W3" s="3"/>
      <c r="X3" s="3"/>
      <c r="Y3" s="3"/>
      <c r="Z3" s="3"/>
      <c r="AA3" s="3"/>
      <c r="AB3" s="3"/>
      <c r="AC3" s="3"/>
      <c r="AD3" s="3"/>
      <c r="AE3" s="3"/>
      <c r="AF3" s="3"/>
      <c r="AG3" s="3"/>
      <c r="AH3" s="3"/>
      <c r="AI3" s="3"/>
      <c r="AJ3" s="3"/>
      <c r="AK3" s="3"/>
    </row>
    <row r="4">
      <c r="A4" s="3"/>
      <c r="B4" s="458"/>
      <c r="C4" s="824"/>
      <c r="D4" s="9"/>
      <c r="E4" s="402"/>
      <c r="F4" s="9"/>
      <c r="G4" s="9"/>
      <c r="H4" s="458"/>
      <c r="I4" s="9"/>
      <c r="J4" s="9"/>
      <c r="K4" s="9"/>
      <c r="L4" s="825"/>
      <c r="M4" s="407"/>
      <c r="N4" s="9"/>
      <c r="O4" s="9"/>
      <c r="P4" s="9"/>
      <c r="Q4" s="9"/>
      <c r="S4" s="3"/>
      <c r="T4" s="3"/>
      <c r="U4" s="3"/>
      <c r="V4" s="3"/>
      <c r="W4" s="3"/>
      <c r="X4" s="3"/>
      <c r="Y4" s="3"/>
      <c r="Z4" s="3"/>
      <c r="AA4" s="3"/>
      <c r="AB4" s="3"/>
      <c r="AC4" s="3"/>
      <c r="AD4" s="3"/>
      <c r="AE4" s="3"/>
      <c r="AF4" s="3"/>
      <c r="AG4" s="3"/>
      <c r="AH4" s="3"/>
      <c r="AI4" s="3"/>
      <c r="AJ4" s="3"/>
      <c r="AK4" s="3"/>
    </row>
    <row r="5">
      <c r="A5" s="3"/>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916" t="s">
        <v>15362</v>
      </c>
      <c r="S5" s="3"/>
      <c r="T5" s="3"/>
      <c r="U5" s="3"/>
      <c r="V5" s="3"/>
      <c r="W5" s="3"/>
      <c r="X5" s="3"/>
      <c r="Y5" s="3"/>
      <c r="Z5" s="3"/>
      <c r="AA5" s="3"/>
      <c r="AB5" s="3"/>
      <c r="AC5" s="3"/>
      <c r="AD5" s="3"/>
      <c r="AE5" s="3"/>
      <c r="AF5" s="3"/>
      <c r="AG5" s="3"/>
      <c r="AH5" s="3"/>
      <c r="AI5" s="3"/>
      <c r="AJ5" s="3"/>
      <c r="AK5" s="3"/>
    </row>
    <row r="6">
      <c r="A6" s="3"/>
      <c r="B6" s="433">
        <v>1.0</v>
      </c>
      <c r="C6" s="433"/>
      <c r="D6" s="433" t="s">
        <v>20310</v>
      </c>
      <c r="E6" s="434" t="s">
        <v>20676</v>
      </c>
      <c r="F6" s="433"/>
      <c r="G6" s="433" t="s">
        <v>29</v>
      </c>
      <c r="H6" s="433" t="s">
        <v>30</v>
      </c>
      <c r="I6" s="433"/>
      <c r="J6" s="433" t="s">
        <v>30</v>
      </c>
      <c r="K6" s="433">
        <v>50.0</v>
      </c>
      <c r="L6" s="782"/>
      <c r="M6" s="433" t="s">
        <v>20677</v>
      </c>
      <c r="N6" s="433" t="s">
        <v>12022</v>
      </c>
      <c r="O6" s="433">
        <v>2015.0</v>
      </c>
      <c r="P6" s="433" t="s">
        <v>388</v>
      </c>
      <c r="Q6" s="433">
        <v>1.0</v>
      </c>
      <c r="R6" s="917"/>
      <c r="S6" s="3"/>
      <c r="T6" s="3"/>
      <c r="U6" s="3"/>
      <c r="V6" s="3"/>
      <c r="W6" s="3"/>
      <c r="X6" s="3"/>
      <c r="Y6" s="3"/>
      <c r="Z6" s="3"/>
      <c r="AA6" s="3"/>
      <c r="AB6" s="3"/>
      <c r="AC6" s="3"/>
      <c r="AD6" s="3"/>
      <c r="AE6" s="3"/>
      <c r="AF6" s="3"/>
      <c r="AG6" s="3"/>
      <c r="AH6" s="3"/>
      <c r="AI6" s="3"/>
      <c r="AJ6" s="3"/>
      <c r="AK6" s="3"/>
    </row>
    <row r="7">
      <c r="A7" s="3"/>
      <c r="B7" s="433">
        <v>2.0</v>
      </c>
      <c r="C7" s="433"/>
      <c r="D7" s="433" t="s">
        <v>20310</v>
      </c>
      <c r="E7" s="434" t="s">
        <v>20678</v>
      </c>
      <c r="F7" s="433"/>
      <c r="G7" s="433" t="s">
        <v>29</v>
      </c>
      <c r="H7" s="433" t="s">
        <v>30</v>
      </c>
      <c r="I7" s="433"/>
      <c r="J7" s="433" t="s">
        <v>30</v>
      </c>
      <c r="K7" s="433"/>
      <c r="L7" s="433"/>
      <c r="M7" s="433"/>
      <c r="N7" s="433" t="s">
        <v>12022</v>
      </c>
      <c r="O7" s="433">
        <v>2015.0</v>
      </c>
      <c r="P7" s="433" t="s">
        <v>388</v>
      </c>
      <c r="Q7" s="433">
        <v>1.0</v>
      </c>
      <c r="R7" s="917"/>
      <c r="S7" s="3"/>
      <c r="T7" s="3"/>
      <c r="U7" s="3"/>
      <c r="V7" s="3"/>
      <c r="W7" s="3"/>
      <c r="X7" s="3"/>
      <c r="Y7" s="3"/>
      <c r="Z7" s="3"/>
      <c r="AA7" s="3"/>
      <c r="AB7" s="3"/>
      <c r="AC7" s="3"/>
      <c r="AD7" s="3"/>
      <c r="AE7" s="3"/>
      <c r="AF7" s="3"/>
      <c r="AG7" s="3"/>
      <c r="AH7" s="3"/>
      <c r="AI7" s="3"/>
      <c r="AJ7" s="3"/>
      <c r="AK7" s="3"/>
    </row>
    <row r="8">
      <c r="A8" s="3"/>
      <c r="B8" s="433">
        <v>3.0</v>
      </c>
      <c r="C8" s="433"/>
      <c r="D8" s="433" t="s">
        <v>20444</v>
      </c>
      <c r="E8" s="434" t="s">
        <v>20679</v>
      </c>
      <c r="F8" s="433"/>
      <c r="G8" s="433" t="s">
        <v>29</v>
      </c>
      <c r="H8" s="433" t="s">
        <v>30</v>
      </c>
      <c r="I8" s="433"/>
      <c r="J8" s="433" t="s">
        <v>30</v>
      </c>
      <c r="K8" s="433">
        <v>96.0</v>
      </c>
      <c r="L8" s="433"/>
      <c r="M8" s="433"/>
      <c r="N8" s="433" t="s">
        <v>20446</v>
      </c>
      <c r="O8" s="433">
        <v>2011.0</v>
      </c>
      <c r="P8" s="433" t="s">
        <v>388</v>
      </c>
      <c r="Q8" s="433">
        <v>1.0</v>
      </c>
      <c r="R8" s="471"/>
      <c r="S8" s="3"/>
      <c r="T8" s="3"/>
      <c r="U8" s="3"/>
      <c r="V8" s="3"/>
      <c r="W8" s="3"/>
      <c r="X8" s="3"/>
      <c r="Y8" s="3"/>
      <c r="Z8" s="3"/>
      <c r="AA8" s="3"/>
      <c r="AB8" s="3"/>
      <c r="AC8" s="3"/>
      <c r="AD8" s="3"/>
      <c r="AE8" s="3"/>
      <c r="AF8" s="3"/>
      <c r="AG8" s="3"/>
      <c r="AH8" s="3"/>
      <c r="AI8" s="3"/>
      <c r="AJ8" s="3"/>
      <c r="AK8" s="3"/>
    </row>
    <row r="9">
      <c r="A9" s="3"/>
      <c r="B9" s="433">
        <v>4.0</v>
      </c>
      <c r="C9" s="433"/>
      <c r="D9" s="433" t="s">
        <v>20444</v>
      </c>
      <c r="E9" s="434" t="s">
        <v>20680</v>
      </c>
      <c r="F9" s="433"/>
      <c r="G9" s="433" t="s">
        <v>29</v>
      </c>
      <c r="H9" s="433" t="s">
        <v>30</v>
      </c>
      <c r="I9" s="433"/>
      <c r="J9" s="433" t="s">
        <v>30</v>
      </c>
      <c r="K9" s="433">
        <v>1.0</v>
      </c>
      <c r="L9" s="433"/>
      <c r="M9" s="433"/>
      <c r="N9" s="433" t="s">
        <v>20446</v>
      </c>
      <c r="O9" s="433">
        <v>2011.0</v>
      </c>
      <c r="P9" s="433" t="s">
        <v>388</v>
      </c>
      <c r="Q9" s="433">
        <v>1.0</v>
      </c>
      <c r="R9" s="471"/>
      <c r="S9" s="3"/>
      <c r="T9" s="3"/>
      <c r="U9" s="3"/>
      <c r="V9" s="3"/>
      <c r="W9" s="3"/>
      <c r="X9" s="3"/>
      <c r="Y9" s="3"/>
      <c r="Z9" s="3"/>
      <c r="AA9" s="3"/>
      <c r="AB9" s="3"/>
      <c r="AC9" s="3"/>
      <c r="AD9" s="3"/>
      <c r="AE9" s="3"/>
      <c r="AF9" s="3"/>
      <c r="AG9" s="3"/>
      <c r="AH9" s="3"/>
      <c r="AI9" s="3"/>
      <c r="AJ9" s="3"/>
      <c r="AK9" s="3"/>
    </row>
    <row r="10">
      <c r="A10" s="3"/>
      <c r="B10" s="433">
        <v>5.0</v>
      </c>
      <c r="C10" s="433"/>
      <c r="D10" s="433" t="s">
        <v>20444</v>
      </c>
      <c r="E10" s="434" t="s">
        <v>20681</v>
      </c>
      <c r="F10" s="433"/>
      <c r="G10" s="433" t="s">
        <v>29</v>
      </c>
      <c r="H10" s="433" t="s">
        <v>30</v>
      </c>
      <c r="I10" s="433"/>
      <c r="J10" s="433" t="s">
        <v>30</v>
      </c>
      <c r="K10" s="433">
        <v>96.0</v>
      </c>
      <c r="L10" s="433"/>
      <c r="M10" s="433"/>
      <c r="N10" s="433" t="s">
        <v>20446</v>
      </c>
      <c r="O10" s="433">
        <v>2011.0</v>
      </c>
      <c r="P10" s="433" t="s">
        <v>388</v>
      </c>
      <c r="Q10" s="433">
        <v>1.0</v>
      </c>
      <c r="R10" s="471"/>
      <c r="S10" s="3"/>
      <c r="T10" s="3"/>
      <c r="U10" s="3"/>
      <c r="V10" s="3"/>
      <c r="W10" s="3"/>
      <c r="X10" s="3"/>
      <c r="Y10" s="3"/>
      <c r="Z10" s="3"/>
      <c r="AA10" s="3"/>
      <c r="AB10" s="3"/>
      <c r="AC10" s="3"/>
      <c r="AD10" s="3"/>
      <c r="AE10" s="3"/>
      <c r="AF10" s="3"/>
      <c r="AG10" s="3"/>
      <c r="AH10" s="3"/>
      <c r="AI10" s="3"/>
      <c r="AJ10" s="3"/>
      <c r="AK10" s="3"/>
    </row>
    <row r="11">
      <c r="A11" s="3"/>
      <c r="B11" s="433">
        <v>6.0</v>
      </c>
      <c r="C11" s="433"/>
      <c r="D11" s="433" t="s">
        <v>20444</v>
      </c>
      <c r="E11" s="434" t="s">
        <v>20682</v>
      </c>
      <c r="F11" s="433"/>
      <c r="G11" s="433" t="s">
        <v>29</v>
      </c>
      <c r="H11" s="433" t="s">
        <v>30</v>
      </c>
      <c r="I11" s="433"/>
      <c r="J11" s="433" t="s">
        <v>30</v>
      </c>
      <c r="K11" s="433">
        <v>96.0</v>
      </c>
      <c r="L11" s="433"/>
      <c r="M11" s="433"/>
      <c r="N11" s="433" t="s">
        <v>20446</v>
      </c>
      <c r="O11" s="433">
        <v>2011.0</v>
      </c>
      <c r="P11" s="433" t="s">
        <v>388</v>
      </c>
      <c r="Q11" s="433">
        <v>1.0</v>
      </c>
      <c r="R11" s="471"/>
      <c r="S11" s="3"/>
      <c r="T11" s="3"/>
      <c r="U11" s="3"/>
      <c r="V11" s="3"/>
      <c r="W11" s="3"/>
      <c r="X11" s="3"/>
      <c r="Y11" s="3"/>
      <c r="Z11" s="3"/>
      <c r="AA11" s="3"/>
      <c r="AB11" s="3"/>
      <c r="AC11" s="3"/>
      <c r="AD11" s="3"/>
      <c r="AE11" s="3"/>
      <c r="AF11" s="3"/>
      <c r="AG11" s="3"/>
      <c r="AH11" s="3"/>
      <c r="AI11" s="3"/>
      <c r="AJ11" s="3"/>
      <c r="AK11" s="3"/>
    </row>
    <row r="12">
      <c r="A12" s="3"/>
      <c r="B12" s="433">
        <v>7.0</v>
      </c>
      <c r="C12" s="433"/>
      <c r="D12" s="433" t="s">
        <v>20444</v>
      </c>
      <c r="E12" s="434" t="s">
        <v>20683</v>
      </c>
      <c r="F12" s="433"/>
      <c r="G12" s="433" t="s">
        <v>29</v>
      </c>
      <c r="H12" s="433" t="s">
        <v>30</v>
      </c>
      <c r="I12" s="433"/>
      <c r="J12" s="433" t="s">
        <v>30</v>
      </c>
      <c r="K12" s="433">
        <v>96.0</v>
      </c>
      <c r="L12" s="433"/>
      <c r="M12" s="433"/>
      <c r="N12" s="433" t="s">
        <v>20446</v>
      </c>
      <c r="O12" s="433">
        <v>2011.0</v>
      </c>
      <c r="P12" s="433" t="s">
        <v>388</v>
      </c>
      <c r="Q12" s="433">
        <v>1.0</v>
      </c>
      <c r="R12" s="471"/>
      <c r="S12" s="3"/>
      <c r="T12" s="3"/>
      <c r="U12" s="3"/>
      <c r="V12" s="3"/>
      <c r="W12" s="3"/>
      <c r="X12" s="3"/>
      <c r="Y12" s="3"/>
      <c r="Z12" s="3"/>
      <c r="AA12" s="3"/>
      <c r="AB12" s="3"/>
      <c r="AC12" s="3"/>
      <c r="AD12" s="3"/>
      <c r="AE12" s="3"/>
      <c r="AF12" s="3"/>
      <c r="AG12" s="3"/>
      <c r="AH12" s="3"/>
      <c r="AI12" s="3"/>
      <c r="AJ12" s="3"/>
      <c r="AK12" s="3"/>
    </row>
    <row r="13">
      <c r="A13" s="3"/>
      <c r="B13" s="433">
        <v>8.0</v>
      </c>
      <c r="C13" s="433"/>
      <c r="D13" s="433" t="s">
        <v>20444</v>
      </c>
      <c r="E13" s="434" t="s">
        <v>20684</v>
      </c>
      <c r="F13" s="433"/>
      <c r="G13" s="433" t="s">
        <v>29</v>
      </c>
      <c r="H13" s="433" t="s">
        <v>30</v>
      </c>
      <c r="I13" s="433"/>
      <c r="J13" s="433" t="s">
        <v>30</v>
      </c>
      <c r="K13" s="433">
        <v>96.0</v>
      </c>
      <c r="L13" s="433"/>
      <c r="M13" s="433"/>
      <c r="N13" s="433" t="s">
        <v>20446</v>
      </c>
      <c r="O13" s="433">
        <v>2011.0</v>
      </c>
      <c r="P13" s="433" t="s">
        <v>388</v>
      </c>
      <c r="Q13" s="433">
        <v>1.0</v>
      </c>
      <c r="R13" s="471"/>
      <c r="S13" s="3"/>
      <c r="T13" s="3"/>
      <c r="U13" s="3"/>
      <c r="V13" s="3"/>
      <c r="W13" s="3"/>
      <c r="X13" s="3"/>
      <c r="Y13" s="3"/>
      <c r="Z13" s="3"/>
      <c r="AA13" s="3"/>
      <c r="AB13" s="3"/>
      <c r="AC13" s="3"/>
      <c r="AD13" s="3"/>
      <c r="AE13" s="3"/>
      <c r="AF13" s="3"/>
      <c r="AG13" s="3"/>
      <c r="AH13" s="3"/>
      <c r="AI13" s="3"/>
      <c r="AJ13" s="3"/>
      <c r="AK13" s="3"/>
    </row>
    <row r="14">
      <c r="A14" s="3"/>
      <c r="B14" s="433">
        <v>9.0</v>
      </c>
      <c r="C14" s="433"/>
      <c r="D14" s="433" t="s">
        <v>20444</v>
      </c>
      <c r="E14" s="434" t="s">
        <v>20685</v>
      </c>
      <c r="F14" s="433"/>
      <c r="G14" s="433" t="s">
        <v>29</v>
      </c>
      <c r="H14" s="433" t="s">
        <v>30</v>
      </c>
      <c r="I14" s="433"/>
      <c r="J14" s="433" t="s">
        <v>30</v>
      </c>
      <c r="K14" s="433">
        <v>96.0</v>
      </c>
      <c r="L14" s="433"/>
      <c r="M14" s="433"/>
      <c r="N14" s="433" t="s">
        <v>20446</v>
      </c>
      <c r="O14" s="433">
        <v>2011.0</v>
      </c>
      <c r="P14" s="433" t="s">
        <v>388</v>
      </c>
      <c r="Q14" s="433">
        <v>1.0</v>
      </c>
      <c r="R14" s="471"/>
      <c r="S14" s="3"/>
      <c r="T14" s="3"/>
      <c r="U14" s="3"/>
      <c r="V14" s="3"/>
      <c r="W14" s="3"/>
      <c r="X14" s="3"/>
      <c r="Y14" s="3"/>
      <c r="Z14" s="3"/>
      <c r="AA14" s="3"/>
      <c r="AB14" s="3"/>
      <c r="AC14" s="3"/>
      <c r="AD14" s="3"/>
      <c r="AE14" s="3"/>
      <c r="AF14" s="3"/>
      <c r="AG14" s="3"/>
      <c r="AH14" s="3"/>
      <c r="AI14" s="3"/>
      <c r="AJ14" s="3"/>
      <c r="AK14" s="3"/>
    </row>
    <row r="15">
      <c r="A15" s="3"/>
      <c r="B15" s="433">
        <v>10.0</v>
      </c>
      <c r="C15" s="433"/>
      <c r="D15" s="433" t="s">
        <v>20444</v>
      </c>
      <c r="E15" s="434" t="s">
        <v>20686</v>
      </c>
      <c r="F15" s="433"/>
      <c r="G15" s="433" t="s">
        <v>29</v>
      </c>
      <c r="H15" s="433" t="s">
        <v>30</v>
      </c>
      <c r="I15" s="433"/>
      <c r="J15" s="433" t="s">
        <v>30</v>
      </c>
      <c r="K15" s="433">
        <v>96.0</v>
      </c>
      <c r="L15" s="433"/>
      <c r="M15" s="433"/>
      <c r="N15" s="433" t="s">
        <v>20446</v>
      </c>
      <c r="O15" s="433">
        <v>2011.0</v>
      </c>
      <c r="P15" s="433" t="s">
        <v>388</v>
      </c>
      <c r="Q15" s="433">
        <v>1.0</v>
      </c>
      <c r="R15" s="471"/>
      <c r="S15" s="3"/>
      <c r="T15" s="3"/>
      <c r="U15" s="3"/>
      <c r="V15" s="3"/>
      <c r="W15" s="3"/>
      <c r="X15" s="3"/>
      <c r="Y15" s="3"/>
      <c r="Z15" s="3"/>
      <c r="AA15" s="3"/>
      <c r="AB15" s="3"/>
      <c r="AC15" s="3"/>
      <c r="AD15" s="3"/>
      <c r="AE15" s="3"/>
      <c r="AF15" s="3"/>
      <c r="AG15" s="3"/>
      <c r="AH15" s="3"/>
      <c r="AI15" s="3"/>
      <c r="AJ15" s="3"/>
      <c r="AK15" s="3"/>
    </row>
    <row r="16">
      <c r="A16" s="3"/>
      <c r="B16" s="433">
        <v>11.0</v>
      </c>
      <c r="C16" s="433"/>
      <c r="D16" s="433" t="s">
        <v>20444</v>
      </c>
      <c r="E16" s="434" t="s">
        <v>20687</v>
      </c>
      <c r="F16" s="433"/>
      <c r="G16" s="433" t="s">
        <v>29</v>
      </c>
      <c r="H16" s="433" t="s">
        <v>30</v>
      </c>
      <c r="I16" s="433"/>
      <c r="J16" s="433" t="s">
        <v>30</v>
      </c>
      <c r="K16" s="433">
        <v>96.0</v>
      </c>
      <c r="L16" s="433"/>
      <c r="M16" s="433"/>
      <c r="N16" s="433" t="s">
        <v>20446</v>
      </c>
      <c r="O16" s="433">
        <v>2010.0</v>
      </c>
      <c r="P16" s="433" t="s">
        <v>388</v>
      </c>
      <c r="Q16" s="433">
        <v>1.0</v>
      </c>
      <c r="R16" s="471"/>
      <c r="S16" s="3"/>
      <c r="T16" s="3"/>
      <c r="U16" s="3"/>
      <c r="V16" s="3"/>
      <c r="W16" s="3"/>
      <c r="X16" s="3"/>
      <c r="Y16" s="3"/>
      <c r="Z16" s="3"/>
      <c r="AA16" s="3"/>
      <c r="AB16" s="3"/>
      <c r="AC16" s="3"/>
      <c r="AD16" s="3"/>
      <c r="AE16" s="3"/>
      <c r="AF16" s="3"/>
      <c r="AG16" s="3"/>
      <c r="AH16" s="3"/>
      <c r="AI16" s="3"/>
      <c r="AJ16" s="3"/>
      <c r="AK16" s="3"/>
    </row>
    <row r="17">
      <c r="A17" s="3"/>
      <c r="B17" s="433">
        <v>12.0</v>
      </c>
      <c r="C17" s="433"/>
      <c r="D17" s="433" t="s">
        <v>20444</v>
      </c>
      <c r="E17" s="434" t="s">
        <v>20688</v>
      </c>
      <c r="F17" s="433"/>
      <c r="G17" s="433" t="s">
        <v>29</v>
      </c>
      <c r="H17" s="433" t="s">
        <v>30</v>
      </c>
      <c r="I17" s="433"/>
      <c r="J17" s="433" t="s">
        <v>30</v>
      </c>
      <c r="K17" s="433">
        <v>96.0</v>
      </c>
      <c r="L17" s="433"/>
      <c r="M17" s="433"/>
      <c r="N17" s="433" t="s">
        <v>20446</v>
      </c>
      <c r="O17" s="433">
        <v>2012.0</v>
      </c>
      <c r="P17" s="433" t="s">
        <v>388</v>
      </c>
      <c r="Q17" s="433">
        <v>1.0</v>
      </c>
      <c r="R17" s="471"/>
      <c r="S17" s="3"/>
      <c r="T17" s="3"/>
      <c r="U17" s="3"/>
      <c r="V17" s="3"/>
      <c r="W17" s="3"/>
      <c r="X17" s="3"/>
      <c r="Y17" s="3"/>
      <c r="Z17" s="3"/>
      <c r="AA17" s="3"/>
      <c r="AB17" s="3"/>
      <c r="AC17" s="3"/>
      <c r="AD17" s="3"/>
      <c r="AE17" s="3"/>
      <c r="AF17" s="3"/>
      <c r="AG17" s="3"/>
      <c r="AH17" s="3"/>
      <c r="AI17" s="3"/>
      <c r="AJ17" s="3"/>
      <c r="AK17" s="3"/>
    </row>
    <row r="18">
      <c r="A18" s="3"/>
      <c r="B18" s="433">
        <v>13.0</v>
      </c>
      <c r="C18" s="433"/>
      <c r="D18" s="433" t="s">
        <v>20444</v>
      </c>
      <c r="E18" s="434" t="s">
        <v>20689</v>
      </c>
      <c r="F18" s="433"/>
      <c r="G18" s="433" t="s">
        <v>29</v>
      </c>
      <c r="H18" s="433" t="s">
        <v>30</v>
      </c>
      <c r="I18" s="433"/>
      <c r="J18" s="433" t="s">
        <v>30</v>
      </c>
      <c r="K18" s="433">
        <v>96.0</v>
      </c>
      <c r="L18" s="433"/>
      <c r="M18" s="433"/>
      <c r="N18" s="433" t="s">
        <v>20446</v>
      </c>
      <c r="O18" s="433">
        <v>2012.0</v>
      </c>
      <c r="P18" s="433" t="s">
        <v>388</v>
      </c>
      <c r="Q18" s="433">
        <v>1.0</v>
      </c>
      <c r="R18" s="471"/>
      <c r="S18" s="3"/>
      <c r="T18" s="3"/>
      <c r="U18" s="3"/>
      <c r="V18" s="3"/>
      <c r="W18" s="3"/>
      <c r="X18" s="3"/>
      <c r="Y18" s="3"/>
      <c r="Z18" s="3"/>
      <c r="AA18" s="3"/>
      <c r="AB18" s="3"/>
      <c r="AC18" s="3"/>
      <c r="AD18" s="3"/>
      <c r="AE18" s="3"/>
      <c r="AF18" s="3"/>
      <c r="AG18" s="3"/>
      <c r="AH18" s="3"/>
      <c r="AI18" s="3"/>
      <c r="AJ18" s="3"/>
      <c r="AK18" s="3"/>
    </row>
    <row r="19">
      <c r="A19" s="3"/>
      <c r="B19" s="433">
        <v>14.0</v>
      </c>
      <c r="C19" s="433"/>
      <c r="D19" s="433" t="s">
        <v>20444</v>
      </c>
      <c r="E19" s="434" t="s">
        <v>20690</v>
      </c>
      <c r="F19" s="433"/>
      <c r="G19" s="433" t="s">
        <v>29</v>
      </c>
      <c r="H19" s="433" t="s">
        <v>30</v>
      </c>
      <c r="I19" s="433"/>
      <c r="J19" s="433" t="s">
        <v>30</v>
      </c>
      <c r="K19" s="433">
        <v>96.0</v>
      </c>
      <c r="L19" s="433"/>
      <c r="M19" s="433"/>
      <c r="N19" s="433" t="s">
        <v>20446</v>
      </c>
      <c r="O19" s="433">
        <v>2010.0</v>
      </c>
      <c r="P19" s="433" t="s">
        <v>388</v>
      </c>
      <c r="Q19" s="433">
        <v>1.0</v>
      </c>
      <c r="R19" s="471"/>
      <c r="S19" s="3"/>
      <c r="T19" s="3"/>
      <c r="U19" s="3"/>
      <c r="V19" s="3"/>
      <c r="W19" s="3"/>
      <c r="X19" s="3"/>
      <c r="Y19" s="3"/>
      <c r="Z19" s="3"/>
      <c r="AA19" s="3"/>
      <c r="AB19" s="3"/>
      <c r="AC19" s="3"/>
      <c r="AD19" s="3"/>
      <c r="AE19" s="3"/>
      <c r="AF19" s="3"/>
      <c r="AG19" s="3"/>
      <c r="AH19" s="3"/>
      <c r="AI19" s="3"/>
      <c r="AJ19" s="3"/>
      <c r="AK19" s="3"/>
    </row>
    <row r="20">
      <c r="A20" s="3"/>
      <c r="B20" s="433">
        <v>15.0</v>
      </c>
      <c r="C20" s="433"/>
      <c r="D20" s="433" t="s">
        <v>20444</v>
      </c>
      <c r="E20" s="434" t="s">
        <v>20691</v>
      </c>
      <c r="F20" s="433"/>
      <c r="G20" s="433" t="s">
        <v>29</v>
      </c>
      <c r="H20" s="433" t="s">
        <v>30</v>
      </c>
      <c r="I20" s="433"/>
      <c r="J20" s="433" t="s">
        <v>30</v>
      </c>
      <c r="K20" s="433">
        <v>96.0</v>
      </c>
      <c r="L20" s="433"/>
      <c r="M20" s="433"/>
      <c r="N20" s="433" t="s">
        <v>20446</v>
      </c>
      <c r="O20" s="433">
        <v>2012.0</v>
      </c>
      <c r="P20" s="433" t="s">
        <v>388</v>
      </c>
      <c r="Q20" s="433">
        <v>1.0</v>
      </c>
      <c r="R20" s="471"/>
      <c r="S20" s="3"/>
      <c r="T20" s="3"/>
      <c r="U20" s="3"/>
      <c r="V20" s="3"/>
      <c r="W20" s="3"/>
      <c r="X20" s="3"/>
      <c r="Y20" s="3"/>
      <c r="Z20" s="3"/>
      <c r="AA20" s="3"/>
      <c r="AB20" s="3"/>
      <c r="AC20" s="3"/>
      <c r="AD20" s="3"/>
      <c r="AE20" s="3"/>
      <c r="AF20" s="3"/>
      <c r="AG20" s="3"/>
      <c r="AH20" s="3"/>
      <c r="AI20" s="3"/>
      <c r="AJ20" s="3"/>
      <c r="AK20" s="3"/>
    </row>
    <row r="21" ht="15.75" customHeight="1">
      <c r="A21" s="3"/>
      <c r="B21" s="433">
        <v>16.0</v>
      </c>
      <c r="C21" s="433"/>
      <c r="D21" s="433" t="s">
        <v>20444</v>
      </c>
      <c r="E21" s="434" t="s">
        <v>20692</v>
      </c>
      <c r="F21" s="433"/>
      <c r="G21" s="433" t="s">
        <v>29</v>
      </c>
      <c r="H21" s="433" t="s">
        <v>30</v>
      </c>
      <c r="I21" s="433"/>
      <c r="J21" s="433" t="s">
        <v>30</v>
      </c>
      <c r="K21" s="433">
        <v>96.0</v>
      </c>
      <c r="L21" s="433"/>
      <c r="M21" s="433"/>
      <c r="N21" s="433" t="s">
        <v>20446</v>
      </c>
      <c r="O21" s="433">
        <v>2013.0</v>
      </c>
      <c r="P21" s="433" t="s">
        <v>388</v>
      </c>
      <c r="Q21" s="433">
        <v>1.0</v>
      </c>
      <c r="R21" s="471"/>
      <c r="S21" s="3"/>
      <c r="T21" s="3"/>
      <c r="U21" s="3"/>
      <c r="V21" s="3"/>
      <c r="W21" s="3"/>
      <c r="X21" s="3"/>
      <c r="Y21" s="3"/>
      <c r="Z21" s="3"/>
      <c r="AA21" s="3"/>
      <c r="AB21" s="3"/>
      <c r="AC21" s="3"/>
      <c r="AD21" s="3"/>
      <c r="AE21" s="3"/>
      <c r="AF21" s="3"/>
      <c r="AG21" s="3"/>
      <c r="AH21" s="3"/>
      <c r="AI21" s="3"/>
      <c r="AJ21" s="3"/>
      <c r="AK21" s="3"/>
    </row>
    <row r="22" ht="15.75" customHeight="1">
      <c r="A22" s="3"/>
      <c r="B22" s="433">
        <v>17.0</v>
      </c>
      <c r="C22" s="433"/>
      <c r="D22" s="433" t="s">
        <v>20440</v>
      </c>
      <c r="E22" s="434" t="s">
        <v>20693</v>
      </c>
      <c r="F22" s="433"/>
      <c r="G22" s="433" t="s">
        <v>29</v>
      </c>
      <c r="H22" s="433" t="s">
        <v>30</v>
      </c>
      <c r="I22" s="433"/>
      <c r="J22" s="433" t="s">
        <v>30</v>
      </c>
      <c r="K22" s="433">
        <v>96.0</v>
      </c>
      <c r="L22" s="433"/>
      <c r="M22" s="433"/>
      <c r="N22" s="433" t="s">
        <v>151</v>
      </c>
      <c r="O22" s="433">
        <v>2012.0</v>
      </c>
      <c r="P22" s="433" t="s">
        <v>388</v>
      </c>
      <c r="Q22" s="433">
        <v>1.0</v>
      </c>
      <c r="R22" s="471"/>
      <c r="S22" s="3"/>
      <c r="T22" s="3"/>
      <c r="U22" s="3"/>
      <c r="V22" s="3"/>
      <c r="W22" s="3"/>
      <c r="X22" s="3"/>
      <c r="Y22" s="3"/>
      <c r="Z22" s="3"/>
      <c r="AA22" s="3"/>
      <c r="AB22" s="3"/>
      <c r="AC22" s="3"/>
      <c r="AD22" s="3"/>
      <c r="AE22" s="3"/>
      <c r="AF22" s="3"/>
      <c r="AG22" s="3"/>
      <c r="AH22" s="3"/>
      <c r="AI22" s="3"/>
      <c r="AJ22" s="3"/>
      <c r="AK22" s="3"/>
    </row>
    <row r="23" ht="15.75" customHeight="1">
      <c r="A23" s="3"/>
      <c r="B23" s="433">
        <v>18.0</v>
      </c>
      <c r="C23" s="433"/>
      <c r="D23" s="433" t="s">
        <v>20444</v>
      </c>
      <c r="E23" s="434" t="s">
        <v>20694</v>
      </c>
      <c r="F23" s="433"/>
      <c r="G23" s="433" t="s">
        <v>29</v>
      </c>
      <c r="H23" s="433" t="s">
        <v>30</v>
      </c>
      <c r="I23" s="433"/>
      <c r="J23" s="433" t="s">
        <v>30</v>
      </c>
      <c r="K23" s="433">
        <v>96.0</v>
      </c>
      <c r="L23" s="433"/>
      <c r="M23" s="433"/>
      <c r="N23" s="433" t="s">
        <v>20446</v>
      </c>
      <c r="O23" s="433">
        <v>2013.0</v>
      </c>
      <c r="P23" s="433" t="s">
        <v>388</v>
      </c>
      <c r="Q23" s="433">
        <v>1.0</v>
      </c>
      <c r="R23" s="471"/>
      <c r="S23" s="3"/>
      <c r="T23" s="3"/>
      <c r="U23" s="3"/>
      <c r="V23" s="3"/>
      <c r="W23" s="3"/>
      <c r="X23" s="3"/>
      <c r="Y23" s="3"/>
      <c r="Z23" s="3"/>
      <c r="AA23" s="3"/>
      <c r="AB23" s="3"/>
      <c r="AC23" s="3"/>
      <c r="AD23" s="3"/>
      <c r="AE23" s="3"/>
      <c r="AF23" s="3"/>
      <c r="AG23" s="3"/>
      <c r="AH23" s="3"/>
      <c r="AI23" s="3"/>
      <c r="AJ23" s="3"/>
      <c r="AK23" s="3"/>
    </row>
    <row r="24" ht="15.75" customHeight="1">
      <c r="A24" s="3"/>
      <c r="B24" s="433">
        <v>19.0</v>
      </c>
      <c r="C24" s="433"/>
      <c r="D24" s="433" t="s">
        <v>20444</v>
      </c>
      <c r="E24" s="434" t="s">
        <v>20695</v>
      </c>
      <c r="F24" s="433"/>
      <c r="G24" s="433" t="s">
        <v>29</v>
      </c>
      <c r="H24" s="433" t="s">
        <v>30</v>
      </c>
      <c r="I24" s="433"/>
      <c r="J24" s="433" t="s">
        <v>30</v>
      </c>
      <c r="K24" s="433">
        <v>96.0</v>
      </c>
      <c r="L24" s="433"/>
      <c r="M24" s="433"/>
      <c r="N24" s="433" t="s">
        <v>20446</v>
      </c>
      <c r="O24" s="433">
        <v>2013.0</v>
      </c>
      <c r="P24" s="433" t="s">
        <v>388</v>
      </c>
      <c r="Q24" s="433">
        <v>1.0</v>
      </c>
      <c r="R24" s="471"/>
      <c r="S24" s="3"/>
      <c r="T24" s="3"/>
      <c r="U24" s="3"/>
      <c r="V24" s="3"/>
      <c r="W24" s="3"/>
      <c r="X24" s="3"/>
      <c r="Y24" s="3"/>
      <c r="Z24" s="3"/>
      <c r="AA24" s="3"/>
      <c r="AB24" s="3"/>
      <c r="AC24" s="3"/>
      <c r="AD24" s="3"/>
      <c r="AE24" s="3"/>
      <c r="AF24" s="3"/>
      <c r="AG24" s="3"/>
      <c r="AH24" s="3"/>
      <c r="AI24" s="3"/>
      <c r="AJ24" s="3"/>
      <c r="AK24" s="3"/>
    </row>
    <row r="25" ht="15.75" customHeight="1">
      <c r="A25" s="3"/>
      <c r="B25" s="433">
        <v>20.0</v>
      </c>
      <c r="C25" s="433"/>
      <c r="D25" s="433" t="s">
        <v>20444</v>
      </c>
      <c r="E25" s="434" t="s">
        <v>20696</v>
      </c>
      <c r="F25" s="433"/>
      <c r="G25" s="433" t="s">
        <v>29</v>
      </c>
      <c r="H25" s="433" t="s">
        <v>30</v>
      </c>
      <c r="I25" s="433"/>
      <c r="J25" s="433" t="s">
        <v>30</v>
      </c>
      <c r="K25" s="433">
        <v>1.0</v>
      </c>
      <c r="L25" s="433"/>
      <c r="M25" s="433"/>
      <c r="N25" s="433" t="s">
        <v>20446</v>
      </c>
      <c r="O25" s="577">
        <v>2013.0</v>
      </c>
      <c r="P25" s="433" t="s">
        <v>388</v>
      </c>
      <c r="Q25" s="433">
        <v>1.0</v>
      </c>
      <c r="R25" s="471"/>
      <c r="S25" s="3"/>
      <c r="T25" s="3"/>
      <c r="U25" s="3"/>
      <c r="V25" s="3"/>
      <c r="W25" s="3"/>
      <c r="X25" s="3"/>
      <c r="Y25" s="3"/>
      <c r="Z25" s="3"/>
      <c r="AA25" s="3"/>
      <c r="AB25" s="3"/>
      <c r="AC25" s="3"/>
      <c r="AD25" s="3"/>
      <c r="AE25" s="3"/>
      <c r="AF25" s="3"/>
      <c r="AG25" s="3"/>
      <c r="AH25" s="3"/>
      <c r="AI25" s="3"/>
      <c r="AJ25" s="3"/>
      <c r="AK25" s="3"/>
    </row>
    <row r="26" ht="15.75" customHeight="1">
      <c r="A26" s="3"/>
      <c r="B26" s="433">
        <v>21.0</v>
      </c>
      <c r="C26" s="433"/>
      <c r="D26" s="433" t="s">
        <v>20444</v>
      </c>
      <c r="E26" s="434" t="s">
        <v>20697</v>
      </c>
      <c r="F26" s="433"/>
      <c r="G26" s="433" t="s">
        <v>29</v>
      </c>
      <c r="H26" s="433" t="s">
        <v>30</v>
      </c>
      <c r="I26" s="433"/>
      <c r="J26" s="433" t="s">
        <v>30</v>
      </c>
      <c r="K26" s="433">
        <v>96.0</v>
      </c>
      <c r="L26" s="433"/>
      <c r="M26" s="433"/>
      <c r="N26" s="433" t="s">
        <v>20446</v>
      </c>
      <c r="O26" s="433">
        <v>2012.0</v>
      </c>
      <c r="P26" s="433" t="s">
        <v>388</v>
      </c>
      <c r="Q26" s="433">
        <v>1.0</v>
      </c>
      <c r="R26" s="471"/>
      <c r="S26" s="3"/>
      <c r="T26" s="3"/>
      <c r="U26" s="3"/>
      <c r="V26" s="3"/>
      <c r="W26" s="3"/>
      <c r="X26" s="3"/>
      <c r="Y26" s="3"/>
      <c r="Z26" s="3"/>
      <c r="AA26" s="3"/>
      <c r="AB26" s="3"/>
      <c r="AC26" s="3"/>
      <c r="AD26" s="3"/>
      <c r="AE26" s="3"/>
      <c r="AF26" s="3"/>
      <c r="AG26" s="3"/>
      <c r="AH26" s="3"/>
      <c r="AI26" s="3"/>
      <c r="AJ26" s="3"/>
      <c r="AK26" s="3"/>
    </row>
    <row r="27" ht="15.75" customHeight="1">
      <c r="A27" s="3"/>
      <c r="B27" s="433">
        <v>22.0</v>
      </c>
      <c r="C27" s="433"/>
      <c r="D27" s="433" t="s">
        <v>20444</v>
      </c>
      <c r="E27" s="434" t="s">
        <v>20698</v>
      </c>
      <c r="F27" s="433"/>
      <c r="G27" s="433" t="s">
        <v>29</v>
      </c>
      <c r="H27" s="433" t="s">
        <v>30</v>
      </c>
      <c r="I27" s="433"/>
      <c r="J27" s="433" t="s">
        <v>30</v>
      </c>
      <c r="K27" s="433">
        <v>96.0</v>
      </c>
      <c r="L27" s="433"/>
      <c r="M27" s="433"/>
      <c r="N27" s="433" t="s">
        <v>20446</v>
      </c>
      <c r="O27" s="433">
        <v>2012.0</v>
      </c>
      <c r="P27" s="433" t="s">
        <v>388</v>
      </c>
      <c r="Q27" s="433">
        <v>1.0</v>
      </c>
      <c r="R27" s="471"/>
      <c r="S27" s="3"/>
      <c r="T27" s="3"/>
      <c r="U27" s="3"/>
      <c r="V27" s="3"/>
      <c r="W27" s="3"/>
      <c r="X27" s="3"/>
      <c r="Y27" s="3"/>
      <c r="Z27" s="3"/>
      <c r="AA27" s="3"/>
      <c r="AB27" s="3"/>
      <c r="AC27" s="3"/>
      <c r="AD27" s="3"/>
      <c r="AE27" s="3"/>
      <c r="AF27" s="3"/>
      <c r="AG27" s="3"/>
      <c r="AH27" s="3"/>
      <c r="AI27" s="3"/>
      <c r="AJ27" s="3"/>
      <c r="AK27" s="3"/>
    </row>
    <row r="28" ht="15.75" customHeight="1">
      <c r="A28" s="3"/>
      <c r="B28" s="433">
        <v>23.0</v>
      </c>
      <c r="C28" s="433"/>
      <c r="D28" s="433" t="s">
        <v>20444</v>
      </c>
      <c r="E28" s="434" t="s">
        <v>20699</v>
      </c>
      <c r="F28" s="433"/>
      <c r="G28" s="433" t="s">
        <v>29</v>
      </c>
      <c r="H28" s="433" t="s">
        <v>30</v>
      </c>
      <c r="I28" s="433"/>
      <c r="J28" s="433" t="s">
        <v>30</v>
      </c>
      <c r="K28" s="433">
        <v>96.0</v>
      </c>
      <c r="L28" s="433"/>
      <c r="M28" s="433"/>
      <c r="N28" s="433" t="s">
        <v>20446</v>
      </c>
      <c r="O28" s="433">
        <v>2012.0</v>
      </c>
      <c r="P28" s="433" t="s">
        <v>388</v>
      </c>
      <c r="Q28" s="433">
        <v>1.0</v>
      </c>
      <c r="R28" s="471"/>
      <c r="S28" s="3"/>
      <c r="T28" s="3"/>
      <c r="U28" s="3"/>
      <c r="V28" s="3"/>
      <c r="W28" s="3"/>
      <c r="X28" s="3"/>
      <c r="Y28" s="3"/>
      <c r="Z28" s="3"/>
      <c r="AA28" s="3"/>
      <c r="AB28" s="3"/>
      <c r="AC28" s="3"/>
      <c r="AD28" s="3"/>
      <c r="AE28" s="3"/>
      <c r="AF28" s="3"/>
      <c r="AG28" s="3"/>
      <c r="AH28" s="3"/>
      <c r="AI28" s="3"/>
      <c r="AJ28" s="3"/>
      <c r="AK28" s="3"/>
    </row>
    <row r="29" ht="15.75" customHeight="1">
      <c r="A29" s="3"/>
      <c r="B29" s="433">
        <v>24.0</v>
      </c>
      <c r="C29" s="433"/>
      <c r="D29" s="433" t="s">
        <v>20444</v>
      </c>
      <c r="E29" s="434" t="s">
        <v>20700</v>
      </c>
      <c r="F29" s="433"/>
      <c r="G29" s="433" t="s">
        <v>29</v>
      </c>
      <c r="H29" s="433" t="s">
        <v>30</v>
      </c>
      <c r="I29" s="433"/>
      <c r="J29" s="433" t="s">
        <v>30</v>
      </c>
      <c r="K29" s="433">
        <v>96.0</v>
      </c>
      <c r="L29" s="433"/>
      <c r="M29" s="433"/>
      <c r="N29" s="433" t="s">
        <v>20446</v>
      </c>
      <c r="O29" s="433">
        <v>2012.0</v>
      </c>
      <c r="P29" s="433" t="s">
        <v>388</v>
      </c>
      <c r="Q29" s="433">
        <v>1.0</v>
      </c>
      <c r="R29" s="471"/>
      <c r="S29" s="3"/>
      <c r="T29" s="3"/>
      <c r="U29" s="3"/>
      <c r="V29" s="3"/>
      <c r="W29" s="3"/>
      <c r="X29" s="3"/>
      <c r="Y29" s="3"/>
      <c r="Z29" s="3"/>
      <c r="AA29" s="3"/>
      <c r="AB29" s="3"/>
      <c r="AC29" s="3"/>
      <c r="AD29" s="3"/>
      <c r="AE29" s="3"/>
      <c r="AF29" s="3"/>
      <c r="AG29" s="3"/>
      <c r="AH29" s="3"/>
      <c r="AI29" s="3"/>
      <c r="AJ29" s="3"/>
      <c r="AK29" s="3"/>
    </row>
    <row r="30" ht="15.75" customHeight="1">
      <c r="A30" s="3"/>
      <c r="B30" s="433">
        <v>25.0</v>
      </c>
      <c r="C30" s="433"/>
      <c r="D30" s="433" t="s">
        <v>20444</v>
      </c>
      <c r="E30" s="434" t="s">
        <v>20701</v>
      </c>
      <c r="F30" s="433"/>
      <c r="G30" s="433" t="s">
        <v>29</v>
      </c>
      <c r="H30" s="433" t="s">
        <v>30</v>
      </c>
      <c r="I30" s="433"/>
      <c r="J30" s="433" t="s">
        <v>30</v>
      </c>
      <c r="K30" s="433">
        <v>96.0</v>
      </c>
      <c r="L30" s="433"/>
      <c r="M30" s="433"/>
      <c r="N30" s="433" t="s">
        <v>20446</v>
      </c>
      <c r="O30" s="433">
        <v>2012.0</v>
      </c>
      <c r="P30" s="433" t="s">
        <v>388</v>
      </c>
      <c r="Q30" s="433">
        <v>1.0</v>
      </c>
      <c r="R30" s="471"/>
      <c r="S30" s="3"/>
      <c r="T30" s="3"/>
      <c r="U30" s="3"/>
      <c r="V30" s="3"/>
      <c r="W30" s="3"/>
      <c r="X30" s="3"/>
      <c r="Y30" s="3"/>
      <c r="Z30" s="3"/>
      <c r="AA30" s="3"/>
      <c r="AB30" s="3"/>
      <c r="AC30" s="3"/>
      <c r="AD30" s="3"/>
      <c r="AE30" s="3"/>
      <c r="AF30" s="3"/>
      <c r="AG30" s="3"/>
      <c r="AH30" s="3"/>
      <c r="AI30" s="3"/>
      <c r="AJ30" s="3"/>
      <c r="AK30" s="3"/>
    </row>
    <row r="31" ht="15.75" customHeight="1">
      <c r="A31" s="3"/>
      <c r="B31" s="433">
        <v>26.0</v>
      </c>
      <c r="C31" s="433"/>
      <c r="D31" s="433" t="s">
        <v>20702</v>
      </c>
      <c r="E31" s="434" t="s">
        <v>20703</v>
      </c>
      <c r="F31" s="433"/>
      <c r="G31" s="433" t="s">
        <v>29</v>
      </c>
      <c r="H31" s="433" t="s">
        <v>30</v>
      </c>
      <c r="I31" s="433"/>
      <c r="J31" s="433" t="s">
        <v>30</v>
      </c>
      <c r="K31" s="433">
        <v>84.0</v>
      </c>
      <c r="L31" s="433"/>
      <c r="M31" s="433"/>
      <c r="N31" s="433" t="s">
        <v>151</v>
      </c>
      <c r="O31" s="433">
        <v>2013.0</v>
      </c>
      <c r="P31" s="433" t="s">
        <v>388</v>
      </c>
      <c r="Q31" s="433">
        <v>1.0</v>
      </c>
      <c r="R31" s="471"/>
      <c r="S31" s="3"/>
      <c r="T31" s="3"/>
      <c r="U31" s="3"/>
      <c r="V31" s="3"/>
      <c r="W31" s="3"/>
      <c r="X31" s="3"/>
      <c r="Y31" s="3"/>
      <c r="Z31" s="3"/>
      <c r="AA31" s="3"/>
      <c r="AB31" s="3"/>
      <c r="AC31" s="3"/>
      <c r="AD31" s="3"/>
      <c r="AE31" s="3"/>
      <c r="AF31" s="3"/>
      <c r="AG31" s="3"/>
      <c r="AH31" s="3"/>
      <c r="AI31" s="3"/>
      <c r="AJ31" s="3"/>
      <c r="AK31" s="3"/>
    </row>
    <row r="32" ht="15.75" customHeight="1">
      <c r="A32" s="3"/>
      <c r="B32" s="433">
        <v>27.0</v>
      </c>
      <c r="C32" s="433"/>
      <c r="D32" s="433" t="s">
        <v>20444</v>
      </c>
      <c r="E32" s="434" t="s">
        <v>20704</v>
      </c>
      <c r="F32" s="433"/>
      <c r="G32" s="433" t="s">
        <v>29</v>
      </c>
      <c r="H32" s="433" t="s">
        <v>30</v>
      </c>
      <c r="I32" s="433"/>
      <c r="J32" s="433" t="s">
        <v>30</v>
      </c>
      <c r="K32" s="433">
        <v>96.0</v>
      </c>
      <c r="L32" s="433"/>
      <c r="M32" s="433"/>
      <c r="N32" s="433" t="s">
        <v>20446</v>
      </c>
      <c r="O32" s="433">
        <v>2012.0</v>
      </c>
      <c r="P32" s="433" t="s">
        <v>388</v>
      </c>
      <c r="Q32" s="433">
        <v>1.0</v>
      </c>
      <c r="R32" s="471"/>
      <c r="S32" s="3"/>
      <c r="T32" s="3"/>
      <c r="U32" s="3"/>
      <c r="V32" s="3"/>
      <c r="W32" s="3"/>
      <c r="X32" s="3"/>
      <c r="Y32" s="3"/>
      <c r="Z32" s="3"/>
      <c r="AA32" s="3"/>
      <c r="AB32" s="3"/>
      <c r="AC32" s="3"/>
      <c r="AD32" s="3"/>
      <c r="AE32" s="3"/>
      <c r="AF32" s="3"/>
      <c r="AG32" s="3"/>
      <c r="AH32" s="3"/>
      <c r="AI32" s="3"/>
      <c r="AJ32" s="3"/>
      <c r="AK32" s="3"/>
    </row>
    <row r="33" ht="15.75" customHeight="1">
      <c r="A33" s="3"/>
      <c r="B33" s="433">
        <v>28.0</v>
      </c>
      <c r="C33" s="433"/>
      <c r="D33" s="433" t="s">
        <v>20444</v>
      </c>
      <c r="E33" s="434" t="s">
        <v>20705</v>
      </c>
      <c r="F33" s="433"/>
      <c r="G33" s="433" t="s">
        <v>29</v>
      </c>
      <c r="H33" s="433" t="s">
        <v>30</v>
      </c>
      <c r="I33" s="433"/>
      <c r="J33" s="433" t="s">
        <v>30</v>
      </c>
      <c r="K33" s="433">
        <v>96.0</v>
      </c>
      <c r="L33" s="433"/>
      <c r="M33" s="433"/>
      <c r="N33" s="433" t="s">
        <v>20446</v>
      </c>
      <c r="O33" s="433">
        <v>2015.0</v>
      </c>
      <c r="P33" s="433" t="s">
        <v>388</v>
      </c>
      <c r="Q33" s="433">
        <v>1.0</v>
      </c>
      <c r="R33" s="471"/>
      <c r="S33" s="3"/>
      <c r="T33" s="3"/>
      <c r="U33" s="3"/>
      <c r="V33" s="3"/>
      <c r="W33" s="3"/>
      <c r="X33" s="3"/>
      <c r="Y33" s="3"/>
      <c r="Z33" s="3"/>
      <c r="AA33" s="3"/>
      <c r="AB33" s="3"/>
      <c r="AC33" s="3"/>
      <c r="AD33" s="3"/>
      <c r="AE33" s="3"/>
      <c r="AF33" s="3"/>
      <c r="AG33" s="3"/>
      <c r="AH33" s="3"/>
      <c r="AI33" s="3"/>
      <c r="AJ33" s="3"/>
      <c r="AK33" s="3"/>
    </row>
    <row r="34" ht="15.75" customHeight="1">
      <c r="A34" s="3"/>
      <c r="B34" s="433">
        <v>29.0</v>
      </c>
      <c r="C34" s="433"/>
      <c r="D34" s="433" t="s">
        <v>20444</v>
      </c>
      <c r="E34" s="434" t="s">
        <v>20706</v>
      </c>
      <c r="F34" s="433"/>
      <c r="G34" s="433" t="s">
        <v>29</v>
      </c>
      <c r="H34" s="433" t="s">
        <v>30</v>
      </c>
      <c r="I34" s="433"/>
      <c r="J34" s="433" t="s">
        <v>30</v>
      </c>
      <c r="K34" s="433">
        <v>96.0</v>
      </c>
      <c r="L34" s="433"/>
      <c r="M34" s="433"/>
      <c r="N34" s="433" t="s">
        <v>20446</v>
      </c>
      <c r="O34" s="433">
        <v>2015.0</v>
      </c>
      <c r="P34" s="433" t="s">
        <v>388</v>
      </c>
      <c r="Q34" s="433">
        <v>1.0</v>
      </c>
      <c r="R34" s="471"/>
      <c r="S34" s="3"/>
      <c r="T34" s="3"/>
      <c r="U34" s="3"/>
      <c r="V34" s="3"/>
      <c r="W34" s="3"/>
      <c r="X34" s="3"/>
      <c r="Y34" s="3"/>
      <c r="Z34" s="3"/>
      <c r="AA34" s="3"/>
      <c r="AB34" s="3"/>
      <c r="AC34" s="3"/>
      <c r="AD34" s="3"/>
      <c r="AE34" s="3"/>
      <c r="AF34" s="3"/>
      <c r="AG34" s="3"/>
      <c r="AH34" s="3"/>
      <c r="AI34" s="3"/>
      <c r="AJ34" s="3"/>
      <c r="AK34" s="3"/>
    </row>
    <row r="35" ht="15.75" customHeight="1">
      <c r="A35" s="3"/>
      <c r="B35" s="433">
        <v>30.0</v>
      </c>
      <c r="C35" s="433"/>
      <c r="D35" s="433" t="s">
        <v>20444</v>
      </c>
      <c r="E35" s="434" t="s">
        <v>20707</v>
      </c>
      <c r="F35" s="433"/>
      <c r="G35" s="433" t="s">
        <v>29</v>
      </c>
      <c r="H35" s="433" t="s">
        <v>30</v>
      </c>
      <c r="I35" s="433"/>
      <c r="J35" s="433" t="s">
        <v>30</v>
      </c>
      <c r="K35" s="433">
        <v>96.0</v>
      </c>
      <c r="L35" s="433"/>
      <c r="M35" s="433"/>
      <c r="N35" s="433" t="s">
        <v>20446</v>
      </c>
      <c r="O35" s="433">
        <v>2015.0</v>
      </c>
      <c r="P35" s="433" t="s">
        <v>388</v>
      </c>
      <c r="Q35" s="433">
        <v>1.0</v>
      </c>
      <c r="R35" s="471"/>
      <c r="S35" s="3"/>
      <c r="T35" s="3"/>
      <c r="U35" s="3"/>
      <c r="V35" s="3"/>
      <c r="W35" s="3"/>
      <c r="X35" s="3"/>
      <c r="Y35" s="3"/>
      <c r="Z35" s="3"/>
      <c r="AA35" s="3"/>
      <c r="AB35" s="3"/>
      <c r="AC35" s="3"/>
      <c r="AD35" s="3"/>
      <c r="AE35" s="3"/>
      <c r="AF35" s="3"/>
      <c r="AG35" s="3"/>
      <c r="AH35" s="3"/>
      <c r="AI35" s="3"/>
      <c r="AJ35" s="3"/>
      <c r="AK35" s="3"/>
    </row>
    <row r="36" ht="15.75" customHeight="1">
      <c r="A36" s="74" t="s">
        <v>17780</v>
      </c>
      <c r="B36" s="433">
        <v>31.0</v>
      </c>
      <c r="C36" s="433"/>
      <c r="D36" s="433" t="s">
        <v>20444</v>
      </c>
      <c r="E36" s="434" t="s">
        <v>20708</v>
      </c>
      <c r="F36" s="433"/>
      <c r="G36" s="433" t="s">
        <v>29</v>
      </c>
      <c r="H36" s="433" t="s">
        <v>30</v>
      </c>
      <c r="I36" s="433"/>
      <c r="J36" s="433" t="s">
        <v>30</v>
      </c>
      <c r="K36" s="433">
        <v>96.0</v>
      </c>
      <c r="L36" s="433"/>
      <c r="M36" s="433"/>
      <c r="N36" s="433" t="s">
        <v>20446</v>
      </c>
      <c r="O36" s="433">
        <v>2015.0</v>
      </c>
      <c r="P36" s="433" t="s">
        <v>388</v>
      </c>
      <c r="Q36" s="433">
        <v>1.0</v>
      </c>
      <c r="R36" s="471"/>
      <c r="S36" s="3"/>
      <c r="T36" s="3"/>
      <c r="U36" s="3"/>
      <c r="V36" s="3"/>
      <c r="W36" s="3"/>
      <c r="X36" s="3"/>
      <c r="Y36" s="3"/>
      <c r="Z36" s="3"/>
      <c r="AA36" s="3"/>
      <c r="AB36" s="3"/>
      <c r="AC36" s="3"/>
      <c r="AD36" s="3"/>
      <c r="AE36" s="3"/>
      <c r="AF36" s="3"/>
      <c r="AG36" s="3"/>
      <c r="AH36" s="3"/>
      <c r="AI36" s="3"/>
      <c r="AJ36" s="3"/>
      <c r="AK36" s="3"/>
    </row>
    <row r="37" ht="15.75" customHeight="1">
      <c r="A37" s="3"/>
      <c r="B37" s="433">
        <v>32.0</v>
      </c>
      <c r="C37" s="433"/>
      <c r="D37" s="433" t="s">
        <v>20444</v>
      </c>
      <c r="E37" s="434" t="s">
        <v>20709</v>
      </c>
      <c r="F37" s="433"/>
      <c r="G37" s="433" t="s">
        <v>29</v>
      </c>
      <c r="H37" s="433" t="s">
        <v>30</v>
      </c>
      <c r="I37" s="433"/>
      <c r="J37" s="433" t="s">
        <v>30</v>
      </c>
      <c r="K37" s="433">
        <v>96.0</v>
      </c>
      <c r="L37" s="433"/>
      <c r="M37" s="433"/>
      <c r="N37" s="433" t="s">
        <v>20446</v>
      </c>
      <c r="O37" s="433">
        <v>2015.0</v>
      </c>
      <c r="P37" s="433" t="s">
        <v>388</v>
      </c>
      <c r="Q37" s="433">
        <v>1.0</v>
      </c>
      <c r="R37" s="471"/>
      <c r="S37" s="3"/>
      <c r="T37" s="3"/>
      <c r="U37" s="3"/>
      <c r="V37" s="3"/>
      <c r="W37" s="3"/>
      <c r="X37" s="3"/>
      <c r="Y37" s="3"/>
      <c r="Z37" s="3"/>
      <c r="AA37" s="3"/>
      <c r="AB37" s="3"/>
      <c r="AC37" s="3"/>
      <c r="AD37" s="3"/>
      <c r="AE37" s="3"/>
      <c r="AF37" s="3"/>
      <c r="AG37" s="3"/>
      <c r="AH37" s="3"/>
      <c r="AI37" s="3"/>
      <c r="AJ37" s="3"/>
      <c r="AK37" s="3"/>
    </row>
    <row r="38" ht="15.75" customHeight="1">
      <c r="A38" s="3"/>
      <c r="B38" s="433">
        <v>33.0</v>
      </c>
      <c r="C38" s="433"/>
      <c r="D38" s="433" t="s">
        <v>20444</v>
      </c>
      <c r="E38" s="434" t="s">
        <v>20710</v>
      </c>
      <c r="F38" s="433"/>
      <c r="G38" s="433" t="s">
        <v>29</v>
      </c>
      <c r="H38" s="433" t="s">
        <v>30</v>
      </c>
      <c r="I38" s="433"/>
      <c r="J38" s="433" t="s">
        <v>30</v>
      </c>
      <c r="K38" s="433">
        <v>96.0</v>
      </c>
      <c r="L38" s="433"/>
      <c r="M38" s="433"/>
      <c r="N38" s="433" t="s">
        <v>20446</v>
      </c>
      <c r="O38" s="433">
        <v>2015.0</v>
      </c>
      <c r="P38" s="433" t="s">
        <v>388</v>
      </c>
      <c r="Q38" s="433">
        <v>1.0</v>
      </c>
      <c r="R38" s="471"/>
      <c r="S38" s="3"/>
      <c r="T38" s="3"/>
      <c r="U38" s="3"/>
      <c r="V38" s="3"/>
      <c r="W38" s="3"/>
      <c r="X38" s="3"/>
      <c r="Y38" s="3"/>
      <c r="Z38" s="3"/>
      <c r="AA38" s="3"/>
      <c r="AB38" s="3"/>
      <c r="AC38" s="3"/>
      <c r="AD38" s="3"/>
      <c r="AE38" s="3"/>
      <c r="AF38" s="3"/>
      <c r="AG38" s="3"/>
      <c r="AH38" s="3"/>
      <c r="AI38" s="3"/>
      <c r="AJ38" s="3"/>
      <c r="AK38" s="3"/>
    </row>
    <row r="39" ht="15.75" customHeight="1">
      <c r="A39" s="3"/>
      <c r="B39" s="433">
        <v>34.0</v>
      </c>
      <c r="C39" s="433"/>
      <c r="D39" s="433" t="s">
        <v>20444</v>
      </c>
      <c r="E39" s="434" t="s">
        <v>20711</v>
      </c>
      <c r="F39" s="433"/>
      <c r="G39" s="433" t="s">
        <v>29</v>
      </c>
      <c r="H39" s="433" t="s">
        <v>30</v>
      </c>
      <c r="I39" s="433"/>
      <c r="J39" s="433" t="s">
        <v>30</v>
      </c>
      <c r="K39" s="433">
        <v>96.0</v>
      </c>
      <c r="L39" s="433"/>
      <c r="M39" s="433"/>
      <c r="N39" s="433" t="s">
        <v>20446</v>
      </c>
      <c r="O39" s="433">
        <v>2015.0</v>
      </c>
      <c r="P39" s="433" t="s">
        <v>388</v>
      </c>
      <c r="Q39" s="433">
        <v>1.0</v>
      </c>
      <c r="R39" s="471"/>
      <c r="S39" s="3"/>
      <c r="T39" s="3"/>
      <c r="U39" s="3"/>
      <c r="V39" s="3"/>
      <c r="W39" s="3"/>
      <c r="X39" s="3"/>
      <c r="Y39" s="3"/>
      <c r="Z39" s="3"/>
      <c r="AA39" s="3"/>
      <c r="AB39" s="3"/>
      <c r="AC39" s="3"/>
      <c r="AD39" s="3"/>
      <c r="AE39" s="3"/>
      <c r="AF39" s="3"/>
      <c r="AG39" s="3"/>
      <c r="AH39" s="3"/>
      <c r="AI39" s="3"/>
      <c r="AJ39" s="3"/>
      <c r="AK39" s="3"/>
    </row>
    <row r="40" ht="15.75" customHeight="1">
      <c r="A40" s="3"/>
      <c r="B40" s="433">
        <v>35.0</v>
      </c>
      <c r="C40" s="433"/>
      <c r="D40" s="433" t="s">
        <v>20444</v>
      </c>
      <c r="E40" s="434" t="s">
        <v>20712</v>
      </c>
      <c r="F40" s="433"/>
      <c r="G40" s="433" t="s">
        <v>29</v>
      </c>
      <c r="H40" s="433" t="s">
        <v>30</v>
      </c>
      <c r="I40" s="433"/>
      <c r="J40" s="433" t="s">
        <v>30</v>
      </c>
      <c r="K40" s="433">
        <v>96.0</v>
      </c>
      <c r="L40" s="433"/>
      <c r="M40" s="433"/>
      <c r="N40" s="433" t="s">
        <v>20446</v>
      </c>
      <c r="O40" s="433">
        <v>2015.0</v>
      </c>
      <c r="P40" s="433" t="s">
        <v>388</v>
      </c>
      <c r="Q40" s="433">
        <v>1.0</v>
      </c>
      <c r="R40" s="471"/>
      <c r="S40" s="3"/>
      <c r="T40" s="3"/>
      <c r="U40" s="3"/>
      <c r="V40" s="3"/>
      <c r="W40" s="3"/>
      <c r="X40" s="3"/>
      <c r="Y40" s="3"/>
      <c r="Z40" s="3"/>
      <c r="AA40" s="3"/>
      <c r="AB40" s="3"/>
      <c r="AC40" s="3"/>
      <c r="AD40" s="3"/>
      <c r="AE40" s="3"/>
      <c r="AF40" s="3"/>
      <c r="AG40" s="3"/>
      <c r="AH40" s="3"/>
      <c r="AI40" s="3"/>
      <c r="AJ40" s="3"/>
      <c r="AK40" s="3"/>
    </row>
    <row r="41" ht="15.75" customHeight="1">
      <c r="A41" s="3"/>
      <c r="B41" s="433">
        <v>36.0</v>
      </c>
      <c r="C41" s="433"/>
      <c r="D41" s="433" t="s">
        <v>20444</v>
      </c>
      <c r="E41" s="434" t="s">
        <v>20713</v>
      </c>
      <c r="F41" s="433"/>
      <c r="G41" s="433" t="s">
        <v>29</v>
      </c>
      <c r="H41" s="433" t="s">
        <v>30</v>
      </c>
      <c r="I41" s="433"/>
      <c r="J41" s="433" t="s">
        <v>30</v>
      </c>
      <c r="K41" s="433">
        <v>96.0</v>
      </c>
      <c r="L41" s="433"/>
      <c r="M41" s="433"/>
      <c r="N41" s="433" t="s">
        <v>20446</v>
      </c>
      <c r="O41" s="433">
        <v>2015.0</v>
      </c>
      <c r="P41" s="433" t="s">
        <v>388</v>
      </c>
      <c r="Q41" s="433">
        <v>1.0</v>
      </c>
      <c r="R41" s="471"/>
      <c r="S41" s="3"/>
      <c r="T41" s="3"/>
      <c r="U41" s="3"/>
      <c r="V41" s="3"/>
      <c r="W41" s="3"/>
      <c r="X41" s="3"/>
      <c r="Y41" s="3"/>
      <c r="Z41" s="3"/>
      <c r="AA41" s="3"/>
      <c r="AB41" s="3"/>
      <c r="AC41" s="3"/>
      <c r="AD41" s="3"/>
      <c r="AE41" s="3"/>
      <c r="AF41" s="3"/>
      <c r="AG41" s="3"/>
      <c r="AH41" s="3"/>
      <c r="AI41" s="3"/>
      <c r="AJ41" s="3"/>
      <c r="AK41" s="3"/>
    </row>
    <row r="42" ht="15.75" customHeight="1">
      <c r="A42" s="3"/>
      <c r="B42" s="852" t="s">
        <v>15132</v>
      </c>
      <c r="C42" s="433"/>
      <c r="D42" s="433" t="s">
        <v>20444</v>
      </c>
      <c r="E42" s="434" t="s">
        <v>20714</v>
      </c>
      <c r="F42" s="433"/>
      <c r="G42" s="433" t="s">
        <v>29</v>
      </c>
      <c r="H42" s="433" t="s">
        <v>30</v>
      </c>
      <c r="I42" s="433"/>
      <c r="J42" s="433" t="s">
        <v>30</v>
      </c>
      <c r="K42" s="433">
        <v>96.0</v>
      </c>
      <c r="L42" s="433"/>
      <c r="M42" s="433"/>
      <c r="N42" s="433" t="s">
        <v>20446</v>
      </c>
      <c r="O42" s="433">
        <v>2015.0</v>
      </c>
      <c r="P42" s="433" t="s">
        <v>388</v>
      </c>
      <c r="Q42" s="433">
        <v>1.0</v>
      </c>
      <c r="R42" s="471"/>
      <c r="S42" s="3"/>
      <c r="T42" s="3"/>
      <c r="U42" s="3"/>
      <c r="V42" s="3"/>
      <c r="W42" s="3"/>
      <c r="X42" s="3"/>
      <c r="Y42" s="3"/>
      <c r="Z42" s="3"/>
      <c r="AA42" s="3"/>
      <c r="AB42" s="3"/>
      <c r="AC42" s="3"/>
      <c r="AD42" s="3"/>
      <c r="AE42" s="3"/>
      <c r="AF42" s="3"/>
      <c r="AG42" s="3"/>
      <c r="AH42" s="3"/>
      <c r="AI42" s="3"/>
      <c r="AJ42" s="3"/>
      <c r="AK42" s="3"/>
    </row>
    <row r="43" ht="15.75" customHeight="1">
      <c r="A43" s="3"/>
      <c r="B43" s="852" t="s">
        <v>15133</v>
      </c>
      <c r="C43" s="433"/>
      <c r="D43" s="433" t="s">
        <v>20444</v>
      </c>
      <c r="E43" s="434" t="s">
        <v>20715</v>
      </c>
      <c r="F43" s="433"/>
      <c r="G43" s="433" t="s">
        <v>29</v>
      </c>
      <c r="H43" s="433" t="s">
        <v>30</v>
      </c>
      <c r="I43" s="433"/>
      <c r="J43" s="433" t="s">
        <v>30</v>
      </c>
      <c r="K43" s="433">
        <v>96.0</v>
      </c>
      <c r="L43" s="433"/>
      <c r="M43" s="433"/>
      <c r="N43" s="433" t="s">
        <v>20446</v>
      </c>
      <c r="O43" s="433">
        <v>2015.0</v>
      </c>
      <c r="P43" s="433" t="s">
        <v>388</v>
      </c>
      <c r="Q43" s="433">
        <v>1.0</v>
      </c>
      <c r="R43" s="471"/>
      <c r="S43" s="3"/>
      <c r="T43" s="3"/>
      <c r="U43" s="3"/>
      <c r="V43" s="3"/>
      <c r="W43" s="3"/>
      <c r="X43" s="3"/>
      <c r="Y43" s="3"/>
      <c r="Z43" s="3"/>
      <c r="AA43" s="3"/>
      <c r="AB43" s="3"/>
      <c r="AC43" s="3"/>
      <c r="AD43" s="3"/>
      <c r="AE43" s="3"/>
      <c r="AF43" s="3"/>
      <c r="AG43" s="3"/>
      <c r="AH43" s="3"/>
      <c r="AI43" s="3"/>
      <c r="AJ43" s="3"/>
      <c r="AK43" s="3"/>
    </row>
    <row r="44" ht="15.75" customHeight="1">
      <c r="A44" s="3"/>
      <c r="B44" s="852" t="s">
        <v>15134</v>
      </c>
      <c r="C44" s="433"/>
      <c r="D44" s="433" t="s">
        <v>20444</v>
      </c>
      <c r="E44" s="434" t="s">
        <v>20716</v>
      </c>
      <c r="F44" s="433"/>
      <c r="G44" s="433" t="s">
        <v>29</v>
      </c>
      <c r="H44" s="433" t="s">
        <v>30</v>
      </c>
      <c r="I44" s="433"/>
      <c r="J44" s="433" t="s">
        <v>30</v>
      </c>
      <c r="K44" s="433">
        <v>96.0</v>
      </c>
      <c r="L44" s="433"/>
      <c r="M44" s="433"/>
      <c r="N44" s="433" t="s">
        <v>20446</v>
      </c>
      <c r="O44" s="433">
        <v>2015.0</v>
      </c>
      <c r="P44" s="433" t="s">
        <v>388</v>
      </c>
      <c r="Q44" s="433">
        <v>1.0</v>
      </c>
      <c r="R44" s="471"/>
      <c r="S44" s="3"/>
      <c r="T44" s="3"/>
      <c r="U44" s="3"/>
      <c r="V44" s="3"/>
      <c r="W44" s="3"/>
      <c r="X44" s="3"/>
      <c r="Y44" s="3"/>
      <c r="Z44" s="3"/>
      <c r="AA44" s="3"/>
      <c r="AB44" s="3"/>
      <c r="AC44" s="3"/>
      <c r="AD44" s="3"/>
      <c r="AE44" s="3"/>
      <c r="AF44" s="3"/>
      <c r="AG44" s="3"/>
      <c r="AH44" s="3"/>
      <c r="AI44" s="3"/>
      <c r="AJ44" s="3"/>
      <c r="AK44" s="3"/>
    </row>
    <row r="45" ht="15.75" customHeight="1">
      <c r="A45" s="3"/>
      <c r="B45" s="852" t="s">
        <v>15135</v>
      </c>
      <c r="C45" s="433"/>
      <c r="D45" s="433" t="s">
        <v>20444</v>
      </c>
      <c r="E45" s="434" t="s">
        <v>20717</v>
      </c>
      <c r="F45" s="433"/>
      <c r="G45" s="433" t="s">
        <v>29</v>
      </c>
      <c r="H45" s="433" t="s">
        <v>30</v>
      </c>
      <c r="I45" s="433"/>
      <c r="J45" s="433" t="s">
        <v>30</v>
      </c>
      <c r="K45" s="433">
        <v>96.0</v>
      </c>
      <c r="L45" s="433"/>
      <c r="M45" s="433"/>
      <c r="N45" s="433" t="s">
        <v>20446</v>
      </c>
      <c r="O45" s="433">
        <v>2015.0</v>
      </c>
      <c r="P45" s="433" t="s">
        <v>388</v>
      </c>
      <c r="Q45" s="433">
        <v>1.0</v>
      </c>
      <c r="R45" s="471"/>
      <c r="S45" s="3"/>
      <c r="T45" s="3"/>
      <c r="U45" s="3"/>
      <c r="V45" s="3"/>
      <c r="W45" s="3"/>
      <c r="X45" s="3"/>
      <c r="Y45" s="3"/>
      <c r="Z45" s="3"/>
      <c r="AA45" s="3"/>
      <c r="AB45" s="3"/>
      <c r="AC45" s="3"/>
      <c r="AD45" s="3"/>
      <c r="AE45" s="3"/>
      <c r="AF45" s="3"/>
      <c r="AG45" s="3"/>
      <c r="AH45" s="3"/>
      <c r="AI45" s="3"/>
      <c r="AJ45" s="3"/>
      <c r="AK45" s="3"/>
    </row>
    <row r="46" ht="15.75" customHeight="1">
      <c r="A46" s="3"/>
      <c r="B46" s="852" t="s">
        <v>15136</v>
      </c>
      <c r="C46" s="433"/>
      <c r="D46" s="433" t="s">
        <v>20444</v>
      </c>
      <c r="E46" s="434" t="s">
        <v>20718</v>
      </c>
      <c r="F46" s="433"/>
      <c r="G46" s="433" t="s">
        <v>29</v>
      </c>
      <c r="H46" s="433" t="s">
        <v>30</v>
      </c>
      <c r="I46" s="433"/>
      <c r="J46" s="433" t="s">
        <v>30</v>
      </c>
      <c r="K46" s="433">
        <v>96.0</v>
      </c>
      <c r="L46" s="433"/>
      <c r="M46" s="433"/>
      <c r="N46" s="433" t="s">
        <v>20446</v>
      </c>
      <c r="O46" s="433">
        <v>2015.0</v>
      </c>
      <c r="P46" s="433" t="s">
        <v>388</v>
      </c>
      <c r="Q46" s="433">
        <v>1.0</v>
      </c>
      <c r="R46" s="471"/>
      <c r="S46" s="3"/>
      <c r="T46" s="3"/>
      <c r="U46" s="3"/>
      <c r="V46" s="3"/>
      <c r="W46" s="3"/>
      <c r="X46" s="3"/>
      <c r="Y46" s="3"/>
      <c r="Z46" s="3"/>
      <c r="AA46" s="3"/>
      <c r="AB46" s="3"/>
      <c r="AC46" s="3"/>
      <c r="AD46" s="3"/>
      <c r="AE46" s="3"/>
      <c r="AF46" s="3"/>
      <c r="AG46" s="3"/>
      <c r="AH46" s="3"/>
      <c r="AI46" s="3"/>
      <c r="AJ46" s="3"/>
      <c r="AK46" s="3"/>
    </row>
    <row r="47" ht="15.75" customHeight="1">
      <c r="A47" s="3"/>
      <c r="B47" s="852" t="s">
        <v>15137</v>
      </c>
      <c r="C47" s="433"/>
      <c r="D47" s="433" t="s">
        <v>20444</v>
      </c>
      <c r="E47" s="434" t="s">
        <v>20719</v>
      </c>
      <c r="F47" s="433"/>
      <c r="G47" s="433" t="s">
        <v>29</v>
      </c>
      <c r="H47" s="433" t="s">
        <v>30</v>
      </c>
      <c r="I47" s="433"/>
      <c r="J47" s="433" t="s">
        <v>30</v>
      </c>
      <c r="K47" s="433">
        <v>96.0</v>
      </c>
      <c r="L47" s="433"/>
      <c r="M47" s="433"/>
      <c r="N47" s="433" t="s">
        <v>20446</v>
      </c>
      <c r="O47" s="433">
        <v>2015.0</v>
      </c>
      <c r="P47" s="433" t="s">
        <v>388</v>
      </c>
      <c r="Q47" s="433">
        <v>1.0</v>
      </c>
      <c r="R47" s="471"/>
      <c r="S47" s="3"/>
      <c r="T47" s="3"/>
      <c r="U47" s="3"/>
      <c r="V47" s="3"/>
      <c r="W47" s="3"/>
      <c r="X47" s="3"/>
      <c r="Y47" s="3"/>
      <c r="Z47" s="3"/>
      <c r="AA47" s="3"/>
      <c r="AB47" s="3"/>
      <c r="AC47" s="3"/>
      <c r="AD47" s="3"/>
      <c r="AE47" s="3"/>
      <c r="AF47" s="3"/>
      <c r="AG47" s="3"/>
      <c r="AH47" s="3"/>
      <c r="AI47" s="3"/>
      <c r="AJ47" s="3"/>
      <c r="AK47" s="3"/>
    </row>
    <row r="48" ht="15.75" customHeight="1">
      <c r="A48" s="3"/>
      <c r="B48" s="852" t="s">
        <v>15138</v>
      </c>
      <c r="C48" s="433"/>
      <c r="D48" s="433" t="s">
        <v>20444</v>
      </c>
      <c r="E48" s="434" t="s">
        <v>20720</v>
      </c>
      <c r="F48" s="433"/>
      <c r="G48" s="433" t="s">
        <v>29</v>
      </c>
      <c r="H48" s="433" t="s">
        <v>30</v>
      </c>
      <c r="I48" s="433"/>
      <c r="J48" s="433" t="s">
        <v>30</v>
      </c>
      <c r="K48" s="433">
        <v>96.0</v>
      </c>
      <c r="L48" s="433"/>
      <c r="M48" s="433"/>
      <c r="N48" s="433" t="s">
        <v>20446</v>
      </c>
      <c r="O48" s="433">
        <v>2016.0</v>
      </c>
      <c r="P48" s="433" t="s">
        <v>388</v>
      </c>
      <c r="Q48" s="433">
        <v>1.0</v>
      </c>
      <c r="R48" s="471"/>
      <c r="S48" s="3"/>
      <c r="T48" s="3"/>
      <c r="U48" s="3"/>
      <c r="V48" s="3"/>
      <c r="W48" s="3"/>
      <c r="X48" s="3"/>
      <c r="Y48" s="3"/>
      <c r="Z48" s="3"/>
      <c r="AA48" s="3"/>
      <c r="AB48" s="3"/>
      <c r="AC48" s="3"/>
      <c r="AD48" s="3"/>
      <c r="AE48" s="3"/>
      <c r="AF48" s="3"/>
      <c r="AG48" s="3"/>
      <c r="AH48" s="3"/>
      <c r="AI48" s="3"/>
      <c r="AJ48" s="3"/>
      <c r="AK48" s="3"/>
    </row>
    <row r="49" ht="15.75" customHeight="1">
      <c r="A49" s="3"/>
      <c r="B49" s="852" t="s">
        <v>17408</v>
      </c>
      <c r="C49" s="433"/>
      <c r="D49" s="433" t="s">
        <v>20444</v>
      </c>
      <c r="E49" s="434" t="s">
        <v>20721</v>
      </c>
      <c r="F49" s="433"/>
      <c r="G49" s="433" t="s">
        <v>29</v>
      </c>
      <c r="H49" s="433" t="s">
        <v>30</v>
      </c>
      <c r="I49" s="433"/>
      <c r="J49" s="433" t="s">
        <v>30</v>
      </c>
      <c r="K49" s="433">
        <v>96.0</v>
      </c>
      <c r="L49" s="433"/>
      <c r="M49" s="433"/>
      <c r="N49" s="433" t="s">
        <v>20446</v>
      </c>
      <c r="O49" s="433">
        <v>2016.0</v>
      </c>
      <c r="P49" s="433" t="s">
        <v>388</v>
      </c>
      <c r="Q49" s="433">
        <v>1.0</v>
      </c>
      <c r="R49" s="471"/>
      <c r="S49" s="3"/>
      <c r="T49" s="3"/>
      <c r="U49" s="3"/>
      <c r="V49" s="3"/>
      <c r="W49" s="3"/>
      <c r="X49" s="3"/>
      <c r="Y49" s="3"/>
      <c r="Z49" s="3"/>
      <c r="AA49" s="3"/>
      <c r="AB49" s="3"/>
      <c r="AC49" s="3"/>
      <c r="AD49" s="3"/>
      <c r="AE49" s="3"/>
      <c r="AF49" s="3"/>
      <c r="AG49" s="3"/>
      <c r="AH49" s="3"/>
      <c r="AI49" s="3"/>
      <c r="AJ49" s="3"/>
      <c r="AK49" s="3"/>
    </row>
    <row r="50" ht="15.75" customHeight="1">
      <c r="A50" s="3"/>
      <c r="B50" s="852" t="s">
        <v>17413</v>
      </c>
      <c r="C50" s="433"/>
      <c r="D50" s="433" t="s">
        <v>20444</v>
      </c>
      <c r="E50" s="434" t="s">
        <v>20722</v>
      </c>
      <c r="F50" s="433"/>
      <c r="G50" s="433" t="s">
        <v>29</v>
      </c>
      <c r="H50" s="433" t="s">
        <v>30</v>
      </c>
      <c r="I50" s="433"/>
      <c r="J50" s="433" t="s">
        <v>30</v>
      </c>
      <c r="K50" s="433">
        <v>96.0</v>
      </c>
      <c r="L50" s="433"/>
      <c r="M50" s="433"/>
      <c r="N50" s="433" t="s">
        <v>20446</v>
      </c>
      <c r="O50" s="433">
        <v>2016.0</v>
      </c>
      <c r="P50" s="433" t="s">
        <v>388</v>
      </c>
      <c r="Q50" s="433">
        <v>1.0</v>
      </c>
      <c r="R50" s="471"/>
      <c r="S50" s="3"/>
      <c r="T50" s="3"/>
      <c r="U50" s="3"/>
      <c r="V50" s="3"/>
      <c r="W50" s="3"/>
      <c r="X50" s="3"/>
      <c r="Y50" s="3"/>
      <c r="Z50" s="3"/>
      <c r="AA50" s="3"/>
      <c r="AB50" s="3"/>
      <c r="AC50" s="3"/>
      <c r="AD50" s="3"/>
      <c r="AE50" s="3"/>
      <c r="AF50" s="3"/>
      <c r="AG50" s="3"/>
      <c r="AH50" s="3"/>
      <c r="AI50" s="3"/>
      <c r="AJ50" s="3"/>
      <c r="AK50" s="3"/>
    </row>
    <row r="51" ht="15.75" customHeight="1">
      <c r="A51" s="3"/>
      <c r="B51" s="852" t="s">
        <v>17417</v>
      </c>
      <c r="C51" s="433"/>
      <c r="D51" s="433" t="s">
        <v>20444</v>
      </c>
      <c r="E51" s="434" t="s">
        <v>20723</v>
      </c>
      <c r="F51" s="433"/>
      <c r="G51" s="433" t="s">
        <v>29</v>
      </c>
      <c r="H51" s="433" t="s">
        <v>30</v>
      </c>
      <c r="I51" s="433"/>
      <c r="J51" s="433" t="s">
        <v>30</v>
      </c>
      <c r="K51" s="433">
        <v>96.0</v>
      </c>
      <c r="L51" s="433"/>
      <c r="M51" s="433"/>
      <c r="N51" s="433" t="s">
        <v>20446</v>
      </c>
      <c r="O51" s="433">
        <v>2016.0</v>
      </c>
      <c r="P51" s="433" t="s">
        <v>388</v>
      </c>
      <c r="Q51" s="433">
        <v>1.0</v>
      </c>
      <c r="R51" s="471"/>
      <c r="S51" s="3"/>
      <c r="T51" s="3"/>
      <c r="U51" s="3"/>
      <c r="V51" s="3"/>
      <c r="W51" s="3"/>
      <c r="X51" s="3"/>
      <c r="Y51" s="3"/>
      <c r="Z51" s="3"/>
      <c r="AA51" s="3"/>
      <c r="AB51" s="3"/>
      <c r="AC51" s="3"/>
      <c r="AD51" s="3"/>
      <c r="AE51" s="3"/>
      <c r="AF51" s="3"/>
      <c r="AG51" s="3"/>
      <c r="AH51" s="3"/>
      <c r="AI51" s="3"/>
      <c r="AJ51" s="3"/>
      <c r="AK51" s="3"/>
    </row>
    <row r="52" ht="15.75" customHeight="1">
      <c r="A52" s="3"/>
      <c r="B52" s="852" t="s">
        <v>17420</v>
      </c>
      <c r="C52" s="433"/>
      <c r="D52" s="433" t="s">
        <v>20444</v>
      </c>
      <c r="E52" s="434" t="s">
        <v>20724</v>
      </c>
      <c r="F52" s="433"/>
      <c r="G52" s="433" t="s">
        <v>29</v>
      </c>
      <c r="H52" s="433" t="s">
        <v>30</v>
      </c>
      <c r="I52" s="433"/>
      <c r="J52" s="433" t="s">
        <v>30</v>
      </c>
      <c r="K52" s="433">
        <v>96.0</v>
      </c>
      <c r="L52" s="433"/>
      <c r="M52" s="433"/>
      <c r="N52" s="433" t="s">
        <v>20446</v>
      </c>
      <c r="O52" s="433">
        <v>2016.0</v>
      </c>
      <c r="P52" s="433" t="s">
        <v>388</v>
      </c>
      <c r="Q52" s="433">
        <v>1.0</v>
      </c>
      <c r="R52" s="471"/>
      <c r="S52" s="3"/>
      <c r="T52" s="3"/>
      <c r="U52" s="3"/>
      <c r="V52" s="3"/>
      <c r="W52" s="3"/>
      <c r="X52" s="3"/>
      <c r="Y52" s="3"/>
      <c r="Z52" s="3"/>
      <c r="AA52" s="3"/>
      <c r="AB52" s="3"/>
      <c r="AC52" s="3"/>
      <c r="AD52" s="3"/>
      <c r="AE52" s="3"/>
      <c r="AF52" s="3"/>
      <c r="AG52" s="3"/>
      <c r="AH52" s="3"/>
      <c r="AI52" s="3"/>
      <c r="AJ52" s="3"/>
      <c r="AK52" s="3"/>
    </row>
    <row r="53" ht="15.75" customHeight="1">
      <c r="A53" s="3"/>
      <c r="B53" s="852" t="s">
        <v>17423</v>
      </c>
      <c r="C53" s="433"/>
      <c r="D53" s="433" t="s">
        <v>20444</v>
      </c>
      <c r="E53" s="434" t="s">
        <v>20725</v>
      </c>
      <c r="F53" s="433"/>
      <c r="G53" s="433" t="s">
        <v>29</v>
      </c>
      <c r="H53" s="433" t="s">
        <v>30</v>
      </c>
      <c r="I53" s="433"/>
      <c r="J53" s="433" t="s">
        <v>30</v>
      </c>
      <c r="K53" s="433">
        <v>96.0</v>
      </c>
      <c r="L53" s="433"/>
      <c r="M53" s="433"/>
      <c r="N53" s="433" t="s">
        <v>20446</v>
      </c>
      <c r="O53" s="433">
        <v>2016.0</v>
      </c>
      <c r="P53" s="433" t="s">
        <v>388</v>
      </c>
      <c r="Q53" s="433">
        <v>1.0</v>
      </c>
      <c r="R53" s="471"/>
      <c r="S53" s="3"/>
      <c r="T53" s="3"/>
      <c r="U53" s="3"/>
      <c r="V53" s="3"/>
      <c r="W53" s="3"/>
      <c r="X53" s="3"/>
      <c r="Y53" s="3"/>
      <c r="Z53" s="3"/>
      <c r="AA53" s="3"/>
      <c r="AB53" s="3"/>
      <c r="AC53" s="3"/>
      <c r="AD53" s="3"/>
      <c r="AE53" s="3"/>
      <c r="AF53" s="3"/>
      <c r="AG53" s="3"/>
      <c r="AH53" s="3"/>
      <c r="AI53" s="3"/>
      <c r="AJ53" s="3"/>
      <c r="AK53" s="3"/>
    </row>
    <row r="54" ht="15.75" customHeight="1">
      <c r="A54" s="3"/>
      <c r="B54" s="852" t="s">
        <v>17426</v>
      </c>
      <c r="C54" s="433"/>
      <c r="D54" s="433" t="s">
        <v>20444</v>
      </c>
      <c r="E54" s="434" t="s">
        <v>20726</v>
      </c>
      <c r="F54" s="433"/>
      <c r="G54" s="433" t="s">
        <v>29</v>
      </c>
      <c r="H54" s="433" t="s">
        <v>30</v>
      </c>
      <c r="I54" s="433"/>
      <c r="J54" s="433" t="s">
        <v>30</v>
      </c>
      <c r="K54" s="433">
        <v>96.0</v>
      </c>
      <c r="L54" s="433"/>
      <c r="M54" s="433"/>
      <c r="N54" s="433" t="s">
        <v>20446</v>
      </c>
      <c r="O54" s="433">
        <v>2016.0</v>
      </c>
      <c r="P54" s="433" t="s">
        <v>388</v>
      </c>
      <c r="Q54" s="433">
        <v>1.0</v>
      </c>
      <c r="R54" s="471"/>
      <c r="S54" s="3"/>
      <c r="T54" s="3"/>
      <c r="U54" s="3"/>
      <c r="V54" s="3"/>
      <c r="W54" s="3"/>
      <c r="X54" s="3"/>
      <c r="Y54" s="3"/>
      <c r="Z54" s="3"/>
      <c r="AA54" s="3"/>
      <c r="AB54" s="3"/>
      <c r="AC54" s="3"/>
      <c r="AD54" s="3"/>
      <c r="AE54" s="3"/>
      <c r="AF54" s="3"/>
      <c r="AG54" s="3"/>
      <c r="AH54" s="3"/>
      <c r="AI54" s="3"/>
      <c r="AJ54" s="3"/>
      <c r="AK54" s="3"/>
    </row>
    <row r="55" ht="15.75" customHeight="1">
      <c r="A55" s="3"/>
      <c r="B55" s="852" t="s">
        <v>17429</v>
      </c>
      <c r="C55" s="433"/>
      <c r="D55" s="433" t="s">
        <v>20444</v>
      </c>
      <c r="E55" s="434" t="s">
        <v>20727</v>
      </c>
      <c r="F55" s="433"/>
      <c r="G55" s="433" t="s">
        <v>29</v>
      </c>
      <c r="H55" s="433" t="s">
        <v>30</v>
      </c>
      <c r="I55" s="433"/>
      <c r="J55" s="433" t="s">
        <v>30</v>
      </c>
      <c r="K55" s="433">
        <v>96.0</v>
      </c>
      <c r="L55" s="433"/>
      <c r="M55" s="433"/>
      <c r="N55" s="433" t="s">
        <v>20446</v>
      </c>
      <c r="O55" s="433">
        <v>2016.0</v>
      </c>
      <c r="P55" s="433" t="s">
        <v>388</v>
      </c>
      <c r="Q55" s="433">
        <v>1.0</v>
      </c>
      <c r="R55" s="471"/>
      <c r="S55" s="3"/>
      <c r="T55" s="3"/>
      <c r="U55" s="3"/>
      <c r="V55" s="3"/>
      <c r="W55" s="3"/>
      <c r="X55" s="3"/>
      <c r="Y55" s="3"/>
      <c r="Z55" s="3"/>
      <c r="AA55" s="3"/>
      <c r="AB55" s="3"/>
      <c r="AC55" s="3"/>
      <c r="AD55" s="3"/>
      <c r="AE55" s="3"/>
      <c r="AF55" s="3"/>
      <c r="AG55" s="3"/>
      <c r="AH55" s="3"/>
      <c r="AI55" s="3"/>
      <c r="AJ55" s="3"/>
      <c r="AK55" s="3"/>
    </row>
    <row r="56" ht="15.75" customHeight="1">
      <c r="A56" s="3"/>
      <c r="B56" s="852" t="s">
        <v>17432</v>
      </c>
      <c r="C56" s="433"/>
      <c r="D56" s="430" t="s">
        <v>20444</v>
      </c>
      <c r="E56" s="432" t="s">
        <v>20728</v>
      </c>
      <c r="F56" s="430"/>
      <c r="G56" s="430" t="s">
        <v>29</v>
      </c>
      <c r="H56" s="430" t="s">
        <v>30</v>
      </c>
      <c r="I56" s="430"/>
      <c r="J56" s="430" t="s">
        <v>30</v>
      </c>
      <c r="K56" s="430">
        <v>96.0</v>
      </c>
      <c r="L56" s="430"/>
      <c r="M56" s="430"/>
      <c r="N56" s="430" t="s">
        <v>20446</v>
      </c>
      <c r="O56" s="430">
        <v>2016.0</v>
      </c>
      <c r="P56" s="430" t="s">
        <v>388</v>
      </c>
      <c r="Q56" s="430">
        <v>1.0</v>
      </c>
      <c r="R56" s="471"/>
      <c r="S56" s="3"/>
      <c r="T56" s="3"/>
      <c r="U56" s="3"/>
      <c r="V56" s="3"/>
      <c r="W56" s="3"/>
      <c r="X56" s="3"/>
      <c r="Y56" s="3"/>
      <c r="Z56" s="3"/>
      <c r="AA56" s="3"/>
      <c r="AB56" s="3"/>
      <c r="AC56" s="3"/>
      <c r="AD56" s="3"/>
      <c r="AE56" s="3"/>
      <c r="AF56" s="3"/>
      <c r="AG56" s="3"/>
      <c r="AH56" s="3"/>
      <c r="AI56" s="3"/>
      <c r="AJ56" s="3"/>
      <c r="AK56" s="3"/>
    </row>
    <row r="57" ht="15.75" customHeight="1">
      <c r="A57" s="3"/>
      <c r="B57" s="852" t="s">
        <v>17435</v>
      </c>
      <c r="C57" s="433"/>
      <c r="D57" s="430" t="s">
        <v>20444</v>
      </c>
      <c r="E57" s="432" t="s">
        <v>20729</v>
      </c>
      <c r="F57" s="430"/>
      <c r="G57" s="430" t="s">
        <v>29</v>
      </c>
      <c r="H57" s="430" t="s">
        <v>30</v>
      </c>
      <c r="I57" s="430"/>
      <c r="J57" s="430" t="s">
        <v>30</v>
      </c>
      <c r="K57" s="430">
        <v>96.0</v>
      </c>
      <c r="L57" s="430"/>
      <c r="M57" s="430"/>
      <c r="N57" s="430" t="s">
        <v>20446</v>
      </c>
      <c r="O57" s="430">
        <v>2016.0</v>
      </c>
      <c r="P57" s="430" t="s">
        <v>388</v>
      </c>
      <c r="Q57" s="430">
        <v>1.0</v>
      </c>
      <c r="R57" s="471"/>
      <c r="S57" s="3"/>
      <c r="T57" s="3"/>
      <c r="U57" s="3"/>
      <c r="V57" s="3"/>
      <c r="W57" s="3"/>
      <c r="X57" s="3"/>
      <c r="Y57" s="3"/>
      <c r="Z57" s="3"/>
      <c r="AA57" s="3"/>
      <c r="AB57" s="3"/>
      <c r="AC57" s="3"/>
      <c r="AD57" s="3"/>
      <c r="AE57" s="3"/>
      <c r="AF57" s="3"/>
      <c r="AG57" s="3"/>
      <c r="AH57" s="3"/>
      <c r="AI57" s="3"/>
      <c r="AJ57" s="3"/>
      <c r="AK57" s="3"/>
    </row>
    <row r="58" ht="15.75" customHeight="1">
      <c r="A58" s="3"/>
      <c r="B58" s="852" t="s">
        <v>17440</v>
      </c>
      <c r="C58" s="433"/>
      <c r="D58" s="430" t="s">
        <v>20444</v>
      </c>
      <c r="E58" s="432" t="s">
        <v>20730</v>
      </c>
      <c r="F58" s="430"/>
      <c r="G58" s="430" t="s">
        <v>29</v>
      </c>
      <c r="H58" s="430" t="s">
        <v>30</v>
      </c>
      <c r="I58" s="430"/>
      <c r="J58" s="430" t="s">
        <v>30</v>
      </c>
      <c r="K58" s="430">
        <v>96.0</v>
      </c>
      <c r="L58" s="430"/>
      <c r="M58" s="430"/>
      <c r="N58" s="430" t="s">
        <v>20446</v>
      </c>
      <c r="O58" s="430">
        <v>2016.0</v>
      </c>
      <c r="P58" s="430" t="s">
        <v>388</v>
      </c>
      <c r="Q58" s="430">
        <v>1.0</v>
      </c>
      <c r="R58" s="471"/>
      <c r="S58" s="3"/>
      <c r="T58" s="3"/>
      <c r="U58" s="3"/>
      <c r="V58" s="3"/>
      <c r="W58" s="3"/>
      <c r="X58" s="3"/>
      <c r="Y58" s="3"/>
      <c r="Z58" s="3"/>
      <c r="AA58" s="3"/>
      <c r="AB58" s="3"/>
      <c r="AC58" s="3"/>
      <c r="AD58" s="3"/>
      <c r="AE58" s="3"/>
      <c r="AF58" s="3"/>
      <c r="AG58" s="3"/>
      <c r="AH58" s="3"/>
      <c r="AI58" s="3"/>
      <c r="AJ58" s="3"/>
      <c r="AK58" s="3"/>
    </row>
    <row r="59" ht="15.75" customHeight="1">
      <c r="A59" s="3"/>
      <c r="B59" s="852" t="s">
        <v>17444</v>
      </c>
      <c r="C59" s="433"/>
      <c r="D59" s="430" t="s">
        <v>20444</v>
      </c>
      <c r="E59" s="432" t="s">
        <v>20731</v>
      </c>
      <c r="F59" s="430"/>
      <c r="G59" s="430" t="s">
        <v>29</v>
      </c>
      <c r="H59" s="430" t="s">
        <v>30</v>
      </c>
      <c r="I59" s="430"/>
      <c r="J59" s="430" t="s">
        <v>30</v>
      </c>
      <c r="K59" s="430">
        <v>96.0</v>
      </c>
      <c r="L59" s="430"/>
      <c r="M59" s="430"/>
      <c r="N59" s="430" t="s">
        <v>20446</v>
      </c>
      <c r="O59" s="430">
        <v>2016.0</v>
      </c>
      <c r="P59" s="430" t="s">
        <v>388</v>
      </c>
      <c r="Q59" s="430">
        <v>1.0</v>
      </c>
      <c r="R59" s="471"/>
      <c r="S59" s="3"/>
      <c r="T59" s="3"/>
      <c r="U59" s="3"/>
      <c r="V59" s="3"/>
      <c r="W59" s="3"/>
      <c r="X59" s="3"/>
      <c r="Y59" s="3"/>
      <c r="Z59" s="3"/>
      <c r="AA59" s="3"/>
      <c r="AB59" s="3"/>
      <c r="AC59" s="3"/>
      <c r="AD59" s="3"/>
      <c r="AE59" s="3"/>
      <c r="AF59" s="3"/>
      <c r="AG59" s="3"/>
      <c r="AH59" s="3"/>
      <c r="AI59" s="3"/>
      <c r="AJ59" s="3"/>
      <c r="AK59" s="3"/>
    </row>
    <row r="60" ht="15.75" customHeight="1">
      <c r="A60" s="3"/>
      <c r="B60" s="852" t="s">
        <v>17446</v>
      </c>
      <c r="C60" s="433"/>
      <c r="D60" s="430" t="s">
        <v>20444</v>
      </c>
      <c r="E60" s="432" t="s">
        <v>20732</v>
      </c>
      <c r="F60" s="430"/>
      <c r="G60" s="430" t="s">
        <v>29</v>
      </c>
      <c r="H60" s="430" t="s">
        <v>30</v>
      </c>
      <c r="I60" s="430"/>
      <c r="J60" s="430" t="s">
        <v>30</v>
      </c>
      <c r="K60" s="430">
        <v>96.0</v>
      </c>
      <c r="L60" s="430"/>
      <c r="M60" s="430"/>
      <c r="N60" s="430" t="s">
        <v>20446</v>
      </c>
      <c r="O60" s="430">
        <v>2016.0</v>
      </c>
      <c r="P60" s="430" t="s">
        <v>388</v>
      </c>
      <c r="Q60" s="430">
        <v>1.0</v>
      </c>
      <c r="R60" s="471"/>
      <c r="S60" s="3"/>
      <c r="T60" s="3"/>
      <c r="U60" s="3"/>
      <c r="V60" s="3"/>
      <c r="W60" s="3"/>
      <c r="X60" s="3"/>
      <c r="Y60" s="3"/>
      <c r="Z60" s="3"/>
      <c r="AA60" s="3"/>
      <c r="AB60" s="3"/>
      <c r="AC60" s="3"/>
      <c r="AD60" s="3"/>
      <c r="AE60" s="3"/>
      <c r="AF60" s="3"/>
      <c r="AG60" s="3"/>
      <c r="AH60" s="3"/>
      <c r="AI60" s="3"/>
      <c r="AJ60" s="3"/>
      <c r="AK60" s="3"/>
    </row>
    <row r="61" ht="15.75" customHeight="1">
      <c r="A61" s="3"/>
      <c r="B61" s="918" t="s">
        <v>17449</v>
      </c>
      <c r="C61" s="919"/>
      <c r="D61" s="579" t="s">
        <v>20444</v>
      </c>
      <c r="E61" s="580" t="s">
        <v>20733</v>
      </c>
      <c r="F61" s="579"/>
      <c r="G61" s="579" t="s">
        <v>29</v>
      </c>
      <c r="H61" s="579" t="s">
        <v>30</v>
      </c>
      <c r="I61" s="579"/>
      <c r="J61" s="579" t="s">
        <v>30</v>
      </c>
      <c r="K61" s="579">
        <v>96.0</v>
      </c>
      <c r="L61" s="579"/>
      <c r="M61" s="579"/>
      <c r="N61" s="579" t="s">
        <v>20446</v>
      </c>
      <c r="O61" s="579">
        <v>2016.0</v>
      </c>
      <c r="P61" s="579" t="s">
        <v>388</v>
      </c>
      <c r="Q61" s="579">
        <v>1.0</v>
      </c>
      <c r="R61" s="471"/>
      <c r="S61" s="3"/>
      <c r="T61" s="3"/>
      <c r="U61" s="3"/>
      <c r="V61" s="3"/>
      <c r="W61" s="3"/>
      <c r="X61" s="3"/>
      <c r="Y61" s="3"/>
      <c r="Z61" s="3"/>
      <c r="AA61" s="3"/>
      <c r="AB61" s="3"/>
      <c r="AC61" s="3"/>
      <c r="AD61" s="3"/>
      <c r="AE61" s="3"/>
      <c r="AF61" s="3"/>
      <c r="AG61" s="3"/>
      <c r="AH61" s="3"/>
      <c r="AI61" s="3"/>
      <c r="AJ61" s="3"/>
      <c r="AK61" s="3"/>
    </row>
    <row r="62" ht="15.75" customHeight="1">
      <c r="A62" s="74"/>
      <c r="B62" s="920"/>
      <c r="C62" s="322"/>
      <c r="D62" s="579" t="s">
        <v>20444</v>
      </c>
      <c r="E62" s="580" t="s">
        <v>20734</v>
      </c>
      <c r="F62" s="579"/>
      <c r="G62" s="579" t="s">
        <v>29</v>
      </c>
      <c r="H62" s="579" t="s">
        <v>30</v>
      </c>
      <c r="I62" s="579"/>
      <c r="J62" s="579" t="s">
        <v>30</v>
      </c>
      <c r="K62" s="430">
        <v>96.0</v>
      </c>
      <c r="L62" s="430"/>
      <c r="M62" s="430"/>
      <c r="N62" s="430" t="s">
        <v>20446</v>
      </c>
      <c r="O62" s="430">
        <v>2016.0</v>
      </c>
      <c r="P62" s="430" t="s">
        <v>388</v>
      </c>
      <c r="Q62" s="430">
        <v>1.0</v>
      </c>
      <c r="R62" s="819"/>
      <c r="S62" s="74"/>
      <c r="T62" s="74"/>
      <c r="U62" s="74"/>
      <c r="V62" s="74"/>
      <c r="W62" s="74"/>
      <c r="X62" s="74"/>
      <c r="Y62" s="74"/>
      <c r="Z62" s="74"/>
      <c r="AA62" s="74"/>
      <c r="AB62" s="74"/>
      <c r="AC62" s="74"/>
      <c r="AD62" s="74"/>
      <c r="AE62" s="74"/>
      <c r="AF62" s="74"/>
      <c r="AG62" s="74"/>
      <c r="AH62" s="74"/>
      <c r="AI62" s="74"/>
      <c r="AJ62" s="74"/>
      <c r="AK62" s="74"/>
    </row>
    <row r="63" ht="15.75" customHeight="1">
      <c r="A63" s="74"/>
      <c r="B63" s="920"/>
      <c r="C63" s="920"/>
      <c r="D63" s="430" t="s">
        <v>20444</v>
      </c>
      <c r="E63" s="432" t="s">
        <v>20735</v>
      </c>
      <c r="F63" s="430"/>
      <c r="G63" s="430" t="s">
        <v>29</v>
      </c>
      <c r="H63" s="579" t="s">
        <v>30</v>
      </c>
      <c r="I63" s="579"/>
      <c r="J63" s="430" t="s">
        <v>30</v>
      </c>
      <c r="K63" s="430">
        <v>96.0</v>
      </c>
      <c r="L63" s="430"/>
      <c r="M63" s="430"/>
      <c r="N63" s="430" t="s">
        <v>20446</v>
      </c>
      <c r="O63" s="430">
        <v>2016.0</v>
      </c>
      <c r="P63" s="430" t="s">
        <v>388</v>
      </c>
      <c r="Q63" s="430">
        <v>1.0</v>
      </c>
      <c r="R63" s="819"/>
      <c r="S63" s="74"/>
      <c r="T63" s="74"/>
      <c r="U63" s="74"/>
      <c r="V63" s="74"/>
      <c r="W63" s="74"/>
      <c r="X63" s="74"/>
      <c r="Y63" s="74"/>
      <c r="Z63" s="74"/>
      <c r="AA63" s="74"/>
      <c r="AB63" s="74"/>
      <c r="AC63" s="74"/>
      <c r="AD63" s="74"/>
      <c r="AE63" s="74"/>
      <c r="AF63" s="74"/>
      <c r="AG63" s="74"/>
      <c r="AH63" s="74"/>
      <c r="AI63" s="74"/>
      <c r="AJ63" s="74"/>
      <c r="AK63" s="74"/>
    </row>
    <row r="64" ht="15.75" customHeight="1">
      <c r="A64" s="74"/>
      <c r="B64" s="599"/>
      <c r="C64" s="599"/>
      <c r="D64" s="430" t="s">
        <v>20444</v>
      </c>
      <c r="E64" s="432" t="s">
        <v>20736</v>
      </c>
      <c r="F64" s="430"/>
      <c r="G64" s="430" t="s">
        <v>29</v>
      </c>
      <c r="H64" s="579" t="s">
        <v>30</v>
      </c>
      <c r="I64" s="579"/>
      <c r="J64" s="430" t="s">
        <v>30</v>
      </c>
      <c r="K64" s="430">
        <v>96.0</v>
      </c>
      <c r="L64" s="430"/>
      <c r="M64" s="430"/>
      <c r="N64" s="430" t="s">
        <v>20446</v>
      </c>
      <c r="O64" s="430">
        <v>2016.0</v>
      </c>
      <c r="P64" s="430" t="s">
        <v>388</v>
      </c>
      <c r="Q64" s="430">
        <v>1.0</v>
      </c>
      <c r="R64" s="819"/>
      <c r="S64" s="74"/>
      <c r="T64" s="74"/>
      <c r="U64" s="74"/>
      <c r="V64" s="74"/>
      <c r="W64" s="74"/>
      <c r="X64" s="74"/>
      <c r="Y64" s="74"/>
      <c r="Z64" s="74"/>
      <c r="AA64" s="74"/>
      <c r="AB64" s="74"/>
      <c r="AC64" s="74"/>
      <c r="AD64" s="74"/>
      <c r="AE64" s="74"/>
      <c r="AF64" s="74"/>
      <c r="AG64" s="74"/>
      <c r="AH64" s="74"/>
      <c r="AI64" s="74"/>
      <c r="AJ64" s="74"/>
      <c r="AK64" s="74"/>
    </row>
    <row r="65" ht="15.75" customHeight="1">
      <c r="A65" s="74"/>
      <c r="B65" s="920"/>
      <c r="C65" s="920"/>
      <c r="D65" s="430" t="s">
        <v>20444</v>
      </c>
      <c r="E65" s="432" t="s">
        <v>20737</v>
      </c>
      <c r="F65" s="430"/>
      <c r="G65" s="430" t="s">
        <v>29</v>
      </c>
      <c r="H65" s="579" t="s">
        <v>30</v>
      </c>
      <c r="I65" s="579"/>
      <c r="J65" s="430" t="s">
        <v>30</v>
      </c>
      <c r="K65" s="430">
        <v>96.0</v>
      </c>
      <c r="L65" s="430"/>
      <c r="M65" s="430"/>
      <c r="N65" s="430" t="s">
        <v>20446</v>
      </c>
      <c r="O65" s="430">
        <v>2016.0</v>
      </c>
      <c r="P65" s="430" t="s">
        <v>388</v>
      </c>
      <c r="Q65" s="430">
        <v>1.0</v>
      </c>
      <c r="R65" s="819"/>
      <c r="S65" s="74"/>
      <c r="T65" s="74"/>
      <c r="U65" s="74"/>
      <c r="V65" s="74"/>
      <c r="W65" s="74"/>
      <c r="X65" s="74"/>
      <c r="Y65" s="74"/>
      <c r="Z65" s="74"/>
      <c r="AA65" s="74"/>
      <c r="AB65" s="74"/>
      <c r="AC65" s="74"/>
      <c r="AD65" s="74"/>
      <c r="AE65" s="74"/>
      <c r="AF65" s="74"/>
      <c r="AG65" s="74"/>
      <c r="AH65" s="74"/>
      <c r="AI65" s="74"/>
      <c r="AJ65" s="74"/>
      <c r="AK65" s="74"/>
    </row>
    <row r="66" ht="15.75" customHeight="1">
      <c r="A66" s="74"/>
      <c r="B66" s="920"/>
      <c r="C66" s="920"/>
      <c r="D66" s="430" t="s">
        <v>20444</v>
      </c>
      <c r="E66" s="432" t="s">
        <v>20738</v>
      </c>
      <c r="F66" s="430"/>
      <c r="G66" s="430" t="s">
        <v>29</v>
      </c>
      <c r="H66" s="579" t="s">
        <v>30</v>
      </c>
      <c r="I66" s="579"/>
      <c r="J66" s="430" t="s">
        <v>30</v>
      </c>
      <c r="K66" s="430">
        <v>96.0</v>
      </c>
      <c r="L66" s="430"/>
      <c r="M66" s="430"/>
      <c r="N66" s="430" t="s">
        <v>20446</v>
      </c>
      <c r="O66" s="430">
        <v>2016.0</v>
      </c>
      <c r="P66" s="430" t="s">
        <v>388</v>
      </c>
      <c r="Q66" s="430">
        <v>1.0</v>
      </c>
      <c r="R66" s="819"/>
      <c r="S66" s="74"/>
      <c r="T66" s="74"/>
      <c r="U66" s="74"/>
      <c r="V66" s="74"/>
      <c r="W66" s="74"/>
      <c r="X66" s="74"/>
      <c r="Y66" s="74"/>
      <c r="Z66" s="74"/>
      <c r="AA66" s="74"/>
      <c r="AB66" s="74"/>
      <c r="AC66" s="74"/>
      <c r="AD66" s="74"/>
      <c r="AE66" s="74"/>
      <c r="AF66" s="74"/>
      <c r="AG66" s="74"/>
      <c r="AH66" s="74"/>
      <c r="AI66" s="74"/>
      <c r="AJ66" s="74"/>
      <c r="AK66" s="74"/>
    </row>
    <row r="67" ht="15.75" customHeight="1">
      <c r="A67" s="74"/>
      <c r="B67" s="920"/>
      <c r="C67" s="920"/>
      <c r="D67" s="430" t="s">
        <v>20444</v>
      </c>
      <c r="E67" s="432" t="s">
        <v>20739</v>
      </c>
      <c r="F67" s="430"/>
      <c r="G67" s="430" t="s">
        <v>29</v>
      </c>
      <c r="H67" s="579" t="s">
        <v>30</v>
      </c>
      <c r="I67" s="579"/>
      <c r="J67" s="430" t="s">
        <v>30</v>
      </c>
      <c r="K67" s="430">
        <v>96.0</v>
      </c>
      <c r="L67" s="430"/>
      <c r="M67" s="430"/>
      <c r="N67" s="430" t="s">
        <v>20446</v>
      </c>
      <c r="O67" s="430">
        <v>2016.0</v>
      </c>
      <c r="P67" s="430" t="s">
        <v>388</v>
      </c>
      <c r="Q67" s="430">
        <v>1.0</v>
      </c>
      <c r="R67" s="819"/>
      <c r="S67" s="74"/>
      <c r="T67" s="74"/>
      <c r="U67" s="74"/>
      <c r="V67" s="74"/>
      <c r="W67" s="74"/>
      <c r="X67" s="74"/>
      <c r="Y67" s="74"/>
      <c r="Z67" s="74"/>
      <c r="AA67" s="74"/>
      <c r="AB67" s="74"/>
      <c r="AC67" s="74"/>
      <c r="AD67" s="74"/>
      <c r="AE67" s="74"/>
      <c r="AF67" s="74"/>
      <c r="AG67" s="74"/>
      <c r="AH67" s="74"/>
      <c r="AI67" s="74"/>
      <c r="AJ67" s="74"/>
      <c r="AK67" s="74"/>
    </row>
    <row r="68" ht="15.75" customHeight="1">
      <c r="A68" s="74"/>
      <c r="B68" s="921" t="s">
        <v>17454</v>
      </c>
      <c r="C68" s="599"/>
      <c r="D68" s="599" t="s">
        <v>20440</v>
      </c>
      <c r="E68" s="922" t="s">
        <v>20740</v>
      </c>
      <c r="F68" s="599"/>
      <c r="G68" s="599" t="s">
        <v>29</v>
      </c>
      <c r="H68" s="599" t="s">
        <v>30</v>
      </c>
      <c r="I68" s="599"/>
      <c r="J68" s="599" t="s">
        <v>30</v>
      </c>
      <c r="K68" s="599">
        <v>80.0</v>
      </c>
      <c r="L68" s="599"/>
      <c r="M68" s="599"/>
      <c r="N68" s="599" t="s">
        <v>151</v>
      </c>
      <c r="O68" s="599">
        <v>2015.0</v>
      </c>
      <c r="P68" s="599" t="s">
        <v>388</v>
      </c>
      <c r="Q68" s="599">
        <v>1.0</v>
      </c>
      <c r="R68" s="819"/>
      <c r="S68" s="74"/>
      <c r="T68" s="74"/>
      <c r="U68" s="74"/>
      <c r="V68" s="74"/>
      <c r="W68" s="74"/>
      <c r="X68" s="74"/>
      <c r="Y68" s="74"/>
      <c r="Z68" s="74"/>
      <c r="AA68" s="74"/>
      <c r="AB68" s="74"/>
      <c r="AC68" s="74"/>
      <c r="AD68" s="74"/>
      <c r="AE68" s="74"/>
      <c r="AF68" s="74"/>
      <c r="AG68" s="74"/>
      <c r="AH68" s="74"/>
      <c r="AI68" s="74"/>
      <c r="AJ68" s="74"/>
      <c r="AK68" s="74"/>
    </row>
    <row r="69" ht="15.75" customHeight="1">
      <c r="A69" s="74"/>
      <c r="B69" s="921" t="s">
        <v>17457</v>
      </c>
      <c r="C69" s="430"/>
      <c r="D69" s="430" t="s">
        <v>20440</v>
      </c>
      <c r="E69" s="432" t="s">
        <v>20741</v>
      </c>
      <c r="F69" s="430"/>
      <c r="G69" s="430" t="s">
        <v>29</v>
      </c>
      <c r="H69" s="430" t="s">
        <v>30</v>
      </c>
      <c r="I69" s="430"/>
      <c r="J69" s="430" t="s">
        <v>30</v>
      </c>
      <c r="K69" s="430">
        <v>80.0</v>
      </c>
      <c r="L69" s="430"/>
      <c r="M69" s="430"/>
      <c r="N69" s="430" t="s">
        <v>151</v>
      </c>
      <c r="O69" s="430">
        <v>2015.0</v>
      </c>
      <c r="P69" s="430" t="s">
        <v>388</v>
      </c>
      <c r="Q69" s="430">
        <v>1.0</v>
      </c>
      <c r="R69" s="819"/>
      <c r="S69" s="74"/>
      <c r="T69" s="74"/>
      <c r="U69" s="74"/>
      <c r="V69" s="74"/>
      <c r="W69" s="74"/>
      <c r="X69" s="74"/>
      <c r="Y69" s="74"/>
      <c r="Z69" s="74"/>
      <c r="AA69" s="74"/>
      <c r="AB69" s="74"/>
      <c r="AC69" s="74"/>
      <c r="AD69" s="74"/>
      <c r="AE69" s="74"/>
      <c r="AF69" s="74"/>
      <c r="AG69" s="74"/>
      <c r="AH69" s="74"/>
      <c r="AI69" s="74"/>
      <c r="AJ69" s="74"/>
      <c r="AK69" s="74"/>
    </row>
    <row r="70" ht="15.75" customHeight="1">
      <c r="A70" s="74"/>
      <c r="B70" s="921" t="s">
        <v>17461</v>
      </c>
      <c r="C70" s="430"/>
      <c r="D70" s="430" t="s">
        <v>20440</v>
      </c>
      <c r="E70" s="432" t="s">
        <v>20742</v>
      </c>
      <c r="F70" s="430"/>
      <c r="G70" s="430" t="s">
        <v>29</v>
      </c>
      <c r="H70" s="430" t="s">
        <v>30</v>
      </c>
      <c r="I70" s="430"/>
      <c r="J70" s="430" t="s">
        <v>30</v>
      </c>
      <c r="K70" s="430">
        <v>80.0</v>
      </c>
      <c r="L70" s="430"/>
      <c r="M70" s="430"/>
      <c r="N70" s="430" t="s">
        <v>151</v>
      </c>
      <c r="O70" s="430">
        <v>2015.0</v>
      </c>
      <c r="P70" s="430" t="s">
        <v>388</v>
      </c>
      <c r="Q70" s="430">
        <v>1.0</v>
      </c>
      <c r="R70" s="819"/>
      <c r="S70" s="74"/>
      <c r="T70" s="74"/>
      <c r="U70" s="74"/>
      <c r="V70" s="74"/>
      <c r="W70" s="74"/>
      <c r="X70" s="74"/>
      <c r="Y70" s="74"/>
      <c r="Z70" s="74"/>
      <c r="AA70" s="74"/>
      <c r="AB70" s="74"/>
      <c r="AC70" s="74"/>
      <c r="AD70" s="74"/>
      <c r="AE70" s="74"/>
      <c r="AF70" s="74"/>
      <c r="AG70" s="74"/>
      <c r="AH70" s="74"/>
      <c r="AI70" s="74"/>
      <c r="AJ70" s="74"/>
      <c r="AK70" s="74"/>
    </row>
    <row r="71" ht="15.75" customHeight="1">
      <c r="A71" s="74"/>
      <c r="B71" s="921" t="s">
        <v>17465</v>
      </c>
      <c r="C71" s="430"/>
      <c r="D71" s="430" t="s">
        <v>20440</v>
      </c>
      <c r="E71" s="432" t="s">
        <v>20743</v>
      </c>
      <c r="F71" s="430"/>
      <c r="G71" s="430" t="s">
        <v>29</v>
      </c>
      <c r="H71" s="430" t="s">
        <v>30</v>
      </c>
      <c r="I71" s="430"/>
      <c r="J71" s="430" t="s">
        <v>30</v>
      </c>
      <c r="K71" s="430">
        <v>80.0</v>
      </c>
      <c r="L71" s="430"/>
      <c r="M71" s="430"/>
      <c r="N71" s="430" t="s">
        <v>151</v>
      </c>
      <c r="O71" s="430">
        <v>2015.0</v>
      </c>
      <c r="P71" s="430" t="s">
        <v>388</v>
      </c>
      <c r="Q71" s="430">
        <v>1.0</v>
      </c>
      <c r="R71" s="819"/>
      <c r="S71" s="74"/>
      <c r="T71" s="74"/>
      <c r="U71" s="74"/>
      <c r="V71" s="74"/>
      <c r="W71" s="74"/>
      <c r="X71" s="74"/>
      <c r="Y71" s="74"/>
      <c r="Z71" s="74"/>
      <c r="AA71" s="74"/>
      <c r="AB71" s="74"/>
      <c r="AC71" s="74"/>
      <c r="AD71" s="74"/>
      <c r="AE71" s="74"/>
      <c r="AF71" s="74"/>
      <c r="AG71" s="74"/>
      <c r="AH71" s="74"/>
      <c r="AI71" s="74"/>
      <c r="AJ71" s="74"/>
      <c r="AK71" s="74"/>
    </row>
    <row r="72" ht="15.75" customHeight="1">
      <c r="A72" s="74"/>
      <c r="B72" s="921" t="s">
        <v>17469</v>
      </c>
      <c r="C72" s="430"/>
      <c r="D72" s="430" t="s">
        <v>20440</v>
      </c>
      <c r="E72" s="432" t="s">
        <v>20744</v>
      </c>
      <c r="F72" s="430"/>
      <c r="G72" s="430" t="s">
        <v>29</v>
      </c>
      <c r="H72" s="430" t="s">
        <v>30</v>
      </c>
      <c r="I72" s="430"/>
      <c r="J72" s="430" t="s">
        <v>30</v>
      </c>
      <c r="K72" s="430">
        <v>80.0</v>
      </c>
      <c r="L72" s="430"/>
      <c r="M72" s="430"/>
      <c r="N72" s="430" t="s">
        <v>151</v>
      </c>
      <c r="O72" s="430">
        <v>2015.0</v>
      </c>
      <c r="P72" s="430" t="s">
        <v>388</v>
      </c>
      <c r="Q72" s="430">
        <v>1.0</v>
      </c>
      <c r="R72" s="819"/>
      <c r="S72" s="74"/>
      <c r="T72" s="74"/>
      <c r="U72" s="74"/>
      <c r="V72" s="74"/>
      <c r="W72" s="74"/>
      <c r="X72" s="74"/>
      <c r="Y72" s="74"/>
      <c r="Z72" s="74"/>
      <c r="AA72" s="74"/>
      <c r="AB72" s="74"/>
      <c r="AC72" s="74"/>
      <c r="AD72" s="74"/>
      <c r="AE72" s="74"/>
      <c r="AF72" s="74"/>
      <c r="AG72" s="74"/>
      <c r="AH72" s="74"/>
      <c r="AI72" s="74"/>
      <c r="AJ72" s="74"/>
      <c r="AK72" s="74"/>
    </row>
    <row r="73" ht="15.75" customHeight="1">
      <c r="A73" s="74"/>
      <c r="B73" s="921" t="s">
        <v>17473</v>
      </c>
      <c r="C73" s="430"/>
      <c r="D73" s="430" t="s">
        <v>20440</v>
      </c>
      <c r="E73" s="432" t="s">
        <v>20745</v>
      </c>
      <c r="F73" s="430"/>
      <c r="G73" s="430" t="s">
        <v>29</v>
      </c>
      <c r="H73" s="430" t="s">
        <v>30</v>
      </c>
      <c r="I73" s="430"/>
      <c r="J73" s="430" t="s">
        <v>30</v>
      </c>
      <c r="K73" s="430">
        <v>80.0</v>
      </c>
      <c r="L73" s="430"/>
      <c r="M73" s="430"/>
      <c r="N73" s="430" t="s">
        <v>151</v>
      </c>
      <c r="O73" s="430">
        <v>2015.0</v>
      </c>
      <c r="P73" s="430" t="s">
        <v>388</v>
      </c>
      <c r="Q73" s="430">
        <v>1.0</v>
      </c>
      <c r="R73" s="819"/>
      <c r="S73" s="74"/>
      <c r="T73" s="74"/>
      <c r="U73" s="74"/>
      <c r="V73" s="74"/>
      <c r="W73" s="74"/>
      <c r="X73" s="74"/>
      <c r="Y73" s="74"/>
      <c r="Z73" s="74"/>
      <c r="AA73" s="74"/>
      <c r="AB73" s="74"/>
      <c r="AC73" s="74"/>
      <c r="AD73" s="74"/>
      <c r="AE73" s="74"/>
      <c r="AF73" s="74"/>
      <c r="AG73" s="74"/>
      <c r="AH73" s="74"/>
      <c r="AI73" s="74"/>
      <c r="AJ73" s="74"/>
      <c r="AK73" s="74"/>
    </row>
    <row r="74" ht="15.75" customHeight="1">
      <c r="A74" s="74"/>
      <c r="B74" s="921" t="s">
        <v>17476</v>
      </c>
      <c r="C74" s="430"/>
      <c r="D74" s="430" t="s">
        <v>20440</v>
      </c>
      <c r="E74" s="432" t="s">
        <v>20746</v>
      </c>
      <c r="F74" s="430"/>
      <c r="G74" s="430" t="s">
        <v>29</v>
      </c>
      <c r="H74" s="430" t="s">
        <v>30</v>
      </c>
      <c r="I74" s="430"/>
      <c r="J74" s="430" t="s">
        <v>30</v>
      </c>
      <c r="K74" s="430">
        <v>80.0</v>
      </c>
      <c r="L74" s="430"/>
      <c r="M74" s="430"/>
      <c r="N74" s="430" t="s">
        <v>151</v>
      </c>
      <c r="O74" s="430">
        <v>2015.0</v>
      </c>
      <c r="P74" s="430" t="s">
        <v>388</v>
      </c>
      <c r="Q74" s="430">
        <v>1.0</v>
      </c>
      <c r="R74" s="819"/>
      <c r="S74" s="74"/>
      <c r="T74" s="74"/>
      <c r="U74" s="74"/>
      <c r="V74" s="74"/>
      <c r="W74" s="74"/>
      <c r="X74" s="74"/>
      <c r="Y74" s="74"/>
      <c r="Z74" s="74"/>
      <c r="AA74" s="74"/>
      <c r="AB74" s="74"/>
      <c r="AC74" s="74"/>
      <c r="AD74" s="74"/>
      <c r="AE74" s="74"/>
      <c r="AF74" s="74"/>
      <c r="AG74" s="74"/>
      <c r="AH74" s="74"/>
      <c r="AI74" s="74"/>
      <c r="AJ74" s="74"/>
      <c r="AK74" s="74"/>
    </row>
    <row r="75" ht="15.75" customHeight="1">
      <c r="A75" s="74"/>
      <c r="B75" s="921" t="s">
        <v>17481</v>
      </c>
      <c r="C75" s="430"/>
      <c r="D75" s="430" t="s">
        <v>20440</v>
      </c>
      <c r="E75" s="432" t="s">
        <v>20747</v>
      </c>
      <c r="F75" s="430"/>
      <c r="G75" s="430" t="s">
        <v>29</v>
      </c>
      <c r="H75" s="430" t="s">
        <v>30</v>
      </c>
      <c r="I75" s="430"/>
      <c r="J75" s="430" t="s">
        <v>30</v>
      </c>
      <c r="K75" s="430">
        <v>80.0</v>
      </c>
      <c r="L75" s="430"/>
      <c r="M75" s="430"/>
      <c r="N75" s="430" t="s">
        <v>151</v>
      </c>
      <c r="O75" s="430">
        <v>2015.0</v>
      </c>
      <c r="P75" s="430" t="s">
        <v>388</v>
      </c>
      <c r="Q75" s="430">
        <v>1.0</v>
      </c>
      <c r="R75" s="819"/>
      <c r="S75" s="74"/>
      <c r="T75" s="74"/>
      <c r="U75" s="74"/>
      <c r="V75" s="74"/>
      <c r="W75" s="74"/>
      <c r="X75" s="74"/>
      <c r="Y75" s="74"/>
      <c r="Z75" s="74"/>
      <c r="AA75" s="74"/>
      <c r="AB75" s="74"/>
      <c r="AC75" s="74"/>
      <c r="AD75" s="74"/>
      <c r="AE75" s="74"/>
      <c r="AF75" s="74"/>
      <c r="AG75" s="74"/>
      <c r="AH75" s="74"/>
      <c r="AI75" s="74"/>
      <c r="AJ75" s="74"/>
      <c r="AK75" s="74"/>
    </row>
    <row r="76" ht="15.75" customHeight="1">
      <c r="A76" s="3"/>
      <c r="B76" s="921" t="s">
        <v>17486</v>
      </c>
      <c r="C76" s="430"/>
      <c r="D76" s="430" t="s">
        <v>20440</v>
      </c>
      <c r="E76" s="432" t="s">
        <v>20748</v>
      </c>
      <c r="F76" s="430"/>
      <c r="G76" s="430" t="s">
        <v>29</v>
      </c>
      <c r="H76" s="430" t="s">
        <v>30</v>
      </c>
      <c r="I76" s="430"/>
      <c r="J76" s="430" t="s">
        <v>30</v>
      </c>
      <c r="K76" s="430">
        <v>80.0</v>
      </c>
      <c r="L76" s="430"/>
      <c r="M76" s="430"/>
      <c r="N76" s="430" t="s">
        <v>151</v>
      </c>
      <c r="O76" s="430">
        <v>2015.0</v>
      </c>
      <c r="P76" s="430" t="s">
        <v>388</v>
      </c>
      <c r="Q76" s="430">
        <v>1.0</v>
      </c>
      <c r="R76" s="471"/>
      <c r="S76" s="3"/>
      <c r="T76" s="3"/>
      <c r="U76" s="3"/>
      <c r="V76" s="3"/>
      <c r="W76" s="3"/>
      <c r="X76" s="3"/>
      <c r="Y76" s="3"/>
      <c r="Z76" s="3"/>
      <c r="AA76" s="3"/>
      <c r="AB76" s="3"/>
      <c r="AC76" s="3"/>
      <c r="AD76" s="3"/>
      <c r="AE76" s="3"/>
      <c r="AF76" s="3"/>
      <c r="AG76" s="3"/>
      <c r="AH76" s="3"/>
      <c r="AI76" s="3"/>
      <c r="AJ76" s="3"/>
      <c r="AK76" s="3"/>
    </row>
    <row r="77" ht="15.75" customHeight="1">
      <c r="A77" s="3"/>
      <c r="B77" s="921" t="s">
        <v>17492</v>
      </c>
      <c r="C77" s="430"/>
      <c r="D77" s="430" t="s">
        <v>20440</v>
      </c>
      <c r="E77" s="432" t="s">
        <v>20749</v>
      </c>
      <c r="F77" s="430"/>
      <c r="G77" s="430" t="s">
        <v>29</v>
      </c>
      <c r="H77" s="430" t="s">
        <v>30</v>
      </c>
      <c r="I77" s="430"/>
      <c r="J77" s="430" t="s">
        <v>30</v>
      </c>
      <c r="K77" s="430">
        <v>80.0</v>
      </c>
      <c r="L77" s="430"/>
      <c r="M77" s="430"/>
      <c r="N77" s="430" t="s">
        <v>151</v>
      </c>
      <c r="O77" s="430">
        <v>2015.0</v>
      </c>
      <c r="P77" s="430" t="s">
        <v>388</v>
      </c>
      <c r="Q77" s="430">
        <v>1.0</v>
      </c>
      <c r="R77" s="471"/>
      <c r="S77" s="3"/>
      <c r="T77" s="3"/>
      <c r="U77" s="3"/>
      <c r="V77" s="3"/>
      <c r="W77" s="3"/>
      <c r="X77" s="3"/>
      <c r="Y77" s="3"/>
      <c r="Z77" s="3"/>
      <c r="AA77" s="3"/>
      <c r="AB77" s="3"/>
      <c r="AC77" s="3"/>
      <c r="AD77" s="3"/>
      <c r="AE77" s="3"/>
      <c r="AF77" s="3"/>
      <c r="AG77" s="3"/>
      <c r="AH77" s="3"/>
      <c r="AI77" s="3"/>
      <c r="AJ77" s="3"/>
      <c r="AK77" s="3"/>
    </row>
    <row r="78" ht="15.75" customHeight="1">
      <c r="A78" s="3"/>
      <c r="B78" s="921" t="s">
        <v>17503</v>
      </c>
      <c r="C78" s="430"/>
      <c r="D78" s="430" t="s">
        <v>20440</v>
      </c>
      <c r="E78" s="432" t="s">
        <v>20750</v>
      </c>
      <c r="F78" s="430"/>
      <c r="G78" s="430" t="s">
        <v>29</v>
      </c>
      <c r="H78" s="430" t="s">
        <v>30</v>
      </c>
      <c r="I78" s="430"/>
      <c r="J78" s="430" t="s">
        <v>30</v>
      </c>
      <c r="K78" s="430">
        <v>80.0</v>
      </c>
      <c r="L78" s="430"/>
      <c r="M78" s="430"/>
      <c r="N78" s="430" t="s">
        <v>151</v>
      </c>
      <c r="O78" s="430">
        <v>2015.0</v>
      </c>
      <c r="P78" s="430" t="s">
        <v>388</v>
      </c>
      <c r="Q78" s="430">
        <v>1.0</v>
      </c>
      <c r="R78" s="471"/>
      <c r="S78" s="3"/>
      <c r="T78" s="3"/>
      <c r="U78" s="3"/>
      <c r="V78" s="3"/>
      <c r="W78" s="3"/>
      <c r="X78" s="3"/>
      <c r="Y78" s="3"/>
      <c r="Z78" s="3"/>
      <c r="AA78" s="3"/>
      <c r="AB78" s="3"/>
      <c r="AC78" s="3"/>
      <c r="AD78" s="3"/>
      <c r="AE78" s="3"/>
      <c r="AF78" s="3"/>
      <c r="AG78" s="3"/>
      <c r="AH78" s="3"/>
      <c r="AI78" s="3"/>
      <c r="AJ78" s="3"/>
      <c r="AK78" s="3"/>
    </row>
    <row r="79" ht="15.75" customHeight="1">
      <c r="A79" s="3"/>
      <c r="B79" s="921" t="s">
        <v>17508</v>
      </c>
      <c r="C79" s="430"/>
      <c r="D79" s="430" t="s">
        <v>20440</v>
      </c>
      <c r="E79" s="432" t="s">
        <v>20751</v>
      </c>
      <c r="F79" s="430"/>
      <c r="G79" s="430" t="s">
        <v>29</v>
      </c>
      <c r="H79" s="430" t="s">
        <v>30</v>
      </c>
      <c r="I79" s="430"/>
      <c r="J79" s="430" t="s">
        <v>30</v>
      </c>
      <c r="K79" s="430">
        <v>80.0</v>
      </c>
      <c r="L79" s="430"/>
      <c r="M79" s="430"/>
      <c r="N79" s="430" t="s">
        <v>151</v>
      </c>
      <c r="O79" s="430">
        <v>2015.0</v>
      </c>
      <c r="P79" s="430" t="s">
        <v>388</v>
      </c>
      <c r="Q79" s="430">
        <v>1.0</v>
      </c>
      <c r="R79" s="471"/>
      <c r="S79" s="3"/>
      <c r="T79" s="3"/>
      <c r="U79" s="3"/>
      <c r="V79" s="3"/>
      <c r="W79" s="3"/>
      <c r="X79" s="3"/>
      <c r="Y79" s="3"/>
      <c r="Z79" s="3"/>
      <c r="AA79" s="3"/>
      <c r="AB79" s="3"/>
      <c r="AC79" s="3"/>
      <c r="AD79" s="3"/>
      <c r="AE79" s="3"/>
      <c r="AF79" s="3"/>
      <c r="AG79" s="3"/>
      <c r="AH79" s="3"/>
      <c r="AI79" s="3"/>
      <c r="AJ79" s="3"/>
      <c r="AK79" s="3"/>
    </row>
    <row r="80" ht="15.75" customHeight="1">
      <c r="A80" s="3"/>
      <c r="B80" s="921" t="s">
        <v>17511</v>
      </c>
      <c r="C80" s="430"/>
      <c r="D80" s="430" t="s">
        <v>20440</v>
      </c>
      <c r="E80" s="432" t="s">
        <v>20752</v>
      </c>
      <c r="F80" s="430"/>
      <c r="G80" s="430" t="s">
        <v>29</v>
      </c>
      <c r="H80" s="430" t="s">
        <v>30</v>
      </c>
      <c r="I80" s="430"/>
      <c r="J80" s="430" t="s">
        <v>30</v>
      </c>
      <c r="K80" s="430">
        <v>80.0</v>
      </c>
      <c r="L80" s="430"/>
      <c r="M80" s="430"/>
      <c r="N80" s="430" t="s">
        <v>151</v>
      </c>
      <c r="O80" s="430">
        <v>2015.0</v>
      </c>
      <c r="P80" s="430" t="s">
        <v>388</v>
      </c>
      <c r="Q80" s="430">
        <v>1.0</v>
      </c>
      <c r="R80" s="471"/>
      <c r="S80" s="3"/>
      <c r="T80" s="3"/>
      <c r="U80" s="3"/>
      <c r="V80" s="3"/>
      <c r="W80" s="3"/>
      <c r="X80" s="3"/>
      <c r="Y80" s="3"/>
      <c r="Z80" s="3"/>
      <c r="AA80" s="3"/>
      <c r="AB80" s="3"/>
      <c r="AC80" s="3"/>
      <c r="AD80" s="3"/>
      <c r="AE80" s="3"/>
      <c r="AF80" s="3"/>
      <c r="AG80" s="3"/>
      <c r="AH80" s="3"/>
      <c r="AI80" s="3"/>
      <c r="AJ80" s="3"/>
      <c r="AK80" s="3"/>
    </row>
    <row r="81" ht="15.75" customHeight="1">
      <c r="A81" s="3"/>
      <c r="B81" s="921" t="s">
        <v>17514</v>
      </c>
      <c r="C81" s="430"/>
      <c r="D81" s="430" t="s">
        <v>20440</v>
      </c>
      <c r="E81" s="432" t="s">
        <v>20753</v>
      </c>
      <c r="F81" s="430"/>
      <c r="G81" s="430" t="s">
        <v>29</v>
      </c>
      <c r="H81" s="430" t="s">
        <v>30</v>
      </c>
      <c r="I81" s="430"/>
      <c r="J81" s="430" t="s">
        <v>30</v>
      </c>
      <c r="K81" s="430">
        <v>80.0</v>
      </c>
      <c r="L81" s="430"/>
      <c r="M81" s="430"/>
      <c r="N81" s="430" t="s">
        <v>151</v>
      </c>
      <c r="O81" s="430">
        <v>2015.0</v>
      </c>
      <c r="P81" s="430" t="s">
        <v>388</v>
      </c>
      <c r="Q81" s="430">
        <v>1.0</v>
      </c>
      <c r="R81" s="471"/>
      <c r="S81" s="3"/>
      <c r="T81" s="3"/>
      <c r="U81" s="3"/>
      <c r="V81" s="3"/>
      <c r="W81" s="3"/>
      <c r="X81" s="3"/>
      <c r="Y81" s="3"/>
      <c r="Z81" s="3"/>
      <c r="AA81" s="3"/>
      <c r="AB81" s="3"/>
      <c r="AC81" s="3"/>
      <c r="AD81" s="3"/>
      <c r="AE81" s="3"/>
      <c r="AF81" s="3"/>
      <c r="AG81" s="3"/>
      <c r="AH81" s="3"/>
      <c r="AI81" s="3"/>
      <c r="AJ81" s="3"/>
      <c r="AK81" s="3"/>
    </row>
    <row r="82" ht="15.75" customHeight="1">
      <c r="A82" s="3"/>
      <c r="B82" s="921" t="s">
        <v>17518</v>
      </c>
      <c r="C82" s="430"/>
      <c r="D82" s="430" t="s">
        <v>20440</v>
      </c>
      <c r="E82" s="432" t="s">
        <v>20754</v>
      </c>
      <c r="F82" s="430"/>
      <c r="G82" s="430" t="s">
        <v>29</v>
      </c>
      <c r="H82" s="430" t="s">
        <v>30</v>
      </c>
      <c r="I82" s="430"/>
      <c r="J82" s="430" t="s">
        <v>30</v>
      </c>
      <c r="K82" s="430">
        <v>80.0</v>
      </c>
      <c r="L82" s="430"/>
      <c r="M82" s="430"/>
      <c r="N82" s="430" t="s">
        <v>151</v>
      </c>
      <c r="O82" s="430">
        <v>2015.0</v>
      </c>
      <c r="P82" s="430" t="s">
        <v>388</v>
      </c>
      <c r="Q82" s="430">
        <v>1.0</v>
      </c>
      <c r="R82" s="471"/>
      <c r="S82" s="3"/>
      <c r="T82" s="3"/>
      <c r="U82" s="3"/>
      <c r="V82" s="3"/>
      <c r="W82" s="3"/>
      <c r="X82" s="3"/>
      <c r="Y82" s="3"/>
      <c r="Z82" s="3"/>
      <c r="AA82" s="3"/>
      <c r="AB82" s="3"/>
      <c r="AC82" s="3"/>
      <c r="AD82" s="3"/>
      <c r="AE82" s="3"/>
      <c r="AF82" s="3"/>
      <c r="AG82" s="3"/>
      <c r="AH82" s="3"/>
      <c r="AI82" s="3"/>
      <c r="AJ82" s="3"/>
      <c r="AK82" s="3"/>
    </row>
    <row r="83" ht="15.75" customHeight="1">
      <c r="A83" s="3"/>
      <c r="B83" s="921" t="s">
        <v>17522</v>
      </c>
      <c r="C83" s="430"/>
      <c r="D83" s="430"/>
      <c r="E83" s="432"/>
      <c r="F83" s="430"/>
      <c r="G83" s="430"/>
      <c r="H83" s="430"/>
      <c r="I83" s="430"/>
      <c r="J83" s="430"/>
      <c r="K83" s="430"/>
      <c r="L83" s="430"/>
      <c r="M83" s="430"/>
      <c r="N83" s="430"/>
      <c r="O83" s="430"/>
      <c r="P83" s="430"/>
      <c r="Q83" s="430"/>
      <c r="R83" s="471"/>
      <c r="S83" s="3"/>
      <c r="T83" s="3"/>
      <c r="U83" s="3"/>
      <c r="V83" s="3"/>
      <c r="W83" s="3"/>
      <c r="X83" s="3"/>
      <c r="Y83" s="3"/>
      <c r="Z83" s="3"/>
      <c r="AA83" s="3"/>
      <c r="AB83" s="3"/>
      <c r="AC83" s="3"/>
      <c r="AD83" s="3"/>
      <c r="AE83" s="3"/>
      <c r="AF83" s="3"/>
      <c r="AG83" s="3"/>
      <c r="AH83" s="3"/>
      <c r="AI83" s="3"/>
      <c r="AJ83" s="3"/>
      <c r="AK83" s="3"/>
    </row>
    <row r="84" ht="15.75" customHeight="1">
      <c r="A84" s="3"/>
      <c r="B84" s="921" t="s">
        <v>17525</v>
      </c>
      <c r="C84" s="430"/>
      <c r="D84" s="430" t="s">
        <v>20440</v>
      </c>
      <c r="E84" s="432" t="s">
        <v>20755</v>
      </c>
      <c r="F84" s="430"/>
      <c r="G84" s="430" t="s">
        <v>29</v>
      </c>
      <c r="H84" s="430" t="s">
        <v>30</v>
      </c>
      <c r="I84" s="430"/>
      <c r="J84" s="430" t="s">
        <v>30</v>
      </c>
      <c r="K84" s="430">
        <v>80.0</v>
      </c>
      <c r="L84" s="430"/>
      <c r="M84" s="430"/>
      <c r="N84" s="430" t="s">
        <v>151</v>
      </c>
      <c r="O84" s="430">
        <v>2015.0</v>
      </c>
      <c r="P84" s="430" t="s">
        <v>388</v>
      </c>
      <c r="Q84" s="430">
        <v>1.0</v>
      </c>
      <c r="R84" s="471"/>
      <c r="S84" s="3"/>
      <c r="T84" s="3"/>
      <c r="U84" s="3"/>
      <c r="V84" s="3"/>
      <c r="W84" s="3"/>
      <c r="X84" s="3"/>
      <c r="Y84" s="3"/>
      <c r="Z84" s="3"/>
      <c r="AA84" s="3"/>
      <c r="AB84" s="3"/>
      <c r="AC84" s="3"/>
      <c r="AD84" s="3"/>
      <c r="AE84" s="3"/>
      <c r="AF84" s="3"/>
      <c r="AG84" s="3"/>
      <c r="AH84" s="3"/>
      <c r="AI84" s="3"/>
      <c r="AJ84" s="3"/>
      <c r="AK84" s="3"/>
    </row>
    <row r="85" ht="15.75" customHeight="1">
      <c r="A85" s="3"/>
      <c r="B85" s="921" t="s">
        <v>17530</v>
      </c>
      <c r="C85" s="430"/>
      <c r="D85" s="430" t="s">
        <v>20440</v>
      </c>
      <c r="E85" s="432" t="s">
        <v>20756</v>
      </c>
      <c r="F85" s="430"/>
      <c r="G85" s="430" t="s">
        <v>29</v>
      </c>
      <c r="H85" s="430" t="s">
        <v>30</v>
      </c>
      <c r="I85" s="430"/>
      <c r="J85" s="430" t="s">
        <v>30</v>
      </c>
      <c r="K85" s="430">
        <v>80.0</v>
      </c>
      <c r="L85" s="430"/>
      <c r="M85" s="430"/>
      <c r="N85" s="430" t="s">
        <v>151</v>
      </c>
      <c r="O85" s="430">
        <v>2015.0</v>
      </c>
      <c r="P85" s="430" t="s">
        <v>388</v>
      </c>
      <c r="Q85" s="430">
        <v>1.0</v>
      </c>
      <c r="R85" s="471"/>
      <c r="S85" s="3"/>
      <c r="T85" s="3"/>
      <c r="U85" s="3"/>
      <c r="V85" s="3"/>
      <c r="W85" s="3"/>
      <c r="X85" s="3"/>
      <c r="Y85" s="3"/>
      <c r="Z85" s="3"/>
      <c r="AA85" s="3"/>
      <c r="AB85" s="3"/>
      <c r="AC85" s="3"/>
      <c r="AD85" s="3"/>
      <c r="AE85" s="3"/>
      <c r="AF85" s="3"/>
      <c r="AG85" s="3"/>
      <c r="AH85" s="3"/>
      <c r="AI85" s="3"/>
      <c r="AJ85" s="3"/>
      <c r="AK85" s="3"/>
    </row>
    <row r="86" ht="15.75" customHeight="1">
      <c r="A86" s="3"/>
      <c r="B86" s="921" t="s">
        <v>17532</v>
      </c>
      <c r="C86" s="430"/>
      <c r="D86" s="430" t="s">
        <v>20440</v>
      </c>
      <c r="E86" s="432" t="s">
        <v>20757</v>
      </c>
      <c r="F86" s="430"/>
      <c r="G86" s="430" t="s">
        <v>29</v>
      </c>
      <c r="H86" s="430" t="s">
        <v>30</v>
      </c>
      <c r="I86" s="430"/>
      <c r="J86" s="430" t="s">
        <v>30</v>
      </c>
      <c r="K86" s="430">
        <v>84.0</v>
      </c>
      <c r="L86" s="430"/>
      <c r="M86" s="430"/>
      <c r="N86" s="430" t="s">
        <v>151</v>
      </c>
      <c r="O86" s="430">
        <v>2015.0</v>
      </c>
      <c r="P86" s="430" t="s">
        <v>388</v>
      </c>
      <c r="Q86" s="430">
        <v>1.0</v>
      </c>
      <c r="R86" s="471"/>
      <c r="S86" s="3"/>
      <c r="T86" s="3"/>
      <c r="U86" s="3"/>
      <c r="V86" s="3"/>
      <c r="W86" s="3"/>
      <c r="X86" s="3"/>
      <c r="Y86" s="3"/>
      <c r="Z86" s="3"/>
      <c r="AA86" s="3"/>
      <c r="AB86" s="3"/>
      <c r="AC86" s="3"/>
      <c r="AD86" s="3"/>
      <c r="AE86" s="3"/>
      <c r="AF86" s="3"/>
      <c r="AG86" s="3"/>
      <c r="AH86" s="3"/>
      <c r="AI86" s="3"/>
      <c r="AJ86" s="3"/>
      <c r="AK86" s="3"/>
    </row>
    <row r="87" ht="15.75" customHeight="1">
      <c r="A87" s="3"/>
      <c r="B87" s="921" t="s">
        <v>17535</v>
      </c>
      <c r="C87" s="430"/>
      <c r="D87" s="430" t="s">
        <v>20440</v>
      </c>
      <c r="E87" s="432" t="s">
        <v>20758</v>
      </c>
      <c r="F87" s="430"/>
      <c r="G87" s="430" t="s">
        <v>29</v>
      </c>
      <c r="H87" s="430" t="s">
        <v>30</v>
      </c>
      <c r="I87" s="430"/>
      <c r="J87" s="430" t="s">
        <v>30</v>
      </c>
      <c r="K87" s="430">
        <v>84.0</v>
      </c>
      <c r="L87" s="430"/>
      <c r="M87" s="430"/>
      <c r="N87" s="430" t="s">
        <v>151</v>
      </c>
      <c r="O87" s="430">
        <v>2015.0</v>
      </c>
      <c r="P87" s="430" t="s">
        <v>388</v>
      </c>
      <c r="Q87" s="430">
        <v>1.0</v>
      </c>
      <c r="R87" s="471"/>
      <c r="S87" s="3"/>
      <c r="T87" s="3"/>
      <c r="U87" s="3"/>
      <c r="V87" s="3"/>
      <c r="W87" s="3"/>
      <c r="X87" s="3"/>
      <c r="Y87" s="3"/>
      <c r="Z87" s="3"/>
      <c r="AA87" s="3"/>
      <c r="AB87" s="3"/>
      <c r="AC87" s="3"/>
      <c r="AD87" s="3"/>
      <c r="AE87" s="3"/>
      <c r="AF87" s="3"/>
      <c r="AG87" s="3"/>
      <c r="AH87" s="3"/>
      <c r="AI87" s="3"/>
      <c r="AJ87" s="3"/>
      <c r="AK87" s="3"/>
    </row>
    <row r="88" ht="15.75" customHeight="1">
      <c r="A88" s="3"/>
      <c r="B88" s="921" t="s">
        <v>17538</v>
      </c>
      <c r="C88" s="430"/>
      <c r="D88" s="430" t="s">
        <v>20440</v>
      </c>
      <c r="E88" s="432" t="s">
        <v>20759</v>
      </c>
      <c r="F88" s="430"/>
      <c r="G88" s="430" t="s">
        <v>29</v>
      </c>
      <c r="H88" s="430" t="s">
        <v>30</v>
      </c>
      <c r="I88" s="430"/>
      <c r="J88" s="430" t="s">
        <v>30</v>
      </c>
      <c r="K88" s="430">
        <v>84.0</v>
      </c>
      <c r="L88" s="430"/>
      <c r="M88" s="430"/>
      <c r="N88" s="430" t="s">
        <v>151</v>
      </c>
      <c r="O88" s="430">
        <v>2015.0</v>
      </c>
      <c r="P88" s="430" t="s">
        <v>388</v>
      </c>
      <c r="Q88" s="430">
        <v>1.0</v>
      </c>
      <c r="R88" s="471"/>
      <c r="S88" s="3"/>
      <c r="T88" s="3"/>
      <c r="U88" s="3"/>
      <c r="V88" s="3"/>
      <c r="W88" s="3"/>
      <c r="X88" s="3"/>
      <c r="Y88" s="3"/>
      <c r="Z88" s="3"/>
      <c r="AA88" s="3"/>
      <c r="AB88" s="3"/>
      <c r="AC88" s="3"/>
      <c r="AD88" s="3"/>
      <c r="AE88" s="3"/>
      <c r="AF88" s="3"/>
      <c r="AG88" s="3"/>
      <c r="AH88" s="3"/>
      <c r="AI88" s="3"/>
      <c r="AJ88" s="3"/>
      <c r="AK88" s="3"/>
    </row>
    <row r="89" ht="15.75" customHeight="1">
      <c r="A89" s="3"/>
      <c r="B89" s="921" t="s">
        <v>17543</v>
      </c>
      <c r="C89" s="430"/>
      <c r="D89" s="430" t="s">
        <v>20440</v>
      </c>
      <c r="E89" s="432" t="s">
        <v>20760</v>
      </c>
      <c r="F89" s="430"/>
      <c r="G89" s="430" t="s">
        <v>29</v>
      </c>
      <c r="H89" s="430" t="s">
        <v>30</v>
      </c>
      <c r="I89" s="430"/>
      <c r="J89" s="430" t="s">
        <v>30</v>
      </c>
      <c r="K89" s="430">
        <v>80.0</v>
      </c>
      <c r="L89" s="430"/>
      <c r="M89" s="430"/>
      <c r="N89" s="430" t="s">
        <v>151</v>
      </c>
      <c r="O89" s="430">
        <v>2015.0</v>
      </c>
      <c r="P89" s="430" t="s">
        <v>388</v>
      </c>
      <c r="Q89" s="430">
        <v>1.0</v>
      </c>
      <c r="R89" s="471"/>
      <c r="S89" s="3"/>
      <c r="T89" s="3"/>
      <c r="U89" s="3"/>
      <c r="V89" s="3"/>
      <c r="W89" s="3"/>
      <c r="X89" s="3"/>
      <c r="Y89" s="3"/>
      <c r="Z89" s="3"/>
      <c r="AA89" s="3"/>
      <c r="AB89" s="3"/>
      <c r="AC89" s="3"/>
      <c r="AD89" s="3"/>
      <c r="AE89" s="3"/>
      <c r="AF89" s="3"/>
      <c r="AG89" s="3"/>
      <c r="AH89" s="3"/>
      <c r="AI89" s="3"/>
      <c r="AJ89" s="3"/>
      <c r="AK89" s="3"/>
    </row>
    <row r="90" ht="15.75" customHeight="1">
      <c r="A90" s="3"/>
      <c r="B90" s="921" t="s">
        <v>17544</v>
      </c>
      <c r="C90" s="430"/>
      <c r="D90" s="430" t="s">
        <v>20440</v>
      </c>
      <c r="E90" s="432" t="s">
        <v>20761</v>
      </c>
      <c r="F90" s="430"/>
      <c r="G90" s="430" t="s">
        <v>29</v>
      </c>
      <c r="H90" s="430" t="s">
        <v>30</v>
      </c>
      <c r="I90" s="430"/>
      <c r="J90" s="430" t="s">
        <v>30</v>
      </c>
      <c r="K90" s="430">
        <v>88.0</v>
      </c>
      <c r="L90" s="430"/>
      <c r="M90" s="430"/>
      <c r="N90" s="430" t="s">
        <v>151</v>
      </c>
      <c r="O90" s="430">
        <v>2015.0</v>
      </c>
      <c r="P90" s="430" t="s">
        <v>388</v>
      </c>
      <c r="Q90" s="430">
        <v>1.0</v>
      </c>
      <c r="R90" s="471"/>
      <c r="S90" s="3"/>
      <c r="T90" s="3"/>
      <c r="U90" s="3"/>
      <c r="V90" s="3"/>
      <c r="W90" s="3"/>
      <c r="X90" s="3"/>
      <c r="Y90" s="3"/>
      <c r="Z90" s="3"/>
      <c r="AA90" s="3"/>
      <c r="AB90" s="3"/>
      <c r="AC90" s="3"/>
      <c r="AD90" s="3"/>
      <c r="AE90" s="3"/>
      <c r="AF90" s="3"/>
      <c r="AG90" s="3"/>
      <c r="AH90" s="3"/>
      <c r="AI90" s="3"/>
      <c r="AJ90" s="3"/>
      <c r="AK90" s="3"/>
    </row>
    <row r="91" ht="15.75" hidden="1" customHeight="1">
      <c r="A91" s="3"/>
      <c r="B91" s="921" t="s">
        <v>17545</v>
      </c>
      <c r="C91" s="430"/>
      <c r="D91" s="430" t="s">
        <v>20440</v>
      </c>
      <c r="E91" s="432" t="s">
        <v>20762</v>
      </c>
      <c r="F91" s="430"/>
      <c r="G91" s="430" t="s">
        <v>29</v>
      </c>
      <c r="H91" s="430" t="s">
        <v>30</v>
      </c>
      <c r="I91" s="430"/>
      <c r="J91" s="430" t="s">
        <v>30</v>
      </c>
      <c r="K91" s="430">
        <v>84.0</v>
      </c>
      <c r="L91" s="430"/>
      <c r="M91" s="430"/>
      <c r="N91" s="430" t="s">
        <v>151</v>
      </c>
      <c r="O91" s="430">
        <v>2015.0</v>
      </c>
      <c r="P91" s="430" t="s">
        <v>388</v>
      </c>
      <c r="Q91" s="430">
        <v>1.0</v>
      </c>
      <c r="R91" s="471"/>
      <c r="S91" s="3"/>
      <c r="T91" s="3"/>
      <c r="U91" s="3"/>
      <c r="V91" s="3"/>
      <c r="W91" s="3"/>
      <c r="X91" s="3"/>
      <c r="Y91" s="3"/>
      <c r="Z91" s="3"/>
      <c r="AA91" s="3"/>
      <c r="AB91" s="3"/>
      <c r="AC91" s="3"/>
      <c r="AD91" s="3"/>
      <c r="AE91" s="3"/>
      <c r="AF91" s="3"/>
      <c r="AG91" s="3"/>
      <c r="AH91" s="3"/>
      <c r="AI91" s="3"/>
      <c r="AJ91" s="3"/>
      <c r="AK91" s="3"/>
    </row>
    <row r="92" ht="15.75" customHeight="1">
      <c r="A92" s="3"/>
      <c r="B92" s="921" t="s">
        <v>17551</v>
      </c>
      <c r="C92" s="430"/>
      <c r="D92" s="430" t="s">
        <v>20440</v>
      </c>
      <c r="E92" s="432" t="s">
        <v>20763</v>
      </c>
      <c r="F92" s="430"/>
      <c r="G92" s="430" t="s">
        <v>29</v>
      </c>
      <c r="H92" s="430" t="s">
        <v>30</v>
      </c>
      <c r="I92" s="430"/>
      <c r="J92" s="430" t="s">
        <v>30</v>
      </c>
      <c r="K92" s="430">
        <v>82.0</v>
      </c>
      <c r="L92" s="430"/>
      <c r="M92" s="430"/>
      <c r="N92" s="430" t="s">
        <v>151</v>
      </c>
      <c r="O92" s="430">
        <v>2015.0</v>
      </c>
      <c r="P92" s="430" t="s">
        <v>388</v>
      </c>
      <c r="Q92" s="430">
        <v>1.0</v>
      </c>
      <c r="R92" s="471"/>
      <c r="S92" s="3"/>
      <c r="T92" s="3"/>
      <c r="U92" s="3"/>
      <c r="V92" s="3"/>
      <c r="W92" s="3"/>
      <c r="X92" s="3"/>
      <c r="Y92" s="3"/>
      <c r="Z92" s="3"/>
      <c r="AA92" s="3"/>
      <c r="AB92" s="3"/>
      <c r="AC92" s="3"/>
      <c r="AD92" s="3"/>
      <c r="AE92" s="3"/>
      <c r="AF92" s="3"/>
      <c r="AG92" s="3"/>
      <c r="AH92" s="3"/>
      <c r="AI92" s="3"/>
      <c r="AJ92" s="3"/>
      <c r="AK92" s="3"/>
    </row>
    <row r="93" ht="15.75" customHeight="1">
      <c r="A93" s="3"/>
      <c r="B93" s="921" t="s">
        <v>17555</v>
      </c>
      <c r="C93" s="430"/>
      <c r="D93" s="430" t="s">
        <v>20440</v>
      </c>
      <c r="E93" s="432" t="s">
        <v>20764</v>
      </c>
      <c r="F93" s="430"/>
      <c r="G93" s="430" t="s">
        <v>29</v>
      </c>
      <c r="H93" s="430" t="s">
        <v>30</v>
      </c>
      <c r="I93" s="430"/>
      <c r="J93" s="430" t="s">
        <v>30</v>
      </c>
      <c r="K93" s="430">
        <v>84.0</v>
      </c>
      <c r="L93" s="430"/>
      <c r="M93" s="430"/>
      <c r="N93" s="430" t="s">
        <v>151</v>
      </c>
      <c r="O93" s="430">
        <v>2015.0</v>
      </c>
      <c r="P93" s="430" t="s">
        <v>388</v>
      </c>
      <c r="Q93" s="430">
        <v>1.0</v>
      </c>
      <c r="R93" s="471"/>
      <c r="S93" s="3"/>
      <c r="T93" s="3"/>
      <c r="U93" s="3"/>
      <c r="V93" s="3"/>
      <c r="W93" s="3"/>
      <c r="X93" s="3"/>
      <c r="Y93" s="3"/>
      <c r="Z93" s="3"/>
      <c r="AA93" s="3"/>
      <c r="AB93" s="3"/>
      <c r="AC93" s="3"/>
      <c r="AD93" s="3"/>
      <c r="AE93" s="3"/>
      <c r="AF93" s="3"/>
      <c r="AG93" s="3"/>
      <c r="AH93" s="3"/>
      <c r="AI93" s="3"/>
      <c r="AJ93" s="3"/>
      <c r="AK93" s="3"/>
    </row>
    <row r="94" ht="15.75" customHeight="1">
      <c r="A94" s="3"/>
      <c r="B94" s="921" t="s">
        <v>17560</v>
      </c>
      <c r="C94" s="430"/>
      <c r="D94" s="430" t="s">
        <v>20440</v>
      </c>
      <c r="E94" s="432" t="s">
        <v>20703</v>
      </c>
      <c r="F94" s="430"/>
      <c r="G94" s="430" t="s">
        <v>29</v>
      </c>
      <c r="H94" s="430" t="s">
        <v>30</v>
      </c>
      <c r="I94" s="430"/>
      <c r="J94" s="430" t="s">
        <v>30</v>
      </c>
      <c r="K94" s="430">
        <v>84.0</v>
      </c>
      <c r="L94" s="430"/>
      <c r="M94" s="430"/>
      <c r="N94" s="430" t="s">
        <v>151</v>
      </c>
      <c r="O94" s="430">
        <v>2013.0</v>
      </c>
      <c r="P94" s="430" t="s">
        <v>388</v>
      </c>
      <c r="Q94" s="430">
        <v>1.0</v>
      </c>
      <c r="R94" s="471"/>
      <c r="S94" s="3"/>
      <c r="T94" s="3"/>
      <c r="U94" s="3"/>
      <c r="V94" s="3"/>
      <c r="W94" s="3"/>
      <c r="X94" s="3"/>
      <c r="Y94" s="3"/>
      <c r="Z94" s="3"/>
      <c r="AA94" s="3"/>
      <c r="AB94" s="3"/>
      <c r="AC94" s="3"/>
      <c r="AD94" s="3"/>
      <c r="AE94" s="3"/>
      <c r="AF94" s="3"/>
      <c r="AG94" s="3"/>
      <c r="AH94" s="3"/>
      <c r="AI94" s="3"/>
      <c r="AJ94" s="3"/>
      <c r="AK94" s="3"/>
    </row>
    <row r="95" ht="15.75" customHeight="1">
      <c r="A95" s="3"/>
      <c r="B95" s="921" t="s">
        <v>17564</v>
      </c>
      <c r="C95" s="430"/>
      <c r="D95" s="430" t="s">
        <v>20440</v>
      </c>
      <c r="E95" s="432" t="s">
        <v>20765</v>
      </c>
      <c r="F95" s="430"/>
      <c r="G95" s="430" t="s">
        <v>29</v>
      </c>
      <c r="H95" s="430" t="s">
        <v>30</v>
      </c>
      <c r="I95" s="430"/>
      <c r="J95" s="430" t="s">
        <v>30</v>
      </c>
      <c r="K95" s="430">
        <v>84.0</v>
      </c>
      <c r="L95" s="430"/>
      <c r="M95" s="430"/>
      <c r="N95" s="430" t="s">
        <v>151</v>
      </c>
      <c r="O95" s="430">
        <v>2012.0</v>
      </c>
      <c r="P95" s="430" t="s">
        <v>388</v>
      </c>
      <c r="Q95" s="430">
        <v>1.0</v>
      </c>
      <c r="R95" s="471"/>
      <c r="S95" s="3"/>
      <c r="T95" s="3"/>
      <c r="U95" s="3"/>
      <c r="V95" s="3"/>
      <c r="W95" s="3"/>
      <c r="X95" s="3"/>
      <c r="Y95" s="3"/>
      <c r="Z95" s="3"/>
      <c r="AA95" s="3"/>
      <c r="AB95" s="3"/>
      <c r="AC95" s="3"/>
      <c r="AD95" s="3"/>
      <c r="AE95" s="3"/>
      <c r="AF95" s="3"/>
      <c r="AG95" s="3"/>
      <c r="AH95" s="3"/>
      <c r="AI95" s="3"/>
      <c r="AJ95" s="3"/>
      <c r="AK95" s="3"/>
    </row>
    <row r="96" ht="15.75" customHeight="1">
      <c r="A96" s="3"/>
      <c r="B96" s="921" t="s">
        <v>17569</v>
      </c>
      <c r="C96" s="430"/>
      <c r="D96" s="430" t="s">
        <v>20440</v>
      </c>
      <c r="E96" s="432" t="s">
        <v>20766</v>
      </c>
      <c r="F96" s="430"/>
      <c r="G96" s="430" t="s">
        <v>29</v>
      </c>
      <c r="H96" s="430" t="s">
        <v>30</v>
      </c>
      <c r="I96" s="430"/>
      <c r="J96" s="430" t="s">
        <v>30</v>
      </c>
      <c r="K96" s="430">
        <v>84.0</v>
      </c>
      <c r="L96" s="430"/>
      <c r="M96" s="430"/>
      <c r="N96" s="430" t="s">
        <v>151</v>
      </c>
      <c r="O96" s="430">
        <v>2013.0</v>
      </c>
      <c r="P96" s="430" t="s">
        <v>388</v>
      </c>
      <c r="Q96" s="430">
        <v>1.0</v>
      </c>
      <c r="R96" s="471"/>
      <c r="S96" s="3"/>
      <c r="T96" s="3"/>
      <c r="U96" s="3"/>
      <c r="V96" s="3"/>
      <c r="W96" s="3"/>
      <c r="X96" s="3"/>
      <c r="Y96" s="3"/>
      <c r="Z96" s="3"/>
      <c r="AA96" s="3"/>
      <c r="AB96" s="3"/>
      <c r="AC96" s="3"/>
      <c r="AD96" s="3"/>
      <c r="AE96" s="3"/>
      <c r="AF96" s="3"/>
      <c r="AG96" s="3"/>
      <c r="AH96" s="3"/>
      <c r="AI96" s="3"/>
      <c r="AJ96" s="3"/>
      <c r="AK96" s="3"/>
    </row>
    <row r="97" ht="15.75" customHeight="1">
      <c r="A97" s="3"/>
      <c r="B97" s="921" t="s">
        <v>17572</v>
      </c>
      <c r="C97" s="430"/>
      <c r="D97" s="430" t="s">
        <v>20440</v>
      </c>
      <c r="E97" s="432" t="s">
        <v>20767</v>
      </c>
      <c r="F97" s="430"/>
      <c r="G97" s="430" t="s">
        <v>29</v>
      </c>
      <c r="H97" s="430" t="s">
        <v>30</v>
      </c>
      <c r="I97" s="430"/>
      <c r="J97" s="430" t="s">
        <v>30</v>
      </c>
      <c r="K97" s="430">
        <v>94.0</v>
      </c>
      <c r="L97" s="430"/>
      <c r="M97" s="430"/>
      <c r="N97" s="430" t="s">
        <v>151</v>
      </c>
      <c r="O97" s="430">
        <v>2012.0</v>
      </c>
      <c r="P97" s="430" t="s">
        <v>388</v>
      </c>
      <c r="Q97" s="430">
        <v>1.0</v>
      </c>
      <c r="R97" s="471"/>
      <c r="S97" s="3"/>
      <c r="T97" s="3"/>
      <c r="U97" s="3"/>
      <c r="V97" s="3"/>
      <c r="W97" s="3"/>
      <c r="X97" s="3"/>
      <c r="Y97" s="3"/>
      <c r="Z97" s="3"/>
      <c r="AA97" s="3"/>
      <c r="AB97" s="3"/>
      <c r="AC97" s="3"/>
      <c r="AD97" s="3"/>
      <c r="AE97" s="3"/>
      <c r="AF97" s="3"/>
      <c r="AG97" s="3"/>
      <c r="AH97" s="3"/>
      <c r="AI97" s="3"/>
      <c r="AJ97" s="3"/>
      <c r="AK97" s="3"/>
    </row>
    <row r="98" ht="15.75" customHeight="1">
      <c r="A98" s="3"/>
      <c r="B98" s="921" t="s">
        <v>17578</v>
      </c>
      <c r="C98" s="430"/>
      <c r="D98" s="430" t="s">
        <v>20440</v>
      </c>
      <c r="E98" s="432" t="s">
        <v>20768</v>
      </c>
      <c r="F98" s="430"/>
      <c r="G98" s="430" t="s">
        <v>29</v>
      </c>
      <c r="H98" s="430" t="s">
        <v>30</v>
      </c>
      <c r="I98" s="430"/>
      <c r="J98" s="430" t="s">
        <v>30</v>
      </c>
      <c r="K98" s="430">
        <v>84.0</v>
      </c>
      <c r="L98" s="430"/>
      <c r="M98" s="430"/>
      <c r="N98" s="430" t="s">
        <v>151</v>
      </c>
      <c r="O98" s="430">
        <v>2013.0</v>
      </c>
      <c r="P98" s="430" t="s">
        <v>388</v>
      </c>
      <c r="Q98" s="430">
        <v>1.0</v>
      </c>
      <c r="R98" s="471"/>
      <c r="S98" s="3"/>
      <c r="T98" s="3"/>
      <c r="U98" s="3"/>
      <c r="V98" s="3"/>
      <c r="W98" s="3"/>
      <c r="X98" s="3"/>
      <c r="Y98" s="3"/>
      <c r="Z98" s="3"/>
      <c r="AA98" s="3"/>
      <c r="AB98" s="3"/>
      <c r="AC98" s="3"/>
      <c r="AD98" s="3"/>
      <c r="AE98" s="3"/>
      <c r="AF98" s="3"/>
      <c r="AG98" s="3"/>
      <c r="AH98" s="3"/>
      <c r="AI98" s="3"/>
      <c r="AJ98" s="3"/>
      <c r="AK98" s="3"/>
    </row>
    <row r="99" ht="15.75" customHeight="1">
      <c r="A99" s="3"/>
      <c r="B99" s="921" t="s">
        <v>17584</v>
      </c>
      <c r="C99" s="430"/>
      <c r="D99" s="430" t="s">
        <v>20440</v>
      </c>
      <c r="E99" s="432" t="s">
        <v>20769</v>
      </c>
      <c r="F99" s="430"/>
      <c r="G99" s="430" t="s">
        <v>29</v>
      </c>
      <c r="H99" s="430" t="s">
        <v>30</v>
      </c>
      <c r="I99" s="430"/>
      <c r="J99" s="430" t="s">
        <v>30</v>
      </c>
      <c r="K99" s="430">
        <v>88.0</v>
      </c>
      <c r="L99" s="430"/>
      <c r="M99" s="430"/>
      <c r="N99" s="430" t="s">
        <v>151</v>
      </c>
      <c r="O99" s="430">
        <v>2011.0</v>
      </c>
      <c r="P99" s="430" t="s">
        <v>388</v>
      </c>
      <c r="Q99" s="430">
        <v>1.0</v>
      </c>
      <c r="R99" s="471"/>
      <c r="S99" s="3"/>
      <c r="T99" s="3"/>
      <c r="U99" s="3"/>
      <c r="V99" s="3"/>
      <c r="W99" s="3"/>
      <c r="X99" s="3"/>
      <c r="Y99" s="3"/>
      <c r="Z99" s="3"/>
      <c r="AA99" s="3"/>
      <c r="AB99" s="3"/>
      <c r="AC99" s="3"/>
      <c r="AD99" s="3"/>
      <c r="AE99" s="3"/>
      <c r="AF99" s="3"/>
      <c r="AG99" s="3"/>
      <c r="AH99" s="3"/>
      <c r="AI99" s="3"/>
      <c r="AJ99" s="3"/>
      <c r="AK99" s="3"/>
    </row>
    <row r="100" ht="15.75" customHeight="1">
      <c r="A100" s="3"/>
      <c r="B100" s="921" t="s">
        <v>17586</v>
      </c>
      <c r="C100" s="430"/>
      <c r="D100" s="430" t="s">
        <v>20440</v>
      </c>
      <c r="E100" s="432" t="s">
        <v>20770</v>
      </c>
      <c r="F100" s="430"/>
      <c r="G100" s="430" t="s">
        <v>29</v>
      </c>
      <c r="H100" s="430" t="s">
        <v>30</v>
      </c>
      <c r="I100" s="430"/>
      <c r="J100" s="430" t="s">
        <v>30</v>
      </c>
      <c r="K100" s="430">
        <v>88.0</v>
      </c>
      <c r="L100" s="430"/>
      <c r="M100" s="430"/>
      <c r="N100" s="430" t="s">
        <v>151</v>
      </c>
      <c r="O100" s="430">
        <v>2012.0</v>
      </c>
      <c r="P100" s="430" t="s">
        <v>388</v>
      </c>
      <c r="Q100" s="430">
        <v>1.0</v>
      </c>
      <c r="R100" s="471"/>
      <c r="S100" s="3"/>
      <c r="T100" s="3"/>
      <c r="U100" s="3"/>
      <c r="V100" s="3"/>
      <c r="W100" s="3"/>
      <c r="X100" s="3"/>
      <c r="Y100" s="3"/>
      <c r="Z100" s="3"/>
      <c r="AA100" s="3"/>
      <c r="AB100" s="3"/>
      <c r="AC100" s="3"/>
      <c r="AD100" s="3"/>
      <c r="AE100" s="3"/>
      <c r="AF100" s="3"/>
      <c r="AG100" s="3"/>
      <c r="AH100" s="3"/>
      <c r="AI100" s="3"/>
      <c r="AJ100" s="3"/>
      <c r="AK100" s="3"/>
    </row>
    <row r="101" ht="15.75" customHeight="1">
      <c r="A101" s="3"/>
      <c r="B101" s="921" t="s">
        <v>17591</v>
      </c>
      <c r="C101" s="430"/>
      <c r="D101" s="430" t="s">
        <v>20440</v>
      </c>
      <c r="E101" s="432" t="s">
        <v>20771</v>
      </c>
      <c r="F101" s="430"/>
      <c r="G101" s="430" t="s">
        <v>29</v>
      </c>
      <c r="H101" s="430" t="s">
        <v>30</v>
      </c>
      <c r="I101" s="430"/>
      <c r="J101" s="430" t="s">
        <v>30</v>
      </c>
      <c r="K101" s="430">
        <v>96.0</v>
      </c>
      <c r="L101" s="430"/>
      <c r="M101" s="430"/>
      <c r="N101" s="430" t="s">
        <v>151</v>
      </c>
      <c r="O101" s="430">
        <v>2012.0</v>
      </c>
      <c r="P101" s="430" t="s">
        <v>388</v>
      </c>
      <c r="Q101" s="430">
        <v>1.0</v>
      </c>
      <c r="R101" s="471"/>
      <c r="S101" s="3"/>
      <c r="T101" s="3"/>
      <c r="U101" s="3"/>
      <c r="V101" s="3"/>
      <c r="W101" s="3"/>
      <c r="X101" s="3"/>
      <c r="Y101" s="3"/>
      <c r="Z101" s="3"/>
      <c r="AA101" s="3"/>
      <c r="AB101" s="3"/>
      <c r="AC101" s="3"/>
      <c r="AD101" s="3"/>
      <c r="AE101" s="3"/>
      <c r="AF101" s="3"/>
      <c r="AG101" s="3"/>
      <c r="AH101" s="3"/>
      <c r="AI101" s="3"/>
      <c r="AJ101" s="3"/>
      <c r="AK101" s="3"/>
    </row>
    <row r="102" ht="15.75" customHeight="1">
      <c r="A102" s="3"/>
      <c r="B102" s="921" t="s">
        <v>17596</v>
      </c>
      <c r="C102" s="430"/>
      <c r="D102" s="430" t="s">
        <v>20440</v>
      </c>
      <c r="E102" s="432" t="s">
        <v>20772</v>
      </c>
      <c r="F102" s="430"/>
      <c r="G102" s="430" t="s">
        <v>29</v>
      </c>
      <c r="H102" s="430" t="s">
        <v>30</v>
      </c>
      <c r="I102" s="430"/>
      <c r="J102" s="430" t="s">
        <v>30</v>
      </c>
      <c r="K102" s="430">
        <v>90.0</v>
      </c>
      <c r="L102" s="430"/>
      <c r="M102" s="430"/>
      <c r="N102" s="430" t="s">
        <v>151</v>
      </c>
      <c r="O102" s="430">
        <v>2012.0</v>
      </c>
      <c r="P102" s="430" t="s">
        <v>388</v>
      </c>
      <c r="Q102" s="430">
        <v>1.0</v>
      </c>
      <c r="R102" s="471"/>
      <c r="S102" s="3"/>
      <c r="T102" s="3"/>
      <c r="U102" s="3"/>
      <c r="V102" s="3"/>
      <c r="W102" s="3"/>
      <c r="X102" s="3"/>
      <c r="Y102" s="3"/>
      <c r="Z102" s="3"/>
      <c r="AA102" s="3"/>
      <c r="AB102" s="3"/>
      <c r="AC102" s="3"/>
      <c r="AD102" s="3"/>
      <c r="AE102" s="3"/>
      <c r="AF102" s="3"/>
      <c r="AG102" s="3"/>
      <c r="AH102" s="3"/>
      <c r="AI102" s="3"/>
      <c r="AJ102" s="3"/>
      <c r="AK102" s="3"/>
    </row>
    <row r="103" ht="15.75" customHeight="1">
      <c r="A103" s="3"/>
      <c r="B103" s="921" t="s">
        <v>17600</v>
      </c>
      <c r="C103" s="430"/>
      <c r="D103" s="430" t="s">
        <v>20440</v>
      </c>
      <c r="E103" s="432" t="s">
        <v>20773</v>
      </c>
      <c r="F103" s="430"/>
      <c r="G103" s="430" t="s">
        <v>29</v>
      </c>
      <c r="H103" s="430" t="s">
        <v>30</v>
      </c>
      <c r="I103" s="430"/>
      <c r="J103" s="430" t="s">
        <v>30</v>
      </c>
      <c r="K103" s="430">
        <v>82.0</v>
      </c>
      <c r="L103" s="430"/>
      <c r="M103" s="430"/>
      <c r="N103" s="430" t="s">
        <v>151</v>
      </c>
      <c r="O103" s="430">
        <v>2009.0</v>
      </c>
      <c r="P103" s="430" t="s">
        <v>388</v>
      </c>
      <c r="Q103" s="430">
        <v>1.0</v>
      </c>
      <c r="R103" s="471"/>
      <c r="S103" s="3"/>
      <c r="T103" s="3"/>
      <c r="U103" s="3"/>
      <c r="V103" s="3"/>
      <c r="W103" s="3"/>
      <c r="X103" s="3"/>
      <c r="Y103" s="3"/>
      <c r="Z103" s="3"/>
      <c r="AA103" s="3"/>
      <c r="AB103" s="3"/>
      <c r="AC103" s="3"/>
      <c r="AD103" s="3"/>
      <c r="AE103" s="3"/>
      <c r="AF103" s="3"/>
      <c r="AG103" s="3"/>
      <c r="AH103" s="3"/>
      <c r="AI103" s="3"/>
      <c r="AJ103" s="3"/>
      <c r="AK103" s="3"/>
    </row>
    <row r="104" ht="15.75" customHeight="1">
      <c r="A104" s="3"/>
      <c r="B104" s="921" t="s">
        <v>17605</v>
      </c>
      <c r="C104" s="430"/>
      <c r="D104" s="430" t="s">
        <v>20440</v>
      </c>
      <c r="E104" s="432" t="s">
        <v>20774</v>
      </c>
      <c r="F104" s="430"/>
      <c r="G104" s="430" t="s">
        <v>29</v>
      </c>
      <c r="H104" s="430" t="s">
        <v>30</v>
      </c>
      <c r="I104" s="430"/>
      <c r="J104" s="430" t="s">
        <v>30</v>
      </c>
      <c r="K104" s="430">
        <v>80.0</v>
      </c>
      <c r="L104" s="430"/>
      <c r="M104" s="430"/>
      <c r="N104" s="430" t="s">
        <v>151</v>
      </c>
      <c r="O104" s="430">
        <v>2015.0</v>
      </c>
      <c r="P104" s="430" t="s">
        <v>388</v>
      </c>
      <c r="Q104" s="430">
        <v>1.0</v>
      </c>
      <c r="R104" s="471"/>
      <c r="S104" s="3"/>
      <c r="T104" s="3"/>
      <c r="U104" s="3"/>
      <c r="V104" s="3"/>
      <c r="W104" s="3"/>
      <c r="X104" s="3"/>
      <c r="Y104" s="3"/>
      <c r="Z104" s="3"/>
      <c r="AA104" s="3"/>
      <c r="AB104" s="3"/>
      <c r="AC104" s="3"/>
      <c r="AD104" s="3"/>
      <c r="AE104" s="3"/>
      <c r="AF104" s="3"/>
      <c r="AG104" s="3"/>
      <c r="AH104" s="3"/>
      <c r="AI104" s="3"/>
      <c r="AJ104" s="3"/>
      <c r="AK104" s="3"/>
    </row>
    <row r="105" ht="15.75" customHeight="1">
      <c r="A105" s="3"/>
      <c r="B105" s="921" t="s">
        <v>17611</v>
      </c>
      <c r="C105" s="430"/>
      <c r="D105" s="430" t="s">
        <v>20440</v>
      </c>
      <c r="E105" s="432" t="s">
        <v>20775</v>
      </c>
      <c r="F105" s="430"/>
      <c r="G105" s="430" t="s">
        <v>29</v>
      </c>
      <c r="H105" s="430" t="s">
        <v>30</v>
      </c>
      <c r="I105" s="430"/>
      <c r="J105" s="430" t="s">
        <v>30</v>
      </c>
      <c r="K105" s="430">
        <v>80.0</v>
      </c>
      <c r="L105" s="430"/>
      <c r="M105" s="430"/>
      <c r="N105" s="430" t="s">
        <v>151</v>
      </c>
      <c r="O105" s="430">
        <v>2015.0</v>
      </c>
      <c r="P105" s="430" t="s">
        <v>388</v>
      </c>
      <c r="Q105" s="430">
        <v>1.0</v>
      </c>
      <c r="R105" s="471"/>
      <c r="S105" s="3"/>
      <c r="T105" s="3"/>
      <c r="U105" s="3"/>
      <c r="V105" s="3"/>
      <c r="W105" s="3"/>
      <c r="X105" s="3"/>
      <c r="Y105" s="3"/>
      <c r="Z105" s="3"/>
      <c r="AA105" s="3"/>
      <c r="AB105" s="3"/>
      <c r="AC105" s="3"/>
      <c r="AD105" s="3"/>
      <c r="AE105" s="3"/>
      <c r="AF105" s="3"/>
      <c r="AG105" s="3"/>
      <c r="AH105" s="3"/>
      <c r="AI105" s="3"/>
      <c r="AJ105" s="3"/>
      <c r="AK105" s="3"/>
    </row>
    <row r="106" ht="15.75" customHeight="1">
      <c r="A106" s="3"/>
      <c r="B106" s="921" t="s">
        <v>17617</v>
      </c>
      <c r="C106" s="433"/>
      <c r="D106" s="433"/>
      <c r="E106" s="434"/>
      <c r="F106" s="433"/>
      <c r="G106" s="433"/>
      <c r="H106" s="433"/>
      <c r="I106" s="433"/>
      <c r="J106" s="433"/>
      <c r="K106" s="433"/>
      <c r="L106" s="433"/>
      <c r="M106" s="433"/>
      <c r="N106" s="433"/>
      <c r="O106" s="433"/>
      <c r="P106" s="433"/>
      <c r="Q106" s="433"/>
      <c r="R106" s="471"/>
      <c r="S106" s="3"/>
      <c r="T106" s="3"/>
      <c r="U106" s="3"/>
      <c r="V106" s="3"/>
      <c r="W106" s="3"/>
      <c r="X106" s="3"/>
      <c r="Y106" s="3"/>
      <c r="Z106" s="3"/>
      <c r="AA106" s="3"/>
      <c r="AB106" s="3"/>
      <c r="AC106" s="3"/>
      <c r="AD106" s="3"/>
      <c r="AE106" s="3"/>
      <c r="AF106" s="3"/>
      <c r="AG106" s="3"/>
      <c r="AH106" s="3"/>
      <c r="AI106" s="3"/>
      <c r="AJ106" s="3"/>
      <c r="AK106" s="3"/>
    </row>
    <row r="107" ht="15.75" customHeight="1">
      <c r="A107" s="3"/>
      <c r="B107" s="921" t="s">
        <v>17622</v>
      </c>
      <c r="C107" s="430"/>
      <c r="D107" s="430" t="s">
        <v>20776</v>
      </c>
      <c r="E107" s="432" t="s">
        <v>20777</v>
      </c>
      <c r="F107" s="430"/>
      <c r="G107" s="430" t="s">
        <v>29</v>
      </c>
      <c r="H107" s="430" t="s">
        <v>30</v>
      </c>
      <c r="I107" s="430"/>
      <c r="J107" s="430" t="s">
        <v>30</v>
      </c>
      <c r="K107" s="430">
        <v>48.0</v>
      </c>
      <c r="L107" s="430"/>
      <c r="M107" s="430"/>
      <c r="N107" s="430" t="s">
        <v>20778</v>
      </c>
      <c r="O107" s="430">
        <v>2015.0</v>
      </c>
      <c r="P107" s="430" t="s">
        <v>388</v>
      </c>
      <c r="Q107" s="430">
        <v>1.0</v>
      </c>
      <c r="R107" s="471"/>
      <c r="S107" s="3"/>
      <c r="T107" s="3"/>
      <c r="U107" s="3"/>
      <c r="V107" s="3"/>
      <c r="W107" s="3"/>
      <c r="X107" s="3"/>
      <c r="Y107" s="3"/>
      <c r="Z107" s="3"/>
      <c r="AA107" s="3"/>
      <c r="AB107" s="3"/>
      <c r="AC107" s="3"/>
      <c r="AD107" s="3"/>
      <c r="AE107" s="3"/>
      <c r="AF107" s="3"/>
      <c r="AG107" s="3"/>
      <c r="AH107" s="3"/>
      <c r="AI107" s="3"/>
      <c r="AJ107" s="3"/>
      <c r="AK107" s="3"/>
    </row>
    <row r="108" ht="15.75" customHeight="1">
      <c r="A108" s="3"/>
      <c r="B108" s="921" t="s">
        <v>17625</v>
      </c>
      <c r="C108" s="430"/>
      <c r="D108" s="430" t="s">
        <v>20776</v>
      </c>
      <c r="E108" s="432" t="s">
        <v>20779</v>
      </c>
      <c r="F108" s="430"/>
      <c r="G108" s="430" t="s">
        <v>29</v>
      </c>
      <c r="H108" s="430" t="s">
        <v>30</v>
      </c>
      <c r="I108" s="430"/>
      <c r="J108" s="430" t="s">
        <v>30</v>
      </c>
      <c r="K108" s="430"/>
      <c r="L108" s="430"/>
      <c r="M108" s="430"/>
      <c r="N108" s="430" t="s">
        <v>20778</v>
      </c>
      <c r="O108" s="430">
        <v>2015.0</v>
      </c>
      <c r="P108" s="430" t="s">
        <v>388</v>
      </c>
      <c r="Q108" s="430">
        <v>1.0</v>
      </c>
      <c r="R108" s="471"/>
      <c r="S108" s="3"/>
      <c r="T108" s="3"/>
      <c r="U108" s="3"/>
      <c r="V108" s="3"/>
      <c r="W108" s="3"/>
      <c r="X108" s="3"/>
      <c r="Y108" s="3"/>
      <c r="Z108" s="3"/>
      <c r="AA108" s="3"/>
      <c r="AB108" s="3"/>
      <c r="AC108" s="3"/>
      <c r="AD108" s="3"/>
      <c r="AE108" s="3"/>
      <c r="AF108" s="3"/>
      <c r="AG108" s="3"/>
      <c r="AH108" s="3"/>
      <c r="AI108" s="3"/>
      <c r="AJ108" s="3"/>
      <c r="AK108" s="3"/>
    </row>
    <row r="109" ht="15.75" customHeight="1">
      <c r="A109" s="3"/>
      <c r="B109" s="921" t="s">
        <v>17629</v>
      </c>
      <c r="C109" s="430"/>
      <c r="D109" s="430" t="s">
        <v>20776</v>
      </c>
      <c r="E109" s="432" t="s">
        <v>20780</v>
      </c>
      <c r="F109" s="430"/>
      <c r="G109" s="430" t="s">
        <v>29</v>
      </c>
      <c r="H109" s="430" t="s">
        <v>30</v>
      </c>
      <c r="I109" s="430"/>
      <c r="J109" s="430" t="s">
        <v>30</v>
      </c>
      <c r="K109" s="430"/>
      <c r="L109" s="430"/>
      <c r="M109" s="430"/>
      <c r="N109" s="430" t="s">
        <v>20778</v>
      </c>
      <c r="O109" s="430">
        <v>2015.0</v>
      </c>
      <c r="P109" s="430" t="s">
        <v>388</v>
      </c>
      <c r="Q109" s="430">
        <v>1.0</v>
      </c>
      <c r="R109" s="471"/>
      <c r="S109" s="3"/>
      <c r="T109" s="3"/>
      <c r="U109" s="3"/>
      <c r="V109" s="3"/>
      <c r="W109" s="3"/>
      <c r="X109" s="3"/>
      <c r="Y109" s="3"/>
      <c r="Z109" s="3"/>
      <c r="AA109" s="3"/>
      <c r="AB109" s="3"/>
      <c r="AC109" s="3"/>
      <c r="AD109" s="3"/>
      <c r="AE109" s="3"/>
      <c r="AF109" s="3"/>
      <c r="AG109" s="3"/>
      <c r="AH109" s="3"/>
      <c r="AI109" s="3"/>
      <c r="AJ109" s="3"/>
      <c r="AK109" s="3"/>
    </row>
    <row r="110" ht="15.75" customHeight="1">
      <c r="A110" s="3"/>
      <c r="B110" s="921" t="s">
        <v>17633</v>
      </c>
      <c r="C110" s="430"/>
      <c r="D110" s="430" t="s">
        <v>20776</v>
      </c>
      <c r="E110" s="432" t="s">
        <v>20781</v>
      </c>
      <c r="F110" s="430"/>
      <c r="G110" s="430" t="s">
        <v>29</v>
      </c>
      <c r="H110" s="430" t="s">
        <v>30</v>
      </c>
      <c r="I110" s="430"/>
      <c r="J110" s="430" t="s">
        <v>30</v>
      </c>
      <c r="K110" s="430"/>
      <c r="L110" s="430"/>
      <c r="M110" s="430"/>
      <c r="N110" s="430" t="s">
        <v>20778</v>
      </c>
      <c r="O110" s="430">
        <v>2015.0</v>
      </c>
      <c r="P110" s="430" t="s">
        <v>388</v>
      </c>
      <c r="Q110" s="430">
        <v>1.0</v>
      </c>
      <c r="R110" s="471"/>
      <c r="S110" s="3"/>
      <c r="T110" s="3"/>
      <c r="U110" s="3"/>
      <c r="V110" s="3"/>
      <c r="W110" s="3"/>
      <c r="X110" s="3"/>
      <c r="Y110" s="3"/>
      <c r="Z110" s="3"/>
      <c r="AA110" s="3"/>
      <c r="AB110" s="3"/>
      <c r="AC110" s="3"/>
      <c r="AD110" s="3"/>
      <c r="AE110" s="3"/>
      <c r="AF110" s="3"/>
      <c r="AG110" s="3"/>
      <c r="AH110" s="3"/>
      <c r="AI110" s="3"/>
      <c r="AJ110" s="3"/>
      <c r="AK110" s="3"/>
    </row>
    <row r="111" ht="15.75" customHeight="1">
      <c r="A111" s="3"/>
      <c r="B111" s="921" t="s">
        <v>17639</v>
      </c>
      <c r="C111" s="430"/>
      <c r="D111" s="430" t="s">
        <v>20776</v>
      </c>
      <c r="E111" s="432" t="s">
        <v>20782</v>
      </c>
      <c r="F111" s="430"/>
      <c r="G111" s="430" t="s">
        <v>29</v>
      </c>
      <c r="H111" s="430" t="s">
        <v>30</v>
      </c>
      <c r="I111" s="430"/>
      <c r="J111" s="430" t="s">
        <v>30</v>
      </c>
      <c r="K111" s="430"/>
      <c r="L111" s="430"/>
      <c r="M111" s="430"/>
      <c r="N111" s="430" t="s">
        <v>20778</v>
      </c>
      <c r="O111" s="430">
        <v>2015.0</v>
      </c>
      <c r="P111" s="430" t="s">
        <v>388</v>
      </c>
      <c r="Q111" s="430">
        <v>1.0</v>
      </c>
      <c r="R111" s="471"/>
      <c r="S111" s="3"/>
      <c r="T111" s="3"/>
      <c r="U111" s="3"/>
      <c r="V111" s="3"/>
      <c r="W111" s="3"/>
      <c r="X111" s="3"/>
      <c r="Y111" s="3"/>
      <c r="Z111" s="3"/>
      <c r="AA111" s="3"/>
      <c r="AB111" s="3"/>
      <c r="AC111" s="3"/>
      <c r="AD111" s="3"/>
      <c r="AE111" s="3"/>
      <c r="AF111" s="3"/>
      <c r="AG111" s="3"/>
      <c r="AH111" s="3"/>
      <c r="AI111" s="3"/>
      <c r="AJ111" s="3"/>
      <c r="AK111" s="3"/>
    </row>
    <row r="112" ht="15.75" customHeight="1">
      <c r="A112" s="3"/>
      <c r="B112" s="921" t="s">
        <v>17645</v>
      </c>
      <c r="C112" s="430"/>
      <c r="D112" s="430" t="s">
        <v>20776</v>
      </c>
      <c r="E112" s="432" t="s">
        <v>20783</v>
      </c>
      <c r="F112" s="430"/>
      <c r="G112" s="430" t="s">
        <v>29</v>
      </c>
      <c r="H112" s="430" t="s">
        <v>30</v>
      </c>
      <c r="I112" s="430"/>
      <c r="J112" s="430" t="s">
        <v>30</v>
      </c>
      <c r="K112" s="430"/>
      <c r="L112" s="430"/>
      <c r="M112" s="430"/>
      <c r="N112" s="430" t="s">
        <v>20778</v>
      </c>
      <c r="O112" s="430">
        <v>2015.0</v>
      </c>
      <c r="P112" s="430" t="s">
        <v>388</v>
      </c>
      <c r="Q112" s="430">
        <v>1.0</v>
      </c>
      <c r="R112" s="471"/>
      <c r="S112" s="3"/>
      <c r="T112" s="3"/>
      <c r="U112" s="3"/>
      <c r="V112" s="3"/>
      <c r="W112" s="3"/>
      <c r="X112" s="3"/>
      <c r="Y112" s="3"/>
      <c r="Z112" s="3"/>
      <c r="AA112" s="3"/>
      <c r="AB112" s="3"/>
      <c r="AC112" s="3"/>
      <c r="AD112" s="3"/>
      <c r="AE112" s="3"/>
      <c r="AF112" s="3"/>
      <c r="AG112" s="3"/>
      <c r="AH112" s="3"/>
      <c r="AI112" s="3"/>
      <c r="AJ112" s="3"/>
      <c r="AK112" s="3"/>
    </row>
    <row r="113" ht="15.75" customHeight="1">
      <c r="A113" s="3"/>
      <c r="B113" s="921" t="s">
        <v>17650</v>
      </c>
      <c r="C113" s="430"/>
      <c r="D113" s="430" t="s">
        <v>20776</v>
      </c>
      <c r="E113" s="432" t="s">
        <v>20784</v>
      </c>
      <c r="F113" s="430"/>
      <c r="G113" s="430" t="s">
        <v>29</v>
      </c>
      <c r="H113" s="430" t="s">
        <v>30</v>
      </c>
      <c r="I113" s="430"/>
      <c r="J113" s="430" t="s">
        <v>30</v>
      </c>
      <c r="K113" s="430"/>
      <c r="L113" s="430"/>
      <c r="M113" s="430"/>
      <c r="N113" s="430" t="s">
        <v>20778</v>
      </c>
      <c r="O113" s="430">
        <v>2015.0</v>
      </c>
      <c r="P113" s="430" t="s">
        <v>388</v>
      </c>
      <c r="Q113" s="430">
        <v>1.0</v>
      </c>
      <c r="R113" s="471"/>
      <c r="S113" s="3"/>
      <c r="T113" s="3"/>
      <c r="U113" s="3"/>
      <c r="V113" s="3"/>
      <c r="W113" s="3"/>
      <c r="X113" s="3"/>
      <c r="Y113" s="3"/>
      <c r="Z113" s="3"/>
      <c r="AA113" s="3"/>
      <c r="AB113" s="3"/>
      <c r="AC113" s="3"/>
      <c r="AD113" s="3"/>
      <c r="AE113" s="3"/>
      <c r="AF113" s="3"/>
      <c r="AG113" s="3"/>
      <c r="AH113" s="3"/>
      <c r="AI113" s="3"/>
      <c r="AJ113" s="3"/>
      <c r="AK113" s="3"/>
    </row>
    <row r="114" ht="15.75" customHeight="1">
      <c r="A114" s="3"/>
      <c r="B114" s="921" t="s">
        <v>17654</v>
      </c>
      <c r="C114" s="430"/>
      <c r="D114" s="430" t="s">
        <v>20776</v>
      </c>
      <c r="E114" s="432" t="s">
        <v>20785</v>
      </c>
      <c r="F114" s="430"/>
      <c r="G114" s="430" t="s">
        <v>29</v>
      </c>
      <c r="H114" s="430" t="s">
        <v>30</v>
      </c>
      <c r="I114" s="430"/>
      <c r="J114" s="430" t="s">
        <v>30</v>
      </c>
      <c r="K114" s="430"/>
      <c r="L114" s="430"/>
      <c r="M114" s="430"/>
      <c r="N114" s="430" t="s">
        <v>20778</v>
      </c>
      <c r="O114" s="430">
        <v>2015.0</v>
      </c>
      <c r="P114" s="430" t="s">
        <v>388</v>
      </c>
      <c r="Q114" s="430">
        <v>1.0</v>
      </c>
      <c r="R114" s="471"/>
      <c r="S114" s="3"/>
      <c r="T114" s="3"/>
      <c r="U114" s="3"/>
      <c r="V114" s="3"/>
      <c r="W114" s="3"/>
      <c r="X114" s="3"/>
      <c r="Y114" s="3"/>
      <c r="Z114" s="3"/>
      <c r="AA114" s="3"/>
      <c r="AB114" s="3"/>
      <c r="AC114" s="3"/>
      <c r="AD114" s="3"/>
      <c r="AE114" s="3"/>
      <c r="AF114" s="3"/>
      <c r="AG114" s="3"/>
      <c r="AH114" s="3"/>
      <c r="AI114" s="3"/>
      <c r="AJ114" s="3"/>
      <c r="AK114" s="3"/>
    </row>
    <row r="115" ht="15.75" customHeight="1">
      <c r="A115" s="3"/>
      <c r="B115" s="921" t="s">
        <v>17657</v>
      </c>
      <c r="C115" s="430"/>
      <c r="D115" s="430" t="s">
        <v>20776</v>
      </c>
      <c r="E115" s="432" t="s">
        <v>20786</v>
      </c>
      <c r="F115" s="430"/>
      <c r="G115" s="430" t="s">
        <v>29</v>
      </c>
      <c r="H115" s="430" t="s">
        <v>30</v>
      </c>
      <c r="I115" s="430"/>
      <c r="J115" s="430" t="s">
        <v>30</v>
      </c>
      <c r="K115" s="430"/>
      <c r="L115" s="430"/>
      <c r="M115" s="430"/>
      <c r="N115" s="430" t="s">
        <v>20778</v>
      </c>
      <c r="O115" s="430">
        <v>2015.0</v>
      </c>
      <c r="P115" s="430" t="s">
        <v>388</v>
      </c>
      <c r="Q115" s="430">
        <v>1.0</v>
      </c>
      <c r="R115" s="471"/>
      <c r="S115" s="3"/>
      <c r="T115" s="3"/>
      <c r="U115" s="3"/>
      <c r="V115" s="3"/>
      <c r="W115" s="3"/>
      <c r="X115" s="3"/>
      <c r="Y115" s="3"/>
      <c r="Z115" s="3"/>
      <c r="AA115" s="3"/>
      <c r="AB115" s="3"/>
      <c r="AC115" s="3"/>
      <c r="AD115" s="3"/>
      <c r="AE115" s="3"/>
      <c r="AF115" s="3"/>
      <c r="AG115" s="3"/>
      <c r="AH115" s="3"/>
      <c r="AI115" s="3"/>
      <c r="AJ115" s="3"/>
      <c r="AK115" s="3"/>
    </row>
    <row r="116" ht="15.75" customHeight="1">
      <c r="A116" s="3"/>
      <c r="B116" s="921" t="s">
        <v>17663</v>
      </c>
      <c r="C116" s="430"/>
      <c r="D116" s="430" t="s">
        <v>20776</v>
      </c>
      <c r="E116" s="432" t="s">
        <v>20787</v>
      </c>
      <c r="F116" s="430"/>
      <c r="G116" s="430" t="s">
        <v>29</v>
      </c>
      <c r="H116" s="430" t="s">
        <v>30</v>
      </c>
      <c r="I116" s="430"/>
      <c r="J116" s="430" t="s">
        <v>30</v>
      </c>
      <c r="K116" s="430"/>
      <c r="L116" s="430"/>
      <c r="M116" s="430"/>
      <c r="N116" s="430" t="s">
        <v>20778</v>
      </c>
      <c r="O116" s="430">
        <v>2015.0</v>
      </c>
      <c r="P116" s="430" t="s">
        <v>388</v>
      </c>
      <c r="Q116" s="430">
        <v>1.0</v>
      </c>
      <c r="R116" s="471"/>
      <c r="S116" s="3"/>
      <c r="T116" s="3"/>
      <c r="U116" s="3"/>
      <c r="V116" s="3"/>
      <c r="W116" s="3"/>
      <c r="X116" s="3"/>
      <c r="Y116" s="3"/>
      <c r="Z116" s="3"/>
      <c r="AA116" s="3"/>
      <c r="AB116" s="3"/>
      <c r="AC116" s="3"/>
      <c r="AD116" s="3"/>
      <c r="AE116" s="3"/>
      <c r="AF116" s="3"/>
      <c r="AG116" s="3"/>
      <c r="AH116" s="3"/>
      <c r="AI116" s="3"/>
      <c r="AJ116" s="3"/>
      <c r="AK116" s="3"/>
    </row>
    <row r="117" ht="15.75" customHeight="1">
      <c r="A117" s="3"/>
      <c r="B117" s="921" t="s">
        <v>17668</v>
      </c>
      <c r="C117" s="430"/>
      <c r="D117" s="430" t="s">
        <v>20776</v>
      </c>
      <c r="E117" s="432" t="s">
        <v>20788</v>
      </c>
      <c r="F117" s="430"/>
      <c r="G117" s="430" t="s">
        <v>29</v>
      </c>
      <c r="H117" s="430" t="s">
        <v>30</v>
      </c>
      <c r="I117" s="430"/>
      <c r="J117" s="430" t="s">
        <v>30</v>
      </c>
      <c r="K117" s="430"/>
      <c r="L117" s="430"/>
      <c r="M117" s="430"/>
      <c r="N117" s="430" t="s">
        <v>20778</v>
      </c>
      <c r="O117" s="430">
        <v>2015.0</v>
      </c>
      <c r="P117" s="430" t="s">
        <v>388</v>
      </c>
      <c r="Q117" s="430">
        <v>1.0</v>
      </c>
      <c r="R117" s="471"/>
      <c r="S117" s="3"/>
      <c r="T117" s="3"/>
      <c r="U117" s="3"/>
      <c r="V117" s="3"/>
      <c r="W117" s="3"/>
      <c r="X117" s="3"/>
      <c r="Y117" s="3"/>
      <c r="Z117" s="3"/>
      <c r="AA117" s="3"/>
      <c r="AB117" s="3"/>
      <c r="AC117" s="3"/>
      <c r="AD117" s="3"/>
      <c r="AE117" s="3"/>
      <c r="AF117" s="3"/>
      <c r="AG117" s="3"/>
      <c r="AH117" s="3"/>
      <c r="AI117" s="3"/>
      <c r="AJ117" s="3"/>
      <c r="AK117" s="3"/>
    </row>
    <row r="118" ht="15.75" customHeight="1">
      <c r="A118" s="3"/>
      <c r="B118" s="921" t="s">
        <v>17671</v>
      </c>
      <c r="C118" s="430"/>
      <c r="D118" s="430" t="s">
        <v>20776</v>
      </c>
      <c r="E118" s="432" t="s">
        <v>20789</v>
      </c>
      <c r="F118" s="430"/>
      <c r="G118" s="430" t="s">
        <v>29</v>
      </c>
      <c r="H118" s="430" t="s">
        <v>30</v>
      </c>
      <c r="I118" s="430"/>
      <c r="J118" s="430" t="s">
        <v>30</v>
      </c>
      <c r="K118" s="430"/>
      <c r="L118" s="430"/>
      <c r="M118" s="430"/>
      <c r="N118" s="430" t="s">
        <v>20778</v>
      </c>
      <c r="O118" s="430">
        <v>2015.0</v>
      </c>
      <c r="P118" s="430" t="s">
        <v>388</v>
      </c>
      <c r="Q118" s="430">
        <v>1.0</v>
      </c>
      <c r="R118" s="471"/>
      <c r="S118" s="3"/>
      <c r="T118" s="3"/>
      <c r="U118" s="3"/>
      <c r="V118" s="3"/>
      <c r="W118" s="3"/>
      <c r="X118" s="3"/>
      <c r="Y118" s="3"/>
      <c r="Z118" s="3"/>
      <c r="AA118" s="3"/>
      <c r="AB118" s="3"/>
      <c r="AC118" s="3"/>
      <c r="AD118" s="3"/>
      <c r="AE118" s="3"/>
      <c r="AF118" s="3"/>
      <c r="AG118" s="3"/>
      <c r="AH118" s="3"/>
      <c r="AI118" s="3"/>
      <c r="AJ118" s="3"/>
      <c r="AK118" s="3"/>
    </row>
    <row r="119" ht="15.75" customHeight="1">
      <c r="A119" s="3"/>
      <c r="B119" s="921" t="s">
        <v>17675</v>
      </c>
      <c r="C119" s="430"/>
      <c r="D119" s="430" t="s">
        <v>20776</v>
      </c>
      <c r="E119" s="432" t="s">
        <v>20790</v>
      </c>
      <c r="F119" s="430"/>
      <c r="G119" s="430" t="s">
        <v>29</v>
      </c>
      <c r="H119" s="430" t="s">
        <v>30</v>
      </c>
      <c r="I119" s="430"/>
      <c r="J119" s="430" t="s">
        <v>30</v>
      </c>
      <c r="K119" s="430"/>
      <c r="L119" s="430"/>
      <c r="M119" s="430"/>
      <c r="N119" s="430" t="s">
        <v>20778</v>
      </c>
      <c r="O119" s="430">
        <v>2015.0</v>
      </c>
      <c r="P119" s="430" t="s">
        <v>388</v>
      </c>
      <c r="Q119" s="430">
        <v>1.0</v>
      </c>
      <c r="R119" s="471"/>
      <c r="S119" s="3"/>
      <c r="T119" s="3"/>
      <c r="U119" s="3"/>
      <c r="V119" s="3"/>
      <c r="W119" s="3"/>
      <c r="X119" s="3"/>
      <c r="Y119" s="3"/>
      <c r="Z119" s="3"/>
      <c r="AA119" s="3"/>
      <c r="AB119" s="3"/>
      <c r="AC119" s="3"/>
      <c r="AD119" s="3"/>
      <c r="AE119" s="3"/>
      <c r="AF119" s="3"/>
      <c r="AG119" s="3"/>
      <c r="AH119" s="3"/>
      <c r="AI119" s="3"/>
      <c r="AJ119" s="3"/>
      <c r="AK119" s="3"/>
    </row>
    <row r="120" ht="15.75" customHeight="1">
      <c r="A120" s="3"/>
      <c r="B120" s="921" t="s">
        <v>17678</v>
      </c>
      <c r="C120" s="430"/>
      <c r="D120" s="430" t="s">
        <v>20791</v>
      </c>
      <c r="E120" s="432" t="s">
        <v>20792</v>
      </c>
      <c r="F120" s="430"/>
      <c r="G120" s="923" t="s">
        <v>20793</v>
      </c>
      <c r="H120" s="430" t="s">
        <v>30</v>
      </c>
      <c r="I120" s="430"/>
      <c r="J120" s="430" t="s">
        <v>30</v>
      </c>
      <c r="K120" s="430"/>
      <c r="L120" s="430"/>
      <c r="M120" s="430"/>
      <c r="N120" s="430" t="s">
        <v>19815</v>
      </c>
      <c r="O120" s="430">
        <v>2015.0</v>
      </c>
      <c r="P120" s="430" t="s">
        <v>388</v>
      </c>
      <c r="Q120" s="430">
        <v>1.0</v>
      </c>
      <c r="R120" s="471"/>
      <c r="S120" s="3"/>
      <c r="T120" s="3"/>
      <c r="U120" s="3"/>
      <c r="V120" s="3"/>
      <c r="W120" s="3"/>
      <c r="X120" s="3"/>
      <c r="Y120" s="3"/>
      <c r="Z120" s="3"/>
      <c r="AA120" s="3"/>
      <c r="AB120" s="3"/>
      <c r="AC120" s="3"/>
      <c r="AD120" s="3"/>
      <c r="AE120" s="3"/>
      <c r="AF120" s="3"/>
      <c r="AG120" s="3"/>
      <c r="AH120" s="3"/>
      <c r="AI120" s="3"/>
      <c r="AJ120" s="3"/>
      <c r="AK120" s="3"/>
    </row>
    <row r="121" ht="15.75" customHeight="1">
      <c r="A121" s="3"/>
      <c r="B121" s="921" t="s">
        <v>17682</v>
      </c>
      <c r="C121" s="433"/>
      <c r="D121" s="433"/>
      <c r="E121" s="434"/>
      <c r="F121" s="433"/>
      <c r="G121" s="924"/>
      <c r="H121" s="433"/>
      <c r="I121" s="433"/>
      <c r="J121" s="433"/>
      <c r="K121" s="433"/>
      <c r="L121" s="433"/>
      <c r="M121" s="433"/>
      <c r="N121" s="433"/>
      <c r="O121" s="433"/>
      <c r="P121" s="433"/>
      <c r="Q121" s="433"/>
      <c r="R121" s="471"/>
      <c r="S121" s="3"/>
      <c r="T121" s="3"/>
      <c r="U121" s="3"/>
      <c r="V121" s="3"/>
      <c r="W121" s="3"/>
      <c r="X121" s="3"/>
      <c r="Y121" s="3"/>
      <c r="Z121" s="3"/>
      <c r="AA121" s="3"/>
      <c r="AB121" s="3"/>
      <c r="AC121" s="3"/>
      <c r="AD121" s="3"/>
      <c r="AE121" s="3"/>
      <c r="AF121" s="3"/>
      <c r="AG121" s="3"/>
      <c r="AH121" s="3"/>
      <c r="AI121" s="3"/>
      <c r="AJ121" s="3"/>
      <c r="AK121" s="3"/>
    </row>
    <row r="122" ht="15.75" customHeight="1">
      <c r="A122" s="3"/>
      <c r="B122" s="921" t="s">
        <v>17686</v>
      </c>
      <c r="C122" s="433" t="s">
        <v>20297</v>
      </c>
      <c r="D122" s="433" t="s">
        <v>20794</v>
      </c>
      <c r="E122" s="434" t="s">
        <v>20795</v>
      </c>
      <c r="F122" s="433" t="s">
        <v>13047</v>
      </c>
      <c r="G122" s="433" t="s">
        <v>29</v>
      </c>
      <c r="H122" s="433" t="s">
        <v>37</v>
      </c>
      <c r="I122" s="433"/>
      <c r="J122" s="433" t="s">
        <v>38</v>
      </c>
      <c r="K122" s="433">
        <v>72.0</v>
      </c>
      <c r="L122" s="433"/>
      <c r="M122" s="450"/>
      <c r="N122" s="433" t="s">
        <v>20796</v>
      </c>
      <c r="O122" s="433">
        <v>2016.0</v>
      </c>
      <c r="P122" s="433" t="s">
        <v>388</v>
      </c>
      <c r="Q122" s="433">
        <v>1.0</v>
      </c>
      <c r="R122" s="471"/>
      <c r="S122" s="3"/>
      <c r="T122" s="3"/>
      <c r="U122" s="3"/>
      <c r="V122" s="3"/>
      <c r="W122" s="3"/>
      <c r="X122" s="3"/>
      <c r="Y122" s="3"/>
      <c r="Z122" s="3"/>
      <c r="AA122" s="3"/>
      <c r="AB122" s="3"/>
      <c r="AC122" s="3"/>
      <c r="AD122" s="3"/>
      <c r="AE122" s="3"/>
      <c r="AF122" s="3"/>
      <c r="AG122" s="3"/>
      <c r="AH122" s="3"/>
      <c r="AI122" s="3"/>
      <c r="AJ122" s="3"/>
      <c r="AK122" s="3"/>
    </row>
    <row r="123" ht="15.75" customHeight="1">
      <c r="A123" s="3"/>
      <c r="B123" s="921" t="s">
        <v>17691</v>
      </c>
      <c r="C123" s="433" t="s">
        <v>20297</v>
      </c>
      <c r="D123" s="433" t="s">
        <v>20794</v>
      </c>
      <c r="E123" s="434" t="s">
        <v>20797</v>
      </c>
      <c r="F123" s="433" t="s">
        <v>13047</v>
      </c>
      <c r="G123" s="433" t="s">
        <v>29</v>
      </c>
      <c r="H123" s="433" t="s">
        <v>37</v>
      </c>
      <c r="I123" s="433"/>
      <c r="J123" s="433" t="s">
        <v>38</v>
      </c>
      <c r="K123" s="433">
        <v>64.0</v>
      </c>
      <c r="L123" s="433"/>
      <c r="M123" s="450"/>
      <c r="N123" s="433" t="s">
        <v>20796</v>
      </c>
      <c r="O123" s="433">
        <v>2016.0</v>
      </c>
      <c r="P123" s="433" t="s">
        <v>388</v>
      </c>
      <c r="Q123" s="433">
        <v>1.0</v>
      </c>
      <c r="R123" s="471"/>
      <c r="S123" s="3"/>
      <c r="T123" s="3"/>
      <c r="U123" s="3"/>
      <c r="V123" s="3"/>
      <c r="W123" s="3"/>
      <c r="X123" s="3"/>
      <c r="Y123" s="3"/>
      <c r="Z123" s="3"/>
      <c r="AA123" s="3"/>
      <c r="AB123" s="3"/>
      <c r="AC123" s="3"/>
      <c r="AD123" s="3"/>
      <c r="AE123" s="3"/>
      <c r="AF123" s="3"/>
      <c r="AG123" s="3"/>
      <c r="AH123" s="3"/>
      <c r="AI123" s="3"/>
      <c r="AJ123" s="3"/>
      <c r="AK123" s="3"/>
    </row>
    <row r="124" ht="15.75" customHeight="1">
      <c r="A124" s="3"/>
      <c r="B124" s="921" t="s">
        <v>17695</v>
      </c>
      <c r="C124" s="433" t="s">
        <v>20297</v>
      </c>
      <c r="D124" s="433" t="s">
        <v>20794</v>
      </c>
      <c r="E124" s="434" t="s">
        <v>20798</v>
      </c>
      <c r="F124" s="433" t="s">
        <v>13047</v>
      </c>
      <c r="G124" s="433" t="s">
        <v>29</v>
      </c>
      <c r="H124" s="433" t="s">
        <v>37</v>
      </c>
      <c r="I124" s="433"/>
      <c r="J124" s="433" t="s">
        <v>38</v>
      </c>
      <c r="K124" s="433">
        <v>68.0</v>
      </c>
      <c r="L124" s="433"/>
      <c r="M124" s="450"/>
      <c r="N124" s="433" t="s">
        <v>20796</v>
      </c>
      <c r="O124" s="433">
        <v>2016.0</v>
      </c>
      <c r="P124" s="433" t="s">
        <v>388</v>
      </c>
      <c r="Q124" s="433">
        <v>1.0</v>
      </c>
      <c r="R124" s="471"/>
      <c r="S124" s="3"/>
      <c r="T124" s="3"/>
      <c r="U124" s="3"/>
      <c r="V124" s="3"/>
      <c r="W124" s="3"/>
      <c r="X124" s="3"/>
      <c r="Y124" s="3"/>
      <c r="Z124" s="3"/>
      <c r="AA124" s="3"/>
      <c r="AB124" s="3"/>
      <c r="AC124" s="3"/>
      <c r="AD124" s="3"/>
      <c r="AE124" s="3"/>
      <c r="AF124" s="3"/>
      <c r="AG124" s="3"/>
      <c r="AH124" s="3"/>
      <c r="AI124" s="3"/>
      <c r="AJ124" s="3"/>
      <c r="AK124" s="3"/>
    </row>
    <row r="125" ht="15.75" customHeight="1">
      <c r="A125" s="3"/>
      <c r="B125" s="921" t="s">
        <v>17696</v>
      </c>
      <c r="C125" s="433" t="s">
        <v>20297</v>
      </c>
      <c r="D125" s="433" t="s">
        <v>20794</v>
      </c>
      <c r="E125" s="434" t="s">
        <v>20799</v>
      </c>
      <c r="F125" s="433" t="s">
        <v>13047</v>
      </c>
      <c r="G125" s="433" t="s">
        <v>29</v>
      </c>
      <c r="H125" s="433" t="s">
        <v>37</v>
      </c>
      <c r="I125" s="433"/>
      <c r="J125" s="433" t="s">
        <v>38</v>
      </c>
      <c r="K125" s="433">
        <v>72.0</v>
      </c>
      <c r="L125" s="433"/>
      <c r="M125" s="433" t="s">
        <v>20800</v>
      </c>
      <c r="N125" s="433" t="s">
        <v>20796</v>
      </c>
      <c r="O125" s="433">
        <v>2012.0</v>
      </c>
      <c r="P125" s="433" t="s">
        <v>388</v>
      </c>
      <c r="Q125" s="433">
        <v>1.0</v>
      </c>
      <c r="R125" s="471"/>
      <c r="S125" s="3"/>
      <c r="T125" s="3"/>
      <c r="U125" s="3"/>
      <c r="V125" s="3"/>
      <c r="W125" s="3"/>
      <c r="X125" s="3"/>
      <c r="Y125" s="3"/>
      <c r="Z125" s="3"/>
      <c r="AA125" s="3"/>
      <c r="AB125" s="3"/>
      <c r="AC125" s="3"/>
      <c r="AD125" s="3"/>
      <c r="AE125" s="3"/>
      <c r="AF125" s="3"/>
      <c r="AG125" s="3"/>
      <c r="AH125" s="3"/>
      <c r="AI125" s="3"/>
      <c r="AJ125" s="3"/>
      <c r="AK125" s="3"/>
    </row>
    <row r="126" ht="15.75" customHeight="1">
      <c r="A126" s="3"/>
      <c r="B126" s="921" t="s">
        <v>17699</v>
      </c>
      <c r="C126" s="433" t="s">
        <v>20297</v>
      </c>
      <c r="D126" s="433" t="s">
        <v>20794</v>
      </c>
      <c r="E126" s="434" t="s">
        <v>20801</v>
      </c>
      <c r="F126" s="433" t="s">
        <v>13047</v>
      </c>
      <c r="G126" s="433" t="s">
        <v>29</v>
      </c>
      <c r="H126" s="433" t="s">
        <v>37</v>
      </c>
      <c r="I126" s="433"/>
      <c r="J126" s="433" t="s">
        <v>38</v>
      </c>
      <c r="K126" s="433">
        <v>72.0</v>
      </c>
      <c r="L126" s="433"/>
      <c r="M126" s="433" t="s">
        <v>20802</v>
      </c>
      <c r="N126" s="433" t="s">
        <v>20796</v>
      </c>
      <c r="O126" s="433">
        <v>2012.0</v>
      </c>
      <c r="P126" s="433" t="s">
        <v>388</v>
      </c>
      <c r="Q126" s="433">
        <v>1.0</v>
      </c>
      <c r="R126" s="471"/>
      <c r="S126" s="3"/>
      <c r="T126" s="3"/>
      <c r="U126" s="3"/>
      <c r="V126" s="3"/>
      <c r="W126" s="3"/>
      <c r="X126" s="3"/>
      <c r="Y126" s="3"/>
      <c r="Z126" s="3"/>
      <c r="AA126" s="3"/>
      <c r="AB126" s="3"/>
      <c r="AC126" s="3"/>
      <c r="AD126" s="3"/>
      <c r="AE126" s="3"/>
      <c r="AF126" s="3"/>
      <c r="AG126" s="3"/>
      <c r="AH126" s="3"/>
      <c r="AI126" s="3"/>
      <c r="AJ126" s="3"/>
      <c r="AK126" s="3"/>
    </row>
    <row r="127" ht="15.75" customHeight="1">
      <c r="A127" s="3"/>
      <c r="B127" s="921" t="s">
        <v>17702</v>
      </c>
      <c r="C127" s="433" t="s">
        <v>20297</v>
      </c>
      <c r="D127" s="433" t="s">
        <v>20794</v>
      </c>
      <c r="E127" s="434" t="s">
        <v>20803</v>
      </c>
      <c r="F127" s="433" t="s">
        <v>13047</v>
      </c>
      <c r="G127" s="433" t="s">
        <v>29</v>
      </c>
      <c r="H127" s="433" t="s">
        <v>37</v>
      </c>
      <c r="I127" s="433"/>
      <c r="J127" s="433" t="s">
        <v>38</v>
      </c>
      <c r="K127" s="433">
        <v>72.0</v>
      </c>
      <c r="L127" s="433"/>
      <c r="M127" s="433" t="s">
        <v>20804</v>
      </c>
      <c r="N127" s="433" t="s">
        <v>20796</v>
      </c>
      <c r="O127" s="433">
        <v>2012.0</v>
      </c>
      <c r="P127" s="433" t="s">
        <v>388</v>
      </c>
      <c r="Q127" s="433">
        <v>1.0</v>
      </c>
      <c r="R127" s="471"/>
      <c r="S127" s="3"/>
      <c r="T127" s="3"/>
      <c r="U127" s="3"/>
      <c r="V127" s="3"/>
      <c r="W127" s="3"/>
      <c r="X127" s="3"/>
      <c r="Y127" s="3"/>
      <c r="Z127" s="3"/>
      <c r="AA127" s="3"/>
      <c r="AB127" s="3"/>
      <c r="AC127" s="3"/>
      <c r="AD127" s="3"/>
      <c r="AE127" s="3"/>
      <c r="AF127" s="3"/>
      <c r="AG127" s="3"/>
      <c r="AH127" s="3"/>
      <c r="AI127" s="3"/>
      <c r="AJ127" s="3"/>
      <c r="AK127" s="3"/>
    </row>
    <row r="128" ht="15.75" customHeight="1">
      <c r="A128" s="3"/>
      <c r="B128" s="921" t="s">
        <v>17706</v>
      </c>
      <c r="C128" s="433" t="s">
        <v>20297</v>
      </c>
      <c r="D128" s="433" t="s">
        <v>20794</v>
      </c>
      <c r="E128" s="434" t="s">
        <v>20805</v>
      </c>
      <c r="F128" s="433" t="s">
        <v>13047</v>
      </c>
      <c r="G128" s="433" t="s">
        <v>29</v>
      </c>
      <c r="H128" s="433" t="s">
        <v>37</v>
      </c>
      <c r="I128" s="433"/>
      <c r="J128" s="433" t="s">
        <v>38</v>
      </c>
      <c r="K128" s="433">
        <v>72.0</v>
      </c>
      <c r="L128" s="433"/>
      <c r="M128" s="450"/>
      <c r="N128" s="433" t="s">
        <v>20796</v>
      </c>
      <c r="O128" s="433">
        <v>2012.0</v>
      </c>
      <c r="P128" s="433" t="s">
        <v>388</v>
      </c>
      <c r="Q128" s="433">
        <v>1.0</v>
      </c>
      <c r="R128" s="471"/>
      <c r="S128" s="3"/>
      <c r="T128" s="3"/>
      <c r="U128" s="3"/>
      <c r="V128" s="3"/>
      <c r="W128" s="3"/>
      <c r="X128" s="3"/>
      <c r="Y128" s="3"/>
      <c r="Z128" s="3"/>
      <c r="AA128" s="3"/>
      <c r="AB128" s="3"/>
      <c r="AC128" s="3"/>
      <c r="AD128" s="3"/>
      <c r="AE128" s="3"/>
      <c r="AF128" s="3"/>
      <c r="AG128" s="3"/>
      <c r="AH128" s="3"/>
      <c r="AI128" s="3"/>
      <c r="AJ128" s="3"/>
      <c r="AK128" s="3"/>
    </row>
    <row r="129" ht="15.75" customHeight="1">
      <c r="A129" s="3"/>
      <c r="B129" s="921" t="s">
        <v>17709</v>
      </c>
      <c r="C129" s="433" t="s">
        <v>20297</v>
      </c>
      <c r="D129" s="433" t="s">
        <v>20794</v>
      </c>
      <c r="E129" s="434" t="s">
        <v>20806</v>
      </c>
      <c r="F129" s="433" t="s">
        <v>13047</v>
      </c>
      <c r="G129" s="433" t="s">
        <v>29</v>
      </c>
      <c r="H129" s="433" t="s">
        <v>37</v>
      </c>
      <c r="I129" s="433"/>
      <c r="J129" s="433" t="s">
        <v>38</v>
      </c>
      <c r="K129" s="433">
        <v>72.0</v>
      </c>
      <c r="L129" s="433"/>
      <c r="M129" s="450"/>
      <c r="N129" s="433" t="s">
        <v>20796</v>
      </c>
      <c r="O129" s="433">
        <v>2012.0</v>
      </c>
      <c r="P129" s="433" t="s">
        <v>388</v>
      </c>
      <c r="Q129" s="433">
        <v>1.0</v>
      </c>
      <c r="R129" s="471"/>
      <c r="S129" s="3"/>
      <c r="T129" s="3"/>
      <c r="U129" s="3"/>
      <c r="V129" s="3"/>
      <c r="W129" s="3"/>
      <c r="X129" s="3"/>
      <c r="Y129" s="3"/>
      <c r="Z129" s="3"/>
      <c r="AA129" s="3"/>
      <c r="AB129" s="3"/>
      <c r="AC129" s="3"/>
      <c r="AD129" s="3"/>
      <c r="AE129" s="3"/>
      <c r="AF129" s="3"/>
      <c r="AG129" s="3"/>
      <c r="AH129" s="3"/>
      <c r="AI129" s="3"/>
      <c r="AJ129" s="3"/>
      <c r="AK129" s="3"/>
    </row>
    <row r="130" ht="15.75" customHeight="1">
      <c r="A130" s="3"/>
      <c r="B130" s="921" t="s">
        <v>17713</v>
      </c>
      <c r="C130" s="433" t="s">
        <v>20297</v>
      </c>
      <c r="D130" s="433" t="s">
        <v>20794</v>
      </c>
      <c r="E130" s="434" t="s">
        <v>20807</v>
      </c>
      <c r="F130" s="433" t="s">
        <v>13047</v>
      </c>
      <c r="G130" s="433" t="s">
        <v>29</v>
      </c>
      <c r="H130" s="433" t="s">
        <v>37</v>
      </c>
      <c r="I130" s="433"/>
      <c r="J130" s="433" t="s">
        <v>38</v>
      </c>
      <c r="K130" s="433">
        <v>72.0</v>
      </c>
      <c r="L130" s="433"/>
      <c r="M130" s="450"/>
      <c r="N130" s="433" t="s">
        <v>20796</v>
      </c>
      <c r="O130" s="433">
        <v>2009.0</v>
      </c>
      <c r="P130" s="433" t="s">
        <v>388</v>
      </c>
      <c r="Q130" s="433">
        <v>1.0</v>
      </c>
      <c r="R130" s="471"/>
      <c r="S130" s="3"/>
      <c r="T130" s="3"/>
      <c r="U130" s="3"/>
      <c r="V130" s="3"/>
      <c r="W130" s="3"/>
      <c r="X130" s="3"/>
      <c r="Y130" s="3"/>
      <c r="Z130" s="3"/>
      <c r="AA130" s="3"/>
      <c r="AB130" s="3"/>
      <c r="AC130" s="3"/>
      <c r="AD130" s="3"/>
      <c r="AE130" s="3"/>
      <c r="AF130" s="3"/>
      <c r="AG130" s="3"/>
      <c r="AH130" s="3"/>
      <c r="AI130" s="3"/>
      <c r="AJ130" s="3"/>
      <c r="AK130" s="3"/>
    </row>
    <row r="131" ht="15.75" customHeight="1">
      <c r="A131" s="3"/>
      <c r="B131" s="921" t="s">
        <v>17719</v>
      </c>
      <c r="C131" s="433" t="s">
        <v>31</v>
      </c>
      <c r="D131" s="433"/>
      <c r="E131" s="434" t="s">
        <v>20808</v>
      </c>
      <c r="F131" s="433" t="s">
        <v>13047</v>
      </c>
      <c r="G131" s="433" t="s">
        <v>29</v>
      </c>
      <c r="H131" s="433" t="s">
        <v>37</v>
      </c>
      <c r="I131" s="433"/>
      <c r="J131" s="433" t="s">
        <v>38</v>
      </c>
      <c r="K131" s="433">
        <v>42.0</v>
      </c>
      <c r="L131" s="433"/>
      <c r="M131" s="450"/>
      <c r="N131" s="433" t="s">
        <v>20809</v>
      </c>
      <c r="O131" s="433">
        <v>2009.0</v>
      </c>
      <c r="P131" s="433" t="s">
        <v>388</v>
      </c>
      <c r="Q131" s="433">
        <v>1.0</v>
      </c>
      <c r="R131" s="471"/>
      <c r="S131" s="3"/>
      <c r="T131" s="3"/>
      <c r="U131" s="3"/>
      <c r="V131" s="3"/>
      <c r="W131" s="3"/>
      <c r="X131" s="3"/>
      <c r="Y131" s="3"/>
      <c r="Z131" s="3"/>
      <c r="AA131" s="3"/>
      <c r="AB131" s="3"/>
      <c r="AC131" s="3"/>
      <c r="AD131" s="3"/>
      <c r="AE131" s="3"/>
      <c r="AF131" s="3"/>
      <c r="AG131" s="3"/>
      <c r="AH131" s="3"/>
      <c r="AI131" s="3"/>
      <c r="AJ131" s="3"/>
      <c r="AK131" s="3"/>
    </row>
    <row r="132" ht="15.75" customHeight="1">
      <c r="A132" s="3"/>
      <c r="B132" s="921" t="s">
        <v>17724</v>
      </c>
      <c r="C132" s="433" t="s">
        <v>20297</v>
      </c>
      <c r="D132" s="433" t="s">
        <v>20794</v>
      </c>
      <c r="E132" s="434" t="s">
        <v>20810</v>
      </c>
      <c r="F132" s="433" t="s">
        <v>13047</v>
      </c>
      <c r="G132" s="433" t="s">
        <v>29</v>
      </c>
      <c r="H132" s="433" t="s">
        <v>37</v>
      </c>
      <c r="I132" s="433"/>
      <c r="J132" s="433" t="s">
        <v>38</v>
      </c>
      <c r="K132" s="433">
        <v>72.0</v>
      </c>
      <c r="L132" s="433"/>
      <c r="M132" s="450"/>
      <c r="N132" s="433" t="s">
        <v>20796</v>
      </c>
      <c r="O132" s="433">
        <v>2011.0</v>
      </c>
      <c r="P132" s="433" t="s">
        <v>388</v>
      </c>
      <c r="Q132" s="433">
        <v>1.0</v>
      </c>
      <c r="R132" s="471"/>
      <c r="S132" s="3"/>
      <c r="T132" s="3"/>
      <c r="U132" s="3"/>
      <c r="V132" s="3"/>
      <c r="W132" s="3"/>
      <c r="X132" s="3"/>
      <c r="Y132" s="3"/>
      <c r="Z132" s="3"/>
      <c r="AA132" s="3"/>
      <c r="AB132" s="3"/>
      <c r="AC132" s="3"/>
      <c r="AD132" s="3"/>
      <c r="AE132" s="3"/>
      <c r="AF132" s="3"/>
      <c r="AG132" s="3"/>
      <c r="AH132" s="3"/>
      <c r="AI132" s="3"/>
      <c r="AJ132" s="3"/>
      <c r="AK132" s="3"/>
    </row>
    <row r="133" ht="15.75" customHeight="1">
      <c r="A133" s="3"/>
      <c r="B133" s="921" t="s">
        <v>17728</v>
      </c>
      <c r="C133" s="433" t="s">
        <v>20297</v>
      </c>
      <c r="D133" s="433" t="s">
        <v>20794</v>
      </c>
      <c r="E133" s="434" t="s">
        <v>20811</v>
      </c>
      <c r="F133" s="433" t="s">
        <v>13047</v>
      </c>
      <c r="G133" s="433" t="s">
        <v>29</v>
      </c>
      <c r="H133" s="433" t="s">
        <v>37</v>
      </c>
      <c r="I133" s="433"/>
      <c r="J133" s="433" t="s">
        <v>38</v>
      </c>
      <c r="K133" s="433">
        <v>128.0</v>
      </c>
      <c r="L133" s="433"/>
      <c r="M133" s="450"/>
      <c r="N133" s="433" t="s">
        <v>20796</v>
      </c>
      <c r="O133" s="433">
        <v>2009.0</v>
      </c>
      <c r="P133" s="433" t="s">
        <v>388</v>
      </c>
      <c r="Q133" s="433">
        <v>1.0</v>
      </c>
      <c r="R133" s="471"/>
      <c r="S133" s="3"/>
      <c r="T133" s="3"/>
      <c r="U133" s="3"/>
      <c r="V133" s="3"/>
      <c r="W133" s="3"/>
      <c r="X133" s="3"/>
      <c r="Y133" s="3"/>
      <c r="Z133" s="3"/>
      <c r="AA133" s="3"/>
      <c r="AB133" s="3"/>
      <c r="AC133" s="3"/>
      <c r="AD133" s="3"/>
      <c r="AE133" s="3"/>
      <c r="AF133" s="3"/>
      <c r="AG133" s="3"/>
      <c r="AH133" s="3"/>
      <c r="AI133" s="3"/>
      <c r="AJ133" s="3"/>
      <c r="AK133" s="3"/>
    </row>
    <row r="134" ht="15.75" customHeight="1">
      <c r="A134" s="3"/>
      <c r="B134" s="921" t="s">
        <v>17733</v>
      </c>
      <c r="C134" s="433" t="s">
        <v>20297</v>
      </c>
      <c r="D134" s="433" t="s">
        <v>20794</v>
      </c>
      <c r="E134" s="434" t="s">
        <v>20812</v>
      </c>
      <c r="F134" s="433" t="s">
        <v>13047</v>
      </c>
      <c r="G134" s="433" t="s">
        <v>29</v>
      </c>
      <c r="H134" s="433" t="s">
        <v>37</v>
      </c>
      <c r="I134" s="433"/>
      <c r="J134" s="433" t="s">
        <v>38</v>
      </c>
      <c r="K134" s="433">
        <v>128.0</v>
      </c>
      <c r="L134" s="433"/>
      <c r="M134" s="450"/>
      <c r="N134" s="433" t="s">
        <v>20796</v>
      </c>
      <c r="O134" s="433">
        <v>2009.0</v>
      </c>
      <c r="P134" s="433" t="s">
        <v>388</v>
      </c>
      <c r="Q134" s="433">
        <v>1.0</v>
      </c>
      <c r="R134" s="471"/>
      <c r="S134" s="3"/>
      <c r="T134" s="3"/>
      <c r="U134" s="3"/>
      <c r="V134" s="3"/>
      <c r="W134" s="3"/>
      <c r="X134" s="3"/>
      <c r="Y134" s="3"/>
      <c r="Z134" s="3"/>
      <c r="AA134" s="3"/>
      <c r="AB134" s="3"/>
      <c r="AC134" s="3"/>
      <c r="AD134" s="3"/>
      <c r="AE134" s="3"/>
      <c r="AF134" s="3"/>
      <c r="AG134" s="3"/>
      <c r="AH134" s="3"/>
      <c r="AI134" s="3"/>
      <c r="AJ134" s="3"/>
      <c r="AK134" s="3"/>
    </row>
    <row r="135" ht="15.75" customHeight="1">
      <c r="A135" s="3"/>
      <c r="B135" s="921" t="s">
        <v>17736</v>
      </c>
      <c r="C135" s="433" t="s">
        <v>20297</v>
      </c>
      <c r="D135" s="433" t="s">
        <v>20794</v>
      </c>
      <c r="E135" s="434" t="s">
        <v>20813</v>
      </c>
      <c r="F135" s="433" t="s">
        <v>13047</v>
      </c>
      <c r="G135" s="433" t="s">
        <v>29</v>
      </c>
      <c r="H135" s="433" t="s">
        <v>37</v>
      </c>
      <c r="I135" s="433"/>
      <c r="J135" s="433" t="s">
        <v>38</v>
      </c>
      <c r="K135" s="433">
        <v>72.0</v>
      </c>
      <c r="L135" s="433"/>
      <c r="M135" s="450"/>
      <c r="N135" s="433" t="s">
        <v>20796</v>
      </c>
      <c r="O135" s="433">
        <v>2011.0</v>
      </c>
      <c r="P135" s="433" t="s">
        <v>388</v>
      </c>
      <c r="Q135" s="433">
        <v>1.0</v>
      </c>
      <c r="R135" s="471"/>
      <c r="S135" s="3"/>
      <c r="T135" s="3"/>
      <c r="U135" s="3"/>
      <c r="V135" s="3"/>
      <c r="W135" s="3"/>
      <c r="X135" s="3"/>
      <c r="Y135" s="3"/>
      <c r="Z135" s="3"/>
      <c r="AA135" s="3"/>
      <c r="AB135" s="3"/>
      <c r="AC135" s="3"/>
      <c r="AD135" s="3"/>
      <c r="AE135" s="3"/>
      <c r="AF135" s="3"/>
      <c r="AG135" s="3"/>
      <c r="AH135" s="3"/>
      <c r="AI135" s="3"/>
      <c r="AJ135" s="3"/>
      <c r="AK135" s="3"/>
    </row>
    <row r="136" ht="15.75" customHeight="1">
      <c r="A136" s="3"/>
      <c r="B136" s="921" t="s">
        <v>17740</v>
      </c>
      <c r="C136" s="433" t="s">
        <v>20297</v>
      </c>
      <c r="D136" s="433" t="s">
        <v>20794</v>
      </c>
      <c r="E136" s="434" t="s">
        <v>20814</v>
      </c>
      <c r="F136" s="433" t="s">
        <v>13047</v>
      </c>
      <c r="G136" s="433" t="s">
        <v>29</v>
      </c>
      <c r="H136" s="433" t="s">
        <v>37</v>
      </c>
      <c r="I136" s="433"/>
      <c r="J136" s="433" t="s">
        <v>38</v>
      </c>
      <c r="K136" s="433">
        <v>72.0</v>
      </c>
      <c r="L136" s="433"/>
      <c r="M136" s="450"/>
      <c r="N136" s="433" t="s">
        <v>20796</v>
      </c>
      <c r="O136" s="433">
        <v>2011.0</v>
      </c>
      <c r="P136" s="433" t="s">
        <v>388</v>
      </c>
      <c r="Q136" s="433">
        <v>1.0</v>
      </c>
      <c r="R136" s="471"/>
      <c r="S136" s="3"/>
      <c r="T136" s="3"/>
      <c r="U136" s="3"/>
      <c r="V136" s="3"/>
      <c r="W136" s="3"/>
      <c r="X136" s="3"/>
      <c r="Y136" s="3"/>
      <c r="Z136" s="3"/>
      <c r="AA136" s="3"/>
      <c r="AB136" s="3"/>
      <c r="AC136" s="3"/>
      <c r="AD136" s="3"/>
      <c r="AE136" s="3"/>
      <c r="AF136" s="3"/>
      <c r="AG136" s="3"/>
      <c r="AH136" s="3"/>
      <c r="AI136" s="3"/>
      <c r="AJ136" s="3"/>
      <c r="AK136" s="3"/>
    </row>
    <row r="137" ht="15.75" customHeight="1">
      <c r="A137" s="3"/>
      <c r="B137" s="921" t="s">
        <v>20815</v>
      </c>
      <c r="C137" s="433" t="s">
        <v>20297</v>
      </c>
      <c r="D137" s="433" t="s">
        <v>20794</v>
      </c>
      <c r="E137" s="434" t="s">
        <v>20816</v>
      </c>
      <c r="F137" s="433" t="s">
        <v>13047</v>
      </c>
      <c r="G137" s="433" t="s">
        <v>29</v>
      </c>
      <c r="H137" s="433" t="s">
        <v>37</v>
      </c>
      <c r="I137" s="433"/>
      <c r="J137" s="433" t="s">
        <v>38</v>
      </c>
      <c r="K137" s="433">
        <v>80.0</v>
      </c>
      <c r="L137" s="433"/>
      <c r="M137" s="450"/>
      <c r="N137" s="433" t="s">
        <v>20796</v>
      </c>
      <c r="O137" s="433">
        <v>2011.0</v>
      </c>
      <c r="P137" s="433" t="s">
        <v>388</v>
      </c>
      <c r="Q137" s="433">
        <v>1.0</v>
      </c>
      <c r="R137" s="471"/>
      <c r="S137" s="3"/>
      <c r="T137" s="3"/>
      <c r="U137" s="3"/>
      <c r="V137" s="3"/>
      <c r="W137" s="3"/>
      <c r="X137" s="3"/>
      <c r="Y137" s="3"/>
      <c r="Z137" s="3"/>
      <c r="AA137" s="3"/>
      <c r="AB137" s="3"/>
      <c r="AC137" s="3"/>
      <c r="AD137" s="3"/>
      <c r="AE137" s="3"/>
      <c r="AF137" s="3"/>
      <c r="AG137" s="3"/>
      <c r="AH137" s="3"/>
      <c r="AI137" s="3"/>
      <c r="AJ137" s="3"/>
      <c r="AK137" s="3"/>
    </row>
    <row r="138" ht="15.75" customHeight="1">
      <c r="A138" s="3"/>
      <c r="B138" s="921" t="s">
        <v>20817</v>
      </c>
      <c r="C138" s="433" t="s">
        <v>20297</v>
      </c>
      <c r="D138" s="433" t="s">
        <v>20794</v>
      </c>
      <c r="E138" s="434" t="s">
        <v>20818</v>
      </c>
      <c r="F138" s="433" t="s">
        <v>13047</v>
      </c>
      <c r="G138" s="433" t="s">
        <v>29</v>
      </c>
      <c r="H138" s="433" t="s">
        <v>37</v>
      </c>
      <c r="I138" s="433"/>
      <c r="J138" s="433" t="s">
        <v>38</v>
      </c>
      <c r="K138" s="433">
        <v>81.0</v>
      </c>
      <c r="L138" s="433"/>
      <c r="M138" s="450"/>
      <c r="N138" s="433" t="s">
        <v>20796</v>
      </c>
      <c r="O138" s="433">
        <v>2012.0</v>
      </c>
      <c r="P138" s="433" t="s">
        <v>388</v>
      </c>
      <c r="Q138" s="433">
        <v>1.0</v>
      </c>
      <c r="R138" s="471"/>
      <c r="S138" s="3"/>
      <c r="T138" s="3"/>
      <c r="U138" s="3"/>
      <c r="V138" s="3"/>
      <c r="W138" s="3"/>
      <c r="X138" s="3"/>
      <c r="Y138" s="3"/>
      <c r="Z138" s="3"/>
      <c r="AA138" s="3"/>
      <c r="AB138" s="3"/>
      <c r="AC138" s="3"/>
      <c r="AD138" s="3"/>
      <c r="AE138" s="3"/>
      <c r="AF138" s="3"/>
      <c r="AG138" s="3"/>
      <c r="AH138" s="3"/>
      <c r="AI138" s="3"/>
      <c r="AJ138" s="3"/>
      <c r="AK138" s="3"/>
    </row>
    <row r="139" ht="15.75" customHeight="1">
      <c r="A139" s="3"/>
      <c r="B139" s="921" t="s">
        <v>20819</v>
      </c>
      <c r="C139" s="433" t="s">
        <v>20297</v>
      </c>
      <c r="D139" s="433" t="s">
        <v>20794</v>
      </c>
      <c r="E139" s="434" t="s">
        <v>20820</v>
      </c>
      <c r="F139" s="433" t="s">
        <v>13047</v>
      </c>
      <c r="G139" s="433" t="s">
        <v>29</v>
      </c>
      <c r="H139" s="433" t="s">
        <v>37</v>
      </c>
      <c r="I139" s="433"/>
      <c r="J139" s="433" t="s">
        <v>38</v>
      </c>
      <c r="K139" s="433">
        <v>72.0</v>
      </c>
      <c r="L139" s="433"/>
      <c r="M139" s="450"/>
      <c r="N139" s="433" t="s">
        <v>20796</v>
      </c>
      <c r="O139" s="433">
        <v>2011.0</v>
      </c>
      <c r="P139" s="433" t="s">
        <v>388</v>
      </c>
      <c r="Q139" s="433">
        <v>1.0</v>
      </c>
      <c r="R139" s="471"/>
      <c r="S139" s="3"/>
      <c r="T139" s="3"/>
      <c r="U139" s="3"/>
      <c r="V139" s="3"/>
      <c r="W139" s="3"/>
      <c r="X139" s="3"/>
      <c r="Y139" s="3"/>
      <c r="Z139" s="3"/>
      <c r="AA139" s="3"/>
      <c r="AB139" s="3"/>
      <c r="AC139" s="3"/>
      <c r="AD139" s="3"/>
      <c r="AE139" s="3"/>
      <c r="AF139" s="3"/>
      <c r="AG139" s="3"/>
      <c r="AH139" s="3"/>
      <c r="AI139" s="3"/>
      <c r="AJ139" s="3"/>
      <c r="AK139" s="3"/>
    </row>
    <row r="140" ht="15.75" customHeight="1">
      <c r="A140" s="3"/>
      <c r="B140" s="921" t="s">
        <v>20821</v>
      </c>
      <c r="C140" s="433" t="s">
        <v>20297</v>
      </c>
      <c r="D140" s="433" t="s">
        <v>20794</v>
      </c>
      <c r="E140" s="434" t="s">
        <v>20822</v>
      </c>
      <c r="F140" s="433" t="s">
        <v>13047</v>
      </c>
      <c r="G140" s="433" t="s">
        <v>29</v>
      </c>
      <c r="H140" s="433" t="s">
        <v>37</v>
      </c>
      <c r="I140" s="433"/>
      <c r="J140" s="433" t="s">
        <v>38</v>
      </c>
      <c r="K140" s="433">
        <v>88.0</v>
      </c>
      <c r="L140" s="433"/>
      <c r="M140" s="450"/>
      <c r="N140" s="433" t="s">
        <v>20796</v>
      </c>
      <c r="O140" s="433">
        <v>2010.0</v>
      </c>
      <c r="P140" s="433" t="s">
        <v>388</v>
      </c>
      <c r="Q140" s="433">
        <v>1.0</v>
      </c>
      <c r="R140" s="471"/>
      <c r="S140" s="3"/>
      <c r="T140" s="3"/>
      <c r="U140" s="3"/>
      <c r="V140" s="3"/>
      <c r="W140" s="3"/>
      <c r="X140" s="3"/>
      <c r="Y140" s="3"/>
      <c r="Z140" s="3"/>
      <c r="AA140" s="3"/>
      <c r="AB140" s="3"/>
      <c r="AC140" s="3"/>
      <c r="AD140" s="3"/>
      <c r="AE140" s="3"/>
      <c r="AF140" s="3"/>
      <c r="AG140" s="3"/>
      <c r="AH140" s="3"/>
      <c r="AI140" s="3"/>
      <c r="AJ140" s="3"/>
      <c r="AK140" s="3"/>
    </row>
    <row r="141" ht="15.75" customHeight="1">
      <c r="A141" s="3"/>
      <c r="B141" s="921" t="s">
        <v>20823</v>
      </c>
      <c r="C141" s="433" t="s">
        <v>20297</v>
      </c>
      <c r="D141" s="433" t="s">
        <v>20794</v>
      </c>
      <c r="E141" s="434" t="s">
        <v>20824</v>
      </c>
      <c r="F141" s="433" t="s">
        <v>13047</v>
      </c>
      <c r="G141" s="433" t="s">
        <v>29</v>
      </c>
      <c r="H141" s="433" t="s">
        <v>37</v>
      </c>
      <c r="I141" s="433"/>
      <c r="J141" s="433" t="s">
        <v>38</v>
      </c>
      <c r="K141" s="433">
        <v>72.0</v>
      </c>
      <c r="L141" s="433"/>
      <c r="M141" s="450"/>
      <c r="N141" s="433" t="s">
        <v>20796</v>
      </c>
      <c r="O141" s="433">
        <v>2009.0</v>
      </c>
      <c r="P141" s="433" t="s">
        <v>388</v>
      </c>
      <c r="Q141" s="433">
        <v>1.0</v>
      </c>
      <c r="R141" s="471"/>
      <c r="S141" s="3"/>
      <c r="T141" s="3"/>
      <c r="U141" s="3"/>
      <c r="V141" s="3"/>
      <c r="W141" s="3"/>
      <c r="X141" s="3"/>
      <c r="Y141" s="3"/>
      <c r="Z141" s="3"/>
      <c r="AA141" s="3"/>
      <c r="AB141" s="3"/>
      <c r="AC141" s="3"/>
      <c r="AD141" s="3"/>
      <c r="AE141" s="3"/>
      <c r="AF141" s="3"/>
      <c r="AG141" s="3"/>
      <c r="AH141" s="3"/>
      <c r="AI141" s="3"/>
      <c r="AJ141" s="3"/>
      <c r="AK141" s="3"/>
    </row>
    <row r="142" ht="15.75" customHeight="1">
      <c r="A142" s="3"/>
      <c r="B142" s="921" t="s">
        <v>20825</v>
      </c>
      <c r="C142" s="433" t="s">
        <v>20297</v>
      </c>
      <c r="D142" s="433" t="s">
        <v>20794</v>
      </c>
      <c r="E142" s="434" t="s">
        <v>20826</v>
      </c>
      <c r="F142" s="433" t="s">
        <v>13047</v>
      </c>
      <c r="G142" s="433" t="s">
        <v>29</v>
      </c>
      <c r="H142" s="433" t="s">
        <v>37</v>
      </c>
      <c r="I142" s="433"/>
      <c r="J142" s="433" t="s">
        <v>38</v>
      </c>
      <c r="K142" s="433">
        <v>64.0</v>
      </c>
      <c r="L142" s="433"/>
      <c r="M142" s="450"/>
      <c r="N142" s="433" t="s">
        <v>20796</v>
      </c>
      <c r="O142" s="433">
        <v>2016.0</v>
      </c>
      <c r="P142" s="433" t="s">
        <v>388</v>
      </c>
      <c r="Q142" s="433">
        <v>1.0</v>
      </c>
      <c r="R142" s="471"/>
      <c r="S142" s="3"/>
      <c r="T142" s="3"/>
      <c r="U142" s="3"/>
      <c r="V142" s="3"/>
      <c r="W142" s="3"/>
      <c r="X142" s="3"/>
      <c r="Y142" s="3"/>
      <c r="Z142" s="3"/>
      <c r="AA142" s="3"/>
      <c r="AB142" s="3"/>
      <c r="AC142" s="3"/>
      <c r="AD142" s="3"/>
      <c r="AE142" s="3"/>
      <c r="AF142" s="3"/>
      <c r="AG142" s="3"/>
      <c r="AH142" s="3"/>
      <c r="AI142" s="3"/>
      <c r="AJ142" s="3"/>
      <c r="AK142" s="3"/>
    </row>
    <row r="143" ht="15.75" customHeight="1">
      <c r="A143" s="3"/>
      <c r="B143" s="921" t="s">
        <v>20827</v>
      </c>
      <c r="C143" s="433" t="s">
        <v>20297</v>
      </c>
      <c r="D143" s="433" t="s">
        <v>20794</v>
      </c>
      <c r="E143" s="434" t="s">
        <v>20828</v>
      </c>
      <c r="F143" s="433" t="s">
        <v>13047</v>
      </c>
      <c r="G143" s="433" t="s">
        <v>29</v>
      </c>
      <c r="H143" s="433" t="s">
        <v>37</v>
      </c>
      <c r="I143" s="433"/>
      <c r="J143" s="433" t="s">
        <v>38</v>
      </c>
      <c r="K143" s="433">
        <v>64.0</v>
      </c>
      <c r="L143" s="433"/>
      <c r="M143" s="450"/>
      <c r="N143" s="433" t="s">
        <v>20796</v>
      </c>
      <c r="O143" s="433">
        <v>2016.0</v>
      </c>
      <c r="P143" s="433" t="s">
        <v>388</v>
      </c>
      <c r="Q143" s="433">
        <v>1.0</v>
      </c>
      <c r="R143" s="471"/>
      <c r="S143" s="3"/>
      <c r="T143" s="3"/>
      <c r="U143" s="3"/>
      <c r="V143" s="3"/>
      <c r="W143" s="3"/>
      <c r="X143" s="3"/>
      <c r="Y143" s="3"/>
      <c r="Z143" s="3"/>
      <c r="AA143" s="3"/>
      <c r="AB143" s="3"/>
      <c r="AC143" s="3"/>
      <c r="AD143" s="3"/>
      <c r="AE143" s="3"/>
      <c r="AF143" s="3"/>
      <c r="AG143" s="3"/>
      <c r="AH143" s="3"/>
      <c r="AI143" s="3"/>
      <c r="AJ143" s="3"/>
      <c r="AK143" s="3"/>
    </row>
    <row r="144" ht="15.75" customHeight="1">
      <c r="A144" s="3"/>
      <c r="B144" s="921" t="s">
        <v>20829</v>
      </c>
      <c r="C144" s="430" t="s">
        <v>20297</v>
      </c>
      <c r="D144" s="430" t="s">
        <v>20794</v>
      </c>
      <c r="E144" s="432" t="s">
        <v>20830</v>
      </c>
      <c r="F144" s="430" t="s">
        <v>13047</v>
      </c>
      <c r="G144" s="430" t="s">
        <v>29</v>
      </c>
      <c r="H144" s="430" t="s">
        <v>37</v>
      </c>
      <c r="I144" s="430"/>
      <c r="J144" s="430" t="s">
        <v>38</v>
      </c>
      <c r="K144" s="430">
        <v>64.0</v>
      </c>
      <c r="L144" s="430"/>
      <c r="M144" s="603"/>
      <c r="N144" s="430" t="s">
        <v>20796</v>
      </c>
      <c r="O144" s="430">
        <v>2016.0</v>
      </c>
      <c r="P144" s="430" t="s">
        <v>388</v>
      </c>
      <c r="Q144" s="430">
        <v>1.0</v>
      </c>
      <c r="R144" s="471"/>
      <c r="S144" s="3"/>
      <c r="T144" s="3"/>
      <c r="U144" s="3"/>
      <c r="V144" s="3"/>
      <c r="W144" s="3"/>
      <c r="X144" s="3"/>
      <c r="Y144" s="3"/>
      <c r="Z144" s="3"/>
      <c r="AA144" s="3"/>
      <c r="AB144" s="3"/>
      <c r="AC144" s="3"/>
      <c r="AD144" s="3"/>
      <c r="AE144" s="3"/>
      <c r="AF144" s="3"/>
      <c r="AG144" s="3"/>
      <c r="AH144" s="3"/>
      <c r="AI144" s="3"/>
      <c r="AJ144" s="3"/>
      <c r="AK144" s="3"/>
    </row>
    <row r="145" ht="15.75" customHeight="1">
      <c r="A145" s="3"/>
      <c r="B145" s="599"/>
      <c r="C145" s="430" t="s">
        <v>20831</v>
      </c>
      <c r="D145" s="430" t="s">
        <v>20794</v>
      </c>
      <c r="E145" s="432" t="s">
        <v>20830</v>
      </c>
      <c r="F145" s="430" t="s">
        <v>13047</v>
      </c>
      <c r="G145" s="430" t="s">
        <v>29</v>
      </c>
      <c r="H145" s="430" t="s">
        <v>37</v>
      </c>
      <c r="I145" s="430"/>
      <c r="J145" s="430" t="s">
        <v>38</v>
      </c>
      <c r="K145" s="430">
        <v>64.0</v>
      </c>
      <c r="L145" s="430"/>
      <c r="M145" s="603"/>
      <c r="N145" s="430" t="s">
        <v>20796</v>
      </c>
      <c r="O145" s="430">
        <v>2016.0</v>
      </c>
      <c r="P145" s="430" t="s">
        <v>388</v>
      </c>
      <c r="Q145" s="430">
        <v>1.0</v>
      </c>
      <c r="R145" s="471"/>
      <c r="S145" s="3"/>
      <c r="T145" s="3"/>
      <c r="U145" s="3"/>
      <c r="V145" s="3"/>
      <c r="W145" s="3"/>
      <c r="X145" s="3"/>
      <c r="Y145" s="3"/>
      <c r="Z145" s="3"/>
      <c r="AA145" s="3"/>
      <c r="AB145" s="3"/>
      <c r="AC145" s="3"/>
      <c r="AD145" s="3"/>
      <c r="AE145" s="3"/>
      <c r="AF145" s="3"/>
      <c r="AG145" s="3"/>
      <c r="AH145" s="3"/>
      <c r="AI145" s="3"/>
      <c r="AJ145" s="3"/>
      <c r="AK145" s="3"/>
    </row>
    <row r="146" ht="15.75" customHeight="1">
      <c r="A146" s="3"/>
      <c r="B146" s="921" t="s">
        <v>19881</v>
      </c>
      <c r="C146" s="433"/>
      <c r="D146" s="433"/>
      <c r="E146" s="434" t="s">
        <v>20832</v>
      </c>
      <c r="F146" s="433"/>
      <c r="G146" s="433" t="s">
        <v>740</v>
      </c>
      <c r="H146" s="433" t="s">
        <v>30</v>
      </c>
      <c r="I146" s="433"/>
      <c r="J146" s="433" t="s">
        <v>30</v>
      </c>
      <c r="K146" s="433"/>
      <c r="L146" s="433"/>
      <c r="M146" s="433"/>
      <c r="N146" s="450"/>
      <c r="O146" s="450">
        <v>1985.0</v>
      </c>
      <c r="P146" s="433" t="s">
        <v>388</v>
      </c>
      <c r="Q146" s="433">
        <v>1.0</v>
      </c>
      <c r="R146" s="471"/>
      <c r="S146" s="3"/>
      <c r="T146" s="3"/>
      <c r="U146" s="3"/>
      <c r="V146" s="3"/>
      <c r="W146" s="3"/>
      <c r="X146" s="3"/>
      <c r="Y146" s="3"/>
      <c r="Z146" s="3"/>
      <c r="AA146" s="3"/>
      <c r="AB146" s="3"/>
      <c r="AC146" s="3"/>
      <c r="AD146" s="3"/>
      <c r="AE146" s="3"/>
      <c r="AF146" s="3"/>
      <c r="AG146" s="3"/>
      <c r="AH146" s="3"/>
      <c r="AI146" s="3"/>
      <c r="AJ146" s="3"/>
      <c r="AK146" s="3"/>
    </row>
    <row r="147" ht="15.75" customHeight="1">
      <c r="A147" s="3"/>
      <c r="B147" s="921" t="s">
        <v>19883</v>
      </c>
      <c r="C147" s="433"/>
      <c r="D147" s="433"/>
      <c r="E147" s="434" t="s">
        <v>20833</v>
      </c>
      <c r="F147" s="433"/>
      <c r="G147" s="433" t="s">
        <v>740</v>
      </c>
      <c r="H147" s="433" t="s">
        <v>30</v>
      </c>
      <c r="I147" s="433"/>
      <c r="J147" s="433" t="s">
        <v>30</v>
      </c>
      <c r="K147" s="433"/>
      <c r="L147" s="433"/>
      <c r="M147" s="433"/>
      <c r="N147" s="450" t="s">
        <v>20088</v>
      </c>
      <c r="O147" s="450">
        <v>1985.0</v>
      </c>
      <c r="P147" s="433" t="s">
        <v>388</v>
      </c>
      <c r="Q147" s="433">
        <v>1.0</v>
      </c>
      <c r="R147" s="471"/>
      <c r="S147" s="3"/>
      <c r="T147" s="3"/>
      <c r="U147" s="3"/>
      <c r="V147" s="3"/>
      <c r="W147" s="3"/>
      <c r="X147" s="3"/>
      <c r="Y147" s="3"/>
      <c r="Z147" s="3"/>
      <c r="AA147" s="3"/>
      <c r="AB147" s="3"/>
      <c r="AC147" s="3"/>
      <c r="AD147" s="3"/>
      <c r="AE147" s="3"/>
      <c r="AF147" s="3"/>
      <c r="AG147" s="3"/>
      <c r="AH147" s="3"/>
      <c r="AI147" s="3"/>
      <c r="AJ147" s="3"/>
      <c r="AK147" s="3"/>
    </row>
    <row r="148" ht="15.75" customHeight="1">
      <c r="A148" s="3"/>
      <c r="B148" s="921" t="s">
        <v>19884</v>
      </c>
      <c r="C148" s="433"/>
      <c r="D148" s="433"/>
      <c r="E148" s="434" t="s">
        <v>20834</v>
      </c>
      <c r="F148" s="433"/>
      <c r="G148" s="433" t="s">
        <v>740</v>
      </c>
      <c r="H148" s="433" t="s">
        <v>30</v>
      </c>
      <c r="I148" s="433"/>
      <c r="J148" s="433" t="s">
        <v>30</v>
      </c>
      <c r="K148" s="433"/>
      <c r="L148" s="433"/>
      <c r="M148" s="433"/>
      <c r="N148" s="450" t="s">
        <v>20088</v>
      </c>
      <c r="O148" s="450">
        <v>1985.0</v>
      </c>
      <c r="P148" s="433" t="s">
        <v>388</v>
      </c>
      <c r="Q148" s="433">
        <v>1.0</v>
      </c>
      <c r="R148" s="471"/>
      <c r="S148" s="3"/>
      <c r="T148" s="3"/>
      <c r="U148" s="3"/>
      <c r="V148" s="3"/>
      <c r="W148" s="3"/>
      <c r="X148" s="3"/>
      <c r="Y148" s="3"/>
      <c r="Z148" s="3"/>
      <c r="AA148" s="3"/>
      <c r="AB148" s="3"/>
      <c r="AC148" s="3"/>
      <c r="AD148" s="3"/>
      <c r="AE148" s="3"/>
      <c r="AF148" s="3"/>
      <c r="AG148" s="3"/>
      <c r="AH148" s="3"/>
      <c r="AI148" s="3"/>
      <c r="AJ148" s="3"/>
      <c r="AK148" s="3"/>
    </row>
    <row r="149" ht="15.75" customHeight="1">
      <c r="A149" s="3"/>
      <c r="B149" s="921" t="s">
        <v>19886</v>
      </c>
      <c r="C149" s="433"/>
      <c r="D149" s="433"/>
      <c r="E149" s="434" t="s">
        <v>20835</v>
      </c>
      <c r="F149" s="433"/>
      <c r="G149" s="433" t="s">
        <v>740</v>
      </c>
      <c r="H149" s="433" t="s">
        <v>30</v>
      </c>
      <c r="I149" s="433"/>
      <c r="J149" s="433" t="s">
        <v>30</v>
      </c>
      <c r="K149" s="433"/>
      <c r="L149" s="433"/>
      <c r="M149" s="433"/>
      <c r="N149" s="450" t="s">
        <v>20088</v>
      </c>
      <c r="O149" s="450">
        <v>1985.0</v>
      </c>
      <c r="P149" s="433" t="s">
        <v>388</v>
      </c>
      <c r="Q149" s="433">
        <v>1.0</v>
      </c>
      <c r="R149" s="471"/>
      <c r="S149" s="3"/>
      <c r="T149" s="3"/>
      <c r="U149" s="3"/>
      <c r="V149" s="3"/>
      <c r="W149" s="3"/>
      <c r="X149" s="3"/>
      <c r="Y149" s="3"/>
      <c r="Z149" s="3"/>
      <c r="AA149" s="3"/>
      <c r="AB149" s="3"/>
      <c r="AC149" s="3"/>
      <c r="AD149" s="3"/>
      <c r="AE149" s="3"/>
      <c r="AF149" s="3"/>
      <c r="AG149" s="3"/>
      <c r="AH149" s="3"/>
      <c r="AI149" s="3"/>
      <c r="AJ149" s="3"/>
      <c r="AK149" s="3"/>
    </row>
    <row r="150" ht="15.75" customHeight="1">
      <c r="A150" s="3"/>
      <c r="B150" s="921" t="s">
        <v>19888</v>
      </c>
      <c r="C150" s="433"/>
      <c r="D150" s="433"/>
      <c r="E150" s="434" t="s">
        <v>20836</v>
      </c>
      <c r="F150" s="433"/>
      <c r="G150" s="433" t="s">
        <v>740</v>
      </c>
      <c r="H150" s="433" t="s">
        <v>30</v>
      </c>
      <c r="I150" s="433"/>
      <c r="J150" s="433" t="s">
        <v>30</v>
      </c>
      <c r="K150" s="433"/>
      <c r="L150" s="433"/>
      <c r="M150" s="433"/>
      <c r="N150" s="450" t="s">
        <v>20088</v>
      </c>
      <c r="O150" s="450">
        <v>1985.0</v>
      </c>
      <c r="P150" s="433" t="s">
        <v>388</v>
      </c>
      <c r="Q150" s="433">
        <v>1.0</v>
      </c>
      <c r="R150" s="471"/>
      <c r="S150" s="3"/>
      <c r="T150" s="3"/>
      <c r="U150" s="3"/>
      <c r="V150" s="3"/>
      <c r="W150" s="3"/>
      <c r="X150" s="3"/>
      <c r="Y150" s="3"/>
      <c r="Z150" s="3"/>
      <c r="AA150" s="3"/>
      <c r="AB150" s="3"/>
      <c r="AC150" s="3"/>
      <c r="AD150" s="3"/>
      <c r="AE150" s="3"/>
      <c r="AF150" s="3"/>
      <c r="AG150" s="3"/>
      <c r="AH150" s="3"/>
      <c r="AI150" s="3"/>
      <c r="AJ150" s="3"/>
      <c r="AK150" s="3"/>
    </row>
    <row r="151" ht="15.75" customHeight="1">
      <c r="A151" s="3"/>
      <c r="B151" s="921" t="s">
        <v>19890</v>
      </c>
      <c r="C151" s="433"/>
      <c r="D151" s="433"/>
      <c r="E151" s="434" t="s">
        <v>20837</v>
      </c>
      <c r="F151" s="433"/>
      <c r="G151" s="433" t="s">
        <v>740</v>
      </c>
      <c r="H151" s="433" t="s">
        <v>30</v>
      </c>
      <c r="I151" s="433"/>
      <c r="J151" s="433" t="s">
        <v>30</v>
      </c>
      <c r="K151" s="433"/>
      <c r="L151" s="433"/>
      <c r="M151" s="433"/>
      <c r="N151" s="450" t="s">
        <v>20088</v>
      </c>
      <c r="O151" s="450">
        <v>1985.0</v>
      </c>
      <c r="P151" s="433" t="s">
        <v>388</v>
      </c>
      <c r="Q151" s="433">
        <v>1.0</v>
      </c>
      <c r="R151" s="471"/>
      <c r="S151" s="3"/>
      <c r="T151" s="3"/>
      <c r="U151" s="3"/>
      <c r="V151" s="3"/>
      <c r="W151" s="3"/>
      <c r="X151" s="3"/>
      <c r="Y151" s="3"/>
      <c r="Z151" s="3"/>
      <c r="AA151" s="3"/>
      <c r="AB151" s="3"/>
      <c r="AC151" s="3"/>
      <c r="AD151" s="3"/>
      <c r="AE151" s="3"/>
      <c r="AF151" s="3"/>
      <c r="AG151" s="3"/>
      <c r="AH151" s="3"/>
      <c r="AI151" s="3"/>
      <c r="AJ151" s="3"/>
      <c r="AK151" s="3"/>
    </row>
    <row r="152" ht="15.75" customHeight="1">
      <c r="A152" s="3"/>
      <c r="B152" s="921" t="s">
        <v>19892</v>
      </c>
      <c r="C152" s="433"/>
      <c r="D152" s="433"/>
      <c r="E152" s="434" t="s">
        <v>20838</v>
      </c>
      <c r="F152" s="433"/>
      <c r="G152" s="433" t="s">
        <v>740</v>
      </c>
      <c r="H152" s="433" t="s">
        <v>30</v>
      </c>
      <c r="I152" s="433"/>
      <c r="J152" s="433" t="s">
        <v>30</v>
      </c>
      <c r="K152" s="433"/>
      <c r="L152" s="433"/>
      <c r="M152" s="433"/>
      <c r="N152" s="450" t="s">
        <v>20088</v>
      </c>
      <c r="O152" s="450">
        <v>1985.0</v>
      </c>
      <c r="P152" s="433" t="s">
        <v>388</v>
      </c>
      <c r="Q152" s="433">
        <v>1.0</v>
      </c>
      <c r="R152" s="471"/>
      <c r="S152" s="3"/>
      <c r="T152" s="3"/>
      <c r="U152" s="3"/>
      <c r="V152" s="3"/>
      <c r="W152" s="3"/>
      <c r="X152" s="3"/>
      <c r="Y152" s="3"/>
      <c r="Z152" s="3"/>
      <c r="AA152" s="3"/>
      <c r="AB152" s="3"/>
      <c r="AC152" s="3"/>
      <c r="AD152" s="3"/>
      <c r="AE152" s="3"/>
      <c r="AF152" s="3"/>
      <c r="AG152" s="3"/>
      <c r="AH152" s="3"/>
      <c r="AI152" s="3"/>
      <c r="AJ152" s="3"/>
      <c r="AK152" s="3"/>
    </row>
    <row r="153" ht="15.75" customHeight="1">
      <c r="A153" s="3"/>
      <c r="B153" s="921" t="s">
        <v>19895</v>
      </c>
      <c r="C153" s="433"/>
      <c r="D153" s="433"/>
      <c r="E153" s="434" t="s">
        <v>20839</v>
      </c>
      <c r="F153" s="433"/>
      <c r="G153" s="433" t="s">
        <v>740</v>
      </c>
      <c r="H153" s="433" t="s">
        <v>30</v>
      </c>
      <c r="I153" s="433"/>
      <c r="J153" s="433" t="s">
        <v>30</v>
      </c>
      <c r="K153" s="433"/>
      <c r="L153" s="433"/>
      <c r="M153" s="433"/>
      <c r="N153" s="450" t="s">
        <v>20088</v>
      </c>
      <c r="O153" s="450">
        <v>1985.0</v>
      </c>
      <c r="P153" s="433" t="s">
        <v>388</v>
      </c>
      <c r="Q153" s="433">
        <v>1.0</v>
      </c>
      <c r="R153" s="471"/>
      <c r="S153" s="3"/>
      <c r="T153" s="3"/>
      <c r="U153" s="3"/>
      <c r="V153" s="3"/>
      <c r="W153" s="3"/>
      <c r="X153" s="3"/>
      <c r="Y153" s="3"/>
      <c r="Z153" s="3"/>
      <c r="AA153" s="3"/>
      <c r="AB153" s="3"/>
      <c r="AC153" s="3"/>
      <c r="AD153" s="3"/>
      <c r="AE153" s="3"/>
      <c r="AF153" s="3"/>
      <c r="AG153" s="3"/>
      <c r="AH153" s="3"/>
      <c r="AI153" s="3"/>
      <c r="AJ153" s="3"/>
      <c r="AK153" s="3"/>
    </row>
    <row r="154" ht="15.75" customHeight="1">
      <c r="A154" s="3"/>
      <c r="B154" s="921" t="s">
        <v>19897</v>
      </c>
      <c r="C154" s="433"/>
      <c r="D154" s="433"/>
      <c r="E154" s="434" t="s">
        <v>20840</v>
      </c>
      <c r="F154" s="433"/>
      <c r="G154" s="433" t="s">
        <v>740</v>
      </c>
      <c r="H154" s="433" t="s">
        <v>30</v>
      </c>
      <c r="I154" s="433"/>
      <c r="J154" s="433" t="s">
        <v>30</v>
      </c>
      <c r="K154" s="433"/>
      <c r="L154" s="433"/>
      <c r="M154" s="433"/>
      <c r="N154" s="450" t="s">
        <v>20088</v>
      </c>
      <c r="O154" s="450">
        <v>1985.0</v>
      </c>
      <c r="P154" s="433" t="s">
        <v>388</v>
      </c>
      <c r="Q154" s="433">
        <v>1.0</v>
      </c>
      <c r="R154" s="471"/>
      <c r="S154" s="3"/>
      <c r="T154" s="3"/>
      <c r="U154" s="3"/>
      <c r="V154" s="3"/>
      <c r="W154" s="3"/>
      <c r="X154" s="3"/>
      <c r="Y154" s="3"/>
      <c r="Z154" s="3"/>
      <c r="AA154" s="3"/>
      <c r="AB154" s="3"/>
      <c r="AC154" s="3"/>
      <c r="AD154" s="3"/>
      <c r="AE154" s="3"/>
      <c r="AF154" s="3"/>
      <c r="AG154" s="3"/>
      <c r="AH154" s="3"/>
      <c r="AI154" s="3"/>
      <c r="AJ154" s="3"/>
      <c r="AK154" s="3"/>
    </row>
    <row r="155" ht="15.75" customHeight="1">
      <c r="A155" s="3"/>
      <c r="B155" s="921" t="s">
        <v>19899</v>
      </c>
      <c r="C155" s="433"/>
      <c r="D155" s="433"/>
      <c r="E155" s="434" t="s">
        <v>20841</v>
      </c>
      <c r="F155" s="433"/>
      <c r="G155" s="433" t="s">
        <v>740</v>
      </c>
      <c r="H155" s="433" t="s">
        <v>30</v>
      </c>
      <c r="I155" s="433"/>
      <c r="J155" s="433" t="s">
        <v>30</v>
      </c>
      <c r="K155" s="433"/>
      <c r="L155" s="433"/>
      <c r="M155" s="433"/>
      <c r="N155" s="450" t="s">
        <v>20088</v>
      </c>
      <c r="O155" s="450">
        <v>1985.0</v>
      </c>
      <c r="P155" s="433" t="s">
        <v>388</v>
      </c>
      <c r="Q155" s="433">
        <v>1.0</v>
      </c>
      <c r="R155" s="471"/>
      <c r="S155" s="3"/>
      <c r="T155" s="3"/>
      <c r="U155" s="3"/>
      <c r="V155" s="3"/>
      <c r="W155" s="3"/>
      <c r="X155" s="3"/>
      <c r="Y155" s="3"/>
      <c r="Z155" s="3"/>
      <c r="AA155" s="3"/>
      <c r="AB155" s="3"/>
      <c r="AC155" s="3"/>
      <c r="AD155" s="3"/>
      <c r="AE155" s="3"/>
      <c r="AF155" s="3"/>
      <c r="AG155" s="3"/>
      <c r="AH155" s="3"/>
      <c r="AI155" s="3"/>
      <c r="AJ155" s="3"/>
      <c r="AK155" s="3"/>
    </row>
    <row r="156" ht="15.75" customHeight="1">
      <c r="A156" s="3"/>
      <c r="B156" s="921" t="s">
        <v>19901</v>
      </c>
      <c r="C156" s="433"/>
      <c r="D156" s="433"/>
      <c r="E156" s="434" t="s">
        <v>20842</v>
      </c>
      <c r="F156" s="433"/>
      <c r="G156" s="433" t="s">
        <v>740</v>
      </c>
      <c r="H156" s="433" t="s">
        <v>30</v>
      </c>
      <c r="I156" s="433"/>
      <c r="J156" s="433" t="s">
        <v>30</v>
      </c>
      <c r="K156" s="433"/>
      <c r="L156" s="433"/>
      <c r="M156" s="433"/>
      <c r="N156" s="450" t="s">
        <v>20088</v>
      </c>
      <c r="O156" s="450">
        <v>1985.0</v>
      </c>
      <c r="P156" s="433" t="s">
        <v>388</v>
      </c>
      <c r="Q156" s="433">
        <v>1.0</v>
      </c>
      <c r="R156" s="471"/>
      <c r="S156" s="3"/>
      <c r="T156" s="3"/>
      <c r="U156" s="3"/>
      <c r="V156" s="3"/>
      <c r="W156" s="3"/>
      <c r="X156" s="3"/>
      <c r="Y156" s="3"/>
      <c r="Z156" s="3"/>
      <c r="AA156" s="3"/>
      <c r="AB156" s="3"/>
      <c r="AC156" s="3"/>
      <c r="AD156" s="3"/>
      <c r="AE156" s="3"/>
      <c r="AF156" s="3"/>
      <c r="AG156" s="3"/>
      <c r="AH156" s="3"/>
      <c r="AI156" s="3"/>
      <c r="AJ156" s="3"/>
      <c r="AK156" s="3"/>
    </row>
    <row r="157" ht="15.75" customHeight="1">
      <c r="A157" s="3"/>
      <c r="B157" s="921" t="s">
        <v>19903</v>
      </c>
      <c r="C157" s="433" t="s">
        <v>20297</v>
      </c>
      <c r="D157" s="433"/>
      <c r="E157" s="434" t="s">
        <v>20843</v>
      </c>
      <c r="F157" s="433"/>
      <c r="G157" s="433" t="s">
        <v>29</v>
      </c>
      <c r="H157" s="433" t="s">
        <v>38</v>
      </c>
      <c r="I157" s="433"/>
      <c r="J157" s="433" t="s">
        <v>38</v>
      </c>
      <c r="K157" s="433"/>
      <c r="L157" s="433" t="s">
        <v>13613</v>
      </c>
      <c r="M157" s="433"/>
      <c r="N157" s="433"/>
      <c r="O157" s="433"/>
      <c r="P157" s="433" t="s">
        <v>388</v>
      </c>
      <c r="Q157" s="433">
        <v>1.0</v>
      </c>
      <c r="R157" s="471"/>
      <c r="S157" s="3"/>
      <c r="T157" s="3"/>
      <c r="U157" s="3"/>
      <c r="V157" s="3"/>
      <c r="W157" s="3"/>
      <c r="X157" s="3"/>
      <c r="Y157" s="3"/>
      <c r="Z157" s="3"/>
      <c r="AA157" s="3"/>
      <c r="AB157" s="3"/>
      <c r="AC157" s="3"/>
      <c r="AD157" s="3"/>
      <c r="AE157" s="3"/>
      <c r="AF157" s="3"/>
      <c r="AG157" s="3"/>
      <c r="AH157" s="3"/>
      <c r="AI157" s="3"/>
      <c r="AJ157" s="3"/>
      <c r="AK157" s="3"/>
    </row>
    <row r="158" ht="15.75" customHeight="1">
      <c r="A158" s="3"/>
      <c r="B158" s="599"/>
      <c r="C158" s="433" t="s">
        <v>20297</v>
      </c>
      <c r="D158" s="433"/>
      <c r="E158" s="434" t="s">
        <v>20843</v>
      </c>
      <c r="F158" s="433"/>
      <c r="G158" s="433" t="s">
        <v>29</v>
      </c>
      <c r="H158" s="433" t="s">
        <v>38</v>
      </c>
      <c r="I158" s="433"/>
      <c r="J158" s="433" t="s">
        <v>38</v>
      </c>
      <c r="K158" s="433"/>
      <c r="L158" s="433" t="s">
        <v>13613</v>
      </c>
      <c r="M158" s="433"/>
      <c r="N158" s="433"/>
      <c r="O158" s="433"/>
      <c r="P158" s="433" t="s">
        <v>388</v>
      </c>
      <c r="Q158" s="433">
        <v>1.0</v>
      </c>
      <c r="R158" s="471"/>
      <c r="S158" s="3"/>
      <c r="T158" s="3"/>
      <c r="U158" s="3"/>
      <c r="V158" s="3"/>
      <c r="W158" s="3"/>
      <c r="X158" s="3"/>
      <c r="Y158" s="3"/>
      <c r="Z158" s="3"/>
      <c r="AA158" s="3"/>
      <c r="AB158" s="3"/>
      <c r="AC158" s="3"/>
      <c r="AD158" s="3"/>
      <c r="AE158" s="3"/>
      <c r="AF158" s="3"/>
      <c r="AG158" s="3"/>
      <c r="AH158" s="3"/>
      <c r="AI158" s="3"/>
      <c r="AJ158" s="3"/>
      <c r="AK158" s="3"/>
    </row>
    <row r="159" ht="15.75" customHeight="1">
      <c r="A159" s="3"/>
      <c r="B159" s="921" t="s">
        <v>19905</v>
      </c>
      <c r="C159" s="430" t="s">
        <v>31</v>
      </c>
      <c r="D159" s="430" t="s">
        <v>20444</v>
      </c>
      <c r="E159" s="432" t="s">
        <v>20844</v>
      </c>
      <c r="F159" s="430"/>
      <c r="G159" s="430" t="s">
        <v>29</v>
      </c>
      <c r="H159" s="430" t="s">
        <v>30</v>
      </c>
      <c r="I159" s="430"/>
      <c r="J159" s="430" t="s">
        <v>30</v>
      </c>
      <c r="K159" s="430">
        <v>88.0</v>
      </c>
      <c r="L159" s="430" t="s">
        <v>20845</v>
      </c>
      <c r="M159" s="430" t="s">
        <v>20846</v>
      </c>
      <c r="N159" s="430" t="s">
        <v>20446</v>
      </c>
      <c r="O159" s="430">
        <v>2008.0</v>
      </c>
      <c r="P159" s="430" t="s">
        <v>388</v>
      </c>
      <c r="Q159" s="430">
        <v>1.0</v>
      </c>
      <c r="R159" s="471"/>
      <c r="S159" s="3"/>
      <c r="T159" s="3"/>
      <c r="U159" s="3"/>
      <c r="V159" s="3"/>
      <c r="W159" s="3"/>
      <c r="X159" s="3"/>
      <c r="Y159" s="3"/>
      <c r="Z159" s="3"/>
      <c r="AA159" s="3"/>
      <c r="AB159" s="3"/>
      <c r="AC159" s="3"/>
      <c r="AD159" s="3"/>
      <c r="AE159" s="3"/>
      <c r="AF159" s="3"/>
      <c r="AG159" s="3"/>
      <c r="AH159" s="3"/>
      <c r="AI159" s="3"/>
      <c r="AJ159" s="3"/>
      <c r="AK159" s="3"/>
    </row>
    <row r="160" ht="15.75" customHeight="1">
      <c r="A160" s="3"/>
      <c r="B160" s="921" t="s">
        <v>19907</v>
      </c>
      <c r="C160" s="430" t="s">
        <v>31</v>
      </c>
      <c r="D160" s="430" t="s">
        <v>20444</v>
      </c>
      <c r="E160" s="432" t="s">
        <v>20847</v>
      </c>
      <c r="F160" s="430"/>
      <c r="G160" s="430" t="s">
        <v>29</v>
      </c>
      <c r="H160" s="430" t="s">
        <v>30</v>
      </c>
      <c r="I160" s="430"/>
      <c r="J160" s="430" t="s">
        <v>30</v>
      </c>
      <c r="K160" s="430">
        <v>96.0</v>
      </c>
      <c r="L160" s="430" t="s">
        <v>20848</v>
      </c>
      <c r="M160" s="430" t="s">
        <v>20849</v>
      </c>
      <c r="N160" s="430" t="s">
        <v>20446</v>
      </c>
      <c r="O160" s="430">
        <v>2008.0</v>
      </c>
      <c r="P160" s="430" t="s">
        <v>388</v>
      </c>
      <c r="Q160" s="430">
        <v>1.0</v>
      </c>
      <c r="R160" s="471"/>
      <c r="S160" s="3"/>
      <c r="T160" s="3"/>
      <c r="U160" s="3"/>
      <c r="V160" s="3"/>
      <c r="W160" s="3"/>
      <c r="X160" s="3"/>
      <c r="Y160" s="3"/>
      <c r="Z160" s="3"/>
      <c r="AA160" s="3"/>
      <c r="AB160" s="3"/>
      <c r="AC160" s="3"/>
      <c r="AD160" s="3"/>
      <c r="AE160" s="3"/>
      <c r="AF160" s="3"/>
      <c r="AG160" s="3"/>
      <c r="AH160" s="3"/>
      <c r="AI160" s="3"/>
      <c r="AJ160" s="3"/>
      <c r="AK160" s="3"/>
    </row>
    <row r="161" ht="15.75" customHeight="1">
      <c r="A161" s="3"/>
      <c r="B161" s="921" t="s">
        <v>19910</v>
      </c>
      <c r="C161" s="430" t="s">
        <v>31</v>
      </c>
      <c r="D161" s="430" t="s">
        <v>20444</v>
      </c>
      <c r="E161" s="432" t="s">
        <v>20850</v>
      </c>
      <c r="F161" s="430"/>
      <c r="G161" s="430" t="s">
        <v>29</v>
      </c>
      <c r="H161" s="430" t="s">
        <v>30</v>
      </c>
      <c r="I161" s="430"/>
      <c r="J161" s="430" t="s">
        <v>30</v>
      </c>
      <c r="K161" s="430">
        <v>96.0</v>
      </c>
      <c r="L161" s="430" t="s">
        <v>20848</v>
      </c>
      <c r="M161" s="430" t="s">
        <v>20851</v>
      </c>
      <c r="N161" s="430" t="s">
        <v>20446</v>
      </c>
      <c r="O161" s="430">
        <v>2008.0</v>
      </c>
      <c r="P161" s="430" t="s">
        <v>388</v>
      </c>
      <c r="Q161" s="430">
        <v>1.0</v>
      </c>
      <c r="R161" s="471"/>
      <c r="S161" s="3"/>
      <c r="T161" s="3"/>
      <c r="U161" s="3"/>
      <c r="V161" s="3"/>
      <c r="W161" s="3"/>
      <c r="X161" s="3"/>
      <c r="Y161" s="3"/>
      <c r="Z161" s="3"/>
      <c r="AA161" s="3"/>
      <c r="AB161" s="3"/>
      <c r="AC161" s="3"/>
      <c r="AD161" s="3"/>
      <c r="AE161" s="3"/>
      <c r="AF161" s="3"/>
      <c r="AG161" s="3"/>
      <c r="AH161" s="3"/>
      <c r="AI161" s="3"/>
      <c r="AJ161" s="3"/>
      <c r="AK161" s="3"/>
    </row>
    <row r="162" ht="15.75" customHeight="1">
      <c r="A162" s="3"/>
      <c r="B162" s="921" t="s">
        <v>19913</v>
      </c>
      <c r="C162" s="430" t="s">
        <v>31</v>
      </c>
      <c r="D162" s="430" t="s">
        <v>20444</v>
      </c>
      <c r="E162" s="432" t="s">
        <v>20852</v>
      </c>
      <c r="F162" s="430"/>
      <c r="G162" s="430" t="s">
        <v>29</v>
      </c>
      <c r="H162" s="430" t="s">
        <v>30</v>
      </c>
      <c r="I162" s="430"/>
      <c r="J162" s="430" t="s">
        <v>30</v>
      </c>
      <c r="K162" s="430">
        <v>96.0</v>
      </c>
      <c r="L162" s="430" t="s">
        <v>20848</v>
      </c>
      <c r="M162" s="430" t="s">
        <v>20851</v>
      </c>
      <c r="N162" s="430" t="s">
        <v>20446</v>
      </c>
      <c r="O162" s="430">
        <v>2008.0</v>
      </c>
      <c r="P162" s="430" t="s">
        <v>388</v>
      </c>
      <c r="Q162" s="430">
        <v>1.0</v>
      </c>
      <c r="R162" s="471"/>
      <c r="S162" s="3"/>
      <c r="T162" s="3"/>
      <c r="U162" s="3"/>
      <c r="V162" s="3"/>
      <c r="W162" s="3"/>
      <c r="X162" s="3"/>
      <c r="Y162" s="3"/>
      <c r="Z162" s="3"/>
      <c r="AA162" s="3"/>
      <c r="AB162" s="3"/>
      <c r="AC162" s="3"/>
      <c r="AD162" s="3"/>
      <c r="AE162" s="3"/>
      <c r="AF162" s="3"/>
      <c r="AG162" s="3"/>
      <c r="AH162" s="3"/>
      <c r="AI162" s="3"/>
      <c r="AJ162" s="3"/>
      <c r="AK162" s="3"/>
    </row>
    <row r="163" ht="15.75" customHeight="1">
      <c r="A163" s="3"/>
      <c r="B163" s="921" t="s">
        <v>19915</v>
      </c>
      <c r="C163" s="430" t="s">
        <v>31</v>
      </c>
      <c r="D163" s="430" t="s">
        <v>20444</v>
      </c>
      <c r="E163" s="432" t="s">
        <v>20853</v>
      </c>
      <c r="F163" s="430"/>
      <c r="G163" s="430" t="s">
        <v>29</v>
      </c>
      <c r="H163" s="430" t="s">
        <v>30</v>
      </c>
      <c r="I163" s="430"/>
      <c r="J163" s="430" t="s">
        <v>30</v>
      </c>
      <c r="K163" s="430">
        <v>96.0</v>
      </c>
      <c r="L163" s="430" t="s">
        <v>20848</v>
      </c>
      <c r="M163" s="430" t="s">
        <v>20851</v>
      </c>
      <c r="N163" s="430" t="s">
        <v>20446</v>
      </c>
      <c r="O163" s="430">
        <v>2008.0</v>
      </c>
      <c r="P163" s="430" t="s">
        <v>388</v>
      </c>
      <c r="Q163" s="430">
        <v>1.0</v>
      </c>
      <c r="R163" s="471"/>
      <c r="S163" s="3"/>
      <c r="T163" s="3"/>
      <c r="U163" s="3"/>
      <c r="V163" s="3"/>
      <c r="W163" s="3"/>
      <c r="X163" s="3"/>
      <c r="Y163" s="3"/>
      <c r="Z163" s="3"/>
      <c r="AA163" s="3"/>
      <c r="AB163" s="3"/>
      <c r="AC163" s="3"/>
      <c r="AD163" s="3"/>
      <c r="AE163" s="3"/>
      <c r="AF163" s="3"/>
      <c r="AG163" s="3"/>
      <c r="AH163" s="3"/>
      <c r="AI163" s="3"/>
      <c r="AJ163" s="3"/>
      <c r="AK163" s="3"/>
    </row>
    <row r="164" ht="15.75" customHeight="1">
      <c r="A164" s="3"/>
      <c r="B164" s="921" t="s">
        <v>19918</v>
      </c>
      <c r="C164" s="430" t="s">
        <v>31</v>
      </c>
      <c r="D164" s="430" t="s">
        <v>20444</v>
      </c>
      <c r="E164" s="432" t="s">
        <v>20854</v>
      </c>
      <c r="F164" s="430"/>
      <c r="G164" s="430" t="s">
        <v>29</v>
      </c>
      <c r="H164" s="430" t="s">
        <v>30</v>
      </c>
      <c r="I164" s="430"/>
      <c r="J164" s="430" t="s">
        <v>30</v>
      </c>
      <c r="K164" s="430">
        <v>96.0</v>
      </c>
      <c r="L164" s="430" t="s">
        <v>20855</v>
      </c>
      <c r="M164" s="430" t="s">
        <v>20851</v>
      </c>
      <c r="N164" s="430" t="s">
        <v>20446</v>
      </c>
      <c r="O164" s="430">
        <v>2008.0</v>
      </c>
      <c r="P164" s="430" t="s">
        <v>388</v>
      </c>
      <c r="Q164" s="430">
        <v>1.0</v>
      </c>
      <c r="R164" s="471"/>
      <c r="S164" s="3"/>
      <c r="T164" s="3"/>
      <c r="U164" s="3"/>
      <c r="V164" s="3"/>
      <c r="W164" s="3"/>
      <c r="X164" s="3"/>
      <c r="Y164" s="3"/>
      <c r="Z164" s="3"/>
      <c r="AA164" s="3"/>
      <c r="AB164" s="3"/>
      <c r="AC164" s="3"/>
      <c r="AD164" s="3"/>
      <c r="AE164" s="3"/>
      <c r="AF164" s="3"/>
      <c r="AG164" s="3"/>
      <c r="AH164" s="3"/>
      <c r="AI164" s="3"/>
      <c r="AJ164" s="3"/>
      <c r="AK164" s="3"/>
    </row>
    <row r="165" ht="15.75" customHeight="1">
      <c r="A165" s="3"/>
      <c r="B165" s="921" t="s">
        <v>19921</v>
      </c>
      <c r="C165" s="430" t="s">
        <v>31</v>
      </c>
      <c r="D165" s="430" t="s">
        <v>20444</v>
      </c>
      <c r="E165" s="432" t="s">
        <v>20856</v>
      </c>
      <c r="F165" s="430"/>
      <c r="G165" s="430" t="s">
        <v>29</v>
      </c>
      <c r="H165" s="430" t="s">
        <v>30</v>
      </c>
      <c r="I165" s="430"/>
      <c r="J165" s="430" t="s">
        <v>30</v>
      </c>
      <c r="K165" s="430">
        <v>96.0</v>
      </c>
      <c r="L165" s="430" t="s">
        <v>20848</v>
      </c>
      <c r="M165" s="430" t="s">
        <v>20851</v>
      </c>
      <c r="N165" s="430" t="s">
        <v>20446</v>
      </c>
      <c r="O165" s="430">
        <v>2008.0</v>
      </c>
      <c r="P165" s="430" t="s">
        <v>388</v>
      </c>
      <c r="Q165" s="430">
        <v>1.0</v>
      </c>
      <c r="R165" s="471"/>
      <c r="S165" s="3"/>
      <c r="T165" s="3"/>
      <c r="U165" s="3"/>
      <c r="V165" s="3"/>
      <c r="W165" s="3"/>
      <c r="X165" s="3"/>
      <c r="Y165" s="3"/>
      <c r="Z165" s="3"/>
      <c r="AA165" s="3"/>
      <c r="AB165" s="3"/>
      <c r="AC165" s="3"/>
      <c r="AD165" s="3"/>
      <c r="AE165" s="3"/>
      <c r="AF165" s="3"/>
      <c r="AG165" s="3"/>
      <c r="AH165" s="3"/>
      <c r="AI165" s="3"/>
      <c r="AJ165" s="3"/>
      <c r="AK165" s="3"/>
    </row>
    <row r="166" ht="15.75" customHeight="1">
      <c r="A166" s="3"/>
      <c r="B166" s="921" t="s">
        <v>19925</v>
      </c>
      <c r="C166" s="430" t="s">
        <v>31</v>
      </c>
      <c r="D166" s="430" t="s">
        <v>20444</v>
      </c>
      <c r="E166" s="432" t="s">
        <v>20857</v>
      </c>
      <c r="F166" s="430"/>
      <c r="G166" s="430" t="s">
        <v>29</v>
      </c>
      <c r="H166" s="430" t="s">
        <v>30</v>
      </c>
      <c r="I166" s="430"/>
      <c r="J166" s="430" t="s">
        <v>30</v>
      </c>
      <c r="K166" s="430"/>
      <c r="L166" s="430" t="s">
        <v>20848</v>
      </c>
      <c r="M166" s="430" t="s">
        <v>20851</v>
      </c>
      <c r="N166" s="430" t="s">
        <v>20446</v>
      </c>
      <c r="O166" s="430">
        <v>2009.0</v>
      </c>
      <c r="P166" s="430" t="s">
        <v>388</v>
      </c>
      <c r="Q166" s="430">
        <v>1.0</v>
      </c>
      <c r="R166" s="471"/>
      <c r="S166" s="3"/>
      <c r="T166" s="3"/>
      <c r="U166" s="3"/>
      <c r="V166" s="3"/>
      <c r="W166" s="3"/>
      <c r="X166" s="3"/>
      <c r="Y166" s="3"/>
      <c r="Z166" s="3"/>
      <c r="AA166" s="3"/>
      <c r="AB166" s="3"/>
      <c r="AC166" s="3"/>
      <c r="AD166" s="3"/>
      <c r="AE166" s="3"/>
      <c r="AF166" s="3"/>
      <c r="AG166" s="3"/>
      <c r="AH166" s="3"/>
      <c r="AI166" s="3"/>
      <c r="AJ166" s="3"/>
      <c r="AK166" s="3"/>
    </row>
    <row r="167" ht="15.75" customHeight="1">
      <c r="A167" s="3"/>
      <c r="B167" s="921" t="s">
        <v>19928</v>
      </c>
      <c r="C167" s="430" t="s">
        <v>31</v>
      </c>
      <c r="D167" s="430" t="s">
        <v>20444</v>
      </c>
      <c r="E167" s="432" t="s">
        <v>20858</v>
      </c>
      <c r="F167" s="430"/>
      <c r="G167" s="430" t="s">
        <v>29</v>
      </c>
      <c r="H167" s="430" t="s">
        <v>30</v>
      </c>
      <c r="I167" s="430"/>
      <c r="J167" s="430" t="s">
        <v>30</v>
      </c>
      <c r="K167" s="430"/>
      <c r="L167" s="430" t="s">
        <v>20848</v>
      </c>
      <c r="M167" s="430" t="s">
        <v>20851</v>
      </c>
      <c r="N167" s="430" t="s">
        <v>20446</v>
      </c>
      <c r="O167" s="430">
        <v>2009.0</v>
      </c>
      <c r="P167" s="430" t="s">
        <v>388</v>
      </c>
      <c r="Q167" s="430">
        <v>1.0</v>
      </c>
      <c r="R167" s="471"/>
      <c r="S167" s="3"/>
      <c r="T167" s="3"/>
      <c r="U167" s="3"/>
      <c r="V167" s="3"/>
      <c r="W167" s="3"/>
      <c r="X167" s="3"/>
      <c r="Y167" s="3"/>
      <c r="Z167" s="3"/>
      <c r="AA167" s="3"/>
      <c r="AB167" s="3"/>
      <c r="AC167" s="3"/>
      <c r="AD167" s="3"/>
      <c r="AE167" s="3"/>
      <c r="AF167" s="3"/>
      <c r="AG167" s="3"/>
      <c r="AH167" s="3"/>
      <c r="AI167" s="3"/>
      <c r="AJ167" s="3"/>
      <c r="AK167" s="3"/>
    </row>
    <row r="168" ht="15.75" customHeight="1">
      <c r="A168" s="3"/>
      <c r="B168" s="921" t="s">
        <v>19932</v>
      </c>
      <c r="C168" s="430" t="s">
        <v>31</v>
      </c>
      <c r="D168" s="430" t="s">
        <v>20444</v>
      </c>
      <c r="E168" s="432" t="s">
        <v>20859</v>
      </c>
      <c r="F168" s="430"/>
      <c r="G168" s="430" t="s">
        <v>29</v>
      </c>
      <c r="H168" s="430" t="s">
        <v>30</v>
      </c>
      <c r="I168" s="430"/>
      <c r="J168" s="430" t="s">
        <v>30</v>
      </c>
      <c r="K168" s="430">
        <v>96.0</v>
      </c>
      <c r="L168" s="430" t="s">
        <v>20848</v>
      </c>
      <c r="M168" s="430" t="s">
        <v>20851</v>
      </c>
      <c r="N168" s="430" t="s">
        <v>20446</v>
      </c>
      <c r="O168" s="430">
        <v>2012.0</v>
      </c>
      <c r="P168" s="430" t="s">
        <v>388</v>
      </c>
      <c r="Q168" s="430">
        <v>1.0</v>
      </c>
      <c r="R168" s="471"/>
      <c r="S168" s="3"/>
      <c r="T168" s="3"/>
      <c r="U168" s="3"/>
      <c r="V168" s="3"/>
      <c r="W168" s="3"/>
      <c r="X168" s="3"/>
      <c r="Y168" s="3"/>
      <c r="Z168" s="3"/>
      <c r="AA168" s="3"/>
      <c r="AB168" s="3"/>
      <c r="AC168" s="3"/>
      <c r="AD168" s="3"/>
      <c r="AE168" s="3"/>
      <c r="AF168" s="3"/>
      <c r="AG168" s="3"/>
      <c r="AH168" s="3"/>
      <c r="AI168" s="3"/>
      <c r="AJ168" s="3"/>
      <c r="AK168" s="3"/>
    </row>
    <row r="169" ht="15.75" customHeight="1">
      <c r="A169" s="3"/>
      <c r="B169" s="921" t="s">
        <v>19935</v>
      </c>
      <c r="C169" s="430" t="s">
        <v>31</v>
      </c>
      <c r="D169" s="430" t="s">
        <v>20444</v>
      </c>
      <c r="E169" s="432" t="s">
        <v>20860</v>
      </c>
      <c r="F169" s="430"/>
      <c r="G169" s="430" t="s">
        <v>29</v>
      </c>
      <c r="H169" s="430" t="s">
        <v>30</v>
      </c>
      <c r="I169" s="430"/>
      <c r="J169" s="430" t="s">
        <v>30</v>
      </c>
      <c r="K169" s="430">
        <v>96.0</v>
      </c>
      <c r="L169" s="430" t="s">
        <v>20848</v>
      </c>
      <c r="M169" s="430" t="s">
        <v>20851</v>
      </c>
      <c r="N169" s="430" t="s">
        <v>20446</v>
      </c>
      <c r="O169" s="430">
        <v>2012.0</v>
      </c>
      <c r="P169" s="430" t="s">
        <v>388</v>
      </c>
      <c r="Q169" s="430">
        <v>1.0</v>
      </c>
      <c r="R169" s="471"/>
      <c r="S169" s="3"/>
      <c r="T169" s="3"/>
      <c r="U169" s="3"/>
      <c r="V169" s="3"/>
      <c r="W169" s="3"/>
      <c r="X169" s="3"/>
      <c r="Y169" s="3"/>
      <c r="Z169" s="3"/>
      <c r="AA169" s="3"/>
      <c r="AB169" s="3"/>
      <c r="AC169" s="3"/>
      <c r="AD169" s="3"/>
      <c r="AE169" s="3"/>
      <c r="AF169" s="3"/>
      <c r="AG169" s="3"/>
      <c r="AH169" s="3"/>
      <c r="AI169" s="3"/>
      <c r="AJ169" s="3"/>
      <c r="AK169" s="3"/>
    </row>
    <row r="170" ht="15.75" customHeight="1">
      <c r="A170" s="3"/>
      <c r="B170" s="921" t="s">
        <v>19938</v>
      </c>
      <c r="C170" s="430" t="s">
        <v>31</v>
      </c>
      <c r="D170" s="430" t="s">
        <v>20444</v>
      </c>
      <c r="E170" s="432" t="s">
        <v>20861</v>
      </c>
      <c r="F170" s="430"/>
      <c r="G170" s="430" t="s">
        <v>29</v>
      </c>
      <c r="H170" s="430" t="s">
        <v>30</v>
      </c>
      <c r="I170" s="430"/>
      <c r="J170" s="430" t="s">
        <v>30</v>
      </c>
      <c r="K170" s="430">
        <v>96.0</v>
      </c>
      <c r="L170" s="430" t="s">
        <v>20848</v>
      </c>
      <c r="M170" s="430" t="s">
        <v>20851</v>
      </c>
      <c r="N170" s="430" t="s">
        <v>20446</v>
      </c>
      <c r="O170" s="430">
        <v>2013.0</v>
      </c>
      <c r="P170" s="430" t="s">
        <v>388</v>
      </c>
      <c r="Q170" s="430">
        <v>1.0</v>
      </c>
      <c r="R170" s="471"/>
      <c r="S170" s="3"/>
      <c r="T170" s="3"/>
      <c r="U170" s="3"/>
      <c r="V170" s="3"/>
      <c r="W170" s="3"/>
      <c r="X170" s="3"/>
      <c r="Y170" s="3"/>
      <c r="Z170" s="3"/>
      <c r="AA170" s="3"/>
      <c r="AB170" s="3"/>
      <c r="AC170" s="3"/>
      <c r="AD170" s="3"/>
      <c r="AE170" s="3"/>
      <c r="AF170" s="3"/>
      <c r="AG170" s="3"/>
      <c r="AH170" s="3"/>
      <c r="AI170" s="3"/>
      <c r="AJ170" s="3"/>
      <c r="AK170" s="3"/>
    </row>
    <row r="171" ht="15.75" customHeight="1">
      <c r="A171" s="3"/>
      <c r="B171" s="921" t="s">
        <v>19941</v>
      </c>
      <c r="C171" s="430" t="s">
        <v>31</v>
      </c>
      <c r="D171" s="430" t="s">
        <v>20444</v>
      </c>
      <c r="E171" s="432" t="s">
        <v>20862</v>
      </c>
      <c r="F171" s="430"/>
      <c r="G171" s="430" t="s">
        <v>29</v>
      </c>
      <c r="H171" s="430" t="s">
        <v>30</v>
      </c>
      <c r="I171" s="430"/>
      <c r="J171" s="430" t="s">
        <v>30</v>
      </c>
      <c r="K171" s="430">
        <v>96.0</v>
      </c>
      <c r="L171" s="430" t="s">
        <v>20848</v>
      </c>
      <c r="M171" s="430" t="s">
        <v>20851</v>
      </c>
      <c r="N171" s="430" t="s">
        <v>20446</v>
      </c>
      <c r="O171" s="430">
        <v>2013.0</v>
      </c>
      <c r="P171" s="430" t="s">
        <v>388</v>
      </c>
      <c r="Q171" s="430">
        <v>1.0</v>
      </c>
      <c r="R171" s="471"/>
      <c r="S171" s="3"/>
      <c r="T171" s="3"/>
      <c r="U171" s="3"/>
      <c r="V171" s="3"/>
      <c r="W171" s="3"/>
      <c r="X171" s="3"/>
      <c r="Y171" s="3"/>
      <c r="Z171" s="3"/>
      <c r="AA171" s="3"/>
      <c r="AB171" s="3"/>
      <c r="AC171" s="3"/>
      <c r="AD171" s="3"/>
      <c r="AE171" s="3"/>
      <c r="AF171" s="3"/>
      <c r="AG171" s="3"/>
      <c r="AH171" s="3"/>
      <c r="AI171" s="3"/>
      <c r="AJ171" s="3"/>
      <c r="AK171" s="3"/>
    </row>
    <row r="172" ht="15.75" customHeight="1">
      <c r="A172" s="3"/>
      <c r="B172" s="921" t="s">
        <v>19944</v>
      </c>
      <c r="C172" s="430" t="s">
        <v>31</v>
      </c>
      <c r="D172" s="430" t="s">
        <v>20444</v>
      </c>
      <c r="E172" s="432" t="s">
        <v>20863</v>
      </c>
      <c r="F172" s="430"/>
      <c r="G172" s="430" t="s">
        <v>29</v>
      </c>
      <c r="H172" s="430" t="s">
        <v>30</v>
      </c>
      <c r="I172" s="430"/>
      <c r="J172" s="430" t="s">
        <v>30</v>
      </c>
      <c r="K172" s="430">
        <v>96.0</v>
      </c>
      <c r="L172" s="430" t="s">
        <v>20864</v>
      </c>
      <c r="M172" s="430" t="s">
        <v>20851</v>
      </c>
      <c r="N172" s="430" t="s">
        <v>20446</v>
      </c>
      <c r="O172" s="430">
        <v>2013.0</v>
      </c>
      <c r="P172" s="430" t="s">
        <v>388</v>
      </c>
      <c r="Q172" s="430">
        <v>1.0</v>
      </c>
      <c r="R172" s="471"/>
      <c r="S172" s="3"/>
      <c r="T172" s="3"/>
      <c r="U172" s="3"/>
      <c r="V172" s="3"/>
      <c r="W172" s="3"/>
      <c r="X172" s="3"/>
      <c r="Y172" s="3"/>
      <c r="Z172" s="3"/>
      <c r="AA172" s="3"/>
      <c r="AB172" s="3"/>
      <c r="AC172" s="3"/>
      <c r="AD172" s="3"/>
      <c r="AE172" s="3"/>
      <c r="AF172" s="3"/>
      <c r="AG172" s="3"/>
      <c r="AH172" s="3"/>
      <c r="AI172" s="3"/>
      <c r="AJ172" s="3"/>
      <c r="AK172" s="3"/>
    </row>
    <row r="173" ht="15.75" customHeight="1">
      <c r="A173" s="3"/>
      <c r="B173" s="921" t="s">
        <v>19947</v>
      </c>
      <c r="C173" s="430" t="s">
        <v>31</v>
      </c>
      <c r="D173" s="430" t="s">
        <v>20444</v>
      </c>
      <c r="E173" s="432" t="s">
        <v>20865</v>
      </c>
      <c r="F173" s="430"/>
      <c r="G173" s="430" t="s">
        <v>29</v>
      </c>
      <c r="H173" s="430" t="s">
        <v>30</v>
      </c>
      <c r="I173" s="430"/>
      <c r="J173" s="430" t="s">
        <v>30</v>
      </c>
      <c r="K173" s="430">
        <v>96.0</v>
      </c>
      <c r="L173" s="430" t="s">
        <v>20848</v>
      </c>
      <c r="M173" s="430" t="s">
        <v>20851</v>
      </c>
      <c r="N173" s="430" t="s">
        <v>20446</v>
      </c>
      <c r="O173" s="430">
        <v>2013.0</v>
      </c>
      <c r="P173" s="430" t="s">
        <v>388</v>
      </c>
      <c r="Q173" s="430">
        <v>1.0</v>
      </c>
      <c r="R173" s="471"/>
      <c r="S173" s="3"/>
      <c r="T173" s="3"/>
      <c r="U173" s="3"/>
      <c r="V173" s="3"/>
      <c r="W173" s="3"/>
      <c r="X173" s="3"/>
      <c r="Y173" s="3"/>
      <c r="Z173" s="3"/>
      <c r="AA173" s="3"/>
      <c r="AB173" s="3"/>
      <c r="AC173" s="3"/>
      <c r="AD173" s="3"/>
      <c r="AE173" s="3"/>
      <c r="AF173" s="3"/>
      <c r="AG173" s="3"/>
      <c r="AH173" s="3"/>
      <c r="AI173" s="3"/>
      <c r="AJ173" s="3"/>
      <c r="AK173" s="3"/>
    </row>
    <row r="174" ht="15.75" customHeight="1">
      <c r="A174" s="3"/>
      <c r="B174" s="921" t="s">
        <v>19950</v>
      </c>
      <c r="C174" s="430" t="s">
        <v>31</v>
      </c>
      <c r="D174" s="430" t="s">
        <v>20444</v>
      </c>
      <c r="E174" s="432" t="s">
        <v>20866</v>
      </c>
      <c r="F174" s="430"/>
      <c r="G174" s="430" t="s">
        <v>29</v>
      </c>
      <c r="H174" s="430" t="s">
        <v>30</v>
      </c>
      <c r="I174" s="430"/>
      <c r="J174" s="430" t="s">
        <v>30</v>
      </c>
      <c r="K174" s="430">
        <v>96.0</v>
      </c>
      <c r="L174" s="430" t="s">
        <v>20848</v>
      </c>
      <c r="M174" s="430" t="s">
        <v>20851</v>
      </c>
      <c r="N174" s="430" t="s">
        <v>20446</v>
      </c>
      <c r="O174" s="430">
        <v>2013.0</v>
      </c>
      <c r="P174" s="430" t="s">
        <v>388</v>
      </c>
      <c r="Q174" s="430">
        <v>1.0</v>
      </c>
      <c r="R174" s="471"/>
      <c r="S174" s="3"/>
      <c r="T174" s="3"/>
      <c r="U174" s="3"/>
      <c r="V174" s="3"/>
      <c r="W174" s="3"/>
      <c r="X174" s="3"/>
      <c r="Y174" s="3"/>
      <c r="Z174" s="3"/>
      <c r="AA174" s="3"/>
      <c r="AB174" s="3"/>
      <c r="AC174" s="3"/>
      <c r="AD174" s="3"/>
      <c r="AE174" s="3"/>
      <c r="AF174" s="3"/>
      <c r="AG174" s="3"/>
      <c r="AH174" s="3"/>
      <c r="AI174" s="3"/>
      <c r="AJ174" s="3"/>
      <c r="AK174" s="3"/>
    </row>
    <row r="175" ht="15.75" customHeight="1">
      <c r="A175" s="3"/>
      <c r="B175" s="921" t="s">
        <v>19953</v>
      </c>
      <c r="C175" s="430" t="s">
        <v>31</v>
      </c>
      <c r="D175" s="430" t="s">
        <v>20444</v>
      </c>
      <c r="E175" s="432" t="s">
        <v>20867</v>
      </c>
      <c r="F175" s="430"/>
      <c r="G175" s="430" t="s">
        <v>29</v>
      </c>
      <c r="H175" s="430" t="s">
        <v>30</v>
      </c>
      <c r="I175" s="430"/>
      <c r="J175" s="430" t="s">
        <v>30</v>
      </c>
      <c r="K175" s="430">
        <v>96.0</v>
      </c>
      <c r="L175" s="430" t="s">
        <v>20848</v>
      </c>
      <c r="M175" s="430" t="s">
        <v>20851</v>
      </c>
      <c r="N175" s="430" t="s">
        <v>20446</v>
      </c>
      <c r="O175" s="430">
        <v>2014.0</v>
      </c>
      <c r="P175" s="430" t="s">
        <v>388</v>
      </c>
      <c r="Q175" s="430">
        <v>1.0</v>
      </c>
      <c r="R175" s="471"/>
      <c r="S175" s="3"/>
      <c r="T175" s="3"/>
      <c r="U175" s="3"/>
      <c r="V175" s="3"/>
      <c r="W175" s="3"/>
      <c r="X175" s="3"/>
      <c r="Y175" s="3"/>
      <c r="Z175" s="3"/>
      <c r="AA175" s="3"/>
      <c r="AB175" s="3"/>
      <c r="AC175" s="3"/>
      <c r="AD175" s="3"/>
      <c r="AE175" s="3"/>
      <c r="AF175" s="3"/>
      <c r="AG175" s="3"/>
      <c r="AH175" s="3"/>
      <c r="AI175" s="3"/>
      <c r="AJ175" s="3"/>
      <c r="AK175" s="3"/>
    </row>
    <row r="176" ht="15.75" customHeight="1">
      <c r="A176" s="3"/>
      <c r="B176" s="921" t="s">
        <v>19956</v>
      </c>
      <c r="C176" s="430" t="s">
        <v>31</v>
      </c>
      <c r="D176" s="430" t="s">
        <v>20444</v>
      </c>
      <c r="E176" s="432" t="s">
        <v>20868</v>
      </c>
      <c r="F176" s="430"/>
      <c r="G176" s="430" t="s">
        <v>29</v>
      </c>
      <c r="H176" s="430" t="s">
        <v>30</v>
      </c>
      <c r="I176" s="430"/>
      <c r="J176" s="430" t="s">
        <v>30</v>
      </c>
      <c r="K176" s="430">
        <v>96.0</v>
      </c>
      <c r="L176" s="430" t="s">
        <v>20848</v>
      </c>
      <c r="M176" s="430" t="s">
        <v>20851</v>
      </c>
      <c r="N176" s="430" t="s">
        <v>20446</v>
      </c>
      <c r="O176" s="430">
        <v>2014.0</v>
      </c>
      <c r="P176" s="430" t="s">
        <v>388</v>
      </c>
      <c r="Q176" s="430">
        <v>1.0</v>
      </c>
      <c r="R176" s="471"/>
      <c r="S176" s="3"/>
      <c r="T176" s="3"/>
      <c r="U176" s="3"/>
      <c r="V176" s="3"/>
      <c r="W176" s="3"/>
      <c r="X176" s="3"/>
      <c r="Y176" s="3"/>
      <c r="Z176" s="3"/>
      <c r="AA176" s="3"/>
      <c r="AB176" s="3"/>
      <c r="AC176" s="3"/>
      <c r="AD176" s="3"/>
      <c r="AE176" s="3"/>
      <c r="AF176" s="3"/>
      <c r="AG176" s="3"/>
      <c r="AH176" s="3"/>
      <c r="AI176" s="3"/>
      <c r="AJ176" s="3"/>
      <c r="AK176" s="3"/>
    </row>
    <row r="177" ht="15.75" customHeight="1">
      <c r="A177" s="3"/>
      <c r="B177" s="921" t="s">
        <v>19960</v>
      </c>
      <c r="C177" s="430" t="s">
        <v>31</v>
      </c>
      <c r="D177" s="430" t="s">
        <v>20444</v>
      </c>
      <c r="E177" s="432" t="s">
        <v>20869</v>
      </c>
      <c r="F177" s="430"/>
      <c r="G177" s="430" t="s">
        <v>29</v>
      </c>
      <c r="H177" s="430" t="s">
        <v>30</v>
      </c>
      <c r="I177" s="430"/>
      <c r="J177" s="430" t="s">
        <v>30</v>
      </c>
      <c r="K177" s="430">
        <v>96.0</v>
      </c>
      <c r="L177" s="430" t="s">
        <v>20848</v>
      </c>
      <c r="M177" s="430" t="s">
        <v>20851</v>
      </c>
      <c r="N177" s="430" t="s">
        <v>20446</v>
      </c>
      <c r="O177" s="430">
        <v>2016.0</v>
      </c>
      <c r="P177" s="430" t="s">
        <v>388</v>
      </c>
      <c r="Q177" s="430">
        <v>1.0</v>
      </c>
      <c r="R177" s="471"/>
      <c r="S177" s="3"/>
      <c r="T177" s="3"/>
      <c r="U177" s="3"/>
      <c r="V177" s="3"/>
      <c r="W177" s="3"/>
      <c r="X177" s="3"/>
      <c r="Y177" s="3"/>
      <c r="Z177" s="3"/>
      <c r="AA177" s="3"/>
      <c r="AB177" s="3"/>
      <c r="AC177" s="3"/>
      <c r="AD177" s="3"/>
      <c r="AE177" s="3"/>
      <c r="AF177" s="3"/>
      <c r="AG177" s="3"/>
      <c r="AH177" s="3"/>
      <c r="AI177" s="3"/>
      <c r="AJ177" s="3"/>
      <c r="AK177" s="3"/>
    </row>
    <row r="178" ht="15.75" customHeight="1">
      <c r="A178" s="3"/>
      <c r="B178" s="921" t="s">
        <v>19962</v>
      </c>
      <c r="C178" s="430"/>
      <c r="D178" s="430" t="s">
        <v>20444</v>
      </c>
      <c r="E178" s="432" t="s">
        <v>20870</v>
      </c>
      <c r="F178" s="430"/>
      <c r="G178" s="430" t="s">
        <v>29</v>
      </c>
      <c r="H178" s="430" t="s">
        <v>30</v>
      </c>
      <c r="I178" s="430"/>
      <c r="J178" s="430" t="s">
        <v>30</v>
      </c>
      <c r="K178" s="430">
        <v>96.0</v>
      </c>
      <c r="L178" s="430" t="s">
        <v>20848</v>
      </c>
      <c r="M178" s="430" t="s">
        <v>20851</v>
      </c>
      <c r="N178" s="430" t="s">
        <v>20446</v>
      </c>
      <c r="O178" s="430">
        <v>2014.0</v>
      </c>
      <c r="P178" s="430" t="s">
        <v>388</v>
      </c>
      <c r="Q178" s="430">
        <v>1.0</v>
      </c>
      <c r="R178" s="471"/>
      <c r="S178" s="3"/>
      <c r="T178" s="3"/>
      <c r="U178" s="3"/>
      <c r="V178" s="3"/>
      <c r="W178" s="3"/>
      <c r="X178" s="3"/>
      <c r="Y178" s="3"/>
      <c r="Z178" s="3"/>
      <c r="AA178" s="3"/>
      <c r="AB178" s="3"/>
      <c r="AC178" s="3"/>
      <c r="AD178" s="3"/>
      <c r="AE178" s="3"/>
      <c r="AF178" s="3"/>
      <c r="AG178" s="3"/>
      <c r="AH178" s="3"/>
      <c r="AI178" s="3"/>
      <c r="AJ178" s="3"/>
      <c r="AK178" s="3"/>
    </row>
    <row r="179" ht="15.75" customHeight="1">
      <c r="A179" s="3"/>
      <c r="B179" s="920"/>
      <c r="C179" s="322"/>
      <c r="D179" s="430" t="s">
        <v>20444</v>
      </c>
      <c r="E179" s="432" t="s">
        <v>20871</v>
      </c>
      <c r="F179" s="430"/>
      <c r="G179" s="430" t="s">
        <v>29</v>
      </c>
      <c r="H179" s="430" t="s">
        <v>30</v>
      </c>
      <c r="I179" s="430"/>
      <c r="J179" s="430" t="s">
        <v>30</v>
      </c>
      <c r="K179" s="430">
        <v>96.0</v>
      </c>
      <c r="L179" s="430" t="s">
        <v>20848</v>
      </c>
      <c r="M179" s="430" t="s">
        <v>20851</v>
      </c>
      <c r="N179" s="430" t="s">
        <v>20446</v>
      </c>
      <c r="O179" s="430">
        <v>2014.0</v>
      </c>
      <c r="P179" s="430" t="s">
        <v>388</v>
      </c>
      <c r="Q179" s="430">
        <v>1.0</v>
      </c>
      <c r="R179" s="471"/>
      <c r="S179" s="3"/>
      <c r="T179" s="3"/>
      <c r="U179" s="3"/>
      <c r="V179" s="3"/>
      <c r="W179" s="3"/>
      <c r="X179" s="3"/>
      <c r="Y179" s="3"/>
      <c r="Z179" s="3"/>
      <c r="AA179" s="3"/>
      <c r="AB179" s="3"/>
      <c r="AC179" s="3"/>
      <c r="AD179" s="3"/>
      <c r="AE179" s="3"/>
      <c r="AF179" s="3"/>
      <c r="AG179" s="3"/>
      <c r="AH179" s="3"/>
      <c r="AI179" s="3"/>
      <c r="AJ179" s="3"/>
      <c r="AK179" s="3"/>
    </row>
    <row r="180" ht="15.75" customHeight="1">
      <c r="A180" s="3"/>
      <c r="B180" s="920"/>
      <c r="C180" s="322"/>
      <c r="D180" s="430" t="s">
        <v>20444</v>
      </c>
      <c r="E180" s="432" t="s">
        <v>20872</v>
      </c>
      <c r="F180" s="430"/>
      <c r="G180" s="430" t="s">
        <v>29</v>
      </c>
      <c r="H180" s="430" t="s">
        <v>30</v>
      </c>
      <c r="I180" s="430"/>
      <c r="J180" s="430" t="s">
        <v>30</v>
      </c>
      <c r="K180" s="430">
        <v>96.0</v>
      </c>
      <c r="L180" s="430" t="s">
        <v>20848</v>
      </c>
      <c r="M180" s="430" t="s">
        <v>20851</v>
      </c>
      <c r="N180" s="430" t="s">
        <v>20446</v>
      </c>
      <c r="O180" s="430">
        <v>2017.0</v>
      </c>
      <c r="P180" s="430" t="s">
        <v>388</v>
      </c>
      <c r="Q180" s="430">
        <v>2.0</v>
      </c>
      <c r="R180" s="471"/>
      <c r="S180" s="3"/>
      <c r="T180" s="3"/>
      <c r="U180" s="3"/>
      <c r="V180" s="3"/>
      <c r="W180" s="3"/>
      <c r="X180" s="3"/>
      <c r="Y180" s="3"/>
      <c r="Z180" s="3"/>
      <c r="AA180" s="3"/>
      <c r="AB180" s="3"/>
      <c r="AC180" s="3"/>
      <c r="AD180" s="3"/>
      <c r="AE180" s="3"/>
      <c r="AF180" s="3"/>
      <c r="AG180" s="3"/>
      <c r="AH180" s="3"/>
      <c r="AI180" s="3"/>
      <c r="AJ180" s="3"/>
      <c r="AK180" s="3"/>
    </row>
    <row r="181" ht="15.75" customHeight="1">
      <c r="A181" s="3"/>
      <c r="B181" s="920"/>
      <c r="C181" s="322"/>
      <c r="D181" s="430" t="s">
        <v>20444</v>
      </c>
      <c r="E181" s="432" t="s">
        <v>20873</v>
      </c>
      <c r="F181" s="430"/>
      <c r="G181" s="430" t="s">
        <v>29</v>
      </c>
      <c r="H181" s="430" t="s">
        <v>30</v>
      </c>
      <c r="I181" s="430"/>
      <c r="J181" s="430" t="s">
        <v>30</v>
      </c>
      <c r="K181" s="430">
        <v>96.0</v>
      </c>
      <c r="L181" s="430" t="s">
        <v>20848</v>
      </c>
      <c r="M181" s="430" t="s">
        <v>20851</v>
      </c>
      <c r="N181" s="430" t="s">
        <v>20446</v>
      </c>
      <c r="O181" s="430">
        <v>2017.0</v>
      </c>
      <c r="P181" s="430" t="s">
        <v>388</v>
      </c>
      <c r="Q181" s="430">
        <v>2.0</v>
      </c>
      <c r="R181" s="471"/>
      <c r="S181" s="3"/>
      <c r="T181" s="3"/>
      <c r="U181" s="3"/>
      <c r="V181" s="3"/>
      <c r="W181" s="3"/>
      <c r="X181" s="3"/>
      <c r="Y181" s="3"/>
      <c r="Z181" s="3"/>
      <c r="AA181" s="3"/>
      <c r="AB181" s="3"/>
      <c r="AC181" s="3"/>
      <c r="AD181" s="3"/>
      <c r="AE181" s="3"/>
      <c r="AF181" s="3"/>
      <c r="AG181" s="3"/>
      <c r="AH181" s="3"/>
      <c r="AI181" s="3"/>
      <c r="AJ181" s="3"/>
      <c r="AK181" s="3"/>
    </row>
    <row r="182" ht="15.75" customHeight="1">
      <c r="A182" s="3"/>
      <c r="B182" s="921" t="s">
        <v>19965</v>
      </c>
      <c r="C182" s="430" t="s">
        <v>31</v>
      </c>
      <c r="D182" s="430" t="s">
        <v>20444</v>
      </c>
      <c r="E182" s="432" t="s">
        <v>20874</v>
      </c>
      <c r="F182" s="430"/>
      <c r="G182" s="430" t="s">
        <v>29</v>
      </c>
      <c r="H182" s="430" t="s">
        <v>30</v>
      </c>
      <c r="I182" s="430"/>
      <c r="J182" s="430" t="s">
        <v>30</v>
      </c>
      <c r="K182" s="430">
        <v>37.0</v>
      </c>
      <c r="L182" s="430" t="s">
        <v>20848</v>
      </c>
      <c r="M182" s="430" t="s">
        <v>20849</v>
      </c>
      <c r="N182" s="430" t="s">
        <v>20442</v>
      </c>
      <c r="O182" s="430">
        <v>2009.0</v>
      </c>
      <c r="P182" s="430" t="s">
        <v>388</v>
      </c>
      <c r="Q182" s="430">
        <v>1.0</v>
      </c>
      <c r="R182" s="471"/>
      <c r="S182" s="3"/>
      <c r="T182" s="3"/>
      <c r="U182" s="3"/>
      <c r="V182" s="3"/>
      <c r="W182" s="3"/>
      <c r="X182" s="3"/>
      <c r="Y182" s="3"/>
      <c r="Z182" s="3"/>
      <c r="AA182" s="3"/>
      <c r="AB182" s="3"/>
      <c r="AC182" s="3"/>
      <c r="AD182" s="3"/>
      <c r="AE182" s="3"/>
      <c r="AF182" s="3"/>
      <c r="AG182" s="3"/>
      <c r="AH182" s="3"/>
      <c r="AI182" s="3"/>
      <c r="AJ182" s="3"/>
      <c r="AK182" s="3"/>
    </row>
    <row r="183" ht="15.75" customHeight="1">
      <c r="A183" s="3"/>
      <c r="B183" s="921" t="s">
        <v>19968</v>
      </c>
      <c r="C183" s="430" t="s">
        <v>31</v>
      </c>
      <c r="D183" s="430" t="s">
        <v>20440</v>
      </c>
      <c r="E183" s="432" t="s">
        <v>20875</v>
      </c>
      <c r="F183" s="430"/>
      <c r="G183" s="430" t="s">
        <v>29</v>
      </c>
      <c r="H183" s="430" t="s">
        <v>30</v>
      </c>
      <c r="I183" s="430"/>
      <c r="J183" s="430" t="s">
        <v>30</v>
      </c>
      <c r="K183" s="430">
        <v>86.0</v>
      </c>
      <c r="L183" s="430" t="s">
        <v>20876</v>
      </c>
      <c r="M183" s="430" t="s">
        <v>20849</v>
      </c>
      <c r="N183" s="430" t="s">
        <v>20442</v>
      </c>
      <c r="O183" s="430">
        <v>2012.0</v>
      </c>
      <c r="P183" s="430" t="s">
        <v>388</v>
      </c>
      <c r="Q183" s="430">
        <v>1.0</v>
      </c>
      <c r="R183" s="471"/>
      <c r="S183" s="3"/>
      <c r="T183" s="3"/>
      <c r="U183" s="3"/>
      <c r="V183" s="3"/>
      <c r="W183" s="3"/>
      <c r="X183" s="3"/>
      <c r="Y183" s="3"/>
      <c r="Z183" s="3"/>
      <c r="AA183" s="3"/>
      <c r="AB183" s="3"/>
      <c r="AC183" s="3"/>
      <c r="AD183" s="3"/>
      <c r="AE183" s="3"/>
      <c r="AF183" s="3"/>
      <c r="AG183" s="3"/>
      <c r="AH183" s="3"/>
      <c r="AI183" s="3"/>
      <c r="AJ183" s="3"/>
      <c r="AK183" s="3"/>
    </row>
    <row r="184" ht="15.75" customHeight="1">
      <c r="A184" s="3"/>
      <c r="B184" s="921" t="s">
        <v>19971</v>
      </c>
      <c r="C184" s="430" t="s">
        <v>31</v>
      </c>
      <c r="D184" s="430" t="s">
        <v>20440</v>
      </c>
      <c r="E184" s="432" t="s">
        <v>20877</v>
      </c>
      <c r="F184" s="430"/>
      <c r="G184" s="430" t="s">
        <v>29</v>
      </c>
      <c r="H184" s="430" t="s">
        <v>30</v>
      </c>
      <c r="I184" s="430"/>
      <c r="J184" s="430" t="s">
        <v>30</v>
      </c>
      <c r="K184" s="430">
        <v>85.0</v>
      </c>
      <c r="L184" s="430" t="s">
        <v>20848</v>
      </c>
      <c r="M184" s="430" t="s">
        <v>20849</v>
      </c>
      <c r="N184" s="430" t="s">
        <v>20442</v>
      </c>
      <c r="O184" s="430">
        <v>2013.0</v>
      </c>
      <c r="P184" s="430" t="s">
        <v>388</v>
      </c>
      <c r="Q184" s="430">
        <v>1.0</v>
      </c>
      <c r="R184" s="471"/>
      <c r="S184" s="3"/>
      <c r="T184" s="3"/>
      <c r="U184" s="3"/>
      <c r="V184" s="3"/>
      <c r="W184" s="3"/>
      <c r="X184" s="3"/>
      <c r="Y184" s="3"/>
      <c r="Z184" s="3"/>
      <c r="AA184" s="3"/>
      <c r="AB184" s="3"/>
      <c r="AC184" s="3"/>
      <c r="AD184" s="3"/>
      <c r="AE184" s="3"/>
      <c r="AF184" s="3"/>
      <c r="AG184" s="3"/>
      <c r="AH184" s="3"/>
      <c r="AI184" s="3"/>
      <c r="AJ184" s="3"/>
      <c r="AK184" s="3"/>
    </row>
    <row r="185" ht="15.75" customHeight="1">
      <c r="A185" s="3"/>
      <c r="B185" s="921" t="s">
        <v>19974</v>
      </c>
      <c r="C185" s="430" t="s">
        <v>31</v>
      </c>
      <c r="D185" s="430" t="s">
        <v>20440</v>
      </c>
      <c r="E185" s="432" t="s">
        <v>20878</v>
      </c>
      <c r="F185" s="430"/>
      <c r="G185" s="430" t="s">
        <v>29</v>
      </c>
      <c r="H185" s="430" t="s">
        <v>30</v>
      </c>
      <c r="I185" s="430"/>
      <c r="J185" s="430" t="s">
        <v>30</v>
      </c>
      <c r="K185" s="430">
        <v>70.0</v>
      </c>
      <c r="L185" s="430" t="s">
        <v>20848</v>
      </c>
      <c r="M185" s="430" t="s">
        <v>20849</v>
      </c>
      <c r="N185" s="430" t="s">
        <v>20442</v>
      </c>
      <c r="O185" s="430">
        <v>2013.0</v>
      </c>
      <c r="P185" s="430" t="s">
        <v>388</v>
      </c>
      <c r="Q185" s="430">
        <v>1.0</v>
      </c>
      <c r="R185" s="471"/>
      <c r="S185" s="3"/>
      <c r="T185" s="3"/>
      <c r="U185" s="3"/>
      <c r="V185" s="3"/>
      <c r="W185" s="3"/>
      <c r="X185" s="3"/>
      <c r="Y185" s="3"/>
      <c r="Z185" s="3"/>
      <c r="AA185" s="3"/>
      <c r="AB185" s="3"/>
      <c r="AC185" s="3"/>
      <c r="AD185" s="3"/>
      <c r="AE185" s="3"/>
      <c r="AF185" s="3"/>
      <c r="AG185" s="3"/>
      <c r="AH185" s="3"/>
      <c r="AI185" s="3"/>
      <c r="AJ185" s="3"/>
      <c r="AK185" s="3"/>
    </row>
    <row r="186" ht="15.75" customHeight="1">
      <c r="A186" s="3"/>
      <c r="B186" s="921" t="s">
        <v>19978</v>
      </c>
      <c r="C186" s="430" t="s">
        <v>31</v>
      </c>
      <c r="D186" s="430" t="s">
        <v>20440</v>
      </c>
      <c r="E186" s="432" t="s">
        <v>20879</v>
      </c>
      <c r="F186" s="430"/>
      <c r="G186" s="430" t="s">
        <v>29</v>
      </c>
      <c r="H186" s="430" t="s">
        <v>30</v>
      </c>
      <c r="I186" s="430"/>
      <c r="J186" s="430" t="s">
        <v>30</v>
      </c>
      <c r="K186" s="430">
        <v>70.0</v>
      </c>
      <c r="L186" s="430" t="s">
        <v>20848</v>
      </c>
      <c r="M186" s="430" t="s">
        <v>20849</v>
      </c>
      <c r="N186" s="430" t="s">
        <v>20442</v>
      </c>
      <c r="O186" s="430">
        <v>2013.0</v>
      </c>
      <c r="P186" s="430" t="s">
        <v>388</v>
      </c>
      <c r="Q186" s="430">
        <v>1.0</v>
      </c>
      <c r="R186" s="471"/>
      <c r="S186" s="3"/>
      <c r="T186" s="3"/>
      <c r="U186" s="3"/>
      <c r="V186" s="3"/>
      <c r="W186" s="3"/>
      <c r="X186" s="3"/>
      <c r="Y186" s="3"/>
      <c r="Z186" s="3"/>
      <c r="AA186" s="3"/>
      <c r="AB186" s="3"/>
      <c r="AC186" s="3"/>
      <c r="AD186" s="3"/>
      <c r="AE186" s="3"/>
      <c r="AF186" s="3"/>
      <c r="AG186" s="3"/>
      <c r="AH186" s="3"/>
      <c r="AI186" s="3"/>
      <c r="AJ186" s="3"/>
      <c r="AK186" s="3"/>
    </row>
    <row r="187" ht="15.75" customHeight="1">
      <c r="A187" s="3"/>
      <c r="B187" s="921" t="s">
        <v>19981</v>
      </c>
      <c r="C187" s="430" t="s">
        <v>31</v>
      </c>
      <c r="D187" s="430" t="s">
        <v>20440</v>
      </c>
      <c r="E187" s="432" t="s">
        <v>20880</v>
      </c>
      <c r="F187" s="430"/>
      <c r="G187" s="430" t="s">
        <v>29</v>
      </c>
      <c r="H187" s="430" t="s">
        <v>30</v>
      </c>
      <c r="I187" s="430"/>
      <c r="J187" s="430" t="s">
        <v>30</v>
      </c>
      <c r="K187" s="430">
        <v>71.0</v>
      </c>
      <c r="L187" s="430" t="s">
        <v>20848</v>
      </c>
      <c r="M187" s="430" t="s">
        <v>20849</v>
      </c>
      <c r="N187" s="430" t="s">
        <v>20442</v>
      </c>
      <c r="O187" s="430">
        <v>2013.0</v>
      </c>
      <c r="P187" s="430" t="s">
        <v>388</v>
      </c>
      <c r="Q187" s="430">
        <v>1.0</v>
      </c>
      <c r="R187" s="471"/>
      <c r="S187" s="3"/>
      <c r="T187" s="3"/>
      <c r="U187" s="3"/>
      <c r="V187" s="3"/>
      <c r="W187" s="3"/>
      <c r="X187" s="3"/>
      <c r="Y187" s="3"/>
      <c r="Z187" s="3"/>
      <c r="AA187" s="3"/>
      <c r="AB187" s="3"/>
      <c r="AC187" s="3"/>
      <c r="AD187" s="3"/>
      <c r="AE187" s="3"/>
      <c r="AF187" s="3"/>
      <c r="AG187" s="3"/>
      <c r="AH187" s="3"/>
      <c r="AI187" s="3"/>
      <c r="AJ187" s="3"/>
      <c r="AK187" s="3"/>
    </row>
    <row r="188" ht="15.75" customHeight="1">
      <c r="A188" s="3"/>
      <c r="B188" s="921" t="s">
        <v>19984</v>
      </c>
      <c r="C188" s="430" t="s">
        <v>31</v>
      </c>
      <c r="D188" s="430" t="s">
        <v>20440</v>
      </c>
      <c r="E188" s="432" t="s">
        <v>20881</v>
      </c>
      <c r="F188" s="430"/>
      <c r="G188" s="430" t="s">
        <v>29</v>
      </c>
      <c r="H188" s="430" t="s">
        <v>30</v>
      </c>
      <c r="I188" s="430"/>
      <c r="J188" s="430" t="s">
        <v>30</v>
      </c>
      <c r="K188" s="430">
        <v>80.0</v>
      </c>
      <c r="L188" s="430" t="s">
        <v>20882</v>
      </c>
      <c r="M188" s="430" t="s">
        <v>20849</v>
      </c>
      <c r="N188" s="430" t="s">
        <v>20442</v>
      </c>
      <c r="O188" s="430">
        <v>2013.0</v>
      </c>
      <c r="P188" s="430" t="s">
        <v>388</v>
      </c>
      <c r="Q188" s="430">
        <v>1.0</v>
      </c>
      <c r="R188" s="471"/>
      <c r="S188" s="3"/>
      <c r="T188" s="3"/>
      <c r="U188" s="3"/>
      <c r="V188" s="3"/>
      <c r="W188" s="3"/>
      <c r="X188" s="3"/>
      <c r="Y188" s="3"/>
      <c r="Z188" s="3"/>
      <c r="AA188" s="3"/>
      <c r="AB188" s="3"/>
      <c r="AC188" s="3"/>
      <c r="AD188" s="3"/>
      <c r="AE188" s="3"/>
      <c r="AF188" s="3"/>
      <c r="AG188" s="3"/>
      <c r="AH188" s="3"/>
      <c r="AI188" s="3"/>
      <c r="AJ188" s="3"/>
      <c r="AK188" s="3"/>
    </row>
    <row r="189" ht="15.75" customHeight="1">
      <c r="A189" s="3"/>
      <c r="B189" s="921" t="s">
        <v>19986</v>
      </c>
      <c r="C189" s="430" t="s">
        <v>31</v>
      </c>
      <c r="D189" s="430" t="s">
        <v>20440</v>
      </c>
      <c r="E189" s="432" t="s">
        <v>20883</v>
      </c>
      <c r="F189" s="430"/>
      <c r="G189" s="430" t="s">
        <v>29</v>
      </c>
      <c r="H189" s="430" t="s">
        <v>30</v>
      </c>
      <c r="I189" s="430"/>
      <c r="J189" s="430" t="s">
        <v>30</v>
      </c>
      <c r="K189" s="430">
        <v>70.0</v>
      </c>
      <c r="L189" s="430" t="s">
        <v>20864</v>
      </c>
      <c r="M189" s="430" t="s">
        <v>20849</v>
      </c>
      <c r="N189" s="430" t="s">
        <v>20442</v>
      </c>
      <c r="O189" s="430">
        <v>2013.0</v>
      </c>
      <c r="P189" s="430" t="s">
        <v>388</v>
      </c>
      <c r="Q189" s="430">
        <v>1.0</v>
      </c>
      <c r="R189" s="471"/>
      <c r="S189" s="3"/>
      <c r="T189" s="3"/>
      <c r="U189" s="3"/>
      <c r="V189" s="3"/>
      <c r="W189" s="3"/>
      <c r="X189" s="3"/>
      <c r="Y189" s="3"/>
      <c r="Z189" s="3"/>
      <c r="AA189" s="3"/>
      <c r="AB189" s="3"/>
      <c r="AC189" s="3"/>
      <c r="AD189" s="3"/>
      <c r="AE189" s="3"/>
      <c r="AF189" s="3"/>
      <c r="AG189" s="3"/>
      <c r="AH189" s="3"/>
      <c r="AI189" s="3"/>
      <c r="AJ189" s="3"/>
      <c r="AK189" s="3"/>
    </row>
    <row r="190" ht="15.75" customHeight="1">
      <c r="A190" s="3"/>
      <c r="B190" s="921" t="s">
        <v>19989</v>
      </c>
      <c r="C190" s="430" t="s">
        <v>31</v>
      </c>
      <c r="D190" s="430" t="s">
        <v>20440</v>
      </c>
      <c r="E190" s="432" t="s">
        <v>20884</v>
      </c>
      <c r="F190" s="430"/>
      <c r="G190" s="430" t="s">
        <v>29</v>
      </c>
      <c r="H190" s="430" t="s">
        <v>30</v>
      </c>
      <c r="I190" s="430"/>
      <c r="J190" s="430" t="s">
        <v>30</v>
      </c>
      <c r="K190" s="430">
        <v>75.0</v>
      </c>
      <c r="L190" s="430" t="s">
        <v>20885</v>
      </c>
      <c r="M190" s="430" t="s">
        <v>20849</v>
      </c>
      <c r="N190" s="430" t="s">
        <v>20442</v>
      </c>
      <c r="O190" s="430">
        <v>2013.0</v>
      </c>
      <c r="P190" s="430" t="s">
        <v>388</v>
      </c>
      <c r="Q190" s="430">
        <v>1.0</v>
      </c>
      <c r="R190" s="471"/>
      <c r="S190" s="3"/>
      <c r="T190" s="3"/>
      <c r="U190" s="3"/>
      <c r="V190" s="3"/>
      <c r="W190" s="3"/>
      <c r="X190" s="3"/>
      <c r="Y190" s="3"/>
      <c r="Z190" s="3"/>
      <c r="AA190" s="3"/>
      <c r="AB190" s="3"/>
      <c r="AC190" s="3"/>
      <c r="AD190" s="3"/>
      <c r="AE190" s="3"/>
      <c r="AF190" s="3"/>
      <c r="AG190" s="3"/>
      <c r="AH190" s="3"/>
      <c r="AI190" s="3"/>
      <c r="AJ190" s="3"/>
      <c r="AK190" s="3"/>
    </row>
    <row r="191" ht="15.75" customHeight="1">
      <c r="A191" s="3"/>
      <c r="B191" s="921" t="s">
        <v>19992</v>
      </c>
      <c r="C191" s="430"/>
      <c r="D191" s="430" t="s">
        <v>20440</v>
      </c>
      <c r="E191" s="432" t="s">
        <v>20886</v>
      </c>
      <c r="F191" s="430"/>
      <c r="G191" s="430" t="s">
        <v>29</v>
      </c>
      <c r="H191" s="430" t="s">
        <v>30</v>
      </c>
      <c r="I191" s="430"/>
      <c r="J191" s="430" t="s">
        <v>30</v>
      </c>
      <c r="K191" s="430">
        <v>75.0</v>
      </c>
      <c r="L191" s="430" t="s">
        <v>20885</v>
      </c>
      <c r="M191" s="430" t="s">
        <v>20849</v>
      </c>
      <c r="N191" s="430" t="s">
        <v>20442</v>
      </c>
      <c r="O191" s="430">
        <v>2013.0</v>
      </c>
      <c r="P191" s="430" t="s">
        <v>388</v>
      </c>
      <c r="Q191" s="430">
        <v>1.0</v>
      </c>
      <c r="R191" s="471"/>
      <c r="S191" s="3"/>
      <c r="T191" s="3"/>
      <c r="U191" s="3"/>
      <c r="V191" s="3"/>
      <c r="W191" s="3"/>
      <c r="X191" s="3"/>
      <c r="Y191" s="3"/>
      <c r="Z191" s="3"/>
      <c r="AA191" s="3"/>
      <c r="AB191" s="3"/>
      <c r="AC191" s="3"/>
      <c r="AD191" s="3"/>
      <c r="AE191" s="3"/>
      <c r="AF191" s="3"/>
      <c r="AG191" s="3"/>
      <c r="AH191" s="3"/>
      <c r="AI191" s="3"/>
      <c r="AJ191" s="3"/>
      <c r="AK191" s="3"/>
    </row>
    <row r="192" ht="15.75" customHeight="1">
      <c r="A192" s="3"/>
      <c r="B192" s="921" t="s">
        <v>19995</v>
      </c>
      <c r="C192" s="430"/>
      <c r="D192" s="430" t="s">
        <v>20440</v>
      </c>
      <c r="E192" s="432" t="s">
        <v>20887</v>
      </c>
      <c r="F192" s="430"/>
      <c r="G192" s="430" t="s">
        <v>29</v>
      </c>
      <c r="H192" s="430" t="s">
        <v>30</v>
      </c>
      <c r="I192" s="430"/>
      <c r="J192" s="430" t="s">
        <v>30</v>
      </c>
      <c r="K192" s="430">
        <v>75.0</v>
      </c>
      <c r="L192" s="430" t="s">
        <v>20885</v>
      </c>
      <c r="M192" s="430" t="s">
        <v>20849</v>
      </c>
      <c r="N192" s="430" t="s">
        <v>20442</v>
      </c>
      <c r="O192" s="430">
        <v>2017.0</v>
      </c>
      <c r="P192" s="430" t="s">
        <v>388</v>
      </c>
      <c r="Q192" s="430">
        <v>1.0</v>
      </c>
      <c r="R192" s="471"/>
      <c r="S192" s="3"/>
      <c r="T192" s="3"/>
      <c r="U192" s="3"/>
      <c r="V192" s="3"/>
      <c r="W192" s="3"/>
      <c r="X192" s="3"/>
      <c r="Y192" s="3"/>
      <c r="Z192" s="3"/>
      <c r="AA192" s="3"/>
      <c r="AB192" s="3"/>
      <c r="AC192" s="3"/>
      <c r="AD192" s="3"/>
      <c r="AE192" s="3"/>
      <c r="AF192" s="3"/>
      <c r="AG192" s="3"/>
      <c r="AH192" s="3"/>
      <c r="AI192" s="3"/>
      <c r="AJ192" s="3"/>
      <c r="AK192" s="3"/>
    </row>
    <row r="193" ht="15.75" customHeight="1">
      <c r="A193" s="3"/>
      <c r="B193" s="920"/>
      <c r="C193" s="322"/>
      <c r="D193" s="430" t="s">
        <v>20440</v>
      </c>
      <c r="E193" s="432" t="s">
        <v>20888</v>
      </c>
      <c r="F193" s="430"/>
      <c r="G193" s="430" t="s">
        <v>29</v>
      </c>
      <c r="H193" s="430" t="s">
        <v>30</v>
      </c>
      <c r="I193" s="430"/>
      <c r="J193" s="430" t="s">
        <v>30</v>
      </c>
      <c r="K193" s="430">
        <v>75.0</v>
      </c>
      <c r="L193" s="430" t="s">
        <v>20885</v>
      </c>
      <c r="M193" s="430" t="s">
        <v>20849</v>
      </c>
      <c r="N193" s="430" t="s">
        <v>20442</v>
      </c>
      <c r="O193" s="430">
        <v>2017.0</v>
      </c>
      <c r="P193" s="430" t="s">
        <v>388</v>
      </c>
      <c r="Q193" s="430">
        <v>1.0</v>
      </c>
      <c r="R193" s="471"/>
      <c r="S193" s="3"/>
      <c r="T193" s="3"/>
      <c r="U193" s="3"/>
      <c r="V193" s="3"/>
      <c r="W193" s="3"/>
      <c r="X193" s="3"/>
      <c r="Y193" s="3"/>
      <c r="Z193" s="3"/>
      <c r="AA193" s="3"/>
      <c r="AB193" s="3"/>
      <c r="AC193" s="3"/>
      <c r="AD193" s="3"/>
      <c r="AE193" s="3"/>
      <c r="AF193" s="3"/>
      <c r="AG193" s="3"/>
      <c r="AH193" s="3"/>
      <c r="AI193" s="3"/>
      <c r="AJ193" s="3"/>
      <c r="AK193" s="3"/>
    </row>
    <row r="194" ht="15.75" customHeight="1">
      <c r="A194" s="3"/>
      <c r="B194" s="920"/>
      <c r="C194" s="322"/>
      <c r="D194" s="430" t="s">
        <v>20440</v>
      </c>
      <c r="E194" s="432" t="s">
        <v>20889</v>
      </c>
      <c r="F194" s="430"/>
      <c r="G194" s="430" t="s">
        <v>29</v>
      </c>
      <c r="H194" s="430" t="s">
        <v>30</v>
      </c>
      <c r="I194" s="430"/>
      <c r="J194" s="430" t="s">
        <v>30</v>
      </c>
      <c r="K194" s="430">
        <v>75.0</v>
      </c>
      <c r="L194" s="430" t="s">
        <v>20885</v>
      </c>
      <c r="M194" s="430" t="s">
        <v>20849</v>
      </c>
      <c r="N194" s="430" t="s">
        <v>20442</v>
      </c>
      <c r="O194" s="430">
        <v>2017.0</v>
      </c>
      <c r="P194" s="430" t="s">
        <v>388</v>
      </c>
      <c r="Q194" s="430">
        <v>1.0</v>
      </c>
      <c r="R194" s="471"/>
      <c r="S194" s="3"/>
      <c r="T194" s="3"/>
      <c r="U194" s="3"/>
      <c r="V194" s="3"/>
      <c r="W194" s="3"/>
      <c r="X194" s="3"/>
      <c r="Y194" s="3"/>
      <c r="Z194" s="3"/>
      <c r="AA194" s="3"/>
      <c r="AB194" s="3"/>
      <c r="AC194" s="3"/>
      <c r="AD194" s="3"/>
      <c r="AE194" s="3"/>
      <c r="AF194" s="3"/>
      <c r="AG194" s="3"/>
      <c r="AH194" s="3"/>
      <c r="AI194" s="3"/>
      <c r="AJ194" s="3"/>
      <c r="AK194" s="3"/>
    </row>
    <row r="195" ht="15.75" customHeight="1">
      <c r="A195" s="3"/>
      <c r="B195" s="920"/>
      <c r="C195" s="322"/>
      <c r="D195" s="430" t="s">
        <v>20440</v>
      </c>
      <c r="E195" s="432" t="s">
        <v>20890</v>
      </c>
      <c r="F195" s="430"/>
      <c r="G195" s="430" t="s">
        <v>29</v>
      </c>
      <c r="H195" s="430" t="s">
        <v>30</v>
      </c>
      <c r="I195" s="430"/>
      <c r="J195" s="430" t="s">
        <v>30</v>
      </c>
      <c r="K195" s="430">
        <v>75.0</v>
      </c>
      <c r="L195" s="430" t="s">
        <v>20885</v>
      </c>
      <c r="M195" s="430" t="s">
        <v>20849</v>
      </c>
      <c r="N195" s="430" t="s">
        <v>20442</v>
      </c>
      <c r="O195" s="430">
        <v>2017.0</v>
      </c>
      <c r="P195" s="430" t="s">
        <v>388</v>
      </c>
      <c r="Q195" s="430">
        <v>1.0</v>
      </c>
      <c r="R195" s="471"/>
      <c r="S195" s="3"/>
      <c r="T195" s="3"/>
      <c r="U195" s="3"/>
      <c r="V195" s="3"/>
      <c r="W195" s="3"/>
      <c r="X195" s="3"/>
      <c r="Y195" s="3"/>
      <c r="Z195" s="3"/>
      <c r="AA195" s="3"/>
      <c r="AB195" s="3"/>
      <c r="AC195" s="3"/>
      <c r="AD195" s="3"/>
      <c r="AE195" s="3"/>
      <c r="AF195" s="3"/>
      <c r="AG195" s="3"/>
      <c r="AH195" s="3"/>
      <c r="AI195" s="3"/>
      <c r="AJ195" s="3"/>
      <c r="AK195" s="3"/>
    </row>
    <row r="196" ht="15.75" customHeight="1">
      <c r="A196" s="3"/>
      <c r="B196" s="920"/>
      <c r="C196" s="322"/>
      <c r="D196" s="430" t="s">
        <v>20440</v>
      </c>
      <c r="E196" s="432" t="s">
        <v>20891</v>
      </c>
      <c r="F196" s="430"/>
      <c r="G196" s="430" t="s">
        <v>29</v>
      </c>
      <c r="H196" s="430" t="s">
        <v>30</v>
      </c>
      <c r="I196" s="430"/>
      <c r="J196" s="430" t="s">
        <v>30</v>
      </c>
      <c r="K196" s="430">
        <v>75.0</v>
      </c>
      <c r="L196" s="430" t="s">
        <v>20885</v>
      </c>
      <c r="M196" s="430" t="s">
        <v>20849</v>
      </c>
      <c r="N196" s="430" t="s">
        <v>20442</v>
      </c>
      <c r="O196" s="430">
        <v>2017.0</v>
      </c>
      <c r="P196" s="430" t="s">
        <v>388</v>
      </c>
      <c r="Q196" s="430">
        <v>1.0</v>
      </c>
      <c r="R196" s="471"/>
      <c r="S196" s="3"/>
      <c r="T196" s="3"/>
      <c r="U196" s="3"/>
      <c r="V196" s="3"/>
      <c r="W196" s="3"/>
      <c r="X196" s="3"/>
      <c r="Y196" s="3"/>
      <c r="Z196" s="3"/>
      <c r="AA196" s="3"/>
      <c r="AB196" s="3"/>
      <c r="AC196" s="3"/>
      <c r="AD196" s="3"/>
      <c r="AE196" s="3"/>
      <c r="AF196" s="3"/>
      <c r="AG196" s="3"/>
      <c r="AH196" s="3"/>
      <c r="AI196" s="3"/>
      <c r="AJ196" s="3"/>
      <c r="AK196" s="3"/>
    </row>
    <row r="197" ht="15.75" customHeight="1">
      <c r="A197" s="3"/>
      <c r="B197" s="920"/>
      <c r="C197" s="322"/>
      <c r="D197" s="430" t="s">
        <v>20440</v>
      </c>
      <c r="E197" s="432" t="s">
        <v>20892</v>
      </c>
      <c r="F197" s="430"/>
      <c r="G197" s="430" t="s">
        <v>29</v>
      </c>
      <c r="H197" s="430" t="s">
        <v>30</v>
      </c>
      <c r="I197" s="430"/>
      <c r="J197" s="430" t="s">
        <v>30</v>
      </c>
      <c r="K197" s="430">
        <v>75.0</v>
      </c>
      <c r="L197" s="430" t="s">
        <v>20885</v>
      </c>
      <c r="M197" s="430" t="s">
        <v>20849</v>
      </c>
      <c r="N197" s="430" t="s">
        <v>20442</v>
      </c>
      <c r="O197" s="430">
        <v>2017.0</v>
      </c>
      <c r="P197" s="430" t="s">
        <v>388</v>
      </c>
      <c r="Q197" s="430">
        <v>1.0</v>
      </c>
      <c r="R197" s="471"/>
      <c r="S197" s="3"/>
      <c r="T197" s="3"/>
      <c r="U197" s="3"/>
      <c r="V197" s="3"/>
      <c r="W197" s="3"/>
      <c r="X197" s="3"/>
      <c r="Y197" s="3"/>
      <c r="Z197" s="3"/>
      <c r="AA197" s="3"/>
      <c r="AB197" s="3"/>
      <c r="AC197" s="3"/>
      <c r="AD197" s="3"/>
      <c r="AE197" s="3"/>
      <c r="AF197" s="3"/>
      <c r="AG197" s="3"/>
      <c r="AH197" s="3"/>
      <c r="AI197" s="3"/>
      <c r="AJ197" s="3"/>
      <c r="AK197" s="3"/>
    </row>
    <row r="198" ht="15.75" customHeight="1">
      <c r="A198" s="3"/>
      <c r="B198" s="920"/>
      <c r="C198" s="322"/>
      <c r="D198" s="430" t="s">
        <v>20440</v>
      </c>
      <c r="E198" s="432" t="s">
        <v>20893</v>
      </c>
      <c r="F198" s="430"/>
      <c r="G198" s="430" t="s">
        <v>29</v>
      </c>
      <c r="H198" s="430" t="s">
        <v>30</v>
      </c>
      <c r="I198" s="430"/>
      <c r="J198" s="430" t="s">
        <v>30</v>
      </c>
      <c r="K198" s="430">
        <v>75.0</v>
      </c>
      <c r="L198" s="430" t="s">
        <v>20885</v>
      </c>
      <c r="M198" s="430" t="s">
        <v>20849</v>
      </c>
      <c r="N198" s="430" t="s">
        <v>20442</v>
      </c>
      <c r="O198" s="430">
        <v>2017.0</v>
      </c>
      <c r="P198" s="430" t="s">
        <v>388</v>
      </c>
      <c r="Q198" s="430">
        <v>1.0</v>
      </c>
      <c r="R198" s="471"/>
      <c r="S198" s="3"/>
      <c r="T198" s="3"/>
      <c r="U198" s="3"/>
      <c r="V198" s="3"/>
      <c r="W198" s="3"/>
      <c r="X198" s="3"/>
      <c r="Y198" s="3"/>
      <c r="Z198" s="3"/>
      <c r="AA198" s="3"/>
      <c r="AB198" s="3"/>
      <c r="AC198" s="3"/>
      <c r="AD198" s="3"/>
      <c r="AE198" s="3"/>
      <c r="AF198" s="3"/>
      <c r="AG198" s="3"/>
      <c r="AH198" s="3"/>
      <c r="AI198" s="3"/>
      <c r="AJ198" s="3"/>
      <c r="AK198" s="3"/>
    </row>
    <row r="199" ht="15.75" customHeight="1">
      <c r="A199" s="3"/>
      <c r="B199" s="921" t="s">
        <v>19998</v>
      </c>
      <c r="C199" s="433" t="s">
        <v>31</v>
      </c>
      <c r="D199" s="433"/>
      <c r="E199" s="434" t="s">
        <v>20894</v>
      </c>
      <c r="F199" s="433"/>
      <c r="G199" s="433" t="s">
        <v>29</v>
      </c>
      <c r="H199" s="433" t="s">
        <v>30</v>
      </c>
      <c r="I199" s="433"/>
      <c r="J199" s="433" t="s">
        <v>30</v>
      </c>
      <c r="K199" s="433">
        <v>50.0</v>
      </c>
      <c r="L199" s="433" t="s">
        <v>13582</v>
      </c>
      <c r="M199" s="433" t="s">
        <v>20895</v>
      </c>
      <c r="N199" s="433" t="s">
        <v>20896</v>
      </c>
      <c r="O199" s="433">
        <v>2012.0</v>
      </c>
      <c r="P199" s="433" t="s">
        <v>388</v>
      </c>
      <c r="Q199" s="433">
        <v>1.0</v>
      </c>
      <c r="R199" s="471"/>
      <c r="S199" s="3"/>
      <c r="T199" s="3"/>
      <c r="U199" s="3"/>
      <c r="V199" s="3"/>
      <c r="W199" s="3"/>
      <c r="X199" s="3"/>
      <c r="Y199" s="3"/>
      <c r="Z199" s="3"/>
      <c r="AA199" s="3"/>
      <c r="AB199" s="3"/>
      <c r="AC199" s="3"/>
      <c r="AD199" s="3"/>
      <c r="AE199" s="3"/>
      <c r="AF199" s="3"/>
      <c r="AG199" s="3"/>
      <c r="AH199" s="3"/>
      <c r="AI199" s="3"/>
      <c r="AJ199" s="3"/>
      <c r="AK199" s="3"/>
    </row>
    <row r="200" ht="15.75" customHeight="1">
      <c r="A200" s="3"/>
      <c r="B200" s="921" t="s">
        <v>20001</v>
      </c>
      <c r="C200" s="433"/>
      <c r="D200" s="433"/>
      <c r="E200" s="434"/>
      <c r="F200" s="433"/>
      <c r="G200" s="433"/>
      <c r="H200" s="433"/>
      <c r="I200" s="433"/>
      <c r="J200" s="433"/>
      <c r="K200" s="433"/>
      <c r="L200" s="433"/>
      <c r="M200" s="433"/>
      <c r="N200" s="433"/>
      <c r="O200" s="433"/>
      <c r="P200" s="433"/>
      <c r="Q200" s="433"/>
      <c r="R200" s="471"/>
      <c r="S200" s="3"/>
      <c r="T200" s="3"/>
      <c r="U200" s="3"/>
      <c r="V200" s="3"/>
      <c r="W200" s="3"/>
      <c r="X200" s="3"/>
      <c r="Y200" s="3"/>
      <c r="Z200" s="3"/>
      <c r="AA200" s="3"/>
      <c r="AB200" s="3"/>
      <c r="AC200" s="3"/>
      <c r="AD200" s="3"/>
      <c r="AE200" s="3"/>
      <c r="AF200" s="3"/>
      <c r="AG200" s="3"/>
      <c r="AH200" s="3"/>
      <c r="AI200" s="3"/>
      <c r="AJ200" s="3"/>
      <c r="AK200" s="3"/>
    </row>
    <row r="201" ht="15.75" customHeight="1">
      <c r="A201" s="3"/>
      <c r="B201" s="921" t="s">
        <v>20003</v>
      </c>
      <c r="C201" s="430" t="s">
        <v>31</v>
      </c>
      <c r="D201" s="430"/>
      <c r="E201" s="432" t="s">
        <v>20897</v>
      </c>
      <c r="F201" s="430"/>
      <c r="G201" s="430" t="s">
        <v>29</v>
      </c>
      <c r="H201" s="430" t="s">
        <v>30</v>
      </c>
      <c r="I201" s="430"/>
      <c r="J201" s="430" t="s">
        <v>30</v>
      </c>
      <c r="K201" s="430">
        <v>60.0</v>
      </c>
      <c r="L201" s="430" t="s">
        <v>20898</v>
      </c>
      <c r="M201" s="430" t="s">
        <v>20899</v>
      </c>
      <c r="N201" s="430" t="s">
        <v>20900</v>
      </c>
      <c r="O201" s="430">
        <v>2000.0</v>
      </c>
      <c r="P201" s="430" t="s">
        <v>388</v>
      </c>
      <c r="Q201" s="430">
        <v>1.0</v>
      </c>
      <c r="R201" s="471"/>
      <c r="S201" s="3"/>
      <c r="T201" s="3"/>
      <c r="U201" s="3"/>
      <c r="V201" s="3"/>
      <c r="W201" s="3"/>
      <c r="X201" s="3"/>
      <c r="Y201" s="3"/>
      <c r="Z201" s="3"/>
      <c r="AA201" s="3"/>
      <c r="AB201" s="3"/>
      <c r="AC201" s="3"/>
      <c r="AD201" s="3"/>
      <c r="AE201" s="3"/>
      <c r="AF201" s="3"/>
      <c r="AG201" s="3"/>
      <c r="AH201" s="3"/>
      <c r="AI201" s="3"/>
      <c r="AJ201" s="3"/>
      <c r="AK201" s="3"/>
    </row>
    <row r="202" ht="15.75" customHeight="1">
      <c r="A202" s="3"/>
      <c r="B202" s="921" t="s">
        <v>20006</v>
      </c>
      <c r="C202" s="430" t="s">
        <v>31</v>
      </c>
      <c r="D202" s="430"/>
      <c r="E202" s="432" t="s">
        <v>20901</v>
      </c>
      <c r="F202" s="430"/>
      <c r="G202" s="430" t="s">
        <v>29</v>
      </c>
      <c r="H202" s="430" t="s">
        <v>30</v>
      </c>
      <c r="I202" s="430"/>
      <c r="J202" s="430" t="s">
        <v>30</v>
      </c>
      <c r="K202" s="430">
        <v>132.0</v>
      </c>
      <c r="L202" s="430" t="s">
        <v>20902</v>
      </c>
      <c r="M202" s="430" t="s">
        <v>20903</v>
      </c>
      <c r="N202" s="430" t="s">
        <v>20900</v>
      </c>
      <c r="O202" s="430">
        <v>2001.0</v>
      </c>
      <c r="P202" s="430" t="s">
        <v>388</v>
      </c>
      <c r="Q202" s="430">
        <v>1.0</v>
      </c>
      <c r="R202" s="471"/>
      <c r="S202" s="3"/>
      <c r="T202" s="3"/>
      <c r="U202" s="3"/>
      <c r="V202" s="3"/>
      <c r="W202" s="3"/>
      <c r="X202" s="3"/>
      <c r="Y202" s="3"/>
      <c r="Z202" s="3"/>
      <c r="AA202" s="3"/>
      <c r="AB202" s="3"/>
      <c r="AC202" s="3"/>
      <c r="AD202" s="3"/>
      <c r="AE202" s="3"/>
      <c r="AF202" s="3"/>
      <c r="AG202" s="3"/>
      <c r="AH202" s="3"/>
      <c r="AI202" s="3"/>
      <c r="AJ202" s="3"/>
      <c r="AK202" s="3"/>
    </row>
    <row r="203" ht="15.75" customHeight="1">
      <c r="A203" s="3"/>
      <c r="B203" s="921" t="s">
        <v>20008</v>
      </c>
      <c r="C203" s="430" t="s">
        <v>31</v>
      </c>
      <c r="D203" s="430"/>
      <c r="E203" s="432" t="s">
        <v>20904</v>
      </c>
      <c r="F203" s="430"/>
      <c r="G203" s="430" t="s">
        <v>29</v>
      </c>
      <c r="H203" s="430" t="s">
        <v>30</v>
      </c>
      <c r="I203" s="430"/>
      <c r="J203" s="430" t="s">
        <v>30</v>
      </c>
      <c r="K203" s="430">
        <v>62.0</v>
      </c>
      <c r="L203" s="430" t="s">
        <v>20905</v>
      </c>
      <c r="M203" s="430" t="s">
        <v>20906</v>
      </c>
      <c r="N203" s="430" t="s">
        <v>20900</v>
      </c>
      <c r="O203" s="430">
        <v>1996.0</v>
      </c>
      <c r="P203" s="430" t="s">
        <v>388</v>
      </c>
      <c r="Q203" s="430">
        <v>1.0</v>
      </c>
      <c r="R203" s="471"/>
      <c r="S203" s="3"/>
      <c r="T203" s="3"/>
      <c r="U203" s="3"/>
      <c r="V203" s="3"/>
      <c r="W203" s="3"/>
      <c r="X203" s="3"/>
      <c r="Y203" s="3"/>
      <c r="Z203" s="3"/>
      <c r="AA203" s="3"/>
      <c r="AB203" s="3"/>
      <c r="AC203" s="3"/>
      <c r="AD203" s="3"/>
      <c r="AE203" s="3"/>
      <c r="AF203" s="3"/>
      <c r="AG203" s="3"/>
      <c r="AH203" s="3"/>
      <c r="AI203" s="3"/>
      <c r="AJ203" s="3"/>
      <c r="AK203" s="3"/>
    </row>
    <row r="204" ht="15.75" customHeight="1">
      <c r="A204" s="3"/>
      <c r="B204" s="921" t="s">
        <v>20010</v>
      </c>
      <c r="C204" s="430" t="s">
        <v>31</v>
      </c>
      <c r="D204" s="430"/>
      <c r="E204" s="432" t="s">
        <v>20907</v>
      </c>
      <c r="F204" s="430"/>
      <c r="G204" s="430" t="s">
        <v>29</v>
      </c>
      <c r="H204" s="430" t="s">
        <v>30</v>
      </c>
      <c r="I204" s="430"/>
      <c r="J204" s="430" t="s">
        <v>30</v>
      </c>
      <c r="K204" s="430">
        <v>60.0</v>
      </c>
      <c r="L204" s="430" t="s">
        <v>20908</v>
      </c>
      <c r="M204" s="430" t="s">
        <v>20906</v>
      </c>
      <c r="N204" s="430" t="s">
        <v>20900</v>
      </c>
      <c r="O204" s="430">
        <v>1999.0</v>
      </c>
      <c r="P204" s="430" t="s">
        <v>388</v>
      </c>
      <c r="Q204" s="430">
        <v>1.0</v>
      </c>
      <c r="R204" s="471"/>
      <c r="S204" s="3"/>
      <c r="T204" s="3"/>
      <c r="U204" s="3"/>
      <c r="V204" s="3"/>
      <c r="W204" s="3"/>
      <c r="X204" s="3"/>
      <c r="Y204" s="3"/>
      <c r="Z204" s="3"/>
      <c r="AA204" s="3"/>
      <c r="AB204" s="3"/>
      <c r="AC204" s="3"/>
      <c r="AD204" s="3"/>
      <c r="AE204" s="3"/>
      <c r="AF204" s="3"/>
      <c r="AG204" s="3"/>
      <c r="AH204" s="3"/>
      <c r="AI204" s="3"/>
      <c r="AJ204" s="3"/>
      <c r="AK204" s="3"/>
    </row>
    <row r="205" ht="15.75" customHeight="1">
      <c r="A205" s="3"/>
      <c r="B205" s="921" t="s">
        <v>20013</v>
      </c>
      <c r="C205" s="430" t="s">
        <v>31</v>
      </c>
      <c r="D205" s="430"/>
      <c r="E205" s="432" t="s">
        <v>20909</v>
      </c>
      <c r="F205" s="430"/>
      <c r="G205" s="430" t="s">
        <v>29</v>
      </c>
      <c r="H205" s="430" t="s">
        <v>30</v>
      </c>
      <c r="I205" s="430"/>
      <c r="J205" s="430" t="s">
        <v>30</v>
      </c>
      <c r="K205" s="430">
        <v>61.0</v>
      </c>
      <c r="L205" s="430" t="s">
        <v>20910</v>
      </c>
      <c r="M205" s="430" t="s">
        <v>20906</v>
      </c>
      <c r="N205" s="430" t="s">
        <v>20900</v>
      </c>
      <c r="O205" s="430">
        <v>2000.0</v>
      </c>
      <c r="P205" s="430" t="s">
        <v>388</v>
      </c>
      <c r="Q205" s="430">
        <v>1.0</v>
      </c>
      <c r="R205" s="471"/>
      <c r="S205" s="3"/>
      <c r="T205" s="3"/>
      <c r="U205" s="3"/>
      <c r="V205" s="3"/>
      <c r="W205" s="3"/>
      <c r="X205" s="3"/>
      <c r="Y205" s="3"/>
      <c r="Z205" s="3"/>
      <c r="AA205" s="3"/>
      <c r="AB205" s="3"/>
      <c r="AC205" s="3"/>
      <c r="AD205" s="3"/>
      <c r="AE205" s="3"/>
      <c r="AF205" s="3"/>
      <c r="AG205" s="3"/>
      <c r="AH205" s="3"/>
      <c r="AI205" s="3"/>
      <c r="AJ205" s="3"/>
      <c r="AK205" s="3"/>
    </row>
    <row r="206" ht="15.75" customHeight="1">
      <c r="A206" s="3"/>
      <c r="B206" s="921" t="s">
        <v>20016</v>
      </c>
      <c r="C206" s="430" t="s">
        <v>31</v>
      </c>
      <c r="D206" s="430"/>
      <c r="E206" s="432" t="s">
        <v>20911</v>
      </c>
      <c r="F206" s="430"/>
      <c r="G206" s="430" t="s">
        <v>29</v>
      </c>
      <c r="H206" s="430" t="s">
        <v>30</v>
      </c>
      <c r="I206" s="430"/>
      <c r="J206" s="430" t="s">
        <v>30</v>
      </c>
      <c r="K206" s="430">
        <v>85.0</v>
      </c>
      <c r="L206" s="430" t="s">
        <v>20908</v>
      </c>
      <c r="M206" s="430" t="s">
        <v>20912</v>
      </c>
      <c r="N206" s="430" t="s">
        <v>20900</v>
      </c>
      <c r="O206" s="430">
        <v>2000.0</v>
      </c>
      <c r="P206" s="430" t="s">
        <v>388</v>
      </c>
      <c r="Q206" s="430">
        <v>1.0</v>
      </c>
      <c r="R206" s="471"/>
      <c r="S206" s="3"/>
      <c r="T206" s="3"/>
      <c r="U206" s="3"/>
      <c r="V206" s="3"/>
      <c r="W206" s="3"/>
      <c r="X206" s="3"/>
      <c r="Y206" s="3"/>
      <c r="Z206" s="3"/>
      <c r="AA206" s="3"/>
      <c r="AB206" s="3"/>
      <c r="AC206" s="3"/>
      <c r="AD206" s="3"/>
      <c r="AE206" s="3"/>
      <c r="AF206" s="3"/>
      <c r="AG206" s="3"/>
      <c r="AH206" s="3"/>
      <c r="AI206" s="3"/>
      <c r="AJ206" s="3"/>
      <c r="AK206" s="3"/>
    </row>
    <row r="207" ht="15.75" customHeight="1">
      <c r="A207" s="3"/>
      <c r="B207" s="921" t="s">
        <v>20021</v>
      </c>
      <c r="C207" s="430" t="s">
        <v>31</v>
      </c>
      <c r="D207" s="430"/>
      <c r="E207" s="432" t="s">
        <v>20913</v>
      </c>
      <c r="F207" s="430"/>
      <c r="G207" s="430" t="s">
        <v>29</v>
      </c>
      <c r="H207" s="430" t="s">
        <v>30</v>
      </c>
      <c r="I207" s="430"/>
      <c r="J207" s="430" t="s">
        <v>30</v>
      </c>
      <c r="K207" s="430">
        <v>57.0</v>
      </c>
      <c r="L207" s="430" t="s">
        <v>20914</v>
      </c>
      <c r="M207" s="430" t="s">
        <v>20906</v>
      </c>
      <c r="N207" s="430" t="s">
        <v>20900</v>
      </c>
      <c r="O207" s="430">
        <v>1998.0</v>
      </c>
      <c r="P207" s="430" t="s">
        <v>388</v>
      </c>
      <c r="Q207" s="430">
        <v>1.0</v>
      </c>
      <c r="R207" s="471"/>
      <c r="S207" s="3"/>
      <c r="T207" s="3"/>
      <c r="U207" s="3"/>
      <c r="V207" s="3"/>
      <c r="W207" s="3"/>
      <c r="X207" s="3"/>
      <c r="Y207" s="3"/>
      <c r="Z207" s="3"/>
      <c r="AA207" s="3"/>
      <c r="AB207" s="3"/>
      <c r="AC207" s="3"/>
      <c r="AD207" s="3"/>
      <c r="AE207" s="3"/>
      <c r="AF207" s="3"/>
      <c r="AG207" s="3"/>
      <c r="AH207" s="3"/>
      <c r="AI207" s="3"/>
      <c r="AJ207" s="3"/>
      <c r="AK207" s="3"/>
    </row>
    <row r="208" ht="15.75" customHeight="1">
      <c r="A208" s="3"/>
      <c r="B208" s="921" t="s">
        <v>20026</v>
      </c>
      <c r="C208" s="430" t="s">
        <v>31</v>
      </c>
      <c r="D208" s="430"/>
      <c r="E208" s="432" t="s">
        <v>20915</v>
      </c>
      <c r="F208" s="430"/>
      <c r="G208" s="430" t="s">
        <v>29</v>
      </c>
      <c r="H208" s="430" t="s">
        <v>30</v>
      </c>
      <c r="I208" s="430"/>
      <c r="J208" s="430" t="s">
        <v>30</v>
      </c>
      <c r="K208" s="430">
        <v>68.0</v>
      </c>
      <c r="L208" s="430" t="s">
        <v>20916</v>
      </c>
      <c r="M208" s="430" t="s">
        <v>20917</v>
      </c>
      <c r="N208" s="430" t="s">
        <v>20900</v>
      </c>
      <c r="O208" s="430">
        <v>1993.0</v>
      </c>
      <c r="P208" s="430" t="s">
        <v>388</v>
      </c>
      <c r="Q208" s="430">
        <v>1.0</v>
      </c>
      <c r="R208" s="471"/>
      <c r="S208" s="3"/>
      <c r="T208" s="3"/>
      <c r="U208" s="3"/>
      <c r="V208" s="3"/>
      <c r="W208" s="3"/>
      <c r="X208" s="3"/>
      <c r="Y208" s="3"/>
      <c r="Z208" s="3"/>
      <c r="AA208" s="3"/>
      <c r="AB208" s="3"/>
      <c r="AC208" s="3"/>
      <c r="AD208" s="3"/>
      <c r="AE208" s="3"/>
      <c r="AF208" s="3"/>
      <c r="AG208" s="3"/>
      <c r="AH208" s="3"/>
      <c r="AI208" s="3"/>
      <c r="AJ208" s="3"/>
      <c r="AK208" s="3"/>
    </row>
    <row r="209" ht="15.75" customHeight="1">
      <c r="A209" s="3"/>
      <c r="B209" s="921" t="s">
        <v>20029</v>
      </c>
      <c r="C209" s="430" t="s">
        <v>31</v>
      </c>
      <c r="D209" s="430"/>
      <c r="E209" s="432" t="s">
        <v>20918</v>
      </c>
      <c r="F209" s="430"/>
      <c r="G209" s="430" t="s">
        <v>29</v>
      </c>
      <c r="H209" s="430" t="s">
        <v>30</v>
      </c>
      <c r="I209" s="430"/>
      <c r="J209" s="430" t="s">
        <v>30</v>
      </c>
      <c r="K209" s="430">
        <v>49.0</v>
      </c>
      <c r="L209" s="430" t="s">
        <v>20280</v>
      </c>
      <c r="M209" s="430" t="s">
        <v>20906</v>
      </c>
      <c r="N209" s="430" t="s">
        <v>20900</v>
      </c>
      <c r="O209" s="430">
        <v>1997.0</v>
      </c>
      <c r="P209" s="430" t="s">
        <v>388</v>
      </c>
      <c r="Q209" s="430">
        <v>1.0</v>
      </c>
      <c r="R209" s="471"/>
      <c r="S209" s="3"/>
      <c r="T209" s="3"/>
      <c r="U209" s="3"/>
      <c r="V209" s="3"/>
      <c r="W209" s="3"/>
      <c r="X209" s="3"/>
      <c r="Y209" s="3"/>
      <c r="Z209" s="3"/>
      <c r="AA209" s="3"/>
      <c r="AB209" s="3"/>
      <c r="AC209" s="3"/>
      <c r="AD209" s="3"/>
      <c r="AE209" s="3"/>
      <c r="AF209" s="3"/>
      <c r="AG209" s="3"/>
      <c r="AH209" s="3"/>
      <c r="AI209" s="3"/>
      <c r="AJ209" s="3"/>
      <c r="AK209" s="3"/>
    </row>
    <row r="210" ht="15.75" customHeight="1">
      <c r="A210" s="3"/>
      <c r="B210" s="921" t="s">
        <v>20032</v>
      </c>
      <c r="C210" s="430" t="s">
        <v>31</v>
      </c>
      <c r="D210" s="430" t="s">
        <v>31</v>
      </c>
      <c r="E210" s="432" t="s">
        <v>20919</v>
      </c>
      <c r="F210" s="430" t="s">
        <v>29</v>
      </c>
      <c r="G210" s="430" t="s">
        <v>29</v>
      </c>
      <c r="H210" s="430" t="s">
        <v>30</v>
      </c>
      <c r="I210" s="430"/>
      <c r="J210" s="430" t="s">
        <v>30</v>
      </c>
      <c r="K210" s="430">
        <v>138.0</v>
      </c>
      <c r="L210" s="430"/>
      <c r="M210" s="430" t="s">
        <v>31</v>
      </c>
      <c r="N210" s="430" t="s">
        <v>20900</v>
      </c>
      <c r="O210" s="430">
        <v>2011.0</v>
      </c>
      <c r="P210" s="430" t="s">
        <v>388</v>
      </c>
      <c r="Q210" s="430">
        <v>1.0</v>
      </c>
      <c r="R210" s="471"/>
      <c r="S210" s="3"/>
      <c r="T210" s="3"/>
      <c r="U210" s="3"/>
      <c r="V210" s="3"/>
      <c r="W210" s="3"/>
      <c r="X210" s="3"/>
      <c r="Y210" s="3"/>
      <c r="Z210" s="3"/>
      <c r="AA210" s="3"/>
      <c r="AB210" s="3"/>
      <c r="AC210" s="3"/>
      <c r="AD210" s="3"/>
      <c r="AE210" s="3"/>
      <c r="AF210" s="3"/>
      <c r="AG210" s="3"/>
      <c r="AH210" s="3"/>
      <c r="AI210" s="3"/>
      <c r="AJ210" s="3"/>
      <c r="AK210" s="3"/>
    </row>
    <row r="211" ht="15.75" customHeight="1">
      <c r="A211" s="3"/>
      <c r="B211" s="921" t="s">
        <v>20034</v>
      </c>
      <c r="C211" s="322" t="s">
        <v>31</v>
      </c>
      <c r="D211" s="322" t="s">
        <v>31</v>
      </c>
      <c r="E211" s="420" t="s">
        <v>20920</v>
      </c>
      <c r="F211" s="322" t="s">
        <v>29</v>
      </c>
      <c r="G211" s="322" t="s">
        <v>29</v>
      </c>
      <c r="H211" s="322" t="s">
        <v>30</v>
      </c>
      <c r="I211" s="322"/>
      <c r="J211" s="322" t="s">
        <v>30</v>
      </c>
      <c r="K211" s="322">
        <v>142.0</v>
      </c>
      <c r="L211" s="322"/>
      <c r="M211" s="322" t="s">
        <v>31</v>
      </c>
      <c r="N211" s="322" t="s">
        <v>20900</v>
      </c>
      <c r="O211" s="322">
        <v>2010.0</v>
      </c>
      <c r="P211" s="322" t="s">
        <v>388</v>
      </c>
      <c r="Q211" s="322">
        <v>1.0</v>
      </c>
      <c r="R211" s="471"/>
      <c r="S211" s="3"/>
      <c r="T211" s="3"/>
      <c r="U211" s="3"/>
      <c r="V211" s="3"/>
      <c r="W211" s="3"/>
      <c r="X211" s="3"/>
      <c r="Y211" s="3"/>
      <c r="Z211" s="3"/>
      <c r="AA211" s="3"/>
      <c r="AB211" s="3"/>
      <c r="AC211" s="3"/>
      <c r="AD211" s="3"/>
      <c r="AE211" s="3"/>
      <c r="AF211" s="3"/>
      <c r="AG211" s="3"/>
      <c r="AH211" s="3"/>
      <c r="AI211" s="3"/>
      <c r="AJ211" s="3"/>
      <c r="AK211" s="3"/>
    </row>
    <row r="212" ht="15.75" customHeight="1">
      <c r="A212" s="3"/>
      <c r="B212" s="921" t="s">
        <v>20037</v>
      </c>
      <c r="C212" s="430"/>
      <c r="D212" s="430"/>
      <c r="E212" s="432" t="s">
        <v>13701</v>
      </c>
      <c r="F212" s="430" t="s">
        <v>29</v>
      </c>
      <c r="G212" s="430" t="s">
        <v>29</v>
      </c>
      <c r="H212" s="430" t="s">
        <v>30</v>
      </c>
      <c r="I212" s="430"/>
      <c r="J212" s="430" t="s">
        <v>30</v>
      </c>
      <c r="K212" s="430">
        <v>90.0</v>
      </c>
      <c r="L212" s="430"/>
      <c r="M212" s="430"/>
      <c r="N212" s="430" t="s">
        <v>13700</v>
      </c>
      <c r="O212" s="430">
        <v>2009.0</v>
      </c>
      <c r="P212" s="430" t="s">
        <v>388</v>
      </c>
      <c r="Q212" s="430">
        <v>1.0</v>
      </c>
      <c r="R212" s="471"/>
      <c r="S212" s="3"/>
      <c r="T212" s="3"/>
      <c r="U212" s="3"/>
      <c r="V212" s="3"/>
      <c r="W212" s="3"/>
      <c r="X212" s="3"/>
      <c r="Y212" s="3"/>
      <c r="Z212" s="3"/>
      <c r="AA212" s="3"/>
      <c r="AB212" s="3"/>
      <c r="AC212" s="3"/>
      <c r="AD212" s="3"/>
      <c r="AE212" s="3"/>
      <c r="AF212" s="3"/>
      <c r="AG212" s="3"/>
      <c r="AH212" s="3"/>
      <c r="AI212" s="3"/>
      <c r="AJ212" s="3"/>
      <c r="AK212" s="3"/>
    </row>
    <row r="213" ht="15.75" customHeight="1">
      <c r="A213" s="3"/>
      <c r="B213" s="921" t="s">
        <v>20039</v>
      </c>
      <c r="C213" s="430"/>
      <c r="D213" s="430"/>
      <c r="E213" s="432" t="s">
        <v>13699</v>
      </c>
      <c r="F213" s="430" t="s">
        <v>29</v>
      </c>
      <c r="G213" s="430" t="s">
        <v>29</v>
      </c>
      <c r="H213" s="430" t="s">
        <v>30</v>
      </c>
      <c r="I213" s="430"/>
      <c r="J213" s="430" t="s">
        <v>30</v>
      </c>
      <c r="K213" s="430">
        <v>122.0</v>
      </c>
      <c r="L213" s="430"/>
      <c r="M213" s="430"/>
      <c r="N213" s="430" t="s">
        <v>13700</v>
      </c>
      <c r="O213" s="430">
        <v>2009.0</v>
      </c>
      <c r="P213" s="430" t="s">
        <v>388</v>
      </c>
      <c r="Q213" s="430">
        <v>1.0</v>
      </c>
      <c r="R213" s="471"/>
      <c r="S213" s="3"/>
      <c r="T213" s="3"/>
      <c r="U213" s="3"/>
      <c r="V213" s="3"/>
      <c r="W213" s="3"/>
      <c r="X213" s="3"/>
      <c r="Y213" s="3"/>
      <c r="Z213" s="3"/>
      <c r="AA213" s="3"/>
      <c r="AB213" s="3"/>
      <c r="AC213" s="3"/>
      <c r="AD213" s="3"/>
      <c r="AE213" s="3"/>
      <c r="AF213" s="3"/>
      <c r="AG213" s="3"/>
      <c r="AH213" s="3"/>
      <c r="AI213" s="3"/>
      <c r="AJ213" s="3"/>
      <c r="AK213" s="3"/>
    </row>
    <row r="214" ht="15.75" customHeight="1">
      <c r="A214" s="3"/>
      <c r="B214" s="921" t="s">
        <v>20041</v>
      </c>
      <c r="C214" s="430" t="s">
        <v>20921</v>
      </c>
      <c r="D214" s="430" t="s">
        <v>20922</v>
      </c>
      <c r="E214" s="432" t="s">
        <v>20923</v>
      </c>
      <c r="F214" s="430" t="s">
        <v>29</v>
      </c>
      <c r="G214" s="430" t="s">
        <v>29</v>
      </c>
      <c r="H214" s="430" t="s">
        <v>30</v>
      </c>
      <c r="I214" s="430"/>
      <c r="J214" s="430" t="s">
        <v>30</v>
      </c>
      <c r="K214" s="430">
        <f>185</f>
        <v>185</v>
      </c>
      <c r="L214" s="430"/>
      <c r="M214" s="430" t="s">
        <v>20924</v>
      </c>
      <c r="N214" s="430" t="s">
        <v>20925</v>
      </c>
      <c r="O214" s="430">
        <v>2009.0</v>
      </c>
      <c r="P214" s="430" t="s">
        <v>388</v>
      </c>
      <c r="Q214" s="430">
        <v>1.0</v>
      </c>
      <c r="R214" s="471"/>
      <c r="S214" s="3"/>
      <c r="T214" s="3"/>
      <c r="U214" s="3"/>
      <c r="V214" s="3"/>
      <c r="W214" s="3"/>
      <c r="X214" s="3"/>
      <c r="Y214" s="3"/>
      <c r="Z214" s="3"/>
      <c r="AA214" s="3"/>
      <c r="AB214" s="3"/>
      <c r="AC214" s="3"/>
      <c r="AD214" s="3"/>
      <c r="AE214" s="3"/>
      <c r="AF214" s="3"/>
      <c r="AG214" s="3"/>
      <c r="AH214" s="3"/>
      <c r="AI214" s="3"/>
      <c r="AJ214" s="3"/>
      <c r="AK214" s="3"/>
    </row>
    <row r="215" ht="15.75" customHeight="1">
      <c r="A215" s="3"/>
      <c r="B215" s="921" t="s">
        <v>20043</v>
      </c>
      <c r="C215" s="430" t="s">
        <v>20926</v>
      </c>
      <c r="D215" s="430" t="s">
        <v>20927</v>
      </c>
      <c r="E215" s="432" t="s">
        <v>20928</v>
      </c>
      <c r="F215" s="430" t="s">
        <v>29</v>
      </c>
      <c r="G215" s="430" t="s">
        <v>29</v>
      </c>
      <c r="H215" s="430" t="s">
        <v>30</v>
      </c>
      <c r="I215" s="430"/>
      <c r="J215" s="430" t="s">
        <v>30</v>
      </c>
      <c r="K215" s="430">
        <v>127.0</v>
      </c>
      <c r="L215" s="430"/>
      <c r="M215" s="430" t="s">
        <v>31</v>
      </c>
      <c r="N215" s="430" t="s">
        <v>20929</v>
      </c>
      <c r="O215" s="430">
        <v>2008.0</v>
      </c>
      <c r="P215" s="430" t="s">
        <v>388</v>
      </c>
      <c r="Q215" s="430">
        <v>1.0</v>
      </c>
      <c r="R215" s="471"/>
      <c r="S215" s="3"/>
      <c r="T215" s="3"/>
      <c r="U215" s="3"/>
      <c r="V215" s="3"/>
      <c r="W215" s="3"/>
      <c r="X215" s="3"/>
      <c r="Y215" s="3"/>
      <c r="Z215" s="3"/>
      <c r="AA215" s="3"/>
      <c r="AB215" s="3"/>
      <c r="AC215" s="3"/>
      <c r="AD215" s="3"/>
      <c r="AE215" s="3"/>
      <c r="AF215" s="3"/>
      <c r="AG215" s="3"/>
      <c r="AH215" s="3"/>
      <c r="AI215" s="3"/>
      <c r="AJ215" s="3"/>
      <c r="AK215" s="3"/>
    </row>
    <row r="216" ht="15.75" customHeight="1">
      <c r="A216" s="3"/>
      <c r="B216" s="921" t="s">
        <v>20045</v>
      </c>
      <c r="C216" s="430" t="s">
        <v>31</v>
      </c>
      <c r="D216" s="430" t="s">
        <v>20930</v>
      </c>
      <c r="E216" s="432" t="s">
        <v>20931</v>
      </c>
      <c r="F216" s="430" t="s">
        <v>29</v>
      </c>
      <c r="G216" s="430" t="s">
        <v>29</v>
      </c>
      <c r="H216" s="430" t="s">
        <v>30</v>
      </c>
      <c r="I216" s="430"/>
      <c r="J216" s="430" t="s">
        <v>30</v>
      </c>
      <c r="K216" s="430">
        <v>65.0</v>
      </c>
      <c r="L216" s="430"/>
      <c r="M216" s="430" t="s">
        <v>31</v>
      </c>
      <c r="N216" s="430" t="s">
        <v>20932</v>
      </c>
      <c r="O216" s="430">
        <v>2000.0</v>
      </c>
      <c r="P216" s="430" t="s">
        <v>388</v>
      </c>
      <c r="Q216" s="430">
        <v>1.0</v>
      </c>
      <c r="R216" s="471"/>
      <c r="S216" s="3"/>
      <c r="T216" s="3"/>
      <c r="U216" s="3"/>
      <c r="V216" s="3"/>
      <c r="W216" s="3"/>
      <c r="X216" s="3"/>
      <c r="Y216" s="3"/>
      <c r="Z216" s="3"/>
      <c r="AA216" s="3"/>
      <c r="AB216" s="3"/>
      <c r="AC216" s="3"/>
      <c r="AD216" s="3"/>
      <c r="AE216" s="3"/>
      <c r="AF216" s="3"/>
      <c r="AG216" s="3"/>
      <c r="AH216" s="3"/>
      <c r="AI216" s="3"/>
      <c r="AJ216" s="3"/>
      <c r="AK216" s="3"/>
    </row>
    <row r="217" ht="15.75" customHeight="1">
      <c r="A217" s="3"/>
      <c r="B217" s="921" t="s">
        <v>20049</v>
      </c>
      <c r="C217" s="430" t="s">
        <v>31</v>
      </c>
      <c r="D217" s="430" t="s">
        <v>20933</v>
      </c>
      <c r="E217" s="432" t="s">
        <v>20934</v>
      </c>
      <c r="F217" s="430" t="s">
        <v>29</v>
      </c>
      <c r="G217" s="430" t="s">
        <v>29</v>
      </c>
      <c r="H217" s="430" t="s">
        <v>30</v>
      </c>
      <c r="I217" s="430"/>
      <c r="J217" s="430" t="s">
        <v>30</v>
      </c>
      <c r="K217" s="430">
        <v>59.0</v>
      </c>
      <c r="L217" s="430"/>
      <c r="M217" s="430"/>
      <c r="N217" s="430" t="s">
        <v>20935</v>
      </c>
      <c r="O217" s="430">
        <v>2006.0</v>
      </c>
      <c r="P217" s="430" t="s">
        <v>388</v>
      </c>
      <c r="Q217" s="430">
        <v>1.0</v>
      </c>
      <c r="R217" s="471"/>
      <c r="S217" s="3"/>
      <c r="T217" s="3"/>
      <c r="U217" s="3"/>
      <c r="V217" s="3"/>
      <c r="W217" s="3"/>
      <c r="X217" s="3"/>
      <c r="Y217" s="3"/>
      <c r="Z217" s="3"/>
      <c r="AA217" s="3"/>
      <c r="AB217" s="3"/>
      <c r="AC217" s="3"/>
      <c r="AD217" s="3"/>
      <c r="AE217" s="3"/>
      <c r="AF217" s="3"/>
      <c r="AG217" s="3"/>
      <c r="AH217" s="3"/>
      <c r="AI217" s="3"/>
      <c r="AJ217" s="3"/>
      <c r="AK217" s="3"/>
    </row>
    <row r="218" ht="15.75" customHeight="1">
      <c r="A218" s="3"/>
      <c r="B218" s="921" t="s">
        <v>20052</v>
      </c>
      <c r="C218" s="430" t="s">
        <v>20936</v>
      </c>
      <c r="D218" s="430" t="s">
        <v>20937</v>
      </c>
      <c r="E218" s="432" t="s">
        <v>20938</v>
      </c>
      <c r="F218" s="430" t="s">
        <v>29</v>
      </c>
      <c r="G218" s="430" t="s">
        <v>29</v>
      </c>
      <c r="H218" s="430" t="s">
        <v>30</v>
      </c>
      <c r="I218" s="430"/>
      <c r="J218" s="430" t="s">
        <v>30</v>
      </c>
      <c r="K218" s="430">
        <v>46.0</v>
      </c>
      <c r="L218" s="430"/>
      <c r="M218" s="430"/>
      <c r="N218" s="430" t="s">
        <v>6535</v>
      </c>
      <c r="O218" s="430">
        <v>2007.0</v>
      </c>
      <c r="P218" s="430" t="s">
        <v>388</v>
      </c>
      <c r="Q218" s="430">
        <v>1.0</v>
      </c>
      <c r="R218" s="471"/>
      <c r="S218" s="3"/>
      <c r="T218" s="3"/>
      <c r="U218" s="3"/>
      <c r="V218" s="3"/>
      <c r="W218" s="3"/>
      <c r="X218" s="3"/>
      <c r="Y218" s="3"/>
      <c r="Z218" s="3"/>
      <c r="AA218" s="3"/>
      <c r="AB218" s="3"/>
      <c r="AC218" s="3"/>
      <c r="AD218" s="3"/>
      <c r="AE218" s="3"/>
      <c r="AF218" s="3"/>
      <c r="AG218" s="3"/>
      <c r="AH218" s="3"/>
      <c r="AI218" s="3"/>
      <c r="AJ218" s="3"/>
      <c r="AK218" s="3"/>
    </row>
    <row r="219" ht="15.75" customHeight="1">
      <c r="A219" s="3"/>
      <c r="B219" s="921" t="s">
        <v>20055</v>
      </c>
      <c r="C219" s="430" t="s">
        <v>20936</v>
      </c>
      <c r="D219" s="430" t="s">
        <v>20937</v>
      </c>
      <c r="E219" s="432" t="s">
        <v>20939</v>
      </c>
      <c r="F219" s="430" t="s">
        <v>29</v>
      </c>
      <c r="G219" s="430" t="s">
        <v>29</v>
      </c>
      <c r="H219" s="430" t="s">
        <v>30</v>
      </c>
      <c r="I219" s="430"/>
      <c r="J219" s="430" t="s">
        <v>30</v>
      </c>
      <c r="K219" s="430">
        <v>46.0</v>
      </c>
      <c r="L219" s="430"/>
      <c r="M219" s="430"/>
      <c r="N219" s="430" t="s">
        <v>6535</v>
      </c>
      <c r="O219" s="430">
        <v>2007.0</v>
      </c>
      <c r="P219" s="430" t="s">
        <v>388</v>
      </c>
      <c r="Q219" s="430">
        <v>1.0</v>
      </c>
      <c r="R219" s="471"/>
      <c r="S219" s="3"/>
      <c r="T219" s="3"/>
      <c r="U219" s="3"/>
      <c r="V219" s="3"/>
      <c r="W219" s="3"/>
      <c r="X219" s="3"/>
      <c r="Y219" s="3"/>
      <c r="Z219" s="3"/>
      <c r="AA219" s="3"/>
      <c r="AB219" s="3"/>
      <c r="AC219" s="3"/>
      <c r="AD219" s="3"/>
      <c r="AE219" s="3"/>
      <c r="AF219" s="3"/>
      <c r="AG219" s="3"/>
      <c r="AH219" s="3"/>
      <c r="AI219" s="3"/>
      <c r="AJ219" s="3"/>
      <c r="AK219" s="3"/>
    </row>
    <row r="220" ht="15.75" customHeight="1">
      <c r="A220" s="3"/>
      <c r="B220" s="921" t="s">
        <v>20060</v>
      </c>
      <c r="C220" s="430" t="s">
        <v>31</v>
      </c>
      <c r="D220" s="430" t="s">
        <v>20940</v>
      </c>
      <c r="E220" s="432" t="s">
        <v>20941</v>
      </c>
      <c r="F220" s="430" t="s">
        <v>29</v>
      </c>
      <c r="G220" s="430" t="s">
        <v>29</v>
      </c>
      <c r="H220" s="430" t="s">
        <v>30</v>
      </c>
      <c r="I220" s="430"/>
      <c r="J220" s="430" t="s">
        <v>30</v>
      </c>
      <c r="K220" s="430">
        <v>28.0</v>
      </c>
      <c r="L220" s="430"/>
      <c r="M220" s="430"/>
      <c r="N220" s="430" t="s">
        <v>20942</v>
      </c>
      <c r="O220" s="430">
        <v>2016.0</v>
      </c>
      <c r="P220" s="430" t="s">
        <v>388</v>
      </c>
      <c r="Q220" s="430">
        <v>1.0</v>
      </c>
      <c r="R220" s="471"/>
      <c r="S220" s="3"/>
      <c r="T220" s="3"/>
      <c r="U220" s="3"/>
      <c r="V220" s="3"/>
      <c r="W220" s="3"/>
      <c r="X220" s="3"/>
      <c r="Y220" s="3"/>
      <c r="Z220" s="3"/>
      <c r="AA220" s="3"/>
      <c r="AB220" s="3"/>
      <c r="AC220" s="3"/>
      <c r="AD220" s="3"/>
      <c r="AE220" s="3"/>
      <c r="AF220" s="3"/>
      <c r="AG220" s="3"/>
      <c r="AH220" s="3"/>
      <c r="AI220" s="3"/>
      <c r="AJ220" s="3"/>
      <c r="AK220" s="3"/>
    </row>
    <row r="221" ht="15.75" customHeight="1">
      <c r="A221" s="3"/>
      <c r="B221" s="925" t="s">
        <v>20063</v>
      </c>
      <c r="C221" s="433"/>
      <c r="D221" s="433"/>
      <c r="E221" s="434" t="s">
        <v>20943</v>
      </c>
      <c r="F221" s="433"/>
      <c r="G221" s="433" t="s">
        <v>29</v>
      </c>
      <c r="H221" s="433" t="s">
        <v>30</v>
      </c>
      <c r="I221" s="433"/>
      <c r="J221" s="433" t="s">
        <v>30</v>
      </c>
      <c r="K221" s="433">
        <v>24.0</v>
      </c>
      <c r="L221" s="433" t="s">
        <v>13582</v>
      </c>
      <c r="M221" s="833" t="s">
        <v>20944</v>
      </c>
      <c r="N221" s="433" t="s">
        <v>20945</v>
      </c>
      <c r="O221" s="433">
        <v>2008.0</v>
      </c>
      <c r="P221" s="433" t="s">
        <v>388</v>
      </c>
      <c r="Q221" s="433">
        <v>1.0</v>
      </c>
      <c r="R221" s="471"/>
      <c r="S221" s="3"/>
      <c r="T221" s="3"/>
      <c r="U221" s="3"/>
      <c r="V221" s="3"/>
      <c r="W221" s="3"/>
      <c r="X221" s="3"/>
      <c r="Y221" s="3"/>
      <c r="Z221" s="3"/>
      <c r="AA221" s="3"/>
      <c r="AB221" s="3"/>
      <c r="AC221" s="3"/>
      <c r="AD221" s="3"/>
      <c r="AE221" s="3"/>
      <c r="AF221" s="3"/>
      <c r="AG221" s="3"/>
      <c r="AH221" s="3"/>
      <c r="AI221" s="3"/>
      <c r="AJ221" s="3"/>
      <c r="AK221" s="3"/>
    </row>
    <row r="222" ht="15.75" customHeight="1">
      <c r="A222" s="3"/>
      <c r="B222" s="925" t="s">
        <v>20946</v>
      </c>
      <c r="C222" s="538"/>
      <c r="D222" s="433" t="s">
        <v>20310</v>
      </c>
      <c r="E222" s="434" t="s">
        <v>20947</v>
      </c>
      <c r="F222" s="433" t="s">
        <v>20948</v>
      </c>
      <c r="G222" s="433" t="s">
        <v>29</v>
      </c>
      <c r="H222" s="433" t="s">
        <v>30</v>
      </c>
      <c r="I222" s="433"/>
      <c r="J222" s="433" t="s">
        <v>30</v>
      </c>
      <c r="K222" s="433">
        <v>48.0</v>
      </c>
      <c r="L222" s="433" t="s">
        <v>20949</v>
      </c>
      <c r="M222" s="433" t="s">
        <v>20950</v>
      </c>
      <c r="N222" s="433" t="s">
        <v>4831</v>
      </c>
      <c r="O222" s="433">
        <v>2009.0</v>
      </c>
      <c r="P222" s="433" t="s">
        <v>388</v>
      </c>
      <c r="Q222" s="433">
        <v>1.0</v>
      </c>
      <c r="R222" s="140"/>
      <c r="S222" s="3"/>
      <c r="T222" s="3"/>
      <c r="U222" s="3"/>
      <c r="V222" s="3"/>
      <c r="W222" s="3"/>
      <c r="X222" s="3"/>
      <c r="Y222" s="3"/>
      <c r="Z222" s="3"/>
      <c r="AA222" s="3"/>
      <c r="AB222" s="3"/>
      <c r="AC222" s="3"/>
      <c r="AD222" s="3"/>
      <c r="AE222" s="3"/>
      <c r="AF222" s="3"/>
      <c r="AG222" s="3"/>
      <c r="AH222" s="3"/>
      <c r="AI222" s="3"/>
      <c r="AJ222" s="3"/>
      <c r="AK222" s="3"/>
    </row>
    <row r="223" ht="15.75" customHeight="1">
      <c r="A223" s="3"/>
      <c r="B223" s="925" t="s">
        <v>20951</v>
      </c>
      <c r="C223" s="538"/>
      <c r="D223" s="433" t="s">
        <v>20310</v>
      </c>
      <c r="E223" s="434" t="s">
        <v>20952</v>
      </c>
      <c r="F223" s="433" t="s">
        <v>20948</v>
      </c>
      <c r="G223" s="433" t="s">
        <v>29</v>
      </c>
      <c r="H223" s="433" t="s">
        <v>30</v>
      </c>
      <c r="I223" s="433"/>
      <c r="J223" s="433" t="s">
        <v>30</v>
      </c>
      <c r="K223" s="433">
        <v>48.0</v>
      </c>
      <c r="L223" s="433" t="s">
        <v>20953</v>
      </c>
      <c r="M223" s="433" t="s">
        <v>20954</v>
      </c>
      <c r="N223" s="433" t="s">
        <v>4831</v>
      </c>
      <c r="O223" s="433">
        <v>2010.0</v>
      </c>
      <c r="P223" s="433" t="s">
        <v>388</v>
      </c>
      <c r="Q223" s="433">
        <v>1.0</v>
      </c>
      <c r="R223" s="140"/>
      <c r="S223" s="3"/>
      <c r="T223" s="3"/>
      <c r="U223" s="3"/>
      <c r="V223" s="3"/>
      <c r="W223" s="3"/>
      <c r="X223" s="3"/>
      <c r="Y223" s="3"/>
      <c r="Z223" s="3"/>
      <c r="AA223" s="3"/>
      <c r="AB223" s="3"/>
      <c r="AC223" s="3"/>
      <c r="AD223" s="3"/>
      <c r="AE223" s="3"/>
      <c r="AF223" s="3"/>
      <c r="AG223" s="3"/>
      <c r="AH223" s="3"/>
      <c r="AI223" s="3"/>
      <c r="AJ223" s="3"/>
      <c r="AK223" s="3"/>
    </row>
    <row r="224" ht="15.75" customHeight="1">
      <c r="A224" s="3"/>
      <c r="B224" s="925" t="s">
        <v>20955</v>
      </c>
      <c r="C224" s="538"/>
      <c r="D224" s="433" t="s">
        <v>20310</v>
      </c>
      <c r="E224" s="434" t="s">
        <v>20956</v>
      </c>
      <c r="F224" s="433" t="s">
        <v>20948</v>
      </c>
      <c r="G224" s="433"/>
      <c r="H224" s="433"/>
      <c r="I224" s="433"/>
      <c r="J224" s="433" t="s">
        <v>30</v>
      </c>
      <c r="K224" s="433">
        <v>96.0</v>
      </c>
      <c r="L224" s="433" t="s">
        <v>18984</v>
      </c>
      <c r="M224" s="433" t="s">
        <v>20957</v>
      </c>
      <c r="N224" s="433" t="s">
        <v>4831</v>
      </c>
      <c r="O224" s="433">
        <v>2010.0</v>
      </c>
      <c r="P224" s="433" t="s">
        <v>388</v>
      </c>
      <c r="Q224" s="433">
        <v>1.0</v>
      </c>
      <c r="R224" s="140"/>
      <c r="S224" s="3"/>
      <c r="T224" s="3"/>
      <c r="U224" s="3"/>
      <c r="V224" s="3"/>
      <c r="W224" s="3"/>
      <c r="X224" s="3"/>
      <c r="Y224" s="3"/>
      <c r="Z224" s="3"/>
      <c r="AA224" s="3"/>
      <c r="AB224" s="3"/>
      <c r="AC224" s="3"/>
      <c r="AD224" s="3"/>
      <c r="AE224" s="3"/>
      <c r="AF224" s="3"/>
      <c r="AG224" s="3"/>
      <c r="AH224" s="3"/>
      <c r="AI224" s="3"/>
      <c r="AJ224" s="3"/>
      <c r="AK224" s="3"/>
    </row>
    <row r="225" ht="15.75" customHeight="1">
      <c r="A225" s="3"/>
      <c r="B225" s="925" t="s">
        <v>20958</v>
      </c>
      <c r="C225" s="538"/>
      <c r="D225" s="433" t="s">
        <v>20310</v>
      </c>
      <c r="E225" s="434" t="s">
        <v>20959</v>
      </c>
      <c r="F225" s="433" t="s">
        <v>20948</v>
      </c>
      <c r="G225" s="433" t="s">
        <v>29</v>
      </c>
      <c r="H225" s="433" t="s">
        <v>30</v>
      </c>
      <c r="I225" s="433"/>
      <c r="J225" s="433" t="s">
        <v>30</v>
      </c>
      <c r="K225" s="433">
        <v>96.0</v>
      </c>
      <c r="L225" s="433" t="s">
        <v>20949</v>
      </c>
      <c r="M225" s="433" t="s">
        <v>20957</v>
      </c>
      <c r="N225" s="433" t="s">
        <v>4831</v>
      </c>
      <c r="O225" s="433">
        <v>2010.0</v>
      </c>
      <c r="P225" s="433" t="s">
        <v>388</v>
      </c>
      <c r="Q225" s="433">
        <v>1.0</v>
      </c>
      <c r="R225" s="140"/>
      <c r="S225" s="3"/>
      <c r="T225" s="3"/>
      <c r="U225" s="3"/>
      <c r="V225" s="3"/>
      <c r="W225" s="3"/>
      <c r="X225" s="3"/>
      <c r="Y225" s="3"/>
      <c r="Z225" s="3"/>
      <c r="AA225" s="3"/>
      <c r="AB225" s="3"/>
      <c r="AC225" s="3"/>
      <c r="AD225" s="3"/>
      <c r="AE225" s="3"/>
      <c r="AF225" s="3"/>
      <c r="AG225" s="3"/>
      <c r="AH225" s="3"/>
      <c r="AI225" s="3"/>
      <c r="AJ225" s="3"/>
      <c r="AK225" s="3"/>
    </row>
    <row r="226" ht="15.75" customHeight="1">
      <c r="A226" s="3"/>
      <c r="B226" s="925" t="s">
        <v>20960</v>
      </c>
      <c r="C226" s="538"/>
      <c r="D226" s="433" t="s">
        <v>20310</v>
      </c>
      <c r="E226" s="434" t="s">
        <v>20961</v>
      </c>
      <c r="F226" s="433" t="s">
        <v>20948</v>
      </c>
      <c r="G226" s="433" t="s">
        <v>29</v>
      </c>
      <c r="H226" s="433" t="s">
        <v>30</v>
      </c>
      <c r="I226" s="433"/>
      <c r="J226" s="433" t="s">
        <v>30</v>
      </c>
      <c r="K226" s="433">
        <v>96.0</v>
      </c>
      <c r="L226" s="433" t="s">
        <v>20962</v>
      </c>
      <c r="M226" s="433" t="s">
        <v>20957</v>
      </c>
      <c r="N226" s="433" t="s">
        <v>4831</v>
      </c>
      <c r="O226" s="433">
        <v>2010.0</v>
      </c>
      <c r="P226" s="433" t="s">
        <v>388</v>
      </c>
      <c r="Q226" s="433">
        <v>1.0</v>
      </c>
      <c r="R226" s="140"/>
      <c r="S226" s="3"/>
      <c r="T226" s="3"/>
      <c r="U226" s="3"/>
      <c r="V226" s="3"/>
      <c r="W226" s="3"/>
      <c r="X226" s="3"/>
      <c r="Y226" s="3"/>
      <c r="Z226" s="3"/>
      <c r="AA226" s="3"/>
      <c r="AB226" s="3"/>
      <c r="AC226" s="3"/>
      <c r="AD226" s="3"/>
      <c r="AE226" s="3"/>
      <c r="AF226" s="3"/>
      <c r="AG226" s="3"/>
      <c r="AH226" s="3"/>
      <c r="AI226" s="3"/>
      <c r="AJ226" s="3"/>
      <c r="AK226" s="3"/>
    </row>
    <row r="227" ht="15.75" customHeight="1">
      <c r="A227" s="3"/>
      <c r="B227" s="925" t="s">
        <v>20963</v>
      </c>
      <c r="C227" s="538"/>
      <c r="D227" s="433" t="s">
        <v>20310</v>
      </c>
      <c r="E227" s="434" t="s">
        <v>20964</v>
      </c>
      <c r="F227" s="433" t="s">
        <v>20948</v>
      </c>
      <c r="G227" s="433" t="s">
        <v>29</v>
      </c>
      <c r="H227" s="433" t="s">
        <v>30</v>
      </c>
      <c r="I227" s="433"/>
      <c r="J227" s="433" t="s">
        <v>30</v>
      </c>
      <c r="K227" s="433">
        <v>190.0</v>
      </c>
      <c r="L227" s="433" t="s">
        <v>20965</v>
      </c>
      <c r="M227" s="433" t="s">
        <v>20957</v>
      </c>
      <c r="N227" s="433" t="s">
        <v>4831</v>
      </c>
      <c r="O227" s="433">
        <v>2011.0</v>
      </c>
      <c r="P227" s="433" t="s">
        <v>388</v>
      </c>
      <c r="Q227" s="433">
        <v>1.0</v>
      </c>
      <c r="R227" s="140"/>
      <c r="S227" s="3"/>
      <c r="T227" s="3"/>
      <c r="U227" s="3"/>
      <c r="V227" s="3"/>
      <c r="W227" s="3"/>
      <c r="X227" s="3"/>
      <c r="Y227" s="3"/>
      <c r="Z227" s="3"/>
      <c r="AA227" s="3"/>
      <c r="AB227" s="3"/>
      <c r="AC227" s="3"/>
      <c r="AD227" s="3"/>
      <c r="AE227" s="3"/>
      <c r="AF227" s="3"/>
      <c r="AG227" s="3"/>
      <c r="AH227" s="3"/>
      <c r="AI227" s="3"/>
      <c r="AJ227" s="3"/>
      <c r="AK227" s="3"/>
    </row>
    <row r="228" ht="15.75" customHeight="1">
      <c r="A228" s="3"/>
      <c r="B228" s="925" t="s">
        <v>20966</v>
      </c>
      <c r="C228" s="538"/>
      <c r="D228" s="433" t="s">
        <v>20310</v>
      </c>
      <c r="E228" s="434" t="s">
        <v>20967</v>
      </c>
      <c r="F228" s="433" t="s">
        <v>20948</v>
      </c>
      <c r="G228" s="433" t="s">
        <v>29</v>
      </c>
      <c r="H228" s="433" t="s">
        <v>30</v>
      </c>
      <c r="I228" s="433"/>
      <c r="J228" s="433" t="s">
        <v>30</v>
      </c>
      <c r="K228" s="433">
        <v>190.0</v>
      </c>
      <c r="L228" s="433" t="s">
        <v>13663</v>
      </c>
      <c r="M228" s="433" t="s">
        <v>20957</v>
      </c>
      <c r="N228" s="433" t="s">
        <v>4831</v>
      </c>
      <c r="O228" s="433">
        <v>2011.0</v>
      </c>
      <c r="P228" s="433" t="s">
        <v>388</v>
      </c>
      <c r="Q228" s="433">
        <v>1.0</v>
      </c>
      <c r="R228" s="471"/>
      <c r="S228" s="3"/>
      <c r="T228" s="3"/>
      <c r="U228" s="3"/>
      <c r="V228" s="3"/>
      <c r="W228" s="3"/>
      <c r="X228" s="3"/>
      <c r="Y228" s="3"/>
      <c r="Z228" s="3"/>
      <c r="AA228" s="3"/>
      <c r="AB228" s="3"/>
      <c r="AC228" s="3"/>
      <c r="AD228" s="3"/>
      <c r="AE228" s="3"/>
      <c r="AF228" s="3"/>
      <c r="AG228" s="3"/>
      <c r="AH228" s="3"/>
      <c r="AI228" s="3"/>
      <c r="AJ228" s="3"/>
      <c r="AK228" s="3"/>
    </row>
    <row r="229" ht="15.75" customHeight="1">
      <c r="A229" s="3"/>
      <c r="B229" s="925" t="s">
        <v>20968</v>
      </c>
      <c r="C229" s="538"/>
      <c r="D229" s="433" t="s">
        <v>20310</v>
      </c>
      <c r="E229" s="434" t="s">
        <v>20969</v>
      </c>
      <c r="F229" s="433" t="s">
        <v>20948</v>
      </c>
      <c r="G229" s="433" t="s">
        <v>29</v>
      </c>
      <c r="H229" s="433" t="s">
        <v>30</v>
      </c>
      <c r="I229" s="433"/>
      <c r="J229" s="433" t="s">
        <v>30</v>
      </c>
      <c r="K229" s="433">
        <v>190.0</v>
      </c>
      <c r="L229" s="433" t="s">
        <v>20962</v>
      </c>
      <c r="M229" s="433" t="s">
        <v>20957</v>
      </c>
      <c r="N229" s="433" t="s">
        <v>4831</v>
      </c>
      <c r="O229" s="433">
        <v>2012.0</v>
      </c>
      <c r="P229" s="433" t="s">
        <v>388</v>
      </c>
      <c r="Q229" s="433">
        <v>1.0</v>
      </c>
      <c r="R229" s="471"/>
      <c r="S229" s="3"/>
      <c r="T229" s="3"/>
      <c r="U229" s="3"/>
      <c r="V229" s="3"/>
      <c r="W229" s="3"/>
      <c r="X229" s="3"/>
      <c r="Y229" s="3"/>
      <c r="Z229" s="3"/>
      <c r="AA229" s="3"/>
      <c r="AB229" s="3"/>
      <c r="AC229" s="3"/>
      <c r="AD229" s="3"/>
      <c r="AE229" s="3"/>
      <c r="AF229" s="3"/>
      <c r="AG229" s="3"/>
      <c r="AH229" s="3"/>
      <c r="AI229" s="3"/>
      <c r="AJ229" s="3"/>
      <c r="AK229" s="3"/>
    </row>
    <row r="230" ht="15.75" customHeight="1">
      <c r="A230" s="627"/>
      <c r="B230" s="925" t="s">
        <v>20970</v>
      </c>
      <c r="C230" s="538"/>
      <c r="D230" s="433" t="s">
        <v>20310</v>
      </c>
      <c r="E230" s="434" t="s">
        <v>20971</v>
      </c>
      <c r="F230" s="433" t="s">
        <v>20948</v>
      </c>
      <c r="G230" s="433" t="s">
        <v>29</v>
      </c>
      <c r="H230" s="433" t="s">
        <v>30</v>
      </c>
      <c r="I230" s="433"/>
      <c r="J230" s="433" t="s">
        <v>30</v>
      </c>
      <c r="K230" s="433">
        <v>190.0</v>
      </c>
      <c r="L230" s="433" t="s">
        <v>13663</v>
      </c>
      <c r="M230" s="433" t="s">
        <v>20957</v>
      </c>
      <c r="N230" s="433" t="s">
        <v>4831</v>
      </c>
      <c r="O230" s="433">
        <v>2013.0</v>
      </c>
      <c r="P230" s="433" t="s">
        <v>388</v>
      </c>
      <c r="Q230" s="433">
        <v>1.0</v>
      </c>
      <c r="R230" s="926"/>
      <c r="S230" s="627"/>
      <c r="T230" s="627"/>
      <c r="U230" s="627"/>
      <c r="V230" s="627"/>
      <c r="W230" s="627"/>
      <c r="X230" s="627"/>
      <c r="Y230" s="627"/>
      <c r="Z230" s="627"/>
      <c r="AA230" s="627"/>
      <c r="AB230" s="627"/>
      <c r="AC230" s="627"/>
      <c r="AD230" s="627"/>
      <c r="AE230" s="627"/>
      <c r="AF230" s="627"/>
      <c r="AG230" s="627"/>
      <c r="AH230" s="627"/>
      <c r="AI230" s="627"/>
      <c r="AJ230" s="627"/>
      <c r="AK230" s="627"/>
    </row>
    <row r="231" ht="15.75" customHeight="1">
      <c r="A231" s="3"/>
      <c r="B231" s="925" t="s">
        <v>20972</v>
      </c>
      <c r="C231" s="538"/>
      <c r="D231" s="433" t="s">
        <v>20310</v>
      </c>
      <c r="E231" s="434" t="s">
        <v>20973</v>
      </c>
      <c r="F231" s="433" t="s">
        <v>20948</v>
      </c>
      <c r="G231" s="433" t="s">
        <v>29</v>
      </c>
      <c r="H231" s="433" t="s">
        <v>30</v>
      </c>
      <c r="I231" s="433"/>
      <c r="J231" s="433" t="s">
        <v>30</v>
      </c>
      <c r="K231" s="433">
        <v>48.0</v>
      </c>
      <c r="L231" s="433" t="s">
        <v>20974</v>
      </c>
      <c r="M231" s="433" t="s">
        <v>20957</v>
      </c>
      <c r="N231" s="433" t="s">
        <v>4831</v>
      </c>
      <c r="O231" s="433">
        <v>2013.0</v>
      </c>
      <c r="P231" s="433" t="s">
        <v>388</v>
      </c>
      <c r="Q231" s="433">
        <v>1.0</v>
      </c>
      <c r="R231" s="471"/>
      <c r="S231" s="3"/>
      <c r="T231" s="3"/>
      <c r="U231" s="3"/>
      <c r="V231" s="3"/>
      <c r="W231" s="3"/>
      <c r="X231" s="3"/>
      <c r="Y231" s="3"/>
      <c r="Z231" s="3"/>
      <c r="AA231" s="3"/>
      <c r="AB231" s="3"/>
      <c r="AC231" s="3"/>
      <c r="AD231" s="3"/>
      <c r="AE231" s="3"/>
      <c r="AF231" s="3"/>
      <c r="AG231" s="3"/>
      <c r="AH231" s="3"/>
      <c r="AI231" s="3"/>
      <c r="AJ231" s="3"/>
      <c r="AK231" s="3"/>
    </row>
    <row r="232" ht="15.75" customHeight="1">
      <c r="A232" s="3"/>
      <c r="B232" s="925" t="s">
        <v>20975</v>
      </c>
      <c r="C232" s="538"/>
      <c r="D232" s="433" t="s">
        <v>20310</v>
      </c>
      <c r="E232" s="434" t="s">
        <v>20976</v>
      </c>
      <c r="F232" s="433" t="s">
        <v>20948</v>
      </c>
      <c r="G232" s="433" t="s">
        <v>29</v>
      </c>
      <c r="H232" s="433" t="s">
        <v>30</v>
      </c>
      <c r="I232" s="433"/>
      <c r="J232" s="433" t="s">
        <v>30</v>
      </c>
      <c r="K232" s="433">
        <v>96.0</v>
      </c>
      <c r="L232" s="433" t="s">
        <v>20977</v>
      </c>
      <c r="M232" s="433" t="s">
        <v>20957</v>
      </c>
      <c r="N232" s="433" t="s">
        <v>4831</v>
      </c>
      <c r="O232" s="433">
        <v>2013.0</v>
      </c>
      <c r="P232" s="433" t="s">
        <v>388</v>
      </c>
      <c r="Q232" s="433">
        <v>1.0</v>
      </c>
      <c r="R232" s="471"/>
      <c r="S232" s="3"/>
      <c r="T232" s="3"/>
      <c r="U232" s="3"/>
      <c r="V232" s="3"/>
      <c r="W232" s="3"/>
      <c r="X232" s="3"/>
      <c r="Y232" s="3"/>
      <c r="Z232" s="3"/>
      <c r="AA232" s="3"/>
      <c r="AB232" s="3"/>
      <c r="AC232" s="3"/>
      <c r="AD232" s="3"/>
      <c r="AE232" s="3"/>
      <c r="AF232" s="3"/>
      <c r="AG232" s="3"/>
      <c r="AH232" s="3"/>
      <c r="AI232" s="3"/>
      <c r="AJ232" s="3"/>
      <c r="AK232" s="3"/>
    </row>
    <row r="233" ht="15.75" customHeight="1">
      <c r="A233" s="3"/>
      <c r="B233" s="925" t="s">
        <v>20978</v>
      </c>
      <c r="C233" s="538"/>
      <c r="D233" s="433" t="s">
        <v>20310</v>
      </c>
      <c r="E233" s="434" t="s">
        <v>20979</v>
      </c>
      <c r="F233" s="433" t="s">
        <v>20948</v>
      </c>
      <c r="G233" s="433" t="s">
        <v>29</v>
      </c>
      <c r="H233" s="433" t="s">
        <v>30</v>
      </c>
      <c r="I233" s="433"/>
      <c r="J233" s="433" t="s">
        <v>30</v>
      </c>
      <c r="K233" s="433">
        <v>190.0</v>
      </c>
      <c r="L233" s="433" t="s">
        <v>20980</v>
      </c>
      <c r="M233" s="433" t="s">
        <v>20957</v>
      </c>
      <c r="N233" s="433" t="s">
        <v>4831</v>
      </c>
      <c r="O233" s="433">
        <v>2013.0</v>
      </c>
      <c r="P233" s="433" t="s">
        <v>388</v>
      </c>
      <c r="Q233" s="433">
        <v>1.0</v>
      </c>
      <c r="R233" s="471"/>
      <c r="S233" s="3"/>
      <c r="T233" s="3"/>
      <c r="U233" s="3"/>
      <c r="V233" s="3"/>
      <c r="W233" s="3"/>
      <c r="X233" s="3"/>
      <c r="Y233" s="3"/>
      <c r="Z233" s="3"/>
      <c r="AA233" s="3"/>
      <c r="AB233" s="3"/>
      <c r="AC233" s="3"/>
      <c r="AD233" s="3"/>
      <c r="AE233" s="3"/>
      <c r="AF233" s="3"/>
      <c r="AG233" s="3"/>
      <c r="AH233" s="3"/>
      <c r="AI233" s="3"/>
      <c r="AJ233" s="3"/>
      <c r="AK233" s="3"/>
    </row>
    <row r="234" ht="15.75" customHeight="1">
      <c r="A234" s="3"/>
      <c r="B234" s="921" t="s">
        <v>20981</v>
      </c>
      <c r="C234" s="433"/>
      <c r="D234" s="430" t="s">
        <v>20982</v>
      </c>
      <c r="E234" s="432" t="s">
        <v>20983</v>
      </c>
      <c r="F234" s="430"/>
      <c r="G234" s="430" t="s">
        <v>2222</v>
      </c>
      <c r="H234" s="430" t="s">
        <v>30</v>
      </c>
      <c r="I234" s="430"/>
      <c r="J234" s="430" t="s">
        <v>30</v>
      </c>
      <c r="K234" s="430"/>
      <c r="L234" s="430" t="s">
        <v>20984</v>
      </c>
      <c r="M234" s="430"/>
      <c r="N234" s="430" t="s">
        <v>19815</v>
      </c>
      <c r="O234" s="430">
        <v>2014.0</v>
      </c>
      <c r="P234" s="430" t="s">
        <v>388</v>
      </c>
      <c r="Q234" s="430">
        <v>6.0</v>
      </c>
      <c r="R234" s="471"/>
      <c r="S234" s="3"/>
      <c r="T234" s="3"/>
      <c r="U234" s="3"/>
      <c r="V234" s="3"/>
      <c r="W234" s="3"/>
      <c r="X234" s="3"/>
      <c r="Y234" s="3"/>
      <c r="Z234" s="3"/>
      <c r="AA234" s="3"/>
      <c r="AB234" s="3"/>
      <c r="AC234" s="3"/>
      <c r="AD234" s="3"/>
      <c r="AE234" s="3"/>
      <c r="AF234" s="3"/>
      <c r="AG234" s="3"/>
      <c r="AH234" s="3"/>
      <c r="AI234" s="3"/>
      <c r="AJ234" s="3"/>
      <c r="AK234" s="3"/>
    </row>
    <row r="235" ht="15.75" customHeight="1">
      <c r="A235" s="3"/>
      <c r="B235" s="921" t="s">
        <v>20985</v>
      </c>
      <c r="C235" s="538"/>
      <c r="D235" s="433"/>
      <c r="E235" s="434" t="s">
        <v>20986</v>
      </c>
      <c r="F235" s="433" t="s">
        <v>20987</v>
      </c>
      <c r="G235" s="433" t="s">
        <v>29</v>
      </c>
      <c r="H235" s="433" t="s">
        <v>30</v>
      </c>
      <c r="I235" s="433" t="s">
        <v>31</v>
      </c>
      <c r="J235" s="433" t="s">
        <v>30</v>
      </c>
      <c r="K235" s="433">
        <v>27.0</v>
      </c>
      <c r="L235" s="433" t="s">
        <v>31</v>
      </c>
      <c r="M235" s="433" t="s">
        <v>31</v>
      </c>
      <c r="N235" s="433" t="s">
        <v>20988</v>
      </c>
      <c r="O235" s="433">
        <v>2015.0</v>
      </c>
      <c r="P235" s="433" t="s">
        <v>388</v>
      </c>
      <c r="Q235" s="433">
        <v>1.0</v>
      </c>
      <c r="R235" s="471"/>
      <c r="S235" s="3"/>
      <c r="T235" s="3"/>
      <c r="U235" s="3"/>
      <c r="V235" s="3"/>
      <c r="W235" s="3"/>
      <c r="X235" s="3"/>
      <c r="Y235" s="3"/>
      <c r="Z235" s="3"/>
      <c r="AA235" s="3"/>
      <c r="AB235" s="3"/>
      <c r="AC235" s="3"/>
      <c r="AD235" s="3"/>
      <c r="AE235" s="3"/>
      <c r="AF235" s="3"/>
      <c r="AG235" s="3"/>
      <c r="AH235" s="3"/>
      <c r="AI235" s="3"/>
      <c r="AJ235" s="3"/>
      <c r="AK235" s="3"/>
    </row>
    <row r="236" ht="15.75" customHeight="1">
      <c r="A236" s="3"/>
      <c r="B236" s="921" t="s">
        <v>20989</v>
      </c>
      <c r="C236" s="433"/>
      <c r="D236" s="430" t="s">
        <v>20791</v>
      </c>
      <c r="E236" s="432" t="s">
        <v>20990</v>
      </c>
      <c r="F236" s="430" t="s">
        <v>20991</v>
      </c>
      <c r="G236" s="430" t="s">
        <v>2222</v>
      </c>
      <c r="H236" s="430" t="s">
        <v>30</v>
      </c>
      <c r="I236" s="430" t="s">
        <v>31</v>
      </c>
      <c r="J236" s="430" t="s">
        <v>30</v>
      </c>
      <c r="K236" s="430">
        <v>34.0</v>
      </c>
      <c r="L236" s="430" t="s">
        <v>31</v>
      </c>
      <c r="M236" s="430" t="s">
        <v>31</v>
      </c>
      <c r="N236" s="430" t="s">
        <v>19815</v>
      </c>
      <c r="O236" s="430">
        <v>2015.0</v>
      </c>
      <c r="P236" s="430" t="s">
        <v>388</v>
      </c>
      <c r="Q236" s="430">
        <v>1.0</v>
      </c>
      <c r="R236" s="471"/>
      <c r="S236" s="3"/>
      <c r="T236" s="3"/>
      <c r="U236" s="3"/>
      <c r="V236" s="3"/>
      <c r="W236" s="3"/>
      <c r="X236" s="3"/>
      <c r="Y236" s="3"/>
      <c r="Z236" s="3"/>
      <c r="AA236" s="3"/>
      <c r="AB236" s="3"/>
      <c r="AC236" s="3"/>
      <c r="AD236" s="3"/>
      <c r="AE236" s="3"/>
      <c r="AF236" s="3"/>
      <c r="AG236" s="3"/>
      <c r="AH236" s="3"/>
      <c r="AI236" s="3"/>
      <c r="AJ236" s="3"/>
      <c r="AK236" s="3"/>
    </row>
    <row r="237" ht="15.75" customHeight="1">
      <c r="A237" s="3"/>
      <c r="B237" s="599"/>
      <c r="C237" s="433"/>
      <c r="D237" s="430" t="s">
        <v>20791</v>
      </c>
      <c r="E237" s="432" t="s">
        <v>20992</v>
      </c>
      <c r="F237" s="430" t="s">
        <v>20991</v>
      </c>
      <c r="G237" s="430" t="s">
        <v>2222</v>
      </c>
      <c r="H237" s="430" t="s">
        <v>30</v>
      </c>
      <c r="I237" s="430" t="s">
        <v>31</v>
      </c>
      <c r="J237" s="430" t="s">
        <v>30</v>
      </c>
      <c r="K237" s="430">
        <v>34.0</v>
      </c>
      <c r="L237" s="430" t="s">
        <v>31</v>
      </c>
      <c r="M237" s="430" t="s">
        <v>31</v>
      </c>
      <c r="N237" s="430" t="s">
        <v>19815</v>
      </c>
      <c r="O237" s="430">
        <v>2017.0</v>
      </c>
      <c r="P237" s="430" t="s">
        <v>388</v>
      </c>
      <c r="Q237" s="430">
        <v>2.0</v>
      </c>
      <c r="R237" s="471"/>
      <c r="S237" s="3"/>
      <c r="T237" s="3"/>
      <c r="U237" s="3"/>
      <c r="V237" s="3"/>
      <c r="W237" s="3"/>
      <c r="X237" s="3"/>
      <c r="Y237" s="3"/>
      <c r="Z237" s="3"/>
      <c r="AA237" s="3"/>
      <c r="AB237" s="3"/>
      <c r="AC237" s="3"/>
      <c r="AD237" s="3"/>
      <c r="AE237" s="3"/>
      <c r="AF237" s="3"/>
      <c r="AG237" s="3"/>
      <c r="AH237" s="3"/>
      <c r="AI237" s="3"/>
      <c r="AJ237" s="3"/>
      <c r="AK237" s="3"/>
    </row>
    <row r="238" ht="15.75" customHeight="1">
      <c r="A238" s="3"/>
      <c r="B238" s="599"/>
      <c r="C238" s="433"/>
      <c r="D238" s="430" t="s">
        <v>20791</v>
      </c>
      <c r="E238" s="432" t="s">
        <v>20993</v>
      </c>
      <c r="F238" s="430" t="s">
        <v>20991</v>
      </c>
      <c r="G238" s="430" t="s">
        <v>2222</v>
      </c>
      <c r="H238" s="430" t="s">
        <v>30</v>
      </c>
      <c r="I238" s="430" t="s">
        <v>31</v>
      </c>
      <c r="J238" s="430" t="s">
        <v>30</v>
      </c>
      <c r="K238" s="430">
        <v>34.0</v>
      </c>
      <c r="L238" s="430" t="s">
        <v>31</v>
      </c>
      <c r="M238" s="430" t="s">
        <v>31</v>
      </c>
      <c r="N238" s="430" t="s">
        <v>19815</v>
      </c>
      <c r="O238" s="430">
        <v>2017.0</v>
      </c>
      <c r="P238" s="430" t="s">
        <v>388</v>
      </c>
      <c r="Q238" s="430">
        <v>1.0</v>
      </c>
      <c r="R238" s="471"/>
      <c r="S238" s="3"/>
      <c r="T238" s="3"/>
      <c r="U238" s="3"/>
      <c r="V238" s="3"/>
      <c r="W238" s="3"/>
      <c r="X238" s="3"/>
      <c r="Y238" s="3"/>
      <c r="Z238" s="3"/>
      <c r="AA238" s="3"/>
      <c r="AB238" s="3"/>
      <c r="AC238" s="3"/>
      <c r="AD238" s="3"/>
      <c r="AE238" s="3"/>
      <c r="AF238" s="3"/>
      <c r="AG238" s="3"/>
      <c r="AH238" s="3"/>
      <c r="AI238" s="3"/>
      <c r="AJ238" s="3"/>
      <c r="AK238" s="3"/>
    </row>
    <row r="239" ht="15.75" customHeight="1">
      <c r="A239" s="3"/>
      <c r="B239" s="599"/>
      <c r="C239" s="433"/>
      <c r="D239" s="430" t="s">
        <v>20791</v>
      </c>
      <c r="E239" s="432" t="s">
        <v>20994</v>
      </c>
      <c r="F239" s="430" t="s">
        <v>20991</v>
      </c>
      <c r="G239" s="430" t="s">
        <v>2222</v>
      </c>
      <c r="H239" s="430" t="s">
        <v>30</v>
      </c>
      <c r="I239" s="430" t="s">
        <v>31</v>
      </c>
      <c r="J239" s="430" t="s">
        <v>30</v>
      </c>
      <c r="K239" s="430">
        <v>34.0</v>
      </c>
      <c r="L239" s="430" t="s">
        <v>31</v>
      </c>
      <c r="M239" s="430" t="s">
        <v>31</v>
      </c>
      <c r="N239" s="430" t="s">
        <v>19815</v>
      </c>
      <c r="O239" s="430">
        <v>2017.0</v>
      </c>
      <c r="P239" s="430" t="s">
        <v>388</v>
      </c>
      <c r="Q239" s="430">
        <v>2.0</v>
      </c>
      <c r="R239" s="471"/>
      <c r="S239" s="3"/>
      <c r="T239" s="3"/>
      <c r="U239" s="3"/>
      <c r="V239" s="3"/>
      <c r="W239" s="3"/>
      <c r="X239" s="3"/>
      <c r="Y239" s="3"/>
      <c r="Z239" s="3"/>
      <c r="AA239" s="3"/>
      <c r="AB239" s="3"/>
      <c r="AC239" s="3"/>
      <c r="AD239" s="3"/>
      <c r="AE239" s="3"/>
      <c r="AF239" s="3"/>
      <c r="AG239" s="3"/>
      <c r="AH239" s="3"/>
      <c r="AI239" s="3"/>
      <c r="AJ239" s="3"/>
      <c r="AK239" s="3"/>
    </row>
    <row r="240" ht="15.75" customHeight="1">
      <c r="A240" s="3"/>
      <c r="B240" s="599"/>
      <c r="C240" s="433"/>
      <c r="D240" s="430" t="s">
        <v>20791</v>
      </c>
      <c r="E240" s="432" t="s">
        <v>20995</v>
      </c>
      <c r="F240" s="430" t="s">
        <v>20991</v>
      </c>
      <c r="G240" s="430" t="s">
        <v>2222</v>
      </c>
      <c r="H240" s="430" t="s">
        <v>30</v>
      </c>
      <c r="I240" s="430" t="s">
        <v>31</v>
      </c>
      <c r="J240" s="430" t="s">
        <v>30</v>
      </c>
      <c r="K240" s="430">
        <v>34.0</v>
      </c>
      <c r="L240" s="430" t="s">
        <v>31</v>
      </c>
      <c r="M240" s="430" t="s">
        <v>31</v>
      </c>
      <c r="N240" s="430" t="s">
        <v>19815</v>
      </c>
      <c r="O240" s="430">
        <v>2017.0</v>
      </c>
      <c r="P240" s="430" t="s">
        <v>388</v>
      </c>
      <c r="Q240" s="430">
        <v>2.0</v>
      </c>
      <c r="R240" s="471"/>
      <c r="S240" s="3"/>
      <c r="T240" s="3"/>
      <c r="U240" s="3"/>
      <c r="V240" s="3"/>
      <c r="W240" s="3"/>
      <c r="X240" s="3"/>
      <c r="Y240" s="3"/>
      <c r="Z240" s="3"/>
      <c r="AA240" s="3"/>
      <c r="AB240" s="3"/>
      <c r="AC240" s="3"/>
      <c r="AD240" s="3"/>
      <c r="AE240" s="3"/>
      <c r="AF240" s="3"/>
      <c r="AG240" s="3"/>
      <c r="AH240" s="3"/>
      <c r="AI240" s="3"/>
      <c r="AJ240" s="3"/>
      <c r="AK240" s="3"/>
    </row>
    <row r="241" ht="15.75" customHeight="1">
      <c r="A241" s="3"/>
      <c r="B241" s="925" t="s">
        <v>20996</v>
      </c>
      <c r="C241" s="322"/>
      <c r="D241" s="433" t="s">
        <v>20997</v>
      </c>
      <c r="E241" s="434" t="s">
        <v>20998</v>
      </c>
      <c r="F241" s="433" t="s">
        <v>20999</v>
      </c>
      <c r="G241" s="433" t="s">
        <v>29</v>
      </c>
      <c r="H241" s="433" t="s">
        <v>30</v>
      </c>
      <c r="I241" s="433" t="s">
        <v>31</v>
      </c>
      <c r="J241" s="433" t="s">
        <v>30</v>
      </c>
      <c r="K241" s="433">
        <v>68.0</v>
      </c>
      <c r="L241" s="433" t="s">
        <v>31</v>
      </c>
      <c r="M241" s="433" t="s">
        <v>31</v>
      </c>
      <c r="N241" s="433" t="s">
        <v>21000</v>
      </c>
      <c r="O241" s="433">
        <v>2015.0</v>
      </c>
      <c r="P241" s="433" t="s">
        <v>388</v>
      </c>
      <c r="Q241" s="433">
        <v>1.0</v>
      </c>
      <c r="R241" s="471"/>
      <c r="S241" s="3"/>
      <c r="T241" s="3"/>
      <c r="U241" s="3"/>
      <c r="V241" s="3"/>
      <c r="W241" s="3"/>
      <c r="X241" s="3"/>
      <c r="Y241" s="3"/>
      <c r="Z241" s="3"/>
      <c r="AA241" s="3"/>
      <c r="AB241" s="3"/>
      <c r="AC241" s="3"/>
      <c r="AD241" s="3"/>
      <c r="AE241" s="3"/>
      <c r="AF241" s="3"/>
      <c r="AG241" s="3"/>
      <c r="AH241" s="3"/>
      <c r="AI241" s="3"/>
      <c r="AJ241" s="3"/>
      <c r="AK241" s="3"/>
    </row>
    <row r="242" ht="15.75" customHeight="1">
      <c r="A242" s="3"/>
      <c r="B242" s="925" t="s">
        <v>21001</v>
      </c>
      <c r="C242" s="322" t="s">
        <v>31</v>
      </c>
      <c r="D242" s="433" t="s">
        <v>20997</v>
      </c>
      <c r="E242" s="434" t="s">
        <v>21002</v>
      </c>
      <c r="F242" s="433" t="s">
        <v>20999</v>
      </c>
      <c r="G242" s="433" t="s">
        <v>29</v>
      </c>
      <c r="H242" s="433" t="s">
        <v>30</v>
      </c>
      <c r="I242" s="433" t="s">
        <v>31</v>
      </c>
      <c r="J242" s="433" t="s">
        <v>30</v>
      </c>
      <c r="K242" s="433">
        <v>68.0</v>
      </c>
      <c r="L242" s="433" t="s">
        <v>31</v>
      </c>
      <c r="M242" s="433" t="s">
        <v>31</v>
      </c>
      <c r="N242" s="433" t="s">
        <v>21000</v>
      </c>
      <c r="O242" s="433">
        <v>2015.0</v>
      </c>
      <c r="P242" s="433" t="s">
        <v>388</v>
      </c>
      <c r="Q242" s="433">
        <v>1.0</v>
      </c>
      <c r="R242" s="471"/>
      <c r="S242" s="3"/>
      <c r="T242" s="3"/>
      <c r="U242" s="3"/>
      <c r="V242" s="3"/>
      <c r="W242" s="3"/>
      <c r="X242" s="3"/>
      <c r="Y242" s="3"/>
      <c r="Z242" s="3"/>
      <c r="AA242" s="3"/>
      <c r="AB242" s="3"/>
      <c r="AC242" s="3"/>
      <c r="AD242" s="3"/>
      <c r="AE242" s="3"/>
      <c r="AF242" s="3"/>
      <c r="AG242" s="3"/>
      <c r="AH242" s="3"/>
      <c r="AI242" s="3"/>
      <c r="AJ242" s="3"/>
      <c r="AK242" s="3"/>
    </row>
    <row r="243" ht="15.75" customHeight="1">
      <c r="A243" s="3"/>
      <c r="B243" s="920"/>
      <c r="C243" s="322"/>
      <c r="D243" s="433" t="s">
        <v>20997</v>
      </c>
      <c r="E243" s="434" t="s">
        <v>21003</v>
      </c>
      <c r="F243" s="433" t="s">
        <v>20999</v>
      </c>
      <c r="G243" s="433" t="s">
        <v>29</v>
      </c>
      <c r="H243" s="433" t="s">
        <v>30</v>
      </c>
      <c r="I243" s="433" t="s">
        <v>31</v>
      </c>
      <c r="J243" s="433" t="s">
        <v>30</v>
      </c>
      <c r="K243" s="433">
        <v>68.0</v>
      </c>
      <c r="L243" s="433" t="s">
        <v>31</v>
      </c>
      <c r="M243" s="433" t="s">
        <v>31</v>
      </c>
      <c r="N243" s="433" t="s">
        <v>21000</v>
      </c>
      <c r="O243" s="433">
        <v>2016.0</v>
      </c>
      <c r="P243" s="433" t="s">
        <v>388</v>
      </c>
      <c r="Q243" s="433">
        <v>1.0</v>
      </c>
      <c r="R243" s="471"/>
      <c r="S243" s="3"/>
      <c r="T243" s="3"/>
      <c r="U243" s="3"/>
      <c r="V243" s="3"/>
      <c r="W243" s="3"/>
      <c r="X243" s="3"/>
      <c r="Y243" s="3"/>
      <c r="Z243" s="3"/>
      <c r="AA243" s="3"/>
      <c r="AB243" s="3"/>
      <c r="AC243" s="3"/>
      <c r="AD243" s="3"/>
      <c r="AE243" s="3"/>
      <c r="AF243" s="3"/>
      <c r="AG243" s="3"/>
      <c r="AH243" s="3"/>
      <c r="AI243" s="3"/>
      <c r="AJ243" s="3"/>
      <c r="AK243" s="3"/>
    </row>
    <row r="244" ht="15.75" customHeight="1">
      <c r="A244" s="3"/>
      <c r="B244" s="925" t="s">
        <v>21004</v>
      </c>
      <c r="C244" s="322"/>
      <c r="D244" s="433" t="s">
        <v>20997</v>
      </c>
      <c r="E244" s="434" t="s">
        <v>21005</v>
      </c>
      <c r="F244" s="433" t="s">
        <v>20999</v>
      </c>
      <c r="G244" s="433" t="s">
        <v>29</v>
      </c>
      <c r="H244" s="433" t="s">
        <v>30</v>
      </c>
      <c r="I244" s="433" t="s">
        <v>31</v>
      </c>
      <c r="J244" s="433" t="s">
        <v>30</v>
      </c>
      <c r="K244" s="433">
        <v>68.0</v>
      </c>
      <c r="L244" s="433" t="s">
        <v>31</v>
      </c>
      <c r="M244" s="433" t="s">
        <v>31</v>
      </c>
      <c r="N244" s="433" t="s">
        <v>21000</v>
      </c>
      <c r="O244" s="433">
        <v>2016.0</v>
      </c>
      <c r="P244" s="433" t="s">
        <v>388</v>
      </c>
      <c r="Q244" s="433">
        <v>1.0</v>
      </c>
      <c r="R244" s="471"/>
      <c r="S244" s="3"/>
      <c r="T244" s="3"/>
      <c r="U244" s="3"/>
      <c r="V244" s="3"/>
      <c r="W244" s="3"/>
      <c r="X244" s="3"/>
      <c r="Y244" s="3"/>
      <c r="Z244" s="3"/>
      <c r="AA244" s="3"/>
      <c r="AB244" s="3"/>
      <c r="AC244" s="3"/>
      <c r="AD244" s="3"/>
      <c r="AE244" s="3"/>
      <c r="AF244" s="3"/>
      <c r="AG244" s="3"/>
      <c r="AH244" s="3"/>
      <c r="AI244" s="3"/>
      <c r="AJ244" s="3"/>
      <c r="AK244" s="3"/>
    </row>
    <row r="245" ht="15.75" customHeight="1">
      <c r="A245" s="3"/>
      <c r="B245" s="925" t="s">
        <v>21006</v>
      </c>
      <c r="C245" s="322" t="s">
        <v>31</v>
      </c>
      <c r="D245" s="433" t="s">
        <v>21007</v>
      </c>
      <c r="E245" s="434" t="s">
        <v>21008</v>
      </c>
      <c r="F245" s="433" t="s">
        <v>19069</v>
      </c>
      <c r="G245" s="433" t="s">
        <v>29</v>
      </c>
      <c r="H245" s="433" t="s">
        <v>30</v>
      </c>
      <c r="I245" s="433" t="s">
        <v>31</v>
      </c>
      <c r="J245" s="433" t="s">
        <v>30</v>
      </c>
      <c r="K245" s="433">
        <v>34.0</v>
      </c>
      <c r="L245" s="433" t="s">
        <v>31</v>
      </c>
      <c r="M245" s="433" t="s">
        <v>31</v>
      </c>
      <c r="N245" s="433" t="s">
        <v>21009</v>
      </c>
      <c r="O245" s="433">
        <v>2016.0</v>
      </c>
      <c r="P245" s="433" t="s">
        <v>388</v>
      </c>
      <c r="Q245" s="433">
        <v>1.0</v>
      </c>
      <c r="R245" s="471"/>
      <c r="S245" s="3"/>
      <c r="T245" s="3"/>
      <c r="U245" s="3"/>
      <c r="V245" s="3"/>
      <c r="W245" s="3"/>
      <c r="X245" s="3"/>
      <c r="Y245" s="3"/>
      <c r="Z245" s="3"/>
      <c r="AA245" s="3"/>
      <c r="AB245" s="3"/>
      <c r="AC245" s="3"/>
      <c r="AD245" s="3"/>
      <c r="AE245" s="3"/>
      <c r="AF245" s="3"/>
      <c r="AG245" s="3"/>
      <c r="AH245" s="3"/>
      <c r="AI245" s="3"/>
      <c r="AJ245" s="3"/>
      <c r="AK245" s="3"/>
    </row>
    <row r="246" ht="15.75" customHeight="1">
      <c r="A246" s="3"/>
      <c r="B246" s="925" t="s">
        <v>21010</v>
      </c>
      <c r="C246" s="322" t="s">
        <v>31</v>
      </c>
      <c r="D246" s="433" t="s">
        <v>21011</v>
      </c>
      <c r="E246" s="434" t="s">
        <v>21012</v>
      </c>
      <c r="F246" s="433" t="s">
        <v>19069</v>
      </c>
      <c r="G246" s="433" t="s">
        <v>29</v>
      </c>
      <c r="H246" s="433" t="s">
        <v>30</v>
      </c>
      <c r="I246" s="433" t="s">
        <v>31</v>
      </c>
      <c r="J246" s="433" t="s">
        <v>30</v>
      </c>
      <c r="K246" s="433">
        <v>64.0</v>
      </c>
      <c r="L246" s="433" t="s">
        <v>31</v>
      </c>
      <c r="M246" s="433" t="s">
        <v>31</v>
      </c>
      <c r="N246" s="433" t="s">
        <v>4397</v>
      </c>
      <c r="O246" s="433">
        <v>2014.0</v>
      </c>
      <c r="P246" s="433" t="s">
        <v>388</v>
      </c>
      <c r="Q246" s="433">
        <v>2.0</v>
      </c>
      <c r="R246" s="471"/>
      <c r="S246" s="3"/>
      <c r="T246" s="3"/>
      <c r="U246" s="3"/>
      <c r="V246" s="3"/>
      <c r="W246" s="3"/>
      <c r="X246" s="3"/>
      <c r="Y246" s="3"/>
      <c r="Z246" s="3"/>
      <c r="AA246" s="3"/>
      <c r="AB246" s="3"/>
      <c r="AC246" s="3"/>
      <c r="AD246" s="3"/>
      <c r="AE246" s="3"/>
      <c r="AF246" s="3"/>
      <c r="AG246" s="3"/>
      <c r="AH246" s="3"/>
      <c r="AI246" s="3"/>
      <c r="AJ246" s="3"/>
      <c r="AK246" s="3"/>
    </row>
    <row r="247" ht="15.75" customHeight="1">
      <c r="A247" s="3"/>
      <c r="B247" s="925" t="s">
        <v>21013</v>
      </c>
      <c r="C247" s="322"/>
      <c r="D247" s="433" t="s">
        <v>21011</v>
      </c>
      <c r="E247" s="434" t="s">
        <v>21014</v>
      </c>
      <c r="F247" s="433" t="s">
        <v>19069</v>
      </c>
      <c r="G247" s="433" t="s">
        <v>29</v>
      </c>
      <c r="H247" s="433" t="s">
        <v>30</v>
      </c>
      <c r="I247" s="433" t="s">
        <v>31</v>
      </c>
      <c r="J247" s="433" t="s">
        <v>30</v>
      </c>
      <c r="K247" s="433">
        <v>64.0</v>
      </c>
      <c r="L247" s="433" t="s">
        <v>31</v>
      </c>
      <c r="M247" s="433" t="s">
        <v>31</v>
      </c>
      <c r="N247" s="433" t="s">
        <v>4397</v>
      </c>
      <c r="O247" s="433">
        <v>2014.0</v>
      </c>
      <c r="P247" s="433" t="s">
        <v>388</v>
      </c>
      <c r="Q247" s="433">
        <v>2.0</v>
      </c>
      <c r="R247" s="471"/>
      <c r="S247" s="3"/>
      <c r="T247" s="3"/>
      <c r="U247" s="3"/>
      <c r="V247" s="3"/>
      <c r="W247" s="3"/>
      <c r="X247" s="3"/>
      <c r="Y247" s="3"/>
      <c r="Z247" s="3"/>
      <c r="AA247" s="3"/>
      <c r="AB247" s="3"/>
      <c r="AC247" s="3"/>
      <c r="AD247" s="3"/>
      <c r="AE247" s="3"/>
      <c r="AF247" s="3"/>
      <c r="AG247" s="3"/>
      <c r="AH247" s="3"/>
      <c r="AI247" s="3"/>
      <c r="AJ247" s="3"/>
      <c r="AK247" s="3"/>
    </row>
    <row r="248" ht="15.75" customHeight="1">
      <c r="A248" s="3"/>
      <c r="B248" s="921" t="s">
        <v>21015</v>
      </c>
      <c r="C248" s="430"/>
      <c r="D248" s="430" t="s">
        <v>21016</v>
      </c>
      <c r="E248" s="432" t="s">
        <v>21017</v>
      </c>
      <c r="F248" s="430" t="s">
        <v>19069</v>
      </c>
      <c r="G248" s="430" t="s">
        <v>29</v>
      </c>
      <c r="H248" s="430" t="s">
        <v>37</v>
      </c>
      <c r="I248" s="430" t="s">
        <v>31</v>
      </c>
      <c r="J248" s="430" t="s">
        <v>38</v>
      </c>
      <c r="K248" s="430">
        <v>144.0</v>
      </c>
      <c r="L248" s="430" t="s">
        <v>31</v>
      </c>
      <c r="M248" s="430" t="s">
        <v>31</v>
      </c>
      <c r="N248" s="430" t="s">
        <v>21018</v>
      </c>
      <c r="O248" s="430">
        <v>2016.0</v>
      </c>
      <c r="P248" s="430" t="s">
        <v>388</v>
      </c>
      <c r="Q248" s="430">
        <v>1.0</v>
      </c>
      <c r="R248" s="471"/>
      <c r="S248" s="3"/>
      <c r="T248" s="3"/>
      <c r="U248" s="3"/>
      <c r="V248" s="3"/>
      <c r="W248" s="3"/>
      <c r="X248" s="3"/>
      <c r="Y248" s="3"/>
      <c r="Z248" s="3"/>
      <c r="AA248" s="3"/>
      <c r="AB248" s="3"/>
      <c r="AC248" s="3"/>
      <c r="AD248" s="3"/>
      <c r="AE248" s="3"/>
      <c r="AF248" s="3"/>
      <c r="AG248" s="3"/>
      <c r="AH248" s="3"/>
      <c r="AI248" s="3"/>
      <c r="AJ248" s="3"/>
      <c r="AK248" s="3"/>
    </row>
    <row r="249" ht="15.75" customHeight="1">
      <c r="A249" s="3"/>
      <c r="B249" s="921" t="s">
        <v>21019</v>
      </c>
      <c r="C249" s="430"/>
      <c r="D249" s="430" t="s">
        <v>21016</v>
      </c>
      <c r="E249" s="432" t="s">
        <v>21020</v>
      </c>
      <c r="F249" s="430" t="s">
        <v>19069</v>
      </c>
      <c r="G249" s="430" t="s">
        <v>29</v>
      </c>
      <c r="H249" s="430" t="s">
        <v>37</v>
      </c>
      <c r="I249" s="430" t="s">
        <v>31</v>
      </c>
      <c r="J249" s="430" t="s">
        <v>38</v>
      </c>
      <c r="K249" s="430">
        <v>144.0</v>
      </c>
      <c r="L249" s="430" t="s">
        <v>31</v>
      </c>
      <c r="M249" s="430" t="s">
        <v>31</v>
      </c>
      <c r="N249" s="430" t="s">
        <v>21018</v>
      </c>
      <c r="O249" s="430">
        <v>2016.0</v>
      </c>
      <c r="P249" s="430" t="s">
        <v>388</v>
      </c>
      <c r="Q249" s="430">
        <v>2.0</v>
      </c>
      <c r="R249" s="471"/>
      <c r="S249" s="3"/>
      <c r="T249" s="3"/>
      <c r="U249" s="3"/>
      <c r="V249" s="3"/>
      <c r="W249" s="3"/>
      <c r="X249" s="3"/>
      <c r="Y249" s="3"/>
      <c r="Z249" s="3"/>
      <c r="AA249" s="3"/>
      <c r="AB249" s="3"/>
      <c r="AC249" s="3"/>
      <c r="AD249" s="3"/>
      <c r="AE249" s="3"/>
      <c r="AF249" s="3"/>
      <c r="AG249" s="3"/>
      <c r="AH249" s="3"/>
      <c r="AI249" s="3"/>
      <c r="AJ249" s="3"/>
      <c r="AK249" s="3"/>
    </row>
    <row r="250" ht="15.75" customHeight="1">
      <c r="A250" s="3"/>
      <c r="B250" s="921" t="s">
        <v>21021</v>
      </c>
      <c r="C250" s="433"/>
      <c r="D250" s="433" t="s">
        <v>21022</v>
      </c>
      <c r="E250" s="434" t="s">
        <v>21023</v>
      </c>
      <c r="F250" s="433" t="s">
        <v>19069</v>
      </c>
      <c r="G250" s="433" t="s">
        <v>29</v>
      </c>
      <c r="H250" s="433" t="s">
        <v>30</v>
      </c>
      <c r="I250" s="433" t="s">
        <v>31</v>
      </c>
      <c r="J250" s="433" t="s">
        <v>30</v>
      </c>
      <c r="K250" s="433">
        <v>68.0</v>
      </c>
      <c r="L250" s="433" t="s">
        <v>31</v>
      </c>
      <c r="M250" s="433" t="s">
        <v>31</v>
      </c>
      <c r="N250" s="433" t="s">
        <v>20437</v>
      </c>
      <c r="O250" s="433">
        <v>2016.0</v>
      </c>
      <c r="P250" s="433" t="s">
        <v>388</v>
      </c>
      <c r="Q250" s="433">
        <v>1.0</v>
      </c>
      <c r="R250" s="471"/>
      <c r="S250" s="3"/>
      <c r="T250" s="3"/>
      <c r="U250" s="3"/>
      <c r="V250" s="3"/>
      <c r="W250" s="3"/>
      <c r="X250" s="3"/>
      <c r="Y250" s="3"/>
      <c r="Z250" s="3"/>
      <c r="AA250" s="3"/>
      <c r="AB250" s="3"/>
      <c r="AC250" s="3"/>
      <c r="AD250" s="3"/>
      <c r="AE250" s="3"/>
      <c r="AF250" s="3"/>
      <c r="AG250" s="3"/>
      <c r="AH250" s="3"/>
      <c r="AI250" s="3"/>
      <c r="AJ250" s="3"/>
      <c r="AK250" s="3"/>
    </row>
    <row r="251" ht="15.75" customHeight="1">
      <c r="A251" s="3"/>
      <c r="B251" s="921" t="s">
        <v>21024</v>
      </c>
      <c r="C251" s="430"/>
      <c r="D251" s="430" t="s">
        <v>21022</v>
      </c>
      <c r="E251" s="432" t="s">
        <v>21025</v>
      </c>
      <c r="F251" s="430" t="s">
        <v>19069</v>
      </c>
      <c r="G251" s="430" t="s">
        <v>29</v>
      </c>
      <c r="H251" s="430" t="s">
        <v>30</v>
      </c>
      <c r="I251" s="430" t="s">
        <v>31</v>
      </c>
      <c r="J251" s="430" t="s">
        <v>30</v>
      </c>
      <c r="K251" s="430">
        <v>68.0</v>
      </c>
      <c r="L251" s="430" t="s">
        <v>31</v>
      </c>
      <c r="M251" s="430" t="s">
        <v>31</v>
      </c>
      <c r="N251" s="430" t="s">
        <v>20437</v>
      </c>
      <c r="O251" s="430">
        <v>2016.0</v>
      </c>
      <c r="P251" s="430" t="s">
        <v>388</v>
      </c>
      <c r="Q251" s="430">
        <v>1.0</v>
      </c>
      <c r="R251" s="471"/>
      <c r="S251" s="3"/>
      <c r="T251" s="3"/>
      <c r="U251" s="3"/>
      <c r="V251" s="3"/>
      <c r="W251" s="3"/>
      <c r="X251" s="3"/>
      <c r="Y251" s="3"/>
      <c r="Z251" s="3"/>
      <c r="AA251" s="3"/>
      <c r="AB251" s="3"/>
      <c r="AC251" s="3"/>
      <c r="AD251" s="3"/>
      <c r="AE251" s="3"/>
      <c r="AF251" s="3"/>
      <c r="AG251" s="3"/>
      <c r="AH251" s="3"/>
      <c r="AI251" s="3"/>
      <c r="AJ251" s="3"/>
      <c r="AK251" s="3"/>
    </row>
    <row r="252" ht="15.75" customHeight="1">
      <c r="A252" s="3"/>
      <c r="B252" s="921" t="s">
        <v>21026</v>
      </c>
      <c r="C252" s="430"/>
      <c r="D252" s="430" t="s">
        <v>21027</v>
      </c>
      <c r="E252" s="432" t="s">
        <v>21028</v>
      </c>
      <c r="F252" s="430" t="s">
        <v>19069</v>
      </c>
      <c r="G252" s="430" t="s">
        <v>29</v>
      </c>
      <c r="H252" s="430" t="s">
        <v>30</v>
      </c>
      <c r="I252" s="430" t="s">
        <v>31</v>
      </c>
      <c r="J252" s="430" t="s">
        <v>30</v>
      </c>
      <c r="K252" s="430">
        <v>114.0</v>
      </c>
      <c r="L252" s="430" t="s">
        <v>31</v>
      </c>
      <c r="M252" s="430" t="s">
        <v>31</v>
      </c>
      <c r="N252" s="430" t="s">
        <v>21029</v>
      </c>
      <c r="O252" s="430">
        <v>2013.0</v>
      </c>
      <c r="P252" s="430" t="s">
        <v>388</v>
      </c>
      <c r="Q252" s="430">
        <v>1.0</v>
      </c>
      <c r="R252" s="471"/>
      <c r="S252" s="3"/>
      <c r="T252" s="3"/>
      <c r="U252" s="3"/>
      <c r="V252" s="3"/>
      <c r="W252" s="3"/>
      <c r="X252" s="3"/>
      <c r="Y252" s="3"/>
      <c r="Z252" s="3"/>
      <c r="AA252" s="3"/>
      <c r="AB252" s="3"/>
      <c r="AC252" s="3"/>
      <c r="AD252" s="3"/>
      <c r="AE252" s="3"/>
      <c r="AF252" s="3"/>
      <c r="AG252" s="3"/>
      <c r="AH252" s="3"/>
      <c r="AI252" s="3"/>
      <c r="AJ252" s="3"/>
      <c r="AK252" s="3"/>
    </row>
    <row r="253" ht="15.75" customHeight="1">
      <c r="A253" s="3"/>
      <c r="B253" s="921" t="s">
        <v>21030</v>
      </c>
      <c r="C253" s="430"/>
      <c r="D253" s="430" t="s">
        <v>21027</v>
      </c>
      <c r="E253" s="432" t="s">
        <v>21031</v>
      </c>
      <c r="F253" s="430" t="s">
        <v>19069</v>
      </c>
      <c r="G253" s="430" t="s">
        <v>29</v>
      </c>
      <c r="H253" s="430" t="s">
        <v>30</v>
      </c>
      <c r="I253" s="430" t="s">
        <v>31</v>
      </c>
      <c r="J253" s="430" t="s">
        <v>30</v>
      </c>
      <c r="K253" s="430">
        <v>114.0</v>
      </c>
      <c r="L253" s="430" t="s">
        <v>31</v>
      </c>
      <c r="M253" s="430" t="s">
        <v>31</v>
      </c>
      <c r="N253" s="430" t="s">
        <v>21029</v>
      </c>
      <c r="O253" s="430">
        <v>2013.0</v>
      </c>
      <c r="P253" s="430" t="s">
        <v>388</v>
      </c>
      <c r="Q253" s="430">
        <v>1.0</v>
      </c>
      <c r="R253" s="471"/>
      <c r="S253" s="3"/>
      <c r="T253" s="3"/>
      <c r="U253" s="3"/>
      <c r="V253" s="3"/>
      <c r="W253" s="3"/>
      <c r="X253" s="3"/>
      <c r="Y253" s="3"/>
      <c r="Z253" s="3"/>
      <c r="AA253" s="3"/>
      <c r="AB253" s="3"/>
      <c r="AC253" s="3"/>
      <c r="AD253" s="3"/>
      <c r="AE253" s="3"/>
      <c r="AF253" s="3"/>
      <c r="AG253" s="3"/>
      <c r="AH253" s="3"/>
      <c r="AI253" s="3"/>
      <c r="AJ253" s="3"/>
      <c r="AK253" s="3"/>
    </row>
    <row r="254" ht="15.75" customHeight="1">
      <c r="A254" s="3"/>
      <c r="B254" s="921" t="s">
        <v>21032</v>
      </c>
      <c r="C254" s="430"/>
      <c r="D254" s="430" t="s">
        <v>21027</v>
      </c>
      <c r="E254" s="432" t="s">
        <v>21033</v>
      </c>
      <c r="F254" s="430" t="s">
        <v>19069</v>
      </c>
      <c r="G254" s="430" t="s">
        <v>29</v>
      </c>
      <c r="H254" s="430" t="s">
        <v>30</v>
      </c>
      <c r="I254" s="430" t="s">
        <v>31</v>
      </c>
      <c r="J254" s="430" t="s">
        <v>30</v>
      </c>
      <c r="K254" s="430">
        <v>114.0</v>
      </c>
      <c r="L254" s="430" t="s">
        <v>31</v>
      </c>
      <c r="M254" s="430" t="s">
        <v>31</v>
      </c>
      <c r="N254" s="430" t="s">
        <v>21029</v>
      </c>
      <c r="O254" s="430">
        <v>2013.0</v>
      </c>
      <c r="P254" s="430" t="s">
        <v>388</v>
      </c>
      <c r="Q254" s="430">
        <v>1.0</v>
      </c>
      <c r="R254" s="471"/>
      <c r="S254" s="3"/>
      <c r="T254" s="3"/>
      <c r="U254" s="3"/>
      <c r="V254" s="3"/>
      <c r="W254" s="3"/>
      <c r="X254" s="3"/>
      <c r="Y254" s="3"/>
      <c r="Z254" s="3"/>
      <c r="AA254" s="3"/>
      <c r="AB254" s="3"/>
      <c r="AC254" s="3"/>
      <c r="AD254" s="3"/>
      <c r="AE254" s="3"/>
      <c r="AF254" s="3"/>
      <c r="AG254" s="3"/>
      <c r="AH254" s="3"/>
      <c r="AI254" s="3"/>
      <c r="AJ254" s="3"/>
      <c r="AK254" s="3"/>
    </row>
    <row r="255" ht="15.75" customHeight="1">
      <c r="A255" s="3"/>
      <c r="B255" s="921" t="s">
        <v>21034</v>
      </c>
      <c r="C255" s="430"/>
      <c r="D255" s="430" t="s">
        <v>21027</v>
      </c>
      <c r="E255" s="432" t="s">
        <v>21035</v>
      </c>
      <c r="F255" s="430" t="s">
        <v>19069</v>
      </c>
      <c r="G255" s="430" t="s">
        <v>29</v>
      </c>
      <c r="H255" s="430" t="s">
        <v>30</v>
      </c>
      <c r="I255" s="430" t="s">
        <v>31</v>
      </c>
      <c r="J255" s="430" t="s">
        <v>30</v>
      </c>
      <c r="K255" s="430">
        <v>114.0</v>
      </c>
      <c r="L255" s="430" t="s">
        <v>31</v>
      </c>
      <c r="M255" s="430" t="s">
        <v>31</v>
      </c>
      <c r="N255" s="430" t="s">
        <v>21029</v>
      </c>
      <c r="O255" s="430">
        <v>2013.0</v>
      </c>
      <c r="P255" s="430" t="s">
        <v>388</v>
      </c>
      <c r="Q255" s="430">
        <v>1.0</v>
      </c>
      <c r="R255" s="471"/>
      <c r="S255" s="3"/>
      <c r="T255" s="3"/>
      <c r="U255" s="3"/>
      <c r="V255" s="3"/>
      <c r="W255" s="3"/>
      <c r="X255" s="3"/>
      <c r="Y255" s="3"/>
      <c r="Z255" s="3"/>
      <c r="AA255" s="3"/>
      <c r="AB255" s="3"/>
      <c r="AC255" s="3"/>
      <c r="AD255" s="3"/>
      <c r="AE255" s="3"/>
      <c r="AF255" s="3"/>
      <c r="AG255" s="3"/>
      <c r="AH255" s="3"/>
      <c r="AI255" s="3"/>
      <c r="AJ255" s="3"/>
      <c r="AK255" s="3"/>
    </row>
    <row r="256" ht="15.75" customHeight="1">
      <c r="A256" s="3"/>
      <c r="B256" s="921" t="s">
        <v>21036</v>
      </c>
      <c r="C256" s="430"/>
      <c r="D256" s="430" t="s">
        <v>21027</v>
      </c>
      <c r="E256" s="432" t="s">
        <v>21037</v>
      </c>
      <c r="F256" s="430" t="s">
        <v>19069</v>
      </c>
      <c r="G256" s="430" t="s">
        <v>29</v>
      </c>
      <c r="H256" s="430" t="s">
        <v>30</v>
      </c>
      <c r="I256" s="430" t="s">
        <v>31</v>
      </c>
      <c r="J256" s="430" t="s">
        <v>30</v>
      </c>
      <c r="K256" s="430">
        <v>114.0</v>
      </c>
      <c r="L256" s="430" t="s">
        <v>31</v>
      </c>
      <c r="M256" s="430" t="s">
        <v>31</v>
      </c>
      <c r="N256" s="430" t="s">
        <v>21029</v>
      </c>
      <c r="O256" s="430">
        <v>2013.0</v>
      </c>
      <c r="P256" s="430" t="s">
        <v>388</v>
      </c>
      <c r="Q256" s="430">
        <v>1.0</v>
      </c>
      <c r="R256" s="471"/>
      <c r="S256" s="3"/>
      <c r="T256" s="3"/>
      <c r="U256" s="3"/>
      <c r="V256" s="3"/>
      <c r="W256" s="3"/>
      <c r="X256" s="3"/>
      <c r="Y256" s="3"/>
      <c r="Z256" s="3"/>
      <c r="AA256" s="3"/>
      <c r="AB256" s="3"/>
      <c r="AC256" s="3"/>
      <c r="AD256" s="3"/>
      <c r="AE256" s="3"/>
      <c r="AF256" s="3"/>
      <c r="AG256" s="3"/>
      <c r="AH256" s="3"/>
      <c r="AI256" s="3"/>
      <c r="AJ256" s="3"/>
      <c r="AK256" s="3"/>
    </row>
    <row r="257" ht="15.75" customHeight="1">
      <c r="A257" s="3"/>
      <c r="B257" s="921" t="s">
        <v>21038</v>
      </c>
      <c r="C257" s="430"/>
      <c r="D257" s="430" t="s">
        <v>21027</v>
      </c>
      <c r="E257" s="432" t="s">
        <v>21039</v>
      </c>
      <c r="F257" s="430" t="s">
        <v>19069</v>
      </c>
      <c r="G257" s="430" t="s">
        <v>29</v>
      </c>
      <c r="H257" s="430" t="s">
        <v>30</v>
      </c>
      <c r="I257" s="430" t="s">
        <v>31</v>
      </c>
      <c r="J257" s="430" t="s">
        <v>30</v>
      </c>
      <c r="K257" s="430">
        <v>114.0</v>
      </c>
      <c r="L257" s="430" t="s">
        <v>31</v>
      </c>
      <c r="M257" s="430" t="s">
        <v>31</v>
      </c>
      <c r="N257" s="430" t="s">
        <v>21029</v>
      </c>
      <c r="O257" s="430">
        <v>2014.0</v>
      </c>
      <c r="P257" s="430" t="s">
        <v>388</v>
      </c>
      <c r="Q257" s="430">
        <v>1.0</v>
      </c>
      <c r="R257" s="471"/>
      <c r="S257" s="3"/>
      <c r="T257" s="3"/>
      <c r="U257" s="3"/>
      <c r="V257" s="3"/>
      <c r="W257" s="3"/>
      <c r="X257" s="3"/>
      <c r="Y257" s="3"/>
      <c r="Z257" s="3"/>
      <c r="AA257" s="3"/>
      <c r="AB257" s="3"/>
      <c r="AC257" s="3"/>
      <c r="AD257" s="3"/>
      <c r="AE257" s="3"/>
      <c r="AF257" s="3"/>
      <c r="AG257" s="3"/>
      <c r="AH257" s="3"/>
      <c r="AI257" s="3"/>
      <c r="AJ257" s="3"/>
      <c r="AK257" s="3"/>
    </row>
    <row r="258" ht="15.75" customHeight="1">
      <c r="A258" s="3"/>
      <c r="B258" s="921" t="s">
        <v>21040</v>
      </c>
      <c r="C258" s="430"/>
      <c r="D258" s="430" t="s">
        <v>21027</v>
      </c>
      <c r="E258" s="432" t="s">
        <v>21041</v>
      </c>
      <c r="F258" s="430" t="s">
        <v>19069</v>
      </c>
      <c r="G258" s="430" t="s">
        <v>29</v>
      </c>
      <c r="H258" s="430" t="s">
        <v>30</v>
      </c>
      <c r="I258" s="430" t="s">
        <v>31</v>
      </c>
      <c r="J258" s="430" t="s">
        <v>30</v>
      </c>
      <c r="K258" s="430">
        <v>114.0</v>
      </c>
      <c r="L258" s="430" t="s">
        <v>31</v>
      </c>
      <c r="M258" s="430" t="s">
        <v>31</v>
      </c>
      <c r="N258" s="430" t="s">
        <v>21029</v>
      </c>
      <c r="O258" s="430">
        <v>2013.0</v>
      </c>
      <c r="P258" s="430" t="s">
        <v>388</v>
      </c>
      <c r="Q258" s="430">
        <v>1.0</v>
      </c>
      <c r="R258" s="471"/>
      <c r="S258" s="3"/>
      <c r="T258" s="3"/>
      <c r="U258" s="3"/>
      <c r="V258" s="3"/>
      <c r="W258" s="3"/>
      <c r="X258" s="3"/>
      <c r="Y258" s="3"/>
      <c r="Z258" s="3"/>
      <c r="AA258" s="3"/>
      <c r="AB258" s="3"/>
      <c r="AC258" s="3"/>
      <c r="AD258" s="3"/>
      <c r="AE258" s="3"/>
      <c r="AF258" s="3"/>
      <c r="AG258" s="3"/>
      <c r="AH258" s="3"/>
      <c r="AI258" s="3"/>
      <c r="AJ258" s="3"/>
      <c r="AK258" s="3"/>
    </row>
    <row r="259" ht="15.75" customHeight="1">
      <c r="A259" s="3"/>
      <c r="B259" s="921" t="s">
        <v>21042</v>
      </c>
      <c r="C259" s="430"/>
      <c r="D259" s="430" t="s">
        <v>21027</v>
      </c>
      <c r="E259" s="432" t="s">
        <v>21043</v>
      </c>
      <c r="F259" s="430" t="s">
        <v>19069</v>
      </c>
      <c r="G259" s="430" t="s">
        <v>29</v>
      </c>
      <c r="H259" s="430" t="s">
        <v>30</v>
      </c>
      <c r="I259" s="430" t="s">
        <v>31</v>
      </c>
      <c r="J259" s="430" t="s">
        <v>30</v>
      </c>
      <c r="K259" s="430">
        <v>114.0</v>
      </c>
      <c r="L259" s="430" t="s">
        <v>31</v>
      </c>
      <c r="M259" s="430" t="s">
        <v>31</v>
      </c>
      <c r="N259" s="430" t="s">
        <v>21029</v>
      </c>
      <c r="O259" s="430">
        <v>2013.0</v>
      </c>
      <c r="P259" s="430" t="s">
        <v>388</v>
      </c>
      <c r="Q259" s="430">
        <v>1.0</v>
      </c>
      <c r="R259" s="471"/>
      <c r="S259" s="3"/>
      <c r="T259" s="3"/>
      <c r="U259" s="3"/>
      <c r="V259" s="3"/>
      <c r="W259" s="3"/>
      <c r="X259" s="3"/>
      <c r="Y259" s="3"/>
      <c r="Z259" s="3"/>
      <c r="AA259" s="3"/>
      <c r="AB259" s="3"/>
      <c r="AC259" s="3"/>
      <c r="AD259" s="3"/>
      <c r="AE259" s="3"/>
      <c r="AF259" s="3"/>
      <c r="AG259" s="3"/>
      <c r="AH259" s="3"/>
      <c r="AI259" s="3"/>
      <c r="AJ259" s="3"/>
      <c r="AK259" s="3"/>
    </row>
    <row r="260" ht="15.75" customHeight="1">
      <c r="A260" s="3"/>
      <c r="B260" s="921" t="s">
        <v>16047</v>
      </c>
      <c r="C260" s="430"/>
      <c r="D260" s="430" t="s">
        <v>21027</v>
      </c>
      <c r="E260" s="432" t="s">
        <v>21044</v>
      </c>
      <c r="F260" s="430" t="s">
        <v>19069</v>
      </c>
      <c r="G260" s="430" t="s">
        <v>29</v>
      </c>
      <c r="H260" s="430" t="s">
        <v>30</v>
      </c>
      <c r="I260" s="430" t="s">
        <v>31</v>
      </c>
      <c r="J260" s="430" t="s">
        <v>30</v>
      </c>
      <c r="K260" s="430">
        <v>114.0</v>
      </c>
      <c r="L260" s="430" t="s">
        <v>31</v>
      </c>
      <c r="M260" s="430" t="s">
        <v>31</v>
      </c>
      <c r="N260" s="430" t="s">
        <v>21029</v>
      </c>
      <c r="O260" s="430">
        <v>2013.0</v>
      </c>
      <c r="P260" s="430" t="s">
        <v>388</v>
      </c>
      <c r="Q260" s="430">
        <v>1.0</v>
      </c>
      <c r="R260" s="471"/>
      <c r="S260" s="3"/>
      <c r="T260" s="3"/>
      <c r="U260" s="3"/>
      <c r="V260" s="3"/>
      <c r="W260" s="3"/>
      <c r="X260" s="3"/>
      <c r="Y260" s="3"/>
      <c r="Z260" s="3"/>
      <c r="AA260" s="3"/>
      <c r="AB260" s="3"/>
      <c r="AC260" s="3"/>
      <c r="AD260" s="3"/>
      <c r="AE260" s="3"/>
      <c r="AF260" s="3"/>
      <c r="AG260" s="3"/>
      <c r="AH260" s="3"/>
      <c r="AI260" s="3"/>
      <c r="AJ260" s="3"/>
      <c r="AK260" s="3"/>
    </row>
    <row r="261" ht="15.75" customHeight="1">
      <c r="A261" s="3"/>
      <c r="B261" s="921" t="s">
        <v>16051</v>
      </c>
      <c r="C261" s="430"/>
      <c r="D261" s="430" t="s">
        <v>21027</v>
      </c>
      <c r="E261" s="432" t="s">
        <v>21045</v>
      </c>
      <c r="F261" s="430" t="s">
        <v>19069</v>
      </c>
      <c r="G261" s="430" t="s">
        <v>29</v>
      </c>
      <c r="H261" s="430" t="s">
        <v>30</v>
      </c>
      <c r="I261" s="430" t="s">
        <v>31</v>
      </c>
      <c r="J261" s="430" t="s">
        <v>30</v>
      </c>
      <c r="K261" s="430">
        <v>114.0</v>
      </c>
      <c r="L261" s="430" t="s">
        <v>31</v>
      </c>
      <c r="M261" s="430" t="s">
        <v>31</v>
      </c>
      <c r="N261" s="430" t="s">
        <v>21029</v>
      </c>
      <c r="O261" s="430">
        <v>2013.0</v>
      </c>
      <c r="P261" s="430" t="s">
        <v>388</v>
      </c>
      <c r="Q261" s="430">
        <v>1.0</v>
      </c>
      <c r="R261" s="471"/>
      <c r="S261" s="3"/>
      <c r="T261" s="3"/>
      <c r="U261" s="3"/>
      <c r="V261" s="3"/>
      <c r="W261" s="3"/>
      <c r="X261" s="3"/>
      <c r="Y261" s="3"/>
      <c r="Z261" s="3"/>
      <c r="AA261" s="3"/>
      <c r="AB261" s="3"/>
      <c r="AC261" s="3"/>
      <c r="AD261" s="3"/>
      <c r="AE261" s="3"/>
      <c r="AF261" s="3"/>
      <c r="AG261" s="3"/>
      <c r="AH261" s="3"/>
      <c r="AI261" s="3"/>
      <c r="AJ261" s="3"/>
      <c r="AK261" s="3"/>
    </row>
    <row r="262" ht="15.75" customHeight="1">
      <c r="A262" s="3"/>
      <c r="B262" s="921" t="s">
        <v>16054</v>
      </c>
      <c r="C262" s="430"/>
      <c r="D262" s="430" t="s">
        <v>21027</v>
      </c>
      <c r="E262" s="432" t="s">
        <v>21046</v>
      </c>
      <c r="F262" s="430" t="s">
        <v>19069</v>
      </c>
      <c r="G262" s="430" t="s">
        <v>29</v>
      </c>
      <c r="H262" s="430" t="s">
        <v>30</v>
      </c>
      <c r="I262" s="430" t="s">
        <v>31</v>
      </c>
      <c r="J262" s="430" t="s">
        <v>30</v>
      </c>
      <c r="K262" s="430">
        <v>114.0</v>
      </c>
      <c r="L262" s="430" t="s">
        <v>31</v>
      </c>
      <c r="M262" s="430" t="s">
        <v>31</v>
      </c>
      <c r="N262" s="430" t="s">
        <v>21029</v>
      </c>
      <c r="O262" s="430">
        <v>2013.0</v>
      </c>
      <c r="P262" s="430" t="s">
        <v>388</v>
      </c>
      <c r="Q262" s="430">
        <v>1.0</v>
      </c>
      <c r="R262" s="471"/>
      <c r="S262" s="3"/>
      <c r="T262" s="3"/>
      <c r="U262" s="3"/>
      <c r="V262" s="3"/>
      <c r="W262" s="3"/>
      <c r="X262" s="3"/>
      <c r="Y262" s="3"/>
      <c r="Z262" s="3"/>
      <c r="AA262" s="3"/>
      <c r="AB262" s="3"/>
      <c r="AC262" s="3"/>
      <c r="AD262" s="3"/>
      <c r="AE262" s="3"/>
      <c r="AF262" s="3"/>
      <c r="AG262" s="3"/>
      <c r="AH262" s="3"/>
      <c r="AI262" s="3"/>
      <c r="AJ262" s="3"/>
      <c r="AK262" s="3"/>
    </row>
    <row r="263" ht="15.75" customHeight="1">
      <c r="A263" s="3"/>
      <c r="B263" s="921" t="s">
        <v>16058</v>
      </c>
      <c r="C263" s="430"/>
      <c r="D263" s="430" t="s">
        <v>21027</v>
      </c>
      <c r="E263" s="432" t="s">
        <v>21047</v>
      </c>
      <c r="F263" s="430" t="s">
        <v>19069</v>
      </c>
      <c r="G263" s="430" t="s">
        <v>29</v>
      </c>
      <c r="H263" s="430" t="s">
        <v>30</v>
      </c>
      <c r="I263" s="430" t="s">
        <v>31</v>
      </c>
      <c r="J263" s="430" t="s">
        <v>30</v>
      </c>
      <c r="K263" s="430">
        <v>114.0</v>
      </c>
      <c r="L263" s="430" t="s">
        <v>31</v>
      </c>
      <c r="M263" s="430" t="s">
        <v>31</v>
      </c>
      <c r="N263" s="430" t="s">
        <v>21029</v>
      </c>
      <c r="O263" s="430">
        <v>2013.0</v>
      </c>
      <c r="P263" s="430" t="s">
        <v>388</v>
      </c>
      <c r="Q263" s="430">
        <v>1.0</v>
      </c>
      <c r="R263" s="471"/>
      <c r="S263" s="3"/>
      <c r="T263" s="3"/>
      <c r="U263" s="3"/>
      <c r="V263" s="3"/>
      <c r="W263" s="3"/>
      <c r="X263" s="3"/>
      <c r="Y263" s="3"/>
      <c r="Z263" s="3"/>
      <c r="AA263" s="3"/>
      <c r="AB263" s="3"/>
      <c r="AC263" s="3"/>
      <c r="AD263" s="3"/>
      <c r="AE263" s="3"/>
      <c r="AF263" s="3"/>
      <c r="AG263" s="3"/>
      <c r="AH263" s="3"/>
      <c r="AI263" s="3"/>
      <c r="AJ263" s="3"/>
      <c r="AK263" s="3"/>
    </row>
    <row r="264" ht="15.75" customHeight="1">
      <c r="A264" s="3"/>
      <c r="B264" s="921" t="s">
        <v>16062</v>
      </c>
      <c r="C264" s="430"/>
      <c r="D264" s="430" t="s">
        <v>21027</v>
      </c>
      <c r="E264" s="432" t="s">
        <v>21048</v>
      </c>
      <c r="F264" s="430" t="s">
        <v>19069</v>
      </c>
      <c r="G264" s="430" t="s">
        <v>29</v>
      </c>
      <c r="H264" s="430" t="s">
        <v>30</v>
      </c>
      <c r="I264" s="430" t="s">
        <v>31</v>
      </c>
      <c r="J264" s="430" t="s">
        <v>30</v>
      </c>
      <c r="K264" s="430">
        <v>114.0</v>
      </c>
      <c r="L264" s="430" t="s">
        <v>31</v>
      </c>
      <c r="M264" s="430" t="s">
        <v>31</v>
      </c>
      <c r="N264" s="430" t="s">
        <v>21029</v>
      </c>
      <c r="O264" s="430">
        <v>2013.0</v>
      </c>
      <c r="P264" s="430" t="s">
        <v>388</v>
      </c>
      <c r="Q264" s="430">
        <v>1.0</v>
      </c>
      <c r="R264" s="471"/>
      <c r="S264" s="3"/>
      <c r="T264" s="3"/>
      <c r="U264" s="3"/>
      <c r="V264" s="3"/>
      <c r="W264" s="3"/>
      <c r="X264" s="3"/>
      <c r="Y264" s="3"/>
      <c r="Z264" s="3"/>
      <c r="AA264" s="3"/>
      <c r="AB264" s="3"/>
      <c r="AC264" s="3"/>
      <c r="AD264" s="3"/>
      <c r="AE264" s="3"/>
      <c r="AF264" s="3"/>
      <c r="AG264" s="3"/>
      <c r="AH264" s="3"/>
      <c r="AI264" s="3"/>
      <c r="AJ264" s="3"/>
      <c r="AK264" s="3"/>
    </row>
    <row r="265" ht="15.75" customHeight="1">
      <c r="A265" s="3"/>
      <c r="B265" s="921" t="s">
        <v>16066</v>
      </c>
      <c r="C265" s="433"/>
      <c r="D265" s="433" t="s">
        <v>20593</v>
      </c>
      <c r="E265" s="434" t="s">
        <v>20594</v>
      </c>
      <c r="F265" s="433" t="s">
        <v>16872</v>
      </c>
      <c r="G265" s="433" t="s">
        <v>29</v>
      </c>
      <c r="H265" s="433" t="s">
        <v>30</v>
      </c>
      <c r="I265" s="433" t="s">
        <v>31</v>
      </c>
      <c r="J265" s="433" t="s">
        <v>30</v>
      </c>
      <c r="K265" s="433">
        <v>76.0</v>
      </c>
      <c r="L265" s="433" t="s">
        <v>31</v>
      </c>
      <c r="M265" s="433" t="s">
        <v>31</v>
      </c>
      <c r="N265" s="433" t="s">
        <v>20596</v>
      </c>
      <c r="O265" s="433">
        <v>2016.0</v>
      </c>
      <c r="P265" s="433" t="s">
        <v>388</v>
      </c>
      <c r="Q265" s="433">
        <v>2.0</v>
      </c>
      <c r="R265" s="471"/>
      <c r="S265" s="3"/>
      <c r="T265" s="3"/>
      <c r="U265" s="3"/>
      <c r="V265" s="3"/>
      <c r="W265" s="3"/>
      <c r="X265" s="3"/>
      <c r="Y265" s="3"/>
      <c r="Z265" s="3"/>
      <c r="AA265" s="3"/>
      <c r="AB265" s="3"/>
      <c r="AC265" s="3"/>
      <c r="AD265" s="3"/>
      <c r="AE265" s="3"/>
      <c r="AF265" s="3"/>
      <c r="AG265" s="3"/>
      <c r="AH265" s="3"/>
      <c r="AI265" s="3"/>
      <c r="AJ265" s="3"/>
      <c r="AK265" s="3"/>
    </row>
    <row r="266" ht="15.75" customHeight="1">
      <c r="A266" s="3"/>
      <c r="B266" s="479"/>
      <c r="C266" s="478" t="s">
        <v>21049</v>
      </c>
      <c r="D266" s="478" t="s">
        <v>20599</v>
      </c>
      <c r="E266" s="489" t="s">
        <v>21050</v>
      </c>
      <c r="F266" s="478" t="s">
        <v>16872</v>
      </c>
      <c r="G266" s="478" t="s">
        <v>29</v>
      </c>
      <c r="H266" s="478" t="s">
        <v>30</v>
      </c>
      <c r="I266" s="478" t="s">
        <v>31</v>
      </c>
      <c r="J266" s="478" t="s">
        <v>30</v>
      </c>
      <c r="K266" s="478">
        <v>68.0</v>
      </c>
      <c r="L266" s="478" t="s">
        <v>31</v>
      </c>
      <c r="M266" s="478" t="s">
        <v>20595</v>
      </c>
      <c r="N266" s="478" t="s">
        <v>31</v>
      </c>
      <c r="O266" s="478">
        <v>1970.0</v>
      </c>
      <c r="P266" s="476"/>
      <c r="Q266" s="478">
        <v>2.0</v>
      </c>
      <c r="R266" s="927">
        <v>2.0</v>
      </c>
      <c r="S266" s="3"/>
      <c r="T266" s="3"/>
      <c r="U266" s="3"/>
      <c r="V266" s="3"/>
      <c r="W266" s="3"/>
      <c r="X266" s="3"/>
      <c r="Y266" s="3"/>
      <c r="Z266" s="3"/>
      <c r="AA266" s="3"/>
      <c r="AB266" s="3"/>
      <c r="AC266" s="3"/>
      <c r="AD266" s="3"/>
      <c r="AE266" s="3"/>
      <c r="AF266" s="3"/>
      <c r="AG266" s="3"/>
      <c r="AH266" s="3"/>
      <c r="AI266" s="3"/>
      <c r="AJ266" s="3"/>
      <c r="AK266" s="3"/>
    </row>
    <row r="267" ht="15.75" customHeight="1">
      <c r="A267" s="3"/>
      <c r="B267" s="921" t="s">
        <v>16069</v>
      </c>
      <c r="C267" s="430" t="s">
        <v>21051</v>
      </c>
      <c r="D267" s="430" t="s">
        <v>21052</v>
      </c>
      <c r="E267" s="432" t="s">
        <v>21053</v>
      </c>
      <c r="F267" s="430" t="s">
        <v>19069</v>
      </c>
      <c r="G267" s="430" t="s">
        <v>29</v>
      </c>
      <c r="H267" s="430" t="s">
        <v>37</v>
      </c>
      <c r="I267" s="430"/>
      <c r="J267" s="430" t="s">
        <v>30</v>
      </c>
      <c r="K267" s="430">
        <v>152.0</v>
      </c>
      <c r="L267" s="430"/>
      <c r="M267" s="430"/>
      <c r="N267" s="430" t="s">
        <v>21054</v>
      </c>
      <c r="O267" s="430">
        <v>2017.0</v>
      </c>
      <c r="P267" s="430" t="s">
        <v>388</v>
      </c>
      <c r="Q267" s="430">
        <v>1.0</v>
      </c>
      <c r="R267" s="471"/>
      <c r="S267" s="3"/>
      <c r="T267" s="3"/>
      <c r="U267" s="3"/>
      <c r="V267" s="3"/>
      <c r="W267" s="3"/>
      <c r="X267" s="3"/>
      <c r="Y267" s="3"/>
      <c r="Z267" s="3"/>
      <c r="AA267" s="3"/>
      <c r="AB267" s="3"/>
      <c r="AC267" s="3"/>
      <c r="AD267" s="3"/>
      <c r="AE267" s="3"/>
      <c r="AF267" s="3"/>
      <c r="AG267" s="3"/>
      <c r="AH267" s="3"/>
      <c r="AI267" s="3"/>
      <c r="AJ267" s="3"/>
      <c r="AK267" s="3"/>
    </row>
    <row r="268" ht="15.75" customHeight="1">
      <c r="A268" s="3"/>
      <c r="B268" s="921" t="s">
        <v>16074</v>
      </c>
      <c r="C268" s="430"/>
      <c r="D268" s="430" t="s">
        <v>21052</v>
      </c>
      <c r="E268" s="432" t="s">
        <v>21055</v>
      </c>
      <c r="F268" s="430" t="s">
        <v>19069</v>
      </c>
      <c r="G268" s="430" t="s">
        <v>29</v>
      </c>
      <c r="H268" s="430" t="s">
        <v>30</v>
      </c>
      <c r="I268" s="430"/>
      <c r="J268" s="430" t="s">
        <v>30</v>
      </c>
      <c r="K268" s="430">
        <v>131.0</v>
      </c>
      <c r="L268" s="430"/>
      <c r="M268" s="430"/>
      <c r="N268" s="430" t="s">
        <v>21056</v>
      </c>
      <c r="O268" s="430">
        <v>2017.0</v>
      </c>
      <c r="P268" s="430" t="s">
        <v>388</v>
      </c>
      <c r="Q268" s="430">
        <v>1.0</v>
      </c>
      <c r="R268" s="471"/>
      <c r="S268" s="3"/>
      <c r="T268" s="3"/>
      <c r="U268" s="3"/>
      <c r="V268" s="3"/>
      <c r="W268" s="3"/>
      <c r="X268" s="3"/>
      <c r="Y268" s="3"/>
      <c r="Z268" s="3"/>
      <c r="AA268" s="3"/>
      <c r="AB268" s="3"/>
      <c r="AC268" s="3"/>
      <c r="AD268" s="3"/>
      <c r="AE268" s="3"/>
      <c r="AF268" s="3"/>
      <c r="AG268" s="3"/>
      <c r="AH268" s="3"/>
      <c r="AI268" s="3"/>
      <c r="AJ268" s="3"/>
      <c r="AK268" s="3"/>
    </row>
    <row r="269" ht="15.75" customHeight="1">
      <c r="A269" s="3"/>
      <c r="B269" s="921" t="s">
        <v>16078</v>
      </c>
      <c r="C269" s="430"/>
      <c r="D269" s="430" t="s">
        <v>21057</v>
      </c>
      <c r="E269" s="432" t="s">
        <v>21058</v>
      </c>
      <c r="F269" s="430" t="s">
        <v>19069</v>
      </c>
      <c r="G269" s="430" t="s">
        <v>29</v>
      </c>
      <c r="H269" s="430" t="s">
        <v>30</v>
      </c>
      <c r="I269" s="430"/>
      <c r="J269" s="430" t="s">
        <v>30</v>
      </c>
      <c r="K269" s="430">
        <v>88.0</v>
      </c>
      <c r="L269" s="430"/>
      <c r="M269" s="430"/>
      <c r="N269" s="430" t="s">
        <v>4166</v>
      </c>
      <c r="O269" s="430">
        <v>2016.0</v>
      </c>
      <c r="P269" s="430" t="s">
        <v>388</v>
      </c>
      <c r="Q269" s="430">
        <v>1.0</v>
      </c>
      <c r="R269" s="471"/>
      <c r="S269" s="3"/>
      <c r="T269" s="3"/>
      <c r="U269" s="3"/>
      <c r="V269" s="3"/>
      <c r="W269" s="3"/>
      <c r="X269" s="3"/>
      <c r="Y269" s="3"/>
      <c r="Z269" s="3"/>
      <c r="AA269" s="3"/>
      <c r="AB269" s="3"/>
      <c r="AC269" s="3"/>
      <c r="AD269" s="3"/>
      <c r="AE269" s="3"/>
      <c r="AF269" s="3"/>
      <c r="AG269" s="3"/>
      <c r="AH269" s="3"/>
      <c r="AI269" s="3"/>
      <c r="AJ269" s="3"/>
      <c r="AK269" s="3"/>
    </row>
    <row r="270" ht="15.75" customHeight="1">
      <c r="A270" s="3"/>
      <c r="B270" s="921" t="s">
        <v>16081</v>
      </c>
      <c r="C270" s="430"/>
      <c r="D270" s="430" t="s">
        <v>21052</v>
      </c>
      <c r="E270" s="432" t="s">
        <v>21059</v>
      </c>
      <c r="F270" s="430" t="s">
        <v>19069</v>
      </c>
      <c r="G270" s="430" t="s">
        <v>29</v>
      </c>
      <c r="H270" s="430" t="s">
        <v>30</v>
      </c>
      <c r="I270" s="430"/>
      <c r="J270" s="430" t="s">
        <v>30</v>
      </c>
      <c r="K270" s="430">
        <v>131.0</v>
      </c>
      <c r="L270" s="430"/>
      <c r="M270" s="430"/>
      <c r="N270" s="430" t="s">
        <v>21054</v>
      </c>
      <c r="O270" s="430">
        <v>2017.0</v>
      </c>
      <c r="P270" s="430" t="s">
        <v>388</v>
      </c>
      <c r="Q270" s="430">
        <v>1.0</v>
      </c>
      <c r="R270" s="471"/>
      <c r="S270" s="3"/>
      <c r="T270" s="3"/>
      <c r="U270" s="3"/>
      <c r="V270" s="3"/>
      <c r="W270" s="3"/>
      <c r="X270" s="3"/>
      <c r="Y270" s="3"/>
      <c r="Z270" s="3"/>
      <c r="AA270" s="3"/>
      <c r="AB270" s="3"/>
      <c r="AC270" s="3"/>
      <c r="AD270" s="3"/>
      <c r="AE270" s="3"/>
      <c r="AF270" s="3"/>
      <c r="AG270" s="3"/>
      <c r="AH270" s="3"/>
      <c r="AI270" s="3"/>
      <c r="AJ270" s="3"/>
      <c r="AK270" s="3"/>
    </row>
    <row r="271" ht="15.75" customHeight="1">
      <c r="A271" s="3"/>
      <c r="B271" s="921" t="s">
        <v>16084</v>
      </c>
      <c r="C271" s="430"/>
      <c r="D271" s="430" t="s">
        <v>21057</v>
      </c>
      <c r="E271" s="432" t="s">
        <v>21060</v>
      </c>
      <c r="F271" s="430" t="s">
        <v>19069</v>
      </c>
      <c r="G271" s="430" t="s">
        <v>29</v>
      </c>
      <c r="H271" s="430" t="s">
        <v>30</v>
      </c>
      <c r="I271" s="430"/>
      <c r="J271" s="430" t="s">
        <v>30</v>
      </c>
      <c r="K271" s="430">
        <v>88.0</v>
      </c>
      <c r="L271" s="430"/>
      <c r="M271" s="430"/>
      <c r="N271" s="430" t="s">
        <v>4166</v>
      </c>
      <c r="O271" s="430">
        <v>2017.0</v>
      </c>
      <c r="P271" s="430" t="s">
        <v>388</v>
      </c>
      <c r="Q271" s="430">
        <v>1.0</v>
      </c>
      <c r="R271" s="471"/>
      <c r="S271" s="3"/>
      <c r="T271" s="3"/>
      <c r="U271" s="3"/>
      <c r="V271" s="3"/>
      <c r="W271" s="3"/>
      <c r="X271" s="3"/>
      <c r="Y271" s="3"/>
      <c r="Z271" s="3"/>
      <c r="AA271" s="3"/>
      <c r="AB271" s="3"/>
      <c r="AC271" s="3"/>
      <c r="AD271" s="3"/>
      <c r="AE271" s="3"/>
      <c r="AF271" s="3"/>
      <c r="AG271" s="3"/>
      <c r="AH271" s="3"/>
      <c r="AI271" s="3"/>
      <c r="AJ271" s="3"/>
      <c r="AK271" s="3"/>
    </row>
    <row r="272" ht="15.75" customHeight="1">
      <c r="A272" s="3"/>
      <c r="B272" s="921" t="s">
        <v>16087</v>
      </c>
      <c r="C272" s="430"/>
      <c r="D272" s="430" t="s">
        <v>21052</v>
      </c>
      <c r="E272" s="432" t="s">
        <v>21061</v>
      </c>
      <c r="F272" s="430" t="s">
        <v>19069</v>
      </c>
      <c r="G272" s="430" t="s">
        <v>29</v>
      </c>
      <c r="H272" s="430" t="s">
        <v>30</v>
      </c>
      <c r="I272" s="430"/>
      <c r="J272" s="430" t="s">
        <v>30</v>
      </c>
      <c r="K272" s="430">
        <v>131.0</v>
      </c>
      <c r="L272" s="430"/>
      <c r="M272" s="430"/>
      <c r="N272" s="430" t="s">
        <v>14949</v>
      </c>
      <c r="O272" s="430">
        <v>2017.0</v>
      </c>
      <c r="P272" s="430" t="s">
        <v>388</v>
      </c>
      <c r="Q272" s="430">
        <v>1.0</v>
      </c>
      <c r="R272" s="471"/>
      <c r="S272" s="3"/>
      <c r="T272" s="3"/>
      <c r="U272" s="3"/>
      <c r="V272" s="3"/>
      <c r="W272" s="3"/>
      <c r="X272" s="3"/>
      <c r="Y272" s="3"/>
      <c r="Z272" s="3"/>
      <c r="AA272" s="3"/>
      <c r="AB272" s="3"/>
      <c r="AC272" s="3"/>
      <c r="AD272" s="3"/>
      <c r="AE272" s="3"/>
      <c r="AF272" s="3"/>
      <c r="AG272" s="3"/>
      <c r="AH272" s="3"/>
      <c r="AI272" s="3"/>
      <c r="AJ272" s="3"/>
      <c r="AK272" s="3"/>
    </row>
    <row r="273" ht="15.75" customHeight="1">
      <c r="A273" s="3"/>
      <c r="B273" s="479"/>
      <c r="C273" s="476"/>
      <c r="D273" s="478" t="s">
        <v>21052</v>
      </c>
      <c r="E273" s="489" t="s">
        <v>21062</v>
      </c>
      <c r="F273" s="478" t="s">
        <v>19069</v>
      </c>
      <c r="G273" s="478" t="s">
        <v>29</v>
      </c>
      <c r="H273" s="478" t="s">
        <v>30</v>
      </c>
      <c r="I273" s="476"/>
      <c r="J273" s="478" t="s">
        <v>30</v>
      </c>
      <c r="K273" s="478">
        <v>82.0</v>
      </c>
      <c r="L273" s="476"/>
      <c r="M273" s="476"/>
      <c r="N273" s="478" t="s">
        <v>21054</v>
      </c>
      <c r="O273" s="478">
        <v>2021.0</v>
      </c>
      <c r="P273" s="476"/>
      <c r="Q273" s="478">
        <v>1.0</v>
      </c>
      <c r="R273" s="927">
        <v>1.0</v>
      </c>
      <c r="S273" s="3"/>
      <c r="T273" s="3"/>
      <c r="U273" s="3"/>
      <c r="V273" s="3"/>
      <c r="W273" s="3"/>
      <c r="X273" s="3"/>
      <c r="Y273" s="3"/>
      <c r="Z273" s="3"/>
      <c r="AA273" s="3"/>
      <c r="AB273" s="3"/>
      <c r="AC273" s="3"/>
      <c r="AD273" s="3"/>
      <c r="AE273" s="3"/>
      <c r="AF273" s="3"/>
      <c r="AG273" s="3"/>
      <c r="AH273" s="3"/>
      <c r="AI273" s="3"/>
      <c r="AJ273" s="3"/>
      <c r="AK273" s="3"/>
    </row>
    <row r="274" ht="15.75" customHeight="1">
      <c r="A274" s="3"/>
      <c r="B274" s="479"/>
      <c r="C274" s="476"/>
      <c r="D274" s="478" t="s">
        <v>21052</v>
      </c>
      <c r="E274" s="489" t="s">
        <v>21063</v>
      </c>
      <c r="F274" s="478" t="s">
        <v>19069</v>
      </c>
      <c r="G274" s="478" t="s">
        <v>29</v>
      </c>
      <c r="H274" s="478" t="s">
        <v>30</v>
      </c>
      <c r="I274" s="476"/>
      <c r="J274" s="478" t="s">
        <v>30</v>
      </c>
      <c r="K274" s="478">
        <v>82.0</v>
      </c>
      <c r="L274" s="476"/>
      <c r="M274" s="476"/>
      <c r="N274" s="478" t="s">
        <v>21054</v>
      </c>
      <c r="O274" s="478">
        <v>2021.0</v>
      </c>
      <c r="P274" s="476"/>
      <c r="Q274" s="478">
        <v>1.0</v>
      </c>
      <c r="R274" s="927">
        <v>1.0</v>
      </c>
      <c r="S274" s="3"/>
      <c r="T274" s="3"/>
      <c r="U274" s="3"/>
      <c r="V274" s="3"/>
      <c r="W274" s="3"/>
      <c r="X274" s="3"/>
      <c r="Y274" s="3"/>
      <c r="Z274" s="3"/>
      <c r="AA274" s="3"/>
      <c r="AB274" s="3"/>
      <c r="AC274" s="3"/>
      <c r="AD274" s="3"/>
      <c r="AE274" s="3"/>
      <c r="AF274" s="3"/>
      <c r="AG274" s="3"/>
      <c r="AH274" s="3"/>
      <c r="AI274" s="3"/>
      <c r="AJ274" s="3"/>
      <c r="AK274" s="3"/>
    </row>
    <row r="275" ht="15.75" customHeight="1">
      <c r="A275" s="3"/>
      <c r="B275" s="921" t="s">
        <v>16091</v>
      </c>
      <c r="C275" s="430" t="s">
        <v>31</v>
      </c>
      <c r="D275" s="430" t="s">
        <v>21064</v>
      </c>
      <c r="E275" s="432" t="s">
        <v>21065</v>
      </c>
      <c r="F275" s="430" t="s">
        <v>19069</v>
      </c>
      <c r="G275" s="430" t="s">
        <v>29</v>
      </c>
      <c r="H275" s="430" t="s">
        <v>30</v>
      </c>
      <c r="I275" s="430"/>
      <c r="J275" s="430" t="s">
        <v>30</v>
      </c>
      <c r="K275" s="430">
        <v>68.0</v>
      </c>
      <c r="L275" s="430"/>
      <c r="M275" s="430"/>
      <c r="N275" s="430" t="s">
        <v>161</v>
      </c>
      <c r="O275" s="430">
        <v>2017.0</v>
      </c>
      <c r="P275" s="430" t="s">
        <v>388</v>
      </c>
      <c r="Q275" s="430">
        <v>1.0</v>
      </c>
      <c r="R275" s="471"/>
      <c r="S275" s="3"/>
      <c r="T275" s="3"/>
      <c r="U275" s="3"/>
      <c r="V275" s="3"/>
      <c r="W275" s="3"/>
      <c r="X275" s="3"/>
      <c r="Y275" s="3"/>
      <c r="Z275" s="3"/>
      <c r="AA275" s="3"/>
      <c r="AB275" s="3"/>
      <c r="AC275" s="3"/>
      <c r="AD275" s="3"/>
      <c r="AE275" s="3"/>
      <c r="AF275" s="3"/>
      <c r="AG275" s="3"/>
      <c r="AH275" s="3"/>
      <c r="AI275" s="3"/>
      <c r="AJ275" s="3"/>
      <c r="AK275" s="3"/>
    </row>
    <row r="276" ht="15.75" customHeight="1">
      <c r="A276" s="3"/>
      <c r="B276" s="599"/>
      <c r="C276" s="430"/>
      <c r="D276" s="430" t="s">
        <v>21064</v>
      </c>
      <c r="E276" s="432" t="s">
        <v>21066</v>
      </c>
      <c r="F276" s="430" t="s">
        <v>19069</v>
      </c>
      <c r="G276" s="430" t="s">
        <v>29</v>
      </c>
      <c r="H276" s="430" t="s">
        <v>30</v>
      </c>
      <c r="I276" s="430"/>
      <c r="J276" s="430" t="s">
        <v>30</v>
      </c>
      <c r="K276" s="430">
        <v>68.0</v>
      </c>
      <c r="L276" s="430"/>
      <c r="M276" s="430"/>
      <c r="N276" s="430" t="s">
        <v>161</v>
      </c>
      <c r="O276" s="430">
        <v>2017.0</v>
      </c>
      <c r="P276" s="430" t="s">
        <v>388</v>
      </c>
      <c r="Q276" s="430">
        <v>1.0</v>
      </c>
      <c r="R276" s="471"/>
      <c r="S276" s="3"/>
      <c r="T276" s="3"/>
      <c r="U276" s="3"/>
      <c r="V276" s="3"/>
      <c r="W276" s="3"/>
      <c r="X276" s="3"/>
      <c r="Y276" s="3"/>
      <c r="Z276" s="3"/>
      <c r="AA276" s="3"/>
      <c r="AB276" s="3"/>
      <c r="AC276" s="3"/>
      <c r="AD276" s="3"/>
      <c r="AE276" s="3"/>
      <c r="AF276" s="3"/>
      <c r="AG276" s="3"/>
      <c r="AH276" s="3"/>
      <c r="AI276" s="3"/>
      <c r="AJ276" s="3"/>
      <c r="AK276" s="3"/>
    </row>
    <row r="277" ht="15.75" customHeight="1">
      <c r="A277" s="3"/>
      <c r="B277" s="599"/>
      <c r="C277" s="430"/>
      <c r="D277" s="430" t="s">
        <v>21067</v>
      </c>
      <c r="E277" s="432" t="s">
        <v>21068</v>
      </c>
      <c r="F277" s="430" t="s">
        <v>19069</v>
      </c>
      <c r="G277" s="430" t="s">
        <v>2222</v>
      </c>
      <c r="H277" s="430" t="s">
        <v>30</v>
      </c>
      <c r="I277" s="430"/>
      <c r="J277" s="430" t="s">
        <v>30</v>
      </c>
      <c r="K277" s="430">
        <v>34.0</v>
      </c>
      <c r="L277" s="430"/>
      <c r="M277" s="430"/>
      <c r="N277" s="430" t="s">
        <v>21069</v>
      </c>
      <c r="O277" s="430">
        <v>2017.0</v>
      </c>
      <c r="P277" s="430" t="s">
        <v>388</v>
      </c>
      <c r="Q277" s="430">
        <v>1.0</v>
      </c>
      <c r="R277" s="471"/>
      <c r="S277" s="3"/>
      <c r="T277" s="3"/>
      <c r="U277" s="3"/>
      <c r="V277" s="3"/>
      <c r="W277" s="3"/>
      <c r="X277" s="3"/>
      <c r="Y277" s="3"/>
      <c r="Z277" s="3"/>
      <c r="AA277" s="3"/>
      <c r="AB277" s="3"/>
      <c r="AC277" s="3"/>
      <c r="AD277" s="3"/>
      <c r="AE277" s="3"/>
      <c r="AF277" s="3"/>
      <c r="AG277" s="3"/>
      <c r="AH277" s="3"/>
      <c r="AI277" s="3"/>
      <c r="AJ277" s="3"/>
      <c r="AK277" s="3"/>
    </row>
    <row r="278" ht="15.75" customHeight="1">
      <c r="A278" s="45"/>
      <c r="B278" s="599"/>
      <c r="C278" s="430"/>
      <c r="D278" s="430" t="s">
        <v>21070</v>
      </c>
      <c r="E278" s="432" t="s">
        <v>21071</v>
      </c>
      <c r="F278" s="430" t="s">
        <v>20948</v>
      </c>
      <c r="G278" s="430" t="s">
        <v>29</v>
      </c>
      <c r="H278" s="430" t="s">
        <v>30</v>
      </c>
      <c r="I278" s="430"/>
      <c r="J278" s="430" t="s">
        <v>30</v>
      </c>
      <c r="K278" s="430"/>
      <c r="L278" s="430"/>
      <c r="M278" s="430"/>
      <c r="N278" s="430" t="s">
        <v>12022</v>
      </c>
      <c r="O278" s="430">
        <v>2017.0</v>
      </c>
      <c r="P278" s="430" t="s">
        <v>388</v>
      </c>
      <c r="Q278" s="430">
        <v>1.0</v>
      </c>
      <c r="R278" s="140"/>
      <c r="S278" s="149"/>
      <c r="T278" s="45"/>
      <c r="U278" s="45"/>
      <c r="V278" s="45"/>
      <c r="W278" s="45"/>
      <c r="X278" s="45"/>
      <c r="Y278" s="45"/>
      <c r="Z278" s="45"/>
      <c r="AA278" s="45"/>
      <c r="AB278" s="45"/>
      <c r="AC278" s="45"/>
      <c r="AD278" s="45"/>
      <c r="AE278" s="45"/>
      <c r="AF278" s="45"/>
      <c r="AG278" s="45"/>
      <c r="AH278" s="45"/>
      <c r="AI278" s="45"/>
      <c r="AJ278" s="45"/>
      <c r="AK278" s="45"/>
    </row>
    <row r="279" ht="15.75" customHeight="1">
      <c r="A279" s="45"/>
      <c r="B279" s="599"/>
      <c r="C279" s="430"/>
      <c r="D279" s="430" t="s">
        <v>21072</v>
      </c>
      <c r="E279" s="432" t="s">
        <v>21073</v>
      </c>
      <c r="F279" s="430" t="s">
        <v>19069</v>
      </c>
      <c r="G279" s="430" t="s">
        <v>29</v>
      </c>
      <c r="H279" s="430" t="s">
        <v>30</v>
      </c>
      <c r="I279" s="430"/>
      <c r="J279" s="430" t="s">
        <v>30</v>
      </c>
      <c r="K279" s="430">
        <f t="shared" ref="K279:K281" si="1">80</f>
        <v>80</v>
      </c>
      <c r="L279" s="430"/>
      <c r="M279" s="430"/>
      <c r="N279" s="430" t="s">
        <v>20442</v>
      </c>
      <c r="O279" s="430">
        <v>2017.0</v>
      </c>
      <c r="P279" s="430" t="s">
        <v>388</v>
      </c>
      <c r="Q279" s="430">
        <v>1.0</v>
      </c>
      <c r="R279" s="140"/>
      <c r="S279" s="149"/>
      <c r="T279" s="45"/>
      <c r="U279" s="45"/>
      <c r="V279" s="45"/>
      <c r="W279" s="45"/>
      <c r="X279" s="45"/>
      <c r="Y279" s="45"/>
      <c r="Z279" s="45"/>
      <c r="AA279" s="45"/>
      <c r="AB279" s="45"/>
      <c r="AC279" s="45"/>
      <c r="AD279" s="45"/>
      <c r="AE279" s="45"/>
      <c r="AF279" s="45"/>
      <c r="AG279" s="45"/>
      <c r="AH279" s="45"/>
      <c r="AI279" s="45"/>
      <c r="AJ279" s="45"/>
      <c r="AK279" s="45"/>
    </row>
    <row r="280" ht="15.75" customHeight="1">
      <c r="A280" s="45"/>
      <c r="B280" s="599"/>
      <c r="C280" s="430"/>
      <c r="D280" s="430" t="s">
        <v>21072</v>
      </c>
      <c r="E280" s="432" t="s">
        <v>21074</v>
      </c>
      <c r="F280" s="430" t="s">
        <v>19069</v>
      </c>
      <c r="G280" s="430" t="s">
        <v>29</v>
      </c>
      <c r="H280" s="430" t="s">
        <v>30</v>
      </c>
      <c r="I280" s="430"/>
      <c r="J280" s="430" t="s">
        <v>30</v>
      </c>
      <c r="K280" s="430">
        <f t="shared" si="1"/>
        <v>80</v>
      </c>
      <c r="L280" s="430"/>
      <c r="M280" s="430"/>
      <c r="N280" s="430" t="s">
        <v>20442</v>
      </c>
      <c r="O280" s="430">
        <v>2017.0</v>
      </c>
      <c r="P280" s="430" t="s">
        <v>388</v>
      </c>
      <c r="Q280" s="430">
        <v>1.0</v>
      </c>
      <c r="R280" s="140"/>
      <c r="S280" s="149"/>
      <c r="T280" s="45"/>
      <c r="U280" s="45"/>
      <c r="V280" s="45"/>
      <c r="W280" s="45"/>
      <c r="X280" s="45"/>
      <c r="Y280" s="45"/>
      <c r="Z280" s="45"/>
      <c r="AA280" s="45"/>
      <c r="AB280" s="45"/>
      <c r="AC280" s="45"/>
      <c r="AD280" s="45"/>
      <c r="AE280" s="45"/>
      <c r="AF280" s="45"/>
      <c r="AG280" s="45"/>
      <c r="AH280" s="45"/>
      <c r="AI280" s="45"/>
      <c r="AJ280" s="45"/>
      <c r="AK280" s="45"/>
    </row>
    <row r="281" ht="15.75" customHeight="1">
      <c r="A281" s="45"/>
      <c r="B281" s="599"/>
      <c r="C281" s="430"/>
      <c r="D281" s="430" t="s">
        <v>21072</v>
      </c>
      <c r="E281" s="432" t="s">
        <v>21075</v>
      </c>
      <c r="F281" s="430" t="s">
        <v>19069</v>
      </c>
      <c r="G281" s="430" t="s">
        <v>29</v>
      </c>
      <c r="H281" s="430" t="s">
        <v>30</v>
      </c>
      <c r="I281" s="430"/>
      <c r="J281" s="430" t="s">
        <v>30</v>
      </c>
      <c r="K281" s="430">
        <f t="shared" si="1"/>
        <v>80</v>
      </c>
      <c r="L281" s="430"/>
      <c r="M281" s="430"/>
      <c r="N281" s="430" t="s">
        <v>20442</v>
      </c>
      <c r="O281" s="430">
        <v>2017.0</v>
      </c>
      <c r="P281" s="430" t="s">
        <v>388</v>
      </c>
      <c r="Q281" s="430">
        <v>1.0</v>
      </c>
      <c r="R281" s="140"/>
      <c r="S281" s="149"/>
      <c r="T281" s="45"/>
      <c r="U281" s="45"/>
      <c r="V281" s="45"/>
      <c r="W281" s="45"/>
      <c r="X281" s="45"/>
      <c r="Y281" s="45"/>
      <c r="Z281" s="45"/>
      <c r="AA281" s="45"/>
      <c r="AB281" s="45"/>
      <c r="AC281" s="45"/>
      <c r="AD281" s="45"/>
      <c r="AE281" s="45"/>
      <c r="AF281" s="45"/>
      <c r="AG281" s="45"/>
      <c r="AH281" s="45"/>
      <c r="AI281" s="45"/>
      <c r="AJ281" s="45"/>
      <c r="AK281" s="45"/>
    </row>
    <row r="282" ht="15.75" customHeight="1">
      <c r="A282" s="45"/>
      <c r="B282" s="599"/>
      <c r="C282" s="430"/>
      <c r="D282" s="430" t="s">
        <v>21076</v>
      </c>
      <c r="E282" s="432" t="s">
        <v>21077</v>
      </c>
      <c r="F282" s="430" t="s">
        <v>19069</v>
      </c>
      <c r="G282" s="430" t="s">
        <v>29</v>
      </c>
      <c r="H282" s="430" t="s">
        <v>30</v>
      </c>
      <c r="I282" s="430"/>
      <c r="J282" s="430" t="s">
        <v>30</v>
      </c>
      <c r="K282" s="430">
        <v>34.0</v>
      </c>
      <c r="L282" s="430"/>
      <c r="M282" s="430"/>
      <c r="N282" s="430" t="s">
        <v>21078</v>
      </c>
      <c r="O282" s="430">
        <v>2017.0</v>
      </c>
      <c r="P282" s="430" t="s">
        <v>388</v>
      </c>
      <c r="Q282" s="430">
        <v>1.0</v>
      </c>
      <c r="R282" s="140"/>
      <c r="S282" s="149"/>
      <c r="T282" s="45"/>
      <c r="U282" s="45"/>
      <c r="V282" s="45"/>
      <c r="W282" s="45"/>
      <c r="X282" s="45"/>
      <c r="Y282" s="45"/>
      <c r="Z282" s="45"/>
      <c r="AA282" s="45"/>
      <c r="AB282" s="45"/>
      <c r="AC282" s="45"/>
      <c r="AD282" s="45"/>
      <c r="AE282" s="45"/>
      <c r="AF282" s="45"/>
      <c r="AG282" s="45"/>
      <c r="AH282" s="45"/>
      <c r="AI282" s="45"/>
      <c r="AJ282" s="45"/>
      <c r="AK282" s="45"/>
    </row>
    <row r="283" ht="15.75" customHeight="1">
      <c r="A283" s="45"/>
      <c r="B283" s="599"/>
      <c r="C283" s="430"/>
      <c r="D283" s="430" t="s">
        <v>21076</v>
      </c>
      <c r="E283" s="432" t="s">
        <v>21079</v>
      </c>
      <c r="F283" s="430" t="s">
        <v>19069</v>
      </c>
      <c r="G283" s="430" t="s">
        <v>29</v>
      </c>
      <c r="H283" s="430" t="s">
        <v>30</v>
      </c>
      <c r="I283" s="430"/>
      <c r="J283" s="430" t="s">
        <v>30</v>
      </c>
      <c r="K283" s="430">
        <v>34.0</v>
      </c>
      <c r="L283" s="430"/>
      <c r="M283" s="430"/>
      <c r="N283" s="430" t="s">
        <v>21078</v>
      </c>
      <c r="O283" s="430">
        <v>2017.0</v>
      </c>
      <c r="P283" s="430" t="s">
        <v>388</v>
      </c>
      <c r="Q283" s="430">
        <v>2.0</v>
      </c>
      <c r="R283" s="140"/>
      <c r="S283" s="149"/>
      <c r="T283" s="45"/>
      <c r="U283" s="45"/>
      <c r="V283" s="45"/>
      <c r="W283" s="45"/>
      <c r="X283" s="45"/>
      <c r="Y283" s="45"/>
      <c r="Z283" s="45"/>
      <c r="AA283" s="45"/>
      <c r="AB283" s="45"/>
      <c r="AC283" s="45"/>
      <c r="AD283" s="45"/>
      <c r="AE283" s="45"/>
      <c r="AF283" s="45"/>
      <c r="AG283" s="45"/>
      <c r="AH283" s="45"/>
      <c r="AI283" s="45"/>
      <c r="AJ283" s="45"/>
      <c r="AK283" s="45"/>
    </row>
    <row r="284" ht="15.75" customHeight="1">
      <c r="A284" s="45"/>
      <c r="B284" s="599"/>
      <c r="C284" s="570" t="s">
        <v>21080</v>
      </c>
      <c r="D284" s="430"/>
      <c r="E284" s="928" t="s">
        <v>21081</v>
      </c>
      <c r="F284" s="430" t="s">
        <v>19069</v>
      </c>
      <c r="G284" s="430" t="s">
        <v>29</v>
      </c>
      <c r="H284" s="430" t="s">
        <v>30</v>
      </c>
      <c r="I284" s="430"/>
      <c r="J284" s="430" t="s">
        <v>30</v>
      </c>
      <c r="K284" s="570">
        <v>79.0</v>
      </c>
      <c r="L284" s="430"/>
      <c r="M284" s="430"/>
      <c r="N284" s="570" t="s">
        <v>21082</v>
      </c>
      <c r="O284" s="570">
        <v>1890.0</v>
      </c>
      <c r="P284" s="430"/>
      <c r="Q284" s="570">
        <v>1.0</v>
      </c>
      <c r="R284" s="140"/>
      <c r="S284" s="149"/>
      <c r="T284" s="45"/>
      <c r="U284" s="45"/>
      <c r="V284" s="45"/>
      <c r="W284" s="45"/>
      <c r="X284" s="45"/>
      <c r="Y284" s="45"/>
      <c r="Z284" s="45"/>
      <c r="AA284" s="45"/>
      <c r="AB284" s="45"/>
      <c r="AC284" s="45"/>
      <c r="AD284" s="45"/>
      <c r="AE284" s="45"/>
      <c r="AF284" s="45"/>
      <c r="AG284" s="45"/>
      <c r="AH284" s="45"/>
      <c r="AI284" s="45"/>
      <c r="AJ284" s="45"/>
      <c r="AK284" s="45"/>
    </row>
    <row r="285" ht="15.75" customHeight="1">
      <c r="A285" s="3"/>
      <c r="B285" s="412"/>
      <c r="C285" s="191" t="s">
        <v>21083</v>
      </c>
      <c r="D285" s="186"/>
      <c r="E285" s="35" t="s">
        <v>21081</v>
      </c>
      <c r="F285" s="191" t="s">
        <v>19069</v>
      </c>
      <c r="G285" s="191" t="s">
        <v>29</v>
      </c>
      <c r="H285" s="191" t="s">
        <v>30</v>
      </c>
      <c r="I285" s="186"/>
      <c r="J285" s="191" t="s">
        <v>30</v>
      </c>
      <c r="K285" s="191">
        <v>79.0</v>
      </c>
      <c r="L285" s="186"/>
      <c r="M285" s="186"/>
      <c r="N285" s="191" t="s">
        <v>21082</v>
      </c>
      <c r="O285" s="191">
        <v>2021.0</v>
      </c>
      <c r="P285" s="186"/>
      <c r="Q285" s="191">
        <v>1.0</v>
      </c>
      <c r="R285" s="801">
        <v>1.0</v>
      </c>
      <c r="S285" s="3"/>
      <c r="T285" s="3"/>
      <c r="U285" s="3"/>
      <c r="V285" s="3"/>
      <c r="W285" s="3"/>
      <c r="X285" s="3"/>
      <c r="Y285" s="3"/>
      <c r="Z285" s="3"/>
      <c r="AA285" s="3"/>
      <c r="AB285" s="3"/>
      <c r="AC285" s="3"/>
      <c r="AD285" s="3"/>
      <c r="AE285" s="3"/>
      <c r="AF285" s="3"/>
      <c r="AG285" s="3"/>
      <c r="AH285" s="3"/>
      <c r="AI285" s="3"/>
      <c r="AJ285" s="3"/>
      <c r="AK285" s="3"/>
    </row>
    <row r="286" ht="15.75" customHeight="1">
      <c r="A286" s="3"/>
      <c r="B286" s="412"/>
      <c r="C286" s="191" t="s">
        <v>21083</v>
      </c>
      <c r="D286" s="145"/>
      <c r="E286" s="929" t="s">
        <v>21084</v>
      </c>
      <c r="F286" s="517" t="s">
        <v>19069</v>
      </c>
      <c r="G286" s="517" t="s">
        <v>29</v>
      </c>
      <c r="H286" s="517" t="s">
        <v>30</v>
      </c>
      <c r="I286" s="145"/>
      <c r="J286" s="517" t="s">
        <v>30</v>
      </c>
      <c r="K286" s="517">
        <v>79.0</v>
      </c>
      <c r="L286" s="145"/>
      <c r="M286" s="145"/>
      <c r="N286" s="517" t="s">
        <v>21082</v>
      </c>
      <c r="O286" s="517">
        <v>2020.0</v>
      </c>
      <c r="P286" s="145"/>
      <c r="Q286" s="517">
        <v>1.0</v>
      </c>
      <c r="R286" s="801">
        <v>1.0</v>
      </c>
      <c r="S286" s="3"/>
      <c r="T286" s="3"/>
      <c r="U286" s="3"/>
      <c r="V286" s="3"/>
      <c r="W286" s="3"/>
      <c r="X286" s="3"/>
      <c r="Y286" s="3"/>
      <c r="Z286" s="3"/>
      <c r="AA286" s="3"/>
      <c r="AB286" s="3"/>
      <c r="AC286" s="3"/>
      <c r="AD286" s="3"/>
      <c r="AE286" s="3"/>
      <c r="AF286" s="3"/>
      <c r="AG286" s="3"/>
      <c r="AH286" s="3"/>
      <c r="AI286" s="3"/>
      <c r="AJ286" s="3"/>
      <c r="AK286" s="3"/>
    </row>
    <row r="287" ht="15.75" customHeight="1">
      <c r="A287" s="3"/>
      <c r="B287" s="412"/>
      <c r="C287" s="191" t="s">
        <v>21083</v>
      </c>
      <c r="D287" s="145"/>
      <c r="E287" s="929" t="s">
        <v>21085</v>
      </c>
      <c r="F287" s="517" t="s">
        <v>19069</v>
      </c>
      <c r="G287" s="517" t="s">
        <v>29</v>
      </c>
      <c r="H287" s="517" t="s">
        <v>30</v>
      </c>
      <c r="I287" s="145"/>
      <c r="J287" s="517" t="s">
        <v>30</v>
      </c>
      <c r="K287" s="517">
        <v>79.0</v>
      </c>
      <c r="L287" s="145"/>
      <c r="M287" s="145"/>
      <c r="N287" s="517" t="s">
        <v>21082</v>
      </c>
      <c r="O287" s="517">
        <v>2020.0</v>
      </c>
      <c r="P287" s="145"/>
      <c r="Q287" s="517">
        <v>1.0</v>
      </c>
      <c r="R287" s="801">
        <v>1.0</v>
      </c>
      <c r="S287" s="3"/>
      <c r="T287" s="3"/>
      <c r="U287" s="3"/>
      <c r="V287" s="3"/>
      <c r="W287" s="3"/>
      <c r="X287" s="3"/>
      <c r="Y287" s="3"/>
      <c r="Z287" s="3"/>
      <c r="AA287" s="3"/>
      <c r="AB287" s="3"/>
      <c r="AC287" s="3"/>
      <c r="AD287" s="3"/>
      <c r="AE287" s="3"/>
      <c r="AF287" s="3"/>
      <c r="AG287" s="3"/>
      <c r="AH287" s="3"/>
      <c r="AI287" s="3"/>
      <c r="AJ287" s="3"/>
      <c r="AK287" s="3"/>
    </row>
    <row r="288" ht="15.75" customHeight="1">
      <c r="A288" s="3"/>
      <c r="B288" s="412"/>
      <c r="C288" s="191" t="s">
        <v>21083</v>
      </c>
      <c r="D288" s="145"/>
      <c r="E288" s="929" t="s">
        <v>21086</v>
      </c>
      <c r="F288" s="517" t="s">
        <v>19069</v>
      </c>
      <c r="G288" s="517" t="s">
        <v>29</v>
      </c>
      <c r="H288" s="517" t="s">
        <v>30</v>
      </c>
      <c r="I288" s="145"/>
      <c r="J288" s="517" t="s">
        <v>30</v>
      </c>
      <c r="K288" s="517">
        <v>79.0</v>
      </c>
      <c r="L288" s="145"/>
      <c r="M288" s="145"/>
      <c r="N288" s="517" t="s">
        <v>21082</v>
      </c>
      <c r="O288" s="517">
        <v>2021.0</v>
      </c>
      <c r="P288" s="145"/>
      <c r="Q288" s="517">
        <v>1.0</v>
      </c>
      <c r="R288" s="801">
        <v>1.0</v>
      </c>
      <c r="S288" s="3"/>
      <c r="T288" s="3"/>
      <c r="U288" s="3"/>
      <c r="V288" s="3"/>
      <c r="W288" s="3"/>
      <c r="X288" s="3"/>
      <c r="Y288" s="3"/>
      <c r="Z288" s="3"/>
      <c r="AA288" s="3"/>
      <c r="AB288" s="3"/>
      <c r="AC288" s="3"/>
      <c r="AD288" s="3"/>
      <c r="AE288" s="3"/>
      <c r="AF288" s="3"/>
      <c r="AG288" s="3"/>
      <c r="AH288" s="3"/>
      <c r="AI288" s="3"/>
      <c r="AJ288" s="3"/>
      <c r="AK288" s="3"/>
    </row>
    <row r="289" ht="15.75" customHeight="1">
      <c r="A289" s="3"/>
      <c r="B289" s="412"/>
      <c r="C289" s="191" t="s">
        <v>21083</v>
      </c>
      <c r="D289" s="145"/>
      <c r="E289" s="929" t="s">
        <v>21087</v>
      </c>
      <c r="F289" s="517" t="s">
        <v>19069</v>
      </c>
      <c r="G289" s="517" t="s">
        <v>29</v>
      </c>
      <c r="H289" s="517" t="s">
        <v>30</v>
      </c>
      <c r="I289" s="145"/>
      <c r="J289" s="517" t="s">
        <v>30</v>
      </c>
      <c r="K289" s="517">
        <v>79.0</v>
      </c>
      <c r="L289" s="145"/>
      <c r="M289" s="145"/>
      <c r="N289" s="517" t="s">
        <v>21082</v>
      </c>
      <c r="O289" s="517">
        <v>2021.0</v>
      </c>
      <c r="P289" s="145"/>
      <c r="Q289" s="517">
        <v>1.0</v>
      </c>
      <c r="R289" s="801">
        <v>1.0</v>
      </c>
      <c r="S289" s="3"/>
      <c r="T289" s="3"/>
      <c r="U289" s="3"/>
      <c r="V289" s="3"/>
      <c r="W289" s="3"/>
      <c r="X289" s="3"/>
      <c r="Y289" s="3"/>
      <c r="Z289" s="3"/>
      <c r="AA289" s="3"/>
      <c r="AB289" s="3"/>
      <c r="AC289" s="3"/>
      <c r="AD289" s="3"/>
      <c r="AE289" s="3"/>
      <c r="AF289" s="3"/>
      <c r="AG289" s="3"/>
      <c r="AH289" s="3"/>
      <c r="AI289" s="3"/>
      <c r="AJ289" s="3"/>
      <c r="AK289" s="3"/>
    </row>
    <row r="290" ht="15.75" customHeight="1">
      <c r="A290" s="3"/>
      <c r="B290" s="412"/>
      <c r="C290" s="191" t="s">
        <v>21083</v>
      </c>
      <c r="D290" s="145"/>
      <c r="E290" s="929" t="s">
        <v>21088</v>
      </c>
      <c r="F290" s="517" t="s">
        <v>19069</v>
      </c>
      <c r="G290" s="517" t="s">
        <v>29</v>
      </c>
      <c r="H290" s="517" t="s">
        <v>30</v>
      </c>
      <c r="I290" s="145"/>
      <c r="J290" s="517" t="s">
        <v>30</v>
      </c>
      <c r="K290" s="517">
        <v>79.0</v>
      </c>
      <c r="L290" s="145"/>
      <c r="M290" s="145"/>
      <c r="N290" s="517" t="s">
        <v>21082</v>
      </c>
      <c r="O290" s="517">
        <v>2021.0</v>
      </c>
      <c r="P290" s="145"/>
      <c r="Q290" s="517">
        <v>1.0</v>
      </c>
      <c r="R290" s="801">
        <v>1.0</v>
      </c>
      <c r="S290" s="3"/>
      <c r="T290" s="3"/>
      <c r="U290" s="3"/>
      <c r="V290" s="3"/>
      <c r="W290" s="3"/>
      <c r="X290" s="3"/>
      <c r="Y290" s="3"/>
      <c r="Z290" s="3"/>
      <c r="AA290" s="3"/>
      <c r="AB290" s="3"/>
      <c r="AC290" s="3"/>
      <c r="AD290" s="3"/>
      <c r="AE290" s="3"/>
      <c r="AF290" s="3"/>
      <c r="AG290" s="3"/>
      <c r="AH290" s="3"/>
      <c r="AI290" s="3"/>
      <c r="AJ290" s="3"/>
      <c r="AK290" s="3"/>
    </row>
    <row r="291" ht="15.75" customHeight="1">
      <c r="A291" s="3"/>
      <c r="B291" s="412"/>
      <c r="C291" s="191" t="s">
        <v>21083</v>
      </c>
      <c r="D291" s="145"/>
      <c r="E291" s="929" t="s">
        <v>21089</v>
      </c>
      <c r="F291" s="517" t="s">
        <v>19069</v>
      </c>
      <c r="G291" s="517" t="s">
        <v>29</v>
      </c>
      <c r="H291" s="517" t="s">
        <v>30</v>
      </c>
      <c r="I291" s="145"/>
      <c r="J291" s="517" t="s">
        <v>30</v>
      </c>
      <c r="K291" s="517">
        <v>79.0</v>
      </c>
      <c r="L291" s="145"/>
      <c r="M291" s="145"/>
      <c r="N291" s="517" t="s">
        <v>21082</v>
      </c>
      <c r="O291" s="517">
        <v>2021.0</v>
      </c>
      <c r="P291" s="145"/>
      <c r="Q291" s="517">
        <v>1.0</v>
      </c>
      <c r="R291" s="801">
        <v>1.0</v>
      </c>
      <c r="S291" s="3"/>
      <c r="T291" s="3"/>
      <c r="U291" s="3"/>
      <c r="V291" s="3"/>
      <c r="W291" s="3"/>
      <c r="X291" s="3"/>
      <c r="Y291" s="3"/>
      <c r="Z291" s="3"/>
      <c r="AA291" s="3"/>
      <c r="AB291" s="3"/>
      <c r="AC291" s="3"/>
      <c r="AD291" s="3"/>
      <c r="AE291" s="3"/>
      <c r="AF291" s="3"/>
      <c r="AG291" s="3"/>
      <c r="AH291" s="3"/>
      <c r="AI291" s="3"/>
      <c r="AJ291" s="3"/>
      <c r="AK291" s="3"/>
    </row>
    <row r="292" ht="15.75" customHeight="1">
      <c r="A292" s="3"/>
      <c r="B292" s="412"/>
      <c r="C292" s="191" t="s">
        <v>21083</v>
      </c>
      <c r="D292" s="145"/>
      <c r="E292" s="929" t="s">
        <v>21090</v>
      </c>
      <c r="F292" s="517" t="s">
        <v>19069</v>
      </c>
      <c r="G292" s="517" t="s">
        <v>29</v>
      </c>
      <c r="H292" s="517" t="s">
        <v>30</v>
      </c>
      <c r="I292" s="145"/>
      <c r="J292" s="517" t="s">
        <v>30</v>
      </c>
      <c r="K292" s="517">
        <v>79.0</v>
      </c>
      <c r="L292" s="145"/>
      <c r="M292" s="145"/>
      <c r="N292" s="517" t="s">
        <v>21082</v>
      </c>
      <c r="O292" s="517">
        <v>2021.0</v>
      </c>
      <c r="P292" s="145"/>
      <c r="Q292" s="517">
        <v>1.0</v>
      </c>
      <c r="R292" s="801">
        <v>1.0</v>
      </c>
      <c r="S292" s="3"/>
      <c r="T292" s="3"/>
      <c r="U292" s="3"/>
      <c r="V292" s="3"/>
      <c r="W292" s="3"/>
      <c r="X292" s="3"/>
      <c r="Y292" s="3"/>
      <c r="Z292" s="3"/>
      <c r="AA292" s="3"/>
      <c r="AB292" s="3"/>
      <c r="AC292" s="3"/>
      <c r="AD292" s="3"/>
      <c r="AE292" s="3"/>
      <c r="AF292" s="3"/>
      <c r="AG292" s="3"/>
      <c r="AH292" s="3"/>
      <c r="AI292" s="3"/>
      <c r="AJ292" s="3"/>
      <c r="AK292" s="3"/>
    </row>
    <row r="293" ht="15.75" customHeight="1">
      <c r="A293" s="3"/>
      <c r="B293" s="412"/>
      <c r="C293" s="191" t="s">
        <v>21083</v>
      </c>
      <c r="D293" s="145"/>
      <c r="E293" s="929" t="s">
        <v>21091</v>
      </c>
      <c r="F293" s="517" t="s">
        <v>19069</v>
      </c>
      <c r="G293" s="517" t="s">
        <v>29</v>
      </c>
      <c r="H293" s="517" t="s">
        <v>30</v>
      </c>
      <c r="I293" s="145"/>
      <c r="J293" s="517" t="s">
        <v>30</v>
      </c>
      <c r="K293" s="517">
        <v>79.0</v>
      </c>
      <c r="L293" s="145"/>
      <c r="M293" s="145"/>
      <c r="N293" s="517" t="s">
        <v>21082</v>
      </c>
      <c r="O293" s="517">
        <v>2021.0</v>
      </c>
      <c r="P293" s="145"/>
      <c r="Q293" s="517">
        <v>1.0</v>
      </c>
      <c r="R293" s="801">
        <v>1.0</v>
      </c>
      <c r="S293" s="3"/>
      <c r="T293" s="3"/>
      <c r="U293" s="3"/>
      <c r="V293" s="3"/>
      <c r="W293" s="3"/>
      <c r="X293" s="3"/>
      <c r="Y293" s="3"/>
      <c r="Z293" s="3"/>
      <c r="AA293" s="3"/>
      <c r="AB293" s="3"/>
      <c r="AC293" s="3"/>
      <c r="AD293" s="3"/>
      <c r="AE293" s="3"/>
      <c r="AF293" s="3"/>
      <c r="AG293" s="3"/>
      <c r="AH293" s="3"/>
      <c r="AI293" s="3"/>
      <c r="AJ293" s="3"/>
      <c r="AK293" s="3"/>
    </row>
    <row r="294" ht="15.75" customHeight="1">
      <c r="A294" s="3"/>
      <c r="B294" s="412"/>
      <c r="C294" s="191" t="s">
        <v>21083</v>
      </c>
      <c r="D294" s="145"/>
      <c r="E294" s="929" t="s">
        <v>21092</v>
      </c>
      <c r="F294" s="517" t="s">
        <v>19069</v>
      </c>
      <c r="G294" s="517" t="s">
        <v>29</v>
      </c>
      <c r="H294" s="517" t="s">
        <v>30</v>
      </c>
      <c r="I294" s="145"/>
      <c r="J294" s="517" t="s">
        <v>30</v>
      </c>
      <c r="K294" s="517">
        <v>79.0</v>
      </c>
      <c r="L294" s="145"/>
      <c r="M294" s="145"/>
      <c r="N294" s="517" t="s">
        <v>21082</v>
      </c>
      <c r="O294" s="517">
        <v>2021.0</v>
      </c>
      <c r="P294" s="145"/>
      <c r="Q294" s="517">
        <v>1.0</v>
      </c>
      <c r="R294" s="801">
        <v>1.0</v>
      </c>
      <c r="S294" s="3"/>
      <c r="T294" s="3"/>
      <c r="U294" s="3"/>
      <c r="V294" s="3"/>
      <c r="W294" s="3"/>
      <c r="X294" s="3"/>
      <c r="Y294" s="3"/>
      <c r="Z294" s="3"/>
      <c r="AA294" s="3"/>
      <c r="AB294" s="3"/>
      <c r="AC294" s="3"/>
      <c r="AD294" s="3"/>
      <c r="AE294" s="3"/>
      <c r="AF294" s="3"/>
      <c r="AG294" s="3"/>
      <c r="AH294" s="3"/>
      <c r="AI294" s="3"/>
      <c r="AJ294" s="3"/>
      <c r="AK294" s="3"/>
    </row>
    <row r="295" ht="15.75" customHeight="1">
      <c r="A295" s="3"/>
      <c r="B295" s="412"/>
      <c r="C295" s="191" t="s">
        <v>21083</v>
      </c>
      <c r="D295" s="145"/>
      <c r="E295" s="929" t="s">
        <v>21093</v>
      </c>
      <c r="F295" s="517" t="s">
        <v>19069</v>
      </c>
      <c r="G295" s="517" t="s">
        <v>29</v>
      </c>
      <c r="H295" s="517" t="s">
        <v>30</v>
      </c>
      <c r="I295" s="145"/>
      <c r="J295" s="517" t="s">
        <v>30</v>
      </c>
      <c r="K295" s="517">
        <v>79.0</v>
      </c>
      <c r="L295" s="145"/>
      <c r="M295" s="145"/>
      <c r="N295" s="517" t="s">
        <v>21082</v>
      </c>
      <c r="O295" s="517">
        <v>2021.0</v>
      </c>
      <c r="P295" s="145"/>
      <c r="Q295" s="517">
        <v>2.0</v>
      </c>
      <c r="R295" s="801">
        <v>2.0</v>
      </c>
      <c r="S295" s="3"/>
      <c r="T295" s="3"/>
      <c r="U295" s="3"/>
      <c r="V295" s="3"/>
      <c r="W295" s="3"/>
      <c r="X295" s="3"/>
      <c r="Y295" s="3"/>
      <c r="Z295" s="3"/>
      <c r="AA295" s="3"/>
      <c r="AB295" s="3"/>
      <c r="AC295" s="3"/>
      <c r="AD295" s="3"/>
      <c r="AE295" s="3"/>
      <c r="AF295" s="3"/>
      <c r="AG295" s="3"/>
      <c r="AH295" s="3"/>
      <c r="AI295" s="3"/>
      <c r="AJ295" s="3"/>
      <c r="AK295" s="3"/>
    </row>
    <row r="296" ht="15.75" customHeight="1">
      <c r="A296" s="3"/>
      <c r="B296" s="412"/>
      <c r="C296" s="191" t="s">
        <v>21083</v>
      </c>
      <c r="D296" s="145"/>
      <c r="E296" s="929" t="s">
        <v>21094</v>
      </c>
      <c r="F296" s="517" t="s">
        <v>19069</v>
      </c>
      <c r="G296" s="517" t="s">
        <v>29</v>
      </c>
      <c r="H296" s="517" t="s">
        <v>30</v>
      </c>
      <c r="I296" s="145"/>
      <c r="J296" s="517" t="s">
        <v>30</v>
      </c>
      <c r="K296" s="517">
        <v>79.0</v>
      </c>
      <c r="L296" s="145"/>
      <c r="M296" s="145"/>
      <c r="N296" s="517" t="s">
        <v>21082</v>
      </c>
      <c r="O296" s="517">
        <v>2022.0</v>
      </c>
      <c r="P296" s="145"/>
      <c r="Q296" s="517">
        <v>1.0</v>
      </c>
      <c r="R296" s="801">
        <v>1.0</v>
      </c>
      <c r="S296" s="3"/>
      <c r="T296" s="3"/>
      <c r="U296" s="3"/>
      <c r="V296" s="3"/>
      <c r="W296" s="3"/>
      <c r="X296" s="3"/>
      <c r="Y296" s="3"/>
      <c r="Z296" s="3"/>
      <c r="AA296" s="3"/>
      <c r="AB296" s="3"/>
      <c r="AC296" s="3"/>
      <c r="AD296" s="3"/>
      <c r="AE296" s="3"/>
      <c r="AF296" s="3"/>
      <c r="AG296" s="3"/>
      <c r="AH296" s="3"/>
      <c r="AI296" s="3"/>
      <c r="AJ296" s="3"/>
      <c r="AK296" s="3"/>
    </row>
    <row r="297" ht="15.75" customHeight="1">
      <c r="A297" s="3"/>
      <c r="B297" s="412"/>
      <c r="C297" s="191" t="s">
        <v>21083</v>
      </c>
      <c r="D297" s="145"/>
      <c r="E297" s="929" t="s">
        <v>21095</v>
      </c>
      <c r="F297" s="517" t="s">
        <v>19069</v>
      </c>
      <c r="G297" s="517" t="s">
        <v>29</v>
      </c>
      <c r="H297" s="517" t="s">
        <v>30</v>
      </c>
      <c r="I297" s="145"/>
      <c r="J297" s="517" t="s">
        <v>30</v>
      </c>
      <c r="K297" s="517">
        <v>79.0</v>
      </c>
      <c r="L297" s="145"/>
      <c r="M297" s="145"/>
      <c r="N297" s="517" t="s">
        <v>21082</v>
      </c>
      <c r="O297" s="517">
        <v>2022.0</v>
      </c>
      <c r="P297" s="145"/>
      <c r="Q297" s="517">
        <v>1.0</v>
      </c>
      <c r="R297" s="801">
        <v>1.0</v>
      </c>
      <c r="S297" s="3"/>
      <c r="T297" s="3"/>
      <c r="U297" s="3"/>
      <c r="V297" s="3"/>
      <c r="W297" s="3"/>
      <c r="X297" s="3"/>
      <c r="Y297" s="3"/>
      <c r="Z297" s="3"/>
      <c r="AA297" s="3"/>
      <c r="AB297" s="3"/>
      <c r="AC297" s="3"/>
      <c r="AD297" s="3"/>
      <c r="AE297" s="3"/>
      <c r="AF297" s="3"/>
      <c r="AG297" s="3"/>
      <c r="AH297" s="3"/>
      <c r="AI297" s="3"/>
      <c r="AJ297" s="3"/>
      <c r="AK297" s="3"/>
    </row>
    <row r="298" ht="15.75" customHeight="1">
      <c r="A298" s="3"/>
      <c r="B298" s="412"/>
      <c r="C298" s="191" t="s">
        <v>21083</v>
      </c>
      <c r="D298" s="145"/>
      <c r="E298" s="929" t="s">
        <v>21096</v>
      </c>
      <c r="F298" s="517" t="s">
        <v>19069</v>
      </c>
      <c r="G298" s="517" t="s">
        <v>29</v>
      </c>
      <c r="H298" s="517" t="s">
        <v>30</v>
      </c>
      <c r="I298" s="145"/>
      <c r="J298" s="517" t="s">
        <v>30</v>
      </c>
      <c r="K298" s="517">
        <v>79.0</v>
      </c>
      <c r="L298" s="145"/>
      <c r="M298" s="145"/>
      <c r="N298" s="517" t="s">
        <v>21082</v>
      </c>
      <c r="O298" s="517">
        <v>2022.0</v>
      </c>
      <c r="P298" s="145"/>
      <c r="Q298" s="517">
        <v>1.0</v>
      </c>
      <c r="R298" s="801">
        <v>1.0</v>
      </c>
      <c r="S298" s="3"/>
      <c r="T298" s="3"/>
      <c r="U298" s="3"/>
      <c r="V298" s="3"/>
      <c r="W298" s="3"/>
      <c r="X298" s="3"/>
      <c r="Y298" s="3"/>
      <c r="Z298" s="3"/>
      <c r="AA298" s="3"/>
      <c r="AB298" s="3"/>
      <c r="AC298" s="3"/>
      <c r="AD298" s="3"/>
      <c r="AE298" s="3"/>
      <c r="AF298" s="3"/>
      <c r="AG298" s="3"/>
      <c r="AH298" s="3"/>
      <c r="AI298" s="3"/>
      <c r="AJ298" s="3"/>
      <c r="AK298" s="3"/>
    </row>
    <row r="299" ht="15.75" customHeight="1">
      <c r="A299" s="3"/>
      <c r="B299" s="412"/>
      <c r="C299" s="191" t="s">
        <v>21083</v>
      </c>
      <c r="D299" s="145"/>
      <c r="E299" s="929" t="s">
        <v>21097</v>
      </c>
      <c r="F299" s="517" t="s">
        <v>19069</v>
      </c>
      <c r="G299" s="517" t="s">
        <v>29</v>
      </c>
      <c r="H299" s="517" t="s">
        <v>30</v>
      </c>
      <c r="I299" s="145"/>
      <c r="J299" s="517" t="s">
        <v>30</v>
      </c>
      <c r="K299" s="517">
        <v>78.0</v>
      </c>
      <c r="L299" s="145"/>
      <c r="M299" s="145"/>
      <c r="N299" s="517" t="s">
        <v>21082</v>
      </c>
      <c r="O299" s="517">
        <v>2022.0</v>
      </c>
      <c r="P299" s="145"/>
      <c r="Q299" s="517">
        <v>1.0</v>
      </c>
      <c r="R299" s="801">
        <v>1.0</v>
      </c>
      <c r="S299" s="3"/>
      <c r="T299" s="3"/>
      <c r="U299" s="3"/>
      <c r="V299" s="3"/>
      <c r="W299" s="3"/>
      <c r="X299" s="3"/>
      <c r="Y299" s="3"/>
      <c r="Z299" s="3"/>
      <c r="AA299" s="3"/>
      <c r="AB299" s="3"/>
      <c r="AC299" s="3"/>
      <c r="AD299" s="3"/>
      <c r="AE299" s="3"/>
      <c r="AF299" s="3"/>
      <c r="AG299" s="3"/>
      <c r="AH299" s="3"/>
      <c r="AI299" s="3"/>
      <c r="AJ299" s="3"/>
      <c r="AK299" s="3"/>
    </row>
    <row r="300" ht="15.75" customHeight="1">
      <c r="A300" s="3"/>
      <c r="B300" s="412"/>
      <c r="C300" s="191" t="s">
        <v>21083</v>
      </c>
      <c r="D300" s="145"/>
      <c r="E300" s="929" t="s">
        <v>21098</v>
      </c>
      <c r="F300" s="517" t="s">
        <v>19069</v>
      </c>
      <c r="G300" s="517" t="s">
        <v>29</v>
      </c>
      <c r="H300" s="517" t="s">
        <v>30</v>
      </c>
      <c r="I300" s="145"/>
      <c r="J300" s="517" t="s">
        <v>30</v>
      </c>
      <c r="K300" s="517">
        <v>78.0</v>
      </c>
      <c r="L300" s="145"/>
      <c r="M300" s="145"/>
      <c r="N300" s="517" t="s">
        <v>21082</v>
      </c>
      <c r="O300" s="517">
        <v>2022.0</v>
      </c>
      <c r="P300" s="145"/>
      <c r="Q300" s="517">
        <v>1.0</v>
      </c>
      <c r="R300" s="801">
        <v>1.0</v>
      </c>
      <c r="S300" s="3"/>
      <c r="T300" s="3"/>
      <c r="U300" s="3"/>
      <c r="V300" s="3"/>
      <c r="W300" s="3"/>
      <c r="X300" s="3"/>
      <c r="Y300" s="3"/>
      <c r="Z300" s="3"/>
      <c r="AA300" s="3"/>
      <c r="AB300" s="3"/>
      <c r="AC300" s="3"/>
      <c r="AD300" s="3"/>
      <c r="AE300" s="3"/>
      <c r="AF300" s="3"/>
      <c r="AG300" s="3"/>
      <c r="AH300" s="3"/>
      <c r="AI300" s="3"/>
      <c r="AJ300" s="3"/>
      <c r="AK300" s="3"/>
    </row>
    <row r="301" ht="15.75" customHeight="1">
      <c r="A301" s="3"/>
      <c r="B301" s="412"/>
      <c r="C301" s="191" t="s">
        <v>21083</v>
      </c>
      <c r="D301" s="145"/>
      <c r="E301" s="929" t="s">
        <v>21099</v>
      </c>
      <c r="F301" s="517" t="s">
        <v>19069</v>
      </c>
      <c r="G301" s="517" t="s">
        <v>29</v>
      </c>
      <c r="H301" s="517" t="s">
        <v>30</v>
      </c>
      <c r="I301" s="145"/>
      <c r="J301" s="517" t="s">
        <v>30</v>
      </c>
      <c r="K301" s="517">
        <v>78.0</v>
      </c>
      <c r="L301" s="145"/>
      <c r="M301" s="145"/>
      <c r="N301" s="517" t="s">
        <v>21082</v>
      </c>
      <c r="O301" s="517">
        <v>2022.0</v>
      </c>
      <c r="P301" s="145"/>
      <c r="Q301" s="517">
        <v>1.0</v>
      </c>
      <c r="R301" s="801">
        <v>1.0</v>
      </c>
      <c r="S301" s="3"/>
      <c r="T301" s="3"/>
      <c r="U301" s="3"/>
      <c r="V301" s="3"/>
      <c r="W301" s="3"/>
      <c r="X301" s="3"/>
      <c r="Y301" s="3"/>
      <c r="Z301" s="3"/>
      <c r="AA301" s="3"/>
      <c r="AB301" s="3"/>
      <c r="AC301" s="3"/>
      <c r="AD301" s="3"/>
      <c r="AE301" s="3"/>
      <c r="AF301" s="3"/>
      <c r="AG301" s="3"/>
      <c r="AH301" s="3"/>
      <c r="AI301" s="3"/>
      <c r="AJ301" s="3"/>
      <c r="AK301" s="3"/>
    </row>
    <row r="302" ht="15.75" customHeight="1">
      <c r="A302" s="3"/>
      <c r="B302" s="412"/>
      <c r="C302" s="191" t="s">
        <v>21083</v>
      </c>
      <c r="D302" s="145"/>
      <c r="E302" s="929" t="s">
        <v>21099</v>
      </c>
      <c r="F302" s="517" t="s">
        <v>19069</v>
      </c>
      <c r="G302" s="517" t="s">
        <v>29</v>
      </c>
      <c r="H302" s="517" t="s">
        <v>30</v>
      </c>
      <c r="I302" s="145"/>
      <c r="J302" s="517" t="s">
        <v>30</v>
      </c>
      <c r="K302" s="517">
        <v>78.0</v>
      </c>
      <c r="L302" s="145"/>
      <c r="M302" s="145"/>
      <c r="N302" s="517" t="s">
        <v>21082</v>
      </c>
      <c r="O302" s="517">
        <v>2022.0</v>
      </c>
      <c r="P302" s="145"/>
      <c r="Q302" s="517">
        <v>1.0</v>
      </c>
      <c r="R302" s="801">
        <v>1.0</v>
      </c>
      <c r="S302" s="3"/>
      <c r="T302" s="3"/>
      <c r="U302" s="3"/>
      <c r="V302" s="3"/>
      <c r="W302" s="3"/>
      <c r="X302" s="3"/>
      <c r="Y302" s="3"/>
      <c r="Z302" s="3"/>
      <c r="AA302" s="3"/>
      <c r="AB302" s="3"/>
      <c r="AC302" s="3"/>
      <c r="AD302" s="3"/>
      <c r="AE302" s="3"/>
      <c r="AF302" s="3"/>
      <c r="AG302" s="3"/>
      <c r="AH302" s="3"/>
      <c r="AI302" s="3"/>
      <c r="AJ302" s="3"/>
      <c r="AK302" s="3"/>
    </row>
    <row r="303" ht="15.75" customHeight="1">
      <c r="A303" s="3"/>
      <c r="B303" s="930"/>
      <c r="C303" s="931"/>
      <c r="D303" s="932" t="s">
        <v>21057</v>
      </c>
      <c r="E303" s="933" t="s">
        <v>21100</v>
      </c>
      <c r="F303" s="932" t="s">
        <v>19069</v>
      </c>
      <c r="G303" s="932" t="s">
        <v>29</v>
      </c>
      <c r="H303" s="932" t="s">
        <v>30</v>
      </c>
      <c r="I303" s="934"/>
      <c r="J303" s="932" t="s">
        <v>30</v>
      </c>
      <c r="K303" s="932">
        <v>88.0</v>
      </c>
      <c r="L303" s="935"/>
      <c r="M303" s="935"/>
      <c r="N303" s="932" t="s">
        <v>20446</v>
      </c>
      <c r="O303" s="932">
        <v>2020.0</v>
      </c>
      <c r="P303" s="935"/>
      <c r="Q303" s="932">
        <v>1.0</v>
      </c>
      <c r="R303" s="801">
        <v>1.0</v>
      </c>
      <c r="S303" s="3"/>
      <c r="T303" s="3"/>
      <c r="U303" s="3"/>
      <c r="V303" s="3"/>
      <c r="W303" s="3"/>
      <c r="X303" s="3"/>
      <c r="Y303" s="3"/>
      <c r="Z303" s="3"/>
      <c r="AA303" s="3"/>
      <c r="AB303" s="3"/>
      <c r="AC303" s="3"/>
      <c r="AD303" s="3"/>
      <c r="AE303" s="3"/>
      <c r="AF303" s="3"/>
      <c r="AG303" s="3"/>
      <c r="AH303" s="3"/>
      <c r="AI303" s="3"/>
      <c r="AJ303" s="3"/>
      <c r="AK303" s="3"/>
    </row>
    <row r="304" ht="15.75" customHeight="1">
      <c r="A304" s="3"/>
      <c r="B304" s="930"/>
      <c r="C304" s="931"/>
      <c r="D304" s="932" t="s">
        <v>21057</v>
      </c>
      <c r="E304" s="933" t="s">
        <v>21101</v>
      </c>
      <c r="F304" s="932" t="s">
        <v>19069</v>
      </c>
      <c r="G304" s="932" t="s">
        <v>29</v>
      </c>
      <c r="H304" s="932" t="s">
        <v>30</v>
      </c>
      <c r="I304" s="934"/>
      <c r="J304" s="932" t="s">
        <v>30</v>
      </c>
      <c r="K304" s="932">
        <v>88.0</v>
      </c>
      <c r="L304" s="935"/>
      <c r="M304" s="935"/>
      <c r="N304" s="932" t="s">
        <v>20446</v>
      </c>
      <c r="O304" s="932">
        <v>2020.0</v>
      </c>
      <c r="P304" s="935"/>
      <c r="Q304" s="932">
        <v>1.0</v>
      </c>
      <c r="R304" s="801">
        <v>1.0</v>
      </c>
      <c r="S304" s="3"/>
      <c r="T304" s="3"/>
      <c r="U304" s="3"/>
      <c r="V304" s="3"/>
      <c r="W304" s="3"/>
      <c r="X304" s="3"/>
      <c r="Y304" s="3"/>
      <c r="Z304" s="3"/>
      <c r="AA304" s="3"/>
      <c r="AB304" s="3"/>
      <c r="AC304" s="3"/>
      <c r="AD304" s="3"/>
      <c r="AE304" s="3"/>
      <c r="AF304" s="3"/>
      <c r="AG304" s="3"/>
      <c r="AH304" s="3"/>
      <c r="AI304" s="3"/>
      <c r="AJ304" s="3"/>
      <c r="AK304" s="3"/>
    </row>
    <row r="305" ht="15.75" customHeight="1">
      <c r="A305" s="3"/>
      <c r="B305" s="930"/>
      <c r="C305" s="931"/>
      <c r="D305" s="934" t="s">
        <v>20444</v>
      </c>
      <c r="E305" s="933" t="s">
        <v>21102</v>
      </c>
      <c r="F305" s="932" t="s">
        <v>19069</v>
      </c>
      <c r="G305" s="934" t="s">
        <v>29</v>
      </c>
      <c r="H305" s="934" t="s">
        <v>30</v>
      </c>
      <c r="I305" s="934"/>
      <c r="J305" s="934" t="s">
        <v>30</v>
      </c>
      <c r="K305" s="932">
        <v>88.0</v>
      </c>
      <c r="L305" s="935"/>
      <c r="M305" s="935"/>
      <c r="N305" s="934" t="s">
        <v>20446</v>
      </c>
      <c r="O305" s="932">
        <v>2021.0</v>
      </c>
      <c r="P305" s="935"/>
      <c r="Q305" s="934">
        <v>1.0</v>
      </c>
      <c r="R305" s="801">
        <v>1.0</v>
      </c>
      <c r="S305" s="3"/>
      <c r="T305" s="3"/>
      <c r="U305" s="3"/>
      <c r="V305" s="3"/>
      <c r="W305" s="3"/>
      <c r="X305" s="3"/>
      <c r="Y305" s="3"/>
      <c r="Z305" s="3"/>
      <c r="AA305" s="3"/>
      <c r="AB305" s="3"/>
      <c r="AC305" s="3"/>
      <c r="AD305" s="3"/>
      <c r="AE305" s="3"/>
      <c r="AF305" s="3"/>
      <c r="AG305" s="3"/>
      <c r="AH305" s="3"/>
      <c r="AI305" s="3"/>
      <c r="AJ305" s="3"/>
      <c r="AK305" s="3"/>
    </row>
    <row r="306" ht="15.75" customHeight="1">
      <c r="A306" s="3"/>
      <c r="B306" s="930"/>
      <c r="C306" s="931"/>
      <c r="D306" s="932" t="s">
        <v>21057</v>
      </c>
      <c r="E306" s="933" t="s">
        <v>21103</v>
      </c>
      <c r="F306" s="932" t="s">
        <v>19069</v>
      </c>
      <c r="G306" s="932" t="s">
        <v>29</v>
      </c>
      <c r="H306" s="932" t="s">
        <v>30</v>
      </c>
      <c r="I306" s="934"/>
      <c r="J306" s="932" t="s">
        <v>30</v>
      </c>
      <c r="K306" s="932">
        <v>88.0</v>
      </c>
      <c r="L306" s="935"/>
      <c r="M306" s="935"/>
      <c r="N306" s="932" t="s">
        <v>20446</v>
      </c>
      <c r="O306" s="932">
        <v>2021.0</v>
      </c>
      <c r="P306" s="935"/>
      <c r="Q306" s="932">
        <v>1.0</v>
      </c>
      <c r="R306" s="801">
        <v>1.0</v>
      </c>
      <c r="S306" s="3"/>
      <c r="T306" s="3"/>
      <c r="U306" s="3"/>
      <c r="V306" s="3"/>
      <c r="W306" s="3"/>
      <c r="X306" s="3"/>
      <c r="Y306" s="3"/>
      <c r="Z306" s="3"/>
      <c r="AA306" s="3"/>
      <c r="AB306" s="3"/>
      <c r="AC306" s="3"/>
      <c r="AD306" s="3"/>
      <c r="AE306" s="3"/>
      <c r="AF306" s="3"/>
      <c r="AG306" s="3"/>
      <c r="AH306" s="3"/>
      <c r="AI306" s="3"/>
      <c r="AJ306" s="3"/>
      <c r="AK306" s="3"/>
    </row>
    <row r="307" ht="15.75" customHeight="1">
      <c r="A307" s="3"/>
      <c r="B307" s="930"/>
      <c r="C307" s="931"/>
      <c r="D307" s="932" t="s">
        <v>21057</v>
      </c>
      <c r="E307" s="933" t="s">
        <v>21104</v>
      </c>
      <c r="F307" s="932" t="s">
        <v>19069</v>
      </c>
      <c r="G307" s="932" t="s">
        <v>29</v>
      </c>
      <c r="H307" s="932" t="s">
        <v>30</v>
      </c>
      <c r="I307" s="934"/>
      <c r="J307" s="932" t="s">
        <v>30</v>
      </c>
      <c r="K307" s="932">
        <v>88.0</v>
      </c>
      <c r="L307" s="935"/>
      <c r="M307" s="935"/>
      <c r="N307" s="932" t="s">
        <v>20446</v>
      </c>
      <c r="O307" s="932">
        <v>2021.0</v>
      </c>
      <c r="P307" s="935"/>
      <c r="Q307" s="932">
        <v>1.0</v>
      </c>
      <c r="R307" s="801">
        <v>1.0</v>
      </c>
      <c r="S307" s="3"/>
      <c r="T307" s="3"/>
      <c r="U307" s="3"/>
      <c r="V307" s="3"/>
      <c r="W307" s="3"/>
      <c r="X307" s="3"/>
      <c r="Y307" s="3"/>
      <c r="Z307" s="3"/>
      <c r="AA307" s="3"/>
      <c r="AB307" s="3"/>
      <c r="AC307" s="3"/>
      <c r="AD307" s="3"/>
      <c r="AE307" s="3"/>
      <c r="AF307" s="3"/>
      <c r="AG307" s="3"/>
      <c r="AH307" s="3"/>
      <c r="AI307" s="3"/>
      <c r="AJ307" s="3"/>
      <c r="AK307" s="3"/>
    </row>
    <row r="308" ht="15.75" customHeight="1">
      <c r="A308" s="3"/>
      <c r="B308" s="930"/>
      <c r="C308" s="931"/>
      <c r="D308" s="932" t="s">
        <v>21057</v>
      </c>
      <c r="E308" s="933" t="s">
        <v>21105</v>
      </c>
      <c r="F308" s="932" t="s">
        <v>19069</v>
      </c>
      <c r="G308" s="932" t="s">
        <v>29</v>
      </c>
      <c r="H308" s="932" t="s">
        <v>30</v>
      </c>
      <c r="I308" s="934"/>
      <c r="J308" s="932" t="s">
        <v>30</v>
      </c>
      <c r="K308" s="932">
        <v>88.0</v>
      </c>
      <c r="L308" s="935"/>
      <c r="M308" s="935"/>
      <c r="N308" s="932" t="s">
        <v>20446</v>
      </c>
      <c r="O308" s="932">
        <v>2021.0</v>
      </c>
      <c r="P308" s="935"/>
      <c r="Q308" s="932">
        <v>1.0</v>
      </c>
      <c r="R308" s="801">
        <v>1.0</v>
      </c>
      <c r="S308" s="3"/>
      <c r="T308" s="3"/>
      <c r="U308" s="3"/>
      <c r="V308" s="3"/>
      <c r="W308" s="3"/>
      <c r="X308" s="3"/>
      <c r="Y308" s="3"/>
      <c r="Z308" s="3"/>
      <c r="AA308" s="3"/>
      <c r="AB308" s="3"/>
      <c r="AC308" s="3"/>
      <c r="AD308" s="3"/>
      <c r="AE308" s="3"/>
      <c r="AF308" s="3"/>
      <c r="AG308" s="3"/>
      <c r="AH308" s="3"/>
      <c r="AI308" s="3"/>
      <c r="AJ308" s="3"/>
      <c r="AK308" s="3"/>
    </row>
    <row r="309" ht="15.75" customHeight="1">
      <c r="A309" s="3"/>
      <c r="B309" s="930"/>
      <c r="C309" s="931"/>
      <c r="D309" s="932" t="s">
        <v>21057</v>
      </c>
      <c r="E309" s="933" t="s">
        <v>21106</v>
      </c>
      <c r="F309" s="932" t="s">
        <v>19069</v>
      </c>
      <c r="G309" s="932" t="s">
        <v>29</v>
      </c>
      <c r="H309" s="932" t="s">
        <v>30</v>
      </c>
      <c r="I309" s="934"/>
      <c r="J309" s="932" t="s">
        <v>30</v>
      </c>
      <c r="K309" s="932">
        <v>88.0</v>
      </c>
      <c r="L309" s="935"/>
      <c r="M309" s="935"/>
      <c r="N309" s="932" t="s">
        <v>20446</v>
      </c>
      <c r="O309" s="932">
        <v>2021.0</v>
      </c>
      <c r="P309" s="935"/>
      <c r="Q309" s="932">
        <v>1.0</v>
      </c>
      <c r="R309" s="801">
        <v>1.0</v>
      </c>
      <c r="S309" s="3"/>
      <c r="T309" s="3"/>
      <c r="U309" s="3"/>
      <c r="V309" s="3"/>
      <c r="W309" s="3"/>
      <c r="X309" s="3"/>
      <c r="Y309" s="3"/>
      <c r="Z309" s="3"/>
      <c r="AA309" s="3"/>
      <c r="AB309" s="3"/>
      <c r="AC309" s="3"/>
      <c r="AD309" s="3"/>
      <c r="AE309" s="3"/>
      <c r="AF309" s="3"/>
      <c r="AG309" s="3"/>
      <c r="AH309" s="3"/>
      <c r="AI309" s="3"/>
      <c r="AJ309" s="3"/>
      <c r="AK309" s="3"/>
    </row>
    <row r="310" ht="15.75" customHeight="1">
      <c r="A310" s="3"/>
      <c r="B310" s="930"/>
      <c r="C310" s="931"/>
      <c r="D310" s="932" t="s">
        <v>21057</v>
      </c>
      <c r="E310" s="933" t="s">
        <v>21107</v>
      </c>
      <c r="F310" s="932" t="s">
        <v>19069</v>
      </c>
      <c r="G310" s="932" t="s">
        <v>29</v>
      </c>
      <c r="H310" s="932" t="s">
        <v>30</v>
      </c>
      <c r="I310" s="934"/>
      <c r="J310" s="932" t="s">
        <v>30</v>
      </c>
      <c r="K310" s="932">
        <v>88.0</v>
      </c>
      <c r="L310" s="935"/>
      <c r="M310" s="935"/>
      <c r="N310" s="932" t="s">
        <v>20446</v>
      </c>
      <c r="O310" s="932">
        <v>2021.0</v>
      </c>
      <c r="P310" s="935"/>
      <c r="Q310" s="932">
        <v>1.0</v>
      </c>
      <c r="R310" s="801">
        <v>1.0</v>
      </c>
      <c r="S310" s="3"/>
      <c r="T310" s="3"/>
      <c r="U310" s="3"/>
      <c r="V310" s="3"/>
      <c r="W310" s="3"/>
      <c r="X310" s="3"/>
      <c r="Y310" s="3"/>
      <c r="Z310" s="3"/>
      <c r="AA310" s="3"/>
      <c r="AB310" s="3"/>
      <c r="AC310" s="3"/>
      <c r="AD310" s="3"/>
      <c r="AE310" s="3"/>
      <c r="AF310" s="3"/>
      <c r="AG310" s="3"/>
      <c r="AH310" s="3"/>
      <c r="AI310" s="3"/>
      <c r="AJ310" s="3"/>
      <c r="AK310" s="3"/>
    </row>
    <row r="311" ht="15.75" customHeight="1">
      <c r="A311" s="3"/>
      <c r="B311" s="930"/>
      <c r="C311" s="931"/>
      <c r="D311" s="932" t="s">
        <v>21057</v>
      </c>
      <c r="E311" s="933" t="s">
        <v>21108</v>
      </c>
      <c r="F311" s="932" t="s">
        <v>19069</v>
      </c>
      <c r="G311" s="932" t="s">
        <v>29</v>
      </c>
      <c r="H311" s="932" t="s">
        <v>30</v>
      </c>
      <c r="I311" s="934"/>
      <c r="J311" s="932" t="s">
        <v>30</v>
      </c>
      <c r="K311" s="932">
        <v>88.0</v>
      </c>
      <c r="L311" s="935"/>
      <c r="M311" s="935"/>
      <c r="N311" s="932" t="s">
        <v>20446</v>
      </c>
      <c r="O311" s="932">
        <v>2021.0</v>
      </c>
      <c r="P311" s="935"/>
      <c r="Q311" s="932">
        <v>1.0</v>
      </c>
      <c r="R311" s="801">
        <v>1.0</v>
      </c>
      <c r="S311" s="3"/>
      <c r="T311" s="3"/>
      <c r="U311" s="3"/>
      <c r="V311" s="3"/>
      <c r="W311" s="3"/>
      <c r="X311" s="3"/>
      <c r="Y311" s="3"/>
      <c r="Z311" s="3"/>
      <c r="AA311" s="3"/>
      <c r="AB311" s="3"/>
      <c r="AC311" s="3"/>
      <c r="AD311" s="3"/>
      <c r="AE311" s="3"/>
      <c r="AF311" s="3"/>
      <c r="AG311" s="3"/>
      <c r="AH311" s="3"/>
      <c r="AI311" s="3"/>
      <c r="AJ311" s="3"/>
      <c r="AK311" s="3"/>
    </row>
    <row r="312" ht="15.75" customHeight="1">
      <c r="A312" s="3"/>
      <c r="B312" s="930"/>
      <c r="C312" s="931"/>
      <c r="D312" s="932" t="s">
        <v>21057</v>
      </c>
      <c r="E312" s="933" t="s">
        <v>21109</v>
      </c>
      <c r="F312" s="932" t="s">
        <v>19069</v>
      </c>
      <c r="G312" s="932" t="s">
        <v>29</v>
      </c>
      <c r="H312" s="932" t="s">
        <v>30</v>
      </c>
      <c r="I312" s="934"/>
      <c r="J312" s="932" t="s">
        <v>30</v>
      </c>
      <c r="K312" s="932">
        <v>88.0</v>
      </c>
      <c r="L312" s="935"/>
      <c r="M312" s="935"/>
      <c r="N312" s="932" t="s">
        <v>20446</v>
      </c>
      <c r="O312" s="932">
        <v>2022.0</v>
      </c>
      <c r="P312" s="935"/>
      <c r="Q312" s="932">
        <v>1.0</v>
      </c>
      <c r="R312" s="801">
        <v>1.0</v>
      </c>
      <c r="S312" s="3"/>
      <c r="T312" s="3"/>
      <c r="U312" s="3"/>
      <c r="V312" s="3"/>
      <c r="W312" s="3"/>
      <c r="X312" s="3"/>
      <c r="Y312" s="3"/>
      <c r="Z312" s="3"/>
      <c r="AA312" s="3"/>
      <c r="AB312" s="3"/>
      <c r="AC312" s="3"/>
      <c r="AD312" s="3"/>
      <c r="AE312" s="3"/>
      <c r="AF312" s="3"/>
      <c r="AG312" s="3"/>
      <c r="AH312" s="3"/>
      <c r="AI312" s="3"/>
      <c r="AJ312" s="3"/>
      <c r="AK312" s="3"/>
    </row>
    <row r="313" ht="15.75" customHeight="1">
      <c r="A313" s="3"/>
      <c r="B313" s="930"/>
      <c r="C313" s="931"/>
      <c r="D313" s="932" t="s">
        <v>21057</v>
      </c>
      <c r="E313" s="933" t="s">
        <v>21110</v>
      </c>
      <c r="F313" s="932" t="s">
        <v>19069</v>
      </c>
      <c r="G313" s="932" t="s">
        <v>29</v>
      </c>
      <c r="H313" s="932" t="s">
        <v>30</v>
      </c>
      <c r="I313" s="934"/>
      <c r="J313" s="932" t="s">
        <v>30</v>
      </c>
      <c r="K313" s="932">
        <v>88.0</v>
      </c>
      <c r="L313" s="935"/>
      <c r="M313" s="935"/>
      <c r="N313" s="932" t="s">
        <v>20446</v>
      </c>
      <c r="O313" s="932">
        <v>2022.0</v>
      </c>
      <c r="P313" s="935"/>
      <c r="Q313" s="932">
        <v>1.0</v>
      </c>
      <c r="R313" s="801">
        <v>1.0</v>
      </c>
      <c r="S313" s="3"/>
      <c r="T313" s="3"/>
      <c r="U313" s="3"/>
      <c r="V313" s="3"/>
      <c r="W313" s="3"/>
      <c r="X313" s="3"/>
      <c r="Y313" s="3"/>
      <c r="Z313" s="3"/>
      <c r="AA313" s="3"/>
      <c r="AB313" s="3"/>
      <c r="AC313" s="3"/>
      <c r="AD313" s="3"/>
      <c r="AE313" s="3"/>
      <c r="AF313" s="3"/>
      <c r="AG313" s="3"/>
      <c r="AH313" s="3"/>
      <c r="AI313" s="3"/>
      <c r="AJ313" s="3"/>
      <c r="AK313" s="3"/>
    </row>
    <row r="314" ht="15.75" customHeight="1">
      <c r="A314" s="3"/>
      <c r="B314" s="930"/>
      <c r="C314" s="931"/>
      <c r="D314" s="932" t="s">
        <v>21057</v>
      </c>
      <c r="E314" s="933" t="s">
        <v>21111</v>
      </c>
      <c r="F314" s="932" t="s">
        <v>19069</v>
      </c>
      <c r="G314" s="932" t="s">
        <v>29</v>
      </c>
      <c r="H314" s="932" t="s">
        <v>30</v>
      </c>
      <c r="I314" s="934"/>
      <c r="J314" s="932" t="s">
        <v>30</v>
      </c>
      <c r="K314" s="932">
        <v>88.0</v>
      </c>
      <c r="L314" s="935"/>
      <c r="M314" s="935"/>
      <c r="N314" s="932" t="s">
        <v>20446</v>
      </c>
      <c r="O314" s="932">
        <v>2022.0</v>
      </c>
      <c r="P314" s="935"/>
      <c r="Q314" s="932">
        <v>1.0</v>
      </c>
      <c r="R314" s="801">
        <v>1.0</v>
      </c>
      <c r="S314" s="3"/>
      <c r="T314" s="3"/>
      <c r="U314" s="3"/>
      <c r="V314" s="3"/>
      <c r="W314" s="3"/>
      <c r="X314" s="3"/>
      <c r="Y314" s="3"/>
      <c r="Z314" s="3"/>
      <c r="AA314" s="3"/>
      <c r="AB314" s="3"/>
      <c r="AC314" s="3"/>
      <c r="AD314" s="3"/>
      <c r="AE314" s="3"/>
      <c r="AF314" s="3"/>
      <c r="AG314" s="3"/>
      <c r="AH314" s="3"/>
      <c r="AI314" s="3"/>
      <c r="AJ314" s="3"/>
      <c r="AK314" s="3"/>
    </row>
    <row r="315" ht="15.75" customHeight="1">
      <c r="A315" s="3"/>
      <c r="B315" s="930"/>
      <c r="C315" s="931"/>
      <c r="D315" s="932" t="s">
        <v>21057</v>
      </c>
      <c r="E315" s="933" t="s">
        <v>21112</v>
      </c>
      <c r="F315" s="932" t="s">
        <v>19069</v>
      </c>
      <c r="G315" s="932" t="s">
        <v>29</v>
      </c>
      <c r="H315" s="932" t="s">
        <v>30</v>
      </c>
      <c r="I315" s="934"/>
      <c r="J315" s="932" t="s">
        <v>30</v>
      </c>
      <c r="K315" s="932">
        <v>88.0</v>
      </c>
      <c r="L315" s="935"/>
      <c r="M315" s="935"/>
      <c r="N315" s="932" t="s">
        <v>20446</v>
      </c>
      <c r="O315" s="932">
        <v>2022.0</v>
      </c>
      <c r="P315" s="935"/>
      <c r="Q315" s="932">
        <v>1.0</v>
      </c>
      <c r="R315" s="801">
        <v>1.0</v>
      </c>
      <c r="S315" s="3"/>
      <c r="T315" s="3"/>
      <c r="U315" s="3"/>
      <c r="V315" s="3"/>
      <c r="W315" s="3"/>
      <c r="X315" s="3"/>
      <c r="Y315" s="3"/>
      <c r="Z315" s="3"/>
      <c r="AA315" s="3"/>
      <c r="AB315" s="3"/>
      <c r="AC315" s="3"/>
      <c r="AD315" s="3"/>
      <c r="AE315" s="3"/>
      <c r="AF315" s="3"/>
      <c r="AG315" s="3"/>
      <c r="AH315" s="3"/>
      <c r="AI315" s="3"/>
      <c r="AJ315" s="3"/>
      <c r="AK315" s="3"/>
    </row>
    <row r="316" ht="15.75" customHeight="1">
      <c r="A316" s="3"/>
      <c r="B316" s="930"/>
      <c r="C316" s="931"/>
      <c r="D316" s="932" t="s">
        <v>21057</v>
      </c>
      <c r="E316" s="933" t="s">
        <v>21113</v>
      </c>
      <c r="F316" s="932" t="s">
        <v>19069</v>
      </c>
      <c r="G316" s="932" t="s">
        <v>29</v>
      </c>
      <c r="H316" s="932" t="s">
        <v>30</v>
      </c>
      <c r="I316" s="934"/>
      <c r="J316" s="932" t="s">
        <v>30</v>
      </c>
      <c r="K316" s="932">
        <v>88.0</v>
      </c>
      <c r="L316" s="935"/>
      <c r="M316" s="935"/>
      <c r="N316" s="932" t="s">
        <v>20446</v>
      </c>
      <c r="O316" s="932">
        <v>2022.0</v>
      </c>
      <c r="P316" s="935"/>
      <c r="Q316" s="932">
        <v>1.0</v>
      </c>
      <c r="R316" s="801">
        <v>1.0</v>
      </c>
      <c r="S316" s="3"/>
      <c r="T316" s="3"/>
      <c r="U316" s="3"/>
      <c r="V316" s="3"/>
      <c r="W316" s="3"/>
      <c r="X316" s="3"/>
      <c r="Y316" s="3"/>
      <c r="Z316" s="3"/>
      <c r="AA316" s="3"/>
      <c r="AB316" s="3"/>
      <c r="AC316" s="3"/>
      <c r="AD316" s="3"/>
      <c r="AE316" s="3"/>
      <c r="AF316" s="3"/>
      <c r="AG316" s="3"/>
      <c r="AH316" s="3"/>
      <c r="AI316" s="3"/>
      <c r="AJ316" s="3"/>
      <c r="AK316" s="3"/>
    </row>
    <row r="317" ht="15.75" customHeight="1">
      <c r="A317" s="3"/>
      <c r="B317" s="930"/>
      <c r="C317" s="931"/>
      <c r="D317" s="932" t="s">
        <v>21057</v>
      </c>
      <c r="E317" s="933" t="s">
        <v>21114</v>
      </c>
      <c r="F317" s="932" t="s">
        <v>19069</v>
      </c>
      <c r="G317" s="932" t="s">
        <v>29</v>
      </c>
      <c r="H317" s="932" t="s">
        <v>30</v>
      </c>
      <c r="I317" s="934"/>
      <c r="J317" s="932" t="s">
        <v>30</v>
      </c>
      <c r="K317" s="932">
        <v>88.0</v>
      </c>
      <c r="L317" s="935"/>
      <c r="M317" s="935"/>
      <c r="N317" s="932" t="s">
        <v>20446</v>
      </c>
      <c r="O317" s="932">
        <v>2022.0</v>
      </c>
      <c r="P317" s="935"/>
      <c r="Q317" s="932">
        <v>1.0</v>
      </c>
      <c r="R317" s="801">
        <v>1.0</v>
      </c>
      <c r="S317" s="3"/>
      <c r="T317" s="3"/>
      <c r="U317" s="3"/>
      <c r="V317" s="3"/>
      <c r="W317" s="3"/>
      <c r="X317" s="3"/>
      <c r="Y317" s="3"/>
      <c r="Z317" s="3"/>
      <c r="AA317" s="3"/>
      <c r="AB317" s="3"/>
      <c r="AC317" s="3"/>
      <c r="AD317" s="3"/>
      <c r="AE317" s="3"/>
      <c r="AF317" s="3"/>
      <c r="AG317" s="3"/>
      <c r="AH317" s="3"/>
      <c r="AI317" s="3"/>
      <c r="AJ317" s="3"/>
      <c r="AK317" s="3"/>
    </row>
    <row r="318" ht="15.75" customHeight="1">
      <c r="A318" s="3"/>
      <c r="B318" s="930"/>
      <c r="C318" s="931"/>
      <c r="D318" s="932" t="s">
        <v>21057</v>
      </c>
      <c r="E318" s="933" t="s">
        <v>21115</v>
      </c>
      <c r="F318" s="932" t="s">
        <v>19069</v>
      </c>
      <c r="G318" s="932" t="s">
        <v>29</v>
      </c>
      <c r="H318" s="932" t="s">
        <v>30</v>
      </c>
      <c r="I318" s="934"/>
      <c r="J318" s="932" t="s">
        <v>30</v>
      </c>
      <c r="K318" s="932">
        <v>88.0</v>
      </c>
      <c r="L318" s="935"/>
      <c r="M318" s="935"/>
      <c r="N318" s="932" t="s">
        <v>20446</v>
      </c>
      <c r="O318" s="932">
        <v>2022.0</v>
      </c>
      <c r="P318" s="935"/>
      <c r="Q318" s="932">
        <v>1.0</v>
      </c>
      <c r="R318" s="801">
        <v>1.0</v>
      </c>
      <c r="S318" s="3"/>
      <c r="T318" s="3"/>
      <c r="U318" s="3"/>
      <c r="V318" s="3"/>
      <c r="W318" s="3"/>
      <c r="X318" s="3"/>
      <c r="Y318" s="3"/>
      <c r="Z318" s="3"/>
      <c r="AA318" s="3"/>
      <c r="AB318" s="3"/>
      <c r="AC318" s="3"/>
      <c r="AD318" s="3"/>
      <c r="AE318" s="3"/>
      <c r="AF318" s="3"/>
      <c r="AG318" s="3"/>
      <c r="AH318" s="3"/>
      <c r="AI318" s="3"/>
      <c r="AJ318" s="3"/>
      <c r="AK318" s="3"/>
    </row>
    <row r="319" ht="15.75" customHeight="1">
      <c r="A319" s="3"/>
      <c r="B319" s="930"/>
      <c r="C319" s="931"/>
      <c r="D319" s="932" t="s">
        <v>21057</v>
      </c>
      <c r="E319" s="933" t="s">
        <v>21116</v>
      </c>
      <c r="F319" s="932" t="s">
        <v>19069</v>
      </c>
      <c r="G319" s="932" t="s">
        <v>29</v>
      </c>
      <c r="H319" s="932" t="s">
        <v>30</v>
      </c>
      <c r="I319" s="934"/>
      <c r="J319" s="932" t="s">
        <v>30</v>
      </c>
      <c r="K319" s="932">
        <v>88.0</v>
      </c>
      <c r="L319" s="935"/>
      <c r="M319" s="935"/>
      <c r="N319" s="932" t="s">
        <v>20446</v>
      </c>
      <c r="O319" s="932">
        <v>2022.0</v>
      </c>
      <c r="P319" s="935"/>
      <c r="Q319" s="932">
        <v>1.0</v>
      </c>
      <c r="R319" s="801">
        <v>1.0</v>
      </c>
      <c r="S319" s="3"/>
      <c r="T319" s="3"/>
      <c r="U319" s="3"/>
      <c r="V319" s="3"/>
      <c r="W319" s="3"/>
      <c r="X319" s="3"/>
      <c r="Y319" s="3"/>
      <c r="Z319" s="3"/>
      <c r="AA319" s="3"/>
      <c r="AB319" s="3"/>
      <c r="AC319" s="3"/>
      <c r="AD319" s="3"/>
      <c r="AE319" s="3"/>
      <c r="AF319" s="3"/>
      <c r="AG319" s="3"/>
      <c r="AH319" s="3"/>
      <c r="AI319" s="3"/>
      <c r="AJ319" s="3"/>
      <c r="AK319" s="3"/>
    </row>
    <row r="320" ht="15.75" customHeight="1">
      <c r="A320" s="3"/>
      <c r="B320" s="412"/>
      <c r="C320" s="191"/>
      <c r="D320" s="932" t="s">
        <v>21057</v>
      </c>
      <c r="E320" s="933" t="s">
        <v>21117</v>
      </c>
      <c r="F320" s="932" t="s">
        <v>19069</v>
      </c>
      <c r="G320" s="932" t="s">
        <v>29</v>
      </c>
      <c r="H320" s="932" t="s">
        <v>30</v>
      </c>
      <c r="I320" s="145"/>
      <c r="J320" s="932" t="s">
        <v>30</v>
      </c>
      <c r="K320" s="517">
        <v>88.0</v>
      </c>
      <c r="L320" s="145"/>
      <c r="M320" s="517"/>
      <c r="N320" s="932" t="s">
        <v>20446</v>
      </c>
      <c r="O320" s="517">
        <v>2023.0</v>
      </c>
      <c r="P320" s="145"/>
      <c r="Q320" s="517">
        <v>1.0</v>
      </c>
      <c r="R320" s="194">
        <v>1.0</v>
      </c>
      <c r="S320" s="3"/>
      <c r="T320" s="3"/>
      <c r="U320" s="3"/>
      <c r="V320" s="3"/>
      <c r="W320" s="3"/>
      <c r="X320" s="3"/>
      <c r="Y320" s="3"/>
      <c r="Z320" s="3"/>
      <c r="AA320" s="3"/>
      <c r="AB320" s="3"/>
      <c r="AC320" s="3"/>
      <c r="AD320" s="3"/>
      <c r="AE320" s="3"/>
      <c r="AF320" s="3"/>
      <c r="AG320" s="3"/>
      <c r="AH320" s="3"/>
      <c r="AI320" s="3"/>
      <c r="AJ320" s="3"/>
      <c r="AK320" s="3"/>
    </row>
    <row r="321" ht="15.75" customHeight="1">
      <c r="A321" s="3"/>
      <c r="B321" s="412"/>
      <c r="C321" s="191" t="s">
        <v>21118</v>
      </c>
      <c r="D321" s="191" t="s">
        <v>21119</v>
      </c>
      <c r="E321" s="35" t="s">
        <v>21120</v>
      </c>
      <c r="F321" s="191" t="s">
        <v>19069</v>
      </c>
      <c r="G321" s="191" t="s">
        <v>29</v>
      </c>
      <c r="H321" s="191" t="s">
        <v>30</v>
      </c>
      <c r="I321" s="186"/>
      <c r="J321" s="191" t="s">
        <v>30</v>
      </c>
      <c r="K321" s="191">
        <v>57.0</v>
      </c>
      <c r="L321" s="186"/>
      <c r="M321" s="191" t="s">
        <v>21121</v>
      </c>
      <c r="N321" s="191" t="s">
        <v>21122</v>
      </c>
      <c r="O321" s="191">
        <v>2021.0</v>
      </c>
      <c r="P321" s="186"/>
      <c r="Q321" s="191">
        <v>2.0</v>
      </c>
      <c r="R321" s="194">
        <v>2.0</v>
      </c>
      <c r="S321" s="3"/>
      <c r="T321" s="3"/>
      <c r="U321" s="3"/>
      <c r="V321" s="3"/>
      <c r="W321" s="3"/>
      <c r="X321" s="3"/>
      <c r="Y321" s="3"/>
      <c r="Z321" s="3"/>
      <c r="AA321" s="3"/>
      <c r="AB321" s="3"/>
      <c r="AC321" s="3"/>
      <c r="AD321" s="3"/>
      <c r="AE321" s="3"/>
      <c r="AF321" s="3"/>
      <c r="AG321" s="3"/>
      <c r="AH321" s="3"/>
      <c r="AI321" s="3"/>
      <c r="AJ321" s="3"/>
      <c r="AK321" s="3"/>
    </row>
    <row r="322" ht="15.75" customHeight="1">
      <c r="A322" s="3"/>
      <c r="B322" s="412"/>
      <c r="C322" s="191" t="s">
        <v>21118</v>
      </c>
      <c r="D322" s="191" t="s">
        <v>21119</v>
      </c>
      <c r="E322" s="35" t="s">
        <v>21123</v>
      </c>
      <c r="F322" s="191" t="s">
        <v>19069</v>
      </c>
      <c r="G322" s="191" t="s">
        <v>29</v>
      </c>
      <c r="H322" s="191" t="s">
        <v>30</v>
      </c>
      <c r="I322" s="186"/>
      <c r="J322" s="191" t="s">
        <v>30</v>
      </c>
      <c r="K322" s="191">
        <v>54.0</v>
      </c>
      <c r="L322" s="186"/>
      <c r="M322" s="191" t="s">
        <v>21121</v>
      </c>
      <c r="N322" s="191" t="s">
        <v>21122</v>
      </c>
      <c r="O322" s="191">
        <v>2021.0</v>
      </c>
      <c r="P322" s="186"/>
      <c r="Q322" s="191">
        <v>1.0</v>
      </c>
      <c r="R322" s="194">
        <v>1.0</v>
      </c>
      <c r="S322" s="3"/>
      <c r="T322" s="3"/>
      <c r="U322" s="3"/>
      <c r="V322" s="3"/>
      <c r="W322" s="3"/>
      <c r="X322" s="3"/>
      <c r="Y322" s="3"/>
      <c r="Z322" s="3"/>
      <c r="AA322" s="3"/>
      <c r="AB322" s="3"/>
      <c r="AC322" s="3"/>
      <c r="AD322" s="3"/>
      <c r="AE322" s="3"/>
      <c r="AF322" s="3"/>
      <c r="AG322" s="3"/>
      <c r="AH322" s="3"/>
      <c r="AI322" s="3"/>
      <c r="AJ322" s="3"/>
      <c r="AK322" s="3"/>
    </row>
    <row r="323" ht="15.75" customHeight="1">
      <c r="A323" s="3"/>
      <c r="B323" s="412"/>
      <c r="C323" s="191" t="s">
        <v>21118</v>
      </c>
      <c r="D323" s="191" t="s">
        <v>21119</v>
      </c>
      <c r="E323" s="35" t="s">
        <v>21124</v>
      </c>
      <c r="F323" s="191" t="s">
        <v>19069</v>
      </c>
      <c r="G323" s="191" t="s">
        <v>29</v>
      </c>
      <c r="H323" s="191" t="s">
        <v>30</v>
      </c>
      <c r="I323" s="186"/>
      <c r="J323" s="191" t="s">
        <v>30</v>
      </c>
      <c r="K323" s="191">
        <v>57.0</v>
      </c>
      <c r="L323" s="186"/>
      <c r="M323" s="191" t="s">
        <v>21121</v>
      </c>
      <c r="N323" s="191" t="s">
        <v>21122</v>
      </c>
      <c r="O323" s="191">
        <v>2021.0</v>
      </c>
      <c r="P323" s="186"/>
      <c r="Q323" s="191">
        <v>2.0</v>
      </c>
      <c r="R323" s="194">
        <v>2.0</v>
      </c>
      <c r="S323" s="3"/>
      <c r="T323" s="3"/>
      <c r="U323" s="3"/>
      <c r="V323" s="3"/>
      <c r="W323" s="3"/>
      <c r="X323" s="3"/>
      <c r="Y323" s="3"/>
      <c r="Z323" s="3"/>
      <c r="AA323" s="3"/>
      <c r="AB323" s="3"/>
      <c r="AC323" s="3"/>
      <c r="AD323" s="3"/>
      <c r="AE323" s="3"/>
      <c r="AF323" s="3"/>
      <c r="AG323" s="3"/>
      <c r="AH323" s="3"/>
      <c r="AI323" s="3"/>
      <c r="AJ323" s="3"/>
      <c r="AK323" s="3"/>
    </row>
    <row r="324" ht="15.75" customHeight="1">
      <c r="A324" s="3"/>
      <c r="B324" s="412"/>
      <c r="C324" s="191" t="s">
        <v>21118</v>
      </c>
      <c r="D324" s="191" t="s">
        <v>21119</v>
      </c>
      <c r="E324" s="35" t="s">
        <v>21125</v>
      </c>
      <c r="F324" s="191" t="s">
        <v>19069</v>
      </c>
      <c r="G324" s="191" t="s">
        <v>29</v>
      </c>
      <c r="H324" s="191" t="s">
        <v>30</v>
      </c>
      <c r="I324" s="186"/>
      <c r="J324" s="191" t="s">
        <v>30</v>
      </c>
      <c r="K324" s="191">
        <v>57.0</v>
      </c>
      <c r="L324" s="186"/>
      <c r="M324" s="191" t="s">
        <v>21121</v>
      </c>
      <c r="N324" s="191" t="s">
        <v>21122</v>
      </c>
      <c r="O324" s="191">
        <v>2021.0</v>
      </c>
      <c r="P324" s="186"/>
      <c r="Q324" s="191">
        <v>2.0</v>
      </c>
      <c r="R324" s="194">
        <v>2.0</v>
      </c>
      <c r="S324" s="3"/>
      <c r="T324" s="3"/>
      <c r="U324" s="3"/>
      <c r="V324" s="3"/>
      <c r="W324" s="3"/>
      <c r="X324" s="3"/>
      <c r="Y324" s="3"/>
      <c r="Z324" s="3"/>
      <c r="AA324" s="3"/>
      <c r="AB324" s="3"/>
      <c r="AC324" s="3"/>
      <c r="AD324" s="3"/>
      <c r="AE324" s="3"/>
      <c r="AF324" s="3"/>
      <c r="AG324" s="3"/>
      <c r="AH324" s="3"/>
      <c r="AI324" s="3"/>
      <c r="AJ324" s="3"/>
      <c r="AK324" s="3"/>
    </row>
    <row r="325" ht="15.75" customHeight="1">
      <c r="A325" s="3"/>
      <c r="B325" s="412"/>
      <c r="C325" s="191" t="s">
        <v>21118</v>
      </c>
      <c r="D325" s="191" t="s">
        <v>21119</v>
      </c>
      <c r="E325" s="35" t="s">
        <v>21126</v>
      </c>
      <c r="F325" s="191" t="s">
        <v>19069</v>
      </c>
      <c r="G325" s="191" t="s">
        <v>29</v>
      </c>
      <c r="H325" s="191" t="s">
        <v>30</v>
      </c>
      <c r="I325" s="186"/>
      <c r="J325" s="191" t="s">
        <v>30</v>
      </c>
      <c r="K325" s="191">
        <v>57.0</v>
      </c>
      <c r="L325" s="186"/>
      <c r="M325" s="191" t="s">
        <v>21121</v>
      </c>
      <c r="N325" s="191" t="s">
        <v>21122</v>
      </c>
      <c r="O325" s="191">
        <v>2021.0</v>
      </c>
      <c r="P325" s="186"/>
      <c r="Q325" s="191">
        <v>2.0</v>
      </c>
      <c r="R325" s="194">
        <v>2.0</v>
      </c>
      <c r="S325" s="3"/>
      <c r="T325" s="3"/>
      <c r="U325" s="3"/>
      <c r="V325" s="3"/>
      <c r="W325" s="3"/>
      <c r="X325" s="3"/>
      <c r="Y325" s="3"/>
      <c r="Z325" s="3"/>
      <c r="AA325" s="3"/>
      <c r="AB325" s="3"/>
      <c r="AC325" s="3"/>
      <c r="AD325" s="3"/>
      <c r="AE325" s="3"/>
      <c r="AF325" s="3"/>
      <c r="AG325" s="3"/>
      <c r="AH325" s="3"/>
      <c r="AI325" s="3"/>
      <c r="AJ325" s="3"/>
      <c r="AK325" s="3"/>
    </row>
    <row r="326" ht="15.75" customHeight="1">
      <c r="A326" s="3"/>
      <c r="B326" s="412"/>
      <c r="C326" s="191" t="s">
        <v>21118</v>
      </c>
      <c r="D326" s="191" t="s">
        <v>21119</v>
      </c>
      <c r="E326" s="35" t="s">
        <v>21127</v>
      </c>
      <c r="F326" s="191" t="s">
        <v>19069</v>
      </c>
      <c r="G326" s="191" t="s">
        <v>29</v>
      </c>
      <c r="H326" s="191" t="s">
        <v>30</v>
      </c>
      <c r="I326" s="186"/>
      <c r="J326" s="191" t="s">
        <v>30</v>
      </c>
      <c r="K326" s="191">
        <v>56.0</v>
      </c>
      <c r="L326" s="186"/>
      <c r="M326" s="191" t="s">
        <v>21121</v>
      </c>
      <c r="N326" s="191" t="s">
        <v>21122</v>
      </c>
      <c r="O326" s="191">
        <v>2022.0</v>
      </c>
      <c r="P326" s="186"/>
      <c r="Q326" s="191">
        <v>2.0</v>
      </c>
      <c r="R326" s="194">
        <v>2.0</v>
      </c>
      <c r="S326" s="3"/>
      <c r="T326" s="3"/>
      <c r="U326" s="3"/>
      <c r="V326" s="3"/>
      <c r="W326" s="3"/>
      <c r="X326" s="3"/>
      <c r="Y326" s="3"/>
      <c r="Z326" s="3"/>
      <c r="AA326" s="3"/>
      <c r="AB326" s="3"/>
      <c r="AC326" s="3"/>
      <c r="AD326" s="3"/>
      <c r="AE326" s="3"/>
      <c r="AF326" s="3"/>
      <c r="AG326" s="3"/>
      <c r="AH326" s="3"/>
      <c r="AI326" s="3"/>
      <c r="AJ326" s="3"/>
      <c r="AK326" s="3"/>
    </row>
    <row r="327" ht="15.75" customHeight="1">
      <c r="A327" s="3"/>
      <c r="B327" s="412"/>
      <c r="C327" s="191" t="s">
        <v>21118</v>
      </c>
      <c r="D327" s="191" t="s">
        <v>21119</v>
      </c>
      <c r="E327" s="35" t="s">
        <v>21128</v>
      </c>
      <c r="F327" s="191" t="s">
        <v>19069</v>
      </c>
      <c r="G327" s="191" t="s">
        <v>29</v>
      </c>
      <c r="H327" s="191" t="s">
        <v>30</v>
      </c>
      <c r="I327" s="186"/>
      <c r="J327" s="191" t="s">
        <v>30</v>
      </c>
      <c r="K327" s="191">
        <v>56.0</v>
      </c>
      <c r="L327" s="186"/>
      <c r="M327" s="191" t="s">
        <v>21121</v>
      </c>
      <c r="N327" s="191" t="s">
        <v>21122</v>
      </c>
      <c r="O327" s="191">
        <v>2022.0</v>
      </c>
      <c r="P327" s="186"/>
      <c r="Q327" s="191">
        <v>2.0</v>
      </c>
      <c r="R327" s="194">
        <v>2.0</v>
      </c>
      <c r="S327" s="3"/>
      <c r="T327" s="3"/>
      <c r="U327" s="3"/>
      <c r="V327" s="3"/>
      <c r="W327" s="3"/>
      <c r="X327" s="3"/>
      <c r="Y327" s="3"/>
      <c r="Z327" s="3"/>
      <c r="AA327" s="3"/>
      <c r="AB327" s="3"/>
      <c r="AC327" s="3"/>
      <c r="AD327" s="3"/>
      <c r="AE327" s="3"/>
      <c r="AF327" s="3"/>
      <c r="AG327" s="3"/>
      <c r="AH327" s="3"/>
      <c r="AI327" s="3"/>
      <c r="AJ327" s="3"/>
      <c r="AK327" s="3"/>
    </row>
    <row r="328" ht="15.75" customHeight="1">
      <c r="A328" s="3"/>
      <c r="B328" s="412"/>
      <c r="C328" s="191" t="s">
        <v>21118</v>
      </c>
      <c r="D328" s="191" t="s">
        <v>21119</v>
      </c>
      <c r="E328" s="35" t="s">
        <v>21129</v>
      </c>
      <c r="F328" s="191" t="s">
        <v>19069</v>
      </c>
      <c r="G328" s="191" t="s">
        <v>29</v>
      </c>
      <c r="H328" s="191" t="s">
        <v>30</v>
      </c>
      <c r="I328" s="186"/>
      <c r="J328" s="191" t="s">
        <v>30</v>
      </c>
      <c r="K328" s="191">
        <v>56.0</v>
      </c>
      <c r="L328" s="186"/>
      <c r="M328" s="191" t="s">
        <v>21121</v>
      </c>
      <c r="N328" s="191" t="s">
        <v>21122</v>
      </c>
      <c r="O328" s="191">
        <v>2022.0</v>
      </c>
      <c r="P328" s="186"/>
      <c r="Q328" s="191">
        <v>2.0</v>
      </c>
      <c r="R328" s="194">
        <v>2.0</v>
      </c>
      <c r="S328" s="3"/>
      <c r="T328" s="3"/>
      <c r="U328" s="3"/>
      <c r="V328" s="3"/>
      <c r="W328" s="3"/>
      <c r="X328" s="3"/>
      <c r="Y328" s="3"/>
      <c r="Z328" s="3"/>
      <c r="AA328" s="3"/>
      <c r="AB328" s="3"/>
      <c r="AC328" s="3"/>
      <c r="AD328" s="3"/>
      <c r="AE328" s="3"/>
      <c r="AF328" s="3"/>
      <c r="AG328" s="3"/>
      <c r="AH328" s="3"/>
      <c r="AI328" s="3"/>
      <c r="AJ328" s="3"/>
      <c r="AK328" s="3"/>
    </row>
    <row r="329" ht="15.75" customHeight="1">
      <c r="A329" s="3"/>
      <c r="B329" s="412"/>
      <c r="C329" s="191" t="s">
        <v>21118</v>
      </c>
      <c r="D329" s="191" t="s">
        <v>21119</v>
      </c>
      <c r="E329" s="35" t="s">
        <v>21130</v>
      </c>
      <c r="F329" s="191" t="s">
        <v>19069</v>
      </c>
      <c r="G329" s="191" t="s">
        <v>29</v>
      </c>
      <c r="H329" s="191" t="s">
        <v>30</v>
      </c>
      <c r="I329" s="186"/>
      <c r="J329" s="191" t="s">
        <v>30</v>
      </c>
      <c r="K329" s="191">
        <v>56.0</v>
      </c>
      <c r="L329" s="186"/>
      <c r="M329" s="191" t="s">
        <v>21121</v>
      </c>
      <c r="N329" s="191" t="s">
        <v>21122</v>
      </c>
      <c r="O329" s="191">
        <v>2022.0</v>
      </c>
      <c r="P329" s="186"/>
      <c r="Q329" s="191">
        <v>2.0</v>
      </c>
      <c r="R329" s="194">
        <v>2.0</v>
      </c>
      <c r="S329" s="3"/>
      <c r="T329" s="3"/>
      <c r="U329" s="3"/>
      <c r="V329" s="3"/>
      <c r="W329" s="3"/>
      <c r="X329" s="3"/>
      <c r="Y329" s="3"/>
      <c r="Z329" s="3"/>
      <c r="AA329" s="3"/>
      <c r="AB329" s="3"/>
      <c r="AC329" s="3"/>
      <c r="AD329" s="3"/>
      <c r="AE329" s="3"/>
      <c r="AF329" s="3"/>
      <c r="AG329" s="3"/>
      <c r="AH329" s="3"/>
      <c r="AI329" s="3"/>
      <c r="AJ329" s="3"/>
      <c r="AK329" s="3"/>
    </row>
    <row r="330" ht="15.75" customHeight="1">
      <c r="A330" s="3"/>
      <c r="B330" s="412"/>
      <c r="C330" s="191" t="s">
        <v>21118</v>
      </c>
      <c r="D330" s="191" t="s">
        <v>21119</v>
      </c>
      <c r="E330" s="35" t="s">
        <v>21131</v>
      </c>
      <c r="F330" s="191" t="s">
        <v>19069</v>
      </c>
      <c r="G330" s="191" t="s">
        <v>29</v>
      </c>
      <c r="H330" s="191" t="s">
        <v>30</v>
      </c>
      <c r="I330" s="186"/>
      <c r="J330" s="191" t="s">
        <v>30</v>
      </c>
      <c r="K330" s="191">
        <v>56.0</v>
      </c>
      <c r="L330" s="186"/>
      <c r="M330" s="191" t="s">
        <v>21121</v>
      </c>
      <c r="N330" s="191" t="s">
        <v>21122</v>
      </c>
      <c r="O330" s="191">
        <v>2022.0</v>
      </c>
      <c r="P330" s="186"/>
      <c r="Q330" s="191">
        <v>2.0</v>
      </c>
      <c r="R330" s="194">
        <v>2.0</v>
      </c>
      <c r="S330" s="3"/>
      <c r="T330" s="3"/>
      <c r="U330" s="3"/>
      <c r="V330" s="3"/>
      <c r="W330" s="3"/>
      <c r="X330" s="3"/>
      <c r="Y330" s="3"/>
      <c r="Z330" s="3"/>
      <c r="AA330" s="3"/>
      <c r="AB330" s="3"/>
      <c r="AC330" s="3"/>
      <c r="AD330" s="3"/>
      <c r="AE330" s="3"/>
      <c r="AF330" s="3"/>
      <c r="AG330" s="3"/>
      <c r="AH330" s="3"/>
      <c r="AI330" s="3"/>
      <c r="AJ330" s="3"/>
      <c r="AK330" s="3"/>
    </row>
    <row r="331" ht="15.75" customHeight="1">
      <c r="A331" s="3"/>
      <c r="B331" s="412"/>
      <c r="C331" s="191" t="s">
        <v>21132</v>
      </c>
      <c r="D331" s="191" t="s">
        <v>21133</v>
      </c>
      <c r="E331" s="35" t="s">
        <v>21134</v>
      </c>
      <c r="F331" s="191" t="s">
        <v>19069</v>
      </c>
      <c r="G331" s="191" t="s">
        <v>29</v>
      </c>
      <c r="H331" s="191" t="s">
        <v>30</v>
      </c>
      <c r="I331" s="186"/>
      <c r="J331" s="191" t="s">
        <v>30</v>
      </c>
      <c r="K331" s="191">
        <v>88.0</v>
      </c>
      <c r="L331" s="186"/>
      <c r="M331" s="186"/>
      <c r="N331" s="191" t="s">
        <v>20442</v>
      </c>
      <c r="O331" s="191">
        <v>2020.0</v>
      </c>
      <c r="P331" s="186"/>
      <c r="Q331" s="191">
        <v>1.0</v>
      </c>
      <c r="R331" s="194">
        <v>1.0</v>
      </c>
      <c r="S331" s="3"/>
      <c r="T331" s="3"/>
      <c r="U331" s="3"/>
      <c r="V331" s="3"/>
      <c r="W331" s="3"/>
      <c r="X331" s="3"/>
      <c r="Y331" s="3"/>
      <c r="Z331" s="3"/>
      <c r="AA331" s="3"/>
      <c r="AB331" s="3"/>
      <c r="AC331" s="3"/>
      <c r="AD331" s="3"/>
      <c r="AE331" s="3"/>
      <c r="AF331" s="3"/>
      <c r="AG331" s="3"/>
      <c r="AH331" s="3"/>
      <c r="AI331" s="3"/>
      <c r="AJ331" s="3"/>
      <c r="AK331" s="3"/>
    </row>
    <row r="332" ht="15.75" customHeight="1">
      <c r="A332" s="3"/>
      <c r="B332" s="412"/>
      <c r="C332" s="186"/>
      <c r="D332" s="186"/>
      <c r="E332" s="35" t="s">
        <v>21135</v>
      </c>
      <c r="F332" s="191" t="s">
        <v>19069</v>
      </c>
      <c r="G332" s="191" t="s">
        <v>29</v>
      </c>
      <c r="H332" s="191" t="s">
        <v>30</v>
      </c>
      <c r="I332" s="186"/>
      <c r="J332" s="191" t="s">
        <v>30</v>
      </c>
      <c r="K332" s="191">
        <v>23.0</v>
      </c>
      <c r="L332" s="186"/>
      <c r="M332" s="191" t="s">
        <v>21136</v>
      </c>
      <c r="N332" s="186"/>
      <c r="O332" s="191">
        <v>2018.0</v>
      </c>
      <c r="P332" s="186"/>
      <c r="Q332" s="191">
        <v>1.0</v>
      </c>
      <c r="R332" s="194">
        <v>1.0</v>
      </c>
      <c r="S332" s="3"/>
      <c r="T332" s="3"/>
      <c r="U332" s="3"/>
      <c r="V332" s="3"/>
      <c r="W332" s="3"/>
      <c r="X332" s="3"/>
      <c r="Y332" s="3"/>
      <c r="Z332" s="3"/>
      <c r="AA332" s="3"/>
      <c r="AB332" s="3"/>
      <c r="AC332" s="3"/>
      <c r="AD332" s="3"/>
      <c r="AE332" s="3"/>
      <c r="AF332" s="3"/>
      <c r="AG332" s="3"/>
      <c r="AH332" s="3"/>
      <c r="AI332" s="3"/>
      <c r="AJ332" s="3"/>
      <c r="AK332" s="3"/>
    </row>
    <row r="333">
      <c r="A333" s="3"/>
      <c r="B333" s="186"/>
      <c r="C333" s="191"/>
      <c r="D333" s="186"/>
      <c r="E333" s="35"/>
      <c r="F333" s="186"/>
      <c r="G333" s="186"/>
      <c r="H333" s="186"/>
      <c r="I333" s="186"/>
      <c r="J333" s="186"/>
      <c r="K333" s="191"/>
      <c r="L333" s="936"/>
      <c r="M333" s="191"/>
      <c r="N333" s="191"/>
      <c r="O333" s="191"/>
      <c r="P333" s="186"/>
      <c r="Q333" s="186"/>
      <c r="R333" s="937"/>
      <c r="S333" s="3"/>
      <c r="T333" s="3"/>
      <c r="U333" s="3"/>
      <c r="V333" s="3"/>
      <c r="W333" s="3"/>
      <c r="X333" s="3"/>
      <c r="Y333" s="3"/>
      <c r="Z333" s="3"/>
      <c r="AA333" s="3"/>
      <c r="AB333" s="3"/>
      <c r="AC333" s="3"/>
      <c r="AD333" s="3"/>
      <c r="AE333" s="3"/>
      <c r="AF333" s="3"/>
      <c r="AG333" s="3"/>
      <c r="AH333" s="3"/>
      <c r="AI333" s="3"/>
      <c r="AJ333" s="3"/>
      <c r="AK333" s="3"/>
    </row>
    <row r="334" ht="15.75" customHeight="1">
      <c r="A334" s="3"/>
      <c r="B334" s="920"/>
      <c r="C334" s="322"/>
      <c r="D334" s="322"/>
      <c r="E334" s="420"/>
      <c r="F334" s="322"/>
      <c r="G334" s="322"/>
      <c r="H334" s="322"/>
      <c r="I334" s="322"/>
      <c r="J334" s="322"/>
      <c r="K334" s="322"/>
      <c r="L334" s="322"/>
      <c r="M334" s="322"/>
      <c r="N334" s="322"/>
      <c r="O334" s="322"/>
      <c r="P334" s="322"/>
      <c r="Q334" s="322"/>
      <c r="R334" s="471"/>
      <c r="S334" s="3"/>
      <c r="T334" s="3"/>
      <c r="U334" s="3"/>
      <c r="V334" s="3"/>
      <c r="W334" s="3"/>
      <c r="X334" s="3"/>
      <c r="Y334" s="3"/>
      <c r="Z334" s="3"/>
      <c r="AA334" s="3"/>
      <c r="AB334" s="3"/>
      <c r="AC334" s="3"/>
      <c r="AD334" s="3"/>
      <c r="AE334" s="3"/>
      <c r="AF334" s="3"/>
      <c r="AG334" s="3"/>
      <c r="AH334" s="3"/>
      <c r="AI334" s="3"/>
      <c r="AJ334" s="3"/>
      <c r="AK334" s="3"/>
    </row>
    <row r="335" ht="15.75" customHeight="1">
      <c r="A335" s="3"/>
      <c r="B335" s="920"/>
      <c r="C335" s="322"/>
      <c r="D335" s="322"/>
      <c r="E335" s="420"/>
      <c r="F335" s="322"/>
      <c r="G335" s="322"/>
      <c r="H335" s="322"/>
      <c r="I335" s="322"/>
      <c r="J335" s="322"/>
      <c r="K335" s="322"/>
      <c r="L335" s="322"/>
      <c r="M335" s="322"/>
      <c r="N335" s="322"/>
      <c r="O335" s="322"/>
      <c r="P335" s="322"/>
      <c r="Q335" s="322"/>
      <c r="R335" s="471"/>
      <c r="S335" s="3"/>
      <c r="T335" s="3"/>
      <c r="U335" s="3"/>
      <c r="V335" s="3"/>
      <c r="W335" s="3"/>
      <c r="X335" s="3"/>
      <c r="Y335" s="3"/>
      <c r="Z335" s="3"/>
      <c r="AA335" s="3"/>
      <c r="AB335" s="3"/>
      <c r="AC335" s="3"/>
      <c r="AD335" s="3"/>
      <c r="AE335" s="3"/>
      <c r="AF335" s="3"/>
      <c r="AG335" s="3"/>
      <c r="AH335" s="3"/>
      <c r="AI335" s="3"/>
      <c r="AJ335" s="3"/>
      <c r="AK335" s="3"/>
    </row>
    <row r="336" ht="15.75" customHeight="1">
      <c r="A336" s="3"/>
      <c r="B336" s="920"/>
      <c r="C336" s="322"/>
      <c r="D336" s="322"/>
      <c r="E336" s="420"/>
      <c r="F336" s="322"/>
      <c r="G336" s="322"/>
      <c r="H336" s="322"/>
      <c r="I336" s="322"/>
      <c r="J336" s="322"/>
      <c r="K336" s="322"/>
      <c r="L336" s="322"/>
      <c r="M336" s="322"/>
      <c r="N336" s="322"/>
      <c r="O336" s="322"/>
      <c r="P336" s="322"/>
      <c r="Q336" s="322"/>
      <c r="R336" s="471"/>
      <c r="S336" s="3"/>
      <c r="T336" s="3"/>
      <c r="U336" s="3"/>
      <c r="V336" s="3"/>
      <c r="W336" s="3"/>
      <c r="X336" s="3"/>
      <c r="Y336" s="3"/>
      <c r="Z336" s="3"/>
      <c r="AA336" s="3"/>
      <c r="AB336" s="3"/>
      <c r="AC336" s="3"/>
      <c r="AD336" s="3"/>
      <c r="AE336" s="3"/>
      <c r="AF336" s="3"/>
      <c r="AG336" s="3"/>
      <c r="AH336" s="3"/>
      <c r="AI336" s="3"/>
      <c r="AJ336" s="3"/>
      <c r="AK336" s="3"/>
    </row>
    <row r="337" ht="15.75" customHeight="1">
      <c r="A337" s="3"/>
      <c r="B337" s="920"/>
      <c r="C337" s="322"/>
      <c r="D337" s="322"/>
      <c r="E337" s="420"/>
      <c r="F337" s="322"/>
      <c r="G337" s="322"/>
      <c r="H337" s="322"/>
      <c r="I337" s="322"/>
      <c r="J337" s="322"/>
      <c r="K337" s="322"/>
      <c r="L337" s="322"/>
      <c r="M337" s="322"/>
      <c r="N337" s="322"/>
      <c r="O337" s="322"/>
      <c r="P337" s="322"/>
      <c r="Q337" s="322"/>
      <c r="R337" s="471"/>
      <c r="S337" s="3"/>
      <c r="T337" s="3"/>
      <c r="U337" s="3"/>
      <c r="V337" s="3"/>
      <c r="W337" s="3"/>
      <c r="X337" s="3"/>
      <c r="Y337" s="3"/>
      <c r="Z337" s="3"/>
      <c r="AA337" s="3"/>
      <c r="AB337" s="3"/>
      <c r="AC337" s="3"/>
      <c r="AD337" s="3"/>
      <c r="AE337" s="3"/>
      <c r="AF337" s="3"/>
      <c r="AG337" s="3"/>
      <c r="AH337" s="3"/>
      <c r="AI337" s="3"/>
      <c r="AJ337" s="3"/>
      <c r="AK337" s="3"/>
    </row>
    <row r="338" ht="15.75" customHeight="1">
      <c r="A338" s="3"/>
      <c r="B338" s="920"/>
      <c r="C338" s="322"/>
      <c r="D338" s="322"/>
      <c r="E338" s="420"/>
      <c r="F338" s="322"/>
      <c r="G338" s="322"/>
      <c r="H338" s="322"/>
      <c r="I338" s="322"/>
      <c r="J338" s="322"/>
      <c r="K338" s="322"/>
      <c r="L338" s="322"/>
      <c r="M338" s="322"/>
      <c r="N338" s="322"/>
      <c r="O338" s="322"/>
      <c r="P338" s="322"/>
      <c r="Q338" s="322"/>
      <c r="R338" s="471"/>
      <c r="S338" s="3"/>
      <c r="T338" s="3"/>
      <c r="U338" s="3"/>
      <c r="V338" s="3"/>
      <c r="W338" s="3"/>
      <c r="X338" s="3"/>
      <c r="Y338" s="3"/>
      <c r="Z338" s="3"/>
      <c r="AA338" s="3"/>
      <c r="AB338" s="3"/>
      <c r="AC338" s="3"/>
      <c r="AD338" s="3"/>
      <c r="AE338" s="3"/>
      <c r="AF338" s="3"/>
      <c r="AG338" s="3"/>
      <c r="AH338" s="3"/>
      <c r="AI338" s="3"/>
      <c r="AJ338" s="3"/>
      <c r="AK338" s="3"/>
    </row>
    <row r="339" ht="15.75" customHeight="1">
      <c r="A339" s="3"/>
      <c r="B339" s="920"/>
      <c r="C339" s="322"/>
      <c r="D339" s="322"/>
      <c r="E339" s="420"/>
      <c r="F339" s="322"/>
      <c r="G339" s="322"/>
      <c r="H339" s="322"/>
      <c r="I339" s="322"/>
      <c r="J339" s="322"/>
      <c r="K339" s="322"/>
      <c r="L339" s="322"/>
      <c r="M339" s="322"/>
      <c r="N339" s="322"/>
      <c r="O339" s="322"/>
      <c r="P339" s="322"/>
      <c r="Q339" s="322"/>
      <c r="R339" s="471"/>
      <c r="S339" s="3"/>
      <c r="T339" s="3"/>
      <c r="U339" s="3"/>
      <c r="V339" s="3"/>
      <c r="W339" s="3"/>
      <c r="X339" s="3"/>
      <c r="Y339" s="3"/>
      <c r="Z339" s="3"/>
      <c r="AA339" s="3"/>
      <c r="AB339" s="3"/>
      <c r="AC339" s="3"/>
      <c r="AD339" s="3"/>
      <c r="AE339" s="3"/>
      <c r="AF339" s="3"/>
      <c r="AG339" s="3"/>
      <c r="AH339" s="3"/>
      <c r="AI339" s="3"/>
      <c r="AJ339" s="3"/>
      <c r="AK339" s="3"/>
    </row>
    <row r="340" ht="15.75" customHeight="1">
      <c r="A340" s="3"/>
      <c r="B340" s="920"/>
      <c r="C340" s="322"/>
      <c r="D340" s="322"/>
      <c r="E340" s="420"/>
      <c r="F340" s="322"/>
      <c r="G340" s="322"/>
      <c r="H340" s="322"/>
      <c r="I340" s="322"/>
      <c r="J340" s="322"/>
      <c r="K340" s="322"/>
      <c r="L340" s="322"/>
      <c r="M340" s="322"/>
      <c r="N340" s="322"/>
      <c r="O340" s="322"/>
      <c r="P340" s="322"/>
      <c r="Q340" s="322"/>
      <c r="R340" s="471"/>
      <c r="S340" s="3"/>
      <c r="T340" s="3"/>
      <c r="U340" s="3"/>
      <c r="V340" s="3"/>
      <c r="W340" s="3"/>
      <c r="X340" s="3"/>
      <c r="Y340" s="3"/>
      <c r="Z340" s="3"/>
      <c r="AA340" s="3"/>
      <c r="AB340" s="3"/>
      <c r="AC340" s="3"/>
      <c r="AD340" s="3"/>
      <c r="AE340" s="3"/>
      <c r="AF340" s="3"/>
      <c r="AG340" s="3"/>
      <c r="AH340" s="3"/>
      <c r="AI340" s="3"/>
      <c r="AJ340" s="3"/>
      <c r="AK340" s="3"/>
    </row>
    <row r="341" ht="15.75" customHeight="1">
      <c r="A341" s="3"/>
      <c r="B341" s="322"/>
      <c r="C341" s="322"/>
      <c r="D341" s="322"/>
      <c r="E341" s="420"/>
      <c r="F341" s="322"/>
      <c r="G341" s="322"/>
      <c r="H341" s="322"/>
      <c r="I341" s="322"/>
      <c r="J341" s="322"/>
      <c r="K341" s="322"/>
      <c r="L341" s="322"/>
      <c r="M341" s="322"/>
      <c r="N341" s="322"/>
      <c r="O341" s="322"/>
      <c r="P341" s="322"/>
      <c r="Q341" s="322">
        <f>SUM(Q6:Q332)</f>
        <v>349</v>
      </c>
      <c r="R341" s="453">
        <f>SUM(R6:R340)</f>
        <v>62</v>
      </c>
      <c r="S341" s="3"/>
      <c r="T341" s="3"/>
      <c r="U341" s="3"/>
      <c r="V341" s="3"/>
      <c r="W341" s="3"/>
      <c r="X341" s="3"/>
      <c r="Y341" s="3"/>
      <c r="Z341" s="3"/>
      <c r="AA341" s="3"/>
      <c r="AB341" s="3"/>
      <c r="AC341" s="3"/>
      <c r="AD341" s="3"/>
      <c r="AE341" s="3"/>
      <c r="AF341" s="3"/>
      <c r="AG341" s="3"/>
      <c r="AH341" s="3"/>
      <c r="AI341" s="3"/>
      <c r="AJ341" s="3"/>
      <c r="AK341" s="3"/>
    </row>
    <row r="342" ht="15.75" customHeight="1">
      <c r="A342" s="3"/>
      <c r="B342" s="938"/>
      <c r="C342" s="455"/>
      <c r="D342" s="455"/>
      <c r="E342" s="455"/>
      <c r="F342" s="455"/>
      <c r="G342" s="455"/>
      <c r="H342" s="455"/>
      <c r="I342" s="455"/>
      <c r="J342" s="455"/>
      <c r="K342" s="455"/>
      <c r="L342" s="455"/>
      <c r="M342" s="455"/>
      <c r="N342" s="455"/>
      <c r="O342" s="455"/>
      <c r="P342" s="455"/>
      <c r="Q342" s="456"/>
      <c r="S342" s="3"/>
      <c r="T342" s="3"/>
      <c r="U342" s="3"/>
      <c r="V342" s="3"/>
      <c r="W342" s="3"/>
      <c r="X342" s="3"/>
      <c r="Y342" s="3"/>
      <c r="Z342" s="3"/>
      <c r="AA342" s="3"/>
      <c r="AB342" s="3"/>
      <c r="AC342" s="3"/>
      <c r="AD342" s="3"/>
      <c r="AE342" s="3"/>
      <c r="AF342" s="3"/>
      <c r="AG342" s="3"/>
      <c r="AH342" s="3"/>
      <c r="AI342" s="3"/>
      <c r="AJ342" s="3"/>
      <c r="AK342" s="3"/>
    </row>
    <row r="343" ht="15.75" customHeight="1">
      <c r="A343" s="3"/>
      <c r="B343" s="457"/>
      <c r="C343" s="6"/>
      <c r="D343" s="6"/>
      <c r="E343" s="6"/>
      <c r="F343" s="6"/>
      <c r="G343" s="6"/>
      <c r="H343" s="6"/>
      <c r="I343" s="6"/>
      <c r="J343" s="6"/>
      <c r="K343" s="6"/>
      <c r="L343" s="6"/>
      <c r="M343" s="6"/>
      <c r="N343" s="6"/>
      <c r="O343" s="6"/>
      <c r="P343" s="6"/>
      <c r="Q343" s="7"/>
      <c r="S343" s="3"/>
      <c r="T343" s="3"/>
      <c r="U343" s="3"/>
      <c r="V343" s="3"/>
      <c r="W343" s="3"/>
      <c r="X343" s="3"/>
      <c r="Y343" s="3"/>
      <c r="Z343" s="3"/>
      <c r="AA343" s="3"/>
      <c r="AB343" s="3"/>
      <c r="AC343" s="3"/>
      <c r="AD343" s="3"/>
      <c r="AE343" s="3"/>
      <c r="AF343" s="3"/>
      <c r="AG343" s="3"/>
      <c r="AH343" s="3"/>
      <c r="AI343" s="3"/>
      <c r="AJ343" s="3"/>
      <c r="AK343" s="3"/>
    </row>
    <row r="344" ht="47.25" customHeight="1">
      <c r="A344" s="3"/>
      <c r="B344" s="327"/>
      <c r="C344" s="457"/>
      <c r="D344" s="6"/>
      <c r="E344" s="7"/>
      <c r="F344" s="458"/>
      <c r="G344" s="459"/>
      <c r="H344" s="7"/>
      <c r="I344" s="459"/>
      <c r="J344" s="6"/>
      <c r="K344" s="6"/>
      <c r="L344" s="7"/>
      <c r="M344" s="460"/>
      <c r="N344" s="461"/>
      <c r="O344" s="461"/>
      <c r="P344" s="461"/>
      <c r="Q344" s="461"/>
      <c r="S344" s="3"/>
      <c r="T344" s="3"/>
      <c r="U344" s="3"/>
      <c r="V344" s="3"/>
      <c r="W344" s="3"/>
      <c r="X344" s="3"/>
      <c r="Y344" s="3"/>
      <c r="Z344" s="3"/>
      <c r="AA344" s="3"/>
      <c r="AB344" s="3"/>
      <c r="AC344" s="3"/>
      <c r="AD344" s="3"/>
      <c r="AE344" s="3"/>
      <c r="AF344" s="3"/>
      <c r="AG344" s="3"/>
      <c r="AH344" s="3"/>
      <c r="AI344" s="3"/>
      <c r="AJ344" s="3"/>
      <c r="AK344" s="3"/>
    </row>
    <row r="345" ht="15.75" customHeight="1">
      <c r="A345" s="3"/>
      <c r="B345" s="321"/>
      <c r="C345" s="399"/>
      <c r="D345" s="458"/>
      <c r="E345" s="462"/>
      <c r="F345" s="458"/>
      <c r="G345" s="463"/>
      <c r="H345" s="7"/>
      <c r="I345" s="321"/>
      <c r="J345" s="321"/>
      <c r="K345" s="463"/>
      <c r="L345" s="7"/>
      <c r="M345" s="321"/>
      <c r="N345" s="321"/>
      <c r="O345" s="321"/>
      <c r="P345" s="321"/>
      <c r="Q345" s="321"/>
      <c r="S345" s="3"/>
      <c r="T345" s="3"/>
      <c r="U345" s="3"/>
      <c r="V345" s="3"/>
      <c r="W345" s="3"/>
      <c r="X345" s="3"/>
      <c r="Y345" s="3"/>
      <c r="Z345" s="3"/>
      <c r="AA345" s="3"/>
      <c r="AB345" s="3"/>
      <c r="AC345" s="3"/>
      <c r="AD345" s="3"/>
      <c r="AE345" s="3"/>
      <c r="AF345" s="3"/>
      <c r="AG345" s="3"/>
      <c r="AH345" s="3"/>
      <c r="AI345" s="3"/>
      <c r="AJ345" s="3"/>
      <c r="AK345" s="3"/>
    </row>
    <row r="346" ht="15.75" customHeight="1">
      <c r="A346" s="3"/>
      <c r="B346" s="463"/>
      <c r="C346" s="7"/>
      <c r="D346" s="458"/>
      <c r="E346" s="463"/>
      <c r="F346" s="7"/>
      <c r="G346" s="321"/>
      <c r="H346" s="321"/>
      <c r="I346" s="321"/>
      <c r="J346" s="321"/>
      <c r="K346" s="321"/>
      <c r="L346" s="321"/>
      <c r="M346" s="321"/>
      <c r="N346" s="321"/>
      <c r="O346" s="321"/>
      <c r="P346" s="321"/>
      <c r="Q346" s="321"/>
      <c r="S346" s="3"/>
      <c r="T346" s="3"/>
      <c r="U346" s="3"/>
      <c r="V346" s="3"/>
      <c r="W346" s="3"/>
      <c r="X346" s="3"/>
      <c r="Y346" s="3"/>
      <c r="Z346" s="3"/>
      <c r="AA346" s="3"/>
      <c r="AB346" s="3"/>
      <c r="AC346" s="3"/>
      <c r="AD346" s="3"/>
      <c r="AE346" s="3"/>
      <c r="AF346" s="3"/>
      <c r="AG346" s="3"/>
      <c r="AH346" s="3"/>
      <c r="AI346" s="3"/>
      <c r="AJ346" s="3"/>
      <c r="AK346" s="3"/>
    </row>
    <row r="347" ht="15.75" customHeight="1">
      <c r="A347" s="3"/>
      <c r="B347" s="321"/>
      <c r="C347" s="457"/>
      <c r="D347" s="6"/>
      <c r="E347" s="7"/>
      <c r="F347" s="458"/>
      <c r="G347" s="457"/>
      <c r="H347" s="7"/>
      <c r="I347" s="457"/>
      <c r="J347" s="6"/>
      <c r="K347" s="6"/>
      <c r="L347" s="7"/>
      <c r="M347" s="457"/>
      <c r="N347" s="6"/>
      <c r="O347" s="6"/>
      <c r="P347" s="6"/>
      <c r="Q347" s="7"/>
      <c r="S347" s="3"/>
      <c r="T347" s="3"/>
      <c r="U347" s="3"/>
      <c r="V347" s="3"/>
      <c r="W347" s="3"/>
      <c r="X347" s="3"/>
      <c r="Y347" s="3"/>
      <c r="Z347" s="3"/>
      <c r="AA347" s="3"/>
      <c r="AB347" s="3"/>
      <c r="AC347" s="3"/>
      <c r="AD347" s="3"/>
      <c r="AE347" s="3"/>
      <c r="AF347" s="3"/>
      <c r="AG347" s="3"/>
      <c r="AH347" s="3"/>
      <c r="AI347" s="3"/>
      <c r="AJ347" s="3"/>
      <c r="AK347" s="3"/>
    </row>
    <row r="348" ht="15.75" customHeight="1">
      <c r="A348" s="3"/>
      <c r="B348" s="321"/>
      <c r="C348" s="457"/>
      <c r="D348" s="6"/>
      <c r="E348" s="7"/>
      <c r="F348" s="458"/>
      <c r="G348" s="457"/>
      <c r="H348" s="7"/>
      <c r="I348" s="327"/>
      <c r="J348" s="457"/>
      <c r="K348" s="6"/>
      <c r="L348" s="7"/>
      <c r="M348" s="457"/>
      <c r="N348" s="6"/>
      <c r="O348" s="6"/>
      <c r="P348" s="6"/>
      <c r="Q348" s="7"/>
      <c r="S348" s="3"/>
      <c r="T348" s="3"/>
      <c r="U348" s="3"/>
      <c r="V348" s="3"/>
      <c r="W348" s="3"/>
      <c r="X348" s="3"/>
      <c r="Y348" s="3"/>
      <c r="Z348" s="3"/>
      <c r="AA348" s="3"/>
      <c r="AB348" s="3"/>
      <c r="AC348" s="3"/>
      <c r="AD348" s="3"/>
      <c r="AE348" s="3"/>
      <c r="AF348" s="3"/>
      <c r="AG348" s="3"/>
      <c r="AH348" s="3"/>
      <c r="AI348" s="3"/>
      <c r="AJ348" s="3"/>
      <c r="AK348" s="3"/>
    </row>
    <row r="349" ht="15.75" customHeight="1">
      <c r="A349" s="3"/>
      <c r="B349" s="466"/>
      <c r="C349" s="460"/>
      <c r="D349" s="460"/>
      <c r="E349" s="939"/>
      <c r="F349" s="460"/>
      <c r="G349" s="460"/>
      <c r="H349" s="460"/>
      <c r="I349" s="460"/>
      <c r="J349" s="460"/>
      <c r="K349" s="460"/>
      <c r="L349" s="460"/>
      <c r="M349" s="940"/>
      <c r="O349" s="458"/>
      <c r="P349" s="458"/>
      <c r="Q349" s="458"/>
      <c r="S349" s="3"/>
      <c r="T349" s="3"/>
      <c r="U349" s="3"/>
      <c r="V349" s="3"/>
      <c r="W349" s="3"/>
      <c r="X349" s="3"/>
      <c r="Y349" s="3"/>
      <c r="Z349" s="3"/>
      <c r="AA349" s="3"/>
      <c r="AB349" s="3"/>
      <c r="AC349" s="3"/>
      <c r="AD349" s="3"/>
      <c r="AE349" s="3"/>
      <c r="AF349" s="3"/>
      <c r="AG349" s="3"/>
      <c r="AH349" s="3"/>
      <c r="AI349" s="3"/>
      <c r="AJ349" s="3"/>
      <c r="AK349" s="3"/>
    </row>
    <row r="350" ht="15.75" customHeight="1">
      <c r="A350" s="3"/>
      <c r="B350" s="466"/>
      <c r="C350" s="667"/>
      <c r="D350" s="466"/>
      <c r="E350" s="663"/>
      <c r="F350" s="466"/>
      <c r="G350" s="466"/>
      <c r="H350" s="466"/>
      <c r="I350" s="466"/>
      <c r="J350" s="466"/>
      <c r="K350" s="466"/>
      <c r="L350" s="466"/>
      <c r="M350" s="466"/>
      <c r="N350" s="466"/>
      <c r="O350" s="466"/>
      <c r="P350" s="466"/>
      <c r="Q350" s="466"/>
      <c r="S350" s="3"/>
      <c r="T350" s="3"/>
      <c r="U350" s="3"/>
      <c r="V350" s="3"/>
      <c r="W350" s="3"/>
      <c r="X350" s="3"/>
      <c r="Y350" s="3"/>
      <c r="Z350" s="3"/>
      <c r="AA350" s="3"/>
      <c r="AB350" s="3"/>
      <c r="AC350" s="3"/>
      <c r="AD350" s="3"/>
      <c r="AE350" s="3"/>
      <c r="AF350" s="3"/>
      <c r="AG350" s="3"/>
      <c r="AH350" s="3"/>
      <c r="AI350" s="3"/>
      <c r="AJ350" s="3"/>
      <c r="AK350" s="3"/>
    </row>
    <row r="351" ht="15.75" customHeight="1">
      <c r="A351" s="3"/>
      <c r="B351" s="466"/>
      <c r="C351" s="667"/>
      <c r="D351" s="667"/>
      <c r="E351" s="668"/>
      <c r="F351" s="667"/>
      <c r="G351" s="667"/>
      <c r="H351" s="667"/>
      <c r="I351" s="667"/>
      <c r="J351" s="667"/>
      <c r="K351" s="667"/>
      <c r="L351" s="667"/>
      <c r="M351" s="667"/>
      <c r="N351" s="667"/>
      <c r="O351" s="667"/>
      <c r="P351" s="667"/>
      <c r="Q351" s="667"/>
      <c r="S351" s="3"/>
      <c r="T351" s="3"/>
      <c r="U351" s="3"/>
      <c r="V351" s="3"/>
      <c r="W351" s="3"/>
      <c r="X351" s="3"/>
      <c r="Y351" s="3"/>
      <c r="Z351" s="3"/>
      <c r="AA351" s="3"/>
      <c r="AB351" s="3"/>
      <c r="AC351" s="3"/>
      <c r="AD351" s="3"/>
      <c r="AE351" s="3"/>
      <c r="AF351" s="3"/>
      <c r="AG351" s="3"/>
      <c r="AH351" s="3"/>
      <c r="AI351" s="3"/>
      <c r="AJ351" s="3"/>
      <c r="AK351" s="3"/>
    </row>
    <row r="352" ht="15.75" customHeight="1">
      <c r="A352" s="3"/>
      <c r="B352" s="466"/>
      <c r="C352" s="667"/>
      <c r="D352" s="667"/>
      <c r="E352" s="668"/>
      <c r="F352" s="667"/>
      <c r="G352" s="667"/>
      <c r="H352" s="667"/>
      <c r="I352" s="667"/>
      <c r="J352" s="667"/>
      <c r="K352" s="667"/>
      <c r="L352" s="667"/>
      <c r="M352" s="667"/>
      <c r="N352" s="667"/>
      <c r="O352" s="667"/>
      <c r="P352" s="667"/>
      <c r="Q352" s="667"/>
      <c r="S352" s="3"/>
      <c r="T352" s="3"/>
      <c r="U352" s="3"/>
      <c r="V352" s="3"/>
      <c r="W352" s="3"/>
      <c r="X352" s="3"/>
      <c r="Y352" s="3"/>
      <c r="Z352" s="3"/>
      <c r="AA352" s="3"/>
      <c r="AB352" s="3"/>
      <c r="AC352" s="3"/>
      <c r="AD352" s="3"/>
      <c r="AE352" s="3"/>
      <c r="AF352" s="3"/>
      <c r="AG352" s="3"/>
      <c r="AH352" s="3"/>
      <c r="AI352" s="3"/>
      <c r="AJ352" s="3"/>
      <c r="AK352" s="3"/>
    </row>
    <row r="353" ht="15.75" customHeight="1">
      <c r="A353" s="3"/>
      <c r="B353" s="466"/>
      <c r="C353" s="667"/>
      <c r="D353" s="667"/>
      <c r="E353" s="668"/>
      <c r="F353" s="667"/>
      <c r="G353" s="667"/>
      <c r="H353" s="667"/>
      <c r="I353" s="667"/>
      <c r="J353" s="667"/>
      <c r="K353" s="667"/>
      <c r="L353" s="667"/>
      <c r="M353" s="667"/>
      <c r="N353" s="667"/>
      <c r="O353" s="667"/>
      <c r="P353" s="667"/>
      <c r="Q353" s="667"/>
      <c r="S353" s="3"/>
      <c r="T353" s="3"/>
      <c r="U353" s="3"/>
      <c r="V353" s="3"/>
      <c r="W353" s="3"/>
      <c r="X353" s="3"/>
      <c r="Y353" s="3"/>
      <c r="Z353" s="3"/>
      <c r="AA353" s="3"/>
      <c r="AB353" s="3"/>
      <c r="AC353" s="3"/>
      <c r="AD353" s="3"/>
      <c r="AE353" s="3"/>
      <c r="AF353" s="3"/>
      <c r="AG353" s="3"/>
      <c r="AH353" s="3"/>
      <c r="AI353" s="3"/>
      <c r="AJ353" s="3"/>
      <c r="AK353" s="3"/>
    </row>
    <row r="354" ht="15.75" customHeight="1">
      <c r="A354" s="3"/>
      <c r="B354" s="466"/>
      <c r="C354" s="667"/>
      <c r="D354" s="667"/>
      <c r="E354" s="668"/>
      <c r="F354" s="667"/>
      <c r="G354" s="667"/>
      <c r="H354" s="667"/>
      <c r="I354" s="667"/>
      <c r="J354" s="667"/>
      <c r="K354" s="667"/>
      <c r="L354" s="667"/>
      <c r="M354" s="667"/>
      <c r="N354" s="667"/>
      <c r="O354" s="667"/>
      <c r="P354" s="667"/>
      <c r="Q354" s="667"/>
      <c r="S354" s="3"/>
      <c r="T354" s="3"/>
      <c r="U354" s="3"/>
      <c r="V354" s="3"/>
      <c r="W354" s="3"/>
      <c r="X354" s="3"/>
      <c r="Y354" s="3"/>
      <c r="Z354" s="3"/>
      <c r="AA354" s="3"/>
      <c r="AB354" s="3"/>
      <c r="AC354" s="3"/>
      <c r="AD354" s="3"/>
      <c r="AE354" s="3"/>
      <c r="AF354" s="3"/>
      <c r="AG354" s="3"/>
      <c r="AH354" s="3"/>
      <c r="AI354" s="3"/>
      <c r="AJ354" s="3"/>
      <c r="AK354" s="3"/>
    </row>
    <row r="355" ht="15.75" customHeight="1">
      <c r="A355" s="3"/>
      <c r="B355" s="466"/>
      <c r="C355" s="667"/>
      <c r="D355" s="667"/>
      <c r="E355" s="668"/>
      <c r="F355" s="667"/>
      <c r="G355" s="667"/>
      <c r="H355" s="667"/>
      <c r="I355" s="667"/>
      <c r="J355" s="667"/>
      <c r="K355" s="667"/>
      <c r="L355" s="667"/>
      <c r="M355" s="667"/>
      <c r="N355" s="667"/>
      <c r="O355" s="667"/>
      <c r="P355" s="667"/>
      <c r="Q355" s="667"/>
      <c r="S355" s="3"/>
      <c r="T355" s="3"/>
      <c r="U355" s="3"/>
      <c r="V355" s="3"/>
      <c r="W355" s="3"/>
      <c r="X355" s="3"/>
      <c r="Y355" s="3"/>
      <c r="Z355" s="3"/>
      <c r="AA355" s="3"/>
      <c r="AB355" s="3"/>
      <c r="AC355" s="3"/>
      <c r="AD355" s="3"/>
      <c r="AE355" s="3"/>
      <c r="AF355" s="3"/>
      <c r="AG355" s="3"/>
      <c r="AH355" s="3"/>
      <c r="AI355" s="3"/>
      <c r="AJ355" s="3"/>
      <c r="AK355" s="3"/>
    </row>
    <row r="356" ht="15.75" customHeight="1">
      <c r="A356" s="3"/>
      <c r="B356" s="466"/>
      <c r="C356" s="667"/>
      <c r="D356" s="667"/>
      <c r="E356" s="668"/>
      <c r="F356" s="667"/>
      <c r="G356" s="667"/>
      <c r="H356" s="667"/>
      <c r="I356" s="667"/>
      <c r="J356" s="667"/>
      <c r="K356" s="667"/>
      <c r="L356" s="667"/>
      <c r="M356" s="667"/>
      <c r="N356" s="667"/>
      <c r="O356" s="667"/>
      <c r="P356" s="667"/>
      <c r="Q356" s="667"/>
      <c r="S356" s="3"/>
      <c r="T356" s="3"/>
      <c r="U356" s="3"/>
      <c r="V356" s="3"/>
      <c r="W356" s="3"/>
      <c r="X356" s="3"/>
      <c r="Y356" s="3"/>
      <c r="Z356" s="3"/>
      <c r="AA356" s="3"/>
      <c r="AB356" s="3"/>
      <c r="AC356" s="3"/>
      <c r="AD356" s="3"/>
      <c r="AE356" s="3"/>
      <c r="AF356" s="3"/>
      <c r="AG356" s="3"/>
      <c r="AH356" s="3"/>
      <c r="AI356" s="3"/>
      <c r="AJ356" s="3"/>
      <c r="AK356" s="3"/>
    </row>
    <row r="357" ht="15.75" customHeight="1">
      <c r="A357" s="3"/>
      <c r="B357" s="466"/>
      <c r="C357" s="667"/>
      <c r="D357" s="667"/>
      <c r="E357" s="668"/>
      <c r="F357" s="667"/>
      <c r="G357" s="667"/>
      <c r="H357" s="667"/>
      <c r="I357" s="667"/>
      <c r="J357" s="667"/>
      <c r="K357" s="667"/>
      <c r="L357" s="667"/>
      <c r="M357" s="667"/>
      <c r="N357" s="667"/>
      <c r="O357" s="667"/>
      <c r="P357" s="667"/>
      <c r="Q357" s="667"/>
      <c r="S357" s="3"/>
      <c r="T357" s="3"/>
      <c r="U357" s="3"/>
      <c r="V357" s="3"/>
      <c r="W357" s="3"/>
      <c r="X357" s="3"/>
      <c r="Y357" s="3"/>
      <c r="Z357" s="3"/>
      <c r="AA357" s="3"/>
      <c r="AB357" s="3"/>
      <c r="AC357" s="3"/>
      <c r="AD357" s="3"/>
      <c r="AE357" s="3"/>
      <c r="AF357" s="3"/>
      <c r="AG357" s="3"/>
      <c r="AH357" s="3"/>
      <c r="AI357" s="3"/>
      <c r="AJ357" s="3"/>
      <c r="AK357" s="3"/>
    </row>
    <row r="358" ht="15.75" customHeight="1">
      <c r="A358" s="3"/>
      <c r="B358" s="466"/>
      <c r="C358" s="667"/>
      <c r="D358" s="667"/>
      <c r="E358" s="668"/>
      <c r="F358" s="667"/>
      <c r="G358" s="667"/>
      <c r="H358" s="667"/>
      <c r="I358" s="667"/>
      <c r="J358" s="667"/>
      <c r="K358" s="667"/>
      <c r="L358" s="667"/>
      <c r="M358" s="667"/>
      <c r="N358" s="667"/>
      <c r="O358" s="667"/>
      <c r="P358" s="667"/>
      <c r="Q358" s="667"/>
      <c r="S358" s="3"/>
      <c r="T358" s="3"/>
      <c r="U358" s="3"/>
      <c r="V358" s="3"/>
      <c r="W358" s="3"/>
      <c r="X358" s="3"/>
      <c r="Y358" s="3"/>
      <c r="Z358" s="3"/>
      <c r="AA358" s="3"/>
      <c r="AB358" s="3"/>
      <c r="AC358" s="3"/>
      <c r="AD358" s="3"/>
      <c r="AE358" s="3"/>
      <c r="AF358" s="3"/>
      <c r="AG358" s="3"/>
      <c r="AH358" s="3"/>
      <c r="AI358" s="3"/>
      <c r="AJ358" s="3"/>
      <c r="AK358" s="3"/>
    </row>
    <row r="359" ht="15.75" customHeight="1">
      <c r="A359" s="3"/>
      <c r="B359" s="466"/>
      <c r="C359" s="667"/>
      <c r="D359" s="667"/>
      <c r="E359" s="668"/>
      <c r="F359" s="667"/>
      <c r="G359" s="667"/>
      <c r="H359" s="667"/>
      <c r="I359" s="667"/>
      <c r="J359" s="667"/>
      <c r="K359" s="667"/>
      <c r="L359" s="667"/>
      <c r="M359" s="667"/>
      <c r="N359" s="667"/>
      <c r="O359" s="667"/>
      <c r="P359" s="667"/>
      <c r="Q359" s="667"/>
      <c r="S359" s="3"/>
      <c r="T359" s="3"/>
      <c r="U359" s="3"/>
      <c r="V359" s="3"/>
      <c r="W359" s="3"/>
      <c r="X359" s="3"/>
      <c r="Y359" s="3"/>
      <c r="Z359" s="3"/>
      <c r="AA359" s="3"/>
      <c r="AB359" s="3"/>
      <c r="AC359" s="3"/>
      <c r="AD359" s="3"/>
      <c r="AE359" s="3"/>
      <c r="AF359" s="3"/>
      <c r="AG359" s="3"/>
      <c r="AH359" s="3"/>
      <c r="AI359" s="3"/>
      <c r="AJ359" s="3"/>
      <c r="AK359" s="3"/>
    </row>
    <row r="360" ht="15.75" customHeight="1">
      <c r="A360" s="3"/>
      <c r="B360" s="466"/>
      <c r="C360" s="667"/>
      <c r="D360" s="667"/>
      <c r="E360" s="668"/>
      <c r="F360" s="667"/>
      <c r="G360" s="667"/>
      <c r="H360" s="667"/>
      <c r="I360" s="667"/>
      <c r="J360" s="667"/>
      <c r="K360" s="667"/>
      <c r="L360" s="667"/>
      <c r="M360" s="667"/>
      <c r="N360" s="667"/>
      <c r="O360" s="667"/>
      <c r="P360" s="667"/>
      <c r="Q360" s="667"/>
      <c r="S360" s="3"/>
      <c r="T360" s="3"/>
      <c r="U360" s="3"/>
      <c r="V360" s="3"/>
      <c r="W360" s="3"/>
      <c r="X360" s="3"/>
      <c r="Y360" s="3"/>
      <c r="Z360" s="3"/>
      <c r="AA360" s="3"/>
      <c r="AB360" s="3"/>
      <c r="AC360" s="3"/>
      <c r="AD360" s="3"/>
      <c r="AE360" s="3"/>
      <c r="AF360" s="3"/>
      <c r="AG360" s="3"/>
      <c r="AH360" s="3"/>
      <c r="AI360" s="3"/>
      <c r="AJ360" s="3"/>
      <c r="AK360" s="3"/>
    </row>
    <row r="361" ht="15.75" customHeight="1">
      <c r="A361" s="3"/>
      <c r="B361" s="466"/>
      <c r="C361" s="667"/>
      <c r="D361" s="667"/>
      <c r="E361" s="668"/>
      <c r="F361" s="667"/>
      <c r="G361" s="667"/>
      <c r="H361" s="667"/>
      <c r="I361" s="667"/>
      <c r="J361" s="667"/>
      <c r="K361" s="667"/>
      <c r="L361" s="667"/>
      <c r="M361" s="667"/>
      <c r="N361" s="667"/>
      <c r="O361" s="667"/>
      <c r="P361" s="667"/>
      <c r="Q361" s="667"/>
      <c r="S361" s="3"/>
      <c r="T361" s="3"/>
      <c r="U361" s="3"/>
      <c r="V361" s="3"/>
      <c r="W361" s="3"/>
      <c r="X361" s="3"/>
      <c r="Y361" s="3"/>
      <c r="Z361" s="3"/>
      <c r="AA361" s="3"/>
      <c r="AB361" s="3"/>
      <c r="AC361" s="3"/>
      <c r="AD361" s="3"/>
      <c r="AE361" s="3"/>
      <c r="AF361" s="3"/>
      <c r="AG361" s="3"/>
      <c r="AH361" s="3"/>
      <c r="AI361" s="3"/>
      <c r="AJ361" s="3"/>
      <c r="AK361" s="3"/>
    </row>
    <row r="362" ht="15.75" customHeight="1">
      <c r="A362" s="3"/>
      <c r="B362" s="466"/>
      <c r="C362" s="667"/>
      <c r="D362" s="667"/>
      <c r="E362" s="668"/>
      <c r="F362" s="667"/>
      <c r="G362" s="667"/>
      <c r="H362" s="667"/>
      <c r="I362" s="667"/>
      <c r="J362" s="667"/>
      <c r="K362" s="667"/>
      <c r="L362" s="667"/>
      <c r="M362" s="667"/>
      <c r="N362" s="667"/>
      <c r="O362" s="667"/>
      <c r="P362" s="667"/>
      <c r="Q362" s="667"/>
      <c r="S362" s="3"/>
      <c r="T362" s="3"/>
      <c r="U362" s="3"/>
      <c r="V362" s="3"/>
      <c r="W362" s="3"/>
      <c r="X362" s="3"/>
      <c r="Y362" s="3"/>
      <c r="Z362" s="3"/>
      <c r="AA362" s="3"/>
      <c r="AB362" s="3"/>
      <c r="AC362" s="3"/>
      <c r="AD362" s="3"/>
      <c r="AE362" s="3"/>
      <c r="AF362" s="3"/>
      <c r="AG362" s="3"/>
      <c r="AH362" s="3"/>
      <c r="AI362" s="3"/>
      <c r="AJ362" s="3"/>
      <c r="AK362" s="3"/>
    </row>
    <row r="363" ht="15.75" customHeight="1">
      <c r="A363" s="3"/>
      <c r="B363" s="466"/>
      <c r="C363" s="667"/>
      <c r="D363" s="667"/>
      <c r="E363" s="668"/>
      <c r="F363" s="667"/>
      <c r="G363" s="667"/>
      <c r="H363" s="667"/>
      <c r="I363" s="667"/>
      <c r="J363" s="667"/>
      <c r="K363" s="667"/>
      <c r="L363" s="667"/>
      <c r="M363" s="667"/>
      <c r="N363" s="667"/>
      <c r="O363" s="667"/>
      <c r="P363" s="667"/>
      <c r="Q363" s="667"/>
      <c r="S363" s="3"/>
      <c r="T363" s="3"/>
      <c r="U363" s="3"/>
      <c r="V363" s="3"/>
      <c r="W363" s="3"/>
      <c r="X363" s="3"/>
      <c r="Y363" s="3"/>
      <c r="Z363" s="3"/>
      <c r="AA363" s="3"/>
      <c r="AB363" s="3"/>
      <c r="AC363" s="3"/>
      <c r="AD363" s="3"/>
      <c r="AE363" s="3"/>
      <c r="AF363" s="3"/>
      <c r="AG363" s="3"/>
      <c r="AH363" s="3"/>
      <c r="AI363" s="3"/>
      <c r="AJ363" s="3"/>
      <c r="AK363" s="3"/>
    </row>
    <row r="364" ht="15.75" customHeight="1">
      <c r="A364" s="3"/>
      <c r="B364" s="466"/>
      <c r="C364" s="667"/>
      <c r="D364" s="667"/>
      <c r="E364" s="668"/>
      <c r="F364" s="667"/>
      <c r="G364" s="667"/>
      <c r="H364" s="667"/>
      <c r="I364" s="667"/>
      <c r="J364" s="667"/>
      <c r="K364" s="667"/>
      <c r="L364" s="667"/>
      <c r="M364" s="667"/>
      <c r="N364" s="667"/>
      <c r="O364" s="667"/>
      <c r="P364" s="667"/>
      <c r="Q364" s="667"/>
      <c r="S364" s="3"/>
      <c r="T364" s="3"/>
      <c r="U364" s="3"/>
      <c r="V364" s="3"/>
      <c r="W364" s="3"/>
      <c r="X364" s="3"/>
      <c r="Y364" s="3"/>
      <c r="Z364" s="3"/>
      <c r="AA364" s="3"/>
      <c r="AB364" s="3"/>
      <c r="AC364" s="3"/>
      <c r="AD364" s="3"/>
      <c r="AE364" s="3"/>
      <c r="AF364" s="3"/>
      <c r="AG364" s="3"/>
      <c r="AH364" s="3"/>
      <c r="AI364" s="3"/>
      <c r="AJ364" s="3"/>
      <c r="AK364" s="3"/>
    </row>
    <row r="365" ht="15.75" customHeight="1">
      <c r="A365" s="3"/>
      <c r="B365" s="466"/>
      <c r="C365" s="667"/>
      <c r="D365" s="667"/>
      <c r="E365" s="668"/>
      <c r="F365" s="667"/>
      <c r="G365" s="667"/>
      <c r="H365" s="667"/>
      <c r="I365" s="667"/>
      <c r="J365" s="667"/>
      <c r="K365" s="667"/>
      <c r="L365" s="667"/>
      <c r="M365" s="667"/>
      <c r="N365" s="667"/>
      <c r="O365" s="667"/>
      <c r="P365" s="667"/>
      <c r="Q365" s="667"/>
      <c r="S365" s="3"/>
      <c r="T365" s="3"/>
      <c r="U365" s="3"/>
      <c r="V365" s="3"/>
      <c r="W365" s="3"/>
      <c r="X365" s="3"/>
      <c r="Y365" s="3"/>
      <c r="Z365" s="3"/>
      <c r="AA365" s="3"/>
      <c r="AB365" s="3"/>
      <c r="AC365" s="3"/>
      <c r="AD365" s="3"/>
      <c r="AE365" s="3"/>
      <c r="AF365" s="3"/>
      <c r="AG365" s="3"/>
      <c r="AH365" s="3"/>
      <c r="AI365" s="3"/>
      <c r="AJ365" s="3"/>
      <c r="AK365" s="3"/>
    </row>
    <row r="366" ht="15.75" customHeight="1">
      <c r="A366" s="3"/>
      <c r="B366" s="466"/>
      <c r="C366" s="667"/>
      <c r="D366" s="667"/>
      <c r="E366" s="668"/>
      <c r="F366" s="667"/>
      <c r="G366" s="667"/>
      <c r="H366" s="667"/>
      <c r="I366" s="667"/>
      <c r="J366" s="667"/>
      <c r="K366" s="667"/>
      <c r="L366" s="667"/>
      <c r="M366" s="667"/>
      <c r="N366" s="667"/>
      <c r="O366" s="667"/>
      <c r="P366" s="667"/>
      <c r="Q366" s="667"/>
      <c r="S366" s="3"/>
      <c r="T366" s="3"/>
      <c r="U366" s="3"/>
      <c r="V366" s="3"/>
      <c r="W366" s="3"/>
      <c r="X366" s="3"/>
      <c r="Y366" s="3"/>
      <c r="Z366" s="3"/>
      <c r="AA366" s="3"/>
      <c r="AB366" s="3"/>
      <c r="AC366" s="3"/>
      <c r="AD366" s="3"/>
      <c r="AE366" s="3"/>
      <c r="AF366" s="3"/>
      <c r="AG366" s="3"/>
      <c r="AH366" s="3"/>
      <c r="AI366" s="3"/>
      <c r="AJ366" s="3"/>
      <c r="AK366" s="3"/>
    </row>
    <row r="367" ht="15.75" customHeight="1">
      <c r="A367" s="3"/>
      <c r="B367" s="466"/>
      <c r="C367" s="667"/>
      <c r="D367" s="667"/>
      <c r="E367" s="668"/>
      <c r="F367" s="667"/>
      <c r="G367" s="667"/>
      <c r="H367" s="667"/>
      <c r="I367" s="667"/>
      <c r="J367" s="667"/>
      <c r="K367" s="667"/>
      <c r="L367" s="667"/>
      <c r="M367" s="667"/>
      <c r="N367" s="667"/>
      <c r="O367" s="667"/>
      <c r="P367" s="667"/>
      <c r="Q367" s="667"/>
      <c r="S367" s="3"/>
      <c r="T367" s="3"/>
      <c r="U367" s="3"/>
      <c r="V367" s="3"/>
      <c r="W367" s="3"/>
      <c r="X367" s="3"/>
      <c r="Y367" s="3"/>
      <c r="Z367" s="3"/>
      <c r="AA367" s="3"/>
      <c r="AB367" s="3"/>
      <c r="AC367" s="3"/>
      <c r="AD367" s="3"/>
      <c r="AE367" s="3"/>
      <c r="AF367" s="3"/>
      <c r="AG367" s="3"/>
      <c r="AH367" s="3"/>
      <c r="AI367" s="3"/>
      <c r="AJ367" s="3"/>
      <c r="AK367" s="3"/>
    </row>
    <row r="368" ht="15.75" customHeight="1">
      <c r="A368" s="3"/>
      <c r="B368" s="466"/>
      <c r="C368" s="667"/>
      <c r="D368" s="667"/>
      <c r="E368" s="668"/>
      <c r="F368" s="667"/>
      <c r="G368" s="667"/>
      <c r="H368" s="667"/>
      <c r="I368" s="667"/>
      <c r="J368" s="667"/>
      <c r="K368" s="667"/>
      <c r="L368" s="667"/>
      <c r="M368" s="667"/>
      <c r="N368" s="667"/>
      <c r="O368" s="667"/>
      <c r="P368" s="667"/>
      <c r="Q368" s="667"/>
      <c r="S368" s="3"/>
      <c r="T368" s="3"/>
      <c r="U368" s="3"/>
      <c r="V368" s="3"/>
      <c r="W368" s="3"/>
      <c r="X368" s="3"/>
      <c r="Y368" s="3"/>
      <c r="Z368" s="3"/>
      <c r="AA368" s="3"/>
      <c r="AB368" s="3"/>
      <c r="AC368" s="3"/>
      <c r="AD368" s="3"/>
      <c r="AE368" s="3"/>
      <c r="AF368" s="3"/>
      <c r="AG368" s="3"/>
      <c r="AH368" s="3"/>
      <c r="AI368" s="3"/>
      <c r="AJ368" s="3"/>
      <c r="AK368" s="3"/>
    </row>
    <row r="369" ht="15.75" customHeight="1">
      <c r="A369" s="3"/>
      <c r="B369" s="466"/>
      <c r="C369" s="667"/>
      <c r="D369" s="667"/>
      <c r="E369" s="668"/>
      <c r="F369" s="667"/>
      <c r="G369" s="667"/>
      <c r="H369" s="667"/>
      <c r="I369" s="667"/>
      <c r="J369" s="667"/>
      <c r="K369" s="667"/>
      <c r="L369" s="667"/>
      <c r="M369" s="667"/>
      <c r="N369" s="667"/>
      <c r="O369" s="667"/>
      <c r="P369" s="667"/>
      <c r="Q369" s="667"/>
      <c r="S369" s="3"/>
      <c r="T369" s="3"/>
      <c r="U369" s="3"/>
      <c r="V369" s="3"/>
      <c r="W369" s="3"/>
      <c r="X369" s="3"/>
      <c r="Y369" s="3"/>
      <c r="Z369" s="3"/>
      <c r="AA369" s="3"/>
      <c r="AB369" s="3"/>
      <c r="AC369" s="3"/>
      <c r="AD369" s="3"/>
      <c r="AE369" s="3"/>
      <c r="AF369" s="3"/>
      <c r="AG369" s="3"/>
      <c r="AH369" s="3"/>
      <c r="AI369" s="3"/>
      <c r="AJ369" s="3"/>
      <c r="AK369" s="3"/>
    </row>
    <row r="370" ht="15.75" customHeight="1">
      <c r="A370" s="3"/>
      <c r="B370" s="466"/>
      <c r="C370" s="667"/>
      <c r="D370" s="667"/>
      <c r="E370" s="668"/>
      <c r="F370" s="667"/>
      <c r="G370" s="667"/>
      <c r="H370" s="667"/>
      <c r="I370" s="667"/>
      <c r="J370" s="667"/>
      <c r="K370" s="667"/>
      <c r="L370" s="667"/>
      <c r="M370" s="667"/>
      <c r="N370" s="667"/>
      <c r="O370" s="667"/>
      <c r="P370" s="667"/>
      <c r="Q370" s="667"/>
      <c r="S370" s="3"/>
      <c r="T370" s="3"/>
      <c r="U370" s="3"/>
      <c r="V370" s="3"/>
      <c r="W370" s="3"/>
      <c r="X370" s="3"/>
      <c r="Y370" s="3"/>
      <c r="Z370" s="3"/>
      <c r="AA370" s="3"/>
      <c r="AB370" s="3"/>
      <c r="AC370" s="3"/>
      <c r="AD370" s="3"/>
      <c r="AE370" s="3"/>
      <c r="AF370" s="3"/>
      <c r="AG370" s="3"/>
      <c r="AH370" s="3"/>
      <c r="AI370" s="3"/>
      <c r="AJ370" s="3"/>
      <c r="AK370" s="3"/>
    </row>
    <row r="371" ht="15.75" customHeight="1">
      <c r="A371" s="3"/>
      <c r="B371" s="466"/>
      <c r="C371" s="667"/>
      <c r="D371" s="667"/>
      <c r="E371" s="668"/>
      <c r="F371" s="667"/>
      <c r="G371" s="667"/>
      <c r="H371" s="667"/>
      <c r="I371" s="667"/>
      <c r="J371" s="667"/>
      <c r="K371" s="667"/>
      <c r="L371" s="667"/>
      <c r="M371" s="667"/>
      <c r="N371" s="667"/>
      <c r="O371" s="667"/>
      <c r="P371" s="667"/>
      <c r="Q371" s="667"/>
      <c r="S371" s="3"/>
      <c r="T371" s="3"/>
      <c r="U371" s="3"/>
      <c r="V371" s="3"/>
      <c r="W371" s="3"/>
      <c r="X371" s="3"/>
      <c r="Y371" s="3"/>
      <c r="Z371" s="3"/>
      <c r="AA371" s="3"/>
      <c r="AB371" s="3"/>
      <c r="AC371" s="3"/>
      <c r="AD371" s="3"/>
      <c r="AE371" s="3"/>
      <c r="AF371" s="3"/>
      <c r="AG371" s="3"/>
      <c r="AH371" s="3"/>
      <c r="AI371" s="3"/>
      <c r="AJ371" s="3"/>
      <c r="AK371" s="3"/>
    </row>
    <row r="372" ht="15.75" customHeight="1">
      <c r="A372" s="3"/>
      <c r="B372" s="466"/>
      <c r="C372" s="667"/>
      <c r="D372" s="667"/>
      <c r="E372" s="668"/>
      <c r="F372" s="667"/>
      <c r="G372" s="667"/>
      <c r="H372" s="667"/>
      <c r="I372" s="667"/>
      <c r="J372" s="667"/>
      <c r="K372" s="667"/>
      <c r="L372" s="667"/>
      <c r="M372" s="667"/>
      <c r="N372" s="667"/>
      <c r="O372" s="667"/>
      <c r="P372" s="667"/>
      <c r="Q372" s="667"/>
      <c r="S372" s="3"/>
      <c r="T372" s="3"/>
      <c r="U372" s="3"/>
      <c r="V372" s="3"/>
      <c r="W372" s="3"/>
      <c r="X372" s="3"/>
      <c r="Y372" s="3"/>
      <c r="Z372" s="3"/>
      <c r="AA372" s="3"/>
      <c r="AB372" s="3"/>
      <c r="AC372" s="3"/>
      <c r="AD372" s="3"/>
      <c r="AE372" s="3"/>
      <c r="AF372" s="3"/>
      <c r="AG372" s="3"/>
      <c r="AH372" s="3"/>
      <c r="AI372" s="3"/>
      <c r="AJ372" s="3"/>
      <c r="AK372" s="3"/>
    </row>
    <row r="373" ht="15.75" customHeight="1">
      <c r="A373" s="3"/>
      <c r="B373" s="466"/>
      <c r="C373" s="667"/>
      <c r="D373" s="667"/>
      <c r="E373" s="668"/>
      <c r="F373" s="667"/>
      <c r="G373" s="667"/>
      <c r="H373" s="667"/>
      <c r="I373" s="667"/>
      <c r="J373" s="667"/>
      <c r="K373" s="667"/>
      <c r="L373" s="667"/>
      <c r="M373" s="667"/>
      <c r="N373" s="667"/>
      <c r="O373" s="667"/>
      <c r="P373" s="667"/>
      <c r="Q373" s="667"/>
      <c r="S373" s="3"/>
      <c r="T373" s="3"/>
      <c r="U373" s="3"/>
      <c r="V373" s="3"/>
      <c r="W373" s="3"/>
      <c r="X373" s="3"/>
      <c r="Y373" s="3"/>
      <c r="Z373" s="3"/>
      <c r="AA373" s="3"/>
      <c r="AB373" s="3"/>
      <c r="AC373" s="3"/>
      <c r="AD373" s="3"/>
      <c r="AE373" s="3"/>
      <c r="AF373" s="3"/>
      <c r="AG373" s="3"/>
      <c r="AH373" s="3"/>
      <c r="AI373" s="3"/>
      <c r="AJ373" s="3"/>
      <c r="AK373" s="3"/>
    </row>
    <row r="374" ht="15.75" customHeight="1">
      <c r="A374" s="3"/>
      <c r="B374" s="466"/>
      <c r="C374" s="667"/>
      <c r="D374" s="667"/>
      <c r="E374" s="668"/>
      <c r="F374" s="667"/>
      <c r="G374" s="667"/>
      <c r="H374" s="667"/>
      <c r="I374" s="667"/>
      <c r="J374" s="667"/>
      <c r="K374" s="667"/>
      <c r="L374" s="667"/>
      <c r="M374" s="667"/>
      <c r="N374" s="667"/>
      <c r="O374" s="667"/>
      <c r="P374" s="667"/>
      <c r="Q374" s="667"/>
      <c r="S374" s="3"/>
      <c r="T374" s="3"/>
      <c r="U374" s="3"/>
      <c r="V374" s="3"/>
      <c r="W374" s="3"/>
      <c r="X374" s="3"/>
      <c r="Y374" s="3"/>
      <c r="Z374" s="3"/>
      <c r="AA374" s="3"/>
      <c r="AB374" s="3"/>
      <c r="AC374" s="3"/>
      <c r="AD374" s="3"/>
      <c r="AE374" s="3"/>
      <c r="AF374" s="3"/>
      <c r="AG374" s="3"/>
      <c r="AH374" s="3"/>
      <c r="AI374" s="3"/>
      <c r="AJ374" s="3"/>
      <c r="AK374" s="3"/>
    </row>
    <row r="375" ht="15.75" customHeight="1">
      <c r="A375" s="3"/>
      <c r="B375" s="466"/>
      <c r="C375" s="667"/>
      <c r="D375" s="667"/>
      <c r="E375" s="668"/>
      <c r="F375" s="667"/>
      <c r="G375" s="667"/>
      <c r="H375" s="667"/>
      <c r="I375" s="667"/>
      <c r="J375" s="667"/>
      <c r="K375" s="667"/>
      <c r="L375" s="667"/>
      <c r="M375" s="667"/>
      <c r="N375" s="667"/>
      <c r="O375" s="667"/>
      <c r="P375" s="667"/>
      <c r="Q375" s="667"/>
      <c r="S375" s="3"/>
      <c r="T375" s="3"/>
      <c r="U375" s="3"/>
      <c r="V375" s="3"/>
      <c r="W375" s="3"/>
      <c r="X375" s="3"/>
      <c r="Y375" s="3"/>
      <c r="Z375" s="3"/>
      <c r="AA375" s="3"/>
      <c r="AB375" s="3"/>
      <c r="AC375" s="3"/>
      <c r="AD375" s="3"/>
      <c r="AE375" s="3"/>
      <c r="AF375" s="3"/>
      <c r="AG375" s="3"/>
      <c r="AH375" s="3"/>
      <c r="AI375" s="3"/>
      <c r="AJ375" s="3"/>
      <c r="AK375" s="3"/>
    </row>
    <row r="376" ht="15.75" customHeight="1">
      <c r="A376" s="3"/>
      <c r="B376" s="466"/>
      <c r="C376" s="667"/>
      <c r="D376" s="667"/>
      <c r="E376" s="668"/>
      <c r="F376" s="667"/>
      <c r="G376" s="667"/>
      <c r="H376" s="667"/>
      <c r="I376" s="667"/>
      <c r="J376" s="667"/>
      <c r="K376" s="667"/>
      <c r="L376" s="667"/>
      <c r="M376" s="667"/>
      <c r="N376" s="667"/>
      <c r="O376" s="667"/>
      <c r="P376" s="667"/>
      <c r="Q376" s="667"/>
      <c r="S376" s="3"/>
      <c r="T376" s="3"/>
      <c r="U376" s="3"/>
      <c r="V376" s="3"/>
      <c r="W376" s="3"/>
      <c r="X376" s="3"/>
      <c r="Y376" s="3"/>
      <c r="Z376" s="3"/>
      <c r="AA376" s="3"/>
      <c r="AB376" s="3"/>
      <c r="AC376" s="3"/>
      <c r="AD376" s="3"/>
      <c r="AE376" s="3"/>
      <c r="AF376" s="3"/>
      <c r="AG376" s="3"/>
      <c r="AH376" s="3"/>
      <c r="AI376" s="3"/>
      <c r="AJ376" s="3"/>
      <c r="AK376" s="3"/>
    </row>
    <row r="377" ht="15.75" customHeight="1">
      <c r="A377" s="3"/>
      <c r="B377" s="466"/>
      <c r="C377" s="667"/>
      <c r="D377" s="667"/>
      <c r="E377" s="668"/>
      <c r="F377" s="667"/>
      <c r="G377" s="667"/>
      <c r="H377" s="667"/>
      <c r="I377" s="667"/>
      <c r="J377" s="667"/>
      <c r="K377" s="667"/>
      <c r="L377" s="667"/>
      <c r="M377" s="667"/>
      <c r="N377" s="667"/>
      <c r="O377" s="667"/>
      <c r="P377" s="667"/>
      <c r="Q377" s="667"/>
      <c r="S377" s="3"/>
      <c r="T377" s="3"/>
      <c r="U377" s="3"/>
      <c r="V377" s="3"/>
      <c r="W377" s="3"/>
      <c r="X377" s="3"/>
      <c r="Y377" s="3"/>
      <c r="Z377" s="3"/>
      <c r="AA377" s="3"/>
      <c r="AB377" s="3"/>
      <c r="AC377" s="3"/>
      <c r="AD377" s="3"/>
      <c r="AE377" s="3"/>
      <c r="AF377" s="3"/>
      <c r="AG377" s="3"/>
      <c r="AH377" s="3"/>
      <c r="AI377" s="3"/>
      <c r="AJ377" s="3"/>
      <c r="AK377" s="3"/>
    </row>
    <row r="378" ht="15.75" customHeight="1">
      <c r="A378" s="3"/>
      <c r="B378" s="466"/>
      <c r="C378" s="667"/>
      <c r="D378" s="667"/>
      <c r="E378" s="668"/>
      <c r="F378" s="667"/>
      <c r="G378" s="667"/>
      <c r="H378" s="667"/>
      <c r="I378" s="667"/>
      <c r="J378" s="667"/>
      <c r="K378" s="667"/>
      <c r="L378" s="667"/>
      <c r="M378" s="667"/>
      <c r="N378" s="667"/>
      <c r="O378" s="667"/>
      <c r="P378" s="667"/>
      <c r="Q378" s="667"/>
      <c r="S378" s="3"/>
      <c r="T378" s="3"/>
      <c r="U378" s="3"/>
      <c r="V378" s="3"/>
      <c r="W378" s="3"/>
      <c r="X378" s="3"/>
      <c r="Y378" s="3"/>
      <c r="Z378" s="3"/>
      <c r="AA378" s="3"/>
      <c r="AB378" s="3"/>
      <c r="AC378" s="3"/>
      <c r="AD378" s="3"/>
      <c r="AE378" s="3"/>
      <c r="AF378" s="3"/>
      <c r="AG378" s="3"/>
      <c r="AH378" s="3"/>
      <c r="AI378" s="3"/>
      <c r="AJ378" s="3"/>
      <c r="AK378" s="3"/>
    </row>
    <row r="379" ht="15.75" customHeight="1">
      <c r="A379" s="3"/>
      <c r="B379" s="466"/>
      <c r="C379" s="667"/>
      <c r="D379" s="667"/>
      <c r="E379" s="668"/>
      <c r="F379" s="667"/>
      <c r="G379" s="667"/>
      <c r="H379" s="667"/>
      <c r="I379" s="667"/>
      <c r="J379" s="667"/>
      <c r="K379" s="667"/>
      <c r="L379" s="667"/>
      <c r="M379" s="667"/>
      <c r="N379" s="667"/>
      <c r="O379" s="667"/>
      <c r="P379" s="667"/>
      <c r="Q379" s="667"/>
      <c r="S379" s="3"/>
      <c r="T379" s="3"/>
      <c r="U379" s="3"/>
      <c r="V379" s="3"/>
      <c r="W379" s="3"/>
      <c r="X379" s="3"/>
      <c r="Y379" s="3"/>
      <c r="Z379" s="3"/>
      <c r="AA379" s="3"/>
      <c r="AB379" s="3"/>
      <c r="AC379" s="3"/>
      <c r="AD379" s="3"/>
      <c r="AE379" s="3"/>
      <c r="AF379" s="3"/>
      <c r="AG379" s="3"/>
      <c r="AH379" s="3"/>
      <c r="AI379" s="3"/>
      <c r="AJ379" s="3"/>
      <c r="AK379" s="3"/>
    </row>
    <row r="380" ht="15.75" customHeight="1">
      <c r="A380" s="3"/>
      <c r="B380" s="466"/>
      <c r="C380" s="667"/>
      <c r="D380" s="667"/>
      <c r="E380" s="668"/>
      <c r="F380" s="667"/>
      <c r="G380" s="667"/>
      <c r="H380" s="667"/>
      <c r="I380" s="667"/>
      <c r="J380" s="667"/>
      <c r="K380" s="667"/>
      <c r="L380" s="667"/>
      <c r="M380" s="667"/>
      <c r="N380" s="667"/>
      <c r="O380" s="667"/>
      <c r="P380" s="667"/>
      <c r="Q380" s="667"/>
      <c r="S380" s="3"/>
      <c r="T380" s="3"/>
      <c r="U380" s="3"/>
      <c r="V380" s="3"/>
      <c r="W380" s="3"/>
      <c r="X380" s="3"/>
      <c r="Y380" s="3"/>
      <c r="Z380" s="3"/>
      <c r="AA380" s="3"/>
      <c r="AB380" s="3"/>
      <c r="AC380" s="3"/>
      <c r="AD380" s="3"/>
      <c r="AE380" s="3"/>
      <c r="AF380" s="3"/>
      <c r="AG380" s="3"/>
      <c r="AH380" s="3"/>
      <c r="AI380" s="3"/>
      <c r="AJ380" s="3"/>
      <c r="AK380" s="3"/>
    </row>
    <row r="381" ht="15.75" customHeight="1">
      <c r="A381" s="3"/>
      <c r="B381" s="466"/>
      <c r="C381" s="667"/>
      <c r="D381" s="667"/>
      <c r="E381" s="668"/>
      <c r="F381" s="667"/>
      <c r="G381" s="667"/>
      <c r="H381" s="667"/>
      <c r="I381" s="667"/>
      <c r="J381" s="667"/>
      <c r="K381" s="667"/>
      <c r="L381" s="667"/>
      <c r="M381" s="667"/>
      <c r="N381" s="667"/>
      <c r="O381" s="667"/>
      <c r="P381" s="667"/>
      <c r="Q381" s="667"/>
      <c r="S381" s="3"/>
      <c r="T381" s="3"/>
      <c r="U381" s="3"/>
      <c r="V381" s="3"/>
      <c r="W381" s="3"/>
      <c r="X381" s="3"/>
      <c r="Y381" s="3"/>
      <c r="Z381" s="3"/>
      <c r="AA381" s="3"/>
      <c r="AB381" s="3"/>
      <c r="AC381" s="3"/>
      <c r="AD381" s="3"/>
      <c r="AE381" s="3"/>
      <c r="AF381" s="3"/>
      <c r="AG381" s="3"/>
      <c r="AH381" s="3"/>
      <c r="AI381" s="3"/>
      <c r="AJ381" s="3"/>
      <c r="AK381" s="3"/>
    </row>
    <row r="382" ht="15.75" customHeight="1">
      <c r="A382" s="3"/>
      <c r="B382" s="466"/>
      <c r="C382" s="667"/>
      <c r="D382" s="667"/>
      <c r="E382" s="668"/>
      <c r="F382" s="667"/>
      <c r="G382" s="667"/>
      <c r="H382" s="667"/>
      <c r="I382" s="667"/>
      <c r="J382" s="667"/>
      <c r="K382" s="667"/>
      <c r="L382" s="667"/>
      <c r="M382" s="667"/>
      <c r="N382" s="667"/>
      <c r="O382" s="667"/>
      <c r="P382" s="667"/>
      <c r="Q382" s="667"/>
      <c r="S382" s="3"/>
      <c r="T382" s="3"/>
      <c r="U382" s="3"/>
      <c r="V382" s="3"/>
      <c r="W382" s="3"/>
      <c r="X382" s="3"/>
      <c r="Y382" s="3"/>
      <c r="Z382" s="3"/>
      <c r="AA382" s="3"/>
      <c r="AB382" s="3"/>
      <c r="AC382" s="3"/>
      <c r="AD382" s="3"/>
      <c r="AE382" s="3"/>
      <c r="AF382" s="3"/>
      <c r="AG382" s="3"/>
      <c r="AH382" s="3"/>
      <c r="AI382" s="3"/>
      <c r="AJ382" s="3"/>
      <c r="AK382" s="3"/>
    </row>
    <row r="383" ht="15.75" customHeight="1">
      <c r="A383" s="3"/>
      <c r="B383" s="466"/>
      <c r="C383" s="667"/>
      <c r="D383" s="667"/>
      <c r="E383" s="668"/>
      <c r="F383" s="667"/>
      <c r="G383" s="667"/>
      <c r="H383" s="667"/>
      <c r="I383" s="667"/>
      <c r="J383" s="667"/>
      <c r="K383" s="667"/>
      <c r="L383" s="667"/>
      <c r="M383" s="667"/>
      <c r="N383" s="667"/>
      <c r="O383" s="667"/>
      <c r="P383" s="667"/>
      <c r="Q383" s="667"/>
      <c r="S383" s="3"/>
      <c r="T383" s="3"/>
      <c r="U383" s="3"/>
      <c r="V383" s="3"/>
      <c r="W383" s="3"/>
      <c r="X383" s="3"/>
      <c r="Y383" s="3"/>
      <c r="Z383" s="3"/>
      <c r="AA383" s="3"/>
      <c r="AB383" s="3"/>
      <c r="AC383" s="3"/>
      <c r="AD383" s="3"/>
      <c r="AE383" s="3"/>
      <c r="AF383" s="3"/>
      <c r="AG383" s="3"/>
      <c r="AH383" s="3"/>
      <c r="AI383" s="3"/>
      <c r="AJ383" s="3"/>
      <c r="AK383" s="3"/>
    </row>
    <row r="384" ht="15.75" customHeight="1">
      <c r="A384" s="3"/>
      <c r="B384" s="466"/>
      <c r="C384" s="667"/>
      <c r="D384" s="667"/>
      <c r="E384" s="668"/>
      <c r="F384" s="667"/>
      <c r="G384" s="667"/>
      <c r="H384" s="667"/>
      <c r="I384" s="667"/>
      <c r="J384" s="667"/>
      <c r="K384" s="667"/>
      <c r="L384" s="667"/>
      <c r="M384" s="667"/>
      <c r="N384" s="667"/>
      <c r="O384" s="667"/>
      <c r="P384" s="667"/>
      <c r="Q384" s="667"/>
      <c r="S384" s="3"/>
      <c r="T384" s="3"/>
      <c r="U384" s="3"/>
      <c r="V384" s="3"/>
      <c r="W384" s="3"/>
      <c r="X384" s="3"/>
      <c r="Y384" s="3"/>
      <c r="Z384" s="3"/>
      <c r="AA384" s="3"/>
      <c r="AB384" s="3"/>
      <c r="AC384" s="3"/>
      <c r="AD384" s="3"/>
      <c r="AE384" s="3"/>
      <c r="AF384" s="3"/>
      <c r="AG384" s="3"/>
      <c r="AH384" s="3"/>
      <c r="AI384" s="3"/>
      <c r="AJ384" s="3"/>
      <c r="AK384" s="3"/>
    </row>
    <row r="385" ht="15.75" customHeight="1">
      <c r="A385" s="3"/>
      <c r="B385" s="466"/>
      <c r="C385" s="667"/>
      <c r="D385" s="667"/>
      <c r="E385" s="668"/>
      <c r="F385" s="667"/>
      <c r="G385" s="667"/>
      <c r="H385" s="667"/>
      <c r="I385" s="667"/>
      <c r="J385" s="667"/>
      <c r="K385" s="667"/>
      <c r="L385" s="667"/>
      <c r="M385" s="667"/>
      <c r="N385" s="667"/>
      <c r="O385" s="667"/>
      <c r="P385" s="667"/>
      <c r="Q385" s="667"/>
      <c r="S385" s="3"/>
      <c r="T385" s="3"/>
      <c r="U385" s="3"/>
      <c r="V385" s="3"/>
      <c r="W385" s="3"/>
      <c r="X385" s="3"/>
      <c r="Y385" s="3"/>
      <c r="Z385" s="3"/>
      <c r="AA385" s="3"/>
      <c r="AB385" s="3"/>
      <c r="AC385" s="3"/>
      <c r="AD385" s="3"/>
      <c r="AE385" s="3"/>
      <c r="AF385" s="3"/>
      <c r="AG385" s="3"/>
      <c r="AH385" s="3"/>
      <c r="AI385" s="3"/>
      <c r="AJ385" s="3"/>
      <c r="AK385" s="3"/>
    </row>
    <row r="386" ht="15.75" customHeight="1">
      <c r="A386" s="3"/>
      <c r="B386" s="466"/>
      <c r="C386" s="667"/>
      <c r="D386" s="667"/>
      <c r="E386" s="668"/>
      <c r="F386" s="667"/>
      <c r="G386" s="667"/>
      <c r="H386" s="667"/>
      <c r="I386" s="667"/>
      <c r="J386" s="667"/>
      <c r="K386" s="667"/>
      <c r="L386" s="667"/>
      <c r="M386" s="667"/>
      <c r="N386" s="667"/>
      <c r="O386" s="667"/>
      <c r="P386" s="667"/>
      <c r="Q386" s="667"/>
      <c r="S386" s="3"/>
      <c r="T386" s="3"/>
      <c r="U386" s="3"/>
      <c r="V386" s="3"/>
      <c r="W386" s="3"/>
      <c r="X386" s="3"/>
      <c r="Y386" s="3"/>
      <c r="Z386" s="3"/>
      <c r="AA386" s="3"/>
      <c r="AB386" s="3"/>
      <c r="AC386" s="3"/>
      <c r="AD386" s="3"/>
      <c r="AE386" s="3"/>
      <c r="AF386" s="3"/>
      <c r="AG386" s="3"/>
      <c r="AH386" s="3"/>
      <c r="AI386" s="3"/>
      <c r="AJ386" s="3"/>
      <c r="AK386" s="3"/>
    </row>
    <row r="387" ht="15.75" customHeight="1">
      <c r="A387" s="3"/>
      <c r="B387" s="466"/>
      <c r="C387" s="667"/>
      <c r="D387" s="667"/>
      <c r="E387" s="668"/>
      <c r="F387" s="667"/>
      <c r="G387" s="667"/>
      <c r="H387" s="667"/>
      <c r="I387" s="667"/>
      <c r="J387" s="667"/>
      <c r="K387" s="667"/>
      <c r="L387" s="667"/>
      <c r="M387" s="667"/>
      <c r="N387" s="667"/>
      <c r="O387" s="667"/>
      <c r="P387" s="667"/>
      <c r="Q387" s="667"/>
      <c r="S387" s="3"/>
      <c r="T387" s="3"/>
      <c r="U387" s="3"/>
      <c r="V387" s="3"/>
      <c r="W387" s="3"/>
      <c r="X387" s="3"/>
      <c r="Y387" s="3"/>
      <c r="Z387" s="3"/>
      <c r="AA387" s="3"/>
      <c r="AB387" s="3"/>
      <c r="AC387" s="3"/>
      <c r="AD387" s="3"/>
      <c r="AE387" s="3"/>
      <c r="AF387" s="3"/>
      <c r="AG387" s="3"/>
      <c r="AH387" s="3"/>
      <c r="AI387" s="3"/>
      <c r="AJ387" s="3"/>
      <c r="AK387" s="3"/>
    </row>
    <row r="388" ht="15.75" customHeight="1">
      <c r="A388" s="3"/>
      <c r="B388" s="466"/>
      <c r="C388" s="667"/>
      <c r="D388" s="667"/>
      <c r="E388" s="668"/>
      <c r="F388" s="667"/>
      <c r="G388" s="667"/>
      <c r="H388" s="667"/>
      <c r="I388" s="667"/>
      <c r="J388" s="667"/>
      <c r="K388" s="667"/>
      <c r="L388" s="667"/>
      <c r="M388" s="667"/>
      <c r="N388" s="667"/>
      <c r="O388" s="667"/>
      <c r="P388" s="667"/>
      <c r="Q388" s="667"/>
      <c r="S388" s="3"/>
      <c r="T388" s="3"/>
      <c r="U388" s="3"/>
      <c r="V388" s="3"/>
      <c r="W388" s="3"/>
      <c r="X388" s="3"/>
      <c r="Y388" s="3"/>
      <c r="Z388" s="3"/>
      <c r="AA388" s="3"/>
      <c r="AB388" s="3"/>
      <c r="AC388" s="3"/>
      <c r="AD388" s="3"/>
      <c r="AE388" s="3"/>
      <c r="AF388" s="3"/>
      <c r="AG388" s="3"/>
      <c r="AH388" s="3"/>
      <c r="AI388" s="3"/>
      <c r="AJ388" s="3"/>
      <c r="AK388" s="3"/>
    </row>
    <row r="389" ht="15.75" customHeight="1">
      <c r="A389" s="3"/>
      <c r="B389" s="466"/>
      <c r="C389" s="667"/>
      <c r="D389" s="667"/>
      <c r="E389" s="668"/>
      <c r="F389" s="667"/>
      <c r="G389" s="667"/>
      <c r="H389" s="667"/>
      <c r="I389" s="667"/>
      <c r="J389" s="667"/>
      <c r="K389" s="667"/>
      <c r="L389" s="667"/>
      <c r="M389" s="667"/>
      <c r="N389" s="667"/>
      <c r="O389" s="667"/>
      <c r="P389" s="667"/>
      <c r="Q389" s="667"/>
      <c r="S389" s="3"/>
      <c r="T389" s="3"/>
      <c r="U389" s="3"/>
      <c r="V389" s="3"/>
      <c r="W389" s="3"/>
      <c r="X389" s="3"/>
      <c r="Y389" s="3"/>
      <c r="Z389" s="3"/>
      <c r="AA389" s="3"/>
      <c r="AB389" s="3"/>
      <c r="AC389" s="3"/>
      <c r="AD389" s="3"/>
      <c r="AE389" s="3"/>
      <c r="AF389" s="3"/>
      <c r="AG389" s="3"/>
      <c r="AH389" s="3"/>
      <c r="AI389" s="3"/>
      <c r="AJ389" s="3"/>
      <c r="AK389" s="3"/>
    </row>
    <row r="390" ht="15.75" customHeight="1">
      <c r="A390" s="3"/>
      <c r="B390" s="466"/>
      <c r="C390" s="667"/>
      <c r="D390" s="667"/>
      <c r="E390" s="668"/>
      <c r="F390" s="667"/>
      <c r="G390" s="667"/>
      <c r="H390" s="667"/>
      <c r="I390" s="667"/>
      <c r="J390" s="667"/>
      <c r="K390" s="667"/>
      <c r="L390" s="667"/>
      <c r="M390" s="667"/>
      <c r="N390" s="667"/>
      <c r="O390" s="667"/>
      <c r="P390" s="667"/>
      <c r="Q390" s="667"/>
      <c r="S390" s="3"/>
      <c r="T390" s="3"/>
      <c r="U390" s="3"/>
      <c r="V390" s="3"/>
      <c r="W390" s="3"/>
      <c r="X390" s="3"/>
      <c r="Y390" s="3"/>
      <c r="Z390" s="3"/>
      <c r="AA390" s="3"/>
      <c r="AB390" s="3"/>
      <c r="AC390" s="3"/>
      <c r="AD390" s="3"/>
      <c r="AE390" s="3"/>
      <c r="AF390" s="3"/>
      <c r="AG390" s="3"/>
      <c r="AH390" s="3"/>
      <c r="AI390" s="3"/>
      <c r="AJ390" s="3"/>
      <c r="AK390" s="3"/>
    </row>
    <row r="391" ht="15.75" customHeight="1">
      <c r="A391" s="3"/>
      <c r="B391" s="466"/>
      <c r="C391" s="667"/>
      <c r="D391" s="667"/>
      <c r="E391" s="668"/>
      <c r="F391" s="667"/>
      <c r="G391" s="667"/>
      <c r="H391" s="667"/>
      <c r="I391" s="667"/>
      <c r="J391" s="667"/>
      <c r="K391" s="667"/>
      <c r="L391" s="667"/>
      <c r="M391" s="667"/>
      <c r="N391" s="667"/>
      <c r="O391" s="667"/>
      <c r="P391" s="667"/>
      <c r="Q391" s="667"/>
      <c r="S391" s="3"/>
      <c r="T391" s="3"/>
      <c r="U391" s="3"/>
      <c r="V391" s="3"/>
      <c r="W391" s="3"/>
      <c r="X391" s="3"/>
      <c r="Y391" s="3"/>
      <c r="Z391" s="3"/>
      <c r="AA391" s="3"/>
      <c r="AB391" s="3"/>
      <c r="AC391" s="3"/>
      <c r="AD391" s="3"/>
      <c r="AE391" s="3"/>
      <c r="AF391" s="3"/>
      <c r="AG391" s="3"/>
      <c r="AH391" s="3"/>
      <c r="AI391" s="3"/>
      <c r="AJ391" s="3"/>
      <c r="AK391" s="3"/>
    </row>
    <row r="392" ht="15.75" customHeight="1">
      <c r="A392" s="3"/>
      <c r="B392" s="466"/>
      <c r="C392" s="667"/>
      <c r="D392" s="667"/>
      <c r="E392" s="668"/>
      <c r="F392" s="667"/>
      <c r="G392" s="667"/>
      <c r="H392" s="667"/>
      <c r="I392" s="667"/>
      <c r="J392" s="667"/>
      <c r="K392" s="667"/>
      <c r="L392" s="667"/>
      <c r="M392" s="667"/>
      <c r="N392" s="667"/>
      <c r="O392" s="667"/>
      <c r="P392" s="667"/>
      <c r="Q392" s="667"/>
      <c r="S392" s="3"/>
      <c r="T392" s="3"/>
      <c r="U392" s="3"/>
      <c r="V392" s="3"/>
      <c r="W392" s="3"/>
      <c r="X392" s="3"/>
      <c r="Y392" s="3"/>
      <c r="Z392" s="3"/>
      <c r="AA392" s="3"/>
      <c r="AB392" s="3"/>
      <c r="AC392" s="3"/>
      <c r="AD392" s="3"/>
      <c r="AE392" s="3"/>
      <c r="AF392" s="3"/>
      <c r="AG392" s="3"/>
      <c r="AH392" s="3"/>
      <c r="AI392" s="3"/>
      <c r="AJ392" s="3"/>
      <c r="AK392" s="3"/>
    </row>
    <row r="393" ht="15.75" customHeight="1">
      <c r="A393" s="3"/>
      <c r="B393" s="466"/>
      <c r="C393" s="667"/>
      <c r="D393" s="667"/>
      <c r="E393" s="668"/>
      <c r="F393" s="667"/>
      <c r="G393" s="667"/>
      <c r="H393" s="667"/>
      <c r="I393" s="667"/>
      <c r="J393" s="667"/>
      <c r="K393" s="667"/>
      <c r="L393" s="667"/>
      <c r="M393" s="667"/>
      <c r="N393" s="667"/>
      <c r="O393" s="667"/>
      <c r="P393" s="667"/>
      <c r="Q393" s="667"/>
      <c r="S393" s="3"/>
      <c r="T393" s="3"/>
      <c r="U393" s="3"/>
      <c r="V393" s="3"/>
      <c r="W393" s="3"/>
      <c r="X393" s="3"/>
      <c r="Y393" s="3"/>
      <c r="Z393" s="3"/>
      <c r="AA393" s="3"/>
      <c r="AB393" s="3"/>
      <c r="AC393" s="3"/>
      <c r="AD393" s="3"/>
      <c r="AE393" s="3"/>
      <c r="AF393" s="3"/>
      <c r="AG393" s="3"/>
      <c r="AH393" s="3"/>
      <c r="AI393" s="3"/>
      <c r="AJ393" s="3"/>
      <c r="AK393" s="3"/>
    </row>
    <row r="394" ht="15.75" customHeight="1">
      <c r="A394" s="3"/>
      <c r="B394" s="466"/>
      <c r="C394" s="667"/>
      <c r="D394" s="667"/>
      <c r="E394" s="668"/>
      <c r="F394" s="667"/>
      <c r="G394" s="667"/>
      <c r="H394" s="667"/>
      <c r="I394" s="667"/>
      <c r="J394" s="667"/>
      <c r="K394" s="667"/>
      <c r="L394" s="667"/>
      <c r="M394" s="667"/>
      <c r="N394" s="667"/>
      <c r="O394" s="667"/>
      <c r="P394" s="667"/>
      <c r="Q394" s="667"/>
      <c r="S394" s="3"/>
      <c r="T394" s="3"/>
      <c r="U394" s="3"/>
      <c r="V394" s="3"/>
      <c r="W394" s="3"/>
      <c r="X394" s="3"/>
      <c r="Y394" s="3"/>
      <c r="Z394" s="3"/>
      <c r="AA394" s="3"/>
      <c r="AB394" s="3"/>
      <c r="AC394" s="3"/>
      <c r="AD394" s="3"/>
      <c r="AE394" s="3"/>
      <c r="AF394" s="3"/>
      <c r="AG394" s="3"/>
      <c r="AH394" s="3"/>
      <c r="AI394" s="3"/>
      <c r="AJ394" s="3"/>
      <c r="AK394" s="3"/>
    </row>
    <row r="395" ht="15.75" customHeight="1">
      <c r="A395" s="3"/>
      <c r="B395" s="466"/>
      <c r="C395" s="667"/>
      <c r="D395" s="667"/>
      <c r="E395" s="668"/>
      <c r="F395" s="667"/>
      <c r="G395" s="667"/>
      <c r="H395" s="667"/>
      <c r="I395" s="667"/>
      <c r="J395" s="667"/>
      <c r="K395" s="667"/>
      <c r="L395" s="667"/>
      <c r="M395" s="667"/>
      <c r="N395" s="667"/>
      <c r="O395" s="667"/>
      <c r="P395" s="667"/>
      <c r="Q395" s="667"/>
      <c r="S395" s="3"/>
      <c r="T395" s="3"/>
      <c r="U395" s="3"/>
      <c r="V395" s="3"/>
      <c r="W395" s="3"/>
      <c r="X395" s="3"/>
      <c r="Y395" s="3"/>
      <c r="Z395" s="3"/>
      <c r="AA395" s="3"/>
      <c r="AB395" s="3"/>
      <c r="AC395" s="3"/>
      <c r="AD395" s="3"/>
      <c r="AE395" s="3"/>
      <c r="AF395" s="3"/>
      <c r="AG395" s="3"/>
      <c r="AH395" s="3"/>
      <c r="AI395" s="3"/>
      <c r="AJ395" s="3"/>
      <c r="AK395" s="3"/>
    </row>
    <row r="396" ht="15.75" customHeight="1">
      <c r="A396" s="3"/>
      <c r="B396" s="466"/>
      <c r="C396" s="667"/>
      <c r="D396" s="667"/>
      <c r="E396" s="668"/>
      <c r="F396" s="667"/>
      <c r="G396" s="667"/>
      <c r="H396" s="667"/>
      <c r="I396" s="667"/>
      <c r="J396" s="667"/>
      <c r="K396" s="667"/>
      <c r="L396" s="667"/>
      <c r="M396" s="667"/>
      <c r="N396" s="667"/>
      <c r="O396" s="667"/>
      <c r="P396" s="667"/>
      <c r="Q396" s="667"/>
      <c r="S396" s="3"/>
      <c r="T396" s="3"/>
      <c r="U396" s="3"/>
      <c r="V396" s="3"/>
      <c r="W396" s="3"/>
      <c r="X396" s="3"/>
      <c r="Y396" s="3"/>
      <c r="Z396" s="3"/>
      <c r="AA396" s="3"/>
      <c r="AB396" s="3"/>
      <c r="AC396" s="3"/>
      <c r="AD396" s="3"/>
      <c r="AE396" s="3"/>
      <c r="AF396" s="3"/>
      <c r="AG396" s="3"/>
      <c r="AH396" s="3"/>
      <c r="AI396" s="3"/>
      <c r="AJ396" s="3"/>
      <c r="AK396" s="3"/>
    </row>
    <row r="397" ht="15.75" customHeight="1">
      <c r="A397" s="3"/>
      <c r="B397" s="466"/>
      <c r="C397" s="667"/>
      <c r="D397" s="667"/>
      <c r="E397" s="668"/>
      <c r="F397" s="667"/>
      <c r="G397" s="667"/>
      <c r="H397" s="667"/>
      <c r="I397" s="667"/>
      <c r="J397" s="667"/>
      <c r="K397" s="667"/>
      <c r="L397" s="667"/>
      <c r="M397" s="667"/>
      <c r="N397" s="667"/>
      <c r="O397" s="667"/>
      <c r="P397" s="667"/>
      <c r="Q397" s="667"/>
      <c r="S397" s="3"/>
      <c r="T397" s="3"/>
      <c r="U397" s="3"/>
      <c r="V397" s="3"/>
      <c r="W397" s="3"/>
      <c r="X397" s="3"/>
      <c r="Y397" s="3"/>
      <c r="Z397" s="3"/>
      <c r="AA397" s="3"/>
      <c r="AB397" s="3"/>
      <c r="AC397" s="3"/>
      <c r="AD397" s="3"/>
      <c r="AE397" s="3"/>
      <c r="AF397" s="3"/>
      <c r="AG397" s="3"/>
      <c r="AH397" s="3"/>
      <c r="AI397" s="3"/>
      <c r="AJ397" s="3"/>
      <c r="AK397" s="3"/>
    </row>
    <row r="398" ht="15.75" customHeight="1">
      <c r="A398" s="3"/>
      <c r="B398" s="466"/>
      <c r="C398" s="667"/>
      <c r="D398" s="667"/>
      <c r="E398" s="668"/>
      <c r="F398" s="667"/>
      <c r="G398" s="667"/>
      <c r="H398" s="667"/>
      <c r="I398" s="667"/>
      <c r="J398" s="667"/>
      <c r="K398" s="667"/>
      <c r="L398" s="667"/>
      <c r="M398" s="667"/>
      <c r="N398" s="667"/>
      <c r="O398" s="667"/>
      <c r="P398" s="667"/>
      <c r="Q398" s="667"/>
      <c r="S398" s="3"/>
      <c r="T398" s="3"/>
      <c r="U398" s="3"/>
      <c r="V398" s="3"/>
      <c r="W398" s="3"/>
      <c r="X398" s="3"/>
      <c r="Y398" s="3"/>
      <c r="Z398" s="3"/>
      <c r="AA398" s="3"/>
      <c r="AB398" s="3"/>
      <c r="AC398" s="3"/>
      <c r="AD398" s="3"/>
      <c r="AE398" s="3"/>
      <c r="AF398" s="3"/>
      <c r="AG398" s="3"/>
      <c r="AH398" s="3"/>
      <c r="AI398" s="3"/>
      <c r="AJ398" s="3"/>
      <c r="AK398" s="3"/>
    </row>
    <row r="399" ht="15.75" customHeight="1">
      <c r="A399" s="3"/>
      <c r="B399" s="466"/>
      <c r="C399" s="667"/>
      <c r="D399" s="667"/>
      <c r="E399" s="668"/>
      <c r="F399" s="667"/>
      <c r="G399" s="667"/>
      <c r="H399" s="667"/>
      <c r="I399" s="667"/>
      <c r="J399" s="667"/>
      <c r="K399" s="667"/>
      <c r="L399" s="667"/>
      <c r="M399" s="667"/>
      <c r="N399" s="667"/>
      <c r="O399" s="667"/>
      <c r="P399" s="667"/>
      <c r="Q399" s="667"/>
      <c r="S399" s="3"/>
      <c r="T399" s="3"/>
      <c r="U399" s="3"/>
      <c r="V399" s="3"/>
      <c r="W399" s="3"/>
      <c r="X399" s="3"/>
      <c r="Y399" s="3"/>
      <c r="Z399" s="3"/>
      <c r="AA399" s="3"/>
      <c r="AB399" s="3"/>
      <c r="AC399" s="3"/>
      <c r="AD399" s="3"/>
      <c r="AE399" s="3"/>
      <c r="AF399" s="3"/>
      <c r="AG399" s="3"/>
      <c r="AH399" s="3"/>
      <c r="AI399" s="3"/>
      <c r="AJ399" s="3"/>
      <c r="AK399" s="3"/>
    </row>
    <row r="400" ht="15.75" customHeight="1">
      <c r="A400" s="3"/>
      <c r="B400" s="466"/>
      <c r="C400" s="667"/>
      <c r="D400" s="667"/>
      <c r="E400" s="668"/>
      <c r="F400" s="667"/>
      <c r="G400" s="667"/>
      <c r="H400" s="667"/>
      <c r="I400" s="667"/>
      <c r="J400" s="667"/>
      <c r="K400" s="667"/>
      <c r="L400" s="667"/>
      <c r="M400" s="667"/>
      <c r="N400" s="667"/>
      <c r="O400" s="667"/>
      <c r="P400" s="667"/>
      <c r="Q400" s="667"/>
      <c r="S400" s="3"/>
      <c r="T400" s="3"/>
      <c r="U400" s="3"/>
      <c r="V400" s="3"/>
      <c r="W400" s="3"/>
      <c r="X400" s="3"/>
      <c r="Y400" s="3"/>
      <c r="Z400" s="3"/>
      <c r="AA400" s="3"/>
      <c r="AB400" s="3"/>
      <c r="AC400" s="3"/>
      <c r="AD400" s="3"/>
      <c r="AE400" s="3"/>
      <c r="AF400" s="3"/>
      <c r="AG400" s="3"/>
      <c r="AH400" s="3"/>
      <c r="AI400" s="3"/>
      <c r="AJ400" s="3"/>
      <c r="AK400" s="3"/>
    </row>
    <row r="401" ht="15.75" customHeight="1">
      <c r="A401" s="3"/>
      <c r="B401" s="466"/>
      <c r="C401" s="667"/>
      <c r="D401" s="667"/>
      <c r="E401" s="668"/>
      <c r="F401" s="667"/>
      <c r="G401" s="667"/>
      <c r="H401" s="667"/>
      <c r="I401" s="667"/>
      <c r="J401" s="667"/>
      <c r="K401" s="667"/>
      <c r="L401" s="667"/>
      <c r="M401" s="667"/>
      <c r="N401" s="667"/>
      <c r="O401" s="667"/>
      <c r="P401" s="667"/>
      <c r="Q401" s="667"/>
      <c r="S401" s="3"/>
      <c r="T401" s="3"/>
      <c r="U401" s="3"/>
      <c r="V401" s="3"/>
      <c r="W401" s="3"/>
      <c r="X401" s="3"/>
      <c r="Y401" s="3"/>
      <c r="Z401" s="3"/>
      <c r="AA401" s="3"/>
      <c r="AB401" s="3"/>
      <c r="AC401" s="3"/>
      <c r="AD401" s="3"/>
      <c r="AE401" s="3"/>
      <c r="AF401" s="3"/>
      <c r="AG401" s="3"/>
      <c r="AH401" s="3"/>
      <c r="AI401" s="3"/>
      <c r="AJ401" s="3"/>
      <c r="AK401" s="3"/>
    </row>
    <row r="402" ht="15.75" customHeight="1">
      <c r="A402" s="3"/>
      <c r="B402" s="466"/>
      <c r="C402" s="667"/>
      <c r="D402" s="667"/>
      <c r="E402" s="668"/>
      <c r="F402" s="667"/>
      <c r="G402" s="667"/>
      <c r="H402" s="667"/>
      <c r="I402" s="667"/>
      <c r="J402" s="667"/>
      <c r="K402" s="667"/>
      <c r="L402" s="667"/>
      <c r="M402" s="667"/>
      <c r="N402" s="667"/>
      <c r="O402" s="667"/>
      <c r="P402" s="667"/>
      <c r="Q402" s="667"/>
      <c r="S402" s="3"/>
      <c r="T402" s="3"/>
      <c r="U402" s="3"/>
      <c r="V402" s="3"/>
      <c r="W402" s="3"/>
      <c r="X402" s="3"/>
      <c r="Y402" s="3"/>
      <c r="Z402" s="3"/>
      <c r="AA402" s="3"/>
      <c r="AB402" s="3"/>
      <c r="AC402" s="3"/>
      <c r="AD402" s="3"/>
      <c r="AE402" s="3"/>
      <c r="AF402" s="3"/>
      <c r="AG402" s="3"/>
      <c r="AH402" s="3"/>
      <c r="AI402" s="3"/>
      <c r="AJ402" s="3"/>
      <c r="AK402" s="3"/>
    </row>
    <row r="403" ht="15.75" customHeight="1">
      <c r="A403" s="3"/>
      <c r="B403" s="466"/>
      <c r="C403" s="667"/>
      <c r="D403" s="667"/>
      <c r="E403" s="668"/>
      <c r="F403" s="667"/>
      <c r="G403" s="667"/>
      <c r="H403" s="667"/>
      <c r="I403" s="667"/>
      <c r="J403" s="667"/>
      <c r="K403" s="667"/>
      <c r="L403" s="667"/>
      <c r="M403" s="667"/>
      <c r="N403" s="667"/>
      <c r="O403" s="667"/>
      <c r="P403" s="667"/>
      <c r="Q403" s="667"/>
      <c r="S403" s="3"/>
      <c r="T403" s="3"/>
      <c r="U403" s="3"/>
      <c r="V403" s="3"/>
      <c r="W403" s="3"/>
      <c r="X403" s="3"/>
      <c r="Y403" s="3"/>
      <c r="Z403" s="3"/>
      <c r="AA403" s="3"/>
      <c r="AB403" s="3"/>
      <c r="AC403" s="3"/>
      <c r="AD403" s="3"/>
      <c r="AE403" s="3"/>
      <c r="AF403" s="3"/>
      <c r="AG403" s="3"/>
      <c r="AH403" s="3"/>
      <c r="AI403" s="3"/>
      <c r="AJ403" s="3"/>
      <c r="AK403" s="3"/>
    </row>
    <row r="404" ht="15.75" customHeight="1">
      <c r="A404" s="3"/>
      <c r="B404" s="466"/>
      <c r="C404" s="667"/>
      <c r="D404" s="667"/>
      <c r="E404" s="668"/>
      <c r="F404" s="667"/>
      <c r="G404" s="667"/>
      <c r="H404" s="667"/>
      <c r="I404" s="667"/>
      <c r="J404" s="667"/>
      <c r="K404" s="667"/>
      <c r="L404" s="667"/>
      <c r="M404" s="667"/>
      <c r="N404" s="667"/>
      <c r="O404" s="667"/>
      <c r="P404" s="667"/>
      <c r="Q404" s="667"/>
      <c r="S404" s="3"/>
      <c r="T404" s="3"/>
      <c r="U404" s="3"/>
      <c r="V404" s="3"/>
      <c r="W404" s="3"/>
      <c r="X404" s="3"/>
      <c r="Y404" s="3"/>
      <c r="Z404" s="3"/>
      <c r="AA404" s="3"/>
      <c r="AB404" s="3"/>
      <c r="AC404" s="3"/>
      <c r="AD404" s="3"/>
      <c r="AE404" s="3"/>
      <c r="AF404" s="3"/>
      <c r="AG404" s="3"/>
      <c r="AH404" s="3"/>
      <c r="AI404" s="3"/>
      <c r="AJ404" s="3"/>
      <c r="AK404" s="3"/>
    </row>
    <row r="405" ht="15.75" customHeight="1">
      <c r="A405" s="3"/>
      <c r="B405" s="466"/>
      <c r="C405" s="667"/>
      <c r="D405" s="667"/>
      <c r="E405" s="668"/>
      <c r="F405" s="667"/>
      <c r="G405" s="667"/>
      <c r="H405" s="667"/>
      <c r="I405" s="667"/>
      <c r="J405" s="667"/>
      <c r="K405" s="667"/>
      <c r="L405" s="667"/>
      <c r="M405" s="667"/>
      <c r="N405" s="667"/>
      <c r="O405" s="667"/>
      <c r="P405" s="667"/>
      <c r="Q405" s="667"/>
      <c r="S405" s="3"/>
      <c r="T405" s="3"/>
      <c r="U405" s="3"/>
      <c r="V405" s="3"/>
      <c r="W405" s="3"/>
      <c r="X405" s="3"/>
      <c r="Y405" s="3"/>
      <c r="Z405" s="3"/>
      <c r="AA405" s="3"/>
      <c r="AB405" s="3"/>
      <c r="AC405" s="3"/>
      <c r="AD405" s="3"/>
      <c r="AE405" s="3"/>
      <c r="AF405" s="3"/>
      <c r="AG405" s="3"/>
      <c r="AH405" s="3"/>
      <c r="AI405" s="3"/>
      <c r="AJ405" s="3"/>
      <c r="AK405" s="3"/>
    </row>
    <row r="406" ht="15.75" customHeight="1">
      <c r="A406" s="3"/>
      <c r="B406" s="466"/>
      <c r="C406" s="667"/>
      <c r="D406" s="667"/>
      <c r="E406" s="668"/>
      <c r="F406" s="667"/>
      <c r="G406" s="667"/>
      <c r="H406" s="667"/>
      <c r="I406" s="667"/>
      <c r="J406" s="667"/>
      <c r="K406" s="667"/>
      <c r="L406" s="667"/>
      <c r="M406" s="667"/>
      <c r="N406" s="667"/>
      <c r="O406" s="667"/>
      <c r="P406" s="667"/>
      <c r="Q406" s="667"/>
      <c r="S406" s="3"/>
      <c r="T406" s="3"/>
      <c r="U406" s="3"/>
      <c r="V406" s="3"/>
      <c r="W406" s="3"/>
      <c r="X406" s="3"/>
      <c r="Y406" s="3"/>
      <c r="Z406" s="3"/>
      <c r="AA406" s="3"/>
      <c r="AB406" s="3"/>
      <c r="AC406" s="3"/>
      <c r="AD406" s="3"/>
      <c r="AE406" s="3"/>
      <c r="AF406" s="3"/>
      <c r="AG406" s="3"/>
      <c r="AH406" s="3"/>
      <c r="AI406" s="3"/>
      <c r="AJ406" s="3"/>
      <c r="AK406" s="3"/>
    </row>
    <row r="407" ht="15.75" customHeight="1">
      <c r="A407" s="3"/>
      <c r="B407" s="466"/>
      <c r="C407" s="667"/>
      <c r="D407" s="667"/>
      <c r="E407" s="668"/>
      <c r="F407" s="667"/>
      <c r="G407" s="667"/>
      <c r="H407" s="667"/>
      <c r="I407" s="667"/>
      <c r="J407" s="667"/>
      <c r="K407" s="667"/>
      <c r="L407" s="667"/>
      <c r="M407" s="667"/>
      <c r="N407" s="667"/>
      <c r="O407" s="667"/>
      <c r="P407" s="667"/>
      <c r="Q407" s="667"/>
      <c r="S407" s="3"/>
      <c r="T407" s="3"/>
      <c r="U407" s="3"/>
      <c r="V407" s="3"/>
      <c r="W407" s="3"/>
      <c r="X407" s="3"/>
      <c r="Y407" s="3"/>
      <c r="Z407" s="3"/>
      <c r="AA407" s="3"/>
      <c r="AB407" s="3"/>
      <c r="AC407" s="3"/>
      <c r="AD407" s="3"/>
      <c r="AE407" s="3"/>
      <c r="AF407" s="3"/>
      <c r="AG407" s="3"/>
      <c r="AH407" s="3"/>
      <c r="AI407" s="3"/>
      <c r="AJ407" s="3"/>
      <c r="AK407" s="3"/>
    </row>
    <row r="408" ht="15.75" customHeight="1">
      <c r="A408" s="3"/>
      <c r="B408" s="466"/>
      <c r="C408" s="667"/>
      <c r="D408" s="667"/>
      <c r="E408" s="668"/>
      <c r="F408" s="667"/>
      <c r="G408" s="667"/>
      <c r="H408" s="667"/>
      <c r="I408" s="667"/>
      <c r="J408" s="667"/>
      <c r="K408" s="667"/>
      <c r="L408" s="667"/>
      <c r="M408" s="667"/>
      <c r="N408" s="667"/>
      <c r="O408" s="667"/>
      <c r="P408" s="667"/>
      <c r="Q408" s="667"/>
      <c r="S408" s="3"/>
      <c r="T408" s="3"/>
      <c r="U408" s="3"/>
      <c r="V408" s="3"/>
      <c r="W408" s="3"/>
      <c r="X408" s="3"/>
      <c r="Y408" s="3"/>
      <c r="Z408" s="3"/>
      <c r="AA408" s="3"/>
      <c r="AB408" s="3"/>
      <c r="AC408" s="3"/>
      <c r="AD408" s="3"/>
      <c r="AE408" s="3"/>
      <c r="AF408" s="3"/>
      <c r="AG408" s="3"/>
      <c r="AH408" s="3"/>
      <c r="AI408" s="3"/>
      <c r="AJ408" s="3"/>
      <c r="AK408" s="3"/>
    </row>
    <row r="409" ht="15.75" customHeight="1">
      <c r="A409" s="3"/>
      <c r="B409" s="466"/>
      <c r="C409" s="667"/>
      <c r="D409" s="667"/>
      <c r="E409" s="668"/>
      <c r="F409" s="667"/>
      <c r="G409" s="667"/>
      <c r="H409" s="667"/>
      <c r="I409" s="667"/>
      <c r="J409" s="667"/>
      <c r="K409" s="667"/>
      <c r="L409" s="667"/>
      <c r="M409" s="667"/>
      <c r="N409" s="667"/>
      <c r="O409" s="667"/>
      <c r="P409" s="667"/>
      <c r="Q409" s="667"/>
      <c r="S409" s="3"/>
      <c r="T409" s="3"/>
      <c r="U409" s="3"/>
      <c r="V409" s="3"/>
      <c r="W409" s="3"/>
      <c r="X409" s="3"/>
      <c r="Y409" s="3"/>
      <c r="Z409" s="3"/>
      <c r="AA409" s="3"/>
      <c r="AB409" s="3"/>
      <c r="AC409" s="3"/>
      <c r="AD409" s="3"/>
      <c r="AE409" s="3"/>
      <c r="AF409" s="3"/>
      <c r="AG409" s="3"/>
      <c r="AH409" s="3"/>
      <c r="AI409" s="3"/>
      <c r="AJ409" s="3"/>
      <c r="AK409" s="3"/>
    </row>
    <row r="410" ht="15.75" customHeight="1">
      <c r="A410" s="3"/>
      <c r="B410" s="466"/>
      <c r="C410" s="667"/>
      <c r="D410" s="667"/>
      <c r="E410" s="668"/>
      <c r="F410" s="667"/>
      <c r="G410" s="667"/>
      <c r="H410" s="667"/>
      <c r="I410" s="667"/>
      <c r="J410" s="667"/>
      <c r="K410" s="667"/>
      <c r="L410" s="667"/>
      <c r="M410" s="667"/>
      <c r="N410" s="667"/>
      <c r="O410" s="667"/>
      <c r="P410" s="667"/>
      <c r="Q410" s="667"/>
      <c r="S410" s="3"/>
      <c r="T410" s="3"/>
      <c r="U410" s="3"/>
      <c r="V410" s="3"/>
      <c r="W410" s="3"/>
      <c r="X410" s="3"/>
      <c r="Y410" s="3"/>
      <c r="Z410" s="3"/>
      <c r="AA410" s="3"/>
      <c r="AB410" s="3"/>
      <c r="AC410" s="3"/>
      <c r="AD410" s="3"/>
      <c r="AE410" s="3"/>
      <c r="AF410" s="3"/>
      <c r="AG410" s="3"/>
      <c r="AH410" s="3"/>
      <c r="AI410" s="3"/>
      <c r="AJ410" s="3"/>
      <c r="AK410" s="3"/>
    </row>
    <row r="411" ht="15.75" customHeight="1">
      <c r="A411" s="3"/>
      <c r="B411" s="466"/>
      <c r="C411" s="667"/>
      <c r="D411" s="667"/>
      <c r="E411" s="668"/>
      <c r="F411" s="667"/>
      <c r="G411" s="667"/>
      <c r="H411" s="667"/>
      <c r="I411" s="667"/>
      <c r="J411" s="667"/>
      <c r="K411" s="667"/>
      <c r="L411" s="667"/>
      <c r="M411" s="667"/>
      <c r="N411" s="667"/>
      <c r="O411" s="667"/>
      <c r="P411" s="667"/>
      <c r="Q411" s="667"/>
      <c r="S411" s="3"/>
      <c r="T411" s="3"/>
      <c r="U411" s="3"/>
      <c r="V411" s="3"/>
      <c r="W411" s="3"/>
      <c r="X411" s="3"/>
      <c r="Y411" s="3"/>
      <c r="Z411" s="3"/>
      <c r="AA411" s="3"/>
      <c r="AB411" s="3"/>
      <c r="AC411" s="3"/>
      <c r="AD411" s="3"/>
      <c r="AE411" s="3"/>
      <c r="AF411" s="3"/>
      <c r="AG411" s="3"/>
      <c r="AH411" s="3"/>
      <c r="AI411" s="3"/>
      <c r="AJ411" s="3"/>
      <c r="AK411" s="3"/>
    </row>
    <row r="412" ht="15.75" customHeight="1">
      <c r="A412" s="3"/>
      <c r="B412" s="466"/>
      <c r="C412" s="667"/>
      <c r="D412" s="667"/>
      <c r="E412" s="668"/>
      <c r="F412" s="667"/>
      <c r="G412" s="667"/>
      <c r="H412" s="667"/>
      <c r="I412" s="667"/>
      <c r="J412" s="667"/>
      <c r="K412" s="667"/>
      <c r="L412" s="667"/>
      <c r="M412" s="667"/>
      <c r="N412" s="667"/>
      <c r="O412" s="667"/>
      <c r="P412" s="667"/>
      <c r="Q412" s="667"/>
      <c r="S412" s="3"/>
      <c r="T412" s="3"/>
      <c r="U412" s="3"/>
      <c r="V412" s="3"/>
      <c r="W412" s="3"/>
      <c r="X412" s="3"/>
      <c r="Y412" s="3"/>
      <c r="Z412" s="3"/>
      <c r="AA412" s="3"/>
      <c r="AB412" s="3"/>
      <c r="AC412" s="3"/>
      <c r="AD412" s="3"/>
      <c r="AE412" s="3"/>
      <c r="AF412" s="3"/>
      <c r="AG412" s="3"/>
      <c r="AH412" s="3"/>
      <c r="AI412" s="3"/>
      <c r="AJ412" s="3"/>
      <c r="AK412" s="3"/>
    </row>
    <row r="413" ht="15.75" customHeight="1">
      <c r="A413" s="3"/>
      <c r="B413" s="466"/>
      <c r="C413" s="667"/>
      <c r="D413" s="667"/>
      <c r="E413" s="668"/>
      <c r="F413" s="667"/>
      <c r="G413" s="667"/>
      <c r="H413" s="667"/>
      <c r="I413" s="667"/>
      <c r="J413" s="667"/>
      <c r="K413" s="667"/>
      <c r="L413" s="667"/>
      <c r="M413" s="667"/>
      <c r="N413" s="667"/>
      <c r="O413" s="667"/>
      <c r="P413" s="667"/>
      <c r="Q413" s="667"/>
      <c r="S413" s="3"/>
      <c r="T413" s="3"/>
      <c r="U413" s="3"/>
      <c r="V413" s="3"/>
      <c r="W413" s="3"/>
      <c r="X413" s="3"/>
      <c r="Y413" s="3"/>
      <c r="Z413" s="3"/>
      <c r="AA413" s="3"/>
      <c r="AB413" s="3"/>
      <c r="AC413" s="3"/>
      <c r="AD413" s="3"/>
      <c r="AE413" s="3"/>
      <c r="AF413" s="3"/>
      <c r="AG413" s="3"/>
      <c r="AH413" s="3"/>
      <c r="AI413" s="3"/>
      <c r="AJ413" s="3"/>
      <c r="AK413" s="3"/>
    </row>
    <row r="414" ht="15.75" customHeight="1">
      <c r="A414" s="3"/>
      <c r="B414" s="466"/>
      <c r="C414" s="667"/>
      <c r="D414" s="667"/>
      <c r="E414" s="668"/>
      <c r="F414" s="667"/>
      <c r="G414" s="667"/>
      <c r="H414" s="667"/>
      <c r="I414" s="667"/>
      <c r="J414" s="667"/>
      <c r="K414" s="667"/>
      <c r="L414" s="667"/>
      <c r="M414" s="667"/>
      <c r="N414" s="667"/>
      <c r="O414" s="667"/>
      <c r="P414" s="667"/>
      <c r="Q414" s="667"/>
      <c r="S414" s="3"/>
      <c r="T414" s="3"/>
      <c r="U414" s="3"/>
      <c r="V414" s="3"/>
      <c r="W414" s="3"/>
      <c r="X414" s="3"/>
      <c r="Y414" s="3"/>
      <c r="Z414" s="3"/>
      <c r="AA414" s="3"/>
      <c r="AB414" s="3"/>
      <c r="AC414" s="3"/>
      <c r="AD414" s="3"/>
      <c r="AE414" s="3"/>
      <c r="AF414" s="3"/>
      <c r="AG414" s="3"/>
      <c r="AH414" s="3"/>
      <c r="AI414" s="3"/>
      <c r="AJ414" s="3"/>
      <c r="AK414" s="3"/>
    </row>
    <row r="415" ht="15.75" customHeight="1">
      <c r="A415" s="3"/>
      <c r="B415" s="466"/>
      <c r="C415" s="667"/>
      <c r="D415" s="667"/>
      <c r="E415" s="668"/>
      <c r="F415" s="667"/>
      <c r="G415" s="667"/>
      <c r="H415" s="667"/>
      <c r="I415" s="667"/>
      <c r="J415" s="667"/>
      <c r="K415" s="667"/>
      <c r="L415" s="667"/>
      <c r="M415" s="667"/>
      <c r="N415" s="667"/>
      <c r="O415" s="667"/>
      <c r="P415" s="667"/>
      <c r="Q415" s="667"/>
      <c r="S415" s="3"/>
      <c r="T415" s="3"/>
      <c r="U415" s="3"/>
      <c r="V415" s="3"/>
      <c r="W415" s="3"/>
      <c r="X415" s="3"/>
      <c r="Y415" s="3"/>
      <c r="Z415" s="3"/>
      <c r="AA415" s="3"/>
      <c r="AB415" s="3"/>
      <c r="AC415" s="3"/>
      <c r="AD415" s="3"/>
      <c r="AE415" s="3"/>
      <c r="AF415" s="3"/>
      <c r="AG415" s="3"/>
      <c r="AH415" s="3"/>
      <c r="AI415" s="3"/>
      <c r="AJ415" s="3"/>
      <c r="AK415" s="3"/>
    </row>
    <row r="416" ht="15.75" customHeight="1">
      <c r="A416" s="3"/>
      <c r="B416" s="466"/>
      <c r="C416" s="667"/>
      <c r="D416" s="667"/>
      <c r="E416" s="668"/>
      <c r="F416" s="667"/>
      <c r="G416" s="667"/>
      <c r="H416" s="667"/>
      <c r="I416" s="667"/>
      <c r="J416" s="667"/>
      <c r="K416" s="667"/>
      <c r="L416" s="667"/>
      <c r="M416" s="667"/>
      <c r="N416" s="667"/>
      <c r="O416" s="667"/>
      <c r="P416" s="667"/>
      <c r="Q416" s="667"/>
      <c r="S416" s="3"/>
      <c r="T416" s="3"/>
      <c r="U416" s="3"/>
      <c r="V416" s="3"/>
      <c r="W416" s="3"/>
      <c r="X416" s="3"/>
      <c r="Y416" s="3"/>
      <c r="Z416" s="3"/>
      <c r="AA416" s="3"/>
      <c r="AB416" s="3"/>
      <c r="AC416" s="3"/>
      <c r="AD416" s="3"/>
      <c r="AE416" s="3"/>
      <c r="AF416" s="3"/>
      <c r="AG416" s="3"/>
      <c r="AH416" s="3"/>
      <c r="AI416" s="3"/>
      <c r="AJ416" s="3"/>
      <c r="AK416" s="3"/>
    </row>
    <row r="417" ht="15.75" customHeight="1">
      <c r="A417" s="3"/>
      <c r="B417" s="466"/>
      <c r="C417" s="667"/>
      <c r="D417" s="667"/>
      <c r="E417" s="668"/>
      <c r="F417" s="667"/>
      <c r="G417" s="667"/>
      <c r="H417" s="667"/>
      <c r="I417" s="667"/>
      <c r="J417" s="667"/>
      <c r="K417" s="667"/>
      <c r="L417" s="667"/>
      <c r="M417" s="667"/>
      <c r="N417" s="667"/>
      <c r="O417" s="667"/>
      <c r="P417" s="667"/>
      <c r="Q417" s="667"/>
      <c r="S417" s="3"/>
      <c r="T417" s="3"/>
      <c r="U417" s="3"/>
      <c r="V417" s="3"/>
      <c r="W417" s="3"/>
      <c r="X417" s="3"/>
      <c r="Y417" s="3"/>
      <c r="Z417" s="3"/>
      <c r="AA417" s="3"/>
      <c r="AB417" s="3"/>
      <c r="AC417" s="3"/>
      <c r="AD417" s="3"/>
      <c r="AE417" s="3"/>
      <c r="AF417" s="3"/>
      <c r="AG417" s="3"/>
      <c r="AH417" s="3"/>
      <c r="AI417" s="3"/>
      <c r="AJ417" s="3"/>
      <c r="AK417" s="3"/>
    </row>
    <row r="418" ht="15.75" customHeight="1">
      <c r="A418" s="3"/>
      <c r="B418" s="466"/>
      <c r="C418" s="667"/>
      <c r="D418" s="667"/>
      <c r="E418" s="668"/>
      <c r="F418" s="667"/>
      <c r="G418" s="667"/>
      <c r="H418" s="667"/>
      <c r="I418" s="667"/>
      <c r="J418" s="667"/>
      <c r="K418" s="667"/>
      <c r="L418" s="667"/>
      <c r="M418" s="667"/>
      <c r="N418" s="667"/>
      <c r="O418" s="667"/>
      <c r="P418" s="667"/>
      <c r="Q418" s="667"/>
      <c r="S418" s="3"/>
      <c r="T418" s="3"/>
      <c r="U418" s="3"/>
      <c r="V418" s="3"/>
      <c r="W418" s="3"/>
      <c r="X418" s="3"/>
      <c r="Y418" s="3"/>
      <c r="Z418" s="3"/>
      <c r="AA418" s="3"/>
      <c r="AB418" s="3"/>
      <c r="AC418" s="3"/>
      <c r="AD418" s="3"/>
      <c r="AE418" s="3"/>
      <c r="AF418" s="3"/>
      <c r="AG418" s="3"/>
      <c r="AH418" s="3"/>
      <c r="AI418" s="3"/>
      <c r="AJ418" s="3"/>
      <c r="AK418" s="3"/>
    </row>
    <row r="419" ht="15.75" customHeight="1">
      <c r="A419" s="3"/>
      <c r="B419" s="466"/>
      <c r="C419" s="667"/>
      <c r="D419" s="667"/>
      <c r="E419" s="668"/>
      <c r="F419" s="667"/>
      <c r="G419" s="667"/>
      <c r="H419" s="667"/>
      <c r="I419" s="667"/>
      <c r="J419" s="667"/>
      <c r="K419" s="667"/>
      <c r="L419" s="667"/>
      <c r="M419" s="667"/>
      <c r="N419" s="667"/>
      <c r="O419" s="667"/>
      <c r="P419" s="667"/>
      <c r="Q419" s="667"/>
      <c r="S419" s="3"/>
      <c r="T419" s="3"/>
      <c r="U419" s="3"/>
      <c r="V419" s="3"/>
      <c r="W419" s="3"/>
      <c r="X419" s="3"/>
      <c r="Y419" s="3"/>
      <c r="Z419" s="3"/>
      <c r="AA419" s="3"/>
      <c r="AB419" s="3"/>
      <c r="AC419" s="3"/>
      <c r="AD419" s="3"/>
      <c r="AE419" s="3"/>
      <c r="AF419" s="3"/>
      <c r="AG419" s="3"/>
      <c r="AH419" s="3"/>
      <c r="AI419" s="3"/>
      <c r="AJ419" s="3"/>
      <c r="AK419" s="3"/>
    </row>
    <row r="420" ht="15.75" customHeight="1">
      <c r="A420" s="3"/>
      <c r="B420" s="466"/>
      <c r="C420" s="667"/>
      <c r="D420" s="667"/>
      <c r="E420" s="668"/>
      <c r="F420" s="667"/>
      <c r="G420" s="667"/>
      <c r="H420" s="667"/>
      <c r="I420" s="667"/>
      <c r="J420" s="667"/>
      <c r="K420" s="667"/>
      <c r="L420" s="667"/>
      <c r="M420" s="667"/>
      <c r="N420" s="667"/>
      <c r="O420" s="667"/>
      <c r="P420" s="667"/>
      <c r="Q420" s="667"/>
      <c r="S420" s="3"/>
      <c r="T420" s="3"/>
      <c r="U420" s="3"/>
      <c r="V420" s="3"/>
      <c r="W420" s="3"/>
      <c r="X420" s="3"/>
      <c r="Y420" s="3"/>
      <c r="Z420" s="3"/>
      <c r="AA420" s="3"/>
      <c r="AB420" s="3"/>
      <c r="AC420" s="3"/>
      <c r="AD420" s="3"/>
      <c r="AE420" s="3"/>
      <c r="AF420" s="3"/>
      <c r="AG420" s="3"/>
      <c r="AH420" s="3"/>
      <c r="AI420" s="3"/>
      <c r="AJ420" s="3"/>
      <c r="AK420" s="3"/>
    </row>
    <row r="421" ht="15.75" customHeight="1">
      <c r="A421" s="3"/>
      <c r="B421" s="466"/>
      <c r="C421" s="667"/>
      <c r="D421" s="667"/>
      <c r="E421" s="668"/>
      <c r="F421" s="667"/>
      <c r="G421" s="667"/>
      <c r="H421" s="667"/>
      <c r="I421" s="667"/>
      <c r="J421" s="667"/>
      <c r="K421" s="667"/>
      <c r="L421" s="667"/>
      <c r="M421" s="667"/>
      <c r="N421" s="667"/>
      <c r="O421" s="667"/>
      <c r="P421" s="667"/>
      <c r="Q421" s="667"/>
      <c r="S421" s="3"/>
      <c r="T421" s="3"/>
      <c r="U421" s="3"/>
      <c r="V421" s="3"/>
      <c r="W421" s="3"/>
      <c r="X421" s="3"/>
      <c r="Y421" s="3"/>
      <c r="Z421" s="3"/>
      <c r="AA421" s="3"/>
      <c r="AB421" s="3"/>
      <c r="AC421" s="3"/>
      <c r="AD421" s="3"/>
      <c r="AE421" s="3"/>
      <c r="AF421" s="3"/>
      <c r="AG421" s="3"/>
      <c r="AH421" s="3"/>
      <c r="AI421" s="3"/>
      <c r="AJ421" s="3"/>
      <c r="AK421" s="3"/>
    </row>
    <row r="422" ht="15.75" customHeight="1">
      <c r="A422" s="3"/>
      <c r="B422" s="466"/>
      <c r="C422" s="667"/>
      <c r="D422" s="667"/>
      <c r="E422" s="668"/>
      <c r="F422" s="667"/>
      <c r="G422" s="667"/>
      <c r="H422" s="667"/>
      <c r="I422" s="667"/>
      <c r="J422" s="667"/>
      <c r="K422" s="667"/>
      <c r="L422" s="667"/>
      <c r="M422" s="667"/>
      <c r="N422" s="667"/>
      <c r="O422" s="667"/>
      <c r="P422" s="667"/>
      <c r="Q422" s="667"/>
      <c r="S422" s="3"/>
      <c r="T422" s="3"/>
      <c r="U422" s="3"/>
      <c r="V422" s="3"/>
      <c r="W422" s="3"/>
      <c r="X422" s="3"/>
      <c r="Y422" s="3"/>
      <c r="Z422" s="3"/>
      <c r="AA422" s="3"/>
      <c r="AB422" s="3"/>
      <c r="AC422" s="3"/>
      <c r="AD422" s="3"/>
      <c r="AE422" s="3"/>
      <c r="AF422" s="3"/>
      <c r="AG422" s="3"/>
      <c r="AH422" s="3"/>
      <c r="AI422" s="3"/>
      <c r="AJ422" s="3"/>
      <c r="AK422" s="3"/>
    </row>
    <row r="423" ht="15.75" customHeight="1">
      <c r="A423" s="3"/>
      <c r="B423" s="466"/>
      <c r="C423" s="667"/>
      <c r="D423" s="667"/>
      <c r="E423" s="668"/>
      <c r="F423" s="667"/>
      <c r="G423" s="667"/>
      <c r="H423" s="667"/>
      <c r="I423" s="667"/>
      <c r="J423" s="667"/>
      <c r="K423" s="667"/>
      <c r="L423" s="667"/>
      <c r="M423" s="667"/>
      <c r="N423" s="667"/>
      <c r="O423" s="667"/>
      <c r="P423" s="667"/>
      <c r="Q423" s="667"/>
      <c r="S423" s="3"/>
      <c r="T423" s="3"/>
      <c r="U423" s="3"/>
      <c r="V423" s="3"/>
      <c r="W423" s="3"/>
      <c r="X423" s="3"/>
      <c r="Y423" s="3"/>
      <c r="Z423" s="3"/>
      <c r="AA423" s="3"/>
      <c r="AB423" s="3"/>
      <c r="AC423" s="3"/>
      <c r="AD423" s="3"/>
      <c r="AE423" s="3"/>
      <c r="AF423" s="3"/>
      <c r="AG423" s="3"/>
      <c r="AH423" s="3"/>
      <c r="AI423" s="3"/>
      <c r="AJ423" s="3"/>
      <c r="AK423" s="3"/>
    </row>
    <row r="424" ht="15.75" customHeight="1">
      <c r="A424" s="3"/>
      <c r="B424" s="466"/>
      <c r="C424" s="667"/>
      <c r="D424" s="667"/>
      <c r="E424" s="668"/>
      <c r="F424" s="667"/>
      <c r="G424" s="667"/>
      <c r="H424" s="667"/>
      <c r="I424" s="667"/>
      <c r="J424" s="667"/>
      <c r="K424" s="667"/>
      <c r="L424" s="667"/>
      <c r="M424" s="667"/>
      <c r="N424" s="667"/>
      <c r="O424" s="667"/>
      <c r="P424" s="667"/>
      <c r="Q424" s="667"/>
      <c r="S424" s="3"/>
      <c r="T424" s="3"/>
      <c r="U424" s="3"/>
      <c r="V424" s="3"/>
      <c r="W424" s="3"/>
      <c r="X424" s="3"/>
      <c r="Y424" s="3"/>
      <c r="Z424" s="3"/>
      <c r="AA424" s="3"/>
      <c r="AB424" s="3"/>
      <c r="AC424" s="3"/>
      <c r="AD424" s="3"/>
      <c r="AE424" s="3"/>
      <c r="AF424" s="3"/>
      <c r="AG424" s="3"/>
      <c r="AH424" s="3"/>
      <c r="AI424" s="3"/>
      <c r="AJ424" s="3"/>
      <c r="AK424" s="3"/>
    </row>
    <row r="425" ht="15.75" customHeight="1">
      <c r="A425" s="3"/>
      <c r="B425" s="466"/>
      <c r="C425" s="667"/>
      <c r="D425" s="667"/>
      <c r="E425" s="668"/>
      <c r="F425" s="667"/>
      <c r="G425" s="667"/>
      <c r="H425" s="667"/>
      <c r="I425" s="667"/>
      <c r="J425" s="667"/>
      <c r="K425" s="667"/>
      <c r="L425" s="667"/>
      <c r="M425" s="667"/>
      <c r="N425" s="667"/>
      <c r="O425" s="667"/>
      <c r="P425" s="667"/>
      <c r="Q425" s="667"/>
      <c r="S425" s="3"/>
      <c r="T425" s="3"/>
      <c r="U425" s="3"/>
      <c r="V425" s="3"/>
      <c r="W425" s="3"/>
      <c r="X425" s="3"/>
      <c r="Y425" s="3"/>
      <c r="Z425" s="3"/>
      <c r="AA425" s="3"/>
      <c r="AB425" s="3"/>
      <c r="AC425" s="3"/>
      <c r="AD425" s="3"/>
      <c r="AE425" s="3"/>
      <c r="AF425" s="3"/>
      <c r="AG425" s="3"/>
      <c r="AH425" s="3"/>
      <c r="AI425" s="3"/>
      <c r="AJ425" s="3"/>
      <c r="AK425" s="3"/>
    </row>
    <row r="426" ht="15.75" customHeight="1">
      <c r="A426" s="3"/>
      <c r="B426" s="466"/>
      <c r="C426" s="667"/>
      <c r="D426" s="667"/>
      <c r="E426" s="668"/>
      <c r="F426" s="667"/>
      <c r="G426" s="667"/>
      <c r="H426" s="667"/>
      <c r="I426" s="667"/>
      <c r="J426" s="667"/>
      <c r="K426" s="667"/>
      <c r="L426" s="667"/>
      <c r="M426" s="667"/>
      <c r="N426" s="667"/>
      <c r="O426" s="667"/>
      <c r="P426" s="667"/>
      <c r="Q426" s="667"/>
      <c r="S426" s="3"/>
      <c r="T426" s="3"/>
      <c r="U426" s="3"/>
      <c r="V426" s="3"/>
      <c r="W426" s="3"/>
      <c r="X426" s="3"/>
      <c r="Y426" s="3"/>
      <c r="Z426" s="3"/>
      <c r="AA426" s="3"/>
      <c r="AB426" s="3"/>
      <c r="AC426" s="3"/>
      <c r="AD426" s="3"/>
      <c r="AE426" s="3"/>
      <c r="AF426" s="3"/>
      <c r="AG426" s="3"/>
      <c r="AH426" s="3"/>
      <c r="AI426" s="3"/>
      <c r="AJ426" s="3"/>
      <c r="AK426" s="3"/>
    </row>
    <row r="427" ht="15.75" customHeight="1">
      <c r="A427" s="3"/>
      <c r="B427" s="466"/>
      <c r="C427" s="667"/>
      <c r="D427" s="667"/>
      <c r="E427" s="668"/>
      <c r="F427" s="667"/>
      <c r="G427" s="667"/>
      <c r="H427" s="667"/>
      <c r="I427" s="667"/>
      <c r="J427" s="667"/>
      <c r="K427" s="667"/>
      <c r="L427" s="667"/>
      <c r="M427" s="667"/>
      <c r="N427" s="667"/>
      <c r="O427" s="667"/>
      <c r="P427" s="667"/>
      <c r="Q427" s="667"/>
      <c r="S427" s="3"/>
      <c r="T427" s="3"/>
      <c r="U427" s="3"/>
      <c r="V427" s="3"/>
      <c r="W427" s="3"/>
      <c r="X427" s="3"/>
      <c r="Y427" s="3"/>
      <c r="Z427" s="3"/>
      <c r="AA427" s="3"/>
      <c r="AB427" s="3"/>
      <c r="AC427" s="3"/>
      <c r="AD427" s="3"/>
      <c r="AE427" s="3"/>
      <c r="AF427" s="3"/>
      <c r="AG427" s="3"/>
      <c r="AH427" s="3"/>
      <c r="AI427" s="3"/>
      <c r="AJ427" s="3"/>
      <c r="AK427" s="3"/>
    </row>
    <row r="428" ht="15.75" customHeight="1">
      <c r="A428" s="3"/>
      <c r="B428" s="466"/>
      <c r="C428" s="667"/>
      <c r="D428" s="667"/>
      <c r="E428" s="668"/>
      <c r="F428" s="667"/>
      <c r="G428" s="667"/>
      <c r="H428" s="667"/>
      <c r="I428" s="667"/>
      <c r="J428" s="667"/>
      <c r="K428" s="667"/>
      <c r="L428" s="667"/>
      <c r="M428" s="667"/>
      <c r="N428" s="667"/>
      <c r="O428" s="667"/>
      <c r="P428" s="667"/>
      <c r="Q428" s="667"/>
      <c r="S428" s="3"/>
      <c r="T428" s="3"/>
      <c r="U428" s="3"/>
      <c r="V428" s="3"/>
      <c r="W428" s="3"/>
      <c r="X428" s="3"/>
      <c r="Y428" s="3"/>
      <c r="Z428" s="3"/>
      <c r="AA428" s="3"/>
      <c r="AB428" s="3"/>
      <c r="AC428" s="3"/>
      <c r="AD428" s="3"/>
      <c r="AE428" s="3"/>
      <c r="AF428" s="3"/>
      <c r="AG428" s="3"/>
      <c r="AH428" s="3"/>
      <c r="AI428" s="3"/>
      <c r="AJ428" s="3"/>
      <c r="AK428" s="3"/>
    </row>
    <row r="429" ht="15.75" customHeight="1">
      <c r="A429" s="3"/>
      <c r="B429" s="466"/>
      <c r="C429" s="667"/>
      <c r="D429" s="667"/>
      <c r="E429" s="668"/>
      <c r="F429" s="667"/>
      <c r="G429" s="667"/>
      <c r="H429" s="667"/>
      <c r="I429" s="667"/>
      <c r="J429" s="667"/>
      <c r="K429" s="667"/>
      <c r="L429" s="667"/>
      <c r="M429" s="667"/>
      <c r="N429" s="667"/>
      <c r="O429" s="667"/>
      <c r="P429" s="667"/>
      <c r="Q429" s="667"/>
      <c r="S429" s="3"/>
      <c r="T429" s="3"/>
      <c r="U429" s="3"/>
      <c r="V429" s="3"/>
      <c r="W429" s="3"/>
      <c r="X429" s="3"/>
      <c r="Y429" s="3"/>
      <c r="Z429" s="3"/>
      <c r="AA429" s="3"/>
      <c r="AB429" s="3"/>
      <c r="AC429" s="3"/>
      <c r="AD429" s="3"/>
      <c r="AE429" s="3"/>
      <c r="AF429" s="3"/>
      <c r="AG429" s="3"/>
      <c r="AH429" s="3"/>
      <c r="AI429" s="3"/>
      <c r="AJ429" s="3"/>
      <c r="AK429" s="3"/>
    </row>
    <row r="430" ht="15.75" customHeight="1">
      <c r="A430" s="3"/>
      <c r="B430" s="466"/>
      <c r="C430" s="667"/>
      <c r="D430" s="667"/>
      <c r="E430" s="668"/>
      <c r="F430" s="667"/>
      <c r="G430" s="667"/>
      <c r="H430" s="667"/>
      <c r="I430" s="667"/>
      <c r="J430" s="667"/>
      <c r="K430" s="667"/>
      <c r="L430" s="667"/>
      <c r="M430" s="667"/>
      <c r="N430" s="667"/>
      <c r="O430" s="667"/>
      <c r="P430" s="667"/>
      <c r="Q430" s="667"/>
      <c r="S430" s="3"/>
      <c r="T430" s="3"/>
      <c r="U430" s="3"/>
      <c r="V430" s="3"/>
      <c r="W430" s="3"/>
      <c r="X430" s="3"/>
      <c r="Y430" s="3"/>
      <c r="Z430" s="3"/>
      <c r="AA430" s="3"/>
      <c r="AB430" s="3"/>
      <c r="AC430" s="3"/>
      <c r="AD430" s="3"/>
      <c r="AE430" s="3"/>
      <c r="AF430" s="3"/>
      <c r="AG430" s="3"/>
      <c r="AH430" s="3"/>
      <c r="AI430" s="3"/>
      <c r="AJ430" s="3"/>
      <c r="AK430" s="3"/>
    </row>
    <row r="431" ht="15.75" customHeight="1">
      <c r="A431" s="3"/>
      <c r="B431" s="466"/>
      <c r="C431" s="667"/>
      <c r="D431" s="667"/>
      <c r="E431" s="668"/>
      <c r="F431" s="667"/>
      <c r="G431" s="667"/>
      <c r="H431" s="667"/>
      <c r="I431" s="667"/>
      <c r="J431" s="667"/>
      <c r="K431" s="667"/>
      <c r="L431" s="667"/>
      <c r="M431" s="667"/>
      <c r="N431" s="667"/>
      <c r="O431" s="667"/>
      <c r="P431" s="667"/>
      <c r="Q431" s="667"/>
      <c r="S431" s="3"/>
      <c r="T431" s="3"/>
      <c r="U431" s="3"/>
      <c r="V431" s="3"/>
      <c r="W431" s="3"/>
      <c r="X431" s="3"/>
      <c r="Y431" s="3"/>
      <c r="Z431" s="3"/>
      <c r="AA431" s="3"/>
      <c r="AB431" s="3"/>
      <c r="AC431" s="3"/>
      <c r="AD431" s="3"/>
      <c r="AE431" s="3"/>
      <c r="AF431" s="3"/>
      <c r="AG431" s="3"/>
      <c r="AH431" s="3"/>
      <c r="AI431" s="3"/>
      <c r="AJ431" s="3"/>
      <c r="AK431" s="3"/>
    </row>
    <row r="432" ht="15.75" customHeight="1">
      <c r="A432" s="3"/>
      <c r="B432" s="466"/>
      <c r="C432" s="667"/>
      <c r="D432" s="667"/>
      <c r="E432" s="668"/>
      <c r="F432" s="667"/>
      <c r="G432" s="667"/>
      <c r="H432" s="667"/>
      <c r="I432" s="667"/>
      <c r="J432" s="667"/>
      <c r="K432" s="667"/>
      <c r="L432" s="667"/>
      <c r="M432" s="667"/>
      <c r="N432" s="667"/>
      <c r="O432" s="667"/>
      <c r="P432" s="667"/>
      <c r="Q432" s="667"/>
      <c r="S432" s="3"/>
      <c r="T432" s="3"/>
      <c r="U432" s="3"/>
      <c r="V432" s="3"/>
      <c r="W432" s="3"/>
      <c r="X432" s="3"/>
      <c r="Y432" s="3"/>
      <c r="Z432" s="3"/>
      <c r="AA432" s="3"/>
      <c r="AB432" s="3"/>
      <c r="AC432" s="3"/>
      <c r="AD432" s="3"/>
      <c r="AE432" s="3"/>
      <c r="AF432" s="3"/>
      <c r="AG432" s="3"/>
      <c r="AH432" s="3"/>
      <c r="AI432" s="3"/>
      <c r="AJ432" s="3"/>
      <c r="AK432" s="3"/>
    </row>
    <row r="433" ht="15.75" customHeight="1">
      <c r="A433" s="3"/>
      <c r="B433" s="466"/>
      <c r="C433" s="667"/>
      <c r="D433" s="667"/>
      <c r="E433" s="668"/>
      <c r="F433" s="667"/>
      <c r="G433" s="667"/>
      <c r="H433" s="667"/>
      <c r="I433" s="667"/>
      <c r="J433" s="667"/>
      <c r="K433" s="667"/>
      <c r="L433" s="667"/>
      <c r="M433" s="667"/>
      <c r="N433" s="667"/>
      <c r="O433" s="667"/>
      <c r="P433" s="667"/>
      <c r="Q433" s="667"/>
      <c r="S433" s="3"/>
      <c r="T433" s="3"/>
      <c r="U433" s="3"/>
      <c r="V433" s="3"/>
      <c r="W433" s="3"/>
      <c r="X433" s="3"/>
      <c r="Y433" s="3"/>
      <c r="Z433" s="3"/>
      <c r="AA433" s="3"/>
      <c r="AB433" s="3"/>
      <c r="AC433" s="3"/>
      <c r="AD433" s="3"/>
      <c r="AE433" s="3"/>
      <c r="AF433" s="3"/>
      <c r="AG433" s="3"/>
      <c r="AH433" s="3"/>
      <c r="AI433" s="3"/>
      <c r="AJ433" s="3"/>
      <c r="AK433" s="3"/>
    </row>
    <row r="434" ht="15.75" customHeight="1">
      <c r="A434" s="3"/>
      <c r="B434" s="466"/>
      <c r="C434" s="667"/>
      <c r="D434" s="667"/>
      <c r="E434" s="668"/>
      <c r="F434" s="667"/>
      <c r="G434" s="667"/>
      <c r="H434" s="667"/>
      <c r="I434" s="667"/>
      <c r="J434" s="667"/>
      <c r="K434" s="667"/>
      <c r="L434" s="667"/>
      <c r="M434" s="667"/>
      <c r="N434" s="667"/>
      <c r="O434" s="667"/>
      <c r="P434" s="667"/>
      <c r="Q434" s="667"/>
      <c r="S434" s="3"/>
      <c r="T434" s="3"/>
      <c r="U434" s="3"/>
      <c r="V434" s="3"/>
      <c r="W434" s="3"/>
      <c r="X434" s="3"/>
      <c r="Y434" s="3"/>
      <c r="Z434" s="3"/>
      <c r="AA434" s="3"/>
      <c r="AB434" s="3"/>
      <c r="AC434" s="3"/>
      <c r="AD434" s="3"/>
      <c r="AE434" s="3"/>
      <c r="AF434" s="3"/>
      <c r="AG434" s="3"/>
      <c r="AH434" s="3"/>
      <c r="AI434" s="3"/>
      <c r="AJ434" s="3"/>
      <c r="AK434" s="3"/>
    </row>
    <row r="435" ht="15.75" customHeight="1">
      <c r="A435" s="3"/>
      <c r="B435" s="466"/>
      <c r="C435" s="667"/>
      <c r="D435" s="667"/>
      <c r="E435" s="668"/>
      <c r="F435" s="667"/>
      <c r="G435" s="667"/>
      <c r="H435" s="667"/>
      <c r="I435" s="667"/>
      <c r="J435" s="667"/>
      <c r="K435" s="667"/>
      <c r="L435" s="667"/>
      <c r="M435" s="667"/>
      <c r="N435" s="667"/>
      <c r="O435" s="667"/>
      <c r="P435" s="667"/>
      <c r="Q435" s="667"/>
      <c r="S435" s="3"/>
      <c r="T435" s="3"/>
      <c r="U435" s="3"/>
      <c r="V435" s="3"/>
      <c r="W435" s="3"/>
      <c r="X435" s="3"/>
      <c r="Y435" s="3"/>
      <c r="Z435" s="3"/>
      <c r="AA435" s="3"/>
      <c r="AB435" s="3"/>
      <c r="AC435" s="3"/>
      <c r="AD435" s="3"/>
      <c r="AE435" s="3"/>
      <c r="AF435" s="3"/>
      <c r="AG435" s="3"/>
      <c r="AH435" s="3"/>
      <c r="AI435" s="3"/>
      <c r="AJ435" s="3"/>
      <c r="AK435" s="3"/>
    </row>
    <row r="436" ht="15.75" customHeight="1">
      <c r="A436" s="3"/>
      <c r="B436" s="466"/>
      <c r="C436" s="667"/>
      <c r="D436" s="667"/>
      <c r="E436" s="668"/>
      <c r="F436" s="667"/>
      <c r="G436" s="667"/>
      <c r="H436" s="667"/>
      <c r="I436" s="667"/>
      <c r="J436" s="667"/>
      <c r="K436" s="667"/>
      <c r="L436" s="667"/>
      <c r="M436" s="667"/>
      <c r="N436" s="667"/>
      <c r="O436" s="667"/>
      <c r="P436" s="667"/>
      <c r="Q436" s="667"/>
      <c r="S436" s="3"/>
      <c r="T436" s="3"/>
      <c r="U436" s="3"/>
      <c r="V436" s="3"/>
      <c r="W436" s="3"/>
      <c r="X436" s="3"/>
      <c r="Y436" s="3"/>
      <c r="Z436" s="3"/>
      <c r="AA436" s="3"/>
      <c r="AB436" s="3"/>
      <c r="AC436" s="3"/>
      <c r="AD436" s="3"/>
      <c r="AE436" s="3"/>
      <c r="AF436" s="3"/>
      <c r="AG436" s="3"/>
      <c r="AH436" s="3"/>
      <c r="AI436" s="3"/>
      <c r="AJ436" s="3"/>
      <c r="AK436" s="3"/>
    </row>
    <row r="437" ht="15.75" customHeight="1">
      <c r="A437" s="3"/>
      <c r="B437" s="466"/>
      <c r="C437" s="667"/>
      <c r="D437" s="667"/>
      <c r="E437" s="668"/>
      <c r="F437" s="667"/>
      <c r="G437" s="667"/>
      <c r="H437" s="667"/>
      <c r="I437" s="667"/>
      <c r="J437" s="667"/>
      <c r="K437" s="667"/>
      <c r="L437" s="667"/>
      <c r="M437" s="667"/>
      <c r="N437" s="667"/>
      <c r="O437" s="667"/>
      <c r="P437" s="667"/>
      <c r="Q437" s="667"/>
      <c r="S437" s="3"/>
      <c r="T437" s="3"/>
      <c r="U437" s="3"/>
      <c r="V437" s="3"/>
      <c r="W437" s="3"/>
      <c r="X437" s="3"/>
      <c r="Y437" s="3"/>
      <c r="Z437" s="3"/>
      <c r="AA437" s="3"/>
      <c r="AB437" s="3"/>
      <c r="AC437" s="3"/>
      <c r="AD437" s="3"/>
      <c r="AE437" s="3"/>
      <c r="AF437" s="3"/>
      <c r="AG437" s="3"/>
      <c r="AH437" s="3"/>
      <c r="AI437" s="3"/>
      <c r="AJ437" s="3"/>
      <c r="AK437" s="3"/>
    </row>
    <row r="438" ht="15.75" customHeight="1">
      <c r="A438" s="3"/>
      <c r="B438" s="466"/>
      <c r="C438" s="667"/>
      <c r="D438" s="667"/>
      <c r="E438" s="668"/>
      <c r="F438" s="667"/>
      <c r="G438" s="667"/>
      <c r="H438" s="667"/>
      <c r="I438" s="667"/>
      <c r="J438" s="667"/>
      <c r="K438" s="667"/>
      <c r="L438" s="667"/>
      <c r="M438" s="667"/>
      <c r="N438" s="667"/>
      <c r="O438" s="667"/>
      <c r="P438" s="667"/>
      <c r="Q438" s="667"/>
      <c r="S438" s="3"/>
      <c r="T438" s="3"/>
      <c r="U438" s="3"/>
      <c r="V438" s="3"/>
      <c r="W438" s="3"/>
      <c r="X438" s="3"/>
      <c r="Y438" s="3"/>
      <c r="Z438" s="3"/>
      <c r="AA438" s="3"/>
      <c r="AB438" s="3"/>
      <c r="AC438" s="3"/>
      <c r="AD438" s="3"/>
      <c r="AE438" s="3"/>
      <c r="AF438" s="3"/>
      <c r="AG438" s="3"/>
      <c r="AH438" s="3"/>
      <c r="AI438" s="3"/>
      <c r="AJ438" s="3"/>
      <c r="AK438" s="3"/>
    </row>
    <row r="439" ht="15.75" customHeight="1">
      <c r="A439" s="3"/>
      <c r="B439" s="466"/>
      <c r="C439" s="667"/>
      <c r="D439" s="667"/>
      <c r="E439" s="668"/>
      <c r="F439" s="667"/>
      <c r="G439" s="667"/>
      <c r="H439" s="667"/>
      <c r="I439" s="667"/>
      <c r="J439" s="667"/>
      <c r="K439" s="667"/>
      <c r="L439" s="667"/>
      <c r="M439" s="667"/>
      <c r="N439" s="667"/>
      <c r="O439" s="667"/>
      <c r="P439" s="667"/>
      <c r="Q439" s="667"/>
      <c r="S439" s="3"/>
      <c r="T439" s="3"/>
      <c r="U439" s="3"/>
      <c r="V439" s="3"/>
      <c r="W439" s="3"/>
      <c r="X439" s="3"/>
      <c r="Y439" s="3"/>
      <c r="Z439" s="3"/>
      <c r="AA439" s="3"/>
      <c r="AB439" s="3"/>
      <c r="AC439" s="3"/>
      <c r="AD439" s="3"/>
      <c r="AE439" s="3"/>
      <c r="AF439" s="3"/>
      <c r="AG439" s="3"/>
      <c r="AH439" s="3"/>
      <c r="AI439" s="3"/>
      <c r="AJ439" s="3"/>
      <c r="AK439" s="3"/>
    </row>
    <row r="440" ht="15.75" customHeight="1">
      <c r="A440" s="3"/>
      <c r="B440" s="466"/>
      <c r="C440" s="667"/>
      <c r="D440" s="667"/>
      <c r="E440" s="668"/>
      <c r="F440" s="667"/>
      <c r="G440" s="667"/>
      <c r="H440" s="667"/>
      <c r="I440" s="667"/>
      <c r="J440" s="667"/>
      <c r="K440" s="667"/>
      <c r="L440" s="667"/>
      <c r="M440" s="667"/>
      <c r="N440" s="667"/>
      <c r="O440" s="667"/>
      <c r="P440" s="667"/>
      <c r="Q440" s="667"/>
      <c r="S440" s="3"/>
      <c r="T440" s="3"/>
      <c r="U440" s="3"/>
      <c r="V440" s="3"/>
      <c r="W440" s="3"/>
      <c r="X440" s="3"/>
      <c r="Y440" s="3"/>
      <c r="Z440" s="3"/>
      <c r="AA440" s="3"/>
      <c r="AB440" s="3"/>
      <c r="AC440" s="3"/>
      <c r="AD440" s="3"/>
      <c r="AE440" s="3"/>
      <c r="AF440" s="3"/>
      <c r="AG440" s="3"/>
      <c r="AH440" s="3"/>
      <c r="AI440" s="3"/>
      <c r="AJ440" s="3"/>
      <c r="AK440" s="3"/>
    </row>
    <row r="441" ht="15.75" customHeight="1">
      <c r="A441" s="3"/>
      <c r="B441" s="466"/>
      <c r="C441" s="667"/>
      <c r="D441" s="667"/>
      <c r="E441" s="668"/>
      <c r="F441" s="667"/>
      <c r="G441" s="667"/>
      <c r="H441" s="667"/>
      <c r="I441" s="667"/>
      <c r="J441" s="667"/>
      <c r="K441" s="667"/>
      <c r="L441" s="667"/>
      <c r="M441" s="667"/>
      <c r="N441" s="667"/>
      <c r="O441" s="667"/>
      <c r="P441" s="667"/>
      <c r="Q441" s="667"/>
      <c r="S441" s="3"/>
      <c r="T441" s="3"/>
      <c r="U441" s="3"/>
      <c r="V441" s="3"/>
      <c r="W441" s="3"/>
      <c r="X441" s="3"/>
      <c r="Y441" s="3"/>
      <c r="Z441" s="3"/>
      <c r="AA441" s="3"/>
      <c r="AB441" s="3"/>
      <c r="AC441" s="3"/>
      <c r="AD441" s="3"/>
      <c r="AE441" s="3"/>
      <c r="AF441" s="3"/>
      <c r="AG441" s="3"/>
      <c r="AH441" s="3"/>
      <c r="AI441" s="3"/>
      <c r="AJ441" s="3"/>
      <c r="AK441" s="3"/>
    </row>
    <row r="442" ht="15.75" customHeight="1">
      <c r="A442" s="3"/>
      <c r="B442" s="466"/>
      <c r="C442" s="667"/>
      <c r="D442" s="667"/>
      <c r="E442" s="668"/>
      <c r="F442" s="667"/>
      <c r="G442" s="667"/>
      <c r="H442" s="667"/>
      <c r="I442" s="667"/>
      <c r="J442" s="667"/>
      <c r="K442" s="667"/>
      <c r="L442" s="667"/>
      <c r="M442" s="667"/>
      <c r="N442" s="667"/>
      <c r="O442" s="667"/>
      <c r="P442" s="667"/>
      <c r="Q442" s="667"/>
      <c r="S442" s="3"/>
      <c r="T442" s="3"/>
      <c r="U442" s="3"/>
      <c r="V442" s="3"/>
      <c r="W442" s="3"/>
      <c r="X442" s="3"/>
      <c r="Y442" s="3"/>
      <c r="Z442" s="3"/>
      <c r="AA442" s="3"/>
      <c r="AB442" s="3"/>
      <c r="AC442" s="3"/>
      <c r="AD442" s="3"/>
      <c r="AE442" s="3"/>
      <c r="AF442" s="3"/>
      <c r="AG442" s="3"/>
      <c r="AH442" s="3"/>
      <c r="AI442" s="3"/>
      <c r="AJ442" s="3"/>
      <c r="AK442" s="3"/>
    </row>
    <row r="443" ht="15.75" customHeight="1">
      <c r="A443" s="3"/>
      <c r="B443" s="466"/>
      <c r="C443" s="667"/>
      <c r="D443" s="667"/>
      <c r="E443" s="668"/>
      <c r="F443" s="667"/>
      <c r="G443" s="667"/>
      <c r="H443" s="667"/>
      <c r="I443" s="667"/>
      <c r="J443" s="667"/>
      <c r="K443" s="667"/>
      <c r="L443" s="667"/>
      <c r="M443" s="667"/>
      <c r="N443" s="667"/>
      <c r="O443" s="667"/>
      <c r="P443" s="667"/>
      <c r="Q443" s="667"/>
      <c r="S443" s="3"/>
      <c r="T443" s="3"/>
      <c r="U443" s="3"/>
      <c r="V443" s="3"/>
      <c r="W443" s="3"/>
      <c r="X443" s="3"/>
      <c r="Y443" s="3"/>
      <c r="Z443" s="3"/>
      <c r="AA443" s="3"/>
      <c r="AB443" s="3"/>
      <c r="AC443" s="3"/>
      <c r="AD443" s="3"/>
      <c r="AE443" s="3"/>
      <c r="AF443" s="3"/>
      <c r="AG443" s="3"/>
      <c r="AH443" s="3"/>
      <c r="AI443" s="3"/>
      <c r="AJ443" s="3"/>
      <c r="AK443" s="3"/>
    </row>
    <row r="444" ht="15.75" customHeight="1">
      <c r="A444" s="3"/>
      <c r="B444" s="466"/>
      <c r="C444" s="667"/>
      <c r="D444" s="667"/>
      <c r="E444" s="668"/>
      <c r="F444" s="667"/>
      <c r="G444" s="667"/>
      <c r="H444" s="667"/>
      <c r="I444" s="667"/>
      <c r="J444" s="667"/>
      <c r="K444" s="667"/>
      <c r="L444" s="667"/>
      <c r="M444" s="667"/>
      <c r="N444" s="667"/>
      <c r="O444" s="667"/>
      <c r="P444" s="667"/>
      <c r="Q444" s="667"/>
      <c r="S444" s="3"/>
      <c r="T444" s="3"/>
      <c r="U444" s="3"/>
      <c r="V444" s="3"/>
      <c r="W444" s="3"/>
      <c r="X444" s="3"/>
      <c r="Y444" s="3"/>
      <c r="Z444" s="3"/>
      <c r="AA444" s="3"/>
      <c r="AB444" s="3"/>
      <c r="AC444" s="3"/>
      <c r="AD444" s="3"/>
      <c r="AE444" s="3"/>
      <c r="AF444" s="3"/>
      <c r="AG444" s="3"/>
      <c r="AH444" s="3"/>
      <c r="AI444" s="3"/>
      <c r="AJ444" s="3"/>
      <c r="AK444" s="3"/>
    </row>
    <row r="445" ht="15.75" customHeight="1">
      <c r="A445" s="3"/>
      <c r="B445" s="466"/>
      <c r="C445" s="667"/>
      <c r="D445" s="667"/>
      <c r="E445" s="668"/>
      <c r="F445" s="667"/>
      <c r="G445" s="667"/>
      <c r="H445" s="667"/>
      <c r="I445" s="667"/>
      <c r="J445" s="667"/>
      <c r="K445" s="667"/>
      <c r="L445" s="667"/>
      <c r="M445" s="667"/>
      <c r="N445" s="667"/>
      <c r="O445" s="667"/>
      <c r="P445" s="667"/>
      <c r="Q445" s="667"/>
      <c r="S445" s="3"/>
      <c r="T445" s="3"/>
      <c r="U445" s="3"/>
      <c r="V445" s="3"/>
      <c r="W445" s="3"/>
      <c r="X445" s="3"/>
      <c r="Y445" s="3"/>
      <c r="Z445" s="3"/>
      <c r="AA445" s="3"/>
      <c r="AB445" s="3"/>
      <c r="AC445" s="3"/>
      <c r="AD445" s="3"/>
      <c r="AE445" s="3"/>
      <c r="AF445" s="3"/>
      <c r="AG445" s="3"/>
      <c r="AH445" s="3"/>
      <c r="AI445" s="3"/>
      <c r="AJ445" s="3"/>
      <c r="AK445" s="3"/>
    </row>
    <row r="446" ht="15.75" customHeight="1">
      <c r="A446" s="3"/>
      <c r="B446" s="466"/>
      <c r="C446" s="667"/>
      <c r="D446" s="667"/>
      <c r="E446" s="668"/>
      <c r="F446" s="667"/>
      <c r="G446" s="667"/>
      <c r="H446" s="667"/>
      <c r="I446" s="667"/>
      <c r="J446" s="667"/>
      <c r="K446" s="667"/>
      <c r="L446" s="667"/>
      <c r="M446" s="667"/>
      <c r="N446" s="667"/>
      <c r="O446" s="667"/>
      <c r="P446" s="667"/>
      <c r="Q446" s="667"/>
      <c r="S446" s="3"/>
      <c r="T446" s="3"/>
      <c r="U446" s="3"/>
      <c r="V446" s="3"/>
      <c r="W446" s="3"/>
      <c r="X446" s="3"/>
      <c r="Y446" s="3"/>
      <c r="Z446" s="3"/>
      <c r="AA446" s="3"/>
      <c r="AB446" s="3"/>
      <c r="AC446" s="3"/>
      <c r="AD446" s="3"/>
      <c r="AE446" s="3"/>
      <c r="AF446" s="3"/>
      <c r="AG446" s="3"/>
      <c r="AH446" s="3"/>
      <c r="AI446" s="3"/>
      <c r="AJ446" s="3"/>
      <c r="AK446" s="3"/>
    </row>
    <row r="447" ht="15.75" customHeight="1">
      <c r="A447" s="3"/>
      <c r="B447" s="466"/>
      <c r="C447" s="667"/>
      <c r="D447" s="667"/>
      <c r="E447" s="668"/>
      <c r="F447" s="667"/>
      <c r="G447" s="667"/>
      <c r="H447" s="667"/>
      <c r="I447" s="667"/>
      <c r="J447" s="667"/>
      <c r="K447" s="667"/>
      <c r="L447" s="667"/>
      <c r="M447" s="667"/>
      <c r="N447" s="667"/>
      <c r="O447" s="667"/>
      <c r="P447" s="667"/>
      <c r="Q447" s="667"/>
      <c r="S447" s="3"/>
      <c r="T447" s="3"/>
      <c r="U447" s="3"/>
      <c r="V447" s="3"/>
      <c r="W447" s="3"/>
      <c r="X447" s="3"/>
      <c r="Y447" s="3"/>
      <c r="Z447" s="3"/>
      <c r="AA447" s="3"/>
      <c r="AB447" s="3"/>
      <c r="AC447" s="3"/>
      <c r="AD447" s="3"/>
      <c r="AE447" s="3"/>
      <c r="AF447" s="3"/>
      <c r="AG447" s="3"/>
      <c r="AH447" s="3"/>
      <c r="AI447" s="3"/>
      <c r="AJ447" s="3"/>
      <c r="AK447" s="3"/>
    </row>
    <row r="448" ht="15.75" customHeight="1">
      <c r="A448" s="3"/>
      <c r="B448" s="466"/>
      <c r="C448" s="667"/>
      <c r="D448" s="667"/>
      <c r="E448" s="668"/>
      <c r="F448" s="667"/>
      <c r="G448" s="667"/>
      <c r="H448" s="667"/>
      <c r="I448" s="667"/>
      <c r="J448" s="667"/>
      <c r="K448" s="667"/>
      <c r="L448" s="667"/>
      <c r="M448" s="667"/>
      <c r="N448" s="667"/>
      <c r="O448" s="667"/>
      <c r="P448" s="667"/>
      <c r="Q448" s="667"/>
      <c r="S448" s="3"/>
      <c r="T448" s="3"/>
      <c r="U448" s="3"/>
      <c r="V448" s="3"/>
      <c r="W448" s="3"/>
      <c r="X448" s="3"/>
      <c r="Y448" s="3"/>
      <c r="Z448" s="3"/>
      <c r="AA448" s="3"/>
      <c r="AB448" s="3"/>
      <c r="AC448" s="3"/>
      <c r="AD448" s="3"/>
      <c r="AE448" s="3"/>
      <c r="AF448" s="3"/>
      <c r="AG448" s="3"/>
      <c r="AH448" s="3"/>
      <c r="AI448" s="3"/>
      <c r="AJ448" s="3"/>
      <c r="AK448" s="3"/>
    </row>
    <row r="449" ht="15.75" customHeight="1">
      <c r="A449" s="3"/>
      <c r="B449" s="466"/>
      <c r="C449" s="667"/>
      <c r="D449" s="667"/>
      <c r="E449" s="668"/>
      <c r="F449" s="667"/>
      <c r="G449" s="667"/>
      <c r="H449" s="667"/>
      <c r="I449" s="667"/>
      <c r="J449" s="667"/>
      <c r="K449" s="667"/>
      <c r="L449" s="667"/>
      <c r="M449" s="667"/>
      <c r="N449" s="667"/>
      <c r="O449" s="667"/>
      <c r="P449" s="667"/>
      <c r="Q449" s="667"/>
      <c r="S449" s="3"/>
      <c r="T449" s="3"/>
      <c r="U449" s="3"/>
      <c r="V449" s="3"/>
      <c r="W449" s="3"/>
      <c r="X449" s="3"/>
      <c r="Y449" s="3"/>
      <c r="Z449" s="3"/>
      <c r="AA449" s="3"/>
      <c r="AB449" s="3"/>
      <c r="AC449" s="3"/>
      <c r="AD449" s="3"/>
      <c r="AE449" s="3"/>
      <c r="AF449" s="3"/>
      <c r="AG449" s="3"/>
      <c r="AH449" s="3"/>
      <c r="AI449" s="3"/>
      <c r="AJ449" s="3"/>
      <c r="AK449" s="3"/>
    </row>
    <row r="450" ht="15.75" customHeight="1">
      <c r="A450" s="3"/>
      <c r="B450" s="466"/>
      <c r="C450" s="667"/>
      <c r="D450" s="667"/>
      <c r="E450" s="668"/>
      <c r="F450" s="667"/>
      <c r="G450" s="667"/>
      <c r="H450" s="667"/>
      <c r="I450" s="667"/>
      <c r="J450" s="667"/>
      <c r="K450" s="667"/>
      <c r="L450" s="667"/>
      <c r="M450" s="667"/>
      <c r="N450" s="667"/>
      <c r="O450" s="667"/>
      <c r="P450" s="667"/>
      <c r="Q450" s="667"/>
      <c r="S450" s="3"/>
      <c r="T450" s="3"/>
      <c r="U450" s="3"/>
      <c r="V450" s="3"/>
      <c r="W450" s="3"/>
      <c r="X450" s="3"/>
      <c r="Y450" s="3"/>
      <c r="Z450" s="3"/>
      <c r="AA450" s="3"/>
      <c r="AB450" s="3"/>
      <c r="AC450" s="3"/>
      <c r="AD450" s="3"/>
      <c r="AE450" s="3"/>
      <c r="AF450" s="3"/>
      <c r="AG450" s="3"/>
      <c r="AH450" s="3"/>
      <c r="AI450" s="3"/>
      <c r="AJ450" s="3"/>
      <c r="AK450" s="3"/>
    </row>
    <row r="451" ht="15.75" customHeight="1">
      <c r="A451" s="3"/>
      <c r="B451" s="466"/>
      <c r="C451" s="667"/>
      <c r="D451" s="667"/>
      <c r="E451" s="668"/>
      <c r="F451" s="667"/>
      <c r="G451" s="667"/>
      <c r="H451" s="667"/>
      <c r="I451" s="667"/>
      <c r="J451" s="667"/>
      <c r="K451" s="667"/>
      <c r="L451" s="667"/>
      <c r="M451" s="667"/>
      <c r="N451" s="667"/>
      <c r="O451" s="667"/>
      <c r="P451" s="667"/>
      <c r="Q451" s="667"/>
      <c r="S451" s="3"/>
      <c r="T451" s="3"/>
      <c r="U451" s="3"/>
      <c r="V451" s="3"/>
      <c r="W451" s="3"/>
      <c r="X451" s="3"/>
      <c r="Y451" s="3"/>
      <c r="Z451" s="3"/>
      <c r="AA451" s="3"/>
      <c r="AB451" s="3"/>
      <c r="AC451" s="3"/>
      <c r="AD451" s="3"/>
      <c r="AE451" s="3"/>
      <c r="AF451" s="3"/>
      <c r="AG451" s="3"/>
      <c r="AH451" s="3"/>
      <c r="AI451" s="3"/>
      <c r="AJ451" s="3"/>
      <c r="AK451" s="3"/>
    </row>
    <row r="452" ht="15.75" customHeight="1">
      <c r="A452" s="3"/>
      <c r="B452" s="466"/>
      <c r="C452" s="667"/>
      <c r="D452" s="667"/>
      <c r="E452" s="668"/>
      <c r="F452" s="667"/>
      <c r="G452" s="667"/>
      <c r="H452" s="667"/>
      <c r="I452" s="667"/>
      <c r="J452" s="667"/>
      <c r="K452" s="667"/>
      <c r="L452" s="667"/>
      <c r="M452" s="667"/>
      <c r="N452" s="667"/>
      <c r="O452" s="667"/>
      <c r="P452" s="667"/>
      <c r="Q452" s="667"/>
      <c r="S452" s="3"/>
      <c r="T452" s="3"/>
      <c r="U452" s="3"/>
      <c r="V452" s="3"/>
      <c r="W452" s="3"/>
      <c r="X452" s="3"/>
      <c r="Y452" s="3"/>
      <c r="Z452" s="3"/>
      <c r="AA452" s="3"/>
      <c r="AB452" s="3"/>
      <c r="AC452" s="3"/>
      <c r="AD452" s="3"/>
      <c r="AE452" s="3"/>
      <c r="AF452" s="3"/>
      <c r="AG452" s="3"/>
      <c r="AH452" s="3"/>
      <c r="AI452" s="3"/>
      <c r="AJ452" s="3"/>
      <c r="AK452" s="3"/>
    </row>
    <row r="453" ht="15.75" customHeight="1">
      <c r="A453" s="3"/>
      <c r="B453" s="466"/>
      <c r="C453" s="667"/>
      <c r="D453" s="667"/>
      <c r="E453" s="668"/>
      <c r="F453" s="667"/>
      <c r="G453" s="667"/>
      <c r="H453" s="667"/>
      <c r="I453" s="667"/>
      <c r="J453" s="667"/>
      <c r="K453" s="667"/>
      <c r="L453" s="667"/>
      <c r="M453" s="667"/>
      <c r="N453" s="667"/>
      <c r="O453" s="667"/>
      <c r="P453" s="667"/>
      <c r="Q453" s="667"/>
      <c r="S453" s="3"/>
      <c r="T453" s="3"/>
      <c r="U453" s="3"/>
      <c r="V453" s="3"/>
      <c r="W453" s="3"/>
      <c r="X453" s="3"/>
      <c r="Y453" s="3"/>
      <c r="Z453" s="3"/>
      <c r="AA453" s="3"/>
      <c r="AB453" s="3"/>
      <c r="AC453" s="3"/>
      <c r="AD453" s="3"/>
      <c r="AE453" s="3"/>
      <c r="AF453" s="3"/>
      <c r="AG453" s="3"/>
      <c r="AH453" s="3"/>
      <c r="AI453" s="3"/>
      <c r="AJ453" s="3"/>
      <c r="AK453" s="3"/>
    </row>
    <row r="454" ht="15.75" customHeight="1">
      <c r="A454" s="3"/>
      <c r="B454" s="466"/>
      <c r="C454" s="667"/>
      <c r="D454" s="667"/>
      <c r="E454" s="668"/>
      <c r="F454" s="667"/>
      <c r="G454" s="667"/>
      <c r="H454" s="667"/>
      <c r="I454" s="667"/>
      <c r="J454" s="667"/>
      <c r="K454" s="667"/>
      <c r="L454" s="667"/>
      <c r="M454" s="667"/>
      <c r="N454" s="667"/>
      <c r="O454" s="667"/>
      <c r="P454" s="667"/>
      <c r="Q454" s="667"/>
      <c r="S454" s="3"/>
      <c r="T454" s="3"/>
      <c r="U454" s="3"/>
      <c r="V454" s="3"/>
      <c r="W454" s="3"/>
      <c r="X454" s="3"/>
      <c r="Y454" s="3"/>
      <c r="Z454" s="3"/>
      <c r="AA454" s="3"/>
      <c r="AB454" s="3"/>
      <c r="AC454" s="3"/>
      <c r="AD454" s="3"/>
      <c r="AE454" s="3"/>
      <c r="AF454" s="3"/>
      <c r="AG454" s="3"/>
      <c r="AH454" s="3"/>
      <c r="AI454" s="3"/>
      <c r="AJ454" s="3"/>
      <c r="AK454" s="3"/>
    </row>
    <row r="455" ht="15.75" customHeight="1">
      <c r="A455" s="3"/>
      <c r="B455" s="466"/>
      <c r="C455" s="667"/>
      <c r="D455" s="667"/>
      <c r="E455" s="668"/>
      <c r="F455" s="667"/>
      <c r="G455" s="667"/>
      <c r="H455" s="667"/>
      <c r="I455" s="667"/>
      <c r="J455" s="667"/>
      <c r="K455" s="667"/>
      <c r="L455" s="667"/>
      <c r="M455" s="667"/>
      <c r="N455" s="667"/>
      <c r="O455" s="667"/>
      <c r="P455" s="667"/>
      <c r="Q455" s="667"/>
      <c r="S455" s="3"/>
      <c r="T455" s="3"/>
      <c r="U455" s="3"/>
      <c r="V455" s="3"/>
      <c r="W455" s="3"/>
      <c r="X455" s="3"/>
      <c r="Y455" s="3"/>
      <c r="Z455" s="3"/>
      <c r="AA455" s="3"/>
      <c r="AB455" s="3"/>
      <c r="AC455" s="3"/>
      <c r="AD455" s="3"/>
      <c r="AE455" s="3"/>
      <c r="AF455" s="3"/>
      <c r="AG455" s="3"/>
      <c r="AH455" s="3"/>
      <c r="AI455" s="3"/>
      <c r="AJ455" s="3"/>
      <c r="AK455" s="3"/>
    </row>
    <row r="456" ht="15.75" customHeight="1">
      <c r="A456" s="3"/>
      <c r="B456" s="466"/>
      <c r="C456" s="667"/>
      <c r="D456" s="667"/>
      <c r="E456" s="668"/>
      <c r="F456" s="667"/>
      <c r="G456" s="667"/>
      <c r="H456" s="667"/>
      <c r="I456" s="667"/>
      <c r="J456" s="667"/>
      <c r="K456" s="667"/>
      <c r="L456" s="667"/>
      <c r="M456" s="667"/>
      <c r="N456" s="667"/>
      <c r="O456" s="667"/>
      <c r="P456" s="667"/>
      <c r="Q456" s="667"/>
      <c r="S456" s="3"/>
      <c r="T456" s="3"/>
      <c r="U456" s="3"/>
      <c r="V456" s="3"/>
      <c r="W456" s="3"/>
      <c r="X456" s="3"/>
      <c r="Y456" s="3"/>
      <c r="Z456" s="3"/>
      <c r="AA456" s="3"/>
      <c r="AB456" s="3"/>
      <c r="AC456" s="3"/>
      <c r="AD456" s="3"/>
      <c r="AE456" s="3"/>
      <c r="AF456" s="3"/>
      <c r="AG456" s="3"/>
      <c r="AH456" s="3"/>
      <c r="AI456" s="3"/>
      <c r="AJ456" s="3"/>
      <c r="AK456" s="3"/>
    </row>
    <row r="457" ht="15.75" customHeight="1">
      <c r="A457" s="3"/>
      <c r="B457" s="466"/>
      <c r="C457" s="667"/>
      <c r="D457" s="667"/>
      <c r="E457" s="668"/>
      <c r="F457" s="667"/>
      <c r="G457" s="667"/>
      <c r="H457" s="667"/>
      <c r="I457" s="667"/>
      <c r="J457" s="667"/>
      <c r="K457" s="667"/>
      <c r="L457" s="667"/>
      <c r="M457" s="667"/>
      <c r="N457" s="667"/>
      <c r="O457" s="667"/>
      <c r="P457" s="667"/>
      <c r="Q457" s="667"/>
      <c r="S457" s="3"/>
      <c r="T457" s="3"/>
      <c r="U457" s="3"/>
      <c r="V457" s="3"/>
      <c r="W457" s="3"/>
      <c r="X457" s="3"/>
      <c r="Y457" s="3"/>
      <c r="Z457" s="3"/>
      <c r="AA457" s="3"/>
      <c r="AB457" s="3"/>
      <c r="AC457" s="3"/>
      <c r="AD457" s="3"/>
      <c r="AE457" s="3"/>
      <c r="AF457" s="3"/>
      <c r="AG457" s="3"/>
      <c r="AH457" s="3"/>
      <c r="AI457" s="3"/>
      <c r="AJ457" s="3"/>
      <c r="AK457" s="3"/>
    </row>
    <row r="458" ht="15.75" customHeight="1">
      <c r="A458" s="3"/>
      <c r="B458" s="466"/>
      <c r="C458" s="667"/>
      <c r="D458" s="667"/>
      <c r="E458" s="668"/>
      <c r="F458" s="667"/>
      <c r="G458" s="667"/>
      <c r="H458" s="667"/>
      <c r="I458" s="667"/>
      <c r="J458" s="667"/>
      <c r="K458" s="667"/>
      <c r="L458" s="667"/>
      <c r="M458" s="667"/>
      <c r="N458" s="667"/>
      <c r="O458" s="667"/>
      <c r="P458" s="667"/>
      <c r="Q458" s="667"/>
      <c r="S458" s="3"/>
      <c r="T458" s="3"/>
      <c r="U458" s="3"/>
      <c r="V458" s="3"/>
      <c r="W458" s="3"/>
      <c r="X458" s="3"/>
      <c r="Y458" s="3"/>
      <c r="Z458" s="3"/>
      <c r="AA458" s="3"/>
      <c r="AB458" s="3"/>
      <c r="AC458" s="3"/>
      <c r="AD458" s="3"/>
      <c r="AE458" s="3"/>
      <c r="AF458" s="3"/>
      <c r="AG458" s="3"/>
      <c r="AH458" s="3"/>
      <c r="AI458" s="3"/>
      <c r="AJ458" s="3"/>
      <c r="AK458" s="3"/>
    </row>
    <row r="459" ht="15.75" customHeight="1">
      <c r="A459" s="3"/>
      <c r="B459" s="466"/>
      <c r="C459" s="667"/>
      <c r="D459" s="667"/>
      <c r="E459" s="668"/>
      <c r="F459" s="667"/>
      <c r="G459" s="667"/>
      <c r="H459" s="667"/>
      <c r="I459" s="667"/>
      <c r="J459" s="667"/>
      <c r="K459" s="667"/>
      <c r="L459" s="667"/>
      <c r="M459" s="667"/>
      <c r="N459" s="667"/>
      <c r="O459" s="667"/>
      <c r="P459" s="667"/>
      <c r="Q459" s="667"/>
      <c r="S459" s="3"/>
      <c r="T459" s="3"/>
      <c r="U459" s="3"/>
      <c r="V459" s="3"/>
      <c r="W459" s="3"/>
      <c r="X459" s="3"/>
      <c r="Y459" s="3"/>
      <c r="Z459" s="3"/>
      <c r="AA459" s="3"/>
      <c r="AB459" s="3"/>
      <c r="AC459" s="3"/>
      <c r="AD459" s="3"/>
      <c r="AE459" s="3"/>
      <c r="AF459" s="3"/>
      <c r="AG459" s="3"/>
      <c r="AH459" s="3"/>
      <c r="AI459" s="3"/>
      <c r="AJ459" s="3"/>
      <c r="AK459" s="3"/>
    </row>
    <row r="460" ht="15.75" customHeight="1">
      <c r="A460" s="3"/>
      <c r="B460" s="466"/>
      <c r="C460" s="667"/>
      <c r="D460" s="667"/>
      <c r="E460" s="668"/>
      <c r="F460" s="667"/>
      <c r="G460" s="667"/>
      <c r="H460" s="667"/>
      <c r="I460" s="667"/>
      <c r="J460" s="667"/>
      <c r="K460" s="667"/>
      <c r="L460" s="667"/>
      <c r="M460" s="667"/>
      <c r="N460" s="667"/>
      <c r="O460" s="667"/>
      <c r="P460" s="667"/>
      <c r="Q460" s="667"/>
      <c r="S460" s="3"/>
      <c r="T460" s="3"/>
      <c r="U460" s="3"/>
      <c r="V460" s="3"/>
      <c r="W460" s="3"/>
      <c r="X460" s="3"/>
      <c r="Y460" s="3"/>
      <c r="Z460" s="3"/>
      <c r="AA460" s="3"/>
      <c r="AB460" s="3"/>
      <c r="AC460" s="3"/>
      <c r="AD460" s="3"/>
      <c r="AE460" s="3"/>
      <c r="AF460" s="3"/>
      <c r="AG460" s="3"/>
      <c r="AH460" s="3"/>
      <c r="AI460" s="3"/>
      <c r="AJ460" s="3"/>
      <c r="AK460" s="3"/>
    </row>
    <row r="461" ht="15.75" customHeight="1">
      <c r="A461" s="3"/>
      <c r="B461" s="466"/>
      <c r="C461" s="667"/>
      <c r="D461" s="667"/>
      <c r="E461" s="668"/>
      <c r="F461" s="667"/>
      <c r="G461" s="667"/>
      <c r="H461" s="667"/>
      <c r="I461" s="667"/>
      <c r="J461" s="667"/>
      <c r="K461" s="667"/>
      <c r="L461" s="667"/>
      <c r="M461" s="667"/>
      <c r="N461" s="667"/>
      <c r="O461" s="667"/>
      <c r="P461" s="667"/>
      <c r="Q461" s="667"/>
      <c r="S461" s="3"/>
      <c r="T461" s="3"/>
      <c r="U461" s="3"/>
      <c r="V461" s="3"/>
      <c r="W461" s="3"/>
      <c r="X461" s="3"/>
      <c r="Y461" s="3"/>
      <c r="Z461" s="3"/>
      <c r="AA461" s="3"/>
      <c r="AB461" s="3"/>
      <c r="AC461" s="3"/>
      <c r="AD461" s="3"/>
      <c r="AE461" s="3"/>
      <c r="AF461" s="3"/>
      <c r="AG461" s="3"/>
      <c r="AH461" s="3"/>
      <c r="AI461" s="3"/>
      <c r="AJ461" s="3"/>
      <c r="AK461" s="3"/>
    </row>
    <row r="462" ht="15.75" customHeight="1">
      <c r="A462" s="3"/>
      <c r="B462" s="466"/>
      <c r="C462" s="667"/>
      <c r="D462" s="667"/>
      <c r="E462" s="668"/>
      <c r="F462" s="667"/>
      <c r="G462" s="667"/>
      <c r="H462" s="667"/>
      <c r="I462" s="667"/>
      <c r="J462" s="667"/>
      <c r="K462" s="667"/>
      <c r="L462" s="667"/>
      <c r="M462" s="667"/>
      <c r="N462" s="667"/>
      <c r="O462" s="667"/>
      <c r="P462" s="667"/>
      <c r="Q462" s="667"/>
      <c r="S462" s="3"/>
      <c r="T462" s="3"/>
      <c r="U462" s="3"/>
      <c r="V462" s="3"/>
      <c r="W462" s="3"/>
      <c r="X462" s="3"/>
      <c r="Y462" s="3"/>
      <c r="Z462" s="3"/>
      <c r="AA462" s="3"/>
      <c r="AB462" s="3"/>
      <c r="AC462" s="3"/>
      <c r="AD462" s="3"/>
      <c r="AE462" s="3"/>
      <c r="AF462" s="3"/>
      <c r="AG462" s="3"/>
      <c r="AH462" s="3"/>
      <c r="AI462" s="3"/>
      <c r="AJ462" s="3"/>
      <c r="AK462" s="3"/>
    </row>
    <row r="463" ht="15.75" customHeight="1">
      <c r="A463" s="3"/>
      <c r="B463" s="466"/>
      <c r="C463" s="667"/>
      <c r="D463" s="667"/>
      <c r="E463" s="668"/>
      <c r="F463" s="667"/>
      <c r="G463" s="667"/>
      <c r="H463" s="667"/>
      <c r="I463" s="667"/>
      <c r="J463" s="667"/>
      <c r="K463" s="667"/>
      <c r="L463" s="667"/>
      <c r="M463" s="667"/>
      <c r="N463" s="667"/>
      <c r="O463" s="667"/>
      <c r="P463" s="667"/>
      <c r="Q463" s="667"/>
      <c r="S463" s="3"/>
      <c r="T463" s="3"/>
      <c r="U463" s="3"/>
      <c r="V463" s="3"/>
      <c r="W463" s="3"/>
      <c r="X463" s="3"/>
      <c r="Y463" s="3"/>
      <c r="Z463" s="3"/>
      <c r="AA463" s="3"/>
      <c r="AB463" s="3"/>
      <c r="AC463" s="3"/>
      <c r="AD463" s="3"/>
      <c r="AE463" s="3"/>
      <c r="AF463" s="3"/>
      <c r="AG463" s="3"/>
      <c r="AH463" s="3"/>
      <c r="AI463" s="3"/>
      <c r="AJ463" s="3"/>
      <c r="AK463" s="3"/>
    </row>
    <row r="464" ht="15.75" customHeight="1">
      <c r="A464" s="3"/>
      <c r="B464" s="466"/>
      <c r="C464" s="667"/>
      <c r="D464" s="667"/>
      <c r="E464" s="668"/>
      <c r="F464" s="667"/>
      <c r="G464" s="667"/>
      <c r="H464" s="667"/>
      <c r="I464" s="667"/>
      <c r="J464" s="667"/>
      <c r="K464" s="667"/>
      <c r="L464" s="667"/>
      <c r="M464" s="667"/>
      <c r="N464" s="667"/>
      <c r="O464" s="667"/>
      <c r="P464" s="667"/>
      <c r="Q464" s="667"/>
      <c r="S464" s="3"/>
      <c r="T464" s="3"/>
      <c r="U464" s="3"/>
      <c r="V464" s="3"/>
      <c r="W464" s="3"/>
      <c r="X464" s="3"/>
      <c r="Y464" s="3"/>
      <c r="Z464" s="3"/>
      <c r="AA464" s="3"/>
      <c r="AB464" s="3"/>
      <c r="AC464" s="3"/>
      <c r="AD464" s="3"/>
      <c r="AE464" s="3"/>
      <c r="AF464" s="3"/>
      <c r="AG464" s="3"/>
      <c r="AH464" s="3"/>
      <c r="AI464" s="3"/>
      <c r="AJ464" s="3"/>
      <c r="AK464" s="3"/>
    </row>
    <row r="465" ht="15.75" customHeight="1">
      <c r="A465" s="3"/>
      <c r="B465" s="466"/>
      <c r="C465" s="667"/>
      <c r="D465" s="667"/>
      <c r="E465" s="668"/>
      <c r="F465" s="667"/>
      <c r="G465" s="667"/>
      <c r="H465" s="667"/>
      <c r="I465" s="667"/>
      <c r="J465" s="667"/>
      <c r="K465" s="667"/>
      <c r="L465" s="667"/>
      <c r="M465" s="667"/>
      <c r="N465" s="667"/>
      <c r="O465" s="667"/>
      <c r="P465" s="667"/>
      <c r="Q465" s="667"/>
      <c r="S465" s="3"/>
      <c r="T465" s="3"/>
      <c r="U465" s="3"/>
      <c r="V465" s="3"/>
      <c r="W465" s="3"/>
      <c r="X465" s="3"/>
      <c r="Y465" s="3"/>
      <c r="Z465" s="3"/>
      <c r="AA465" s="3"/>
      <c r="AB465" s="3"/>
      <c r="AC465" s="3"/>
      <c r="AD465" s="3"/>
      <c r="AE465" s="3"/>
      <c r="AF465" s="3"/>
      <c r="AG465" s="3"/>
      <c r="AH465" s="3"/>
      <c r="AI465" s="3"/>
      <c r="AJ465" s="3"/>
      <c r="AK465" s="3"/>
    </row>
    <row r="466" ht="15.75" customHeight="1">
      <c r="A466" s="3"/>
      <c r="B466" s="466"/>
      <c r="C466" s="667"/>
      <c r="D466" s="667"/>
      <c r="E466" s="668"/>
      <c r="F466" s="667"/>
      <c r="G466" s="667"/>
      <c r="H466" s="667"/>
      <c r="I466" s="667"/>
      <c r="J466" s="667"/>
      <c r="K466" s="667"/>
      <c r="L466" s="667"/>
      <c r="M466" s="667"/>
      <c r="N466" s="667"/>
      <c r="O466" s="667"/>
      <c r="P466" s="667"/>
      <c r="Q466" s="667"/>
      <c r="S466" s="3"/>
      <c r="T466" s="3"/>
      <c r="U466" s="3"/>
      <c r="V466" s="3"/>
      <c r="W466" s="3"/>
      <c r="X466" s="3"/>
      <c r="Y466" s="3"/>
      <c r="Z466" s="3"/>
      <c r="AA466" s="3"/>
      <c r="AB466" s="3"/>
      <c r="AC466" s="3"/>
      <c r="AD466" s="3"/>
      <c r="AE466" s="3"/>
      <c r="AF466" s="3"/>
      <c r="AG466" s="3"/>
      <c r="AH466" s="3"/>
      <c r="AI466" s="3"/>
      <c r="AJ466" s="3"/>
      <c r="AK466" s="3"/>
    </row>
    <row r="467" ht="15.75" customHeight="1">
      <c r="A467" s="3"/>
      <c r="B467" s="466"/>
      <c r="C467" s="667"/>
      <c r="D467" s="667"/>
      <c r="E467" s="668"/>
      <c r="F467" s="667"/>
      <c r="G467" s="667"/>
      <c r="H467" s="667"/>
      <c r="I467" s="667"/>
      <c r="J467" s="667"/>
      <c r="K467" s="667"/>
      <c r="L467" s="667"/>
      <c r="M467" s="667"/>
      <c r="N467" s="667"/>
      <c r="O467" s="667"/>
      <c r="P467" s="667"/>
      <c r="Q467" s="667"/>
      <c r="S467" s="3"/>
      <c r="T467" s="3"/>
      <c r="U467" s="3"/>
      <c r="V467" s="3"/>
      <c r="W467" s="3"/>
      <c r="X467" s="3"/>
      <c r="Y467" s="3"/>
      <c r="Z467" s="3"/>
      <c r="AA467" s="3"/>
      <c r="AB467" s="3"/>
      <c r="AC467" s="3"/>
      <c r="AD467" s="3"/>
      <c r="AE467" s="3"/>
      <c r="AF467" s="3"/>
      <c r="AG467" s="3"/>
      <c r="AH467" s="3"/>
      <c r="AI467" s="3"/>
      <c r="AJ467" s="3"/>
      <c r="AK467" s="3"/>
    </row>
    <row r="468" ht="15.75" customHeight="1">
      <c r="A468" s="3"/>
      <c r="B468" s="466"/>
      <c r="C468" s="667"/>
      <c r="D468" s="667"/>
      <c r="E468" s="668"/>
      <c r="F468" s="667"/>
      <c r="G468" s="667"/>
      <c r="H468" s="667"/>
      <c r="I468" s="667"/>
      <c r="J468" s="667"/>
      <c r="K468" s="667"/>
      <c r="L468" s="667"/>
      <c r="M468" s="667"/>
      <c r="N468" s="667"/>
      <c r="O468" s="667"/>
      <c r="P468" s="667"/>
      <c r="Q468" s="667"/>
      <c r="S468" s="3"/>
      <c r="T468" s="3"/>
      <c r="U468" s="3"/>
      <c r="V468" s="3"/>
      <c r="W468" s="3"/>
      <c r="X468" s="3"/>
      <c r="Y468" s="3"/>
      <c r="Z468" s="3"/>
      <c r="AA468" s="3"/>
      <c r="AB468" s="3"/>
      <c r="AC468" s="3"/>
      <c r="AD468" s="3"/>
      <c r="AE468" s="3"/>
      <c r="AF468" s="3"/>
      <c r="AG468" s="3"/>
      <c r="AH468" s="3"/>
      <c r="AI468" s="3"/>
      <c r="AJ468" s="3"/>
      <c r="AK468" s="3"/>
    </row>
    <row r="469" ht="15.75" customHeight="1">
      <c r="A469" s="3"/>
      <c r="B469" s="466"/>
      <c r="C469" s="667"/>
      <c r="D469" s="667"/>
      <c r="E469" s="668"/>
      <c r="F469" s="667"/>
      <c r="G469" s="667"/>
      <c r="H469" s="667"/>
      <c r="I469" s="667"/>
      <c r="J469" s="667"/>
      <c r="K469" s="667"/>
      <c r="L469" s="667"/>
      <c r="M469" s="667"/>
      <c r="N469" s="667"/>
      <c r="O469" s="667"/>
      <c r="P469" s="667"/>
      <c r="Q469" s="667"/>
      <c r="S469" s="3"/>
      <c r="T469" s="3"/>
      <c r="U469" s="3"/>
      <c r="V469" s="3"/>
      <c r="W469" s="3"/>
      <c r="X469" s="3"/>
      <c r="Y469" s="3"/>
      <c r="Z469" s="3"/>
      <c r="AA469" s="3"/>
      <c r="AB469" s="3"/>
      <c r="AC469" s="3"/>
      <c r="AD469" s="3"/>
      <c r="AE469" s="3"/>
      <c r="AF469" s="3"/>
      <c r="AG469" s="3"/>
      <c r="AH469" s="3"/>
      <c r="AI469" s="3"/>
      <c r="AJ469" s="3"/>
      <c r="AK469" s="3"/>
    </row>
    <row r="470" ht="15.75" customHeight="1">
      <c r="A470" s="3"/>
      <c r="B470" s="466"/>
      <c r="C470" s="667"/>
      <c r="D470" s="667"/>
      <c r="E470" s="668"/>
      <c r="F470" s="667"/>
      <c r="G470" s="667"/>
      <c r="H470" s="667"/>
      <c r="I470" s="667"/>
      <c r="J470" s="667"/>
      <c r="K470" s="667"/>
      <c r="L470" s="667"/>
      <c r="M470" s="667"/>
      <c r="N470" s="667"/>
      <c r="O470" s="667"/>
      <c r="P470" s="667"/>
      <c r="Q470" s="667"/>
      <c r="S470" s="3"/>
      <c r="T470" s="3"/>
      <c r="U470" s="3"/>
      <c r="V470" s="3"/>
      <c r="W470" s="3"/>
      <c r="X470" s="3"/>
      <c r="Y470" s="3"/>
      <c r="Z470" s="3"/>
      <c r="AA470" s="3"/>
      <c r="AB470" s="3"/>
      <c r="AC470" s="3"/>
      <c r="AD470" s="3"/>
      <c r="AE470" s="3"/>
      <c r="AF470" s="3"/>
      <c r="AG470" s="3"/>
      <c r="AH470" s="3"/>
      <c r="AI470" s="3"/>
      <c r="AJ470" s="3"/>
      <c r="AK470" s="3"/>
    </row>
    <row r="471" ht="15.75" customHeight="1">
      <c r="A471" s="3"/>
      <c r="B471" s="466"/>
      <c r="C471" s="667"/>
      <c r="D471" s="667"/>
      <c r="E471" s="668"/>
      <c r="F471" s="667"/>
      <c r="G471" s="667"/>
      <c r="H471" s="667"/>
      <c r="I471" s="667"/>
      <c r="J471" s="667"/>
      <c r="K471" s="667"/>
      <c r="L471" s="667"/>
      <c r="M471" s="667"/>
      <c r="N471" s="667"/>
      <c r="O471" s="667"/>
      <c r="P471" s="667"/>
      <c r="Q471" s="667"/>
      <c r="S471" s="3"/>
      <c r="T471" s="3"/>
      <c r="U471" s="3"/>
      <c r="V471" s="3"/>
      <c r="W471" s="3"/>
      <c r="X471" s="3"/>
      <c r="Y471" s="3"/>
      <c r="Z471" s="3"/>
      <c r="AA471" s="3"/>
      <c r="AB471" s="3"/>
      <c r="AC471" s="3"/>
      <c r="AD471" s="3"/>
      <c r="AE471" s="3"/>
      <c r="AF471" s="3"/>
      <c r="AG471" s="3"/>
      <c r="AH471" s="3"/>
      <c r="AI471" s="3"/>
      <c r="AJ471" s="3"/>
      <c r="AK471" s="3"/>
    </row>
    <row r="472" ht="15.75" customHeight="1">
      <c r="A472" s="3"/>
      <c r="B472" s="466"/>
      <c r="C472" s="667"/>
      <c r="D472" s="667"/>
      <c r="E472" s="668"/>
      <c r="F472" s="667"/>
      <c r="G472" s="667"/>
      <c r="H472" s="667"/>
      <c r="I472" s="667"/>
      <c r="J472" s="667"/>
      <c r="K472" s="667"/>
      <c r="L472" s="667"/>
      <c r="M472" s="667"/>
      <c r="N472" s="667"/>
      <c r="O472" s="667"/>
      <c r="P472" s="667"/>
      <c r="Q472" s="667"/>
      <c r="S472" s="3"/>
      <c r="T472" s="3"/>
      <c r="U472" s="3"/>
      <c r="V472" s="3"/>
      <c r="W472" s="3"/>
      <c r="X472" s="3"/>
      <c r="Y472" s="3"/>
      <c r="Z472" s="3"/>
      <c r="AA472" s="3"/>
      <c r="AB472" s="3"/>
      <c r="AC472" s="3"/>
      <c r="AD472" s="3"/>
      <c r="AE472" s="3"/>
      <c r="AF472" s="3"/>
      <c r="AG472" s="3"/>
      <c r="AH472" s="3"/>
      <c r="AI472" s="3"/>
      <c r="AJ472" s="3"/>
      <c r="AK472" s="3"/>
    </row>
    <row r="473" ht="15.75" customHeight="1">
      <c r="A473" s="3"/>
      <c r="B473" s="466"/>
      <c r="C473" s="667"/>
      <c r="D473" s="667"/>
      <c r="E473" s="668"/>
      <c r="F473" s="667"/>
      <c r="G473" s="667"/>
      <c r="H473" s="667"/>
      <c r="I473" s="667"/>
      <c r="J473" s="667"/>
      <c r="K473" s="667"/>
      <c r="L473" s="667"/>
      <c r="M473" s="667"/>
      <c r="N473" s="667"/>
      <c r="O473" s="667"/>
      <c r="P473" s="667"/>
      <c r="Q473" s="667"/>
      <c r="S473" s="3"/>
      <c r="T473" s="3"/>
      <c r="U473" s="3"/>
      <c r="V473" s="3"/>
      <c r="W473" s="3"/>
      <c r="X473" s="3"/>
      <c r="Y473" s="3"/>
      <c r="Z473" s="3"/>
      <c r="AA473" s="3"/>
      <c r="AB473" s="3"/>
      <c r="AC473" s="3"/>
      <c r="AD473" s="3"/>
      <c r="AE473" s="3"/>
      <c r="AF473" s="3"/>
      <c r="AG473" s="3"/>
      <c r="AH473" s="3"/>
      <c r="AI473" s="3"/>
      <c r="AJ473" s="3"/>
      <c r="AK473" s="3"/>
    </row>
    <row r="474" ht="15.75" customHeight="1">
      <c r="A474" s="3"/>
      <c r="B474" s="466"/>
      <c r="C474" s="667"/>
      <c r="D474" s="667"/>
      <c r="E474" s="668"/>
      <c r="F474" s="667"/>
      <c r="G474" s="667"/>
      <c r="H474" s="667"/>
      <c r="I474" s="667"/>
      <c r="J474" s="667"/>
      <c r="K474" s="667"/>
      <c r="L474" s="667"/>
      <c r="M474" s="667"/>
      <c r="N474" s="667"/>
      <c r="O474" s="667"/>
      <c r="P474" s="667"/>
      <c r="Q474" s="667"/>
      <c r="S474" s="3"/>
      <c r="T474" s="3"/>
      <c r="U474" s="3"/>
      <c r="V474" s="3"/>
      <c r="W474" s="3"/>
      <c r="X474" s="3"/>
      <c r="Y474" s="3"/>
      <c r="Z474" s="3"/>
      <c r="AA474" s="3"/>
      <c r="AB474" s="3"/>
      <c r="AC474" s="3"/>
      <c r="AD474" s="3"/>
      <c r="AE474" s="3"/>
      <c r="AF474" s="3"/>
      <c r="AG474" s="3"/>
      <c r="AH474" s="3"/>
      <c r="AI474" s="3"/>
      <c r="AJ474" s="3"/>
      <c r="AK474" s="3"/>
    </row>
    <row r="475" ht="15.75" customHeight="1">
      <c r="A475" s="3"/>
      <c r="B475" s="466"/>
      <c r="C475" s="667"/>
      <c r="D475" s="667"/>
      <c r="E475" s="668"/>
      <c r="F475" s="667"/>
      <c r="G475" s="667"/>
      <c r="H475" s="667"/>
      <c r="I475" s="667"/>
      <c r="J475" s="667"/>
      <c r="K475" s="667"/>
      <c r="L475" s="667"/>
      <c r="M475" s="667"/>
      <c r="N475" s="667"/>
      <c r="O475" s="667"/>
      <c r="P475" s="667"/>
      <c r="Q475" s="667"/>
      <c r="S475" s="3"/>
      <c r="T475" s="3"/>
      <c r="U475" s="3"/>
      <c r="V475" s="3"/>
      <c r="W475" s="3"/>
      <c r="X475" s="3"/>
      <c r="Y475" s="3"/>
      <c r="Z475" s="3"/>
      <c r="AA475" s="3"/>
      <c r="AB475" s="3"/>
      <c r="AC475" s="3"/>
      <c r="AD475" s="3"/>
      <c r="AE475" s="3"/>
      <c r="AF475" s="3"/>
      <c r="AG475" s="3"/>
      <c r="AH475" s="3"/>
      <c r="AI475" s="3"/>
      <c r="AJ475" s="3"/>
      <c r="AK475" s="3"/>
    </row>
    <row r="476" ht="15.75" customHeight="1">
      <c r="A476" s="3"/>
      <c r="B476" s="466"/>
      <c r="C476" s="667"/>
      <c r="D476" s="667"/>
      <c r="E476" s="668"/>
      <c r="F476" s="667"/>
      <c r="G476" s="667"/>
      <c r="H476" s="667"/>
      <c r="I476" s="667"/>
      <c r="J476" s="667"/>
      <c r="K476" s="667"/>
      <c r="L476" s="667"/>
      <c r="M476" s="667"/>
      <c r="N476" s="667"/>
      <c r="O476" s="667"/>
      <c r="P476" s="667"/>
      <c r="Q476" s="667"/>
      <c r="S476" s="3"/>
      <c r="T476" s="3"/>
      <c r="U476" s="3"/>
      <c r="V476" s="3"/>
      <c r="W476" s="3"/>
      <c r="X476" s="3"/>
      <c r="Y476" s="3"/>
      <c r="Z476" s="3"/>
      <c r="AA476" s="3"/>
      <c r="AB476" s="3"/>
      <c r="AC476" s="3"/>
      <c r="AD476" s="3"/>
      <c r="AE476" s="3"/>
      <c r="AF476" s="3"/>
      <c r="AG476" s="3"/>
      <c r="AH476" s="3"/>
      <c r="AI476" s="3"/>
      <c r="AJ476" s="3"/>
      <c r="AK476" s="3"/>
    </row>
    <row r="477" ht="15.75" customHeight="1">
      <c r="A477" s="3"/>
      <c r="B477" s="466"/>
      <c r="C477" s="667"/>
      <c r="D477" s="667"/>
      <c r="E477" s="668"/>
      <c r="F477" s="667"/>
      <c r="G477" s="667"/>
      <c r="H477" s="667"/>
      <c r="I477" s="667"/>
      <c r="J477" s="667"/>
      <c r="K477" s="667"/>
      <c r="L477" s="667"/>
      <c r="M477" s="667"/>
      <c r="N477" s="667"/>
      <c r="O477" s="667"/>
      <c r="P477" s="667"/>
      <c r="Q477" s="667"/>
      <c r="S477" s="3"/>
      <c r="T477" s="3"/>
      <c r="U477" s="3"/>
      <c r="V477" s="3"/>
      <c r="W477" s="3"/>
      <c r="X477" s="3"/>
      <c r="Y477" s="3"/>
      <c r="Z477" s="3"/>
      <c r="AA477" s="3"/>
      <c r="AB477" s="3"/>
      <c r="AC477" s="3"/>
      <c r="AD477" s="3"/>
      <c r="AE477" s="3"/>
      <c r="AF477" s="3"/>
      <c r="AG477" s="3"/>
      <c r="AH477" s="3"/>
      <c r="AI477" s="3"/>
      <c r="AJ477" s="3"/>
      <c r="AK477" s="3"/>
    </row>
    <row r="478" ht="15.75" customHeight="1">
      <c r="A478" s="3"/>
      <c r="B478" s="466"/>
      <c r="C478" s="667"/>
      <c r="D478" s="667"/>
      <c r="E478" s="668"/>
      <c r="F478" s="667"/>
      <c r="G478" s="667"/>
      <c r="H478" s="667"/>
      <c r="I478" s="667"/>
      <c r="J478" s="667"/>
      <c r="K478" s="667"/>
      <c r="L478" s="667"/>
      <c r="M478" s="667"/>
      <c r="N478" s="667"/>
      <c r="O478" s="667"/>
      <c r="P478" s="667"/>
      <c r="Q478" s="667"/>
      <c r="S478" s="3"/>
      <c r="T478" s="3"/>
      <c r="U478" s="3"/>
      <c r="V478" s="3"/>
      <c r="W478" s="3"/>
      <c r="X478" s="3"/>
      <c r="Y478" s="3"/>
      <c r="Z478" s="3"/>
      <c r="AA478" s="3"/>
      <c r="AB478" s="3"/>
      <c r="AC478" s="3"/>
      <c r="AD478" s="3"/>
      <c r="AE478" s="3"/>
      <c r="AF478" s="3"/>
      <c r="AG478" s="3"/>
      <c r="AH478" s="3"/>
      <c r="AI478" s="3"/>
      <c r="AJ478" s="3"/>
      <c r="AK478" s="3"/>
    </row>
    <row r="479" ht="15.75" customHeight="1">
      <c r="A479" s="3"/>
      <c r="B479" s="466"/>
      <c r="C479" s="667"/>
      <c r="D479" s="667"/>
      <c r="E479" s="668"/>
      <c r="F479" s="667"/>
      <c r="G479" s="667"/>
      <c r="H479" s="667"/>
      <c r="I479" s="667"/>
      <c r="J479" s="667"/>
      <c r="K479" s="667"/>
      <c r="L479" s="667"/>
      <c r="M479" s="667"/>
      <c r="N479" s="667"/>
      <c r="O479" s="667"/>
      <c r="P479" s="667"/>
      <c r="Q479" s="667"/>
      <c r="S479" s="3"/>
      <c r="T479" s="3"/>
      <c r="U479" s="3"/>
      <c r="V479" s="3"/>
      <c r="W479" s="3"/>
      <c r="X479" s="3"/>
      <c r="Y479" s="3"/>
      <c r="Z479" s="3"/>
      <c r="AA479" s="3"/>
      <c r="AB479" s="3"/>
      <c r="AC479" s="3"/>
      <c r="AD479" s="3"/>
      <c r="AE479" s="3"/>
      <c r="AF479" s="3"/>
      <c r="AG479" s="3"/>
      <c r="AH479" s="3"/>
      <c r="AI479" s="3"/>
      <c r="AJ479" s="3"/>
      <c r="AK479" s="3"/>
    </row>
    <row r="480" ht="15.75" customHeight="1">
      <c r="A480" s="3"/>
      <c r="B480" s="466"/>
      <c r="C480" s="667"/>
      <c r="D480" s="667"/>
      <c r="E480" s="668"/>
      <c r="F480" s="667"/>
      <c r="G480" s="667"/>
      <c r="H480" s="667"/>
      <c r="I480" s="667"/>
      <c r="J480" s="667"/>
      <c r="K480" s="667"/>
      <c r="L480" s="667"/>
      <c r="M480" s="667"/>
      <c r="N480" s="667"/>
      <c r="O480" s="667"/>
      <c r="P480" s="667"/>
      <c r="Q480" s="667"/>
      <c r="S480" s="3"/>
      <c r="T480" s="3"/>
      <c r="U480" s="3"/>
      <c r="V480" s="3"/>
      <c r="W480" s="3"/>
      <c r="X480" s="3"/>
      <c r="Y480" s="3"/>
      <c r="Z480" s="3"/>
      <c r="AA480" s="3"/>
      <c r="AB480" s="3"/>
      <c r="AC480" s="3"/>
      <c r="AD480" s="3"/>
      <c r="AE480" s="3"/>
      <c r="AF480" s="3"/>
      <c r="AG480" s="3"/>
      <c r="AH480" s="3"/>
      <c r="AI480" s="3"/>
      <c r="AJ480" s="3"/>
      <c r="AK480" s="3"/>
    </row>
    <row r="481" ht="15.75" customHeight="1">
      <c r="A481" s="3"/>
      <c r="B481" s="466"/>
      <c r="C481" s="667"/>
      <c r="D481" s="667"/>
      <c r="E481" s="668"/>
      <c r="F481" s="667"/>
      <c r="G481" s="667"/>
      <c r="H481" s="667"/>
      <c r="I481" s="667"/>
      <c r="J481" s="667"/>
      <c r="K481" s="667"/>
      <c r="L481" s="667"/>
      <c r="M481" s="667"/>
      <c r="N481" s="667"/>
      <c r="O481" s="667"/>
      <c r="P481" s="667"/>
      <c r="Q481" s="667"/>
      <c r="S481" s="3"/>
      <c r="T481" s="3"/>
      <c r="U481" s="3"/>
      <c r="V481" s="3"/>
      <c r="W481" s="3"/>
      <c r="X481" s="3"/>
      <c r="Y481" s="3"/>
      <c r="Z481" s="3"/>
      <c r="AA481" s="3"/>
      <c r="AB481" s="3"/>
      <c r="AC481" s="3"/>
      <c r="AD481" s="3"/>
      <c r="AE481" s="3"/>
      <c r="AF481" s="3"/>
      <c r="AG481" s="3"/>
      <c r="AH481" s="3"/>
      <c r="AI481" s="3"/>
      <c r="AJ481" s="3"/>
      <c r="AK481" s="3"/>
    </row>
    <row r="482" ht="15.75" customHeight="1">
      <c r="A482" s="3"/>
      <c r="B482" s="466"/>
      <c r="C482" s="667"/>
      <c r="D482" s="667"/>
      <c r="E482" s="668"/>
      <c r="F482" s="667"/>
      <c r="G482" s="667"/>
      <c r="H482" s="667"/>
      <c r="I482" s="667"/>
      <c r="J482" s="667"/>
      <c r="K482" s="667"/>
      <c r="L482" s="667"/>
      <c r="M482" s="667"/>
      <c r="N482" s="667"/>
      <c r="O482" s="667"/>
      <c r="P482" s="667"/>
      <c r="Q482" s="667"/>
      <c r="S482" s="3"/>
      <c r="T482" s="3"/>
      <c r="U482" s="3"/>
      <c r="V482" s="3"/>
      <c r="W482" s="3"/>
      <c r="X482" s="3"/>
      <c r="Y482" s="3"/>
      <c r="Z482" s="3"/>
      <c r="AA482" s="3"/>
      <c r="AB482" s="3"/>
      <c r="AC482" s="3"/>
      <c r="AD482" s="3"/>
      <c r="AE482" s="3"/>
      <c r="AF482" s="3"/>
      <c r="AG482" s="3"/>
      <c r="AH482" s="3"/>
      <c r="AI482" s="3"/>
      <c r="AJ482" s="3"/>
      <c r="AK482" s="3"/>
    </row>
    <row r="483" ht="15.75" customHeight="1">
      <c r="A483" s="3"/>
      <c r="B483" s="466"/>
      <c r="C483" s="667"/>
      <c r="D483" s="667"/>
      <c r="E483" s="668"/>
      <c r="F483" s="667"/>
      <c r="G483" s="667"/>
      <c r="H483" s="667"/>
      <c r="I483" s="667"/>
      <c r="J483" s="667"/>
      <c r="K483" s="667"/>
      <c r="L483" s="667"/>
      <c r="M483" s="667"/>
      <c r="N483" s="667"/>
      <c r="O483" s="667"/>
      <c r="P483" s="667"/>
      <c r="Q483" s="667"/>
      <c r="S483" s="3"/>
      <c r="T483" s="3"/>
      <c r="U483" s="3"/>
      <c r="V483" s="3"/>
      <c r="W483" s="3"/>
      <c r="X483" s="3"/>
      <c r="Y483" s="3"/>
      <c r="Z483" s="3"/>
      <c r="AA483" s="3"/>
      <c r="AB483" s="3"/>
      <c r="AC483" s="3"/>
      <c r="AD483" s="3"/>
      <c r="AE483" s="3"/>
      <c r="AF483" s="3"/>
      <c r="AG483" s="3"/>
      <c r="AH483" s="3"/>
      <c r="AI483" s="3"/>
      <c r="AJ483" s="3"/>
      <c r="AK483" s="3"/>
    </row>
    <row r="484" ht="15.75" customHeight="1">
      <c r="A484" s="3"/>
      <c r="B484" s="466"/>
      <c r="C484" s="667"/>
      <c r="D484" s="667"/>
      <c r="E484" s="668"/>
      <c r="F484" s="667"/>
      <c r="G484" s="667"/>
      <c r="H484" s="667"/>
      <c r="I484" s="667"/>
      <c r="J484" s="667"/>
      <c r="K484" s="667"/>
      <c r="L484" s="667"/>
      <c r="M484" s="667"/>
      <c r="N484" s="667"/>
      <c r="O484" s="667"/>
      <c r="P484" s="667"/>
      <c r="Q484" s="667"/>
      <c r="S484" s="3"/>
      <c r="T484" s="3"/>
      <c r="U484" s="3"/>
      <c r="V484" s="3"/>
      <c r="W484" s="3"/>
      <c r="X484" s="3"/>
      <c r="Y484" s="3"/>
      <c r="Z484" s="3"/>
      <c r="AA484" s="3"/>
      <c r="AB484" s="3"/>
      <c r="AC484" s="3"/>
      <c r="AD484" s="3"/>
      <c r="AE484" s="3"/>
      <c r="AF484" s="3"/>
      <c r="AG484" s="3"/>
      <c r="AH484" s="3"/>
      <c r="AI484" s="3"/>
      <c r="AJ484" s="3"/>
      <c r="AK484" s="3"/>
    </row>
    <row r="485" ht="15.75" customHeight="1">
      <c r="A485" s="3"/>
      <c r="B485" s="466"/>
      <c r="C485" s="667"/>
      <c r="D485" s="667"/>
      <c r="E485" s="668"/>
      <c r="F485" s="667"/>
      <c r="G485" s="667"/>
      <c r="H485" s="667"/>
      <c r="I485" s="667"/>
      <c r="J485" s="667"/>
      <c r="K485" s="667"/>
      <c r="L485" s="667"/>
      <c r="M485" s="667"/>
      <c r="N485" s="667"/>
      <c r="O485" s="667"/>
      <c r="P485" s="667"/>
      <c r="Q485" s="667"/>
      <c r="S485" s="3"/>
      <c r="T485" s="3"/>
      <c r="U485" s="3"/>
      <c r="V485" s="3"/>
      <c r="W485" s="3"/>
      <c r="X485" s="3"/>
      <c r="Y485" s="3"/>
      <c r="Z485" s="3"/>
      <c r="AA485" s="3"/>
      <c r="AB485" s="3"/>
      <c r="AC485" s="3"/>
      <c r="AD485" s="3"/>
      <c r="AE485" s="3"/>
      <c r="AF485" s="3"/>
      <c r="AG485" s="3"/>
      <c r="AH485" s="3"/>
      <c r="AI485" s="3"/>
      <c r="AJ485" s="3"/>
      <c r="AK485" s="3"/>
    </row>
    <row r="486" ht="15.75" customHeight="1">
      <c r="A486" s="3"/>
      <c r="B486" s="466"/>
      <c r="C486" s="667"/>
      <c r="D486" s="667"/>
      <c r="E486" s="668"/>
      <c r="F486" s="667"/>
      <c r="G486" s="667"/>
      <c r="H486" s="667"/>
      <c r="I486" s="667"/>
      <c r="J486" s="667"/>
      <c r="K486" s="667"/>
      <c r="L486" s="667"/>
      <c r="M486" s="667"/>
      <c r="N486" s="667"/>
      <c r="O486" s="667"/>
      <c r="P486" s="667"/>
      <c r="Q486" s="667"/>
      <c r="S486" s="3"/>
      <c r="T486" s="3"/>
      <c r="U486" s="3"/>
      <c r="V486" s="3"/>
      <c r="W486" s="3"/>
      <c r="X486" s="3"/>
      <c r="Y486" s="3"/>
      <c r="Z486" s="3"/>
      <c r="AA486" s="3"/>
      <c r="AB486" s="3"/>
      <c r="AC486" s="3"/>
      <c r="AD486" s="3"/>
      <c r="AE486" s="3"/>
      <c r="AF486" s="3"/>
      <c r="AG486" s="3"/>
      <c r="AH486" s="3"/>
      <c r="AI486" s="3"/>
      <c r="AJ486" s="3"/>
      <c r="AK486" s="3"/>
    </row>
    <row r="487" ht="15.75" customHeight="1">
      <c r="A487" s="3"/>
      <c r="B487" s="466"/>
      <c r="C487" s="667"/>
      <c r="D487" s="667"/>
      <c r="E487" s="668"/>
      <c r="F487" s="667"/>
      <c r="G487" s="667"/>
      <c r="H487" s="667"/>
      <c r="I487" s="667"/>
      <c r="J487" s="667"/>
      <c r="K487" s="667"/>
      <c r="L487" s="667"/>
      <c r="M487" s="667"/>
      <c r="N487" s="667"/>
      <c r="O487" s="667"/>
      <c r="P487" s="667"/>
      <c r="Q487" s="667"/>
      <c r="S487" s="3"/>
      <c r="T487" s="3"/>
      <c r="U487" s="3"/>
      <c r="V487" s="3"/>
      <c r="W487" s="3"/>
      <c r="X487" s="3"/>
      <c r="Y487" s="3"/>
      <c r="Z487" s="3"/>
      <c r="AA487" s="3"/>
      <c r="AB487" s="3"/>
      <c r="AC487" s="3"/>
      <c r="AD487" s="3"/>
      <c r="AE487" s="3"/>
      <c r="AF487" s="3"/>
      <c r="AG487" s="3"/>
      <c r="AH487" s="3"/>
      <c r="AI487" s="3"/>
      <c r="AJ487" s="3"/>
      <c r="AK487" s="3"/>
    </row>
    <row r="488" ht="15.75" customHeight="1">
      <c r="A488" s="3"/>
      <c r="B488" s="466"/>
      <c r="C488" s="667"/>
      <c r="D488" s="667"/>
      <c r="E488" s="668"/>
      <c r="F488" s="667"/>
      <c r="G488" s="667"/>
      <c r="H488" s="667"/>
      <c r="I488" s="667"/>
      <c r="J488" s="667"/>
      <c r="K488" s="667"/>
      <c r="L488" s="667"/>
      <c r="M488" s="667"/>
      <c r="N488" s="667"/>
      <c r="O488" s="667"/>
      <c r="P488" s="667"/>
      <c r="Q488" s="667"/>
      <c r="S488" s="3"/>
      <c r="T488" s="3"/>
      <c r="U488" s="3"/>
      <c r="V488" s="3"/>
      <c r="W488" s="3"/>
      <c r="X488" s="3"/>
      <c r="Y488" s="3"/>
      <c r="Z488" s="3"/>
      <c r="AA488" s="3"/>
      <c r="AB488" s="3"/>
      <c r="AC488" s="3"/>
      <c r="AD488" s="3"/>
      <c r="AE488" s="3"/>
      <c r="AF488" s="3"/>
      <c r="AG488" s="3"/>
      <c r="AH488" s="3"/>
      <c r="AI488" s="3"/>
      <c r="AJ488" s="3"/>
      <c r="AK488" s="3"/>
    </row>
    <row r="489" ht="15.75" customHeight="1">
      <c r="A489" s="3"/>
      <c r="B489" s="466"/>
      <c r="C489" s="667"/>
      <c r="D489" s="667"/>
      <c r="E489" s="668"/>
      <c r="F489" s="667"/>
      <c r="G489" s="667"/>
      <c r="H489" s="667"/>
      <c r="I489" s="667"/>
      <c r="J489" s="667"/>
      <c r="K489" s="667"/>
      <c r="L489" s="667"/>
      <c r="M489" s="667"/>
      <c r="N489" s="667"/>
      <c r="O489" s="667"/>
      <c r="P489" s="667"/>
      <c r="Q489" s="667"/>
      <c r="S489" s="3"/>
      <c r="T489" s="3"/>
      <c r="U489" s="3"/>
      <c r="V489" s="3"/>
      <c r="W489" s="3"/>
      <c r="X489" s="3"/>
      <c r="Y489" s="3"/>
      <c r="Z489" s="3"/>
      <c r="AA489" s="3"/>
      <c r="AB489" s="3"/>
      <c r="AC489" s="3"/>
      <c r="AD489" s="3"/>
      <c r="AE489" s="3"/>
      <c r="AF489" s="3"/>
      <c r="AG489" s="3"/>
      <c r="AH489" s="3"/>
      <c r="AI489" s="3"/>
      <c r="AJ489" s="3"/>
      <c r="AK489" s="3"/>
    </row>
    <row r="490" ht="15.75" customHeight="1">
      <c r="A490" s="3"/>
      <c r="B490" s="466"/>
      <c r="C490" s="667"/>
      <c r="D490" s="667"/>
      <c r="E490" s="668"/>
      <c r="F490" s="667"/>
      <c r="G490" s="667"/>
      <c r="H490" s="667"/>
      <c r="I490" s="667"/>
      <c r="J490" s="667"/>
      <c r="K490" s="667"/>
      <c r="L490" s="667"/>
      <c r="M490" s="667"/>
      <c r="N490" s="667"/>
      <c r="O490" s="667"/>
      <c r="P490" s="667"/>
      <c r="Q490" s="667"/>
      <c r="S490" s="3"/>
      <c r="T490" s="3"/>
      <c r="U490" s="3"/>
      <c r="V490" s="3"/>
      <c r="W490" s="3"/>
      <c r="X490" s="3"/>
      <c r="Y490" s="3"/>
      <c r="Z490" s="3"/>
      <c r="AA490" s="3"/>
      <c r="AB490" s="3"/>
      <c r="AC490" s="3"/>
      <c r="AD490" s="3"/>
      <c r="AE490" s="3"/>
      <c r="AF490" s="3"/>
      <c r="AG490" s="3"/>
      <c r="AH490" s="3"/>
      <c r="AI490" s="3"/>
      <c r="AJ490" s="3"/>
      <c r="AK490" s="3"/>
    </row>
    <row r="491" ht="15.75" customHeight="1">
      <c r="A491" s="3"/>
      <c r="B491" s="466"/>
      <c r="C491" s="667"/>
      <c r="D491" s="667"/>
      <c r="E491" s="668"/>
      <c r="F491" s="667"/>
      <c r="G491" s="667"/>
      <c r="H491" s="667"/>
      <c r="I491" s="667"/>
      <c r="J491" s="667"/>
      <c r="K491" s="667"/>
      <c r="L491" s="667"/>
      <c r="M491" s="667"/>
      <c r="N491" s="667"/>
      <c r="O491" s="667"/>
      <c r="P491" s="667"/>
      <c r="Q491" s="667"/>
      <c r="S491" s="3"/>
      <c r="T491" s="3"/>
      <c r="U491" s="3"/>
      <c r="V491" s="3"/>
      <c r="W491" s="3"/>
      <c r="X491" s="3"/>
      <c r="Y491" s="3"/>
      <c r="Z491" s="3"/>
      <c r="AA491" s="3"/>
      <c r="AB491" s="3"/>
      <c r="AC491" s="3"/>
      <c r="AD491" s="3"/>
      <c r="AE491" s="3"/>
      <c r="AF491" s="3"/>
      <c r="AG491" s="3"/>
      <c r="AH491" s="3"/>
      <c r="AI491" s="3"/>
      <c r="AJ491" s="3"/>
      <c r="AK491" s="3"/>
    </row>
    <row r="492" ht="15.75" customHeight="1">
      <c r="A492" s="3"/>
      <c r="B492" s="466"/>
      <c r="C492" s="667"/>
      <c r="D492" s="667"/>
      <c r="E492" s="668"/>
      <c r="F492" s="667"/>
      <c r="G492" s="667"/>
      <c r="H492" s="667"/>
      <c r="I492" s="667"/>
      <c r="J492" s="667"/>
      <c r="K492" s="667"/>
      <c r="L492" s="667"/>
      <c r="M492" s="667"/>
      <c r="N492" s="667"/>
      <c r="O492" s="667"/>
      <c r="P492" s="667"/>
      <c r="Q492" s="667"/>
      <c r="S492" s="3"/>
      <c r="T492" s="3"/>
      <c r="U492" s="3"/>
      <c r="V492" s="3"/>
      <c r="W492" s="3"/>
      <c r="X492" s="3"/>
      <c r="Y492" s="3"/>
      <c r="Z492" s="3"/>
      <c r="AA492" s="3"/>
      <c r="AB492" s="3"/>
      <c r="AC492" s="3"/>
      <c r="AD492" s="3"/>
      <c r="AE492" s="3"/>
      <c r="AF492" s="3"/>
      <c r="AG492" s="3"/>
      <c r="AH492" s="3"/>
      <c r="AI492" s="3"/>
      <c r="AJ492" s="3"/>
      <c r="AK492" s="3"/>
    </row>
    <row r="493" ht="15.75" customHeight="1">
      <c r="A493" s="3"/>
      <c r="B493" s="466"/>
      <c r="C493" s="667"/>
      <c r="D493" s="667"/>
      <c r="E493" s="668"/>
      <c r="F493" s="667"/>
      <c r="G493" s="667"/>
      <c r="H493" s="667"/>
      <c r="I493" s="667"/>
      <c r="J493" s="667"/>
      <c r="K493" s="667"/>
      <c r="L493" s="667"/>
      <c r="M493" s="667"/>
      <c r="N493" s="667"/>
      <c r="O493" s="667"/>
      <c r="P493" s="667"/>
      <c r="Q493" s="667"/>
      <c r="S493" s="3"/>
      <c r="T493" s="3"/>
      <c r="U493" s="3"/>
      <c r="V493" s="3"/>
      <c r="W493" s="3"/>
      <c r="X493" s="3"/>
      <c r="Y493" s="3"/>
      <c r="Z493" s="3"/>
      <c r="AA493" s="3"/>
      <c r="AB493" s="3"/>
      <c r="AC493" s="3"/>
      <c r="AD493" s="3"/>
      <c r="AE493" s="3"/>
      <c r="AF493" s="3"/>
      <c r="AG493" s="3"/>
      <c r="AH493" s="3"/>
      <c r="AI493" s="3"/>
      <c r="AJ493" s="3"/>
      <c r="AK493" s="3"/>
    </row>
    <row r="494" ht="15.75" customHeight="1">
      <c r="A494" s="3"/>
      <c r="B494" s="466"/>
      <c r="C494" s="667"/>
      <c r="D494" s="667"/>
      <c r="E494" s="668"/>
      <c r="F494" s="667"/>
      <c r="G494" s="667"/>
      <c r="H494" s="667"/>
      <c r="I494" s="667"/>
      <c r="J494" s="667"/>
      <c r="K494" s="667"/>
      <c r="L494" s="667"/>
      <c r="M494" s="667"/>
      <c r="N494" s="667"/>
      <c r="O494" s="667"/>
      <c r="P494" s="667"/>
      <c r="Q494" s="667"/>
      <c r="S494" s="3"/>
      <c r="T494" s="3"/>
      <c r="U494" s="3"/>
      <c r="V494" s="3"/>
      <c r="W494" s="3"/>
      <c r="X494" s="3"/>
      <c r="Y494" s="3"/>
      <c r="Z494" s="3"/>
      <c r="AA494" s="3"/>
      <c r="AB494" s="3"/>
      <c r="AC494" s="3"/>
      <c r="AD494" s="3"/>
      <c r="AE494" s="3"/>
      <c r="AF494" s="3"/>
      <c r="AG494" s="3"/>
      <c r="AH494" s="3"/>
      <c r="AI494" s="3"/>
      <c r="AJ494" s="3"/>
      <c r="AK494" s="3"/>
    </row>
    <row r="495" ht="15.75" customHeight="1">
      <c r="A495" s="3"/>
      <c r="B495" s="466"/>
      <c r="C495" s="667"/>
      <c r="D495" s="667"/>
      <c r="E495" s="668"/>
      <c r="F495" s="667"/>
      <c r="G495" s="667"/>
      <c r="H495" s="667"/>
      <c r="I495" s="667"/>
      <c r="J495" s="667"/>
      <c r="K495" s="667"/>
      <c r="L495" s="667"/>
      <c r="M495" s="667"/>
      <c r="N495" s="667"/>
      <c r="O495" s="667"/>
      <c r="P495" s="667"/>
      <c r="Q495" s="667"/>
      <c r="S495" s="3"/>
      <c r="T495" s="3"/>
      <c r="U495" s="3"/>
      <c r="V495" s="3"/>
      <c r="W495" s="3"/>
      <c r="X495" s="3"/>
      <c r="Y495" s="3"/>
      <c r="Z495" s="3"/>
      <c r="AA495" s="3"/>
      <c r="AB495" s="3"/>
      <c r="AC495" s="3"/>
      <c r="AD495" s="3"/>
      <c r="AE495" s="3"/>
      <c r="AF495" s="3"/>
      <c r="AG495" s="3"/>
      <c r="AH495" s="3"/>
      <c r="AI495" s="3"/>
      <c r="AJ495" s="3"/>
      <c r="AK495" s="3"/>
    </row>
    <row r="496" ht="15.75" customHeight="1">
      <c r="A496" s="3"/>
      <c r="B496" s="466"/>
      <c r="C496" s="667"/>
      <c r="D496" s="667"/>
      <c r="E496" s="668"/>
      <c r="F496" s="667"/>
      <c r="G496" s="667"/>
      <c r="H496" s="667"/>
      <c r="I496" s="667"/>
      <c r="J496" s="667"/>
      <c r="K496" s="667"/>
      <c r="L496" s="667"/>
      <c r="M496" s="667"/>
      <c r="N496" s="667"/>
      <c r="O496" s="667"/>
      <c r="P496" s="667"/>
      <c r="Q496" s="667"/>
      <c r="S496" s="3"/>
      <c r="T496" s="3"/>
      <c r="U496" s="3"/>
      <c r="V496" s="3"/>
      <c r="W496" s="3"/>
      <c r="X496" s="3"/>
      <c r="Y496" s="3"/>
      <c r="Z496" s="3"/>
      <c r="AA496" s="3"/>
      <c r="AB496" s="3"/>
      <c r="AC496" s="3"/>
      <c r="AD496" s="3"/>
      <c r="AE496" s="3"/>
      <c r="AF496" s="3"/>
      <c r="AG496" s="3"/>
      <c r="AH496" s="3"/>
      <c r="AI496" s="3"/>
      <c r="AJ496" s="3"/>
      <c r="AK496" s="3"/>
    </row>
    <row r="497" ht="15.75" customHeight="1">
      <c r="A497" s="3"/>
      <c r="B497" s="466"/>
      <c r="C497" s="667"/>
      <c r="D497" s="667"/>
      <c r="E497" s="668"/>
      <c r="F497" s="667"/>
      <c r="G497" s="667"/>
      <c r="H497" s="667"/>
      <c r="I497" s="667"/>
      <c r="J497" s="667"/>
      <c r="K497" s="667"/>
      <c r="L497" s="667"/>
      <c r="M497" s="667"/>
      <c r="N497" s="667"/>
      <c r="O497" s="667"/>
      <c r="P497" s="667"/>
      <c r="Q497" s="667"/>
      <c r="S497" s="3"/>
      <c r="T497" s="3"/>
      <c r="U497" s="3"/>
      <c r="V497" s="3"/>
      <c r="W497" s="3"/>
      <c r="X497" s="3"/>
      <c r="Y497" s="3"/>
      <c r="Z497" s="3"/>
      <c r="AA497" s="3"/>
      <c r="AB497" s="3"/>
      <c r="AC497" s="3"/>
      <c r="AD497" s="3"/>
      <c r="AE497" s="3"/>
      <c r="AF497" s="3"/>
      <c r="AG497" s="3"/>
      <c r="AH497" s="3"/>
      <c r="AI497" s="3"/>
      <c r="AJ497" s="3"/>
      <c r="AK497" s="3"/>
    </row>
    <row r="498" ht="15.75" customHeight="1">
      <c r="A498" s="3"/>
      <c r="B498" s="466"/>
      <c r="C498" s="667"/>
      <c r="D498" s="667"/>
      <c r="E498" s="668"/>
      <c r="F498" s="667"/>
      <c r="G498" s="667"/>
      <c r="H498" s="667"/>
      <c r="I498" s="667"/>
      <c r="J498" s="667"/>
      <c r="K498" s="667"/>
      <c r="L498" s="667"/>
      <c r="M498" s="667"/>
      <c r="N498" s="667"/>
      <c r="O498" s="667"/>
      <c r="P498" s="667"/>
      <c r="Q498" s="667"/>
      <c r="S498" s="3"/>
      <c r="T498" s="3"/>
      <c r="U498" s="3"/>
      <c r="V498" s="3"/>
      <c r="W498" s="3"/>
      <c r="X498" s="3"/>
      <c r="Y498" s="3"/>
      <c r="Z498" s="3"/>
      <c r="AA498" s="3"/>
      <c r="AB498" s="3"/>
      <c r="AC498" s="3"/>
      <c r="AD498" s="3"/>
      <c r="AE498" s="3"/>
      <c r="AF498" s="3"/>
      <c r="AG498" s="3"/>
      <c r="AH498" s="3"/>
      <c r="AI498" s="3"/>
      <c r="AJ498" s="3"/>
      <c r="AK498" s="3"/>
    </row>
    <row r="499" ht="15.75" customHeight="1">
      <c r="A499" s="3"/>
      <c r="B499" s="466"/>
      <c r="C499" s="667"/>
      <c r="D499" s="667"/>
      <c r="E499" s="668"/>
      <c r="F499" s="667"/>
      <c r="G499" s="667"/>
      <c r="H499" s="667"/>
      <c r="I499" s="667"/>
      <c r="J499" s="667"/>
      <c r="K499" s="667"/>
      <c r="L499" s="667"/>
      <c r="M499" s="667"/>
      <c r="N499" s="667"/>
      <c r="O499" s="667"/>
      <c r="P499" s="667"/>
      <c r="Q499" s="667"/>
      <c r="S499" s="3"/>
      <c r="T499" s="3"/>
      <c r="U499" s="3"/>
      <c r="V499" s="3"/>
      <c r="W499" s="3"/>
      <c r="X499" s="3"/>
      <c r="Y499" s="3"/>
      <c r="Z499" s="3"/>
      <c r="AA499" s="3"/>
      <c r="AB499" s="3"/>
      <c r="AC499" s="3"/>
      <c r="AD499" s="3"/>
      <c r="AE499" s="3"/>
      <c r="AF499" s="3"/>
      <c r="AG499" s="3"/>
      <c r="AH499" s="3"/>
      <c r="AI499" s="3"/>
      <c r="AJ499" s="3"/>
      <c r="AK499" s="3"/>
    </row>
    <row r="500" ht="15.75" customHeight="1">
      <c r="A500" s="3"/>
      <c r="B500" s="466"/>
      <c r="C500" s="667"/>
      <c r="D500" s="667"/>
      <c r="E500" s="668"/>
      <c r="F500" s="667"/>
      <c r="G500" s="667"/>
      <c r="H500" s="667"/>
      <c r="I500" s="667"/>
      <c r="J500" s="667"/>
      <c r="K500" s="667"/>
      <c r="L500" s="667"/>
      <c r="M500" s="667"/>
      <c r="N500" s="667"/>
      <c r="O500" s="667"/>
      <c r="P500" s="667"/>
      <c r="Q500" s="667"/>
      <c r="S500" s="3"/>
      <c r="T500" s="3"/>
      <c r="U500" s="3"/>
      <c r="V500" s="3"/>
      <c r="W500" s="3"/>
      <c r="X500" s="3"/>
      <c r="Y500" s="3"/>
      <c r="Z500" s="3"/>
      <c r="AA500" s="3"/>
      <c r="AB500" s="3"/>
      <c r="AC500" s="3"/>
      <c r="AD500" s="3"/>
      <c r="AE500" s="3"/>
      <c r="AF500" s="3"/>
      <c r="AG500" s="3"/>
      <c r="AH500" s="3"/>
      <c r="AI500" s="3"/>
      <c r="AJ500" s="3"/>
      <c r="AK500" s="3"/>
    </row>
    <row r="501" ht="15.75" customHeight="1">
      <c r="A501" s="3"/>
      <c r="B501" s="466"/>
      <c r="C501" s="667"/>
      <c r="D501" s="667"/>
      <c r="E501" s="668"/>
      <c r="F501" s="667"/>
      <c r="G501" s="667"/>
      <c r="H501" s="667"/>
      <c r="I501" s="667"/>
      <c r="J501" s="667"/>
      <c r="K501" s="667"/>
      <c r="L501" s="667"/>
      <c r="M501" s="667"/>
      <c r="N501" s="667"/>
      <c r="O501" s="667"/>
      <c r="P501" s="667"/>
      <c r="Q501" s="667"/>
      <c r="S501" s="3"/>
      <c r="T501" s="3"/>
      <c r="U501" s="3"/>
      <c r="V501" s="3"/>
      <c r="W501" s="3"/>
      <c r="X501" s="3"/>
      <c r="Y501" s="3"/>
      <c r="Z501" s="3"/>
      <c r="AA501" s="3"/>
      <c r="AB501" s="3"/>
      <c r="AC501" s="3"/>
      <c r="AD501" s="3"/>
      <c r="AE501" s="3"/>
      <c r="AF501" s="3"/>
      <c r="AG501" s="3"/>
      <c r="AH501" s="3"/>
      <c r="AI501" s="3"/>
      <c r="AJ501" s="3"/>
      <c r="AK501" s="3"/>
    </row>
    <row r="502" ht="15.75" customHeight="1">
      <c r="A502" s="3"/>
      <c r="B502" s="466"/>
      <c r="C502" s="667"/>
      <c r="D502" s="667"/>
      <c r="E502" s="668"/>
      <c r="F502" s="667"/>
      <c r="G502" s="667"/>
      <c r="H502" s="667"/>
      <c r="I502" s="667"/>
      <c r="J502" s="667"/>
      <c r="K502" s="667"/>
      <c r="L502" s="667"/>
      <c r="M502" s="667"/>
      <c r="N502" s="667"/>
      <c r="O502" s="667"/>
      <c r="P502" s="667"/>
      <c r="Q502" s="667"/>
      <c r="S502" s="3"/>
      <c r="T502" s="3"/>
      <c r="U502" s="3"/>
      <c r="V502" s="3"/>
      <c r="W502" s="3"/>
      <c r="X502" s="3"/>
      <c r="Y502" s="3"/>
      <c r="Z502" s="3"/>
      <c r="AA502" s="3"/>
      <c r="AB502" s="3"/>
      <c r="AC502" s="3"/>
      <c r="AD502" s="3"/>
      <c r="AE502" s="3"/>
      <c r="AF502" s="3"/>
      <c r="AG502" s="3"/>
      <c r="AH502" s="3"/>
      <c r="AI502" s="3"/>
      <c r="AJ502" s="3"/>
      <c r="AK502" s="3"/>
    </row>
    <row r="503" ht="15.75" customHeight="1">
      <c r="A503" s="3"/>
      <c r="B503" s="466"/>
      <c r="C503" s="667"/>
      <c r="D503" s="667"/>
      <c r="E503" s="668"/>
      <c r="F503" s="667"/>
      <c r="G503" s="667"/>
      <c r="H503" s="667"/>
      <c r="I503" s="667"/>
      <c r="J503" s="667"/>
      <c r="K503" s="667"/>
      <c r="L503" s="667"/>
      <c r="M503" s="667"/>
      <c r="N503" s="667"/>
      <c r="O503" s="667"/>
      <c r="P503" s="667"/>
      <c r="Q503" s="667"/>
      <c r="S503" s="3"/>
      <c r="T503" s="3"/>
      <c r="U503" s="3"/>
      <c r="V503" s="3"/>
      <c r="W503" s="3"/>
      <c r="X503" s="3"/>
      <c r="Y503" s="3"/>
      <c r="Z503" s="3"/>
      <c r="AA503" s="3"/>
      <c r="AB503" s="3"/>
      <c r="AC503" s="3"/>
      <c r="AD503" s="3"/>
      <c r="AE503" s="3"/>
      <c r="AF503" s="3"/>
      <c r="AG503" s="3"/>
      <c r="AH503" s="3"/>
      <c r="AI503" s="3"/>
      <c r="AJ503" s="3"/>
      <c r="AK503" s="3"/>
    </row>
    <row r="504" ht="15.75" customHeight="1">
      <c r="A504" s="3"/>
      <c r="B504" s="466"/>
      <c r="C504" s="667"/>
      <c r="D504" s="667"/>
      <c r="E504" s="668"/>
      <c r="F504" s="667"/>
      <c r="G504" s="667"/>
      <c r="H504" s="667"/>
      <c r="I504" s="667"/>
      <c r="J504" s="667"/>
      <c r="K504" s="667"/>
      <c r="L504" s="667"/>
      <c r="M504" s="667"/>
      <c r="N504" s="667"/>
      <c r="O504" s="667"/>
      <c r="P504" s="667"/>
      <c r="Q504" s="667"/>
      <c r="S504" s="3"/>
      <c r="T504" s="3"/>
      <c r="U504" s="3"/>
      <c r="V504" s="3"/>
      <c r="W504" s="3"/>
      <c r="X504" s="3"/>
      <c r="Y504" s="3"/>
      <c r="Z504" s="3"/>
      <c r="AA504" s="3"/>
      <c r="AB504" s="3"/>
      <c r="AC504" s="3"/>
      <c r="AD504" s="3"/>
      <c r="AE504" s="3"/>
      <c r="AF504" s="3"/>
      <c r="AG504" s="3"/>
      <c r="AH504" s="3"/>
      <c r="AI504" s="3"/>
      <c r="AJ504" s="3"/>
      <c r="AK504" s="3"/>
    </row>
    <row r="505" ht="15.75" customHeight="1">
      <c r="A505" s="3"/>
      <c r="B505" s="466"/>
      <c r="C505" s="667"/>
      <c r="D505" s="667"/>
      <c r="E505" s="668"/>
      <c r="F505" s="667"/>
      <c r="G505" s="667"/>
      <c r="H505" s="667"/>
      <c r="I505" s="667"/>
      <c r="J505" s="667"/>
      <c r="K505" s="667"/>
      <c r="L505" s="667"/>
      <c r="M505" s="667"/>
      <c r="N505" s="667"/>
      <c r="O505" s="667"/>
      <c r="P505" s="667"/>
      <c r="Q505" s="667"/>
      <c r="S505" s="3"/>
      <c r="T505" s="3"/>
      <c r="U505" s="3"/>
      <c r="V505" s="3"/>
      <c r="W505" s="3"/>
      <c r="X505" s="3"/>
      <c r="Y505" s="3"/>
      <c r="Z505" s="3"/>
      <c r="AA505" s="3"/>
      <c r="AB505" s="3"/>
      <c r="AC505" s="3"/>
      <c r="AD505" s="3"/>
      <c r="AE505" s="3"/>
      <c r="AF505" s="3"/>
      <c r="AG505" s="3"/>
      <c r="AH505" s="3"/>
      <c r="AI505" s="3"/>
      <c r="AJ505" s="3"/>
      <c r="AK505" s="3"/>
    </row>
    <row r="506" ht="15.75" customHeight="1">
      <c r="A506" s="3"/>
      <c r="B506" s="466"/>
      <c r="C506" s="667"/>
      <c r="D506" s="667"/>
      <c r="E506" s="668"/>
      <c r="F506" s="667"/>
      <c r="G506" s="667"/>
      <c r="H506" s="667"/>
      <c r="I506" s="667"/>
      <c r="J506" s="667"/>
      <c r="K506" s="667"/>
      <c r="L506" s="667"/>
      <c r="M506" s="667"/>
      <c r="N506" s="667"/>
      <c r="O506" s="667"/>
      <c r="P506" s="667"/>
      <c r="Q506" s="667"/>
      <c r="S506" s="3"/>
      <c r="T506" s="3"/>
      <c r="U506" s="3"/>
      <c r="V506" s="3"/>
      <c r="W506" s="3"/>
      <c r="X506" s="3"/>
      <c r="Y506" s="3"/>
      <c r="Z506" s="3"/>
      <c r="AA506" s="3"/>
      <c r="AB506" s="3"/>
      <c r="AC506" s="3"/>
      <c r="AD506" s="3"/>
      <c r="AE506" s="3"/>
      <c r="AF506" s="3"/>
      <c r="AG506" s="3"/>
      <c r="AH506" s="3"/>
      <c r="AI506" s="3"/>
      <c r="AJ506" s="3"/>
      <c r="AK506" s="3"/>
    </row>
    <row r="507" ht="15.75" customHeight="1">
      <c r="A507" s="3"/>
      <c r="B507" s="466"/>
      <c r="C507" s="667"/>
      <c r="D507" s="667"/>
      <c r="E507" s="668"/>
      <c r="F507" s="667"/>
      <c r="G507" s="667"/>
      <c r="H507" s="667"/>
      <c r="I507" s="667"/>
      <c r="J507" s="667"/>
      <c r="K507" s="667"/>
      <c r="L507" s="667"/>
      <c r="M507" s="667"/>
      <c r="N507" s="667"/>
      <c r="O507" s="667"/>
      <c r="P507" s="667"/>
      <c r="Q507" s="667"/>
      <c r="S507" s="3"/>
      <c r="T507" s="3"/>
      <c r="U507" s="3"/>
      <c r="V507" s="3"/>
      <c r="W507" s="3"/>
      <c r="X507" s="3"/>
      <c r="Y507" s="3"/>
      <c r="Z507" s="3"/>
      <c r="AA507" s="3"/>
      <c r="AB507" s="3"/>
      <c r="AC507" s="3"/>
      <c r="AD507" s="3"/>
      <c r="AE507" s="3"/>
      <c r="AF507" s="3"/>
      <c r="AG507" s="3"/>
      <c r="AH507" s="3"/>
      <c r="AI507" s="3"/>
      <c r="AJ507" s="3"/>
      <c r="AK507" s="3"/>
    </row>
    <row r="508" ht="15.75" customHeight="1">
      <c r="A508" s="3"/>
      <c r="B508" s="466"/>
      <c r="C508" s="667"/>
      <c r="D508" s="667"/>
      <c r="E508" s="668"/>
      <c r="F508" s="667"/>
      <c r="G508" s="667"/>
      <c r="H508" s="667"/>
      <c r="I508" s="667"/>
      <c r="J508" s="667"/>
      <c r="K508" s="667"/>
      <c r="L508" s="667"/>
      <c r="M508" s="667"/>
      <c r="N508" s="667"/>
      <c r="O508" s="667"/>
      <c r="P508" s="667"/>
      <c r="Q508" s="667"/>
      <c r="S508" s="3"/>
      <c r="T508" s="3"/>
      <c r="U508" s="3"/>
      <c r="V508" s="3"/>
      <c r="W508" s="3"/>
      <c r="X508" s="3"/>
      <c r="Y508" s="3"/>
      <c r="Z508" s="3"/>
      <c r="AA508" s="3"/>
      <c r="AB508" s="3"/>
      <c r="AC508" s="3"/>
      <c r="AD508" s="3"/>
      <c r="AE508" s="3"/>
      <c r="AF508" s="3"/>
      <c r="AG508" s="3"/>
      <c r="AH508" s="3"/>
      <c r="AI508" s="3"/>
      <c r="AJ508" s="3"/>
      <c r="AK508" s="3"/>
    </row>
    <row r="509" ht="15.75" customHeight="1">
      <c r="A509" s="3"/>
      <c r="B509" s="466"/>
      <c r="C509" s="667"/>
      <c r="D509" s="667"/>
      <c r="E509" s="668"/>
      <c r="F509" s="667"/>
      <c r="G509" s="667"/>
      <c r="H509" s="667"/>
      <c r="I509" s="667"/>
      <c r="J509" s="667"/>
      <c r="K509" s="667"/>
      <c r="L509" s="667"/>
      <c r="M509" s="667"/>
      <c r="N509" s="667"/>
      <c r="O509" s="667"/>
      <c r="P509" s="667"/>
      <c r="Q509" s="667"/>
      <c r="S509" s="3"/>
      <c r="T509" s="3"/>
      <c r="U509" s="3"/>
      <c r="V509" s="3"/>
      <c r="W509" s="3"/>
      <c r="X509" s="3"/>
      <c r="Y509" s="3"/>
      <c r="Z509" s="3"/>
      <c r="AA509" s="3"/>
      <c r="AB509" s="3"/>
      <c r="AC509" s="3"/>
      <c r="AD509" s="3"/>
      <c r="AE509" s="3"/>
      <c r="AF509" s="3"/>
      <c r="AG509" s="3"/>
      <c r="AH509" s="3"/>
      <c r="AI509" s="3"/>
      <c r="AJ509" s="3"/>
      <c r="AK509" s="3"/>
    </row>
    <row r="510" ht="15.75" customHeight="1">
      <c r="A510" s="3"/>
      <c r="B510" s="466"/>
      <c r="C510" s="667"/>
      <c r="D510" s="667"/>
      <c r="E510" s="668"/>
      <c r="F510" s="667"/>
      <c r="G510" s="667"/>
      <c r="H510" s="667"/>
      <c r="I510" s="667"/>
      <c r="J510" s="667"/>
      <c r="K510" s="667"/>
      <c r="L510" s="667"/>
      <c r="M510" s="667"/>
      <c r="N510" s="667"/>
      <c r="O510" s="667"/>
      <c r="P510" s="667"/>
      <c r="Q510" s="667"/>
      <c r="S510" s="3"/>
      <c r="T510" s="3"/>
      <c r="U510" s="3"/>
      <c r="V510" s="3"/>
      <c r="W510" s="3"/>
      <c r="X510" s="3"/>
      <c r="Y510" s="3"/>
      <c r="Z510" s="3"/>
      <c r="AA510" s="3"/>
      <c r="AB510" s="3"/>
      <c r="AC510" s="3"/>
      <c r="AD510" s="3"/>
      <c r="AE510" s="3"/>
      <c r="AF510" s="3"/>
      <c r="AG510" s="3"/>
      <c r="AH510" s="3"/>
      <c r="AI510" s="3"/>
      <c r="AJ510" s="3"/>
      <c r="AK510" s="3"/>
    </row>
    <row r="511" ht="15.75" customHeight="1">
      <c r="A511" s="3"/>
      <c r="B511" s="466"/>
      <c r="C511" s="667"/>
      <c r="D511" s="667"/>
      <c r="E511" s="668"/>
      <c r="F511" s="667"/>
      <c r="G511" s="667"/>
      <c r="H511" s="667"/>
      <c r="I511" s="667"/>
      <c r="J511" s="667"/>
      <c r="K511" s="667"/>
      <c r="L511" s="667"/>
      <c r="M511" s="667"/>
      <c r="N511" s="667"/>
      <c r="O511" s="667"/>
      <c r="P511" s="667"/>
      <c r="Q511" s="667"/>
      <c r="S511" s="3"/>
      <c r="T511" s="3"/>
      <c r="U511" s="3"/>
      <c r="V511" s="3"/>
      <c r="W511" s="3"/>
      <c r="X511" s="3"/>
      <c r="Y511" s="3"/>
      <c r="Z511" s="3"/>
      <c r="AA511" s="3"/>
      <c r="AB511" s="3"/>
      <c r="AC511" s="3"/>
      <c r="AD511" s="3"/>
      <c r="AE511" s="3"/>
      <c r="AF511" s="3"/>
      <c r="AG511" s="3"/>
      <c r="AH511" s="3"/>
      <c r="AI511" s="3"/>
      <c r="AJ511" s="3"/>
      <c r="AK511" s="3"/>
    </row>
    <row r="512" ht="15.75" customHeight="1">
      <c r="A512" s="3"/>
      <c r="B512" s="466"/>
      <c r="C512" s="667"/>
      <c r="D512" s="667"/>
      <c r="E512" s="668"/>
      <c r="F512" s="667"/>
      <c r="G512" s="667"/>
      <c r="H512" s="667"/>
      <c r="I512" s="667"/>
      <c r="J512" s="667"/>
      <c r="K512" s="667"/>
      <c r="L512" s="667"/>
      <c r="M512" s="667"/>
      <c r="N512" s="667"/>
      <c r="O512" s="667"/>
      <c r="P512" s="667"/>
      <c r="Q512" s="667"/>
      <c r="S512" s="3"/>
      <c r="T512" s="3"/>
      <c r="U512" s="3"/>
      <c r="V512" s="3"/>
      <c r="W512" s="3"/>
      <c r="X512" s="3"/>
      <c r="Y512" s="3"/>
      <c r="Z512" s="3"/>
      <c r="AA512" s="3"/>
      <c r="AB512" s="3"/>
      <c r="AC512" s="3"/>
      <c r="AD512" s="3"/>
      <c r="AE512" s="3"/>
      <c r="AF512" s="3"/>
      <c r="AG512" s="3"/>
      <c r="AH512" s="3"/>
      <c r="AI512" s="3"/>
      <c r="AJ512" s="3"/>
      <c r="AK512" s="3"/>
    </row>
    <row r="513" ht="15.75" customHeight="1">
      <c r="A513" s="3"/>
      <c r="B513" s="466"/>
      <c r="C513" s="667"/>
      <c r="D513" s="667"/>
      <c r="E513" s="668"/>
      <c r="F513" s="667"/>
      <c r="G513" s="667"/>
      <c r="H513" s="667"/>
      <c r="I513" s="667"/>
      <c r="J513" s="667"/>
      <c r="K513" s="667"/>
      <c r="L513" s="667"/>
      <c r="M513" s="667"/>
      <c r="N513" s="667"/>
      <c r="O513" s="667"/>
      <c r="P513" s="667"/>
      <c r="Q513" s="667"/>
      <c r="S513" s="3"/>
      <c r="T513" s="3"/>
      <c r="U513" s="3"/>
      <c r="V513" s="3"/>
      <c r="W513" s="3"/>
      <c r="X513" s="3"/>
      <c r="Y513" s="3"/>
      <c r="Z513" s="3"/>
      <c r="AA513" s="3"/>
      <c r="AB513" s="3"/>
      <c r="AC513" s="3"/>
      <c r="AD513" s="3"/>
      <c r="AE513" s="3"/>
      <c r="AF513" s="3"/>
      <c r="AG513" s="3"/>
      <c r="AH513" s="3"/>
      <c r="AI513" s="3"/>
      <c r="AJ513" s="3"/>
      <c r="AK513" s="3"/>
    </row>
    <row r="514" ht="15.75" customHeight="1">
      <c r="A514" s="3"/>
      <c r="B514" s="466"/>
      <c r="C514" s="667"/>
      <c r="D514" s="667"/>
      <c r="E514" s="668"/>
      <c r="F514" s="667"/>
      <c r="G514" s="667"/>
      <c r="H514" s="667"/>
      <c r="I514" s="667"/>
      <c r="J514" s="667"/>
      <c r="K514" s="667"/>
      <c r="L514" s="667"/>
      <c r="M514" s="667"/>
      <c r="N514" s="667"/>
      <c r="O514" s="667"/>
      <c r="P514" s="667"/>
      <c r="Q514" s="667"/>
      <c r="S514" s="3"/>
      <c r="T514" s="3"/>
      <c r="U514" s="3"/>
      <c r="V514" s="3"/>
      <c r="W514" s="3"/>
      <c r="X514" s="3"/>
      <c r="Y514" s="3"/>
      <c r="Z514" s="3"/>
      <c r="AA514" s="3"/>
      <c r="AB514" s="3"/>
      <c r="AC514" s="3"/>
      <c r="AD514" s="3"/>
      <c r="AE514" s="3"/>
      <c r="AF514" s="3"/>
      <c r="AG514" s="3"/>
      <c r="AH514" s="3"/>
      <c r="AI514" s="3"/>
      <c r="AJ514" s="3"/>
      <c r="AK514" s="3"/>
    </row>
    <row r="515" ht="15.75" customHeight="1">
      <c r="A515" s="3"/>
      <c r="B515" s="466"/>
      <c r="C515" s="667"/>
      <c r="D515" s="667"/>
      <c r="E515" s="668"/>
      <c r="F515" s="667"/>
      <c r="G515" s="667"/>
      <c r="H515" s="667"/>
      <c r="I515" s="667"/>
      <c r="J515" s="667"/>
      <c r="K515" s="667"/>
      <c r="L515" s="667"/>
      <c r="M515" s="667"/>
      <c r="N515" s="667"/>
      <c r="O515" s="667"/>
      <c r="P515" s="667"/>
      <c r="Q515" s="667"/>
      <c r="S515" s="3"/>
      <c r="T515" s="3"/>
      <c r="U515" s="3"/>
      <c r="V515" s="3"/>
      <c r="W515" s="3"/>
      <c r="X515" s="3"/>
      <c r="Y515" s="3"/>
      <c r="Z515" s="3"/>
      <c r="AA515" s="3"/>
      <c r="AB515" s="3"/>
      <c r="AC515" s="3"/>
      <c r="AD515" s="3"/>
      <c r="AE515" s="3"/>
      <c r="AF515" s="3"/>
      <c r="AG515" s="3"/>
      <c r="AH515" s="3"/>
      <c r="AI515" s="3"/>
      <c r="AJ515" s="3"/>
      <c r="AK515" s="3"/>
    </row>
    <row r="516" ht="15.75" customHeight="1">
      <c r="A516" s="3"/>
      <c r="B516" s="466"/>
      <c r="C516" s="667"/>
      <c r="D516" s="667"/>
      <c r="E516" s="668"/>
      <c r="F516" s="667"/>
      <c r="G516" s="667"/>
      <c r="H516" s="667"/>
      <c r="I516" s="667"/>
      <c r="J516" s="667"/>
      <c r="K516" s="667"/>
      <c r="L516" s="667"/>
      <c r="M516" s="667"/>
      <c r="N516" s="667"/>
      <c r="O516" s="667"/>
      <c r="P516" s="667"/>
      <c r="Q516" s="667"/>
      <c r="S516" s="3"/>
      <c r="T516" s="3"/>
      <c r="U516" s="3"/>
      <c r="V516" s="3"/>
      <c r="W516" s="3"/>
      <c r="X516" s="3"/>
      <c r="Y516" s="3"/>
      <c r="Z516" s="3"/>
      <c r="AA516" s="3"/>
      <c r="AB516" s="3"/>
      <c r="AC516" s="3"/>
      <c r="AD516" s="3"/>
      <c r="AE516" s="3"/>
      <c r="AF516" s="3"/>
      <c r="AG516" s="3"/>
      <c r="AH516" s="3"/>
      <c r="AI516" s="3"/>
      <c r="AJ516" s="3"/>
      <c r="AK516" s="3"/>
    </row>
    <row r="517" ht="15.75" customHeight="1">
      <c r="A517" s="3"/>
      <c r="B517" s="466"/>
      <c r="C517" s="667"/>
      <c r="D517" s="667"/>
      <c r="E517" s="668"/>
      <c r="F517" s="667"/>
      <c r="G517" s="667"/>
      <c r="H517" s="667"/>
      <c r="I517" s="667"/>
      <c r="J517" s="667"/>
      <c r="K517" s="667"/>
      <c r="L517" s="667"/>
      <c r="M517" s="667"/>
      <c r="N517" s="667"/>
      <c r="O517" s="667"/>
      <c r="P517" s="667"/>
      <c r="Q517" s="667"/>
      <c r="S517" s="3"/>
      <c r="T517" s="3"/>
      <c r="U517" s="3"/>
      <c r="V517" s="3"/>
      <c r="W517" s="3"/>
      <c r="X517" s="3"/>
      <c r="Y517" s="3"/>
      <c r="Z517" s="3"/>
      <c r="AA517" s="3"/>
      <c r="AB517" s="3"/>
      <c r="AC517" s="3"/>
      <c r="AD517" s="3"/>
      <c r="AE517" s="3"/>
      <c r="AF517" s="3"/>
      <c r="AG517" s="3"/>
      <c r="AH517" s="3"/>
      <c r="AI517" s="3"/>
      <c r="AJ517" s="3"/>
      <c r="AK517" s="3"/>
    </row>
    <row r="518" ht="15.75" customHeight="1">
      <c r="A518" s="3"/>
      <c r="B518" s="466"/>
      <c r="C518" s="667"/>
      <c r="D518" s="667"/>
      <c r="E518" s="668"/>
      <c r="F518" s="667"/>
      <c r="G518" s="667"/>
      <c r="H518" s="667"/>
      <c r="I518" s="667"/>
      <c r="J518" s="667"/>
      <c r="K518" s="667"/>
      <c r="L518" s="667"/>
      <c r="M518" s="667"/>
      <c r="N518" s="667"/>
      <c r="O518" s="667"/>
      <c r="P518" s="667"/>
      <c r="Q518" s="667"/>
      <c r="S518" s="3"/>
      <c r="T518" s="3"/>
      <c r="U518" s="3"/>
      <c r="V518" s="3"/>
      <c r="W518" s="3"/>
      <c r="X518" s="3"/>
      <c r="Y518" s="3"/>
      <c r="Z518" s="3"/>
      <c r="AA518" s="3"/>
      <c r="AB518" s="3"/>
      <c r="AC518" s="3"/>
      <c r="AD518" s="3"/>
      <c r="AE518" s="3"/>
      <c r="AF518" s="3"/>
      <c r="AG518" s="3"/>
      <c r="AH518" s="3"/>
      <c r="AI518" s="3"/>
      <c r="AJ518" s="3"/>
      <c r="AK518" s="3"/>
    </row>
    <row r="519" ht="15.75" customHeight="1">
      <c r="A519" s="3"/>
      <c r="B519" s="466"/>
      <c r="C519" s="667"/>
      <c r="D519" s="667"/>
      <c r="E519" s="668"/>
      <c r="F519" s="667"/>
      <c r="G519" s="667"/>
      <c r="H519" s="667"/>
      <c r="I519" s="667"/>
      <c r="J519" s="667"/>
      <c r="K519" s="667"/>
      <c r="L519" s="667"/>
      <c r="M519" s="667"/>
      <c r="N519" s="667"/>
      <c r="O519" s="667"/>
      <c r="P519" s="667"/>
      <c r="Q519" s="667"/>
      <c r="S519" s="3"/>
      <c r="T519" s="3"/>
      <c r="U519" s="3"/>
      <c r="V519" s="3"/>
      <c r="W519" s="3"/>
      <c r="X519" s="3"/>
      <c r="Y519" s="3"/>
      <c r="Z519" s="3"/>
      <c r="AA519" s="3"/>
      <c r="AB519" s="3"/>
      <c r="AC519" s="3"/>
      <c r="AD519" s="3"/>
      <c r="AE519" s="3"/>
      <c r="AF519" s="3"/>
      <c r="AG519" s="3"/>
      <c r="AH519" s="3"/>
      <c r="AI519" s="3"/>
      <c r="AJ519" s="3"/>
      <c r="AK519" s="3"/>
    </row>
    <row r="520" ht="15.75" customHeight="1">
      <c r="A520" s="3"/>
      <c r="B520" s="466"/>
      <c r="C520" s="667"/>
      <c r="D520" s="667"/>
      <c r="E520" s="668"/>
      <c r="F520" s="667"/>
      <c r="G520" s="667"/>
      <c r="H520" s="667"/>
      <c r="I520" s="667"/>
      <c r="J520" s="667"/>
      <c r="K520" s="667"/>
      <c r="L520" s="667"/>
      <c r="M520" s="667"/>
      <c r="N520" s="667"/>
      <c r="O520" s="667"/>
      <c r="P520" s="667"/>
      <c r="Q520" s="667"/>
      <c r="S520" s="3"/>
      <c r="T520" s="3"/>
      <c r="U520" s="3"/>
      <c r="V520" s="3"/>
      <c r="W520" s="3"/>
      <c r="X520" s="3"/>
      <c r="Y520" s="3"/>
      <c r="Z520" s="3"/>
      <c r="AA520" s="3"/>
      <c r="AB520" s="3"/>
      <c r="AC520" s="3"/>
      <c r="AD520" s="3"/>
      <c r="AE520" s="3"/>
      <c r="AF520" s="3"/>
      <c r="AG520" s="3"/>
      <c r="AH520" s="3"/>
      <c r="AI520" s="3"/>
      <c r="AJ520" s="3"/>
      <c r="AK520" s="3"/>
    </row>
    <row r="521" ht="15.75" customHeight="1">
      <c r="A521" s="3"/>
      <c r="B521" s="466"/>
      <c r="C521" s="667"/>
      <c r="D521" s="667"/>
      <c r="E521" s="668"/>
      <c r="F521" s="667"/>
      <c r="G521" s="667"/>
      <c r="H521" s="667"/>
      <c r="I521" s="667"/>
      <c r="J521" s="667"/>
      <c r="K521" s="667"/>
      <c r="L521" s="667"/>
      <c r="M521" s="667"/>
      <c r="N521" s="667"/>
      <c r="O521" s="667"/>
      <c r="P521" s="667"/>
      <c r="Q521" s="667"/>
      <c r="S521" s="3"/>
      <c r="T521" s="3"/>
      <c r="U521" s="3"/>
      <c r="V521" s="3"/>
      <c r="W521" s="3"/>
      <c r="X521" s="3"/>
      <c r="Y521" s="3"/>
      <c r="Z521" s="3"/>
      <c r="AA521" s="3"/>
      <c r="AB521" s="3"/>
      <c r="AC521" s="3"/>
      <c r="AD521" s="3"/>
      <c r="AE521" s="3"/>
      <c r="AF521" s="3"/>
      <c r="AG521" s="3"/>
      <c r="AH521" s="3"/>
      <c r="AI521" s="3"/>
      <c r="AJ521" s="3"/>
      <c r="AK521" s="3"/>
    </row>
    <row r="522" ht="15.75" customHeight="1">
      <c r="A522" s="3"/>
      <c r="B522" s="466"/>
      <c r="C522" s="667"/>
      <c r="D522" s="667"/>
      <c r="E522" s="668"/>
      <c r="F522" s="667"/>
      <c r="G522" s="667"/>
      <c r="H522" s="667"/>
      <c r="I522" s="667"/>
      <c r="J522" s="667"/>
      <c r="K522" s="667"/>
      <c r="L522" s="667"/>
      <c r="M522" s="667"/>
      <c r="N522" s="667"/>
      <c r="O522" s="667"/>
      <c r="P522" s="667"/>
      <c r="Q522" s="667"/>
      <c r="S522" s="3"/>
      <c r="T522" s="3"/>
      <c r="U522" s="3"/>
      <c r="V522" s="3"/>
      <c r="W522" s="3"/>
      <c r="X522" s="3"/>
      <c r="Y522" s="3"/>
      <c r="Z522" s="3"/>
      <c r="AA522" s="3"/>
      <c r="AB522" s="3"/>
      <c r="AC522" s="3"/>
      <c r="AD522" s="3"/>
      <c r="AE522" s="3"/>
      <c r="AF522" s="3"/>
      <c r="AG522" s="3"/>
      <c r="AH522" s="3"/>
      <c r="AI522" s="3"/>
      <c r="AJ522" s="3"/>
      <c r="AK522" s="3"/>
    </row>
    <row r="523" ht="15.75" customHeight="1">
      <c r="A523" s="3"/>
      <c r="B523" s="466"/>
      <c r="C523" s="667"/>
      <c r="D523" s="667"/>
      <c r="E523" s="668"/>
      <c r="F523" s="667"/>
      <c r="G523" s="667"/>
      <c r="H523" s="667"/>
      <c r="I523" s="667"/>
      <c r="J523" s="667"/>
      <c r="K523" s="667"/>
      <c r="L523" s="667"/>
      <c r="M523" s="667"/>
      <c r="N523" s="667"/>
      <c r="O523" s="667"/>
      <c r="P523" s="667"/>
      <c r="Q523" s="667"/>
      <c r="S523" s="3"/>
      <c r="T523" s="3"/>
      <c r="U523" s="3"/>
      <c r="V523" s="3"/>
      <c r="W523" s="3"/>
      <c r="X523" s="3"/>
      <c r="Y523" s="3"/>
      <c r="Z523" s="3"/>
      <c r="AA523" s="3"/>
      <c r="AB523" s="3"/>
      <c r="AC523" s="3"/>
      <c r="AD523" s="3"/>
      <c r="AE523" s="3"/>
      <c r="AF523" s="3"/>
      <c r="AG523" s="3"/>
      <c r="AH523" s="3"/>
      <c r="AI523" s="3"/>
      <c r="AJ523" s="3"/>
      <c r="AK523" s="3"/>
    </row>
    <row r="524" ht="15.75" customHeight="1">
      <c r="A524" s="3"/>
      <c r="B524" s="466"/>
      <c r="C524" s="667"/>
      <c r="D524" s="667"/>
      <c r="E524" s="668"/>
      <c r="F524" s="667"/>
      <c r="G524" s="667"/>
      <c r="H524" s="667"/>
      <c r="I524" s="667"/>
      <c r="J524" s="667"/>
      <c r="K524" s="667"/>
      <c r="L524" s="667"/>
      <c r="M524" s="667"/>
      <c r="N524" s="667"/>
      <c r="O524" s="667"/>
      <c r="P524" s="667"/>
      <c r="Q524" s="667"/>
      <c r="S524" s="3"/>
      <c r="T524" s="3"/>
      <c r="U524" s="3"/>
      <c r="V524" s="3"/>
      <c r="W524" s="3"/>
      <c r="X524" s="3"/>
      <c r="Y524" s="3"/>
      <c r="Z524" s="3"/>
      <c r="AA524" s="3"/>
      <c r="AB524" s="3"/>
      <c r="AC524" s="3"/>
      <c r="AD524" s="3"/>
      <c r="AE524" s="3"/>
      <c r="AF524" s="3"/>
      <c r="AG524" s="3"/>
      <c r="AH524" s="3"/>
      <c r="AI524" s="3"/>
      <c r="AJ524" s="3"/>
      <c r="AK524" s="3"/>
    </row>
    <row r="525" ht="15.75" customHeight="1">
      <c r="A525" s="3"/>
      <c r="B525" s="466"/>
      <c r="C525" s="667"/>
      <c r="D525" s="667"/>
      <c r="E525" s="668"/>
      <c r="F525" s="667"/>
      <c r="G525" s="667"/>
      <c r="H525" s="667"/>
      <c r="I525" s="667"/>
      <c r="J525" s="667"/>
      <c r="K525" s="667"/>
      <c r="L525" s="667"/>
      <c r="M525" s="667"/>
      <c r="N525" s="667"/>
      <c r="O525" s="667"/>
      <c r="P525" s="667"/>
      <c r="Q525" s="667"/>
      <c r="S525" s="3"/>
      <c r="T525" s="3"/>
      <c r="U525" s="3"/>
      <c r="V525" s="3"/>
      <c r="W525" s="3"/>
      <c r="X525" s="3"/>
      <c r="Y525" s="3"/>
      <c r="Z525" s="3"/>
      <c r="AA525" s="3"/>
      <c r="AB525" s="3"/>
      <c r="AC525" s="3"/>
      <c r="AD525" s="3"/>
      <c r="AE525" s="3"/>
      <c r="AF525" s="3"/>
      <c r="AG525" s="3"/>
      <c r="AH525" s="3"/>
      <c r="AI525" s="3"/>
      <c r="AJ525" s="3"/>
      <c r="AK525" s="3"/>
    </row>
    <row r="526" ht="15.75" customHeight="1">
      <c r="A526" s="3"/>
      <c r="B526" s="466"/>
      <c r="C526" s="667"/>
      <c r="D526" s="667"/>
      <c r="E526" s="668"/>
      <c r="F526" s="667"/>
      <c r="G526" s="667"/>
      <c r="H526" s="667"/>
      <c r="I526" s="667"/>
      <c r="J526" s="667"/>
      <c r="K526" s="667"/>
      <c r="L526" s="667"/>
      <c r="M526" s="667"/>
      <c r="N526" s="667"/>
      <c r="O526" s="667"/>
      <c r="P526" s="667"/>
      <c r="Q526" s="667"/>
      <c r="S526" s="3"/>
      <c r="T526" s="3"/>
      <c r="U526" s="3"/>
      <c r="V526" s="3"/>
      <c r="W526" s="3"/>
      <c r="X526" s="3"/>
      <c r="Y526" s="3"/>
      <c r="Z526" s="3"/>
      <c r="AA526" s="3"/>
      <c r="AB526" s="3"/>
      <c r="AC526" s="3"/>
      <c r="AD526" s="3"/>
      <c r="AE526" s="3"/>
      <c r="AF526" s="3"/>
      <c r="AG526" s="3"/>
      <c r="AH526" s="3"/>
      <c r="AI526" s="3"/>
      <c r="AJ526" s="3"/>
      <c r="AK526" s="3"/>
    </row>
    <row r="527" ht="15.75" customHeight="1">
      <c r="A527" s="3"/>
      <c r="B527" s="466"/>
      <c r="C527" s="667"/>
      <c r="D527" s="667"/>
      <c r="E527" s="668"/>
      <c r="F527" s="667"/>
      <c r="G527" s="667"/>
      <c r="H527" s="667"/>
      <c r="I527" s="667"/>
      <c r="J527" s="667"/>
      <c r="K527" s="667"/>
      <c r="L527" s="667"/>
      <c r="M527" s="667"/>
      <c r="N527" s="667"/>
      <c r="O527" s="667"/>
      <c r="P527" s="667"/>
      <c r="Q527" s="667"/>
      <c r="S527" s="3"/>
      <c r="T527" s="3"/>
      <c r="U527" s="3"/>
      <c r="V527" s="3"/>
      <c r="W527" s="3"/>
      <c r="X527" s="3"/>
      <c r="Y527" s="3"/>
      <c r="Z527" s="3"/>
      <c r="AA527" s="3"/>
      <c r="AB527" s="3"/>
      <c r="AC527" s="3"/>
      <c r="AD527" s="3"/>
      <c r="AE527" s="3"/>
      <c r="AF527" s="3"/>
      <c r="AG527" s="3"/>
      <c r="AH527" s="3"/>
      <c r="AI527" s="3"/>
      <c r="AJ527" s="3"/>
      <c r="AK527" s="3"/>
    </row>
    <row r="528" ht="15.75" customHeight="1">
      <c r="A528" s="3"/>
      <c r="B528" s="466"/>
      <c r="C528" s="667"/>
      <c r="D528" s="667"/>
      <c r="E528" s="668"/>
      <c r="F528" s="667"/>
      <c r="G528" s="667"/>
      <c r="H528" s="667"/>
      <c r="I528" s="667"/>
      <c r="J528" s="667"/>
      <c r="K528" s="667"/>
      <c r="L528" s="667"/>
      <c r="M528" s="667"/>
      <c r="N528" s="667"/>
      <c r="O528" s="667"/>
      <c r="P528" s="667"/>
      <c r="Q528" s="667"/>
      <c r="S528" s="3"/>
      <c r="T528" s="3"/>
      <c r="U528" s="3"/>
      <c r="V528" s="3"/>
      <c r="W528" s="3"/>
      <c r="X528" s="3"/>
      <c r="Y528" s="3"/>
      <c r="Z528" s="3"/>
      <c r="AA528" s="3"/>
      <c r="AB528" s="3"/>
      <c r="AC528" s="3"/>
      <c r="AD528" s="3"/>
      <c r="AE528" s="3"/>
      <c r="AF528" s="3"/>
      <c r="AG528" s="3"/>
      <c r="AH528" s="3"/>
      <c r="AI528" s="3"/>
      <c r="AJ528" s="3"/>
      <c r="AK528" s="3"/>
    </row>
    <row r="529" ht="15.75" customHeight="1">
      <c r="A529" s="3"/>
      <c r="B529" s="466"/>
      <c r="C529" s="667"/>
      <c r="D529" s="667"/>
      <c r="E529" s="668"/>
      <c r="F529" s="667"/>
      <c r="G529" s="667"/>
      <c r="H529" s="667"/>
      <c r="I529" s="667"/>
      <c r="J529" s="667"/>
      <c r="K529" s="667"/>
      <c r="L529" s="667"/>
      <c r="M529" s="667"/>
      <c r="N529" s="667"/>
      <c r="O529" s="667"/>
      <c r="P529" s="667"/>
      <c r="Q529" s="667"/>
      <c r="S529" s="3"/>
      <c r="T529" s="3"/>
      <c r="U529" s="3"/>
      <c r="V529" s="3"/>
      <c r="W529" s="3"/>
      <c r="X529" s="3"/>
      <c r="Y529" s="3"/>
      <c r="Z529" s="3"/>
      <c r="AA529" s="3"/>
      <c r="AB529" s="3"/>
      <c r="AC529" s="3"/>
      <c r="AD529" s="3"/>
      <c r="AE529" s="3"/>
      <c r="AF529" s="3"/>
      <c r="AG529" s="3"/>
      <c r="AH529" s="3"/>
      <c r="AI529" s="3"/>
      <c r="AJ529" s="3"/>
      <c r="AK529" s="3"/>
    </row>
    <row r="530" ht="15.75" customHeight="1">
      <c r="A530" s="3"/>
      <c r="B530" s="466"/>
      <c r="C530" s="667"/>
      <c r="D530" s="667"/>
      <c r="E530" s="668"/>
      <c r="F530" s="667"/>
      <c r="G530" s="667"/>
      <c r="H530" s="667"/>
      <c r="I530" s="667"/>
      <c r="J530" s="667"/>
      <c r="K530" s="667"/>
      <c r="L530" s="667"/>
      <c r="M530" s="667"/>
      <c r="N530" s="667"/>
      <c r="O530" s="667"/>
      <c r="P530" s="667"/>
      <c r="Q530" s="667"/>
      <c r="S530" s="3"/>
      <c r="T530" s="3"/>
      <c r="U530" s="3"/>
      <c r="V530" s="3"/>
      <c r="W530" s="3"/>
      <c r="X530" s="3"/>
      <c r="Y530" s="3"/>
      <c r="Z530" s="3"/>
      <c r="AA530" s="3"/>
      <c r="AB530" s="3"/>
      <c r="AC530" s="3"/>
      <c r="AD530" s="3"/>
      <c r="AE530" s="3"/>
      <c r="AF530" s="3"/>
      <c r="AG530" s="3"/>
      <c r="AH530" s="3"/>
      <c r="AI530" s="3"/>
      <c r="AJ530" s="3"/>
      <c r="AK530" s="3"/>
    </row>
    <row r="531" ht="15.75" customHeight="1">
      <c r="A531" s="3"/>
      <c r="B531" s="466"/>
      <c r="C531" s="667"/>
      <c r="D531" s="667"/>
      <c r="E531" s="668"/>
      <c r="F531" s="667"/>
      <c r="G531" s="667"/>
      <c r="H531" s="667"/>
      <c r="I531" s="667"/>
      <c r="J531" s="667"/>
      <c r="K531" s="667"/>
      <c r="L531" s="667"/>
      <c r="M531" s="667"/>
      <c r="N531" s="667"/>
      <c r="O531" s="667"/>
      <c r="P531" s="667"/>
      <c r="Q531" s="667"/>
      <c r="S531" s="3"/>
      <c r="T531" s="3"/>
      <c r="U531" s="3"/>
      <c r="V531" s="3"/>
      <c r="W531" s="3"/>
      <c r="X531" s="3"/>
      <c r="Y531" s="3"/>
      <c r="Z531" s="3"/>
      <c r="AA531" s="3"/>
      <c r="AB531" s="3"/>
      <c r="AC531" s="3"/>
      <c r="AD531" s="3"/>
      <c r="AE531" s="3"/>
      <c r="AF531" s="3"/>
      <c r="AG531" s="3"/>
      <c r="AH531" s="3"/>
      <c r="AI531" s="3"/>
      <c r="AJ531" s="3"/>
      <c r="AK531" s="3"/>
    </row>
    <row r="532" ht="15.75" customHeight="1">
      <c r="A532" s="3"/>
      <c r="B532" s="466"/>
      <c r="C532" s="667"/>
      <c r="D532" s="667"/>
      <c r="E532" s="668"/>
      <c r="F532" s="667"/>
      <c r="G532" s="667"/>
      <c r="H532" s="667"/>
      <c r="I532" s="667"/>
      <c r="J532" s="667"/>
      <c r="K532" s="667"/>
      <c r="L532" s="667"/>
      <c r="M532" s="667"/>
      <c r="N532" s="667"/>
      <c r="O532" s="667"/>
      <c r="P532" s="667"/>
      <c r="Q532" s="667"/>
      <c r="S532" s="3"/>
      <c r="T532" s="3"/>
      <c r="U532" s="3"/>
      <c r="V532" s="3"/>
      <c r="W532" s="3"/>
      <c r="X532" s="3"/>
      <c r="Y532" s="3"/>
      <c r="Z532" s="3"/>
      <c r="AA532" s="3"/>
      <c r="AB532" s="3"/>
      <c r="AC532" s="3"/>
      <c r="AD532" s="3"/>
      <c r="AE532" s="3"/>
      <c r="AF532" s="3"/>
      <c r="AG532" s="3"/>
      <c r="AH532" s="3"/>
      <c r="AI532" s="3"/>
      <c r="AJ532" s="3"/>
      <c r="AK532" s="3"/>
    </row>
    <row r="533" ht="15.75" customHeight="1">
      <c r="A533" s="3"/>
      <c r="B533" s="466"/>
      <c r="C533" s="667"/>
      <c r="D533" s="667"/>
      <c r="E533" s="668"/>
      <c r="F533" s="667"/>
      <c r="G533" s="667"/>
      <c r="H533" s="667"/>
      <c r="I533" s="667"/>
      <c r="J533" s="667"/>
      <c r="K533" s="667"/>
      <c r="L533" s="667"/>
      <c r="M533" s="667"/>
      <c r="N533" s="667"/>
      <c r="O533" s="667"/>
      <c r="P533" s="667"/>
      <c r="Q533" s="667"/>
      <c r="S533" s="3"/>
      <c r="T533" s="3"/>
      <c r="U533" s="3"/>
      <c r="V533" s="3"/>
      <c r="W533" s="3"/>
      <c r="X533" s="3"/>
      <c r="Y533" s="3"/>
      <c r="Z533" s="3"/>
      <c r="AA533" s="3"/>
      <c r="AB533" s="3"/>
      <c r="AC533" s="3"/>
      <c r="AD533" s="3"/>
      <c r="AE533" s="3"/>
      <c r="AF533" s="3"/>
      <c r="AG533" s="3"/>
      <c r="AH533" s="3"/>
      <c r="AI533" s="3"/>
      <c r="AJ533" s="3"/>
      <c r="AK533" s="3"/>
    </row>
    <row r="534" ht="15.75" customHeight="1">
      <c r="A534" s="3"/>
      <c r="B534" s="466"/>
      <c r="C534" s="667"/>
      <c r="D534" s="667"/>
      <c r="E534" s="668"/>
      <c r="F534" s="667"/>
      <c r="G534" s="667"/>
      <c r="H534" s="667"/>
      <c r="I534" s="667"/>
      <c r="J534" s="667"/>
      <c r="K534" s="667"/>
      <c r="L534" s="667"/>
      <c r="M534" s="667"/>
      <c r="N534" s="667"/>
      <c r="O534" s="667"/>
      <c r="P534" s="667"/>
      <c r="Q534" s="667"/>
      <c r="S534" s="3"/>
      <c r="T534" s="3"/>
      <c r="U534" s="3"/>
      <c r="V534" s="3"/>
      <c r="W534" s="3"/>
      <c r="X534" s="3"/>
      <c r="Y534" s="3"/>
      <c r="Z534" s="3"/>
      <c r="AA534" s="3"/>
      <c r="AB534" s="3"/>
      <c r="AC534" s="3"/>
      <c r="AD534" s="3"/>
      <c r="AE534" s="3"/>
      <c r="AF534" s="3"/>
      <c r="AG534" s="3"/>
      <c r="AH534" s="3"/>
      <c r="AI534" s="3"/>
      <c r="AJ534" s="3"/>
      <c r="AK534" s="3"/>
    </row>
    <row r="535" ht="15.75" customHeight="1">
      <c r="A535" s="3"/>
      <c r="B535" s="466"/>
      <c r="C535" s="667"/>
      <c r="D535" s="667"/>
      <c r="E535" s="668"/>
      <c r="F535" s="667"/>
      <c r="G535" s="667"/>
      <c r="H535" s="667"/>
      <c r="I535" s="667"/>
      <c r="J535" s="667"/>
      <c r="K535" s="667"/>
      <c r="L535" s="667"/>
      <c r="M535" s="667"/>
      <c r="N535" s="667"/>
      <c r="O535" s="667"/>
      <c r="P535" s="667"/>
      <c r="Q535" s="667"/>
      <c r="S535" s="3"/>
      <c r="T535" s="3"/>
      <c r="U535" s="3"/>
      <c r="V535" s="3"/>
      <c r="W535" s="3"/>
      <c r="X535" s="3"/>
      <c r="Y535" s="3"/>
      <c r="Z535" s="3"/>
      <c r="AA535" s="3"/>
      <c r="AB535" s="3"/>
      <c r="AC535" s="3"/>
      <c r="AD535" s="3"/>
      <c r="AE535" s="3"/>
      <c r="AF535" s="3"/>
      <c r="AG535" s="3"/>
      <c r="AH535" s="3"/>
      <c r="AI535" s="3"/>
      <c r="AJ535" s="3"/>
      <c r="AK535" s="3"/>
    </row>
    <row r="536" ht="15.75" customHeight="1">
      <c r="A536" s="3"/>
      <c r="B536" s="466"/>
      <c r="C536" s="667"/>
      <c r="D536" s="667"/>
      <c r="E536" s="668"/>
      <c r="F536" s="667"/>
      <c r="G536" s="667"/>
      <c r="H536" s="667"/>
      <c r="I536" s="667"/>
      <c r="J536" s="667"/>
      <c r="K536" s="667"/>
      <c r="L536" s="667"/>
      <c r="M536" s="667"/>
      <c r="N536" s="667"/>
      <c r="O536" s="667"/>
      <c r="P536" s="667"/>
      <c r="Q536" s="667"/>
      <c r="S536" s="3"/>
      <c r="T536" s="3"/>
      <c r="U536" s="3"/>
      <c r="V536" s="3"/>
      <c r="W536" s="3"/>
      <c r="X536" s="3"/>
      <c r="Y536" s="3"/>
      <c r="Z536" s="3"/>
      <c r="AA536" s="3"/>
      <c r="AB536" s="3"/>
      <c r="AC536" s="3"/>
      <c r="AD536" s="3"/>
      <c r="AE536" s="3"/>
      <c r="AF536" s="3"/>
      <c r="AG536" s="3"/>
      <c r="AH536" s="3"/>
      <c r="AI536" s="3"/>
      <c r="AJ536" s="3"/>
      <c r="AK536" s="3"/>
    </row>
    <row r="537" ht="15.75" customHeight="1">
      <c r="A537" s="3"/>
      <c r="B537" s="466"/>
      <c r="C537" s="667"/>
      <c r="D537" s="667"/>
      <c r="E537" s="668"/>
      <c r="F537" s="667"/>
      <c r="G537" s="667"/>
      <c r="H537" s="667"/>
      <c r="I537" s="667"/>
      <c r="J537" s="667"/>
      <c r="K537" s="667"/>
      <c r="L537" s="667"/>
      <c r="M537" s="667"/>
      <c r="N537" s="667"/>
      <c r="O537" s="667"/>
      <c r="P537" s="667"/>
      <c r="Q537" s="667"/>
      <c r="S537" s="3"/>
      <c r="T537" s="3"/>
      <c r="U537" s="3"/>
      <c r="V537" s="3"/>
      <c r="W537" s="3"/>
      <c r="X537" s="3"/>
      <c r="Y537" s="3"/>
      <c r="Z537" s="3"/>
      <c r="AA537" s="3"/>
      <c r="AB537" s="3"/>
      <c r="AC537" s="3"/>
      <c r="AD537" s="3"/>
      <c r="AE537" s="3"/>
      <c r="AF537" s="3"/>
      <c r="AG537" s="3"/>
      <c r="AH537" s="3"/>
      <c r="AI537" s="3"/>
      <c r="AJ537" s="3"/>
      <c r="AK537" s="3"/>
    </row>
    <row r="538" ht="15.75" customHeight="1">
      <c r="A538" s="3"/>
      <c r="B538" s="466"/>
      <c r="C538" s="667"/>
      <c r="D538" s="667"/>
      <c r="E538" s="668"/>
      <c r="F538" s="667"/>
      <c r="G538" s="667"/>
      <c r="H538" s="667"/>
      <c r="I538" s="667"/>
      <c r="J538" s="667"/>
      <c r="K538" s="667"/>
      <c r="L538" s="667"/>
      <c r="M538" s="667"/>
      <c r="N538" s="667"/>
      <c r="O538" s="667"/>
      <c r="P538" s="667"/>
      <c r="Q538" s="667"/>
      <c r="S538" s="3"/>
      <c r="T538" s="3"/>
      <c r="U538" s="3"/>
      <c r="V538" s="3"/>
      <c r="W538" s="3"/>
      <c r="X538" s="3"/>
      <c r="Y538" s="3"/>
      <c r="Z538" s="3"/>
      <c r="AA538" s="3"/>
      <c r="AB538" s="3"/>
      <c r="AC538" s="3"/>
      <c r="AD538" s="3"/>
      <c r="AE538" s="3"/>
      <c r="AF538" s="3"/>
      <c r="AG538" s="3"/>
      <c r="AH538" s="3"/>
      <c r="AI538" s="3"/>
      <c r="AJ538" s="3"/>
      <c r="AK538" s="3"/>
    </row>
    <row r="539" ht="15.75" customHeight="1">
      <c r="A539" s="3"/>
      <c r="B539" s="466"/>
      <c r="C539" s="667"/>
      <c r="D539" s="667"/>
      <c r="E539" s="668"/>
      <c r="F539" s="667"/>
      <c r="G539" s="667"/>
      <c r="H539" s="667"/>
      <c r="I539" s="667"/>
      <c r="J539" s="667"/>
      <c r="K539" s="667"/>
      <c r="L539" s="667"/>
      <c r="M539" s="667"/>
      <c r="N539" s="667"/>
      <c r="O539" s="667"/>
      <c r="P539" s="667"/>
      <c r="Q539" s="667"/>
      <c r="S539" s="3"/>
      <c r="T539" s="3"/>
      <c r="U539" s="3"/>
      <c r="V539" s="3"/>
      <c r="W539" s="3"/>
      <c r="X539" s="3"/>
      <c r="Y539" s="3"/>
      <c r="Z539" s="3"/>
      <c r="AA539" s="3"/>
      <c r="AB539" s="3"/>
      <c r="AC539" s="3"/>
      <c r="AD539" s="3"/>
      <c r="AE539" s="3"/>
      <c r="AF539" s="3"/>
      <c r="AG539" s="3"/>
      <c r="AH539" s="3"/>
      <c r="AI539" s="3"/>
      <c r="AJ539" s="3"/>
      <c r="AK539" s="3"/>
    </row>
    <row r="540" ht="15.75" customHeight="1">
      <c r="A540" s="3"/>
      <c r="B540" s="466"/>
      <c r="C540" s="667"/>
      <c r="D540" s="667"/>
      <c r="E540" s="668"/>
      <c r="F540" s="667"/>
      <c r="G540" s="667"/>
      <c r="H540" s="667"/>
      <c r="I540" s="667"/>
      <c r="J540" s="667"/>
      <c r="K540" s="667"/>
      <c r="L540" s="667"/>
      <c r="M540" s="667"/>
      <c r="N540" s="667"/>
      <c r="O540" s="667"/>
      <c r="P540" s="667"/>
      <c r="Q540" s="667"/>
      <c r="S540" s="3"/>
      <c r="T540" s="3"/>
      <c r="U540" s="3"/>
      <c r="V540" s="3"/>
      <c r="W540" s="3"/>
      <c r="X540" s="3"/>
      <c r="Y540" s="3"/>
      <c r="Z540" s="3"/>
      <c r="AA540" s="3"/>
      <c r="AB540" s="3"/>
      <c r="AC540" s="3"/>
      <c r="AD540" s="3"/>
      <c r="AE540" s="3"/>
      <c r="AF540" s="3"/>
      <c r="AG540" s="3"/>
      <c r="AH540" s="3"/>
      <c r="AI540" s="3"/>
      <c r="AJ540" s="3"/>
      <c r="AK540" s="3"/>
    </row>
    <row r="541" ht="15.75" customHeight="1">
      <c r="A541" s="3"/>
      <c r="B541" s="466"/>
      <c r="C541" s="667"/>
      <c r="D541" s="667"/>
      <c r="E541" s="668"/>
      <c r="F541" s="667"/>
      <c r="G541" s="667"/>
      <c r="H541" s="667"/>
      <c r="I541" s="667"/>
      <c r="J541" s="667"/>
      <c r="K541" s="667"/>
      <c r="L541" s="667"/>
      <c r="M541" s="667"/>
      <c r="N541" s="667"/>
      <c r="O541" s="667"/>
      <c r="P541" s="667"/>
      <c r="Q541" s="667"/>
      <c r="S541" s="3"/>
      <c r="T541" s="3"/>
      <c r="U541" s="3"/>
      <c r="V541" s="3"/>
      <c r="W541" s="3"/>
      <c r="X541" s="3"/>
      <c r="Y541" s="3"/>
      <c r="Z541" s="3"/>
      <c r="AA541" s="3"/>
      <c r="AB541" s="3"/>
      <c r="AC541" s="3"/>
      <c r="AD541" s="3"/>
      <c r="AE541" s="3"/>
      <c r="AF541" s="3"/>
      <c r="AG541" s="3"/>
      <c r="AH541" s="3"/>
      <c r="AI541" s="3"/>
      <c r="AJ541" s="3"/>
      <c r="AK541" s="3"/>
    </row>
    <row r="542" ht="15.75" customHeight="1">
      <c r="A542" s="3"/>
      <c r="B542" s="466"/>
      <c r="C542" s="667"/>
      <c r="D542" s="667"/>
      <c r="E542" s="668"/>
      <c r="F542" s="667"/>
      <c r="G542" s="667"/>
      <c r="H542" s="667"/>
      <c r="I542" s="667"/>
      <c r="J542" s="667"/>
      <c r="K542" s="667"/>
      <c r="L542" s="667"/>
      <c r="M542" s="667"/>
      <c r="N542" s="667"/>
      <c r="O542" s="667"/>
      <c r="P542" s="667"/>
      <c r="Q542" s="667"/>
      <c r="S542" s="3"/>
      <c r="T542" s="3"/>
      <c r="U542" s="3"/>
      <c r="V542" s="3"/>
      <c r="W542" s="3"/>
      <c r="X542" s="3"/>
      <c r="Y542" s="3"/>
      <c r="Z542" s="3"/>
      <c r="AA542" s="3"/>
      <c r="AB542" s="3"/>
      <c r="AC542" s="3"/>
      <c r="AD542" s="3"/>
      <c r="AE542" s="3"/>
      <c r="AF542" s="3"/>
      <c r="AG542" s="3"/>
      <c r="AH542" s="3"/>
      <c r="AI542" s="3"/>
      <c r="AJ542" s="3"/>
      <c r="AK542" s="3"/>
    </row>
    <row r="543" ht="15.75" customHeight="1">
      <c r="A543" s="3"/>
      <c r="B543" s="466"/>
      <c r="C543" s="667"/>
      <c r="D543" s="667"/>
      <c r="E543" s="668"/>
      <c r="F543" s="667"/>
      <c r="G543" s="667"/>
      <c r="H543" s="667"/>
      <c r="I543" s="667"/>
      <c r="J543" s="667"/>
      <c r="K543" s="667"/>
      <c r="L543" s="667"/>
      <c r="M543" s="667"/>
      <c r="N543" s="667"/>
      <c r="O543" s="667"/>
      <c r="P543" s="667"/>
      <c r="Q543" s="667"/>
      <c r="S543" s="3"/>
      <c r="T543" s="3"/>
      <c r="U543" s="3"/>
      <c r="V543" s="3"/>
      <c r="W543" s="3"/>
      <c r="X543" s="3"/>
      <c r="Y543" s="3"/>
      <c r="Z543" s="3"/>
      <c r="AA543" s="3"/>
      <c r="AB543" s="3"/>
      <c r="AC543" s="3"/>
      <c r="AD543" s="3"/>
      <c r="AE543" s="3"/>
      <c r="AF543" s="3"/>
      <c r="AG543" s="3"/>
      <c r="AH543" s="3"/>
      <c r="AI543" s="3"/>
      <c r="AJ543" s="3"/>
      <c r="AK543" s="3"/>
    </row>
    <row r="544" ht="15.75" customHeight="1">
      <c r="A544" s="3"/>
      <c r="B544" s="466"/>
      <c r="C544" s="667"/>
      <c r="D544" s="667"/>
      <c r="E544" s="668"/>
      <c r="F544" s="667"/>
      <c r="G544" s="667"/>
      <c r="H544" s="667"/>
      <c r="I544" s="667"/>
      <c r="J544" s="667"/>
      <c r="K544" s="667"/>
      <c r="L544" s="667"/>
      <c r="M544" s="667"/>
      <c r="N544" s="667"/>
      <c r="O544" s="667"/>
      <c r="P544" s="667"/>
      <c r="Q544" s="667"/>
      <c r="S544" s="3"/>
      <c r="T544" s="3"/>
      <c r="U544" s="3"/>
      <c r="V544" s="3"/>
      <c r="W544" s="3"/>
      <c r="X544" s="3"/>
      <c r="Y544" s="3"/>
      <c r="Z544" s="3"/>
      <c r="AA544" s="3"/>
      <c r="AB544" s="3"/>
      <c r="AC544" s="3"/>
      <c r="AD544" s="3"/>
      <c r="AE544" s="3"/>
      <c r="AF544" s="3"/>
      <c r="AG544" s="3"/>
      <c r="AH544" s="3"/>
      <c r="AI544" s="3"/>
      <c r="AJ544" s="3"/>
      <c r="AK544" s="3"/>
    </row>
    <row r="545" ht="15.75" customHeight="1">
      <c r="A545" s="3"/>
      <c r="B545" s="466"/>
      <c r="C545" s="667"/>
      <c r="D545" s="667"/>
      <c r="E545" s="668"/>
      <c r="F545" s="667"/>
      <c r="G545" s="667"/>
      <c r="H545" s="667"/>
      <c r="I545" s="667"/>
      <c r="J545" s="667"/>
      <c r="K545" s="667"/>
      <c r="L545" s="667"/>
      <c r="M545" s="667"/>
      <c r="N545" s="667"/>
      <c r="O545" s="667"/>
      <c r="P545" s="667"/>
      <c r="Q545" s="667"/>
      <c r="S545" s="3"/>
      <c r="T545" s="3"/>
      <c r="U545" s="3"/>
      <c r="V545" s="3"/>
      <c r="W545" s="3"/>
      <c r="X545" s="3"/>
      <c r="Y545" s="3"/>
      <c r="Z545" s="3"/>
      <c r="AA545" s="3"/>
      <c r="AB545" s="3"/>
      <c r="AC545" s="3"/>
      <c r="AD545" s="3"/>
      <c r="AE545" s="3"/>
      <c r="AF545" s="3"/>
      <c r="AG545" s="3"/>
      <c r="AH545" s="3"/>
      <c r="AI545" s="3"/>
      <c r="AJ545" s="3"/>
      <c r="AK545" s="3"/>
    </row>
    <row r="546" ht="15.75" customHeight="1">
      <c r="A546" s="3"/>
      <c r="B546" s="466"/>
      <c r="C546" s="667"/>
      <c r="D546" s="667"/>
      <c r="E546" s="668"/>
      <c r="F546" s="667"/>
      <c r="G546" s="667"/>
      <c r="H546" s="667"/>
      <c r="I546" s="667"/>
      <c r="J546" s="667"/>
      <c r="K546" s="667"/>
      <c r="L546" s="667"/>
      <c r="M546" s="667"/>
      <c r="N546" s="667"/>
      <c r="O546" s="667"/>
      <c r="P546" s="667"/>
      <c r="Q546" s="667"/>
      <c r="S546" s="3"/>
      <c r="T546" s="3"/>
      <c r="U546" s="3"/>
      <c r="V546" s="3"/>
      <c r="W546" s="3"/>
      <c r="X546" s="3"/>
      <c r="Y546" s="3"/>
      <c r="Z546" s="3"/>
      <c r="AA546" s="3"/>
      <c r="AB546" s="3"/>
      <c r="AC546" s="3"/>
      <c r="AD546" s="3"/>
      <c r="AE546" s="3"/>
      <c r="AF546" s="3"/>
      <c r="AG546" s="3"/>
      <c r="AH546" s="3"/>
      <c r="AI546" s="3"/>
      <c r="AJ546" s="3"/>
      <c r="AK546" s="3"/>
    </row>
    <row r="547" ht="15.75" customHeight="1">
      <c r="A547" s="3"/>
      <c r="B547" s="466"/>
      <c r="C547" s="667"/>
      <c r="D547" s="667"/>
      <c r="E547" s="668"/>
      <c r="F547" s="667"/>
      <c r="G547" s="667"/>
      <c r="H547" s="667"/>
      <c r="I547" s="667"/>
      <c r="J547" s="667"/>
      <c r="K547" s="667"/>
      <c r="L547" s="667"/>
      <c r="M547" s="667"/>
      <c r="N547" s="667"/>
      <c r="O547" s="667"/>
      <c r="P547" s="667"/>
      <c r="Q547" s="667"/>
      <c r="S547" s="3"/>
      <c r="T547" s="3"/>
      <c r="U547" s="3"/>
      <c r="V547" s="3"/>
      <c r="W547" s="3"/>
      <c r="X547" s="3"/>
      <c r="Y547" s="3"/>
      <c r="Z547" s="3"/>
      <c r="AA547" s="3"/>
      <c r="AB547" s="3"/>
      <c r="AC547" s="3"/>
      <c r="AD547" s="3"/>
      <c r="AE547" s="3"/>
      <c r="AF547" s="3"/>
      <c r="AG547" s="3"/>
      <c r="AH547" s="3"/>
      <c r="AI547" s="3"/>
      <c r="AJ547" s="3"/>
      <c r="AK547" s="3"/>
    </row>
    <row r="548" ht="15.75" customHeight="1">
      <c r="A548" s="3"/>
      <c r="B548" s="466"/>
      <c r="C548" s="667"/>
      <c r="D548" s="667"/>
      <c r="E548" s="668"/>
      <c r="F548" s="667"/>
      <c r="G548" s="667"/>
      <c r="H548" s="667"/>
      <c r="I548" s="667"/>
      <c r="J548" s="667"/>
      <c r="K548" s="667"/>
      <c r="L548" s="667"/>
      <c r="M548" s="667"/>
      <c r="N548" s="667"/>
      <c r="O548" s="667"/>
      <c r="P548" s="667"/>
      <c r="Q548" s="667"/>
      <c r="S548" s="3"/>
      <c r="T548" s="3"/>
      <c r="U548" s="3"/>
      <c r="V548" s="3"/>
      <c r="W548" s="3"/>
      <c r="X548" s="3"/>
      <c r="Y548" s="3"/>
      <c r="Z548" s="3"/>
      <c r="AA548" s="3"/>
      <c r="AB548" s="3"/>
      <c r="AC548" s="3"/>
      <c r="AD548" s="3"/>
      <c r="AE548" s="3"/>
      <c r="AF548" s="3"/>
      <c r="AG548" s="3"/>
      <c r="AH548" s="3"/>
      <c r="AI548" s="3"/>
      <c r="AJ548" s="3"/>
      <c r="AK548" s="3"/>
    </row>
    <row r="549" ht="15.75" customHeight="1">
      <c r="A549" s="3"/>
      <c r="B549" s="466"/>
      <c r="C549" s="667"/>
      <c r="D549" s="667"/>
      <c r="E549" s="668"/>
      <c r="F549" s="667"/>
      <c r="G549" s="667"/>
      <c r="H549" s="667"/>
      <c r="I549" s="667"/>
      <c r="J549" s="667"/>
      <c r="K549" s="667"/>
      <c r="L549" s="667"/>
      <c r="M549" s="667"/>
      <c r="N549" s="667"/>
      <c r="O549" s="667"/>
      <c r="P549" s="667"/>
      <c r="Q549" s="667"/>
      <c r="S549" s="3"/>
      <c r="T549" s="3"/>
      <c r="U549" s="3"/>
      <c r="V549" s="3"/>
      <c r="W549" s="3"/>
      <c r="X549" s="3"/>
      <c r="Y549" s="3"/>
      <c r="Z549" s="3"/>
      <c r="AA549" s="3"/>
      <c r="AB549" s="3"/>
      <c r="AC549" s="3"/>
      <c r="AD549" s="3"/>
      <c r="AE549" s="3"/>
      <c r="AF549" s="3"/>
      <c r="AG549" s="3"/>
      <c r="AH549" s="3"/>
      <c r="AI549" s="3"/>
      <c r="AJ549" s="3"/>
      <c r="AK549" s="3"/>
    </row>
    <row r="550" ht="15.75" customHeight="1">
      <c r="A550" s="3"/>
      <c r="B550" s="466"/>
      <c r="C550" s="667"/>
      <c r="D550" s="667"/>
      <c r="E550" s="668"/>
      <c r="F550" s="667"/>
      <c r="G550" s="667"/>
      <c r="H550" s="667"/>
      <c r="I550" s="667"/>
      <c r="J550" s="667"/>
      <c r="K550" s="667"/>
      <c r="L550" s="667"/>
      <c r="M550" s="667"/>
      <c r="N550" s="667"/>
      <c r="O550" s="667"/>
      <c r="P550" s="667"/>
      <c r="Q550" s="667"/>
      <c r="S550" s="3"/>
      <c r="T550" s="3"/>
      <c r="U550" s="3"/>
      <c r="V550" s="3"/>
      <c r="W550" s="3"/>
      <c r="X550" s="3"/>
      <c r="Y550" s="3"/>
      <c r="Z550" s="3"/>
      <c r="AA550" s="3"/>
      <c r="AB550" s="3"/>
      <c r="AC550" s="3"/>
      <c r="AD550" s="3"/>
      <c r="AE550" s="3"/>
      <c r="AF550" s="3"/>
      <c r="AG550" s="3"/>
      <c r="AH550" s="3"/>
      <c r="AI550" s="3"/>
      <c r="AJ550" s="3"/>
      <c r="AK550" s="3"/>
    </row>
    <row r="551" ht="15.75" customHeight="1">
      <c r="A551" s="3"/>
      <c r="B551" s="466"/>
      <c r="C551" s="667"/>
      <c r="D551" s="667"/>
      <c r="E551" s="668"/>
      <c r="F551" s="667"/>
      <c r="G551" s="667"/>
      <c r="H551" s="667"/>
      <c r="I551" s="667"/>
      <c r="J551" s="667"/>
      <c r="K551" s="667"/>
      <c r="L551" s="667"/>
      <c r="M551" s="667"/>
      <c r="N551" s="667"/>
      <c r="O551" s="667"/>
      <c r="P551" s="667"/>
      <c r="Q551" s="667"/>
      <c r="S551" s="3"/>
      <c r="T551" s="3"/>
      <c r="U551" s="3"/>
      <c r="V551" s="3"/>
      <c r="W551" s="3"/>
      <c r="X551" s="3"/>
      <c r="Y551" s="3"/>
      <c r="Z551" s="3"/>
      <c r="AA551" s="3"/>
      <c r="AB551" s="3"/>
      <c r="AC551" s="3"/>
      <c r="AD551" s="3"/>
      <c r="AE551" s="3"/>
      <c r="AF551" s="3"/>
      <c r="AG551" s="3"/>
      <c r="AH551" s="3"/>
      <c r="AI551" s="3"/>
      <c r="AJ551" s="3"/>
      <c r="AK551" s="3"/>
    </row>
    <row r="552" ht="15.75" customHeight="1">
      <c r="A552" s="3"/>
      <c r="B552" s="466"/>
      <c r="C552" s="667"/>
      <c r="D552" s="667"/>
      <c r="E552" s="668"/>
      <c r="F552" s="667"/>
      <c r="G552" s="667"/>
      <c r="H552" s="667"/>
      <c r="I552" s="667"/>
      <c r="J552" s="667"/>
      <c r="K552" s="667"/>
      <c r="L552" s="667"/>
      <c r="M552" s="667"/>
      <c r="N552" s="667"/>
      <c r="O552" s="667"/>
      <c r="P552" s="667"/>
      <c r="Q552" s="667"/>
      <c r="S552" s="3"/>
      <c r="T552" s="3"/>
      <c r="U552" s="3"/>
      <c r="V552" s="3"/>
      <c r="W552" s="3"/>
      <c r="X552" s="3"/>
      <c r="Y552" s="3"/>
      <c r="Z552" s="3"/>
      <c r="AA552" s="3"/>
      <c r="AB552" s="3"/>
      <c r="AC552" s="3"/>
      <c r="AD552" s="3"/>
      <c r="AE552" s="3"/>
      <c r="AF552" s="3"/>
      <c r="AG552" s="3"/>
      <c r="AH552" s="3"/>
      <c r="AI552" s="3"/>
      <c r="AJ552" s="3"/>
      <c r="AK552" s="3"/>
    </row>
    <row r="553" ht="15.75" customHeight="1">
      <c r="A553" s="3"/>
      <c r="B553" s="466"/>
      <c r="C553" s="667"/>
      <c r="D553" s="667"/>
      <c r="E553" s="668"/>
      <c r="F553" s="667"/>
      <c r="G553" s="667"/>
      <c r="H553" s="667"/>
      <c r="I553" s="667"/>
      <c r="J553" s="667"/>
      <c r="K553" s="667"/>
      <c r="L553" s="667"/>
      <c r="M553" s="667"/>
      <c r="N553" s="667"/>
      <c r="O553" s="667"/>
      <c r="P553" s="667"/>
      <c r="Q553" s="667"/>
      <c r="S553" s="3"/>
      <c r="T553" s="3"/>
      <c r="U553" s="3"/>
      <c r="V553" s="3"/>
      <c r="W553" s="3"/>
      <c r="X553" s="3"/>
      <c r="Y553" s="3"/>
      <c r="Z553" s="3"/>
      <c r="AA553" s="3"/>
      <c r="AB553" s="3"/>
      <c r="AC553" s="3"/>
      <c r="AD553" s="3"/>
      <c r="AE553" s="3"/>
      <c r="AF553" s="3"/>
      <c r="AG553" s="3"/>
      <c r="AH553" s="3"/>
      <c r="AI553" s="3"/>
      <c r="AJ553" s="3"/>
      <c r="AK553" s="3"/>
    </row>
    <row r="554" ht="15.75" customHeight="1">
      <c r="A554" s="3"/>
      <c r="B554" s="466"/>
      <c r="C554" s="667"/>
      <c r="D554" s="667"/>
      <c r="E554" s="668"/>
      <c r="F554" s="667"/>
      <c r="G554" s="667"/>
      <c r="H554" s="667"/>
      <c r="I554" s="667"/>
      <c r="J554" s="667"/>
      <c r="K554" s="667"/>
      <c r="L554" s="667"/>
      <c r="M554" s="667"/>
      <c r="N554" s="667"/>
      <c r="O554" s="667"/>
      <c r="P554" s="667"/>
      <c r="Q554" s="667"/>
      <c r="S554" s="3"/>
      <c r="T554" s="3"/>
      <c r="U554" s="3"/>
      <c r="V554" s="3"/>
      <c r="W554" s="3"/>
      <c r="X554" s="3"/>
      <c r="Y554" s="3"/>
      <c r="Z554" s="3"/>
      <c r="AA554" s="3"/>
      <c r="AB554" s="3"/>
      <c r="AC554" s="3"/>
      <c r="AD554" s="3"/>
      <c r="AE554" s="3"/>
      <c r="AF554" s="3"/>
      <c r="AG554" s="3"/>
      <c r="AH554" s="3"/>
      <c r="AI554" s="3"/>
      <c r="AJ554" s="3"/>
      <c r="AK554" s="3"/>
    </row>
    <row r="555" ht="15.75" customHeight="1">
      <c r="A555" s="3"/>
      <c r="B555" s="466"/>
      <c r="C555" s="667"/>
      <c r="D555" s="667"/>
      <c r="E555" s="668"/>
      <c r="F555" s="667"/>
      <c r="G555" s="667"/>
      <c r="H555" s="667"/>
      <c r="I555" s="667"/>
      <c r="J555" s="667"/>
      <c r="K555" s="667"/>
      <c r="L555" s="667"/>
      <c r="M555" s="667"/>
      <c r="N555" s="667"/>
      <c r="O555" s="667"/>
      <c r="P555" s="667"/>
      <c r="Q555" s="667"/>
      <c r="S555" s="3"/>
      <c r="T555" s="3"/>
      <c r="U555" s="3"/>
      <c r="V555" s="3"/>
      <c r="W555" s="3"/>
      <c r="X555" s="3"/>
      <c r="Y555" s="3"/>
      <c r="Z555" s="3"/>
      <c r="AA555" s="3"/>
      <c r="AB555" s="3"/>
      <c r="AC555" s="3"/>
      <c r="AD555" s="3"/>
      <c r="AE555" s="3"/>
      <c r="AF555" s="3"/>
      <c r="AG555" s="3"/>
      <c r="AH555" s="3"/>
      <c r="AI555" s="3"/>
      <c r="AJ555" s="3"/>
      <c r="AK555" s="3"/>
    </row>
    <row r="556" ht="15.75" customHeight="1">
      <c r="A556" s="3"/>
      <c r="B556" s="466"/>
      <c r="C556" s="667"/>
      <c r="D556" s="667"/>
      <c r="E556" s="668"/>
      <c r="F556" s="667"/>
      <c r="G556" s="667"/>
      <c r="H556" s="667"/>
      <c r="I556" s="667"/>
      <c r="J556" s="667"/>
      <c r="K556" s="667"/>
      <c r="L556" s="667"/>
      <c r="M556" s="667"/>
      <c r="N556" s="667"/>
      <c r="O556" s="667"/>
      <c r="P556" s="667"/>
      <c r="Q556" s="667"/>
      <c r="S556" s="3"/>
      <c r="T556" s="3"/>
      <c r="U556" s="3"/>
      <c r="V556" s="3"/>
      <c r="W556" s="3"/>
      <c r="X556" s="3"/>
      <c r="Y556" s="3"/>
      <c r="Z556" s="3"/>
      <c r="AA556" s="3"/>
      <c r="AB556" s="3"/>
      <c r="AC556" s="3"/>
      <c r="AD556" s="3"/>
      <c r="AE556" s="3"/>
      <c r="AF556" s="3"/>
      <c r="AG556" s="3"/>
      <c r="AH556" s="3"/>
      <c r="AI556" s="3"/>
      <c r="AJ556" s="3"/>
      <c r="AK556" s="3"/>
    </row>
    <row r="557" ht="15.75" customHeight="1">
      <c r="A557" s="3"/>
      <c r="B557" s="466"/>
      <c r="C557" s="667"/>
      <c r="D557" s="667"/>
      <c r="E557" s="668"/>
      <c r="F557" s="667"/>
      <c r="G557" s="667"/>
      <c r="H557" s="667"/>
      <c r="I557" s="667"/>
      <c r="J557" s="667"/>
      <c r="K557" s="667"/>
      <c r="L557" s="667"/>
      <c r="M557" s="667"/>
      <c r="N557" s="667"/>
      <c r="O557" s="667"/>
      <c r="P557" s="667"/>
      <c r="Q557" s="667"/>
      <c r="S557" s="3"/>
      <c r="T557" s="3"/>
      <c r="U557" s="3"/>
      <c r="V557" s="3"/>
      <c r="W557" s="3"/>
      <c r="X557" s="3"/>
      <c r="Y557" s="3"/>
      <c r="Z557" s="3"/>
      <c r="AA557" s="3"/>
      <c r="AB557" s="3"/>
      <c r="AC557" s="3"/>
      <c r="AD557" s="3"/>
      <c r="AE557" s="3"/>
      <c r="AF557" s="3"/>
      <c r="AG557" s="3"/>
      <c r="AH557" s="3"/>
      <c r="AI557" s="3"/>
      <c r="AJ557" s="3"/>
      <c r="AK557" s="3"/>
    </row>
    <row r="558" ht="15.75" customHeight="1">
      <c r="A558" s="3"/>
      <c r="B558" s="466"/>
      <c r="C558" s="667"/>
      <c r="D558" s="667"/>
      <c r="E558" s="668"/>
      <c r="F558" s="667"/>
      <c r="G558" s="667"/>
      <c r="H558" s="667"/>
      <c r="I558" s="667"/>
      <c r="J558" s="667"/>
      <c r="K558" s="667"/>
      <c r="L558" s="667"/>
      <c r="M558" s="667"/>
      <c r="N558" s="667"/>
      <c r="O558" s="667"/>
      <c r="P558" s="667"/>
      <c r="Q558" s="667"/>
      <c r="S558" s="3"/>
      <c r="T558" s="3"/>
      <c r="U558" s="3"/>
      <c r="V558" s="3"/>
      <c r="W558" s="3"/>
      <c r="X558" s="3"/>
      <c r="Y558" s="3"/>
      <c r="Z558" s="3"/>
      <c r="AA558" s="3"/>
      <c r="AB558" s="3"/>
      <c r="AC558" s="3"/>
      <c r="AD558" s="3"/>
      <c r="AE558" s="3"/>
      <c r="AF558" s="3"/>
      <c r="AG558" s="3"/>
      <c r="AH558" s="3"/>
      <c r="AI558" s="3"/>
      <c r="AJ558" s="3"/>
      <c r="AK558" s="3"/>
    </row>
    <row r="559" ht="15.75" customHeight="1">
      <c r="A559" s="3"/>
      <c r="B559" s="466"/>
      <c r="C559" s="667"/>
      <c r="D559" s="667"/>
      <c r="E559" s="668"/>
      <c r="F559" s="667"/>
      <c r="G559" s="667"/>
      <c r="H559" s="667"/>
      <c r="I559" s="667"/>
      <c r="J559" s="667"/>
      <c r="K559" s="667"/>
      <c r="L559" s="667"/>
      <c r="M559" s="667"/>
      <c r="N559" s="667"/>
      <c r="O559" s="667"/>
      <c r="P559" s="667"/>
      <c r="Q559" s="667"/>
      <c r="S559" s="3"/>
      <c r="T559" s="3"/>
      <c r="U559" s="3"/>
      <c r="V559" s="3"/>
      <c r="W559" s="3"/>
      <c r="X559" s="3"/>
      <c r="Y559" s="3"/>
      <c r="Z559" s="3"/>
      <c r="AA559" s="3"/>
      <c r="AB559" s="3"/>
      <c r="AC559" s="3"/>
      <c r="AD559" s="3"/>
      <c r="AE559" s="3"/>
      <c r="AF559" s="3"/>
      <c r="AG559" s="3"/>
      <c r="AH559" s="3"/>
      <c r="AI559" s="3"/>
      <c r="AJ559" s="3"/>
      <c r="AK559" s="3"/>
    </row>
    <row r="560" ht="15.75" customHeight="1">
      <c r="A560" s="3"/>
      <c r="B560" s="466"/>
      <c r="C560" s="667"/>
      <c r="D560" s="667"/>
      <c r="E560" s="668"/>
      <c r="F560" s="667"/>
      <c r="G560" s="667"/>
      <c r="H560" s="667"/>
      <c r="I560" s="667"/>
      <c r="J560" s="667"/>
      <c r="K560" s="667"/>
      <c r="L560" s="667"/>
      <c r="M560" s="667"/>
      <c r="N560" s="667"/>
      <c r="O560" s="667"/>
      <c r="P560" s="667"/>
      <c r="Q560" s="667"/>
      <c r="S560" s="3"/>
      <c r="T560" s="3"/>
      <c r="U560" s="3"/>
      <c r="V560" s="3"/>
      <c r="W560" s="3"/>
      <c r="X560" s="3"/>
      <c r="Y560" s="3"/>
      <c r="Z560" s="3"/>
      <c r="AA560" s="3"/>
      <c r="AB560" s="3"/>
      <c r="AC560" s="3"/>
      <c r="AD560" s="3"/>
      <c r="AE560" s="3"/>
      <c r="AF560" s="3"/>
      <c r="AG560" s="3"/>
      <c r="AH560" s="3"/>
      <c r="AI560" s="3"/>
      <c r="AJ560" s="3"/>
      <c r="AK560" s="3"/>
    </row>
    <row r="561" ht="15.75" customHeight="1">
      <c r="A561" s="3"/>
      <c r="B561" s="466"/>
      <c r="C561" s="667"/>
      <c r="D561" s="667"/>
      <c r="E561" s="668"/>
      <c r="F561" s="667"/>
      <c r="G561" s="667"/>
      <c r="H561" s="667"/>
      <c r="I561" s="667"/>
      <c r="J561" s="667"/>
      <c r="K561" s="667"/>
      <c r="L561" s="667"/>
      <c r="M561" s="667"/>
      <c r="N561" s="667"/>
      <c r="O561" s="667"/>
      <c r="P561" s="667"/>
      <c r="Q561" s="667"/>
      <c r="S561" s="3"/>
      <c r="T561" s="3"/>
      <c r="U561" s="3"/>
      <c r="V561" s="3"/>
      <c r="W561" s="3"/>
      <c r="X561" s="3"/>
      <c r="Y561" s="3"/>
      <c r="Z561" s="3"/>
      <c r="AA561" s="3"/>
      <c r="AB561" s="3"/>
      <c r="AC561" s="3"/>
      <c r="AD561" s="3"/>
      <c r="AE561" s="3"/>
      <c r="AF561" s="3"/>
      <c r="AG561" s="3"/>
      <c r="AH561" s="3"/>
      <c r="AI561" s="3"/>
      <c r="AJ561" s="3"/>
      <c r="AK561" s="3"/>
    </row>
    <row r="562" ht="15.75" customHeight="1">
      <c r="A562" s="3"/>
      <c r="B562" s="466"/>
      <c r="C562" s="667"/>
      <c r="D562" s="667"/>
      <c r="E562" s="668"/>
      <c r="F562" s="667"/>
      <c r="G562" s="667"/>
      <c r="H562" s="667"/>
      <c r="I562" s="667"/>
      <c r="J562" s="667"/>
      <c r="K562" s="667"/>
      <c r="L562" s="667"/>
      <c r="M562" s="667"/>
      <c r="N562" s="667"/>
      <c r="O562" s="667"/>
      <c r="P562" s="667"/>
      <c r="Q562" s="667"/>
      <c r="S562" s="3"/>
      <c r="T562" s="3"/>
      <c r="U562" s="3"/>
      <c r="V562" s="3"/>
      <c r="W562" s="3"/>
      <c r="X562" s="3"/>
      <c r="Y562" s="3"/>
      <c r="Z562" s="3"/>
      <c r="AA562" s="3"/>
      <c r="AB562" s="3"/>
      <c r="AC562" s="3"/>
      <c r="AD562" s="3"/>
      <c r="AE562" s="3"/>
      <c r="AF562" s="3"/>
      <c r="AG562" s="3"/>
      <c r="AH562" s="3"/>
      <c r="AI562" s="3"/>
      <c r="AJ562" s="3"/>
      <c r="AK562" s="3"/>
    </row>
    <row r="563" ht="15.75" customHeight="1">
      <c r="A563" s="3"/>
      <c r="B563" s="466"/>
      <c r="C563" s="667"/>
      <c r="D563" s="667"/>
      <c r="E563" s="668"/>
      <c r="F563" s="667"/>
      <c r="G563" s="667"/>
      <c r="H563" s="667"/>
      <c r="I563" s="667"/>
      <c r="J563" s="667"/>
      <c r="K563" s="667"/>
      <c r="L563" s="667"/>
      <c r="M563" s="667"/>
      <c r="N563" s="667"/>
      <c r="O563" s="667"/>
      <c r="P563" s="667"/>
      <c r="Q563" s="667"/>
      <c r="S563" s="3"/>
      <c r="T563" s="3"/>
      <c r="U563" s="3"/>
      <c r="V563" s="3"/>
      <c r="W563" s="3"/>
      <c r="X563" s="3"/>
      <c r="Y563" s="3"/>
      <c r="Z563" s="3"/>
      <c r="AA563" s="3"/>
      <c r="AB563" s="3"/>
      <c r="AC563" s="3"/>
      <c r="AD563" s="3"/>
      <c r="AE563" s="3"/>
      <c r="AF563" s="3"/>
      <c r="AG563" s="3"/>
      <c r="AH563" s="3"/>
      <c r="AI563" s="3"/>
      <c r="AJ563" s="3"/>
      <c r="AK563" s="3"/>
    </row>
    <row r="564" ht="15.75" customHeight="1">
      <c r="A564" s="3"/>
      <c r="B564" s="466"/>
      <c r="C564" s="667"/>
      <c r="D564" s="667"/>
      <c r="E564" s="668"/>
      <c r="F564" s="667"/>
      <c r="G564" s="667"/>
      <c r="H564" s="667"/>
      <c r="I564" s="667"/>
      <c r="J564" s="667"/>
      <c r="K564" s="667"/>
      <c r="L564" s="667"/>
      <c r="M564" s="667"/>
      <c r="N564" s="667"/>
      <c r="O564" s="667"/>
      <c r="P564" s="667"/>
      <c r="Q564" s="667"/>
      <c r="S564" s="3"/>
      <c r="T564" s="3"/>
      <c r="U564" s="3"/>
      <c r="V564" s="3"/>
      <c r="W564" s="3"/>
      <c r="X564" s="3"/>
      <c r="Y564" s="3"/>
      <c r="Z564" s="3"/>
      <c r="AA564" s="3"/>
      <c r="AB564" s="3"/>
      <c r="AC564" s="3"/>
      <c r="AD564" s="3"/>
      <c r="AE564" s="3"/>
      <c r="AF564" s="3"/>
      <c r="AG564" s="3"/>
      <c r="AH564" s="3"/>
      <c r="AI564" s="3"/>
      <c r="AJ564" s="3"/>
      <c r="AK564" s="3"/>
    </row>
    <row r="565" ht="15.75" customHeight="1">
      <c r="A565" s="3"/>
      <c r="B565" s="466"/>
      <c r="C565" s="667"/>
      <c r="D565" s="667"/>
      <c r="E565" s="668"/>
      <c r="F565" s="667"/>
      <c r="G565" s="667"/>
      <c r="H565" s="667"/>
      <c r="I565" s="667"/>
      <c r="J565" s="667"/>
      <c r="K565" s="667"/>
      <c r="L565" s="667"/>
      <c r="M565" s="667"/>
      <c r="N565" s="667"/>
      <c r="O565" s="667"/>
      <c r="P565" s="667"/>
      <c r="Q565" s="667"/>
      <c r="S565" s="3"/>
      <c r="T565" s="3"/>
      <c r="U565" s="3"/>
      <c r="V565" s="3"/>
      <c r="W565" s="3"/>
      <c r="X565" s="3"/>
      <c r="Y565" s="3"/>
      <c r="Z565" s="3"/>
      <c r="AA565" s="3"/>
      <c r="AB565" s="3"/>
      <c r="AC565" s="3"/>
      <c r="AD565" s="3"/>
      <c r="AE565" s="3"/>
      <c r="AF565" s="3"/>
      <c r="AG565" s="3"/>
      <c r="AH565" s="3"/>
      <c r="AI565" s="3"/>
      <c r="AJ565" s="3"/>
      <c r="AK565" s="3"/>
    </row>
    <row r="566" ht="15.75" customHeight="1">
      <c r="A566" s="3"/>
      <c r="B566" s="466"/>
      <c r="C566" s="667"/>
      <c r="D566" s="667"/>
      <c r="E566" s="668"/>
      <c r="F566" s="667"/>
      <c r="G566" s="667"/>
      <c r="H566" s="667"/>
      <c r="I566" s="667"/>
      <c r="J566" s="667"/>
      <c r="K566" s="667"/>
      <c r="L566" s="667"/>
      <c r="M566" s="667"/>
      <c r="N566" s="667"/>
      <c r="O566" s="667"/>
      <c r="P566" s="667"/>
      <c r="Q566" s="667"/>
      <c r="S566" s="3"/>
      <c r="T566" s="3"/>
      <c r="U566" s="3"/>
      <c r="V566" s="3"/>
      <c r="W566" s="3"/>
      <c r="X566" s="3"/>
      <c r="Y566" s="3"/>
      <c r="Z566" s="3"/>
      <c r="AA566" s="3"/>
      <c r="AB566" s="3"/>
      <c r="AC566" s="3"/>
      <c r="AD566" s="3"/>
      <c r="AE566" s="3"/>
      <c r="AF566" s="3"/>
      <c r="AG566" s="3"/>
      <c r="AH566" s="3"/>
      <c r="AI566" s="3"/>
      <c r="AJ566" s="3"/>
      <c r="AK566" s="3"/>
    </row>
    <row r="567" ht="15.75" customHeight="1">
      <c r="A567" s="3"/>
      <c r="B567" s="466"/>
      <c r="C567" s="667"/>
      <c r="D567" s="667"/>
      <c r="E567" s="668"/>
      <c r="F567" s="667"/>
      <c r="G567" s="667"/>
      <c r="H567" s="667"/>
      <c r="I567" s="667"/>
      <c r="J567" s="667"/>
      <c r="K567" s="667"/>
      <c r="L567" s="667"/>
      <c r="M567" s="667"/>
      <c r="N567" s="667"/>
      <c r="O567" s="667"/>
      <c r="P567" s="667"/>
      <c r="Q567" s="667"/>
      <c r="S567" s="3"/>
      <c r="T567" s="3"/>
      <c r="U567" s="3"/>
      <c r="V567" s="3"/>
      <c r="W567" s="3"/>
      <c r="X567" s="3"/>
      <c r="Y567" s="3"/>
      <c r="Z567" s="3"/>
      <c r="AA567" s="3"/>
      <c r="AB567" s="3"/>
      <c r="AC567" s="3"/>
      <c r="AD567" s="3"/>
      <c r="AE567" s="3"/>
      <c r="AF567" s="3"/>
      <c r="AG567" s="3"/>
      <c r="AH567" s="3"/>
      <c r="AI567" s="3"/>
      <c r="AJ567" s="3"/>
      <c r="AK567" s="3"/>
    </row>
    <row r="568" ht="15.75" customHeight="1">
      <c r="A568" s="3"/>
      <c r="B568" s="466"/>
      <c r="C568" s="667"/>
      <c r="D568" s="667"/>
      <c r="E568" s="668"/>
      <c r="F568" s="667"/>
      <c r="G568" s="667"/>
      <c r="H568" s="667"/>
      <c r="I568" s="667"/>
      <c r="J568" s="667"/>
      <c r="K568" s="667"/>
      <c r="L568" s="667"/>
      <c r="M568" s="667"/>
      <c r="N568" s="667"/>
      <c r="O568" s="667"/>
      <c r="P568" s="667"/>
      <c r="Q568" s="667"/>
      <c r="S568" s="3"/>
      <c r="T568" s="3"/>
      <c r="U568" s="3"/>
      <c r="V568" s="3"/>
      <c r="W568" s="3"/>
      <c r="X568" s="3"/>
      <c r="Y568" s="3"/>
      <c r="Z568" s="3"/>
      <c r="AA568" s="3"/>
      <c r="AB568" s="3"/>
      <c r="AC568" s="3"/>
      <c r="AD568" s="3"/>
      <c r="AE568" s="3"/>
      <c r="AF568" s="3"/>
      <c r="AG568" s="3"/>
      <c r="AH568" s="3"/>
      <c r="AI568" s="3"/>
      <c r="AJ568" s="3"/>
      <c r="AK568" s="3"/>
    </row>
    <row r="569" ht="15.75" customHeight="1">
      <c r="A569" s="3"/>
      <c r="B569" s="466"/>
      <c r="C569" s="667"/>
      <c r="D569" s="667"/>
      <c r="E569" s="668"/>
      <c r="F569" s="667"/>
      <c r="G569" s="667"/>
      <c r="H569" s="667"/>
      <c r="I569" s="667"/>
      <c r="J569" s="667"/>
      <c r="K569" s="667"/>
      <c r="L569" s="667"/>
      <c r="M569" s="667"/>
      <c r="N569" s="667"/>
      <c r="O569" s="667"/>
      <c r="P569" s="667"/>
      <c r="Q569" s="667"/>
      <c r="S569" s="3"/>
      <c r="T569" s="3"/>
      <c r="U569" s="3"/>
      <c r="V569" s="3"/>
      <c r="W569" s="3"/>
      <c r="X569" s="3"/>
      <c r="Y569" s="3"/>
      <c r="Z569" s="3"/>
      <c r="AA569" s="3"/>
      <c r="AB569" s="3"/>
      <c r="AC569" s="3"/>
      <c r="AD569" s="3"/>
      <c r="AE569" s="3"/>
      <c r="AF569" s="3"/>
      <c r="AG569" s="3"/>
      <c r="AH569" s="3"/>
      <c r="AI569" s="3"/>
      <c r="AJ569" s="3"/>
      <c r="AK569" s="3"/>
    </row>
    <row r="570" ht="15.75" customHeight="1">
      <c r="A570" s="3"/>
      <c r="B570" s="466"/>
      <c r="C570" s="667"/>
      <c r="D570" s="667"/>
      <c r="E570" s="668"/>
      <c r="F570" s="667"/>
      <c r="G570" s="667"/>
      <c r="H570" s="667"/>
      <c r="I570" s="667"/>
      <c r="J570" s="667"/>
      <c r="K570" s="667"/>
      <c r="L570" s="667"/>
      <c r="M570" s="667"/>
      <c r="N570" s="667"/>
      <c r="O570" s="667"/>
      <c r="P570" s="667"/>
      <c r="Q570" s="667"/>
      <c r="S570" s="3"/>
      <c r="T570" s="3"/>
      <c r="U570" s="3"/>
      <c r="V570" s="3"/>
      <c r="W570" s="3"/>
      <c r="X570" s="3"/>
      <c r="Y570" s="3"/>
      <c r="Z570" s="3"/>
      <c r="AA570" s="3"/>
      <c r="AB570" s="3"/>
      <c r="AC570" s="3"/>
      <c r="AD570" s="3"/>
      <c r="AE570" s="3"/>
      <c r="AF570" s="3"/>
      <c r="AG570" s="3"/>
      <c r="AH570" s="3"/>
      <c r="AI570" s="3"/>
      <c r="AJ570" s="3"/>
      <c r="AK570" s="3"/>
    </row>
    <row r="571" ht="15.75" customHeight="1">
      <c r="A571" s="3"/>
      <c r="B571" s="466"/>
      <c r="C571" s="667"/>
      <c r="D571" s="667"/>
      <c r="E571" s="668"/>
      <c r="F571" s="667"/>
      <c r="G571" s="667"/>
      <c r="H571" s="667"/>
      <c r="I571" s="667"/>
      <c r="J571" s="667"/>
      <c r="K571" s="667"/>
      <c r="L571" s="667"/>
      <c r="M571" s="667"/>
      <c r="N571" s="667"/>
      <c r="O571" s="667"/>
      <c r="P571" s="667"/>
      <c r="Q571" s="667"/>
      <c r="S571" s="3"/>
      <c r="T571" s="3"/>
      <c r="U571" s="3"/>
      <c r="V571" s="3"/>
      <c r="W571" s="3"/>
      <c r="X571" s="3"/>
      <c r="Y571" s="3"/>
      <c r="Z571" s="3"/>
      <c r="AA571" s="3"/>
      <c r="AB571" s="3"/>
      <c r="AC571" s="3"/>
      <c r="AD571" s="3"/>
      <c r="AE571" s="3"/>
      <c r="AF571" s="3"/>
      <c r="AG571" s="3"/>
      <c r="AH571" s="3"/>
      <c r="AI571" s="3"/>
      <c r="AJ571" s="3"/>
      <c r="AK571" s="3"/>
    </row>
    <row r="572" ht="15.75" customHeight="1">
      <c r="A572" s="3"/>
      <c r="B572" s="466"/>
      <c r="C572" s="667"/>
      <c r="D572" s="667"/>
      <c r="E572" s="668"/>
      <c r="F572" s="667"/>
      <c r="G572" s="667"/>
      <c r="H572" s="667"/>
      <c r="I572" s="667"/>
      <c r="J572" s="667"/>
      <c r="K572" s="667"/>
      <c r="L572" s="667"/>
      <c r="M572" s="667"/>
      <c r="N572" s="667"/>
      <c r="O572" s="667"/>
      <c r="P572" s="667"/>
      <c r="Q572" s="667"/>
      <c r="S572" s="3"/>
      <c r="T572" s="3"/>
      <c r="U572" s="3"/>
      <c r="V572" s="3"/>
      <c r="W572" s="3"/>
      <c r="X572" s="3"/>
      <c r="Y572" s="3"/>
      <c r="Z572" s="3"/>
      <c r="AA572" s="3"/>
      <c r="AB572" s="3"/>
      <c r="AC572" s="3"/>
      <c r="AD572" s="3"/>
      <c r="AE572" s="3"/>
      <c r="AF572" s="3"/>
      <c r="AG572" s="3"/>
      <c r="AH572" s="3"/>
      <c r="AI572" s="3"/>
      <c r="AJ572" s="3"/>
      <c r="AK572" s="3"/>
    </row>
    <row r="573" ht="15.75" customHeight="1">
      <c r="A573" s="3"/>
      <c r="B573" s="466"/>
      <c r="C573" s="667"/>
      <c r="D573" s="667"/>
      <c r="E573" s="668"/>
      <c r="F573" s="667"/>
      <c r="G573" s="667"/>
      <c r="H573" s="667"/>
      <c r="I573" s="667"/>
      <c r="J573" s="667"/>
      <c r="K573" s="667"/>
      <c r="L573" s="667"/>
      <c r="M573" s="667"/>
      <c r="N573" s="667"/>
      <c r="O573" s="667"/>
      <c r="P573" s="667"/>
      <c r="Q573" s="667"/>
      <c r="S573" s="3"/>
      <c r="T573" s="3"/>
      <c r="U573" s="3"/>
      <c r="V573" s="3"/>
      <c r="W573" s="3"/>
      <c r="X573" s="3"/>
      <c r="Y573" s="3"/>
      <c r="Z573" s="3"/>
      <c r="AA573" s="3"/>
      <c r="AB573" s="3"/>
      <c r="AC573" s="3"/>
      <c r="AD573" s="3"/>
      <c r="AE573" s="3"/>
      <c r="AF573" s="3"/>
      <c r="AG573" s="3"/>
      <c r="AH573" s="3"/>
      <c r="AI573" s="3"/>
      <c r="AJ573" s="3"/>
      <c r="AK573" s="3"/>
    </row>
    <row r="574" ht="15.75" customHeight="1">
      <c r="A574" s="3"/>
      <c r="B574" s="466"/>
      <c r="C574" s="667"/>
      <c r="D574" s="667"/>
      <c r="E574" s="668"/>
      <c r="F574" s="667"/>
      <c r="G574" s="667"/>
      <c r="H574" s="667"/>
      <c r="I574" s="667"/>
      <c r="J574" s="667"/>
      <c r="K574" s="667"/>
      <c r="L574" s="667"/>
      <c r="M574" s="667"/>
      <c r="N574" s="667"/>
      <c r="O574" s="667"/>
      <c r="P574" s="667"/>
      <c r="Q574" s="667"/>
      <c r="S574" s="3"/>
      <c r="T574" s="3"/>
      <c r="U574" s="3"/>
      <c r="V574" s="3"/>
      <c r="W574" s="3"/>
      <c r="X574" s="3"/>
      <c r="Y574" s="3"/>
      <c r="Z574" s="3"/>
      <c r="AA574" s="3"/>
      <c r="AB574" s="3"/>
      <c r="AC574" s="3"/>
      <c r="AD574" s="3"/>
      <c r="AE574" s="3"/>
      <c r="AF574" s="3"/>
      <c r="AG574" s="3"/>
      <c r="AH574" s="3"/>
      <c r="AI574" s="3"/>
      <c r="AJ574" s="3"/>
      <c r="AK574" s="3"/>
    </row>
    <row r="575" ht="15.75" customHeight="1">
      <c r="A575" s="3"/>
      <c r="B575" s="466"/>
      <c r="C575" s="667"/>
      <c r="D575" s="667"/>
      <c r="E575" s="668"/>
      <c r="F575" s="667"/>
      <c r="G575" s="667"/>
      <c r="H575" s="667"/>
      <c r="I575" s="667"/>
      <c r="J575" s="667"/>
      <c r="K575" s="667"/>
      <c r="L575" s="667"/>
      <c r="M575" s="667"/>
      <c r="N575" s="667"/>
      <c r="O575" s="667"/>
      <c r="P575" s="667"/>
      <c r="Q575" s="667"/>
      <c r="S575" s="3"/>
      <c r="T575" s="3"/>
      <c r="U575" s="3"/>
      <c r="V575" s="3"/>
      <c r="W575" s="3"/>
      <c r="X575" s="3"/>
      <c r="Y575" s="3"/>
      <c r="Z575" s="3"/>
      <c r="AA575" s="3"/>
      <c r="AB575" s="3"/>
      <c r="AC575" s="3"/>
      <c r="AD575" s="3"/>
      <c r="AE575" s="3"/>
      <c r="AF575" s="3"/>
      <c r="AG575" s="3"/>
      <c r="AH575" s="3"/>
      <c r="AI575" s="3"/>
      <c r="AJ575" s="3"/>
      <c r="AK575" s="3"/>
    </row>
    <row r="576" ht="15.75" customHeight="1">
      <c r="A576" s="3"/>
      <c r="B576" s="466"/>
      <c r="C576" s="667"/>
      <c r="D576" s="667"/>
      <c r="E576" s="668"/>
      <c r="F576" s="667"/>
      <c r="G576" s="667"/>
      <c r="H576" s="667"/>
      <c r="I576" s="667"/>
      <c r="J576" s="667"/>
      <c r="K576" s="667"/>
      <c r="L576" s="667"/>
      <c r="M576" s="667"/>
      <c r="N576" s="667"/>
      <c r="O576" s="667"/>
      <c r="P576" s="667"/>
      <c r="Q576" s="667"/>
      <c r="S576" s="3"/>
      <c r="T576" s="3"/>
      <c r="U576" s="3"/>
      <c r="V576" s="3"/>
      <c r="W576" s="3"/>
      <c r="X576" s="3"/>
      <c r="Y576" s="3"/>
      <c r="Z576" s="3"/>
      <c r="AA576" s="3"/>
      <c r="AB576" s="3"/>
      <c r="AC576" s="3"/>
      <c r="AD576" s="3"/>
      <c r="AE576" s="3"/>
      <c r="AF576" s="3"/>
      <c r="AG576" s="3"/>
      <c r="AH576" s="3"/>
      <c r="AI576" s="3"/>
      <c r="AJ576" s="3"/>
      <c r="AK576" s="3"/>
    </row>
    <row r="577" ht="15.75" customHeight="1">
      <c r="A577" s="3"/>
      <c r="B577" s="466"/>
      <c r="C577" s="667"/>
      <c r="D577" s="667"/>
      <c r="E577" s="668"/>
      <c r="F577" s="667"/>
      <c r="G577" s="667"/>
      <c r="H577" s="667"/>
      <c r="I577" s="667"/>
      <c r="J577" s="667"/>
      <c r="K577" s="667"/>
      <c r="L577" s="667"/>
      <c r="M577" s="667"/>
      <c r="N577" s="667"/>
      <c r="O577" s="667"/>
      <c r="P577" s="667"/>
      <c r="Q577" s="667"/>
      <c r="S577" s="3"/>
      <c r="T577" s="3"/>
      <c r="U577" s="3"/>
      <c r="V577" s="3"/>
      <c r="W577" s="3"/>
      <c r="X577" s="3"/>
      <c r="Y577" s="3"/>
      <c r="Z577" s="3"/>
      <c r="AA577" s="3"/>
      <c r="AB577" s="3"/>
      <c r="AC577" s="3"/>
      <c r="AD577" s="3"/>
      <c r="AE577" s="3"/>
      <c r="AF577" s="3"/>
      <c r="AG577" s="3"/>
      <c r="AH577" s="3"/>
      <c r="AI577" s="3"/>
      <c r="AJ577" s="3"/>
      <c r="AK577" s="3"/>
    </row>
    <row r="578" ht="15.75" customHeight="1">
      <c r="A578" s="3"/>
      <c r="B578" s="466"/>
      <c r="C578" s="667"/>
      <c r="D578" s="667"/>
      <c r="E578" s="668"/>
      <c r="F578" s="667"/>
      <c r="G578" s="667"/>
      <c r="H578" s="667"/>
      <c r="I578" s="667"/>
      <c r="J578" s="667"/>
      <c r="K578" s="667"/>
      <c r="L578" s="667"/>
      <c r="M578" s="667"/>
      <c r="N578" s="667"/>
      <c r="O578" s="667"/>
      <c r="P578" s="667"/>
      <c r="Q578" s="667"/>
      <c r="S578" s="3"/>
      <c r="T578" s="3"/>
      <c r="U578" s="3"/>
      <c r="V578" s="3"/>
      <c r="W578" s="3"/>
      <c r="X578" s="3"/>
      <c r="Y578" s="3"/>
      <c r="Z578" s="3"/>
      <c r="AA578" s="3"/>
      <c r="AB578" s="3"/>
      <c r="AC578" s="3"/>
      <c r="AD578" s="3"/>
      <c r="AE578" s="3"/>
      <c r="AF578" s="3"/>
      <c r="AG578" s="3"/>
      <c r="AH578" s="3"/>
      <c r="AI578" s="3"/>
      <c r="AJ578" s="3"/>
      <c r="AK578" s="3"/>
    </row>
    <row r="579" ht="15.75" customHeight="1">
      <c r="A579" s="3"/>
      <c r="B579" s="466"/>
      <c r="C579" s="667"/>
      <c r="D579" s="667"/>
      <c r="E579" s="668"/>
      <c r="F579" s="667"/>
      <c r="G579" s="667"/>
      <c r="H579" s="667"/>
      <c r="I579" s="667"/>
      <c r="J579" s="667"/>
      <c r="K579" s="667"/>
      <c r="L579" s="667"/>
      <c r="M579" s="667"/>
      <c r="N579" s="667"/>
      <c r="O579" s="667"/>
      <c r="P579" s="667"/>
      <c r="Q579" s="667"/>
      <c r="S579" s="3"/>
      <c r="T579" s="3"/>
      <c r="U579" s="3"/>
      <c r="V579" s="3"/>
      <c r="W579" s="3"/>
      <c r="X579" s="3"/>
      <c r="Y579" s="3"/>
      <c r="Z579" s="3"/>
      <c r="AA579" s="3"/>
      <c r="AB579" s="3"/>
      <c r="AC579" s="3"/>
      <c r="AD579" s="3"/>
      <c r="AE579" s="3"/>
      <c r="AF579" s="3"/>
      <c r="AG579" s="3"/>
      <c r="AH579" s="3"/>
      <c r="AI579" s="3"/>
      <c r="AJ579" s="3"/>
      <c r="AK579" s="3"/>
    </row>
    <row r="580" ht="15.75" customHeight="1">
      <c r="A580" s="3"/>
      <c r="B580" s="466"/>
      <c r="C580" s="667"/>
      <c r="D580" s="667"/>
      <c r="E580" s="668"/>
      <c r="F580" s="667"/>
      <c r="G580" s="667"/>
      <c r="H580" s="667"/>
      <c r="I580" s="667"/>
      <c r="J580" s="667"/>
      <c r="K580" s="667"/>
      <c r="L580" s="667"/>
      <c r="M580" s="667"/>
      <c r="N580" s="667"/>
      <c r="O580" s="667"/>
      <c r="P580" s="667"/>
      <c r="Q580" s="667"/>
      <c r="S580" s="3"/>
      <c r="T580" s="3"/>
      <c r="U580" s="3"/>
      <c r="V580" s="3"/>
      <c r="W580" s="3"/>
      <c r="X580" s="3"/>
      <c r="Y580" s="3"/>
      <c r="Z580" s="3"/>
      <c r="AA580" s="3"/>
      <c r="AB580" s="3"/>
      <c r="AC580" s="3"/>
      <c r="AD580" s="3"/>
      <c r="AE580" s="3"/>
      <c r="AF580" s="3"/>
      <c r="AG580" s="3"/>
      <c r="AH580" s="3"/>
      <c r="AI580" s="3"/>
      <c r="AJ580" s="3"/>
      <c r="AK580" s="3"/>
    </row>
    <row r="581" ht="15.75" customHeight="1">
      <c r="A581" s="3"/>
      <c r="B581" s="466"/>
      <c r="C581" s="667"/>
      <c r="D581" s="667"/>
      <c r="E581" s="668"/>
      <c r="F581" s="667"/>
      <c r="G581" s="667"/>
      <c r="H581" s="667"/>
      <c r="I581" s="667"/>
      <c r="J581" s="667"/>
      <c r="K581" s="667"/>
      <c r="L581" s="667"/>
      <c r="M581" s="667"/>
      <c r="N581" s="667"/>
      <c r="O581" s="667"/>
      <c r="P581" s="667"/>
      <c r="Q581" s="667"/>
      <c r="S581" s="3"/>
      <c r="T581" s="3"/>
      <c r="U581" s="3"/>
      <c r="V581" s="3"/>
      <c r="W581" s="3"/>
      <c r="X581" s="3"/>
      <c r="Y581" s="3"/>
      <c r="Z581" s="3"/>
      <c r="AA581" s="3"/>
      <c r="AB581" s="3"/>
      <c r="AC581" s="3"/>
      <c r="AD581" s="3"/>
      <c r="AE581" s="3"/>
      <c r="AF581" s="3"/>
      <c r="AG581" s="3"/>
      <c r="AH581" s="3"/>
      <c r="AI581" s="3"/>
      <c r="AJ581" s="3"/>
      <c r="AK581" s="3"/>
    </row>
    <row r="582" ht="15.75" customHeight="1">
      <c r="A582" s="3"/>
      <c r="B582" s="466"/>
      <c r="C582" s="667"/>
      <c r="D582" s="667"/>
      <c r="E582" s="668"/>
      <c r="F582" s="667"/>
      <c r="G582" s="667"/>
      <c r="H582" s="667"/>
      <c r="I582" s="667"/>
      <c r="J582" s="667"/>
      <c r="K582" s="667"/>
      <c r="L582" s="667"/>
      <c r="M582" s="667"/>
      <c r="N582" s="667"/>
      <c r="O582" s="667"/>
      <c r="P582" s="667"/>
      <c r="Q582" s="667"/>
      <c r="S582" s="3"/>
      <c r="T582" s="3"/>
      <c r="U582" s="3"/>
      <c r="V582" s="3"/>
      <c r="W582" s="3"/>
      <c r="X582" s="3"/>
      <c r="Y582" s="3"/>
      <c r="Z582" s="3"/>
      <c r="AA582" s="3"/>
      <c r="AB582" s="3"/>
      <c r="AC582" s="3"/>
      <c r="AD582" s="3"/>
      <c r="AE582" s="3"/>
      <c r="AF582" s="3"/>
      <c r="AG582" s="3"/>
      <c r="AH582" s="3"/>
      <c r="AI582" s="3"/>
      <c r="AJ582" s="3"/>
      <c r="AK582" s="3"/>
    </row>
    <row r="583" ht="15.75" customHeight="1">
      <c r="A583" s="3"/>
      <c r="B583" s="466"/>
      <c r="C583" s="667"/>
      <c r="D583" s="667"/>
      <c r="E583" s="668"/>
      <c r="F583" s="667"/>
      <c r="G583" s="667"/>
      <c r="H583" s="667"/>
      <c r="I583" s="667"/>
      <c r="J583" s="667"/>
      <c r="K583" s="667"/>
      <c r="L583" s="667"/>
      <c r="M583" s="667"/>
      <c r="N583" s="667"/>
      <c r="O583" s="667"/>
      <c r="P583" s="667"/>
      <c r="Q583" s="667"/>
      <c r="S583" s="3"/>
      <c r="T583" s="3"/>
      <c r="U583" s="3"/>
      <c r="V583" s="3"/>
      <c r="W583" s="3"/>
      <c r="X583" s="3"/>
      <c r="Y583" s="3"/>
      <c r="Z583" s="3"/>
      <c r="AA583" s="3"/>
      <c r="AB583" s="3"/>
      <c r="AC583" s="3"/>
      <c r="AD583" s="3"/>
      <c r="AE583" s="3"/>
      <c r="AF583" s="3"/>
      <c r="AG583" s="3"/>
      <c r="AH583" s="3"/>
      <c r="AI583" s="3"/>
      <c r="AJ583" s="3"/>
      <c r="AK583" s="3"/>
    </row>
    <row r="584" ht="15.75" customHeight="1">
      <c r="A584" s="3"/>
      <c r="B584" s="466"/>
      <c r="C584" s="667"/>
      <c r="D584" s="667"/>
      <c r="E584" s="668"/>
      <c r="F584" s="667"/>
      <c r="G584" s="667"/>
      <c r="H584" s="667"/>
      <c r="I584" s="667"/>
      <c r="J584" s="667"/>
      <c r="K584" s="667"/>
      <c r="L584" s="667"/>
      <c r="M584" s="667"/>
      <c r="N584" s="667"/>
      <c r="O584" s="667"/>
      <c r="P584" s="667"/>
      <c r="Q584" s="667"/>
      <c r="S584" s="3"/>
      <c r="T584" s="3"/>
      <c r="U584" s="3"/>
      <c r="V584" s="3"/>
      <c r="W584" s="3"/>
      <c r="X584" s="3"/>
      <c r="Y584" s="3"/>
      <c r="Z584" s="3"/>
      <c r="AA584" s="3"/>
      <c r="AB584" s="3"/>
      <c r="AC584" s="3"/>
      <c r="AD584" s="3"/>
      <c r="AE584" s="3"/>
      <c r="AF584" s="3"/>
      <c r="AG584" s="3"/>
      <c r="AH584" s="3"/>
      <c r="AI584" s="3"/>
      <c r="AJ584" s="3"/>
      <c r="AK584" s="3"/>
    </row>
    <row r="585" ht="15.75" customHeight="1">
      <c r="A585" s="3"/>
      <c r="B585" s="466"/>
      <c r="C585" s="667"/>
      <c r="D585" s="667"/>
      <c r="E585" s="668"/>
      <c r="F585" s="667"/>
      <c r="G585" s="667"/>
      <c r="H585" s="667"/>
      <c r="I585" s="667"/>
      <c r="J585" s="667"/>
      <c r="K585" s="667"/>
      <c r="L585" s="667"/>
      <c r="M585" s="667"/>
      <c r="N585" s="667"/>
      <c r="O585" s="667"/>
      <c r="P585" s="667"/>
      <c r="Q585" s="667"/>
      <c r="S585" s="3"/>
      <c r="T585" s="3"/>
      <c r="U585" s="3"/>
      <c r="V585" s="3"/>
      <c r="W585" s="3"/>
      <c r="X585" s="3"/>
      <c r="Y585" s="3"/>
      <c r="Z585" s="3"/>
      <c r="AA585" s="3"/>
      <c r="AB585" s="3"/>
      <c r="AC585" s="3"/>
      <c r="AD585" s="3"/>
      <c r="AE585" s="3"/>
      <c r="AF585" s="3"/>
      <c r="AG585" s="3"/>
      <c r="AH585" s="3"/>
      <c r="AI585" s="3"/>
      <c r="AJ585" s="3"/>
      <c r="AK585" s="3"/>
    </row>
    <row r="586" ht="15.75" customHeight="1">
      <c r="A586" s="3"/>
      <c r="B586" s="466"/>
      <c r="C586" s="667"/>
      <c r="D586" s="667"/>
      <c r="E586" s="668"/>
      <c r="F586" s="667"/>
      <c r="G586" s="667"/>
      <c r="H586" s="667"/>
      <c r="I586" s="667"/>
      <c r="J586" s="667"/>
      <c r="K586" s="667"/>
      <c r="L586" s="667"/>
      <c r="M586" s="667"/>
      <c r="N586" s="667"/>
      <c r="O586" s="667"/>
      <c r="P586" s="667"/>
      <c r="Q586" s="667"/>
      <c r="S586" s="3"/>
      <c r="T586" s="3"/>
      <c r="U586" s="3"/>
      <c r="V586" s="3"/>
      <c r="W586" s="3"/>
      <c r="X586" s="3"/>
      <c r="Y586" s="3"/>
      <c r="Z586" s="3"/>
      <c r="AA586" s="3"/>
      <c r="AB586" s="3"/>
      <c r="AC586" s="3"/>
      <c r="AD586" s="3"/>
      <c r="AE586" s="3"/>
      <c r="AF586" s="3"/>
      <c r="AG586" s="3"/>
      <c r="AH586" s="3"/>
      <c r="AI586" s="3"/>
      <c r="AJ586" s="3"/>
      <c r="AK586" s="3"/>
    </row>
    <row r="587" ht="15.75" customHeight="1">
      <c r="A587" s="3"/>
      <c r="B587" s="466"/>
      <c r="C587" s="667"/>
      <c r="D587" s="667"/>
      <c r="E587" s="668"/>
      <c r="F587" s="667"/>
      <c r="G587" s="667"/>
      <c r="H587" s="667"/>
      <c r="I587" s="667"/>
      <c r="J587" s="667"/>
      <c r="K587" s="667"/>
      <c r="L587" s="667"/>
      <c r="M587" s="667"/>
      <c r="N587" s="667"/>
      <c r="O587" s="667"/>
      <c r="P587" s="667"/>
      <c r="Q587" s="667"/>
      <c r="S587" s="3"/>
      <c r="T587" s="3"/>
      <c r="U587" s="3"/>
      <c r="V587" s="3"/>
      <c r="W587" s="3"/>
      <c r="X587" s="3"/>
      <c r="Y587" s="3"/>
      <c r="Z587" s="3"/>
      <c r="AA587" s="3"/>
      <c r="AB587" s="3"/>
      <c r="AC587" s="3"/>
      <c r="AD587" s="3"/>
      <c r="AE587" s="3"/>
      <c r="AF587" s="3"/>
      <c r="AG587" s="3"/>
      <c r="AH587" s="3"/>
      <c r="AI587" s="3"/>
      <c r="AJ587" s="3"/>
      <c r="AK587" s="3"/>
    </row>
    <row r="588" ht="15.75" customHeight="1">
      <c r="A588" s="3"/>
      <c r="B588" s="466"/>
      <c r="C588" s="667"/>
      <c r="D588" s="667"/>
      <c r="E588" s="668"/>
      <c r="F588" s="667"/>
      <c r="G588" s="667"/>
      <c r="H588" s="667"/>
      <c r="I588" s="667"/>
      <c r="J588" s="667"/>
      <c r="K588" s="667"/>
      <c r="L588" s="667"/>
      <c r="M588" s="667"/>
      <c r="N588" s="667"/>
      <c r="O588" s="667"/>
      <c r="P588" s="667"/>
      <c r="Q588" s="667"/>
      <c r="S588" s="3"/>
      <c r="T588" s="3"/>
      <c r="U588" s="3"/>
      <c r="V588" s="3"/>
      <c r="W588" s="3"/>
      <c r="X588" s="3"/>
      <c r="Y588" s="3"/>
      <c r="Z588" s="3"/>
      <c r="AA588" s="3"/>
      <c r="AB588" s="3"/>
      <c r="AC588" s="3"/>
      <c r="AD588" s="3"/>
      <c r="AE588" s="3"/>
      <c r="AF588" s="3"/>
      <c r="AG588" s="3"/>
      <c r="AH588" s="3"/>
      <c r="AI588" s="3"/>
      <c r="AJ588" s="3"/>
      <c r="AK588" s="3"/>
    </row>
    <row r="589" ht="15.75" customHeight="1">
      <c r="A589" s="3"/>
      <c r="B589" s="466"/>
      <c r="C589" s="667"/>
      <c r="D589" s="667"/>
      <c r="E589" s="668"/>
      <c r="F589" s="667"/>
      <c r="G589" s="667"/>
      <c r="H589" s="667"/>
      <c r="I589" s="667"/>
      <c r="J589" s="667"/>
      <c r="K589" s="667"/>
      <c r="L589" s="667"/>
      <c r="M589" s="667"/>
      <c r="N589" s="667"/>
      <c r="O589" s="667"/>
      <c r="P589" s="667"/>
      <c r="Q589" s="667"/>
      <c r="S589" s="3"/>
      <c r="T589" s="3"/>
      <c r="U589" s="3"/>
      <c r="V589" s="3"/>
      <c r="W589" s="3"/>
      <c r="X589" s="3"/>
      <c r="Y589" s="3"/>
      <c r="Z589" s="3"/>
      <c r="AA589" s="3"/>
      <c r="AB589" s="3"/>
      <c r="AC589" s="3"/>
      <c r="AD589" s="3"/>
      <c r="AE589" s="3"/>
      <c r="AF589" s="3"/>
      <c r="AG589" s="3"/>
      <c r="AH589" s="3"/>
      <c r="AI589" s="3"/>
      <c r="AJ589" s="3"/>
      <c r="AK589" s="3"/>
    </row>
    <row r="590" ht="15.75" customHeight="1">
      <c r="A590" s="3"/>
      <c r="B590" s="466"/>
      <c r="C590" s="667"/>
      <c r="D590" s="667"/>
      <c r="E590" s="668"/>
      <c r="F590" s="667"/>
      <c r="G590" s="667"/>
      <c r="H590" s="667"/>
      <c r="I590" s="667"/>
      <c r="J590" s="667"/>
      <c r="K590" s="667"/>
      <c r="L590" s="667"/>
      <c r="M590" s="667"/>
      <c r="N590" s="667"/>
      <c r="O590" s="667"/>
      <c r="P590" s="667"/>
      <c r="Q590" s="667"/>
      <c r="S590" s="3"/>
      <c r="T590" s="3"/>
      <c r="U590" s="3"/>
      <c r="V590" s="3"/>
      <c r="W590" s="3"/>
      <c r="X590" s="3"/>
      <c r="Y590" s="3"/>
      <c r="Z590" s="3"/>
      <c r="AA590" s="3"/>
      <c r="AB590" s="3"/>
      <c r="AC590" s="3"/>
      <c r="AD590" s="3"/>
      <c r="AE590" s="3"/>
      <c r="AF590" s="3"/>
      <c r="AG590" s="3"/>
      <c r="AH590" s="3"/>
      <c r="AI590" s="3"/>
      <c r="AJ590" s="3"/>
      <c r="AK590" s="3"/>
    </row>
    <row r="591" ht="15.75" customHeight="1">
      <c r="A591" s="3"/>
      <c r="B591" s="466"/>
      <c r="C591" s="667"/>
      <c r="D591" s="667"/>
      <c r="E591" s="668"/>
      <c r="F591" s="667"/>
      <c r="G591" s="667"/>
      <c r="H591" s="667"/>
      <c r="I591" s="667"/>
      <c r="J591" s="667"/>
      <c r="K591" s="667"/>
      <c r="L591" s="667"/>
      <c r="M591" s="667"/>
      <c r="N591" s="667"/>
      <c r="O591" s="667"/>
      <c r="P591" s="667"/>
      <c r="Q591" s="667"/>
      <c r="S591" s="3"/>
      <c r="T591" s="3"/>
      <c r="U591" s="3"/>
      <c r="V591" s="3"/>
      <c r="W591" s="3"/>
      <c r="X591" s="3"/>
      <c r="Y591" s="3"/>
      <c r="Z591" s="3"/>
      <c r="AA591" s="3"/>
      <c r="AB591" s="3"/>
      <c r="AC591" s="3"/>
      <c r="AD591" s="3"/>
      <c r="AE591" s="3"/>
      <c r="AF591" s="3"/>
      <c r="AG591" s="3"/>
      <c r="AH591" s="3"/>
      <c r="AI591" s="3"/>
      <c r="AJ591" s="3"/>
      <c r="AK591" s="3"/>
    </row>
    <row r="592" ht="15.75" customHeight="1">
      <c r="A592" s="3"/>
      <c r="B592" s="466"/>
      <c r="C592" s="667"/>
      <c r="D592" s="667"/>
      <c r="E592" s="668"/>
      <c r="F592" s="667"/>
      <c r="G592" s="667"/>
      <c r="H592" s="667"/>
      <c r="I592" s="667"/>
      <c r="J592" s="667"/>
      <c r="K592" s="667"/>
      <c r="L592" s="667"/>
      <c r="M592" s="667"/>
      <c r="N592" s="667"/>
      <c r="O592" s="667"/>
      <c r="P592" s="667"/>
      <c r="Q592" s="667"/>
      <c r="S592" s="3"/>
      <c r="T592" s="3"/>
      <c r="U592" s="3"/>
      <c r="V592" s="3"/>
      <c r="W592" s="3"/>
      <c r="X592" s="3"/>
      <c r="Y592" s="3"/>
      <c r="Z592" s="3"/>
      <c r="AA592" s="3"/>
      <c r="AB592" s="3"/>
      <c r="AC592" s="3"/>
      <c r="AD592" s="3"/>
      <c r="AE592" s="3"/>
      <c r="AF592" s="3"/>
      <c r="AG592" s="3"/>
      <c r="AH592" s="3"/>
      <c r="AI592" s="3"/>
      <c r="AJ592" s="3"/>
      <c r="AK592" s="3"/>
    </row>
    <row r="593" ht="15.75" customHeight="1">
      <c r="A593" s="3"/>
      <c r="B593" s="466"/>
      <c r="C593" s="667"/>
      <c r="D593" s="667"/>
      <c r="E593" s="668"/>
      <c r="F593" s="667"/>
      <c r="G593" s="667"/>
      <c r="H593" s="667"/>
      <c r="I593" s="667"/>
      <c r="J593" s="667"/>
      <c r="K593" s="667"/>
      <c r="L593" s="667"/>
      <c r="M593" s="667"/>
      <c r="N593" s="667"/>
      <c r="O593" s="667"/>
      <c r="P593" s="667"/>
      <c r="Q593" s="667"/>
      <c r="S593" s="3"/>
      <c r="T593" s="3"/>
      <c r="U593" s="3"/>
      <c r="V593" s="3"/>
      <c r="W593" s="3"/>
      <c r="X593" s="3"/>
      <c r="Y593" s="3"/>
      <c r="Z593" s="3"/>
      <c r="AA593" s="3"/>
      <c r="AB593" s="3"/>
      <c r="AC593" s="3"/>
      <c r="AD593" s="3"/>
      <c r="AE593" s="3"/>
      <c r="AF593" s="3"/>
      <c r="AG593" s="3"/>
      <c r="AH593" s="3"/>
      <c r="AI593" s="3"/>
      <c r="AJ593" s="3"/>
      <c r="AK593" s="3"/>
    </row>
    <row r="594" ht="15.75" customHeight="1">
      <c r="A594" s="3"/>
      <c r="B594" s="466"/>
      <c r="C594" s="667"/>
      <c r="D594" s="667"/>
      <c r="E594" s="668"/>
      <c r="F594" s="667"/>
      <c r="G594" s="667"/>
      <c r="H594" s="667"/>
      <c r="I594" s="667"/>
      <c r="J594" s="667"/>
      <c r="K594" s="667"/>
      <c r="L594" s="667"/>
      <c r="M594" s="667"/>
      <c r="N594" s="667"/>
      <c r="O594" s="667"/>
      <c r="P594" s="667"/>
      <c r="Q594" s="667"/>
      <c r="S594" s="3"/>
      <c r="T594" s="3"/>
      <c r="U594" s="3"/>
      <c r="V594" s="3"/>
      <c r="W594" s="3"/>
      <c r="X594" s="3"/>
      <c r="Y594" s="3"/>
      <c r="Z594" s="3"/>
      <c r="AA594" s="3"/>
      <c r="AB594" s="3"/>
      <c r="AC594" s="3"/>
      <c r="AD594" s="3"/>
      <c r="AE594" s="3"/>
      <c r="AF594" s="3"/>
      <c r="AG594" s="3"/>
      <c r="AH594" s="3"/>
      <c r="AI594" s="3"/>
      <c r="AJ594" s="3"/>
      <c r="AK594" s="3"/>
    </row>
    <row r="595" ht="15.75" customHeight="1">
      <c r="A595" s="3"/>
      <c r="B595" s="466"/>
      <c r="C595" s="667"/>
      <c r="D595" s="667"/>
      <c r="E595" s="668"/>
      <c r="F595" s="667"/>
      <c r="G595" s="667"/>
      <c r="H595" s="667"/>
      <c r="I595" s="667"/>
      <c r="J595" s="667"/>
      <c r="K595" s="667"/>
      <c r="L595" s="667"/>
      <c r="M595" s="667"/>
      <c r="N595" s="667"/>
      <c r="O595" s="667"/>
      <c r="P595" s="667"/>
      <c r="Q595" s="667"/>
      <c r="S595" s="3"/>
      <c r="T595" s="3"/>
      <c r="U595" s="3"/>
      <c r="V595" s="3"/>
      <c r="W595" s="3"/>
      <c r="X595" s="3"/>
      <c r="Y595" s="3"/>
      <c r="Z595" s="3"/>
      <c r="AA595" s="3"/>
      <c r="AB595" s="3"/>
      <c r="AC595" s="3"/>
      <c r="AD595" s="3"/>
      <c r="AE595" s="3"/>
      <c r="AF595" s="3"/>
      <c r="AG595" s="3"/>
      <c r="AH595" s="3"/>
      <c r="AI595" s="3"/>
      <c r="AJ595" s="3"/>
      <c r="AK595" s="3"/>
    </row>
    <row r="596" ht="15.75" customHeight="1">
      <c r="A596" s="3"/>
      <c r="B596" s="466"/>
      <c r="C596" s="667"/>
      <c r="D596" s="667"/>
      <c r="E596" s="668"/>
      <c r="F596" s="667"/>
      <c r="G596" s="667"/>
      <c r="H596" s="667"/>
      <c r="I596" s="667"/>
      <c r="J596" s="667"/>
      <c r="K596" s="667"/>
      <c r="L596" s="667"/>
      <c r="M596" s="667"/>
      <c r="N596" s="667"/>
      <c r="O596" s="667"/>
      <c r="P596" s="667"/>
      <c r="Q596" s="667"/>
      <c r="S596" s="3"/>
      <c r="T596" s="3"/>
      <c r="U596" s="3"/>
      <c r="V596" s="3"/>
      <c r="W596" s="3"/>
      <c r="X596" s="3"/>
      <c r="Y596" s="3"/>
      <c r="Z596" s="3"/>
      <c r="AA596" s="3"/>
      <c r="AB596" s="3"/>
      <c r="AC596" s="3"/>
      <c r="AD596" s="3"/>
      <c r="AE596" s="3"/>
      <c r="AF596" s="3"/>
      <c r="AG596" s="3"/>
      <c r="AH596" s="3"/>
      <c r="AI596" s="3"/>
      <c r="AJ596" s="3"/>
      <c r="AK596" s="3"/>
    </row>
    <row r="597" ht="15.75" customHeight="1">
      <c r="A597" s="3"/>
      <c r="B597" s="466"/>
      <c r="C597" s="667"/>
      <c r="D597" s="667"/>
      <c r="E597" s="668"/>
      <c r="F597" s="667"/>
      <c r="G597" s="667"/>
      <c r="H597" s="667"/>
      <c r="I597" s="667"/>
      <c r="J597" s="667"/>
      <c r="K597" s="667"/>
      <c r="L597" s="667"/>
      <c r="M597" s="667"/>
      <c r="N597" s="667"/>
      <c r="O597" s="667"/>
      <c r="P597" s="667"/>
      <c r="Q597" s="667"/>
      <c r="S597" s="3"/>
      <c r="T597" s="3"/>
      <c r="U597" s="3"/>
      <c r="V597" s="3"/>
      <c r="W597" s="3"/>
      <c r="X597" s="3"/>
      <c r="Y597" s="3"/>
      <c r="Z597" s="3"/>
      <c r="AA597" s="3"/>
      <c r="AB597" s="3"/>
      <c r="AC597" s="3"/>
      <c r="AD597" s="3"/>
      <c r="AE597" s="3"/>
      <c r="AF597" s="3"/>
      <c r="AG597" s="3"/>
      <c r="AH597" s="3"/>
      <c r="AI597" s="3"/>
      <c r="AJ597" s="3"/>
      <c r="AK597" s="3"/>
    </row>
    <row r="598" ht="15.75" customHeight="1">
      <c r="A598" s="3"/>
      <c r="B598" s="466"/>
      <c r="C598" s="667"/>
      <c r="D598" s="667"/>
      <c r="E598" s="668"/>
      <c r="F598" s="667"/>
      <c r="G598" s="667"/>
      <c r="H598" s="667"/>
      <c r="I598" s="667"/>
      <c r="J598" s="667"/>
      <c r="K598" s="667"/>
      <c r="L598" s="667"/>
      <c r="M598" s="667"/>
      <c r="N598" s="667"/>
      <c r="O598" s="667"/>
      <c r="P598" s="667"/>
      <c r="Q598" s="667"/>
      <c r="S598" s="3"/>
      <c r="T598" s="3"/>
      <c r="U598" s="3"/>
      <c r="V598" s="3"/>
      <c r="W598" s="3"/>
      <c r="X598" s="3"/>
      <c r="Y598" s="3"/>
      <c r="Z598" s="3"/>
      <c r="AA598" s="3"/>
      <c r="AB598" s="3"/>
      <c r="AC598" s="3"/>
      <c r="AD598" s="3"/>
      <c r="AE598" s="3"/>
      <c r="AF598" s="3"/>
      <c r="AG598" s="3"/>
      <c r="AH598" s="3"/>
      <c r="AI598" s="3"/>
      <c r="AJ598" s="3"/>
      <c r="AK598" s="3"/>
    </row>
    <row r="599" ht="15.75" customHeight="1">
      <c r="A599" s="3"/>
      <c r="B599" s="466"/>
      <c r="C599" s="667"/>
      <c r="D599" s="667"/>
      <c r="E599" s="668"/>
      <c r="F599" s="667"/>
      <c r="G599" s="667"/>
      <c r="H599" s="667"/>
      <c r="I599" s="667"/>
      <c r="J599" s="667"/>
      <c r="K599" s="667"/>
      <c r="L599" s="667"/>
      <c r="M599" s="667"/>
      <c r="N599" s="667"/>
      <c r="O599" s="667"/>
      <c r="P599" s="667"/>
      <c r="Q599" s="667"/>
      <c r="S599" s="3"/>
      <c r="T599" s="3"/>
      <c r="U599" s="3"/>
      <c r="V599" s="3"/>
      <c r="W599" s="3"/>
      <c r="X599" s="3"/>
      <c r="Y599" s="3"/>
      <c r="Z599" s="3"/>
      <c r="AA599" s="3"/>
      <c r="AB599" s="3"/>
      <c r="AC599" s="3"/>
      <c r="AD599" s="3"/>
      <c r="AE599" s="3"/>
      <c r="AF599" s="3"/>
      <c r="AG599" s="3"/>
      <c r="AH599" s="3"/>
      <c r="AI599" s="3"/>
      <c r="AJ599" s="3"/>
      <c r="AK599" s="3"/>
    </row>
    <row r="600" ht="15.75" customHeight="1">
      <c r="A600" s="3"/>
      <c r="B600" s="466"/>
      <c r="C600" s="667"/>
      <c r="D600" s="667"/>
      <c r="E600" s="668"/>
      <c r="F600" s="667"/>
      <c r="G600" s="667"/>
      <c r="H600" s="667"/>
      <c r="I600" s="667"/>
      <c r="J600" s="667"/>
      <c r="K600" s="667"/>
      <c r="L600" s="667"/>
      <c r="M600" s="667"/>
      <c r="N600" s="667"/>
      <c r="O600" s="667"/>
      <c r="P600" s="667"/>
      <c r="Q600" s="667"/>
      <c r="S600" s="3"/>
      <c r="T600" s="3"/>
      <c r="U600" s="3"/>
      <c r="V600" s="3"/>
      <c r="W600" s="3"/>
      <c r="X600" s="3"/>
      <c r="Y600" s="3"/>
      <c r="Z600" s="3"/>
      <c r="AA600" s="3"/>
      <c r="AB600" s="3"/>
      <c r="AC600" s="3"/>
      <c r="AD600" s="3"/>
      <c r="AE600" s="3"/>
      <c r="AF600" s="3"/>
      <c r="AG600" s="3"/>
      <c r="AH600" s="3"/>
      <c r="AI600" s="3"/>
      <c r="AJ600" s="3"/>
      <c r="AK600" s="3"/>
    </row>
    <row r="601" ht="15.75" customHeight="1">
      <c r="A601" s="3"/>
      <c r="B601" s="466"/>
      <c r="C601" s="667"/>
      <c r="D601" s="667"/>
      <c r="E601" s="668"/>
      <c r="F601" s="667"/>
      <c r="G601" s="667"/>
      <c r="H601" s="667"/>
      <c r="I601" s="667"/>
      <c r="J601" s="667"/>
      <c r="K601" s="667"/>
      <c r="L601" s="667"/>
      <c r="M601" s="667"/>
      <c r="N601" s="667"/>
      <c r="O601" s="667"/>
      <c r="P601" s="667"/>
      <c r="Q601" s="667"/>
      <c r="S601" s="3"/>
      <c r="T601" s="3"/>
      <c r="U601" s="3"/>
      <c r="V601" s="3"/>
      <c r="W601" s="3"/>
      <c r="X601" s="3"/>
      <c r="Y601" s="3"/>
      <c r="Z601" s="3"/>
      <c r="AA601" s="3"/>
      <c r="AB601" s="3"/>
      <c r="AC601" s="3"/>
      <c r="AD601" s="3"/>
      <c r="AE601" s="3"/>
      <c r="AF601" s="3"/>
      <c r="AG601" s="3"/>
      <c r="AH601" s="3"/>
      <c r="AI601" s="3"/>
      <c r="AJ601" s="3"/>
      <c r="AK601" s="3"/>
    </row>
    <row r="602" ht="15.75" customHeight="1">
      <c r="A602" s="3"/>
      <c r="B602" s="466"/>
      <c r="C602" s="667"/>
      <c r="D602" s="667"/>
      <c r="E602" s="668"/>
      <c r="F602" s="667"/>
      <c r="G602" s="667"/>
      <c r="H602" s="667"/>
      <c r="I602" s="667"/>
      <c r="J602" s="667"/>
      <c r="K602" s="667"/>
      <c r="L602" s="667"/>
      <c r="M602" s="667"/>
      <c r="N602" s="667"/>
      <c r="O602" s="667"/>
      <c r="P602" s="667"/>
      <c r="Q602" s="667"/>
      <c r="S602" s="3"/>
      <c r="T602" s="3"/>
      <c r="U602" s="3"/>
      <c r="V602" s="3"/>
      <c r="W602" s="3"/>
      <c r="X602" s="3"/>
      <c r="Y602" s="3"/>
      <c r="Z602" s="3"/>
      <c r="AA602" s="3"/>
      <c r="AB602" s="3"/>
      <c r="AC602" s="3"/>
      <c r="AD602" s="3"/>
      <c r="AE602" s="3"/>
      <c r="AF602" s="3"/>
      <c r="AG602" s="3"/>
      <c r="AH602" s="3"/>
      <c r="AI602" s="3"/>
      <c r="AJ602" s="3"/>
      <c r="AK602" s="3"/>
    </row>
    <row r="603" ht="15.75" customHeight="1">
      <c r="A603" s="3"/>
      <c r="B603" s="466"/>
      <c r="C603" s="667"/>
      <c r="D603" s="667"/>
      <c r="E603" s="668"/>
      <c r="F603" s="667"/>
      <c r="G603" s="667"/>
      <c r="H603" s="667"/>
      <c r="I603" s="667"/>
      <c r="J603" s="667"/>
      <c r="K603" s="667"/>
      <c r="L603" s="667"/>
      <c r="M603" s="667"/>
      <c r="N603" s="667"/>
      <c r="O603" s="667"/>
      <c r="P603" s="667"/>
      <c r="Q603" s="667"/>
      <c r="S603" s="3"/>
      <c r="T603" s="3"/>
      <c r="U603" s="3"/>
      <c r="V603" s="3"/>
      <c r="W603" s="3"/>
      <c r="X603" s="3"/>
      <c r="Y603" s="3"/>
      <c r="Z603" s="3"/>
      <c r="AA603" s="3"/>
      <c r="AB603" s="3"/>
      <c r="AC603" s="3"/>
      <c r="AD603" s="3"/>
      <c r="AE603" s="3"/>
      <c r="AF603" s="3"/>
      <c r="AG603" s="3"/>
      <c r="AH603" s="3"/>
      <c r="AI603" s="3"/>
      <c r="AJ603" s="3"/>
      <c r="AK603" s="3"/>
    </row>
    <row r="604" ht="15.75" customHeight="1">
      <c r="A604" s="3"/>
      <c r="B604" s="466"/>
      <c r="C604" s="667"/>
      <c r="D604" s="667"/>
      <c r="E604" s="668"/>
      <c r="F604" s="667"/>
      <c r="G604" s="667"/>
      <c r="H604" s="667"/>
      <c r="I604" s="667"/>
      <c r="J604" s="667"/>
      <c r="K604" s="667"/>
      <c r="L604" s="667"/>
      <c r="M604" s="667"/>
      <c r="N604" s="667"/>
      <c r="O604" s="667"/>
      <c r="P604" s="667"/>
      <c r="Q604" s="667"/>
      <c r="S604" s="3"/>
      <c r="T604" s="3"/>
      <c r="U604" s="3"/>
      <c r="V604" s="3"/>
      <c r="W604" s="3"/>
      <c r="X604" s="3"/>
      <c r="Y604" s="3"/>
      <c r="Z604" s="3"/>
      <c r="AA604" s="3"/>
      <c r="AB604" s="3"/>
      <c r="AC604" s="3"/>
      <c r="AD604" s="3"/>
      <c r="AE604" s="3"/>
      <c r="AF604" s="3"/>
      <c r="AG604" s="3"/>
      <c r="AH604" s="3"/>
      <c r="AI604" s="3"/>
      <c r="AJ604" s="3"/>
      <c r="AK604" s="3"/>
    </row>
    <row r="605" ht="15.75" customHeight="1">
      <c r="A605" s="3"/>
      <c r="B605" s="466"/>
      <c r="C605" s="667"/>
      <c r="D605" s="667"/>
      <c r="E605" s="668"/>
      <c r="F605" s="667"/>
      <c r="G605" s="667"/>
      <c r="H605" s="667"/>
      <c r="I605" s="667"/>
      <c r="J605" s="667"/>
      <c r="K605" s="667"/>
      <c r="L605" s="667"/>
      <c r="M605" s="667"/>
      <c r="N605" s="667"/>
      <c r="O605" s="667"/>
      <c r="P605" s="667"/>
      <c r="Q605" s="667"/>
      <c r="S605" s="3"/>
      <c r="T605" s="3"/>
      <c r="U605" s="3"/>
      <c r="V605" s="3"/>
      <c r="W605" s="3"/>
      <c r="X605" s="3"/>
      <c r="Y605" s="3"/>
      <c r="Z605" s="3"/>
      <c r="AA605" s="3"/>
      <c r="AB605" s="3"/>
      <c r="AC605" s="3"/>
      <c r="AD605" s="3"/>
      <c r="AE605" s="3"/>
      <c r="AF605" s="3"/>
      <c r="AG605" s="3"/>
      <c r="AH605" s="3"/>
      <c r="AI605" s="3"/>
      <c r="AJ605" s="3"/>
      <c r="AK605" s="3"/>
    </row>
    <row r="606" ht="15.75" customHeight="1">
      <c r="A606" s="3"/>
      <c r="B606" s="466"/>
      <c r="C606" s="667"/>
      <c r="D606" s="667"/>
      <c r="E606" s="668"/>
      <c r="F606" s="667"/>
      <c r="G606" s="667"/>
      <c r="H606" s="667"/>
      <c r="I606" s="667"/>
      <c r="J606" s="667"/>
      <c r="K606" s="667"/>
      <c r="L606" s="667"/>
      <c r="M606" s="667"/>
      <c r="N606" s="667"/>
      <c r="O606" s="667"/>
      <c r="P606" s="667"/>
      <c r="Q606" s="667"/>
      <c r="S606" s="3"/>
      <c r="T606" s="3"/>
      <c r="U606" s="3"/>
      <c r="V606" s="3"/>
      <c r="W606" s="3"/>
      <c r="X606" s="3"/>
      <c r="Y606" s="3"/>
      <c r="Z606" s="3"/>
      <c r="AA606" s="3"/>
      <c r="AB606" s="3"/>
      <c r="AC606" s="3"/>
      <c r="AD606" s="3"/>
      <c r="AE606" s="3"/>
      <c r="AF606" s="3"/>
      <c r="AG606" s="3"/>
      <c r="AH606" s="3"/>
      <c r="AI606" s="3"/>
      <c r="AJ606" s="3"/>
      <c r="AK606" s="3"/>
    </row>
    <row r="607" ht="15.75" customHeight="1">
      <c r="A607" s="3"/>
      <c r="B607" s="466"/>
      <c r="C607" s="667"/>
      <c r="D607" s="667"/>
      <c r="E607" s="668"/>
      <c r="F607" s="667"/>
      <c r="G607" s="667"/>
      <c r="H607" s="667"/>
      <c r="I607" s="667"/>
      <c r="J607" s="667"/>
      <c r="K607" s="667"/>
      <c r="L607" s="667"/>
      <c r="M607" s="667"/>
      <c r="N607" s="667"/>
      <c r="O607" s="667"/>
      <c r="P607" s="667"/>
      <c r="Q607" s="667"/>
      <c r="S607" s="3"/>
      <c r="T607" s="3"/>
      <c r="U607" s="3"/>
      <c r="V607" s="3"/>
      <c r="W607" s="3"/>
      <c r="X607" s="3"/>
      <c r="Y607" s="3"/>
      <c r="Z607" s="3"/>
      <c r="AA607" s="3"/>
      <c r="AB607" s="3"/>
      <c r="AC607" s="3"/>
      <c r="AD607" s="3"/>
      <c r="AE607" s="3"/>
      <c r="AF607" s="3"/>
      <c r="AG607" s="3"/>
      <c r="AH607" s="3"/>
      <c r="AI607" s="3"/>
      <c r="AJ607" s="3"/>
      <c r="AK607" s="3"/>
    </row>
    <row r="608" ht="15.75" customHeight="1">
      <c r="A608" s="3"/>
      <c r="B608" s="466"/>
      <c r="C608" s="667"/>
      <c r="D608" s="667"/>
      <c r="E608" s="668"/>
      <c r="F608" s="667"/>
      <c r="G608" s="667"/>
      <c r="H608" s="667"/>
      <c r="I608" s="667"/>
      <c r="J608" s="667"/>
      <c r="K608" s="667"/>
      <c r="L608" s="667"/>
      <c r="M608" s="667"/>
      <c r="N608" s="667"/>
      <c r="O608" s="667"/>
      <c r="P608" s="667"/>
      <c r="Q608" s="667"/>
      <c r="S608" s="3"/>
      <c r="T608" s="3"/>
      <c r="U608" s="3"/>
      <c r="V608" s="3"/>
      <c r="W608" s="3"/>
      <c r="X608" s="3"/>
      <c r="Y608" s="3"/>
      <c r="Z608" s="3"/>
      <c r="AA608" s="3"/>
      <c r="AB608" s="3"/>
      <c r="AC608" s="3"/>
      <c r="AD608" s="3"/>
      <c r="AE608" s="3"/>
      <c r="AF608" s="3"/>
      <c r="AG608" s="3"/>
      <c r="AH608" s="3"/>
      <c r="AI608" s="3"/>
      <c r="AJ608" s="3"/>
      <c r="AK608" s="3"/>
    </row>
    <row r="609" ht="15.75" customHeight="1">
      <c r="A609" s="3"/>
      <c r="B609" s="466"/>
      <c r="C609" s="667"/>
      <c r="D609" s="667"/>
      <c r="E609" s="668"/>
      <c r="F609" s="667"/>
      <c r="G609" s="667"/>
      <c r="H609" s="667"/>
      <c r="I609" s="667"/>
      <c r="J609" s="667"/>
      <c r="K609" s="667"/>
      <c r="L609" s="667"/>
      <c r="M609" s="667"/>
      <c r="N609" s="667"/>
      <c r="O609" s="667"/>
      <c r="P609" s="667"/>
      <c r="Q609" s="667"/>
      <c r="S609" s="3"/>
      <c r="T609" s="3"/>
      <c r="U609" s="3"/>
      <c r="V609" s="3"/>
      <c r="W609" s="3"/>
      <c r="X609" s="3"/>
      <c r="Y609" s="3"/>
      <c r="Z609" s="3"/>
      <c r="AA609" s="3"/>
      <c r="AB609" s="3"/>
      <c r="AC609" s="3"/>
      <c r="AD609" s="3"/>
      <c r="AE609" s="3"/>
      <c r="AF609" s="3"/>
      <c r="AG609" s="3"/>
      <c r="AH609" s="3"/>
      <c r="AI609" s="3"/>
      <c r="AJ609" s="3"/>
      <c r="AK609" s="3"/>
    </row>
    <row r="610" ht="15.75" customHeight="1">
      <c r="A610" s="3"/>
      <c r="B610" s="466"/>
      <c r="C610" s="667"/>
      <c r="D610" s="667"/>
      <c r="E610" s="668"/>
      <c r="F610" s="667"/>
      <c r="G610" s="667"/>
      <c r="H610" s="667"/>
      <c r="I610" s="667"/>
      <c r="J610" s="667"/>
      <c r="K610" s="667"/>
      <c r="L610" s="667"/>
      <c r="M610" s="667"/>
      <c r="N610" s="667"/>
      <c r="O610" s="667"/>
      <c r="P610" s="667"/>
      <c r="Q610" s="667"/>
      <c r="S610" s="3"/>
      <c r="T610" s="3"/>
      <c r="U610" s="3"/>
      <c r="V610" s="3"/>
      <c r="W610" s="3"/>
      <c r="X610" s="3"/>
      <c r="Y610" s="3"/>
      <c r="Z610" s="3"/>
      <c r="AA610" s="3"/>
      <c r="AB610" s="3"/>
      <c r="AC610" s="3"/>
      <c r="AD610" s="3"/>
      <c r="AE610" s="3"/>
      <c r="AF610" s="3"/>
      <c r="AG610" s="3"/>
      <c r="AH610" s="3"/>
      <c r="AI610" s="3"/>
      <c r="AJ610" s="3"/>
      <c r="AK610" s="3"/>
    </row>
    <row r="611" ht="15.75" customHeight="1">
      <c r="A611" s="3"/>
      <c r="B611" s="466"/>
      <c r="C611" s="667"/>
      <c r="D611" s="667"/>
      <c r="E611" s="668"/>
      <c r="F611" s="667"/>
      <c r="G611" s="667"/>
      <c r="H611" s="667"/>
      <c r="I611" s="667"/>
      <c r="J611" s="667"/>
      <c r="K611" s="667"/>
      <c r="L611" s="667"/>
      <c r="M611" s="667"/>
      <c r="N611" s="667"/>
      <c r="O611" s="667"/>
      <c r="P611" s="667"/>
      <c r="Q611" s="667"/>
      <c r="S611" s="3"/>
      <c r="T611" s="3"/>
      <c r="U611" s="3"/>
      <c r="V611" s="3"/>
      <c r="W611" s="3"/>
      <c r="X611" s="3"/>
      <c r="Y611" s="3"/>
      <c r="Z611" s="3"/>
      <c r="AA611" s="3"/>
      <c r="AB611" s="3"/>
      <c r="AC611" s="3"/>
      <c r="AD611" s="3"/>
      <c r="AE611" s="3"/>
      <c r="AF611" s="3"/>
      <c r="AG611" s="3"/>
      <c r="AH611" s="3"/>
      <c r="AI611" s="3"/>
      <c r="AJ611" s="3"/>
      <c r="AK611" s="3"/>
    </row>
    <row r="612" ht="15.75" customHeight="1">
      <c r="A612" s="3"/>
      <c r="B612" s="466"/>
      <c r="C612" s="667"/>
      <c r="D612" s="667"/>
      <c r="E612" s="668"/>
      <c r="F612" s="667"/>
      <c r="G612" s="667"/>
      <c r="H612" s="667"/>
      <c r="I612" s="667"/>
      <c r="J612" s="667"/>
      <c r="K612" s="667"/>
      <c r="L612" s="667"/>
      <c r="M612" s="667"/>
      <c r="N612" s="667"/>
      <c r="O612" s="667"/>
      <c r="P612" s="667"/>
      <c r="Q612" s="667"/>
      <c r="S612" s="3"/>
      <c r="T612" s="3"/>
      <c r="U612" s="3"/>
      <c r="V612" s="3"/>
      <c r="W612" s="3"/>
      <c r="X612" s="3"/>
      <c r="Y612" s="3"/>
      <c r="Z612" s="3"/>
      <c r="AA612" s="3"/>
      <c r="AB612" s="3"/>
      <c r="AC612" s="3"/>
      <c r="AD612" s="3"/>
      <c r="AE612" s="3"/>
      <c r="AF612" s="3"/>
      <c r="AG612" s="3"/>
      <c r="AH612" s="3"/>
      <c r="AI612" s="3"/>
      <c r="AJ612" s="3"/>
      <c r="AK612" s="3"/>
    </row>
    <row r="613" ht="15.75" customHeight="1">
      <c r="A613" s="3"/>
      <c r="B613" s="466"/>
      <c r="C613" s="667"/>
      <c r="D613" s="667"/>
      <c r="E613" s="668"/>
      <c r="F613" s="667"/>
      <c r="G613" s="667"/>
      <c r="H613" s="667"/>
      <c r="I613" s="667"/>
      <c r="J613" s="667"/>
      <c r="K613" s="667"/>
      <c r="L613" s="667"/>
      <c r="M613" s="667"/>
      <c r="N613" s="667"/>
      <c r="O613" s="667"/>
      <c r="P613" s="667"/>
      <c r="Q613" s="667"/>
      <c r="S613" s="3"/>
      <c r="T613" s="3"/>
      <c r="U613" s="3"/>
      <c r="V613" s="3"/>
      <c r="W613" s="3"/>
      <c r="X613" s="3"/>
      <c r="Y613" s="3"/>
      <c r="Z613" s="3"/>
      <c r="AA613" s="3"/>
      <c r="AB613" s="3"/>
      <c r="AC613" s="3"/>
      <c r="AD613" s="3"/>
      <c r="AE613" s="3"/>
      <c r="AF613" s="3"/>
      <c r="AG613" s="3"/>
      <c r="AH613" s="3"/>
      <c r="AI613" s="3"/>
      <c r="AJ613" s="3"/>
      <c r="AK613" s="3"/>
    </row>
    <row r="614" ht="15.75" customHeight="1">
      <c r="A614" s="3"/>
      <c r="B614" s="466"/>
      <c r="C614" s="667"/>
      <c r="D614" s="667"/>
      <c r="E614" s="668"/>
      <c r="F614" s="667"/>
      <c r="G614" s="667"/>
      <c r="H614" s="667"/>
      <c r="I614" s="667"/>
      <c r="J614" s="667"/>
      <c r="K614" s="667"/>
      <c r="L614" s="667"/>
      <c r="M614" s="667"/>
      <c r="N614" s="667"/>
      <c r="O614" s="667"/>
      <c r="P614" s="667"/>
      <c r="Q614" s="667"/>
      <c r="S614" s="3"/>
      <c r="T614" s="3"/>
      <c r="U614" s="3"/>
      <c r="V614" s="3"/>
      <c r="W614" s="3"/>
      <c r="X614" s="3"/>
      <c r="Y614" s="3"/>
      <c r="Z614" s="3"/>
      <c r="AA614" s="3"/>
      <c r="AB614" s="3"/>
      <c r="AC614" s="3"/>
      <c r="AD614" s="3"/>
      <c r="AE614" s="3"/>
      <c r="AF614" s="3"/>
      <c r="AG614" s="3"/>
      <c r="AH614" s="3"/>
      <c r="AI614" s="3"/>
      <c r="AJ614" s="3"/>
      <c r="AK614" s="3"/>
    </row>
    <row r="615" ht="15.75" customHeight="1">
      <c r="A615" s="3"/>
      <c r="B615" s="466"/>
      <c r="C615" s="667"/>
      <c r="D615" s="667"/>
      <c r="E615" s="668"/>
      <c r="F615" s="667"/>
      <c r="G615" s="667"/>
      <c r="H615" s="667"/>
      <c r="I615" s="667"/>
      <c r="J615" s="667"/>
      <c r="K615" s="667"/>
      <c r="L615" s="667"/>
      <c r="M615" s="667"/>
      <c r="N615" s="667"/>
      <c r="O615" s="667"/>
      <c r="P615" s="667"/>
      <c r="Q615" s="667"/>
      <c r="S615" s="3"/>
      <c r="T615" s="3"/>
      <c r="U615" s="3"/>
      <c r="V615" s="3"/>
      <c r="W615" s="3"/>
      <c r="X615" s="3"/>
      <c r="Y615" s="3"/>
      <c r="Z615" s="3"/>
      <c r="AA615" s="3"/>
      <c r="AB615" s="3"/>
      <c r="AC615" s="3"/>
      <c r="AD615" s="3"/>
      <c r="AE615" s="3"/>
      <c r="AF615" s="3"/>
      <c r="AG615" s="3"/>
      <c r="AH615" s="3"/>
      <c r="AI615" s="3"/>
      <c r="AJ615" s="3"/>
      <c r="AK615" s="3"/>
    </row>
    <row r="616" ht="15.75" customHeight="1">
      <c r="A616" s="3"/>
      <c r="B616" s="466"/>
      <c r="C616" s="667"/>
      <c r="D616" s="667"/>
      <c r="E616" s="668"/>
      <c r="F616" s="667"/>
      <c r="G616" s="667"/>
      <c r="H616" s="667"/>
      <c r="I616" s="667"/>
      <c r="J616" s="667"/>
      <c r="K616" s="667"/>
      <c r="L616" s="667"/>
      <c r="M616" s="667"/>
      <c r="N616" s="667"/>
      <c r="O616" s="667"/>
      <c r="P616" s="667"/>
      <c r="Q616" s="667"/>
      <c r="S616" s="3"/>
      <c r="T616" s="3"/>
      <c r="U616" s="3"/>
      <c r="V616" s="3"/>
      <c r="W616" s="3"/>
      <c r="X616" s="3"/>
      <c r="Y616" s="3"/>
      <c r="Z616" s="3"/>
      <c r="AA616" s="3"/>
      <c r="AB616" s="3"/>
      <c r="AC616" s="3"/>
      <c r="AD616" s="3"/>
      <c r="AE616" s="3"/>
      <c r="AF616" s="3"/>
      <c r="AG616" s="3"/>
      <c r="AH616" s="3"/>
      <c r="AI616" s="3"/>
      <c r="AJ616" s="3"/>
      <c r="AK616" s="3"/>
    </row>
    <row r="617" ht="15.75" customHeight="1">
      <c r="A617" s="3"/>
      <c r="B617" s="466"/>
      <c r="C617" s="667"/>
      <c r="D617" s="667"/>
      <c r="E617" s="668"/>
      <c r="F617" s="667"/>
      <c r="G617" s="667"/>
      <c r="H617" s="667"/>
      <c r="I617" s="667"/>
      <c r="J617" s="667"/>
      <c r="K617" s="667"/>
      <c r="L617" s="667"/>
      <c r="M617" s="667"/>
      <c r="N617" s="667"/>
      <c r="O617" s="667"/>
      <c r="P617" s="667"/>
      <c r="Q617" s="667"/>
      <c r="S617" s="3"/>
      <c r="T617" s="3"/>
      <c r="U617" s="3"/>
      <c r="V617" s="3"/>
      <c r="W617" s="3"/>
      <c r="X617" s="3"/>
      <c r="Y617" s="3"/>
      <c r="Z617" s="3"/>
      <c r="AA617" s="3"/>
      <c r="AB617" s="3"/>
      <c r="AC617" s="3"/>
      <c r="AD617" s="3"/>
      <c r="AE617" s="3"/>
      <c r="AF617" s="3"/>
      <c r="AG617" s="3"/>
      <c r="AH617" s="3"/>
      <c r="AI617" s="3"/>
      <c r="AJ617" s="3"/>
      <c r="AK617" s="3"/>
    </row>
    <row r="618" ht="15.75" customHeight="1">
      <c r="A618" s="3"/>
      <c r="B618" s="466"/>
      <c r="C618" s="667"/>
      <c r="D618" s="667"/>
      <c r="E618" s="668"/>
      <c r="F618" s="667"/>
      <c r="G618" s="667"/>
      <c r="H618" s="667"/>
      <c r="I618" s="667"/>
      <c r="J618" s="667"/>
      <c r="K618" s="667"/>
      <c r="L618" s="667"/>
      <c r="M618" s="667"/>
      <c r="N618" s="667"/>
      <c r="O618" s="667"/>
      <c r="P618" s="667"/>
      <c r="Q618" s="667"/>
      <c r="S618" s="3"/>
      <c r="T618" s="3"/>
      <c r="U618" s="3"/>
      <c r="V618" s="3"/>
      <c r="W618" s="3"/>
      <c r="X618" s="3"/>
      <c r="Y618" s="3"/>
      <c r="Z618" s="3"/>
      <c r="AA618" s="3"/>
      <c r="AB618" s="3"/>
      <c r="AC618" s="3"/>
      <c r="AD618" s="3"/>
      <c r="AE618" s="3"/>
      <c r="AF618" s="3"/>
      <c r="AG618" s="3"/>
      <c r="AH618" s="3"/>
      <c r="AI618" s="3"/>
      <c r="AJ618" s="3"/>
      <c r="AK618" s="3"/>
    </row>
    <row r="619" ht="15.75" customHeight="1">
      <c r="A619" s="3"/>
      <c r="B619" s="466"/>
      <c r="C619" s="667"/>
      <c r="D619" s="667"/>
      <c r="E619" s="668"/>
      <c r="F619" s="667"/>
      <c r="G619" s="667"/>
      <c r="H619" s="667"/>
      <c r="I619" s="667"/>
      <c r="J619" s="667"/>
      <c r="K619" s="667"/>
      <c r="L619" s="667"/>
      <c r="M619" s="667"/>
      <c r="N619" s="667"/>
      <c r="O619" s="667"/>
      <c r="P619" s="667"/>
      <c r="Q619" s="667"/>
      <c r="S619" s="3"/>
      <c r="T619" s="3"/>
      <c r="U619" s="3"/>
      <c r="V619" s="3"/>
      <c r="W619" s="3"/>
      <c r="X619" s="3"/>
      <c r="Y619" s="3"/>
      <c r="Z619" s="3"/>
      <c r="AA619" s="3"/>
      <c r="AB619" s="3"/>
      <c r="AC619" s="3"/>
      <c r="AD619" s="3"/>
      <c r="AE619" s="3"/>
      <c r="AF619" s="3"/>
      <c r="AG619" s="3"/>
      <c r="AH619" s="3"/>
      <c r="AI619" s="3"/>
      <c r="AJ619" s="3"/>
      <c r="AK619" s="3"/>
    </row>
    <row r="620" ht="15.75" customHeight="1">
      <c r="A620" s="3"/>
      <c r="B620" s="466"/>
      <c r="C620" s="667"/>
      <c r="D620" s="667"/>
      <c r="E620" s="668"/>
      <c r="F620" s="667"/>
      <c r="G620" s="667"/>
      <c r="H620" s="667"/>
      <c r="I620" s="667"/>
      <c r="J620" s="667"/>
      <c r="K620" s="667"/>
      <c r="L620" s="667"/>
      <c r="M620" s="667"/>
      <c r="N620" s="667"/>
      <c r="O620" s="667"/>
      <c r="P620" s="667"/>
      <c r="Q620" s="667"/>
      <c r="S620" s="3"/>
      <c r="T620" s="3"/>
      <c r="U620" s="3"/>
      <c r="V620" s="3"/>
      <c r="W620" s="3"/>
      <c r="X620" s="3"/>
      <c r="Y620" s="3"/>
      <c r="Z620" s="3"/>
      <c r="AA620" s="3"/>
      <c r="AB620" s="3"/>
      <c r="AC620" s="3"/>
      <c r="AD620" s="3"/>
      <c r="AE620" s="3"/>
      <c r="AF620" s="3"/>
      <c r="AG620" s="3"/>
      <c r="AH620" s="3"/>
      <c r="AI620" s="3"/>
      <c r="AJ620" s="3"/>
      <c r="AK620" s="3"/>
    </row>
    <row r="621" ht="15.75" customHeight="1">
      <c r="A621" s="3"/>
      <c r="B621" s="466"/>
      <c r="C621" s="667"/>
      <c r="D621" s="667"/>
      <c r="E621" s="668"/>
      <c r="F621" s="667"/>
      <c r="G621" s="667"/>
      <c r="H621" s="667"/>
      <c r="I621" s="667"/>
      <c r="J621" s="667"/>
      <c r="K621" s="667"/>
      <c r="L621" s="667"/>
      <c r="M621" s="667"/>
      <c r="N621" s="667"/>
      <c r="O621" s="667"/>
      <c r="P621" s="667"/>
      <c r="Q621" s="667"/>
      <c r="S621" s="3"/>
      <c r="T621" s="3"/>
      <c r="U621" s="3"/>
      <c r="V621" s="3"/>
      <c r="W621" s="3"/>
      <c r="X621" s="3"/>
      <c r="Y621" s="3"/>
      <c r="Z621" s="3"/>
      <c r="AA621" s="3"/>
      <c r="AB621" s="3"/>
      <c r="AC621" s="3"/>
      <c r="AD621" s="3"/>
      <c r="AE621" s="3"/>
      <c r="AF621" s="3"/>
      <c r="AG621" s="3"/>
      <c r="AH621" s="3"/>
      <c r="AI621" s="3"/>
      <c r="AJ621" s="3"/>
      <c r="AK621" s="3"/>
    </row>
    <row r="622" ht="15.75" customHeight="1">
      <c r="A622" s="3"/>
      <c r="B622" s="466"/>
      <c r="C622" s="667"/>
      <c r="D622" s="667"/>
      <c r="E622" s="668"/>
      <c r="F622" s="667"/>
      <c r="G622" s="667"/>
      <c r="H622" s="667"/>
      <c r="I622" s="667"/>
      <c r="J622" s="667"/>
      <c r="K622" s="667"/>
      <c r="L622" s="667"/>
      <c r="M622" s="667"/>
      <c r="N622" s="667"/>
      <c r="O622" s="667"/>
      <c r="P622" s="667"/>
      <c r="Q622" s="667"/>
      <c r="S622" s="3"/>
      <c r="T622" s="3"/>
      <c r="U622" s="3"/>
      <c r="V622" s="3"/>
      <c r="W622" s="3"/>
      <c r="X622" s="3"/>
      <c r="Y622" s="3"/>
      <c r="Z622" s="3"/>
      <c r="AA622" s="3"/>
      <c r="AB622" s="3"/>
      <c r="AC622" s="3"/>
      <c r="AD622" s="3"/>
      <c r="AE622" s="3"/>
      <c r="AF622" s="3"/>
      <c r="AG622" s="3"/>
      <c r="AH622" s="3"/>
      <c r="AI622" s="3"/>
      <c r="AJ622" s="3"/>
      <c r="AK622" s="3"/>
    </row>
    <row r="623" ht="15.75" customHeight="1">
      <c r="A623" s="3"/>
      <c r="B623" s="466"/>
      <c r="C623" s="667"/>
      <c r="D623" s="667"/>
      <c r="E623" s="668"/>
      <c r="F623" s="667"/>
      <c r="G623" s="667"/>
      <c r="H623" s="667"/>
      <c r="I623" s="667"/>
      <c r="J623" s="667"/>
      <c r="K623" s="667"/>
      <c r="L623" s="667"/>
      <c r="M623" s="667"/>
      <c r="N623" s="667"/>
      <c r="O623" s="667"/>
      <c r="P623" s="667"/>
      <c r="Q623" s="667"/>
      <c r="S623" s="3"/>
      <c r="T623" s="3"/>
      <c r="U623" s="3"/>
      <c r="V623" s="3"/>
      <c r="W623" s="3"/>
      <c r="X623" s="3"/>
      <c r="Y623" s="3"/>
      <c r="Z623" s="3"/>
      <c r="AA623" s="3"/>
      <c r="AB623" s="3"/>
      <c r="AC623" s="3"/>
      <c r="AD623" s="3"/>
      <c r="AE623" s="3"/>
      <c r="AF623" s="3"/>
      <c r="AG623" s="3"/>
      <c r="AH623" s="3"/>
      <c r="AI623" s="3"/>
      <c r="AJ623" s="3"/>
      <c r="AK623" s="3"/>
    </row>
    <row r="624" ht="15.75" customHeight="1">
      <c r="A624" s="3"/>
      <c r="B624" s="466"/>
      <c r="C624" s="667"/>
      <c r="D624" s="667"/>
      <c r="E624" s="668"/>
      <c r="F624" s="667"/>
      <c r="G624" s="667"/>
      <c r="H624" s="667"/>
      <c r="I624" s="667"/>
      <c r="J624" s="667"/>
      <c r="K624" s="667"/>
      <c r="L624" s="667"/>
      <c r="M624" s="667"/>
      <c r="N624" s="667"/>
      <c r="O624" s="667"/>
      <c r="P624" s="667"/>
      <c r="Q624" s="667"/>
      <c r="S624" s="3"/>
      <c r="T624" s="3"/>
      <c r="U624" s="3"/>
      <c r="V624" s="3"/>
      <c r="W624" s="3"/>
      <c r="X624" s="3"/>
      <c r="Y624" s="3"/>
      <c r="Z624" s="3"/>
      <c r="AA624" s="3"/>
      <c r="AB624" s="3"/>
      <c r="AC624" s="3"/>
      <c r="AD624" s="3"/>
      <c r="AE624" s="3"/>
      <c r="AF624" s="3"/>
      <c r="AG624" s="3"/>
      <c r="AH624" s="3"/>
      <c r="AI624" s="3"/>
      <c r="AJ624" s="3"/>
      <c r="AK624" s="3"/>
    </row>
    <row r="625" ht="15.75" customHeight="1">
      <c r="A625" s="3"/>
      <c r="B625" s="466"/>
      <c r="C625" s="667"/>
      <c r="D625" s="667"/>
      <c r="E625" s="668"/>
      <c r="F625" s="667"/>
      <c r="G625" s="667"/>
      <c r="H625" s="667"/>
      <c r="I625" s="667"/>
      <c r="J625" s="667"/>
      <c r="K625" s="667"/>
      <c r="L625" s="667"/>
      <c r="M625" s="667"/>
      <c r="N625" s="667"/>
      <c r="O625" s="667"/>
      <c r="P625" s="667"/>
      <c r="Q625" s="667"/>
      <c r="S625" s="3"/>
      <c r="T625" s="3"/>
      <c r="U625" s="3"/>
      <c r="V625" s="3"/>
      <c r="W625" s="3"/>
      <c r="X625" s="3"/>
      <c r="Y625" s="3"/>
      <c r="Z625" s="3"/>
      <c r="AA625" s="3"/>
      <c r="AB625" s="3"/>
      <c r="AC625" s="3"/>
      <c r="AD625" s="3"/>
      <c r="AE625" s="3"/>
      <c r="AF625" s="3"/>
      <c r="AG625" s="3"/>
      <c r="AH625" s="3"/>
      <c r="AI625" s="3"/>
      <c r="AJ625" s="3"/>
      <c r="AK625" s="3"/>
    </row>
    <row r="626" ht="15.75" customHeight="1">
      <c r="A626" s="3"/>
      <c r="B626" s="466"/>
      <c r="C626" s="667"/>
      <c r="D626" s="667"/>
      <c r="E626" s="668"/>
      <c r="F626" s="667"/>
      <c r="G626" s="667"/>
      <c r="H626" s="667"/>
      <c r="I626" s="667"/>
      <c r="J626" s="667"/>
      <c r="K626" s="667"/>
      <c r="L626" s="667"/>
      <c r="M626" s="667"/>
      <c r="N626" s="667"/>
      <c r="O626" s="667"/>
      <c r="P626" s="667"/>
      <c r="Q626" s="667"/>
      <c r="S626" s="3"/>
      <c r="T626" s="3"/>
      <c r="U626" s="3"/>
      <c r="V626" s="3"/>
      <c r="W626" s="3"/>
      <c r="X626" s="3"/>
      <c r="Y626" s="3"/>
      <c r="Z626" s="3"/>
      <c r="AA626" s="3"/>
      <c r="AB626" s="3"/>
      <c r="AC626" s="3"/>
      <c r="AD626" s="3"/>
      <c r="AE626" s="3"/>
      <c r="AF626" s="3"/>
      <c r="AG626" s="3"/>
      <c r="AH626" s="3"/>
      <c r="AI626" s="3"/>
      <c r="AJ626" s="3"/>
      <c r="AK626" s="3"/>
    </row>
    <row r="627" ht="15.75" customHeight="1">
      <c r="A627" s="3"/>
      <c r="B627" s="466"/>
      <c r="C627" s="667"/>
      <c r="D627" s="667"/>
      <c r="E627" s="668"/>
      <c r="F627" s="667"/>
      <c r="G627" s="667"/>
      <c r="H627" s="667"/>
      <c r="I627" s="667"/>
      <c r="J627" s="667"/>
      <c r="K627" s="667"/>
      <c r="L627" s="667"/>
      <c r="M627" s="667"/>
      <c r="N627" s="667"/>
      <c r="O627" s="667"/>
      <c r="P627" s="667"/>
      <c r="Q627" s="667"/>
      <c r="S627" s="3"/>
      <c r="T627" s="3"/>
      <c r="U627" s="3"/>
      <c r="V627" s="3"/>
      <c r="W627" s="3"/>
      <c r="X627" s="3"/>
      <c r="Y627" s="3"/>
      <c r="Z627" s="3"/>
      <c r="AA627" s="3"/>
      <c r="AB627" s="3"/>
      <c r="AC627" s="3"/>
      <c r="AD627" s="3"/>
      <c r="AE627" s="3"/>
      <c r="AF627" s="3"/>
      <c r="AG627" s="3"/>
      <c r="AH627" s="3"/>
      <c r="AI627" s="3"/>
      <c r="AJ627" s="3"/>
      <c r="AK627" s="3"/>
    </row>
    <row r="628" ht="15.75" customHeight="1">
      <c r="A628" s="3"/>
      <c r="B628" s="466"/>
      <c r="C628" s="667"/>
      <c r="D628" s="667"/>
      <c r="E628" s="668"/>
      <c r="F628" s="667"/>
      <c r="G628" s="667"/>
      <c r="H628" s="667"/>
      <c r="I628" s="667"/>
      <c r="J628" s="667"/>
      <c r="K628" s="667"/>
      <c r="L628" s="667"/>
      <c r="M628" s="667"/>
      <c r="N628" s="667"/>
      <c r="O628" s="667"/>
      <c r="P628" s="667"/>
      <c r="Q628" s="667"/>
      <c r="S628" s="3"/>
      <c r="T628" s="3"/>
      <c r="U628" s="3"/>
      <c r="V628" s="3"/>
      <c r="W628" s="3"/>
      <c r="X628" s="3"/>
      <c r="Y628" s="3"/>
      <c r="Z628" s="3"/>
      <c r="AA628" s="3"/>
      <c r="AB628" s="3"/>
      <c r="AC628" s="3"/>
      <c r="AD628" s="3"/>
      <c r="AE628" s="3"/>
      <c r="AF628" s="3"/>
      <c r="AG628" s="3"/>
      <c r="AH628" s="3"/>
      <c r="AI628" s="3"/>
      <c r="AJ628" s="3"/>
      <c r="AK628" s="3"/>
    </row>
    <row r="629" ht="15.75" customHeight="1">
      <c r="A629" s="3"/>
      <c r="B629" s="466"/>
      <c r="C629" s="667"/>
      <c r="D629" s="667"/>
      <c r="E629" s="668"/>
      <c r="F629" s="667"/>
      <c r="G629" s="667"/>
      <c r="H629" s="667"/>
      <c r="I629" s="667"/>
      <c r="J629" s="667"/>
      <c r="K629" s="667"/>
      <c r="L629" s="667"/>
      <c r="M629" s="667"/>
      <c r="N629" s="667"/>
      <c r="O629" s="667"/>
      <c r="P629" s="667"/>
      <c r="Q629" s="667"/>
      <c r="S629" s="3"/>
      <c r="T629" s="3"/>
      <c r="U629" s="3"/>
      <c r="V629" s="3"/>
      <c r="W629" s="3"/>
      <c r="X629" s="3"/>
      <c r="Y629" s="3"/>
      <c r="Z629" s="3"/>
      <c r="AA629" s="3"/>
      <c r="AB629" s="3"/>
      <c r="AC629" s="3"/>
      <c r="AD629" s="3"/>
      <c r="AE629" s="3"/>
      <c r="AF629" s="3"/>
      <c r="AG629" s="3"/>
      <c r="AH629" s="3"/>
      <c r="AI629" s="3"/>
      <c r="AJ629" s="3"/>
      <c r="AK629" s="3"/>
    </row>
    <row r="630" ht="15.75" customHeight="1">
      <c r="A630" s="3"/>
      <c r="B630" s="466"/>
      <c r="C630" s="667"/>
      <c r="D630" s="667"/>
      <c r="E630" s="668"/>
      <c r="F630" s="667"/>
      <c r="G630" s="667"/>
      <c r="H630" s="667"/>
      <c r="I630" s="667"/>
      <c r="J630" s="667"/>
      <c r="K630" s="667"/>
      <c r="L630" s="667"/>
      <c r="M630" s="667"/>
      <c r="N630" s="667"/>
      <c r="O630" s="667"/>
      <c r="P630" s="667"/>
      <c r="Q630" s="667"/>
      <c r="S630" s="3"/>
      <c r="T630" s="3"/>
      <c r="U630" s="3"/>
      <c r="V630" s="3"/>
      <c r="W630" s="3"/>
      <c r="X630" s="3"/>
      <c r="Y630" s="3"/>
      <c r="Z630" s="3"/>
      <c r="AA630" s="3"/>
      <c r="AB630" s="3"/>
      <c r="AC630" s="3"/>
      <c r="AD630" s="3"/>
      <c r="AE630" s="3"/>
      <c r="AF630" s="3"/>
      <c r="AG630" s="3"/>
      <c r="AH630" s="3"/>
      <c r="AI630" s="3"/>
      <c r="AJ630" s="3"/>
      <c r="AK630" s="3"/>
    </row>
    <row r="631" ht="15.75" customHeight="1">
      <c r="A631" s="3"/>
      <c r="B631" s="466"/>
      <c r="C631" s="667"/>
      <c r="D631" s="667"/>
      <c r="E631" s="668"/>
      <c r="F631" s="667"/>
      <c r="G631" s="667"/>
      <c r="H631" s="667"/>
      <c r="I631" s="667"/>
      <c r="J631" s="667"/>
      <c r="K631" s="667"/>
      <c r="L631" s="667"/>
      <c r="M631" s="667"/>
      <c r="N631" s="667"/>
      <c r="O631" s="667"/>
      <c r="P631" s="667"/>
      <c r="Q631" s="667"/>
      <c r="S631" s="3"/>
      <c r="T631" s="3"/>
      <c r="U631" s="3"/>
      <c r="V631" s="3"/>
      <c r="W631" s="3"/>
      <c r="X631" s="3"/>
      <c r="Y631" s="3"/>
      <c r="Z631" s="3"/>
      <c r="AA631" s="3"/>
      <c r="AB631" s="3"/>
      <c r="AC631" s="3"/>
      <c r="AD631" s="3"/>
      <c r="AE631" s="3"/>
      <c r="AF631" s="3"/>
      <c r="AG631" s="3"/>
      <c r="AH631" s="3"/>
      <c r="AI631" s="3"/>
      <c r="AJ631" s="3"/>
      <c r="AK631" s="3"/>
    </row>
    <row r="632" ht="15.75" customHeight="1">
      <c r="A632" s="3"/>
      <c r="B632" s="466"/>
      <c r="C632" s="667"/>
      <c r="D632" s="667"/>
      <c r="E632" s="668"/>
      <c r="F632" s="667"/>
      <c r="G632" s="667"/>
      <c r="H632" s="667"/>
      <c r="I632" s="667"/>
      <c r="J632" s="667"/>
      <c r="K632" s="667"/>
      <c r="L632" s="667"/>
      <c r="M632" s="667"/>
      <c r="N632" s="667"/>
      <c r="O632" s="667"/>
      <c r="P632" s="667"/>
      <c r="Q632" s="667"/>
      <c r="S632" s="3"/>
      <c r="T632" s="3"/>
      <c r="U632" s="3"/>
      <c r="V632" s="3"/>
      <c r="W632" s="3"/>
      <c r="X632" s="3"/>
      <c r="Y632" s="3"/>
      <c r="Z632" s="3"/>
      <c r="AA632" s="3"/>
      <c r="AB632" s="3"/>
      <c r="AC632" s="3"/>
      <c r="AD632" s="3"/>
      <c r="AE632" s="3"/>
      <c r="AF632" s="3"/>
      <c r="AG632" s="3"/>
      <c r="AH632" s="3"/>
      <c r="AI632" s="3"/>
      <c r="AJ632" s="3"/>
      <c r="AK632" s="3"/>
    </row>
    <row r="633" ht="15.75" customHeight="1">
      <c r="A633" s="3"/>
      <c r="B633" s="466"/>
      <c r="C633" s="667"/>
      <c r="D633" s="667"/>
      <c r="E633" s="668"/>
      <c r="F633" s="667"/>
      <c r="G633" s="667"/>
      <c r="H633" s="667"/>
      <c r="I633" s="667"/>
      <c r="J633" s="667"/>
      <c r="K633" s="667"/>
      <c r="L633" s="667"/>
      <c r="M633" s="667"/>
      <c r="N633" s="667"/>
      <c r="O633" s="667"/>
      <c r="P633" s="667"/>
      <c r="Q633" s="667"/>
      <c r="S633" s="3"/>
      <c r="T633" s="3"/>
      <c r="U633" s="3"/>
      <c r="V633" s="3"/>
      <c r="W633" s="3"/>
      <c r="X633" s="3"/>
      <c r="Y633" s="3"/>
      <c r="Z633" s="3"/>
      <c r="AA633" s="3"/>
      <c r="AB633" s="3"/>
      <c r="AC633" s="3"/>
      <c r="AD633" s="3"/>
      <c r="AE633" s="3"/>
      <c r="AF633" s="3"/>
      <c r="AG633" s="3"/>
      <c r="AH633" s="3"/>
      <c r="AI633" s="3"/>
      <c r="AJ633" s="3"/>
      <c r="AK633" s="3"/>
    </row>
    <row r="634" ht="15.75" customHeight="1">
      <c r="A634" s="3"/>
      <c r="B634" s="466"/>
      <c r="C634" s="667"/>
      <c r="D634" s="667"/>
      <c r="E634" s="668"/>
      <c r="F634" s="667"/>
      <c r="G634" s="667"/>
      <c r="H634" s="667"/>
      <c r="I634" s="667"/>
      <c r="J634" s="667"/>
      <c r="K634" s="667"/>
      <c r="L634" s="667"/>
      <c r="M634" s="667"/>
      <c r="N634" s="667"/>
      <c r="O634" s="667"/>
      <c r="P634" s="667"/>
      <c r="Q634" s="667"/>
      <c r="S634" s="3"/>
      <c r="T634" s="3"/>
      <c r="U634" s="3"/>
      <c r="V634" s="3"/>
      <c r="W634" s="3"/>
      <c r="X634" s="3"/>
      <c r="Y634" s="3"/>
      <c r="Z634" s="3"/>
      <c r="AA634" s="3"/>
      <c r="AB634" s="3"/>
      <c r="AC634" s="3"/>
      <c r="AD634" s="3"/>
      <c r="AE634" s="3"/>
      <c r="AF634" s="3"/>
      <c r="AG634" s="3"/>
      <c r="AH634" s="3"/>
      <c r="AI634" s="3"/>
      <c r="AJ634" s="3"/>
      <c r="AK634" s="3"/>
    </row>
    <row r="635" ht="15.75" customHeight="1">
      <c r="A635" s="3"/>
      <c r="B635" s="466"/>
      <c r="C635" s="667"/>
      <c r="D635" s="667"/>
      <c r="E635" s="668"/>
      <c r="F635" s="667"/>
      <c r="G635" s="667"/>
      <c r="H635" s="667"/>
      <c r="I635" s="667"/>
      <c r="J635" s="667"/>
      <c r="K635" s="667"/>
      <c r="L635" s="667"/>
      <c r="M635" s="667"/>
      <c r="N635" s="667"/>
      <c r="O635" s="667"/>
      <c r="P635" s="667"/>
      <c r="Q635" s="667"/>
      <c r="S635" s="3"/>
      <c r="T635" s="3"/>
      <c r="U635" s="3"/>
      <c r="V635" s="3"/>
      <c r="W635" s="3"/>
      <c r="X635" s="3"/>
      <c r="Y635" s="3"/>
      <c r="Z635" s="3"/>
      <c r="AA635" s="3"/>
      <c r="AB635" s="3"/>
      <c r="AC635" s="3"/>
      <c r="AD635" s="3"/>
      <c r="AE635" s="3"/>
      <c r="AF635" s="3"/>
      <c r="AG635" s="3"/>
      <c r="AH635" s="3"/>
      <c r="AI635" s="3"/>
      <c r="AJ635" s="3"/>
      <c r="AK635" s="3"/>
    </row>
    <row r="636" ht="15.75" customHeight="1">
      <c r="A636" s="3"/>
      <c r="B636" s="466"/>
      <c r="C636" s="667"/>
      <c r="D636" s="667"/>
      <c r="E636" s="668"/>
      <c r="F636" s="667"/>
      <c r="G636" s="667"/>
      <c r="H636" s="667"/>
      <c r="I636" s="667"/>
      <c r="J636" s="667"/>
      <c r="K636" s="667"/>
      <c r="L636" s="667"/>
      <c r="M636" s="667"/>
      <c r="N636" s="667"/>
      <c r="O636" s="667"/>
      <c r="P636" s="667"/>
      <c r="Q636" s="667"/>
      <c r="S636" s="3"/>
      <c r="T636" s="3"/>
      <c r="U636" s="3"/>
      <c r="V636" s="3"/>
      <c r="W636" s="3"/>
      <c r="X636" s="3"/>
      <c r="Y636" s="3"/>
      <c r="Z636" s="3"/>
      <c r="AA636" s="3"/>
      <c r="AB636" s="3"/>
      <c r="AC636" s="3"/>
      <c r="AD636" s="3"/>
      <c r="AE636" s="3"/>
      <c r="AF636" s="3"/>
      <c r="AG636" s="3"/>
      <c r="AH636" s="3"/>
      <c r="AI636" s="3"/>
      <c r="AJ636" s="3"/>
      <c r="AK636" s="3"/>
    </row>
    <row r="637" ht="15.75" customHeight="1">
      <c r="A637" s="3"/>
      <c r="B637" s="466"/>
      <c r="C637" s="667"/>
      <c r="D637" s="667"/>
      <c r="E637" s="668"/>
      <c r="F637" s="667"/>
      <c r="G637" s="667"/>
      <c r="H637" s="667"/>
      <c r="I637" s="667"/>
      <c r="J637" s="667"/>
      <c r="K637" s="667"/>
      <c r="L637" s="667"/>
      <c r="M637" s="667"/>
      <c r="N637" s="667"/>
      <c r="O637" s="667"/>
      <c r="P637" s="667"/>
      <c r="Q637" s="667"/>
      <c r="S637" s="3"/>
      <c r="T637" s="3"/>
      <c r="U637" s="3"/>
      <c r="V637" s="3"/>
      <c r="W637" s="3"/>
      <c r="X637" s="3"/>
      <c r="Y637" s="3"/>
      <c r="Z637" s="3"/>
      <c r="AA637" s="3"/>
      <c r="AB637" s="3"/>
      <c r="AC637" s="3"/>
      <c r="AD637" s="3"/>
      <c r="AE637" s="3"/>
      <c r="AF637" s="3"/>
      <c r="AG637" s="3"/>
      <c r="AH637" s="3"/>
      <c r="AI637" s="3"/>
      <c r="AJ637" s="3"/>
      <c r="AK637" s="3"/>
    </row>
    <row r="638" ht="15.75" customHeight="1">
      <c r="A638" s="3"/>
      <c r="B638" s="466"/>
      <c r="C638" s="667"/>
      <c r="D638" s="667"/>
      <c r="E638" s="668"/>
      <c r="F638" s="667"/>
      <c r="G638" s="667"/>
      <c r="H638" s="667"/>
      <c r="I638" s="667"/>
      <c r="J638" s="667"/>
      <c r="K638" s="667"/>
      <c r="L638" s="667"/>
      <c r="M638" s="667"/>
      <c r="N638" s="667"/>
      <c r="O638" s="667"/>
      <c r="P638" s="667"/>
      <c r="Q638" s="667"/>
      <c r="S638" s="3"/>
      <c r="T638" s="3"/>
      <c r="U638" s="3"/>
      <c r="V638" s="3"/>
      <c r="W638" s="3"/>
      <c r="X638" s="3"/>
      <c r="Y638" s="3"/>
      <c r="Z638" s="3"/>
      <c r="AA638" s="3"/>
      <c r="AB638" s="3"/>
      <c r="AC638" s="3"/>
      <c r="AD638" s="3"/>
      <c r="AE638" s="3"/>
      <c r="AF638" s="3"/>
      <c r="AG638" s="3"/>
      <c r="AH638" s="3"/>
      <c r="AI638" s="3"/>
      <c r="AJ638" s="3"/>
      <c r="AK638" s="3"/>
    </row>
    <row r="639" ht="15.75" customHeight="1">
      <c r="A639" s="3"/>
      <c r="B639" s="466"/>
      <c r="C639" s="667"/>
      <c r="D639" s="667"/>
      <c r="E639" s="668"/>
      <c r="F639" s="667"/>
      <c r="G639" s="667"/>
      <c r="H639" s="667"/>
      <c r="I639" s="667"/>
      <c r="J639" s="667"/>
      <c r="K639" s="667"/>
      <c r="L639" s="667"/>
      <c r="M639" s="667"/>
      <c r="N639" s="667"/>
      <c r="O639" s="667"/>
      <c r="P639" s="667"/>
      <c r="Q639" s="667"/>
      <c r="S639" s="3"/>
      <c r="T639" s="3"/>
      <c r="U639" s="3"/>
      <c r="V639" s="3"/>
      <c r="W639" s="3"/>
      <c r="X639" s="3"/>
      <c r="Y639" s="3"/>
      <c r="Z639" s="3"/>
      <c r="AA639" s="3"/>
      <c r="AB639" s="3"/>
      <c r="AC639" s="3"/>
      <c r="AD639" s="3"/>
      <c r="AE639" s="3"/>
      <c r="AF639" s="3"/>
      <c r="AG639" s="3"/>
      <c r="AH639" s="3"/>
      <c r="AI639" s="3"/>
      <c r="AJ639" s="3"/>
      <c r="AK639" s="3"/>
    </row>
    <row r="640" ht="15.75" customHeight="1">
      <c r="A640" s="3"/>
      <c r="B640" s="466"/>
      <c r="C640" s="667"/>
      <c r="D640" s="667"/>
      <c r="E640" s="668"/>
      <c r="F640" s="667"/>
      <c r="G640" s="667"/>
      <c r="H640" s="667"/>
      <c r="I640" s="667"/>
      <c r="J640" s="667"/>
      <c r="K640" s="667"/>
      <c r="L640" s="667"/>
      <c r="M640" s="667"/>
      <c r="N640" s="667"/>
      <c r="O640" s="667"/>
      <c r="P640" s="667"/>
      <c r="Q640" s="667"/>
      <c r="S640" s="3"/>
      <c r="T640" s="3"/>
      <c r="U640" s="3"/>
      <c r="V640" s="3"/>
      <c r="W640" s="3"/>
      <c r="X640" s="3"/>
      <c r="Y640" s="3"/>
      <c r="Z640" s="3"/>
      <c r="AA640" s="3"/>
      <c r="AB640" s="3"/>
      <c r="AC640" s="3"/>
      <c r="AD640" s="3"/>
      <c r="AE640" s="3"/>
      <c r="AF640" s="3"/>
      <c r="AG640" s="3"/>
      <c r="AH640" s="3"/>
      <c r="AI640" s="3"/>
      <c r="AJ640" s="3"/>
      <c r="AK640" s="3"/>
    </row>
    <row r="641" ht="15.75" customHeight="1">
      <c r="A641" s="3"/>
      <c r="B641" s="466"/>
      <c r="C641" s="667"/>
      <c r="D641" s="667"/>
      <c r="E641" s="668"/>
      <c r="F641" s="667"/>
      <c r="G641" s="667"/>
      <c r="H641" s="667"/>
      <c r="I641" s="667"/>
      <c r="J641" s="667"/>
      <c r="K641" s="667"/>
      <c r="L641" s="667"/>
      <c r="M641" s="667"/>
      <c r="N641" s="667"/>
      <c r="O641" s="667"/>
      <c r="P641" s="667"/>
      <c r="Q641" s="667"/>
      <c r="S641" s="3"/>
      <c r="T641" s="3"/>
      <c r="U641" s="3"/>
      <c r="V641" s="3"/>
      <c r="W641" s="3"/>
      <c r="X641" s="3"/>
      <c r="Y641" s="3"/>
      <c r="Z641" s="3"/>
      <c r="AA641" s="3"/>
      <c r="AB641" s="3"/>
      <c r="AC641" s="3"/>
      <c r="AD641" s="3"/>
      <c r="AE641" s="3"/>
      <c r="AF641" s="3"/>
      <c r="AG641" s="3"/>
      <c r="AH641" s="3"/>
      <c r="AI641" s="3"/>
      <c r="AJ641" s="3"/>
      <c r="AK641" s="3"/>
    </row>
    <row r="642" ht="15.75" customHeight="1">
      <c r="A642" s="3"/>
      <c r="B642" s="466"/>
      <c r="C642" s="667"/>
      <c r="D642" s="667"/>
      <c r="E642" s="668"/>
      <c r="F642" s="667"/>
      <c r="G642" s="667"/>
      <c r="H642" s="667"/>
      <c r="I642" s="667"/>
      <c r="J642" s="667"/>
      <c r="K642" s="667"/>
      <c r="L642" s="667"/>
      <c r="M642" s="667"/>
      <c r="N642" s="667"/>
      <c r="O642" s="667"/>
      <c r="P642" s="667"/>
      <c r="Q642" s="667"/>
      <c r="S642" s="3"/>
      <c r="T642" s="3"/>
      <c r="U642" s="3"/>
      <c r="V642" s="3"/>
      <c r="W642" s="3"/>
      <c r="X642" s="3"/>
      <c r="Y642" s="3"/>
      <c r="Z642" s="3"/>
      <c r="AA642" s="3"/>
      <c r="AB642" s="3"/>
      <c r="AC642" s="3"/>
      <c r="AD642" s="3"/>
      <c r="AE642" s="3"/>
      <c r="AF642" s="3"/>
      <c r="AG642" s="3"/>
      <c r="AH642" s="3"/>
      <c r="AI642" s="3"/>
      <c r="AJ642" s="3"/>
      <c r="AK642" s="3"/>
    </row>
    <row r="643" ht="15.75" customHeight="1">
      <c r="A643" s="3"/>
      <c r="B643" s="466"/>
      <c r="C643" s="667"/>
      <c r="D643" s="667"/>
      <c r="E643" s="668"/>
      <c r="F643" s="667"/>
      <c r="G643" s="667"/>
      <c r="H643" s="667"/>
      <c r="I643" s="667"/>
      <c r="J643" s="667"/>
      <c r="K643" s="667"/>
      <c r="L643" s="667"/>
      <c r="M643" s="667"/>
      <c r="N643" s="667"/>
      <c r="O643" s="667"/>
      <c r="P643" s="667"/>
      <c r="Q643" s="667"/>
      <c r="S643" s="3"/>
      <c r="T643" s="3"/>
      <c r="U643" s="3"/>
      <c r="V643" s="3"/>
      <c r="W643" s="3"/>
      <c r="X643" s="3"/>
      <c r="Y643" s="3"/>
      <c r="Z643" s="3"/>
      <c r="AA643" s="3"/>
      <c r="AB643" s="3"/>
      <c r="AC643" s="3"/>
      <c r="AD643" s="3"/>
      <c r="AE643" s="3"/>
      <c r="AF643" s="3"/>
      <c r="AG643" s="3"/>
      <c r="AH643" s="3"/>
      <c r="AI643" s="3"/>
      <c r="AJ643" s="3"/>
      <c r="AK643" s="3"/>
    </row>
    <row r="644" ht="15.75" customHeight="1">
      <c r="A644" s="3"/>
      <c r="B644" s="466"/>
      <c r="C644" s="667"/>
      <c r="D644" s="667"/>
      <c r="E644" s="668"/>
      <c r="F644" s="667"/>
      <c r="G644" s="667"/>
      <c r="H644" s="667"/>
      <c r="I644" s="667"/>
      <c r="J644" s="667"/>
      <c r="K644" s="667"/>
      <c r="L644" s="667"/>
      <c r="M644" s="667"/>
      <c r="N644" s="667"/>
      <c r="O644" s="667"/>
      <c r="P644" s="667"/>
      <c r="Q644" s="667"/>
      <c r="S644" s="3"/>
      <c r="T644" s="3"/>
      <c r="U644" s="3"/>
      <c r="V644" s="3"/>
      <c r="W644" s="3"/>
      <c r="X644" s="3"/>
      <c r="Y644" s="3"/>
      <c r="Z644" s="3"/>
      <c r="AA644" s="3"/>
      <c r="AB644" s="3"/>
      <c r="AC644" s="3"/>
      <c r="AD644" s="3"/>
      <c r="AE644" s="3"/>
      <c r="AF644" s="3"/>
      <c r="AG644" s="3"/>
      <c r="AH644" s="3"/>
      <c r="AI644" s="3"/>
      <c r="AJ644" s="3"/>
      <c r="AK644" s="3"/>
    </row>
    <row r="645" ht="15.75" customHeight="1">
      <c r="A645" s="3"/>
      <c r="B645" s="466"/>
      <c r="C645" s="667"/>
      <c r="D645" s="667"/>
      <c r="E645" s="668"/>
      <c r="F645" s="667"/>
      <c r="G645" s="667"/>
      <c r="H645" s="667"/>
      <c r="I645" s="667"/>
      <c r="J645" s="667"/>
      <c r="K645" s="667"/>
      <c r="L645" s="667"/>
      <c r="M645" s="667"/>
      <c r="N645" s="667"/>
      <c r="O645" s="667"/>
      <c r="P645" s="667"/>
      <c r="Q645" s="667"/>
      <c r="S645" s="3"/>
      <c r="T645" s="3"/>
      <c r="U645" s="3"/>
      <c r="V645" s="3"/>
      <c r="W645" s="3"/>
      <c r="X645" s="3"/>
      <c r="Y645" s="3"/>
      <c r="Z645" s="3"/>
      <c r="AA645" s="3"/>
      <c r="AB645" s="3"/>
      <c r="AC645" s="3"/>
      <c r="AD645" s="3"/>
      <c r="AE645" s="3"/>
      <c r="AF645" s="3"/>
      <c r="AG645" s="3"/>
      <c r="AH645" s="3"/>
      <c r="AI645" s="3"/>
      <c r="AJ645" s="3"/>
      <c r="AK645" s="3"/>
    </row>
    <row r="646" ht="15.75" customHeight="1">
      <c r="A646" s="3"/>
      <c r="B646" s="466"/>
      <c r="C646" s="667"/>
      <c r="D646" s="667"/>
      <c r="E646" s="668"/>
      <c r="F646" s="667"/>
      <c r="G646" s="667"/>
      <c r="H646" s="667"/>
      <c r="I646" s="667"/>
      <c r="J646" s="667"/>
      <c r="K646" s="667"/>
      <c r="L646" s="667"/>
      <c r="M646" s="667"/>
      <c r="N646" s="667"/>
      <c r="O646" s="667"/>
      <c r="P646" s="667"/>
      <c r="Q646" s="667"/>
      <c r="S646" s="3"/>
      <c r="T646" s="3"/>
      <c r="U646" s="3"/>
      <c r="V646" s="3"/>
      <c r="W646" s="3"/>
      <c r="X646" s="3"/>
      <c r="Y646" s="3"/>
      <c r="Z646" s="3"/>
      <c r="AA646" s="3"/>
      <c r="AB646" s="3"/>
      <c r="AC646" s="3"/>
      <c r="AD646" s="3"/>
      <c r="AE646" s="3"/>
      <c r="AF646" s="3"/>
      <c r="AG646" s="3"/>
      <c r="AH646" s="3"/>
      <c r="AI646" s="3"/>
      <c r="AJ646" s="3"/>
      <c r="AK646" s="3"/>
    </row>
    <row r="647" ht="15.75" customHeight="1">
      <c r="A647" s="3"/>
      <c r="B647" s="466"/>
      <c r="C647" s="667"/>
      <c r="D647" s="667"/>
      <c r="E647" s="668"/>
      <c r="F647" s="667"/>
      <c r="G647" s="667"/>
      <c r="H647" s="667"/>
      <c r="I647" s="667"/>
      <c r="J647" s="667"/>
      <c r="K647" s="667"/>
      <c r="L647" s="667"/>
      <c r="M647" s="667"/>
      <c r="N647" s="667"/>
      <c r="O647" s="667"/>
      <c r="P647" s="667"/>
      <c r="Q647" s="667"/>
      <c r="S647" s="3"/>
      <c r="T647" s="3"/>
      <c r="U647" s="3"/>
      <c r="V647" s="3"/>
      <c r="W647" s="3"/>
      <c r="X647" s="3"/>
      <c r="Y647" s="3"/>
      <c r="Z647" s="3"/>
      <c r="AA647" s="3"/>
      <c r="AB647" s="3"/>
      <c r="AC647" s="3"/>
      <c r="AD647" s="3"/>
      <c r="AE647" s="3"/>
      <c r="AF647" s="3"/>
      <c r="AG647" s="3"/>
      <c r="AH647" s="3"/>
      <c r="AI647" s="3"/>
      <c r="AJ647" s="3"/>
      <c r="AK647" s="3"/>
    </row>
    <row r="648" ht="15.75" customHeight="1">
      <c r="A648" s="3"/>
      <c r="B648" s="466"/>
      <c r="C648" s="667"/>
      <c r="D648" s="667"/>
      <c r="E648" s="668"/>
      <c r="F648" s="667"/>
      <c r="G648" s="667"/>
      <c r="H648" s="667"/>
      <c r="I648" s="667"/>
      <c r="J648" s="667"/>
      <c r="K648" s="667"/>
      <c r="L648" s="667"/>
      <c r="M648" s="667"/>
      <c r="N648" s="667"/>
      <c r="O648" s="667"/>
      <c r="P648" s="667"/>
      <c r="Q648" s="667"/>
      <c r="S648" s="3"/>
      <c r="T648" s="3"/>
      <c r="U648" s="3"/>
      <c r="V648" s="3"/>
      <c r="W648" s="3"/>
      <c r="X648" s="3"/>
      <c r="Y648" s="3"/>
      <c r="Z648" s="3"/>
      <c r="AA648" s="3"/>
      <c r="AB648" s="3"/>
      <c r="AC648" s="3"/>
      <c r="AD648" s="3"/>
      <c r="AE648" s="3"/>
      <c r="AF648" s="3"/>
      <c r="AG648" s="3"/>
      <c r="AH648" s="3"/>
      <c r="AI648" s="3"/>
      <c r="AJ648" s="3"/>
      <c r="AK648" s="3"/>
    </row>
    <row r="649" ht="15.75" customHeight="1">
      <c r="A649" s="3"/>
      <c r="B649" s="466"/>
      <c r="C649" s="667"/>
      <c r="D649" s="667"/>
      <c r="E649" s="668"/>
      <c r="F649" s="667"/>
      <c r="G649" s="667"/>
      <c r="H649" s="667"/>
      <c r="I649" s="667"/>
      <c r="J649" s="667"/>
      <c r="K649" s="667"/>
      <c r="L649" s="667"/>
      <c r="M649" s="667"/>
      <c r="N649" s="667"/>
      <c r="O649" s="667"/>
      <c r="P649" s="667"/>
      <c r="Q649" s="667"/>
      <c r="S649" s="3"/>
      <c r="T649" s="3"/>
      <c r="U649" s="3"/>
      <c r="V649" s="3"/>
      <c r="W649" s="3"/>
      <c r="X649" s="3"/>
      <c r="Y649" s="3"/>
      <c r="Z649" s="3"/>
      <c r="AA649" s="3"/>
      <c r="AB649" s="3"/>
      <c r="AC649" s="3"/>
      <c r="AD649" s="3"/>
      <c r="AE649" s="3"/>
      <c r="AF649" s="3"/>
      <c r="AG649" s="3"/>
      <c r="AH649" s="3"/>
      <c r="AI649" s="3"/>
      <c r="AJ649" s="3"/>
      <c r="AK649" s="3"/>
    </row>
    <row r="650" ht="15.75" customHeight="1">
      <c r="A650" s="3"/>
      <c r="B650" s="466"/>
      <c r="C650" s="667"/>
      <c r="D650" s="667"/>
      <c r="E650" s="668"/>
      <c r="F650" s="667"/>
      <c r="G650" s="667"/>
      <c r="H650" s="667"/>
      <c r="I650" s="667"/>
      <c r="J650" s="667"/>
      <c r="K650" s="667"/>
      <c r="L650" s="667"/>
      <c r="M650" s="667"/>
      <c r="N650" s="667"/>
      <c r="O650" s="667"/>
      <c r="P650" s="667"/>
      <c r="Q650" s="667"/>
      <c r="S650" s="3"/>
      <c r="T650" s="3"/>
      <c r="U650" s="3"/>
      <c r="V650" s="3"/>
      <c r="W650" s="3"/>
      <c r="X650" s="3"/>
      <c r="Y650" s="3"/>
      <c r="Z650" s="3"/>
      <c r="AA650" s="3"/>
      <c r="AB650" s="3"/>
      <c r="AC650" s="3"/>
      <c r="AD650" s="3"/>
      <c r="AE650" s="3"/>
      <c r="AF650" s="3"/>
      <c r="AG650" s="3"/>
      <c r="AH650" s="3"/>
      <c r="AI650" s="3"/>
      <c r="AJ650" s="3"/>
      <c r="AK650" s="3"/>
    </row>
    <row r="651" ht="15.75" customHeight="1">
      <c r="A651" s="3"/>
      <c r="B651" s="466"/>
      <c r="C651" s="667"/>
      <c r="D651" s="667"/>
      <c r="E651" s="668"/>
      <c r="F651" s="667"/>
      <c r="G651" s="667"/>
      <c r="H651" s="667"/>
      <c r="I651" s="667"/>
      <c r="J651" s="667"/>
      <c r="K651" s="667"/>
      <c r="L651" s="667"/>
      <c r="M651" s="667"/>
      <c r="N651" s="667"/>
      <c r="O651" s="667"/>
      <c r="P651" s="667"/>
      <c r="Q651" s="667"/>
      <c r="S651" s="3"/>
      <c r="T651" s="3"/>
      <c r="U651" s="3"/>
      <c r="V651" s="3"/>
      <c r="W651" s="3"/>
      <c r="X651" s="3"/>
      <c r="Y651" s="3"/>
      <c r="Z651" s="3"/>
      <c r="AA651" s="3"/>
      <c r="AB651" s="3"/>
      <c r="AC651" s="3"/>
      <c r="AD651" s="3"/>
      <c r="AE651" s="3"/>
      <c r="AF651" s="3"/>
      <c r="AG651" s="3"/>
      <c r="AH651" s="3"/>
      <c r="AI651" s="3"/>
      <c r="AJ651" s="3"/>
      <c r="AK651" s="3"/>
    </row>
    <row r="652" ht="15.75" customHeight="1">
      <c r="A652" s="3"/>
      <c r="B652" s="466"/>
      <c r="C652" s="667"/>
      <c r="D652" s="667"/>
      <c r="E652" s="668"/>
      <c r="F652" s="667"/>
      <c r="G652" s="667"/>
      <c r="H652" s="667"/>
      <c r="I652" s="667"/>
      <c r="J652" s="667"/>
      <c r="K652" s="667"/>
      <c r="L652" s="667"/>
      <c r="M652" s="667"/>
      <c r="N652" s="667"/>
      <c r="O652" s="667"/>
      <c r="P652" s="667"/>
      <c r="Q652" s="667"/>
      <c r="S652" s="3"/>
      <c r="T652" s="3"/>
      <c r="U652" s="3"/>
      <c r="V652" s="3"/>
      <c r="W652" s="3"/>
      <c r="X652" s="3"/>
      <c r="Y652" s="3"/>
      <c r="Z652" s="3"/>
      <c r="AA652" s="3"/>
      <c r="AB652" s="3"/>
      <c r="AC652" s="3"/>
      <c r="AD652" s="3"/>
      <c r="AE652" s="3"/>
      <c r="AF652" s="3"/>
      <c r="AG652" s="3"/>
      <c r="AH652" s="3"/>
      <c r="AI652" s="3"/>
      <c r="AJ652" s="3"/>
      <c r="AK652" s="3"/>
    </row>
    <row r="653" ht="15.75" customHeight="1">
      <c r="A653" s="3"/>
      <c r="B653" s="466"/>
      <c r="C653" s="667"/>
      <c r="D653" s="667"/>
      <c r="E653" s="668"/>
      <c r="F653" s="667"/>
      <c r="G653" s="667"/>
      <c r="H653" s="667"/>
      <c r="I653" s="667"/>
      <c r="J653" s="667"/>
      <c r="K653" s="667"/>
      <c r="L653" s="667"/>
      <c r="M653" s="667"/>
      <c r="N653" s="667"/>
      <c r="O653" s="667"/>
      <c r="P653" s="667"/>
      <c r="Q653" s="667"/>
      <c r="S653" s="3"/>
      <c r="T653" s="3"/>
      <c r="U653" s="3"/>
      <c r="V653" s="3"/>
      <c r="W653" s="3"/>
      <c r="X653" s="3"/>
      <c r="Y653" s="3"/>
      <c r="Z653" s="3"/>
      <c r="AA653" s="3"/>
      <c r="AB653" s="3"/>
      <c r="AC653" s="3"/>
      <c r="AD653" s="3"/>
      <c r="AE653" s="3"/>
      <c r="AF653" s="3"/>
      <c r="AG653" s="3"/>
      <c r="AH653" s="3"/>
      <c r="AI653" s="3"/>
      <c r="AJ653" s="3"/>
      <c r="AK653" s="3"/>
    </row>
    <row r="654" ht="15.75" customHeight="1">
      <c r="A654" s="3"/>
      <c r="B654" s="466"/>
      <c r="C654" s="667"/>
      <c r="D654" s="667"/>
      <c r="E654" s="668"/>
      <c r="F654" s="667"/>
      <c r="G654" s="667"/>
      <c r="H654" s="667"/>
      <c r="I654" s="667"/>
      <c r="J654" s="667"/>
      <c r="K654" s="667"/>
      <c r="L654" s="667"/>
      <c r="M654" s="667"/>
      <c r="N654" s="667"/>
      <c r="O654" s="667"/>
      <c r="P654" s="667"/>
      <c r="Q654" s="667"/>
      <c r="S654" s="3"/>
      <c r="T654" s="3"/>
      <c r="U654" s="3"/>
      <c r="V654" s="3"/>
      <c r="W654" s="3"/>
      <c r="X654" s="3"/>
      <c r="Y654" s="3"/>
      <c r="Z654" s="3"/>
      <c r="AA654" s="3"/>
      <c r="AB654" s="3"/>
      <c r="AC654" s="3"/>
      <c r="AD654" s="3"/>
      <c r="AE654" s="3"/>
      <c r="AF654" s="3"/>
      <c r="AG654" s="3"/>
      <c r="AH654" s="3"/>
      <c r="AI654" s="3"/>
      <c r="AJ654" s="3"/>
      <c r="AK654" s="3"/>
    </row>
    <row r="655" ht="15.75" customHeight="1">
      <c r="A655" s="3"/>
      <c r="B655" s="466"/>
      <c r="C655" s="667"/>
      <c r="D655" s="667"/>
      <c r="E655" s="668"/>
      <c r="F655" s="667"/>
      <c r="G655" s="667"/>
      <c r="H655" s="667"/>
      <c r="I655" s="667"/>
      <c r="J655" s="667"/>
      <c r="K655" s="667"/>
      <c r="L655" s="667"/>
      <c r="M655" s="667"/>
      <c r="N655" s="667"/>
      <c r="O655" s="667"/>
      <c r="P655" s="667"/>
      <c r="Q655" s="667"/>
      <c r="S655" s="3"/>
      <c r="T655" s="3"/>
      <c r="U655" s="3"/>
      <c r="V655" s="3"/>
      <c r="W655" s="3"/>
      <c r="X655" s="3"/>
      <c r="Y655" s="3"/>
      <c r="Z655" s="3"/>
      <c r="AA655" s="3"/>
      <c r="AB655" s="3"/>
      <c r="AC655" s="3"/>
      <c r="AD655" s="3"/>
      <c r="AE655" s="3"/>
      <c r="AF655" s="3"/>
      <c r="AG655" s="3"/>
      <c r="AH655" s="3"/>
      <c r="AI655" s="3"/>
      <c r="AJ655" s="3"/>
      <c r="AK655" s="3"/>
    </row>
    <row r="656" ht="15.75" customHeight="1">
      <c r="A656" s="3"/>
      <c r="B656" s="466"/>
      <c r="C656" s="667"/>
      <c r="D656" s="667"/>
      <c r="E656" s="668"/>
      <c r="F656" s="667"/>
      <c r="G656" s="667"/>
      <c r="H656" s="667"/>
      <c r="I656" s="667"/>
      <c r="J656" s="667"/>
      <c r="K656" s="667"/>
      <c r="L656" s="667"/>
      <c r="M656" s="667"/>
      <c r="N656" s="667"/>
      <c r="O656" s="667"/>
      <c r="P656" s="667"/>
      <c r="Q656" s="667"/>
      <c r="S656" s="3"/>
      <c r="T656" s="3"/>
      <c r="U656" s="3"/>
      <c r="V656" s="3"/>
      <c r="W656" s="3"/>
      <c r="X656" s="3"/>
      <c r="Y656" s="3"/>
      <c r="Z656" s="3"/>
      <c r="AA656" s="3"/>
      <c r="AB656" s="3"/>
      <c r="AC656" s="3"/>
      <c r="AD656" s="3"/>
      <c r="AE656" s="3"/>
      <c r="AF656" s="3"/>
      <c r="AG656" s="3"/>
      <c r="AH656" s="3"/>
      <c r="AI656" s="3"/>
      <c r="AJ656" s="3"/>
      <c r="AK656" s="3"/>
    </row>
    <row r="657" ht="15.75" customHeight="1">
      <c r="A657" s="3"/>
      <c r="B657" s="466"/>
      <c r="C657" s="667"/>
      <c r="D657" s="667"/>
      <c r="E657" s="668"/>
      <c r="F657" s="667"/>
      <c r="G657" s="667"/>
      <c r="H657" s="667"/>
      <c r="I657" s="667"/>
      <c r="J657" s="667"/>
      <c r="K657" s="667"/>
      <c r="L657" s="667"/>
      <c r="M657" s="667"/>
      <c r="N657" s="667"/>
      <c r="O657" s="667"/>
      <c r="P657" s="667"/>
      <c r="Q657" s="667"/>
      <c r="S657" s="3"/>
      <c r="T657" s="3"/>
      <c r="U657" s="3"/>
      <c r="V657" s="3"/>
      <c r="W657" s="3"/>
      <c r="X657" s="3"/>
      <c r="Y657" s="3"/>
      <c r="Z657" s="3"/>
      <c r="AA657" s="3"/>
      <c r="AB657" s="3"/>
      <c r="AC657" s="3"/>
      <c r="AD657" s="3"/>
      <c r="AE657" s="3"/>
      <c r="AF657" s="3"/>
      <c r="AG657" s="3"/>
      <c r="AH657" s="3"/>
      <c r="AI657" s="3"/>
      <c r="AJ657" s="3"/>
      <c r="AK657" s="3"/>
    </row>
    <row r="658" ht="15.75" customHeight="1">
      <c r="A658" s="3"/>
      <c r="B658" s="466"/>
      <c r="C658" s="667"/>
      <c r="D658" s="667"/>
      <c r="E658" s="668"/>
      <c r="F658" s="667"/>
      <c r="G658" s="667"/>
      <c r="H658" s="667"/>
      <c r="I658" s="667"/>
      <c r="J658" s="667"/>
      <c r="K658" s="667"/>
      <c r="L658" s="667"/>
      <c r="M658" s="667"/>
      <c r="N658" s="667"/>
      <c r="O658" s="667"/>
      <c r="P658" s="667"/>
      <c r="Q658" s="667"/>
      <c r="S658" s="3"/>
      <c r="T658" s="3"/>
      <c r="U658" s="3"/>
      <c r="V658" s="3"/>
      <c r="W658" s="3"/>
      <c r="X658" s="3"/>
      <c r="Y658" s="3"/>
      <c r="Z658" s="3"/>
      <c r="AA658" s="3"/>
      <c r="AB658" s="3"/>
      <c r="AC658" s="3"/>
      <c r="AD658" s="3"/>
      <c r="AE658" s="3"/>
      <c r="AF658" s="3"/>
      <c r="AG658" s="3"/>
      <c r="AH658" s="3"/>
      <c r="AI658" s="3"/>
      <c r="AJ658" s="3"/>
      <c r="AK658" s="3"/>
    </row>
    <row r="659" ht="15.75" customHeight="1">
      <c r="A659" s="3"/>
      <c r="B659" s="466"/>
      <c r="C659" s="667"/>
      <c r="D659" s="667"/>
      <c r="E659" s="668"/>
      <c r="F659" s="667"/>
      <c r="G659" s="667"/>
      <c r="H659" s="667"/>
      <c r="I659" s="667"/>
      <c r="J659" s="667"/>
      <c r="K659" s="667"/>
      <c r="L659" s="667"/>
      <c r="M659" s="667"/>
      <c r="N659" s="667"/>
      <c r="O659" s="667"/>
      <c r="P659" s="667"/>
      <c r="Q659" s="667"/>
      <c r="S659" s="3"/>
      <c r="T659" s="3"/>
      <c r="U659" s="3"/>
      <c r="V659" s="3"/>
      <c r="W659" s="3"/>
      <c r="X659" s="3"/>
      <c r="Y659" s="3"/>
      <c r="Z659" s="3"/>
      <c r="AA659" s="3"/>
      <c r="AB659" s="3"/>
      <c r="AC659" s="3"/>
      <c r="AD659" s="3"/>
      <c r="AE659" s="3"/>
      <c r="AF659" s="3"/>
      <c r="AG659" s="3"/>
      <c r="AH659" s="3"/>
      <c r="AI659" s="3"/>
      <c r="AJ659" s="3"/>
      <c r="AK659" s="3"/>
    </row>
    <row r="660" ht="15.75" customHeight="1">
      <c r="A660" s="3"/>
      <c r="B660" s="466"/>
      <c r="C660" s="667"/>
      <c r="D660" s="667"/>
      <c r="E660" s="668"/>
      <c r="F660" s="667"/>
      <c r="G660" s="667"/>
      <c r="H660" s="667"/>
      <c r="I660" s="667"/>
      <c r="J660" s="667"/>
      <c r="K660" s="667"/>
      <c r="L660" s="667"/>
      <c r="M660" s="667"/>
      <c r="N660" s="667"/>
      <c r="O660" s="667"/>
      <c r="P660" s="667"/>
      <c r="Q660" s="667"/>
      <c r="S660" s="3"/>
      <c r="T660" s="3"/>
      <c r="U660" s="3"/>
      <c r="V660" s="3"/>
      <c r="W660" s="3"/>
      <c r="X660" s="3"/>
      <c r="Y660" s="3"/>
      <c r="Z660" s="3"/>
      <c r="AA660" s="3"/>
      <c r="AB660" s="3"/>
      <c r="AC660" s="3"/>
      <c r="AD660" s="3"/>
      <c r="AE660" s="3"/>
      <c r="AF660" s="3"/>
      <c r="AG660" s="3"/>
      <c r="AH660" s="3"/>
      <c r="AI660" s="3"/>
      <c r="AJ660" s="3"/>
      <c r="AK660" s="3"/>
    </row>
    <row r="661" ht="15.75" customHeight="1">
      <c r="A661" s="3"/>
      <c r="B661" s="466"/>
      <c r="C661" s="667"/>
      <c r="D661" s="667"/>
      <c r="E661" s="668"/>
      <c r="F661" s="667"/>
      <c r="G661" s="667"/>
      <c r="H661" s="667"/>
      <c r="I661" s="667"/>
      <c r="J661" s="667"/>
      <c r="K661" s="667"/>
      <c r="L661" s="667"/>
      <c r="M661" s="667"/>
      <c r="N661" s="667"/>
      <c r="O661" s="667"/>
      <c r="P661" s="667"/>
      <c r="Q661" s="667"/>
      <c r="S661" s="3"/>
      <c r="T661" s="3"/>
      <c r="U661" s="3"/>
      <c r="V661" s="3"/>
      <c r="W661" s="3"/>
      <c r="X661" s="3"/>
      <c r="Y661" s="3"/>
      <c r="Z661" s="3"/>
      <c r="AA661" s="3"/>
      <c r="AB661" s="3"/>
      <c r="AC661" s="3"/>
      <c r="AD661" s="3"/>
      <c r="AE661" s="3"/>
      <c r="AF661" s="3"/>
      <c r="AG661" s="3"/>
      <c r="AH661" s="3"/>
      <c r="AI661" s="3"/>
      <c r="AJ661" s="3"/>
      <c r="AK661" s="3"/>
    </row>
    <row r="662" ht="15.75" customHeight="1">
      <c r="A662" s="3"/>
      <c r="B662" s="466"/>
      <c r="C662" s="667"/>
      <c r="D662" s="667"/>
      <c r="E662" s="668"/>
      <c r="F662" s="667"/>
      <c r="G662" s="667"/>
      <c r="H662" s="667"/>
      <c r="I662" s="667"/>
      <c r="J662" s="667"/>
      <c r="K662" s="667"/>
      <c r="L662" s="667"/>
      <c r="M662" s="667"/>
      <c r="N662" s="667"/>
      <c r="O662" s="667"/>
      <c r="P662" s="667"/>
      <c r="Q662" s="667"/>
      <c r="S662" s="3"/>
      <c r="T662" s="3"/>
      <c r="U662" s="3"/>
      <c r="V662" s="3"/>
      <c r="W662" s="3"/>
      <c r="X662" s="3"/>
      <c r="Y662" s="3"/>
      <c r="Z662" s="3"/>
      <c r="AA662" s="3"/>
      <c r="AB662" s="3"/>
      <c r="AC662" s="3"/>
      <c r="AD662" s="3"/>
      <c r="AE662" s="3"/>
      <c r="AF662" s="3"/>
      <c r="AG662" s="3"/>
      <c r="AH662" s="3"/>
      <c r="AI662" s="3"/>
      <c r="AJ662" s="3"/>
      <c r="AK662" s="3"/>
    </row>
    <row r="663" ht="15.75" customHeight="1">
      <c r="A663" s="3"/>
      <c r="B663" s="466"/>
      <c r="C663" s="667"/>
      <c r="D663" s="667"/>
      <c r="E663" s="668"/>
      <c r="F663" s="667"/>
      <c r="G663" s="667"/>
      <c r="H663" s="667"/>
      <c r="I663" s="667"/>
      <c r="J663" s="667"/>
      <c r="K663" s="667"/>
      <c r="L663" s="667"/>
      <c r="M663" s="667"/>
      <c r="N663" s="667"/>
      <c r="O663" s="667"/>
      <c r="P663" s="667"/>
      <c r="Q663" s="667"/>
      <c r="S663" s="3"/>
      <c r="T663" s="3"/>
      <c r="U663" s="3"/>
      <c r="V663" s="3"/>
      <c r="W663" s="3"/>
      <c r="X663" s="3"/>
      <c r="Y663" s="3"/>
      <c r="Z663" s="3"/>
      <c r="AA663" s="3"/>
      <c r="AB663" s="3"/>
      <c r="AC663" s="3"/>
      <c r="AD663" s="3"/>
      <c r="AE663" s="3"/>
      <c r="AF663" s="3"/>
      <c r="AG663" s="3"/>
      <c r="AH663" s="3"/>
      <c r="AI663" s="3"/>
      <c r="AJ663" s="3"/>
      <c r="AK663" s="3"/>
    </row>
    <row r="664" ht="15.75" customHeight="1">
      <c r="A664" s="3"/>
      <c r="B664" s="466"/>
      <c r="C664" s="667"/>
      <c r="D664" s="667"/>
      <c r="E664" s="668"/>
      <c r="F664" s="667"/>
      <c r="G664" s="667"/>
      <c r="H664" s="667"/>
      <c r="I664" s="667"/>
      <c r="J664" s="667"/>
      <c r="K664" s="667"/>
      <c r="L664" s="667"/>
      <c r="M664" s="667"/>
      <c r="N664" s="667"/>
      <c r="O664" s="667"/>
      <c r="P664" s="667"/>
      <c r="Q664" s="667"/>
      <c r="S664" s="3"/>
      <c r="T664" s="3"/>
      <c r="U664" s="3"/>
      <c r="V664" s="3"/>
      <c r="W664" s="3"/>
      <c r="X664" s="3"/>
      <c r="Y664" s="3"/>
      <c r="Z664" s="3"/>
      <c r="AA664" s="3"/>
      <c r="AB664" s="3"/>
      <c r="AC664" s="3"/>
      <c r="AD664" s="3"/>
      <c r="AE664" s="3"/>
      <c r="AF664" s="3"/>
      <c r="AG664" s="3"/>
      <c r="AH664" s="3"/>
      <c r="AI664" s="3"/>
      <c r="AJ664" s="3"/>
      <c r="AK664" s="3"/>
    </row>
    <row r="665" ht="15.75" customHeight="1">
      <c r="A665" s="3"/>
      <c r="B665" s="466"/>
      <c r="C665" s="667"/>
      <c r="D665" s="667"/>
      <c r="E665" s="668"/>
      <c r="F665" s="667"/>
      <c r="G665" s="667"/>
      <c r="H665" s="667"/>
      <c r="I665" s="667"/>
      <c r="J665" s="667"/>
      <c r="K665" s="667"/>
      <c r="L665" s="667"/>
      <c r="M665" s="667"/>
      <c r="N665" s="667"/>
      <c r="O665" s="667"/>
      <c r="P665" s="667"/>
      <c r="Q665" s="667"/>
      <c r="S665" s="3"/>
      <c r="T665" s="3"/>
      <c r="U665" s="3"/>
      <c r="V665" s="3"/>
      <c r="W665" s="3"/>
      <c r="X665" s="3"/>
      <c r="Y665" s="3"/>
      <c r="Z665" s="3"/>
      <c r="AA665" s="3"/>
      <c r="AB665" s="3"/>
      <c r="AC665" s="3"/>
      <c r="AD665" s="3"/>
      <c r="AE665" s="3"/>
      <c r="AF665" s="3"/>
      <c r="AG665" s="3"/>
      <c r="AH665" s="3"/>
      <c r="AI665" s="3"/>
      <c r="AJ665" s="3"/>
      <c r="AK665" s="3"/>
    </row>
    <row r="666" ht="15.75" customHeight="1">
      <c r="A666" s="3"/>
      <c r="B666" s="466"/>
      <c r="C666" s="667"/>
      <c r="D666" s="667"/>
      <c r="E666" s="668"/>
      <c r="F666" s="667"/>
      <c r="G666" s="667"/>
      <c r="H666" s="667"/>
      <c r="I666" s="667"/>
      <c r="J666" s="667"/>
      <c r="K666" s="667"/>
      <c r="L666" s="667"/>
      <c r="M666" s="667"/>
      <c r="N666" s="667"/>
      <c r="O666" s="667"/>
      <c r="P666" s="667"/>
      <c r="Q666" s="667"/>
      <c r="S666" s="3"/>
      <c r="T666" s="3"/>
      <c r="U666" s="3"/>
      <c r="V666" s="3"/>
      <c r="W666" s="3"/>
      <c r="X666" s="3"/>
      <c r="Y666" s="3"/>
      <c r="Z666" s="3"/>
      <c r="AA666" s="3"/>
      <c r="AB666" s="3"/>
      <c r="AC666" s="3"/>
      <c r="AD666" s="3"/>
      <c r="AE666" s="3"/>
      <c r="AF666" s="3"/>
      <c r="AG666" s="3"/>
      <c r="AH666" s="3"/>
      <c r="AI666" s="3"/>
      <c r="AJ666" s="3"/>
      <c r="AK666" s="3"/>
    </row>
    <row r="667" ht="15.75" customHeight="1">
      <c r="A667" s="3"/>
      <c r="B667" s="466"/>
      <c r="C667" s="667"/>
      <c r="D667" s="667"/>
      <c r="E667" s="668"/>
      <c r="F667" s="667"/>
      <c r="G667" s="667"/>
      <c r="H667" s="667"/>
      <c r="I667" s="667"/>
      <c r="J667" s="667"/>
      <c r="K667" s="667"/>
      <c r="L667" s="667"/>
      <c r="M667" s="667"/>
      <c r="N667" s="667"/>
      <c r="O667" s="667"/>
      <c r="P667" s="667"/>
      <c r="Q667" s="667"/>
      <c r="S667" s="3"/>
      <c r="T667" s="3"/>
      <c r="U667" s="3"/>
      <c r="V667" s="3"/>
      <c r="W667" s="3"/>
      <c r="X667" s="3"/>
      <c r="Y667" s="3"/>
      <c r="Z667" s="3"/>
      <c r="AA667" s="3"/>
      <c r="AB667" s="3"/>
      <c r="AC667" s="3"/>
      <c r="AD667" s="3"/>
      <c r="AE667" s="3"/>
      <c r="AF667" s="3"/>
      <c r="AG667" s="3"/>
      <c r="AH667" s="3"/>
      <c r="AI667" s="3"/>
      <c r="AJ667" s="3"/>
      <c r="AK667" s="3"/>
    </row>
    <row r="668" ht="15.75" customHeight="1">
      <c r="A668" s="3"/>
      <c r="B668" s="466"/>
      <c r="C668" s="667"/>
      <c r="D668" s="667"/>
      <c r="E668" s="668"/>
      <c r="F668" s="667"/>
      <c r="G668" s="667"/>
      <c r="H668" s="667"/>
      <c r="I668" s="667"/>
      <c r="J668" s="667"/>
      <c r="K668" s="667"/>
      <c r="L668" s="667"/>
      <c r="M668" s="667"/>
      <c r="N668" s="667"/>
      <c r="O668" s="667"/>
      <c r="P668" s="667"/>
      <c r="Q668" s="667"/>
      <c r="S668" s="3"/>
      <c r="T668" s="3"/>
      <c r="U668" s="3"/>
      <c r="V668" s="3"/>
      <c r="W668" s="3"/>
      <c r="X668" s="3"/>
      <c r="Y668" s="3"/>
      <c r="Z668" s="3"/>
      <c r="AA668" s="3"/>
      <c r="AB668" s="3"/>
      <c r="AC668" s="3"/>
      <c r="AD668" s="3"/>
      <c r="AE668" s="3"/>
      <c r="AF668" s="3"/>
      <c r="AG668" s="3"/>
      <c r="AH668" s="3"/>
      <c r="AI668" s="3"/>
      <c r="AJ668" s="3"/>
      <c r="AK668" s="3"/>
    </row>
    <row r="669" ht="15.75" customHeight="1">
      <c r="A669" s="3"/>
      <c r="B669" s="466"/>
      <c r="C669" s="667"/>
      <c r="D669" s="667"/>
      <c r="E669" s="668"/>
      <c r="F669" s="667"/>
      <c r="G669" s="667"/>
      <c r="H669" s="667"/>
      <c r="I669" s="667"/>
      <c r="J669" s="667"/>
      <c r="K669" s="667"/>
      <c r="L669" s="667"/>
      <c r="M669" s="667"/>
      <c r="N669" s="667"/>
      <c r="O669" s="667"/>
      <c r="P669" s="667"/>
      <c r="Q669" s="667"/>
      <c r="S669" s="3"/>
      <c r="T669" s="3"/>
      <c r="U669" s="3"/>
      <c r="V669" s="3"/>
      <c r="W669" s="3"/>
      <c r="X669" s="3"/>
      <c r="Y669" s="3"/>
      <c r="Z669" s="3"/>
      <c r="AA669" s="3"/>
      <c r="AB669" s="3"/>
      <c r="AC669" s="3"/>
      <c r="AD669" s="3"/>
      <c r="AE669" s="3"/>
      <c r="AF669" s="3"/>
      <c r="AG669" s="3"/>
      <c r="AH669" s="3"/>
      <c r="AI669" s="3"/>
      <c r="AJ669" s="3"/>
      <c r="AK669" s="3"/>
    </row>
    <row r="670" ht="15.75" customHeight="1">
      <c r="A670" s="3"/>
      <c r="B670" s="466"/>
      <c r="C670" s="667"/>
      <c r="D670" s="667"/>
      <c r="E670" s="668"/>
      <c r="F670" s="667"/>
      <c r="G670" s="667"/>
      <c r="H670" s="667"/>
      <c r="I670" s="667"/>
      <c r="J670" s="667"/>
      <c r="K670" s="667"/>
      <c r="L670" s="667"/>
      <c r="M670" s="667"/>
      <c r="N670" s="667"/>
      <c r="O670" s="667"/>
      <c r="P670" s="667"/>
      <c r="Q670" s="667"/>
      <c r="S670" s="3"/>
      <c r="T670" s="3"/>
      <c r="U670" s="3"/>
      <c r="V670" s="3"/>
      <c r="W670" s="3"/>
      <c r="X670" s="3"/>
      <c r="Y670" s="3"/>
      <c r="Z670" s="3"/>
      <c r="AA670" s="3"/>
      <c r="AB670" s="3"/>
      <c r="AC670" s="3"/>
      <c r="AD670" s="3"/>
      <c r="AE670" s="3"/>
      <c r="AF670" s="3"/>
      <c r="AG670" s="3"/>
      <c r="AH670" s="3"/>
      <c r="AI670" s="3"/>
      <c r="AJ670" s="3"/>
      <c r="AK670" s="3"/>
    </row>
    <row r="671" ht="15.75" customHeight="1">
      <c r="A671" s="3"/>
      <c r="B671" s="466"/>
      <c r="C671" s="667"/>
      <c r="D671" s="667"/>
      <c r="E671" s="668"/>
      <c r="F671" s="667"/>
      <c r="G671" s="667"/>
      <c r="H671" s="667"/>
      <c r="I671" s="667"/>
      <c r="J671" s="667"/>
      <c r="K671" s="667"/>
      <c r="L671" s="667"/>
      <c r="M671" s="667"/>
      <c r="N671" s="667"/>
      <c r="O671" s="667"/>
      <c r="P671" s="667"/>
      <c r="Q671" s="667"/>
      <c r="S671" s="3"/>
      <c r="T671" s="3"/>
      <c r="U671" s="3"/>
      <c r="V671" s="3"/>
      <c r="W671" s="3"/>
      <c r="X671" s="3"/>
      <c r="Y671" s="3"/>
      <c r="Z671" s="3"/>
      <c r="AA671" s="3"/>
      <c r="AB671" s="3"/>
      <c r="AC671" s="3"/>
      <c r="AD671" s="3"/>
      <c r="AE671" s="3"/>
      <c r="AF671" s="3"/>
      <c r="AG671" s="3"/>
      <c r="AH671" s="3"/>
      <c r="AI671" s="3"/>
      <c r="AJ671" s="3"/>
      <c r="AK671" s="3"/>
    </row>
    <row r="672" ht="15.75" customHeight="1">
      <c r="A672" s="3"/>
      <c r="B672" s="466"/>
      <c r="C672" s="667"/>
      <c r="D672" s="667"/>
      <c r="E672" s="668"/>
      <c r="F672" s="667"/>
      <c r="G672" s="667"/>
      <c r="H672" s="667"/>
      <c r="I672" s="667"/>
      <c r="J672" s="667"/>
      <c r="K672" s="667"/>
      <c r="L672" s="667"/>
      <c r="M672" s="667"/>
      <c r="N672" s="667"/>
      <c r="O672" s="667"/>
      <c r="P672" s="667"/>
      <c r="Q672" s="667"/>
      <c r="S672" s="3"/>
      <c r="T672" s="3"/>
      <c r="U672" s="3"/>
      <c r="V672" s="3"/>
      <c r="W672" s="3"/>
      <c r="X672" s="3"/>
      <c r="Y672" s="3"/>
      <c r="Z672" s="3"/>
      <c r="AA672" s="3"/>
      <c r="AB672" s="3"/>
      <c r="AC672" s="3"/>
      <c r="AD672" s="3"/>
      <c r="AE672" s="3"/>
      <c r="AF672" s="3"/>
      <c r="AG672" s="3"/>
      <c r="AH672" s="3"/>
      <c r="AI672" s="3"/>
      <c r="AJ672" s="3"/>
      <c r="AK672" s="3"/>
    </row>
    <row r="673" ht="15.75" customHeight="1">
      <c r="A673" s="3"/>
      <c r="B673" s="466"/>
      <c r="C673" s="667"/>
      <c r="D673" s="667"/>
      <c r="E673" s="668"/>
      <c r="F673" s="667"/>
      <c r="G673" s="667"/>
      <c r="H673" s="667"/>
      <c r="I673" s="667"/>
      <c r="J673" s="667"/>
      <c r="K673" s="667"/>
      <c r="L673" s="667"/>
      <c r="M673" s="667"/>
      <c r="N673" s="667"/>
      <c r="O673" s="667"/>
      <c r="P673" s="667"/>
      <c r="Q673" s="667"/>
      <c r="S673" s="3"/>
      <c r="T673" s="3"/>
      <c r="U673" s="3"/>
      <c r="V673" s="3"/>
      <c r="W673" s="3"/>
      <c r="X673" s="3"/>
      <c r="Y673" s="3"/>
      <c r="Z673" s="3"/>
      <c r="AA673" s="3"/>
      <c r="AB673" s="3"/>
      <c r="AC673" s="3"/>
      <c r="AD673" s="3"/>
      <c r="AE673" s="3"/>
      <c r="AF673" s="3"/>
      <c r="AG673" s="3"/>
      <c r="AH673" s="3"/>
      <c r="AI673" s="3"/>
      <c r="AJ673" s="3"/>
      <c r="AK673" s="3"/>
    </row>
    <row r="674" ht="15.75" customHeight="1">
      <c r="A674" s="3"/>
      <c r="B674" s="466"/>
      <c r="C674" s="667"/>
      <c r="D674" s="667"/>
      <c r="E674" s="668"/>
      <c r="F674" s="667"/>
      <c r="G674" s="667"/>
      <c r="H674" s="667"/>
      <c r="I674" s="667"/>
      <c r="J674" s="667"/>
      <c r="K674" s="667"/>
      <c r="L674" s="667"/>
      <c r="M674" s="667"/>
      <c r="N674" s="667"/>
      <c r="O674" s="667"/>
      <c r="P674" s="667"/>
      <c r="Q674" s="667"/>
      <c r="S674" s="3"/>
      <c r="T674" s="3"/>
      <c r="U674" s="3"/>
      <c r="V674" s="3"/>
      <c r="W674" s="3"/>
      <c r="X674" s="3"/>
      <c r="Y674" s="3"/>
      <c r="Z674" s="3"/>
      <c r="AA674" s="3"/>
      <c r="AB674" s="3"/>
      <c r="AC674" s="3"/>
      <c r="AD674" s="3"/>
      <c r="AE674" s="3"/>
      <c r="AF674" s="3"/>
      <c r="AG674" s="3"/>
      <c r="AH674" s="3"/>
      <c r="AI674" s="3"/>
      <c r="AJ674" s="3"/>
      <c r="AK674" s="3"/>
    </row>
    <row r="675" ht="15.75" customHeight="1">
      <c r="A675" s="3"/>
      <c r="B675" s="466"/>
      <c r="C675" s="667"/>
      <c r="D675" s="667"/>
      <c r="E675" s="668"/>
      <c r="F675" s="667"/>
      <c r="G675" s="667"/>
      <c r="H675" s="667"/>
      <c r="I675" s="667"/>
      <c r="J675" s="667"/>
      <c r="K675" s="667"/>
      <c r="L675" s="667"/>
      <c r="M675" s="667"/>
      <c r="N675" s="667"/>
      <c r="O675" s="667"/>
      <c r="P675" s="667"/>
      <c r="Q675" s="667"/>
      <c r="S675" s="3"/>
      <c r="T675" s="3"/>
      <c r="U675" s="3"/>
      <c r="V675" s="3"/>
      <c r="W675" s="3"/>
      <c r="X675" s="3"/>
      <c r="Y675" s="3"/>
      <c r="Z675" s="3"/>
      <c r="AA675" s="3"/>
      <c r="AB675" s="3"/>
      <c r="AC675" s="3"/>
      <c r="AD675" s="3"/>
      <c r="AE675" s="3"/>
      <c r="AF675" s="3"/>
      <c r="AG675" s="3"/>
      <c r="AH675" s="3"/>
      <c r="AI675" s="3"/>
      <c r="AJ675" s="3"/>
      <c r="AK675" s="3"/>
    </row>
    <row r="676" ht="15.75" customHeight="1">
      <c r="A676" s="3"/>
      <c r="B676" s="466"/>
      <c r="C676" s="667"/>
      <c r="D676" s="667"/>
      <c r="E676" s="668"/>
      <c r="F676" s="667"/>
      <c r="G676" s="667"/>
      <c r="H676" s="667"/>
      <c r="I676" s="667"/>
      <c r="J676" s="667"/>
      <c r="K676" s="667"/>
      <c r="L676" s="667"/>
      <c r="M676" s="667"/>
      <c r="N676" s="667"/>
      <c r="O676" s="667"/>
      <c r="P676" s="667"/>
      <c r="Q676" s="667"/>
      <c r="S676" s="3"/>
      <c r="T676" s="3"/>
      <c r="U676" s="3"/>
      <c r="V676" s="3"/>
      <c r="W676" s="3"/>
      <c r="X676" s="3"/>
      <c r="Y676" s="3"/>
      <c r="Z676" s="3"/>
      <c r="AA676" s="3"/>
      <c r="AB676" s="3"/>
      <c r="AC676" s="3"/>
      <c r="AD676" s="3"/>
      <c r="AE676" s="3"/>
      <c r="AF676" s="3"/>
      <c r="AG676" s="3"/>
      <c r="AH676" s="3"/>
      <c r="AI676" s="3"/>
      <c r="AJ676" s="3"/>
      <c r="AK676" s="3"/>
    </row>
    <row r="677" ht="15.75" customHeight="1">
      <c r="A677" s="3"/>
      <c r="B677" s="466"/>
      <c r="C677" s="667"/>
      <c r="D677" s="667"/>
      <c r="E677" s="668"/>
      <c r="F677" s="667"/>
      <c r="G677" s="667"/>
      <c r="H677" s="667"/>
      <c r="I677" s="667"/>
      <c r="J677" s="667"/>
      <c r="K677" s="667"/>
      <c r="L677" s="667"/>
      <c r="M677" s="667"/>
      <c r="N677" s="667"/>
      <c r="O677" s="667"/>
      <c r="P677" s="667"/>
      <c r="Q677" s="667"/>
      <c r="S677" s="3"/>
      <c r="T677" s="3"/>
      <c r="U677" s="3"/>
      <c r="V677" s="3"/>
      <c r="W677" s="3"/>
      <c r="X677" s="3"/>
      <c r="Y677" s="3"/>
      <c r="Z677" s="3"/>
      <c r="AA677" s="3"/>
      <c r="AB677" s="3"/>
      <c r="AC677" s="3"/>
      <c r="AD677" s="3"/>
      <c r="AE677" s="3"/>
      <c r="AF677" s="3"/>
      <c r="AG677" s="3"/>
      <c r="AH677" s="3"/>
      <c r="AI677" s="3"/>
      <c r="AJ677" s="3"/>
      <c r="AK677" s="3"/>
    </row>
    <row r="678" ht="15.75" customHeight="1">
      <c r="A678" s="3"/>
      <c r="B678" s="466"/>
      <c r="C678" s="667"/>
      <c r="D678" s="667"/>
      <c r="E678" s="668"/>
      <c r="F678" s="667"/>
      <c r="G678" s="667"/>
      <c r="H678" s="667"/>
      <c r="I678" s="667"/>
      <c r="J678" s="667"/>
      <c r="K678" s="667"/>
      <c r="L678" s="667"/>
      <c r="M678" s="667"/>
      <c r="N678" s="667"/>
      <c r="O678" s="667"/>
      <c r="P678" s="667"/>
      <c r="Q678" s="667"/>
      <c r="S678" s="3"/>
      <c r="T678" s="3"/>
      <c r="U678" s="3"/>
      <c r="V678" s="3"/>
      <c r="W678" s="3"/>
      <c r="X678" s="3"/>
      <c r="Y678" s="3"/>
      <c r="Z678" s="3"/>
      <c r="AA678" s="3"/>
      <c r="AB678" s="3"/>
      <c r="AC678" s="3"/>
      <c r="AD678" s="3"/>
      <c r="AE678" s="3"/>
      <c r="AF678" s="3"/>
      <c r="AG678" s="3"/>
      <c r="AH678" s="3"/>
      <c r="AI678" s="3"/>
      <c r="AJ678" s="3"/>
      <c r="AK678" s="3"/>
    </row>
    <row r="679" ht="15.75" customHeight="1">
      <c r="A679" s="3"/>
      <c r="B679" s="466"/>
      <c r="C679" s="667"/>
      <c r="D679" s="667"/>
      <c r="E679" s="668"/>
      <c r="F679" s="667"/>
      <c r="G679" s="667"/>
      <c r="H679" s="667"/>
      <c r="I679" s="667"/>
      <c r="J679" s="667"/>
      <c r="K679" s="667"/>
      <c r="L679" s="667"/>
      <c r="M679" s="667"/>
      <c r="N679" s="667"/>
      <c r="O679" s="667"/>
      <c r="P679" s="667"/>
      <c r="Q679" s="667"/>
      <c r="S679" s="3"/>
      <c r="T679" s="3"/>
      <c r="U679" s="3"/>
      <c r="V679" s="3"/>
      <c r="W679" s="3"/>
      <c r="X679" s="3"/>
      <c r="Y679" s="3"/>
      <c r="Z679" s="3"/>
      <c r="AA679" s="3"/>
      <c r="AB679" s="3"/>
      <c r="AC679" s="3"/>
      <c r="AD679" s="3"/>
      <c r="AE679" s="3"/>
      <c r="AF679" s="3"/>
      <c r="AG679" s="3"/>
      <c r="AH679" s="3"/>
      <c r="AI679" s="3"/>
      <c r="AJ679" s="3"/>
      <c r="AK679" s="3"/>
    </row>
    <row r="680" ht="15.75" customHeight="1">
      <c r="A680" s="3"/>
      <c r="B680" s="466"/>
      <c r="C680" s="667"/>
      <c r="D680" s="667"/>
      <c r="E680" s="668"/>
      <c r="F680" s="667"/>
      <c r="G680" s="667"/>
      <c r="H680" s="667"/>
      <c r="I680" s="667"/>
      <c r="J680" s="667"/>
      <c r="K680" s="667"/>
      <c r="L680" s="667"/>
      <c r="M680" s="667"/>
      <c r="N680" s="667"/>
      <c r="O680" s="667"/>
      <c r="P680" s="667"/>
      <c r="Q680" s="667"/>
      <c r="S680" s="3"/>
      <c r="T680" s="3"/>
      <c r="U680" s="3"/>
      <c r="V680" s="3"/>
      <c r="W680" s="3"/>
      <c r="X680" s="3"/>
      <c r="Y680" s="3"/>
      <c r="Z680" s="3"/>
      <c r="AA680" s="3"/>
      <c r="AB680" s="3"/>
      <c r="AC680" s="3"/>
      <c r="AD680" s="3"/>
      <c r="AE680" s="3"/>
      <c r="AF680" s="3"/>
      <c r="AG680" s="3"/>
      <c r="AH680" s="3"/>
      <c r="AI680" s="3"/>
      <c r="AJ680" s="3"/>
      <c r="AK680" s="3"/>
    </row>
    <row r="681" ht="15.75" customHeight="1">
      <c r="A681" s="3"/>
      <c r="B681" s="466"/>
      <c r="C681" s="667"/>
      <c r="D681" s="667"/>
      <c r="E681" s="668"/>
      <c r="F681" s="667"/>
      <c r="G681" s="667"/>
      <c r="H681" s="667"/>
      <c r="I681" s="667"/>
      <c r="J681" s="667"/>
      <c r="K681" s="667"/>
      <c r="L681" s="667"/>
      <c r="M681" s="667"/>
      <c r="N681" s="667"/>
      <c r="O681" s="667"/>
      <c r="P681" s="667"/>
      <c r="Q681" s="667"/>
      <c r="S681" s="3"/>
      <c r="T681" s="3"/>
      <c r="U681" s="3"/>
      <c r="V681" s="3"/>
      <c r="W681" s="3"/>
      <c r="X681" s="3"/>
      <c r="Y681" s="3"/>
      <c r="Z681" s="3"/>
      <c r="AA681" s="3"/>
      <c r="AB681" s="3"/>
      <c r="AC681" s="3"/>
      <c r="AD681" s="3"/>
      <c r="AE681" s="3"/>
      <c r="AF681" s="3"/>
      <c r="AG681" s="3"/>
      <c r="AH681" s="3"/>
      <c r="AI681" s="3"/>
      <c r="AJ681" s="3"/>
      <c r="AK681" s="3"/>
    </row>
    <row r="682" ht="15.75" customHeight="1">
      <c r="A682" s="3"/>
      <c r="B682" s="466"/>
      <c r="C682" s="667"/>
      <c r="D682" s="667"/>
      <c r="E682" s="668"/>
      <c r="F682" s="667"/>
      <c r="G682" s="667"/>
      <c r="H682" s="667"/>
      <c r="I682" s="667"/>
      <c r="J682" s="667"/>
      <c r="K682" s="667"/>
      <c r="L682" s="667"/>
      <c r="M682" s="667"/>
      <c r="N682" s="667"/>
      <c r="O682" s="667"/>
      <c r="P682" s="667"/>
      <c r="Q682" s="667"/>
      <c r="S682" s="3"/>
      <c r="T682" s="3"/>
      <c r="U682" s="3"/>
      <c r="V682" s="3"/>
      <c r="W682" s="3"/>
      <c r="X682" s="3"/>
      <c r="Y682" s="3"/>
      <c r="Z682" s="3"/>
      <c r="AA682" s="3"/>
      <c r="AB682" s="3"/>
      <c r="AC682" s="3"/>
      <c r="AD682" s="3"/>
      <c r="AE682" s="3"/>
      <c r="AF682" s="3"/>
      <c r="AG682" s="3"/>
      <c r="AH682" s="3"/>
      <c r="AI682" s="3"/>
      <c r="AJ682" s="3"/>
      <c r="AK682" s="3"/>
    </row>
    <row r="683" ht="15.75" customHeight="1">
      <c r="A683" s="3"/>
      <c r="B683" s="466"/>
      <c r="C683" s="667"/>
      <c r="D683" s="667"/>
      <c r="E683" s="668"/>
      <c r="F683" s="667"/>
      <c r="G683" s="667"/>
      <c r="H683" s="667"/>
      <c r="I683" s="667"/>
      <c r="J683" s="667"/>
      <c r="K683" s="667"/>
      <c r="L683" s="667"/>
      <c r="M683" s="667"/>
      <c r="N683" s="667"/>
      <c r="O683" s="667"/>
      <c r="P683" s="667"/>
      <c r="Q683" s="667"/>
      <c r="S683" s="3"/>
      <c r="T683" s="3"/>
      <c r="U683" s="3"/>
      <c r="V683" s="3"/>
      <c r="W683" s="3"/>
      <c r="X683" s="3"/>
      <c r="Y683" s="3"/>
      <c r="Z683" s="3"/>
      <c r="AA683" s="3"/>
      <c r="AB683" s="3"/>
      <c r="AC683" s="3"/>
      <c r="AD683" s="3"/>
      <c r="AE683" s="3"/>
      <c r="AF683" s="3"/>
      <c r="AG683" s="3"/>
      <c r="AH683" s="3"/>
      <c r="AI683" s="3"/>
      <c r="AJ683" s="3"/>
      <c r="AK683" s="3"/>
    </row>
    <row r="684" ht="15.75" customHeight="1">
      <c r="A684" s="3"/>
      <c r="B684" s="466"/>
      <c r="C684" s="667"/>
      <c r="D684" s="667"/>
      <c r="E684" s="668"/>
      <c r="F684" s="667"/>
      <c r="G684" s="667"/>
      <c r="H684" s="667"/>
      <c r="I684" s="667"/>
      <c r="J684" s="667"/>
      <c r="K684" s="667"/>
      <c r="L684" s="667"/>
      <c r="M684" s="667"/>
      <c r="N684" s="667"/>
      <c r="O684" s="667"/>
      <c r="P684" s="667"/>
      <c r="Q684" s="667"/>
      <c r="S684" s="3"/>
      <c r="T684" s="3"/>
      <c r="U684" s="3"/>
      <c r="V684" s="3"/>
      <c r="W684" s="3"/>
      <c r="X684" s="3"/>
      <c r="Y684" s="3"/>
      <c r="Z684" s="3"/>
      <c r="AA684" s="3"/>
      <c r="AB684" s="3"/>
      <c r="AC684" s="3"/>
      <c r="AD684" s="3"/>
      <c r="AE684" s="3"/>
      <c r="AF684" s="3"/>
      <c r="AG684" s="3"/>
      <c r="AH684" s="3"/>
      <c r="AI684" s="3"/>
      <c r="AJ684" s="3"/>
      <c r="AK684" s="3"/>
    </row>
    <row r="685" ht="15.75" customHeight="1">
      <c r="A685" s="3"/>
      <c r="B685" s="466"/>
      <c r="C685" s="667"/>
      <c r="D685" s="667"/>
      <c r="E685" s="668"/>
      <c r="F685" s="667"/>
      <c r="G685" s="667"/>
      <c r="H685" s="667"/>
      <c r="I685" s="667"/>
      <c r="J685" s="667"/>
      <c r="K685" s="667"/>
      <c r="L685" s="667"/>
      <c r="M685" s="667"/>
      <c r="N685" s="667"/>
      <c r="O685" s="667"/>
      <c r="P685" s="667"/>
      <c r="Q685" s="667"/>
      <c r="S685" s="3"/>
      <c r="T685" s="3"/>
      <c r="U685" s="3"/>
      <c r="V685" s="3"/>
      <c r="W685" s="3"/>
      <c r="X685" s="3"/>
      <c r="Y685" s="3"/>
      <c r="Z685" s="3"/>
      <c r="AA685" s="3"/>
      <c r="AB685" s="3"/>
      <c r="AC685" s="3"/>
      <c r="AD685" s="3"/>
      <c r="AE685" s="3"/>
      <c r="AF685" s="3"/>
      <c r="AG685" s="3"/>
      <c r="AH685" s="3"/>
      <c r="AI685" s="3"/>
      <c r="AJ685" s="3"/>
      <c r="AK685" s="3"/>
    </row>
    <row r="686" ht="15.75" customHeight="1">
      <c r="A686" s="3"/>
      <c r="B686" s="466"/>
      <c r="C686" s="667"/>
      <c r="D686" s="667"/>
      <c r="E686" s="668"/>
      <c r="F686" s="667"/>
      <c r="G686" s="667"/>
      <c r="H686" s="667"/>
      <c r="I686" s="667"/>
      <c r="J686" s="667"/>
      <c r="K686" s="667"/>
      <c r="L686" s="667"/>
      <c r="M686" s="667"/>
      <c r="N686" s="667"/>
      <c r="O686" s="667"/>
      <c r="P686" s="667"/>
      <c r="Q686" s="667"/>
      <c r="S686" s="3"/>
      <c r="T686" s="3"/>
      <c r="U686" s="3"/>
      <c r="V686" s="3"/>
      <c r="W686" s="3"/>
      <c r="X686" s="3"/>
      <c r="Y686" s="3"/>
      <c r="Z686" s="3"/>
      <c r="AA686" s="3"/>
      <c r="AB686" s="3"/>
      <c r="AC686" s="3"/>
      <c r="AD686" s="3"/>
      <c r="AE686" s="3"/>
      <c r="AF686" s="3"/>
      <c r="AG686" s="3"/>
      <c r="AH686" s="3"/>
      <c r="AI686" s="3"/>
      <c r="AJ686" s="3"/>
      <c r="AK686" s="3"/>
    </row>
    <row r="687" ht="15.75" customHeight="1">
      <c r="A687" s="3"/>
      <c r="B687" s="466"/>
      <c r="C687" s="667"/>
      <c r="D687" s="667"/>
      <c r="E687" s="668"/>
      <c r="F687" s="667"/>
      <c r="G687" s="667"/>
      <c r="H687" s="667"/>
      <c r="I687" s="667"/>
      <c r="J687" s="667"/>
      <c r="K687" s="667"/>
      <c r="L687" s="667"/>
      <c r="M687" s="667"/>
      <c r="N687" s="667"/>
      <c r="O687" s="667"/>
      <c r="P687" s="667"/>
      <c r="Q687" s="667"/>
      <c r="S687" s="3"/>
      <c r="T687" s="3"/>
      <c r="U687" s="3"/>
      <c r="V687" s="3"/>
      <c r="W687" s="3"/>
      <c r="X687" s="3"/>
      <c r="Y687" s="3"/>
      <c r="Z687" s="3"/>
      <c r="AA687" s="3"/>
      <c r="AB687" s="3"/>
      <c r="AC687" s="3"/>
      <c r="AD687" s="3"/>
      <c r="AE687" s="3"/>
      <c r="AF687" s="3"/>
      <c r="AG687" s="3"/>
      <c r="AH687" s="3"/>
      <c r="AI687" s="3"/>
      <c r="AJ687" s="3"/>
      <c r="AK687" s="3"/>
    </row>
    <row r="688" ht="15.75" customHeight="1">
      <c r="A688" s="3"/>
      <c r="B688" s="466"/>
      <c r="C688" s="667"/>
      <c r="D688" s="667"/>
      <c r="E688" s="668"/>
      <c r="F688" s="667"/>
      <c r="G688" s="667"/>
      <c r="H688" s="667"/>
      <c r="I688" s="667"/>
      <c r="J688" s="667"/>
      <c r="K688" s="667"/>
      <c r="L688" s="667"/>
      <c r="M688" s="667"/>
      <c r="N688" s="667"/>
      <c r="O688" s="667"/>
      <c r="P688" s="667"/>
      <c r="Q688" s="667"/>
      <c r="S688" s="3"/>
      <c r="T688" s="3"/>
      <c r="U688" s="3"/>
      <c r="V688" s="3"/>
      <c r="W688" s="3"/>
      <c r="X688" s="3"/>
      <c r="Y688" s="3"/>
      <c r="Z688" s="3"/>
      <c r="AA688" s="3"/>
      <c r="AB688" s="3"/>
      <c r="AC688" s="3"/>
      <c r="AD688" s="3"/>
      <c r="AE688" s="3"/>
      <c r="AF688" s="3"/>
      <c r="AG688" s="3"/>
      <c r="AH688" s="3"/>
      <c r="AI688" s="3"/>
      <c r="AJ688" s="3"/>
      <c r="AK688" s="3"/>
    </row>
    <row r="689" ht="15.75" customHeight="1">
      <c r="A689" s="3"/>
      <c r="B689" s="466"/>
      <c r="C689" s="667"/>
      <c r="D689" s="667"/>
      <c r="E689" s="668"/>
      <c r="F689" s="667"/>
      <c r="G689" s="667"/>
      <c r="H689" s="667"/>
      <c r="I689" s="667"/>
      <c r="J689" s="667"/>
      <c r="K689" s="667"/>
      <c r="L689" s="667"/>
      <c r="M689" s="667"/>
      <c r="N689" s="667"/>
      <c r="O689" s="667"/>
      <c r="P689" s="667"/>
      <c r="Q689" s="667"/>
      <c r="S689" s="3"/>
      <c r="T689" s="3"/>
      <c r="U689" s="3"/>
      <c r="V689" s="3"/>
      <c r="W689" s="3"/>
      <c r="X689" s="3"/>
      <c r="Y689" s="3"/>
      <c r="Z689" s="3"/>
      <c r="AA689" s="3"/>
      <c r="AB689" s="3"/>
      <c r="AC689" s="3"/>
      <c r="AD689" s="3"/>
      <c r="AE689" s="3"/>
      <c r="AF689" s="3"/>
      <c r="AG689" s="3"/>
      <c r="AH689" s="3"/>
      <c r="AI689" s="3"/>
      <c r="AJ689" s="3"/>
      <c r="AK689" s="3"/>
    </row>
    <row r="690" ht="15.75" customHeight="1">
      <c r="A690" s="3"/>
      <c r="B690" s="466"/>
      <c r="C690" s="667"/>
      <c r="D690" s="667"/>
      <c r="E690" s="668"/>
      <c r="F690" s="667"/>
      <c r="G690" s="667"/>
      <c r="H690" s="667"/>
      <c r="I690" s="667"/>
      <c r="J690" s="667"/>
      <c r="K690" s="667"/>
      <c r="L690" s="667"/>
      <c r="M690" s="667"/>
      <c r="N690" s="667"/>
      <c r="O690" s="667"/>
      <c r="P690" s="667"/>
      <c r="Q690" s="667"/>
      <c r="S690" s="3"/>
      <c r="T690" s="3"/>
      <c r="U690" s="3"/>
      <c r="V690" s="3"/>
      <c r="W690" s="3"/>
      <c r="X690" s="3"/>
      <c r="Y690" s="3"/>
      <c r="Z690" s="3"/>
      <c r="AA690" s="3"/>
      <c r="AB690" s="3"/>
      <c r="AC690" s="3"/>
      <c r="AD690" s="3"/>
      <c r="AE690" s="3"/>
      <c r="AF690" s="3"/>
      <c r="AG690" s="3"/>
      <c r="AH690" s="3"/>
      <c r="AI690" s="3"/>
      <c r="AJ690" s="3"/>
      <c r="AK690" s="3"/>
    </row>
    <row r="691" ht="15.75" customHeight="1">
      <c r="A691" s="3"/>
      <c r="B691" s="466"/>
      <c r="C691" s="667"/>
      <c r="D691" s="667"/>
      <c r="E691" s="668"/>
      <c r="F691" s="667"/>
      <c r="G691" s="667"/>
      <c r="H691" s="667"/>
      <c r="I691" s="667"/>
      <c r="J691" s="667"/>
      <c r="K691" s="667"/>
      <c r="L691" s="667"/>
      <c r="M691" s="667"/>
      <c r="N691" s="667"/>
      <c r="O691" s="667"/>
      <c r="P691" s="667"/>
      <c r="Q691" s="667"/>
      <c r="S691" s="3"/>
      <c r="T691" s="3"/>
      <c r="U691" s="3"/>
      <c r="V691" s="3"/>
      <c r="W691" s="3"/>
      <c r="X691" s="3"/>
      <c r="Y691" s="3"/>
      <c r="Z691" s="3"/>
      <c r="AA691" s="3"/>
      <c r="AB691" s="3"/>
      <c r="AC691" s="3"/>
      <c r="AD691" s="3"/>
      <c r="AE691" s="3"/>
      <c r="AF691" s="3"/>
      <c r="AG691" s="3"/>
      <c r="AH691" s="3"/>
      <c r="AI691" s="3"/>
      <c r="AJ691" s="3"/>
      <c r="AK691" s="3"/>
    </row>
    <row r="692" ht="15.75" customHeight="1">
      <c r="A692" s="3"/>
      <c r="B692" s="466"/>
      <c r="C692" s="667"/>
      <c r="D692" s="667"/>
      <c r="E692" s="668"/>
      <c r="F692" s="667"/>
      <c r="G692" s="667"/>
      <c r="H692" s="667"/>
      <c r="I692" s="667"/>
      <c r="J692" s="667"/>
      <c r="K692" s="667"/>
      <c r="L692" s="667"/>
      <c r="M692" s="667"/>
      <c r="N692" s="667"/>
      <c r="O692" s="667"/>
      <c r="P692" s="667"/>
      <c r="Q692" s="667"/>
      <c r="S692" s="3"/>
      <c r="T692" s="3"/>
      <c r="U692" s="3"/>
      <c r="V692" s="3"/>
      <c r="W692" s="3"/>
      <c r="X692" s="3"/>
      <c r="Y692" s="3"/>
      <c r="Z692" s="3"/>
      <c r="AA692" s="3"/>
      <c r="AB692" s="3"/>
      <c r="AC692" s="3"/>
      <c r="AD692" s="3"/>
      <c r="AE692" s="3"/>
      <c r="AF692" s="3"/>
      <c r="AG692" s="3"/>
      <c r="AH692" s="3"/>
      <c r="AI692" s="3"/>
      <c r="AJ692" s="3"/>
      <c r="AK692" s="3"/>
    </row>
    <row r="693" ht="15.75" customHeight="1">
      <c r="A693" s="3"/>
      <c r="B693" s="466"/>
      <c r="C693" s="667"/>
      <c r="D693" s="667"/>
      <c r="E693" s="668"/>
      <c r="F693" s="667"/>
      <c r="G693" s="667"/>
      <c r="H693" s="667"/>
      <c r="I693" s="667"/>
      <c r="J693" s="667"/>
      <c r="K693" s="667"/>
      <c r="L693" s="667"/>
      <c r="M693" s="667"/>
      <c r="N693" s="667"/>
      <c r="O693" s="667"/>
      <c r="P693" s="667"/>
      <c r="Q693" s="667"/>
      <c r="S693" s="3"/>
      <c r="T693" s="3"/>
      <c r="U693" s="3"/>
      <c r="V693" s="3"/>
      <c r="W693" s="3"/>
      <c r="X693" s="3"/>
      <c r="Y693" s="3"/>
      <c r="Z693" s="3"/>
      <c r="AA693" s="3"/>
      <c r="AB693" s="3"/>
      <c r="AC693" s="3"/>
      <c r="AD693" s="3"/>
      <c r="AE693" s="3"/>
      <c r="AF693" s="3"/>
      <c r="AG693" s="3"/>
      <c r="AH693" s="3"/>
      <c r="AI693" s="3"/>
      <c r="AJ693" s="3"/>
      <c r="AK693" s="3"/>
    </row>
    <row r="694" ht="15.75" customHeight="1">
      <c r="A694" s="3"/>
      <c r="B694" s="466"/>
      <c r="C694" s="667"/>
      <c r="D694" s="667"/>
      <c r="E694" s="668"/>
      <c r="F694" s="667"/>
      <c r="G694" s="667"/>
      <c r="H694" s="667"/>
      <c r="I694" s="667"/>
      <c r="J694" s="667"/>
      <c r="K694" s="667"/>
      <c r="L694" s="667"/>
      <c r="M694" s="667"/>
      <c r="N694" s="667"/>
      <c r="O694" s="667"/>
      <c r="P694" s="667"/>
      <c r="Q694" s="667"/>
      <c r="S694" s="3"/>
      <c r="T694" s="3"/>
      <c r="U694" s="3"/>
      <c r="V694" s="3"/>
      <c r="W694" s="3"/>
      <c r="X694" s="3"/>
      <c r="Y694" s="3"/>
      <c r="Z694" s="3"/>
      <c r="AA694" s="3"/>
      <c r="AB694" s="3"/>
      <c r="AC694" s="3"/>
      <c r="AD694" s="3"/>
      <c r="AE694" s="3"/>
      <c r="AF694" s="3"/>
      <c r="AG694" s="3"/>
      <c r="AH694" s="3"/>
      <c r="AI694" s="3"/>
      <c r="AJ694" s="3"/>
      <c r="AK694" s="3"/>
    </row>
    <row r="695" ht="15.75" customHeight="1">
      <c r="A695" s="3"/>
      <c r="B695" s="466"/>
      <c r="C695" s="667"/>
      <c r="D695" s="667"/>
      <c r="E695" s="668"/>
      <c r="F695" s="667"/>
      <c r="G695" s="667"/>
      <c r="H695" s="667"/>
      <c r="I695" s="667"/>
      <c r="J695" s="667"/>
      <c r="K695" s="667"/>
      <c r="L695" s="667"/>
      <c r="M695" s="667"/>
      <c r="N695" s="667"/>
      <c r="O695" s="667"/>
      <c r="P695" s="667"/>
      <c r="Q695" s="667"/>
      <c r="S695" s="3"/>
      <c r="T695" s="3"/>
      <c r="U695" s="3"/>
      <c r="V695" s="3"/>
      <c r="W695" s="3"/>
      <c r="X695" s="3"/>
      <c r="Y695" s="3"/>
      <c r="Z695" s="3"/>
      <c r="AA695" s="3"/>
      <c r="AB695" s="3"/>
      <c r="AC695" s="3"/>
      <c r="AD695" s="3"/>
      <c r="AE695" s="3"/>
      <c r="AF695" s="3"/>
      <c r="AG695" s="3"/>
      <c r="AH695" s="3"/>
      <c r="AI695" s="3"/>
      <c r="AJ695" s="3"/>
      <c r="AK695" s="3"/>
    </row>
    <row r="696" ht="15.75" customHeight="1">
      <c r="A696" s="3"/>
      <c r="B696" s="466"/>
      <c r="C696" s="667"/>
      <c r="D696" s="667"/>
      <c r="E696" s="668"/>
      <c r="F696" s="667"/>
      <c r="G696" s="667"/>
      <c r="H696" s="667"/>
      <c r="I696" s="667"/>
      <c r="J696" s="667"/>
      <c r="K696" s="667"/>
      <c r="L696" s="667"/>
      <c r="M696" s="667"/>
      <c r="N696" s="667"/>
      <c r="O696" s="667"/>
      <c r="P696" s="667"/>
      <c r="Q696" s="667"/>
      <c r="S696" s="3"/>
      <c r="T696" s="3"/>
      <c r="U696" s="3"/>
      <c r="V696" s="3"/>
      <c r="W696" s="3"/>
      <c r="X696" s="3"/>
      <c r="Y696" s="3"/>
      <c r="Z696" s="3"/>
      <c r="AA696" s="3"/>
      <c r="AB696" s="3"/>
      <c r="AC696" s="3"/>
      <c r="AD696" s="3"/>
      <c r="AE696" s="3"/>
      <c r="AF696" s="3"/>
      <c r="AG696" s="3"/>
      <c r="AH696" s="3"/>
      <c r="AI696" s="3"/>
      <c r="AJ696" s="3"/>
      <c r="AK696" s="3"/>
    </row>
    <row r="697" ht="15.75" customHeight="1">
      <c r="A697" s="3"/>
      <c r="B697" s="466"/>
      <c r="C697" s="667"/>
      <c r="D697" s="667"/>
      <c r="E697" s="668"/>
      <c r="F697" s="667"/>
      <c r="G697" s="667"/>
      <c r="H697" s="667"/>
      <c r="I697" s="667"/>
      <c r="J697" s="667"/>
      <c r="K697" s="667"/>
      <c r="L697" s="667"/>
      <c r="M697" s="667"/>
      <c r="N697" s="667"/>
      <c r="O697" s="667"/>
      <c r="P697" s="667"/>
      <c r="Q697" s="667"/>
      <c r="S697" s="3"/>
      <c r="T697" s="3"/>
      <c r="U697" s="3"/>
      <c r="V697" s="3"/>
      <c r="W697" s="3"/>
      <c r="X697" s="3"/>
      <c r="Y697" s="3"/>
      <c r="Z697" s="3"/>
      <c r="AA697" s="3"/>
      <c r="AB697" s="3"/>
      <c r="AC697" s="3"/>
      <c r="AD697" s="3"/>
      <c r="AE697" s="3"/>
      <c r="AF697" s="3"/>
      <c r="AG697" s="3"/>
      <c r="AH697" s="3"/>
      <c r="AI697" s="3"/>
      <c r="AJ697" s="3"/>
      <c r="AK697" s="3"/>
    </row>
    <row r="698" ht="15.75" customHeight="1">
      <c r="A698" s="3"/>
      <c r="B698" s="466"/>
      <c r="C698" s="667"/>
      <c r="D698" s="667"/>
      <c r="E698" s="668"/>
      <c r="F698" s="667"/>
      <c r="G698" s="667"/>
      <c r="H698" s="667"/>
      <c r="I698" s="667"/>
      <c r="J698" s="667"/>
      <c r="K698" s="667"/>
      <c r="L698" s="667"/>
      <c r="M698" s="667"/>
      <c r="N698" s="667"/>
      <c r="O698" s="667"/>
      <c r="P698" s="667"/>
      <c r="Q698" s="667"/>
      <c r="S698" s="3"/>
      <c r="T698" s="3"/>
      <c r="U698" s="3"/>
      <c r="V698" s="3"/>
      <c r="W698" s="3"/>
      <c r="X698" s="3"/>
      <c r="Y698" s="3"/>
      <c r="Z698" s="3"/>
      <c r="AA698" s="3"/>
      <c r="AB698" s="3"/>
      <c r="AC698" s="3"/>
      <c r="AD698" s="3"/>
      <c r="AE698" s="3"/>
      <c r="AF698" s="3"/>
      <c r="AG698" s="3"/>
      <c r="AH698" s="3"/>
      <c r="AI698" s="3"/>
      <c r="AJ698" s="3"/>
      <c r="AK698" s="3"/>
    </row>
    <row r="699" ht="15.75" customHeight="1">
      <c r="A699" s="3"/>
      <c r="B699" s="466"/>
      <c r="C699" s="667"/>
      <c r="D699" s="667"/>
      <c r="E699" s="668"/>
      <c r="F699" s="667"/>
      <c r="G699" s="667"/>
      <c r="H699" s="667"/>
      <c r="I699" s="667"/>
      <c r="J699" s="667"/>
      <c r="K699" s="667"/>
      <c r="L699" s="667"/>
      <c r="M699" s="667"/>
      <c r="N699" s="667"/>
      <c r="O699" s="667"/>
      <c r="P699" s="667"/>
      <c r="Q699" s="667"/>
      <c r="S699" s="3"/>
      <c r="T699" s="3"/>
      <c r="U699" s="3"/>
      <c r="V699" s="3"/>
      <c r="W699" s="3"/>
      <c r="X699" s="3"/>
      <c r="Y699" s="3"/>
      <c r="Z699" s="3"/>
      <c r="AA699" s="3"/>
      <c r="AB699" s="3"/>
      <c r="AC699" s="3"/>
      <c r="AD699" s="3"/>
      <c r="AE699" s="3"/>
      <c r="AF699" s="3"/>
      <c r="AG699" s="3"/>
      <c r="AH699" s="3"/>
      <c r="AI699" s="3"/>
      <c r="AJ699" s="3"/>
      <c r="AK699" s="3"/>
    </row>
    <row r="700" ht="15.75" customHeight="1">
      <c r="A700" s="3"/>
      <c r="B700" s="466"/>
      <c r="C700" s="667"/>
      <c r="D700" s="667"/>
      <c r="E700" s="668"/>
      <c r="F700" s="667"/>
      <c r="G700" s="667"/>
      <c r="H700" s="667"/>
      <c r="I700" s="667"/>
      <c r="J700" s="667"/>
      <c r="K700" s="667"/>
      <c r="L700" s="667"/>
      <c r="M700" s="667"/>
      <c r="N700" s="667"/>
      <c r="O700" s="667"/>
      <c r="P700" s="667"/>
      <c r="Q700" s="667"/>
      <c r="S700" s="3"/>
      <c r="T700" s="3"/>
      <c r="U700" s="3"/>
      <c r="V700" s="3"/>
      <c r="W700" s="3"/>
      <c r="X700" s="3"/>
      <c r="Y700" s="3"/>
      <c r="Z700" s="3"/>
      <c r="AA700" s="3"/>
      <c r="AB700" s="3"/>
      <c r="AC700" s="3"/>
      <c r="AD700" s="3"/>
      <c r="AE700" s="3"/>
      <c r="AF700" s="3"/>
      <c r="AG700" s="3"/>
      <c r="AH700" s="3"/>
      <c r="AI700" s="3"/>
      <c r="AJ700" s="3"/>
      <c r="AK700" s="3"/>
    </row>
    <row r="701" ht="15.75" customHeight="1">
      <c r="A701" s="3"/>
      <c r="B701" s="466"/>
      <c r="C701" s="667"/>
      <c r="D701" s="667"/>
      <c r="E701" s="668"/>
      <c r="F701" s="667"/>
      <c r="G701" s="667"/>
      <c r="H701" s="667"/>
      <c r="I701" s="667"/>
      <c r="J701" s="667"/>
      <c r="K701" s="667"/>
      <c r="L701" s="667"/>
      <c r="M701" s="667"/>
      <c r="N701" s="667"/>
      <c r="O701" s="667"/>
      <c r="P701" s="667"/>
      <c r="Q701" s="667"/>
      <c r="S701" s="3"/>
      <c r="T701" s="3"/>
      <c r="U701" s="3"/>
      <c r="V701" s="3"/>
      <c r="W701" s="3"/>
      <c r="X701" s="3"/>
      <c r="Y701" s="3"/>
      <c r="Z701" s="3"/>
      <c r="AA701" s="3"/>
      <c r="AB701" s="3"/>
      <c r="AC701" s="3"/>
      <c r="AD701" s="3"/>
      <c r="AE701" s="3"/>
      <c r="AF701" s="3"/>
      <c r="AG701" s="3"/>
      <c r="AH701" s="3"/>
      <c r="AI701" s="3"/>
      <c r="AJ701" s="3"/>
      <c r="AK701" s="3"/>
    </row>
    <row r="702" ht="15.75" customHeight="1">
      <c r="A702" s="3"/>
      <c r="B702" s="466"/>
      <c r="C702" s="667"/>
      <c r="D702" s="667"/>
      <c r="E702" s="668"/>
      <c r="F702" s="667"/>
      <c r="G702" s="667"/>
      <c r="H702" s="667"/>
      <c r="I702" s="667"/>
      <c r="J702" s="667"/>
      <c r="K702" s="667"/>
      <c r="L702" s="667"/>
      <c r="M702" s="667"/>
      <c r="N702" s="667"/>
      <c r="O702" s="667"/>
      <c r="P702" s="667"/>
      <c r="Q702" s="667"/>
      <c r="S702" s="3"/>
      <c r="T702" s="3"/>
      <c r="U702" s="3"/>
      <c r="V702" s="3"/>
      <c r="W702" s="3"/>
      <c r="X702" s="3"/>
      <c r="Y702" s="3"/>
      <c r="Z702" s="3"/>
      <c r="AA702" s="3"/>
      <c r="AB702" s="3"/>
      <c r="AC702" s="3"/>
      <c r="AD702" s="3"/>
      <c r="AE702" s="3"/>
      <c r="AF702" s="3"/>
      <c r="AG702" s="3"/>
      <c r="AH702" s="3"/>
      <c r="AI702" s="3"/>
      <c r="AJ702" s="3"/>
      <c r="AK702" s="3"/>
    </row>
    <row r="703" ht="15.75" customHeight="1">
      <c r="A703" s="3"/>
      <c r="B703" s="466"/>
      <c r="C703" s="667"/>
      <c r="D703" s="667"/>
      <c r="E703" s="668"/>
      <c r="F703" s="667"/>
      <c r="G703" s="667"/>
      <c r="H703" s="667"/>
      <c r="I703" s="667"/>
      <c r="J703" s="667"/>
      <c r="K703" s="667"/>
      <c r="L703" s="667"/>
      <c r="M703" s="667"/>
      <c r="N703" s="667"/>
      <c r="O703" s="667"/>
      <c r="P703" s="667"/>
      <c r="Q703" s="667"/>
      <c r="S703" s="3"/>
      <c r="T703" s="3"/>
      <c r="U703" s="3"/>
      <c r="V703" s="3"/>
      <c r="W703" s="3"/>
      <c r="X703" s="3"/>
      <c r="Y703" s="3"/>
      <c r="Z703" s="3"/>
      <c r="AA703" s="3"/>
      <c r="AB703" s="3"/>
      <c r="AC703" s="3"/>
      <c r="AD703" s="3"/>
      <c r="AE703" s="3"/>
      <c r="AF703" s="3"/>
      <c r="AG703" s="3"/>
      <c r="AH703" s="3"/>
      <c r="AI703" s="3"/>
      <c r="AJ703" s="3"/>
      <c r="AK703" s="3"/>
    </row>
    <row r="704" ht="15.75" customHeight="1">
      <c r="A704" s="3"/>
      <c r="B704" s="466"/>
      <c r="C704" s="667"/>
      <c r="D704" s="667"/>
      <c r="E704" s="668"/>
      <c r="F704" s="667"/>
      <c r="G704" s="667"/>
      <c r="H704" s="667"/>
      <c r="I704" s="667"/>
      <c r="J704" s="667"/>
      <c r="K704" s="667"/>
      <c r="L704" s="667"/>
      <c r="M704" s="667"/>
      <c r="N704" s="667"/>
      <c r="O704" s="667"/>
      <c r="P704" s="667"/>
      <c r="Q704" s="667"/>
      <c r="S704" s="3"/>
      <c r="T704" s="3"/>
      <c r="U704" s="3"/>
      <c r="V704" s="3"/>
      <c r="W704" s="3"/>
      <c r="X704" s="3"/>
      <c r="Y704" s="3"/>
      <c r="Z704" s="3"/>
      <c r="AA704" s="3"/>
      <c r="AB704" s="3"/>
      <c r="AC704" s="3"/>
      <c r="AD704" s="3"/>
      <c r="AE704" s="3"/>
      <c r="AF704" s="3"/>
      <c r="AG704" s="3"/>
      <c r="AH704" s="3"/>
      <c r="AI704" s="3"/>
      <c r="AJ704" s="3"/>
      <c r="AK704" s="3"/>
    </row>
    <row r="705" ht="15.75" customHeight="1">
      <c r="A705" s="3"/>
      <c r="B705" s="466"/>
      <c r="C705" s="667"/>
      <c r="D705" s="667"/>
      <c r="E705" s="668"/>
      <c r="F705" s="667"/>
      <c r="G705" s="667"/>
      <c r="H705" s="667"/>
      <c r="I705" s="667"/>
      <c r="J705" s="667"/>
      <c r="K705" s="667"/>
      <c r="L705" s="667"/>
      <c r="M705" s="667"/>
      <c r="N705" s="667"/>
      <c r="O705" s="667"/>
      <c r="P705" s="667"/>
      <c r="Q705" s="667"/>
      <c r="S705" s="3"/>
      <c r="T705" s="3"/>
      <c r="U705" s="3"/>
      <c r="V705" s="3"/>
      <c r="W705" s="3"/>
      <c r="X705" s="3"/>
      <c r="Y705" s="3"/>
      <c r="Z705" s="3"/>
      <c r="AA705" s="3"/>
      <c r="AB705" s="3"/>
      <c r="AC705" s="3"/>
      <c r="AD705" s="3"/>
      <c r="AE705" s="3"/>
      <c r="AF705" s="3"/>
      <c r="AG705" s="3"/>
      <c r="AH705" s="3"/>
      <c r="AI705" s="3"/>
      <c r="AJ705" s="3"/>
      <c r="AK705" s="3"/>
    </row>
    <row r="706" ht="15.75" customHeight="1">
      <c r="A706" s="3"/>
      <c r="B706" s="466"/>
      <c r="C706" s="667"/>
      <c r="D706" s="667"/>
      <c r="E706" s="668"/>
      <c r="F706" s="667"/>
      <c r="G706" s="667"/>
      <c r="H706" s="667"/>
      <c r="I706" s="667"/>
      <c r="J706" s="667"/>
      <c r="K706" s="667"/>
      <c r="L706" s="667"/>
      <c r="M706" s="667"/>
      <c r="N706" s="667"/>
      <c r="O706" s="667"/>
      <c r="P706" s="667"/>
      <c r="Q706" s="667"/>
      <c r="S706" s="3"/>
      <c r="T706" s="3"/>
      <c r="U706" s="3"/>
      <c r="V706" s="3"/>
      <c r="W706" s="3"/>
      <c r="X706" s="3"/>
      <c r="Y706" s="3"/>
      <c r="Z706" s="3"/>
      <c r="AA706" s="3"/>
      <c r="AB706" s="3"/>
      <c r="AC706" s="3"/>
      <c r="AD706" s="3"/>
      <c r="AE706" s="3"/>
      <c r="AF706" s="3"/>
      <c r="AG706" s="3"/>
      <c r="AH706" s="3"/>
      <c r="AI706" s="3"/>
      <c r="AJ706" s="3"/>
      <c r="AK706" s="3"/>
    </row>
    <row r="707" ht="15.75" customHeight="1">
      <c r="A707" s="3"/>
      <c r="B707" s="466"/>
      <c r="C707" s="667"/>
      <c r="D707" s="667"/>
      <c r="E707" s="668"/>
      <c r="F707" s="667"/>
      <c r="G707" s="667"/>
      <c r="H707" s="667"/>
      <c r="I707" s="667"/>
      <c r="J707" s="667"/>
      <c r="K707" s="667"/>
      <c r="L707" s="667"/>
      <c r="M707" s="667"/>
      <c r="N707" s="667"/>
      <c r="O707" s="667"/>
      <c r="P707" s="667"/>
      <c r="Q707" s="667"/>
      <c r="S707" s="3"/>
      <c r="T707" s="3"/>
      <c r="U707" s="3"/>
      <c r="V707" s="3"/>
      <c r="W707" s="3"/>
      <c r="X707" s="3"/>
      <c r="Y707" s="3"/>
      <c r="Z707" s="3"/>
      <c r="AA707" s="3"/>
      <c r="AB707" s="3"/>
      <c r="AC707" s="3"/>
      <c r="AD707" s="3"/>
      <c r="AE707" s="3"/>
      <c r="AF707" s="3"/>
      <c r="AG707" s="3"/>
      <c r="AH707" s="3"/>
      <c r="AI707" s="3"/>
      <c r="AJ707" s="3"/>
      <c r="AK707" s="3"/>
    </row>
    <row r="708" ht="15.75" customHeight="1">
      <c r="A708" s="3"/>
      <c r="B708" s="466"/>
      <c r="C708" s="667"/>
      <c r="D708" s="667"/>
      <c r="E708" s="668"/>
      <c r="F708" s="667"/>
      <c r="G708" s="667"/>
      <c r="H708" s="667"/>
      <c r="I708" s="667"/>
      <c r="J708" s="667"/>
      <c r="K708" s="667"/>
      <c r="L708" s="667"/>
      <c r="M708" s="667"/>
      <c r="N708" s="667"/>
      <c r="O708" s="667"/>
      <c r="P708" s="667"/>
      <c r="Q708" s="667"/>
      <c r="S708" s="3"/>
      <c r="T708" s="3"/>
      <c r="U708" s="3"/>
      <c r="V708" s="3"/>
      <c r="W708" s="3"/>
      <c r="X708" s="3"/>
      <c r="Y708" s="3"/>
      <c r="Z708" s="3"/>
      <c r="AA708" s="3"/>
      <c r="AB708" s="3"/>
      <c r="AC708" s="3"/>
      <c r="AD708" s="3"/>
      <c r="AE708" s="3"/>
      <c r="AF708" s="3"/>
      <c r="AG708" s="3"/>
      <c r="AH708" s="3"/>
      <c r="AI708" s="3"/>
      <c r="AJ708" s="3"/>
      <c r="AK708" s="3"/>
    </row>
    <row r="709" ht="15.75" customHeight="1">
      <c r="A709" s="3"/>
      <c r="B709" s="466"/>
      <c r="C709" s="667"/>
      <c r="D709" s="667"/>
      <c r="E709" s="668"/>
      <c r="F709" s="667"/>
      <c r="G709" s="667"/>
      <c r="H709" s="667"/>
      <c r="I709" s="667"/>
      <c r="J709" s="667"/>
      <c r="K709" s="667"/>
      <c r="L709" s="667"/>
      <c r="M709" s="667"/>
      <c r="N709" s="667"/>
      <c r="O709" s="667"/>
      <c r="P709" s="667"/>
      <c r="Q709" s="667"/>
      <c r="S709" s="3"/>
      <c r="T709" s="3"/>
      <c r="U709" s="3"/>
      <c r="V709" s="3"/>
      <c r="W709" s="3"/>
      <c r="X709" s="3"/>
      <c r="Y709" s="3"/>
      <c r="Z709" s="3"/>
      <c r="AA709" s="3"/>
      <c r="AB709" s="3"/>
      <c r="AC709" s="3"/>
      <c r="AD709" s="3"/>
      <c r="AE709" s="3"/>
      <c r="AF709" s="3"/>
      <c r="AG709" s="3"/>
      <c r="AH709" s="3"/>
      <c r="AI709" s="3"/>
      <c r="AJ709" s="3"/>
      <c r="AK709" s="3"/>
    </row>
    <row r="710" ht="15.75" customHeight="1">
      <c r="A710" s="3"/>
      <c r="B710" s="466"/>
      <c r="C710" s="667"/>
      <c r="D710" s="667"/>
      <c r="E710" s="668"/>
      <c r="F710" s="667"/>
      <c r="G710" s="667"/>
      <c r="H710" s="667"/>
      <c r="I710" s="667"/>
      <c r="J710" s="667"/>
      <c r="K710" s="667"/>
      <c r="L710" s="667"/>
      <c r="M710" s="667"/>
      <c r="N710" s="667"/>
      <c r="O710" s="667"/>
      <c r="P710" s="667"/>
      <c r="Q710" s="667"/>
      <c r="S710" s="3"/>
      <c r="T710" s="3"/>
      <c r="U710" s="3"/>
      <c r="V710" s="3"/>
      <c r="W710" s="3"/>
      <c r="X710" s="3"/>
      <c r="Y710" s="3"/>
      <c r="Z710" s="3"/>
      <c r="AA710" s="3"/>
      <c r="AB710" s="3"/>
      <c r="AC710" s="3"/>
      <c r="AD710" s="3"/>
      <c r="AE710" s="3"/>
      <c r="AF710" s="3"/>
      <c r="AG710" s="3"/>
      <c r="AH710" s="3"/>
      <c r="AI710" s="3"/>
      <c r="AJ710" s="3"/>
      <c r="AK710" s="3"/>
    </row>
    <row r="711" ht="15.75" customHeight="1">
      <c r="A711" s="3"/>
      <c r="B711" s="466"/>
      <c r="C711" s="667"/>
      <c r="D711" s="667"/>
      <c r="E711" s="668"/>
      <c r="F711" s="667"/>
      <c r="G711" s="667"/>
      <c r="H711" s="667"/>
      <c r="I711" s="667"/>
      <c r="J711" s="667"/>
      <c r="K711" s="667"/>
      <c r="L711" s="667"/>
      <c r="M711" s="667"/>
      <c r="N711" s="667"/>
      <c r="O711" s="667"/>
      <c r="P711" s="667"/>
      <c r="Q711" s="667"/>
      <c r="S711" s="3"/>
      <c r="T711" s="3"/>
      <c r="U711" s="3"/>
      <c r="V711" s="3"/>
      <c r="W711" s="3"/>
      <c r="X711" s="3"/>
      <c r="Y711" s="3"/>
      <c r="Z711" s="3"/>
      <c r="AA711" s="3"/>
      <c r="AB711" s="3"/>
      <c r="AC711" s="3"/>
      <c r="AD711" s="3"/>
      <c r="AE711" s="3"/>
      <c r="AF711" s="3"/>
      <c r="AG711" s="3"/>
      <c r="AH711" s="3"/>
      <c r="AI711" s="3"/>
      <c r="AJ711" s="3"/>
      <c r="AK711" s="3"/>
    </row>
    <row r="712" ht="15.75" customHeight="1">
      <c r="A712" s="3"/>
      <c r="B712" s="466"/>
      <c r="C712" s="667"/>
      <c r="D712" s="667"/>
      <c r="E712" s="668"/>
      <c r="F712" s="667"/>
      <c r="G712" s="667"/>
      <c r="H712" s="667"/>
      <c r="I712" s="667"/>
      <c r="J712" s="667"/>
      <c r="K712" s="667"/>
      <c r="L712" s="667"/>
      <c r="M712" s="667"/>
      <c r="N712" s="667"/>
      <c r="O712" s="667"/>
      <c r="P712" s="667"/>
      <c r="Q712" s="667"/>
      <c r="S712" s="3"/>
      <c r="T712" s="3"/>
      <c r="U712" s="3"/>
      <c r="V712" s="3"/>
      <c r="W712" s="3"/>
      <c r="X712" s="3"/>
      <c r="Y712" s="3"/>
      <c r="Z712" s="3"/>
      <c r="AA712" s="3"/>
      <c r="AB712" s="3"/>
      <c r="AC712" s="3"/>
      <c r="AD712" s="3"/>
      <c r="AE712" s="3"/>
      <c r="AF712" s="3"/>
      <c r="AG712" s="3"/>
      <c r="AH712" s="3"/>
      <c r="AI712" s="3"/>
      <c r="AJ712" s="3"/>
      <c r="AK712" s="3"/>
    </row>
    <row r="713" ht="15.75" customHeight="1">
      <c r="A713" s="3"/>
      <c r="B713" s="466"/>
      <c r="C713" s="667"/>
      <c r="D713" s="667"/>
      <c r="E713" s="668"/>
      <c r="F713" s="667"/>
      <c r="G713" s="667"/>
      <c r="H713" s="667"/>
      <c r="I713" s="667"/>
      <c r="J713" s="667"/>
      <c r="K713" s="667"/>
      <c r="L713" s="667"/>
      <c r="M713" s="667"/>
      <c r="N713" s="667"/>
      <c r="O713" s="667"/>
      <c r="P713" s="667"/>
      <c r="Q713" s="667"/>
      <c r="S713" s="3"/>
      <c r="T713" s="3"/>
      <c r="U713" s="3"/>
      <c r="V713" s="3"/>
      <c r="W713" s="3"/>
      <c r="X713" s="3"/>
      <c r="Y713" s="3"/>
      <c r="Z713" s="3"/>
      <c r="AA713" s="3"/>
      <c r="AB713" s="3"/>
      <c r="AC713" s="3"/>
      <c r="AD713" s="3"/>
      <c r="AE713" s="3"/>
      <c r="AF713" s="3"/>
      <c r="AG713" s="3"/>
      <c r="AH713" s="3"/>
      <c r="AI713" s="3"/>
      <c r="AJ713" s="3"/>
      <c r="AK713" s="3"/>
    </row>
    <row r="714" ht="15.75" customHeight="1">
      <c r="A714" s="3"/>
      <c r="B714" s="466"/>
      <c r="C714" s="667"/>
      <c r="D714" s="667"/>
      <c r="E714" s="668"/>
      <c r="F714" s="667"/>
      <c r="G714" s="667"/>
      <c r="H714" s="667"/>
      <c r="I714" s="667"/>
      <c r="J714" s="667"/>
      <c r="K714" s="667"/>
      <c r="L714" s="667"/>
      <c r="M714" s="667"/>
      <c r="N714" s="667"/>
      <c r="O714" s="667"/>
      <c r="P714" s="667"/>
      <c r="Q714" s="667"/>
      <c r="S714" s="3"/>
      <c r="T714" s="3"/>
      <c r="U714" s="3"/>
      <c r="V714" s="3"/>
      <c r="W714" s="3"/>
      <c r="X714" s="3"/>
      <c r="Y714" s="3"/>
      <c r="Z714" s="3"/>
      <c r="AA714" s="3"/>
      <c r="AB714" s="3"/>
      <c r="AC714" s="3"/>
      <c r="AD714" s="3"/>
      <c r="AE714" s="3"/>
      <c r="AF714" s="3"/>
      <c r="AG714" s="3"/>
      <c r="AH714" s="3"/>
      <c r="AI714" s="3"/>
      <c r="AJ714" s="3"/>
      <c r="AK714" s="3"/>
    </row>
    <row r="715" ht="15.75" customHeight="1">
      <c r="A715" s="3"/>
      <c r="B715" s="466"/>
      <c r="C715" s="667"/>
      <c r="D715" s="667"/>
      <c r="E715" s="668"/>
      <c r="F715" s="667"/>
      <c r="G715" s="667"/>
      <c r="H715" s="667"/>
      <c r="I715" s="667"/>
      <c r="J715" s="667"/>
      <c r="K715" s="667"/>
      <c r="L715" s="667"/>
      <c r="M715" s="667"/>
      <c r="N715" s="667"/>
      <c r="O715" s="667"/>
      <c r="P715" s="667"/>
      <c r="Q715" s="667"/>
      <c r="S715" s="3"/>
      <c r="T715" s="3"/>
      <c r="U715" s="3"/>
      <c r="V715" s="3"/>
      <c r="W715" s="3"/>
      <c r="X715" s="3"/>
      <c r="Y715" s="3"/>
      <c r="Z715" s="3"/>
      <c r="AA715" s="3"/>
      <c r="AB715" s="3"/>
      <c r="AC715" s="3"/>
      <c r="AD715" s="3"/>
      <c r="AE715" s="3"/>
      <c r="AF715" s="3"/>
      <c r="AG715" s="3"/>
      <c r="AH715" s="3"/>
      <c r="AI715" s="3"/>
      <c r="AJ715" s="3"/>
      <c r="AK715" s="3"/>
    </row>
    <row r="716" ht="15.75" customHeight="1">
      <c r="A716" s="3"/>
      <c r="B716" s="466"/>
      <c r="C716" s="667"/>
      <c r="D716" s="667"/>
      <c r="E716" s="668"/>
      <c r="F716" s="667"/>
      <c r="G716" s="667"/>
      <c r="H716" s="667"/>
      <c r="I716" s="667"/>
      <c r="J716" s="667"/>
      <c r="K716" s="667"/>
      <c r="L716" s="667"/>
      <c r="M716" s="667"/>
      <c r="N716" s="667"/>
      <c r="O716" s="667"/>
      <c r="P716" s="667"/>
      <c r="Q716" s="667"/>
      <c r="S716" s="3"/>
      <c r="T716" s="3"/>
      <c r="U716" s="3"/>
      <c r="V716" s="3"/>
      <c r="W716" s="3"/>
      <c r="X716" s="3"/>
      <c r="Y716" s="3"/>
      <c r="Z716" s="3"/>
      <c r="AA716" s="3"/>
      <c r="AB716" s="3"/>
      <c r="AC716" s="3"/>
      <c r="AD716" s="3"/>
      <c r="AE716" s="3"/>
      <c r="AF716" s="3"/>
      <c r="AG716" s="3"/>
      <c r="AH716" s="3"/>
      <c r="AI716" s="3"/>
      <c r="AJ716" s="3"/>
      <c r="AK716" s="3"/>
    </row>
    <row r="717" ht="15.75" customHeight="1">
      <c r="A717" s="3"/>
      <c r="B717" s="466"/>
      <c r="C717" s="667"/>
      <c r="D717" s="667"/>
      <c r="E717" s="668"/>
      <c r="F717" s="667"/>
      <c r="G717" s="667"/>
      <c r="H717" s="667"/>
      <c r="I717" s="667"/>
      <c r="J717" s="667"/>
      <c r="K717" s="667"/>
      <c r="L717" s="667"/>
      <c r="M717" s="667"/>
      <c r="N717" s="667"/>
      <c r="O717" s="667"/>
      <c r="P717" s="667"/>
      <c r="Q717" s="667"/>
      <c r="S717" s="3"/>
      <c r="T717" s="3"/>
      <c r="U717" s="3"/>
      <c r="V717" s="3"/>
      <c r="W717" s="3"/>
      <c r="X717" s="3"/>
      <c r="Y717" s="3"/>
      <c r="Z717" s="3"/>
      <c r="AA717" s="3"/>
      <c r="AB717" s="3"/>
      <c r="AC717" s="3"/>
      <c r="AD717" s="3"/>
      <c r="AE717" s="3"/>
      <c r="AF717" s="3"/>
      <c r="AG717" s="3"/>
      <c r="AH717" s="3"/>
      <c r="AI717" s="3"/>
      <c r="AJ717" s="3"/>
      <c r="AK717" s="3"/>
    </row>
    <row r="718" ht="15.75" customHeight="1">
      <c r="A718" s="3"/>
      <c r="B718" s="466"/>
      <c r="C718" s="667"/>
      <c r="D718" s="667"/>
      <c r="E718" s="668"/>
      <c r="F718" s="667"/>
      <c r="G718" s="667"/>
      <c r="H718" s="667"/>
      <c r="I718" s="667"/>
      <c r="J718" s="667"/>
      <c r="K718" s="667"/>
      <c r="L718" s="667"/>
      <c r="M718" s="667"/>
      <c r="N718" s="667"/>
      <c r="O718" s="667"/>
      <c r="P718" s="667"/>
      <c r="Q718" s="667"/>
      <c r="S718" s="3"/>
      <c r="T718" s="3"/>
      <c r="U718" s="3"/>
      <c r="V718" s="3"/>
      <c r="W718" s="3"/>
      <c r="X718" s="3"/>
      <c r="Y718" s="3"/>
      <c r="Z718" s="3"/>
      <c r="AA718" s="3"/>
      <c r="AB718" s="3"/>
      <c r="AC718" s="3"/>
      <c r="AD718" s="3"/>
      <c r="AE718" s="3"/>
      <c r="AF718" s="3"/>
      <c r="AG718" s="3"/>
      <c r="AH718" s="3"/>
      <c r="AI718" s="3"/>
      <c r="AJ718" s="3"/>
      <c r="AK718" s="3"/>
    </row>
    <row r="719" ht="15.75" customHeight="1">
      <c r="A719" s="3"/>
      <c r="B719" s="466"/>
      <c r="C719" s="667"/>
      <c r="D719" s="667"/>
      <c r="E719" s="668"/>
      <c r="F719" s="667"/>
      <c r="G719" s="667"/>
      <c r="H719" s="667"/>
      <c r="I719" s="667"/>
      <c r="J719" s="667"/>
      <c r="K719" s="667"/>
      <c r="L719" s="667"/>
      <c r="M719" s="667"/>
      <c r="N719" s="667"/>
      <c r="O719" s="667"/>
      <c r="P719" s="667"/>
      <c r="Q719" s="667"/>
      <c r="S719" s="3"/>
      <c r="T719" s="3"/>
      <c r="U719" s="3"/>
      <c r="V719" s="3"/>
      <c r="W719" s="3"/>
      <c r="X719" s="3"/>
      <c r="Y719" s="3"/>
      <c r="Z719" s="3"/>
      <c r="AA719" s="3"/>
      <c r="AB719" s="3"/>
      <c r="AC719" s="3"/>
      <c r="AD719" s="3"/>
      <c r="AE719" s="3"/>
      <c r="AF719" s="3"/>
      <c r="AG719" s="3"/>
      <c r="AH719" s="3"/>
      <c r="AI719" s="3"/>
      <c r="AJ719" s="3"/>
      <c r="AK719" s="3"/>
    </row>
    <row r="720" ht="15.75" customHeight="1">
      <c r="A720" s="3"/>
      <c r="B720" s="466"/>
      <c r="C720" s="667"/>
      <c r="D720" s="667"/>
      <c r="E720" s="668"/>
      <c r="F720" s="667"/>
      <c r="G720" s="667"/>
      <c r="H720" s="667"/>
      <c r="I720" s="667"/>
      <c r="J720" s="667"/>
      <c r="K720" s="667"/>
      <c r="L720" s="667"/>
      <c r="M720" s="667"/>
      <c r="N720" s="667"/>
      <c r="O720" s="667"/>
      <c r="P720" s="667"/>
      <c r="Q720" s="667"/>
      <c r="S720" s="3"/>
      <c r="T720" s="3"/>
      <c r="U720" s="3"/>
      <c r="V720" s="3"/>
      <c r="W720" s="3"/>
      <c r="X720" s="3"/>
      <c r="Y720" s="3"/>
      <c r="Z720" s="3"/>
      <c r="AA720" s="3"/>
      <c r="AB720" s="3"/>
      <c r="AC720" s="3"/>
      <c r="AD720" s="3"/>
      <c r="AE720" s="3"/>
      <c r="AF720" s="3"/>
      <c r="AG720" s="3"/>
      <c r="AH720" s="3"/>
      <c r="AI720" s="3"/>
      <c r="AJ720" s="3"/>
      <c r="AK720" s="3"/>
    </row>
    <row r="721" ht="15.75" customHeight="1">
      <c r="A721" s="3"/>
      <c r="B721" s="466"/>
      <c r="C721" s="667"/>
      <c r="D721" s="667"/>
      <c r="E721" s="668"/>
      <c r="F721" s="667"/>
      <c r="G721" s="667"/>
      <c r="H721" s="667"/>
      <c r="I721" s="667"/>
      <c r="J721" s="667"/>
      <c r="K721" s="667"/>
      <c r="L721" s="667"/>
      <c r="M721" s="667"/>
      <c r="N721" s="667"/>
      <c r="O721" s="667"/>
      <c r="P721" s="667"/>
      <c r="Q721" s="667"/>
      <c r="S721" s="3"/>
      <c r="T721" s="3"/>
      <c r="U721" s="3"/>
      <c r="V721" s="3"/>
      <c r="W721" s="3"/>
      <c r="X721" s="3"/>
      <c r="Y721" s="3"/>
      <c r="Z721" s="3"/>
      <c r="AA721" s="3"/>
      <c r="AB721" s="3"/>
      <c r="AC721" s="3"/>
      <c r="AD721" s="3"/>
      <c r="AE721" s="3"/>
      <c r="AF721" s="3"/>
      <c r="AG721" s="3"/>
      <c r="AH721" s="3"/>
      <c r="AI721" s="3"/>
      <c r="AJ721" s="3"/>
      <c r="AK721" s="3"/>
    </row>
    <row r="722" ht="15.75" customHeight="1">
      <c r="A722" s="3"/>
      <c r="B722" s="466"/>
      <c r="C722" s="667"/>
      <c r="D722" s="667"/>
      <c r="E722" s="668"/>
      <c r="F722" s="667"/>
      <c r="G722" s="667"/>
      <c r="H722" s="667"/>
      <c r="I722" s="667"/>
      <c r="J722" s="667"/>
      <c r="K722" s="667"/>
      <c r="L722" s="667"/>
      <c r="M722" s="667"/>
      <c r="N722" s="667"/>
      <c r="O722" s="667"/>
      <c r="P722" s="667"/>
      <c r="Q722" s="667"/>
      <c r="S722" s="3"/>
      <c r="T722" s="3"/>
      <c r="U722" s="3"/>
      <c r="V722" s="3"/>
      <c r="W722" s="3"/>
      <c r="X722" s="3"/>
      <c r="Y722" s="3"/>
      <c r="Z722" s="3"/>
      <c r="AA722" s="3"/>
      <c r="AB722" s="3"/>
      <c r="AC722" s="3"/>
      <c r="AD722" s="3"/>
      <c r="AE722" s="3"/>
      <c r="AF722" s="3"/>
      <c r="AG722" s="3"/>
      <c r="AH722" s="3"/>
      <c r="AI722" s="3"/>
      <c r="AJ722" s="3"/>
      <c r="AK722" s="3"/>
    </row>
    <row r="723" ht="15.75" customHeight="1">
      <c r="A723" s="3"/>
      <c r="B723" s="466"/>
      <c r="C723" s="667"/>
      <c r="D723" s="667"/>
      <c r="E723" s="668"/>
      <c r="F723" s="667"/>
      <c r="G723" s="667"/>
      <c r="H723" s="667"/>
      <c r="I723" s="667"/>
      <c r="J723" s="667"/>
      <c r="K723" s="667"/>
      <c r="L723" s="667"/>
      <c r="M723" s="667"/>
      <c r="N723" s="667"/>
      <c r="O723" s="667"/>
      <c r="P723" s="667"/>
      <c r="Q723" s="667"/>
      <c r="S723" s="3"/>
      <c r="T723" s="3"/>
      <c r="U723" s="3"/>
      <c r="V723" s="3"/>
      <c r="W723" s="3"/>
      <c r="X723" s="3"/>
      <c r="Y723" s="3"/>
      <c r="Z723" s="3"/>
      <c r="AA723" s="3"/>
      <c r="AB723" s="3"/>
      <c r="AC723" s="3"/>
      <c r="AD723" s="3"/>
      <c r="AE723" s="3"/>
      <c r="AF723" s="3"/>
      <c r="AG723" s="3"/>
      <c r="AH723" s="3"/>
      <c r="AI723" s="3"/>
      <c r="AJ723" s="3"/>
      <c r="AK723" s="3"/>
    </row>
    <row r="724" ht="15.75" customHeight="1">
      <c r="A724" s="3"/>
      <c r="B724" s="466"/>
      <c r="C724" s="667"/>
      <c r="D724" s="667"/>
      <c r="E724" s="668"/>
      <c r="F724" s="667"/>
      <c r="G724" s="667"/>
      <c r="H724" s="667"/>
      <c r="I724" s="667"/>
      <c r="J724" s="667"/>
      <c r="K724" s="667"/>
      <c r="L724" s="667"/>
      <c r="M724" s="667"/>
      <c r="N724" s="667"/>
      <c r="O724" s="667"/>
      <c r="P724" s="667"/>
      <c r="Q724" s="667"/>
      <c r="S724" s="3"/>
      <c r="T724" s="3"/>
      <c r="U724" s="3"/>
      <c r="V724" s="3"/>
      <c r="W724" s="3"/>
      <c r="X724" s="3"/>
      <c r="Y724" s="3"/>
      <c r="Z724" s="3"/>
      <c r="AA724" s="3"/>
      <c r="AB724" s="3"/>
      <c r="AC724" s="3"/>
      <c r="AD724" s="3"/>
      <c r="AE724" s="3"/>
      <c r="AF724" s="3"/>
      <c r="AG724" s="3"/>
      <c r="AH724" s="3"/>
      <c r="AI724" s="3"/>
      <c r="AJ724" s="3"/>
      <c r="AK724" s="3"/>
    </row>
    <row r="725" ht="15.75" customHeight="1">
      <c r="A725" s="3"/>
      <c r="B725" s="466"/>
      <c r="C725" s="667"/>
      <c r="D725" s="667"/>
      <c r="E725" s="668"/>
      <c r="F725" s="667"/>
      <c r="G725" s="667"/>
      <c r="H725" s="667"/>
      <c r="I725" s="667"/>
      <c r="J725" s="667"/>
      <c r="K725" s="667"/>
      <c r="L725" s="667"/>
      <c r="M725" s="667"/>
      <c r="N725" s="667"/>
      <c r="O725" s="667"/>
      <c r="P725" s="667"/>
      <c r="Q725" s="667"/>
      <c r="S725" s="3"/>
      <c r="T725" s="3"/>
      <c r="U725" s="3"/>
      <c r="V725" s="3"/>
      <c r="W725" s="3"/>
      <c r="X725" s="3"/>
      <c r="Y725" s="3"/>
      <c r="Z725" s="3"/>
      <c r="AA725" s="3"/>
      <c r="AB725" s="3"/>
      <c r="AC725" s="3"/>
      <c r="AD725" s="3"/>
      <c r="AE725" s="3"/>
      <c r="AF725" s="3"/>
      <c r="AG725" s="3"/>
      <c r="AH725" s="3"/>
      <c r="AI725" s="3"/>
      <c r="AJ725" s="3"/>
      <c r="AK725" s="3"/>
    </row>
    <row r="726" ht="15.75" customHeight="1">
      <c r="A726" s="3"/>
      <c r="B726" s="466"/>
      <c r="C726" s="667"/>
      <c r="D726" s="667"/>
      <c r="E726" s="668"/>
      <c r="F726" s="667"/>
      <c r="G726" s="667"/>
      <c r="H726" s="667"/>
      <c r="I726" s="667"/>
      <c r="J726" s="667"/>
      <c r="K726" s="667"/>
      <c r="L726" s="667"/>
      <c r="M726" s="667"/>
      <c r="N726" s="667"/>
      <c r="O726" s="667"/>
      <c r="P726" s="667"/>
      <c r="Q726" s="667"/>
      <c r="S726" s="3"/>
      <c r="T726" s="3"/>
      <c r="U726" s="3"/>
      <c r="V726" s="3"/>
      <c r="W726" s="3"/>
      <c r="X726" s="3"/>
      <c r="Y726" s="3"/>
      <c r="Z726" s="3"/>
      <c r="AA726" s="3"/>
      <c r="AB726" s="3"/>
      <c r="AC726" s="3"/>
      <c r="AD726" s="3"/>
      <c r="AE726" s="3"/>
      <c r="AF726" s="3"/>
      <c r="AG726" s="3"/>
      <c r="AH726" s="3"/>
      <c r="AI726" s="3"/>
      <c r="AJ726" s="3"/>
      <c r="AK726" s="3"/>
    </row>
    <row r="727" ht="15.75" customHeight="1">
      <c r="A727" s="3"/>
      <c r="B727" s="466"/>
      <c r="C727" s="667"/>
      <c r="D727" s="667"/>
      <c r="E727" s="668"/>
      <c r="F727" s="667"/>
      <c r="G727" s="667"/>
      <c r="H727" s="667"/>
      <c r="I727" s="667"/>
      <c r="J727" s="667"/>
      <c r="K727" s="667"/>
      <c r="L727" s="667"/>
      <c r="M727" s="667"/>
      <c r="N727" s="667"/>
      <c r="O727" s="667"/>
      <c r="P727" s="667"/>
      <c r="Q727" s="667"/>
      <c r="S727" s="3"/>
      <c r="T727" s="3"/>
      <c r="U727" s="3"/>
      <c r="V727" s="3"/>
      <c r="W727" s="3"/>
      <c r="X727" s="3"/>
      <c r="Y727" s="3"/>
      <c r="Z727" s="3"/>
      <c r="AA727" s="3"/>
      <c r="AB727" s="3"/>
      <c r="AC727" s="3"/>
      <c r="AD727" s="3"/>
      <c r="AE727" s="3"/>
      <c r="AF727" s="3"/>
      <c r="AG727" s="3"/>
      <c r="AH727" s="3"/>
      <c r="AI727" s="3"/>
      <c r="AJ727" s="3"/>
      <c r="AK727" s="3"/>
    </row>
    <row r="728" ht="15.75" customHeight="1">
      <c r="A728" s="3"/>
      <c r="B728" s="466"/>
      <c r="C728" s="667"/>
      <c r="D728" s="667"/>
      <c r="E728" s="668"/>
      <c r="F728" s="667"/>
      <c r="G728" s="667"/>
      <c r="H728" s="667"/>
      <c r="I728" s="667"/>
      <c r="J728" s="667"/>
      <c r="K728" s="667"/>
      <c r="L728" s="667"/>
      <c r="M728" s="667"/>
      <c r="N728" s="667"/>
      <c r="O728" s="667"/>
      <c r="P728" s="667"/>
      <c r="Q728" s="667"/>
      <c r="S728" s="3"/>
      <c r="T728" s="3"/>
      <c r="U728" s="3"/>
      <c r="V728" s="3"/>
      <c r="W728" s="3"/>
      <c r="X728" s="3"/>
      <c r="Y728" s="3"/>
      <c r="Z728" s="3"/>
      <c r="AA728" s="3"/>
      <c r="AB728" s="3"/>
      <c r="AC728" s="3"/>
      <c r="AD728" s="3"/>
      <c r="AE728" s="3"/>
      <c r="AF728" s="3"/>
      <c r="AG728" s="3"/>
      <c r="AH728" s="3"/>
      <c r="AI728" s="3"/>
      <c r="AJ728" s="3"/>
      <c r="AK728" s="3"/>
    </row>
    <row r="729" ht="15.75" customHeight="1">
      <c r="A729" s="3"/>
      <c r="B729" s="466"/>
      <c r="C729" s="667"/>
      <c r="D729" s="667"/>
      <c r="E729" s="668"/>
      <c r="F729" s="667"/>
      <c r="G729" s="667"/>
      <c r="H729" s="667"/>
      <c r="I729" s="667"/>
      <c r="J729" s="667"/>
      <c r="K729" s="667"/>
      <c r="L729" s="667"/>
      <c r="M729" s="667"/>
      <c r="N729" s="667"/>
      <c r="O729" s="667"/>
      <c r="P729" s="667"/>
      <c r="Q729" s="667"/>
      <c r="S729" s="3"/>
      <c r="T729" s="3"/>
      <c r="U729" s="3"/>
      <c r="V729" s="3"/>
      <c r="W729" s="3"/>
      <c r="X729" s="3"/>
      <c r="Y729" s="3"/>
      <c r="Z729" s="3"/>
      <c r="AA729" s="3"/>
      <c r="AB729" s="3"/>
      <c r="AC729" s="3"/>
      <c r="AD729" s="3"/>
      <c r="AE729" s="3"/>
      <c r="AF729" s="3"/>
      <c r="AG729" s="3"/>
      <c r="AH729" s="3"/>
      <c r="AI729" s="3"/>
      <c r="AJ729" s="3"/>
      <c r="AK729" s="3"/>
    </row>
    <row r="730" ht="15.75" customHeight="1">
      <c r="A730" s="3"/>
      <c r="B730" s="466"/>
      <c r="C730" s="667"/>
      <c r="D730" s="667"/>
      <c r="E730" s="668"/>
      <c r="F730" s="667"/>
      <c r="G730" s="667"/>
      <c r="H730" s="667"/>
      <c r="I730" s="667"/>
      <c r="J730" s="667"/>
      <c r="K730" s="667"/>
      <c r="L730" s="667"/>
      <c r="M730" s="667"/>
      <c r="N730" s="667"/>
      <c r="O730" s="667"/>
      <c r="P730" s="667"/>
      <c r="Q730" s="667"/>
      <c r="S730" s="3"/>
      <c r="T730" s="3"/>
      <c r="U730" s="3"/>
      <c r="V730" s="3"/>
      <c r="W730" s="3"/>
      <c r="X730" s="3"/>
      <c r="Y730" s="3"/>
      <c r="Z730" s="3"/>
      <c r="AA730" s="3"/>
      <c r="AB730" s="3"/>
      <c r="AC730" s="3"/>
      <c r="AD730" s="3"/>
      <c r="AE730" s="3"/>
      <c r="AF730" s="3"/>
      <c r="AG730" s="3"/>
      <c r="AH730" s="3"/>
      <c r="AI730" s="3"/>
      <c r="AJ730" s="3"/>
      <c r="AK730" s="3"/>
    </row>
    <row r="731" ht="15.75" customHeight="1">
      <c r="A731" s="3"/>
      <c r="B731" s="466"/>
      <c r="C731" s="667"/>
      <c r="D731" s="667"/>
      <c r="E731" s="668"/>
      <c r="F731" s="667"/>
      <c r="G731" s="667"/>
      <c r="H731" s="667"/>
      <c r="I731" s="667"/>
      <c r="J731" s="667"/>
      <c r="K731" s="667"/>
      <c r="L731" s="667"/>
      <c r="M731" s="667"/>
      <c r="N731" s="667"/>
      <c r="O731" s="667"/>
      <c r="P731" s="667"/>
      <c r="Q731" s="667"/>
      <c r="S731" s="3"/>
      <c r="T731" s="3"/>
      <c r="U731" s="3"/>
      <c r="V731" s="3"/>
      <c r="W731" s="3"/>
      <c r="X731" s="3"/>
      <c r="Y731" s="3"/>
      <c r="Z731" s="3"/>
      <c r="AA731" s="3"/>
      <c r="AB731" s="3"/>
      <c r="AC731" s="3"/>
      <c r="AD731" s="3"/>
      <c r="AE731" s="3"/>
      <c r="AF731" s="3"/>
      <c r="AG731" s="3"/>
      <c r="AH731" s="3"/>
      <c r="AI731" s="3"/>
      <c r="AJ731" s="3"/>
      <c r="AK731" s="3"/>
    </row>
    <row r="732" ht="15.75" customHeight="1">
      <c r="A732" s="3"/>
      <c r="B732" s="466"/>
      <c r="C732" s="667"/>
      <c r="D732" s="667"/>
      <c r="E732" s="668"/>
      <c r="F732" s="667"/>
      <c r="G732" s="667"/>
      <c r="H732" s="667"/>
      <c r="I732" s="667"/>
      <c r="J732" s="667"/>
      <c r="K732" s="667"/>
      <c r="L732" s="667"/>
      <c r="M732" s="667"/>
      <c r="N732" s="667"/>
      <c r="O732" s="667"/>
      <c r="P732" s="667"/>
      <c r="Q732" s="667"/>
      <c r="S732" s="3"/>
      <c r="T732" s="3"/>
      <c r="U732" s="3"/>
      <c r="V732" s="3"/>
      <c r="W732" s="3"/>
      <c r="X732" s="3"/>
      <c r="Y732" s="3"/>
      <c r="Z732" s="3"/>
      <c r="AA732" s="3"/>
      <c r="AB732" s="3"/>
      <c r="AC732" s="3"/>
      <c r="AD732" s="3"/>
      <c r="AE732" s="3"/>
      <c r="AF732" s="3"/>
      <c r="AG732" s="3"/>
      <c r="AH732" s="3"/>
      <c r="AI732" s="3"/>
      <c r="AJ732" s="3"/>
      <c r="AK732" s="3"/>
    </row>
    <row r="733" ht="15.75" customHeight="1">
      <c r="A733" s="3"/>
      <c r="B733" s="466"/>
      <c r="C733" s="667"/>
      <c r="D733" s="667"/>
      <c r="E733" s="668"/>
      <c r="F733" s="667"/>
      <c r="G733" s="667"/>
      <c r="H733" s="667"/>
      <c r="I733" s="667"/>
      <c r="J733" s="667"/>
      <c r="K733" s="667"/>
      <c r="L733" s="667"/>
      <c r="M733" s="667"/>
      <c r="N733" s="667"/>
      <c r="O733" s="667"/>
      <c r="P733" s="667"/>
      <c r="Q733" s="667"/>
      <c r="S733" s="3"/>
      <c r="T733" s="3"/>
      <c r="U733" s="3"/>
      <c r="V733" s="3"/>
      <c r="W733" s="3"/>
      <c r="X733" s="3"/>
      <c r="Y733" s="3"/>
      <c r="Z733" s="3"/>
      <c r="AA733" s="3"/>
      <c r="AB733" s="3"/>
      <c r="AC733" s="3"/>
      <c r="AD733" s="3"/>
      <c r="AE733" s="3"/>
      <c r="AF733" s="3"/>
      <c r="AG733" s="3"/>
      <c r="AH733" s="3"/>
      <c r="AI733" s="3"/>
      <c r="AJ733" s="3"/>
      <c r="AK733" s="3"/>
    </row>
    <row r="734" ht="15.75" customHeight="1">
      <c r="A734" s="3"/>
      <c r="B734" s="466"/>
      <c r="C734" s="667"/>
      <c r="D734" s="667"/>
      <c r="E734" s="668"/>
      <c r="F734" s="667"/>
      <c r="G734" s="667"/>
      <c r="H734" s="667"/>
      <c r="I734" s="667"/>
      <c r="J734" s="667"/>
      <c r="K734" s="667"/>
      <c r="L734" s="667"/>
      <c r="M734" s="667"/>
      <c r="N734" s="667"/>
      <c r="O734" s="667"/>
      <c r="P734" s="667"/>
      <c r="Q734" s="667"/>
      <c r="S734" s="3"/>
      <c r="T734" s="3"/>
      <c r="U734" s="3"/>
      <c r="V734" s="3"/>
      <c r="W734" s="3"/>
      <c r="X734" s="3"/>
      <c r="Y734" s="3"/>
      <c r="Z734" s="3"/>
      <c r="AA734" s="3"/>
      <c r="AB734" s="3"/>
      <c r="AC734" s="3"/>
      <c r="AD734" s="3"/>
      <c r="AE734" s="3"/>
      <c r="AF734" s="3"/>
      <c r="AG734" s="3"/>
      <c r="AH734" s="3"/>
      <c r="AI734" s="3"/>
      <c r="AJ734" s="3"/>
      <c r="AK734" s="3"/>
    </row>
    <row r="735" ht="15.75" customHeight="1">
      <c r="A735" s="3"/>
      <c r="B735" s="466"/>
      <c r="C735" s="667"/>
      <c r="D735" s="667"/>
      <c r="E735" s="668"/>
      <c r="F735" s="667"/>
      <c r="G735" s="667"/>
      <c r="H735" s="667"/>
      <c r="I735" s="667"/>
      <c r="J735" s="667"/>
      <c r="K735" s="667"/>
      <c r="L735" s="667"/>
      <c r="M735" s="667"/>
      <c r="N735" s="667"/>
      <c r="O735" s="667"/>
      <c r="P735" s="667"/>
      <c r="Q735" s="667"/>
      <c r="S735" s="3"/>
      <c r="T735" s="3"/>
      <c r="U735" s="3"/>
      <c r="V735" s="3"/>
      <c r="W735" s="3"/>
      <c r="X735" s="3"/>
      <c r="Y735" s="3"/>
      <c r="Z735" s="3"/>
      <c r="AA735" s="3"/>
      <c r="AB735" s="3"/>
      <c r="AC735" s="3"/>
      <c r="AD735" s="3"/>
      <c r="AE735" s="3"/>
      <c r="AF735" s="3"/>
      <c r="AG735" s="3"/>
      <c r="AH735" s="3"/>
      <c r="AI735" s="3"/>
      <c r="AJ735" s="3"/>
      <c r="AK735" s="3"/>
    </row>
    <row r="736" ht="15.75" customHeight="1">
      <c r="A736" s="3"/>
      <c r="B736" s="466"/>
      <c r="C736" s="667"/>
      <c r="D736" s="667"/>
      <c r="E736" s="668"/>
      <c r="F736" s="667"/>
      <c r="G736" s="667"/>
      <c r="H736" s="667"/>
      <c r="I736" s="667"/>
      <c r="J736" s="667"/>
      <c r="K736" s="667"/>
      <c r="L736" s="667"/>
      <c r="M736" s="667"/>
      <c r="N736" s="667"/>
      <c r="O736" s="667"/>
      <c r="P736" s="667"/>
      <c r="Q736" s="667"/>
      <c r="S736" s="3"/>
      <c r="T736" s="3"/>
      <c r="U736" s="3"/>
      <c r="V736" s="3"/>
      <c r="W736" s="3"/>
      <c r="X736" s="3"/>
      <c r="Y736" s="3"/>
      <c r="Z736" s="3"/>
      <c r="AA736" s="3"/>
      <c r="AB736" s="3"/>
      <c r="AC736" s="3"/>
      <c r="AD736" s="3"/>
      <c r="AE736" s="3"/>
      <c r="AF736" s="3"/>
      <c r="AG736" s="3"/>
      <c r="AH736" s="3"/>
      <c r="AI736" s="3"/>
      <c r="AJ736" s="3"/>
      <c r="AK736" s="3"/>
    </row>
    <row r="737" ht="15.75" customHeight="1">
      <c r="A737" s="3"/>
      <c r="B737" s="466"/>
      <c r="C737" s="667"/>
      <c r="D737" s="667"/>
      <c r="E737" s="668"/>
      <c r="F737" s="667"/>
      <c r="G737" s="667"/>
      <c r="H737" s="667"/>
      <c r="I737" s="667"/>
      <c r="J737" s="667"/>
      <c r="K737" s="667"/>
      <c r="L737" s="667"/>
      <c r="M737" s="667"/>
      <c r="N737" s="667"/>
      <c r="O737" s="667"/>
      <c r="P737" s="667"/>
      <c r="Q737" s="667"/>
      <c r="S737" s="3"/>
      <c r="T737" s="3"/>
      <c r="U737" s="3"/>
      <c r="V737" s="3"/>
      <c r="W737" s="3"/>
      <c r="X737" s="3"/>
      <c r="Y737" s="3"/>
      <c r="Z737" s="3"/>
      <c r="AA737" s="3"/>
      <c r="AB737" s="3"/>
      <c r="AC737" s="3"/>
      <c r="AD737" s="3"/>
      <c r="AE737" s="3"/>
      <c r="AF737" s="3"/>
      <c r="AG737" s="3"/>
      <c r="AH737" s="3"/>
      <c r="AI737" s="3"/>
      <c r="AJ737" s="3"/>
      <c r="AK737" s="3"/>
    </row>
    <row r="738" ht="15.75" customHeight="1">
      <c r="A738" s="3"/>
      <c r="B738" s="466"/>
      <c r="C738" s="667"/>
      <c r="D738" s="667"/>
      <c r="E738" s="668"/>
      <c r="F738" s="667"/>
      <c r="G738" s="667"/>
      <c r="H738" s="667"/>
      <c r="I738" s="667"/>
      <c r="J738" s="667"/>
      <c r="K738" s="667"/>
      <c r="L738" s="667"/>
      <c r="M738" s="667"/>
      <c r="N738" s="667"/>
      <c r="O738" s="667"/>
      <c r="P738" s="667"/>
      <c r="Q738" s="667"/>
      <c r="S738" s="3"/>
      <c r="T738" s="3"/>
      <c r="U738" s="3"/>
      <c r="V738" s="3"/>
      <c r="W738" s="3"/>
      <c r="X738" s="3"/>
      <c r="Y738" s="3"/>
      <c r="Z738" s="3"/>
      <c r="AA738" s="3"/>
      <c r="AB738" s="3"/>
      <c r="AC738" s="3"/>
      <c r="AD738" s="3"/>
      <c r="AE738" s="3"/>
      <c r="AF738" s="3"/>
      <c r="AG738" s="3"/>
      <c r="AH738" s="3"/>
      <c r="AI738" s="3"/>
      <c r="AJ738" s="3"/>
      <c r="AK738" s="3"/>
    </row>
    <row r="739" ht="15.75" customHeight="1">
      <c r="A739" s="3"/>
      <c r="B739" s="466"/>
      <c r="C739" s="667"/>
      <c r="D739" s="667"/>
      <c r="E739" s="668"/>
      <c r="F739" s="667"/>
      <c r="G739" s="667"/>
      <c r="H739" s="667"/>
      <c r="I739" s="667"/>
      <c r="J739" s="667"/>
      <c r="K739" s="667"/>
      <c r="L739" s="667"/>
      <c r="M739" s="667"/>
      <c r="N739" s="667"/>
      <c r="O739" s="667"/>
      <c r="P739" s="667"/>
      <c r="Q739" s="667"/>
      <c r="S739" s="3"/>
      <c r="T739" s="3"/>
      <c r="U739" s="3"/>
      <c r="V739" s="3"/>
      <c r="W739" s="3"/>
      <c r="X739" s="3"/>
      <c r="Y739" s="3"/>
      <c r="Z739" s="3"/>
      <c r="AA739" s="3"/>
      <c r="AB739" s="3"/>
      <c r="AC739" s="3"/>
      <c r="AD739" s="3"/>
      <c r="AE739" s="3"/>
      <c r="AF739" s="3"/>
      <c r="AG739" s="3"/>
      <c r="AH739" s="3"/>
      <c r="AI739" s="3"/>
      <c r="AJ739" s="3"/>
      <c r="AK739" s="3"/>
    </row>
    <row r="740" ht="15.75" customHeight="1">
      <c r="A740" s="3"/>
      <c r="B740" s="466"/>
      <c r="C740" s="667"/>
      <c r="D740" s="667"/>
      <c r="E740" s="668"/>
      <c r="F740" s="667"/>
      <c r="G740" s="667"/>
      <c r="H740" s="667"/>
      <c r="I740" s="667"/>
      <c r="J740" s="667"/>
      <c r="K740" s="667"/>
      <c r="L740" s="667"/>
      <c r="M740" s="667"/>
      <c r="N740" s="667"/>
      <c r="O740" s="667"/>
      <c r="P740" s="667"/>
      <c r="Q740" s="667"/>
      <c r="S740" s="3"/>
      <c r="T740" s="3"/>
      <c r="U740" s="3"/>
      <c r="V740" s="3"/>
      <c r="W740" s="3"/>
      <c r="X740" s="3"/>
      <c r="Y740" s="3"/>
      <c r="Z740" s="3"/>
      <c r="AA740" s="3"/>
      <c r="AB740" s="3"/>
      <c r="AC740" s="3"/>
      <c r="AD740" s="3"/>
      <c r="AE740" s="3"/>
      <c r="AF740" s="3"/>
      <c r="AG740" s="3"/>
      <c r="AH740" s="3"/>
      <c r="AI740" s="3"/>
      <c r="AJ740" s="3"/>
      <c r="AK740" s="3"/>
    </row>
    <row r="741" ht="15.75" customHeight="1">
      <c r="A741" s="3"/>
      <c r="B741" s="466"/>
      <c r="C741" s="667"/>
      <c r="D741" s="667"/>
      <c r="E741" s="668"/>
      <c r="F741" s="667"/>
      <c r="G741" s="667"/>
      <c r="H741" s="667"/>
      <c r="I741" s="667"/>
      <c r="J741" s="667"/>
      <c r="K741" s="667"/>
      <c r="L741" s="667"/>
      <c r="M741" s="667"/>
      <c r="N741" s="667"/>
      <c r="O741" s="667"/>
      <c r="P741" s="667"/>
      <c r="Q741" s="667"/>
      <c r="S741" s="3"/>
      <c r="T741" s="3"/>
      <c r="U741" s="3"/>
      <c r="V741" s="3"/>
      <c r="W741" s="3"/>
      <c r="X741" s="3"/>
      <c r="Y741" s="3"/>
      <c r="Z741" s="3"/>
      <c r="AA741" s="3"/>
      <c r="AB741" s="3"/>
      <c r="AC741" s="3"/>
      <c r="AD741" s="3"/>
      <c r="AE741" s="3"/>
      <c r="AF741" s="3"/>
      <c r="AG741" s="3"/>
      <c r="AH741" s="3"/>
      <c r="AI741" s="3"/>
      <c r="AJ741" s="3"/>
      <c r="AK741" s="3"/>
    </row>
    <row r="742" ht="15.75" customHeight="1">
      <c r="A742" s="3"/>
      <c r="B742" s="466"/>
      <c r="C742" s="667"/>
      <c r="D742" s="667"/>
      <c r="E742" s="668"/>
      <c r="F742" s="667"/>
      <c r="G742" s="667"/>
      <c r="H742" s="667"/>
      <c r="I742" s="667"/>
      <c r="J742" s="667"/>
      <c r="K742" s="667"/>
      <c r="L742" s="667"/>
      <c r="M742" s="667"/>
      <c r="N742" s="667"/>
      <c r="O742" s="667"/>
      <c r="P742" s="667"/>
      <c r="Q742" s="667"/>
      <c r="S742" s="3"/>
      <c r="T742" s="3"/>
      <c r="U742" s="3"/>
      <c r="V742" s="3"/>
      <c r="W742" s="3"/>
      <c r="X742" s="3"/>
      <c r="Y742" s="3"/>
      <c r="Z742" s="3"/>
      <c r="AA742" s="3"/>
      <c r="AB742" s="3"/>
      <c r="AC742" s="3"/>
      <c r="AD742" s="3"/>
      <c r="AE742" s="3"/>
      <c r="AF742" s="3"/>
      <c r="AG742" s="3"/>
      <c r="AH742" s="3"/>
      <c r="AI742" s="3"/>
      <c r="AJ742" s="3"/>
      <c r="AK742" s="3"/>
    </row>
    <row r="743" ht="15.75" customHeight="1">
      <c r="A743" s="3"/>
      <c r="B743" s="466"/>
      <c r="C743" s="667"/>
      <c r="D743" s="667"/>
      <c r="E743" s="668"/>
      <c r="F743" s="667"/>
      <c r="G743" s="667"/>
      <c r="H743" s="667"/>
      <c r="I743" s="667"/>
      <c r="J743" s="667"/>
      <c r="K743" s="667"/>
      <c r="L743" s="667"/>
      <c r="M743" s="667"/>
      <c r="N743" s="667"/>
      <c r="O743" s="667"/>
      <c r="P743" s="667"/>
      <c r="Q743" s="667"/>
      <c r="S743" s="3"/>
      <c r="T743" s="3"/>
      <c r="U743" s="3"/>
      <c r="V743" s="3"/>
      <c r="W743" s="3"/>
      <c r="X743" s="3"/>
      <c r="Y743" s="3"/>
      <c r="Z743" s="3"/>
      <c r="AA743" s="3"/>
      <c r="AB743" s="3"/>
      <c r="AC743" s="3"/>
      <c r="AD743" s="3"/>
      <c r="AE743" s="3"/>
      <c r="AF743" s="3"/>
      <c r="AG743" s="3"/>
      <c r="AH743" s="3"/>
      <c r="AI743" s="3"/>
      <c r="AJ743" s="3"/>
      <c r="AK743" s="3"/>
    </row>
    <row r="744" ht="15.75" customHeight="1">
      <c r="A744" s="3"/>
      <c r="B744" s="466"/>
      <c r="C744" s="667"/>
      <c r="D744" s="667"/>
      <c r="E744" s="668"/>
      <c r="F744" s="667"/>
      <c r="G744" s="667"/>
      <c r="H744" s="667"/>
      <c r="I744" s="667"/>
      <c r="J744" s="667"/>
      <c r="K744" s="667"/>
      <c r="L744" s="667"/>
      <c r="M744" s="667"/>
      <c r="N744" s="667"/>
      <c r="O744" s="667"/>
      <c r="P744" s="667"/>
      <c r="Q744" s="667"/>
      <c r="S744" s="3"/>
      <c r="T744" s="3"/>
      <c r="U744" s="3"/>
      <c r="V744" s="3"/>
      <c r="W744" s="3"/>
      <c r="X744" s="3"/>
      <c r="Y744" s="3"/>
      <c r="Z744" s="3"/>
      <c r="AA744" s="3"/>
      <c r="AB744" s="3"/>
      <c r="AC744" s="3"/>
      <c r="AD744" s="3"/>
      <c r="AE744" s="3"/>
      <c r="AF744" s="3"/>
      <c r="AG744" s="3"/>
      <c r="AH744" s="3"/>
      <c r="AI744" s="3"/>
      <c r="AJ744" s="3"/>
      <c r="AK744" s="3"/>
    </row>
    <row r="745" ht="15.75" customHeight="1">
      <c r="A745" s="3"/>
      <c r="B745" s="466"/>
      <c r="C745" s="667"/>
      <c r="D745" s="667"/>
      <c r="E745" s="668"/>
      <c r="F745" s="667"/>
      <c r="G745" s="667"/>
      <c r="H745" s="667"/>
      <c r="I745" s="667"/>
      <c r="J745" s="667"/>
      <c r="K745" s="667"/>
      <c r="L745" s="667"/>
      <c r="M745" s="667"/>
      <c r="N745" s="667"/>
      <c r="O745" s="667"/>
      <c r="P745" s="667"/>
      <c r="Q745" s="667"/>
      <c r="S745" s="3"/>
      <c r="T745" s="3"/>
      <c r="U745" s="3"/>
      <c r="V745" s="3"/>
      <c r="W745" s="3"/>
      <c r="X745" s="3"/>
      <c r="Y745" s="3"/>
      <c r="Z745" s="3"/>
      <c r="AA745" s="3"/>
      <c r="AB745" s="3"/>
      <c r="AC745" s="3"/>
      <c r="AD745" s="3"/>
      <c r="AE745" s="3"/>
      <c r="AF745" s="3"/>
      <c r="AG745" s="3"/>
      <c r="AH745" s="3"/>
      <c r="AI745" s="3"/>
      <c r="AJ745" s="3"/>
      <c r="AK745" s="3"/>
    </row>
    <row r="746" ht="15.75" customHeight="1">
      <c r="A746" s="3"/>
      <c r="B746" s="466"/>
      <c r="C746" s="667"/>
      <c r="D746" s="667"/>
      <c r="E746" s="668"/>
      <c r="F746" s="667"/>
      <c r="G746" s="667"/>
      <c r="H746" s="667"/>
      <c r="I746" s="667"/>
      <c r="J746" s="667"/>
      <c r="K746" s="667"/>
      <c r="L746" s="667"/>
      <c r="M746" s="667"/>
      <c r="N746" s="667"/>
      <c r="O746" s="667"/>
      <c r="P746" s="667"/>
      <c r="Q746" s="667"/>
      <c r="S746" s="3"/>
      <c r="T746" s="3"/>
      <c r="U746" s="3"/>
      <c r="V746" s="3"/>
      <c r="W746" s="3"/>
      <c r="X746" s="3"/>
      <c r="Y746" s="3"/>
      <c r="Z746" s="3"/>
      <c r="AA746" s="3"/>
      <c r="AB746" s="3"/>
      <c r="AC746" s="3"/>
      <c r="AD746" s="3"/>
      <c r="AE746" s="3"/>
      <c r="AF746" s="3"/>
      <c r="AG746" s="3"/>
      <c r="AH746" s="3"/>
      <c r="AI746" s="3"/>
      <c r="AJ746" s="3"/>
      <c r="AK746" s="3"/>
    </row>
    <row r="747" ht="15.75" customHeight="1">
      <c r="A747" s="3"/>
      <c r="B747" s="466"/>
      <c r="C747" s="667"/>
      <c r="D747" s="667"/>
      <c r="E747" s="668"/>
      <c r="F747" s="667"/>
      <c r="G747" s="667"/>
      <c r="H747" s="667"/>
      <c r="I747" s="667"/>
      <c r="J747" s="667"/>
      <c r="K747" s="667"/>
      <c r="L747" s="667"/>
      <c r="M747" s="667"/>
      <c r="N747" s="667"/>
      <c r="O747" s="667"/>
      <c r="P747" s="667"/>
      <c r="Q747" s="667"/>
      <c r="S747" s="3"/>
      <c r="T747" s="3"/>
      <c r="U747" s="3"/>
      <c r="V747" s="3"/>
      <c r="W747" s="3"/>
      <c r="X747" s="3"/>
      <c r="Y747" s="3"/>
      <c r="Z747" s="3"/>
      <c r="AA747" s="3"/>
      <c r="AB747" s="3"/>
      <c r="AC747" s="3"/>
      <c r="AD747" s="3"/>
      <c r="AE747" s="3"/>
      <c r="AF747" s="3"/>
      <c r="AG747" s="3"/>
      <c r="AH747" s="3"/>
      <c r="AI747" s="3"/>
      <c r="AJ747" s="3"/>
      <c r="AK747" s="3"/>
    </row>
    <row r="748" ht="15.75" customHeight="1">
      <c r="A748" s="3"/>
      <c r="B748" s="466"/>
      <c r="C748" s="667"/>
      <c r="D748" s="667"/>
      <c r="E748" s="668"/>
      <c r="F748" s="667"/>
      <c r="G748" s="667"/>
      <c r="H748" s="667"/>
      <c r="I748" s="667"/>
      <c r="J748" s="667"/>
      <c r="K748" s="667"/>
      <c r="L748" s="667"/>
      <c r="M748" s="667"/>
      <c r="N748" s="667"/>
      <c r="O748" s="667"/>
      <c r="P748" s="667"/>
      <c r="Q748" s="667"/>
      <c r="S748" s="3"/>
      <c r="T748" s="3"/>
      <c r="U748" s="3"/>
      <c r="V748" s="3"/>
      <c r="W748" s="3"/>
      <c r="X748" s="3"/>
      <c r="Y748" s="3"/>
      <c r="Z748" s="3"/>
      <c r="AA748" s="3"/>
      <c r="AB748" s="3"/>
      <c r="AC748" s="3"/>
      <c r="AD748" s="3"/>
      <c r="AE748" s="3"/>
      <c r="AF748" s="3"/>
      <c r="AG748" s="3"/>
      <c r="AH748" s="3"/>
      <c r="AI748" s="3"/>
      <c r="AJ748" s="3"/>
      <c r="AK748" s="3"/>
    </row>
    <row r="749" ht="15.75" customHeight="1">
      <c r="A749" s="3"/>
      <c r="B749" s="466"/>
      <c r="C749" s="667"/>
      <c r="D749" s="667"/>
      <c r="E749" s="668"/>
      <c r="F749" s="667"/>
      <c r="G749" s="667"/>
      <c r="H749" s="667"/>
      <c r="I749" s="667"/>
      <c r="J749" s="667"/>
      <c r="K749" s="667"/>
      <c r="L749" s="667"/>
      <c r="M749" s="667"/>
      <c r="N749" s="667"/>
      <c r="O749" s="667"/>
      <c r="P749" s="667"/>
      <c r="Q749" s="667"/>
      <c r="S749" s="3"/>
      <c r="T749" s="3"/>
      <c r="U749" s="3"/>
      <c r="V749" s="3"/>
      <c r="W749" s="3"/>
      <c r="X749" s="3"/>
      <c r="Y749" s="3"/>
      <c r="Z749" s="3"/>
      <c r="AA749" s="3"/>
      <c r="AB749" s="3"/>
      <c r="AC749" s="3"/>
      <c r="AD749" s="3"/>
      <c r="AE749" s="3"/>
      <c r="AF749" s="3"/>
      <c r="AG749" s="3"/>
      <c r="AH749" s="3"/>
      <c r="AI749" s="3"/>
      <c r="AJ749" s="3"/>
      <c r="AK749" s="3"/>
    </row>
    <row r="750" ht="15.75" customHeight="1">
      <c r="A750" s="3"/>
      <c r="B750" s="466"/>
      <c r="C750" s="667"/>
      <c r="D750" s="667"/>
      <c r="E750" s="668"/>
      <c r="F750" s="667"/>
      <c r="G750" s="667"/>
      <c r="H750" s="667"/>
      <c r="I750" s="667"/>
      <c r="J750" s="667"/>
      <c r="K750" s="667"/>
      <c r="L750" s="667"/>
      <c r="M750" s="667"/>
      <c r="N750" s="667"/>
      <c r="O750" s="667"/>
      <c r="P750" s="667"/>
      <c r="Q750" s="667"/>
      <c r="S750" s="3"/>
      <c r="T750" s="3"/>
      <c r="U750" s="3"/>
      <c r="V750" s="3"/>
      <c r="W750" s="3"/>
      <c r="X750" s="3"/>
      <c r="Y750" s="3"/>
      <c r="Z750" s="3"/>
      <c r="AA750" s="3"/>
      <c r="AB750" s="3"/>
      <c r="AC750" s="3"/>
      <c r="AD750" s="3"/>
      <c r="AE750" s="3"/>
      <c r="AF750" s="3"/>
      <c r="AG750" s="3"/>
      <c r="AH750" s="3"/>
      <c r="AI750" s="3"/>
      <c r="AJ750" s="3"/>
      <c r="AK750" s="3"/>
    </row>
    <row r="751" ht="15.75" customHeight="1">
      <c r="A751" s="3"/>
      <c r="B751" s="466"/>
      <c r="C751" s="667"/>
      <c r="D751" s="667"/>
      <c r="E751" s="668"/>
      <c r="F751" s="667"/>
      <c r="G751" s="667"/>
      <c r="H751" s="667"/>
      <c r="I751" s="667"/>
      <c r="J751" s="667"/>
      <c r="K751" s="667"/>
      <c r="L751" s="667"/>
      <c r="M751" s="667"/>
      <c r="N751" s="667"/>
      <c r="O751" s="667"/>
      <c r="P751" s="667"/>
      <c r="Q751" s="667"/>
      <c r="S751" s="3"/>
      <c r="T751" s="3"/>
      <c r="U751" s="3"/>
      <c r="V751" s="3"/>
      <c r="W751" s="3"/>
      <c r="X751" s="3"/>
      <c r="Y751" s="3"/>
      <c r="Z751" s="3"/>
      <c r="AA751" s="3"/>
      <c r="AB751" s="3"/>
      <c r="AC751" s="3"/>
      <c r="AD751" s="3"/>
      <c r="AE751" s="3"/>
      <c r="AF751" s="3"/>
      <c r="AG751" s="3"/>
      <c r="AH751" s="3"/>
      <c r="AI751" s="3"/>
      <c r="AJ751" s="3"/>
      <c r="AK751" s="3"/>
    </row>
    <row r="752" ht="15.75" customHeight="1">
      <c r="A752" s="3"/>
      <c r="B752" s="466"/>
      <c r="C752" s="667"/>
      <c r="D752" s="667"/>
      <c r="E752" s="668"/>
      <c r="F752" s="667"/>
      <c r="G752" s="667"/>
      <c r="H752" s="667"/>
      <c r="I752" s="667"/>
      <c r="J752" s="667"/>
      <c r="K752" s="667"/>
      <c r="L752" s="667"/>
      <c r="M752" s="667"/>
      <c r="N752" s="667"/>
      <c r="O752" s="667"/>
      <c r="P752" s="667"/>
      <c r="Q752" s="667"/>
      <c r="S752" s="3"/>
      <c r="T752" s="3"/>
      <c r="U752" s="3"/>
      <c r="V752" s="3"/>
      <c r="W752" s="3"/>
      <c r="X752" s="3"/>
      <c r="Y752" s="3"/>
      <c r="Z752" s="3"/>
      <c r="AA752" s="3"/>
      <c r="AB752" s="3"/>
      <c r="AC752" s="3"/>
      <c r="AD752" s="3"/>
      <c r="AE752" s="3"/>
      <c r="AF752" s="3"/>
      <c r="AG752" s="3"/>
      <c r="AH752" s="3"/>
      <c r="AI752" s="3"/>
      <c r="AJ752" s="3"/>
      <c r="AK752" s="3"/>
    </row>
    <row r="753" ht="15.75" customHeight="1">
      <c r="A753" s="3"/>
      <c r="B753" s="466"/>
      <c r="C753" s="667"/>
      <c r="D753" s="667"/>
      <c r="E753" s="668"/>
      <c r="F753" s="667"/>
      <c r="G753" s="667"/>
      <c r="H753" s="667"/>
      <c r="I753" s="667"/>
      <c r="J753" s="667"/>
      <c r="K753" s="667"/>
      <c r="L753" s="667"/>
      <c r="M753" s="667"/>
      <c r="N753" s="667"/>
      <c r="O753" s="667"/>
      <c r="P753" s="667"/>
      <c r="Q753" s="667"/>
      <c r="S753" s="3"/>
      <c r="T753" s="3"/>
      <c r="U753" s="3"/>
      <c r="V753" s="3"/>
      <c r="W753" s="3"/>
      <c r="X753" s="3"/>
      <c r="Y753" s="3"/>
      <c r="Z753" s="3"/>
      <c r="AA753" s="3"/>
      <c r="AB753" s="3"/>
      <c r="AC753" s="3"/>
      <c r="AD753" s="3"/>
      <c r="AE753" s="3"/>
      <c r="AF753" s="3"/>
      <c r="AG753" s="3"/>
      <c r="AH753" s="3"/>
      <c r="AI753" s="3"/>
      <c r="AJ753" s="3"/>
      <c r="AK753" s="3"/>
    </row>
    <row r="754" ht="15.75" customHeight="1">
      <c r="A754" s="3"/>
      <c r="B754" s="466"/>
      <c r="C754" s="667"/>
      <c r="D754" s="667"/>
      <c r="E754" s="668"/>
      <c r="F754" s="667"/>
      <c r="G754" s="667"/>
      <c r="H754" s="667"/>
      <c r="I754" s="667"/>
      <c r="J754" s="667"/>
      <c r="K754" s="667"/>
      <c r="L754" s="667"/>
      <c r="M754" s="667"/>
      <c r="N754" s="667"/>
      <c r="O754" s="667"/>
      <c r="P754" s="667"/>
      <c r="Q754" s="667"/>
      <c r="S754" s="3"/>
      <c r="T754" s="3"/>
      <c r="U754" s="3"/>
      <c r="V754" s="3"/>
      <c r="W754" s="3"/>
      <c r="X754" s="3"/>
      <c r="Y754" s="3"/>
      <c r="Z754" s="3"/>
      <c r="AA754" s="3"/>
      <c r="AB754" s="3"/>
      <c r="AC754" s="3"/>
      <c r="AD754" s="3"/>
      <c r="AE754" s="3"/>
      <c r="AF754" s="3"/>
      <c r="AG754" s="3"/>
      <c r="AH754" s="3"/>
      <c r="AI754" s="3"/>
      <c r="AJ754" s="3"/>
      <c r="AK754" s="3"/>
    </row>
    <row r="755" ht="15.75" customHeight="1">
      <c r="A755" s="3"/>
      <c r="B755" s="466"/>
      <c r="C755" s="667"/>
      <c r="D755" s="667"/>
      <c r="E755" s="668"/>
      <c r="F755" s="667"/>
      <c r="G755" s="667"/>
      <c r="H755" s="667"/>
      <c r="I755" s="667"/>
      <c r="J755" s="667"/>
      <c r="K755" s="667"/>
      <c r="L755" s="667"/>
      <c r="M755" s="667"/>
      <c r="N755" s="667"/>
      <c r="O755" s="667"/>
      <c r="P755" s="667"/>
      <c r="Q755" s="667"/>
      <c r="S755" s="3"/>
      <c r="T755" s="3"/>
      <c r="U755" s="3"/>
      <c r="V755" s="3"/>
      <c r="W755" s="3"/>
      <c r="X755" s="3"/>
      <c r="Y755" s="3"/>
      <c r="Z755" s="3"/>
      <c r="AA755" s="3"/>
      <c r="AB755" s="3"/>
      <c r="AC755" s="3"/>
      <c r="AD755" s="3"/>
      <c r="AE755" s="3"/>
      <c r="AF755" s="3"/>
      <c r="AG755" s="3"/>
      <c r="AH755" s="3"/>
      <c r="AI755" s="3"/>
      <c r="AJ755" s="3"/>
      <c r="AK755" s="3"/>
    </row>
    <row r="756" ht="15.75" customHeight="1">
      <c r="A756" s="3"/>
      <c r="B756" s="466"/>
      <c r="C756" s="667"/>
      <c r="D756" s="667"/>
      <c r="E756" s="668"/>
      <c r="F756" s="667"/>
      <c r="G756" s="667"/>
      <c r="H756" s="667"/>
      <c r="I756" s="667"/>
      <c r="J756" s="667"/>
      <c r="K756" s="667"/>
      <c r="L756" s="667"/>
      <c r="M756" s="667"/>
      <c r="N756" s="667"/>
      <c r="O756" s="667"/>
      <c r="P756" s="667"/>
      <c r="Q756" s="667"/>
      <c r="S756" s="3"/>
      <c r="T756" s="3"/>
      <c r="U756" s="3"/>
      <c r="V756" s="3"/>
      <c r="W756" s="3"/>
      <c r="X756" s="3"/>
      <c r="Y756" s="3"/>
      <c r="Z756" s="3"/>
      <c r="AA756" s="3"/>
      <c r="AB756" s="3"/>
      <c r="AC756" s="3"/>
      <c r="AD756" s="3"/>
      <c r="AE756" s="3"/>
      <c r="AF756" s="3"/>
      <c r="AG756" s="3"/>
      <c r="AH756" s="3"/>
      <c r="AI756" s="3"/>
      <c r="AJ756" s="3"/>
      <c r="AK756" s="3"/>
    </row>
    <row r="757" ht="15.75" customHeight="1">
      <c r="A757" s="3"/>
      <c r="B757" s="466"/>
      <c r="C757" s="667"/>
      <c r="D757" s="667"/>
      <c r="E757" s="668"/>
      <c r="F757" s="667"/>
      <c r="G757" s="667"/>
      <c r="H757" s="667"/>
      <c r="I757" s="667"/>
      <c r="J757" s="667"/>
      <c r="K757" s="667"/>
      <c r="L757" s="667"/>
      <c r="M757" s="667"/>
      <c r="N757" s="667"/>
      <c r="O757" s="667"/>
      <c r="P757" s="667"/>
      <c r="Q757" s="667"/>
      <c r="S757" s="3"/>
      <c r="T757" s="3"/>
      <c r="U757" s="3"/>
      <c r="V757" s="3"/>
      <c r="W757" s="3"/>
      <c r="X757" s="3"/>
      <c r="Y757" s="3"/>
      <c r="Z757" s="3"/>
      <c r="AA757" s="3"/>
      <c r="AB757" s="3"/>
      <c r="AC757" s="3"/>
      <c r="AD757" s="3"/>
      <c r="AE757" s="3"/>
      <c r="AF757" s="3"/>
      <c r="AG757" s="3"/>
      <c r="AH757" s="3"/>
      <c r="AI757" s="3"/>
      <c r="AJ757" s="3"/>
      <c r="AK757" s="3"/>
    </row>
    <row r="758" ht="15.75" customHeight="1">
      <c r="A758" s="3"/>
      <c r="B758" s="466"/>
      <c r="C758" s="667"/>
      <c r="D758" s="667"/>
      <c r="E758" s="668"/>
      <c r="F758" s="667"/>
      <c r="G758" s="667"/>
      <c r="H758" s="667"/>
      <c r="I758" s="667"/>
      <c r="J758" s="667"/>
      <c r="K758" s="667"/>
      <c r="L758" s="667"/>
      <c r="M758" s="667"/>
      <c r="N758" s="667"/>
      <c r="O758" s="667"/>
      <c r="P758" s="667"/>
      <c r="Q758" s="667"/>
      <c r="S758" s="3"/>
      <c r="T758" s="3"/>
      <c r="U758" s="3"/>
      <c r="V758" s="3"/>
      <c r="W758" s="3"/>
      <c r="X758" s="3"/>
      <c r="Y758" s="3"/>
      <c r="Z758" s="3"/>
      <c r="AA758" s="3"/>
      <c r="AB758" s="3"/>
      <c r="AC758" s="3"/>
      <c r="AD758" s="3"/>
      <c r="AE758" s="3"/>
      <c r="AF758" s="3"/>
      <c r="AG758" s="3"/>
      <c r="AH758" s="3"/>
      <c r="AI758" s="3"/>
      <c r="AJ758" s="3"/>
      <c r="AK758" s="3"/>
    </row>
    <row r="759" ht="15.75" customHeight="1">
      <c r="A759" s="3"/>
      <c r="B759" s="466"/>
      <c r="C759" s="667"/>
      <c r="D759" s="667"/>
      <c r="E759" s="668"/>
      <c r="F759" s="667"/>
      <c r="G759" s="667"/>
      <c r="H759" s="667"/>
      <c r="I759" s="667"/>
      <c r="J759" s="667"/>
      <c r="K759" s="667"/>
      <c r="L759" s="667"/>
      <c r="M759" s="667"/>
      <c r="N759" s="667"/>
      <c r="O759" s="667"/>
      <c r="P759" s="667"/>
      <c r="Q759" s="667"/>
      <c r="S759" s="3"/>
      <c r="T759" s="3"/>
      <c r="U759" s="3"/>
      <c r="V759" s="3"/>
      <c r="W759" s="3"/>
      <c r="X759" s="3"/>
      <c r="Y759" s="3"/>
      <c r="Z759" s="3"/>
      <c r="AA759" s="3"/>
      <c r="AB759" s="3"/>
      <c r="AC759" s="3"/>
      <c r="AD759" s="3"/>
      <c r="AE759" s="3"/>
      <c r="AF759" s="3"/>
      <c r="AG759" s="3"/>
      <c r="AH759" s="3"/>
      <c r="AI759" s="3"/>
      <c r="AJ759" s="3"/>
      <c r="AK759" s="3"/>
    </row>
    <row r="760" ht="15.75" customHeight="1">
      <c r="A760" s="3"/>
      <c r="B760" s="466"/>
      <c r="C760" s="667"/>
      <c r="D760" s="667"/>
      <c r="E760" s="668"/>
      <c r="F760" s="667"/>
      <c r="G760" s="667"/>
      <c r="H760" s="667"/>
      <c r="I760" s="667"/>
      <c r="J760" s="667"/>
      <c r="K760" s="667"/>
      <c r="L760" s="667"/>
      <c r="M760" s="667"/>
      <c r="N760" s="667"/>
      <c r="O760" s="667"/>
      <c r="P760" s="667"/>
      <c r="Q760" s="667"/>
      <c r="S760" s="3"/>
      <c r="T760" s="3"/>
      <c r="U760" s="3"/>
      <c r="V760" s="3"/>
      <c r="W760" s="3"/>
      <c r="X760" s="3"/>
      <c r="Y760" s="3"/>
      <c r="Z760" s="3"/>
      <c r="AA760" s="3"/>
      <c r="AB760" s="3"/>
      <c r="AC760" s="3"/>
      <c r="AD760" s="3"/>
      <c r="AE760" s="3"/>
      <c r="AF760" s="3"/>
      <c r="AG760" s="3"/>
      <c r="AH760" s="3"/>
      <c r="AI760" s="3"/>
      <c r="AJ760" s="3"/>
      <c r="AK760" s="3"/>
    </row>
    <row r="761" ht="15.75" customHeight="1">
      <c r="A761" s="3"/>
      <c r="B761" s="466"/>
      <c r="C761" s="667"/>
      <c r="D761" s="667"/>
      <c r="E761" s="668"/>
      <c r="F761" s="667"/>
      <c r="G761" s="667"/>
      <c r="H761" s="667"/>
      <c r="I761" s="667"/>
      <c r="J761" s="667"/>
      <c r="K761" s="667"/>
      <c r="L761" s="667"/>
      <c r="M761" s="667"/>
      <c r="N761" s="667"/>
      <c r="O761" s="667"/>
      <c r="P761" s="667"/>
      <c r="Q761" s="667"/>
      <c r="S761" s="3"/>
      <c r="T761" s="3"/>
      <c r="U761" s="3"/>
      <c r="V761" s="3"/>
      <c r="W761" s="3"/>
      <c r="X761" s="3"/>
      <c r="Y761" s="3"/>
      <c r="Z761" s="3"/>
      <c r="AA761" s="3"/>
      <c r="AB761" s="3"/>
      <c r="AC761" s="3"/>
      <c r="AD761" s="3"/>
      <c r="AE761" s="3"/>
      <c r="AF761" s="3"/>
      <c r="AG761" s="3"/>
      <c r="AH761" s="3"/>
      <c r="AI761" s="3"/>
      <c r="AJ761" s="3"/>
      <c r="AK761" s="3"/>
    </row>
    <row r="762" ht="15.75" customHeight="1">
      <c r="A762" s="3"/>
      <c r="B762" s="466"/>
      <c r="C762" s="667"/>
      <c r="D762" s="667"/>
      <c r="E762" s="668"/>
      <c r="F762" s="667"/>
      <c r="G762" s="667"/>
      <c r="H762" s="667"/>
      <c r="I762" s="667"/>
      <c r="J762" s="667"/>
      <c r="K762" s="667"/>
      <c r="L762" s="667"/>
      <c r="M762" s="667"/>
      <c r="N762" s="667"/>
      <c r="O762" s="667"/>
      <c r="P762" s="667"/>
      <c r="Q762" s="667"/>
      <c r="S762" s="3"/>
      <c r="T762" s="3"/>
      <c r="U762" s="3"/>
      <c r="V762" s="3"/>
      <c r="W762" s="3"/>
      <c r="X762" s="3"/>
      <c r="Y762" s="3"/>
      <c r="Z762" s="3"/>
      <c r="AA762" s="3"/>
      <c r="AB762" s="3"/>
      <c r="AC762" s="3"/>
      <c r="AD762" s="3"/>
      <c r="AE762" s="3"/>
      <c r="AF762" s="3"/>
      <c r="AG762" s="3"/>
      <c r="AH762" s="3"/>
      <c r="AI762" s="3"/>
      <c r="AJ762" s="3"/>
      <c r="AK762" s="3"/>
    </row>
    <row r="763" ht="15.75" customHeight="1">
      <c r="A763" s="3"/>
      <c r="B763" s="466"/>
      <c r="C763" s="667"/>
      <c r="D763" s="667"/>
      <c r="E763" s="668"/>
      <c r="F763" s="667"/>
      <c r="G763" s="667"/>
      <c r="H763" s="667"/>
      <c r="I763" s="667"/>
      <c r="J763" s="667"/>
      <c r="K763" s="667"/>
      <c r="L763" s="667"/>
      <c r="M763" s="667"/>
      <c r="N763" s="667"/>
      <c r="O763" s="667"/>
      <c r="P763" s="667"/>
      <c r="Q763" s="667"/>
      <c r="S763" s="3"/>
      <c r="T763" s="3"/>
      <c r="U763" s="3"/>
      <c r="V763" s="3"/>
      <c r="W763" s="3"/>
      <c r="X763" s="3"/>
      <c r="Y763" s="3"/>
      <c r="Z763" s="3"/>
      <c r="AA763" s="3"/>
      <c r="AB763" s="3"/>
      <c r="AC763" s="3"/>
      <c r="AD763" s="3"/>
      <c r="AE763" s="3"/>
      <c r="AF763" s="3"/>
      <c r="AG763" s="3"/>
      <c r="AH763" s="3"/>
      <c r="AI763" s="3"/>
      <c r="AJ763" s="3"/>
      <c r="AK763" s="3"/>
    </row>
    <row r="764" ht="15.75" customHeight="1">
      <c r="A764" s="3"/>
      <c r="B764" s="466"/>
      <c r="C764" s="667"/>
      <c r="D764" s="667"/>
      <c r="E764" s="668"/>
      <c r="F764" s="667"/>
      <c r="G764" s="667"/>
      <c r="H764" s="667"/>
      <c r="I764" s="667"/>
      <c r="J764" s="667"/>
      <c r="K764" s="667"/>
      <c r="L764" s="667"/>
      <c r="M764" s="667"/>
      <c r="N764" s="667"/>
      <c r="O764" s="667"/>
      <c r="P764" s="667"/>
      <c r="Q764" s="667"/>
      <c r="S764" s="3"/>
      <c r="T764" s="3"/>
      <c r="U764" s="3"/>
      <c r="V764" s="3"/>
      <c r="W764" s="3"/>
      <c r="X764" s="3"/>
      <c r="Y764" s="3"/>
      <c r="Z764" s="3"/>
      <c r="AA764" s="3"/>
      <c r="AB764" s="3"/>
      <c r="AC764" s="3"/>
      <c r="AD764" s="3"/>
      <c r="AE764" s="3"/>
      <c r="AF764" s="3"/>
      <c r="AG764" s="3"/>
      <c r="AH764" s="3"/>
      <c r="AI764" s="3"/>
      <c r="AJ764" s="3"/>
      <c r="AK764" s="3"/>
    </row>
    <row r="765" ht="15.75" customHeight="1">
      <c r="A765" s="3"/>
      <c r="B765" s="466"/>
      <c r="C765" s="667"/>
      <c r="D765" s="667"/>
      <c r="E765" s="668"/>
      <c r="F765" s="667"/>
      <c r="G765" s="667"/>
      <c r="H765" s="667"/>
      <c r="I765" s="667"/>
      <c r="J765" s="667"/>
      <c r="K765" s="667"/>
      <c r="L765" s="667"/>
      <c r="M765" s="667"/>
      <c r="N765" s="667"/>
      <c r="O765" s="667"/>
      <c r="P765" s="667"/>
      <c r="Q765" s="667"/>
      <c r="S765" s="3"/>
      <c r="T765" s="3"/>
      <c r="U765" s="3"/>
      <c r="V765" s="3"/>
      <c r="W765" s="3"/>
      <c r="X765" s="3"/>
      <c r="Y765" s="3"/>
      <c r="Z765" s="3"/>
      <c r="AA765" s="3"/>
      <c r="AB765" s="3"/>
      <c r="AC765" s="3"/>
      <c r="AD765" s="3"/>
      <c r="AE765" s="3"/>
      <c r="AF765" s="3"/>
      <c r="AG765" s="3"/>
      <c r="AH765" s="3"/>
      <c r="AI765" s="3"/>
      <c r="AJ765" s="3"/>
      <c r="AK765" s="3"/>
    </row>
    <row r="766" ht="15.75" customHeight="1">
      <c r="A766" s="3"/>
      <c r="B766" s="466"/>
      <c r="C766" s="667"/>
      <c r="D766" s="667"/>
      <c r="E766" s="668"/>
      <c r="F766" s="667"/>
      <c r="G766" s="667"/>
      <c r="H766" s="667"/>
      <c r="I766" s="667"/>
      <c r="J766" s="667"/>
      <c r="K766" s="667"/>
      <c r="L766" s="667"/>
      <c r="M766" s="667"/>
      <c r="N766" s="667"/>
      <c r="O766" s="667"/>
      <c r="P766" s="667"/>
      <c r="Q766" s="667"/>
      <c r="S766" s="3"/>
      <c r="T766" s="3"/>
      <c r="U766" s="3"/>
      <c r="V766" s="3"/>
      <c r="W766" s="3"/>
      <c r="X766" s="3"/>
      <c r="Y766" s="3"/>
      <c r="Z766" s="3"/>
      <c r="AA766" s="3"/>
      <c r="AB766" s="3"/>
      <c r="AC766" s="3"/>
      <c r="AD766" s="3"/>
      <c r="AE766" s="3"/>
      <c r="AF766" s="3"/>
      <c r="AG766" s="3"/>
      <c r="AH766" s="3"/>
      <c r="AI766" s="3"/>
      <c r="AJ766" s="3"/>
      <c r="AK766" s="3"/>
    </row>
    <row r="767" ht="15.75" customHeight="1">
      <c r="A767" s="3"/>
      <c r="B767" s="466"/>
      <c r="C767" s="667"/>
      <c r="D767" s="667"/>
      <c r="E767" s="668"/>
      <c r="F767" s="667"/>
      <c r="G767" s="667"/>
      <c r="H767" s="667"/>
      <c r="I767" s="667"/>
      <c r="J767" s="667"/>
      <c r="K767" s="667"/>
      <c r="L767" s="667"/>
      <c r="M767" s="667"/>
      <c r="N767" s="667"/>
      <c r="O767" s="667"/>
      <c r="P767" s="667"/>
      <c r="Q767" s="667"/>
      <c r="S767" s="3"/>
      <c r="T767" s="3"/>
      <c r="U767" s="3"/>
      <c r="V767" s="3"/>
      <c r="W767" s="3"/>
      <c r="X767" s="3"/>
      <c r="Y767" s="3"/>
      <c r="Z767" s="3"/>
      <c r="AA767" s="3"/>
      <c r="AB767" s="3"/>
      <c r="AC767" s="3"/>
      <c r="AD767" s="3"/>
      <c r="AE767" s="3"/>
      <c r="AF767" s="3"/>
      <c r="AG767" s="3"/>
      <c r="AH767" s="3"/>
      <c r="AI767" s="3"/>
      <c r="AJ767" s="3"/>
      <c r="AK767" s="3"/>
    </row>
    <row r="768" ht="15.75" customHeight="1">
      <c r="A768" s="3"/>
      <c r="B768" s="466"/>
      <c r="C768" s="667"/>
      <c r="D768" s="667"/>
      <c r="E768" s="668"/>
      <c r="F768" s="667"/>
      <c r="G768" s="667"/>
      <c r="H768" s="667"/>
      <c r="I768" s="667"/>
      <c r="J768" s="667"/>
      <c r="K768" s="667"/>
      <c r="L768" s="667"/>
      <c r="M768" s="667"/>
      <c r="N768" s="667"/>
      <c r="O768" s="667"/>
      <c r="P768" s="667"/>
      <c r="Q768" s="667"/>
      <c r="S768" s="3"/>
      <c r="T768" s="3"/>
      <c r="U768" s="3"/>
      <c r="V768" s="3"/>
      <c r="W768" s="3"/>
      <c r="X768" s="3"/>
      <c r="Y768" s="3"/>
      <c r="Z768" s="3"/>
      <c r="AA768" s="3"/>
      <c r="AB768" s="3"/>
      <c r="AC768" s="3"/>
      <c r="AD768" s="3"/>
      <c r="AE768" s="3"/>
      <c r="AF768" s="3"/>
      <c r="AG768" s="3"/>
      <c r="AH768" s="3"/>
      <c r="AI768" s="3"/>
      <c r="AJ768" s="3"/>
      <c r="AK768" s="3"/>
    </row>
    <row r="769" ht="15.75" customHeight="1">
      <c r="A769" s="3"/>
      <c r="B769" s="466"/>
      <c r="C769" s="667"/>
      <c r="D769" s="667"/>
      <c r="E769" s="668"/>
      <c r="F769" s="667"/>
      <c r="G769" s="667"/>
      <c r="H769" s="667"/>
      <c r="I769" s="667"/>
      <c r="J769" s="667"/>
      <c r="K769" s="667"/>
      <c r="L769" s="667"/>
      <c r="M769" s="667"/>
      <c r="N769" s="667"/>
      <c r="O769" s="667"/>
      <c r="P769" s="667"/>
      <c r="Q769" s="667"/>
      <c r="S769" s="3"/>
      <c r="T769" s="3"/>
      <c r="U769" s="3"/>
      <c r="V769" s="3"/>
      <c r="W769" s="3"/>
      <c r="X769" s="3"/>
      <c r="Y769" s="3"/>
      <c r="Z769" s="3"/>
      <c r="AA769" s="3"/>
      <c r="AB769" s="3"/>
      <c r="AC769" s="3"/>
      <c r="AD769" s="3"/>
      <c r="AE769" s="3"/>
      <c r="AF769" s="3"/>
      <c r="AG769" s="3"/>
      <c r="AH769" s="3"/>
      <c r="AI769" s="3"/>
      <c r="AJ769" s="3"/>
      <c r="AK769" s="3"/>
    </row>
    <row r="770" ht="15.75" customHeight="1">
      <c r="A770" s="3"/>
      <c r="B770" s="466"/>
      <c r="C770" s="667"/>
      <c r="D770" s="667"/>
      <c r="E770" s="668"/>
      <c r="F770" s="667"/>
      <c r="G770" s="667"/>
      <c r="H770" s="667"/>
      <c r="I770" s="667"/>
      <c r="J770" s="667"/>
      <c r="K770" s="667"/>
      <c r="L770" s="667"/>
      <c r="M770" s="667"/>
      <c r="N770" s="667"/>
      <c r="O770" s="667"/>
      <c r="P770" s="667"/>
      <c r="Q770" s="667"/>
      <c r="S770" s="3"/>
      <c r="T770" s="3"/>
      <c r="U770" s="3"/>
      <c r="V770" s="3"/>
      <c r="W770" s="3"/>
      <c r="X770" s="3"/>
      <c r="Y770" s="3"/>
      <c r="Z770" s="3"/>
      <c r="AA770" s="3"/>
      <c r="AB770" s="3"/>
      <c r="AC770" s="3"/>
      <c r="AD770" s="3"/>
      <c r="AE770" s="3"/>
      <c r="AF770" s="3"/>
      <c r="AG770" s="3"/>
      <c r="AH770" s="3"/>
      <c r="AI770" s="3"/>
      <c r="AJ770" s="3"/>
      <c r="AK770" s="3"/>
    </row>
    <row r="771" ht="15.75" customHeight="1">
      <c r="A771" s="3"/>
      <c r="B771" s="466"/>
      <c r="C771" s="667"/>
      <c r="D771" s="667"/>
      <c r="E771" s="668"/>
      <c r="F771" s="667"/>
      <c r="G771" s="667"/>
      <c r="H771" s="667"/>
      <c r="I771" s="667"/>
      <c r="J771" s="667"/>
      <c r="K771" s="667"/>
      <c r="L771" s="667"/>
      <c r="M771" s="667"/>
      <c r="N771" s="667"/>
      <c r="O771" s="667"/>
      <c r="P771" s="667"/>
      <c r="Q771" s="667"/>
      <c r="S771" s="3"/>
      <c r="T771" s="3"/>
      <c r="U771" s="3"/>
      <c r="V771" s="3"/>
      <c r="W771" s="3"/>
      <c r="X771" s="3"/>
      <c r="Y771" s="3"/>
      <c r="Z771" s="3"/>
      <c r="AA771" s="3"/>
      <c r="AB771" s="3"/>
      <c r="AC771" s="3"/>
      <c r="AD771" s="3"/>
      <c r="AE771" s="3"/>
      <c r="AF771" s="3"/>
      <c r="AG771" s="3"/>
      <c r="AH771" s="3"/>
      <c r="AI771" s="3"/>
      <c r="AJ771" s="3"/>
      <c r="AK771" s="3"/>
    </row>
    <row r="772" ht="15.75" customHeight="1">
      <c r="A772" s="3"/>
      <c r="B772" s="466"/>
      <c r="C772" s="667"/>
      <c r="D772" s="667"/>
      <c r="E772" s="668"/>
      <c r="F772" s="667"/>
      <c r="G772" s="667"/>
      <c r="H772" s="667"/>
      <c r="I772" s="667"/>
      <c r="J772" s="667"/>
      <c r="K772" s="667"/>
      <c r="L772" s="667"/>
      <c r="M772" s="667"/>
      <c r="N772" s="667"/>
      <c r="O772" s="667"/>
      <c r="P772" s="667"/>
      <c r="Q772" s="667"/>
      <c r="S772" s="3"/>
      <c r="T772" s="3"/>
      <c r="U772" s="3"/>
      <c r="V772" s="3"/>
      <c r="W772" s="3"/>
      <c r="X772" s="3"/>
      <c r="Y772" s="3"/>
      <c r="Z772" s="3"/>
      <c r="AA772" s="3"/>
      <c r="AB772" s="3"/>
      <c r="AC772" s="3"/>
      <c r="AD772" s="3"/>
      <c r="AE772" s="3"/>
      <c r="AF772" s="3"/>
      <c r="AG772" s="3"/>
      <c r="AH772" s="3"/>
      <c r="AI772" s="3"/>
      <c r="AJ772" s="3"/>
      <c r="AK772" s="3"/>
    </row>
    <row r="773" ht="15.75" customHeight="1">
      <c r="A773" s="3"/>
      <c r="B773" s="466"/>
      <c r="C773" s="667"/>
      <c r="D773" s="667"/>
      <c r="E773" s="668"/>
      <c r="F773" s="667"/>
      <c r="G773" s="667"/>
      <c r="H773" s="667"/>
      <c r="I773" s="667"/>
      <c r="J773" s="667"/>
      <c r="K773" s="667"/>
      <c r="L773" s="667"/>
      <c r="M773" s="667"/>
      <c r="N773" s="667"/>
      <c r="O773" s="667"/>
      <c r="P773" s="667"/>
      <c r="Q773" s="667"/>
      <c r="S773" s="3"/>
      <c r="T773" s="3"/>
      <c r="U773" s="3"/>
      <c r="V773" s="3"/>
      <c r="W773" s="3"/>
      <c r="X773" s="3"/>
      <c r="Y773" s="3"/>
      <c r="Z773" s="3"/>
      <c r="AA773" s="3"/>
      <c r="AB773" s="3"/>
      <c r="AC773" s="3"/>
      <c r="AD773" s="3"/>
      <c r="AE773" s="3"/>
      <c r="AF773" s="3"/>
      <c r="AG773" s="3"/>
      <c r="AH773" s="3"/>
      <c r="AI773" s="3"/>
      <c r="AJ773" s="3"/>
      <c r="AK773" s="3"/>
    </row>
    <row r="774" ht="15.75" customHeight="1">
      <c r="A774" s="3"/>
      <c r="B774" s="466"/>
      <c r="C774" s="667"/>
      <c r="D774" s="667"/>
      <c r="E774" s="668"/>
      <c r="F774" s="667"/>
      <c r="G774" s="667"/>
      <c r="H774" s="667"/>
      <c r="I774" s="667"/>
      <c r="J774" s="667"/>
      <c r="K774" s="667"/>
      <c r="L774" s="667"/>
      <c r="M774" s="667"/>
      <c r="N774" s="667"/>
      <c r="O774" s="667"/>
      <c r="P774" s="667"/>
      <c r="Q774" s="667"/>
      <c r="S774" s="3"/>
      <c r="T774" s="3"/>
      <c r="U774" s="3"/>
      <c r="V774" s="3"/>
      <c r="W774" s="3"/>
      <c r="X774" s="3"/>
      <c r="Y774" s="3"/>
      <c r="Z774" s="3"/>
      <c r="AA774" s="3"/>
      <c r="AB774" s="3"/>
      <c r="AC774" s="3"/>
      <c r="AD774" s="3"/>
      <c r="AE774" s="3"/>
      <c r="AF774" s="3"/>
      <c r="AG774" s="3"/>
      <c r="AH774" s="3"/>
      <c r="AI774" s="3"/>
      <c r="AJ774" s="3"/>
      <c r="AK774" s="3"/>
    </row>
    <row r="775" ht="15.75" customHeight="1">
      <c r="A775" s="3"/>
      <c r="B775" s="466"/>
      <c r="C775" s="667"/>
      <c r="D775" s="667"/>
      <c r="E775" s="668"/>
      <c r="F775" s="667"/>
      <c r="G775" s="667"/>
      <c r="H775" s="667"/>
      <c r="I775" s="667"/>
      <c r="J775" s="667"/>
      <c r="K775" s="667"/>
      <c r="L775" s="667"/>
      <c r="M775" s="667"/>
      <c r="N775" s="667"/>
      <c r="O775" s="667"/>
      <c r="P775" s="667"/>
      <c r="Q775" s="667"/>
      <c r="S775" s="3"/>
      <c r="T775" s="3"/>
      <c r="U775" s="3"/>
      <c r="V775" s="3"/>
      <c r="W775" s="3"/>
      <c r="X775" s="3"/>
      <c r="Y775" s="3"/>
      <c r="Z775" s="3"/>
      <c r="AA775" s="3"/>
      <c r="AB775" s="3"/>
      <c r="AC775" s="3"/>
      <c r="AD775" s="3"/>
      <c r="AE775" s="3"/>
      <c r="AF775" s="3"/>
      <c r="AG775" s="3"/>
      <c r="AH775" s="3"/>
      <c r="AI775" s="3"/>
      <c r="AJ775" s="3"/>
      <c r="AK775" s="3"/>
    </row>
    <row r="776" ht="15.75" customHeight="1">
      <c r="A776" s="3"/>
      <c r="B776" s="466"/>
      <c r="C776" s="667"/>
      <c r="D776" s="667"/>
      <c r="E776" s="668"/>
      <c r="F776" s="667"/>
      <c r="G776" s="667"/>
      <c r="H776" s="667"/>
      <c r="I776" s="667"/>
      <c r="J776" s="667"/>
      <c r="K776" s="667"/>
      <c r="L776" s="667"/>
      <c r="M776" s="667"/>
      <c r="N776" s="667"/>
      <c r="O776" s="667"/>
      <c r="P776" s="667"/>
      <c r="Q776" s="667"/>
      <c r="S776" s="3"/>
      <c r="T776" s="3"/>
      <c r="U776" s="3"/>
      <c r="V776" s="3"/>
      <c r="W776" s="3"/>
      <c r="X776" s="3"/>
      <c r="Y776" s="3"/>
      <c r="Z776" s="3"/>
      <c r="AA776" s="3"/>
      <c r="AB776" s="3"/>
      <c r="AC776" s="3"/>
      <c r="AD776" s="3"/>
      <c r="AE776" s="3"/>
      <c r="AF776" s="3"/>
      <c r="AG776" s="3"/>
      <c r="AH776" s="3"/>
      <c r="AI776" s="3"/>
      <c r="AJ776" s="3"/>
      <c r="AK776" s="3"/>
    </row>
    <row r="777" ht="15.75" customHeight="1">
      <c r="A777" s="3"/>
      <c r="B777" s="466"/>
      <c r="C777" s="667"/>
      <c r="D777" s="667"/>
      <c r="E777" s="668"/>
      <c r="F777" s="667"/>
      <c r="G777" s="667"/>
      <c r="H777" s="667"/>
      <c r="I777" s="667"/>
      <c r="J777" s="667"/>
      <c r="K777" s="667"/>
      <c r="L777" s="667"/>
      <c r="M777" s="667"/>
      <c r="N777" s="667"/>
      <c r="O777" s="667"/>
      <c r="P777" s="667"/>
      <c r="Q777" s="667"/>
      <c r="S777" s="3"/>
      <c r="T777" s="3"/>
      <c r="U777" s="3"/>
      <c r="V777" s="3"/>
      <c r="W777" s="3"/>
      <c r="X777" s="3"/>
      <c r="Y777" s="3"/>
      <c r="Z777" s="3"/>
      <c r="AA777" s="3"/>
      <c r="AB777" s="3"/>
      <c r="AC777" s="3"/>
      <c r="AD777" s="3"/>
      <c r="AE777" s="3"/>
      <c r="AF777" s="3"/>
      <c r="AG777" s="3"/>
      <c r="AH777" s="3"/>
      <c r="AI777" s="3"/>
      <c r="AJ777" s="3"/>
      <c r="AK777" s="3"/>
    </row>
    <row r="778" ht="15.75" customHeight="1">
      <c r="A778" s="3"/>
      <c r="B778" s="466"/>
      <c r="C778" s="667"/>
      <c r="D778" s="667"/>
      <c r="E778" s="668"/>
      <c r="F778" s="667"/>
      <c r="G778" s="667"/>
      <c r="H778" s="667"/>
      <c r="I778" s="667"/>
      <c r="J778" s="667"/>
      <c r="K778" s="667"/>
      <c r="L778" s="667"/>
      <c r="M778" s="667"/>
      <c r="N778" s="667"/>
      <c r="O778" s="667"/>
      <c r="P778" s="667"/>
      <c r="Q778" s="667"/>
      <c r="S778" s="3"/>
      <c r="T778" s="3"/>
      <c r="U778" s="3"/>
      <c r="V778" s="3"/>
      <c r="W778" s="3"/>
      <c r="X778" s="3"/>
      <c r="Y778" s="3"/>
      <c r="Z778" s="3"/>
      <c r="AA778" s="3"/>
      <c r="AB778" s="3"/>
      <c r="AC778" s="3"/>
      <c r="AD778" s="3"/>
      <c r="AE778" s="3"/>
      <c r="AF778" s="3"/>
      <c r="AG778" s="3"/>
      <c r="AH778" s="3"/>
      <c r="AI778" s="3"/>
      <c r="AJ778" s="3"/>
      <c r="AK778" s="3"/>
    </row>
    <row r="779" ht="15.75" customHeight="1">
      <c r="A779" s="3"/>
      <c r="B779" s="466"/>
      <c r="C779" s="667"/>
      <c r="D779" s="667"/>
      <c r="E779" s="668"/>
      <c r="F779" s="667"/>
      <c r="G779" s="667"/>
      <c r="H779" s="667"/>
      <c r="I779" s="667"/>
      <c r="J779" s="667"/>
      <c r="K779" s="667"/>
      <c r="L779" s="667"/>
      <c r="M779" s="667"/>
      <c r="N779" s="667"/>
      <c r="O779" s="667"/>
      <c r="P779" s="667"/>
      <c r="Q779" s="667"/>
      <c r="S779" s="3"/>
      <c r="T779" s="3"/>
      <c r="U779" s="3"/>
      <c r="V779" s="3"/>
      <c r="W779" s="3"/>
      <c r="X779" s="3"/>
      <c r="Y779" s="3"/>
      <c r="Z779" s="3"/>
      <c r="AA779" s="3"/>
      <c r="AB779" s="3"/>
      <c r="AC779" s="3"/>
      <c r="AD779" s="3"/>
      <c r="AE779" s="3"/>
      <c r="AF779" s="3"/>
      <c r="AG779" s="3"/>
      <c r="AH779" s="3"/>
      <c r="AI779" s="3"/>
      <c r="AJ779" s="3"/>
      <c r="AK779" s="3"/>
    </row>
    <row r="780" ht="15.75" customHeight="1">
      <c r="A780" s="3"/>
      <c r="B780" s="466"/>
      <c r="C780" s="667"/>
      <c r="D780" s="667"/>
      <c r="E780" s="668"/>
      <c r="F780" s="667"/>
      <c r="G780" s="667"/>
      <c r="H780" s="667"/>
      <c r="I780" s="667"/>
      <c r="J780" s="667"/>
      <c r="K780" s="667"/>
      <c r="L780" s="667"/>
      <c r="M780" s="667"/>
      <c r="N780" s="667"/>
      <c r="O780" s="667"/>
      <c r="P780" s="667"/>
      <c r="Q780" s="667"/>
      <c r="S780" s="3"/>
      <c r="T780" s="3"/>
      <c r="U780" s="3"/>
      <c r="V780" s="3"/>
      <c r="W780" s="3"/>
      <c r="X780" s="3"/>
      <c r="Y780" s="3"/>
      <c r="Z780" s="3"/>
      <c r="AA780" s="3"/>
      <c r="AB780" s="3"/>
      <c r="AC780" s="3"/>
      <c r="AD780" s="3"/>
      <c r="AE780" s="3"/>
      <c r="AF780" s="3"/>
      <c r="AG780" s="3"/>
      <c r="AH780" s="3"/>
      <c r="AI780" s="3"/>
      <c r="AJ780" s="3"/>
      <c r="AK780" s="3"/>
    </row>
    <row r="781" ht="15.75" customHeight="1">
      <c r="A781" s="3"/>
      <c r="B781" s="466"/>
      <c r="C781" s="667"/>
      <c r="D781" s="667"/>
      <c r="E781" s="668"/>
      <c r="F781" s="667"/>
      <c r="G781" s="667"/>
      <c r="H781" s="667"/>
      <c r="I781" s="667"/>
      <c r="J781" s="667"/>
      <c r="K781" s="667"/>
      <c r="L781" s="667"/>
      <c r="M781" s="667"/>
      <c r="N781" s="667"/>
      <c r="O781" s="667"/>
      <c r="P781" s="667"/>
      <c r="Q781" s="667"/>
      <c r="S781" s="3"/>
      <c r="T781" s="3"/>
      <c r="U781" s="3"/>
      <c r="V781" s="3"/>
      <c r="W781" s="3"/>
      <c r="X781" s="3"/>
      <c r="Y781" s="3"/>
      <c r="Z781" s="3"/>
      <c r="AA781" s="3"/>
      <c r="AB781" s="3"/>
      <c r="AC781" s="3"/>
      <c r="AD781" s="3"/>
      <c r="AE781" s="3"/>
      <c r="AF781" s="3"/>
      <c r="AG781" s="3"/>
      <c r="AH781" s="3"/>
      <c r="AI781" s="3"/>
      <c r="AJ781" s="3"/>
      <c r="AK781" s="3"/>
    </row>
    <row r="782" ht="15.75" customHeight="1">
      <c r="A782" s="3"/>
      <c r="B782" s="466"/>
      <c r="C782" s="667"/>
      <c r="D782" s="667"/>
      <c r="E782" s="668"/>
      <c r="F782" s="667"/>
      <c r="G782" s="667"/>
      <c r="H782" s="667"/>
      <c r="I782" s="667"/>
      <c r="J782" s="667"/>
      <c r="K782" s="667"/>
      <c r="L782" s="667"/>
      <c r="M782" s="667"/>
      <c r="N782" s="667"/>
      <c r="O782" s="667"/>
      <c r="P782" s="667"/>
      <c r="Q782" s="667"/>
      <c r="S782" s="3"/>
      <c r="T782" s="3"/>
      <c r="U782" s="3"/>
      <c r="V782" s="3"/>
      <c r="W782" s="3"/>
      <c r="X782" s="3"/>
      <c r="Y782" s="3"/>
      <c r="Z782" s="3"/>
      <c r="AA782" s="3"/>
      <c r="AB782" s="3"/>
      <c r="AC782" s="3"/>
      <c r="AD782" s="3"/>
      <c r="AE782" s="3"/>
      <c r="AF782" s="3"/>
      <c r="AG782" s="3"/>
      <c r="AH782" s="3"/>
      <c r="AI782" s="3"/>
      <c r="AJ782" s="3"/>
      <c r="AK782" s="3"/>
    </row>
    <row r="783" ht="15.75" customHeight="1">
      <c r="A783" s="3"/>
      <c r="B783" s="466"/>
      <c r="C783" s="667"/>
      <c r="D783" s="667"/>
      <c r="E783" s="668"/>
      <c r="F783" s="667"/>
      <c r="G783" s="667"/>
      <c r="H783" s="667"/>
      <c r="I783" s="667"/>
      <c r="J783" s="667"/>
      <c r="K783" s="667"/>
      <c r="L783" s="667"/>
      <c r="M783" s="667"/>
      <c r="N783" s="667"/>
      <c r="O783" s="667"/>
      <c r="P783" s="667"/>
      <c r="Q783" s="667"/>
      <c r="S783" s="3"/>
      <c r="T783" s="3"/>
      <c r="U783" s="3"/>
      <c r="V783" s="3"/>
      <c r="W783" s="3"/>
      <c r="X783" s="3"/>
      <c r="Y783" s="3"/>
      <c r="Z783" s="3"/>
      <c r="AA783" s="3"/>
      <c r="AB783" s="3"/>
      <c r="AC783" s="3"/>
      <c r="AD783" s="3"/>
      <c r="AE783" s="3"/>
      <c r="AF783" s="3"/>
      <c r="AG783" s="3"/>
      <c r="AH783" s="3"/>
      <c r="AI783" s="3"/>
      <c r="AJ783" s="3"/>
      <c r="AK783" s="3"/>
    </row>
    <row r="784" ht="15.75" customHeight="1">
      <c r="A784" s="3"/>
      <c r="B784" s="466"/>
      <c r="C784" s="667"/>
      <c r="D784" s="667"/>
      <c r="E784" s="668"/>
      <c r="F784" s="667"/>
      <c r="G784" s="667"/>
      <c r="H784" s="667"/>
      <c r="I784" s="667"/>
      <c r="J784" s="667"/>
      <c r="K784" s="667"/>
      <c r="L784" s="667"/>
      <c r="M784" s="667"/>
      <c r="N784" s="667"/>
      <c r="O784" s="667"/>
      <c r="P784" s="667"/>
      <c r="Q784" s="667"/>
      <c r="S784" s="3"/>
      <c r="T784" s="3"/>
      <c r="U784" s="3"/>
      <c r="V784" s="3"/>
      <c r="W784" s="3"/>
      <c r="X784" s="3"/>
      <c r="Y784" s="3"/>
      <c r="Z784" s="3"/>
      <c r="AA784" s="3"/>
      <c r="AB784" s="3"/>
      <c r="AC784" s="3"/>
      <c r="AD784" s="3"/>
      <c r="AE784" s="3"/>
      <c r="AF784" s="3"/>
      <c r="AG784" s="3"/>
      <c r="AH784" s="3"/>
      <c r="AI784" s="3"/>
      <c r="AJ784" s="3"/>
      <c r="AK784" s="3"/>
    </row>
    <row r="785" ht="15.75" customHeight="1">
      <c r="A785" s="3"/>
      <c r="B785" s="466"/>
      <c r="C785" s="667"/>
      <c r="D785" s="667"/>
      <c r="E785" s="668"/>
      <c r="F785" s="667"/>
      <c r="G785" s="667"/>
      <c r="H785" s="667"/>
      <c r="I785" s="667"/>
      <c r="J785" s="667"/>
      <c r="K785" s="667"/>
      <c r="L785" s="667"/>
      <c r="M785" s="667"/>
      <c r="N785" s="667"/>
      <c r="O785" s="667"/>
      <c r="P785" s="667"/>
      <c r="Q785" s="667"/>
      <c r="S785" s="3"/>
      <c r="T785" s="3"/>
      <c r="U785" s="3"/>
      <c r="V785" s="3"/>
      <c r="W785" s="3"/>
      <c r="X785" s="3"/>
      <c r="Y785" s="3"/>
      <c r="Z785" s="3"/>
      <c r="AA785" s="3"/>
      <c r="AB785" s="3"/>
      <c r="AC785" s="3"/>
      <c r="AD785" s="3"/>
      <c r="AE785" s="3"/>
      <c r="AF785" s="3"/>
      <c r="AG785" s="3"/>
      <c r="AH785" s="3"/>
      <c r="AI785" s="3"/>
      <c r="AJ785" s="3"/>
      <c r="AK785" s="3"/>
    </row>
    <row r="786" ht="15.75" customHeight="1">
      <c r="A786" s="3"/>
      <c r="B786" s="466"/>
      <c r="C786" s="667"/>
      <c r="D786" s="667"/>
      <c r="E786" s="668"/>
      <c r="F786" s="667"/>
      <c r="G786" s="667"/>
      <c r="H786" s="667"/>
      <c r="I786" s="667"/>
      <c r="J786" s="667"/>
      <c r="K786" s="667"/>
      <c r="L786" s="667"/>
      <c r="M786" s="667"/>
      <c r="N786" s="667"/>
      <c r="O786" s="667"/>
      <c r="P786" s="667"/>
      <c r="Q786" s="667"/>
      <c r="S786" s="3"/>
      <c r="T786" s="3"/>
      <c r="U786" s="3"/>
      <c r="V786" s="3"/>
      <c r="W786" s="3"/>
      <c r="X786" s="3"/>
      <c r="Y786" s="3"/>
      <c r="Z786" s="3"/>
      <c r="AA786" s="3"/>
      <c r="AB786" s="3"/>
      <c r="AC786" s="3"/>
      <c r="AD786" s="3"/>
      <c r="AE786" s="3"/>
      <c r="AF786" s="3"/>
      <c r="AG786" s="3"/>
      <c r="AH786" s="3"/>
      <c r="AI786" s="3"/>
      <c r="AJ786" s="3"/>
      <c r="AK786" s="3"/>
    </row>
    <row r="787" ht="15.75" customHeight="1">
      <c r="A787" s="3"/>
      <c r="B787" s="466"/>
      <c r="C787" s="667"/>
      <c r="D787" s="667"/>
      <c r="E787" s="668"/>
      <c r="F787" s="667"/>
      <c r="G787" s="667"/>
      <c r="H787" s="667"/>
      <c r="I787" s="667"/>
      <c r="J787" s="667"/>
      <c r="K787" s="667"/>
      <c r="L787" s="667"/>
      <c r="M787" s="667"/>
      <c r="N787" s="667"/>
      <c r="O787" s="667"/>
      <c r="P787" s="667"/>
      <c r="Q787" s="667"/>
      <c r="S787" s="3"/>
      <c r="T787" s="3"/>
      <c r="U787" s="3"/>
      <c r="V787" s="3"/>
      <c r="W787" s="3"/>
      <c r="X787" s="3"/>
      <c r="Y787" s="3"/>
      <c r="Z787" s="3"/>
      <c r="AA787" s="3"/>
      <c r="AB787" s="3"/>
      <c r="AC787" s="3"/>
      <c r="AD787" s="3"/>
      <c r="AE787" s="3"/>
      <c r="AF787" s="3"/>
      <c r="AG787" s="3"/>
      <c r="AH787" s="3"/>
      <c r="AI787" s="3"/>
      <c r="AJ787" s="3"/>
      <c r="AK787" s="3"/>
    </row>
    <row r="788" ht="15.75" customHeight="1">
      <c r="A788" s="3"/>
      <c r="B788" s="466"/>
      <c r="C788" s="667"/>
      <c r="D788" s="667"/>
      <c r="E788" s="668"/>
      <c r="F788" s="667"/>
      <c r="G788" s="667"/>
      <c r="H788" s="667"/>
      <c r="I788" s="667"/>
      <c r="J788" s="667"/>
      <c r="K788" s="667"/>
      <c r="L788" s="667"/>
      <c r="M788" s="667"/>
      <c r="N788" s="667"/>
      <c r="O788" s="667"/>
      <c r="P788" s="667"/>
      <c r="Q788" s="667"/>
      <c r="S788" s="3"/>
      <c r="T788" s="3"/>
      <c r="U788" s="3"/>
      <c r="V788" s="3"/>
      <c r="W788" s="3"/>
      <c r="X788" s="3"/>
      <c r="Y788" s="3"/>
      <c r="Z788" s="3"/>
      <c r="AA788" s="3"/>
      <c r="AB788" s="3"/>
      <c r="AC788" s="3"/>
      <c r="AD788" s="3"/>
      <c r="AE788" s="3"/>
      <c r="AF788" s="3"/>
      <c r="AG788" s="3"/>
      <c r="AH788" s="3"/>
      <c r="AI788" s="3"/>
      <c r="AJ788" s="3"/>
      <c r="AK788" s="3"/>
    </row>
    <row r="789" ht="15.75" customHeight="1">
      <c r="A789" s="3"/>
      <c r="B789" s="466"/>
      <c r="C789" s="667"/>
      <c r="D789" s="667"/>
      <c r="E789" s="668"/>
      <c r="F789" s="667"/>
      <c r="G789" s="667"/>
      <c r="H789" s="667"/>
      <c r="I789" s="667"/>
      <c r="J789" s="667"/>
      <c r="K789" s="667"/>
      <c r="L789" s="667"/>
      <c r="M789" s="667"/>
      <c r="N789" s="667"/>
      <c r="O789" s="667"/>
      <c r="P789" s="667"/>
      <c r="Q789" s="667"/>
      <c r="S789" s="3"/>
      <c r="T789" s="3"/>
      <c r="U789" s="3"/>
      <c r="V789" s="3"/>
      <c r="W789" s="3"/>
      <c r="X789" s="3"/>
      <c r="Y789" s="3"/>
      <c r="Z789" s="3"/>
      <c r="AA789" s="3"/>
      <c r="AB789" s="3"/>
      <c r="AC789" s="3"/>
      <c r="AD789" s="3"/>
      <c r="AE789" s="3"/>
      <c r="AF789" s="3"/>
      <c r="AG789" s="3"/>
      <c r="AH789" s="3"/>
      <c r="AI789" s="3"/>
      <c r="AJ789" s="3"/>
      <c r="AK789" s="3"/>
    </row>
    <row r="790" ht="15.75" customHeight="1">
      <c r="A790" s="3"/>
      <c r="B790" s="466"/>
      <c r="C790" s="667"/>
      <c r="D790" s="667"/>
      <c r="E790" s="668"/>
      <c r="F790" s="667"/>
      <c r="G790" s="667"/>
      <c r="H790" s="667"/>
      <c r="I790" s="667"/>
      <c r="J790" s="667"/>
      <c r="K790" s="667"/>
      <c r="L790" s="667"/>
      <c r="M790" s="667"/>
      <c r="N790" s="667"/>
      <c r="O790" s="667"/>
      <c r="P790" s="667"/>
      <c r="Q790" s="667"/>
      <c r="S790" s="3"/>
      <c r="T790" s="3"/>
      <c r="U790" s="3"/>
      <c r="V790" s="3"/>
      <c r="W790" s="3"/>
      <c r="X790" s="3"/>
      <c r="Y790" s="3"/>
      <c r="Z790" s="3"/>
      <c r="AA790" s="3"/>
      <c r="AB790" s="3"/>
      <c r="AC790" s="3"/>
      <c r="AD790" s="3"/>
      <c r="AE790" s="3"/>
      <c r="AF790" s="3"/>
      <c r="AG790" s="3"/>
      <c r="AH790" s="3"/>
      <c r="AI790" s="3"/>
      <c r="AJ790" s="3"/>
      <c r="AK790" s="3"/>
    </row>
    <row r="791" ht="15.75" customHeight="1">
      <c r="A791" s="3"/>
      <c r="B791" s="466"/>
      <c r="C791" s="667"/>
      <c r="D791" s="667"/>
      <c r="E791" s="668"/>
      <c r="F791" s="667"/>
      <c r="G791" s="667"/>
      <c r="H791" s="667"/>
      <c r="I791" s="667"/>
      <c r="J791" s="667"/>
      <c r="K791" s="667"/>
      <c r="L791" s="667"/>
      <c r="M791" s="667"/>
      <c r="N791" s="667"/>
      <c r="O791" s="667"/>
      <c r="P791" s="667"/>
      <c r="Q791" s="667"/>
      <c r="S791" s="3"/>
      <c r="T791" s="3"/>
      <c r="U791" s="3"/>
      <c r="V791" s="3"/>
      <c r="W791" s="3"/>
      <c r="X791" s="3"/>
      <c r="Y791" s="3"/>
      <c r="Z791" s="3"/>
      <c r="AA791" s="3"/>
      <c r="AB791" s="3"/>
      <c r="AC791" s="3"/>
      <c r="AD791" s="3"/>
      <c r="AE791" s="3"/>
      <c r="AF791" s="3"/>
      <c r="AG791" s="3"/>
      <c r="AH791" s="3"/>
      <c r="AI791" s="3"/>
      <c r="AJ791" s="3"/>
      <c r="AK791" s="3"/>
    </row>
    <row r="792" ht="15.75" customHeight="1">
      <c r="A792" s="3"/>
      <c r="B792" s="466"/>
      <c r="C792" s="667"/>
      <c r="D792" s="667"/>
      <c r="E792" s="668"/>
      <c r="F792" s="667"/>
      <c r="G792" s="667"/>
      <c r="H792" s="667"/>
      <c r="I792" s="667"/>
      <c r="J792" s="667"/>
      <c r="K792" s="667"/>
      <c r="L792" s="667"/>
      <c r="M792" s="667"/>
      <c r="N792" s="667"/>
      <c r="O792" s="667"/>
      <c r="P792" s="667"/>
      <c r="Q792" s="667"/>
      <c r="S792" s="3"/>
      <c r="T792" s="3"/>
      <c r="U792" s="3"/>
      <c r="V792" s="3"/>
      <c r="W792" s="3"/>
      <c r="X792" s="3"/>
      <c r="Y792" s="3"/>
      <c r="Z792" s="3"/>
      <c r="AA792" s="3"/>
      <c r="AB792" s="3"/>
      <c r="AC792" s="3"/>
      <c r="AD792" s="3"/>
      <c r="AE792" s="3"/>
      <c r="AF792" s="3"/>
      <c r="AG792" s="3"/>
      <c r="AH792" s="3"/>
      <c r="AI792" s="3"/>
      <c r="AJ792" s="3"/>
      <c r="AK792" s="3"/>
    </row>
    <row r="793" ht="15.75" customHeight="1">
      <c r="A793" s="3"/>
      <c r="B793" s="466"/>
      <c r="C793" s="667"/>
      <c r="D793" s="667"/>
      <c r="E793" s="668"/>
      <c r="F793" s="667"/>
      <c r="G793" s="667"/>
      <c r="H793" s="667"/>
      <c r="I793" s="667"/>
      <c r="J793" s="667"/>
      <c r="K793" s="667"/>
      <c r="L793" s="667"/>
      <c r="M793" s="667"/>
      <c r="N793" s="667"/>
      <c r="O793" s="667"/>
      <c r="P793" s="667"/>
      <c r="Q793" s="667"/>
      <c r="S793" s="3"/>
      <c r="T793" s="3"/>
      <c r="U793" s="3"/>
      <c r="V793" s="3"/>
      <c r="W793" s="3"/>
      <c r="X793" s="3"/>
      <c r="Y793" s="3"/>
      <c r="Z793" s="3"/>
      <c r="AA793" s="3"/>
      <c r="AB793" s="3"/>
      <c r="AC793" s="3"/>
      <c r="AD793" s="3"/>
      <c r="AE793" s="3"/>
      <c r="AF793" s="3"/>
      <c r="AG793" s="3"/>
      <c r="AH793" s="3"/>
      <c r="AI793" s="3"/>
      <c r="AJ793" s="3"/>
      <c r="AK793" s="3"/>
    </row>
    <row r="794" ht="15.75" customHeight="1">
      <c r="A794" s="3"/>
      <c r="B794" s="466"/>
      <c r="C794" s="667"/>
      <c r="D794" s="667"/>
      <c r="E794" s="668"/>
      <c r="F794" s="667"/>
      <c r="G794" s="667"/>
      <c r="H794" s="667"/>
      <c r="I794" s="667"/>
      <c r="J794" s="667"/>
      <c r="K794" s="667"/>
      <c r="L794" s="667"/>
      <c r="M794" s="667"/>
      <c r="N794" s="667"/>
      <c r="O794" s="667"/>
      <c r="P794" s="667"/>
      <c r="Q794" s="667"/>
      <c r="S794" s="3"/>
      <c r="T794" s="3"/>
      <c r="U794" s="3"/>
      <c r="V794" s="3"/>
      <c r="W794" s="3"/>
      <c r="X794" s="3"/>
      <c r="Y794" s="3"/>
      <c r="Z794" s="3"/>
      <c r="AA794" s="3"/>
      <c r="AB794" s="3"/>
      <c r="AC794" s="3"/>
      <c r="AD794" s="3"/>
      <c r="AE794" s="3"/>
      <c r="AF794" s="3"/>
      <c r="AG794" s="3"/>
      <c r="AH794" s="3"/>
      <c r="AI794" s="3"/>
      <c r="AJ794" s="3"/>
      <c r="AK794" s="3"/>
    </row>
    <row r="795" ht="15.75" customHeight="1">
      <c r="A795" s="3"/>
      <c r="B795" s="466"/>
      <c r="C795" s="667"/>
      <c r="D795" s="667"/>
      <c r="E795" s="668"/>
      <c r="F795" s="667"/>
      <c r="G795" s="667"/>
      <c r="H795" s="667"/>
      <c r="I795" s="667"/>
      <c r="J795" s="667"/>
      <c r="K795" s="667"/>
      <c r="L795" s="667"/>
      <c r="M795" s="667"/>
      <c r="N795" s="667"/>
      <c r="O795" s="667"/>
      <c r="P795" s="667"/>
      <c r="Q795" s="667"/>
      <c r="S795" s="3"/>
      <c r="T795" s="3"/>
      <c r="U795" s="3"/>
      <c r="V795" s="3"/>
      <c r="W795" s="3"/>
      <c r="X795" s="3"/>
      <c r="Y795" s="3"/>
      <c r="Z795" s="3"/>
      <c r="AA795" s="3"/>
      <c r="AB795" s="3"/>
      <c r="AC795" s="3"/>
      <c r="AD795" s="3"/>
      <c r="AE795" s="3"/>
      <c r="AF795" s="3"/>
      <c r="AG795" s="3"/>
      <c r="AH795" s="3"/>
      <c r="AI795" s="3"/>
      <c r="AJ795" s="3"/>
      <c r="AK795" s="3"/>
    </row>
    <row r="796" ht="15.75" customHeight="1">
      <c r="A796" s="3"/>
      <c r="B796" s="466"/>
      <c r="C796" s="667"/>
      <c r="D796" s="667"/>
      <c r="E796" s="668"/>
      <c r="F796" s="667"/>
      <c r="G796" s="667"/>
      <c r="H796" s="667"/>
      <c r="I796" s="667"/>
      <c r="J796" s="667"/>
      <c r="K796" s="667"/>
      <c r="L796" s="667"/>
      <c r="M796" s="667"/>
      <c r="N796" s="667"/>
      <c r="O796" s="667"/>
      <c r="P796" s="667"/>
      <c r="Q796" s="667"/>
      <c r="S796" s="3"/>
      <c r="T796" s="3"/>
      <c r="U796" s="3"/>
      <c r="V796" s="3"/>
      <c r="W796" s="3"/>
      <c r="X796" s="3"/>
      <c r="Y796" s="3"/>
      <c r="Z796" s="3"/>
      <c r="AA796" s="3"/>
      <c r="AB796" s="3"/>
      <c r="AC796" s="3"/>
      <c r="AD796" s="3"/>
      <c r="AE796" s="3"/>
      <c r="AF796" s="3"/>
      <c r="AG796" s="3"/>
      <c r="AH796" s="3"/>
      <c r="AI796" s="3"/>
      <c r="AJ796" s="3"/>
      <c r="AK796" s="3"/>
    </row>
    <row r="797" ht="15.75" customHeight="1">
      <c r="A797" s="3"/>
      <c r="B797" s="466"/>
      <c r="C797" s="667"/>
      <c r="D797" s="667"/>
      <c r="E797" s="668"/>
      <c r="F797" s="667"/>
      <c r="G797" s="667"/>
      <c r="H797" s="667"/>
      <c r="I797" s="667"/>
      <c r="J797" s="667"/>
      <c r="K797" s="667"/>
      <c r="L797" s="667"/>
      <c r="M797" s="667"/>
      <c r="N797" s="667"/>
      <c r="O797" s="667"/>
      <c r="P797" s="667"/>
      <c r="Q797" s="667"/>
      <c r="S797" s="3"/>
      <c r="T797" s="3"/>
      <c r="U797" s="3"/>
      <c r="V797" s="3"/>
      <c r="W797" s="3"/>
      <c r="X797" s="3"/>
      <c r="Y797" s="3"/>
      <c r="Z797" s="3"/>
      <c r="AA797" s="3"/>
      <c r="AB797" s="3"/>
      <c r="AC797" s="3"/>
      <c r="AD797" s="3"/>
      <c r="AE797" s="3"/>
      <c r="AF797" s="3"/>
      <c r="AG797" s="3"/>
      <c r="AH797" s="3"/>
      <c r="AI797" s="3"/>
      <c r="AJ797" s="3"/>
      <c r="AK797" s="3"/>
    </row>
    <row r="798" ht="15.75" customHeight="1">
      <c r="A798" s="3"/>
      <c r="B798" s="466"/>
      <c r="C798" s="667"/>
      <c r="D798" s="667"/>
      <c r="E798" s="668"/>
      <c r="F798" s="667"/>
      <c r="G798" s="667"/>
      <c r="H798" s="667"/>
      <c r="I798" s="667"/>
      <c r="J798" s="667"/>
      <c r="K798" s="667"/>
      <c r="L798" s="667"/>
      <c r="M798" s="667"/>
      <c r="N798" s="667"/>
      <c r="O798" s="667"/>
      <c r="P798" s="667"/>
      <c r="Q798" s="667"/>
      <c r="S798" s="3"/>
      <c r="T798" s="3"/>
      <c r="U798" s="3"/>
      <c r="V798" s="3"/>
      <c r="W798" s="3"/>
      <c r="X798" s="3"/>
      <c r="Y798" s="3"/>
      <c r="Z798" s="3"/>
      <c r="AA798" s="3"/>
      <c r="AB798" s="3"/>
      <c r="AC798" s="3"/>
      <c r="AD798" s="3"/>
      <c r="AE798" s="3"/>
      <c r="AF798" s="3"/>
      <c r="AG798" s="3"/>
      <c r="AH798" s="3"/>
      <c r="AI798" s="3"/>
      <c r="AJ798" s="3"/>
      <c r="AK798" s="3"/>
    </row>
    <row r="799" ht="15.75" customHeight="1">
      <c r="A799" s="3"/>
      <c r="B799" s="466"/>
      <c r="C799" s="667"/>
      <c r="D799" s="667"/>
      <c r="E799" s="668"/>
      <c r="F799" s="667"/>
      <c r="G799" s="667"/>
      <c r="H799" s="667"/>
      <c r="I799" s="667"/>
      <c r="J799" s="667"/>
      <c r="K799" s="667"/>
      <c r="L799" s="667"/>
      <c r="M799" s="667"/>
      <c r="N799" s="667"/>
      <c r="O799" s="667"/>
      <c r="P799" s="667"/>
      <c r="Q799" s="667"/>
      <c r="S799" s="3"/>
      <c r="T799" s="3"/>
      <c r="U799" s="3"/>
      <c r="V799" s="3"/>
      <c r="W799" s="3"/>
      <c r="X799" s="3"/>
      <c r="Y799" s="3"/>
      <c r="Z799" s="3"/>
      <c r="AA799" s="3"/>
      <c r="AB799" s="3"/>
      <c r="AC799" s="3"/>
      <c r="AD799" s="3"/>
      <c r="AE799" s="3"/>
      <c r="AF799" s="3"/>
      <c r="AG799" s="3"/>
      <c r="AH799" s="3"/>
      <c r="AI799" s="3"/>
      <c r="AJ799" s="3"/>
      <c r="AK799" s="3"/>
    </row>
    <row r="800" ht="15.75" customHeight="1">
      <c r="A800" s="3"/>
      <c r="B800" s="466"/>
      <c r="C800" s="667"/>
      <c r="D800" s="667"/>
      <c r="E800" s="668"/>
      <c r="F800" s="667"/>
      <c r="G800" s="667"/>
      <c r="H800" s="667"/>
      <c r="I800" s="667"/>
      <c r="J800" s="667"/>
      <c r="K800" s="667"/>
      <c r="L800" s="667"/>
      <c r="M800" s="667"/>
      <c r="N800" s="667"/>
      <c r="O800" s="667"/>
      <c r="P800" s="667"/>
      <c r="Q800" s="667"/>
      <c r="S800" s="3"/>
      <c r="T800" s="3"/>
      <c r="U800" s="3"/>
      <c r="V800" s="3"/>
      <c r="W800" s="3"/>
      <c r="X800" s="3"/>
      <c r="Y800" s="3"/>
      <c r="Z800" s="3"/>
      <c r="AA800" s="3"/>
      <c r="AB800" s="3"/>
      <c r="AC800" s="3"/>
      <c r="AD800" s="3"/>
      <c r="AE800" s="3"/>
      <c r="AF800" s="3"/>
      <c r="AG800" s="3"/>
      <c r="AH800" s="3"/>
      <c r="AI800" s="3"/>
      <c r="AJ800" s="3"/>
      <c r="AK800" s="3"/>
    </row>
    <row r="801" ht="15.75" customHeight="1">
      <c r="A801" s="3"/>
      <c r="B801" s="466"/>
      <c r="C801" s="667"/>
      <c r="D801" s="667"/>
      <c r="E801" s="668"/>
      <c r="F801" s="667"/>
      <c r="G801" s="667"/>
      <c r="H801" s="667"/>
      <c r="I801" s="667"/>
      <c r="J801" s="667"/>
      <c r="K801" s="667"/>
      <c r="L801" s="667"/>
      <c r="M801" s="667"/>
      <c r="N801" s="667"/>
      <c r="O801" s="667"/>
      <c r="P801" s="667"/>
      <c r="Q801" s="667"/>
      <c r="S801" s="3"/>
      <c r="T801" s="3"/>
      <c r="U801" s="3"/>
      <c r="V801" s="3"/>
      <c r="W801" s="3"/>
      <c r="X801" s="3"/>
      <c r="Y801" s="3"/>
      <c r="Z801" s="3"/>
      <c r="AA801" s="3"/>
      <c r="AB801" s="3"/>
      <c r="AC801" s="3"/>
      <c r="AD801" s="3"/>
      <c r="AE801" s="3"/>
      <c r="AF801" s="3"/>
      <c r="AG801" s="3"/>
      <c r="AH801" s="3"/>
      <c r="AI801" s="3"/>
      <c r="AJ801" s="3"/>
      <c r="AK801" s="3"/>
    </row>
    <row r="802" ht="15.75" customHeight="1">
      <c r="A802" s="3"/>
      <c r="B802" s="466"/>
      <c r="C802" s="667"/>
      <c r="D802" s="667"/>
      <c r="E802" s="668"/>
      <c r="F802" s="667"/>
      <c r="G802" s="667"/>
      <c r="H802" s="667"/>
      <c r="I802" s="667"/>
      <c r="J802" s="667"/>
      <c r="K802" s="667"/>
      <c r="L802" s="667"/>
      <c r="M802" s="667"/>
      <c r="N802" s="667"/>
      <c r="O802" s="667"/>
      <c r="P802" s="667"/>
      <c r="Q802" s="667"/>
      <c r="S802" s="3"/>
      <c r="T802" s="3"/>
      <c r="U802" s="3"/>
      <c r="V802" s="3"/>
      <c r="W802" s="3"/>
      <c r="X802" s="3"/>
      <c r="Y802" s="3"/>
      <c r="Z802" s="3"/>
      <c r="AA802" s="3"/>
      <c r="AB802" s="3"/>
      <c r="AC802" s="3"/>
      <c r="AD802" s="3"/>
      <c r="AE802" s="3"/>
      <c r="AF802" s="3"/>
      <c r="AG802" s="3"/>
      <c r="AH802" s="3"/>
      <c r="AI802" s="3"/>
      <c r="AJ802" s="3"/>
      <c r="AK802" s="3"/>
    </row>
    <row r="803" ht="15.75" customHeight="1">
      <c r="A803" s="3"/>
      <c r="B803" s="466"/>
      <c r="C803" s="667"/>
      <c r="D803" s="667"/>
      <c r="E803" s="668"/>
      <c r="F803" s="667"/>
      <c r="G803" s="667"/>
      <c r="H803" s="667"/>
      <c r="I803" s="667"/>
      <c r="J803" s="667"/>
      <c r="K803" s="667"/>
      <c r="L803" s="667"/>
      <c r="M803" s="667"/>
      <c r="N803" s="667"/>
      <c r="O803" s="667"/>
      <c r="P803" s="667"/>
      <c r="Q803" s="667"/>
      <c r="S803" s="3"/>
      <c r="T803" s="3"/>
      <c r="U803" s="3"/>
      <c r="V803" s="3"/>
      <c r="W803" s="3"/>
      <c r="X803" s="3"/>
      <c r="Y803" s="3"/>
      <c r="Z803" s="3"/>
      <c r="AA803" s="3"/>
      <c r="AB803" s="3"/>
      <c r="AC803" s="3"/>
      <c r="AD803" s="3"/>
      <c r="AE803" s="3"/>
      <c r="AF803" s="3"/>
      <c r="AG803" s="3"/>
      <c r="AH803" s="3"/>
      <c r="AI803" s="3"/>
      <c r="AJ803" s="3"/>
      <c r="AK803" s="3"/>
    </row>
    <row r="804" ht="15.75" customHeight="1">
      <c r="A804" s="3"/>
      <c r="B804" s="466"/>
      <c r="C804" s="667"/>
      <c r="D804" s="667"/>
      <c r="E804" s="668"/>
      <c r="F804" s="667"/>
      <c r="G804" s="667"/>
      <c r="H804" s="667"/>
      <c r="I804" s="667"/>
      <c r="J804" s="667"/>
      <c r="K804" s="667"/>
      <c r="L804" s="667"/>
      <c r="M804" s="667"/>
      <c r="N804" s="667"/>
      <c r="O804" s="667"/>
      <c r="P804" s="667"/>
      <c r="Q804" s="667"/>
      <c r="S804" s="3"/>
      <c r="T804" s="3"/>
      <c r="U804" s="3"/>
      <c r="V804" s="3"/>
      <c r="W804" s="3"/>
      <c r="X804" s="3"/>
      <c r="Y804" s="3"/>
      <c r="Z804" s="3"/>
      <c r="AA804" s="3"/>
      <c r="AB804" s="3"/>
      <c r="AC804" s="3"/>
      <c r="AD804" s="3"/>
      <c r="AE804" s="3"/>
      <c r="AF804" s="3"/>
      <c r="AG804" s="3"/>
      <c r="AH804" s="3"/>
      <c r="AI804" s="3"/>
      <c r="AJ804" s="3"/>
      <c r="AK804" s="3"/>
    </row>
    <row r="805" ht="15.75" customHeight="1">
      <c r="A805" s="3"/>
      <c r="B805" s="466"/>
      <c r="C805" s="667"/>
      <c r="D805" s="667"/>
      <c r="E805" s="668"/>
      <c r="F805" s="667"/>
      <c r="G805" s="667"/>
      <c r="H805" s="667"/>
      <c r="I805" s="667"/>
      <c r="J805" s="667"/>
      <c r="K805" s="667"/>
      <c r="L805" s="667"/>
      <c r="M805" s="667"/>
      <c r="N805" s="667"/>
      <c r="O805" s="667"/>
      <c r="P805" s="667"/>
      <c r="Q805" s="667"/>
      <c r="S805" s="3"/>
      <c r="T805" s="3"/>
      <c r="U805" s="3"/>
      <c r="V805" s="3"/>
      <c r="W805" s="3"/>
      <c r="X805" s="3"/>
      <c r="Y805" s="3"/>
      <c r="Z805" s="3"/>
      <c r="AA805" s="3"/>
      <c r="AB805" s="3"/>
      <c r="AC805" s="3"/>
      <c r="AD805" s="3"/>
      <c r="AE805" s="3"/>
      <c r="AF805" s="3"/>
      <c r="AG805" s="3"/>
      <c r="AH805" s="3"/>
      <c r="AI805" s="3"/>
      <c r="AJ805" s="3"/>
      <c r="AK805" s="3"/>
    </row>
    <row r="806" ht="15.75" customHeight="1">
      <c r="A806" s="3"/>
      <c r="B806" s="466"/>
      <c r="C806" s="667"/>
      <c r="D806" s="667"/>
      <c r="E806" s="668"/>
      <c r="F806" s="667"/>
      <c r="G806" s="667"/>
      <c r="H806" s="667"/>
      <c r="I806" s="667"/>
      <c r="J806" s="667"/>
      <c r="K806" s="667"/>
      <c r="L806" s="667"/>
      <c r="M806" s="667"/>
      <c r="N806" s="667"/>
      <c r="O806" s="667"/>
      <c r="P806" s="667"/>
      <c r="Q806" s="667"/>
      <c r="S806" s="3"/>
      <c r="T806" s="3"/>
      <c r="U806" s="3"/>
      <c r="V806" s="3"/>
      <c r="W806" s="3"/>
      <c r="X806" s="3"/>
      <c r="Y806" s="3"/>
      <c r="Z806" s="3"/>
      <c r="AA806" s="3"/>
      <c r="AB806" s="3"/>
      <c r="AC806" s="3"/>
      <c r="AD806" s="3"/>
      <c r="AE806" s="3"/>
      <c r="AF806" s="3"/>
      <c r="AG806" s="3"/>
      <c r="AH806" s="3"/>
      <c r="AI806" s="3"/>
      <c r="AJ806" s="3"/>
      <c r="AK806" s="3"/>
    </row>
    <row r="807" ht="15.75" customHeight="1">
      <c r="A807" s="3"/>
      <c r="B807" s="466"/>
      <c r="C807" s="667"/>
      <c r="D807" s="667"/>
      <c r="E807" s="668"/>
      <c r="F807" s="667"/>
      <c r="G807" s="667"/>
      <c r="H807" s="667"/>
      <c r="I807" s="667"/>
      <c r="J807" s="667"/>
      <c r="K807" s="667"/>
      <c r="L807" s="667"/>
      <c r="M807" s="667"/>
      <c r="N807" s="667"/>
      <c r="O807" s="667"/>
      <c r="P807" s="667"/>
      <c r="Q807" s="667"/>
      <c r="S807" s="3"/>
      <c r="T807" s="3"/>
      <c r="U807" s="3"/>
      <c r="V807" s="3"/>
      <c r="W807" s="3"/>
      <c r="X807" s="3"/>
      <c r="Y807" s="3"/>
      <c r="Z807" s="3"/>
      <c r="AA807" s="3"/>
      <c r="AB807" s="3"/>
      <c r="AC807" s="3"/>
      <c r="AD807" s="3"/>
      <c r="AE807" s="3"/>
      <c r="AF807" s="3"/>
      <c r="AG807" s="3"/>
      <c r="AH807" s="3"/>
      <c r="AI807" s="3"/>
      <c r="AJ807" s="3"/>
      <c r="AK807" s="3"/>
    </row>
    <row r="808" ht="15.75" customHeight="1">
      <c r="A808" s="3"/>
      <c r="B808" s="466"/>
      <c r="C808" s="667"/>
      <c r="D808" s="667"/>
      <c r="E808" s="668"/>
      <c r="F808" s="667"/>
      <c r="G808" s="667"/>
      <c r="H808" s="667"/>
      <c r="I808" s="667"/>
      <c r="J808" s="667"/>
      <c r="K808" s="667"/>
      <c r="L808" s="667"/>
      <c r="M808" s="667"/>
      <c r="N808" s="667"/>
      <c r="O808" s="667"/>
      <c r="P808" s="667"/>
      <c r="Q808" s="667"/>
      <c r="S808" s="3"/>
      <c r="T808" s="3"/>
      <c r="U808" s="3"/>
      <c r="V808" s="3"/>
      <c r="W808" s="3"/>
      <c r="X808" s="3"/>
      <c r="Y808" s="3"/>
      <c r="Z808" s="3"/>
      <c r="AA808" s="3"/>
      <c r="AB808" s="3"/>
      <c r="AC808" s="3"/>
      <c r="AD808" s="3"/>
      <c r="AE808" s="3"/>
      <c r="AF808" s="3"/>
      <c r="AG808" s="3"/>
      <c r="AH808" s="3"/>
      <c r="AI808" s="3"/>
      <c r="AJ808" s="3"/>
      <c r="AK808" s="3"/>
    </row>
    <row r="809" ht="15.75" customHeight="1">
      <c r="A809" s="3"/>
      <c r="B809" s="466"/>
      <c r="C809" s="667"/>
      <c r="D809" s="667"/>
      <c r="E809" s="668"/>
      <c r="F809" s="667"/>
      <c r="G809" s="667"/>
      <c r="H809" s="667"/>
      <c r="I809" s="667"/>
      <c r="J809" s="667"/>
      <c r="K809" s="667"/>
      <c r="L809" s="667"/>
      <c r="M809" s="667"/>
      <c r="N809" s="667"/>
      <c r="O809" s="667"/>
      <c r="P809" s="667"/>
      <c r="Q809" s="667"/>
      <c r="S809" s="3"/>
      <c r="T809" s="3"/>
      <c r="U809" s="3"/>
      <c r="V809" s="3"/>
      <c r="W809" s="3"/>
      <c r="X809" s="3"/>
      <c r="Y809" s="3"/>
      <c r="Z809" s="3"/>
      <c r="AA809" s="3"/>
      <c r="AB809" s="3"/>
      <c r="AC809" s="3"/>
      <c r="AD809" s="3"/>
      <c r="AE809" s="3"/>
      <c r="AF809" s="3"/>
      <c r="AG809" s="3"/>
      <c r="AH809" s="3"/>
      <c r="AI809" s="3"/>
      <c r="AJ809" s="3"/>
      <c r="AK809" s="3"/>
    </row>
    <row r="810" ht="15.75" customHeight="1">
      <c r="A810" s="3"/>
      <c r="B810" s="466"/>
      <c r="C810" s="667"/>
      <c r="D810" s="667"/>
      <c r="E810" s="668"/>
      <c r="F810" s="667"/>
      <c r="G810" s="667"/>
      <c r="H810" s="667"/>
      <c r="I810" s="667"/>
      <c r="J810" s="667"/>
      <c r="K810" s="667"/>
      <c r="L810" s="667"/>
      <c r="M810" s="667"/>
      <c r="N810" s="667"/>
      <c r="O810" s="667"/>
      <c r="P810" s="667"/>
      <c r="Q810" s="667"/>
      <c r="S810" s="3"/>
      <c r="T810" s="3"/>
      <c r="U810" s="3"/>
      <c r="V810" s="3"/>
      <c r="W810" s="3"/>
      <c r="X810" s="3"/>
      <c r="Y810" s="3"/>
      <c r="Z810" s="3"/>
      <c r="AA810" s="3"/>
      <c r="AB810" s="3"/>
      <c r="AC810" s="3"/>
      <c r="AD810" s="3"/>
      <c r="AE810" s="3"/>
      <c r="AF810" s="3"/>
      <c r="AG810" s="3"/>
      <c r="AH810" s="3"/>
      <c r="AI810" s="3"/>
      <c r="AJ810" s="3"/>
      <c r="AK810" s="3"/>
    </row>
    <row r="811" ht="15.75" customHeight="1">
      <c r="A811" s="3"/>
      <c r="B811" s="466"/>
      <c r="C811" s="667"/>
      <c r="D811" s="667"/>
      <c r="E811" s="668"/>
      <c r="F811" s="667"/>
      <c r="G811" s="667"/>
      <c r="H811" s="667"/>
      <c r="I811" s="667"/>
      <c r="J811" s="667"/>
      <c r="K811" s="667"/>
      <c r="L811" s="667"/>
      <c r="M811" s="667"/>
      <c r="N811" s="667"/>
      <c r="O811" s="667"/>
      <c r="P811" s="667"/>
      <c r="Q811" s="667"/>
      <c r="S811" s="3"/>
      <c r="T811" s="3"/>
      <c r="U811" s="3"/>
      <c r="V811" s="3"/>
      <c r="W811" s="3"/>
      <c r="X811" s="3"/>
      <c r="Y811" s="3"/>
      <c r="Z811" s="3"/>
      <c r="AA811" s="3"/>
      <c r="AB811" s="3"/>
      <c r="AC811" s="3"/>
      <c r="AD811" s="3"/>
      <c r="AE811" s="3"/>
      <c r="AF811" s="3"/>
      <c r="AG811" s="3"/>
      <c r="AH811" s="3"/>
      <c r="AI811" s="3"/>
      <c r="AJ811" s="3"/>
      <c r="AK811" s="3"/>
    </row>
    <row r="812" ht="15.75" customHeight="1">
      <c r="A812" s="3"/>
      <c r="B812" s="466"/>
      <c r="C812" s="667"/>
      <c r="D812" s="667"/>
      <c r="E812" s="668"/>
      <c r="F812" s="667"/>
      <c r="G812" s="667"/>
      <c r="H812" s="667"/>
      <c r="I812" s="667"/>
      <c r="J812" s="667"/>
      <c r="K812" s="667"/>
      <c r="L812" s="667"/>
      <c r="M812" s="667"/>
      <c r="N812" s="667"/>
      <c r="O812" s="667"/>
      <c r="P812" s="667"/>
      <c r="Q812" s="667"/>
      <c r="S812" s="3"/>
      <c r="T812" s="3"/>
      <c r="U812" s="3"/>
      <c r="V812" s="3"/>
      <c r="W812" s="3"/>
      <c r="X812" s="3"/>
      <c r="Y812" s="3"/>
      <c r="Z812" s="3"/>
      <c r="AA812" s="3"/>
      <c r="AB812" s="3"/>
      <c r="AC812" s="3"/>
      <c r="AD812" s="3"/>
      <c r="AE812" s="3"/>
      <c r="AF812" s="3"/>
      <c r="AG812" s="3"/>
      <c r="AH812" s="3"/>
      <c r="AI812" s="3"/>
      <c r="AJ812" s="3"/>
      <c r="AK812" s="3"/>
    </row>
    <row r="813" ht="15.75" customHeight="1">
      <c r="A813" s="3"/>
      <c r="B813" s="466"/>
      <c r="C813" s="667"/>
      <c r="D813" s="667"/>
      <c r="E813" s="668"/>
      <c r="F813" s="667"/>
      <c r="G813" s="667"/>
      <c r="H813" s="667"/>
      <c r="I813" s="667"/>
      <c r="J813" s="667"/>
      <c r="K813" s="667"/>
      <c r="L813" s="667"/>
      <c r="M813" s="667"/>
      <c r="N813" s="667"/>
      <c r="O813" s="667"/>
      <c r="P813" s="667"/>
      <c r="Q813" s="667"/>
      <c r="S813" s="3"/>
      <c r="T813" s="3"/>
      <c r="U813" s="3"/>
      <c r="V813" s="3"/>
      <c r="W813" s="3"/>
      <c r="X813" s="3"/>
      <c r="Y813" s="3"/>
      <c r="Z813" s="3"/>
      <c r="AA813" s="3"/>
      <c r="AB813" s="3"/>
      <c r="AC813" s="3"/>
      <c r="AD813" s="3"/>
      <c r="AE813" s="3"/>
      <c r="AF813" s="3"/>
      <c r="AG813" s="3"/>
      <c r="AH813" s="3"/>
      <c r="AI813" s="3"/>
      <c r="AJ813" s="3"/>
      <c r="AK813" s="3"/>
    </row>
    <row r="814" ht="15.75" customHeight="1">
      <c r="A814" s="3"/>
      <c r="B814" s="466"/>
      <c r="C814" s="667"/>
      <c r="D814" s="667"/>
      <c r="E814" s="668"/>
      <c r="F814" s="667"/>
      <c r="G814" s="667"/>
      <c r="H814" s="667"/>
      <c r="I814" s="667"/>
      <c r="J814" s="667"/>
      <c r="K814" s="667"/>
      <c r="L814" s="667"/>
      <c r="M814" s="667"/>
      <c r="N814" s="667"/>
      <c r="O814" s="667"/>
      <c r="P814" s="667"/>
      <c r="Q814" s="667"/>
      <c r="S814" s="3"/>
      <c r="T814" s="3"/>
      <c r="U814" s="3"/>
      <c r="V814" s="3"/>
      <c r="W814" s="3"/>
      <c r="X814" s="3"/>
      <c r="Y814" s="3"/>
      <c r="Z814" s="3"/>
      <c r="AA814" s="3"/>
      <c r="AB814" s="3"/>
      <c r="AC814" s="3"/>
      <c r="AD814" s="3"/>
      <c r="AE814" s="3"/>
      <c r="AF814" s="3"/>
      <c r="AG814" s="3"/>
      <c r="AH814" s="3"/>
      <c r="AI814" s="3"/>
      <c r="AJ814" s="3"/>
      <c r="AK814" s="3"/>
    </row>
    <row r="815" ht="15.75" customHeight="1">
      <c r="A815" s="3"/>
      <c r="B815" s="466"/>
      <c r="C815" s="667"/>
      <c r="D815" s="667"/>
      <c r="E815" s="668"/>
      <c r="F815" s="667"/>
      <c r="G815" s="667"/>
      <c r="H815" s="667"/>
      <c r="I815" s="667"/>
      <c r="J815" s="667"/>
      <c r="K815" s="667"/>
      <c r="L815" s="667"/>
      <c r="M815" s="667"/>
      <c r="N815" s="667"/>
      <c r="O815" s="667"/>
      <c r="P815" s="667"/>
      <c r="Q815" s="667"/>
      <c r="S815" s="3"/>
      <c r="T815" s="3"/>
      <c r="U815" s="3"/>
      <c r="V815" s="3"/>
      <c r="W815" s="3"/>
      <c r="X815" s="3"/>
      <c r="Y815" s="3"/>
      <c r="Z815" s="3"/>
      <c r="AA815" s="3"/>
      <c r="AB815" s="3"/>
      <c r="AC815" s="3"/>
      <c r="AD815" s="3"/>
      <c r="AE815" s="3"/>
      <c r="AF815" s="3"/>
      <c r="AG815" s="3"/>
      <c r="AH815" s="3"/>
      <c r="AI815" s="3"/>
      <c r="AJ815" s="3"/>
      <c r="AK815" s="3"/>
    </row>
    <row r="816" ht="15.75" customHeight="1">
      <c r="A816" s="3"/>
      <c r="B816" s="466"/>
      <c r="C816" s="667"/>
      <c r="D816" s="667"/>
      <c r="E816" s="668"/>
      <c r="F816" s="667"/>
      <c r="G816" s="667"/>
      <c r="H816" s="667"/>
      <c r="I816" s="667"/>
      <c r="J816" s="667"/>
      <c r="K816" s="667"/>
      <c r="L816" s="667"/>
      <c r="M816" s="667"/>
      <c r="N816" s="667"/>
      <c r="O816" s="667"/>
      <c r="P816" s="667"/>
      <c r="Q816" s="667"/>
      <c r="S816" s="3"/>
      <c r="T816" s="3"/>
      <c r="U816" s="3"/>
      <c r="V816" s="3"/>
      <c r="W816" s="3"/>
      <c r="X816" s="3"/>
      <c r="Y816" s="3"/>
      <c r="Z816" s="3"/>
      <c r="AA816" s="3"/>
      <c r="AB816" s="3"/>
      <c r="AC816" s="3"/>
      <c r="AD816" s="3"/>
      <c r="AE816" s="3"/>
      <c r="AF816" s="3"/>
      <c r="AG816" s="3"/>
      <c r="AH816" s="3"/>
      <c r="AI816" s="3"/>
      <c r="AJ816" s="3"/>
      <c r="AK816" s="3"/>
    </row>
    <row r="817" ht="15.75" customHeight="1">
      <c r="A817" s="3"/>
      <c r="B817" s="466"/>
      <c r="C817" s="667"/>
      <c r="D817" s="667"/>
      <c r="E817" s="668"/>
      <c r="F817" s="667"/>
      <c r="G817" s="667"/>
      <c r="H817" s="667"/>
      <c r="I817" s="667"/>
      <c r="J817" s="667"/>
      <c r="K817" s="667"/>
      <c r="L817" s="667"/>
      <c r="M817" s="667"/>
      <c r="N817" s="667"/>
      <c r="O817" s="667"/>
      <c r="P817" s="667"/>
      <c r="Q817" s="667"/>
      <c r="S817" s="3"/>
      <c r="T817" s="3"/>
      <c r="U817" s="3"/>
      <c r="V817" s="3"/>
      <c r="W817" s="3"/>
      <c r="X817" s="3"/>
      <c r="Y817" s="3"/>
      <c r="Z817" s="3"/>
      <c r="AA817" s="3"/>
      <c r="AB817" s="3"/>
      <c r="AC817" s="3"/>
      <c r="AD817" s="3"/>
      <c r="AE817" s="3"/>
      <c r="AF817" s="3"/>
      <c r="AG817" s="3"/>
      <c r="AH817" s="3"/>
      <c r="AI817" s="3"/>
      <c r="AJ817" s="3"/>
      <c r="AK817" s="3"/>
    </row>
    <row r="818" ht="15.75" customHeight="1">
      <c r="A818" s="3"/>
      <c r="B818" s="466"/>
      <c r="C818" s="667"/>
      <c r="D818" s="667"/>
      <c r="E818" s="668"/>
      <c r="F818" s="667"/>
      <c r="G818" s="667"/>
      <c r="H818" s="667"/>
      <c r="I818" s="667"/>
      <c r="J818" s="667"/>
      <c r="K818" s="667"/>
      <c r="L818" s="667"/>
      <c r="M818" s="667"/>
      <c r="N818" s="667"/>
      <c r="O818" s="667"/>
      <c r="P818" s="667"/>
      <c r="Q818" s="667"/>
      <c r="S818" s="3"/>
      <c r="T818" s="3"/>
      <c r="U818" s="3"/>
      <c r="V818" s="3"/>
      <c r="W818" s="3"/>
      <c r="X818" s="3"/>
      <c r="Y818" s="3"/>
      <c r="Z818" s="3"/>
      <c r="AA818" s="3"/>
      <c r="AB818" s="3"/>
      <c r="AC818" s="3"/>
      <c r="AD818" s="3"/>
      <c r="AE818" s="3"/>
      <c r="AF818" s="3"/>
      <c r="AG818" s="3"/>
      <c r="AH818" s="3"/>
      <c r="AI818" s="3"/>
      <c r="AJ818" s="3"/>
      <c r="AK818" s="3"/>
    </row>
    <row r="819" ht="15.75" customHeight="1">
      <c r="A819" s="3"/>
      <c r="B819" s="466"/>
      <c r="C819" s="667"/>
      <c r="D819" s="667"/>
      <c r="E819" s="668"/>
      <c r="F819" s="667"/>
      <c r="G819" s="667"/>
      <c r="H819" s="667"/>
      <c r="I819" s="667"/>
      <c r="J819" s="667"/>
      <c r="K819" s="667"/>
      <c r="L819" s="667"/>
      <c r="M819" s="667"/>
      <c r="N819" s="667"/>
      <c r="O819" s="667"/>
      <c r="P819" s="667"/>
      <c r="Q819" s="667"/>
      <c r="S819" s="3"/>
      <c r="T819" s="3"/>
      <c r="U819" s="3"/>
      <c r="V819" s="3"/>
      <c r="W819" s="3"/>
      <c r="X819" s="3"/>
      <c r="Y819" s="3"/>
      <c r="Z819" s="3"/>
      <c r="AA819" s="3"/>
      <c r="AB819" s="3"/>
      <c r="AC819" s="3"/>
      <c r="AD819" s="3"/>
      <c r="AE819" s="3"/>
      <c r="AF819" s="3"/>
      <c r="AG819" s="3"/>
      <c r="AH819" s="3"/>
      <c r="AI819" s="3"/>
      <c r="AJ819" s="3"/>
      <c r="AK819" s="3"/>
    </row>
    <row r="820" ht="15.75" customHeight="1">
      <c r="A820" s="3"/>
      <c r="B820" s="466"/>
      <c r="C820" s="667"/>
      <c r="D820" s="667"/>
      <c r="E820" s="668"/>
      <c r="F820" s="667"/>
      <c r="G820" s="667"/>
      <c r="H820" s="667"/>
      <c r="I820" s="667"/>
      <c r="J820" s="667"/>
      <c r="K820" s="667"/>
      <c r="L820" s="667"/>
      <c r="M820" s="667"/>
      <c r="N820" s="667"/>
      <c r="O820" s="667"/>
      <c r="P820" s="667"/>
      <c r="Q820" s="667"/>
      <c r="S820" s="3"/>
      <c r="T820" s="3"/>
      <c r="U820" s="3"/>
      <c r="V820" s="3"/>
      <c r="W820" s="3"/>
      <c r="X820" s="3"/>
      <c r="Y820" s="3"/>
      <c r="Z820" s="3"/>
      <c r="AA820" s="3"/>
      <c r="AB820" s="3"/>
      <c r="AC820" s="3"/>
      <c r="AD820" s="3"/>
      <c r="AE820" s="3"/>
      <c r="AF820" s="3"/>
      <c r="AG820" s="3"/>
      <c r="AH820" s="3"/>
      <c r="AI820" s="3"/>
      <c r="AJ820" s="3"/>
      <c r="AK820" s="3"/>
    </row>
    <row r="821" ht="15.75" customHeight="1">
      <c r="A821" s="3"/>
      <c r="B821" s="466"/>
      <c r="C821" s="667"/>
      <c r="D821" s="667"/>
      <c r="E821" s="668"/>
      <c r="F821" s="667"/>
      <c r="G821" s="667"/>
      <c r="H821" s="667"/>
      <c r="I821" s="667"/>
      <c r="J821" s="667"/>
      <c r="K821" s="667"/>
      <c r="L821" s="667"/>
      <c r="M821" s="667"/>
      <c r="N821" s="667"/>
      <c r="O821" s="667"/>
      <c r="P821" s="667"/>
      <c r="Q821" s="667"/>
      <c r="S821" s="3"/>
      <c r="T821" s="3"/>
      <c r="U821" s="3"/>
      <c r="V821" s="3"/>
      <c r="W821" s="3"/>
      <c r="X821" s="3"/>
      <c r="Y821" s="3"/>
      <c r="Z821" s="3"/>
      <c r="AA821" s="3"/>
      <c r="AB821" s="3"/>
      <c r="AC821" s="3"/>
      <c r="AD821" s="3"/>
      <c r="AE821" s="3"/>
      <c r="AF821" s="3"/>
      <c r="AG821" s="3"/>
      <c r="AH821" s="3"/>
      <c r="AI821" s="3"/>
      <c r="AJ821" s="3"/>
      <c r="AK821" s="3"/>
    </row>
    <row r="822" ht="15.75" customHeight="1">
      <c r="A822" s="3"/>
      <c r="B822" s="466"/>
      <c r="C822" s="667"/>
      <c r="D822" s="667"/>
      <c r="E822" s="668"/>
      <c r="F822" s="667"/>
      <c r="G822" s="667"/>
      <c r="H822" s="667"/>
      <c r="I822" s="667"/>
      <c r="J822" s="667"/>
      <c r="K822" s="667"/>
      <c r="L822" s="667"/>
      <c r="M822" s="667"/>
      <c r="N822" s="667"/>
      <c r="O822" s="667"/>
      <c r="P822" s="667"/>
      <c r="Q822" s="667"/>
      <c r="S822" s="3"/>
      <c r="T822" s="3"/>
      <c r="U822" s="3"/>
      <c r="V822" s="3"/>
      <c r="W822" s="3"/>
      <c r="X822" s="3"/>
      <c r="Y822" s="3"/>
      <c r="Z822" s="3"/>
      <c r="AA822" s="3"/>
      <c r="AB822" s="3"/>
      <c r="AC822" s="3"/>
      <c r="AD822" s="3"/>
      <c r="AE822" s="3"/>
      <c r="AF822" s="3"/>
      <c r="AG822" s="3"/>
      <c r="AH822" s="3"/>
      <c r="AI822" s="3"/>
      <c r="AJ822" s="3"/>
      <c r="AK822" s="3"/>
    </row>
    <row r="823" ht="15.75" customHeight="1">
      <c r="A823" s="3"/>
      <c r="B823" s="466"/>
      <c r="C823" s="667"/>
      <c r="D823" s="667"/>
      <c r="E823" s="668"/>
      <c r="F823" s="667"/>
      <c r="G823" s="667"/>
      <c r="H823" s="667"/>
      <c r="I823" s="667"/>
      <c r="J823" s="667"/>
      <c r="K823" s="667"/>
      <c r="L823" s="667"/>
      <c r="M823" s="667"/>
      <c r="N823" s="667"/>
      <c r="O823" s="667"/>
      <c r="P823" s="667"/>
      <c r="Q823" s="667"/>
      <c r="S823" s="3"/>
      <c r="T823" s="3"/>
      <c r="U823" s="3"/>
      <c r="V823" s="3"/>
      <c r="W823" s="3"/>
      <c r="X823" s="3"/>
      <c r="Y823" s="3"/>
      <c r="Z823" s="3"/>
      <c r="AA823" s="3"/>
      <c r="AB823" s="3"/>
      <c r="AC823" s="3"/>
      <c r="AD823" s="3"/>
      <c r="AE823" s="3"/>
      <c r="AF823" s="3"/>
      <c r="AG823" s="3"/>
      <c r="AH823" s="3"/>
      <c r="AI823" s="3"/>
      <c r="AJ823" s="3"/>
      <c r="AK823" s="3"/>
    </row>
    <row r="824" ht="15.75" customHeight="1">
      <c r="A824" s="3"/>
      <c r="B824" s="466"/>
      <c r="C824" s="667"/>
      <c r="D824" s="667"/>
      <c r="E824" s="668"/>
      <c r="F824" s="667"/>
      <c r="G824" s="667"/>
      <c r="H824" s="667"/>
      <c r="I824" s="667"/>
      <c r="J824" s="667"/>
      <c r="K824" s="667"/>
      <c r="L824" s="667"/>
      <c r="M824" s="667"/>
      <c r="N824" s="667"/>
      <c r="O824" s="667"/>
      <c r="P824" s="667"/>
      <c r="Q824" s="667"/>
      <c r="S824" s="3"/>
      <c r="T824" s="3"/>
      <c r="U824" s="3"/>
      <c r="V824" s="3"/>
      <c r="W824" s="3"/>
      <c r="X824" s="3"/>
      <c r="Y824" s="3"/>
      <c r="Z824" s="3"/>
      <c r="AA824" s="3"/>
      <c r="AB824" s="3"/>
      <c r="AC824" s="3"/>
      <c r="AD824" s="3"/>
      <c r="AE824" s="3"/>
      <c r="AF824" s="3"/>
      <c r="AG824" s="3"/>
      <c r="AH824" s="3"/>
      <c r="AI824" s="3"/>
      <c r="AJ824" s="3"/>
      <c r="AK824" s="3"/>
    </row>
    <row r="825" ht="15.75" customHeight="1">
      <c r="A825" s="3"/>
      <c r="B825" s="466"/>
      <c r="C825" s="667"/>
      <c r="D825" s="667"/>
      <c r="E825" s="668"/>
      <c r="F825" s="667"/>
      <c r="G825" s="667"/>
      <c r="H825" s="667"/>
      <c r="I825" s="667"/>
      <c r="J825" s="667"/>
      <c r="K825" s="667"/>
      <c r="L825" s="667"/>
      <c r="M825" s="667"/>
      <c r="N825" s="667"/>
      <c r="O825" s="667"/>
      <c r="P825" s="667"/>
      <c r="Q825" s="667"/>
      <c r="S825" s="3"/>
      <c r="T825" s="3"/>
      <c r="U825" s="3"/>
      <c r="V825" s="3"/>
      <c r="W825" s="3"/>
      <c r="X825" s="3"/>
      <c r="Y825" s="3"/>
      <c r="Z825" s="3"/>
      <c r="AA825" s="3"/>
      <c r="AB825" s="3"/>
      <c r="AC825" s="3"/>
      <c r="AD825" s="3"/>
      <c r="AE825" s="3"/>
      <c r="AF825" s="3"/>
      <c r="AG825" s="3"/>
      <c r="AH825" s="3"/>
      <c r="AI825" s="3"/>
      <c r="AJ825" s="3"/>
      <c r="AK825" s="3"/>
    </row>
    <row r="826" ht="15.75" customHeight="1">
      <c r="A826" s="3"/>
      <c r="B826" s="466"/>
      <c r="C826" s="667"/>
      <c r="D826" s="667"/>
      <c r="E826" s="668"/>
      <c r="F826" s="667"/>
      <c r="G826" s="667"/>
      <c r="H826" s="667"/>
      <c r="I826" s="667"/>
      <c r="J826" s="667"/>
      <c r="K826" s="667"/>
      <c r="L826" s="667"/>
      <c r="M826" s="667"/>
      <c r="N826" s="667"/>
      <c r="O826" s="667"/>
      <c r="P826" s="667"/>
      <c r="Q826" s="667"/>
      <c r="S826" s="3"/>
      <c r="T826" s="3"/>
      <c r="U826" s="3"/>
      <c r="V826" s="3"/>
      <c r="W826" s="3"/>
      <c r="X826" s="3"/>
      <c r="Y826" s="3"/>
      <c r="Z826" s="3"/>
      <c r="AA826" s="3"/>
      <c r="AB826" s="3"/>
      <c r="AC826" s="3"/>
      <c r="AD826" s="3"/>
      <c r="AE826" s="3"/>
      <c r="AF826" s="3"/>
      <c r="AG826" s="3"/>
      <c r="AH826" s="3"/>
      <c r="AI826" s="3"/>
      <c r="AJ826" s="3"/>
      <c r="AK826" s="3"/>
    </row>
    <row r="827" ht="15.75" customHeight="1">
      <c r="A827" s="3"/>
      <c r="B827" s="466"/>
      <c r="C827" s="667"/>
      <c r="D827" s="667"/>
      <c r="E827" s="668"/>
      <c r="F827" s="667"/>
      <c r="G827" s="667"/>
      <c r="H827" s="667"/>
      <c r="I827" s="667"/>
      <c r="J827" s="667"/>
      <c r="K827" s="667"/>
      <c r="L827" s="667"/>
      <c r="M827" s="667"/>
      <c r="N827" s="667"/>
      <c r="O827" s="667"/>
      <c r="P827" s="667"/>
      <c r="Q827" s="667"/>
      <c r="S827" s="3"/>
      <c r="T827" s="3"/>
      <c r="U827" s="3"/>
      <c r="V827" s="3"/>
      <c r="W827" s="3"/>
      <c r="X827" s="3"/>
      <c r="Y827" s="3"/>
      <c r="Z827" s="3"/>
      <c r="AA827" s="3"/>
      <c r="AB827" s="3"/>
      <c r="AC827" s="3"/>
      <c r="AD827" s="3"/>
      <c r="AE827" s="3"/>
      <c r="AF827" s="3"/>
      <c r="AG827" s="3"/>
      <c r="AH827" s="3"/>
      <c r="AI827" s="3"/>
      <c r="AJ827" s="3"/>
      <c r="AK827" s="3"/>
    </row>
    <row r="828" ht="15.75" customHeight="1">
      <c r="A828" s="3"/>
      <c r="B828" s="466"/>
      <c r="C828" s="667"/>
      <c r="D828" s="667"/>
      <c r="E828" s="668"/>
      <c r="F828" s="667"/>
      <c r="G828" s="667"/>
      <c r="H828" s="667"/>
      <c r="I828" s="667"/>
      <c r="J828" s="667"/>
      <c r="K828" s="667"/>
      <c r="L828" s="667"/>
      <c r="M828" s="667"/>
      <c r="N828" s="667"/>
      <c r="O828" s="667"/>
      <c r="P828" s="667"/>
      <c r="Q828" s="667"/>
      <c r="S828" s="3"/>
      <c r="T828" s="3"/>
      <c r="U828" s="3"/>
      <c r="V828" s="3"/>
      <c r="W828" s="3"/>
      <c r="X828" s="3"/>
      <c r="Y828" s="3"/>
      <c r="Z828" s="3"/>
      <c r="AA828" s="3"/>
      <c r="AB828" s="3"/>
      <c r="AC828" s="3"/>
      <c r="AD828" s="3"/>
      <c r="AE828" s="3"/>
      <c r="AF828" s="3"/>
      <c r="AG828" s="3"/>
      <c r="AH828" s="3"/>
      <c r="AI828" s="3"/>
      <c r="AJ828" s="3"/>
      <c r="AK828" s="3"/>
    </row>
    <row r="829" ht="15.75" customHeight="1">
      <c r="A829" s="3"/>
      <c r="B829" s="466"/>
      <c r="C829" s="667"/>
      <c r="D829" s="667"/>
      <c r="E829" s="668"/>
      <c r="F829" s="667"/>
      <c r="G829" s="667"/>
      <c r="H829" s="667"/>
      <c r="I829" s="667"/>
      <c r="J829" s="667"/>
      <c r="K829" s="667"/>
      <c r="L829" s="667"/>
      <c r="M829" s="667"/>
      <c r="N829" s="667"/>
      <c r="O829" s="667"/>
      <c r="P829" s="667"/>
      <c r="Q829" s="667"/>
      <c r="S829" s="3"/>
      <c r="T829" s="3"/>
      <c r="U829" s="3"/>
      <c r="V829" s="3"/>
      <c r="W829" s="3"/>
      <c r="X829" s="3"/>
      <c r="Y829" s="3"/>
      <c r="Z829" s="3"/>
      <c r="AA829" s="3"/>
      <c r="AB829" s="3"/>
      <c r="AC829" s="3"/>
      <c r="AD829" s="3"/>
      <c r="AE829" s="3"/>
      <c r="AF829" s="3"/>
      <c r="AG829" s="3"/>
      <c r="AH829" s="3"/>
      <c r="AI829" s="3"/>
      <c r="AJ829" s="3"/>
      <c r="AK829" s="3"/>
    </row>
    <row r="830" ht="15.75" customHeight="1">
      <c r="A830" s="3"/>
      <c r="B830" s="466"/>
      <c r="C830" s="667"/>
      <c r="D830" s="667"/>
      <c r="E830" s="668"/>
      <c r="F830" s="667"/>
      <c r="G830" s="667"/>
      <c r="H830" s="667"/>
      <c r="I830" s="667"/>
      <c r="J830" s="667"/>
      <c r="K830" s="667"/>
      <c r="L830" s="667"/>
      <c r="M830" s="667"/>
      <c r="N830" s="667"/>
      <c r="O830" s="667"/>
      <c r="P830" s="667"/>
      <c r="Q830" s="667"/>
      <c r="S830" s="3"/>
      <c r="T830" s="3"/>
      <c r="U830" s="3"/>
      <c r="V830" s="3"/>
      <c r="W830" s="3"/>
      <c r="X830" s="3"/>
      <c r="Y830" s="3"/>
      <c r="Z830" s="3"/>
      <c r="AA830" s="3"/>
      <c r="AB830" s="3"/>
      <c r="AC830" s="3"/>
      <c r="AD830" s="3"/>
      <c r="AE830" s="3"/>
      <c r="AF830" s="3"/>
      <c r="AG830" s="3"/>
      <c r="AH830" s="3"/>
      <c r="AI830" s="3"/>
      <c r="AJ830" s="3"/>
      <c r="AK830" s="3"/>
    </row>
    <row r="831" ht="15.75" customHeight="1">
      <c r="A831" s="3"/>
      <c r="B831" s="466"/>
      <c r="C831" s="667"/>
      <c r="D831" s="667"/>
      <c r="E831" s="668"/>
      <c r="F831" s="667"/>
      <c r="G831" s="667"/>
      <c r="H831" s="667"/>
      <c r="I831" s="667"/>
      <c r="J831" s="667"/>
      <c r="K831" s="667"/>
      <c r="L831" s="667"/>
      <c r="M831" s="667"/>
      <c r="N831" s="667"/>
      <c r="O831" s="667"/>
      <c r="P831" s="667"/>
      <c r="Q831" s="667"/>
      <c r="S831" s="3"/>
      <c r="T831" s="3"/>
      <c r="U831" s="3"/>
      <c r="V831" s="3"/>
      <c r="W831" s="3"/>
      <c r="X831" s="3"/>
      <c r="Y831" s="3"/>
      <c r="Z831" s="3"/>
      <c r="AA831" s="3"/>
      <c r="AB831" s="3"/>
      <c r="AC831" s="3"/>
      <c r="AD831" s="3"/>
      <c r="AE831" s="3"/>
      <c r="AF831" s="3"/>
      <c r="AG831" s="3"/>
      <c r="AH831" s="3"/>
      <c r="AI831" s="3"/>
      <c r="AJ831" s="3"/>
      <c r="AK831" s="3"/>
    </row>
    <row r="832" ht="15.75" customHeight="1">
      <c r="A832" s="3"/>
      <c r="B832" s="466"/>
      <c r="C832" s="667"/>
      <c r="D832" s="667"/>
      <c r="E832" s="668"/>
      <c r="F832" s="667"/>
      <c r="G832" s="667"/>
      <c r="H832" s="667"/>
      <c r="I832" s="667"/>
      <c r="J832" s="667"/>
      <c r="K832" s="667"/>
      <c r="L832" s="667"/>
      <c r="M832" s="667"/>
      <c r="N832" s="667"/>
      <c r="O832" s="667"/>
      <c r="P832" s="667"/>
      <c r="Q832" s="667"/>
      <c r="S832" s="3"/>
      <c r="T832" s="3"/>
      <c r="U832" s="3"/>
      <c r="V832" s="3"/>
      <c r="W832" s="3"/>
      <c r="X832" s="3"/>
      <c r="Y832" s="3"/>
      <c r="Z832" s="3"/>
      <c r="AA832" s="3"/>
      <c r="AB832" s="3"/>
      <c r="AC832" s="3"/>
      <c r="AD832" s="3"/>
      <c r="AE832" s="3"/>
      <c r="AF832" s="3"/>
      <c r="AG832" s="3"/>
      <c r="AH832" s="3"/>
      <c r="AI832" s="3"/>
      <c r="AJ832" s="3"/>
      <c r="AK832" s="3"/>
    </row>
    <row r="833" ht="15.75" customHeight="1">
      <c r="A833" s="3"/>
      <c r="B833" s="466"/>
      <c r="C833" s="667"/>
      <c r="D833" s="667"/>
      <c r="E833" s="668"/>
      <c r="F833" s="667"/>
      <c r="G833" s="667"/>
      <c r="H833" s="667"/>
      <c r="I833" s="667"/>
      <c r="J833" s="667"/>
      <c r="K833" s="667"/>
      <c r="L833" s="667"/>
      <c r="M833" s="667"/>
      <c r="N833" s="667"/>
      <c r="O833" s="667"/>
      <c r="P833" s="667"/>
      <c r="Q833" s="667"/>
      <c r="S833" s="3"/>
      <c r="T833" s="3"/>
      <c r="U833" s="3"/>
      <c r="V833" s="3"/>
      <c r="W833" s="3"/>
      <c r="X833" s="3"/>
      <c r="Y833" s="3"/>
      <c r="Z833" s="3"/>
      <c r="AA833" s="3"/>
      <c r="AB833" s="3"/>
      <c r="AC833" s="3"/>
      <c r="AD833" s="3"/>
      <c r="AE833" s="3"/>
      <c r="AF833" s="3"/>
      <c r="AG833" s="3"/>
      <c r="AH833" s="3"/>
      <c r="AI833" s="3"/>
      <c r="AJ833" s="3"/>
      <c r="AK833" s="3"/>
    </row>
    <row r="834" ht="15.75" customHeight="1">
      <c r="A834" s="3"/>
      <c r="B834" s="466"/>
      <c r="C834" s="667"/>
      <c r="D834" s="667"/>
      <c r="E834" s="668"/>
      <c r="F834" s="667"/>
      <c r="G834" s="667"/>
      <c r="H834" s="667"/>
      <c r="I834" s="667"/>
      <c r="J834" s="667"/>
      <c r="K834" s="667"/>
      <c r="L834" s="667"/>
      <c r="M834" s="667"/>
      <c r="N834" s="667"/>
      <c r="O834" s="667"/>
      <c r="P834" s="667"/>
      <c r="Q834" s="667"/>
      <c r="S834" s="3"/>
      <c r="T834" s="3"/>
      <c r="U834" s="3"/>
      <c r="V834" s="3"/>
      <c r="W834" s="3"/>
      <c r="X834" s="3"/>
      <c r="Y834" s="3"/>
      <c r="Z834" s="3"/>
      <c r="AA834" s="3"/>
      <c r="AB834" s="3"/>
      <c r="AC834" s="3"/>
      <c r="AD834" s="3"/>
      <c r="AE834" s="3"/>
      <c r="AF834" s="3"/>
      <c r="AG834" s="3"/>
      <c r="AH834" s="3"/>
      <c r="AI834" s="3"/>
      <c r="AJ834" s="3"/>
      <c r="AK834" s="3"/>
    </row>
    <row r="835" ht="15.75" customHeight="1">
      <c r="A835" s="3"/>
      <c r="B835" s="466"/>
      <c r="C835" s="667"/>
      <c r="D835" s="667"/>
      <c r="E835" s="668"/>
      <c r="F835" s="667"/>
      <c r="G835" s="667"/>
      <c r="H835" s="667"/>
      <c r="I835" s="667"/>
      <c r="J835" s="667"/>
      <c r="K835" s="667"/>
      <c r="L835" s="667"/>
      <c r="M835" s="667"/>
      <c r="N835" s="667"/>
      <c r="O835" s="667"/>
      <c r="P835" s="667"/>
      <c r="Q835" s="667"/>
      <c r="S835" s="3"/>
      <c r="T835" s="3"/>
      <c r="U835" s="3"/>
      <c r="V835" s="3"/>
      <c r="W835" s="3"/>
      <c r="X835" s="3"/>
      <c r="Y835" s="3"/>
      <c r="Z835" s="3"/>
      <c r="AA835" s="3"/>
      <c r="AB835" s="3"/>
      <c r="AC835" s="3"/>
      <c r="AD835" s="3"/>
      <c r="AE835" s="3"/>
      <c r="AF835" s="3"/>
      <c r="AG835" s="3"/>
      <c r="AH835" s="3"/>
      <c r="AI835" s="3"/>
      <c r="AJ835" s="3"/>
      <c r="AK835" s="3"/>
    </row>
    <row r="836" ht="15.75" customHeight="1">
      <c r="A836" s="3"/>
      <c r="B836" s="466"/>
      <c r="C836" s="667"/>
      <c r="D836" s="667"/>
      <c r="E836" s="668"/>
      <c r="F836" s="667"/>
      <c r="G836" s="667"/>
      <c r="H836" s="667"/>
      <c r="I836" s="667"/>
      <c r="J836" s="667"/>
      <c r="K836" s="667"/>
      <c r="L836" s="667"/>
      <c r="M836" s="667"/>
      <c r="N836" s="667"/>
      <c r="O836" s="667"/>
      <c r="P836" s="667"/>
      <c r="Q836" s="667"/>
      <c r="S836" s="3"/>
      <c r="T836" s="3"/>
      <c r="U836" s="3"/>
      <c r="V836" s="3"/>
      <c r="W836" s="3"/>
      <c r="X836" s="3"/>
      <c r="Y836" s="3"/>
      <c r="Z836" s="3"/>
      <c r="AA836" s="3"/>
      <c r="AB836" s="3"/>
      <c r="AC836" s="3"/>
      <c r="AD836" s="3"/>
      <c r="AE836" s="3"/>
      <c r="AF836" s="3"/>
      <c r="AG836" s="3"/>
      <c r="AH836" s="3"/>
      <c r="AI836" s="3"/>
      <c r="AJ836" s="3"/>
      <c r="AK836" s="3"/>
    </row>
    <row r="837" ht="15.75" customHeight="1">
      <c r="A837" s="3"/>
      <c r="B837" s="466"/>
      <c r="C837" s="667"/>
      <c r="D837" s="667"/>
      <c r="E837" s="668"/>
      <c r="F837" s="667"/>
      <c r="G837" s="667"/>
      <c r="H837" s="667"/>
      <c r="I837" s="667"/>
      <c r="J837" s="667"/>
      <c r="K837" s="667"/>
      <c r="L837" s="667"/>
      <c r="M837" s="667"/>
      <c r="N837" s="667"/>
      <c r="O837" s="667"/>
      <c r="P837" s="667"/>
      <c r="Q837" s="667"/>
      <c r="S837" s="3"/>
      <c r="T837" s="3"/>
      <c r="U837" s="3"/>
      <c r="V837" s="3"/>
      <c r="W837" s="3"/>
      <c r="X837" s="3"/>
      <c r="Y837" s="3"/>
      <c r="Z837" s="3"/>
      <c r="AA837" s="3"/>
      <c r="AB837" s="3"/>
      <c r="AC837" s="3"/>
      <c r="AD837" s="3"/>
      <c r="AE837" s="3"/>
      <c r="AF837" s="3"/>
      <c r="AG837" s="3"/>
      <c r="AH837" s="3"/>
      <c r="AI837" s="3"/>
      <c r="AJ837" s="3"/>
      <c r="AK837" s="3"/>
    </row>
    <row r="838" ht="15.75" customHeight="1">
      <c r="A838" s="3"/>
      <c r="B838" s="466"/>
      <c r="C838" s="667"/>
      <c r="D838" s="667"/>
      <c r="E838" s="668"/>
      <c r="F838" s="667"/>
      <c r="G838" s="667"/>
      <c r="H838" s="667"/>
      <c r="I838" s="667"/>
      <c r="J838" s="667"/>
      <c r="K838" s="667"/>
      <c r="L838" s="667"/>
      <c r="M838" s="667"/>
      <c r="N838" s="667"/>
      <c r="O838" s="667"/>
      <c r="P838" s="667"/>
      <c r="Q838" s="667"/>
      <c r="S838" s="3"/>
      <c r="T838" s="3"/>
      <c r="U838" s="3"/>
      <c r="V838" s="3"/>
      <c r="W838" s="3"/>
      <c r="X838" s="3"/>
      <c r="Y838" s="3"/>
      <c r="Z838" s="3"/>
      <c r="AA838" s="3"/>
      <c r="AB838" s="3"/>
      <c r="AC838" s="3"/>
      <c r="AD838" s="3"/>
      <c r="AE838" s="3"/>
      <c r="AF838" s="3"/>
      <c r="AG838" s="3"/>
      <c r="AH838" s="3"/>
      <c r="AI838" s="3"/>
      <c r="AJ838" s="3"/>
      <c r="AK838" s="3"/>
    </row>
    <row r="839" ht="15.75" customHeight="1">
      <c r="A839" s="3"/>
      <c r="B839" s="466"/>
      <c r="C839" s="667"/>
      <c r="D839" s="667"/>
      <c r="E839" s="668"/>
      <c r="F839" s="667"/>
      <c r="G839" s="667"/>
      <c r="H839" s="667"/>
      <c r="I839" s="667"/>
      <c r="J839" s="667"/>
      <c r="K839" s="667"/>
      <c r="L839" s="667"/>
      <c r="M839" s="667"/>
      <c r="N839" s="667"/>
      <c r="O839" s="667"/>
      <c r="P839" s="667"/>
      <c r="Q839" s="667"/>
      <c r="S839" s="3"/>
      <c r="T839" s="3"/>
      <c r="U839" s="3"/>
      <c r="V839" s="3"/>
      <c r="W839" s="3"/>
      <c r="X839" s="3"/>
      <c r="Y839" s="3"/>
      <c r="Z839" s="3"/>
      <c r="AA839" s="3"/>
      <c r="AB839" s="3"/>
      <c r="AC839" s="3"/>
      <c r="AD839" s="3"/>
      <c r="AE839" s="3"/>
      <c r="AF839" s="3"/>
      <c r="AG839" s="3"/>
      <c r="AH839" s="3"/>
      <c r="AI839" s="3"/>
      <c r="AJ839" s="3"/>
      <c r="AK839" s="3"/>
    </row>
    <row r="840" ht="15.75" customHeight="1">
      <c r="A840" s="3"/>
      <c r="B840" s="466"/>
      <c r="C840" s="667"/>
      <c r="D840" s="667"/>
      <c r="E840" s="668"/>
      <c r="F840" s="667"/>
      <c r="G840" s="667"/>
      <c r="H840" s="667"/>
      <c r="I840" s="667"/>
      <c r="J840" s="667"/>
      <c r="K840" s="667"/>
      <c r="L840" s="667"/>
      <c r="M840" s="667"/>
      <c r="N840" s="667"/>
      <c r="O840" s="667"/>
      <c r="P840" s="667"/>
      <c r="Q840" s="667"/>
      <c r="S840" s="3"/>
      <c r="T840" s="3"/>
      <c r="U840" s="3"/>
      <c r="V840" s="3"/>
      <c r="W840" s="3"/>
      <c r="X840" s="3"/>
      <c r="Y840" s="3"/>
      <c r="Z840" s="3"/>
      <c r="AA840" s="3"/>
      <c r="AB840" s="3"/>
      <c r="AC840" s="3"/>
      <c r="AD840" s="3"/>
      <c r="AE840" s="3"/>
      <c r="AF840" s="3"/>
      <c r="AG840" s="3"/>
      <c r="AH840" s="3"/>
      <c r="AI840" s="3"/>
      <c r="AJ840" s="3"/>
      <c r="AK840" s="3"/>
    </row>
    <row r="841" ht="15.75" customHeight="1">
      <c r="A841" s="3"/>
      <c r="B841" s="466"/>
      <c r="C841" s="667"/>
      <c r="D841" s="667"/>
      <c r="E841" s="668"/>
      <c r="F841" s="667"/>
      <c r="G841" s="667"/>
      <c r="H841" s="667"/>
      <c r="I841" s="667"/>
      <c r="J841" s="667"/>
      <c r="K841" s="667"/>
      <c r="L841" s="667"/>
      <c r="M841" s="667"/>
      <c r="N841" s="667"/>
      <c r="O841" s="667"/>
      <c r="P841" s="667"/>
      <c r="Q841" s="667"/>
      <c r="S841" s="3"/>
      <c r="T841" s="3"/>
      <c r="U841" s="3"/>
      <c r="V841" s="3"/>
      <c r="W841" s="3"/>
      <c r="X841" s="3"/>
      <c r="Y841" s="3"/>
      <c r="Z841" s="3"/>
      <c r="AA841" s="3"/>
      <c r="AB841" s="3"/>
      <c r="AC841" s="3"/>
      <c r="AD841" s="3"/>
      <c r="AE841" s="3"/>
      <c r="AF841" s="3"/>
      <c r="AG841" s="3"/>
      <c r="AH841" s="3"/>
      <c r="AI841" s="3"/>
      <c r="AJ841" s="3"/>
      <c r="AK841" s="3"/>
    </row>
    <row r="842" ht="15.75" customHeight="1">
      <c r="A842" s="3"/>
      <c r="B842" s="466"/>
      <c r="C842" s="667"/>
      <c r="D842" s="667"/>
      <c r="E842" s="668"/>
      <c r="F842" s="667"/>
      <c r="G842" s="667"/>
      <c r="H842" s="667"/>
      <c r="I842" s="667"/>
      <c r="J842" s="667"/>
      <c r="K842" s="667"/>
      <c r="L842" s="667"/>
      <c r="M842" s="667"/>
      <c r="N842" s="667"/>
      <c r="O842" s="667"/>
      <c r="P842" s="667"/>
      <c r="Q842" s="667"/>
      <c r="S842" s="3"/>
      <c r="T842" s="3"/>
      <c r="U842" s="3"/>
      <c r="V842" s="3"/>
      <c r="W842" s="3"/>
      <c r="X842" s="3"/>
      <c r="Y842" s="3"/>
      <c r="Z842" s="3"/>
      <c r="AA842" s="3"/>
      <c r="AB842" s="3"/>
      <c r="AC842" s="3"/>
      <c r="AD842" s="3"/>
      <c r="AE842" s="3"/>
      <c r="AF842" s="3"/>
      <c r="AG842" s="3"/>
      <c r="AH842" s="3"/>
      <c r="AI842" s="3"/>
      <c r="AJ842" s="3"/>
      <c r="AK842" s="3"/>
    </row>
    <row r="843" ht="15.75" customHeight="1">
      <c r="A843" s="3"/>
      <c r="B843" s="466"/>
      <c r="C843" s="667"/>
      <c r="D843" s="667"/>
      <c r="E843" s="668"/>
      <c r="F843" s="667"/>
      <c r="G843" s="667"/>
      <c r="H843" s="667"/>
      <c r="I843" s="667"/>
      <c r="J843" s="667"/>
      <c r="K843" s="667"/>
      <c r="L843" s="667"/>
      <c r="M843" s="667"/>
      <c r="N843" s="667"/>
      <c r="O843" s="667"/>
      <c r="P843" s="667"/>
      <c r="Q843" s="667"/>
      <c r="S843" s="3"/>
      <c r="T843" s="3"/>
      <c r="U843" s="3"/>
      <c r="V843" s="3"/>
      <c r="W843" s="3"/>
      <c r="X843" s="3"/>
      <c r="Y843" s="3"/>
      <c r="Z843" s="3"/>
      <c r="AA843" s="3"/>
      <c r="AB843" s="3"/>
      <c r="AC843" s="3"/>
      <c r="AD843" s="3"/>
      <c r="AE843" s="3"/>
      <c r="AF843" s="3"/>
      <c r="AG843" s="3"/>
      <c r="AH843" s="3"/>
      <c r="AI843" s="3"/>
      <c r="AJ843" s="3"/>
      <c r="AK843" s="3"/>
    </row>
    <row r="844" ht="15.75" customHeight="1">
      <c r="A844" s="3"/>
      <c r="B844" s="466"/>
      <c r="C844" s="667"/>
      <c r="D844" s="667"/>
      <c r="E844" s="668"/>
      <c r="F844" s="667"/>
      <c r="G844" s="667"/>
      <c r="H844" s="667"/>
      <c r="I844" s="667"/>
      <c r="J844" s="667"/>
      <c r="K844" s="667"/>
      <c r="L844" s="667"/>
      <c r="M844" s="667"/>
      <c r="N844" s="667"/>
      <c r="O844" s="667"/>
      <c r="P844" s="667"/>
      <c r="Q844" s="667"/>
      <c r="S844" s="3"/>
      <c r="T844" s="3"/>
      <c r="U844" s="3"/>
      <c r="V844" s="3"/>
      <c r="W844" s="3"/>
      <c r="X844" s="3"/>
      <c r="Y844" s="3"/>
      <c r="Z844" s="3"/>
      <c r="AA844" s="3"/>
      <c r="AB844" s="3"/>
      <c r="AC844" s="3"/>
      <c r="AD844" s="3"/>
      <c r="AE844" s="3"/>
      <c r="AF844" s="3"/>
      <c r="AG844" s="3"/>
      <c r="AH844" s="3"/>
      <c r="AI844" s="3"/>
      <c r="AJ844" s="3"/>
      <c r="AK844" s="3"/>
    </row>
    <row r="845" ht="15.75" customHeight="1">
      <c r="A845" s="3"/>
      <c r="B845" s="466"/>
      <c r="C845" s="667"/>
      <c r="D845" s="667"/>
      <c r="E845" s="668"/>
      <c r="F845" s="667"/>
      <c r="G845" s="667"/>
      <c r="H845" s="667"/>
      <c r="I845" s="667"/>
      <c r="J845" s="667"/>
      <c r="K845" s="667"/>
      <c r="L845" s="667"/>
      <c r="M845" s="667"/>
      <c r="N845" s="667"/>
      <c r="O845" s="667"/>
      <c r="P845" s="667"/>
      <c r="Q845" s="667"/>
      <c r="S845" s="3"/>
      <c r="T845" s="3"/>
      <c r="U845" s="3"/>
      <c r="V845" s="3"/>
      <c r="W845" s="3"/>
      <c r="X845" s="3"/>
      <c r="Y845" s="3"/>
      <c r="Z845" s="3"/>
      <c r="AA845" s="3"/>
      <c r="AB845" s="3"/>
      <c r="AC845" s="3"/>
      <c r="AD845" s="3"/>
      <c r="AE845" s="3"/>
      <c r="AF845" s="3"/>
      <c r="AG845" s="3"/>
      <c r="AH845" s="3"/>
      <c r="AI845" s="3"/>
      <c r="AJ845" s="3"/>
      <c r="AK845" s="3"/>
    </row>
    <row r="846" ht="15.75" customHeight="1">
      <c r="A846" s="3"/>
      <c r="B846" s="466"/>
      <c r="C846" s="667"/>
      <c r="D846" s="667"/>
      <c r="E846" s="668"/>
      <c r="F846" s="667"/>
      <c r="G846" s="667"/>
      <c r="H846" s="667"/>
      <c r="I846" s="667"/>
      <c r="J846" s="667"/>
      <c r="K846" s="667"/>
      <c r="L846" s="667"/>
      <c r="M846" s="667"/>
      <c r="N846" s="667"/>
      <c r="O846" s="667"/>
      <c r="P846" s="667"/>
      <c r="Q846" s="667"/>
      <c r="S846" s="3"/>
      <c r="T846" s="3"/>
      <c r="U846" s="3"/>
      <c r="V846" s="3"/>
      <c r="W846" s="3"/>
      <c r="X846" s="3"/>
      <c r="Y846" s="3"/>
      <c r="Z846" s="3"/>
      <c r="AA846" s="3"/>
      <c r="AB846" s="3"/>
      <c r="AC846" s="3"/>
      <c r="AD846" s="3"/>
      <c r="AE846" s="3"/>
      <c r="AF846" s="3"/>
      <c r="AG846" s="3"/>
      <c r="AH846" s="3"/>
      <c r="AI846" s="3"/>
      <c r="AJ846" s="3"/>
      <c r="AK846" s="3"/>
    </row>
    <row r="847" ht="15.75" customHeight="1">
      <c r="A847" s="3"/>
      <c r="B847" s="466"/>
      <c r="C847" s="667"/>
      <c r="D847" s="667"/>
      <c r="E847" s="668"/>
      <c r="F847" s="667"/>
      <c r="G847" s="667"/>
      <c r="H847" s="667"/>
      <c r="I847" s="667"/>
      <c r="J847" s="667"/>
      <c r="K847" s="667"/>
      <c r="L847" s="667"/>
      <c r="M847" s="667"/>
      <c r="N847" s="667"/>
      <c r="O847" s="667"/>
      <c r="P847" s="667"/>
      <c r="Q847" s="667"/>
      <c r="S847" s="3"/>
      <c r="T847" s="3"/>
      <c r="U847" s="3"/>
      <c r="V847" s="3"/>
      <c r="W847" s="3"/>
      <c r="X847" s="3"/>
      <c r="Y847" s="3"/>
      <c r="Z847" s="3"/>
      <c r="AA847" s="3"/>
      <c r="AB847" s="3"/>
      <c r="AC847" s="3"/>
      <c r="AD847" s="3"/>
      <c r="AE847" s="3"/>
      <c r="AF847" s="3"/>
      <c r="AG847" s="3"/>
      <c r="AH847" s="3"/>
      <c r="AI847" s="3"/>
      <c r="AJ847" s="3"/>
      <c r="AK847" s="3"/>
    </row>
    <row r="848" ht="15.75" customHeight="1">
      <c r="A848" s="3"/>
      <c r="B848" s="466"/>
      <c r="C848" s="667"/>
      <c r="D848" s="667"/>
      <c r="E848" s="668"/>
      <c r="F848" s="667"/>
      <c r="G848" s="667"/>
      <c r="H848" s="667"/>
      <c r="I848" s="667"/>
      <c r="J848" s="667"/>
      <c r="K848" s="667"/>
      <c r="L848" s="667"/>
      <c r="M848" s="667"/>
      <c r="N848" s="667"/>
      <c r="O848" s="667"/>
      <c r="P848" s="667"/>
      <c r="Q848" s="667"/>
      <c r="S848" s="3"/>
      <c r="T848" s="3"/>
      <c r="U848" s="3"/>
      <c r="V848" s="3"/>
      <c r="W848" s="3"/>
      <c r="X848" s="3"/>
      <c r="Y848" s="3"/>
      <c r="Z848" s="3"/>
      <c r="AA848" s="3"/>
      <c r="AB848" s="3"/>
      <c r="AC848" s="3"/>
      <c r="AD848" s="3"/>
      <c r="AE848" s="3"/>
      <c r="AF848" s="3"/>
      <c r="AG848" s="3"/>
      <c r="AH848" s="3"/>
      <c r="AI848" s="3"/>
      <c r="AJ848" s="3"/>
      <c r="AK848" s="3"/>
    </row>
    <row r="849" ht="15.75" customHeight="1">
      <c r="A849" s="3"/>
      <c r="B849" s="466"/>
      <c r="C849" s="667"/>
      <c r="D849" s="667"/>
      <c r="E849" s="668"/>
      <c r="F849" s="667"/>
      <c r="G849" s="667"/>
      <c r="H849" s="667"/>
      <c r="I849" s="667"/>
      <c r="J849" s="667"/>
      <c r="K849" s="667"/>
      <c r="L849" s="667"/>
      <c r="M849" s="667"/>
      <c r="N849" s="667"/>
      <c r="O849" s="667"/>
      <c r="P849" s="667"/>
      <c r="Q849" s="667"/>
      <c r="S849" s="3"/>
      <c r="T849" s="3"/>
      <c r="U849" s="3"/>
      <c r="V849" s="3"/>
      <c r="W849" s="3"/>
      <c r="X849" s="3"/>
      <c r="Y849" s="3"/>
      <c r="Z849" s="3"/>
      <c r="AA849" s="3"/>
      <c r="AB849" s="3"/>
      <c r="AC849" s="3"/>
      <c r="AD849" s="3"/>
      <c r="AE849" s="3"/>
      <c r="AF849" s="3"/>
      <c r="AG849" s="3"/>
      <c r="AH849" s="3"/>
      <c r="AI849" s="3"/>
      <c r="AJ849" s="3"/>
      <c r="AK849" s="3"/>
    </row>
    <row r="850" ht="15.75" customHeight="1">
      <c r="A850" s="3"/>
      <c r="B850" s="466"/>
      <c r="C850" s="667"/>
      <c r="D850" s="667"/>
      <c r="E850" s="668"/>
      <c r="F850" s="667"/>
      <c r="G850" s="667"/>
      <c r="H850" s="667"/>
      <c r="I850" s="667"/>
      <c r="J850" s="667"/>
      <c r="K850" s="667"/>
      <c r="L850" s="667"/>
      <c r="M850" s="667"/>
      <c r="N850" s="667"/>
      <c r="O850" s="667"/>
      <c r="P850" s="667"/>
      <c r="Q850" s="667"/>
      <c r="S850" s="3"/>
      <c r="T850" s="3"/>
      <c r="U850" s="3"/>
      <c r="V850" s="3"/>
      <c r="W850" s="3"/>
      <c r="X850" s="3"/>
      <c r="Y850" s="3"/>
      <c r="Z850" s="3"/>
      <c r="AA850" s="3"/>
      <c r="AB850" s="3"/>
      <c r="AC850" s="3"/>
      <c r="AD850" s="3"/>
      <c r="AE850" s="3"/>
      <c r="AF850" s="3"/>
      <c r="AG850" s="3"/>
      <c r="AH850" s="3"/>
      <c r="AI850" s="3"/>
      <c r="AJ850" s="3"/>
      <c r="AK850" s="3"/>
    </row>
    <row r="851" ht="15.75" customHeight="1">
      <c r="A851" s="3"/>
      <c r="B851" s="466"/>
      <c r="C851" s="667"/>
      <c r="D851" s="667"/>
      <c r="E851" s="668"/>
      <c r="F851" s="667"/>
      <c r="G851" s="667"/>
      <c r="H851" s="667"/>
      <c r="I851" s="667"/>
      <c r="J851" s="667"/>
      <c r="K851" s="667"/>
      <c r="L851" s="667"/>
      <c r="M851" s="667"/>
      <c r="N851" s="667"/>
      <c r="O851" s="667"/>
      <c r="P851" s="667"/>
      <c r="Q851" s="667"/>
      <c r="S851" s="3"/>
      <c r="T851" s="3"/>
      <c r="U851" s="3"/>
      <c r="V851" s="3"/>
      <c r="W851" s="3"/>
      <c r="X851" s="3"/>
      <c r="Y851" s="3"/>
      <c r="Z851" s="3"/>
      <c r="AA851" s="3"/>
      <c r="AB851" s="3"/>
      <c r="AC851" s="3"/>
      <c r="AD851" s="3"/>
      <c r="AE851" s="3"/>
      <c r="AF851" s="3"/>
      <c r="AG851" s="3"/>
      <c r="AH851" s="3"/>
      <c r="AI851" s="3"/>
      <c r="AJ851" s="3"/>
      <c r="AK851" s="3"/>
    </row>
    <row r="852" ht="15.75" customHeight="1">
      <c r="A852" s="3"/>
      <c r="B852" s="466"/>
      <c r="C852" s="667"/>
      <c r="D852" s="667"/>
      <c r="E852" s="668"/>
      <c r="F852" s="667"/>
      <c r="G852" s="667"/>
      <c r="H852" s="667"/>
      <c r="I852" s="667"/>
      <c r="J852" s="667"/>
      <c r="K852" s="667"/>
      <c r="L852" s="667"/>
      <c r="M852" s="667"/>
      <c r="N852" s="667"/>
      <c r="O852" s="667"/>
      <c r="P852" s="667"/>
      <c r="Q852" s="667"/>
      <c r="S852" s="3"/>
      <c r="T852" s="3"/>
      <c r="U852" s="3"/>
      <c r="V852" s="3"/>
      <c r="W852" s="3"/>
      <c r="X852" s="3"/>
      <c r="Y852" s="3"/>
      <c r="Z852" s="3"/>
      <c r="AA852" s="3"/>
      <c r="AB852" s="3"/>
      <c r="AC852" s="3"/>
      <c r="AD852" s="3"/>
      <c r="AE852" s="3"/>
      <c r="AF852" s="3"/>
      <c r="AG852" s="3"/>
      <c r="AH852" s="3"/>
      <c r="AI852" s="3"/>
      <c r="AJ852" s="3"/>
      <c r="AK852" s="3"/>
    </row>
    <row r="853" ht="15.75" customHeight="1">
      <c r="A853" s="3"/>
      <c r="B853" s="466"/>
      <c r="C853" s="667"/>
      <c r="D853" s="667"/>
      <c r="E853" s="668"/>
      <c r="F853" s="667"/>
      <c r="G853" s="667"/>
      <c r="H853" s="667"/>
      <c r="I853" s="667"/>
      <c r="J853" s="667"/>
      <c r="K853" s="667"/>
      <c r="L853" s="667"/>
      <c r="M853" s="667"/>
      <c r="N853" s="667"/>
      <c r="O853" s="667"/>
      <c r="P853" s="667"/>
      <c r="Q853" s="667"/>
      <c r="S853" s="3"/>
      <c r="T853" s="3"/>
      <c r="U853" s="3"/>
      <c r="V853" s="3"/>
      <c r="W853" s="3"/>
      <c r="X853" s="3"/>
      <c r="Y853" s="3"/>
      <c r="Z853" s="3"/>
      <c r="AA853" s="3"/>
      <c r="AB853" s="3"/>
      <c r="AC853" s="3"/>
      <c r="AD853" s="3"/>
      <c r="AE853" s="3"/>
      <c r="AF853" s="3"/>
      <c r="AG853" s="3"/>
      <c r="AH853" s="3"/>
      <c r="AI853" s="3"/>
      <c r="AJ853" s="3"/>
      <c r="AK853" s="3"/>
    </row>
    <row r="854" ht="15.75" customHeight="1">
      <c r="A854" s="3"/>
      <c r="B854" s="466"/>
      <c r="C854" s="667"/>
      <c r="D854" s="667"/>
      <c r="E854" s="668"/>
      <c r="F854" s="667"/>
      <c r="G854" s="667"/>
      <c r="H854" s="667"/>
      <c r="I854" s="667"/>
      <c r="J854" s="667"/>
      <c r="K854" s="667"/>
      <c r="L854" s="667"/>
      <c r="M854" s="667"/>
      <c r="N854" s="667"/>
      <c r="O854" s="667"/>
      <c r="P854" s="667"/>
      <c r="Q854" s="667"/>
      <c r="S854" s="3"/>
      <c r="T854" s="3"/>
      <c r="U854" s="3"/>
      <c r="V854" s="3"/>
      <c r="W854" s="3"/>
      <c r="X854" s="3"/>
      <c r="Y854" s="3"/>
      <c r="Z854" s="3"/>
      <c r="AA854" s="3"/>
      <c r="AB854" s="3"/>
      <c r="AC854" s="3"/>
      <c r="AD854" s="3"/>
      <c r="AE854" s="3"/>
      <c r="AF854" s="3"/>
      <c r="AG854" s="3"/>
      <c r="AH854" s="3"/>
      <c r="AI854" s="3"/>
      <c r="AJ854" s="3"/>
      <c r="AK854" s="3"/>
    </row>
    <row r="855" ht="15.75" customHeight="1">
      <c r="A855" s="3"/>
      <c r="B855" s="466"/>
      <c r="C855" s="667"/>
      <c r="D855" s="667"/>
      <c r="E855" s="668"/>
      <c r="F855" s="667"/>
      <c r="G855" s="667"/>
      <c r="H855" s="667"/>
      <c r="I855" s="667"/>
      <c r="J855" s="667"/>
      <c r="K855" s="667"/>
      <c r="L855" s="667"/>
      <c r="M855" s="667"/>
      <c r="N855" s="667"/>
      <c r="O855" s="667"/>
      <c r="P855" s="667"/>
      <c r="Q855" s="667"/>
      <c r="S855" s="3"/>
      <c r="T855" s="3"/>
      <c r="U855" s="3"/>
      <c r="V855" s="3"/>
      <c r="W855" s="3"/>
      <c r="X855" s="3"/>
      <c r="Y855" s="3"/>
      <c r="Z855" s="3"/>
      <c r="AA855" s="3"/>
      <c r="AB855" s="3"/>
      <c r="AC855" s="3"/>
      <c r="AD855" s="3"/>
      <c r="AE855" s="3"/>
      <c r="AF855" s="3"/>
      <c r="AG855" s="3"/>
      <c r="AH855" s="3"/>
      <c r="AI855" s="3"/>
      <c r="AJ855" s="3"/>
      <c r="AK855" s="3"/>
    </row>
    <row r="856" ht="15.75" customHeight="1">
      <c r="A856" s="3"/>
      <c r="B856" s="466"/>
      <c r="C856" s="667"/>
      <c r="D856" s="667"/>
      <c r="E856" s="668"/>
      <c r="F856" s="667"/>
      <c r="G856" s="667"/>
      <c r="H856" s="667"/>
      <c r="I856" s="667"/>
      <c r="J856" s="667"/>
      <c r="K856" s="667"/>
      <c r="L856" s="667"/>
      <c r="M856" s="667"/>
      <c r="N856" s="667"/>
      <c r="O856" s="667"/>
      <c r="P856" s="667"/>
      <c r="Q856" s="667"/>
      <c r="S856" s="3"/>
      <c r="T856" s="3"/>
      <c r="U856" s="3"/>
      <c r="V856" s="3"/>
      <c r="W856" s="3"/>
      <c r="X856" s="3"/>
      <c r="Y856" s="3"/>
      <c r="Z856" s="3"/>
      <c r="AA856" s="3"/>
      <c r="AB856" s="3"/>
      <c r="AC856" s="3"/>
      <c r="AD856" s="3"/>
      <c r="AE856" s="3"/>
      <c r="AF856" s="3"/>
      <c r="AG856" s="3"/>
      <c r="AH856" s="3"/>
      <c r="AI856" s="3"/>
      <c r="AJ856" s="3"/>
      <c r="AK856" s="3"/>
    </row>
    <row r="857" ht="15.75" customHeight="1">
      <c r="A857" s="3"/>
      <c r="B857" s="466"/>
      <c r="C857" s="667"/>
      <c r="D857" s="667"/>
      <c r="E857" s="668"/>
      <c r="F857" s="667"/>
      <c r="G857" s="667"/>
      <c r="H857" s="667"/>
      <c r="I857" s="667"/>
      <c r="J857" s="667"/>
      <c r="K857" s="667"/>
      <c r="L857" s="667"/>
      <c r="M857" s="667"/>
      <c r="N857" s="667"/>
      <c r="O857" s="667"/>
      <c r="P857" s="667"/>
      <c r="Q857" s="667"/>
      <c r="S857" s="3"/>
      <c r="T857" s="3"/>
      <c r="U857" s="3"/>
      <c r="V857" s="3"/>
      <c r="W857" s="3"/>
      <c r="X857" s="3"/>
      <c r="Y857" s="3"/>
      <c r="Z857" s="3"/>
      <c r="AA857" s="3"/>
      <c r="AB857" s="3"/>
      <c r="AC857" s="3"/>
      <c r="AD857" s="3"/>
      <c r="AE857" s="3"/>
      <c r="AF857" s="3"/>
      <c r="AG857" s="3"/>
      <c r="AH857" s="3"/>
      <c r="AI857" s="3"/>
      <c r="AJ857" s="3"/>
      <c r="AK857" s="3"/>
    </row>
    <row r="858" ht="15.75" customHeight="1">
      <c r="A858" s="3"/>
      <c r="B858" s="466"/>
      <c r="C858" s="667"/>
      <c r="D858" s="667"/>
      <c r="E858" s="668"/>
      <c r="F858" s="667"/>
      <c r="G858" s="667"/>
      <c r="H858" s="667"/>
      <c r="I858" s="667"/>
      <c r="J858" s="667"/>
      <c r="K858" s="667"/>
      <c r="L858" s="667"/>
      <c r="M858" s="667"/>
      <c r="N858" s="667"/>
      <c r="O858" s="667"/>
      <c r="P858" s="667"/>
      <c r="Q858" s="667"/>
      <c r="S858" s="3"/>
      <c r="T858" s="3"/>
      <c r="U858" s="3"/>
      <c r="V858" s="3"/>
      <c r="W858" s="3"/>
      <c r="X858" s="3"/>
      <c r="Y858" s="3"/>
      <c r="Z858" s="3"/>
      <c r="AA858" s="3"/>
      <c r="AB858" s="3"/>
      <c r="AC858" s="3"/>
      <c r="AD858" s="3"/>
      <c r="AE858" s="3"/>
      <c r="AF858" s="3"/>
      <c r="AG858" s="3"/>
      <c r="AH858" s="3"/>
      <c r="AI858" s="3"/>
      <c r="AJ858" s="3"/>
      <c r="AK858" s="3"/>
    </row>
    <row r="859" ht="15.75" customHeight="1">
      <c r="A859" s="3"/>
      <c r="B859" s="466"/>
      <c r="C859" s="667"/>
      <c r="D859" s="667"/>
      <c r="E859" s="668"/>
      <c r="F859" s="667"/>
      <c r="G859" s="667"/>
      <c r="H859" s="667"/>
      <c r="I859" s="667"/>
      <c r="J859" s="667"/>
      <c r="K859" s="667"/>
      <c r="L859" s="667"/>
      <c r="M859" s="667"/>
      <c r="N859" s="667"/>
      <c r="O859" s="667"/>
      <c r="P859" s="667"/>
      <c r="Q859" s="667"/>
      <c r="S859" s="3"/>
      <c r="T859" s="3"/>
      <c r="U859" s="3"/>
      <c r="V859" s="3"/>
      <c r="W859" s="3"/>
      <c r="X859" s="3"/>
      <c r="Y859" s="3"/>
      <c r="Z859" s="3"/>
      <c r="AA859" s="3"/>
      <c r="AB859" s="3"/>
      <c r="AC859" s="3"/>
      <c r="AD859" s="3"/>
      <c r="AE859" s="3"/>
      <c r="AF859" s="3"/>
      <c r="AG859" s="3"/>
      <c r="AH859" s="3"/>
      <c r="AI859" s="3"/>
      <c r="AJ859" s="3"/>
      <c r="AK859" s="3"/>
    </row>
    <row r="860" ht="15.75" customHeight="1">
      <c r="A860" s="3"/>
      <c r="B860" s="466"/>
      <c r="C860" s="667"/>
      <c r="D860" s="667"/>
      <c r="E860" s="668"/>
      <c r="F860" s="667"/>
      <c r="G860" s="667"/>
      <c r="H860" s="667"/>
      <c r="I860" s="667"/>
      <c r="J860" s="667"/>
      <c r="K860" s="667"/>
      <c r="L860" s="667"/>
      <c r="M860" s="667"/>
      <c r="N860" s="667"/>
      <c r="O860" s="667"/>
      <c r="P860" s="667"/>
      <c r="Q860" s="667"/>
      <c r="S860" s="3"/>
      <c r="T860" s="3"/>
      <c r="U860" s="3"/>
      <c r="V860" s="3"/>
      <c r="W860" s="3"/>
      <c r="X860" s="3"/>
      <c r="Y860" s="3"/>
      <c r="Z860" s="3"/>
      <c r="AA860" s="3"/>
      <c r="AB860" s="3"/>
      <c r="AC860" s="3"/>
      <c r="AD860" s="3"/>
      <c r="AE860" s="3"/>
      <c r="AF860" s="3"/>
      <c r="AG860" s="3"/>
      <c r="AH860" s="3"/>
      <c r="AI860" s="3"/>
      <c r="AJ860" s="3"/>
      <c r="AK860" s="3"/>
    </row>
    <row r="861" ht="15.75" customHeight="1">
      <c r="A861" s="3"/>
      <c r="B861" s="466"/>
      <c r="C861" s="667"/>
      <c r="D861" s="667"/>
      <c r="E861" s="668"/>
      <c r="F861" s="667"/>
      <c r="G861" s="667"/>
      <c r="H861" s="667"/>
      <c r="I861" s="667"/>
      <c r="J861" s="667"/>
      <c r="K861" s="667"/>
      <c r="L861" s="667"/>
      <c r="M861" s="667"/>
      <c r="N861" s="667"/>
      <c r="O861" s="667"/>
      <c r="P861" s="667"/>
      <c r="Q861" s="667"/>
      <c r="S861" s="3"/>
      <c r="T861" s="3"/>
      <c r="U861" s="3"/>
      <c r="V861" s="3"/>
      <c r="W861" s="3"/>
      <c r="X861" s="3"/>
      <c r="Y861" s="3"/>
      <c r="Z861" s="3"/>
      <c r="AA861" s="3"/>
      <c r="AB861" s="3"/>
      <c r="AC861" s="3"/>
      <c r="AD861" s="3"/>
      <c r="AE861" s="3"/>
      <c r="AF861" s="3"/>
      <c r="AG861" s="3"/>
      <c r="AH861" s="3"/>
      <c r="AI861" s="3"/>
      <c r="AJ861" s="3"/>
      <c r="AK861" s="3"/>
    </row>
    <row r="862" ht="15.75" customHeight="1">
      <c r="A862" s="3"/>
      <c r="B862" s="466"/>
      <c r="C862" s="667"/>
      <c r="D862" s="667"/>
      <c r="E862" s="668"/>
      <c r="F862" s="667"/>
      <c r="G862" s="667"/>
      <c r="H862" s="667"/>
      <c r="I862" s="667"/>
      <c r="J862" s="667"/>
      <c r="K862" s="667"/>
      <c r="L862" s="667"/>
      <c r="M862" s="667"/>
      <c r="N862" s="667"/>
      <c r="O862" s="667"/>
      <c r="P862" s="667"/>
      <c r="Q862" s="667"/>
      <c r="S862" s="3"/>
      <c r="T862" s="3"/>
      <c r="U862" s="3"/>
      <c r="V862" s="3"/>
      <c r="W862" s="3"/>
      <c r="X862" s="3"/>
      <c r="Y862" s="3"/>
      <c r="Z862" s="3"/>
      <c r="AA862" s="3"/>
      <c r="AB862" s="3"/>
      <c r="AC862" s="3"/>
      <c r="AD862" s="3"/>
      <c r="AE862" s="3"/>
      <c r="AF862" s="3"/>
      <c r="AG862" s="3"/>
      <c r="AH862" s="3"/>
      <c r="AI862" s="3"/>
      <c r="AJ862" s="3"/>
      <c r="AK862" s="3"/>
    </row>
    <row r="863" ht="15.75" customHeight="1">
      <c r="A863" s="3"/>
      <c r="B863" s="466"/>
      <c r="C863" s="667"/>
      <c r="D863" s="667"/>
      <c r="E863" s="668"/>
      <c r="F863" s="667"/>
      <c r="G863" s="667"/>
      <c r="H863" s="667"/>
      <c r="I863" s="667"/>
      <c r="J863" s="667"/>
      <c r="K863" s="667"/>
      <c r="L863" s="667"/>
      <c r="M863" s="667"/>
      <c r="N863" s="667"/>
      <c r="O863" s="667"/>
      <c r="P863" s="667"/>
      <c r="Q863" s="667"/>
      <c r="S863" s="3"/>
      <c r="T863" s="3"/>
      <c r="U863" s="3"/>
      <c r="V863" s="3"/>
      <c r="W863" s="3"/>
      <c r="X863" s="3"/>
      <c r="Y863" s="3"/>
      <c r="Z863" s="3"/>
      <c r="AA863" s="3"/>
      <c r="AB863" s="3"/>
      <c r="AC863" s="3"/>
      <c r="AD863" s="3"/>
      <c r="AE863" s="3"/>
      <c r="AF863" s="3"/>
      <c r="AG863" s="3"/>
      <c r="AH863" s="3"/>
      <c r="AI863" s="3"/>
      <c r="AJ863" s="3"/>
      <c r="AK863" s="3"/>
    </row>
    <row r="864" ht="15.75" customHeight="1">
      <c r="A864" s="3"/>
      <c r="B864" s="466"/>
      <c r="C864" s="667"/>
      <c r="D864" s="667"/>
      <c r="E864" s="668"/>
      <c r="F864" s="667"/>
      <c r="G864" s="667"/>
      <c r="H864" s="667"/>
      <c r="I864" s="667"/>
      <c r="J864" s="667"/>
      <c r="K864" s="667"/>
      <c r="L864" s="667"/>
      <c r="M864" s="667"/>
      <c r="N864" s="667"/>
      <c r="O864" s="667"/>
      <c r="P864" s="667"/>
      <c r="Q864" s="667"/>
      <c r="S864" s="3"/>
      <c r="T864" s="3"/>
      <c r="U864" s="3"/>
      <c r="V864" s="3"/>
      <c r="W864" s="3"/>
      <c r="X864" s="3"/>
      <c r="Y864" s="3"/>
      <c r="Z864" s="3"/>
      <c r="AA864" s="3"/>
      <c r="AB864" s="3"/>
      <c r="AC864" s="3"/>
      <c r="AD864" s="3"/>
      <c r="AE864" s="3"/>
      <c r="AF864" s="3"/>
      <c r="AG864" s="3"/>
      <c r="AH864" s="3"/>
      <c r="AI864" s="3"/>
      <c r="AJ864" s="3"/>
      <c r="AK864" s="3"/>
    </row>
    <row r="865" ht="15.75" customHeight="1">
      <c r="A865" s="3"/>
      <c r="B865" s="466"/>
      <c r="C865" s="667"/>
      <c r="D865" s="667"/>
      <c r="E865" s="668"/>
      <c r="F865" s="667"/>
      <c r="G865" s="667"/>
      <c r="H865" s="667"/>
      <c r="I865" s="667"/>
      <c r="J865" s="667"/>
      <c r="K865" s="667"/>
      <c r="L865" s="667"/>
      <c r="M865" s="667"/>
      <c r="N865" s="667"/>
      <c r="O865" s="667"/>
      <c r="P865" s="667"/>
      <c r="Q865" s="667"/>
      <c r="S865" s="3"/>
      <c r="T865" s="3"/>
      <c r="U865" s="3"/>
      <c r="V865" s="3"/>
      <c r="W865" s="3"/>
      <c r="X865" s="3"/>
      <c r="Y865" s="3"/>
      <c r="Z865" s="3"/>
      <c r="AA865" s="3"/>
      <c r="AB865" s="3"/>
      <c r="AC865" s="3"/>
      <c r="AD865" s="3"/>
      <c r="AE865" s="3"/>
      <c r="AF865" s="3"/>
      <c r="AG865" s="3"/>
      <c r="AH865" s="3"/>
      <c r="AI865" s="3"/>
      <c r="AJ865" s="3"/>
      <c r="AK865" s="3"/>
    </row>
    <row r="866" ht="15.75" customHeight="1">
      <c r="A866" s="3"/>
      <c r="B866" s="466"/>
      <c r="C866" s="667"/>
      <c r="D866" s="667"/>
      <c r="E866" s="668"/>
      <c r="F866" s="667"/>
      <c r="G866" s="667"/>
      <c r="H866" s="667"/>
      <c r="I866" s="667"/>
      <c r="J866" s="667"/>
      <c r="K866" s="667"/>
      <c r="L866" s="667"/>
      <c r="M866" s="667"/>
      <c r="N866" s="667"/>
      <c r="O866" s="667"/>
      <c r="P866" s="667"/>
      <c r="Q866" s="667"/>
      <c r="S866" s="3"/>
      <c r="T866" s="3"/>
      <c r="U866" s="3"/>
      <c r="V866" s="3"/>
      <c r="W866" s="3"/>
      <c r="X866" s="3"/>
      <c r="Y866" s="3"/>
      <c r="Z866" s="3"/>
      <c r="AA866" s="3"/>
      <c r="AB866" s="3"/>
      <c r="AC866" s="3"/>
      <c r="AD866" s="3"/>
      <c r="AE866" s="3"/>
      <c r="AF866" s="3"/>
      <c r="AG866" s="3"/>
      <c r="AH866" s="3"/>
      <c r="AI866" s="3"/>
      <c r="AJ866" s="3"/>
      <c r="AK866" s="3"/>
    </row>
    <row r="867" ht="15.75" customHeight="1">
      <c r="A867" s="3"/>
      <c r="B867" s="466"/>
      <c r="C867" s="667"/>
      <c r="D867" s="667"/>
      <c r="E867" s="668"/>
      <c r="F867" s="667"/>
      <c r="G867" s="667"/>
      <c r="H867" s="667"/>
      <c r="I867" s="667"/>
      <c r="J867" s="667"/>
      <c r="K867" s="667"/>
      <c r="L867" s="667"/>
      <c r="M867" s="667"/>
      <c r="N867" s="667"/>
      <c r="O867" s="667"/>
      <c r="P867" s="667"/>
      <c r="Q867" s="667"/>
      <c r="S867" s="3"/>
      <c r="T867" s="3"/>
      <c r="U867" s="3"/>
      <c r="V867" s="3"/>
      <c r="W867" s="3"/>
      <c r="X867" s="3"/>
      <c r="Y867" s="3"/>
      <c r="Z867" s="3"/>
      <c r="AA867" s="3"/>
      <c r="AB867" s="3"/>
      <c r="AC867" s="3"/>
      <c r="AD867" s="3"/>
      <c r="AE867" s="3"/>
      <c r="AF867" s="3"/>
      <c r="AG867" s="3"/>
      <c r="AH867" s="3"/>
      <c r="AI867" s="3"/>
      <c r="AJ867" s="3"/>
      <c r="AK867" s="3"/>
    </row>
    <row r="868" ht="15.75" customHeight="1">
      <c r="A868" s="3"/>
      <c r="B868" s="466"/>
      <c r="C868" s="667"/>
      <c r="D868" s="667"/>
      <c r="E868" s="668"/>
      <c r="F868" s="667"/>
      <c r="G868" s="667"/>
      <c r="H868" s="667"/>
      <c r="I868" s="667"/>
      <c r="J868" s="667"/>
      <c r="K868" s="667"/>
      <c r="L868" s="667"/>
      <c r="M868" s="667"/>
      <c r="N868" s="667"/>
      <c r="O868" s="667"/>
      <c r="P868" s="667"/>
      <c r="Q868" s="667"/>
      <c r="S868" s="3"/>
      <c r="T868" s="3"/>
      <c r="U868" s="3"/>
      <c r="V868" s="3"/>
      <c r="W868" s="3"/>
      <c r="X868" s="3"/>
      <c r="Y868" s="3"/>
      <c r="Z868" s="3"/>
      <c r="AA868" s="3"/>
      <c r="AB868" s="3"/>
      <c r="AC868" s="3"/>
      <c r="AD868" s="3"/>
      <c r="AE868" s="3"/>
      <c r="AF868" s="3"/>
      <c r="AG868" s="3"/>
      <c r="AH868" s="3"/>
      <c r="AI868" s="3"/>
      <c r="AJ868" s="3"/>
      <c r="AK868" s="3"/>
    </row>
    <row r="869" ht="15.75" customHeight="1">
      <c r="A869" s="3"/>
      <c r="B869" s="466"/>
      <c r="C869" s="667"/>
      <c r="D869" s="667"/>
      <c r="E869" s="668"/>
      <c r="F869" s="667"/>
      <c r="G869" s="667"/>
      <c r="H869" s="667"/>
      <c r="I869" s="667"/>
      <c r="J869" s="667"/>
      <c r="K869" s="667"/>
      <c r="L869" s="667"/>
      <c r="M869" s="667"/>
      <c r="N869" s="667"/>
      <c r="O869" s="667"/>
      <c r="P869" s="667"/>
      <c r="Q869" s="667"/>
      <c r="S869" s="3"/>
      <c r="T869" s="3"/>
      <c r="U869" s="3"/>
      <c r="V869" s="3"/>
      <c r="W869" s="3"/>
      <c r="X869" s="3"/>
      <c r="Y869" s="3"/>
      <c r="Z869" s="3"/>
      <c r="AA869" s="3"/>
      <c r="AB869" s="3"/>
      <c r="AC869" s="3"/>
      <c r="AD869" s="3"/>
      <c r="AE869" s="3"/>
      <c r="AF869" s="3"/>
      <c r="AG869" s="3"/>
      <c r="AH869" s="3"/>
      <c r="AI869" s="3"/>
      <c r="AJ869" s="3"/>
      <c r="AK869" s="3"/>
    </row>
    <row r="870" ht="15.75" customHeight="1">
      <c r="A870" s="3"/>
      <c r="B870" s="466"/>
      <c r="C870" s="667"/>
      <c r="D870" s="667"/>
      <c r="E870" s="668"/>
      <c r="F870" s="667"/>
      <c r="G870" s="667"/>
      <c r="H870" s="667"/>
      <c r="I870" s="667"/>
      <c r="J870" s="667"/>
      <c r="K870" s="667"/>
      <c r="L870" s="667"/>
      <c r="M870" s="667"/>
      <c r="N870" s="667"/>
      <c r="O870" s="667"/>
      <c r="P870" s="667"/>
      <c r="Q870" s="667"/>
      <c r="S870" s="3"/>
      <c r="T870" s="3"/>
      <c r="U870" s="3"/>
      <c r="V870" s="3"/>
      <c r="W870" s="3"/>
      <c r="X870" s="3"/>
      <c r="Y870" s="3"/>
      <c r="Z870" s="3"/>
      <c r="AA870" s="3"/>
      <c r="AB870" s="3"/>
      <c r="AC870" s="3"/>
      <c r="AD870" s="3"/>
      <c r="AE870" s="3"/>
      <c r="AF870" s="3"/>
      <c r="AG870" s="3"/>
      <c r="AH870" s="3"/>
      <c r="AI870" s="3"/>
      <c r="AJ870" s="3"/>
      <c r="AK870" s="3"/>
    </row>
    <row r="871" ht="15.75" customHeight="1">
      <c r="A871" s="3"/>
      <c r="B871" s="466"/>
      <c r="C871" s="667"/>
      <c r="D871" s="667"/>
      <c r="E871" s="668"/>
      <c r="F871" s="667"/>
      <c r="G871" s="667"/>
      <c r="H871" s="667"/>
      <c r="I871" s="667"/>
      <c r="J871" s="667"/>
      <c r="K871" s="667"/>
      <c r="L871" s="667"/>
      <c r="M871" s="667"/>
      <c r="N871" s="667"/>
      <c r="O871" s="667"/>
      <c r="P871" s="667"/>
      <c r="Q871" s="667"/>
      <c r="S871" s="3"/>
      <c r="T871" s="3"/>
      <c r="U871" s="3"/>
      <c r="V871" s="3"/>
      <c r="W871" s="3"/>
      <c r="X871" s="3"/>
      <c r="Y871" s="3"/>
      <c r="Z871" s="3"/>
      <c r="AA871" s="3"/>
      <c r="AB871" s="3"/>
      <c r="AC871" s="3"/>
      <c r="AD871" s="3"/>
      <c r="AE871" s="3"/>
      <c r="AF871" s="3"/>
      <c r="AG871" s="3"/>
      <c r="AH871" s="3"/>
      <c r="AI871" s="3"/>
      <c r="AJ871" s="3"/>
      <c r="AK871" s="3"/>
    </row>
    <row r="872" ht="15.75" customHeight="1">
      <c r="A872" s="3"/>
      <c r="B872" s="466"/>
      <c r="C872" s="667"/>
      <c r="D872" s="667"/>
      <c r="E872" s="668"/>
      <c r="F872" s="667"/>
      <c r="G872" s="667"/>
      <c r="H872" s="667"/>
      <c r="I872" s="667"/>
      <c r="J872" s="667"/>
      <c r="K872" s="667"/>
      <c r="L872" s="667"/>
      <c r="M872" s="667"/>
      <c r="N872" s="667"/>
      <c r="O872" s="667"/>
      <c r="P872" s="667"/>
      <c r="Q872" s="667"/>
      <c r="S872" s="3"/>
      <c r="T872" s="3"/>
      <c r="U872" s="3"/>
      <c r="V872" s="3"/>
      <c r="W872" s="3"/>
      <c r="X872" s="3"/>
      <c r="Y872" s="3"/>
      <c r="Z872" s="3"/>
      <c r="AA872" s="3"/>
      <c r="AB872" s="3"/>
      <c r="AC872" s="3"/>
      <c r="AD872" s="3"/>
      <c r="AE872" s="3"/>
      <c r="AF872" s="3"/>
      <c r="AG872" s="3"/>
      <c r="AH872" s="3"/>
      <c r="AI872" s="3"/>
      <c r="AJ872" s="3"/>
      <c r="AK872" s="3"/>
    </row>
    <row r="873" ht="15.75" customHeight="1">
      <c r="A873" s="3"/>
      <c r="B873" s="466"/>
      <c r="C873" s="667"/>
      <c r="D873" s="667"/>
      <c r="E873" s="668"/>
      <c r="F873" s="667"/>
      <c r="G873" s="667"/>
      <c r="H873" s="667"/>
      <c r="I873" s="667"/>
      <c r="J873" s="667"/>
      <c r="K873" s="667"/>
      <c r="L873" s="667"/>
      <c r="M873" s="667"/>
      <c r="N873" s="667"/>
      <c r="O873" s="667"/>
      <c r="P873" s="667"/>
      <c r="Q873" s="667"/>
      <c r="S873" s="3"/>
      <c r="T873" s="3"/>
      <c r="U873" s="3"/>
      <c r="V873" s="3"/>
      <c r="W873" s="3"/>
      <c r="X873" s="3"/>
      <c r="Y873" s="3"/>
      <c r="Z873" s="3"/>
      <c r="AA873" s="3"/>
      <c r="AB873" s="3"/>
      <c r="AC873" s="3"/>
      <c r="AD873" s="3"/>
      <c r="AE873" s="3"/>
      <c r="AF873" s="3"/>
      <c r="AG873" s="3"/>
      <c r="AH873" s="3"/>
      <c r="AI873" s="3"/>
      <c r="AJ873" s="3"/>
      <c r="AK873" s="3"/>
    </row>
    <row r="874" ht="15.75" customHeight="1">
      <c r="A874" s="3"/>
      <c r="B874" s="466"/>
      <c r="C874" s="667"/>
      <c r="D874" s="667"/>
      <c r="E874" s="668"/>
      <c r="F874" s="667"/>
      <c r="G874" s="667"/>
      <c r="H874" s="667"/>
      <c r="I874" s="667"/>
      <c r="J874" s="667"/>
      <c r="K874" s="667"/>
      <c r="L874" s="667"/>
      <c r="M874" s="667"/>
      <c r="N874" s="667"/>
      <c r="O874" s="667"/>
      <c r="P874" s="667"/>
      <c r="Q874" s="667"/>
      <c r="S874" s="3"/>
      <c r="T874" s="3"/>
      <c r="U874" s="3"/>
      <c r="V874" s="3"/>
      <c r="W874" s="3"/>
      <c r="X874" s="3"/>
      <c r="Y874" s="3"/>
      <c r="Z874" s="3"/>
      <c r="AA874" s="3"/>
      <c r="AB874" s="3"/>
      <c r="AC874" s="3"/>
      <c r="AD874" s="3"/>
      <c r="AE874" s="3"/>
      <c r="AF874" s="3"/>
      <c r="AG874" s="3"/>
      <c r="AH874" s="3"/>
      <c r="AI874" s="3"/>
      <c r="AJ874" s="3"/>
      <c r="AK874" s="3"/>
    </row>
    <row r="875" ht="15.75" customHeight="1">
      <c r="A875" s="3"/>
      <c r="B875" s="466"/>
      <c r="C875" s="667"/>
      <c r="D875" s="667"/>
      <c r="E875" s="668"/>
      <c r="F875" s="667"/>
      <c r="G875" s="667"/>
      <c r="H875" s="667"/>
      <c r="I875" s="667"/>
      <c r="J875" s="667"/>
      <c r="K875" s="667"/>
      <c r="L875" s="667"/>
      <c r="M875" s="667"/>
      <c r="N875" s="667"/>
      <c r="O875" s="667"/>
      <c r="P875" s="667"/>
      <c r="Q875" s="667"/>
      <c r="S875" s="3"/>
      <c r="T875" s="3"/>
      <c r="U875" s="3"/>
      <c r="V875" s="3"/>
      <c r="W875" s="3"/>
      <c r="X875" s="3"/>
      <c r="Y875" s="3"/>
      <c r="Z875" s="3"/>
      <c r="AA875" s="3"/>
      <c r="AB875" s="3"/>
      <c r="AC875" s="3"/>
      <c r="AD875" s="3"/>
      <c r="AE875" s="3"/>
      <c r="AF875" s="3"/>
      <c r="AG875" s="3"/>
      <c r="AH875" s="3"/>
      <c r="AI875" s="3"/>
      <c r="AJ875" s="3"/>
      <c r="AK875" s="3"/>
    </row>
    <row r="876" ht="15.75" customHeight="1">
      <c r="A876" s="3"/>
      <c r="B876" s="466"/>
      <c r="C876" s="667"/>
      <c r="D876" s="667"/>
      <c r="E876" s="668"/>
      <c r="F876" s="667"/>
      <c r="G876" s="667"/>
      <c r="H876" s="667"/>
      <c r="I876" s="667"/>
      <c r="J876" s="667"/>
      <c r="K876" s="667"/>
      <c r="L876" s="667"/>
      <c r="M876" s="667"/>
      <c r="N876" s="667"/>
      <c r="O876" s="667"/>
      <c r="P876" s="667"/>
      <c r="Q876" s="667"/>
      <c r="S876" s="3"/>
      <c r="T876" s="3"/>
      <c r="U876" s="3"/>
      <c r="V876" s="3"/>
      <c r="W876" s="3"/>
      <c r="X876" s="3"/>
      <c r="Y876" s="3"/>
      <c r="Z876" s="3"/>
      <c r="AA876" s="3"/>
      <c r="AB876" s="3"/>
      <c r="AC876" s="3"/>
      <c r="AD876" s="3"/>
      <c r="AE876" s="3"/>
      <c r="AF876" s="3"/>
      <c r="AG876" s="3"/>
      <c r="AH876" s="3"/>
      <c r="AI876" s="3"/>
      <c r="AJ876" s="3"/>
      <c r="AK876" s="3"/>
    </row>
    <row r="877" ht="15.75" customHeight="1">
      <c r="A877" s="3"/>
      <c r="B877" s="466"/>
      <c r="C877" s="667"/>
      <c r="D877" s="667"/>
      <c r="E877" s="668"/>
      <c r="F877" s="667"/>
      <c r="G877" s="667"/>
      <c r="H877" s="667"/>
      <c r="I877" s="667"/>
      <c r="J877" s="667"/>
      <c r="K877" s="667"/>
      <c r="L877" s="667"/>
      <c r="M877" s="667"/>
      <c r="N877" s="667"/>
      <c r="O877" s="667"/>
      <c r="P877" s="667"/>
      <c r="Q877" s="667"/>
      <c r="S877" s="3"/>
      <c r="T877" s="3"/>
      <c r="U877" s="3"/>
      <c r="V877" s="3"/>
      <c r="W877" s="3"/>
      <c r="X877" s="3"/>
      <c r="Y877" s="3"/>
      <c r="Z877" s="3"/>
      <c r="AA877" s="3"/>
      <c r="AB877" s="3"/>
      <c r="AC877" s="3"/>
      <c r="AD877" s="3"/>
      <c r="AE877" s="3"/>
      <c r="AF877" s="3"/>
      <c r="AG877" s="3"/>
      <c r="AH877" s="3"/>
      <c r="AI877" s="3"/>
      <c r="AJ877" s="3"/>
      <c r="AK877" s="3"/>
    </row>
    <row r="878" ht="15.75" customHeight="1">
      <c r="A878" s="3"/>
      <c r="B878" s="466"/>
      <c r="C878" s="667"/>
      <c r="D878" s="667"/>
      <c r="E878" s="668"/>
      <c r="F878" s="667"/>
      <c r="G878" s="667"/>
      <c r="H878" s="667"/>
      <c r="I878" s="667"/>
      <c r="J878" s="667"/>
      <c r="K878" s="667"/>
      <c r="L878" s="667"/>
      <c r="M878" s="667"/>
      <c r="N878" s="667"/>
      <c r="O878" s="667"/>
      <c r="P878" s="667"/>
      <c r="Q878" s="667"/>
      <c r="S878" s="3"/>
      <c r="T878" s="3"/>
      <c r="U878" s="3"/>
      <c r="V878" s="3"/>
      <c r="W878" s="3"/>
      <c r="X878" s="3"/>
      <c r="Y878" s="3"/>
      <c r="Z878" s="3"/>
      <c r="AA878" s="3"/>
      <c r="AB878" s="3"/>
      <c r="AC878" s="3"/>
      <c r="AD878" s="3"/>
      <c r="AE878" s="3"/>
      <c r="AF878" s="3"/>
      <c r="AG878" s="3"/>
      <c r="AH878" s="3"/>
      <c r="AI878" s="3"/>
      <c r="AJ878" s="3"/>
      <c r="AK878" s="3"/>
    </row>
    <row r="879" ht="15.75" customHeight="1">
      <c r="A879" s="3"/>
      <c r="B879" s="466"/>
      <c r="C879" s="667"/>
      <c r="D879" s="667"/>
      <c r="E879" s="668"/>
      <c r="F879" s="667"/>
      <c r="G879" s="667"/>
      <c r="H879" s="667"/>
      <c r="I879" s="667"/>
      <c r="J879" s="667"/>
      <c r="K879" s="667"/>
      <c r="L879" s="667"/>
      <c r="M879" s="667"/>
      <c r="N879" s="667"/>
      <c r="O879" s="667"/>
      <c r="P879" s="667"/>
      <c r="Q879" s="667"/>
      <c r="S879" s="3"/>
      <c r="T879" s="3"/>
      <c r="U879" s="3"/>
      <c r="V879" s="3"/>
      <c r="W879" s="3"/>
      <c r="X879" s="3"/>
      <c r="Y879" s="3"/>
      <c r="Z879" s="3"/>
      <c r="AA879" s="3"/>
      <c r="AB879" s="3"/>
      <c r="AC879" s="3"/>
      <c r="AD879" s="3"/>
      <c r="AE879" s="3"/>
      <c r="AF879" s="3"/>
      <c r="AG879" s="3"/>
      <c r="AH879" s="3"/>
      <c r="AI879" s="3"/>
      <c r="AJ879" s="3"/>
      <c r="AK879" s="3"/>
    </row>
    <row r="880" ht="15.75" customHeight="1">
      <c r="A880" s="3"/>
      <c r="B880" s="466"/>
      <c r="C880" s="667"/>
      <c r="D880" s="667"/>
      <c r="E880" s="668"/>
      <c r="F880" s="667"/>
      <c r="G880" s="667"/>
      <c r="H880" s="667"/>
      <c r="I880" s="667"/>
      <c r="J880" s="667"/>
      <c r="K880" s="667"/>
      <c r="L880" s="667"/>
      <c r="M880" s="667"/>
      <c r="N880" s="667"/>
      <c r="O880" s="667"/>
      <c r="P880" s="667"/>
      <c r="Q880" s="667"/>
      <c r="S880" s="3"/>
      <c r="T880" s="3"/>
      <c r="U880" s="3"/>
      <c r="V880" s="3"/>
      <c r="W880" s="3"/>
      <c r="X880" s="3"/>
      <c r="Y880" s="3"/>
      <c r="Z880" s="3"/>
      <c r="AA880" s="3"/>
      <c r="AB880" s="3"/>
      <c r="AC880" s="3"/>
      <c r="AD880" s="3"/>
      <c r="AE880" s="3"/>
      <c r="AF880" s="3"/>
      <c r="AG880" s="3"/>
      <c r="AH880" s="3"/>
      <c r="AI880" s="3"/>
      <c r="AJ880" s="3"/>
      <c r="AK880" s="3"/>
    </row>
    <row r="881" ht="15.75" customHeight="1">
      <c r="A881" s="3"/>
      <c r="B881" s="466"/>
      <c r="C881" s="667"/>
      <c r="D881" s="667"/>
      <c r="E881" s="668"/>
      <c r="F881" s="667"/>
      <c r="G881" s="667"/>
      <c r="H881" s="667"/>
      <c r="I881" s="667"/>
      <c r="J881" s="667"/>
      <c r="K881" s="667"/>
      <c r="L881" s="667"/>
      <c r="M881" s="667"/>
      <c r="N881" s="667"/>
      <c r="O881" s="667"/>
      <c r="P881" s="667"/>
      <c r="Q881" s="667"/>
      <c r="S881" s="3"/>
      <c r="T881" s="3"/>
      <c r="U881" s="3"/>
      <c r="V881" s="3"/>
      <c r="W881" s="3"/>
      <c r="X881" s="3"/>
      <c r="Y881" s="3"/>
      <c r="Z881" s="3"/>
      <c r="AA881" s="3"/>
      <c r="AB881" s="3"/>
      <c r="AC881" s="3"/>
      <c r="AD881" s="3"/>
      <c r="AE881" s="3"/>
      <c r="AF881" s="3"/>
      <c r="AG881" s="3"/>
      <c r="AH881" s="3"/>
      <c r="AI881" s="3"/>
      <c r="AJ881" s="3"/>
      <c r="AK881" s="3"/>
    </row>
    <row r="882" ht="15.75" customHeight="1">
      <c r="A882" s="3"/>
      <c r="B882" s="466"/>
      <c r="C882" s="667"/>
      <c r="D882" s="667"/>
      <c r="E882" s="668"/>
      <c r="F882" s="667"/>
      <c r="G882" s="667"/>
      <c r="H882" s="667"/>
      <c r="I882" s="667"/>
      <c r="J882" s="667"/>
      <c r="K882" s="667"/>
      <c r="L882" s="667"/>
      <c r="M882" s="667"/>
      <c r="N882" s="667"/>
      <c r="O882" s="667"/>
      <c r="P882" s="667"/>
      <c r="Q882" s="667"/>
      <c r="S882" s="3"/>
      <c r="T882" s="3"/>
      <c r="U882" s="3"/>
      <c r="V882" s="3"/>
      <c r="W882" s="3"/>
      <c r="X882" s="3"/>
      <c r="Y882" s="3"/>
      <c r="Z882" s="3"/>
      <c r="AA882" s="3"/>
      <c r="AB882" s="3"/>
      <c r="AC882" s="3"/>
      <c r="AD882" s="3"/>
      <c r="AE882" s="3"/>
      <c r="AF882" s="3"/>
      <c r="AG882" s="3"/>
      <c r="AH882" s="3"/>
      <c r="AI882" s="3"/>
      <c r="AJ882" s="3"/>
      <c r="AK882" s="3"/>
    </row>
    <row r="883" ht="15.75" customHeight="1">
      <c r="A883" s="3"/>
      <c r="B883" s="466"/>
      <c r="C883" s="667"/>
      <c r="D883" s="667"/>
      <c r="E883" s="668"/>
      <c r="F883" s="667"/>
      <c r="G883" s="667"/>
      <c r="H883" s="667"/>
      <c r="I883" s="667"/>
      <c r="J883" s="667"/>
      <c r="K883" s="667"/>
      <c r="L883" s="667"/>
      <c r="M883" s="667"/>
      <c r="N883" s="667"/>
      <c r="O883" s="667"/>
      <c r="P883" s="667"/>
      <c r="Q883" s="667"/>
      <c r="S883" s="3"/>
      <c r="T883" s="3"/>
      <c r="U883" s="3"/>
      <c r="V883" s="3"/>
      <c r="W883" s="3"/>
      <c r="X883" s="3"/>
      <c r="Y883" s="3"/>
      <c r="Z883" s="3"/>
      <c r="AA883" s="3"/>
      <c r="AB883" s="3"/>
      <c r="AC883" s="3"/>
      <c r="AD883" s="3"/>
      <c r="AE883" s="3"/>
      <c r="AF883" s="3"/>
      <c r="AG883" s="3"/>
      <c r="AH883" s="3"/>
      <c r="AI883" s="3"/>
      <c r="AJ883" s="3"/>
      <c r="AK883" s="3"/>
    </row>
    <row r="884" ht="15.75" customHeight="1">
      <c r="A884" s="3"/>
      <c r="B884" s="466"/>
      <c r="C884" s="667"/>
      <c r="D884" s="667"/>
      <c r="E884" s="668"/>
      <c r="F884" s="667"/>
      <c r="G884" s="667"/>
      <c r="H884" s="667"/>
      <c r="I884" s="667"/>
      <c r="J884" s="667"/>
      <c r="K884" s="667"/>
      <c r="L884" s="667"/>
      <c r="M884" s="667"/>
      <c r="N884" s="667"/>
      <c r="O884" s="667"/>
      <c r="P884" s="667"/>
      <c r="Q884" s="667"/>
      <c r="S884" s="3"/>
      <c r="T884" s="3"/>
      <c r="U884" s="3"/>
      <c r="V884" s="3"/>
      <c r="W884" s="3"/>
      <c r="X884" s="3"/>
      <c r="Y884" s="3"/>
      <c r="Z884" s="3"/>
      <c r="AA884" s="3"/>
      <c r="AB884" s="3"/>
      <c r="AC884" s="3"/>
      <c r="AD884" s="3"/>
      <c r="AE884" s="3"/>
      <c r="AF884" s="3"/>
      <c r="AG884" s="3"/>
      <c r="AH884" s="3"/>
      <c r="AI884" s="3"/>
      <c r="AJ884" s="3"/>
      <c r="AK884" s="3"/>
    </row>
    <row r="885" ht="15.75" customHeight="1">
      <c r="A885" s="3"/>
      <c r="B885" s="466"/>
      <c r="C885" s="667"/>
      <c r="D885" s="667"/>
      <c r="E885" s="668"/>
      <c r="F885" s="667"/>
      <c r="G885" s="667"/>
      <c r="H885" s="667"/>
      <c r="I885" s="667"/>
      <c r="J885" s="667"/>
      <c r="K885" s="667"/>
      <c r="L885" s="667"/>
      <c r="M885" s="667"/>
      <c r="N885" s="667"/>
      <c r="O885" s="667"/>
      <c r="P885" s="667"/>
      <c r="Q885" s="667"/>
      <c r="S885" s="3"/>
      <c r="T885" s="3"/>
      <c r="U885" s="3"/>
      <c r="V885" s="3"/>
      <c r="W885" s="3"/>
      <c r="X885" s="3"/>
      <c r="Y885" s="3"/>
      <c r="Z885" s="3"/>
      <c r="AA885" s="3"/>
      <c r="AB885" s="3"/>
      <c r="AC885" s="3"/>
      <c r="AD885" s="3"/>
      <c r="AE885" s="3"/>
      <c r="AF885" s="3"/>
      <c r="AG885" s="3"/>
      <c r="AH885" s="3"/>
      <c r="AI885" s="3"/>
      <c r="AJ885" s="3"/>
      <c r="AK885" s="3"/>
    </row>
    <row r="886" ht="15.75" customHeight="1">
      <c r="A886" s="3"/>
      <c r="B886" s="466"/>
      <c r="C886" s="667"/>
      <c r="D886" s="667"/>
      <c r="E886" s="668"/>
      <c r="F886" s="667"/>
      <c r="G886" s="667"/>
      <c r="H886" s="667"/>
      <c r="I886" s="667"/>
      <c r="J886" s="667"/>
      <c r="K886" s="667"/>
      <c r="L886" s="667"/>
      <c r="M886" s="667"/>
      <c r="N886" s="667"/>
      <c r="O886" s="667"/>
      <c r="P886" s="667"/>
      <c r="Q886" s="667"/>
      <c r="S886" s="3"/>
      <c r="T886" s="3"/>
      <c r="U886" s="3"/>
      <c r="V886" s="3"/>
      <c r="W886" s="3"/>
      <c r="X886" s="3"/>
      <c r="Y886" s="3"/>
      <c r="Z886" s="3"/>
      <c r="AA886" s="3"/>
      <c r="AB886" s="3"/>
      <c r="AC886" s="3"/>
      <c r="AD886" s="3"/>
      <c r="AE886" s="3"/>
      <c r="AF886" s="3"/>
      <c r="AG886" s="3"/>
      <c r="AH886" s="3"/>
      <c r="AI886" s="3"/>
      <c r="AJ886" s="3"/>
      <c r="AK886" s="3"/>
    </row>
    <row r="887" ht="15.75" customHeight="1">
      <c r="A887" s="3"/>
      <c r="B887" s="466"/>
      <c r="C887" s="667"/>
      <c r="D887" s="667"/>
      <c r="E887" s="668"/>
      <c r="F887" s="667"/>
      <c r="G887" s="667"/>
      <c r="H887" s="667"/>
      <c r="I887" s="667"/>
      <c r="J887" s="667"/>
      <c r="K887" s="667"/>
      <c r="L887" s="667"/>
      <c r="M887" s="667"/>
      <c r="N887" s="667"/>
      <c r="O887" s="667"/>
      <c r="P887" s="667"/>
      <c r="Q887" s="667"/>
      <c r="S887" s="3"/>
      <c r="T887" s="3"/>
      <c r="U887" s="3"/>
      <c r="V887" s="3"/>
      <c r="W887" s="3"/>
      <c r="X887" s="3"/>
      <c r="Y887" s="3"/>
      <c r="Z887" s="3"/>
      <c r="AA887" s="3"/>
      <c r="AB887" s="3"/>
      <c r="AC887" s="3"/>
      <c r="AD887" s="3"/>
      <c r="AE887" s="3"/>
      <c r="AF887" s="3"/>
      <c r="AG887" s="3"/>
      <c r="AH887" s="3"/>
      <c r="AI887" s="3"/>
      <c r="AJ887" s="3"/>
      <c r="AK887" s="3"/>
    </row>
    <row r="888" ht="15.75" customHeight="1">
      <c r="A888" s="3"/>
      <c r="B888" s="466"/>
      <c r="C888" s="667"/>
      <c r="D888" s="667"/>
      <c r="E888" s="668"/>
      <c r="F888" s="667"/>
      <c r="G888" s="667"/>
      <c r="H888" s="667"/>
      <c r="I888" s="667"/>
      <c r="J888" s="667"/>
      <c r="K888" s="667"/>
      <c r="L888" s="667"/>
      <c r="M888" s="667"/>
      <c r="N888" s="667"/>
      <c r="O888" s="667"/>
      <c r="P888" s="667"/>
      <c r="Q888" s="667"/>
      <c r="S888" s="3"/>
      <c r="T888" s="3"/>
      <c r="U888" s="3"/>
      <c r="V888" s="3"/>
      <c r="W888" s="3"/>
      <c r="X888" s="3"/>
      <c r="Y888" s="3"/>
      <c r="Z888" s="3"/>
      <c r="AA888" s="3"/>
      <c r="AB888" s="3"/>
      <c r="AC888" s="3"/>
      <c r="AD888" s="3"/>
      <c r="AE888" s="3"/>
      <c r="AF888" s="3"/>
      <c r="AG888" s="3"/>
      <c r="AH888" s="3"/>
      <c r="AI888" s="3"/>
      <c r="AJ888" s="3"/>
      <c r="AK888" s="3"/>
    </row>
    <row r="889" ht="15.75" customHeight="1">
      <c r="A889" s="3"/>
      <c r="B889" s="466"/>
      <c r="C889" s="667"/>
      <c r="D889" s="667"/>
      <c r="E889" s="668"/>
      <c r="F889" s="667"/>
      <c r="G889" s="667"/>
      <c r="H889" s="667"/>
      <c r="I889" s="667"/>
      <c r="J889" s="667"/>
      <c r="K889" s="667"/>
      <c r="L889" s="667"/>
      <c r="M889" s="667"/>
      <c r="N889" s="667"/>
      <c r="O889" s="667"/>
      <c r="P889" s="667"/>
      <c r="Q889" s="667"/>
      <c r="S889" s="3"/>
      <c r="T889" s="3"/>
      <c r="U889" s="3"/>
      <c r="V889" s="3"/>
      <c r="W889" s="3"/>
      <c r="X889" s="3"/>
      <c r="Y889" s="3"/>
      <c r="Z889" s="3"/>
      <c r="AA889" s="3"/>
      <c r="AB889" s="3"/>
      <c r="AC889" s="3"/>
      <c r="AD889" s="3"/>
      <c r="AE889" s="3"/>
      <c r="AF889" s="3"/>
      <c r="AG889" s="3"/>
      <c r="AH889" s="3"/>
      <c r="AI889" s="3"/>
      <c r="AJ889" s="3"/>
      <c r="AK889" s="3"/>
    </row>
    <row r="890" ht="15.75" customHeight="1">
      <c r="A890" s="3"/>
      <c r="B890" s="466"/>
      <c r="C890" s="667"/>
      <c r="D890" s="667"/>
      <c r="E890" s="668"/>
      <c r="F890" s="667"/>
      <c r="G890" s="667"/>
      <c r="H890" s="667"/>
      <c r="I890" s="667"/>
      <c r="J890" s="667"/>
      <c r="K890" s="667"/>
      <c r="L890" s="667"/>
      <c r="M890" s="667"/>
      <c r="N890" s="667"/>
      <c r="O890" s="667"/>
      <c r="P890" s="667"/>
      <c r="Q890" s="667"/>
      <c r="S890" s="3"/>
      <c r="T890" s="3"/>
      <c r="U890" s="3"/>
      <c r="V890" s="3"/>
      <c r="W890" s="3"/>
      <c r="X890" s="3"/>
      <c r="Y890" s="3"/>
      <c r="Z890" s="3"/>
      <c r="AA890" s="3"/>
      <c r="AB890" s="3"/>
      <c r="AC890" s="3"/>
      <c r="AD890" s="3"/>
      <c r="AE890" s="3"/>
      <c r="AF890" s="3"/>
      <c r="AG890" s="3"/>
      <c r="AH890" s="3"/>
      <c r="AI890" s="3"/>
      <c r="AJ890" s="3"/>
      <c r="AK890" s="3"/>
    </row>
    <row r="891" ht="15.75" customHeight="1">
      <c r="A891" s="3"/>
      <c r="B891" s="466"/>
      <c r="C891" s="667"/>
      <c r="D891" s="667"/>
      <c r="E891" s="668"/>
      <c r="F891" s="667"/>
      <c r="G891" s="667"/>
      <c r="H891" s="667"/>
      <c r="I891" s="667"/>
      <c r="J891" s="667"/>
      <c r="K891" s="667"/>
      <c r="L891" s="667"/>
      <c r="M891" s="667"/>
      <c r="N891" s="667"/>
      <c r="O891" s="667"/>
      <c r="P891" s="667"/>
      <c r="Q891" s="667"/>
      <c r="S891" s="3"/>
      <c r="T891" s="3"/>
      <c r="U891" s="3"/>
      <c r="V891" s="3"/>
      <c r="W891" s="3"/>
      <c r="X891" s="3"/>
      <c r="Y891" s="3"/>
      <c r="Z891" s="3"/>
      <c r="AA891" s="3"/>
      <c r="AB891" s="3"/>
      <c r="AC891" s="3"/>
      <c r="AD891" s="3"/>
      <c r="AE891" s="3"/>
      <c r="AF891" s="3"/>
      <c r="AG891" s="3"/>
      <c r="AH891" s="3"/>
      <c r="AI891" s="3"/>
      <c r="AJ891" s="3"/>
      <c r="AK891" s="3"/>
    </row>
    <row r="892" ht="15.75" customHeight="1">
      <c r="A892" s="3"/>
      <c r="B892" s="466"/>
      <c r="C892" s="667"/>
      <c r="D892" s="667"/>
      <c r="E892" s="668"/>
      <c r="F892" s="667"/>
      <c r="G892" s="667"/>
      <c r="H892" s="667"/>
      <c r="I892" s="667"/>
      <c r="J892" s="667"/>
      <c r="K892" s="667"/>
      <c r="L892" s="667"/>
      <c r="M892" s="667"/>
      <c r="N892" s="667"/>
      <c r="O892" s="667"/>
      <c r="P892" s="667"/>
      <c r="Q892" s="667"/>
      <c r="S892" s="3"/>
      <c r="T892" s="3"/>
      <c r="U892" s="3"/>
      <c r="V892" s="3"/>
      <c r="W892" s="3"/>
      <c r="X892" s="3"/>
      <c r="Y892" s="3"/>
      <c r="Z892" s="3"/>
      <c r="AA892" s="3"/>
      <c r="AB892" s="3"/>
      <c r="AC892" s="3"/>
      <c r="AD892" s="3"/>
      <c r="AE892" s="3"/>
      <c r="AF892" s="3"/>
      <c r="AG892" s="3"/>
      <c r="AH892" s="3"/>
      <c r="AI892" s="3"/>
      <c r="AJ892" s="3"/>
      <c r="AK892" s="3"/>
    </row>
    <row r="893" ht="15.75" customHeight="1">
      <c r="A893" s="3"/>
      <c r="B893" s="466"/>
      <c r="C893" s="667"/>
      <c r="D893" s="667"/>
      <c r="E893" s="668"/>
      <c r="F893" s="667"/>
      <c r="G893" s="667"/>
      <c r="H893" s="667"/>
      <c r="I893" s="667"/>
      <c r="J893" s="667"/>
      <c r="K893" s="667"/>
      <c r="L893" s="667"/>
      <c r="M893" s="667"/>
      <c r="N893" s="667"/>
      <c r="O893" s="667"/>
      <c r="P893" s="667"/>
      <c r="Q893" s="667"/>
      <c r="S893" s="3"/>
      <c r="T893" s="3"/>
      <c r="U893" s="3"/>
      <c r="V893" s="3"/>
      <c r="W893" s="3"/>
      <c r="X893" s="3"/>
      <c r="Y893" s="3"/>
      <c r="Z893" s="3"/>
      <c r="AA893" s="3"/>
      <c r="AB893" s="3"/>
      <c r="AC893" s="3"/>
      <c r="AD893" s="3"/>
      <c r="AE893" s="3"/>
      <c r="AF893" s="3"/>
      <c r="AG893" s="3"/>
      <c r="AH893" s="3"/>
      <c r="AI893" s="3"/>
      <c r="AJ893" s="3"/>
      <c r="AK893" s="3"/>
    </row>
    <row r="894" ht="15.75" customHeight="1">
      <c r="A894" s="3"/>
      <c r="B894" s="466"/>
      <c r="C894" s="667"/>
      <c r="D894" s="667"/>
      <c r="E894" s="668"/>
      <c r="F894" s="667"/>
      <c r="G894" s="667"/>
      <c r="H894" s="667"/>
      <c r="I894" s="667"/>
      <c r="J894" s="667"/>
      <c r="K894" s="667"/>
      <c r="L894" s="667"/>
      <c r="M894" s="667"/>
      <c r="N894" s="667"/>
      <c r="O894" s="667"/>
      <c r="P894" s="667"/>
      <c r="Q894" s="667"/>
      <c r="S894" s="3"/>
      <c r="T894" s="3"/>
      <c r="U894" s="3"/>
      <c r="V894" s="3"/>
      <c r="W894" s="3"/>
      <c r="X894" s="3"/>
      <c r="Y894" s="3"/>
      <c r="Z894" s="3"/>
      <c r="AA894" s="3"/>
      <c r="AB894" s="3"/>
      <c r="AC894" s="3"/>
      <c r="AD894" s="3"/>
      <c r="AE894" s="3"/>
      <c r="AF894" s="3"/>
      <c r="AG894" s="3"/>
      <c r="AH894" s="3"/>
      <c r="AI894" s="3"/>
      <c r="AJ894" s="3"/>
      <c r="AK894" s="3"/>
    </row>
    <row r="895" ht="15.75" customHeight="1">
      <c r="A895" s="3"/>
      <c r="B895" s="466"/>
      <c r="C895" s="667"/>
      <c r="D895" s="667"/>
      <c r="E895" s="668"/>
      <c r="F895" s="667"/>
      <c r="G895" s="667"/>
      <c r="H895" s="667"/>
      <c r="I895" s="667"/>
      <c r="J895" s="667"/>
      <c r="K895" s="667"/>
      <c r="L895" s="667"/>
      <c r="M895" s="667"/>
      <c r="N895" s="667"/>
      <c r="O895" s="667"/>
      <c r="P895" s="667"/>
      <c r="Q895" s="667"/>
      <c r="S895" s="3"/>
      <c r="T895" s="3"/>
      <c r="U895" s="3"/>
      <c r="V895" s="3"/>
      <c r="W895" s="3"/>
      <c r="X895" s="3"/>
      <c r="Y895" s="3"/>
      <c r="Z895" s="3"/>
      <c r="AA895" s="3"/>
      <c r="AB895" s="3"/>
      <c r="AC895" s="3"/>
      <c r="AD895" s="3"/>
      <c r="AE895" s="3"/>
      <c r="AF895" s="3"/>
      <c r="AG895" s="3"/>
      <c r="AH895" s="3"/>
      <c r="AI895" s="3"/>
      <c r="AJ895" s="3"/>
      <c r="AK895" s="3"/>
    </row>
    <row r="896" ht="15.75" customHeight="1">
      <c r="A896" s="3"/>
      <c r="B896" s="466"/>
      <c r="C896" s="667"/>
      <c r="D896" s="667"/>
      <c r="E896" s="668"/>
      <c r="F896" s="667"/>
      <c r="G896" s="667"/>
      <c r="H896" s="667"/>
      <c r="I896" s="667"/>
      <c r="J896" s="667"/>
      <c r="K896" s="667"/>
      <c r="L896" s="667"/>
      <c r="M896" s="667"/>
      <c r="N896" s="667"/>
      <c r="O896" s="667"/>
      <c r="P896" s="667"/>
      <c r="Q896" s="667"/>
      <c r="S896" s="3"/>
      <c r="T896" s="3"/>
      <c r="U896" s="3"/>
      <c r="V896" s="3"/>
      <c r="W896" s="3"/>
      <c r="X896" s="3"/>
      <c r="Y896" s="3"/>
      <c r="Z896" s="3"/>
      <c r="AA896" s="3"/>
      <c r="AB896" s="3"/>
      <c r="AC896" s="3"/>
      <c r="AD896" s="3"/>
      <c r="AE896" s="3"/>
      <c r="AF896" s="3"/>
      <c r="AG896" s="3"/>
      <c r="AH896" s="3"/>
      <c r="AI896" s="3"/>
      <c r="AJ896" s="3"/>
      <c r="AK896" s="3"/>
    </row>
    <row r="897" ht="15.75" customHeight="1">
      <c r="A897" s="3"/>
      <c r="B897" s="466"/>
      <c r="C897" s="667"/>
      <c r="D897" s="667"/>
      <c r="E897" s="668"/>
      <c r="F897" s="667"/>
      <c r="G897" s="667"/>
      <c r="H897" s="667"/>
      <c r="I897" s="667"/>
      <c r="J897" s="667"/>
      <c r="K897" s="667"/>
      <c r="L897" s="667"/>
      <c r="M897" s="667"/>
      <c r="N897" s="667"/>
      <c r="O897" s="667"/>
      <c r="P897" s="667"/>
      <c r="Q897" s="667"/>
      <c r="S897" s="3"/>
      <c r="T897" s="3"/>
      <c r="U897" s="3"/>
      <c r="V897" s="3"/>
      <c r="W897" s="3"/>
      <c r="X897" s="3"/>
      <c r="Y897" s="3"/>
      <c r="Z897" s="3"/>
      <c r="AA897" s="3"/>
      <c r="AB897" s="3"/>
      <c r="AC897" s="3"/>
      <c r="AD897" s="3"/>
      <c r="AE897" s="3"/>
      <c r="AF897" s="3"/>
      <c r="AG897" s="3"/>
      <c r="AH897" s="3"/>
      <c r="AI897" s="3"/>
      <c r="AJ897" s="3"/>
      <c r="AK897" s="3"/>
    </row>
    <row r="898" ht="15.75" customHeight="1">
      <c r="A898" s="3"/>
      <c r="B898" s="466"/>
      <c r="C898" s="667"/>
      <c r="D898" s="667"/>
      <c r="E898" s="668"/>
      <c r="F898" s="667"/>
      <c r="G898" s="667"/>
      <c r="H898" s="667"/>
      <c r="I898" s="667"/>
      <c r="J898" s="667"/>
      <c r="K898" s="667"/>
      <c r="L898" s="667"/>
      <c r="M898" s="667"/>
      <c r="N898" s="667"/>
      <c r="O898" s="667"/>
      <c r="P898" s="667"/>
      <c r="Q898" s="667"/>
      <c r="S898" s="3"/>
      <c r="T898" s="3"/>
      <c r="U898" s="3"/>
      <c r="V898" s="3"/>
      <c r="W898" s="3"/>
      <c r="X898" s="3"/>
      <c r="Y898" s="3"/>
      <c r="Z898" s="3"/>
      <c r="AA898" s="3"/>
      <c r="AB898" s="3"/>
      <c r="AC898" s="3"/>
      <c r="AD898" s="3"/>
      <c r="AE898" s="3"/>
      <c r="AF898" s="3"/>
      <c r="AG898" s="3"/>
      <c r="AH898" s="3"/>
      <c r="AI898" s="3"/>
      <c r="AJ898" s="3"/>
      <c r="AK898" s="3"/>
    </row>
    <row r="899" ht="15.75" customHeight="1">
      <c r="A899" s="3"/>
      <c r="B899" s="466"/>
      <c r="C899" s="667"/>
      <c r="D899" s="667"/>
      <c r="E899" s="668"/>
      <c r="F899" s="667"/>
      <c r="G899" s="667"/>
      <c r="H899" s="667"/>
      <c r="I899" s="667"/>
      <c r="J899" s="667"/>
      <c r="K899" s="667"/>
      <c r="L899" s="667"/>
      <c r="M899" s="667"/>
      <c r="N899" s="667"/>
      <c r="O899" s="667"/>
      <c r="P899" s="667"/>
      <c r="Q899" s="667"/>
      <c r="S899" s="3"/>
      <c r="T899" s="3"/>
      <c r="U899" s="3"/>
      <c r="V899" s="3"/>
      <c r="W899" s="3"/>
      <c r="X899" s="3"/>
      <c r="Y899" s="3"/>
      <c r="Z899" s="3"/>
      <c r="AA899" s="3"/>
      <c r="AB899" s="3"/>
      <c r="AC899" s="3"/>
      <c r="AD899" s="3"/>
      <c r="AE899" s="3"/>
      <c r="AF899" s="3"/>
      <c r="AG899" s="3"/>
      <c r="AH899" s="3"/>
      <c r="AI899" s="3"/>
      <c r="AJ899" s="3"/>
      <c r="AK899" s="3"/>
    </row>
    <row r="900" ht="15.75" customHeight="1">
      <c r="A900" s="3"/>
      <c r="B900" s="466"/>
      <c r="C900" s="667"/>
      <c r="D900" s="667"/>
      <c r="E900" s="668"/>
      <c r="F900" s="667"/>
      <c r="G900" s="667"/>
      <c r="H900" s="667"/>
      <c r="I900" s="667"/>
      <c r="J900" s="667"/>
      <c r="K900" s="667"/>
      <c r="L900" s="667"/>
      <c r="M900" s="667"/>
      <c r="N900" s="667"/>
      <c r="O900" s="667"/>
      <c r="P900" s="667"/>
      <c r="Q900" s="667"/>
      <c r="S900" s="3"/>
      <c r="T900" s="3"/>
      <c r="U900" s="3"/>
      <c r="V900" s="3"/>
      <c r="W900" s="3"/>
      <c r="X900" s="3"/>
      <c r="Y900" s="3"/>
      <c r="Z900" s="3"/>
      <c r="AA900" s="3"/>
      <c r="AB900" s="3"/>
      <c r="AC900" s="3"/>
      <c r="AD900" s="3"/>
      <c r="AE900" s="3"/>
      <c r="AF900" s="3"/>
      <c r="AG900" s="3"/>
      <c r="AH900" s="3"/>
      <c r="AI900" s="3"/>
      <c r="AJ900" s="3"/>
      <c r="AK900" s="3"/>
    </row>
    <row r="901" ht="15.75" customHeight="1">
      <c r="A901" s="3"/>
      <c r="B901" s="466"/>
      <c r="C901" s="667"/>
      <c r="D901" s="667"/>
      <c r="E901" s="668"/>
      <c r="F901" s="667"/>
      <c r="G901" s="667"/>
      <c r="H901" s="667"/>
      <c r="I901" s="667"/>
      <c r="J901" s="667"/>
      <c r="K901" s="667"/>
      <c r="L901" s="667"/>
      <c r="M901" s="667"/>
      <c r="N901" s="667"/>
      <c r="O901" s="667"/>
      <c r="P901" s="667"/>
      <c r="Q901" s="667"/>
      <c r="S901" s="3"/>
      <c r="T901" s="3"/>
      <c r="U901" s="3"/>
      <c r="V901" s="3"/>
      <c r="W901" s="3"/>
      <c r="X901" s="3"/>
      <c r="Y901" s="3"/>
      <c r="Z901" s="3"/>
      <c r="AA901" s="3"/>
      <c r="AB901" s="3"/>
      <c r="AC901" s="3"/>
      <c r="AD901" s="3"/>
      <c r="AE901" s="3"/>
      <c r="AF901" s="3"/>
      <c r="AG901" s="3"/>
      <c r="AH901" s="3"/>
      <c r="AI901" s="3"/>
      <c r="AJ901" s="3"/>
      <c r="AK901" s="3"/>
    </row>
    <row r="902" ht="15.75" customHeight="1">
      <c r="A902" s="3"/>
      <c r="B902" s="466"/>
      <c r="C902" s="667"/>
      <c r="D902" s="667"/>
      <c r="E902" s="668"/>
      <c r="F902" s="667"/>
      <c r="G902" s="667"/>
      <c r="H902" s="667"/>
      <c r="I902" s="667"/>
      <c r="J902" s="667"/>
      <c r="K902" s="667"/>
      <c r="L902" s="667"/>
      <c r="M902" s="667"/>
      <c r="N902" s="667"/>
      <c r="O902" s="667"/>
      <c r="P902" s="667"/>
      <c r="Q902" s="667"/>
      <c r="S902" s="3"/>
      <c r="T902" s="3"/>
      <c r="U902" s="3"/>
      <c r="V902" s="3"/>
      <c r="W902" s="3"/>
      <c r="X902" s="3"/>
      <c r="Y902" s="3"/>
      <c r="Z902" s="3"/>
      <c r="AA902" s="3"/>
      <c r="AB902" s="3"/>
      <c r="AC902" s="3"/>
      <c r="AD902" s="3"/>
      <c r="AE902" s="3"/>
      <c r="AF902" s="3"/>
      <c r="AG902" s="3"/>
      <c r="AH902" s="3"/>
      <c r="AI902" s="3"/>
      <c r="AJ902" s="3"/>
      <c r="AK902" s="3"/>
    </row>
    <row r="903" ht="15.75" customHeight="1">
      <c r="A903" s="3"/>
      <c r="B903" s="466"/>
      <c r="C903" s="667"/>
      <c r="D903" s="667"/>
      <c r="E903" s="668"/>
      <c r="F903" s="667"/>
      <c r="G903" s="667"/>
      <c r="H903" s="667"/>
      <c r="I903" s="667"/>
      <c r="J903" s="667"/>
      <c r="K903" s="667"/>
      <c r="L903" s="667"/>
      <c r="M903" s="667"/>
      <c r="N903" s="667"/>
      <c r="O903" s="667"/>
      <c r="P903" s="667"/>
      <c r="Q903" s="667"/>
      <c r="S903" s="3"/>
      <c r="T903" s="3"/>
      <c r="U903" s="3"/>
      <c r="V903" s="3"/>
      <c r="W903" s="3"/>
      <c r="X903" s="3"/>
      <c r="Y903" s="3"/>
      <c r="Z903" s="3"/>
      <c r="AA903" s="3"/>
      <c r="AB903" s="3"/>
      <c r="AC903" s="3"/>
      <c r="AD903" s="3"/>
      <c r="AE903" s="3"/>
      <c r="AF903" s="3"/>
      <c r="AG903" s="3"/>
      <c r="AH903" s="3"/>
      <c r="AI903" s="3"/>
      <c r="AJ903" s="3"/>
      <c r="AK903" s="3"/>
    </row>
    <row r="904" ht="15.75" customHeight="1">
      <c r="A904" s="3"/>
      <c r="B904" s="466"/>
      <c r="C904" s="667"/>
      <c r="D904" s="667"/>
      <c r="E904" s="668"/>
      <c r="F904" s="667"/>
      <c r="G904" s="667"/>
      <c r="H904" s="667"/>
      <c r="I904" s="667"/>
      <c r="J904" s="667"/>
      <c r="K904" s="667"/>
      <c r="L904" s="667"/>
      <c r="M904" s="667"/>
      <c r="N904" s="667"/>
      <c r="O904" s="667"/>
      <c r="P904" s="667"/>
      <c r="Q904" s="667"/>
      <c r="S904" s="3"/>
      <c r="T904" s="3"/>
      <c r="U904" s="3"/>
      <c r="V904" s="3"/>
      <c r="W904" s="3"/>
      <c r="X904" s="3"/>
      <c r="Y904" s="3"/>
      <c r="Z904" s="3"/>
      <c r="AA904" s="3"/>
      <c r="AB904" s="3"/>
      <c r="AC904" s="3"/>
      <c r="AD904" s="3"/>
      <c r="AE904" s="3"/>
      <c r="AF904" s="3"/>
      <c r="AG904" s="3"/>
      <c r="AH904" s="3"/>
      <c r="AI904" s="3"/>
      <c r="AJ904" s="3"/>
      <c r="AK904" s="3"/>
    </row>
    <row r="905" ht="15.75" customHeight="1">
      <c r="A905" s="3"/>
      <c r="B905" s="466"/>
      <c r="C905" s="667"/>
      <c r="D905" s="667"/>
      <c r="E905" s="668"/>
      <c r="F905" s="667"/>
      <c r="G905" s="667"/>
      <c r="H905" s="667"/>
      <c r="I905" s="667"/>
      <c r="J905" s="667"/>
      <c r="K905" s="667"/>
      <c r="L905" s="667"/>
      <c r="M905" s="667"/>
      <c r="N905" s="667"/>
      <c r="O905" s="667"/>
      <c r="P905" s="667"/>
      <c r="Q905" s="667"/>
      <c r="S905" s="3"/>
      <c r="T905" s="3"/>
      <c r="U905" s="3"/>
      <c r="V905" s="3"/>
      <c r="W905" s="3"/>
      <c r="X905" s="3"/>
      <c r="Y905" s="3"/>
      <c r="Z905" s="3"/>
      <c r="AA905" s="3"/>
      <c r="AB905" s="3"/>
      <c r="AC905" s="3"/>
      <c r="AD905" s="3"/>
      <c r="AE905" s="3"/>
      <c r="AF905" s="3"/>
      <c r="AG905" s="3"/>
      <c r="AH905" s="3"/>
      <c r="AI905" s="3"/>
      <c r="AJ905" s="3"/>
      <c r="AK905" s="3"/>
    </row>
    <row r="906" ht="15.75" customHeight="1">
      <c r="A906" s="3"/>
      <c r="B906" s="466"/>
      <c r="C906" s="667"/>
      <c r="D906" s="667"/>
      <c r="E906" s="668"/>
      <c r="F906" s="667"/>
      <c r="G906" s="667"/>
      <c r="H906" s="667"/>
      <c r="I906" s="667"/>
      <c r="J906" s="667"/>
      <c r="K906" s="667"/>
      <c r="L906" s="667"/>
      <c r="M906" s="667"/>
      <c r="N906" s="667"/>
      <c r="O906" s="667"/>
      <c r="P906" s="667"/>
      <c r="Q906" s="667"/>
      <c r="S906" s="3"/>
      <c r="T906" s="3"/>
      <c r="U906" s="3"/>
      <c r="V906" s="3"/>
      <c r="W906" s="3"/>
      <c r="X906" s="3"/>
      <c r="Y906" s="3"/>
      <c r="Z906" s="3"/>
      <c r="AA906" s="3"/>
      <c r="AB906" s="3"/>
      <c r="AC906" s="3"/>
      <c r="AD906" s="3"/>
      <c r="AE906" s="3"/>
      <c r="AF906" s="3"/>
      <c r="AG906" s="3"/>
      <c r="AH906" s="3"/>
      <c r="AI906" s="3"/>
      <c r="AJ906" s="3"/>
      <c r="AK906" s="3"/>
    </row>
    <row r="907" ht="15.75" customHeight="1">
      <c r="A907" s="3"/>
      <c r="B907" s="466"/>
      <c r="C907" s="667"/>
      <c r="D907" s="667"/>
      <c r="E907" s="668"/>
      <c r="F907" s="667"/>
      <c r="G907" s="667"/>
      <c r="H907" s="667"/>
      <c r="I907" s="667"/>
      <c r="J907" s="667"/>
      <c r="K907" s="667"/>
      <c r="L907" s="667"/>
      <c r="M907" s="667"/>
      <c r="N907" s="667"/>
      <c r="O907" s="667"/>
      <c r="P907" s="667"/>
      <c r="Q907" s="667"/>
      <c r="S907" s="3"/>
      <c r="T907" s="3"/>
      <c r="U907" s="3"/>
      <c r="V907" s="3"/>
      <c r="W907" s="3"/>
      <c r="X907" s="3"/>
      <c r="Y907" s="3"/>
      <c r="Z907" s="3"/>
      <c r="AA907" s="3"/>
      <c r="AB907" s="3"/>
      <c r="AC907" s="3"/>
      <c r="AD907" s="3"/>
      <c r="AE907" s="3"/>
      <c r="AF907" s="3"/>
      <c r="AG907" s="3"/>
      <c r="AH907" s="3"/>
      <c r="AI907" s="3"/>
      <c r="AJ907" s="3"/>
      <c r="AK907" s="3"/>
    </row>
    <row r="908" ht="15.75" customHeight="1">
      <c r="A908" s="3"/>
      <c r="B908" s="466"/>
      <c r="C908" s="667"/>
      <c r="D908" s="667"/>
      <c r="E908" s="668"/>
      <c r="F908" s="667"/>
      <c r="G908" s="667"/>
      <c r="H908" s="667"/>
      <c r="I908" s="667"/>
      <c r="J908" s="667"/>
      <c r="K908" s="667"/>
      <c r="L908" s="667"/>
      <c r="M908" s="667"/>
      <c r="N908" s="667"/>
      <c r="O908" s="667"/>
      <c r="P908" s="667"/>
      <c r="Q908" s="667"/>
      <c r="S908" s="3"/>
      <c r="T908" s="3"/>
      <c r="U908" s="3"/>
      <c r="V908" s="3"/>
      <c r="W908" s="3"/>
      <c r="X908" s="3"/>
      <c r="Y908" s="3"/>
      <c r="Z908" s="3"/>
      <c r="AA908" s="3"/>
      <c r="AB908" s="3"/>
      <c r="AC908" s="3"/>
      <c r="AD908" s="3"/>
      <c r="AE908" s="3"/>
      <c r="AF908" s="3"/>
      <c r="AG908" s="3"/>
      <c r="AH908" s="3"/>
      <c r="AI908" s="3"/>
      <c r="AJ908" s="3"/>
      <c r="AK908" s="3"/>
    </row>
    <row r="909" ht="15.75" customHeight="1">
      <c r="A909" s="3"/>
      <c r="B909" s="466"/>
      <c r="C909" s="667"/>
      <c r="D909" s="667"/>
      <c r="E909" s="668"/>
      <c r="F909" s="667"/>
      <c r="G909" s="667"/>
      <c r="H909" s="667"/>
      <c r="I909" s="667"/>
      <c r="J909" s="667"/>
      <c r="K909" s="667"/>
      <c r="L909" s="667"/>
      <c r="M909" s="667"/>
      <c r="N909" s="667"/>
      <c r="O909" s="667"/>
      <c r="P909" s="667"/>
      <c r="Q909" s="667"/>
      <c r="S909" s="3"/>
      <c r="T909" s="3"/>
      <c r="U909" s="3"/>
      <c r="V909" s="3"/>
      <c r="W909" s="3"/>
      <c r="X909" s="3"/>
      <c r="Y909" s="3"/>
      <c r="Z909" s="3"/>
      <c r="AA909" s="3"/>
      <c r="AB909" s="3"/>
      <c r="AC909" s="3"/>
      <c r="AD909" s="3"/>
      <c r="AE909" s="3"/>
      <c r="AF909" s="3"/>
      <c r="AG909" s="3"/>
      <c r="AH909" s="3"/>
      <c r="AI909" s="3"/>
      <c r="AJ909" s="3"/>
      <c r="AK909" s="3"/>
    </row>
    <row r="910" ht="15.75" customHeight="1">
      <c r="A910" s="3"/>
      <c r="B910" s="466"/>
      <c r="C910" s="667"/>
      <c r="D910" s="667"/>
      <c r="E910" s="668"/>
      <c r="F910" s="667"/>
      <c r="G910" s="667"/>
      <c r="H910" s="667"/>
      <c r="I910" s="667"/>
      <c r="J910" s="667"/>
      <c r="K910" s="667"/>
      <c r="L910" s="667"/>
      <c r="M910" s="667"/>
      <c r="N910" s="667"/>
      <c r="O910" s="667"/>
      <c r="P910" s="667"/>
      <c r="Q910" s="667"/>
      <c r="S910" s="3"/>
      <c r="T910" s="3"/>
      <c r="U910" s="3"/>
      <c r="V910" s="3"/>
      <c r="W910" s="3"/>
      <c r="X910" s="3"/>
      <c r="Y910" s="3"/>
      <c r="Z910" s="3"/>
      <c r="AA910" s="3"/>
      <c r="AB910" s="3"/>
      <c r="AC910" s="3"/>
      <c r="AD910" s="3"/>
      <c r="AE910" s="3"/>
      <c r="AF910" s="3"/>
      <c r="AG910" s="3"/>
      <c r="AH910" s="3"/>
      <c r="AI910" s="3"/>
      <c r="AJ910" s="3"/>
      <c r="AK910" s="3"/>
    </row>
    <row r="911" ht="15.75" customHeight="1">
      <c r="A911" s="3"/>
      <c r="B911" s="466"/>
      <c r="C911" s="667"/>
      <c r="D911" s="667"/>
      <c r="E911" s="668"/>
      <c r="F911" s="667"/>
      <c r="G911" s="667"/>
      <c r="H911" s="667"/>
      <c r="I911" s="667"/>
      <c r="J911" s="667"/>
      <c r="K911" s="667"/>
      <c r="L911" s="667"/>
      <c r="M911" s="667"/>
      <c r="N911" s="667"/>
      <c r="O911" s="667"/>
      <c r="P911" s="667"/>
      <c r="Q911" s="667"/>
      <c r="S911" s="3"/>
      <c r="T911" s="3"/>
      <c r="U911" s="3"/>
      <c r="V911" s="3"/>
      <c r="W911" s="3"/>
      <c r="X911" s="3"/>
      <c r="Y911" s="3"/>
      <c r="Z911" s="3"/>
      <c r="AA911" s="3"/>
      <c r="AB911" s="3"/>
      <c r="AC911" s="3"/>
      <c r="AD911" s="3"/>
      <c r="AE911" s="3"/>
      <c r="AF911" s="3"/>
      <c r="AG911" s="3"/>
      <c r="AH911" s="3"/>
      <c r="AI911" s="3"/>
      <c r="AJ911" s="3"/>
      <c r="AK911" s="3"/>
    </row>
    <row r="912" ht="15.75" customHeight="1">
      <c r="A912" s="3"/>
      <c r="B912" s="466"/>
      <c r="C912" s="667"/>
      <c r="D912" s="667"/>
      <c r="E912" s="668"/>
      <c r="F912" s="667"/>
      <c r="G912" s="667"/>
      <c r="H912" s="667"/>
      <c r="I912" s="667"/>
      <c r="J912" s="667"/>
      <c r="K912" s="667"/>
      <c r="L912" s="667"/>
      <c r="M912" s="667"/>
      <c r="N912" s="667"/>
      <c r="O912" s="667"/>
      <c r="P912" s="667"/>
      <c r="Q912" s="667"/>
      <c r="S912" s="3"/>
      <c r="T912" s="3"/>
      <c r="U912" s="3"/>
      <c r="V912" s="3"/>
      <c r="W912" s="3"/>
      <c r="X912" s="3"/>
      <c r="Y912" s="3"/>
      <c r="Z912" s="3"/>
      <c r="AA912" s="3"/>
      <c r="AB912" s="3"/>
      <c r="AC912" s="3"/>
      <c r="AD912" s="3"/>
      <c r="AE912" s="3"/>
      <c r="AF912" s="3"/>
      <c r="AG912" s="3"/>
      <c r="AH912" s="3"/>
      <c r="AI912" s="3"/>
      <c r="AJ912" s="3"/>
      <c r="AK912" s="3"/>
    </row>
    <row r="913" ht="15.75" customHeight="1">
      <c r="A913" s="3"/>
      <c r="B913" s="466"/>
      <c r="C913" s="667"/>
      <c r="D913" s="667"/>
      <c r="E913" s="668"/>
      <c r="F913" s="667"/>
      <c r="G913" s="667"/>
      <c r="H913" s="667"/>
      <c r="I913" s="667"/>
      <c r="J913" s="667"/>
      <c r="K913" s="667"/>
      <c r="L913" s="667"/>
      <c r="M913" s="667"/>
      <c r="N913" s="667"/>
      <c r="O913" s="667"/>
      <c r="P913" s="667"/>
      <c r="Q913" s="667"/>
      <c r="S913" s="3"/>
      <c r="T913" s="3"/>
      <c r="U913" s="3"/>
      <c r="V913" s="3"/>
      <c r="W913" s="3"/>
      <c r="X913" s="3"/>
      <c r="Y913" s="3"/>
      <c r="Z913" s="3"/>
      <c r="AA913" s="3"/>
      <c r="AB913" s="3"/>
      <c r="AC913" s="3"/>
      <c r="AD913" s="3"/>
      <c r="AE913" s="3"/>
      <c r="AF913" s="3"/>
      <c r="AG913" s="3"/>
      <c r="AH913" s="3"/>
      <c r="AI913" s="3"/>
      <c r="AJ913" s="3"/>
      <c r="AK913" s="3"/>
    </row>
    <row r="914" ht="15.75" customHeight="1">
      <c r="A914" s="3"/>
      <c r="B914" s="466"/>
      <c r="C914" s="667"/>
      <c r="D914" s="667"/>
      <c r="E914" s="668"/>
      <c r="F914" s="667"/>
      <c r="G914" s="667"/>
      <c r="H914" s="667"/>
      <c r="I914" s="667"/>
      <c r="J914" s="667"/>
      <c r="K914" s="667"/>
      <c r="L914" s="667"/>
      <c r="M914" s="667"/>
      <c r="N914" s="667"/>
      <c r="O914" s="667"/>
      <c r="P914" s="667"/>
      <c r="Q914" s="667"/>
      <c r="S914" s="3"/>
      <c r="T914" s="3"/>
      <c r="U914" s="3"/>
      <c r="V914" s="3"/>
      <c r="W914" s="3"/>
      <c r="X914" s="3"/>
      <c r="Y914" s="3"/>
      <c r="Z914" s="3"/>
      <c r="AA914" s="3"/>
      <c r="AB914" s="3"/>
      <c r="AC914" s="3"/>
      <c r="AD914" s="3"/>
      <c r="AE914" s="3"/>
      <c r="AF914" s="3"/>
      <c r="AG914" s="3"/>
      <c r="AH914" s="3"/>
      <c r="AI914" s="3"/>
      <c r="AJ914" s="3"/>
      <c r="AK914" s="3"/>
    </row>
    <row r="915" ht="15.75" customHeight="1">
      <c r="A915" s="3"/>
      <c r="B915" s="466"/>
      <c r="C915" s="667"/>
      <c r="D915" s="667"/>
      <c r="E915" s="668"/>
      <c r="F915" s="667"/>
      <c r="G915" s="667"/>
      <c r="H915" s="667"/>
      <c r="I915" s="667"/>
      <c r="J915" s="667"/>
      <c r="K915" s="667"/>
      <c r="L915" s="667"/>
      <c r="M915" s="667"/>
      <c r="N915" s="667"/>
      <c r="O915" s="667"/>
      <c r="P915" s="667"/>
      <c r="Q915" s="667"/>
      <c r="S915" s="3"/>
      <c r="T915" s="3"/>
      <c r="U915" s="3"/>
      <c r="V915" s="3"/>
      <c r="W915" s="3"/>
      <c r="X915" s="3"/>
      <c r="Y915" s="3"/>
      <c r="Z915" s="3"/>
      <c r="AA915" s="3"/>
      <c r="AB915" s="3"/>
      <c r="AC915" s="3"/>
      <c r="AD915" s="3"/>
      <c r="AE915" s="3"/>
      <c r="AF915" s="3"/>
      <c r="AG915" s="3"/>
      <c r="AH915" s="3"/>
      <c r="AI915" s="3"/>
      <c r="AJ915" s="3"/>
      <c r="AK915" s="3"/>
    </row>
    <row r="916" ht="15.75" customHeight="1">
      <c r="A916" s="3"/>
      <c r="B916" s="466"/>
      <c r="C916" s="667"/>
      <c r="D916" s="667"/>
      <c r="E916" s="668"/>
      <c r="F916" s="667"/>
      <c r="G916" s="667"/>
      <c r="H916" s="667"/>
      <c r="I916" s="667"/>
      <c r="J916" s="667"/>
      <c r="K916" s="667"/>
      <c r="L916" s="667"/>
      <c r="M916" s="667"/>
      <c r="N916" s="667"/>
      <c r="O916" s="667"/>
      <c r="P916" s="667"/>
      <c r="Q916" s="667"/>
      <c r="S916" s="3"/>
      <c r="T916" s="3"/>
      <c r="U916" s="3"/>
      <c r="V916" s="3"/>
      <c r="W916" s="3"/>
      <c r="X916" s="3"/>
      <c r="Y916" s="3"/>
      <c r="Z916" s="3"/>
      <c r="AA916" s="3"/>
      <c r="AB916" s="3"/>
      <c r="AC916" s="3"/>
      <c r="AD916" s="3"/>
      <c r="AE916" s="3"/>
      <c r="AF916" s="3"/>
      <c r="AG916" s="3"/>
      <c r="AH916" s="3"/>
      <c r="AI916" s="3"/>
      <c r="AJ916" s="3"/>
      <c r="AK916" s="3"/>
    </row>
    <row r="917" ht="15.75" customHeight="1">
      <c r="A917" s="3"/>
      <c r="B917" s="466"/>
      <c r="C917" s="667"/>
      <c r="D917" s="667"/>
      <c r="E917" s="668"/>
      <c r="F917" s="667"/>
      <c r="G917" s="667"/>
      <c r="H917" s="667"/>
      <c r="I917" s="667"/>
      <c r="J917" s="667"/>
      <c r="K917" s="667"/>
      <c r="L917" s="667"/>
      <c r="M917" s="667"/>
      <c r="N917" s="667"/>
      <c r="O917" s="667"/>
      <c r="P917" s="667"/>
      <c r="Q917" s="667"/>
      <c r="S917" s="3"/>
      <c r="T917" s="3"/>
      <c r="U917" s="3"/>
      <c r="V917" s="3"/>
      <c r="W917" s="3"/>
      <c r="X917" s="3"/>
      <c r="Y917" s="3"/>
      <c r="Z917" s="3"/>
      <c r="AA917" s="3"/>
      <c r="AB917" s="3"/>
      <c r="AC917" s="3"/>
      <c r="AD917" s="3"/>
      <c r="AE917" s="3"/>
      <c r="AF917" s="3"/>
      <c r="AG917" s="3"/>
      <c r="AH917" s="3"/>
      <c r="AI917" s="3"/>
      <c r="AJ917" s="3"/>
      <c r="AK917" s="3"/>
    </row>
    <row r="918" ht="15.75" customHeight="1">
      <c r="A918" s="3"/>
      <c r="B918" s="466"/>
      <c r="C918" s="667"/>
      <c r="D918" s="667"/>
      <c r="E918" s="668"/>
      <c r="F918" s="667"/>
      <c r="G918" s="667"/>
      <c r="H918" s="667"/>
      <c r="I918" s="667"/>
      <c r="J918" s="667"/>
      <c r="K918" s="667"/>
      <c r="L918" s="667"/>
      <c r="M918" s="667"/>
      <c r="N918" s="667"/>
      <c r="O918" s="667"/>
      <c r="P918" s="667"/>
      <c r="Q918" s="667"/>
      <c r="S918" s="3"/>
      <c r="T918" s="3"/>
      <c r="U918" s="3"/>
      <c r="V918" s="3"/>
      <c r="W918" s="3"/>
      <c r="X918" s="3"/>
      <c r="Y918" s="3"/>
      <c r="Z918" s="3"/>
      <c r="AA918" s="3"/>
      <c r="AB918" s="3"/>
      <c r="AC918" s="3"/>
      <c r="AD918" s="3"/>
      <c r="AE918" s="3"/>
      <c r="AF918" s="3"/>
      <c r="AG918" s="3"/>
      <c r="AH918" s="3"/>
      <c r="AI918" s="3"/>
      <c r="AJ918" s="3"/>
      <c r="AK918" s="3"/>
    </row>
    <row r="919" ht="15.75" customHeight="1">
      <c r="A919" s="3"/>
      <c r="B919" s="466"/>
      <c r="C919" s="667"/>
      <c r="D919" s="667"/>
      <c r="E919" s="668"/>
      <c r="F919" s="667"/>
      <c r="G919" s="667"/>
      <c r="H919" s="667"/>
      <c r="I919" s="667"/>
      <c r="J919" s="667"/>
      <c r="K919" s="667"/>
      <c r="L919" s="667"/>
      <c r="M919" s="667"/>
      <c r="N919" s="667"/>
      <c r="O919" s="667"/>
      <c r="P919" s="667"/>
      <c r="Q919" s="667"/>
      <c r="S919" s="3"/>
      <c r="T919" s="3"/>
      <c r="U919" s="3"/>
      <c r="V919" s="3"/>
      <c r="W919" s="3"/>
      <c r="X919" s="3"/>
      <c r="Y919" s="3"/>
      <c r="Z919" s="3"/>
      <c r="AA919" s="3"/>
      <c r="AB919" s="3"/>
      <c r="AC919" s="3"/>
      <c r="AD919" s="3"/>
      <c r="AE919" s="3"/>
      <c r="AF919" s="3"/>
      <c r="AG919" s="3"/>
      <c r="AH919" s="3"/>
      <c r="AI919" s="3"/>
      <c r="AJ919" s="3"/>
      <c r="AK919" s="3"/>
    </row>
    <row r="920" ht="15.75" customHeight="1">
      <c r="A920" s="3"/>
      <c r="B920" s="466"/>
      <c r="C920" s="667"/>
      <c r="D920" s="667"/>
      <c r="E920" s="668"/>
      <c r="F920" s="667"/>
      <c r="G920" s="667"/>
      <c r="H920" s="667"/>
      <c r="I920" s="667"/>
      <c r="J920" s="667"/>
      <c r="K920" s="667"/>
      <c r="L920" s="667"/>
      <c r="M920" s="667"/>
      <c r="N920" s="667"/>
      <c r="O920" s="667"/>
      <c r="P920" s="667"/>
      <c r="Q920" s="667"/>
      <c r="S920" s="3"/>
      <c r="T920" s="3"/>
      <c r="U920" s="3"/>
      <c r="V920" s="3"/>
      <c r="W920" s="3"/>
      <c r="X920" s="3"/>
      <c r="Y920" s="3"/>
      <c r="Z920" s="3"/>
      <c r="AA920" s="3"/>
      <c r="AB920" s="3"/>
      <c r="AC920" s="3"/>
      <c r="AD920" s="3"/>
      <c r="AE920" s="3"/>
      <c r="AF920" s="3"/>
      <c r="AG920" s="3"/>
      <c r="AH920" s="3"/>
      <c r="AI920" s="3"/>
      <c r="AJ920" s="3"/>
      <c r="AK920" s="3"/>
    </row>
    <row r="921" ht="15.75" customHeight="1">
      <c r="A921" s="3"/>
      <c r="B921" s="466"/>
      <c r="C921" s="667"/>
      <c r="D921" s="667"/>
      <c r="E921" s="668"/>
      <c r="F921" s="667"/>
      <c r="G921" s="667"/>
      <c r="H921" s="667"/>
      <c r="I921" s="667"/>
      <c r="J921" s="667"/>
      <c r="K921" s="667"/>
      <c r="L921" s="667"/>
      <c r="M921" s="667"/>
      <c r="N921" s="667"/>
      <c r="O921" s="667"/>
      <c r="P921" s="667"/>
      <c r="Q921" s="667"/>
      <c r="S921" s="3"/>
      <c r="T921" s="3"/>
      <c r="U921" s="3"/>
      <c r="V921" s="3"/>
      <c r="W921" s="3"/>
      <c r="X921" s="3"/>
      <c r="Y921" s="3"/>
      <c r="Z921" s="3"/>
      <c r="AA921" s="3"/>
      <c r="AB921" s="3"/>
      <c r="AC921" s="3"/>
      <c r="AD921" s="3"/>
      <c r="AE921" s="3"/>
      <c r="AF921" s="3"/>
      <c r="AG921" s="3"/>
      <c r="AH921" s="3"/>
      <c r="AI921" s="3"/>
      <c r="AJ921" s="3"/>
      <c r="AK921" s="3"/>
    </row>
    <row r="922" ht="15.75" customHeight="1">
      <c r="A922" s="3"/>
      <c r="B922" s="466"/>
      <c r="C922" s="667"/>
      <c r="D922" s="667"/>
      <c r="E922" s="668"/>
      <c r="F922" s="667"/>
      <c r="G922" s="667"/>
      <c r="H922" s="667"/>
      <c r="I922" s="667"/>
      <c r="J922" s="667"/>
      <c r="K922" s="667"/>
      <c r="L922" s="667"/>
      <c r="M922" s="667"/>
      <c r="N922" s="667"/>
      <c r="O922" s="667"/>
      <c r="P922" s="667"/>
      <c r="Q922" s="667"/>
      <c r="S922" s="3"/>
      <c r="T922" s="3"/>
      <c r="U922" s="3"/>
      <c r="V922" s="3"/>
      <c r="W922" s="3"/>
      <c r="X922" s="3"/>
      <c r="Y922" s="3"/>
      <c r="Z922" s="3"/>
      <c r="AA922" s="3"/>
      <c r="AB922" s="3"/>
      <c r="AC922" s="3"/>
      <c r="AD922" s="3"/>
      <c r="AE922" s="3"/>
      <c r="AF922" s="3"/>
      <c r="AG922" s="3"/>
      <c r="AH922" s="3"/>
      <c r="AI922" s="3"/>
      <c r="AJ922" s="3"/>
      <c r="AK922" s="3"/>
    </row>
    <row r="923" ht="15.75" customHeight="1">
      <c r="A923" s="3"/>
      <c r="B923" s="466"/>
      <c r="C923" s="667"/>
      <c r="D923" s="667"/>
      <c r="E923" s="668"/>
      <c r="F923" s="667"/>
      <c r="G923" s="667"/>
      <c r="H923" s="667"/>
      <c r="I923" s="667"/>
      <c r="J923" s="667"/>
      <c r="K923" s="667"/>
      <c r="L923" s="667"/>
      <c r="M923" s="667"/>
      <c r="N923" s="667"/>
      <c r="O923" s="667"/>
      <c r="P923" s="667"/>
      <c r="Q923" s="667"/>
      <c r="S923" s="3"/>
      <c r="T923" s="3"/>
      <c r="U923" s="3"/>
      <c r="V923" s="3"/>
      <c r="W923" s="3"/>
      <c r="X923" s="3"/>
      <c r="Y923" s="3"/>
      <c r="Z923" s="3"/>
      <c r="AA923" s="3"/>
      <c r="AB923" s="3"/>
      <c r="AC923" s="3"/>
      <c r="AD923" s="3"/>
      <c r="AE923" s="3"/>
      <c r="AF923" s="3"/>
      <c r="AG923" s="3"/>
      <c r="AH923" s="3"/>
      <c r="AI923" s="3"/>
      <c r="AJ923" s="3"/>
      <c r="AK923" s="3"/>
    </row>
    <row r="924" ht="15.75" customHeight="1">
      <c r="A924" s="3"/>
      <c r="B924" s="466"/>
      <c r="C924" s="667"/>
      <c r="D924" s="667"/>
      <c r="E924" s="668"/>
      <c r="F924" s="667"/>
      <c r="G924" s="667"/>
      <c r="H924" s="667"/>
      <c r="I924" s="667"/>
      <c r="J924" s="667"/>
      <c r="K924" s="667"/>
      <c r="L924" s="667"/>
      <c r="M924" s="667"/>
      <c r="N924" s="667"/>
      <c r="O924" s="667"/>
      <c r="P924" s="667"/>
      <c r="Q924" s="667"/>
      <c r="S924" s="3"/>
      <c r="T924" s="3"/>
      <c r="U924" s="3"/>
      <c r="V924" s="3"/>
      <c r="W924" s="3"/>
      <c r="X924" s="3"/>
      <c r="Y924" s="3"/>
      <c r="Z924" s="3"/>
      <c r="AA924" s="3"/>
      <c r="AB924" s="3"/>
      <c r="AC924" s="3"/>
      <c r="AD924" s="3"/>
      <c r="AE924" s="3"/>
      <c r="AF924" s="3"/>
      <c r="AG924" s="3"/>
      <c r="AH924" s="3"/>
      <c r="AI924" s="3"/>
      <c r="AJ924" s="3"/>
      <c r="AK924" s="3"/>
    </row>
    <row r="925" ht="15.75" customHeight="1">
      <c r="A925" s="3"/>
      <c r="B925" s="466"/>
      <c r="C925" s="667"/>
      <c r="D925" s="667"/>
      <c r="E925" s="668"/>
      <c r="F925" s="667"/>
      <c r="G925" s="667"/>
      <c r="H925" s="667"/>
      <c r="I925" s="667"/>
      <c r="J925" s="667"/>
      <c r="K925" s="667"/>
      <c r="L925" s="667"/>
      <c r="M925" s="667"/>
      <c r="N925" s="667"/>
      <c r="O925" s="667"/>
      <c r="P925" s="667"/>
      <c r="Q925" s="667"/>
      <c r="S925" s="3"/>
      <c r="T925" s="3"/>
      <c r="U925" s="3"/>
      <c r="V925" s="3"/>
      <c r="W925" s="3"/>
      <c r="X925" s="3"/>
      <c r="Y925" s="3"/>
      <c r="Z925" s="3"/>
      <c r="AA925" s="3"/>
      <c r="AB925" s="3"/>
      <c r="AC925" s="3"/>
      <c r="AD925" s="3"/>
      <c r="AE925" s="3"/>
      <c r="AF925" s="3"/>
      <c r="AG925" s="3"/>
      <c r="AH925" s="3"/>
      <c r="AI925" s="3"/>
      <c r="AJ925" s="3"/>
      <c r="AK925" s="3"/>
    </row>
    <row r="926" ht="15.75" customHeight="1">
      <c r="A926" s="3"/>
      <c r="B926" s="466"/>
      <c r="C926" s="667"/>
      <c r="D926" s="667"/>
      <c r="E926" s="668"/>
      <c r="F926" s="667"/>
      <c r="G926" s="667"/>
      <c r="H926" s="667"/>
      <c r="I926" s="667"/>
      <c r="J926" s="667"/>
      <c r="K926" s="667"/>
      <c r="L926" s="667"/>
      <c r="M926" s="667"/>
      <c r="N926" s="667"/>
      <c r="O926" s="667"/>
      <c r="P926" s="667"/>
      <c r="Q926" s="667"/>
      <c r="S926" s="3"/>
      <c r="T926" s="3"/>
      <c r="U926" s="3"/>
      <c r="V926" s="3"/>
      <c r="W926" s="3"/>
      <c r="X926" s="3"/>
      <c r="Y926" s="3"/>
      <c r="Z926" s="3"/>
      <c r="AA926" s="3"/>
      <c r="AB926" s="3"/>
      <c r="AC926" s="3"/>
      <c r="AD926" s="3"/>
      <c r="AE926" s="3"/>
      <c r="AF926" s="3"/>
      <c r="AG926" s="3"/>
      <c r="AH926" s="3"/>
      <c r="AI926" s="3"/>
      <c r="AJ926" s="3"/>
      <c r="AK926" s="3"/>
    </row>
    <row r="927" ht="15.75" customHeight="1">
      <c r="A927" s="3"/>
      <c r="B927" s="466"/>
      <c r="C927" s="667"/>
      <c r="D927" s="667"/>
      <c r="E927" s="668"/>
      <c r="F927" s="667"/>
      <c r="G927" s="667"/>
      <c r="H927" s="667"/>
      <c r="I927" s="667"/>
      <c r="J927" s="667"/>
      <c r="K927" s="667"/>
      <c r="L927" s="667"/>
      <c r="M927" s="667"/>
      <c r="N927" s="667"/>
      <c r="O927" s="667"/>
      <c r="P927" s="667"/>
      <c r="Q927" s="667"/>
      <c r="S927" s="3"/>
      <c r="T927" s="3"/>
      <c r="U927" s="3"/>
      <c r="V927" s="3"/>
      <c r="W927" s="3"/>
      <c r="X927" s="3"/>
      <c r="Y927" s="3"/>
      <c r="Z927" s="3"/>
      <c r="AA927" s="3"/>
      <c r="AB927" s="3"/>
      <c r="AC927" s="3"/>
      <c r="AD927" s="3"/>
      <c r="AE927" s="3"/>
      <c r="AF927" s="3"/>
      <c r="AG927" s="3"/>
      <c r="AH927" s="3"/>
      <c r="AI927" s="3"/>
      <c r="AJ927" s="3"/>
      <c r="AK927" s="3"/>
    </row>
    <row r="928" ht="15.75" customHeight="1">
      <c r="A928" s="3"/>
      <c r="B928" s="466"/>
      <c r="C928" s="667"/>
      <c r="D928" s="667"/>
      <c r="E928" s="668"/>
      <c r="F928" s="667"/>
      <c r="G928" s="667"/>
      <c r="H928" s="667"/>
      <c r="I928" s="667"/>
      <c r="J928" s="667"/>
      <c r="K928" s="667"/>
      <c r="L928" s="667"/>
      <c r="M928" s="667"/>
      <c r="N928" s="667"/>
      <c r="O928" s="667"/>
      <c r="P928" s="667"/>
      <c r="Q928" s="667"/>
      <c r="S928" s="3"/>
      <c r="T928" s="3"/>
      <c r="U928" s="3"/>
      <c r="V928" s="3"/>
      <c r="W928" s="3"/>
      <c r="X928" s="3"/>
      <c r="Y928" s="3"/>
      <c r="Z928" s="3"/>
      <c r="AA928" s="3"/>
      <c r="AB928" s="3"/>
      <c r="AC928" s="3"/>
      <c r="AD928" s="3"/>
      <c r="AE928" s="3"/>
      <c r="AF928" s="3"/>
      <c r="AG928" s="3"/>
      <c r="AH928" s="3"/>
      <c r="AI928" s="3"/>
      <c r="AJ928" s="3"/>
      <c r="AK928" s="3"/>
    </row>
    <row r="929" ht="15.75" customHeight="1">
      <c r="A929" s="3"/>
      <c r="B929" s="466"/>
      <c r="C929" s="667"/>
      <c r="D929" s="667"/>
      <c r="E929" s="668"/>
      <c r="F929" s="667"/>
      <c r="G929" s="667"/>
      <c r="H929" s="667"/>
      <c r="I929" s="667"/>
      <c r="J929" s="667"/>
      <c r="K929" s="667"/>
      <c r="L929" s="667"/>
      <c r="M929" s="667"/>
      <c r="N929" s="667"/>
      <c r="O929" s="667"/>
      <c r="P929" s="667"/>
      <c r="Q929" s="667"/>
      <c r="S929" s="3"/>
      <c r="T929" s="3"/>
      <c r="U929" s="3"/>
      <c r="V929" s="3"/>
      <c r="W929" s="3"/>
      <c r="X929" s="3"/>
      <c r="Y929" s="3"/>
      <c r="Z929" s="3"/>
      <c r="AA929" s="3"/>
      <c r="AB929" s="3"/>
      <c r="AC929" s="3"/>
      <c r="AD929" s="3"/>
      <c r="AE929" s="3"/>
      <c r="AF929" s="3"/>
      <c r="AG929" s="3"/>
      <c r="AH929" s="3"/>
      <c r="AI929" s="3"/>
      <c r="AJ929" s="3"/>
      <c r="AK929" s="3"/>
    </row>
    <row r="930" ht="15.75" customHeight="1">
      <c r="A930" s="3"/>
      <c r="B930" s="466"/>
      <c r="C930" s="667"/>
      <c r="D930" s="667"/>
      <c r="E930" s="668"/>
      <c r="F930" s="667"/>
      <c r="G930" s="667"/>
      <c r="H930" s="667"/>
      <c r="I930" s="667"/>
      <c r="J930" s="667"/>
      <c r="K930" s="667"/>
      <c r="L930" s="667"/>
      <c r="M930" s="667"/>
      <c r="N930" s="667"/>
      <c r="O930" s="667"/>
      <c r="P930" s="667"/>
      <c r="Q930" s="667"/>
      <c r="S930" s="3"/>
      <c r="T930" s="3"/>
      <c r="U930" s="3"/>
      <c r="V930" s="3"/>
      <c r="W930" s="3"/>
      <c r="X930" s="3"/>
      <c r="Y930" s="3"/>
      <c r="Z930" s="3"/>
      <c r="AA930" s="3"/>
      <c r="AB930" s="3"/>
      <c r="AC930" s="3"/>
      <c r="AD930" s="3"/>
      <c r="AE930" s="3"/>
      <c r="AF930" s="3"/>
      <c r="AG930" s="3"/>
      <c r="AH930" s="3"/>
      <c r="AI930" s="3"/>
      <c r="AJ930" s="3"/>
      <c r="AK930" s="3"/>
    </row>
    <row r="931" ht="15.75" customHeight="1">
      <c r="A931" s="3"/>
      <c r="B931" s="466"/>
      <c r="C931" s="667"/>
      <c r="D931" s="667"/>
      <c r="E931" s="668"/>
      <c r="F931" s="667"/>
      <c r="G931" s="667"/>
      <c r="H931" s="667"/>
      <c r="I931" s="667"/>
      <c r="J931" s="667"/>
      <c r="K931" s="667"/>
      <c r="L931" s="667"/>
      <c r="M931" s="667"/>
      <c r="N931" s="667"/>
      <c r="O931" s="667"/>
      <c r="P931" s="667"/>
      <c r="Q931" s="667"/>
      <c r="S931" s="3"/>
      <c r="T931" s="3"/>
      <c r="U931" s="3"/>
      <c r="V931" s="3"/>
      <c r="W931" s="3"/>
      <c r="X931" s="3"/>
      <c r="Y931" s="3"/>
      <c r="Z931" s="3"/>
      <c r="AA931" s="3"/>
      <c r="AB931" s="3"/>
      <c r="AC931" s="3"/>
      <c r="AD931" s="3"/>
      <c r="AE931" s="3"/>
      <c r="AF931" s="3"/>
      <c r="AG931" s="3"/>
      <c r="AH931" s="3"/>
      <c r="AI931" s="3"/>
      <c r="AJ931" s="3"/>
      <c r="AK931" s="3"/>
    </row>
    <row r="932" ht="15.75" customHeight="1">
      <c r="A932" s="3"/>
      <c r="B932" s="466"/>
      <c r="C932" s="667"/>
      <c r="D932" s="667"/>
      <c r="E932" s="668"/>
      <c r="F932" s="667"/>
      <c r="G932" s="667"/>
      <c r="H932" s="667"/>
      <c r="I932" s="667"/>
      <c r="J932" s="667"/>
      <c r="K932" s="667"/>
      <c r="L932" s="667"/>
      <c r="M932" s="667"/>
      <c r="N932" s="667"/>
      <c r="O932" s="667"/>
      <c r="P932" s="667"/>
      <c r="Q932" s="667"/>
      <c r="S932" s="3"/>
      <c r="T932" s="3"/>
      <c r="U932" s="3"/>
      <c r="V932" s="3"/>
      <c r="W932" s="3"/>
      <c r="X932" s="3"/>
      <c r="Y932" s="3"/>
      <c r="Z932" s="3"/>
      <c r="AA932" s="3"/>
      <c r="AB932" s="3"/>
      <c r="AC932" s="3"/>
      <c r="AD932" s="3"/>
      <c r="AE932" s="3"/>
      <c r="AF932" s="3"/>
      <c r="AG932" s="3"/>
      <c r="AH932" s="3"/>
      <c r="AI932" s="3"/>
      <c r="AJ932" s="3"/>
      <c r="AK932" s="3"/>
    </row>
    <row r="933" ht="15.75" customHeight="1">
      <c r="A933" s="3"/>
      <c r="B933" s="466"/>
      <c r="C933" s="667"/>
      <c r="D933" s="667"/>
      <c r="E933" s="668"/>
      <c r="F933" s="667"/>
      <c r="G933" s="667"/>
      <c r="H933" s="667"/>
      <c r="I933" s="667"/>
      <c r="J933" s="667"/>
      <c r="K933" s="667"/>
      <c r="L933" s="667"/>
      <c r="M933" s="667"/>
      <c r="N933" s="667"/>
      <c r="O933" s="667"/>
      <c r="P933" s="667"/>
      <c r="Q933" s="667"/>
      <c r="S933" s="3"/>
      <c r="T933" s="3"/>
      <c r="U933" s="3"/>
      <c r="V933" s="3"/>
      <c r="W933" s="3"/>
      <c r="X933" s="3"/>
      <c r="Y933" s="3"/>
      <c r="Z933" s="3"/>
      <c r="AA933" s="3"/>
      <c r="AB933" s="3"/>
      <c r="AC933" s="3"/>
      <c r="AD933" s="3"/>
      <c r="AE933" s="3"/>
      <c r="AF933" s="3"/>
      <c r="AG933" s="3"/>
      <c r="AH933" s="3"/>
      <c r="AI933" s="3"/>
      <c r="AJ933" s="3"/>
      <c r="AK933" s="3"/>
    </row>
    <row r="934" ht="15.75" customHeight="1">
      <c r="A934" s="3"/>
      <c r="B934" s="466"/>
      <c r="C934" s="667"/>
      <c r="D934" s="667"/>
      <c r="E934" s="668"/>
      <c r="F934" s="667"/>
      <c r="G934" s="667"/>
      <c r="H934" s="667"/>
      <c r="I934" s="667"/>
      <c r="J934" s="667"/>
      <c r="K934" s="667"/>
      <c r="L934" s="667"/>
      <c r="M934" s="667"/>
      <c r="N934" s="667"/>
      <c r="O934" s="667"/>
      <c r="P934" s="667"/>
      <c r="Q934" s="667"/>
      <c r="S934" s="3"/>
      <c r="T934" s="3"/>
      <c r="U934" s="3"/>
      <c r="V934" s="3"/>
      <c r="W934" s="3"/>
      <c r="X934" s="3"/>
      <c r="Y934" s="3"/>
      <c r="Z934" s="3"/>
      <c r="AA934" s="3"/>
      <c r="AB934" s="3"/>
      <c r="AC934" s="3"/>
      <c r="AD934" s="3"/>
      <c r="AE934" s="3"/>
      <c r="AF934" s="3"/>
      <c r="AG934" s="3"/>
      <c r="AH934" s="3"/>
      <c r="AI934" s="3"/>
      <c r="AJ934" s="3"/>
      <c r="AK934" s="3"/>
    </row>
    <row r="935" ht="15.75" customHeight="1">
      <c r="A935" s="3"/>
      <c r="B935" s="466"/>
      <c r="C935" s="667"/>
      <c r="D935" s="667"/>
      <c r="E935" s="668"/>
      <c r="F935" s="667"/>
      <c r="G935" s="667"/>
      <c r="H935" s="667"/>
      <c r="I935" s="667"/>
      <c r="J935" s="667"/>
      <c r="K935" s="667"/>
      <c r="L935" s="667"/>
      <c r="M935" s="667"/>
      <c r="N935" s="667"/>
      <c r="O935" s="667"/>
      <c r="P935" s="667"/>
      <c r="Q935" s="667"/>
      <c r="S935" s="3"/>
      <c r="T935" s="3"/>
      <c r="U935" s="3"/>
      <c r="V935" s="3"/>
      <c r="W935" s="3"/>
      <c r="X935" s="3"/>
      <c r="Y935" s="3"/>
      <c r="Z935" s="3"/>
      <c r="AA935" s="3"/>
      <c r="AB935" s="3"/>
      <c r="AC935" s="3"/>
      <c r="AD935" s="3"/>
      <c r="AE935" s="3"/>
      <c r="AF935" s="3"/>
      <c r="AG935" s="3"/>
      <c r="AH935" s="3"/>
      <c r="AI935" s="3"/>
      <c r="AJ935" s="3"/>
      <c r="AK935" s="3"/>
    </row>
    <row r="936" ht="15.75" customHeight="1">
      <c r="A936" s="3"/>
      <c r="B936" s="466"/>
      <c r="C936" s="667"/>
      <c r="D936" s="667"/>
      <c r="E936" s="668"/>
      <c r="F936" s="667"/>
      <c r="G936" s="667"/>
      <c r="H936" s="667"/>
      <c r="I936" s="667"/>
      <c r="J936" s="667"/>
      <c r="K936" s="667"/>
      <c r="L936" s="667"/>
      <c r="M936" s="667"/>
      <c r="N936" s="667"/>
      <c r="O936" s="667"/>
      <c r="P936" s="667"/>
      <c r="Q936" s="667"/>
      <c r="S936" s="3"/>
      <c r="T936" s="3"/>
      <c r="U936" s="3"/>
      <c r="V936" s="3"/>
      <c r="W936" s="3"/>
      <c r="X936" s="3"/>
      <c r="Y936" s="3"/>
      <c r="Z936" s="3"/>
      <c r="AA936" s="3"/>
      <c r="AB936" s="3"/>
      <c r="AC936" s="3"/>
      <c r="AD936" s="3"/>
      <c r="AE936" s="3"/>
      <c r="AF936" s="3"/>
      <c r="AG936" s="3"/>
      <c r="AH936" s="3"/>
      <c r="AI936" s="3"/>
      <c r="AJ936" s="3"/>
      <c r="AK936" s="3"/>
    </row>
    <row r="937" ht="15.75" customHeight="1">
      <c r="A937" s="3"/>
      <c r="B937" s="466"/>
      <c r="C937" s="667"/>
      <c r="D937" s="667"/>
      <c r="E937" s="668"/>
      <c r="F937" s="667"/>
      <c r="G937" s="667"/>
      <c r="H937" s="667"/>
      <c r="I937" s="667"/>
      <c r="J937" s="667"/>
      <c r="K937" s="667"/>
      <c r="L937" s="667"/>
      <c r="M937" s="667"/>
      <c r="N937" s="667"/>
      <c r="O937" s="667"/>
      <c r="P937" s="667"/>
      <c r="Q937" s="667"/>
      <c r="S937" s="3"/>
      <c r="T937" s="3"/>
      <c r="U937" s="3"/>
      <c r="V937" s="3"/>
      <c r="W937" s="3"/>
      <c r="X937" s="3"/>
      <c r="Y937" s="3"/>
      <c r="Z937" s="3"/>
      <c r="AA937" s="3"/>
      <c r="AB937" s="3"/>
      <c r="AC937" s="3"/>
      <c r="AD937" s="3"/>
      <c r="AE937" s="3"/>
      <c r="AF937" s="3"/>
      <c r="AG937" s="3"/>
      <c r="AH937" s="3"/>
      <c r="AI937" s="3"/>
      <c r="AJ937" s="3"/>
      <c r="AK937" s="3"/>
    </row>
    <row r="938" ht="15.75" customHeight="1">
      <c r="A938" s="3"/>
      <c r="B938" s="466"/>
      <c r="C938" s="667"/>
      <c r="D938" s="667"/>
      <c r="E938" s="668"/>
      <c r="F938" s="667"/>
      <c r="G938" s="667"/>
      <c r="H938" s="667"/>
      <c r="I938" s="667"/>
      <c r="J938" s="667"/>
      <c r="K938" s="667"/>
      <c r="L938" s="667"/>
      <c r="M938" s="667"/>
      <c r="N938" s="667"/>
      <c r="O938" s="667"/>
      <c r="P938" s="667"/>
      <c r="Q938" s="667"/>
      <c r="S938" s="3"/>
      <c r="T938" s="3"/>
      <c r="U938" s="3"/>
      <c r="V938" s="3"/>
      <c r="W938" s="3"/>
      <c r="X938" s="3"/>
      <c r="Y938" s="3"/>
      <c r="Z938" s="3"/>
      <c r="AA938" s="3"/>
      <c r="AB938" s="3"/>
      <c r="AC938" s="3"/>
      <c r="AD938" s="3"/>
      <c r="AE938" s="3"/>
      <c r="AF938" s="3"/>
      <c r="AG938" s="3"/>
      <c r="AH938" s="3"/>
      <c r="AI938" s="3"/>
      <c r="AJ938" s="3"/>
      <c r="AK938" s="3"/>
    </row>
    <row r="939" ht="15.75" customHeight="1">
      <c r="A939" s="3"/>
      <c r="B939" s="466"/>
      <c r="C939" s="667"/>
      <c r="D939" s="667"/>
      <c r="E939" s="668"/>
      <c r="F939" s="667"/>
      <c r="G939" s="667"/>
      <c r="H939" s="667"/>
      <c r="I939" s="667"/>
      <c r="J939" s="667"/>
      <c r="K939" s="667"/>
      <c r="L939" s="667"/>
      <c r="M939" s="667"/>
      <c r="N939" s="667"/>
      <c r="O939" s="667"/>
      <c r="P939" s="667"/>
      <c r="Q939" s="667"/>
      <c r="S939" s="3"/>
      <c r="T939" s="3"/>
      <c r="U939" s="3"/>
      <c r="V939" s="3"/>
      <c r="W939" s="3"/>
      <c r="X939" s="3"/>
      <c r="Y939" s="3"/>
      <c r="Z939" s="3"/>
      <c r="AA939" s="3"/>
      <c r="AB939" s="3"/>
      <c r="AC939" s="3"/>
      <c r="AD939" s="3"/>
      <c r="AE939" s="3"/>
      <c r="AF939" s="3"/>
      <c r="AG939" s="3"/>
      <c r="AH939" s="3"/>
      <c r="AI939" s="3"/>
      <c r="AJ939" s="3"/>
      <c r="AK939" s="3"/>
    </row>
    <row r="940" ht="15.75" customHeight="1">
      <c r="A940" s="3"/>
      <c r="B940" s="466"/>
      <c r="C940" s="667"/>
      <c r="D940" s="667"/>
      <c r="E940" s="668"/>
      <c r="F940" s="667"/>
      <c r="G940" s="667"/>
      <c r="H940" s="667"/>
      <c r="I940" s="667"/>
      <c r="J940" s="667"/>
      <c r="K940" s="667"/>
      <c r="L940" s="667"/>
      <c r="M940" s="667"/>
      <c r="N940" s="667"/>
      <c r="O940" s="667"/>
      <c r="P940" s="667"/>
      <c r="Q940" s="667"/>
      <c r="S940" s="3"/>
      <c r="T940" s="3"/>
      <c r="U940" s="3"/>
      <c r="V940" s="3"/>
      <c r="W940" s="3"/>
      <c r="X940" s="3"/>
      <c r="Y940" s="3"/>
      <c r="Z940" s="3"/>
      <c r="AA940" s="3"/>
      <c r="AB940" s="3"/>
      <c r="AC940" s="3"/>
      <c r="AD940" s="3"/>
      <c r="AE940" s="3"/>
      <c r="AF940" s="3"/>
      <c r="AG940" s="3"/>
      <c r="AH940" s="3"/>
      <c r="AI940" s="3"/>
      <c r="AJ940" s="3"/>
      <c r="AK940" s="3"/>
    </row>
    <row r="941" ht="15.75" customHeight="1">
      <c r="A941" s="3"/>
      <c r="B941" s="466"/>
      <c r="C941" s="667"/>
      <c r="D941" s="667"/>
      <c r="E941" s="668"/>
      <c r="F941" s="667"/>
      <c r="G941" s="667"/>
      <c r="H941" s="667"/>
      <c r="I941" s="667"/>
      <c r="J941" s="667"/>
      <c r="K941" s="667"/>
      <c r="L941" s="667"/>
      <c r="M941" s="667"/>
      <c r="N941" s="667"/>
      <c r="O941" s="667"/>
      <c r="P941" s="667"/>
      <c r="Q941" s="667"/>
      <c r="S941" s="3"/>
      <c r="T941" s="3"/>
      <c r="U941" s="3"/>
      <c r="V941" s="3"/>
      <c r="W941" s="3"/>
      <c r="X941" s="3"/>
      <c r="Y941" s="3"/>
      <c r="Z941" s="3"/>
      <c r="AA941" s="3"/>
      <c r="AB941" s="3"/>
      <c r="AC941" s="3"/>
      <c r="AD941" s="3"/>
      <c r="AE941" s="3"/>
      <c r="AF941" s="3"/>
      <c r="AG941" s="3"/>
      <c r="AH941" s="3"/>
      <c r="AI941" s="3"/>
      <c r="AJ941" s="3"/>
      <c r="AK941" s="3"/>
    </row>
    <row r="942" ht="15.75" customHeight="1">
      <c r="A942" s="3"/>
      <c r="B942" s="466"/>
      <c r="C942" s="667"/>
      <c r="D942" s="667"/>
      <c r="E942" s="668"/>
      <c r="F942" s="667"/>
      <c r="G942" s="667"/>
      <c r="H942" s="667"/>
      <c r="I942" s="667"/>
      <c r="J942" s="667"/>
      <c r="K942" s="667"/>
      <c r="L942" s="667"/>
      <c r="M942" s="667"/>
      <c r="N942" s="667"/>
      <c r="O942" s="667"/>
      <c r="P942" s="667"/>
      <c r="Q942" s="667"/>
      <c r="S942" s="3"/>
      <c r="T942" s="3"/>
      <c r="U942" s="3"/>
      <c r="V942" s="3"/>
      <c r="W942" s="3"/>
      <c r="X942" s="3"/>
      <c r="Y942" s="3"/>
      <c r="Z942" s="3"/>
      <c r="AA942" s="3"/>
      <c r="AB942" s="3"/>
      <c r="AC942" s="3"/>
      <c r="AD942" s="3"/>
      <c r="AE942" s="3"/>
      <c r="AF942" s="3"/>
      <c r="AG942" s="3"/>
      <c r="AH942" s="3"/>
      <c r="AI942" s="3"/>
      <c r="AJ942" s="3"/>
      <c r="AK942" s="3"/>
    </row>
    <row r="943" ht="15.75" customHeight="1">
      <c r="A943" s="3"/>
      <c r="B943" s="466"/>
      <c r="C943" s="667"/>
      <c r="D943" s="667"/>
      <c r="E943" s="668"/>
      <c r="F943" s="667"/>
      <c r="G943" s="667"/>
      <c r="H943" s="667"/>
      <c r="I943" s="667"/>
      <c r="J943" s="667"/>
      <c r="K943" s="667"/>
      <c r="L943" s="667"/>
      <c r="M943" s="667"/>
      <c r="N943" s="667"/>
      <c r="O943" s="667"/>
      <c r="P943" s="667"/>
      <c r="Q943" s="667"/>
      <c r="S943" s="3"/>
      <c r="T943" s="3"/>
      <c r="U943" s="3"/>
      <c r="V943" s="3"/>
      <c r="W943" s="3"/>
      <c r="X943" s="3"/>
      <c r="Y943" s="3"/>
      <c r="Z943" s="3"/>
      <c r="AA943" s="3"/>
      <c r="AB943" s="3"/>
      <c r="AC943" s="3"/>
      <c r="AD943" s="3"/>
      <c r="AE943" s="3"/>
      <c r="AF943" s="3"/>
      <c r="AG943" s="3"/>
      <c r="AH943" s="3"/>
      <c r="AI943" s="3"/>
      <c r="AJ943" s="3"/>
      <c r="AK943" s="3"/>
    </row>
    <row r="944" ht="15.75" customHeight="1">
      <c r="A944" s="3"/>
      <c r="B944" s="466"/>
      <c r="C944" s="667"/>
      <c r="D944" s="667"/>
      <c r="E944" s="668"/>
      <c r="F944" s="667"/>
      <c r="G944" s="667"/>
      <c r="H944" s="667"/>
      <c r="I944" s="667"/>
      <c r="J944" s="667"/>
      <c r="K944" s="667"/>
      <c r="L944" s="667"/>
      <c r="M944" s="667"/>
      <c r="N944" s="667"/>
      <c r="O944" s="667"/>
      <c r="P944" s="667"/>
      <c r="Q944" s="667"/>
      <c r="S944" s="3"/>
      <c r="T944" s="3"/>
      <c r="U944" s="3"/>
      <c r="V944" s="3"/>
      <c r="W944" s="3"/>
      <c r="X944" s="3"/>
      <c r="Y944" s="3"/>
      <c r="Z944" s="3"/>
      <c r="AA944" s="3"/>
      <c r="AB944" s="3"/>
      <c r="AC944" s="3"/>
      <c r="AD944" s="3"/>
      <c r="AE944" s="3"/>
      <c r="AF944" s="3"/>
      <c r="AG944" s="3"/>
      <c r="AH944" s="3"/>
      <c r="AI944" s="3"/>
      <c r="AJ944" s="3"/>
      <c r="AK944" s="3"/>
    </row>
    <row r="945" ht="15.75" customHeight="1">
      <c r="A945" s="3"/>
      <c r="B945" s="466"/>
      <c r="C945" s="667"/>
      <c r="D945" s="667"/>
      <c r="E945" s="668"/>
      <c r="F945" s="667"/>
      <c r="G945" s="667"/>
      <c r="H945" s="667"/>
      <c r="I945" s="667"/>
      <c r="J945" s="667"/>
      <c r="K945" s="667"/>
      <c r="L945" s="667"/>
      <c r="M945" s="667"/>
      <c r="N945" s="667"/>
      <c r="O945" s="667"/>
      <c r="P945" s="667"/>
      <c r="Q945" s="667"/>
      <c r="S945" s="3"/>
      <c r="T945" s="3"/>
      <c r="U945" s="3"/>
      <c r="V945" s="3"/>
      <c r="W945" s="3"/>
      <c r="X945" s="3"/>
      <c r="Y945" s="3"/>
      <c r="Z945" s="3"/>
      <c r="AA945" s="3"/>
      <c r="AB945" s="3"/>
      <c r="AC945" s="3"/>
      <c r="AD945" s="3"/>
      <c r="AE945" s="3"/>
      <c r="AF945" s="3"/>
      <c r="AG945" s="3"/>
      <c r="AH945" s="3"/>
      <c r="AI945" s="3"/>
      <c r="AJ945" s="3"/>
      <c r="AK945" s="3"/>
    </row>
    <row r="946" ht="15.75" customHeight="1">
      <c r="A946" s="3"/>
      <c r="B946" s="466"/>
      <c r="C946" s="667"/>
      <c r="D946" s="667"/>
      <c r="E946" s="668"/>
      <c r="F946" s="667"/>
      <c r="G946" s="667"/>
      <c r="H946" s="667"/>
      <c r="I946" s="667"/>
      <c r="J946" s="667"/>
      <c r="K946" s="667"/>
      <c r="L946" s="667"/>
      <c r="M946" s="667"/>
      <c r="N946" s="667"/>
      <c r="O946" s="667"/>
      <c r="P946" s="667"/>
      <c r="Q946" s="667"/>
      <c r="S946" s="3"/>
      <c r="T946" s="3"/>
      <c r="U946" s="3"/>
      <c r="V946" s="3"/>
      <c r="W946" s="3"/>
      <c r="X946" s="3"/>
      <c r="Y946" s="3"/>
      <c r="Z946" s="3"/>
      <c r="AA946" s="3"/>
      <c r="AB946" s="3"/>
      <c r="AC946" s="3"/>
      <c r="AD946" s="3"/>
      <c r="AE946" s="3"/>
      <c r="AF946" s="3"/>
      <c r="AG946" s="3"/>
      <c r="AH946" s="3"/>
      <c r="AI946" s="3"/>
      <c r="AJ946" s="3"/>
      <c r="AK946" s="3"/>
    </row>
    <row r="947" ht="15.75" customHeight="1">
      <c r="A947" s="3"/>
      <c r="B947" s="466"/>
      <c r="C947" s="667"/>
      <c r="D947" s="667"/>
      <c r="E947" s="668"/>
      <c r="F947" s="667"/>
      <c r="G947" s="667"/>
      <c r="H947" s="667"/>
      <c r="I947" s="667"/>
      <c r="J947" s="667"/>
      <c r="K947" s="667"/>
      <c r="L947" s="667"/>
      <c r="M947" s="667"/>
      <c r="N947" s="667"/>
      <c r="O947" s="667"/>
      <c r="P947" s="667"/>
      <c r="Q947" s="667"/>
      <c r="S947" s="3"/>
      <c r="T947" s="3"/>
      <c r="U947" s="3"/>
      <c r="V947" s="3"/>
      <c r="W947" s="3"/>
      <c r="X947" s="3"/>
      <c r="Y947" s="3"/>
      <c r="Z947" s="3"/>
      <c r="AA947" s="3"/>
      <c r="AB947" s="3"/>
      <c r="AC947" s="3"/>
      <c r="AD947" s="3"/>
      <c r="AE947" s="3"/>
      <c r="AF947" s="3"/>
      <c r="AG947" s="3"/>
      <c r="AH947" s="3"/>
      <c r="AI947" s="3"/>
      <c r="AJ947" s="3"/>
      <c r="AK947" s="3"/>
    </row>
    <row r="948" ht="15.75" customHeight="1">
      <c r="A948" s="3"/>
      <c r="B948" s="466"/>
      <c r="C948" s="667"/>
      <c r="D948" s="667"/>
      <c r="E948" s="668"/>
      <c r="F948" s="667"/>
      <c r="G948" s="667"/>
      <c r="H948" s="667"/>
      <c r="I948" s="667"/>
      <c r="J948" s="667"/>
      <c r="K948" s="667"/>
      <c r="L948" s="667"/>
      <c r="M948" s="667"/>
      <c r="N948" s="667"/>
      <c r="O948" s="667"/>
      <c r="P948" s="667"/>
      <c r="Q948" s="667"/>
      <c r="S948" s="3"/>
      <c r="T948" s="3"/>
      <c r="U948" s="3"/>
      <c r="V948" s="3"/>
      <c r="W948" s="3"/>
      <c r="X948" s="3"/>
      <c r="Y948" s="3"/>
      <c r="Z948" s="3"/>
      <c r="AA948" s="3"/>
      <c r="AB948" s="3"/>
      <c r="AC948" s="3"/>
      <c r="AD948" s="3"/>
      <c r="AE948" s="3"/>
      <c r="AF948" s="3"/>
      <c r="AG948" s="3"/>
      <c r="AH948" s="3"/>
      <c r="AI948" s="3"/>
      <c r="AJ948" s="3"/>
      <c r="AK948" s="3"/>
    </row>
    <row r="949" ht="15.75" customHeight="1">
      <c r="A949" s="3"/>
      <c r="B949" s="466"/>
      <c r="C949" s="667"/>
      <c r="D949" s="667"/>
      <c r="E949" s="668"/>
      <c r="F949" s="667"/>
      <c r="G949" s="667"/>
      <c r="H949" s="667"/>
      <c r="I949" s="667"/>
      <c r="J949" s="667"/>
      <c r="K949" s="667"/>
      <c r="L949" s="667"/>
      <c r="M949" s="667"/>
      <c r="N949" s="667"/>
      <c r="O949" s="667"/>
      <c r="P949" s="667"/>
      <c r="Q949" s="667"/>
      <c r="S949" s="3"/>
      <c r="T949" s="3"/>
      <c r="U949" s="3"/>
      <c r="V949" s="3"/>
      <c r="W949" s="3"/>
      <c r="X949" s="3"/>
      <c r="Y949" s="3"/>
      <c r="Z949" s="3"/>
      <c r="AA949" s="3"/>
      <c r="AB949" s="3"/>
      <c r="AC949" s="3"/>
      <c r="AD949" s="3"/>
      <c r="AE949" s="3"/>
      <c r="AF949" s="3"/>
      <c r="AG949" s="3"/>
      <c r="AH949" s="3"/>
      <c r="AI949" s="3"/>
      <c r="AJ949" s="3"/>
      <c r="AK949" s="3"/>
    </row>
    <row r="950" ht="15.75" customHeight="1">
      <c r="A950" s="3"/>
      <c r="B950" s="466"/>
      <c r="C950" s="667"/>
      <c r="D950" s="667"/>
      <c r="E950" s="668"/>
      <c r="F950" s="667"/>
      <c r="G950" s="667"/>
      <c r="H950" s="667"/>
      <c r="I950" s="667"/>
      <c r="J950" s="667"/>
      <c r="K950" s="667"/>
      <c r="L950" s="667"/>
      <c r="M950" s="667"/>
      <c r="N950" s="667"/>
      <c r="O950" s="667"/>
      <c r="P950" s="667"/>
      <c r="Q950" s="667"/>
      <c r="S950" s="3"/>
      <c r="T950" s="3"/>
      <c r="U950" s="3"/>
      <c r="V950" s="3"/>
      <c r="W950" s="3"/>
      <c r="X950" s="3"/>
      <c r="Y950" s="3"/>
      <c r="Z950" s="3"/>
      <c r="AA950" s="3"/>
      <c r="AB950" s="3"/>
      <c r="AC950" s="3"/>
      <c r="AD950" s="3"/>
      <c r="AE950" s="3"/>
      <c r="AF950" s="3"/>
      <c r="AG950" s="3"/>
      <c r="AH950" s="3"/>
      <c r="AI950" s="3"/>
      <c r="AJ950" s="3"/>
      <c r="AK950" s="3"/>
    </row>
    <row r="951" ht="15.75" customHeight="1">
      <c r="A951" s="3"/>
      <c r="B951" s="466"/>
      <c r="C951" s="667"/>
      <c r="D951" s="667"/>
      <c r="E951" s="668"/>
      <c r="F951" s="667"/>
      <c r="G951" s="667"/>
      <c r="H951" s="667"/>
      <c r="I951" s="667"/>
      <c r="J951" s="667"/>
      <c r="K951" s="667"/>
      <c r="L951" s="667"/>
      <c r="M951" s="667"/>
      <c r="N951" s="667"/>
      <c r="O951" s="667"/>
      <c r="P951" s="667"/>
      <c r="Q951" s="667"/>
      <c r="S951" s="3"/>
      <c r="T951" s="3"/>
      <c r="U951" s="3"/>
      <c r="V951" s="3"/>
      <c r="W951" s="3"/>
      <c r="X951" s="3"/>
      <c r="Y951" s="3"/>
      <c r="Z951" s="3"/>
      <c r="AA951" s="3"/>
      <c r="AB951" s="3"/>
      <c r="AC951" s="3"/>
      <c r="AD951" s="3"/>
      <c r="AE951" s="3"/>
      <c r="AF951" s="3"/>
      <c r="AG951" s="3"/>
      <c r="AH951" s="3"/>
      <c r="AI951" s="3"/>
      <c r="AJ951" s="3"/>
      <c r="AK951" s="3"/>
    </row>
    <row r="952" ht="15.75" customHeight="1">
      <c r="A952" s="3"/>
      <c r="B952" s="466"/>
      <c r="C952" s="667"/>
      <c r="D952" s="667"/>
      <c r="E952" s="668"/>
      <c r="F952" s="667"/>
      <c r="G952" s="667"/>
      <c r="H952" s="667"/>
      <c r="I952" s="667"/>
      <c r="J952" s="667"/>
      <c r="K952" s="667"/>
      <c r="L952" s="667"/>
      <c r="M952" s="667"/>
      <c r="N952" s="667"/>
      <c r="O952" s="667"/>
      <c r="P952" s="667"/>
      <c r="Q952" s="667"/>
      <c r="S952" s="3"/>
      <c r="T952" s="3"/>
      <c r="U952" s="3"/>
      <c r="V952" s="3"/>
      <c r="W952" s="3"/>
      <c r="X952" s="3"/>
      <c r="Y952" s="3"/>
      <c r="Z952" s="3"/>
      <c r="AA952" s="3"/>
      <c r="AB952" s="3"/>
      <c r="AC952" s="3"/>
      <c r="AD952" s="3"/>
      <c r="AE952" s="3"/>
      <c r="AF952" s="3"/>
      <c r="AG952" s="3"/>
      <c r="AH952" s="3"/>
      <c r="AI952" s="3"/>
      <c r="AJ952" s="3"/>
      <c r="AK952" s="3"/>
    </row>
    <row r="953" ht="15.75" customHeight="1">
      <c r="A953" s="3"/>
      <c r="B953" s="466"/>
      <c r="C953" s="667"/>
      <c r="D953" s="667"/>
      <c r="E953" s="668"/>
      <c r="F953" s="667"/>
      <c r="G953" s="667"/>
      <c r="H953" s="667"/>
      <c r="I953" s="667"/>
      <c r="J953" s="667"/>
      <c r="K953" s="667"/>
      <c r="L953" s="667"/>
      <c r="M953" s="667"/>
      <c r="N953" s="667"/>
      <c r="O953" s="667"/>
      <c r="P953" s="667"/>
      <c r="Q953" s="667"/>
      <c r="S953" s="3"/>
      <c r="T953" s="3"/>
      <c r="U953" s="3"/>
      <c r="V953" s="3"/>
      <c r="W953" s="3"/>
      <c r="X953" s="3"/>
      <c r="Y953" s="3"/>
      <c r="Z953" s="3"/>
      <c r="AA953" s="3"/>
      <c r="AB953" s="3"/>
      <c r="AC953" s="3"/>
      <c r="AD953" s="3"/>
      <c r="AE953" s="3"/>
      <c r="AF953" s="3"/>
      <c r="AG953" s="3"/>
      <c r="AH953" s="3"/>
      <c r="AI953" s="3"/>
      <c r="AJ953" s="3"/>
      <c r="AK953" s="3"/>
    </row>
    <row r="954" ht="15.75" customHeight="1">
      <c r="A954" s="3"/>
      <c r="B954" s="466"/>
      <c r="C954" s="667"/>
      <c r="D954" s="667"/>
      <c r="E954" s="668"/>
      <c r="F954" s="667"/>
      <c r="G954" s="667"/>
      <c r="H954" s="667"/>
      <c r="I954" s="667"/>
      <c r="J954" s="667"/>
      <c r="K954" s="667"/>
      <c r="L954" s="667"/>
      <c r="M954" s="667"/>
      <c r="N954" s="667"/>
      <c r="O954" s="667"/>
      <c r="P954" s="667"/>
      <c r="Q954" s="667"/>
      <c r="S954" s="3"/>
      <c r="T954" s="3"/>
      <c r="U954" s="3"/>
      <c r="V954" s="3"/>
      <c r="W954" s="3"/>
      <c r="X954" s="3"/>
      <c r="Y954" s="3"/>
      <c r="Z954" s="3"/>
      <c r="AA954" s="3"/>
      <c r="AB954" s="3"/>
      <c r="AC954" s="3"/>
      <c r="AD954" s="3"/>
      <c r="AE954" s="3"/>
      <c r="AF954" s="3"/>
      <c r="AG954" s="3"/>
      <c r="AH954" s="3"/>
      <c r="AI954" s="3"/>
      <c r="AJ954" s="3"/>
      <c r="AK954" s="3"/>
    </row>
    <row r="955" ht="15.75" customHeight="1">
      <c r="A955" s="3"/>
      <c r="B955" s="466"/>
      <c r="C955" s="667"/>
      <c r="D955" s="667"/>
      <c r="E955" s="668"/>
      <c r="F955" s="667"/>
      <c r="G955" s="667"/>
      <c r="H955" s="667"/>
      <c r="I955" s="667"/>
      <c r="J955" s="667"/>
      <c r="K955" s="667"/>
      <c r="L955" s="667"/>
      <c r="M955" s="667"/>
      <c r="N955" s="667"/>
      <c r="O955" s="667"/>
      <c r="P955" s="667"/>
      <c r="Q955" s="667"/>
      <c r="S955" s="3"/>
      <c r="T955" s="3"/>
      <c r="U955" s="3"/>
      <c r="V955" s="3"/>
      <c r="W955" s="3"/>
      <c r="X955" s="3"/>
      <c r="Y955" s="3"/>
      <c r="Z955" s="3"/>
      <c r="AA955" s="3"/>
      <c r="AB955" s="3"/>
      <c r="AC955" s="3"/>
      <c r="AD955" s="3"/>
      <c r="AE955" s="3"/>
      <c r="AF955" s="3"/>
      <c r="AG955" s="3"/>
      <c r="AH955" s="3"/>
      <c r="AI955" s="3"/>
      <c r="AJ955" s="3"/>
      <c r="AK955" s="3"/>
    </row>
    <row r="956" ht="15.75" customHeight="1">
      <c r="A956" s="3"/>
      <c r="B956" s="466"/>
      <c r="C956" s="667"/>
      <c r="D956" s="667"/>
      <c r="E956" s="668"/>
      <c r="F956" s="667"/>
      <c r="G956" s="667"/>
      <c r="H956" s="667"/>
      <c r="I956" s="667"/>
      <c r="J956" s="667"/>
      <c r="K956" s="667"/>
      <c r="L956" s="667"/>
      <c r="M956" s="667"/>
      <c r="N956" s="667"/>
      <c r="O956" s="667"/>
      <c r="P956" s="667"/>
      <c r="Q956" s="667"/>
      <c r="S956" s="3"/>
      <c r="T956" s="3"/>
      <c r="U956" s="3"/>
      <c r="V956" s="3"/>
      <c r="W956" s="3"/>
      <c r="X956" s="3"/>
      <c r="Y956" s="3"/>
      <c r="Z956" s="3"/>
      <c r="AA956" s="3"/>
      <c r="AB956" s="3"/>
      <c r="AC956" s="3"/>
      <c r="AD956" s="3"/>
      <c r="AE956" s="3"/>
      <c r="AF956" s="3"/>
      <c r="AG956" s="3"/>
      <c r="AH956" s="3"/>
      <c r="AI956" s="3"/>
      <c r="AJ956" s="3"/>
      <c r="AK956" s="3"/>
    </row>
    <row r="957" ht="15.75" customHeight="1">
      <c r="A957" s="3"/>
      <c r="B957" s="466"/>
      <c r="C957" s="667"/>
      <c r="D957" s="667"/>
      <c r="E957" s="668"/>
      <c r="F957" s="667"/>
      <c r="G957" s="667"/>
      <c r="H957" s="667"/>
      <c r="I957" s="667"/>
      <c r="J957" s="667"/>
      <c r="K957" s="667"/>
      <c r="L957" s="667"/>
      <c r="M957" s="667"/>
      <c r="N957" s="667"/>
      <c r="O957" s="667"/>
      <c r="P957" s="667"/>
      <c r="Q957" s="667"/>
      <c r="S957" s="3"/>
      <c r="T957" s="3"/>
      <c r="U957" s="3"/>
      <c r="V957" s="3"/>
      <c r="W957" s="3"/>
      <c r="X957" s="3"/>
      <c r="Y957" s="3"/>
      <c r="Z957" s="3"/>
      <c r="AA957" s="3"/>
      <c r="AB957" s="3"/>
      <c r="AC957" s="3"/>
      <c r="AD957" s="3"/>
      <c r="AE957" s="3"/>
      <c r="AF957" s="3"/>
      <c r="AG957" s="3"/>
      <c r="AH957" s="3"/>
      <c r="AI957" s="3"/>
      <c r="AJ957" s="3"/>
      <c r="AK957" s="3"/>
    </row>
    <row r="958" ht="15.75" customHeight="1">
      <c r="A958" s="3"/>
      <c r="B958" s="466"/>
      <c r="C958" s="667"/>
      <c r="D958" s="667"/>
      <c r="E958" s="668"/>
      <c r="F958" s="667"/>
      <c r="G958" s="667"/>
      <c r="H958" s="667"/>
      <c r="I958" s="667"/>
      <c r="J958" s="667"/>
      <c r="K958" s="667"/>
      <c r="L958" s="667"/>
      <c r="M958" s="667"/>
      <c r="N958" s="667"/>
      <c r="O958" s="667"/>
      <c r="P958" s="667"/>
      <c r="Q958" s="667"/>
      <c r="S958" s="3"/>
      <c r="T958" s="3"/>
      <c r="U958" s="3"/>
      <c r="V958" s="3"/>
      <c r="W958" s="3"/>
      <c r="X958" s="3"/>
      <c r="Y958" s="3"/>
      <c r="Z958" s="3"/>
      <c r="AA958" s="3"/>
      <c r="AB958" s="3"/>
      <c r="AC958" s="3"/>
      <c r="AD958" s="3"/>
      <c r="AE958" s="3"/>
      <c r="AF958" s="3"/>
      <c r="AG958" s="3"/>
      <c r="AH958" s="3"/>
      <c r="AI958" s="3"/>
      <c r="AJ958" s="3"/>
      <c r="AK958" s="3"/>
    </row>
    <row r="959" ht="15.75" customHeight="1">
      <c r="A959" s="3"/>
      <c r="B959" s="466"/>
      <c r="C959" s="667"/>
      <c r="D959" s="667"/>
      <c r="E959" s="668"/>
      <c r="F959" s="667"/>
      <c r="G959" s="667"/>
      <c r="H959" s="667"/>
      <c r="I959" s="667"/>
      <c r="J959" s="667"/>
      <c r="K959" s="667"/>
      <c r="L959" s="667"/>
      <c r="M959" s="667"/>
      <c r="N959" s="667"/>
      <c r="O959" s="667"/>
      <c r="P959" s="667"/>
      <c r="Q959" s="667"/>
      <c r="S959" s="3"/>
      <c r="T959" s="3"/>
      <c r="U959" s="3"/>
      <c r="V959" s="3"/>
      <c r="W959" s="3"/>
      <c r="X959" s="3"/>
      <c r="Y959" s="3"/>
      <c r="Z959" s="3"/>
      <c r="AA959" s="3"/>
      <c r="AB959" s="3"/>
      <c r="AC959" s="3"/>
      <c r="AD959" s="3"/>
      <c r="AE959" s="3"/>
      <c r="AF959" s="3"/>
      <c r="AG959" s="3"/>
      <c r="AH959" s="3"/>
      <c r="AI959" s="3"/>
      <c r="AJ959" s="3"/>
      <c r="AK959" s="3"/>
    </row>
    <row r="960" ht="15.75" customHeight="1">
      <c r="A960" s="3"/>
      <c r="B960" s="466"/>
      <c r="C960" s="667"/>
      <c r="D960" s="667"/>
      <c r="E960" s="668"/>
      <c r="F960" s="667"/>
      <c r="G960" s="667"/>
      <c r="H960" s="667"/>
      <c r="I960" s="667"/>
      <c r="J960" s="667"/>
      <c r="K960" s="667"/>
      <c r="L960" s="667"/>
      <c r="M960" s="667"/>
      <c r="N960" s="667"/>
      <c r="O960" s="667"/>
      <c r="P960" s="667"/>
      <c r="Q960" s="667"/>
      <c r="S960" s="3"/>
      <c r="T960" s="3"/>
      <c r="U960" s="3"/>
      <c r="V960" s="3"/>
      <c r="W960" s="3"/>
      <c r="X960" s="3"/>
      <c r="Y960" s="3"/>
      <c r="Z960" s="3"/>
      <c r="AA960" s="3"/>
      <c r="AB960" s="3"/>
      <c r="AC960" s="3"/>
      <c r="AD960" s="3"/>
      <c r="AE960" s="3"/>
      <c r="AF960" s="3"/>
      <c r="AG960" s="3"/>
      <c r="AH960" s="3"/>
      <c r="AI960" s="3"/>
      <c r="AJ960" s="3"/>
      <c r="AK960" s="3"/>
    </row>
    <row r="961" ht="15.75" customHeight="1">
      <c r="A961" s="3"/>
      <c r="B961" s="466"/>
      <c r="C961" s="667"/>
      <c r="D961" s="667"/>
      <c r="E961" s="668"/>
      <c r="F961" s="667"/>
      <c r="G961" s="667"/>
      <c r="H961" s="667"/>
      <c r="I961" s="667"/>
      <c r="J961" s="667"/>
      <c r="K961" s="667"/>
      <c r="L961" s="667"/>
      <c r="M961" s="667"/>
      <c r="N961" s="667"/>
      <c r="O961" s="667"/>
      <c r="P961" s="667"/>
      <c r="Q961" s="667"/>
      <c r="S961" s="3"/>
      <c r="T961" s="3"/>
      <c r="U961" s="3"/>
      <c r="V961" s="3"/>
      <c r="W961" s="3"/>
      <c r="X961" s="3"/>
      <c r="Y961" s="3"/>
      <c r="Z961" s="3"/>
      <c r="AA961" s="3"/>
      <c r="AB961" s="3"/>
      <c r="AC961" s="3"/>
      <c r="AD961" s="3"/>
      <c r="AE961" s="3"/>
      <c r="AF961" s="3"/>
      <c r="AG961" s="3"/>
      <c r="AH961" s="3"/>
      <c r="AI961" s="3"/>
      <c r="AJ961" s="3"/>
      <c r="AK961" s="3"/>
    </row>
    <row r="962" ht="15.75" customHeight="1">
      <c r="A962" s="3"/>
      <c r="B962" s="466"/>
      <c r="C962" s="667"/>
      <c r="D962" s="667"/>
      <c r="E962" s="668"/>
      <c r="F962" s="667"/>
      <c r="G962" s="667"/>
      <c r="H962" s="667"/>
      <c r="I962" s="667"/>
      <c r="J962" s="667"/>
      <c r="K962" s="667"/>
      <c r="L962" s="667"/>
      <c r="M962" s="667"/>
      <c r="N962" s="667"/>
      <c r="O962" s="667"/>
      <c r="P962" s="667"/>
      <c r="Q962" s="667"/>
      <c r="S962" s="3"/>
      <c r="T962" s="3"/>
      <c r="U962" s="3"/>
      <c r="V962" s="3"/>
      <c r="W962" s="3"/>
      <c r="X962" s="3"/>
      <c r="Y962" s="3"/>
      <c r="Z962" s="3"/>
      <c r="AA962" s="3"/>
      <c r="AB962" s="3"/>
      <c r="AC962" s="3"/>
      <c r="AD962" s="3"/>
      <c r="AE962" s="3"/>
      <c r="AF962" s="3"/>
      <c r="AG962" s="3"/>
      <c r="AH962" s="3"/>
      <c r="AI962" s="3"/>
      <c r="AJ962" s="3"/>
      <c r="AK962" s="3"/>
    </row>
    <row r="963" ht="15.75" customHeight="1">
      <c r="A963" s="3"/>
      <c r="B963" s="466"/>
      <c r="C963" s="667"/>
      <c r="D963" s="667"/>
      <c r="E963" s="668"/>
      <c r="F963" s="667"/>
      <c r="G963" s="667"/>
      <c r="H963" s="667"/>
      <c r="I963" s="667"/>
      <c r="J963" s="667"/>
      <c r="K963" s="667"/>
      <c r="L963" s="667"/>
      <c r="M963" s="667"/>
      <c r="N963" s="667"/>
      <c r="O963" s="667"/>
      <c r="P963" s="667"/>
      <c r="Q963" s="667"/>
      <c r="S963" s="3"/>
      <c r="T963" s="3"/>
      <c r="U963" s="3"/>
      <c r="V963" s="3"/>
      <c r="W963" s="3"/>
      <c r="X963" s="3"/>
      <c r="Y963" s="3"/>
      <c r="Z963" s="3"/>
      <c r="AA963" s="3"/>
      <c r="AB963" s="3"/>
      <c r="AC963" s="3"/>
      <c r="AD963" s="3"/>
      <c r="AE963" s="3"/>
      <c r="AF963" s="3"/>
      <c r="AG963" s="3"/>
      <c r="AH963" s="3"/>
      <c r="AI963" s="3"/>
      <c r="AJ963" s="3"/>
      <c r="AK963" s="3"/>
    </row>
    <row r="964" ht="15.75" customHeight="1">
      <c r="A964" s="3"/>
      <c r="B964" s="466"/>
      <c r="C964" s="667"/>
      <c r="D964" s="667"/>
      <c r="E964" s="668"/>
      <c r="F964" s="667"/>
      <c r="G964" s="667"/>
      <c r="H964" s="667"/>
      <c r="I964" s="667"/>
      <c r="J964" s="667"/>
      <c r="K964" s="667"/>
      <c r="L964" s="667"/>
      <c r="M964" s="667"/>
      <c r="N964" s="667"/>
      <c r="O964" s="667"/>
      <c r="P964" s="667"/>
      <c r="Q964" s="667"/>
      <c r="S964" s="3"/>
      <c r="T964" s="3"/>
      <c r="U964" s="3"/>
      <c r="V964" s="3"/>
      <c r="W964" s="3"/>
      <c r="X964" s="3"/>
      <c r="Y964" s="3"/>
      <c r="Z964" s="3"/>
      <c r="AA964" s="3"/>
      <c r="AB964" s="3"/>
      <c r="AC964" s="3"/>
      <c r="AD964" s="3"/>
      <c r="AE964" s="3"/>
      <c r="AF964" s="3"/>
      <c r="AG964" s="3"/>
      <c r="AH964" s="3"/>
      <c r="AI964" s="3"/>
      <c r="AJ964" s="3"/>
      <c r="AK964" s="3"/>
    </row>
    <row r="965" ht="15.75" customHeight="1">
      <c r="A965" s="3"/>
      <c r="B965" s="466"/>
      <c r="C965" s="667"/>
      <c r="D965" s="667"/>
      <c r="E965" s="668"/>
      <c r="F965" s="667"/>
      <c r="G965" s="667"/>
      <c r="H965" s="667"/>
      <c r="I965" s="667"/>
      <c r="J965" s="667"/>
      <c r="K965" s="667"/>
      <c r="L965" s="667"/>
      <c r="M965" s="667"/>
      <c r="N965" s="667"/>
      <c r="O965" s="667"/>
      <c r="P965" s="667"/>
      <c r="Q965" s="667"/>
      <c r="S965" s="3"/>
      <c r="T965" s="3"/>
      <c r="U965" s="3"/>
      <c r="V965" s="3"/>
      <c r="W965" s="3"/>
      <c r="X965" s="3"/>
      <c r="Y965" s="3"/>
      <c r="Z965" s="3"/>
      <c r="AA965" s="3"/>
      <c r="AB965" s="3"/>
      <c r="AC965" s="3"/>
      <c r="AD965" s="3"/>
      <c r="AE965" s="3"/>
      <c r="AF965" s="3"/>
      <c r="AG965" s="3"/>
      <c r="AH965" s="3"/>
      <c r="AI965" s="3"/>
      <c r="AJ965" s="3"/>
      <c r="AK965" s="3"/>
    </row>
    <row r="966" ht="15.75" customHeight="1">
      <c r="A966" s="3"/>
      <c r="B966" s="466"/>
      <c r="C966" s="667"/>
      <c r="D966" s="667"/>
      <c r="E966" s="668"/>
      <c r="F966" s="667"/>
      <c r="G966" s="667"/>
      <c r="H966" s="667"/>
      <c r="I966" s="667"/>
      <c r="J966" s="667"/>
      <c r="K966" s="667"/>
      <c r="L966" s="667"/>
      <c r="M966" s="667"/>
      <c r="N966" s="667"/>
      <c r="O966" s="667"/>
      <c r="P966" s="667"/>
      <c r="Q966" s="667"/>
      <c r="S966" s="3"/>
      <c r="T966" s="3"/>
      <c r="U966" s="3"/>
      <c r="V966" s="3"/>
      <c r="W966" s="3"/>
      <c r="X966" s="3"/>
      <c r="Y966" s="3"/>
      <c r="Z966" s="3"/>
      <c r="AA966" s="3"/>
      <c r="AB966" s="3"/>
      <c r="AC966" s="3"/>
      <c r="AD966" s="3"/>
      <c r="AE966" s="3"/>
      <c r="AF966" s="3"/>
      <c r="AG966" s="3"/>
      <c r="AH966" s="3"/>
      <c r="AI966" s="3"/>
      <c r="AJ966" s="3"/>
      <c r="AK966" s="3"/>
    </row>
    <row r="967" ht="15.75" customHeight="1">
      <c r="A967" s="3"/>
      <c r="B967" s="466"/>
      <c r="C967" s="667"/>
      <c r="D967" s="667"/>
      <c r="E967" s="668"/>
      <c r="F967" s="667"/>
      <c r="G967" s="667"/>
      <c r="H967" s="667"/>
      <c r="I967" s="667"/>
      <c r="J967" s="667"/>
      <c r="K967" s="667"/>
      <c r="L967" s="667"/>
      <c r="M967" s="667"/>
      <c r="N967" s="667"/>
      <c r="O967" s="667"/>
      <c r="P967" s="667"/>
      <c r="Q967" s="667"/>
      <c r="S967" s="3"/>
      <c r="T967" s="3"/>
      <c r="U967" s="3"/>
      <c r="V967" s="3"/>
      <c r="W967" s="3"/>
      <c r="X967" s="3"/>
      <c r="Y967" s="3"/>
      <c r="Z967" s="3"/>
      <c r="AA967" s="3"/>
      <c r="AB967" s="3"/>
      <c r="AC967" s="3"/>
      <c r="AD967" s="3"/>
      <c r="AE967" s="3"/>
      <c r="AF967" s="3"/>
      <c r="AG967" s="3"/>
      <c r="AH967" s="3"/>
      <c r="AI967" s="3"/>
      <c r="AJ967" s="3"/>
      <c r="AK967" s="3"/>
    </row>
    <row r="968" ht="15.75" customHeight="1">
      <c r="A968" s="3"/>
      <c r="B968" s="466"/>
      <c r="C968" s="667"/>
      <c r="D968" s="667"/>
      <c r="E968" s="668"/>
      <c r="F968" s="667"/>
      <c r="G968" s="667"/>
      <c r="H968" s="667"/>
      <c r="I968" s="667"/>
      <c r="J968" s="667"/>
      <c r="K968" s="667"/>
      <c r="L968" s="667"/>
      <c r="M968" s="667"/>
      <c r="N968" s="667"/>
      <c r="O968" s="667"/>
      <c r="P968" s="667"/>
      <c r="Q968" s="667"/>
      <c r="S968" s="3"/>
      <c r="T968" s="3"/>
      <c r="U968" s="3"/>
      <c r="V968" s="3"/>
      <c r="W968" s="3"/>
      <c r="X968" s="3"/>
      <c r="Y968" s="3"/>
      <c r="Z968" s="3"/>
      <c r="AA968" s="3"/>
      <c r="AB968" s="3"/>
      <c r="AC968" s="3"/>
      <c r="AD968" s="3"/>
      <c r="AE968" s="3"/>
      <c r="AF968" s="3"/>
      <c r="AG968" s="3"/>
      <c r="AH968" s="3"/>
      <c r="AI968" s="3"/>
      <c r="AJ968" s="3"/>
      <c r="AK968" s="3"/>
    </row>
    <row r="969" ht="15.75" customHeight="1">
      <c r="A969" s="3"/>
      <c r="B969" s="466"/>
      <c r="C969" s="667"/>
      <c r="D969" s="667"/>
      <c r="E969" s="668"/>
      <c r="F969" s="667"/>
      <c r="G969" s="667"/>
      <c r="H969" s="667"/>
      <c r="I969" s="667"/>
      <c r="J969" s="667"/>
      <c r="K969" s="667"/>
      <c r="L969" s="667"/>
      <c r="M969" s="667"/>
      <c r="N969" s="667"/>
      <c r="O969" s="667"/>
      <c r="P969" s="667"/>
      <c r="Q969" s="667"/>
      <c r="S969" s="3"/>
      <c r="T969" s="3"/>
      <c r="U969" s="3"/>
      <c r="V969" s="3"/>
      <c r="W969" s="3"/>
      <c r="X969" s="3"/>
      <c r="Y969" s="3"/>
      <c r="Z969" s="3"/>
      <c r="AA969" s="3"/>
      <c r="AB969" s="3"/>
      <c r="AC969" s="3"/>
      <c r="AD969" s="3"/>
      <c r="AE969" s="3"/>
      <c r="AF969" s="3"/>
      <c r="AG969" s="3"/>
      <c r="AH969" s="3"/>
      <c r="AI969" s="3"/>
      <c r="AJ969" s="3"/>
      <c r="AK969" s="3"/>
    </row>
    <row r="970" ht="15.75" customHeight="1">
      <c r="A970" s="3"/>
      <c r="B970" s="466"/>
      <c r="C970" s="667"/>
      <c r="D970" s="667"/>
      <c r="E970" s="668"/>
      <c r="F970" s="667"/>
      <c r="G970" s="667"/>
      <c r="H970" s="667"/>
      <c r="I970" s="667"/>
      <c r="J970" s="667"/>
      <c r="K970" s="667"/>
      <c r="L970" s="667"/>
      <c r="M970" s="667"/>
      <c r="N970" s="667"/>
      <c r="O970" s="667"/>
      <c r="P970" s="667"/>
      <c r="Q970" s="667"/>
      <c r="S970" s="3"/>
      <c r="T970" s="3"/>
      <c r="U970" s="3"/>
      <c r="V970" s="3"/>
      <c r="W970" s="3"/>
      <c r="X970" s="3"/>
      <c r="Y970" s="3"/>
      <c r="Z970" s="3"/>
      <c r="AA970" s="3"/>
      <c r="AB970" s="3"/>
      <c r="AC970" s="3"/>
      <c r="AD970" s="3"/>
      <c r="AE970" s="3"/>
      <c r="AF970" s="3"/>
      <c r="AG970" s="3"/>
      <c r="AH970" s="3"/>
      <c r="AI970" s="3"/>
      <c r="AJ970" s="3"/>
      <c r="AK970" s="3"/>
    </row>
    <row r="971" ht="15.75" customHeight="1">
      <c r="A971" s="3"/>
      <c r="B971" s="466"/>
      <c r="C971" s="667"/>
      <c r="D971" s="667"/>
      <c r="E971" s="668"/>
      <c r="F971" s="667"/>
      <c r="G971" s="667"/>
      <c r="H971" s="667"/>
      <c r="I971" s="667"/>
      <c r="J971" s="667"/>
      <c r="K971" s="667"/>
      <c r="L971" s="667"/>
      <c r="M971" s="667"/>
      <c r="N971" s="667"/>
      <c r="O971" s="667"/>
      <c r="P971" s="667"/>
      <c r="Q971" s="667"/>
      <c r="S971" s="3"/>
      <c r="T971" s="3"/>
      <c r="U971" s="3"/>
      <c r="V971" s="3"/>
      <c r="W971" s="3"/>
      <c r="X971" s="3"/>
      <c r="Y971" s="3"/>
      <c r="Z971" s="3"/>
      <c r="AA971" s="3"/>
      <c r="AB971" s="3"/>
      <c r="AC971" s="3"/>
      <c r="AD971" s="3"/>
      <c r="AE971" s="3"/>
      <c r="AF971" s="3"/>
      <c r="AG971" s="3"/>
      <c r="AH971" s="3"/>
      <c r="AI971" s="3"/>
      <c r="AJ971" s="3"/>
      <c r="AK971" s="3"/>
    </row>
    <row r="972" ht="15.75" customHeight="1">
      <c r="A972" s="3"/>
      <c r="B972" s="466"/>
      <c r="C972" s="667"/>
      <c r="D972" s="667"/>
      <c r="E972" s="668"/>
      <c r="F972" s="667"/>
      <c r="G972" s="667"/>
      <c r="H972" s="667"/>
      <c r="I972" s="667"/>
      <c r="J972" s="667"/>
      <c r="K972" s="667"/>
      <c r="L972" s="667"/>
      <c r="M972" s="667"/>
      <c r="N972" s="667"/>
      <c r="O972" s="667"/>
      <c r="P972" s="667"/>
      <c r="Q972" s="667"/>
      <c r="S972" s="3"/>
      <c r="T972" s="3"/>
      <c r="U972" s="3"/>
      <c r="V972" s="3"/>
      <c r="W972" s="3"/>
      <c r="X972" s="3"/>
      <c r="Y972" s="3"/>
      <c r="Z972" s="3"/>
      <c r="AA972" s="3"/>
      <c r="AB972" s="3"/>
      <c r="AC972" s="3"/>
      <c r="AD972" s="3"/>
      <c r="AE972" s="3"/>
      <c r="AF972" s="3"/>
      <c r="AG972" s="3"/>
      <c r="AH972" s="3"/>
      <c r="AI972" s="3"/>
      <c r="AJ972" s="3"/>
      <c r="AK972" s="3"/>
    </row>
    <row r="973" ht="15.75" customHeight="1">
      <c r="A973" s="3"/>
      <c r="B973" s="466"/>
      <c r="C973" s="667"/>
      <c r="D973" s="667"/>
      <c r="E973" s="668"/>
      <c r="F973" s="667"/>
      <c r="G973" s="667"/>
      <c r="H973" s="667"/>
      <c r="I973" s="667"/>
      <c r="J973" s="667"/>
      <c r="K973" s="667"/>
      <c r="L973" s="667"/>
      <c r="M973" s="667"/>
      <c r="N973" s="667"/>
      <c r="O973" s="667"/>
      <c r="P973" s="667"/>
      <c r="Q973" s="667"/>
      <c r="S973" s="3"/>
      <c r="T973" s="3"/>
      <c r="U973" s="3"/>
      <c r="V973" s="3"/>
      <c r="W973" s="3"/>
      <c r="X973" s="3"/>
      <c r="Y973" s="3"/>
      <c r="Z973" s="3"/>
      <c r="AA973" s="3"/>
      <c r="AB973" s="3"/>
      <c r="AC973" s="3"/>
      <c r="AD973" s="3"/>
      <c r="AE973" s="3"/>
      <c r="AF973" s="3"/>
      <c r="AG973" s="3"/>
      <c r="AH973" s="3"/>
      <c r="AI973" s="3"/>
      <c r="AJ973" s="3"/>
      <c r="AK973" s="3"/>
    </row>
    <row r="974" ht="15.75" customHeight="1">
      <c r="A974" s="3"/>
      <c r="B974" s="466"/>
      <c r="C974" s="667"/>
      <c r="D974" s="667"/>
      <c r="E974" s="668"/>
      <c r="F974" s="667"/>
      <c r="G974" s="667"/>
      <c r="H974" s="667"/>
      <c r="I974" s="667"/>
      <c r="J974" s="667"/>
      <c r="K974" s="667"/>
      <c r="L974" s="667"/>
      <c r="M974" s="667"/>
      <c r="N974" s="667"/>
      <c r="O974" s="667"/>
      <c r="P974" s="667"/>
      <c r="Q974" s="667"/>
      <c r="S974" s="3"/>
      <c r="T974" s="3"/>
      <c r="U974" s="3"/>
      <c r="V974" s="3"/>
      <c r="W974" s="3"/>
      <c r="X974" s="3"/>
      <c r="Y974" s="3"/>
      <c r="Z974" s="3"/>
      <c r="AA974" s="3"/>
      <c r="AB974" s="3"/>
      <c r="AC974" s="3"/>
      <c r="AD974" s="3"/>
      <c r="AE974" s="3"/>
      <c r="AF974" s="3"/>
      <c r="AG974" s="3"/>
      <c r="AH974" s="3"/>
      <c r="AI974" s="3"/>
      <c r="AJ974" s="3"/>
      <c r="AK974" s="3"/>
    </row>
    <row r="975" ht="15.75" customHeight="1">
      <c r="A975" s="3"/>
      <c r="B975" s="466"/>
      <c r="C975" s="667"/>
      <c r="D975" s="667"/>
      <c r="E975" s="668"/>
      <c r="F975" s="667"/>
      <c r="G975" s="667"/>
      <c r="H975" s="667"/>
      <c r="I975" s="667"/>
      <c r="J975" s="667"/>
      <c r="K975" s="667"/>
      <c r="L975" s="667"/>
      <c r="M975" s="667"/>
      <c r="N975" s="667"/>
      <c r="O975" s="667"/>
      <c r="P975" s="667"/>
      <c r="Q975" s="667"/>
      <c r="S975" s="3"/>
      <c r="T975" s="3"/>
      <c r="U975" s="3"/>
      <c r="V975" s="3"/>
      <c r="W975" s="3"/>
      <c r="X975" s="3"/>
      <c r="Y975" s="3"/>
      <c r="Z975" s="3"/>
      <c r="AA975" s="3"/>
      <c r="AB975" s="3"/>
      <c r="AC975" s="3"/>
      <c r="AD975" s="3"/>
      <c r="AE975" s="3"/>
      <c r="AF975" s="3"/>
      <c r="AG975" s="3"/>
      <c r="AH975" s="3"/>
      <c r="AI975" s="3"/>
      <c r="AJ975" s="3"/>
      <c r="AK975" s="3"/>
    </row>
    <row r="976" ht="15.75" customHeight="1">
      <c r="A976" s="3"/>
      <c r="B976" s="466"/>
      <c r="C976" s="667"/>
      <c r="D976" s="667"/>
      <c r="E976" s="668"/>
      <c r="F976" s="667"/>
      <c r="G976" s="667"/>
      <c r="H976" s="667"/>
      <c r="I976" s="667"/>
      <c r="J976" s="667"/>
      <c r="K976" s="667"/>
      <c r="L976" s="667"/>
      <c r="M976" s="667"/>
      <c r="N976" s="667"/>
      <c r="O976" s="667"/>
      <c r="P976" s="667"/>
      <c r="Q976" s="667"/>
      <c r="S976" s="3"/>
      <c r="T976" s="3"/>
      <c r="U976" s="3"/>
      <c r="V976" s="3"/>
      <c r="W976" s="3"/>
      <c r="X976" s="3"/>
      <c r="Y976" s="3"/>
      <c r="Z976" s="3"/>
      <c r="AA976" s="3"/>
      <c r="AB976" s="3"/>
      <c r="AC976" s="3"/>
      <c r="AD976" s="3"/>
      <c r="AE976" s="3"/>
      <c r="AF976" s="3"/>
      <c r="AG976" s="3"/>
      <c r="AH976" s="3"/>
      <c r="AI976" s="3"/>
      <c r="AJ976" s="3"/>
      <c r="AK976" s="3"/>
    </row>
    <row r="977" ht="15.75" customHeight="1">
      <c r="A977" s="3"/>
      <c r="B977" s="466"/>
      <c r="C977" s="667"/>
      <c r="D977" s="667"/>
      <c r="E977" s="668"/>
      <c r="F977" s="667"/>
      <c r="G977" s="667"/>
      <c r="H977" s="667"/>
      <c r="I977" s="667"/>
      <c r="J977" s="667"/>
      <c r="K977" s="667"/>
      <c r="L977" s="667"/>
      <c r="M977" s="667"/>
      <c r="N977" s="667"/>
      <c r="O977" s="667"/>
      <c r="P977" s="667"/>
      <c r="Q977" s="667"/>
      <c r="S977" s="3"/>
      <c r="T977" s="3"/>
      <c r="U977" s="3"/>
      <c r="V977" s="3"/>
      <c r="W977" s="3"/>
      <c r="X977" s="3"/>
      <c r="Y977" s="3"/>
      <c r="Z977" s="3"/>
      <c r="AA977" s="3"/>
      <c r="AB977" s="3"/>
      <c r="AC977" s="3"/>
      <c r="AD977" s="3"/>
      <c r="AE977" s="3"/>
      <c r="AF977" s="3"/>
      <c r="AG977" s="3"/>
      <c r="AH977" s="3"/>
      <c r="AI977" s="3"/>
      <c r="AJ977" s="3"/>
      <c r="AK977" s="3"/>
    </row>
    <row r="978" ht="15.75" customHeight="1">
      <c r="A978" s="3"/>
      <c r="B978" s="466"/>
      <c r="C978" s="667"/>
      <c r="D978" s="667"/>
      <c r="E978" s="668"/>
      <c r="F978" s="667"/>
      <c r="G978" s="667"/>
      <c r="H978" s="667"/>
      <c r="I978" s="667"/>
      <c r="J978" s="667"/>
      <c r="K978" s="667"/>
      <c r="L978" s="667"/>
      <c r="M978" s="667"/>
      <c r="N978" s="667"/>
      <c r="O978" s="667"/>
      <c r="P978" s="667"/>
      <c r="Q978" s="667"/>
      <c r="S978" s="3"/>
      <c r="T978" s="3"/>
      <c r="U978" s="3"/>
      <c r="V978" s="3"/>
      <c r="W978" s="3"/>
      <c r="X978" s="3"/>
      <c r="Y978" s="3"/>
      <c r="Z978" s="3"/>
      <c r="AA978" s="3"/>
      <c r="AB978" s="3"/>
      <c r="AC978" s="3"/>
      <c r="AD978" s="3"/>
      <c r="AE978" s="3"/>
      <c r="AF978" s="3"/>
      <c r="AG978" s="3"/>
      <c r="AH978" s="3"/>
      <c r="AI978" s="3"/>
      <c r="AJ978" s="3"/>
      <c r="AK978" s="3"/>
    </row>
    <row r="979" ht="15.75" customHeight="1">
      <c r="A979" s="3"/>
      <c r="B979" s="466"/>
      <c r="C979" s="667"/>
      <c r="D979" s="667"/>
      <c r="E979" s="668"/>
      <c r="F979" s="667"/>
      <c r="G979" s="667"/>
      <c r="H979" s="667"/>
      <c r="I979" s="667"/>
      <c r="J979" s="667"/>
      <c r="K979" s="667"/>
      <c r="L979" s="667"/>
      <c r="M979" s="667"/>
      <c r="N979" s="667"/>
      <c r="O979" s="667"/>
      <c r="P979" s="667"/>
      <c r="Q979" s="667"/>
      <c r="S979" s="3"/>
      <c r="T979" s="3"/>
      <c r="U979" s="3"/>
      <c r="V979" s="3"/>
      <c r="W979" s="3"/>
      <c r="X979" s="3"/>
      <c r="Y979" s="3"/>
      <c r="Z979" s="3"/>
      <c r="AA979" s="3"/>
      <c r="AB979" s="3"/>
      <c r="AC979" s="3"/>
      <c r="AD979" s="3"/>
      <c r="AE979" s="3"/>
      <c r="AF979" s="3"/>
      <c r="AG979" s="3"/>
      <c r="AH979" s="3"/>
      <c r="AI979" s="3"/>
      <c r="AJ979" s="3"/>
      <c r="AK979" s="3"/>
    </row>
    <row r="980" ht="15.75" customHeight="1">
      <c r="A980" s="3"/>
      <c r="B980" s="466"/>
      <c r="C980" s="667"/>
      <c r="D980" s="667"/>
      <c r="E980" s="668"/>
      <c r="F980" s="667"/>
      <c r="G980" s="667"/>
      <c r="H980" s="667"/>
      <c r="I980" s="667"/>
      <c r="J980" s="667"/>
      <c r="K980" s="667"/>
      <c r="L980" s="667"/>
      <c r="M980" s="667"/>
      <c r="N980" s="667"/>
      <c r="O980" s="667"/>
      <c r="P980" s="667"/>
      <c r="Q980" s="667"/>
      <c r="S980" s="3"/>
      <c r="T980" s="3"/>
      <c r="U980" s="3"/>
      <c r="V980" s="3"/>
      <c r="W980" s="3"/>
      <c r="X980" s="3"/>
      <c r="Y980" s="3"/>
      <c r="Z980" s="3"/>
      <c r="AA980" s="3"/>
      <c r="AB980" s="3"/>
      <c r="AC980" s="3"/>
      <c r="AD980" s="3"/>
      <c r="AE980" s="3"/>
      <c r="AF980" s="3"/>
      <c r="AG980" s="3"/>
      <c r="AH980" s="3"/>
      <c r="AI980" s="3"/>
      <c r="AJ980" s="3"/>
      <c r="AK980" s="3"/>
    </row>
    <row r="981" ht="15.75" customHeight="1">
      <c r="A981" s="3"/>
      <c r="B981" s="466"/>
      <c r="C981" s="667"/>
      <c r="D981" s="667"/>
      <c r="E981" s="668"/>
      <c r="F981" s="667"/>
      <c r="G981" s="667"/>
      <c r="H981" s="667"/>
      <c r="I981" s="667"/>
      <c r="J981" s="667"/>
      <c r="K981" s="667"/>
      <c r="L981" s="667"/>
      <c r="M981" s="667"/>
      <c r="N981" s="667"/>
      <c r="O981" s="667"/>
      <c r="P981" s="667"/>
      <c r="Q981" s="667"/>
      <c r="S981" s="3"/>
      <c r="T981" s="3"/>
      <c r="U981" s="3"/>
      <c r="V981" s="3"/>
      <c r="W981" s="3"/>
      <c r="X981" s="3"/>
      <c r="Y981" s="3"/>
      <c r="Z981" s="3"/>
      <c r="AA981" s="3"/>
      <c r="AB981" s="3"/>
      <c r="AC981" s="3"/>
      <c r="AD981" s="3"/>
      <c r="AE981" s="3"/>
      <c r="AF981" s="3"/>
      <c r="AG981" s="3"/>
      <c r="AH981" s="3"/>
      <c r="AI981" s="3"/>
      <c r="AJ981" s="3"/>
      <c r="AK981" s="3"/>
    </row>
    <row r="982" ht="15.75" customHeight="1">
      <c r="A982" s="3"/>
      <c r="B982" s="466"/>
      <c r="C982" s="667"/>
      <c r="D982" s="667"/>
      <c r="E982" s="668"/>
      <c r="F982" s="667"/>
      <c r="G982" s="667"/>
      <c r="H982" s="667"/>
      <c r="I982" s="667"/>
      <c r="J982" s="667"/>
      <c r="K982" s="667"/>
      <c r="L982" s="667"/>
      <c r="M982" s="667"/>
      <c r="N982" s="667"/>
      <c r="O982" s="667"/>
      <c r="P982" s="667"/>
      <c r="Q982" s="667"/>
      <c r="S982" s="3"/>
      <c r="T982" s="3"/>
      <c r="U982" s="3"/>
      <c r="V982" s="3"/>
      <c r="W982" s="3"/>
      <c r="X982" s="3"/>
      <c r="Y982" s="3"/>
      <c r="Z982" s="3"/>
      <c r="AA982" s="3"/>
      <c r="AB982" s="3"/>
      <c r="AC982" s="3"/>
      <c r="AD982" s="3"/>
      <c r="AE982" s="3"/>
      <c r="AF982" s="3"/>
      <c r="AG982" s="3"/>
      <c r="AH982" s="3"/>
      <c r="AI982" s="3"/>
      <c r="AJ982" s="3"/>
      <c r="AK982" s="3"/>
    </row>
    <row r="983" ht="15.75" customHeight="1">
      <c r="A983" s="3"/>
      <c r="B983" s="466"/>
      <c r="C983" s="667"/>
      <c r="D983" s="667"/>
      <c r="E983" s="668"/>
      <c r="F983" s="667"/>
      <c r="G983" s="667"/>
      <c r="H983" s="667"/>
      <c r="I983" s="667"/>
      <c r="J983" s="667"/>
      <c r="K983" s="667"/>
      <c r="L983" s="667"/>
      <c r="M983" s="667"/>
      <c r="N983" s="667"/>
      <c r="O983" s="667"/>
      <c r="P983" s="667"/>
      <c r="Q983" s="667"/>
      <c r="S983" s="3"/>
      <c r="T983" s="3"/>
      <c r="U983" s="3"/>
      <c r="V983" s="3"/>
      <c r="W983" s="3"/>
      <c r="X983" s="3"/>
      <c r="Y983" s="3"/>
      <c r="Z983" s="3"/>
      <c r="AA983" s="3"/>
      <c r="AB983" s="3"/>
      <c r="AC983" s="3"/>
      <c r="AD983" s="3"/>
      <c r="AE983" s="3"/>
      <c r="AF983" s="3"/>
      <c r="AG983" s="3"/>
      <c r="AH983" s="3"/>
      <c r="AI983" s="3"/>
      <c r="AJ983" s="3"/>
      <c r="AK983" s="3"/>
    </row>
    <row r="984" ht="15.75" customHeight="1">
      <c r="A984" s="3"/>
      <c r="B984" s="466"/>
      <c r="C984" s="667"/>
      <c r="D984" s="667"/>
      <c r="E984" s="668"/>
      <c r="F984" s="667"/>
      <c r="G984" s="667"/>
      <c r="H984" s="667"/>
      <c r="I984" s="667"/>
      <c r="J984" s="667"/>
      <c r="K984" s="667"/>
      <c r="L984" s="667"/>
      <c r="M984" s="667"/>
      <c r="N984" s="667"/>
      <c r="O984" s="667"/>
      <c r="P984" s="667"/>
      <c r="Q984" s="667"/>
      <c r="S984" s="3"/>
      <c r="T984" s="3"/>
      <c r="U984" s="3"/>
      <c r="V984" s="3"/>
      <c r="W984" s="3"/>
      <c r="X984" s="3"/>
      <c r="Y984" s="3"/>
      <c r="Z984" s="3"/>
      <c r="AA984" s="3"/>
      <c r="AB984" s="3"/>
      <c r="AC984" s="3"/>
      <c r="AD984" s="3"/>
      <c r="AE984" s="3"/>
      <c r="AF984" s="3"/>
      <c r="AG984" s="3"/>
      <c r="AH984" s="3"/>
      <c r="AI984" s="3"/>
      <c r="AJ984" s="3"/>
      <c r="AK984" s="3"/>
    </row>
    <row r="985" ht="15.75" customHeight="1">
      <c r="A985" s="3"/>
      <c r="B985" s="466"/>
      <c r="C985" s="667"/>
      <c r="D985" s="667"/>
      <c r="E985" s="668"/>
      <c r="F985" s="667"/>
      <c r="G985" s="667"/>
      <c r="H985" s="667"/>
      <c r="I985" s="667"/>
      <c r="J985" s="667"/>
      <c r="K985" s="667"/>
      <c r="L985" s="667"/>
      <c r="M985" s="667"/>
      <c r="N985" s="667"/>
      <c r="O985" s="667"/>
      <c r="P985" s="667"/>
      <c r="Q985" s="667"/>
      <c r="S985" s="3"/>
      <c r="T985" s="3"/>
      <c r="U985" s="3"/>
      <c r="V985" s="3"/>
      <c r="W985" s="3"/>
      <c r="X985" s="3"/>
      <c r="Y985" s="3"/>
      <c r="Z985" s="3"/>
      <c r="AA985" s="3"/>
      <c r="AB985" s="3"/>
      <c r="AC985" s="3"/>
      <c r="AD985" s="3"/>
      <c r="AE985" s="3"/>
      <c r="AF985" s="3"/>
      <c r="AG985" s="3"/>
      <c r="AH985" s="3"/>
      <c r="AI985" s="3"/>
      <c r="AJ985" s="3"/>
      <c r="AK985" s="3"/>
    </row>
    <row r="986" ht="15.75" customHeight="1">
      <c r="A986" s="3"/>
      <c r="B986" s="466"/>
      <c r="C986" s="667"/>
      <c r="D986" s="667"/>
      <c r="E986" s="668"/>
      <c r="F986" s="667"/>
      <c r="G986" s="667"/>
      <c r="H986" s="667"/>
      <c r="I986" s="667"/>
      <c r="J986" s="667"/>
      <c r="K986" s="667"/>
      <c r="L986" s="667"/>
      <c r="M986" s="667"/>
      <c r="N986" s="667"/>
      <c r="O986" s="667"/>
      <c r="P986" s="667"/>
      <c r="Q986" s="667"/>
      <c r="S986" s="3"/>
      <c r="T986" s="3"/>
      <c r="U986" s="3"/>
      <c r="V986" s="3"/>
      <c r="W986" s="3"/>
      <c r="X986" s="3"/>
      <c r="Y986" s="3"/>
      <c r="Z986" s="3"/>
      <c r="AA986" s="3"/>
      <c r="AB986" s="3"/>
      <c r="AC986" s="3"/>
      <c r="AD986" s="3"/>
      <c r="AE986" s="3"/>
      <c r="AF986" s="3"/>
      <c r="AG986" s="3"/>
      <c r="AH986" s="3"/>
      <c r="AI986" s="3"/>
      <c r="AJ986" s="3"/>
      <c r="AK986" s="3"/>
    </row>
    <row r="987" ht="15.75" customHeight="1">
      <c r="A987" s="3"/>
      <c r="B987" s="466"/>
      <c r="C987" s="667"/>
      <c r="D987" s="667"/>
      <c r="E987" s="668"/>
      <c r="F987" s="667"/>
      <c r="G987" s="667"/>
      <c r="H987" s="667"/>
      <c r="I987" s="667"/>
      <c r="J987" s="667"/>
      <c r="K987" s="667"/>
      <c r="L987" s="667"/>
      <c r="M987" s="667"/>
      <c r="N987" s="667"/>
      <c r="O987" s="667"/>
      <c r="P987" s="667"/>
      <c r="Q987" s="667"/>
      <c r="S987" s="3"/>
      <c r="T987" s="3"/>
      <c r="U987" s="3"/>
      <c r="V987" s="3"/>
      <c r="W987" s="3"/>
      <c r="X987" s="3"/>
      <c r="Y987" s="3"/>
      <c r="Z987" s="3"/>
      <c r="AA987" s="3"/>
      <c r="AB987" s="3"/>
      <c r="AC987" s="3"/>
      <c r="AD987" s="3"/>
      <c r="AE987" s="3"/>
      <c r="AF987" s="3"/>
      <c r="AG987" s="3"/>
      <c r="AH987" s="3"/>
      <c r="AI987" s="3"/>
      <c r="AJ987" s="3"/>
      <c r="AK987" s="3"/>
    </row>
    <row r="988" ht="15.75" customHeight="1">
      <c r="A988" s="3"/>
      <c r="B988" s="466"/>
      <c r="C988" s="667"/>
      <c r="D988" s="667"/>
      <c r="E988" s="668"/>
      <c r="F988" s="667"/>
      <c r="G988" s="667"/>
      <c r="H988" s="667"/>
      <c r="I988" s="667"/>
      <c r="J988" s="667"/>
      <c r="K988" s="667"/>
      <c r="L988" s="667"/>
      <c r="M988" s="667"/>
      <c r="N988" s="667"/>
      <c r="O988" s="667"/>
      <c r="P988" s="667"/>
      <c r="Q988" s="667"/>
      <c r="S988" s="3"/>
      <c r="T988" s="3"/>
      <c r="U988" s="3"/>
      <c r="V988" s="3"/>
      <c r="W988" s="3"/>
      <c r="X988" s="3"/>
      <c r="Y988" s="3"/>
      <c r="Z988" s="3"/>
      <c r="AA988" s="3"/>
      <c r="AB988" s="3"/>
      <c r="AC988" s="3"/>
      <c r="AD988" s="3"/>
      <c r="AE988" s="3"/>
      <c r="AF988" s="3"/>
      <c r="AG988" s="3"/>
      <c r="AH988" s="3"/>
      <c r="AI988" s="3"/>
      <c r="AJ988" s="3"/>
      <c r="AK988" s="3"/>
    </row>
    <row r="989" ht="15.75" customHeight="1">
      <c r="A989" s="3"/>
      <c r="B989" s="466"/>
      <c r="C989" s="667"/>
      <c r="D989" s="667"/>
      <c r="E989" s="668"/>
      <c r="F989" s="667"/>
      <c r="G989" s="667"/>
      <c r="H989" s="667"/>
      <c r="I989" s="667"/>
      <c r="J989" s="667"/>
      <c r="K989" s="667"/>
      <c r="L989" s="667"/>
      <c r="M989" s="667"/>
      <c r="N989" s="667"/>
      <c r="O989" s="667"/>
      <c r="P989" s="667"/>
      <c r="Q989" s="667"/>
      <c r="S989" s="3"/>
      <c r="T989" s="3"/>
      <c r="U989" s="3"/>
      <c r="V989" s="3"/>
      <c r="W989" s="3"/>
      <c r="X989" s="3"/>
      <c r="Y989" s="3"/>
      <c r="Z989" s="3"/>
      <c r="AA989" s="3"/>
      <c r="AB989" s="3"/>
      <c r="AC989" s="3"/>
      <c r="AD989" s="3"/>
      <c r="AE989" s="3"/>
      <c r="AF989" s="3"/>
      <c r="AG989" s="3"/>
      <c r="AH989" s="3"/>
      <c r="AI989" s="3"/>
      <c r="AJ989" s="3"/>
      <c r="AK989" s="3"/>
    </row>
    <row r="990" ht="15.75" customHeight="1">
      <c r="A990" s="3"/>
      <c r="B990" s="466"/>
      <c r="C990" s="667"/>
      <c r="D990" s="667"/>
      <c r="E990" s="668"/>
      <c r="F990" s="667"/>
      <c r="G990" s="667"/>
      <c r="H990" s="667"/>
      <c r="I990" s="667"/>
      <c r="J990" s="667"/>
      <c r="K990" s="667"/>
      <c r="L990" s="667"/>
      <c r="M990" s="667"/>
      <c r="N990" s="667"/>
      <c r="O990" s="667"/>
      <c r="P990" s="667"/>
      <c r="Q990" s="667"/>
      <c r="S990" s="3"/>
      <c r="T990" s="3"/>
      <c r="U990" s="3"/>
      <c r="V990" s="3"/>
      <c r="W990" s="3"/>
      <c r="X990" s="3"/>
      <c r="Y990" s="3"/>
      <c r="Z990" s="3"/>
      <c r="AA990" s="3"/>
      <c r="AB990" s="3"/>
      <c r="AC990" s="3"/>
      <c r="AD990" s="3"/>
      <c r="AE990" s="3"/>
      <c r="AF990" s="3"/>
      <c r="AG990" s="3"/>
      <c r="AH990" s="3"/>
      <c r="AI990" s="3"/>
      <c r="AJ990" s="3"/>
      <c r="AK990" s="3"/>
    </row>
    <row r="991" ht="15.75" customHeight="1">
      <c r="A991" s="3"/>
      <c r="B991" s="466"/>
      <c r="C991" s="667"/>
      <c r="D991" s="667"/>
      <c r="E991" s="668"/>
      <c r="F991" s="667"/>
      <c r="G991" s="667"/>
      <c r="H991" s="667"/>
      <c r="I991" s="667"/>
      <c r="J991" s="667"/>
      <c r="K991" s="667"/>
      <c r="L991" s="667"/>
      <c r="M991" s="667"/>
      <c r="N991" s="667"/>
      <c r="O991" s="667"/>
      <c r="P991" s="667"/>
      <c r="Q991" s="667"/>
      <c r="S991" s="3"/>
      <c r="T991" s="3"/>
      <c r="U991" s="3"/>
      <c r="V991" s="3"/>
      <c r="W991" s="3"/>
      <c r="X991" s="3"/>
      <c r="Y991" s="3"/>
      <c r="Z991" s="3"/>
      <c r="AA991" s="3"/>
      <c r="AB991" s="3"/>
      <c r="AC991" s="3"/>
      <c r="AD991" s="3"/>
      <c r="AE991" s="3"/>
      <c r="AF991" s="3"/>
      <c r="AG991" s="3"/>
      <c r="AH991" s="3"/>
      <c r="AI991" s="3"/>
      <c r="AJ991" s="3"/>
      <c r="AK991" s="3"/>
    </row>
    <row r="992" ht="15.75" customHeight="1">
      <c r="A992" s="3"/>
      <c r="B992" s="466"/>
      <c r="C992" s="667"/>
      <c r="D992" s="667"/>
      <c r="E992" s="668"/>
      <c r="F992" s="667"/>
      <c r="G992" s="667"/>
      <c r="H992" s="667"/>
      <c r="I992" s="667"/>
      <c r="J992" s="667"/>
      <c r="K992" s="667"/>
      <c r="L992" s="667"/>
      <c r="M992" s="667"/>
      <c r="N992" s="667"/>
      <c r="O992" s="667"/>
      <c r="P992" s="667"/>
      <c r="Q992" s="667"/>
      <c r="S992" s="3"/>
      <c r="T992" s="3"/>
      <c r="U992" s="3"/>
      <c r="V992" s="3"/>
      <c r="W992" s="3"/>
      <c r="X992" s="3"/>
      <c r="Y992" s="3"/>
      <c r="Z992" s="3"/>
      <c r="AA992" s="3"/>
      <c r="AB992" s="3"/>
      <c r="AC992" s="3"/>
      <c r="AD992" s="3"/>
      <c r="AE992" s="3"/>
      <c r="AF992" s="3"/>
      <c r="AG992" s="3"/>
      <c r="AH992" s="3"/>
      <c r="AI992" s="3"/>
      <c r="AJ992" s="3"/>
      <c r="AK992" s="3"/>
    </row>
    <row r="993" ht="15.75" customHeight="1">
      <c r="A993" s="3"/>
      <c r="B993" s="466"/>
      <c r="C993" s="667"/>
      <c r="D993" s="667"/>
      <c r="E993" s="668"/>
      <c r="F993" s="667"/>
      <c r="G993" s="667"/>
      <c r="H993" s="667"/>
      <c r="I993" s="667"/>
      <c r="J993" s="667"/>
      <c r="K993" s="667"/>
      <c r="L993" s="667"/>
      <c r="M993" s="667"/>
      <c r="N993" s="667"/>
      <c r="O993" s="667"/>
      <c r="P993" s="667"/>
      <c r="Q993" s="667"/>
      <c r="S993" s="3"/>
      <c r="T993" s="3"/>
      <c r="U993" s="3"/>
      <c r="V993" s="3"/>
      <c r="W993" s="3"/>
      <c r="X993" s="3"/>
      <c r="Y993" s="3"/>
      <c r="Z993" s="3"/>
      <c r="AA993" s="3"/>
      <c r="AB993" s="3"/>
      <c r="AC993" s="3"/>
      <c r="AD993" s="3"/>
      <c r="AE993" s="3"/>
      <c r="AF993" s="3"/>
      <c r="AG993" s="3"/>
      <c r="AH993" s="3"/>
      <c r="AI993" s="3"/>
      <c r="AJ993" s="3"/>
      <c r="AK993" s="3"/>
    </row>
    <row r="994" ht="15.75" customHeight="1">
      <c r="A994" s="3"/>
      <c r="B994" s="466"/>
      <c r="C994" s="667"/>
      <c r="D994" s="667"/>
      <c r="E994" s="668"/>
      <c r="F994" s="667"/>
      <c r="G994" s="667"/>
      <c r="H994" s="667"/>
      <c r="I994" s="667"/>
      <c r="J994" s="667"/>
      <c r="K994" s="667"/>
      <c r="L994" s="667"/>
      <c r="M994" s="667"/>
      <c r="N994" s="667"/>
      <c r="O994" s="667"/>
      <c r="P994" s="667"/>
      <c r="Q994" s="667"/>
      <c r="S994" s="3"/>
      <c r="T994" s="3"/>
      <c r="U994" s="3"/>
      <c r="V994" s="3"/>
      <c r="W994" s="3"/>
      <c r="X994" s="3"/>
      <c r="Y994" s="3"/>
      <c r="Z994" s="3"/>
      <c r="AA994" s="3"/>
      <c r="AB994" s="3"/>
      <c r="AC994" s="3"/>
      <c r="AD994" s="3"/>
      <c r="AE994" s="3"/>
      <c r="AF994" s="3"/>
      <c r="AG994" s="3"/>
      <c r="AH994" s="3"/>
      <c r="AI994" s="3"/>
      <c r="AJ994" s="3"/>
      <c r="AK994" s="3"/>
    </row>
    <row r="995" ht="15.75" customHeight="1">
      <c r="A995" s="3"/>
      <c r="B995" s="466"/>
      <c r="C995" s="667"/>
      <c r="D995" s="667"/>
      <c r="E995" s="668"/>
      <c r="F995" s="667"/>
      <c r="G995" s="667"/>
      <c r="H995" s="667"/>
      <c r="I995" s="667"/>
      <c r="J995" s="667"/>
      <c r="K995" s="667"/>
      <c r="L995" s="667"/>
      <c r="M995" s="667"/>
      <c r="N995" s="667"/>
      <c r="O995" s="667"/>
      <c r="P995" s="667"/>
      <c r="Q995" s="667"/>
      <c r="S995" s="3"/>
      <c r="T995" s="3"/>
      <c r="U995" s="3"/>
      <c r="V995" s="3"/>
      <c r="W995" s="3"/>
      <c r="X995" s="3"/>
      <c r="Y995" s="3"/>
      <c r="Z995" s="3"/>
      <c r="AA995" s="3"/>
      <c r="AB995" s="3"/>
      <c r="AC995" s="3"/>
      <c r="AD995" s="3"/>
      <c r="AE995" s="3"/>
      <c r="AF995" s="3"/>
      <c r="AG995" s="3"/>
      <c r="AH995" s="3"/>
      <c r="AI995" s="3"/>
      <c r="AJ995" s="3"/>
      <c r="AK995" s="3"/>
    </row>
    <row r="996" ht="15.75" customHeight="1">
      <c r="A996" s="3"/>
      <c r="B996" s="466"/>
      <c r="C996" s="667"/>
      <c r="D996" s="667"/>
      <c r="E996" s="668"/>
      <c r="F996" s="667"/>
      <c r="G996" s="667"/>
      <c r="H996" s="667"/>
      <c r="I996" s="667"/>
      <c r="J996" s="667"/>
      <c r="K996" s="667"/>
      <c r="L996" s="667"/>
      <c r="M996" s="667"/>
      <c r="N996" s="667"/>
      <c r="O996" s="667"/>
      <c r="P996" s="667"/>
      <c r="Q996" s="667"/>
      <c r="S996" s="3"/>
      <c r="T996" s="3"/>
      <c r="U996" s="3"/>
      <c r="V996" s="3"/>
      <c r="W996" s="3"/>
      <c r="X996" s="3"/>
      <c r="Y996" s="3"/>
      <c r="Z996" s="3"/>
      <c r="AA996" s="3"/>
      <c r="AB996" s="3"/>
      <c r="AC996" s="3"/>
      <c r="AD996" s="3"/>
      <c r="AE996" s="3"/>
      <c r="AF996" s="3"/>
      <c r="AG996" s="3"/>
      <c r="AH996" s="3"/>
      <c r="AI996" s="3"/>
      <c r="AJ996" s="3"/>
      <c r="AK996" s="3"/>
    </row>
    <row r="997" ht="15.75" customHeight="1">
      <c r="A997" s="3"/>
      <c r="B997" s="466"/>
      <c r="C997" s="667"/>
      <c r="D997" s="667"/>
      <c r="E997" s="668"/>
      <c r="F997" s="667"/>
      <c r="G997" s="667"/>
      <c r="H997" s="667"/>
      <c r="I997" s="667"/>
      <c r="J997" s="667"/>
      <c r="K997" s="667"/>
      <c r="L997" s="667"/>
      <c r="M997" s="667"/>
      <c r="N997" s="667"/>
      <c r="O997" s="667"/>
      <c r="P997" s="667"/>
      <c r="Q997" s="667"/>
      <c r="S997" s="3"/>
      <c r="T997" s="3"/>
      <c r="U997" s="3"/>
      <c r="V997" s="3"/>
      <c r="W997" s="3"/>
      <c r="X997" s="3"/>
      <c r="Y997" s="3"/>
      <c r="Z997" s="3"/>
      <c r="AA997" s="3"/>
      <c r="AB997" s="3"/>
      <c r="AC997" s="3"/>
      <c r="AD997" s="3"/>
      <c r="AE997" s="3"/>
      <c r="AF997" s="3"/>
      <c r="AG997" s="3"/>
      <c r="AH997" s="3"/>
      <c r="AI997" s="3"/>
      <c r="AJ997" s="3"/>
      <c r="AK997" s="3"/>
    </row>
    <row r="998" ht="15.75" customHeight="1">
      <c r="A998" s="3"/>
      <c r="B998" s="466"/>
      <c r="C998" s="667"/>
      <c r="D998" s="667"/>
      <c r="E998" s="668"/>
      <c r="F998" s="667"/>
      <c r="G998" s="667"/>
      <c r="H998" s="667"/>
      <c r="I998" s="667"/>
      <c r="J998" s="667"/>
      <c r="K998" s="667"/>
      <c r="L998" s="667"/>
      <c r="M998" s="667"/>
      <c r="N998" s="667"/>
      <c r="O998" s="667"/>
      <c r="P998" s="667"/>
      <c r="Q998" s="667"/>
      <c r="S998" s="3"/>
      <c r="T998" s="3"/>
      <c r="U998" s="3"/>
      <c r="V998" s="3"/>
      <c r="W998" s="3"/>
      <c r="X998" s="3"/>
      <c r="Y998" s="3"/>
      <c r="Z998" s="3"/>
      <c r="AA998" s="3"/>
      <c r="AB998" s="3"/>
      <c r="AC998" s="3"/>
      <c r="AD998" s="3"/>
      <c r="AE998" s="3"/>
      <c r="AF998" s="3"/>
      <c r="AG998" s="3"/>
      <c r="AH998" s="3"/>
      <c r="AI998" s="3"/>
      <c r="AJ998" s="3"/>
      <c r="AK998" s="3"/>
    </row>
    <row r="999" ht="15.75" customHeight="1">
      <c r="A999" s="3"/>
      <c r="B999" s="466"/>
      <c r="C999" s="667"/>
      <c r="D999" s="667"/>
      <c r="E999" s="668"/>
      <c r="F999" s="667"/>
      <c r="G999" s="667"/>
      <c r="H999" s="667"/>
      <c r="I999" s="667"/>
      <c r="J999" s="667"/>
      <c r="K999" s="667"/>
      <c r="L999" s="667"/>
      <c r="M999" s="667"/>
      <c r="N999" s="667"/>
      <c r="O999" s="667"/>
      <c r="P999" s="667"/>
      <c r="Q999" s="667"/>
      <c r="S999" s="3"/>
      <c r="T999" s="3"/>
      <c r="U999" s="3"/>
      <c r="V999" s="3"/>
      <c r="W999" s="3"/>
      <c r="X999" s="3"/>
      <c r="Y999" s="3"/>
      <c r="Z999" s="3"/>
      <c r="AA999" s="3"/>
      <c r="AB999" s="3"/>
      <c r="AC999" s="3"/>
      <c r="AD999" s="3"/>
      <c r="AE999" s="3"/>
      <c r="AF999" s="3"/>
      <c r="AG999" s="3"/>
      <c r="AH999" s="3"/>
      <c r="AI999" s="3"/>
      <c r="AJ999" s="3"/>
      <c r="AK999" s="3"/>
    </row>
    <row r="1000" ht="15.75" customHeight="1">
      <c r="A1000" s="3"/>
      <c r="B1000" s="466"/>
      <c r="C1000" s="667"/>
      <c r="D1000" s="667"/>
      <c r="E1000" s="668"/>
      <c r="F1000" s="667"/>
      <c r="G1000" s="667"/>
      <c r="H1000" s="667"/>
      <c r="I1000" s="667"/>
      <c r="J1000" s="667"/>
      <c r="K1000" s="667"/>
      <c r="L1000" s="667"/>
      <c r="M1000" s="667"/>
      <c r="N1000" s="667"/>
      <c r="O1000" s="667"/>
      <c r="P1000" s="667"/>
      <c r="Q1000" s="667"/>
      <c r="S1000" s="3"/>
      <c r="T1000" s="3"/>
      <c r="U1000" s="3"/>
      <c r="V1000" s="3"/>
      <c r="W1000" s="3"/>
      <c r="X1000" s="3"/>
      <c r="Y1000" s="3"/>
      <c r="Z1000" s="3"/>
      <c r="AA1000" s="3"/>
      <c r="AB1000" s="3"/>
      <c r="AC1000" s="3"/>
      <c r="AD1000" s="3"/>
      <c r="AE1000" s="3"/>
      <c r="AF1000" s="3"/>
      <c r="AG1000" s="3"/>
      <c r="AH1000" s="3"/>
      <c r="AI1000" s="3"/>
      <c r="AJ1000" s="3"/>
      <c r="AK1000" s="3"/>
    </row>
    <row r="1001" ht="15.75" customHeight="1">
      <c r="A1001" s="3"/>
      <c r="B1001" s="466"/>
      <c r="C1001" s="667"/>
      <c r="D1001" s="667"/>
      <c r="E1001" s="668"/>
      <c r="F1001" s="667"/>
      <c r="G1001" s="667"/>
      <c r="H1001" s="667"/>
      <c r="I1001" s="667"/>
      <c r="J1001" s="667"/>
      <c r="K1001" s="667"/>
      <c r="L1001" s="667"/>
      <c r="M1001" s="667"/>
      <c r="N1001" s="667"/>
      <c r="O1001" s="667"/>
      <c r="P1001" s="667"/>
      <c r="Q1001" s="667"/>
      <c r="S1001" s="3"/>
      <c r="T1001" s="3"/>
      <c r="U1001" s="3"/>
      <c r="V1001" s="3"/>
      <c r="W1001" s="3"/>
      <c r="X1001" s="3"/>
      <c r="Y1001" s="3"/>
      <c r="Z1001" s="3"/>
      <c r="AA1001" s="3"/>
      <c r="AB1001" s="3"/>
      <c r="AC1001" s="3"/>
      <c r="AD1001" s="3"/>
      <c r="AE1001" s="3"/>
      <c r="AF1001" s="3"/>
      <c r="AG1001" s="3"/>
      <c r="AH1001" s="3"/>
      <c r="AI1001" s="3"/>
      <c r="AJ1001" s="3"/>
      <c r="AK1001" s="3"/>
    </row>
    <row r="1002" ht="15.75" customHeight="1">
      <c r="A1002" s="3"/>
      <c r="B1002" s="466"/>
      <c r="C1002" s="667"/>
      <c r="D1002" s="667"/>
      <c r="E1002" s="668"/>
      <c r="F1002" s="667"/>
      <c r="G1002" s="667"/>
      <c r="H1002" s="667"/>
      <c r="I1002" s="667"/>
      <c r="J1002" s="667"/>
      <c r="K1002" s="667"/>
      <c r="L1002" s="667"/>
      <c r="M1002" s="667"/>
      <c r="N1002" s="667"/>
      <c r="O1002" s="667"/>
      <c r="P1002" s="667"/>
      <c r="Q1002" s="667"/>
      <c r="S1002" s="3"/>
      <c r="T1002" s="3"/>
      <c r="U1002" s="3"/>
      <c r="V1002" s="3"/>
      <c r="W1002" s="3"/>
      <c r="X1002" s="3"/>
      <c r="Y1002" s="3"/>
      <c r="Z1002" s="3"/>
      <c r="AA1002" s="3"/>
      <c r="AB1002" s="3"/>
      <c r="AC1002" s="3"/>
      <c r="AD1002" s="3"/>
      <c r="AE1002" s="3"/>
      <c r="AF1002" s="3"/>
      <c r="AG1002" s="3"/>
      <c r="AH1002" s="3"/>
      <c r="AI1002" s="3"/>
      <c r="AJ1002" s="3"/>
      <c r="AK1002" s="3"/>
    </row>
    <row r="1003" ht="15.75" customHeight="1">
      <c r="A1003" s="3"/>
      <c r="B1003" s="466"/>
      <c r="C1003" s="667"/>
      <c r="D1003" s="667"/>
      <c r="E1003" s="668"/>
      <c r="F1003" s="667"/>
      <c r="G1003" s="667"/>
      <c r="H1003" s="667"/>
      <c r="I1003" s="667"/>
      <c r="J1003" s="667"/>
      <c r="K1003" s="667"/>
      <c r="L1003" s="667"/>
      <c r="M1003" s="667"/>
      <c r="N1003" s="667"/>
      <c r="O1003" s="667"/>
      <c r="P1003" s="667"/>
      <c r="Q1003" s="667"/>
      <c r="S1003" s="3"/>
      <c r="T1003" s="3"/>
      <c r="U1003" s="3"/>
      <c r="V1003" s="3"/>
      <c r="W1003" s="3"/>
      <c r="X1003" s="3"/>
      <c r="Y1003" s="3"/>
      <c r="Z1003" s="3"/>
      <c r="AA1003" s="3"/>
      <c r="AB1003" s="3"/>
      <c r="AC1003" s="3"/>
      <c r="AD1003" s="3"/>
      <c r="AE1003" s="3"/>
      <c r="AF1003" s="3"/>
      <c r="AG1003" s="3"/>
      <c r="AH1003" s="3"/>
      <c r="AI1003" s="3"/>
      <c r="AJ1003" s="3"/>
      <c r="AK1003" s="3"/>
    </row>
    <row r="1004" ht="15.75" customHeight="1">
      <c r="A1004" s="3"/>
      <c r="B1004" s="466"/>
      <c r="C1004" s="667"/>
      <c r="D1004" s="667"/>
      <c r="E1004" s="668"/>
      <c r="F1004" s="667"/>
      <c r="G1004" s="667"/>
      <c r="H1004" s="667"/>
      <c r="I1004" s="667"/>
      <c r="J1004" s="667"/>
      <c r="K1004" s="667"/>
      <c r="L1004" s="667"/>
      <c r="M1004" s="667"/>
      <c r="N1004" s="667"/>
      <c r="O1004" s="667"/>
      <c r="P1004" s="667"/>
      <c r="Q1004" s="667"/>
      <c r="S1004" s="3"/>
      <c r="T1004" s="3"/>
      <c r="U1004" s="3"/>
      <c r="V1004" s="3"/>
      <c r="W1004" s="3"/>
      <c r="X1004" s="3"/>
      <c r="Y1004" s="3"/>
      <c r="Z1004" s="3"/>
      <c r="AA1004" s="3"/>
      <c r="AB1004" s="3"/>
      <c r="AC1004" s="3"/>
      <c r="AD1004" s="3"/>
      <c r="AE1004" s="3"/>
      <c r="AF1004" s="3"/>
      <c r="AG1004" s="3"/>
      <c r="AH1004" s="3"/>
      <c r="AI1004" s="3"/>
      <c r="AJ1004" s="3"/>
      <c r="AK1004" s="3"/>
    </row>
    <row r="1005" ht="15.75" customHeight="1">
      <c r="A1005" s="3"/>
      <c r="B1005" s="466"/>
      <c r="C1005" s="667"/>
      <c r="D1005" s="667"/>
      <c r="E1005" s="668"/>
      <c r="F1005" s="667"/>
      <c r="G1005" s="667"/>
      <c r="H1005" s="667"/>
      <c r="I1005" s="667"/>
      <c r="J1005" s="667"/>
      <c r="K1005" s="667"/>
      <c r="L1005" s="667"/>
      <c r="M1005" s="667"/>
      <c r="N1005" s="667"/>
      <c r="O1005" s="667"/>
      <c r="P1005" s="667"/>
      <c r="Q1005" s="667"/>
      <c r="S1005" s="3"/>
      <c r="T1005" s="3"/>
      <c r="U1005" s="3"/>
      <c r="V1005" s="3"/>
      <c r="W1005" s="3"/>
      <c r="X1005" s="3"/>
      <c r="Y1005" s="3"/>
      <c r="Z1005" s="3"/>
      <c r="AA1005" s="3"/>
      <c r="AB1005" s="3"/>
      <c r="AC1005" s="3"/>
      <c r="AD1005" s="3"/>
      <c r="AE1005" s="3"/>
      <c r="AF1005" s="3"/>
      <c r="AG1005" s="3"/>
      <c r="AH1005" s="3"/>
      <c r="AI1005" s="3"/>
      <c r="AJ1005" s="3"/>
      <c r="AK1005" s="3"/>
    </row>
    <row r="1006" ht="15.75" customHeight="1">
      <c r="A1006" s="3"/>
      <c r="B1006" s="466"/>
      <c r="C1006" s="667"/>
      <c r="D1006" s="667"/>
      <c r="E1006" s="668"/>
      <c r="F1006" s="667"/>
      <c r="G1006" s="667"/>
      <c r="H1006" s="667"/>
      <c r="I1006" s="667"/>
      <c r="J1006" s="667"/>
      <c r="K1006" s="667"/>
      <c r="L1006" s="667"/>
      <c r="M1006" s="667"/>
      <c r="N1006" s="667"/>
      <c r="O1006" s="667"/>
      <c r="P1006" s="667"/>
      <c r="Q1006" s="667"/>
      <c r="S1006" s="3"/>
      <c r="T1006" s="3"/>
      <c r="U1006" s="3"/>
      <c r="V1006" s="3"/>
      <c r="W1006" s="3"/>
      <c r="X1006" s="3"/>
      <c r="Y1006" s="3"/>
      <c r="Z1006" s="3"/>
      <c r="AA1006" s="3"/>
      <c r="AB1006" s="3"/>
      <c r="AC1006" s="3"/>
      <c r="AD1006" s="3"/>
      <c r="AE1006" s="3"/>
      <c r="AF1006" s="3"/>
      <c r="AG1006" s="3"/>
      <c r="AH1006" s="3"/>
      <c r="AI1006" s="3"/>
      <c r="AJ1006" s="3"/>
      <c r="AK1006" s="3"/>
    </row>
    <row r="1007" ht="15.75" customHeight="1">
      <c r="A1007" s="3"/>
      <c r="B1007" s="466"/>
      <c r="C1007" s="667"/>
      <c r="D1007" s="667"/>
      <c r="E1007" s="668"/>
      <c r="F1007" s="667"/>
      <c r="G1007" s="667"/>
      <c r="H1007" s="667"/>
      <c r="I1007" s="667"/>
      <c r="J1007" s="667"/>
      <c r="K1007" s="667"/>
      <c r="L1007" s="667"/>
      <c r="M1007" s="667"/>
      <c r="N1007" s="667"/>
      <c r="O1007" s="667"/>
      <c r="P1007" s="667"/>
      <c r="Q1007" s="667"/>
      <c r="S1007" s="3"/>
      <c r="T1007" s="3"/>
      <c r="U1007" s="3"/>
      <c r="V1007" s="3"/>
      <c r="W1007" s="3"/>
      <c r="X1007" s="3"/>
      <c r="Y1007" s="3"/>
      <c r="Z1007" s="3"/>
      <c r="AA1007" s="3"/>
      <c r="AB1007" s="3"/>
      <c r="AC1007" s="3"/>
      <c r="AD1007" s="3"/>
      <c r="AE1007" s="3"/>
      <c r="AF1007" s="3"/>
      <c r="AG1007" s="3"/>
      <c r="AH1007" s="3"/>
      <c r="AI1007" s="3"/>
      <c r="AJ1007" s="3"/>
      <c r="AK1007" s="3"/>
    </row>
    <row r="1008" ht="15.75" customHeight="1">
      <c r="A1008" s="3"/>
      <c r="B1008" s="466"/>
      <c r="C1008" s="667"/>
      <c r="D1008" s="667"/>
      <c r="E1008" s="668"/>
      <c r="F1008" s="667"/>
      <c r="G1008" s="667"/>
      <c r="H1008" s="667"/>
      <c r="I1008" s="667"/>
      <c r="J1008" s="667"/>
      <c r="K1008" s="667"/>
      <c r="L1008" s="667"/>
      <c r="M1008" s="667"/>
      <c r="N1008" s="667"/>
      <c r="O1008" s="667"/>
      <c r="P1008" s="667"/>
      <c r="Q1008" s="667"/>
      <c r="S1008" s="3"/>
      <c r="T1008" s="3"/>
      <c r="U1008" s="3"/>
      <c r="V1008" s="3"/>
      <c r="W1008" s="3"/>
      <c r="X1008" s="3"/>
      <c r="Y1008" s="3"/>
      <c r="Z1008" s="3"/>
      <c r="AA1008" s="3"/>
      <c r="AB1008" s="3"/>
      <c r="AC1008" s="3"/>
      <c r="AD1008" s="3"/>
      <c r="AE1008" s="3"/>
      <c r="AF1008" s="3"/>
      <c r="AG1008" s="3"/>
      <c r="AH1008" s="3"/>
      <c r="AI1008" s="3"/>
      <c r="AJ1008" s="3"/>
      <c r="AK1008" s="3"/>
    </row>
    <row r="1009" ht="15.75" customHeight="1">
      <c r="A1009" s="3"/>
      <c r="B1009" s="466"/>
      <c r="C1009" s="667"/>
      <c r="D1009" s="667"/>
      <c r="E1009" s="668"/>
      <c r="F1009" s="667"/>
      <c r="G1009" s="667"/>
      <c r="H1009" s="667"/>
      <c r="I1009" s="667"/>
      <c r="J1009" s="667"/>
      <c r="K1009" s="667"/>
      <c r="L1009" s="667"/>
      <c r="M1009" s="667"/>
      <c r="N1009" s="667"/>
      <c r="O1009" s="667"/>
      <c r="P1009" s="667"/>
      <c r="Q1009" s="667"/>
      <c r="S1009" s="3"/>
      <c r="T1009" s="3"/>
      <c r="U1009" s="3"/>
      <c r="V1009" s="3"/>
      <c r="W1009" s="3"/>
      <c r="X1009" s="3"/>
      <c r="Y1009" s="3"/>
      <c r="Z1009" s="3"/>
      <c r="AA1009" s="3"/>
      <c r="AB1009" s="3"/>
      <c r="AC1009" s="3"/>
      <c r="AD1009" s="3"/>
      <c r="AE1009" s="3"/>
      <c r="AF1009" s="3"/>
      <c r="AG1009" s="3"/>
      <c r="AH1009" s="3"/>
      <c r="AI1009" s="3"/>
      <c r="AJ1009" s="3"/>
      <c r="AK1009" s="3"/>
    </row>
    <row r="1010" ht="15.75" customHeight="1">
      <c r="A1010" s="3"/>
      <c r="B1010" s="466"/>
      <c r="C1010" s="667"/>
      <c r="D1010" s="667"/>
      <c r="E1010" s="668"/>
      <c r="F1010" s="667"/>
      <c r="G1010" s="667"/>
      <c r="H1010" s="667"/>
      <c r="I1010" s="667"/>
      <c r="J1010" s="667"/>
      <c r="K1010" s="667"/>
      <c r="L1010" s="667"/>
      <c r="M1010" s="667"/>
      <c r="N1010" s="667"/>
      <c r="O1010" s="667"/>
      <c r="P1010" s="667"/>
      <c r="Q1010" s="667"/>
      <c r="S1010" s="3"/>
      <c r="T1010" s="3"/>
      <c r="U1010" s="3"/>
      <c r="V1010" s="3"/>
      <c r="W1010" s="3"/>
      <c r="X1010" s="3"/>
      <c r="Y1010" s="3"/>
      <c r="Z1010" s="3"/>
      <c r="AA1010" s="3"/>
      <c r="AB1010" s="3"/>
      <c r="AC1010" s="3"/>
      <c r="AD1010" s="3"/>
      <c r="AE1010" s="3"/>
      <c r="AF1010" s="3"/>
      <c r="AG1010" s="3"/>
      <c r="AH1010" s="3"/>
      <c r="AI1010" s="3"/>
      <c r="AJ1010" s="3"/>
      <c r="AK1010" s="3"/>
    </row>
    <row r="1011" ht="15.75" customHeight="1">
      <c r="A1011" s="3"/>
      <c r="B1011" s="466"/>
      <c r="C1011" s="667"/>
      <c r="D1011" s="667"/>
      <c r="E1011" s="668"/>
      <c r="F1011" s="667"/>
      <c r="G1011" s="667"/>
      <c r="H1011" s="667"/>
      <c r="I1011" s="667"/>
      <c r="J1011" s="667"/>
      <c r="K1011" s="667"/>
      <c r="L1011" s="667"/>
      <c r="M1011" s="667"/>
      <c r="N1011" s="667"/>
      <c r="O1011" s="667"/>
      <c r="P1011" s="667"/>
      <c r="Q1011" s="667"/>
      <c r="S1011" s="3"/>
      <c r="T1011" s="3"/>
      <c r="U1011" s="3"/>
      <c r="V1011" s="3"/>
      <c r="W1011" s="3"/>
      <c r="X1011" s="3"/>
      <c r="Y1011" s="3"/>
      <c r="Z1011" s="3"/>
      <c r="AA1011" s="3"/>
      <c r="AB1011" s="3"/>
      <c r="AC1011" s="3"/>
      <c r="AD1011" s="3"/>
      <c r="AE1011" s="3"/>
      <c r="AF1011" s="3"/>
      <c r="AG1011" s="3"/>
      <c r="AH1011" s="3"/>
      <c r="AI1011" s="3"/>
      <c r="AJ1011" s="3"/>
      <c r="AK1011" s="3"/>
    </row>
    <row r="1012" ht="15.75" customHeight="1">
      <c r="A1012" s="3"/>
      <c r="B1012" s="466"/>
      <c r="C1012" s="667"/>
      <c r="D1012" s="667"/>
      <c r="E1012" s="668"/>
      <c r="F1012" s="667"/>
      <c r="G1012" s="667"/>
      <c r="H1012" s="667"/>
      <c r="I1012" s="667"/>
      <c r="J1012" s="667"/>
      <c r="K1012" s="667"/>
      <c r="L1012" s="667"/>
      <c r="M1012" s="667"/>
      <c r="N1012" s="667"/>
      <c r="O1012" s="667"/>
      <c r="P1012" s="667"/>
      <c r="Q1012" s="667"/>
      <c r="S1012" s="3"/>
      <c r="T1012" s="3"/>
      <c r="U1012" s="3"/>
      <c r="V1012" s="3"/>
      <c r="W1012" s="3"/>
      <c r="X1012" s="3"/>
      <c r="Y1012" s="3"/>
      <c r="Z1012" s="3"/>
      <c r="AA1012" s="3"/>
      <c r="AB1012" s="3"/>
      <c r="AC1012" s="3"/>
      <c r="AD1012" s="3"/>
      <c r="AE1012" s="3"/>
      <c r="AF1012" s="3"/>
      <c r="AG1012" s="3"/>
      <c r="AH1012" s="3"/>
      <c r="AI1012" s="3"/>
      <c r="AJ1012" s="3"/>
      <c r="AK1012" s="3"/>
    </row>
    <row r="1013" ht="15.75" customHeight="1">
      <c r="A1013" s="3"/>
      <c r="B1013" s="466"/>
      <c r="C1013" s="667"/>
      <c r="D1013" s="667"/>
      <c r="E1013" s="668"/>
      <c r="F1013" s="667"/>
      <c r="G1013" s="667"/>
      <c r="H1013" s="667"/>
      <c r="I1013" s="667"/>
      <c r="J1013" s="667"/>
      <c r="K1013" s="667"/>
      <c r="L1013" s="667"/>
      <c r="M1013" s="667"/>
      <c r="N1013" s="667"/>
      <c r="O1013" s="667"/>
      <c r="P1013" s="667"/>
      <c r="Q1013" s="667"/>
      <c r="S1013" s="3"/>
      <c r="T1013" s="3"/>
      <c r="U1013" s="3"/>
      <c r="V1013" s="3"/>
      <c r="W1013" s="3"/>
      <c r="X1013" s="3"/>
      <c r="Y1013" s="3"/>
      <c r="Z1013" s="3"/>
      <c r="AA1013" s="3"/>
      <c r="AB1013" s="3"/>
      <c r="AC1013" s="3"/>
      <c r="AD1013" s="3"/>
      <c r="AE1013" s="3"/>
      <c r="AF1013" s="3"/>
      <c r="AG1013" s="3"/>
      <c r="AH1013" s="3"/>
      <c r="AI1013" s="3"/>
      <c r="AJ1013" s="3"/>
      <c r="AK1013" s="3"/>
    </row>
    <row r="1014" ht="15.75" customHeight="1">
      <c r="A1014" s="3"/>
      <c r="B1014" s="466"/>
      <c r="C1014" s="667"/>
      <c r="D1014" s="667"/>
      <c r="E1014" s="668"/>
      <c r="F1014" s="667"/>
      <c r="G1014" s="667"/>
      <c r="H1014" s="667"/>
      <c r="I1014" s="667"/>
      <c r="J1014" s="667"/>
      <c r="K1014" s="667"/>
      <c r="L1014" s="667"/>
      <c r="M1014" s="667"/>
      <c r="N1014" s="667"/>
      <c r="O1014" s="667"/>
      <c r="P1014" s="667"/>
      <c r="Q1014" s="667"/>
      <c r="S1014" s="3"/>
      <c r="T1014" s="3"/>
      <c r="U1014" s="3"/>
      <c r="V1014" s="3"/>
      <c r="W1014" s="3"/>
      <c r="X1014" s="3"/>
      <c r="Y1014" s="3"/>
      <c r="Z1014" s="3"/>
      <c r="AA1014" s="3"/>
      <c r="AB1014" s="3"/>
      <c r="AC1014" s="3"/>
      <c r="AD1014" s="3"/>
      <c r="AE1014" s="3"/>
      <c r="AF1014" s="3"/>
      <c r="AG1014" s="3"/>
      <c r="AH1014" s="3"/>
      <c r="AI1014" s="3"/>
      <c r="AJ1014" s="3"/>
      <c r="AK1014" s="3"/>
    </row>
    <row r="1015" ht="15.75" customHeight="1">
      <c r="A1015" s="3"/>
      <c r="B1015" s="466"/>
      <c r="C1015" s="667"/>
      <c r="D1015" s="667"/>
      <c r="E1015" s="668"/>
      <c r="F1015" s="667"/>
      <c r="G1015" s="667"/>
      <c r="H1015" s="667"/>
      <c r="I1015" s="667"/>
      <c r="J1015" s="667"/>
      <c r="K1015" s="667"/>
      <c r="L1015" s="667"/>
      <c r="M1015" s="667"/>
      <c r="N1015" s="667"/>
      <c r="O1015" s="667"/>
      <c r="P1015" s="667"/>
      <c r="Q1015" s="667"/>
      <c r="S1015" s="3"/>
      <c r="T1015" s="3"/>
      <c r="U1015" s="3"/>
      <c r="V1015" s="3"/>
      <c r="W1015" s="3"/>
      <c r="X1015" s="3"/>
      <c r="Y1015" s="3"/>
      <c r="Z1015" s="3"/>
      <c r="AA1015" s="3"/>
      <c r="AB1015" s="3"/>
      <c r="AC1015" s="3"/>
      <c r="AD1015" s="3"/>
      <c r="AE1015" s="3"/>
      <c r="AF1015" s="3"/>
      <c r="AG1015" s="3"/>
      <c r="AH1015" s="3"/>
      <c r="AI1015" s="3"/>
      <c r="AJ1015" s="3"/>
      <c r="AK1015" s="3"/>
    </row>
    <row r="1016" ht="15.75" customHeight="1">
      <c r="A1016" s="3"/>
      <c r="B1016" s="466"/>
      <c r="C1016" s="667"/>
      <c r="D1016" s="667"/>
      <c r="E1016" s="668"/>
      <c r="F1016" s="667"/>
      <c r="G1016" s="667"/>
      <c r="H1016" s="667"/>
      <c r="I1016" s="667"/>
      <c r="J1016" s="667"/>
      <c r="K1016" s="667"/>
      <c r="L1016" s="667"/>
      <c r="M1016" s="667"/>
      <c r="N1016" s="667"/>
      <c r="O1016" s="667"/>
      <c r="P1016" s="667"/>
      <c r="Q1016" s="667"/>
      <c r="S1016" s="3"/>
      <c r="T1016" s="3"/>
      <c r="U1016" s="3"/>
      <c r="V1016" s="3"/>
      <c r="W1016" s="3"/>
      <c r="X1016" s="3"/>
      <c r="Y1016" s="3"/>
      <c r="Z1016" s="3"/>
      <c r="AA1016" s="3"/>
      <c r="AB1016" s="3"/>
      <c r="AC1016" s="3"/>
      <c r="AD1016" s="3"/>
      <c r="AE1016" s="3"/>
      <c r="AF1016" s="3"/>
      <c r="AG1016" s="3"/>
      <c r="AH1016" s="3"/>
      <c r="AI1016" s="3"/>
      <c r="AJ1016" s="3"/>
      <c r="AK1016" s="3"/>
    </row>
    <row r="1017" ht="15.75" customHeight="1">
      <c r="A1017" s="3"/>
      <c r="B1017" s="466"/>
      <c r="C1017" s="667"/>
      <c r="D1017" s="667"/>
      <c r="E1017" s="668"/>
      <c r="F1017" s="667"/>
      <c r="G1017" s="667"/>
      <c r="H1017" s="667"/>
      <c r="I1017" s="667"/>
      <c r="J1017" s="667"/>
      <c r="K1017" s="667"/>
      <c r="L1017" s="667"/>
      <c r="M1017" s="667"/>
      <c r="N1017" s="667"/>
      <c r="O1017" s="667"/>
      <c r="P1017" s="667"/>
      <c r="Q1017" s="667"/>
      <c r="S1017" s="3"/>
      <c r="T1017" s="3"/>
      <c r="U1017" s="3"/>
      <c r="V1017" s="3"/>
      <c r="W1017" s="3"/>
      <c r="X1017" s="3"/>
      <c r="Y1017" s="3"/>
      <c r="Z1017" s="3"/>
      <c r="AA1017" s="3"/>
      <c r="AB1017" s="3"/>
      <c r="AC1017" s="3"/>
      <c r="AD1017" s="3"/>
      <c r="AE1017" s="3"/>
      <c r="AF1017" s="3"/>
      <c r="AG1017" s="3"/>
      <c r="AH1017" s="3"/>
      <c r="AI1017" s="3"/>
      <c r="AJ1017" s="3"/>
      <c r="AK1017" s="3"/>
    </row>
    <row r="1018" ht="15.75" customHeight="1">
      <c r="A1018" s="3"/>
      <c r="B1018" s="466"/>
      <c r="C1018" s="667"/>
      <c r="D1018" s="667"/>
      <c r="E1018" s="668"/>
      <c r="F1018" s="667"/>
      <c r="G1018" s="667"/>
      <c r="H1018" s="667"/>
      <c r="I1018" s="667"/>
      <c r="J1018" s="667"/>
      <c r="K1018" s="667"/>
      <c r="L1018" s="667"/>
      <c r="M1018" s="667"/>
      <c r="N1018" s="667"/>
      <c r="O1018" s="667"/>
      <c r="P1018" s="667"/>
      <c r="Q1018" s="667"/>
      <c r="S1018" s="3"/>
      <c r="T1018" s="3"/>
      <c r="U1018" s="3"/>
      <c r="V1018" s="3"/>
      <c r="W1018" s="3"/>
      <c r="X1018" s="3"/>
      <c r="Y1018" s="3"/>
      <c r="Z1018" s="3"/>
      <c r="AA1018" s="3"/>
      <c r="AB1018" s="3"/>
      <c r="AC1018" s="3"/>
      <c r="AD1018" s="3"/>
      <c r="AE1018" s="3"/>
      <c r="AF1018" s="3"/>
      <c r="AG1018" s="3"/>
      <c r="AH1018" s="3"/>
      <c r="AI1018" s="3"/>
      <c r="AJ1018" s="3"/>
      <c r="AK1018" s="3"/>
    </row>
    <row r="1019" ht="15.75" customHeight="1">
      <c r="A1019" s="3"/>
      <c r="B1019" s="466"/>
      <c r="C1019" s="667"/>
      <c r="D1019" s="667"/>
      <c r="E1019" s="668"/>
      <c r="F1019" s="667"/>
      <c r="G1019" s="667"/>
      <c r="H1019" s="667"/>
      <c r="I1019" s="667"/>
      <c r="J1019" s="667"/>
      <c r="K1019" s="667"/>
      <c r="L1019" s="667"/>
      <c r="M1019" s="667"/>
      <c r="N1019" s="667"/>
      <c r="O1019" s="667"/>
      <c r="P1019" s="667"/>
      <c r="Q1019" s="667"/>
      <c r="S1019" s="3"/>
      <c r="T1019" s="3"/>
      <c r="U1019" s="3"/>
      <c r="V1019" s="3"/>
      <c r="W1019" s="3"/>
      <c r="X1019" s="3"/>
      <c r="Y1019" s="3"/>
      <c r="Z1019" s="3"/>
      <c r="AA1019" s="3"/>
      <c r="AB1019" s="3"/>
      <c r="AC1019" s="3"/>
      <c r="AD1019" s="3"/>
      <c r="AE1019" s="3"/>
      <c r="AF1019" s="3"/>
      <c r="AG1019" s="3"/>
      <c r="AH1019" s="3"/>
      <c r="AI1019" s="3"/>
      <c r="AJ1019" s="3"/>
      <c r="AK1019" s="3"/>
    </row>
    <row r="1020" ht="15.75" customHeight="1">
      <c r="A1020" s="3"/>
      <c r="B1020" s="466"/>
      <c r="C1020" s="667"/>
      <c r="D1020" s="667"/>
      <c r="E1020" s="668"/>
      <c r="F1020" s="667"/>
      <c r="G1020" s="667"/>
      <c r="H1020" s="667"/>
      <c r="I1020" s="667"/>
      <c r="J1020" s="667"/>
      <c r="K1020" s="667"/>
      <c r="L1020" s="667"/>
      <c r="M1020" s="667"/>
      <c r="N1020" s="667"/>
      <c r="O1020" s="667"/>
      <c r="P1020" s="667"/>
      <c r="Q1020" s="667"/>
      <c r="S1020" s="3"/>
      <c r="T1020" s="3"/>
      <c r="U1020" s="3"/>
      <c r="V1020" s="3"/>
      <c r="W1020" s="3"/>
      <c r="X1020" s="3"/>
      <c r="Y1020" s="3"/>
      <c r="Z1020" s="3"/>
      <c r="AA1020" s="3"/>
      <c r="AB1020" s="3"/>
      <c r="AC1020" s="3"/>
      <c r="AD1020" s="3"/>
      <c r="AE1020" s="3"/>
      <c r="AF1020" s="3"/>
      <c r="AG1020" s="3"/>
      <c r="AH1020" s="3"/>
      <c r="AI1020" s="3"/>
      <c r="AJ1020" s="3"/>
      <c r="AK1020" s="3"/>
    </row>
    <row r="1021" ht="15.75" customHeight="1">
      <c r="A1021" s="3"/>
      <c r="B1021" s="466"/>
      <c r="C1021" s="667"/>
      <c r="D1021" s="667"/>
      <c r="E1021" s="668"/>
      <c r="F1021" s="667"/>
      <c r="G1021" s="667"/>
      <c r="H1021" s="667"/>
      <c r="I1021" s="667"/>
      <c r="J1021" s="667"/>
      <c r="K1021" s="667"/>
      <c r="L1021" s="667"/>
      <c r="M1021" s="667"/>
      <c r="N1021" s="667"/>
      <c r="O1021" s="667"/>
      <c r="P1021" s="667"/>
      <c r="Q1021" s="667"/>
      <c r="S1021" s="3"/>
      <c r="T1021" s="3"/>
      <c r="U1021" s="3"/>
      <c r="V1021" s="3"/>
      <c r="W1021" s="3"/>
      <c r="X1021" s="3"/>
      <c r="Y1021" s="3"/>
      <c r="Z1021" s="3"/>
      <c r="AA1021" s="3"/>
      <c r="AB1021" s="3"/>
      <c r="AC1021" s="3"/>
      <c r="AD1021" s="3"/>
      <c r="AE1021" s="3"/>
      <c r="AF1021" s="3"/>
      <c r="AG1021" s="3"/>
      <c r="AH1021" s="3"/>
      <c r="AI1021" s="3"/>
      <c r="AJ1021" s="3"/>
      <c r="AK1021" s="3"/>
    </row>
    <row r="1022" ht="15.75" customHeight="1">
      <c r="A1022" s="3"/>
      <c r="B1022" s="466"/>
      <c r="C1022" s="667"/>
      <c r="D1022" s="667"/>
      <c r="E1022" s="668"/>
      <c r="F1022" s="667"/>
      <c r="G1022" s="667"/>
      <c r="H1022" s="667"/>
      <c r="I1022" s="667"/>
      <c r="J1022" s="667"/>
      <c r="K1022" s="667"/>
      <c r="L1022" s="667"/>
      <c r="M1022" s="667"/>
      <c r="N1022" s="667"/>
      <c r="O1022" s="667"/>
      <c r="P1022" s="667"/>
      <c r="Q1022" s="667"/>
      <c r="S1022" s="3"/>
      <c r="T1022" s="3"/>
      <c r="U1022" s="3"/>
      <c r="V1022" s="3"/>
      <c r="W1022" s="3"/>
      <c r="X1022" s="3"/>
      <c r="Y1022" s="3"/>
      <c r="Z1022" s="3"/>
      <c r="AA1022" s="3"/>
      <c r="AB1022" s="3"/>
      <c r="AC1022" s="3"/>
      <c r="AD1022" s="3"/>
      <c r="AE1022" s="3"/>
      <c r="AF1022" s="3"/>
      <c r="AG1022" s="3"/>
      <c r="AH1022" s="3"/>
      <c r="AI1022" s="3"/>
      <c r="AJ1022" s="3"/>
      <c r="AK1022" s="3"/>
    </row>
    <row r="1023" ht="15.75" customHeight="1">
      <c r="A1023" s="3"/>
      <c r="B1023" s="466"/>
      <c r="C1023" s="667"/>
      <c r="D1023" s="667"/>
      <c r="E1023" s="668"/>
      <c r="F1023" s="667"/>
      <c r="G1023" s="667"/>
      <c r="H1023" s="667"/>
      <c r="I1023" s="667"/>
      <c r="J1023" s="667"/>
      <c r="K1023" s="667"/>
      <c r="L1023" s="667"/>
      <c r="M1023" s="667"/>
      <c r="N1023" s="667"/>
      <c r="O1023" s="667"/>
      <c r="P1023" s="667"/>
      <c r="Q1023" s="667"/>
      <c r="S1023" s="3"/>
      <c r="T1023" s="3"/>
      <c r="U1023" s="3"/>
      <c r="V1023" s="3"/>
      <c r="W1023" s="3"/>
      <c r="X1023" s="3"/>
      <c r="Y1023" s="3"/>
      <c r="Z1023" s="3"/>
      <c r="AA1023" s="3"/>
      <c r="AB1023" s="3"/>
      <c r="AC1023" s="3"/>
      <c r="AD1023" s="3"/>
      <c r="AE1023" s="3"/>
      <c r="AF1023" s="3"/>
      <c r="AG1023" s="3"/>
      <c r="AH1023" s="3"/>
      <c r="AI1023" s="3"/>
      <c r="AJ1023" s="3"/>
      <c r="AK1023" s="3"/>
    </row>
    <row r="1024" ht="15.75" customHeight="1">
      <c r="A1024" s="3"/>
      <c r="B1024" s="466"/>
      <c r="C1024" s="667"/>
      <c r="D1024" s="667"/>
      <c r="E1024" s="668"/>
      <c r="F1024" s="667"/>
      <c r="G1024" s="667"/>
      <c r="H1024" s="667"/>
      <c r="I1024" s="667"/>
      <c r="J1024" s="667"/>
      <c r="K1024" s="667"/>
      <c r="L1024" s="667"/>
      <c r="M1024" s="667"/>
      <c r="N1024" s="667"/>
      <c r="O1024" s="667"/>
      <c r="P1024" s="667"/>
      <c r="Q1024" s="667"/>
      <c r="S1024" s="3"/>
      <c r="T1024" s="3"/>
      <c r="U1024" s="3"/>
      <c r="V1024" s="3"/>
      <c r="W1024" s="3"/>
      <c r="X1024" s="3"/>
      <c r="Y1024" s="3"/>
      <c r="Z1024" s="3"/>
      <c r="AA1024" s="3"/>
      <c r="AB1024" s="3"/>
      <c r="AC1024" s="3"/>
      <c r="AD1024" s="3"/>
      <c r="AE1024" s="3"/>
      <c r="AF1024" s="3"/>
      <c r="AG1024" s="3"/>
      <c r="AH1024" s="3"/>
      <c r="AI1024" s="3"/>
      <c r="AJ1024" s="3"/>
      <c r="AK1024" s="3"/>
    </row>
    <row r="1025" ht="15.75" customHeight="1">
      <c r="A1025" s="3"/>
      <c r="B1025" s="466"/>
      <c r="C1025" s="667"/>
      <c r="D1025" s="667"/>
      <c r="E1025" s="668"/>
      <c r="F1025" s="667"/>
      <c r="G1025" s="667"/>
      <c r="H1025" s="667"/>
      <c r="I1025" s="667"/>
      <c r="J1025" s="667"/>
      <c r="K1025" s="667"/>
      <c r="L1025" s="667"/>
      <c r="M1025" s="667"/>
      <c r="N1025" s="667"/>
      <c r="O1025" s="667"/>
      <c r="P1025" s="667"/>
      <c r="Q1025" s="667"/>
      <c r="S1025" s="3"/>
      <c r="T1025" s="3"/>
      <c r="U1025" s="3"/>
      <c r="V1025" s="3"/>
      <c r="W1025" s="3"/>
      <c r="X1025" s="3"/>
      <c r="Y1025" s="3"/>
      <c r="Z1025" s="3"/>
      <c r="AA1025" s="3"/>
      <c r="AB1025" s="3"/>
      <c r="AC1025" s="3"/>
      <c r="AD1025" s="3"/>
      <c r="AE1025" s="3"/>
      <c r="AF1025" s="3"/>
      <c r="AG1025" s="3"/>
      <c r="AH1025" s="3"/>
      <c r="AI1025" s="3"/>
      <c r="AJ1025" s="3"/>
      <c r="AK1025" s="3"/>
    </row>
    <row r="1026" ht="15.75" customHeight="1">
      <c r="A1026" s="3"/>
      <c r="B1026" s="466"/>
      <c r="C1026" s="667"/>
      <c r="D1026" s="667"/>
      <c r="E1026" s="668"/>
      <c r="F1026" s="667"/>
      <c r="G1026" s="667"/>
      <c r="H1026" s="667"/>
      <c r="I1026" s="667"/>
      <c r="J1026" s="667"/>
      <c r="K1026" s="667"/>
      <c r="L1026" s="667"/>
      <c r="M1026" s="667"/>
      <c r="N1026" s="667"/>
      <c r="O1026" s="667"/>
      <c r="P1026" s="667"/>
      <c r="Q1026" s="667"/>
      <c r="S1026" s="3"/>
      <c r="T1026" s="3"/>
      <c r="U1026" s="3"/>
      <c r="V1026" s="3"/>
      <c r="W1026" s="3"/>
      <c r="X1026" s="3"/>
      <c r="Y1026" s="3"/>
      <c r="Z1026" s="3"/>
      <c r="AA1026" s="3"/>
      <c r="AB1026" s="3"/>
      <c r="AC1026" s="3"/>
      <c r="AD1026" s="3"/>
      <c r="AE1026" s="3"/>
      <c r="AF1026" s="3"/>
      <c r="AG1026" s="3"/>
      <c r="AH1026" s="3"/>
      <c r="AI1026" s="3"/>
      <c r="AJ1026" s="3"/>
      <c r="AK1026" s="3"/>
    </row>
    <row r="1027" ht="15.75" customHeight="1">
      <c r="A1027" s="3"/>
      <c r="B1027" s="466"/>
      <c r="C1027" s="667"/>
      <c r="D1027" s="667"/>
      <c r="E1027" s="668"/>
      <c r="F1027" s="667"/>
      <c r="G1027" s="667"/>
      <c r="H1027" s="667"/>
      <c r="I1027" s="667"/>
      <c r="J1027" s="667"/>
      <c r="K1027" s="667"/>
      <c r="L1027" s="667"/>
      <c r="M1027" s="667"/>
      <c r="N1027" s="667"/>
      <c r="O1027" s="667"/>
      <c r="P1027" s="667"/>
      <c r="Q1027" s="667"/>
      <c r="S1027" s="3"/>
      <c r="T1027" s="3"/>
      <c r="U1027" s="3"/>
      <c r="V1027" s="3"/>
      <c r="W1027" s="3"/>
      <c r="X1027" s="3"/>
      <c r="Y1027" s="3"/>
      <c r="Z1027" s="3"/>
      <c r="AA1027" s="3"/>
      <c r="AB1027" s="3"/>
      <c r="AC1027" s="3"/>
      <c r="AD1027" s="3"/>
      <c r="AE1027" s="3"/>
      <c r="AF1027" s="3"/>
      <c r="AG1027" s="3"/>
      <c r="AH1027" s="3"/>
      <c r="AI1027" s="3"/>
      <c r="AJ1027" s="3"/>
      <c r="AK1027" s="3"/>
    </row>
    <row r="1028" ht="15.75" customHeight="1">
      <c r="A1028" s="3"/>
      <c r="B1028" s="466"/>
      <c r="C1028" s="667"/>
      <c r="D1028" s="667"/>
      <c r="E1028" s="668"/>
      <c r="F1028" s="667"/>
      <c r="G1028" s="667"/>
      <c r="H1028" s="667"/>
      <c r="I1028" s="667"/>
      <c r="J1028" s="667"/>
      <c r="K1028" s="667"/>
      <c r="L1028" s="667"/>
      <c r="M1028" s="667"/>
      <c r="N1028" s="667"/>
      <c r="O1028" s="667"/>
      <c r="P1028" s="667"/>
      <c r="Q1028" s="667"/>
      <c r="S1028" s="3"/>
      <c r="T1028" s="3"/>
      <c r="U1028" s="3"/>
      <c r="V1028" s="3"/>
      <c r="W1028" s="3"/>
      <c r="X1028" s="3"/>
      <c r="Y1028" s="3"/>
      <c r="Z1028" s="3"/>
      <c r="AA1028" s="3"/>
      <c r="AB1028" s="3"/>
      <c r="AC1028" s="3"/>
      <c r="AD1028" s="3"/>
      <c r="AE1028" s="3"/>
      <c r="AF1028" s="3"/>
      <c r="AG1028" s="3"/>
      <c r="AH1028" s="3"/>
      <c r="AI1028" s="3"/>
      <c r="AJ1028" s="3"/>
      <c r="AK1028" s="3"/>
    </row>
    <row r="1029" ht="15.75" customHeight="1">
      <c r="A1029" s="3"/>
      <c r="B1029" s="466"/>
      <c r="C1029" s="667"/>
      <c r="D1029" s="667"/>
      <c r="E1029" s="668"/>
      <c r="F1029" s="667"/>
      <c r="G1029" s="667"/>
      <c r="H1029" s="667"/>
      <c r="I1029" s="667"/>
      <c r="J1029" s="667"/>
      <c r="K1029" s="667"/>
      <c r="L1029" s="667"/>
      <c r="M1029" s="667"/>
      <c r="N1029" s="667"/>
      <c r="O1029" s="667"/>
      <c r="P1029" s="667"/>
      <c r="Q1029" s="667"/>
      <c r="S1029" s="3"/>
      <c r="T1029" s="3"/>
      <c r="U1029" s="3"/>
      <c r="V1029" s="3"/>
      <c r="W1029" s="3"/>
      <c r="X1029" s="3"/>
      <c r="Y1029" s="3"/>
      <c r="Z1029" s="3"/>
      <c r="AA1029" s="3"/>
      <c r="AB1029" s="3"/>
      <c r="AC1029" s="3"/>
      <c r="AD1029" s="3"/>
      <c r="AE1029" s="3"/>
      <c r="AF1029" s="3"/>
      <c r="AG1029" s="3"/>
      <c r="AH1029" s="3"/>
      <c r="AI1029" s="3"/>
      <c r="AJ1029" s="3"/>
      <c r="AK1029" s="3"/>
    </row>
    <row r="1030" ht="15.75" customHeight="1">
      <c r="A1030" s="3"/>
      <c r="B1030" s="466"/>
      <c r="C1030" s="667"/>
      <c r="D1030" s="667"/>
      <c r="E1030" s="668"/>
      <c r="F1030" s="667"/>
      <c r="G1030" s="667"/>
      <c r="H1030" s="667"/>
      <c r="I1030" s="667"/>
      <c r="J1030" s="667"/>
      <c r="K1030" s="667"/>
      <c r="L1030" s="667"/>
      <c r="M1030" s="667"/>
      <c r="N1030" s="667"/>
      <c r="O1030" s="667"/>
      <c r="P1030" s="667"/>
      <c r="Q1030" s="667"/>
      <c r="S1030" s="3"/>
      <c r="T1030" s="3"/>
      <c r="U1030" s="3"/>
      <c r="V1030" s="3"/>
      <c r="W1030" s="3"/>
      <c r="X1030" s="3"/>
      <c r="Y1030" s="3"/>
      <c r="Z1030" s="3"/>
      <c r="AA1030" s="3"/>
      <c r="AB1030" s="3"/>
      <c r="AC1030" s="3"/>
      <c r="AD1030" s="3"/>
      <c r="AE1030" s="3"/>
      <c r="AF1030" s="3"/>
      <c r="AG1030" s="3"/>
      <c r="AH1030" s="3"/>
      <c r="AI1030" s="3"/>
      <c r="AJ1030" s="3"/>
      <c r="AK1030" s="3"/>
    </row>
    <row r="1031" ht="15.75" customHeight="1">
      <c r="A1031" s="3"/>
      <c r="B1031" s="466"/>
      <c r="C1031" s="667"/>
      <c r="D1031" s="667"/>
      <c r="E1031" s="668"/>
      <c r="F1031" s="667"/>
      <c r="G1031" s="667"/>
      <c r="H1031" s="667"/>
      <c r="I1031" s="667"/>
      <c r="J1031" s="667"/>
      <c r="K1031" s="667"/>
      <c r="L1031" s="667"/>
      <c r="M1031" s="667"/>
      <c r="N1031" s="667"/>
      <c r="O1031" s="667"/>
      <c r="P1031" s="667"/>
      <c r="Q1031" s="667"/>
      <c r="S1031" s="3"/>
      <c r="T1031" s="3"/>
      <c r="U1031" s="3"/>
      <c r="V1031" s="3"/>
      <c r="W1031" s="3"/>
      <c r="X1031" s="3"/>
      <c r="Y1031" s="3"/>
      <c r="Z1031" s="3"/>
      <c r="AA1031" s="3"/>
      <c r="AB1031" s="3"/>
      <c r="AC1031" s="3"/>
      <c r="AD1031" s="3"/>
      <c r="AE1031" s="3"/>
      <c r="AF1031" s="3"/>
      <c r="AG1031" s="3"/>
      <c r="AH1031" s="3"/>
      <c r="AI1031" s="3"/>
      <c r="AJ1031" s="3"/>
      <c r="AK1031" s="3"/>
    </row>
    <row r="1032" ht="15.75" customHeight="1">
      <c r="A1032" s="3"/>
      <c r="B1032" s="466"/>
      <c r="C1032" s="667"/>
      <c r="D1032" s="667"/>
      <c r="E1032" s="668"/>
      <c r="F1032" s="667"/>
      <c r="G1032" s="667"/>
      <c r="H1032" s="667"/>
      <c r="I1032" s="667"/>
      <c r="J1032" s="667"/>
      <c r="K1032" s="667"/>
      <c r="L1032" s="667"/>
      <c r="M1032" s="667"/>
      <c r="N1032" s="667"/>
      <c r="O1032" s="667"/>
      <c r="P1032" s="667"/>
      <c r="Q1032" s="667"/>
      <c r="S1032" s="3"/>
      <c r="T1032" s="3"/>
      <c r="U1032" s="3"/>
      <c r="V1032" s="3"/>
      <c r="W1032" s="3"/>
      <c r="X1032" s="3"/>
      <c r="Y1032" s="3"/>
      <c r="Z1032" s="3"/>
      <c r="AA1032" s="3"/>
      <c r="AB1032" s="3"/>
      <c r="AC1032" s="3"/>
      <c r="AD1032" s="3"/>
      <c r="AE1032" s="3"/>
      <c r="AF1032" s="3"/>
      <c r="AG1032" s="3"/>
      <c r="AH1032" s="3"/>
      <c r="AI1032" s="3"/>
      <c r="AJ1032" s="3"/>
      <c r="AK1032" s="3"/>
    </row>
    <row r="1033" ht="15.75" customHeight="1">
      <c r="A1033" s="3"/>
      <c r="B1033" s="466"/>
      <c r="C1033" s="667"/>
      <c r="D1033" s="667"/>
      <c r="E1033" s="668"/>
      <c r="F1033" s="667"/>
      <c r="G1033" s="667"/>
      <c r="H1033" s="667"/>
      <c r="I1033" s="667"/>
      <c r="J1033" s="667"/>
      <c r="K1033" s="667"/>
      <c r="L1033" s="667"/>
      <c r="M1033" s="667"/>
      <c r="N1033" s="667"/>
      <c r="O1033" s="667"/>
      <c r="P1033" s="667"/>
      <c r="Q1033" s="667"/>
      <c r="S1033" s="3"/>
      <c r="T1033" s="3"/>
      <c r="U1033" s="3"/>
      <c r="V1033" s="3"/>
      <c r="W1033" s="3"/>
      <c r="X1033" s="3"/>
      <c r="Y1033" s="3"/>
      <c r="Z1033" s="3"/>
      <c r="AA1033" s="3"/>
      <c r="AB1033" s="3"/>
      <c r="AC1033" s="3"/>
      <c r="AD1033" s="3"/>
      <c r="AE1033" s="3"/>
      <c r="AF1033" s="3"/>
      <c r="AG1033" s="3"/>
      <c r="AH1033" s="3"/>
      <c r="AI1033" s="3"/>
      <c r="AJ1033" s="3"/>
      <c r="AK1033" s="3"/>
    </row>
    <row r="1034" ht="15.75" customHeight="1">
      <c r="A1034" s="3"/>
      <c r="B1034" s="466"/>
      <c r="C1034" s="667"/>
      <c r="D1034" s="667"/>
      <c r="E1034" s="668"/>
      <c r="F1034" s="667"/>
      <c r="G1034" s="667"/>
      <c r="H1034" s="667"/>
      <c r="I1034" s="667"/>
      <c r="J1034" s="667"/>
      <c r="K1034" s="667"/>
      <c r="L1034" s="667"/>
      <c r="M1034" s="667"/>
      <c r="N1034" s="667"/>
      <c r="O1034" s="667"/>
      <c r="P1034" s="667"/>
      <c r="Q1034" s="667"/>
      <c r="S1034" s="3"/>
      <c r="T1034" s="3"/>
      <c r="U1034" s="3"/>
      <c r="V1034" s="3"/>
      <c r="W1034" s="3"/>
      <c r="X1034" s="3"/>
      <c r="Y1034" s="3"/>
      <c r="Z1034" s="3"/>
      <c r="AA1034" s="3"/>
      <c r="AB1034" s="3"/>
      <c r="AC1034" s="3"/>
      <c r="AD1034" s="3"/>
      <c r="AE1034" s="3"/>
      <c r="AF1034" s="3"/>
      <c r="AG1034" s="3"/>
      <c r="AH1034" s="3"/>
      <c r="AI1034" s="3"/>
      <c r="AJ1034" s="3"/>
      <c r="AK1034" s="3"/>
    </row>
    <row r="1035" ht="15.75" customHeight="1">
      <c r="A1035" s="3"/>
      <c r="B1035" s="466"/>
      <c r="C1035" s="667"/>
      <c r="D1035" s="667"/>
      <c r="E1035" s="668"/>
      <c r="F1035" s="667"/>
      <c r="G1035" s="667"/>
      <c r="H1035" s="667"/>
      <c r="I1035" s="667"/>
      <c r="J1035" s="667"/>
      <c r="K1035" s="667"/>
      <c r="L1035" s="667"/>
      <c r="M1035" s="667"/>
      <c r="N1035" s="667"/>
      <c r="O1035" s="667"/>
      <c r="P1035" s="667"/>
      <c r="Q1035" s="667"/>
      <c r="S1035" s="3"/>
      <c r="T1035" s="3"/>
      <c r="U1035" s="3"/>
      <c r="V1035" s="3"/>
      <c r="W1035" s="3"/>
      <c r="X1035" s="3"/>
      <c r="Y1035" s="3"/>
      <c r="Z1035" s="3"/>
      <c r="AA1035" s="3"/>
      <c r="AB1035" s="3"/>
      <c r="AC1035" s="3"/>
      <c r="AD1035" s="3"/>
      <c r="AE1035" s="3"/>
      <c r="AF1035" s="3"/>
      <c r="AG1035" s="3"/>
      <c r="AH1035" s="3"/>
      <c r="AI1035" s="3"/>
      <c r="AJ1035" s="3"/>
      <c r="AK1035" s="3"/>
    </row>
    <row r="1036" ht="15.75" customHeight="1">
      <c r="A1036" s="3"/>
      <c r="B1036" s="466"/>
      <c r="C1036" s="667"/>
      <c r="D1036" s="667"/>
      <c r="E1036" s="668"/>
      <c r="F1036" s="667"/>
      <c r="G1036" s="667"/>
      <c r="H1036" s="667"/>
      <c r="I1036" s="667"/>
      <c r="J1036" s="667"/>
      <c r="K1036" s="667"/>
      <c r="L1036" s="667"/>
      <c r="M1036" s="667"/>
      <c r="N1036" s="667"/>
      <c r="O1036" s="667"/>
      <c r="P1036" s="667"/>
      <c r="Q1036" s="667"/>
      <c r="S1036" s="3"/>
      <c r="T1036" s="3"/>
      <c r="U1036" s="3"/>
      <c r="V1036" s="3"/>
      <c r="W1036" s="3"/>
      <c r="X1036" s="3"/>
      <c r="Y1036" s="3"/>
      <c r="Z1036" s="3"/>
      <c r="AA1036" s="3"/>
      <c r="AB1036" s="3"/>
      <c r="AC1036" s="3"/>
      <c r="AD1036" s="3"/>
      <c r="AE1036" s="3"/>
      <c r="AF1036" s="3"/>
      <c r="AG1036" s="3"/>
      <c r="AH1036" s="3"/>
      <c r="AI1036" s="3"/>
      <c r="AJ1036" s="3"/>
      <c r="AK1036" s="3"/>
    </row>
    <row r="1037" ht="15.75" customHeight="1">
      <c r="A1037" s="3"/>
      <c r="B1037" s="466"/>
      <c r="C1037" s="667"/>
      <c r="D1037" s="667"/>
      <c r="E1037" s="668"/>
      <c r="F1037" s="667"/>
      <c r="G1037" s="667"/>
      <c r="H1037" s="667"/>
      <c r="I1037" s="667"/>
      <c r="J1037" s="667"/>
      <c r="K1037" s="667"/>
      <c r="L1037" s="667"/>
      <c r="M1037" s="667"/>
      <c r="N1037" s="667"/>
      <c r="O1037" s="667"/>
      <c r="P1037" s="667"/>
      <c r="Q1037" s="667"/>
      <c r="S1037" s="3"/>
      <c r="T1037" s="3"/>
      <c r="U1037" s="3"/>
      <c r="V1037" s="3"/>
      <c r="W1037" s="3"/>
      <c r="X1037" s="3"/>
      <c r="Y1037" s="3"/>
      <c r="Z1037" s="3"/>
      <c r="AA1037" s="3"/>
      <c r="AB1037" s="3"/>
      <c r="AC1037" s="3"/>
      <c r="AD1037" s="3"/>
      <c r="AE1037" s="3"/>
      <c r="AF1037" s="3"/>
      <c r="AG1037" s="3"/>
      <c r="AH1037" s="3"/>
      <c r="AI1037" s="3"/>
      <c r="AJ1037" s="3"/>
      <c r="AK1037" s="3"/>
    </row>
    <row r="1038" ht="15.75" customHeight="1">
      <c r="A1038" s="3"/>
      <c r="B1038" s="466"/>
      <c r="C1038" s="667"/>
      <c r="D1038" s="667"/>
      <c r="E1038" s="668"/>
      <c r="F1038" s="667"/>
      <c r="G1038" s="667"/>
      <c r="H1038" s="667"/>
      <c r="I1038" s="667"/>
      <c r="J1038" s="667"/>
      <c r="K1038" s="667"/>
      <c r="L1038" s="667"/>
      <c r="M1038" s="667"/>
      <c r="N1038" s="667"/>
      <c r="O1038" s="667"/>
      <c r="P1038" s="667"/>
      <c r="Q1038" s="667"/>
      <c r="S1038" s="3"/>
      <c r="T1038" s="3"/>
      <c r="U1038" s="3"/>
      <c r="V1038" s="3"/>
      <c r="W1038" s="3"/>
      <c r="X1038" s="3"/>
      <c r="Y1038" s="3"/>
      <c r="Z1038" s="3"/>
      <c r="AA1038" s="3"/>
      <c r="AB1038" s="3"/>
      <c r="AC1038" s="3"/>
      <c r="AD1038" s="3"/>
      <c r="AE1038" s="3"/>
      <c r="AF1038" s="3"/>
      <c r="AG1038" s="3"/>
      <c r="AH1038" s="3"/>
      <c r="AI1038" s="3"/>
      <c r="AJ1038" s="3"/>
      <c r="AK1038" s="3"/>
    </row>
    <row r="1039" ht="15.75" customHeight="1">
      <c r="A1039" s="3"/>
      <c r="B1039" s="466"/>
      <c r="C1039" s="667"/>
      <c r="D1039" s="667"/>
      <c r="E1039" s="668"/>
      <c r="F1039" s="667"/>
      <c r="G1039" s="667"/>
      <c r="H1039" s="667"/>
      <c r="I1039" s="667"/>
      <c r="J1039" s="667"/>
      <c r="K1039" s="667"/>
      <c r="L1039" s="667"/>
      <c r="M1039" s="667"/>
      <c r="N1039" s="667"/>
      <c r="O1039" s="667"/>
      <c r="P1039" s="667"/>
      <c r="Q1039" s="667"/>
      <c r="S1039" s="3"/>
      <c r="T1039" s="3"/>
      <c r="U1039" s="3"/>
      <c r="V1039" s="3"/>
      <c r="W1039" s="3"/>
      <c r="X1039" s="3"/>
      <c r="Y1039" s="3"/>
      <c r="Z1039" s="3"/>
      <c r="AA1039" s="3"/>
      <c r="AB1039" s="3"/>
      <c r="AC1039" s="3"/>
      <c r="AD1039" s="3"/>
      <c r="AE1039" s="3"/>
      <c r="AF1039" s="3"/>
      <c r="AG1039" s="3"/>
      <c r="AH1039" s="3"/>
      <c r="AI1039" s="3"/>
      <c r="AJ1039" s="3"/>
      <c r="AK1039" s="3"/>
    </row>
    <row r="1040" ht="15.75" customHeight="1">
      <c r="A1040" s="3"/>
      <c r="B1040" s="466"/>
      <c r="C1040" s="667"/>
      <c r="D1040" s="667"/>
      <c r="E1040" s="668"/>
      <c r="F1040" s="667"/>
      <c r="G1040" s="667"/>
      <c r="H1040" s="667"/>
      <c r="I1040" s="667"/>
      <c r="J1040" s="667"/>
      <c r="K1040" s="667"/>
      <c r="L1040" s="667"/>
      <c r="M1040" s="667"/>
      <c r="N1040" s="667"/>
      <c r="O1040" s="667"/>
      <c r="P1040" s="667"/>
      <c r="Q1040" s="667"/>
      <c r="S1040" s="3"/>
      <c r="T1040" s="3"/>
      <c r="U1040" s="3"/>
      <c r="V1040" s="3"/>
      <c r="W1040" s="3"/>
      <c r="X1040" s="3"/>
      <c r="Y1040" s="3"/>
      <c r="Z1040" s="3"/>
      <c r="AA1040" s="3"/>
      <c r="AB1040" s="3"/>
      <c r="AC1040" s="3"/>
      <c r="AD1040" s="3"/>
      <c r="AE1040" s="3"/>
      <c r="AF1040" s="3"/>
      <c r="AG1040" s="3"/>
      <c r="AH1040" s="3"/>
      <c r="AI1040" s="3"/>
      <c r="AJ1040" s="3"/>
      <c r="AK1040" s="3"/>
    </row>
    <row r="1041" ht="15.75" customHeight="1">
      <c r="A1041" s="3"/>
      <c r="B1041" s="466"/>
      <c r="C1041" s="667"/>
      <c r="D1041" s="667"/>
      <c r="E1041" s="668"/>
      <c r="F1041" s="667"/>
      <c r="G1041" s="667"/>
      <c r="H1041" s="667"/>
      <c r="I1041" s="667"/>
      <c r="J1041" s="667"/>
      <c r="K1041" s="667"/>
      <c r="L1041" s="667"/>
      <c r="M1041" s="667"/>
      <c r="N1041" s="667"/>
      <c r="O1041" s="667"/>
      <c r="P1041" s="667"/>
      <c r="Q1041" s="667"/>
      <c r="S1041" s="3"/>
      <c r="T1041" s="3"/>
      <c r="U1041" s="3"/>
      <c r="V1041" s="3"/>
      <c r="W1041" s="3"/>
      <c r="X1041" s="3"/>
      <c r="Y1041" s="3"/>
      <c r="Z1041" s="3"/>
      <c r="AA1041" s="3"/>
      <c r="AB1041" s="3"/>
      <c r="AC1041" s="3"/>
      <c r="AD1041" s="3"/>
      <c r="AE1041" s="3"/>
      <c r="AF1041" s="3"/>
      <c r="AG1041" s="3"/>
      <c r="AH1041" s="3"/>
      <c r="AI1041" s="3"/>
      <c r="AJ1041" s="3"/>
      <c r="AK1041" s="3"/>
    </row>
    <row r="1042" ht="15.75" customHeight="1">
      <c r="A1042" s="3"/>
      <c r="B1042" s="466"/>
      <c r="C1042" s="667"/>
      <c r="D1042" s="667"/>
      <c r="E1042" s="668"/>
      <c r="F1042" s="667"/>
      <c r="G1042" s="667"/>
      <c r="H1042" s="667"/>
      <c r="I1042" s="667"/>
      <c r="J1042" s="667"/>
      <c r="K1042" s="667"/>
      <c r="L1042" s="667"/>
      <c r="M1042" s="667"/>
      <c r="N1042" s="667"/>
      <c r="O1042" s="667"/>
      <c r="P1042" s="667"/>
      <c r="Q1042" s="667"/>
      <c r="S1042" s="3"/>
      <c r="T1042" s="3"/>
      <c r="U1042" s="3"/>
      <c r="V1042" s="3"/>
      <c r="W1042" s="3"/>
      <c r="X1042" s="3"/>
      <c r="Y1042" s="3"/>
      <c r="Z1042" s="3"/>
      <c r="AA1042" s="3"/>
      <c r="AB1042" s="3"/>
      <c r="AC1042" s="3"/>
      <c r="AD1042" s="3"/>
      <c r="AE1042" s="3"/>
      <c r="AF1042" s="3"/>
      <c r="AG1042" s="3"/>
      <c r="AH1042" s="3"/>
      <c r="AI1042" s="3"/>
      <c r="AJ1042" s="3"/>
      <c r="AK1042" s="3"/>
    </row>
    <row r="1043" ht="15.75" customHeight="1">
      <c r="A1043" s="3"/>
      <c r="B1043" s="466"/>
      <c r="C1043" s="667"/>
      <c r="D1043" s="667"/>
      <c r="E1043" s="668"/>
      <c r="F1043" s="667"/>
      <c r="G1043" s="667"/>
      <c r="H1043" s="667"/>
      <c r="I1043" s="667"/>
      <c r="J1043" s="667"/>
      <c r="K1043" s="667"/>
      <c r="L1043" s="667"/>
      <c r="M1043" s="667"/>
      <c r="N1043" s="667"/>
      <c r="O1043" s="667"/>
      <c r="P1043" s="667"/>
      <c r="Q1043" s="667"/>
      <c r="S1043" s="3"/>
      <c r="T1043" s="3"/>
      <c r="U1043" s="3"/>
      <c r="V1043" s="3"/>
      <c r="W1043" s="3"/>
      <c r="X1043" s="3"/>
      <c r="Y1043" s="3"/>
      <c r="Z1043" s="3"/>
      <c r="AA1043" s="3"/>
      <c r="AB1043" s="3"/>
      <c r="AC1043" s="3"/>
      <c r="AD1043" s="3"/>
      <c r="AE1043" s="3"/>
      <c r="AF1043" s="3"/>
      <c r="AG1043" s="3"/>
      <c r="AH1043" s="3"/>
      <c r="AI1043" s="3"/>
      <c r="AJ1043" s="3"/>
      <c r="AK1043" s="3"/>
    </row>
    <row r="1044" ht="15.75" customHeight="1">
      <c r="A1044" s="3"/>
      <c r="B1044" s="466"/>
      <c r="C1044" s="667"/>
      <c r="D1044" s="667"/>
      <c r="E1044" s="668"/>
      <c r="F1044" s="667"/>
      <c r="G1044" s="667"/>
      <c r="H1044" s="667"/>
      <c r="I1044" s="667"/>
      <c r="J1044" s="667"/>
      <c r="K1044" s="667"/>
      <c r="L1044" s="667"/>
      <c r="M1044" s="667"/>
      <c r="N1044" s="667"/>
      <c r="O1044" s="667"/>
      <c r="P1044" s="667"/>
      <c r="Q1044" s="667"/>
      <c r="S1044" s="3"/>
      <c r="T1044" s="3"/>
      <c r="U1044" s="3"/>
      <c r="V1044" s="3"/>
      <c r="W1044" s="3"/>
      <c r="X1044" s="3"/>
      <c r="Y1044" s="3"/>
      <c r="Z1044" s="3"/>
      <c r="AA1044" s="3"/>
      <c r="AB1044" s="3"/>
      <c r="AC1044" s="3"/>
      <c r="AD1044" s="3"/>
      <c r="AE1044" s="3"/>
      <c r="AF1044" s="3"/>
      <c r="AG1044" s="3"/>
      <c r="AH1044" s="3"/>
      <c r="AI1044" s="3"/>
      <c r="AJ1044" s="3"/>
      <c r="AK1044" s="3"/>
    </row>
    <row r="1045" ht="15.75" customHeight="1">
      <c r="A1045" s="3"/>
      <c r="B1045" s="466"/>
      <c r="C1045" s="667"/>
      <c r="D1045" s="667"/>
      <c r="E1045" s="668"/>
      <c r="F1045" s="667"/>
      <c r="G1045" s="667"/>
      <c r="H1045" s="667"/>
      <c r="I1045" s="667"/>
      <c r="J1045" s="667"/>
      <c r="K1045" s="667"/>
      <c r="L1045" s="667"/>
      <c r="M1045" s="667"/>
      <c r="N1045" s="667"/>
      <c r="O1045" s="667"/>
      <c r="P1045" s="667"/>
      <c r="Q1045" s="667"/>
      <c r="S1045" s="3"/>
      <c r="T1045" s="3"/>
      <c r="U1045" s="3"/>
      <c r="V1045" s="3"/>
      <c r="W1045" s="3"/>
      <c r="X1045" s="3"/>
      <c r="Y1045" s="3"/>
      <c r="Z1045" s="3"/>
      <c r="AA1045" s="3"/>
      <c r="AB1045" s="3"/>
      <c r="AC1045" s="3"/>
      <c r="AD1045" s="3"/>
      <c r="AE1045" s="3"/>
      <c r="AF1045" s="3"/>
      <c r="AG1045" s="3"/>
      <c r="AH1045" s="3"/>
      <c r="AI1045" s="3"/>
      <c r="AJ1045" s="3"/>
      <c r="AK1045" s="3"/>
    </row>
  </sheetData>
  <mergeCells count="23">
    <mergeCell ref="B1:Q1"/>
    <mergeCell ref="C2:Q2"/>
    <mergeCell ref="K3:M3"/>
    <mergeCell ref="O3:Q3"/>
    <mergeCell ref="L4:M4"/>
    <mergeCell ref="B342:Q342"/>
    <mergeCell ref="B343:Q343"/>
    <mergeCell ref="C344:E344"/>
    <mergeCell ref="G344:H344"/>
    <mergeCell ref="I344:L344"/>
    <mergeCell ref="G345:H345"/>
    <mergeCell ref="K345:L345"/>
    <mergeCell ref="B346:C346"/>
    <mergeCell ref="E346:F346"/>
    <mergeCell ref="M348:Q348"/>
    <mergeCell ref="M349:N349"/>
    <mergeCell ref="C347:E347"/>
    <mergeCell ref="G347:H347"/>
    <mergeCell ref="I347:L347"/>
    <mergeCell ref="M347:Q347"/>
    <mergeCell ref="C348:E348"/>
    <mergeCell ref="G348:H348"/>
    <mergeCell ref="J348:L348"/>
  </mergeCells>
  <printOptions/>
  <pageMargins bottom="0.7480314960629921" footer="0.0" header="0.0" left="0.7086614173228347" right="0.7086614173228347" top="0.7480314960629921"/>
  <pageSetup paperSize="5"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0.0"/>
    <col customWidth="1" min="2" max="2" width="4.71"/>
    <col customWidth="1" min="3" max="3" width="14.86"/>
    <col customWidth="1" min="4" max="5" width="9.57"/>
    <col customWidth="1" min="6" max="6" width="36.14"/>
    <col customWidth="1" min="7" max="7" width="11.43"/>
    <col customWidth="1" min="8" max="8" width="10.29"/>
    <col customWidth="1" min="9" max="9" width="9.0"/>
    <col customWidth="1" min="10" max="10" width="7.57"/>
    <col customWidth="1" min="11" max="11" width="9.0"/>
    <col customWidth="1" min="12" max="12" width="7.29"/>
    <col customWidth="1" min="13" max="13" width="14.0"/>
    <col customWidth="1" min="14" max="14" width="13.43"/>
    <col customWidth="1" min="15" max="15" width="13.71"/>
    <col customWidth="1" min="16" max="16" width="5.29"/>
    <col customWidth="1" min="17" max="17" width="11.43"/>
    <col customWidth="1" min="18" max="18" width="11.29"/>
    <col customWidth="1" min="19" max="26" width="8.71"/>
  </cols>
  <sheetData>
    <row r="1">
      <c r="A1" s="3"/>
      <c r="B1" s="524" t="s">
        <v>14157</v>
      </c>
      <c r="S1" s="3"/>
      <c r="T1" s="3"/>
      <c r="U1" s="3"/>
      <c r="V1" s="3"/>
      <c r="W1" s="3"/>
      <c r="X1" s="3"/>
      <c r="Y1" s="3"/>
      <c r="Z1" s="3"/>
    </row>
    <row r="2">
      <c r="A2" s="3"/>
      <c r="B2" s="321"/>
      <c r="C2" s="400" t="s">
        <v>1</v>
      </c>
      <c r="D2" s="6"/>
      <c r="E2" s="6"/>
      <c r="F2" s="6"/>
      <c r="G2" s="6"/>
      <c r="H2" s="6"/>
      <c r="I2" s="6"/>
      <c r="J2" s="6"/>
      <c r="K2" s="6"/>
      <c r="L2" s="6"/>
      <c r="M2" s="6"/>
      <c r="N2" s="6"/>
      <c r="O2" s="6"/>
      <c r="P2" s="6"/>
      <c r="Q2" s="6"/>
      <c r="R2" s="7"/>
      <c r="S2" s="3"/>
      <c r="T2" s="3"/>
      <c r="U2" s="3"/>
      <c r="V2" s="3"/>
      <c r="W2" s="3"/>
      <c r="X2" s="3"/>
      <c r="Y2" s="3"/>
      <c r="Z2" s="3"/>
    </row>
    <row r="3">
      <c r="A3" s="3"/>
      <c r="B3" s="321"/>
      <c r="C3" s="401"/>
      <c r="D3" s="9"/>
      <c r="E3" s="9"/>
      <c r="F3" s="402"/>
      <c r="G3" s="9"/>
      <c r="H3" s="403"/>
      <c r="I3" s="403"/>
      <c r="J3" s="403"/>
      <c r="K3" s="9"/>
      <c r="L3" s="12"/>
      <c r="N3" s="13"/>
      <c r="O3" s="343" t="s">
        <v>3</v>
      </c>
      <c r="P3" s="404" t="s">
        <v>21137</v>
      </c>
      <c r="Q3" s="16"/>
      <c r="R3" s="17"/>
      <c r="S3" s="3"/>
      <c r="T3" s="3"/>
      <c r="U3" s="3"/>
      <c r="V3" s="3"/>
      <c r="W3" s="3"/>
      <c r="X3" s="3"/>
      <c r="Y3" s="3"/>
      <c r="Z3" s="3"/>
    </row>
    <row r="4">
      <c r="A4" s="3"/>
      <c r="B4" s="321"/>
      <c r="C4" s="405"/>
      <c r="D4" s="9"/>
      <c r="E4" s="9"/>
      <c r="F4" s="402"/>
      <c r="G4" s="9"/>
      <c r="H4" s="403"/>
      <c r="I4" s="321"/>
      <c r="J4" s="403"/>
      <c r="K4" s="9"/>
      <c r="L4" s="403"/>
      <c r="M4" s="406"/>
      <c r="N4" s="407"/>
      <c r="O4" s="403"/>
      <c r="P4" s="403"/>
      <c r="Q4" s="403"/>
      <c r="R4" s="403"/>
      <c r="S4" s="3"/>
      <c r="T4" s="3"/>
      <c r="U4" s="3"/>
      <c r="V4" s="3"/>
      <c r="W4" s="3"/>
      <c r="X4" s="3"/>
      <c r="Y4" s="3"/>
      <c r="Z4" s="3"/>
    </row>
    <row r="5">
      <c r="A5" s="3"/>
      <c r="B5" s="409" t="s">
        <v>13864</v>
      </c>
      <c r="C5" s="295" t="s">
        <v>13834</v>
      </c>
      <c r="D5" s="409" t="s">
        <v>10</v>
      </c>
      <c r="E5" s="409"/>
      <c r="F5" s="409" t="s">
        <v>11</v>
      </c>
      <c r="G5" s="409" t="s">
        <v>12</v>
      </c>
      <c r="H5" s="409" t="s">
        <v>13</v>
      </c>
      <c r="I5" s="409" t="s">
        <v>14</v>
      </c>
      <c r="J5" s="409" t="s">
        <v>13835</v>
      </c>
      <c r="K5" s="409" t="s">
        <v>13865</v>
      </c>
      <c r="L5" s="409" t="s">
        <v>16</v>
      </c>
      <c r="M5" s="410" t="s">
        <v>13836</v>
      </c>
      <c r="N5" s="410" t="s">
        <v>13837</v>
      </c>
      <c r="O5" s="409" t="s">
        <v>18</v>
      </c>
      <c r="P5" s="409" t="s">
        <v>19</v>
      </c>
      <c r="Q5" s="409" t="s">
        <v>20</v>
      </c>
      <c r="R5" s="409" t="s">
        <v>21</v>
      </c>
      <c r="S5" s="3"/>
      <c r="T5" s="3"/>
      <c r="U5" s="3"/>
      <c r="V5" s="3"/>
      <c r="W5" s="3"/>
      <c r="X5" s="3"/>
      <c r="Y5" s="3"/>
      <c r="Z5" s="3"/>
    </row>
    <row r="6">
      <c r="A6" s="3"/>
      <c r="B6" s="552">
        <v>1.0</v>
      </c>
      <c r="C6" s="433"/>
      <c r="D6" s="433" t="s">
        <v>21138</v>
      </c>
      <c r="E6" s="433"/>
      <c r="F6" s="434" t="s">
        <v>21139</v>
      </c>
      <c r="G6" s="433" t="s">
        <v>20948</v>
      </c>
      <c r="H6" s="342" t="s">
        <v>29</v>
      </c>
      <c r="I6" s="342" t="s">
        <v>37</v>
      </c>
      <c r="J6" s="342"/>
      <c r="K6" s="342" t="s">
        <v>38</v>
      </c>
      <c r="L6" s="342">
        <v>388.0</v>
      </c>
      <c r="M6" s="782"/>
      <c r="N6" s="433"/>
      <c r="O6" s="433" t="s">
        <v>54</v>
      </c>
      <c r="P6" s="433">
        <v>2001.0</v>
      </c>
      <c r="Q6" s="433" t="s">
        <v>388</v>
      </c>
      <c r="R6" s="342">
        <v>1.0</v>
      </c>
      <c r="S6" s="3"/>
      <c r="T6" s="3"/>
      <c r="U6" s="3"/>
      <c r="V6" s="3"/>
      <c r="W6" s="3"/>
      <c r="X6" s="3"/>
      <c r="Y6" s="3"/>
      <c r="Z6" s="3"/>
    </row>
    <row r="7">
      <c r="A7" s="3"/>
      <c r="B7" s="450">
        <v>2.0</v>
      </c>
      <c r="C7" s="538"/>
      <c r="D7" s="433" t="s">
        <v>21140</v>
      </c>
      <c r="E7" s="433"/>
      <c r="F7" s="434" t="s">
        <v>21141</v>
      </c>
      <c r="G7" s="433" t="s">
        <v>20948</v>
      </c>
      <c r="H7" s="342" t="s">
        <v>29</v>
      </c>
      <c r="I7" s="342" t="s">
        <v>98</v>
      </c>
      <c r="J7" s="342"/>
      <c r="K7" s="342" t="s">
        <v>38</v>
      </c>
      <c r="L7" s="342"/>
      <c r="M7" s="433"/>
      <c r="N7" s="433"/>
      <c r="O7" s="433" t="s">
        <v>21142</v>
      </c>
      <c r="P7" s="342">
        <v>1975.0</v>
      </c>
      <c r="Q7" s="433" t="s">
        <v>388</v>
      </c>
      <c r="R7" s="342">
        <v>1.0</v>
      </c>
      <c r="S7" s="3"/>
      <c r="T7" s="3"/>
      <c r="U7" s="3"/>
      <c r="V7" s="3"/>
      <c r="W7" s="3"/>
      <c r="X7" s="3"/>
      <c r="Y7" s="3"/>
      <c r="Z7" s="3"/>
    </row>
    <row r="8">
      <c r="A8" s="3"/>
      <c r="B8" s="552">
        <v>3.0</v>
      </c>
      <c r="C8" s="433"/>
      <c r="D8" s="433" t="s">
        <v>21143</v>
      </c>
      <c r="E8" s="433"/>
      <c r="F8" s="434" t="s">
        <v>21144</v>
      </c>
      <c r="G8" s="433" t="s">
        <v>20948</v>
      </c>
      <c r="H8" s="342" t="s">
        <v>29</v>
      </c>
      <c r="I8" s="342" t="s">
        <v>98</v>
      </c>
      <c r="J8" s="342"/>
      <c r="K8" s="342" t="s">
        <v>38</v>
      </c>
      <c r="L8" s="342"/>
      <c r="M8" s="433"/>
      <c r="N8" s="433"/>
      <c r="O8" s="433" t="s">
        <v>21142</v>
      </c>
      <c r="P8" s="342">
        <v>1976.0</v>
      </c>
      <c r="Q8" s="433" t="s">
        <v>388</v>
      </c>
      <c r="R8" s="342">
        <v>1.0</v>
      </c>
      <c r="S8" s="3"/>
      <c r="T8" s="3"/>
      <c r="U8" s="3"/>
      <c r="V8" s="3"/>
      <c r="W8" s="3"/>
      <c r="X8" s="3"/>
      <c r="Y8" s="3"/>
      <c r="Z8" s="3"/>
    </row>
    <row r="9">
      <c r="A9" s="3"/>
      <c r="B9" s="450">
        <v>4.0</v>
      </c>
      <c r="C9" s="433"/>
      <c r="D9" s="433" t="s">
        <v>21143</v>
      </c>
      <c r="E9" s="433"/>
      <c r="F9" s="434" t="s">
        <v>21145</v>
      </c>
      <c r="G9" s="433" t="s">
        <v>20948</v>
      </c>
      <c r="H9" s="342" t="s">
        <v>29</v>
      </c>
      <c r="I9" s="342" t="s">
        <v>98</v>
      </c>
      <c r="J9" s="342"/>
      <c r="K9" s="342" t="s">
        <v>38</v>
      </c>
      <c r="L9" s="342"/>
      <c r="M9" s="433"/>
      <c r="N9" s="433"/>
      <c r="O9" s="433" t="s">
        <v>21142</v>
      </c>
      <c r="P9" s="342">
        <v>1978.0</v>
      </c>
      <c r="Q9" s="433" t="s">
        <v>388</v>
      </c>
      <c r="R9" s="342">
        <v>1.0</v>
      </c>
      <c r="S9" s="3"/>
      <c r="T9" s="3"/>
      <c r="U9" s="3"/>
      <c r="V9" s="3"/>
      <c r="W9" s="3"/>
      <c r="X9" s="3"/>
      <c r="Y9" s="3"/>
      <c r="Z9" s="3"/>
    </row>
    <row r="10">
      <c r="A10" s="3"/>
      <c r="B10" s="552">
        <v>5.0</v>
      </c>
      <c r="C10" s="433"/>
      <c r="D10" s="433" t="s">
        <v>21143</v>
      </c>
      <c r="E10" s="433"/>
      <c r="F10" s="434" t="s">
        <v>21146</v>
      </c>
      <c r="G10" s="433" t="s">
        <v>20948</v>
      </c>
      <c r="H10" s="342" t="s">
        <v>29</v>
      </c>
      <c r="I10" s="342" t="s">
        <v>98</v>
      </c>
      <c r="J10" s="342"/>
      <c r="K10" s="342" t="s">
        <v>38</v>
      </c>
      <c r="L10" s="342"/>
      <c r="M10" s="433"/>
      <c r="N10" s="433"/>
      <c r="O10" s="433" t="s">
        <v>21142</v>
      </c>
      <c r="P10" s="342">
        <v>1978.0</v>
      </c>
      <c r="Q10" s="433" t="s">
        <v>388</v>
      </c>
      <c r="R10" s="342">
        <v>1.0</v>
      </c>
      <c r="S10" s="3"/>
      <c r="T10" s="3"/>
      <c r="U10" s="3"/>
      <c r="V10" s="3"/>
      <c r="W10" s="3"/>
      <c r="X10" s="3"/>
      <c r="Y10" s="3"/>
      <c r="Z10" s="3"/>
    </row>
    <row r="11">
      <c r="A11" s="3"/>
      <c r="B11" s="450">
        <v>6.0</v>
      </c>
      <c r="C11" s="433"/>
      <c r="D11" s="433" t="s">
        <v>21143</v>
      </c>
      <c r="E11" s="433"/>
      <c r="F11" s="434" t="s">
        <v>21147</v>
      </c>
      <c r="G11" s="433" t="s">
        <v>20948</v>
      </c>
      <c r="H11" s="342" t="s">
        <v>29</v>
      </c>
      <c r="I11" s="342" t="s">
        <v>98</v>
      </c>
      <c r="J11" s="342"/>
      <c r="K11" s="342" t="s">
        <v>38</v>
      </c>
      <c r="L11" s="342"/>
      <c r="M11" s="433"/>
      <c r="N11" s="433"/>
      <c r="O11" s="433" t="s">
        <v>21142</v>
      </c>
      <c r="P11" s="342">
        <v>1979.0</v>
      </c>
      <c r="Q11" s="433" t="s">
        <v>388</v>
      </c>
      <c r="R11" s="342">
        <v>1.0</v>
      </c>
      <c r="S11" s="3"/>
      <c r="T11" s="3"/>
      <c r="U11" s="3"/>
      <c r="V11" s="3"/>
      <c r="W11" s="3"/>
      <c r="X11" s="3"/>
      <c r="Y11" s="3"/>
      <c r="Z11" s="3"/>
    </row>
    <row r="12">
      <c r="A12" s="3"/>
      <c r="B12" s="552">
        <v>7.0</v>
      </c>
      <c r="C12" s="433"/>
      <c r="D12" s="433" t="s">
        <v>21140</v>
      </c>
      <c r="E12" s="433"/>
      <c r="F12" s="434" t="s">
        <v>21148</v>
      </c>
      <c r="G12" s="433" t="s">
        <v>20948</v>
      </c>
      <c r="H12" s="342" t="s">
        <v>29</v>
      </c>
      <c r="I12" s="342" t="s">
        <v>38</v>
      </c>
      <c r="J12" s="342"/>
      <c r="K12" s="342" t="s">
        <v>38</v>
      </c>
      <c r="L12" s="342"/>
      <c r="M12" s="433"/>
      <c r="N12" s="433"/>
      <c r="O12" s="342" t="s">
        <v>54</v>
      </c>
      <c r="P12" s="342">
        <v>1970.0</v>
      </c>
      <c r="Q12" s="433" t="s">
        <v>388</v>
      </c>
      <c r="R12" s="342">
        <v>1.0</v>
      </c>
      <c r="S12" s="3"/>
      <c r="T12" s="3"/>
      <c r="U12" s="3"/>
      <c r="V12" s="3"/>
      <c r="W12" s="3"/>
      <c r="X12" s="3"/>
      <c r="Y12" s="3"/>
      <c r="Z12" s="3"/>
    </row>
    <row r="13">
      <c r="A13" s="3"/>
      <c r="B13" s="450">
        <v>8.0</v>
      </c>
      <c r="C13" s="433"/>
      <c r="D13" s="433" t="s">
        <v>21143</v>
      </c>
      <c r="E13" s="433"/>
      <c r="F13" s="434" t="s">
        <v>21149</v>
      </c>
      <c r="G13" s="433" t="s">
        <v>20948</v>
      </c>
      <c r="H13" s="342" t="s">
        <v>29</v>
      </c>
      <c r="I13" s="342" t="s">
        <v>38</v>
      </c>
      <c r="J13" s="342"/>
      <c r="K13" s="342" t="s">
        <v>38</v>
      </c>
      <c r="L13" s="342"/>
      <c r="M13" s="433"/>
      <c r="N13" s="433" t="s">
        <v>21150</v>
      </c>
      <c r="O13" s="433" t="s">
        <v>54</v>
      </c>
      <c r="P13" s="342">
        <v>1971.0</v>
      </c>
      <c r="Q13" s="433" t="s">
        <v>388</v>
      </c>
      <c r="R13" s="342">
        <v>1.0</v>
      </c>
      <c r="S13" s="3"/>
      <c r="T13" s="3"/>
      <c r="U13" s="3"/>
      <c r="V13" s="3"/>
      <c r="W13" s="3"/>
      <c r="X13" s="3"/>
      <c r="Y13" s="3"/>
      <c r="Z13" s="3"/>
    </row>
    <row r="14">
      <c r="A14" s="3"/>
      <c r="B14" s="552">
        <v>9.0</v>
      </c>
      <c r="C14" s="433"/>
      <c r="D14" s="433" t="s">
        <v>21143</v>
      </c>
      <c r="E14" s="433"/>
      <c r="F14" s="434" t="s">
        <v>21151</v>
      </c>
      <c r="G14" s="433" t="s">
        <v>20948</v>
      </c>
      <c r="H14" s="342" t="s">
        <v>29</v>
      </c>
      <c r="I14" s="342" t="s">
        <v>38</v>
      </c>
      <c r="J14" s="342"/>
      <c r="K14" s="342" t="s">
        <v>38</v>
      </c>
      <c r="L14" s="342"/>
      <c r="M14" s="433"/>
      <c r="N14" s="433" t="s">
        <v>21150</v>
      </c>
      <c r="O14" s="433" t="s">
        <v>54</v>
      </c>
      <c r="P14" s="342">
        <v>1972.0</v>
      </c>
      <c r="Q14" s="433" t="s">
        <v>388</v>
      </c>
      <c r="R14" s="342">
        <v>1.0</v>
      </c>
      <c r="S14" s="3"/>
      <c r="T14" s="3"/>
      <c r="U14" s="3"/>
      <c r="V14" s="3"/>
      <c r="W14" s="3"/>
      <c r="X14" s="3"/>
      <c r="Y14" s="3"/>
      <c r="Z14" s="3"/>
    </row>
    <row r="15">
      <c r="A15" s="3"/>
      <c r="B15" s="450">
        <v>10.0</v>
      </c>
      <c r="C15" s="433"/>
      <c r="D15" s="433" t="s">
        <v>21143</v>
      </c>
      <c r="E15" s="433"/>
      <c r="F15" s="434" t="s">
        <v>21152</v>
      </c>
      <c r="G15" s="433" t="s">
        <v>20948</v>
      </c>
      <c r="H15" s="342" t="s">
        <v>29</v>
      </c>
      <c r="I15" s="342" t="s">
        <v>38</v>
      </c>
      <c r="J15" s="342"/>
      <c r="K15" s="342" t="s">
        <v>38</v>
      </c>
      <c r="L15" s="342"/>
      <c r="M15" s="433"/>
      <c r="N15" s="433" t="s">
        <v>31</v>
      </c>
      <c r="O15" s="433" t="s">
        <v>54</v>
      </c>
      <c r="P15" s="342">
        <v>1973.0</v>
      </c>
      <c r="Q15" s="433" t="s">
        <v>388</v>
      </c>
      <c r="R15" s="342">
        <v>1.0</v>
      </c>
      <c r="S15" s="3"/>
      <c r="T15" s="3"/>
      <c r="U15" s="3"/>
      <c r="V15" s="3"/>
      <c r="W15" s="3"/>
      <c r="X15" s="3"/>
      <c r="Y15" s="3"/>
      <c r="Z15" s="3"/>
    </row>
    <row r="16">
      <c r="A16" s="3"/>
      <c r="B16" s="552">
        <v>11.0</v>
      </c>
      <c r="C16" s="433"/>
      <c r="D16" s="433" t="s">
        <v>21143</v>
      </c>
      <c r="E16" s="433"/>
      <c r="F16" s="434" t="s">
        <v>21153</v>
      </c>
      <c r="G16" s="433" t="s">
        <v>20948</v>
      </c>
      <c r="H16" s="342" t="s">
        <v>29</v>
      </c>
      <c r="I16" s="342" t="s">
        <v>98</v>
      </c>
      <c r="J16" s="342"/>
      <c r="K16" s="342" t="s">
        <v>38</v>
      </c>
      <c r="L16" s="342">
        <v>62.0</v>
      </c>
      <c r="M16" s="433"/>
      <c r="N16" s="342"/>
      <c r="O16" s="433" t="s">
        <v>21142</v>
      </c>
      <c r="P16" s="342">
        <v>1978.0</v>
      </c>
      <c r="Q16" s="433" t="s">
        <v>388</v>
      </c>
      <c r="R16" s="342">
        <v>1.0</v>
      </c>
      <c r="S16" s="3"/>
      <c r="T16" s="3"/>
      <c r="U16" s="3"/>
      <c r="V16" s="3"/>
      <c r="W16" s="3"/>
      <c r="X16" s="3"/>
      <c r="Y16" s="3"/>
      <c r="Z16" s="3"/>
    </row>
    <row r="17">
      <c r="A17" s="3"/>
      <c r="B17" s="450">
        <v>12.0</v>
      </c>
      <c r="C17" s="433"/>
      <c r="D17" s="433" t="s">
        <v>21143</v>
      </c>
      <c r="E17" s="433"/>
      <c r="F17" s="434" t="s">
        <v>21154</v>
      </c>
      <c r="G17" s="433" t="s">
        <v>20948</v>
      </c>
      <c r="H17" s="342" t="s">
        <v>29</v>
      </c>
      <c r="I17" s="342" t="s">
        <v>98</v>
      </c>
      <c r="J17" s="342"/>
      <c r="K17" s="342" t="s">
        <v>38</v>
      </c>
      <c r="L17" s="342">
        <v>48.0</v>
      </c>
      <c r="M17" s="433"/>
      <c r="N17" s="342"/>
      <c r="O17" s="433" t="s">
        <v>21142</v>
      </c>
      <c r="P17" s="342">
        <v>1977.0</v>
      </c>
      <c r="Q17" s="433" t="s">
        <v>388</v>
      </c>
      <c r="R17" s="342">
        <v>1.0</v>
      </c>
      <c r="S17" s="3"/>
      <c r="T17" s="3"/>
      <c r="U17" s="3"/>
      <c r="V17" s="3"/>
      <c r="W17" s="3"/>
      <c r="X17" s="3"/>
      <c r="Y17" s="3"/>
      <c r="Z17" s="3"/>
    </row>
    <row r="18">
      <c r="A18" s="3"/>
      <c r="B18" s="552">
        <v>13.0</v>
      </c>
      <c r="C18" s="433"/>
      <c r="D18" s="433" t="s">
        <v>21143</v>
      </c>
      <c r="E18" s="433"/>
      <c r="F18" s="434" t="s">
        <v>21155</v>
      </c>
      <c r="G18" s="433" t="s">
        <v>20948</v>
      </c>
      <c r="H18" s="342" t="s">
        <v>29</v>
      </c>
      <c r="I18" s="342" t="s">
        <v>98</v>
      </c>
      <c r="J18" s="342"/>
      <c r="K18" s="342" t="s">
        <v>38</v>
      </c>
      <c r="L18" s="342">
        <v>155.0</v>
      </c>
      <c r="M18" s="433"/>
      <c r="N18" s="342"/>
      <c r="O18" s="433" t="s">
        <v>21142</v>
      </c>
      <c r="P18" s="342">
        <v>1979.0</v>
      </c>
      <c r="Q18" s="433" t="s">
        <v>388</v>
      </c>
      <c r="R18" s="342">
        <v>1.0</v>
      </c>
      <c r="S18" s="3"/>
      <c r="T18" s="3"/>
      <c r="U18" s="3"/>
      <c r="V18" s="3"/>
      <c r="W18" s="3"/>
      <c r="X18" s="3"/>
      <c r="Y18" s="3"/>
      <c r="Z18" s="3"/>
    </row>
    <row r="19">
      <c r="A19" s="3"/>
      <c r="B19" s="450">
        <v>14.0</v>
      </c>
      <c r="C19" s="433"/>
      <c r="D19" s="433" t="s">
        <v>21156</v>
      </c>
      <c r="E19" s="433"/>
      <c r="F19" s="434" t="s">
        <v>21157</v>
      </c>
      <c r="G19" s="433" t="s">
        <v>21158</v>
      </c>
      <c r="H19" s="342" t="s">
        <v>29</v>
      </c>
      <c r="I19" s="342" t="s">
        <v>30</v>
      </c>
      <c r="J19" s="342"/>
      <c r="K19" s="342" t="s">
        <v>30</v>
      </c>
      <c r="L19" s="342">
        <v>72.0</v>
      </c>
      <c r="M19" s="433"/>
      <c r="N19" s="342"/>
      <c r="O19" s="433" t="s">
        <v>21159</v>
      </c>
      <c r="P19" s="433">
        <v>2015.0</v>
      </c>
      <c r="Q19" s="433" t="s">
        <v>388</v>
      </c>
      <c r="R19" s="342">
        <v>2.0</v>
      </c>
      <c r="S19" s="3"/>
      <c r="T19" s="3"/>
      <c r="U19" s="3"/>
      <c r="V19" s="3"/>
      <c r="W19" s="3"/>
      <c r="X19" s="3"/>
      <c r="Y19" s="3"/>
      <c r="Z19" s="3"/>
    </row>
    <row r="20">
      <c r="A20" s="3"/>
      <c r="B20" s="552">
        <v>15.0</v>
      </c>
      <c r="C20" s="433"/>
      <c r="D20" s="433" t="s">
        <v>21156</v>
      </c>
      <c r="E20" s="433"/>
      <c r="F20" s="434" t="s">
        <v>21160</v>
      </c>
      <c r="G20" s="433" t="s">
        <v>21158</v>
      </c>
      <c r="H20" s="342" t="s">
        <v>29</v>
      </c>
      <c r="I20" s="342" t="s">
        <v>30</v>
      </c>
      <c r="J20" s="342"/>
      <c r="K20" s="342" t="s">
        <v>30</v>
      </c>
      <c r="L20" s="342"/>
      <c r="M20" s="433"/>
      <c r="N20" s="342"/>
      <c r="O20" s="433" t="s">
        <v>21159</v>
      </c>
      <c r="P20" s="433">
        <v>2015.0</v>
      </c>
      <c r="Q20" s="433" t="s">
        <v>388</v>
      </c>
      <c r="R20" s="342">
        <v>2.0</v>
      </c>
      <c r="S20" s="3"/>
      <c r="T20" s="3"/>
      <c r="U20" s="3"/>
      <c r="V20" s="3"/>
      <c r="W20" s="3"/>
      <c r="X20" s="3"/>
      <c r="Y20" s="3"/>
      <c r="Z20" s="3"/>
    </row>
    <row r="21" ht="15.75" customHeight="1">
      <c r="A21" s="3"/>
      <c r="B21" s="450">
        <v>16.0</v>
      </c>
      <c r="C21" s="433"/>
      <c r="D21" s="433" t="s">
        <v>21161</v>
      </c>
      <c r="E21" s="433"/>
      <c r="F21" s="434" t="s">
        <v>21162</v>
      </c>
      <c r="G21" s="433" t="s">
        <v>21158</v>
      </c>
      <c r="H21" s="342" t="s">
        <v>29</v>
      </c>
      <c r="I21" s="342" t="s">
        <v>30</v>
      </c>
      <c r="J21" s="342"/>
      <c r="K21" s="342" t="s">
        <v>30</v>
      </c>
      <c r="L21" s="342"/>
      <c r="M21" s="433"/>
      <c r="N21" s="342"/>
      <c r="O21" s="433" t="s">
        <v>21159</v>
      </c>
      <c r="P21" s="433">
        <v>2015.0</v>
      </c>
      <c r="Q21" s="433" t="s">
        <v>388</v>
      </c>
      <c r="R21" s="342">
        <v>2.0</v>
      </c>
      <c r="S21" s="3"/>
      <c r="T21" s="3"/>
      <c r="U21" s="3"/>
      <c r="V21" s="3"/>
      <c r="W21" s="3"/>
      <c r="X21" s="3"/>
      <c r="Y21" s="3"/>
      <c r="Z21" s="3"/>
    </row>
    <row r="22" ht="15.75" customHeight="1">
      <c r="A22" s="3"/>
      <c r="B22" s="450"/>
      <c r="C22" s="433"/>
      <c r="D22" s="433"/>
      <c r="E22" s="433"/>
      <c r="F22" s="434"/>
      <c r="G22" s="433" t="s">
        <v>21158</v>
      </c>
      <c r="H22" s="342"/>
      <c r="I22" s="342"/>
      <c r="J22" s="342"/>
      <c r="K22" s="342"/>
      <c r="L22" s="342"/>
      <c r="M22" s="433"/>
      <c r="N22" s="342"/>
      <c r="O22" s="433"/>
      <c r="P22" s="433"/>
      <c r="Q22" s="433"/>
      <c r="R22" s="342"/>
      <c r="S22" s="3"/>
      <c r="T22" s="3"/>
      <c r="U22" s="3"/>
      <c r="V22" s="3"/>
      <c r="W22" s="3"/>
      <c r="X22" s="3"/>
      <c r="Y22" s="3"/>
      <c r="Z22" s="3"/>
    </row>
    <row r="23" ht="15.75" customHeight="1">
      <c r="A23" s="3"/>
      <c r="B23" s="450"/>
      <c r="C23" s="433"/>
      <c r="D23" s="433" t="s">
        <v>21156</v>
      </c>
      <c r="E23" s="433"/>
      <c r="F23" s="434" t="s">
        <v>21163</v>
      </c>
      <c r="G23" s="433" t="s">
        <v>21158</v>
      </c>
      <c r="H23" s="342" t="s">
        <v>29</v>
      </c>
      <c r="I23" s="342" t="s">
        <v>30</v>
      </c>
      <c r="J23" s="342"/>
      <c r="K23" s="342" t="s">
        <v>30</v>
      </c>
      <c r="L23" s="342">
        <v>72.0</v>
      </c>
      <c r="M23" s="433"/>
      <c r="N23" s="342"/>
      <c r="O23" s="433" t="s">
        <v>21159</v>
      </c>
      <c r="P23" s="433">
        <v>2017.0</v>
      </c>
      <c r="Q23" s="433" t="s">
        <v>388</v>
      </c>
      <c r="R23" s="342">
        <v>2.0</v>
      </c>
      <c r="S23" s="3"/>
      <c r="T23" s="3"/>
      <c r="U23" s="3"/>
      <c r="V23" s="3"/>
      <c r="W23" s="3"/>
      <c r="X23" s="3"/>
      <c r="Y23" s="3"/>
      <c r="Z23" s="3"/>
    </row>
    <row r="24" ht="15.75" customHeight="1">
      <c r="A24" s="3"/>
      <c r="B24" s="552">
        <v>17.0</v>
      </c>
      <c r="C24" s="433"/>
      <c r="D24" s="433" t="s">
        <v>21156</v>
      </c>
      <c r="E24" s="433"/>
      <c r="F24" s="434" t="s">
        <v>21164</v>
      </c>
      <c r="G24" s="433" t="s">
        <v>21158</v>
      </c>
      <c r="H24" s="342" t="s">
        <v>29</v>
      </c>
      <c r="I24" s="342" t="s">
        <v>30</v>
      </c>
      <c r="J24" s="342"/>
      <c r="K24" s="342" t="s">
        <v>30</v>
      </c>
      <c r="L24" s="342">
        <v>72.0</v>
      </c>
      <c r="M24" s="433"/>
      <c r="N24" s="342"/>
      <c r="O24" s="433" t="s">
        <v>21159</v>
      </c>
      <c r="P24" s="433">
        <v>2015.0</v>
      </c>
      <c r="Q24" s="433" t="s">
        <v>388</v>
      </c>
      <c r="R24" s="342">
        <v>2.0</v>
      </c>
      <c r="S24" s="3"/>
      <c r="T24" s="3"/>
      <c r="U24" s="3"/>
      <c r="V24" s="3"/>
      <c r="W24" s="3"/>
      <c r="X24" s="3"/>
      <c r="Y24" s="3"/>
      <c r="Z24" s="3"/>
    </row>
    <row r="25" ht="15.75" customHeight="1">
      <c r="A25" s="3"/>
      <c r="B25" s="450">
        <v>18.0</v>
      </c>
      <c r="C25" s="433"/>
      <c r="D25" s="433" t="s">
        <v>21156</v>
      </c>
      <c r="E25" s="433"/>
      <c r="F25" s="434" t="s">
        <v>21164</v>
      </c>
      <c r="G25" s="433" t="s">
        <v>21158</v>
      </c>
      <c r="H25" s="342" t="s">
        <v>29</v>
      </c>
      <c r="I25" s="342" t="s">
        <v>30</v>
      </c>
      <c r="J25" s="342"/>
      <c r="K25" s="342" t="s">
        <v>30</v>
      </c>
      <c r="L25" s="342">
        <v>72.0</v>
      </c>
      <c r="M25" s="433"/>
      <c r="N25" s="342"/>
      <c r="O25" s="433" t="s">
        <v>21159</v>
      </c>
      <c r="P25" s="433">
        <v>2015.0</v>
      </c>
      <c r="Q25" s="433" t="s">
        <v>388</v>
      </c>
      <c r="R25" s="342">
        <v>2.0</v>
      </c>
      <c r="S25" s="3"/>
      <c r="T25" s="3"/>
      <c r="U25" s="3"/>
      <c r="V25" s="3"/>
      <c r="W25" s="3"/>
      <c r="X25" s="3"/>
      <c r="Y25" s="3"/>
      <c r="Z25" s="3"/>
    </row>
    <row r="26" ht="15.75" customHeight="1">
      <c r="A26" s="3"/>
      <c r="B26" s="552">
        <v>19.0</v>
      </c>
      <c r="C26" s="433"/>
      <c r="D26" s="433" t="s">
        <v>21156</v>
      </c>
      <c r="E26" s="433"/>
      <c r="F26" s="434" t="s">
        <v>21165</v>
      </c>
      <c r="G26" s="433" t="s">
        <v>21158</v>
      </c>
      <c r="H26" s="342" t="s">
        <v>29</v>
      </c>
      <c r="I26" s="342" t="s">
        <v>30</v>
      </c>
      <c r="J26" s="342"/>
      <c r="K26" s="342" t="s">
        <v>30</v>
      </c>
      <c r="L26" s="342">
        <v>73.0</v>
      </c>
      <c r="M26" s="433"/>
      <c r="N26" s="342"/>
      <c r="O26" s="433" t="s">
        <v>21159</v>
      </c>
      <c r="P26" s="433">
        <v>2015.0</v>
      </c>
      <c r="Q26" s="433" t="s">
        <v>388</v>
      </c>
      <c r="R26" s="342">
        <v>2.0</v>
      </c>
      <c r="S26" s="3"/>
      <c r="T26" s="3"/>
      <c r="U26" s="3"/>
      <c r="V26" s="3"/>
      <c r="W26" s="3"/>
      <c r="X26" s="3"/>
      <c r="Y26" s="3"/>
      <c r="Z26" s="3"/>
    </row>
    <row r="27" ht="15.75" customHeight="1">
      <c r="A27" s="3"/>
      <c r="B27" s="450">
        <v>20.0</v>
      </c>
      <c r="C27" s="433"/>
      <c r="D27" s="433" t="s">
        <v>21156</v>
      </c>
      <c r="E27" s="433"/>
      <c r="F27" s="434" t="s">
        <v>21166</v>
      </c>
      <c r="G27" s="433" t="s">
        <v>21158</v>
      </c>
      <c r="H27" s="342" t="s">
        <v>29</v>
      </c>
      <c r="I27" s="342" t="s">
        <v>30</v>
      </c>
      <c r="J27" s="342"/>
      <c r="K27" s="342" t="s">
        <v>30</v>
      </c>
      <c r="L27" s="342">
        <v>73.0</v>
      </c>
      <c r="M27" s="433"/>
      <c r="N27" s="342"/>
      <c r="O27" s="433" t="s">
        <v>21159</v>
      </c>
      <c r="P27" s="433">
        <v>2015.0</v>
      </c>
      <c r="Q27" s="433" t="s">
        <v>388</v>
      </c>
      <c r="R27" s="342">
        <v>2.0</v>
      </c>
      <c r="S27" s="3"/>
      <c r="T27" s="3"/>
      <c r="U27" s="3"/>
      <c r="V27" s="3"/>
      <c r="W27" s="3"/>
      <c r="X27" s="3"/>
      <c r="Y27" s="3"/>
      <c r="Z27" s="3"/>
    </row>
    <row r="28" ht="15.75" customHeight="1">
      <c r="A28" s="3"/>
      <c r="B28" s="552">
        <v>21.0</v>
      </c>
      <c r="C28" s="433"/>
      <c r="D28" s="433" t="s">
        <v>21156</v>
      </c>
      <c r="E28" s="433"/>
      <c r="F28" s="434" t="s">
        <v>21167</v>
      </c>
      <c r="G28" s="433" t="s">
        <v>21158</v>
      </c>
      <c r="H28" s="342" t="s">
        <v>29</v>
      </c>
      <c r="I28" s="342" t="s">
        <v>30</v>
      </c>
      <c r="J28" s="342"/>
      <c r="K28" s="342" t="s">
        <v>30</v>
      </c>
      <c r="L28" s="342">
        <v>73.0</v>
      </c>
      <c r="M28" s="433"/>
      <c r="N28" s="342"/>
      <c r="O28" s="433" t="s">
        <v>21159</v>
      </c>
      <c r="P28" s="433">
        <v>2015.0</v>
      </c>
      <c r="Q28" s="433" t="s">
        <v>388</v>
      </c>
      <c r="R28" s="342">
        <v>1.0</v>
      </c>
      <c r="S28" s="3"/>
      <c r="T28" s="3"/>
      <c r="U28" s="3"/>
      <c r="V28" s="3"/>
      <c r="W28" s="3"/>
      <c r="X28" s="3"/>
      <c r="Y28" s="3"/>
      <c r="Z28" s="3"/>
    </row>
    <row r="29" ht="15.75" customHeight="1">
      <c r="A29" s="3"/>
      <c r="B29" s="450">
        <v>22.0</v>
      </c>
      <c r="C29" s="433"/>
      <c r="D29" s="433" t="s">
        <v>21156</v>
      </c>
      <c r="E29" s="433"/>
      <c r="F29" s="434" t="s">
        <v>21168</v>
      </c>
      <c r="G29" s="433" t="s">
        <v>21158</v>
      </c>
      <c r="H29" s="342" t="s">
        <v>29</v>
      </c>
      <c r="I29" s="342" t="s">
        <v>30</v>
      </c>
      <c r="J29" s="342"/>
      <c r="K29" s="342" t="s">
        <v>30</v>
      </c>
      <c r="L29" s="342">
        <v>73.0</v>
      </c>
      <c r="M29" s="433"/>
      <c r="N29" s="342"/>
      <c r="O29" s="433" t="s">
        <v>21159</v>
      </c>
      <c r="P29" s="433">
        <v>2015.0</v>
      </c>
      <c r="Q29" s="433" t="s">
        <v>388</v>
      </c>
      <c r="R29" s="342">
        <v>1.0</v>
      </c>
      <c r="S29" s="3"/>
      <c r="T29" s="3"/>
      <c r="U29" s="3"/>
      <c r="V29" s="3"/>
      <c r="W29" s="3"/>
      <c r="X29" s="3"/>
      <c r="Y29" s="3"/>
      <c r="Z29" s="3"/>
    </row>
    <row r="30" ht="15.75" customHeight="1">
      <c r="A30" s="3"/>
      <c r="B30" s="552">
        <v>23.0</v>
      </c>
      <c r="C30" s="433"/>
      <c r="D30" s="433" t="s">
        <v>21156</v>
      </c>
      <c r="E30" s="433"/>
      <c r="F30" s="434" t="s">
        <v>21167</v>
      </c>
      <c r="G30" s="433" t="s">
        <v>21158</v>
      </c>
      <c r="H30" s="342" t="s">
        <v>29</v>
      </c>
      <c r="I30" s="342" t="s">
        <v>30</v>
      </c>
      <c r="J30" s="342"/>
      <c r="K30" s="342" t="s">
        <v>30</v>
      </c>
      <c r="L30" s="342">
        <v>73.0</v>
      </c>
      <c r="M30" s="433"/>
      <c r="N30" s="342"/>
      <c r="O30" s="433" t="s">
        <v>21159</v>
      </c>
      <c r="P30" s="433">
        <v>2015.0</v>
      </c>
      <c r="Q30" s="433" t="s">
        <v>388</v>
      </c>
      <c r="R30" s="342">
        <v>1.0</v>
      </c>
      <c r="S30" s="3"/>
      <c r="T30" s="3"/>
      <c r="U30" s="3"/>
      <c r="V30" s="3"/>
      <c r="W30" s="3"/>
      <c r="X30" s="3"/>
      <c r="Y30" s="3"/>
      <c r="Z30" s="3"/>
    </row>
    <row r="31" ht="15.75" customHeight="1">
      <c r="A31" s="3"/>
      <c r="B31" s="450">
        <v>24.0</v>
      </c>
      <c r="C31" s="433"/>
      <c r="D31" s="433" t="s">
        <v>21156</v>
      </c>
      <c r="E31" s="433"/>
      <c r="F31" s="434" t="s">
        <v>21167</v>
      </c>
      <c r="G31" s="433" t="s">
        <v>21158</v>
      </c>
      <c r="H31" s="342" t="s">
        <v>29</v>
      </c>
      <c r="I31" s="342" t="s">
        <v>30</v>
      </c>
      <c r="J31" s="342"/>
      <c r="K31" s="342" t="s">
        <v>30</v>
      </c>
      <c r="L31" s="342">
        <v>73.0</v>
      </c>
      <c r="M31" s="433"/>
      <c r="N31" s="342"/>
      <c r="O31" s="433" t="s">
        <v>21159</v>
      </c>
      <c r="P31" s="433">
        <v>2015.0</v>
      </c>
      <c r="Q31" s="433" t="s">
        <v>388</v>
      </c>
      <c r="R31" s="342">
        <v>1.0</v>
      </c>
      <c r="S31" s="3"/>
      <c r="T31" s="3"/>
      <c r="U31" s="3"/>
      <c r="V31" s="3"/>
      <c r="W31" s="3"/>
      <c r="X31" s="3"/>
      <c r="Y31" s="3"/>
      <c r="Z31" s="3"/>
    </row>
    <row r="32" ht="15.75" customHeight="1">
      <c r="A32" s="3"/>
      <c r="B32" s="552">
        <v>25.0</v>
      </c>
      <c r="C32" s="433"/>
      <c r="D32" s="433" t="s">
        <v>21156</v>
      </c>
      <c r="E32" s="433"/>
      <c r="F32" s="434" t="s">
        <v>21169</v>
      </c>
      <c r="G32" s="433" t="s">
        <v>21158</v>
      </c>
      <c r="H32" s="342" t="s">
        <v>29</v>
      </c>
      <c r="I32" s="342" t="s">
        <v>30</v>
      </c>
      <c r="J32" s="342"/>
      <c r="K32" s="342" t="s">
        <v>30</v>
      </c>
      <c r="L32" s="342">
        <v>73.0</v>
      </c>
      <c r="M32" s="433"/>
      <c r="N32" s="342"/>
      <c r="O32" s="433" t="s">
        <v>21159</v>
      </c>
      <c r="P32" s="433">
        <v>2015.0</v>
      </c>
      <c r="Q32" s="433" t="s">
        <v>388</v>
      </c>
      <c r="R32" s="342">
        <v>1.0</v>
      </c>
      <c r="S32" s="3"/>
      <c r="T32" s="3"/>
      <c r="U32" s="3"/>
      <c r="V32" s="3"/>
      <c r="W32" s="3"/>
      <c r="X32" s="3"/>
      <c r="Y32" s="3"/>
      <c r="Z32" s="3"/>
    </row>
    <row r="33" ht="15.75" customHeight="1">
      <c r="A33" s="3"/>
      <c r="B33" s="604"/>
      <c r="C33" s="430"/>
      <c r="D33" s="430" t="s">
        <v>20593</v>
      </c>
      <c r="E33" s="430"/>
      <c r="F33" s="432" t="s">
        <v>21170</v>
      </c>
      <c r="G33" s="430" t="s">
        <v>21158</v>
      </c>
      <c r="H33" s="557" t="s">
        <v>29</v>
      </c>
      <c r="I33" s="557" t="s">
        <v>30</v>
      </c>
      <c r="J33" s="557"/>
      <c r="K33" s="557" t="s">
        <v>30</v>
      </c>
      <c r="L33" s="557">
        <v>73.0</v>
      </c>
      <c r="M33" s="430"/>
      <c r="N33" s="557"/>
      <c r="O33" s="430" t="s">
        <v>21159</v>
      </c>
      <c r="P33" s="430">
        <v>2017.0</v>
      </c>
      <c r="Q33" s="430" t="s">
        <v>388</v>
      </c>
      <c r="R33" s="557">
        <v>1.0</v>
      </c>
      <c r="S33" s="3"/>
      <c r="T33" s="3"/>
      <c r="U33" s="3"/>
      <c r="V33" s="3"/>
      <c r="W33" s="3"/>
      <c r="X33" s="3"/>
      <c r="Y33" s="3"/>
      <c r="Z33" s="3"/>
    </row>
    <row r="34" ht="15.75" customHeight="1">
      <c r="A34" s="3"/>
      <c r="B34" s="604"/>
      <c r="C34" s="430"/>
      <c r="D34" s="430" t="s">
        <v>20593</v>
      </c>
      <c r="E34" s="430"/>
      <c r="F34" s="432" t="s">
        <v>21171</v>
      </c>
      <c r="G34" s="430" t="s">
        <v>21158</v>
      </c>
      <c r="H34" s="557" t="s">
        <v>29</v>
      </c>
      <c r="I34" s="557" t="s">
        <v>30</v>
      </c>
      <c r="J34" s="557"/>
      <c r="K34" s="557" t="s">
        <v>30</v>
      </c>
      <c r="L34" s="557">
        <v>73.0</v>
      </c>
      <c r="M34" s="430"/>
      <c r="N34" s="557"/>
      <c r="O34" s="430" t="s">
        <v>21159</v>
      </c>
      <c r="P34" s="430">
        <v>2017.0</v>
      </c>
      <c r="Q34" s="430" t="s">
        <v>388</v>
      </c>
      <c r="R34" s="557">
        <v>1.0</v>
      </c>
      <c r="S34" s="3"/>
      <c r="T34" s="3"/>
      <c r="U34" s="3"/>
      <c r="V34" s="3"/>
      <c r="W34" s="3"/>
      <c r="X34" s="3"/>
      <c r="Y34" s="3"/>
      <c r="Z34" s="3"/>
    </row>
    <row r="35" ht="15.75" customHeight="1">
      <c r="A35" s="3"/>
      <c r="B35" s="604"/>
      <c r="C35" s="430"/>
      <c r="D35" s="430" t="s">
        <v>20593</v>
      </c>
      <c r="E35" s="430"/>
      <c r="F35" s="432" t="s">
        <v>21172</v>
      </c>
      <c r="G35" s="430" t="s">
        <v>21158</v>
      </c>
      <c r="H35" s="557" t="s">
        <v>29</v>
      </c>
      <c r="I35" s="557" t="s">
        <v>30</v>
      </c>
      <c r="J35" s="557"/>
      <c r="K35" s="557" t="s">
        <v>30</v>
      </c>
      <c r="L35" s="557">
        <v>73.0</v>
      </c>
      <c r="M35" s="430"/>
      <c r="N35" s="557"/>
      <c r="O35" s="430" t="s">
        <v>21159</v>
      </c>
      <c r="P35" s="430">
        <v>2017.0</v>
      </c>
      <c r="Q35" s="430" t="s">
        <v>388</v>
      </c>
      <c r="R35" s="557">
        <v>1.0</v>
      </c>
      <c r="S35" s="3"/>
      <c r="T35" s="3"/>
      <c r="U35" s="3"/>
      <c r="V35" s="3"/>
      <c r="W35" s="3"/>
      <c r="X35" s="3"/>
      <c r="Y35" s="3"/>
      <c r="Z35" s="3"/>
    </row>
    <row r="36" ht="15.75" customHeight="1">
      <c r="A36" s="3"/>
      <c r="B36" s="604"/>
      <c r="C36" s="430"/>
      <c r="D36" s="430" t="s">
        <v>20593</v>
      </c>
      <c r="E36" s="430"/>
      <c r="F36" s="432" t="s">
        <v>21173</v>
      </c>
      <c r="G36" s="430" t="s">
        <v>21158</v>
      </c>
      <c r="H36" s="557" t="s">
        <v>29</v>
      </c>
      <c r="I36" s="557" t="s">
        <v>30</v>
      </c>
      <c r="J36" s="557"/>
      <c r="K36" s="557" t="s">
        <v>30</v>
      </c>
      <c r="L36" s="557">
        <v>73.0</v>
      </c>
      <c r="M36" s="430"/>
      <c r="N36" s="557"/>
      <c r="O36" s="430" t="s">
        <v>21159</v>
      </c>
      <c r="P36" s="430">
        <v>2016.0</v>
      </c>
      <c r="Q36" s="430" t="s">
        <v>388</v>
      </c>
      <c r="R36" s="557">
        <v>1.0</v>
      </c>
      <c r="S36" s="3"/>
      <c r="T36" s="3"/>
      <c r="U36" s="3"/>
      <c r="V36" s="3"/>
      <c r="W36" s="3"/>
      <c r="X36" s="3"/>
      <c r="Y36" s="3"/>
      <c r="Z36" s="3"/>
    </row>
    <row r="37" ht="15.75" customHeight="1">
      <c r="A37" s="3"/>
      <c r="B37" s="604"/>
      <c r="C37" s="430"/>
      <c r="D37" s="430" t="s">
        <v>20593</v>
      </c>
      <c r="E37" s="430"/>
      <c r="F37" s="432" t="s">
        <v>21174</v>
      </c>
      <c r="G37" s="430" t="s">
        <v>21158</v>
      </c>
      <c r="H37" s="557" t="s">
        <v>29</v>
      </c>
      <c r="I37" s="557" t="s">
        <v>30</v>
      </c>
      <c r="J37" s="557"/>
      <c r="K37" s="557" t="s">
        <v>30</v>
      </c>
      <c r="L37" s="557">
        <v>73.0</v>
      </c>
      <c r="M37" s="430"/>
      <c r="N37" s="557"/>
      <c r="O37" s="430" t="s">
        <v>21159</v>
      </c>
      <c r="P37" s="430">
        <v>2016.0</v>
      </c>
      <c r="Q37" s="430" t="s">
        <v>388</v>
      </c>
      <c r="R37" s="557">
        <v>1.0</v>
      </c>
      <c r="S37" s="3"/>
      <c r="T37" s="3"/>
      <c r="U37" s="3"/>
      <c r="V37" s="3"/>
      <c r="W37" s="3"/>
      <c r="X37" s="3"/>
      <c r="Y37" s="3"/>
      <c r="Z37" s="3"/>
    </row>
    <row r="38" ht="15.75" customHeight="1">
      <c r="A38" s="3"/>
      <c r="B38" s="450">
        <v>26.0</v>
      </c>
      <c r="C38" s="433" t="s">
        <v>21175</v>
      </c>
      <c r="D38" s="433" t="s">
        <v>21176</v>
      </c>
      <c r="E38" s="433"/>
      <c r="F38" s="434" t="s">
        <v>21177</v>
      </c>
      <c r="G38" s="433" t="s">
        <v>16872</v>
      </c>
      <c r="H38" s="342" t="s">
        <v>29</v>
      </c>
      <c r="I38" s="342" t="s">
        <v>30</v>
      </c>
      <c r="J38" s="342"/>
      <c r="K38" s="342" t="s">
        <v>30</v>
      </c>
      <c r="L38" s="342">
        <v>75.0</v>
      </c>
      <c r="M38" s="433"/>
      <c r="N38" s="342"/>
      <c r="O38" s="433" t="s">
        <v>21178</v>
      </c>
      <c r="P38" s="433">
        <v>2015.0</v>
      </c>
      <c r="Q38" s="433" t="s">
        <v>388</v>
      </c>
      <c r="R38" s="342">
        <v>3.0</v>
      </c>
      <c r="S38" s="3"/>
      <c r="T38" s="3"/>
      <c r="U38" s="3"/>
      <c r="V38" s="3"/>
      <c r="W38" s="3"/>
      <c r="X38" s="3"/>
      <c r="Y38" s="3"/>
      <c r="Z38" s="3"/>
    </row>
    <row r="39" ht="15.75" customHeight="1">
      <c r="A39" s="3"/>
      <c r="B39" s="552">
        <v>27.0</v>
      </c>
      <c r="C39" s="433" t="s">
        <v>21175</v>
      </c>
      <c r="D39" s="433" t="s">
        <v>21176</v>
      </c>
      <c r="E39" s="433"/>
      <c r="F39" s="434" t="s">
        <v>21179</v>
      </c>
      <c r="G39" s="433" t="s">
        <v>16872</v>
      </c>
      <c r="H39" s="342" t="s">
        <v>29</v>
      </c>
      <c r="I39" s="342" t="s">
        <v>30</v>
      </c>
      <c r="J39" s="342"/>
      <c r="K39" s="342" t="s">
        <v>30</v>
      </c>
      <c r="L39" s="342">
        <v>75.0</v>
      </c>
      <c r="M39" s="433"/>
      <c r="N39" s="342"/>
      <c r="O39" s="433" t="s">
        <v>21178</v>
      </c>
      <c r="P39" s="433">
        <v>2015.0</v>
      </c>
      <c r="Q39" s="433" t="s">
        <v>388</v>
      </c>
      <c r="R39" s="342">
        <v>3.0</v>
      </c>
      <c r="S39" s="3"/>
      <c r="T39" s="3"/>
      <c r="U39" s="3"/>
      <c r="V39" s="3"/>
      <c r="W39" s="3"/>
      <c r="X39" s="3"/>
      <c r="Y39" s="3"/>
      <c r="Z39" s="3"/>
    </row>
    <row r="40" ht="15.75" customHeight="1">
      <c r="A40" s="3"/>
      <c r="B40" s="450">
        <v>28.0</v>
      </c>
      <c r="C40" s="433" t="s">
        <v>21175</v>
      </c>
      <c r="D40" s="433" t="s">
        <v>21180</v>
      </c>
      <c r="E40" s="433"/>
      <c r="F40" s="434" t="s">
        <v>21181</v>
      </c>
      <c r="G40" s="433" t="s">
        <v>16872</v>
      </c>
      <c r="H40" s="342" t="s">
        <v>29</v>
      </c>
      <c r="I40" s="342" t="s">
        <v>30</v>
      </c>
      <c r="J40" s="342"/>
      <c r="K40" s="342" t="s">
        <v>30</v>
      </c>
      <c r="L40" s="342">
        <v>75.0</v>
      </c>
      <c r="M40" s="433"/>
      <c r="N40" s="342"/>
      <c r="O40" s="433" t="s">
        <v>21178</v>
      </c>
      <c r="P40" s="433">
        <v>2015.0</v>
      </c>
      <c r="Q40" s="433" t="s">
        <v>388</v>
      </c>
      <c r="R40" s="342">
        <v>3.0</v>
      </c>
      <c r="S40" s="3"/>
      <c r="T40" s="3"/>
      <c r="U40" s="3"/>
      <c r="V40" s="3"/>
      <c r="W40" s="3"/>
      <c r="X40" s="3"/>
      <c r="Y40" s="3"/>
      <c r="Z40" s="3"/>
    </row>
    <row r="41" ht="15.75" customHeight="1">
      <c r="A41" s="3"/>
      <c r="B41" s="552">
        <v>29.0</v>
      </c>
      <c r="C41" s="433" t="s">
        <v>21175</v>
      </c>
      <c r="D41" s="433" t="s">
        <v>21176</v>
      </c>
      <c r="E41" s="433"/>
      <c r="F41" s="434" t="s">
        <v>21182</v>
      </c>
      <c r="G41" s="433" t="s">
        <v>16872</v>
      </c>
      <c r="H41" s="342" t="s">
        <v>29</v>
      </c>
      <c r="I41" s="342" t="s">
        <v>30</v>
      </c>
      <c r="J41" s="342"/>
      <c r="K41" s="342" t="s">
        <v>30</v>
      </c>
      <c r="L41" s="342">
        <v>75.0</v>
      </c>
      <c r="M41" s="433"/>
      <c r="N41" s="342"/>
      <c r="O41" s="433" t="s">
        <v>21178</v>
      </c>
      <c r="P41" s="433">
        <v>2015.0</v>
      </c>
      <c r="Q41" s="433" t="s">
        <v>388</v>
      </c>
      <c r="R41" s="342">
        <v>3.0</v>
      </c>
      <c r="S41" s="3"/>
      <c r="T41" s="3"/>
      <c r="U41" s="3"/>
      <c r="V41" s="3"/>
      <c r="W41" s="3"/>
      <c r="X41" s="3"/>
      <c r="Y41" s="3"/>
      <c r="Z41" s="3"/>
    </row>
    <row r="42" ht="15.75" customHeight="1">
      <c r="A42" s="3"/>
      <c r="B42" s="450">
        <v>30.0</v>
      </c>
      <c r="C42" s="433" t="s">
        <v>21175</v>
      </c>
      <c r="D42" s="433" t="s">
        <v>21176</v>
      </c>
      <c r="E42" s="433"/>
      <c r="F42" s="434" t="s">
        <v>21183</v>
      </c>
      <c r="G42" s="433" t="s">
        <v>16872</v>
      </c>
      <c r="H42" s="342" t="s">
        <v>29</v>
      </c>
      <c r="I42" s="342" t="s">
        <v>30</v>
      </c>
      <c r="J42" s="342"/>
      <c r="K42" s="342" t="s">
        <v>30</v>
      </c>
      <c r="L42" s="342">
        <v>75.0</v>
      </c>
      <c r="M42" s="433"/>
      <c r="N42" s="342"/>
      <c r="O42" s="433" t="s">
        <v>21178</v>
      </c>
      <c r="P42" s="433">
        <v>2015.0</v>
      </c>
      <c r="Q42" s="433" t="s">
        <v>388</v>
      </c>
      <c r="R42" s="342">
        <v>3.0</v>
      </c>
      <c r="S42" s="3"/>
      <c r="T42" s="3"/>
      <c r="U42" s="3"/>
      <c r="V42" s="3"/>
      <c r="W42" s="3"/>
      <c r="X42" s="3"/>
      <c r="Y42" s="3"/>
      <c r="Z42" s="3"/>
    </row>
    <row r="43" ht="15.75" customHeight="1">
      <c r="A43" s="3"/>
      <c r="B43" s="552">
        <v>31.0</v>
      </c>
      <c r="C43" s="433" t="s">
        <v>21175</v>
      </c>
      <c r="D43" s="433" t="s">
        <v>21176</v>
      </c>
      <c r="E43" s="433"/>
      <c r="F43" s="434" t="s">
        <v>21184</v>
      </c>
      <c r="G43" s="433" t="s">
        <v>16872</v>
      </c>
      <c r="H43" s="342" t="s">
        <v>29</v>
      </c>
      <c r="I43" s="342" t="s">
        <v>30</v>
      </c>
      <c r="J43" s="342"/>
      <c r="K43" s="342" t="s">
        <v>30</v>
      </c>
      <c r="L43" s="342">
        <v>75.0</v>
      </c>
      <c r="M43" s="433"/>
      <c r="N43" s="342"/>
      <c r="O43" s="433" t="s">
        <v>21178</v>
      </c>
      <c r="P43" s="433">
        <v>2015.0</v>
      </c>
      <c r="Q43" s="433" t="s">
        <v>388</v>
      </c>
      <c r="R43" s="342">
        <v>3.0</v>
      </c>
      <c r="S43" s="3"/>
      <c r="T43" s="3"/>
      <c r="U43" s="3"/>
      <c r="V43" s="3"/>
      <c r="W43" s="3"/>
      <c r="X43" s="3"/>
      <c r="Y43" s="3"/>
      <c r="Z43" s="3"/>
    </row>
    <row r="44" ht="15.75" customHeight="1">
      <c r="A44" s="3"/>
      <c r="B44" s="450">
        <v>32.0</v>
      </c>
      <c r="C44" s="433" t="s">
        <v>21175</v>
      </c>
      <c r="D44" s="433" t="s">
        <v>21176</v>
      </c>
      <c r="E44" s="433"/>
      <c r="F44" s="434" t="s">
        <v>21185</v>
      </c>
      <c r="G44" s="433" t="s">
        <v>16872</v>
      </c>
      <c r="H44" s="342" t="s">
        <v>29</v>
      </c>
      <c r="I44" s="342" t="s">
        <v>30</v>
      </c>
      <c r="J44" s="342"/>
      <c r="K44" s="342" t="s">
        <v>30</v>
      </c>
      <c r="L44" s="342">
        <v>75.0</v>
      </c>
      <c r="M44" s="433"/>
      <c r="N44" s="342"/>
      <c r="O44" s="433" t="s">
        <v>21178</v>
      </c>
      <c r="P44" s="433">
        <v>2015.0</v>
      </c>
      <c r="Q44" s="433" t="s">
        <v>388</v>
      </c>
      <c r="R44" s="342">
        <v>3.0</v>
      </c>
      <c r="S44" s="3"/>
      <c r="T44" s="3"/>
      <c r="U44" s="3"/>
      <c r="V44" s="3"/>
      <c r="W44" s="3"/>
      <c r="X44" s="3"/>
      <c r="Y44" s="3"/>
      <c r="Z44" s="3"/>
    </row>
    <row r="45" ht="15.75" customHeight="1">
      <c r="A45" s="3"/>
      <c r="B45" s="552">
        <v>33.0</v>
      </c>
      <c r="C45" s="433" t="s">
        <v>21175</v>
      </c>
      <c r="D45" s="433" t="s">
        <v>21176</v>
      </c>
      <c r="E45" s="433"/>
      <c r="F45" s="434" t="s">
        <v>21186</v>
      </c>
      <c r="G45" s="433" t="s">
        <v>16872</v>
      </c>
      <c r="H45" s="342" t="s">
        <v>29</v>
      </c>
      <c r="I45" s="342" t="s">
        <v>30</v>
      </c>
      <c r="J45" s="342"/>
      <c r="K45" s="342" t="s">
        <v>30</v>
      </c>
      <c r="L45" s="342">
        <v>75.0</v>
      </c>
      <c r="M45" s="433"/>
      <c r="N45" s="342"/>
      <c r="O45" s="433" t="s">
        <v>21178</v>
      </c>
      <c r="P45" s="433">
        <v>2015.0</v>
      </c>
      <c r="Q45" s="433" t="s">
        <v>388</v>
      </c>
      <c r="R45" s="342">
        <v>3.0</v>
      </c>
      <c r="S45" s="3"/>
      <c r="T45" s="3"/>
      <c r="U45" s="3"/>
      <c r="V45" s="3"/>
      <c r="W45" s="3"/>
      <c r="X45" s="3"/>
      <c r="Y45" s="3"/>
      <c r="Z45" s="3"/>
    </row>
    <row r="46" ht="15.75" customHeight="1">
      <c r="A46" s="3"/>
      <c r="B46" s="450">
        <v>34.0</v>
      </c>
      <c r="C46" s="433" t="s">
        <v>21175</v>
      </c>
      <c r="D46" s="433" t="s">
        <v>21176</v>
      </c>
      <c r="E46" s="433"/>
      <c r="F46" s="434" t="s">
        <v>21187</v>
      </c>
      <c r="G46" s="433"/>
      <c r="H46" s="342" t="s">
        <v>29</v>
      </c>
      <c r="I46" s="342" t="s">
        <v>30</v>
      </c>
      <c r="J46" s="342"/>
      <c r="K46" s="342" t="s">
        <v>30</v>
      </c>
      <c r="L46" s="342">
        <v>75.0</v>
      </c>
      <c r="M46" s="433"/>
      <c r="N46" s="342"/>
      <c r="O46" s="433" t="s">
        <v>21178</v>
      </c>
      <c r="P46" s="433">
        <v>2015.0</v>
      </c>
      <c r="Q46" s="433" t="s">
        <v>388</v>
      </c>
      <c r="R46" s="342">
        <v>3.0</v>
      </c>
      <c r="S46" s="3"/>
      <c r="T46" s="3"/>
      <c r="U46" s="3"/>
      <c r="V46" s="3"/>
      <c r="W46" s="3"/>
      <c r="X46" s="3"/>
      <c r="Y46" s="3"/>
      <c r="Z46" s="3"/>
    </row>
    <row r="47" ht="15.75" customHeight="1">
      <c r="A47" s="3"/>
      <c r="B47" s="552">
        <v>35.0</v>
      </c>
      <c r="C47" s="433" t="s">
        <v>21175</v>
      </c>
      <c r="D47" s="433" t="s">
        <v>21176</v>
      </c>
      <c r="E47" s="433"/>
      <c r="F47" s="434" t="s">
        <v>21188</v>
      </c>
      <c r="G47" s="433" t="s">
        <v>16872</v>
      </c>
      <c r="H47" s="342" t="s">
        <v>29</v>
      </c>
      <c r="I47" s="342" t="s">
        <v>30</v>
      </c>
      <c r="J47" s="342"/>
      <c r="K47" s="342" t="s">
        <v>30</v>
      </c>
      <c r="L47" s="342">
        <v>75.0</v>
      </c>
      <c r="M47" s="433"/>
      <c r="N47" s="342"/>
      <c r="O47" s="433" t="s">
        <v>21178</v>
      </c>
      <c r="P47" s="433">
        <v>2015.0</v>
      </c>
      <c r="Q47" s="433" t="s">
        <v>388</v>
      </c>
      <c r="R47" s="342">
        <v>3.0</v>
      </c>
      <c r="S47" s="3"/>
      <c r="T47" s="3"/>
      <c r="U47" s="3"/>
      <c r="V47" s="3"/>
      <c r="W47" s="3"/>
      <c r="X47" s="3"/>
      <c r="Y47" s="3"/>
      <c r="Z47" s="3"/>
    </row>
    <row r="48" ht="15.75" customHeight="1">
      <c r="A48" s="3"/>
      <c r="B48" s="450">
        <v>36.0</v>
      </c>
      <c r="C48" s="433" t="s">
        <v>21175</v>
      </c>
      <c r="D48" s="433" t="s">
        <v>21176</v>
      </c>
      <c r="E48" s="433"/>
      <c r="F48" s="434" t="s">
        <v>21189</v>
      </c>
      <c r="G48" s="433" t="s">
        <v>16872</v>
      </c>
      <c r="H48" s="342" t="s">
        <v>29</v>
      </c>
      <c r="I48" s="342" t="s">
        <v>30</v>
      </c>
      <c r="J48" s="342"/>
      <c r="K48" s="342" t="s">
        <v>30</v>
      </c>
      <c r="L48" s="342">
        <v>75.0</v>
      </c>
      <c r="M48" s="433"/>
      <c r="N48" s="342"/>
      <c r="O48" s="433" t="s">
        <v>21178</v>
      </c>
      <c r="P48" s="433">
        <v>2015.0</v>
      </c>
      <c r="Q48" s="433" t="s">
        <v>388</v>
      </c>
      <c r="R48" s="342">
        <v>3.0</v>
      </c>
      <c r="S48" s="3"/>
      <c r="T48" s="3"/>
      <c r="U48" s="3"/>
      <c r="V48" s="3"/>
      <c r="W48" s="3"/>
      <c r="X48" s="3"/>
      <c r="Y48" s="3"/>
      <c r="Z48" s="3"/>
    </row>
    <row r="49" ht="15.75" customHeight="1">
      <c r="A49" s="3"/>
      <c r="B49" s="552">
        <v>37.0</v>
      </c>
      <c r="C49" s="433" t="s">
        <v>21175</v>
      </c>
      <c r="D49" s="433" t="s">
        <v>21176</v>
      </c>
      <c r="E49" s="433"/>
      <c r="F49" s="434" t="s">
        <v>21190</v>
      </c>
      <c r="G49" s="433" t="s">
        <v>16872</v>
      </c>
      <c r="H49" s="342" t="s">
        <v>29</v>
      </c>
      <c r="I49" s="342" t="s">
        <v>30</v>
      </c>
      <c r="J49" s="342"/>
      <c r="K49" s="342" t="s">
        <v>30</v>
      </c>
      <c r="L49" s="342">
        <v>75.0</v>
      </c>
      <c r="M49" s="433"/>
      <c r="N49" s="342"/>
      <c r="O49" s="433" t="s">
        <v>21178</v>
      </c>
      <c r="P49" s="433">
        <v>2015.0</v>
      </c>
      <c r="Q49" s="433" t="s">
        <v>388</v>
      </c>
      <c r="R49" s="342">
        <v>3.0</v>
      </c>
      <c r="S49" s="3"/>
      <c r="T49" s="3"/>
      <c r="U49" s="3"/>
      <c r="V49" s="3"/>
      <c r="W49" s="3"/>
      <c r="X49" s="3"/>
      <c r="Y49" s="3"/>
      <c r="Z49" s="3"/>
    </row>
    <row r="50" ht="15.75" customHeight="1">
      <c r="A50" s="3"/>
      <c r="B50" s="450">
        <v>38.0</v>
      </c>
      <c r="C50" s="433"/>
      <c r="D50" s="433" t="s">
        <v>21191</v>
      </c>
      <c r="E50" s="433"/>
      <c r="F50" s="434" t="s">
        <v>21192</v>
      </c>
      <c r="G50" s="342" t="s">
        <v>20948</v>
      </c>
      <c r="H50" s="342" t="s">
        <v>29</v>
      </c>
      <c r="I50" s="342" t="s">
        <v>30</v>
      </c>
      <c r="J50" s="622"/>
      <c r="K50" s="342" t="s">
        <v>30</v>
      </c>
      <c r="L50" s="342">
        <v>20.0</v>
      </c>
      <c r="M50" s="433"/>
      <c r="N50" s="342"/>
      <c r="O50" s="433" t="s">
        <v>10148</v>
      </c>
      <c r="P50" s="342">
        <v>2014.0</v>
      </c>
      <c r="Q50" s="433" t="s">
        <v>388</v>
      </c>
      <c r="R50" s="342">
        <v>1.0</v>
      </c>
      <c r="S50" s="3"/>
      <c r="T50" s="3"/>
      <c r="U50" s="3"/>
      <c r="V50" s="3"/>
      <c r="W50" s="3"/>
      <c r="X50" s="3"/>
      <c r="Y50" s="3"/>
      <c r="Z50" s="3"/>
    </row>
    <row r="51" ht="15.75" customHeight="1">
      <c r="A51" s="3"/>
      <c r="B51" s="552">
        <v>39.0</v>
      </c>
      <c r="C51" s="433"/>
      <c r="D51" s="433" t="s">
        <v>21193</v>
      </c>
      <c r="E51" s="433"/>
      <c r="F51" s="434" t="s">
        <v>21194</v>
      </c>
      <c r="G51" s="342" t="s">
        <v>20948</v>
      </c>
      <c r="H51" s="342" t="s">
        <v>29</v>
      </c>
      <c r="I51" s="342" t="s">
        <v>30</v>
      </c>
      <c r="J51" s="622"/>
      <c r="K51" s="342" t="s">
        <v>30</v>
      </c>
      <c r="L51" s="342">
        <v>22.0</v>
      </c>
      <c r="M51" s="433"/>
      <c r="N51" s="342"/>
      <c r="O51" s="433" t="s">
        <v>10148</v>
      </c>
      <c r="P51" s="342">
        <v>2013.0</v>
      </c>
      <c r="Q51" s="433" t="s">
        <v>388</v>
      </c>
      <c r="R51" s="342">
        <v>1.0</v>
      </c>
      <c r="S51" s="3"/>
      <c r="T51" s="3"/>
      <c r="U51" s="3"/>
      <c r="V51" s="3"/>
      <c r="W51" s="3"/>
      <c r="X51" s="3"/>
      <c r="Y51" s="3"/>
      <c r="Z51" s="3"/>
    </row>
    <row r="52" ht="15.75" customHeight="1">
      <c r="A52" s="3"/>
      <c r="B52" s="450">
        <v>40.0</v>
      </c>
      <c r="C52" s="433"/>
      <c r="D52" s="433" t="s">
        <v>21195</v>
      </c>
      <c r="E52" s="433"/>
      <c r="F52" s="434" t="s">
        <v>21196</v>
      </c>
      <c r="G52" s="342" t="s">
        <v>20948</v>
      </c>
      <c r="H52" s="342" t="s">
        <v>29</v>
      </c>
      <c r="I52" s="342" t="s">
        <v>30</v>
      </c>
      <c r="J52" s="622"/>
      <c r="K52" s="342" t="s">
        <v>30</v>
      </c>
      <c r="L52" s="342"/>
      <c r="M52" s="433"/>
      <c r="N52" s="342"/>
      <c r="O52" s="433" t="s">
        <v>10148</v>
      </c>
      <c r="P52" s="342">
        <v>2015.0</v>
      </c>
      <c r="Q52" s="433" t="s">
        <v>388</v>
      </c>
      <c r="R52" s="342">
        <v>1.0</v>
      </c>
      <c r="S52" s="3"/>
      <c r="T52" s="3"/>
      <c r="U52" s="3"/>
      <c r="V52" s="3"/>
      <c r="W52" s="3"/>
      <c r="X52" s="3"/>
      <c r="Y52" s="3"/>
      <c r="Z52" s="3"/>
    </row>
    <row r="53" ht="15.75" customHeight="1">
      <c r="A53" s="3"/>
      <c r="B53" s="552">
        <v>41.0</v>
      </c>
      <c r="C53" s="433"/>
      <c r="D53" s="433" t="s">
        <v>21197</v>
      </c>
      <c r="E53" s="433"/>
      <c r="F53" s="434" t="s">
        <v>21198</v>
      </c>
      <c r="G53" s="433"/>
      <c r="H53" s="342" t="s">
        <v>29</v>
      </c>
      <c r="I53" s="433" t="s">
        <v>30</v>
      </c>
      <c r="J53" s="433"/>
      <c r="K53" s="433" t="s">
        <v>30</v>
      </c>
      <c r="L53" s="433"/>
      <c r="M53" s="433" t="s">
        <v>21199</v>
      </c>
      <c r="N53" s="433" t="s">
        <v>21200</v>
      </c>
      <c r="O53" s="433" t="s">
        <v>21201</v>
      </c>
      <c r="P53" s="433">
        <v>2010.0</v>
      </c>
      <c r="Q53" s="433" t="s">
        <v>388</v>
      </c>
      <c r="R53" s="433">
        <v>1.0</v>
      </c>
      <c r="S53" s="3"/>
      <c r="T53" s="3"/>
      <c r="U53" s="3"/>
      <c r="V53" s="3"/>
      <c r="W53" s="3"/>
      <c r="X53" s="3"/>
      <c r="Y53" s="3"/>
      <c r="Z53" s="3"/>
    </row>
    <row r="54" ht="15.75" customHeight="1">
      <c r="A54" s="3"/>
      <c r="B54" s="450">
        <v>42.0</v>
      </c>
      <c r="C54" s="433"/>
      <c r="D54" s="433" t="s">
        <v>21197</v>
      </c>
      <c r="E54" s="433"/>
      <c r="F54" s="434" t="s">
        <v>21202</v>
      </c>
      <c r="G54" s="433"/>
      <c r="H54" s="342" t="s">
        <v>29</v>
      </c>
      <c r="I54" s="433" t="s">
        <v>30</v>
      </c>
      <c r="J54" s="433"/>
      <c r="K54" s="433" t="s">
        <v>30</v>
      </c>
      <c r="L54" s="433"/>
      <c r="M54" s="433" t="s">
        <v>21203</v>
      </c>
      <c r="N54" s="433" t="s">
        <v>21204</v>
      </c>
      <c r="O54" s="433" t="s">
        <v>21201</v>
      </c>
      <c r="P54" s="433">
        <v>2010.0</v>
      </c>
      <c r="Q54" s="433" t="s">
        <v>388</v>
      </c>
      <c r="R54" s="433">
        <v>1.0</v>
      </c>
      <c r="S54" s="3"/>
      <c r="T54" s="3"/>
      <c r="U54" s="3"/>
      <c r="V54" s="3"/>
      <c r="W54" s="3"/>
      <c r="X54" s="3"/>
      <c r="Y54" s="3"/>
      <c r="Z54" s="3"/>
    </row>
    <row r="55" ht="15.75" customHeight="1">
      <c r="A55" s="3"/>
      <c r="B55" s="552">
        <v>43.0</v>
      </c>
      <c r="C55" s="433"/>
      <c r="D55" s="433" t="s">
        <v>21197</v>
      </c>
      <c r="E55" s="433"/>
      <c r="F55" s="434" t="s">
        <v>21205</v>
      </c>
      <c r="G55" s="433"/>
      <c r="H55" s="342" t="s">
        <v>29</v>
      </c>
      <c r="I55" s="433" t="s">
        <v>30</v>
      </c>
      <c r="J55" s="433"/>
      <c r="K55" s="433" t="s">
        <v>30</v>
      </c>
      <c r="L55" s="433"/>
      <c r="M55" s="433" t="s">
        <v>21206</v>
      </c>
      <c r="N55" s="433" t="s">
        <v>21207</v>
      </c>
      <c r="O55" s="433" t="s">
        <v>21201</v>
      </c>
      <c r="P55" s="433">
        <v>2010.0</v>
      </c>
      <c r="Q55" s="433" t="s">
        <v>388</v>
      </c>
      <c r="R55" s="433">
        <v>1.0</v>
      </c>
      <c r="S55" s="3"/>
      <c r="T55" s="3"/>
      <c r="U55" s="3"/>
      <c r="V55" s="3"/>
      <c r="W55" s="3"/>
      <c r="X55" s="3"/>
      <c r="Y55" s="3"/>
      <c r="Z55" s="3"/>
    </row>
    <row r="56" ht="15.75" customHeight="1">
      <c r="A56" s="3"/>
      <c r="B56" s="450">
        <v>44.0</v>
      </c>
      <c r="C56" s="433"/>
      <c r="D56" s="433" t="s">
        <v>21208</v>
      </c>
      <c r="E56" s="433"/>
      <c r="F56" s="434" t="s">
        <v>21209</v>
      </c>
      <c r="G56" s="433"/>
      <c r="H56" s="342" t="s">
        <v>29</v>
      </c>
      <c r="I56" s="433" t="s">
        <v>30</v>
      </c>
      <c r="J56" s="433"/>
      <c r="K56" s="433" t="s">
        <v>30</v>
      </c>
      <c r="L56" s="433"/>
      <c r="M56" s="433" t="s">
        <v>21210</v>
      </c>
      <c r="N56" s="433" t="s">
        <v>21211</v>
      </c>
      <c r="O56" s="433" t="s">
        <v>21201</v>
      </c>
      <c r="P56" s="433">
        <v>2010.0</v>
      </c>
      <c r="Q56" s="433" t="s">
        <v>388</v>
      </c>
      <c r="R56" s="433">
        <v>1.0</v>
      </c>
      <c r="S56" s="3"/>
      <c r="T56" s="3"/>
      <c r="U56" s="3"/>
      <c r="V56" s="3"/>
      <c r="W56" s="3"/>
      <c r="X56" s="3"/>
      <c r="Y56" s="3"/>
      <c r="Z56" s="3"/>
    </row>
    <row r="57" ht="15.75" customHeight="1">
      <c r="A57" s="3"/>
      <c r="B57" s="552">
        <v>45.0</v>
      </c>
      <c r="C57" s="433"/>
      <c r="D57" s="433" t="s">
        <v>21197</v>
      </c>
      <c r="E57" s="433"/>
      <c r="F57" s="434" t="s">
        <v>21212</v>
      </c>
      <c r="G57" s="433"/>
      <c r="H57" s="342" t="s">
        <v>29</v>
      </c>
      <c r="I57" s="433" t="s">
        <v>30</v>
      </c>
      <c r="J57" s="433"/>
      <c r="K57" s="433" t="s">
        <v>30</v>
      </c>
      <c r="L57" s="433"/>
      <c r="M57" s="433" t="s">
        <v>21213</v>
      </c>
      <c r="N57" s="433" t="s">
        <v>21214</v>
      </c>
      <c r="O57" s="433" t="s">
        <v>21201</v>
      </c>
      <c r="P57" s="433">
        <v>2010.0</v>
      </c>
      <c r="Q57" s="433" t="s">
        <v>388</v>
      </c>
      <c r="R57" s="433">
        <v>1.0</v>
      </c>
      <c r="S57" s="3"/>
      <c r="T57" s="3"/>
      <c r="U57" s="3"/>
      <c r="V57" s="3"/>
      <c r="W57" s="3"/>
      <c r="X57" s="3"/>
      <c r="Y57" s="3"/>
      <c r="Z57" s="3"/>
    </row>
    <row r="58" ht="15.75" customHeight="1">
      <c r="A58" s="3"/>
      <c r="B58" s="450">
        <v>46.0</v>
      </c>
      <c r="C58" s="433"/>
      <c r="D58" s="433" t="s">
        <v>21208</v>
      </c>
      <c r="E58" s="433"/>
      <c r="F58" s="434" t="s">
        <v>21215</v>
      </c>
      <c r="G58" s="433"/>
      <c r="H58" s="342" t="s">
        <v>29</v>
      </c>
      <c r="I58" s="433" t="s">
        <v>30</v>
      </c>
      <c r="J58" s="433"/>
      <c r="K58" s="433" t="s">
        <v>30</v>
      </c>
      <c r="L58" s="433"/>
      <c r="M58" s="433" t="s">
        <v>13582</v>
      </c>
      <c r="N58" s="433" t="s">
        <v>21216</v>
      </c>
      <c r="O58" s="433" t="s">
        <v>21201</v>
      </c>
      <c r="P58" s="433">
        <v>2007.0</v>
      </c>
      <c r="Q58" s="433" t="s">
        <v>388</v>
      </c>
      <c r="R58" s="433">
        <v>1.0</v>
      </c>
      <c r="S58" s="3"/>
      <c r="T58" s="3"/>
      <c r="U58" s="3"/>
      <c r="V58" s="3"/>
      <c r="W58" s="3"/>
      <c r="X58" s="3"/>
      <c r="Y58" s="3"/>
      <c r="Z58" s="3"/>
    </row>
    <row r="59" ht="15.75" customHeight="1">
      <c r="A59" s="3"/>
      <c r="B59" s="552">
        <v>47.0</v>
      </c>
      <c r="C59" s="433"/>
      <c r="D59" s="433" t="s">
        <v>21208</v>
      </c>
      <c r="E59" s="433"/>
      <c r="F59" s="434" t="s">
        <v>21217</v>
      </c>
      <c r="G59" s="433"/>
      <c r="H59" s="342" t="s">
        <v>29</v>
      </c>
      <c r="I59" s="433" t="s">
        <v>30</v>
      </c>
      <c r="J59" s="433"/>
      <c r="K59" s="433" t="s">
        <v>30</v>
      </c>
      <c r="L59" s="433"/>
      <c r="M59" s="433" t="s">
        <v>13582</v>
      </c>
      <c r="N59" s="433" t="s">
        <v>21218</v>
      </c>
      <c r="O59" s="433" t="s">
        <v>21201</v>
      </c>
      <c r="P59" s="433">
        <v>2007.0</v>
      </c>
      <c r="Q59" s="433" t="s">
        <v>388</v>
      </c>
      <c r="R59" s="433">
        <v>1.0</v>
      </c>
      <c r="S59" s="3"/>
      <c r="T59" s="3"/>
      <c r="U59" s="3"/>
      <c r="V59" s="3"/>
      <c r="W59" s="3"/>
      <c r="X59" s="3"/>
      <c r="Y59" s="3"/>
      <c r="Z59" s="3"/>
    </row>
    <row r="60" ht="15.75" customHeight="1">
      <c r="A60" s="3"/>
      <c r="B60" s="450">
        <v>48.0</v>
      </c>
      <c r="C60" s="433"/>
      <c r="D60" s="433" t="s">
        <v>21197</v>
      </c>
      <c r="E60" s="433"/>
      <c r="F60" s="434" t="s">
        <v>21219</v>
      </c>
      <c r="G60" s="433"/>
      <c r="H60" s="342" t="s">
        <v>29</v>
      </c>
      <c r="I60" s="433" t="s">
        <v>30</v>
      </c>
      <c r="J60" s="433"/>
      <c r="K60" s="433" t="s">
        <v>30</v>
      </c>
      <c r="L60" s="433"/>
      <c r="M60" s="433" t="s">
        <v>21199</v>
      </c>
      <c r="N60" s="433" t="s">
        <v>21220</v>
      </c>
      <c r="O60" s="433" t="s">
        <v>21201</v>
      </c>
      <c r="P60" s="433">
        <v>2010.0</v>
      </c>
      <c r="Q60" s="433" t="s">
        <v>388</v>
      </c>
      <c r="R60" s="433">
        <v>1.0</v>
      </c>
      <c r="S60" s="3"/>
      <c r="T60" s="3"/>
      <c r="U60" s="3"/>
      <c r="V60" s="3"/>
      <c r="W60" s="3"/>
      <c r="X60" s="3"/>
      <c r="Y60" s="3"/>
      <c r="Z60" s="3"/>
    </row>
    <row r="61" ht="15.75" customHeight="1">
      <c r="A61" s="3"/>
      <c r="B61" s="552">
        <v>49.0</v>
      </c>
      <c r="C61" s="433"/>
      <c r="D61" s="433" t="s">
        <v>21197</v>
      </c>
      <c r="E61" s="433"/>
      <c r="F61" s="434" t="s">
        <v>21221</v>
      </c>
      <c r="G61" s="433"/>
      <c r="H61" s="342" t="s">
        <v>29</v>
      </c>
      <c r="I61" s="433" t="s">
        <v>30</v>
      </c>
      <c r="J61" s="433"/>
      <c r="K61" s="433" t="s">
        <v>30</v>
      </c>
      <c r="L61" s="433"/>
      <c r="M61" s="433" t="s">
        <v>19100</v>
      </c>
      <c r="N61" s="433" t="s">
        <v>21222</v>
      </c>
      <c r="O61" s="433" t="s">
        <v>21201</v>
      </c>
      <c r="P61" s="433">
        <v>2011.0</v>
      </c>
      <c r="Q61" s="433" t="s">
        <v>388</v>
      </c>
      <c r="R61" s="433">
        <v>1.0</v>
      </c>
      <c r="S61" s="3"/>
      <c r="T61" s="3"/>
      <c r="U61" s="3"/>
      <c r="V61" s="3"/>
      <c r="W61" s="3"/>
      <c r="X61" s="3"/>
      <c r="Y61" s="3"/>
      <c r="Z61" s="3"/>
    </row>
    <row r="62" ht="15.75" customHeight="1">
      <c r="A62" s="3"/>
      <c r="B62" s="450">
        <v>50.0</v>
      </c>
      <c r="C62" s="433"/>
      <c r="D62" s="433" t="s">
        <v>21223</v>
      </c>
      <c r="E62" s="433"/>
      <c r="F62" s="434" t="s">
        <v>21224</v>
      </c>
      <c r="G62" s="433"/>
      <c r="H62" s="342" t="s">
        <v>29</v>
      </c>
      <c r="I62" s="433" t="s">
        <v>30</v>
      </c>
      <c r="J62" s="433"/>
      <c r="K62" s="433" t="s">
        <v>30</v>
      </c>
      <c r="L62" s="433"/>
      <c r="M62" s="433" t="s">
        <v>19100</v>
      </c>
      <c r="N62" s="433" t="s">
        <v>21225</v>
      </c>
      <c r="O62" s="433" t="s">
        <v>21201</v>
      </c>
      <c r="P62" s="433">
        <v>2011.0</v>
      </c>
      <c r="Q62" s="433" t="s">
        <v>388</v>
      </c>
      <c r="R62" s="433">
        <v>1.0</v>
      </c>
      <c r="S62" s="3"/>
      <c r="T62" s="3"/>
      <c r="U62" s="3"/>
      <c r="V62" s="3"/>
      <c r="W62" s="3"/>
      <c r="X62" s="3"/>
      <c r="Y62" s="3"/>
      <c r="Z62" s="3"/>
    </row>
    <row r="63" ht="15.75" customHeight="1">
      <c r="A63" s="3"/>
      <c r="B63" s="552">
        <v>51.0</v>
      </c>
      <c r="C63" s="433"/>
      <c r="D63" s="433" t="s">
        <v>21197</v>
      </c>
      <c r="E63" s="433"/>
      <c r="F63" s="434" t="s">
        <v>21226</v>
      </c>
      <c r="G63" s="433"/>
      <c r="H63" s="342" t="s">
        <v>29</v>
      </c>
      <c r="I63" s="433" t="s">
        <v>30</v>
      </c>
      <c r="J63" s="433"/>
      <c r="K63" s="433" t="s">
        <v>30</v>
      </c>
      <c r="L63" s="433"/>
      <c r="M63" s="433" t="s">
        <v>21199</v>
      </c>
      <c r="N63" s="433" t="s">
        <v>21227</v>
      </c>
      <c r="O63" s="433" t="s">
        <v>21201</v>
      </c>
      <c r="P63" s="433">
        <v>2011.0</v>
      </c>
      <c r="Q63" s="433" t="s">
        <v>388</v>
      </c>
      <c r="R63" s="433">
        <v>1.0</v>
      </c>
      <c r="S63" s="3"/>
      <c r="T63" s="3"/>
      <c r="U63" s="3"/>
      <c r="V63" s="3"/>
      <c r="W63" s="3"/>
      <c r="X63" s="3"/>
      <c r="Y63" s="3"/>
      <c r="Z63" s="3"/>
    </row>
    <row r="64" ht="15.75" customHeight="1">
      <c r="A64" s="3"/>
      <c r="B64" s="450">
        <v>52.0</v>
      </c>
      <c r="C64" s="433"/>
      <c r="D64" s="433" t="s">
        <v>21197</v>
      </c>
      <c r="E64" s="433"/>
      <c r="F64" s="434" t="s">
        <v>21228</v>
      </c>
      <c r="G64" s="433"/>
      <c r="H64" s="342" t="s">
        <v>29</v>
      </c>
      <c r="I64" s="433" t="s">
        <v>30</v>
      </c>
      <c r="J64" s="433"/>
      <c r="K64" s="433" t="s">
        <v>30</v>
      </c>
      <c r="L64" s="433"/>
      <c r="M64" s="433" t="s">
        <v>21229</v>
      </c>
      <c r="N64" s="433" t="s">
        <v>21200</v>
      </c>
      <c r="O64" s="433" t="s">
        <v>21201</v>
      </c>
      <c r="P64" s="433">
        <v>2011.0</v>
      </c>
      <c r="Q64" s="433" t="s">
        <v>388</v>
      </c>
      <c r="R64" s="433">
        <v>1.0</v>
      </c>
      <c r="S64" s="3"/>
      <c r="T64" s="3"/>
      <c r="U64" s="3"/>
      <c r="V64" s="3"/>
      <c r="W64" s="3"/>
      <c r="X64" s="3"/>
      <c r="Y64" s="3"/>
      <c r="Z64" s="3"/>
    </row>
    <row r="65" ht="15.75" customHeight="1">
      <c r="A65" s="3"/>
      <c r="B65" s="552">
        <v>53.0</v>
      </c>
      <c r="C65" s="433"/>
      <c r="D65" s="433" t="s">
        <v>21197</v>
      </c>
      <c r="E65" s="433"/>
      <c r="F65" s="434" t="s">
        <v>21230</v>
      </c>
      <c r="G65" s="433"/>
      <c r="H65" s="342" t="s">
        <v>29</v>
      </c>
      <c r="I65" s="433" t="s">
        <v>30</v>
      </c>
      <c r="J65" s="433"/>
      <c r="K65" s="433" t="s">
        <v>30</v>
      </c>
      <c r="L65" s="433"/>
      <c r="M65" s="433" t="s">
        <v>19100</v>
      </c>
      <c r="N65" s="433" t="s">
        <v>21200</v>
      </c>
      <c r="O65" s="433" t="s">
        <v>21201</v>
      </c>
      <c r="P65" s="433">
        <v>2011.0</v>
      </c>
      <c r="Q65" s="433" t="s">
        <v>388</v>
      </c>
      <c r="R65" s="433">
        <v>1.0</v>
      </c>
      <c r="S65" s="3"/>
      <c r="T65" s="3"/>
      <c r="U65" s="3"/>
      <c r="V65" s="3"/>
      <c r="W65" s="3"/>
      <c r="X65" s="3"/>
      <c r="Y65" s="3"/>
      <c r="Z65" s="3"/>
    </row>
    <row r="66" ht="15.75" customHeight="1">
      <c r="A66" s="3"/>
      <c r="B66" s="450">
        <v>54.0</v>
      </c>
      <c r="C66" s="433"/>
      <c r="D66" s="433" t="s">
        <v>21197</v>
      </c>
      <c r="E66" s="433"/>
      <c r="F66" s="434" t="s">
        <v>21231</v>
      </c>
      <c r="G66" s="433"/>
      <c r="H66" s="342" t="s">
        <v>29</v>
      </c>
      <c r="I66" s="433" t="s">
        <v>30</v>
      </c>
      <c r="J66" s="433"/>
      <c r="K66" s="433" t="s">
        <v>30</v>
      </c>
      <c r="L66" s="433"/>
      <c r="M66" s="433" t="s">
        <v>21229</v>
      </c>
      <c r="N66" s="433" t="s">
        <v>21232</v>
      </c>
      <c r="O66" s="433" t="s">
        <v>21201</v>
      </c>
      <c r="P66" s="433">
        <v>2008.0</v>
      </c>
      <c r="Q66" s="433" t="s">
        <v>388</v>
      </c>
      <c r="R66" s="433">
        <v>1.0</v>
      </c>
      <c r="S66" s="3"/>
      <c r="T66" s="3"/>
      <c r="U66" s="3"/>
      <c r="V66" s="3"/>
      <c r="W66" s="3"/>
      <c r="X66" s="3"/>
      <c r="Y66" s="3"/>
      <c r="Z66" s="3"/>
    </row>
    <row r="67" ht="15.75" customHeight="1">
      <c r="A67" s="3"/>
      <c r="B67" s="552">
        <v>55.0</v>
      </c>
      <c r="C67" s="433"/>
      <c r="D67" s="433" t="s">
        <v>21197</v>
      </c>
      <c r="E67" s="433"/>
      <c r="F67" s="434" t="s">
        <v>21233</v>
      </c>
      <c r="G67" s="433"/>
      <c r="H67" s="342" t="s">
        <v>29</v>
      </c>
      <c r="I67" s="433" t="s">
        <v>30</v>
      </c>
      <c r="J67" s="433"/>
      <c r="K67" s="433" t="s">
        <v>30</v>
      </c>
      <c r="L67" s="433"/>
      <c r="M67" s="433" t="s">
        <v>21199</v>
      </c>
      <c r="N67" s="433" t="s">
        <v>21234</v>
      </c>
      <c r="O67" s="433" t="s">
        <v>21201</v>
      </c>
      <c r="P67" s="433">
        <v>2008.0</v>
      </c>
      <c r="Q67" s="433" t="s">
        <v>388</v>
      </c>
      <c r="R67" s="433">
        <v>1.0</v>
      </c>
      <c r="S67" s="3"/>
      <c r="T67" s="3"/>
      <c r="U67" s="3"/>
      <c r="V67" s="3"/>
      <c r="W67" s="3"/>
      <c r="X67" s="3"/>
      <c r="Y67" s="3"/>
      <c r="Z67" s="3"/>
    </row>
    <row r="68" ht="15.75" customHeight="1">
      <c r="A68" s="3"/>
      <c r="B68" s="450">
        <v>56.0</v>
      </c>
      <c r="C68" s="433"/>
      <c r="D68" s="433" t="s">
        <v>21197</v>
      </c>
      <c r="E68" s="433"/>
      <c r="F68" s="434" t="s">
        <v>21235</v>
      </c>
      <c r="G68" s="433"/>
      <c r="H68" s="342" t="s">
        <v>29</v>
      </c>
      <c r="I68" s="433" t="s">
        <v>30</v>
      </c>
      <c r="J68" s="433"/>
      <c r="K68" s="433" t="s">
        <v>30</v>
      </c>
      <c r="L68" s="433"/>
      <c r="M68" s="433" t="s">
        <v>13582</v>
      </c>
      <c r="N68" s="433" t="s">
        <v>21236</v>
      </c>
      <c r="O68" s="433" t="s">
        <v>21201</v>
      </c>
      <c r="P68" s="433">
        <v>2008.0</v>
      </c>
      <c r="Q68" s="433" t="s">
        <v>388</v>
      </c>
      <c r="R68" s="433">
        <v>1.0</v>
      </c>
      <c r="S68" s="3"/>
      <c r="T68" s="3"/>
      <c r="U68" s="3"/>
      <c r="V68" s="3"/>
      <c r="W68" s="3"/>
      <c r="X68" s="3"/>
      <c r="Y68" s="3"/>
      <c r="Z68" s="3"/>
    </row>
    <row r="69" ht="82.5" customHeight="1">
      <c r="A69" s="3"/>
      <c r="B69" s="552">
        <v>57.0</v>
      </c>
      <c r="C69" s="433"/>
      <c r="D69" s="433" t="s">
        <v>21197</v>
      </c>
      <c r="E69" s="433"/>
      <c r="F69" s="434" t="s">
        <v>21237</v>
      </c>
      <c r="G69" s="433"/>
      <c r="H69" s="342" t="s">
        <v>29</v>
      </c>
      <c r="I69" s="433" t="s">
        <v>30</v>
      </c>
      <c r="J69" s="433"/>
      <c r="K69" s="433" t="s">
        <v>30</v>
      </c>
      <c r="L69" s="433"/>
      <c r="M69" s="433" t="s">
        <v>13582</v>
      </c>
      <c r="N69" s="433" t="s">
        <v>21236</v>
      </c>
      <c r="O69" s="433" t="s">
        <v>21201</v>
      </c>
      <c r="P69" s="433">
        <v>2008.0</v>
      </c>
      <c r="Q69" s="433" t="s">
        <v>388</v>
      </c>
      <c r="R69" s="433">
        <v>1.0</v>
      </c>
      <c r="S69" s="3"/>
      <c r="T69" s="3"/>
      <c r="U69" s="3"/>
      <c r="V69" s="3"/>
      <c r="W69" s="3"/>
      <c r="X69" s="3"/>
      <c r="Y69" s="3"/>
      <c r="Z69" s="3"/>
    </row>
    <row r="70" ht="15.75" hidden="1" customHeight="1">
      <c r="A70" s="3"/>
      <c r="B70" s="450">
        <v>58.0</v>
      </c>
      <c r="C70" s="433"/>
      <c r="D70" s="433"/>
      <c r="E70" s="433"/>
      <c r="F70" s="434"/>
      <c r="G70" s="433"/>
      <c r="H70" s="342"/>
      <c r="I70" s="433"/>
      <c r="J70" s="433"/>
      <c r="K70" s="433"/>
      <c r="L70" s="433"/>
      <c r="M70" s="433"/>
      <c r="N70" s="433"/>
      <c r="O70" s="433"/>
      <c r="P70" s="433"/>
      <c r="Q70" s="433"/>
      <c r="R70" s="433"/>
      <c r="S70" s="3"/>
      <c r="T70" s="3"/>
      <c r="U70" s="3"/>
      <c r="V70" s="3"/>
      <c r="W70" s="3"/>
      <c r="X70" s="3"/>
      <c r="Y70" s="3"/>
      <c r="Z70" s="3"/>
    </row>
    <row r="71" ht="15.75" customHeight="1">
      <c r="A71" s="3"/>
      <c r="B71" s="552">
        <v>59.0</v>
      </c>
      <c r="C71" s="433"/>
      <c r="D71" s="433" t="s">
        <v>21197</v>
      </c>
      <c r="E71" s="433"/>
      <c r="F71" s="434" t="s">
        <v>21238</v>
      </c>
      <c r="G71" s="433"/>
      <c r="H71" s="342" t="s">
        <v>29</v>
      </c>
      <c r="I71" s="433" t="s">
        <v>30</v>
      </c>
      <c r="J71" s="433"/>
      <c r="K71" s="433" t="s">
        <v>30</v>
      </c>
      <c r="L71" s="433"/>
      <c r="M71" s="433" t="s">
        <v>13582</v>
      </c>
      <c r="N71" s="433" t="s">
        <v>21236</v>
      </c>
      <c r="O71" s="433" t="s">
        <v>21201</v>
      </c>
      <c r="P71" s="433">
        <v>2008.0</v>
      </c>
      <c r="Q71" s="433" t="s">
        <v>388</v>
      </c>
      <c r="R71" s="433">
        <v>1.0</v>
      </c>
      <c r="S71" s="3"/>
      <c r="T71" s="3"/>
      <c r="U71" s="3"/>
      <c r="V71" s="3"/>
      <c r="W71" s="3"/>
      <c r="X71" s="3"/>
      <c r="Y71" s="3"/>
      <c r="Z71" s="3"/>
    </row>
    <row r="72" ht="15.75" customHeight="1">
      <c r="A72" s="3"/>
      <c r="B72" s="450">
        <v>60.0</v>
      </c>
      <c r="C72" s="433"/>
      <c r="D72" s="433" t="s">
        <v>21208</v>
      </c>
      <c r="E72" s="433"/>
      <c r="F72" s="434" t="s">
        <v>21239</v>
      </c>
      <c r="G72" s="433"/>
      <c r="H72" s="342" t="s">
        <v>29</v>
      </c>
      <c r="I72" s="433" t="s">
        <v>30</v>
      </c>
      <c r="J72" s="433"/>
      <c r="K72" s="433" t="s">
        <v>30</v>
      </c>
      <c r="L72" s="433">
        <v>72.0</v>
      </c>
      <c r="M72" s="433" t="s">
        <v>13582</v>
      </c>
      <c r="N72" s="433" t="s">
        <v>21236</v>
      </c>
      <c r="O72" s="433" t="s">
        <v>21201</v>
      </c>
      <c r="P72" s="433">
        <v>2008.0</v>
      </c>
      <c r="Q72" s="433" t="s">
        <v>388</v>
      </c>
      <c r="R72" s="433">
        <v>1.0</v>
      </c>
      <c r="S72" s="3"/>
      <c r="T72" s="3"/>
      <c r="U72" s="3"/>
      <c r="V72" s="3"/>
      <c r="W72" s="3"/>
      <c r="X72" s="3"/>
      <c r="Y72" s="3"/>
      <c r="Z72" s="3"/>
    </row>
    <row r="73" ht="15.75" customHeight="1">
      <c r="A73" s="3"/>
      <c r="B73" s="552">
        <v>61.0</v>
      </c>
      <c r="C73" s="433"/>
      <c r="D73" s="433" t="s">
        <v>21197</v>
      </c>
      <c r="E73" s="433"/>
      <c r="F73" s="434" t="s">
        <v>21240</v>
      </c>
      <c r="G73" s="433"/>
      <c r="H73" s="342" t="s">
        <v>29</v>
      </c>
      <c r="I73" s="433" t="s">
        <v>30</v>
      </c>
      <c r="J73" s="433"/>
      <c r="K73" s="433" t="s">
        <v>30</v>
      </c>
      <c r="L73" s="433">
        <v>72.0</v>
      </c>
      <c r="M73" s="433" t="s">
        <v>13582</v>
      </c>
      <c r="N73" s="433" t="s">
        <v>21236</v>
      </c>
      <c r="O73" s="433" t="s">
        <v>21201</v>
      </c>
      <c r="P73" s="433">
        <v>2008.0</v>
      </c>
      <c r="Q73" s="433" t="s">
        <v>388</v>
      </c>
      <c r="R73" s="433">
        <v>1.0</v>
      </c>
      <c r="S73" s="3"/>
      <c r="T73" s="3"/>
      <c r="U73" s="3"/>
      <c r="V73" s="3"/>
      <c r="W73" s="3"/>
      <c r="X73" s="3"/>
      <c r="Y73" s="3"/>
      <c r="Z73" s="3"/>
    </row>
    <row r="74" ht="15.75" customHeight="1">
      <c r="A74" s="3"/>
      <c r="B74" s="450">
        <v>62.0</v>
      </c>
      <c r="C74" s="433"/>
      <c r="D74" s="433" t="s">
        <v>21197</v>
      </c>
      <c r="E74" s="433"/>
      <c r="F74" s="434" t="s">
        <v>21241</v>
      </c>
      <c r="G74" s="433"/>
      <c r="H74" s="342" t="s">
        <v>29</v>
      </c>
      <c r="I74" s="433" t="s">
        <v>30</v>
      </c>
      <c r="J74" s="433"/>
      <c r="K74" s="433" t="s">
        <v>30</v>
      </c>
      <c r="L74" s="433">
        <v>72.0</v>
      </c>
      <c r="M74" s="433" t="s">
        <v>13582</v>
      </c>
      <c r="N74" s="433" t="s">
        <v>21236</v>
      </c>
      <c r="O74" s="433" t="s">
        <v>21201</v>
      </c>
      <c r="P74" s="433">
        <v>2008.0</v>
      </c>
      <c r="Q74" s="433" t="s">
        <v>388</v>
      </c>
      <c r="R74" s="433">
        <v>1.0</v>
      </c>
      <c r="S74" s="3"/>
      <c r="T74" s="3"/>
      <c r="U74" s="3"/>
      <c r="V74" s="3"/>
      <c r="W74" s="3"/>
      <c r="X74" s="3"/>
      <c r="Y74" s="3"/>
      <c r="Z74" s="3"/>
    </row>
    <row r="75" ht="15.75" customHeight="1">
      <c r="A75" s="3"/>
      <c r="B75" s="552">
        <v>63.0</v>
      </c>
      <c r="C75" s="433"/>
      <c r="D75" s="433" t="s">
        <v>21197</v>
      </c>
      <c r="E75" s="433"/>
      <c r="F75" s="434" t="s">
        <v>21242</v>
      </c>
      <c r="G75" s="433"/>
      <c r="H75" s="342" t="s">
        <v>29</v>
      </c>
      <c r="I75" s="433" t="s">
        <v>30</v>
      </c>
      <c r="J75" s="433"/>
      <c r="K75" s="433" t="s">
        <v>30</v>
      </c>
      <c r="L75" s="433">
        <v>72.0</v>
      </c>
      <c r="M75" s="433" t="s">
        <v>13582</v>
      </c>
      <c r="N75" s="433" t="s">
        <v>21236</v>
      </c>
      <c r="O75" s="433" t="s">
        <v>21201</v>
      </c>
      <c r="P75" s="433">
        <v>2008.0</v>
      </c>
      <c r="Q75" s="433" t="s">
        <v>388</v>
      </c>
      <c r="R75" s="433">
        <v>1.0</v>
      </c>
      <c r="S75" s="3"/>
      <c r="T75" s="3"/>
      <c r="U75" s="3"/>
      <c r="V75" s="3"/>
      <c r="W75" s="3"/>
      <c r="X75" s="3"/>
      <c r="Y75" s="3"/>
      <c r="Z75" s="3"/>
    </row>
    <row r="76" ht="15.75" customHeight="1">
      <c r="A76" s="3"/>
      <c r="B76" s="450">
        <v>64.0</v>
      </c>
      <c r="C76" s="433"/>
      <c r="D76" s="433" t="s">
        <v>21197</v>
      </c>
      <c r="E76" s="433"/>
      <c r="F76" s="434" t="s">
        <v>21243</v>
      </c>
      <c r="G76" s="433"/>
      <c r="H76" s="342" t="s">
        <v>29</v>
      </c>
      <c r="I76" s="433" t="s">
        <v>30</v>
      </c>
      <c r="J76" s="433"/>
      <c r="K76" s="433" t="s">
        <v>30</v>
      </c>
      <c r="L76" s="433"/>
      <c r="M76" s="433" t="s">
        <v>21199</v>
      </c>
      <c r="N76" s="433" t="s">
        <v>21244</v>
      </c>
      <c r="O76" s="433" t="s">
        <v>21201</v>
      </c>
      <c r="P76" s="433">
        <v>2010.0</v>
      </c>
      <c r="Q76" s="433" t="s">
        <v>388</v>
      </c>
      <c r="R76" s="433">
        <v>1.0</v>
      </c>
      <c r="S76" s="3"/>
      <c r="T76" s="3"/>
      <c r="U76" s="3"/>
      <c r="V76" s="3"/>
      <c r="W76" s="3"/>
      <c r="X76" s="3"/>
      <c r="Y76" s="3"/>
      <c r="Z76" s="3"/>
    </row>
    <row r="77" ht="15.75" customHeight="1">
      <c r="A77" s="3"/>
      <c r="B77" s="552">
        <v>65.0</v>
      </c>
      <c r="C77" s="433"/>
      <c r="D77" s="433" t="s">
        <v>21197</v>
      </c>
      <c r="E77" s="433"/>
      <c r="F77" s="434" t="s">
        <v>21245</v>
      </c>
      <c r="G77" s="433"/>
      <c r="H77" s="342" t="s">
        <v>29</v>
      </c>
      <c r="I77" s="433" t="s">
        <v>30</v>
      </c>
      <c r="J77" s="433"/>
      <c r="K77" s="433" t="s">
        <v>30</v>
      </c>
      <c r="L77" s="433"/>
      <c r="M77" s="433" t="s">
        <v>21199</v>
      </c>
      <c r="N77" s="433" t="s">
        <v>21246</v>
      </c>
      <c r="O77" s="433" t="s">
        <v>21201</v>
      </c>
      <c r="P77" s="433">
        <v>2010.0</v>
      </c>
      <c r="Q77" s="433" t="s">
        <v>388</v>
      </c>
      <c r="R77" s="433">
        <v>1.0</v>
      </c>
      <c r="S77" s="3"/>
      <c r="T77" s="3"/>
      <c r="U77" s="3"/>
      <c r="V77" s="3"/>
      <c r="W77" s="3"/>
      <c r="X77" s="3"/>
      <c r="Y77" s="3"/>
      <c r="Z77" s="3"/>
    </row>
    <row r="78" ht="15.75" customHeight="1">
      <c r="A78" s="3"/>
      <c r="B78" s="450">
        <v>66.0</v>
      </c>
      <c r="C78" s="433"/>
      <c r="D78" s="433" t="s">
        <v>21197</v>
      </c>
      <c r="E78" s="433"/>
      <c r="F78" s="434" t="s">
        <v>21247</v>
      </c>
      <c r="G78" s="433"/>
      <c r="H78" s="342" t="s">
        <v>29</v>
      </c>
      <c r="I78" s="433" t="s">
        <v>30</v>
      </c>
      <c r="J78" s="433"/>
      <c r="K78" s="433" t="s">
        <v>30</v>
      </c>
      <c r="L78" s="433"/>
      <c r="M78" s="433" t="s">
        <v>13582</v>
      </c>
      <c r="N78" s="433" t="s">
        <v>21248</v>
      </c>
      <c r="O78" s="433" t="s">
        <v>21201</v>
      </c>
      <c r="P78" s="433">
        <v>2008.0</v>
      </c>
      <c r="Q78" s="433" t="s">
        <v>388</v>
      </c>
      <c r="R78" s="433">
        <v>1.0</v>
      </c>
      <c r="S78" s="3"/>
      <c r="T78" s="3"/>
      <c r="U78" s="3"/>
      <c r="V78" s="3"/>
      <c r="W78" s="3"/>
      <c r="X78" s="3"/>
      <c r="Y78" s="3"/>
      <c r="Z78" s="3"/>
    </row>
    <row r="79" ht="15.75" customHeight="1">
      <c r="A79" s="3"/>
      <c r="B79" s="552">
        <v>67.0</v>
      </c>
      <c r="C79" s="433"/>
      <c r="D79" s="433" t="s">
        <v>21197</v>
      </c>
      <c r="E79" s="433"/>
      <c r="F79" s="434" t="s">
        <v>21249</v>
      </c>
      <c r="G79" s="433"/>
      <c r="H79" s="342" t="s">
        <v>29</v>
      </c>
      <c r="I79" s="433" t="s">
        <v>30</v>
      </c>
      <c r="J79" s="433"/>
      <c r="K79" s="433" t="s">
        <v>30</v>
      </c>
      <c r="L79" s="433"/>
      <c r="M79" s="433" t="s">
        <v>21250</v>
      </c>
      <c r="N79" s="433" t="s">
        <v>0</v>
      </c>
      <c r="O79" s="433" t="s">
        <v>21201</v>
      </c>
      <c r="P79" s="433">
        <v>2009.0</v>
      </c>
      <c r="Q79" s="433" t="s">
        <v>388</v>
      </c>
      <c r="R79" s="433">
        <v>1.0</v>
      </c>
      <c r="S79" s="3"/>
      <c r="T79" s="3"/>
      <c r="U79" s="3"/>
      <c r="V79" s="3"/>
      <c r="W79" s="3"/>
      <c r="X79" s="3"/>
      <c r="Y79" s="3"/>
      <c r="Z79" s="3"/>
    </row>
    <row r="80" ht="15.75" customHeight="1">
      <c r="A80" s="3"/>
      <c r="B80" s="450">
        <v>68.0</v>
      </c>
      <c r="C80" s="433"/>
      <c r="D80" s="433" t="s">
        <v>21197</v>
      </c>
      <c r="E80" s="433"/>
      <c r="F80" s="434" t="s">
        <v>21251</v>
      </c>
      <c r="G80" s="433"/>
      <c r="H80" s="342" t="s">
        <v>29</v>
      </c>
      <c r="I80" s="433" t="s">
        <v>30</v>
      </c>
      <c r="J80" s="433"/>
      <c r="K80" s="433" t="s">
        <v>30</v>
      </c>
      <c r="L80" s="433">
        <v>96.0</v>
      </c>
      <c r="M80" s="433" t="s">
        <v>21252</v>
      </c>
      <c r="N80" s="433" t="s">
        <v>21253</v>
      </c>
      <c r="O80" s="433" t="s">
        <v>21201</v>
      </c>
      <c r="P80" s="433">
        <v>2010.0</v>
      </c>
      <c r="Q80" s="433" t="s">
        <v>388</v>
      </c>
      <c r="R80" s="433">
        <v>1.0</v>
      </c>
      <c r="S80" s="3"/>
      <c r="T80" s="3"/>
      <c r="U80" s="3"/>
      <c r="V80" s="3"/>
      <c r="W80" s="3"/>
      <c r="X80" s="3"/>
      <c r="Y80" s="3"/>
      <c r="Z80" s="3"/>
    </row>
    <row r="81" ht="15.75" customHeight="1">
      <c r="A81" s="3"/>
      <c r="B81" s="552">
        <v>69.0</v>
      </c>
      <c r="C81" s="433"/>
      <c r="D81" s="433" t="s">
        <v>21254</v>
      </c>
      <c r="E81" s="433"/>
      <c r="F81" s="434" t="s">
        <v>21255</v>
      </c>
      <c r="G81" s="538"/>
      <c r="H81" s="342" t="s">
        <v>29</v>
      </c>
      <c r="I81" s="433" t="s">
        <v>30</v>
      </c>
      <c r="J81" s="538"/>
      <c r="K81" s="433" t="s">
        <v>38</v>
      </c>
      <c r="L81" s="538"/>
      <c r="M81" s="433" t="s">
        <v>21199</v>
      </c>
      <c r="N81" s="433" t="s">
        <v>19303</v>
      </c>
      <c r="O81" s="538"/>
      <c r="P81" s="538"/>
      <c r="Q81" s="433" t="s">
        <v>388</v>
      </c>
      <c r="R81" s="433">
        <v>1.0</v>
      </c>
      <c r="S81" s="3"/>
      <c r="T81" s="3"/>
      <c r="U81" s="3"/>
      <c r="V81" s="3"/>
      <c r="W81" s="3"/>
      <c r="X81" s="3"/>
      <c r="Y81" s="3"/>
      <c r="Z81" s="3"/>
    </row>
    <row r="82" ht="15.75" customHeight="1">
      <c r="A82" s="3"/>
      <c r="B82" s="450">
        <v>70.0</v>
      </c>
      <c r="C82" s="433"/>
      <c r="D82" s="433" t="s">
        <v>21256</v>
      </c>
      <c r="E82" s="433"/>
      <c r="F82" s="434" t="s">
        <v>21257</v>
      </c>
      <c r="G82" s="433"/>
      <c r="H82" s="342" t="s">
        <v>29</v>
      </c>
      <c r="I82" s="433" t="s">
        <v>30</v>
      </c>
      <c r="J82" s="433"/>
      <c r="K82" s="433" t="s">
        <v>30</v>
      </c>
      <c r="L82" s="433"/>
      <c r="M82" s="433" t="s">
        <v>21199</v>
      </c>
      <c r="N82" s="433" t="s">
        <v>21258</v>
      </c>
      <c r="O82" s="433" t="s">
        <v>21259</v>
      </c>
      <c r="P82" s="433">
        <v>2011.0</v>
      </c>
      <c r="Q82" s="433" t="s">
        <v>388</v>
      </c>
      <c r="R82" s="433">
        <v>1.0</v>
      </c>
      <c r="S82" s="3"/>
      <c r="T82" s="3"/>
      <c r="U82" s="3"/>
      <c r="V82" s="3"/>
      <c r="W82" s="3"/>
      <c r="X82" s="3"/>
      <c r="Y82" s="3"/>
      <c r="Z82" s="3"/>
    </row>
    <row r="83" ht="15.75" customHeight="1">
      <c r="A83" s="3"/>
      <c r="B83" s="552">
        <v>71.0</v>
      </c>
      <c r="C83" s="433"/>
      <c r="D83" s="433" t="s">
        <v>21260</v>
      </c>
      <c r="E83" s="433"/>
      <c r="F83" s="434" t="s">
        <v>21261</v>
      </c>
      <c r="G83" s="433"/>
      <c r="H83" s="342" t="s">
        <v>29</v>
      </c>
      <c r="I83" s="433" t="s">
        <v>30</v>
      </c>
      <c r="J83" s="433"/>
      <c r="K83" s="433" t="s">
        <v>30</v>
      </c>
      <c r="L83" s="433"/>
      <c r="M83" s="433" t="s">
        <v>19100</v>
      </c>
      <c r="N83" s="433" t="s">
        <v>21262</v>
      </c>
      <c r="O83" s="433" t="s">
        <v>21263</v>
      </c>
      <c r="P83" s="433">
        <v>2001.0</v>
      </c>
      <c r="Q83" s="433" t="s">
        <v>388</v>
      </c>
      <c r="R83" s="433">
        <v>2.0</v>
      </c>
      <c r="S83" s="3"/>
      <c r="T83" s="3"/>
      <c r="U83" s="3"/>
      <c r="V83" s="3"/>
      <c r="W83" s="3"/>
      <c r="X83" s="3"/>
      <c r="Y83" s="3"/>
      <c r="Z83" s="3"/>
    </row>
    <row r="84" ht="15.75" customHeight="1">
      <c r="A84" s="3"/>
      <c r="B84" s="450">
        <v>72.0</v>
      </c>
      <c r="C84" s="433"/>
      <c r="D84" s="433" t="s">
        <v>21260</v>
      </c>
      <c r="E84" s="433"/>
      <c r="F84" s="434" t="s">
        <v>21261</v>
      </c>
      <c r="G84" s="433"/>
      <c r="H84" s="342" t="s">
        <v>29</v>
      </c>
      <c r="I84" s="433" t="s">
        <v>30</v>
      </c>
      <c r="J84" s="433"/>
      <c r="K84" s="433" t="s">
        <v>30</v>
      </c>
      <c r="L84" s="433"/>
      <c r="M84" s="433" t="s">
        <v>21199</v>
      </c>
      <c r="N84" s="433" t="s">
        <v>21264</v>
      </c>
      <c r="O84" s="433" t="s">
        <v>21263</v>
      </c>
      <c r="P84" s="433">
        <v>2002.0</v>
      </c>
      <c r="Q84" s="433" t="s">
        <v>388</v>
      </c>
      <c r="R84" s="433">
        <v>1.0</v>
      </c>
      <c r="S84" s="3"/>
      <c r="T84" s="3"/>
      <c r="U84" s="3"/>
      <c r="V84" s="3"/>
      <c r="W84" s="3"/>
      <c r="X84" s="3"/>
      <c r="Y84" s="3"/>
      <c r="Z84" s="3"/>
    </row>
    <row r="85" ht="15.75" customHeight="1">
      <c r="A85" s="3"/>
      <c r="B85" s="552">
        <v>73.0</v>
      </c>
      <c r="C85" s="433"/>
      <c r="D85" s="433" t="s">
        <v>21260</v>
      </c>
      <c r="E85" s="433"/>
      <c r="F85" s="434" t="s">
        <v>21261</v>
      </c>
      <c r="G85" s="433"/>
      <c r="H85" s="342" t="s">
        <v>29</v>
      </c>
      <c r="I85" s="433" t="s">
        <v>30</v>
      </c>
      <c r="J85" s="433"/>
      <c r="K85" s="433" t="s">
        <v>30</v>
      </c>
      <c r="L85" s="433"/>
      <c r="M85" s="433" t="s">
        <v>13582</v>
      </c>
      <c r="N85" s="433" t="s">
        <v>21265</v>
      </c>
      <c r="O85" s="433" t="s">
        <v>21263</v>
      </c>
      <c r="P85" s="433">
        <v>2001.0</v>
      </c>
      <c r="Q85" s="433" t="s">
        <v>388</v>
      </c>
      <c r="R85" s="433">
        <v>2.0</v>
      </c>
      <c r="S85" s="3"/>
      <c r="T85" s="3"/>
      <c r="U85" s="3"/>
      <c r="V85" s="3"/>
      <c r="W85" s="3"/>
      <c r="X85" s="3"/>
      <c r="Y85" s="3"/>
      <c r="Z85" s="3"/>
    </row>
    <row r="86" ht="15.75" customHeight="1">
      <c r="A86" s="3"/>
      <c r="B86" s="450">
        <v>74.0</v>
      </c>
      <c r="C86" s="433"/>
      <c r="D86" s="433" t="s">
        <v>21260</v>
      </c>
      <c r="E86" s="433"/>
      <c r="F86" s="434" t="s">
        <v>21261</v>
      </c>
      <c r="G86" s="433"/>
      <c r="H86" s="342" t="s">
        <v>29</v>
      </c>
      <c r="I86" s="433" t="s">
        <v>30</v>
      </c>
      <c r="J86" s="433"/>
      <c r="K86" s="433" t="s">
        <v>30</v>
      </c>
      <c r="L86" s="433"/>
      <c r="M86" s="433" t="s">
        <v>21199</v>
      </c>
      <c r="N86" s="433" t="s">
        <v>21266</v>
      </c>
      <c r="O86" s="433" t="s">
        <v>21263</v>
      </c>
      <c r="P86" s="433">
        <v>2001.0</v>
      </c>
      <c r="Q86" s="433" t="s">
        <v>388</v>
      </c>
      <c r="R86" s="433">
        <v>2.0</v>
      </c>
      <c r="S86" s="3"/>
      <c r="T86" s="3"/>
      <c r="U86" s="3"/>
      <c r="V86" s="3"/>
      <c r="W86" s="3"/>
      <c r="X86" s="3"/>
      <c r="Y86" s="3"/>
      <c r="Z86" s="3"/>
    </row>
    <row r="87" ht="94.5" customHeight="1">
      <c r="A87" s="3"/>
      <c r="B87" s="552">
        <v>75.0</v>
      </c>
      <c r="C87" s="433"/>
      <c r="D87" s="433" t="s">
        <v>21260</v>
      </c>
      <c r="E87" s="433"/>
      <c r="F87" s="434" t="s">
        <v>21261</v>
      </c>
      <c r="G87" s="433"/>
      <c r="H87" s="342" t="s">
        <v>29</v>
      </c>
      <c r="I87" s="433" t="s">
        <v>30</v>
      </c>
      <c r="J87" s="433"/>
      <c r="K87" s="433" t="s">
        <v>30</v>
      </c>
      <c r="L87" s="433"/>
      <c r="M87" s="433" t="s">
        <v>21199</v>
      </c>
      <c r="N87" s="433" t="s">
        <v>21267</v>
      </c>
      <c r="O87" s="433" t="s">
        <v>21263</v>
      </c>
      <c r="P87" s="433">
        <v>2001.0</v>
      </c>
      <c r="Q87" s="433" t="s">
        <v>388</v>
      </c>
      <c r="R87" s="433">
        <v>2.0</v>
      </c>
      <c r="S87" s="3"/>
      <c r="T87" s="3"/>
      <c r="U87" s="3"/>
      <c r="V87" s="3"/>
      <c r="W87" s="3"/>
      <c r="X87" s="3"/>
      <c r="Y87" s="3"/>
      <c r="Z87" s="3"/>
    </row>
    <row r="88" ht="15.75" customHeight="1">
      <c r="A88" s="3"/>
      <c r="B88" s="450">
        <v>76.0</v>
      </c>
      <c r="C88" s="433"/>
      <c r="D88" s="433" t="s">
        <v>21260</v>
      </c>
      <c r="E88" s="433"/>
      <c r="F88" s="434" t="s">
        <v>21261</v>
      </c>
      <c r="G88" s="433"/>
      <c r="H88" s="342" t="s">
        <v>29</v>
      </c>
      <c r="I88" s="433" t="s">
        <v>30</v>
      </c>
      <c r="J88" s="433"/>
      <c r="K88" s="433" t="s">
        <v>30</v>
      </c>
      <c r="L88" s="433"/>
      <c r="M88" s="433" t="s">
        <v>21199</v>
      </c>
      <c r="N88" s="433" t="s">
        <v>21268</v>
      </c>
      <c r="O88" s="433" t="s">
        <v>21263</v>
      </c>
      <c r="P88" s="433">
        <v>2002.0</v>
      </c>
      <c r="Q88" s="433" t="s">
        <v>388</v>
      </c>
      <c r="R88" s="433">
        <v>2.0</v>
      </c>
      <c r="S88" s="3"/>
      <c r="T88" s="3"/>
      <c r="U88" s="3"/>
      <c r="V88" s="3"/>
      <c r="W88" s="3"/>
      <c r="X88" s="3"/>
      <c r="Y88" s="3"/>
      <c r="Z88" s="3"/>
    </row>
    <row r="89" ht="15.75" customHeight="1">
      <c r="A89" s="3"/>
      <c r="B89" s="552">
        <v>77.0</v>
      </c>
      <c r="C89" s="433"/>
      <c r="D89" s="433" t="s">
        <v>21260</v>
      </c>
      <c r="E89" s="433"/>
      <c r="F89" s="434" t="s">
        <v>21261</v>
      </c>
      <c r="G89" s="433"/>
      <c r="H89" s="342" t="s">
        <v>29</v>
      </c>
      <c r="I89" s="433" t="s">
        <v>30</v>
      </c>
      <c r="J89" s="433"/>
      <c r="K89" s="433" t="s">
        <v>30</v>
      </c>
      <c r="L89" s="433"/>
      <c r="M89" s="433" t="s">
        <v>21199</v>
      </c>
      <c r="N89" s="433" t="s">
        <v>21269</v>
      </c>
      <c r="O89" s="433" t="s">
        <v>21263</v>
      </c>
      <c r="P89" s="433">
        <v>2002.0</v>
      </c>
      <c r="Q89" s="433" t="s">
        <v>388</v>
      </c>
      <c r="R89" s="433">
        <v>1.0</v>
      </c>
      <c r="S89" s="3"/>
      <c r="T89" s="3"/>
      <c r="U89" s="3"/>
      <c r="V89" s="3"/>
      <c r="W89" s="3"/>
      <c r="X89" s="3"/>
      <c r="Y89" s="3"/>
      <c r="Z89" s="3"/>
    </row>
    <row r="90" ht="15.75" customHeight="1">
      <c r="A90" s="3"/>
      <c r="B90" s="450">
        <v>78.0</v>
      </c>
      <c r="C90" s="433"/>
      <c r="D90" s="433" t="s">
        <v>21260</v>
      </c>
      <c r="E90" s="433"/>
      <c r="F90" s="434" t="s">
        <v>21261</v>
      </c>
      <c r="G90" s="433"/>
      <c r="H90" s="342" t="s">
        <v>29</v>
      </c>
      <c r="I90" s="433" t="s">
        <v>30</v>
      </c>
      <c r="J90" s="433"/>
      <c r="K90" s="433" t="s">
        <v>30</v>
      </c>
      <c r="L90" s="433"/>
      <c r="M90" s="433" t="s">
        <v>21270</v>
      </c>
      <c r="N90" s="433" t="s">
        <v>21271</v>
      </c>
      <c r="O90" s="433" t="s">
        <v>21263</v>
      </c>
      <c r="P90" s="433">
        <v>2002.0</v>
      </c>
      <c r="Q90" s="433" t="s">
        <v>388</v>
      </c>
      <c r="R90" s="433">
        <v>2.0</v>
      </c>
      <c r="S90" s="3"/>
      <c r="T90" s="3"/>
      <c r="U90" s="3"/>
      <c r="V90" s="3"/>
      <c r="W90" s="3"/>
      <c r="X90" s="3"/>
      <c r="Y90" s="3"/>
      <c r="Z90" s="3"/>
    </row>
    <row r="91" ht="15.75" customHeight="1">
      <c r="A91" s="3"/>
      <c r="B91" s="552">
        <v>79.0</v>
      </c>
      <c r="C91" s="433"/>
      <c r="D91" s="433" t="s">
        <v>21272</v>
      </c>
      <c r="E91" s="433"/>
      <c r="F91" s="434" t="s">
        <v>21273</v>
      </c>
      <c r="G91" s="433"/>
      <c r="H91" s="342" t="s">
        <v>29</v>
      </c>
      <c r="I91" s="433" t="s">
        <v>30</v>
      </c>
      <c r="J91" s="433"/>
      <c r="K91" s="433" t="s">
        <v>30</v>
      </c>
      <c r="L91" s="433"/>
      <c r="M91" s="433" t="s">
        <v>21199</v>
      </c>
      <c r="N91" s="433" t="s">
        <v>21274</v>
      </c>
      <c r="O91" s="433" t="s">
        <v>21263</v>
      </c>
      <c r="P91" s="433">
        <v>2013.0</v>
      </c>
      <c r="Q91" s="433" t="s">
        <v>388</v>
      </c>
      <c r="R91" s="433">
        <v>1.0</v>
      </c>
      <c r="S91" s="3"/>
      <c r="T91" s="3"/>
      <c r="U91" s="3"/>
      <c r="V91" s="3"/>
      <c r="W91" s="3"/>
      <c r="X91" s="3"/>
      <c r="Y91" s="3"/>
      <c r="Z91" s="3"/>
    </row>
    <row r="92" ht="15.75" customHeight="1">
      <c r="A92" s="3"/>
      <c r="B92" s="450">
        <v>80.0</v>
      </c>
      <c r="C92" s="433"/>
      <c r="D92" s="433" t="s">
        <v>21143</v>
      </c>
      <c r="E92" s="433"/>
      <c r="F92" s="434" t="s">
        <v>21275</v>
      </c>
      <c r="G92" s="433" t="s">
        <v>20948</v>
      </c>
      <c r="H92" s="342" t="s">
        <v>29</v>
      </c>
      <c r="I92" s="433" t="s">
        <v>30</v>
      </c>
      <c r="J92" s="433"/>
      <c r="K92" s="433" t="s">
        <v>30</v>
      </c>
      <c r="L92" s="433"/>
      <c r="M92" s="433" t="s">
        <v>21199</v>
      </c>
      <c r="N92" s="466" t="s">
        <v>21276</v>
      </c>
      <c r="O92" s="433" t="s">
        <v>21277</v>
      </c>
      <c r="P92" s="433">
        <v>2003.0</v>
      </c>
      <c r="Q92" s="433" t="s">
        <v>388</v>
      </c>
      <c r="R92" s="433">
        <v>1.0</v>
      </c>
      <c r="S92" s="3"/>
      <c r="T92" s="3"/>
      <c r="U92" s="3"/>
      <c r="V92" s="3"/>
      <c r="W92" s="3"/>
      <c r="X92" s="3"/>
      <c r="Y92" s="3"/>
      <c r="Z92" s="3"/>
    </row>
    <row r="93" ht="15.75" customHeight="1">
      <c r="A93" s="3"/>
      <c r="B93" s="552">
        <v>81.0</v>
      </c>
      <c r="C93" s="433"/>
      <c r="D93" s="433" t="s">
        <v>21143</v>
      </c>
      <c r="E93" s="433"/>
      <c r="F93" s="434" t="s">
        <v>21278</v>
      </c>
      <c r="G93" s="433" t="s">
        <v>20948</v>
      </c>
      <c r="H93" s="342" t="s">
        <v>29</v>
      </c>
      <c r="I93" s="433" t="s">
        <v>30</v>
      </c>
      <c r="J93" s="433"/>
      <c r="K93" s="433" t="s">
        <v>30</v>
      </c>
      <c r="L93" s="433"/>
      <c r="M93" s="433" t="s">
        <v>21199</v>
      </c>
      <c r="N93" s="433" t="s">
        <v>21279</v>
      </c>
      <c r="O93" s="433" t="s">
        <v>21277</v>
      </c>
      <c r="P93" s="433">
        <v>2005.0</v>
      </c>
      <c r="Q93" s="433" t="s">
        <v>388</v>
      </c>
      <c r="R93" s="433">
        <v>2.0</v>
      </c>
      <c r="S93" s="3"/>
      <c r="T93" s="3"/>
      <c r="U93" s="3"/>
      <c r="V93" s="3"/>
      <c r="W93" s="3"/>
      <c r="X93" s="3"/>
      <c r="Y93" s="3"/>
      <c r="Z93" s="3"/>
    </row>
    <row r="94" ht="15.75" customHeight="1">
      <c r="A94" s="3"/>
      <c r="B94" s="450">
        <v>82.0</v>
      </c>
      <c r="C94" s="433"/>
      <c r="D94" s="433" t="s">
        <v>21143</v>
      </c>
      <c r="E94" s="433"/>
      <c r="F94" s="434" t="s">
        <v>21280</v>
      </c>
      <c r="G94" s="433" t="s">
        <v>20948</v>
      </c>
      <c r="H94" s="342" t="s">
        <v>29</v>
      </c>
      <c r="I94" s="433" t="s">
        <v>30</v>
      </c>
      <c r="J94" s="433"/>
      <c r="K94" s="433" t="s">
        <v>30</v>
      </c>
      <c r="L94" s="433"/>
      <c r="M94" s="433" t="s">
        <v>13582</v>
      </c>
      <c r="N94" s="433" t="s">
        <v>21281</v>
      </c>
      <c r="O94" s="433" t="s">
        <v>21277</v>
      </c>
      <c r="P94" s="433">
        <v>2003.0</v>
      </c>
      <c r="Q94" s="433" t="s">
        <v>388</v>
      </c>
      <c r="R94" s="433">
        <v>2.0</v>
      </c>
      <c r="S94" s="3"/>
      <c r="T94" s="3"/>
      <c r="U94" s="3"/>
      <c r="V94" s="3"/>
      <c r="W94" s="3"/>
      <c r="X94" s="3"/>
      <c r="Y94" s="3"/>
      <c r="Z94" s="3"/>
    </row>
    <row r="95" ht="15.75" customHeight="1">
      <c r="A95" s="3"/>
      <c r="B95" s="552">
        <v>83.0</v>
      </c>
      <c r="C95" s="433"/>
      <c r="D95" s="433" t="s">
        <v>21143</v>
      </c>
      <c r="E95" s="433"/>
      <c r="F95" s="434" t="s">
        <v>21282</v>
      </c>
      <c r="G95" s="433" t="s">
        <v>20948</v>
      </c>
      <c r="H95" s="342" t="s">
        <v>29</v>
      </c>
      <c r="I95" s="433" t="s">
        <v>30</v>
      </c>
      <c r="J95" s="433"/>
      <c r="K95" s="433" t="s">
        <v>30</v>
      </c>
      <c r="L95" s="433"/>
      <c r="M95" s="433" t="s">
        <v>21283</v>
      </c>
      <c r="N95" s="433" t="s">
        <v>21281</v>
      </c>
      <c r="O95" s="433" t="s">
        <v>21277</v>
      </c>
      <c r="P95" s="433">
        <v>2003.0</v>
      </c>
      <c r="Q95" s="433" t="s">
        <v>388</v>
      </c>
      <c r="R95" s="433">
        <v>2.0</v>
      </c>
      <c r="S95" s="3"/>
      <c r="T95" s="3"/>
      <c r="U95" s="3"/>
      <c r="V95" s="3"/>
      <c r="W95" s="3"/>
      <c r="X95" s="3"/>
      <c r="Y95" s="3"/>
      <c r="Z95" s="3"/>
    </row>
    <row r="96" ht="15.75" customHeight="1">
      <c r="A96" s="3"/>
      <c r="B96" s="450">
        <v>84.0</v>
      </c>
      <c r="C96" s="433"/>
      <c r="D96" s="433" t="s">
        <v>21195</v>
      </c>
      <c r="E96" s="433"/>
      <c r="F96" s="434" t="s">
        <v>21284</v>
      </c>
      <c r="G96" s="433"/>
      <c r="H96" s="342" t="s">
        <v>29</v>
      </c>
      <c r="I96" s="433" t="s">
        <v>30</v>
      </c>
      <c r="J96" s="433"/>
      <c r="K96" s="433" t="s">
        <v>30</v>
      </c>
      <c r="L96" s="433"/>
      <c r="M96" s="433" t="s">
        <v>21285</v>
      </c>
      <c r="N96" s="433" t="s">
        <v>21286</v>
      </c>
      <c r="O96" s="433" t="s">
        <v>21287</v>
      </c>
      <c r="P96" s="433">
        <v>2012.0</v>
      </c>
      <c r="Q96" s="433" t="s">
        <v>388</v>
      </c>
      <c r="R96" s="433">
        <v>1.0</v>
      </c>
      <c r="S96" s="3"/>
      <c r="T96" s="3"/>
      <c r="U96" s="3"/>
      <c r="V96" s="3"/>
      <c r="W96" s="3"/>
      <c r="X96" s="3"/>
      <c r="Y96" s="3"/>
      <c r="Z96" s="3"/>
    </row>
    <row r="97" ht="15.75" customHeight="1">
      <c r="A97" s="3"/>
      <c r="B97" s="552">
        <v>85.0</v>
      </c>
      <c r="C97" s="433"/>
      <c r="D97" s="433" t="s">
        <v>21195</v>
      </c>
      <c r="E97" s="433"/>
      <c r="F97" s="434" t="s">
        <v>21288</v>
      </c>
      <c r="G97" s="433"/>
      <c r="H97" s="342" t="s">
        <v>29</v>
      </c>
      <c r="I97" s="433" t="s">
        <v>30</v>
      </c>
      <c r="J97" s="433"/>
      <c r="K97" s="433" t="s">
        <v>30</v>
      </c>
      <c r="L97" s="433"/>
      <c r="M97" s="433" t="s">
        <v>21199</v>
      </c>
      <c r="N97" s="433" t="s">
        <v>21289</v>
      </c>
      <c r="O97" s="433" t="s">
        <v>21287</v>
      </c>
      <c r="P97" s="433">
        <v>2012.0</v>
      </c>
      <c r="Q97" s="433" t="s">
        <v>388</v>
      </c>
      <c r="R97" s="433">
        <v>2.0</v>
      </c>
      <c r="S97" s="3"/>
      <c r="T97" s="3"/>
      <c r="U97" s="3"/>
      <c r="V97" s="3"/>
      <c r="W97" s="3"/>
      <c r="X97" s="3"/>
      <c r="Y97" s="3"/>
      <c r="Z97" s="3"/>
    </row>
    <row r="98" ht="80.25" customHeight="1">
      <c r="A98" s="3"/>
      <c r="B98" s="450">
        <v>86.0</v>
      </c>
      <c r="C98" s="433"/>
      <c r="D98" s="433" t="s">
        <v>21197</v>
      </c>
      <c r="E98" s="433"/>
      <c r="F98" s="434" t="s">
        <v>21290</v>
      </c>
      <c r="G98" s="433"/>
      <c r="H98" s="342" t="s">
        <v>29</v>
      </c>
      <c r="I98" s="433" t="s">
        <v>30</v>
      </c>
      <c r="J98" s="433"/>
      <c r="K98" s="433" t="s">
        <v>30</v>
      </c>
      <c r="L98" s="433"/>
      <c r="M98" s="433" t="s">
        <v>21199</v>
      </c>
      <c r="N98" s="433" t="s">
        <v>21291</v>
      </c>
      <c r="O98" s="433" t="s">
        <v>21292</v>
      </c>
      <c r="P98" s="433">
        <v>2012.0</v>
      </c>
      <c r="Q98" s="433" t="s">
        <v>388</v>
      </c>
      <c r="R98" s="433">
        <v>1.0</v>
      </c>
      <c r="S98" s="3"/>
      <c r="T98" s="3"/>
      <c r="U98" s="3"/>
      <c r="V98" s="3"/>
      <c r="W98" s="3"/>
      <c r="X98" s="3"/>
      <c r="Y98" s="3"/>
      <c r="Z98" s="3"/>
    </row>
    <row r="99" ht="15.75" customHeight="1">
      <c r="A99" s="3"/>
      <c r="B99" s="552">
        <v>87.0</v>
      </c>
      <c r="C99" s="433"/>
      <c r="D99" s="433" t="s">
        <v>21293</v>
      </c>
      <c r="E99" s="433"/>
      <c r="F99" s="434" t="s">
        <v>21294</v>
      </c>
      <c r="G99" s="433"/>
      <c r="H99" s="342" t="s">
        <v>29</v>
      </c>
      <c r="I99" s="433" t="s">
        <v>30</v>
      </c>
      <c r="J99" s="433"/>
      <c r="K99" s="433" t="s">
        <v>30</v>
      </c>
      <c r="L99" s="433"/>
      <c r="M99" s="433" t="s">
        <v>21295</v>
      </c>
      <c r="N99" s="433" t="s">
        <v>21296</v>
      </c>
      <c r="O99" s="433" t="s">
        <v>8889</v>
      </c>
      <c r="P99" s="433">
        <v>2012.0</v>
      </c>
      <c r="Q99" s="433" t="s">
        <v>388</v>
      </c>
      <c r="R99" s="433">
        <v>1.0</v>
      </c>
      <c r="S99" s="3"/>
      <c r="T99" s="3"/>
      <c r="U99" s="3"/>
      <c r="V99" s="3"/>
      <c r="W99" s="3"/>
      <c r="X99" s="3"/>
      <c r="Y99" s="3"/>
      <c r="Z99" s="3"/>
    </row>
    <row r="100" ht="15.75" customHeight="1">
      <c r="A100" s="3"/>
      <c r="B100" s="450">
        <v>88.0</v>
      </c>
      <c r="C100" s="433"/>
      <c r="D100" s="433" t="s">
        <v>21138</v>
      </c>
      <c r="E100" s="433"/>
      <c r="F100" s="434" t="s">
        <v>21297</v>
      </c>
      <c r="G100" s="433"/>
      <c r="H100" s="342" t="s">
        <v>29</v>
      </c>
      <c r="I100" s="433" t="s">
        <v>30</v>
      </c>
      <c r="J100" s="433"/>
      <c r="K100" s="433" t="s">
        <v>30</v>
      </c>
      <c r="L100" s="433"/>
      <c r="M100" s="433" t="s">
        <v>21199</v>
      </c>
      <c r="N100" s="433" t="s">
        <v>21298</v>
      </c>
      <c r="O100" s="433" t="s">
        <v>54</v>
      </c>
      <c r="P100" s="433">
        <v>2011.0</v>
      </c>
      <c r="Q100" s="433" t="s">
        <v>388</v>
      </c>
      <c r="R100" s="433">
        <v>1.0</v>
      </c>
      <c r="S100" s="3"/>
      <c r="T100" s="3"/>
      <c r="U100" s="3"/>
      <c r="V100" s="3"/>
      <c r="W100" s="3"/>
      <c r="X100" s="3"/>
      <c r="Y100" s="3"/>
      <c r="Z100" s="3"/>
    </row>
    <row r="101" ht="15.75" customHeight="1">
      <c r="A101" s="3"/>
      <c r="B101" s="552">
        <v>89.0</v>
      </c>
      <c r="C101" s="433"/>
      <c r="D101" s="433" t="s">
        <v>21299</v>
      </c>
      <c r="E101" s="433"/>
      <c r="F101" s="434" t="s">
        <v>21300</v>
      </c>
      <c r="G101" s="433"/>
      <c r="H101" s="342" t="s">
        <v>29</v>
      </c>
      <c r="I101" s="433" t="s">
        <v>30</v>
      </c>
      <c r="J101" s="433"/>
      <c r="K101" s="433" t="s">
        <v>30</v>
      </c>
      <c r="L101" s="433"/>
      <c r="M101" s="433" t="s">
        <v>21199</v>
      </c>
      <c r="N101" s="433" t="s">
        <v>21301</v>
      </c>
      <c r="O101" s="433" t="s">
        <v>21302</v>
      </c>
      <c r="P101" s="433">
        <v>2007.0</v>
      </c>
      <c r="Q101" s="433" t="s">
        <v>388</v>
      </c>
      <c r="R101" s="433">
        <v>1.0</v>
      </c>
      <c r="S101" s="3"/>
      <c r="T101" s="3"/>
      <c r="U101" s="3"/>
      <c r="V101" s="3"/>
      <c r="W101" s="3"/>
      <c r="X101" s="3"/>
      <c r="Y101" s="3"/>
      <c r="Z101" s="3"/>
    </row>
    <row r="102" ht="15.75" customHeight="1">
      <c r="A102" s="3"/>
      <c r="B102" s="450">
        <v>90.0</v>
      </c>
      <c r="C102" s="433"/>
      <c r="D102" s="433" t="s">
        <v>21303</v>
      </c>
      <c r="E102" s="433"/>
      <c r="F102" s="434" t="s">
        <v>21304</v>
      </c>
      <c r="G102" s="433"/>
      <c r="H102" s="342" t="s">
        <v>29</v>
      </c>
      <c r="I102" s="433" t="s">
        <v>30</v>
      </c>
      <c r="J102" s="433"/>
      <c r="K102" s="433" t="s">
        <v>30</v>
      </c>
      <c r="L102" s="433"/>
      <c r="M102" s="433" t="s">
        <v>21305</v>
      </c>
      <c r="N102" s="433" t="s">
        <v>21306</v>
      </c>
      <c r="O102" s="433" t="s">
        <v>21307</v>
      </c>
      <c r="P102" s="433">
        <v>2010.0</v>
      </c>
      <c r="Q102" s="433" t="s">
        <v>388</v>
      </c>
      <c r="R102" s="433">
        <v>1.0</v>
      </c>
      <c r="S102" s="3"/>
      <c r="T102" s="3"/>
      <c r="U102" s="3"/>
      <c r="V102" s="3"/>
      <c r="W102" s="3"/>
      <c r="X102" s="3"/>
      <c r="Y102" s="3"/>
      <c r="Z102" s="3"/>
    </row>
    <row r="103" ht="15.75" customHeight="1">
      <c r="A103" s="3"/>
      <c r="B103" s="552">
        <v>91.0</v>
      </c>
      <c r="C103" s="433"/>
      <c r="D103" s="433" t="s">
        <v>21308</v>
      </c>
      <c r="E103" s="433"/>
      <c r="F103" s="434" t="s">
        <v>21309</v>
      </c>
      <c r="G103" s="433"/>
      <c r="H103" s="342" t="s">
        <v>29</v>
      </c>
      <c r="I103" s="433" t="s">
        <v>30</v>
      </c>
      <c r="J103" s="433"/>
      <c r="K103" s="433" t="s">
        <v>30</v>
      </c>
      <c r="L103" s="433"/>
      <c r="M103" s="433" t="s">
        <v>21199</v>
      </c>
      <c r="N103" s="433" t="s">
        <v>21310</v>
      </c>
      <c r="O103" s="433" t="s">
        <v>21302</v>
      </c>
      <c r="P103" s="433">
        <v>2006.0</v>
      </c>
      <c r="Q103" s="433" t="s">
        <v>388</v>
      </c>
      <c r="R103" s="433">
        <v>1.0</v>
      </c>
      <c r="S103" s="3"/>
      <c r="T103" s="3"/>
      <c r="U103" s="3"/>
      <c r="V103" s="3"/>
      <c r="W103" s="3"/>
      <c r="X103" s="3"/>
      <c r="Y103" s="3"/>
      <c r="Z103" s="3"/>
    </row>
    <row r="104" ht="15.75" customHeight="1">
      <c r="A104" s="3"/>
      <c r="B104" s="450">
        <v>92.0</v>
      </c>
      <c r="C104" s="433"/>
      <c r="D104" s="433" t="s">
        <v>21311</v>
      </c>
      <c r="E104" s="433"/>
      <c r="F104" s="434" t="s">
        <v>21312</v>
      </c>
      <c r="G104" s="433"/>
      <c r="H104" s="342" t="s">
        <v>29</v>
      </c>
      <c r="I104" s="433" t="s">
        <v>30</v>
      </c>
      <c r="J104" s="433"/>
      <c r="K104" s="433" t="s">
        <v>30</v>
      </c>
      <c r="L104" s="433"/>
      <c r="M104" s="433" t="s">
        <v>21313</v>
      </c>
      <c r="N104" s="433" t="s">
        <v>21314</v>
      </c>
      <c r="O104" s="433" t="s">
        <v>21315</v>
      </c>
      <c r="P104" s="433">
        <v>1999.0</v>
      </c>
      <c r="Q104" s="433" t="s">
        <v>388</v>
      </c>
      <c r="R104" s="433">
        <v>1.0</v>
      </c>
      <c r="S104" s="3"/>
      <c r="T104" s="3"/>
      <c r="U104" s="3"/>
      <c r="V104" s="3"/>
      <c r="W104" s="3"/>
      <c r="X104" s="3"/>
      <c r="Y104" s="3"/>
      <c r="Z104" s="3"/>
    </row>
    <row r="105" ht="15.75" customHeight="1">
      <c r="A105" s="3"/>
      <c r="B105" s="552">
        <v>93.0</v>
      </c>
      <c r="C105" s="433"/>
      <c r="D105" s="433" t="s">
        <v>21316</v>
      </c>
      <c r="E105" s="433"/>
      <c r="F105" s="434" t="s">
        <v>21317</v>
      </c>
      <c r="G105" s="433"/>
      <c r="H105" s="342" t="s">
        <v>29</v>
      </c>
      <c r="I105" s="433" t="s">
        <v>30</v>
      </c>
      <c r="J105" s="433"/>
      <c r="K105" s="433" t="s">
        <v>30</v>
      </c>
      <c r="L105" s="433"/>
      <c r="M105" s="433" t="s">
        <v>19100</v>
      </c>
      <c r="N105" s="433" t="s">
        <v>21318</v>
      </c>
      <c r="O105" s="433" t="s">
        <v>21302</v>
      </c>
      <c r="P105" s="433">
        <v>2004.0</v>
      </c>
      <c r="Q105" s="433" t="s">
        <v>388</v>
      </c>
      <c r="R105" s="433">
        <v>1.0</v>
      </c>
      <c r="S105" s="3"/>
      <c r="T105" s="3"/>
      <c r="U105" s="3"/>
      <c r="V105" s="3"/>
      <c r="W105" s="3"/>
      <c r="X105" s="3"/>
      <c r="Y105" s="3"/>
      <c r="Z105" s="3"/>
    </row>
    <row r="106" ht="15.75" customHeight="1">
      <c r="A106" s="3"/>
      <c r="B106" s="450">
        <v>94.0</v>
      </c>
      <c r="C106" s="433"/>
      <c r="D106" s="433" t="s">
        <v>21319</v>
      </c>
      <c r="E106" s="433"/>
      <c r="F106" s="434" t="s">
        <v>21320</v>
      </c>
      <c r="G106" s="538"/>
      <c r="H106" s="342" t="s">
        <v>29</v>
      </c>
      <c r="I106" s="433" t="s">
        <v>30</v>
      </c>
      <c r="J106" s="538"/>
      <c r="K106" s="433" t="s">
        <v>13317</v>
      </c>
      <c r="L106" s="538"/>
      <c r="M106" s="433" t="s">
        <v>21199</v>
      </c>
      <c r="N106" s="538"/>
      <c r="O106" s="538"/>
      <c r="P106" s="538"/>
      <c r="Q106" s="433" t="s">
        <v>388</v>
      </c>
      <c r="R106" s="433">
        <v>1.0</v>
      </c>
      <c r="S106" s="3"/>
      <c r="T106" s="3"/>
      <c r="U106" s="3"/>
      <c r="V106" s="3"/>
      <c r="W106" s="3"/>
      <c r="X106" s="3"/>
      <c r="Y106" s="3"/>
      <c r="Z106" s="3"/>
    </row>
    <row r="107" ht="15.75" customHeight="1">
      <c r="A107" s="3"/>
      <c r="B107" s="552">
        <v>95.0</v>
      </c>
      <c r="C107" s="433"/>
      <c r="D107" s="433" t="s">
        <v>21321</v>
      </c>
      <c r="E107" s="433"/>
      <c r="F107" s="434" t="s">
        <v>21322</v>
      </c>
      <c r="G107" s="433"/>
      <c r="H107" s="342" t="s">
        <v>29</v>
      </c>
      <c r="I107" s="433" t="s">
        <v>30</v>
      </c>
      <c r="J107" s="433"/>
      <c r="K107" s="433" t="s">
        <v>30</v>
      </c>
      <c r="L107" s="433"/>
      <c r="M107" s="433" t="s">
        <v>21199</v>
      </c>
      <c r="N107" s="433" t="s">
        <v>21323</v>
      </c>
      <c r="O107" s="433" t="s">
        <v>21324</v>
      </c>
      <c r="P107" s="433">
        <v>2005.0</v>
      </c>
      <c r="Q107" s="433" t="s">
        <v>388</v>
      </c>
      <c r="R107" s="433">
        <v>1.0</v>
      </c>
      <c r="S107" s="3"/>
      <c r="T107" s="3"/>
      <c r="U107" s="3"/>
      <c r="V107" s="3"/>
      <c r="W107" s="3"/>
      <c r="X107" s="3"/>
      <c r="Y107" s="3"/>
      <c r="Z107" s="3"/>
    </row>
    <row r="108" ht="15.75" customHeight="1">
      <c r="A108" s="3"/>
      <c r="B108" s="450">
        <v>96.0</v>
      </c>
      <c r="C108" s="538"/>
      <c r="D108" s="538"/>
      <c r="E108" s="538"/>
      <c r="F108" s="434" t="s">
        <v>21325</v>
      </c>
      <c r="G108" s="538"/>
      <c r="H108" s="342" t="s">
        <v>29</v>
      </c>
      <c r="I108" s="433" t="s">
        <v>30</v>
      </c>
      <c r="J108" s="538"/>
      <c r="K108" s="433" t="s">
        <v>13317</v>
      </c>
      <c r="L108" s="538"/>
      <c r="M108" s="538"/>
      <c r="N108" s="433" t="s">
        <v>21326</v>
      </c>
      <c r="O108" s="538"/>
      <c r="P108" s="538"/>
      <c r="Q108" s="433" t="s">
        <v>388</v>
      </c>
      <c r="R108" s="433">
        <v>1.0</v>
      </c>
      <c r="S108" s="3"/>
      <c r="T108" s="3"/>
      <c r="U108" s="3"/>
      <c r="V108" s="3"/>
      <c r="W108" s="3"/>
      <c r="X108" s="3"/>
      <c r="Y108" s="3"/>
      <c r="Z108" s="3"/>
    </row>
    <row r="109" ht="15.75" customHeight="1">
      <c r="A109" s="3"/>
      <c r="B109" s="552">
        <v>97.0</v>
      </c>
      <c r="C109" s="433"/>
      <c r="D109" s="433" t="s">
        <v>21327</v>
      </c>
      <c r="E109" s="433"/>
      <c r="F109" s="434" t="s">
        <v>21328</v>
      </c>
      <c r="G109" s="433" t="s">
        <v>20948</v>
      </c>
      <c r="H109" s="342" t="s">
        <v>29</v>
      </c>
      <c r="I109" s="433" t="s">
        <v>30</v>
      </c>
      <c r="J109" s="433"/>
      <c r="K109" s="433" t="s">
        <v>30</v>
      </c>
      <c r="L109" s="433"/>
      <c r="M109" s="433" t="s">
        <v>21329</v>
      </c>
      <c r="N109" s="433" t="s">
        <v>21330</v>
      </c>
      <c r="O109" s="433" t="s">
        <v>10148</v>
      </c>
      <c r="P109" s="433">
        <v>2009.0</v>
      </c>
      <c r="Q109" s="433" t="s">
        <v>388</v>
      </c>
      <c r="R109" s="433">
        <v>1.0</v>
      </c>
      <c r="S109" s="3"/>
      <c r="T109" s="3"/>
      <c r="U109" s="3"/>
      <c r="V109" s="3"/>
      <c r="W109" s="3"/>
      <c r="X109" s="3"/>
      <c r="Y109" s="3"/>
      <c r="Z109" s="3"/>
    </row>
    <row r="110" ht="15.75" customHeight="1">
      <c r="A110" s="3"/>
      <c r="B110" s="450">
        <v>98.0</v>
      </c>
      <c r="C110" s="433"/>
      <c r="D110" s="433" t="s">
        <v>21331</v>
      </c>
      <c r="E110" s="433"/>
      <c r="F110" s="434" t="s">
        <v>21332</v>
      </c>
      <c r="G110" s="433" t="s">
        <v>20948</v>
      </c>
      <c r="H110" s="342" t="s">
        <v>29</v>
      </c>
      <c r="I110" s="433" t="s">
        <v>30</v>
      </c>
      <c r="J110" s="433"/>
      <c r="K110" s="433" t="s">
        <v>30</v>
      </c>
      <c r="L110" s="433"/>
      <c r="M110" s="433" t="s">
        <v>19100</v>
      </c>
      <c r="N110" s="433" t="s">
        <v>21333</v>
      </c>
      <c r="O110" s="433" t="s">
        <v>10148</v>
      </c>
      <c r="P110" s="433">
        <v>2013.0</v>
      </c>
      <c r="Q110" s="433" t="s">
        <v>388</v>
      </c>
      <c r="R110" s="433">
        <v>1.0</v>
      </c>
      <c r="S110" s="3"/>
      <c r="T110" s="3"/>
      <c r="U110" s="3"/>
      <c r="V110" s="3"/>
      <c r="W110" s="3"/>
      <c r="X110" s="3"/>
      <c r="Y110" s="3"/>
      <c r="Z110" s="3"/>
    </row>
    <row r="111" ht="15.75" customHeight="1">
      <c r="A111" s="3"/>
      <c r="B111" s="552">
        <v>99.0</v>
      </c>
      <c r="C111" s="433"/>
      <c r="D111" s="433" t="s">
        <v>21334</v>
      </c>
      <c r="E111" s="433"/>
      <c r="F111" s="434" t="s">
        <v>21335</v>
      </c>
      <c r="G111" s="433"/>
      <c r="H111" s="342" t="s">
        <v>29</v>
      </c>
      <c r="I111" s="433" t="s">
        <v>30</v>
      </c>
      <c r="J111" s="433"/>
      <c r="K111" s="433" t="s">
        <v>30</v>
      </c>
      <c r="L111" s="433"/>
      <c r="M111" s="433" t="s">
        <v>21199</v>
      </c>
      <c r="N111" s="433" t="s">
        <v>21336</v>
      </c>
      <c r="O111" s="433" t="s">
        <v>21337</v>
      </c>
      <c r="P111" s="433">
        <v>1998.0</v>
      </c>
      <c r="Q111" s="433" t="s">
        <v>388</v>
      </c>
      <c r="R111" s="433">
        <v>1.0</v>
      </c>
      <c r="S111" s="3"/>
      <c r="T111" s="3"/>
      <c r="U111" s="3"/>
      <c r="V111" s="3"/>
      <c r="W111" s="3"/>
      <c r="X111" s="3"/>
      <c r="Y111" s="3"/>
      <c r="Z111" s="3"/>
    </row>
    <row r="112" ht="15.75" customHeight="1">
      <c r="A112" s="3"/>
      <c r="B112" s="450">
        <v>100.0</v>
      </c>
      <c r="C112" s="433" t="s">
        <v>21338</v>
      </c>
      <c r="D112" s="433" t="s">
        <v>21143</v>
      </c>
      <c r="E112" s="433"/>
      <c r="F112" s="434" t="s">
        <v>21339</v>
      </c>
      <c r="G112" s="433" t="s">
        <v>20948</v>
      </c>
      <c r="H112" s="342" t="s">
        <v>29</v>
      </c>
      <c r="I112" s="433" t="s">
        <v>30</v>
      </c>
      <c r="J112" s="433"/>
      <c r="K112" s="433" t="s">
        <v>30</v>
      </c>
      <c r="L112" s="433"/>
      <c r="M112" s="433" t="s">
        <v>21340</v>
      </c>
      <c r="N112" s="433" t="s">
        <v>21341</v>
      </c>
      <c r="O112" s="433" t="s">
        <v>21342</v>
      </c>
      <c r="P112" s="433">
        <v>2001.0</v>
      </c>
      <c r="Q112" s="433" t="s">
        <v>388</v>
      </c>
      <c r="R112" s="433">
        <v>4.0</v>
      </c>
      <c r="S112" s="3"/>
      <c r="T112" s="3"/>
      <c r="U112" s="3"/>
      <c r="V112" s="3"/>
      <c r="W112" s="3"/>
      <c r="X112" s="3"/>
      <c r="Y112" s="3"/>
      <c r="Z112" s="3"/>
    </row>
    <row r="113" ht="15.75" customHeight="1">
      <c r="A113" s="3"/>
      <c r="B113" s="552">
        <v>101.0</v>
      </c>
      <c r="C113" s="433"/>
      <c r="D113" s="433" t="s">
        <v>21143</v>
      </c>
      <c r="E113" s="433"/>
      <c r="F113" s="434" t="s">
        <v>21343</v>
      </c>
      <c r="G113" s="433" t="s">
        <v>20948</v>
      </c>
      <c r="H113" s="342" t="s">
        <v>29</v>
      </c>
      <c r="I113" s="433" t="s">
        <v>30</v>
      </c>
      <c r="J113" s="433"/>
      <c r="K113" s="433" t="s">
        <v>30</v>
      </c>
      <c r="L113" s="433"/>
      <c r="M113" s="433" t="s">
        <v>21344</v>
      </c>
      <c r="N113" s="433" t="s">
        <v>21345</v>
      </c>
      <c r="O113" s="433" t="s">
        <v>21342</v>
      </c>
      <c r="P113" s="433">
        <v>2002.0</v>
      </c>
      <c r="Q113" s="433" t="s">
        <v>388</v>
      </c>
      <c r="R113" s="433">
        <v>3.0</v>
      </c>
      <c r="S113" s="3"/>
      <c r="T113" s="3"/>
      <c r="U113" s="3"/>
      <c r="V113" s="3"/>
      <c r="W113" s="3"/>
      <c r="X113" s="3"/>
      <c r="Y113" s="3"/>
      <c r="Z113" s="3"/>
    </row>
    <row r="114" ht="15.75" customHeight="1">
      <c r="A114" s="3"/>
      <c r="B114" s="450">
        <v>102.0</v>
      </c>
      <c r="C114" s="433"/>
      <c r="D114" s="433" t="s">
        <v>21143</v>
      </c>
      <c r="E114" s="433"/>
      <c r="F114" s="434" t="s">
        <v>21346</v>
      </c>
      <c r="G114" s="433" t="s">
        <v>20948</v>
      </c>
      <c r="H114" s="342" t="s">
        <v>29</v>
      </c>
      <c r="I114" s="433" t="s">
        <v>30</v>
      </c>
      <c r="J114" s="433"/>
      <c r="K114" s="433" t="s">
        <v>30</v>
      </c>
      <c r="L114" s="433"/>
      <c r="M114" s="433" t="s">
        <v>21347</v>
      </c>
      <c r="N114" s="433" t="s">
        <v>21345</v>
      </c>
      <c r="O114" s="433" t="s">
        <v>21342</v>
      </c>
      <c r="P114" s="433">
        <v>2003.0</v>
      </c>
      <c r="Q114" s="433" t="s">
        <v>388</v>
      </c>
      <c r="R114" s="433">
        <v>4.0</v>
      </c>
      <c r="S114" s="3"/>
      <c r="T114" s="3"/>
      <c r="U114" s="3"/>
      <c r="V114" s="3"/>
      <c r="W114" s="3"/>
      <c r="X114" s="3"/>
      <c r="Y114" s="3"/>
      <c r="Z114" s="3"/>
    </row>
    <row r="115" ht="15.75" customHeight="1">
      <c r="A115" s="3"/>
      <c r="B115" s="552">
        <v>103.0</v>
      </c>
      <c r="C115" s="433"/>
      <c r="D115" s="433" t="s">
        <v>21143</v>
      </c>
      <c r="E115" s="433"/>
      <c r="F115" s="434" t="s">
        <v>21348</v>
      </c>
      <c r="G115" s="433" t="s">
        <v>20948</v>
      </c>
      <c r="H115" s="342" t="s">
        <v>29</v>
      </c>
      <c r="I115" s="433" t="s">
        <v>30</v>
      </c>
      <c r="J115" s="433"/>
      <c r="K115" s="433" t="s">
        <v>30</v>
      </c>
      <c r="L115" s="433"/>
      <c r="M115" s="433" t="s">
        <v>21340</v>
      </c>
      <c r="N115" s="433" t="s">
        <v>21345</v>
      </c>
      <c r="O115" s="433" t="s">
        <v>21342</v>
      </c>
      <c r="P115" s="433">
        <v>2004.0</v>
      </c>
      <c r="Q115" s="433" t="s">
        <v>388</v>
      </c>
      <c r="R115" s="433">
        <v>4.0</v>
      </c>
      <c r="S115" s="3"/>
      <c r="T115" s="3"/>
      <c r="U115" s="3"/>
      <c r="V115" s="3"/>
      <c r="W115" s="3"/>
      <c r="X115" s="3"/>
      <c r="Y115" s="3"/>
      <c r="Z115" s="3"/>
    </row>
    <row r="116" ht="15.75" customHeight="1">
      <c r="A116" s="3"/>
      <c r="B116" s="450">
        <v>104.0</v>
      </c>
      <c r="C116" s="433"/>
      <c r="D116" s="433" t="s">
        <v>21143</v>
      </c>
      <c r="E116" s="433"/>
      <c r="F116" s="434" t="s">
        <v>21349</v>
      </c>
      <c r="G116" s="433" t="s">
        <v>20948</v>
      </c>
      <c r="H116" s="342" t="s">
        <v>29</v>
      </c>
      <c r="I116" s="433" t="s">
        <v>30</v>
      </c>
      <c r="J116" s="433"/>
      <c r="K116" s="433" t="s">
        <v>30</v>
      </c>
      <c r="L116" s="433"/>
      <c r="M116" s="433" t="s">
        <v>21340</v>
      </c>
      <c r="N116" s="433" t="s">
        <v>21345</v>
      </c>
      <c r="O116" s="433" t="s">
        <v>21342</v>
      </c>
      <c r="P116" s="433">
        <v>2005.0</v>
      </c>
      <c r="Q116" s="433" t="s">
        <v>388</v>
      </c>
      <c r="R116" s="433">
        <v>5.0</v>
      </c>
      <c r="S116" s="3"/>
      <c r="T116" s="3"/>
      <c r="U116" s="3"/>
      <c r="V116" s="3"/>
      <c r="W116" s="3"/>
      <c r="X116" s="3"/>
      <c r="Y116" s="3"/>
      <c r="Z116" s="3"/>
    </row>
    <row r="117" ht="15.75" customHeight="1">
      <c r="A117" s="3"/>
      <c r="B117" s="552">
        <v>105.0</v>
      </c>
      <c r="C117" s="433"/>
      <c r="D117" s="433" t="s">
        <v>21143</v>
      </c>
      <c r="E117" s="433"/>
      <c r="F117" s="434" t="s">
        <v>21350</v>
      </c>
      <c r="G117" s="433" t="s">
        <v>20948</v>
      </c>
      <c r="H117" s="342" t="s">
        <v>29</v>
      </c>
      <c r="I117" s="433" t="s">
        <v>30</v>
      </c>
      <c r="J117" s="433"/>
      <c r="K117" s="433" t="s">
        <v>30</v>
      </c>
      <c r="L117" s="433"/>
      <c r="M117" s="433" t="s">
        <v>21340</v>
      </c>
      <c r="N117" s="433" t="s">
        <v>21345</v>
      </c>
      <c r="O117" s="433" t="s">
        <v>21342</v>
      </c>
      <c r="P117" s="433">
        <v>2006.0</v>
      </c>
      <c r="Q117" s="433" t="s">
        <v>388</v>
      </c>
      <c r="R117" s="433">
        <v>3.0</v>
      </c>
      <c r="S117" s="3"/>
      <c r="T117" s="3"/>
      <c r="U117" s="3"/>
      <c r="V117" s="3"/>
      <c r="W117" s="3"/>
      <c r="X117" s="3"/>
      <c r="Y117" s="3"/>
      <c r="Z117" s="3"/>
    </row>
    <row r="118" ht="15.75" customHeight="1">
      <c r="A118" s="3"/>
      <c r="B118" s="450">
        <v>106.0</v>
      </c>
      <c r="C118" s="433"/>
      <c r="D118" s="433" t="s">
        <v>21143</v>
      </c>
      <c r="E118" s="433"/>
      <c r="F118" s="434" t="s">
        <v>21351</v>
      </c>
      <c r="G118" s="433" t="s">
        <v>21352</v>
      </c>
      <c r="H118" s="342" t="s">
        <v>29</v>
      </c>
      <c r="I118" s="433" t="s">
        <v>30</v>
      </c>
      <c r="J118" s="433"/>
      <c r="K118" s="433" t="s">
        <v>30</v>
      </c>
      <c r="L118" s="433"/>
      <c r="M118" s="433" t="s">
        <v>21340</v>
      </c>
      <c r="N118" s="433" t="s">
        <v>21345</v>
      </c>
      <c r="O118" s="433" t="s">
        <v>21342</v>
      </c>
      <c r="P118" s="433">
        <v>2007.0</v>
      </c>
      <c r="Q118" s="433" t="s">
        <v>388</v>
      </c>
      <c r="R118" s="433">
        <v>2.0</v>
      </c>
      <c r="S118" s="3"/>
      <c r="T118" s="3"/>
      <c r="U118" s="3"/>
      <c r="V118" s="3"/>
      <c r="W118" s="3"/>
      <c r="X118" s="3"/>
      <c r="Y118" s="3"/>
      <c r="Z118" s="3"/>
    </row>
    <row r="119" ht="15.75" customHeight="1">
      <c r="A119" s="3"/>
      <c r="B119" s="552">
        <v>107.0</v>
      </c>
      <c r="C119" s="433"/>
      <c r="D119" s="433" t="s">
        <v>21353</v>
      </c>
      <c r="E119" s="433"/>
      <c r="F119" s="434" t="s">
        <v>21354</v>
      </c>
      <c r="G119" s="433" t="s">
        <v>20948</v>
      </c>
      <c r="H119" s="342" t="s">
        <v>29</v>
      </c>
      <c r="I119" s="433" t="s">
        <v>30</v>
      </c>
      <c r="J119" s="433"/>
      <c r="K119" s="433" t="s">
        <v>30</v>
      </c>
      <c r="L119" s="433"/>
      <c r="M119" s="433" t="s">
        <v>21199</v>
      </c>
      <c r="N119" s="433"/>
      <c r="O119" s="433" t="s">
        <v>21355</v>
      </c>
      <c r="P119" s="433">
        <v>2002.0</v>
      </c>
      <c r="Q119" s="433" t="s">
        <v>388</v>
      </c>
      <c r="R119" s="433">
        <v>4.0</v>
      </c>
      <c r="S119" s="3"/>
      <c r="T119" s="3"/>
      <c r="U119" s="3"/>
      <c r="V119" s="3"/>
      <c r="W119" s="3"/>
      <c r="X119" s="3"/>
      <c r="Y119" s="3"/>
      <c r="Z119" s="3"/>
    </row>
    <row r="120" ht="15.75" customHeight="1">
      <c r="A120" s="3"/>
      <c r="B120" s="450">
        <v>108.0</v>
      </c>
      <c r="C120" s="433"/>
      <c r="D120" s="433" t="s">
        <v>21356</v>
      </c>
      <c r="E120" s="433"/>
      <c r="F120" s="434" t="s">
        <v>21357</v>
      </c>
      <c r="G120" s="433" t="s">
        <v>20948</v>
      </c>
      <c r="H120" s="342" t="s">
        <v>29</v>
      </c>
      <c r="I120" s="433" t="s">
        <v>30</v>
      </c>
      <c r="J120" s="433"/>
      <c r="K120" s="433" t="s">
        <v>38</v>
      </c>
      <c r="L120" s="433"/>
      <c r="M120" s="433" t="s">
        <v>21199</v>
      </c>
      <c r="N120" s="433" t="s">
        <v>21358</v>
      </c>
      <c r="O120" s="433" t="s">
        <v>54</v>
      </c>
      <c r="P120" s="433">
        <v>2005.0</v>
      </c>
      <c r="Q120" s="433" t="s">
        <v>388</v>
      </c>
      <c r="R120" s="433">
        <v>1.0</v>
      </c>
      <c r="S120" s="3"/>
      <c r="T120" s="3"/>
      <c r="U120" s="3"/>
      <c r="V120" s="3"/>
      <c r="W120" s="3"/>
      <c r="X120" s="3"/>
      <c r="Y120" s="3"/>
      <c r="Z120" s="3"/>
    </row>
    <row r="121" ht="15.75" customHeight="1">
      <c r="A121" s="3"/>
      <c r="B121" s="552">
        <v>109.0</v>
      </c>
      <c r="C121" s="433"/>
      <c r="D121" s="433" t="s">
        <v>21293</v>
      </c>
      <c r="E121" s="433"/>
      <c r="F121" s="434" t="s">
        <v>21359</v>
      </c>
      <c r="G121" s="433"/>
      <c r="H121" s="342" t="s">
        <v>29</v>
      </c>
      <c r="I121" s="433" t="s">
        <v>30</v>
      </c>
      <c r="J121" s="433"/>
      <c r="K121" s="433" t="s">
        <v>30</v>
      </c>
      <c r="L121" s="433"/>
      <c r="M121" s="433" t="s">
        <v>21199</v>
      </c>
      <c r="N121" s="433" t="s">
        <v>21360</v>
      </c>
      <c r="O121" s="433" t="s">
        <v>21361</v>
      </c>
      <c r="P121" s="433">
        <v>2003.0</v>
      </c>
      <c r="Q121" s="433" t="s">
        <v>388</v>
      </c>
      <c r="R121" s="433">
        <v>1.0</v>
      </c>
      <c r="S121" s="3"/>
      <c r="T121" s="3"/>
      <c r="U121" s="3"/>
      <c r="V121" s="3"/>
      <c r="W121" s="3"/>
      <c r="X121" s="3"/>
      <c r="Y121" s="3"/>
      <c r="Z121" s="3"/>
    </row>
    <row r="122" ht="15.75" customHeight="1">
      <c r="A122" s="3"/>
      <c r="B122" s="450">
        <v>110.0</v>
      </c>
      <c r="C122" s="433"/>
      <c r="D122" s="433" t="s">
        <v>21362</v>
      </c>
      <c r="E122" s="433"/>
      <c r="F122" s="434" t="s">
        <v>21363</v>
      </c>
      <c r="G122" s="433"/>
      <c r="H122" s="342" t="s">
        <v>29</v>
      </c>
      <c r="I122" s="433" t="s">
        <v>30</v>
      </c>
      <c r="J122" s="433"/>
      <c r="K122" s="433" t="s">
        <v>30</v>
      </c>
      <c r="L122" s="433"/>
      <c r="M122" s="433" t="s">
        <v>21199</v>
      </c>
      <c r="N122" s="433"/>
      <c r="O122" s="433" t="s">
        <v>21364</v>
      </c>
      <c r="P122" s="433">
        <v>2006.0</v>
      </c>
      <c r="Q122" s="433" t="s">
        <v>388</v>
      </c>
      <c r="R122" s="433">
        <v>1.0</v>
      </c>
      <c r="S122" s="3"/>
      <c r="T122" s="3"/>
      <c r="U122" s="3"/>
      <c r="V122" s="3"/>
      <c r="W122" s="3"/>
      <c r="X122" s="3"/>
      <c r="Y122" s="3"/>
      <c r="Z122" s="3"/>
    </row>
    <row r="123" ht="15.75" customHeight="1">
      <c r="A123" s="3"/>
      <c r="B123" s="552">
        <v>111.0</v>
      </c>
      <c r="C123" s="433"/>
      <c r="D123" s="433" t="s">
        <v>21143</v>
      </c>
      <c r="E123" s="433"/>
      <c r="F123" s="434" t="s">
        <v>21365</v>
      </c>
      <c r="G123" s="433"/>
      <c r="H123" s="342" t="s">
        <v>29</v>
      </c>
      <c r="I123" s="433" t="s">
        <v>30</v>
      </c>
      <c r="J123" s="433"/>
      <c r="K123" s="433" t="s">
        <v>30</v>
      </c>
      <c r="L123" s="433"/>
      <c r="M123" s="433" t="s">
        <v>21199</v>
      </c>
      <c r="N123" s="433" t="s">
        <v>21366</v>
      </c>
      <c r="O123" s="433" t="s">
        <v>21367</v>
      </c>
      <c r="P123" s="433">
        <v>2004.0</v>
      </c>
      <c r="Q123" s="433" t="s">
        <v>388</v>
      </c>
      <c r="R123" s="433">
        <v>1.0</v>
      </c>
      <c r="S123" s="3"/>
      <c r="T123" s="3"/>
      <c r="U123" s="3"/>
      <c r="V123" s="3"/>
      <c r="W123" s="3"/>
      <c r="X123" s="3"/>
      <c r="Y123" s="3"/>
      <c r="Z123" s="3"/>
    </row>
    <row r="124" ht="15.75" customHeight="1">
      <c r="A124" s="3"/>
      <c r="B124" s="450">
        <v>112.0</v>
      </c>
      <c r="C124" s="433"/>
      <c r="D124" s="433" t="s">
        <v>21368</v>
      </c>
      <c r="E124" s="433"/>
      <c r="F124" s="434" t="s">
        <v>21369</v>
      </c>
      <c r="G124" s="433"/>
      <c r="H124" s="342" t="s">
        <v>29</v>
      </c>
      <c r="I124" s="433" t="s">
        <v>30</v>
      </c>
      <c r="J124" s="433"/>
      <c r="K124" s="433" t="s">
        <v>30</v>
      </c>
      <c r="L124" s="433"/>
      <c r="M124" s="433" t="s">
        <v>21199</v>
      </c>
      <c r="N124" s="433" t="s">
        <v>21370</v>
      </c>
      <c r="O124" s="433" t="s">
        <v>21371</v>
      </c>
      <c r="P124" s="433">
        <v>2008.0</v>
      </c>
      <c r="Q124" s="433" t="s">
        <v>388</v>
      </c>
      <c r="R124" s="433">
        <v>1.0</v>
      </c>
      <c r="S124" s="3"/>
      <c r="T124" s="3"/>
      <c r="U124" s="3"/>
      <c r="V124" s="3"/>
      <c r="W124" s="3"/>
      <c r="X124" s="3"/>
      <c r="Y124" s="3"/>
      <c r="Z124" s="3"/>
    </row>
    <row r="125" ht="15.75" customHeight="1">
      <c r="A125" s="3"/>
      <c r="B125" s="552">
        <v>113.0</v>
      </c>
      <c r="C125" s="433"/>
      <c r="D125" s="433" t="s">
        <v>21372</v>
      </c>
      <c r="E125" s="433"/>
      <c r="F125" s="434" t="s">
        <v>21373</v>
      </c>
      <c r="G125" s="433"/>
      <c r="H125" s="342" t="s">
        <v>29</v>
      </c>
      <c r="I125" s="433" t="s">
        <v>30</v>
      </c>
      <c r="J125" s="433"/>
      <c r="K125" s="433" t="s">
        <v>30</v>
      </c>
      <c r="L125" s="433"/>
      <c r="M125" s="433" t="s">
        <v>21199</v>
      </c>
      <c r="N125" s="433" t="s">
        <v>21374</v>
      </c>
      <c r="O125" s="433" t="s">
        <v>21375</v>
      </c>
      <c r="P125" s="433">
        <v>2009.0</v>
      </c>
      <c r="Q125" s="433" t="s">
        <v>388</v>
      </c>
      <c r="R125" s="433">
        <v>1.0</v>
      </c>
      <c r="S125" s="3"/>
      <c r="T125" s="3"/>
      <c r="U125" s="3"/>
      <c r="V125" s="3"/>
      <c r="W125" s="3"/>
      <c r="X125" s="3"/>
      <c r="Y125" s="3"/>
      <c r="Z125" s="3"/>
    </row>
    <row r="126" ht="15.75" customHeight="1">
      <c r="A126" s="3"/>
      <c r="B126" s="450">
        <v>114.0</v>
      </c>
      <c r="C126" s="433"/>
      <c r="D126" s="433" t="s">
        <v>21368</v>
      </c>
      <c r="E126" s="433"/>
      <c r="F126" s="434" t="s">
        <v>21376</v>
      </c>
      <c r="G126" s="433"/>
      <c r="H126" s="342" t="s">
        <v>29</v>
      </c>
      <c r="I126" s="433" t="s">
        <v>30</v>
      </c>
      <c r="J126" s="433"/>
      <c r="K126" s="433" t="s">
        <v>30</v>
      </c>
      <c r="L126" s="433"/>
      <c r="M126" s="433" t="s">
        <v>19100</v>
      </c>
      <c r="N126" s="433" t="s">
        <v>21377</v>
      </c>
      <c r="O126" s="433" t="s">
        <v>21364</v>
      </c>
      <c r="P126" s="433">
        <v>2006.0</v>
      </c>
      <c r="Q126" s="433" t="s">
        <v>388</v>
      </c>
      <c r="R126" s="433">
        <v>1.0</v>
      </c>
      <c r="S126" s="3"/>
      <c r="T126" s="3"/>
      <c r="U126" s="3"/>
      <c r="V126" s="3"/>
      <c r="W126" s="3"/>
      <c r="X126" s="3"/>
      <c r="Y126" s="3"/>
      <c r="Z126" s="3"/>
    </row>
    <row r="127" ht="15.75" customHeight="1">
      <c r="A127" s="3"/>
      <c r="B127" s="552">
        <v>115.0</v>
      </c>
      <c r="C127" s="433"/>
      <c r="D127" s="433" t="s">
        <v>21378</v>
      </c>
      <c r="E127" s="433"/>
      <c r="F127" s="434" t="s">
        <v>21379</v>
      </c>
      <c r="G127" s="433"/>
      <c r="H127" s="342" t="s">
        <v>29</v>
      </c>
      <c r="I127" s="433" t="s">
        <v>30</v>
      </c>
      <c r="J127" s="433"/>
      <c r="K127" s="433" t="s">
        <v>38</v>
      </c>
      <c r="L127" s="433"/>
      <c r="M127" s="433" t="s">
        <v>21199</v>
      </c>
      <c r="N127" s="433" t="s">
        <v>21380</v>
      </c>
      <c r="O127" s="433" t="s">
        <v>21381</v>
      </c>
      <c r="P127" s="433">
        <v>2006.0</v>
      </c>
      <c r="Q127" s="433" t="s">
        <v>388</v>
      </c>
      <c r="R127" s="433">
        <v>1.0</v>
      </c>
      <c r="S127" s="3"/>
      <c r="T127" s="3"/>
      <c r="U127" s="3"/>
      <c r="V127" s="3"/>
      <c r="W127" s="3"/>
      <c r="X127" s="3"/>
      <c r="Y127" s="3"/>
      <c r="Z127" s="3"/>
    </row>
    <row r="128" ht="15.75" customHeight="1">
      <c r="A128" s="3"/>
      <c r="B128" s="450">
        <v>116.0</v>
      </c>
      <c r="C128" s="433"/>
      <c r="D128" s="433" t="s">
        <v>21382</v>
      </c>
      <c r="E128" s="433"/>
      <c r="F128" s="434" t="s">
        <v>21383</v>
      </c>
      <c r="G128" s="433"/>
      <c r="H128" s="342" t="s">
        <v>29</v>
      </c>
      <c r="I128" s="433" t="s">
        <v>30</v>
      </c>
      <c r="J128" s="433"/>
      <c r="K128" s="433" t="s">
        <v>30</v>
      </c>
      <c r="L128" s="433"/>
      <c r="M128" s="433"/>
      <c r="N128" s="433" t="s">
        <v>21384</v>
      </c>
      <c r="O128" s="433" t="s">
        <v>21385</v>
      </c>
      <c r="P128" s="433">
        <v>2007.0</v>
      </c>
      <c r="Q128" s="433" t="s">
        <v>388</v>
      </c>
      <c r="R128" s="433">
        <v>1.0</v>
      </c>
      <c r="S128" s="3"/>
      <c r="T128" s="3"/>
      <c r="U128" s="3"/>
      <c r="V128" s="3"/>
      <c r="W128" s="3"/>
      <c r="X128" s="3"/>
      <c r="Y128" s="3"/>
      <c r="Z128" s="3"/>
    </row>
    <row r="129" ht="15.75" customHeight="1">
      <c r="A129" s="3"/>
      <c r="B129" s="552">
        <v>117.0</v>
      </c>
      <c r="C129" s="433"/>
      <c r="D129" s="433" t="s">
        <v>21386</v>
      </c>
      <c r="E129" s="433"/>
      <c r="F129" s="434" t="s">
        <v>21387</v>
      </c>
      <c r="G129" s="433"/>
      <c r="H129" s="342" t="s">
        <v>29</v>
      </c>
      <c r="I129" s="433" t="s">
        <v>30</v>
      </c>
      <c r="J129" s="433"/>
      <c r="K129" s="433" t="s">
        <v>38</v>
      </c>
      <c r="L129" s="433"/>
      <c r="M129" s="433" t="s">
        <v>21388</v>
      </c>
      <c r="N129" s="433"/>
      <c r="O129" s="433" t="s">
        <v>21389</v>
      </c>
      <c r="P129" s="433">
        <v>2011.0</v>
      </c>
      <c r="Q129" s="433" t="s">
        <v>388</v>
      </c>
      <c r="R129" s="433">
        <v>1.0</v>
      </c>
      <c r="S129" s="3"/>
      <c r="T129" s="3"/>
      <c r="U129" s="3"/>
      <c r="V129" s="3"/>
      <c r="W129" s="3"/>
      <c r="X129" s="3"/>
      <c r="Y129" s="3"/>
      <c r="Z129" s="3"/>
    </row>
    <row r="130" ht="15.75" customHeight="1">
      <c r="A130" s="3"/>
      <c r="B130" s="450">
        <v>118.0</v>
      </c>
      <c r="C130" s="433"/>
      <c r="D130" s="433" t="s">
        <v>21390</v>
      </c>
      <c r="E130" s="433"/>
      <c r="F130" s="434" t="s">
        <v>21391</v>
      </c>
      <c r="G130" s="433"/>
      <c r="H130" s="342" t="s">
        <v>29</v>
      </c>
      <c r="I130" s="433" t="s">
        <v>30</v>
      </c>
      <c r="J130" s="433"/>
      <c r="K130" s="433" t="s">
        <v>30</v>
      </c>
      <c r="L130" s="433"/>
      <c r="M130" s="433" t="s">
        <v>21252</v>
      </c>
      <c r="N130" s="433" t="s">
        <v>21392</v>
      </c>
      <c r="O130" s="433" t="s">
        <v>1271</v>
      </c>
      <c r="P130" s="433">
        <v>2008.0</v>
      </c>
      <c r="Q130" s="433" t="s">
        <v>388</v>
      </c>
      <c r="R130" s="433">
        <v>1.0</v>
      </c>
      <c r="S130" s="3"/>
      <c r="T130" s="3"/>
      <c r="U130" s="3"/>
      <c r="V130" s="3"/>
      <c r="W130" s="3"/>
      <c r="X130" s="3"/>
      <c r="Y130" s="3"/>
      <c r="Z130" s="3"/>
    </row>
    <row r="131" ht="15.75" customHeight="1">
      <c r="A131" s="3"/>
      <c r="B131" s="552">
        <v>119.0</v>
      </c>
      <c r="C131" s="433"/>
      <c r="D131" s="433" t="s">
        <v>21393</v>
      </c>
      <c r="E131" s="433"/>
      <c r="F131" s="434" t="s">
        <v>21394</v>
      </c>
      <c r="G131" s="433"/>
      <c r="H131" s="342" t="s">
        <v>29</v>
      </c>
      <c r="I131" s="433" t="s">
        <v>30</v>
      </c>
      <c r="J131" s="433"/>
      <c r="K131" s="433" t="s">
        <v>30</v>
      </c>
      <c r="L131" s="433"/>
      <c r="M131" s="433" t="s">
        <v>21199</v>
      </c>
      <c r="N131" s="433" t="s">
        <v>21395</v>
      </c>
      <c r="O131" s="433" t="s">
        <v>4179</v>
      </c>
      <c r="P131" s="433">
        <v>2010.0</v>
      </c>
      <c r="Q131" s="433" t="s">
        <v>388</v>
      </c>
      <c r="R131" s="433">
        <v>1.0</v>
      </c>
      <c r="S131" s="3"/>
      <c r="T131" s="3"/>
      <c r="U131" s="3"/>
      <c r="V131" s="3"/>
      <c r="W131" s="3"/>
      <c r="X131" s="3"/>
      <c r="Y131" s="3"/>
      <c r="Z131" s="3"/>
    </row>
    <row r="132" ht="15.75" customHeight="1">
      <c r="A132" s="3"/>
      <c r="B132" s="450">
        <v>120.0</v>
      </c>
      <c r="C132" s="433"/>
      <c r="D132" s="433" t="s">
        <v>21396</v>
      </c>
      <c r="E132" s="433"/>
      <c r="F132" s="434" t="s">
        <v>21397</v>
      </c>
      <c r="G132" s="433"/>
      <c r="H132" s="342" t="s">
        <v>29</v>
      </c>
      <c r="I132" s="433" t="s">
        <v>30</v>
      </c>
      <c r="J132" s="433"/>
      <c r="K132" s="433" t="s">
        <v>30</v>
      </c>
      <c r="L132" s="433"/>
      <c r="M132" s="433" t="s">
        <v>21199</v>
      </c>
      <c r="N132" s="433" t="s">
        <v>21398</v>
      </c>
      <c r="O132" s="433" t="s">
        <v>21399</v>
      </c>
      <c r="P132" s="433">
        <v>2005.0</v>
      </c>
      <c r="Q132" s="433" t="s">
        <v>388</v>
      </c>
      <c r="R132" s="433">
        <v>1.0</v>
      </c>
      <c r="S132" s="3"/>
      <c r="T132" s="3"/>
      <c r="U132" s="3"/>
      <c r="V132" s="3"/>
      <c r="W132" s="3"/>
      <c r="X132" s="3"/>
      <c r="Y132" s="3"/>
      <c r="Z132" s="3"/>
    </row>
    <row r="133" ht="15.75" customHeight="1">
      <c r="A133" s="3"/>
      <c r="B133" s="552">
        <v>121.0</v>
      </c>
      <c r="C133" s="433"/>
      <c r="D133" s="433" t="s">
        <v>21400</v>
      </c>
      <c r="E133" s="433"/>
      <c r="F133" s="434" t="s">
        <v>21401</v>
      </c>
      <c r="G133" s="433"/>
      <c r="H133" s="342" t="s">
        <v>29</v>
      </c>
      <c r="I133" s="433" t="s">
        <v>30</v>
      </c>
      <c r="J133" s="433"/>
      <c r="K133" s="433" t="s">
        <v>30</v>
      </c>
      <c r="L133" s="433"/>
      <c r="M133" s="433" t="s">
        <v>21402</v>
      </c>
      <c r="N133" s="538"/>
      <c r="O133" s="433" t="s">
        <v>21403</v>
      </c>
      <c r="P133" s="433">
        <v>2011.0</v>
      </c>
      <c r="Q133" s="433" t="s">
        <v>388</v>
      </c>
      <c r="R133" s="433">
        <v>1.0</v>
      </c>
      <c r="S133" s="3"/>
      <c r="T133" s="3"/>
      <c r="U133" s="3"/>
      <c r="V133" s="3"/>
      <c r="W133" s="3"/>
      <c r="X133" s="3"/>
      <c r="Y133" s="3"/>
      <c r="Z133" s="3"/>
    </row>
    <row r="134" ht="15.75" customHeight="1">
      <c r="A134" s="3"/>
      <c r="B134" s="450">
        <v>122.0</v>
      </c>
      <c r="C134" s="433"/>
      <c r="D134" s="433" t="s">
        <v>21404</v>
      </c>
      <c r="E134" s="433"/>
      <c r="F134" s="434" t="s">
        <v>21405</v>
      </c>
      <c r="G134" s="433" t="s">
        <v>20948</v>
      </c>
      <c r="H134" s="342" t="s">
        <v>29</v>
      </c>
      <c r="I134" s="433" t="s">
        <v>30</v>
      </c>
      <c r="J134" s="433"/>
      <c r="K134" s="433" t="s">
        <v>30</v>
      </c>
      <c r="L134" s="433"/>
      <c r="M134" s="433" t="s">
        <v>21199</v>
      </c>
      <c r="N134" s="538"/>
      <c r="O134" s="433" t="s">
        <v>21406</v>
      </c>
      <c r="P134" s="433">
        <v>2005.0</v>
      </c>
      <c r="Q134" s="433" t="s">
        <v>388</v>
      </c>
      <c r="R134" s="433">
        <v>1.0</v>
      </c>
      <c r="S134" s="3"/>
      <c r="T134" s="3"/>
      <c r="U134" s="3"/>
      <c r="V134" s="3"/>
      <c r="W134" s="3"/>
      <c r="X134" s="3"/>
      <c r="Y134" s="3"/>
      <c r="Z134" s="3"/>
    </row>
    <row r="135" ht="15.75" customHeight="1">
      <c r="A135" s="3"/>
      <c r="B135" s="552">
        <v>123.0</v>
      </c>
      <c r="C135" s="433"/>
      <c r="D135" s="433" t="s">
        <v>21378</v>
      </c>
      <c r="E135" s="433"/>
      <c r="F135" s="434" t="s">
        <v>21407</v>
      </c>
      <c r="G135" s="433"/>
      <c r="H135" s="342" t="s">
        <v>29</v>
      </c>
      <c r="I135" s="433" t="s">
        <v>30</v>
      </c>
      <c r="J135" s="433"/>
      <c r="K135" s="433" t="s">
        <v>21408</v>
      </c>
      <c r="L135" s="433"/>
      <c r="M135" s="433" t="s">
        <v>21409</v>
      </c>
      <c r="N135" s="433" t="s">
        <v>21410</v>
      </c>
      <c r="O135" s="433" t="s">
        <v>21411</v>
      </c>
      <c r="P135" s="433">
        <v>2009.0</v>
      </c>
      <c r="Q135" s="433" t="s">
        <v>388</v>
      </c>
      <c r="R135" s="433">
        <v>1.0</v>
      </c>
      <c r="S135" s="3"/>
      <c r="T135" s="3"/>
      <c r="U135" s="3"/>
      <c r="V135" s="3"/>
      <c r="W135" s="3"/>
      <c r="X135" s="3"/>
      <c r="Y135" s="3"/>
      <c r="Z135" s="3"/>
    </row>
    <row r="136" ht="49.5" customHeight="1">
      <c r="A136" s="3"/>
      <c r="B136" s="450">
        <v>124.0</v>
      </c>
      <c r="C136" s="433"/>
      <c r="D136" s="433" t="s">
        <v>21412</v>
      </c>
      <c r="E136" s="433"/>
      <c r="F136" s="434" t="s">
        <v>21413</v>
      </c>
      <c r="G136" s="433"/>
      <c r="H136" s="342" t="s">
        <v>29</v>
      </c>
      <c r="I136" s="433" t="s">
        <v>6505</v>
      </c>
      <c r="J136" s="433"/>
      <c r="K136" s="433" t="s">
        <v>21414</v>
      </c>
      <c r="L136" s="433"/>
      <c r="M136" s="433" t="s">
        <v>21415</v>
      </c>
      <c r="N136" s="538"/>
      <c r="O136" s="433" t="s">
        <v>21416</v>
      </c>
      <c r="P136" s="433">
        <v>2011.0</v>
      </c>
      <c r="Q136" s="433" t="s">
        <v>388</v>
      </c>
      <c r="R136" s="433">
        <v>1.0</v>
      </c>
      <c r="S136" s="3"/>
      <c r="T136" s="3"/>
      <c r="U136" s="3"/>
      <c r="V136" s="3"/>
      <c r="W136" s="3"/>
      <c r="X136" s="3"/>
      <c r="Y136" s="3"/>
      <c r="Z136" s="3"/>
    </row>
    <row r="137" ht="52.5" customHeight="1">
      <c r="A137" s="3"/>
      <c r="B137" s="552">
        <v>125.0</v>
      </c>
      <c r="C137" s="433"/>
      <c r="D137" s="433" t="s">
        <v>21417</v>
      </c>
      <c r="E137" s="433"/>
      <c r="F137" s="434" t="s">
        <v>21418</v>
      </c>
      <c r="G137" s="433"/>
      <c r="H137" s="342" t="s">
        <v>29</v>
      </c>
      <c r="I137" s="433" t="s">
        <v>6505</v>
      </c>
      <c r="J137" s="433"/>
      <c r="K137" s="433" t="s">
        <v>21414</v>
      </c>
      <c r="L137" s="433"/>
      <c r="M137" s="433" t="s">
        <v>21415</v>
      </c>
      <c r="N137" s="538"/>
      <c r="O137" s="433" t="s">
        <v>21416</v>
      </c>
      <c r="P137" s="433">
        <v>2011.0</v>
      </c>
      <c r="Q137" s="433" t="s">
        <v>388</v>
      </c>
      <c r="R137" s="433">
        <v>1.0</v>
      </c>
      <c r="S137" s="3"/>
      <c r="T137" s="3"/>
      <c r="U137" s="3"/>
      <c r="V137" s="3"/>
      <c r="W137" s="3"/>
      <c r="X137" s="3"/>
      <c r="Y137" s="3"/>
      <c r="Z137" s="3"/>
    </row>
    <row r="138" ht="49.5" customHeight="1">
      <c r="A138" s="3"/>
      <c r="B138" s="450">
        <v>126.0</v>
      </c>
      <c r="C138" s="433"/>
      <c r="D138" s="433" t="s">
        <v>21419</v>
      </c>
      <c r="E138" s="433"/>
      <c r="F138" s="434" t="s">
        <v>21420</v>
      </c>
      <c r="G138" s="433"/>
      <c r="H138" s="342" t="s">
        <v>29</v>
      </c>
      <c r="I138" s="433" t="s">
        <v>30</v>
      </c>
      <c r="J138" s="433"/>
      <c r="K138" s="433" t="s">
        <v>30</v>
      </c>
      <c r="L138" s="433"/>
      <c r="M138" s="433" t="s">
        <v>21415</v>
      </c>
      <c r="N138" s="538"/>
      <c r="O138" s="433" t="s">
        <v>21416</v>
      </c>
      <c r="P138" s="433">
        <v>2011.0</v>
      </c>
      <c r="Q138" s="433" t="s">
        <v>388</v>
      </c>
      <c r="R138" s="433">
        <v>1.0</v>
      </c>
      <c r="S138" s="3"/>
      <c r="T138" s="3"/>
      <c r="U138" s="3"/>
      <c r="V138" s="3"/>
      <c r="W138" s="3"/>
      <c r="X138" s="3"/>
      <c r="Y138" s="3"/>
      <c r="Z138" s="3"/>
    </row>
    <row r="139" ht="15.75" customHeight="1">
      <c r="A139" s="3"/>
      <c r="B139" s="552">
        <v>127.0</v>
      </c>
      <c r="C139" s="433"/>
      <c r="D139" s="433" t="s">
        <v>21421</v>
      </c>
      <c r="E139" s="433"/>
      <c r="F139" s="434" t="s">
        <v>21422</v>
      </c>
      <c r="G139" s="433" t="s">
        <v>20948</v>
      </c>
      <c r="H139" s="342" t="s">
        <v>29</v>
      </c>
      <c r="I139" s="433" t="s">
        <v>30</v>
      </c>
      <c r="J139" s="433"/>
      <c r="K139" s="433" t="s">
        <v>30</v>
      </c>
      <c r="L139" s="433"/>
      <c r="M139" s="433" t="s">
        <v>21423</v>
      </c>
      <c r="N139" s="433" t="s">
        <v>21424</v>
      </c>
      <c r="O139" s="433" t="s">
        <v>21425</v>
      </c>
      <c r="P139" s="433">
        <v>2013.0</v>
      </c>
      <c r="Q139" s="433" t="s">
        <v>388</v>
      </c>
      <c r="R139" s="433">
        <v>1.0</v>
      </c>
      <c r="S139" s="3"/>
      <c r="T139" s="3"/>
      <c r="U139" s="3"/>
      <c r="V139" s="3"/>
      <c r="W139" s="3"/>
      <c r="X139" s="3"/>
      <c r="Y139" s="3"/>
      <c r="Z139" s="3"/>
    </row>
    <row r="140" ht="15.75" customHeight="1">
      <c r="A140" s="3"/>
      <c r="B140" s="450">
        <v>128.0</v>
      </c>
      <c r="C140" s="433"/>
      <c r="D140" s="433" t="s">
        <v>21426</v>
      </c>
      <c r="E140" s="433"/>
      <c r="F140" s="434" t="s">
        <v>21427</v>
      </c>
      <c r="G140" s="433" t="s">
        <v>20948</v>
      </c>
      <c r="H140" s="342" t="s">
        <v>29</v>
      </c>
      <c r="I140" s="433" t="s">
        <v>30</v>
      </c>
      <c r="J140" s="433" t="s">
        <v>21428</v>
      </c>
      <c r="K140" s="433" t="s">
        <v>30</v>
      </c>
      <c r="L140" s="433"/>
      <c r="M140" s="433" t="s">
        <v>21429</v>
      </c>
      <c r="N140" s="433" t="s">
        <v>21430</v>
      </c>
      <c r="O140" s="433" t="s">
        <v>7703</v>
      </c>
      <c r="P140" s="433">
        <v>2003.0</v>
      </c>
      <c r="Q140" s="433" t="s">
        <v>388</v>
      </c>
      <c r="R140" s="433">
        <v>1.0</v>
      </c>
      <c r="S140" s="3"/>
      <c r="T140" s="3"/>
      <c r="U140" s="3"/>
      <c r="V140" s="3"/>
      <c r="W140" s="3"/>
      <c r="X140" s="3"/>
      <c r="Y140" s="3"/>
      <c r="Z140" s="3"/>
    </row>
    <row r="141" ht="15.75" customHeight="1">
      <c r="A141" s="3"/>
      <c r="B141" s="552">
        <v>129.0</v>
      </c>
      <c r="C141" s="433"/>
      <c r="D141" s="433" t="s">
        <v>21431</v>
      </c>
      <c r="E141" s="433"/>
      <c r="F141" s="434" t="s">
        <v>21432</v>
      </c>
      <c r="G141" s="433"/>
      <c r="H141" s="342" t="s">
        <v>29</v>
      </c>
      <c r="I141" s="433" t="s">
        <v>30</v>
      </c>
      <c r="J141" s="433"/>
      <c r="K141" s="433" t="s">
        <v>30</v>
      </c>
      <c r="L141" s="433"/>
      <c r="M141" s="433" t="s">
        <v>21433</v>
      </c>
      <c r="N141" s="433"/>
      <c r="O141" s="433" t="s">
        <v>21434</v>
      </c>
      <c r="P141" s="433"/>
      <c r="Q141" s="433" t="s">
        <v>388</v>
      </c>
      <c r="R141" s="433">
        <v>1.0</v>
      </c>
      <c r="S141" s="3"/>
      <c r="T141" s="3"/>
      <c r="U141" s="3"/>
      <c r="V141" s="3"/>
      <c r="W141" s="3"/>
      <c r="X141" s="3"/>
      <c r="Y141" s="3"/>
      <c r="Z141" s="3"/>
    </row>
    <row r="142" ht="15.75" customHeight="1">
      <c r="A142" s="3"/>
      <c r="B142" s="450">
        <v>130.0</v>
      </c>
      <c r="C142" s="433"/>
      <c r="D142" s="433" t="s">
        <v>21435</v>
      </c>
      <c r="E142" s="433"/>
      <c r="F142" s="434" t="s">
        <v>21436</v>
      </c>
      <c r="G142" s="433"/>
      <c r="H142" s="342" t="s">
        <v>29</v>
      </c>
      <c r="I142" s="433" t="s">
        <v>30</v>
      </c>
      <c r="J142" s="433"/>
      <c r="K142" s="433" t="s">
        <v>30</v>
      </c>
      <c r="L142" s="433"/>
      <c r="M142" s="433" t="s">
        <v>13582</v>
      </c>
      <c r="N142" s="433" t="s">
        <v>21437</v>
      </c>
      <c r="O142" s="433" t="s">
        <v>21438</v>
      </c>
      <c r="P142" s="433">
        <v>2005.0</v>
      </c>
      <c r="Q142" s="433" t="s">
        <v>388</v>
      </c>
      <c r="R142" s="433">
        <v>1.0</v>
      </c>
      <c r="S142" s="3"/>
      <c r="T142" s="3"/>
      <c r="U142" s="3"/>
      <c r="V142" s="3"/>
      <c r="W142" s="3"/>
      <c r="X142" s="3"/>
      <c r="Y142" s="3"/>
      <c r="Z142" s="3"/>
    </row>
    <row r="143" ht="15.75" customHeight="1">
      <c r="A143" s="3"/>
      <c r="B143" s="552">
        <v>131.0</v>
      </c>
      <c r="C143" s="433"/>
      <c r="D143" s="433" t="s">
        <v>21439</v>
      </c>
      <c r="E143" s="433"/>
      <c r="F143" s="434" t="s">
        <v>21440</v>
      </c>
      <c r="G143" s="433"/>
      <c r="H143" s="342" t="s">
        <v>29</v>
      </c>
      <c r="I143" s="433" t="s">
        <v>30</v>
      </c>
      <c r="J143" s="433"/>
      <c r="K143" s="433" t="s">
        <v>30</v>
      </c>
      <c r="L143" s="433"/>
      <c r="M143" s="433" t="s">
        <v>21441</v>
      </c>
      <c r="N143" s="433" t="s">
        <v>21442</v>
      </c>
      <c r="O143" s="433" t="s">
        <v>21443</v>
      </c>
      <c r="P143" s="433"/>
      <c r="Q143" s="433" t="s">
        <v>388</v>
      </c>
      <c r="R143" s="433">
        <v>1.0</v>
      </c>
      <c r="S143" s="3"/>
      <c r="T143" s="3"/>
      <c r="U143" s="3"/>
      <c r="V143" s="3"/>
      <c r="W143" s="3"/>
      <c r="X143" s="3"/>
      <c r="Y143" s="3"/>
      <c r="Z143" s="3"/>
    </row>
    <row r="144" ht="15.75" customHeight="1">
      <c r="A144" s="3"/>
      <c r="B144" s="450">
        <v>132.0</v>
      </c>
      <c r="C144" s="433"/>
      <c r="D144" s="433" t="s">
        <v>21444</v>
      </c>
      <c r="E144" s="433"/>
      <c r="F144" s="434" t="s">
        <v>21445</v>
      </c>
      <c r="G144" s="433"/>
      <c r="H144" s="342" t="s">
        <v>29</v>
      </c>
      <c r="I144" s="433" t="s">
        <v>30</v>
      </c>
      <c r="J144" s="433"/>
      <c r="K144" s="433" t="s">
        <v>30</v>
      </c>
      <c r="L144" s="433"/>
      <c r="M144" s="433" t="s">
        <v>21199</v>
      </c>
      <c r="N144" s="433" t="s">
        <v>21446</v>
      </c>
      <c r="O144" s="433" t="s">
        <v>10148</v>
      </c>
      <c r="P144" s="433">
        <v>2011.0</v>
      </c>
      <c r="Q144" s="433" t="s">
        <v>388</v>
      </c>
      <c r="R144" s="433">
        <v>1.0</v>
      </c>
      <c r="S144" s="3"/>
      <c r="T144" s="3"/>
      <c r="U144" s="3"/>
      <c r="V144" s="3"/>
      <c r="W144" s="3"/>
      <c r="X144" s="3"/>
      <c r="Y144" s="3"/>
      <c r="Z144" s="3"/>
    </row>
    <row r="145" ht="15.75" customHeight="1">
      <c r="A145" s="3"/>
      <c r="B145" s="552">
        <v>133.0</v>
      </c>
      <c r="C145" s="433"/>
      <c r="D145" s="433" t="s">
        <v>21447</v>
      </c>
      <c r="E145" s="433"/>
      <c r="F145" s="434" t="s">
        <v>21448</v>
      </c>
      <c r="G145" s="433"/>
      <c r="H145" s="342" t="s">
        <v>29</v>
      </c>
      <c r="I145" s="433" t="s">
        <v>30</v>
      </c>
      <c r="J145" s="433"/>
      <c r="K145" s="433" t="s">
        <v>30</v>
      </c>
      <c r="L145" s="433"/>
      <c r="M145" s="433" t="s">
        <v>13582</v>
      </c>
      <c r="N145" s="433" t="s">
        <v>21449</v>
      </c>
      <c r="O145" s="433" t="s">
        <v>21450</v>
      </c>
      <c r="P145" s="433">
        <v>2013.0</v>
      </c>
      <c r="Q145" s="433" t="s">
        <v>388</v>
      </c>
      <c r="R145" s="433">
        <v>1.0</v>
      </c>
      <c r="S145" s="3"/>
      <c r="T145" s="3"/>
      <c r="U145" s="3"/>
      <c r="V145" s="3"/>
      <c r="W145" s="3"/>
      <c r="X145" s="3"/>
      <c r="Y145" s="3"/>
      <c r="Z145" s="3"/>
    </row>
    <row r="146" ht="15.75" customHeight="1">
      <c r="A146" s="3"/>
      <c r="B146" s="450">
        <v>134.0</v>
      </c>
      <c r="C146" s="433"/>
      <c r="D146" s="433" t="s">
        <v>21331</v>
      </c>
      <c r="E146" s="433"/>
      <c r="F146" s="434" t="s">
        <v>21451</v>
      </c>
      <c r="G146" s="433" t="s">
        <v>20948</v>
      </c>
      <c r="H146" s="342" t="s">
        <v>29</v>
      </c>
      <c r="I146" s="433" t="s">
        <v>30</v>
      </c>
      <c r="J146" s="433"/>
      <c r="K146" s="433" t="s">
        <v>30</v>
      </c>
      <c r="L146" s="433"/>
      <c r="M146" s="433" t="s">
        <v>13582</v>
      </c>
      <c r="N146" s="433" t="s">
        <v>21446</v>
      </c>
      <c r="O146" s="433" t="s">
        <v>10148</v>
      </c>
      <c r="P146" s="433">
        <v>2010.0</v>
      </c>
      <c r="Q146" s="433" t="s">
        <v>388</v>
      </c>
      <c r="R146" s="433">
        <v>1.0</v>
      </c>
      <c r="S146" s="3"/>
      <c r="T146" s="3"/>
      <c r="U146" s="3"/>
      <c r="V146" s="3"/>
      <c r="W146" s="3"/>
      <c r="X146" s="3"/>
      <c r="Y146" s="3"/>
      <c r="Z146" s="3"/>
    </row>
    <row r="147" ht="15.75" customHeight="1">
      <c r="A147" s="3"/>
      <c r="B147" s="552">
        <v>135.0</v>
      </c>
      <c r="C147" s="433"/>
      <c r="D147" s="433" t="s">
        <v>21331</v>
      </c>
      <c r="E147" s="433"/>
      <c r="F147" s="434" t="s">
        <v>21452</v>
      </c>
      <c r="G147" s="433" t="s">
        <v>20948</v>
      </c>
      <c r="H147" s="342" t="s">
        <v>29</v>
      </c>
      <c r="I147" s="433" t="s">
        <v>30</v>
      </c>
      <c r="J147" s="433"/>
      <c r="K147" s="433" t="s">
        <v>30</v>
      </c>
      <c r="L147" s="433"/>
      <c r="M147" s="433" t="s">
        <v>21453</v>
      </c>
      <c r="N147" s="433" t="s">
        <v>21333</v>
      </c>
      <c r="O147" s="433" t="s">
        <v>10148</v>
      </c>
      <c r="P147" s="433">
        <v>2010.0</v>
      </c>
      <c r="Q147" s="433" t="s">
        <v>388</v>
      </c>
      <c r="R147" s="433">
        <v>1.0</v>
      </c>
      <c r="S147" s="3"/>
      <c r="T147" s="3"/>
      <c r="U147" s="3"/>
      <c r="V147" s="3"/>
      <c r="W147" s="3"/>
      <c r="X147" s="3"/>
      <c r="Y147" s="3"/>
      <c r="Z147" s="3"/>
    </row>
    <row r="148" ht="15.75" customHeight="1">
      <c r="A148" s="3"/>
      <c r="B148" s="450">
        <v>136.0</v>
      </c>
      <c r="C148" s="433"/>
      <c r="D148" s="433" t="s">
        <v>21331</v>
      </c>
      <c r="E148" s="433"/>
      <c r="F148" s="434" t="s">
        <v>21454</v>
      </c>
      <c r="G148" s="433" t="s">
        <v>20948</v>
      </c>
      <c r="H148" s="342" t="s">
        <v>29</v>
      </c>
      <c r="I148" s="433" t="s">
        <v>30</v>
      </c>
      <c r="J148" s="433"/>
      <c r="K148" s="433" t="s">
        <v>30</v>
      </c>
      <c r="L148" s="433"/>
      <c r="M148" s="433" t="s">
        <v>21453</v>
      </c>
      <c r="N148" s="433" t="s">
        <v>21333</v>
      </c>
      <c r="O148" s="433" t="s">
        <v>10148</v>
      </c>
      <c r="P148" s="433">
        <v>2012.0</v>
      </c>
      <c r="Q148" s="433" t="s">
        <v>388</v>
      </c>
      <c r="R148" s="433">
        <v>1.0</v>
      </c>
      <c r="S148" s="3"/>
      <c r="T148" s="3"/>
      <c r="U148" s="3"/>
      <c r="V148" s="3"/>
      <c r="W148" s="3"/>
      <c r="X148" s="3"/>
      <c r="Y148" s="3"/>
      <c r="Z148" s="3"/>
    </row>
    <row r="149" ht="15.75" customHeight="1">
      <c r="A149" s="3"/>
      <c r="B149" s="552">
        <v>137.0</v>
      </c>
      <c r="C149" s="433"/>
      <c r="D149" s="433" t="s">
        <v>21331</v>
      </c>
      <c r="E149" s="433"/>
      <c r="F149" s="434" t="s">
        <v>21455</v>
      </c>
      <c r="G149" s="433" t="s">
        <v>20948</v>
      </c>
      <c r="H149" s="342" t="s">
        <v>29</v>
      </c>
      <c r="I149" s="433" t="s">
        <v>30</v>
      </c>
      <c r="J149" s="433"/>
      <c r="K149" s="433" t="s">
        <v>30</v>
      </c>
      <c r="L149" s="433"/>
      <c r="M149" s="433" t="s">
        <v>13582</v>
      </c>
      <c r="N149" s="433" t="s">
        <v>21333</v>
      </c>
      <c r="O149" s="433" t="s">
        <v>10148</v>
      </c>
      <c r="P149" s="433">
        <v>2012.0</v>
      </c>
      <c r="Q149" s="433" t="s">
        <v>388</v>
      </c>
      <c r="R149" s="433">
        <v>1.0</v>
      </c>
      <c r="S149" s="3"/>
      <c r="T149" s="3"/>
      <c r="U149" s="3"/>
      <c r="V149" s="3"/>
      <c r="W149" s="3"/>
      <c r="X149" s="3"/>
      <c r="Y149" s="3"/>
      <c r="Z149" s="3"/>
    </row>
    <row r="150" ht="15.75" customHeight="1">
      <c r="A150" s="3"/>
      <c r="B150" s="450">
        <v>138.0</v>
      </c>
      <c r="C150" s="433"/>
      <c r="D150" s="433" t="s">
        <v>21331</v>
      </c>
      <c r="E150" s="433"/>
      <c r="F150" s="434" t="s">
        <v>21456</v>
      </c>
      <c r="G150" s="433" t="s">
        <v>20948</v>
      </c>
      <c r="H150" s="342" t="s">
        <v>29</v>
      </c>
      <c r="I150" s="433" t="s">
        <v>30</v>
      </c>
      <c r="J150" s="433"/>
      <c r="K150" s="433" t="s">
        <v>30</v>
      </c>
      <c r="L150" s="433"/>
      <c r="M150" s="433" t="s">
        <v>21453</v>
      </c>
      <c r="N150" s="433" t="s">
        <v>21333</v>
      </c>
      <c r="O150" s="433" t="s">
        <v>10148</v>
      </c>
      <c r="P150" s="433">
        <v>2013.0</v>
      </c>
      <c r="Q150" s="433" t="s">
        <v>388</v>
      </c>
      <c r="R150" s="433">
        <v>1.0</v>
      </c>
      <c r="S150" s="3"/>
      <c r="T150" s="3"/>
      <c r="U150" s="3"/>
      <c r="V150" s="3"/>
      <c r="W150" s="3"/>
      <c r="X150" s="3"/>
      <c r="Y150" s="3"/>
      <c r="Z150" s="3"/>
    </row>
    <row r="151" ht="15.75" customHeight="1">
      <c r="A151" s="3"/>
      <c r="B151" s="552">
        <v>139.0</v>
      </c>
      <c r="C151" s="433"/>
      <c r="D151" s="433" t="s">
        <v>21331</v>
      </c>
      <c r="E151" s="433"/>
      <c r="F151" s="434" t="s">
        <v>21332</v>
      </c>
      <c r="G151" s="433" t="s">
        <v>20948</v>
      </c>
      <c r="H151" s="342" t="s">
        <v>29</v>
      </c>
      <c r="I151" s="433" t="s">
        <v>30</v>
      </c>
      <c r="J151" s="433"/>
      <c r="K151" s="433" t="s">
        <v>30</v>
      </c>
      <c r="L151" s="433"/>
      <c r="M151" s="433" t="s">
        <v>21453</v>
      </c>
      <c r="N151" s="433" t="s">
        <v>21457</v>
      </c>
      <c r="O151" s="433" t="s">
        <v>10148</v>
      </c>
      <c r="P151" s="433">
        <v>2013.0</v>
      </c>
      <c r="Q151" s="433" t="s">
        <v>388</v>
      </c>
      <c r="R151" s="433">
        <v>1.0</v>
      </c>
      <c r="S151" s="3"/>
      <c r="T151" s="3"/>
      <c r="U151" s="3"/>
      <c r="V151" s="3"/>
      <c r="W151" s="3"/>
      <c r="X151" s="3"/>
      <c r="Y151" s="3"/>
      <c r="Z151" s="3"/>
    </row>
    <row r="152" ht="71.25" customHeight="1">
      <c r="A152" s="3"/>
      <c r="B152" s="450">
        <v>140.0</v>
      </c>
      <c r="C152" s="433"/>
      <c r="D152" s="433" t="s">
        <v>21458</v>
      </c>
      <c r="E152" s="433"/>
      <c r="F152" s="434" t="s">
        <v>21459</v>
      </c>
      <c r="G152" s="433"/>
      <c r="H152" s="342" t="s">
        <v>29</v>
      </c>
      <c r="I152" s="433" t="s">
        <v>30</v>
      </c>
      <c r="J152" s="433"/>
      <c r="K152" s="433" t="s">
        <v>30</v>
      </c>
      <c r="L152" s="433"/>
      <c r="M152" s="433" t="s">
        <v>21460</v>
      </c>
      <c r="N152" s="433"/>
      <c r="O152" s="433" t="s">
        <v>21461</v>
      </c>
      <c r="P152" s="433">
        <v>2005.0</v>
      </c>
      <c r="Q152" s="433" t="s">
        <v>388</v>
      </c>
      <c r="R152" s="433">
        <v>6.0</v>
      </c>
      <c r="S152" s="3"/>
      <c r="T152" s="3"/>
      <c r="U152" s="3"/>
      <c r="V152" s="3"/>
      <c r="W152" s="3"/>
      <c r="X152" s="3"/>
      <c r="Y152" s="3"/>
      <c r="Z152" s="3"/>
    </row>
    <row r="153" ht="15.75" customHeight="1">
      <c r="A153" s="3"/>
      <c r="B153" s="552">
        <v>141.0</v>
      </c>
      <c r="C153" s="433"/>
      <c r="D153" s="433" t="s">
        <v>21462</v>
      </c>
      <c r="E153" s="433"/>
      <c r="F153" s="434" t="s">
        <v>21463</v>
      </c>
      <c r="G153" s="433"/>
      <c r="H153" s="342" t="s">
        <v>29</v>
      </c>
      <c r="I153" s="433" t="s">
        <v>30</v>
      </c>
      <c r="J153" s="433"/>
      <c r="K153" s="433" t="s">
        <v>30</v>
      </c>
      <c r="L153" s="433"/>
      <c r="M153" s="433" t="s">
        <v>21464</v>
      </c>
      <c r="N153" s="433"/>
      <c r="O153" s="433" t="s">
        <v>13695</v>
      </c>
      <c r="P153" s="433" t="s">
        <v>13552</v>
      </c>
      <c r="Q153" s="433" t="s">
        <v>388</v>
      </c>
      <c r="R153" s="433">
        <v>6.0</v>
      </c>
      <c r="S153" s="3"/>
      <c r="T153" s="3"/>
      <c r="U153" s="3"/>
      <c r="V153" s="3"/>
      <c r="W153" s="3"/>
      <c r="X153" s="3"/>
      <c r="Y153" s="3"/>
      <c r="Z153" s="3"/>
    </row>
    <row r="154" ht="15.75" customHeight="1">
      <c r="A154" s="3"/>
      <c r="B154" s="450">
        <v>142.0</v>
      </c>
      <c r="C154" s="433"/>
      <c r="D154" s="433" t="s">
        <v>21458</v>
      </c>
      <c r="E154" s="433"/>
      <c r="F154" s="434" t="s">
        <v>21465</v>
      </c>
      <c r="G154" s="433"/>
      <c r="H154" s="342" t="s">
        <v>29</v>
      </c>
      <c r="I154" s="433" t="s">
        <v>30</v>
      </c>
      <c r="J154" s="433"/>
      <c r="K154" s="433" t="s">
        <v>30</v>
      </c>
      <c r="L154" s="433"/>
      <c r="M154" s="433" t="s">
        <v>18977</v>
      </c>
      <c r="N154" s="433"/>
      <c r="O154" s="433" t="s">
        <v>13695</v>
      </c>
      <c r="P154" s="433" t="s">
        <v>13552</v>
      </c>
      <c r="Q154" s="433" t="s">
        <v>388</v>
      </c>
      <c r="R154" s="433">
        <v>6.0</v>
      </c>
      <c r="S154" s="3"/>
      <c r="T154" s="3"/>
      <c r="U154" s="3"/>
      <c r="V154" s="3"/>
      <c r="W154" s="3"/>
      <c r="X154" s="3"/>
      <c r="Y154" s="3"/>
      <c r="Z154" s="3"/>
    </row>
    <row r="155" ht="15.75" customHeight="1">
      <c r="A155" s="3"/>
      <c r="B155" s="552">
        <v>143.0</v>
      </c>
      <c r="C155" s="433"/>
      <c r="D155" s="433" t="s">
        <v>21462</v>
      </c>
      <c r="E155" s="433"/>
      <c r="F155" s="434" t="s">
        <v>21466</v>
      </c>
      <c r="G155" s="433"/>
      <c r="H155" s="342" t="s">
        <v>29</v>
      </c>
      <c r="I155" s="433" t="s">
        <v>30</v>
      </c>
      <c r="J155" s="433"/>
      <c r="K155" s="433" t="s">
        <v>30</v>
      </c>
      <c r="L155" s="433"/>
      <c r="M155" s="433" t="s">
        <v>18977</v>
      </c>
      <c r="N155" s="433"/>
      <c r="O155" s="433" t="s">
        <v>21461</v>
      </c>
      <c r="P155" s="433">
        <v>2005.0</v>
      </c>
      <c r="Q155" s="433" t="s">
        <v>388</v>
      </c>
      <c r="R155" s="433">
        <v>1.0</v>
      </c>
      <c r="S155" s="3"/>
      <c r="T155" s="3"/>
      <c r="U155" s="3"/>
      <c r="V155" s="3"/>
      <c r="W155" s="3"/>
      <c r="X155" s="3"/>
      <c r="Y155" s="3"/>
      <c r="Z155" s="3"/>
    </row>
    <row r="156" ht="15.75" customHeight="1">
      <c r="A156" s="3"/>
      <c r="B156" s="450">
        <v>144.0</v>
      </c>
      <c r="C156" s="433"/>
      <c r="D156" s="433" t="s">
        <v>21462</v>
      </c>
      <c r="E156" s="433"/>
      <c r="F156" s="434" t="s">
        <v>21467</v>
      </c>
      <c r="G156" s="433"/>
      <c r="H156" s="342" t="s">
        <v>29</v>
      </c>
      <c r="I156" s="433" t="s">
        <v>30</v>
      </c>
      <c r="J156" s="433"/>
      <c r="K156" s="433" t="s">
        <v>30</v>
      </c>
      <c r="L156" s="433"/>
      <c r="M156" s="433" t="s">
        <v>18977</v>
      </c>
      <c r="N156" s="433"/>
      <c r="O156" s="433" t="s">
        <v>21461</v>
      </c>
      <c r="P156" s="433">
        <v>2006.0</v>
      </c>
      <c r="Q156" s="433" t="s">
        <v>388</v>
      </c>
      <c r="R156" s="433">
        <v>1.0</v>
      </c>
      <c r="S156" s="3"/>
      <c r="T156" s="3"/>
      <c r="U156" s="3"/>
      <c r="V156" s="3"/>
      <c r="W156" s="3"/>
      <c r="X156" s="3"/>
      <c r="Y156" s="3"/>
      <c r="Z156" s="3"/>
    </row>
    <row r="157" ht="15.75" customHeight="1">
      <c r="A157" s="3"/>
      <c r="B157" s="552">
        <v>145.0</v>
      </c>
      <c r="C157" s="433"/>
      <c r="D157" s="433" t="s">
        <v>21468</v>
      </c>
      <c r="E157" s="433"/>
      <c r="F157" s="434" t="s">
        <v>21469</v>
      </c>
      <c r="G157" s="433"/>
      <c r="H157" s="342" t="s">
        <v>29</v>
      </c>
      <c r="I157" s="433" t="s">
        <v>30</v>
      </c>
      <c r="J157" s="433"/>
      <c r="K157" s="433" t="s">
        <v>30</v>
      </c>
      <c r="L157" s="433"/>
      <c r="M157" s="433" t="s">
        <v>13582</v>
      </c>
      <c r="N157" s="433" t="s">
        <v>21446</v>
      </c>
      <c r="O157" s="433" t="s">
        <v>10148</v>
      </c>
      <c r="P157" s="433">
        <v>2012.0</v>
      </c>
      <c r="Q157" s="433" t="s">
        <v>388</v>
      </c>
      <c r="R157" s="433">
        <v>2.0</v>
      </c>
      <c r="S157" s="3"/>
      <c r="T157" s="3"/>
      <c r="U157" s="3"/>
      <c r="V157" s="3"/>
      <c r="W157" s="3"/>
      <c r="X157" s="3"/>
      <c r="Y157" s="3"/>
      <c r="Z157" s="3"/>
    </row>
    <row r="158" ht="15.75" customHeight="1">
      <c r="A158" s="3"/>
      <c r="B158" s="450">
        <v>146.0</v>
      </c>
      <c r="C158" s="433"/>
      <c r="D158" s="433" t="s">
        <v>21316</v>
      </c>
      <c r="E158" s="433"/>
      <c r="F158" s="434" t="s">
        <v>21470</v>
      </c>
      <c r="G158" s="433"/>
      <c r="H158" s="342" t="s">
        <v>29</v>
      </c>
      <c r="I158" s="433" t="s">
        <v>30</v>
      </c>
      <c r="J158" s="433"/>
      <c r="K158" s="433" t="s">
        <v>30</v>
      </c>
      <c r="L158" s="433"/>
      <c r="M158" s="433" t="s">
        <v>21471</v>
      </c>
      <c r="N158" s="433" t="s">
        <v>21472</v>
      </c>
      <c r="O158" s="433" t="s">
        <v>21473</v>
      </c>
      <c r="P158" s="433">
        <v>2013.0</v>
      </c>
      <c r="Q158" s="433" t="s">
        <v>388</v>
      </c>
      <c r="R158" s="433">
        <v>2.0</v>
      </c>
      <c r="S158" s="3"/>
      <c r="T158" s="3"/>
      <c r="U158" s="3"/>
      <c r="V158" s="3"/>
      <c r="W158" s="3"/>
      <c r="X158" s="3"/>
      <c r="Y158" s="3"/>
      <c r="Z158" s="3"/>
    </row>
    <row r="159" ht="15.75" customHeight="1">
      <c r="A159" s="3"/>
      <c r="B159" s="552">
        <v>147.0</v>
      </c>
      <c r="C159" s="433"/>
      <c r="D159" s="433" t="s">
        <v>21474</v>
      </c>
      <c r="E159" s="433"/>
      <c r="F159" s="434" t="s">
        <v>21475</v>
      </c>
      <c r="G159" s="433"/>
      <c r="H159" s="342" t="s">
        <v>29</v>
      </c>
      <c r="I159" s="433" t="s">
        <v>30</v>
      </c>
      <c r="J159" s="433"/>
      <c r="K159" s="433" t="s">
        <v>30</v>
      </c>
      <c r="L159" s="433"/>
      <c r="M159" s="433" t="s">
        <v>21476</v>
      </c>
      <c r="N159" s="433"/>
      <c r="O159" s="433" t="s">
        <v>21443</v>
      </c>
      <c r="P159" s="433"/>
      <c r="Q159" s="433" t="s">
        <v>388</v>
      </c>
      <c r="R159" s="433">
        <v>1.0</v>
      </c>
      <c r="S159" s="3"/>
      <c r="T159" s="3"/>
      <c r="U159" s="3"/>
      <c r="V159" s="3"/>
      <c r="W159" s="3"/>
      <c r="X159" s="3"/>
      <c r="Y159" s="3"/>
      <c r="Z159" s="3"/>
    </row>
    <row r="160" ht="15.75" customHeight="1">
      <c r="A160" s="3"/>
      <c r="B160" s="450">
        <v>148.0</v>
      </c>
      <c r="C160" s="433"/>
      <c r="D160" s="433" t="s">
        <v>21477</v>
      </c>
      <c r="E160" s="433"/>
      <c r="F160" s="434" t="s">
        <v>21478</v>
      </c>
      <c r="G160" s="433" t="s">
        <v>16872</v>
      </c>
      <c r="H160" s="342" t="s">
        <v>29</v>
      </c>
      <c r="I160" s="433" t="s">
        <v>30</v>
      </c>
      <c r="J160" s="433"/>
      <c r="K160" s="433" t="s">
        <v>30</v>
      </c>
      <c r="L160" s="433">
        <v>100.0</v>
      </c>
      <c r="M160" s="433" t="s">
        <v>21471</v>
      </c>
      <c r="N160" s="433" t="s">
        <v>21479</v>
      </c>
      <c r="O160" s="433" t="s">
        <v>21259</v>
      </c>
      <c r="P160" s="433">
        <v>2013.0</v>
      </c>
      <c r="Q160" s="433" t="s">
        <v>388</v>
      </c>
      <c r="R160" s="433">
        <v>1.0</v>
      </c>
      <c r="S160" s="3"/>
      <c r="T160" s="3"/>
      <c r="U160" s="3"/>
      <c r="V160" s="3"/>
      <c r="W160" s="3"/>
      <c r="X160" s="3"/>
      <c r="Y160" s="3"/>
      <c r="Z160" s="3"/>
    </row>
    <row r="161" ht="15.75" customHeight="1">
      <c r="A161" s="3"/>
      <c r="B161" s="552">
        <v>149.0</v>
      </c>
      <c r="C161" s="433"/>
      <c r="D161" s="433" t="s">
        <v>21140</v>
      </c>
      <c r="E161" s="433"/>
      <c r="F161" s="434" t="s">
        <v>21480</v>
      </c>
      <c r="G161" s="433" t="s">
        <v>20948</v>
      </c>
      <c r="H161" s="342" t="s">
        <v>29</v>
      </c>
      <c r="I161" s="433" t="s">
        <v>30</v>
      </c>
      <c r="J161" s="433"/>
      <c r="K161" s="433" t="s">
        <v>30</v>
      </c>
      <c r="L161" s="433">
        <v>22.0</v>
      </c>
      <c r="M161" s="433" t="s">
        <v>13582</v>
      </c>
      <c r="N161" s="433" t="s">
        <v>21481</v>
      </c>
      <c r="O161" s="433" t="s">
        <v>21482</v>
      </c>
      <c r="P161" s="433">
        <v>2007.0</v>
      </c>
      <c r="Q161" s="433" t="s">
        <v>388</v>
      </c>
      <c r="R161" s="433">
        <v>1.0</v>
      </c>
      <c r="S161" s="3"/>
      <c r="T161" s="3"/>
      <c r="U161" s="3"/>
      <c r="V161" s="3"/>
      <c r="W161" s="3"/>
      <c r="X161" s="3"/>
      <c r="Y161" s="3"/>
      <c r="Z161" s="3"/>
    </row>
    <row r="162" ht="15.75" customHeight="1">
      <c r="A162" s="3"/>
      <c r="B162" s="450">
        <v>150.0</v>
      </c>
      <c r="C162" s="433"/>
      <c r="D162" s="433" t="s">
        <v>21140</v>
      </c>
      <c r="E162" s="433"/>
      <c r="F162" s="434" t="s">
        <v>21480</v>
      </c>
      <c r="G162" s="433" t="s">
        <v>20948</v>
      </c>
      <c r="H162" s="342" t="s">
        <v>29</v>
      </c>
      <c r="I162" s="433" t="s">
        <v>30</v>
      </c>
      <c r="J162" s="433"/>
      <c r="K162" s="433" t="s">
        <v>30</v>
      </c>
      <c r="L162" s="433">
        <v>22.0</v>
      </c>
      <c r="M162" s="433" t="s">
        <v>13582</v>
      </c>
      <c r="N162" s="433" t="s">
        <v>21483</v>
      </c>
      <c r="O162" s="433" t="s">
        <v>21482</v>
      </c>
      <c r="P162" s="433">
        <v>2007.0</v>
      </c>
      <c r="Q162" s="433" t="s">
        <v>388</v>
      </c>
      <c r="R162" s="433">
        <v>1.0</v>
      </c>
      <c r="S162" s="3"/>
      <c r="T162" s="3"/>
      <c r="U162" s="3"/>
      <c r="V162" s="3"/>
      <c r="W162" s="3"/>
      <c r="X162" s="3"/>
      <c r="Y162" s="3"/>
      <c r="Z162" s="3"/>
    </row>
    <row r="163" ht="15.75" customHeight="1">
      <c r="A163" s="3"/>
      <c r="B163" s="552">
        <v>151.0</v>
      </c>
      <c r="C163" s="433"/>
      <c r="D163" s="433" t="s">
        <v>21140</v>
      </c>
      <c r="E163" s="433"/>
      <c r="F163" s="434" t="s">
        <v>21484</v>
      </c>
      <c r="G163" s="433" t="s">
        <v>20948</v>
      </c>
      <c r="H163" s="342" t="s">
        <v>29</v>
      </c>
      <c r="I163" s="433" t="s">
        <v>30</v>
      </c>
      <c r="J163" s="433"/>
      <c r="K163" s="433" t="s">
        <v>30</v>
      </c>
      <c r="L163" s="433">
        <v>23.0</v>
      </c>
      <c r="M163" s="433" t="s">
        <v>20980</v>
      </c>
      <c r="N163" s="433" t="s">
        <v>21485</v>
      </c>
      <c r="O163" s="433" t="s">
        <v>21486</v>
      </c>
      <c r="P163" s="433">
        <v>2008.0</v>
      </c>
      <c r="Q163" s="433" t="s">
        <v>388</v>
      </c>
      <c r="R163" s="433">
        <v>1.0</v>
      </c>
      <c r="S163" s="3"/>
      <c r="T163" s="3"/>
      <c r="U163" s="3"/>
      <c r="V163" s="3"/>
      <c r="W163" s="3"/>
      <c r="X163" s="3"/>
      <c r="Y163" s="3"/>
      <c r="Z163" s="3"/>
    </row>
    <row r="164" ht="15.75" customHeight="1">
      <c r="A164" s="3"/>
      <c r="B164" s="450">
        <v>152.0</v>
      </c>
      <c r="C164" s="433"/>
      <c r="D164" s="433" t="s">
        <v>21140</v>
      </c>
      <c r="E164" s="433"/>
      <c r="F164" s="434" t="s">
        <v>21487</v>
      </c>
      <c r="G164" s="433" t="s">
        <v>20948</v>
      </c>
      <c r="H164" s="342" t="s">
        <v>29</v>
      </c>
      <c r="I164" s="433" t="s">
        <v>30</v>
      </c>
      <c r="J164" s="433"/>
      <c r="K164" s="433" t="s">
        <v>30</v>
      </c>
      <c r="L164" s="433">
        <v>23.0</v>
      </c>
      <c r="M164" s="433" t="s">
        <v>20980</v>
      </c>
      <c r="N164" s="433" t="s">
        <v>21488</v>
      </c>
      <c r="O164" s="433" t="s">
        <v>21486</v>
      </c>
      <c r="P164" s="433">
        <v>2008.0</v>
      </c>
      <c r="Q164" s="433" t="s">
        <v>388</v>
      </c>
      <c r="R164" s="433">
        <v>1.0</v>
      </c>
      <c r="S164" s="3"/>
      <c r="T164" s="3"/>
      <c r="U164" s="3"/>
      <c r="V164" s="3"/>
      <c r="W164" s="3"/>
      <c r="X164" s="3"/>
      <c r="Y164" s="3"/>
      <c r="Z164" s="3"/>
    </row>
    <row r="165" ht="15.75" customHeight="1">
      <c r="A165" s="3"/>
      <c r="B165" s="552">
        <v>153.0</v>
      </c>
      <c r="C165" s="433"/>
      <c r="D165" s="433" t="s">
        <v>21140</v>
      </c>
      <c r="E165" s="433"/>
      <c r="F165" s="434" t="s">
        <v>21489</v>
      </c>
      <c r="G165" s="433" t="s">
        <v>20948</v>
      </c>
      <c r="H165" s="342" t="s">
        <v>29</v>
      </c>
      <c r="I165" s="433" t="s">
        <v>30</v>
      </c>
      <c r="J165" s="433"/>
      <c r="K165" s="433" t="s">
        <v>30</v>
      </c>
      <c r="L165" s="433">
        <v>23.0</v>
      </c>
      <c r="M165" s="433" t="s">
        <v>20980</v>
      </c>
      <c r="N165" s="433" t="s">
        <v>21485</v>
      </c>
      <c r="O165" s="433" t="s">
        <v>21486</v>
      </c>
      <c r="P165" s="433">
        <v>2008.0</v>
      </c>
      <c r="Q165" s="433" t="s">
        <v>388</v>
      </c>
      <c r="R165" s="433">
        <v>1.0</v>
      </c>
      <c r="S165" s="3"/>
      <c r="T165" s="3"/>
      <c r="U165" s="3"/>
      <c r="V165" s="3"/>
      <c r="W165" s="3"/>
      <c r="X165" s="3"/>
      <c r="Y165" s="3"/>
      <c r="Z165" s="3"/>
    </row>
    <row r="166" ht="15.75" customHeight="1">
      <c r="A166" s="3"/>
      <c r="B166" s="450">
        <v>154.0</v>
      </c>
      <c r="C166" s="433"/>
      <c r="D166" s="433" t="s">
        <v>21140</v>
      </c>
      <c r="E166" s="433"/>
      <c r="F166" s="434" t="s">
        <v>21490</v>
      </c>
      <c r="G166" s="433" t="s">
        <v>20948</v>
      </c>
      <c r="H166" s="342" t="s">
        <v>29</v>
      </c>
      <c r="I166" s="433" t="s">
        <v>30</v>
      </c>
      <c r="J166" s="433"/>
      <c r="K166" s="433" t="s">
        <v>30</v>
      </c>
      <c r="L166" s="433">
        <v>23.0</v>
      </c>
      <c r="M166" s="433" t="s">
        <v>20980</v>
      </c>
      <c r="N166" s="433" t="s">
        <v>21491</v>
      </c>
      <c r="O166" s="433" t="s">
        <v>21486</v>
      </c>
      <c r="P166" s="433">
        <v>2009.0</v>
      </c>
      <c r="Q166" s="433" t="s">
        <v>388</v>
      </c>
      <c r="R166" s="433">
        <v>2.0</v>
      </c>
      <c r="S166" s="3"/>
      <c r="T166" s="3"/>
      <c r="U166" s="3"/>
      <c r="V166" s="3"/>
      <c r="W166" s="3"/>
      <c r="X166" s="3"/>
      <c r="Y166" s="3"/>
      <c r="Z166" s="3"/>
    </row>
    <row r="167" ht="15.75" customHeight="1">
      <c r="A167" s="3"/>
      <c r="B167" s="552">
        <v>155.0</v>
      </c>
      <c r="C167" s="433"/>
      <c r="D167" s="433" t="s">
        <v>21140</v>
      </c>
      <c r="E167" s="433"/>
      <c r="F167" s="434" t="s">
        <v>21492</v>
      </c>
      <c r="G167" s="433" t="s">
        <v>20948</v>
      </c>
      <c r="H167" s="342" t="s">
        <v>29</v>
      </c>
      <c r="I167" s="433" t="s">
        <v>30</v>
      </c>
      <c r="J167" s="433"/>
      <c r="K167" s="433" t="s">
        <v>30</v>
      </c>
      <c r="L167" s="433">
        <v>23.0</v>
      </c>
      <c r="M167" s="433" t="s">
        <v>20980</v>
      </c>
      <c r="N167" s="433" t="s">
        <v>21493</v>
      </c>
      <c r="O167" s="433" t="s">
        <v>21486</v>
      </c>
      <c r="P167" s="433">
        <v>2009.0</v>
      </c>
      <c r="Q167" s="433" t="s">
        <v>388</v>
      </c>
      <c r="R167" s="433">
        <v>2.0</v>
      </c>
      <c r="S167" s="3"/>
      <c r="T167" s="3"/>
      <c r="U167" s="3"/>
      <c r="V167" s="3"/>
      <c r="W167" s="3"/>
      <c r="X167" s="3"/>
      <c r="Y167" s="3"/>
      <c r="Z167" s="3"/>
    </row>
    <row r="168" ht="15.75" customHeight="1">
      <c r="A168" s="3"/>
      <c r="B168" s="450">
        <v>156.0</v>
      </c>
      <c r="C168" s="433"/>
      <c r="D168" s="433" t="s">
        <v>21331</v>
      </c>
      <c r="E168" s="433"/>
      <c r="F168" s="434" t="s">
        <v>21494</v>
      </c>
      <c r="G168" s="433" t="s">
        <v>21352</v>
      </c>
      <c r="H168" s="342" t="s">
        <v>29</v>
      </c>
      <c r="I168" s="433" t="s">
        <v>30</v>
      </c>
      <c r="J168" s="433"/>
      <c r="K168" s="433" t="s">
        <v>30</v>
      </c>
      <c r="L168" s="433">
        <v>21.0</v>
      </c>
      <c r="M168" s="433" t="s">
        <v>20980</v>
      </c>
      <c r="N168" s="433" t="s">
        <v>21495</v>
      </c>
      <c r="O168" s="433" t="s">
        <v>21486</v>
      </c>
      <c r="P168" s="433">
        <v>2009.0</v>
      </c>
      <c r="Q168" s="433" t="s">
        <v>388</v>
      </c>
      <c r="R168" s="433">
        <v>1.0</v>
      </c>
      <c r="S168" s="3"/>
      <c r="T168" s="3"/>
      <c r="U168" s="3"/>
      <c r="V168" s="3"/>
      <c r="W168" s="3"/>
      <c r="X168" s="3"/>
      <c r="Y168" s="3"/>
      <c r="Z168" s="3"/>
    </row>
    <row r="169" ht="15.75" customHeight="1">
      <c r="A169" s="3"/>
      <c r="B169" s="552">
        <v>157.0</v>
      </c>
      <c r="C169" s="433"/>
      <c r="D169" s="433" t="s">
        <v>21140</v>
      </c>
      <c r="E169" s="433"/>
      <c r="F169" s="434" t="s">
        <v>21496</v>
      </c>
      <c r="G169" s="433" t="s">
        <v>20948</v>
      </c>
      <c r="H169" s="342" t="s">
        <v>29</v>
      </c>
      <c r="I169" s="433" t="s">
        <v>30</v>
      </c>
      <c r="J169" s="433"/>
      <c r="K169" s="433" t="s">
        <v>30</v>
      </c>
      <c r="L169" s="433">
        <v>23.0</v>
      </c>
      <c r="M169" s="433" t="s">
        <v>21497</v>
      </c>
      <c r="N169" s="433" t="s">
        <v>21498</v>
      </c>
      <c r="O169" s="433" t="s">
        <v>21486</v>
      </c>
      <c r="P169" s="433">
        <v>2010.0</v>
      </c>
      <c r="Q169" s="433" t="s">
        <v>388</v>
      </c>
      <c r="R169" s="433">
        <v>1.0</v>
      </c>
      <c r="S169" s="3"/>
      <c r="T169" s="3"/>
      <c r="U169" s="3"/>
      <c r="V169" s="3"/>
      <c r="W169" s="3"/>
      <c r="X169" s="3"/>
      <c r="Y169" s="3"/>
      <c r="Z169" s="3"/>
    </row>
    <row r="170" ht="15.75" customHeight="1">
      <c r="A170" s="3"/>
      <c r="B170" s="450">
        <v>158.0</v>
      </c>
      <c r="C170" s="433"/>
      <c r="D170" s="433" t="s">
        <v>21499</v>
      </c>
      <c r="E170" s="433"/>
      <c r="F170" s="434" t="s">
        <v>21500</v>
      </c>
      <c r="G170" s="433"/>
      <c r="H170" s="342" t="s">
        <v>29</v>
      </c>
      <c r="I170" s="433" t="s">
        <v>30</v>
      </c>
      <c r="J170" s="433"/>
      <c r="K170" s="433" t="s">
        <v>30</v>
      </c>
      <c r="L170" s="433">
        <v>52.0</v>
      </c>
      <c r="M170" s="433" t="s">
        <v>13582</v>
      </c>
      <c r="N170" s="433" t="s">
        <v>21501</v>
      </c>
      <c r="O170" s="433" t="s">
        <v>21502</v>
      </c>
      <c r="P170" s="433">
        <v>2003.0</v>
      </c>
      <c r="Q170" s="433" t="s">
        <v>388</v>
      </c>
      <c r="R170" s="433">
        <v>1.0</v>
      </c>
      <c r="S170" s="3"/>
      <c r="T170" s="3"/>
      <c r="U170" s="3"/>
      <c r="V170" s="3"/>
      <c r="W170" s="3"/>
      <c r="X170" s="3"/>
      <c r="Y170" s="3"/>
      <c r="Z170" s="3"/>
    </row>
    <row r="171" ht="15.75" customHeight="1">
      <c r="A171" s="3"/>
      <c r="B171" s="552">
        <v>159.0</v>
      </c>
      <c r="C171" s="433"/>
      <c r="D171" s="433" t="s">
        <v>21426</v>
      </c>
      <c r="E171" s="433"/>
      <c r="F171" s="434" t="s">
        <v>21503</v>
      </c>
      <c r="G171" s="433" t="s">
        <v>20948</v>
      </c>
      <c r="H171" s="342" t="s">
        <v>29</v>
      </c>
      <c r="I171" s="433" t="s">
        <v>30</v>
      </c>
      <c r="J171" s="433"/>
      <c r="K171" s="433" t="s">
        <v>30</v>
      </c>
      <c r="L171" s="433">
        <v>11.0</v>
      </c>
      <c r="M171" s="433" t="s">
        <v>13582</v>
      </c>
      <c r="N171" s="433" t="s">
        <v>21504</v>
      </c>
      <c r="O171" s="433" t="s">
        <v>21505</v>
      </c>
      <c r="P171" s="433">
        <v>2007.0</v>
      </c>
      <c r="Q171" s="433" t="s">
        <v>388</v>
      </c>
      <c r="R171" s="433">
        <v>1.0</v>
      </c>
      <c r="S171" s="3"/>
      <c r="T171" s="3"/>
      <c r="U171" s="3"/>
      <c r="V171" s="3"/>
      <c r="W171" s="3"/>
      <c r="X171" s="3"/>
      <c r="Y171" s="3"/>
      <c r="Z171" s="3"/>
    </row>
    <row r="172" ht="15.75" customHeight="1">
      <c r="A172" s="3"/>
      <c r="B172" s="450">
        <v>160.0</v>
      </c>
      <c r="C172" s="433"/>
      <c r="D172" s="433" t="s">
        <v>21506</v>
      </c>
      <c r="E172" s="433"/>
      <c r="F172" s="434" t="s">
        <v>21507</v>
      </c>
      <c r="G172" s="433" t="s">
        <v>20948</v>
      </c>
      <c r="H172" s="342" t="s">
        <v>29</v>
      </c>
      <c r="I172" s="433" t="s">
        <v>30</v>
      </c>
      <c r="J172" s="433"/>
      <c r="K172" s="433" t="s">
        <v>30</v>
      </c>
      <c r="L172" s="433">
        <v>13.0</v>
      </c>
      <c r="M172" s="433" t="s">
        <v>13582</v>
      </c>
      <c r="N172" s="433"/>
      <c r="O172" s="433" t="s">
        <v>11247</v>
      </c>
      <c r="P172" s="433">
        <v>2007.0</v>
      </c>
      <c r="Q172" s="433" t="s">
        <v>388</v>
      </c>
      <c r="R172" s="433">
        <v>1.0</v>
      </c>
      <c r="S172" s="3"/>
      <c r="T172" s="3"/>
      <c r="U172" s="3"/>
      <c r="V172" s="3"/>
      <c r="W172" s="3"/>
      <c r="X172" s="3"/>
      <c r="Y172" s="3"/>
      <c r="Z172" s="3"/>
    </row>
    <row r="173" ht="15.75" customHeight="1">
      <c r="A173" s="3"/>
      <c r="B173" s="552">
        <v>161.0</v>
      </c>
      <c r="C173" s="433"/>
      <c r="D173" s="433" t="s">
        <v>21426</v>
      </c>
      <c r="E173" s="433"/>
      <c r="F173" s="434" t="s">
        <v>21503</v>
      </c>
      <c r="G173" s="433" t="s">
        <v>20948</v>
      </c>
      <c r="H173" s="342" t="s">
        <v>29</v>
      </c>
      <c r="I173" s="433" t="s">
        <v>30</v>
      </c>
      <c r="J173" s="433"/>
      <c r="K173" s="433" t="s">
        <v>30</v>
      </c>
      <c r="L173" s="433">
        <v>17.0</v>
      </c>
      <c r="M173" s="433" t="s">
        <v>21508</v>
      </c>
      <c r="N173" s="433" t="s">
        <v>21504</v>
      </c>
      <c r="O173" s="433" t="s">
        <v>11247</v>
      </c>
      <c r="P173" s="433">
        <v>2007.0</v>
      </c>
      <c r="Q173" s="433" t="s">
        <v>388</v>
      </c>
      <c r="R173" s="433">
        <v>1.0</v>
      </c>
      <c r="S173" s="3"/>
      <c r="T173" s="3"/>
      <c r="U173" s="3"/>
      <c r="V173" s="3"/>
      <c r="W173" s="3"/>
      <c r="X173" s="3"/>
      <c r="Y173" s="3"/>
      <c r="Z173" s="3"/>
    </row>
    <row r="174" ht="15.75" customHeight="1">
      <c r="A174" s="3"/>
      <c r="B174" s="450">
        <v>162.0</v>
      </c>
      <c r="C174" s="433"/>
      <c r="D174" s="433" t="s">
        <v>21140</v>
      </c>
      <c r="E174" s="433"/>
      <c r="F174" s="434" t="s">
        <v>21509</v>
      </c>
      <c r="G174" s="433" t="s">
        <v>20948</v>
      </c>
      <c r="H174" s="342" t="s">
        <v>29</v>
      </c>
      <c r="I174" s="433" t="s">
        <v>30</v>
      </c>
      <c r="J174" s="433"/>
      <c r="K174" s="433" t="s">
        <v>30</v>
      </c>
      <c r="L174" s="433">
        <v>22.0</v>
      </c>
      <c r="M174" s="433" t="s">
        <v>20980</v>
      </c>
      <c r="N174" s="433" t="s">
        <v>21510</v>
      </c>
      <c r="O174" s="433" t="s">
        <v>21342</v>
      </c>
      <c r="P174" s="433">
        <v>2007.0</v>
      </c>
      <c r="Q174" s="433" t="s">
        <v>388</v>
      </c>
      <c r="R174" s="433">
        <v>1.0</v>
      </c>
      <c r="S174" s="3"/>
      <c r="T174" s="3"/>
      <c r="U174" s="3"/>
      <c r="V174" s="3"/>
      <c r="W174" s="3"/>
      <c r="X174" s="3"/>
      <c r="Y174" s="3"/>
      <c r="Z174" s="3"/>
    </row>
    <row r="175" ht="15.75" customHeight="1">
      <c r="A175" s="3"/>
      <c r="B175" s="552">
        <v>163.0</v>
      </c>
      <c r="C175" s="433"/>
      <c r="D175" s="433" t="s">
        <v>21331</v>
      </c>
      <c r="E175" s="433"/>
      <c r="F175" s="434" t="s">
        <v>21511</v>
      </c>
      <c r="G175" s="433" t="s">
        <v>20948</v>
      </c>
      <c r="H175" s="342" t="s">
        <v>29</v>
      </c>
      <c r="I175" s="433" t="s">
        <v>30</v>
      </c>
      <c r="J175" s="433"/>
      <c r="K175" s="433" t="s">
        <v>30</v>
      </c>
      <c r="L175" s="433">
        <v>21.0</v>
      </c>
      <c r="M175" s="433" t="s">
        <v>13582</v>
      </c>
      <c r="N175" s="433" t="s">
        <v>21512</v>
      </c>
      <c r="O175" s="433" t="s">
        <v>10148</v>
      </c>
      <c r="P175" s="433">
        <v>2007.0</v>
      </c>
      <c r="Q175" s="433" t="s">
        <v>388</v>
      </c>
      <c r="R175" s="433">
        <v>1.0</v>
      </c>
      <c r="S175" s="3"/>
      <c r="T175" s="3"/>
      <c r="U175" s="3"/>
      <c r="V175" s="3"/>
      <c r="W175" s="3"/>
      <c r="X175" s="3"/>
      <c r="Y175" s="3"/>
      <c r="Z175" s="3"/>
    </row>
    <row r="176" ht="15.75" customHeight="1">
      <c r="A176" s="3"/>
      <c r="B176" s="450">
        <v>164.0</v>
      </c>
      <c r="C176" s="433"/>
      <c r="D176" s="433" t="s">
        <v>21435</v>
      </c>
      <c r="E176" s="433"/>
      <c r="F176" s="434" t="s">
        <v>21513</v>
      </c>
      <c r="G176" s="433" t="s">
        <v>20948</v>
      </c>
      <c r="H176" s="342" t="s">
        <v>29</v>
      </c>
      <c r="I176" s="433" t="s">
        <v>30</v>
      </c>
      <c r="J176" s="433"/>
      <c r="K176" s="433" t="s">
        <v>30</v>
      </c>
      <c r="L176" s="433">
        <v>62.0</v>
      </c>
      <c r="M176" s="433" t="s">
        <v>13582</v>
      </c>
      <c r="N176" s="433" t="s">
        <v>21514</v>
      </c>
      <c r="O176" s="433" t="s">
        <v>21515</v>
      </c>
      <c r="P176" s="433">
        <v>2003.0</v>
      </c>
      <c r="Q176" s="433" t="s">
        <v>388</v>
      </c>
      <c r="R176" s="433">
        <v>2.0</v>
      </c>
      <c r="S176" s="3"/>
      <c r="T176" s="3"/>
      <c r="U176" s="3"/>
      <c r="V176" s="3"/>
      <c r="W176" s="3"/>
      <c r="X176" s="3"/>
      <c r="Y176" s="3"/>
      <c r="Z176" s="3"/>
    </row>
    <row r="177" ht="15.75" customHeight="1">
      <c r="A177" s="3"/>
      <c r="B177" s="552">
        <v>165.0</v>
      </c>
      <c r="C177" s="433"/>
      <c r="D177" s="433" t="s">
        <v>21516</v>
      </c>
      <c r="E177" s="433"/>
      <c r="F177" s="434" t="s">
        <v>21517</v>
      </c>
      <c r="G177" s="433" t="s">
        <v>21518</v>
      </c>
      <c r="H177" s="342" t="s">
        <v>29</v>
      </c>
      <c r="I177" s="433" t="s">
        <v>30</v>
      </c>
      <c r="J177" s="433"/>
      <c r="K177" s="433" t="s">
        <v>30</v>
      </c>
      <c r="L177" s="433">
        <v>27.0</v>
      </c>
      <c r="M177" s="433" t="s">
        <v>13582</v>
      </c>
      <c r="N177" s="433"/>
      <c r="O177" s="433" t="s">
        <v>21519</v>
      </c>
      <c r="P177" s="433">
        <v>2005.0</v>
      </c>
      <c r="Q177" s="433" t="s">
        <v>388</v>
      </c>
      <c r="R177" s="433">
        <v>3.0</v>
      </c>
      <c r="S177" s="3"/>
      <c r="T177" s="3"/>
      <c r="U177" s="3"/>
      <c r="V177" s="3"/>
      <c r="W177" s="3"/>
      <c r="X177" s="3"/>
      <c r="Y177" s="3"/>
      <c r="Z177" s="3"/>
    </row>
    <row r="178" ht="15.75" customHeight="1">
      <c r="A178" s="3"/>
      <c r="B178" s="450">
        <v>166.0</v>
      </c>
      <c r="C178" s="433"/>
      <c r="D178" s="433" t="s">
        <v>21520</v>
      </c>
      <c r="E178" s="433"/>
      <c r="F178" s="434" t="s">
        <v>21521</v>
      </c>
      <c r="G178" s="433"/>
      <c r="H178" s="342" t="s">
        <v>29</v>
      </c>
      <c r="I178" s="433" t="s">
        <v>30</v>
      </c>
      <c r="J178" s="433"/>
      <c r="K178" s="433" t="s">
        <v>30</v>
      </c>
      <c r="L178" s="433">
        <v>44.0</v>
      </c>
      <c r="M178" s="433" t="s">
        <v>13582</v>
      </c>
      <c r="N178" s="433" t="s">
        <v>21522</v>
      </c>
      <c r="O178" s="433" t="s">
        <v>21523</v>
      </c>
      <c r="P178" s="433">
        <v>2005.0</v>
      </c>
      <c r="Q178" s="433" t="s">
        <v>388</v>
      </c>
      <c r="R178" s="433">
        <v>2.0</v>
      </c>
      <c r="S178" s="3"/>
      <c r="T178" s="3"/>
      <c r="U178" s="3"/>
      <c r="V178" s="3"/>
      <c r="W178" s="3"/>
      <c r="X178" s="3"/>
      <c r="Y178" s="3"/>
      <c r="Z178" s="3"/>
    </row>
    <row r="179" ht="15.75" customHeight="1">
      <c r="A179" s="3"/>
      <c r="B179" s="552">
        <v>167.0</v>
      </c>
      <c r="C179" s="433"/>
      <c r="D179" s="433" t="s">
        <v>21520</v>
      </c>
      <c r="E179" s="433"/>
      <c r="F179" s="434" t="s">
        <v>21524</v>
      </c>
      <c r="G179" s="433"/>
      <c r="H179" s="342" t="s">
        <v>29</v>
      </c>
      <c r="I179" s="433" t="s">
        <v>30</v>
      </c>
      <c r="J179" s="433"/>
      <c r="K179" s="433" t="s">
        <v>30</v>
      </c>
      <c r="L179" s="433">
        <v>37.0</v>
      </c>
      <c r="M179" s="433" t="s">
        <v>13582</v>
      </c>
      <c r="N179" s="433" t="s">
        <v>21522</v>
      </c>
      <c r="O179" s="433" t="s">
        <v>21523</v>
      </c>
      <c r="P179" s="433">
        <v>2004.0</v>
      </c>
      <c r="Q179" s="433" t="s">
        <v>388</v>
      </c>
      <c r="R179" s="433">
        <v>1.0</v>
      </c>
      <c r="S179" s="3"/>
      <c r="T179" s="3"/>
      <c r="U179" s="3"/>
      <c r="V179" s="3"/>
      <c r="W179" s="3"/>
      <c r="X179" s="3"/>
      <c r="Y179" s="3"/>
      <c r="Z179" s="3"/>
    </row>
    <row r="180" ht="15.75" customHeight="1">
      <c r="A180" s="3"/>
      <c r="B180" s="450">
        <v>168.0</v>
      </c>
      <c r="C180" s="433"/>
      <c r="D180" s="433" t="s">
        <v>21525</v>
      </c>
      <c r="E180" s="433"/>
      <c r="F180" s="434" t="s">
        <v>21526</v>
      </c>
      <c r="G180" s="433" t="s">
        <v>20948</v>
      </c>
      <c r="H180" s="342" t="s">
        <v>29</v>
      </c>
      <c r="I180" s="433" t="s">
        <v>30</v>
      </c>
      <c r="J180" s="433"/>
      <c r="K180" s="433" t="s">
        <v>30</v>
      </c>
      <c r="L180" s="433">
        <v>38.0</v>
      </c>
      <c r="M180" s="433" t="s">
        <v>21402</v>
      </c>
      <c r="N180" s="433"/>
      <c r="O180" s="433" t="s">
        <v>13770</v>
      </c>
      <c r="P180" s="433" t="s">
        <v>13695</v>
      </c>
      <c r="Q180" s="433" t="s">
        <v>388</v>
      </c>
      <c r="R180" s="433">
        <v>2.0</v>
      </c>
      <c r="S180" s="3"/>
      <c r="T180" s="3"/>
      <c r="U180" s="3"/>
      <c r="V180" s="3"/>
      <c r="W180" s="3"/>
      <c r="X180" s="3"/>
      <c r="Y180" s="3"/>
      <c r="Z180" s="3"/>
    </row>
    <row r="181" ht="15.75" customHeight="1">
      <c r="A181" s="3"/>
      <c r="B181" s="552">
        <v>169.0</v>
      </c>
      <c r="C181" s="433"/>
      <c r="D181" s="433" t="s">
        <v>21525</v>
      </c>
      <c r="E181" s="433"/>
      <c r="F181" s="434" t="s">
        <v>21527</v>
      </c>
      <c r="G181" s="433" t="s">
        <v>20948</v>
      </c>
      <c r="H181" s="342" t="s">
        <v>29</v>
      </c>
      <c r="I181" s="433" t="s">
        <v>30</v>
      </c>
      <c r="J181" s="433"/>
      <c r="K181" s="433" t="s">
        <v>30</v>
      </c>
      <c r="L181" s="433">
        <v>57.0</v>
      </c>
      <c r="M181" s="433" t="s">
        <v>21402</v>
      </c>
      <c r="N181" s="433"/>
      <c r="O181" s="433" t="s">
        <v>13770</v>
      </c>
      <c r="P181" s="433" t="s">
        <v>13695</v>
      </c>
      <c r="Q181" s="433" t="s">
        <v>388</v>
      </c>
      <c r="R181" s="433">
        <v>1.0</v>
      </c>
      <c r="S181" s="3"/>
      <c r="T181" s="3"/>
      <c r="U181" s="3"/>
      <c r="V181" s="3"/>
      <c r="W181" s="3"/>
      <c r="X181" s="3"/>
      <c r="Y181" s="3"/>
      <c r="Z181" s="3"/>
    </row>
    <row r="182" ht="15.75" customHeight="1">
      <c r="A182" s="3"/>
      <c r="B182" s="450">
        <v>170.0</v>
      </c>
      <c r="C182" s="433"/>
      <c r="D182" s="433" t="s">
        <v>21140</v>
      </c>
      <c r="E182" s="433"/>
      <c r="F182" s="434" t="s">
        <v>21528</v>
      </c>
      <c r="G182" s="433" t="s">
        <v>20948</v>
      </c>
      <c r="H182" s="342" t="s">
        <v>29</v>
      </c>
      <c r="I182" s="433" t="s">
        <v>30</v>
      </c>
      <c r="J182" s="433"/>
      <c r="K182" s="433" t="s">
        <v>30</v>
      </c>
      <c r="L182" s="433">
        <v>23.0</v>
      </c>
      <c r="M182" s="433" t="s">
        <v>13582</v>
      </c>
      <c r="N182" s="433" t="s">
        <v>21529</v>
      </c>
      <c r="O182" s="433" t="s">
        <v>21486</v>
      </c>
      <c r="P182" s="433">
        <v>2008.0</v>
      </c>
      <c r="Q182" s="433" t="s">
        <v>388</v>
      </c>
      <c r="R182" s="433">
        <v>1.0</v>
      </c>
      <c r="S182" s="3"/>
      <c r="T182" s="3"/>
      <c r="U182" s="3"/>
      <c r="V182" s="3"/>
      <c r="W182" s="3"/>
      <c r="X182" s="3"/>
      <c r="Y182" s="3"/>
      <c r="Z182" s="3"/>
    </row>
    <row r="183" ht="15.75" customHeight="1">
      <c r="A183" s="3"/>
      <c r="B183" s="552">
        <v>171.0</v>
      </c>
      <c r="C183" s="433"/>
      <c r="D183" s="433" t="s">
        <v>21530</v>
      </c>
      <c r="E183" s="433"/>
      <c r="F183" s="434" t="s">
        <v>21531</v>
      </c>
      <c r="G183" s="433" t="s">
        <v>20948</v>
      </c>
      <c r="H183" s="342" t="s">
        <v>29</v>
      </c>
      <c r="I183" s="433" t="s">
        <v>30</v>
      </c>
      <c r="J183" s="433"/>
      <c r="K183" s="433" t="s">
        <v>30</v>
      </c>
      <c r="L183" s="433">
        <v>26.0</v>
      </c>
      <c r="M183" s="433" t="s">
        <v>13582</v>
      </c>
      <c r="N183" s="433" t="s">
        <v>21532</v>
      </c>
      <c r="O183" s="433" t="s">
        <v>21533</v>
      </c>
      <c r="P183" s="433">
        <v>2003.0</v>
      </c>
      <c r="Q183" s="433" t="s">
        <v>388</v>
      </c>
      <c r="R183" s="433">
        <v>1.0</v>
      </c>
      <c r="S183" s="3"/>
      <c r="T183" s="3"/>
      <c r="U183" s="3"/>
      <c r="V183" s="3"/>
      <c r="W183" s="3"/>
      <c r="X183" s="3"/>
      <c r="Y183" s="3"/>
      <c r="Z183" s="3"/>
    </row>
    <row r="184" ht="15.75" customHeight="1">
      <c r="A184" s="3"/>
      <c r="B184" s="450">
        <v>172.0</v>
      </c>
      <c r="C184" s="433"/>
      <c r="D184" s="433" t="s">
        <v>21534</v>
      </c>
      <c r="E184" s="433"/>
      <c r="F184" s="434" t="s">
        <v>21535</v>
      </c>
      <c r="G184" s="433" t="s">
        <v>20948</v>
      </c>
      <c r="H184" s="342" t="s">
        <v>29</v>
      </c>
      <c r="I184" s="433" t="s">
        <v>30</v>
      </c>
      <c r="J184" s="433"/>
      <c r="K184" s="433" t="s">
        <v>30</v>
      </c>
      <c r="L184" s="433">
        <v>12.0</v>
      </c>
      <c r="M184" s="433" t="s">
        <v>21536</v>
      </c>
      <c r="N184" s="433"/>
      <c r="O184" s="433" t="s">
        <v>21537</v>
      </c>
      <c r="P184" s="433">
        <v>2003.0</v>
      </c>
      <c r="Q184" s="433" t="s">
        <v>388</v>
      </c>
      <c r="R184" s="433">
        <v>1.0</v>
      </c>
      <c r="S184" s="3"/>
      <c r="T184" s="3"/>
      <c r="U184" s="3"/>
      <c r="V184" s="3"/>
      <c r="W184" s="3"/>
      <c r="X184" s="3"/>
      <c r="Y184" s="3"/>
      <c r="Z184" s="3"/>
    </row>
    <row r="185" ht="15.75" customHeight="1">
      <c r="A185" s="3"/>
      <c r="B185" s="552">
        <v>173.0</v>
      </c>
      <c r="C185" s="433"/>
      <c r="D185" s="433" t="s">
        <v>21538</v>
      </c>
      <c r="E185" s="433"/>
      <c r="F185" s="434" t="s">
        <v>21539</v>
      </c>
      <c r="G185" s="433" t="s">
        <v>20948</v>
      </c>
      <c r="H185" s="342" t="s">
        <v>29</v>
      </c>
      <c r="I185" s="433" t="s">
        <v>30</v>
      </c>
      <c r="J185" s="433"/>
      <c r="K185" s="433" t="s">
        <v>30</v>
      </c>
      <c r="L185" s="433"/>
      <c r="M185" s="433" t="s">
        <v>21453</v>
      </c>
      <c r="N185" s="433" t="s">
        <v>21540</v>
      </c>
      <c r="O185" s="433" t="s">
        <v>1271</v>
      </c>
      <c r="P185" s="433"/>
      <c r="Q185" s="433" t="s">
        <v>388</v>
      </c>
      <c r="R185" s="433">
        <v>1.0</v>
      </c>
      <c r="S185" s="3"/>
      <c r="T185" s="3"/>
      <c r="U185" s="3"/>
      <c r="V185" s="3"/>
      <c r="W185" s="3"/>
      <c r="X185" s="3"/>
      <c r="Y185" s="3"/>
      <c r="Z185" s="3"/>
    </row>
    <row r="186" ht="15.75" customHeight="1">
      <c r="A186" s="3"/>
      <c r="B186" s="450">
        <v>174.0</v>
      </c>
      <c r="C186" s="433"/>
      <c r="D186" s="433" t="s">
        <v>21316</v>
      </c>
      <c r="E186" s="433"/>
      <c r="F186" s="434" t="s">
        <v>21541</v>
      </c>
      <c r="G186" s="433" t="s">
        <v>20948</v>
      </c>
      <c r="H186" s="342" t="s">
        <v>29</v>
      </c>
      <c r="I186" s="433" t="s">
        <v>30</v>
      </c>
      <c r="J186" s="433"/>
      <c r="K186" s="433" t="s">
        <v>30</v>
      </c>
      <c r="L186" s="433">
        <v>11.0</v>
      </c>
      <c r="M186" s="433" t="s">
        <v>13582</v>
      </c>
      <c r="N186" s="433"/>
      <c r="O186" s="433" t="s">
        <v>21542</v>
      </c>
      <c r="P186" s="433">
        <v>2002.0</v>
      </c>
      <c r="Q186" s="433" t="s">
        <v>388</v>
      </c>
      <c r="R186" s="433">
        <v>1.0</v>
      </c>
      <c r="S186" s="3"/>
      <c r="T186" s="3"/>
      <c r="U186" s="3"/>
      <c r="V186" s="3"/>
      <c r="W186" s="3"/>
      <c r="X186" s="3"/>
      <c r="Y186" s="3"/>
      <c r="Z186" s="3"/>
    </row>
    <row r="187" ht="15.75" customHeight="1">
      <c r="A187" s="3"/>
      <c r="B187" s="552">
        <v>175.0</v>
      </c>
      <c r="C187" s="433"/>
      <c r="D187" s="433" t="s">
        <v>21543</v>
      </c>
      <c r="E187" s="433"/>
      <c r="F187" s="434" t="s">
        <v>21544</v>
      </c>
      <c r="G187" s="433" t="s">
        <v>20948</v>
      </c>
      <c r="H187" s="342" t="s">
        <v>29</v>
      </c>
      <c r="I187" s="433" t="s">
        <v>30</v>
      </c>
      <c r="J187" s="433"/>
      <c r="K187" s="433" t="s">
        <v>30</v>
      </c>
      <c r="L187" s="433">
        <v>12.0</v>
      </c>
      <c r="M187" s="433" t="s">
        <v>13582</v>
      </c>
      <c r="N187" s="433" t="s">
        <v>21545</v>
      </c>
      <c r="O187" s="433" t="s">
        <v>21546</v>
      </c>
      <c r="P187" s="433">
        <v>2012.0</v>
      </c>
      <c r="Q187" s="433" t="s">
        <v>388</v>
      </c>
      <c r="R187" s="433">
        <v>1.0</v>
      </c>
      <c r="S187" s="3"/>
      <c r="T187" s="3"/>
      <c r="U187" s="3"/>
      <c r="V187" s="3"/>
      <c r="W187" s="3"/>
      <c r="X187" s="3"/>
      <c r="Y187" s="3"/>
      <c r="Z187" s="3"/>
    </row>
    <row r="188" ht="15.75" customHeight="1">
      <c r="A188" s="3"/>
      <c r="B188" s="450">
        <v>176.0</v>
      </c>
      <c r="C188" s="433"/>
      <c r="D188" s="433" t="s">
        <v>21426</v>
      </c>
      <c r="E188" s="433"/>
      <c r="F188" s="434" t="s">
        <v>21547</v>
      </c>
      <c r="G188" s="433" t="s">
        <v>20948</v>
      </c>
      <c r="H188" s="342" t="s">
        <v>29</v>
      </c>
      <c r="I188" s="433" t="s">
        <v>30</v>
      </c>
      <c r="J188" s="433"/>
      <c r="K188" s="433" t="s">
        <v>30</v>
      </c>
      <c r="L188" s="433">
        <v>4.0</v>
      </c>
      <c r="M188" s="433" t="s">
        <v>13582</v>
      </c>
      <c r="N188" s="433"/>
      <c r="O188" s="433" t="s">
        <v>21548</v>
      </c>
      <c r="P188" s="433">
        <v>2010.0</v>
      </c>
      <c r="Q188" s="433" t="s">
        <v>388</v>
      </c>
      <c r="R188" s="433">
        <v>1.0</v>
      </c>
      <c r="S188" s="3"/>
      <c r="T188" s="3"/>
      <c r="U188" s="3"/>
      <c r="V188" s="3"/>
      <c r="W188" s="3"/>
      <c r="X188" s="3"/>
      <c r="Y188" s="3"/>
      <c r="Z188" s="3"/>
    </row>
    <row r="189" ht="15.75" customHeight="1">
      <c r="A189" s="3"/>
      <c r="B189" s="552">
        <v>177.0</v>
      </c>
      <c r="C189" s="433"/>
      <c r="D189" s="433" t="s">
        <v>21468</v>
      </c>
      <c r="E189" s="433"/>
      <c r="F189" s="434" t="s">
        <v>21549</v>
      </c>
      <c r="G189" s="433"/>
      <c r="H189" s="342" t="s">
        <v>29</v>
      </c>
      <c r="I189" s="433" t="s">
        <v>30</v>
      </c>
      <c r="J189" s="433"/>
      <c r="K189" s="433" t="s">
        <v>30</v>
      </c>
      <c r="L189" s="433">
        <v>8.0</v>
      </c>
      <c r="M189" s="433" t="s">
        <v>13582</v>
      </c>
      <c r="N189" s="433" t="s">
        <v>21545</v>
      </c>
      <c r="O189" s="433" t="s">
        <v>21546</v>
      </c>
      <c r="P189" s="433">
        <v>2012.0</v>
      </c>
      <c r="Q189" s="433" t="s">
        <v>388</v>
      </c>
      <c r="R189" s="433">
        <v>1.0</v>
      </c>
      <c r="S189" s="3"/>
      <c r="T189" s="3"/>
      <c r="U189" s="3"/>
      <c r="V189" s="3"/>
      <c r="W189" s="3"/>
      <c r="X189" s="3"/>
      <c r="Y189" s="3"/>
      <c r="Z189" s="3"/>
    </row>
    <row r="190" ht="15.75" customHeight="1">
      <c r="A190" s="3"/>
      <c r="B190" s="450">
        <v>178.0</v>
      </c>
      <c r="C190" s="433"/>
      <c r="D190" s="433" t="s">
        <v>21543</v>
      </c>
      <c r="E190" s="433"/>
      <c r="F190" s="434" t="s">
        <v>21550</v>
      </c>
      <c r="G190" s="433" t="s">
        <v>20948</v>
      </c>
      <c r="H190" s="342" t="s">
        <v>29</v>
      </c>
      <c r="I190" s="433" t="s">
        <v>30</v>
      </c>
      <c r="J190" s="433"/>
      <c r="K190" s="433" t="s">
        <v>30</v>
      </c>
      <c r="L190" s="433">
        <v>7.0</v>
      </c>
      <c r="M190" s="433" t="s">
        <v>13582</v>
      </c>
      <c r="N190" s="433"/>
      <c r="O190" s="433" t="s">
        <v>21546</v>
      </c>
      <c r="P190" s="433"/>
      <c r="Q190" s="433" t="s">
        <v>388</v>
      </c>
      <c r="R190" s="433">
        <v>1.0</v>
      </c>
      <c r="S190" s="3"/>
      <c r="T190" s="3"/>
      <c r="U190" s="3"/>
      <c r="V190" s="3"/>
      <c r="W190" s="3"/>
      <c r="X190" s="3"/>
      <c r="Y190" s="3"/>
      <c r="Z190" s="3"/>
    </row>
    <row r="191" ht="15.75" customHeight="1">
      <c r="A191" s="3"/>
      <c r="B191" s="552">
        <v>179.0</v>
      </c>
      <c r="C191" s="433"/>
      <c r="D191" s="433" t="s">
        <v>21140</v>
      </c>
      <c r="E191" s="433"/>
      <c r="F191" s="434" t="s">
        <v>21551</v>
      </c>
      <c r="G191" s="433" t="s">
        <v>20948</v>
      </c>
      <c r="H191" s="342" t="s">
        <v>29</v>
      </c>
      <c r="I191" s="433" t="s">
        <v>30</v>
      </c>
      <c r="J191" s="433"/>
      <c r="K191" s="433" t="s">
        <v>30</v>
      </c>
      <c r="L191" s="433">
        <v>5.0</v>
      </c>
      <c r="M191" s="433" t="s">
        <v>13582</v>
      </c>
      <c r="N191" s="433" t="s">
        <v>21552</v>
      </c>
      <c r="O191" s="433" t="s">
        <v>21546</v>
      </c>
      <c r="P191" s="433">
        <v>2004.0</v>
      </c>
      <c r="Q191" s="433" t="s">
        <v>388</v>
      </c>
      <c r="R191" s="433">
        <v>1.0</v>
      </c>
      <c r="S191" s="3"/>
      <c r="T191" s="3"/>
      <c r="U191" s="3"/>
      <c r="V191" s="3"/>
      <c r="W191" s="3"/>
      <c r="X191" s="3"/>
      <c r="Y191" s="3"/>
      <c r="Z191" s="3"/>
    </row>
    <row r="192" ht="15.75" customHeight="1">
      <c r="A192" s="3"/>
      <c r="B192" s="450">
        <v>180.0</v>
      </c>
      <c r="C192" s="433"/>
      <c r="D192" s="433" t="s">
        <v>21553</v>
      </c>
      <c r="E192" s="433"/>
      <c r="F192" s="434" t="s">
        <v>21554</v>
      </c>
      <c r="G192" s="433" t="s">
        <v>20948</v>
      </c>
      <c r="H192" s="342" t="s">
        <v>29</v>
      </c>
      <c r="I192" s="433" t="s">
        <v>30</v>
      </c>
      <c r="J192" s="433"/>
      <c r="K192" s="433" t="s">
        <v>30</v>
      </c>
      <c r="L192" s="433">
        <v>8.0</v>
      </c>
      <c r="M192" s="433" t="s">
        <v>21555</v>
      </c>
      <c r="N192" s="433" t="s">
        <v>21556</v>
      </c>
      <c r="O192" s="433" t="s">
        <v>1271</v>
      </c>
      <c r="P192" s="433">
        <v>2008.0</v>
      </c>
      <c r="Q192" s="433" t="s">
        <v>388</v>
      </c>
      <c r="R192" s="433">
        <v>1.0</v>
      </c>
      <c r="S192" s="3"/>
      <c r="T192" s="3"/>
      <c r="U192" s="3"/>
      <c r="V192" s="3"/>
      <c r="W192" s="3"/>
      <c r="X192" s="3"/>
      <c r="Y192" s="3"/>
      <c r="Z192" s="3"/>
    </row>
    <row r="193" ht="15.75" customHeight="1">
      <c r="A193" s="3"/>
      <c r="B193" s="552">
        <v>181.0</v>
      </c>
      <c r="C193" s="433"/>
      <c r="D193" s="433" t="s">
        <v>21525</v>
      </c>
      <c r="E193" s="433"/>
      <c r="F193" s="434" t="s">
        <v>21557</v>
      </c>
      <c r="G193" s="433" t="s">
        <v>20948</v>
      </c>
      <c r="H193" s="342" t="s">
        <v>29</v>
      </c>
      <c r="I193" s="433" t="s">
        <v>30</v>
      </c>
      <c r="J193" s="433"/>
      <c r="K193" s="433" t="s">
        <v>30</v>
      </c>
      <c r="L193" s="433"/>
      <c r="M193" s="433" t="s">
        <v>13582</v>
      </c>
      <c r="N193" s="433" t="s">
        <v>21540</v>
      </c>
      <c r="O193" s="433" t="s">
        <v>1271</v>
      </c>
      <c r="P193" s="433">
        <v>2011.0</v>
      </c>
      <c r="Q193" s="433" t="s">
        <v>388</v>
      </c>
      <c r="R193" s="433">
        <v>1.0</v>
      </c>
      <c r="S193" s="3"/>
      <c r="T193" s="3"/>
      <c r="U193" s="3"/>
      <c r="V193" s="3"/>
      <c r="W193" s="3"/>
      <c r="X193" s="3"/>
      <c r="Y193" s="3"/>
      <c r="Z193" s="3"/>
    </row>
    <row r="194" ht="15.75" customHeight="1">
      <c r="A194" s="3"/>
      <c r="B194" s="450">
        <v>182.0</v>
      </c>
      <c r="C194" s="433"/>
      <c r="D194" s="433" t="s">
        <v>21553</v>
      </c>
      <c r="E194" s="433"/>
      <c r="F194" s="434" t="s">
        <v>21558</v>
      </c>
      <c r="G194" s="433" t="s">
        <v>20948</v>
      </c>
      <c r="H194" s="342" t="s">
        <v>29</v>
      </c>
      <c r="I194" s="433" t="s">
        <v>30</v>
      </c>
      <c r="J194" s="433"/>
      <c r="K194" s="433" t="s">
        <v>30</v>
      </c>
      <c r="L194" s="433">
        <v>8.0</v>
      </c>
      <c r="M194" s="433" t="s">
        <v>13582</v>
      </c>
      <c r="N194" s="433" t="s">
        <v>21559</v>
      </c>
      <c r="O194" s="433" t="s">
        <v>1271</v>
      </c>
      <c r="P194" s="433">
        <v>2006.0</v>
      </c>
      <c r="Q194" s="433" t="s">
        <v>388</v>
      </c>
      <c r="R194" s="433">
        <v>5.0</v>
      </c>
      <c r="S194" s="3"/>
      <c r="T194" s="3"/>
      <c r="U194" s="3"/>
      <c r="V194" s="3"/>
      <c r="W194" s="3"/>
      <c r="X194" s="3"/>
      <c r="Y194" s="3"/>
      <c r="Z194" s="3"/>
    </row>
    <row r="195" ht="15.75" customHeight="1">
      <c r="A195" s="3"/>
      <c r="B195" s="552">
        <v>183.0</v>
      </c>
      <c r="C195" s="433"/>
      <c r="D195" s="433" t="s">
        <v>21331</v>
      </c>
      <c r="E195" s="433"/>
      <c r="F195" s="434" t="s">
        <v>21560</v>
      </c>
      <c r="G195" s="433" t="s">
        <v>20948</v>
      </c>
      <c r="H195" s="342" t="s">
        <v>29</v>
      </c>
      <c r="I195" s="433" t="s">
        <v>30</v>
      </c>
      <c r="J195" s="433"/>
      <c r="K195" s="433" t="s">
        <v>30</v>
      </c>
      <c r="L195" s="433">
        <v>8.0</v>
      </c>
      <c r="M195" s="433" t="s">
        <v>13582</v>
      </c>
      <c r="N195" s="433" t="s">
        <v>21561</v>
      </c>
      <c r="O195" s="433" t="s">
        <v>1271</v>
      </c>
      <c r="P195" s="433">
        <v>2009.0</v>
      </c>
      <c r="Q195" s="433" t="s">
        <v>388</v>
      </c>
      <c r="R195" s="433">
        <v>1.0</v>
      </c>
      <c r="S195" s="3"/>
      <c r="T195" s="3"/>
      <c r="U195" s="3"/>
      <c r="V195" s="3"/>
      <c r="W195" s="3"/>
      <c r="X195" s="3"/>
      <c r="Y195" s="3"/>
      <c r="Z195" s="3"/>
    </row>
    <row r="196" ht="15.75" customHeight="1">
      <c r="A196" s="3"/>
      <c r="B196" s="450">
        <v>184.0</v>
      </c>
      <c r="C196" s="433"/>
      <c r="D196" s="433" t="s">
        <v>21562</v>
      </c>
      <c r="E196" s="433"/>
      <c r="F196" s="434" t="s">
        <v>21563</v>
      </c>
      <c r="G196" s="433" t="s">
        <v>20948</v>
      </c>
      <c r="H196" s="342" t="s">
        <v>29</v>
      </c>
      <c r="I196" s="433" t="s">
        <v>30</v>
      </c>
      <c r="J196" s="433"/>
      <c r="K196" s="433" t="s">
        <v>30</v>
      </c>
      <c r="L196" s="433">
        <v>8.0</v>
      </c>
      <c r="M196" s="433" t="s">
        <v>13582</v>
      </c>
      <c r="N196" s="433" t="s">
        <v>21564</v>
      </c>
      <c r="O196" s="433" t="s">
        <v>1271</v>
      </c>
      <c r="P196" s="433">
        <v>2010.0</v>
      </c>
      <c r="Q196" s="433" t="s">
        <v>388</v>
      </c>
      <c r="R196" s="433">
        <v>2.0</v>
      </c>
      <c r="S196" s="3"/>
      <c r="T196" s="3"/>
      <c r="U196" s="3"/>
      <c r="V196" s="3"/>
      <c r="W196" s="3"/>
      <c r="X196" s="3"/>
      <c r="Y196" s="3"/>
      <c r="Z196" s="3"/>
    </row>
    <row r="197" ht="15.75" customHeight="1">
      <c r="A197" s="3"/>
      <c r="B197" s="552">
        <v>185.0</v>
      </c>
      <c r="C197" s="433"/>
      <c r="D197" s="433" t="s">
        <v>21553</v>
      </c>
      <c r="E197" s="433"/>
      <c r="F197" s="434" t="s">
        <v>21565</v>
      </c>
      <c r="G197" s="433" t="s">
        <v>20948</v>
      </c>
      <c r="H197" s="342" t="s">
        <v>29</v>
      </c>
      <c r="I197" s="433" t="s">
        <v>30</v>
      </c>
      <c r="J197" s="433"/>
      <c r="K197" s="433" t="s">
        <v>30</v>
      </c>
      <c r="L197" s="433"/>
      <c r="M197" s="433" t="s">
        <v>13582</v>
      </c>
      <c r="N197" s="433" t="s">
        <v>21540</v>
      </c>
      <c r="O197" s="433" t="s">
        <v>1271</v>
      </c>
      <c r="P197" s="433">
        <v>2012.0</v>
      </c>
      <c r="Q197" s="433" t="s">
        <v>388</v>
      </c>
      <c r="R197" s="433">
        <v>2.0</v>
      </c>
      <c r="S197" s="3"/>
      <c r="T197" s="3"/>
      <c r="U197" s="3"/>
      <c r="V197" s="3"/>
      <c r="W197" s="3"/>
      <c r="X197" s="3"/>
      <c r="Y197" s="3"/>
      <c r="Z197" s="3"/>
    </row>
    <row r="198" ht="15.75" customHeight="1">
      <c r="A198" s="3"/>
      <c r="B198" s="450">
        <v>186.0</v>
      </c>
      <c r="C198" s="433"/>
      <c r="D198" s="433" t="s">
        <v>21566</v>
      </c>
      <c r="E198" s="433"/>
      <c r="F198" s="434" t="s">
        <v>21567</v>
      </c>
      <c r="G198" s="433" t="s">
        <v>20948</v>
      </c>
      <c r="H198" s="342" t="s">
        <v>29</v>
      </c>
      <c r="I198" s="433" t="s">
        <v>30</v>
      </c>
      <c r="J198" s="433"/>
      <c r="K198" s="433" t="s">
        <v>30</v>
      </c>
      <c r="L198" s="433"/>
      <c r="M198" s="433" t="s">
        <v>13645</v>
      </c>
      <c r="N198" s="433" t="s">
        <v>21568</v>
      </c>
      <c r="O198" s="433" t="s">
        <v>1271</v>
      </c>
      <c r="P198" s="433">
        <v>2012.0</v>
      </c>
      <c r="Q198" s="433" t="s">
        <v>388</v>
      </c>
      <c r="R198" s="433">
        <v>2.0</v>
      </c>
      <c r="S198" s="3"/>
      <c r="T198" s="3"/>
      <c r="U198" s="3"/>
      <c r="V198" s="3"/>
      <c r="W198" s="3"/>
      <c r="X198" s="3"/>
      <c r="Y198" s="3"/>
      <c r="Z198" s="3"/>
    </row>
    <row r="199" ht="15.75" customHeight="1">
      <c r="A199" s="3"/>
      <c r="B199" s="552">
        <v>187.0</v>
      </c>
      <c r="C199" s="433"/>
      <c r="D199" s="433" t="s">
        <v>21331</v>
      </c>
      <c r="E199" s="433"/>
      <c r="F199" s="434" t="s">
        <v>21569</v>
      </c>
      <c r="G199" s="433" t="s">
        <v>20948</v>
      </c>
      <c r="H199" s="342" t="s">
        <v>29</v>
      </c>
      <c r="I199" s="433" t="s">
        <v>30</v>
      </c>
      <c r="J199" s="433"/>
      <c r="K199" s="433" t="s">
        <v>30</v>
      </c>
      <c r="L199" s="433"/>
      <c r="M199" s="433" t="s">
        <v>13582</v>
      </c>
      <c r="N199" s="433" t="s">
        <v>21570</v>
      </c>
      <c r="O199" s="433" t="s">
        <v>21571</v>
      </c>
      <c r="P199" s="433">
        <v>2009.0</v>
      </c>
      <c r="Q199" s="433" t="s">
        <v>388</v>
      </c>
      <c r="R199" s="433">
        <v>1.0</v>
      </c>
      <c r="S199" s="3"/>
      <c r="T199" s="3"/>
      <c r="U199" s="3"/>
      <c r="V199" s="3"/>
      <c r="W199" s="3"/>
      <c r="X199" s="3"/>
      <c r="Y199" s="3"/>
      <c r="Z199" s="3"/>
    </row>
    <row r="200" ht="15.75" customHeight="1">
      <c r="A200" s="3"/>
      <c r="B200" s="450">
        <v>188.0</v>
      </c>
      <c r="C200" s="433"/>
      <c r="D200" s="433" t="s">
        <v>21572</v>
      </c>
      <c r="E200" s="433"/>
      <c r="F200" s="434" t="s">
        <v>21573</v>
      </c>
      <c r="G200" s="433" t="s">
        <v>20948</v>
      </c>
      <c r="H200" s="342" t="s">
        <v>29</v>
      </c>
      <c r="I200" s="433" t="s">
        <v>30</v>
      </c>
      <c r="J200" s="433"/>
      <c r="K200" s="433" t="s">
        <v>30</v>
      </c>
      <c r="L200" s="433">
        <v>7.0</v>
      </c>
      <c r="M200" s="433" t="s">
        <v>13582</v>
      </c>
      <c r="N200" s="433" t="s">
        <v>21574</v>
      </c>
      <c r="O200" s="433" t="s">
        <v>21575</v>
      </c>
      <c r="P200" s="433">
        <v>87.0</v>
      </c>
      <c r="Q200" s="433" t="s">
        <v>388</v>
      </c>
      <c r="R200" s="433">
        <v>1.0</v>
      </c>
      <c r="S200" s="3"/>
      <c r="T200" s="3"/>
      <c r="U200" s="3"/>
      <c r="V200" s="3"/>
      <c r="W200" s="3"/>
      <c r="X200" s="3"/>
      <c r="Y200" s="3"/>
      <c r="Z200" s="3"/>
    </row>
    <row r="201" ht="15.75" customHeight="1">
      <c r="A201" s="3"/>
      <c r="B201" s="552">
        <v>189.0</v>
      </c>
      <c r="C201" s="433"/>
      <c r="D201" s="433" t="s">
        <v>21576</v>
      </c>
      <c r="E201" s="433"/>
      <c r="F201" s="434" t="s">
        <v>21577</v>
      </c>
      <c r="G201" s="433" t="s">
        <v>20948</v>
      </c>
      <c r="H201" s="342" t="s">
        <v>29</v>
      </c>
      <c r="I201" s="433" t="s">
        <v>30</v>
      </c>
      <c r="J201" s="433"/>
      <c r="K201" s="433" t="s">
        <v>30</v>
      </c>
      <c r="L201" s="433"/>
      <c r="M201" s="433" t="s">
        <v>21578</v>
      </c>
      <c r="N201" s="433" t="s">
        <v>21579</v>
      </c>
      <c r="O201" s="433" t="s">
        <v>20935</v>
      </c>
      <c r="P201" s="433">
        <v>2012.0</v>
      </c>
      <c r="Q201" s="433" t="s">
        <v>388</v>
      </c>
      <c r="R201" s="433">
        <v>1.0</v>
      </c>
      <c r="S201" s="3"/>
      <c r="T201" s="3"/>
      <c r="U201" s="3"/>
      <c r="V201" s="3"/>
      <c r="W201" s="3"/>
      <c r="X201" s="3"/>
      <c r="Y201" s="3"/>
      <c r="Z201" s="3"/>
    </row>
    <row r="202" ht="15.75" customHeight="1">
      <c r="A202" s="3"/>
      <c r="B202" s="450">
        <v>190.0</v>
      </c>
      <c r="C202" s="433"/>
      <c r="D202" s="433" t="s">
        <v>21576</v>
      </c>
      <c r="E202" s="433"/>
      <c r="F202" s="434" t="s">
        <v>21580</v>
      </c>
      <c r="G202" s="433" t="s">
        <v>20948</v>
      </c>
      <c r="H202" s="342" t="s">
        <v>29</v>
      </c>
      <c r="I202" s="433" t="s">
        <v>30</v>
      </c>
      <c r="J202" s="433"/>
      <c r="K202" s="433" t="s">
        <v>30</v>
      </c>
      <c r="L202" s="433"/>
      <c r="M202" s="433" t="s">
        <v>21581</v>
      </c>
      <c r="N202" s="433" t="s">
        <v>21579</v>
      </c>
      <c r="O202" s="433" t="s">
        <v>20935</v>
      </c>
      <c r="P202" s="433">
        <v>2010.0</v>
      </c>
      <c r="Q202" s="433" t="s">
        <v>388</v>
      </c>
      <c r="R202" s="433">
        <v>1.0</v>
      </c>
      <c r="S202" s="3"/>
      <c r="T202" s="3"/>
      <c r="U202" s="3"/>
      <c r="V202" s="3"/>
      <c r="W202" s="3"/>
      <c r="X202" s="3"/>
      <c r="Y202" s="3"/>
      <c r="Z202" s="3"/>
    </row>
    <row r="203" ht="15.75" customHeight="1">
      <c r="A203" s="3"/>
      <c r="B203" s="552">
        <v>191.0</v>
      </c>
      <c r="C203" s="433"/>
      <c r="D203" s="433" t="s">
        <v>21180</v>
      </c>
      <c r="E203" s="433"/>
      <c r="F203" s="434" t="s">
        <v>21582</v>
      </c>
      <c r="G203" s="433" t="s">
        <v>16872</v>
      </c>
      <c r="H203" s="342" t="s">
        <v>29</v>
      </c>
      <c r="I203" s="433" t="s">
        <v>30</v>
      </c>
      <c r="J203" s="433"/>
      <c r="K203" s="433" t="s">
        <v>30</v>
      </c>
      <c r="L203" s="433">
        <v>31.0</v>
      </c>
      <c r="M203" s="433" t="s">
        <v>21402</v>
      </c>
      <c r="N203" s="433" t="s">
        <v>21583</v>
      </c>
      <c r="O203" s="433" t="s">
        <v>21178</v>
      </c>
      <c r="P203" s="433">
        <v>2009.0</v>
      </c>
      <c r="Q203" s="433" t="s">
        <v>388</v>
      </c>
      <c r="R203" s="433">
        <v>1.0</v>
      </c>
      <c r="S203" s="3"/>
      <c r="T203" s="3"/>
      <c r="U203" s="3"/>
      <c r="V203" s="3"/>
      <c r="W203" s="3"/>
      <c r="X203" s="3"/>
      <c r="Y203" s="3"/>
      <c r="Z203" s="3"/>
    </row>
    <row r="204" ht="15.75" customHeight="1">
      <c r="A204" s="3"/>
      <c r="B204" s="450">
        <v>192.0</v>
      </c>
      <c r="C204" s="433"/>
      <c r="D204" s="433" t="s">
        <v>21180</v>
      </c>
      <c r="E204" s="433"/>
      <c r="F204" s="434" t="s">
        <v>21584</v>
      </c>
      <c r="G204" s="433" t="s">
        <v>16872</v>
      </c>
      <c r="H204" s="342" t="s">
        <v>29</v>
      </c>
      <c r="I204" s="433" t="s">
        <v>30</v>
      </c>
      <c r="J204" s="433"/>
      <c r="K204" s="433" t="s">
        <v>30</v>
      </c>
      <c r="L204" s="433">
        <v>31.0</v>
      </c>
      <c r="M204" s="433" t="s">
        <v>21471</v>
      </c>
      <c r="N204" s="433" t="s">
        <v>21585</v>
      </c>
      <c r="O204" s="433" t="s">
        <v>21178</v>
      </c>
      <c r="P204" s="433">
        <v>2009.0</v>
      </c>
      <c r="Q204" s="433" t="s">
        <v>388</v>
      </c>
      <c r="R204" s="433">
        <v>1.0</v>
      </c>
      <c r="S204" s="3"/>
      <c r="T204" s="3"/>
      <c r="U204" s="3"/>
      <c r="V204" s="3"/>
      <c r="W204" s="3"/>
      <c r="X204" s="3"/>
      <c r="Y204" s="3"/>
      <c r="Z204" s="3"/>
    </row>
    <row r="205" ht="15.75" customHeight="1">
      <c r="A205" s="3"/>
      <c r="B205" s="552">
        <v>193.0</v>
      </c>
      <c r="C205" s="433"/>
      <c r="D205" s="433" t="s">
        <v>21180</v>
      </c>
      <c r="E205" s="433"/>
      <c r="F205" s="434" t="s">
        <v>21586</v>
      </c>
      <c r="G205" s="433" t="s">
        <v>16872</v>
      </c>
      <c r="H205" s="342" t="s">
        <v>29</v>
      </c>
      <c r="I205" s="433" t="s">
        <v>30</v>
      </c>
      <c r="J205" s="433"/>
      <c r="K205" s="433" t="s">
        <v>30</v>
      </c>
      <c r="L205" s="433">
        <v>30.0</v>
      </c>
      <c r="M205" s="433" t="s">
        <v>21471</v>
      </c>
      <c r="N205" s="433" t="s">
        <v>21585</v>
      </c>
      <c r="O205" s="433" t="s">
        <v>21178</v>
      </c>
      <c r="P205" s="433">
        <v>2009.0</v>
      </c>
      <c r="Q205" s="433" t="s">
        <v>388</v>
      </c>
      <c r="R205" s="433">
        <v>1.0</v>
      </c>
      <c r="S205" s="3"/>
      <c r="T205" s="3"/>
      <c r="U205" s="3"/>
      <c r="V205" s="3"/>
      <c r="W205" s="3"/>
      <c r="X205" s="3"/>
      <c r="Y205" s="3"/>
      <c r="Z205" s="3"/>
    </row>
    <row r="206" ht="15.75" customHeight="1">
      <c r="A206" s="3"/>
      <c r="B206" s="450">
        <v>194.0</v>
      </c>
      <c r="C206" s="433"/>
      <c r="D206" s="433" t="s">
        <v>21180</v>
      </c>
      <c r="E206" s="433"/>
      <c r="F206" s="434" t="s">
        <v>21587</v>
      </c>
      <c r="G206" s="433" t="s">
        <v>16872</v>
      </c>
      <c r="H206" s="342" t="s">
        <v>29</v>
      </c>
      <c r="I206" s="433" t="s">
        <v>30</v>
      </c>
      <c r="J206" s="433"/>
      <c r="K206" s="433" t="s">
        <v>30</v>
      </c>
      <c r="L206" s="433">
        <v>30.0</v>
      </c>
      <c r="M206" s="433" t="s">
        <v>21471</v>
      </c>
      <c r="N206" s="433" t="s">
        <v>21585</v>
      </c>
      <c r="O206" s="433" t="s">
        <v>21178</v>
      </c>
      <c r="P206" s="433">
        <v>2009.0</v>
      </c>
      <c r="Q206" s="433" t="s">
        <v>388</v>
      </c>
      <c r="R206" s="433">
        <v>1.0</v>
      </c>
      <c r="S206" s="3"/>
      <c r="T206" s="3"/>
      <c r="U206" s="3"/>
      <c r="V206" s="3"/>
      <c r="W206" s="3"/>
      <c r="X206" s="3"/>
      <c r="Y206" s="3"/>
      <c r="Z206" s="3"/>
    </row>
    <row r="207" ht="15.75" customHeight="1">
      <c r="A207" s="3"/>
      <c r="B207" s="552">
        <v>195.0</v>
      </c>
      <c r="C207" s="433"/>
      <c r="D207" s="433" t="s">
        <v>21180</v>
      </c>
      <c r="E207" s="433"/>
      <c r="F207" s="434" t="s">
        <v>21588</v>
      </c>
      <c r="G207" s="433" t="s">
        <v>16872</v>
      </c>
      <c r="H207" s="342" t="s">
        <v>29</v>
      </c>
      <c r="I207" s="433" t="s">
        <v>30</v>
      </c>
      <c r="J207" s="433"/>
      <c r="K207" s="433" t="s">
        <v>30</v>
      </c>
      <c r="L207" s="433">
        <v>31.0</v>
      </c>
      <c r="M207" s="433" t="s">
        <v>21471</v>
      </c>
      <c r="N207" s="433" t="s">
        <v>21585</v>
      </c>
      <c r="O207" s="433" t="s">
        <v>21178</v>
      </c>
      <c r="P207" s="433">
        <v>2009.0</v>
      </c>
      <c r="Q207" s="433" t="s">
        <v>388</v>
      </c>
      <c r="R207" s="433">
        <v>2.0</v>
      </c>
      <c r="S207" s="3"/>
      <c r="T207" s="3"/>
      <c r="U207" s="3"/>
      <c r="V207" s="3"/>
      <c r="W207" s="3"/>
      <c r="X207" s="3"/>
      <c r="Y207" s="3"/>
      <c r="Z207" s="3"/>
    </row>
    <row r="208" ht="15.75" customHeight="1">
      <c r="A208" s="3"/>
      <c r="B208" s="450">
        <v>196.0</v>
      </c>
      <c r="C208" s="433"/>
      <c r="D208" s="433" t="s">
        <v>21180</v>
      </c>
      <c r="E208" s="433"/>
      <c r="F208" s="434" t="s">
        <v>21589</v>
      </c>
      <c r="G208" s="433" t="s">
        <v>16872</v>
      </c>
      <c r="H208" s="342" t="s">
        <v>29</v>
      </c>
      <c r="I208" s="433" t="s">
        <v>30</v>
      </c>
      <c r="J208" s="433"/>
      <c r="K208" s="433" t="s">
        <v>30</v>
      </c>
      <c r="L208" s="433">
        <v>30.0</v>
      </c>
      <c r="M208" s="433" t="s">
        <v>21471</v>
      </c>
      <c r="N208" s="433" t="s">
        <v>21585</v>
      </c>
      <c r="O208" s="433" t="s">
        <v>21178</v>
      </c>
      <c r="P208" s="433">
        <v>2009.0</v>
      </c>
      <c r="Q208" s="433" t="s">
        <v>388</v>
      </c>
      <c r="R208" s="433">
        <v>1.0</v>
      </c>
      <c r="S208" s="3"/>
      <c r="T208" s="3"/>
      <c r="U208" s="3"/>
      <c r="V208" s="3"/>
      <c r="W208" s="3"/>
      <c r="X208" s="3"/>
      <c r="Y208" s="3"/>
      <c r="Z208" s="3"/>
    </row>
    <row r="209" ht="15.75" customHeight="1">
      <c r="A209" s="3"/>
      <c r="B209" s="552">
        <v>197.0</v>
      </c>
      <c r="C209" s="433"/>
      <c r="D209" s="433" t="s">
        <v>21180</v>
      </c>
      <c r="E209" s="433"/>
      <c r="F209" s="434" t="s">
        <v>21590</v>
      </c>
      <c r="G209" s="433" t="s">
        <v>16872</v>
      </c>
      <c r="H209" s="342" t="s">
        <v>29</v>
      </c>
      <c r="I209" s="433" t="s">
        <v>30</v>
      </c>
      <c r="J209" s="433"/>
      <c r="K209" s="433" t="s">
        <v>30</v>
      </c>
      <c r="L209" s="433">
        <v>31.0</v>
      </c>
      <c r="M209" s="433" t="s">
        <v>21471</v>
      </c>
      <c r="N209" s="433" t="s">
        <v>21585</v>
      </c>
      <c r="O209" s="433" t="s">
        <v>21178</v>
      </c>
      <c r="P209" s="433">
        <v>2009.0</v>
      </c>
      <c r="Q209" s="433" t="s">
        <v>388</v>
      </c>
      <c r="R209" s="433">
        <v>1.0</v>
      </c>
      <c r="S209" s="3"/>
      <c r="T209" s="3"/>
      <c r="U209" s="3"/>
      <c r="V209" s="3"/>
      <c r="W209" s="3"/>
      <c r="X209" s="3"/>
      <c r="Y209" s="3"/>
      <c r="Z209" s="3"/>
    </row>
    <row r="210" ht="15.75" customHeight="1">
      <c r="A210" s="3"/>
      <c r="B210" s="450">
        <v>198.0</v>
      </c>
      <c r="C210" s="433"/>
      <c r="D210" s="433" t="s">
        <v>21180</v>
      </c>
      <c r="E210" s="433"/>
      <c r="F210" s="434" t="s">
        <v>21591</v>
      </c>
      <c r="G210" s="433" t="s">
        <v>16872</v>
      </c>
      <c r="H210" s="342" t="s">
        <v>29</v>
      </c>
      <c r="I210" s="433" t="s">
        <v>30</v>
      </c>
      <c r="J210" s="433"/>
      <c r="K210" s="433" t="s">
        <v>30</v>
      </c>
      <c r="L210" s="433">
        <v>31.0</v>
      </c>
      <c r="M210" s="433" t="s">
        <v>21471</v>
      </c>
      <c r="N210" s="433" t="s">
        <v>21585</v>
      </c>
      <c r="O210" s="433" t="s">
        <v>21178</v>
      </c>
      <c r="P210" s="433">
        <v>2010.0</v>
      </c>
      <c r="Q210" s="433" t="s">
        <v>388</v>
      </c>
      <c r="R210" s="433">
        <v>2.0</v>
      </c>
      <c r="S210" s="3"/>
      <c r="T210" s="3"/>
      <c r="U210" s="3"/>
      <c r="V210" s="3"/>
      <c r="W210" s="3"/>
      <c r="X210" s="3"/>
      <c r="Y210" s="3"/>
      <c r="Z210" s="3"/>
    </row>
    <row r="211" ht="15.75" customHeight="1">
      <c r="A211" s="3"/>
      <c r="B211" s="552">
        <v>199.0</v>
      </c>
      <c r="C211" s="433"/>
      <c r="D211" s="433" t="s">
        <v>21180</v>
      </c>
      <c r="E211" s="433"/>
      <c r="F211" s="434" t="s">
        <v>21592</v>
      </c>
      <c r="G211" s="433" t="s">
        <v>16872</v>
      </c>
      <c r="H211" s="342" t="s">
        <v>29</v>
      </c>
      <c r="I211" s="433" t="s">
        <v>30</v>
      </c>
      <c r="J211" s="433"/>
      <c r="K211" s="433" t="s">
        <v>30</v>
      </c>
      <c r="L211" s="433">
        <v>29.0</v>
      </c>
      <c r="M211" s="433" t="s">
        <v>21471</v>
      </c>
      <c r="N211" s="433" t="s">
        <v>21585</v>
      </c>
      <c r="O211" s="433" t="s">
        <v>21178</v>
      </c>
      <c r="P211" s="433">
        <v>2010.0</v>
      </c>
      <c r="Q211" s="433" t="s">
        <v>388</v>
      </c>
      <c r="R211" s="433">
        <v>2.0</v>
      </c>
      <c r="S211" s="3"/>
      <c r="T211" s="3"/>
      <c r="U211" s="3"/>
      <c r="V211" s="3"/>
      <c r="W211" s="3"/>
      <c r="X211" s="3"/>
      <c r="Y211" s="3"/>
      <c r="Z211" s="3"/>
    </row>
    <row r="212" ht="15.75" customHeight="1">
      <c r="A212" s="3"/>
      <c r="B212" s="450">
        <v>200.0</v>
      </c>
      <c r="C212" s="433"/>
      <c r="D212" s="433" t="s">
        <v>21180</v>
      </c>
      <c r="E212" s="433"/>
      <c r="F212" s="434" t="s">
        <v>21593</v>
      </c>
      <c r="G212" s="433" t="s">
        <v>16872</v>
      </c>
      <c r="H212" s="342" t="s">
        <v>29</v>
      </c>
      <c r="I212" s="433" t="s">
        <v>30</v>
      </c>
      <c r="J212" s="433"/>
      <c r="K212" s="433" t="s">
        <v>30</v>
      </c>
      <c r="L212" s="433">
        <v>30.0</v>
      </c>
      <c r="M212" s="433" t="s">
        <v>21594</v>
      </c>
      <c r="N212" s="433" t="s">
        <v>21585</v>
      </c>
      <c r="O212" s="433" t="s">
        <v>21178</v>
      </c>
      <c r="P212" s="433">
        <v>2010.0</v>
      </c>
      <c r="Q212" s="433" t="s">
        <v>388</v>
      </c>
      <c r="R212" s="433">
        <v>2.0</v>
      </c>
      <c r="S212" s="3"/>
      <c r="T212" s="3"/>
      <c r="U212" s="3"/>
      <c r="V212" s="3"/>
      <c r="W212" s="3"/>
      <c r="X212" s="3"/>
      <c r="Y212" s="3"/>
      <c r="Z212" s="3"/>
    </row>
    <row r="213" ht="15.75" customHeight="1">
      <c r="A213" s="3"/>
      <c r="B213" s="552">
        <v>201.0</v>
      </c>
      <c r="C213" s="433"/>
      <c r="D213" s="433" t="s">
        <v>21180</v>
      </c>
      <c r="E213" s="433"/>
      <c r="F213" s="434" t="s">
        <v>21595</v>
      </c>
      <c r="G213" s="433" t="s">
        <v>16872</v>
      </c>
      <c r="H213" s="342" t="s">
        <v>29</v>
      </c>
      <c r="I213" s="433" t="s">
        <v>30</v>
      </c>
      <c r="J213" s="433"/>
      <c r="K213" s="433" t="s">
        <v>30</v>
      </c>
      <c r="L213" s="433">
        <v>31.0</v>
      </c>
      <c r="M213" s="433" t="s">
        <v>21471</v>
      </c>
      <c r="N213" s="433" t="s">
        <v>21585</v>
      </c>
      <c r="O213" s="433" t="s">
        <v>21178</v>
      </c>
      <c r="P213" s="433">
        <v>2010.0</v>
      </c>
      <c r="Q213" s="433" t="s">
        <v>388</v>
      </c>
      <c r="R213" s="433">
        <v>2.0</v>
      </c>
      <c r="S213" s="3"/>
      <c r="T213" s="3"/>
      <c r="U213" s="3"/>
      <c r="V213" s="3"/>
      <c r="W213" s="3"/>
      <c r="X213" s="3"/>
      <c r="Y213" s="3"/>
      <c r="Z213" s="3"/>
    </row>
    <row r="214" ht="15.75" customHeight="1">
      <c r="A214" s="3"/>
      <c r="B214" s="450">
        <v>202.0</v>
      </c>
      <c r="C214" s="433"/>
      <c r="D214" s="433" t="s">
        <v>21180</v>
      </c>
      <c r="E214" s="433"/>
      <c r="F214" s="434" t="s">
        <v>21596</v>
      </c>
      <c r="G214" s="433" t="s">
        <v>16872</v>
      </c>
      <c r="H214" s="342" t="s">
        <v>29</v>
      </c>
      <c r="I214" s="433" t="s">
        <v>30</v>
      </c>
      <c r="J214" s="433"/>
      <c r="K214" s="433" t="s">
        <v>30</v>
      </c>
      <c r="L214" s="433">
        <v>31.0</v>
      </c>
      <c r="M214" s="433" t="s">
        <v>21597</v>
      </c>
      <c r="N214" s="433" t="s">
        <v>21585</v>
      </c>
      <c r="O214" s="433" t="s">
        <v>21178</v>
      </c>
      <c r="P214" s="433">
        <v>2010.0</v>
      </c>
      <c r="Q214" s="433" t="s">
        <v>388</v>
      </c>
      <c r="R214" s="433">
        <v>1.0</v>
      </c>
      <c r="S214" s="3"/>
      <c r="T214" s="3"/>
      <c r="U214" s="3"/>
      <c r="V214" s="3"/>
      <c r="W214" s="3"/>
      <c r="X214" s="3"/>
      <c r="Y214" s="3"/>
      <c r="Z214" s="3"/>
    </row>
    <row r="215" ht="15.75" customHeight="1">
      <c r="A215" s="3"/>
      <c r="B215" s="552">
        <v>203.0</v>
      </c>
      <c r="C215" s="433"/>
      <c r="D215" s="433" t="s">
        <v>21180</v>
      </c>
      <c r="E215" s="433"/>
      <c r="F215" s="434" t="s">
        <v>21598</v>
      </c>
      <c r="G215" s="433" t="s">
        <v>16872</v>
      </c>
      <c r="H215" s="342" t="s">
        <v>29</v>
      </c>
      <c r="I215" s="433" t="s">
        <v>30</v>
      </c>
      <c r="J215" s="433"/>
      <c r="K215" s="433" t="s">
        <v>30</v>
      </c>
      <c r="L215" s="433">
        <v>30.0</v>
      </c>
      <c r="M215" s="433" t="s">
        <v>21471</v>
      </c>
      <c r="N215" s="433" t="s">
        <v>21585</v>
      </c>
      <c r="O215" s="433" t="s">
        <v>21178</v>
      </c>
      <c r="P215" s="433">
        <v>2010.0</v>
      </c>
      <c r="Q215" s="433" t="s">
        <v>388</v>
      </c>
      <c r="R215" s="433">
        <v>3.0</v>
      </c>
      <c r="S215" s="3"/>
      <c r="T215" s="3"/>
      <c r="U215" s="3"/>
      <c r="V215" s="3"/>
      <c r="W215" s="3"/>
      <c r="X215" s="3"/>
      <c r="Y215" s="3"/>
      <c r="Z215" s="3"/>
    </row>
    <row r="216" ht="15.75" customHeight="1">
      <c r="A216" s="3"/>
      <c r="B216" s="450">
        <v>204.0</v>
      </c>
      <c r="C216" s="433"/>
      <c r="D216" s="433" t="s">
        <v>21180</v>
      </c>
      <c r="E216" s="433"/>
      <c r="F216" s="434" t="s">
        <v>21599</v>
      </c>
      <c r="G216" s="433" t="s">
        <v>16872</v>
      </c>
      <c r="H216" s="342" t="s">
        <v>29</v>
      </c>
      <c r="I216" s="433" t="s">
        <v>30</v>
      </c>
      <c r="J216" s="433"/>
      <c r="K216" s="433" t="s">
        <v>30</v>
      </c>
      <c r="L216" s="433">
        <v>31.0</v>
      </c>
      <c r="M216" s="433" t="s">
        <v>21471</v>
      </c>
      <c r="N216" s="433" t="s">
        <v>21585</v>
      </c>
      <c r="O216" s="433" t="s">
        <v>21178</v>
      </c>
      <c r="P216" s="433">
        <v>2010.0</v>
      </c>
      <c r="Q216" s="433" t="s">
        <v>388</v>
      </c>
      <c r="R216" s="433">
        <v>2.0</v>
      </c>
      <c r="S216" s="3"/>
      <c r="T216" s="3"/>
      <c r="U216" s="3"/>
      <c r="V216" s="3"/>
      <c r="W216" s="3"/>
      <c r="X216" s="3"/>
      <c r="Y216" s="3"/>
      <c r="Z216" s="3"/>
    </row>
    <row r="217" ht="15.75" customHeight="1">
      <c r="A217" s="3"/>
      <c r="B217" s="552">
        <v>205.0</v>
      </c>
      <c r="C217" s="433"/>
      <c r="D217" s="433" t="s">
        <v>21180</v>
      </c>
      <c r="E217" s="433"/>
      <c r="F217" s="434" t="s">
        <v>21600</v>
      </c>
      <c r="G217" s="433" t="s">
        <v>16872</v>
      </c>
      <c r="H217" s="342" t="s">
        <v>29</v>
      </c>
      <c r="I217" s="433" t="s">
        <v>30</v>
      </c>
      <c r="J217" s="433"/>
      <c r="K217" s="433" t="s">
        <v>30</v>
      </c>
      <c r="L217" s="433">
        <v>31.0</v>
      </c>
      <c r="M217" s="433" t="s">
        <v>21471</v>
      </c>
      <c r="N217" s="433" t="s">
        <v>21585</v>
      </c>
      <c r="O217" s="433" t="s">
        <v>21178</v>
      </c>
      <c r="P217" s="433">
        <v>2010.0</v>
      </c>
      <c r="Q217" s="433" t="s">
        <v>388</v>
      </c>
      <c r="R217" s="433">
        <v>1.0</v>
      </c>
      <c r="S217" s="3"/>
      <c r="T217" s="3"/>
      <c r="U217" s="3"/>
      <c r="V217" s="3"/>
      <c r="W217" s="3"/>
      <c r="X217" s="3"/>
      <c r="Y217" s="3"/>
      <c r="Z217" s="3"/>
    </row>
    <row r="218" ht="15.75" customHeight="1">
      <c r="A218" s="3"/>
      <c r="B218" s="450">
        <v>206.0</v>
      </c>
      <c r="C218" s="433"/>
      <c r="D218" s="433" t="s">
        <v>21180</v>
      </c>
      <c r="E218" s="433"/>
      <c r="F218" s="434" t="s">
        <v>21601</v>
      </c>
      <c r="G218" s="433" t="s">
        <v>16872</v>
      </c>
      <c r="H218" s="342" t="s">
        <v>29</v>
      </c>
      <c r="I218" s="433" t="s">
        <v>30</v>
      </c>
      <c r="J218" s="433"/>
      <c r="K218" s="433" t="s">
        <v>30</v>
      </c>
      <c r="L218" s="433">
        <v>30.0</v>
      </c>
      <c r="M218" s="433" t="s">
        <v>21471</v>
      </c>
      <c r="N218" s="433" t="s">
        <v>21585</v>
      </c>
      <c r="O218" s="433" t="s">
        <v>21178</v>
      </c>
      <c r="P218" s="433">
        <v>2010.0</v>
      </c>
      <c r="Q218" s="433" t="s">
        <v>388</v>
      </c>
      <c r="R218" s="433">
        <v>2.0</v>
      </c>
      <c r="S218" s="3"/>
      <c r="T218" s="3"/>
      <c r="U218" s="3"/>
      <c r="V218" s="3"/>
      <c r="W218" s="3"/>
      <c r="X218" s="3"/>
      <c r="Y218" s="3"/>
      <c r="Z218" s="3"/>
    </row>
    <row r="219" ht="15.75" customHeight="1">
      <c r="A219" s="3"/>
      <c r="B219" s="552">
        <v>207.0</v>
      </c>
      <c r="C219" s="433"/>
      <c r="D219" s="433" t="s">
        <v>21180</v>
      </c>
      <c r="E219" s="433"/>
      <c r="F219" s="434" t="s">
        <v>21602</v>
      </c>
      <c r="G219" s="433" t="s">
        <v>16872</v>
      </c>
      <c r="H219" s="342" t="s">
        <v>29</v>
      </c>
      <c r="I219" s="433" t="s">
        <v>30</v>
      </c>
      <c r="J219" s="433"/>
      <c r="K219" s="433" t="s">
        <v>30</v>
      </c>
      <c r="L219" s="433">
        <v>30.0</v>
      </c>
      <c r="M219" s="433" t="s">
        <v>21471</v>
      </c>
      <c r="N219" s="433" t="s">
        <v>21585</v>
      </c>
      <c r="O219" s="433" t="s">
        <v>21178</v>
      </c>
      <c r="P219" s="433">
        <v>2010.0</v>
      </c>
      <c r="Q219" s="433" t="s">
        <v>388</v>
      </c>
      <c r="R219" s="433">
        <v>1.0</v>
      </c>
      <c r="S219" s="3"/>
      <c r="T219" s="3"/>
      <c r="U219" s="3"/>
      <c r="V219" s="3"/>
      <c r="W219" s="3"/>
      <c r="X219" s="3"/>
      <c r="Y219" s="3"/>
      <c r="Z219" s="3"/>
    </row>
    <row r="220" ht="15.75" customHeight="1">
      <c r="A220" s="3"/>
      <c r="B220" s="450">
        <v>208.0</v>
      </c>
      <c r="C220" s="433"/>
      <c r="D220" s="433" t="s">
        <v>21180</v>
      </c>
      <c r="E220" s="433"/>
      <c r="F220" s="434" t="s">
        <v>21603</v>
      </c>
      <c r="G220" s="433" t="s">
        <v>16872</v>
      </c>
      <c r="H220" s="342" t="s">
        <v>29</v>
      </c>
      <c r="I220" s="433" t="s">
        <v>30</v>
      </c>
      <c r="J220" s="433"/>
      <c r="K220" s="433" t="s">
        <v>30</v>
      </c>
      <c r="L220" s="433">
        <v>31.0</v>
      </c>
      <c r="M220" s="433" t="s">
        <v>21471</v>
      </c>
      <c r="N220" s="433" t="s">
        <v>21585</v>
      </c>
      <c r="O220" s="433" t="s">
        <v>21178</v>
      </c>
      <c r="P220" s="433">
        <v>2010.0</v>
      </c>
      <c r="Q220" s="433" t="s">
        <v>388</v>
      </c>
      <c r="R220" s="433">
        <v>1.0</v>
      </c>
      <c r="S220" s="3"/>
      <c r="T220" s="3"/>
      <c r="U220" s="3"/>
      <c r="V220" s="3"/>
      <c r="W220" s="3"/>
      <c r="X220" s="3"/>
      <c r="Y220" s="3"/>
      <c r="Z220" s="3"/>
    </row>
    <row r="221" ht="15.75" customHeight="1">
      <c r="A221" s="3"/>
      <c r="B221" s="552">
        <v>209.0</v>
      </c>
      <c r="C221" s="433"/>
      <c r="D221" s="433" t="s">
        <v>21180</v>
      </c>
      <c r="E221" s="433"/>
      <c r="F221" s="434" t="s">
        <v>21604</v>
      </c>
      <c r="G221" s="433" t="s">
        <v>16872</v>
      </c>
      <c r="H221" s="342" t="s">
        <v>29</v>
      </c>
      <c r="I221" s="433" t="s">
        <v>30</v>
      </c>
      <c r="J221" s="433"/>
      <c r="K221" s="433" t="s">
        <v>30</v>
      </c>
      <c r="L221" s="433">
        <v>31.0</v>
      </c>
      <c r="M221" s="433" t="s">
        <v>21594</v>
      </c>
      <c r="N221" s="433" t="s">
        <v>21585</v>
      </c>
      <c r="O221" s="433" t="s">
        <v>21178</v>
      </c>
      <c r="P221" s="433">
        <v>2010.0</v>
      </c>
      <c r="Q221" s="433" t="s">
        <v>388</v>
      </c>
      <c r="R221" s="433">
        <v>1.0</v>
      </c>
      <c r="S221" s="3"/>
      <c r="T221" s="3"/>
      <c r="U221" s="3"/>
      <c r="V221" s="3"/>
      <c r="W221" s="3"/>
      <c r="X221" s="3"/>
      <c r="Y221" s="3"/>
      <c r="Z221" s="3"/>
    </row>
    <row r="222" ht="15.75" customHeight="1">
      <c r="A222" s="3"/>
      <c r="B222" s="450">
        <v>210.0</v>
      </c>
      <c r="C222" s="433"/>
      <c r="D222" s="433" t="s">
        <v>21180</v>
      </c>
      <c r="E222" s="433"/>
      <c r="F222" s="434" t="s">
        <v>21605</v>
      </c>
      <c r="G222" s="433" t="s">
        <v>16872</v>
      </c>
      <c r="H222" s="342" t="s">
        <v>29</v>
      </c>
      <c r="I222" s="433" t="s">
        <v>30</v>
      </c>
      <c r="J222" s="433"/>
      <c r="K222" s="433" t="s">
        <v>30</v>
      </c>
      <c r="L222" s="433">
        <v>31.0</v>
      </c>
      <c r="M222" s="433" t="s">
        <v>21594</v>
      </c>
      <c r="N222" s="433" t="s">
        <v>21585</v>
      </c>
      <c r="O222" s="433" t="s">
        <v>21178</v>
      </c>
      <c r="P222" s="433">
        <v>2011.0</v>
      </c>
      <c r="Q222" s="433" t="s">
        <v>388</v>
      </c>
      <c r="R222" s="433">
        <v>2.0</v>
      </c>
      <c r="S222" s="3"/>
      <c r="T222" s="3"/>
      <c r="U222" s="3"/>
      <c r="V222" s="3"/>
      <c r="W222" s="3"/>
      <c r="X222" s="3"/>
      <c r="Y222" s="3"/>
      <c r="Z222" s="3"/>
    </row>
    <row r="223" ht="15.75" customHeight="1">
      <c r="A223" s="3"/>
      <c r="B223" s="552">
        <v>211.0</v>
      </c>
      <c r="C223" s="433"/>
      <c r="D223" s="433" t="s">
        <v>21180</v>
      </c>
      <c r="E223" s="433"/>
      <c r="F223" s="434" t="s">
        <v>21606</v>
      </c>
      <c r="G223" s="433" t="s">
        <v>16872</v>
      </c>
      <c r="H223" s="342" t="s">
        <v>29</v>
      </c>
      <c r="I223" s="433" t="s">
        <v>30</v>
      </c>
      <c r="J223" s="433"/>
      <c r="K223" s="433" t="s">
        <v>30</v>
      </c>
      <c r="L223" s="433">
        <v>28.0</v>
      </c>
      <c r="M223" s="433" t="s">
        <v>21594</v>
      </c>
      <c r="N223" s="433" t="s">
        <v>21585</v>
      </c>
      <c r="O223" s="433" t="s">
        <v>21178</v>
      </c>
      <c r="P223" s="433">
        <v>2011.0</v>
      </c>
      <c r="Q223" s="433" t="s">
        <v>388</v>
      </c>
      <c r="R223" s="433">
        <v>2.0</v>
      </c>
      <c r="S223" s="3"/>
      <c r="T223" s="3"/>
      <c r="U223" s="3"/>
      <c r="V223" s="3"/>
      <c r="W223" s="3"/>
      <c r="X223" s="3"/>
      <c r="Y223" s="3"/>
      <c r="Z223" s="3"/>
    </row>
    <row r="224" ht="15.75" customHeight="1">
      <c r="A224" s="3"/>
      <c r="B224" s="450">
        <v>212.0</v>
      </c>
      <c r="C224" s="433"/>
      <c r="D224" s="433" t="s">
        <v>21180</v>
      </c>
      <c r="E224" s="433"/>
      <c r="F224" s="434" t="s">
        <v>21607</v>
      </c>
      <c r="G224" s="433" t="s">
        <v>16872</v>
      </c>
      <c r="H224" s="342" t="s">
        <v>29</v>
      </c>
      <c r="I224" s="433" t="s">
        <v>30</v>
      </c>
      <c r="J224" s="433"/>
      <c r="K224" s="433" t="s">
        <v>30</v>
      </c>
      <c r="L224" s="433">
        <v>30.0</v>
      </c>
      <c r="M224" s="433" t="s">
        <v>21594</v>
      </c>
      <c r="N224" s="433" t="s">
        <v>21585</v>
      </c>
      <c r="O224" s="433" t="s">
        <v>21178</v>
      </c>
      <c r="P224" s="433">
        <v>2011.0</v>
      </c>
      <c r="Q224" s="433" t="s">
        <v>388</v>
      </c>
      <c r="R224" s="433">
        <v>2.0</v>
      </c>
      <c r="S224" s="3"/>
      <c r="T224" s="3"/>
      <c r="U224" s="3"/>
      <c r="V224" s="3"/>
      <c r="W224" s="3"/>
      <c r="X224" s="3"/>
      <c r="Y224" s="3"/>
      <c r="Z224" s="3"/>
    </row>
    <row r="225" ht="15.75" customHeight="1">
      <c r="A225" s="3"/>
      <c r="B225" s="552">
        <v>213.0</v>
      </c>
      <c r="C225" s="433"/>
      <c r="D225" s="433" t="s">
        <v>21180</v>
      </c>
      <c r="E225" s="433"/>
      <c r="F225" s="434" t="s">
        <v>21608</v>
      </c>
      <c r="G225" s="433" t="s">
        <v>16872</v>
      </c>
      <c r="H225" s="342" t="s">
        <v>29</v>
      </c>
      <c r="I225" s="433" t="s">
        <v>30</v>
      </c>
      <c r="J225" s="433"/>
      <c r="K225" s="433" t="s">
        <v>30</v>
      </c>
      <c r="L225" s="433">
        <v>31.0</v>
      </c>
      <c r="M225" s="433" t="s">
        <v>21594</v>
      </c>
      <c r="N225" s="433" t="s">
        <v>21585</v>
      </c>
      <c r="O225" s="433" t="s">
        <v>21178</v>
      </c>
      <c r="P225" s="433">
        <v>2011.0</v>
      </c>
      <c r="Q225" s="433" t="s">
        <v>388</v>
      </c>
      <c r="R225" s="433">
        <v>3.0</v>
      </c>
      <c r="S225" s="3"/>
      <c r="T225" s="3"/>
      <c r="U225" s="3"/>
      <c r="V225" s="3"/>
      <c r="W225" s="3"/>
      <c r="X225" s="3"/>
      <c r="Y225" s="3"/>
      <c r="Z225" s="3"/>
    </row>
    <row r="226" ht="15.75" customHeight="1">
      <c r="A226" s="3"/>
      <c r="B226" s="450">
        <v>214.0</v>
      </c>
      <c r="C226" s="433"/>
      <c r="D226" s="433" t="s">
        <v>21180</v>
      </c>
      <c r="E226" s="433"/>
      <c r="F226" s="434" t="s">
        <v>21609</v>
      </c>
      <c r="G226" s="433" t="s">
        <v>16872</v>
      </c>
      <c r="H226" s="342" t="s">
        <v>29</v>
      </c>
      <c r="I226" s="433" t="s">
        <v>30</v>
      </c>
      <c r="J226" s="433"/>
      <c r="K226" s="433" t="s">
        <v>30</v>
      </c>
      <c r="L226" s="433">
        <v>31.0</v>
      </c>
      <c r="M226" s="433" t="s">
        <v>21594</v>
      </c>
      <c r="N226" s="433" t="s">
        <v>21585</v>
      </c>
      <c r="O226" s="433" t="s">
        <v>21178</v>
      </c>
      <c r="P226" s="433">
        <v>2011.0</v>
      </c>
      <c r="Q226" s="433" t="s">
        <v>388</v>
      </c>
      <c r="R226" s="433">
        <v>3.0</v>
      </c>
      <c r="S226" s="3"/>
      <c r="T226" s="3"/>
      <c r="U226" s="3"/>
      <c r="V226" s="3"/>
      <c r="W226" s="3"/>
      <c r="X226" s="3"/>
      <c r="Y226" s="3"/>
      <c r="Z226" s="3"/>
    </row>
    <row r="227" ht="15.75" customHeight="1">
      <c r="A227" s="3"/>
      <c r="B227" s="552">
        <v>215.0</v>
      </c>
      <c r="C227" s="433"/>
      <c r="D227" s="433" t="s">
        <v>21180</v>
      </c>
      <c r="E227" s="433"/>
      <c r="F227" s="434" t="s">
        <v>21610</v>
      </c>
      <c r="G227" s="433" t="s">
        <v>16872</v>
      </c>
      <c r="H227" s="342" t="s">
        <v>29</v>
      </c>
      <c r="I227" s="433" t="s">
        <v>30</v>
      </c>
      <c r="J227" s="433"/>
      <c r="K227" s="433" t="s">
        <v>30</v>
      </c>
      <c r="L227" s="433">
        <v>30.0</v>
      </c>
      <c r="M227" s="433" t="s">
        <v>21594</v>
      </c>
      <c r="N227" s="433" t="s">
        <v>21585</v>
      </c>
      <c r="O227" s="433" t="s">
        <v>21178</v>
      </c>
      <c r="P227" s="433">
        <v>2011.0</v>
      </c>
      <c r="Q227" s="433" t="s">
        <v>388</v>
      </c>
      <c r="R227" s="433">
        <v>2.0</v>
      </c>
      <c r="S227" s="3"/>
      <c r="T227" s="3"/>
      <c r="U227" s="3"/>
      <c r="V227" s="3"/>
      <c r="W227" s="3"/>
      <c r="X227" s="3"/>
      <c r="Y227" s="3"/>
      <c r="Z227" s="3"/>
    </row>
    <row r="228" ht="15.75" customHeight="1">
      <c r="A228" s="3"/>
      <c r="B228" s="450">
        <v>216.0</v>
      </c>
      <c r="C228" s="433"/>
      <c r="D228" s="433" t="s">
        <v>21180</v>
      </c>
      <c r="E228" s="433"/>
      <c r="F228" s="434" t="s">
        <v>21611</v>
      </c>
      <c r="G228" s="433" t="s">
        <v>16872</v>
      </c>
      <c r="H228" s="342" t="s">
        <v>29</v>
      </c>
      <c r="I228" s="433" t="s">
        <v>30</v>
      </c>
      <c r="J228" s="433"/>
      <c r="K228" s="433" t="s">
        <v>30</v>
      </c>
      <c r="L228" s="433">
        <v>31.0</v>
      </c>
      <c r="M228" s="433" t="s">
        <v>21594</v>
      </c>
      <c r="N228" s="433" t="s">
        <v>21585</v>
      </c>
      <c r="O228" s="433" t="s">
        <v>21178</v>
      </c>
      <c r="P228" s="433">
        <v>2011.0</v>
      </c>
      <c r="Q228" s="433" t="s">
        <v>388</v>
      </c>
      <c r="R228" s="433">
        <v>2.0</v>
      </c>
      <c r="S228" s="3"/>
      <c r="T228" s="3"/>
      <c r="U228" s="3"/>
      <c r="V228" s="3"/>
      <c r="W228" s="3"/>
      <c r="X228" s="3"/>
      <c r="Y228" s="3"/>
      <c r="Z228" s="3"/>
    </row>
    <row r="229" ht="15.75" customHeight="1">
      <c r="A229" s="3"/>
      <c r="B229" s="552">
        <v>217.0</v>
      </c>
      <c r="C229" s="433"/>
      <c r="D229" s="433" t="s">
        <v>21180</v>
      </c>
      <c r="E229" s="433"/>
      <c r="F229" s="434" t="s">
        <v>21612</v>
      </c>
      <c r="G229" s="433" t="s">
        <v>16872</v>
      </c>
      <c r="H229" s="342" t="s">
        <v>29</v>
      </c>
      <c r="I229" s="433" t="s">
        <v>30</v>
      </c>
      <c r="J229" s="433"/>
      <c r="K229" s="433" t="s">
        <v>30</v>
      </c>
      <c r="L229" s="433">
        <v>30.0</v>
      </c>
      <c r="M229" s="433" t="s">
        <v>21594</v>
      </c>
      <c r="N229" s="433" t="s">
        <v>21585</v>
      </c>
      <c r="O229" s="433" t="s">
        <v>21178</v>
      </c>
      <c r="P229" s="433">
        <v>2011.0</v>
      </c>
      <c r="Q229" s="433" t="s">
        <v>388</v>
      </c>
      <c r="R229" s="433">
        <v>3.0</v>
      </c>
      <c r="S229" s="3"/>
      <c r="T229" s="3"/>
      <c r="U229" s="3"/>
      <c r="V229" s="3"/>
      <c r="W229" s="3"/>
      <c r="X229" s="3"/>
      <c r="Y229" s="3"/>
      <c r="Z229" s="3"/>
    </row>
    <row r="230" ht="15.75" customHeight="1">
      <c r="A230" s="3"/>
      <c r="B230" s="450">
        <v>218.0</v>
      </c>
      <c r="C230" s="433"/>
      <c r="D230" s="433" t="s">
        <v>21180</v>
      </c>
      <c r="E230" s="433"/>
      <c r="F230" s="434" t="s">
        <v>21613</v>
      </c>
      <c r="G230" s="433" t="s">
        <v>16872</v>
      </c>
      <c r="H230" s="342" t="s">
        <v>29</v>
      </c>
      <c r="I230" s="433" t="s">
        <v>30</v>
      </c>
      <c r="J230" s="433"/>
      <c r="K230" s="433" t="s">
        <v>30</v>
      </c>
      <c r="L230" s="433">
        <v>31.0</v>
      </c>
      <c r="M230" s="433" t="s">
        <v>21594</v>
      </c>
      <c r="N230" s="433" t="s">
        <v>21585</v>
      </c>
      <c r="O230" s="433" t="s">
        <v>21178</v>
      </c>
      <c r="P230" s="433">
        <v>2011.0</v>
      </c>
      <c r="Q230" s="433" t="s">
        <v>388</v>
      </c>
      <c r="R230" s="433">
        <v>3.0</v>
      </c>
      <c r="S230" s="3"/>
      <c r="T230" s="3"/>
      <c r="U230" s="3"/>
      <c r="V230" s="3"/>
      <c r="W230" s="3"/>
      <c r="X230" s="3"/>
      <c r="Y230" s="3"/>
      <c r="Z230" s="3"/>
    </row>
    <row r="231" ht="15.75" customHeight="1">
      <c r="A231" s="3"/>
      <c r="B231" s="552">
        <v>219.0</v>
      </c>
      <c r="C231" s="433"/>
      <c r="D231" s="433" t="s">
        <v>21180</v>
      </c>
      <c r="E231" s="433"/>
      <c r="F231" s="434" t="s">
        <v>21614</v>
      </c>
      <c r="G231" s="433" t="s">
        <v>16872</v>
      </c>
      <c r="H231" s="342" t="s">
        <v>29</v>
      </c>
      <c r="I231" s="433" t="s">
        <v>30</v>
      </c>
      <c r="J231" s="433"/>
      <c r="K231" s="433" t="s">
        <v>30</v>
      </c>
      <c r="L231" s="433">
        <v>31.0</v>
      </c>
      <c r="M231" s="433" t="s">
        <v>21594</v>
      </c>
      <c r="N231" s="433" t="s">
        <v>21585</v>
      </c>
      <c r="O231" s="433" t="s">
        <v>21178</v>
      </c>
      <c r="P231" s="433">
        <v>2011.0</v>
      </c>
      <c r="Q231" s="433" t="s">
        <v>388</v>
      </c>
      <c r="R231" s="433">
        <v>2.0</v>
      </c>
      <c r="S231" s="3"/>
      <c r="T231" s="3"/>
      <c r="U231" s="3"/>
      <c r="V231" s="3"/>
      <c r="W231" s="3"/>
      <c r="X231" s="3"/>
      <c r="Y231" s="3"/>
      <c r="Z231" s="3"/>
    </row>
    <row r="232" ht="15.75" customHeight="1">
      <c r="A232" s="3"/>
      <c r="B232" s="450">
        <v>220.0</v>
      </c>
      <c r="C232" s="433"/>
      <c r="D232" s="433" t="s">
        <v>21180</v>
      </c>
      <c r="E232" s="433"/>
      <c r="F232" s="434" t="s">
        <v>21615</v>
      </c>
      <c r="G232" s="433" t="s">
        <v>16872</v>
      </c>
      <c r="H232" s="342" t="s">
        <v>29</v>
      </c>
      <c r="I232" s="433" t="s">
        <v>30</v>
      </c>
      <c r="J232" s="433"/>
      <c r="K232" s="433" t="s">
        <v>30</v>
      </c>
      <c r="L232" s="433">
        <v>30.0</v>
      </c>
      <c r="M232" s="433" t="s">
        <v>21594</v>
      </c>
      <c r="N232" s="433" t="s">
        <v>21585</v>
      </c>
      <c r="O232" s="433" t="s">
        <v>21178</v>
      </c>
      <c r="P232" s="433">
        <v>2011.0</v>
      </c>
      <c r="Q232" s="433" t="s">
        <v>388</v>
      </c>
      <c r="R232" s="433">
        <v>3.0</v>
      </c>
      <c r="S232" s="3"/>
      <c r="T232" s="3"/>
      <c r="U232" s="3"/>
      <c r="V232" s="3"/>
      <c r="W232" s="3"/>
      <c r="X232" s="3"/>
      <c r="Y232" s="3"/>
      <c r="Z232" s="3"/>
    </row>
    <row r="233" ht="15.75" customHeight="1">
      <c r="A233" s="3"/>
      <c r="B233" s="552">
        <v>221.0</v>
      </c>
      <c r="C233" s="433"/>
      <c r="D233" s="433" t="s">
        <v>21180</v>
      </c>
      <c r="E233" s="433"/>
      <c r="F233" s="434" t="s">
        <v>21616</v>
      </c>
      <c r="G233" s="433" t="s">
        <v>16872</v>
      </c>
      <c r="H233" s="342" t="s">
        <v>29</v>
      </c>
      <c r="I233" s="433" t="s">
        <v>30</v>
      </c>
      <c r="J233" s="433"/>
      <c r="K233" s="433" t="s">
        <v>30</v>
      </c>
      <c r="L233" s="433">
        <v>31.0</v>
      </c>
      <c r="M233" s="433" t="s">
        <v>21594</v>
      </c>
      <c r="N233" s="433" t="s">
        <v>21585</v>
      </c>
      <c r="O233" s="433" t="s">
        <v>21178</v>
      </c>
      <c r="P233" s="433">
        <v>2011.0</v>
      </c>
      <c r="Q233" s="433" t="s">
        <v>388</v>
      </c>
      <c r="R233" s="433">
        <v>3.0</v>
      </c>
      <c r="S233" s="3"/>
      <c r="T233" s="3"/>
      <c r="U233" s="3"/>
      <c r="V233" s="3"/>
      <c r="W233" s="3"/>
      <c r="X233" s="3"/>
      <c r="Y233" s="3"/>
      <c r="Z233" s="3"/>
    </row>
    <row r="234" ht="15.75" customHeight="1">
      <c r="A234" s="3"/>
      <c r="B234" s="450">
        <v>222.0</v>
      </c>
      <c r="C234" s="433"/>
      <c r="D234" s="433" t="s">
        <v>21180</v>
      </c>
      <c r="E234" s="433"/>
      <c r="F234" s="434" t="s">
        <v>21617</v>
      </c>
      <c r="G234" s="433" t="s">
        <v>16872</v>
      </c>
      <c r="H234" s="342" t="s">
        <v>29</v>
      </c>
      <c r="I234" s="433" t="s">
        <v>30</v>
      </c>
      <c r="J234" s="433"/>
      <c r="K234" s="433" t="s">
        <v>30</v>
      </c>
      <c r="L234" s="433">
        <v>31.0</v>
      </c>
      <c r="M234" s="433" t="s">
        <v>21594</v>
      </c>
      <c r="N234" s="433" t="s">
        <v>21585</v>
      </c>
      <c r="O234" s="433" t="s">
        <v>21178</v>
      </c>
      <c r="P234" s="433">
        <v>2012.0</v>
      </c>
      <c r="Q234" s="433" t="s">
        <v>388</v>
      </c>
      <c r="R234" s="433">
        <v>2.0</v>
      </c>
      <c r="S234" s="3"/>
      <c r="T234" s="3"/>
      <c r="U234" s="3"/>
      <c r="V234" s="3"/>
      <c r="W234" s="3"/>
      <c r="X234" s="3"/>
      <c r="Y234" s="3"/>
      <c r="Z234" s="3"/>
    </row>
    <row r="235" ht="15.75" customHeight="1">
      <c r="A235" s="3"/>
      <c r="B235" s="552">
        <v>223.0</v>
      </c>
      <c r="C235" s="433"/>
      <c r="D235" s="433" t="s">
        <v>21180</v>
      </c>
      <c r="E235" s="433"/>
      <c r="F235" s="434" t="s">
        <v>21618</v>
      </c>
      <c r="G235" s="433" t="s">
        <v>16872</v>
      </c>
      <c r="H235" s="342" t="s">
        <v>29</v>
      </c>
      <c r="I235" s="433" t="s">
        <v>30</v>
      </c>
      <c r="J235" s="433"/>
      <c r="K235" s="433" t="s">
        <v>30</v>
      </c>
      <c r="L235" s="433">
        <v>28.0</v>
      </c>
      <c r="M235" s="433" t="s">
        <v>21594</v>
      </c>
      <c r="N235" s="433" t="s">
        <v>21585</v>
      </c>
      <c r="O235" s="433" t="s">
        <v>21178</v>
      </c>
      <c r="P235" s="433">
        <v>2012.0</v>
      </c>
      <c r="Q235" s="433" t="s">
        <v>388</v>
      </c>
      <c r="R235" s="433">
        <v>3.0</v>
      </c>
      <c r="S235" s="3"/>
      <c r="T235" s="3"/>
      <c r="U235" s="3"/>
      <c r="V235" s="3"/>
      <c r="W235" s="3"/>
      <c r="X235" s="3"/>
      <c r="Y235" s="3"/>
      <c r="Z235" s="3"/>
    </row>
    <row r="236" ht="15.75" customHeight="1">
      <c r="A236" s="3"/>
      <c r="B236" s="450">
        <v>224.0</v>
      </c>
      <c r="C236" s="433"/>
      <c r="D236" s="433" t="s">
        <v>21180</v>
      </c>
      <c r="E236" s="433"/>
      <c r="F236" s="434" t="s">
        <v>21619</v>
      </c>
      <c r="G236" s="433" t="s">
        <v>16872</v>
      </c>
      <c r="H236" s="342" t="s">
        <v>29</v>
      </c>
      <c r="I236" s="433" t="s">
        <v>30</v>
      </c>
      <c r="J236" s="433"/>
      <c r="K236" s="433" t="s">
        <v>30</v>
      </c>
      <c r="L236" s="433">
        <v>31.0</v>
      </c>
      <c r="M236" s="433" t="s">
        <v>21594</v>
      </c>
      <c r="N236" s="433" t="s">
        <v>21585</v>
      </c>
      <c r="O236" s="433" t="s">
        <v>21178</v>
      </c>
      <c r="P236" s="433">
        <v>2012.0</v>
      </c>
      <c r="Q236" s="433" t="s">
        <v>388</v>
      </c>
      <c r="R236" s="433">
        <v>1.0</v>
      </c>
      <c r="S236" s="3"/>
      <c r="T236" s="3"/>
      <c r="U236" s="3"/>
      <c r="V236" s="3"/>
      <c r="W236" s="3"/>
      <c r="X236" s="3"/>
      <c r="Y236" s="3"/>
      <c r="Z236" s="3"/>
    </row>
    <row r="237" ht="15.75" customHeight="1">
      <c r="A237" s="3"/>
      <c r="B237" s="552">
        <v>225.0</v>
      </c>
      <c r="C237" s="433"/>
      <c r="D237" s="433" t="s">
        <v>21180</v>
      </c>
      <c r="E237" s="433"/>
      <c r="F237" s="434" t="s">
        <v>21620</v>
      </c>
      <c r="G237" s="433" t="s">
        <v>16872</v>
      </c>
      <c r="H237" s="342" t="s">
        <v>29</v>
      </c>
      <c r="I237" s="433" t="s">
        <v>30</v>
      </c>
      <c r="J237" s="433"/>
      <c r="K237" s="433" t="s">
        <v>30</v>
      </c>
      <c r="L237" s="433">
        <v>30.0</v>
      </c>
      <c r="M237" s="433" t="s">
        <v>21594</v>
      </c>
      <c r="N237" s="433" t="s">
        <v>21585</v>
      </c>
      <c r="O237" s="433" t="s">
        <v>21178</v>
      </c>
      <c r="P237" s="433">
        <v>2012.0</v>
      </c>
      <c r="Q237" s="433" t="s">
        <v>388</v>
      </c>
      <c r="R237" s="433">
        <v>2.0</v>
      </c>
      <c r="S237" s="3"/>
      <c r="T237" s="3"/>
      <c r="U237" s="3"/>
      <c r="V237" s="3"/>
      <c r="W237" s="3"/>
      <c r="X237" s="3"/>
      <c r="Y237" s="3"/>
      <c r="Z237" s="3"/>
    </row>
    <row r="238" ht="15.75" customHeight="1">
      <c r="A238" s="3"/>
      <c r="B238" s="450">
        <v>226.0</v>
      </c>
      <c r="C238" s="433"/>
      <c r="D238" s="433" t="s">
        <v>21621</v>
      </c>
      <c r="E238" s="433"/>
      <c r="F238" s="434" t="s">
        <v>21622</v>
      </c>
      <c r="G238" s="433" t="s">
        <v>16872</v>
      </c>
      <c r="H238" s="342" t="s">
        <v>29</v>
      </c>
      <c r="I238" s="433" t="s">
        <v>30</v>
      </c>
      <c r="J238" s="433"/>
      <c r="K238" s="433" t="s">
        <v>30</v>
      </c>
      <c r="L238" s="433">
        <v>31.0</v>
      </c>
      <c r="M238" s="433" t="s">
        <v>21594</v>
      </c>
      <c r="N238" s="433" t="s">
        <v>21585</v>
      </c>
      <c r="O238" s="433" t="s">
        <v>21178</v>
      </c>
      <c r="P238" s="433">
        <v>2012.0</v>
      </c>
      <c r="Q238" s="433" t="s">
        <v>388</v>
      </c>
      <c r="R238" s="433">
        <v>3.0</v>
      </c>
      <c r="S238" s="3"/>
      <c r="T238" s="3"/>
      <c r="U238" s="3"/>
      <c r="V238" s="3"/>
      <c r="W238" s="3"/>
      <c r="X238" s="3"/>
      <c r="Y238" s="3"/>
      <c r="Z238" s="3"/>
    </row>
    <row r="239" ht="15.75" customHeight="1">
      <c r="A239" s="3"/>
      <c r="B239" s="552">
        <v>227.0</v>
      </c>
      <c r="C239" s="433"/>
      <c r="D239" s="433" t="s">
        <v>21180</v>
      </c>
      <c r="E239" s="433"/>
      <c r="F239" s="434" t="s">
        <v>21623</v>
      </c>
      <c r="G239" s="433" t="s">
        <v>16872</v>
      </c>
      <c r="H239" s="342" t="s">
        <v>29</v>
      </c>
      <c r="I239" s="433" t="s">
        <v>30</v>
      </c>
      <c r="J239" s="433"/>
      <c r="K239" s="433" t="s">
        <v>30</v>
      </c>
      <c r="L239" s="433">
        <v>30.0</v>
      </c>
      <c r="M239" s="433" t="s">
        <v>21594</v>
      </c>
      <c r="N239" s="433" t="s">
        <v>21585</v>
      </c>
      <c r="O239" s="433" t="s">
        <v>21178</v>
      </c>
      <c r="P239" s="433">
        <v>2012.0</v>
      </c>
      <c r="Q239" s="433" t="s">
        <v>388</v>
      </c>
      <c r="R239" s="433">
        <v>2.0</v>
      </c>
      <c r="S239" s="3"/>
      <c r="T239" s="3"/>
      <c r="U239" s="3"/>
      <c r="V239" s="3"/>
      <c r="W239" s="3"/>
      <c r="X239" s="3"/>
      <c r="Y239" s="3"/>
      <c r="Z239" s="3"/>
    </row>
    <row r="240" ht="15.75" customHeight="1">
      <c r="A240" s="3"/>
      <c r="B240" s="450">
        <v>228.0</v>
      </c>
      <c r="C240" s="433"/>
      <c r="D240" s="433" t="s">
        <v>21180</v>
      </c>
      <c r="E240" s="433"/>
      <c r="F240" s="434" t="s">
        <v>21624</v>
      </c>
      <c r="G240" s="433" t="s">
        <v>16872</v>
      </c>
      <c r="H240" s="342" t="s">
        <v>29</v>
      </c>
      <c r="I240" s="433" t="s">
        <v>30</v>
      </c>
      <c r="J240" s="433"/>
      <c r="K240" s="433" t="s">
        <v>30</v>
      </c>
      <c r="L240" s="433">
        <v>31.0</v>
      </c>
      <c r="M240" s="433" t="s">
        <v>21594</v>
      </c>
      <c r="N240" s="433" t="s">
        <v>21585</v>
      </c>
      <c r="O240" s="433" t="s">
        <v>21178</v>
      </c>
      <c r="P240" s="433">
        <v>2012.0</v>
      </c>
      <c r="Q240" s="433" t="s">
        <v>388</v>
      </c>
      <c r="R240" s="433">
        <v>2.0</v>
      </c>
      <c r="S240" s="3"/>
      <c r="T240" s="3"/>
      <c r="U240" s="3"/>
      <c r="V240" s="3"/>
      <c r="W240" s="3"/>
      <c r="X240" s="3"/>
      <c r="Y240" s="3"/>
      <c r="Z240" s="3"/>
    </row>
    <row r="241" ht="15.75" customHeight="1">
      <c r="A241" s="3"/>
      <c r="B241" s="552">
        <v>229.0</v>
      </c>
      <c r="C241" s="433"/>
      <c r="D241" s="433" t="s">
        <v>21180</v>
      </c>
      <c r="E241" s="433"/>
      <c r="F241" s="434" t="s">
        <v>21625</v>
      </c>
      <c r="G241" s="433" t="s">
        <v>16872</v>
      </c>
      <c r="H241" s="342" t="s">
        <v>29</v>
      </c>
      <c r="I241" s="433" t="s">
        <v>30</v>
      </c>
      <c r="J241" s="433"/>
      <c r="K241" s="433" t="s">
        <v>30</v>
      </c>
      <c r="L241" s="433">
        <v>31.0</v>
      </c>
      <c r="M241" s="433" t="s">
        <v>21594</v>
      </c>
      <c r="N241" s="433" t="s">
        <v>21585</v>
      </c>
      <c r="O241" s="433" t="s">
        <v>21178</v>
      </c>
      <c r="P241" s="433">
        <v>2012.0</v>
      </c>
      <c r="Q241" s="433" t="s">
        <v>388</v>
      </c>
      <c r="R241" s="433">
        <v>2.0</v>
      </c>
      <c r="S241" s="3"/>
      <c r="T241" s="3"/>
      <c r="U241" s="3"/>
      <c r="V241" s="3"/>
      <c r="W241" s="3"/>
      <c r="X241" s="3"/>
      <c r="Y241" s="3"/>
      <c r="Z241" s="3"/>
    </row>
    <row r="242" ht="15.75" customHeight="1">
      <c r="A242" s="3"/>
      <c r="B242" s="450">
        <v>230.0</v>
      </c>
      <c r="C242" s="433"/>
      <c r="D242" s="433" t="s">
        <v>21180</v>
      </c>
      <c r="E242" s="433"/>
      <c r="F242" s="434" t="s">
        <v>21626</v>
      </c>
      <c r="G242" s="433" t="s">
        <v>16872</v>
      </c>
      <c r="H242" s="342" t="s">
        <v>29</v>
      </c>
      <c r="I242" s="433" t="s">
        <v>30</v>
      </c>
      <c r="J242" s="433"/>
      <c r="K242" s="433" t="s">
        <v>30</v>
      </c>
      <c r="L242" s="433">
        <v>29.0</v>
      </c>
      <c r="M242" s="433" t="s">
        <v>21594</v>
      </c>
      <c r="N242" s="433" t="s">
        <v>21585</v>
      </c>
      <c r="O242" s="433" t="s">
        <v>21178</v>
      </c>
      <c r="P242" s="433">
        <v>2012.0</v>
      </c>
      <c r="Q242" s="433" t="s">
        <v>388</v>
      </c>
      <c r="R242" s="433">
        <v>3.0</v>
      </c>
      <c r="S242" s="3"/>
      <c r="T242" s="3"/>
      <c r="U242" s="3"/>
      <c r="V242" s="3"/>
      <c r="W242" s="3"/>
      <c r="X242" s="3"/>
      <c r="Y242" s="3"/>
      <c r="Z242" s="3"/>
    </row>
    <row r="243" ht="15.75" customHeight="1">
      <c r="A243" s="3"/>
      <c r="B243" s="552">
        <v>231.0</v>
      </c>
      <c r="C243" s="433"/>
      <c r="D243" s="433" t="s">
        <v>21180</v>
      </c>
      <c r="E243" s="433"/>
      <c r="F243" s="434" t="s">
        <v>21627</v>
      </c>
      <c r="G243" s="433" t="s">
        <v>16872</v>
      </c>
      <c r="H243" s="342" t="s">
        <v>29</v>
      </c>
      <c r="I243" s="433" t="s">
        <v>30</v>
      </c>
      <c r="J243" s="433"/>
      <c r="K243" s="433" t="s">
        <v>30</v>
      </c>
      <c r="L243" s="433">
        <v>31.0</v>
      </c>
      <c r="M243" s="433" t="s">
        <v>21594</v>
      </c>
      <c r="N243" s="433" t="s">
        <v>21585</v>
      </c>
      <c r="O243" s="433" t="s">
        <v>21178</v>
      </c>
      <c r="P243" s="433">
        <v>2012.0</v>
      </c>
      <c r="Q243" s="433" t="s">
        <v>388</v>
      </c>
      <c r="R243" s="433">
        <v>2.0</v>
      </c>
      <c r="S243" s="3"/>
      <c r="T243" s="3"/>
      <c r="U243" s="3"/>
      <c r="V243" s="3"/>
      <c r="W243" s="3"/>
      <c r="X243" s="3"/>
      <c r="Y243" s="3"/>
      <c r="Z243" s="3"/>
    </row>
    <row r="244" ht="15.75" customHeight="1">
      <c r="A244" s="3"/>
      <c r="B244" s="450">
        <v>232.0</v>
      </c>
      <c r="C244" s="433"/>
      <c r="D244" s="433" t="s">
        <v>21180</v>
      </c>
      <c r="E244" s="433"/>
      <c r="F244" s="434" t="s">
        <v>21628</v>
      </c>
      <c r="G244" s="433" t="s">
        <v>16872</v>
      </c>
      <c r="H244" s="342" t="s">
        <v>29</v>
      </c>
      <c r="I244" s="433" t="s">
        <v>30</v>
      </c>
      <c r="J244" s="433"/>
      <c r="K244" s="433" t="s">
        <v>30</v>
      </c>
      <c r="L244" s="433">
        <v>30.0</v>
      </c>
      <c r="M244" s="433" t="s">
        <v>21594</v>
      </c>
      <c r="N244" s="433" t="s">
        <v>21585</v>
      </c>
      <c r="O244" s="433" t="s">
        <v>21178</v>
      </c>
      <c r="P244" s="433">
        <v>2012.0</v>
      </c>
      <c r="Q244" s="433" t="s">
        <v>388</v>
      </c>
      <c r="R244" s="433">
        <v>2.0</v>
      </c>
      <c r="S244" s="3"/>
      <c r="T244" s="3"/>
      <c r="U244" s="3"/>
      <c r="V244" s="3"/>
      <c r="W244" s="3"/>
      <c r="X244" s="3"/>
      <c r="Y244" s="3"/>
      <c r="Z244" s="3"/>
    </row>
    <row r="245" ht="15.75" customHeight="1">
      <c r="A245" s="3"/>
      <c r="B245" s="552">
        <v>233.0</v>
      </c>
      <c r="C245" s="433"/>
      <c r="D245" s="433" t="s">
        <v>21180</v>
      </c>
      <c r="E245" s="433"/>
      <c r="F245" s="434" t="s">
        <v>21629</v>
      </c>
      <c r="G245" s="433" t="s">
        <v>16872</v>
      </c>
      <c r="H245" s="342" t="s">
        <v>29</v>
      </c>
      <c r="I245" s="433" t="s">
        <v>30</v>
      </c>
      <c r="J245" s="433"/>
      <c r="K245" s="433" t="s">
        <v>30</v>
      </c>
      <c r="L245" s="433">
        <v>31.0</v>
      </c>
      <c r="M245" s="433" t="s">
        <v>21594</v>
      </c>
      <c r="N245" s="433" t="s">
        <v>21585</v>
      </c>
      <c r="O245" s="433" t="s">
        <v>21178</v>
      </c>
      <c r="P245" s="433">
        <v>2013.0</v>
      </c>
      <c r="Q245" s="433" t="s">
        <v>388</v>
      </c>
      <c r="R245" s="433">
        <v>2.0</v>
      </c>
      <c r="S245" s="3"/>
      <c r="T245" s="3"/>
      <c r="U245" s="3"/>
      <c r="V245" s="3"/>
      <c r="W245" s="3"/>
      <c r="X245" s="3"/>
      <c r="Y245" s="3"/>
      <c r="Z245" s="3"/>
    </row>
    <row r="246" ht="15.75" customHeight="1">
      <c r="A246" s="3"/>
      <c r="B246" s="450">
        <v>234.0</v>
      </c>
      <c r="C246" s="433"/>
      <c r="D246" s="433" t="s">
        <v>21180</v>
      </c>
      <c r="E246" s="433"/>
      <c r="F246" s="434" t="s">
        <v>21630</v>
      </c>
      <c r="G246" s="433" t="s">
        <v>16872</v>
      </c>
      <c r="H246" s="342" t="s">
        <v>29</v>
      </c>
      <c r="I246" s="433" t="s">
        <v>30</v>
      </c>
      <c r="J246" s="433"/>
      <c r="K246" s="433" t="s">
        <v>30</v>
      </c>
      <c r="L246" s="433">
        <v>30.0</v>
      </c>
      <c r="M246" s="433" t="s">
        <v>21594</v>
      </c>
      <c r="N246" s="433" t="s">
        <v>21585</v>
      </c>
      <c r="O246" s="433" t="s">
        <v>21178</v>
      </c>
      <c r="P246" s="433">
        <v>2013.0</v>
      </c>
      <c r="Q246" s="433" t="s">
        <v>388</v>
      </c>
      <c r="R246" s="433">
        <v>3.0</v>
      </c>
      <c r="S246" s="3"/>
      <c r="T246" s="3"/>
      <c r="U246" s="3"/>
      <c r="V246" s="3"/>
      <c r="W246" s="3"/>
      <c r="X246" s="3"/>
      <c r="Y246" s="3"/>
      <c r="Z246" s="3"/>
    </row>
    <row r="247" ht="15.75" customHeight="1">
      <c r="A247" s="3"/>
      <c r="B247" s="552">
        <v>235.0</v>
      </c>
      <c r="C247" s="433"/>
      <c r="D247" s="433" t="s">
        <v>21180</v>
      </c>
      <c r="E247" s="433"/>
      <c r="F247" s="434" t="s">
        <v>21631</v>
      </c>
      <c r="G247" s="433" t="s">
        <v>16872</v>
      </c>
      <c r="H247" s="342" t="s">
        <v>29</v>
      </c>
      <c r="I247" s="433" t="s">
        <v>30</v>
      </c>
      <c r="J247" s="433"/>
      <c r="K247" s="433" t="s">
        <v>30</v>
      </c>
      <c r="L247" s="433">
        <v>30.0</v>
      </c>
      <c r="M247" s="433" t="s">
        <v>21594</v>
      </c>
      <c r="N247" s="433" t="s">
        <v>21585</v>
      </c>
      <c r="O247" s="433" t="s">
        <v>21178</v>
      </c>
      <c r="P247" s="433">
        <v>2013.0</v>
      </c>
      <c r="Q247" s="433" t="s">
        <v>388</v>
      </c>
      <c r="R247" s="433">
        <v>3.0</v>
      </c>
      <c r="S247" s="3"/>
      <c r="T247" s="3"/>
      <c r="U247" s="3"/>
      <c r="V247" s="3"/>
      <c r="W247" s="3"/>
      <c r="X247" s="3"/>
      <c r="Y247" s="3"/>
      <c r="Z247" s="3"/>
    </row>
    <row r="248" ht="15.75" customHeight="1">
      <c r="A248" s="3"/>
      <c r="B248" s="450">
        <v>236.0</v>
      </c>
      <c r="C248" s="433"/>
      <c r="D248" s="433" t="s">
        <v>21180</v>
      </c>
      <c r="E248" s="433"/>
      <c r="F248" s="434" t="s">
        <v>21632</v>
      </c>
      <c r="G248" s="433" t="s">
        <v>16872</v>
      </c>
      <c r="H248" s="342" t="s">
        <v>29</v>
      </c>
      <c r="I248" s="433" t="s">
        <v>30</v>
      </c>
      <c r="J248" s="433"/>
      <c r="K248" s="433" t="s">
        <v>30</v>
      </c>
      <c r="L248" s="433">
        <v>30.0</v>
      </c>
      <c r="M248" s="433" t="s">
        <v>21594</v>
      </c>
      <c r="N248" s="433" t="s">
        <v>21585</v>
      </c>
      <c r="O248" s="433" t="s">
        <v>21178</v>
      </c>
      <c r="P248" s="433">
        <v>2013.0</v>
      </c>
      <c r="Q248" s="433" t="s">
        <v>388</v>
      </c>
      <c r="R248" s="433">
        <v>3.0</v>
      </c>
      <c r="S248" s="3"/>
      <c r="T248" s="3"/>
      <c r="U248" s="3"/>
      <c r="V248" s="3"/>
      <c r="W248" s="3"/>
      <c r="X248" s="3"/>
      <c r="Y248" s="3"/>
      <c r="Z248" s="3"/>
    </row>
    <row r="249" ht="15.75" customHeight="1">
      <c r="A249" s="3"/>
      <c r="B249" s="552">
        <v>237.0</v>
      </c>
      <c r="C249" s="433"/>
      <c r="D249" s="433" t="s">
        <v>21180</v>
      </c>
      <c r="E249" s="433"/>
      <c r="F249" s="434" t="s">
        <v>21633</v>
      </c>
      <c r="G249" s="433" t="s">
        <v>16872</v>
      </c>
      <c r="H249" s="342" t="s">
        <v>29</v>
      </c>
      <c r="I249" s="433" t="s">
        <v>30</v>
      </c>
      <c r="J249" s="433"/>
      <c r="K249" s="433" t="s">
        <v>30</v>
      </c>
      <c r="L249" s="433">
        <v>30.0</v>
      </c>
      <c r="M249" s="433" t="s">
        <v>21594</v>
      </c>
      <c r="N249" s="433" t="s">
        <v>21585</v>
      </c>
      <c r="O249" s="433" t="s">
        <v>21178</v>
      </c>
      <c r="P249" s="433">
        <v>2013.0</v>
      </c>
      <c r="Q249" s="433" t="s">
        <v>388</v>
      </c>
      <c r="R249" s="433">
        <v>2.0</v>
      </c>
      <c r="S249" s="3"/>
      <c r="T249" s="3"/>
      <c r="U249" s="3"/>
      <c r="V249" s="3"/>
      <c r="W249" s="3"/>
      <c r="X249" s="3"/>
      <c r="Y249" s="3"/>
      <c r="Z249" s="3"/>
    </row>
    <row r="250" ht="15.75" customHeight="1">
      <c r="A250" s="3"/>
      <c r="B250" s="450">
        <v>238.0</v>
      </c>
      <c r="C250" s="433"/>
      <c r="D250" s="433" t="s">
        <v>21180</v>
      </c>
      <c r="E250" s="433"/>
      <c r="F250" s="434" t="s">
        <v>21634</v>
      </c>
      <c r="G250" s="433" t="s">
        <v>16872</v>
      </c>
      <c r="H250" s="342" t="s">
        <v>29</v>
      </c>
      <c r="I250" s="433" t="s">
        <v>30</v>
      </c>
      <c r="J250" s="433"/>
      <c r="K250" s="433" t="s">
        <v>30</v>
      </c>
      <c r="L250" s="433">
        <v>30.0</v>
      </c>
      <c r="M250" s="433" t="s">
        <v>21594</v>
      </c>
      <c r="N250" s="433" t="s">
        <v>21585</v>
      </c>
      <c r="O250" s="433" t="s">
        <v>21178</v>
      </c>
      <c r="P250" s="433">
        <v>2013.0</v>
      </c>
      <c r="Q250" s="433" t="s">
        <v>388</v>
      </c>
      <c r="R250" s="433">
        <v>3.0</v>
      </c>
      <c r="S250" s="3"/>
      <c r="T250" s="3"/>
      <c r="U250" s="3"/>
      <c r="V250" s="3"/>
      <c r="W250" s="3"/>
      <c r="X250" s="3"/>
      <c r="Y250" s="3"/>
      <c r="Z250" s="3"/>
    </row>
    <row r="251" ht="15.75" customHeight="1">
      <c r="A251" s="3"/>
      <c r="B251" s="552">
        <v>239.0</v>
      </c>
      <c r="C251" s="433"/>
      <c r="D251" s="433" t="s">
        <v>21180</v>
      </c>
      <c r="E251" s="433"/>
      <c r="F251" s="434" t="s">
        <v>21635</v>
      </c>
      <c r="G251" s="433" t="s">
        <v>16872</v>
      </c>
      <c r="H251" s="342" t="s">
        <v>29</v>
      </c>
      <c r="I251" s="433" t="s">
        <v>30</v>
      </c>
      <c r="J251" s="433"/>
      <c r="K251" s="433" t="s">
        <v>30</v>
      </c>
      <c r="L251" s="433">
        <v>30.0</v>
      </c>
      <c r="M251" s="433" t="s">
        <v>21594</v>
      </c>
      <c r="N251" s="433" t="s">
        <v>21585</v>
      </c>
      <c r="O251" s="433" t="s">
        <v>21178</v>
      </c>
      <c r="P251" s="433">
        <v>2013.0</v>
      </c>
      <c r="Q251" s="433" t="s">
        <v>388</v>
      </c>
      <c r="R251" s="433">
        <v>2.0</v>
      </c>
      <c r="S251" s="3"/>
      <c r="T251" s="3"/>
      <c r="U251" s="3"/>
      <c r="V251" s="3"/>
      <c r="W251" s="3"/>
      <c r="X251" s="3"/>
      <c r="Y251" s="3"/>
      <c r="Z251" s="3"/>
    </row>
    <row r="252" ht="15.75" customHeight="1">
      <c r="A252" s="3"/>
      <c r="B252" s="450">
        <v>240.0</v>
      </c>
      <c r="C252" s="433"/>
      <c r="D252" s="433" t="s">
        <v>21180</v>
      </c>
      <c r="E252" s="433"/>
      <c r="F252" s="434" t="s">
        <v>21636</v>
      </c>
      <c r="G252" s="433" t="s">
        <v>16872</v>
      </c>
      <c r="H252" s="342" t="s">
        <v>29</v>
      </c>
      <c r="I252" s="433" t="s">
        <v>30</v>
      </c>
      <c r="J252" s="433"/>
      <c r="K252" s="433" t="s">
        <v>30</v>
      </c>
      <c r="L252" s="433">
        <v>31.0</v>
      </c>
      <c r="M252" s="433" t="s">
        <v>21594</v>
      </c>
      <c r="N252" s="433" t="s">
        <v>21585</v>
      </c>
      <c r="O252" s="433" t="s">
        <v>21178</v>
      </c>
      <c r="P252" s="433">
        <v>2013.0</v>
      </c>
      <c r="Q252" s="433" t="s">
        <v>388</v>
      </c>
      <c r="R252" s="433">
        <v>3.0</v>
      </c>
      <c r="S252" s="3"/>
      <c r="T252" s="3"/>
      <c r="U252" s="3"/>
      <c r="V252" s="3"/>
      <c r="W252" s="3"/>
      <c r="X252" s="3"/>
      <c r="Y252" s="3"/>
      <c r="Z252" s="3"/>
    </row>
    <row r="253" ht="15.75" customHeight="1">
      <c r="A253" s="3"/>
      <c r="B253" s="552">
        <v>241.0</v>
      </c>
      <c r="C253" s="433"/>
      <c r="D253" s="433" t="s">
        <v>21180</v>
      </c>
      <c r="E253" s="433"/>
      <c r="F253" s="434" t="s">
        <v>21637</v>
      </c>
      <c r="G253" s="433" t="s">
        <v>16872</v>
      </c>
      <c r="H253" s="342" t="s">
        <v>29</v>
      </c>
      <c r="I253" s="433" t="s">
        <v>30</v>
      </c>
      <c r="J253" s="433"/>
      <c r="K253" s="433" t="s">
        <v>30</v>
      </c>
      <c r="L253" s="433">
        <v>30.0</v>
      </c>
      <c r="M253" s="433" t="s">
        <v>21594</v>
      </c>
      <c r="N253" s="433" t="s">
        <v>21585</v>
      </c>
      <c r="O253" s="433" t="s">
        <v>21178</v>
      </c>
      <c r="P253" s="433">
        <v>2013.0</v>
      </c>
      <c r="Q253" s="433" t="s">
        <v>388</v>
      </c>
      <c r="R253" s="433">
        <v>3.0</v>
      </c>
      <c r="S253" s="3"/>
      <c r="T253" s="3"/>
      <c r="U253" s="3"/>
      <c r="V253" s="3"/>
      <c r="W253" s="3"/>
      <c r="X253" s="3"/>
      <c r="Y253" s="3"/>
      <c r="Z253" s="3"/>
    </row>
    <row r="254" ht="15.75" customHeight="1">
      <c r="A254" s="3"/>
      <c r="B254" s="450">
        <v>242.0</v>
      </c>
      <c r="C254" s="433"/>
      <c r="D254" s="433" t="s">
        <v>21180</v>
      </c>
      <c r="E254" s="433"/>
      <c r="F254" s="434" t="s">
        <v>21627</v>
      </c>
      <c r="G254" s="433" t="s">
        <v>16872</v>
      </c>
      <c r="H254" s="342" t="s">
        <v>29</v>
      </c>
      <c r="I254" s="433" t="s">
        <v>30</v>
      </c>
      <c r="J254" s="433"/>
      <c r="K254" s="433" t="s">
        <v>30</v>
      </c>
      <c r="L254" s="433">
        <v>31.0</v>
      </c>
      <c r="M254" s="433" t="s">
        <v>21594</v>
      </c>
      <c r="N254" s="433" t="s">
        <v>21585</v>
      </c>
      <c r="O254" s="433" t="s">
        <v>21178</v>
      </c>
      <c r="P254" s="433">
        <v>2013.0</v>
      </c>
      <c r="Q254" s="433" t="s">
        <v>388</v>
      </c>
      <c r="R254" s="433">
        <v>3.0</v>
      </c>
      <c r="S254" s="3"/>
      <c r="T254" s="3"/>
      <c r="U254" s="3"/>
      <c r="V254" s="3"/>
      <c r="W254" s="3"/>
      <c r="X254" s="3"/>
      <c r="Y254" s="3"/>
      <c r="Z254" s="3"/>
    </row>
    <row r="255" ht="15.75" customHeight="1">
      <c r="A255" s="3"/>
      <c r="B255" s="552">
        <v>243.0</v>
      </c>
      <c r="C255" s="433"/>
      <c r="D255" s="433" t="s">
        <v>21180</v>
      </c>
      <c r="E255" s="433"/>
      <c r="F255" s="434" t="s">
        <v>21638</v>
      </c>
      <c r="G255" s="14" t="s">
        <v>16872</v>
      </c>
      <c r="H255" s="342" t="s">
        <v>29</v>
      </c>
      <c r="I255" s="433" t="s">
        <v>30</v>
      </c>
      <c r="J255" s="433"/>
      <c r="K255" s="433" t="s">
        <v>30</v>
      </c>
      <c r="L255" s="433">
        <v>31.0</v>
      </c>
      <c r="M255" s="433" t="s">
        <v>21594</v>
      </c>
      <c r="N255" s="433" t="s">
        <v>21585</v>
      </c>
      <c r="O255" s="433" t="s">
        <v>21178</v>
      </c>
      <c r="P255" s="433">
        <v>2013.0</v>
      </c>
      <c r="Q255" s="433" t="s">
        <v>388</v>
      </c>
      <c r="R255" s="433">
        <v>1.0</v>
      </c>
      <c r="S255" s="3"/>
      <c r="T255" s="3"/>
      <c r="U255" s="3"/>
      <c r="V255" s="3"/>
      <c r="W255" s="3"/>
      <c r="X255" s="3"/>
      <c r="Y255" s="3"/>
      <c r="Z255" s="3"/>
    </row>
    <row r="256" ht="15.75" customHeight="1">
      <c r="A256" s="3"/>
      <c r="B256" s="450">
        <v>244.0</v>
      </c>
      <c r="C256" s="433"/>
      <c r="D256" s="433" t="s">
        <v>21180</v>
      </c>
      <c r="E256" s="433"/>
      <c r="F256" s="434" t="s">
        <v>21639</v>
      </c>
      <c r="G256" s="433" t="s">
        <v>16872</v>
      </c>
      <c r="H256" s="342" t="s">
        <v>29</v>
      </c>
      <c r="I256" s="433" t="s">
        <v>30</v>
      </c>
      <c r="J256" s="433"/>
      <c r="K256" s="433" t="s">
        <v>30</v>
      </c>
      <c r="L256" s="433">
        <v>31.0</v>
      </c>
      <c r="M256" s="433" t="s">
        <v>21594</v>
      </c>
      <c r="N256" s="433" t="s">
        <v>21585</v>
      </c>
      <c r="O256" s="433" t="s">
        <v>21178</v>
      </c>
      <c r="P256" s="433">
        <v>2013.0</v>
      </c>
      <c r="Q256" s="433" t="s">
        <v>388</v>
      </c>
      <c r="R256" s="433">
        <v>2.0</v>
      </c>
      <c r="S256" s="3"/>
      <c r="T256" s="3"/>
      <c r="U256" s="3"/>
      <c r="V256" s="3"/>
      <c r="W256" s="3"/>
      <c r="X256" s="3"/>
      <c r="Y256" s="3"/>
      <c r="Z256" s="3"/>
    </row>
    <row r="257" ht="15.75" customHeight="1">
      <c r="A257" s="3"/>
      <c r="B257" s="552">
        <v>245.0</v>
      </c>
      <c r="C257" s="433"/>
      <c r="D257" s="433" t="s">
        <v>21180</v>
      </c>
      <c r="E257" s="433"/>
      <c r="F257" s="434" t="s">
        <v>21640</v>
      </c>
      <c r="G257" s="433" t="s">
        <v>16872</v>
      </c>
      <c r="H257" s="342" t="s">
        <v>29</v>
      </c>
      <c r="I257" s="433" t="s">
        <v>30</v>
      </c>
      <c r="J257" s="433"/>
      <c r="K257" s="433" t="s">
        <v>30</v>
      </c>
      <c r="L257" s="433">
        <v>31.0</v>
      </c>
      <c r="M257" s="433" t="s">
        <v>21594</v>
      </c>
      <c r="N257" s="433" t="s">
        <v>21585</v>
      </c>
      <c r="O257" s="433" t="s">
        <v>21178</v>
      </c>
      <c r="P257" s="433">
        <v>2014.0</v>
      </c>
      <c r="Q257" s="433" t="s">
        <v>388</v>
      </c>
      <c r="R257" s="433">
        <v>3.0</v>
      </c>
      <c r="S257" s="3"/>
      <c r="T257" s="3"/>
      <c r="U257" s="3"/>
      <c r="V257" s="3"/>
      <c r="W257" s="3"/>
      <c r="X257" s="3"/>
      <c r="Y257" s="3"/>
      <c r="Z257" s="3"/>
    </row>
    <row r="258" ht="15.75" customHeight="1">
      <c r="A258" s="3"/>
      <c r="B258" s="450">
        <v>246.0</v>
      </c>
      <c r="C258" s="433"/>
      <c r="D258" s="433" t="s">
        <v>21180</v>
      </c>
      <c r="E258" s="433"/>
      <c r="F258" s="434" t="s">
        <v>21641</v>
      </c>
      <c r="G258" s="433" t="s">
        <v>16872</v>
      </c>
      <c r="H258" s="342" t="s">
        <v>29</v>
      </c>
      <c r="I258" s="433" t="s">
        <v>30</v>
      </c>
      <c r="J258" s="433"/>
      <c r="K258" s="433" t="s">
        <v>30</v>
      </c>
      <c r="L258" s="433">
        <v>28.0</v>
      </c>
      <c r="M258" s="433" t="s">
        <v>21594</v>
      </c>
      <c r="N258" s="433" t="s">
        <v>21585</v>
      </c>
      <c r="O258" s="433" t="s">
        <v>21178</v>
      </c>
      <c r="P258" s="433">
        <v>2014.0</v>
      </c>
      <c r="Q258" s="433" t="s">
        <v>388</v>
      </c>
      <c r="R258" s="433">
        <v>3.0</v>
      </c>
      <c r="S258" s="3"/>
      <c r="T258" s="3"/>
      <c r="U258" s="3"/>
      <c r="V258" s="3"/>
      <c r="W258" s="3"/>
      <c r="X258" s="3"/>
      <c r="Y258" s="3"/>
      <c r="Z258" s="3"/>
    </row>
    <row r="259" ht="15.75" customHeight="1">
      <c r="A259" s="3"/>
      <c r="B259" s="552">
        <v>247.0</v>
      </c>
      <c r="C259" s="433"/>
      <c r="D259" s="433" t="s">
        <v>21180</v>
      </c>
      <c r="E259" s="433"/>
      <c r="F259" s="434" t="s">
        <v>21642</v>
      </c>
      <c r="G259" s="433" t="s">
        <v>16872</v>
      </c>
      <c r="H259" s="342" t="s">
        <v>29</v>
      </c>
      <c r="I259" s="433" t="s">
        <v>30</v>
      </c>
      <c r="J259" s="433"/>
      <c r="K259" s="433" t="s">
        <v>30</v>
      </c>
      <c r="L259" s="433">
        <v>31.0</v>
      </c>
      <c r="M259" s="433" t="s">
        <v>21594</v>
      </c>
      <c r="N259" s="433" t="s">
        <v>21585</v>
      </c>
      <c r="O259" s="433" t="s">
        <v>21178</v>
      </c>
      <c r="P259" s="433">
        <v>2014.0</v>
      </c>
      <c r="Q259" s="433" t="s">
        <v>388</v>
      </c>
      <c r="R259" s="433">
        <v>3.0</v>
      </c>
      <c r="S259" s="3"/>
      <c r="T259" s="3"/>
      <c r="U259" s="3"/>
      <c r="V259" s="3"/>
      <c r="W259" s="3"/>
      <c r="X259" s="3"/>
      <c r="Y259" s="3"/>
      <c r="Z259" s="3"/>
    </row>
    <row r="260" ht="15.75" customHeight="1">
      <c r="A260" s="3"/>
      <c r="B260" s="450">
        <v>248.0</v>
      </c>
      <c r="C260" s="433"/>
      <c r="D260" s="433" t="s">
        <v>21180</v>
      </c>
      <c r="E260" s="433"/>
      <c r="F260" s="434" t="s">
        <v>21643</v>
      </c>
      <c r="G260" s="433" t="s">
        <v>16872</v>
      </c>
      <c r="H260" s="342" t="s">
        <v>29</v>
      </c>
      <c r="I260" s="433" t="s">
        <v>30</v>
      </c>
      <c r="J260" s="433"/>
      <c r="K260" s="433" t="s">
        <v>30</v>
      </c>
      <c r="L260" s="433">
        <v>30.0</v>
      </c>
      <c r="M260" s="433" t="s">
        <v>21594</v>
      </c>
      <c r="N260" s="433" t="s">
        <v>21585</v>
      </c>
      <c r="O260" s="433" t="s">
        <v>21178</v>
      </c>
      <c r="P260" s="433">
        <v>2014.0</v>
      </c>
      <c r="Q260" s="433" t="s">
        <v>388</v>
      </c>
      <c r="R260" s="433">
        <v>2.0</v>
      </c>
      <c r="S260" s="3"/>
      <c r="T260" s="3"/>
      <c r="U260" s="3"/>
      <c r="V260" s="3"/>
      <c r="W260" s="3"/>
      <c r="X260" s="3"/>
      <c r="Y260" s="3"/>
      <c r="Z260" s="3"/>
    </row>
    <row r="261" ht="15.75" customHeight="1">
      <c r="A261" s="3"/>
      <c r="B261" s="552">
        <v>249.0</v>
      </c>
      <c r="C261" s="433"/>
      <c r="D261" s="433" t="s">
        <v>21180</v>
      </c>
      <c r="E261" s="433"/>
      <c r="F261" s="434" t="s">
        <v>21644</v>
      </c>
      <c r="G261" s="433" t="s">
        <v>16872</v>
      </c>
      <c r="H261" s="342" t="s">
        <v>29</v>
      </c>
      <c r="I261" s="433" t="s">
        <v>30</v>
      </c>
      <c r="J261" s="433"/>
      <c r="K261" s="433" t="s">
        <v>30</v>
      </c>
      <c r="L261" s="433">
        <v>30.0</v>
      </c>
      <c r="M261" s="433" t="s">
        <v>21594</v>
      </c>
      <c r="N261" s="433" t="s">
        <v>21645</v>
      </c>
      <c r="O261" s="433" t="s">
        <v>21178</v>
      </c>
      <c r="P261" s="433">
        <v>2016.0</v>
      </c>
      <c r="Q261" s="433" t="s">
        <v>388</v>
      </c>
      <c r="R261" s="433">
        <v>3.0</v>
      </c>
      <c r="S261" s="3"/>
      <c r="T261" s="3"/>
      <c r="U261" s="3"/>
      <c r="V261" s="3"/>
      <c r="W261" s="3"/>
      <c r="X261" s="3"/>
      <c r="Y261" s="3"/>
      <c r="Z261" s="3"/>
    </row>
    <row r="262" ht="15.75" customHeight="1">
      <c r="A262" s="3"/>
      <c r="B262" s="450">
        <v>250.0</v>
      </c>
      <c r="C262" s="433"/>
      <c r="D262" s="433" t="s">
        <v>21621</v>
      </c>
      <c r="E262" s="433"/>
      <c r="F262" s="434" t="s">
        <v>21646</v>
      </c>
      <c r="G262" s="433" t="s">
        <v>16872</v>
      </c>
      <c r="H262" s="342" t="s">
        <v>29</v>
      </c>
      <c r="I262" s="433" t="s">
        <v>30</v>
      </c>
      <c r="J262" s="433"/>
      <c r="K262" s="433" t="s">
        <v>30</v>
      </c>
      <c r="L262" s="433">
        <v>30.0</v>
      </c>
      <c r="M262" s="433" t="s">
        <v>21594</v>
      </c>
      <c r="N262" s="433" t="s">
        <v>21645</v>
      </c>
      <c r="O262" s="433" t="s">
        <v>21178</v>
      </c>
      <c r="P262" s="433">
        <v>2016.0</v>
      </c>
      <c r="Q262" s="433" t="s">
        <v>388</v>
      </c>
      <c r="R262" s="433">
        <v>3.0</v>
      </c>
      <c r="S262" s="3"/>
      <c r="T262" s="3"/>
      <c r="U262" s="3"/>
      <c r="V262" s="3"/>
      <c r="W262" s="3"/>
      <c r="X262" s="3"/>
      <c r="Y262" s="3"/>
      <c r="Z262" s="3"/>
    </row>
    <row r="263" ht="15.75" customHeight="1">
      <c r="A263" s="3"/>
      <c r="B263" s="552">
        <v>251.0</v>
      </c>
      <c r="C263" s="433"/>
      <c r="D263" s="433" t="s">
        <v>21621</v>
      </c>
      <c r="E263" s="433"/>
      <c r="F263" s="434" t="s">
        <v>21647</v>
      </c>
      <c r="G263" s="433" t="s">
        <v>16872</v>
      </c>
      <c r="H263" s="342" t="s">
        <v>29</v>
      </c>
      <c r="I263" s="433" t="s">
        <v>30</v>
      </c>
      <c r="J263" s="433"/>
      <c r="K263" s="433" t="s">
        <v>30</v>
      </c>
      <c r="L263" s="433">
        <v>30.0</v>
      </c>
      <c r="M263" s="433" t="s">
        <v>21594</v>
      </c>
      <c r="N263" s="433" t="s">
        <v>21645</v>
      </c>
      <c r="O263" s="433" t="s">
        <v>21178</v>
      </c>
      <c r="P263" s="433">
        <v>2016.0</v>
      </c>
      <c r="Q263" s="433" t="s">
        <v>388</v>
      </c>
      <c r="R263" s="433">
        <v>3.0</v>
      </c>
      <c r="S263" s="3"/>
      <c r="T263" s="3"/>
      <c r="U263" s="3"/>
      <c r="V263" s="3"/>
      <c r="W263" s="3"/>
      <c r="X263" s="3"/>
      <c r="Y263" s="3"/>
      <c r="Z263" s="3"/>
    </row>
    <row r="264" ht="15.75" customHeight="1">
      <c r="A264" s="3"/>
      <c r="B264" s="450">
        <v>252.0</v>
      </c>
      <c r="C264" s="433"/>
      <c r="D264" s="433" t="s">
        <v>21621</v>
      </c>
      <c r="E264" s="433"/>
      <c r="F264" s="434" t="s">
        <v>21648</v>
      </c>
      <c r="G264" s="433" t="s">
        <v>16872</v>
      </c>
      <c r="H264" s="342" t="s">
        <v>29</v>
      </c>
      <c r="I264" s="433" t="s">
        <v>30</v>
      </c>
      <c r="J264" s="433"/>
      <c r="K264" s="433" t="s">
        <v>30</v>
      </c>
      <c r="L264" s="433">
        <v>30.0</v>
      </c>
      <c r="M264" s="433" t="s">
        <v>21594</v>
      </c>
      <c r="N264" s="433" t="s">
        <v>21645</v>
      </c>
      <c r="O264" s="433" t="s">
        <v>21178</v>
      </c>
      <c r="P264" s="433">
        <v>2016.0</v>
      </c>
      <c r="Q264" s="433" t="s">
        <v>388</v>
      </c>
      <c r="R264" s="433">
        <v>3.0</v>
      </c>
      <c r="S264" s="3"/>
      <c r="T264" s="3"/>
      <c r="U264" s="3"/>
      <c r="V264" s="3"/>
      <c r="W264" s="3"/>
      <c r="X264" s="3"/>
      <c r="Y264" s="3"/>
      <c r="Z264" s="3"/>
    </row>
    <row r="265" ht="15.75" customHeight="1">
      <c r="A265" s="3"/>
      <c r="B265" s="552">
        <v>253.0</v>
      </c>
      <c r="C265" s="433"/>
      <c r="D265" s="433" t="s">
        <v>21621</v>
      </c>
      <c r="E265" s="433"/>
      <c r="F265" s="434" t="s">
        <v>21649</v>
      </c>
      <c r="G265" s="433" t="s">
        <v>16872</v>
      </c>
      <c r="H265" s="342" t="s">
        <v>29</v>
      </c>
      <c r="I265" s="433" t="s">
        <v>30</v>
      </c>
      <c r="J265" s="433"/>
      <c r="K265" s="433" t="s">
        <v>30</v>
      </c>
      <c r="L265" s="433">
        <v>30.0</v>
      </c>
      <c r="M265" s="433" t="s">
        <v>21594</v>
      </c>
      <c r="N265" s="433" t="s">
        <v>21645</v>
      </c>
      <c r="O265" s="433" t="s">
        <v>21178</v>
      </c>
      <c r="P265" s="433">
        <v>2016.0</v>
      </c>
      <c r="Q265" s="433" t="s">
        <v>388</v>
      </c>
      <c r="R265" s="433">
        <v>3.0</v>
      </c>
      <c r="S265" s="3"/>
      <c r="T265" s="3"/>
      <c r="U265" s="3"/>
      <c r="V265" s="3"/>
      <c r="W265" s="3"/>
      <c r="X265" s="3"/>
      <c r="Y265" s="3"/>
      <c r="Z265" s="3"/>
    </row>
    <row r="266" ht="15.75" customHeight="1">
      <c r="A266" s="3"/>
      <c r="B266" s="450">
        <v>254.0</v>
      </c>
      <c r="C266" s="433"/>
      <c r="D266" s="433" t="s">
        <v>21621</v>
      </c>
      <c r="E266" s="433"/>
      <c r="F266" s="434" t="s">
        <v>21650</v>
      </c>
      <c r="G266" s="433" t="s">
        <v>16872</v>
      </c>
      <c r="H266" s="342" t="s">
        <v>29</v>
      </c>
      <c r="I266" s="433" t="s">
        <v>30</v>
      </c>
      <c r="J266" s="433"/>
      <c r="K266" s="433" t="s">
        <v>30</v>
      </c>
      <c r="L266" s="433">
        <v>30.0</v>
      </c>
      <c r="M266" s="433" t="s">
        <v>21594</v>
      </c>
      <c r="N266" s="433" t="s">
        <v>21645</v>
      </c>
      <c r="O266" s="433" t="s">
        <v>21178</v>
      </c>
      <c r="P266" s="433">
        <v>2016.0</v>
      </c>
      <c r="Q266" s="433" t="s">
        <v>388</v>
      </c>
      <c r="R266" s="433">
        <v>3.0</v>
      </c>
      <c r="S266" s="3"/>
      <c r="T266" s="3"/>
      <c r="U266" s="3"/>
      <c r="V266" s="3"/>
      <c r="W266" s="3"/>
      <c r="X266" s="3"/>
      <c r="Y266" s="3"/>
      <c r="Z266" s="3"/>
    </row>
    <row r="267" ht="15.75" customHeight="1">
      <c r="A267" s="3"/>
      <c r="B267" s="552">
        <v>255.0</v>
      </c>
      <c r="C267" s="433"/>
      <c r="D267" s="433" t="s">
        <v>21621</v>
      </c>
      <c r="E267" s="433"/>
      <c r="F267" s="434" t="s">
        <v>21651</v>
      </c>
      <c r="G267" s="433" t="s">
        <v>16872</v>
      </c>
      <c r="H267" s="342" t="s">
        <v>29</v>
      </c>
      <c r="I267" s="433" t="s">
        <v>30</v>
      </c>
      <c r="J267" s="433"/>
      <c r="K267" s="433" t="s">
        <v>30</v>
      </c>
      <c r="L267" s="433">
        <v>30.0</v>
      </c>
      <c r="M267" s="433" t="s">
        <v>21594</v>
      </c>
      <c r="N267" s="433" t="s">
        <v>21645</v>
      </c>
      <c r="O267" s="433" t="s">
        <v>21178</v>
      </c>
      <c r="P267" s="433">
        <v>2016.0</v>
      </c>
      <c r="Q267" s="433" t="s">
        <v>388</v>
      </c>
      <c r="R267" s="433">
        <v>3.0</v>
      </c>
      <c r="S267" s="3"/>
      <c r="T267" s="3"/>
      <c r="U267" s="3"/>
      <c r="V267" s="3"/>
      <c r="W267" s="3"/>
      <c r="X267" s="3"/>
      <c r="Y267" s="3"/>
      <c r="Z267" s="3"/>
    </row>
    <row r="268" ht="15.75" customHeight="1">
      <c r="A268" s="3"/>
      <c r="B268" s="450">
        <v>256.0</v>
      </c>
      <c r="C268" s="433"/>
      <c r="D268" s="433" t="s">
        <v>21161</v>
      </c>
      <c r="E268" s="433"/>
      <c r="F268" s="434" t="s">
        <v>21652</v>
      </c>
      <c r="G268" s="433" t="s">
        <v>16872</v>
      </c>
      <c r="H268" s="342" t="s">
        <v>29</v>
      </c>
      <c r="I268" s="433" t="s">
        <v>30</v>
      </c>
      <c r="J268" s="433"/>
      <c r="K268" s="433" t="s">
        <v>30</v>
      </c>
      <c r="L268" s="433">
        <v>31.0</v>
      </c>
      <c r="M268" s="433" t="s">
        <v>21653</v>
      </c>
      <c r="N268" s="433" t="s">
        <v>21654</v>
      </c>
      <c r="O268" s="433" t="s">
        <v>21655</v>
      </c>
      <c r="P268" s="433">
        <v>2007.0</v>
      </c>
      <c r="Q268" s="433" t="s">
        <v>388</v>
      </c>
      <c r="R268" s="433">
        <v>1.0</v>
      </c>
      <c r="S268" s="3"/>
      <c r="T268" s="3"/>
      <c r="U268" s="3"/>
      <c r="V268" s="3"/>
      <c r="W268" s="3"/>
      <c r="X268" s="3"/>
      <c r="Y268" s="3"/>
      <c r="Z268" s="3"/>
    </row>
    <row r="269" ht="15.75" customHeight="1">
      <c r="A269" s="3"/>
      <c r="B269" s="552">
        <v>257.0</v>
      </c>
      <c r="C269" s="433"/>
      <c r="D269" s="433" t="s">
        <v>21161</v>
      </c>
      <c r="E269" s="433"/>
      <c r="F269" s="434" t="s">
        <v>21656</v>
      </c>
      <c r="G269" s="433" t="s">
        <v>16872</v>
      </c>
      <c r="H269" s="342" t="s">
        <v>29</v>
      </c>
      <c r="I269" s="433" t="s">
        <v>30</v>
      </c>
      <c r="J269" s="433"/>
      <c r="K269" s="433" t="s">
        <v>30</v>
      </c>
      <c r="L269" s="433">
        <v>30.0</v>
      </c>
      <c r="M269" s="433" t="s">
        <v>21653</v>
      </c>
      <c r="N269" s="433" t="s">
        <v>21654</v>
      </c>
      <c r="O269" s="433" t="s">
        <v>21655</v>
      </c>
      <c r="P269" s="433">
        <v>2007.0</v>
      </c>
      <c r="Q269" s="433" t="s">
        <v>388</v>
      </c>
      <c r="R269" s="433">
        <v>1.0</v>
      </c>
      <c r="S269" s="3"/>
      <c r="T269" s="3"/>
      <c r="U269" s="3"/>
      <c r="V269" s="3"/>
      <c r="W269" s="3"/>
      <c r="X269" s="3"/>
      <c r="Y269" s="3"/>
      <c r="Z269" s="3"/>
    </row>
    <row r="270" ht="15.75" customHeight="1">
      <c r="A270" s="3"/>
      <c r="B270" s="450">
        <v>258.0</v>
      </c>
      <c r="C270" s="433"/>
      <c r="D270" s="433" t="s">
        <v>21161</v>
      </c>
      <c r="E270" s="433"/>
      <c r="F270" s="434" t="s">
        <v>21657</v>
      </c>
      <c r="G270" s="433" t="s">
        <v>16872</v>
      </c>
      <c r="H270" s="342" t="s">
        <v>29</v>
      </c>
      <c r="I270" s="433" t="s">
        <v>30</v>
      </c>
      <c r="J270" s="433"/>
      <c r="K270" s="433" t="s">
        <v>30</v>
      </c>
      <c r="L270" s="433">
        <v>31.0</v>
      </c>
      <c r="M270" s="433" t="s">
        <v>21653</v>
      </c>
      <c r="N270" s="433" t="s">
        <v>21654</v>
      </c>
      <c r="O270" s="433" t="s">
        <v>21655</v>
      </c>
      <c r="P270" s="433">
        <v>2007.0</v>
      </c>
      <c r="Q270" s="433" t="s">
        <v>388</v>
      </c>
      <c r="R270" s="433">
        <v>1.0</v>
      </c>
      <c r="S270" s="3"/>
      <c r="T270" s="3"/>
      <c r="U270" s="3"/>
      <c r="V270" s="3"/>
      <c r="W270" s="3"/>
      <c r="X270" s="3"/>
      <c r="Y270" s="3"/>
      <c r="Z270" s="3"/>
    </row>
    <row r="271" ht="15.75" customHeight="1">
      <c r="A271" s="3"/>
      <c r="B271" s="552">
        <v>259.0</v>
      </c>
      <c r="C271" s="433"/>
      <c r="D271" s="433" t="s">
        <v>21161</v>
      </c>
      <c r="E271" s="433"/>
      <c r="F271" s="434" t="s">
        <v>21658</v>
      </c>
      <c r="G271" s="433" t="s">
        <v>16872</v>
      </c>
      <c r="H271" s="342" t="s">
        <v>29</v>
      </c>
      <c r="I271" s="433" t="s">
        <v>30</v>
      </c>
      <c r="J271" s="433"/>
      <c r="K271" s="433" t="s">
        <v>30</v>
      </c>
      <c r="L271" s="433">
        <v>31.0</v>
      </c>
      <c r="M271" s="433" t="s">
        <v>21653</v>
      </c>
      <c r="N271" s="433" t="s">
        <v>21654</v>
      </c>
      <c r="O271" s="433" t="s">
        <v>21655</v>
      </c>
      <c r="P271" s="433">
        <v>2007.0</v>
      </c>
      <c r="Q271" s="433" t="s">
        <v>388</v>
      </c>
      <c r="R271" s="433">
        <v>1.0</v>
      </c>
      <c r="S271" s="3"/>
      <c r="T271" s="3"/>
      <c r="U271" s="3"/>
      <c r="V271" s="3"/>
      <c r="W271" s="3"/>
      <c r="X271" s="3"/>
      <c r="Y271" s="3"/>
      <c r="Z271" s="3"/>
    </row>
    <row r="272" ht="15.75" customHeight="1">
      <c r="A272" s="3"/>
      <c r="B272" s="450">
        <v>260.0</v>
      </c>
      <c r="C272" s="433"/>
      <c r="D272" s="433" t="s">
        <v>21161</v>
      </c>
      <c r="E272" s="433"/>
      <c r="F272" s="434" t="s">
        <v>21659</v>
      </c>
      <c r="G272" s="433" t="s">
        <v>16872</v>
      </c>
      <c r="H272" s="342" t="s">
        <v>29</v>
      </c>
      <c r="I272" s="433" t="s">
        <v>30</v>
      </c>
      <c r="J272" s="433"/>
      <c r="K272" s="433" t="s">
        <v>30</v>
      </c>
      <c r="L272" s="433">
        <v>29.0</v>
      </c>
      <c r="M272" s="433" t="s">
        <v>21653</v>
      </c>
      <c r="N272" s="433" t="s">
        <v>21654</v>
      </c>
      <c r="O272" s="433" t="s">
        <v>21655</v>
      </c>
      <c r="P272" s="433">
        <v>2008.0</v>
      </c>
      <c r="Q272" s="433" t="s">
        <v>388</v>
      </c>
      <c r="R272" s="433">
        <v>1.0</v>
      </c>
      <c r="S272" s="3"/>
      <c r="T272" s="3"/>
      <c r="U272" s="3"/>
      <c r="V272" s="3"/>
      <c r="W272" s="3"/>
      <c r="X272" s="3"/>
      <c r="Y272" s="3"/>
      <c r="Z272" s="3"/>
    </row>
    <row r="273" ht="15.75" customHeight="1">
      <c r="A273" s="3"/>
      <c r="B273" s="552">
        <v>261.0</v>
      </c>
      <c r="C273" s="433"/>
      <c r="D273" s="433" t="s">
        <v>21161</v>
      </c>
      <c r="E273" s="433"/>
      <c r="F273" s="434" t="s">
        <v>21660</v>
      </c>
      <c r="G273" s="433" t="s">
        <v>16872</v>
      </c>
      <c r="H273" s="342" t="s">
        <v>29</v>
      </c>
      <c r="I273" s="433" t="s">
        <v>30</v>
      </c>
      <c r="J273" s="433"/>
      <c r="K273" s="433" t="s">
        <v>30</v>
      </c>
      <c r="L273" s="433">
        <v>30.0</v>
      </c>
      <c r="M273" s="433" t="s">
        <v>21653</v>
      </c>
      <c r="N273" s="433" t="s">
        <v>21654</v>
      </c>
      <c r="O273" s="433" t="s">
        <v>21655</v>
      </c>
      <c r="P273" s="433">
        <v>2008.0</v>
      </c>
      <c r="Q273" s="433" t="s">
        <v>388</v>
      </c>
      <c r="R273" s="433">
        <v>1.0</v>
      </c>
      <c r="S273" s="3"/>
      <c r="T273" s="3"/>
      <c r="U273" s="3"/>
      <c r="V273" s="3"/>
      <c r="W273" s="3"/>
      <c r="X273" s="3"/>
      <c r="Y273" s="3"/>
      <c r="Z273" s="3"/>
    </row>
    <row r="274" ht="15.75" customHeight="1">
      <c r="A274" s="3"/>
      <c r="B274" s="450">
        <v>262.0</v>
      </c>
      <c r="C274" s="433"/>
      <c r="D274" s="433" t="s">
        <v>21161</v>
      </c>
      <c r="E274" s="433"/>
      <c r="F274" s="434" t="s">
        <v>21661</v>
      </c>
      <c r="G274" s="433" t="s">
        <v>16872</v>
      </c>
      <c r="H274" s="342" t="s">
        <v>29</v>
      </c>
      <c r="I274" s="433" t="s">
        <v>30</v>
      </c>
      <c r="J274" s="433"/>
      <c r="K274" s="433" t="s">
        <v>30</v>
      </c>
      <c r="L274" s="433">
        <v>30.0</v>
      </c>
      <c r="M274" s="433" t="s">
        <v>21653</v>
      </c>
      <c r="N274" s="433" t="s">
        <v>21654</v>
      </c>
      <c r="O274" s="433" t="s">
        <v>21655</v>
      </c>
      <c r="P274" s="433">
        <v>2008.0</v>
      </c>
      <c r="Q274" s="433" t="s">
        <v>388</v>
      </c>
      <c r="R274" s="433">
        <v>1.0</v>
      </c>
      <c r="S274" s="3"/>
      <c r="T274" s="3"/>
      <c r="U274" s="3"/>
      <c r="V274" s="3"/>
      <c r="W274" s="3"/>
      <c r="X274" s="3"/>
      <c r="Y274" s="3"/>
      <c r="Z274" s="3"/>
    </row>
    <row r="275" ht="15.75" customHeight="1">
      <c r="A275" s="3"/>
      <c r="B275" s="552">
        <v>263.0</v>
      </c>
      <c r="C275" s="433"/>
      <c r="D275" s="433" t="s">
        <v>21161</v>
      </c>
      <c r="E275" s="433"/>
      <c r="F275" s="434" t="s">
        <v>21662</v>
      </c>
      <c r="G275" s="433" t="s">
        <v>16872</v>
      </c>
      <c r="H275" s="342" t="s">
        <v>29</v>
      </c>
      <c r="I275" s="433" t="s">
        <v>30</v>
      </c>
      <c r="J275" s="433"/>
      <c r="K275" s="433" t="s">
        <v>30</v>
      </c>
      <c r="L275" s="433">
        <v>29.0</v>
      </c>
      <c r="M275" s="433" t="s">
        <v>21653</v>
      </c>
      <c r="N275" s="433" t="s">
        <v>21663</v>
      </c>
      <c r="O275" s="433" t="s">
        <v>21655</v>
      </c>
      <c r="P275" s="433">
        <v>2008.0</v>
      </c>
      <c r="Q275" s="433" t="s">
        <v>388</v>
      </c>
      <c r="R275" s="433">
        <v>1.0</v>
      </c>
      <c r="S275" s="3"/>
      <c r="T275" s="3"/>
      <c r="U275" s="3"/>
      <c r="V275" s="3"/>
      <c r="W275" s="3"/>
      <c r="X275" s="3"/>
      <c r="Y275" s="3"/>
      <c r="Z275" s="3"/>
    </row>
    <row r="276" ht="15.75" customHeight="1">
      <c r="A276" s="3"/>
      <c r="B276" s="450">
        <v>264.0</v>
      </c>
      <c r="C276" s="433"/>
      <c r="D276" s="433" t="s">
        <v>21161</v>
      </c>
      <c r="E276" s="433"/>
      <c r="F276" s="434" t="s">
        <v>21664</v>
      </c>
      <c r="G276" s="433" t="s">
        <v>16872</v>
      </c>
      <c r="H276" s="342" t="s">
        <v>29</v>
      </c>
      <c r="I276" s="433" t="s">
        <v>30</v>
      </c>
      <c r="J276" s="433"/>
      <c r="K276" s="433" t="s">
        <v>30</v>
      </c>
      <c r="L276" s="433">
        <v>31.0</v>
      </c>
      <c r="M276" s="433" t="s">
        <v>21653</v>
      </c>
      <c r="N276" s="433" t="s">
        <v>21663</v>
      </c>
      <c r="O276" s="433" t="s">
        <v>21655</v>
      </c>
      <c r="P276" s="433">
        <v>2008.0</v>
      </c>
      <c r="Q276" s="433" t="s">
        <v>388</v>
      </c>
      <c r="R276" s="433">
        <v>1.0</v>
      </c>
      <c r="S276" s="3"/>
      <c r="T276" s="3"/>
      <c r="U276" s="3"/>
      <c r="V276" s="3"/>
      <c r="W276" s="3"/>
      <c r="X276" s="3"/>
      <c r="Y276" s="3"/>
      <c r="Z276" s="3"/>
    </row>
    <row r="277" ht="15.75" customHeight="1">
      <c r="A277" s="3"/>
      <c r="B277" s="552">
        <v>265.0</v>
      </c>
      <c r="C277" s="433"/>
      <c r="D277" s="433" t="s">
        <v>21161</v>
      </c>
      <c r="E277" s="433"/>
      <c r="F277" s="434" t="s">
        <v>21665</v>
      </c>
      <c r="G277" s="433" t="s">
        <v>16872</v>
      </c>
      <c r="H277" s="342" t="s">
        <v>29</v>
      </c>
      <c r="I277" s="433" t="s">
        <v>30</v>
      </c>
      <c r="J277" s="433"/>
      <c r="K277" s="433" t="s">
        <v>30</v>
      </c>
      <c r="L277" s="433">
        <v>28.0</v>
      </c>
      <c r="M277" s="433" t="s">
        <v>21653</v>
      </c>
      <c r="N277" s="433" t="s">
        <v>21663</v>
      </c>
      <c r="O277" s="433" t="s">
        <v>21655</v>
      </c>
      <c r="P277" s="433">
        <v>2009.0</v>
      </c>
      <c r="Q277" s="433" t="s">
        <v>388</v>
      </c>
      <c r="R277" s="433">
        <v>1.0</v>
      </c>
      <c r="S277" s="3"/>
      <c r="T277" s="3"/>
      <c r="U277" s="3"/>
      <c r="V277" s="3"/>
      <c r="W277" s="3"/>
      <c r="X277" s="3"/>
      <c r="Y277" s="3"/>
      <c r="Z277" s="3"/>
    </row>
    <row r="278" ht="15.75" customHeight="1">
      <c r="A278" s="3"/>
      <c r="B278" s="450">
        <v>266.0</v>
      </c>
      <c r="C278" s="433"/>
      <c r="D278" s="433" t="s">
        <v>21161</v>
      </c>
      <c r="E278" s="433"/>
      <c r="F278" s="434" t="s">
        <v>21666</v>
      </c>
      <c r="G278" s="433" t="s">
        <v>16872</v>
      </c>
      <c r="H278" s="342" t="s">
        <v>29</v>
      </c>
      <c r="I278" s="433" t="s">
        <v>30</v>
      </c>
      <c r="J278" s="433"/>
      <c r="K278" s="433" t="s">
        <v>30</v>
      </c>
      <c r="L278" s="433">
        <v>30.0</v>
      </c>
      <c r="M278" s="433" t="s">
        <v>21653</v>
      </c>
      <c r="N278" s="433" t="s">
        <v>21663</v>
      </c>
      <c r="O278" s="433" t="s">
        <v>21655</v>
      </c>
      <c r="P278" s="433">
        <v>2009.0</v>
      </c>
      <c r="Q278" s="433" t="s">
        <v>388</v>
      </c>
      <c r="R278" s="433">
        <v>1.0</v>
      </c>
      <c r="S278" s="3"/>
      <c r="T278" s="3"/>
      <c r="U278" s="3"/>
      <c r="V278" s="3"/>
      <c r="W278" s="3"/>
      <c r="X278" s="3"/>
      <c r="Y278" s="3"/>
      <c r="Z278" s="3"/>
    </row>
    <row r="279" ht="15.75" customHeight="1">
      <c r="A279" s="3"/>
      <c r="B279" s="552">
        <v>267.0</v>
      </c>
      <c r="C279" s="433"/>
      <c r="D279" s="433" t="s">
        <v>21161</v>
      </c>
      <c r="E279" s="433"/>
      <c r="F279" s="434" t="s">
        <v>21667</v>
      </c>
      <c r="G279" s="433" t="s">
        <v>16872</v>
      </c>
      <c r="H279" s="342" t="s">
        <v>29</v>
      </c>
      <c r="I279" s="433" t="s">
        <v>30</v>
      </c>
      <c r="J279" s="433"/>
      <c r="K279" s="433" t="s">
        <v>30</v>
      </c>
      <c r="L279" s="433">
        <v>30.0</v>
      </c>
      <c r="M279" s="433" t="s">
        <v>21653</v>
      </c>
      <c r="N279" s="433" t="s">
        <v>21663</v>
      </c>
      <c r="O279" s="433" t="s">
        <v>21655</v>
      </c>
      <c r="P279" s="433">
        <v>2009.0</v>
      </c>
      <c r="Q279" s="433" t="s">
        <v>388</v>
      </c>
      <c r="R279" s="433">
        <v>2.0</v>
      </c>
      <c r="S279" s="3"/>
      <c r="T279" s="3"/>
      <c r="U279" s="3"/>
      <c r="V279" s="3"/>
      <c r="W279" s="3"/>
      <c r="X279" s="3"/>
      <c r="Y279" s="3"/>
      <c r="Z279" s="3"/>
    </row>
    <row r="280" ht="15.75" customHeight="1">
      <c r="A280" s="3"/>
      <c r="B280" s="450">
        <v>268.0</v>
      </c>
      <c r="C280" s="433"/>
      <c r="D280" s="433" t="s">
        <v>21161</v>
      </c>
      <c r="E280" s="433"/>
      <c r="F280" s="434" t="s">
        <v>21668</v>
      </c>
      <c r="G280" s="433" t="s">
        <v>16872</v>
      </c>
      <c r="H280" s="342" t="s">
        <v>29</v>
      </c>
      <c r="I280" s="433" t="s">
        <v>30</v>
      </c>
      <c r="J280" s="433"/>
      <c r="K280" s="433" t="s">
        <v>30</v>
      </c>
      <c r="L280" s="433">
        <v>31.0</v>
      </c>
      <c r="M280" s="433" t="s">
        <v>21653</v>
      </c>
      <c r="N280" s="433" t="s">
        <v>21663</v>
      </c>
      <c r="O280" s="433" t="s">
        <v>21655</v>
      </c>
      <c r="P280" s="433">
        <v>2009.0</v>
      </c>
      <c r="Q280" s="433" t="s">
        <v>388</v>
      </c>
      <c r="R280" s="433">
        <v>2.0</v>
      </c>
      <c r="S280" s="3"/>
      <c r="T280" s="3"/>
      <c r="U280" s="3"/>
      <c r="V280" s="3"/>
      <c r="W280" s="3"/>
      <c r="X280" s="3"/>
      <c r="Y280" s="3"/>
      <c r="Z280" s="3"/>
    </row>
    <row r="281" ht="15.75" customHeight="1">
      <c r="A281" s="3"/>
      <c r="B281" s="552">
        <v>269.0</v>
      </c>
      <c r="C281" s="433"/>
      <c r="D281" s="433" t="s">
        <v>21161</v>
      </c>
      <c r="E281" s="433"/>
      <c r="F281" s="434" t="s">
        <v>21669</v>
      </c>
      <c r="G281" s="433" t="s">
        <v>16872</v>
      </c>
      <c r="H281" s="342" t="s">
        <v>29</v>
      </c>
      <c r="I281" s="433" t="s">
        <v>30</v>
      </c>
      <c r="J281" s="433"/>
      <c r="K281" s="433" t="s">
        <v>30</v>
      </c>
      <c r="L281" s="433">
        <v>31.0</v>
      </c>
      <c r="M281" s="433" t="s">
        <v>21653</v>
      </c>
      <c r="N281" s="433" t="s">
        <v>21663</v>
      </c>
      <c r="O281" s="433" t="s">
        <v>21655</v>
      </c>
      <c r="P281" s="433">
        <v>2009.0</v>
      </c>
      <c r="Q281" s="433" t="s">
        <v>388</v>
      </c>
      <c r="R281" s="433">
        <v>1.0</v>
      </c>
      <c r="S281" s="3"/>
      <c r="T281" s="3"/>
      <c r="U281" s="3"/>
      <c r="V281" s="3"/>
      <c r="W281" s="3"/>
      <c r="X281" s="3"/>
      <c r="Y281" s="3"/>
      <c r="Z281" s="3"/>
    </row>
    <row r="282" ht="15.75" customHeight="1">
      <c r="A282" s="3"/>
      <c r="B282" s="450">
        <v>270.0</v>
      </c>
      <c r="C282" s="433"/>
      <c r="D282" s="433" t="s">
        <v>21161</v>
      </c>
      <c r="E282" s="433"/>
      <c r="F282" s="434" t="s">
        <v>21670</v>
      </c>
      <c r="G282" s="433" t="s">
        <v>16872</v>
      </c>
      <c r="H282" s="342" t="s">
        <v>29</v>
      </c>
      <c r="I282" s="433" t="s">
        <v>30</v>
      </c>
      <c r="J282" s="433"/>
      <c r="K282" s="433" t="s">
        <v>30</v>
      </c>
      <c r="L282" s="433">
        <v>31.0</v>
      </c>
      <c r="M282" s="433" t="s">
        <v>21653</v>
      </c>
      <c r="N282" s="433" t="s">
        <v>21663</v>
      </c>
      <c r="O282" s="433" t="s">
        <v>21655</v>
      </c>
      <c r="P282" s="433">
        <v>2009.0</v>
      </c>
      <c r="Q282" s="433" t="s">
        <v>388</v>
      </c>
      <c r="R282" s="433">
        <v>1.0</v>
      </c>
      <c r="S282" s="3"/>
      <c r="T282" s="3"/>
      <c r="U282" s="3"/>
      <c r="V282" s="3"/>
      <c r="W282" s="3"/>
      <c r="X282" s="3"/>
      <c r="Y282" s="3"/>
      <c r="Z282" s="3"/>
    </row>
    <row r="283" ht="15.75" customHeight="1">
      <c r="A283" s="3"/>
      <c r="B283" s="552">
        <v>271.0</v>
      </c>
      <c r="C283" s="433"/>
      <c r="D283" s="433" t="s">
        <v>21161</v>
      </c>
      <c r="E283" s="433"/>
      <c r="F283" s="434" t="s">
        <v>21671</v>
      </c>
      <c r="G283" s="433" t="s">
        <v>16872</v>
      </c>
      <c r="H283" s="342" t="s">
        <v>29</v>
      </c>
      <c r="I283" s="433" t="s">
        <v>30</v>
      </c>
      <c r="J283" s="433"/>
      <c r="K283" s="433" t="s">
        <v>30</v>
      </c>
      <c r="L283" s="433">
        <v>28.0</v>
      </c>
      <c r="M283" s="433" t="s">
        <v>21672</v>
      </c>
      <c r="N283" s="433" t="s">
        <v>21663</v>
      </c>
      <c r="O283" s="433" t="s">
        <v>21655</v>
      </c>
      <c r="P283" s="433">
        <v>2010.0</v>
      </c>
      <c r="Q283" s="433" t="s">
        <v>388</v>
      </c>
      <c r="R283" s="433">
        <v>2.0</v>
      </c>
      <c r="S283" s="3"/>
      <c r="T283" s="3"/>
      <c r="U283" s="3"/>
      <c r="V283" s="3"/>
      <c r="W283" s="3"/>
      <c r="X283" s="3"/>
      <c r="Y283" s="3"/>
      <c r="Z283" s="3"/>
    </row>
    <row r="284" ht="15.75" customHeight="1">
      <c r="A284" s="3"/>
      <c r="B284" s="450">
        <v>272.0</v>
      </c>
      <c r="C284" s="433"/>
      <c r="D284" s="433" t="s">
        <v>21161</v>
      </c>
      <c r="E284" s="433"/>
      <c r="F284" s="434" t="s">
        <v>21673</v>
      </c>
      <c r="G284" s="433" t="s">
        <v>16872</v>
      </c>
      <c r="H284" s="342" t="s">
        <v>29</v>
      </c>
      <c r="I284" s="433" t="s">
        <v>30</v>
      </c>
      <c r="J284" s="433"/>
      <c r="K284" s="433" t="s">
        <v>30</v>
      </c>
      <c r="L284" s="433">
        <v>30.0</v>
      </c>
      <c r="M284" s="433" t="s">
        <v>21672</v>
      </c>
      <c r="N284" s="433" t="s">
        <v>21663</v>
      </c>
      <c r="O284" s="433" t="s">
        <v>21655</v>
      </c>
      <c r="P284" s="433">
        <v>2010.0</v>
      </c>
      <c r="Q284" s="433" t="s">
        <v>388</v>
      </c>
      <c r="R284" s="433">
        <v>2.0</v>
      </c>
      <c r="S284" s="3"/>
      <c r="T284" s="3"/>
      <c r="U284" s="3"/>
      <c r="V284" s="3"/>
      <c r="W284" s="3"/>
      <c r="X284" s="3"/>
      <c r="Y284" s="3"/>
      <c r="Z284" s="3"/>
    </row>
    <row r="285" ht="15.75" customHeight="1">
      <c r="A285" s="3"/>
      <c r="B285" s="552">
        <v>273.0</v>
      </c>
      <c r="C285" s="433"/>
      <c r="D285" s="433" t="s">
        <v>21161</v>
      </c>
      <c r="E285" s="433"/>
      <c r="F285" s="434" t="s">
        <v>21674</v>
      </c>
      <c r="G285" s="433" t="s">
        <v>16872</v>
      </c>
      <c r="H285" s="342" t="s">
        <v>29</v>
      </c>
      <c r="I285" s="433" t="s">
        <v>30</v>
      </c>
      <c r="J285" s="433"/>
      <c r="K285" s="433" t="s">
        <v>30</v>
      </c>
      <c r="L285" s="433">
        <v>29.0</v>
      </c>
      <c r="M285" s="433" t="s">
        <v>21672</v>
      </c>
      <c r="N285" s="433" t="s">
        <v>21663</v>
      </c>
      <c r="O285" s="433" t="s">
        <v>21655</v>
      </c>
      <c r="P285" s="433">
        <v>2010.0</v>
      </c>
      <c r="Q285" s="433" t="s">
        <v>388</v>
      </c>
      <c r="R285" s="433">
        <v>1.0</v>
      </c>
      <c r="S285" s="3"/>
      <c r="T285" s="3"/>
      <c r="U285" s="3"/>
      <c r="V285" s="3"/>
      <c r="W285" s="3"/>
      <c r="X285" s="3"/>
      <c r="Y285" s="3"/>
      <c r="Z285" s="3"/>
    </row>
    <row r="286" ht="15.75" customHeight="1">
      <c r="A286" s="3"/>
      <c r="B286" s="450">
        <v>274.0</v>
      </c>
      <c r="C286" s="433"/>
      <c r="D286" s="433" t="s">
        <v>21161</v>
      </c>
      <c r="E286" s="433"/>
      <c r="F286" s="434" t="s">
        <v>21675</v>
      </c>
      <c r="G286" s="433" t="s">
        <v>16872</v>
      </c>
      <c r="H286" s="342" t="s">
        <v>29</v>
      </c>
      <c r="I286" s="433" t="s">
        <v>30</v>
      </c>
      <c r="J286" s="433"/>
      <c r="K286" s="433" t="s">
        <v>30</v>
      </c>
      <c r="L286" s="433">
        <v>31.0</v>
      </c>
      <c r="M286" s="433" t="s">
        <v>21672</v>
      </c>
      <c r="N286" s="433" t="s">
        <v>21663</v>
      </c>
      <c r="O286" s="433" t="s">
        <v>21655</v>
      </c>
      <c r="P286" s="433">
        <v>2010.0</v>
      </c>
      <c r="Q286" s="433" t="s">
        <v>388</v>
      </c>
      <c r="R286" s="433">
        <v>2.0</v>
      </c>
      <c r="S286" s="3"/>
      <c r="T286" s="3"/>
      <c r="U286" s="3"/>
      <c r="V286" s="3"/>
      <c r="W286" s="3"/>
      <c r="X286" s="3"/>
      <c r="Y286" s="3"/>
      <c r="Z286" s="3"/>
    </row>
    <row r="287" ht="15.75" customHeight="1">
      <c r="A287" s="3"/>
      <c r="B287" s="552">
        <v>275.0</v>
      </c>
      <c r="C287" s="433"/>
      <c r="D287" s="433" t="s">
        <v>21161</v>
      </c>
      <c r="E287" s="433"/>
      <c r="F287" s="434" t="s">
        <v>21676</v>
      </c>
      <c r="G287" s="433" t="s">
        <v>16872</v>
      </c>
      <c r="H287" s="342" t="s">
        <v>29</v>
      </c>
      <c r="I287" s="433" t="s">
        <v>30</v>
      </c>
      <c r="J287" s="433"/>
      <c r="K287" s="433" t="s">
        <v>30</v>
      </c>
      <c r="L287" s="433">
        <v>28.0</v>
      </c>
      <c r="M287" s="433" t="s">
        <v>21672</v>
      </c>
      <c r="N287" s="433" t="s">
        <v>21663</v>
      </c>
      <c r="O287" s="433" t="s">
        <v>21655</v>
      </c>
      <c r="P287" s="433">
        <v>2010.0</v>
      </c>
      <c r="Q287" s="433" t="s">
        <v>388</v>
      </c>
      <c r="R287" s="433">
        <v>2.0</v>
      </c>
      <c r="S287" s="3"/>
      <c r="T287" s="3"/>
      <c r="U287" s="3"/>
      <c r="V287" s="3"/>
      <c r="W287" s="3"/>
      <c r="X287" s="3"/>
      <c r="Y287" s="3"/>
      <c r="Z287" s="3"/>
    </row>
    <row r="288" ht="15.75" customHeight="1">
      <c r="A288" s="3"/>
      <c r="B288" s="450">
        <v>276.0</v>
      </c>
      <c r="C288" s="433"/>
      <c r="D288" s="433" t="s">
        <v>21161</v>
      </c>
      <c r="E288" s="433"/>
      <c r="F288" s="434" t="s">
        <v>21677</v>
      </c>
      <c r="G288" s="433" t="s">
        <v>16872</v>
      </c>
      <c r="H288" s="342" t="s">
        <v>29</v>
      </c>
      <c r="I288" s="433" t="s">
        <v>30</v>
      </c>
      <c r="J288" s="433"/>
      <c r="K288" s="433" t="s">
        <v>30</v>
      </c>
      <c r="L288" s="433">
        <v>31.0</v>
      </c>
      <c r="M288" s="433" t="s">
        <v>21672</v>
      </c>
      <c r="N288" s="433" t="s">
        <v>21663</v>
      </c>
      <c r="O288" s="433" t="s">
        <v>21655</v>
      </c>
      <c r="P288" s="433">
        <v>2010.0</v>
      </c>
      <c r="Q288" s="433" t="s">
        <v>388</v>
      </c>
      <c r="R288" s="433">
        <v>2.0</v>
      </c>
      <c r="S288" s="3"/>
      <c r="T288" s="3"/>
      <c r="U288" s="3"/>
      <c r="V288" s="3"/>
      <c r="W288" s="3"/>
      <c r="X288" s="3"/>
      <c r="Y288" s="3"/>
      <c r="Z288" s="3"/>
    </row>
    <row r="289" ht="15.75" customHeight="1">
      <c r="A289" s="3"/>
      <c r="B289" s="552">
        <v>277.0</v>
      </c>
      <c r="C289" s="433"/>
      <c r="D289" s="433" t="s">
        <v>21161</v>
      </c>
      <c r="E289" s="433"/>
      <c r="F289" s="434" t="s">
        <v>21678</v>
      </c>
      <c r="G289" s="433" t="s">
        <v>16872</v>
      </c>
      <c r="H289" s="342" t="s">
        <v>29</v>
      </c>
      <c r="I289" s="433" t="s">
        <v>30</v>
      </c>
      <c r="J289" s="433"/>
      <c r="K289" s="433" t="s">
        <v>30</v>
      </c>
      <c r="L289" s="433">
        <v>28.0</v>
      </c>
      <c r="M289" s="433" t="s">
        <v>21672</v>
      </c>
      <c r="N289" s="433" t="s">
        <v>21663</v>
      </c>
      <c r="O289" s="433" t="s">
        <v>21655</v>
      </c>
      <c r="P289" s="433">
        <v>2011.0</v>
      </c>
      <c r="Q289" s="433" t="s">
        <v>388</v>
      </c>
      <c r="R289" s="433">
        <v>2.0</v>
      </c>
      <c r="S289" s="3"/>
      <c r="T289" s="3"/>
      <c r="U289" s="3"/>
      <c r="V289" s="3"/>
      <c r="W289" s="3"/>
      <c r="X289" s="3"/>
      <c r="Y289" s="3"/>
      <c r="Z289" s="3"/>
    </row>
    <row r="290" ht="15.75" customHeight="1">
      <c r="A290" s="3"/>
      <c r="B290" s="450">
        <v>278.0</v>
      </c>
      <c r="C290" s="433"/>
      <c r="D290" s="433" t="s">
        <v>21161</v>
      </c>
      <c r="E290" s="433"/>
      <c r="F290" s="434" t="s">
        <v>21679</v>
      </c>
      <c r="G290" s="433" t="s">
        <v>16872</v>
      </c>
      <c r="H290" s="342" t="s">
        <v>29</v>
      </c>
      <c r="I290" s="433" t="s">
        <v>30</v>
      </c>
      <c r="J290" s="433"/>
      <c r="K290" s="433" t="s">
        <v>30</v>
      </c>
      <c r="L290" s="433">
        <v>30.0</v>
      </c>
      <c r="M290" s="433" t="s">
        <v>21672</v>
      </c>
      <c r="N290" s="433" t="s">
        <v>21663</v>
      </c>
      <c r="O290" s="433" t="s">
        <v>21655</v>
      </c>
      <c r="P290" s="433">
        <v>2011.0</v>
      </c>
      <c r="Q290" s="433" t="s">
        <v>388</v>
      </c>
      <c r="R290" s="433">
        <v>2.0</v>
      </c>
      <c r="S290" s="3"/>
      <c r="T290" s="3"/>
      <c r="U290" s="3"/>
      <c r="V290" s="3"/>
      <c r="W290" s="3"/>
      <c r="X290" s="3"/>
      <c r="Y290" s="3"/>
      <c r="Z290" s="3"/>
    </row>
    <row r="291" ht="15.75" customHeight="1">
      <c r="A291" s="3"/>
      <c r="B291" s="552">
        <v>279.0</v>
      </c>
      <c r="C291" s="433"/>
      <c r="D291" s="433" t="s">
        <v>21161</v>
      </c>
      <c r="E291" s="433"/>
      <c r="F291" s="434" t="s">
        <v>21680</v>
      </c>
      <c r="G291" s="433" t="s">
        <v>16872</v>
      </c>
      <c r="H291" s="342" t="s">
        <v>29</v>
      </c>
      <c r="I291" s="433" t="s">
        <v>30</v>
      </c>
      <c r="J291" s="433"/>
      <c r="K291" s="433" t="s">
        <v>30</v>
      </c>
      <c r="L291" s="433">
        <v>30.0</v>
      </c>
      <c r="M291" s="433" t="s">
        <v>21672</v>
      </c>
      <c r="N291" s="433" t="s">
        <v>21663</v>
      </c>
      <c r="O291" s="433" t="s">
        <v>21655</v>
      </c>
      <c r="P291" s="433">
        <v>2011.0</v>
      </c>
      <c r="Q291" s="433" t="s">
        <v>388</v>
      </c>
      <c r="R291" s="433">
        <v>2.0</v>
      </c>
      <c r="S291" s="3"/>
      <c r="T291" s="3"/>
      <c r="U291" s="3"/>
      <c r="V291" s="3"/>
      <c r="W291" s="3"/>
      <c r="X291" s="3"/>
      <c r="Y291" s="3"/>
      <c r="Z291" s="3"/>
    </row>
    <row r="292" ht="15.75" customHeight="1">
      <c r="A292" s="3"/>
      <c r="B292" s="450">
        <v>280.0</v>
      </c>
      <c r="C292" s="433"/>
      <c r="D292" s="433" t="s">
        <v>21161</v>
      </c>
      <c r="E292" s="433"/>
      <c r="F292" s="434" t="s">
        <v>21681</v>
      </c>
      <c r="G292" s="433" t="s">
        <v>16872</v>
      </c>
      <c r="H292" s="342" t="s">
        <v>29</v>
      </c>
      <c r="I292" s="433" t="s">
        <v>30</v>
      </c>
      <c r="J292" s="433"/>
      <c r="K292" s="433" t="s">
        <v>30</v>
      </c>
      <c r="L292" s="433">
        <v>31.0</v>
      </c>
      <c r="M292" s="433" t="s">
        <v>21672</v>
      </c>
      <c r="N292" s="433" t="s">
        <v>21663</v>
      </c>
      <c r="O292" s="433" t="s">
        <v>21655</v>
      </c>
      <c r="P292" s="433">
        <v>2011.0</v>
      </c>
      <c r="Q292" s="433" t="s">
        <v>388</v>
      </c>
      <c r="R292" s="433">
        <v>2.0</v>
      </c>
      <c r="S292" s="3"/>
      <c r="T292" s="3"/>
      <c r="U292" s="3"/>
      <c r="V292" s="3"/>
      <c r="W292" s="3"/>
      <c r="X292" s="3"/>
      <c r="Y292" s="3"/>
      <c r="Z292" s="3"/>
    </row>
    <row r="293" ht="15.75" customHeight="1">
      <c r="A293" s="3"/>
      <c r="B293" s="552">
        <v>281.0</v>
      </c>
      <c r="C293" s="433"/>
      <c r="D293" s="433" t="s">
        <v>21161</v>
      </c>
      <c r="E293" s="433"/>
      <c r="F293" s="434" t="s">
        <v>21682</v>
      </c>
      <c r="G293" s="433" t="s">
        <v>16872</v>
      </c>
      <c r="H293" s="342" t="s">
        <v>29</v>
      </c>
      <c r="I293" s="433" t="s">
        <v>30</v>
      </c>
      <c r="J293" s="433"/>
      <c r="K293" s="433" t="s">
        <v>30</v>
      </c>
      <c r="L293" s="433">
        <v>29.0</v>
      </c>
      <c r="M293" s="433" t="s">
        <v>21672</v>
      </c>
      <c r="N293" s="433" t="s">
        <v>21663</v>
      </c>
      <c r="O293" s="433" t="s">
        <v>21655</v>
      </c>
      <c r="P293" s="433">
        <v>2011.0</v>
      </c>
      <c r="Q293" s="433" t="s">
        <v>388</v>
      </c>
      <c r="R293" s="433">
        <v>2.0</v>
      </c>
      <c r="S293" s="3"/>
      <c r="T293" s="3"/>
      <c r="U293" s="3"/>
      <c r="V293" s="3"/>
      <c r="W293" s="3"/>
      <c r="X293" s="3"/>
      <c r="Y293" s="3"/>
      <c r="Z293" s="3"/>
    </row>
    <row r="294" ht="15.75" customHeight="1">
      <c r="A294" s="3"/>
      <c r="B294" s="450">
        <v>282.0</v>
      </c>
      <c r="C294" s="433"/>
      <c r="D294" s="433" t="s">
        <v>21161</v>
      </c>
      <c r="E294" s="433"/>
      <c r="F294" s="434" t="s">
        <v>21683</v>
      </c>
      <c r="G294" s="433" t="s">
        <v>16872</v>
      </c>
      <c r="H294" s="342" t="s">
        <v>29</v>
      </c>
      <c r="I294" s="433" t="s">
        <v>30</v>
      </c>
      <c r="J294" s="433"/>
      <c r="K294" s="433" t="s">
        <v>30</v>
      </c>
      <c r="L294" s="433">
        <v>31.0</v>
      </c>
      <c r="M294" s="433" t="s">
        <v>21672</v>
      </c>
      <c r="N294" s="433" t="s">
        <v>21663</v>
      </c>
      <c r="O294" s="433" t="s">
        <v>21655</v>
      </c>
      <c r="P294" s="433">
        <v>2011.0</v>
      </c>
      <c r="Q294" s="433" t="s">
        <v>388</v>
      </c>
      <c r="R294" s="433">
        <v>2.0</v>
      </c>
      <c r="S294" s="3"/>
      <c r="T294" s="3"/>
      <c r="U294" s="3"/>
      <c r="V294" s="3"/>
      <c r="W294" s="3"/>
      <c r="X294" s="3"/>
      <c r="Y294" s="3"/>
      <c r="Z294" s="3"/>
    </row>
    <row r="295" ht="15.75" customHeight="1">
      <c r="A295" s="3"/>
      <c r="B295" s="552">
        <v>283.0</v>
      </c>
      <c r="C295" s="433"/>
      <c r="D295" s="433" t="s">
        <v>21161</v>
      </c>
      <c r="E295" s="433"/>
      <c r="F295" s="434" t="s">
        <v>21684</v>
      </c>
      <c r="G295" s="433" t="s">
        <v>16872</v>
      </c>
      <c r="H295" s="342" t="s">
        <v>29</v>
      </c>
      <c r="I295" s="433" t="s">
        <v>30</v>
      </c>
      <c r="J295" s="433"/>
      <c r="K295" s="433" t="s">
        <v>30</v>
      </c>
      <c r="L295" s="433">
        <v>29.0</v>
      </c>
      <c r="M295" s="433" t="s">
        <v>21672</v>
      </c>
      <c r="N295" s="433" t="s">
        <v>21663</v>
      </c>
      <c r="O295" s="433" t="s">
        <v>21655</v>
      </c>
      <c r="P295" s="433">
        <v>2012.0</v>
      </c>
      <c r="Q295" s="433" t="s">
        <v>388</v>
      </c>
      <c r="R295" s="433">
        <v>2.0</v>
      </c>
      <c r="S295" s="3"/>
      <c r="T295" s="3"/>
      <c r="U295" s="3"/>
      <c r="V295" s="3"/>
      <c r="W295" s="3"/>
      <c r="X295" s="3"/>
      <c r="Y295" s="3"/>
      <c r="Z295" s="3"/>
    </row>
    <row r="296" ht="15.75" customHeight="1">
      <c r="A296" s="3"/>
      <c r="B296" s="450">
        <v>284.0</v>
      </c>
      <c r="C296" s="433"/>
      <c r="D296" s="433" t="s">
        <v>21161</v>
      </c>
      <c r="E296" s="433"/>
      <c r="F296" s="434" t="s">
        <v>21685</v>
      </c>
      <c r="G296" s="433" t="s">
        <v>16872</v>
      </c>
      <c r="H296" s="342" t="s">
        <v>29</v>
      </c>
      <c r="I296" s="433" t="s">
        <v>30</v>
      </c>
      <c r="J296" s="433"/>
      <c r="K296" s="433" t="s">
        <v>30</v>
      </c>
      <c r="L296" s="433">
        <v>30.0</v>
      </c>
      <c r="M296" s="433" t="s">
        <v>21672</v>
      </c>
      <c r="N296" s="433" t="s">
        <v>21663</v>
      </c>
      <c r="O296" s="433" t="s">
        <v>21655</v>
      </c>
      <c r="P296" s="433">
        <v>2012.0</v>
      </c>
      <c r="Q296" s="433" t="s">
        <v>388</v>
      </c>
      <c r="R296" s="433">
        <v>2.0</v>
      </c>
      <c r="S296" s="3"/>
      <c r="T296" s="3"/>
      <c r="U296" s="3"/>
      <c r="V296" s="3"/>
      <c r="W296" s="3"/>
      <c r="X296" s="3"/>
      <c r="Y296" s="3"/>
      <c r="Z296" s="3"/>
    </row>
    <row r="297" ht="15.75" customHeight="1">
      <c r="A297" s="3"/>
      <c r="B297" s="552">
        <v>285.0</v>
      </c>
      <c r="C297" s="433"/>
      <c r="D297" s="433" t="s">
        <v>21161</v>
      </c>
      <c r="E297" s="433"/>
      <c r="F297" s="434" t="s">
        <v>21686</v>
      </c>
      <c r="G297" s="433" t="s">
        <v>16872</v>
      </c>
      <c r="H297" s="342" t="s">
        <v>29</v>
      </c>
      <c r="I297" s="433" t="s">
        <v>30</v>
      </c>
      <c r="J297" s="433"/>
      <c r="K297" s="433" t="s">
        <v>30</v>
      </c>
      <c r="L297" s="433">
        <v>30.0</v>
      </c>
      <c r="M297" s="433" t="s">
        <v>21672</v>
      </c>
      <c r="N297" s="433" t="s">
        <v>21663</v>
      </c>
      <c r="O297" s="433" t="s">
        <v>21655</v>
      </c>
      <c r="P297" s="433">
        <v>2012.0</v>
      </c>
      <c r="Q297" s="433" t="s">
        <v>388</v>
      </c>
      <c r="R297" s="433">
        <v>2.0</v>
      </c>
      <c r="S297" s="3"/>
      <c r="T297" s="3"/>
      <c r="U297" s="3"/>
      <c r="V297" s="3"/>
      <c r="W297" s="3"/>
      <c r="X297" s="3"/>
      <c r="Y297" s="3"/>
      <c r="Z297" s="3"/>
    </row>
    <row r="298" ht="15.75" customHeight="1">
      <c r="A298" s="3"/>
      <c r="B298" s="450">
        <v>286.0</v>
      </c>
      <c r="C298" s="433"/>
      <c r="D298" s="433" t="s">
        <v>21161</v>
      </c>
      <c r="E298" s="433"/>
      <c r="F298" s="434" t="s">
        <v>21687</v>
      </c>
      <c r="G298" s="433" t="s">
        <v>16872</v>
      </c>
      <c r="H298" s="342" t="s">
        <v>29</v>
      </c>
      <c r="I298" s="433" t="s">
        <v>30</v>
      </c>
      <c r="J298" s="433"/>
      <c r="K298" s="433" t="s">
        <v>30</v>
      </c>
      <c r="L298" s="433">
        <v>31.0</v>
      </c>
      <c r="M298" s="433" t="s">
        <v>21672</v>
      </c>
      <c r="N298" s="433" t="s">
        <v>21663</v>
      </c>
      <c r="O298" s="433" t="s">
        <v>21655</v>
      </c>
      <c r="P298" s="433">
        <v>2012.0</v>
      </c>
      <c r="Q298" s="433" t="s">
        <v>388</v>
      </c>
      <c r="R298" s="433">
        <v>2.0</v>
      </c>
      <c r="S298" s="3"/>
      <c r="T298" s="3"/>
      <c r="U298" s="3"/>
      <c r="V298" s="3"/>
      <c r="W298" s="3"/>
      <c r="X298" s="3"/>
      <c r="Y298" s="3"/>
      <c r="Z298" s="3"/>
    </row>
    <row r="299" ht="15.75" customHeight="1">
      <c r="A299" s="3"/>
      <c r="B299" s="552">
        <v>287.0</v>
      </c>
      <c r="C299" s="433"/>
      <c r="D299" s="433" t="s">
        <v>21421</v>
      </c>
      <c r="E299" s="433"/>
      <c r="F299" s="434" t="s">
        <v>21688</v>
      </c>
      <c r="G299" s="433" t="s">
        <v>16872</v>
      </c>
      <c r="H299" s="342" t="s">
        <v>29</v>
      </c>
      <c r="I299" s="433" t="s">
        <v>30</v>
      </c>
      <c r="J299" s="433"/>
      <c r="K299" s="433" t="s">
        <v>30</v>
      </c>
      <c r="L299" s="433">
        <v>31.0</v>
      </c>
      <c r="M299" s="433" t="s">
        <v>21672</v>
      </c>
      <c r="N299" s="433" t="s">
        <v>21663</v>
      </c>
      <c r="O299" s="433" t="s">
        <v>21655</v>
      </c>
      <c r="P299" s="433">
        <v>2012.0</v>
      </c>
      <c r="Q299" s="433" t="s">
        <v>388</v>
      </c>
      <c r="R299" s="433">
        <v>2.0</v>
      </c>
      <c r="S299" s="3"/>
      <c r="T299" s="3"/>
      <c r="U299" s="3"/>
      <c r="V299" s="3"/>
      <c r="W299" s="3"/>
      <c r="X299" s="3"/>
      <c r="Y299" s="3"/>
      <c r="Z299" s="3"/>
    </row>
    <row r="300" ht="15.75" customHeight="1">
      <c r="A300" s="3"/>
      <c r="B300" s="450">
        <v>288.0</v>
      </c>
      <c r="C300" s="433"/>
      <c r="D300" s="433" t="s">
        <v>21161</v>
      </c>
      <c r="E300" s="433"/>
      <c r="F300" s="434" t="s">
        <v>21689</v>
      </c>
      <c r="G300" s="433" t="s">
        <v>16872</v>
      </c>
      <c r="H300" s="342" t="s">
        <v>29</v>
      </c>
      <c r="I300" s="433" t="s">
        <v>30</v>
      </c>
      <c r="J300" s="433"/>
      <c r="K300" s="433" t="s">
        <v>30</v>
      </c>
      <c r="L300" s="433">
        <v>31.0</v>
      </c>
      <c r="M300" s="433" t="s">
        <v>21672</v>
      </c>
      <c r="N300" s="433" t="s">
        <v>21663</v>
      </c>
      <c r="O300" s="433" t="s">
        <v>21655</v>
      </c>
      <c r="P300" s="433">
        <v>2012.0</v>
      </c>
      <c r="Q300" s="433" t="s">
        <v>388</v>
      </c>
      <c r="R300" s="433">
        <v>1.0</v>
      </c>
      <c r="S300" s="3"/>
      <c r="T300" s="3"/>
      <c r="U300" s="3"/>
      <c r="V300" s="3"/>
      <c r="W300" s="3"/>
      <c r="X300" s="3"/>
      <c r="Y300" s="3"/>
      <c r="Z300" s="3"/>
    </row>
    <row r="301" ht="15.75" customHeight="1">
      <c r="A301" s="3"/>
      <c r="B301" s="552">
        <v>289.0</v>
      </c>
      <c r="C301" s="433"/>
      <c r="D301" s="433" t="s">
        <v>21161</v>
      </c>
      <c r="E301" s="433"/>
      <c r="F301" s="434" t="s">
        <v>21690</v>
      </c>
      <c r="G301" s="433" t="s">
        <v>16872</v>
      </c>
      <c r="H301" s="342" t="s">
        <v>29</v>
      </c>
      <c r="I301" s="433" t="s">
        <v>30</v>
      </c>
      <c r="J301" s="433"/>
      <c r="K301" s="433" t="s">
        <v>30</v>
      </c>
      <c r="L301" s="433">
        <v>28.0</v>
      </c>
      <c r="M301" s="433" t="s">
        <v>21672</v>
      </c>
      <c r="N301" s="433" t="s">
        <v>21663</v>
      </c>
      <c r="O301" s="433" t="s">
        <v>21655</v>
      </c>
      <c r="P301" s="433">
        <v>2013.0</v>
      </c>
      <c r="Q301" s="433" t="s">
        <v>388</v>
      </c>
      <c r="R301" s="433">
        <v>2.0</v>
      </c>
      <c r="S301" s="3"/>
      <c r="T301" s="3"/>
      <c r="U301" s="3"/>
      <c r="V301" s="3"/>
      <c r="W301" s="3"/>
      <c r="X301" s="3"/>
      <c r="Y301" s="3"/>
      <c r="Z301" s="3"/>
    </row>
    <row r="302" ht="15.75" customHeight="1">
      <c r="A302" s="3"/>
      <c r="B302" s="450">
        <v>290.0</v>
      </c>
      <c r="C302" s="433"/>
      <c r="D302" s="433" t="s">
        <v>21161</v>
      </c>
      <c r="E302" s="433"/>
      <c r="F302" s="434" t="s">
        <v>21691</v>
      </c>
      <c r="G302" s="433" t="s">
        <v>16872</v>
      </c>
      <c r="H302" s="342" t="s">
        <v>29</v>
      </c>
      <c r="I302" s="433" t="s">
        <v>30</v>
      </c>
      <c r="J302" s="433"/>
      <c r="K302" s="433" t="s">
        <v>30</v>
      </c>
      <c r="L302" s="433">
        <v>30.0</v>
      </c>
      <c r="M302" s="433" t="s">
        <v>21672</v>
      </c>
      <c r="N302" s="433" t="s">
        <v>21663</v>
      </c>
      <c r="O302" s="433" t="s">
        <v>21655</v>
      </c>
      <c r="P302" s="433">
        <v>2013.0</v>
      </c>
      <c r="Q302" s="433" t="s">
        <v>388</v>
      </c>
      <c r="R302" s="433">
        <v>1.0</v>
      </c>
      <c r="S302" s="3"/>
      <c r="T302" s="3"/>
      <c r="U302" s="3"/>
      <c r="V302" s="3"/>
      <c r="W302" s="3"/>
      <c r="X302" s="3"/>
      <c r="Y302" s="3"/>
      <c r="Z302" s="3"/>
    </row>
    <row r="303" ht="15.75" customHeight="1">
      <c r="A303" s="3"/>
      <c r="B303" s="552">
        <v>291.0</v>
      </c>
      <c r="C303" s="433"/>
      <c r="D303" s="433" t="s">
        <v>21161</v>
      </c>
      <c r="E303" s="433"/>
      <c r="F303" s="434" t="s">
        <v>21692</v>
      </c>
      <c r="G303" s="433" t="s">
        <v>16872</v>
      </c>
      <c r="H303" s="342" t="s">
        <v>29</v>
      </c>
      <c r="I303" s="433" t="s">
        <v>30</v>
      </c>
      <c r="J303" s="433"/>
      <c r="K303" s="433" t="s">
        <v>30</v>
      </c>
      <c r="L303" s="433">
        <v>30.0</v>
      </c>
      <c r="M303" s="433" t="s">
        <v>21672</v>
      </c>
      <c r="N303" s="433" t="s">
        <v>21663</v>
      </c>
      <c r="O303" s="433" t="s">
        <v>21655</v>
      </c>
      <c r="P303" s="433">
        <v>2013.0</v>
      </c>
      <c r="Q303" s="433" t="s">
        <v>388</v>
      </c>
      <c r="R303" s="433">
        <v>2.0</v>
      </c>
      <c r="S303" s="3"/>
      <c r="T303" s="3"/>
      <c r="U303" s="3"/>
      <c r="V303" s="3"/>
      <c r="W303" s="3"/>
      <c r="X303" s="3"/>
      <c r="Y303" s="3"/>
      <c r="Z303" s="3"/>
    </row>
    <row r="304" ht="15.75" customHeight="1">
      <c r="A304" s="3"/>
      <c r="B304" s="450">
        <v>292.0</v>
      </c>
      <c r="C304" s="433"/>
      <c r="D304" s="433" t="s">
        <v>21161</v>
      </c>
      <c r="E304" s="433"/>
      <c r="F304" s="434" t="s">
        <v>21693</v>
      </c>
      <c r="G304" s="433" t="s">
        <v>16872</v>
      </c>
      <c r="H304" s="342" t="s">
        <v>29</v>
      </c>
      <c r="I304" s="433" t="s">
        <v>30</v>
      </c>
      <c r="J304" s="433"/>
      <c r="K304" s="433" t="s">
        <v>30</v>
      </c>
      <c r="L304" s="433">
        <v>31.0</v>
      </c>
      <c r="M304" s="433" t="s">
        <v>21672</v>
      </c>
      <c r="N304" s="433" t="s">
        <v>21663</v>
      </c>
      <c r="O304" s="433" t="s">
        <v>21655</v>
      </c>
      <c r="P304" s="433">
        <v>2013.0</v>
      </c>
      <c r="Q304" s="433" t="s">
        <v>388</v>
      </c>
      <c r="R304" s="433">
        <v>2.0</v>
      </c>
      <c r="S304" s="3"/>
      <c r="T304" s="3"/>
      <c r="U304" s="3"/>
      <c r="V304" s="3"/>
      <c r="W304" s="3"/>
      <c r="X304" s="3"/>
      <c r="Y304" s="3"/>
      <c r="Z304" s="3"/>
    </row>
    <row r="305" ht="15.75" customHeight="1">
      <c r="A305" s="3"/>
      <c r="B305" s="552">
        <v>293.0</v>
      </c>
      <c r="C305" s="433"/>
      <c r="D305" s="433" t="s">
        <v>21161</v>
      </c>
      <c r="E305" s="433"/>
      <c r="F305" s="434" t="s">
        <v>21694</v>
      </c>
      <c r="G305" s="433" t="s">
        <v>16872</v>
      </c>
      <c r="H305" s="342" t="s">
        <v>29</v>
      </c>
      <c r="I305" s="433" t="s">
        <v>30</v>
      </c>
      <c r="J305" s="433"/>
      <c r="K305" s="433" t="s">
        <v>30</v>
      </c>
      <c r="L305" s="433">
        <v>31.0</v>
      </c>
      <c r="M305" s="433" t="s">
        <v>21672</v>
      </c>
      <c r="N305" s="433" t="s">
        <v>21663</v>
      </c>
      <c r="O305" s="433" t="s">
        <v>21655</v>
      </c>
      <c r="P305" s="433">
        <v>2013.0</v>
      </c>
      <c r="Q305" s="433" t="s">
        <v>388</v>
      </c>
      <c r="R305" s="433">
        <v>2.0</v>
      </c>
      <c r="S305" s="3"/>
      <c r="T305" s="3"/>
      <c r="U305" s="3"/>
      <c r="V305" s="3"/>
      <c r="W305" s="3"/>
      <c r="X305" s="3"/>
      <c r="Y305" s="3"/>
      <c r="Z305" s="3"/>
    </row>
    <row r="306" ht="15.75" customHeight="1">
      <c r="A306" s="3"/>
      <c r="B306" s="450">
        <v>294.0</v>
      </c>
      <c r="C306" s="433"/>
      <c r="D306" s="433" t="s">
        <v>21161</v>
      </c>
      <c r="E306" s="433"/>
      <c r="F306" s="434" t="s">
        <v>21695</v>
      </c>
      <c r="G306" s="433" t="s">
        <v>16872</v>
      </c>
      <c r="H306" s="342" t="s">
        <v>29</v>
      </c>
      <c r="I306" s="433" t="s">
        <v>30</v>
      </c>
      <c r="J306" s="433"/>
      <c r="K306" s="433" t="s">
        <v>30</v>
      </c>
      <c r="L306" s="433">
        <v>28.0</v>
      </c>
      <c r="M306" s="433" t="s">
        <v>21672</v>
      </c>
      <c r="N306" s="433" t="s">
        <v>21663</v>
      </c>
      <c r="O306" s="433" t="s">
        <v>21655</v>
      </c>
      <c r="P306" s="433">
        <v>2014.0</v>
      </c>
      <c r="Q306" s="433" t="s">
        <v>388</v>
      </c>
      <c r="R306" s="433">
        <v>2.0</v>
      </c>
      <c r="S306" s="3"/>
      <c r="T306" s="3"/>
      <c r="U306" s="3"/>
      <c r="V306" s="3"/>
      <c r="W306" s="3"/>
      <c r="X306" s="3"/>
      <c r="Y306" s="3"/>
      <c r="Z306" s="3"/>
    </row>
    <row r="307" ht="15.75" customHeight="1">
      <c r="A307" s="3"/>
      <c r="B307" s="552">
        <v>295.0</v>
      </c>
      <c r="C307" s="433"/>
      <c r="D307" s="433" t="s">
        <v>21161</v>
      </c>
      <c r="E307" s="433"/>
      <c r="F307" s="434" t="s">
        <v>21696</v>
      </c>
      <c r="G307" s="433" t="s">
        <v>16872</v>
      </c>
      <c r="H307" s="342" t="s">
        <v>29</v>
      </c>
      <c r="I307" s="433" t="s">
        <v>30</v>
      </c>
      <c r="J307" s="433"/>
      <c r="K307" s="433" t="s">
        <v>30</v>
      </c>
      <c r="L307" s="433">
        <v>30.0</v>
      </c>
      <c r="M307" s="433" t="s">
        <v>21672</v>
      </c>
      <c r="N307" s="433" t="s">
        <v>21663</v>
      </c>
      <c r="O307" s="433" t="s">
        <v>21655</v>
      </c>
      <c r="P307" s="433">
        <v>2014.0</v>
      </c>
      <c r="Q307" s="433" t="s">
        <v>388</v>
      </c>
      <c r="R307" s="433">
        <v>2.0</v>
      </c>
      <c r="S307" s="3"/>
      <c r="T307" s="3"/>
      <c r="U307" s="3"/>
      <c r="V307" s="3"/>
      <c r="W307" s="3"/>
      <c r="X307" s="3"/>
      <c r="Y307" s="3"/>
      <c r="Z307" s="3"/>
    </row>
    <row r="308" ht="15.75" customHeight="1">
      <c r="A308" s="3"/>
      <c r="B308" s="450">
        <v>296.0</v>
      </c>
      <c r="C308" s="433"/>
      <c r="D308" s="433" t="s">
        <v>21161</v>
      </c>
      <c r="E308" s="433"/>
      <c r="F308" s="434" t="s">
        <v>21697</v>
      </c>
      <c r="G308" s="433" t="s">
        <v>16872</v>
      </c>
      <c r="H308" s="342" t="s">
        <v>29</v>
      </c>
      <c r="I308" s="433" t="s">
        <v>30</v>
      </c>
      <c r="J308" s="433"/>
      <c r="K308" s="433" t="s">
        <v>30</v>
      </c>
      <c r="L308" s="433">
        <v>30.0</v>
      </c>
      <c r="M308" s="433" t="s">
        <v>20974</v>
      </c>
      <c r="N308" s="433" t="s">
        <v>21663</v>
      </c>
      <c r="O308" s="433" t="s">
        <v>21655</v>
      </c>
      <c r="P308" s="433">
        <v>2014.0</v>
      </c>
      <c r="Q308" s="433" t="s">
        <v>388</v>
      </c>
      <c r="R308" s="433">
        <v>2.0</v>
      </c>
      <c r="S308" s="3"/>
      <c r="T308" s="3"/>
      <c r="U308" s="3"/>
      <c r="V308" s="3"/>
      <c r="W308" s="3"/>
      <c r="X308" s="3"/>
      <c r="Y308" s="3"/>
      <c r="Z308" s="3"/>
    </row>
    <row r="309" ht="15.75" customHeight="1">
      <c r="A309" s="3"/>
      <c r="B309" s="552">
        <v>297.0</v>
      </c>
      <c r="C309" s="433"/>
      <c r="D309" s="433" t="s">
        <v>21161</v>
      </c>
      <c r="E309" s="433"/>
      <c r="F309" s="434" t="s">
        <v>21698</v>
      </c>
      <c r="G309" s="433" t="s">
        <v>16872</v>
      </c>
      <c r="H309" s="342" t="s">
        <v>29</v>
      </c>
      <c r="I309" s="433" t="s">
        <v>159</v>
      </c>
      <c r="J309" s="433" t="s">
        <v>31</v>
      </c>
      <c r="K309" s="433" t="s">
        <v>30</v>
      </c>
      <c r="L309" s="433">
        <v>68.0</v>
      </c>
      <c r="M309" s="433" t="s">
        <v>31</v>
      </c>
      <c r="N309" s="433" t="s">
        <v>21699</v>
      </c>
      <c r="O309" s="433" t="s">
        <v>21700</v>
      </c>
      <c r="P309" s="433">
        <v>2016.0</v>
      </c>
      <c r="Q309" s="433" t="s">
        <v>388</v>
      </c>
      <c r="R309" s="433">
        <v>2.0</v>
      </c>
      <c r="S309" s="3"/>
      <c r="T309" s="3"/>
      <c r="U309" s="3"/>
      <c r="V309" s="3"/>
      <c r="W309" s="3"/>
      <c r="X309" s="3"/>
      <c r="Y309" s="3"/>
      <c r="Z309" s="3"/>
    </row>
    <row r="310" ht="15.75" customHeight="1">
      <c r="A310" s="3"/>
      <c r="B310" s="450">
        <v>298.0</v>
      </c>
      <c r="C310" s="433"/>
      <c r="D310" s="433" t="s">
        <v>21161</v>
      </c>
      <c r="E310" s="433"/>
      <c r="F310" s="434" t="s">
        <v>21701</v>
      </c>
      <c r="G310" s="433" t="s">
        <v>16872</v>
      </c>
      <c r="H310" s="342" t="s">
        <v>29</v>
      </c>
      <c r="I310" s="433" t="s">
        <v>159</v>
      </c>
      <c r="J310" s="433" t="s">
        <v>31</v>
      </c>
      <c r="K310" s="433" t="s">
        <v>30</v>
      </c>
      <c r="L310" s="433">
        <v>68.0</v>
      </c>
      <c r="M310" s="433" t="s">
        <v>31</v>
      </c>
      <c r="N310" s="433" t="s">
        <v>21702</v>
      </c>
      <c r="O310" s="433" t="s">
        <v>21700</v>
      </c>
      <c r="P310" s="433">
        <v>2016.0</v>
      </c>
      <c r="Q310" s="433" t="s">
        <v>388</v>
      </c>
      <c r="R310" s="433">
        <v>2.0</v>
      </c>
      <c r="S310" s="3"/>
      <c r="T310" s="3"/>
      <c r="U310" s="3"/>
      <c r="V310" s="3"/>
      <c r="W310" s="3"/>
      <c r="X310" s="3"/>
      <c r="Y310" s="3"/>
      <c r="Z310" s="3"/>
    </row>
    <row r="311" ht="15.75" customHeight="1">
      <c r="A311" s="3"/>
      <c r="B311" s="603"/>
      <c r="C311" s="430"/>
      <c r="D311" s="430" t="s">
        <v>21161</v>
      </c>
      <c r="E311" s="430"/>
      <c r="F311" s="432" t="s">
        <v>21703</v>
      </c>
      <c r="G311" s="430" t="s">
        <v>16872</v>
      </c>
      <c r="H311" s="557" t="s">
        <v>29</v>
      </c>
      <c r="I311" s="430" t="s">
        <v>159</v>
      </c>
      <c r="J311" s="430" t="s">
        <v>31</v>
      </c>
      <c r="K311" s="430" t="s">
        <v>30</v>
      </c>
      <c r="L311" s="430">
        <v>68.0</v>
      </c>
      <c r="M311" s="430" t="s">
        <v>31</v>
      </c>
      <c r="N311" s="430" t="s">
        <v>21702</v>
      </c>
      <c r="O311" s="430" t="s">
        <v>21700</v>
      </c>
      <c r="P311" s="430">
        <v>2017.0</v>
      </c>
      <c r="Q311" s="430" t="s">
        <v>388</v>
      </c>
      <c r="R311" s="430">
        <v>2.0</v>
      </c>
      <c r="S311" s="3"/>
      <c r="T311" s="3"/>
      <c r="U311" s="3"/>
      <c r="V311" s="3"/>
      <c r="W311" s="3"/>
      <c r="X311" s="3"/>
      <c r="Y311" s="3"/>
      <c r="Z311" s="3"/>
    </row>
    <row r="312" ht="15.75" customHeight="1">
      <c r="A312" s="3"/>
      <c r="B312" s="603"/>
      <c r="C312" s="430"/>
      <c r="D312" s="430" t="s">
        <v>21161</v>
      </c>
      <c r="E312" s="430"/>
      <c r="F312" s="432" t="s">
        <v>21704</v>
      </c>
      <c r="G312" s="430" t="s">
        <v>16872</v>
      </c>
      <c r="H312" s="557" t="s">
        <v>29</v>
      </c>
      <c r="I312" s="430" t="s">
        <v>159</v>
      </c>
      <c r="J312" s="430" t="s">
        <v>31</v>
      </c>
      <c r="K312" s="430" t="s">
        <v>30</v>
      </c>
      <c r="L312" s="430">
        <v>68.0</v>
      </c>
      <c r="M312" s="430" t="s">
        <v>31</v>
      </c>
      <c r="N312" s="430" t="s">
        <v>21702</v>
      </c>
      <c r="O312" s="430" t="s">
        <v>21700</v>
      </c>
      <c r="P312" s="430">
        <v>2016.0</v>
      </c>
      <c r="Q312" s="430" t="s">
        <v>388</v>
      </c>
      <c r="R312" s="430">
        <v>2.0</v>
      </c>
      <c r="S312" s="3"/>
      <c r="T312" s="3"/>
      <c r="U312" s="3"/>
      <c r="V312" s="3"/>
      <c r="W312" s="3"/>
      <c r="X312" s="3"/>
      <c r="Y312" s="3"/>
      <c r="Z312" s="3"/>
    </row>
    <row r="313" ht="15.75" customHeight="1">
      <c r="A313" s="3"/>
      <c r="B313" s="552">
        <v>299.0</v>
      </c>
      <c r="C313" s="433"/>
      <c r="D313" s="433" t="s">
        <v>21705</v>
      </c>
      <c r="E313" s="433"/>
      <c r="F313" s="434" t="s">
        <v>21706</v>
      </c>
      <c r="G313" s="433" t="s">
        <v>16872</v>
      </c>
      <c r="H313" s="342" t="s">
        <v>29</v>
      </c>
      <c r="I313" s="433" t="s">
        <v>30</v>
      </c>
      <c r="J313" s="433"/>
      <c r="K313" s="433" t="s">
        <v>30</v>
      </c>
      <c r="L313" s="433">
        <v>32.0</v>
      </c>
      <c r="M313" s="433" t="s">
        <v>21707</v>
      </c>
      <c r="N313" s="433" t="s">
        <v>21708</v>
      </c>
      <c r="O313" s="433" t="s">
        <v>21709</v>
      </c>
      <c r="P313" s="433">
        <v>2003.0</v>
      </c>
      <c r="Q313" s="433" t="s">
        <v>388</v>
      </c>
      <c r="R313" s="433">
        <v>2.0</v>
      </c>
      <c r="S313" s="3"/>
      <c r="T313" s="3"/>
      <c r="U313" s="3"/>
      <c r="V313" s="3"/>
      <c r="W313" s="3"/>
      <c r="X313" s="3"/>
      <c r="Y313" s="3"/>
      <c r="Z313" s="3"/>
    </row>
    <row r="314" ht="15.75" customHeight="1">
      <c r="A314" s="3"/>
      <c r="B314" s="450">
        <v>300.0</v>
      </c>
      <c r="C314" s="433"/>
      <c r="D314" s="433" t="s">
        <v>21705</v>
      </c>
      <c r="E314" s="433"/>
      <c r="F314" s="434" t="s">
        <v>21710</v>
      </c>
      <c r="G314" s="433" t="s">
        <v>16872</v>
      </c>
      <c r="H314" s="342" t="s">
        <v>29</v>
      </c>
      <c r="I314" s="433" t="s">
        <v>30</v>
      </c>
      <c r="J314" s="433"/>
      <c r="K314" s="433" t="s">
        <v>30</v>
      </c>
      <c r="L314" s="433">
        <v>36.0</v>
      </c>
      <c r="M314" s="433" t="s">
        <v>20980</v>
      </c>
      <c r="N314" s="433" t="s">
        <v>21711</v>
      </c>
      <c r="O314" s="433" t="s">
        <v>21712</v>
      </c>
      <c r="P314" s="433">
        <v>2005.0</v>
      </c>
      <c r="Q314" s="433" t="s">
        <v>388</v>
      </c>
      <c r="R314" s="433">
        <v>1.0</v>
      </c>
      <c r="S314" s="3"/>
      <c r="T314" s="3"/>
      <c r="U314" s="3"/>
      <c r="V314" s="3"/>
      <c r="W314" s="3"/>
      <c r="X314" s="3"/>
      <c r="Y314" s="3"/>
      <c r="Z314" s="3"/>
    </row>
    <row r="315" ht="15.75" customHeight="1">
      <c r="A315" s="3"/>
      <c r="B315" s="552">
        <v>301.0</v>
      </c>
      <c r="C315" s="433"/>
      <c r="D315" s="433" t="s">
        <v>21713</v>
      </c>
      <c r="E315" s="433"/>
      <c r="F315" s="434" t="s">
        <v>21714</v>
      </c>
      <c r="G315" s="433" t="s">
        <v>16872</v>
      </c>
      <c r="H315" s="342" t="s">
        <v>29</v>
      </c>
      <c r="I315" s="433" t="s">
        <v>30</v>
      </c>
      <c r="J315" s="433"/>
      <c r="K315" s="433" t="s">
        <v>30</v>
      </c>
      <c r="L315" s="433">
        <v>14.0</v>
      </c>
      <c r="M315" s="433" t="s">
        <v>20980</v>
      </c>
      <c r="N315" s="433" t="s">
        <v>21715</v>
      </c>
      <c r="O315" s="433" t="s">
        <v>21716</v>
      </c>
      <c r="P315" s="433">
        <v>2006.0</v>
      </c>
      <c r="Q315" s="433" t="s">
        <v>388</v>
      </c>
      <c r="R315" s="433">
        <v>2.0</v>
      </c>
      <c r="S315" s="3"/>
      <c r="T315" s="3"/>
      <c r="U315" s="3"/>
      <c r="V315" s="3"/>
      <c r="W315" s="3"/>
      <c r="X315" s="3"/>
      <c r="Y315" s="3"/>
      <c r="Z315" s="3"/>
    </row>
    <row r="316" ht="15.75" customHeight="1">
      <c r="A316" s="3"/>
      <c r="B316" s="450">
        <v>302.0</v>
      </c>
      <c r="C316" s="433"/>
      <c r="D316" s="433" t="s">
        <v>21717</v>
      </c>
      <c r="E316" s="433"/>
      <c r="F316" s="434" t="s">
        <v>21718</v>
      </c>
      <c r="G316" s="433" t="s">
        <v>16872</v>
      </c>
      <c r="H316" s="342" t="s">
        <v>29</v>
      </c>
      <c r="I316" s="433" t="s">
        <v>30</v>
      </c>
      <c r="J316" s="433"/>
      <c r="K316" s="433" t="s">
        <v>30</v>
      </c>
      <c r="L316" s="433">
        <v>24.0</v>
      </c>
      <c r="M316" s="433" t="s">
        <v>21719</v>
      </c>
      <c r="N316" s="433" t="s">
        <v>21720</v>
      </c>
      <c r="O316" s="433" t="s">
        <v>21721</v>
      </c>
      <c r="P316" s="433">
        <v>2007.0</v>
      </c>
      <c r="Q316" s="433" t="s">
        <v>388</v>
      </c>
      <c r="R316" s="433">
        <v>2.0</v>
      </c>
      <c r="S316" s="3"/>
      <c r="T316" s="3"/>
      <c r="U316" s="3"/>
      <c r="V316" s="3"/>
      <c r="W316" s="3"/>
      <c r="X316" s="3"/>
      <c r="Y316" s="3"/>
      <c r="Z316" s="3"/>
    </row>
    <row r="317" ht="15.75" customHeight="1">
      <c r="A317" s="3"/>
      <c r="B317" s="552">
        <v>303.0</v>
      </c>
      <c r="C317" s="433"/>
      <c r="D317" s="433" t="s">
        <v>21705</v>
      </c>
      <c r="E317" s="433"/>
      <c r="F317" s="434" t="s">
        <v>21722</v>
      </c>
      <c r="G317" s="433" t="s">
        <v>16872</v>
      </c>
      <c r="H317" s="342" t="s">
        <v>29</v>
      </c>
      <c r="I317" s="433" t="s">
        <v>30</v>
      </c>
      <c r="J317" s="433"/>
      <c r="K317" s="433" t="s">
        <v>30</v>
      </c>
      <c r="L317" s="433">
        <v>48.0</v>
      </c>
      <c r="M317" s="433" t="s">
        <v>20980</v>
      </c>
      <c r="N317" s="433" t="s">
        <v>21723</v>
      </c>
      <c r="O317" s="433" t="s">
        <v>4166</v>
      </c>
      <c r="P317" s="433">
        <v>2009.0</v>
      </c>
      <c r="Q317" s="433" t="s">
        <v>388</v>
      </c>
      <c r="R317" s="433">
        <v>1.0</v>
      </c>
      <c r="S317" s="3"/>
      <c r="T317" s="3"/>
      <c r="U317" s="3"/>
      <c r="V317" s="3"/>
      <c r="W317" s="3"/>
      <c r="X317" s="3"/>
      <c r="Y317" s="3"/>
      <c r="Z317" s="3"/>
    </row>
    <row r="318" ht="15.75" customHeight="1">
      <c r="A318" s="3"/>
      <c r="B318" s="450">
        <v>304.0</v>
      </c>
      <c r="C318" s="433"/>
      <c r="D318" s="433" t="s">
        <v>21705</v>
      </c>
      <c r="E318" s="433"/>
      <c r="F318" s="434" t="s">
        <v>21724</v>
      </c>
      <c r="G318" s="433" t="s">
        <v>16872</v>
      </c>
      <c r="H318" s="342" t="s">
        <v>29</v>
      </c>
      <c r="I318" s="433" t="s">
        <v>30</v>
      </c>
      <c r="J318" s="433"/>
      <c r="K318" s="433" t="s">
        <v>30</v>
      </c>
      <c r="L318" s="433">
        <v>48.0</v>
      </c>
      <c r="M318" s="433" t="s">
        <v>20980</v>
      </c>
      <c r="N318" s="433" t="s">
        <v>21723</v>
      </c>
      <c r="O318" s="433" t="s">
        <v>4166</v>
      </c>
      <c r="P318" s="433">
        <v>2009.0</v>
      </c>
      <c r="Q318" s="433" t="s">
        <v>388</v>
      </c>
      <c r="R318" s="433">
        <v>1.0</v>
      </c>
      <c r="S318" s="3"/>
      <c r="T318" s="3"/>
      <c r="U318" s="3"/>
      <c r="V318" s="3"/>
      <c r="W318" s="3"/>
      <c r="X318" s="3"/>
      <c r="Y318" s="3"/>
      <c r="Z318" s="3"/>
    </row>
    <row r="319" ht="15.75" customHeight="1">
      <c r="A319" s="3"/>
      <c r="B319" s="552">
        <v>305.0</v>
      </c>
      <c r="C319" s="433"/>
      <c r="D319" s="433" t="s">
        <v>21725</v>
      </c>
      <c r="E319" s="433"/>
      <c r="F319" s="434" t="s">
        <v>21726</v>
      </c>
      <c r="G319" s="433" t="s">
        <v>20948</v>
      </c>
      <c r="H319" s="342" t="s">
        <v>29</v>
      </c>
      <c r="I319" s="433" t="s">
        <v>30</v>
      </c>
      <c r="J319" s="433"/>
      <c r="K319" s="433" t="s">
        <v>30</v>
      </c>
      <c r="L319" s="433">
        <v>15.0</v>
      </c>
      <c r="M319" s="433" t="s">
        <v>21402</v>
      </c>
      <c r="N319" s="433" t="s">
        <v>21727</v>
      </c>
      <c r="O319" s="433" t="s">
        <v>13770</v>
      </c>
      <c r="P319" s="433">
        <v>2013.0</v>
      </c>
      <c r="Q319" s="433" t="s">
        <v>388</v>
      </c>
      <c r="R319" s="433">
        <v>1.0</v>
      </c>
      <c r="S319" s="3"/>
      <c r="T319" s="3"/>
      <c r="U319" s="3"/>
      <c r="V319" s="3"/>
      <c r="W319" s="3"/>
      <c r="X319" s="3"/>
      <c r="Y319" s="3"/>
      <c r="Z319" s="3"/>
    </row>
    <row r="320" ht="15.75" customHeight="1">
      <c r="A320" s="3"/>
      <c r="B320" s="450">
        <v>306.0</v>
      </c>
      <c r="C320" s="433"/>
      <c r="D320" s="433" t="s">
        <v>21728</v>
      </c>
      <c r="E320" s="433"/>
      <c r="F320" s="434" t="s">
        <v>21729</v>
      </c>
      <c r="G320" s="433" t="s">
        <v>20948</v>
      </c>
      <c r="H320" s="342" t="s">
        <v>29</v>
      </c>
      <c r="I320" s="433" t="s">
        <v>30</v>
      </c>
      <c r="J320" s="433"/>
      <c r="K320" s="433" t="s">
        <v>30</v>
      </c>
      <c r="L320" s="433">
        <v>74.0</v>
      </c>
      <c r="M320" s="433" t="s">
        <v>21730</v>
      </c>
      <c r="N320" s="433" t="s">
        <v>21731</v>
      </c>
      <c r="O320" s="433"/>
      <c r="P320" s="433">
        <v>1993.0</v>
      </c>
      <c r="Q320" s="433" t="s">
        <v>388</v>
      </c>
      <c r="R320" s="433">
        <v>1.0</v>
      </c>
      <c r="S320" s="3"/>
      <c r="T320" s="3"/>
      <c r="U320" s="3"/>
      <c r="V320" s="3"/>
      <c r="W320" s="3"/>
      <c r="X320" s="3"/>
      <c r="Y320" s="3"/>
      <c r="Z320" s="3"/>
    </row>
    <row r="321" ht="15.75" customHeight="1">
      <c r="A321" s="3"/>
      <c r="B321" s="552">
        <v>307.0</v>
      </c>
      <c r="C321" s="433"/>
      <c r="D321" s="433" t="s">
        <v>21728</v>
      </c>
      <c r="E321" s="433"/>
      <c r="F321" s="434" t="s">
        <v>21729</v>
      </c>
      <c r="G321" s="433" t="s">
        <v>20948</v>
      </c>
      <c r="H321" s="342" t="s">
        <v>29</v>
      </c>
      <c r="I321" s="433" t="s">
        <v>30</v>
      </c>
      <c r="J321" s="433"/>
      <c r="K321" s="433" t="s">
        <v>30</v>
      </c>
      <c r="L321" s="433">
        <v>71.0</v>
      </c>
      <c r="M321" s="433" t="s">
        <v>21402</v>
      </c>
      <c r="N321" s="433" t="s">
        <v>21732</v>
      </c>
      <c r="O321" s="433"/>
      <c r="P321" s="433">
        <v>1994.0</v>
      </c>
      <c r="Q321" s="433" t="s">
        <v>388</v>
      </c>
      <c r="R321" s="433">
        <v>6.0</v>
      </c>
      <c r="S321" s="3"/>
      <c r="T321" s="3"/>
      <c r="U321" s="3"/>
      <c r="V321" s="3"/>
      <c r="W321" s="3"/>
      <c r="X321" s="3"/>
      <c r="Y321" s="3"/>
      <c r="Z321" s="3"/>
    </row>
    <row r="322" ht="15.75" customHeight="1">
      <c r="A322" s="3"/>
      <c r="B322" s="450">
        <v>308.0</v>
      </c>
      <c r="C322" s="433"/>
      <c r="D322" s="433" t="s">
        <v>21728</v>
      </c>
      <c r="E322" s="433"/>
      <c r="F322" s="434" t="s">
        <v>21733</v>
      </c>
      <c r="G322" s="433" t="s">
        <v>20948</v>
      </c>
      <c r="H322" s="342" t="s">
        <v>29</v>
      </c>
      <c r="I322" s="433" t="s">
        <v>30</v>
      </c>
      <c r="J322" s="433"/>
      <c r="K322" s="433" t="s">
        <v>30</v>
      </c>
      <c r="L322" s="433">
        <v>52.0</v>
      </c>
      <c r="M322" s="433" t="s">
        <v>21402</v>
      </c>
      <c r="N322" s="433" t="s">
        <v>21734</v>
      </c>
      <c r="O322" s="433"/>
      <c r="P322" s="433">
        <v>1999.0</v>
      </c>
      <c r="Q322" s="433" t="s">
        <v>388</v>
      </c>
      <c r="R322" s="433">
        <v>2.0</v>
      </c>
      <c r="S322" s="3"/>
      <c r="T322" s="3"/>
      <c r="U322" s="3"/>
      <c r="V322" s="3"/>
      <c r="W322" s="3"/>
      <c r="X322" s="3"/>
      <c r="Y322" s="3"/>
      <c r="Z322" s="3"/>
    </row>
    <row r="323" ht="15.75" customHeight="1">
      <c r="A323" s="3"/>
      <c r="B323" s="552">
        <v>309.0</v>
      </c>
      <c r="C323" s="433"/>
      <c r="D323" s="433" t="s">
        <v>21735</v>
      </c>
      <c r="E323" s="433"/>
      <c r="F323" s="434" t="s">
        <v>21736</v>
      </c>
      <c r="G323" s="433" t="s">
        <v>16872</v>
      </c>
      <c r="H323" s="342" t="s">
        <v>29</v>
      </c>
      <c r="I323" s="433" t="s">
        <v>30</v>
      </c>
      <c r="J323" s="433"/>
      <c r="K323" s="433" t="s">
        <v>30</v>
      </c>
      <c r="L323" s="433">
        <v>40.0</v>
      </c>
      <c r="M323" s="433" t="s">
        <v>21402</v>
      </c>
      <c r="N323" s="433" t="s">
        <v>21737</v>
      </c>
      <c r="O323" s="433"/>
      <c r="P323" s="433">
        <v>1990.0</v>
      </c>
      <c r="Q323" s="433" t="s">
        <v>388</v>
      </c>
      <c r="R323" s="433">
        <v>1.0</v>
      </c>
      <c r="S323" s="3"/>
      <c r="T323" s="3"/>
      <c r="U323" s="3"/>
      <c r="V323" s="3"/>
      <c r="W323" s="3"/>
      <c r="X323" s="3"/>
      <c r="Y323" s="3"/>
      <c r="Z323" s="3"/>
    </row>
    <row r="324" ht="15.75" customHeight="1">
      <c r="A324" s="3"/>
      <c r="B324" s="450">
        <v>310.0</v>
      </c>
      <c r="C324" s="433"/>
      <c r="D324" s="433" t="s">
        <v>21738</v>
      </c>
      <c r="E324" s="433"/>
      <c r="F324" s="434" t="s">
        <v>21739</v>
      </c>
      <c r="G324" s="433" t="s">
        <v>21740</v>
      </c>
      <c r="H324" s="342" t="s">
        <v>29</v>
      </c>
      <c r="I324" s="433" t="s">
        <v>30</v>
      </c>
      <c r="J324" s="433"/>
      <c r="K324" s="433" t="s">
        <v>30</v>
      </c>
      <c r="L324" s="433">
        <v>288.0</v>
      </c>
      <c r="M324" s="433" t="s">
        <v>21672</v>
      </c>
      <c r="N324" s="433" t="s">
        <v>21741</v>
      </c>
      <c r="O324" s="433" t="s">
        <v>4831</v>
      </c>
      <c r="P324" s="433">
        <v>2007.0</v>
      </c>
      <c r="Q324" s="433" t="s">
        <v>388</v>
      </c>
      <c r="R324" s="433">
        <v>1.0</v>
      </c>
      <c r="S324" s="3"/>
      <c r="T324" s="3"/>
      <c r="U324" s="3"/>
      <c r="V324" s="3"/>
      <c r="W324" s="3"/>
      <c r="X324" s="3"/>
      <c r="Y324" s="3"/>
      <c r="Z324" s="3"/>
    </row>
    <row r="325" ht="15.75" customHeight="1">
      <c r="A325" s="3"/>
      <c r="B325" s="552">
        <v>311.0</v>
      </c>
      <c r="C325" s="433"/>
      <c r="D325" s="433" t="s">
        <v>21738</v>
      </c>
      <c r="E325" s="433"/>
      <c r="F325" s="434" t="s">
        <v>21742</v>
      </c>
      <c r="G325" s="433" t="s">
        <v>21740</v>
      </c>
      <c r="H325" s="342" t="s">
        <v>29</v>
      </c>
      <c r="I325" s="433" t="s">
        <v>30</v>
      </c>
      <c r="J325" s="433"/>
      <c r="K325" s="433" t="s">
        <v>30</v>
      </c>
      <c r="L325" s="433">
        <v>192.0</v>
      </c>
      <c r="M325" s="433" t="s">
        <v>21743</v>
      </c>
      <c r="N325" s="433" t="s">
        <v>21744</v>
      </c>
      <c r="O325" s="433" t="s">
        <v>4831</v>
      </c>
      <c r="P325" s="433">
        <v>2008.0</v>
      </c>
      <c r="Q325" s="433" t="s">
        <v>388</v>
      </c>
      <c r="R325" s="433">
        <v>1.0</v>
      </c>
      <c r="S325" s="3"/>
      <c r="T325" s="3"/>
      <c r="U325" s="3"/>
      <c r="V325" s="3"/>
      <c r="W325" s="3"/>
      <c r="X325" s="3"/>
      <c r="Y325" s="3"/>
      <c r="Z325" s="3"/>
    </row>
    <row r="326" ht="15.75" customHeight="1">
      <c r="A326" s="3"/>
      <c r="B326" s="450">
        <v>312.0</v>
      </c>
      <c r="C326" s="433"/>
      <c r="D326" s="433" t="s">
        <v>21738</v>
      </c>
      <c r="E326" s="433"/>
      <c r="F326" s="434" t="s">
        <v>21745</v>
      </c>
      <c r="G326" s="433" t="s">
        <v>20948</v>
      </c>
      <c r="H326" s="342" t="s">
        <v>29</v>
      </c>
      <c r="I326" s="433" t="s">
        <v>30</v>
      </c>
      <c r="J326" s="433"/>
      <c r="K326" s="433" t="s">
        <v>30</v>
      </c>
      <c r="L326" s="433">
        <v>48.0</v>
      </c>
      <c r="M326" s="433" t="s">
        <v>21746</v>
      </c>
      <c r="N326" s="433" t="s">
        <v>21744</v>
      </c>
      <c r="O326" s="433" t="s">
        <v>4831</v>
      </c>
      <c r="P326" s="433">
        <v>2009.0</v>
      </c>
      <c r="Q326" s="433" t="s">
        <v>388</v>
      </c>
      <c r="R326" s="433">
        <v>1.0</v>
      </c>
      <c r="S326" s="3"/>
      <c r="T326" s="3"/>
      <c r="U326" s="3"/>
      <c r="V326" s="3"/>
      <c r="W326" s="3"/>
      <c r="X326" s="3"/>
      <c r="Y326" s="3"/>
      <c r="Z326" s="3"/>
    </row>
    <row r="327" ht="15.75" customHeight="1">
      <c r="A327" s="3"/>
      <c r="B327" s="552">
        <v>313.0</v>
      </c>
      <c r="C327" s="433"/>
      <c r="D327" s="433" t="s">
        <v>21738</v>
      </c>
      <c r="E327" s="433"/>
      <c r="F327" s="434" t="s">
        <v>21747</v>
      </c>
      <c r="G327" s="433" t="s">
        <v>20948</v>
      </c>
      <c r="H327" s="342" t="s">
        <v>29</v>
      </c>
      <c r="I327" s="433" t="s">
        <v>30</v>
      </c>
      <c r="J327" s="433"/>
      <c r="K327" s="433" t="s">
        <v>30</v>
      </c>
      <c r="L327" s="433">
        <v>96.0</v>
      </c>
      <c r="M327" s="433" t="s">
        <v>20974</v>
      </c>
      <c r="N327" s="433" t="s">
        <v>21744</v>
      </c>
      <c r="O327" s="433" t="s">
        <v>4831</v>
      </c>
      <c r="P327" s="433">
        <v>2010.0</v>
      </c>
      <c r="Q327" s="433" t="s">
        <v>388</v>
      </c>
      <c r="R327" s="433">
        <v>1.0</v>
      </c>
      <c r="S327" s="3"/>
      <c r="T327" s="3"/>
      <c r="U327" s="3"/>
      <c r="V327" s="3"/>
      <c r="W327" s="3"/>
      <c r="X327" s="3"/>
      <c r="Y327" s="3"/>
      <c r="Z327" s="3"/>
    </row>
    <row r="328" ht="15.75" customHeight="1">
      <c r="A328" s="3"/>
      <c r="B328" s="450">
        <v>314.0</v>
      </c>
      <c r="C328" s="433"/>
      <c r="D328" s="433" t="s">
        <v>21738</v>
      </c>
      <c r="E328" s="433"/>
      <c r="F328" s="434" t="s">
        <v>21748</v>
      </c>
      <c r="G328" s="433" t="s">
        <v>20948</v>
      </c>
      <c r="H328" s="342" t="s">
        <v>29</v>
      </c>
      <c r="I328" s="433" t="s">
        <v>30</v>
      </c>
      <c r="J328" s="433"/>
      <c r="K328" s="433" t="s">
        <v>30</v>
      </c>
      <c r="L328" s="433">
        <v>144.0</v>
      </c>
      <c r="M328" s="433" t="s">
        <v>21749</v>
      </c>
      <c r="N328" s="433" t="s">
        <v>21744</v>
      </c>
      <c r="O328" s="433" t="s">
        <v>4831</v>
      </c>
      <c r="P328" s="433">
        <v>2010.0</v>
      </c>
      <c r="Q328" s="433" t="s">
        <v>388</v>
      </c>
      <c r="R328" s="433">
        <v>1.0</v>
      </c>
      <c r="S328" s="3"/>
      <c r="T328" s="3"/>
      <c r="U328" s="3"/>
      <c r="V328" s="3"/>
      <c r="W328" s="3"/>
      <c r="X328" s="3"/>
      <c r="Y328" s="3"/>
      <c r="Z328" s="3"/>
    </row>
    <row r="329" ht="15.75" customHeight="1">
      <c r="A329" s="3"/>
      <c r="B329" s="552">
        <v>315.0</v>
      </c>
      <c r="C329" s="433"/>
      <c r="D329" s="433" t="s">
        <v>21738</v>
      </c>
      <c r="E329" s="433"/>
      <c r="F329" s="434" t="s">
        <v>21750</v>
      </c>
      <c r="G329" s="433" t="s">
        <v>20948</v>
      </c>
      <c r="H329" s="342" t="s">
        <v>29</v>
      </c>
      <c r="I329" s="433" t="s">
        <v>30</v>
      </c>
      <c r="J329" s="433"/>
      <c r="K329" s="433" t="s">
        <v>30</v>
      </c>
      <c r="L329" s="433">
        <v>48.0</v>
      </c>
      <c r="M329" s="433" t="s">
        <v>21751</v>
      </c>
      <c r="N329" s="433" t="s">
        <v>21744</v>
      </c>
      <c r="O329" s="433" t="s">
        <v>4831</v>
      </c>
      <c r="P329" s="433">
        <v>2011.0</v>
      </c>
      <c r="Q329" s="433" t="s">
        <v>388</v>
      </c>
      <c r="R329" s="433">
        <v>1.0</v>
      </c>
      <c r="S329" s="3"/>
      <c r="T329" s="3"/>
      <c r="U329" s="3"/>
      <c r="V329" s="3"/>
      <c r="W329" s="3"/>
      <c r="X329" s="3"/>
      <c r="Y329" s="3"/>
      <c r="Z329" s="3"/>
    </row>
    <row r="330" ht="15.75" customHeight="1">
      <c r="A330" s="3"/>
      <c r="B330" s="450">
        <v>316.0</v>
      </c>
      <c r="C330" s="433"/>
      <c r="D330" s="433" t="s">
        <v>21738</v>
      </c>
      <c r="E330" s="433"/>
      <c r="F330" s="434" t="s">
        <v>21752</v>
      </c>
      <c r="G330" s="433" t="s">
        <v>20948</v>
      </c>
      <c r="H330" s="342" t="s">
        <v>29</v>
      </c>
      <c r="I330" s="433" t="s">
        <v>30</v>
      </c>
      <c r="J330" s="433"/>
      <c r="K330" s="433" t="s">
        <v>30</v>
      </c>
      <c r="L330" s="433">
        <v>96.0</v>
      </c>
      <c r="M330" s="433" t="s">
        <v>21753</v>
      </c>
      <c r="N330" s="433" t="s">
        <v>21744</v>
      </c>
      <c r="O330" s="433" t="s">
        <v>4831</v>
      </c>
      <c r="P330" s="433">
        <v>2011.0</v>
      </c>
      <c r="Q330" s="433" t="s">
        <v>388</v>
      </c>
      <c r="R330" s="433">
        <v>1.0</v>
      </c>
      <c r="S330" s="3"/>
      <c r="T330" s="3"/>
      <c r="U330" s="3"/>
      <c r="V330" s="3"/>
      <c r="W330" s="3"/>
      <c r="X330" s="3"/>
      <c r="Y330" s="3"/>
      <c r="Z330" s="3"/>
    </row>
    <row r="331" ht="15.75" customHeight="1">
      <c r="A331" s="3"/>
      <c r="B331" s="552">
        <v>317.0</v>
      </c>
      <c r="C331" s="433"/>
      <c r="D331" s="433" t="s">
        <v>21738</v>
      </c>
      <c r="E331" s="433"/>
      <c r="F331" s="434" t="s">
        <v>21754</v>
      </c>
      <c r="G331" s="433" t="s">
        <v>20948</v>
      </c>
      <c r="H331" s="342" t="s">
        <v>29</v>
      </c>
      <c r="I331" s="433" t="s">
        <v>30</v>
      </c>
      <c r="J331" s="433"/>
      <c r="K331" s="433" t="s">
        <v>30</v>
      </c>
      <c r="L331" s="433">
        <v>144.0</v>
      </c>
      <c r="M331" s="433" t="s">
        <v>20962</v>
      </c>
      <c r="N331" s="433" t="s">
        <v>21744</v>
      </c>
      <c r="O331" s="433" t="s">
        <v>4831</v>
      </c>
      <c r="P331" s="433">
        <v>2011.0</v>
      </c>
      <c r="Q331" s="433" t="s">
        <v>388</v>
      </c>
      <c r="R331" s="433">
        <v>1.0</v>
      </c>
      <c r="S331" s="3"/>
      <c r="T331" s="3"/>
      <c r="U331" s="3"/>
      <c r="V331" s="3"/>
      <c r="W331" s="3"/>
      <c r="X331" s="3"/>
      <c r="Y331" s="3"/>
      <c r="Z331" s="3"/>
    </row>
    <row r="332" ht="15.75" customHeight="1">
      <c r="A332" s="3"/>
      <c r="B332" s="450">
        <v>318.0</v>
      </c>
      <c r="C332" s="433"/>
      <c r="D332" s="433" t="s">
        <v>21738</v>
      </c>
      <c r="E332" s="433"/>
      <c r="F332" s="434" t="s">
        <v>21755</v>
      </c>
      <c r="G332" s="433" t="s">
        <v>20948</v>
      </c>
      <c r="H332" s="342" t="s">
        <v>29</v>
      </c>
      <c r="I332" s="433" t="s">
        <v>30</v>
      </c>
      <c r="J332" s="433"/>
      <c r="K332" s="433" t="s">
        <v>30</v>
      </c>
      <c r="L332" s="433">
        <v>192.0</v>
      </c>
      <c r="M332" s="433" t="s">
        <v>21730</v>
      </c>
      <c r="N332" s="433" t="s">
        <v>21744</v>
      </c>
      <c r="O332" s="433" t="s">
        <v>4831</v>
      </c>
      <c r="P332" s="433">
        <v>2011.0</v>
      </c>
      <c r="Q332" s="433" t="s">
        <v>388</v>
      </c>
      <c r="R332" s="433">
        <v>1.0</v>
      </c>
      <c r="S332" s="3"/>
      <c r="T332" s="3"/>
      <c r="U332" s="3"/>
      <c r="V332" s="3"/>
      <c r="W332" s="3"/>
      <c r="X332" s="3"/>
      <c r="Y332" s="3"/>
      <c r="Z332" s="3"/>
    </row>
    <row r="333" ht="15.75" customHeight="1">
      <c r="A333" s="3"/>
      <c r="B333" s="552">
        <v>319.0</v>
      </c>
      <c r="C333" s="433"/>
      <c r="D333" s="433" t="s">
        <v>21738</v>
      </c>
      <c r="E333" s="433"/>
      <c r="F333" s="434" t="s">
        <v>21756</v>
      </c>
      <c r="G333" s="433" t="s">
        <v>20948</v>
      </c>
      <c r="H333" s="342" t="s">
        <v>29</v>
      </c>
      <c r="I333" s="433" t="s">
        <v>30</v>
      </c>
      <c r="J333" s="433"/>
      <c r="K333" s="433" t="s">
        <v>30</v>
      </c>
      <c r="L333" s="433">
        <v>240.0</v>
      </c>
      <c r="M333" s="433" t="s">
        <v>13663</v>
      </c>
      <c r="N333" s="433" t="s">
        <v>21744</v>
      </c>
      <c r="O333" s="433" t="s">
        <v>4831</v>
      </c>
      <c r="P333" s="433">
        <v>2011.0</v>
      </c>
      <c r="Q333" s="433" t="s">
        <v>388</v>
      </c>
      <c r="R333" s="433">
        <v>1.0</v>
      </c>
      <c r="S333" s="3"/>
      <c r="T333" s="3"/>
      <c r="U333" s="3"/>
      <c r="V333" s="3"/>
      <c r="W333" s="3"/>
      <c r="X333" s="3"/>
      <c r="Y333" s="3"/>
      <c r="Z333" s="3"/>
    </row>
    <row r="334" ht="15.75" customHeight="1">
      <c r="A334" s="3"/>
      <c r="B334" s="450">
        <v>320.0</v>
      </c>
      <c r="C334" s="433"/>
      <c r="D334" s="433" t="s">
        <v>21738</v>
      </c>
      <c r="E334" s="433"/>
      <c r="F334" s="434" t="s">
        <v>21757</v>
      </c>
      <c r="G334" s="433" t="s">
        <v>20948</v>
      </c>
      <c r="H334" s="342" t="s">
        <v>29</v>
      </c>
      <c r="I334" s="433" t="s">
        <v>30</v>
      </c>
      <c r="J334" s="433"/>
      <c r="K334" s="433" t="s">
        <v>30</v>
      </c>
      <c r="L334" s="433">
        <v>48.0</v>
      </c>
      <c r="M334" s="433" t="s">
        <v>21730</v>
      </c>
      <c r="N334" s="433" t="s">
        <v>21744</v>
      </c>
      <c r="O334" s="433" t="s">
        <v>4831</v>
      </c>
      <c r="P334" s="433">
        <v>2012.0</v>
      </c>
      <c r="Q334" s="433" t="s">
        <v>388</v>
      </c>
      <c r="R334" s="433">
        <v>1.0</v>
      </c>
      <c r="S334" s="3"/>
      <c r="T334" s="3"/>
      <c r="U334" s="3"/>
      <c r="V334" s="3"/>
      <c r="W334" s="3"/>
      <c r="X334" s="3"/>
      <c r="Y334" s="3"/>
      <c r="Z334" s="3"/>
    </row>
    <row r="335" ht="15.75" customHeight="1">
      <c r="A335" s="3"/>
      <c r="B335" s="552">
        <v>321.0</v>
      </c>
      <c r="C335" s="433"/>
      <c r="D335" s="433" t="s">
        <v>21738</v>
      </c>
      <c r="E335" s="433"/>
      <c r="F335" s="434" t="s">
        <v>21758</v>
      </c>
      <c r="G335" s="433" t="s">
        <v>20948</v>
      </c>
      <c r="H335" s="342" t="s">
        <v>29</v>
      </c>
      <c r="I335" s="433" t="s">
        <v>30</v>
      </c>
      <c r="J335" s="433"/>
      <c r="K335" s="433" t="s">
        <v>30</v>
      </c>
      <c r="L335" s="433">
        <v>144.0</v>
      </c>
      <c r="M335" s="433" t="s">
        <v>13663</v>
      </c>
      <c r="N335" s="433" t="s">
        <v>21744</v>
      </c>
      <c r="O335" s="433" t="s">
        <v>4831</v>
      </c>
      <c r="P335" s="433">
        <v>2012.0</v>
      </c>
      <c r="Q335" s="433" t="s">
        <v>388</v>
      </c>
      <c r="R335" s="433">
        <v>1.0</v>
      </c>
      <c r="S335" s="3"/>
      <c r="T335" s="3"/>
      <c r="U335" s="3"/>
      <c r="V335" s="3"/>
      <c r="W335" s="3"/>
      <c r="X335" s="3"/>
      <c r="Y335" s="3"/>
      <c r="Z335" s="3"/>
    </row>
    <row r="336" ht="15.75" customHeight="1">
      <c r="A336" s="3"/>
      <c r="B336" s="450">
        <v>322.0</v>
      </c>
      <c r="C336" s="433"/>
      <c r="D336" s="433" t="s">
        <v>21738</v>
      </c>
      <c r="E336" s="433"/>
      <c r="F336" s="434" t="s">
        <v>21759</v>
      </c>
      <c r="G336" s="433" t="s">
        <v>20948</v>
      </c>
      <c r="H336" s="342" t="s">
        <v>29</v>
      </c>
      <c r="I336" s="433" t="s">
        <v>30</v>
      </c>
      <c r="J336" s="433"/>
      <c r="K336" s="433" t="s">
        <v>30</v>
      </c>
      <c r="L336" s="433">
        <v>192.0</v>
      </c>
      <c r="M336" s="433" t="s">
        <v>13663</v>
      </c>
      <c r="N336" s="433" t="s">
        <v>21744</v>
      </c>
      <c r="O336" s="433" t="s">
        <v>4831</v>
      </c>
      <c r="P336" s="433">
        <v>2012.0</v>
      </c>
      <c r="Q336" s="433" t="s">
        <v>388</v>
      </c>
      <c r="R336" s="433">
        <v>1.0</v>
      </c>
      <c r="S336" s="3"/>
      <c r="T336" s="3"/>
      <c r="U336" s="3"/>
      <c r="V336" s="3"/>
      <c r="W336" s="3"/>
      <c r="X336" s="3"/>
      <c r="Y336" s="3"/>
      <c r="Z336" s="3"/>
    </row>
    <row r="337" ht="15.75" customHeight="1">
      <c r="A337" s="3"/>
      <c r="B337" s="552">
        <v>323.0</v>
      </c>
      <c r="C337" s="433"/>
      <c r="D337" s="433" t="s">
        <v>21738</v>
      </c>
      <c r="E337" s="433"/>
      <c r="F337" s="434" t="s">
        <v>21760</v>
      </c>
      <c r="G337" s="433" t="s">
        <v>20948</v>
      </c>
      <c r="H337" s="342" t="s">
        <v>29</v>
      </c>
      <c r="I337" s="433" t="s">
        <v>30</v>
      </c>
      <c r="J337" s="433"/>
      <c r="K337" s="433" t="s">
        <v>30</v>
      </c>
      <c r="L337" s="433">
        <v>52.0</v>
      </c>
      <c r="M337" s="433" t="s">
        <v>21761</v>
      </c>
      <c r="N337" s="433" t="s">
        <v>21744</v>
      </c>
      <c r="O337" s="433" t="s">
        <v>4831</v>
      </c>
      <c r="P337" s="433">
        <v>2013.0</v>
      </c>
      <c r="Q337" s="433" t="s">
        <v>388</v>
      </c>
      <c r="R337" s="433">
        <v>1.0</v>
      </c>
      <c r="S337" s="3"/>
      <c r="T337" s="3"/>
      <c r="U337" s="3"/>
      <c r="V337" s="3"/>
      <c r="W337" s="3"/>
      <c r="X337" s="3"/>
      <c r="Y337" s="3"/>
      <c r="Z337" s="3"/>
    </row>
    <row r="338" ht="15.75" customHeight="1">
      <c r="A338" s="3"/>
      <c r="B338" s="450">
        <v>324.0</v>
      </c>
      <c r="C338" s="433"/>
      <c r="D338" s="433" t="s">
        <v>21738</v>
      </c>
      <c r="E338" s="433"/>
      <c r="F338" s="434" t="s">
        <v>21762</v>
      </c>
      <c r="G338" s="433" t="s">
        <v>20948</v>
      </c>
      <c r="H338" s="342" t="s">
        <v>29</v>
      </c>
      <c r="I338" s="433" t="s">
        <v>30</v>
      </c>
      <c r="J338" s="433"/>
      <c r="K338" s="433" t="s">
        <v>30</v>
      </c>
      <c r="L338" s="433">
        <v>52.0</v>
      </c>
      <c r="M338" s="433" t="s">
        <v>21763</v>
      </c>
      <c r="N338" s="433" t="s">
        <v>21744</v>
      </c>
      <c r="O338" s="433" t="s">
        <v>4831</v>
      </c>
      <c r="P338" s="433">
        <v>2013.0</v>
      </c>
      <c r="Q338" s="433" t="s">
        <v>388</v>
      </c>
      <c r="R338" s="433">
        <v>1.0</v>
      </c>
      <c r="S338" s="3"/>
      <c r="T338" s="3"/>
      <c r="U338" s="3"/>
      <c r="V338" s="3"/>
      <c r="W338" s="3"/>
      <c r="X338" s="3"/>
      <c r="Y338" s="3"/>
      <c r="Z338" s="3"/>
    </row>
    <row r="339" ht="15.75" customHeight="1">
      <c r="A339" s="3"/>
      <c r="B339" s="552">
        <v>325.0</v>
      </c>
      <c r="C339" s="433"/>
      <c r="D339" s="433" t="s">
        <v>21738</v>
      </c>
      <c r="E339" s="433"/>
      <c r="F339" s="434" t="s">
        <v>21764</v>
      </c>
      <c r="G339" s="433" t="s">
        <v>20948</v>
      </c>
      <c r="H339" s="342" t="s">
        <v>29</v>
      </c>
      <c r="I339" s="433" t="s">
        <v>30</v>
      </c>
      <c r="J339" s="433"/>
      <c r="K339" s="433" t="s">
        <v>30</v>
      </c>
      <c r="L339" s="433">
        <v>48.0</v>
      </c>
      <c r="M339" s="433" t="s">
        <v>13663</v>
      </c>
      <c r="N339" s="433" t="s">
        <v>21741</v>
      </c>
      <c r="O339" s="433" t="s">
        <v>4831</v>
      </c>
      <c r="P339" s="433">
        <v>2013.0</v>
      </c>
      <c r="Q339" s="433" t="s">
        <v>388</v>
      </c>
      <c r="R339" s="433">
        <v>1.0</v>
      </c>
      <c r="S339" s="3"/>
      <c r="T339" s="3"/>
      <c r="U339" s="3"/>
      <c r="V339" s="3"/>
      <c r="W339" s="3"/>
      <c r="X339" s="3"/>
      <c r="Y339" s="3"/>
      <c r="Z339" s="3"/>
    </row>
    <row r="340" ht="15.75" customHeight="1">
      <c r="A340" s="3"/>
      <c r="B340" s="450">
        <v>326.0</v>
      </c>
      <c r="C340" s="433"/>
      <c r="D340" s="433" t="s">
        <v>21738</v>
      </c>
      <c r="E340" s="433"/>
      <c r="F340" s="434" t="s">
        <v>21765</v>
      </c>
      <c r="G340" s="433" t="s">
        <v>20948</v>
      </c>
      <c r="H340" s="342" t="s">
        <v>29</v>
      </c>
      <c r="I340" s="433" t="s">
        <v>30</v>
      </c>
      <c r="J340" s="433"/>
      <c r="K340" s="433" t="s">
        <v>30</v>
      </c>
      <c r="L340" s="433">
        <v>56.0</v>
      </c>
      <c r="M340" s="433" t="s">
        <v>13663</v>
      </c>
      <c r="N340" s="433" t="s">
        <v>21741</v>
      </c>
      <c r="O340" s="433" t="s">
        <v>4831</v>
      </c>
      <c r="P340" s="433">
        <v>2013.0</v>
      </c>
      <c r="Q340" s="433" t="s">
        <v>388</v>
      </c>
      <c r="R340" s="433">
        <v>1.0</v>
      </c>
      <c r="S340" s="3"/>
      <c r="T340" s="3"/>
      <c r="U340" s="3"/>
      <c r="V340" s="3"/>
      <c r="W340" s="3"/>
      <c r="X340" s="3"/>
      <c r="Y340" s="3"/>
      <c r="Z340" s="3"/>
    </row>
    <row r="341" ht="15.75" customHeight="1">
      <c r="A341" s="3"/>
      <c r="B341" s="552">
        <v>318.0</v>
      </c>
      <c r="C341" s="433"/>
      <c r="D341" s="433" t="s">
        <v>21738</v>
      </c>
      <c r="E341" s="433"/>
      <c r="F341" s="434" t="s">
        <v>21766</v>
      </c>
      <c r="G341" s="433" t="s">
        <v>20948</v>
      </c>
      <c r="H341" s="342" t="s">
        <v>29</v>
      </c>
      <c r="I341" s="433" t="s">
        <v>30</v>
      </c>
      <c r="J341" s="433"/>
      <c r="K341" s="433" t="s">
        <v>30</v>
      </c>
      <c r="L341" s="433">
        <v>48.0</v>
      </c>
      <c r="M341" s="433" t="s">
        <v>13663</v>
      </c>
      <c r="N341" s="433" t="s">
        <v>21744</v>
      </c>
      <c r="O341" s="433" t="s">
        <v>4831</v>
      </c>
      <c r="P341" s="433">
        <v>2014.0</v>
      </c>
      <c r="Q341" s="433" t="s">
        <v>388</v>
      </c>
      <c r="R341" s="433">
        <v>1.0</v>
      </c>
      <c r="S341" s="3"/>
      <c r="T341" s="3"/>
      <c r="U341" s="3"/>
      <c r="V341" s="3"/>
      <c r="W341" s="3"/>
      <c r="X341" s="3"/>
      <c r="Y341" s="3"/>
      <c r="Z341" s="3"/>
    </row>
    <row r="342" ht="15.75" customHeight="1">
      <c r="A342" s="3"/>
      <c r="B342" s="450">
        <v>319.0</v>
      </c>
      <c r="C342" s="433"/>
      <c r="D342" s="433" t="s">
        <v>21738</v>
      </c>
      <c r="E342" s="433"/>
      <c r="F342" s="434" t="s">
        <v>21767</v>
      </c>
      <c r="G342" s="433" t="s">
        <v>20948</v>
      </c>
      <c r="H342" s="342" t="s">
        <v>29</v>
      </c>
      <c r="I342" s="433" t="s">
        <v>30</v>
      </c>
      <c r="J342" s="433"/>
      <c r="K342" s="433" t="s">
        <v>30</v>
      </c>
      <c r="L342" s="433">
        <v>48.0</v>
      </c>
      <c r="M342" s="433" t="s">
        <v>13663</v>
      </c>
      <c r="N342" s="433" t="s">
        <v>21744</v>
      </c>
      <c r="O342" s="433" t="s">
        <v>4831</v>
      </c>
      <c r="P342" s="433">
        <v>2014.0</v>
      </c>
      <c r="Q342" s="433" t="s">
        <v>388</v>
      </c>
      <c r="R342" s="433">
        <v>1.0</v>
      </c>
      <c r="S342" s="3"/>
      <c r="T342" s="3"/>
      <c r="U342" s="3"/>
      <c r="V342" s="3"/>
      <c r="W342" s="3"/>
      <c r="X342" s="3"/>
      <c r="Y342" s="3"/>
      <c r="Z342" s="3"/>
    </row>
    <row r="343" ht="15.75" customHeight="1">
      <c r="A343" s="3"/>
      <c r="B343" s="552">
        <v>320.0</v>
      </c>
      <c r="C343" s="433"/>
      <c r="D343" s="433" t="s">
        <v>21738</v>
      </c>
      <c r="E343" s="433"/>
      <c r="F343" s="434" t="s">
        <v>21768</v>
      </c>
      <c r="G343" s="433" t="s">
        <v>20948</v>
      </c>
      <c r="H343" s="342" t="s">
        <v>29</v>
      </c>
      <c r="I343" s="433" t="s">
        <v>30</v>
      </c>
      <c r="J343" s="433"/>
      <c r="K343" s="433" t="s">
        <v>30</v>
      </c>
      <c r="L343" s="433">
        <v>48.0</v>
      </c>
      <c r="M343" s="433" t="s">
        <v>13663</v>
      </c>
      <c r="N343" s="433" t="s">
        <v>21744</v>
      </c>
      <c r="O343" s="433" t="s">
        <v>4831</v>
      </c>
      <c r="P343" s="433">
        <v>2014.0</v>
      </c>
      <c r="Q343" s="433" t="s">
        <v>388</v>
      </c>
      <c r="R343" s="433">
        <v>1.0</v>
      </c>
      <c r="S343" s="3"/>
      <c r="T343" s="3"/>
      <c r="U343" s="3"/>
      <c r="V343" s="3"/>
      <c r="W343" s="3"/>
      <c r="X343" s="3"/>
      <c r="Y343" s="3"/>
      <c r="Z343" s="3"/>
    </row>
    <row r="344" ht="15.75" customHeight="1">
      <c r="A344" s="3"/>
      <c r="B344" s="450">
        <v>321.0</v>
      </c>
      <c r="C344" s="433"/>
      <c r="D344" s="433" t="s">
        <v>21738</v>
      </c>
      <c r="E344" s="433"/>
      <c r="F344" s="434" t="s">
        <v>21769</v>
      </c>
      <c r="G344" s="433" t="s">
        <v>20948</v>
      </c>
      <c r="H344" s="342" t="s">
        <v>29</v>
      </c>
      <c r="I344" s="433" t="s">
        <v>30</v>
      </c>
      <c r="J344" s="433"/>
      <c r="K344" s="433" t="s">
        <v>30</v>
      </c>
      <c r="L344" s="433">
        <v>48.0</v>
      </c>
      <c r="M344" s="433" t="s">
        <v>13663</v>
      </c>
      <c r="N344" s="433" t="s">
        <v>21744</v>
      </c>
      <c r="O344" s="433" t="s">
        <v>4831</v>
      </c>
      <c r="P344" s="433">
        <v>2014.0</v>
      </c>
      <c r="Q344" s="433" t="s">
        <v>388</v>
      </c>
      <c r="R344" s="433">
        <v>1.0</v>
      </c>
      <c r="S344" s="3"/>
      <c r="T344" s="3"/>
      <c r="U344" s="3"/>
      <c r="V344" s="3"/>
      <c r="W344" s="3"/>
      <c r="X344" s="3"/>
      <c r="Y344" s="3"/>
      <c r="Z344" s="3"/>
    </row>
    <row r="345" ht="15.75" customHeight="1">
      <c r="A345" s="3"/>
      <c r="B345" s="552">
        <v>322.0</v>
      </c>
      <c r="C345" s="433"/>
      <c r="D345" s="433" t="s">
        <v>21738</v>
      </c>
      <c r="E345" s="433"/>
      <c r="F345" s="434" t="s">
        <v>21770</v>
      </c>
      <c r="G345" s="433" t="s">
        <v>20948</v>
      </c>
      <c r="H345" s="342" t="s">
        <v>29</v>
      </c>
      <c r="I345" s="433" t="s">
        <v>30</v>
      </c>
      <c r="J345" s="433"/>
      <c r="K345" s="433" t="s">
        <v>30</v>
      </c>
      <c r="L345" s="433">
        <v>48.0</v>
      </c>
      <c r="M345" s="433" t="s">
        <v>13663</v>
      </c>
      <c r="N345" s="433" t="s">
        <v>21744</v>
      </c>
      <c r="O345" s="433" t="s">
        <v>4831</v>
      </c>
      <c r="P345" s="433">
        <v>2014.0</v>
      </c>
      <c r="Q345" s="433" t="s">
        <v>388</v>
      </c>
      <c r="R345" s="433">
        <v>1.0</v>
      </c>
      <c r="S345" s="3"/>
      <c r="T345" s="3"/>
      <c r="U345" s="3"/>
      <c r="V345" s="3"/>
      <c r="W345" s="3"/>
      <c r="X345" s="3"/>
      <c r="Y345" s="3"/>
      <c r="Z345" s="3"/>
    </row>
    <row r="346" ht="15.75" customHeight="1">
      <c r="A346" s="3"/>
      <c r="B346" s="450">
        <v>323.0</v>
      </c>
      <c r="C346" s="433"/>
      <c r="D346" s="433" t="s">
        <v>21738</v>
      </c>
      <c r="E346" s="433"/>
      <c r="F346" s="434" t="s">
        <v>21771</v>
      </c>
      <c r="G346" s="433" t="s">
        <v>20948</v>
      </c>
      <c r="H346" s="342" t="s">
        <v>29</v>
      </c>
      <c r="I346" s="433" t="s">
        <v>30</v>
      </c>
      <c r="J346" s="433"/>
      <c r="K346" s="433" t="s">
        <v>30</v>
      </c>
      <c r="L346" s="433">
        <v>48.0</v>
      </c>
      <c r="M346" s="433" t="s">
        <v>13663</v>
      </c>
      <c r="N346" s="433" t="s">
        <v>21744</v>
      </c>
      <c r="O346" s="433" t="s">
        <v>4831</v>
      </c>
      <c r="P346" s="433">
        <v>2014.0</v>
      </c>
      <c r="Q346" s="433" t="s">
        <v>388</v>
      </c>
      <c r="R346" s="433">
        <v>1.0</v>
      </c>
      <c r="S346" s="3"/>
      <c r="T346" s="3"/>
      <c r="U346" s="3"/>
      <c r="V346" s="3"/>
      <c r="W346" s="3"/>
      <c r="X346" s="3"/>
      <c r="Y346" s="3"/>
      <c r="Z346" s="3"/>
    </row>
    <row r="347" ht="15.75" customHeight="1">
      <c r="A347" s="3"/>
      <c r="B347" s="552">
        <v>324.0</v>
      </c>
      <c r="C347" s="433"/>
      <c r="D347" s="433" t="s">
        <v>21738</v>
      </c>
      <c r="E347" s="433"/>
      <c r="F347" s="434" t="s">
        <v>21772</v>
      </c>
      <c r="G347" s="433" t="s">
        <v>20948</v>
      </c>
      <c r="H347" s="342" t="s">
        <v>29</v>
      </c>
      <c r="I347" s="433" t="s">
        <v>30</v>
      </c>
      <c r="J347" s="433"/>
      <c r="K347" s="433" t="s">
        <v>30</v>
      </c>
      <c r="L347" s="433">
        <v>48.0</v>
      </c>
      <c r="M347" s="433" t="s">
        <v>13663</v>
      </c>
      <c r="N347" s="433" t="s">
        <v>21744</v>
      </c>
      <c r="O347" s="433" t="s">
        <v>4831</v>
      </c>
      <c r="P347" s="433">
        <v>2014.0</v>
      </c>
      <c r="Q347" s="433" t="s">
        <v>388</v>
      </c>
      <c r="R347" s="433">
        <v>1.0</v>
      </c>
      <c r="S347" s="3"/>
      <c r="T347" s="3"/>
      <c r="U347" s="3"/>
      <c r="V347" s="3"/>
      <c r="W347" s="3"/>
      <c r="X347" s="3"/>
      <c r="Y347" s="3"/>
      <c r="Z347" s="3"/>
    </row>
    <row r="348" ht="15.75" customHeight="1">
      <c r="A348" s="3"/>
      <c r="B348" s="450">
        <v>325.0</v>
      </c>
      <c r="C348" s="433"/>
      <c r="D348" s="433" t="s">
        <v>21738</v>
      </c>
      <c r="E348" s="433"/>
      <c r="F348" s="434" t="s">
        <v>21773</v>
      </c>
      <c r="G348" s="433" t="s">
        <v>20948</v>
      </c>
      <c r="H348" s="342" t="s">
        <v>29</v>
      </c>
      <c r="I348" s="433" t="s">
        <v>30</v>
      </c>
      <c r="J348" s="433"/>
      <c r="K348" s="433" t="s">
        <v>30</v>
      </c>
      <c r="L348" s="433">
        <v>48.0</v>
      </c>
      <c r="M348" s="433" t="s">
        <v>13663</v>
      </c>
      <c r="N348" s="433" t="s">
        <v>21744</v>
      </c>
      <c r="O348" s="433" t="s">
        <v>4831</v>
      </c>
      <c r="P348" s="433">
        <v>2014.0</v>
      </c>
      <c r="Q348" s="433" t="s">
        <v>388</v>
      </c>
      <c r="R348" s="433">
        <v>1.0</v>
      </c>
      <c r="S348" s="3"/>
      <c r="T348" s="3"/>
      <c r="U348" s="3"/>
      <c r="V348" s="3"/>
      <c r="W348" s="3"/>
      <c r="X348" s="3"/>
      <c r="Y348" s="3"/>
      <c r="Z348" s="3"/>
    </row>
    <row r="349" ht="15.75" customHeight="1">
      <c r="A349" s="3"/>
      <c r="B349" s="552">
        <v>326.0</v>
      </c>
      <c r="C349" s="433"/>
      <c r="D349" s="433" t="s">
        <v>21738</v>
      </c>
      <c r="E349" s="433"/>
      <c r="F349" s="434" t="s">
        <v>21774</v>
      </c>
      <c r="G349" s="433" t="s">
        <v>20948</v>
      </c>
      <c r="H349" s="342" t="s">
        <v>29</v>
      </c>
      <c r="I349" s="433" t="s">
        <v>30</v>
      </c>
      <c r="J349" s="433"/>
      <c r="K349" s="433" t="s">
        <v>30</v>
      </c>
      <c r="L349" s="433">
        <v>48.0</v>
      </c>
      <c r="M349" s="433" t="s">
        <v>13663</v>
      </c>
      <c r="N349" s="433" t="s">
        <v>21744</v>
      </c>
      <c r="O349" s="433" t="s">
        <v>4831</v>
      </c>
      <c r="P349" s="433">
        <v>2014.0</v>
      </c>
      <c r="Q349" s="433" t="s">
        <v>388</v>
      </c>
      <c r="R349" s="433">
        <v>1.0</v>
      </c>
      <c r="S349" s="3"/>
      <c r="T349" s="3"/>
      <c r="U349" s="3"/>
      <c r="V349" s="3"/>
      <c r="W349" s="3"/>
      <c r="X349" s="3"/>
      <c r="Y349" s="3"/>
      <c r="Z349" s="3"/>
    </row>
    <row r="350" ht="15.75" customHeight="1">
      <c r="A350" s="3"/>
      <c r="B350" s="450">
        <v>327.0</v>
      </c>
      <c r="C350" s="433"/>
      <c r="D350" s="433" t="s">
        <v>21260</v>
      </c>
      <c r="E350" s="433"/>
      <c r="F350" s="434" t="s">
        <v>21775</v>
      </c>
      <c r="G350" s="433" t="s">
        <v>20948</v>
      </c>
      <c r="H350" s="342" t="s">
        <v>29</v>
      </c>
      <c r="I350" s="433" t="s">
        <v>30</v>
      </c>
      <c r="J350" s="433"/>
      <c r="K350" s="433" t="s">
        <v>30</v>
      </c>
      <c r="L350" s="433"/>
      <c r="M350" s="433"/>
      <c r="N350" s="433" t="s">
        <v>21776</v>
      </c>
      <c r="O350" s="433" t="s">
        <v>21777</v>
      </c>
      <c r="P350" s="433">
        <v>2012.0</v>
      </c>
      <c r="Q350" s="433" t="s">
        <v>388</v>
      </c>
      <c r="R350" s="433">
        <v>1.0</v>
      </c>
      <c r="S350" s="3"/>
      <c r="T350" s="3"/>
      <c r="U350" s="3"/>
      <c r="V350" s="3"/>
      <c r="W350" s="3"/>
      <c r="X350" s="3"/>
      <c r="Y350" s="3"/>
      <c r="Z350" s="3"/>
    </row>
    <row r="351" ht="15.75" customHeight="1">
      <c r="A351" s="3"/>
      <c r="B351" s="552">
        <v>328.0</v>
      </c>
      <c r="C351" s="433"/>
      <c r="D351" s="433" t="s">
        <v>21176</v>
      </c>
      <c r="E351" s="433"/>
      <c r="F351" s="434" t="s">
        <v>21778</v>
      </c>
      <c r="G351" s="433" t="s">
        <v>16872</v>
      </c>
      <c r="H351" s="342" t="s">
        <v>29</v>
      </c>
      <c r="I351" s="433" t="s">
        <v>30</v>
      </c>
      <c r="J351" s="433" t="s">
        <v>31</v>
      </c>
      <c r="K351" s="433" t="s">
        <v>30</v>
      </c>
      <c r="L351" s="433">
        <v>74.0</v>
      </c>
      <c r="M351" s="433"/>
      <c r="N351" s="433" t="s">
        <v>31</v>
      </c>
      <c r="O351" s="433" t="s">
        <v>21178</v>
      </c>
      <c r="P351" s="433">
        <v>2015.0</v>
      </c>
      <c r="Q351" s="433" t="s">
        <v>388</v>
      </c>
      <c r="R351" s="433">
        <v>3.0</v>
      </c>
      <c r="S351" s="3"/>
      <c r="T351" s="3"/>
      <c r="U351" s="3"/>
      <c r="V351" s="3"/>
      <c r="W351" s="3"/>
      <c r="X351" s="3"/>
      <c r="Y351" s="3"/>
      <c r="Z351" s="3"/>
    </row>
    <row r="352" ht="15.75" customHeight="1">
      <c r="A352" s="3"/>
      <c r="B352" s="450">
        <v>329.0</v>
      </c>
      <c r="C352" s="433"/>
      <c r="D352" s="433" t="s">
        <v>21176</v>
      </c>
      <c r="E352" s="433"/>
      <c r="F352" s="434" t="s">
        <v>21779</v>
      </c>
      <c r="G352" s="433" t="s">
        <v>16872</v>
      </c>
      <c r="H352" s="342" t="s">
        <v>29</v>
      </c>
      <c r="I352" s="433" t="s">
        <v>30</v>
      </c>
      <c r="J352" s="433" t="s">
        <v>31</v>
      </c>
      <c r="K352" s="433" t="s">
        <v>30</v>
      </c>
      <c r="L352" s="433">
        <v>74.0</v>
      </c>
      <c r="M352" s="433"/>
      <c r="N352" s="433" t="s">
        <v>31</v>
      </c>
      <c r="O352" s="433" t="s">
        <v>21178</v>
      </c>
      <c r="P352" s="433">
        <v>2016.0</v>
      </c>
      <c r="Q352" s="433" t="s">
        <v>388</v>
      </c>
      <c r="R352" s="433">
        <v>3.0</v>
      </c>
      <c r="S352" s="3"/>
      <c r="T352" s="3"/>
      <c r="U352" s="3"/>
      <c r="V352" s="3"/>
      <c r="W352" s="3"/>
      <c r="X352" s="3"/>
      <c r="Y352" s="3"/>
      <c r="Z352" s="3"/>
    </row>
    <row r="353" ht="15.75" customHeight="1">
      <c r="A353" s="3"/>
      <c r="B353" s="552">
        <v>330.0</v>
      </c>
      <c r="C353" s="433"/>
      <c r="D353" s="433" t="s">
        <v>21176</v>
      </c>
      <c r="E353" s="433"/>
      <c r="F353" s="434" t="s">
        <v>21780</v>
      </c>
      <c r="G353" s="433" t="s">
        <v>16872</v>
      </c>
      <c r="H353" s="342" t="s">
        <v>29</v>
      </c>
      <c r="I353" s="433" t="s">
        <v>30</v>
      </c>
      <c r="J353" s="433" t="s">
        <v>31</v>
      </c>
      <c r="K353" s="433" t="s">
        <v>30</v>
      </c>
      <c r="L353" s="433">
        <v>80.0</v>
      </c>
      <c r="M353" s="433"/>
      <c r="N353" s="433" t="s">
        <v>31</v>
      </c>
      <c r="O353" s="433" t="s">
        <v>21178</v>
      </c>
      <c r="P353" s="433">
        <v>2015.0</v>
      </c>
      <c r="Q353" s="433" t="s">
        <v>388</v>
      </c>
      <c r="R353" s="433">
        <v>3.0</v>
      </c>
      <c r="S353" s="3"/>
      <c r="T353" s="3"/>
      <c r="U353" s="3"/>
      <c r="V353" s="3"/>
      <c r="W353" s="3"/>
      <c r="X353" s="3"/>
      <c r="Y353" s="3"/>
      <c r="Z353" s="3"/>
    </row>
    <row r="354" ht="15.75" customHeight="1">
      <c r="A354" s="3"/>
      <c r="B354" s="450">
        <v>331.0</v>
      </c>
      <c r="C354" s="433"/>
      <c r="D354" s="433" t="s">
        <v>21176</v>
      </c>
      <c r="E354" s="433"/>
      <c r="F354" s="434" t="s">
        <v>21781</v>
      </c>
      <c r="G354" s="433" t="s">
        <v>16872</v>
      </c>
      <c r="H354" s="342" t="s">
        <v>29</v>
      </c>
      <c r="I354" s="433" t="s">
        <v>30</v>
      </c>
      <c r="J354" s="433" t="s">
        <v>31</v>
      </c>
      <c r="K354" s="433" t="s">
        <v>30</v>
      </c>
      <c r="L354" s="433">
        <v>72.0</v>
      </c>
      <c r="M354" s="433"/>
      <c r="N354" s="433" t="s">
        <v>31</v>
      </c>
      <c r="O354" s="433" t="s">
        <v>21178</v>
      </c>
      <c r="P354" s="433">
        <v>2015.0</v>
      </c>
      <c r="Q354" s="433" t="s">
        <v>388</v>
      </c>
      <c r="R354" s="433">
        <v>3.0</v>
      </c>
      <c r="S354" s="3"/>
      <c r="T354" s="3"/>
      <c r="U354" s="3"/>
      <c r="V354" s="3"/>
      <c r="W354" s="3"/>
      <c r="X354" s="3"/>
      <c r="Y354" s="3"/>
      <c r="Z354" s="3"/>
    </row>
    <row r="355" ht="15.75" customHeight="1">
      <c r="A355" s="3"/>
      <c r="B355" s="552">
        <v>332.0</v>
      </c>
      <c r="C355" s="433" t="s">
        <v>31</v>
      </c>
      <c r="D355" s="433" t="s">
        <v>21738</v>
      </c>
      <c r="E355" s="433"/>
      <c r="F355" s="434" t="s">
        <v>21782</v>
      </c>
      <c r="G355" s="433" t="s">
        <v>20948</v>
      </c>
      <c r="H355" s="342" t="s">
        <v>29</v>
      </c>
      <c r="I355" s="433" t="s">
        <v>30</v>
      </c>
      <c r="J355" s="433" t="s">
        <v>31</v>
      </c>
      <c r="K355" s="433" t="s">
        <v>30</v>
      </c>
      <c r="L355" s="433">
        <v>56.0</v>
      </c>
      <c r="M355" s="433" t="s">
        <v>21783</v>
      </c>
      <c r="N355" s="433" t="s">
        <v>31</v>
      </c>
      <c r="O355" s="433" t="s">
        <v>3991</v>
      </c>
      <c r="P355" s="433">
        <v>2016.0</v>
      </c>
      <c r="Q355" s="433" t="s">
        <v>388</v>
      </c>
      <c r="R355" s="433">
        <v>1.0</v>
      </c>
      <c r="S355" s="3"/>
      <c r="T355" s="3"/>
      <c r="U355" s="3"/>
      <c r="V355" s="3"/>
      <c r="W355" s="3"/>
      <c r="X355" s="3"/>
      <c r="Y355" s="3"/>
      <c r="Z355" s="3"/>
    </row>
    <row r="356" ht="15.75" customHeight="1">
      <c r="A356" s="3"/>
      <c r="B356" s="450">
        <v>333.0</v>
      </c>
      <c r="C356" s="433" t="s">
        <v>31</v>
      </c>
      <c r="D356" s="433" t="s">
        <v>21738</v>
      </c>
      <c r="E356" s="433"/>
      <c r="F356" s="434" t="s">
        <v>21784</v>
      </c>
      <c r="G356" s="433" t="s">
        <v>20948</v>
      </c>
      <c r="H356" s="342" t="s">
        <v>29</v>
      </c>
      <c r="I356" s="433" t="s">
        <v>30</v>
      </c>
      <c r="J356" s="433" t="s">
        <v>31</v>
      </c>
      <c r="K356" s="433" t="s">
        <v>30</v>
      </c>
      <c r="L356" s="433">
        <v>56.0</v>
      </c>
      <c r="M356" s="433" t="s">
        <v>21783</v>
      </c>
      <c r="N356" s="433" t="s">
        <v>31</v>
      </c>
      <c r="O356" s="433" t="s">
        <v>3991</v>
      </c>
      <c r="P356" s="433">
        <v>2016.0</v>
      </c>
      <c r="Q356" s="433" t="s">
        <v>388</v>
      </c>
      <c r="R356" s="433">
        <v>1.0</v>
      </c>
      <c r="S356" s="3"/>
      <c r="T356" s="3"/>
      <c r="U356" s="3"/>
      <c r="V356" s="3"/>
      <c r="W356" s="3"/>
      <c r="X356" s="3"/>
      <c r="Y356" s="3"/>
      <c r="Z356" s="3"/>
    </row>
    <row r="357" ht="15.75" customHeight="1">
      <c r="A357" s="3"/>
      <c r="B357" s="552">
        <v>334.0</v>
      </c>
      <c r="C357" s="433" t="s">
        <v>31</v>
      </c>
      <c r="D357" s="433" t="s">
        <v>21785</v>
      </c>
      <c r="E357" s="433"/>
      <c r="F357" s="434" t="s">
        <v>21786</v>
      </c>
      <c r="G357" s="433" t="s">
        <v>20948</v>
      </c>
      <c r="H357" s="342" t="s">
        <v>29</v>
      </c>
      <c r="I357" s="433" t="s">
        <v>30</v>
      </c>
      <c r="J357" s="433" t="s">
        <v>31</v>
      </c>
      <c r="K357" s="433" t="s">
        <v>30</v>
      </c>
      <c r="L357" s="433">
        <f>242-193</f>
        <v>49</v>
      </c>
      <c r="M357" s="433" t="s">
        <v>21783</v>
      </c>
      <c r="N357" s="433" t="s">
        <v>31</v>
      </c>
      <c r="O357" s="433" t="s">
        <v>3991</v>
      </c>
      <c r="P357" s="433">
        <v>2016.0</v>
      </c>
      <c r="Q357" s="433" t="s">
        <v>388</v>
      </c>
      <c r="R357" s="433">
        <v>1.0</v>
      </c>
      <c r="S357" s="3"/>
      <c r="T357" s="3"/>
      <c r="U357" s="3"/>
      <c r="V357" s="3"/>
      <c r="W357" s="3"/>
      <c r="X357" s="3"/>
      <c r="Y357" s="3"/>
      <c r="Z357" s="3"/>
    </row>
    <row r="358" ht="15.75" customHeight="1">
      <c r="A358" s="3"/>
      <c r="B358" s="450">
        <v>335.0</v>
      </c>
      <c r="C358" s="433" t="s">
        <v>31</v>
      </c>
      <c r="D358" s="433" t="s">
        <v>21191</v>
      </c>
      <c r="E358" s="433"/>
      <c r="F358" s="434" t="s">
        <v>21787</v>
      </c>
      <c r="G358" s="433" t="s">
        <v>20948</v>
      </c>
      <c r="H358" s="342" t="s">
        <v>29</v>
      </c>
      <c r="I358" s="433" t="s">
        <v>30</v>
      </c>
      <c r="J358" s="433" t="s">
        <v>31</v>
      </c>
      <c r="K358" s="433" t="s">
        <v>30</v>
      </c>
      <c r="L358" s="433">
        <v>19.0</v>
      </c>
      <c r="M358" s="433" t="s">
        <v>21783</v>
      </c>
      <c r="N358" s="433" t="s">
        <v>31</v>
      </c>
      <c r="O358" s="433" t="s">
        <v>10148</v>
      </c>
      <c r="P358" s="433">
        <v>2015.0</v>
      </c>
      <c r="Q358" s="433" t="s">
        <v>388</v>
      </c>
      <c r="R358" s="433">
        <v>1.0</v>
      </c>
      <c r="S358" s="3"/>
      <c r="T358" s="3"/>
      <c r="U358" s="3"/>
      <c r="V358" s="3"/>
      <c r="W358" s="3"/>
      <c r="X358" s="3"/>
      <c r="Y358" s="3"/>
      <c r="Z358" s="3"/>
    </row>
    <row r="359" ht="15.75" customHeight="1">
      <c r="A359" s="3"/>
      <c r="B359" s="552">
        <v>336.0</v>
      </c>
      <c r="C359" s="433" t="s">
        <v>31</v>
      </c>
      <c r="D359" s="433" t="s">
        <v>21788</v>
      </c>
      <c r="E359" s="433"/>
      <c r="F359" s="434" t="s">
        <v>21789</v>
      </c>
      <c r="G359" s="433" t="s">
        <v>20948</v>
      </c>
      <c r="H359" s="342" t="s">
        <v>29</v>
      </c>
      <c r="I359" s="433" t="s">
        <v>16504</v>
      </c>
      <c r="J359" s="433" t="s">
        <v>31</v>
      </c>
      <c r="K359" s="433" t="s">
        <v>30</v>
      </c>
      <c r="L359" s="433">
        <v>20.0</v>
      </c>
      <c r="M359" s="433" t="s">
        <v>15377</v>
      </c>
      <c r="N359" s="433" t="s">
        <v>31</v>
      </c>
      <c r="O359" s="433" t="s">
        <v>21790</v>
      </c>
      <c r="P359" s="433" t="s">
        <v>31</v>
      </c>
      <c r="Q359" s="433" t="s">
        <v>388</v>
      </c>
      <c r="R359" s="433">
        <v>1.0</v>
      </c>
      <c r="S359" s="3"/>
      <c r="T359" s="3"/>
      <c r="U359" s="3"/>
      <c r="V359" s="3"/>
      <c r="W359" s="3"/>
      <c r="X359" s="3"/>
      <c r="Y359" s="3"/>
      <c r="Z359" s="3"/>
    </row>
    <row r="360" ht="15.75" customHeight="1">
      <c r="A360" s="3"/>
      <c r="B360" s="450">
        <v>337.0</v>
      </c>
      <c r="C360" s="433" t="s">
        <v>31</v>
      </c>
      <c r="D360" s="433" t="s">
        <v>21785</v>
      </c>
      <c r="E360" s="433"/>
      <c r="F360" s="434" t="s">
        <v>21786</v>
      </c>
      <c r="G360" s="433" t="s">
        <v>20948</v>
      </c>
      <c r="H360" s="342" t="s">
        <v>29</v>
      </c>
      <c r="I360" s="433" t="s">
        <v>30</v>
      </c>
      <c r="J360" s="433" t="s">
        <v>31</v>
      </c>
      <c r="K360" s="433" t="s">
        <v>30</v>
      </c>
      <c r="L360" s="433">
        <v>49.0</v>
      </c>
      <c r="M360" s="433" t="s">
        <v>31</v>
      </c>
      <c r="N360" s="433" t="s">
        <v>31</v>
      </c>
      <c r="O360" s="433" t="s">
        <v>3991</v>
      </c>
      <c r="P360" s="433">
        <v>2016.0</v>
      </c>
      <c r="Q360" s="433" t="s">
        <v>388</v>
      </c>
      <c r="R360" s="433">
        <v>1.0</v>
      </c>
      <c r="S360" s="3"/>
      <c r="T360" s="3"/>
      <c r="U360" s="3"/>
      <c r="V360" s="3"/>
      <c r="W360" s="3"/>
      <c r="X360" s="3"/>
      <c r="Y360" s="3"/>
      <c r="Z360" s="3"/>
    </row>
    <row r="361" ht="15.75" customHeight="1">
      <c r="A361" s="3"/>
      <c r="B361" s="552">
        <v>338.0</v>
      </c>
      <c r="C361" s="433"/>
      <c r="D361" s="433" t="s">
        <v>21176</v>
      </c>
      <c r="E361" s="433"/>
      <c r="F361" s="434" t="s">
        <v>21791</v>
      </c>
      <c r="G361" s="433" t="s">
        <v>16872</v>
      </c>
      <c r="H361" s="342" t="s">
        <v>29</v>
      </c>
      <c r="I361" s="433" t="s">
        <v>30</v>
      </c>
      <c r="J361" s="433" t="s">
        <v>31</v>
      </c>
      <c r="K361" s="433" t="s">
        <v>30</v>
      </c>
      <c r="L361" s="433">
        <v>75.0</v>
      </c>
      <c r="M361" s="433" t="s">
        <v>31</v>
      </c>
      <c r="N361" s="433" t="s">
        <v>31</v>
      </c>
      <c r="O361" s="433" t="s">
        <v>21792</v>
      </c>
      <c r="P361" s="433">
        <v>2016.0</v>
      </c>
      <c r="Q361" s="433" t="s">
        <v>21793</v>
      </c>
      <c r="R361" s="433">
        <v>1.0</v>
      </c>
      <c r="S361" s="3"/>
      <c r="T361" s="3"/>
      <c r="U361" s="3"/>
      <c r="V361" s="3"/>
      <c r="W361" s="3"/>
      <c r="X361" s="3"/>
      <c r="Y361" s="3"/>
      <c r="Z361" s="3"/>
    </row>
    <row r="362" ht="15.75" customHeight="1">
      <c r="A362" s="3"/>
      <c r="B362" s="450">
        <v>339.0</v>
      </c>
      <c r="C362" s="433"/>
      <c r="D362" s="433" t="s">
        <v>21176</v>
      </c>
      <c r="E362" s="433"/>
      <c r="F362" s="434" t="s">
        <v>21794</v>
      </c>
      <c r="G362" s="433" t="s">
        <v>16872</v>
      </c>
      <c r="H362" s="342" t="s">
        <v>29</v>
      </c>
      <c r="I362" s="433" t="s">
        <v>30</v>
      </c>
      <c r="J362" s="433" t="s">
        <v>31</v>
      </c>
      <c r="K362" s="433" t="s">
        <v>30</v>
      </c>
      <c r="L362" s="433">
        <v>75.0</v>
      </c>
      <c r="M362" s="433" t="s">
        <v>31</v>
      </c>
      <c r="N362" s="433" t="s">
        <v>31</v>
      </c>
      <c r="O362" s="433" t="s">
        <v>21792</v>
      </c>
      <c r="P362" s="433">
        <v>2016.0</v>
      </c>
      <c r="Q362" s="433" t="s">
        <v>21793</v>
      </c>
      <c r="R362" s="433">
        <v>1.0</v>
      </c>
      <c r="S362" s="3"/>
      <c r="T362" s="3"/>
      <c r="U362" s="3"/>
      <c r="V362" s="3"/>
      <c r="W362" s="3"/>
      <c r="X362" s="3"/>
      <c r="Y362" s="3"/>
      <c r="Z362" s="3"/>
    </row>
    <row r="363" ht="15.75" customHeight="1">
      <c r="A363" s="3"/>
      <c r="B363" s="552">
        <v>340.0</v>
      </c>
      <c r="C363" s="433"/>
      <c r="D363" s="433" t="s">
        <v>21176</v>
      </c>
      <c r="E363" s="433"/>
      <c r="F363" s="434" t="s">
        <v>21795</v>
      </c>
      <c r="G363" s="433" t="s">
        <v>16872</v>
      </c>
      <c r="H363" s="342" t="s">
        <v>29</v>
      </c>
      <c r="I363" s="433" t="s">
        <v>30</v>
      </c>
      <c r="J363" s="433" t="s">
        <v>31</v>
      </c>
      <c r="K363" s="433" t="s">
        <v>30</v>
      </c>
      <c r="L363" s="433">
        <v>75.0</v>
      </c>
      <c r="M363" s="433" t="s">
        <v>31</v>
      </c>
      <c r="N363" s="433" t="s">
        <v>31</v>
      </c>
      <c r="O363" s="433" t="s">
        <v>21792</v>
      </c>
      <c r="P363" s="433">
        <v>2016.0</v>
      </c>
      <c r="Q363" s="433" t="s">
        <v>21793</v>
      </c>
      <c r="R363" s="433">
        <v>1.0</v>
      </c>
      <c r="S363" s="3"/>
      <c r="T363" s="3"/>
      <c r="U363" s="3"/>
      <c r="V363" s="3"/>
      <c r="W363" s="3"/>
      <c r="X363" s="3"/>
      <c r="Y363" s="3"/>
      <c r="Z363" s="3"/>
    </row>
    <row r="364" ht="15.75" customHeight="1">
      <c r="A364" s="3"/>
      <c r="B364" s="450">
        <v>341.0</v>
      </c>
      <c r="C364" s="433"/>
      <c r="D364" s="433" t="s">
        <v>21176</v>
      </c>
      <c r="E364" s="433"/>
      <c r="F364" s="434" t="s">
        <v>21796</v>
      </c>
      <c r="G364" s="433" t="s">
        <v>16872</v>
      </c>
      <c r="H364" s="342" t="s">
        <v>29</v>
      </c>
      <c r="I364" s="433" t="s">
        <v>30</v>
      </c>
      <c r="J364" s="433" t="s">
        <v>31</v>
      </c>
      <c r="K364" s="433" t="s">
        <v>30</v>
      </c>
      <c r="L364" s="433">
        <v>75.0</v>
      </c>
      <c r="M364" s="433" t="s">
        <v>31</v>
      </c>
      <c r="N364" s="433" t="s">
        <v>31</v>
      </c>
      <c r="O364" s="433" t="s">
        <v>21792</v>
      </c>
      <c r="P364" s="433">
        <v>2016.0</v>
      </c>
      <c r="Q364" s="433" t="s">
        <v>21793</v>
      </c>
      <c r="R364" s="433">
        <v>1.0</v>
      </c>
      <c r="S364" s="3"/>
      <c r="T364" s="3"/>
      <c r="U364" s="3"/>
      <c r="V364" s="3"/>
      <c r="W364" s="3"/>
      <c r="X364" s="3"/>
      <c r="Y364" s="3"/>
      <c r="Z364" s="3"/>
    </row>
    <row r="365" ht="15.75" customHeight="1">
      <c r="A365" s="3"/>
      <c r="B365" s="552">
        <v>342.0</v>
      </c>
      <c r="C365" s="433"/>
      <c r="D365" s="433" t="s">
        <v>21176</v>
      </c>
      <c r="E365" s="433"/>
      <c r="F365" s="434" t="s">
        <v>21797</v>
      </c>
      <c r="G365" s="433" t="s">
        <v>16872</v>
      </c>
      <c r="H365" s="342" t="s">
        <v>29</v>
      </c>
      <c r="I365" s="433" t="s">
        <v>30</v>
      </c>
      <c r="J365" s="433" t="s">
        <v>31</v>
      </c>
      <c r="K365" s="433" t="s">
        <v>30</v>
      </c>
      <c r="L365" s="433">
        <v>75.0</v>
      </c>
      <c r="M365" s="433" t="s">
        <v>31</v>
      </c>
      <c r="N365" s="433" t="s">
        <v>31</v>
      </c>
      <c r="O365" s="433" t="s">
        <v>21792</v>
      </c>
      <c r="P365" s="433">
        <v>2016.0</v>
      </c>
      <c r="Q365" s="433" t="s">
        <v>21793</v>
      </c>
      <c r="R365" s="433">
        <v>1.0</v>
      </c>
      <c r="S365" s="3"/>
      <c r="T365" s="3"/>
      <c r="U365" s="3"/>
      <c r="V365" s="3"/>
      <c r="W365" s="3"/>
      <c r="X365" s="3"/>
      <c r="Y365" s="3"/>
      <c r="Z365" s="3"/>
    </row>
    <row r="366" ht="15.75" customHeight="1">
      <c r="A366" s="3"/>
      <c r="B366" s="450">
        <v>343.0</v>
      </c>
      <c r="C366" s="433"/>
      <c r="D366" s="433" t="s">
        <v>21176</v>
      </c>
      <c r="E366" s="433"/>
      <c r="F366" s="434" t="s">
        <v>21798</v>
      </c>
      <c r="G366" s="433" t="s">
        <v>16872</v>
      </c>
      <c r="H366" s="342" t="s">
        <v>29</v>
      </c>
      <c r="I366" s="433" t="s">
        <v>30</v>
      </c>
      <c r="J366" s="433" t="s">
        <v>31</v>
      </c>
      <c r="K366" s="433" t="s">
        <v>30</v>
      </c>
      <c r="L366" s="433">
        <v>75.0</v>
      </c>
      <c r="M366" s="433" t="s">
        <v>31</v>
      </c>
      <c r="N366" s="433" t="s">
        <v>31</v>
      </c>
      <c r="O366" s="433" t="s">
        <v>21792</v>
      </c>
      <c r="P366" s="433">
        <v>2016.0</v>
      </c>
      <c r="Q366" s="433" t="s">
        <v>21793</v>
      </c>
      <c r="R366" s="433">
        <v>1.0</v>
      </c>
      <c r="S366" s="3"/>
      <c r="T366" s="3"/>
      <c r="U366" s="3"/>
      <c r="V366" s="3"/>
      <c r="W366" s="3"/>
      <c r="X366" s="3"/>
      <c r="Y366" s="3"/>
      <c r="Z366" s="3"/>
    </row>
    <row r="367" ht="15.75" customHeight="1">
      <c r="A367" s="3"/>
      <c r="B367" s="552">
        <v>344.0</v>
      </c>
      <c r="C367" s="433"/>
      <c r="D367" s="433" t="s">
        <v>21176</v>
      </c>
      <c r="E367" s="433"/>
      <c r="F367" s="434" t="s">
        <v>21799</v>
      </c>
      <c r="G367" s="433" t="s">
        <v>16872</v>
      </c>
      <c r="H367" s="342" t="s">
        <v>29</v>
      </c>
      <c r="I367" s="433" t="s">
        <v>30</v>
      </c>
      <c r="J367" s="433" t="s">
        <v>31</v>
      </c>
      <c r="K367" s="433" t="s">
        <v>30</v>
      </c>
      <c r="L367" s="433">
        <v>75.0</v>
      </c>
      <c r="M367" s="433" t="s">
        <v>31</v>
      </c>
      <c r="N367" s="433" t="s">
        <v>31</v>
      </c>
      <c r="O367" s="433" t="s">
        <v>21792</v>
      </c>
      <c r="P367" s="433">
        <v>2016.0</v>
      </c>
      <c r="Q367" s="433" t="s">
        <v>21793</v>
      </c>
      <c r="R367" s="433">
        <v>1.0</v>
      </c>
      <c r="S367" s="3"/>
      <c r="T367" s="3"/>
      <c r="U367" s="3"/>
      <c r="V367" s="3"/>
      <c r="W367" s="3"/>
      <c r="X367" s="3"/>
      <c r="Y367" s="3"/>
      <c r="Z367" s="3"/>
    </row>
    <row r="368" ht="15.75" customHeight="1">
      <c r="A368" s="3"/>
      <c r="B368" s="552"/>
      <c r="C368" s="433"/>
      <c r="D368" s="430" t="s">
        <v>21176</v>
      </c>
      <c r="E368" s="430"/>
      <c r="F368" s="432" t="s">
        <v>21800</v>
      </c>
      <c r="G368" s="430" t="s">
        <v>16872</v>
      </c>
      <c r="H368" s="557" t="s">
        <v>29</v>
      </c>
      <c r="I368" s="430" t="s">
        <v>30</v>
      </c>
      <c r="J368" s="430" t="s">
        <v>31</v>
      </c>
      <c r="K368" s="430" t="s">
        <v>30</v>
      </c>
      <c r="L368" s="430">
        <v>75.0</v>
      </c>
      <c r="M368" s="430" t="s">
        <v>31</v>
      </c>
      <c r="N368" s="430" t="s">
        <v>31</v>
      </c>
      <c r="O368" s="430" t="s">
        <v>21792</v>
      </c>
      <c r="P368" s="430">
        <v>2017.0</v>
      </c>
      <c r="Q368" s="430" t="s">
        <v>21793</v>
      </c>
      <c r="R368" s="430">
        <v>3.0</v>
      </c>
      <c r="S368" s="3"/>
      <c r="T368" s="3"/>
      <c r="U368" s="3"/>
      <c r="V368" s="3"/>
      <c r="W368" s="3"/>
      <c r="X368" s="3"/>
      <c r="Y368" s="3"/>
      <c r="Z368" s="3"/>
    </row>
    <row r="369" ht="15.75" customHeight="1">
      <c r="A369" s="3"/>
      <c r="B369" s="552"/>
      <c r="C369" s="433"/>
      <c r="D369" s="430" t="s">
        <v>21176</v>
      </c>
      <c r="E369" s="430"/>
      <c r="F369" s="432" t="s">
        <v>21801</v>
      </c>
      <c r="G369" s="430" t="s">
        <v>16872</v>
      </c>
      <c r="H369" s="557" t="s">
        <v>29</v>
      </c>
      <c r="I369" s="430" t="s">
        <v>30</v>
      </c>
      <c r="J369" s="430" t="s">
        <v>31</v>
      </c>
      <c r="K369" s="430" t="s">
        <v>30</v>
      </c>
      <c r="L369" s="430">
        <v>75.0</v>
      </c>
      <c r="M369" s="430" t="s">
        <v>31</v>
      </c>
      <c r="N369" s="430" t="s">
        <v>31</v>
      </c>
      <c r="O369" s="430" t="s">
        <v>21792</v>
      </c>
      <c r="P369" s="430">
        <v>2017.0</v>
      </c>
      <c r="Q369" s="430" t="s">
        <v>21793</v>
      </c>
      <c r="R369" s="430">
        <v>3.0</v>
      </c>
      <c r="S369" s="3"/>
      <c r="T369" s="3"/>
      <c r="U369" s="3"/>
      <c r="V369" s="3"/>
      <c r="W369" s="3"/>
      <c r="X369" s="3"/>
      <c r="Y369" s="3"/>
      <c r="Z369" s="3"/>
    </row>
    <row r="370" ht="15.75" customHeight="1">
      <c r="A370" s="3"/>
      <c r="B370" s="552">
        <v>345.0</v>
      </c>
      <c r="C370" s="433"/>
      <c r="D370" s="430" t="s">
        <v>21176</v>
      </c>
      <c r="E370" s="430"/>
      <c r="F370" s="432" t="s">
        <v>21802</v>
      </c>
      <c r="G370" s="430" t="s">
        <v>16872</v>
      </c>
      <c r="H370" s="557" t="s">
        <v>29</v>
      </c>
      <c r="I370" s="430" t="s">
        <v>30</v>
      </c>
      <c r="J370" s="430" t="s">
        <v>31</v>
      </c>
      <c r="K370" s="430" t="s">
        <v>30</v>
      </c>
      <c r="L370" s="430">
        <v>75.0</v>
      </c>
      <c r="M370" s="430" t="s">
        <v>31</v>
      </c>
      <c r="N370" s="430" t="s">
        <v>31</v>
      </c>
      <c r="O370" s="430" t="s">
        <v>21792</v>
      </c>
      <c r="P370" s="430">
        <v>2017.0</v>
      </c>
      <c r="Q370" s="430" t="s">
        <v>21793</v>
      </c>
      <c r="R370" s="430">
        <v>3.0</v>
      </c>
      <c r="S370" s="3"/>
      <c r="T370" s="3"/>
      <c r="U370" s="3"/>
      <c r="V370" s="3"/>
      <c r="W370" s="3"/>
      <c r="X370" s="3"/>
      <c r="Y370" s="3"/>
      <c r="Z370" s="3"/>
    </row>
    <row r="371" ht="15.75" customHeight="1">
      <c r="A371" s="3"/>
      <c r="B371" s="552">
        <v>346.0</v>
      </c>
      <c r="C371" s="433"/>
      <c r="D371" s="430" t="s">
        <v>21176</v>
      </c>
      <c r="E371" s="430"/>
      <c r="F371" s="432" t="s">
        <v>21803</v>
      </c>
      <c r="G371" s="430" t="s">
        <v>16872</v>
      </c>
      <c r="H371" s="557" t="s">
        <v>29</v>
      </c>
      <c r="I371" s="430" t="s">
        <v>30</v>
      </c>
      <c r="J371" s="430" t="s">
        <v>31</v>
      </c>
      <c r="K371" s="430" t="s">
        <v>30</v>
      </c>
      <c r="L371" s="430">
        <v>75.0</v>
      </c>
      <c r="M371" s="430" t="s">
        <v>31</v>
      </c>
      <c r="N371" s="430" t="s">
        <v>31</v>
      </c>
      <c r="O371" s="430" t="s">
        <v>21792</v>
      </c>
      <c r="P371" s="430">
        <v>2017.0</v>
      </c>
      <c r="Q371" s="430" t="s">
        <v>21793</v>
      </c>
      <c r="R371" s="430">
        <v>3.0</v>
      </c>
      <c r="S371" s="3"/>
      <c r="T371" s="3"/>
      <c r="U371" s="3"/>
      <c r="V371" s="3"/>
      <c r="W371" s="3"/>
      <c r="X371" s="3"/>
      <c r="Y371" s="3"/>
      <c r="Z371" s="3"/>
    </row>
    <row r="372" ht="15.75" customHeight="1">
      <c r="A372" s="3"/>
      <c r="B372" s="450">
        <v>345.0</v>
      </c>
      <c r="C372" s="433"/>
      <c r="D372" s="433" t="s">
        <v>21140</v>
      </c>
      <c r="E372" s="433"/>
      <c r="F372" s="434" t="s">
        <v>21804</v>
      </c>
      <c r="G372" s="433" t="s">
        <v>20948</v>
      </c>
      <c r="H372" s="342" t="s">
        <v>29</v>
      </c>
      <c r="I372" s="433" t="s">
        <v>30</v>
      </c>
      <c r="J372" s="433" t="s">
        <v>31</v>
      </c>
      <c r="K372" s="433" t="s">
        <v>30</v>
      </c>
      <c r="L372" s="433">
        <v>24.0</v>
      </c>
      <c r="M372" s="433" t="s">
        <v>31</v>
      </c>
      <c r="N372" s="433"/>
      <c r="O372" s="433" t="s">
        <v>21805</v>
      </c>
      <c r="P372" s="433">
        <v>2016.0</v>
      </c>
      <c r="Q372" s="433" t="s">
        <v>21793</v>
      </c>
      <c r="R372" s="433">
        <v>1.0</v>
      </c>
      <c r="S372" s="3"/>
      <c r="T372" s="3"/>
      <c r="U372" s="3"/>
      <c r="V372" s="3"/>
      <c r="W372" s="3"/>
      <c r="X372" s="3"/>
      <c r="Y372" s="3"/>
      <c r="Z372" s="3"/>
    </row>
    <row r="373" ht="15.75" customHeight="1">
      <c r="A373" s="3"/>
      <c r="B373" s="552"/>
      <c r="C373" s="430" t="s">
        <v>20429</v>
      </c>
      <c r="D373" s="430" t="s">
        <v>21806</v>
      </c>
      <c r="E373" s="430"/>
      <c r="F373" s="432" t="s">
        <v>21807</v>
      </c>
      <c r="G373" s="430" t="s">
        <v>20948</v>
      </c>
      <c r="H373" s="557" t="s">
        <v>29</v>
      </c>
      <c r="I373" s="430" t="s">
        <v>21808</v>
      </c>
      <c r="J373" s="430" t="s">
        <v>31</v>
      </c>
      <c r="K373" s="430" t="s">
        <v>30</v>
      </c>
      <c r="L373" s="430">
        <v>56.0</v>
      </c>
      <c r="M373" s="430"/>
      <c r="N373" s="430"/>
      <c r="O373" s="430" t="s">
        <v>3991</v>
      </c>
      <c r="P373" s="430">
        <v>2017.0</v>
      </c>
      <c r="Q373" s="430" t="s">
        <v>21793</v>
      </c>
      <c r="R373" s="430">
        <v>1.0</v>
      </c>
      <c r="S373" s="3"/>
      <c r="T373" s="3"/>
      <c r="U373" s="3"/>
      <c r="V373" s="3"/>
      <c r="W373" s="3"/>
      <c r="X373" s="3"/>
      <c r="Y373" s="3"/>
      <c r="Z373" s="3"/>
    </row>
    <row r="374" ht="15.75" customHeight="1">
      <c r="A374" s="3"/>
      <c r="B374" s="552"/>
      <c r="C374" s="430" t="s">
        <v>21809</v>
      </c>
      <c r="D374" s="430" t="s">
        <v>20310</v>
      </c>
      <c r="E374" s="430"/>
      <c r="F374" s="432" t="s">
        <v>21810</v>
      </c>
      <c r="G374" s="430" t="s">
        <v>20948</v>
      </c>
      <c r="H374" s="557" t="s">
        <v>29</v>
      </c>
      <c r="I374" s="430" t="s">
        <v>30</v>
      </c>
      <c r="J374" s="430" t="s">
        <v>31</v>
      </c>
      <c r="K374" s="430" t="s">
        <v>30</v>
      </c>
      <c r="L374" s="430">
        <v>49.0</v>
      </c>
      <c r="M374" s="430"/>
      <c r="N374" s="430"/>
      <c r="O374" s="430" t="s">
        <v>3991</v>
      </c>
      <c r="P374" s="430">
        <v>2017.0</v>
      </c>
      <c r="Q374" s="430" t="s">
        <v>388</v>
      </c>
      <c r="R374" s="430">
        <v>1.0</v>
      </c>
      <c r="S374" s="3"/>
      <c r="T374" s="3"/>
      <c r="U374" s="3"/>
      <c r="V374" s="3"/>
      <c r="W374" s="3"/>
      <c r="X374" s="3"/>
      <c r="Y374" s="3"/>
      <c r="Z374" s="3"/>
    </row>
    <row r="375" ht="15.75" customHeight="1">
      <c r="A375" s="3"/>
      <c r="B375" s="552"/>
      <c r="C375" s="430"/>
      <c r="D375" s="430" t="s">
        <v>21811</v>
      </c>
      <c r="E375" s="430"/>
      <c r="F375" s="432" t="s">
        <v>21812</v>
      </c>
      <c r="G375" s="430" t="s">
        <v>16872</v>
      </c>
      <c r="H375" s="557" t="s">
        <v>29</v>
      </c>
      <c r="I375" s="430" t="s">
        <v>30</v>
      </c>
      <c r="J375" s="430"/>
      <c r="K375" s="430" t="s">
        <v>30</v>
      </c>
      <c r="L375" s="430">
        <v>60.0</v>
      </c>
      <c r="M375" s="430"/>
      <c r="N375" s="430" t="s">
        <v>8415</v>
      </c>
      <c r="O375" s="430" t="s">
        <v>9196</v>
      </c>
      <c r="P375" s="430" t="s">
        <v>31</v>
      </c>
      <c r="Q375" s="430" t="s">
        <v>388</v>
      </c>
      <c r="R375" s="430">
        <v>1.0</v>
      </c>
      <c r="S375" s="3"/>
      <c r="T375" s="3"/>
      <c r="U375" s="3"/>
      <c r="V375" s="3"/>
      <c r="W375" s="3"/>
      <c r="X375" s="3"/>
      <c r="Y375" s="3"/>
      <c r="Z375" s="3"/>
    </row>
    <row r="376" ht="15.75" customHeight="1">
      <c r="A376" s="3"/>
      <c r="B376" s="552"/>
      <c r="C376" s="430" t="s">
        <v>21813</v>
      </c>
      <c r="D376" s="430" t="s">
        <v>21814</v>
      </c>
      <c r="E376" s="430"/>
      <c r="F376" s="432" t="s">
        <v>21815</v>
      </c>
      <c r="G376" s="430" t="s">
        <v>21816</v>
      </c>
      <c r="H376" s="557" t="s">
        <v>2222</v>
      </c>
      <c r="I376" s="430" t="s">
        <v>30</v>
      </c>
      <c r="J376" s="430"/>
      <c r="K376" s="430" t="s">
        <v>30</v>
      </c>
      <c r="L376" s="430">
        <v>181.0</v>
      </c>
      <c r="M376" s="430"/>
      <c r="N376" s="430" t="s">
        <v>8415</v>
      </c>
      <c r="O376" s="430" t="s">
        <v>9196</v>
      </c>
      <c r="P376" s="430">
        <v>2002.0</v>
      </c>
      <c r="Q376" s="430" t="s">
        <v>388</v>
      </c>
      <c r="R376" s="430">
        <v>1.0</v>
      </c>
      <c r="S376" s="3"/>
      <c r="T376" s="3"/>
      <c r="U376" s="3"/>
      <c r="V376" s="3"/>
      <c r="W376" s="3"/>
      <c r="X376" s="3"/>
      <c r="Y376" s="3"/>
      <c r="Z376" s="3"/>
    </row>
    <row r="377" ht="15.75" customHeight="1">
      <c r="A377" s="3"/>
      <c r="B377" s="552"/>
      <c r="C377" s="430"/>
      <c r="D377" s="430" t="s">
        <v>21817</v>
      </c>
      <c r="E377" s="430"/>
      <c r="F377" s="432" t="s">
        <v>21818</v>
      </c>
      <c r="G377" s="430" t="s">
        <v>16872</v>
      </c>
      <c r="H377" s="557" t="s">
        <v>2222</v>
      </c>
      <c r="I377" s="430" t="s">
        <v>30</v>
      </c>
      <c r="J377" s="430"/>
      <c r="K377" s="430" t="s">
        <v>30</v>
      </c>
      <c r="L377" s="430">
        <v>36.0</v>
      </c>
      <c r="M377" s="430"/>
      <c r="N377" s="430" t="s">
        <v>31</v>
      </c>
      <c r="O377" s="430" t="s">
        <v>9196</v>
      </c>
      <c r="P377" s="430">
        <v>2016.0</v>
      </c>
      <c r="Q377" s="430" t="s">
        <v>388</v>
      </c>
      <c r="R377" s="430">
        <v>1.0</v>
      </c>
      <c r="S377" s="3"/>
      <c r="T377" s="3"/>
      <c r="U377" s="3"/>
      <c r="V377" s="3"/>
      <c r="W377" s="3"/>
      <c r="X377" s="3"/>
      <c r="Y377" s="3"/>
      <c r="Z377" s="3"/>
    </row>
    <row r="378" ht="15.75" customHeight="1">
      <c r="A378" s="3"/>
      <c r="B378" s="552"/>
      <c r="C378" s="430"/>
      <c r="D378" s="430" t="s">
        <v>21817</v>
      </c>
      <c r="E378" s="430"/>
      <c r="F378" s="432" t="s">
        <v>21819</v>
      </c>
      <c r="G378" s="430" t="s">
        <v>16872</v>
      </c>
      <c r="H378" s="557" t="s">
        <v>2222</v>
      </c>
      <c r="I378" s="430" t="s">
        <v>30</v>
      </c>
      <c r="J378" s="430"/>
      <c r="K378" s="430" t="s">
        <v>30</v>
      </c>
      <c r="L378" s="430">
        <v>36.0</v>
      </c>
      <c r="M378" s="430"/>
      <c r="N378" s="430" t="s">
        <v>31</v>
      </c>
      <c r="O378" s="430" t="s">
        <v>9196</v>
      </c>
      <c r="P378" s="430">
        <v>2016.0</v>
      </c>
      <c r="Q378" s="430" t="s">
        <v>388</v>
      </c>
      <c r="R378" s="430">
        <v>1.0</v>
      </c>
      <c r="S378" s="3"/>
      <c r="T378" s="3"/>
      <c r="U378" s="3"/>
      <c r="V378" s="3"/>
      <c r="W378" s="3"/>
      <c r="X378" s="3"/>
      <c r="Y378" s="3"/>
      <c r="Z378" s="3"/>
    </row>
    <row r="379" ht="15.75" customHeight="1">
      <c r="A379" s="3"/>
      <c r="B379" s="552"/>
      <c r="C379" s="430"/>
      <c r="D379" s="430" t="s">
        <v>21817</v>
      </c>
      <c r="E379" s="430"/>
      <c r="F379" s="432" t="s">
        <v>21820</v>
      </c>
      <c r="G379" s="430" t="s">
        <v>16872</v>
      </c>
      <c r="H379" s="557" t="s">
        <v>2222</v>
      </c>
      <c r="I379" s="430" t="s">
        <v>30</v>
      </c>
      <c r="J379" s="430"/>
      <c r="K379" s="430" t="s">
        <v>30</v>
      </c>
      <c r="L379" s="430">
        <v>36.0</v>
      </c>
      <c r="M379" s="430"/>
      <c r="N379" s="430" t="s">
        <v>31</v>
      </c>
      <c r="O379" s="430" t="s">
        <v>9196</v>
      </c>
      <c r="P379" s="430">
        <v>2016.0</v>
      </c>
      <c r="Q379" s="430" t="s">
        <v>388</v>
      </c>
      <c r="R379" s="430">
        <v>1.0</v>
      </c>
      <c r="S379" s="3"/>
      <c r="T379" s="3"/>
      <c r="U379" s="3"/>
      <c r="V379" s="3"/>
      <c r="W379" s="3"/>
      <c r="X379" s="3"/>
      <c r="Y379" s="3"/>
      <c r="Z379" s="3"/>
    </row>
    <row r="380" ht="15.75" customHeight="1">
      <c r="A380" s="3"/>
      <c r="B380" s="552"/>
      <c r="C380" s="604"/>
      <c r="D380" s="430" t="s">
        <v>20593</v>
      </c>
      <c r="E380" s="430"/>
      <c r="F380" s="432" t="s">
        <v>21821</v>
      </c>
      <c r="G380" s="430" t="s">
        <v>16872</v>
      </c>
      <c r="H380" s="557" t="s">
        <v>29</v>
      </c>
      <c r="I380" s="430" t="s">
        <v>30</v>
      </c>
      <c r="J380" s="430"/>
      <c r="K380" s="430" t="s">
        <v>30</v>
      </c>
      <c r="L380" s="430">
        <v>30.0</v>
      </c>
      <c r="M380" s="430"/>
      <c r="N380" s="430"/>
      <c r="O380" s="430" t="s">
        <v>21822</v>
      </c>
      <c r="P380" s="430">
        <v>2017.0</v>
      </c>
      <c r="Q380" s="430" t="s">
        <v>388</v>
      </c>
      <c r="R380" s="430">
        <v>2.0</v>
      </c>
      <c r="S380" s="3"/>
      <c r="T380" s="3"/>
      <c r="U380" s="3"/>
      <c r="V380" s="3"/>
      <c r="W380" s="3"/>
      <c r="X380" s="3"/>
      <c r="Y380" s="3"/>
      <c r="Z380" s="3"/>
    </row>
    <row r="381" ht="15.75" customHeight="1">
      <c r="A381" s="3"/>
      <c r="B381" s="552"/>
      <c r="C381" s="941"/>
      <c r="D381" s="433" t="s">
        <v>21195</v>
      </c>
      <c r="E381" s="322"/>
      <c r="F381" s="847" t="s">
        <v>21823</v>
      </c>
      <c r="G381" s="322"/>
      <c r="H381" s="306" t="s">
        <v>29</v>
      </c>
      <c r="I381" s="522" t="s">
        <v>30</v>
      </c>
      <c r="J381" s="322"/>
      <c r="K381" s="522" t="s">
        <v>30</v>
      </c>
      <c r="L381" s="522">
        <v>22.0</v>
      </c>
      <c r="M381" s="322"/>
      <c r="N381" s="522" t="s">
        <v>21824</v>
      </c>
      <c r="O381" s="522" t="s">
        <v>21825</v>
      </c>
      <c r="P381" s="522">
        <v>2023.0</v>
      </c>
      <c r="Q381" s="522" t="s">
        <v>21826</v>
      </c>
      <c r="R381" s="522">
        <v>2.0</v>
      </c>
      <c r="S381" s="3"/>
      <c r="T381" s="3"/>
      <c r="U381" s="3"/>
      <c r="V381" s="3"/>
      <c r="W381" s="3"/>
      <c r="X381" s="3"/>
      <c r="Y381" s="3"/>
      <c r="Z381" s="3"/>
    </row>
    <row r="382" ht="15.75" customHeight="1">
      <c r="A382" s="3"/>
      <c r="B382" s="552"/>
      <c r="C382" s="941"/>
      <c r="D382" s="522" t="s">
        <v>21827</v>
      </c>
      <c r="E382" s="322"/>
      <c r="F382" s="847" t="s">
        <v>21828</v>
      </c>
      <c r="G382" s="322"/>
      <c r="H382" s="306" t="s">
        <v>29</v>
      </c>
      <c r="I382" s="522" t="s">
        <v>30</v>
      </c>
      <c r="J382" s="322"/>
      <c r="K382" s="522" t="s">
        <v>30</v>
      </c>
      <c r="L382" s="522">
        <v>18.0</v>
      </c>
      <c r="M382" s="322"/>
      <c r="N382" s="522" t="s">
        <v>21824</v>
      </c>
      <c r="O382" s="522" t="s">
        <v>21825</v>
      </c>
      <c r="P382" s="522">
        <v>2023.0</v>
      </c>
      <c r="Q382" s="522" t="s">
        <v>21826</v>
      </c>
      <c r="R382" s="522">
        <v>2.0</v>
      </c>
      <c r="S382" s="3"/>
      <c r="T382" s="3"/>
      <c r="U382" s="3"/>
      <c r="V382" s="3"/>
      <c r="W382" s="3"/>
      <c r="X382" s="3"/>
      <c r="Y382" s="3"/>
      <c r="Z382" s="3"/>
    </row>
    <row r="383" ht="15.75" customHeight="1">
      <c r="A383" s="3"/>
      <c r="B383" s="79"/>
      <c r="C383" s="186"/>
      <c r="D383" s="415" t="s">
        <v>20599</v>
      </c>
      <c r="E383" s="186"/>
      <c r="F383" s="35" t="s">
        <v>21829</v>
      </c>
      <c r="G383" s="191" t="s">
        <v>16872</v>
      </c>
      <c r="H383" s="31" t="s">
        <v>29</v>
      </c>
      <c r="I383" s="191" t="s">
        <v>30</v>
      </c>
      <c r="J383" s="186"/>
      <c r="K383" s="191" t="s">
        <v>30</v>
      </c>
      <c r="L383" s="186"/>
      <c r="M383" s="186"/>
      <c r="N383" s="186"/>
      <c r="O383" s="191" t="s">
        <v>21655</v>
      </c>
      <c r="P383" s="191">
        <v>2023.0</v>
      </c>
      <c r="Q383" s="186"/>
      <c r="R383" s="191">
        <v>2.0</v>
      </c>
      <c r="S383" s="3"/>
      <c r="T383" s="3"/>
      <c r="U383" s="3"/>
      <c r="V383" s="3"/>
      <c r="W383" s="3"/>
      <c r="X383" s="3"/>
      <c r="Y383" s="3"/>
      <c r="Z383" s="3"/>
    </row>
    <row r="384" ht="15.75" customHeight="1">
      <c r="A384" s="3"/>
      <c r="B384" s="79"/>
      <c r="C384" s="186"/>
      <c r="D384" s="415" t="s">
        <v>20599</v>
      </c>
      <c r="E384" s="186"/>
      <c r="F384" s="35" t="s">
        <v>21830</v>
      </c>
      <c r="G384" s="191" t="s">
        <v>16872</v>
      </c>
      <c r="H384" s="31" t="s">
        <v>29</v>
      </c>
      <c r="I384" s="191" t="s">
        <v>30</v>
      </c>
      <c r="J384" s="186"/>
      <c r="K384" s="191" t="s">
        <v>30</v>
      </c>
      <c r="L384" s="186"/>
      <c r="M384" s="186"/>
      <c r="N384" s="186"/>
      <c r="O384" s="191" t="s">
        <v>21655</v>
      </c>
      <c r="P384" s="191">
        <v>2023.0</v>
      </c>
      <c r="Q384" s="186"/>
      <c r="R384" s="191">
        <v>2.0</v>
      </c>
      <c r="S384" s="3"/>
      <c r="T384" s="3"/>
      <c r="U384" s="3"/>
      <c r="V384" s="3"/>
      <c r="W384" s="3"/>
      <c r="X384" s="3"/>
      <c r="Y384" s="3"/>
      <c r="Z384" s="3"/>
    </row>
    <row r="385" ht="15.75" customHeight="1">
      <c r="A385" s="3"/>
      <c r="B385" s="552"/>
      <c r="C385" s="433"/>
      <c r="D385" s="415" t="s">
        <v>20599</v>
      </c>
      <c r="E385" s="186"/>
      <c r="F385" s="35" t="s">
        <v>21831</v>
      </c>
      <c r="G385" s="191" t="s">
        <v>16872</v>
      </c>
      <c r="H385" s="31" t="s">
        <v>29</v>
      </c>
      <c r="I385" s="191" t="s">
        <v>30</v>
      </c>
      <c r="J385" s="186"/>
      <c r="K385" s="191" t="s">
        <v>30</v>
      </c>
      <c r="L385" s="186"/>
      <c r="M385" s="186"/>
      <c r="N385" s="186"/>
      <c r="O385" s="191" t="s">
        <v>21655</v>
      </c>
      <c r="P385" s="191">
        <v>2023.0</v>
      </c>
      <c r="Q385" s="186"/>
      <c r="R385" s="191">
        <v>2.0</v>
      </c>
      <c r="S385" s="3"/>
      <c r="T385" s="3"/>
      <c r="U385" s="3"/>
      <c r="V385" s="3"/>
      <c r="W385" s="3"/>
      <c r="X385" s="3"/>
      <c r="Y385" s="3"/>
      <c r="Z385" s="3"/>
    </row>
    <row r="386" ht="15.75" customHeight="1">
      <c r="A386" s="3"/>
      <c r="B386" s="552"/>
      <c r="C386" s="433"/>
      <c r="D386" s="433"/>
      <c r="E386" s="433"/>
      <c r="F386" s="434"/>
      <c r="G386" s="433"/>
      <c r="H386" s="342"/>
      <c r="I386" s="433"/>
      <c r="J386" s="433"/>
      <c r="K386" s="433"/>
      <c r="L386" s="433"/>
      <c r="M386" s="433"/>
      <c r="N386" s="433"/>
      <c r="O386" s="433"/>
      <c r="P386" s="433"/>
      <c r="Q386" s="433"/>
      <c r="R386" s="433"/>
      <c r="S386" s="3"/>
      <c r="T386" s="3"/>
      <c r="U386" s="3"/>
      <c r="V386" s="3"/>
      <c r="W386" s="3"/>
      <c r="X386" s="3"/>
      <c r="Y386" s="3"/>
      <c r="Z386" s="3"/>
    </row>
    <row r="387" ht="15.75" customHeight="1">
      <c r="A387" s="3"/>
      <c r="B387" s="552"/>
      <c r="C387" s="433"/>
      <c r="D387" s="433"/>
      <c r="E387" s="433"/>
      <c r="F387" s="434"/>
      <c r="G387" s="433"/>
      <c r="H387" s="342"/>
      <c r="I387" s="433"/>
      <c r="J387" s="433"/>
      <c r="K387" s="433"/>
      <c r="L387" s="433"/>
      <c r="M387" s="433"/>
      <c r="N387" s="433"/>
      <c r="O387" s="433"/>
      <c r="P387" s="433"/>
      <c r="Q387" s="433"/>
      <c r="R387" s="433"/>
      <c r="S387" s="3"/>
      <c r="T387" s="3"/>
      <c r="U387" s="3"/>
      <c r="V387" s="3"/>
      <c r="W387" s="3"/>
      <c r="X387" s="3"/>
      <c r="Y387" s="3"/>
      <c r="Z387" s="3"/>
    </row>
    <row r="388" ht="15.75" customHeight="1">
      <c r="A388" s="3"/>
      <c r="B388" s="552"/>
      <c r="C388" s="433"/>
      <c r="D388" s="433"/>
      <c r="E388" s="433"/>
      <c r="F388" s="434"/>
      <c r="G388" s="433"/>
      <c r="H388" s="342"/>
      <c r="I388" s="433"/>
      <c r="J388" s="433"/>
      <c r="K388" s="433"/>
      <c r="L388" s="433"/>
      <c r="M388" s="433"/>
      <c r="N388" s="433"/>
      <c r="O388" s="433"/>
      <c r="P388" s="433"/>
      <c r="Q388" s="433"/>
      <c r="R388" s="433"/>
      <c r="S388" s="3"/>
      <c r="T388" s="3"/>
      <c r="U388" s="3"/>
      <c r="V388" s="3"/>
      <c r="W388" s="3"/>
      <c r="X388" s="3"/>
      <c r="Y388" s="3"/>
      <c r="Z388" s="3"/>
    </row>
    <row r="389" ht="15.75" customHeight="1">
      <c r="A389" s="3"/>
      <c r="B389" s="552"/>
      <c r="C389" s="433"/>
      <c r="D389" s="433"/>
      <c r="E389" s="433"/>
      <c r="F389" s="434"/>
      <c r="G389" s="433"/>
      <c r="H389" s="342"/>
      <c r="I389" s="433"/>
      <c r="J389" s="433"/>
      <c r="K389" s="433"/>
      <c r="L389" s="433"/>
      <c r="M389" s="433"/>
      <c r="N389" s="433"/>
      <c r="O389" s="433"/>
      <c r="P389" s="433"/>
      <c r="Q389" s="433"/>
      <c r="R389" s="433"/>
      <c r="S389" s="3"/>
      <c r="T389" s="3"/>
      <c r="U389" s="3"/>
      <c r="V389" s="3"/>
      <c r="W389" s="3"/>
      <c r="X389" s="3"/>
      <c r="Y389" s="3"/>
      <c r="Z389" s="3"/>
    </row>
    <row r="390" ht="15.75" customHeight="1">
      <c r="A390" s="3"/>
      <c r="B390" s="552"/>
      <c r="C390" s="433"/>
      <c r="D390" s="433"/>
      <c r="E390" s="433"/>
      <c r="F390" s="434"/>
      <c r="G390" s="433"/>
      <c r="H390" s="342"/>
      <c r="I390" s="433"/>
      <c r="J390" s="433"/>
      <c r="K390" s="433"/>
      <c r="L390" s="433"/>
      <c r="M390" s="433"/>
      <c r="N390" s="433"/>
      <c r="O390" s="433"/>
      <c r="P390" s="433"/>
      <c r="Q390" s="433"/>
      <c r="R390" s="433"/>
      <c r="S390" s="3"/>
      <c r="T390" s="3"/>
      <c r="U390" s="3"/>
      <c r="V390" s="3"/>
      <c r="W390" s="3"/>
      <c r="X390" s="3"/>
      <c r="Y390" s="3"/>
      <c r="Z390" s="3"/>
    </row>
    <row r="391" ht="15.75" customHeight="1">
      <c r="A391" s="3"/>
      <c r="B391" s="552"/>
      <c r="C391" s="433"/>
      <c r="D391" s="433"/>
      <c r="E391" s="433"/>
      <c r="F391" s="434"/>
      <c r="G391" s="433"/>
      <c r="H391" s="342"/>
      <c r="I391" s="433"/>
      <c r="J391" s="433"/>
      <c r="K391" s="433"/>
      <c r="L391" s="433"/>
      <c r="M391" s="433"/>
      <c r="N391" s="433"/>
      <c r="O391" s="433"/>
      <c r="P391" s="433"/>
      <c r="Q391" s="433"/>
      <c r="R391" s="433"/>
      <c r="S391" s="3"/>
      <c r="T391" s="3"/>
      <c r="U391" s="3"/>
      <c r="V391" s="3"/>
      <c r="W391" s="3"/>
      <c r="X391" s="3"/>
      <c r="Y391" s="3"/>
      <c r="Z391" s="3"/>
    </row>
    <row r="392" ht="15.75" customHeight="1">
      <c r="A392" s="3"/>
      <c r="B392" s="552"/>
      <c r="C392" s="433"/>
      <c r="D392" s="433"/>
      <c r="E392" s="433"/>
      <c r="F392" s="434"/>
      <c r="G392" s="433"/>
      <c r="H392" s="342"/>
      <c r="I392" s="433"/>
      <c r="J392" s="433"/>
      <c r="K392" s="433"/>
      <c r="L392" s="433"/>
      <c r="M392" s="433"/>
      <c r="N392" s="433"/>
      <c r="O392" s="433"/>
      <c r="P392" s="433"/>
      <c r="Q392" s="433"/>
      <c r="R392" s="433"/>
      <c r="S392" s="3"/>
      <c r="T392" s="3"/>
      <c r="U392" s="3"/>
      <c r="V392" s="3"/>
      <c r="W392" s="3"/>
      <c r="X392" s="3"/>
      <c r="Y392" s="3"/>
      <c r="Z392" s="3"/>
    </row>
    <row r="393" ht="15.75" customHeight="1">
      <c r="A393" s="3"/>
      <c r="B393" s="552"/>
      <c r="C393" s="433"/>
      <c r="D393" s="433"/>
      <c r="E393" s="433"/>
      <c r="F393" s="434"/>
      <c r="G393" s="433"/>
      <c r="H393" s="342"/>
      <c r="I393" s="433"/>
      <c r="J393" s="433"/>
      <c r="K393" s="433"/>
      <c r="L393" s="433"/>
      <c r="M393" s="433"/>
      <c r="N393" s="433"/>
      <c r="O393" s="433"/>
      <c r="P393" s="433"/>
      <c r="Q393" s="433"/>
      <c r="R393" s="433"/>
      <c r="S393" s="3"/>
      <c r="T393" s="3"/>
      <c r="U393" s="3"/>
      <c r="V393" s="3"/>
      <c r="W393" s="3"/>
      <c r="X393" s="3"/>
      <c r="Y393" s="3"/>
      <c r="Z393" s="3"/>
    </row>
    <row r="394" ht="15.75" customHeight="1">
      <c r="A394" s="3"/>
      <c r="B394" s="552"/>
      <c r="C394" s="433"/>
      <c r="D394" s="433"/>
      <c r="E394" s="433"/>
      <c r="F394" s="434"/>
      <c r="G394" s="433"/>
      <c r="H394" s="342"/>
      <c r="I394" s="433"/>
      <c r="J394" s="433"/>
      <c r="K394" s="433"/>
      <c r="L394" s="433"/>
      <c r="M394" s="433"/>
      <c r="N394" s="433"/>
      <c r="O394" s="433"/>
      <c r="P394" s="433"/>
      <c r="Q394" s="433"/>
      <c r="R394" s="433"/>
      <c r="S394" s="3"/>
      <c r="T394" s="3"/>
      <c r="U394" s="3"/>
      <c r="V394" s="3"/>
      <c r="W394" s="3"/>
      <c r="X394" s="3"/>
      <c r="Y394" s="3"/>
      <c r="Z394" s="3"/>
    </row>
    <row r="395" ht="15.75" customHeight="1">
      <c r="A395" s="3"/>
      <c r="B395" s="552"/>
      <c r="C395" s="433"/>
      <c r="D395" s="433"/>
      <c r="E395" s="433"/>
      <c r="F395" s="434"/>
      <c r="G395" s="433"/>
      <c r="H395" s="342"/>
      <c r="I395" s="433"/>
      <c r="J395" s="433"/>
      <c r="K395" s="433"/>
      <c r="L395" s="433"/>
      <c r="M395" s="433"/>
      <c r="N395" s="433"/>
      <c r="O395" s="433"/>
      <c r="P395" s="433"/>
      <c r="Q395" s="433"/>
      <c r="R395" s="433"/>
      <c r="S395" s="3"/>
      <c r="T395" s="3"/>
      <c r="U395" s="3"/>
      <c r="V395" s="3"/>
      <c r="W395" s="3"/>
      <c r="X395" s="3"/>
      <c r="Y395" s="3"/>
      <c r="Z395" s="3"/>
    </row>
    <row r="396" ht="15.75" customHeight="1">
      <c r="A396" s="3"/>
      <c r="B396" s="552"/>
      <c r="C396" s="433"/>
      <c r="D396" s="433"/>
      <c r="E396" s="433"/>
      <c r="F396" s="434"/>
      <c r="G396" s="433"/>
      <c r="H396" s="342"/>
      <c r="I396" s="433"/>
      <c r="J396" s="433"/>
      <c r="K396" s="433"/>
      <c r="L396" s="433"/>
      <c r="M396" s="433"/>
      <c r="N396" s="433"/>
      <c r="O396" s="433"/>
      <c r="P396" s="433"/>
      <c r="Q396" s="433"/>
      <c r="R396" s="433"/>
      <c r="S396" s="3"/>
      <c r="T396" s="3"/>
      <c r="U396" s="3"/>
      <c r="V396" s="3"/>
      <c r="W396" s="3"/>
      <c r="X396" s="3"/>
      <c r="Y396" s="3"/>
      <c r="Z396" s="3"/>
    </row>
    <row r="397" ht="15.75" customHeight="1">
      <c r="A397" s="3"/>
      <c r="B397" s="552"/>
      <c r="C397" s="433"/>
      <c r="D397" s="433"/>
      <c r="E397" s="433"/>
      <c r="F397" s="434"/>
      <c r="G397" s="433"/>
      <c r="H397" s="342"/>
      <c r="I397" s="433"/>
      <c r="J397" s="433"/>
      <c r="K397" s="433"/>
      <c r="L397" s="433"/>
      <c r="M397" s="433"/>
      <c r="N397" s="433"/>
      <c r="O397" s="433"/>
      <c r="P397" s="433"/>
      <c r="Q397" s="433"/>
      <c r="R397" s="433"/>
      <c r="S397" s="3"/>
      <c r="T397" s="3"/>
      <c r="U397" s="3"/>
      <c r="V397" s="3"/>
      <c r="W397" s="3"/>
      <c r="X397" s="3"/>
      <c r="Y397" s="3"/>
      <c r="Z397" s="3"/>
    </row>
    <row r="398" ht="15.75" customHeight="1">
      <c r="A398" s="3"/>
      <c r="B398" s="552"/>
      <c r="C398" s="433"/>
      <c r="D398" s="433"/>
      <c r="E398" s="433"/>
      <c r="F398" s="434"/>
      <c r="G398" s="433"/>
      <c r="H398" s="342"/>
      <c r="I398" s="433"/>
      <c r="J398" s="433"/>
      <c r="K398" s="433"/>
      <c r="L398" s="433"/>
      <c r="M398" s="433"/>
      <c r="N398" s="433"/>
      <c r="O398" s="433"/>
      <c r="P398" s="433"/>
      <c r="Q398" s="433"/>
      <c r="R398" s="433"/>
      <c r="S398" s="3"/>
      <c r="T398" s="3"/>
      <c r="U398" s="3"/>
      <c r="V398" s="3"/>
      <c r="W398" s="3"/>
      <c r="X398" s="3"/>
      <c r="Y398" s="3"/>
      <c r="Z398" s="3"/>
    </row>
    <row r="399" ht="15.75" customHeight="1">
      <c r="A399" s="3"/>
      <c r="B399" s="552"/>
      <c r="C399" s="433"/>
      <c r="D399" s="433"/>
      <c r="E399" s="433"/>
      <c r="F399" s="434"/>
      <c r="G399" s="433"/>
      <c r="H399" s="342"/>
      <c r="I399" s="433"/>
      <c r="J399" s="433"/>
      <c r="K399" s="433"/>
      <c r="L399" s="433"/>
      <c r="M399" s="433"/>
      <c r="N399" s="433"/>
      <c r="O399" s="433"/>
      <c r="P399" s="433"/>
      <c r="Q399" s="433"/>
      <c r="R399" s="433"/>
      <c r="S399" s="3"/>
      <c r="T399" s="3"/>
      <c r="U399" s="3"/>
      <c r="V399" s="3"/>
      <c r="W399" s="3"/>
      <c r="X399" s="3"/>
      <c r="Y399" s="3"/>
      <c r="Z399" s="3"/>
    </row>
    <row r="400" ht="15.75" customHeight="1">
      <c r="A400" s="3"/>
      <c r="B400" s="552"/>
      <c r="C400" s="433"/>
      <c r="D400" s="433"/>
      <c r="E400" s="433"/>
      <c r="F400" s="434"/>
      <c r="G400" s="433"/>
      <c r="H400" s="342"/>
      <c r="I400" s="433"/>
      <c r="J400" s="433"/>
      <c r="K400" s="433"/>
      <c r="L400" s="433"/>
      <c r="M400" s="433"/>
      <c r="N400" s="433"/>
      <c r="O400" s="433"/>
      <c r="P400" s="433"/>
      <c r="Q400" s="433"/>
      <c r="R400" s="433"/>
      <c r="S400" s="3"/>
      <c r="T400" s="3"/>
      <c r="U400" s="3"/>
      <c r="V400" s="3"/>
      <c r="W400" s="3"/>
      <c r="X400" s="3"/>
      <c r="Y400" s="3"/>
      <c r="Z400" s="3"/>
    </row>
    <row r="401" ht="15.75" customHeight="1">
      <c r="A401" s="3"/>
      <c r="B401" s="552"/>
      <c r="C401" s="433"/>
      <c r="D401" s="433"/>
      <c r="E401" s="433"/>
      <c r="F401" s="434"/>
      <c r="G401" s="433"/>
      <c r="H401" s="342"/>
      <c r="I401" s="433"/>
      <c r="J401" s="433"/>
      <c r="K401" s="433"/>
      <c r="L401" s="433"/>
      <c r="M401" s="433"/>
      <c r="N401" s="433"/>
      <c r="O401" s="433"/>
      <c r="P401" s="433"/>
      <c r="Q401" s="433"/>
      <c r="R401" s="433"/>
      <c r="S401" s="3"/>
      <c r="T401" s="3"/>
      <c r="U401" s="3"/>
      <c r="V401" s="3"/>
      <c r="W401" s="3"/>
      <c r="X401" s="3"/>
      <c r="Y401" s="3"/>
      <c r="Z401" s="3"/>
    </row>
    <row r="402" ht="15.75" customHeight="1">
      <c r="A402" s="3"/>
      <c r="B402" s="552"/>
      <c r="C402" s="433"/>
      <c r="D402" s="433"/>
      <c r="E402" s="433"/>
      <c r="F402" s="434"/>
      <c r="G402" s="433"/>
      <c r="H402" s="342"/>
      <c r="I402" s="433"/>
      <c r="J402" s="433"/>
      <c r="K402" s="433"/>
      <c r="L402" s="433"/>
      <c r="M402" s="433"/>
      <c r="N402" s="433"/>
      <c r="O402" s="433"/>
      <c r="P402" s="433"/>
      <c r="Q402" s="433"/>
      <c r="R402" s="433"/>
      <c r="S402" s="3"/>
      <c r="T402" s="3"/>
      <c r="U402" s="3"/>
      <c r="V402" s="3"/>
      <c r="W402" s="3"/>
      <c r="X402" s="3"/>
      <c r="Y402" s="3"/>
      <c r="Z402" s="3"/>
    </row>
    <row r="403" ht="15.75" customHeight="1">
      <c r="A403" s="3"/>
      <c r="B403" s="552"/>
      <c r="C403" s="433"/>
      <c r="D403" s="433"/>
      <c r="E403" s="433"/>
      <c r="F403" s="434"/>
      <c r="G403" s="433"/>
      <c r="H403" s="342"/>
      <c r="I403" s="433"/>
      <c r="J403" s="433"/>
      <c r="K403" s="433"/>
      <c r="L403" s="433"/>
      <c r="M403" s="433"/>
      <c r="N403" s="433"/>
      <c r="O403" s="433"/>
      <c r="P403" s="433"/>
      <c r="Q403" s="433"/>
      <c r="R403" s="433"/>
      <c r="S403" s="3"/>
      <c r="T403" s="3"/>
      <c r="U403" s="3"/>
      <c r="V403" s="3"/>
      <c r="W403" s="3"/>
      <c r="X403" s="3"/>
      <c r="Y403" s="3"/>
      <c r="Z403" s="3"/>
    </row>
    <row r="404" ht="15.75" customHeight="1">
      <c r="A404" s="3"/>
      <c r="B404" s="552"/>
      <c r="C404" s="433"/>
      <c r="D404" s="433"/>
      <c r="E404" s="433"/>
      <c r="F404" s="434"/>
      <c r="G404" s="433"/>
      <c r="H404" s="342"/>
      <c r="I404" s="433"/>
      <c r="J404" s="433"/>
      <c r="K404" s="433"/>
      <c r="L404" s="433"/>
      <c r="M404" s="433"/>
      <c r="N404" s="433"/>
      <c r="O404" s="433"/>
      <c r="P404" s="433"/>
      <c r="Q404" s="433"/>
      <c r="R404" s="433"/>
      <c r="S404" s="3"/>
      <c r="T404" s="3"/>
      <c r="U404" s="3"/>
      <c r="V404" s="3"/>
      <c r="W404" s="3"/>
      <c r="X404" s="3"/>
      <c r="Y404" s="3"/>
      <c r="Z404" s="3"/>
    </row>
    <row r="405" ht="15.75" customHeight="1">
      <c r="A405" s="3"/>
      <c r="B405" s="450"/>
      <c r="C405" s="449"/>
      <c r="D405" s="450"/>
      <c r="E405" s="450"/>
      <c r="F405" s="523"/>
      <c r="G405" s="450"/>
      <c r="H405" s="450"/>
      <c r="I405" s="450"/>
      <c r="J405" s="450"/>
      <c r="K405" s="450"/>
      <c r="L405" s="450"/>
      <c r="M405" s="450"/>
      <c r="N405" s="450"/>
      <c r="O405" s="15" t="s">
        <v>13862</v>
      </c>
      <c r="P405" s="16"/>
      <c r="Q405" s="17"/>
      <c r="R405" s="452">
        <f>SUM(R6:R404)</f>
        <v>611</v>
      </c>
      <c r="S405" s="3"/>
      <c r="T405" s="3"/>
      <c r="U405" s="3"/>
      <c r="V405" s="3"/>
      <c r="W405" s="3"/>
      <c r="X405" s="3"/>
      <c r="Y405" s="3"/>
      <c r="Z405" s="3"/>
    </row>
    <row r="406" ht="15.75" customHeight="1">
      <c r="A406" s="3"/>
      <c r="B406" s="454"/>
      <c r="C406" s="455"/>
      <c r="D406" s="455"/>
      <c r="E406" s="455"/>
      <c r="F406" s="455"/>
      <c r="G406" s="455"/>
      <c r="H406" s="455"/>
      <c r="I406" s="455"/>
      <c r="J406" s="455"/>
      <c r="K406" s="455"/>
      <c r="L406" s="455"/>
      <c r="M406" s="455"/>
      <c r="N406" s="455"/>
      <c r="O406" s="455"/>
      <c r="P406" s="455"/>
      <c r="Q406" s="455"/>
      <c r="R406" s="456"/>
      <c r="S406" s="3"/>
      <c r="T406" s="3"/>
      <c r="U406" s="3"/>
      <c r="V406" s="3"/>
      <c r="W406" s="3"/>
      <c r="X406" s="3"/>
      <c r="Y406" s="3"/>
      <c r="Z406" s="3"/>
    </row>
    <row r="407" ht="15.75" customHeight="1">
      <c r="A407" s="3"/>
      <c r="B407" s="457" t="s">
        <v>14257</v>
      </c>
      <c r="C407" s="6"/>
      <c r="D407" s="6"/>
      <c r="E407" s="6"/>
      <c r="F407" s="6"/>
      <c r="G407" s="6"/>
      <c r="H407" s="6"/>
      <c r="I407" s="6"/>
      <c r="J407" s="6"/>
      <c r="K407" s="6"/>
      <c r="L407" s="6"/>
      <c r="M407" s="6"/>
      <c r="N407" s="6"/>
      <c r="O407" s="6"/>
      <c r="P407" s="6"/>
      <c r="Q407" s="6"/>
      <c r="R407" s="7"/>
      <c r="S407" s="3"/>
      <c r="T407" s="3"/>
      <c r="U407" s="3"/>
      <c r="V407" s="3"/>
      <c r="W407" s="3"/>
      <c r="X407" s="3"/>
      <c r="Y407" s="3"/>
      <c r="Z407" s="3"/>
    </row>
    <row r="408" ht="15.75" customHeight="1">
      <c r="A408" s="3"/>
      <c r="B408" s="327" t="s">
        <v>14150</v>
      </c>
      <c r="C408" s="457" t="s">
        <v>14151</v>
      </c>
      <c r="D408" s="6"/>
      <c r="E408" s="6"/>
      <c r="F408" s="7"/>
      <c r="G408" s="458"/>
      <c r="H408" s="459"/>
      <c r="I408" s="7"/>
      <c r="J408" s="459"/>
      <c r="K408" s="6"/>
      <c r="L408" s="6"/>
      <c r="M408" s="7"/>
      <c r="N408" s="460"/>
      <c r="O408" s="461" t="s">
        <v>15140</v>
      </c>
      <c r="P408" s="461"/>
      <c r="Q408" s="461"/>
      <c r="R408" s="461"/>
      <c r="S408" s="3"/>
      <c r="T408" s="3"/>
      <c r="U408" s="3"/>
      <c r="V408" s="3"/>
      <c r="W408" s="3"/>
      <c r="X408" s="3"/>
      <c r="Y408" s="3"/>
      <c r="Z408" s="3"/>
    </row>
    <row r="409" ht="15.75" customHeight="1">
      <c r="A409" s="3"/>
      <c r="B409" s="321"/>
      <c r="C409" s="399"/>
      <c r="D409" s="458"/>
      <c r="E409" s="458"/>
      <c r="F409" s="462"/>
      <c r="G409" s="458"/>
      <c r="H409" s="463"/>
      <c r="I409" s="7"/>
      <c r="J409" s="321"/>
      <c r="K409" s="321"/>
      <c r="L409" s="463"/>
      <c r="M409" s="7"/>
      <c r="N409" s="321"/>
      <c r="O409" s="321"/>
      <c r="P409" s="321"/>
      <c r="Q409" s="321"/>
      <c r="R409" s="321"/>
      <c r="S409" s="3"/>
      <c r="T409" s="3"/>
      <c r="U409" s="3"/>
      <c r="V409" s="3"/>
      <c r="W409" s="3"/>
      <c r="X409" s="3"/>
      <c r="Y409" s="3"/>
      <c r="Z409" s="3"/>
    </row>
    <row r="410" ht="15.75" customHeight="1">
      <c r="A410" s="3"/>
      <c r="B410" s="463"/>
      <c r="C410" s="7"/>
      <c r="D410" s="458"/>
      <c r="E410" s="458"/>
      <c r="F410" s="463"/>
      <c r="G410" s="7"/>
      <c r="H410" s="321"/>
      <c r="I410" s="321"/>
      <c r="J410" s="321"/>
      <c r="K410" s="321"/>
      <c r="L410" s="321"/>
      <c r="M410" s="321"/>
      <c r="N410" s="321"/>
      <c r="O410" s="321"/>
      <c r="P410" s="321"/>
      <c r="Q410" s="321"/>
      <c r="R410" s="321"/>
      <c r="S410" s="3"/>
      <c r="T410" s="3"/>
      <c r="U410" s="3"/>
      <c r="V410" s="3"/>
      <c r="W410" s="3"/>
      <c r="X410" s="3"/>
      <c r="Y410" s="3"/>
      <c r="Z410" s="3"/>
    </row>
    <row r="411" ht="15.75" customHeight="1">
      <c r="A411" s="3"/>
      <c r="B411" s="321"/>
      <c r="C411" s="457" t="s">
        <v>15030</v>
      </c>
      <c r="D411" s="6"/>
      <c r="E411" s="6"/>
      <c r="F411" s="7"/>
      <c r="G411" s="458"/>
      <c r="H411" s="457"/>
      <c r="I411" s="7"/>
      <c r="J411" s="457"/>
      <c r="K411" s="6"/>
      <c r="L411" s="6"/>
      <c r="M411" s="7"/>
      <c r="N411" s="457" t="s">
        <v>14154</v>
      </c>
      <c r="O411" s="6"/>
      <c r="P411" s="6"/>
      <c r="Q411" s="6"/>
      <c r="R411" s="7"/>
      <c r="S411" s="3"/>
      <c r="T411" s="3"/>
      <c r="U411" s="3"/>
      <c r="V411" s="3"/>
      <c r="W411" s="3"/>
      <c r="X411" s="3"/>
      <c r="Y411" s="3"/>
      <c r="Z411" s="3"/>
    </row>
    <row r="412" ht="15.75" customHeight="1">
      <c r="A412" s="3"/>
      <c r="B412" s="321"/>
      <c r="C412" s="457" t="s">
        <v>14155</v>
      </c>
      <c r="D412" s="6"/>
      <c r="E412" s="6"/>
      <c r="F412" s="7"/>
      <c r="G412" s="458"/>
      <c r="H412" s="457"/>
      <c r="I412" s="7"/>
      <c r="J412" s="327"/>
      <c r="K412" s="457"/>
      <c r="L412" s="6"/>
      <c r="M412" s="7"/>
      <c r="N412" s="457" t="s">
        <v>14156</v>
      </c>
      <c r="O412" s="6"/>
      <c r="P412" s="6"/>
      <c r="Q412" s="6"/>
      <c r="R412" s="7"/>
      <c r="S412" s="3"/>
      <c r="T412" s="3"/>
      <c r="U412" s="3"/>
      <c r="V412" s="3"/>
      <c r="W412" s="3"/>
      <c r="X412" s="3"/>
      <c r="Y412" s="3"/>
      <c r="Z412" s="3"/>
    </row>
    <row r="413" ht="15.75" customHeight="1">
      <c r="A413" s="3"/>
      <c r="B413" s="460"/>
      <c r="C413" s="460"/>
      <c r="D413" s="460"/>
      <c r="E413" s="460"/>
      <c r="F413" s="939"/>
      <c r="G413" s="460"/>
      <c r="H413" s="460"/>
      <c r="I413" s="460"/>
      <c r="J413" s="460"/>
      <c r="K413" s="460"/>
      <c r="L413" s="460"/>
      <c r="M413" s="460"/>
      <c r="N413" s="940"/>
      <c r="P413" s="458"/>
      <c r="Q413" s="458"/>
      <c r="R413" s="458"/>
      <c r="S413" s="3"/>
      <c r="T413" s="3"/>
      <c r="U413" s="3"/>
      <c r="V413" s="3"/>
      <c r="W413" s="3"/>
      <c r="X413" s="3"/>
      <c r="Y413" s="3"/>
      <c r="Z413" s="3"/>
    </row>
    <row r="414" ht="15.75" customHeight="1">
      <c r="A414" s="3"/>
      <c r="B414" s="576"/>
      <c r="C414" s="2"/>
      <c r="D414" s="466"/>
      <c r="E414" s="466"/>
      <c r="F414" s="663"/>
      <c r="G414" s="466"/>
      <c r="H414" s="576"/>
      <c r="I414" s="576"/>
      <c r="J414" s="576"/>
      <c r="K414" s="466"/>
      <c r="L414" s="576"/>
      <c r="M414" s="466"/>
      <c r="N414" s="576"/>
      <c r="O414" s="576"/>
      <c r="P414" s="576"/>
      <c r="Q414" s="576"/>
      <c r="R414" s="576"/>
      <c r="S414" s="3"/>
      <c r="T414" s="3"/>
      <c r="U414" s="3"/>
      <c r="V414" s="3"/>
      <c r="W414" s="3"/>
      <c r="X414" s="3"/>
      <c r="Y414" s="3"/>
      <c r="Z414" s="3"/>
    </row>
    <row r="415" ht="15.75" customHeight="1">
      <c r="A415" s="3"/>
      <c r="B415" s="576"/>
      <c r="C415" s="2"/>
      <c r="D415" s="2"/>
      <c r="E415" s="2"/>
      <c r="F415" s="464"/>
      <c r="G415" s="2"/>
      <c r="H415" s="2"/>
      <c r="I415" s="2"/>
      <c r="J415" s="2"/>
      <c r="K415" s="2"/>
      <c r="L415" s="2"/>
      <c r="M415" s="2"/>
      <c r="N415" s="2"/>
      <c r="O415" s="2"/>
      <c r="P415" s="2"/>
      <c r="Q415" s="2"/>
      <c r="R415" s="2"/>
      <c r="S415" s="3"/>
      <c r="T415" s="3"/>
      <c r="U415" s="3"/>
      <c r="V415" s="3"/>
      <c r="W415" s="3"/>
      <c r="X415" s="3"/>
      <c r="Y415" s="3"/>
      <c r="Z415" s="3"/>
    </row>
    <row r="416" ht="15.75" customHeight="1">
      <c r="A416" s="3"/>
      <c r="B416" s="576"/>
      <c r="C416" s="2"/>
      <c r="D416" s="2"/>
      <c r="E416" s="2"/>
      <c r="F416" s="464"/>
      <c r="G416" s="2"/>
      <c r="H416" s="2"/>
      <c r="I416" s="2"/>
      <c r="J416" s="2"/>
      <c r="K416" s="2"/>
      <c r="L416" s="2"/>
      <c r="M416" s="2"/>
      <c r="N416" s="2"/>
      <c r="O416" s="2"/>
      <c r="P416" s="2"/>
      <c r="Q416" s="2"/>
      <c r="R416" s="2"/>
      <c r="S416" s="3"/>
      <c r="T416" s="3"/>
      <c r="U416" s="3"/>
      <c r="V416" s="3"/>
      <c r="W416" s="3"/>
      <c r="X416" s="3"/>
      <c r="Y416" s="3"/>
      <c r="Z416" s="3"/>
    </row>
    <row r="417" ht="15.75" customHeight="1">
      <c r="A417" s="3"/>
      <c r="B417" s="576"/>
      <c r="C417" s="2"/>
      <c r="D417" s="2"/>
      <c r="E417" s="2"/>
      <c r="F417" s="464"/>
      <c r="G417" s="2"/>
      <c r="H417" s="2"/>
      <c r="I417" s="2"/>
      <c r="J417" s="2"/>
      <c r="K417" s="2"/>
      <c r="L417" s="2"/>
      <c r="M417" s="2"/>
      <c r="N417" s="2"/>
      <c r="O417" s="2"/>
      <c r="P417" s="2"/>
      <c r="Q417" s="2"/>
      <c r="R417" s="2"/>
      <c r="S417" s="3"/>
      <c r="T417" s="3"/>
      <c r="U417" s="3"/>
      <c r="V417" s="3"/>
      <c r="W417" s="3"/>
      <c r="X417" s="3"/>
      <c r="Y417" s="3"/>
      <c r="Z417" s="3"/>
    </row>
    <row r="418" ht="15.75" customHeight="1">
      <c r="A418" s="3"/>
      <c r="B418" s="576"/>
      <c r="C418" s="2"/>
      <c r="D418" s="2"/>
      <c r="E418" s="2"/>
      <c r="F418" s="464"/>
      <c r="G418" s="2"/>
      <c r="H418" s="2"/>
      <c r="I418" s="2"/>
      <c r="J418" s="2"/>
      <c r="K418" s="2"/>
      <c r="L418" s="2"/>
      <c r="M418" s="2"/>
      <c r="N418" s="2"/>
      <c r="O418" s="2"/>
      <c r="P418" s="2"/>
      <c r="Q418" s="2"/>
      <c r="R418" s="2"/>
      <c r="S418" s="3"/>
      <c r="T418" s="3"/>
      <c r="U418" s="3"/>
      <c r="V418" s="3"/>
      <c r="W418" s="3"/>
      <c r="X418" s="3"/>
      <c r="Y418" s="3"/>
      <c r="Z418" s="3"/>
    </row>
    <row r="419" ht="15.75" customHeight="1">
      <c r="A419" s="3"/>
      <c r="B419" s="576"/>
      <c r="C419" s="2"/>
      <c r="D419" s="2"/>
      <c r="E419" s="2"/>
      <c r="F419" s="464"/>
      <c r="G419" s="2"/>
      <c r="H419" s="2"/>
      <c r="I419" s="2"/>
      <c r="J419" s="2"/>
      <c r="K419" s="2"/>
      <c r="L419" s="2"/>
      <c r="M419" s="2"/>
      <c r="N419" s="2"/>
      <c r="O419" s="2"/>
      <c r="P419" s="2"/>
      <c r="Q419" s="2"/>
      <c r="R419" s="2"/>
      <c r="S419" s="3"/>
      <c r="T419" s="3"/>
      <c r="U419" s="3"/>
      <c r="V419" s="3"/>
      <c r="W419" s="3"/>
      <c r="X419" s="3"/>
      <c r="Y419" s="3"/>
      <c r="Z419" s="3"/>
    </row>
    <row r="420" ht="15.75" customHeight="1">
      <c r="A420" s="3"/>
      <c r="B420" s="576"/>
      <c r="C420" s="2"/>
      <c r="D420" s="2"/>
      <c r="E420" s="2"/>
      <c r="F420" s="464"/>
      <c r="G420" s="2"/>
      <c r="H420" s="2"/>
      <c r="I420" s="2"/>
      <c r="J420" s="2"/>
      <c r="K420" s="2"/>
      <c r="L420" s="2"/>
      <c r="M420" s="2"/>
      <c r="N420" s="2"/>
      <c r="O420" s="2"/>
      <c r="P420" s="2"/>
      <c r="Q420" s="2"/>
      <c r="R420" s="2"/>
      <c r="S420" s="3"/>
      <c r="T420" s="3"/>
      <c r="U420" s="3"/>
      <c r="V420" s="3"/>
      <c r="W420" s="3"/>
      <c r="X420" s="3"/>
      <c r="Y420" s="3"/>
      <c r="Z420" s="3"/>
    </row>
    <row r="421" ht="15.75" customHeight="1">
      <c r="A421" s="3"/>
      <c r="B421" s="576"/>
      <c r="C421" s="2"/>
      <c r="D421" s="2"/>
      <c r="E421" s="2"/>
      <c r="F421" s="464"/>
      <c r="G421" s="2"/>
      <c r="H421" s="2"/>
      <c r="I421" s="2"/>
      <c r="J421" s="2"/>
      <c r="K421" s="2"/>
      <c r="L421" s="2"/>
      <c r="M421" s="2"/>
      <c r="N421" s="2"/>
      <c r="O421" s="2"/>
      <c r="P421" s="2"/>
      <c r="Q421" s="2"/>
      <c r="R421" s="2"/>
      <c r="S421" s="3"/>
      <c r="T421" s="3"/>
      <c r="U421" s="3"/>
      <c r="V421" s="3"/>
      <c r="W421" s="3"/>
      <c r="X421" s="3"/>
      <c r="Y421" s="3"/>
      <c r="Z421" s="3"/>
    </row>
    <row r="422" ht="15.75" customHeight="1">
      <c r="A422" s="3"/>
      <c r="B422" s="576"/>
      <c r="C422" s="2"/>
      <c r="D422" s="2"/>
      <c r="E422" s="2"/>
      <c r="F422" s="464"/>
      <c r="G422" s="2"/>
      <c r="H422" s="2"/>
      <c r="I422" s="2"/>
      <c r="J422" s="2"/>
      <c r="K422" s="2"/>
      <c r="L422" s="2"/>
      <c r="M422" s="2"/>
      <c r="N422" s="2"/>
      <c r="O422" s="2"/>
      <c r="P422" s="2"/>
      <c r="Q422" s="2"/>
      <c r="R422" s="2"/>
      <c r="S422" s="3"/>
      <c r="T422" s="3"/>
      <c r="U422" s="3"/>
      <c r="V422" s="3"/>
      <c r="W422" s="3"/>
      <c r="X422" s="3"/>
      <c r="Y422" s="3"/>
      <c r="Z422" s="3"/>
    </row>
    <row r="423" ht="15.75" customHeight="1">
      <c r="A423" s="3"/>
      <c r="B423" s="576"/>
      <c r="C423" s="2"/>
      <c r="D423" s="2"/>
      <c r="E423" s="2"/>
      <c r="F423" s="464"/>
      <c r="G423" s="2"/>
      <c r="H423" s="2"/>
      <c r="I423" s="2"/>
      <c r="J423" s="2"/>
      <c r="K423" s="2"/>
      <c r="L423" s="2"/>
      <c r="M423" s="2"/>
      <c r="N423" s="2"/>
      <c r="O423" s="2"/>
      <c r="P423" s="2"/>
      <c r="Q423" s="2"/>
      <c r="R423" s="2"/>
      <c r="S423" s="3"/>
      <c r="T423" s="3"/>
      <c r="U423" s="3"/>
      <c r="V423" s="3"/>
      <c r="W423" s="3"/>
      <c r="X423" s="3"/>
      <c r="Y423" s="3"/>
      <c r="Z423" s="3"/>
    </row>
    <row r="424" ht="15.75" customHeight="1">
      <c r="A424" s="3"/>
      <c r="B424" s="576"/>
      <c r="C424" s="2"/>
      <c r="D424" s="2"/>
      <c r="E424" s="2"/>
      <c r="F424" s="464"/>
      <c r="G424" s="2"/>
      <c r="H424" s="2"/>
      <c r="I424" s="2"/>
      <c r="J424" s="2"/>
      <c r="K424" s="2"/>
      <c r="L424" s="2"/>
      <c r="M424" s="2"/>
      <c r="N424" s="2"/>
      <c r="O424" s="2"/>
      <c r="P424" s="2"/>
      <c r="Q424" s="2"/>
      <c r="R424" s="2"/>
      <c r="S424" s="3"/>
      <c r="T424" s="3"/>
      <c r="U424" s="3"/>
      <c r="V424" s="3"/>
      <c r="W424" s="3"/>
      <c r="X424" s="3"/>
      <c r="Y424" s="3"/>
      <c r="Z424" s="3"/>
    </row>
    <row r="425" ht="15.75" customHeight="1">
      <c r="A425" s="3"/>
      <c r="B425" s="576"/>
      <c r="C425" s="2"/>
      <c r="D425" s="2"/>
      <c r="E425" s="2"/>
      <c r="F425" s="464"/>
      <c r="G425" s="2"/>
      <c r="H425" s="2"/>
      <c r="I425" s="2"/>
      <c r="J425" s="2"/>
      <c r="K425" s="2"/>
      <c r="L425" s="2"/>
      <c r="M425" s="2"/>
      <c r="N425" s="2"/>
      <c r="O425" s="2"/>
      <c r="P425" s="2"/>
      <c r="Q425" s="2"/>
      <c r="R425" s="2"/>
      <c r="S425" s="3"/>
      <c r="T425" s="3"/>
      <c r="U425" s="3"/>
      <c r="V425" s="3"/>
      <c r="W425" s="3"/>
      <c r="X425" s="3"/>
      <c r="Y425" s="3"/>
      <c r="Z425" s="3"/>
    </row>
    <row r="426" ht="15.75" customHeight="1">
      <c r="A426" s="3"/>
      <c r="B426" s="576"/>
      <c r="C426" s="2"/>
      <c r="D426" s="2"/>
      <c r="E426" s="2"/>
      <c r="F426" s="464"/>
      <c r="G426" s="2"/>
      <c r="H426" s="2"/>
      <c r="I426" s="2"/>
      <c r="J426" s="2"/>
      <c r="K426" s="2"/>
      <c r="L426" s="2"/>
      <c r="M426" s="2"/>
      <c r="N426" s="2"/>
      <c r="O426" s="2"/>
      <c r="P426" s="2"/>
      <c r="Q426" s="2"/>
      <c r="R426" s="2"/>
      <c r="S426" s="3"/>
      <c r="T426" s="3"/>
      <c r="U426" s="3"/>
      <c r="V426" s="3"/>
      <c r="W426" s="3"/>
      <c r="X426" s="3"/>
      <c r="Y426" s="3"/>
      <c r="Z426" s="3"/>
    </row>
    <row r="427" ht="15.75" customHeight="1">
      <c r="A427" s="3"/>
      <c r="B427" s="576"/>
      <c r="C427" s="2"/>
      <c r="D427" s="2"/>
      <c r="E427" s="2"/>
      <c r="F427" s="464"/>
      <c r="G427" s="2"/>
      <c r="H427" s="2"/>
      <c r="I427" s="2"/>
      <c r="J427" s="2"/>
      <c r="K427" s="2"/>
      <c r="L427" s="2"/>
      <c r="M427" s="2"/>
      <c r="N427" s="2"/>
      <c r="O427" s="2"/>
      <c r="P427" s="2"/>
      <c r="Q427" s="2"/>
      <c r="R427" s="2"/>
      <c r="S427" s="3"/>
      <c r="T427" s="3"/>
      <c r="U427" s="3"/>
      <c r="V427" s="3"/>
      <c r="W427" s="3"/>
      <c r="X427" s="3"/>
      <c r="Y427" s="3"/>
      <c r="Z427" s="3"/>
    </row>
    <row r="428" ht="15.75" customHeight="1">
      <c r="A428" s="3"/>
      <c r="B428" s="576"/>
      <c r="C428" s="2"/>
      <c r="D428" s="2"/>
      <c r="E428" s="2"/>
      <c r="F428" s="464"/>
      <c r="G428" s="2"/>
      <c r="H428" s="2"/>
      <c r="I428" s="2"/>
      <c r="J428" s="2"/>
      <c r="K428" s="2"/>
      <c r="L428" s="2"/>
      <c r="M428" s="2"/>
      <c r="N428" s="2"/>
      <c r="O428" s="2"/>
      <c r="P428" s="2"/>
      <c r="Q428" s="2"/>
      <c r="R428" s="2"/>
      <c r="S428" s="3"/>
      <c r="T428" s="3"/>
      <c r="U428" s="3"/>
      <c r="V428" s="3"/>
      <c r="W428" s="3"/>
      <c r="X428" s="3"/>
      <c r="Y428" s="3"/>
      <c r="Z428" s="3"/>
    </row>
    <row r="429" ht="15.75" customHeight="1">
      <c r="A429" s="3"/>
      <c r="B429" s="576"/>
      <c r="C429" s="2"/>
      <c r="D429" s="2"/>
      <c r="E429" s="2"/>
      <c r="F429" s="464"/>
      <c r="G429" s="2"/>
      <c r="H429" s="2"/>
      <c r="I429" s="2"/>
      <c r="J429" s="2"/>
      <c r="K429" s="2"/>
      <c r="L429" s="2"/>
      <c r="M429" s="2"/>
      <c r="N429" s="2"/>
      <c r="O429" s="2"/>
      <c r="P429" s="2"/>
      <c r="Q429" s="2"/>
      <c r="R429" s="2"/>
      <c r="S429" s="3"/>
      <c r="T429" s="3"/>
      <c r="U429" s="3"/>
      <c r="V429" s="3"/>
      <c r="W429" s="3"/>
      <c r="X429" s="3"/>
      <c r="Y429" s="3"/>
      <c r="Z429" s="3"/>
    </row>
    <row r="430" ht="15.75" customHeight="1">
      <c r="A430" s="3"/>
      <c r="B430" s="576"/>
      <c r="C430" s="2"/>
      <c r="D430" s="2"/>
      <c r="E430" s="2"/>
      <c r="F430" s="464"/>
      <c r="G430" s="2"/>
      <c r="H430" s="2"/>
      <c r="I430" s="2"/>
      <c r="J430" s="2"/>
      <c r="K430" s="2"/>
      <c r="L430" s="2"/>
      <c r="M430" s="2"/>
      <c r="N430" s="2"/>
      <c r="O430" s="2"/>
      <c r="P430" s="2"/>
      <c r="Q430" s="2"/>
      <c r="R430" s="2"/>
      <c r="S430" s="3"/>
      <c r="T430" s="3"/>
      <c r="U430" s="3"/>
      <c r="V430" s="3"/>
      <c r="W430" s="3"/>
      <c r="X430" s="3"/>
      <c r="Y430" s="3"/>
      <c r="Z430" s="3"/>
    </row>
    <row r="431" ht="15.75" customHeight="1">
      <c r="A431" s="3"/>
      <c r="B431" s="576"/>
      <c r="C431" s="2"/>
      <c r="D431" s="2"/>
      <c r="E431" s="2"/>
      <c r="F431" s="464"/>
      <c r="G431" s="2"/>
      <c r="H431" s="2"/>
      <c r="I431" s="2"/>
      <c r="J431" s="2"/>
      <c r="K431" s="2"/>
      <c r="L431" s="2"/>
      <c r="M431" s="2"/>
      <c r="N431" s="2"/>
      <c r="O431" s="2"/>
      <c r="P431" s="2"/>
      <c r="Q431" s="2"/>
      <c r="R431" s="2"/>
      <c r="S431" s="3"/>
      <c r="T431" s="3"/>
      <c r="U431" s="3"/>
      <c r="V431" s="3"/>
      <c r="W431" s="3"/>
      <c r="X431" s="3"/>
      <c r="Y431" s="3"/>
      <c r="Z431" s="3"/>
    </row>
    <row r="432" ht="15.75" customHeight="1">
      <c r="A432" s="3"/>
      <c r="B432" s="576"/>
      <c r="C432" s="2"/>
      <c r="D432" s="2"/>
      <c r="E432" s="2"/>
      <c r="F432" s="464"/>
      <c r="G432" s="2"/>
      <c r="H432" s="2"/>
      <c r="I432" s="2"/>
      <c r="J432" s="2"/>
      <c r="K432" s="2"/>
      <c r="L432" s="2"/>
      <c r="M432" s="2"/>
      <c r="N432" s="2"/>
      <c r="O432" s="2"/>
      <c r="P432" s="2"/>
      <c r="Q432" s="2"/>
      <c r="R432" s="2"/>
      <c r="S432" s="3"/>
      <c r="T432" s="3"/>
      <c r="U432" s="3"/>
      <c r="V432" s="3"/>
      <c r="W432" s="3"/>
      <c r="X432" s="3"/>
      <c r="Y432" s="3"/>
      <c r="Z432" s="3"/>
    </row>
    <row r="433" ht="15.75" customHeight="1">
      <c r="A433" s="3"/>
      <c r="B433" s="576"/>
      <c r="C433" s="2"/>
      <c r="D433" s="2"/>
      <c r="E433" s="2"/>
      <c r="F433" s="464"/>
      <c r="G433" s="2"/>
      <c r="H433" s="2"/>
      <c r="I433" s="2"/>
      <c r="J433" s="2"/>
      <c r="K433" s="2"/>
      <c r="L433" s="2"/>
      <c r="M433" s="2"/>
      <c r="N433" s="2"/>
      <c r="O433" s="2"/>
      <c r="P433" s="2"/>
      <c r="Q433" s="2"/>
      <c r="R433" s="2"/>
      <c r="S433" s="3"/>
      <c r="T433" s="3"/>
      <c r="U433" s="3"/>
      <c r="V433" s="3"/>
      <c r="W433" s="3"/>
      <c r="X433" s="3"/>
      <c r="Y433" s="3"/>
      <c r="Z433" s="3"/>
    </row>
    <row r="434" ht="15.75" customHeight="1">
      <c r="A434" s="3"/>
      <c r="B434" s="576"/>
      <c r="C434" s="2"/>
      <c r="D434" s="2"/>
      <c r="E434" s="2"/>
      <c r="F434" s="464"/>
      <c r="G434" s="2"/>
      <c r="H434" s="2"/>
      <c r="I434" s="2"/>
      <c r="J434" s="2"/>
      <c r="K434" s="2"/>
      <c r="L434" s="2"/>
      <c r="M434" s="2"/>
      <c r="N434" s="2"/>
      <c r="O434" s="2"/>
      <c r="P434" s="2"/>
      <c r="Q434" s="2"/>
      <c r="R434" s="2"/>
      <c r="S434" s="3"/>
      <c r="T434" s="3"/>
      <c r="U434" s="3"/>
      <c r="V434" s="3"/>
      <c r="W434" s="3"/>
      <c r="X434" s="3"/>
      <c r="Y434" s="3"/>
      <c r="Z434" s="3"/>
    </row>
    <row r="435" ht="15.75" customHeight="1">
      <c r="A435" s="3"/>
      <c r="B435" s="576"/>
      <c r="C435" s="2"/>
      <c r="D435" s="2"/>
      <c r="E435" s="2"/>
      <c r="F435" s="464"/>
      <c r="G435" s="2"/>
      <c r="H435" s="2"/>
      <c r="I435" s="2"/>
      <c r="J435" s="2"/>
      <c r="K435" s="2"/>
      <c r="L435" s="2"/>
      <c r="M435" s="2"/>
      <c r="N435" s="2"/>
      <c r="O435" s="2"/>
      <c r="P435" s="2"/>
      <c r="Q435" s="2"/>
      <c r="R435" s="2"/>
      <c r="S435" s="3"/>
      <c r="T435" s="3"/>
      <c r="U435" s="3"/>
      <c r="V435" s="3"/>
      <c r="W435" s="3"/>
      <c r="X435" s="3"/>
      <c r="Y435" s="3"/>
      <c r="Z435" s="3"/>
    </row>
    <row r="436" ht="15.75" customHeight="1">
      <c r="A436" s="3"/>
      <c r="B436" s="576"/>
      <c r="C436" s="2"/>
      <c r="D436" s="2"/>
      <c r="E436" s="2"/>
      <c r="F436" s="464"/>
      <c r="G436" s="2"/>
      <c r="H436" s="2"/>
      <c r="I436" s="2"/>
      <c r="J436" s="2"/>
      <c r="K436" s="2"/>
      <c r="L436" s="2"/>
      <c r="M436" s="2"/>
      <c r="N436" s="2"/>
      <c r="O436" s="2"/>
      <c r="P436" s="2"/>
      <c r="Q436" s="2"/>
      <c r="R436" s="2"/>
      <c r="S436" s="3"/>
      <c r="T436" s="3"/>
      <c r="U436" s="3"/>
      <c r="V436" s="3"/>
      <c r="W436" s="3"/>
      <c r="X436" s="3"/>
      <c r="Y436" s="3"/>
      <c r="Z436" s="3"/>
    </row>
    <row r="437" ht="15.75" customHeight="1">
      <c r="A437" s="3"/>
      <c r="B437" s="576"/>
      <c r="C437" s="2"/>
      <c r="D437" s="2"/>
      <c r="E437" s="2"/>
      <c r="F437" s="464"/>
      <c r="G437" s="2"/>
      <c r="H437" s="2"/>
      <c r="I437" s="2"/>
      <c r="J437" s="2"/>
      <c r="K437" s="2"/>
      <c r="L437" s="2"/>
      <c r="M437" s="2"/>
      <c r="N437" s="2"/>
      <c r="O437" s="2"/>
      <c r="P437" s="2"/>
      <c r="Q437" s="2"/>
      <c r="R437" s="2"/>
      <c r="S437" s="3"/>
      <c r="T437" s="3"/>
      <c r="U437" s="3"/>
      <c r="V437" s="3"/>
      <c r="W437" s="3"/>
      <c r="X437" s="3"/>
      <c r="Y437" s="3"/>
      <c r="Z437" s="3"/>
    </row>
    <row r="438" ht="15.75" customHeight="1">
      <c r="A438" s="3"/>
      <c r="B438" s="576"/>
      <c r="C438" s="2"/>
      <c r="D438" s="2"/>
      <c r="E438" s="2"/>
      <c r="F438" s="464"/>
      <c r="G438" s="2"/>
      <c r="H438" s="2"/>
      <c r="I438" s="2"/>
      <c r="J438" s="2"/>
      <c r="K438" s="2"/>
      <c r="L438" s="2"/>
      <c r="M438" s="2"/>
      <c r="N438" s="2"/>
      <c r="O438" s="2"/>
      <c r="P438" s="2"/>
      <c r="Q438" s="2"/>
      <c r="R438" s="2"/>
      <c r="S438" s="3"/>
      <c r="T438" s="3"/>
      <c r="U438" s="3"/>
      <c r="V438" s="3"/>
      <c r="W438" s="3"/>
      <c r="X438" s="3"/>
      <c r="Y438" s="3"/>
      <c r="Z438" s="3"/>
    </row>
    <row r="439" ht="15.75" customHeight="1">
      <c r="A439" s="3"/>
      <c r="B439" s="576"/>
      <c r="C439" s="2"/>
      <c r="D439" s="2"/>
      <c r="E439" s="2"/>
      <c r="F439" s="464"/>
      <c r="G439" s="2"/>
      <c r="H439" s="2"/>
      <c r="I439" s="2"/>
      <c r="J439" s="2"/>
      <c r="K439" s="2"/>
      <c r="L439" s="2"/>
      <c r="M439" s="2"/>
      <c r="N439" s="2"/>
      <c r="O439" s="2"/>
      <c r="P439" s="2"/>
      <c r="Q439" s="2"/>
      <c r="R439" s="2"/>
      <c r="S439" s="3"/>
      <c r="T439" s="3"/>
      <c r="U439" s="3"/>
      <c r="V439" s="3"/>
      <c r="W439" s="3"/>
      <c r="X439" s="3"/>
      <c r="Y439" s="3"/>
      <c r="Z439" s="3"/>
    </row>
    <row r="440" ht="15.75" customHeight="1">
      <c r="A440" s="3"/>
      <c r="B440" s="576"/>
      <c r="C440" s="2"/>
      <c r="D440" s="2"/>
      <c r="E440" s="2"/>
      <c r="F440" s="464"/>
      <c r="G440" s="2"/>
      <c r="H440" s="2"/>
      <c r="I440" s="2"/>
      <c r="J440" s="2"/>
      <c r="K440" s="2"/>
      <c r="L440" s="2"/>
      <c r="M440" s="2"/>
      <c r="N440" s="2"/>
      <c r="O440" s="2"/>
      <c r="P440" s="2"/>
      <c r="Q440" s="2"/>
      <c r="R440" s="2"/>
      <c r="S440" s="3"/>
      <c r="T440" s="3"/>
      <c r="U440" s="3"/>
      <c r="V440" s="3"/>
      <c r="W440" s="3"/>
      <c r="X440" s="3"/>
      <c r="Y440" s="3"/>
      <c r="Z440" s="3"/>
    </row>
    <row r="441" ht="15.75" customHeight="1">
      <c r="A441" s="3"/>
      <c r="B441" s="576"/>
      <c r="C441" s="2"/>
      <c r="D441" s="2"/>
      <c r="E441" s="2"/>
      <c r="F441" s="464"/>
      <c r="G441" s="2"/>
      <c r="H441" s="2"/>
      <c r="I441" s="2"/>
      <c r="J441" s="2"/>
      <c r="K441" s="2"/>
      <c r="L441" s="2"/>
      <c r="M441" s="2"/>
      <c r="N441" s="2"/>
      <c r="O441" s="2"/>
      <c r="P441" s="2"/>
      <c r="Q441" s="2"/>
      <c r="R441" s="2"/>
      <c r="S441" s="3"/>
      <c r="T441" s="3"/>
      <c r="U441" s="3"/>
      <c r="V441" s="3"/>
      <c r="W441" s="3"/>
      <c r="X441" s="3"/>
      <c r="Y441" s="3"/>
      <c r="Z441" s="3"/>
    </row>
    <row r="442" ht="15.75" customHeight="1">
      <c r="A442" s="3"/>
      <c r="B442" s="576"/>
      <c r="C442" s="2"/>
      <c r="D442" s="2"/>
      <c r="E442" s="2"/>
      <c r="F442" s="464"/>
      <c r="G442" s="2"/>
      <c r="H442" s="2"/>
      <c r="I442" s="2"/>
      <c r="J442" s="2"/>
      <c r="K442" s="2"/>
      <c r="L442" s="2"/>
      <c r="M442" s="2"/>
      <c r="N442" s="2"/>
      <c r="O442" s="2"/>
      <c r="P442" s="2"/>
      <c r="Q442" s="2"/>
      <c r="R442" s="2"/>
      <c r="S442" s="3"/>
      <c r="T442" s="3"/>
      <c r="U442" s="3"/>
      <c r="V442" s="3"/>
      <c r="W442" s="3"/>
      <c r="X442" s="3"/>
      <c r="Y442" s="3"/>
      <c r="Z442" s="3"/>
    </row>
    <row r="443" ht="15.75" customHeight="1">
      <c r="A443" s="3"/>
      <c r="B443" s="576"/>
      <c r="C443" s="2"/>
      <c r="D443" s="2"/>
      <c r="E443" s="2"/>
      <c r="F443" s="464"/>
      <c r="G443" s="2"/>
      <c r="H443" s="2"/>
      <c r="I443" s="2"/>
      <c r="J443" s="2"/>
      <c r="K443" s="2"/>
      <c r="L443" s="2"/>
      <c r="M443" s="2"/>
      <c r="N443" s="2"/>
      <c r="O443" s="2"/>
      <c r="P443" s="2"/>
      <c r="Q443" s="2"/>
      <c r="R443" s="2"/>
      <c r="S443" s="3"/>
      <c r="T443" s="3"/>
      <c r="U443" s="3"/>
      <c r="V443" s="3"/>
      <c r="W443" s="3"/>
      <c r="X443" s="3"/>
      <c r="Y443" s="3"/>
      <c r="Z443" s="3"/>
    </row>
    <row r="444" ht="15.75" customHeight="1">
      <c r="A444" s="3"/>
      <c r="B444" s="576"/>
      <c r="C444" s="2"/>
      <c r="D444" s="2"/>
      <c r="E444" s="2"/>
      <c r="F444" s="464"/>
      <c r="G444" s="2"/>
      <c r="H444" s="2"/>
      <c r="I444" s="2"/>
      <c r="J444" s="2"/>
      <c r="K444" s="2"/>
      <c r="L444" s="2"/>
      <c r="M444" s="2"/>
      <c r="N444" s="2"/>
      <c r="O444" s="2"/>
      <c r="P444" s="2"/>
      <c r="Q444" s="2"/>
      <c r="R444" s="2"/>
      <c r="S444" s="3"/>
      <c r="T444" s="3"/>
      <c r="U444" s="3"/>
      <c r="V444" s="3"/>
      <c r="W444" s="3"/>
      <c r="X444" s="3"/>
      <c r="Y444" s="3"/>
      <c r="Z444" s="3"/>
    </row>
    <row r="445" ht="15.75" customHeight="1">
      <c r="A445" s="3"/>
      <c r="B445" s="576"/>
      <c r="C445" s="2"/>
      <c r="D445" s="2"/>
      <c r="E445" s="2"/>
      <c r="F445" s="464"/>
      <c r="G445" s="2"/>
      <c r="H445" s="2"/>
      <c r="I445" s="2"/>
      <c r="J445" s="2"/>
      <c r="K445" s="2"/>
      <c r="L445" s="2"/>
      <c r="M445" s="2"/>
      <c r="N445" s="2"/>
      <c r="O445" s="2"/>
      <c r="P445" s="2"/>
      <c r="Q445" s="2"/>
      <c r="R445" s="2"/>
      <c r="S445" s="3"/>
      <c r="T445" s="3"/>
      <c r="U445" s="3"/>
      <c r="V445" s="3"/>
      <c r="W445" s="3"/>
      <c r="X445" s="3"/>
      <c r="Y445" s="3"/>
      <c r="Z445" s="3"/>
    </row>
    <row r="446" ht="15.75" customHeight="1">
      <c r="A446" s="3"/>
      <c r="B446" s="576"/>
      <c r="C446" s="2"/>
      <c r="D446" s="2"/>
      <c r="E446" s="2"/>
      <c r="F446" s="464"/>
      <c r="G446" s="2"/>
      <c r="H446" s="2"/>
      <c r="I446" s="2"/>
      <c r="J446" s="2"/>
      <c r="K446" s="2"/>
      <c r="L446" s="2"/>
      <c r="M446" s="2"/>
      <c r="N446" s="2"/>
      <c r="O446" s="2"/>
      <c r="P446" s="2"/>
      <c r="Q446" s="2"/>
      <c r="R446" s="2"/>
      <c r="S446" s="3"/>
      <c r="T446" s="3"/>
      <c r="U446" s="3"/>
      <c r="V446" s="3"/>
      <c r="W446" s="3"/>
      <c r="X446" s="3"/>
      <c r="Y446" s="3"/>
      <c r="Z446" s="3"/>
    </row>
    <row r="447" ht="15.75" customHeight="1">
      <c r="A447" s="3"/>
      <c r="B447" s="576"/>
      <c r="C447" s="2"/>
      <c r="D447" s="2"/>
      <c r="E447" s="2"/>
      <c r="F447" s="464"/>
      <c r="G447" s="2"/>
      <c r="H447" s="2"/>
      <c r="I447" s="2"/>
      <c r="J447" s="2"/>
      <c r="K447" s="2"/>
      <c r="L447" s="2"/>
      <c r="M447" s="2"/>
      <c r="N447" s="2"/>
      <c r="O447" s="2"/>
      <c r="P447" s="2"/>
      <c r="Q447" s="2"/>
      <c r="R447" s="2"/>
      <c r="S447" s="3"/>
      <c r="T447" s="3"/>
      <c r="U447" s="3"/>
      <c r="V447" s="3"/>
      <c r="W447" s="3"/>
      <c r="X447" s="3"/>
      <c r="Y447" s="3"/>
      <c r="Z447" s="3"/>
    </row>
    <row r="448" ht="15.75" customHeight="1">
      <c r="A448" s="3"/>
      <c r="B448" s="576"/>
      <c r="C448" s="2"/>
      <c r="D448" s="2"/>
      <c r="E448" s="2"/>
      <c r="F448" s="464"/>
      <c r="G448" s="2"/>
      <c r="H448" s="2"/>
      <c r="I448" s="2"/>
      <c r="J448" s="2"/>
      <c r="K448" s="2"/>
      <c r="L448" s="2"/>
      <c r="M448" s="2"/>
      <c r="N448" s="2"/>
      <c r="O448" s="2"/>
      <c r="P448" s="2"/>
      <c r="Q448" s="2"/>
      <c r="R448" s="2"/>
      <c r="S448" s="3"/>
      <c r="T448" s="3"/>
      <c r="U448" s="3"/>
      <c r="V448" s="3"/>
      <c r="W448" s="3"/>
      <c r="X448" s="3"/>
      <c r="Y448" s="3"/>
      <c r="Z448" s="3"/>
    </row>
    <row r="449" ht="15.75" customHeight="1">
      <c r="A449" s="3"/>
      <c r="B449" s="576"/>
      <c r="C449" s="2"/>
      <c r="D449" s="2"/>
      <c r="E449" s="2"/>
      <c r="F449" s="464"/>
      <c r="G449" s="2"/>
      <c r="H449" s="2"/>
      <c r="I449" s="2"/>
      <c r="J449" s="2"/>
      <c r="K449" s="2"/>
      <c r="L449" s="2"/>
      <c r="M449" s="2"/>
      <c r="N449" s="2"/>
      <c r="O449" s="2"/>
      <c r="P449" s="2"/>
      <c r="Q449" s="2"/>
      <c r="R449" s="2"/>
      <c r="S449" s="3"/>
      <c r="T449" s="3"/>
      <c r="U449" s="3"/>
      <c r="V449" s="3"/>
      <c r="W449" s="3"/>
      <c r="X449" s="3"/>
      <c r="Y449" s="3"/>
      <c r="Z449" s="3"/>
    </row>
    <row r="450" ht="15.75" customHeight="1">
      <c r="A450" s="3"/>
      <c r="B450" s="576"/>
      <c r="C450" s="2"/>
      <c r="D450" s="2"/>
      <c r="E450" s="2"/>
      <c r="F450" s="464"/>
      <c r="G450" s="2"/>
      <c r="H450" s="2"/>
      <c r="I450" s="2"/>
      <c r="J450" s="2"/>
      <c r="K450" s="2"/>
      <c r="L450" s="2"/>
      <c r="M450" s="2"/>
      <c r="N450" s="2"/>
      <c r="O450" s="2"/>
      <c r="P450" s="2"/>
      <c r="Q450" s="2"/>
      <c r="R450" s="2"/>
      <c r="S450" s="3"/>
      <c r="T450" s="3"/>
      <c r="U450" s="3"/>
      <c r="V450" s="3"/>
      <c r="W450" s="3"/>
      <c r="X450" s="3"/>
      <c r="Y450" s="3"/>
      <c r="Z450" s="3"/>
    </row>
    <row r="451" ht="15.75" customHeight="1">
      <c r="A451" s="3"/>
      <c r="B451" s="576"/>
      <c r="C451" s="2"/>
      <c r="D451" s="2"/>
      <c r="E451" s="2"/>
      <c r="F451" s="464"/>
      <c r="G451" s="2"/>
      <c r="H451" s="2"/>
      <c r="I451" s="2"/>
      <c r="J451" s="2"/>
      <c r="K451" s="2"/>
      <c r="L451" s="2"/>
      <c r="M451" s="2"/>
      <c r="N451" s="2"/>
      <c r="O451" s="2"/>
      <c r="P451" s="2"/>
      <c r="Q451" s="2"/>
      <c r="R451" s="2"/>
      <c r="S451" s="3"/>
      <c r="T451" s="3"/>
      <c r="U451" s="3"/>
      <c r="V451" s="3"/>
      <c r="W451" s="3"/>
      <c r="X451" s="3"/>
      <c r="Y451" s="3"/>
      <c r="Z451" s="3"/>
    </row>
    <row r="452" ht="15.75" customHeight="1">
      <c r="A452" s="3"/>
      <c r="B452" s="576"/>
      <c r="C452" s="2"/>
      <c r="D452" s="2"/>
      <c r="E452" s="2"/>
      <c r="F452" s="464"/>
      <c r="G452" s="2"/>
      <c r="H452" s="2"/>
      <c r="I452" s="2"/>
      <c r="J452" s="2"/>
      <c r="K452" s="2"/>
      <c r="L452" s="2"/>
      <c r="M452" s="2"/>
      <c r="N452" s="2"/>
      <c r="O452" s="2"/>
      <c r="P452" s="2"/>
      <c r="Q452" s="2"/>
      <c r="R452" s="2"/>
      <c r="S452" s="3"/>
      <c r="T452" s="3"/>
      <c r="U452" s="3"/>
      <c r="V452" s="3"/>
      <c r="W452" s="3"/>
      <c r="X452" s="3"/>
      <c r="Y452" s="3"/>
      <c r="Z452" s="3"/>
    </row>
    <row r="453" ht="15.75" customHeight="1">
      <c r="A453" s="3"/>
      <c r="B453" s="576"/>
      <c r="C453" s="2"/>
      <c r="D453" s="2"/>
      <c r="E453" s="2"/>
      <c r="F453" s="464"/>
      <c r="G453" s="2"/>
      <c r="H453" s="2"/>
      <c r="I453" s="2"/>
      <c r="J453" s="2"/>
      <c r="K453" s="2"/>
      <c r="L453" s="2"/>
      <c r="M453" s="2"/>
      <c r="N453" s="2"/>
      <c r="O453" s="2"/>
      <c r="P453" s="2"/>
      <c r="Q453" s="2"/>
      <c r="R453" s="2"/>
      <c r="S453" s="3"/>
      <c r="T453" s="3"/>
      <c r="U453" s="3"/>
      <c r="V453" s="3"/>
      <c r="W453" s="3"/>
      <c r="X453" s="3"/>
      <c r="Y453" s="3"/>
      <c r="Z453" s="3"/>
    </row>
    <row r="454" ht="15.75" customHeight="1">
      <c r="A454" s="3"/>
      <c r="B454" s="576"/>
      <c r="C454" s="2"/>
      <c r="D454" s="2"/>
      <c r="E454" s="2"/>
      <c r="F454" s="464"/>
      <c r="G454" s="2"/>
      <c r="H454" s="2"/>
      <c r="I454" s="2"/>
      <c r="J454" s="2"/>
      <c r="K454" s="2"/>
      <c r="L454" s="2"/>
      <c r="M454" s="2"/>
      <c r="N454" s="2"/>
      <c r="O454" s="2"/>
      <c r="P454" s="2"/>
      <c r="Q454" s="2"/>
      <c r="R454" s="2"/>
      <c r="S454" s="3"/>
      <c r="T454" s="3"/>
      <c r="U454" s="3"/>
      <c r="V454" s="3"/>
      <c r="W454" s="3"/>
      <c r="X454" s="3"/>
      <c r="Y454" s="3"/>
      <c r="Z454" s="3"/>
    </row>
    <row r="455" ht="15.75" customHeight="1">
      <c r="A455" s="3"/>
      <c r="B455" s="576"/>
      <c r="C455" s="2"/>
      <c r="D455" s="2"/>
      <c r="E455" s="2"/>
      <c r="F455" s="464"/>
      <c r="G455" s="2"/>
      <c r="H455" s="2"/>
      <c r="I455" s="2"/>
      <c r="J455" s="2"/>
      <c r="K455" s="2"/>
      <c r="L455" s="2"/>
      <c r="M455" s="2"/>
      <c r="N455" s="2"/>
      <c r="O455" s="2"/>
      <c r="P455" s="2"/>
      <c r="Q455" s="2"/>
      <c r="R455" s="2"/>
      <c r="S455" s="3"/>
      <c r="T455" s="3"/>
      <c r="U455" s="3"/>
      <c r="V455" s="3"/>
      <c r="W455" s="3"/>
      <c r="X455" s="3"/>
      <c r="Y455" s="3"/>
      <c r="Z455" s="3"/>
    </row>
    <row r="456" ht="15.75" customHeight="1">
      <c r="A456" s="3"/>
      <c r="B456" s="576"/>
      <c r="C456" s="2"/>
      <c r="D456" s="2"/>
      <c r="E456" s="2"/>
      <c r="F456" s="464"/>
      <c r="G456" s="2"/>
      <c r="H456" s="2"/>
      <c r="I456" s="2"/>
      <c r="J456" s="2"/>
      <c r="K456" s="2"/>
      <c r="L456" s="2"/>
      <c r="M456" s="2"/>
      <c r="N456" s="2"/>
      <c r="O456" s="2"/>
      <c r="P456" s="2"/>
      <c r="Q456" s="2"/>
      <c r="R456" s="2"/>
      <c r="S456" s="3"/>
      <c r="T456" s="3"/>
      <c r="U456" s="3"/>
      <c r="V456" s="3"/>
      <c r="W456" s="3"/>
      <c r="X456" s="3"/>
      <c r="Y456" s="3"/>
      <c r="Z456" s="3"/>
    </row>
    <row r="457" ht="15.75" customHeight="1">
      <c r="A457" s="3"/>
      <c r="B457" s="576"/>
      <c r="C457" s="2"/>
      <c r="D457" s="2"/>
      <c r="E457" s="2"/>
      <c r="F457" s="464"/>
      <c r="G457" s="2"/>
      <c r="H457" s="2"/>
      <c r="I457" s="2"/>
      <c r="J457" s="2"/>
      <c r="K457" s="2"/>
      <c r="L457" s="2"/>
      <c r="M457" s="2"/>
      <c r="N457" s="2"/>
      <c r="O457" s="2"/>
      <c r="P457" s="2"/>
      <c r="Q457" s="2"/>
      <c r="R457" s="2"/>
      <c r="S457" s="3"/>
      <c r="T457" s="3"/>
      <c r="U457" s="3"/>
      <c r="V457" s="3"/>
      <c r="W457" s="3"/>
      <c r="X457" s="3"/>
      <c r="Y457" s="3"/>
      <c r="Z457" s="3"/>
    </row>
    <row r="458" ht="15.75" customHeight="1">
      <c r="A458" s="3"/>
      <c r="B458" s="576"/>
      <c r="C458" s="2"/>
      <c r="D458" s="2"/>
      <c r="E458" s="2"/>
      <c r="F458" s="464"/>
      <c r="G458" s="2"/>
      <c r="H458" s="2"/>
      <c r="I458" s="2"/>
      <c r="J458" s="2"/>
      <c r="K458" s="2"/>
      <c r="L458" s="2"/>
      <c r="M458" s="2"/>
      <c r="N458" s="2"/>
      <c r="O458" s="2"/>
      <c r="P458" s="2"/>
      <c r="Q458" s="2"/>
      <c r="R458" s="2"/>
      <c r="S458" s="3"/>
      <c r="T458" s="3"/>
      <c r="U458" s="3"/>
      <c r="V458" s="3"/>
      <c r="W458" s="3"/>
      <c r="X458" s="3"/>
      <c r="Y458" s="3"/>
      <c r="Z458" s="3"/>
    </row>
    <row r="459" ht="15.75" customHeight="1">
      <c r="A459" s="3"/>
      <c r="B459" s="576"/>
      <c r="C459" s="2"/>
      <c r="D459" s="2"/>
      <c r="E459" s="2"/>
      <c r="F459" s="464"/>
      <c r="G459" s="2"/>
      <c r="H459" s="2"/>
      <c r="I459" s="2"/>
      <c r="J459" s="2"/>
      <c r="K459" s="2"/>
      <c r="L459" s="2"/>
      <c r="M459" s="2"/>
      <c r="N459" s="2"/>
      <c r="O459" s="2"/>
      <c r="P459" s="2"/>
      <c r="Q459" s="2"/>
      <c r="R459" s="2"/>
      <c r="S459" s="3"/>
      <c r="T459" s="3"/>
      <c r="U459" s="3"/>
      <c r="V459" s="3"/>
      <c r="W459" s="3"/>
      <c r="X459" s="3"/>
      <c r="Y459" s="3"/>
      <c r="Z459" s="3"/>
    </row>
    <row r="460" ht="15.75" customHeight="1">
      <c r="A460" s="3"/>
      <c r="B460" s="576"/>
      <c r="C460" s="2"/>
      <c r="D460" s="2"/>
      <c r="E460" s="2"/>
      <c r="F460" s="464"/>
      <c r="G460" s="2"/>
      <c r="H460" s="2"/>
      <c r="I460" s="2"/>
      <c r="J460" s="2"/>
      <c r="K460" s="2"/>
      <c r="L460" s="2"/>
      <c r="M460" s="2"/>
      <c r="N460" s="2"/>
      <c r="O460" s="2"/>
      <c r="P460" s="2"/>
      <c r="Q460" s="2"/>
      <c r="R460" s="2"/>
      <c r="S460" s="3"/>
      <c r="T460" s="3"/>
      <c r="U460" s="3"/>
      <c r="V460" s="3"/>
      <c r="W460" s="3"/>
      <c r="X460" s="3"/>
      <c r="Y460" s="3"/>
      <c r="Z460" s="3"/>
    </row>
    <row r="461" ht="15.75" customHeight="1">
      <c r="A461" s="3"/>
      <c r="B461" s="576"/>
      <c r="C461" s="2"/>
      <c r="D461" s="2"/>
      <c r="E461" s="2"/>
      <c r="F461" s="464"/>
      <c r="G461" s="2"/>
      <c r="H461" s="2"/>
      <c r="I461" s="2"/>
      <c r="J461" s="2"/>
      <c r="K461" s="2"/>
      <c r="L461" s="2"/>
      <c r="M461" s="2"/>
      <c r="N461" s="2"/>
      <c r="O461" s="2"/>
      <c r="P461" s="2"/>
      <c r="Q461" s="2"/>
      <c r="R461" s="2"/>
      <c r="S461" s="3"/>
      <c r="T461" s="3"/>
      <c r="U461" s="3"/>
      <c r="V461" s="3"/>
      <c r="W461" s="3"/>
      <c r="X461" s="3"/>
      <c r="Y461" s="3"/>
      <c r="Z461" s="3"/>
    </row>
    <row r="462" ht="15.75" customHeight="1">
      <c r="A462" s="3"/>
      <c r="B462" s="576"/>
      <c r="C462" s="2"/>
      <c r="D462" s="2"/>
      <c r="E462" s="2"/>
      <c r="F462" s="464"/>
      <c r="G462" s="2"/>
      <c r="H462" s="2"/>
      <c r="I462" s="2"/>
      <c r="J462" s="2"/>
      <c r="K462" s="2"/>
      <c r="L462" s="2"/>
      <c r="M462" s="2"/>
      <c r="N462" s="2"/>
      <c r="O462" s="2"/>
      <c r="P462" s="2"/>
      <c r="Q462" s="2"/>
      <c r="R462" s="2"/>
      <c r="S462" s="3"/>
      <c r="T462" s="3"/>
      <c r="U462" s="3"/>
      <c r="V462" s="3"/>
      <c r="W462" s="3"/>
      <c r="X462" s="3"/>
      <c r="Y462" s="3"/>
      <c r="Z462" s="3"/>
    </row>
    <row r="463" ht="15.75" customHeight="1">
      <c r="A463" s="3"/>
      <c r="B463" s="576"/>
      <c r="C463" s="2"/>
      <c r="D463" s="2"/>
      <c r="E463" s="2"/>
      <c r="F463" s="464"/>
      <c r="G463" s="2"/>
      <c r="H463" s="2"/>
      <c r="I463" s="2"/>
      <c r="J463" s="2"/>
      <c r="K463" s="2"/>
      <c r="L463" s="2"/>
      <c r="M463" s="2"/>
      <c r="N463" s="2"/>
      <c r="O463" s="2"/>
      <c r="P463" s="2"/>
      <c r="Q463" s="2"/>
      <c r="R463" s="2"/>
      <c r="S463" s="3"/>
      <c r="T463" s="3"/>
      <c r="U463" s="3"/>
      <c r="V463" s="3"/>
      <c r="W463" s="3"/>
      <c r="X463" s="3"/>
      <c r="Y463" s="3"/>
      <c r="Z463" s="3"/>
    </row>
    <row r="464" ht="15.75" customHeight="1">
      <c r="A464" s="3"/>
      <c r="B464" s="576"/>
      <c r="C464" s="2"/>
      <c r="D464" s="2"/>
      <c r="E464" s="2"/>
      <c r="F464" s="464"/>
      <c r="G464" s="2"/>
      <c r="H464" s="2"/>
      <c r="I464" s="2"/>
      <c r="J464" s="2"/>
      <c r="K464" s="2"/>
      <c r="L464" s="2"/>
      <c r="M464" s="2"/>
      <c r="N464" s="2"/>
      <c r="O464" s="2"/>
      <c r="P464" s="2"/>
      <c r="Q464" s="2"/>
      <c r="R464" s="2"/>
      <c r="S464" s="3"/>
      <c r="T464" s="3"/>
      <c r="U464" s="3"/>
      <c r="V464" s="3"/>
      <c r="W464" s="3"/>
      <c r="X464" s="3"/>
      <c r="Y464" s="3"/>
      <c r="Z464" s="3"/>
    </row>
    <row r="465" ht="15.75" customHeight="1">
      <c r="A465" s="3"/>
      <c r="B465" s="576"/>
      <c r="C465" s="2"/>
      <c r="D465" s="2"/>
      <c r="E465" s="2"/>
      <c r="F465" s="464"/>
      <c r="G465" s="2"/>
      <c r="H465" s="2"/>
      <c r="I465" s="2"/>
      <c r="J465" s="2"/>
      <c r="K465" s="2"/>
      <c r="L465" s="2"/>
      <c r="M465" s="2"/>
      <c r="N465" s="2"/>
      <c r="O465" s="2"/>
      <c r="P465" s="2"/>
      <c r="Q465" s="2"/>
      <c r="R465" s="2"/>
      <c r="S465" s="3"/>
      <c r="T465" s="3"/>
      <c r="U465" s="3"/>
      <c r="V465" s="3"/>
      <c r="W465" s="3"/>
      <c r="X465" s="3"/>
      <c r="Y465" s="3"/>
      <c r="Z465" s="3"/>
    </row>
    <row r="466" ht="15.75" customHeight="1">
      <c r="A466" s="3"/>
      <c r="B466" s="576"/>
      <c r="C466" s="2"/>
      <c r="D466" s="2"/>
      <c r="E466" s="2"/>
      <c r="F466" s="464"/>
      <c r="G466" s="2"/>
      <c r="H466" s="2"/>
      <c r="I466" s="2"/>
      <c r="J466" s="2"/>
      <c r="K466" s="2"/>
      <c r="L466" s="2"/>
      <c r="M466" s="2"/>
      <c r="N466" s="2"/>
      <c r="O466" s="2"/>
      <c r="P466" s="2"/>
      <c r="Q466" s="2"/>
      <c r="R466" s="2"/>
      <c r="S466" s="3"/>
      <c r="T466" s="3"/>
      <c r="U466" s="3"/>
      <c r="V466" s="3"/>
      <c r="W466" s="3"/>
      <c r="X466" s="3"/>
      <c r="Y466" s="3"/>
      <c r="Z466" s="3"/>
    </row>
    <row r="467" ht="15.75" customHeight="1">
      <c r="A467" s="3"/>
      <c r="B467" s="576"/>
      <c r="C467" s="2"/>
      <c r="D467" s="2"/>
      <c r="E467" s="2"/>
      <c r="F467" s="464"/>
      <c r="G467" s="2"/>
      <c r="H467" s="2"/>
      <c r="I467" s="2"/>
      <c r="J467" s="2"/>
      <c r="K467" s="2"/>
      <c r="L467" s="2"/>
      <c r="M467" s="2"/>
      <c r="N467" s="2"/>
      <c r="O467" s="2"/>
      <c r="P467" s="2"/>
      <c r="Q467" s="2"/>
      <c r="R467" s="2"/>
      <c r="S467" s="3"/>
      <c r="T467" s="3"/>
      <c r="U467" s="3"/>
      <c r="V467" s="3"/>
      <c r="W467" s="3"/>
      <c r="X467" s="3"/>
      <c r="Y467" s="3"/>
      <c r="Z467" s="3"/>
    </row>
    <row r="468" ht="15.75" customHeight="1">
      <c r="A468" s="3"/>
      <c r="B468" s="576"/>
      <c r="C468" s="2"/>
      <c r="D468" s="2"/>
      <c r="E468" s="2"/>
      <c r="F468" s="464"/>
      <c r="G468" s="2"/>
      <c r="H468" s="2"/>
      <c r="I468" s="2"/>
      <c r="J468" s="2"/>
      <c r="K468" s="2"/>
      <c r="L468" s="2"/>
      <c r="M468" s="2"/>
      <c r="N468" s="2"/>
      <c r="O468" s="2"/>
      <c r="P468" s="2"/>
      <c r="Q468" s="2"/>
      <c r="R468" s="2"/>
      <c r="S468" s="3"/>
      <c r="T468" s="3"/>
      <c r="U468" s="3"/>
      <c r="V468" s="3"/>
      <c r="W468" s="3"/>
      <c r="X468" s="3"/>
      <c r="Y468" s="3"/>
      <c r="Z468" s="3"/>
    </row>
    <row r="469" ht="15.75" customHeight="1">
      <c r="A469" s="3"/>
      <c r="B469" s="576"/>
      <c r="C469" s="2"/>
      <c r="D469" s="2"/>
      <c r="E469" s="2"/>
      <c r="F469" s="464"/>
      <c r="G469" s="2"/>
      <c r="H469" s="2"/>
      <c r="I469" s="2"/>
      <c r="J469" s="2"/>
      <c r="K469" s="2"/>
      <c r="L469" s="2"/>
      <c r="M469" s="2"/>
      <c r="N469" s="2"/>
      <c r="O469" s="2"/>
      <c r="P469" s="2"/>
      <c r="Q469" s="2"/>
      <c r="R469" s="2"/>
      <c r="S469" s="3"/>
      <c r="T469" s="3"/>
      <c r="U469" s="3"/>
      <c r="V469" s="3"/>
      <c r="W469" s="3"/>
      <c r="X469" s="3"/>
      <c r="Y469" s="3"/>
      <c r="Z469" s="3"/>
    </row>
    <row r="470" ht="15.75" customHeight="1">
      <c r="A470" s="3"/>
      <c r="B470" s="576"/>
      <c r="C470" s="2"/>
      <c r="D470" s="2"/>
      <c r="E470" s="2"/>
      <c r="F470" s="464"/>
      <c r="G470" s="2"/>
      <c r="H470" s="2"/>
      <c r="I470" s="2"/>
      <c r="J470" s="2"/>
      <c r="K470" s="2"/>
      <c r="L470" s="2"/>
      <c r="M470" s="2"/>
      <c r="N470" s="2"/>
      <c r="O470" s="2"/>
      <c r="P470" s="2"/>
      <c r="Q470" s="2"/>
      <c r="R470" s="2"/>
      <c r="S470" s="3"/>
      <c r="T470" s="3"/>
      <c r="U470" s="3"/>
      <c r="V470" s="3"/>
      <c r="W470" s="3"/>
      <c r="X470" s="3"/>
      <c r="Y470" s="3"/>
      <c r="Z470" s="3"/>
    </row>
    <row r="471" ht="15.75" customHeight="1">
      <c r="A471" s="3"/>
      <c r="B471" s="576"/>
      <c r="C471" s="2"/>
      <c r="D471" s="2"/>
      <c r="E471" s="2"/>
      <c r="F471" s="464"/>
      <c r="G471" s="2"/>
      <c r="H471" s="2"/>
      <c r="I471" s="2"/>
      <c r="J471" s="2"/>
      <c r="K471" s="2"/>
      <c r="L471" s="2"/>
      <c r="M471" s="2"/>
      <c r="N471" s="2"/>
      <c r="O471" s="2"/>
      <c r="P471" s="2"/>
      <c r="Q471" s="2"/>
      <c r="R471" s="2"/>
      <c r="S471" s="3"/>
      <c r="T471" s="3"/>
      <c r="U471" s="3"/>
      <c r="V471" s="3"/>
      <c r="W471" s="3"/>
      <c r="X471" s="3"/>
      <c r="Y471" s="3"/>
      <c r="Z471" s="3"/>
    </row>
    <row r="472" ht="15.75" customHeight="1">
      <c r="A472" s="3"/>
      <c r="B472" s="576"/>
      <c r="C472" s="2"/>
      <c r="D472" s="2"/>
      <c r="E472" s="2"/>
      <c r="F472" s="464"/>
      <c r="G472" s="2"/>
      <c r="H472" s="2"/>
      <c r="I472" s="2"/>
      <c r="J472" s="2"/>
      <c r="K472" s="2"/>
      <c r="L472" s="2"/>
      <c r="M472" s="2"/>
      <c r="N472" s="2"/>
      <c r="O472" s="2"/>
      <c r="P472" s="2"/>
      <c r="Q472" s="2"/>
      <c r="R472" s="2"/>
      <c r="S472" s="3"/>
      <c r="T472" s="3"/>
      <c r="U472" s="3"/>
      <c r="V472" s="3"/>
      <c r="W472" s="3"/>
      <c r="X472" s="3"/>
      <c r="Y472" s="3"/>
      <c r="Z472" s="3"/>
    </row>
    <row r="473" ht="15.75" customHeight="1">
      <c r="A473" s="3"/>
      <c r="B473" s="576"/>
      <c r="C473" s="2"/>
      <c r="D473" s="2"/>
      <c r="E473" s="2"/>
      <c r="F473" s="464"/>
      <c r="G473" s="2"/>
      <c r="H473" s="2"/>
      <c r="I473" s="2"/>
      <c r="J473" s="2"/>
      <c r="K473" s="2"/>
      <c r="L473" s="2"/>
      <c r="M473" s="2"/>
      <c r="N473" s="2"/>
      <c r="O473" s="2"/>
      <c r="P473" s="2"/>
      <c r="Q473" s="2"/>
      <c r="R473" s="2"/>
      <c r="S473" s="3"/>
      <c r="T473" s="3"/>
      <c r="U473" s="3"/>
      <c r="V473" s="3"/>
      <c r="W473" s="3"/>
      <c r="X473" s="3"/>
      <c r="Y473" s="3"/>
      <c r="Z473" s="3"/>
    </row>
    <row r="474" ht="15.75" customHeight="1">
      <c r="A474" s="3"/>
      <c r="B474" s="576"/>
      <c r="C474" s="2"/>
      <c r="D474" s="2"/>
      <c r="E474" s="2"/>
      <c r="F474" s="464"/>
      <c r="G474" s="2"/>
      <c r="H474" s="2"/>
      <c r="I474" s="2"/>
      <c r="J474" s="2"/>
      <c r="K474" s="2"/>
      <c r="L474" s="2"/>
      <c r="M474" s="2"/>
      <c r="N474" s="2"/>
      <c r="O474" s="2"/>
      <c r="P474" s="2"/>
      <c r="Q474" s="2"/>
      <c r="R474" s="2"/>
      <c r="S474" s="3"/>
      <c r="T474" s="3"/>
      <c r="U474" s="3"/>
      <c r="V474" s="3"/>
      <c r="W474" s="3"/>
      <c r="X474" s="3"/>
      <c r="Y474" s="3"/>
      <c r="Z474" s="3"/>
    </row>
    <row r="475" ht="15.75" customHeight="1">
      <c r="A475" s="3"/>
      <c r="B475" s="576"/>
      <c r="C475" s="2"/>
      <c r="D475" s="2"/>
      <c r="E475" s="2"/>
      <c r="F475" s="464"/>
      <c r="G475" s="2"/>
      <c r="H475" s="2"/>
      <c r="I475" s="2"/>
      <c r="J475" s="2"/>
      <c r="K475" s="2"/>
      <c r="L475" s="2"/>
      <c r="M475" s="2"/>
      <c r="N475" s="2"/>
      <c r="O475" s="2"/>
      <c r="P475" s="2"/>
      <c r="Q475" s="2"/>
      <c r="R475" s="2"/>
      <c r="S475" s="3"/>
      <c r="T475" s="3"/>
      <c r="U475" s="3"/>
      <c r="V475" s="3"/>
      <c r="W475" s="3"/>
      <c r="X475" s="3"/>
      <c r="Y475" s="3"/>
      <c r="Z475" s="3"/>
    </row>
    <row r="476" ht="15.75" customHeight="1">
      <c r="A476" s="3"/>
      <c r="B476" s="576"/>
      <c r="C476" s="2"/>
      <c r="D476" s="2"/>
      <c r="E476" s="2"/>
      <c r="F476" s="464"/>
      <c r="G476" s="2"/>
      <c r="H476" s="2"/>
      <c r="I476" s="2"/>
      <c r="J476" s="2"/>
      <c r="K476" s="2"/>
      <c r="L476" s="2"/>
      <c r="M476" s="2"/>
      <c r="N476" s="2"/>
      <c r="O476" s="2"/>
      <c r="P476" s="2"/>
      <c r="Q476" s="2"/>
      <c r="R476" s="2"/>
      <c r="S476" s="3"/>
      <c r="T476" s="3"/>
      <c r="U476" s="3"/>
      <c r="V476" s="3"/>
      <c r="W476" s="3"/>
      <c r="X476" s="3"/>
      <c r="Y476" s="3"/>
      <c r="Z476" s="3"/>
    </row>
    <row r="477" ht="15.75" customHeight="1">
      <c r="A477" s="3"/>
      <c r="B477" s="576"/>
      <c r="C477" s="2"/>
      <c r="D477" s="2"/>
      <c r="E477" s="2"/>
      <c r="F477" s="464"/>
      <c r="G477" s="2"/>
      <c r="H477" s="2"/>
      <c r="I477" s="2"/>
      <c r="J477" s="2"/>
      <c r="K477" s="2"/>
      <c r="L477" s="2"/>
      <c r="M477" s="2"/>
      <c r="N477" s="2"/>
      <c r="O477" s="2"/>
      <c r="P477" s="2"/>
      <c r="Q477" s="2"/>
      <c r="R477" s="2"/>
      <c r="S477" s="3"/>
      <c r="T477" s="3"/>
      <c r="U477" s="3"/>
      <c r="V477" s="3"/>
      <c r="W477" s="3"/>
      <c r="X477" s="3"/>
      <c r="Y477" s="3"/>
      <c r="Z477" s="3"/>
    </row>
    <row r="478" ht="15.75" customHeight="1">
      <c r="A478" s="3"/>
      <c r="B478" s="576"/>
      <c r="C478" s="2"/>
      <c r="D478" s="2"/>
      <c r="E478" s="2"/>
      <c r="F478" s="464"/>
      <c r="G478" s="2"/>
      <c r="H478" s="2"/>
      <c r="I478" s="2"/>
      <c r="J478" s="2"/>
      <c r="K478" s="2"/>
      <c r="L478" s="2"/>
      <c r="M478" s="2"/>
      <c r="N478" s="2"/>
      <c r="O478" s="2"/>
      <c r="P478" s="2"/>
      <c r="Q478" s="2"/>
      <c r="R478" s="2"/>
      <c r="S478" s="3"/>
      <c r="T478" s="3"/>
      <c r="U478" s="3"/>
      <c r="V478" s="3"/>
      <c r="W478" s="3"/>
      <c r="X478" s="3"/>
      <c r="Y478" s="3"/>
      <c r="Z478" s="3"/>
    </row>
    <row r="479" ht="15.75" customHeight="1">
      <c r="A479" s="3"/>
      <c r="B479" s="576"/>
      <c r="C479" s="2"/>
      <c r="D479" s="2"/>
      <c r="E479" s="2"/>
      <c r="F479" s="464"/>
      <c r="G479" s="2"/>
      <c r="H479" s="2"/>
      <c r="I479" s="2"/>
      <c r="J479" s="2"/>
      <c r="K479" s="2"/>
      <c r="L479" s="2"/>
      <c r="M479" s="2"/>
      <c r="N479" s="2"/>
      <c r="O479" s="2"/>
      <c r="P479" s="2"/>
      <c r="Q479" s="2"/>
      <c r="R479" s="2"/>
      <c r="S479" s="3"/>
      <c r="T479" s="3"/>
      <c r="U479" s="3"/>
      <c r="V479" s="3"/>
      <c r="W479" s="3"/>
      <c r="X479" s="3"/>
      <c r="Y479" s="3"/>
      <c r="Z479" s="3"/>
    </row>
    <row r="480" ht="15.75" customHeight="1">
      <c r="A480" s="3"/>
      <c r="B480" s="576"/>
      <c r="C480" s="2"/>
      <c r="D480" s="2"/>
      <c r="E480" s="2"/>
      <c r="F480" s="464"/>
      <c r="G480" s="2"/>
      <c r="H480" s="2"/>
      <c r="I480" s="2"/>
      <c r="J480" s="2"/>
      <c r="K480" s="2"/>
      <c r="L480" s="2"/>
      <c r="M480" s="2"/>
      <c r="N480" s="2"/>
      <c r="O480" s="2"/>
      <c r="P480" s="2"/>
      <c r="Q480" s="2"/>
      <c r="R480" s="2"/>
      <c r="S480" s="3"/>
      <c r="T480" s="3"/>
      <c r="U480" s="3"/>
      <c r="V480" s="3"/>
      <c r="W480" s="3"/>
      <c r="X480" s="3"/>
      <c r="Y480" s="3"/>
      <c r="Z480" s="3"/>
    </row>
    <row r="481" ht="15.75" customHeight="1">
      <c r="A481" s="3"/>
      <c r="B481" s="576"/>
      <c r="C481" s="2"/>
      <c r="D481" s="2"/>
      <c r="E481" s="2"/>
      <c r="F481" s="464"/>
      <c r="G481" s="2"/>
      <c r="H481" s="2"/>
      <c r="I481" s="2"/>
      <c r="J481" s="2"/>
      <c r="K481" s="2"/>
      <c r="L481" s="2"/>
      <c r="M481" s="2"/>
      <c r="N481" s="2"/>
      <c r="O481" s="2"/>
      <c r="P481" s="2"/>
      <c r="Q481" s="2"/>
      <c r="R481" s="2"/>
      <c r="S481" s="3"/>
      <c r="T481" s="3"/>
      <c r="U481" s="3"/>
      <c r="V481" s="3"/>
      <c r="W481" s="3"/>
      <c r="X481" s="3"/>
      <c r="Y481" s="3"/>
      <c r="Z481" s="3"/>
    </row>
    <row r="482" ht="15.75" customHeight="1">
      <c r="A482" s="3"/>
      <c r="B482" s="576"/>
      <c r="C482" s="2"/>
      <c r="D482" s="2"/>
      <c r="E482" s="2"/>
      <c r="F482" s="464"/>
      <c r="G482" s="2"/>
      <c r="H482" s="2"/>
      <c r="I482" s="2"/>
      <c r="J482" s="2"/>
      <c r="K482" s="2"/>
      <c r="L482" s="2"/>
      <c r="M482" s="2"/>
      <c r="N482" s="2"/>
      <c r="O482" s="2"/>
      <c r="P482" s="2"/>
      <c r="Q482" s="2"/>
      <c r="R482" s="2"/>
      <c r="S482" s="3"/>
      <c r="T482" s="3"/>
      <c r="U482" s="3"/>
      <c r="V482" s="3"/>
      <c r="W482" s="3"/>
      <c r="X482" s="3"/>
      <c r="Y482" s="3"/>
      <c r="Z482" s="3"/>
    </row>
    <row r="483" ht="15.75" customHeight="1">
      <c r="A483" s="3"/>
      <c r="B483" s="576"/>
      <c r="C483" s="2"/>
      <c r="D483" s="2"/>
      <c r="E483" s="2"/>
      <c r="F483" s="464"/>
      <c r="G483" s="2"/>
      <c r="H483" s="2"/>
      <c r="I483" s="2"/>
      <c r="J483" s="2"/>
      <c r="K483" s="2"/>
      <c r="L483" s="2"/>
      <c r="M483" s="2"/>
      <c r="N483" s="2"/>
      <c r="O483" s="2"/>
      <c r="P483" s="2"/>
      <c r="Q483" s="2"/>
      <c r="R483" s="2"/>
      <c r="S483" s="3"/>
      <c r="T483" s="3"/>
      <c r="U483" s="3"/>
      <c r="V483" s="3"/>
      <c r="W483" s="3"/>
      <c r="X483" s="3"/>
      <c r="Y483" s="3"/>
      <c r="Z483" s="3"/>
    </row>
    <row r="484" ht="15.75" customHeight="1">
      <c r="A484" s="3"/>
      <c r="B484" s="576"/>
      <c r="C484" s="2"/>
      <c r="D484" s="2"/>
      <c r="E484" s="2"/>
      <c r="F484" s="464"/>
      <c r="G484" s="2"/>
      <c r="H484" s="2"/>
      <c r="I484" s="2"/>
      <c r="J484" s="2"/>
      <c r="K484" s="2"/>
      <c r="L484" s="2"/>
      <c r="M484" s="2"/>
      <c r="N484" s="2"/>
      <c r="O484" s="2"/>
      <c r="P484" s="2"/>
      <c r="Q484" s="2"/>
      <c r="R484" s="2"/>
      <c r="S484" s="3"/>
      <c r="T484" s="3"/>
      <c r="U484" s="3"/>
      <c r="V484" s="3"/>
      <c r="W484" s="3"/>
      <c r="X484" s="3"/>
      <c r="Y484" s="3"/>
      <c r="Z484" s="3"/>
    </row>
    <row r="485" ht="15.75" customHeight="1">
      <c r="A485" s="3"/>
      <c r="B485" s="576"/>
      <c r="C485" s="2"/>
      <c r="D485" s="2"/>
      <c r="E485" s="2"/>
      <c r="F485" s="464"/>
      <c r="G485" s="2"/>
      <c r="H485" s="2"/>
      <c r="I485" s="2"/>
      <c r="J485" s="2"/>
      <c r="K485" s="2"/>
      <c r="L485" s="2"/>
      <c r="M485" s="2"/>
      <c r="N485" s="2"/>
      <c r="O485" s="2"/>
      <c r="P485" s="2"/>
      <c r="Q485" s="2"/>
      <c r="R485" s="2"/>
      <c r="S485" s="3"/>
      <c r="T485" s="3"/>
      <c r="U485" s="3"/>
      <c r="V485" s="3"/>
      <c r="W485" s="3"/>
      <c r="X485" s="3"/>
      <c r="Y485" s="3"/>
      <c r="Z485" s="3"/>
    </row>
    <row r="486" ht="15.75" customHeight="1">
      <c r="A486" s="3"/>
      <c r="B486" s="576"/>
      <c r="C486" s="2"/>
      <c r="D486" s="2"/>
      <c r="E486" s="2"/>
      <c r="F486" s="464"/>
      <c r="G486" s="2"/>
      <c r="H486" s="2"/>
      <c r="I486" s="2"/>
      <c r="J486" s="2"/>
      <c r="K486" s="2"/>
      <c r="L486" s="2"/>
      <c r="M486" s="2"/>
      <c r="N486" s="2"/>
      <c r="O486" s="2"/>
      <c r="P486" s="2"/>
      <c r="Q486" s="2"/>
      <c r="R486" s="2"/>
      <c r="S486" s="3"/>
      <c r="T486" s="3"/>
      <c r="U486" s="3"/>
      <c r="V486" s="3"/>
      <c r="W486" s="3"/>
      <c r="X486" s="3"/>
      <c r="Y486" s="3"/>
      <c r="Z486" s="3"/>
    </row>
    <row r="487" ht="15.75" customHeight="1">
      <c r="A487" s="3"/>
      <c r="B487" s="576"/>
      <c r="C487" s="2"/>
      <c r="D487" s="2"/>
      <c r="E487" s="2"/>
      <c r="F487" s="464"/>
      <c r="G487" s="2"/>
      <c r="H487" s="2"/>
      <c r="I487" s="2"/>
      <c r="J487" s="2"/>
      <c r="K487" s="2"/>
      <c r="L487" s="2"/>
      <c r="M487" s="2"/>
      <c r="N487" s="2"/>
      <c r="O487" s="2"/>
      <c r="P487" s="2"/>
      <c r="Q487" s="2"/>
      <c r="R487" s="2"/>
      <c r="S487" s="3"/>
      <c r="T487" s="3"/>
      <c r="U487" s="3"/>
      <c r="V487" s="3"/>
      <c r="W487" s="3"/>
      <c r="X487" s="3"/>
      <c r="Y487" s="3"/>
      <c r="Z487" s="3"/>
    </row>
    <row r="488" ht="15.75" customHeight="1">
      <c r="A488" s="3"/>
      <c r="B488" s="576"/>
      <c r="C488" s="2"/>
      <c r="D488" s="2"/>
      <c r="E488" s="2"/>
      <c r="F488" s="464"/>
      <c r="G488" s="2"/>
      <c r="H488" s="2"/>
      <c r="I488" s="2"/>
      <c r="J488" s="2"/>
      <c r="K488" s="2"/>
      <c r="L488" s="2"/>
      <c r="M488" s="2"/>
      <c r="N488" s="2"/>
      <c r="O488" s="2"/>
      <c r="P488" s="2"/>
      <c r="Q488" s="2"/>
      <c r="R488" s="2"/>
      <c r="S488" s="3"/>
      <c r="T488" s="3"/>
      <c r="U488" s="3"/>
      <c r="V488" s="3"/>
      <c r="W488" s="3"/>
      <c r="X488" s="3"/>
      <c r="Y488" s="3"/>
      <c r="Z488" s="3"/>
    </row>
    <row r="489" ht="15.75" customHeight="1">
      <c r="A489" s="3"/>
      <c r="B489" s="576"/>
      <c r="C489" s="2"/>
      <c r="D489" s="2"/>
      <c r="E489" s="2"/>
      <c r="F489" s="464"/>
      <c r="G489" s="2"/>
      <c r="H489" s="2"/>
      <c r="I489" s="2"/>
      <c r="J489" s="2"/>
      <c r="K489" s="2"/>
      <c r="L489" s="2"/>
      <c r="M489" s="2"/>
      <c r="N489" s="2"/>
      <c r="O489" s="2"/>
      <c r="P489" s="2"/>
      <c r="Q489" s="2"/>
      <c r="R489" s="2"/>
      <c r="S489" s="3"/>
      <c r="T489" s="3"/>
      <c r="U489" s="3"/>
      <c r="V489" s="3"/>
      <c r="W489" s="3"/>
      <c r="X489" s="3"/>
      <c r="Y489" s="3"/>
      <c r="Z489" s="3"/>
    </row>
    <row r="490" ht="15.75" customHeight="1">
      <c r="A490" s="3"/>
      <c r="B490" s="576"/>
      <c r="C490" s="2"/>
      <c r="D490" s="2"/>
      <c r="E490" s="2"/>
      <c r="F490" s="464"/>
      <c r="G490" s="2"/>
      <c r="H490" s="2"/>
      <c r="I490" s="2"/>
      <c r="J490" s="2"/>
      <c r="K490" s="2"/>
      <c r="L490" s="2"/>
      <c r="M490" s="2"/>
      <c r="N490" s="2"/>
      <c r="O490" s="2"/>
      <c r="P490" s="2"/>
      <c r="Q490" s="2"/>
      <c r="R490" s="2"/>
      <c r="S490" s="3"/>
      <c r="T490" s="3"/>
      <c r="U490" s="3"/>
      <c r="V490" s="3"/>
      <c r="W490" s="3"/>
      <c r="X490" s="3"/>
      <c r="Y490" s="3"/>
      <c r="Z490" s="3"/>
    </row>
    <row r="491" ht="15.75" customHeight="1">
      <c r="A491" s="3"/>
      <c r="B491" s="576"/>
      <c r="C491" s="2"/>
      <c r="D491" s="2"/>
      <c r="E491" s="2"/>
      <c r="F491" s="464"/>
      <c r="G491" s="2"/>
      <c r="H491" s="2"/>
      <c r="I491" s="2"/>
      <c r="J491" s="2"/>
      <c r="K491" s="2"/>
      <c r="L491" s="2"/>
      <c r="M491" s="2"/>
      <c r="N491" s="2"/>
      <c r="O491" s="2"/>
      <c r="P491" s="2"/>
      <c r="Q491" s="2"/>
      <c r="R491" s="2"/>
      <c r="S491" s="3"/>
      <c r="T491" s="3"/>
      <c r="U491" s="3"/>
      <c r="V491" s="3"/>
      <c r="W491" s="3"/>
      <c r="X491" s="3"/>
      <c r="Y491" s="3"/>
      <c r="Z491" s="3"/>
    </row>
    <row r="492" ht="15.75" customHeight="1">
      <c r="A492" s="3"/>
      <c r="B492" s="576"/>
      <c r="C492" s="2"/>
      <c r="D492" s="2"/>
      <c r="E492" s="2"/>
      <c r="F492" s="464"/>
      <c r="G492" s="2"/>
      <c r="H492" s="2"/>
      <c r="I492" s="2"/>
      <c r="J492" s="2"/>
      <c r="K492" s="2"/>
      <c r="L492" s="2"/>
      <c r="M492" s="2"/>
      <c r="N492" s="2"/>
      <c r="O492" s="2"/>
      <c r="P492" s="2"/>
      <c r="Q492" s="2"/>
      <c r="R492" s="2"/>
      <c r="S492" s="3"/>
      <c r="T492" s="3"/>
      <c r="U492" s="3"/>
      <c r="V492" s="3"/>
      <c r="W492" s="3"/>
      <c r="X492" s="3"/>
      <c r="Y492" s="3"/>
      <c r="Z492" s="3"/>
    </row>
    <row r="493" ht="15.75" customHeight="1">
      <c r="A493" s="3"/>
      <c r="B493" s="576"/>
      <c r="C493" s="2"/>
      <c r="D493" s="2"/>
      <c r="E493" s="2"/>
      <c r="F493" s="464"/>
      <c r="G493" s="2"/>
      <c r="H493" s="2"/>
      <c r="I493" s="2"/>
      <c r="J493" s="2"/>
      <c r="K493" s="2"/>
      <c r="L493" s="2"/>
      <c r="M493" s="2"/>
      <c r="N493" s="2"/>
      <c r="O493" s="2"/>
      <c r="P493" s="2"/>
      <c r="Q493" s="2"/>
      <c r="R493" s="2"/>
      <c r="S493" s="3"/>
      <c r="T493" s="3"/>
      <c r="U493" s="3"/>
      <c r="V493" s="3"/>
      <c r="W493" s="3"/>
      <c r="X493" s="3"/>
      <c r="Y493" s="3"/>
      <c r="Z493" s="3"/>
    </row>
    <row r="494" ht="15.75" customHeight="1">
      <c r="A494" s="3"/>
      <c r="B494" s="576"/>
      <c r="C494" s="2"/>
      <c r="D494" s="2"/>
      <c r="E494" s="2"/>
      <c r="F494" s="464"/>
      <c r="G494" s="2"/>
      <c r="H494" s="2"/>
      <c r="I494" s="2"/>
      <c r="J494" s="2"/>
      <c r="K494" s="2"/>
      <c r="L494" s="2"/>
      <c r="M494" s="2"/>
      <c r="N494" s="2"/>
      <c r="O494" s="2"/>
      <c r="P494" s="2"/>
      <c r="Q494" s="2"/>
      <c r="R494" s="2"/>
      <c r="S494" s="3"/>
      <c r="T494" s="3"/>
      <c r="U494" s="3"/>
      <c r="V494" s="3"/>
      <c r="W494" s="3"/>
      <c r="X494" s="3"/>
      <c r="Y494" s="3"/>
      <c r="Z494" s="3"/>
    </row>
    <row r="495" ht="15.75" customHeight="1">
      <c r="A495" s="3"/>
      <c r="B495" s="576"/>
      <c r="C495" s="2"/>
      <c r="D495" s="2"/>
      <c r="E495" s="2"/>
      <c r="F495" s="464"/>
      <c r="G495" s="2"/>
      <c r="H495" s="2"/>
      <c r="I495" s="2"/>
      <c r="J495" s="2"/>
      <c r="K495" s="2"/>
      <c r="L495" s="2"/>
      <c r="M495" s="2"/>
      <c r="N495" s="2"/>
      <c r="O495" s="2"/>
      <c r="P495" s="2"/>
      <c r="Q495" s="2"/>
      <c r="R495" s="2"/>
      <c r="S495" s="3"/>
      <c r="T495" s="3"/>
      <c r="U495" s="3"/>
      <c r="V495" s="3"/>
      <c r="W495" s="3"/>
      <c r="X495" s="3"/>
      <c r="Y495" s="3"/>
      <c r="Z495" s="3"/>
    </row>
    <row r="496" ht="15.75" customHeight="1">
      <c r="A496" s="3"/>
      <c r="B496" s="576"/>
      <c r="C496" s="2"/>
      <c r="D496" s="2"/>
      <c r="E496" s="2"/>
      <c r="F496" s="464"/>
      <c r="G496" s="2"/>
      <c r="H496" s="2"/>
      <c r="I496" s="2"/>
      <c r="J496" s="2"/>
      <c r="K496" s="2"/>
      <c r="L496" s="2"/>
      <c r="M496" s="2"/>
      <c r="N496" s="2"/>
      <c r="O496" s="2"/>
      <c r="P496" s="2"/>
      <c r="Q496" s="2"/>
      <c r="R496" s="2"/>
      <c r="S496" s="3"/>
      <c r="T496" s="3"/>
      <c r="U496" s="3"/>
      <c r="V496" s="3"/>
      <c r="W496" s="3"/>
      <c r="X496" s="3"/>
      <c r="Y496" s="3"/>
      <c r="Z496" s="3"/>
    </row>
    <row r="497" ht="15.75" customHeight="1">
      <c r="A497" s="3"/>
      <c r="B497" s="576"/>
      <c r="C497" s="2"/>
      <c r="D497" s="2"/>
      <c r="E497" s="2"/>
      <c r="F497" s="464"/>
      <c r="G497" s="2"/>
      <c r="H497" s="2"/>
      <c r="I497" s="2"/>
      <c r="J497" s="2"/>
      <c r="K497" s="2"/>
      <c r="L497" s="2"/>
      <c r="M497" s="2"/>
      <c r="N497" s="2"/>
      <c r="O497" s="2"/>
      <c r="P497" s="2"/>
      <c r="Q497" s="2"/>
      <c r="R497" s="2"/>
      <c r="S497" s="3"/>
      <c r="T497" s="3"/>
      <c r="U497" s="3"/>
      <c r="V497" s="3"/>
      <c r="W497" s="3"/>
      <c r="X497" s="3"/>
      <c r="Y497" s="3"/>
      <c r="Z497" s="3"/>
    </row>
    <row r="498" ht="15.75" customHeight="1">
      <c r="A498" s="3"/>
      <c r="B498" s="576"/>
      <c r="C498" s="2"/>
      <c r="D498" s="2"/>
      <c r="E498" s="2"/>
      <c r="F498" s="464"/>
      <c r="G498" s="2"/>
      <c r="H498" s="2"/>
      <c r="I498" s="2"/>
      <c r="J498" s="2"/>
      <c r="K498" s="2"/>
      <c r="L498" s="2"/>
      <c r="M498" s="2"/>
      <c r="N498" s="2"/>
      <c r="O498" s="2"/>
      <c r="P498" s="2"/>
      <c r="Q498" s="2"/>
      <c r="R498" s="2"/>
      <c r="S498" s="3"/>
      <c r="T498" s="3"/>
      <c r="U498" s="3"/>
      <c r="V498" s="3"/>
      <c r="W498" s="3"/>
      <c r="X498" s="3"/>
      <c r="Y498" s="3"/>
      <c r="Z498" s="3"/>
    </row>
    <row r="499" ht="15.75" customHeight="1">
      <c r="A499" s="3"/>
      <c r="B499" s="576"/>
      <c r="C499" s="2"/>
      <c r="D499" s="2"/>
      <c r="E499" s="2"/>
      <c r="F499" s="464"/>
      <c r="G499" s="2"/>
      <c r="H499" s="2"/>
      <c r="I499" s="2"/>
      <c r="J499" s="2"/>
      <c r="K499" s="2"/>
      <c r="L499" s="2"/>
      <c r="M499" s="2"/>
      <c r="N499" s="2"/>
      <c r="O499" s="2"/>
      <c r="P499" s="2"/>
      <c r="Q499" s="2"/>
      <c r="R499" s="2"/>
      <c r="S499" s="3"/>
      <c r="T499" s="3"/>
      <c r="U499" s="3"/>
      <c r="V499" s="3"/>
      <c r="W499" s="3"/>
      <c r="X499" s="3"/>
      <c r="Y499" s="3"/>
      <c r="Z499" s="3"/>
    </row>
    <row r="500" ht="15.75" customHeight="1">
      <c r="A500" s="3"/>
      <c r="B500" s="576"/>
      <c r="C500" s="2"/>
      <c r="D500" s="2"/>
      <c r="E500" s="2"/>
      <c r="F500" s="464"/>
      <c r="G500" s="2"/>
      <c r="H500" s="2"/>
      <c r="I500" s="2"/>
      <c r="J500" s="2"/>
      <c r="K500" s="2"/>
      <c r="L500" s="2"/>
      <c r="M500" s="2"/>
      <c r="N500" s="2"/>
      <c r="O500" s="2"/>
      <c r="P500" s="2"/>
      <c r="Q500" s="2"/>
      <c r="R500" s="2"/>
      <c r="S500" s="3"/>
      <c r="T500" s="3"/>
      <c r="U500" s="3"/>
      <c r="V500" s="3"/>
      <c r="W500" s="3"/>
      <c r="X500" s="3"/>
      <c r="Y500" s="3"/>
      <c r="Z500" s="3"/>
    </row>
    <row r="501" ht="15.75" customHeight="1">
      <c r="A501" s="3"/>
      <c r="B501" s="576"/>
      <c r="C501" s="2"/>
      <c r="D501" s="2"/>
      <c r="E501" s="2"/>
      <c r="F501" s="464"/>
      <c r="G501" s="2"/>
      <c r="H501" s="2"/>
      <c r="I501" s="2"/>
      <c r="J501" s="2"/>
      <c r="K501" s="2"/>
      <c r="L501" s="2"/>
      <c r="M501" s="2"/>
      <c r="N501" s="2"/>
      <c r="O501" s="2"/>
      <c r="P501" s="2"/>
      <c r="Q501" s="2"/>
      <c r="R501" s="2"/>
      <c r="S501" s="3"/>
      <c r="T501" s="3"/>
      <c r="U501" s="3"/>
      <c r="V501" s="3"/>
      <c r="W501" s="3"/>
      <c r="X501" s="3"/>
      <c r="Y501" s="3"/>
      <c r="Z501" s="3"/>
    </row>
    <row r="502" ht="15.75" customHeight="1">
      <c r="A502" s="3"/>
      <c r="B502" s="576"/>
      <c r="C502" s="2"/>
      <c r="D502" s="2"/>
      <c r="E502" s="2"/>
      <c r="F502" s="464"/>
      <c r="G502" s="2"/>
      <c r="H502" s="2"/>
      <c r="I502" s="2"/>
      <c r="J502" s="2"/>
      <c r="K502" s="2"/>
      <c r="L502" s="2"/>
      <c r="M502" s="2"/>
      <c r="N502" s="2"/>
      <c r="O502" s="2"/>
      <c r="P502" s="2"/>
      <c r="Q502" s="2"/>
      <c r="R502" s="2"/>
      <c r="S502" s="3"/>
      <c r="T502" s="3"/>
      <c r="U502" s="3"/>
      <c r="V502" s="3"/>
      <c r="W502" s="3"/>
      <c r="X502" s="3"/>
      <c r="Y502" s="3"/>
      <c r="Z502" s="3"/>
    </row>
    <row r="503" ht="15.75" customHeight="1">
      <c r="A503" s="3"/>
      <c r="B503" s="576"/>
      <c r="C503" s="2"/>
      <c r="D503" s="2"/>
      <c r="E503" s="2"/>
      <c r="F503" s="464"/>
      <c r="G503" s="2"/>
      <c r="H503" s="2"/>
      <c r="I503" s="2"/>
      <c r="J503" s="2"/>
      <c r="K503" s="2"/>
      <c r="L503" s="2"/>
      <c r="M503" s="2"/>
      <c r="N503" s="2"/>
      <c r="O503" s="2"/>
      <c r="P503" s="2"/>
      <c r="Q503" s="2"/>
      <c r="R503" s="2"/>
      <c r="S503" s="3"/>
      <c r="T503" s="3"/>
      <c r="U503" s="3"/>
      <c r="V503" s="3"/>
      <c r="W503" s="3"/>
      <c r="X503" s="3"/>
      <c r="Y503" s="3"/>
      <c r="Z503" s="3"/>
    </row>
    <row r="504" ht="15.75" customHeight="1">
      <c r="A504" s="3"/>
      <c r="B504" s="576"/>
      <c r="C504" s="2"/>
      <c r="D504" s="2"/>
      <c r="E504" s="2"/>
      <c r="F504" s="464"/>
      <c r="G504" s="2"/>
      <c r="H504" s="2"/>
      <c r="I504" s="2"/>
      <c r="J504" s="2"/>
      <c r="K504" s="2"/>
      <c r="L504" s="2"/>
      <c r="M504" s="2"/>
      <c r="N504" s="2"/>
      <c r="O504" s="2"/>
      <c r="P504" s="2"/>
      <c r="Q504" s="2"/>
      <c r="R504" s="2"/>
      <c r="S504" s="3"/>
      <c r="T504" s="3"/>
      <c r="U504" s="3"/>
      <c r="V504" s="3"/>
      <c r="W504" s="3"/>
      <c r="X504" s="3"/>
      <c r="Y504" s="3"/>
      <c r="Z504" s="3"/>
    </row>
    <row r="505" ht="15.75" customHeight="1">
      <c r="A505" s="3"/>
      <c r="B505" s="576"/>
      <c r="C505" s="2"/>
      <c r="D505" s="2"/>
      <c r="E505" s="2"/>
      <c r="F505" s="464"/>
      <c r="G505" s="2"/>
      <c r="H505" s="2"/>
      <c r="I505" s="2"/>
      <c r="J505" s="2"/>
      <c r="K505" s="2"/>
      <c r="L505" s="2"/>
      <c r="M505" s="2"/>
      <c r="N505" s="2"/>
      <c r="O505" s="2"/>
      <c r="P505" s="2"/>
      <c r="Q505" s="2"/>
      <c r="R505" s="2"/>
      <c r="S505" s="3"/>
      <c r="T505" s="3"/>
      <c r="U505" s="3"/>
      <c r="V505" s="3"/>
      <c r="W505" s="3"/>
      <c r="X505" s="3"/>
      <c r="Y505" s="3"/>
      <c r="Z505" s="3"/>
    </row>
    <row r="506" ht="15.75" customHeight="1">
      <c r="A506" s="3"/>
      <c r="B506" s="576"/>
      <c r="C506" s="2"/>
      <c r="D506" s="2"/>
      <c r="E506" s="2"/>
      <c r="F506" s="464"/>
      <c r="G506" s="2"/>
      <c r="H506" s="2"/>
      <c r="I506" s="2"/>
      <c r="J506" s="2"/>
      <c r="K506" s="2"/>
      <c r="L506" s="2"/>
      <c r="M506" s="2"/>
      <c r="N506" s="2"/>
      <c r="O506" s="2"/>
      <c r="P506" s="2"/>
      <c r="Q506" s="2"/>
      <c r="R506" s="2"/>
      <c r="S506" s="3"/>
      <c r="T506" s="3"/>
      <c r="U506" s="3"/>
      <c r="V506" s="3"/>
      <c r="W506" s="3"/>
      <c r="X506" s="3"/>
      <c r="Y506" s="3"/>
      <c r="Z506" s="3"/>
    </row>
    <row r="507" ht="15.75" customHeight="1">
      <c r="A507" s="3"/>
      <c r="B507" s="576"/>
      <c r="C507" s="2"/>
      <c r="D507" s="2"/>
      <c r="E507" s="2"/>
      <c r="F507" s="464"/>
      <c r="G507" s="2"/>
      <c r="H507" s="2"/>
      <c r="I507" s="2"/>
      <c r="J507" s="2"/>
      <c r="K507" s="2"/>
      <c r="L507" s="2"/>
      <c r="M507" s="2"/>
      <c r="N507" s="2"/>
      <c r="O507" s="2"/>
      <c r="P507" s="2"/>
      <c r="Q507" s="2"/>
      <c r="R507" s="2"/>
      <c r="S507" s="3"/>
      <c r="T507" s="3"/>
      <c r="U507" s="3"/>
      <c r="V507" s="3"/>
      <c r="W507" s="3"/>
      <c r="X507" s="3"/>
      <c r="Y507" s="3"/>
      <c r="Z507" s="3"/>
    </row>
    <row r="508" ht="15.75" customHeight="1">
      <c r="A508" s="3"/>
      <c r="B508" s="576"/>
      <c r="C508" s="2"/>
      <c r="D508" s="2"/>
      <c r="E508" s="2"/>
      <c r="F508" s="464"/>
      <c r="G508" s="2"/>
      <c r="H508" s="2"/>
      <c r="I508" s="2"/>
      <c r="J508" s="2"/>
      <c r="K508" s="2"/>
      <c r="L508" s="2"/>
      <c r="M508" s="2"/>
      <c r="N508" s="2"/>
      <c r="O508" s="2"/>
      <c r="P508" s="2"/>
      <c r="Q508" s="2"/>
      <c r="R508" s="2"/>
      <c r="S508" s="3"/>
      <c r="T508" s="3"/>
      <c r="U508" s="3"/>
      <c r="V508" s="3"/>
      <c r="W508" s="3"/>
      <c r="X508" s="3"/>
      <c r="Y508" s="3"/>
      <c r="Z508" s="3"/>
    </row>
    <row r="509" ht="15.75" customHeight="1">
      <c r="A509" s="3"/>
      <c r="B509" s="576"/>
      <c r="C509" s="2"/>
      <c r="D509" s="2"/>
      <c r="E509" s="2"/>
      <c r="F509" s="464"/>
      <c r="G509" s="2"/>
      <c r="H509" s="2"/>
      <c r="I509" s="2"/>
      <c r="J509" s="2"/>
      <c r="K509" s="2"/>
      <c r="L509" s="2"/>
      <c r="M509" s="2"/>
      <c r="N509" s="2"/>
      <c r="O509" s="2"/>
      <c r="P509" s="2"/>
      <c r="Q509" s="2"/>
      <c r="R509" s="2"/>
      <c r="S509" s="3"/>
      <c r="T509" s="3"/>
      <c r="U509" s="3"/>
      <c r="V509" s="3"/>
      <c r="W509" s="3"/>
      <c r="X509" s="3"/>
      <c r="Y509" s="3"/>
      <c r="Z509" s="3"/>
    </row>
    <row r="510" ht="15.75" customHeight="1">
      <c r="A510" s="3"/>
      <c r="B510" s="576"/>
      <c r="C510" s="2"/>
      <c r="D510" s="2"/>
      <c r="E510" s="2"/>
      <c r="F510" s="464"/>
      <c r="G510" s="2"/>
      <c r="H510" s="2"/>
      <c r="I510" s="2"/>
      <c r="J510" s="2"/>
      <c r="K510" s="2"/>
      <c r="L510" s="2"/>
      <c r="M510" s="2"/>
      <c r="N510" s="2"/>
      <c r="O510" s="2"/>
      <c r="P510" s="2"/>
      <c r="Q510" s="2"/>
      <c r="R510" s="2"/>
      <c r="S510" s="3"/>
      <c r="T510" s="3"/>
      <c r="U510" s="3"/>
      <c r="V510" s="3"/>
      <c r="W510" s="3"/>
      <c r="X510" s="3"/>
      <c r="Y510" s="3"/>
      <c r="Z510" s="3"/>
    </row>
    <row r="511" ht="15.75" customHeight="1">
      <c r="A511" s="3"/>
      <c r="B511" s="576"/>
      <c r="C511" s="2"/>
      <c r="D511" s="2"/>
      <c r="E511" s="2"/>
      <c r="F511" s="464"/>
      <c r="G511" s="2"/>
      <c r="H511" s="2"/>
      <c r="I511" s="2"/>
      <c r="J511" s="2"/>
      <c r="K511" s="2"/>
      <c r="L511" s="2"/>
      <c r="M511" s="2"/>
      <c r="N511" s="2"/>
      <c r="O511" s="2"/>
      <c r="P511" s="2"/>
      <c r="Q511" s="2"/>
      <c r="R511" s="2"/>
      <c r="S511" s="3"/>
      <c r="T511" s="3"/>
      <c r="U511" s="3"/>
      <c r="V511" s="3"/>
      <c r="W511" s="3"/>
      <c r="X511" s="3"/>
      <c r="Y511" s="3"/>
      <c r="Z511" s="3"/>
    </row>
    <row r="512" ht="15.75" customHeight="1">
      <c r="A512" s="3"/>
      <c r="B512" s="576"/>
      <c r="C512" s="2"/>
      <c r="D512" s="2"/>
      <c r="E512" s="2"/>
      <c r="F512" s="464"/>
      <c r="G512" s="2"/>
      <c r="H512" s="2"/>
      <c r="I512" s="2"/>
      <c r="J512" s="2"/>
      <c r="K512" s="2"/>
      <c r="L512" s="2"/>
      <c r="M512" s="2"/>
      <c r="N512" s="2"/>
      <c r="O512" s="2"/>
      <c r="P512" s="2"/>
      <c r="Q512" s="2"/>
      <c r="R512" s="2"/>
      <c r="S512" s="3"/>
      <c r="T512" s="3"/>
      <c r="U512" s="3"/>
      <c r="V512" s="3"/>
      <c r="W512" s="3"/>
      <c r="X512" s="3"/>
      <c r="Y512" s="3"/>
      <c r="Z512" s="3"/>
    </row>
    <row r="513" ht="15.75" customHeight="1">
      <c r="A513" s="3"/>
      <c r="B513" s="576"/>
      <c r="C513" s="2"/>
      <c r="D513" s="2"/>
      <c r="E513" s="2"/>
      <c r="F513" s="464"/>
      <c r="G513" s="2"/>
      <c r="H513" s="2"/>
      <c r="I513" s="2"/>
      <c r="J513" s="2"/>
      <c r="K513" s="2"/>
      <c r="L513" s="2"/>
      <c r="M513" s="2"/>
      <c r="N513" s="2"/>
      <c r="O513" s="2"/>
      <c r="P513" s="2"/>
      <c r="Q513" s="2"/>
      <c r="R513" s="2"/>
      <c r="S513" s="3"/>
      <c r="T513" s="3"/>
      <c r="U513" s="3"/>
      <c r="V513" s="3"/>
      <c r="W513" s="3"/>
      <c r="X513" s="3"/>
      <c r="Y513" s="3"/>
      <c r="Z513" s="3"/>
    </row>
    <row r="514" ht="15.75" customHeight="1">
      <c r="A514" s="3"/>
      <c r="B514" s="576"/>
      <c r="C514" s="2"/>
      <c r="D514" s="2"/>
      <c r="E514" s="2"/>
      <c r="F514" s="464"/>
      <c r="G514" s="2"/>
      <c r="H514" s="2"/>
      <c r="I514" s="2"/>
      <c r="J514" s="2"/>
      <c r="K514" s="2"/>
      <c r="L514" s="2"/>
      <c r="M514" s="2"/>
      <c r="N514" s="2"/>
      <c r="O514" s="2"/>
      <c r="P514" s="2"/>
      <c r="Q514" s="2"/>
      <c r="R514" s="2"/>
      <c r="S514" s="3"/>
      <c r="T514" s="3"/>
      <c r="U514" s="3"/>
      <c r="V514" s="3"/>
      <c r="W514" s="3"/>
      <c r="X514" s="3"/>
      <c r="Y514" s="3"/>
      <c r="Z514" s="3"/>
    </row>
    <row r="515" ht="15.75" customHeight="1">
      <c r="A515" s="3"/>
      <c r="B515" s="576"/>
      <c r="C515" s="2"/>
      <c r="D515" s="2"/>
      <c r="E515" s="2"/>
      <c r="F515" s="464"/>
      <c r="G515" s="2"/>
      <c r="H515" s="2"/>
      <c r="I515" s="2"/>
      <c r="J515" s="2"/>
      <c r="K515" s="2"/>
      <c r="L515" s="2"/>
      <c r="M515" s="2"/>
      <c r="N515" s="2"/>
      <c r="O515" s="2"/>
      <c r="P515" s="2"/>
      <c r="Q515" s="2"/>
      <c r="R515" s="2"/>
      <c r="S515" s="3"/>
      <c r="T515" s="3"/>
      <c r="U515" s="3"/>
      <c r="V515" s="3"/>
      <c r="W515" s="3"/>
      <c r="X515" s="3"/>
      <c r="Y515" s="3"/>
      <c r="Z515" s="3"/>
    </row>
    <row r="516" ht="15.75" customHeight="1">
      <c r="A516" s="3"/>
      <c r="B516" s="576"/>
      <c r="C516" s="2"/>
      <c r="D516" s="2"/>
      <c r="E516" s="2"/>
      <c r="F516" s="464"/>
      <c r="G516" s="2"/>
      <c r="H516" s="2"/>
      <c r="I516" s="2"/>
      <c r="J516" s="2"/>
      <c r="K516" s="2"/>
      <c r="L516" s="2"/>
      <c r="M516" s="2"/>
      <c r="N516" s="2"/>
      <c r="O516" s="2"/>
      <c r="P516" s="2"/>
      <c r="Q516" s="2"/>
      <c r="R516" s="2"/>
      <c r="S516" s="3"/>
      <c r="T516" s="3"/>
      <c r="U516" s="3"/>
      <c r="V516" s="3"/>
      <c r="W516" s="3"/>
      <c r="X516" s="3"/>
      <c r="Y516" s="3"/>
      <c r="Z516" s="3"/>
    </row>
    <row r="517" ht="15.75" customHeight="1">
      <c r="A517" s="3"/>
      <c r="B517" s="576"/>
      <c r="C517" s="2"/>
      <c r="D517" s="2"/>
      <c r="E517" s="2"/>
      <c r="F517" s="464"/>
      <c r="G517" s="2"/>
      <c r="H517" s="2"/>
      <c r="I517" s="2"/>
      <c r="J517" s="2"/>
      <c r="K517" s="2"/>
      <c r="L517" s="2"/>
      <c r="M517" s="2"/>
      <c r="N517" s="2"/>
      <c r="O517" s="2"/>
      <c r="P517" s="2"/>
      <c r="Q517" s="2"/>
      <c r="R517" s="2"/>
      <c r="S517" s="3"/>
      <c r="T517" s="3"/>
      <c r="U517" s="3"/>
      <c r="V517" s="3"/>
      <c r="W517" s="3"/>
      <c r="X517" s="3"/>
      <c r="Y517" s="3"/>
      <c r="Z517" s="3"/>
    </row>
    <row r="518" ht="15.75" customHeight="1">
      <c r="A518" s="3"/>
      <c r="B518" s="576"/>
      <c r="C518" s="2"/>
      <c r="D518" s="2"/>
      <c r="E518" s="2"/>
      <c r="F518" s="464"/>
      <c r="G518" s="2"/>
      <c r="H518" s="2"/>
      <c r="I518" s="2"/>
      <c r="J518" s="2"/>
      <c r="K518" s="2"/>
      <c r="L518" s="2"/>
      <c r="M518" s="2"/>
      <c r="N518" s="2"/>
      <c r="O518" s="2"/>
      <c r="P518" s="2"/>
      <c r="Q518" s="2"/>
      <c r="R518" s="2"/>
      <c r="S518" s="3"/>
      <c r="T518" s="3"/>
      <c r="U518" s="3"/>
      <c r="V518" s="3"/>
      <c r="W518" s="3"/>
      <c r="X518" s="3"/>
      <c r="Y518" s="3"/>
      <c r="Z518" s="3"/>
    </row>
    <row r="519" ht="15.75" customHeight="1">
      <c r="A519" s="3"/>
      <c r="B519" s="576"/>
      <c r="C519" s="2"/>
      <c r="D519" s="2"/>
      <c r="E519" s="2"/>
      <c r="F519" s="464"/>
      <c r="G519" s="2"/>
      <c r="H519" s="2"/>
      <c r="I519" s="2"/>
      <c r="J519" s="2"/>
      <c r="K519" s="2"/>
      <c r="L519" s="2"/>
      <c r="M519" s="2"/>
      <c r="N519" s="2"/>
      <c r="O519" s="2"/>
      <c r="P519" s="2"/>
      <c r="Q519" s="2"/>
      <c r="R519" s="2"/>
      <c r="S519" s="3"/>
      <c r="T519" s="3"/>
      <c r="U519" s="3"/>
      <c r="V519" s="3"/>
      <c r="W519" s="3"/>
      <c r="X519" s="3"/>
      <c r="Y519" s="3"/>
      <c r="Z519" s="3"/>
    </row>
    <row r="520" ht="15.75" customHeight="1">
      <c r="A520" s="3"/>
      <c r="B520" s="576"/>
      <c r="C520" s="2"/>
      <c r="D520" s="2"/>
      <c r="E520" s="2"/>
      <c r="F520" s="464"/>
      <c r="G520" s="2"/>
      <c r="H520" s="2"/>
      <c r="I520" s="2"/>
      <c r="J520" s="2"/>
      <c r="K520" s="2"/>
      <c r="L520" s="2"/>
      <c r="M520" s="2"/>
      <c r="N520" s="2"/>
      <c r="O520" s="2"/>
      <c r="P520" s="2"/>
      <c r="Q520" s="2"/>
      <c r="R520" s="2"/>
      <c r="S520" s="3"/>
      <c r="T520" s="3"/>
      <c r="U520" s="3"/>
      <c r="V520" s="3"/>
      <c r="W520" s="3"/>
      <c r="X520" s="3"/>
      <c r="Y520" s="3"/>
      <c r="Z520" s="3"/>
    </row>
    <row r="521" ht="15.75" customHeight="1">
      <c r="A521" s="3"/>
      <c r="B521" s="576"/>
      <c r="C521" s="2"/>
      <c r="D521" s="2"/>
      <c r="E521" s="2"/>
      <c r="F521" s="464"/>
      <c r="G521" s="2"/>
      <c r="H521" s="2"/>
      <c r="I521" s="2"/>
      <c r="J521" s="2"/>
      <c r="K521" s="2"/>
      <c r="L521" s="2"/>
      <c r="M521" s="2"/>
      <c r="N521" s="2"/>
      <c r="O521" s="2"/>
      <c r="P521" s="2"/>
      <c r="Q521" s="2"/>
      <c r="R521" s="2"/>
      <c r="S521" s="3"/>
      <c r="T521" s="3"/>
      <c r="U521" s="3"/>
      <c r="V521" s="3"/>
      <c r="W521" s="3"/>
      <c r="X521" s="3"/>
      <c r="Y521" s="3"/>
      <c r="Z521" s="3"/>
    </row>
    <row r="522" ht="15.75" customHeight="1">
      <c r="A522" s="3"/>
      <c r="B522" s="576"/>
      <c r="C522" s="2"/>
      <c r="D522" s="2"/>
      <c r="E522" s="2"/>
      <c r="F522" s="464"/>
      <c r="G522" s="2"/>
      <c r="H522" s="2"/>
      <c r="I522" s="2"/>
      <c r="J522" s="2"/>
      <c r="K522" s="2"/>
      <c r="L522" s="2"/>
      <c r="M522" s="2"/>
      <c r="N522" s="2"/>
      <c r="O522" s="2"/>
      <c r="P522" s="2"/>
      <c r="Q522" s="2"/>
      <c r="R522" s="2"/>
      <c r="S522" s="3"/>
      <c r="T522" s="3"/>
      <c r="U522" s="3"/>
      <c r="V522" s="3"/>
      <c r="W522" s="3"/>
      <c r="X522" s="3"/>
      <c r="Y522" s="3"/>
      <c r="Z522" s="3"/>
    </row>
    <row r="523" ht="15.75" customHeight="1">
      <c r="A523" s="3"/>
      <c r="B523" s="576"/>
      <c r="C523" s="2"/>
      <c r="D523" s="2"/>
      <c r="E523" s="2"/>
      <c r="F523" s="464"/>
      <c r="G523" s="2"/>
      <c r="H523" s="2"/>
      <c r="I523" s="2"/>
      <c r="J523" s="2"/>
      <c r="K523" s="2"/>
      <c r="L523" s="2"/>
      <c r="M523" s="2"/>
      <c r="N523" s="2"/>
      <c r="O523" s="2"/>
      <c r="P523" s="2"/>
      <c r="Q523" s="2"/>
      <c r="R523" s="2"/>
      <c r="S523" s="3"/>
      <c r="T523" s="3"/>
      <c r="U523" s="3"/>
      <c r="V523" s="3"/>
      <c r="W523" s="3"/>
      <c r="X523" s="3"/>
      <c r="Y523" s="3"/>
      <c r="Z523" s="3"/>
    </row>
    <row r="524" ht="15.75" customHeight="1">
      <c r="A524" s="3"/>
      <c r="B524" s="576"/>
      <c r="C524" s="2"/>
      <c r="D524" s="2"/>
      <c r="E524" s="2"/>
      <c r="F524" s="464"/>
      <c r="G524" s="2"/>
      <c r="H524" s="2"/>
      <c r="I524" s="2"/>
      <c r="J524" s="2"/>
      <c r="K524" s="2"/>
      <c r="L524" s="2"/>
      <c r="M524" s="2"/>
      <c r="N524" s="2"/>
      <c r="O524" s="2"/>
      <c r="P524" s="2"/>
      <c r="Q524" s="2"/>
      <c r="R524" s="2"/>
      <c r="S524" s="3"/>
      <c r="T524" s="3"/>
      <c r="U524" s="3"/>
      <c r="V524" s="3"/>
      <c r="W524" s="3"/>
      <c r="X524" s="3"/>
      <c r="Y524" s="3"/>
      <c r="Z524" s="3"/>
    </row>
    <row r="525" ht="15.75" customHeight="1">
      <c r="A525" s="3"/>
      <c r="B525" s="576"/>
      <c r="C525" s="2"/>
      <c r="D525" s="2"/>
      <c r="E525" s="2"/>
      <c r="F525" s="464"/>
      <c r="G525" s="2"/>
      <c r="H525" s="2"/>
      <c r="I525" s="2"/>
      <c r="J525" s="2"/>
      <c r="K525" s="2"/>
      <c r="L525" s="2"/>
      <c r="M525" s="2"/>
      <c r="N525" s="2"/>
      <c r="O525" s="2"/>
      <c r="P525" s="2"/>
      <c r="Q525" s="2"/>
      <c r="R525" s="2"/>
      <c r="S525" s="3"/>
      <c r="T525" s="3"/>
      <c r="U525" s="3"/>
      <c r="V525" s="3"/>
      <c r="W525" s="3"/>
      <c r="X525" s="3"/>
      <c r="Y525" s="3"/>
      <c r="Z525" s="3"/>
    </row>
    <row r="526" ht="15.75" customHeight="1">
      <c r="A526" s="3"/>
      <c r="B526" s="576"/>
      <c r="C526" s="2"/>
      <c r="D526" s="2"/>
      <c r="E526" s="2"/>
      <c r="F526" s="464"/>
      <c r="G526" s="2"/>
      <c r="H526" s="2"/>
      <c r="I526" s="2"/>
      <c r="J526" s="2"/>
      <c r="K526" s="2"/>
      <c r="L526" s="2"/>
      <c r="M526" s="2"/>
      <c r="N526" s="2"/>
      <c r="O526" s="2"/>
      <c r="P526" s="2"/>
      <c r="Q526" s="2"/>
      <c r="R526" s="2"/>
      <c r="S526" s="3"/>
      <c r="T526" s="3"/>
      <c r="U526" s="3"/>
      <c r="V526" s="3"/>
      <c r="W526" s="3"/>
      <c r="X526" s="3"/>
      <c r="Y526" s="3"/>
      <c r="Z526" s="3"/>
    </row>
    <row r="527" ht="15.75" customHeight="1">
      <c r="A527" s="3"/>
      <c r="B527" s="576"/>
      <c r="C527" s="2"/>
      <c r="D527" s="2"/>
      <c r="E527" s="2"/>
      <c r="F527" s="464"/>
      <c r="G527" s="2"/>
      <c r="H527" s="2"/>
      <c r="I527" s="2"/>
      <c r="J527" s="2"/>
      <c r="K527" s="2"/>
      <c r="L527" s="2"/>
      <c r="M527" s="2"/>
      <c r="N527" s="2"/>
      <c r="O527" s="2"/>
      <c r="P527" s="2"/>
      <c r="Q527" s="2"/>
      <c r="R527" s="2"/>
      <c r="S527" s="3"/>
      <c r="T527" s="3"/>
      <c r="U527" s="3"/>
      <c r="V527" s="3"/>
      <c r="W527" s="3"/>
      <c r="X527" s="3"/>
      <c r="Y527" s="3"/>
      <c r="Z527" s="3"/>
    </row>
    <row r="528" ht="15.75" customHeight="1">
      <c r="A528" s="3"/>
      <c r="B528" s="576"/>
      <c r="C528" s="2"/>
      <c r="D528" s="2"/>
      <c r="E528" s="2"/>
      <c r="F528" s="464"/>
      <c r="G528" s="2"/>
      <c r="H528" s="2"/>
      <c r="I528" s="2"/>
      <c r="J528" s="2"/>
      <c r="K528" s="2"/>
      <c r="L528" s="2"/>
      <c r="M528" s="2"/>
      <c r="N528" s="2"/>
      <c r="O528" s="2"/>
      <c r="P528" s="2"/>
      <c r="Q528" s="2"/>
      <c r="R528" s="2"/>
      <c r="S528" s="3"/>
      <c r="T528" s="3"/>
      <c r="U528" s="3"/>
      <c r="V528" s="3"/>
      <c r="W528" s="3"/>
      <c r="X528" s="3"/>
      <c r="Y528" s="3"/>
      <c r="Z528" s="3"/>
    </row>
    <row r="529" ht="15.75" customHeight="1">
      <c r="A529" s="3"/>
      <c r="B529" s="576"/>
      <c r="C529" s="2"/>
      <c r="D529" s="2"/>
      <c r="E529" s="2"/>
      <c r="F529" s="464"/>
      <c r="G529" s="2"/>
      <c r="H529" s="2"/>
      <c r="I529" s="2"/>
      <c r="J529" s="2"/>
      <c r="K529" s="2"/>
      <c r="L529" s="2"/>
      <c r="M529" s="2"/>
      <c r="N529" s="2"/>
      <c r="O529" s="2"/>
      <c r="P529" s="2"/>
      <c r="Q529" s="2"/>
      <c r="R529" s="2"/>
      <c r="S529" s="3"/>
      <c r="T529" s="3"/>
      <c r="U529" s="3"/>
      <c r="V529" s="3"/>
      <c r="W529" s="3"/>
      <c r="X529" s="3"/>
      <c r="Y529" s="3"/>
      <c r="Z529" s="3"/>
    </row>
    <row r="530" ht="15.75" customHeight="1">
      <c r="A530" s="3"/>
      <c r="B530" s="576"/>
      <c r="C530" s="2"/>
      <c r="D530" s="2"/>
      <c r="E530" s="2"/>
      <c r="F530" s="464"/>
      <c r="G530" s="2"/>
      <c r="H530" s="2"/>
      <c r="I530" s="2"/>
      <c r="J530" s="2"/>
      <c r="K530" s="2"/>
      <c r="L530" s="2"/>
      <c r="M530" s="2"/>
      <c r="N530" s="2"/>
      <c r="O530" s="2"/>
      <c r="P530" s="2"/>
      <c r="Q530" s="2"/>
      <c r="R530" s="2"/>
      <c r="S530" s="3"/>
      <c r="T530" s="3"/>
      <c r="U530" s="3"/>
      <c r="V530" s="3"/>
      <c r="W530" s="3"/>
      <c r="X530" s="3"/>
      <c r="Y530" s="3"/>
      <c r="Z530" s="3"/>
    </row>
    <row r="531" ht="15.75" customHeight="1">
      <c r="A531" s="3"/>
      <c r="B531" s="576"/>
      <c r="C531" s="2"/>
      <c r="D531" s="2"/>
      <c r="E531" s="2"/>
      <c r="F531" s="464"/>
      <c r="G531" s="2"/>
      <c r="H531" s="2"/>
      <c r="I531" s="2"/>
      <c r="J531" s="2"/>
      <c r="K531" s="2"/>
      <c r="L531" s="2"/>
      <c r="M531" s="2"/>
      <c r="N531" s="2"/>
      <c r="O531" s="2"/>
      <c r="P531" s="2"/>
      <c r="Q531" s="2"/>
      <c r="R531" s="2"/>
      <c r="S531" s="3"/>
      <c r="T531" s="3"/>
      <c r="U531" s="3"/>
      <c r="V531" s="3"/>
      <c r="W531" s="3"/>
      <c r="X531" s="3"/>
      <c r="Y531" s="3"/>
      <c r="Z531" s="3"/>
    </row>
    <row r="532" ht="15.75" customHeight="1">
      <c r="A532" s="3"/>
      <c r="B532" s="576"/>
      <c r="C532" s="2"/>
      <c r="D532" s="2"/>
      <c r="E532" s="2"/>
      <c r="F532" s="464"/>
      <c r="G532" s="2"/>
      <c r="H532" s="2"/>
      <c r="I532" s="2"/>
      <c r="J532" s="2"/>
      <c r="K532" s="2"/>
      <c r="L532" s="2"/>
      <c r="M532" s="2"/>
      <c r="N532" s="2"/>
      <c r="O532" s="2"/>
      <c r="P532" s="2"/>
      <c r="Q532" s="2"/>
      <c r="R532" s="2"/>
      <c r="S532" s="3"/>
      <c r="T532" s="3"/>
      <c r="U532" s="3"/>
      <c r="V532" s="3"/>
      <c r="W532" s="3"/>
      <c r="X532" s="3"/>
      <c r="Y532" s="3"/>
      <c r="Z532" s="3"/>
    </row>
    <row r="533" ht="15.75" customHeight="1">
      <c r="A533" s="3"/>
      <c r="B533" s="576"/>
      <c r="C533" s="2"/>
      <c r="D533" s="2"/>
      <c r="E533" s="2"/>
      <c r="F533" s="464"/>
      <c r="G533" s="2"/>
      <c r="H533" s="2"/>
      <c r="I533" s="2"/>
      <c r="J533" s="2"/>
      <c r="K533" s="2"/>
      <c r="L533" s="2"/>
      <c r="M533" s="2"/>
      <c r="N533" s="2"/>
      <c r="O533" s="2"/>
      <c r="P533" s="2"/>
      <c r="Q533" s="2"/>
      <c r="R533" s="2"/>
      <c r="S533" s="3"/>
      <c r="T533" s="3"/>
      <c r="U533" s="3"/>
      <c r="V533" s="3"/>
      <c r="W533" s="3"/>
      <c r="X533" s="3"/>
      <c r="Y533" s="3"/>
      <c r="Z533" s="3"/>
    </row>
    <row r="534" ht="15.75" customHeight="1">
      <c r="A534" s="3"/>
      <c r="B534" s="576"/>
      <c r="C534" s="2"/>
      <c r="D534" s="2"/>
      <c r="E534" s="2"/>
      <c r="F534" s="464"/>
      <c r="G534" s="2"/>
      <c r="H534" s="2"/>
      <c r="I534" s="2"/>
      <c r="J534" s="2"/>
      <c r="K534" s="2"/>
      <c r="L534" s="2"/>
      <c r="M534" s="2"/>
      <c r="N534" s="2"/>
      <c r="O534" s="2"/>
      <c r="P534" s="2"/>
      <c r="Q534" s="2"/>
      <c r="R534" s="2"/>
      <c r="S534" s="3"/>
      <c r="T534" s="3"/>
      <c r="U534" s="3"/>
      <c r="V534" s="3"/>
      <c r="W534" s="3"/>
      <c r="X534" s="3"/>
      <c r="Y534" s="3"/>
      <c r="Z534" s="3"/>
    </row>
    <row r="535" ht="15.75" customHeight="1">
      <c r="A535" s="3"/>
      <c r="B535" s="576"/>
      <c r="C535" s="2"/>
      <c r="D535" s="2"/>
      <c r="E535" s="2"/>
      <c r="F535" s="464"/>
      <c r="G535" s="2"/>
      <c r="H535" s="2"/>
      <c r="I535" s="2"/>
      <c r="J535" s="2"/>
      <c r="K535" s="2"/>
      <c r="L535" s="2"/>
      <c r="M535" s="2"/>
      <c r="N535" s="2"/>
      <c r="O535" s="2"/>
      <c r="P535" s="2"/>
      <c r="Q535" s="2"/>
      <c r="R535" s="2"/>
      <c r="S535" s="3"/>
      <c r="T535" s="3"/>
      <c r="U535" s="3"/>
      <c r="V535" s="3"/>
      <c r="W535" s="3"/>
      <c r="X535" s="3"/>
      <c r="Y535" s="3"/>
      <c r="Z535" s="3"/>
    </row>
    <row r="536" ht="15.75" customHeight="1">
      <c r="A536" s="3"/>
      <c r="B536" s="576"/>
      <c r="C536" s="2"/>
      <c r="D536" s="2"/>
      <c r="E536" s="2"/>
      <c r="F536" s="464"/>
      <c r="G536" s="2"/>
      <c r="H536" s="2"/>
      <c r="I536" s="2"/>
      <c r="J536" s="2"/>
      <c r="K536" s="2"/>
      <c r="L536" s="2"/>
      <c r="M536" s="2"/>
      <c r="N536" s="2"/>
      <c r="O536" s="2"/>
      <c r="P536" s="2"/>
      <c r="Q536" s="2"/>
      <c r="R536" s="2"/>
      <c r="S536" s="3"/>
      <c r="T536" s="3"/>
      <c r="U536" s="3"/>
      <c r="V536" s="3"/>
      <c r="W536" s="3"/>
      <c r="X536" s="3"/>
      <c r="Y536" s="3"/>
      <c r="Z536" s="3"/>
    </row>
    <row r="537" ht="15.75" customHeight="1">
      <c r="A537" s="3"/>
      <c r="B537" s="576"/>
      <c r="C537" s="2"/>
      <c r="D537" s="2"/>
      <c r="E537" s="2"/>
      <c r="F537" s="464"/>
      <c r="G537" s="2"/>
      <c r="H537" s="2"/>
      <c r="I537" s="2"/>
      <c r="J537" s="2"/>
      <c r="K537" s="2"/>
      <c r="L537" s="2"/>
      <c r="M537" s="2"/>
      <c r="N537" s="2"/>
      <c r="O537" s="2"/>
      <c r="P537" s="2"/>
      <c r="Q537" s="2"/>
      <c r="R537" s="2"/>
      <c r="S537" s="3"/>
      <c r="T537" s="3"/>
      <c r="U537" s="3"/>
      <c r="V537" s="3"/>
      <c r="W537" s="3"/>
      <c r="X537" s="3"/>
      <c r="Y537" s="3"/>
      <c r="Z537" s="3"/>
    </row>
    <row r="538" ht="15.75" customHeight="1">
      <c r="A538" s="3"/>
      <c r="B538" s="576"/>
      <c r="C538" s="2"/>
      <c r="D538" s="2"/>
      <c r="E538" s="2"/>
      <c r="F538" s="464"/>
      <c r="G538" s="2"/>
      <c r="H538" s="2"/>
      <c r="I538" s="2"/>
      <c r="J538" s="2"/>
      <c r="K538" s="2"/>
      <c r="L538" s="2"/>
      <c r="M538" s="2"/>
      <c r="N538" s="2"/>
      <c r="O538" s="2"/>
      <c r="P538" s="2"/>
      <c r="Q538" s="2"/>
      <c r="R538" s="2"/>
      <c r="S538" s="3"/>
      <c r="T538" s="3"/>
      <c r="U538" s="3"/>
      <c r="V538" s="3"/>
      <c r="W538" s="3"/>
      <c r="X538" s="3"/>
      <c r="Y538" s="3"/>
      <c r="Z538" s="3"/>
    </row>
    <row r="539" ht="15.75" customHeight="1">
      <c r="A539" s="3"/>
      <c r="B539" s="576"/>
      <c r="C539" s="2"/>
      <c r="D539" s="2"/>
      <c r="E539" s="2"/>
      <c r="F539" s="464"/>
      <c r="G539" s="2"/>
      <c r="H539" s="2"/>
      <c r="I539" s="2"/>
      <c r="J539" s="2"/>
      <c r="K539" s="2"/>
      <c r="L539" s="2"/>
      <c r="M539" s="2"/>
      <c r="N539" s="2"/>
      <c r="O539" s="2"/>
      <c r="P539" s="2"/>
      <c r="Q539" s="2"/>
      <c r="R539" s="2"/>
      <c r="S539" s="3"/>
      <c r="T539" s="3"/>
      <c r="U539" s="3"/>
      <c r="V539" s="3"/>
      <c r="W539" s="3"/>
      <c r="X539" s="3"/>
      <c r="Y539" s="3"/>
      <c r="Z539" s="3"/>
    </row>
    <row r="540" ht="15.75" customHeight="1">
      <c r="A540" s="3"/>
      <c r="B540" s="576"/>
      <c r="C540" s="2"/>
      <c r="D540" s="2"/>
      <c r="E540" s="2"/>
      <c r="F540" s="464"/>
      <c r="G540" s="2"/>
      <c r="H540" s="2"/>
      <c r="I540" s="2"/>
      <c r="J540" s="2"/>
      <c r="K540" s="2"/>
      <c r="L540" s="2"/>
      <c r="M540" s="2"/>
      <c r="N540" s="2"/>
      <c r="O540" s="2"/>
      <c r="P540" s="2"/>
      <c r="Q540" s="2"/>
      <c r="R540" s="2"/>
      <c r="S540" s="3"/>
      <c r="T540" s="3"/>
      <c r="U540" s="3"/>
      <c r="V540" s="3"/>
      <c r="W540" s="3"/>
      <c r="X540" s="3"/>
      <c r="Y540" s="3"/>
      <c r="Z540" s="3"/>
    </row>
    <row r="541" ht="15.75" customHeight="1">
      <c r="A541" s="3"/>
      <c r="B541" s="576"/>
      <c r="C541" s="2"/>
      <c r="D541" s="2"/>
      <c r="E541" s="2"/>
      <c r="F541" s="464"/>
      <c r="G541" s="2"/>
      <c r="H541" s="2"/>
      <c r="I541" s="2"/>
      <c r="J541" s="2"/>
      <c r="K541" s="2"/>
      <c r="L541" s="2"/>
      <c r="M541" s="2"/>
      <c r="N541" s="2"/>
      <c r="O541" s="2"/>
      <c r="P541" s="2"/>
      <c r="Q541" s="2"/>
      <c r="R541" s="2"/>
      <c r="S541" s="3"/>
      <c r="T541" s="3"/>
      <c r="U541" s="3"/>
      <c r="V541" s="3"/>
      <c r="W541" s="3"/>
      <c r="X541" s="3"/>
      <c r="Y541" s="3"/>
      <c r="Z541" s="3"/>
    </row>
    <row r="542" ht="15.75" customHeight="1">
      <c r="A542" s="3"/>
      <c r="B542" s="576"/>
      <c r="C542" s="2"/>
      <c r="D542" s="2"/>
      <c r="E542" s="2"/>
      <c r="F542" s="464"/>
      <c r="G542" s="2"/>
      <c r="H542" s="2"/>
      <c r="I542" s="2"/>
      <c r="J542" s="2"/>
      <c r="K542" s="2"/>
      <c r="L542" s="2"/>
      <c r="M542" s="2"/>
      <c r="N542" s="2"/>
      <c r="O542" s="2"/>
      <c r="P542" s="2"/>
      <c r="Q542" s="2"/>
      <c r="R542" s="2"/>
      <c r="S542" s="3"/>
      <c r="T542" s="3"/>
      <c r="U542" s="3"/>
      <c r="V542" s="3"/>
      <c r="W542" s="3"/>
      <c r="X542" s="3"/>
      <c r="Y542" s="3"/>
      <c r="Z542" s="3"/>
    </row>
    <row r="543" ht="15.75" customHeight="1">
      <c r="A543" s="3"/>
      <c r="B543" s="576"/>
      <c r="C543" s="2"/>
      <c r="D543" s="2"/>
      <c r="E543" s="2"/>
      <c r="F543" s="464"/>
      <c r="G543" s="2"/>
      <c r="H543" s="2"/>
      <c r="I543" s="2"/>
      <c r="J543" s="2"/>
      <c r="K543" s="2"/>
      <c r="L543" s="2"/>
      <c r="M543" s="2"/>
      <c r="N543" s="2"/>
      <c r="O543" s="2"/>
      <c r="P543" s="2"/>
      <c r="Q543" s="2"/>
      <c r="R543" s="2"/>
      <c r="S543" s="3"/>
      <c r="T543" s="3"/>
      <c r="U543" s="3"/>
      <c r="V543" s="3"/>
      <c r="W543" s="3"/>
      <c r="X543" s="3"/>
      <c r="Y543" s="3"/>
      <c r="Z543" s="3"/>
    </row>
    <row r="544" ht="15.75" customHeight="1">
      <c r="A544" s="3"/>
      <c r="B544" s="576"/>
      <c r="C544" s="2"/>
      <c r="D544" s="2"/>
      <c r="E544" s="2"/>
      <c r="F544" s="464"/>
      <c r="G544" s="2"/>
      <c r="H544" s="2"/>
      <c r="I544" s="2"/>
      <c r="J544" s="2"/>
      <c r="K544" s="2"/>
      <c r="L544" s="2"/>
      <c r="M544" s="2"/>
      <c r="N544" s="2"/>
      <c r="O544" s="2"/>
      <c r="P544" s="2"/>
      <c r="Q544" s="2"/>
      <c r="R544" s="2"/>
      <c r="S544" s="3"/>
      <c r="T544" s="3"/>
      <c r="U544" s="3"/>
      <c r="V544" s="3"/>
      <c r="W544" s="3"/>
      <c r="X544" s="3"/>
      <c r="Y544" s="3"/>
      <c r="Z544" s="3"/>
    </row>
    <row r="545" ht="15.75" customHeight="1">
      <c r="A545" s="3"/>
      <c r="B545" s="576"/>
      <c r="C545" s="2"/>
      <c r="D545" s="2"/>
      <c r="E545" s="2"/>
      <c r="F545" s="464"/>
      <c r="G545" s="2"/>
      <c r="H545" s="2"/>
      <c r="I545" s="2"/>
      <c r="J545" s="2"/>
      <c r="K545" s="2"/>
      <c r="L545" s="2"/>
      <c r="M545" s="2"/>
      <c r="N545" s="2"/>
      <c r="O545" s="2"/>
      <c r="P545" s="2"/>
      <c r="Q545" s="2"/>
      <c r="R545" s="2"/>
      <c r="S545" s="3"/>
      <c r="T545" s="3"/>
      <c r="U545" s="3"/>
      <c r="V545" s="3"/>
      <c r="W545" s="3"/>
      <c r="X545" s="3"/>
      <c r="Y545" s="3"/>
      <c r="Z545" s="3"/>
    </row>
    <row r="546" ht="15.75" customHeight="1">
      <c r="A546" s="3"/>
      <c r="B546" s="576"/>
      <c r="C546" s="2"/>
      <c r="D546" s="2"/>
      <c r="E546" s="2"/>
      <c r="F546" s="464"/>
      <c r="G546" s="2"/>
      <c r="H546" s="2"/>
      <c r="I546" s="2"/>
      <c r="J546" s="2"/>
      <c r="K546" s="2"/>
      <c r="L546" s="2"/>
      <c r="M546" s="2"/>
      <c r="N546" s="2"/>
      <c r="O546" s="2"/>
      <c r="P546" s="2"/>
      <c r="Q546" s="2"/>
      <c r="R546" s="2"/>
      <c r="S546" s="3"/>
      <c r="T546" s="3"/>
      <c r="U546" s="3"/>
      <c r="V546" s="3"/>
      <c r="W546" s="3"/>
      <c r="X546" s="3"/>
      <c r="Y546" s="3"/>
      <c r="Z546" s="3"/>
    </row>
    <row r="547" ht="15.75" customHeight="1">
      <c r="A547" s="3"/>
      <c r="B547" s="576"/>
      <c r="C547" s="2"/>
      <c r="D547" s="2"/>
      <c r="E547" s="2"/>
      <c r="F547" s="464"/>
      <c r="G547" s="2"/>
      <c r="H547" s="2"/>
      <c r="I547" s="2"/>
      <c r="J547" s="2"/>
      <c r="K547" s="2"/>
      <c r="L547" s="2"/>
      <c r="M547" s="2"/>
      <c r="N547" s="2"/>
      <c r="O547" s="2"/>
      <c r="P547" s="2"/>
      <c r="Q547" s="2"/>
      <c r="R547" s="2"/>
      <c r="S547" s="3"/>
      <c r="T547" s="3"/>
      <c r="U547" s="3"/>
      <c r="V547" s="3"/>
      <c r="W547" s="3"/>
      <c r="X547" s="3"/>
      <c r="Y547" s="3"/>
      <c r="Z547" s="3"/>
    </row>
    <row r="548" ht="15.75" customHeight="1">
      <c r="A548" s="3"/>
      <c r="B548" s="576"/>
      <c r="C548" s="2"/>
      <c r="D548" s="2"/>
      <c r="E548" s="2"/>
      <c r="F548" s="464"/>
      <c r="G548" s="2"/>
      <c r="H548" s="2"/>
      <c r="I548" s="2"/>
      <c r="J548" s="2"/>
      <c r="K548" s="2"/>
      <c r="L548" s="2"/>
      <c r="M548" s="2"/>
      <c r="N548" s="2"/>
      <c r="O548" s="2"/>
      <c r="P548" s="2"/>
      <c r="Q548" s="2"/>
      <c r="R548" s="2"/>
      <c r="S548" s="3"/>
      <c r="T548" s="3"/>
      <c r="U548" s="3"/>
      <c r="V548" s="3"/>
      <c r="W548" s="3"/>
      <c r="X548" s="3"/>
      <c r="Y548" s="3"/>
      <c r="Z548" s="3"/>
    </row>
    <row r="549" ht="15.75" customHeight="1">
      <c r="A549" s="3"/>
      <c r="B549" s="576"/>
      <c r="C549" s="2"/>
      <c r="D549" s="2"/>
      <c r="E549" s="2"/>
      <c r="F549" s="464"/>
      <c r="G549" s="2"/>
      <c r="H549" s="2"/>
      <c r="I549" s="2"/>
      <c r="J549" s="2"/>
      <c r="K549" s="2"/>
      <c r="L549" s="2"/>
      <c r="M549" s="2"/>
      <c r="N549" s="2"/>
      <c r="O549" s="2"/>
      <c r="P549" s="2"/>
      <c r="Q549" s="2"/>
      <c r="R549" s="2"/>
      <c r="S549" s="3"/>
      <c r="T549" s="3"/>
      <c r="U549" s="3"/>
      <c r="V549" s="3"/>
      <c r="W549" s="3"/>
      <c r="X549" s="3"/>
      <c r="Y549" s="3"/>
      <c r="Z549" s="3"/>
    </row>
    <row r="550" ht="15.75" customHeight="1">
      <c r="A550" s="3"/>
      <c r="B550" s="576"/>
      <c r="C550" s="2"/>
      <c r="D550" s="2"/>
      <c r="E550" s="2"/>
      <c r="F550" s="464"/>
      <c r="G550" s="2"/>
      <c r="H550" s="2"/>
      <c r="I550" s="2"/>
      <c r="J550" s="2"/>
      <c r="K550" s="2"/>
      <c r="L550" s="2"/>
      <c r="M550" s="2"/>
      <c r="N550" s="2"/>
      <c r="O550" s="2"/>
      <c r="P550" s="2"/>
      <c r="Q550" s="2"/>
      <c r="R550" s="2"/>
      <c r="S550" s="3"/>
      <c r="T550" s="3"/>
      <c r="U550" s="3"/>
      <c r="V550" s="3"/>
      <c r="W550" s="3"/>
      <c r="X550" s="3"/>
      <c r="Y550" s="3"/>
      <c r="Z550" s="3"/>
    </row>
    <row r="551" ht="15.75" customHeight="1">
      <c r="A551" s="3"/>
      <c r="B551" s="576"/>
      <c r="C551" s="2"/>
      <c r="D551" s="2"/>
      <c r="E551" s="2"/>
      <c r="F551" s="464"/>
      <c r="G551" s="2"/>
      <c r="H551" s="2"/>
      <c r="I551" s="2"/>
      <c r="J551" s="2"/>
      <c r="K551" s="2"/>
      <c r="L551" s="2"/>
      <c r="M551" s="2"/>
      <c r="N551" s="2"/>
      <c r="O551" s="2"/>
      <c r="P551" s="2"/>
      <c r="Q551" s="2"/>
      <c r="R551" s="2"/>
      <c r="S551" s="3"/>
      <c r="T551" s="3"/>
      <c r="U551" s="3"/>
      <c r="V551" s="3"/>
      <c r="W551" s="3"/>
      <c r="X551" s="3"/>
      <c r="Y551" s="3"/>
      <c r="Z551" s="3"/>
    </row>
    <row r="552" ht="15.75" customHeight="1">
      <c r="A552" s="3"/>
      <c r="B552" s="576"/>
      <c r="C552" s="2"/>
      <c r="D552" s="2"/>
      <c r="E552" s="2"/>
      <c r="F552" s="464"/>
      <c r="G552" s="2"/>
      <c r="H552" s="2"/>
      <c r="I552" s="2"/>
      <c r="J552" s="2"/>
      <c r="K552" s="2"/>
      <c r="L552" s="2"/>
      <c r="M552" s="2"/>
      <c r="N552" s="2"/>
      <c r="O552" s="2"/>
      <c r="P552" s="2"/>
      <c r="Q552" s="2"/>
      <c r="R552" s="2"/>
      <c r="S552" s="3"/>
      <c r="T552" s="3"/>
      <c r="U552" s="3"/>
      <c r="V552" s="3"/>
      <c r="W552" s="3"/>
      <c r="X552" s="3"/>
      <c r="Y552" s="3"/>
      <c r="Z552" s="3"/>
    </row>
    <row r="553" ht="15.75" customHeight="1">
      <c r="A553" s="3"/>
      <c r="B553" s="576"/>
      <c r="C553" s="2"/>
      <c r="D553" s="2"/>
      <c r="E553" s="2"/>
      <c r="F553" s="464"/>
      <c r="G553" s="2"/>
      <c r="H553" s="2"/>
      <c r="I553" s="2"/>
      <c r="J553" s="2"/>
      <c r="K553" s="2"/>
      <c r="L553" s="2"/>
      <c r="M553" s="2"/>
      <c r="N553" s="2"/>
      <c r="O553" s="2"/>
      <c r="P553" s="2"/>
      <c r="Q553" s="2"/>
      <c r="R553" s="2"/>
      <c r="S553" s="3"/>
      <c r="T553" s="3"/>
      <c r="U553" s="3"/>
      <c r="V553" s="3"/>
      <c r="W553" s="3"/>
      <c r="X553" s="3"/>
      <c r="Y553" s="3"/>
      <c r="Z553" s="3"/>
    </row>
    <row r="554" ht="15.75" customHeight="1">
      <c r="A554" s="3"/>
      <c r="B554" s="576"/>
      <c r="C554" s="2"/>
      <c r="D554" s="2"/>
      <c r="E554" s="2"/>
      <c r="F554" s="464"/>
      <c r="G554" s="2"/>
      <c r="H554" s="2"/>
      <c r="I554" s="2"/>
      <c r="J554" s="2"/>
      <c r="K554" s="2"/>
      <c r="L554" s="2"/>
      <c r="M554" s="2"/>
      <c r="N554" s="2"/>
      <c r="O554" s="2"/>
      <c r="P554" s="2"/>
      <c r="Q554" s="2"/>
      <c r="R554" s="2"/>
      <c r="S554" s="3"/>
      <c r="T554" s="3"/>
      <c r="U554" s="3"/>
      <c r="V554" s="3"/>
      <c r="W554" s="3"/>
      <c r="X554" s="3"/>
      <c r="Y554" s="3"/>
      <c r="Z554" s="3"/>
    </row>
    <row r="555" ht="15.75" customHeight="1">
      <c r="A555" s="3"/>
      <c r="B555" s="576"/>
      <c r="C555" s="2"/>
      <c r="D555" s="2"/>
      <c r="E555" s="2"/>
      <c r="F555" s="464"/>
      <c r="G555" s="2"/>
      <c r="H555" s="2"/>
      <c r="I555" s="2"/>
      <c r="J555" s="2"/>
      <c r="K555" s="2"/>
      <c r="L555" s="2"/>
      <c r="M555" s="2"/>
      <c r="N555" s="2"/>
      <c r="O555" s="2"/>
      <c r="P555" s="2"/>
      <c r="Q555" s="2"/>
      <c r="R555" s="2"/>
      <c r="S555" s="3"/>
      <c r="T555" s="3"/>
      <c r="U555" s="3"/>
      <c r="V555" s="3"/>
      <c r="W555" s="3"/>
      <c r="X555" s="3"/>
      <c r="Y555" s="3"/>
      <c r="Z555" s="3"/>
    </row>
    <row r="556" ht="15.75" customHeight="1">
      <c r="A556" s="3"/>
      <c r="B556" s="576"/>
      <c r="C556" s="2"/>
      <c r="D556" s="2"/>
      <c r="E556" s="2"/>
      <c r="F556" s="464"/>
      <c r="G556" s="2"/>
      <c r="H556" s="2"/>
      <c r="I556" s="2"/>
      <c r="J556" s="2"/>
      <c r="K556" s="2"/>
      <c r="L556" s="2"/>
      <c r="M556" s="2"/>
      <c r="N556" s="2"/>
      <c r="O556" s="2"/>
      <c r="P556" s="2"/>
      <c r="Q556" s="2"/>
      <c r="R556" s="2"/>
      <c r="S556" s="3"/>
      <c r="T556" s="3"/>
      <c r="U556" s="3"/>
      <c r="V556" s="3"/>
      <c r="W556" s="3"/>
      <c r="X556" s="3"/>
      <c r="Y556" s="3"/>
      <c r="Z556" s="3"/>
    </row>
    <row r="557" ht="15.75" customHeight="1">
      <c r="A557" s="3"/>
      <c r="B557" s="576"/>
      <c r="C557" s="2"/>
      <c r="D557" s="2"/>
      <c r="E557" s="2"/>
      <c r="F557" s="464"/>
      <c r="G557" s="2"/>
      <c r="H557" s="2"/>
      <c r="I557" s="2"/>
      <c r="J557" s="2"/>
      <c r="K557" s="2"/>
      <c r="L557" s="2"/>
      <c r="M557" s="2"/>
      <c r="N557" s="2"/>
      <c r="O557" s="2"/>
      <c r="P557" s="2"/>
      <c r="Q557" s="2"/>
      <c r="R557" s="2"/>
      <c r="S557" s="3"/>
      <c r="T557" s="3"/>
      <c r="U557" s="3"/>
      <c r="V557" s="3"/>
      <c r="W557" s="3"/>
      <c r="X557" s="3"/>
      <c r="Y557" s="3"/>
      <c r="Z557" s="3"/>
    </row>
    <row r="558" ht="15.75" customHeight="1">
      <c r="A558" s="3"/>
      <c r="B558" s="576"/>
      <c r="C558" s="2"/>
      <c r="D558" s="2"/>
      <c r="E558" s="2"/>
      <c r="F558" s="464"/>
      <c r="G558" s="2"/>
      <c r="H558" s="2"/>
      <c r="I558" s="2"/>
      <c r="J558" s="2"/>
      <c r="K558" s="2"/>
      <c r="L558" s="2"/>
      <c r="M558" s="2"/>
      <c r="N558" s="2"/>
      <c r="O558" s="2"/>
      <c r="P558" s="2"/>
      <c r="Q558" s="2"/>
      <c r="R558" s="2"/>
      <c r="S558" s="3"/>
      <c r="T558" s="3"/>
      <c r="U558" s="3"/>
      <c r="V558" s="3"/>
      <c r="W558" s="3"/>
      <c r="X558" s="3"/>
      <c r="Y558" s="3"/>
      <c r="Z558" s="3"/>
    </row>
    <row r="559" ht="15.75" customHeight="1">
      <c r="A559" s="3"/>
      <c r="B559" s="576"/>
      <c r="C559" s="2"/>
      <c r="D559" s="2"/>
      <c r="E559" s="2"/>
      <c r="F559" s="464"/>
      <c r="G559" s="2"/>
      <c r="H559" s="2"/>
      <c r="I559" s="2"/>
      <c r="J559" s="2"/>
      <c r="K559" s="2"/>
      <c r="L559" s="2"/>
      <c r="M559" s="2"/>
      <c r="N559" s="2"/>
      <c r="O559" s="2"/>
      <c r="P559" s="2"/>
      <c r="Q559" s="2"/>
      <c r="R559" s="2"/>
      <c r="S559" s="3"/>
      <c r="T559" s="3"/>
      <c r="U559" s="3"/>
      <c r="V559" s="3"/>
      <c r="W559" s="3"/>
      <c r="X559" s="3"/>
      <c r="Y559" s="3"/>
      <c r="Z559" s="3"/>
    </row>
    <row r="560" ht="15.75" customHeight="1">
      <c r="A560" s="3"/>
      <c r="B560" s="576"/>
      <c r="C560" s="2"/>
      <c r="D560" s="2"/>
      <c r="E560" s="2"/>
      <c r="F560" s="464"/>
      <c r="G560" s="2"/>
      <c r="H560" s="2"/>
      <c r="I560" s="2"/>
      <c r="J560" s="2"/>
      <c r="K560" s="2"/>
      <c r="L560" s="2"/>
      <c r="M560" s="2"/>
      <c r="N560" s="2"/>
      <c r="O560" s="2"/>
      <c r="P560" s="2"/>
      <c r="Q560" s="2"/>
      <c r="R560" s="2"/>
      <c r="S560" s="3"/>
      <c r="T560" s="3"/>
      <c r="U560" s="3"/>
      <c r="V560" s="3"/>
      <c r="W560" s="3"/>
      <c r="X560" s="3"/>
      <c r="Y560" s="3"/>
      <c r="Z560" s="3"/>
    </row>
    <row r="561" ht="15.75" customHeight="1">
      <c r="A561" s="3"/>
      <c r="B561" s="576"/>
      <c r="C561" s="2"/>
      <c r="D561" s="2"/>
      <c r="E561" s="2"/>
      <c r="F561" s="464"/>
      <c r="G561" s="2"/>
      <c r="H561" s="2"/>
      <c r="I561" s="2"/>
      <c r="J561" s="2"/>
      <c r="K561" s="2"/>
      <c r="L561" s="2"/>
      <c r="M561" s="2"/>
      <c r="N561" s="2"/>
      <c r="O561" s="2"/>
      <c r="P561" s="2"/>
      <c r="Q561" s="2"/>
      <c r="R561" s="2"/>
      <c r="S561" s="3"/>
      <c r="T561" s="3"/>
      <c r="U561" s="3"/>
      <c r="V561" s="3"/>
      <c r="W561" s="3"/>
      <c r="X561" s="3"/>
      <c r="Y561" s="3"/>
      <c r="Z561" s="3"/>
    </row>
    <row r="562" ht="15.75" customHeight="1">
      <c r="A562" s="3"/>
      <c r="B562" s="576"/>
      <c r="C562" s="2"/>
      <c r="D562" s="2"/>
      <c r="E562" s="2"/>
      <c r="F562" s="464"/>
      <c r="G562" s="2"/>
      <c r="H562" s="2"/>
      <c r="I562" s="2"/>
      <c r="J562" s="2"/>
      <c r="K562" s="2"/>
      <c r="L562" s="2"/>
      <c r="M562" s="2"/>
      <c r="N562" s="2"/>
      <c r="O562" s="2"/>
      <c r="P562" s="2"/>
      <c r="Q562" s="2"/>
      <c r="R562" s="2"/>
      <c r="S562" s="3"/>
      <c r="T562" s="3"/>
      <c r="U562" s="3"/>
      <c r="V562" s="3"/>
      <c r="W562" s="3"/>
      <c r="X562" s="3"/>
      <c r="Y562" s="3"/>
      <c r="Z562" s="3"/>
    </row>
    <row r="563" ht="15.75" customHeight="1">
      <c r="A563" s="3"/>
      <c r="B563" s="576"/>
      <c r="C563" s="2"/>
      <c r="D563" s="2"/>
      <c r="E563" s="2"/>
      <c r="F563" s="464"/>
      <c r="G563" s="2"/>
      <c r="H563" s="2"/>
      <c r="I563" s="2"/>
      <c r="J563" s="2"/>
      <c r="K563" s="2"/>
      <c r="L563" s="2"/>
      <c r="M563" s="2"/>
      <c r="N563" s="2"/>
      <c r="O563" s="2"/>
      <c r="P563" s="2"/>
      <c r="Q563" s="2"/>
      <c r="R563" s="2"/>
      <c r="S563" s="3"/>
      <c r="T563" s="3"/>
      <c r="U563" s="3"/>
      <c r="V563" s="3"/>
      <c r="W563" s="3"/>
      <c r="X563" s="3"/>
      <c r="Y563" s="3"/>
      <c r="Z563" s="3"/>
    </row>
    <row r="564" ht="15.75" customHeight="1">
      <c r="A564" s="3"/>
      <c r="B564" s="576"/>
      <c r="C564" s="2"/>
      <c r="D564" s="2"/>
      <c r="E564" s="2"/>
      <c r="F564" s="464"/>
      <c r="G564" s="2"/>
      <c r="H564" s="2"/>
      <c r="I564" s="2"/>
      <c r="J564" s="2"/>
      <c r="K564" s="2"/>
      <c r="L564" s="2"/>
      <c r="M564" s="2"/>
      <c r="N564" s="2"/>
      <c r="O564" s="2"/>
      <c r="P564" s="2"/>
      <c r="Q564" s="2"/>
      <c r="R564" s="2"/>
      <c r="S564" s="3"/>
      <c r="T564" s="3"/>
      <c r="U564" s="3"/>
      <c r="V564" s="3"/>
      <c r="W564" s="3"/>
      <c r="X564" s="3"/>
      <c r="Y564" s="3"/>
      <c r="Z564" s="3"/>
    </row>
    <row r="565" ht="15.75" customHeight="1">
      <c r="A565" s="3"/>
      <c r="B565" s="576"/>
      <c r="C565" s="2"/>
      <c r="D565" s="2"/>
      <c r="E565" s="2"/>
      <c r="F565" s="464"/>
      <c r="G565" s="2"/>
      <c r="H565" s="2"/>
      <c r="I565" s="2"/>
      <c r="J565" s="2"/>
      <c r="K565" s="2"/>
      <c r="L565" s="2"/>
      <c r="M565" s="2"/>
      <c r="N565" s="2"/>
      <c r="O565" s="2"/>
      <c r="P565" s="2"/>
      <c r="Q565" s="2"/>
      <c r="R565" s="2"/>
      <c r="S565" s="3"/>
      <c r="T565" s="3"/>
      <c r="U565" s="3"/>
      <c r="V565" s="3"/>
      <c r="W565" s="3"/>
      <c r="X565" s="3"/>
      <c r="Y565" s="3"/>
      <c r="Z565" s="3"/>
    </row>
    <row r="566" ht="15.75" customHeight="1">
      <c r="A566" s="3"/>
      <c r="B566" s="576"/>
      <c r="C566" s="2"/>
      <c r="D566" s="2"/>
      <c r="E566" s="2"/>
      <c r="F566" s="464"/>
      <c r="G566" s="2"/>
      <c r="H566" s="2"/>
      <c r="I566" s="2"/>
      <c r="J566" s="2"/>
      <c r="K566" s="2"/>
      <c r="L566" s="2"/>
      <c r="M566" s="2"/>
      <c r="N566" s="2"/>
      <c r="O566" s="2"/>
      <c r="P566" s="2"/>
      <c r="Q566" s="2"/>
      <c r="R566" s="2"/>
      <c r="S566" s="3"/>
      <c r="T566" s="3"/>
      <c r="U566" s="3"/>
      <c r="V566" s="3"/>
      <c r="W566" s="3"/>
      <c r="X566" s="3"/>
      <c r="Y566" s="3"/>
      <c r="Z566" s="3"/>
    </row>
    <row r="567" ht="15.75" customHeight="1">
      <c r="A567" s="3"/>
      <c r="B567" s="576"/>
      <c r="C567" s="2"/>
      <c r="D567" s="2"/>
      <c r="E567" s="2"/>
      <c r="F567" s="464"/>
      <c r="G567" s="2"/>
      <c r="H567" s="2"/>
      <c r="I567" s="2"/>
      <c r="J567" s="2"/>
      <c r="K567" s="2"/>
      <c r="L567" s="2"/>
      <c r="M567" s="2"/>
      <c r="N567" s="2"/>
      <c r="O567" s="2"/>
      <c r="P567" s="2"/>
      <c r="Q567" s="2"/>
      <c r="R567" s="2"/>
      <c r="S567" s="3"/>
      <c r="T567" s="3"/>
      <c r="U567" s="3"/>
      <c r="V567" s="3"/>
      <c r="W567" s="3"/>
      <c r="X567" s="3"/>
      <c r="Y567" s="3"/>
      <c r="Z567" s="3"/>
    </row>
    <row r="568" ht="15.75" customHeight="1">
      <c r="A568" s="3"/>
      <c r="B568" s="576"/>
      <c r="C568" s="2"/>
      <c r="D568" s="2"/>
      <c r="E568" s="2"/>
      <c r="F568" s="464"/>
      <c r="G568" s="2"/>
      <c r="H568" s="2"/>
      <c r="I568" s="2"/>
      <c r="J568" s="2"/>
      <c r="K568" s="2"/>
      <c r="L568" s="2"/>
      <c r="M568" s="2"/>
      <c r="N568" s="2"/>
      <c r="O568" s="2"/>
      <c r="P568" s="2"/>
      <c r="Q568" s="2"/>
      <c r="R568" s="2"/>
      <c r="S568" s="3"/>
      <c r="T568" s="3"/>
      <c r="U568" s="3"/>
      <c r="V568" s="3"/>
      <c r="W568" s="3"/>
      <c r="X568" s="3"/>
      <c r="Y568" s="3"/>
      <c r="Z568" s="3"/>
    </row>
    <row r="569" ht="15.75" customHeight="1">
      <c r="A569" s="3"/>
      <c r="B569" s="576"/>
      <c r="C569" s="2"/>
      <c r="D569" s="2"/>
      <c r="E569" s="2"/>
      <c r="F569" s="464"/>
      <c r="G569" s="2"/>
      <c r="H569" s="2"/>
      <c r="I569" s="2"/>
      <c r="J569" s="2"/>
      <c r="K569" s="2"/>
      <c r="L569" s="2"/>
      <c r="M569" s="2"/>
      <c r="N569" s="2"/>
      <c r="O569" s="2"/>
      <c r="P569" s="2"/>
      <c r="Q569" s="2"/>
      <c r="R569" s="2"/>
      <c r="S569" s="3"/>
      <c r="T569" s="3"/>
      <c r="U569" s="3"/>
      <c r="V569" s="3"/>
      <c r="W569" s="3"/>
      <c r="X569" s="3"/>
      <c r="Y569" s="3"/>
      <c r="Z569" s="3"/>
    </row>
    <row r="570" ht="15.75" customHeight="1">
      <c r="A570" s="3"/>
      <c r="B570" s="576"/>
      <c r="C570" s="2"/>
      <c r="D570" s="2"/>
      <c r="E570" s="2"/>
      <c r="F570" s="464"/>
      <c r="G570" s="2"/>
      <c r="H570" s="2"/>
      <c r="I570" s="2"/>
      <c r="J570" s="2"/>
      <c r="K570" s="2"/>
      <c r="L570" s="2"/>
      <c r="M570" s="2"/>
      <c r="N570" s="2"/>
      <c r="O570" s="2"/>
      <c r="P570" s="2"/>
      <c r="Q570" s="2"/>
      <c r="R570" s="2"/>
      <c r="S570" s="3"/>
      <c r="T570" s="3"/>
      <c r="U570" s="3"/>
      <c r="V570" s="3"/>
      <c r="W570" s="3"/>
      <c r="X570" s="3"/>
      <c r="Y570" s="3"/>
      <c r="Z570" s="3"/>
    </row>
    <row r="571" ht="15.75" customHeight="1">
      <c r="A571" s="3"/>
      <c r="B571" s="576"/>
      <c r="C571" s="2"/>
      <c r="D571" s="2"/>
      <c r="E571" s="2"/>
      <c r="F571" s="464"/>
      <c r="G571" s="2"/>
      <c r="H571" s="2"/>
      <c r="I571" s="2"/>
      <c r="J571" s="2"/>
      <c r="K571" s="2"/>
      <c r="L571" s="2"/>
      <c r="M571" s="2"/>
      <c r="N571" s="2"/>
      <c r="O571" s="2"/>
      <c r="P571" s="2"/>
      <c r="Q571" s="2"/>
      <c r="R571" s="2"/>
      <c r="S571" s="3"/>
      <c r="T571" s="3"/>
      <c r="U571" s="3"/>
      <c r="V571" s="3"/>
      <c r="W571" s="3"/>
      <c r="X571" s="3"/>
      <c r="Y571" s="3"/>
      <c r="Z571" s="3"/>
    </row>
    <row r="572" ht="15.75" customHeight="1">
      <c r="A572" s="3"/>
      <c r="B572" s="576"/>
      <c r="C572" s="2"/>
      <c r="D572" s="2"/>
      <c r="E572" s="2"/>
      <c r="F572" s="464"/>
      <c r="G572" s="2"/>
      <c r="H572" s="2"/>
      <c r="I572" s="2"/>
      <c r="J572" s="2"/>
      <c r="K572" s="2"/>
      <c r="L572" s="2"/>
      <c r="M572" s="2"/>
      <c r="N572" s="2"/>
      <c r="O572" s="2"/>
      <c r="P572" s="2"/>
      <c r="Q572" s="2"/>
      <c r="R572" s="2"/>
      <c r="S572" s="3"/>
      <c r="T572" s="3"/>
      <c r="U572" s="3"/>
      <c r="V572" s="3"/>
      <c r="W572" s="3"/>
      <c r="X572" s="3"/>
      <c r="Y572" s="3"/>
      <c r="Z572" s="3"/>
    </row>
    <row r="573" ht="15.75" customHeight="1">
      <c r="A573" s="3"/>
      <c r="B573" s="576"/>
      <c r="C573" s="2"/>
      <c r="D573" s="2"/>
      <c r="E573" s="2"/>
      <c r="F573" s="464"/>
      <c r="G573" s="2"/>
      <c r="H573" s="2"/>
      <c r="I573" s="2"/>
      <c r="J573" s="2"/>
      <c r="K573" s="2"/>
      <c r="L573" s="2"/>
      <c r="M573" s="2"/>
      <c r="N573" s="2"/>
      <c r="O573" s="2"/>
      <c r="P573" s="2"/>
      <c r="Q573" s="2"/>
      <c r="R573" s="2"/>
      <c r="S573" s="3"/>
      <c r="T573" s="3"/>
      <c r="U573" s="3"/>
      <c r="V573" s="3"/>
      <c r="W573" s="3"/>
      <c r="X573" s="3"/>
      <c r="Y573" s="3"/>
      <c r="Z573" s="3"/>
    </row>
    <row r="574" ht="15.75" customHeight="1">
      <c r="A574" s="3"/>
      <c r="B574" s="576"/>
      <c r="C574" s="2"/>
      <c r="D574" s="2"/>
      <c r="E574" s="2"/>
      <c r="F574" s="464"/>
      <c r="G574" s="2"/>
      <c r="H574" s="2"/>
      <c r="I574" s="2"/>
      <c r="J574" s="2"/>
      <c r="K574" s="2"/>
      <c r="L574" s="2"/>
      <c r="M574" s="2"/>
      <c r="N574" s="2"/>
      <c r="O574" s="2"/>
      <c r="P574" s="2"/>
      <c r="Q574" s="2"/>
      <c r="R574" s="2"/>
      <c r="S574" s="3"/>
      <c r="T574" s="3"/>
      <c r="U574" s="3"/>
      <c r="V574" s="3"/>
      <c r="W574" s="3"/>
      <c r="X574" s="3"/>
      <c r="Y574" s="3"/>
      <c r="Z574" s="3"/>
    </row>
    <row r="575" ht="15.75" customHeight="1">
      <c r="A575" s="3"/>
      <c r="B575" s="576"/>
      <c r="C575" s="2"/>
      <c r="D575" s="2"/>
      <c r="E575" s="2"/>
      <c r="F575" s="464"/>
      <c r="G575" s="2"/>
      <c r="H575" s="2"/>
      <c r="I575" s="2"/>
      <c r="J575" s="2"/>
      <c r="K575" s="2"/>
      <c r="L575" s="2"/>
      <c r="M575" s="2"/>
      <c r="N575" s="2"/>
      <c r="O575" s="2"/>
      <c r="P575" s="2"/>
      <c r="Q575" s="2"/>
      <c r="R575" s="2"/>
      <c r="S575" s="3"/>
      <c r="T575" s="3"/>
      <c r="U575" s="3"/>
      <c r="V575" s="3"/>
      <c r="W575" s="3"/>
      <c r="X575" s="3"/>
      <c r="Y575" s="3"/>
      <c r="Z575" s="3"/>
    </row>
    <row r="576" ht="15.75" customHeight="1">
      <c r="A576" s="3"/>
      <c r="B576" s="576"/>
      <c r="C576" s="2"/>
      <c r="D576" s="2"/>
      <c r="E576" s="2"/>
      <c r="F576" s="464"/>
      <c r="G576" s="2"/>
      <c r="H576" s="2"/>
      <c r="I576" s="2"/>
      <c r="J576" s="2"/>
      <c r="K576" s="2"/>
      <c r="L576" s="2"/>
      <c r="M576" s="2"/>
      <c r="N576" s="2"/>
      <c r="O576" s="2"/>
      <c r="P576" s="2"/>
      <c r="Q576" s="2"/>
      <c r="R576" s="2"/>
      <c r="S576" s="3"/>
      <c r="T576" s="3"/>
      <c r="U576" s="3"/>
      <c r="V576" s="3"/>
      <c r="W576" s="3"/>
      <c r="X576" s="3"/>
      <c r="Y576" s="3"/>
      <c r="Z576" s="3"/>
    </row>
    <row r="577" ht="15.75" customHeight="1">
      <c r="A577" s="3"/>
      <c r="B577" s="576"/>
      <c r="C577" s="2"/>
      <c r="D577" s="2"/>
      <c r="E577" s="2"/>
      <c r="F577" s="464"/>
      <c r="G577" s="2"/>
      <c r="H577" s="2"/>
      <c r="I577" s="2"/>
      <c r="J577" s="2"/>
      <c r="K577" s="2"/>
      <c r="L577" s="2"/>
      <c r="M577" s="2"/>
      <c r="N577" s="2"/>
      <c r="O577" s="2"/>
      <c r="P577" s="2"/>
      <c r="Q577" s="2"/>
      <c r="R577" s="2"/>
      <c r="S577" s="3"/>
      <c r="T577" s="3"/>
      <c r="U577" s="3"/>
      <c r="V577" s="3"/>
      <c r="W577" s="3"/>
      <c r="X577" s="3"/>
      <c r="Y577" s="3"/>
      <c r="Z577" s="3"/>
    </row>
    <row r="578" ht="15.75" customHeight="1">
      <c r="A578" s="3"/>
      <c r="B578" s="576"/>
      <c r="C578" s="2"/>
      <c r="D578" s="2"/>
      <c r="E578" s="2"/>
      <c r="F578" s="464"/>
      <c r="G578" s="2"/>
      <c r="H578" s="2"/>
      <c r="I578" s="2"/>
      <c r="J578" s="2"/>
      <c r="K578" s="2"/>
      <c r="L578" s="2"/>
      <c r="M578" s="2"/>
      <c r="N578" s="2"/>
      <c r="O578" s="2"/>
      <c r="P578" s="2"/>
      <c r="Q578" s="2"/>
      <c r="R578" s="2"/>
      <c r="S578" s="3"/>
      <c r="T578" s="3"/>
      <c r="U578" s="3"/>
      <c r="V578" s="3"/>
      <c r="W578" s="3"/>
      <c r="X578" s="3"/>
      <c r="Y578" s="3"/>
      <c r="Z578" s="3"/>
    </row>
    <row r="579" ht="15.75" customHeight="1">
      <c r="A579" s="3"/>
      <c r="B579" s="576"/>
      <c r="C579" s="2"/>
      <c r="D579" s="2"/>
      <c r="E579" s="2"/>
      <c r="F579" s="464"/>
      <c r="G579" s="2"/>
      <c r="H579" s="2"/>
      <c r="I579" s="2"/>
      <c r="J579" s="2"/>
      <c r="K579" s="2"/>
      <c r="L579" s="2"/>
      <c r="M579" s="2"/>
      <c r="N579" s="2"/>
      <c r="O579" s="2"/>
      <c r="P579" s="2"/>
      <c r="Q579" s="2"/>
      <c r="R579" s="2"/>
      <c r="S579" s="3"/>
      <c r="T579" s="3"/>
      <c r="U579" s="3"/>
      <c r="V579" s="3"/>
      <c r="W579" s="3"/>
      <c r="X579" s="3"/>
      <c r="Y579" s="3"/>
      <c r="Z579" s="3"/>
    </row>
    <row r="580" ht="15.75" customHeight="1">
      <c r="A580" s="3"/>
      <c r="B580" s="576"/>
      <c r="C580" s="2"/>
      <c r="D580" s="2"/>
      <c r="E580" s="2"/>
      <c r="F580" s="464"/>
      <c r="G580" s="2"/>
      <c r="H580" s="2"/>
      <c r="I580" s="2"/>
      <c r="J580" s="2"/>
      <c r="K580" s="2"/>
      <c r="L580" s="2"/>
      <c r="M580" s="2"/>
      <c r="N580" s="2"/>
      <c r="O580" s="2"/>
      <c r="P580" s="2"/>
      <c r="Q580" s="2"/>
      <c r="R580" s="2"/>
      <c r="S580" s="3"/>
      <c r="T580" s="3"/>
      <c r="U580" s="3"/>
      <c r="V580" s="3"/>
      <c r="W580" s="3"/>
      <c r="X580" s="3"/>
      <c r="Y580" s="3"/>
      <c r="Z580" s="3"/>
    </row>
    <row r="581" ht="15.75" customHeight="1">
      <c r="A581" s="3"/>
      <c r="B581" s="576"/>
      <c r="C581" s="2"/>
      <c r="D581" s="2"/>
      <c r="E581" s="2"/>
      <c r="F581" s="464"/>
      <c r="G581" s="2"/>
      <c r="H581" s="2"/>
      <c r="I581" s="2"/>
      <c r="J581" s="2"/>
      <c r="K581" s="2"/>
      <c r="L581" s="2"/>
      <c r="M581" s="2"/>
      <c r="N581" s="2"/>
      <c r="O581" s="2"/>
      <c r="P581" s="2"/>
      <c r="Q581" s="2"/>
      <c r="R581" s="2"/>
      <c r="S581" s="3"/>
      <c r="T581" s="3"/>
      <c r="U581" s="3"/>
      <c r="V581" s="3"/>
      <c r="W581" s="3"/>
      <c r="X581" s="3"/>
      <c r="Y581" s="3"/>
      <c r="Z581" s="3"/>
    </row>
    <row r="582" ht="15.75" customHeight="1">
      <c r="A582" s="3"/>
      <c r="B582" s="576"/>
      <c r="C582" s="2"/>
      <c r="D582" s="2"/>
      <c r="E582" s="2"/>
      <c r="F582" s="464"/>
      <c r="G582" s="2"/>
      <c r="H582" s="2"/>
      <c r="I582" s="2"/>
      <c r="J582" s="2"/>
      <c r="K582" s="2"/>
      <c r="L582" s="2"/>
      <c r="M582" s="2"/>
      <c r="N582" s="2"/>
      <c r="O582" s="2"/>
      <c r="P582" s="2"/>
      <c r="Q582" s="2"/>
      <c r="R582" s="2"/>
      <c r="S582" s="3"/>
      <c r="T582" s="3"/>
      <c r="U582" s="3"/>
      <c r="V582" s="3"/>
      <c r="W582" s="3"/>
      <c r="X582" s="3"/>
      <c r="Y582" s="3"/>
      <c r="Z582" s="3"/>
    </row>
    <row r="583" ht="15.75" customHeight="1">
      <c r="A583" s="3"/>
      <c r="B583" s="576"/>
      <c r="C583" s="2"/>
      <c r="D583" s="2"/>
      <c r="E583" s="2"/>
      <c r="F583" s="464"/>
      <c r="G583" s="2"/>
      <c r="H583" s="2"/>
      <c r="I583" s="2"/>
      <c r="J583" s="2"/>
      <c r="K583" s="2"/>
      <c r="L583" s="2"/>
      <c r="M583" s="2"/>
      <c r="N583" s="2"/>
      <c r="O583" s="2"/>
      <c r="P583" s="2"/>
      <c r="Q583" s="2"/>
      <c r="R583" s="2"/>
      <c r="S583" s="3"/>
      <c r="T583" s="3"/>
      <c r="U583" s="3"/>
      <c r="V583" s="3"/>
      <c r="W583" s="3"/>
      <c r="X583" s="3"/>
      <c r="Y583" s="3"/>
      <c r="Z583" s="3"/>
    </row>
    <row r="584" ht="15.75" customHeight="1">
      <c r="A584" s="3"/>
      <c r="B584" s="576"/>
      <c r="C584" s="2"/>
      <c r="D584" s="2"/>
      <c r="E584" s="2"/>
      <c r="F584" s="464"/>
      <c r="G584" s="2"/>
      <c r="H584" s="2"/>
      <c r="I584" s="2"/>
      <c r="J584" s="2"/>
      <c r="K584" s="2"/>
      <c r="L584" s="2"/>
      <c r="M584" s="2"/>
      <c r="N584" s="2"/>
      <c r="O584" s="2"/>
      <c r="P584" s="2"/>
      <c r="Q584" s="2"/>
      <c r="R584" s="2"/>
      <c r="S584" s="3"/>
      <c r="T584" s="3"/>
      <c r="U584" s="3"/>
      <c r="V584" s="3"/>
      <c r="W584" s="3"/>
      <c r="X584" s="3"/>
      <c r="Y584" s="3"/>
      <c r="Z584" s="3"/>
    </row>
    <row r="585" ht="15.75" customHeight="1">
      <c r="A585" s="3"/>
      <c r="B585" s="576"/>
      <c r="C585" s="2"/>
      <c r="D585" s="2"/>
      <c r="E585" s="2"/>
      <c r="F585" s="464"/>
      <c r="G585" s="2"/>
      <c r="H585" s="2"/>
      <c r="I585" s="2"/>
      <c r="J585" s="2"/>
      <c r="K585" s="2"/>
      <c r="L585" s="2"/>
      <c r="M585" s="2"/>
      <c r="N585" s="2"/>
      <c r="O585" s="2"/>
      <c r="P585" s="2"/>
      <c r="Q585" s="2"/>
      <c r="R585" s="2"/>
      <c r="S585" s="3"/>
      <c r="T585" s="3"/>
      <c r="U585" s="3"/>
      <c r="V585" s="3"/>
      <c r="W585" s="3"/>
      <c r="X585" s="3"/>
      <c r="Y585" s="3"/>
      <c r="Z585" s="3"/>
    </row>
    <row r="586" ht="15.75" customHeight="1">
      <c r="A586" s="3"/>
      <c r="B586" s="576"/>
      <c r="C586" s="2"/>
      <c r="D586" s="2"/>
      <c r="E586" s="2"/>
      <c r="F586" s="464"/>
      <c r="G586" s="2"/>
      <c r="H586" s="2"/>
      <c r="I586" s="2"/>
      <c r="J586" s="2"/>
      <c r="K586" s="2"/>
      <c r="L586" s="2"/>
      <c r="M586" s="2"/>
      <c r="N586" s="2"/>
      <c r="O586" s="2"/>
      <c r="P586" s="2"/>
      <c r="Q586" s="2"/>
      <c r="R586" s="2"/>
      <c r="S586" s="3"/>
      <c r="T586" s="3"/>
      <c r="U586" s="3"/>
      <c r="V586" s="3"/>
      <c r="W586" s="3"/>
      <c r="X586" s="3"/>
      <c r="Y586" s="3"/>
      <c r="Z586" s="3"/>
    </row>
    <row r="587" ht="15.75" customHeight="1">
      <c r="A587" s="3"/>
      <c r="B587" s="576"/>
      <c r="C587" s="2"/>
      <c r="D587" s="2"/>
      <c r="E587" s="2"/>
      <c r="F587" s="464"/>
      <c r="G587" s="2"/>
      <c r="H587" s="2"/>
      <c r="I587" s="2"/>
      <c r="J587" s="2"/>
      <c r="K587" s="2"/>
      <c r="L587" s="2"/>
      <c r="M587" s="2"/>
      <c r="N587" s="2"/>
      <c r="O587" s="2"/>
      <c r="P587" s="2"/>
      <c r="Q587" s="2"/>
      <c r="R587" s="2"/>
      <c r="S587" s="3"/>
      <c r="T587" s="3"/>
      <c r="U587" s="3"/>
      <c r="V587" s="3"/>
      <c r="W587" s="3"/>
      <c r="X587" s="3"/>
      <c r="Y587" s="3"/>
      <c r="Z587" s="3"/>
    </row>
    <row r="588" ht="15.75" customHeight="1">
      <c r="A588" s="3"/>
      <c r="B588" s="576"/>
      <c r="C588" s="2"/>
      <c r="D588" s="2"/>
      <c r="E588" s="2"/>
      <c r="F588" s="464"/>
      <c r="G588" s="2"/>
      <c r="H588" s="2"/>
      <c r="I588" s="2"/>
      <c r="J588" s="2"/>
      <c r="K588" s="2"/>
      <c r="L588" s="2"/>
      <c r="M588" s="2"/>
      <c r="N588" s="2"/>
      <c r="O588" s="2"/>
      <c r="P588" s="2"/>
      <c r="Q588" s="2"/>
      <c r="R588" s="2"/>
      <c r="S588" s="3"/>
      <c r="T588" s="3"/>
      <c r="U588" s="3"/>
      <c r="V588" s="3"/>
      <c r="W588" s="3"/>
      <c r="X588" s="3"/>
      <c r="Y588" s="3"/>
      <c r="Z588" s="3"/>
    </row>
    <row r="589" ht="15.75" customHeight="1">
      <c r="A589" s="3"/>
      <c r="B589" s="576"/>
      <c r="C589" s="2"/>
      <c r="D589" s="2"/>
      <c r="E589" s="2"/>
      <c r="F589" s="464"/>
      <c r="G589" s="2"/>
      <c r="H589" s="2"/>
      <c r="I589" s="2"/>
      <c r="J589" s="2"/>
      <c r="K589" s="2"/>
      <c r="L589" s="2"/>
      <c r="M589" s="2"/>
      <c r="N589" s="2"/>
      <c r="O589" s="2"/>
      <c r="P589" s="2"/>
      <c r="Q589" s="2"/>
      <c r="R589" s="2"/>
      <c r="S589" s="3"/>
      <c r="T589" s="3"/>
      <c r="U589" s="3"/>
      <c r="V589" s="3"/>
      <c r="W589" s="3"/>
      <c r="X589" s="3"/>
      <c r="Y589" s="3"/>
      <c r="Z589" s="3"/>
    </row>
    <row r="590" ht="15.75" customHeight="1">
      <c r="A590" s="3"/>
      <c r="B590" s="576"/>
      <c r="C590" s="2"/>
      <c r="D590" s="2"/>
      <c r="E590" s="2"/>
      <c r="F590" s="464"/>
      <c r="G590" s="2"/>
      <c r="H590" s="2"/>
      <c r="I590" s="2"/>
      <c r="J590" s="2"/>
      <c r="K590" s="2"/>
      <c r="L590" s="2"/>
      <c r="M590" s="2"/>
      <c r="N590" s="2"/>
      <c r="O590" s="2"/>
      <c r="P590" s="2"/>
      <c r="Q590" s="2"/>
      <c r="R590" s="2"/>
      <c r="S590" s="3"/>
      <c r="T590" s="3"/>
      <c r="U590" s="3"/>
      <c r="V590" s="3"/>
      <c r="W590" s="3"/>
      <c r="X590" s="3"/>
      <c r="Y590" s="3"/>
      <c r="Z590" s="3"/>
    </row>
    <row r="591" ht="15.75" customHeight="1">
      <c r="A591" s="3"/>
      <c r="B591" s="576"/>
      <c r="C591" s="2"/>
      <c r="D591" s="2"/>
      <c r="E591" s="2"/>
      <c r="F591" s="464"/>
      <c r="G591" s="2"/>
      <c r="H591" s="2"/>
      <c r="I591" s="2"/>
      <c r="J591" s="2"/>
      <c r="K591" s="2"/>
      <c r="L591" s="2"/>
      <c r="M591" s="2"/>
      <c r="N591" s="2"/>
      <c r="O591" s="2"/>
      <c r="P591" s="2"/>
      <c r="Q591" s="2"/>
      <c r="R591" s="2"/>
      <c r="S591" s="3"/>
      <c r="T591" s="3"/>
      <c r="U591" s="3"/>
      <c r="V591" s="3"/>
      <c r="W591" s="3"/>
      <c r="X591" s="3"/>
      <c r="Y591" s="3"/>
      <c r="Z591" s="3"/>
    </row>
    <row r="592" ht="15.75" customHeight="1">
      <c r="A592" s="3"/>
      <c r="B592" s="576"/>
      <c r="C592" s="2"/>
      <c r="D592" s="2"/>
      <c r="E592" s="2"/>
      <c r="F592" s="464"/>
      <c r="G592" s="2"/>
      <c r="H592" s="2"/>
      <c r="I592" s="2"/>
      <c r="J592" s="2"/>
      <c r="K592" s="2"/>
      <c r="L592" s="2"/>
      <c r="M592" s="2"/>
      <c r="N592" s="2"/>
      <c r="O592" s="2"/>
      <c r="P592" s="2"/>
      <c r="Q592" s="2"/>
      <c r="R592" s="2"/>
      <c r="S592" s="3"/>
      <c r="T592" s="3"/>
      <c r="U592" s="3"/>
      <c r="V592" s="3"/>
      <c r="W592" s="3"/>
      <c r="X592" s="3"/>
      <c r="Y592" s="3"/>
      <c r="Z592" s="3"/>
    </row>
    <row r="593" ht="15.75" customHeight="1">
      <c r="A593" s="3"/>
      <c r="B593" s="576"/>
      <c r="C593" s="2"/>
      <c r="D593" s="2"/>
      <c r="E593" s="2"/>
      <c r="F593" s="464"/>
      <c r="G593" s="2"/>
      <c r="H593" s="2"/>
      <c r="I593" s="2"/>
      <c r="J593" s="2"/>
      <c r="K593" s="2"/>
      <c r="L593" s="2"/>
      <c r="M593" s="2"/>
      <c r="N593" s="2"/>
      <c r="O593" s="2"/>
      <c r="P593" s="2"/>
      <c r="Q593" s="2"/>
      <c r="R593" s="2"/>
      <c r="S593" s="3"/>
      <c r="T593" s="3"/>
      <c r="U593" s="3"/>
      <c r="V593" s="3"/>
      <c r="W593" s="3"/>
      <c r="X593" s="3"/>
      <c r="Y593" s="3"/>
      <c r="Z593" s="3"/>
    </row>
    <row r="594" ht="15.75" customHeight="1">
      <c r="A594" s="3"/>
      <c r="B594" s="576"/>
      <c r="C594" s="2"/>
      <c r="D594" s="2"/>
      <c r="E594" s="2"/>
      <c r="F594" s="464"/>
      <c r="G594" s="2"/>
      <c r="H594" s="2"/>
      <c r="I594" s="2"/>
      <c r="J594" s="2"/>
      <c r="K594" s="2"/>
      <c r="L594" s="2"/>
      <c r="M594" s="2"/>
      <c r="N594" s="2"/>
      <c r="O594" s="2"/>
      <c r="P594" s="2"/>
      <c r="Q594" s="2"/>
      <c r="R594" s="2"/>
      <c r="S594" s="3"/>
      <c r="T594" s="3"/>
      <c r="U594" s="3"/>
      <c r="V594" s="3"/>
      <c r="W594" s="3"/>
      <c r="X594" s="3"/>
      <c r="Y594" s="3"/>
      <c r="Z594" s="3"/>
    </row>
    <row r="595" ht="15.75" customHeight="1">
      <c r="A595" s="3"/>
      <c r="B595" s="576"/>
      <c r="C595" s="2"/>
      <c r="D595" s="2"/>
      <c r="E595" s="2"/>
      <c r="F595" s="464"/>
      <c r="G595" s="2"/>
      <c r="H595" s="2"/>
      <c r="I595" s="2"/>
      <c r="J595" s="2"/>
      <c r="K595" s="2"/>
      <c r="L595" s="2"/>
      <c r="M595" s="2"/>
      <c r="N595" s="2"/>
      <c r="O595" s="2"/>
      <c r="P595" s="2"/>
      <c r="Q595" s="2"/>
      <c r="R595" s="2"/>
      <c r="S595" s="3"/>
      <c r="T595" s="3"/>
      <c r="U595" s="3"/>
      <c r="V595" s="3"/>
      <c r="W595" s="3"/>
      <c r="X595" s="3"/>
      <c r="Y595" s="3"/>
      <c r="Z595" s="3"/>
    </row>
    <row r="596" ht="15.75" customHeight="1">
      <c r="A596" s="3"/>
      <c r="B596" s="576"/>
      <c r="C596" s="2"/>
      <c r="D596" s="2"/>
      <c r="E596" s="2"/>
      <c r="F596" s="464"/>
      <c r="G596" s="2"/>
      <c r="H596" s="2"/>
      <c r="I596" s="2"/>
      <c r="J596" s="2"/>
      <c r="K596" s="2"/>
      <c r="L596" s="2"/>
      <c r="M596" s="2"/>
      <c r="N596" s="2"/>
      <c r="O596" s="2"/>
      <c r="P596" s="2"/>
      <c r="Q596" s="2"/>
      <c r="R596" s="2"/>
      <c r="S596" s="3"/>
      <c r="T596" s="3"/>
      <c r="U596" s="3"/>
      <c r="V596" s="3"/>
      <c r="W596" s="3"/>
      <c r="X596" s="3"/>
      <c r="Y596" s="3"/>
      <c r="Z596" s="3"/>
    </row>
    <row r="597" ht="15.75" customHeight="1">
      <c r="A597" s="3"/>
      <c r="B597" s="576"/>
      <c r="C597" s="2"/>
      <c r="D597" s="2"/>
      <c r="E597" s="2"/>
      <c r="F597" s="464"/>
      <c r="G597" s="2"/>
      <c r="H597" s="2"/>
      <c r="I597" s="2"/>
      <c r="J597" s="2"/>
      <c r="K597" s="2"/>
      <c r="L597" s="2"/>
      <c r="M597" s="2"/>
      <c r="N597" s="2"/>
      <c r="O597" s="2"/>
      <c r="P597" s="2"/>
      <c r="Q597" s="2"/>
      <c r="R597" s="2"/>
      <c r="S597" s="3"/>
      <c r="T597" s="3"/>
      <c r="U597" s="3"/>
      <c r="V597" s="3"/>
      <c r="W597" s="3"/>
      <c r="X597" s="3"/>
      <c r="Y597" s="3"/>
      <c r="Z597" s="3"/>
    </row>
    <row r="598" ht="15.75" customHeight="1">
      <c r="A598" s="3"/>
      <c r="B598" s="576"/>
      <c r="C598" s="2"/>
      <c r="D598" s="2"/>
      <c r="E598" s="2"/>
      <c r="F598" s="464"/>
      <c r="G598" s="2"/>
      <c r="H598" s="2"/>
      <c r="I598" s="2"/>
      <c r="J598" s="2"/>
      <c r="K598" s="2"/>
      <c r="L598" s="2"/>
      <c r="M598" s="2"/>
      <c r="N598" s="2"/>
      <c r="O598" s="2"/>
      <c r="P598" s="2"/>
      <c r="Q598" s="2"/>
      <c r="R598" s="2"/>
      <c r="S598" s="3"/>
      <c r="T598" s="3"/>
      <c r="U598" s="3"/>
      <c r="V598" s="3"/>
      <c r="W598" s="3"/>
      <c r="X598" s="3"/>
      <c r="Y598" s="3"/>
      <c r="Z598" s="3"/>
    </row>
    <row r="599" ht="15.75" customHeight="1">
      <c r="A599" s="3"/>
      <c r="B599" s="576"/>
      <c r="C599" s="2"/>
      <c r="D599" s="2"/>
      <c r="E599" s="2"/>
      <c r="F599" s="464"/>
      <c r="G599" s="2"/>
      <c r="H599" s="2"/>
      <c r="I599" s="2"/>
      <c r="J599" s="2"/>
      <c r="K599" s="2"/>
      <c r="L599" s="2"/>
      <c r="M599" s="2"/>
      <c r="N599" s="2"/>
      <c r="O599" s="2"/>
      <c r="P599" s="2"/>
      <c r="Q599" s="2"/>
      <c r="R599" s="2"/>
      <c r="S599" s="3"/>
      <c r="T599" s="3"/>
      <c r="U599" s="3"/>
      <c r="V599" s="3"/>
      <c r="W599" s="3"/>
      <c r="X599" s="3"/>
      <c r="Y599" s="3"/>
      <c r="Z599" s="3"/>
    </row>
    <row r="600" ht="15.75" customHeight="1">
      <c r="A600" s="3"/>
      <c r="B600" s="576"/>
      <c r="C600" s="2"/>
      <c r="D600" s="2"/>
      <c r="E600" s="2"/>
      <c r="F600" s="464"/>
      <c r="G600" s="2"/>
      <c r="H600" s="2"/>
      <c r="I600" s="2"/>
      <c r="J600" s="2"/>
      <c r="K600" s="2"/>
      <c r="L600" s="2"/>
      <c r="M600" s="2"/>
      <c r="N600" s="2"/>
      <c r="O600" s="2"/>
      <c r="P600" s="2"/>
      <c r="Q600" s="2"/>
      <c r="R600" s="2"/>
      <c r="S600" s="3"/>
      <c r="T600" s="3"/>
      <c r="U600" s="3"/>
      <c r="V600" s="3"/>
      <c r="W600" s="3"/>
      <c r="X600" s="3"/>
      <c r="Y600" s="3"/>
      <c r="Z600" s="3"/>
    </row>
    <row r="601" ht="15.75" customHeight="1">
      <c r="A601" s="3"/>
      <c r="B601" s="576"/>
      <c r="C601" s="2"/>
      <c r="D601" s="2"/>
      <c r="E601" s="2"/>
      <c r="F601" s="464"/>
      <c r="G601" s="2"/>
      <c r="H601" s="2"/>
      <c r="I601" s="2"/>
      <c r="J601" s="2"/>
      <c r="K601" s="2"/>
      <c r="L601" s="2"/>
      <c r="M601" s="2"/>
      <c r="N601" s="2"/>
      <c r="O601" s="2"/>
      <c r="P601" s="2"/>
      <c r="Q601" s="2"/>
      <c r="R601" s="2"/>
      <c r="S601" s="3"/>
      <c r="T601" s="3"/>
      <c r="U601" s="3"/>
      <c r="V601" s="3"/>
      <c r="W601" s="3"/>
      <c r="X601" s="3"/>
      <c r="Y601" s="3"/>
      <c r="Z601" s="3"/>
    </row>
    <row r="602" ht="15.75" customHeight="1">
      <c r="A602" s="3"/>
      <c r="B602" s="576"/>
      <c r="C602" s="2"/>
      <c r="D602" s="2"/>
      <c r="E602" s="2"/>
      <c r="F602" s="464"/>
      <c r="G602" s="2"/>
      <c r="H602" s="2"/>
      <c r="I602" s="2"/>
      <c r="J602" s="2"/>
      <c r="K602" s="2"/>
      <c r="L602" s="2"/>
      <c r="M602" s="2"/>
      <c r="N602" s="2"/>
      <c r="O602" s="2"/>
      <c r="P602" s="2"/>
      <c r="Q602" s="2"/>
      <c r="R602" s="2"/>
      <c r="S602" s="3"/>
      <c r="T602" s="3"/>
      <c r="U602" s="3"/>
      <c r="V602" s="3"/>
      <c r="W602" s="3"/>
      <c r="X602" s="3"/>
      <c r="Y602" s="3"/>
      <c r="Z602" s="3"/>
    </row>
    <row r="603" ht="15.75" customHeight="1">
      <c r="A603" s="3"/>
      <c r="B603" s="576"/>
      <c r="C603" s="2"/>
      <c r="D603" s="2"/>
      <c r="E603" s="2"/>
      <c r="F603" s="464"/>
      <c r="G603" s="2"/>
      <c r="H603" s="2"/>
      <c r="I603" s="2"/>
      <c r="J603" s="2"/>
      <c r="K603" s="2"/>
      <c r="L603" s="2"/>
      <c r="M603" s="2"/>
      <c r="N603" s="2"/>
      <c r="O603" s="2"/>
      <c r="P603" s="2"/>
      <c r="Q603" s="2"/>
      <c r="R603" s="2"/>
      <c r="S603" s="3"/>
      <c r="T603" s="3"/>
      <c r="U603" s="3"/>
      <c r="V603" s="3"/>
      <c r="W603" s="3"/>
      <c r="X603" s="3"/>
      <c r="Y603" s="3"/>
      <c r="Z603" s="3"/>
    </row>
    <row r="604" ht="15.75" customHeight="1">
      <c r="A604" s="3"/>
      <c r="B604" s="576"/>
      <c r="C604" s="2"/>
      <c r="D604" s="2"/>
      <c r="E604" s="2"/>
      <c r="F604" s="464"/>
      <c r="G604" s="2"/>
      <c r="H604" s="2"/>
      <c r="I604" s="2"/>
      <c r="J604" s="2"/>
      <c r="K604" s="2"/>
      <c r="L604" s="2"/>
      <c r="M604" s="2"/>
      <c r="N604" s="2"/>
      <c r="O604" s="2"/>
      <c r="P604" s="2"/>
      <c r="Q604" s="2"/>
      <c r="R604" s="2"/>
      <c r="S604" s="3"/>
      <c r="T604" s="3"/>
      <c r="U604" s="3"/>
      <c r="V604" s="3"/>
      <c r="W604" s="3"/>
      <c r="X604" s="3"/>
      <c r="Y604" s="3"/>
      <c r="Z604" s="3"/>
    </row>
    <row r="605" ht="15.75" customHeight="1">
      <c r="A605" s="3"/>
      <c r="B605" s="576"/>
      <c r="C605" s="2"/>
      <c r="D605" s="2"/>
      <c r="E605" s="2"/>
      <c r="F605" s="464"/>
      <c r="G605" s="2"/>
      <c r="H605" s="2"/>
      <c r="I605" s="2"/>
      <c r="J605" s="2"/>
      <c r="K605" s="2"/>
      <c r="L605" s="2"/>
      <c r="M605" s="2"/>
      <c r="N605" s="2"/>
      <c r="O605" s="2"/>
      <c r="P605" s="2"/>
      <c r="Q605" s="2"/>
      <c r="R605" s="2"/>
      <c r="S605" s="3"/>
      <c r="T605" s="3"/>
      <c r="U605" s="3"/>
      <c r="V605" s="3"/>
      <c r="W605" s="3"/>
      <c r="X605" s="3"/>
      <c r="Y605" s="3"/>
      <c r="Z605" s="3"/>
    </row>
    <row r="606" ht="15.75" customHeight="1">
      <c r="A606" s="3"/>
      <c r="B606" s="576"/>
      <c r="C606" s="2"/>
      <c r="D606" s="2"/>
      <c r="E606" s="2"/>
      <c r="F606" s="464"/>
      <c r="G606" s="2"/>
      <c r="H606" s="2"/>
      <c r="I606" s="2"/>
      <c r="J606" s="2"/>
      <c r="K606" s="2"/>
      <c r="L606" s="2"/>
      <c r="M606" s="2"/>
      <c r="N606" s="2"/>
      <c r="O606" s="2"/>
      <c r="P606" s="2"/>
      <c r="Q606" s="2"/>
      <c r="R606" s="2"/>
      <c r="S606" s="3"/>
      <c r="T606" s="3"/>
      <c r="U606" s="3"/>
      <c r="V606" s="3"/>
      <c r="W606" s="3"/>
      <c r="X606" s="3"/>
      <c r="Y606" s="3"/>
      <c r="Z606" s="3"/>
    </row>
    <row r="607" ht="15.75" customHeight="1">
      <c r="A607" s="3"/>
      <c r="B607" s="576"/>
      <c r="C607" s="2"/>
      <c r="D607" s="2"/>
      <c r="E607" s="2"/>
      <c r="F607" s="464"/>
      <c r="G607" s="2"/>
      <c r="H607" s="2"/>
      <c r="I607" s="2"/>
      <c r="J607" s="2"/>
      <c r="K607" s="2"/>
      <c r="L607" s="2"/>
      <c r="M607" s="2"/>
      <c r="N607" s="2"/>
      <c r="O607" s="2"/>
      <c r="P607" s="2"/>
      <c r="Q607" s="2"/>
      <c r="R607" s="2"/>
      <c r="S607" s="3"/>
      <c r="T607" s="3"/>
      <c r="U607" s="3"/>
      <c r="V607" s="3"/>
      <c r="W607" s="3"/>
      <c r="X607" s="3"/>
      <c r="Y607" s="3"/>
      <c r="Z607" s="3"/>
    </row>
    <row r="608" ht="15.75" customHeight="1">
      <c r="A608" s="3"/>
      <c r="B608" s="576"/>
      <c r="C608" s="2"/>
      <c r="D608" s="2"/>
      <c r="E608" s="2"/>
      <c r="F608" s="464"/>
      <c r="G608" s="2"/>
      <c r="H608" s="2"/>
      <c r="I608" s="2"/>
      <c r="J608" s="2"/>
      <c r="K608" s="2"/>
      <c r="L608" s="2"/>
      <c r="M608" s="2"/>
      <c r="N608" s="2"/>
      <c r="O608" s="2"/>
      <c r="P608" s="2"/>
      <c r="Q608" s="2"/>
      <c r="R608" s="2"/>
      <c r="S608" s="3"/>
      <c r="T608" s="3"/>
      <c r="U608" s="3"/>
      <c r="V608" s="3"/>
      <c r="W608" s="3"/>
      <c r="X608" s="3"/>
      <c r="Y608" s="3"/>
      <c r="Z608" s="3"/>
    </row>
    <row r="609" ht="15.75" customHeight="1">
      <c r="A609" s="3"/>
      <c r="B609" s="576"/>
      <c r="C609" s="2"/>
      <c r="D609" s="2"/>
      <c r="E609" s="2"/>
      <c r="F609" s="464"/>
      <c r="G609" s="2"/>
      <c r="H609" s="2"/>
      <c r="I609" s="2"/>
      <c r="J609" s="2"/>
      <c r="K609" s="2"/>
      <c r="L609" s="2"/>
      <c r="M609" s="2"/>
      <c r="N609" s="2"/>
      <c r="O609" s="2"/>
      <c r="P609" s="2"/>
      <c r="Q609" s="2"/>
      <c r="R609" s="2"/>
      <c r="S609" s="3"/>
      <c r="T609" s="3"/>
      <c r="U609" s="3"/>
      <c r="V609" s="3"/>
      <c r="W609" s="3"/>
      <c r="X609" s="3"/>
      <c r="Y609" s="3"/>
      <c r="Z609" s="3"/>
    </row>
    <row r="610" ht="15.75" customHeight="1">
      <c r="A610" s="3"/>
      <c r="B610" s="576"/>
      <c r="C610" s="2"/>
      <c r="D610" s="2"/>
      <c r="E610" s="2"/>
      <c r="F610" s="464"/>
      <c r="G610" s="2"/>
      <c r="H610" s="2"/>
      <c r="I610" s="2"/>
      <c r="J610" s="2"/>
      <c r="K610" s="2"/>
      <c r="L610" s="2"/>
      <c r="M610" s="2"/>
      <c r="N610" s="2"/>
      <c r="O610" s="2"/>
      <c r="P610" s="2"/>
      <c r="Q610" s="2"/>
      <c r="R610" s="2"/>
      <c r="S610" s="3"/>
      <c r="T610" s="3"/>
      <c r="U610" s="3"/>
      <c r="V610" s="3"/>
      <c r="W610" s="3"/>
      <c r="X610" s="3"/>
      <c r="Y610" s="3"/>
      <c r="Z610" s="3"/>
    </row>
    <row r="611" ht="15.75" customHeight="1">
      <c r="A611" s="3"/>
      <c r="B611" s="576"/>
      <c r="C611" s="2"/>
      <c r="D611" s="2"/>
      <c r="E611" s="2"/>
      <c r="F611" s="464"/>
      <c r="G611" s="2"/>
      <c r="H611" s="2"/>
      <c r="I611" s="2"/>
      <c r="J611" s="2"/>
      <c r="K611" s="2"/>
      <c r="L611" s="2"/>
      <c r="M611" s="2"/>
      <c r="N611" s="2"/>
      <c r="O611" s="2"/>
      <c r="P611" s="2"/>
      <c r="Q611" s="2"/>
      <c r="R611" s="2"/>
      <c r="S611" s="3"/>
      <c r="T611" s="3"/>
      <c r="U611" s="3"/>
      <c r="V611" s="3"/>
      <c r="W611" s="3"/>
      <c r="X611" s="3"/>
      <c r="Y611" s="3"/>
      <c r="Z611" s="3"/>
    </row>
    <row r="612" ht="15.75" customHeight="1">
      <c r="A612" s="3"/>
      <c r="B612" s="576"/>
      <c r="C612" s="2"/>
      <c r="D612" s="2"/>
      <c r="E612" s="2"/>
      <c r="F612" s="464"/>
      <c r="G612" s="2"/>
      <c r="H612" s="2"/>
      <c r="I612" s="2"/>
      <c r="J612" s="2"/>
      <c r="K612" s="2"/>
      <c r="L612" s="2"/>
      <c r="M612" s="2"/>
      <c r="N612" s="2"/>
      <c r="O612" s="2"/>
      <c r="P612" s="2"/>
      <c r="Q612" s="2"/>
      <c r="R612" s="2"/>
      <c r="S612" s="3"/>
      <c r="T612" s="3"/>
      <c r="U612" s="3"/>
      <c r="V612" s="3"/>
      <c r="W612" s="3"/>
      <c r="X612" s="3"/>
      <c r="Y612" s="3"/>
      <c r="Z612" s="3"/>
    </row>
    <row r="613" ht="15.75" customHeight="1">
      <c r="A613" s="3"/>
      <c r="B613" s="576"/>
      <c r="C613" s="2"/>
      <c r="D613" s="2"/>
      <c r="E613" s="2"/>
      <c r="F613" s="464"/>
      <c r="G613" s="2"/>
      <c r="H613" s="2"/>
      <c r="I613" s="2"/>
      <c r="J613" s="2"/>
      <c r="K613" s="2"/>
      <c r="L613" s="2"/>
      <c r="M613" s="2"/>
      <c r="N613" s="2"/>
      <c r="O613" s="2"/>
      <c r="P613" s="2"/>
      <c r="Q613" s="2"/>
      <c r="R613" s="2"/>
      <c r="S613" s="3"/>
      <c r="T613" s="3"/>
      <c r="U613" s="3"/>
      <c r="V613" s="3"/>
      <c r="W613" s="3"/>
      <c r="X613" s="3"/>
      <c r="Y613" s="3"/>
      <c r="Z613" s="3"/>
    </row>
    <row r="614" ht="15.75" customHeight="1">
      <c r="A614" s="3"/>
      <c r="B614" s="576"/>
      <c r="C614" s="2"/>
      <c r="D614" s="2"/>
      <c r="E614" s="2"/>
      <c r="F614" s="464"/>
      <c r="G614" s="2"/>
      <c r="H614" s="2"/>
      <c r="I614" s="2"/>
      <c r="J614" s="2"/>
      <c r="K614" s="2"/>
      <c r="L614" s="2"/>
      <c r="M614" s="2"/>
      <c r="N614" s="2"/>
      <c r="O614" s="2"/>
      <c r="P614" s="2"/>
      <c r="Q614" s="2"/>
      <c r="R614" s="2"/>
      <c r="S614" s="3"/>
      <c r="T614" s="3"/>
      <c r="U614" s="3"/>
      <c r="V614" s="3"/>
      <c r="W614" s="3"/>
      <c r="X614" s="3"/>
      <c r="Y614" s="3"/>
      <c r="Z614" s="3"/>
    </row>
    <row r="615" ht="15.75" customHeight="1">
      <c r="A615" s="3"/>
      <c r="B615" s="576"/>
      <c r="C615" s="2"/>
      <c r="D615" s="2"/>
      <c r="E615" s="2"/>
      <c r="F615" s="464"/>
      <c r="G615" s="2"/>
      <c r="H615" s="2"/>
      <c r="I615" s="2"/>
      <c r="J615" s="2"/>
      <c r="K615" s="2"/>
      <c r="L615" s="2"/>
      <c r="M615" s="2"/>
      <c r="N615" s="2"/>
      <c r="O615" s="2"/>
      <c r="P615" s="2"/>
      <c r="Q615" s="2"/>
      <c r="R615" s="2"/>
      <c r="S615" s="3"/>
      <c r="T615" s="3"/>
      <c r="U615" s="3"/>
      <c r="V615" s="3"/>
      <c r="W615" s="3"/>
      <c r="X615" s="3"/>
      <c r="Y615" s="3"/>
      <c r="Z615" s="3"/>
    </row>
    <row r="616" ht="15.75" customHeight="1">
      <c r="A616" s="3"/>
      <c r="B616" s="576"/>
      <c r="C616" s="2"/>
      <c r="D616" s="2"/>
      <c r="E616" s="2"/>
      <c r="F616" s="464"/>
      <c r="G616" s="2"/>
      <c r="H616" s="2"/>
      <c r="I616" s="2"/>
      <c r="J616" s="2"/>
      <c r="K616" s="2"/>
      <c r="L616" s="2"/>
      <c r="M616" s="2"/>
      <c r="N616" s="2"/>
      <c r="O616" s="2"/>
      <c r="P616" s="2"/>
      <c r="Q616" s="2"/>
      <c r="R616" s="2"/>
      <c r="S616" s="3"/>
      <c r="T616" s="3"/>
      <c r="U616" s="3"/>
      <c r="V616" s="3"/>
      <c r="W616" s="3"/>
      <c r="X616" s="3"/>
      <c r="Y616" s="3"/>
      <c r="Z616" s="3"/>
    </row>
    <row r="617" ht="15.75" customHeight="1">
      <c r="A617" s="3"/>
      <c r="B617" s="576"/>
      <c r="C617" s="2"/>
      <c r="D617" s="2"/>
      <c r="E617" s="2"/>
      <c r="F617" s="464"/>
      <c r="G617" s="2"/>
      <c r="H617" s="2"/>
      <c r="I617" s="2"/>
      <c r="J617" s="2"/>
      <c r="K617" s="2"/>
      <c r="L617" s="2"/>
      <c r="M617" s="2"/>
      <c r="N617" s="2"/>
      <c r="O617" s="2"/>
      <c r="P617" s="2"/>
      <c r="Q617" s="2"/>
      <c r="R617" s="2"/>
      <c r="S617" s="3"/>
      <c r="T617" s="3"/>
      <c r="U617" s="3"/>
      <c r="V617" s="3"/>
      <c r="W617" s="3"/>
      <c r="X617" s="3"/>
      <c r="Y617" s="3"/>
      <c r="Z617" s="3"/>
    </row>
    <row r="618" ht="15.75" customHeight="1">
      <c r="A618" s="3"/>
      <c r="B618" s="576"/>
      <c r="C618" s="2"/>
      <c r="D618" s="2"/>
      <c r="E618" s="2"/>
      <c r="F618" s="464"/>
      <c r="G618" s="2"/>
      <c r="H618" s="2"/>
      <c r="I618" s="2"/>
      <c r="J618" s="2"/>
      <c r="K618" s="2"/>
      <c r="L618" s="2"/>
      <c r="M618" s="2"/>
      <c r="N618" s="2"/>
      <c r="O618" s="2"/>
      <c r="P618" s="2"/>
      <c r="Q618" s="2"/>
      <c r="R618" s="2"/>
      <c r="S618" s="3"/>
      <c r="T618" s="3"/>
      <c r="U618" s="3"/>
      <c r="V618" s="3"/>
      <c r="W618" s="3"/>
      <c r="X618" s="3"/>
      <c r="Y618" s="3"/>
      <c r="Z618" s="3"/>
    </row>
    <row r="619" ht="15.75" customHeight="1">
      <c r="A619" s="3"/>
      <c r="B619" s="576"/>
      <c r="C619" s="2"/>
      <c r="D619" s="2"/>
      <c r="E619" s="2"/>
      <c r="F619" s="464"/>
      <c r="G619" s="2"/>
      <c r="H619" s="2"/>
      <c r="I619" s="2"/>
      <c r="J619" s="2"/>
      <c r="K619" s="2"/>
      <c r="L619" s="2"/>
      <c r="M619" s="2"/>
      <c r="N619" s="2"/>
      <c r="O619" s="2"/>
      <c r="P619" s="2"/>
      <c r="Q619" s="2"/>
      <c r="R619" s="2"/>
      <c r="S619" s="3"/>
      <c r="T619" s="3"/>
      <c r="U619" s="3"/>
      <c r="V619" s="3"/>
      <c r="W619" s="3"/>
      <c r="X619" s="3"/>
      <c r="Y619" s="3"/>
      <c r="Z619" s="3"/>
    </row>
    <row r="620" ht="15.75" customHeight="1">
      <c r="A620" s="3"/>
      <c r="B620" s="576"/>
      <c r="C620" s="2"/>
      <c r="D620" s="2"/>
      <c r="E620" s="2"/>
      <c r="F620" s="464"/>
      <c r="G620" s="2"/>
      <c r="H620" s="2"/>
      <c r="I620" s="2"/>
      <c r="J620" s="2"/>
      <c r="K620" s="2"/>
      <c r="L620" s="2"/>
      <c r="M620" s="2"/>
      <c r="N620" s="2"/>
      <c r="O620" s="2"/>
      <c r="P620" s="2"/>
      <c r="Q620" s="2"/>
      <c r="R620" s="2"/>
      <c r="S620" s="3"/>
      <c r="T620" s="3"/>
      <c r="U620" s="3"/>
      <c r="V620" s="3"/>
      <c r="W620" s="3"/>
      <c r="X620" s="3"/>
      <c r="Y620" s="3"/>
      <c r="Z620" s="3"/>
    </row>
    <row r="621" ht="15.75" customHeight="1">
      <c r="A621" s="3"/>
      <c r="B621" s="576"/>
      <c r="C621" s="2"/>
      <c r="D621" s="2"/>
      <c r="E621" s="2"/>
      <c r="F621" s="464"/>
      <c r="G621" s="2"/>
      <c r="H621" s="2"/>
      <c r="I621" s="2"/>
      <c r="J621" s="2"/>
      <c r="K621" s="2"/>
      <c r="L621" s="2"/>
      <c r="M621" s="2"/>
      <c r="N621" s="2"/>
      <c r="O621" s="2"/>
      <c r="P621" s="2"/>
      <c r="Q621" s="2"/>
      <c r="R621" s="2"/>
      <c r="S621" s="3"/>
      <c r="T621" s="3"/>
      <c r="U621" s="3"/>
      <c r="V621" s="3"/>
      <c r="W621" s="3"/>
      <c r="X621" s="3"/>
      <c r="Y621" s="3"/>
      <c r="Z621" s="3"/>
    </row>
    <row r="622" ht="15.75" customHeight="1">
      <c r="A622" s="3"/>
      <c r="B622" s="576"/>
      <c r="C622" s="2"/>
      <c r="D622" s="2"/>
      <c r="E622" s="2"/>
      <c r="F622" s="464"/>
      <c r="G622" s="2"/>
      <c r="H622" s="2"/>
      <c r="I622" s="2"/>
      <c r="J622" s="2"/>
      <c r="K622" s="2"/>
      <c r="L622" s="2"/>
      <c r="M622" s="2"/>
      <c r="N622" s="2"/>
      <c r="O622" s="2"/>
      <c r="P622" s="2"/>
      <c r="Q622" s="2"/>
      <c r="R622" s="2"/>
      <c r="S622" s="3"/>
      <c r="T622" s="3"/>
      <c r="U622" s="3"/>
      <c r="V622" s="3"/>
      <c r="W622" s="3"/>
      <c r="X622" s="3"/>
      <c r="Y622" s="3"/>
      <c r="Z622" s="3"/>
    </row>
    <row r="623" ht="15.75" customHeight="1">
      <c r="A623" s="3"/>
      <c r="B623" s="576"/>
      <c r="C623" s="2"/>
      <c r="D623" s="2"/>
      <c r="E623" s="2"/>
      <c r="F623" s="464"/>
      <c r="G623" s="2"/>
      <c r="H623" s="2"/>
      <c r="I623" s="2"/>
      <c r="J623" s="2"/>
      <c r="K623" s="2"/>
      <c r="L623" s="2"/>
      <c r="M623" s="2"/>
      <c r="N623" s="2"/>
      <c r="O623" s="2"/>
      <c r="P623" s="2"/>
      <c r="Q623" s="2"/>
      <c r="R623" s="2"/>
      <c r="S623" s="3"/>
      <c r="T623" s="3"/>
      <c r="U623" s="3"/>
      <c r="V623" s="3"/>
      <c r="W623" s="3"/>
      <c r="X623" s="3"/>
      <c r="Y623" s="3"/>
      <c r="Z623" s="3"/>
    </row>
    <row r="624" ht="15.75" customHeight="1">
      <c r="A624" s="3"/>
      <c r="B624" s="576"/>
      <c r="C624" s="2"/>
      <c r="D624" s="2"/>
      <c r="E624" s="2"/>
      <c r="F624" s="464"/>
      <c r="G624" s="2"/>
      <c r="H624" s="2"/>
      <c r="I624" s="2"/>
      <c r="J624" s="2"/>
      <c r="K624" s="2"/>
      <c r="L624" s="2"/>
      <c r="M624" s="2"/>
      <c r="N624" s="2"/>
      <c r="O624" s="2"/>
      <c r="P624" s="2"/>
      <c r="Q624" s="2"/>
      <c r="R624" s="2"/>
      <c r="S624" s="3"/>
      <c r="T624" s="3"/>
      <c r="U624" s="3"/>
      <c r="V624" s="3"/>
      <c r="W624" s="3"/>
      <c r="X624" s="3"/>
      <c r="Y624" s="3"/>
      <c r="Z624" s="3"/>
    </row>
    <row r="625" ht="15.75" customHeight="1">
      <c r="A625" s="3"/>
      <c r="B625" s="576"/>
      <c r="C625" s="2"/>
      <c r="D625" s="2"/>
      <c r="E625" s="2"/>
      <c r="F625" s="464"/>
      <c r="G625" s="2"/>
      <c r="H625" s="2"/>
      <c r="I625" s="2"/>
      <c r="J625" s="2"/>
      <c r="K625" s="2"/>
      <c r="L625" s="2"/>
      <c r="M625" s="2"/>
      <c r="N625" s="2"/>
      <c r="O625" s="2"/>
      <c r="P625" s="2"/>
      <c r="Q625" s="2"/>
      <c r="R625" s="2"/>
      <c r="S625" s="3"/>
      <c r="T625" s="3"/>
      <c r="U625" s="3"/>
      <c r="V625" s="3"/>
      <c r="W625" s="3"/>
      <c r="X625" s="3"/>
      <c r="Y625" s="3"/>
      <c r="Z625" s="3"/>
    </row>
    <row r="626" ht="15.75" customHeight="1">
      <c r="A626" s="3"/>
      <c r="B626" s="576"/>
      <c r="C626" s="2"/>
      <c r="D626" s="2"/>
      <c r="E626" s="2"/>
      <c r="F626" s="464"/>
      <c r="G626" s="2"/>
      <c r="H626" s="2"/>
      <c r="I626" s="2"/>
      <c r="J626" s="2"/>
      <c r="K626" s="2"/>
      <c r="L626" s="2"/>
      <c r="M626" s="2"/>
      <c r="N626" s="2"/>
      <c r="O626" s="2"/>
      <c r="P626" s="2"/>
      <c r="Q626" s="2"/>
      <c r="R626" s="2"/>
      <c r="S626" s="3"/>
      <c r="T626" s="3"/>
      <c r="U626" s="3"/>
      <c r="V626" s="3"/>
      <c r="W626" s="3"/>
      <c r="X626" s="3"/>
      <c r="Y626" s="3"/>
      <c r="Z626" s="3"/>
    </row>
    <row r="627" ht="15.75" customHeight="1">
      <c r="A627" s="3"/>
      <c r="B627" s="576"/>
      <c r="C627" s="2"/>
      <c r="D627" s="2"/>
      <c r="E627" s="2"/>
      <c r="F627" s="464"/>
      <c r="G627" s="2"/>
      <c r="H627" s="2"/>
      <c r="I627" s="2"/>
      <c r="J627" s="2"/>
      <c r="K627" s="2"/>
      <c r="L627" s="2"/>
      <c r="M627" s="2"/>
      <c r="N627" s="2"/>
      <c r="O627" s="2"/>
      <c r="P627" s="2"/>
      <c r="Q627" s="2"/>
      <c r="R627" s="2"/>
      <c r="S627" s="3"/>
      <c r="T627" s="3"/>
      <c r="U627" s="3"/>
      <c r="V627" s="3"/>
      <c r="W627" s="3"/>
      <c r="X627" s="3"/>
      <c r="Y627" s="3"/>
      <c r="Z627" s="3"/>
    </row>
    <row r="628" ht="15.75" customHeight="1">
      <c r="A628" s="3"/>
      <c r="B628" s="576"/>
      <c r="C628" s="2"/>
      <c r="D628" s="2"/>
      <c r="E628" s="2"/>
      <c r="F628" s="464"/>
      <c r="G628" s="2"/>
      <c r="H628" s="2"/>
      <c r="I628" s="2"/>
      <c r="J628" s="2"/>
      <c r="K628" s="2"/>
      <c r="L628" s="2"/>
      <c r="M628" s="2"/>
      <c r="N628" s="2"/>
      <c r="O628" s="2"/>
      <c r="P628" s="2"/>
      <c r="Q628" s="2"/>
      <c r="R628" s="2"/>
      <c r="S628" s="3"/>
      <c r="T628" s="3"/>
      <c r="U628" s="3"/>
      <c r="V628" s="3"/>
      <c r="W628" s="3"/>
      <c r="X628" s="3"/>
      <c r="Y628" s="3"/>
      <c r="Z628" s="3"/>
    </row>
    <row r="629" ht="15.75" customHeight="1">
      <c r="A629" s="3"/>
      <c r="B629" s="576"/>
      <c r="C629" s="2"/>
      <c r="D629" s="2"/>
      <c r="E629" s="2"/>
      <c r="F629" s="464"/>
      <c r="G629" s="2"/>
      <c r="H629" s="2"/>
      <c r="I629" s="2"/>
      <c r="J629" s="2"/>
      <c r="K629" s="2"/>
      <c r="L629" s="2"/>
      <c r="M629" s="2"/>
      <c r="N629" s="2"/>
      <c r="O629" s="2"/>
      <c r="P629" s="2"/>
      <c r="Q629" s="2"/>
      <c r="R629" s="2"/>
      <c r="S629" s="3"/>
      <c r="T629" s="3"/>
      <c r="U629" s="3"/>
      <c r="V629" s="3"/>
      <c r="W629" s="3"/>
      <c r="X629" s="3"/>
      <c r="Y629" s="3"/>
      <c r="Z629" s="3"/>
    </row>
    <row r="630" ht="15.75" customHeight="1">
      <c r="A630" s="3"/>
      <c r="B630" s="576"/>
      <c r="C630" s="2"/>
      <c r="D630" s="2"/>
      <c r="E630" s="2"/>
      <c r="F630" s="464"/>
      <c r="G630" s="2"/>
      <c r="H630" s="2"/>
      <c r="I630" s="2"/>
      <c r="J630" s="2"/>
      <c r="K630" s="2"/>
      <c r="L630" s="2"/>
      <c r="M630" s="2"/>
      <c r="N630" s="2"/>
      <c r="O630" s="2"/>
      <c r="P630" s="2"/>
      <c r="Q630" s="2"/>
      <c r="R630" s="2"/>
      <c r="S630" s="3"/>
      <c r="T630" s="3"/>
      <c r="U630" s="3"/>
      <c r="V630" s="3"/>
      <c r="W630" s="3"/>
      <c r="X630" s="3"/>
      <c r="Y630" s="3"/>
      <c r="Z630" s="3"/>
    </row>
    <row r="631" ht="15.75" customHeight="1">
      <c r="A631" s="3"/>
      <c r="B631" s="576"/>
      <c r="C631" s="2"/>
      <c r="D631" s="2"/>
      <c r="E631" s="2"/>
      <c r="F631" s="464"/>
      <c r="G631" s="2"/>
      <c r="H631" s="2"/>
      <c r="I631" s="2"/>
      <c r="J631" s="2"/>
      <c r="K631" s="2"/>
      <c r="L631" s="2"/>
      <c r="M631" s="2"/>
      <c r="N631" s="2"/>
      <c r="O631" s="2"/>
      <c r="P631" s="2"/>
      <c r="Q631" s="2"/>
      <c r="R631" s="2"/>
      <c r="S631" s="3"/>
      <c r="T631" s="3"/>
      <c r="U631" s="3"/>
      <c r="V631" s="3"/>
      <c r="W631" s="3"/>
      <c r="X631" s="3"/>
      <c r="Y631" s="3"/>
      <c r="Z631" s="3"/>
    </row>
    <row r="632" ht="15.75" customHeight="1">
      <c r="A632" s="3"/>
      <c r="B632" s="576"/>
      <c r="C632" s="2"/>
      <c r="D632" s="2"/>
      <c r="E632" s="2"/>
      <c r="F632" s="464"/>
      <c r="G632" s="2"/>
      <c r="H632" s="2"/>
      <c r="I632" s="2"/>
      <c r="J632" s="2"/>
      <c r="K632" s="2"/>
      <c r="L632" s="2"/>
      <c r="M632" s="2"/>
      <c r="N632" s="2"/>
      <c r="O632" s="2"/>
      <c r="P632" s="2"/>
      <c r="Q632" s="2"/>
      <c r="R632" s="2"/>
      <c r="S632" s="3"/>
      <c r="T632" s="3"/>
      <c r="U632" s="3"/>
      <c r="V632" s="3"/>
      <c r="W632" s="3"/>
      <c r="X632" s="3"/>
      <c r="Y632" s="3"/>
      <c r="Z632" s="3"/>
    </row>
    <row r="633" ht="15.75" customHeight="1">
      <c r="A633" s="3"/>
      <c r="B633" s="576"/>
      <c r="C633" s="2"/>
      <c r="D633" s="2"/>
      <c r="E633" s="2"/>
      <c r="F633" s="464"/>
      <c r="G633" s="2"/>
      <c r="H633" s="2"/>
      <c r="I633" s="2"/>
      <c r="J633" s="2"/>
      <c r="K633" s="2"/>
      <c r="L633" s="2"/>
      <c r="M633" s="2"/>
      <c r="N633" s="2"/>
      <c r="O633" s="2"/>
      <c r="P633" s="2"/>
      <c r="Q633" s="2"/>
      <c r="R633" s="2"/>
      <c r="S633" s="3"/>
      <c r="T633" s="3"/>
      <c r="U633" s="3"/>
      <c r="V633" s="3"/>
      <c r="W633" s="3"/>
      <c r="X633" s="3"/>
      <c r="Y633" s="3"/>
      <c r="Z633" s="3"/>
    </row>
    <row r="634" ht="15.75" customHeight="1">
      <c r="A634" s="3"/>
      <c r="B634" s="576"/>
      <c r="C634" s="2"/>
      <c r="D634" s="2"/>
      <c r="E634" s="2"/>
      <c r="F634" s="464"/>
      <c r="G634" s="2"/>
      <c r="H634" s="2"/>
      <c r="I634" s="2"/>
      <c r="J634" s="2"/>
      <c r="K634" s="2"/>
      <c r="L634" s="2"/>
      <c r="M634" s="2"/>
      <c r="N634" s="2"/>
      <c r="O634" s="2"/>
      <c r="P634" s="2"/>
      <c r="Q634" s="2"/>
      <c r="R634" s="2"/>
      <c r="S634" s="3"/>
      <c r="T634" s="3"/>
      <c r="U634" s="3"/>
      <c r="V634" s="3"/>
      <c r="W634" s="3"/>
      <c r="X634" s="3"/>
      <c r="Y634" s="3"/>
      <c r="Z634" s="3"/>
    </row>
    <row r="635" ht="15.75" customHeight="1">
      <c r="A635" s="3"/>
      <c r="B635" s="576"/>
      <c r="C635" s="2"/>
      <c r="D635" s="2"/>
      <c r="E635" s="2"/>
      <c r="F635" s="464"/>
      <c r="G635" s="2"/>
      <c r="H635" s="2"/>
      <c r="I635" s="2"/>
      <c r="J635" s="2"/>
      <c r="K635" s="2"/>
      <c r="L635" s="2"/>
      <c r="M635" s="2"/>
      <c r="N635" s="2"/>
      <c r="O635" s="2"/>
      <c r="P635" s="2"/>
      <c r="Q635" s="2"/>
      <c r="R635" s="2"/>
      <c r="S635" s="3"/>
      <c r="T635" s="3"/>
      <c r="U635" s="3"/>
      <c r="V635" s="3"/>
      <c r="W635" s="3"/>
      <c r="X635" s="3"/>
      <c r="Y635" s="3"/>
      <c r="Z635" s="3"/>
    </row>
    <row r="636" ht="15.75" customHeight="1">
      <c r="A636" s="3"/>
      <c r="B636" s="576"/>
      <c r="C636" s="2"/>
      <c r="D636" s="2"/>
      <c r="E636" s="2"/>
      <c r="F636" s="464"/>
      <c r="G636" s="2"/>
      <c r="H636" s="2"/>
      <c r="I636" s="2"/>
      <c r="J636" s="2"/>
      <c r="K636" s="2"/>
      <c r="L636" s="2"/>
      <c r="M636" s="2"/>
      <c r="N636" s="2"/>
      <c r="O636" s="2"/>
      <c r="P636" s="2"/>
      <c r="Q636" s="2"/>
      <c r="R636" s="2"/>
      <c r="S636" s="3"/>
      <c r="T636" s="3"/>
      <c r="U636" s="3"/>
      <c r="V636" s="3"/>
      <c r="W636" s="3"/>
      <c r="X636" s="3"/>
      <c r="Y636" s="3"/>
      <c r="Z636" s="3"/>
    </row>
    <row r="637" ht="15.75" customHeight="1">
      <c r="A637" s="3"/>
      <c r="B637" s="576"/>
      <c r="C637" s="2"/>
      <c r="D637" s="2"/>
      <c r="E637" s="2"/>
      <c r="F637" s="464"/>
      <c r="G637" s="2"/>
      <c r="H637" s="2"/>
      <c r="I637" s="2"/>
      <c r="J637" s="2"/>
      <c r="K637" s="2"/>
      <c r="L637" s="2"/>
      <c r="M637" s="2"/>
      <c r="N637" s="2"/>
      <c r="O637" s="2"/>
      <c r="P637" s="2"/>
      <c r="Q637" s="2"/>
      <c r="R637" s="2"/>
      <c r="S637" s="3"/>
      <c r="T637" s="3"/>
      <c r="U637" s="3"/>
      <c r="V637" s="3"/>
      <c r="W637" s="3"/>
      <c r="X637" s="3"/>
      <c r="Y637" s="3"/>
      <c r="Z637" s="3"/>
    </row>
    <row r="638" ht="15.75" customHeight="1">
      <c r="A638" s="3"/>
      <c r="B638" s="576"/>
      <c r="C638" s="2"/>
      <c r="D638" s="2"/>
      <c r="E638" s="2"/>
      <c r="F638" s="464"/>
      <c r="G638" s="2"/>
      <c r="H638" s="2"/>
      <c r="I638" s="2"/>
      <c r="J638" s="2"/>
      <c r="K638" s="2"/>
      <c r="L638" s="2"/>
      <c r="M638" s="2"/>
      <c r="N638" s="2"/>
      <c r="O638" s="2"/>
      <c r="P638" s="2"/>
      <c r="Q638" s="2"/>
      <c r="R638" s="2"/>
      <c r="S638" s="3"/>
      <c r="T638" s="3"/>
      <c r="U638" s="3"/>
      <c r="V638" s="3"/>
      <c r="W638" s="3"/>
      <c r="X638" s="3"/>
      <c r="Y638" s="3"/>
      <c r="Z638" s="3"/>
    </row>
    <row r="639" ht="15.75" customHeight="1">
      <c r="A639" s="3"/>
      <c r="B639" s="576"/>
      <c r="C639" s="2"/>
      <c r="D639" s="2"/>
      <c r="E639" s="2"/>
      <c r="F639" s="464"/>
      <c r="G639" s="2"/>
      <c r="H639" s="2"/>
      <c r="I639" s="2"/>
      <c r="J639" s="2"/>
      <c r="K639" s="2"/>
      <c r="L639" s="2"/>
      <c r="M639" s="2"/>
      <c r="N639" s="2"/>
      <c r="O639" s="2"/>
      <c r="P639" s="2"/>
      <c r="Q639" s="2"/>
      <c r="R639" s="2"/>
      <c r="S639" s="3"/>
      <c r="T639" s="3"/>
      <c r="U639" s="3"/>
      <c r="V639" s="3"/>
      <c r="W639" s="3"/>
      <c r="X639" s="3"/>
      <c r="Y639" s="3"/>
      <c r="Z639" s="3"/>
    </row>
    <row r="640" ht="15.75" customHeight="1">
      <c r="A640" s="3"/>
      <c r="B640" s="576"/>
      <c r="C640" s="2"/>
      <c r="D640" s="2"/>
      <c r="E640" s="2"/>
      <c r="F640" s="464"/>
      <c r="G640" s="2"/>
      <c r="H640" s="2"/>
      <c r="I640" s="2"/>
      <c r="J640" s="2"/>
      <c r="K640" s="2"/>
      <c r="L640" s="2"/>
      <c r="M640" s="2"/>
      <c r="N640" s="2"/>
      <c r="O640" s="2"/>
      <c r="P640" s="2"/>
      <c r="Q640" s="2"/>
      <c r="R640" s="2"/>
      <c r="S640" s="3"/>
      <c r="T640" s="3"/>
      <c r="U640" s="3"/>
      <c r="V640" s="3"/>
      <c r="W640" s="3"/>
      <c r="X640" s="3"/>
      <c r="Y640" s="3"/>
      <c r="Z640" s="3"/>
    </row>
    <row r="641" ht="15.75" customHeight="1">
      <c r="A641" s="3"/>
      <c r="B641" s="576"/>
      <c r="C641" s="2"/>
      <c r="D641" s="2"/>
      <c r="E641" s="2"/>
      <c r="F641" s="464"/>
      <c r="G641" s="2"/>
      <c r="H641" s="2"/>
      <c r="I641" s="2"/>
      <c r="J641" s="2"/>
      <c r="K641" s="2"/>
      <c r="L641" s="2"/>
      <c r="M641" s="2"/>
      <c r="N641" s="2"/>
      <c r="O641" s="2"/>
      <c r="P641" s="2"/>
      <c r="Q641" s="2"/>
      <c r="R641" s="2"/>
      <c r="S641" s="3"/>
      <c r="T641" s="3"/>
      <c r="U641" s="3"/>
      <c r="V641" s="3"/>
      <c r="W641" s="3"/>
      <c r="X641" s="3"/>
      <c r="Y641" s="3"/>
      <c r="Z641" s="3"/>
    </row>
    <row r="642" ht="15.75" customHeight="1">
      <c r="A642" s="3"/>
      <c r="B642" s="576"/>
      <c r="C642" s="2"/>
      <c r="D642" s="2"/>
      <c r="E642" s="2"/>
      <c r="F642" s="464"/>
      <c r="G642" s="2"/>
      <c r="H642" s="2"/>
      <c r="I642" s="2"/>
      <c r="J642" s="2"/>
      <c r="K642" s="2"/>
      <c r="L642" s="2"/>
      <c r="M642" s="2"/>
      <c r="N642" s="2"/>
      <c r="O642" s="2"/>
      <c r="P642" s="2"/>
      <c r="Q642" s="2"/>
      <c r="R642" s="2"/>
      <c r="S642" s="3"/>
      <c r="T642" s="3"/>
      <c r="U642" s="3"/>
      <c r="V642" s="3"/>
      <c r="W642" s="3"/>
      <c r="X642" s="3"/>
      <c r="Y642" s="3"/>
      <c r="Z642" s="3"/>
    </row>
    <row r="643" ht="15.75" customHeight="1">
      <c r="A643" s="3"/>
      <c r="B643" s="576"/>
      <c r="C643" s="2"/>
      <c r="D643" s="2"/>
      <c r="E643" s="2"/>
      <c r="F643" s="464"/>
      <c r="G643" s="2"/>
      <c r="H643" s="2"/>
      <c r="I643" s="2"/>
      <c r="J643" s="2"/>
      <c r="K643" s="2"/>
      <c r="L643" s="2"/>
      <c r="M643" s="2"/>
      <c r="N643" s="2"/>
      <c r="O643" s="2"/>
      <c r="P643" s="2"/>
      <c r="Q643" s="2"/>
      <c r="R643" s="2"/>
      <c r="S643" s="3"/>
      <c r="T643" s="3"/>
      <c r="U643" s="3"/>
      <c r="V643" s="3"/>
      <c r="W643" s="3"/>
      <c r="X643" s="3"/>
      <c r="Y643" s="3"/>
      <c r="Z643" s="3"/>
    </row>
    <row r="644" ht="15.75" customHeight="1">
      <c r="A644" s="3"/>
      <c r="B644" s="576"/>
      <c r="C644" s="2"/>
      <c r="D644" s="2"/>
      <c r="E644" s="2"/>
      <c r="F644" s="464"/>
      <c r="G644" s="2"/>
      <c r="H644" s="2"/>
      <c r="I644" s="2"/>
      <c r="J644" s="2"/>
      <c r="K644" s="2"/>
      <c r="L644" s="2"/>
      <c r="M644" s="2"/>
      <c r="N644" s="2"/>
      <c r="O644" s="2"/>
      <c r="P644" s="2"/>
      <c r="Q644" s="2"/>
      <c r="R644" s="2"/>
      <c r="S644" s="3"/>
      <c r="T644" s="3"/>
      <c r="U644" s="3"/>
      <c r="V644" s="3"/>
      <c r="W644" s="3"/>
      <c r="X644" s="3"/>
      <c r="Y644" s="3"/>
      <c r="Z644" s="3"/>
    </row>
    <row r="645" ht="15.75" customHeight="1">
      <c r="A645" s="3"/>
      <c r="B645" s="576"/>
      <c r="C645" s="2"/>
      <c r="D645" s="2"/>
      <c r="E645" s="2"/>
      <c r="F645" s="464"/>
      <c r="G645" s="2"/>
      <c r="H645" s="2"/>
      <c r="I645" s="2"/>
      <c r="J645" s="2"/>
      <c r="K645" s="2"/>
      <c r="L645" s="2"/>
      <c r="M645" s="2"/>
      <c r="N645" s="2"/>
      <c r="O645" s="2"/>
      <c r="P645" s="2"/>
      <c r="Q645" s="2"/>
      <c r="R645" s="2"/>
      <c r="S645" s="3"/>
      <c r="T645" s="3"/>
      <c r="U645" s="3"/>
      <c r="V645" s="3"/>
      <c r="W645" s="3"/>
      <c r="X645" s="3"/>
      <c r="Y645" s="3"/>
      <c r="Z645" s="3"/>
    </row>
    <row r="646" ht="15.75" customHeight="1">
      <c r="A646" s="3"/>
      <c r="B646" s="576"/>
      <c r="C646" s="2"/>
      <c r="D646" s="2"/>
      <c r="E646" s="2"/>
      <c r="F646" s="464"/>
      <c r="G646" s="2"/>
      <c r="H646" s="2"/>
      <c r="I646" s="2"/>
      <c r="J646" s="2"/>
      <c r="K646" s="2"/>
      <c r="L646" s="2"/>
      <c r="M646" s="2"/>
      <c r="N646" s="2"/>
      <c r="O646" s="2"/>
      <c r="P646" s="2"/>
      <c r="Q646" s="2"/>
      <c r="R646" s="2"/>
      <c r="S646" s="3"/>
      <c r="T646" s="3"/>
      <c r="U646" s="3"/>
      <c r="V646" s="3"/>
      <c r="W646" s="3"/>
      <c r="X646" s="3"/>
      <c r="Y646" s="3"/>
      <c r="Z646" s="3"/>
    </row>
    <row r="647" ht="15.75" customHeight="1">
      <c r="A647" s="3"/>
      <c r="B647" s="576"/>
      <c r="C647" s="2"/>
      <c r="D647" s="2"/>
      <c r="E647" s="2"/>
      <c r="F647" s="464"/>
      <c r="G647" s="2"/>
      <c r="H647" s="2"/>
      <c r="I647" s="2"/>
      <c r="J647" s="2"/>
      <c r="K647" s="2"/>
      <c r="L647" s="2"/>
      <c r="M647" s="2"/>
      <c r="N647" s="2"/>
      <c r="O647" s="2"/>
      <c r="P647" s="2"/>
      <c r="Q647" s="2"/>
      <c r="R647" s="2"/>
      <c r="S647" s="3"/>
      <c r="T647" s="3"/>
      <c r="U647" s="3"/>
      <c r="V647" s="3"/>
      <c r="W647" s="3"/>
      <c r="X647" s="3"/>
      <c r="Y647" s="3"/>
      <c r="Z647" s="3"/>
    </row>
    <row r="648" ht="15.75" customHeight="1">
      <c r="A648" s="3"/>
      <c r="B648" s="576"/>
      <c r="C648" s="2"/>
      <c r="D648" s="2"/>
      <c r="E648" s="2"/>
      <c r="F648" s="464"/>
      <c r="G648" s="2"/>
      <c r="H648" s="2"/>
      <c r="I648" s="2"/>
      <c r="J648" s="2"/>
      <c r="K648" s="2"/>
      <c r="L648" s="2"/>
      <c r="M648" s="2"/>
      <c r="N648" s="2"/>
      <c r="O648" s="2"/>
      <c r="P648" s="2"/>
      <c r="Q648" s="2"/>
      <c r="R648" s="2"/>
      <c r="S648" s="3"/>
      <c r="T648" s="3"/>
      <c r="U648" s="3"/>
      <c r="V648" s="3"/>
      <c r="W648" s="3"/>
      <c r="X648" s="3"/>
      <c r="Y648" s="3"/>
      <c r="Z648" s="3"/>
    </row>
    <row r="649" ht="15.75" customHeight="1">
      <c r="A649" s="3"/>
      <c r="B649" s="576"/>
      <c r="C649" s="2"/>
      <c r="D649" s="2"/>
      <c r="E649" s="2"/>
      <c r="F649" s="464"/>
      <c r="G649" s="2"/>
      <c r="H649" s="2"/>
      <c r="I649" s="2"/>
      <c r="J649" s="2"/>
      <c r="K649" s="2"/>
      <c r="L649" s="2"/>
      <c r="M649" s="2"/>
      <c r="N649" s="2"/>
      <c r="O649" s="2"/>
      <c r="P649" s="2"/>
      <c r="Q649" s="2"/>
      <c r="R649" s="2"/>
      <c r="S649" s="3"/>
      <c r="T649" s="3"/>
      <c r="U649" s="3"/>
      <c r="V649" s="3"/>
      <c r="W649" s="3"/>
      <c r="X649" s="3"/>
      <c r="Y649" s="3"/>
      <c r="Z649" s="3"/>
    </row>
    <row r="650" ht="15.75" customHeight="1">
      <c r="A650" s="3"/>
      <c r="B650" s="576"/>
      <c r="C650" s="2"/>
      <c r="D650" s="2"/>
      <c r="E650" s="2"/>
      <c r="F650" s="464"/>
      <c r="G650" s="2"/>
      <c r="H650" s="2"/>
      <c r="I650" s="2"/>
      <c r="J650" s="2"/>
      <c r="K650" s="2"/>
      <c r="L650" s="2"/>
      <c r="M650" s="2"/>
      <c r="N650" s="2"/>
      <c r="O650" s="2"/>
      <c r="P650" s="2"/>
      <c r="Q650" s="2"/>
      <c r="R650" s="2"/>
      <c r="S650" s="3"/>
      <c r="T650" s="3"/>
      <c r="U650" s="3"/>
      <c r="V650" s="3"/>
      <c r="W650" s="3"/>
      <c r="X650" s="3"/>
      <c r="Y650" s="3"/>
      <c r="Z650" s="3"/>
    </row>
    <row r="651" ht="15.75" customHeight="1">
      <c r="A651" s="3"/>
      <c r="B651" s="576"/>
      <c r="C651" s="2"/>
      <c r="D651" s="2"/>
      <c r="E651" s="2"/>
      <c r="F651" s="464"/>
      <c r="G651" s="2"/>
      <c r="H651" s="2"/>
      <c r="I651" s="2"/>
      <c r="J651" s="2"/>
      <c r="K651" s="2"/>
      <c r="L651" s="2"/>
      <c r="M651" s="2"/>
      <c r="N651" s="2"/>
      <c r="O651" s="2"/>
      <c r="P651" s="2"/>
      <c r="Q651" s="2"/>
      <c r="R651" s="2"/>
      <c r="S651" s="3"/>
      <c r="T651" s="3"/>
      <c r="U651" s="3"/>
      <c r="V651" s="3"/>
      <c r="W651" s="3"/>
      <c r="X651" s="3"/>
      <c r="Y651" s="3"/>
      <c r="Z651" s="3"/>
    </row>
    <row r="652" ht="15.75" customHeight="1">
      <c r="A652" s="3"/>
      <c r="B652" s="576"/>
      <c r="C652" s="2"/>
      <c r="D652" s="2"/>
      <c r="E652" s="2"/>
      <c r="F652" s="464"/>
      <c r="G652" s="2"/>
      <c r="H652" s="2"/>
      <c r="I652" s="2"/>
      <c r="J652" s="2"/>
      <c r="K652" s="2"/>
      <c r="L652" s="2"/>
      <c r="M652" s="2"/>
      <c r="N652" s="2"/>
      <c r="O652" s="2"/>
      <c r="P652" s="2"/>
      <c r="Q652" s="2"/>
      <c r="R652" s="2"/>
      <c r="S652" s="3"/>
      <c r="T652" s="3"/>
      <c r="U652" s="3"/>
      <c r="V652" s="3"/>
      <c r="W652" s="3"/>
      <c r="X652" s="3"/>
      <c r="Y652" s="3"/>
      <c r="Z652" s="3"/>
    </row>
    <row r="653" ht="15.75" customHeight="1">
      <c r="A653" s="3"/>
      <c r="B653" s="576"/>
      <c r="C653" s="2"/>
      <c r="D653" s="2"/>
      <c r="E653" s="2"/>
      <c r="F653" s="464"/>
      <c r="G653" s="2"/>
      <c r="H653" s="2"/>
      <c r="I653" s="2"/>
      <c r="J653" s="2"/>
      <c r="K653" s="2"/>
      <c r="L653" s="2"/>
      <c r="M653" s="2"/>
      <c r="N653" s="2"/>
      <c r="O653" s="2"/>
      <c r="P653" s="2"/>
      <c r="Q653" s="2"/>
      <c r="R653" s="2"/>
      <c r="S653" s="3"/>
      <c r="T653" s="3"/>
      <c r="U653" s="3"/>
      <c r="V653" s="3"/>
      <c r="W653" s="3"/>
      <c r="X653" s="3"/>
      <c r="Y653" s="3"/>
      <c r="Z653" s="3"/>
    </row>
    <row r="654" ht="15.75" customHeight="1">
      <c r="A654" s="3"/>
      <c r="B654" s="576"/>
      <c r="C654" s="2"/>
      <c r="D654" s="2"/>
      <c r="E654" s="2"/>
      <c r="F654" s="464"/>
      <c r="G654" s="2"/>
      <c r="H654" s="2"/>
      <c r="I654" s="2"/>
      <c r="J654" s="2"/>
      <c r="K654" s="2"/>
      <c r="L654" s="2"/>
      <c r="M654" s="2"/>
      <c r="N654" s="2"/>
      <c r="O654" s="2"/>
      <c r="P654" s="2"/>
      <c r="Q654" s="2"/>
      <c r="R654" s="2"/>
      <c r="S654" s="3"/>
      <c r="T654" s="3"/>
      <c r="U654" s="3"/>
      <c r="V654" s="3"/>
      <c r="W654" s="3"/>
      <c r="X654" s="3"/>
      <c r="Y654" s="3"/>
      <c r="Z654" s="3"/>
    </row>
    <row r="655" ht="15.75" customHeight="1">
      <c r="A655" s="3"/>
      <c r="B655" s="576"/>
      <c r="C655" s="2"/>
      <c r="D655" s="2"/>
      <c r="E655" s="2"/>
      <c r="F655" s="464"/>
      <c r="G655" s="2"/>
      <c r="H655" s="2"/>
      <c r="I655" s="2"/>
      <c r="J655" s="2"/>
      <c r="K655" s="2"/>
      <c r="L655" s="2"/>
      <c r="M655" s="2"/>
      <c r="N655" s="2"/>
      <c r="O655" s="2"/>
      <c r="P655" s="2"/>
      <c r="Q655" s="2"/>
      <c r="R655" s="2"/>
      <c r="S655" s="3"/>
      <c r="T655" s="3"/>
      <c r="U655" s="3"/>
      <c r="V655" s="3"/>
      <c r="W655" s="3"/>
      <c r="X655" s="3"/>
      <c r="Y655" s="3"/>
      <c r="Z655" s="3"/>
    </row>
    <row r="656" ht="15.75" customHeight="1">
      <c r="A656" s="3"/>
      <c r="B656" s="576"/>
      <c r="C656" s="2"/>
      <c r="D656" s="2"/>
      <c r="E656" s="2"/>
      <c r="F656" s="464"/>
      <c r="G656" s="2"/>
      <c r="H656" s="2"/>
      <c r="I656" s="2"/>
      <c r="J656" s="2"/>
      <c r="K656" s="2"/>
      <c r="L656" s="2"/>
      <c r="M656" s="2"/>
      <c r="N656" s="2"/>
      <c r="O656" s="2"/>
      <c r="P656" s="2"/>
      <c r="Q656" s="2"/>
      <c r="R656" s="2"/>
      <c r="S656" s="3"/>
      <c r="T656" s="3"/>
      <c r="U656" s="3"/>
      <c r="V656" s="3"/>
      <c r="W656" s="3"/>
      <c r="X656" s="3"/>
      <c r="Y656" s="3"/>
      <c r="Z656" s="3"/>
    </row>
    <row r="657" ht="15.75" customHeight="1">
      <c r="A657" s="3"/>
      <c r="B657" s="576"/>
      <c r="C657" s="2"/>
      <c r="D657" s="2"/>
      <c r="E657" s="2"/>
      <c r="F657" s="464"/>
      <c r="G657" s="2"/>
      <c r="H657" s="2"/>
      <c r="I657" s="2"/>
      <c r="J657" s="2"/>
      <c r="K657" s="2"/>
      <c r="L657" s="2"/>
      <c r="M657" s="2"/>
      <c r="N657" s="2"/>
      <c r="O657" s="2"/>
      <c r="P657" s="2"/>
      <c r="Q657" s="2"/>
      <c r="R657" s="2"/>
      <c r="S657" s="3"/>
      <c r="T657" s="3"/>
      <c r="U657" s="3"/>
      <c r="V657" s="3"/>
      <c r="W657" s="3"/>
      <c r="X657" s="3"/>
      <c r="Y657" s="3"/>
      <c r="Z657" s="3"/>
    </row>
    <row r="658" ht="15.75" customHeight="1">
      <c r="A658" s="3"/>
      <c r="B658" s="576"/>
      <c r="C658" s="2"/>
      <c r="D658" s="2"/>
      <c r="E658" s="2"/>
      <c r="F658" s="464"/>
      <c r="G658" s="2"/>
      <c r="H658" s="2"/>
      <c r="I658" s="2"/>
      <c r="J658" s="2"/>
      <c r="K658" s="2"/>
      <c r="L658" s="2"/>
      <c r="M658" s="2"/>
      <c r="N658" s="2"/>
      <c r="O658" s="2"/>
      <c r="P658" s="2"/>
      <c r="Q658" s="2"/>
      <c r="R658" s="2"/>
      <c r="S658" s="3"/>
      <c r="T658" s="3"/>
      <c r="U658" s="3"/>
      <c r="V658" s="3"/>
      <c r="W658" s="3"/>
      <c r="X658" s="3"/>
      <c r="Y658" s="3"/>
      <c r="Z658" s="3"/>
    </row>
    <row r="659" ht="15.75" customHeight="1">
      <c r="A659" s="3"/>
      <c r="B659" s="576"/>
      <c r="C659" s="2"/>
      <c r="D659" s="2"/>
      <c r="E659" s="2"/>
      <c r="F659" s="464"/>
      <c r="G659" s="2"/>
      <c r="H659" s="2"/>
      <c r="I659" s="2"/>
      <c r="J659" s="2"/>
      <c r="K659" s="2"/>
      <c r="L659" s="2"/>
      <c r="M659" s="2"/>
      <c r="N659" s="2"/>
      <c r="O659" s="2"/>
      <c r="P659" s="2"/>
      <c r="Q659" s="2"/>
      <c r="R659" s="2"/>
      <c r="S659" s="3"/>
      <c r="T659" s="3"/>
      <c r="U659" s="3"/>
      <c r="V659" s="3"/>
      <c r="W659" s="3"/>
      <c r="X659" s="3"/>
      <c r="Y659" s="3"/>
      <c r="Z659" s="3"/>
    </row>
    <row r="660" ht="15.75" customHeight="1">
      <c r="A660" s="3"/>
      <c r="B660" s="576"/>
      <c r="C660" s="2"/>
      <c r="D660" s="2"/>
      <c r="E660" s="2"/>
      <c r="F660" s="464"/>
      <c r="G660" s="2"/>
      <c r="H660" s="2"/>
      <c r="I660" s="2"/>
      <c r="J660" s="2"/>
      <c r="K660" s="2"/>
      <c r="L660" s="2"/>
      <c r="M660" s="2"/>
      <c r="N660" s="2"/>
      <c r="O660" s="2"/>
      <c r="P660" s="2"/>
      <c r="Q660" s="2"/>
      <c r="R660" s="2"/>
      <c r="S660" s="3"/>
      <c r="T660" s="3"/>
      <c r="U660" s="3"/>
      <c r="V660" s="3"/>
      <c r="W660" s="3"/>
      <c r="X660" s="3"/>
      <c r="Y660" s="3"/>
      <c r="Z660" s="3"/>
    </row>
    <row r="661" ht="15.75" customHeight="1">
      <c r="A661" s="3"/>
      <c r="B661" s="576"/>
      <c r="C661" s="2"/>
      <c r="D661" s="2"/>
      <c r="E661" s="2"/>
      <c r="F661" s="464"/>
      <c r="G661" s="2"/>
      <c r="H661" s="2"/>
      <c r="I661" s="2"/>
      <c r="J661" s="2"/>
      <c r="K661" s="2"/>
      <c r="L661" s="2"/>
      <c r="M661" s="2"/>
      <c r="N661" s="2"/>
      <c r="O661" s="2"/>
      <c r="P661" s="2"/>
      <c r="Q661" s="2"/>
      <c r="R661" s="2"/>
      <c r="S661" s="3"/>
      <c r="T661" s="3"/>
      <c r="U661" s="3"/>
      <c r="V661" s="3"/>
      <c r="W661" s="3"/>
      <c r="X661" s="3"/>
      <c r="Y661" s="3"/>
      <c r="Z661" s="3"/>
    </row>
    <row r="662" ht="15.75" customHeight="1">
      <c r="A662" s="3"/>
      <c r="B662" s="576"/>
      <c r="C662" s="2"/>
      <c r="D662" s="2"/>
      <c r="E662" s="2"/>
      <c r="F662" s="464"/>
      <c r="G662" s="2"/>
      <c r="H662" s="2"/>
      <c r="I662" s="2"/>
      <c r="J662" s="2"/>
      <c r="K662" s="2"/>
      <c r="L662" s="2"/>
      <c r="M662" s="2"/>
      <c r="N662" s="2"/>
      <c r="O662" s="2"/>
      <c r="P662" s="2"/>
      <c r="Q662" s="2"/>
      <c r="R662" s="2"/>
      <c r="S662" s="3"/>
      <c r="T662" s="3"/>
      <c r="U662" s="3"/>
      <c r="V662" s="3"/>
      <c r="W662" s="3"/>
      <c r="X662" s="3"/>
      <c r="Y662" s="3"/>
      <c r="Z662" s="3"/>
    </row>
    <row r="663" ht="15.75" customHeight="1">
      <c r="A663" s="3"/>
      <c r="B663" s="576"/>
      <c r="C663" s="2"/>
      <c r="D663" s="2"/>
      <c r="E663" s="2"/>
      <c r="F663" s="464"/>
      <c r="G663" s="2"/>
      <c r="H663" s="2"/>
      <c r="I663" s="2"/>
      <c r="J663" s="2"/>
      <c r="K663" s="2"/>
      <c r="L663" s="2"/>
      <c r="M663" s="2"/>
      <c r="N663" s="2"/>
      <c r="O663" s="2"/>
      <c r="P663" s="2"/>
      <c r="Q663" s="2"/>
      <c r="R663" s="2"/>
      <c r="S663" s="3"/>
      <c r="T663" s="3"/>
      <c r="U663" s="3"/>
      <c r="V663" s="3"/>
      <c r="W663" s="3"/>
      <c r="X663" s="3"/>
      <c r="Y663" s="3"/>
      <c r="Z663" s="3"/>
    </row>
    <row r="664" ht="15.75" customHeight="1">
      <c r="A664" s="3"/>
      <c r="B664" s="576"/>
      <c r="C664" s="2"/>
      <c r="D664" s="2"/>
      <c r="E664" s="2"/>
      <c r="F664" s="464"/>
      <c r="G664" s="2"/>
      <c r="H664" s="2"/>
      <c r="I664" s="2"/>
      <c r="J664" s="2"/>
      <c r="K664" s="2"/>
      <c r="L664" s="2"/>
      <c r="M664" s="2"/>
      <c r="N664" s="2"/>
      <c r="O664" s="2"/>
      <c r="P664" s="2"/>
      <c r="Q664" s="2"/>
      <c r="R664" s="2"/>
      <c r="S664" s="3"/>
      <c r="T664" s="3"/>
      <c r="U664" s="3"/>
      <c r="V664" s="3"/>
      <c r="W664" s="3"/>
      <c r="X664" s="3"/>
      <c r="Y664" s="3"/>
      <c r="Z664" s="3"/>
    </row>
    <row r="665" ht="15.75" customHeight="1">
      <c r="A665" s="3"/>
      <c r="B665" s="576"/>
      <c r="C665" s="2"/>
      <c r="D665" s="2"/>
      <c r="E665" s="2"/>
      <c r="F665" s="464"/>
      <c r="G665" s="2"/>
      <c r="H665" s="2"/>
      <c r="I665" s="2"/>
      <c r="J665" s="2"/>
      <c r="K665" s="2"/>
      <c r="L665" s="2"/>
      <c r="M665" s="2"/>
      <c r="N665" s="2"/>
      <c r="O665" s="2"/>
      <c r="P665" s="2"/>
      <c r="Q665" s="2"/>
      <c r="R665" s="2"/>
      <c r="S665" s="3"/>
      <c r="T665" s="3"/>
      <c r="U665" s="3"/>
      <c r="V665" s="3"/>
      <c r="W665" s="3"/>
      <c r="X665" s="3"/>
      <c r="Y665" s="3"/>
      <c r="Z665" s="3"/>
    </row>
    <row r="666" ht="15.75" customHeight="1">
      <c r="A666" s="3"/>
      <c r="B666" s="576"/>
      <c r="C666" s="2"/>
      <c r="D666" s="2"/>
      <c r="E666" s="2"/>
      <c r="F666" s="464"/>
      <c r="G666" s="2"/>
      <c r="H666" s="2"/>
      <c r="I666" s="2"/>
      <c r="J666" s="2"/>
      <c r="K666" s="2"/>
      <c r="L666" s="2"/>
      <c r="M666" s="2"/>
      <c r="N666" s="2"/>
      <c r="O666" s="2"/>
      <c r="P666" s="2"/>
      <c r="Q666" s="2"/>
      <c r="R666" s="2"/>
      <c r="S666" s="3"/>
      <c r="T666" s="3"/>
      <c r="U666" s="3"/>
      <c r="V666" s="3"/>
      <c r="W666" s="3"/>
      <c r="X666" s="3"/>
      <c r="Y666" s="3"/>
      <c r="Z666" s="3"/>
    </row>
    <row r="667" ht="15.75" customHeight="1">
      <c r="A667" s="3"/>
      <c r="B667" s="576"/>
      <c r="C667" s="2"/>
      <c r="D667" s="2"/>
      <c r="E667" s="2"/>
      <c r="F667" s="464"/>
      <c r="G667" s="2"/>
      <c r="H667" s="2"/>
      <c r="I667" s="2"/>
      <c r="J667" s="2"/>
      <c r="K667" s="2"/>
      <c r="L667" s="2"/>
      <c r="M667" s="2"/>
      <c r="N667" s="2"/>
      <c r="O667" s="2"/>
      <c r="P667" s="2"/>
      <c r="Q667" s="2"/>
      <c r="R667" s="2"/>
      <c r="S667" s="3"/>
      <c r="T667" s="3"/>
      <c r="U667" s="3"/>
      <c r="V667" s="3"/>
      <c r="W667" s="3"/>
      <c r="X667" s="3"/>
      <c r="Y667" s="3"/>
      <c r="Z667" s="3"/>
    </row>
    <row r="668" ht="15.75" customHeight="1">
      <c r="A668" s="3"/>
      <c r="B668" s="576"/>
      <c r="C668" s="2"/>
      <c r="D668" s="2"/>
      <c r="E668" s="2"/>
      <c r="F668" s="464"/>
      <c r="G668" s="2"/>
      <c r="H668" s="2"/>
      <c r="I668" s="2"/>
      <c r="J668" s="2"/>
      <c r="K668" s="2"/>
      <c r="L668" s="2"/>
      <c r="M668" s="2"/>
      <c r="N668" s="2"/>
      <c r="O668" s="2"/>
      <c r="P668" s="2"/>
      <c r="Q668" s="2"/>
      <c r="R668" s="2"/>
      <c r="S668" s="3"/>
      <c r="T668" s="3"/>
      <c r="U668" s="3"/>
      <c r="V668" s="3"/>
      <c r="W668" s="3"/>
      <c r="X668" s="3"/>
      <c r="Y668" s="3"/>
      <c r="Z668" s="3"/>
    </row>
    <row r="669" ht="15.75" customHeight="1">
      <c r="A669" s="3"/>
      <c r="B669" s="576"/>
      <c r="C669" s="2"/>
      <c r="D669" s="2"/>
      <c r="E669" s="2"/>
      <c r="F669" s="464"/>
      <c r="G669" s="2"/>
      <c r="H669" s="2"/>
      <c r="I669" s="2"/>
      <c r="J669" s="2"/>
      <c r="K669" s="2"/>
      <c r="L669" s="2"/>
      <c r="M669" s="2"/>
      <c r="N669" s="2"/>
      <c r="O669" s="2"/>
      <c r="P669" s="2"/>
      <c r="Q669" s="2"/>
      <c r="R669" s="2"/>
      <c r="S669" s="3"/>
      <c r="T669" s="3"/>
      <c r="U669" s="3"/>
      <c r="V669" s="3"/>
      <c r="W669" s="3"/>
      <c r="X669" s="3"/>
      <c r="Y669" s="3"/>
      <c r="Z669" s="3"/>
    </row>
    <row r="670" ht="15.75" customHeight="1">
      <c r="A670" s="3"/>
      <c r="B670" s="576"/>
      <c r="C670" s="2"/>
      <c r="D670" s="2"/>
      <c r="E670" s="2"/>
      <c r="F670" s="464"/>
      <c r="G670" s="2"/>
      <c r="H670" s="2"/>
      <c r="I670" s="2"/>
      <c r="J670" s="2"/>
      <c r="K670" s="2"/>
      <c r="L670" s="2"/>
      <c r="M670" s="2"/>
      <c r="N670" s="2"/>
      <c r="O670" s="2"/>
      <c r="P670" s="2"/>
      <c r="Q670" s="2"/>
      <c r="R670" s="2"/>
      <c r="S670" s="3"/>
      <c r="T670" s="3"/>
      <c r="U670" s="3"/>
      <c r="V670" s="3"/>
      <c r="W670" s="3"/>
      <c r="X670" s="3"/>
      <c r="Y670" s="3"/>
      <c r="Z670" s="3"/>
    </row>
    <row r="671" ht="15.75" customHeight="1">
      <c r="A671" s="3"/>
      <c r="B671" s="576"/>
      <c r="C671" s="2"/>
      <c r="D671" s="2"/>
      <c r="E671" s="2"/>
      <c r="F671" s="464"/>
      <c r="G671" s="2"/>
      <c r="H671" s="2"/>
      <c r="I671" s="2"/>
      <c r="J671" s="2"/>
      <c r="K671" s="2"/>
      <c r="L671" s="2"/>
      <c r="M671" s="2"/>
      <c r="N671" s="2"/>
      <c r="O671" s="2"/>
      <c r="P671" s="2"/>
      <c r="Q671" s="2"/>
      <c r="R671" s="2"/>
      <c r="S671" s="3"/>
      <c r="T671" s="3"/>
      <c r="U671" s="3"/>
      <c r="V671" s="3"/>
      <c r="W671" s="3"/>
      <c r="X671" s="3"/>
      <c r="Y671" s="3"/>
      <c r="Z671" s="3"/>
    </row>
    <row r="672" ht="15.75" customHeight="1">
      <c r="A672" s="3"/>
      <c r="B672" s="576"/>
      <c r="C672" s="2"/>
      <c r="D672" s="2"/>
      <c r="E672" s="2"/>
      <c r="F672" s="464"/>
      <c r="G672" s="2"/>
      <c r="H672" s="2"/>
      <c r="I672" s="2"/>
      <c r="J672" s="2"/>
      <c r="K672" s="2"/>
      <c r="L672" s="2"/>
      <c r="M672" s="2"/>
      <c r="N672" s="2"/>
      <c r="O672" s="2"/>
      <c r="P672" s="2"/>
      <c r="Q672" s="2"/>
      <c r="R672" s="2"/>
      <c r="S672" s="3"/>
      <c r="T672" s="3"/>
      <c r="U672" s="3"/>
      <c r="V672" s="3"/>
      <c r="W672" s="3"/>
      <c r="X672" s="3"/>
      <c r="Y672" s="3"/>
      <c r="Z672" s="3"/>
    </row>
    <row r="673" ht="15.75" customHeight="1">
      <c r="A673" s="3"/>
      <c r="B673" s="576"/>
      <c r="C673" s="2"/>
      <c r="D673" s="2"/>
      <c r="E673" s="2"/>
      <c r="F673" s="464"/>
      <c r="G673" s="2"/>
      <c r="H673" s="2"/>
      <c r="I673" s="2"/>
      <c r="J673" s="2"/>
      <c r="K673" s="2"/>
      <c r="L673" s="2"/>
      <c r="M673" s="2"/>
      <c r="N673" s="2"/>
      <c r="O673" s="2"/>
      <c r="P673" s="2"/>
      <c r="Q673" s="2"/>
      <c r="R673" s="2"/>
      <c r="S673" s="3"/>
      <c r="T673" s="3"/>
      <c r="U673" s="3"/>
      <c r="V673" s="3"/>
      <c r="W673" s="3"/>
      <c r="X673" s="3"/>
      <c r="Y673" s="3"/>
      <c r="Z673" s="3"/>
    </row>
    <row r="674" ht="15.75" customHeight="1">
      <c r="A674" s="3"/>
      <c r="B674" s="576"/>
      <c r="C674" s="2"/>
      <c r="D674" s="2"/>
      <c r="E674" s="2"/>
      <c r="F674" s="464"/>
      <c r="G674" s="2"/>
      <c r="H674" s="2"/>
      <c r="I674" s="2"/>
      <c r="J674" s="2"/>
      <c r="K674" s="2"/>
      <c r="L674" s="2"/>
      <c r="M674" s="2"/>
      <c r="N674" s="2"/>
      <c r="O674" s="2"/>
      <c r="P674" s="2"/>
      <c r="Q674" s="2"/>
      <c r="R674" s="2"/>
      <c r="S674" s="3"/>
      <c r="T674" s="3"/>
      <c r="U674" s="3"/>
      <c r="V674" s="3"/>
      <c r="W674" s="3"/>
      <c r="X674" s="3"/>
      <c r="Y674" s="3"/>
      <c r="Z674" s="3"/>
    </row>
    <row r="675" ht="15.75" customHeight="1">
      <c r="A675" s="3"/>
      <c r="B675" s="576"/>
      <c r="C675" s="2"/>
      <c r="D675" s="2"/>
      <c r="E675" s="2"/>
      <c r="F675" s="464"/>
      <c r="G675" s="2"/>
      <c r="H675" s="2"/>
      <c r="I675" s="2"/>
      <c r="J675" s="2"/>
      <c r="K675" s="2"/>
      <c r="L675" s="2"/>
      <c r="M675" s="2"/>
      <c r="N675" s="2"/>
      <c r="O675" s="2"/>
      <c r="P675" s="2"/>
      <c r="Q675" s="2"/>
      <c r="R675" s="2"/>
      <c r="S675" s="3"/>
      <c r="T675" s="3"/>
      <c r="U675" s="3"/>
      <c r="V675" s="3"/>
      <c r="W675" s="3"/>
      <c r="X675" s="3"/>
      <c r="Y675" s="3"/>
      <c r="Z675" s="3"/>
    </row>
    <row r="676" ht="15.75" customHeight="1">
      <c r="A676" s="3"/>
      <c r="B676" s="576"/>
      <c r="C676" s="2"/>
      <c r="D676" s="2"/>
      <c r="E676" s="2"/>
      <c r="F676" s="464"/>
      <c r="G676" s="2"/>
      <c r="H676" s="2"/>
      <c r="I676" s="2"/>
      <c r="J676" s="2"/>
      <c r="K676" s="2"/>
      <c r="L676" s="2"/>
      <c r="M676" s="2"/>
      <c r="N676" s="2"/>
      <c r="O676" s="2"/>
      <c r="P676" s="2"/>
      <c r="Q676" s="2"/>
      <c r="R676" s="2"/>
      <c r="S676" s="3"/>
      <c r="T676" s="3"/>
      <c r="U676" s="3"/>
      <c r="V676" s="3"/>
      <c r="W676" s="3"/>
      <c r="X676" s="3"/>
      <c r="Y676" s="3"/>
      <c r="Z676" s="3"/>
    </row>
    <row r="677" ht="15.75" customHeight="1">
      <c r="A677" s="3"/>
      <c r="B677" s="576"/>
      <c r="C677" s="2"/>
      <c r="D677" s="2"/>
      <c r="E677" s="2"/>
      <c r="F677" s="464"/>
      <c r="G677" s="2"/>
      <c r="H677" s="2"/>
      <c r="I677" s="2"/>
      <c r="J677" s="2"/>
      <c r="K677" s="2"/>
      <c r="L677" s="2"/>
      <c r="M677" s="2"/>
      <c r="N677" s="2"/>
      <c r="O677" s="2"/>
      <c r="P677" s="2"/>
      <c r="Q677" s="2"/>
      <c r="R677" s="2"/>
      <c r="S677" s="3"/>
      <c r="T677" s="3"/>
      <c r="U677" s="3"/>
      <c r="V677" s="3"/>
      <c r="W677" s="3"/>
      <c r="X677" s="3"/>
      <c r="Y677" s="3"/>
      <c r="Z677" s="3"/>
    </row>
    <row r="678" ht="15.75" customHeight="1">
      <c r="A678" s="3"/>
      <c r="B678" s="576"/>
      <c r="C678" s="2"/>
      <c r="D678" s="2"/>
      <c r="E678" s="2"/>
      <c r="F678" s="464"/>
      <c r="G678" s="2"/>
      <c r="H678" s="2"/>
      <c r="I678" s="2"/>
      <c r="J678" s="2"/>
      <c r="K678" s="2"/>
      <c r="L678" s="2"/>
      <c r="M678" s="2"/>
      <c r="N678" s="2"/>
      <c r="O678" s="2"/>
      <c r="P678" s="2"/>
      <c r="Q678" s="2"/>
      <c r="R678" s="2"/>
      <c r="S678" s="3"/>
      <c r="T678" s="3"/>
      <c r="U678" s="3"/>
      <c r="V678" s="3"/>
      <c r="W678" s="3"/>
      <c r="X678" s="3"/>
      <c r="Y678" s="3"/>
      <c r="Z678" s="3"/>
    </row>
    <row r="679" ht="15.75" customHeight="1">
      <c r="A679" s="3"/>
      <c r="B679" s="576"/>
      <c r="C679" s="2"/>
      <c r="D679" s="2"/>
      <c r="E679" s="2"/>
      <c r="F679" s="464"/>
      <c r="G679" s="2"/>
      <c r="H679" s="2"/>
      <c r="I679" s="2"/>
      <c r="J679" s="2"/>
      <c r="K679" s="2"/>
      <c r="L679" s="2"/>
      <c r="M679" s="2"/>
      <c r="N679" s="2"/>
      <c r="O679" s="2"/>
      <c r="P679" s="2"/>
      <c r="Q679" s="2"/>
      <c r="R679" s="2"/>
      <c r="S679" s="3"/>
      <c r="T679" s="3"/>
      <c r="U679" s="3"/>
      <c r="V679" s="3"/>
      <c r="W679" s="3"/>
      <c r="X679" s="3"/>
      <c r="Y679" s="3"/>
      <c r="Z679" s="3"/>
    </row>
    <row r="680" ht="15.75" customHeight="1">
      <c r="A680" s="3"/>
      <c r="B680" s="576"/>
      <c r="C680" s="2"/>
      <c r="D680" s="2"/>
      <c r="E680" s="2"/>
      <c r="F680" s="464"/>
      <c r="G680" s="2"/>
      <c r="H680" s="2"/>
      <c r="I680" s="2"/>
      <c r="J680" s="2"/>
      <c r="K680" s="2"/>
      <c r="L680" s="2"/>
      <c r="M680" s="2"/>
      <c r="N680" s="2"/>
      <c r="O680" s="2"/>
      <c r="P680" s="2"/>
      <c r="Q680" s="2"/>
      <c r="R680" s="2"/>
      <c r="S680" s="3"/>
      <c r="T680" s="3"/>
      <c r="U680" s="3"/>
      <c r="V680" s="3"/>
      <c r="W680" s="3"/>
      <c r="X680" s="3"/>
      <c r="Y680" s="3"/>
      <c r="Z680" s="3"/>
    </row>
    <row r="681" ht="15.75" customHeight="1">
      <c r="A681" s="3"/>
      <c r="B681" s="576"/>
      <c r="C681" s="2"/>
      <c r="D681" s="2"/>
      <c r="E681" s="2"/>
      <c r="F681" s="464"/>
      <c r="G681" s="2"/>
      <c r="H681" s="2"/>
      <c r="I681" s="2"/>
      <c r="J681" s="2"/>
      <c r="K681" s="2"/>
      <c r="L681" s="2"/>
      <c r="M681" s="2"/>
      <c r="N681" s="2"/>
      <c r="O681" s="2"/>
      <c r="P681" s="2"/>
      <c r="Q681" s="2"/>
      <c r="R681" s="2"/>
      <c r="S681" s="3"/>
      <c r="T681" s="3"/>
      <c r="U681" s="3"/>
      <c r="V681" s="3"/>
      <c r="W681" s="3"/>
      <c r="X681" s="3"/>
      <c r="Y681" s="3"/>
      <c r="Z681" s="3"/>
    </row>
    <row r="682" ht="15.75" customHeight="1">
      <c r="A682" s="3"/>
      <c r="B682" s="576"/>
      <c r="C682" s="2"/>
      <c r="D682" s="2"/>
      <c r="E682" s="2"/>
      <c r="F682" s="464"/>
      <c r="G682" s="2"/>
      <c r="H682" s="2"/>
      <c r="I682" s="2"/>
      <c r="J682" s="2"/>
      <c r="K682" s="2"/>
      <c r="L682" s="2"/>
      <c r="M682" s="2"/>
      <c r="N682" s="2"/>
      <c r="O682" s="2"/>
      <c r="P682" s="2"/>
      <c r="Q682" s="2"/>
      <c r="R682" s="2"/>
      <c r="S682" s="3"/>
      <c r="T682" s="3"/>
      <c r="U682" s="3"/>
      <c r="V682" s="3"/>
      <c r="W682" s="3"/>
      <c r="X682" s="3"/>
      <c r="Y682" s="3"/>
      <c r="Z682" s="3"/>
    </row>
    <row r="683" ht="15.75" customHeight="1">
      <c r="A683" s="3"/>
      <c r="B683" s="576"/>
      <c r="C683" s="2"/>
      <c r="D683" s="2"/>
      <c r="E683" s="2"/>
      <c r="F683" s="464"/>
      <c r="G683" s="2"/>
      <c r="H683" s="2"/>
      <c r="I683" s="2"/>
      <c r="J683" s="2"/>
      <c r="K683" s="2"/>
      <c r="L683" s="2"/>
      <c r="M683" s="2"/>
      <c r="N683" s="2"/>
      <c r="O683" s="2"/>
      <c r="P683" s="2"/>
      <c r="Q683" s="2"/>
      <c r="R683" s="2"/>
      <c r="S683" s="3"/>
      <c r="T683" s="3"/>
      <c r="U683" s="3"/>
      <c r="V683" s="3"/>
      <c r="W683" s="3"/>
      <c r="X683" s="3"/>
      <c r="Y683" s="3"/>
      <c r="Z683" s="3"/>
    </row>
    <row r="684" ht="15.75" customHeight="1">
      <c r="A684" s="3"/>
      <c r="B684" s="576"/>
      <c r="C684" s="2"/>
      <c r="D684" s="2"/>
      <c r="E684" s="2"/>
      <c r="F684" s="464"/>
      <c r="G684" s="2"/>
      <c r="H684" s="2"/>
      <c r="I684" s="2"/>
      <c r="J684" s="2"/>
      <c r="K684" s="2"/>
      <c r="L684" s="2"/>
      <c r="M684" s="2"/>
      <c r="N684" s="2"/>
      <c r="O684" s="2"/>
      <c r="P684" s="2"/>
      <c r="Q684" s="2"/>
      <c r="R684" s="2"/>
      <c r="S684" s="3"/>
      <c r="T684" s="3"/>
      <c r="U684" s="3"/>
      <c r="V684" s="3"/>
      <c r="W684" s="3"/>
      <c r="X684" s="3"/>
      <c r="Y684" s="3"/>
      <c r="Z684" s="3"/>
    </row>
    <row r="685" ht="15.75" customHeight="1">
      <c r="A685" s="3"/>
      <c r="B685" s="576"/>
      <c r="C685" s="2"/>
      <c r="D685" s="2"/>
      <c r="E685" s="2"/>
      <c r="F685" s="464"/>
      <c r="G685" s="2"/>
      <c r="H685" s="2"/>
      <c r="I685" s="2"/>
      <c r="J685" s="2"/>
      <c r="K685" s="2"/>
      <c r="L685" s="2"/>
      <c r="M685" s="2"/>
      <c r="N685" s="2"/>
      <c r="O685" s="2"/>
      <c r="P685" s="2"/>
      <c r="Q685" s="2"/>
      <c r="R685" s="2"/>
      <c r="S685" s="3"/>
      <c r="T685" s="3"/>
      <c r="U685" s="3"/>
      <c r="V685" s="3"/>
      <c r="W685" s="3"/>
      <c r="X685" s="3"/>
      <c r="Y685" s="3"/>
      <c r="Z685" s="3"/>
    </row>
    <row r="686" ht="15.75" customHeight="1">
      <c r="A686" s="3"/>
      <c r="B686" s="576"/>
      <c r="C686" s="2"/>
      <c r="D686" s="2"/>
      <c r="E686" s="2"/>
      <c r="F686" s="464"/>
      <c r="G686" s="2"/>
      <c r="H686" s="2"/>
      <c r="I686" s="2"/>
      <c r="J686" s="2"/>
      <c r="K686" s="2"/>
      <c r="L686" s="2"/>
      <c r="M686" s="2"/>
      <c r="N686" s="2"/>
      <c r="O686" s="2"/>
      <c r="P686" s="2"/>
      <c r="Q686" s="2"/>
      <c r="R686" s="2"/>
      <c r="S686" s="3"/>
      <c r="T686" s="3"/>
      <c r="U686" s="3"/>
      <c r="V686" s="3"/>
      <c r="W686" s="3"/>
      <c r="X686" s="3"/>
      <c r="Y686" s="3"/>
      <c r="Z686" s="3"/>
    </row>
    <row r="687" ht="15.75" customHeight="1">
      <c r="A687" s="3"/>
      <c r="B687" s="576"/>
      <c r="C687" s="2"/>
      <c r="D687" s="2"/>
      <c r="E687" s="2"/>
      <c r="F687" s="464"/>
      <c r="G687" s="2"/>
      <c r="H687" s="2"/>
      <c r="I687" s="2"/>
      <c r="J687" s="2"/>
      <c r="K687" s="2"/>
      <c r="L687" s="2"/>
      <c r="M687" s="2"/>
      <c r="N687" s="2"/>
      <c r="O687" s="2"/>
      <c r="P687" s="2"/>
      <c r="Q687" s="2"/>
      <c r="R687" s="2"/>
      <c r="S687" s="3"/>
      <c r="T687" s="3"/>
      <c r="U687" s="3"/>
      <c r="V687" s="3"/>
      <c r="W687" s="3"/>
      <c r="X687" s="3"/>
      <c r="Y687" s="3"/>
      <c r="Z687" s="3"/>
    </row>
    <row r="688" ht="15.75" customHeight="1">
      <c r="A688" s="3"/>
      <c r="B688" s="576"/>
      <c r="C688" s="2"/>
      <c r="D688" s="2"/>
      <c r="E688" s="2"/>
      <c r="F688" s="464"/>
      <c r="G688" s="2"/>
      <c r="H688" s="2"/>
      <c r="I688" s="2"/>
      <c r="J688" s="2"/>
      <c r="K688" s="2"/>
      <c r="L688" s="2"/>
      <c r="M688" s="2"/>
      <c r="N688" s="2"/>
      <c r="O688" s="2"/>
      <c r="P688" s="2"/>
      <c r="Q688" s="2"/>
      <c r="R688" s="2"/>
      <c r="S688" s="3"/>
      <c r="T688" s="3"/>
      <c r="U688" s="3"/>
      <c r="V688" s="3"/>
      <c r="W688" s="3"/>
      <c r="X688" s="3"/>
      <c r="Y688" s="3"/>
      <c r="Z688" s="3"/>
    </row>
    <row r="689" ht="15.75" customHeight="1">
      <c r="A689" s="3"/>
      <c r="B689" s="576"/>
      <c r="C689" s="2"/>
      <c r="D689" s="2"/>
      <c r="E689" s="2"/>
      <c r="F689" s="464"/>
      <c r="G689" s="2"/>
      <c r="H689" s="2"/>
      <c r="I689" s="2"/>
      <c r="J689" s="2"/>
      <c r="K689" s="2"/>
      <c r="L689" s="2"/>
      <c r="M689" s="2"/>
      <c r="N689" s="2"/>
      <c r="O689" s="2"/>
      <c r="P689" s="2"/>
      <c r="Q689" s="2"/>
      <c r="R689" s="2"/>
      <c r="S689" s="3"/>
      <c r="T689" s="3"/>
      <c r="U689" s="3"/>
      <c r="V689" s="3"/>
      <c r="W689" s="3"/>
      <c r="X689" s="3"/>
      <c r="Y689" s="3"/>
      <c r="Z689" s="3"/>
    </row>
    <row r="690" ht="15.75" customHeight="1">
      <c r="A690" s="3"/>
      <c r="B690" s="576"/>
      <c r="C690" s="2"/>
      <c r="D690" s="2"/>
      <c r="E690" s="2"/>
      <c r="F690" s="464"/>
      <c r="G690" s="2"/>
      <c r="H690" s="2"/>
      <c r="I690" s="2"/>
      <c r="J690" s="2"/>
      <c r="K690" s="2"/>
      <c r="L690" s="2"/>
      <c r="M690" s="2"/>
      <c r="N690" s="2"/>
      <c r="O690" s="2"/>
      <c r="P690" s="2"/>
      <c r="Q690" s="2"/>
      <c r="R690" s="2"/>
      <c r="S690" s="3"/>
      <c r="T690" s="3"/>
      <c r="U690" s="3"/>
      <c r="V690" s="3"/>
      <c r="W690" s="3"/>
      <c r="X690" s="3"/>
      <c r="Y690" s="3"/>
      <c r="Z690" s="3"/>
    </row>
    <row r="691" ht="15.75" customHeight="1">
      <c r="A691" s="3"/>
      <c r="B691" s="576"/>
      <c r="C691" s="2"/>
      <c r="D691" s="2"/>
      <c r="E691" s="2"/>
      <c r="F691" s="464"/>
      <c r="G691" s="2"/>
      <c r="H691" s="2"/>
      <c r="I691" s="2"/>
      <c r="J691" s="2"/>
      <c r="K691" s="2"/>
      <c r="L691" s="2"/>
      <c r="M691" s="2"/>
      <c r="N691" s="2"/>
      <c r="O691" s="2"/>
      <c r="P691" s="2"/>
      <c r="Q691" s="2"/>
      <c r="R691" s="2"/>
      <c r="S691" s="3"/>
      <c r="T691" s="3"/>
      <c r="U691" s="3"/>
      <c r="V691" s="3"/>
      <c r="W691" s="3"/>
      <c r="X691" s="3"/>
      <c r="Y691" s="3"/>
      <c r="Z691" s="3"/>
    </row>
    <row r="692" ht="15.75" customHeight="1">
      <c r="A692" s="3"/>
      <c r="B692" s="576"/>
      <c r="C692" s="2"/>
      <c r="D692" s="2"/>
      <c r="E692" s="2"/>
      <c r="F692" s="464"/>
      <c r="G692" s="2"/>
      <c r="H692" s="2"/>
      <c r="I692" s="2"/>
      <c r="J692" s="2"/>
      <c r="K692" s="2"/>
      <c r="L692" s="2"/>
      <c r="M692" s="2"/>
      <c r="N692" s="2"/>
      <c r="O692" s="2"/>
      <c r="P692" s="2"/>
      <c r="Q692" s="2"/>
      <c r="R692" s="2"/>
      <c r="S692" s="3"/>
      <c r="T692" s="3"/>
      <c r="U692" s="3"/>
      <c r="V692" s="3"/>
      <c r="W692" s="3"/>
      <c r="X692" s="3"/>
      <c r="Y692" s="3"/>
      <c r="Z692" s="3"/>
    </row>
    <row r="693" ht="15.75" customHeight="1">
      <c r="A693" s="3"/>
      <c r="B693" s="576"/>
      <c r="C693" s="2"/>
      <c r="D693" s="2"/>
      <c r="E693" s="2"/>
      <c r="F693" s="464"/>
      <c r="G693" s="2"/>
      <c r="H693" s="2"/>
      <c r="I693" s="2"/>
      <c r="J693" s="2"/>
      <c r="K693" s="2"/>
      <c r="L693" s="2"/>
      <c r="M693" s="2"/>
      <c r="N693" s="2"/>
      <c r="O693" s="2"/>
      <c r="P693" s="2"/>
      <c r="Q693" s="2"/>
      <c r="R693" s="2"/>
      <c r="S693" s="3"/>
      <c r="T693" s="3"/>
      <c r="U693" s="3"/>
      <c r="V693" s="3"/>
      <c r="W693" s="3"/>
      <c r="X693" s="3"/>
      <c r="Y693" s="3"/>
      <c r="Z693" s="3"/>
    </row>
    <row r="694" ht="15.75" customHeight="1">
      <c r="A694" s="3"/>
      <c r="B694" s="576"/>
      <c r="C694" s="2"/>
      <c r="D694" s="2"/>
      <c r="E694" s="2"/>
      <c r="F694" s="464"/>
      <c r="G694" s="2"/>
      <c r="H694" s="2"/>
      <c r="I694" s="2"/>
      <c r="J694" s="2"/>
      <c r="K694" s="2"/>
      <c r="L694" s="2"/>
      <c r="M694" s="2"/>
      <c r="N694" s="2"/>
      <c r="O694" s="2"/>
      <c r="P694" s="2"/>
      <c r="Q694" s="2"/>
      <c r="R694" s="2"/>
      <c r="S694" s="3"/>
      <c r="T694" s="3"/>
      <c r="U694" s="3"/>
      <c r="V694" s="3"/>
      <c r="W694" s="3"/>
      <c r="X694" s="3"/>
      <c r="Y694" s="3"/>
      <c r="Z694" s="3"/>
    </row>
    <row r="695" ht="15.75" customHeight="1">
      <c r="A695" s="3"/>
      <c r="B695" s="576"/>
      <c r="C695" s="2"/>
      <c r="D695" s="2"/>
      <c r="E695" s="2"/>
      <c r="F695" s="464"/>
      <c r="G695" s="2"/>
      <c r="H695" s="2"/>
      <c r="I695" s="2"/>
      <c r="J695" s="2"/>
      <c r="K695" s="2"/>
      <c r="L695" s="2"/>
      <c r="M695" s="2"/>
      <c r="N695" s="2"/>
      <c r="O695" s="2"/>
      <c r="P695" s="2"/>
      <c r="Q695" s="2"/>
      <c r="R695" s="2"/>
      <c r="S695" s="3"/>
      <c r="T695" s="3"/>
      <c r="U695" s="3"/>
      <c r="V695" s="3"/>
      <c r="W695" s="3"/>
      <c r="X695" s="3"/>
      <c r="Y695" s="3"/>
      <c r="Z695" s="3"/>
    </row>
    <row r="696" ht="15.75" customHeight="1">
      <c r="A696" s="3"/>
      <c r="B696" s="576"/>
      <c r="C696" s="2"/>
      <c r="D696" s="2"/>
      <c r="E696" s="2"/>
      <c r="F696" s="464"/>
      <c r="G696" s="2"/>
      <c r="H696" s="2"/>
      <c r="I696" s="2"/>
      <c r="J696" s="2"/>
      <c r="K696" s="2"/>
      <c r="L696" s="2"/>
      <c r="M696" s="2"/>
      <c r="N696" s="2"/>
      <c r="O696" s="2"/>
      <c r="P696" s="2"/>
      <c r="Q696" s="2"/>
      <c r="R696" s="2"/>
      <c r="S696" s="3"/>
      <c r="T696" s="3"/>
      <c r="U696" s="3"/>
      <c r="V696" s="3"/>
      <c r="W696" s="3"/>
      <c r="X696" s="3"/>
      <c r="Y696" s="3"/>
      <c r="Z696" s="3"/>
    </row>
    <row r="697" ht="15.75" customHeight="1">
      <c r="A697" s="3"/>
      <c r="B697" s="576"/>
      <c r="C697" s="2"/>
      <c r="D697" s="2"/>
      <c r="E697" s="2"/>
      <c r="F697" s="464"/>
      <c r="G697" s="2"/>
      <c r="H697" s="2"/>
      <c r="I697" s="2"/>
      <c r="J697" s="2"/>
      <c r="K697" s="2"/>
      <c r="L697" s="2"/>
      <c r="M697" s="2"/>
      <c r="N697" s="2"/>
      <c r="O697" s="2"/>
      <c r="P697" s="2"/>
      <c r="Q697" s="2"/>
      <c r="R697" s="2"/>
      <c r="S697" s="3"/>
      <c r="T697" s="3"/>
      <c r="U697" s="3"/>
      <c r="V697" s="3"/>
      <c r="W697" s="3"/>
      <c r="X697" s="3"/>
      <c r="Y697" s="3"/>
      <c r="Z697" s="3"/>
    </row>
    <row r="698" ht="15.75" customHeight="1">
      <c r="A698" s="3"/>
      <c r="B698" s="576"/>
      <c r="C698" s="2"/>
      <c r="D698" s="2"/>
      <c r="E698" s="2"/>
      <c r="F698" s="464"/>
      <c r="G698" s="2"/>
      <c r="H698" s="2"/>
      <c r="I698" s="2"/>
      <c r="J698" s="2"/>
      <c r="K698" s="2"/>
      <c r="L698" s="2"/>
      <c r="M698" s="2"/>
      <c r="N698" s="2"/>
      <c r="O698" s="2"/>
      <c r="P698" s="2"/>
      <c r="Q698" s="2"/>
      <c r="R698" s="2"/>
      <c r="S698" s="3"/>
      <c r="T698" s="3"/>
      <c r="U698" s="3"/>
      <c r="V698" s="3"/>
      <c r="W698" s="3"/>
      <c r="X698" s="3"/>
      <c r="Y698" s="3"/>
      <c r="Z698" s="3"/>
    </row>
    <row r="699" ht="15.75" customHeight="1">
      <c r="A699" s="3"/>
      <c r="B699" s="576"/>
      <c r="C699" s="2"/>
      <c r="D699" s="2"/>
      <c r="E699" s="2"/>
      <c r="F699" s="464"/>
      <c r="G699" s="2"/>
      <c r="H699" s="2"/>
      <c r="I699" s="2"/>
      <c r="J699" s="2"/>
      <c r="K699" s="2"/>
      <c r="L699" s="2"/>
      <c r="M699" s="2"/>
      <c r="N699" s="2"/>
      <c r="O699" s="2"/>
      <c r="P699" s="2"/>
      <c r="Q699" s="2"/>
      <c r="R699" s="2"/>
      <c r="S699" s="3"/>
      <c r="T699" s="3"/>
      <c r="U699" s="3"/>
      <c r="V699" s="3"/>
      <c r="W699" s="3"/>
      <c r="X699" s="3"/>
      <c r="Y699" s="3"/>
      <c r="Z699" s="3"/>
    </row>
    <row r="700" ht="15.75" customHeight="1">
      <c r="A700" s="3"/>
      <c r="B700" s="576"/>
      <c r="C700" s="2"/>
      <c r="D700" s="2"/>
      <c r="E700" s="2"/>
      <c r="F700" s="464"/>
      <c r="G700" s="2"/>
      <c r="H700" s="2"/>
      <c r="I700" s="2"/>
      <c r="J700" s="2"/>
      <c r="K700" s="2"/>
      <c r="L700" s="2"/>
      <c r="M700" s="2"/>
      <c r="N700" s="2"/>
      <c r="O700" s="2"/>
      <c r="P700" s="2"/>
      <c r="Q700" s="2"/>
      <c r="R700" s="2"/>
      <c r="S700" s="3"/>
      <c r="T700" s="3"/>
      <c r="U700" s="3"/>
      <c r="V700" s="3"/>
      <c r="W700" s="3"/>
      <c r="X700" s="3"/>
      <c r="Y700" s="3"/>
      <c r="Z700" s="3"/>
    </row>
    <row r="701" ht="15.75" customHeight="1">
      <c r="A701" s="3"/>
      <c r="B701" s="576"/>
      <c r="C701" s="2"/>
      <c r="D701" s="2"/>
      <c r="E701" s="2"/>
      <c r="F701" s="464"/>
      <c r="G701" s="2"/>
      <c r="H701" s="2"/>
      <c r="I701" s="2"/>
      <c r="J701" s="2"/>
      <c r="K701" s="2"/>
      <c r="L701" s="2"/>
      <c r="M701" s="2"/>
      <c r="N701" s="2"/>
      <c r="O701" s="2"/>
      <c r="P701" s="2"/>
      <c r="Q701" s="2"/>
      <c r="R701" s="2"/>
      <c r="S701" s="3"/>
      <c r="T701" s="3"/>
      <c r="U701" s="3"/>
      <c r="V701" s="3"/>
      <c r="W701" s="3"/>
      <c r="X701" s="3"/>
      <c r="Y701" s="3"/>
      <c r="Z701" s="3"/>
    </row>
    <row r="702" ht="15.75" customHeight="1">
      <c r="A702" s="3"/>
      <c r="B702" s="576"/>
      <c r="C702" s="2"/>
      <c r="D702" s="2"/>
      <c r="E702" s="2"/>
      <c r="F702" s="464"/>
      <c r="G702" s="2"/>
      <c r="H702" s="2"/>
      <c r="I702" s="2"/>
      <c r="J702" s="2"/>
      <c r="K702" s="2"/>
      <c r="L702" s="2"/>
      <c r="M702" s="2"/>
      <c r="N702" s="2"/>
      <c r="O702" s="2"/>
      <c r="P702" s="2"/>
      <c r="Q702" s="2"/>
      <c r="R702" s="2"/>
      <c r="S702" s="3"/>
      <c r="T702" s="3"/>
      <c r="U702" s="3"/>
      <c r="V702" s="3"/>
      <c r="W702" s="3"/>
      <c r="X702" s="3"/>
      <c r="Y702" s="3"/>
      <c r="Z702" s="3"/>
    </row>
    <row r="703" ht="15.75" customHeight="1">
      <c r="A703" s="3"/>
      <c r="B703" s="576"/>
      <c r="C703" s="2"/>
      <c r="D703" s="2"/>
      <c r="E703" s="2"/>
      <c r="F703" s="464"/>
      <c r="G703" s="2"/>
      <c r="H703" s="2"/>
      <c r="I703" s="2"/>
      <c r="J703" s="2"/>
      <c r="K703" s="2"/>
      <c r="L703" s="2"/>
      <c r="M703" s="2"/>
      <c r="N703" s="2"/>
      <c r="O703" s="2"/>
      <c r="P703" s="2"/>
      <c r="Q703" s="2"/>
      <c r="R703" s="2"/>
      <c r="S703" s="3"/>
      <c r="T703" s="3"/>
      <c r="U703" s="3"/>
      <c r="V703" s="3"/>
      <c r="W703" s="3"/>
      <c r="X703" s="3"/>
      <c r="Y703" s="3"/>
      <c r="Z703" s="3"/>
    </row>
    <row r="704" ht="15.75" customHeight="1">
      <c r="A704" s="3"/>
      <c r="B704" s="576"/>
      <c r="C704" s="2"/>
      <c r="D704" s="2"/>
      <c r="E704" s="2"/>
      <c r="F704" s="464"/>
      <c r="G704" s="2"/>
      <c r="H704" s="2"/>
      <c r="I704" s="2"/>
      <c r="J704" s="2"/>
      <c r="K704" s="2"/>
      <c r="L704" s="2"/>
      <c r="M704" s="2"/>
      <c r="N704" s="2"/>
      <c r="O704" s="2"/>
      <c r="P704" s="2"/>
      <c r="Q704" s="2"/>
      <c r="R704" s="2"/>
      <c r="S704" s="3"/>
      <c r="T704" s="3"/>
      <c r="U704" s="3"/>
      <c r="V704" s="3"/>
      <c r="W704" s="3"/>
      <c r="X704" s="3"/>
      <c r="Y704" s="3"/>
      <c r="Z704" s="3"/>
    </row>
    <row r="705" ht="15.75" customHeight="1">
      <c r="A705" s="3"/>
      <c r="B705" s="576"/>
      <c r="C705" s="2"/>
      <c r="D705" s="2"/>
      <c r="E705" s="2"/>
      <c r="F705" s="464"/>
      <c r="G705" s="2"/>
      <c r="H705" s="2"/>
      <c r="I705" s="2"/>
      <c r="J705" s="2"/>
      <c r="K705" s="2"/>
      <c r="L705" s="2"/>
      <c r="M705" s="2"/>
      <c r="N705" s="2"/>
      <c r="O705" s="2"/>
      <c r="P705" s="2"/>
      <c r="Q705" s="2"/>
      <c r="R705" s="2"/>
      <c r="S705" s="3"/>
      <c r="T705" s="3"/>
      <c r="U705" s="3"/>
      <c r="V705" s="3"/>
      <c r="W705" s="3"/>
      <c r="X705" s="3"/>
      <c r="Y705" s="3"/>
      <c r="Z705" s="3"/>
    </row>
    <row r="706" ht="15.75" customHeight="1">
      <c r="A706" s="3"/>
      <c r="B706" s="576"/>
      <c r="C706" s="2"/>
      <c r="D706" s="2"/>
      <c r="E706" s="2"/>
      <c r="F706" s="464"/>
      <c r="G706" s="2"/>
      <c r="H706" s="2"/>
      <c r="I706" s="2"/>
      <c r="J706" s="2"/>
      <c r="K706" s="2"/>
      <c r="L706" s="2"/>
      <c r="M706" s="2"/>
      <c r="N706" s="2"/>
      <c r="O706" s="2"/>
      <c r="P706" s="2"/>
      <c r="Q706" s="2"/>
      <c r="R706" s="2"/>
      <c r="S706" s="3"/>
      <c r="T706" s="3"/>
      <c r="U706" s="3"/>
      <c r="V706" s="3"/>
      <c r="W706" s="3"/>
      <c r="X706" s="3"/>
      <c r="Y706" s="3"/>
      <c r="Z706" s="3"/>
    </row>
    <row r="707" ht="15.75" customHeight="1">
      <c r="A707" s="3"/>
      <c r="B707" s="576"/>
      <c r="C707" s="2"/>
      <c r="D707" s="2"/>
      <c r="E707" s="2"/>
      <c r="F707" s="464"/>
      <c r="G707" s="2"/>
      <c r="H707" s="2"/>
      <c r="I707" s="2"/>
      <c r="J707" s="2"/>
      <c r="K707" s="2"/>
      <c r="L707" s="2"/>
      <c r="M707" s="2"/>
      <c r="N707" s="2"/>
      <c r="O707" s="2"/>
      <c r="P707" s="2"/>
      <c r="Q707" s="2"/>
      <c r="R707" s="2"/>
      <c r="S707" s="3"/>
      <c r="T707" s="3"/>
      <c r="U707" s="3"/>
      <c r="V707" s="3"/>
      <c r="W707" s="3"/>
      <c r="X707" s="3"/>
      <c r="Y707" s="3"/>
      <c r="Z707" s="3"/>
    </row>
    <row r="708" ht="15.75" customHeight="1">
      <c r="A708" s="3"/>
      <c r="B708" s="576"/>
      <c r="C708" s="2"/>
      <c r="D708" s="2"/>
      <c r="E708" s="2"/>
      <c r="F708" s="464"/>
      <c r="G708" s="2"/>
      <c r="H708" s="2"/>
      <c r="I708" s="2"/>
      <c r="J708" s="2"/>
      <c r="K708" s="2"/>
      <c r="L708" s="2"/>
      <c r="M708" s="2"/>
      <c r="N708" s="2"/>
      <c r="O708" s="2"/>
      <c r="P708" s="2"/>
      <c r="Q708" s="2"/>
      <c r="R708" s="2"/>
      <c r="S708" s="3"/>
      <c r="T708" s="3"/>
      <c r="U708" s="3"/>
      <c r="V708" s="3"/>
      <c r="W708" s="3"/>
      <c r="X708" s="3"/>
      <c r="Y708" s="3"/>
      <c r="Z708" s="3"/>
    </row>
    <row r="709" ht="15.75" customHeight="1">
      <c r="A709" s="3"/>
      <c r="B709" s="576"/>
      <c r="C709" s="2"/>
      <c r="D709" s="2"/>
      <c r="E709" s="2"/>
      <c r="F709" s="464"/>
      <c r="G709" s="2"/>
      <c r="H709" s="2"/>
      <c r="I709" s="2"/>
      <c r="J709" s="2"/>
      <c r="K709" s="2"/>
      <c r="L709" s="2"/>
      <c r="M709" s="2"/>
      <c r="N709" s="2"/>
      <c r="O709" s="2"/>
      <c r="P709" s="2"/>
      <c r="Q709" s="2"/>
      <c r="R709" s="2"/>
      <c r="S709" s="3"/>
      <c r="T709" s="3"/>
      <c r="U709" s="3"/>
      <c r="V709" s="3"/>
      <c r="W709" s="3"/>
      <c r="X709" s="3"/>
      <c r="Y709" s="3"/>
      <c r="Z709" s="3"/>
    </row>
    <row r="710" ht="15.75" customHeight="1">
      <c r="A710" s="3"/>
      <c r="B710" s="576"/>
      <c r="C710" s="2"/>
      <c r="D710" s="2"/>
      <c r="E710" s="2"/>
      <c r="F710" s="464"/>
      <c r="G710" s="2"/>
      <c r="H710" s="2"/>
      <c r="I710" s="2"/>
      <c r="J710" s="2"/>
      <c r="K710" s="2"/>
      <c r="L710" s="2"/>
      <c r="M710" s="2"/>
      <c r="N710" s="2"/>
      <c r="O710" s="2"/>
      <c r="P710" s="2"/>
      <c r="Q710" s="2"/>
      <c r="R710" s="2"/>
      <c r="S710" s="3"/>
      <c r="T710" s="3"/>
      <c r="U710" s="3"/>
      <c r="V710" s="3"/>
      <c r="W710" s="3"/>
      <c r="X710" s="3"/>
      <c r="Y710" s="3"/>
      <c r="Z710" s="3"/>
    </row>
    <row r="711" ht="15.75" customHeight="1">
      <c r="A711" s="3"/>
      <c r="B711" s="576"/>
      <c r="C711" s="2"/>
      <c r="D711" s="2"/>
      <c r="E711" s="2"/>
      <c r="F711" s="464"/>
      <c r="G711" s="2"/>
      <c r="H711" s="2"/>
      <c r="I711" s="2"/>
      <c r="J711" s="2"/>
      <c r="K711" s="2"/>
      <c r="L711" s="2"/>
      <c r="M711" s="2"/>
      <c r="N711" s="2"/>
      <c r="O711" s="2"/>
      <c r="P711" s="2"/>
      <c r="Q711" s="2"/>
      <c r="R711" s="2"/>
      <c r="S711" s="3"/>
      <c r="T711" s="3"/>
      <c r="U711" s="3"/>
      <c r="V711" s="3"/>
      <c r="W711" s="3"/>
      <c r="X711" s="3"/>
      <c r="Y711" s="3"/>
      <c r="Z711" s="3"/>
    </row>
    <row r="712" ht="15.75" customHeight="1">
      <c r="A712" s="3"/>
      <c r="B712" s="576"/>
      <c r="C712" s="2"/>
      <c r="D712" s="2"/>
      <c r="E712" s="2"/>
      <c r="F712" s="464"/>
      <c r="G712" s="2"/>
      <c r="H712" s="2"/>
      <c r="I712" s="2"/>
      <c r="J712" s="2"/>
      <c r="K712" s="2"/>
      <c r="L712" s="2"/>
      <c r="M712" s="2"/>
      <c r="N712" s="2"/>
      <c r="O712" s="2"/>
      <c r="P712" s="2"/>
      <c r="Q712" s="2"/>
      <c r="R712" s="2"/>
      <c r="S712" s="3"/>
      <c r="T712" s="3"/>
      <c r="U712" s="3"/>
      <c r="V712" s="3"/>
      <c r="W712" s="3"/>
      <c r="X712" s="3"/>
      <c r="Y712" s="3"/>
      <c r="Z712" s="3"/>
    </row>
    <row r="713" ht="15.75" customHeight="1">
      <c r="A713" s="3"/>
      <c r="B713" s="576"/>
      <c r="C713" s="2"/>
      <c r="D713" s="2"/>
      <c r="E713" s="2"/>
      <c r="F713" s="464"/>
      <c r="G713" s="2"/>
      <c r="H713" s="2"/>
      <c r="I713" s="2"/>
      <c r="J713" s="2"/>
      <c r="K713" s="2"/>
      <c r="L713" s="2"/>
      <c r="M713" s="2"/>
      <c r="N713" s="2"/>
      <c r="O713" s="2"/>
      <c r="P713" s="2"/>
      <c r="Q713" s="2"/>
      <c r="R713" s="2"/>
      <c r="S713" s="3"/>
      <c r="T713" s="3"/>
      <c r="U713" s="3"/>
      <c r="V713" s="3"/>
      <c r="W713" s="3"/>
      <c r="X713" s="3"/>
      <c r="Y713" s="3"/>
      <c r="Z713" s="3"/>
    </row>
    <row r="714" ht="15.75" customHeight="1">
      <c r="A714" s="3"/>
      <c r="B714" s="576"/>
      <c r="C714" s="2"/>
      <c r="D714" s="2"/>
      <c r="E714" s="2"/>
      <c r="F714" s="464"/>
      <c r="G714" s="2"/>
      <c r="H714" s="2"/>
      <c r="I714" s="2"/>
      <c r="J714" s="2"/>
      <c r="K714" s="2"/>
      <c r="L714" s="2"/>
      <c r="M714" s="2"/>
      <c r="N714" s="2"/>
      <c r="O714" s="2"/>
      <c r="P714" s="2"/>
      <c r="Q714" s="2"/>
      <c r="R714" s="2"/>
      <c r="S714" s="3"/>
      <c r="T714" s="3"/>
      <c r="U714" s="3"/>
      <c r="V714" s="3"/>
      <c r="W714" s="3"/>
      <c r="X714" s="3"/>
      <c r="Y714" s="3"/>
      <c r="Z714" s="3"/>
    </row>
    <row r="715" ht="15.75" customHeight="1">
      <c r="A715" s="3"/>
      <c r="B715" s="576"/>
      <c r="C715" s="2"/>
      <c r="D715" s="2"/>
      <c r="E715" s="2"/>
      <c r="F715" s="464"/>
      <c r="G715" s="2"/>
      <c r="H715" s="2"/>
      <c r="I715" s="2"/>
      <c r="J715" s="2"/>
      <c r="K715" s="2"/>
      <c r="L715" s="2"/>
      <c r="M715" s="2"/>
      <c r="N715" s="2"/>
      <c r="O715" s="2"/>
      <c r="P715" s="2"/>
      <c r="Q715" s="2"/>
      <c r="R715" s="2"/>
      <c r="S715" s="3"/>
      <c r="T715" s="3"/>
      <c r="U715" s="3"/>
      <c r="V715" s="3"/>
      <c r="W715" s="3"/>
      <c r="X715" s="3"/>
      <c r="Y715" s="3"/>
      <c r="Z715" s="3"/>
    </row>
    <row r="716" ht="15.75" customHeight="1">
      <c r="A716" s="3"/>
      <c r="B716" s="576"/>
      <c r="C716" s="2"/>
      <c r="D716" s="2"/>
      <c r="E716" s="2"/>
      <c r="F716" s="464"/>
      <c r="G716" s="2"/>
      <c r="H716" s="2"/>
      <c r="I716" s="2"/>
      <c r="J716" s="2"/>
      <c r="K716" s="2"/>
      <c r="L716" s="2"/>
      <c r="M716" s="2"/>
      <c r="N716" s="2"/>
      <c r="O716" s="2"/>
      <c r="P716" s="2"/>
      <c r="Q716" s="2"/>
      <c r="R716" s="2"/>
      <c r="S716" s="3"/>
      <c r="T716" s="3"/>
      <c r="U716" s="3"/>
      <c r="V716" s="3"/>
      <c r="W716" s="3"/>
      <c r="X716" s="3"/>
      <c r="Y716" s="3"/>
      <c r="Z716" s="3"/>
    </row>
    <row r="717" ht="15.75" customHeight="1">
      <c r="A717" s="3"/>
      <c r="B717" s="576"/>
      <c r="C717" s="2"/>
      <c r="D717" s="2"/>
      <c r="E717" s="2"/>
      <c r="F717" s="464"/>
      <c r="G717" s="2"/>
      <c r="H717" s="2"/>
      <c r="I717" s="2"/>
      <c r="J717" s="2"/>
      <c r="K717" s="2"/>
      <c r="L717" s="2"/>
      <c r="M717" s="2"/>
      <c r="N717" s="2"/>
      <c r="O717" s="2"/>
      <c r="P717" s="2"/>
      <c r="Q717" s="2"/>
      <c r="R717" s="2"/>
      <c r="S717" s="3"/>
      <c r="T717" s="3"/>
      <c r="U717" s="3"/>
      <c r="V717" s="3"/>
      <c r="W717" s="3"/>
      <c r="X717" s="3"/>
      <c r="Y717" s="3"/>
      <c r="Z717" s="3"/>
    </row>
    <row r="718" ht="15.75" customHeight="1">
      <c r="A718" s="3"/>
      <c r="B718" s="576"/>
      <c r="C718" s="2"/>
      <c r="D718" s="2"/>
      <c r="E718" s="2"/>
      <c r="F718" s="464"/>
      <c r="G718" s="2"/>
      <c r="H718" s="2"/>
      <c r="I718" s="2"/>
      <c r="J718" s="2"/>
      <c r="K718" s="2"/>
      <c r="L718" s="2"/>
      <c r="M718" s="2"/>
      <c r="N718" s="2"/>
      <c r="O718" s="2"/>
      <c r="P718" s="2"/>
      <c r="Q718" s="2"/>
      <c r="R718" s="2"/>
      <c r="S718" s="3"/>
      <c r="T718" s="3"/>
      <c r="U718" s="3"/>
      <c r="V718" s="3"/>
      <c r="W718" s="3"/>
      <c r="X718" s="3"/>
      <c r="Y718" s="3"/>
      <c r="Z718" s="3"/>
    </row>
    <row r="719" ht="15.75" customHeight="1">
      <c r="A719" s="3"/>
      <c r="B719" s="576"/>
      <c r="C719" s="2"/>
      <c r="D719" s="2"/>
      <c r="E719" s="2"/>
      <c r="F719" s="464"/>
      <c r="G719" s="2"/>
      <c r="H719" s="2"/>
      <c r="I719" s="2"/>
      <c r="J719" s="2"/>
      <c r="K719" s="2"/>
      <c r="L719" s="2"/>
      <c r="M719" s="2"/>
      <c r="N719" s="2"/>
      <c r="O719" s="2"/>
      <c r="P719" s="2"/>
      <c r="Q719" s="2"/>
      <c r="R719" s="2"/>
      <c r="S719" s="3"/>
      <c r="T719" s="3"/>
      <c r="U719" s="3"/>
      <c r="V719" s="3"/>
      <c r="W719" s="3"/>
      <c r="X719" s="3"/>
      <c r="Y719" s="3"/>
      <c r="Z719" s="3"/>
    </row>
    <row r="720" ht="15.75" customHeight="1">
      <c r="A720" s="3"/>
      <c r="B720" s="576"/>
      <c r="C720" s="2"/>
      <c r="D720" s="2"/>
      <c r="E720" s="2"/>
      <c r="F720" s="464"/>
      <c r="G720" s="2"/>
      <c r="H720" s="2"/>
      <c r="I720" s="2"/>
      <c r="J720" s="2"/>
      <c r="K720" s="2"/>
      <c r="L720" s="2"/>
      <c r="M720" s="2"/>
      <c r="N720" s="2"/>
      <c r="O720" s="2"/>
      <c r="P720" s="2"/>
      <c r="Q720" s="2"/>
      <c r="R720" s="2"/>
      <c r="S720" s="3"/>
      <c r="T720" s="3"/>
      <c r="U720" s="3"/>
      <c r="V720" s="3"/>
      <c r="W720" s="3"/>
      <c r="X720" s="3"/>
      <c r="Y720" s="3"/>
      <c r="Z720" s="3"/>
    </row>
    <row r="721" ht="15.75" customHeight="1">
      <c r="A721" s="3"/>
      <c r="B721" s="576"/>
      <c r="C721" s="2"/>
      <c r="D721" s="2"/>
      <c r="E721" s="2"/>
      <c r="F721" s="464"/>
      <c r="G721" s="2"/>
      <c r="H721" s="2"/>
      <c r="I721" s="2"/>
      <c r="J721" s="2"/>
      <c r="K721" s="2"/>
      <c r="L721" s="2"/>
      <c r="M721" s="2"/>
      <c r="N721" s="2"/>
      <c r="O721" s="2"/>
      <c r="P721" s="2"/>
      <c r="Q721" s="2"/>
      <c r="R721" s="2"/>
      <c r="S721" s="3"/>
      <c r="T721" s="3"/>
      <c r="U721" s="3"/>
      <c r="V721" s="3"/>
      <c r="W721" s="3"/>
      <c r="X721" s="3"/>
      <c r="Y721" s="3"/>
      <c r="Z721" s="3"/>
    </row>
    <row r="722" ht="15.75" customHeight="1">
      <c r="A722" s="3"/>
      <c r="B722" s="576"/>
      <c r="C722" s="2"/>
      <c r="D722" s="2"/>
      <c r="E722" s="2"/>
      <c r="F722" s="464"/>
      <c r="G722" s="2"/>
      <c r="H722" s="2"/>
      <c r="I722" s="2"/>
      <c r="J722" s="2"/>
      <c r="K722" s="2"/>
      <c r="L722" s="2"/>
      <c r="M722" s="2"/>
      <c r="N722" s="2"/>
      <c r="O722" s="2"/>
      <c r="P722" s="2"/>
      <c r="Q722" s="2"/>
      <c r="R722" s="2"/>
      <c r="S722" s="3"/>
      <c r="T722" s="3"/>
      <c r="U722" s="3"/>
      <c r="V722" s="3"/>
      <c r="W722" s="3"/>
      <c r="X722" s="3"/>
      <c r="Y722" s="3"/>
      <c r="Z722" s="3"/>
    </row>
    <row r="723" ht="15.75" customHeight="1">
      <c r="A723" s="3"/>
      <c r="B723" s="576"/>
      <c r="C723" s="2"/>
      <c r="D723" s="2"/>
      <c r="E723" s="2"/>
      <c r="F723" s="464"/>
      <c r="G723" s="2"/>
      <c r="H723" s="2"/>
      <c r="I723" s="2"/>
      <c r="J723" s="2"/>
      <c r="K723" s="2"/>
      <c r="L723" s="2"/>
      <c r="M723" s="2"/>
      <c r="N723" s="2"/>
      <c r="O723" s="2"/>
      <c r="P723" s="2"/>
      <c r="Q723" s="2"/>
      <c r="R723" s="2"/>
      <c r="S723" s="3"/>
      <c r="T723" s="3"/>
      <c r="U723" s="3"/>
      <c r="V723" s="3"/>
      <c r="W723" s="3"/>
      <c r="X723" s="3"/>
      <c r="Y723" s="3"/>
      <c r="Z723" s="3"/>
    </row>
    <row r="724" ht="15.75" customHeight="1">
      <c r="A724" s="3"/>
      <c r="B724" s="576"/>
      <c r="C724" s="2"/>
      <c r="D724" s="2"/>
      <c r="E724" s="2"/>
      <c r="F724" s="464"/>
      <c r="G724" s="2"/>
      <c r="H724" s="2"/>
      <c r="I724" s="2"/>
      <c r="J724" s="2"/>
      <c r="K724" s="2"/>
      <c r="L724" s="2"/>
      <c r="M724" s="2"/>
      <c r="N724" s="2"/>
      <c r="O724" s="2"/>
      <c r="P724" s="2"/>
      <c r="Q724" s="2"/>
      <c r="R724" s="2"/>
      <c r="S724" s="3"/>
      <c r="T724" s="3"/>
      <c r="U724" s="3"/>
      <c r="V724" s="3"/>
      <c r="W724" s="3"/>
      <c r="X724" s="3"/>
      <c r="Y724" s="3"/>
      <c r="Z724" s="3"/>
    </row>
    <row r="725" ht="15.75" customHeight="1">
      <c r="A725" s="3"/>
      <c r="B725" s="576"/>
      <c r="C725" s="2"/>
      <c r="D725" s="2"/>
      <c r="E725" s="2"/>
      <c r="F725" s="464"/>
      <c r="G725" s="2"/>
      <c r="H725" s="2"/>
      <c r="I725" s="2"/>
      <c r="J725" s="2"/>
      <c r="K725" s="2"/>
      <c r="L725" s="2"/>
      <c r="M725" s="2"/>
      <c r="N725" s="2"/>
      <c r="O725" s="2"/>
      <c r="P725" s="2"/>
      <c r="Q725" s="2"/>
      <c r="R725" s="2"/>
      <c r="S725" s="3"/>
      <c r="T725" s="3"/>
      <c r="U725" s="3"/>
      <c r="V725" s="3"/>
      <c r="W725" s="3"/>
      <c r="X725" s="3"/>
      <c r="Y725" s="3"/>
      <c r="Z725" s="3"/>
    </row>
    <row r="726" ht="15.75" customHeight="1">
      <c r="A726" s="3"/>
      <c r="B726" s="576"/>
      <c r="C726" s="2"/>
      <c r="D726" s="2"/>
      <c r="E726" s="2"/>
      <c r="F726" s="464"/>
      <c r="G726" s="2"/>
      <c r="H726" s="2"/>
      <c r="I726" s="2"/>
      <c r="J726" s="2"/>
      <c r="K726" s="2"/>
      <c r="L726" s="2"/>
      <c r="M726" s="2"/>
      <c r="N726" s="2"/>
      <c r="O726" s="2"/>
      <c r="P726" s="2"/>
      <c r="Q726" s="2"/>
      <c r="R726" s="2"/>
      <c r="S726" s="3"/>
      <c r="T726" s="3"/>
      <c r="U726" s="3"/>
      <c r="V726" s="3"/>
      <c r="W726" s="3"/>
      <c r="X726" s="3"/>
      <c r="Y726" s="3"/>
      <c r="Z726" s="3"/>
    </row>
    <row r="727" ht="15.75" customHeight="1">
      <c r="A727" s="3"/>
      <c r="B727" s="576"/>
      <c r="C727" s="2"/>
      <c r="D727" s="2"/>
      <c r="E727" s="2"/>
      <c r="F727" s="464"/>
      <c r="G727" s="2"/>
      <c r="H727" s="2"/>
      <c r="I727" s="2"/>
      <c r="J727" s="2"/>
      <c r="K727" s="2"/>
      <c r="L727" s="2"/>
      <c r="M727" s="2"/>
      <c r="N727" s="2"/>
      <c r="O727" s="2"/>
      <c r="P727" s="2"/>
      <c r="Q727" s="2"/>
      <c r="R727" s="2"/>
      <c r="S727" s="3"/>
      <c r="T727" s="3"/>
      <c r="U727" s="3"/>
      <c r="V727" s="3"/>
      <c r="W727" s="3"/>
      <c r="X727" s="3"/>
      <c r="Y727" s="3"/>
      <c r="Z727" s="3"/>
    </row>
    <row r="728" ht="15.75" customHeight="1">
      <c r="A728" s="3"/>
      <c r="B728" s="576"/>
      <c r="C728" s="2"/>
      <c r="D728" s="2"/>
      <c r="E728" s="2"/>
      <c r="F728" s="464"/>
      <c r="G728" s="2"/>
      <c r="H728" s="2"/>
      <c r="I728" s="2"/>
      <c r="J728" s="2"/>
      <c r="K728" s="2"/>
      <c r="L728" s="2"/>
      <c r="M728" s="2"/>
      <c r="N728" s="2"/>
      <c r="O728" s="2"/>
      <c r="P728" s="2"/>
      <c r="Q728" s="2"/>
      <c r="R728" s="2"/>
      <c r="S728" s="3"/>
      <c r="T728" s="3"/>
      <c r="U728" s="3"/>
      <c r="V728" s="3"/>
      <c r="W728" s="3"/>
      <c r="X728" s="3"/>
      <c r="Y728" s="3"/>
      <c r="Z728" s="3"/>
    </row>
    <row r="729" ht="15.75" customHeight="1">
      <c r="A729" s="3"/>
      <c r="B729" s="576"/>
      <c r="C729" s="2"/>
      <c r="D729" s="2"/>
      <c r="E729" s="2"/>
      <c r="F729" s="464"/>
      <c r="G729" s="2"/>
      <c r="H729" s="2"/>
      <c r="I729" s="2"/>
      <c r="J729" s="2"/>
      <c r="K729" s="2"/>
      <c r="L729" s="2"/>
      <c r="M729" s="2"/>
      <c r="N729" s="2"/>
      <c r="O729" s="2"/>
      <c r="P729" s="2"/>
      <c r="Q729" s="2"/>
      <c r="R729" s="2"/>
      <c r="S729" s="3"/>
      <c r="T729" s="3"/>
      <c r="U729" s="3"/>
      <c r="V729" s="3"/>
      <c r="W729" s="3"/>
      <c r="X729" s="3"/>
      <c r="Y729" s="3"/>
      <c r="Z729" s="3"/>
    </row>
    <row r="730" ht="15.75" customHeight="1">
      <c r="A730" s="3"/>
      <c r="B730" s="576"/>
      <c r="C730" s="2"/>
      <c r="D730" s="2"/>
      <c r="E730" s="2"/>
      <c r="F730" s="464"/>
      <c r="G730" s="2"/>
      <c r="H730" s="2"/>
      <c r="I730" s="2"/>
      <c r="J730" s="2"/>
      <c r="K730" s="2"/>
      <c r="L730" s="2"/>
      <c r="M730" s="2"/>
      <c r="N730" s="2"/>
      <c r="O730" s="2"/>
      <c r="P730" s="2"/>
      <c r="Q730" s="2"/>
      <c r="R730" s="2"/>
      <c r="S730" s="3"/>
      <c r="T730" s="3"/>
      <c r="U730" s="3"/>
      <c r="V730" s="3"/>
      <c r="W730" s="3"/>
      <c r="X730" s="3"/>
      <c r="Y730" s="3"/>
      <c r="Z730" s="3"/>
    </row>
    <row r="731" ht="15.75" customHeight="1">
      <c r="A731" s="3"/>
      <c r="B731" s="576"/>
      <c r="C731" s="2"/>
      <c r="D731" s="2"/>
      <c r="E731" s="2"/>
      <c r="F731" s="464"/>
      <c r="G731" s="2"/>
      <c r="H731" s="2"/>
      <c r="I731" s="2"/>
      <c r="J731" s="2"/>
      <c r="K731" s="2"/>
      <c r="L731" s="2"/>
      <c r="M731" s="2"/>
      <c r="N731" s="2"/>
      <c r="O731" s="2"/>
      <c r="P731" s="2"/>
      <c r="Q731" s="2"/>
      <c r="R731" s="2"/>
      <c r="S731" s="3"/>
      <c r="T731" s="3"/>
      <c r="U731" s="3"/>
      <c r="V731" s="3"/>
      <c r="W731" s="3"/>
      <c r="X731" s="3"/>
      <c r="Y731" s="3"/>
      <c r="Z731" s="3"/>
    </row>
    <row r="732" ht="15.75" customHeight="1">
      <c r="A732" s="3"/>
      <c r="B732" s="576"/>
      <c r="C732" s="2"/>
      <c r="D732" s="2"/>
      <c r="E732" s="2"/>
      <c r="F732" s="464"/>
      <c r="G732" s="2"/>
      <c r="H732" s="2"/>
      <c r="I732" s="2"/>
      <c r="J732" s="2"/>
      <c r="K732" s="2"/>
      <c r="L732" s="2"/>
      <c r="M732" s="2"/>
      <c r="N732" s="2"/>
      <c r="O732" s="2"/>
      <c r="P732" s="2"/>
      <c r="Q732" s="2"/>
      <c r="R732" s="2"/>
      <c r="S732" s="3"/>
      <c r="T732" s="3"/>
      <c r="U732" s="3"/>
      <c r="V732" s="3"/>
      <c r="W732" s="3"/>
      <c r="X732" s="3"/>
      <c r="Y732" s="3"/>
      <c r="Z732" s="3"/>
    </row>
    <row r="733" ht="15.75" customHeight="1">
      <c r="A733" s="3"/>
      <c r="B733" s="576"/>
      <c r="C733" s="2"/>
      <c r="D733" s="2"/>
      <c r="E733" s="2"/>
      <c r="F733" s="464"/>
      <c r="G733" s="2"/>
      <c r="H733" s="2"/>
      <c r="I733" s="2"/>
      <c r="J733" s="2"/>
      <c r="K733" s="2"/>
      <c r="L733" s="2"/>
      <c r="M733" s="2"/>
      <c r="N733" s="2"/>
      <c r="O733" s="2"/>
      <c r="P733" s="2"/>
      <c r="Q733" s="2"/>
      <c r="R733" s="2"/>
      <c r="S733" s="3"/>
      <c r="T733" s="3"/>
      <c r="U733" s="3"/>
      <c r="V733" s="3"/>
      <c r="W733" s="3"/>
      <c r="X733" s="3"/>
      <c r="Y733" s="3"/>
      <c r="Z733" s="3"/>
    </row>
    <row r="734" ht="15.75" customHeight="1">
      <c r="A734" s="3"/>
      <c r="B734" s="576"/>
      <c r="C734" s="2"/>
      <c r="D734" s="2"/>
      <c r="E734" s="2"/>
      <c r="F734" s="464"/>
      <c r="G734" s="2"/>
      <c r="H734" s="2"/>
      <c r="I734" s="2"/>
      <c r="J734" s="2"/>
      <c r="K734" s="2"/>
      <c r="L734" s="2"/>
      <c r="M734" s="2"/>
      <c r="N734" s="2"/>
      <c r="O734" s="2"/>
      <c r="P734" s="2"/>
      <c r="Q734" s="2"/>
      <c r="R734" s="2"/>
      <c r="S734" s="3"/>
      <c r="T734" s="3"/>
      <c r="U734" s="3"/>
      <c r="V734" s="3"/>
      <c r="W734" s="3"/>
      <c r="X734" s="3"/>
      <c r="Y734" s="3"/>
      <c r="Z734" s="3"/>
    </row>
    <row r="735" ht="15.75" customHeight="1">
      <c r="A735" s="3"/>
      <c r="B735" s="576"/>
      <c r="C735" s="2"/>
      <c r="D735" s="2"/>
      <c r="E735" s="2"/>
      <c r="F735" s="464"/>
      <c r="G735" s="2"/>
      <c r="H735" s="2"/>
      <c r="I735" s="2"/>
      <c r="J735" s="2"/>
      <c r="K735" s="2"/>
      <c r="L735" s="2"/>
      <c r="M735" s="2"/>
      <c r="N735" s="2"/>
      <c r="O735" s="2"/>
      <c r="P735" s="2"/>
      <c r="Q735" s="2"/>
      <c r="R735" s="2"/>
      <c r="S735" s="3"/>
      <c r="T735" s="3"/>
      <c r="U735" s="3"/>
      <c r="V735" s="3"/>
      <c r="W735" s="3"/>
      <c r="X735" s="3"/>
      <c r="Y735" s="3"/>
      <c r="Z735" s="3"/>
    </row>
    <row r="736" ht="15.75" customHeight="1">
      <c r="A736" s="3"/>
      <c r="B736" s="576"/>
      <c r="C736" s="2"/>
      <c r="D736" s="2"/>
      <c r="E736" s="2"/>
      <c r="F736" s="464"/>
      <c r="G736" s="2"/>
      <c r="H736" s="2"/>
      <c r="I736" s="2"/>
      <c r="J736" s="2"/>
      <c r="K736" s="2"/>
      <c r="L736" s="2"/>
      <c r="M736" s="2"/>
      <c r="N736" s="2"/>
      <c r="O736" s="2"/>
      <c r="P736" s="2"/>
      <c r="Q736" s="2"/>
      <c r="R736" s="2"/>
      <c r="S736" s="3"/>
      <c r="T736" s="3"/>
      <c r="U736" s="3"/>
      <c r="V736" s="3"/>
      <c r="W736" s="3"/>
      <c r="X736" s="3"/>
      <c r="Y736" s="3"/>
      <c r="Z736" s="3"/>
    </row>
    <row r="737" ht="15.75" customHeight="1">
      <c r="A737" s="3"/>
      <c r="B737" s="576"/>
      <c r="C737" s="2"/>
      <c r="D737" s="2"/>
      <c r="E737" s="2"/>
      <c r="F737" s="464"/>
      <c r="G737" s="2"/>
      <c r="H737" s="2"/>
      <c r="I737" s="2"/>
      <c r="J737" s="2"/>
      <c r="K737" s="2"/>
      <c r="L737" s="2"/>
      <c r="M737" s="2"/>
      <c r="N737" s="2"/>
      <c r="O737" s="2"/>
      <c r="P737" s="2"/>
      <c r="Q737" s="2"/>
      <c r="R737" s="2"/>
      <c r="S737" s="3"/>
      <c r="T737" s="3"/>
      <c r="U737" s="3"/>
      <c r="V737" s="3"/>
      <c r="W737" s="3"/>
      <c r="X737" s="3"/>
      <c r="Y737" s="3"/>
      <c r="Z737" s="3"/>
    </row>
    <row r="738" ht="15.75" customHeight="1">
      <c r="A738" s="3"/>
      <c r="B738" s="576"/>
      <c r="C738" s="2"/>
      <c r="D738" s="2"/>
      <c r="E738" s="2"/>
      <c r="F738" s="464"/>
      <c r="G738" s="2"/>
      <c r="H738" s="2"/>
      <c r="I738" s="2"/>
      <c r="J738" s="2"/>
      <c r="K738" s="2"/>
      <c r="L738" s="2"/>
      <c r="M738" s="2"/>
      <c r="N738" s="2"/>
      <c r="O738" s="2"/>
      <c r="P738" s="2"/>
      <c r="Q738" s="2"/>
      <c r="R738" s="2"/>
      <c r="S738" s="3"/>
      <c r="T738" s="3"/>
      <c r="U738" s="3"/>
      <c r="V738" s="3"/>
      <c r="W738" s="3"/>
      <c r="X738" s="3"/>
      <c r="Y738" s="3"/>
      <c r="Z738" s="3"/>
    </row>
    <row r="739" ht="15.75" customHeight="1">
      <c r="A739" s="3"/>
      <c r="B739" s="576"/>
      <c r="C739" s="2"/>
      <c r="D739" s="2"/>
      <c r="E739" s="2"/>
      <c r="F739" s="464"/>
      <c r="G739" s="2"/>
      <c r="H739" s="2"/>
      <c r="I739" s="2"/>
      <c r="J739" s="2"/>
      <c r="K739" s="2"/>
      <c r="L739" s="2"/>
      <c r="M739" s="2"/>
      <c r="N739" s="2"/>
      <c r="O739" s="2"/>
      <c r="P739" s="2"/>
      <c r="Q739" s="2"/>
      <c r="R739" s="2"/>
      <c r="S739" s="3"/>
      <c r="T739" s="3"/>
      <c r="U739" s="3"/>
      <c r="V739" s="3"/>
      <c r="W739" s="3"/>
      <c r="X739" s="3"/>
      <c r="Y739" s="3"/>
      <c r="Z739" s="3"/>
    </row>
    <row r="740" ht="15.75" customHeight="1">
      <c r="A740" s="3"/>
      <c r="B740" s="576"/>
      <c r="C740" s="2"/>
      <c r="D740" s="2"/>
      <c r="E740" s="2"/>
      <c r="F740" s="464"/>
      <c r="G740" s="2"/>
      <c r="H740" s="2"/>
      <c r="I740" s="2"/>
      <c r="J740" s="2"/>
      <c r="K740" s="2"/>
      <c r="L740" s="2"/>
      <c r="M740" s="2"/>
      <c r="N740" s="2"/>
      <c r="O740" s="2"/>
      <c r="P740" s="2"/>
      <c r="Q740" s="2"/>
      <c r="R740" s="2"/>
      <c r="S740" s="3"/>
      <c r="T740" s="3"/>
      <c r="U740" s="3"/>
      <c r="V740" s="3"/>
      <c r="W740" s="3"/>
      <c r="X740" s="3"/>
      <c r="Y740" s="3"/>
      <c r="Z740" s="3"/>
    </row>
    <row r="741" ht="15.75" customHeight="1">
      <c r="A741" s="3"/>
      <c r="B741" s="576"/>
      <c r="C741" s="2"/>
      <c r="D741" s="2"/>
      <c r="E741" s="2"/>
      <c r="F741" s="464"/>
      <c r="G741" s="2"/>
      <c r="H741" s="2"/>
      <c r="I741" s="2"/>
      <c r="J741" s="2"/>
      <c r="K741" s="2"/>
      <c r="L741" s="2"/>
      <c r="M741" s="2"/>
      <c r="N741" s="2"/>
      <c r="O741" s="2"/>
      <c r="P741" s="2"/>
      <c r="Q741" s="2"/>
      <c r="R741" s="2"/>
      <c r="S741" s="3"/>
      <c r="T741" s="3"/>
      <c r="U741" s="3"/>
      <c r="V741" s="3"/>
      <c r="W741" s="3"/>
      <c r="X741" s="3"/>
      <c r="Y741" s="3"/>
      <c r="Z741" s="3"/>
    </row>
    <row r="742" ht="15.75" customHeight="1">
      <c r="A742" s="3"/>
      <c r="B742" s="576"/>
      <c r="C742" s="2"/>
      <c r="D742" s="2"/>
      <c r="E742" s="2"/>
      <c r="F742" s="464"/>
      <c r="G742" s="2"/>
      <c r="H742" s="2"/>
      <c r="I742" s="2"/>
      <c r="J742" s="2"/>
      <c r="K742" s="2"/>
      <c r="L742" s="2"/>
      <c r="M742" s="2"/>
      <c r="N742" s="2"/>
      <c r="O742" s="2"/>
      <c r="P742" s="2"/>
      <c r="Q742" s="2"/>
      <c r="R742" s="2"/>
      <c r="S742" s="3"/>
      <c r="T742" s="3"/>
      <c r="U742" s="3"/>
      <c r="V742" s="3"/>
      <c r="W742" s="3"/>
      <c r="X742" s="3"/>
      <c r="Y742" s="3"/>
      <c r="Z742" s="3"/>
    </row>
    <row r="743" ht="15.75" customHeight="1">
      <c r="A743" s="3"/>
      <c r="B743" s="576"/>
      <c r="C743" s="2"/>
      <c r="D743" s="2"/>
      <c r="E743" s="2"/>
      <c r="F743" s="464"/>
      <c r="G743" s="2"/>
      <c r="H743" s="2"/>
      <c r="I743" s="2"/>
      <c r="J743" s="2"/>
      <c r="K743" s="2"/>
      <c r="L743" s="2"/>
      <c r="M743" s="2"/>
      <c r="N743" s="2"/>
      <c r="O743" s="2"/>
      <c r="P743" s="2"/>
      <c r="Q743" s="2"/>
      <c r="R743" s="2"/>
      <c r="S743" s="3"/>
      <c r="T743" s="3"/>
      <c r="U743" s="3"/>
      <c r="V743" s="3"/>
      <c r="W743" s="3"/>
      <c r="X743" s="3"/>
      <c r="Y743" s="3"/>
      <c r="Z743" s="3"/>
    </row>
    <row r="744" ht="15.75" customHeight="1">
      <c r="A744" s="3"/>
      <c r="B744" s="576"/>
      <c r="C744" s="2"/>
      <c r="D744" s="2"/>
      <c r="E744" s="2"/>
      <c r="F744" s="464"/>
      <c r="G744" s="2"/>
      <c r="H744" s="2"/>
      <c r="I744" s="2"/>
      <c r="J744" s="2"/>
      <c r="K744" s="2"/>
      <c r="L744" s="2"/>
      <c r="M744" s="2"/>
      <c r="N744" s="2"/>
      <c r="O744" s="2"/>
      <c r="P744" s="2"/>
      <c r="Q744" s="2"/>
      <c r="R744" s="2"/>
      <c r="S744" s="3"/>
      <c r="T744" s="3"/>
      <c r="U744" s="3"/>
      <c r="V744" s="3"/>
      <c r="W744" s="3"/>
      <c r="X744" s="3"/>
      <c r="Y744" s="3"/>
      <c r="Z744" s="3"/>
    </row>
    <row r="745" ht="15.75" customHeight="1">
      <c r="A745" s="3"/>
      <c r="B745" s="576"/>
      <c r="C745" s="2"/>
      <c r="D745" s="2"/>
      <c r="E745" s="2"/>
      <c r="F745" s="464"/>
      <c r="G745" s="2"/>
      <c r="H745" s="2"/>
      <c r="I745" s="2"/>
      <c r="J745" s="2"/>
      <c r="K745" s="2"/>
      <c r="L745" s="2"/>
      <c r="M745" s="2"/>
      <c r="N745" s="2"/>
      <c r="O745" s="2"/>
      <c r="P745" s="2"/>
      <c r="Q745" s="2"/>
      <c r="R745" s="2"/>
      <c r="S745" s="3"/>
      <c r="T745" s="3"/>
      <c r="U745" s="3"/>
      <c r="V745" s="3"/>
      <c r="W745" s="3"/>
      <c r="X745" s="3"/>
      <c r="Y745" s="3"/>
      <c r="Z745" s="3"/>
    </row>
    <row r="746" ht="15.75" customHeight="1">
      <c r="A746" s="3"/>
      <c r="B746" s="576"/>
      <c r="C746" s="2"/>
      <c r="D746" s="2"/>
      <c r="E746" s="2"/>
      <c r="F746" s="464"/>
      <c r="G746" s="2"/>
      <c r="H746" s="2"/>
      <c r="I746" s="2"/>
      <c r="J746" s="2"/>
      <c r="K746" s="2"/>
      <c r="L746" s="2"/>
      <c r="M746" s="2"/>
      <c r="N746" s="2"/>
      <c r="O746" s="2"/>
      <c r="P746" s="2"/>
      <c r="Q746" s="2"/>
      <c r="R746" s="2"/>
      <c r="S746" s="3"/>
      <c r="T746" s="3"/>
      <c r="U746" s="3"/>
      <c r="V746" s="3"/>
      <c r="W746" s="3"/>
      <c r="X746" s="3"/>
      <c r="Y746" s="3"/>
      <c r="Z746" s="3"/>
    </row>
    <row r="747" ht="15.75" customHeight="1">
      <c r="A747" s="3"/>
      <c r="B747" s="576"/>
      <c r="C747" s="2"/>
      <c r="D747" s="2"/>
      <c r="E747" s="2"/>
      <c r="F747" s="464"/>
      <c r="G747" s="2"/>
      <c r="H747" s="2"/>
      <c r="I747" s="2"/>
      <c r="J747" s="2"/>
      <c r="K747" s="2"/>
      <c r="L747" s="2"/>
      <c r="M747" s="2"/>
      <c r="N747" s="2"/>
      <c r="O747" s="2"/>
      <c r="P747" s="2"/>
      <c r="Q747" s="2"/>
      <c r="R747" s="2"/>
      <c r="S747" s="3"/>
      <c r="T747" s="3"/>
      <c r="U747" s="3"/>
      <c r="V747" s="3"/>
      <c r="W747" s="3"/>
      <c r="X747" s="3"/>
      <c r="Y747" s="3"/>
      <c r="Z747" s="3"/>
    </row>
    <row r="748" ht="15.75" customHeight="1">
      <c r="A748" s="3"/>
      <c r="B748" s="576"/>
      <c r="C748" s="2"/>
      <c r="D748" s="2"/>
      <c r="E748" s="2"/>
      <c r="F748" s="464"/>
      <c r="G748" s="2"/>
      <c r="H748" s="2"/>
      <c r="I748" s="2"/>
      <c r="J748" s="2"/>
      <c r="K748" s="2"/>
      <c r="L748" s="2"/>
      <c r="M748" s="2"/>
      <c r="N748" s="2"/>
      <c r="O748" s="2"/>
      <c r="P748" s="2"/>
      <c r="Q748" s="2"/>
      <c r="R748" s="2"/>
      <c r="S748" s="3"/>
      <c r="T748" s="3"/>
      <c r="U748" s="3"/>
      <c r="V748" s="3"/>
      <c r="W748" s="3"/>
      <c r="X748" s="3"/>
      <c r="Y748" s="3"/>
      <c r="Z748" s="3"/>
    </row>
    <row r="749" ht="15.75" customHeight="1">
      <c r="A749" s="3"/>
      <c r="B749" s="576"/>
      <c r="C749" s="2"/>
      <c r="D749" s="2"/>
      <c r="E749" s="2"/>
      <c r="F749" s="464"/>
      <c r="G749" s="2"/>
      <c r="H749" s="2"/>
      <c r="I749" s="2"/>
      <c r="J749" s="2"/>
      <c r="K749" s="2"/>
      <c r="L749" s="2"/>
      <c r="M749" s="2"/>
      <c r="N749" s="2"/>
      <c r="O749" s="2"/>
      <c r="P749" s="2"/>
      <c r="Q749" s="2"/>
      <c r="R749" s="2"/>
      <c r="S749" s="3"/>
      <c r="T749" s="3"/>
      <c r="U749" s="3"/>
      <c r="V749" s="3"/>
      <c r="W749" s="3"/>
      <c r="X749" s="3"/>
      <c r="Y749" s="3"/>
      <c r="Z749" s="3"/>
    </row>
    <row r="750" ht="15.75" customHeight="1">
      <c r="A750" s="3"/>
      <c r="B750" s="576"/>
      <c r="C750" s="2"/>
      <c r="D750" s="2"/>
      <c r="E750" s="2"/>
      <c r="F750" s="464"/>
      <c r="G750" s="2"/>
      <c r="H750" s="2"/>
      <c r="I750" s="2"/>
      <c r="J750" s="2"/>
      <c r="K750" s="2"/>
      <c r="L750" s="2"/>
      <c r="M750" s="2"/>
      <c r="N750" s="2"/>
      <c r="O750" s="2"/>
      <c r="P750" s="2"/>
      <c r="Q750" s="2"/>
      <c r="R750" s="2"/>
      <c r="S750" s="3"/>
      <c r="T750" s="3"/>
      <c r="U750" s="3"/>
      <c r="V750" s="3"/>
      <c r="W750" s="3"/>
      <c r="X750" s="3"/>
      <c r="Y750" s="3"/>
      <c r="Z750" s="3"/>
    </row>
    <row r="751" ht="15.75" customHeight="1">
      <c r="A751" s="3"/>
      <c r="B751" s="576"/>
      <c r="C751" s="2"/>
      <c r="D751" s="2"/>
      <c r="E751" s="2"/>
      <c r="F751" s="464"/>
      <c r="G751" s="2"/>
      <c r="H751" s="2"/>
      <c r="I751" s="2"/>
      <c r="J751" s="2"/>
      <c r="K751" s="2"/>
      <c r="L751" s="2"/>
      <c r="M751" s="2"/>
      <c r="N751" s="2"/>
      <c r="O751" s="2"/>
      <c r="P751" s="2"/>
      <c r="Q751" s="2"/>
      <c r="R751" s="2"/>
      <c r="S751" s="3"/>
      <c r="T751" s="3"/>
      <c r="U751" s="3"/>
      <c r="V751" s="3"/>
      <c r="W751" s="3"/>
      <c r="X751" s="3"/>
      <c r="Y751" s="3"/>
      <c r="Z751" s="3"/>
    </row>
    <row r="752" ht="15.75" customHeight="1">
      <c r="A752" s="3"/>
      <c r="B752" s="576"/>
      <c r="C752" s="2"/>
      <c r="D752" s="2"/>
      <c r="E752" s="2"/>
      <c r="F752" s="464"/>
      <c r="G752" s="2"/>
      <c r="H752" s="2"/>
      <c r="I752" s="2"/>
      <c r="J752" s="2"/>
      <c r="K752" s="2"/>
      <c r="L752" s="2"/>
      <c r="M752" s="2"/>
      <c r="N752" s="2"/>
      <c r="O752" s="2"/>
      <c r="P752" s="2"/>
      <c r="Q752" s="2"/>
      <c r="R752" s="2"/>
      <c r="S752" s="3"/>
      <c r="T752" s="3"/>
      <c r="U752" s="3"/>
      <c r="V752" s="3"/>
      <c r="W752" s="3"/>
      <c r="X752" s="3"/>
      <c r="Y752" s="3"/>
      <c r="Z752" s="3"/>
    </row>
    <row r="753" ht="15.75" customHeight="1">
      <c r="A753" s="3"/>
      <c r="B753" s="576"/>
      <c r="C753" s="2"/>
      <c r="D753" s="2"/>
      <c r="E753" s="2"/>
      <c r="F753" s="464"/>
      <c r="G753" s="2"/>
      <c r="H753" s="2"/>
      <c r="I753" s="2"/>
      <c r="J753" s="2"/>
      <c r="K753" s="2"/>
      <c r="L753" s="2"/>
      <c r="M753" s="2"/>
      <c r="N753" s="2"/>
      <c r="O753" s="2"/>
      <c r="P753" s="2"/>
      <c r="Q753" s="2"/>
      <c r="R753" s="2"/>
      <c r="S753" s="3"/>
      <c r="T753" s="3"/>
      <c r="U753" s="3"/>
      <c r="V753" s="3"/>
      <c r="W753" s="3"/>
      <c r="X753" s="3"/>
      <c r="Y753" s="3"/>
      <c r="Z753" s="3"/>
    </row>
    <row r="754" ht="15.75" customHeight="1">
      <c r="A754" s="3"/>
      <c r="B754" s="576"/>
      <c r="C754" s="2"/>
      <c r="D754" s="2"/>
      <c r="E754" s="2"/>
      <c r="F754" s="464"/>
      <c r="G754" s="2"/>
      <c r="H754" s="2"/>
      <c r="I754" s="2"/>
      <c r="J754" s="2"/>
      <c r="K754" s="2"/>
      <c r="L754" s="2"/>
      <c r="M754" s="2"/>
      <c r="N754" s="2"/>
      <c r="O754" s="2"/>
      <c r="P754" s="2"/>
      <c r="Q754" s="2"/>
      <c r="R754" s="2"/>
      <c r="S754" s="3"/>
      <c r="T754" s="3"/>
      <c r="U754" s="3"/>
      <c r="V754" s="3"/>
      <c r="W754" s="3"/>
      <c r="X754" s="3"/>
      <c r="Y754" s="3"/>
      <c r="Z754" s="3"/>
    </row>
    <row r="755" ht="15.75" customHeight="1">
      <c r="A755" s="3"/>
      <c r="B755" s="576"/>
      <c r="C755" s="2"/>
      <c r="D755" s="2"/>
      <c r="E755" s="2"/>
      <c r="F755" s="464"/>
      <c r="G755" s="2"/>
      <c r="H755" s="2"/>
      <c r="I755" s="2"/>
      <c r="J755" s="2"/>
      <c r="K755" s="2"/>
      <c r="L755" s="2"/>
      <c r="M755" s="2"/>
      <c r="N755" s="2"/>
      <c r="O755" s="2"/>
      <c r="P755" s="2"/>
      <c r="Q755" s="2"/>
      <c r="R755" s="2"/>
      <c r="S755" s="3"/>
      <c r="T755" s="3"/>
      <c r="U755" s="3"/>
      <c r="V755" s="3"/>
      <c r="W755" s="3"/>
      <c r="X755" s="3"/>
      <c r="Y755" s="3"/>
      <c r="Z755" s="3"/>
    </row>
    <row r="756" ht="15.75" customHeight="1">
      <c r="A756" s="3"/>
      <c r="B756" s="576"/>
      <c r="C756" s="2"/>
      <c r="D756" s="2"/>
      <c r="E756" s="2"/>
      <c r="F756" s="464"/>
      <c r="G756" s="2"/>
      <c r="H756" s="2"/>
      <c r="I756" s="2"/>
      <c r="J756" s="2"/>
      <c r="K756" s="2"/>
      <c r="L756" s="2"/>
      <c r="M756" s="2"/>
      <c r="N756" s="2"/>
      <c r="O756" s="2"/>
      <c r="P756" s="2"/>
      <c r="Q756" s="2"/>
      <c r="R756" s="2"/>
      <c r="S756" s="3"/>
      <c r="T756" s="3"/>
      <c r="U756" s="3"/>
      <c r="V756" s="3"/>
      <c r="W756" s="3"/>
      <c r="X756" s="3"/>
      <c r="Y756" s="3"/>
      <c r="Z756" s="3"/>
    </row>
    <row r="757" ht="15.75" customHeight="1">
      <c r="A757" s="3"/>
      <c r="B757" s="576"/>
      <c r="C757" s="2"/>
      <c r="D757" s="2"/>
      <c r="E757" s="2"/>
      <c r="F757" s="464"/>
      <c r="G757" s="2"/>
      <c r="H757" s="2"/>
      <c r="I757" s="2"/>
      <c r="J757" s="2"/>
      <c r="K757" s="2"/>
      <c r="L757" s="2"/>
      <c r="M757" s="2"/>
      <c r="N757" s="2"/>
      <c r="O757" s="2"/>
      <c r="P757" s="2"/>
      <c r="Q757" s="2"/>
      <c r="R757" s="2"/>
      <c r="S757" s="3"/>
      <c r="T757" s="3"/>
      <c r="U757" s="3"/>
      <c r="V757" s="3"/>
      <c r="W757" s="3"/>
      <c r="X757" s="3"/>
      <c r="Y757" s="3"/>
      <c r="Z757" s="3"/>
    </row>
    <row r="758" ht="15.75" customHeight="1">
      <c r="A758" s="3"/>
      <c r="B758" s="576"/>
      <c r="C758" s="2"/>
      <c r="D758" s="2"/>
      <c r="E758" s="2"/>
      <c r="F758" s="464"/>
      <c r="G758" s="2"/>
      <c r="H758" s="2"/>
      <c r="I758" s="2"/>
      <c r="J758" s="2"/>
      <c r="K758" s="2"/>
      <c r="L758" s="2"/>
      <c r="M758" s="2"/>
      <c r="N758" s="2"/>
      <c r="O758" s="2"/>
      <c r="P758" s="2"/>
      <c r="Q758" s="2"/>
      <c r="R758" s="2"/>
      <c r="S758" s="3"/>
      <c r="T758" s="3"/>
      <c r="U758" s="3"/>
      <c r="V758" s="3"/>
      <c r="W758" s="3"/>
      <c r="X758" s="3"/>
      <c r="Y758" s="3"/>
      <c r="Z758" s="3"/>
    </row>
    <row r="759" ht="15.75" customHeight="1">
      <c r="A759" s="3"/>
      <c r="B759" s="576"/>
      <c r="C759" s="2"/>
      <c r="D759" s="2"/>
      <c r="E759" s="2"/>
      <c r="F759" s="464"/>
      <c r="G759" s="2"/>
      <c r="H759" s="2"/>
      <c r="I759" s="2"/>
      <c r="J759" s="2"/>
      <c r="K759" s="2"/>
      <c r="L759" s="2"/>
      <c r="M759" s="2"/>
      <c r="N759" s="2"/>
      <c r="O759" s="2"/>
      <c r="P759" s="2"/>
      <c r="Q759" s="2"/>
      <c r="R759" s="2"/>
      <c r="S759" s="3"/>
      <c r="T759" s="3"/>
      <c r="U759" s="3"/>
      <c r="V759" s="3"/>
      <c r="W759" s="3"/>
      <c r="X759" s="3"/>
      <c r="Y759" s="3"/>
      <c r="Z759" s="3"/>
    </row>
    <row r="760" ht="15.75" customHeight="1">
      <c r="A760" s="3"/>
      <c r="B760" s="576"/>
      <c r="C760" s="2"/>
      <c r="D760" s="2"/>
      <c r="E760" s="2"/>
      <c r="F760" s="464"/>
      <c r="G760" s="2"/>
      <c r="H760" s="2"/>
      <c r="I760" s="2"/>
      <c r="J760" s="2"/>
      <c r="K760" s="2"/>
      <c r="L760" s="2"/>
      <c r="M760" s="2"/>
      <c r="N760" s="2"/>
      <c r="O760" s="2"/>
      <c r="P760" s="2"/>
      <c r="Q760" s="2"/>
      <c r="R760" s="2"/>
      <c r="S760" s="3"/>
      <c r="T760" s="3"/>
      <c r="U760" s="3"/>
      <c r="V760" s="3"/>
      <c r="W760" s="3"/>
      <c r="X760" s="3"/>
      <c r="Y760" s="3"/>
      <c r="Z760" s="3"/>
    </row>
    <row r="761" ht="15.75" customHeight="1">
      <c r="A761" s="3"/>
      <c r="B761" s="576"/>
      <c r="C761" s="2"/>
      <c r="D761" s="2"/>
      <c r="E761" s="2"/>
      <c r="F761" s="464"/>
      <c r="G761" s="2"/>
      <c r="H761" s="2"/>
      <c r="I761" s="2"/>
      <c r="J761" s="2"/>
      <c r="K761" s="2"/>
      <c r="L761" s="2"/>
      <c r="M761" s="2"/>
      <c r="N761" s="2"/>
      <c r="O761" s="2"/>
      <c r="P761" s="2"/>
      <c r="Q761" s="2"/>
      <c r="R761" s="2"/>
      <c r="S761" s="3"/>
      <c r="T761" s="3"/>
      <c r="U761" s="3"/>
      <c r="V761" s="3"/>
      <c r="W761" s="3"/>
      <c r="X761" s="3"/>
      <c r="Y761" s="3"/>
      <c r="Z761" s="3"/>
    </row>
    <row r="762" ht="15.75" customHeight="1">
      <c r="A762" s="3"/>
      <c r="B762" s="576"/>
      <c r="C762" s="2"/>
      <c r="D762" s="2"/>
      <c r="E762" s="2"/>
      <c r="F762" s="464"/>
      <c r="G762" s="2"/>
      <c r="H762" s="2"/>
      <c r="I762" s="2"/>
      <c r="J762" s="2"/>
      <c r="K762" s="2"/>
      <c r="L762" s="2"/>
      <c r="M762" s="2"/>
      <c r="N762" s="2"/>
      <c r="O762" s="2"/>
      <c r="P762" s="2"/>
      <c r="Q762" s="2"/>
      <c r="R762" s="2"/>
      <c r="S762" s="3"/>
      <c r="T762" s="3"/>
      <c r="U762" s="3"/>
      <c r="V762" s="3"/>
      <c r="W762" s="3"/>
      <c r="X762" s="3"/>
      <c r="Y762" s="3"/>
      <c r="Z762" s="3"/>
    </row>
    <row r="763" ht="15.75" customHeight="1">
      <c r="A763" s="3"/>
      <c r="B763" s="576"/>
      <c r="C763" s="2"/>
      <c r="D763" s="2"/>
      <c r="E763" s="2"/>
      <c r="F763" s="464"/>
      <c r="G763" s="2"/>
      <c r="H763" s="2"/>
      <c r="I763" s="2"/>
      <c r="J763" s="2"/>
      <c r="K763" s="2"/>
      <c r="L763" s="2"/>
      <c r="M763" s="2"/>
      <c r="N763" s="2"/>
      <c r="O763" s="2"/>
      <c r="P763" s="2"/>
      <c r="Q763" s="2"/>
      <c r="R763" s="2"/>
      <c r="S763" s="3"/>
      <c r="T763" s="3"/>
      <c r="U763" s="3"/>
      <c r="V763" s="3"/>
      <c r="W763" s="3"/>
      <c r="X763" s="3"/>
      <c r="Y763" s="3"/>
      <c r="Z763" s="3"/>
    </row>
    <row r="764" ht="15.75" customHeight="1">
      <c r="A764" s="3"/>
      <c r="B764" s="576"/>
      <c r="C764" s="2"/>
      <c r="D764" s="2"/>
      <c r="E764" s="2"/>
      <c r="F764" s="464"/>
      <c r="G764" s="2"/>
      <c r="H764" s="2"/>
      <c r="I764" s="2"/>
      <c r="J764" s="2"/>
      <c r="K764" s="2"/>
      <c r="L764" s="2"/>
      <c r="M764" s="2"/>
      <c r="N764" s="2"/>
      <c r="O764" s="2"/>
      <c r="P764" s="2"/>
      <c r="Q764" s="2"/>
      <c r="R764" s="2"/>
      <c r="S764" s="3"/>
      <c r="T764" s="3"/>
      <c r="U764" s="3"/>
      <c r="V764" s="3"/>
      <c r="W764" s="3"/>
      <c r="X764" s="3"/>
      <c r="Y764" s="3"/>
      <c r="Z764" s="3"/>
    </row>
    <row r="765" ht="15.75" customHeight="1">
      <c r="A765" s="3"/>
      <c r="B765" s="576"/>
      <c r="C765" s="2"/>
      <c r="D765" s="2"/>
      <c r="E765" s="2"/>
      <c r="F765" s="464"/>
      <c r="G765" s="2"/>
      <c r="H765" s="2"/>
      <c r="I765" s="2"/>
      <c r="J765" s="2"/>
      <c r="K765" s="2"/>
      <c r="L765" s="2"/>
      <c r="M765" s="2"/>
      <c r="N765" s="2"/>
      <c r="O765" s="2"/>
      <c r="P765" s="2"/>
      <c r="Q765" s="2"/>
      <c r="R765" s="2"/>
      <c r="S765" s="3"/>
      <c r="T765" s="3"/>
      <c r="U765" s="3"/>
      <c r="V765" s="3"/>
      <c r="W765" s="3"/>
      <c r="X765" s="3"/>
      <c r="Y765" s="3"/>
      <c r="Z765" s="3"/>
    </row>
    <row r="766" ht="15.75" customHeight="1">
      <c r="A766" s="3"/>
      <c r="B766" s="576"/>
      <c r="C766" s="2"/>
      <c r="D766" s="2"/>
      <c r="E766" s="2"/>
      <c r="F766" s="464"/>
      <c r="G766" s="2"/>
      <c r="H766" s="2"/>
      <c r="I766" s="2"/>
      <c r="J766" s="2"/>
      <c r="K766" s="2"/>
      <c r="L766" s="2"/>
      <c r="M766" s="2"/>
      <c r="N766" s="2"/>
      <c r="O766" s="2"/>
      <c r="P766" s="2"/>
      <c r="Q766" s="2"/>
      <c r="R766" s="2"/>
      <c r="S766" s="3"/>
      <c r="T766" s="3"/>
      <c r="U766" s="3"/>
      <c r="V766" s="3"/>
      <c r="W766" s="3"/>
      <c r="X766" s="3"/>
      <c r="Y766" s="3"/>
      <c r="Z766" s="3"/>
    </row>
    <row r="767" ht="15.75" customHeight="1">
      <c r="A767" s="3"/>
      <c r="B767" s="576"/>
      <c r="C767" s="2"/>
      <c r="D767" s="2"/>
      <c r="E767" s="2"/>
      <c r="F767" s="464"/>
      <c r="G767" s="2"/>
      <c r="H767" s="2"/>
      <c r="I767" s="2"/>
      <c r="J767" s="2"/>
      <c r="K767" s="2"/>
      <c r="L767" s="2"/>
      <c r="M767" s="2"/>
      <c r="N767" s="2"/>
      <c r="O767" s="2"/>
      <c r="P767" s="2"/>
      <c r="Q767" s="2"/>
      <c r="R767" s="2"/>
      <c r="S767" s="3"/>
      <c r="T767" s="3"/>
      <c r="U767" s="3"/>
      <c r="V767" s="3"/>
      <c r="W767" s="3"/>
      <c r="X767" s="3"/>
      <c r="Y767" s="3"/>
      <c r="Z767" s="3"/>
    </row>
    <row r="768" ht="15.75" customHeight="1">
      <c r="A768" s="3"/>
      <c r="B768" s="576"/>
      <c r="C768" s="2"/>
      <c r="D768" s="2"/>
      <c r="E768" s="2"/>
      <c r="F768" s="464"/>
      <c r="G768" s="2"/>
      <c r="H768" s="2"/>
      <c r="I768" s="2"/>
      <c r="J768" s="2"/>
      <c r="K768" s="2"/>
      <c r="L768" s="2"/>
      <c r="M768" s="2"/>
      <c r="N768" s="2"/>
      <c r="O768" s="2"/>
      <c r="P768" s="2"/>
      <c r="Q768" s="2"/>
      <c r="R768" s="2"/>
      <c r="S768" s="3"/>
      <c r="T768" s="3"/>
      <c r="U768" s="3"/>
      <c r="V768" s="3"/>
      <c r="W768" s="3"/>
      <c r="X768" s="3"/>
      <c r="Y768" s="3"/>
      <c r="Z768" s="3"/>
    </row>
    <row r="769" ht="15.75" customHeight="1">
      <c r="A769" s="3"/>
      <c r="B769" s="576"/>
      <c r="C769" s="2"/>
      <c r="D769" s="2"/>
      <c r="E769" s="2"/>
      <c r="F769" s="464"/>
      <c r="G769" s="2"/>
      <c r="H769" s="2"/>
      <c r="I769" s="2"/>
      <c r="J769" s="2"/>
      <c r="K769" s="2"/>
      <c r="L769" s="2"/>
      <c r="M769" s="2"/>
      <c r="N769" s="2"/>
      <c r="O769" s="2"/>
      <c r="P769" s="2"/>
      <c r="Q769" s="2"/>
      <c r="R769" s="2"/>
      <c r="S769" s="3"/>
      <c r="T769" s="3"/>
      <c r="U769" s="3"/>
      <c r="V769" s="3"/>
      <c r="W769" s="3"/>
      <c r="X769" s="3"/>
      <c r="Y769" s="3"/>
      <c r="Z769" s="3"/>
    </row>
    <row r="770" ht="15.75" customHeight="1">
      <c r="A770" s="3"/>
      <c r="B770" s="576"/>
      <c r="C770" s="2"/>
      <c r="D770" s="2"/>
      <c r="E770" s="2"/>
      <c r="F770" s="464"/>
      <c r="G770" s="2"/>
      <c r="H770" s="2"/>
      <c r="I770" s="2"/>
      <c r="J770" s="2"/>
      <c r="K770" s="2"/>
      <c r="L770" s="2"/>
      <c r="M770" s="2"/>
      <c r="N770" s="2"/>
      <c r="O770" s="2"/>
      <c r="P770" s="2"/>
      <c r="Q770" s="2"/>
      <c r="R770" s="2"/>
      <c r="S770" s="3"/>
      <c r="T770" s="3"/>
      <c r="U770" s="3"/>
      <c r="V770" s="3"/>
      <c r="W770" s="3"/>
      <c r="X770" s="3"/>
      <c r="Y770" s="3"/>
      <c r="Z770" s="3"/>
    </row>
    <row r="771" ht="15.75" customHeight="1">
      <c r="A771" s="3"/>
      <c r="B771" s="576"/>
      <c r="C771" s="2"/>
      <c r="D771" s="2"/>
      <c r="E771" s="2"/>
      <c r="F771" s="464"/>
      <c r="G771" s="2"/>
      <c r="H771" s="2"/>
      <c r="I771" s="2"/>
      <c r="J771" s="2"/>
      <c r="K771" s="2"/>
      <c r="L771" s="2"/>
      <c r="M771" s="2"/>
      <c r="N771" s="2"/>
      <c r="O771" s="2"/>
      <c r="P771" s="2"/>
      <c r="Q771" s="2"/>
      <c r="R771" s="2"/>
      <c r="S771" s="3"/>
      <c r="T771" s="3"/>
      <c r="U771" s="3"/>
      <c r="V771" s="3"/>
      <c r="W771" s="3"/>
      <c r="X771" s="3"/>
      <c r="Y771" s="3"/>
      <c r="Z771" s="3"/>
    </row>
    <row r="772" ht="15.75" customHeight="1">
      <c r="A772" s="3"/>
      <c r="B772" s="576"/>
      <c r="C772" s="2"/>
      <c r="D772" s="2"/>
      <c r="E772" s="2"/>
      <c r="F772" s="464"/>
      <c r="G772" s="2"/>
      <c r="H772" s="2"/>
      <c r="I772" s="2"/>
      <c r="J772" s="2"/>
      <c r="K772" s="2"/>
      <c r="L772" s="2"/>
      <c r="M772" s="2"/>
      <c r="N772" s="2"/>
      <c r="O772" s="2"/>
      <c r="P772" s="2"/>
      <c r="Q772" s="2"/>
      <c r="R772" s="2"/>
      <c r="S772" s="3"/>
      <c r="T772" s="3"/>
      <c r="U772" s="3"/>
      <c r="V772" s="3"/>
      <c r="W772" s="3"/>
      <c r="X772" s="3"/>
      <c r="Y772" s="3"/>
      <c r="Z772" s="3"/>
    </row>
    <row r="773" ht="15.75" customHeight="1">
      <c r="A773" s="3"/>
      <c r="B773" s="576"/>
      <c r="C773" s="2"/>
      <c r="D773" s="2"/>
      <c r="E773" s="2"/>
      <c r="F773" s="464"/>
      <c r="G773" s="2"/>
      <c r="H773" s="2"/>
      <c r="I773" s="2"/>
      <c r="J773" s="2"/>
      <c r="K773" s="2"/>
      <c r="L773" s="2"/>
      <c r="M773" s="2"/>
      <c r="N773" s="2"/>
      <c r="O773" s="2"/>
      <c r="P773" s="2"/>
      <c r="Q773" s="2"/>
      <c r="R773" s="2"/>
      <c r="S773" s="3"/>
      <c r="T773" s="3"/>
      <c r="U773" s="3"/>
      <c r="V773" s="3"/>
      <c r="W773" s="3"/>
      <c r="X773" s="3"/>
      <c r="Y773" s="3"/>
      <c r="Z773" s="3"/>
    </row>
    <row r="774" ht="15.75" customHeight="1">
      <c r="A774" s="3"/>
      <c r="B774" s="576"/>
      <c r="C774" s="2"/>
      <c r="D774" s="2"/>
      <c r="E774" s="2"/>
      <c r="F774" s="464"/>
      <c r="G774" s="2"/>
      <c r="H774" s="2"/>
      <c r="I774" s="2"/>
      <c r="J774" s="2"/>
      <c r="K774" s="2"/>
      <c r="L774" s="2"/>
      <c r="M774" s="2"/>
      <c r="N774" s="2"/>
      <c r="O774" s="2"/>
      <c r="P774" s="2"/>
      <c r="Q774" s="2"/>
      <c r="R774" s="2"/>
      <c r="S774" s="3"/>
      <c r="T774" s="3"/>
      <c r="U774" s="3"/>
      <c r="V774" s="3"/>
      <c r="W774" s="3"/>
      <c r="X774" s="3"/>
      <c r="Y774" s="3"/>
      <c r="Z774" s="3"/>
    </row>
    <row r="775" ht="15.75" customHeight="1">
      <c r="A775" s="3"/>
      <c r="B775" s="576"/>
      <c r="C775" s="2"/>
      <c r="D775" s="2"/>
      <c r="E775" s="2"/>
      <c r="F775" s="464"/>
      <c r="G775" s="2"/>
      <c r="H775" s="2"/>
      <c r="I775" s="2"/>
      <c r="J775" s="2"/>
      <c r="K775" s="2"/>
      <c r="L775" s="2"/>
      <c r="M775" s="2"/>
      <c r="N775" s="2"/>
      <c r="O775" s="2"/>
      <c r="P775" s="2"/>
      <c r="Q775" s="2"/>
      <c r="R775" s="2"/>
      <c r="S775" s="3"/>
      <c r="T775" s="3"/>
      <c r="U775" s="3"/>
      <c r="V775" s="3"/>
      <c r="W775" s="3"/>
      <c r="X775" s="3"/>
      <c r="Y775" s="3"/>
      <c r="Z775" s="3"/>
    </row>
    <row r="776" ht="15.75" customHeight="1">
      <c r="A776" s="3"/>
      <c r="B776" s="576"/>
      <c r="C776" s="2"/>
      <c r="D776" s="2"/>
      <c r="E776" s="2"/>
      <c r="F776" s="464"/>
      <c r="G776" s="2"/>
      <c r="H776" s="2"/>
      <c r="I776" s="2"/>
      <c r="J776" s="2"/>
      <c r="K776" s="2"/>
      <c r="L776" s="2"/>
      <c r="M776" s="2"/>
      <c r="N776" s="2"/>
      <c r="O776" s="2"/>
      <c r="P776" s="2"/>
      <c r="Q776" s="2"/>
      <c r="R776" s="2"/>
      <c r="S776" s="3"/>
      <c r="T776" s="3"/>
      <c r="U776" s="3"/>
      <c r="V776" s="3"/>
      <c r="W776" s="3"/>
      <c r="X776" s="3"/>
      <c r="Y776" s="3"/>
      <c r="Z776" s="3"/>
    </row>
    <row r="777" ht="15.75" customHeight="1">
      <c r="A777" s="3"/>
      <c r="B777" s="576"/>
      <c r="C777" s="2"/>
      <c r="D777" s="2"/>
      <c r="E777" s="2"/>
      <c r="F777" s="464"/>
      <c r="G777" s="2"/>
      <c r="H777" s="2"/>
      <c r="I777" s="2"/>
      <c r="J777" s="2"/>
      <c r="K777" s="2"/>
      <c r="L777" s="2"/>
      <c r="M777" s="2"/>
      <c r="N777" s="2"/>
      <c r="O777" s="2"/>
      <c r="P777" s="2"/>
      <c r="Q777" s="2"/>
      <c r="R777" s="2"/>
      <c r="S777" s="3"/>
      <c r="T777" s="3"/>
      <c r="U777" s="3"/>
      <c r="V777" s="3"/>
      <c r="W777" s="3"/>
      <c r="X777" s="3"/>
      <c r="Y777" s="3"/>
      <c r="Z777" s="3"/>
    </row>
    <row r="778" ht="15.75" customHeight="1">
      <c r="A778" s="3"/>
      <c r="B778" s="576"/>
      <c r="C778" s="2"/>
      <c r="D778" s="2"/>
      <c r="E778" s="2"/>
      <c r="F778" s="464"/>
      <c r="G778" s="2"/>
      <c r="H778" s="2"/>
      <c r="I778" s="2"/>
      <c r="J778" s="2"/>
      <c r="K778" s="2"/>
      <c r="L778" s="2"/>
      <c r="M778" s="2"/>
      <c r="N778" s="2"/>
      <c r="O778" s="2"/>
      <c r="P778" s="2"/>
      <c r="Q778" s="2"/>
      <c r="R778" s="2"/>
      <c r="S778" s="3"/>
      <c r="T778" s="3"/>
      <c r="U778" s="3"/>
      <c r="V778" s="3"/>
      <c r="W778" s="3"/>
      <c r="X778" s="3"/>
      <c r="Y778" s="3"/>
      <c r="Z778" s="3"/>
    </row>
    <row r="779" ht="15.75" customHeight="1">
      <c r="A779" s="3"/>
      <c r="B779" s="576"/>
      <c r="C779" s="2"/>
      <c r="D779" s="2"/>
      <c r="E779" s="2"/>
      <c r="F779" s="464"/>
      <c r="G779" s="2"/>
      <c r="H779" s="2"/>
      <c r="I779" s="2"/>
      <c r="J779" s="2"/>
      <c r="K779" s="2"/>
      <c r="L779" s="2"/>
      <c r="M779" s="2"/>
      <c r="N779" s="2"/>
      <c r="O779" s="2"/>
      <c r="P779" s="2"/>
      <c r="Q779" s="2"/>
      <c r="R779" s="2"/>
      <c r="S779" s="3"/>
      <c r="T779" s="3"/>
      <c r="U779" s="3"/>
      <c r="V779" s="3"/>
      <c r="W779" s="3"/>
      <c r="X779" s="3"/>
      <c r="Y779" s="3"/>
      <c r="Z779" s="3"/>
    </row>
    <row r="780" ht="15.75" customHeight="1">
      <c r="A780" s="3"/>
      <c r="B780" s="576"/>
      <c r="C780" s="2"/>
      <c r="D780" s="2"/>
      <c r="E780" s="2"/>
      <c r="F780" s="464"/>
      <c r="G780" s="2"/>
      <c r="H780" s="2"/>
      <c r="I780" s="2"/>
      <c r="J780" s="2"/>
      <c r="K780" s="2"/>
      <c r="L780" s="2"/>
      <c r="M780" s="2"/>
      <c r="N780" s="2"/>
      <c r="O780" s="2"/>
      <c r="P780" s="2"/>
      <c r="Q780" s="2"/>
      <c r="R780" s="2"/>
      <c r="S780" s="3"/>
      <c r="T780" s="3"/>
      <c r="U780" s="3"/>
      <c r="V780" s="3"/>
      <c r="W780" s="3"/>
      <c r="X780" s="3"/>
      <c r="Y780" s="3"/>
      <c r="Z780" s="3"/>
    </row>
    <row r="781" ht="15.75" customHeight="1">
      <c r="A781" s="3"/>
      <c r="B781" s="576"/>
      <c r="C781" s="2"/>
      <c r="D781" s="2"/>
      <c r="E781" s="2"/>
      <c r="F781" s="464"/>
      <c r="G781" s="2"/>
      <c r="H781" s="2"/>
      <c r="I781" s="2"/>
      <c r="J781" s="2"/>
      <c r="K781" s="2"/>
      <c r="L781" s="2"/>
      <c r="M781" s="2"/>
      <c r="N781" s="2"/>
      <c r="O781" s="2"/>
      <c r="P781" s="2"/>
      <c r="Q781" s="2"/>
      <c r="R781" s="2"/>
      <c r="S781" s="3"/>
      <c r="T781" s="3"/>
      <c r="U781" s="3"/>
      <c r="V781" s="3"/>
      <c r="W781" s="3"/>
      <c r="X781" s="3"/>
      <c r="Y781" s="3"/>
      <c r="Z781" s="3"/>
    </row>
    <row r="782" ht="15.75" customHeight="1">
      <c r="A782" s="3"/>
      <c r="B782" s="576"/>
      <c r="C782" s="2"/>
      <c r="D782" s="2"/>
      <c r="E782" s="2"/>
      <c r="F782" s="464"/>
      <c r="G782" s="2"/>
      <c r="H782" s="2"/>
      <c r="I782" s="2"/>
      <c r="J782" s="2"/>
      <c r="K782" s="2"/>
      <c r="L782" s="2"/>
      <c r="M782" s="2"/>
      <c r="N782" s="2"/>
      <c r="O782" s="2"/>
      <c r="P782" s="2"/>
      <c r="Q782" s="2"/>
      <c r="R782" s="2"/>
      <c r="S782" s="3"/>
      <c r="T782" s="3"/>
      <c r="U782" s="3"/>
      <c r="V782" s="3"/>
      <c r="W782" s="3"/>
      <c r="X782" s="3"/>
      <c r="Y782" s="3"/>
      <c r="Z782" s="3"/>
    </row>
    <row r="783" ht="15.75" customHeight="1">
      <c r="A783" s="3"/>
      <c r="B783" s="576"/>
      <c r="C783" s="2"/>
      <c r="D783" s="2"/>
      <c r="E783" s="2"/>
      <c r="F783" s="464"/>
      <c r="G783" s="2"/>
      <c r="H783" s="2"/>
      <c r="I783" s="2"/>
      <c r="J783" s="2"/>
      <c r="K783" s="2"/>
      <c r="L783" s="2"/>
      <c r="M783" s="2"/>
      <c r="N783" s="2"/>
      <c r="O783" s="2"/>
      <c r="P783" s="2"/>
      <c r="Q783" s="2"/>
      <c r="R783" s="2"/>
      <c r="S783" s="3"/>
      <c r="T783" s="3"/>
      <c r="U783" s="3"/>
      <c r="V783" s="3"/>
      <c r="W783" s="3"/>
      <c r="X783" s="3"/>
      <c r="Y783" s="3"/>
      <c r="Z783" s="3"/>
    </row>
    <row r="784" ht="15.75" customHeight="1">
      <c r="A784" s="3"/>
      <c r="B784" s="576"/>
      <c r="C784" s="2"/>
      <c r="D784" s="2"/>
      <c r="E784" s="2"/>
      <c r="F784" s="464"/>
      <c r="G784" s="2"/>
      <c r="H784" s="2"/>
      <c r="I784" s="2"/>
      <c r="J784" s="2"/>
      <c r="K784" s="2"/>
      <c r="L784" s="2"/>
      <c r="M784" s="2"/>
      <c r="N784" s="2"/>
      <c r="O784" s="2"/>
      <c r="P784" s="2"/>
      <c r="Q784" s="2"/>
      <c r="R784" s="2"/>
      <c r="S784" s="3"/>
      <c r="T784" s="3"/>
      <c r="U784" s="3"/>
      <c r="V784" s="3"/>
      <c r="W784" s="3"/>
      <c r="X784" s="3"/>
      <c r="Y784" s="3"/>
      <c r="Z784" s="3"/>
    </row>
    <row r="785" ht="15.75" customHeight="1">
      <c r="A785" s="3"/>
      <c r="B785" s="576"/>
      <c r="C785" s="2"/>
      <c r="D785" s="2"/>
      <c r="E785" s="2"/>
      <c r="F785" s="464"/>
      <c r="G785" s="2"/>
      <c r="H785" s="2"/>
      <c r="I785" s="2"/>
      <c r="J785" s="2"/>
      <c r="K785" s="2"/>
      <c r="L785" s="2"/>
      <c r="M785" s="2"/>
      <c r="N785" s="2"/>
      <c r="O785" s="2"/>
      <c r="P785" s="2"/>
      <c r="Q785" s="2"/>
      <c r="R785" s="2"/>
      <c r="S785" s="3"/>
      <c r="T785" s="3"/>
      <c r="U785" s="3"/>
      <c r="V785" s="3"/>
      <c r="W785" s="3"/>
      <c r="X785" s="3"/>
      <c r="Y785" s="3"/>
      <c r="Z785" s="3"/>
    </row>
    <row r="786" ht="15.75" customHeight="1">
      <c r="A786" s="3"/>
      <c r="B786" s="576"/>
      <c r="C786" s="2"/>
      <c r="D786" s="2"/>
      <c r="E786" s="2"/>
      <c r="F786" s="464"/>
      <c r="G786" s="2"/>
      <c r="H786" s="2"/>
      <c r="I786" s="2"/>
      <c r="J786" s="2"/>
      <c r="K786" s="2"/>
      <c r="L786" s="2"/>
      <c r="M786" s="2"/>
      <c r="N786" s="2"/>
      <c r="O786" s="2"/>
      <c r="P786" s="2"/>
      <c r="Q786" s="2"/>
      <c r="R786" s="2"/>
      <c r="S786" s="3"/>
      <c r="T786" s="3"/>
      <c r="U786" s="3"/>
      <c r="V786" s="3"/>
      <c r="W786" s="3"/>
      <c r="X786" s="3"/>
      <c r="Y786" s="3"/>
      <c r="Z786" s="3"/>
    </row>
    <row r="787" ht="15.75" customHeight="1">
      <c r="A787" s="3"/>
      <c r="B787" s="576"/>
      <c r="C787" s="2"/>
      <c r="D787" s="2"/>
      <c r="E787" s="2"/>
      <c r="F787" s="464"/>
      <c r="G787" s="2"/>
      <c r="H787" s="2"/>
      <c r="I787" s="2"/>
      <c r="J787" s="2"/>
      <c r="K787" s="2"/>
      <c r="L787" s="2"/>
      <c r="M787" s="2"/>
      <c r="N787" s="2"/>
      <c r="O787" s="2"/>
      <c r="P787" s="2"/>
      <c r="Q787" s="2"/>
      <c r="R787" s="2"/>
      <c r="S787" s="3"/>
      <c r="T787" s="3"/>
      <c r="U787" s="3"/>
      <c r="V787" s="3"/>
      <c r="W787" s="3"/>
      <c r="X787" s="3"/>
      <c r="Y787" s="3"/>
      <c r="Z787" s="3"/>
    </row>
    <row r="788" ht="15.75" customHeight="1">
      <c r="A788" s="3"/>
      <c r="B788" s="576"/>
      <c r="C788" s="2"/>
      <c r="D788" s="2"/>
      <c r="E788" s="2"/>
      <c r="F788" s="464"/>
      <c r="G788" s="2"/>
      <c r="H788" s="2"/>
      <c r="I788" s="2"/>
      <c r="J788" s="2"/>
      <c r="K788" s="2"/>
      <c r="L788" s="2"/>
      <c r="M788" s="2"/>
      <c r="N788" s="2"/>
      <c r="O788" s="2"/>
      <c r="P788" s="2"/>
      <c r="Q788" s="2"/>
      <c r="R788" s="2"/>
      <c r="S788" s="3"/>
      <c r="T788" s="3"/>
      <c r="U788" s="3"/>
      <c r="V788" s="3"/>
      <c r="W788" s="3"/>
      <c r="X788" s="3"/>
      <c r="Y788" s="3"/>
      <c r="Z788" s="3"/>
    </row>
    <row r="789" ht="15.75" customHeight="1">
      <c r="A789" s="3"/>
      <c r="B789" s="576"/>
      <c r="C789" s="2"/>
      <c r="D789" s="2"/>
      <c r="E789" s="2"/>
      <c r="F789" s="464"/>
      <c r="G789" s="2"/>
      <c r="H789" s="2"/>
      <c r="I789" s="2"/>
      <c r="J789" s="2"/>
      <c r="K789" s="2"/>
      <c r="L789" s="2"/>
      <c r="M789" s="2"/>
      <c r="N789" s="2"/>
      <c r="O789" s="2"/>
      <c r="P789" s="2"/>
      <c r="Q789" s="2"/>
      <c r="R789" s="2"/>
      <c r="S789" s="3"/>
      <c r="T789" s="3"/>
      <c r="U789" s="3"/>
      <c r="V789" s="3"/>
      <c r="W789" s="3"/>
      <c r="X789" s="3"/>
      <c r="Y789" s="3"/>
      <c r="Z789" s="3"/>
    </row>
    <row r="790" ht="15.75" customHeight="1">
      <c r="A790" s="3"/>
      <c r="B790" s="576"/>
      <c r="C790" s="2"/>
      <c r="D790" s="2"/>
      <c r="E790" s="2"/>
      <c r="F790" s="464"/>
      <c r="G790" s="2"/>
      <c r="H790" s="2"/>
      <c r="I790" s="2"/>
      <c r="J790" s="2"/>
      <c r="K790" s="2"/>
      <c r="L790" s="2"/>
      <c r="M790" s="2"/>
      <c r="N790" s="2"/>
      <c r="O790" s="2"/>
      <c r="P790" s="2"/>
      <c r="Q790" s="2"/>
      <c r="R790" s="2"/>
      <c r="S790" s="3"/>
      <c r="T790" s="3"/>
      <c r="U790" s="3"/>
      <c r="V790" s="3"/>
      <c r="W790" s="3"/>
      <c r="X790" s="3"/>
      <c r="Y790" s="3"/>
      <c r="Z790" s="3"/>
    </row>
    <row r="791" ht="15.75" customHeight="1">
      <c r="A791" s="3"/>
      <c r="B791" s="576"/>
      <c r="C791" s="2"/>
      <c r="D791" s="2"/>
      <c r="E791" s="2"/>
      <c r="F791" s="464"/>
      <c r="G791" s="2"/>
      <c r="H791" s="2"/>
      <c r="I791" s="2"/>
      <c r="J791" s="2"/>
      <c r="K791" s="2"/>
      <c r="L791" s="2"/>
      <c r="M791" s="2"/>
      <c r="N791" s="2"/>
      <c r="O791" s="2"/>
      <c r="P791" s="2"/>
      <c r="Q791" s="2"/>
      <c r="R791" s="2"/>
      <c r="S791" s="3"/>
      <c r="T791" s="3"/>
      <c r="U791" s="3"/>
      <c r="V791" s="3"/>
      <c r="W791" s="3"/>
      <c r="X791" s="3"/>
      <c r="Y791" s="3"/>
      <c r="Z791" s="3"/>
    </row>
    <row r="792" ht="15.75" customHeight="1">
      <c r="A792" s="3"/>
      <c r="B792" s="576"/>
      <c r="C792" s="2"/>
      <c r="D792" s="2"/>
      <c r="E792" s="2"/>
      <c r="F792" s="464"/>
      <c r="G792" s="2"/>
      <c r="H792" s="2"/>
      <c r="I792" s="2"/>
      <c r="J792" s="2"/>
      <c r="K792" s="2"/>
      <c r="L792" s="2"/>
      <c r="M792" s="2"/>
      <c r="N792" s="2"/>
      <c r="O792" s="2"/>
      <c r="P792" s="2"/>
      <c r="Q792" s="2"/>
      <c r="R792" s="2"/>
      <c r="S792" s="3"/>
      <c r="T792" s="3"/>
      <c r="U792" s="3"/>
      <c r="V792" s="3"/>
      <c r="W792" s="3"/>
      <c r="X792" s="3"/>
      <c r="Y792" s="3"/>
      <c r="Z792" s="3"/>
    </row>
    <row r="793" ht="15.75" customHeight="1">
      <c r="A793" s="3"/>
      <c r="B793" s="576"/>
      <c r="C793" s="2"/>
      <c r="D793" s="2"/>
      <c r="E793" s="2"/>
      <c r="F793" s="464"/>
      <c r="G793" s="2"/>
      <c r="H793" s="2"/>
      <c r="I793" s="2"/>
      <c r="J793" s="2"/>
      <c r="K793" s="2"/>
      <c r="L793" s="2"/>
      <c r="M793" s="2"/>
      <c r="N793" s="2"/>
      <c r="O793" s="2"/>
      <c r="P793" s="2"/>
      <c r="Q793" s="2"/>
      <c r="R793" s="2"/>
      <c r="S793" s="3"/>
      <c r="T793" s="3"/>
      <c r="U793" s="3"/>
      <c r="V793" s="3"/>
      <c r="W793" s="3"/>
      <c r="X793" s="3"/>
      <c r="Y793" s="3"/>
      <c r="Z793" s="3"/>
    </row>
    <row r="794" ht="15.75" customHeight="1">
      <c r="A794" s="3"/>
      <c r="B794" s="576"/>
      <c r="C794" s="2"/>
      <c r="D794" s="2"/>
      <c r="E794" s="2"/>
      <c r="F794" s="464"/>
      <c r="G794" s="2"/>
      <c r="H794" s="2"/>
      <c r="I794" s="2"/>
      <c r="J794" s="2"/>
      <c r="K794" s="2"/>
      <c r="L794" s="2"/>
      <c r="M794" s="2"/>
      <c r="N794" s="2"/>
      <c r="O794" s="2"/>
      <c r="P794" s="2"/>
      <c r="Q794" s="2"/>
      <c r="R794" s="2"/>
      <c r="S794" s="3"/>
      <c r="T794" s="3"/>
      <c r="U794" s="3"/>
      <c r="V794" s="3"/>
      <c r="W794" s="3"/>
      <c r="X794" s="3"/>
      <c r="Y794" s="3"/>
      <c r="Z794" s="3"/>
    </row>
    <row r="795" ht="15.75" customHeight="1">
      <c r="A795" s="3"/>
      <c r="B795" s="576"/>
      <c r="C795" s="2"/>
      <c r="D795" s="2"/>
      <c r="E795" s="2"/>
      <c r="F795" s="464"/>
      <c r="G795" s="2"/>
      <c r="H795" s="2"/>
      <c r="I795" s="2"/>
      <c r="J795" s="2"/>
      <c r="K795" s="2"/>
      <c r="L795" s="2"/>
      <c r="M795" s="2"/>
      <c r="N795" s="2"/>
      <c r="O795" s="2"/>
      <c r="P795" s="2"/>
      <c r="Q795" s="2"/>
      <c r="R795" s="2"/>
      <c r="S795" s="3"/>
      <c r="T795" s="3"/>
      <c r="U795" s="3"/>
      <c r="V795" s="3"/>
      <c r="W795" s="3"/>
      <c r="X795" s="3"/>
      <c r="Y795" s="3"/>
      <c r="Z795" s="3"/>
    </row>
    <row r="796" ht="15.75" customHeight="1">
      <c r="A796" s="3"/>
      <c r="B796" s="576"/>
      <c r="C796" s="2"/>
      <c r="D796" s="2"/>
      <c r="E796" s="2"/>
      <c r="F796" s="464"/>
      <c r="G796" s="2"/>
      <c r="H796" s="2"/>
      <c r="I796" s="2"/>
      <c r="J796" s="2"/>
      <c r="K796" s="2"/>
      <c r="L796" s="2"/>
      <c r="M796" s="2"/>
      <c r="N796" s="2"/>
      <c r="O796" s="2"/>
      <c r="P796" s="2"/>
      <c r="Q796" s="2"/>
      <c r="R796" s="2"/>
      <c r="S796" s="3"/>
      <c r="T796" s="3"/>
      <c r="U796" s="3"/>
      <c r="V796" s="3"/>
      <c r="W796" s="3"/>
      <c r="X796" s="3"/>
      <c r="Y796" s="3"/>
      <c r="Z796" s="3"/>
    </row>
    <row r="797" ht="15.75" customHeight="1">
      <c r="A797" s="3"/>
      <c r="B797" s="576"/>
      <c r="C797" s="2"/>
      <c r="D797" s="2"/>
      <c r="E797" s="2"/>
      <c r="F797" s="464"/>
      <c r="G797" s="2"/>
      <c r="H797" s="2"/>
      <c r="I797" s="2"/>
      <c r="J797" s="2"/>
      <c r="K797" s="2"/>
      <c r="L797" s="2"/>
      <c r="M797" s="2"/>
      <c r="N797" s="2"/>
      <c r="O797" s="2"/>
      <c r="P797" s="2"/>
      <c r="Q797" s="2"/>
      <c r="R797" s="2"/>
      <c r="S797" s="3"/>
      <c r="T797" s="3"/>
      <c r="U797" s="3"/>
      <c r="V797" s="3"/>
      <c r="W797" s="3"/>
      <c r="X797" s="3"/>
      <c r="Y797" s="3"/>
      <c r="Z797" s="3"/>
    </row>
    <row r="798" ht="15.75" customHeight="1">
      <c r="A798" s="3"/>
      <c r="B798" s="576"/>
      <c r="C798" s="2"/>
      <c r="D798" s="2"/>
      <c r="E798" s="2"/>
      <c r="F798" s="464"/>
      <c r="G798" s="2"/>
      <c r="H798" s="2"/>
      <c r="I798" s="2"/>
      <c r="J798" s="2"/>
      <c r="K798" s="2"/>
      <c r="L798" s="2"/>
      <c r="M798" s="2"/>
      <c r="N798" s="2"/>
      <c r="O798" s="2"/>
      <c r="P798" s="2"/>
      <c r="Q798" s="2"/>
      <c r="R798" s="2"/>
      <c r="S798" s="3"/>
      <c r="T798" s="3"/>
      <c r="U798" s="3"/>
      <c r="V798" s="3"/>
      <c r="W798" s="3"/>
      <c r="X798" s="3"/>
      <c r="Y798" s="3"/>
      <c r="Z798" s="3"/>
    </row>
    <row r="799" ht="15.75" customHeight="1">
      <c r="A799" s="3"/>
      <c r="B799" s="576"/>
      <c r="C799" s="2"/>
      <c r="D799" s="2"/>
      <c r="E799" s="2"/>
      <c r="F799" s="464"/>
      <c r="G799" s="2"/>
      <c r="H799" s="2"/>
      <c r="I799" s="2"/>
      <c r="J799" s="2"/>
      <c r="K799" s="2"/>
      <c r="L799" s="2"/>
      <c r="M799" s="2"/>
      <c r="N799" s="2"/>
      <c r="O799" s="2"/>
      <c r="P799" s="2"/>
      <c r="Q799" s="2"/>
      <c r="R799" s="2"/>
      <c r="S799" s="3"/>
      <c r="T799" s="3"/>
      <c r="U799" s="3"/>
      <c r="V799" s="3"/>
      <c r="W799" s="3"/>
      <c r="X799" s="3"/>
      <c r="Y799" s="3"/>
      <c r="Z799" s="3"/>
    </row>
    <row r="800" ht="15.75" customHeight="1">
      <c r="A800" s="3"/>
      <c r="B800" s="576"/>
      <c r="C800" s="2"/>
      <c r="D800" s="2"/>
      <c r="E800" s="2"/>
      <c r="F800" s="464"/>
      <c r="G800" s="2"/>
      <c r="H800" s="2"/>
      <c r="I800" s="2"/>
      <c r="J800" s="2"/>
      <c r="K800" s="2"/>
      <c r="L800" s="2"/>
      <c r="M800" s="2"/>
      <c r="N800" s="2"/>
      <c r="O800" s="2"/>
      <c r="P800" s="2"/>
      <c r="Q800" s="2"/>
      <c r="R800" s="2"/>
      <c r="S800" s="3"/>
      <c r="T800" s="3"/>
      <c r="U800" s="3"/>
      <c r="V800" s="3"/>
      <c r="W800" s="3"/>
      <c r="X800" s="3"/>
      <c r="Y800" s="3"/>
      <c r="Z800" s="3"/>
    </row>
    <row r="801" ht="15.75" customHeight="1">
      <c r="A801" s="3"/>
      <c r="B801" s="576"/>
      <c r="C801" s="2"/>
      <c r="D801" s="2"/>
      <c r="E801" s="2"/>
      <c r="F801" s="464"/>
      <c r="G801" s="2"/>
      <c r="H801" s="2"/>
      <c r="I801" s="2"/>
      <c r="J801" s="2"/>
      <c r="K801" s="2"/>
      <c r="L801" s="2"/>
      <c r="M801" s="2"/>
      <c r="N801" s="2"/>
      <c r="O801" s="2"/>
      <c r="P801" s="2"/>
      <c r="Q801" s="2"/>
      <c r="R801" s="2"/>
      <c r="S801" s="3"/>
      <c r="T801" s="3"/>
      <c r="U801" s="3"/>
      <c r="V801" s="3"/>
      <c r="W801" s="3"/>
      <c r="X801" s="3"/>
      <c r="Y801" s="3"/>
      <c r="Z801" s="3"/>
    </row>
    <row r="802" ht="15.75" customHeight="1">
      <c r="A802" s="3"/>
      <c r="B802" s="576"/>
      <c r="C802" s="2"/>
      <c r="D802" s="2"/>
      <c r="E802" s="2"/>
      <c r="F802" s="464"/>
      <c r="G802" s="2"/>
      <c r="H802" s="2"/>
      <c r="I802" s="2"/>
      <c r="J802" s="2"/>
      <c r="K802" s="2"/>
      <c r="L802" s="2"/>
      <c r="M802" s="2"/>
      <c r="N802" s="2"/>
      <c r="O802" s="2"/>
      <c r="P802" s="2"/>
      <c r="Q802" s="2"/>
      <c r="R802" s="2"/>
      <c r="S802" s="3"/>
      <c r="T802" s="3"/>
      <c r="U802" s="3"/>
      <c r="V802" s="3"/>
      <c r="W802" s="3"/>
      <c r="X802" s="3"/>
      <c r="Y802" s="3"/>
      <c r="Z802" s="3"/>
    </row>
    <row r="803" ht="15.75" customHeight="1">
      <c r="A803" s="3"/>
      <c r="B803" s="576"/>
      <c r="C803" s="2"/>
      <c r="D803" s="2"/>
      <c r="E803" s="2"/>
      <c r="F803" s="464"/>
      <c r="G803" s="2"/>
      <c r="H803" s="2"/>
      <c r="I803" s="2"/>
      <c r="J803" s="2"/>
      <c r="K803" s="2"/>
      <c r="L803" s="2"/>
      <c r="M803" s="2"/>
      <c r="N803" s="2"/>
      <c r="O803" s="2"/>
      <c r="P803" s="2"/>
      <c r="Q803" s="2"/>
      <c r="R803" s="2"/>
      <c r="S803" s="3"/>
      <c r="T803" s="3"/>
      <c r="U803" s="3"/>
      <c r="V803" s="3"/>
      <c r="W803" s="3"/>
      <c r="X803" s="3"/>
      <c r="Y803" s="3"/>
      <c r="Z803" s="3"/>
    </row>
    <row r="804" ht="15.75" customHeight="1">
      <c r="A804" s="3"/>
      <c r="B804" s="576"/>
      <c r="C804" s="2"/>
      <c r="D804" s="2"/>
      <c r="E804" s="2"/>
      <c r="F804" s="464"/>
      <c r="G804" s="2"/>
      <c r="H804" s="2"/>
      <c r="I804" s="2"/>
      <c r="J804" s="2"/>
      <c r="K804" s="2"/>
      <c r="L804" s="2"/>
      <c r="M804" s="2"/>
      <c r="N804" s="2"/>
      <c r="O804" s="2"/>
      <c r="P804" s="2"/>
      <c r="Q804" s="2"/>
      <c r="R804" s="2"/>
      <c r="S804" s="3"/>
      <c r="T804" s="3"/>
      <c r="U804" s="3"/>
      <c r="V804" s="3"/>
      <c r="W804" s="3"/>
      <c r="X804" s="3"/>
      <c r="Y804" s="3"/>
      <c r="Z804" s="3"/>
    </row>
    <row r="805" ht="15.75" customHeight="1">
      <c r="A805" s="3"/>
      <c r="B805" s="576"/>
      <c r="C805" s="2"/>
      <c r="D805" s="2"/>
      <c r="E805" s="2"/>
      <c r="F805" s="464"/>
      <c r="G805" s="2"/>
      <c r="H805" s="2"/>
      <c r="I805" s="2"/>
      <c r="J805" s="2"/>
      <c r="K805" s="2"/>
      <c r="L805" s="2"/>
      <c r="M805" s="2"/>
      <c r="N805" s="2"/>
      <c r="O805" s="2"/>
      <c r="P805" s="2"/>
      <c r="Q805" s="2"/>
      <c r="R805" s="2"/>
      <c r="S805" s="3"/>
      <c r="T805" s="3"/>
      <c r="U805" s="3"/>
      <c r="V805" s="3"/>
      <c r="W805" s="3"/>
      <c r="X805" s="3"/>
      <c r="Y805" s="3"/>
      <c r="Z805" s="3"/>
    </row>
    <row r="806" ht="15.75" customHeight="1">
      <c r="A806" s="3"/>
      <c r="B806" s="576"/>
      <c r="C806" s="2"/>
      <c r="D806" s="2"/>
      <c r="E806" s="2"/>
      <c r="F806" s="464"/>
      <c r="G806" s="2"/>
      <c r="H806" s="2"/>
      <c r="I806" s="2"/>
      <c r="J806" s="2"/>
      <c r="K806" s="2"/>
      <c r="L806" s="2"/>
      <c r="M806" s="2"/>
      <c r="N806" s="2"/>
      <c r="O806" s="2"/>
      <c r="P806" s="2"/>
      <c r="Q806" s="2"/>
      <c r="R806" s="2"/>
      <c r="S806" s="3"/>
      <c r="T806" s="3"/>
      <c r="U806" s="3"/>
      <c r="V806" s="3"/>
      <c r="W806" s="3"/>
      <c r="X806" s="3"/>
      <c r="Y806" s="3"/>
      <c r="Z806" s="3"/>
    </row>
    <row r="807" ht="15.75" customHeight="1">
      <c r="A807" s="3"/>
      <c r="B807" s="576"/>
      <c r="C807" s="2"/>
      <c r="D807" s="2"/>
      <c r="E807" s="2"/>
      <c r="F807" s="464"/>
      <c r="G807" s="2"/>
      <c r="H807" s="2"/>
      <c r="I807" s="2"/>
      <c r="J807" s="2"/>
      <c r="K807" s="2"/>
      <c r="L807" s="2"/>
      <c r="M807" s="2"/>
      <c r="N807" s="2"/>
      <c r="O807" s="2"/>
      <c r="P807" s="2"/>
      <c r="Q807" s="2"/>
      <c r="R807" s="2"/>
      <c r="S807" s="3"/>
      <c r="T807" s="3"/>
      <c r="U807" s="3"/>
      <c r="V807" s="3"/>
      <c r="W807" s="3"/>
      <c r="X807" s="3"/>
      <c r="Y807" s="3"/>
      <c r="Z807" s="3"/>
    </row>
    <row r="808" ht="15.75" customHeight="1">
      <c r="A808" s="3"/>
      <c r="B808" s="576"/>
      <c r="C808" s="2"/>
      <c r="D808" s="2"/>
      <c r="E808" s="2"/>
      <c r="F808" s="464"/>
      <c r="G808" s="2"/>
      <c r="H808" s="2"/>
      <c r="I808" s="2"/>
      <c r="J808" s="2"/>
      <c r="K808" s="2"/>
      <c r="L808" s="2"/>
      <c r="M808" s="2"/>
      <c r="N808" s="2"/>
      <c r="O808" s="2"/>
      <c r="P808" s="2"/>
      <c r="Q808" s="2"/>
      <c r="R808" s="2"/>
      <c r="S808" s="3"/>
      <c r="T808" s="3"/>
      <c r="U808" s="3"/>
      <c r="V808" s="3"/>
      <c r="W808" s="3"/>
      <c r="X808" s="3"/>
      <c r="Y808" s="3"/>
      <c r="Z808" s="3"/>
    </row>
    <row r="809" ht="15.75" customHeight="1">
      <c r="A809" s="3"/>
      <c r="B809" s="576"/>
      <c r="C809" s="2"/>
      <c r="D809" s="2"/>
      <c r="E809" s="2"/>
      <c r="F809" s="464"/>
      <c r="G809" s="2"/>
      <c r="H809" s="2"/>
      <c r="I809" s="2"/>
      <c r="J809" s="2"/>
      <c r="K809" s="2"/>
      <c r="L809" s="2"/>
      <c r="M809" s="2"/>
      <c r="N809" s="2"/>
      <c r="O809" s="2"/>
      <c r="P809" s="2"/>
      <c r="Q809" s="2"/>
      <c r="R809" s="2"/>
      <c r="S809" s="3"/>
      <c r="T809" s="3"/>
      <c r="U809" s="3"/>
      <c r="V809" s="3"/>
      <c r="W809" s="3"/>
      <c r="X809" s="3"/>
      <c r="Y809" s="3"/>
      <c r="Z809" s="3"/>
    </row>
    <row r="810" ht="15.75" customHeight="1">
      <c r="A810" s="3"/>
      <c r="B810" s="576"/>
      <c r="C810" s="2"/>
      <c r="D810" s="2"/>
      <c r="E810" s="2"/>
      <c r="F810" s="464"/>
      <c r="G810" s="2"/>
      <c r="H810" s="2"/>
      <c r="I810" s="2"/>
      <c r="J810" s="2"/>
      <c r="K810" s="2"/>
      <c r="L810" s="2"/>
      <c r="M810" s="2"/>
      <c r="N810" s="2"/>
      <c r="O810" s="2"/>
      <c r="P810" s="2"/>
      <c r="Q810" s="2"/>
      <c r="R810" s="2"/>
      <c r="S810" s="3"/>
      <c r="T810" s="3"/>
      <c r="U810" s="3"/>
      <c r="V810" s="3"/>
      <c r="W810" s="3"/>
      <c r="X810" s="3"/>
      <c r="Y810" s="3"/>
      <c r="Z810" s="3"/>
    </row>
    <row r="811" ht="15.75" customHeight="1">
      <c r="A811" s="3"/>
      <c r="B811" s="576"/>
      <c r="C811" s="2"/>
      <c r="D811" s="2"/>
      <c r="E811" s="2"/>
      <c r="F811" s="464"/>
      <c r="G811" s="2"/>
      <c r="H811" s="2"/>
      <c r="I811" s="2"/>
      <c r="J811" s="2"/>
      <c r="K811" s="2"/>
      <c r="L811" s="2"/>
      <c r="M811" s="2"/>
      <c r="N811" s="2"/>
      <c r="O811" s="2"/>
      <c r="P811" s="2"/>
      <c r="Q811" s="2"/>
      <c r="R811" s="2"/>
      <c r="S811" s="3"/>
      <c r="T811" s="3"/>
      <c r="U811" s="3"/>
      <c r="V811" s="3"/>
      <c r="W811" s="3"/>
      <c r="X811" s="3"/>
      <c r="Y811" s="3"/>
      <c r="Z811" s="3"/>
    </row>
    <row r="812" ht="15.75" customHeight="1">
      <c r="A812" s="3"/>
      <c r="B812" s="576"/>
      <c r="C812" s="2"/>
      <c r="D812" s="2"/>
      <c r="E812" s="2"/>
      <c r="F812" s="464"/>
      <c r="G812" s="2"/>
      <c r="H812" s="2"/>
      <c r="I812" s="2"/>
      <c r="J812" s="2"/>
      <c r="K812" s="2"/>
      <c r="L812" s="2"/>
      <c r="M812" s="2"/>
      <c r="N812" s="2"/>
      <c r="O812" s="2"/>
      <c r="P812" s="2"/>
      <c r="Q812" s="2"/>
      <c r="R812" s="2"/>
      <c r="S812" s="3"/>
      <c r="T812" s="3"/>
      <c r="U812" s="3"/>
      <c r="V812" s="3"/>
      <c r="W812" s="3"/>
      <c r="X812" s="3"/>
      <c r="Y812" s="3"/>
      <c r="Z812" s="3"/>
    </row>
    <row r="813" ht="15.75" customHeight="1">
      <c r="A813" s="3"/>
      <c r="B813" s="576"/>
      <c r="C813" s="2"/>
      <c r="D813" s="2"/>
      <c r="E813" s="2"/>
      <c r="F813" s="464"/>
      <c r="G813" s="2"/>
      <c r="H813" s="2"/>
      <c r="I813" s="2"/>
      <c r="J813" s="2"/>
      <c r="K813" s="2"/>
      <c r="L813" s="2"/>
      <c r="M813" s="2"/>
      <c r="N813" s="2"/>
      <c r="O813" s="2"/>
      <c r="P813" s="2"/>
      <c r="Q813" s="2"/>
      <c r="R813" s="2"/>
      <c r="S813" s="3"/>
      <c r="T813" s="3"/>
      <c r="U813" s="3"/>
      <c r="V813" s="3"/>
      <c r="W813" s="3"/>
      <c r="X813" s="3"/>
      <c r="Y813" s="3"/>
      <c r="Z813" s="3"/>
    </row>
    <row r="814" ht="15.75" customHeight="1">
      <c r="A814" s="3"/>
      <c r="B814" s="576"/>
      <c r="C814" s="2"/>
      <c r="D814" s="2"/>
      <c r="E814" s="2"/>
      <c r="F814" s="464"/>
      <c r="G814" s="2"/>
      <c r="H814" s="2"/>
      <c r="I814" s="2"/>
      <c r="J814" s="2"/>
      <c r="K814" s="2"/>
      <c r="L814" s="2"/>
      <c r="M814" s="2"/>
      <c r="N814" s="2"/>
      <c r="O814" s="2"/>
      <c r="P814" s="2"/>
      <c r="Q814" s="2"/>
      <c r="R814" s="2"/>
      <c r="S814" s="3"/>
      <c r="T814" s="3"/>
      <c r="U814" s="3"/>
      <c r="V814" s="3"/>
      <c r="W814" s="3"/>
      <c r="X814" s="3"/>
      <c r="Y814" s="3"/>
      <c r="Z814" s="3"/>
    </row>
    <row r="815" ht="15.75" customHeight="1">
      <c r="A815" s="3"/>
      <c r="B815" s="576"/>
      <c r="C815" s="2"/>
      <c r="D815" s="2"/>
      <c r="E815" s="2"/>
      <c r="F815" s="464"/>
      <c r="G815" s="2"/>
      <c r="H815" s="2"/>
      <c r="I815" s="2"/>
      <c r="J815" s="2"/>
      <c r="K815" s="2"/>
      <c r="L815" s="2"/>
      <c r="M815" s="2"/>
      <c r="N815" s="2"/>
      <c r="O815" s="2"/>
      <c r="P815" s="2"/>
      <c r="Q815" s="2"/>
      <c r="R815" s="2"/>
      <c r="S815" s="3"/>
      <c r="T815" s="3"/>
      <c r="U815" s="3"/>
      <c r="V815" s="3"/>
      <c r="W815" s="3"/>
      <c r="X815" s="3"/>
      <c r="Y815" s="3"/>
      <c r="Z815" s="3"/>
    </row>
    <row r="816" ht="15.75" customHeight="1">
      <c r="A816" s="3"/>
      <c r="B816" s="576"/>
      <c r="C816" s="2"/>
      <c r="D816" s="2"/>
      <c r="E816" s="2"/>
      <c r="F816" s="464"/>
      <c r="G816" s="2"/>
      <c r="H816" s="2"/>
      <c r="I816" s="2"/>
      <c r="J816" s="2"/>
      <c r="K816" s="2"/>
      <c r="L816" s="2"/>
      <c r="M816" s="2"/>
      <c r="N816" s="2"/>
      <c r="O816" s="2"/>
      <c r="P816" s="2"/>
      <c r="Q816" s="2"/>
      <c r="R816" s="2"/>
      <c r="S816" s="3"/>
      <c r="T816" s="3"/>
      <c r="U816" s="3"/>
      <c r="V816" s="3"/>
      <c r="W816" s="3"/>
      <c r="X816" s="3"/>
      <c r="Y816" s="3"/>
      <c r="Z816" s="3"/>
    </row>
    <row r="817" ht="15.75" customHeight="1">
      <c r="A817" s="3"/>
      <c r="B817" s="576"/>
      <c r="C817" s="2"/>
      <c r="D817" s="2"/>
      <c r="E817" s="2"/>
      <c r="F817" s="464"/>
      <c r="G817" s="2"/>
      <c r="H817" s="2"/>
      <c r="I817" s="2"/>
      <c r="J817" s="2"/>
      <c r="K817" s="2"/>
      <c r="L817" s="2"/>
      <c r="M817" s="2"/>
      <c r="N817" s="2"/>
      <c r="O817" s="2"/>
      <c r="P817" s="2"/>
      <c r="Q817" s="2"/>
      <c r="R817" s="2"/>
      <c r="S817" s="3"/>
      <c r="T817" s="3"/>
      <c r="U817" s="3"/>
      <c r="V817" s="3"/>
      <c r="W817" s="3"/>
      <c r="X817" s="3"/>
      <c r="Y817" s="3"/>
      <c r="Z817" s="3"/>
    </row>
    <row r="818" ht="15.75" customHeight="1">
      <c r="A818" s="3"/>
      <c r="B818" s="576"/>
      <c r="C818" s="2"/>
      <c r="D818" s="2"/>
      <c r="E818" s="2"/>
      <c r="F818" s="464"/>
      <c r="G818" s="2"/>
      <c r="H818" s="2"/>
      <c r="I818" s="2"/>
      <c r="J818" s="2"/>
      <c r="K818" s="2"/>
      <c r="L818" s="2"/>
      <c r="M818" s="2"/>
      <c r="N818" s="2"/>
      <c r="O818" s="2"/>
      <c r="P818" s="2"/>
      <c r="Q818" s="2"/>
      <c r="R818" s="2"/>
      <c r="S818" s="3"/>
      <c r="T818" s="3"/>
      <c r="U818" s="3"/>
      <c r="V818" s="3"/>
      <c r="W818" s="3"/>
      <c r="X818" s="3"/>
      <c r="Y818" s="3"/>
      <c r="Z818" s="3"/>
    </row>
    <row r="819" ht="15.75" customHeight="1">
      <c r="A819" s="3"/>
      <c r="B819" s="576"/>
      <c r="C819" s="2"/>
      <c r="D819" s="2"/>
      <c r="E819" s="2"/>
      <c r="F819" s="464"/>
      <c r="G819" s="2"/>
      <c r="H819" s="2"/>
      <c r="I819" s="2"/>
      <c r="J819" s="2"/>
      <c r="K819" s="2"/>
      <c r="L819" s="2"/>
      <c r="M819" s="2"/>
      <c r="N819" s="2"/>
      <c r="O819" s="2"/>
      <c r="P819" s="2"/>
      <c r="Q819" s="2"/>
      <c r="R819" s="2"/>
      <c r="S819" s="3"/>
      <c r="T819" s="3"/>
      <c r="U819" s="3"/>
      <c r="V819" s="3"/>
      <c r="W819" s="3"/>
      <c r="X819" s="3"/>
      <c r="Y819" s="3"/>
      <c r="Z819" s="3"/>
    </row>
    <row r="820" ht="15.75" customHeight="1">
      <c r="A820" s="3"/>
      <c r="B820" s="576"/>
      <c r="C820" s="2"/>
      <c r="D820" s="2"/>
      <c r="E820" s="2"/>
      <c r="F820" s="464"/>
      <c r="G820" s="2"/>
      <c r="H820" s="2"/>
      <c r="I820" s="2"/>
      <c r="J820" s="2"/>
      <c r="K820" s="2"/>
      <c r="L820" s="2"/>
      <c r="M820" s="2"/>
      <c r="N820" s="2"/>
      <c r="O820" s="2"/>
      <c r="P820" s="2"/>
      <c r="Q820" s="2"/>
      <c r="R820" s="2"/>
      <c r="S820" s="3"/>
      <c r="T820" s="3"/>
      <c r="U820" s="3"/>
      <c r="V820" s="3"/>
      <c r="W820" s="3"/>
      <c r="X820" s="3"/>
      <c r="Y820" s="3"/>
      <c r="Z820" s="3"/>
    </row>
    <row r="821" ht="15.75" customHeight="1">
      <c r="A821" s="3"/>
      <c r="B821" s="576"/>
      <c r="C821" s="2"/>
      <c r="D821" s="2"/>
      <c r="E821" s="2"/>
      <c r="F821" s="464"/>
      <c r="G821" s="2"/>
      <c r="H821" s="2"/>
      <c r="I821" s="2"/>
      <c r="J821" s="2"/>
      <c r="K821" s="2"/>
      <c r="L821" s="2"/>
      <c r="M821" s="2"/>
      <c r="N821" s="2"/>
      <c r="O821" s="2"/>
      <c r="P821" s="2"/>
      <c r="Q821" s="2"/>
      <c r="R821" s="2"/>
      <c r="S821" s="3"/>
      <c r="T821" s="3"/>
      <c r="U821" s="3"/>
      <c r="V821" s="3"/>
      <c r="W821" s="3"/>
      <c r="X821" s="3"/>
      <c r="Y821" s="3"/>
      <c r="Z821" s="3"/>
    </row>
    <row r="822" ht="15.75" customHeight="1">
      <c r="A822" s="3"/>
      <c r="B822" s="576"/>
      <c r="C822" s="2"/>
      <c r="D822" s="2"/>
      <c r="E822" s="2"/>
      <c r="F822" s="464"/>
      <c r="G822" s="2"/>
      <c r="H822" s="2"/>
      <c r="I822" s="2"/>
      <c r="J822" s="2"/>
      <c r="K822" s="2"/>
      <c r="L822" s="2"/>
      <c r="M822" s="2"/>
      <c r="N822" s="2"/>
      <c r="O822" s="2"/>
      <c r="P822" s="2"/>
      <c r="Q822" s="2"/>
      <c r="R822" s="2"/>
      <c r="S822" s="3"/>
      <c r="T822" s="3"/>
      <c r="U822" s="3"/>
      <c r="V822" s="3"/>
      <c r="W822" s="3"/>
      <c r="X822" s="3"/>
      <c r="Y822" s="3"/>
      <c r="Z822" s="3"/>
    </row>
    <row r="823" ht="15.75" customHeight="1">
      <c r="A823" s="3"/>
      <c r="B823" s="576"/>
      <c r="C823" s="2"/>
      <c r="D823" s="2"/>
      <c r="E823" s="2"/>
      <c r="F823" s="464"/>
      <c r="G823" s="2"/>
      <c r="H823" s="2"/>
      <c r="I823" s="2"/>
      <c r="J823" s="2"/>
      <c r="K823" s="2"/>
      <c r="L823" s="2"/>
      <c r="M823" s="2"/>
      <c r="N823" s="2"/>
      <c r="O823" s="2"/>
      <c r="P823" s="2"/>
      <c r="Q823" s="2"/>
      <c r="R823" s="2"/>
      <c r="S823" s="3"/>
      <c r="T823" s="3"/>
      <c r="U823" s="3"/>
      <c r="V823" s="3"/>
      <c r="W823" s="3"/>
      <c r="X823" s="3"/>
      <c r="Y823" s="3"/>
      <c r="Z823" s="3"/>
    </row>
    <row r="824" ht="15.75" customHeight="1">
      <c r="A824" s="3"/>
      <c r="B824" s="576"/>
      <c r="C824" s="2"/>
      <c r="D824" s="2"/>
      <c r="E824" s="2"/>
      <c r="F824" s="464"/>
      <c r="G824" s="2"/>
      <c r="H824" s="2"/>
      <c r="I824" s="2"/>
      <c r="J824" s="2"/>
      <c r="K824" s="2"/>
      <c r="L824" s="2"/>
      <c r="M824" s="2"/>
      <c r="N824" s="2"/>
      <c r="O824" s="2"/>
      <c r="P824" s="2"/>
      <c r="Q824" s="2"/>
      <c r="R824" s="2"/>
      <c r="S824" s="3"/>
      <c r="T824" s="3"/>
      <c r="U824" s="3"/>
      <c r="V824" s="3"/>
      <c r="W824" s="3"/>
      <c r="X824" s="3"/>
      <c r="Y824" s="3"/>
      <c r="Z824" s="3"/>
    </row>
    <row r="825" ht="15.75" customHeight="1">
      <c r="A825" s="3"/>
      <c r="B825" s="576"/>
      <c r="C825" s="2"/>
      <c r="D825" s="2"/>
      <c r="E825" s="2"/>
      <c r="F825" s="464"/>
      <c r="G825" s="2"/>
      <c r="H825" s="2"/>
      <c r="I825" s="2"/>
      <c r="J825" s="2"/>
      <c r="K825" s="2"/>
      <c r="L825" s="2"/>
      <c r="M825" s="2"/>
      <c r="N825" s="2"/>
      <c r="O825" s="2"/>
      <c r="P825" s="2"/>
      <c r="Q825" s="2"/>
      <c r="R825" s="2"/>
      <c r="S825" s="3"/>
      <c r="T825" s="3"/>
      <c r="U825" s="3"/>
      <c r="V825" s="3"/>
      <c r="W825" s="3"/>
      <c r="X825" s="3"/>
      <c r="Y825" s="3"/>
      <c r="Z825" s="3"/>
    </row>
    <row r="826" ht="15.75" customHeight="1">
      <c r="A826" s="3"/>
      <c r="B826" s="576"/>
      <c r="C826" s="2"/>
      <c r="D826" s="2"/>
      <c r="E826" s="2"/>
      <c r="F826" s="464"/>
      <c r="G826" s="2"/>
      <c r="H826" s="2"/>
      <c r="I826" s="2"/>
      <c r="J826" s="2"/>
      <c r="K826" s="2"/>
      <c r="L826" s="2"/>
      <c r="M826" s="2"/>
      <c r="N826" s="2"/>
      <c r="O826" s="2"/>
      <c r="P826" s="2"/>
      <c r="Q826" s="2"/>
      <c r="R826" s="2"/>
      <c r="S826" s="3"/>
      <c r="T826" s="3"/>
      <c r="U826" s="3"/>
      <c r="V826" s="3"/>
      <c r="W826" s="3"/>
      <c r="X826" s="3"/>
      <c r="Y826" s="3"/>
      <c r="Z826" s="3"/>
    </row>
    <row r="827" ht="15.75" customHeight="1">
      <c r="A827" s="3"/>
      <c r="B827" s="576"/>
      <c r="C827" s="2"/>
      <c r="D827" s="2"/>
      <c r="E827" s="2"/>
      <c r="F827" s="464"/>
      <c r="G827" s="2"/>
      <c r="H827" s="2"/>
      <c r="I827" s="2"/>
      <c r="J827" s="2"/>
      <c r="K827" s="2"/>
      <c r="L827" s="2"/>
      <c r="M827" s="2"/>
      <c r="N827" s="2"/>
      <c r="O827" s="2"/>
      <c r="P827" s="2"/>
      <c r="Q827" s="2"/>
      <c r="R827" s="2"/>
      <c r="S827" s="3"/>
      <c r="T827" s="3"/>
      <c r="U827" s="3"/>
      <c r="V827" s="3"/>
      <c r="W827" s="3"/>
      <c r="X827" s="3"/>
      <c r="Y827" s="3"/>
      <c r="Z827" s="3"/>
    </row>
    <row r="828" ht="15.75" customHeight="1">
      <c r="A828" s="3"/>
      <c r="B828" s="576"/>
      <c r="C828" s="2"/>
      <c r="D828" s="2"/>
      <c r="E828" s="2"/>
      <c r="F828" s="464"/>
      <c r="G828" s="2"/>
      <c r="H828" s="2"/>
      <c r="I828" s="2"/>
      <c r="J828" s="2"/>
      <c r="K828" s="2"/>
      <c r="L828" s="2"/>
      <c r="M828" s="2"/>
      <c r="N828" s="2"/>
      <c r="O828" s="2"/>
      <c r="P828" s="2"/>
      <c r="Q828" s="2"/>
      <c r="R828" s="2"/>
      <c r="S828" s="3"/>
      <c r="T828" s="3"/>
      <c r="U828" s="3"/>
      <c r="V828" s="3"/>
      <c r="W828" s="3"/>
      <c r="X828" s="3"/>
      <c r="Y828" s="3"/>
      <c r="Z828" s="3"/>
    </row>
    <row r="829" ht="15.75" customHeight="1">
      <c r="A829" s="3"/>
      <c r="B829" s="576"/>
      <c r="C829" s="2"/>
      <c r="D829" s="2"/>
      <c r="E829" s="2"/>
      <c r="F829" s="464"/>
      <c r="G829" s="2"/>
      <c r="H829" s="2"/>
      <c r="I829" s="2"/>
      <c r="J829" s="2"/>
      <c r="K829" s="2"/>
      <c r="L829" s="2"/>
      <c r="M829" s="2"/>
      <c r="N829" s="2"/>
      <c r="O829" s="2"/>
      <c r="P829" s="2"/>
      <c r="Q829" s="2"/>
      <c r="R829" s="2"/>
      <c r="S829" s="3"/>
      <c r="T829" s="3"/>
      <c r="U829" s="3"/>
      <c r="V829" s="3"/>
      <c r="W829" s="3"/>
      <c r="X829" s="3"/>
      <c r="Y829" s="3"/>
      <c r="Z829" s="3"/>
    </row>
    <row r="830" ht="15.75" customHeight="1">
      <c r="A830" s="3"/>
      <c r="B830" s="576"/>
      <c r="C830" s="2"/>
      <c r="D830" s="2"/>
      <c r="E830" s="2"/>
      <c r="F830" s="464"/>
      <c r="G830" s="2"/>
      <c r="H830" s="2"/>
      <c r="I830" s="2"/>
      <c r="J830" s="2"/>
      <c r="K830" s="2"/>
      <c r="L830" s="2"/>
      <c r="M830" s="2"/>
      <c r="N830" s="2"/>
      <c r="O830" s="2"/>
      <c r="P830" s="2"/>
      <c r="Q830" s="2"/>
      <c r="R830" s="2"/>
      <c r="S830" s="3"/>
      <c r="T830" s="3"/>
      <c r="U830" s="3"/>
      <c r="V830" s="3"/>
      <c r="W830" s="3"/>
      <c r="X830" s="3"/>
      <c r="Y830" s="3"/>
      <c r="Z830" s="3"/>
    </row>
    <row r="831" ht="15.75" customHeight="1">
      <c r="A831" s="3"/>
      <c r="B831" s="576"/>
      <c r="C831" s="2"/>
      <c r="D831" s="2"/>
      <c r="E831" s="2"/>
      <c r="F831" s="464"/>
      <c r="G831" s="2"/>
      <c r="H831" s="2"/>
      <c r="I831" s="2"/>
      <c r="J831" s="2"/>
      <c r="K831" s="2"/>
      <c r="L831" s="2"/>
      <c r="M831" s="2"/>
      <c r="N831" s="2"/>
      <c r="O831" s="2"/>
      <c r="P831" s="2"/>
      <c r="Q831" s="2"/>
      <c r="R831" s="2"/>
      <c r="S831" s="3"/>
      <c r="T831" s="3"/>
      <c r="U831" s="3"/>
      <c r="V831" s="3"/>
      <c r="W831" s="3"/>
      <c r="X831" s="3"/>
      <c r="Y831" s="3"/>
      <c r="Z831" s="3"/>
    </row>
    <row r="832" ht="15.75" customHeight="1">
      <c r="A832" s="3"/>
      <c r="B832" s="576"/>
      <c r="C832" s="2"/>
      <c r="D832" s="2"/>
      <c r="E832" s="2"/>
      <c r="F832" s="464"/>
      <c r="G832" s="2"/>
      <c r="H832" s="2"/>
      <c r="I832" s="2"/>
      <c r="J832" s="2"/>
      <c r="K832" s="2"/>
      <c r="L832" s="2"/>
      <c r="M832" s="2"/>
      <c r="N832" s="2"/>
      <c r="O832" s="2"/>
      <c r="P832" s="2"/>
      <c r="Q832" s="2"/>
      <c r="R832" s="2"/>
      <c r="S832" s="3"/>
      <c r="T832" s="3"/>
      <c r="U832" s="3"/>
      <c r="V832" s="3"/>
      <c r="W832" s="3"/>
      <c r="X832" s="3"/>
      <c r="Y832" s="3"/>
      <c r="Z832" s="3"/>
    </row>
    <row r="833" ht="15.75" customHeight="1">
      <c r="A833" s="3"/>
      <c r="B833" s="576"/>
      <c r="C833" s="2"/>
      <c r="D833" s="2"/>
      <c r="E833" s="2"/>
      <c r="F833" s="464"/>
      <c r="G833" s="2"/>
      <c r="H833" s="2"/>
      <c r="I833" s="2"/>
      <c r="J833" s="2"/>
      <c r="K833" s="2"/>
      <c r="L833" s="2"/>
      <c r="M833" s="2"/>
      <c r="N833" s="2"/>
      <c r="O833" s="2"/>
      <c r="P833" s="2"/>
      <c r="Q833" s="2"/>
      <c r="R833" s="2"/>
      <c r="S833" s="3"/>
      <c r="T833" s="3"/>
      <c r="U833" s="3"/>
      <c r="V833" s="3"/>
      <c r="W833" s="3"/>
      <c r="X833" s="3"/>
      <c r="Y833" s="3"/>
      <c r="Z833" s="3"/>
    </row>
    <row r="834" ht="15.75" customHeight="1">
      <c r="A834" s="3"/>
      <c r="B834" s="576"/>
      <c r="C834" s="2"/>
      <c r="D834" s="2"/>
      <c r="E834" s="2"/>
      <c r="F834" s="464"/>
      <c r="G834" s="2"/>
      <c r="H834" s="2"/>
      <c r="I834" s="2"/>
      <c r="J834" s="2"/>
      <c r="K834" s="2"/>
      <c r="L834" s="2"/>
      <c r="M834" s="2"/>
      <c r="N834" s="2"/>
      <c r="O834" s="2"/>
      <c r="P834" s="2"/>
      <c r="Q834" s="2"/>
      <c r="R834" s="2"/>
      <c r="S834" s="3"/>
      <c r="T834" s="3"/>
      <c r="U834" s="3"/>
      <c r="V834" s="3"/>
      <c r="W834" s="3"/>
      <c r="X834" s="3"/>
      <c r="Y834" s="3"/>
      <c r="Z834" s="3"/>
    </row>
    <row r="835" ht="15.75" customHeight="1">
      <c r="A835" s="3"/>
      <c r="B835" s="576"/>
      <c r="C835" s="2"/>
      <c r="D835" s="2"/>
      <c r="E835" s="2"/>
      <c r="F835" s="464"/>
      <c r="G835" s="2"/>
      <c r="H835" s="2"/>
      <c r="I835" s="2"/>
      <c r="J835" s="2"/>
      <c r="K835" s="2"/>
      <c r="L835" s="2"/>
      <c r="M835" s="2"/>
      <c r="N835" s="2"/>
      <c r="O835" s="2"/>
      <c r="P835" s="2"/>
      <c r="Q835" s="2"/>
      <c r="R835" s="2"/>
      <c r="S835" s="3"/>
      <c r="T835" s="3"/>
      <c r="U835" s="3"/>
      <c r="V835" s="3"/>
      <c r="W835" s="3"/>
      <c r="X835" s="3"/>
      <c r="Y835" s="3"/>
      <c r="Z835" s="3"/>
    </row>
    <row r="836" ht="15.75" customHeight="1">
      <c r="A836" s="3"/>
      <c r="B836" s="576"/>
      <c r="C836" s="2"/>
      <c r="D836" s="2"/>
      <c r="E836" s="2"/>
      <c r="F836" s="464"/>
      <c r="G836" s="2"/>
      <c r="H836" s="2"/>
      <c r="I836" s="2"/>
      <c r="J836" s="2"/>
      <c r="K836" s="2"/>
      <c r="L836" s="2"/>
      <c r="M836" s="2"/>
      <c r="N836" s="2"/>
      <c r="O836" s="2"/>
      <c r="P836" s="2"/>
      <c r="Q836" s="2"/>
      <c r="R836" s="2"/>
      <c r="S836" s="3"/>
      <c r="T836" s="3"/>
      <c r="U836" s="3"/>
      <c r="V836" s="3"/>
      <c r="W836" s="3"/>
      <c r="X836" s="3"/>
      <c r="Y836" s="3"/>
      <c r="Z836" s="3"/>
    </row>
    <row r="837" ht="15.75" customHeight="1">
      <c r="A837" s="3"/>
      <c r="B837" s="576"/>
      <c r="C837" s="2"/>
      <c r="D837" s="2"/>
      <c r="E837" s="2"/>
      <c r="F837" s="464"/>
      <c r="G837" s="2"/>
      <c r="H837" s="2"/>
      <c r="I837" s="2"/>
      <c r="J837" s="2"/>
      <c r="K837" s="2"/>
      <c r="L837" s="2"/>
      <c r="M837" s="2"/>
      <c r="N837" s="2"/>
      <c r="O837" s="2"/>
      <c r="P837" s="2"/>
      <c r="Q837" s="2"/>
      <c r="R837" s="2"/>
      <c r="S837" s="3"/>
      <c r="T837" s="3"/>
      <c r="U837" s="3"/>
      <c r="V837" s="3"/>
      <c r="W837" s="3"/>
      <c r="X837" s="3"/>
      <c r="Y837" s="3"/>
      <c r="Z837" s="3"/>
    </row>
    <row r="838" ht="15.75" customHeight="1">
      <c r="A838" s="3"/>
      <c r="B838" s="576"/>
      <c r="C838" s="2"/>
      <c r="D838" s="2"/>
      <c r="E838" s="2"/>
      <c r="F838" s="464"/>
      <c r="G838" s="2"/>
      <c r="H838" s="2"/>
      <c r="I838" s="2"/>
      <c r="J838" s="2"/>
      <c r="K838" s="2"/>
      <c r="L838" s="2"/>
      <c r="M838" s="2"/>
      <c r="N838" s="2"/>
      <c r="O838" s="2"/>
      <c r="P838" s="2"/>
      <c r="Q838" s="2"/>
      <c r="R838" s="2"/>
      <c r="S838" s="3"/>
      <c r="T838" s="3"/>
      <c r="U838" s="3"/>
      <c r="V838" s="3"/>
      <c r="W838" s="3"/>
      <c r="X838" s="3"/>
      <c r="Y838" s="3"/>
      <c r="Z838" s="3"/>
    </row>
    <row r="839" ht="15.75" customHeight="1">
      <c r="A839" s="3"/>
      <c r="B839" s="576"/>
      <c r="C839" s="2"/>
      <c r="D839" s="2"/>
      <c r="E839" s="2"/>
      <c r="F839" s="464"/>
      <c r="G839" s="2"/>
      <c r="H839" s="2"/>
      <c r="I839" s="2"/>
      <c r="J839" s="2"/>
      <c r="K839" s="2"/>
      <c r="L839" s="2"/>
      <c r="M839" s="2"/>
      <c r="N839" s="2"/>
      <c r="O839" s="2"/>
      <c r="P839" s="2"/>
      <c r="Q839" s="2"/>
      <c r="R839" s="2"/>
      <c r="S839" s="3"/>
      <c r="T839" s="3"/>
      <c r="U839" s="3"/>
      <c r="V839" s="3"/>
      <c r="W839" s="3"/>
      <c r="X839" s="3"/>
      <c r="Y839" s="3"/>
      <c r="Z839" s="3"/>
    </row>
    <row r="840" ht="15.75" customHeight="1">
      <c r="A840" s="3"/>
      <c r="B840" s="576"/>
      <c r="C840" s="2"/>
      <c r="D840" s="2"/>
      <c r="E840" s="2"/>
      <c r="F840" s="464"/>
      <c r="G840" s="2"/>
      <c r="H840" s="2"/>
      <c r="I840" s="2"/>
      <c r="J840" s="2"/>
      <c r="K840" s="2"/>
      <c r="L840" s="2"/>
      <c r="M840" s="2"/>
      <c r="N840" s="2"/>
      <c r="O840" s="2"/>
      <c r="P840" s="2"/>
      <c r="Q840" s="2"/>
      <c r="R840" s="2"/>
      <c r="S840" s="3"/>
      <c r="T840" s="3"/>
      <c r="U840" s="3"/>
      <c r="V840" s="3"/>
      <c r="W840" s="3"/>
      <c r="X840" s="3"/>
      <c r="Y840" s="3"/>
      <c r="Z840" s="3"/>
    </row>
    <row r="841" ht="15.75" customHeight="1">
      <c r="A841" s="3"/>
      <c r="B841" s="576"/>
      <c r="C841" s="2"/>
      <c r="D841" s="2"/>
      <c r="E841" s="2"/>
      <c r="F841" s="464"/>
      <c r="G841" s="2"/>
      <c r="H841" s="2"/>
      <c r="I841" s="2"/>
      <c r="J841" s="2"/>
      <c r="K841" s="2"/>
      <c r="L841" s="2"/>
      <c r="M841" s="2"/>
      <c r="N841" s="2"/>
      <c r="O841" s="2"/>
      <c r="P841" s="2"/>
      <c r="Q841" s="2"/>
      <c r="R841" s="2"/>
      <c r="S841" s="3"/>
      <c r="T841" s="3"/>
      <c r="U841" s="3"/>
      <c r="V841" s="3"/>
      <c r="W841" s="3"/>
      <c r="X841" s="3"/>
      <c r="Y841" s="3"/>
      <c r="Z841" s="3"/>
    </row>
    <row r="842" ht="15.75" customHeight="1">
      <c r="A842" s="3"/>
      <c r="B842" s="576"/>
      <c r="C842" s="2"/>
      <c r="D842" s="2"/>
      <c r="E842" s="2"/>
      <c r="F842" s="464"/>
      <c r="G842" s="2"/>
      <c r="H842" s="2"/>
      <c r="I842" s="2"/>
      <c r="J842" s="2"/>
      <c r="K842" s="2"/>
      <c r="L842" s="2"/>
      <c r="M842" s="2"/>
      <c r="N842" s="2"/>
      <c r="O842" s="2"/>
      <c r="P842" s="2"/>
      <c r="Q842" s="2"/>
      <c r="R842" s="2"/>
      <c r="S842" s="3"/>
      <c r="T842" s="3"/>
      <c r="U842" s="3"/>
      <c r="V842" s="3"/>
      <c r="W842" s="3"/>
      <c r="X842" s="3"/>
      <c r="Y842" s="3"/>
      <c r="Z842" s="3"/>
    </row>
    <row r="843" ht="15.75" customHeight="1">
      <c r="A843" s="3"/>
      <c r="B843" s="576"/>
      <c r="C843" s="2"/>
      <c r="D843" s="2"/>
      <c r="E843" s="2"/>
      <c r="F843" s="464"/>
      <c r="G843" s="2"/>
      <c r="H843" s="2"/>
      <c r="I843" s="2"/>
      <c r="J843" s="2"/>
      <c r="K843" s="2"/>
      <c r="L843" s="2"/>
      <c r="M843" s="2"/>
      <c r="N843" s="2"/>
      <c r="O843" s="2"/>
      <c r="P843" s="2"/>
      <c r="Q843" s="2"/>
      <c r="R843" s="2"/>
      <c r="S843" s="3"/>
      <c r="T843" s="3"/>
      <c r="U843" s="3"/>
      <c r="V843" s="3"/>
      <c r="W843" s="3"/>
      <c r="X843" s="3"/>
      <c r="Y843" s="3"/>
      <c r="Z843" s="3"/>
    </row>
    <row r="844" ht="15.75" customHeight="1">
      <c r="A844" s="3"/>
      <c r="B844" s="576"/>
      <c r="C844" s="2"/>
      <c r="D844" s="2"/>
      <c r="E844" s="2"/>
      <c r="F844" s="464"/>
      <c r="G844" s="2"/>
      <c r="H844" s="2"/>
      <c r="I844" s="2"/>
      <c r="J844" s="2"/>
      <c r="K844" s="2"/>
      <c r="L844" s="2"/>
      <c r="M844" s="2"/>
      <c r="N844" s="2"/>
      <c r="O844" s="2"/>
      <c r="P844" s="2"/>
      <c r="Q844" s="2"/>
      <c r="R844" s="2"/>
      <c r="S844" s="3"/>
      <c r="T844" s="3"/>
      <c r="U844" s="3"/>
      <c r="V844" s="3"/>
      <c r="W844" s="3"/>
      <c r="X844" s="3"/>
      <c r="Y844" s="3"/>
      <c r="Z844" s="3"/>
    </row>
    <row r="845" ht="15.75" customHeight="1">
      <c r="A845" s="3"/>
      <c r="B845" s="576"/>
      <c r="C845" s="2"/>
      <c r="D845" s="2"/>
      <c r="E845" s="2"/>
      <c r="F845" s="464"/>
      <c r="G845" s="2"/>
      <c r="H845" s="2"/>
      <c r="I845" s="2"/>
      <c r="J845" s="2"/>
      <c r="K845" s="2"/>
      <c r="L845" s="2"/>
      <c r="M845" s="2"/>
      <c r="N845" s="2"/>
      <c r="O845" s="2"/>
      <c r="P845" s="2"/>
      <c r="Q845" s="2"/>
      <c r="R845" s="2"/>
      <c r="S845" s="3"/>
      <c r="T845" s="3"/>
      <c r="U845" s="3"/>
      <c r="V845" s="3"/>
      <c r="W845" s="3"/>
      <c r="X845" s="3"/>
      <c r="Y845" s="3"/>
      <c r="Z845" s="3"/>
    </row>
    <row r="846" ht="15.75" customHeight="1">
      <c r="A846" s="3"/>
      <c r="B846" s="576"/>
      <c r="C846" s="2"/>
      <c r="D846" s="2"/>
      <c r="E846" s="2"/>
      <c r="F846" s="464"/>
      <c r="G846" s="2"/>
      <c r="H846" s="2"/>
      <c r="I846" s="2"/>
      <c r="J846" s="2"/>
      <c r="K846" s="2"/>
      <c r="L846" s="2"/>
      <c r="M846" s="2"/>
      <c r="N846" s="2"/>
      <c r="O846" s="2"/>
      <c r="P846" s="2"/>
      <c r="Q846" s="2"/>
      <c r="R846" s="2"/>
      <c r="S846" s="3"/>
      <c r="T846" s="3"/>
      <c r="U846" s="3"/>
      <c r="V846" s="3"/>
      <c r="W846" s="3"/>
      <c r="X846" s="3"/>
      <c r="Y846" s="3"/>
      <c r="Z846" s="3"/>
    </row>
    <row r="847" ht="15.75" customHeight="1">
      <c r="A847" s="3"/>
      <c r="B847" s="576"/>
      <c r="C847" s="2"/>
      <c r="D847" s="2"/>
      <c r="E847" s="2"/>
      <c r="F847" s="464"/>
      <c r="G847" s="2"/>
      <c r="H847" s="2"/>
      <c r="I847" s="2"/>
      <c r="J847" s="2"/>
      <c r="K847" s="2"/>
      <c r="L847" s="2"/>
      <c r="M847" s="2"/>
      <c r="N847" s="2"/>
      <c r="O847" s="2"/>
      <c r="P847" s="2"/>
      <c r="Q847" s="2"/>
      <c r="R847" s="2"/>
      <c r="S847" s="3"/>
      <c r="T847" s="3"/>
      <c r="U847" s="3"/>
      <c r="V847" s="3"/>
      <c r="W847" s="3"/>
      <c r="X847" s="3"/>
      <c r="Y847" s="3"/>
      <c r="Z847" s="3"/>
    </row>
    <row r="848" ht="15.75" customHeight="1">
      <c r="A848" s="3"/>
      <c r="B848" s="576"/>
      <c r="C848" s="2"/>
      <c r="D848" s="2"/>
      <c r="E848" s="2"/>
      <c r="F848" s="464"/>
      <c r="G848" s="2"/>
      <c r="H848" s="2"/>
      <c r="I848" s="2"/>
      <c r="J848" s="2"/>
      <c r="K848" s="2"/>
      <c r="L848" s="2"/>
      <c r="M848" s="2"/>
      <c r="N848" s="2"/>
      <c r="O848" s="2"/>
      <c r="P848" s="2"/>
      <c r="Q848" s="2"/>
      <c r="R848" s="2"/>
      <c r="S848" s="3"/>
      <c r="T848" s="3"/>
      <c r="U848" s="3"/>
      <c r="V848" s="3"/>
      <c r="W848" s="3"/>
      <c r="X848" s="3"/>
      <c r="Y848" s="3"/>
      <c r="Z848" s="3"/>
    </row>
    <row r="849" ht="15.75" customHeight="1">
      <c r="A849" s="3"/>
      <c r="B849" s="576"/>
      <c r="C849" s="2"/>
      <c r="D849" s="2"/>
      <c r="E849" s="2"/>
      <c r="F849" s="464"/>
      <c r="G849" s="2"/>
      <c r="H849" s="2"/>
      <c r="I849" s="2"/>
      <c r="J849" s="2"/>
      <c r="K849" s="2"/>
      <c r="L849" s="2"/>
      <c r="M849" s="2"/>
      <c r="N849" s="2"/>
      <c r="O849" s="2"/>
      <c r="P849" s="2"/>
      <c r="Q849" s="2"/>
      <c r="R849" s="2"/>
      <c r="S849" s="3"/>
      <c r="T849" s="3"/>
      <c r="U849" s="3"/>
      <c r="V849" s="3"/>
      <c r="W849" s="3"/>
      <c r="X849" s="3"/>
      <c r="Y849" s="3"/>
      <c r="Z849" s="3"/>
    </row>
    <row r="850" ht="15.75" customHeight="1">
      <c r="A850" s="3"/>
      <c r="B850" s="576"/>
      <c r="C850" s="2"/>
      <c r="D850" s="2"/>
      <c r="E850" s="2"/>
      <c r="F850" s="464"/>
      <c r="G850" s="2"/>
      <c r="H850" s="2"/>
      <c r="I850" s="2"/>
      <c r="J850" s="2"/>
      <c r="K850" s="2"/>
      <c r="L850" s="2"/>
      <c r="M850" s="2"/>
      <c r="N850" s="2"/>
      <c r="O850" s="2"/>
      <c r="P850" s="2"/>
      <c r="Q850" s="2"/>
      <c r="R850" s="2"/>
      <c r="S850" s="3"/>
      <c r="T850" s="3"/>
      <c r="U850" s="3"/>
      <c r="V850" s="3"/>
      <c r="W850" s="3"/>
      <c r="X850" s="3"/>
      <c r="Y850" s="3"/>
      <c r="Z850" s="3"/>
    </row>
    <row r="851" ht="15.75" customHeight="1">
      <c r="A851" s="3"/>
      <c r="B851" s="576"/>
      <c r="C851" s="2"/>
      <c r="D851" s="2"/>
      <c r="E851" s="2"/>
      <c r="F851" s="464"/>
      <c r="G851" s="2"/>
      <c r="H851" s="2"/>
      <c r="I851" s="2"/>
      <c r="J851" s="2"/>
      <c r="K851" s="2"/>
      <c r="L851" s="2"/>
      <c r="M851" s="2"/>
      <c r="N851" s="2"/>
      <c r="O851" s="2"/>
      <c r="P851" s="2"/>
      <c r="Q851" s="2"/>
      <c r="R851" s="2"/>
      <c r="S851" s="3"/>
      <c r="T851" s="3"/>
      <c r="U851" s="3"/>
      <c r="V851" s="3"/>
      <c r="W851" s="3"/>
      <c r="X851" s="3"/>
      <c r="Y851" s="3"/>
      <c r="Z851" s="3"/>
    </row>
    <row r="852" ht="15.75" customHeight="1">
      <c r="A852" s="3"/>
      <c r="B852" s="576"/>
      <c r="C852" s="2"/>
      <c r="D852" s="2"/>
      <c r="E852" s="2"/>
      <c r="F852" s="464"/>
      <c r="G852" s="2"/>
      <c r="H852" s="2"/>
      <c r="I852" s="2"/>
      <c r="J852" s="2"/>
      <c r="K852" s="2"/>
      <c r="L852" s="2"/>
      <c r="M852" s="2"/>
      <c r="N852" s="2"/>
      <c r="O852" s="2"/>
      <c r="P852" s="2"/>
      <c r="Q852" s="2"/>
      <c r="R852" s="2"/>
      <c r="S852" s="3"/>
      <c r="T852" s="3"/>
      <c r="U852" s="3"/>
      <c r="V852" s="3"/>
      <c r="W852" s="3"/>
      <c r="X852" s="3"/>
      <c r="Y852" s="3"/>
      <c r="Z852" s="3"/>
    </row>
    <row r="853" ht="15.75" customHeight="1">
      <c r="A853" s="3"/>
      <c r="B853" s="576"/>
      <c r="C853" s="2"/>
      <c r="D853" s="2"/>
      <c r="E853" s="2"/>
      <c r="F853" s="464"/>
      <c r="G853" s="2"/>
      <c r="H853" s="2"/>
      <c r="I853" s="2"/>
      <c r="J853" s="2"/>
      <c r="K853" s="2"/>
      <c r="L853" s="2"/>
      <c r="M853" s="2"/>
      <c r="N853" s="2"/>
      <c r="O853" s="2"/>
      <c r="P853" s="2"/>
      <c r="Q853" s="2"/>
      <c r="R853" s="2"/>
      <c r="S853" s="3"/>
      <c r="T853" s="3"/>
      <c r="U853" s="3"/>
      <c r="V853" s="3"/>
      <c r="W853" s="3"/>
      <c r="X853" s="3"/>
      <c r="Y853" s="3"/>
      <c r="Z853" s="3"/>
    </row>
    <row r="854" ht="15.75" customHeight="1">
      <c r="A854" s="3"/>
      <c r="B854" s="576"/>
      <c r="C854" s="2"/>
      <c r="D854" s="2"/>
      <c r="E854" s="2"/>
      <c r="F854" s="464"/>
      <c r="G854" s="2"/>
      <c r="H854" s="2"/>
      <c r="I854" s="2"/>
      <c r="J854" s="2"/>
      <c r="K854" s="2"/>
      <c r="L854" s="2"/>
      <c r="M854" s="2"/>
      <c r="N854" s="2"/>
      <c r="O854" s="2"/>
      <c r="P854" s="2"/>
      <c r="Q854" s="2"/>
      <c r="R854" s="2"/>
      <c r="S854" s="3"/>
      <c r="T854" s="3"/>
      <c r="U854" s="3"/>
      <c r="V854" s="3"/>
      <c r="W854" s="3"/>
      <c r="X854" s="3"/>
      <c r="Y854" s="3"/>
      <c r="Z854" s="3"/>
    </row>
    <row r="855" ht="15.75" customHeight="1">
      <c r="A855" s="3"/>
      <c r="B855" s="576"/>
      <c r="C855" s="2"/>
      <c r="D855" s="2"/>
      <c r="E855" s="2"/>
      <c r="F855" s="464"/>
      <c r="G855" s="2"/>
      <c r="H855" s="2"/>
      <c r="I855" s="2"/>
      <c r="J855" s="2"/>
      <c r="K855" s="2"/>
      <c r="L855" s="2"/>
      <c r="M855" s="2"/>
      <c r="N855" s="2"/>
      <c r="O855" s="2"/>
      <c r="P855" s="2"/>
      <c r="Q855" s="2"/>
      <c r="R855" s="2"/>
      <c r="S855" s="3"/>
      <c r="T855" s="3"/>
      <c r="U855" s="3"/>
      <c r="V855" s="3"/>
      <c r="W855" s="3"/>
      <c r="X855" s="3"/>
      <c r="Y855" s="3"/>
      <c r="Z855" s="3"/>
    </row>
    <row r="856" ht="15.75" customHeight="1">
      <c r="A856" s="3"/>
      <c r="B856" s="576"/>
      <c r="C856" s="2"/>
      <c r="D856" s="2"/>
      <c r="E856" s="2"/>
      <c r="F856" s="464"/>
      <c r="G856" s="2"/>
      <c r="H856" s="2"/>
      <c r="I856" s="2"/>
      <c r="J856" s="2"/>
      <c r="K856" s="2"/>
      <c r="L856" s="2"/>
      <c r="M856" s="2"/>
      <c r="N856" s="2"/>
      <c r="O856" s="2"/>
      <c r="P856" s="2"/>
      <c r="Q856" s="2"/>
      <c r="R856" s="2"/>
      <c r="S856" s="3"/>
      <c r="T856" s="3"/>
      <c r="U856" s="3"/>
      <c r="V856" s="3"/>
      <c r="W856" s="3"/>
      <c r="X856" s="3"/>
      <c r="Y856" s="3"/>
      <c r="Z856" s="3"/>
    </row>
    <row r="857" ht="15.75" customHeight="1">
      <c r="A857" s="3"/>
      <c r="B857" s="576"/>
      <c r="C857" s="2"/>
      <c r="D857" s="2"/>
      <c r="E857" s="2"/>
      <c r="F857" s="464"/>
      <c r="G857" s="2"/>
      <c r="H857" s="2"/>
      <c r="I857" s="2"/>
      <c r="J857" s="2"/>
      <c r="K857" s="2"/>
      <c r="L857" s="2"/>
      <c r="M857" s="2"/>
      <c r="N857" s="2"/>
      <c r="O857" s="2"/>
      <c r="P857" s="2"/>
      <c r="Q857" s="2"/>
      <c r="R857" s="2"/>
      <c r="S857" s="3"/>
      <c r="T857" s="3"/>
      <c r="U857" s="3"/>
      <c r="V857" s="3"/>
      <c r="W857" s="3"/>
      <c r="X857" s="3"/>
      <c r="Y857" s="3"/>
      <c r="Z857" s="3"/>
    </row>
    <row r="858" ht="15.75" customHeight="1">
      <c r="A858" s="3"/>
      <c r="B858" s="576"/>
      <c r="C858" s="2"/>
      <c r="D858" s="2"/>
      <c r="E858" s="2"/>
      <c r="F858" s="464"/>
      <c r="G858" s="2"/>
      <c r="H858" s="2"/>
      <c r="I858" s="2"/>
      <c r="J858" s="2"/>
      <c r="K858" s="2"/>
      <c r="L858" s="2"/>
      <c r="M858" s="2"/>
      <c r="N858" s="2"/>
      <c r="O858" s="2"/>
      <c r="P858" s="2"/>
      <c r="Q858" s="2"/>
      <c r="R858" s="2"/>
      <c r="S858" s="3"/>
      <c r="T858" s="3"/>
      <c r="U858" s="3"/>
      <c r="V858" s="3"/>
      <c r="W858" s="3"/>
      <c r="X858" s="3"/>
      <c r="Y858" s="3"/>
      <c r="Z858" s="3"/>
    </row>
    <row r="859" ht="15.75" customHeight="1">
      <c r="A859" s="3"/>
      <c r="B859" s="576"/>
      <c r="C859" s="2"/>
      <c r="D859" s="2"/>
      <c r="E859" s="2"/>
      <c r="F859" s="464"/>
      <c r="G859" s="2"/>
      <c r="H859" s="2"/>
      <c r="I859" s="2"/>
      <c r="J859" s="2"/>
      <c r="K859" s="2"/>
      <c r="L859" s="2"/>
      <c r="M859" s="2"/>
      <c r="N859" s="2"/>
      <c r="O859" s="2"/>
      <c r="P859" s="2"/>
      <c r="Q859" s="2"/>
      <c r="R859" s="2"/>
      <c r="S859" s="3"/>
      <c r="T859" s="3"/>
      <c r="U859" s="3"/>
      <c r="V859" s="3"/>
      <c r="W859" s="3"/>
      <c r="X859" s="3"/>
      <c r="Y859" s="3"/>
      <c r="Z859" s="3"/>
    </row>
    <row r="860" ht="15.75" customHeight="1">
      <c r="A860" s="3"/>
      <c r="B860" s="576"/>
      <c r="C860" s="2"/>
      <c r="D860" s="2"/>
      <c r="E860" s="2"/>
      <c r="F860" s="464"/>
      <c r="G860" s="2"/>
      <c r="H860" s="2"/>
      <c r="I860" s="2"/>
      <c r="J860" s="2"/>
      <c r="K860" s="2"/>
      <c r="L860" s="2"/>
      <c r="M860" s="2"/>
      <c r="N860" s="2"/>
      <c r="O860" s="2"/>
      <c r="P860" s="2"/>
      <c r="Q860" s="2"/>
      <c r="R860" s="2"/>
      <c r="S860" s="3"/>
      <c r="T860" s="3"/>
      <c r="U860" s="3"/>
      <c r="V860" s="3"/>
      <c r="W860" s="3"/>
      <c r="X860" s="3"/>
      <c r="Y860" s="3"/>
      <c r="Z860" s="3"/>
    </row>
    <row r="861" ht="15.75" customHeight="1">
      <c r="A861" s="3"/>
      <c r="B861" s="576"/>
      <c r="C861" s="2"/>
      <c r="D861" s="2"/>
      <c r="E861" s="2"/>
      <c r="F861" s="464"/>
      <c r="G861" s="2"/>
      <c r="H861" s="2"/>
      <c r="I861" s="2"/>
      <c r="J861" s="2"/>
      <c r="K861" s="2"/>
      <c r="L861" s="2"/>
      <c r="M861" s="2"/>
      <c r="N861" s="2"/>
      <c r="O861" s="2"/>
      <c r="P861" s="2"/>
      <c r="Q861" s="2"/>
      <c r="R861" s="2"/>
      <c r="S861" s="3"/>
      <c r="T861" s="3"/>
      <c r="U861" s="3"/>
      <c r="V861" s="3"/>
      <c r="W861" s="3"/>
      <c r="X861" s="3"/>
      <c r="Y861" s="3"/>
      <c r="Z861" s="3"/>
    </row>
    <row r="862" ht="15.75" customHeight="1">
      <c r="A862" s="3"/>
      <c r="B862" s="576"/>
      <c r="C862" s="2"/>
      <c r="D862" s="2"/>
      <c r="E862" s="2"/>
      <c r="F862" s="464"/>
      <c r="G862" s="2"/>
      <c r="H862" s="2"/>
      <c r="I862" s="2"/>
      <c r="J862" s="2"/>
      <c r="K862" s="2"/>
      <c r="L862" s="2"/>
      <c r="M862" s="2"/>
      <c r="N862" s="2"/>
      <c r="O862" s="2"/>
      <c r="P862" s="2"/>
      <c r="Q862" s="2"/>
      <c r="R862" s="2"/>
      <c r="S862" s="3"/>
      <c r="T862" s="3"/>
      <c r="U862" s="3"/>
      <c r="V862" s="3"/>
      <c r="W862" s="3"/>
      <c r="X862" s="3"/>
      <c r="Y862" s="3"/>
      <c r="Z862" s="3"/>
    </row>
    <row r="863" ht="15.75" customHeight="1">
      <c r="A863" s="3"/>
      <c r="B863" s="576"/>
      <c r="C863" s="2"/>
      <c r="D863" s="2"/>
      <c r="E863" s="2"/>
      <c r="F863" s="464"/>
      <c r="G863" s="2"/>
      <c r="H863" s="2"/>
      <c r="I863" s="2"/>
      <c r="J863" s="2"/>
      <c r="K863" s="2"/>
      <c r="L863" s="2"/>
      <c r="M863" s="2"/>
      <c r="N863" s="2"/>
      <c r="O863" s="2"/>
      <c r="P863" s="2"/>
      <c r="Q863" s="2"/>
      <c r="R863" s="2"/>
      <c r="S863" s="3"/>
      <c r="T863" s="3"/>
      <c r="U863" s="3"/>
      <c r="V863" s="3"/>
      <c r="W863" s="3"/>
      <c r="X863" s="3"/>
      <c r="Y863" s="3"/>
      <c r="Z863" s="3"/>
    </row>
    <row r="864" ht="15.75" customHeight="1">
      <c r="A864" s="3"/>
      <c r="B864" s="576"/>
      <c r="C864" s="2"/>
      <c r="D864" s="2"/>
      <c r="E864" s="2"/>
      <c r="F864" s="464"/>
      <c r="G864" s="2"/>
      <c r="H864" s="2"/>
      <c r="I864" s="2"/>
      <c r="J864" s="2"/>
      <c r="K864" s="2"/>
      <c r="L864" s="2"/>
      <c r="M864" s="2"/>
      <c r="N864" s="2"/>
      <c r="O864" s="2"/>
      <c r="P864" s="2"/>
      <c r="Q864" s="2"/>
      <c r="R864" s="2"/>
      <c r="S864" s="3"/>
      <c r="T864" s="3"/>
      <c r="U864" s="3"/>
      <c r="V864" s="3"/>
      <c r="W864" s="3"/>
      <c r="X864" s="3"/>
      <c r="Y864" s="3"/>
      <c r="Z864" s="3"/>
    </row>
    <row r="865" ht="15.75" customHeight="1">
      <c r="A865" s="3"/>
      <c r="B865" s="576"/>
      <c r="C865" s="2"/>
      <c r="D865" s="2"/>
      <c r="E865" s="2"/>
      <c r="F865" s="464"/>
      <c r="G865" s="2"/>
      <c r="H865" s="2"/>
      <c r="I865" s="2"/>
      <c r="J865" s="2"/>
      <c r="K865" s="2"/>
      <c r="L865" s="2"/>
      <c r="M865" s="2"/>
      <c r="N865" s="2"/>
      <c r="O865" s="2"/>
      <c r="P865" s="2"/>
      <c r="Q865" s="2"/>
      <c r="R865" s="2"/>
      <c r="S865" s="3"/>
      <c r="T865" s="3"/>
      <c r="U865" s="3"/>
      <c r="V865" s="3"/>
      <c r="W865" s="3"/>
      <c r="X865" s="3"/>
      <c r="Y865" s="3"/>
      <c r="Z865" s="3"/>
    </row>
    <row r="866" ht="15.75" customHeight="1">
      <c r="A866" s="3"/>
      <c r="B866" s="576"/>
      <c r="C866" s="2"/>
      <c r="D866" s="2"/>
      <c r="E866" s="2"/>
      <c r="F866" s="464"/>
      <c r="G866" s="2"/>
      <c r="H866" s="2"/>
      <c r="I866" s="2"/>
      <c r="J866" s="2"/>
      <c r="K866" s="2"/>
      <c r="L866" s="2"/>
      <c r="M866" s="2"/>
      <c r="N866" s="2"/>
      <c r="O866" s="2"/>
      <c r="P866" s="2"/>
      <c r="Q866" s="2"/>
      <c r="R866" s="2"/>
      <c r="S866" s="3"/>
      <c r="T866" s="3"/>
      <c r="U866" s="3"/>
      <c r="V866" s="3"/>
      <c r="W866" s="3"/>
      <c r="X866" s="3"/>
      <c r="Y866" s="3"/>
      <c r="Z866" s="3"/>
    </row>
    <row r="867" ht="15.75" customHeight="1">
      <c r="A867" s="3"/>
      <c r="B867" s="576"/>
      <c r="C867" s="2"/>
      <c r="D867" s="2"/>
      <c r="E867" s="2"/>
      <c r="F867" s="464"/>
      <c r="G867" s="2"/>
      <c r="H867" s="2"/>
      <c r="I867" s="2"/>
      <c r="J867" s="2"/>
      <c r="K867" s="2"/>
      <c r="L867" s="2"/>
      <c r="M867" s="2"/>
      <c r="N867" s="2"/>
      <c r="O867" s="2"/>
      <c r="P867" s="2"/>
      <c r="Q867" s="2"/>
      <c r="R867" s="2"/>
      <c r="S867" s="3"/>
      <c r="T867" s="3"/>
      <c r="U867" s="3"/>
      <c r="V867" s="3"/>
      <c r="W867" s="3"/>
      <c r="X867" s="3"/>
      <c r="Y867" s="3"/>
      <c r="Z867" s="3"/>
    </row>
    <row r="868" ht="15.75" customHeight="1">
      <c r="A868" s="3"/>
      <c r="B868" s="576"/>
      <c r="C868" s="2"/>
      <c r="D868" s="2"/>
      <c r="E868" s="2"/>
      <c r="F868" s="464"/>
      <c r="G868" s="2"/>
      <c r="H868" s="2"/>
      <c r="I868" s="2"/>
      <c r="J868" s="2"/>
      <c r="K868" s="2"/>
      <c r="L868" s="2"/>
      <c r="M868" s="2"/>
      <c r="N868" s="2"/>
      <c r="O868" s="2"/>
      <c r="P868" s="2"/>
      <c r="Q868" s="2"/>
      <c r="R868" s="2"/>
      <c r="S868" s="3"/>
      <c r="T868" s="3"/>
      <c r="U868" s="3"/>
      <c r="V868" s="3"/>
      <c r="W868" s="3"/>
      <c r="X868" s="3"/>
      <c r="Y868" s="3"/>
      <c r="Z868" s="3"/>
    </row>
    <row r="869" ht="15.75" customHeight="1">
      <c r="A869" s="3"/>
      <c r="B869" s="576"/>
      <c r="C869" s="2"/>
      <c r="D869" s="2"/>
      <c r="E869" s="2"/>
      <c r="F869" s="464"/>
      <c r="G869" s="2"/>
      <c r="H869" s="2"/>
      <c r="I869" s="2"/>
      <c r="J869" s="2"/>
      <c r="K869" s="2"/>
      <c r="L869" s="2"/>
      <c r="M869" s="2"/>
      <c r="N869" s="2"/>
      <c r="O869" s="2"/>
      <c r="P869" s="2"/>
      <c r="Q869" s="2"/>
      <c r="R869" s="2"/>
      <c r="S869" s="3"/>
      <c r="T869" s="3"/>
      <c r="U869" s="3"/>
      <c r="V869" s="3"/>
      <c r="W869" s="3"/>
      <c r="X869" s="3"/>
      <c r="Y869" s="3"/>
      <c r="Z869" s="3"/>
    </row>
    <row r="870" ht="15.75" customHeight="1">
      <c r="A870" s="3"/>
      <c r="B870" s="576"/>
      <c r="C870" s="2"/>
      <c r="D870" s="2"/>
      <c r="E870" s="2"/>
      <c r="F870" s="464"/>
      <c r="G870" s="2"/>
      <c r="H870" s="2"/>
      <c r="I870" s="2"/>
      <c r="J870" s="2"/>
      <c r="K870" s="2"/>
      <c r="L870" s="2"/>
      <c r="M870" s="2"/>
      <c r="N870" s="2"/>
      <c r="O870" s="2"/>
      <c r="P870" s="2"/>
      <c r="Q870" s="2"/>
      <c r="R870" s="2"/>
      <c r="S870" s="3"/>
      <c r="T870" s="3"/>
      <c r="U870" s="3"/>
      <c r="V870" s="3"/>
      <c r="W870" s="3"/>
      <c r="X870" s="3"/>
      <c r="Y870" s="3"/>
      <c r="Z870" s="3"/>
    </row>
    <row r="871" ht="15.75" customHeight="1">
      <c r="A871" s="3"/>
      <c r="B871" s="576"/>
      <c r="C871" s="2"/>
      <c r="D871" s="2"/>
      <c r="E871" s="2"/>
      <c r="F871" s="464"/>
      <c r="G871" s="2"/>
      <c r="H871" s="2"/>
      <c r="I871" s="2"/>
      <c r="J871" s="2"/>
      <c r="K871" s="2"/>
      <c r="L871" s="2"/>
      <c r="M871" s="2"/>
      <c r="N871" s="2"/>
      <c r="O871" s="2"/>
      <c r="P871" s="2"/>
      <c r="Q871" s="2"/>
      <c r="R871" s="2"/>
      <c r="S871" s="3"/>
      <c r="T871" s="3"/>
      <c r="U871" s="3"/>
      <c r="V871" s="3"/>
      <c r="W871" s="3"/>
      <c r="X871" s="3"/>
      <c r="Y871" s="3"/>
      <c r="Z871" s="3"/>
    </row>
    <row r="872" ht="15.75" customHeight="1">
      <c r="A872" s="3"/>
      <c r="B872" s="576"/>
      <c r="C872" s="2"/>
      <c r="D872" s="2"/>
      <c r="E872" s="2"/>
      <c r="F872" s="464"/>
      <c r="G872" s="2"/>
      <c r="H872" s="2"/>
      <c r="I872" s="2"/>
      <c r="J872" s="2"/>
      <c r="K872" s="2"/>
      <c r="L872" s="2"/>
      <c r="M872" s="2"/>
      <c r="N872" s="2"/>
      <c r="O872" s="2"/>
      <c r="P872" s="2"/>
      <c r="Q872" s="2"/>
      <c r="R872" s="2"/>
      <c r="S872" s="3"/>
      <c r="T872" s="3"/>
      <c r="U872" s="3"/>
      <c r="V872" s="3"/>
      <c r="W872" s="3"/>
      <c r="X872" s="3"/>
      <c r="Y872" s="3"/>
      <c r="Z872" s="3"/>
    </row>
    <row r="873" ht="15.75" customHeight="1">
      <c r="A873" s="3"/>
      <c r="B873" s="576"/>
      <c r="C873" s="2"/>
      <c r="D873" s="2"/>
      <c r="E873" s="2"/>
      <c r="F873" s="464"/>
      <c r="G873" s="2"/>
      <c r="H873" s="2"/>
      <c r="I873" s="2"/>
      <c r="J873" s="2"/>
      <c r="K873" s="2"/>
      <c r="L873" s="2"/>
      <c r="M873" s="2"/>
      <c r="N873" s="2"/>
      <c r="O873" s="2"/>
      <c r="P873" s="2"/>
      <c r="Q873" s="2"/>
      <c r="R873" s="2"/>
      <c r="S873" s="3"/>
      <c r="T873" s="3"/>
      <c r="U873" s="3"/>
      <c r="V873" s="3"/>
      <c r="W873" s="3"/>
      <c r="X873" s="3"/>
      <c r="Y873" s="3"/>
      <c r="Z873" s="3"/>
    </row>
    <row r="874" ht="15.75" customHeight="1">
      <c r="A874" s="3"/>
      <c r="B874" s="576"/>
      <c r="C874" s="2"/>
      <c r="D874" s="2"/>
      <c r="E874" s="2"/>
      <c r="F874" s="464"/>
      <c r="G874" s="2"/>
      <c r="H874" s="2"/>
      <c r="I874" s="2"/>
      <c r="J874" s="2"/>
      <c r="K874" s="2"/>
      <c r="L874" s="2"/>
      <c r="M874" s="2"/>
      <c r="N874" s="2"/>
      <c r="O874" s="2"/>
      <c r="P874" s="2"/>
      <c r="Q874" s="2"/>
      <c r="R874" s="2"/>
      <c r="S874" s="3"/>
      <c r="T874" s="3"/>
      <c r="U874" s="3"/>
      <c r="V874" s="3"/>
      <c r="W874" s="3"/>
      <c r="X874" s="3"/>
      <c r="Y874" s="3"/>
      <c r="Z874" s="3"/>
    </row>
    <row r="875" ht="15.75" customHeight="1">
      <c r="A875" s="3"/>
      <c r="B875" s="576"/>
      <c r="C875" s="2"/>
      <c r="D875" s="2"/>
      <c r="E875" s="2"/>
      <c r="F875" s="464"/>
      <c r="G875" s="2"/>
      <c r="H875" s="2"/>
      <c r="I875" s="2"/>
      <c r="J875" s="2"/>
      <c r="K875" s="2"/>
      <c r="L875" s="2"/>
      <c r="M875" s="2"/>
      <c r="N875" s="2"/>
      <c r="O875" s="2"/>
      <c r="P875" s="2"/>
      <c r="Q875" s="2"/>
      <c r="R875" s="2"/>
      <c r="S875" s="3"/>
      <c r="T875" s="3"/>
      <c r="U875" s="3"/>
      <c r="V875" s="3"/>
      <c r="W875" s="3"/>
      <c r="X875" s="3"/>
      <c r="Y875" s="3"/>
      <c r="Z875" s="3"/>
    </row>
    <row r="876" ht="15.75" customHeight="1">
      <c r="A876" s="3"/>
      <c r="B876" s="576"/>
      <c r="C876" s="2"/>
      <c r="D876" s="2"/>
      <c r="E876" s="2"/>
      <c r="F876" s="464"/>
      <c r="G876" s="2"/>
      <c r="H876" s="2"/>
      <c r="I876" s="2"/>
      <c r="J876" s="2"/>
      <c r="K876" s="2"/>
      <c r="L876" s="2"/>
      <c r="M876" s="2"/>
      <c r="N876" s="2"/>
      <c r="O876" s="2"/>
      <c r="P876" s="2"/>
      <c r="Q876" s="2"/>
      <c r="R876" s="2"/>
      <c r="S876" s="3"/>
      <c r="T876" s="3"/>
      <c r="U876" s="3"/>
      <c r="V876" s="3"/>
      <c r="W876" s="3"/>
      <c r="X876" s="3"/>
      <c r="Y876" s="3"/>
      <c r="Z876" s="3"/>
    </row>
    <row r="877" ht="15.75" customHeight="1">
      <c r="A877" s="3"/>
      <c r="B877" s="576"/>
      <c r="C877" s="2"/>
      <c r="D877" s="2"/>
      <c r="E877" s="2"/>
      <c r="F877" s="464"/>
      <c r="G877" s="2"/>
      <c r="H877" s="2"/>
      <c r="I877" s="2"/>
      <c r="J877" s="2"/>
      <c r="K877" s="2"/>
      <c r="L877" s="2"/>
      <c r="M877" s="2"/>
      <c r="N877" s="2"/>
      <c r="O877" s="2"/>
      <c r="P877" s="2"/>
      <c r="Q877" s="2"/>
      <c r="R877" s="2"/>
      <c r="S877" s="3"/>
      <c r="T877" s="3"/>
      <c r="U877" s="3"/>
      <c r="V877" s="3"/>
      <c r="W877" s="3"/>
      <c r="X877" s="3"/>
      <c r="Y877" s="3"/>
      <c r="Z877" s="3"/>
    </row>
    <row r="878" ht="15.75" customHeight="1">
      <c r="A878" s="3"/>
      <c r="B878" s="576"/>
      <c r="C878" s="2"/>
      <c r="D878" s="2"/>
      <c r="E878" s="2"/>
      <c r="F878" s="464"/>
      <c r="G878" s="2"/>
      <c r="H878" s="2"/>
      <c r="I878" s="2"/>
      <c r="J878" s="2"/>
      <c r="K878" s="2"/>
      <c r="L878" s="2"/>
      <c r="M878" s="2"/>
      <c r="N878" s="2"/>
      <c r="O878" s="2"/>
      <c r="P878" s="2"/>
      <c r="Q878" s="2"/>
      <c r="R878" s="2"/>
      <c r="S878" s="3"/>
      <c r="T878" s="3"/>
      <c r="U878" s="3"/>
      <c r="V878" s="3"/>
      <c r="W878" s="3"/>
      <c r="X878" s="3"/>
      <c r="Y878" s="3"/>
      <c r="Z878" s="3"/>
    </row>
    <row r="879" ht="15.75" customHeight="1">
      <c r="A879" s="3"/>
      <c r="B879" s="576"/>
      <c r="C879" s="2"/>
      <c r="D879" s="2"/>
      <c r="E879" s="2"/>
      <c r="F879" s="464"/>
      <c r="G879" s="2"/>
      <c r="H879" s="2"/>
      <c r="I879" s="2"/>
      <c r="J879" s="2"/>
      <c r="K879" s="2"/>
      <c r="L879" s="2"/>
      <c r="M879" s="2"/>
      <c r="N879" s="2"/>
      <c r="O879" s="2"/>
      <c r="P879" s="2"/>
      <c r="Q879" s="2"/>
      <c r="R879" s="2"/>
      <c r="S879" s="3"/>
      <c r="T879" s="3"/>
      <c r="U879" s="3"/>
      <c r="V879" s="3"/>
      <c r="W879" s="3"/>
      <c r="X879" s="3"/>
      <c r="Y879" s="3"/>
      <c r="Z879" s="3"/>
    </row>
    <row r="880" ht="15.75" customHeight="1">
      <c r="A880" s="3"/>
      <c r="B880" s="576"/>
      <c r="C880" s="2"/>
      <c r="D880" s="2"/>
      <c r="E880" s="2"/>
      <c r="F880" s="464"/>
      <c r="G880" s="2"/>
      <c r="H880" s="2"/>
      <c r="I880" s="2"/>
      <c r="J880" s="2"/>
      <c r="K880" s="2"/>
      <c r="L880" s="2"/>
      <c r="M880" s="2"/>
      <c r="N880" s="2"/>
      <c r="O880" s="2"/>
      <c r="P880" s="2"/>
      <c r="Q880" s="2"/>
      <c r="R880" s="2"/>
      <c r="S880" s="3"/>
      <c r="T880" s="3"/>
      <c r="U880" s="3"/>
      <c r="V880" s="3"/>
      <c r="W880" s="3"/>
      <c r="X880" s="3"/>
      <c r="Y880" s="3"/>
      <c r="Z880" s="3"/>
    </row>
    <row r="881" ht="15.75" customHeight="1">
      <c r="A881" s="3"/>
      <c r="B881" s="576"/>
      <c r="C881" s="2"/>
      <c r="D881" s="2"/>
      <c r="E881" s="2"/>
      <c r="F881" s="464"/>
      <c r="G881" s="2"/>
      <c r="H881" s="2"/>
      <c r="I881" s="2"/>
      <c r="J881" s="2"/>
      <c r="K881" s="2"/>
      <c r="L881" s="2"/>
      <c r="M881" s="2"/>
      <c r="N881" s="2"/>
      <c r="O881" s="2"/>
      <c r="P881" s="2"/>
      <c r="Q881" s="2"/>
      <c r="R881" s="2"/>
      <c r="S881" s="3"/>
      <c r="T881" s="3"/>
      <c r="U881" s="3"/>
      <c r="V881" s="3"/>
      <c r="W881" s="3"/>
      <c r="X881" s="3"/>
      <c r="Y881" s="3"/>
      <c r="Z881" s="3"/>
    </row>
    <row r="882" ht="15.75" customHeight="1">
      <c r="A882" s="3"/>
      <c r="B882" s="576"/>
      <c r="C882" s="2"/>
      <c r="D882" s="2"/>
      <c r="E882" s="2"/>
      <c r="F882" s="464"/>
      <c r="G882" s="2"/>
      <c r="H882" s="2"/>
      <c r="I882" s="2"/>
      <c r="J882" s="2"/>
      <c r="K882" s="2"/>
      <c r="L882" s="2"/>
      <c r="M882" s="2"/>
      <c r="N882" s="2"/>
      <c r="O882" s="2"/>
      <c r="P882" s="2"/>
      <c r="Q882" s="2"/>
      <c r="R882" s="2"/>
      <c r="S882" s="3"/>
      <c r="T882" s="3"/>
      <c r="U882" s="3"/>
      <c r="V882" s="3"/>
      <c r="W882" s="3"/>
      <c r="X882" s="3"/>
      <c r="Y882" s="3"/>
      <c r="Z882" s="3"/>
    </row>
    <row r="883" ht="15.75" customHeight="1">
      <c r="A883" s="3"/>
      <c r="B883" s="576"/>
      <c r="C883" s="2"/>
      <c r="D883" s="2"/>
      <c r="E883" s="2"/>
      <c r="F883" s="464"/>
      <c r="G883" s="2"/>
      <c r="H883" s="2"/>
      <c r="I883" s="2"/>
      <c r="J883" s="2"/>
      <c r="K883" s="2"/>
      <c r="L883" s="2"/>
      <c r="M883" s="2"/>
      <c r="N883" s="2"/>
      <c r="O883" s="2"/>
      <c r="P883" s="2"/>
      <c r="Q883" s="2"/>
      <c r="R883" s="2"/>
      <c r="S883" s="3"/>
      <c r="T883" s="3"/>
      <c r="U883" s="3"/>
      <c r="V883" s="3"/>
      <c r="W883" s="3"/>
      <c r="X883" s="3"/>
      <c r="Y883" s="3"/>
      <c r="Z883" s="3"/>
    </row>
    <row r="884" ht="15.75" customHeight="1">
      <c r="A884" s="3"/>
      <c r="B884" s="576"/>
      <c r="C884" s="2"/>
      <c r="D884" s="2"/>
      <c r="E884" s="2"/>
      <c r="F884" s="464"/>
      <c r="G884" s="2"/>
      <c r="H884" s="2"/>
      <c r="I884" s="2"/>
      <c r="J884" s="2"/>
      <c r="K884" s="2"/>
      <c r="L884" s="2"/>
      <c r="M884" s="2"/>
      <c r="N884" s="2"/>
      <c r="O884" s="2"/>
      <c r="P884" s="2"/>
      <c r="Q884" s="2"/>
      <c r="R884" s="2"/>
      <c r="S884" s="3"/>
      <c r="T884" s="3"/>
      <c r="U884" s="3"/>
      <c r="V884" s="3"/>
      <c r="W884" s="3"/>
      <c r="X884" s="3"/>
      <c r="Y884" s="3"/>
      <c r="Z884" s="3"/>
    </row>
    <row r="885" ht="15.75" customHeight="1">
      <c r="A885" s="3"/>
      <c r="B885" s="576"/>
      <c r="C885" s="2"/>
      <c r="D885" s="2"/>
      <c r="E885" s="2"/>
      <c r="F885" s="464"/>
      <c r="G885" s="2"/>
      <c r="H885" s="2"/>
      <c r="I885" s="2"/>
      <c r="J885" s="2"/>
      <c r="K885" s="2"/>
      <c r="L885" s="2"/>
      <c r="M885" s="2"/>
      <c r="N885" s="2"/>
      <c r="O885" s="2"/>
      <c r="P885" s="2"/>
      <c r="Q885" s="2"/>
      <c r="R885" s="2"/>
      <c r="S885" s="3"/>
      <c r="T885" s="3"/>
      <c r="U885" s="3"/>
      <c r="V885" s="3"/>
      <c r="W885" s="3"/>
      <c r="X885" s="3"/>
      <c r="Y885" s="3"/>
      <c r="Z885" s="3"/>
    </row>
    <row r="886" ht="15.75" customHeight="1">
      <c r="A886" s="3"/>
      <c r="B886" s="576"/>
      <c r="C886" s="2"/>
      <c r="D886" s="2"/>
      <c r="E886" s="2"/>
      <c r="F886" s="464"/>
      <c r="G886" s="2"/>
      <c r="H886" s="2"/>
      <c r="I886" s="2"/>
      <c r="J886" s="2"/>
      <c r="K886" s="2"/>
      <c r="L886" s="2"/>
      <c r="M886" s="2"/>
      <c r="N886" s="2"/>
      <c r="O886" s="2"/>
      <c r="P886" s="2"/>
      <c r="Q886" s="2"/>
      <c r="R886" s="2"/>
      <c r="S886" s="3"/>
      <c r="T886" s="3"/>
      <c r="U886" s="3"/>
      <c r="V886" s="3"/>
      <c r="W886" s="3"/>
      <c r="X886" s="3"/>
      <c r="Y886" s="3"/>
      <c r="Z886" s="3"/>
    </row>
    <row r="887" ht="15.75" customHeight="1">
      <c r="A887" s="3"/>
      <c r="B887" s="576"/>
      <c r="C887" s="2"/>
      <c r="D887" s="2"/>
      <c r="E887" s="2"/>
      <c r="F887" s="464"/>
      <c r="G887" s="2"/>
      <c r="H887" s="2"/>
      <c r="I887" s="2"/>
      <c r="J887" s="2"/>
      <c r="K887" s="2"/>
      <c r="L887" s="2"/>
      <c r="M887" s="2"/>
      <c r="N887" s="2"/>
      <c r="O887" s="2"/>
      <c r="P887" s="2"/>
      <c r="Q887" s="2"/>
      <c r="R887" s="2"/>
      <c r="S887" s="3"/>
      <c r="T887" s="3"/>
      <c r="U887" s="3"/>
      <c r="V887" s="3"/>
      <c r="W887" s="3"/>
      <c r="X887" s="3"/>
      <c r="Y887" s="3"/>
      <c r="Z887" s="3"/>
    </row>
    <row r="888" ht="15.75" customHeight="1">
      <c r="A888" s="3"/>
      <c r="B888" s="576"/>
      <c r="C888" s="2"/>
      <c r="D888" s="2"/>
      <c r="E888" s="2"/>
      <c r="F888" s="464"/>
      <c r="G888" s="2"/>
      <c r="H888" s="2"/>
      <c r="I888" s="2"/>
      <c r="J888" s="2"/>
      <c r="K888" s="2"/>
      <c r="L888" s="2"/>
      <c r="M888" s="2"/>
      <c r="N888" s="2"/>
      <c r="O888" s="2"/>
      <c r="P888" s="2"/>
      <c r="Q888" s="2"/>
      <c r="R888" s="2"/>
      <c r="S888" s="3"/>
      <c r="T888" s="3"/>
      <c r="U888" s="3"/>
      <c r="V888" s="3"/>
      <c r="W888" s="3"/>
      <c r="X888" s="3"/>
      <c r="Y888" s="3"/>
      <c r="Z888" s="3"/>
    </row>
    <row r="889" ht="15.75" customHeight="1">
      <c r="A889" s="3"/>
      <c r="B889" s="576"/>
      <c r="C889" s="2"/>
      <c r="D889" s="2"/>
      <c r="E889" s="2"/>
      <c r="F889" s="464"/>
      <c r="G889" s="2"/>
      <c r="H889" s="2"/>
      <c r="I889" s="2"/>
      <c r="J889" s="2"/>
      <c r="K889" s="2"/>
      <c r="L889" s="2"/>
      <c r="M889" s="2"/>
      <c r="N889" s="2"/>
      <c r="O889" s="2"/>
      <c r="P889" s="2"/>
      <c r="Q889" s="2"/>
      <c r="R889" s="2"/>
      <c r="S889" s="3"/>
      <c r="T889" s="3"/>
      <c r="U889" s="3"/>
      <c r="V889" s="3"/>
      <c r="W889" s="3"/>
      <c r="X889" s="3"/>
      <c r="Y889" s="3"/>
      <c r="Z889" s="3"/>
    </row>
    <row r="890" ht="15.75" customHeight="1">
      <c r="A890" s="3"/>
      <c r="B890" s="576"/>
      <c r="C890" s="2"/>
      <c r="D890" s="2"/>
      <c r="E890" s="2"/>
      <c r="F890" s="464"/>
      <c r="G890" s="2"/>
      <c r="H890" s="2"/>
      <c r="I890" s="2"/>
      <c r="J890" s="2"/>
      <c r="K890" s="2"/>
      <c r="L890" s="2"/>
      <c r="M890" s="2"/>
      <c r="N890" s="2"/>
      <c r="O890" s="2"/>
      <c r="P890" s="2"/>
      <c r="Q890" s="2"/>
      <c r="R890" s="2"/>
      <c r="S890" s="3"/>
      <c r="T890" s="3"/>
      <c r="U890" s="3"/>
      <c r="V890" s="3"/>
      <c r="W890" s="3"/>
      <c r="X890" s="3"/>
      <c r="Y890" s="3"/>
      <c r="Z890" s="3"/>
    </row>
    <row r="891" ht="15.75" customHeight="1">
      <c r="A891" s="3"/>
      <c r="B891" s="576"/>
      <c r="C891" s="2"/>
      <c r="D891" s="2"/>
      <c r="E891" s="2"/>
      <c r="F891" s="464"/>
      <c r="G891" s="2"/>
      <c r="H891" s="2"/>
      <c r="I891" s="2"/>
      <c r="J891" s="2"/>
      <c r="K891" s="2"/>
      <c r="L891" s="2"/>
      <c r="M891" s="2"/>
      <c r="N891" s="2"/>
      <c r="O891" s="2"/>
      <c r="P891" s="2"/>
      <c r="Q891" s="2"/>
      <c r="R891" s="2"/>
      <c r="S891" s="3"/>
      <c r="T891" s="3"/>
      <c r="U891" s="3"/>
      <c r="V891" s="3"/>
      <c r="W891" s="3"/>
      <c r="X891" s="3"/>
      <c r="Y891" s="3"/>
      <c r="Z891" s="3"/>
    </row>
    <row r="892" ht="15.75" customHeight="1">
      <c r="A892" s="3"/>
      <c r="B892" s="576"/>
      <c r="C892" s="2"/>
      <c r="D892" s="2"/>
      <c r="E892" s="2"/>
      <c r="F892" s="464"/>
      <c r="G892" s="2"/>
      <c r="H892" s="2"/>
      <c r="I892" s="2"/>
      <c r="J892" s="2"/>
      <c r="K892" s="2"/>
      <c r="L892" s="2"/>
      <c r="M892" s="2"/>
      <c r="N892" s="2"/>
      <c r="O892" s="2"/>
      <c r="P892" s="2"/>
      <c r="Q892" s="2"/>
      <c r="R892" s="2"/>
      <c r="S892" s="3"/>
      <c r="T892" s="3"/>
      <c r="U892" s="3"/>
      <c r="V892" s="3"/>
      <c r="W892" s="3"/>
      <c r="X892" s="3"/>
      <c r="Y892" s="3"/>
      <c r="Z892" s="3"/>
    </row>
    <row r="893" ht="15.75" customHeight="1">
      <c r="A893" s="3"/>
      <c r="B893" s="576"/>
      <c r="C893" s="2"/>
      <c r="D893" s="2"/>
      <c r="E893" s="2"/>
      <c r="F893" s="464"/>
      <c r="G893" s="2"/>
      <c r="H893" s="2"/>
      <c r="I893" s="2"/>
      <c r="J893" s="2"/>
      <c r="K893" s="2"/>
      <c r="L893" s="2"/>
      <c r="M893" s="2"/>
      <c r="N893" s="2"/>
      <c r="O893" s="2"/>
      <c r="P893" s="2"/>
      <c r="Q893" s="2"/>
      <c r="R893" s="2"/>
      <c r="S893" s="3"/>
      <c r="T893" s="3"/>
      <c r="U893" s="3"/>
      <c r="V893" s="3"/>
      <c r="W893" s="3"/>
      <c r="X893" s="3"/>
      <c r="Y893" s="3"/>
      <c r="Z893" s="3"/>
    </row>
    <row r="894" ht="15.75" customHeight="1">
      <c r="A894" s="3"/>
      <c r="B894" s="576"/>
      <c r="C894" s="2"/>
      <c r="D894" s="2"/>
      <c r="E894" s="2"/>
      <c r="F894" s="464"/>
      <c r="G894" s="2"/>
      <c r="H894" s="2"/>
      <c r="I894" s="2"/>
      <c r="J894" s="2"/>
      <c r="K894" s="2"/>
      <c r="L894" s="2"/>
      <c r="M894" s="2"/>
      <c r="N894" s="2"/>
      <c r="O894" s="2"/>
      <c r="P894" s="2"/>
      <c r="Q894" s="2"/>
      <c r="R894" s="2"/>
      <c r="S894" s="3"/>
      <c r="T894" s="3"/>
      <c r="U894" s="3"/>
      <c r="V894" s="3"/>
      <c r="W894" s="3"/>
      <c r="X894" s="3"/>
      <c r="Y894" s="3"/>
      <c r="Z894" s="3"/>
    </row>
    <row r="895" ht="15.75" customHeight="1">
      <c r="A895" s="3"/>
      <c r="B895" s="576"/>
      <c r="C895" s="2"/>
      <c r="D895" s="2"/>
      <c r="E895" s="2"/>
      <c r="F895" s="464"/>
      <c r="G895" s="2"/>
      <c r="H895" s="2"/>
      <c r="I895" s="2"/>
      <c r="J895" s="2"/>
      <c r="K895" s="2"/>
      <c r="L895" s="2"/>
      <c r="M895" s="2"/>
      <c r="N895" s="2"/>
      <c r="O895" s="2"/>
      <c r="P895" s="2"/>
      <c r="Q895" s="2"/>
      <c r="R895" s="2"/>
      <c r="S895" s="3"/>
      <c r="T895" s="3"/>
      <c r="U895" s="3"/>
      <c r="V895" s="3"/>
      <c r="W895" s="3"/>
      <c r="X895" s="3"/>
      <c r="Y895" s="3"/>
      <c r="Z895" s="3"/>
    </row>
    <row r="896" ht="15.75" customHeight="1">
      <c r="A896" s="3"/>
      <c r="B896" s="576"/>
      <c r="C896" s="2"/>
      <c r="D896" s="2"/>
      <c r="E896" s="2"/>
      <c r="F896" s="464"/>
      <c r="G896" s="2"/>
      <c r="H896" s="2"/>
      <c r="I896" s="2"/>
      <c r="J896" s="2"/>
      <c r="K896" s="2"/>
      <c r="L896" s="2"/>
      <c r="M896" s="2"/>
      <c r="N896" s="2"/>
      <c r="O896" s="2"/>
      <c r="P896" s="2"/>
      <c r="Q896" s="2"/>
      <c r="R896" s="2"/>
      <c r="S896" s="3"/>
      <c r="T896" s="3"/>
      <c r="U896" s="3"/>
      <c r="V896" s="3"/>
      <c r="W896" s="3"/>
      <c r="X896" s="3"/>
      <c r="Y896" s="3"/>
      <c r="Z896" s="3"/>
    </row>
    <row r="897" ht="15.75" customHeight="1">
      <c r="A897" s="3"/>
      <c r="B897" s="576"/>
      <c r="C897" s="2"/>
      <c r="D897" s="2"/>
      <c r="E897" s="2"/>
      <c r="F897" s="464"/>
      <c r="G897" s="2"/>
      <c r="H897" s="2"/>
      <c r="I897" s="2"/>
      <c r="J897" s="2"/>
      <c r="K897" s="2"/>
      <c r="L897" s="2"/>
      <c r="M897" s="2"/>
      <c r="N897" s="2"/>
      <c r="O897" s="2"/>
      <c r="P897" s="2"/>
      <c r="Q897" s="2"/>
      <c r="R897" s="2"/>
      <c r="S897" s="3"/>
      <c r="T897" s="3"/>
      <c r="U897" s="3"/>
      <c r="V897" s="3"/>
      <c r="W897" s="3"/>
      <c r="X897" s="3"/>
      <c r="Y897" s="3"/>
      <c r="Z897" s="3"/>
    </row>
    <row r="898" ht="15.75" customHeight="1">
      <c r="A898" s="3"/>
      <c r="B898" s="576"/>
      <c r="C898" s="2"/>
      <c r="D898" s="2"/>
      <c r="E898" s="2"/>
      <c r="F898" s="464"/>
      <c r="G898" s="2"/>
      <c r="H898" s="2"/>
      <c r="I898" s="2"/>
      <c r="J898" s="2"/>
      <c r="K898" s="2"/>
      <c r="L898" s="2"/>
      <c r="M898" s="2"/>
      <c r="N898" s="2"/>
      <c r="O898" s="2"/>
      <c r="P898" s="2"/>
      <c r="Q898" s="2"/>
      <c r="R898" s="2"/>
      <c r="S898" s="3"/>
      <c r="T898" s="3"/>
      <c r="U898" s="3"/>
      <c r="V898" s="3"/>
      <c r="W898" s="3"/>
      <c r="X898" s="3"/>
      <c r="Y898" s="3"/>
      <c r="Z898" s="3"/>
    </row>
    <row r="899" ht="15.75" customHeight="1">
      <c r="A899" s="3"/>
      <c r="B899" s="576"/>
      <c r="C899" s="2"/>
      <c r="D899" s="2"/>
      <c r="E899" s="2"/>
      <c r="F899" s="464"/>
      <c r="G899" s="2"/>
      <c r="H899" s="2"/>
      <c r="I899" s="2"/>
      <c r="J899" s="2"/>
      <c r="K899" s="2"/>
      <c r="L899" s="2"/>
      <c r="M899" s="2"/>
      <c r="N899" s="2"/>
      <c r="O899" s="2"/>
      <c r="P899" s="2"/>
      <c r="Q899" s="2"/>
      <c r="R899" s="2"/>
      <c r="S899" s="3"/>
      <c r="T899" s="3"/>
      <c r="U899" s="3"/>
      <c r="V899" s="3"/>
      <c r="W899" s="3"/>
      <c r="X899" s="3"/>
      <c r="Y899" s="3"/>
      <c r="Z899" s="3"/>
    </row>
    <row r="900" ht="15.75" customHeight="1">
      <c r="A900" s="3"/>
      <c r="B900" s="576"/>
      <c r="C900" s="2"/>
      <c r="D900" s="2"/>
      <c r="E900" s="2"/>
      <c r="F900" s="464"/>
      <c r="G900" s="2"/>
      <c r="H900" s="2"/>
      <c r="I900" s="2"/>
      <c r="J900" s="2"/>
      <c r="K900" s="2"/>
      <c r="L900" s="2"/>
      <c r="M900" s="2"/>
      <c r="N900" s="2"/>
      <c r="O900" s="2"/>
      <c r="P900" s="2"/>
      <c r="Q900" s="2"/>
      <c r="R900" s="2"/>
      <c r="S900" s="3"/>
      <c r="T900" s="3"/>
      <c r="U900" s="3"/>
      <c r="V900" s="3"/>
      <c r="W900" s="3"/>
      <c r="X900" s="3"/>
      <c r="Y900" s="3"/>
      <c r="Z900" s="3"/>
    </row>
    <row r="901" ht="15.75" customHeight="1">
      <c r="A901" s="3"/>
      <c r="B901" s="576"/>
      <c r="C901" s="2"/>
      <c r="D901" s="2"/>
      <c r="E901" s="2"/>
      <c r="F901" s="464"/>
      <c r="G901" s="2"/>
      <c r="H901" s="2"/>
      <c r="I901" s="2"/>
      <c r="J901" s="2"/>
      <c r="K901" s="2"/>
      <c r="L901" s="2"/>
      <c r="M901" s="2"/>
      <c r="N901" s="2"/>
      <c r="O901" s="2"/>
      <c r="P901" s="2"/>
      <c r="Q901" s="2"/>
      <c r="R901" s="2"/>
      <c r="S901" s="3"/>
      <c r="T901" s="3"/>
      <c r="U901" s="3"/>
      <c r="V901" s="3"/>
      <c r="W901" s="3"/>
      <c r="X901" s="3"/>
      <c r="Y901" s="3"/>
      <c r="Z901" s="3"/>
    </row>
    <row r="902" ht="15.75" customHeight="1">
      <c r="A902" s="3"/>
      <c r="B902" s="576"/>
      <c r="C902" s="2"/>
      <c r="D902" s="2"/>
      <c r="E902" s="2"/>
      <c r="F902" s="464"/>
      <c r="G902" s="2"/>
      <c r="H902" s="2"/>
      <c r="I902" s="2"/>
      <c r="J902" s="2"/>
      <c r="K902" s="2"/>
      <c r="L902" s="2"/>
      <c r="M902" s="2"/>
      <c r="N902" s="2"/>
      <c r="O902" s="2"/>
      <c r="P902" s="2"/>
      <c r="Q902" s="2"/>
      <c r="R902" s="2"/>
      <c r="S902" s="3"/>
      <c r="T902" s="3"/>
      <c r="U902" s="3"/>
      <c r="V902" s="3"/>
      <c r="W902" s="3"/>
      <c r="X902" s="3"/>
      <c r="Y902" s="3"/>
      <c r="Z902" s="3"/>
    </row>
    <row r="903" ht="15.75" customHeight="1">
      <c r="A903" s="3"/>
      <c r="B903" s="576"/>
      <c r="C903" s="2"/>
      <c r="D903" s="2"/>
      <c r="E903" s="2"/>
      <c r="F903" s="464"/>
      <c r="G903" s="2"/>
      <c r="H903" s="2"/>
      <c r="I903" s="2"/>
      <c r="J903" s="2"/>
      <c r="K903" s="2"/>
      <c r="L903" s="2"/>
      <c r="M903" s="2"/>
      <c r="N903" s="2"/>
      <c r="O903" s="2"/>
      <c r="P903" s="2"/>
      <c r="Q903" s="2"/>
      <c r="R903" s="2"/>
      <c r="S903" s="3"/>
      <c r="T903" s="3"/>
      <c r="U903" s="3"/>
      <c r="V903" s="3"/>
      <c r="W903" s="3"/>
      <c r="X903" s="3"/>
      <c r="Y903" s="3"/>
      <c r="Z903" s="3"/>
    </row>
    <row r="904" ht="15.75" customHeight="1">
      <c r="A904" s="3"/>
      <c r="B904" s="576"/>
      <c r="C904" s="2"/>
      <c r="D904" s="2"/>
      <c r="E904" s="2"/>
      <c r="F904" s="464"/>
      <c r="G904" s="2"/>
      <c r="H904" s="2"/>
      <c r="I904" s="2"/>
      <c r="J904" s="2"/>
      <c r="K904" s="2"/>
      <c r="L904" s="2"/>
      <c r="M904" s="2"/>
      <c r="N904" s="2"/>
      <c r="O904" s="2"/>
      <c r="P904" s="2"/>
      <c r="Q904" s="2"/>
      <c r="R904" s="2"/>
      <c r="S904" s="3"/>
      <c r="T904" s="3"/>
      <c r="U904" s="3"/>
      <c r="V904" s="3"/>
      <c r="W904" s="3"/>
      <c r="X904" s="3"/>
      <c r="Y904" s="3"/>
      <c r="Z904" s="3"/>
    </row>
    <row r="905" ht="15.75" customHeight="1">
      <c r="A905" s="3"/>
      <c r="B905" s="576"/>
      <c r="C905" s="2"/>
      <c r="D905" s="2"/>
      <c r="E905" s="2"/>
      <c r="F905" s="464"/>
      <c r="G905" s="2"/>
      <c r="H905" s="2"/>
      <c r="I905" s="2"/>
      <c r="J905" s="2"/>
      <c r="K905" s="2"/>
      <c r="L905" s="2"/>
      <c r="M905" s="2"/>
      <c r="N905" s="2"/>
      <c r="O905" s="2"/>
      <c r="P905" s="2"/>
      <c r="Q905" s="2"/>
      <c r="R905" s="2"/>
      <c r="S905" s="3"/>
      <c r="T905" s="3"/>
      <c r="U905" s="3"/>
      <c r="V905" s="3"/>
      <c r="W905" s="3"/>
      <c r="X905" s="3"/>
      <c r="Y905" s="3"/>
      <c r="Z905" s="3"/>
    </row>
    <row r="906" ht="15.75" customHeight="1">
      <c r="A906" s="3"/>
      <c r="B906" s="576"/>
      <c r="C906" s="2"/>
      <c r="D906" s="2"/>
      <c r="E906" s="2"/>
      <c r="F906" s="464"/>
      <c r="G906" s="2"/>
      <c r="H906" s="2"/>
      <c r="I906" s="2"/>
      <c r="J906" s="2"/>
      <c r="K906" s="2"/>
      <c r="L906" s="2"/>
      <c r="M906" s="2"/>
      <c r="N906" s="2"/>
      <c r="O906" s="2"/>
      <c r="P906" s="2"/>
      <c r="Q906" s="2"/>
      <c r="R906" s="2"/>
      <c r="S906" s="3"/>
      <c r="T906" s="3"/>
      <c r="U906" s="3"/>
      <c r="V906" s="3"/>
      <c r="W906" s="3"/>
      <c r="X906" s="3"/>
      <c r="Y906" s="3"/>
      <c r="Z906" s="3"/>
    </row>
    <row r="907" ht="15.75" customHeight="1">
      <c r="A907" s="3"/>
      <c r="B907" s="576"/>
      <c r="C907" s="2"/>
      <c r="D907" s="2"/>
      <c r="E907" s="2"/>
      <c r="F907" s="464"/>
      <c r="G907" s="2"/>
      <c r="H907" s="2"/>
      <c r="I907" s="2"/>
      <c r="J907" s="2"/>
      <c r="K907" s="2"/>
      <c r="L907" s="2"/>
      <c r="M907" s="2"/>
      <c r="N907" s="2"/>
      <c r="O907" s="2"/>
      <c r="P907" s="2"/>
      <c r="Q907" s="2"/>
      <c r="R907" s="2"/>
      <c r="S907" s="3"/>
      <c r="T907" s="3"/>
      <c r="U907" s="3"/>
      <c r="V907" s="3"/>
      <c r="W907" s="3"/>
      <c r="X907" s="3"/>
      <c r="Y907" s="3"/>
      <c r="Z907" s="3"/>
    </row>
    <row r="908" ht="15.75" customHeight="1">
      <c r="A908" s="3"/>
      <c r="B908" s="576"/>
      <c r="C908" s="2"/>
      <c r="D908" s="2"/>
      <c r="E908" s="2"/>
      <c r="F908" s="464"/>
      <c r="G908" s="2"/>
      <c r="H908" s="2"/>
      <c r="I908" s="2"/>
      <c r="J908" s="2"/>
      <c r="K908" s="2"/>
      <c r="L908" s="2"/>
      <c r="M908" s="2"/>
      <c r="N908" s="2"/>
      <c r="O908" s="2"/>
      <c r="P908" s="2"/>
      <c r="Q908" s="2"/>
      <c r="R908" s="2"/>
      <c r="S908" s="3"/>
      <c r="T908" s="3"/>
      <c r="U908" s="3"/>
      <c r="V908" s="3"/>
      <c r="W908" s="3"/>
      <c r="X908" s="3"/>
      <c r="Y908" s="3"/>
      <c r="Z908" s="3"/>
    </row>
    <row r="909" ht="15.75" customHeight="1">
      <c r="A909" s="3"/>
      <c r="B909" s="576"/>
      <c r="C909" s="2"/>
      <c r="D909" s="2"/>
      <c r="E909" s="2"/>
      <c r="F909" s="464"/>
      <c r="G909" s="2"/>
      <c r="H909" s="2"/>
      <c r="I909" s="2"/>
      <c r="J909" s="2"/>
      <c r="K909" s="2"/>
      <c r="L909" s="2"/>
      <c r="M909" s="2"/>
      <c r="N909" s="2"/>
      <c r="O909" s="2"/>
      <c r="P909" s="2"/>
      <c r="Q909" s="2"/>
      <c r="R909" s="2"/>
      <c r="S909" s="3"/>
      <c r="T909" s="3"/>
      <c r="U909" s="3"/>
      <c r="V909" s="3"/>
      <c r="W909" s="3"/>
      <c r="X909" s="3"/>
      <c r="Y909" s="3"/>
      <c r="Z909" s="3"/>
    </row>
    <row r="910" ht="15.75" customHeight="1">
      <c r="A910" s="3"/>
      <c r="B910" s="576"/>
      <c r="C910" s="2"/>
      <c r="D910" s="2"/>
      <c r="E910" s="2"/>
      <c r="F910" s="464"/>
      <c r="G910" s="2"/>
      <c r="H910" s="2"/>
      <c r="I910" s="2"/>
      <c r="J910" s="2"/>
      <c r="K910" s="2"/>
      <c r="L910" s="2"/>
      <c r="M910" s="2"/>
      <c r="N910" s="2"/>
      <c r="O910" s="2"/>
      <c r="P910" s="2"/>
      <c r="Q910" s="2"/>
      <c r="R910" s="2"/>
      <c r="S910" s="3"/>
      <c r="T910" s="3"/>
      <c r="U910" s="3"/>
      <c r="V910" s="3"/>
      <c r="W910" s="3"/>
      <c r="X910" s="3"/>
      <c r="Y910" s="3"/>
      <c r="Z910" s="3"/>
    </row>
    <row r="911" ht="15.75" customHeight="1">
      <c r="A911" s="3"/>
      <c r="B911" s="576"/>
      <c r="C911" s="2"/>
      <c r="D911" s="2"/>
      <c r="E911" s="2"/>
      <c r="F911" s="464"/>
      <c r="G911" s="2"/>
      <c r="H911" s="2"/>
      <c r="I911" s="2"/>
      <c r="J911" s="2"/>
      <c r="K911" s="2"/>
      <c r="L911" s="2"/>
      <c r="M911" s="2"/>
      <c r="N911" s="2"/>
      <c r="O911" s="2"/>
      <c r="P911" s="2"/>
      <c r="Q911" s="2"/>
      <c r="R911" s="2"/>
      <c r="S911" s="3"/>
      <c r="T911" s="3"/>
      <c r="U911" s="3"/>
      <c r="V911" s="3"/>
      <c r="W911" s="3"/>
      <c r="X911" s="3"/>
      <c r="Y911" s="3"/>
      <c r="Z911" s="3"/>
    </row>
    <row r="912" ht="15.75" customHeight="1">
      <c r="A912" s="3"/>
      <c r="B912" s="576"/>
      <c r="C912" s="2"/>
      <c r="D912" s="2"/>
      <c r="E912" s="2"/>
      <c r="F912" s="464"/>
      <c r="G912" s="2"/>
      <c r="H912" s="2"/>
      <c r="I912" s="2"/>
      <c r="J912" s="2"/>
      <c r="K912" s="2"/>
      <c r="L912" s="2"/>
      <c r="M912" s="2"/>
      <c r="N912" s="2"/>
      <c r="O912" s="2"/>
      <c r="P912" s="2"/>
      <c r="Q912" s="2"/>
      <c r="R912" s="2"/>
      <c r="S912" s="3"/>
      <c r="T912" s="3"/>
      <c r="U912" s="3"/>
      <c r="V912" s="3"/>
      <c r="W912" s="3"/>
      <c r="X912" s="3"/>
      <c r="Y912" s="3"/>
      <c r="Z912" s="3"/>
    </row>
    <row r="913" ht="15.75" customHeight="1">
      <c r="A913" s="3"/>
      <c r="B913" s="576"/>
      <c r="C913" s="2"/>
      <c r="D913" s="2"/>
      <c r="E913" s="2"/>
      <c r="F913" s="464"/>
      <c r="G913" s="2"/>
      <c r="H913" s="2"/>
      <c r="I913" s="2"/>
      <c r="J913" s="2"/>
      <c r="K913" s="2"/>
      <c r="L913" s="2"/>
      <c r="M913" s="2"/>
      <c r="N913" s="2"/>
      <c r="O913" s="2"/>
      <c r="P913" s="2"/>
      <c r="Q913" s="2"/>
      <c r="R913" s="2"/>
      <c r="S913" s="3"/>
      <c r="T913" s="3"/>
      <c r="U913" s="3"/>
      <c r="V913" s="3"/>
      <c r="W913" s="3"/>
      <c r="X913" s="3"/>
      <c r="Y913" s="3"/>
      <c r="Z913" s="3"/>
    </row>
    <row r="914" ht="15.75" customHeight="1">
      <c r="A914" s="3"/>
      <c r="B914" s="576"/>
      <c r="C914" s="2"/>
      <c r="D914" s="2"/>
      <c r="E914" s="2"/>
      <c r="F914" s="464"/>
      <c r="G914" s="2"/>
      <c r="H914" s="2"/>
      <c r="I914" s="2"/>
      <c r="J914" s="2"/>
      <c r="K914" s="2"/>
      <c r="L914" s="2"/>
      <c r="M914" s="2"/>
      <c r="N914" s="2"/>
      <c r="O914" s="2"/>
      <c r="P914" s="2"/>
      <c r="Q914" s="2"/>
      <c r="R914" s="2"/>
      <c r="S914" s="3"/>
      <c r="T914" s="3"/>
      <c r="U914" s="3"/>
      <c r="V914" s="3"/>
      <c r="W914" s="3"/>
      <c r="X914" s="3"/>
      <c r="Y914" s="3"/>
      <c r="Z914" s="3"/>
    </row>
    <row r="915" ht="15.75" customHeight="1">
      <c r="A915" s="3"/>
      <c r="B915" s="576"/>
      <c r="C915" s="2"/>
      <c r="D915" s="2"/>
      <c r="E915" s="2"/>
      <c r="F915" s="464"/>
      <c r="G915" s="2"/>
      <c r="H915" s="2"/>
      <c r="I915" s="2"/>
      <c r="J915" s="2"/>
      <c r="K915" s="2"/>
      <c r="L915" s="2"/>
      <c r="M915" s="2"/>
      <c r="N915" s="2"/>
      <c r="O915" s="2"/>
      <c r="P915" s="2"/>
      <c r="Q915" s="2"/>
      <c r="R915" s="2"/>
      <c r="S915" s="3"/>
      <c r="T915" s="3"/>
      <c r="U915" s="3"/>
      <c r="V915" s="3"/>
      <c r="W915" s="3"/>
      <c r="X915" s="3"/>
      <c r="Y915" s="3"/>
      <c r="Z915" s="3"/>
    </row>
    <row r="916" ht="15.75" customHeight="1">
      <c r="A916" s="3"/>
      <c r="B916" s="576"/>
      <c r="C916" s="2"/>
      <c r="D916" s="2"/>
      <c r="E916" s="2"/>
      <c r="F916" s="464"/>
      <c r="G916" s="2"/>
      <c r="H916" s="2"/>
      <c r="I916" s="2"/>
      <c r="J916" s="2"/>
      <c r="K916" s="2"/>
      <c r="L916" s="2"/>
      <c r="M916" s="2"/>
      <c r="N916" s="2"/>
      <c r="O916" s="2"/>
      <c r="P916" s="2"/>
      <c r="Q916" s="2"/>
      <c r="R916" s="2"/>
      <c r="S916" s="3"/>
      <c r="T916" s="3"/>
      <c r="U916" s="3"/>
      <c r="V916" s="3"/>
      <c r="W916" s="3"/>
      <c r="X916" s="3"/>
      <c r="Y916" s="3"/>
      <c r="Z916" s="3"/>
    </row>
    <row r="917" ht="15.75" customHeight="1">
      <c r="A917" s="3"/>
      <c r="B917" s="576"/>
      <c r="C917" s="2"/>
      <c r="D917" s="2"/>
      <c r="E917" s="2"/>
      <c r="F917" s="464"/>
      <c r="G917" s="2"/>
      <c r="H917" s="2"/>
      <c r="I917" s="2"/>
      <c r="J917" s="2"/>
      <c r="K917" s="2"/>
      <c r="L917" s="2"/>
      <c r="M917" s="2"/>
      <c r="N917" s="2"/>
      <c r="O917" s="2"/>
      <c r="P917" s="2"/>
      <c r="Q917" s="2"/>
      <c r="R917" s="2"/>
      <c r="S917" s="3"/>
      <c r="T917" s="3"/>
      <c r="U917" s="3"/>
      <c r="V917" s="3"/>
      <c r="W917" s="3"/>
      <c r="X917" s="3"/>
      <c r="Y917" s="3"/>
      <c r="Z917" s="3"/>
    </row>
    <row r="918" ht="15.75" customHeight="1">
      <c r="A918" s="3"/>
      <c r="B918" s="576"/>
      <c r="C918" s="2"/>
      <c r="D918" s="2"/>
      <c r="E918" s="2"/>
      <c r="F918" s="464"/>
      <c r="G918" s="2"/>
      <c r="H918" s="2"/>
      <c r="I918" s="2"/>
      <c r="J918" s="2"/>
      <c r="K918" s="2"/>
      <c r="L918" s="2"/>
      <c r="M918" s="2"/>
      <c r="N918" s="2"/>
      <c r="O918" s="2"/>
      <c r="P918" s="2"/>
      <c r="Q918" s="2"/>
      <c r="R918" s="2"/>
      <c r="S918" s="3"/>
      <c r="T918" s="3"/>
      <c r="U918" s="3"/>
      <c r="V918" s="3"/>
      <c r="W918" s="3"/>
      <c r="X918" s="3"/>
      <c r="Y918" s="3"/>
      <c r="Z918" s="3"/>
    </row>
    <row r="919" ht="15.75" customHeight="1">
      <c r="A919" s="3"/>
      <c r="B919" s="576"/>
      <c r="C919" s="2"/>
      <c r="D919" s="2"/>
      <c r="E919" s="2"/>
      <c r="F919" s="464"/>
      <c r="G919" s="2"/>
      <c r="H919" s="2"/>
      <c r="I919" s="2"/>
      <c r="J919" s="2"/>
      <c r="K919" s="2"/>
      <c r="L919" s="2"/>
      <c r="M919" s="2"/>
      <c r="N919" s="2"/>
      <c r="O919" s="2"/>
      <c r="P919" s="2"/>
      <c r="Q919" s="2"/>
      <c r="R919" s="2"/>
      <c r="S919" s="3"/>
      <c r="T919" s="3"/>
      <c r="U919" s="3"/>
      <c r="V919" s="3"/>
      <c r="W919" s="3"/>
      <c r="X919" s="3"/>
      <c r="Y919" s="3"/>
      <c r="Z919" s="3"/>
    </row>
    <row r="920" ht="15.75" customHeight="1">
      <c r="A920" s="3"/>
      <c r="B920" s="576"/>
      <c r="C920" s="2"/>
      <c r="D920" s="2"/>
      <c r="E920" s="2"/>
      <c r="F920" s="464"/>
      <c r="G920" s="2"/>
      <c r="H920" s="2"/>
      <c r="I920" s="2"/>
      <c r="J920" s="2"/>
      <c r="K920" s="2"/>
      <c r="L920" s="2"/>
      <c r="M920" s="2"/>
      <c r="N920" s="2"/>
      <c r="O920" s="2"/>
      <c r="P920" s="2"/>
      <c r="Q920" s="2"/>
      <c r="R920" s="2"/>
      <c r="S920" s="3"/>
      <c r="T920" s="3"/>
      <c r="U920" s="3"/>
      <c r="V920" s="3"/>
      <c r="W920" s="3"/>
      <c r="X920" s="3"/>
      <c r="Y920" s="3"/>
      <c r="Z920" s="3"/>
    </row>
    <row r="921" ht="15.75" customHeight="1">
      <c r="A921" s="3"/>
      <c r="B921" s="576"/>
      <c r="C921" s="2"/>
      <c r="D921" s="2"/>
      <c r="E921" s="2"/>
      <c r="F921" s="464"/>
      <c r="G921" s="2"/>
      <c r="H921" s="2"/>
      <c r="I921" s="2"/>
      <c r="J921" s="2"/>
      <c r="K921" s="2"/>
      <c r="L921" s="2"/>
      <c r="M921" s="2"/>
      <c r="N921" s="2"/>
      <c r="O921" s="2"/>
      <c r="P921" s="2"/>
      <c r="Q921" s="2"/>
      <c r="R921" s="2"/>
      <c r="S921" s="3"/>
      <c r="T921" s="3"/>
      <c r="U921" s="3"/>
      <c r="V921" s="3"/>
      <c r="W921" s="3"/>
      <c r="X921" s="3"/>
      <c r="Y921" s="3"/>
      <c r="Z921" s="3"/>
    </row>
    <row r="922" ht="15.75" customHeight="1">
      <c r="A922" s="3"/>
      <c r="B922" s="576"/>
      <c r="C922" s="2"/>
      <c r="D922" s="2"/>
      <c r="E922" s="2"/>
      <c r="F922" s="464"/>
      <c r="G922" s="2"/>
      <c r="H922" s="2"/>
      <c r="I922" s="2"/>
      <c r="J922" s="2"/>
      <c r="K922" s="2"/>
      <c r="L922" s="2"/>
      <c r="M922" s="2"/>
      <c r="N922" s="2"/>
      <c r="O922" s="2"/>
      <c r="P922" s="2"/>
      <c r="Q922" s="2"/>
      <c r="R922" s="2"/>
      <c r="S922" s="3"/>
      <c r="T922" s="3"/>
      <c r="U922" s="3"/>
      <c r="V922" s="3"/>
      <c r="W922" s="3"/>
      <c r="X922" s="3"/>
      <c r="Y922" s="3"/>
      <c r="Z922" s="3"/>
    </row>
    <row r="923" ht="15.75" customHeight="1">
      <c r="A923" s="3"/>
      <c r="B923" s="576"/>
      <c r="C923" s="2"/>
      <c r="D923" s="2"/>
      <c r="E923" s="2"/>
      <c r="F923" s="464"/>
      <c r="G923" s="2"/>
      <c r="H923" s="2"/>
      <c r="I923" s="2"/>
      <c r="J923" s="2"/>
      <c r="K923" s="2"/>
      <c r="L923" s="2"/>
      <c r="M923" s="2"/>
      <c r="N923" s="2"/>
      <c r="O923" s="2"/>
      <c r="P923" s="2"/>
      <c r="Q923" s="2"/>
      <c r="R923" s="2"/>
      <c r="S923" s="3"/>
      <c r="T923" s="3"/>
      <c r="U923" s="3"/>
      <c r="V923" s="3"/>
      <c r="W923" s="3"/>
      <c r="X923" s="3"/>
      <c r="Y923" s="3"/>
      <c r="Z923" s="3"/>
    </row>
    <row r="924" ht="15.75" customHeight="1">
      <c r="A924" s="3"/>
      <c r="B924" s="576"/>
      <c r="C924" s="2"/>
      <c r="D924" s="2"/>
      <c r="E924" s="2"/>
      <c r="F924" s="464"/>
      <c r="G924" s="2"/>
      <c r="H924" s="2"/>
      <c r="I924" s="2"/>
      <c r="J924" s="2"/>
      <c r="K924" s="2"/>
      <c r="L924" s="2"/>
      <c r="M924" s="2"/>
      <c r="N924" s="2"/>
      <c r="O924" s="2"/>
      <c r="P924" s="2"/>
      <c r="Q924" s="2"/>
      <c r="R924" s="2"/>
      <c r="S924" s="3"/>
      <c r="T924" s="3"/>
      <c r="U924" s="3"/>
      <c r="V924" s="3"/>
      <c r="W924" s="3"/>
      <c r="X924" s="3"/>
      <c r="Y924" s="3"/>
      <c r="Z924" s="3"/>
    </row>
    <row r="925" ht="15.75" customHeight="1">
      <c r="A925" s="3"/>
      <c r="B925" s="576"/>
      <c r="C925" s="2"/>
      <c r="D925" s="2"/>
      <c r="E925" s="2"/>
      <c r="F925" s="464"/>
      <c r="G925" s="2"/>
      <c r="H925" s="2"/>
      <c r="I925" s="2"/>
      <c r="J925" s="2"/>
      <c r="K925" s="2"/>
      <c r="L925" s="2"/>
      <c r="M925" s="2"/>
      <c r="N925" s="2"/>
      <c r="O925" s="2"/>
      <c r="P925" s="2"/>
      <c r="Q925" s="2"/>
      <c r="R925" s="2"/>
      <c r="S925" s="3"/>
      <c r="T925" s="3"/>
      <c r="U925" s="3"/>
      <c r="V925" s="3"/>
      <c r="W925" s="3"/>
      <c r="X925" s="3"/>
      <c r="Y925" s="3"/>
      <c r="Z925" s="3"/>
    </row>
    <row r="926" ht="15.75" customHeight="1">
      <c r="A926" s="3"/>
      <c r="B926" s="576"/>
      <c r="C926" s="2"/>
      <c r="D926" s="2"/>
      <c r="E926" s="2"/>
      <c r="F926" s="464"/>
      <c r="G926" s="2"/>
      <c r="H926" s="2"/>
      <c r="I926" s="2"/>
      <c r="J926" s="2"/>
      <c r="K926" s="2"/>
      <c r="L926" s="2"/>
      <c r="M926" s="2"/>
      <c r="N926" s="2"/>
      <c r="O926" s="2"/>
      <c r="P926" s="2"/>
      <c r="Q926" s="2"/>
      <c r="R926" s="2"/>
      <c r="S926" s="3"/>
      <c r="T926" s="3"/>
      <c r="U926" s="3"/>
      <c r="V926" s="3"/>
      <c r="W926" s="3"/>
      <c r="X926" s="3"/>
      <c r="Y926" s="3"/>
      <c r="Z926" s="3"/>
    </row>
    <row r="927" ht="15.75" customHeight="1">
      <c r="A927" s="3"/>
      <c r="B927" s="576"/>
      <c r="C927" s="2"/>
      <c r="D927" s="2"/>
      <c r="E927" s="2"/>
      <c r="F927" s="464"/>
      <c r="G927" s="2"/>
      <c r="H927" s="2"/>
      <c r="I927" s="2"/>
      <c r="J927" s="2"/>
      <c r="K927" s="2"/>
      <c r="L927" s="2"/>
      <c r="M927" s="2"/>
      <c r="N927" s="2"/>
      <c r="O927" s="2"/>
      <c r="P927" s="2"/>
      <c r="Q927" s="2"/>
      <c r="R927" s="2"/>
      <c r="S927" s="3"/>
      <c r="T927" s="3"/>
      <c r="U927" s="3"/>
      <c r="V927" s="3"/>
      <c r="W927" s="3"/>
      <c r="X927" s="3"/>
      <c r="Y927" s="3"/>
      <c r="Z927" s="3"/>
    </row>
    <row r="928" ht="15.75" customHeight="1">
      <c r="A928" s="3"/>
      <c r="B928" s="576"/>
      <c r="C928" s="2"/>
      <c r="D928" s="2"/>
      <c r="E928" s="2"/>
      <c r="F928" s="464"/>
      <c r="G928" s="2"/>
      <c r="H928" s="2"/>
      <c r="I928" s="2"/>
      <c r="J928" s="2"/>
      <c r="K928" s="2"/>
      <c r="L928" s="2"/>
      <c r="M928" s="2"/>
      <c r="N928" s="2"/>
      <c r="O928" s="2"/>
      <c r="P928" s="2"/>
      <c r="Q928" s="2"/>
      <c r="R928" s="2"/>
      <c r="S928" s="3"/>
      <c r="T928" s="3"/>
      <c r="U928" s="3"/>
      <c r="V928" s="3"/>
      <c r="W928" s="3"/>
      <c r="X928" s="3"/>
      <c r="Y928" s="3"/>
      <c r="Z928" s="3"/>
    </row>
    <row r="929" ht="15.75" customHeight="1">
      <c r="A929" s="3"/>
      <c r="B929" s="576"/>
      <c r="C929" s="2"/>
      <c r="D929" s="2"/>
      <c r="E929" s="2"/>
      <c r="F929" s="464"/>
      <c r="G929" s="2"/>
      <c r="H929" s="2"/>
      <c r="I929" s="2"/>
      <c r="J929" s="2"/>
      <c r="K929" s="2"/>
      <c r="L929" s="2"/>
      <c r="M929" s="2"/>
      <c r="N929" s="2"/>
      <c r="O929" s="2"/>
      <c r="P929" s="2"/>
      <c r="Q929" s="2"/>
      <c r="R929" s="2"/>
      <c r="S929" s="3"/>
      <c r="T929" s="3"/>
      <c r="U929" s="3"/>
      <c r="V929" s="3"/>
      <c r="W929" s="3"/>
      <c r="X929" s="3"/>
      <c r="Y929" s="3"/>
      <c r="Z929" s="3"/>
    </row>
    <row r="930" ht="15.75" customHeight="1">
      <c r="A930" s="3"/>
      <c r="B930" s="576"/>
      <c r="C930" s="2"/>
      <c r="D930" s="2"/>
      <c r="E930" s="2"/>
      <c r="F930" s="464"/>
      <c r="G930" s="2"/>
      <c r="H930" s="2"/>
      <c r="I930" s="2"/>
      <c r="J930" s="2"/>
      <c r="K930" s="2"/>
      <c r="L930" s="2"/>
      <c r="M930" s="2"/>
      <c r="N930" s="2"/>
      <c r="O930" s="2"/>
      <c r="P930" s="2"/>
      <c r="Q930" s="2"/>
      <c r="R930" s="2"/>
      <c r="S930" s="3"/>
      <c r="T930" s="3"/>
      <c r="U930" s="3"/>
      <c r="V930" s="3"/>
      <c r="W930" s="3"/>
      <c r="X930" s="3"/>
      <c r="Y930" s="3"/>
      <c r="Z930" s="3"/>
    </row>
    <row r="931" ht="15.75" customHeight="1">
      <c r="A931" s="3"/>
      <c r="B931" s="576"/>
      <c r="C931" s="2"/>
      <c r="D931" s="2"/>
      <c r="E931" s="2"/>
      <c r="F931" s="464"/>
      <c r="G931" s="2"/>
      <c r="H931" s="2"/>
      <c r="I931" s="2"/>
      <c r="J931" s="2"/>
      <c r="K931" s="2"/>
      <c r="L931" s="2"/>
      <c r="M931" s="2"/>
      <c r="N931" s="2"/>
      <c r="O931" s="2"/>
      <c r="P931" s="2"/>
      <c r="Q931" s="2"/>
      <c r="R931" s="2"/>
      <c r="S931" s="3"/>
      <c r="T931" s="3"/>
      <c r="U931" s="3"/>
      <c r="V931" s="3"/>
      <c r="W931" s="3"/>
      <c r="X931" s="3"/>
      <c r="Y931" s="3"/>
      <c r="Z931" s="3"/>
    </row>
    <row r="932" ht="15.75" customHeight="1">
      <c r="A932" s="3"/>
      <c r="B932" s="576"/>
      <c r="C932" s="2"/>
      <c r="D932" s="2"/>
      <c r="E932" s="2"/>
      <c r="F932" s="464"/>
      <c r="G932" s="2"/>
      <c r="H932" s="2"/>
      <c r="I932" s="2"/>
      <c r="J932" s="2"/>
      <c r="K932" s="2"/>
      <c r="L932" s="2"/>
      <c r="M932" s="2"/>
      <c r="N932" s="2"/>
      <c r="O932" s="2"/>
      <c r="P932" s="2"/>
      <c r="Q932" s="2"/>
      <c r="R932" s="2"/>
      <c r="S932" s="3"/>
      <c r="T932" s="3"/>
      <c r="U932" s="3"/>
      <c r="V932" s="3"/>
      <c r="W932" s="3"/>
      <c r="X932" s="3"/>
      <c r="Y932" s="3"/>
      <c r="Z932" s="3"/>
    </row>
    <row r="933" ht="15.75" customHeight="1">
      <c r="A933" s="3"/>
      <c r="B933" s="576"/>
      <c r="C933" s="2"/>
      <c r="D933" s="2"/>
      <c r="E933" s="2"/>
      <c r="F933" s="464"/>
      <c r="G933" s="2"/>
      <c r="H933" s="2"/>
      <c r="I933" s="2"/>
      <c r="J933" s="2"/>
      <c r="K933" s="2"/>
      <c r="L933" s="2"/>
      <c r="M933" s="2"/>
      <c r="N933" s="2"/>
      <c r="O933" s="2"/>
      <c r="P933" s="2"/>
      <c r="Q933" s="2"/>
      <c r="R933" s="2"/>
      <c r="S933" s="3"/>
      <c r="T933" s="3"/>
      <c r="U933" s="3"/>
      <c r="V933" s="3"/>
      <c r="W933" s="3"/>
      <c r="X933" s="3"/>
      <c r="Y933" s="3"/>
      <c r="Z933" s="3"/>
    </row>
    <row r="934" ht="15.75" customHeight="1">
      <c r="A934" s="3"/>
      <c r="B934" s="576"/>
      <c r="C934" s="2"/>
      <c r="D934" s="2"/>
      <c r="E934" s="2"/>
      <c r="F934" s="464"/>
      <c r="G934" s="2"/>
      <c r="H934" s="2"/>
      <c r="I934" s="2"/>
      <c r="J934" s="2"/>
      <c r="K934" s="2"/>
      <c r="L934" s="2"/>
      <c r="M934" s="2"/>
      <c r="N934" s="2"/>
      <c r="O934" s="2"/>
      <c r="P934" s="2"/>
      <c r="Q934" s="2"/>
      <c r="R934" s="2"/>
      <c r="S934" s="3"/>
      <c r="T934" s="3"/>
      <c r="U934" s="3"/>
      <c r="V934" s="3"/>
      <c r="W934" s="3"/>
      <c r="X934" s="3"/>
      <c r="Y934" s="3"/>
      <c r="Z934" s="3"/>
    </row>
    <row r="935" ht="15.75" customHeight="1">
      <c r="A935" s="3"/>
      <c r="B935" s="576"/>
      <c r="C935" s="2"/>
      <c r="D935" s="2"/>
      <c r="E935" s="2"/>
      <c r="F935" s="464"/>
      <c r="G935" s="2"/>
      <c r="H935" s="2"/>
      <c r="I935" s="2"/>
      <c r="J935" s="2"/>
      <c r="K935" s="2"/>
      <c r="L935" s="2"/>
      <c r="M935" s="2"/>
      <c r="N935" s="2"/>
      <c r="O935" s="2"/>
      <c r="P935" s="2"/>
      <c r="Q935" s="2"/>
      <c r="R935" s="2"/>
      <c r="S935" s="3"/>
      <c r="T935" s="3"/>
      <c r="U935" s="3"/>
      <c r="V935" s="3"/>
      <c r="W935" s="3"/>
      <c r="X935" s="3"/>
      <c r="Y935" s="3"/>
      <c r="Z935" s="3"/>
    </row>
    <row r="936" ht="15.75" customHeight="1">
      <c r="A936" s="3"/>
      <c r="B936" s="576"/>
      <c r="C936" s="2"/>
      <c r="D936" s="2"/>
      <c r="E936" s="2"/>
      <c r="F936" s="464"/>
      <c r="G936" s="2"/>
      <c r="H936" s="2"/>
      <c r="I936" s="2"/>
      <c r="J936" s="2"/>
      <c r="K936" s="2"/>
      <c r="L936" s="2"/>
      <c r="M936" s="2"/>
      <c r="N936" s="2"/>
      <c r="O936" s="2"/>
      <c r="P936" s="2"/>
      <c r="Q936" s="2"/>
      <c r="R936" s="2"/>
      <c r="S936" s="3"/>
      <c r="T936" s="3"/>
      <c r="U936" s="3"/>
      <c r="V936" s="3"/>
      <c r="W936" s="3"/>
      <c r="X936" s="3"/>
      <c r="Y936" s="3"/>
      <c r="Z936" s="3"/>
    </row>
    <row r="937" ht="15.75" customHeight="1">
      <c r="A937" s="3"/>
      <c r="B937" s="576"/>
      <c r="C937" s="2"/>
      <c r="D937" s="2"/>
      <c r="E937" s="2"/>
      <c r="F937" s="464"/>
      <c r="G937" s="2"/>
      <c r="H937" s="2"/>
      <c r="I937" s="2"/>
      <c r="J937" s="2"/>
      <c r="K937" s="2"/>
      <c r="L937" s="2"/>
      <c r="M937" s="2"/>
      <c r="N937" s="2"/>
      <c r="O937" s="2"/>
      <c r="P937" s="2"/>
      <c r="Q937" s="2"/>
      <c r="R937" s="2"/>
      <c r="S937" s="3"/>
      <c r="T937" s="3"/>
      <c r="U937" s="3"/>
      <c r="V937" s="3"/>
      <c r="W937" s="3"/>
      <c r="X937" s="3"/>
      <c r="Y937" s="3"/>
      <c r="Z937" s="3"/>
    </row>
    <row r="938" ht="15.75" customHeight="1">
      <c r="A938" s="3"/>
      <c r="B938" s="576"/>
      <c r="C938" s="2"/>
      <c r="D938" s="2"/>
      <c r="E938" s="2"/>
      <c r="F938" s="464"/>
      <c r="G938" s="2"/>
      <c r="H938" s="2"/>
      <c r="I938" s="2"/>
      <c r="J938" s="2"/>
      <c r="K938" s="2"/>
      <c r="L938" s="2"/>
      <c r="M938" s="2"/>
      <c r="N938" s="2"/>
      <c r="O938" s="2"/>
      <c r="P938" s="2"/>
      <c r="Q938" s="2"/>
      <c r="R938" s="2"/>
      <c r="S938" s="3"/>
      <c r="T938" s="3"/>
      <c r="U938" s="3"/>
      <c r="V938" s="3"/>
      <c r="W938" s="3"/>
      <c r="X938" s="3"/>
      <c r="Y938" s="3"/>
      <c r="Z938" s="3"/>
    </row>
    <row r="939" ht="15.75" customHeight="1">
      <c r="A939" s="3"/>
      <c r="B939" s="576"/>
      <c r="C939" s="2"/>
      <c r="D939" s="2"/>
      <c r="E939" s="2"/>
      <c r="F939" s="464"/>
      <c r="G939" s="2"/>
      <c r="H939" s="2"/>
      <c r="I939" s="2"/>
      <c r="J939" s="2"/>
      <c r="K939" s="2"/>
      <c r="L939" s="2"/>
      <c r="M939" s="2"/>
      <c r="N939" s="2"/>
      <c r="O939" s="2"/>
      <c r="P939" s="2"/>
      <c r="Q939" s="2"/>
      <c r="R939" s="2"/>
      <c r="S939" s="3"/>
      <c r="T939" s="3"/>
      <c r="U939" s="3"/>
      <c r="V939" s="3"/>
      <c r="W939" s="3"/>
      <c r="X939" s="3"/>
      <c r="Y939" s="3"/>
      <c r="Z939" s="3"/>
    </row>
    <row r="940" ht="15.75" customHeight="1">
      <c r="A940" s="3"/>
      <c r="B940" s="576"/>
      <c r="C940" s="2"/>
      <c r="D940" s="2"/>
      <c r="E940" s="2"/>
      <c r="F940" s="464"/>
      <c r="G940" s="2"/>
      <c r="H940" s="2"/>
      <c r="I940" s="2"/>
      <c r="J940" s="2"/>
      <c r="K940" s="2"/>
      <c r="L940" s="2"/>
      <c r="M940" s="2"/>
      <c r="N940" s="2"/>
      <c r="O940" s="2"/>
      <c r="P940" s="2"/>
      <c r="Q940" s="2"/>
      <c r="R940" s="2"/>
      <c r="S940" s="3"/>
      <c r="T940" s="3"/>
      <c r="U940" s="3"/>
      <c r="V940" s="3"/>
      <c r="W940" s="3"/>
      <c r="X940" s="3"/>
      <c r="Y940" s="3"/>
      <c r="Z940" s="3"/>
    </row>
    <row r="941" ht="15.75" customHeight="1">
      <c r="A941" s="3"/>
      <c r="B941" s="576"/>
      <c r="C941" s="2"/>
      <c r="D941" s="2"/>
      <c r="E941" s="2"/>
      <c r="F941" s="464"/>
      <c r="G941" s="2"/>
      <c r="H941" s="2"/>
      <c r="I941" s="2"/>
      <c r="J941" s="2"/>
      <c r="K941" s="2"/>
      <c r="L941" s="2"/>
      <c r="M941" s="2"/>
      <c r="N941" s="2"/>
      <c r="O941" s="2"/>
      <c r="P941" s="2"/>
      <c r="Q941" s="2"/>
      <c r="R941" s="2"/>
      <c r="S941" s="3"/>
      <c r="T941" s="3"/>
      <c r="U941" s="3"/>
      <c r="V941" s="3"/>
      <c r="W941" s="3"/>
      <c r="X941" s="3"/>
      <c r="Y941" s="3"/>
      <c r="Z941" s="3"/>
    </row>
    <row r="942" ht="15.75" customHeight="1">
      <c r="A942" s="3"/>
      <c r="B942" s="576"/>
      <c r="C942" s="2"/>
      <c r="D942" s="2"/>
      <c r="E942" s="2"/>
      <c r="F942" s="464"/>
      <c r="G942" s="2"/>
      <c r="H942" s="2"/>
      <c r="I942" s="2"/>
      <c r="J942" s="2"/>
      <c r="K942" s="2"/>
      <c r="L942" s="2"/>
      <c r="M942" s="2"/>
      <c r="N942" s="2"/>
      <c r="O942" s="2"/>
      <c r="P942" s="2"/>
      <c r="Q942" s="2"/>
      <c r="R942" s="2"/>
      <c r="S942" s="3"/>
      <c r="T942" s="3"/>
      <c r="U942" s="3"/>
      <c r="V942" s="3"/>
      <c r="W942" s="3"/>
      <c r="X942" s="3"/>
      <c r="Y942" s="3"/>
      <c r="Z942" s="3"/>
    </row>
    <row r="943" ht="15.75" customHeight="1">
      <c r="A943" s="3"/>
      <c r="B943" s="576"/>
      <c r="C943" s="2"/>
      <c r="D943" s="2"/>
      <c r="E943" s="2"/>
      <c r="F943" s="464"/>
      <c r="G943" s="2"/>
      <c r="H943" s="2"/>
      <c r="I943" s="2"/>
      <c r="J943" s="2"/>
      <c r="K943" s="2"/>
      <c r="L943" s="2"/>
      <c r="M943" s="2"/>
      <c r="N943" s="2"/>
      <c r="O943" s="2"/>
      <c r="P943" s="2"/>
      <c r="Q943" s="2"/>
      <c r="R943" s="2"/>
      <c r="S943" s="3"/>
      <c r="T943" s="3"/>
      <c r="U943" s="3"/>
      <c r="V943" s="3"/>
      <c r="W943" s="3"/>
      <c r="X943" s="3"/>
      <c r="Y943" s="3"/>
      <c r="Z943" s="3"/>
    </row>
    <row r="944" ht="15.75" customHeight="1">
      <c r="A944" s="3"/>
      <c r="B944" s="576"/>
      <c r="C944" s="2"/>
      <c r="D944" s="2"/>
      <c r="E944" s="2"/>
      <c r="F944" s="464"/>
      <c r="G944" s="2"/>
      <c r="H944" s="2"/>
      <c r="I944" s="2"/>
      <c r="J944" s="2"/>
      <c r="K944" s="2"/>
      <c r="L944" s="2"/>
      <c r="M944" s="2"/>
      <c r="N944" s="2"/>
      <c r="O944" s="2"/>
      <c r="P944" s="2"/>
      <c r="Q944" s="2"/>
      <c r="R944" s="2"/>
      <c r="S944" s="3"/>
      <c r="T944" s="3"/>
      <c r="U944" s="3"/>
      <c r="V944" s="3"/>
      <c r="W944" s="3"/>
      <c r="X944" s="3"/>
      <c r="Y944" s="3"/>
      <c r="Z944" s="3"/>
    </row>
    <row r="945" ht="15.75" customHeight="1">
      <c r="A945" s="3"/>
      <c r="B945" s="576"/>
      <c r="C945" s="2"/>
      <c r="D945" s="2"/>
      <c r="E945" s="2"/>
      <c r="F945" s="464"/>
      <c r="G945" s="2"/>
      <c r="H945" s="2"/>
      <c r="I945" s="2"/>
      <c r="J945" s="2"/>
      <c r="K945" s="2"/>
      <c r="L945" s="2"/>
      <c r="M945" s="2"/>
      <c r="N945" s="2"/>
      <c r="O945" s="2"/>
      <c r="P945" s="2"/>
      <c r="Q945" s="2"/>
      <c r="R945" s="2"/>
      <c r="S945" s="3"/>
      <c r="T945" s="3"/>
      <c r="U945" s="3"/>
      <c r="V945" s="3"/>
      <c r="W945" s="3"/>
      <c r="X945" s="3"/>
      <c r="Y945" s="3"/>
      <c r="Z945" s="3"/>
    </row>
    <row r="946" ht="15.75" customHeight="1">
      <c r="A946" s="3"/>
      <c r="B946" s="576"/>
      <c r="C946" s="2"/>
      <c r="D946" s="2"/>
      <c r="E946" s="2"/>
      <c r="F946" s="464"/>
      <c r="G946" s="2"/>
      <c r="H946" s="2"/>
      <c r="I946" s="2"/>
      <c r="J946" s="2"/>
      <c r="K946" s="2"/>
      <c r="L946" s="2"/>
      <c r="M946" s="2"/>
      <c r="N946" s="2"/>
      <c r="O946" s="2"/>
      <c r="P946" s="2"/>
      <c r="Q946" s="2"/>
      <c r="R946" s="2"/>
      <c r="S946" s="3"/>
      <c r="T946" s="3"/>
      <c r="U946" s="3"/>
      <c r="V946" s="3"/>
      <c r="W946" s="3"/>
      <c r="X946" s="3"/>
      <c r="Y946" s="3"/>
      <c r="Z946" s="3"/>
    </row>
    <row r="947" ht="15.75" customHeight="1">
      <c r="A947" s="3"/>
      <c r="B947" s="576"/>
      <c r="C947" s="2"/>
      <c r="D947" s="2"/>
      <c r="E947" s="2"/>
      <c r="F947" s="464"/>
      <c r="G947" s="2"/>
      <c r="H947" s="2"/>
      <c r="I947" s="2"/>
      <c r="J947" s="2"/>
      <c r="K947" s="2"/>
      <c r="L947" s="2"/>
      <c r="M947" s="2"/>
      <c r="N947" s="2"/>
      <c r="O947" s="2"/>
      <c r="P947" s="2"/>
      <c r="Q947" s="2"/>
      <c r="R947" s="2"/>
      <c r="S947" s="3"/>
      <c r="T947" s="3"/>
      <c r="U947" s="3"/>
      <c r="V947" s="3"/>
      <c r="W947" s="3"/>
      <c r="X947" s="3"/>
      <c r="Y947" s="3"/>
      <c r="Z947" s="3"/>
    </row>
    <row r="948" ht="15.75" customHeight="1">
      <c r="A948" s="3"/>
      <c r="B948" s="576"/>
      <c r="C948" s="2"/>
      <c r="D948" s="2"/>
      <c r="E948" s="2"/>
      <c r="F948" s="464"/>
      <c r="G948" s="2"/>
      <c r="H948" s="2"/>
      <c r="I948" s="2"/>
      <c r="J948" s="2"/>
      <c r="K948" s="2"/>
      <c r="L948" s="2"/>
      <c r="M948" s="2"/>
      <c r="N948" s="2"/>
      <c r="O948" s="2"/>
      <c r="P948" s="2"/>
      <c r="Q948" s="2"/>
      <c r="R948" s="2"/>
      <c r="S948" s="3"/>
      <c r="T948" s="3"/>
      <c r="U948" s="3"/>
      <c r="V948" s="3"/>
      <c r="W948" s="3"/>
      <c r="X948" s="3"/>
      <c r="Y948" s="3"/>
      <c r="Z948" s="3"/>
    </row>
    <row r="949" ht="15.75" customHeight="1">
      <c r="A949" s="3"/>
      <c r="B949" s="576"/>
      <c r="C949" s="2"/>
      <c r="D949" s="2"/>
      <c r="E949" s="2"/>
      <c r="F949" s="464"/>
      <c r="G949" s="2"/>
      <c r="H949" s="2"/>
      <c r="I949" s="2"/>
      <c r="J949" s="2"/>
      <c r="K949" s="2"/>
      <c r="L949" s="2"/>
      <c r="M949" s="2"/>
      <c r="N949" s="2"/>
      <c r="O949" s="2"/>
      <c r="P949" s="2"/>
      <c r="Q949" s="2"/>
      <c r="R949" s="2"/>
      <c r="S949" s="3"/>
      <c r="T949" s="3"/>
      <c r="U949" s="3"/>
      <c r="V949" s="3"/>
      <c r="W949" s="3"/>
      <c r="X949" s="3"/>
      <c r="Y949" s="3"/>
      <c r="Z949" s="3"/>
    </row>
    <row r="950" ht="15.75" customHeight="1">
      <c r="A950" s="3"/>
      <c r="B950" s="576"/>
      <c r="C950" s="2"/>
      <c r="D950" s="2"/>
      <c r="E950" s="2"/>
      <c r="F950" s="464"/>
      <c r="G950" s="2"/>
      <c r="H950" s="2"/>
      <c r="I950" s="2"/>
      <c r="J950" s="2"/>
      <c r="K950" s="2"/>
      <c r="L950" s="2"/>
      <c r="M950" s="2"/>
      <c r="N950" s="2"/>
      <c r="O950" s="2"/>
      <c r="P950" s="2"/>
      <c r="Q950" s="2"/>
      <c r="R950" s="2"/>
      <c r="S950" s="3"/>
      <c r="T950" s="3"/>
      <c r="U950" s="3"/>
      <c r="V950" s="3"/>
      <c r="W950" s="3"/>
      <c r="X950" s="3"/>
      <c r="Y950" s="3"/>
      <c r="Z950" s="3"/>
    </row>
    <row r="951" ht="15.75" customHeight="1">
      <c r="A951" s="3"/>
      <c r="B951" s="576"/>
      <c r="C951" s="2"/>
      <c r="D951" s="2"/>
      <c r="E951" s="2"/>
      <c r="F951" s="464"/>
      <c r="G951" s="2"/>
      <c r="H951" s="2"/>
      <c r="I951" s="2"/>
      <c r="J951" s="2"/>
      <c r="K951" s="2"/>
      <c r="L951" s="2"/>
      <c r="M951" s="2"/>
      <c r="N951" s="2"/>
      <c r="O951" s="2"/>
      <c r="P951" s="2"/>
      <c r="Q951" s="2"/>
      <c r="R951" s="2"/>
      <c r="S951" s="3"/>
      <c r="T951" s="3"/>
      <c r="U951" s="3"/>
      <c r="V951" s="3"/>
      <c r="W951" s="3"/>
      <c r="X951" s="3"/>
      <c r="Y951" s="3"/>
      <c r="Z951" s="3"/>
    </row>
    <row r="952" ht="15.75" customHeight="1">
      <c r="A952" s="3"/>
      <c r="B952" s="576"/>
      <c r="C952" s="2"/>
      <c r="D952" s="2"/>
      <c r="E952" s="2"/>
      <c r="F952" s="464"/>
      <c r="G952" s="2"/>
      <c r="H952" s="2"/>
      <c r="I952" s="2"/>
      <c r="J952" s="2"/>
      <c r="K952" s="2"/>
      <c r="L952" s="2"/>
      <c r="M952" s="2"/>
      <c r="N952" s="2"/>
      <c r="O952" s="2"/>
      <c r="P952" s="2"/>
      <c r="Q952" s="2"/>
      <c r="R952" s="2"/>
      <c r="S952" s="3"/>
      <c r="T952" s="3"/>
      <c r="U952" s="3"/>
      <c r="V952" s="3"/>
      <c r="W952" s="3"/>
      <c r="X952" s="3"/>
      <c r="Y952" s="3"/>
      <c r="Z952" s="3"/>
    </row>
    <row r="953" ht="15.75" customHeight="1">
      <c r="A953" s="3"/>
      <c r="B953" s="576"/>
      <c r="C953" s="2"/>
      <c r="D953" s="2"/>
      <c r="E953" s="2"/>
      <c r="F953" s="464"/>
      <c r="G953" s="2"/>
      <c r="H953" s="2"/>
      <c r="I953" s="2"/>
      <c r="J953" s="2"/>
      <c r="K953" s="2"/>
      <c r="L953" s="2"/>
      <c r="M953" s="2"/>
      <c r="N953" s="2"/>
      <c r="O953" s="2"/>
      <c r="P953" s="2"/>
      <c r="Q953" s="2"/>
      <c r="R953" s="2"/>
      <c r="S953" s="3"/>
      <c r="T953" s="3"/>
      <c r="U953" s="3"/>
      <c r="V953" s="3"/>
      <c r="W953" s="3"/>
      <c r="X953" s="3"/>
      <c r="Y953" s="3"/>
      <c r="Z953" s="3"/>
    </row>
    <row r="954" ht="15.75" customHeight="1">
      <c r="A954" s="3"/>
      <c r="B954" s="576"/>
      <c r="C954" s="2"/>
      <c r="D954" s="2"/>
      <c r="E954" s="2"/>
      <c r="F954" s="464"/>
      <c r="G954" s="2"/>
      <c r="H954" s="2"/>
      <c r="I954" s="2"/>
      <c r="J954" s="2"/>
      <c r="K954" s="2"/>
      <c r="L954" s="2"/>
      <c r="M954" s="2"/>
      <c r="N954" s="2"/>
      <c r="O954" s="2"/>
      <c r="P954" s="2"/>
      <c r="Q954" s="2"/>
      <c r="R954" s="2"/>
      <c r="S954" s="3"/>
      <c r="T954" s="3"/>
      <c r="U954" s="3"/>
      <c r="V954" s="3"/>
      <c r="W954" s="3"/>
      <c r="X954" s="3"/>
      <c r="Y954" s="3"/>
      <c r="Z954" s="3"/>
    </row>
    <row r="955" ht="15.75" customHeight="1">
      <c r="A955" s="3"/>
      <c r="B955" s="576"/>
      <c r="C955" s="2"/>
      <c r="D955" s="2"/>
      <c r="E955" s="2"/>
      <c r="F955" s="464"/>
      <c r="G955" s="2"/>
      <c r="H955" s="2"/>
      <c r="I955" s="2"/>
      <c r="J955" s="2"/>
      <c r="K955" s="2"/>
      <c r="L955" s="2"/>
      <c r="M955" s="2"/>
      <c r="N955" s="2"/>
      <c r="O955" s="2"/>
      <c r="P955" s="2"/>
      <c r="Q955" s="2"/>
      <c r="R955" s="2"/>
      <c r="S955" s="3"/>
      <c r="T955" s="3"/>
      <c r="U955" s="3"/>
      <c r="V955" s="3"/>
      <c r="W955" s="3"/>
      <c r="X955" s="3"/>
      <c r="Y955" s="3"/>
      <c r="Z955" s="3"/>
    </row>
    <row r="956" ht="15.75" customHeight="1">
      <c r="A956" s="3"/>
      <c r="B956" s="576"/>
      <c r="C956" s="2"/>
      <c r="D956" s="2"/>
      <c r="E956" s="2"/>
      <c r="F956" s="464"/>
      <c r="G956" s="2"/>
      <c r="H956" s="2"/>
      <c r="I956" s="2"/>
      <c r="J956" s="2"/>
      <c r="K956" s="2"/>
      <c r="L956" s="2"/>
      <c r="M956" s="2"/>
      <c r="N956" s="2"/>
      <c r="O956" s="2"/>
      <c r="P956" s="2"/>
      <c r="Q956" s="2"/>
      <c r="R956" s="2"/>
      <c r="S956" s="3"/>
      <c r="T956" s="3"/>
      <c r="U956" s="3"/>
      <c r="V956" s="3"/>
      <c r="W956" s="3"/>
      <c r="X956" s="3"/>
      <c r="Y956" s="3"/>
      <c r="Z956" s="3"/>
    </row>
    <row r="957" ht="15.75" customHeight="1">
      <c r="A957" s="3"/>
      <c r="B957" s="576"/>
      <c r="C957" s="2"/>
      <c r="D957" s="2"/>
      <c r="E957" s="2"/>
      <c r="F957" s="464"/>
      <c r="G957" s="2"/>
      <c r="H957" s="2"/>
      <c r="I957" s="2"/>
      <c r="J957" s="2"/>
      <c r="K957" s="2"/>
      <c r="L957" s="2"/>
      <c r="M957" s="2"/>
      <c r="N957" s="2"/>
      <c r="O957" s="2"/>
      <c r="P957" s="2"/>
      <c r="Q957" s="2"/>
      <c r="R957" s="2"/>
      <c r="S957" s="3"/>
      <c r="T957" s="3"/>
      <c r="U957" s="3"/>
      <c r="V957" s="3"/>
      <c r="W957" s="3"/>
      <c r="X957" s="3"/>
      <c r="Y957" s="3"/>
      <c r="Z957" s="3"/>
    </row>
    <row r="958" ht="15.75" customHeight="1">
      <c r="A958" s="3"/>
      <c r="B958" s="576"/>
      <c r="C958" s="2"/>
      <c r="D958" s="2"/>
      <c r="E958" s="2"/>
      <c r="F958" s="464"/>
      <c r="G958" s="2"/>
      <c r="H958" s="2"/>
      <c r="I958" s="2"/>
      <c r="J958" s="2"/>
      <c r="K958" s="2"/>
      <c r="L958" s="2"/>
      <c r="M958" s="2"/>
      <c r="N958" s="2"/>
      <c r="O958" s="2"/>
      <c r="P958" s="2"/>
      <c r="Q958" s="2"/>
      <c r="R958" s="2"/>
      <c r="S958" s="3"/>
      <c r="T958" s="3"/>
      <c r="U958" s="3"/>
      <c r="V958" s="3"/>
      <c r="W958" s="3"/>
      <c r="X958" s="3"/>
      <c r="Y958" s="3"/>
      <c r="Z958" s="3"/>
    </row>
    <row r="959" ht="15.75" customHeight="1">
      <c r="A959" s="3"/>
      <c r="B959" s="576"/>
      <c r="C959" s="2"/>
      <c r="D959" s="2"/>
      <c r="E959" s="2"/>
      <c r="F959" s="464"/>
      <c r="G959" s="2"/>
      <c r="H959" s="2"/>
      <c r="I959" s="2"/>
      <c r="J959" s="2"/>
      <c r="K959" s="2"/>
      <c r="L959" s="2"/>
      <c r="M959" s="2"/>
      <c r="N959" s="2"/>
      <c r="O959" s="2"/>
      <c r="P959" s="2"/>
      <c r="Q959" s="2"/>
      <c r="R959" s="2"/>
      <c r="S959" s="3"/>
      <c r="T959" s="3"/>
      <c r="U959" s="3"/>
      <c r="V959" s="3"/>
      <c r="W959" s="3"/>
      <c r="X959" s="3"/>
      <c r="Y959" s="3"/>
      <c r="Z959" s="3"/>
    </row>
    <row r="960" ht="15.75" customHeight="1">
      <c r="A960" s="3"/>
      <c r="B960" s="576"/>
      <c r="C960" s="2"/>
      <c r="D960" s="2"/>
      <c r="E960" s="2"/>
      <c r="F960" s="464"/>
      <c r="G960" s="2"/>
      <c r="H960" s="2"/>
      <c r="I960" s="2"/>
      <c r="J960" s="2"/>
      <c r="K960" s="2"/>
      <c r="L960" s="2"/>
      <c r="M960" s="2"/>
      <c r="N960" s="2"/>
      <c r="O960" s="2"/>
      <c r="P960" s="2"/>
      <c r="Q960" s="2"/>
      <c r="R960" s="2"/>
      <c r="S960" s="3"/>
      <c r="T960" s="3"/>
      <c r="U960" s="3"/>
      <c r="V960" s="3"/>
      <c r="W960" s="3"/>
      <c r="X960" s="3"/>
      <c r="Y960" s="3"/>
      <c r="Z960" s="3"/>
    </row>
    <row r="961" ht="15.75" customHeight="1">
      <c r="A961" s="3"/>
      <c r="B961" s="576"/>
      <c r="C961" s="2"/>
      <c r="D961" s="2"/>
      <c r="E961" s="2"/>
      <c r="F961" s="464"/>
      <c r="G961" s="2"/>
      <c r="H961" s="2"/>
      <c r="I961" s="2"/>
      <c r="J961" s="2"/>
      <c r="K961" s="2"/>
      <c r="L961" s="2"/>
      <c r="M961" s="2"/>
      <c r="N961" s="2"/>
      <c r="O961" s="2"/>
      <c r="P961" s="2"/>
      <c r="Q961" s="2"/>
      <c r="R961" s="2"/>
      <c r="S961" s="3"/>
      <c r="T961" s="3"/>
      <c r="U961" s="3"/>
      <c r="V961" s="3"/>
      <c r="W961" s="3"/>
      <c r="X961" s="3"/>
      <c r="Y961" s="3"/>
      <c r="Z961" s="3"/>
    </row>
    <row r="962" ht="15.75" customHeight="1">
      <c r="A962" s="3"/>
      <c r="B962" s="576"/>
      <c r="C962" s="2"/>
      <c r="D962" s="2"/>
      <c r="E962" s="2"/>
      <c r="F962" s="464"/>
      <c r="G962" s="2"/>
      <c r="H962" s="2"/>
      <c r="I962" s="2"/>
      <c r="J962" s="2"/>
      <c r="K962" s="2"/>
      <c r="L962" s="2"/>
      <c r="M962" s="2"/>
      <c r="N962" s="2"/>
      <c r="O962" s="2"/>
      <c r="P962" s="2"/>
      <c r="Q962" s="2"/>
      <c r="R962" s="2"/>
      <c r="S962" s="3"/>
      <c r="T962" s="3"/>
      <c r="U962" s="3"/>
      <c r="V962" s="3"/>
      <c r="W962" s="3"/>
      <c r="X962" s="3"/>
      <c r="Y962" s="3"/>
      <c r="Z962" s="3"/>
    </row>
    <row r="963" ht="15.75" customHeight="1">
      <c r="A963" s="3"/>
      <c r="B963" s="576"/>
      <c r="C963" s="2"/>
      <c r="D963" s="2"/>
      <c r="E963" s="2"/>
      <c r="F963" s="464"/>
      <c r="G963" s="2"/>
      <c r="H963" s="2"/>
      <c r="I963" s="2"/>
      <c r="J963" s="2"/>
      <c r="K963" s="2"/>
      <c r="L963" s="2"/>
      <c r="M963" s="2"/>
      <c r="N963" s="2"/>
      <c r="O963" s="2"/>
      <c r="P963" s="2"/>
      <c r="Q963" s="2"/>
      <c r="R963" s="2"/>
      <c r="S963" s="3"/>
      <c r="T963" s="3"/>
      <c r="U963" s="3"/>
      <c r="V963" s="3"/>
      <c r="W963" s="3"/>
      <c r="X963" s="3"/>
      <c r="Y963" s="3"/>
      <c r="Z963" s="3"/>
    </row>
    <row r="964" ht="15.75" customHeight="1">
      <c r="A964" s="3"/>
      <c r="B964" s="576"/>
      <c r="C964" s="2"/>
      <c r="D964" s="2"/>
      <c r="E964" s="2"/>
      <c r="F964" s="464"/>
      <c r="G964" s="2"/>
      <c r="H964" s="2"/>
      <c r="I964" s="2"/>
      <c r="J964" s="2"/>
      <c r="K964" s="2"/>
      <c r="L964" s="2"/>
      <c r="M964" s="2"/>
      <c r="N964" s="2"/>
      <c r="O964" s="2"/>
      <c r="P964" s="2"/>
      <c r="Q964" s="2"/>
      <c r="R964" s="2"/>
      <c r="S964" s="3"/>
      <c r="T964" s="3"/>
      <c r="U964" s="3"/>
      <c r="V964" s="3"/>
      <c r="W964" s="3"/>
      <c r="X964" s="3"/>
      <c r="Y964" s="3"/>
      <c r="Z964" s="3"/>
    </row>
    <row r="965" ht="15.75" customHeight="1">
      <c r="A965" s="3"/>
      <c r="B965" s="576"/>
      <c r="C965" s="2"/>
      <c r="D965" s="2"/>
      <c r="E965" s="2"/>
      <c r="F965" s="464"/>
      <c r="G965" s="2"/>
      <c r="H965" s="2"/>
      <c r="I965" s="2"/>
      <c r="J965" s="2"/>
      <c r="K965" s="2"/>
      <c r="L965" s="2"/>
      <c r="M965" s="2"/>
      <c r="N965" s="2"/>
      <c r="O965" s="2"/>
      <c r="P965" s="2"/>
      <c r="Q965" s="2"/>
      <c r="R965" s="2"/>
      <c r="S965" s="3"/>
      <c r="T965" s="3"/>
      <c r="U965" s="3"/>
      <c r="V965" s="3"/>
      <c r="W965" s="3"/>
      <c r="X965" s="3"/>
      <c r="Y965" s="3"/>
      <c r="Z965" s="3"/>
    </row>
    <row r="966" ht="15.75" customHeight="1">
      <c r="A966" s="3"/>
      <c r="B966" s="576"/>
      <c r="C966" s="2"/>
      <c r="D966" s="2"/>
      <c r="E966" s="2"/>
      <c r="F966" s="464"/>
      <c r="G966" s="2"/>
      <c r="H966" s="2"/>
      <c r="I966" s="2"/>
      <c r="J966" s="2"/>
      <c r="K966" s="2"/>
      <c r="L966" s="2"/>
      <c r="M966" s="2"/>
      <c r="N966" s="2"/>
      <c r="O966" s="2"/>
      <c r="P966" s="2"/>
      <c r="Q966" s="2"/>
      <c r="R966" s="2"/>
      <c r="S966" s="3"/>
      <c r="T966" s="3"/>
      <c r="U966" s="3"/>
      <c r="V966" s="3"/>
      <c r="W966" s="3"/>
      <c r="X966" s="3"/>
      <c r="Y966" s="3"/>
      <c r="Z966" s="3"/>
    </row>
    <row r="967" ht="15.75" customHeight="1">
      <c r="A967" s="3"/>
      <c r="B967" s="576"/>
      <c r="C967" s="2"/>
      <c r="D967" s="2"/>
      <c r="E967" s="2"/>
      <c r="F967" s="464"/>
      <c r="G967" s="2"/>
      <c r="H967" s="2"/>
      <c r="I967" s="2"/>
      <c r="J967" s="2"/>
      <c r="K967" s="2"/>
      <c r="L967" s="2"/>
      <c r="M967" s="2"/>
      <c r="N967" s="2"/>
      <c r="O967" s="2"/>
      <c r="P967" s="2"/>
      <c r="Q967" s="2"/>
      <c r="R967" s="2"/>
      <c r="S967" s="3"/>
      <c r="T967" s="3"/>
      <c r="U967" s="3"/>
      <c r="V967" s="3"/>
      <c r="W967" s="3"/>
      <c r="X967" s="3"/>
      <c r="Y967" s="3"/>
      <c r="Z967" s="3"/>
    </row>
    <row r="968" ht="15.75" customHeight="1">
      <c r="A968" s="3"/>
      <c r="B968" s="576"/>
      <c r="C968" s="2"/>
      <c r="D968" s="2"/>
      <c r="E968" s="2"/>
      <c r="F968" s="464"/>
      <c r="G968" s="2"/>
      <c r="H968" s="2"/>
      <c r="I968" s="2"/>
      <c r="J968" s="2"/>
      <c r="K968" s="2"/>
      <c r="L968" s="2"/>
      <c r="M968" s="2"/>
      <c r="N968" s="2"/>
      <c r="O968" s="2"/>
      <c r="P968" s="2"/>
      <c r="Q968" s="2"/>
      <c r="R968" s="2"/>
      <c r="S968" s="3"/>
      <c r="T968" s="3"/>
      <c r="U968" s="3"/>
      <c r="V968" s="3"/>
      <c r="W968" s="3"/>
      <c r="X968" s="3"/>
      <c r="Y968" s="3"/>
      <c r="Z968" s="3"/>
    </row>
    <row r="969" ht="15.75" customHeight="1">
      <c r="A969" s="3"/>
      <c r="B969" s="576"/>
      <c r="C969" s="2"/>
      <c r="D969" s="2"/>
      <c r="E969" s="2"/>
      <c r="F969" s="464"/>
      <c r="G969" s="2"/>
      <c r="H969" s="2"/>
      <c r="I969" s="2"/>
      <c r="J969" s="2"/>
      <c r="K969" s="2"/>
      <c r="L969" s="2"/>
      <c r="M969" s="2"/>
      <c r="N969" s="2"/>
      <c r="O969" s="2"/>
      <c r="P969" s="2"/>
      <c r="Q969" s="2"/>
      <c r="R969" s="2"/>
      <c r="S969" s="3"/>
      <c r="T969" s="3"/>
      <c r="U969" s="3"/>
      <c r="V969" s="3"/>
      <c r="W969" s="3"/>
      <c r="X969" s="3"/>
      <c r="Y969" s="3"/>
      <c r="Z969" s="3"/>
    </row>
    <row r="970" ht="15.75" customHeight="1">
      <c r="A970" s="3"/>
      <c r="B970" s="576"/>
      <c r="C970" s="2"/>
      <c r="D970" s="2"/>
      <c r="E970" s="2"/>
      <c r="F970" s="464"/>
      <c r="G970" s="2"/>
      <c r="H970" s="2"/>
      <c r="I970" s="2"/>
      <c r="J970" s="2"/>
      <c r="K970" s="2"/>
      <c r="L970" s="2"/>
      <c r="M970" s="2"/>
      <c r="N970" s="2"/>
      <c r="O970" s="2"/>
      <c r="P970" s="2"/>
      <c r="Q970" s="2"/>
      <c r="R970" s="2"/>
      <c r="S970" s="3"/>
      <c r="T970" s="3"/>
      <c r="U970" s="3"/>
      <c r="V970" s="3"/>
      <c r="W970" s="3"/>
      <c r="X970" s="3"/>
      <c r="Y970" s="3"/>
      <c r="Z970" s="3"/>
    </row>
    <row r="971" ht="15.75" customHeight="1">
      <c r="A971" s="3"/>
      <c r="B971" s="576"/>
      <c r="C971" s="2"/>
      <c r="D971" s="2"/>
      <c r="E971" s="2"/>
      <c r="F971" s="464"/>
      <c r="G971" s="2"/>
      <c r="H971" s="2"/>
      <c r="I971" s="2"/>
      <c r="J971" s="2"/>
      <c r="K971" s="2"/>
      <c r="L971" s="2"/>
      <c r="M971" s="2"/>
      <c r="N971" s="2"/>
      <c r="O971" s="2"/>
      <c r="P971" s="2"/>
      <c r="Q971" s="2"/>
      <c r="R971" s="2"/>
      <c r="S971" s="3"/>
      <c r="T971" s="3"/>
      <c r="U971" s="3"/>
      <c r="V971" s="3"/>
      <c r="W971" s="3"/>
      <c r="X971" s="3"/>
      <c r="Y971" s="3"/>
      <c r="Z971" s="3"/>
    </row>
    <row r="972" ht="15.75" customHeight="1">
      <c r="A972" s="3"/>
      <c r="B972" s="576"/>
      <c r="C972" s="2"/>
      <c r="D972" s="2"/>
      <c r="E972" s="2"/>
      <c r="F972" s="464"/>
      <c r="G972" s="2"/>
      <c r="H972" s="2"/>
      <c r="I972" s="2"/>
      <c r="J972" s="2"/>
      <c r="K972" s="2"/>
      <c r="L972" s="2"/>
      <c r="M972" s="2"/>
      <c r="N972" s="2"/>
      <c r="O972" s="2"/>
      <c r="P972" s="2"/>
      <c r="Q972" s="2"/>
      <c r="R972" s="2"/>
      <c r="S972" s="3"/>
      <c r="T972" s="3"/>
      <c r="U972" s="3"/>
      <c r="V972" s="3"/>
      <c r="W972" s="3"/>
      <c r="X972" s="3"/>
      <c r="Y972" s="3"/>
      <c r="Z972" s="3"/>
    </row>
    <row r="973" ht="15.75" customHeight="1">
      <c r="A973" s="3"/>
      <c r="B973" s="576"/>
      <c r="C973" s="2"/>
      <c r="D973" s="2"/>
      <c r="E973" s="2"/>
      <c r="F973" s="464"/>
      <c r="G973" s="2"/>
      <c r="H973" s="2"/>
      <c r="I973" s="2"/>
      <c r="J973" s="2"/>
      <c r="K973" s="2"/>
      <c r="L973" s="2"/>
      <c r="M973" s="2"/>
      <c r="N973" s="2"/>
      <c r="O973" s="2"/>
      <c r="P973" s="2"/>
      <c r="Q973" s="2"/>
      <c r="R973" s="2"/>
      <c r="S973" s="3"/>
      <c r="T973" s="3"/>
      <c r="U973" s="3"/>
      <c r="V973" s="3"/>
      <c r="W973" s="3"/>
      <c r="X973" s="3"/>
      <c r="Y973" s="3"/>
      <c r="Z973" s="3"/>
    </row>
    <row r="974" ht="15.75" customHeight="1">
      <c r="A974" s="3"/>
      <c r="B974" s="576"/>
      <c r="C974" s="2"/>
      <c r="D974" s="2"/>
      <c r="E974" s="2"/>
      <c r="F974" s="464"/>
      <c r="G974" s="2"/>
      <c r="H974" s="2"/>
      <c r="I974" s="2"/>
      <c r="J974" s="2"/>
      <c r="K974" s="2"/>
      <c r="L974" s="2"/>
      <c r="M974" s="2"/>
      <c r="N974" s="2"/>
      <c r="O974" s="2"/>
      <c r="P974" s="2"/>
      <c r="Q974" s="2"/>
      <c r="R974" s="2"/>
      <c r="S974" s="3"/>
      <c r="T974" s="3"/>
      <c r="U974" s="3"/>
      <c r="V974" s="3"/>
      <c r="W974" s="3"/>
      <c r="X974" s="3"/>
      <c r="Y974" s="3"/>
      <c r="Z974" s="3"/>
    </row>
    <row r="975" ht="15.75" customHeight="1">
      <c r="A975" s="3"/>
      <c r="B975" s="576"/>
      <c r="C975" s="2"/>
      <c r="D975" s="2"/>
      <c r="E975" s="2"/>
      <c r="F975" s="464"/>
      <c r="G975" s="2"/>
      <c r="H975" s="2"/>
      <c r="I975" s="2"/>
      <c r="J975" s="2"/>
      <c r="K975" s="2"/>
      <c r="L975" s="2"/>
      <c r="M975" s="2"/>
      <c r="N975" s="2"/>
      <c r="O975" s="2"/>
      <c r="P975" s="2"/>
      <c r="Q975" s="2"/>
      <c r="R975" s="2"/>
      <c r="S975" s="3"/>
      <c r="T975" s="3"/>
      <c r="U975" s="3"/>
      <c r="V975" s="3"/>
      <c r="W975" s="3"/>
      <c r="X975" s="3"/>
      <c r="Y975" s="3"/>
      <c r="Z975" s="3"/>
    </row>
    <row r="976" ht="15.75" customHeight="1">
      <c r="A976" s="3"/>
      <c r="B976" s="576"/>
      <c r="C976" s="2"/>
      <c r="D976" s="2"/>
      <c r="E976" s="2"/>
      <c r="F976" s="464"/>
      <c r="G976" s="2"/>
      <c r="H976" s="2"/>
      <c r="I976" s="2"/>
      <c r="J976" s="2"/>
      <c r="K976" s="2"/>
      <c r="L976" s="2"/>
      <c r="M976" s="2"/>
      <c r="N976" s="2"/>
      <c r="O976" s="2"/>
      <c r="P976" s="2"/>
      <c r="Q976" s="2"/>
      <c r="R976" s="2"/>
      <c r="S976" s="3"/>
      <c r="T976" s="3"/>
      <c r="U976" s="3"/>
      <c r="V976" s="3"/>
      <c r="W976" s="3"/>
      <c r="X976" s="3"/>
      <c r="Y976" s="3"/>
      <c r="Z976" s="3"/>
    </row>
    <row r="977" ht="15.75" customHeight="1">
      <c r="A977" s="3"/>
      <c r="B977" s="576"/>
      <c r="C977" s="2"/>
      <c r="D977" s="2"/>
      <c r="E977" s="2"/>
      <c r="F977" s="464"/>
      <c r="G977" s="2"/>
      <c r="H977" s="2"/>
      <c r="I977" s="2"/>
      <c r="J977" s="2"/>
      <c r="K977" s="2"/>
      <c r="L977" s="2"/>
      <c r="M977" s="2"/>
      <c r="N977" s="2"/>
      <c r="O977" s="2"/>
      <c r="P977" s="2"/>
      <c r="Q977" s="2"/>
      <c r="R977" s="2"/>
      <c r="S977" s="3"/>
      <c r="T977" s="3"/>
      <c r="U977" s="3"/>
      <c r="V977" s="3"/>
      <c r="W977" s="3"/>
      <c r="X977" s="3"/>
      <c r="Y977" s="3"/>
      <c r="Z977" s="3"/>
    </row>
    <row r="978" ht="15.75" customHeight="1">
      <c r="A978" s="3"/>
      <c r="B978" s="576"/>
      <c r="C978" s="2"/>
      <c r="D978" s="2"/>
      <c r="E978" s="2"/>
      <c r="F978" s="464"/>
      <c r="G978" s="2"/>
      <c r="H978" s="2"/>
      <c r="I978" s="2"/>
      <c r="J978" s="2"/>
      <c r="K978" s="2"/>
      <c r="L978" s="2"/>
      <c r="M978" s="2"/>
      <c r="N978" s="2"/>
      <c r="O978" s="2"/>
      <c r="P978" s="2"/>
      <c r="Q978" s="2"/>
      <c r="R978" s="2"/>
      <c r="S978" s="3"/>
      <c r="T978" s="3"/>
      <c r="U978" s="3"/>
      <c r="V978" s="3"/>
      <c r="W978" s="3"/>
      <c r="X978" s="3"/>
      <c r="Y978" s="3"/>
      <c r="Z978" s="3"/>
    </row>
    <row r="979" ht="15.75" customHeight="1">
      <c r="A979" s="3"/>
      <c r="B979" s="576"/>
      <c r="C979" s="2"/>
      <c r="D979" s="2"/>
      <c r="E979" s="2"/>
      <c r="F979" s="464"/>
      <c r="G979" s="2"/>
      <c r="H979" s="2"/>
      <c r="I979" s="2"/>
      <c r="J979" s="2"/>
      <c r="K979" s="2"/>
      <c r="L979" s="2"/>
      <c r="M979" s="2"/>
      <c r="N979" s="2"/>
      <c r="O979" s="2"/>
      <c r="P979" s="2"/>
      <c r="Q979" s="2"/>
      <c r="R979" s="2"/>
      <c r="S979" s="3"/>
      <c r="T979" s="3"/>
      <c r="U979" s="3"/>
      <c r="V979" s="3"/>
      <c r="W979" s="3"/>
      <c r="X979" s="3"/>
      <c r="Y979" s="3"/>
      <c r="Z979" s="3"/>
    </row>
    <row r="980" ht="15.75" customHeight="1">
      <c r="A980" s="3"/>
      <c r="B980" s="576"/>
      <c r="C980" s="2"/>
      <c r="D980" s="2"/>
      <c r="E980" s="2"/>
      <c r="F980" s="464"/>
      <c r="G980" s="2"/>
      <c r="H980" s="2"/>
      <c r="I980" s="2"/>
      <c r="J980" s="2"/>
      <c r="K980" s="2"/>
      <c r="L980" s="2"/>
      <c r="M980" s="2"/>
      <c r="N980" s="2"/>
      <c r="O980" s="2"/>
      <c r="P980" s="2"/>
      <c r="Q980" s="2"/>
      <c r="R980" s="2"/>
      <c r="S980" s="3"/>
      <c r="T980" s="3"/>
      <c r="U980" s="3"/>
      <c r="V980" s="3"/>
      <c r="W980" s="3"/>
      <c r="X980" s="3"/>
      <c r="Y980" s="3"/>
      <c r="Z980" s="3"/>
    </row>
    <row r="981" ht="15.75" customHeight="1">
      <c r="A981" s="3"/>
      <c r="B981" s="576"/>
      <c r="C981" s="2"/>
      <c r="D981" s="2"/>
      <c r="E981" s="2"/>
      <c r="F981" s="464"/>
      <c r="G981" s="2"/>
      <c r="H981" s="2"/>
      <c r="I981" s="2"/>
      <c r="J981" s="2"/>
      <c r="K981" s="2"/>
      <c r="L981" s="2"/>
      <c r="M981" s="2"/>
      <c r="N981" s="2"/>
      <c r="O981" s="2"/>
      <c r="P981" s="2"/>
      <c r="Q981" s="2"/>
      <c r="R981" s="2"/>
      <c r="S981" s="3"/>
      <c r="T981" s="3"/>
      <c r="U981" s="3"/>
      <c r="V981" s="3"/>
      <c r="W981" s="3"/>
      <c r="X981" s="3"/>
      <c r="Y981" s="3"/>
      <c r="Z981" s="3"/>
    </row>
    <row r="982" ht="15.75" customHeight="1">
      <c r="A982" s="3"/>
      <c r="B982" s="576"/>
      <c r="C982" s="2"/>
      <c r="D982" s="2"/>
      <c r="E982" s="2"/>
      <c r="F982" s="464"/>
      <c r="G982" s="2"/>
      <c r="H982" s="2"/>
      <c r="I982" s="2"/>
      <c r="J982" s="2"/>
      <c r="K982" s="2"/>
      <c r="L982" s="2"/>
      <c r="M982" s="2"/>
      <c r="N982" s="2"/>
      <c r="O982" s="2"/>
      <c r="P982" s="2"/>
      <c r="Q982" s="2"/>
      <c r="R982" s="2"/>
      <c r="S982" s="3"/>
      <c r="T982" s="3"/>
      <c r="U982" s="3"/>
      <c r="V982" s="3"/>
      <c r="W982" s="3"/>
      <c r="X982" s="3"/>
      <c r="Y982" s="3"/>
      <c r="Z982" s="3"/>
    </row>
    <row r="983" ht="15.75" customHeight="1">
      <c r="A983" s="3"/>
      <c r="B983" s="576"/>
      <c r="C983" s="2"/>
      <c r="D983" s="2"/>
      <c r="E983" s="2"/>
      <c r="F983" s="464"/>
      <c r="G983" s="2"/>
      <c r="H983" s="2"/>
      <c r="I983" s="2"/>
      <c r="J983" s="2"/>
      <c r="K983" s="2"/>
      <c r="L983" s="2"/>
      <c r="M983" s="2"/>
      <c r="N983" s="2"/>
      <c r="O983" s="2"/>
      <c r="P983" s="2"/>
      <c r="Q983" s="2"/>
      <c r="R983" s="2"/>
      <c r="S983" s="3"/>
      <c r="T983" s="3"/>
      <c r="U983" s="3"/>
      <c r="V983" s="3"/>
      <c r="W983" s="3"/>
      <c r="X983" s="3"/>
      <c r="Y983" s="3"/>
      <c r="Z983" s="3"/>
    </row>
    <row r="984" ht="15.75" customHeight="1">
      <c r="A984" s="3"/>
      <c r="B984" s="576"/>
      <c r="C984" s="2"/>
      <c r="D984" s="2"/>
      <c r="E984" s="2"/>
      <c r="F984" s="464"/>
      <c r="G984" s="2"/>
      <c r="H984" s="2"/>
      <c r="I984" s="2"/>
      <c r="J984" s="2"/>
      <c r="K984" s="2"/>
      <c r="L984" s="2"/>
      <c r="M984" s="2"/>
      <c r="N984" s="2"/>
      <c r="O984" s="2"/>
      <c r="P984" s="2"/>
      <c r="Q984" s="2"/>
      <c r="R984" s="2"/>
      <c r="S984" s="3"/>
      <c r="T984" s="3"/>
      <c r="U984" s="3"/>
      <c r="V984" s="3"/>
      <c r="W984" s="3"/>
      <c r="X984" s="3"/>
      <c r="Y984" s="3"/>
      <c r="Z984" s="3"/>
    </row>
    <row r="985" ht="15.75" customHeight="1">
      <c r="A985" s="3"/>
      <c r="B985" s="576"/>
      <c r="C985" s="2"/>
      <c r="D985" s="2"/>
      <c r="E985" s="2"/>
      <c r="F985" s="464"/>
      <c r="G985" s="2"/>
      <c r="H985" s="2"/>
      <c r="I985" s="2"/>
      <c r="J985" s="2"/>
      <c r="K985" s="2"/>
      <c r="L985" s="2"/>
      <c r="M985" s="2"/>
      <c r="N985" s="2"/>
      <c r="O985" s="2"/>
      <c r="P985" s="2"/>
      <c r="Q985" s="2"/>
      <c r="R985" s="2"/>
      <c r="S985" s="3"/>
      <c r="T985" s="3"/>
      <c r="U985" s="3"/>
      <c r="V985" s="3"/>
      <c r="W985" s="3"/>
      <c r="X985" s="3"/>
      <c r="Y985" s="3"/>
      <c r="Z985" s="3"/>
    </row>
    <row r="986" ht="15.75" customHeight="1">
      <c r="A986" s="3"/>
      <c r="B986" s="576"/>
      <c r="C986" s="2"/>
      <c r="D986" s="2"/>
      <c r="E986" s="2"/>
      <c r="F986" s="464"/>
      <c r="G986" s="2"/>
      <c r="H986" s="2"/>
      <c r="I986" s="2"/>
      <c r="J986" s="2"/>
      <c r="K986" s="2"/>
      <c r="L986" s="2"/>
      <c r="M986" s="2"/>
      <c r="N986" s="2"/>
      <c r="O986" s="2"/>
      <c r="P986" s="2"/>
      <c r="Q986" s="2"/>
      <c r="R986" s="2"/>
      <c r="S986" s="3"/>
      <c r="T986" s="3"/>
      <c r="U986" s="3"/>
      <c r="V986" s="3"/>
      <c r="W986" s="3"/>
      <c r="X986" s="3"/>
      <c r="Y986" s="3"/>
      <c r="Z986" s="3"/>
    </row>
    <row r="987" ht="15.75" customHeight="1">
      <c r="A987" s="3"/>
      <c r="B987" s="576"/>
      <c r="C987" s="2"/>
      <c r="D987" s="2"/>
      <c r="E987" s="2"/>
      <c r="F987" s="464"/>
      <c r="G987" s="2"/>
      <c r="H987" s="2"/>
      <c r="I987" s="2"/>
      <c r="J987" s="2"/>
      <c r="K987" s="2"/>
      <c r="L987" s="2"/>
      <c r="M987" s="2"/>
      <c r="N987" s="2"/>
      <c r="O987" s="2"/>
      <c r="P987" s="2"/>
      <c r="Q987" s="2"/>
      <c r="R987" s="2"/>
      <c r="S987" s="3"/>
      <c r="T987" s="3"/>
      <c r="U987" s="3"/>
      <c r="V987" s="3"/>
      <c r="W987" s="3"/>
      <c r="X987" s="3"/>
      <c r="Y987" s="3"/>
      <c r="Z987" s="3"/>
    </row>
    <row r="988" ht="15.75" customHeight="1">
      <c r="A988" s="3"/>
      <c r="B988" s="576"/>
      <c r="C988" s="2"/>
      <c r="D988" s="2"/>
      <c r="E988" s="2"/>
      <c r="F988" s="464"/>
      <c r="G988" s="2"/>
      <c r="H988" s="2"/>
      <c r="I988" s="2"/>
      <c r="J988" s="2"/>
      <c r="K988" s="2"/>
      <c r="L988" s="2"/>
      <c r="M988" s="2"/>
      <c r="N988" s="2"/>
      <c r="O988" s="2"/>
      <c r="P988" s="2"/>
      <c r="Q988" s="2"/>
      <c r="R988" s="2"/>
      <c r="S988" s="3"/>
      <c r="T988" s="3"/>
      <c r="U988" s="3"/>
      <c r="V988" s="3"/>
      <c r="W988" s="3"/>
      <c r="X988" s="3"/>
      <c r="Y988" s="3"/>
      <c r="Z988" s="3"/>
    </row>
    <row r="989" ht="15.75" customHeight="1">
      <c r="A989" s="3"/>
      <c r="B989" s="576"/>
      <c r="C989" s="2"/>
      <c r="D989" s="2"/>
      <c r="E989" s="2"/>
      <c r="F989" s="464"/>
      <c r="G989" s="2"/>
      <c r="H989" s="2"/>
      <c r="I989" s="2"/>
      <c r="J989" s="2"/>
      <c r="K989" s="2"/>
      <c r="L989" s="2"/>
      <c r="M989" s="2"/>
      <c r="N989" s="2"/>
      <c r="O989" s="2"/>
      <c r="P989" s="2"/>
      <c r="Q989" s="2"/>
      <c r="R989" s="2"/>
      <c r="S989" s="3"/>
      <c r="T989" s="3"/>
      <c r="U989" s="3"/>
      <c r="V989" s="3"/>
      <c r="W989" s="3"/>
      <c r="X989" s="3"/>
      <c r="Y989" s="3"/>
      <c r="Z989" s="3"/>
    </row>
    <row r="990" ht="15.75" customHeight="1">
      <c r="A990" s="3"/>
      <c r="B990" s="576"/>
      <c r="C990" s="2"/>
      <c r="D990" s="2"/>
      <c r="E990" s="2"/>
      <c r="F990" s="464"/>
      <c r="G990" s="2"/>
      <c r="H990" s="2"/>
      <c r="I990" s="2"/>
      <c r="J990" s="2"/>
      <c r="K990" s="2"/>
      <c r="L990" s="2"/>
      <c r="M990" s="2"/>
      <c r="N990" s="2"/>
      <c r="O990" s="2"/>
      <c r="P990" s="2"/>
      <c r="Q990" s="2"/>
      <c r="R990" s="2"/>
      <c r="S990" s="3"/>
      <c r="T990" s="3"/>
      <c r="U990" s="3"/>
      <c r="V990" s="3"/>
      <c r="W990" s="3"/>
      <c r="X990" s="3"/>
      <c r="Y990" s="3"/>
      <c r="Z990" s="3"/>
    </row>
    <row r="991" ht="15.75" customHeight="1">
      <c r="A991" s="3"/>
      <c r="B991" s="576"/>
      <c r="C991" s="2"/>
      <c r="D991" s="2"/>
      <c r="E991" s="2"/>
      <c r="F991" s="464"/>
      <c r="G991" s="2"/>
      <c r="H991" s="2"/>
      <c r="I991" s="2"/>
      <c r="J991" s="2"/>
      <c r="K991" s="2"/>
      <c r="L991" s="2"/>
      <c r="M991" s="2"/>
      <c r="N991" s="2"/>
      <c r="O991" s="2"/>
      <c r="P991" s="2"/>
      <c r="Q991" s="2"/>
      <c r="R991" s="2"/>
      <c r="S991" s="3"/>
      <c r="T991" s="3"/>
      <c r="U991" s="3"/>
      <c r="V991" s="3"/>
      <c r="W991" s="3"/>
      <c r="X991" s="3"/>
      <c r="Y991" s="3"/>
      <c r="Z991" s="3"/>
    </row>
    <row r="992" ht="15.75" customHeight="1">
      <c r="A992" s="3"/>
      <c r="B992" s="576"/>
      <c r="C992" s="2"/>
      <c r="D992" s="2"/>
      <c r="E992" s="2"/>
      <c r="F992" s="464"/>
      <c r="G992" s="2"/>
      <c r="H992" s="2"/>
      <c r="I992" s="2"/>
      <c r="J992" s="2"/>
      <c r="K992" s="2"/>
      <c r="L992" s="2"/>
      <c r="M992" s="2"/>
      <c r="N992" s="2"/>
      <c r="O992" s="2"/>
      <c r="P992" s="2"/>
      <c r="Q992" s="2"/>
      <c r="R992" s="2"/>
      <c r="S992" s="3"/>
      <c r="T992" s="3"/>
      <c r="U992" s="3"/>
      <c r="V992" s="3"/>
      <c r="W992" s="3"/>
      <c r="X992" s="3"/>
      <c r="Y992" s="3"/>
      <c r="Z992" s="3"/>
    </row>
    <row r="993" ht="15.75" customHeight="1">
      <c r="A993" s="3"/>
      <c r="B993" s="576"/>
      <c r="C993" s="2"/>
      <c r="D993" s="2"/>
      <c r="E993" s="2"/>
      <c r="F993" s="464"/>
      <c r="G993" s="2"/>
      <c r="H993" s="2"/>
      <c r="I993" s="2"/>
      <c r="J993" s="2"/>
      <c r="K993" s="2"/>
      <c r="L993" s="2"/>
      <c r="M993" s="2"/>
      <c r="N993" s="2"/>
      <c r="O993" s="2"/>
      <c r="P993" s="2"/>
      <c r="Q993" s="2"/>
      <c r="R993" s="2"/>
      <c r="S993" s="3"/>
      <c r="T993" s="3"/>
      <c r="U993" s="3"/>
      <c r="V993" s="3"/>
      <c r="W993" s="3"/>
      <c r="X993" s="3"/>
      <c r="Y993" s="3"/>
      <c r="Z993" s="3"/>
    </row>
    <row r="994" ht="15.75" customHeight="1">
      <c r="A994" s="3"/>
      <c r="B994" s="576"/>
      <c r="C994" s="2"/>
      <c r="D994" s="2"/>
      <c r="E994" s="2"/>
      <c r="F994" s="464"/>
      <c r="G994" s="2"/>
      <c r="H994" s="2"/>
      <c r="I994" s="2"/>
      <c r="J994" s="2"/>
      <c r="K994" s="2"/>
      <c r="L994" s="2"/>
      <c r="M994" s="2"/>
      <c r="N994" s="2"/>
      <c r="O994" s="2"/>
      <c r="P994" s="2"/>
      <c r="Q994" s="2"/>
      <c r="R994" s="2"/>
      <c r="S994" s="3"/>
      <c r="T994" s="3"/>
      <c r="U994" s="3"/>
      <c r="V994" s="3"/>
      <c r="W994" s="3"/>
      <c r="X994" s="3"/>
      <c r="Y994" s="3"/>
      <c r="Z994" s="3"/>
    </row>
    <row r="995" ht="15.75" customHeight="1">
      <c r="A995" s="3"/>
      <c r="B995" s="576"/>
      <c r="C995" s="2"/>
      <c r="D995" s="2"/>
      <c r="E995" s="2"/>
      <c r="F995" s="464"/>
      <c r="G995" s="2"/>
      <c r="H995" s="2"/>
      <c r="I995" s="2"/>
      <c r="J995" s="2"/>
      <c r="K995" s="2"/>
      <c r="L995" s="2"/>
      <c r="M995" s="2"/>
      <c r="N995" s="2"/>
      <c r="O995" s="2"/>
      <c r="P995" s="2"/>
      <c r="Q995" s="2"/>
      <c r="R995" s="2"/>
      <c r="S995" s="3"/>
      <c r="T995" s="3"/>
      <c r="U995" s="3"/>
      <c r="V995" s="3"/>
      <c r="W995" s="3"/>
      <c r="X995" s="3"/>
      <c r="Y995" s="3"/>
      <c r="Z995" s="3"/>
    </row>
    <row r="996" ht="15.75" customHeight="1">
      <c r="A996" s="3"/>
      <c r="B996" s="576"/>
      <c r="C996" s="2"/>
      <c r="D996" s="2"/>
      <c r="E996" s="2"/>
      <c r="F996" s="464"/>
      <c r="G996" s="2"/>
      <c r="H996" s="2"/>
      <c r="I996" s="2"/>
      <c r="J996" s="2"/>
      <c r="K996" s="2"/>
      <c r="L996" s="2"/>
      <c r="M996" s="2"/>
      <c r="N996" s="2"/>
      <c r="O996" s="2"/>
      <c r="P996" s="2"/>
      <c r="Q996" s="2"/>
      <c r="R996" s="2"/>
      <c r="S996" s="3"/>
      <c r="T996" s="3"/>
      <c r="U996" s="3"/>
      <c r="V996" s="3"/>
      <c r="W996" s="3"/>
      <c r="X996" s="3"/>
      <c r="Y996" s="3"/>
      <c r="Z996" s="3"/>
    </row>
    <row r="997" ht="15.75" customHeight="1">
      <c r="A997" s="3"/>
      <c r="B997" s="576"/>
      <c r="C997" s="2"/>
      <c r="D997" s="2"/>
      <c r="E997" s="2"/>
      <c r="F997" s="464"/>
      <c r="G997" s="2"/>
      <c r="H997" s="2"/>
      <c r="I997" s="2"/>
      <c r="J997" s="2"/>
      <c r="K997" s="2"/>
      <c r="L997" s="2"/>
      <c r="M997" s="2"/>
      <c r="N997" s="2"/>
      <c r="O997" s="2"/>
      <c r="P997" s="2"/>
      <c r="Q997" s="2"/>
      <c r="R997" s="2"/>
      <c r="S997" s="3"/>
      <c r="T997" s="3"/>
      <c r="U997" s="3"/>
      <c r="V997" s="3"/>
      <c r="W997" s="3"/>
      <c r="X997" s="3"/>
      <c r="Y997" s="3"/>
      <c r="Z997" s="3"/>
    </row>
    <row r="998" ht="15.75" customHeight="1">
      <c r="A998" s="3"/>
      <c r="B998" s="576"/>
      <c r="C998" s="2"/>
      <c r="D998" s="2"/>
      <c r="E998" s="2"/>
      <c r="F998" s="464"/>
      <c r="G998" s="2"/>
      <c r="H998" s="2"/>
      <c r="I998" s="2"/>
      <c r="J998" s="2"/>
      <c r="K998" s="2"/>
      <c r="L998" s="2"/>
      <c r="M998" s="2"/>
      <c r="N998" s="2"/>
      <c r="O998" s="2"/>
      <c r="P998" s="2"/>
      <c r="Q998" s="2"/>
      <c r="R998" s="2"/>
      <c r="S998" s="3"/>
      <c r="T998" s="3"/>
      <c r="U998" s="3"/>
      <c r="V998" s="3"/>
      <c r="W998" s="3"/>
      <c r="X998" s="3"/>
      <c r="Y998" s="3"/>
      <c r="Z998" s="3"/>
    </row>
    <row r="999" ht="15.75" customHeight="1">
      <c r="A999" s="3"/>
      <c r="B999" s="576"/>
      <c r="C999" s="2"/>
      <c r="D999" s="2"/>
      <c r="E999" s="2"/>
      <c r="F999" s="464"/>
      <c r="G999" s="2"/>
      <c r="H999" s="2"/>
      <c r="I999" s="2"/>
      <c r="J999" s="2"/>
      <c r="K999" s="2"/>
      <c r="L999" s="2"/>
      <c r="M999" s="2"/>
      <c r="N999" s="2"/>
      <c r="O999" s="2"/>
      <c r="P999" s="2"/>
      <c r="Q999" s="2"/>
      <c r="R999" s="2"/>
      <c r="S999" s="3"/>
      <c r="T999" s="3"/>
      <c r="U999" s="3"/>
      <c r="V999" s="3"/>
      <c r="W999" s="3"/>
      <c r="X999" s="3"/>
      <c r="Y999" s="3"/>
      <c r="Z999" s="3"/>
    </row>
    <row r="1000" ht="15.75" customHeight="1">
      <c r="A1000" s="3"/>
      <c r="B1000" s="576"/>
      <c r="C1000" s="2"/>
      <c r="D1000" s="2"/>
      <c r="E1000" s="2"/>
      <c r="F1000" s="464"/>
      <c r="G1000" s="2"/>
      <c r="H1000" s="2"/>
      <c r="I1000" s="2"/>
      <c r="J1000" s="2"/>
      <c r="K1000" s="2"/>
      <c r="L1000" s="2"/>
      <c r="M1000" s="2"/>
      <c r="N1000" s="2"/>
      <c r="O1000" s="2"/>
      <c r="P1000" s="2"/>
      <c r="Q1000" s="2"/>
      <c r="R1000" s="2"/>
      <c r="S1000" s="3"/>
      <c r="T1000" s="3"/>
      <c r="U1000" s="3"/>
      <c r="V1000" s="3"/>
      <c r="W1000" s="3"/>
      <c r="X1000" s="3"/>
      <c r="Y1000" s="3"/>
      <c r="Z1000" s="3"/>
    </row>
  </sheetData>
  <mergeCells count="24">
    <mergeCell ref="B1:R1"/>
    <mergeCell ref="C2:R2"/>
    <mergeCell ref="L3:N3"/>
    <mergeCell ref="P3:R3"/>
    <mergeCell ref="M4:N4"/>
    <mergeCell ref="O405:Q405"/>
    <mergeCell ref="B406:R406"/>
    <mergeCell ref="B407:R407"/>
    <mergeCell ref="C408:F408"/>
    <mergeCell ref="H408:I408"/>
    <mergeCell ref="J408:M408"/>
    <mergeCell ref="H409:I409"/>
    <mergeCell ref="L409:M409"/>
    <mergeCell ref="B410:C410"/>
    <mergeCell ref="K412:M412"/>
    <mergeCell ref="N412:R412"/>
    <mergeCell ref="N413:O413"/>
    <mergeCell ref="F410:G410"/>
    <mergeCell ref="C411:F411"/>
    <mergeCell ref="H411:I411"/>
    <mergeCell ref="J411:M411"/>
    <mergeCell ref="N411:R411"/>
    <mergeCell ref="C412:F412"/>
    <mergeCell ref="H412:I412"/>
  </mergeCells>
  <printOptions/>
  <pageMargins bottom="0.7480314960629921" footer="0.0" header="0.0" left="0.7086614173228347" right="0.7086614173228347" top="0.7480314960629921"/>
  <pageSetup paperSize="5" scale="88"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9.14"/>
    <col customWidth="1" min="9" max="9" width="7.57"/>
    <col customWidth="1" min="10" max="10" width="9.0"/>
    <col customWidth="1" min="11" max="11" width="7.29"/>
    <col customWidth="1" min="12" max="12" width="15.14"/>
    <col customWidth="1" min="13" max="13" width="8.43"/>
    <col customWidth="1" min="14" max="14" width="16.71"/>
    <col customWidth="1" min="15" max="15" width="5.29"/>
    <col customWidth="1" min="16" max="16" width="11.43"/>
    <col customWidth="1" min="17" max="17" width="6.14"/>
    <col customWidth="1" min="18" max="26" width="8.71"/>
  </cols>
  <sheetData>
    <row r="1">
      <c r="B1" s="524" t="s">
        <v>14157</v>
      </c>
    </row>
    <row r="2">
      <c r="B2" s="822"/>
      <c r="C2" s="5" t="s">
        <v>1</v>
      </c>
      <c r="D2" s="6"/>
      <c r="E2" s="6"/>
      <c r="F2" s="6"/>
      <c r="G2" s="6"/>
      <c r="H2" s="6"/>
      <c r="I2" s="6"/>
      <c r="J2" s="6"/>
      <c r="K2" s="6"/>
      <c r="L2" s="6"/>
      <c r="M2" s="6"/>
      <c r="N2" s="6"/>
      <c r="O2" s="6"/>
      <c r="P2" s="6"/>
      <c r="Q2" s="7"/>
    </row>
    <row r="3">
      <c r="B3" s="822"/>
      <c r="C3" s="823"/>
      <c r="D3" s="9"/>
      <c r="E3" s="402"/>
      <c r="F3" s="9"/>
      <c r="G3" s="9"/>
      <c r="H3" s="9"/>
      <c r="I3" s="9"/>
      <c r="J3" s="9"/>
      <c r="K3" s="12"/>
      <c r="M3" s="13"/>
      <c r="N3" s="14" t="s">
        <v>3</v>
      </c>
      <c r="O3" s="942" t="s">
        <v>21832</v>
      </c>
      <c r="P3" s="16"/>
      <c r="Q3" s="17"/>
    </row>
    <row r="4">
      <c r="B4" s="822"/>
      <c r="C4" s="824"/>
      <c r="D4" s="9"/>
      <c r="E4" s="402"/>
      <c r="F4" s="9"/>
      <c r="G4" s="9"/>
      <c r="H4" s="458"/>
      <c r="I4" s="9"/>
      <c r="J4" s="9"/>
      <c r="K4" s="9"/>
      <c r="L4" s="825"/>
      <c r="M4" s="407"/>
      <c r="N4" s="9"/>
      <c r="O4" s="9"/>
      <c r="P4" s="9"/>
      <c r="Q4" s="9"/>
    </row>
    <row r="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33"/>
      <c r="D6" s="433"/>
      <c r="E6" s="434" t="s">
        <v>21833</v>
      </c>
      <c r="F6" s="433" t="s">
        <v>21832</v>
      </c>
      <c r="G6" s="433" t="s">
        <v>29</v>
      </c>
      <c r="H6" s="433" t="s">
        <v>21834</v>
      </c>
      <c r="I6" s="433"/>
      <c r="J6" s="433" t="s">
        <v>16837</v>
      </c>
      <c r="K6" s="433">
        <v>84.0</v>
      </c>
      <c r="L6" s="433" t="s">
        <v>21835</v>
      </c>
      <c r="M6" s="433"/>
      <c r="N6" s="433" t="s">
        <v>54</v>
      </c>
      <c r="O6" s="433">
        <v>1899.0</v>
      </c>
      <c r="P6" s="433" t="s">
        <v>388</v>
      </c>
      <c r="Q6" s="433">
        <v>2.0</v>
      </c>
    </row>
    <row r="7">
      <c r="B7" s="433">
        <v>2.0</v>
      </c>
      <c r="C7" s="433"/>
      <c r="D7" s="433"/>
      <c r="E7" s="434" t="s">
        <v>21836</v>
      </c>
      <c r="F7" s="433" t="s">
        <v>21832</v>
      </c>
      <c r="G7" s="433" t="s">
        <v>29</v>
      </c>
      <c r="H7" s="433" t="s">
        <v>21834</v>
      </c>
      <c r="I7" s="433"/>
      <c r="J7" s="433" t="s">
        <v>16837</v>
      </c>
      <c r="K7" s="433">
        <v>89.0</v>
      </c>
      <c r="L7" s="433"/>
      <c r="M7" s="433"/>
      <c r="N7" s="433" t="s">
        <v>54</v>
      </c>
      <c r="O7" s="433">
        <v>1899.0</v>
      </c>
      <c r="P7" s="433" t="s">
        <v>388</v>
      </c>
      <c r="Q7" s="433">
        <v>1.0</v>
      </c>
    </row>
    <row r="8">
      <c r="B8" s="433">
        <v>3.0</v>
      </c>
      <c r="C8" s="433"/>
      <c r="D8" s="433"/>
      <c r="E8" s="434" t="s">
        <v>21837</v>
      </c>
      <c r="F8" s="433" t="s">
        <v>21832</v>
      </c>
      <c r="G8" s="433" t="s">
        <v>29</v>
      </c>
      <c r="H8" s="433" t="s">
        <v>15304</v>
      </c>
      <c r="I8" s="433"/>
      <c r="J8" s="433" t="s">
        <v>16335</v>
      </c>
      <c r="K8" s="433">
        <v>79.0</v>
      </c>
      <c r="L8" s="433" t="s">
        <v>21838</v>
      </c>
      <c r="M8" s="433"/>
      <c r="N8" s="433" t="s">
        <v>21839</v>
      </c>
      <c r="O8" s="433">
        <v>1983.0</v>
      </c>
      <c r="P8" s="433" t="s">
        <v>388</v>
      </c>
      <c r="Q8" s="433">
        <v>1.0</v>
      </c>
    </row>
    <row r="9">
      <c r="B9" s="433">
        <v>4.0</v>
      </c>
      <c r="C9" s="433"/>
      <c r="D9" s="433"/>
      <c r="E9" s="434" t="s">
        <v>21840</v>
      </c>
      <c r="F9" s="433" t="s">
        <v>21832</v>
      </c>
      <c r="G9" s="433" t="s">
        <v>29</v>
      </c>
      <c r="H9" s="433" t="s">
        <v>15079</v>
      </c>
      <c r="I9" s="433"/>
      <c r="J9" s="433" t="s">
        <v>15079</v>
      </c>
      <c r="K9" s="433">
        <v>71.0</v>
      </c>
      <c r="L9" s="433" t="s">
        <v>31</v>
      </c>
      <c r="M9" s="433"/>
      <c r="N9" s="433" t="s">
        <v>21841</v>
      </c>
      <c r="O9" s="433">
        <v>1987.0</v>
      </c>
      <c r="P9" s="433" t="s">
        <v>388</v>
      </c>
      <c r="Q9" s="433">
        <v>1.0</v>
      </c>
    </row>
    <row r="10">
      <c r="B10" s="433">
        <v>5.0</v>
      </c>
      <c r="C10" s="433"/>
      <c r="D10" s="433"/>
      <c r="E10" s="434" t="s">
        <v>21842</v>
      </c>
      <c r="F10" s="433" t="s">
        <v>21832</v>
      </c>
      <c r="G10" s="433" t="s">
        <v>29</v>
      </c>
      <c r="H10" s="433" t="s">
        <v>13317</v>
      </c>
      <c r="I10" s="433"/>
      <c r="J10" s="433" t="s">
        <v>13317</v>
      </c>
      <c r="K10" s="433">
        <v>41.0</v>
      </c>
      <c r="L10" s="433" t="s">
        <v>21843</v>
      </c>
      <c r="M10" s="433"/>
      <c r="N10" s="433" t="s">
        <v>54</v>
      </c>
      <c r="O10" s="433">
        <v>1988.0</v>
      </c>
      <c r="P10" s="433" t="s">
        <v>388</v>
      </c>
      <c r="Q10" s="433">
        <v>1.0</v>
      </c>
    </row>
    <row r="11">
      <c r="B11" s="433">
        <v>6.0</v>
      </c>
      <c r="C11" s="433"/>
      <c r="D11" s="433"/>
      <c r="E11" s="434" t="s">
        <v>21844</v>
      </c>
      <c r="F11" s="433" t="s">
        <v>21832</v>
      </c>
      <c r="G11" s="433" t="s">
        <v>29</v>
      </c>
      <c r="H11" s="433" t="s">
        <v>13317</v>
      </c>
      <c r="I11" s="433"/>
      <c r="J11" s="433" t="s">
        <v>13317</v>
      </c>
      <c r="K11" s="433">
        <v>53.0</v>
      </c>
      <c r="L11" s="433" t="s">
        <v>21843</v>
      </c>
      <c r="M11" s="433"/>
      <c r="N11" s="433" t="s">
        <v>54</v>
      </c>
      <c r="O11" s="433">
        <v>1988.0</v>
      </c>
      <c r="P11" s="433" t="s">
        <v>388</v>
      </c>
      <c r="Q11" s="433">
        <v>1.0</v>
      </c>
    </row>
    <row r="12">
      <c r="B12" s="433">
        <v>7.0</v>
      </c>
      <c r="C12" s="433"/>
      <c r="D12" s="433"/>
      <c r="E12" s="434" t="s">
        <v>21845</v>
      </c>
      <c r="F12" s="433" t="s">
        <v>21832</v>
      </c>
      <c r="G12" s="433" t="s">
        <v>29</v>
      </c>
      <c r="H12" s="433" t="s">
        <v>13082</v>
      </c>
      <c r="I12" s="433"/>
      <c r="J12" s="433" t="s">
        <v>13082</v>
      </c>
      <c r="K12" s="433"/>
      <c r="L12" s="433" t="s">
        <v>21846</v>
      </c>
      <c r="M12" s="433"/>
      <c r="N12" s="433"/>
      <c r="O12" s="433">
        <v>1966.0</v>
      </c>
      <c r="P12" s="433" t="s">
        <v>388</v>
      </c>
      <c r="Q12" s="433">
        <v>1.0</v>
      </c>
    </row>
    <row r="13">
      <c r="B13" s="433">
        <v>8.0</v>
      </c>
      <c r="C13" s="433"/>
      <c r="D13" s="433"/>
      <c r="E13" s="434" t="s">
        <v>21847</v>
      </c>
      <c r="F13" s="433" t="s">
        <v>21832</v>
      </c>
      <c r="G13" s="433" t="s">
        <v>29</v>
      </c>
      <c r="H13" s="433" t="s">
        <v>13082</v>
      </c>
      <c r="I13" s="433"/>
      <c r="J13" s="433" t="s">
        <v>13082</v>
      </c>
      <c r="K13" s="433"/>
      <c r="L13" s="433" t="s">
        <v>21846</v>
      </c>
      <c r="M13" s="433"/>
      <c r="N13" s="433"/>
      <c r="O13" s="433" t="s">
        <v>13552</v>
      </c>
      <c r="P13" s="433" t="s">
        <v>388</v>
      </c>
      <c r="Q13" s="433">
        <v>1.0</v>
      </c>
    </row>
    <row r="14">
      <c r="B14" s="433">
        <v>9.0</v>
      </c>
      <c r="C14" s="433"/>
      <c r="D14" s="433"/>
      <c r="E14" s="434" t="s">
        <v>21848</v>
      </c>
      <c r="F14" s="433" t="s">
        <v>21832</v>
      </c>
      <c r="G14" s="433" t="s">
        <v>29</v>
      </c>
      <c r="H14" s="433" t="s">
        <v>13082</v>
      </c>
      <c r="I14" s="433"/>
      <c r="J14" s="433" t="s">
        <v>13082</v>
      </c>
      <c r="K14" s="433"/>
      <c r="L14" s="433" t="s">
        <v>21846</v>
      </c>
      <c r="M14" s="433"/>
      <c r="N14" s="433"/>
      <c r="O14" s="433" t="s">
        <v>13552</v>
      </c>
      <c r="P14" s="433" t="s">
        <v>388</v>
      </c>
      <c r="Q14" s="433">
        <v>1.0</v>
      </c>
    </row>
    <row r="15">
      <c r="B15" s="433">
        <v>10.0</v>
      </c>
      <c r="C15" s="433"/>
      <c r="D15" s="433"/>
      <c r="E15" s="434" t="s">
        <v>21849</v>
      </c>
      <c r="F15" s="433" t="s">
        <v>21832</v>
      </c>
      <c r="G15" s="433" t="s">
        <v>29</v>
      </c>
      <c r="H15" s="433" t="s">
        <v>21850</v>
      </c>
      <c r="I15" s="433"/>
      <c r="J15" s="433" t="s">
        <v>38</v>
      </c>
      <c r="K15" s="433">
        <v>31.0</v>
      </c>
      <c r="L15" s="433" t="s">
        <v>13582</v>
      </c>
      <c r="M15" s="433"/>
      <c r="N15" s="433" t="s">
        <v>21851</v>
      </c>
      <c r="O15" s="433"/>
      <c r="P15" s="433" t="s">
        <v>388</v>
      </c>
      <c r="Q15" s="433">
        <v>1.0</v>
      </c>
    </row>
    <row r="16">
      <c r="B16" s="433">
        <v>11.0</v>
      </c>
      <c r="C16" s="433"/>
      <c r="D16" s="433"/>
      <c r="E16" s="434" t="s">
        <v>21852</v>
      </c>
      <c r="F16" s="433" t="s">
        <v>21832</v>
      </c>
      <c r="G16" s="433" t="s">
        <v>29</v>
      </c>
      <c r="H16" s="433"/>
      <c r="I16" s="433"/>
      <c r="J16" s="433"/>
      <c r="K16" s="433">
        <v>184.0</v>
      </c>
      <c r="L16" s="433" t="s">
        <v>21853</v>
      </c>
      <c r="M16" s="433"/>
      <c r="N16" s="433" t="s">
        <v>21854</v>
      </c>
      <c r="O16" s="433">
        <v>1970.0</v>
      </c>
      <c r="P16" s="433" t="s">
        <v>388</v>
      </c>
      <c r="Q16" s="433">
        <v>1.0</v>
      </c>
    </row>
    <row r="17">
      <c r="B17" s="433">
        <v>12.0</v>
      </c>
      <c r="C17" s="433"/>
      <c r="D17" s="433"/>
      <c r="E17" s="434" t="s">
        <v>21855</v>
      </c>
      <c r="F17" s="433" t="s">
        <v>21832</v>
      </c>
      <c r="G17" s="433" t="s">
        <v>29</v>
      </c>
      <c r="H17" s="433" t="s">
        <v>13082</v>
      </c>
      <c r="I17" s="433"/>
      <c r="J17" s="433" t="s">
        <v>21856</v>
      </c>
      <c r="K17" s="433"/>
      <c r="L17" s="433" t="s">
        <v>21857</v>
      </c>
      <c r="M17" s="433"/>
      <c r="N17" s="433"/>
      <c r="O17" s="433">
        <v>1988.0</v>
      </c>
      <c r="P17" s="433" t="s">
        <v>388</v>
      </c>
      <c r="Q17" s="433">
        <v>8.0</v>
      </c>
    </row>
    <row r="18">
      <c r="B18" s="433">
        <v>13.0</v>
      </c>
      <c r="C18" s="433"/>
      <c r="D18" s="433"/>
      <c r="E18" s="434" t="s">
        <v>21858</v>
      </c>
      <c r="F18" s="433" t="s">
        <v>21832</v>
      </c>
      <c r="G18" s="433" t="s">
        <v>29</v>
      </c>
      <c r="H18" s="433"/>
      <c r="I18" s="433"/>
      <c r="J18" s="433" t="s">
        <v>38</v>
      </c>
      <c r="K18" s="433">
        <v>174.0</v>
      </c>
      <c r="L18" s="433" t="s">
        <v>13663</v>
      </c>
      <c r="M18" s="433"/>
      <c r="N18" s="433" t="s">
        <v>12447</v>
      </c>
      <c r="O18" s="433">
        <v>1997.0</v>
      </c>
      <c r="P18" s="433" t="s">
        <v>388</v>
      </c>
      <c r="Q18" s="433">
        <v>1.0</v>
      </c>
    </row>
    <row r="19">
      <c r="B19" s="433">
        <v>14.0</v>
      </c>
      <c r="C19" s="433"/>
      <c r="D19" s="433"/>
      <c r="E19" s="434" t="s">
        <v>21859</v>
      </c>
      <c r="F19" s="433" t="s">
        <v>21832</v>
      </c>
      <c r="G19" s="433" t="s">
        <v>29</v>
      </c>
      <c r="H19" s="433" t="s">
        <v>38</v>
      </c>
      <c r="I19" s="433"/>
      <c r="J19" s="433" t="s">
        <v>38</v>
      </c>
      <c r="K19" s="433">
        <v>44.0</v>
      </c>
      <c r="L19" s="433" t="s">
        <v>21753</v>
      </c>
      <c r="M19" s="433"/>
      <c r="N19" s="433" t="s">
        <v>12447</v>
      </c>
      <c r="O19" s="433">
        <v>1996.0</v>
      </c>
      <c r="P19" s="433" t="s">
        <v>388</v>
      </c>
      <c r="Q19" s="433">
        <v>1.0</v>
      </c>
    </row>
    <row r="20">
      <c r="B20" s="433">
        <v>15.0</v>
      </c>
      <c r="C20" s="433"/>
      <c r="D20" s="433"/>
      <c r="E20" s="434" t="s">
        <v>21860</v>
      </c>
      <c r="F20" s="433" t="s">
        <v>21832</v>
      </c>
      <c r="G20" s="433" t="s">
        <v>29</v>
      </c>
      <c r="H20" s="433" t="s">
        <v>2743</v>
      </c>
      <c r="I20" s="433"/>
      <c r="J20" s="433" t="s">
        <v>38</v>
      </c>
      <c r="K20" s="433">
        <v>26.0</v>
      </c>
      <c r="L20" s="433" t="s">
        <v>21753</v>
      </c>
      <c r="M20" s="433"/>
      <c r="N20" s="433" t="s">
        <v>12447</v>
      </c>
      <c r="O20" s="433">
        <v>1976.0</v>
      </c>
      <c r="P20" s="433" t="s">
        <v>388</v>
      </c>
      <c r="Q20" s="433">
        <v>1.0</v>
      </c>
    </row>
    <row r="21" ht="15.75" customHeight="1">
      <c r="B21" s="433">
        <v>16.0</v>
      </c>
      <c r="C21" s="433"/>
      <c r="D21" s="433"/>
      <c r="E21" s="434" t="s">
        <v>21861</v>
      </c>
      <c r="F21" s="433" t="s">
        <v>21832</v>
      </c>
      <c r="G21" s="433" t="s">
        <v>29</v>
      </c>
      <c r="H21" s="433" t="s">
        <v>3849</v>
      </c>
      <c r="I21" s="433"/>
      <c r="J21" s="433" t="s">
        <v>30</v>
      </c>
      <c r="K21" s="433">
        <v>140.0</v>
      </c>
      <c r="L21" s="433" t="s">
        <v>13663</v>
      </c>
      <c r="M21" s="433"/>
      <c r="N21" s="433" t="s">
        <v>21862</v>
      </c>
      <c r="O21" s="433">
        <v>1934.0</v>
      </c>
      <c r="P21" s="433" t="s">
        <v>388</v>
      </c>
      <c r="Q21" s="433">
        <v>1.0</v>
      </c>
    </row>
    <row r="22" ht="15.75" customHeight="1">
      <c r="B22" s="433">
        <v>17.0</v>
      </c>
      <c r="C22" s="433"/>
      <c r="D22" s="433"/>
      <c r="E22" s="434" t="s">
        <v>21863</v>
      </c>
      <c r="F22" s="433" t="s">
        <v>21832</v>
      </c>
      <c r="G22" s="433" t="s">
        <v>29</v>
      </c>
      <c r="H22" s="433" t="s">
        <v>2743</v>
      </c>
      <c r="I22" s="433"/>
      <c r="J22" s="433" t="s">
        <v>38</v>
      </c>
      <c r="K22" s="433">
        <v>42.0</v>
      </c>
      <c r="L22" s="433"/>
      <c r="M22" s="433"/>
      <c r="N22" s="433" t="s">
        <v>12447</v>
      </c>
      <c r="O22" s="433">
        <v>1976.0</v>
      </c>
      <c r="P22" s="433" t="s">
        <v>388</v>
      </c>
      <c r="Q22" s="433">
        <v>1.0</v>
      </c>
    </row>
    <row r="23" ht="15.75" customHeight="1">
      <c r="B23" s="433">
        <v>18.0</v>
      </c>
      <c r="C23" s="433"/>
      <c r="D23" s="433"/>
      <c r="E23" s="434" t="s">
        <v>21864</v>
      </c>
      <c r="F23" s="433" t="s">
        <v>21832</v>
      </c>
      <c r="G23" s="433" t="s">
        <v>29</v>
      </c>
      <c r="H23" s="433" t="s">
        <v>14765</v>
      </c>
      <c r="I23" s="433"/>
      <c r="J23" s="433" t="s">
        <v>14765</v>
      </c>
      <c r="K23" s="433">
        <v>141.0</v>
      </c>
      <c r="L23" s="433" t="s">
        <v>21536</v>
      </c>
      <c r="M23" s="433"/>
      <c r="N23" s="433" t="s">
        <v>21865</v>
      </c>
      <c r="O23" s="433">
        <v>1988.0</v>
      </c>
      <c r="P23" s="433" t="s">
        <v>388</v>
      </c>
      <c r="Q23" s="433">
        <v>1.0</v>
      </c>
    </row>
    <row r="24" ht="15.75" customHeight="1">
      <c r="B24" s="433">
        <v>19.0</v>
      </c>
      <c r="C24" s="433"/>
      <c r="D24" s="433"/>
      <c r="E24" s="434" t="s">
        <v>21866</v>
      </c>
      <c r="F24" s="433" t="s">
        <v>21832</v>
      </c>
      <c r="G24" s="433" t="s">
        <v>29</v>
      </c>
      <c r="H24" s="433" t="s">
        <v>38</v>
      </c>
      <c r="I24" s="433"/>
      <c r="J24" s="433" t="s">
        <v>38</v>
      </c>
      <c r="K24" s="433">
        <v>346.0</v>
      </c>
      <c r="L24" s="433"/>
      <c r="M24" s="433"/>
      <c r="N24" s="433" t="s">
        <v>54</v>
      </c>
      <c r="O24" s="433">
        <v>1988.0</v>
      </c>
      <c r="P24" s="433" t="s">
        <v>388</v>
      </c>
      <c r="Q24" s="433">
        <v>1.0</v>
      </c>
    </row>
    <row r="25" ht="15.75" customHeight="1">
      <c r="B25" s="433">
        <v>20.0</v>
      </c>
      <c r="C25" s="433"/>
      <c r="D25" s="433"/>
      <c r="E25" s="434" t="s">
        <v>21867</v>
      </c>
      <c r="F25" s="433" t="s">
        <v>21832</v>
      </c>
      <c r="G25" s="433" t="s">
        <v>29</v>
      </c>
      <c r="H25" s="433" t="s">
        <v>14765</v>
      </c>
      <c r="I25" s="433"/>
      <c r="J25" s="433" t="s">
        <v>14765</v>
      </c>
      <c r="K25" s="433">
        <v>144.0</v>
      </c>
      <c r="L25" s="433" t="s">
        <v>21868</v>
      </c>
      <c r="M25" s="433"/>
      <c r="N25" s="433" t="s">
        <v>21869</v>
      </c>
      <c r="O25" s="433" t="s">
        <v>13695</v>
      </c>
      <c r="P25" s="433" t="s">
        <v>388</v>
      </c>
      <c r="Q25" s="433">
        <v>1.0</v>
      </c>
    </row>
    <row r="26" ht="15.75" customHeight="1">
      <c r="B26" s="433">
        <v>21.0</v>
      </c>
      <c r="C26" s="433"/>
      <c r="D26" s="433"/>
      <c r="E26" s="434" t="s">
        <v>21870</v>
      </c>
      <c r="F26" s="433" t="s">
        <v>21832</v>
      </c>
      <c r="G26" s="433" t="s">
        <v>29</v>
      </c>
      <c r="H26" s="433"/>
      <c r="I26" s="433"/>
      <c r="J26" s="433"/>
      <c r="K26" s="433">
        <v>94.0</v>
      </c>
      <c r="L26" s="433" t="s">
        <v>21871</v>
      </c>
      <c r="M26" s="433"/>
      <c r="N26" s="433" t="s">
        <v>21872</v>
      </c>
      <c r="O26" s="433">
        <v>1975.0</v>
      </c>
      <c r="P26" s="433" t="s">
        <v>388</v>
      </c>
      <c r="Q26" s="433">
        <v>1.0</v>
      </c>
    </row>
    <row r="27" ht="15.75" customHeight="1">
      <c r="B27" s="433">
        <v>22.0</v>
      </c>
      <c r="C27" s="433"/>
      <c r="D27" s="433"/>
      <c r="E27" s="434" t="s">
        <v>21873</v>
      </c>
      <c r="F27" s="433" t="s">
        <v>21832</v>
      </c>
      <c r="G27" s="433" t="s">
        <v>29</v>
      </c>
      <c r="H27" s="433" t="s">
        <v>21874</v>
      </c>
      <c r="I27" s="433"/>
      <c r="J27" s="433" t="s">
        <v>21874</v>
      </c>
      <c r="K27" s="433">
        <v>118.0</v>
      </c>
      <c r="L27" s="433" t="s">
        <v>21875</v>
      </c>
      <c r="M27" s="433"/>
      <c r="N27" s="433" t="s">
        <v>21876</v>
      </c>
      <c r="O27" s="433">
        <v>1969.0</v>
      </c>
      <c r="P27" s="433" t="s">
        <v>388</v>
      </c>
      <c r="Q27" s="433">
        <v>1.0</v>
      </c>
    </row>
    <row r="28" ht="15.75" customHeight="1">
      <c r="B28" s="433">
        <v>23.0</v>
      </c>
      <c r="C28" s="433"/>
      <c r="D28" s="433"/>
      <c r="E28" s="434" t="s">
        <v>21877</v>
      </c>
      <c r="F28" s="433" t="s">
        <v>21832</v>
      </c>
      <c r="G28" s="433" t="s">
        <v>29</v>
      </c>
      <c r="H28" s="433" t="s">
        <v>6454</v>
      </c>
      <c r="I28" s="433"/>
      <c r="J28" s="433" t="s">
        <v>6454</v>
      </c>
      <c r="K28" s="433">
        <v>12.0</v>
      </c>
      <c r="L28" s="433" t="s">
        <v>21875</v>
      </c>
      <c r="M28" s="433"/>
      <c r="N28" s="433" t="s">
        <v>21878</v>
      </c>
      <c r="O28" s="433">
        <v>1970.0</v>
      </c>
      <c r="P28" s="433" t="s">
        <v>388</v>
      </c>
      <c r="Q28" s="433">
        <v>1.0</v>
      </c>
    </row>
    <row r="29" ht="15.75" customHeight="1">
      <c r="B29" s="433">
        <v>24.0</v>
      </c>
      <c r="C29" s="433"/>
      <c r="D29" s="433"/>
      <c r="E29" s="434" t="s">
        <v>21879</v>
      </c>
      <c r="F29" s="433" t="s">
        <v>21832</v>
      </c>
      <c r="G29" s="433" t="s">
        <v>29</v>
      </c>
      <c r="H29" s="433" t="s">
        <v>21880</v>
      </c>
      <c r="I29" s="433"/>
      <c r="J29" s="433" t="s">
        <v>14765</v>
      </c>
      <c r="K29" s="433"/>
      <c r="L29" s="433" t="s">
        <v>21881</v>
      </c>
      <c r="M29" s="433"/>
      <c r="N29" s="433" t="s">
        <v>21882</v>
      </c>
      <c r="O29" s="433">
        <v>1988.0</v>
      </c>
      <c r="P29" s="433" t="s">
        <v>388</v>
      </c>
      <c r="Q29" s="433">
        <v>1.0</v>
      </c>
    </row>
    <row r="30" ht="15.75" customHeight="1">
      <c r="B30" s="433">
        <v>25.0</v>
      </c>
      <c r="C30" s="433"/>
      <c r="D30" s="433"/>
      <c r="E30" s="434" t="s">
        <v>21883</v>
      </c>
      <c r="F30" s="433" t="s">
        <v>21832</v>
      </c>
      <c r="G30" s="433" t="s">
        <v>29</v>
      </c>
      <c r="H30" s="433"/>
      <c r="I30" s="433"/>
      <c r="J30" s="433" t="s">
        <v>15079</v>
      </c>
      <c r="K30" s="433">
        <v>27.0</v>
      </c>
      <c r="L30" s="433"/>
      <c r="M30" s="433" t="s">
        <v>21884</v>
      </c>
      <c r="N30" s="433" t="s">
        <v>21841</v>
      </c>
      <c r="O30" s="433">
        <v>1971.0</v>
      </c>
      <c r="P30" s="433" t="s">
        <v>388</v>
      </c>
      <c r="Q30" s="433">
        <v>1.0</v>
      </c>
    </row>
    <row r="31" ht="15.75" customHeight="1">
      <c r="B31" s="433">
        <v>26.0</v>
      </c>
      <c r="C31" s="433"/>
      <c r="D31" s="433"/>
      <c r="E31" s="434" t="s">
        <v>21885</v>
      </c>
      <c r="F31" s="433" t="s">
        <v>21832</v>
      </c>
      <c r="G31" s="433" t="s">
        <v>29</v>
      </c>
      <c r="H31" s="433" t="s">
        <v>21886</v>
      </c>
      <c r="I31" s="433"/>
      <c r="J31" s="433" t="s">
        <v>81</v>
      </c>
      <c r="K31" s="433">
        <v>103.0</v>
      </c>
      <c r="L31" s="433"/>
      <c r="M31" s="433"/>
      <c r="N31" s="433" t="s">
        <v>21887</v>
      </c>
      <c r="O31" s="433">
        <v>1949.0</v>
      </c>
      <c r="P31" s="433" t="s">
        <v>388</v>
      </c>
      <c r="Q31" s="433">
        <v>1.0</v>
      </c>
    </row>
    <row r="32" ht="15.75" customHeight="1">
      <c r="B32" s="433">
        <v>27.0</v>
      </c>
      <c r="C32" s="433"/>
      <c r="D32" s="433"/>
      <c r="E32" s="434" t="s">
        <v>21888</v>
      </c>
      <c r="F32" s="433" t="s">
        <v>21832</v>
      </c>
      <c r="G32" s="433" t="s">
        <v>29</v>
      </c>
      <c r="H32" s="433" t="s">
        <v>15646</v>
      </c>
      <c r="I32" s="433"/>
      <c r="J32" s="433" t="s">
        <v>15646</v>
      </c>
      <c r="K32" s="433">
        <v>55.0</v>
      </c>
      <c r="L32" s="433"/>
      <c r="M32" s="433"/>
      <c r="N32" s="433" t="s">
        <v>17287</v>
      </c>
      <c r="O32" s="433">
        <v>1989.0</v>
      </c>
      <c r="P32" s="433" t="s">
        <v>388</v>
      </c>
      <c r="Q32" s="433">
        <v>1.0</v>
      </c>
    </row>
    <row r="33" ht="15.75" customHeight="1">
      <c r="B33" s="433">
        <v>28.0</v>
      </c>
      <c r="C33" s="433"/>
      <c r="D33" s="433"/>
      <c r="E33" s="434" t="s">
        <v>21889</v>
      </c>
      <c r="F33" s="433" t="s">
        <v>21832</v>
      </c>
      <c r="G33" s="433" t="s">
        <v>29</v>
      </c>
      <c r="H33" s="433" t="s">
        <v>15079</v>
      </c>
      <c r="I33" s="433"/>
      <c r="J33" s="433" t="s">
        <v>15079</v>
      </c>
      <c r="K33" s="433">
        <v>207.0</v>
      </c>
      <c r="L33" s="433" t="s">
        <v>21890</v>
      </c>
      <c r="M33" s="667"/>
      <c r="N33" s="433" t="s">
        <v>21891</v>
      </c>
      <c r="O33" s="433">
        <v>1947.0</v>
      </c>
      <c r="P33" s="433" t="s">
        <v>388</v>
      </c>
      <c r="Q33" s="433">
        <v>1.0</v>
      </c>
    </row>
    <row r="34" ht="15.75" customHeight="1">
      <c r="B34" s="433">
        <v>29.0</v>
      </c>
      <c r="C34" s="433"/>
      <c r="D34" s="433"/>
      <c r="E34" s="434" t="s">
        <v>21892</v>
      </c>
      <c r="F34" s="433" t="s">
        <v>21832</v>
      </c>
      <c r="G34" s="433" t="s">
        <v>29</v>
      </c>
      <c r="H34" s="433"/>
      <c r="I34" s="433"/>
      <c r="J34" s="433"/>
      <c r="K34" s="433"/>
      <c r="L34" s="433" t="s">
        <v>21875</v>
      </c>
      <c r="M34" s="667"/>
      <c r="N34" s="433"/>
      <c r="O34" s="433"/>
      <c r="P34" s="433" t="s">
        <v>388</v>
      </c>
      <c r="Q34" s="433">
        <v>4.0</v>
      </c>
    </row>
    <row r="35" ht="15.75" customHeight="1">
      <c r="B35" s="433">
        <v>30.0</v>
      </c>
      <c r="C35" s="433"/>
      <c r="D35" s="433"/>
      <c r="E35" s="434" t="s">
        <v>21893</v>
      </c>
      <c r="F35" s="433" t="s">
        <v>21832</v>
      </c>
      <c r="G35" s="433" t="s">
        <v>29</v>
      </c>
      <c r="H35" s="433" t="s">
        <v>21880</v>
      </c>
      <c r="I35" s="433"/>
      <c r="J35" s="433" t="s">
        <v>14765</v>
      </c>
      <c r="K35" s="433"/>
      <c r="L35" s="433" t="s">
        <v>21875</v>
      </c>
      <c r="M35" s="667"/>
      <c r="N35" s="433"/>
      <c r="O35" s="433"/>
      <c r="P35" s="433" t="s">
        <v>388</v>
      </c>
      <c r="Q35" s="433">
        <v>3.0</v>
      </c>
    </row>
    <row r="36" ht="15.75" customHeight="1">
      <c r="B36" s="433">
        <v>31.0</v>
      </c>
      <c r="C36" s="433"/>
      <c r="D36" s="433"/>
      <c r="E36" s="434" t="s">
        <v>21894</v>
      </c>
      <c r="F36" s="433" t="s">
        <v>21832</v>
      </c>
      <c r="G36" s="433" t="s">
        <v>29</v>
      </c>
      <c r="H36" s="433" t="s">
        <v>21880</v>
      </c>
      <c r="I36" s="433"/>
      <c r="J36" s="433" t="s">
        <v>21895</v>
      </c>
      <c r="K36" s="433">
        <v>28.0</v>
      </c>
      <c r="L36" s="433"/>
      <c r="M36" s="433"/>
      <c r="N36" s="433" t="s">
        <v>21896</v>
      </c>
      <c r="O36" s="433">
        <v>1988.0</v>
      </c>
      <c r="P36" s="433" t="s">
        <v>388</v>
      </c>
      <c r="Q36" s="433">
        <v>1.0</v>
      </c>
    </row>
    <row r="37" ht="15.75" customHeight="1">
      <c r="B37" s="433">
        <v>32.0</v>
      </c>
      <c r="C37" s="433"/>
      <c r="D37" s="433"/>
      <c r="E37" s="434" t="s">
        <v>15957</v>
      </c>
      <c r="F37" s="433" t="s">
        <v>21832</v>
      </c>
      <c r="G37" s="433" t="s">
        <v>29</v>
      </c>
      <c r="H37" s="433" t="s">
        <v>2743</v>
      </c>
      <c r="I37" s="433"/>
      <c r="J37" s="433" t="s">
        <v>38</v>
      </c>
      <c r="K37" s="433">
        <v>28.0</v>
      </c>
      <c r="L37" s="433"/>
      <c r="M37" s="433"/>
      <c r="N37" s="433" t="s">
        <v>10580</v>
      </c>
      <c r="O37" s="433">
        <v>1991.0</v>
      </c>
      <c r="P37" s="433" t="s">
        <v>388</v>
      </c>
      <c r="Q37" s="433">
        <v>1.0</v>
      </c>
    </row>
    <row r="38" ht="15.75" customHeight="1">
      <c r="B38" s="433">
        <v>33.0</v>
      </c>
      <c r="C38" s="433"/>
      <c r="D38" s="433"/>
      <c r="E38" s="434" t="s">
        <v>21897</v>
      </c>
      <c r="F38" s="433" t="s">
        <v>21832</v>
      </c>
      <c r="G38" s="433" t="s">
        <v>29</v>
      </c>
      <c r="H38" s="433" t="s">
        <v>13082</v>
      </c>
      <c r="I38" s="433"/>
      <c r="J38" s="433" t="s">
        <v>13082</v>
      </c>
      <c r="K38" s="433"/>
      <c r="L38" s="433" t="s">
        <v>21846</v>
      </c>
      <c r="M38" s="667"/>
      <c r="N38" s="433"/>
      <c r="O38" s="433"/>
      <c r="P38" s="433" t="s">
        <v>388</v>
      </c>
      <c r="Q38" s="433">
        <v>2.0</v>
      </c>
    </row>
    <row r="39" ht="15.75" customHeight="1">
      <c r="B39" s="433">
        <v>34.0</v>
      </c>
      <c r="C39" s="433"/>
      <c r="D39" s="433"/>
      <c r="E39" s="434" t="s">
        <v>21898</v>
      </c>
      <c r="F39" s="433" t="s">
        <v>21832</v>
      </c>
      <c r="G39" s="433" t="s">
        <v>29</v>
      </c>
      <c r="H39" s="433"/>
      <c r="I39" s="433"/>
      <c r="J39" s="433"/>
      <c r="K39" s="433">
        <v>401.0</v>
      </c>
      <c r="L39" s="433"/>
      <c r="M39" s="433"/>
      <c r="N39" s="433" t="s">
        <v>21898</v>
      </c>
      <c r="O39" s="433">
        <v>1981.0</v>
      </c>
      <c r="P39" s="433" t="s">
        <v>388</v>
      </c>
      <c r="Q39" s="433">
        <v>1.0</v>
      </c>
    </row>
    <row r="40" ht="15.75" customHeight="1">
      <c r="B40" s="433">
        <v>35.0</v>
      </c>
      <c r="C40" s="433"/>
      <c r="D40" s="433"/>
      <c r="E40" s="434" t="s">
        <v>21899</v>
      </c>
      <c r="F40" s="433" t="s">
        <v>21832</v>
      </c>
      <c r="G40" s="433" t="s">
        <v>29</v>
      </c>
      <c r="H40" s="433" t="s">
        <v>5563</v>
      </c>
      <c r="I40" s="433"/>
      <c r="J40" s="433" t="s">
        <v>5563</v>
      </c>
      <c r="K40" s="433">
        <v>39.0</v>
      </c>
      <c r="L40" s="433"/>
      <c r="M40" s="433"/>
      <c r="N40" s="433" t="s">
        <v>7817</v>
      </c>
      <c r="O40" s="433">
        <v>1988.0</v>
      </c>
      <c r="P40" s="433" t="s">
        <v>388</v>
      </c>
      <c r="Q40" s="433">
        <v>7.0</v>
      </c>
    </row>
    <row r="41" ht="15.75" customHeight="1">
      <c r="B41" s="433">
        <v>36.0</v>
      </c>
      <c r="C41" s="433"/>
      <c r="D41" s="433"/>
      <c r="E41" s="434" t="s">
        <v>21900</v>
      </c>
      <c r="F41" s="433" t="s">
        <v>21832</v>
      </c>
      <c r="G41" s="433" t="s">
        <v>29</v>
      </c>
      <c r="H41" s="433" t="s">
        <v>21874</v>
      </c>
      <c r="I41" s="433"/>
      <c r="J41" s="433" t="s">
        <v>21874</v>
      </c>
      <c r="K41" s="433">
        <v>40.0</v>
      </c>
      <c r="L41" s="433"/>
      <c r="M41" s="433"/>
      <c r="N41" s="433" t="s">
        <v>12447</v>
      </c>
      <c r="O41" s="433">
        <v>1968.0</v>
      </c>
      <c r="P41" s="433" t="s">
        <v>388</v>
      </c>
      <c r="Q41" s="433">
        <v>2.0</v>
      </c>
    </row>
    <row r="42" ht="15.75" customHeight="1">
      <c r="B42" s="433">
        <v>37.0</v>
      </c>
      <c r="C42" s="433"/>
      <c r="D42" s="433"/>
      <c r="E42" s="434" t="s">
        <v>21901</v>
      </c>
      <c r="F42" s="433" t="s">
        <v>21832</v>
      </c>
      <c r="G42" s="433" t="s">
        <v>29</v>
      </c>
      <c r="H42" s="433"/>
      <c r="I42" s="433"/>
      <c r="J42" s="433"/>
      <c r="K42" s="433">
        <v>30.0</v>
      </c>
      <c r="L42" s="433"/>
      <c r="M42" s="433"/>
      <c r="N42" s="433" t="s">
        <v>5994</v>
      </c>
      <c r="O42" s="433">
        <v>1965.0</v>
      </c>
      <c r="P42" s="433" t="s">
        <v>388</v>
      </c>
      <c r="Q42" s="433">
        <v>3.0</v>
      </c>
    </row>
    <row r="43" ht="15.75" customHeight="1">
      <c r="B43" s="433">
        <v>38.0</v>
      </c>
      <c r="C43" s="433"/>
      <c r="D43" s="433"/>
      <c r="E43" s="434" t="s">
        <v>21902</v>
      </c>
      <c r="F43" s="433" t="s">
        <v>21832</v>
      </c>
      <c r="G43" s="433" t="s">
        <v>29</v>
      </c>
      <c r="H43" s="433"/>
      <c r="I43" s="433"/>
      <c r="J43" s="433" t="s">
        <v>13082</v>
      </c>
      <c r="K43" s="433">
        <v>45.0</v>
      </c>
      <c r="L43" s="433"/>
      <c r="M43" s="433"/>
      <c r="N43" s="433"/>
      <c r="O43" s="433">
        <v>1978.0</v>
      </c>
      <c r="P43" s="433" t="s">
        <v>388</v>
      </c>
      <c r="Q43" s="433">
        <v>1.0</v>
      </c>
    </row>
    <row r="44" ht="15.75" customHeight="1">
      <c r="B44" s="433">
        <v>39.0</v>
      </c>
      <c r="C44" s="433"/>
      <c r="D44" s="433"/>
      <c r="E44" s="434" t="s">
        <v>21903</v>
      </c>
      <c r="F44" s="433" t="s">
        <v>21832</v>
      </c>
      <c r="G44" s="433" t="s">
        <v>29</v>
      </c>
      <c r="H44" s="433" t="s">
        <v>7816</v>
      </c>
      <c r="I44" s="433"/>
      <c r="J44" s="433" t="s">
        <v>7816</v>
      </c>
      <c r="K44" s="433"/>
      <c r="L44" s="433"/>
      <c r="M44" s="667"/>
      <c r="N44" s="433"/>
      <c r="O44" s="433"/>
      <c r="P44" s="433" t="s">
        <v>388</v>
      </c>
      <c r="Q44" s="433">
        <v>2.0</v>
      </c>
    </row>
    <row r="45" ht="15.75" customHeight="1">
      <c r="B45" s="433">
        <v>40.0</v>
      </c>
      <c r="C45" s="433"/>
      <c r="D45" s="433"/>
      <c r="E45" s="434" t="s">
        <v>21904</v>
      </c>
      <c r="F45" s="433" t="s">
        <v>21832</v>
      </c>
      <c r="G45" s="433" t="s">
        <v>29</v>
      </c>
      <c r="H45" s="433" t="s">
        <v>15079</v>
      </c>
      <c r="I45" s="433"/>
      <c r="J45" s="433" t="s">
        <v>21905</v>
      </c>
      <c r="K45" s="433">
        <v>247.0</v>
      </c>
      <c r="L45" s="433" t="s">
        <v>21536</v>
      </c>
      <c r="M45" s="667"/>
      <c r="N45" s="433" t="s">
        <v>21906</v>
      </c>
      <c r="O45" s="433">
        <v>1973.0</v>
      </c>
      <c r="P45" s="433" t="s">
        <v>388</v>
      </c>
      <c r="Q45" s="433">
        <v>2.0</v>
      </c>
    </row>
    <row r="46" ht="15.75" customHeight="1">
      <c r="B46" s="433">
        <v>41.0</v>
      </c>
      <c r="C46" s="433"/>
      <c r="D46" s="433"/>
      <c r="E46" s="434" t="s">
        <v>21907</v>
      </c>
      <c r="F46" s="433" t="s">
        <v>21832</v>
      </c>
      <c r="G46" s="433" t="s">
        <v>29</v>
      </c>
      <c r="H46" s="433" t="s">
        <v>15079</v>
      </c>
      <c r="I46" s="433"/>
      <c r="J46" s="433" t="s">
        <v>15079</v>
      </c>
      <c r="K46" s="433">
        <v>88.0</v>
      </c>
      <c r="L46" s="433"/>
      <c r="M46" s="433"/>
      <c r="N46" s="433" t="s">
        <v>21908</v>
      </c>
      <c r="O46" s="433">
        <v>1987.0</v>
      </c>
      <c r="P46" s="433" t="s">
        <v>388</v>
      </c>
      <c r="Q46" s="433">
        <v>1.0</v>
      </c>
    </row>
    <row r="47" ht="15.75" customHeight="1">
      <c r="B47" s="433">
        <v>42.0</v>
      </c>
      <c r="C47" s="433"/>
      <c r="D47" s="433"/>
      <c r="E47" s="434" t="s">
        <v>21909</v>
      </c>
      <c r="F47" s="433" t="s">
        <v>21832</v>
      </c>
      <c r="G47" s="433" t="s">
        <v>29</v>
      </c>
      <c r="H47" s="433" t="s">
        <v>15079</v>
      </c>
      <c r="I47" s="433"/>
      <c r="J47" s="433" t="s">
        <v>15079</v>
      </c>
      <c r="K47" s="433">
        <v>116.0</v>
      </c>
      <c r="L47" s="433"/>
      <c r="M47" s="433"/>
      <c r="N47" s="433" t="s">
        <v>21910</v>
      </c>
      <c r="O47" s="433">
        <v>1986.0</v>
      </c>
      <c r="P47" s="433" t="s">
        <v>388</v>
      </c>
      <c r="Q47" s="433">
        <v>1.0</v>
      </c>
    </row>
    <row r="48" ht="15.75" customHeight="1">
      <c r="B48" s="433">
        <v>43.0</v>
      </c>
      <c r="C48" s="433"/>
      <c r="D48" s="433"/>
      <c r="E48" s="434" t="s">
        <v>21911</v>
      </c>
      <c r="F48" s="433" t="s">
        <v>21832</v>
      </c>
      <c r="G48" s="433" t="s">
        <v>29</v>
      </c>
      <c r="H48" s="433" t="s">
        <v>15079</v>
      </c>
      <c r="I48" s="433"/>
      <c r="J48" s="433" t="s">
        <v>30</v>
      </c>
      <c r="K48" s="433">
        <v>113.0</v>
      </c>
      <c r="L48" s="433"/>
      <c r="M48" s="433"/>
      <c r="N48" s="433" t="s">
        <v>21841</v>
      </c>
      <c r="O48" s="433">
        <v>1987.0</v>
      </c>
      <c r="P48" s="433" t="s">
        <v>388</v>
      </c>
      <c r="Q48" s="433">
        <v>1.0</v>
      </c>
    </row>
    <row r="49" ht="15.75" customHeight="1">
      <c r="B49" s="433">
        <v>44.0</v>
      </c>
      <c r="C49" s="433"/>
      <c r="D49" s="433"/>
      <c r="E49" s="434" t="s">
        <v>21912</v>
      </c>
      <c r="F49" s="433" t="s">
        <v>21832</v>
      </c>
      <c r="G49" s="433" t="s">
        <v>29</v>
      </c>
      <c r="H49" s="433" t="s">
        <v>6505</v>
      </c>
      <c r="I49" s="433"/>
      <c r="J49" s="433" t="s">
        <v>6505</v>
      </c>
      <c r="K49" s="433">
        <v>97.0</v>
      </c>
      <c r="L49" s="433"/>
      <c r="M49" s="433"/>
      <c r="N49" s="433" t="s">
        <v>21913</v>
      </c>
      <c r="O49" s="433">
        <v>1976.0</v>
      </c>
      <c r="P49" s="433" t="s">
        <v>388</v>
      </c>
      <c r="Q49" s="433">
        <v>1.0</v>
      </c>
    </row>
    <row r="50" ht="15.75" customHeight="1">
      <c r="B50" s="433">
        <v>45.0</v>
      </c>
      <c r="C50" s="433"/>
      <c r="D50" s="433"/>
      <c r="E50" s="434" t="s">
        <v>21914</v>
      </c>
      <c r="F50" s="433" t="s">
        <v>21832</v>
      </c>
      <c r="G50" s="433" t="s">
        <v>29</v>
      </c>
      <c r="H50" s="433" t="s">
        <v>6505</v>
      </c>
      <c r="I50" s="433"/>
      <c r="J50" s="433" t="s">
        <v>38</v>
      </c>
      <c r="K50" s="433">
        <v>202.0</v>
      </c>
      <c r="L50" s="433"/>
      <c r="M50" s="433"/>
      <c r="N50" s="433" t="s">
        <v>21915</v>
      </c>
      <c r="O50" s="433">
        <v>1986.0</v>
      </c>
      <c r="P50" s="433" t="s">
        <v>388</v>
      </c>
      <c r="Q50" s="433">
        <v>2.0</v>
      </c>
    </row>
    <row r="51" ht="15.75" customHeight="1">
      <c r="B51" s="433">
        <v>46.0</v>
      </c>
      <c r="C51" s="433"/>
      <c r="D51" s="433"/>
      <c r="E51" s="434" t="s">
        <v>21916</v>
      </c>
      <c r="F51" s="433" t="s">
        <v>21832</v>
      </c>
      <c r="G51" s="433" t="s">
        <v>29</v>
      </c>
      <c r="H51" s="433" t="s">
        <v>21917</v>
      </c>
      <c r="I51" s="433"/>
      <c r="J51" s="433" t="s">
        <v>38</v>
      </c>
      <c r="K51" s="433">
        <v>73.0</v>
      </c>
      <c r="L51" s="433"/>
      <c r="M51" s="433"/>
      <c r="N51" s="433" t="s">
        <v>4836</v>
      </c>
      <c r="O51" s="433">
        <v>1976.0</v>
      </c>
      <c r="P51" s="433" t="s">
        <v>388</v>
      </c>
      <c r="Q51" s="433">
        <v>1.0</v>
      </c>
    </row>
    <row r="52" ht="15.75" customHeight="1">
      <c r="B52" s="433">
        <v>47.0</v>
      </c>
      <c r="C52" s="433"/>
      <c r="D52" s="433"/>
      <c r="E52" s="434" t="s">
        <v>21903</v>
      </c>
      <c r="F52" s="433" t="s">
        <v>21832</v>
      </c>
      <c r="G52" s="433" t="s">
        <v>29</v>
      </c>
      <c r="H52" s="433" t="s">
        <v>7816</v>
      </c>
      <c r="I52" s="433"/>
      <c r="J52" s="433" t="s">
        <v>7816</v>
      </c>
      <c r="K52" s="433">
        <v>83.0</v>
      </c>
      <c r="L52" s="433"/>
      <c r="M52" s="433" t="s">
        <v>21918</v>
      </c>
      <c r="N52" s="433" t="s">
        <v>7817</v>
      </c>
      <c r="O52" s="433">
        <v>1978.0</v>
      </c>
      <c r="P52" s="433" t="s">
        <v>388</v>
      </c>
      <c r="Q52" s="433">
        <v>1.0</v>
      </c>
    </row>
    <row r="53" ht="15.75" customHeight="1">
      <c r="B53" s="433">
        <v>48.0</v>
      </c>
      <c r="C53" s="433"/>
      <c r="D53" s="433"/>
      <c r="E53" s="434" t="s">
        <v>21919</v>
      </c>
      <c r="F53" s="433" t="s">
        <v>21832</v>
      </c>
      <c r="G53" s="433" t="s">
        <v>29</v>
      </c>
      <c r="H53" s="433" t="s">
        <v>127</v>
      </c>
      <c r="I53" s="433"/>
      <c r="J53" s="433" t="s">
        <v>38</v>
      </c>
      <c r="K53" s="433">
        <v>111.0</v>
      </c>
      <c r="L53" s="433"/>
      <c r="M53" s="433" t="s">
        <v>21920</v>
      </c>
      <c r="N53" s="433" t="s">
        <v>21921</v>
      </c>
      <c r="O53" s="433">
        <v>1971.0</v>
      </c>
      <c r="P53" s="433" t="s">
        <v>388</v>
      </c>
      <c r="Q53" s="433">
        <v>2.0</v>
      </c>
    </row>
    <row r="54" ht="15.75" customHeight="1">
      <c r="B54" s="433">
        <v>49.0</v>
      </c>
      <c r="C54" s="433"/>
      <c r="D54" s="433"/>
      <c r="E54" s="434" t="s">
        <v>21922</v>
      </c>
      <c r="F54" s="433" t="s">
        <v>21832</v>
      </c>
      <c r="G54" s="433" t="s">
        <v>29</v>
      </c>
      <c r="H54" s="433" t="s">
        <v>21834</v>
      </c>
      <c r="I54" s="433"/>
      <c r="J54" s="433" t="s">
        <v>5948</v>
      </c>
      <c r="K54" s="433">
        <v>24.0</v>
      </c>
      <c r="L54" s="433" t="s">
        <v>21923</v>
      </c>
      <c r="M54" s="667"/>
      <c r="N54" s="433" t="s">
        <v>54</v>
      </c>
      <c r="O54" s="433">
        <v>1976.0</v>
      </c>
      <c r="P54" s="433" t="s">
        <v>388</v>
      </c>
      <c r="Q54" s="433">
        <v>1.0</v>
      </c>
    </row>
    <row r="55" ht="15.75" customHeight="1">
      <c r="B55" s="433">
        <v>50.0</v>
      </c>
      <c r="C55" s="433"/>
      <c r="D55" s="433"/>
      <c r="E55" s="434" t="s">
        <v>21924</v>
      </c>
      <c r="F55" s="433" t="s">
        <v>21832</v>
      </c>
      <c r="G55" s="433" t="s">
        <v>29</v>
      </c>
      <c r="H55" s="433" t="s">
        <v>21834</v>
      </c>
      <c r="I55" s="433"/>
      <c r="J55" s="433" t="s">
        <v>38</v>
      </c>
      <c r="K55" s="433">
        <v>42.0</v>
      </c>
      <c r="L55" s="433" t="s">
        <v>21925</v>
      </c>
      <c r="M55" s="667"/>
      <c r="N55" s="433" t="s">
        <v>12447</v>
      </c>
      <c r="O55" s="433">
        <v>1993.0</v>
      </c>
      <c r="P55" s="433" t="s">
        <v>388</v>
      </c>
      <c r="Q55" s="433">
        <v>1.0</v>
      </c>
    </row>
    <row r="56" ht="15.75" customHeight="1">
      <c r="B56" s="433">
        <v>51.0</v>
      </c>
      <c r="C56" s="433"/>
      <c r="D56" s="433"/>
      <c r="E56" s="434" t="s">
        <v>21926</v>
      </c>
      <c r="F56" s="433" t="s">
        <v>21832</v>
      </c>
      <c r="G56" s="433" t="s">
        <v>29</v>
      </c>
      <c r="H56" s="433"/>
      <c r="I56" s="433"/>
      <c r="J56" s="433" t="s">
        <v>38</v>
      </c>
      <c r="K56" s="433">
        <v>51.0</v>
      </c>
      <c r="L56" s="433" t="s">
        <v>13582</v>
      </c>
      <c r="M56" s="667"/>
      <c r="N56" s="433" t="s">
        <v>21927</v>
      </c>
      <c r="O56" s="433">
        <v>1987.0</v>
      </c>
      <c r="P56" s="433" t="s">
        <v>388</v>
      </c>
      <c r="Q56" s="433">
        <v>1.0</v>
      </c>
    </row>
    <row r="57" ht="15.75" customHeight="1">
      <c r="B57" s="433">
        <v>52.0</v>
      </c>
      <c r="C57" s="433"/>
      <c r="D57" s="433"/>
      <c r="E57" s="434" t="s">
        <v>21928</v>
      </c>
      <c r="F57" s="433" t="s">
        <v>21832</v>
      </c>
      <c r="G57" s="433" t="s">
        <v>29</v>
      </c>
      <c r="H57" s="433" t="s">
        <v>21880</v>
      </c>
      <c r="I57" s="433"/>
      <c r="J57" s="433" t="s">
        <v>14765</v>
      </c>
      <c r="K57" s="433">
        <v>40.0</v>
      </c>
      <c r="L57" s="433" t="s">
        <v>13582</v>
      </c>
      <c r="M57" s="667"/>
      <c r="N57" s="433" t="s">
        <v>21929</v>
      </c>
      <c r="O57" s="433">
        <v>1985.0</v>
      </c>
      <c r="P57" s="433" t="s">
        <v>388</v>
      </c>
      <c r="Q57" s="433">
        <v>1.0</v>
      </c>
    </row>
    <row r="58" ht="15.75" customHeight="1">
      <c r="B58" s="433">
        <v>53.0</v>
      </c>
      <c r="C58" s="433"/>
      <c r="D58" s="433"/>
      <c r="E58" s="434" t="s">
        <v>21930</v>
      </c>
      <c r="F58" s="433" t="s">
        <v>21832</v>
      </c>
      <c r="G58" s="433" t="s">
        <v>29</v>
      </c>
      <c r="H58" s="433" t="s">
        <v>5563</v>
      </c>
      <c r="I58" s="433"/>
      <c r="J58" s="433" t="s">
        <v>21931</v>
      </c>
      <c r="K58" s="433">
        <v>87.0</v>
      </c>
      <c r="L58" s="433" t="s">
        <v>13582</v>
      </c>
      <c r="M58" s="667"/>
      <c r="N58" s="433" t="s">
        <v>7817</v>
      </c>
      <c r="O58" s="433">
        <v>1988.0</v>
      </c>
      <c r="P58" s="433" t="s">
        <v>388</v>
      </c>
      <c r="Q58" s="433">
        <v>1.0</v>
      </c>
    </row>
    <row r="59" ht="15.75" customHeight="1">
      <c r="B59" s="433">
        <v>54.0</v>
      </c>
      <c r="C59" s="433"/>
      <c r="D59" s="433"/>
      <c r="E59" s="434" t="s">
        <v>21932</v>
      </c>
      <c r="F59" s="433" t="s">
        <v>21832</v>
      </c>
      <c r="G59" s="433" t="s">
        <v>29</v>
      </c>
      <c r="H59" s="433" t="s">
        <v>6505</v>
      </c>
      <c r="I59" s="433"/>
      <c r="J59" s="433" t="s">
        <v>38</v>
      </c>
      <c r="K59" s="433">
        <v>92.0</v>
      </c>
      <c r="L59" s="433"/>
      <c r="M59" s="433" t="s">
        <v>21933</v>
      </c>
      <c r="N59" s="433" t="s">
        <v>54</v>
      </c>
      <c r="O59" s="433">
        <v>1991.0</v>
      </c>
      <c r="P59" s="433" t="s">
        <v>388</v>
      </c>
      <c r="Q59" s="433">
        <v>1.0</v>
      </c>
    </row>
    <row r="60" ht="15.75" customHeight="1">
      <c r="B60" s="433">
        <v>55.0</v>
      </c>
      <c r="C60" s="433"/>
      <c r="D60" s="433"/>
      <c r="E60" s="434" t="s">
        <v>21932</v>
      </c>
      <c r="F60" s="433" t="s">
        <v>21832</v>
      </c>
      <c r="G60" s="433" t="s">
        <v>29</v>
      </c>
      <c r="H60" s="433" t="s">
        <v>6505</v>
      </c>
      <c r="I60" s="433"/>
      <c r="J60" s="433" t="s">
        <v>38</v>
      </c>
      <c r="K60" s="433">
        <v>62.0</v>
      </c>
      <c r="L60" s="433"/>
      <c r="M60" s="433" t="s">
        <v>21934</v>
      </c>
      <c r="N60" s="433" t="s">
        <v>54</v>
      </c>
      <c r="O60" s="433">
        <v>1976.0</v>
      </c>
      <c r="P60" s="433" t="s">
        <v>388</v>
      </c>
      <c r="Q60" s="433">
        <v>1.0</v>
      </c>
    </row>
    <row r="61" ht="15.75" customHeight="1">
      <c r="B61" s="433">
        <v>56.0</v>
      </c>
      <c r="C61" s="433"/>
      <c r="D61" s="433"/>
      <c r="E61" s="434" t="s">
        <v>21935</v>
      </c>
      <c r="F61" s="433" t="s">
        <v>21832</v>
      </c>
      <c r="G61" s="433" t="s">
        <v>29</v>
      </c>
      <c r="H61" s="433" t="s">
        <v>21936</v>
      </c>
      <c r="I61" s="433"/>
      <c r="J61" s="433" t="s">
        <v>5948</v>
      </c>
      <c r="K61" s="433">
        <v>69.0</v>
      </c>
      <c r="L61" s="433"/>
      <c r="M61" s="433"/>
      <c r="N61" s="433" t="s">
        <v>21937</v>
      </c>
      <c r="O61" s="433">
        <v>1972.0</v>
      </c>
      <c r="P61" s="433" t="s">
        <v>388</v>
      </c>
      <c r="Q61" s="433">
        <v>1.0</v>
      </c>
    </row>
    <row r="62" ht="15.75" customHeight="1">
      <c r="B62" s="433">
        <v>57.0</v>
      </c>
      <c r="C62" s="433"/>
      <c r="D62" s="433"/>
      <c r="E62" s="434" t="s">
        <v>21938</v>
      </c>
      <c r="F62" s="433" t="s">
        <v>21832</v>
      </c>
      <c r="G62" s="433" t="s">
        <v>29</v>
      </c>
      <c r="H62" s="433" t="s">
        <v>21939</v>
      </c>
      <c r="I62" s="433"/>
      <c r="J62" s="433" t="s">
        <v>21939</v>
      </c>
      <c r="K62" s="433"/>
      <c r="L62" s="433"/>
      <c r="M62" s="433" t="s">
        <v>21940</v>
      </c>
      <c r="N62" s="433" t="s">
        <v>7817</v>
      </c>
      <c r="O62" s="433">
        <v>2002.0</v>
      </c>
      <c r="P62" s="433" t="s">
        <v>388</v>
      </c>
      <c r="Q62" s="433">
        <v>1.0</v>
      </c>
    </row>
    <row r="63" ht="15.75" customHeight="1">
      <c r="B63" s="433">
        <v>58.0</v>
      </c>
      <c r="C63" s="433"/>
      <c r="D63" s="433"/>
      <c r="E63" s="434" t="s">
        <v>21941</v>
      </c>
      <c r="F63" s="433" t="s">
        <v>21832</v>
      </c>
      <c r="G63" s="433" t="s">
        <v>29</v>
      </c>
      <c r="H63" s="433"/>
      <c r="I63" s="433"/>
      <c r="J63" s="433"/>
      <c r="K63" s="433"/>
      <c r="L63" s="433"/>
      <c r="M63" s="433"/>
      <c r="N63" s="433" t="s">
        <v>12447</v>
      </c>
      <c r="O63" s="433">
        <v>1899.0</v>
      </c>
      <c r="P63" s="433" t="s">
        <v>388</v>
      </c>
      <c r="Q63" s="433">
        <v>1.0</v>
      </c>
    </row>
    <row r="64" ht="15.75" customHeight="1">
      <c r="B64" s="433">
        <v>59.0</v>
      </c>
      <c r="C64" s="433"/>
      <c r="D64" s="433"/>
      <c r="E64" s="434" t="s">
        <v>15290</v>
      </c>
      <c r="F64" s="433" t="s">
        <v>21832</v>
      </c>
      <c r="G64" s="433" t="s">
        <v>29</v>
      </c>
      <c r="H64" s="433" t="s">
        <v>12129</v>
      </c>
      <c r="I64" s="433"/>
      <c r="J64" s="433" t="s">
        <v>21942</v>
      </c>
      <c r="K64" s="433">
        <v>53.0</v>
      </c>
      <c r="L64" s="433"/>
      <c r="M64" s="433"/>
      <c r="N64" s="433" t="s">
        <v>21943</v>
      </c>
      <c r="O64" s="433">
        <v>2010.0</v>
      </c>
      <c r="P64" s="433" t="s">
        <v>388</v>
      </c>
      <c r="Q64" s="433">
        <v>1.0</v>
      </c>
    </row>
    <row r="65" ht="15.75" customHeight="1">
      <c r="B65" s="433">
        <v>60.0</v>
      </c>
      <c r="C65" s="433"/>
      <c r="D65" s="433"/>
      <c r="E65" s="434" t="s">
        <v>21944</v>
      </c>
      <c r="F65" s="433" t="s">
        <v>21832</v>
      </c>
      <c r="G65" s="433" t="s">
        <v>29</v>
      </c>
      <c r="H65" s="433" t="s">
        <v>21945</v>
      </c>
      <c r="I65" s="433"/>
      <c r="J65" s="433" t="s">
        <v>17694</v>
      </c>
      <c r="K65" s="433">
        <v>32.0</v>
      </c>
      <c r="L65" s="433"/>
      <c r="M65" s="433"/>
      <c r="N65" s="433" t="s">
        <v>21946</v>
      </c>
      <c r="O65" s="433">
        <v>1969.0</v>
      </c>
      <c r="P65" s="433" t="s">
        <v>388</v>
      </c>
      <c r="Q65" s="433">
        <v>2.0</v>
      </c>
    </row>
    <row r="66" ht="15.75" customHeight="1">
      <c r="B66" s="433">
        <v>61.0</v>
      </c>
      <c r="C66" s="433"/>
      <c r="D66" s="433"/>
      <c r="E66" s="434" t="s">
        <v>21947</v>
      </c>
      <c r="F66" s="433" t="s">
        <v>21832</v>
      </c>
      <c r="G66" s="433" t="s">
        <v>29</v>
      </c>
      <c r="H66" s="433" t="s">
        <v>7816</v>
      </c>
      <c r="I66" s="433"/>
      <c r="J66" s="433" t="s">
        <v>7816</v>
      </c>
      <c r="K66" s="433"/>
      <c r="L66" s="433"/>
      <c r="M66" s="433"/>
      <c r="N66" s="433" t="s">
        <v>7817</v>
      </c>
      <c r="O66" s="433">
        <v>1972.0</v>
      </c>
      <c r="P66" s="433" t="s">
        <v>388</v>
      </c>
      <c r="Q66" s="433">
        <v>1.0</v>
      </c>
    </row>
    <row r="67" ht="15.75" customHeight="1">
      <c r="B67" s="433">
        <v>62.0</v>
      </c>
      <c r="C67" s="433"/>
      <c r="D67" s="433"/>
      <c r="E67" s="434" t="s">
        <v>21948</v>
      </c>
      <c r="F67" s="433" t="s">
        <v>21832</v>
      </c>
      <c r="G67" s="433" t="s">
        <v>29</v>
      </c>
      <c r="H67" s="433" t="s">
        <v>7816</v>
      </c>
      <c r="I67" s="433"/>
      <c r="J67" s="433" t="s">
        <v>7816</v>
      </c>
      <c r="K67" s="433"/>
      <c r="L67" s="433"/>
      <c r="M67" s="433" t="s">
        <v>6</v>
      </c>
      <c r="N67" s="433" t="s">
        <v>7817</v>
      </c>
      <c r="O67" s="433">
        <v>1972.0</v>
      </c>
      <c r="P67" s="433" t="s">
        <v>388</v>
      </c>
      <c r="Q67" s="433">
        <v>1.0</v>
      </c>
    </row>
    <row r="68" ht="15.75" customHeight="1">
      <c r="B68" s="433">
        <v>63.0</v>
      </c>
      <c r="C68" s="433"/>
      <c r="D68" s="433"/>
      <c r="E68" s="434" t="s">
        <v>21949</v>
      </c>
      <c r="F68" s="433" t="s">
        <v>21832</v>
      </c>
      <c r="G68" s="433" t="s">
        <v>29</v>
      </c>
      <c r="H68" s="433" t="s">
        <v>7816</v>
      </c>
      <c r="I68" s="433"/>
      <c r="J68" s="433" t="s">
        <v>7816</v>
      </c>
      <c r="K68" s="433"/>
      <c r="L68" s="433"/>
      <c r="M68" s="433"/>
      <c r="N68" s="433" t="s">
        <v>7817</v>
      </c>
      <c r="O68" s="433">
        <v>1972.0</v>
      </c>
      <c r="P68" s="433" t="s">
        <v>388</v>
      </c>
      <c r="Q68" s="433">
        <v>1.0</v>
      </c>
    </row>
    <row r="69" ht="15.75" customHeight="1">
      <c r="B69" s="433">
        <v>64.0</v>
      </c>
      <c r="C69" s="433"/>
      <c r="D69" s="433"/>
      <c r="E69" s="434" t="s">
        <v>21950</v>
      </c>
      <c r="F69" s="433" t="s">
        <v>21832</v>
      </c>
      <c r="G69" s="433" t="s">
        <v>29</v>
      </c>
      <c r="H69" s="433" t="s">
        <v>21834</v>
      </c>
      <c r="I69" s="433"/>
      <c r="J69" s="433" t="s">
        <v>15193</v>
      </c>
      <c r="K69" s="433">
        <v>24.0</v>
      </c>
      <c r="L69" s="433" t="s">
        <v>13582</v>
      </c>
      <c r="M69" s="667"/>
      <c r="N69" s="433" t="s">
        <v>12447</v>
      </c>
      <c r="O69" s="433">
        <v>1899.0</v>
      </c>
      <c r="P69" s="433" t="s">
        <v>388</v>
      </c>
      <c r="Q69" s="433">
        <v>1.0</v>
      </c>
    </row>
    <row r="70" ht="15.75" customHeight="1">
      <c r="B70" s="433">
        <v>65.0</v>
      </c>
      <c r="C70" s="433"/>
      <c r="D70" s="433"/>
      <c r="E70" s="434" t="s">
        <v>21951</v>
      </c>
      <c r="F70" s="433" t="s">
        <v>21832</v>
      </c>
      <c r="G70" s="433" t="s">
        <v>29</v>
      </c>
      <c r="H70" s="433" t="s">
        <v>21834</v>
      </c>
      <c r="I70" s="433"/>
      <c r="J70" s="433" t="s">
        <v>15193</v>
      </c>
      <c r="K70" s="433">
        <v>24.0</v>
      </c>
      <c r="L70" s="433" t="s">
        <v>13582</v>
      </c>
      <c r="M70" s="667"/>
      <c r="N70" s="433" t="s">
        <v>12447</v>
      </c>
      <c r="O70" s="433">
        <v>1899.0</v>
      </c>
      <c r="P70" s="433" t="s">
        <v>388</v>
      </c>
      <c r="Q70" s="433">
        <v>1.0</v>
      </c>
    </row>
    <row r="71" ht="15.75" customHeight="1">
      <c r="B71" s="433">
        <v>66.0</v>
      </c>
      <c r="C71" s="433"/>
      <c r="D71" s="433"/>
      <c r="E71" s="434" t="s">
        <v>21952</v>
      </c>
      <c r="F71" s="433" t="s">
        <v>21832</v>
      </c>
      <c r="G71" s="433" t="s">
        <v>29</v>
      </c>
      <c r="H71" s="433" t="s">
        <v>21834</v>
      </c>
      <c r="I71" s="433"/>
      <c r="J71" s="433" t="s">
        <v>15193</v>
      </c>
      <c r="K71" s="433">
        <v>24.0</v>
      </c>
      <c r="L71" s="433" t="s">
        <v>13582</v>
      </c>
      <c r="M71" s="667"/>
      <c r="N71" s="433" t="s">
        <v>12447</v>
      </c>
      <c r="O71" s="433">
        <v>1899.0</v>
      </c>
      <c r="P71" s="433" t="s">
        <v>388</v>
      </c>
      <c r="Q71" s="433">
        <v>1.0</v>
      </c>
    </row>
    <row r="72" ht="15.75" customHeight="1">
      <c r="B72" s="433">
        <v>67.0</v>
      </c>
      <c r="C72" s="433"/>
      <c r="D72" s="433"/>
      <c r="E72" s="434" t="s">
        <v>21953</v>
      </c>
      <c r="F72" s="433" t="s">
        <v>21832</v>
      </c>
      <c r="G72" s="433" t="s">
        <v>29</v>
      </c>
      <c r="H72" s="433" t="s">
        <v>21834</v>
      </c>
      <c r="I72" s="433"/>
      <c r="J72" s="433" t="s">
        <v>15193</v>
      </c>
      <c r="K72" s="433">
        <v>24.0</v>
      </c>
      <c r="L72" s="433" t="s">
        <v>13582</v>
      </c>
      <c r="M72" s="667"/>
      <c r="N72" s="433" t="s">
        <v>12447</v>
      </c>
      <c r="O72" s="433">
        <v>1899.0</v>
      </c>
      <c r="P72" s="433" t="s">
        <v>388</v>
      </c>
      <c r="Q72" s="433">
        <v>1.0</v>
      </c>
    </row>
    <row r="73" ht="15.75" customHeight="1">
      <c r="B73" s="433">
        <v>68.0</v>
      </c>
      <c r="C73" s="433"/>
      <c r="D73" s="433"/>
      <c r="E73" s="434" t="s">
        <v>21954</v>
      </c>
      <c r="F73" s="433" t="s">
        <v>21832</v>
      </c>
      <c r="G73" s="433" t="s">
        <v>29</v>
      </c>
      <c r="H73" s="433" t="s">
        <v>7816</v>
      </c>
      <c r="I73" s="433"/>
      <c r="J73" s="433" t="s">
        <v>7816</v>
      </c>
      <c r="K73" s="433">
        <v>33.0</v>
      </c>
      <c r="L73" s="433" t="s">
        <v>13582</v>
      </c>
      <c r="M73" s="667"/>
      <c r="N73" s="433" t="s">
        <v>12447</v>
      </c>
      <c r="O73" s="433"/>
      <c r="P73" s="433" t="s">
        <v>388</v>
      </c>
      <c r="Q73" s="433">
        <v>1.0</v>
      </c>
    </row>
    <row r="74" ht="15.75" customHeight="1">
      <c r="B74" s="433">
        <v>69.0</v>
      </c>
      <c r="C74" s="433"/>
      <c r="D74" s="433"/>
      <c r="E74" s="434" t="s">
        <v>21955</v>
      </c>
      <c r="F74" s="433" t="s">
        <v>21832</v>
      </c>
      <c r="G74" s="433" t="s">
        <v>29</v>
      </c>
      <c r="H74" s="433"/>
      <c r="I74" s="433"/>
      <c r="J74" s="433" t="s">
        <v>21956</v>
      </c>
      <c r="K74" s="433">
        <v>110.0</v>
      </c>
      <c r="L74" s="433"/>
      <c r="M74" s="667"/>
      <c r="N74" s="433" t="s">
        <v>21957</v>
      </c>
      <c r="O74" s="433">
        <v>1931.0</v>
      </c>
      <c r="P74" s="433" t="s">
        <v>388</v>
      </c>
      <c r="Q74" s="433">
        <v>1.0</v>
      </c>
    </row>
    <row r="75" ht="15.75" customHeight="1">
      <c r="B75" s="433">
        <v>70.0</v>
      </c>
      <c r="C75" s="433"/>
      <c r="D75" s="433"/>
      <c r="E75" s="434" t="s">
        <v>21958</v>
      </c>
      <c r="F75" s="433" t="s">
        <v>21832</v>
      </c>
      <c r="G75" s="433" t="s">
        <v>29</v>
      </c>
      <c r="H75" s="433" t="s">
        <v>6505</v>
      </c>
      <c r="I75" s="433"/>
      <c r="J75" s="433" t="s">
        <v>6505</v>
      </c>
      <c r="K75" s="433">
        <v>22.0</v>
      </c>
      <c r="L75" s="433" t="s">
        <v>19614</v>
      </c>
      <c r="M75" s="667"/>
      <c r="N75" s="433" t="s">
        <v>2233</v>
      </c>
      <c r="O75" s="433">
        <v>1981.0</v>
      </c>
      <c r="P75" s="433" t="s">
        <v>388</v>
      </c>
      <c r="Q75" s="433">
        <v>1.0</v>
      </c>
    </row>
    <row r="76" ht="15.75" customHeight="1">
      <c r="B76" s="433">
        <v>71.0</v>
      </c>
      <c r="C76" s="433"/>
      <c r="D76" s="433"/>
      <c r="E76" s="434" t="s">
        <v>21959</v>
      </c>
      <c r="F76" s="433" t="s">
        <v>21832</v>
      </c>
      <c r="G76" s="433" t="s">
        <v>29</v>
      </c>
      <c r="H76" s="433" t="s">
        <v>21834</v>
      </c>
      <c r="I76" s="433"/>
      <c r="J76" s="433" t="s">
        <v>16837</v>
      </c>
      <c r="K76" s="433">
        <v>64.0</v>
      </c>
      <c r="L76" s="433" t="s">
        <v>13582</v>
      </c>
      <c r="M76" s="667"/>
      <c r="N76" s="433" t="s">
        <v>21960</v>
      </c>
      <c r="O76" s="433">
        <v>1968.0</v>
      </c>
      <c r="P76" s="433" t="s">
        <v>388</v>
      </c>
      <c r="Q76" s="433">
        <v>1.0</v>
      </c>
    </row>
    <row r="77" ht="15.75" customHeight="1">
      <c r="B77" s="433">
        <v>72.0</v>
      </c>
      <c r="C77" s="433"/>
      <c r="D77" s="433"/>
      <c r="E77" s="434" t="s">
        <v>21961</v>
      </c>
      <c r="F77" s="433" t="s">
        <v>21832</v>
      </c>
      <c r="G77" s="433" t="s">
        <v>29</v>
      </c>
      <c r="H77" s="433" t="s">
        <v>127</v>
      </c>
      <c r="I77" s="433"/>
      <c r="J77" s="433" t="s">
        <v>38</v>
      </c>
      <c r="K77" s="433">
        <v>111.0</v>
      </c>
      <c r="L77" s="433" t="s">
        <v>21962</v>
      </c>
      <c r="M77" s="667"/>
      <c r="N77" s="433" t="s">
        <v>21921</v>
      </c>
      <c r="O77" s="433">
        <v>1971.0</v>
      </c>
      <c r="P77" s="433" t="s">
        <v>388</v>
      </c>
      <c r="Q77" s="433">
        <v>1.0</v>
      </c>
    </row>
    <row r="78" ht="15.75" customHeight="1">
      <c r="B78" s="433">
        <v>73.0</v>
      </c>
      <c r="C78" s="433"/>
      <c r="D78" s="433"/>
      <c r="E78" s="434" t="s">
        <v>21963</v>
      </c>
      <c r="F78" s="433" t="s">
        <v>21832</v>
      </c>
      <c r="G78" s="433" t="s">
        <v>29</v>
      </c>
      <c r="H78" s="433" t="s">
        <v>6505</v>
      </c>
      <c r="I78" s="433"/>
      <c r="J78" s="433" t="s">
        <v>13317</v>
      </c>
      <c r="K78" s="433"/>
      <c r="L78" s="433" t="s">
        <v>13582</v>
      </c>
      <c r="M78" s="667"/>
      <c r="N78" s="433" t="s">
        <v>21964</v>
      </c>
      <c r="O78" s="433">
        <v>1984.0</v>
      </c>
      <c r="P78" s="433" t="s">
        <v>388</v>
      </c>
      <c r="Q78" s="433">
        <v>1.0</v>
      </c>
    </row>
    <row r="79" ht="15.75" customHeight="1">
      <c r="B79" s="433">
        <v>74.0</v>
      </c>
      <c r="C79" s="433"/>
      <c r="D79" s="433"/>
      <c r="E79" s="434" t="s">
        <v>21965</v>
      </c>
      <c r="F79" s="433" t="s">
        <v>21832</v>
      </c>
      <c r="G79" s="433" t="s">
        <v>29</v>
      </c>
      <c r="H79" s="433" t="s">
        <v>6505</v>
      </c>
      <c r="I79" s="433"/>
      <c r="J79" s="433" t="s">
        <v>13317</v>
      </c>
      <c r="K79" s="433"/>
      <c r="L79" s="433" t="s">
        <v>13582</v>
      </c>
      <c r="M79" s="667"/>
      <c r="N79" s="433" t="s">
        <v>21964</v>
      </c>
      <c r="O79" s="433">
        <v>1986.0</v>
      </c>
      <c r="P79" s="433" t="s">
        <v>388</v>
      </c>
      <c r="Q79" s="433">
        <v>1.0</v>
      </c>
    </row>
    <row r="80" ht="15.75" customHeight="1">
      <c r="B80" s="433">
        <v>75.0</v>
      </c>
      <c r="C80" s="433"/>
      <c r="D80" s="433"/>
      <c r="E80" s="434" t="s">
        <v>21966</v>
      </c>
      <c r="F80" s="433" t="s">
        <v>21832</v>
      </c>
      <c r="G80" s="433" t="s">
        <v>29</v>
      </c>
      <c r="H80" s="433" t="s">
        <v>6505</v>
      </c>
      <c r="I80" s="433"/>
      <c r="J80" s="433" t="s">
        <v>38</v>
      </c>
      <c r="K80" s="433"/>
      <c r="L80" s="433" t="s">
        <v>21453</v>
      </c>
      <c r="M80" s="667"/>
      <c r="N80" s="433" t="s">
        <v>21964</v>
      </c>
      <c r="O80" s="433">
        <v>1987.0</v>
      </c>
      <c r="P80" s="433" t="s">
        <v>388</v>
      </c>
      <c r="Q80" s="433">
        <v>1.0</v>
      </c>
    </row>
    <row r="81" ht="15.75" customHeight="1">
      <c r="B81" s="433">
        <v>76.0</v>
      </c>
      <c r="C81" s="433"/>
      <c r="D81" s="433"/>
      <c r="E81" s="434" t="s">
        <v>21967</v>
      </c>
      <c r="F81" s="433" t="s">
        <v>21832</v>
      </c>
      <c r="G81" s="433" t="s">
        <v>29</v>
      </c>
      <c r="H81" s="433" t="s">
        <v>6505</v>
      </c>
      <c r="I81" s="433"/>
      <c r="J81" s="433" t="s">
        <v>38</v>
      </c>
      <c r="K81" s="433"/>
      <c r="L81" s="433" t="s">
        <v>13582</v>
      </c>
      <c r="M81" s="667"/>
      <c r="N81" s="433" t="s">
        <v>21964</v>
      </c>
      <c r="O81" s="433">
        <v>1987.0</v>
      </c>
      <c r="P81" s="433" t="s">
        <v>388</v>
      </c>
      <c r="Q81" s="433">
        <v>1.0</v>
      </c>
    </row>
    <row r="82" ht="15.75" customHeight="1">
      <c r="B82" s="433">
        <v>77.0</v>
      </c>
      <c r="C82" s="433"/>
      <c r="D82" s="433"/>
      <c r="E82" s="434" t="s">
        <v>21968</v>
      </c>
      <c r="F82" s="433" t="s">
        <v>21832</v>
      </c>
      <c r="G82" s="433" t="s">
        <v>29</v>
      </c>
      <c r="H82" s="433" t="s">
        <v>6505</v>
      </c>
      <c r="I82" s="433"/>
      <c r="J82" s="433" t="s">
        <v>38</v>
      </c>
      <c r="K82" s="433"/>
      <c r="L82" s="433" t="s">
        <v>21453</v>
      </c>
      <c r="M82" s="667"/>
      <c r="N82" s="433" t="s">
        <v>21964</v>
      </c>
      <c r="O82" s="433">
        <v>1988.0</v>
      </c>
      <c r="P82" s="433" t="s">
        <v>388</v>
      </c>
      <c r="Q82" s="433">
        <v>1.0</v>
      </c>
    </row>
    <row r="83" ht="15.75" customHeight="1">
      <c r="B83" s="433">
        <v>78.0</v>
      </c>
      <c r="C83" s="433"/>
      <c r="D83" s="433"/>
      <c r="E83" s="434" t="s">
        <v>21969</v>
      </c>
      <c r="F83" s="433" t="s">
        <v>21832</v>
      </c>
      <c r="G83" s="433" t="s">
        <v>29</v>
      </c>
      <c r="H83" s="433" t="s">
        <v>6505</v>
      </c>
      <c r="I83" s="433"/>
      <c r="J83" s="433" t="s">
        <v>38</v>
      </c>
      <c r="K83" s="433"/>
      <c r="L83" s="433" t="s">
        <v>21970</v>
      </c>
      <c r="M83" s="667"/>
      <c r="N83" s="433" t="s">
        <v>21964</v>
      </c>
      <c r="O83" s="433">
        <v>1988.0</v>
      </c>
      <c r="P83" s="433" t="s">
        <v>388</v>
      </c>
      <c r="Q83" s="433">
        <v>1.0</v>
      </c>
    </row>
    <row r="84" ht="15.75" customHeight="1">
      <c r="B84" s="433">
        <v>79.0</v>
      </c>
      <c r="C84" s="433"/>
      <c r="D84" s="433"/>
      <c r="E84" s="434" t="s">
        <v>21971</v>
      </c>
      <c r="F84" s="433" t="s">
        <v>21832</v>
      </c>
      <c r="G84" s="433" t="s">
        <v>29</v>
      </c>
      <c r="H84" s="433" t="s">
        <v>6505</v>
      </c>
      <c r="I84" s="433"/>
      <c r="J84" s="433" t="s">
        <v>38</v>
      </c>
      <c r="K84" s="433"/>
      <c r="L84" s="433" t="s">
        <v>13582</v>
      </c>
      <c r="M84" s="667"/>
      <c r="N84" s="433" t="s">
        <v>21964</v>
      </c>
      <c r="O84" s="433">
        <v>1988.0</v>
      </c>
      <c r="P84" s="433" t="s">
        <v>388</v>
      </c>
      <c r="Q84" s="433">
        <v>1.0</v>
      </c>
    </row>
    <row r="85" ht="15.75" customHeight="1">
      <c r="B85" s="433">
        <v>80.0</v>
      </c>
      <c r="C85" s="433"/>
      <c r="D85" s="433"/>
      <c r="E85" s="434" t="s">
        <v>21972</v>
      </c>
      <c r="F85" s="433" t="s">
        <v>21832</v>
      </c>
      <c r="G85" s="433" t="s">
        <v>29</v>
      </c>
      <c r="H85" s="433" t="s">
        <v>6505</v>
      </c>
      <c r="I85" s="433"/>
      <c r="J85" s="433" t="s">
        <v>38</v>
      </c>
      <c r="K85" s="433"/>
      <c r="L85" s="433" t="s">
        <v>13582</v>
      </c>
      <c r="M85" s="667"/>
      <c r="N85" s="433" t="s">
        <v>21964</v>
      </c>
      <c r="O85" s="433">
        <v>1988.0</v>
      </c>
      <c r="P85" s="433" t="s">
        <v>388</v>
      </c>
      <c r="Q85" s="433">
        <v>1.0</v>
      </c>
    </row>
    <row r="86" ht="15.75" customHeight="1">
      <c r="B86" s="433">
        <v>81.0</v>
      </c>
      <c r="C86" s="433"/>
      <c r="D86" s="433"/>
      <c r="E86" s="434" t="s">
        <v>21973</v>
      </c>
      <c r="F86" s="433" t="s">
        <v>21832</v>
      </c>
      <c r="G86" s="433" t="s">
        <v>29</v>
      </c>
      <c r="H86" s="433" t="s">
        <v>6505</v>
      </c>
      <c r="I86" s="433"/>
      <c r="J86" s="433" t="s">
        <v>38</v>
      </c>
      <c r="K86" s="433"/>
      <c r="L86" s="433"/>
      <c r="M86" s="433"/>
      <c r="N86" s="433" t="s">
        <v>54</v>
      </c>
      <c r="O86" s="433">
        <v>1993.0</v>
      </c>
      <c r="P86" s="433" t="s">
        <v>388</v>
      </c>
      <c r="Q86" s="433">
        <v>1.0</v>
      </c>
    </row>
    <row r="87" ht="15.75" customHeight="1">
      <c r="B87" s="433">
        <v>82.0</v>
      </c>
      <c r="C87" s="433"/>
      <c r="D87" s="433"/>
      <c r="E87" s="434" t="s">
        <v>21974</v>
      </c>
      <c r="F87" s="433" t="s">
        <v>21832</v>
      </c>
      <c r="G87" s="433" t="s">
        <v>29</v>
      </c>
      <c r="H87" s="433" t="s">
        <v>6505</v>
      </c>
      <c r="I87" s="433"/>
      <c r="J87" s="433" t="s">
        <v>13317</v>
      </c>
      <c r="K87" s="433"/>
      <c r="L87" s="433" t="s">
        <v>13582</v>
      </c>
      <c r="M87" s="667"/>
      <c r="N87" s="433" t="s">
        <v>21975</v>
      </c>
      <c r="O87" s="433">
        <v>2007.0</v>
      </c>
      <c r="P87" s="433" t="s">
        <v>388</v>
      </c>
      <c r="Q87" s="433">
        <v>1.0</v>
      </c>
    </row>
    <row r="88" ht="15.75" customHeight="1">
      <c r="B88" s="433">
        <v>83.0</v>
      </c>
      <c r="C88" s="433"/>
      <c r="D88" s="433"/>
      <c r="E88" s="434" t="s">
        <v>21976</v>
      </c>
      <c r="F88" s="433" t="s">
        <v>21832</v>
      </c>
      <c r="G88" s="433" t="s">
        <v>29</v>
      </c>
      <c r="H88" s="433" t="s">
        <v>21977</v>
      </c>
      <c r="I88" s="433"/>
      <c r="J88" s="433" t="s">
        <v>21977</v>
      </c>
      <c r="K88" s="433"/>
      <c r="L88" s="433"/>
      <c r="M88" s="433"/>
      <c r="N88" s="433" t="s">
        <v>21978</v>
      </c>
      <c r="O88" s="433">
        <v>1979.0</v>
      </c>
      <c r="P88" s="433" t="s">
        <v>388</v>
      </c>
      <c r="Q88" s="433">
        <v>2.0</v>
      </c>
    </row>
    <row r="89" ht="15.75" customHeight="1">
      <c r="B89" s="433">
        <v>84.0</v>
      </c>
      <c r="C89" s="433"/>
      <c r="D89" s="433"/>
      <c r="E89" s="434" t="s">
        <v>21979</v>
      </c>
      <c r="F89" s="433" t="s">
        <v>21832</v>
      </c>
      <c r="G89" s="433" t="s">
        <v>29</v>
      </c>
      <c r="H89" s="433"/>
      <c r="I89" s="433"/>
      <c r="J89" s="433"/>
      <c r="K89" s="433"/>
      <c r="L89" s="433"/>
      <c r="M89" s="433"/>
      <c r="N89" s="433"/>
      <c r="O89" s="433"/>
      <c r="P89" s="433" t="s">
        <v>388</v>
      </c>
      <c r="Q89" s="433">
        <v>1.0</v>
      </c>
    </row>
    <row r="90" ht="15.75" customHeight="1">
      <c r="B90" s="433">
        <v>85.0</v>
      </c>
      <c r="C90" s="433"/>
      <c r="D90" s="433"/>
      <c r="E90" s="434" t="s">
        <v>21980</v>
      </c>
      <c r="F90" s="433" t="s">
        <v>21832</v>
      </c>
      <c r="G90" s="433" t="s">
        <v>29</v>
      </c>
      <c r="H90" s="433" t="s">
        <v>21981</v>
      </c>
      <c r="I90" s="433"/>
      <c r="J90" s="433" t="s">
        <v>166</v>
      </c>
      <c r="K90" s="433"/>
      <c r="L90" s="433"/>
      <c r="M90" s="433"/>
      <c r="N90" s="433" t="s">
        <v>54</v>
      </c>
      <c r="O90" s="433">
        <v>1993.0</v>
      </c>
      <c r="P90" s="433" t="s">
        <v>388</v>
      </c>
      <c r="Q90" s="433">
        <v>1.0</v>
      </c>
    </row>
    <row r="91" ht="15.75" customHeight="1">
      <c r="B91" s="433">
        <v>86.0</v>
      </c>
      <c r="C91" s="433"/>
      <c r="D91" s="433"/>
      <c r="E91" s="434" t="s">
        <v>21982</v>
      </c>
      <c r="F91" s="433" t="s">
        <v>21832</v>
      </c>
      <c r="G91" s="433" t="s">
        <v>29</v>
      </c>
      <c r="H91" s="433" t="s">
        <v>7816</v>
      </c>
      <c r="I91" s="433"/>
      <c r="J91" s="433" t="s">
        <v>7816</v>
      </c>
      <c r="K91" s="433"/>
      <c r="L91" s="433"/>
      <c r="M91" s="433"/>
      <c r="N91" s="433" t="s">
        <v>7817</v>
      </c>
      <c r="O91" s="433">
        <v>1972.0</v>
      </c>
      <c r="P91" s="433" t="s">
        <v>388</v>
      </c>
      <c r="Q91" s="433">
        <v>1.0</v>
      </c>
    </row>
    <row r="92" ht="15.75" customHeight="1">
      <c r="B92" s="433">
        <v>87.0</v>
      </c>
      <c r="C92" s="433"/>
      <c r="D92" s="433"/>
      <c r="E92" s="434" t="s">
        <v>21983</v>
      </c>
      <c r="F92" s="433" t="s">
        <v>21832</v>
      </c>
      <c r="G92" s="433" t="s">
        <v>29</v>
      </c>
      <c r="H92" s="433"/>
      <c r="I92" s="433"/>
      <c r="J92" s="433" t="s">
        <v>21956</v>
      </c>
      <c r="K92" s="433"/>
      <c r="L92" s="433"/>
      <c r="M92" s="433"/>
      <c r="N92" s="433" t="s">
        <v>21957</v>
      </c>
      <c r="O92" s="433">
        <v>1931.0</v>
      </c>
      <c r="P92" s="433" t="s">
        <v>388</v>
      </c>
      <c r="Q92" s="433">
        <v>1.0</v>
      </c>
    </row>
    <row r="93" ht="15.75" customHeight="1">
      <c r="B93" s="433">
        <v>88.0</v>
      </c>
      <c r="C93" s="433"/>
      <c r="D93" s="433"/>
      <c r="E93" s="434" t="s">
        <v>21984</v>
      </c>
      <c r="F93" s="433" t="s">
        <v>21832</v>
      </c>
      <c r="G93" s="433" t="s">
        <v>29</v>
      </c>
      <c r="H93" s="433"/>
      <c r="I93" s="433"/>
      <c r="J93" s="433"/>
      <c r="K93" s="433"/>
      <c r="L93" s="433" t="s">
        <v>13582</v>
      </c>
      <c r="M93" s="667"/>
      <c r="N93" s="433" t="s">
        <v>21985</v>
      </c>
      <c r="O93" s="433">
        <v>1987.0</v>
      </c>
      <c r="P93" s="433" t="s">
        <v>388</v>
      </c>
      <c r="Q93" s="433">
        <v>2.0</v>
      </c>
    </row>
    <row r="94" ht="15.75" customHeight="1">
      <c r="B94" s="433">
        <v>89.0</v>
      </c>
      <c r="C94" s="433"/>
      <c r="D94" s="433"/>
      <c r="E94" s="434" t="s">
        <v>21986</v>
      </c>
      <c r="F94" s="433" t="s">
        <v>21832</v>
      </c>
      <c r="G94" s="433" t="s">
        <v>29</v>
      </c>
      <c r="H94" s="433" t="s">
        <v>17760</v>
      </c>
      <c r="I94" s="433"/>
      <c r="J94" s="433" t="s">
        <v>17760</v>
      </c>
      <c r="K94" s="433"/>
      <c r="L94" s="433"/>
      <c r="M94" s="433"/>
      <c r="N94" s="433" t="s">
        <v>54</v>
      </c>
      <c r="O94" s="433">
        <v>1975.0</v>
      </c>
      <c r="P94" s="433" t="s">
        <v>388</v>
      </c>
      <c r="Q94" s="433">
        <v>1.0</v>
      </c>
    </row>
    <row r="95" ht="15.75" customHeight="1">
      <c r="B95" s="433">
        <v>90.0</v>
      </c>
      <c r="C95" s="433"/>
      <c r="D95" s="433"/>
      <c r="E95" s="434" t="s">
        <v>21987</v>
      </c>
      <c r="F95" s="433" t="s">
        <v>21832</v>
      </c>
      <c r="G95" s="433" t="s">
        <v>29</v>
      </c>
      <c r="H95" s="433" t="s">
        <v>6505</v>
      </c>
      <c r="I95" s="433"/>
      <c r="J95" s="433" t="s">
        <v>21988</v>
      </c>
      <c r="K95" s="433"/>
      <c r="L95" s="433"/>
      <c r="M95" s="433"/>
      <c r="N95" s="433"/>
      <c r="O95" s="433">
        <v>1953.0</v>
      </c>
      <c r="P95" s="433" t="s">
        <v>388</v>
      </c>
      <c r="Q95" s="433">
        <v>1.0</v>
      </c>
    </row>
    <row r="96" ht="15.75" customHeight="1">
      <c r="B96" s="433">
        <v>91.0</v>
      </c>
      <c r="C96" s="433"/>
      <c r="D96" s="433"/>
      <c r="E96" s="434" t="s">
        <v>21989</v>
      </c>
      <c r="F96" s="433" t="s">
        <v>21832</v>
      </c>
      <c r="G96" s="433" t="s">
        <v>29</v>
      </c>
      <c r="H96" s="433"/>
      <c r="I96" s="433"/>
      <c r="J96" s="433"/>
      <c r="K96" s="433"/>
      <c r="L96" s="433"/>
      <c r="M96" s="433"/>
      <c r="N96" s="433"/>
      <c r="O96" s="433"/>
      <c r="P96" s="433" t="s">
        <v>388</v>
      </c>
      <c r="Q96" s="433">
        <v>2.0</v>
      </c>
    </row>
    <row r="97" ht="15.75" customHeight="1">
      <c r="B97" s="433">
        <v>92.0</v>
      </c>
      <c r="C97" s="433"/>
      <c r="D97" s="433"/>
      <c r="E97" s="434" t="s">
        <v>21990</v>
      </c>
      <c r="F97" s="433" t="s">
        <v>21832</v>
      </c>
      <c r="G97" s="433" t="s">
        <v>29</v>
      </c>
      <c r="H97" s="433"/>
      <c r="I97" s="433"/>
      <c r="J97" s="433" t="s">
        <v>38</v>
      </c>
      <c r="K97" s="433">
        <v>40.0</v>
      </c>
      <c r="L97" s="433"/>
      <c r="M97" s="433"/>
      <c r="N97" s="433" t="s">
        <v>21991</v>
      </c>
      <c r="O97" s="433">
        <v>1983.0</v>
      </c>
      <c r="P97" s="433" t="s">
        <v>388</v>
      </c>
      <c r="Q97" s="433">
        <v>1.0</v>
      </c>
    </row>
    <row r="98" ht="15.75" customHeight="1">
      <c r="B98" s="433">
        <v>93.0</v>
      </c>
      <c r="C98" s="433"/>
      <c r="D98" s="433"/>
      <c r="E98" s="434" t="s">
        <v>21992</v>
      </c>
      <c r="F98" s="433" t="s">
        <v>21832</v>
      </c>
      <c r="G98" s="433" t="s">
        <v>29</v>
      </c>
      <c r="H98" s="433" t="s">
        <v>21993</v>
      </c>
      <c r="I98" s="433"/>
      <c r="J98" s="433" t="s">
        <v>38</v>
      </c>
      <c r="K98" s="433">
        <v>41.0</v>
      </c>
      <c r="L98" s="433" t="s">
        <v>13582</v>
      </c>
      <c r="M98" s="667"/>
      <c r="N98" s="433" t="s">
        <v>21994</v>
      </c>
      <c r="O98" s="433">
        <v>1973.0</v>
      </c>
      <c r="P98" s="433" t="s">
        <v>388</v>
      </c>
      <c r="Q98" s="433">
        <v>1.0</v>
      </c>
    </row>
    <row r="99" ht="15.75" customHeight="1">
      <c r="B99" s="433">
        <v>94.0</v>
      </c>
      <c r="C99" s="433"/>
      <c r="D99" s="433"/>
      <c r="E99" s="434" t="s">
        <v>21995</v>
      </c>
      <c r="F99" s="433" t="s">
        <v>21832</v>
      </c>
      <c r="G99" s="433" t="s">
        <v>29</v>
      </c>
      <c r="H99" s="433" t="s">
        <v>21993</v>
      </c>
      <c r="I99" s="433"/>
      <c r="J99" s="433" t="s">
        <v>38</v>
      </c>
      <c r="K99" s="433">
        <v>24.0</v>
      </c>
      <c r="L99" s="433" t="s">
        <v>13582</v>
      </c>
      <c r="M99" s="667"/>
      <c r="N99" s="433" t="s">
        <v>21994</v>
      </c>
      <c r="O99" s="433">
        <v>1971.0</v>
      </c>
      <c r="P99" s="433" t="s">
        <v>388</v>
      </c>
      <c r="Q99" s="433">
        <v>1.0</v>
      </c>
    </row>
    <row r="100" ht="15.75" customHeight="1">
      <c r="B100" s="433">
        <v>95.0</v>
      </c>
      <c r="C100" s="433"/>
      <c r="D100" s="433"/>
      <c r="E100" s="434" t="s">
        <v>21996</v>
      </c>
      <c r="F100" s="433" t="s">
        <v>21832</v>
      </c>
      <c r="G100" s="433" t="s">
        <v>29</v>
      </c>
      <c r="H100" s="433" t="s">
        <v>21997</v>
      </c>
      <c r="I100" s="433"/>
      <c r="J100" s="433" t="s">
        <v>5987</v>
      </c>
      <c r="K100" s="433">
        <v>74.0</v>
      </c>
      <c r="L100" s="433" t="s">
        <v>21998</v>
      </c>
      <c r="M100" s="667"/>
      <c r="N100" s="433"/>
      <c r="O100" s="433"/>
      <c r="P100" s="433" t="s">
        <v>388</v>
      </c>
      <c r="Q100" s="433">
        <v>1.0</v>
      </c>
    </row>
    <row r="101" ht="15.75" customHeight="1">
      <c r="B101" s="433">
        <v>96.0</v>
      </c>
      <c r="C101" s="433"/>
      <c r="D101" s="433"/>
      <c r="E101" s="434" t="s">
        <v>21999</v>
      </c>
      <c r="F101" s="433" t="s">
        <v>21832</v>
      </c>
      <c r="G101" s="433" t="s">
        <v>29</v>
      </c>
      <c r="H101" s="433" t="s">
        <v>81</v>
      </c>
      <c r="I101" s="433"/>
      <c r="J101" s="433" t="s">
        <v>22000</v>
      </c>
      <c r="K101" s="433">
        <v>207.0</v>
      </c>
      <c r="L101" s="433" t="s">
        <v>13582</v>
      </c>
      <c r="M101" s="667"/>
      <c r="N101" s="433" t="s">
        <v>22001</v>
      </c>
      <c r="O101" s="433">
        <v>1976.0</v>
      </c>
      <c r="P101" s="433" t="s">
        <v>388</v>
      </c>
      <c r="Q101" s="433">
        <v>1.0</v>
      </c>
    </row>
    <row r="102" ht="15.75" customHeight="1">
      <c r="B102" s="433">
        <v>97.0</v>
      </c>
      <c r="C102" s="433"/>
      <c r="D102" s="433"/>
      <c r="E102" s="434" t="s">
        <v>22002</v>
      </c>
      <c r="F102" s="433" t="s">
        <v>21832</v>
      </c>
      <c r="G102" s="433" t="s">
        <v>29</v>
      </c>
      <c r="H102" s="433" t="s">
        <v>21936</v>
      </c>
      <c r="I102" s="433"/>
      <c r="J102" s="433" t="s">
        <v>38</v>
      </c>
      <c r="K102" s="433">
        <v>86.0</v>
      </c>
      <c r="L102" s="667"/>
      <c r="M102" s="433" t="s">
        <v>22003</v>
      </c>
      <c r="N102" s="433" t="s">
        <v>54</v>
      </c>
      <c r="O102" s="433">
        <v>1964.0</v>
      </c>
      <c r="P102" s="433" t="s">
        <v>388</v>
      </c>
      <c r="Q102" s="433">
        <v>3.0</v>
      </c>
    </row>
    <row r="103" ht="15.75" customHeight="1">
      <c r="B103" s="433">
        <v>98.0</v>
      </c>
      <c r="C103" s="433"/>
      <c r="D103" s="433"/>
      <c r="E103" s="434" t="s">
        <v>22004</v>
      </c>
      <c r="F103" s="433" t="s">
        <v>21832</v>
      </c>
      <c r="G103" s="433" t="s">
        <v>29</v>
      </c>
      <c r="H103" s="433" t="s">
        <v>21936</v>
      </c>
      <c r="I103" s="433"/>
      <c r="J103" s="433" t="s">
        <v>38</v>
      </c>
      <c r="K103" s="433">
        <v>81.0</v>
      </c>
      <c r="L103" s="667"/>
      <c r="M103" s="433" t="s">
        <v>22003</v>
      </c>
      <c r="N103" s="433" t="s">
        <v>54</v>
      </c>
      <c r="O103" s="433">
        <v>1965.0</v>
      </c>
      <c r="P103" s="433" t="s">
        <v>388</v>
      </c>
      <c r="Q103" s="433">
        <v>2.0</v>
      </c>
    </row>
    <row r="104" ht="15.75" customHeight="1">
      <c r="B104" s="433">
        <v>99.0</v>
      </c>
      <c r="C104" s="433"/>
      <c r="D104" s="433"/>
      <c r="E104" s="434" t="s">
        <v>22005</v>
      </c>
      <c r="F104" s="433" t="s">
        <v>21832</v>
      </c>
      <c r="G104" s="433" t="s">
        <v>29</v>
      </c>
      <c r="H104" s="433" t="s">
        <v>21936</v>
      </c>
      <c r="I104" s="433"/>
      <c r="J104" s="433" t="s">
        <v>38</v>
      </c>
      <c r="K104" s="433">
        <v>52.0</v>
      </c>
      <c r="L104" s="667"/>
      <c r="M104" s="433" t="s">
        <v>22003</v>
      </c>
      <c r="N104" s="433" t="s">
        <v>54</v>
      </c>
      <c r="O104" s="433">
        <v>1964.0</v>
      </c>
      <c r="P104" s="433" t="s">
        <v>388</v>
      </c>
      <c r="Q104" s="433">
        <v>3.0</v>
      </c>
    </row>
    <row r="105" ht="15.75" customHeight="1">
      <c r="B105" s="433">
        <v>100.0</v>
      </c>
      <c r="C105" s="433"/>
      <c r="D105" s="433"/>
      <c r="E105" s="434" t="s">
        <v>22006</v>
      </c>
      <c r="F105" s="433" t="s">
        <v>21832</v>
      </c>
      <c r="G105" s="433" t="s">
        <v>29</v>
      </c>
      <c r="H105" s="433" t="s">
        <v>5395</v>
      </c>
      <c r="I105" s="433"/>
      <c r="J105" s="433" t="s">
        <v>38</v>
      </c>
      <c r="K105" s="433">
        <v>122.0</v>
      </c>
      <c r="L105" s="667"/>
      <c r="M105" s="433" t="s">
        <v>22003</v>
      </c>
      <c r="N105" s="433" t="s">
        <v>22007</v>
      </c>
      <c r="O105" s="433">
        <v>2000.0</v>
      </c>
      <c r="P105" s="433" t="s">
        <v>388</v>
      </c>
      <c r="Q105" s="433">
        <v>1.0</v>
      </c>
    </row>
    <row r="106" ht="15.75" customHeight="1">
      <c r="B106" s="433">
        <v>101.0</v>
      </c>
      <c r="C106" s="433"/>
      <c r="D106" s="433"/>
      <c r="E106" s="434" t="s">
        <v>22008</v>
      </c>
      <c r="F106" s="433" t="s">
        <v>21832</v>
      </c>
      <c r="G106" s="433" t="s">
        <v>29</v>
      </c>
      <c r="H106" s="433" t="s">
        <v>5395</v>
      </c>
      <c r="I106" s="433"/>
      <c r="J106" s="433" t="s">
        <v>38</v>
      </c>
      <c r="K106" s="433">
        <v>48.0</v>
      </c>
      <c r="L106" s="667"/>
      <c r="M106" s="433" t="s">
        <v>22003</v>
      </c>
      <c r="N106" s="433" t="s">
        <v>22009</v>
      </c>
      <c r="O106" s="433">
        <v>1965.0</v>
      </c>
      <c r="P106" s="433" t="s">
        <v>388</v>
      </c>
      <c r="Q106" s="433">
        <v>3.0</v>
      </c>
    </row>
    <row r="107" ht="15.75" customHeight="1">
      <c r="B107" s="433">
        <v>102.0</v>
      </c>
      <c r="C107" s="433"/>
      <c r="D107" s="433"/>
      <c r="E107" s="434" t="s">
        <v>22010</v>
      </c>
      <c r="F107" s="433" t="s">
        <v>21832</v>
      </c>
      <c r="G107" s="433" t="s">
        <v>29</v>
      </c>
      <c r="H107" s="433" t="s">
        <v>5395</v>
      </c>
      <c r="I107" s="433"/>
      <c r="J107" s="433" t="s">
        <v>38</v>
      </c>
      <c r="K107" s="433">
        <v>35.0</v>
      </c>
      <c r="L107" s="667"/>
      <c r="M107" s="433" t="s">
        <v>22003</v>
      </c>
      <c r="N107" s="433" t="s">
        <v>22009</v>
      </c>
      <c r="O107" s="433">
        <v>1964.0</v>
      </c>
      <c r="P107" s="433" t="s">
        <v>388</v>
      </c>
      <c r="Q107" s="433">
        <v>1.0</v>
      </c>
    </row>
    <row r="108" ht="15.75" customHeight="1">
      <c r="B108" s="433">
        <v>103.0</v>
      </c>
      <c r="C108" s="433"/>
      <c r="D108" s="433"/>
      <c r="E108" s="434" t="s">
        <v>22011</v>
      </c>
      <c r="F108" s="433" t="s">
        <v>21832</v>
      </c>
      <c r="G108" s="433" t="s">
        <v>29</v>
      </c>
      <c r="H108" s="433" t="s">
        <v>5747</v>
      </c>
      <c r="I108" s="433"/>
      <c r="J108" s="433" t="s">
        <v>5747</v>
      </c>
      <c r="K108" s="433"/>
      <c r="L108" s="433"/>
      <c r="M108" s="433"/>
      <c r="N108" s="433"/>
      <c r="O108" s="433">
        <v>1989.0</v>
      </c>
      <c r="P108" s="433" t="s">
        <v>388</v>
      </c>
      <c r="Q108" s="433">
        <v>1.0</v>
      </c>
    </row>
    <row r="109" ht="15.75" customHeight="1">
      <c r="B109" s="433">
        <v>104.0</v>
      </c>
      <c r="C109" s="433"/>
      <c r="D109" s="433"/>
      <c r="E109" s="434" t="s">
        <v>22012</v>
      </c>
      <c r="F109" s="433" t="s">
        <v>21832</v>
      </c>
      <c r="G109" s="433" t="s">
        <v>29</v>
      </c>
      <c r="H109" s="433" t="s">
        <v>5747</v>
      </c>
      <c r="I109" s="433"/>
      <c r="J109" s="433" t="s">
        <v>5747</v>
      </c>
      <c r="K109" s="433"/>
      <c r="L109" s="433"/>
      <c r="M109" s="433"/>
      <c r="N109" s="433"/>
      <c r="O109" s="433">
        <v>1989.0</v>
      </c>
      <c r="P109" s="433" t="s">
        <v>388</v>
      </c>
      <c r="Q109" s="433">
        <v>1.0</v>
      </c>
    </row>
    <row r="110" ht="15.75" customHeight="1">
      <c r="B110" s="433">
        <v>105.0</v>
      </c>
      <c r="C110" s="433"/>
      <c r="D110" s="433"/>
      <c r="E110" s="434" t="s">
        <v>22013</v>
      </c>
      <c r="F110" s="433" t="s">
        <v>21832</v>
      </c>
      <c r="G110" s="433" t="s">
        <v>29</v>
      </c>
      <c r="H110" s="433" t="s">
        <v>5747</v>
      </c>
      <c r="I110" s="433"/>
      <c r="J110" s="433" t="s">
        <v>5747</v>
      </c>
      <c r="K110" s="433"/>
      <c r="L110" s="433"/>
      <c r="M110" s="433"/>
      <c r="N110" s="433"/>
      <c r="O110" s="433">
        <v>1986.0</v>
      </c>
      <c r="P110" s="433" t="s">
        <v>388</v>
      </c>
      <c r="Q110" s="433">
        <v>1.0</v>
      </c>
    </row>
    <row r="111" ht="15.75" customHeight="1">
      <c r="B111" s="433">
        <v>106.0</v>
      </c>
      <c r="C111" s="433"/>
      <c r="D111" s="433"/>
      <c r="E111" s="434" t="s">
        <v>22014</v>
      </c>
      <c r="F111" s="433" t="s">
        <v>21832</v>
      </c>
      <c r="G111" s="433" t="s">
        <v>29</v>
      </c>
      <c r="H111" s="433" t="s">
        <v>5747</v>
      </c>
      <c r="I111" s="433"/>
      <c r="J111" s="433" t="s">
        <v>5747</v>
      </c>
      <c r="K111" s="433"/>
      <c r="L111" s="433" t="s">
        <v>13582</v>
      </c>
      <c r="M111" s="667"/>
      <c r="N111" s="433"/>
      <c r="O111" s="433"/>
      <c r="P111" s="433" t="s">
        <v>388</v>
      </c>
      <c r="Q111" s="433">
        <v>1.0</v>
      </c>
    </row>
    <row r="112" ht="15.75" customHeight="1">
      <c r="B112" s="433">
        <v>107.0</v>
      </c>
      <c r="C112" s="433"/>
      <c r="D112" s="433"/>
      <c r="E112" s="434" t="s">
        <v>22015</v>
      </c>
      <c r="F112" s="433" t="s">
        <v>21832</v>
      </c>
      <c r="G112" s="433" t="s">
        <v>29</v>
      </c>
      <c r="H112" s="433" t="s">
        <v>30</v>
      </c>
      <c r="I112" s="433"/>
      <c r="J112" s="433" t="s">
        <v>30</v>
      </c>
      <c r="K112" s="433">
        <v>53.0</v>
      </c>
      <c r="L112" s="667"/>
      <c r="M112" s="433" t="s">
        <v>22016</v>
      </c>
      <c r="N112" s="433" t="s">
        <v>22017</v>
      </c>
      <c r="O112" s="433"/>
      <c r="P112" s="433" t="s">
        <v>388</v>
      </c>
      <c r="Q112" s="433">
        <v>1.0</v>
      </c>
    </row>
    <row r="113" ht="15.75" customHeight="1">
      <c r="B113" s="433">
        <v>108.0</v>
      </c>
      <c r="C113" s="433"/>
      <c r="D113" s="433"/>
      <c r="E113" s="434" t="s">
        <v>22018</v>
      </c>
      <c r="F113" s="433" t="s">
        <v>21832</v>
      </c>
      <c r="G113" s="433" t="s">
        <v>29</v>
      </c>
      <c r="H113" s="433" t="s">
        <v>5747</v>
      </c>
      <c r="I113" s="433"/>
      <c r="J113" s="433" t="s">
        <v>22019</v>
      </c>
      <c r="K113" s="433"/>
      <c r="L113" s="433" t="s">
        <v>22020</v>
      </c>
      <c r="M113" s="667"/>
      <c r="N113" s="433"/>
      <c r="O113" s="433">
        <v>1966.0</v>
      </c>
      <c r="P113" s="433" t="s">
        <v>388</v>
      </c>
      <c r="Q113" s="433">
        <v>1.0</v>
      </c>
    </row>
    <row r="114" ht="15.75" customHeight="1">
      <c r="B114" s="433">
        <v>109.0</v>
      </c>
      <c r="C114" s="433"/>
      <c r="D114" s="433"/>
      <c r="E114" s="434" t="s">
        <v>22021</v>
      </c>
      <c r="F114" s="433" t="s">
        <v>21832</v>
      </c>
      <c r="G114" s="433" t="s">
        <v>29</v>
      </c>
      <c r="H114" s="433" t="s">
        <v>5747</v>
      </c>
      <c r="I114" s="433"/>
      <c r="J114" s="433" t="s">
        <v>22019</v>
      </c>
      <c r="K114" s="433"/>
      <c r="L114" s="433" t="s">
        <v>22020</v>
      </c>
      <c r="M114" s="667"/>
      <c r="N114" s="433"/>
      <c r="O114" s="433">
        <v>1967.0</v>
      </c>
      <c r="P114" s="433" t="s">
        <v>388</v>
      </c>
      <c r="Q114" s="433">
        <v>1.0</v>
      </c>
    </row>
    <row r="115" ht="15.75" customHeight="1">
      <c r="B115" s="433">
        <v>110.0</v>
      </c>
      <c r="C115" s="433"/>
      <c r="D115" s="433"/>
      <c r="E115" s="434" t="s">
        <v>22022</v>
      </c>
      <c r="F115" s="433" t="s">
        <v>21832</v>
      </c>
      <c r="G115" s="433" t="s">
        <v>29</v>
      </c>
      <c r="H115" s="433" t="s">
        <v>5747</v>
      </c>
      <c r="I115" s="433"/>
      <c r="J115" s="433" t="s">
        <v>22019</v>
      </c>
      <c r="K115" s="433"/>
      <c r="L115" s="433" t="s">
        <v>22020</v>
      </c>
      <c r="M115" s="667"/>
      <c r="N115" s="433"/>
      <c r="O115" s="433">
        <v>1967.0</v>
      </c>
      <c r="P115" s="433" t="s">
        <v>388</v>
      </c>
      <c r="Q115" s="433">
        <v>1.0</v>
      </c>
    </row>
    <row r="116" ht="15.75" customHeight="1">
      <c r="B116" s="433">
        <v>111.0</v>
      </c>
      <c r="C116" s="433"/>
      <c r="D116" s="433"/>
      <c r="E116" s="434" t="s">
        <v>22023</v>
      </c>
      <c r="F116" s="433" t="s">
        <v>21832</v>
      </c>
      <c r="G116" s="433" t="s">
        <v>29</v>
      </c>
      <c r="H116" s="433" t="s">
        <v>5747</v>
      </c>
      <c r="I116" s="433"/>
      <c r="J116" s="433" t="s">
        <v>22019</v>
      </c>
      <c r="K116" s="433"/>
      <c r="L116" s="433" t="s">
        <v>22020</v>
      </c>
      <c r="M116" s="667"/>
      <c r="N116" s="433"/>
      <c r="O116" s="433">
        <v>1967.0</v>
      </c>
      <c r="P116" s="433" t="s">
        <v>388</v>
      </c>
      <c r="Q116" s="433">
        <v>1.0</v>
      </c>
    </row>
    <row r="117" ht="15.75" customHeight="1">
      <c r="B117" s="433">
        <v>112.0</v>
      </c>
      <c r="C117" s="433"/>
      <c r="D117" s="433"/>
      <c r="E117" s="434" t="s">
        <v>22024</v>
      </c>
      <c r="F117" s="433" t="s">
        <v>21832</v>
      </c>
      <c r="G117" s="433" t="s">
        <v>29</v>
      </c>
      <c r="H117" s="433" t="s">
        <v>5747</v>
      </c>
      <c r="I117" s="433"/>
      <c r="J117" s="433" t="s">
        <v>22019</v>
      </c>
      <c r="K117" s="433"/>
      <c r="L117" s="433" t="s">
        <v>22020</v>
      </c>
      <c r="M117" s="667"/>
      <c r="N117" s="433"/>
      <c r="O117" s="433">
        <v>1967.0</v>
      </c>
      <c r="P117" s="433" t="s">
        <v>388</v>
      </c>
      <c r="Q117" s="433">
        <v>1.0</v>
      </c>
    </row>
    <row r="118" ht="15.75" customHeight="1">
      <c r="B118" s="433">
        <v>113.0</v>
      </c>
      <c r="C118" s="433"/>
      <c r="D118" s="433"/>
      <c r="E118" s="434" t="s">
        <v>22025</v>
      </c>
      <c r="F118" s="433" t="s">
        <v>21832</v>
      </c>
      <c r="G118" s="433" t="s">
        <v>29</v>
      </c>
      <c r="H118" s="433" t="s">
        <v>5747</v>
      </c>
      <c r="I118" s="433"/>
      <c r="J118" s="433" t="s">
        <v>22019</v>
      </c>
      <c r="K118" s="433"/>
      <c r="L118" s="433" t="s">
        <v>22020</v>
      </c>
      <c r="M118" s="667"/>
      <c r="N118" s="433"/>
      <c r="O118" s="433">
        <v>1967.0</v>
      </c>
      <c r="P118" s="433" t="s">
        <v>388</v>
      </c>
      <c r="Q118" s="433">
        <v>1.0</v>
      </c>
    </row>
    <row r="119" ht="15.75" customHeight="1">
      <c r="B119" s="433">
        <v>114.0</v>
      </c>
      <c r="C119" s="433"/>
      <c r="D119" s="433"/>
      <c r="E119" s="434" t="s">
        <v>22026</v>
      </c>
      <c r="F119" s="433" t="s">
        <v>21832</v>
      </c>
      <c r="G119" s="433" t="s">
        <v>29</v>
      </c>
      <c r="H119" s="433" t="s">
        <v>5747</v>
      </c>
      <c r="I119" s="433"/>
      <c r="J119" s="433" t="s">
        <v>22019</v>
      </c>
      <c r="K119" s="433"/>
      <c r="L119" s="433" t="s">
        <v>22020</v>
      </c>
      <c r="M119" s="667"/>
      <c r="N119" s="433"/>
      <c r="O119" s="433">
        <v>1967.0</v>
      </c>
      <c r="P119" s="433" t="s">
        <v>388</v>
      </c>
      <c r="Q119" s="433">
        <v>1.0</v>
      </c>
    </row>
    <row r="120" ht="15.75" customHeight="1">
      <c r="B120" s="433">
        <v>115.0</v>
      </c>
      <c r="C120" s="433"/>
      <c r="D120" s="433"/>
      <c r="E120" s="434" t="s">
        <v>22027</v>
      </c>
      <c r="F120" s="433" t="s">
        <v>21832</v>
      </c>
      <c r="G120" s="433" t="s">
        <v>29</v>
      </c>
      <c r="H120" s="433" t="s">
        <v>5747</v>
      </c>
      <c r="I120" s="433"/>
      <c r="J120" s="433" t="s">
        <v>22019</v>
      </c>
      <c r="K120" s="433"/>
      <c r="L120" s="433" t="s">
        <v>22020</v>
      </c>
      <c r="M120" s="667"/>
      <c r="N120" s="433"/>
      <c r="O120" s="433">
        <v>1968.0</v>
      </c>
      <c r="P120" s="433" t="s">
        <v>388</v>
      </c>
      <c r="Q120" s="433">
        <v>1.0</v>
      </c>
    </row>
    <row r="121" ht="15.75" customHeight="1">
      <c r="B121" s="433">
        <v>116.0</v>
      </c>
      <c r="C121" s="433"/>
      <c r="D121" s="433"/>
      <c r="E121" s="434" t="s">
        <v>22028</v>
      </c>
      <c r="F121" s="433" t="s">
        <v>21832</v>
      </c>
      <c r="G121" s="433" t="s">
        <v>29</v>
      </c>
      <c r="H121" s="433" t="s">
        <v>5747</v>
      </c>
      <c r="I121" s="433"/>
      <c r="J121" s="433" t="s">
        <v>22019</v>
      </c>
      <c r="K121" s="433"/>
      <c r="L121" s="433" t="s">
        <v>22029</v>
      </c>
      <c r="M121" s="667"/>
      <c r="N121" s="433"/>
      <c r="O121" s="433">
        <v>1968.0</v>
      </c>
      <c r="P121" s="433" t="s">
        <v>388</v>
      </c>
      <c r="Q121" s="433">
        <v>1.0</v>
      </c>
    </row>
    <row r="122" ht="15.75" customHeight="1">
      <c r="B122" s="433">
        <v>117.0</v>
      </c>
      <c r="C122" s="433"/>
      <c r="D122" s="433"/>
      <c r="E122" s="434" t="s">
        <v>22030</v>
      </c>
      <c r="F122" s="433" t="s">
        <v>21832</v>
      </c>
      <c r="G122" s="433" t="s">
        <v>29</v>
      </c>
      <c r="H122" s="433" t="s">
        <v>5747</v>
      </c>
      <c r="I122" s="433"/>
      <c r="J122" s="433" t="s">
        <v>22019</v>
      </c>
      <c r="K122" s="433"/>
      <c r="L122" s="433" t="s">
        <v>22029</v>
      </c>
      <c r="M122" s="667"/>
      <c r="N122" s="433"/>
      <c r="O122" s="433">
        <v>1968.0</v>
      </c>
      <c r="P122" s="433" t="s">
        <v>388</v>
      </c>
      <c r="Q122" s="433">
        <v>1.0</v>
      </c>
    </row>
    <row r="123" ht="15.75" customHeight="1">
      <c r="B123" s="433">
        <v>118.0</v>
      </c>
      <c r="C123" s="433"/>
      <c r="D123" s="433"/>
      <c r="E123" s="434" t="s">
        <v>22031</v>
      </c>
      <c r="F123" s="433" t="s">
        <v>21832</v>
      </c>
      <c r="G123" s="433" t="s">
        <v>29</v>
      </c>
      <c r="H123" s="433" t="s">
        <v>5747</v>
      </c>
      <c r="I123" s="433"/>
      <c r="J123" s="433" t="s">
        <v>22019</v>
      </c>
      <c r="K123" s="433"/>
      <c r="L123" s="433" t="s">
        <v>22029</v>
      </c>
      <c r="M123" s="667"/>
      <c r="N123" s="433"/>
      <c r="O123" s="433">
        <v>1969.0</v>
      </c>
      <c r="P123" s="433" t="s">
        <v>388</v>
      </c>
      <c r="Q123" s="433">
        <v>1.0</v>
      </c>
    </row>
    <row r="124" ht="15.75" customHeight="1">
      <c r="B124" s="433">
        <v>119.0</v>
      </c>
      <c r="C124" s="433"/>
      <c r="D124" s="433"/>
      <c r="E124" s="434" t="s">
        <v>22032</v>
      </c>
      <c r="F124" s="433" t="s">
        <v>21832</v>
      </c>
      <c r="G124" s="433" t="s">
        <v>29</v>
      </c>
      <c r="H124" s="433" t="s">
        <v>5747</v>
      </c>
      <c r="I124" s="433"/>
      <c r="J124" s="433" t="s">
        <v>22019</v>
      </c>
      <c r="K124" s="433"/>
      <c r="L124" s="433" t="s">
        <v>22029</v>
      </c>
      <c r="M124" s="667"/>
      <c r="N124" s="433"/>
      <c r="O124" s="433">
        <v>1969.0</v>
      </c>
      <c r="P124" s="433" t="s">
        <v>388</v>
      </c>
      <c r="Q124" s="433">
        <v>1.0</v>
      </c>
    </row>
    <row r="125" ht="15.75" customHeight="1">
      <c r="B125" s="433">
        <v>120.0</v>
      </c>
      <c r="C125" s="433"/>
      <c r="D125" s="433"/>
      <c r="E125" s="434" t="s">
        <v>22033</v>
      </c>
      <c r="F125" s="433" t="s">
        <v>21832</v>
      </c>
      <c r="G125" s="433" t="s">
        <v>29</v>
      </c>
      <c r="H125" s="433" t="s">
        <v>5747</v>
      </c>
      <c r="I125" s="433"/>
      <c r="J125" s="433" t="s">
        <v>22019</v>
      </c>
      <c r="K125" s="433"/>
      <c r="L125" s="433" t="s">
        <v>22020</v>
      </c>
      <c r="M125" s="667"/>
      <c r="N125" s="433"/>
      <c r="O125" s="433">
        <v>1969.0</v>
      </c>
      <c r="P125" s="433" t="s">
        <v>388</v>
      </c>
      <c r="Q125" s="433">
        <v>1.0</v>
      </c>
    </row>
    <row r="126" ht="15.75" customHeight="1">
      <c r="B126" s="433">
        <v>121.0</v>
      </c>
      <c r="C126" s="433"/>
      <c r="D126" s="433"/>
      <c r="E126" s="434" t="s">
        <v>22028</v>
      </c>
      <c r="F126" s="433" t="s">
        <v>21832</v>
      </c>
      <c r="G126" s="433" t="s">
        <v>29</v>
      </c>
      <c r="H126" s="433" t="s">
        <v>5747</v>
      </c>
      <c r="I126" s="433"/>
      <c r="J126" s="433" t="s">
        <v>22019</v>
      </c>
      <c r="K126" s="577"/>
      <c r="L126" s="433" t="s">
        <v>22020</v>
      </c>
      <c r="M126" s="667"/>
      <c r="N126" s="433"/>
      <c r="O126" s="433">
        <v>1969.0</v>
      </c>
      <c r="P126" s="433" t="s">
        <v>388</v>
      </c>
      <c r="Q126" s="433">
        <v>1.0</v>
      </c>
    </row>
    <row r="127" ht="15.75" customHeight="1">
      <c r="B127" s="433">
        <v>122.0</v>
      </c>
      <c r="C127" s="433"/>
      <c r="D127" s="433"/>
      <c r="E127" s="434" t="s">
        <v>22034</v>
      </c>
      <c r="F127" s="433" t="s">
        <v>21832</v>
      </c>
      <c r="G127" s="433" t="s">
        <v>29</v>
      </c>
      <c r="H127" s="433" t="s">
        <v>5747</v>
      </c>
      <c r="I127" s="433"/>
      <c r="J127" s="433" t="s">
        <v>22019</v>
      </c>
      <c r="K127" s="433"/>
      <c r="L127" s="433" t="s">
        <v>22020</v>
      </c>
      <c r="M127" s="667"/>
      <c r="N127" s="433"/>
      <c r="O127" s="433">
        <v>1969.0</v>
      </c>
      <c r="P127" s="433" t="s">
        <v>388</v>
      </c>
      <c r="Q127" s="433">
        <v>1.0</v>
      </c>
    </row>
    <row r="128" ht="15.75" customHeight="1">
      <c r="B128" s="433">
        <v>123.0</v>
      </c>
      <c r="C128" s="433"/>
      <c r="D128" s="433"/>
      <c r="E128" s="434" t="s">
        <v>22035</v>
      </c>
      <c r="F128" s="433" t="s">
        <v>21832</v>
      </c>
      <c r="G128" s="433" t="s">
        <v>29</v>
      </c>
      <c r="H128" s="433" t="s">
        <v>5747</v>
      </c>
      <c r="I128" s="433"/>
      <c r="J128" s="433" t="s">
        <v>22019</v>
      </c>
      <c r="K128" s="433"/>
      <c r="L128" s="433" t="s">
        <v>22020</v>
      </c>
      <c r="M128" s="667"/>
      <c r="N128" s="433"/>
      <c r="O128" s="433">
        <v>1969.0</v>
      </c>
      <c r="P128" s="433" t="s">
        <v>388</v>
      </c>
      <c r="Q128" s="433">
        <v>1.0</v>
      </c>
    </row>
    <row r="129" ht="15.75" customHeight="1">
      <c r="B129" s="433">
        <v>124.0</v>
      </c>
      <c r="C129" s="433"/>
      <c r="D129" s="433"/>
      <c r="E129" s="434" t="s">
        <v>22036</v>
      </c>
      <c r="F129" s="433" t="s">
        <v>21832</v>
      </c>
      <c r="G129" s="433" t="s">
        <v>29</v>
      </c>
      <c r="H129" s="433" t="s">
        <v>5747</v>
      </c>
      <c r="I129" s="433"/>
      <c r="J129" s="433" t="s">
        <v>22019</v>
      </c>
      <c r="K129" s="433"/>
      <c r="L129" s="433" t="s">
        <v>22020</v>
      </c>
      <c r="M129" s="667"/>
      <c r="N129" s="433"/>
      <c r="O129" s="433">
        <v>1969.0</v>
      </c>
      <c r="P129" s="433" t="s">
        <v>388</v>
      </c>
      <c r="Q129" s="433">
        <v>1.0</v>
      </c>
    </row>
    <row r="130" ht="15.75" customHeight="1">
      <c r="B130" s="433">
        <v>125.0</v>
      </c>
      <c r="C130" s="433"/>
      <c r="D130" s="433"/>
      <c r="E130" s="434" t="s">
        <v>22037</v>
      </c>
      <c r="F130" s="433" t="s">
        <v>21832</v>
      </c>
      <c r="G130" s="433" t="s">
        <v>29</v>
      </c>
      <c r="H130" s="433" t="s">
        <v>5747</v>
      </c>
      <c r="I130" s="433"/>
      <c r="J130" s="433" t="s">
        <v>22019</v>
      </c>
      <c r="K130" s="433"/>
      <c r="L130" s="433" t="s">
        <v>22020</v>
      </c>
      <c r="M130" s="667"/>
      <c r="N130" s="433"/>
      <c r="O130" s="433">
        <v>1971.0</v>
      </c>
      <c r="P130" s="433" t="s">
        <v>388</v>
      </c>
      <c r="Q130" s="433">
        <v>1.0</v>
      </c>
    </row>
    <row r="131" ht="15.75" customHeight="1">
      <c r="B131" s="433">
        <v>126.0</v>
      </c>
      <c r="C131" s="433"/>
      <c r="D131" s="433"/>
      <c r="E131" s="434" t="s">
        <v>22038</v>
      </c>
      <c r="F131" s="433" t="s">
        <v>21832</v>
      </c>
      <c r="G131" s="433" t="s">
        <v>29</v>
      </c>
      <c r="H131" s="433" t="s">
        <v>5747</v>
      </c>
      <c r="I131" s="433"/>
      <c r="J131" s="433" t="s">
        <v>22019</v>
      </c>
      <c r="K131" s="433"/>
      <c r="L131" s="433" t="s">
        <v>22020</v>
      </c>
      <c r="M131" s="667"/>
      <c r="N131" s="433"/>
      <c r="O131" s="433">
        <v>1989.0</v>
      </c>
      <c r="P131" s="433" t="s">
        <v>388</v>
      </c>
      <c r="Q131" s="433">
        <v>1.0</v>
      </c>
    </row>
    <row r="132" ht="15.75" customHeight="1">
      <c r="B132" s="433">
        <v>127.0</v>
      </c>
      <c r="C132" s="433"/>
      <c r="D132" s="433"/>
      <c r="E132" s="434" t="s">
        <v>22039</v>
      </c>
      <c r="F132" s="433" t="s">
        <v>21832</v>
      </c>
      <c r="G132" s="433" t="s">
        <v>29</v>
      </c>
      <c r="H132" s="433" t="s">
        <v>5747</v>
      </c>
      <c r="I132" s="433"/>
      <c r="J132" s="433" t="s">
        <v>22019</v>
      </c>
      <c r="K132" s="433"/>
      <c r="L132" s="433" t="s">
        <v>22020</v>
      </c>
      <c r="M132" s="667"/>
      <c r="N132" s="433"/>
      <c r="O132" s="433">
        <v>1989.0</v>
      </c>
      <c r="P132" s="433" t="s">
        <v>388</v>
      </c>
      <c r="Q132" s="433">
        <v>1.0</v>
      </c>
    </row>
    <row r="133" ht="15.75" customHeight="1">
      <c r="B133" s="433">
        <v>128.0</v>
      </c>
      <c r="C133" s="433"/>
      <c r="D133" s="433"/>
      <c r="E133" s="434" t="s">
        <v>22040</v>
      </c>
      <c r="F133" s="433" t="s">
        <v>21832</v>
      </c>
      <c r="G133" s="433" t="s">
        <v>29</v>
      </c>
      <c r="H133" s="433" t="s">
        <v>5747</v>
      </c>
      <c r="I133" s="433"/>
      <c r="J133" s="433" t="s">
        <v>22019</v>
      </c>
      <c r="K133" s="433"/>
      <c r="L133" s="433" t="s">
        <v>22020</v>
      </c>
      <c r="M133" s="667"/>
      <c r="N133" s="433"/>
      <c r="O133" s="433">
        <v>1989.0</v>
      </c>
      <c r="P133" s="433" t="s">
        <v>388</v>
      </c>
      <c r="Q133" s="433">
        <v>1.0</v>
      </c>
    </row>
    <row r="134" ht="15.75" customHeight="1">
      <c r="B134" s="433">
        <v>129.0</v>
      </c>
      <c r="C134" s="433"/>
      <c r="D134" s="433"/>
      <c r="E134" s="434" t="s">
        <v>22041</v>
      </c>
      <c r="F134" s="433" t="s">
        <v>21832</v>
      </c>
      <c r="G134" s="433" t="s">
        <v>29</v>
      </c>
      <c r="H134" s="433" t="s">
        <v>5747</v>
      </c>
      <c r="I134" s="433"/>
      <c r="J134" s="433" t="s">
        <v>22019</v>
      </c>
      <c r="K134" s="433"/>
      <c r="L134" s="433" t="s">
        <v>22020</v>
      </c>
      <c r="M134" s="667"/>
      <c r="N134" s="433"/>
      <c r="O134" s="433">
        <v>1968.0</v>
      </c>
      <c r="P134" s="433" t="s">
        <v>388</v>
      </c>
      <c r="Q134" s="433">
        <v>1.0</v>
      </c>
    </row>
    <row r="135" ht="15.75" customHeight="1">
      <c r="B135" s="433">
        <v>130.0</v>
      </c>
      <c r="C135" s="433"/>
      <c r="D135" s="433"/>
      <c r="E135" s="434" t="s">
        <v>22042</v>
      </c>
      <c r="F135" s="433" t="s">
        <v>21832</v>
      </c>
      <c r="G135" s="433" t="s">
        <v>29</v>
      </c>
      <c r="H135" s="433" t="s">
        <v>6505</v>
      </c>
      <c r="I135" s="433"/>
      <c r="J135" s="433" t="s">
        <v>22043</v>
      </c>
      <c r="K135" s="433"/>
      <c r="L135" s="433" t="s">
        <v>22044</v>
      </c>
      <c r="M135" s="667"/>
      <c r="N135" s="433" t="s">
        <v>4836</v>
      </c>
      <c r="O135" s="433">
        <v>2000.0</v>
      </c>
      <c r="P135" s="433" t="s">
        <v>388</v>
      </c>
      <c r="Q135" s="433">
        <v>1.0</v>
      </c>
    </row>
    <row r="136" ht="15.75" customHeight="1">
      <c r="B136" s="433">
        <v>131.0</v>
      </c>
      <c r="C136" s="433"/>
      <c r="D136" s="433"/>
      <c r="E136" s="434" t="s">
        <v>22045</v>
      </c>
      <c r="F136" s="433" t="s">
        <v>21832</v>
      </c>
      <c r="G136" s="433" t="s">
        <v>29</v>
      </c>
      <c r="H136" s="433" t="s">
        <v>5395</v>
      </c>
      <c r="I136" s="433"/>
      <c r="J136" s="433" t="s">
        <v>5395</v>
      </c>
      <c r="K136" s="433"/>
      <c r="L136" s="433" t="s">
        <v>22046</v>
      </c>
      <c r="M136" s="667"/>
      <c r="N136" s="433" t="s">
        <v>21991</v>
      </c>
      <c r="O136" s="433"/>
      <c r="P136" s="433" t="s">
        <v>388</v>
      </c>
      <c r="Q136" s="433">
        <v>1.0</v>
      </c>
    </row>
    <row r="137" ht="15.75" customHeight="1">
      <c r="B137" s="433">
        <v>132.0</v>
      </c>
      <c r="C137" s="433"/>
      <c r="D137" s="433"/>
      <c r="E137" s="434" t="s">
        <v>22047</v>
      </c>
      <c r="F137" s="433" t="s">
        <v>21832</v>
      </c>
      <c r="G137" s="433" t="s">
        <v>29</v>
      </c>
      <c r="H137" s="433" t="s">
        <v>5395</v>
      </c>
      <c r="I137" s="466"/>
      <c r="J137" s="433" t="s">
        <v>38</v>
      </c>
      <c r="K137" s="433">
        <v>14.0</v>
      </c>
      <c r="L137" s="433"/>
      <c r="M137" s="433"/>
      <c r="N137" s="433" t="s">
        <v>21991</v>
      </c>
      <c r="O137" s="433">
        <v>1976.0</v>
      </c>
      <c r="P137" s="433" t="s">
        <v>388</v>
      </c>
      <c r="Q137" s="433">
        <v>1.0</v>
      </c>
    </row>
    <row r="138" ht="15.75" customHeight="1">
      <c r="B138" s="433">
        <v>133.0</v>
      </c>
      <c r="C138" s="433"/>
      <c r="D138" s="433"/>
      <c r="E138" s="434" t="s">
        <v>22048</v>
      </c>
      <c r="F138" s="433" t="s">
        <v>21832</v>
      </c>
      <c r="G138" s="433" t="s">
        <v>29</v>
      </c>
      <c r="H138" s="433" t="s">
        <v>5395</v>
      </c>
      <c r="I138" s="466"/>
      <c r="J138" s="433" t="s">
        <v>38</v>
      </c>
      <c r="K138" s="433">
        <v>38.0</v>
      </c>
      <c r="L138" s="433" t="s">
        <v>31</v>
      </c>
      <c r="M138" s="433"/>
      <c r="N138" s="433" t="s">
        <v>21991</v>
      </c>
      <c r="O138" s="433">
        <v>1976.0</v>
      </c>
      <c r="P138" s="433" t="s">
        <v>388</v>
      </c>
      <c r="Q138" s="433">
        <v>1.0</v>
      </c>
    </row>
    <row r="139" ht="15.75" customHeight="1">
      <c r="B139" s="433">
        <v>134.0</v>
      </c>
      <c r="C139" s="433"/>
      <c r="D139" s="433"/>
      <c r="E139" s="434" t="s">
        <v>22049</v>
      </c>
      <c r="F139" s="433" t="s">
        <v>21832</v>
      </c>
      <c r="G139" s="433" t="s">
        <v>29</v>
      </c>
      <c r="H139" s="433" t="s">
        <v>5395</v>
      </c>
      <c r="I139" s="466"/>
      <c r="J139" s="433" t="s">
        <v>38</v>
      </c>
      <c r="K139" s="433"/>
      <c r="L139" s="433"/>
      <c r="M139" s="433"/>
      <c r="N139" s="433" t="s">
        <v>21991</v>
      </c>
      <c r="O139" s="433">
        <v>1976.0</v>
      </c>
      <c r="P139" s="433" t="s">
        <v>388</v>
      </c>
      <c r="Q139" s="433">
        <v>1.0</v>
      </c>
    </row>
    <row r="140" ht="15.75" customHeight="1">
      <c r="B140" s="433">
        <v>135.0</v>
      </c>
      <c r="C140" s="433"/>
      <c r="D140" s="433"/>
      <c r="E140" s="434" t="s">
        <v>22050</v>
      </c>
      <c r="F140" s="433" t="s">
        <v>21832</v>
      </c>
      <c r="G140" s="433" t="s">
        <v>29</v>
      </c>
      <c r="H140" s="433" t="s">
        <v>5395</v>
      </c>
      <c r="I140" s="433"/>
      <c r="J140" s="433" t="s">
        <v>38</v>
      </c>
      <c r="K140" s="433"/>
      <c r="L140" s="433"/>
      <c r="M140" s="433"/>
      <c r="N140" s="433" t="s">
        <v>21991</v>
      </c>
      <c r="O140" s="433">
        <v>1976.0</v>
      </c>
      <c r="P140" s="433" t="s">
        <v>388</v>
      </c>
      <c r="Q140" s="433">
        <v>1.0</v>
      </c>
    </row>
    <row r="141" ht="15.75" customHeight="1">
      <c r="B141" s="433">
        <v>136.0</v>
      </c>
      <c r="C141" s="433"/>
      <c r="D141" s="433"/>
      <c r="E141" s="434" t="s">
        <v>22051</v>
      </c>
      <c r="F141" s="433" t="s">
        <v>21832</v>
      </c>
      <c r="G141" s="433" t="s">
        <v>29</v>
      </c>
      <c r="H141" s="433" t="s">
        <v>5747</v>
      </c>
      <c r="I141" s="433"/>
      <c r="J141" s="433" t="s">
        <v>22019</v>
      </c>
      <c r="K141" s="433"/>
      <c r="L141" s="433"/>
      <c r="M141" s="433"/>
      <c r="N141" s="433" t="s">
        <v>21991</v>
      </c>
      <c r="O141" s="466"/>
      <c r="P141" s="433" t="s">
        <v>388</v>
      </c>
      <c r="Q141" s="433">
        <v>6.0</v>
      </c>
    </row>
    <row r="142" ht="15.75" customHeight="1">
      <c r="B142" s="433">
        <v>137.0</v>
      </c>
      <c r="C142" s="433"/>
      <c r="D142" s="433"/>
      <c r="E142" s="434" t="s">
        <v>22051</v>
      </c>
      <c r="F142" s="433" t="s">
        <v>21832</v>
      </c>
      <c r="G142" s="433" t="s">
        <v>29</v>
      </c>
      <c r="H142" s="433" t="s">
        <v>5747</v>
      </c>
      <c r="I142" s="433"/>
      <c r="J142" s="433" t="s">
        <v>22019</v>
      </c>
      <c r="K142" s="433"/>
      <c r="L142" s="433"/>
      <c r="M142" s="433"/>
      <c r="N142" s="433" t="s">
        <v>21991</v>
      </c>
      <c r="O142" s="433"/>
      <c r="P142" s="433" t="s">
        <v>388</v>
      </c>
      <c r="Q142" s="433">
        <v>2.0</v>
      </c>
    </row>
    <row r="143" ht="15.75" customHeight="1">
      <c r="B143" s="433">
        <v>138.0</v>
      </c>
      <c r="C143" s="433"/>
      <c r="D143" s="433"/>
      <c r="E143" s="434" t="s">
        <v>22052</v>
      </c>
      <c r="F143" s="433" t="s">
        <v>21832</v>
      </c>
      <c r="G143" s="433" t="s">
        <v>29</v>
      </c>
      <c r="H143" s="433" t="s">
        <v>13193</v>
      </c>
      <c r="I143" s="433"/>
      <c r="J143" s="433" t="s">
        <v>13082</v>
      </c>
      <c r="K143" s="433"/>
      <c r="L143" s="433"/>
      <c r="M143" s="433"/>
      <c r="N143" s="433" t="s">
        <v>22053</v>
      </c>
      <c r="O143" s="433">
        <v>1966.0</v>
      </c>
      <c r="P143" s="433" t="s">
        <v>388</v>
      </c>
      <c r="Q143" s="433">
        <v>1.0</v>
      </c>
    </row>
    <row r="144" ht="15.75" customHeight="1">
      <c r="B144" s="433">
        <v>139.0</v>
      </c>
      <c r="C144" s="433"/>
      <c r="D144" s="433"/>
      <c r="E144" s="434" t="s">
        <v>22054</v>
      </c>
      <c r="F144" s="433" t="s">
        <v>21832</v>
      </c>
      <c r="G144" s="433" t="s">
        <v>29</v>
      </c>
      <c r="H144" s="433" t="s">
        <v>13193</v>
      </c>
      <c r="I144" s="433"/>
      <c r="J144" s="433" t="s">
        <v>13082</v>
      </c>
      <c r="K144" s="433"/>
      <c r="L144" s="433"/>
      <c r="M144" s="433"/>
      <c r="N144" s="433" t="s">
        <v>22053</v>
      </c>
      <c r="O144" s="433">
        <v>1968.0</v>
      </c>
      <c r="P144" s="433" t="s">
        <v>388</v>
      </c>
      <c r="Q144" s="433">
        <v>1.0</v>
      </c>
    </row>
    <row r="145" ht="15.75" customHeight="1">
      <c r="B145" s="433">
        <v>140.0</v>
      </c>
      <c r="C145" s="433"/>
      <c r="D145" s="433"/>
      <c r="E145" s="434" t="s">
        <v>22055</v>
      </c>
      <c r="F145" s="433" t="s">
        <v>21832</v>
      </c>
      <c r="G145" s="433" t="s">
        <v>29</v>
      </c>
      <c r="H145" s="433" t="s">
        <v>13193</v>
      </c>
      <c r="I145" s="433"/>
      <c r="J145" s="433" t="s">
        <v>13082</v>
      </c>
      <c r="K145" s="433"/>
      <c r="L145" s="433"/>
      <c r="M145" s="433"/>
      <c r="N145" s="433" t="s">
        <v>22056</v>
      </c>
      <c r="O145" s="433">
        <v>1968.0</v>
      </c>
      <c r="P145" s="433" t="s">
        <v>388</v>
      </c>
      <c r="Q145" s="433">
        <v>1.0</v>
      </c>
    </row>
    <row r="146" ht="15.75" customHeight="1">
      <c r="B146" s="433">
        <v>141.0</v>
      </c>
      <c r="C146" s="433"/>
      <c r="D146" s="433"/>
      <c r="E146" s="434" t="s">
        <v>22057</v>
      </c>
      <c r="F146" s="433" t="s">
        <v>21832</v>
      </c>
      <c r="G146" s="433" t="s">
        <v>29</v>
      </c>
      <c r="H146" s="433" t="s">
        <v>5395</v>
      </c>
      <c r="I146" s="466"/>
      <c r="J146" s="433" t="s">
        <v>13082</v>
      </c>
      <c r="K146" s="433">
        <v>64.0</v>
      </c>
      <c r="L146" s="433"/>
      <c r="M146" s="433"/>
      <c r="N146" s="433" t="s">
        <v>22058</v>
      </c>
      <c r="O146" s="433">
        <v>1979.0</v>
      </c>
      <c r="P146" s="433" t="s">
        <v>388</v>
      </c>
      <c r="Q146" s="433">
        <v>1.0</v>
      </c>
    </row>
    <row r="147" ht="15.75" customHeight="1">
      <c r="B147" s="433">
        <v>142.0</v>
      </c>
      <c r="C147" s="433"/>
      <c r="D147" s="433"/>
      <c r="E147" s="434" t="s">
        <v>22059</v>
      </c>
      <c r="F147" s="433" t="s">
        <v>21832</v>
      </c>
      <c r="G147" s="433" t="s">
        <v>29</v>
      </c>
      <c r="H147" s="433" t="s">
        <v>6151</v>
      </c>
      <c r="I147" s="433"/>
      <c r="J147" s="433" t="s">
        <v>38</v>
      </c>
      <c r="K147" s="433"/>
      <c r="L147" s="433" t="s">
        <v>22044</v>
      </c>
      <c r="M147" s="667"/>
      <c r="N147" s="433" t="s">
        <v>22060</v>
      </c>
      <c r="O147" s="433"/>
      <c r="P147" s="433" t="s">
        <v>388</v>
      </c>
      <c r="Q147" s="433">
        <v>1.0</v>
      </c>
    </row>
    <row r="148" ht="15.75" customHeight="1">
      <c r="B148" s="433">
        <v>143.0</v>
      </c>
      <c r="C148" s="433"/>
      <c r="D148" s="433"/>
      <c r="E148" s="434" t="s">
        <v>22061</v>
      </c>
      <c r="F148" s="433" t="s">
        <v>21832</v>
      </c>
      <c r="G148" s="433" t="s">
        <v>29</v>
      </c>
      <c r="H148" s="433"/>
      <c r="I148" s="433"/>
      <c r="J148" s="433" t="s">
        <v>13082</v>
      </c>
      <c r="K148" s="433"/>
      <c r="L148" s="433" t="s">
        <v>21846</v>
      </c>
      <c r="M148" s="667"/>
      <c r="N148" s="433"/>
      <c r="O148" s="433">
        <v>1958.0</v>
      </c>
      <c r="P148" s="433" t="s">
        <v>388</v>
      </c>
      <c r="Q148" s="433">
        <v>1.0</v>
      </c>
    </row>
    <row r="149" ht="15.75" customHeight="1">
      <c r="B149" s="433">
        <v>144.0</v>
      </c>
      <c r="C149" s="433"/>
      <c r="D149" s="433"/>
      <c r="E149" s="434" t="s">
        <v>21914</v>
      </c>
      <c r="F149" s="433" t="s">
        <v>21832</v>
      </c>
      <c r="G149" s="433" t="s">
        <v>29</v>
      </c>
      <c r="H149" s="433" t="s">
        <v>5395</v>
      </c>
      <c r="I149" s="433"/>
      <c r="J149" s="433" t="s">
        <v>17577</v>
      </c>
      <c r="K149" s="433"/>
      <c r="L149" s="433"/>
      <c r="M149" s="433"/>
      <c r="N149" s="433" t="s">
        <v>22058</v>
      </c>
      <c r="O149" s="433">
        <v>2006.0</v>
      </c>
      <c r="P149" s="433" t="s">
        <v>388</v>
      </c>
      <c r="Q149" s="433">
        <v>1.0</v>
      </c>
    </row>
    <row r="150" ht="15.75" customHeight="1">
      <c r="B150" s="433">
        <v>145.0</v>
      </c>
      <c r="C150" s="433"/>
      <c r="D150" s="433"/>
      <c r="E150" s="434" t="s">
        <v>22062</v>
      </c>
      <c r="F150" s="433" t="s">
        <v>21832</v>
      </c>
      <c r="G150" s="433" t="s">
        <v>29</v>
      </c>
      <c r="H150" s="433" t="s">
        <v>22063</v>
      </c>
      <c r="I150" s="466"/>
      <c r="J150" s="433" t="s">
        <v>22064</v>
      </c>
      <c r="K150" s="433">
        <v>183.0</v>
      </c>
      <c r="L150" s="433"/>
      <c r="M150" s="433"/>
      <c r="N150" s="433"/>
      <c r="O150" s="433">
        <v>1983.0</v>
      </c>
      <c r="P150" s="433" t="s">
        <v>388</v>
      </c>
      <c r="Q150" s="433">
        <v>1.0</v>
      </c>
    </row>
    <row r="151" ht="15.75" customHeight="1">
      <c r="B151" s="433">
        <v>146.0</v>
      </c>
      <c r="C151" s="433"/>
      <c r="D151" s="433"/>
      <c r="E151" s="434" t="s">
        <v>22065</v>
      </c>
      <c r="F151" s="433" t="s">
        <v>21832</v>
      </c>
      <c r="G151" s="433" t="s">
        <v>29</v>
      </c>
      <c r="H151" s="433"/>
      <c r="I151" s="433"/>
      <c r="J151" s="433" t="s">
        <v>22066</v>
      </c>
      <c r="K151" s="433"/>
      <c r="L151" s="433"/>
      <c r="M151" s="433"/>
      <c r="N151" s="433"/>
      <c r="O151" s="433"/>
      <c r="P151" s="433" t="s">
        <v>388</v>
      </c>
      <c r="Q151" s="433">
        <v>1.0</v>
      </c>
    </row>
    <row r="152" ht="15.75" customHeight="1">
      <c r="B152" s="433">
        <v>147.0</v>
      </c>
      <c r="C152" s="433"/>
      <c r="D152" s="433"/>
      <c r="E152" s="434" t="s">
        <v>22067</v>
      </c>
      <c r="F152" s="433" t="s">
        <v>21832</v>
      </c>
      <c r="G152" s="433" t="s">
        <v>29</v>
      </c>
      <c r="H152" s="433"/>
      <c r="I152" s="466"/>
      <c r="J152" s="433" t="s">
        <v>22064</v>
      </c>
      <c r="K152" s="433">
        <v>104.0</v>
      </c>
      <c r="L152" s="433" t="s">
        <v>22068</v>
      </c>
      <c r="M152" s="667"/>
      <c r="N152" s="433"/>
      <c r="O152" s="433">
        <v>1985.0</v>
      </c>
      <c r="P152" s="433" t="s">
        <v>388</v>
      </c>
      <c r="Q152" s="433">
        <v>1.0</v>
      </c>
    </row>
    <row r="153" ht="15.75" customHeight="1">
      <c r="B153" s="433">
        <v>148.0</v>
      </c>
      <c r="C153" s="433"/>
      <c r="D153" s="433"/>
      <c r="E153" s="434" t="s">
        <v>22069</v>
      </c>
      <c r="F153" s="433" t="s">
        <v>21832</v>
      </c>
      <c r="G153" s="433" t="s">
        <v>29</v>
      </c>
      <c r="H153" s="433"/>
      <c r="I153" s="433"/>
      <c r="J153" s="433" t="s">
        <v>22070</v>
      </c>
      <c r="K153" s="433"/>
      <c r="L153" s="667"/>
      <c r="M153" s="433" t="s">
        <v>22071</v>
      </c>
      <c r="N153" s="433"/>
      <c r="O153" s="433"/>
      <c r="P153" s="433" t="s">
        <v>388</v>
      </c>
      <c r="Q153" s="433">
        <v>1.0</v>
      </c>
    </row>
    <row r="154" ht="15.75" customHeight="1">
      <c r="B154" s="433">
        <v>149.0</v>
      </c>
      <c r="C154" s="433"/>
      <c r="D154" s="433"/>
      <c r="E154" s="434" t="s">
        <v>22072</v>
      </c>
      <c r="F154" s="433" t="s">
        <v>21832</v>
      </c>
      <c r="G154" s="433" t="s">
        <v>29</v>
      </c>
      <c r="H154" s="433"/>
      <c r="I154" s="466"/>
      <c r="J154" s="433" t="s">
        <v>22073</v>
      </c>
      <c r="K154" s="433">
        <v>93.0</v>
      </c>
      <c r="L154" s="433"/>
      <c r="M154" s="433"/>
      <c r="N154" s="433" t="s">
        <v>22074</v>
      </c>
      <c r="O154" s="433">
        <v>1949.0</v>
      </c>
      <c r="P154" s="433" t="s">
        <v>388</v>
      </c>
      <c r="Q154" s="433">
        <v>1.0</v>
      </c>
    </row>
    <row r="155" ht="15.75" customHeight="1">
      <c r="B155" s="433">
        <v>150.0</v>
      </c>
      <c r="C155" s="433"/>
      <c r="D155" s="433"/>
      <c r="E155" s="434" t="s">
        <v>22075</v>
      </c>
      <c r="F155" s="433" t="s">
        <v>21832</v>
      </c>
      <c r="G155" s="433" t="s">
        <v>29</v>
      </c>
      <c r="H155" s="433" t="s">
        <v>6505</v>
      </c>
      <c r="I155" s="943"/>
      <c r="J155" s="433" t="s">
        <v>22076</v>
      </c>
      <c r="K155" s="433">
        <v>185.0</v>
      </c>
      <c r="L155" s="433"/>
      <c r="M155" s="433"/>
      <c r="N155" s="433" t="s">
        <v>22077</v>
      </c>
      <c r="O155" s="433">
        <v>2000.0</v>
      </c>
      <c r="P155" s="433" t="s">
        <v>388</v>
      </c>
      <c r="Q155" s="433">
        <v>1.0</v>
      </c>
    </row>
    <row r="156" ht="15.75" customHeight="1">
      <c r="B156" s="433">
        <v>151.0</v>
      </c>
      <c r="C156" s="433"/>
      <c r="D156" s="433"/>
      <c r="E156" s="434" t="s">
        <v>21930</v>
      </c>
      <c r="F156" s="433" t="s">
        <v>21832</v>
      </c>
      <c r="G156" s="433" t="s">
        <v>29</v>
      </c>
      <c r="H156" s="433" t="s">
        <v>21834</v>
      </c>
      <c r="I156" s="466"/>
      <c r="J156" s="782" t="s">
        <v>22076</v>
      </c>
      <c r="K156" s="433">
        <v>107.0</v>
      </c>
      <c r="L156" s="433" t="s">
        <v>22068</v>
      </c>
      <c r="M156" s="667"/>
      <c r="N156" s="433" t="s">
        <v>12447</v>
      </c>
      <c r="O156" s="433">
        <v>1992.0</v>
      </c>
      <c r="P156" s="433" t="s">
        <v>388</v>
      </c>
      <c r="Q156" s="433">
        <v>1.0</v>
      </c>
    </row>
    <row r="157" ht="15.75" customHeight="1">
      <c r="B157" s="433">
        <v>152.0</v>
      </c>
      <c r="C157" s="433"/>
      <c r="D157" s="433"/>
      <c r="E157" s="434" t="s">
        <v>22078</v>
      </c>
      <c r="F157" s="433" t="s">
        <v>21832</v>
      </c>
      <c r="G157" s="433" t="s">
        <v>29</v>
      </c>
      <c r="H157" s="433" t="s">
        <v>5395</v>
      </c>
      <c r="I157" s="433"/>
      <c r="J157" s="433" t="s">
        <v>22079</v>
      </c>
      <c r="K157" s="433"/>
      <c r="L157" s="433"/>
      <c r="M157" s="433"/>
      <c r="N157" s="433"/>
      <c r="O157" s="433">
        <v>1919.0</v>
      </c>
      <c r="P157" s="433" t="s">
        <v>388</v>
      </c>
      <c r="Q157" s="433">
        <v>1.0</v>
      </c>
    </row>
    <row r="158" ht="15.75" customHeight="1">
      <c r="B158" s="433">
        <v>153.0</v>
      </c>
      <c r="C158" s="433"/>
      <c r="D158" s="433"/>
      <c r="E158" s="434" t="s">
        <v>22080</v>
      </c>
      <c r="F158" s="433" t="s">
        <v>21832</v>
      </c>
      <c r="G158" s="433" t="s">
        <v>29</v>
      </c>
      <c r="H158" s="433" t="s">
        <v>5395</v>
      </c>
      <c r="I158" s="433"/>
      <c r="J158" s="433" t="s">
        <v>17615</v>
      </c>
      <c r="K158" s="433"/>
      <c r="L158" s="433"/>
      <c r="M158" s="433"/>
      <c r="N158" s="433" t="s">
        <v>22081</v>
      </c>
      <c r="O158" s="433">
        <v>1920.0</v>
      </c>
      <c r="P158" s="433" t="s">
        <v>388</v>
      </c>
      <c r="Q158" s="433">
        <v>1.0</v>
      </c>
    </row>
    <row r="159" ht="15.75" customHeight="1">
      <c r="B159" s="433">
        <v>154.0</v>
      </c>
      <c r="C159" s="433"/>
      <c r="D159" s="433"/>
      <c r="E159" s="434" t="s">
        <v>22082</v>
      </c>
      <c r="F159" s="433" t="s">
        <v>21832</v>
      </c>
      <c r="G159" s="433" t="s">
        <v>29</v>
      </c>
      <c r="H159" s="433" t="s">
        <v>5395</v>
      </c>
      <c r="I159" s="433"/>
      <c r="J159" s="433" t="s">
        <v>17615</v>
      </c>
      <c r="K159" s="433"/>
      <c r="L159" s="433"/>
      <c r="M159" s="433"/>
      <c r="N159" s="433" t="s">
        <v>21991</v>
      </c>
      <c r="O159" s="433">
        <v>1985.0</v>
      </c>
      <c r="P159" s="433" t="s">
        <v>388</v>
      </c>
      <c r="Q159" s="433">
        <v>1.0</v>
      </c>
    </row>
    <row r="160" ht="15.75" customHeight="1">
      <c r="B160" s="433">
        <v>155.0</v>
      </c>
      <c r="C160" s="433"/>
      <c r="D160" s="433"/>
      <c r="E160" s="434" t="s">
        <v>22083</v>
      </c>
      <c r="F160" s="433" t="s">
        <v>21832</v>
      </c>
      <c r="G160" s="433" t="s">
        <v>29</v>
      </c>
      <c r="H160" s="433" t="s">
        <v>5395</v>
      </c>
      <c r="I160" s="433"/>
      <c r="J160" s="433" t="s">
        <v>17615</v>
      </c>
      <c r="K160" s="433"/>
      <c r="L160" s="433"/>
      <c r="M160" s="433"/>
      <c r="N160" s="433" t="s">
        <v>21991</v>
      </c>
      <c r="O160" s="433">
        <v>1985.0</v>
      </c>
      <c r="P160" s="433" t="s">
        <v>388</v>
      </c>
      <c r="Q160" s="433">
        <v>1.0</v>
      </c>
    </row>
    <row r="161" ht="15.75" customHeight="1">
      <c r="B161" s="433">
        <v>156.0</v>
      </c>
      <c r="C161" s="433"/>
      <c r="D161" s="433"/>
      <c r="E161" s="434" t="s">
        <v>22084</v>
      </c>
      <c r="F161" s="433" t="s">
        <v>21832</v>
      </c>
      <c r="G161" s="433" t="s">
        <v>29</v>
      </c>
      <c r="H161" s="433" t="s">
        <v>5395</v>
      </c>
      <c r="I161" s="433"/>
      <c r="J161" s="433" t="s">
        <v>17615</v>
      </c>
      <c r="K161" s="433"/>
      <c r="L161" s="433"/>
      <c r="M161" s="433"/>
      <c r="N161" s="433" t="s">
        <v>21991</v>
      </c>
      <c r="O161" s="433">
        <v>1987.0</v>
      </c>
      <c r="P161" s="433" t="s">
        <v>388</v>
      </c>
      <c r="Q161" s="433">
        <v>2.0</v>
      </c>
    </row>
    <row r="162" ht="15.75" customHeight="1">
      <c r="B162" s="433">
        <v>157.0</v>
      </c>
      <c r="C162" s="433"/>
      <c r="D162" s="433"/>
      <c r="E162" s="434" t="s">
        <v>22085</v>
      </c>
      <c r="F162" s="433" t="s">
        <v>21832</v>
      </c>
      <c r="G162" s="433" t="s">
        <v>29</v>
      </c>
      <c r="H162" s="433" t="s">
        <v>5395</v>
      </c>
      <c r="I162" s="433"/>
      <c r="J162" s="433" t="s">
        <v>17615</v>
      </c>
      <c r="K162" s="433"/>
      <c r="L162" s="433"/>
      <c r="M162" s="433"/>
      <c r="N162" s="433" t="s">
        <v>21991</v>
      </c>
      <c r="O162" s="433">
        <v>1988.0</v>
      </c>
      <c r="P162" s="433" t="s">
        <v>388</v>
      </c>
      <c r="Q162" s="433">
        <v>1.0</v>
      </c>
    </row>
    <row r="163" ht="15.75" customHeight="1">
      <c r="B163" s="433">
        <v>158.0</v>
      </c>
      <c r="C163" s="433"/>
      <c r="D163" s="433"/>
      <c r="E163" s="434" t="s">
        <v>22086</v>
      </c>
      <c r="F163" s="433" t="s">
        <v>21832</v>
      </c>
      <c r="G163" s="433" t="s">
        <v>29</v>
      </c>
      <c r="H163" s="433" t="s">
        <v>5395</v>
      </c>
      <c r="I163" s="433"/>
      <c r="J163" s="433" t="s">
        <v>17567</v>
      </c>
      <c r="K163" s="433"/>
      <c r="L163" s="433"/>
      <c r="M163" s="433"/>
      <c r="N163" s="433" t="s">
        <v>22087</v>
      </c>
      <c r="O163" s="433">
        <v>1924.0</v>
      </c>
      <c r="P163" s="433" t="s">
        <v>388</v>
      </c>
      <c r="Q163" s="433">
        <v>1.0</v>
      </c>
    </row>
    <row r="164" ht="15.75" customHeight="1">
      <c r="B164" s="433">
        <v>159.0</v>
      </c>
      <c r="C164" s="433"/>
      <c r="D164" s="433"/>
      <c r="E164" s="434" t="s">
        <v>22088</v>
      </c>
      <c r="F164" s="433" t="s">
        <v>21832</v>
      </c>
      <c r="G164" s="433" t="s">
        <v>29</v>
      </c>
      <c r="H164" s="433" t="s">
        <v>5395</v>
      </c>
      <c r="I164" s="433"/>
      <c r="J164" s="433" t="s">
        <v>17567</v>
      </c>
      <c r="K164" s="433"/>
      <c r="L164" s="433"/>
      <c r="M164" s="433"/>
      <c r="N164" s="433" t="s">
        <v>22053</v>
      </c>
      <c r="O164" s="433">
        <v>1964.0</v>
      </c>
      <c r="P164" s="433" t="s">
        <v>388</v>
      </c>
      <c r="Q164" s="433">
        <v>1.0</v>
      </c>
    </row>
    <row r="165" ht="15.75" customHeight="1">
      <c r="B165" s="433">
        <v>160.0</v>
      </c>
      <c r="C165" s="433"/>
      <c r="D165" s="433"/>
      <c r="E165" s="434" t="s">
        <v>22089</v>
      </c>
      <c r="F165" s="433" t="s">
        <v>21832</v>
      </c>
      <c r="G165" s="433" t="s">
        <v>29</v>
      </c>
      <c r="H165" s="433" t="s">
        <v>5395</v>
      </c>
      <c r="I165" s="433"/>
      <c r="J165" s="433" t="s">
        <v>17567</v>
      </c>
      <c r="K165" s="433"/>
      <c r="L165" s="433"/>
      <c r="M165" s="433"/>
      <c r="N165" s="433" t="s">
        <v>22053</v>
      </c>
      <c r="O165" s="433">
        <v>1965.0</v>
      </c>
      <c r="P165" s="433" t="s">
        <v>388</v>
      </c>
      <c r="Q165" s="433">
        <v>1.0</v>
      </c>
    </row>
    <row r="166" ht="15.75" customHeight="1">
      <c r="B166" s="433">
        <v>161.0</v>
      </c>
      <c r="C166" s="433"/>
      <c r="D166" s="433"/>
      <c r="E166" s="434" t="s">
        <v>22090</v>
      </c>
      <c r="F166" s="433" t="s">
        <v>21832</v>
      </c>
      <c r="G166" s="433" t="s">
        <v>29</v>
      </c>
      <c r="H166" s="433" t="s">
        <v>5395</v>
      </c>
      <c r="I166" s="433"/>
      <c r="J166" s="433" t="s">
        <v>17567</v>
      </c>
      <c r="K166" s="433"/>
      <c r="L166" s="433"/>
      <c r="M166" s="433"/>
      <c r="N166" s="433" t="s">
        <v>22053</v>
      </c>
      <c r="O166" s="433">
        <v>1965.0</v>
      </c>
      <c r="P166" s="433" t="s">
        <v>388</v>
      </c>
      <c r="Q166" s="433">
        <v>1.0</v>
      </c>
    </row>
    <row r="167" ht="15.75" customHeight="1">
      <c r="B167" s="433">
        <v>162.0</v>
      </c>
      <c r="C167" s="433"/>
      <c r="D167" s="433"/>
      <c r="E167" s="434" t="s">
        <v>22091</v>
      </c>
      <c r="F167" s="433" t="s">
        <v>21832</v>
      </c>
      <c r="G167" s="433" t="s">
        <v>29</v>
      </c>
      <c r="H167" s="433"/>
      <c r="I167" s="433"/>
      <c r="J167" s="433" t="s">
        <v>13082</v>
      </c>
      <c r="K167" s="433"/>
      <c r="L167" s="433"/>
      <c r="M167" s="433"/>
      <c r="N167" s="433" t="s">
        <v>22053</v>
      </c>
      <c r="O167" s="433">
        <v>1968.0</v>
      </c>
      <c r="P167" s="433" t="s">
        <v>388</v>
      </c>
      <c r="Q167" s="433">
        <v>1.0</v>
      </c>
    </row>
    <row r="168" ht="15.75" customHeight="1">
      <c r="B168" s="433">
        <v>163.0</v>
      </c>
      <c r="C168" s="433"/>
      <c r="D168" s="433"/>
      <c r="E168" s="434" t="s">
        <v>22092</v>
      </c>
      <c r="F168" s="433" t="s">
        <v>21832</v>
      </c>
      <c r="G168" s="433" t="s">
        <v>29</v>
      </c>
      <c r="H168" s="433" t="s">
        <v>5395</v>
      </c>
      <c r="I168" s="433"/>
      <c r="J168" s="433" t="s">
        <v>17567</v>
      </c>
      <c r="K168" s="433"/>
      <c r="L168" s="433"/>
      <c r="M168" s="433"/>
      <c r="N168" s="433"/>
      <c r="O168" s="433"/>
      <c r="P168" s="433" t="s">
        <v>388</v>
      </c>
      <c r="Q168" s="433">
        <v>1.0</v>
      </c>
    </row>
    <row r="169" ht="15.75" customHeight="1">
      <c r="B169" s="433">
        <v>164.0</v>
      </c>
      <c r="C169" s="449"/>
      <c r="D169" s="449"/>
      <c r="E169" s="434" t="s">
        <v>22093</v>
      </c>
      <c r="F169" s="433" t="s">
        <v>21832</v>
      </c>
      <c r="G169" s="433" t="s">
        <v>29</v>
      </c>
      <c r="H169" s="433" t="s">
        <v>17541</v>
      </c>
      <c r="I169" s="433"/>
      <c r="J169" s="433" t="s">
        <v>22063</v>
      </c>
      <c r="K169" s="433"/>
      <c r="L169" s="433"/>
      <c r="M169" s="433"/>
      <c r="N169" s="433" t="s">
        <v>22094</v>
      </c>
      <c r="O169" s="433">
        <v>1985.0</v>
      </c>
      <c r="P169" s="433" t="s">
        <v>388</v>
      </c>
      <c r="Q169" s="433">
        <v>1.0</v>
      </c>
    </row>
    <row r="170" ht="15.75" customHeight="1">
      <c r="B170" s="433">
        <v>165.0</v>
      </c>
      <c r="C170" s="449"/>
      <c r="D170" s="449"/>
      <c r="E170" s="434" t="s">
        <v>22095</v>
      </c>
      <c r="F170" s="433" t="s">
        <v>21832</v>
      </c>
      <c r="G170" s="433" t="s">
        <v>29</v>
      </c>
      <c r="H170" s="433"/>
      <c r="I170" s="466"/>
      <c r="J170" s="433" t="s">
        <v>13082</v>
      </c>
      <c r="K170" s="433">
        <v>19.0</v>
      </c>
      <c r="L170" s="433"/>
      <c r="M170" s="433"/>
      <c r="N170" s="433"/>
      <c r="O170" s="433"/>
      <c r="P170" s="433" t="s">
        <v>388</v>
      </c>
      <c r="Q170" s="433">
        <v>2.0</v>
      </c>
    </row>
    <row r="171" ht="15.75" customHeight="1">
      <c r="B171" s="433">
        <v>166.0</v>
      </c>
      <c r="C171" s="449"/>
      <c r="D171" s="449"/>
      <c r="E171" s="434" t="s">
        <v>22096</v>
      </c>
      <c r="F171" s="433" t="s">
        <v>21832</v>
      </c>
      <c r="G171" s="433" t="s">
        <v>29</v>
      </c>
      <c r="H171" s="433"/>
      <c r="I171" s="433"/>
      <c r="J171" s="433" t="s">
        <v>13082</v>
      </c>
      <c r="K171" s="433"/>
      <c r="L171" s="433" t="s">
        <v>22097</v>
      </c>
      <c r="M171" s="667"/>
      <c r="N171" s="433" t="s">
        <v>21855</v>
      </c>
      <c r="O171" s="433">
        <v>1988.0</v>
      </c>
      <c r="P171" s="433" t="s">
        <v>388</v>
      </c>
      <c r="Q171" s="433">
        <v>1.0</v>
      </c>
    </row>
    <row r="172" ht="15.75" customHeight="1">
      <c r="B172" s="433">
        <v>167.0</v>
      </c>
      <c r="C172" s="449"/>
      <c r="D172" s="449"/>
      <c r="E172" s="434" t="s">
        <v>22096</v>
      </c>
      <c r="F172" s="433" t="s">
        <v>21832</v>
      </c>
      <c r="G172" s="433" t="s">
        <v>29</v>
      </c>
      <c r="H172" s="433"/>
      <c r="I172" s="433"/>
      <c r="J172" s="433" t="s">
        <v>13082</v>
      </c>
      <c r="K172" s="433"/>
      <c r="L172" s="433" t="s">
        <v>22097</v>
      </c>
      <c r="M172" s="667"/>
      <c r="N172" s="433" t="s">
        <v>21855</v>
      </c>
      <c r="O172" s="433">
        <v>1988.0</v>
      </c>
      <c r="P172" s="433" t="s">
        <v>388</v>
      </c>
      <c r="Q172" s="433">
        <v>1.0</v>
      </c>
    </row>
    <row r="173" ht="15.75" customHeight="1">
      <c r="B173" s="433">
        <v>168.0</v>
      </c>
      <c r="C173" s="449"/>
      <c r="D173" s="449"/>
      <c r="E173" s="434" t="s">
        <v>22098</v>
      </c>
      <c r="F173" s="433" t="s">
        <v>21832</v>
      </c>
      <c r="G173" s="433" t="s">
        <v>29</v>
      </c>
      <c r="H173" s="433"/>
      <c r="I173" s="433"/>
      <c r="J173" s="433" t="s">
        <v>13082</v>
      </c>
      <c r="K173" s="433"/>
      <c r="L173" s="433" t="s">
        <v>22097</v>
      </c>
      <c r="M173" s="667"/>
      <c r="N173" s="433" t="s">
        <v>21855</v>
      </c>
      <c r="O173" s="433">
        <v>1988.0</v>
      </c>
      <c r="P173" s="433" t="s">
        <v>388</v>
      </c>
      <c r="Q173" s="433">
        <v>1.0</v>
      </c>
    </row>
    <row r="174" ht="15.75" customHeight="1">
      <c r="B174" s="433">
        <v>169.0</v>
      </c>
      <c r="C174" s="449"/>
      <c r="D174" s="449"/>
      <c r="E174" s="434" t="s">
        <v>22099</v>
      </c>
      <c r="F174" s="433" t="s">
        <v>21832</v>
      </c>
      <c r="G174" s="433" t="s">
        <v>29</v>
      </c>
      <c r="H174" s="433"/>
      <c r="I174" s="433"/>
      <c r="J174" s="433" t="s">
        <v>13082</v>
      </c>
      <c r="K174" s="433"/>
      <c r="L174" s="433" t="s">
        <v>22097</v>
      </c>
      <c r="M174" s="667"/>
      <c r="N174" s="433" t="s">
        <v>21855</v>
      </c>
      <c r="O174" s="433">
        <v>1988.0</v>
      </c>
      <c r="P174" s="433" t="s">
        <v>388</v>
      </c>
      <c r="Q174" s="433">
        <v>1.0</v>
      </c>
    </row>
    <row r="175" ht="15.75" customHeight="1">
      <c r="B175" s="433">
        <v>170.0</v>
      </c>
      <c r="C175" s="449"/>
      <c r="D175" s="449"/>
      <c r="E175" s="434" t="s">
        <v>22100</v>
      </c>
      <c r="F175" s="433" t="s">
        <v>21832</v>
      </c>
      <c r="G175" s="433" t="s">
        <v>29</v>
      </c>
      <c r="H175" s="433"/>
      <c r="I175" s="433"/>
      <c r="J175" s="433" t="s">
        <v>13082</v>
      </c>
      <c r="K175" s="433"/>
      <c r="L175" s="433" t="s">
        <v>22097</v>
      </c>
      <c r="M175" s="667"/>
      <c r="N175" s="433" t="s">
        <v>21855</v>
      </c>
      <c r="O175" s="433">
        <v>1988.0</v>
      </c>
      <c r="P175" s="433" t="s">
        <v>388</v>
      </c>
      <c r="Q175" s="433">
        <v>1.0</v>
      </c>
    </row>
    <row r="176" ht="15.75" customHeight="1">
      <c r="B176" s="433">
        <v>171.0</v>
      </c>
      <c r="C176" s="449"/>
      <c r="D176" s="449"/>
      <c r="E176" s="434" t="s">
        <v>22101</v>
      </c>
      <c r="F176" s="433" t="s">
        <v>21832</v>
      </c>
      <c r="G176" s="433" t="s">
        <v>29</v>
      </c>
      <c r="H176" s="433"/>
      <c r="I176" s="433"/>
      <c r="J176" s="433" t="s">
        <v>17349</v>
      </c>
      <c r="K176" s="433"/>
      <c r="L176" s="433"/>
      <c r="M176" s="433"/>
      <c r="N176" s="433"/>
      <c r="O176" s="433"/>
      <c r="P176" s="433" t="s">
        <v>388</v>
      </c>
      <c r="Q176" s="433">
        <v>6.0</v>
      </c>
    </row>
    <row r="177" ht="15.75" customHeight="1">
      <c r="B177" s="433">
        <v>172.0</v>
      </c>
      <c r="C177" s="449"/>
      <c r="D177" s="449"/>
      <c r="E177" s="434" t="s">
        <v>22082</v>
      </c>
      <c r="F177" s="433" t="s">
        <v>21832</v>
      </c>
      <c r="G177" s="433" t="s">
        <v>29</v>
      </c>
      <c r="H177" s="433" t="s">
        <v>5395</v>
      </c>
      <c r="I177" s="466"/>
      <c r="J177" s="433" t="s">
        <v>22102</v>
      </c>
      <c r="K177" s="433">
        <v>98.0</v>
      </c>
      <c r="L177" s="433"/>
      <c r="M177" s="433"/>
      <c r="N177" s="433" t="s">
        <v>22103</v>
      </c>
      <c r="O177" s="433">
        <v>1987.0</v>
      </c>
      <c r="P177" s="433" t="s">
        <v>388</v>
      </c>
      <c r="Q177" s="433">
        <v>1.0</v>
      </c>
    </row>
    <row r="178" ht="15.75" customHeight="1">
      <c r="B178" s="433">
        <v>173.0</v>
      </c>
      <c r="C178" s="449"/>
      <c r="D178" s="449"/>
      <c r="E178" s="434" t="s">
        <v>22104</v>
      </c>
      <c r="F178" s="433" t="s">
        <v>21832</v>
      </c>
      <c r="G178" s="433" t="s">
        <v>29</v>
      </c>
      <c r="H178" s="433" t="s">
        <v>13193</v>
      </c>
      <c r="I178" s="433"/>
      <c r="J178" s="433" t="s">
        <v>13082</v>
      </c>
      <c r="K178" s="433"/>
      <c r="L178" s="433"/>
      <c r="M178" s="433"/>
      <c r="N178" s="433" t="s">
        <v>22056</v>
      </c>
      <c r="O178" s="433">
        <v>1968.0</v>
      </c>
      <c r="P178" s="433" t="s">
        <v>388</v>
      </c>
      <c r="Q178" s="433">
        <v>1.0</v>
      </c>
    </row>
    <row r="179" ht="15.75" customHeight="1">
      <c r="B179" s="433">
        <v>174.0</v>
      </c>
      <c r="C179" s="449"/>
      <c r="D179" s="449"/>
      <c r="E179" s="434" t="s">
        <v>22105</v>
      </c>
      <c r="F179" s="433" t="s">
        <v>21832</v>
      </c>
      <c r="G179" s="433" t="s">
        <v>29</v>
      </c>
      <c r="H179" s="433"/>
      <c r="I179" s="433"/>
      <c r="J179" s="433" t="s">
        <v>17389</v>
      </c>
      <c r="K179" s="433"/>
      <c r="L179" s="433" t="s">
        <v>13582</v>
      </c>
      <c r="M179" s="667"/>
      <c r="N179" s="433" t="s">
        <v>22106</v>
      </c>
      <c r="O179" s="433">
        <v>1988.0</v>
      </c>
      <c r="P179" s="433" t="s">
        <v>388</v>
      </c>
      <c r="Q179" s="433">
        <v>1.0</v>
      </c>
    </row>
    <row r="180" ht="15.75" customHeight="1">
      <c r="B180" s="433">
        <v>175.0</v>
      </c>
      <c r="C180" s="449"/>
      <c r="D180" s="449"/>
      <c r="E180" s="434" t="s">
        <v>22107</v>
      </c>
      <c r="F180" s="433" t="s">
        <v>21832</v>
      </c>
      <c r="G180" s="433" t="s">
        <v>29</v>
      </c>
      <c r="H180" s="433"/>
      <c r="I180" s="433"/>
      <c r="J180" s="433" t="s">
        <v>17805</v>
      </c>
      <c r="K180" s="433"/>
      <c r="L180" s="433"/>
      <c r="M180" s="433"/>
      <c r="N180" s="433"/>
      <c r="O180" s="433"/>
      <c r="P180" s="433" t="s">
        <v>388</v>
      </c>
      <c r="Q180" s="433">
        <v>1.0</v>
      </c>
    </row>
    <row r="181" ht="15.75" customHeight="1">
      <c r="B181" s="433">
        <v>176.0</v>
      </c>
      <c r="C181" s="449"/>
      <c r="D181" s="449"/>
      <c r="E181" s="434" t="s">
        <v>22108</v>
      </c>
      <c r="F181" s="433" t="s">
        <v>21832</v>
      </c>
      <c r="G181" s="433" t="s">
        <v>29</v>
      </c>
      <c r="H181" s="433"/>
      <c r="I181" s="466"/>
      <c r="J181" s="433" t="s">
        <v>22063</v>
      </c>
      <c r="K181" s="433">
        <v>71.0</v>
      </c>
      <c r="L181" s="433" t="s">
        <v>22109</v>
      </c>
      <c r="M181" s="667"/>
      <c r="N181" s="433"/>
      <c r="O181" s="433"/>
      <c r="P181" s="433" t="s">
        <v>388</v>
      </c>
      <c r="Q181" s="433">
        <v>1.0</v>
      </c>
    </row>
    <row r="182" ht="15.75" customHeight="1">
      <c r="B182" s="433">
        <v>177.0</v>
      </c>
      <c r="C182" s="449"/>
      <c r="D182" s="449"/>
      <c r="E182" s="434" t="s">
        <v>22110</v>
      </c>
      <c r="F182" s="433" t="s">
        <v>21832</v>
      </c>
      <c r="G182" s="433" t="s">
        <v>29</v>
      </c>
      <c r="H182" s="433"/>
      <c r="I182" s="433"/>
      <c r="J182" s="433" t="s">
        <v>13082</v>
      </c>
      <c r="K182" s="433"/>
      <c r="L182" s="667"/>
      <c r="M182" s="433" t="s">
        <v>22111</v>
      </c>
      <c r="N182" s="433"/>
      <c r="O182" s="433">
        <v>1958.0</v>
      </c>
      <c r="P182" s="433" t="s">
        <v>388</v>
      </c>
      <c r="Q182" s="433">
        <v>1.0</v>
      </c>
    </row>
    <row r="183" ht="15.75" customHeight="1">
      <c r="B183" s="433">
        <v>178.0</v>
      </c>
      <c r="C183" s="449"/>
      <c r="D183" s="449"/>
      <c r="E183" s="434" t="s">
        <v>22112</v>
      </c>
      <c r="F183" s="433" t="s">
        <v>21832</v>
      </c>
      <c r="G183" s="433" t="s">
        <v>29</v>
      </c>
      <c r="H183" s="433"/>
      <c r="I183" s="433"/>
      <c r="J183" s="433"/>
      <c r="K183" s="433"/>
      <c r="L183" s="433"/>
      <c r="M183" s="433"/>
      <c r="N183" s="433"/>
      <c r="O183" s="433"/>
      <c r="P183" s="433" t="s">
        <v>388</v>
      </c>
      <c r="Q183" s="433">
        <v>1.0</v>
      </c>
    </row>
    <row r="184" ht="15.75" customHeight="1">
      <c r="B184" s="433">
        <v>179.0</v>
      </c>
      <c r="C184" s="449"/>
      <c r="D184" s="449"/>
      <c r="E184" s="434" t="s">
        <v>22113</v>
      </c>
      <c r="F184" s="433" t="s">
        <v>21832</v>
      </c>
      <c r="G184" s="433" t="s">
        <v>29</v>
      </c>
      <c r="H184" s="433"/>
      <c r="I184" s="433"/>
      <c r="J184" s="433" t="s">
        <v>22114</v>
      </c>
      <c r="K184" s="433"/>
      <c r="L184" s="433" t="s">
        <v>22115</v>
      </c>
      <c r="M184" s="667"/>
      <c r="N184" s="433"/>
      <c r="O184" s="433"/>
      <c r="P184" s="433" t="s">
        <v>388</v>
      </c>
      <c r="Q184" s="433">
        <v>1.0</v>
      </c>
    </row>
    <row r="185" ht="15.75" customHeight="1">
      <c r="B185" s="433">
        <v>180.0</v>
      </c>
      <c r="C185" s="449"/>
      <c r="D185" s="449"/>
      <c r="E185" s="434" t="s">
        <v>22116</v>
      </c>
      <c r="F185" s="433" t="s">
        <v>21832</v>
      </c>
      <c r="G185" s="433" t="s">
        <v>29</v>
      </c>
      <c r="H185" s="433"/>
      <c r="I185" s="433"/>
      <c r="J185" s="433" t="s">
        <v>22114</v>
      </c>
      <c r="K185" s="433"/>
      <c r="L185" s="433" t="s">
        <v>22115</v>
      </c>
      <c r="M185" s="667"/>
      <c r="N185" s="433"/>
      <c r="O185" s="433"/>
      <c r="P185" s="433" t="s">
        <v>388</v>
      </c>
      <c r="Q185" s="433">
        <v>1.0</v>
      </c>
    </row>
    <row r="186" ht="15.75" customHeight="1">
      <c r="B186" s="433">
        <v>181.0</v>
      </c>
      <c r="C186" s="449"/>
      <c r="D186" s="449"/>
      <c r="E186" s="434" t="s">
        <v>22117</v>
      </c>
      <c r="F186" s="433" t="s">
        <v>21832</v>
      </c>
      <c r="G186" s="433" t="s">
        <v>29</v>
      </c>
      <c r="H186" s="433"/>
      <c r="I186" s="433"/>
      <c r="J186" s="433"/>
      <c r="K186" s="433"/>
      <c r="L186" s="433"/>
      <c r="M186" s="433"/>
      <c r="N186" s="433" t="s">
        <v>22118</v>
      </c>
      <c r="O186" s="433">
        <v>1984.0</v>
      </c>
      <c r="P186" s="433" t="s">
        <v>388</v>
      </c>
      <c r="Q186" s="433">
        <v>3.0</v>
      </c>
    </row>
    <row r="187" ht="15.75" customHeight="1">
      <c r="B187" s="433">
        <v>182.0</v>
      </c>
      <c r="C187" s="449"/>
      <c r="D187" s="449"/>
      <c r="E187" s="434" t="s">
        <v>22119</v>
      </c>
      <c r="F187" s="433" t="s">
        <v>21832</v>
      </c>
      <c r="G187" s="433" t="s">
        <v>29</v>
      </c>
      <c r="H187" s="433" t="s">
        <v>5395</v>
      </c>
      <c r="I187" s="433"/>
      <c r="J187" s="433" t="s">
        <v>13082</v>
      </c>
      <c r="K187" s="433"/>
      <c r="L187" s="433"/>
      <c r="M187" s="433"/>
      <c r="N187" s="433" t="s">
        <v>21991</v>
      </c>
      <c r="O187" s="433"/>
      <c r="P187" s="433" t="s">
        <v>388</v>
      </c>
      <c r="Q187" s="433">
        <v>1.0</v>
      </c>
    </row>
    <row r="188" ht="15.75" customHeight="1">
      <c r="B188" s="433">
        <v>183.0</v>
      </c>
      <c r="C188" s="449"/>
      <c r="D188" s="449"/>
      <c r="E188" s="434" t="s">
        <v>22120</v>
      </c>
      <c r="F188" s="433" t="s">
        <v>21832</v>
      </c>
      <c r="G188" s="433" t="s">
        <v>29</v>
      </c>
      <c r="H188" s="433"/>
      <c r="I188" s="433"/>
      <c r="J188" s="433" t="s">
        <v>13082</v>
      </c>
      <c r="K188" s="433"/>
      <c r="L188" s="667"/>
      <c r="M188" s="433" t="s">
        <v>22121</v>
      </c>
      <c r="N188" s="433"/>
      <c r="O188" s="433"/>
      <c r="P188" s="433" t="s">
        <v>388</v>
      </c>
      <c r="Q188" s="433">
        <v>1.0</v>
      </c>
    </row>
    <row r="189" ht="15.75" customHeight="1">
      <c r="B189" s="433">
        <v>184.0</v>
      </c>
      <c r="C189" s="449"/>
      <c r="D189" s="449"/>
      <c r="E189" s="434" t="s">
        <v>22122</v>
      </c>
      <c r="F189" s="433" t="s">
        <v>21832</v>
      </c>
      <c r="G189" s="433" t="s">
        <v>29</v>
      </c>
      <c r="H189" s="433"/>
      <c r="I189" s="433"/>
      <c r="J189" s="433" t="s">
        <v>13082</v>
      </c>
      <c r="K189" s="433"/>
      <c r="L189" s="433"/>
      <c r="M189" s="433"/>
      <c r="N189" s="433"/>
      <c r="O189" s="433">
        <v>1978.0</v>
      </c>
      <c r="P189" s="433" t="s">
        <v>388</v>
      </c>
      <c r="Q189" s="433">
        <v>1.0</v>
      </c>
    </row>
    <row r="190" ht="15.75" customHeight="1">
      <c r="B190" s="433">
        <v>185.0</v>
      </c>
      <c r="C190" s="449"/>
      <c r="D190" s="449"/>
      <c r="E190" s="434" t="s">
        <v>22123</v>
      </c>
      <c r="F190" s="433" t="s">
        <v>21832</v>
      </c>
      <c r="G190" s="433" t="s">
        <v>29</v>
      </c>
      <c r="H190" s="433"/>
      <c r="I190" s="433"/>
      <c r="J190" s="433" t="s">
        <v>13082</v>
      </c>
      <c r="K190" s="433"/>
      <c r="L190" s="433" t="s">
        <v>22115</v>
      </c>
      <c r="M190" s="667"/>
      <c r="N190" s="433"/>
      <c r="O190" s="433"/>
      <c r="P190" s="433" t="s">
        <v>388</v>
      </c>
      <c r="Q190" s="433">
        <v>1.0</v>
      </c>
    </row>
    <row r="191" ht="15.75" customHeight="1">
      <c r="B191" s="433">
        <v>186.0</v>
      </c>
      <c r="C191" s="449"/>
      <c r="D191" s="449"/>
      <c r="E191" s="434" t="s">
        <v>22124</v>
      </c>
      <c r="F191" s="433" t="s">
        <v>21832</v>
      </c>
      <c r="G191" s="433" t="s">
        <v>29</v>
      </c>
      <c r="H191" s="433" t="s">
        <v>21834</v>
      </c>
      <c r="I191" s="433"/>
      <c r="J191" s="433" t="s">
        <v>38</v>
      </c>
      <c r="K191" s="433"/>
      <c r="L191" s="433"/>
      <c r="M191" s="433"/>
      <c r="N191" s="433" t="s">
        <v>12447</v>
      </c>
      <c r="O191" s="433">
        <v>1975.0</v>
      </c>
      <c r="P191" s="433" t="s">
        <v>388</v>
      </c>
      <c r="Q191" s="433">
        <v>1.0</v>
      </c>
    </row>
    <row r="192" ht="15.75" customHeight="1">
      <c r="B192" s="433">
        <v>187.0</v>
      </c>
      <c r="C192" s="449"/>
      <c r="D192" s="449"/>
      <c r="E192" s="434" t="s">
        <v>22125</v>
      </c>
      <c r="F192" s="433" t="s">
        <v>21832</v>
      </c>
      <c r="G192" s="433" t="s">
        <v>29</v>
      </c>
      <c r="H192" s="433"/>
      <c r="I192" s="433"/>
      <c r="J192" s="433" t="s">
        <v>38</v>
      </c>
      <c r="K192" s="433"/>
      <c r="L192" s="433"/>
      <c r="M192" s="433"/>
      <c r="N192" s="433" t="s">
        <v>22126</v>
      </c>
      <c r="O192" s="433">
        <v>1991.0</v>
      </c>
      <c r="P192" s="433" t="s">
        <v>388</v>
      </c>
      <c r="Q192" s="433">
        <v>1.0</v>
      </c>
    </row>
    <row r="193" ht="15.75" customHeight="1">
      <c r="B193" s="433">
        <v>188.0</v>
      </c>
      <c r="C193" s="449"/>
      <c r="D193" s="449"/>
      <c r="E193" s="434" t="s">
        <v>22127</v>
      </c>
      <c r="F193" s="433" t="s">
        <v>21832</v>
      </c>
      <c r="G193" s="433" t="s">
        <v>29</v>
      </c>
      <c r="H193" s="433"/>
      <c r="I193" s="433"/>
      <c r="J193" s="433"/>
      <c r="K193" s="433"/>
      <c r="L193" s="433"/>
      <c r="M193" s="433"/>
      <c r="N193" s="433"/>
      <c r="O193" s="433">
        <v>1979.0</v>
      </c>
      <c r="P193" s="433" t="s">
        <v>388</v>
      </c>
      <c r="Q193" s="433">
        <v>1.0</v>
      </c>
    </row>
    <row r="194" ht="15.75" customHeight="1">
      <c r="B194" s="433">
        <v>189.0</v>
      </c>
      <c r="C194" s="445" t="s">
        <v>22128</v>
      </c>
      <c r="D194" s="445"/>
      <c r="E194" s="447" t="s">
        <v>22129</v>
      </c>
      <c r="F194" s="433" t="s">
        <v>21832</v>
      </c>
      <c r="G194" s="433" t="s">
        <v>29</v>
      </c>
      <c r="H194" s="445"/>
      <c r="I194" s="445"/>
      <c r="J194" s="445"/>
      <c r="K194" s="445">
        <v>119.0</v>
      </c>
      <c r="L194" s="445" t="s">
        <v>13582</v>
      </c>
      <c r="M194" s="667"/>
      <c r="N194" s="445" t="s">
        <v>22130</v>
      </c>
      <c r="O194" s="445">
        <v>1992.0</v>
      </c>
      <c r="P194" s="433" t="s">
        <v>388</v>
      </c>
      <c r="Q194" s="445">
        <v>1.0</v>
      </c>
    </row>
    <row r="195" ht="15.75" customHeight="1">
      <c r="B195" s="433">
        <v>190.0</v>
      </c>
      <c r="C195" s="433"/>
      <c r="D195" s="433"/>
      <c r="E195" s="434" t="s">
        <v>22131</v>
      </c>
      <c r="F195" s="433" t="s">
        <v>21832</v>
      </c>
      <c r="G195" s="433" t="s">
        <v>29</v>
      </c>
      <c r="H195" s="433" t="s">
        <v>15079</v>
      </c>
      <c r="I195" s="433"/>
      <c r="J195" s="433" t="s">
        <v>30</v>
      </c>
      <c r="K195" s="433">
        <v>72.0</v>
      </c>
      <c r="L195" s="433" t="s">
        <v>13582</v>
      </c>
      <c r="M195" s="667"/>
      <c r="N195" s="433" t="s">
        <v>22132</v>
      </c>
      <c r="O195" s="433">
        <v>1971.0</v>
      </c>
      <c r="P195" s="433" t="s">
        <v>388</v>
      </c>
      <c r="Q195" s="433">
        <v>1.0</v>
      </c>
    </row>
    <row r="196" ht="15.75" customHeight="1">
      <c r="B196" s="433">
        <v>191.0</v>
      </c>
      <c r="C196" s="433"/>
      <c r="D196" s="433"/>
      <c r="E196" s="434" t="s">
        <v>22133</v>
      </c>
      <c r="F196" s="433" t="s">
        <v>21832</v>
      </c>
      <c r="G196" s="433" t="s">
        <v>29</v>
      </c>
      <c r="H196" s="433" t="s">
        <v>21834</v>
      </c>
      <c r="I196" s="433"/>
      <c r="J196" s="433" t="s">
        <v>10352</v>
      </c>
      <c r="K196" s="433">
        <v>69.0</v>
      </c>
      <c r="L196" s="433"/>
      <c r="M196" s="433"/>
      <c r="N196" s="433" t="s">
        <v>12447</v>
      </c>
      <c r="O196" s="433">
        <v>1972.0</v>
      </c>
      <c r="P196" s="433" t="s">
        <v>388</v>
      </c>
      <c r="Q196" s="433">
        <v>1.0</v>
      </c>
    </row>
    <row r="197" ht="15.75" customHeight="1">
      <c r="B197" s="433">
        <v>192.0</v>
      </c>
      <c r="C197" s="433"/>
      <c r="D197" s="433"/>
      <c r="E197" s="434" t="s">
        <v>22134</v>
      </c>
      <c r="F197" s="433" t="s">
        <v>21832</v>
      </c>
      <c r="G197" s="433" t="s">
        <v>29</v>
      </c>
      <c r="H197" s="433" t="s">
        <v>15646</v>
      </c>
      <c r="I197" s="433"/>
      <c r="J197" s="433"/>
      <c r="K197" s="433"/>
      <c r="L197" s="433"/>
      <c r="M197" s="433"/>
      <c r="N197" s="433" t="s">
        <v>17287</v>
      </c>
      <c r="O197" s="433">
        <v>1988.0</v>
      </c>
      <c r="P197" s="433" t="s">
        <v>388</v>
      </c>
      <c r="Q197" s="433">
        <v>1.0</v>
      </c>
    </row>
    <row r="198" ht="15.75" customHeight="1">
      <c r="B198" s="433">
        <v>193.0</v>
      </c>
      <c r="C198" s="433"/>
      <c r="D198" s="433"/>
      <c r="E198" s="434" t="s">
        <v>22135</v>
      </c>
      <c r="F198" s="433" t="s">
        <v>21832</v>
      </c>
      <c r="G198" s="433" t="s">
        <v>29</v>
      </c>
      <c r="H198" s="433" t="s">
        <v>15646</v>
      </c>
      <c r="I198" s="433"/>
      <c r="J198" s="433" t="s">
        <v>17779</v>
      </c>
      <c r="K198" s="433">
        <v>106.0</v>
      </c>
      <c r="L198" s="433"/>
      <c r="M198" s="433"/>
      <c r="N198" s="433"/>
      <c r="O198" s="433"/>
      <c r="P198" s="433" t="s">
        <v>388</v>
      </c>
      <c r="Q198" s="433">
        <v>1.0</v>
      </c>
    </row>
    <row r="199" ht="15.75" customHeight="1">
      <c r="B199" s="433">
        <v>194.0</v>
      </c>
      <c r="C199" s="433"/>
      <c r="D199" s="433"/>
      <c r="E199" s="434" t="s">
        <v>22136</v>
      </c>
      <c r="F199" s="433" t="s">
        <v>21832</v>
      </c>
      <c r="G199" s="433" t="s">
        <v>29</v>
      </c>
      <c r="H199" s="433" t="s">
        <v>17326</v>
      </c>
      <c r="I199" s="433"/>
      <c r="J199" s="433" t="s">
        <v>22137</v>
      </c>
      <c r="K199" s="433"/>
      <c r="L199" s="433" t="s">
        <v>13582</v>
      </c>
      <c r="M199" s="667"/>
      <c r="N199" s="433" t="s">
        <v>22138</v>
      </c>
      <c r="O199" s="433">
        <v>1989.0</v>
      </c>
      <c r="P199" s="433" t="s">
        <v>388</v>
      </c>
      <c r="Q199" s="433">
        <v>4.0</v>
      </c>
    </row>
    <row r="200" ht="15.75" customHeight="1">
      <c r="B200" s="433">
        <v>195.0</v>
      </c>
      <c r="C200" s="433"/>
      <c r="D200" s="433"/>
      <c r="E200" s="434" t="s">
        <v>22139</v>
      </c>
      <c r="F200" s="433" t="s">
        <v>21832</v>
      </c>
      <c r="G200" s="433" t="s">
        <v>29</v>
      </c>
      <c r="H200" s="433" t="s">
        <v>127</v>
      </c>
      <c r="I200" s="433"/>
      <c r="J200" s="433" t="s">
        <v>22076</v>
      </c>
      <c r="K200" s="433">
        <v>161.0</v>
      </c>
      <c r="L200" s="433" t="s">
        <v>19614</v>
      </c>
      <c r="M200" s="667"/>
      <c r="N200" s="433" t="s">
        <v>22140</v>
      </c>
      <c r="O200" s="433">
        <v>1978.0</v>
      </c>
      <c r="P200" s="433" t="s">
        <v>388</v>
      </c>
      <c r="Q200" s="433">
        <v>1.0</v>
      </c>
    </row>
    <row r="201" ht="15.75" customHeight="1">
      <c r="B201" s="433">
        <v>196.0</v>
      </c>
      <c r="C201" s="433"/>
      <c r="D201" s="433"/>
      <c r="E201" s="434" t="s">
        <v>22083</v>
      </c>
      <c r="F201" s="433" t="s">
        <v>21832</v>
      </c>
      <c r="G201" s="433" t="s">
        <v>29</v>
      </c>
      <c r="H201" s="433" t="s">
        <v>5395</v>
      </c>
      <c r="I201" s="433"/>
      <c r="J201" s="433" t="s">
        <v>22141</v>
      </c>
      <c r="K201" s="433"/>
      <c r="L201" s="433"/>
      <c r="M201" s="433"/>
      <c r="N201" s="433" t="s">
        <v>21991</v>
      </c>
      <c r="O201" s="433">
        <v>2000.0</v>
      </c>
      <c r="P201" s="433" t="s">
        <v>388</v>
      </c>
      <c r="Q201" s="433">
        <v>1.0</v>
      </c>
    </row>
    <row r="202" ht="15.75" customHeight="1">
      <c r="B202" s="433">
        <v>197.0</v>
      </c>
      <c r="C202" s="433"/>
      <c r="D202" s="433"/>
      <c r="E202" s="434" t="s">
        <v>22142</v>
      </c>
      <c r="F202" s="433" t="s">
        <v>21832</v>
      </c>
      <c r="G202" s="433" t="s">
        <v>29</v>
      </c>
      <c r="H202" s="433" t="s">
        <v>15646</v>
      </c>
      <c r="I202" s="433"/>
      <c r="J202" s="433" t="s">
        <v>17779</v>
      </c>
      <c r="K202" s="433"/>
      <c r="L202" s="433"/>
      <c r="M202" s="433"/>
      <c r="N202" s="433"/>
      <c r="O202" s="433"/>
      <c r="P202" s="433" t="s">
        <v>388</v>
      </c>
      <c r="Q202" s="433">
        <v>1.0</v>
      </c>
    </row>
    <row r="203" ht="15.75" customHeight="1">
      <c r="B203" s="433">
        <v>198.0</v>
      </c>
      <c r="C203" s="433"/>
      <c r="D203" s="433"/>
      <c r="E203" s="434" t="s">
        <v>22143</v>
      </c>
      <c r="F203" s="433" t="s">
        <v>21832</v>
      </c>
      <c r="G203" s="433" t="s">
        <v>29</v>
      </c>
      <c r="H203" s="433" t="s">
        <v>15646</v>
      </c>
      <c r="I203" s="433"/>
      <c r="J203" s="433" t="s">
        <v>17779</v>
      </c>
      <c r="K203" s="433">
        <v>21.0</v>
      </c>
      <c r="L203" s="433"/>
      <c r="M203" s="433"/>
      <c r="N203" s="433"/>
      <c r="O203" s="433"/>
      <c r="P203" s="433" t="s">
        <v>388</v>
      </c>
      <c r="Q203" s="433">
        <v>1.0</v>
      </c>
    </row>
    <row r="204" ht="15.75" customHeight="1">
      <c r="B204" s="433">
        <v>199.0</v>
      </c>
      <c r="C204" s="433"/>
      <c r="D204" s="433"/>
      <c r="E204" s="434" t="s">
        <v>22144</v>
      </c>
      <c r="F204" s="433" t="s">
        <v>21832</v>
      </c>
      <c r="G204" s="433" t="s">
        <v>29</v>
      </c>
      <c r="H204" s="433" t="s">
        <v>22145</v>
      </c>
      <c r="I204" s="433"/>
      <c r="J204" s="433" t="s">
        <v>22146</v>
      </c>
      <c r="K204" s="433"/>
      <c r="L204" s="667"/>
      <c r="M204" s="433" t="s">
        <v>22147</v>
      </c>
      <c r="N204" s="433" t="s">
        <v>22148</v>
      </c>
      <c r="O204" s="433">
        <v>1967.0</v>
      </c>
      <c r="P204" s="433" t="s">
        <v>388</v>
      </c>
      <c r="Q204" s="433">
        <v>1.0</v>
      </c>
    </row>
    <row r="205" ht="15.75" customHeight="1">
      <c r="B205" s="433">
        <v>200.0</v>
      </c>
      <c r="C205" s="433"/>
      <c r="D205" s="433"/>
      <c r="E205" s="434" t="s">
        <v>22149</v>
      </c>
      <c r="F205" s="433" t="s">
        <v>21832</v>
      </c>
      <c r="G205" s="433" t="s">
        <v>29</v>
      </c>
      <c r="H205" s="433" t="s">
        <v>22145</v>
      </c>
      <c r="I205" s="433"/>
      <c r="J205" s="433" t="s">
        <v>22150</v>
      </c>
      <c r="K205" s="433"/>
      <c r="L205" s="667"/>
      <c r="M205" s="433" t="s">
        <v>22147</v>
      </c>
      <c r="N205" s="433" t="s">
        <v>22151</v>
      </c>
      <c r="O205" s="433">
        <v>1957.0</v>
      </c>
      <c r="P205" s="433" t="s">
        <v>388</v>
      </c>
      <c r="Q205" s="433">
        <v>1.0</v>
      </c>
    </row>
    <row r="206" ht="15.75" customHeight="1">
      <c r="B206" s="433">
        <v>201.0</v>
      </c>
      <c r="C206" s="433"/>
      <c r="D206" s="433"/>
      <c r="E206" s="434" t="s">
        <v>22152</v>
      </c>
      <c r="F206" s="433" t="s">
        <v>21832</v>
      </c>
      <c r="G206" s="433" t="s">
        <v>29</v>
      </c>
      <c r="H206" s="433" t="s">
        <v>22145</v>
      </c>
      <c r="I206" s="433"/>
      <c r="J206" s="433" t="s">
        <v>22150</v>
      </c>
      <c r="K206" s="433"/>
      <c r="L206" s="433"/>
      <c r="M206" s="466"/>
      <c r="N206" s="433" t="s">
        <v>22151</v>
      </c>
      <c r="O206" s="433">
        <v>1945.0</v>
      </c>
      <c r="P206" s="433" t="s">
        <v>388</v>
      </c>
      <c r="Q206" s="433">
        <v>1.0</v>
      </c>
    </row>
    <row r="207" ht="15.75" customHeight="1">
      <c r="B207" s="433">
        <v>202.0</v>
      </c>
      <c r="C207" s="433"/>
      <c r="D207" s="433"/>
      <c r="E207" s="434" t="s">
        <v>22153</v>
      </c>
      <c r="F207" s="433" t="s">
        <v>21832</v>
      </c>
      <c r="G207" s="433" t="s">
        <v>29</v>
      </c>
      <c r="H207" s="433" t="s">
        <v>21834</v>
      </c>
      <c r="I207" s="433"/>
      <c r="J207" s="433" t="s">
        <v>166</v>
      </c>
      <c r="K207" s="433"/>
      <c r="L207" s="433" t="s">
        <v>20980</v>
      </c>
      <c r="M207" s="667"/>
      <c r="N207" s="433" t="s">
        <v>12447</v>
      </c>
      <c r="O207" s="433">
        <v>1975.0</v>
      </c>
      <c r="P207" s="433" t="s">
        <v>388</v>
      </c>
      <c r="Q207" s="433">
        <v>4.0</v>
      </c>
    </row>
    <row r="208" ht="15.75" customHeight="1">
      <c r="B208" s="433">
        <v>203.0</v>
      </c>
      <c r="C208" s="433"/>
      <c r="D208" s="433"/>
      <c r="E208" s="434" t="s">
        <v>22154</v>
      </c>
      <c r="F208" s="433" t="s">
        <v>21832</v>
      </c>
      <c r="G208" s="433" t="s">
        <v>29</v>
      </c>
      <c r="H208" s="433" t="s">
        <v>22155</v>
      </c>
      <c r="I208" s="433"/>
      <c r="J208" s="433" t="s">
        <v>22156</v>
      </c>
      <c r="K208" s="433">
        <v>71.0</v>
      </c>
      <c r="L208" s="433"/>
      <c r="M208" s="667"/>
      <c r="N208" s="433" t="s">
        <v>54</v>
      </c>
      <c r="O208" s="433">
        <v>1980.0</v>
      </c>
      <c r="P208" s="433" t="s">
        <v>388</v>
      </c>
      <c r="Q208" s="433">
        <v>3.0</v>
      </c>
    </row>
    <row r="209" ht="15.75" customHeight="1">
      <c r="B209" s="433">
        <v>204.0</v>
      </c>
      <c r="C209" s="433" t="s">
        <v>22157</v>
      </c>
      <c r="D209" s="433"/>
      <c r="E209" s="434" t="s">
        <v>22158</v>
      </c>
      <c r="F209" s="433" t="s">
        <v>21832</v>
      </c>
      <c r="G209" s="433" t="s">
        <v>29</v>
      </c>
      <c r="H209" s="433" t="s">
        <v>22159</v>
      </c>
      <c r="I209" s="433"/>
      <c r="J209" s="433" t="s">
        <v>30</v>
      </c>
      <c r="K209" s="433">
        <v>49.0</v>
      </c>
      <c r="L209" s="433" t="s">
        <v>22160</v>
      </c>
      <c r="M209" s="667"/>
      <c r="N209" s="433" t="s">
        <v>7060</v>
      </c>
      <c r="O209" s="433">
        <v>2003.0</v>
      </c>
      <c r="P209" s="433" t="s">
        <v>388</v>
      </c>
      <c r="Q209" s="433">
        <v>1.0</v>
      </c>
    </row>
    <row r="210" ht="15.75" customHeight="1">
      <c r="B210" s="433">
        <v>205.0</v>
      </c>
      <c r="C210" s="433"/>
      <c r="D210" s="433"/>
      <c r="E210" s="434" t="s">
        <v>22161</v>
      </c>
      <c r="F210" s="433" t="s">
        <v>21832</v>
      </c>
      <c r="G210" s="433" t="s">
        <v>29</v>
      </c>
      <c r="H210" s="433" t="s">
        <v>6505</v>
      </c>
      <c r="I210" s="433"/>
      <c r="J210" s="433" t="s">
        <v>6505</v>
      </c>
      <c r="K210" s="433">
        <v>32.0</v>
      </c>
      <c r="L210" s="433" t="s">
        <v>22160</v>
      </c>
      <c r="M210" s="667"/>
      <c r="N210" s="433" t="s">
        <v>8959</v>
      </c>
      <c r="O210" s="433">
        <v>1988.0</v>
      </c>
      <c r="P210" s="433" t="s">
        <v>388</v>
      </c>
      <c r="Q210" s="433">
        <v>2.0</v>
      </c>
    </row>
    <row r="211" ht="15.75" customHeight="1">
      <c r="B211" s="433">
        <v>206.0</v>
      </c>
      <c r="C211" s="433"/>
      <c r="D211" s="433"/>
      <c r="E211" s="434" t="s">
        <v>22162</v>
      </c>
      <c r="F211" s="433" t="s">
        <v>21832</v>
      </c>
      <c r="G211" s="433" t="s">
        <v>29</v>
      </c>
      <c r="H211" s="433" t="s">
        <v>6505</v>
      </c>
      <c r="I211" s="433"/>
      <c r="J211" s="433" t="s">
        <v>6505</v>
      </c>
      <c r="K211" s="433">
        <v>32.0</v>
      </c>
      <c r="L211" s="433" t="s">
        <v>22160</v>
      </c>
      <c r="M211" s="667"/>
      <c r="N211" s="433" t="s">
        <v>8959</v>
      </c>
      <c r="O211" s="433">
        <v>1988.0</v>
      </c>
      <c r="P211" s="433" t="s">
        <v>388</v>
      </c>
      <c r="Q211" s="433">
        <v>2.0</v>
      </c>
    </row>
    <row r="212" ht="51.75" customHeight="1">
      <c r="B212" s="433">
        <v>207.0</v>
      </c>
      <c r="C212" s="433"/>
      <c r="D212" s="433"/>
      <c r="E212" s="434" t="s">
        <v>22163</v>
      </c>
      <c r="F212" s="433" t="s">
        <v>21832</v>
      </c>
      <c r="G212" s="433" t="s">
        <v>29</v>
      </c>
      <c r="H212" s="433" t="s">
        <v>6505</v>
      </c>
      <c r="I212" s="433"/>
      <c r="J212" s="433" t="s">
        <v>6505</v>
      </c>
      <c r="K212" s="433">
        <v>32.0</v>
      </c>
      <c r="L212" s="433" t="s">
        <v>22160</v>
      </c>
      <c r="M212" s="667"/>
      <c r="N212" s="433" t="s">
        <v>8959</v>
      </c>
      <c r="O212" s="433">
        <v>1988.0</v>
      </c>
      <c r="P212" s="433" t="s">
        <v>388</v>
      </c>
      <c r="Q212" s="433">
        <v>2.0</v>
      </c>
    </row>
    <row r="213" ht="15.75" customHeight="1">
      <c r="B213" s="433">
        <v>208.0</v>
      </c>
      <c r="C213" s="433"/>
      <c r="D213" s="433"/>
      <c r="E213" s="434" t="s">
        <v>22164</v>
      </c>
      <c r="F213" s="433" t="s">
        <v>21832</v>
      </c>
      <c r="G213" s="433" t="s">
        <v>29</v>
      </c>
      <c r="H213" s="433" t="s">
        <v>6505</v>
      </c>
      <c r="I213" s="433"/>
      <c r="J213" s="433" t="s">
        <v>6505</v>
      </c>
      <c r="K213" s="433">
        <v>33.0</v>
      </c>
      <c r="L213" s="433" t="s">
        <v>22160</v>
      </c>
      <c r="M213" s="667"/>
      <c r="N213" s="433" t="s">
        <v>54</v>
      </c>
      <c r="O213" s="433">
        <v>1987.0</v>
      </c>
      <c r="P213" s="433" t="s">
        <v>388</v>
      </c>
      <c r="Q213" s="433">
        <v>3.0</v>
      </c>
    </row>
    <row r="214" ht="15.75" customHeight="1">
      <c r="B214" s="433">
        <v>209.0</v>
      </c>
      <c r="C214" s="433"/>
      <c r="D214" s="433"/>
      <c r="E214" s="434" t="s">
        <v>22165</v>
      </c>
      <c r="F214" s="433" t="s">
        <v>21832</v>
      </c>
      <c r="G214" s="433" t="s">
        <v>29</v>
      </c>
      <c r="H214" s="433" t="s">
        <v>6505</v>
      </c>
      <c r="I214" s="433"/>
      <c r="J214" s="433" t="s">
        <v>6505</v>
      </c>
      <c r="K214" s="433">
        <v>31.0</v>
      </c>
      <c r="L214" s="433" t="s">
        <v>22160</v>
      </c>
      <c r="M214" s="667"/>
      <c r="N214" s="433" t="s">
        <v>54</v>
      </c>
      <c r="O214" s="433">
        <v>1989.0</v>
      </c>
      <c r="P214" s="433" t="s">
        <v>388</v>
      </c>
      <c r="Q214" s="433">
        <v>1.0</v>
      </c>
    </row>
    <row r="215" ht="52.5" customHeight="1">
      <c r="B215" s="433">
        <v>210.0</v>
      </c>
      <c r="C215" s="433"/>
      <c r="D215" s="433"/>
      <c r="E215" s="434" t="s">
        <v>22166</v>
      </c>
      <c r="F215" s="433" t="s">
        <v>21832</v>
      </c>
      <c r="G215" s="433" t="s">
        <v>29</v>
      </c>
      <c r="H215" s="433" t="s">
        <v>6505</v>
      </c>
      <c r="I215" s="433"/>
      <c r="J215" s="433" t="s">
        <v>6505</v>
      </c>
      <c r="K215" s="433">
        <v>31.0</v>
      </c>
      <c r="L215" s="433" t="s">
        <v>22160</v>
      </c>
      <c r="M215" s="667"/>
      <c r="N215" s="433" t="s">
        <v>54</v>
      </c>
      <c r="O215" s="433">
        <v>1983.0</v>
      </c>
      <c r="P215" s="433" t="s">
        <v>388</v>
      </c>
      <c r="Q215" s="433">
        <v>3.0</v>
      </c>
    </row>
    <row r="216" ht="15.75" customHeight="1">
      <c r="B216" s="433">
        <v>211.0</v>
      </c>
      <c r="C216" s="433"/>
      <c r="D216" s="433"/>
      <c r="E216" s="434" t="s">
        <v>22167</v>
      </c>
      <c r="F216" s="433" t="s">
        <v>21832</v>
      </c>
      <c r="G216" s="433" t="s">
        <v>29</v>
      </c>
      <c r="H216" s="433" t="s">
        <v>21834</v>
      </c>
      <c r="I216" s="433"/>
      <c r="J216" s="433" t="s">
        <v>16837</v>
      </c>
      <c r="K216" s="433">
        <v>32.0</v>
      </c>
      <c r="L216" s="433" t="s">
        <v>22160</v>
      </c>
      <c r="M216" s="667"/>
      <c r="N216" s="433" t="s">
        <v>12447</v>
      </c>
      <c r="O216" s="433"/>
      <c r="P216" s="433" t="s">
        <v>388</v>
      </c>
      <c r="Q216" s="433">
        <v>1.0</v>
      </c>
    </row>
    <row r="217" ht="57.75" customHeight="1">
      <c r="B217" s="433">
        <v>212.0</v>
      </c>
      <c r="C217" s="433"/>
      <c r="D217" s="433"/>
      <c r="E217" s="434" t="s">
        <v>22050</v>
      </c>
      <c r="F217" s="433" t="s">
        <v>21832</v>
      </c>
      <c r="G217" s="433" t="s">
        <v>29</v>
      </c>
      <c r="H217" s="433" t="s">
        <v>6505</v>
      </c>
      <c r="I217" s="433"/>
      <c r="J217" s="433" t="s">
        <v>38</v>
      </c>
      <c r="K217" s="433">
        <v>32.0</v>
      </c>
      <c r="L217" s="433" t="s">
        <v>22160</v>
      </c>
      <c r="M217" s="667"/>
      <c r="N217" s="433" t="s">
        <v>54</v>
      </c>
      <c r="O217" s="433">
        <v>1984.0</v>
      </c>
      <c r="P217" s="433" t="s">
        <v>388</v>
      </c>
      <c r="Q217" s="433">
        <v>2.0</v>
      </c>
    </row>
    <row r="218" ht="54.0" customHeight="1">
      <c r="B218" s="433">
        <v>213.0</v>
      </c>
      <c r="C218" s="433"/>
      <c r="D218" s="433"/>
      <c r="E218" s="434" t="s">
        <v>22168</v>
      </c>
      <c r="F218" s="433" t="s">
        <v>21832</v>
      </c>
      <c r="G218" s="433" t="s">
        <v>29</v>
      </c>
      <c r="H218" s="433" t="s">
        <v>6505</v>
      </c>
      <c r="I218" s="433"/>
      <c r="J218" s="433" t="s">
        <v>38</v>
      </c>
      <c r="K218" s="433">
        <v>32.0</v>
      </c>
      <c r="L218" s="433" t="s">
        <v>22160</v>
      </c>
      <c r="M218" s="667"/>
      <c r="N218" s="433" t="s">
        <v>54</v>
      </c>
      <c r="O218" s="433">
        <v>1999.0</v>
      </c>
      <c r="P218" s="433" t="s">
        <v>388</v>
      </c>
      <c r="Q218" s="433">
        <v>2.0</v>
      </c>
    </row>
    <row r="219" ht="53.25" customHeight="1">
      <c r="B219" s="433">
        <v>214.0</v>
      </c>
      <c r="C219" s="433"/>
      <c r="D219" s="433"/>
      <c r="E219" s="434" t="s">
        <v>22169</v>
      </c>
      <c r="F219" s="433" t="s">
        <v>21832</v>
      </c>
      <c r="G219" s="433" t="s">
        <v>29</v>
      </c>
      <c r="H219" s="433" t="s">
        <v>6505</v>
      </c>
      <c r="I219" s="433"/>
      <c r="J219" s="433" t="s">
        <v>38</v>
      </c>
      <c r="K219" s="433">
        <v>32.0</v>
      </c>
      <c r="L219" s="433" t="s">
        <v>22160</v>
      </c>
      <c r="M219" s="667"/>
      <c r="N219" s="433" t="s">
        <v>54</v>
      </c>
      <c r="O219" s="433">
        <v>1986.0</v>
      </c>
      <c r="P219" s="433" t="s">
        <v>388</v>
      </c>
      <c r="Q219" s="433">
        <v>1.0</v>
      </c>
    </row>
    <row r="220" ht="51.0" customHeight="1">
      <c r="B220" s="433">
        <v>215.0</v>
      </c>
      <c r="C220" s="433"/>
      <c r="D220" s="433"/>
      <c r="E220" s="434" t="s">
        <v>22170</v>
      </c>
      <c r="F220" s="433" t="s">
        <v>21832</v>
      </c>
      <c r="G220" s="433" t="s">
        <v>29</v>
      </c>
      <c r="H220" s="433" t="s">
        <v>127</v>
      </c>
      <c r="I220" s="433"/>
      <c r="J220" s="433" t="s">
        <v>38</v>
      </c>
      <c r="K220" s="433">
        <v>32.0</v>
      </c>
      <c r="L220" s="433" t="s">
        <v>22160</v>
      </c>
      <c r="M220" s="667"/>
      <c r="N220" s="433" t="s">
        <v>22171</v>
      </c>
      <c r="O220" s="433">
        <v>1971.0</v>
      </c>
      <c r="P220" s="433" t="s">
        <v>388</v>
      </c>
      <c r="Q220" s="433">
        <v>1.0</v>
      </c>
    </row>
    <row r="221" ht="68.25" customHeight="1">
      <c r="B221" s="433">
        <v>216.0</v>
      </c>
      <c r="C221" s="433"/>
      <c r="D221" s="433"/>
      <c r="E221" s="434" t="s">
        <v>22172</v>
      </c>
      <c r="F221" s="433" t="s">
        <v>21832</v>
      </c>
      <c r="G221" s="433" t="s">
        <v>29</v>
      </c>
      <c r="H221" s="433" t="s">
        <v>6505</v>
      </c>
      <c r="I221" s="433"/>
      <c r="J221" s="433" t="s">
        <v>38</v>
      </c>
      <c r="K221" s="433">
        <v>32.0</v>
      </c>
      <c r="L221" s="433" t="s">
        <v>22160</v>
      </c>
      <c r="M221" s="667"/>
      <c r="N221" s="433" t="s">
        <v>54</v>
      </c>
      <c r="O221" s="433">
        <v>1998.0</v>
      </c>
      <c r="P221" s="433" t="s">
        <v>388</v>
      </c>
      <c r="Q221" s="433">
        <v>1.0</v>
      </c>
    </row>
    <row r="222" ht="78.0" customHeight="1">
      <c r="B222" s="433">
        <v>217.0</v>
      </c>
      <c r="C222" s="433"/>
      <c r="D222" s="433"/>
      <c r="E222" s="434" t="s">
        <v>22173</v>
      </c>
      <c r="F222" s="433" t="s">
        <v>21832</v>
      </c>
      <c r="G222" s="433" t="s">
        <v>29</v>
      </c>
      <c r="H222" s="433" t="s">
        <v>6505</v>
      </c>
      <c r="I222" s="433"/>
      <c r="J222" s="433" t="s">
        <v>15304</v>
      </c>
      <c r="K222" s="433">
        <v>32.0</v>
      </c>
      <c r="L222" s="433" t="s">
        <v>22160</v>
      </c>
      <c r="M222" s="667"/>
      <c r="N222" s="433" t="s">
        <v>22174</v>
      </c>
      <c r="O222" s="433">
        <v>1996.0</v>
      </c>
      <c r="P222" s="433" t="s">
        <v>388</v>
      </c>
      <c r="Q222" s="433">
        <v>4.0</v>
      </c>
    </row>
    <row r="223" ht="15.75" customHeight="1">
      <c r="B223" s="433">
        <v>218.0</v>
      </c>
      <c r="C223" s="433"/>
      <c r="D223" s="433"/>
      <c r="E223" s="434" t="s">
        <v>22175</v>
      </c>
      <c r="F223" s="433" t="s">
        <v>21832</v>
      </c>
      <c r="G223" s="433" t="s">
        <v>29</v>
      </c>
      <c r="H223" s="433" t="s">
        <v>58</v>
      </c>
      <c r="I223" s="433"/>
      <c r="J223" s="433" t="s">
        <v>166</v>
      </c>
      <c r="K223" s="433">
        <v>26.0</v>
      </c>
      <c r="L223" s="433"/>
      <c r="M223" s="433"/>
      <c r="N223" s="433"/>
      <c r="O223" s="433">
        <v>1980.0</v>
      </c>
      <c r="P223" s="433" t="s">
        <v>388</v>
      </c>
      <c r="Q223" s="433">
        <v>6.0</v>
      </c>
    </row>
    <row r="224" ht="15.75" customHeight="1">
      <c r="B224" s="433">
        <v>219.0</v>
      </c>
      <c r="C224" s="433"/>
      <c r="D224" s="433"/>
      <c r="E224" s="434" t="s">
        <v>22176</v>
      </c>
      <c r="F224" s="433" t="s">
        <v>21832</v>
      </c>
      <c r="G224" s="433" t="s">
        <v>29</v>
      </c>
      <c r="H224" s="433" t="s">
        <v>22177</v>
      </c>
      <c r="I224" s="433"/>
      <c r="J224" s="433" t="s">
        <v>22177</v>
      </c>
      <c r="K224" s="433">
        <v>125.0</v>
      </c>
      <c r="L224" s="433"/>
      <c r="M224" s="433"/>
      <c r="N224" s="433" t="s">
        <v>22178</v>
      </c>
      <c r="O224" s="433">
        <v>1529.0</v>
      </c>
      <c r="P224" s="433" t="s">
        <v>388</v>
      </c>
      <c r="Q224" s="433">
        <v>1.0</v>
      </c>
    </row>
    <row r="225" ht="15.75" customHeight="1">
      <c r="B225" s="433">
        <v>220.0</v>
      </c>
      <c r="C225" s="433"/>
      <c r="D225" s="433"/>
      <c r="E225" s="434" t="s">
        <v>22179</v>
      </c>
      <c r="F225" s="433" t="s">
        <v>21832</v>
      </c>
      <c r="G225" s="433" t="s">
        <v>29</v>
      </c>
      <c r="H225" s="433" t="s">
        <v>17549</v>
      </c>
      <c r="I225" s="433"/>
      <c r="J225" s="433" t="s">
        <v>17549</v>
      </c>
      <c r="K225" s="433"/>
      <c r="L225" s="433"/>
      <c r="M225" s="433"/>
      <c r="N225" s="433" t="s">
        <v>22180</v>
      </c>
      <c r="O225" s="433">
        <v>1968.0</v>
      </c>
      <c r="P225" s="433" t="s">
        <v>388</v>
      </c>
      <c r="Q225" s="433">
        <v>1.0</v>
      </c>
    </row>
    <row r="226" ht="15.75" customHeight="1">
      <c r="B226" s="430">
        <v>221.0</v>
      </c>
      <c r="C226" s="430"/>
      <c r="D226" s="430"/>
      <c r="E226" s="432" t="s">
        <v>22181</v>
      </c>
      <c r="F226" s="430" t="s">
        <v>21832</v>
      </c>
      <c r="G226" s="430" t="s">
        <v>29</v>
      </c>
      <c r="H226" s="430" t="s">
        <v>15646</v>
      </c>
      <c r="I226" s="430"/>
      <c r="J226" s="430" t="s">
        <v>15646</v>
      </c>
      <c r="K226" s="430">
        <v>80.0</v>
      </c>
      <c r="L226" s="430"/>
      <c r="M226" s="430"/>
      <c r="N226" s="430"/>
      <c r="O226" s="430"/>
      <c r="P226" s="430" t="s">
        <v>388</v>
      </c>
      <c r="Q226" s="430">
        <v>2.0</v>
      </c>
    </row>
    <row r="227" ht="15.75" customHeight="1">
      <c r="B227" s="433"/>
      <c r="C227" s="433"/>
      <c r="D227" s="433"/>
      <c r="E227" s="434"/>
      <c r="F227" s="433"/>
      <c r="G227" s="433"/>
      <c r="H227" s="433"/>
      <c r="I227" s="433"/>
      <c r="J227" s="433"/>
      <c r="K227" s="433"/>
      <c r="L227" s="433"/>
      <c r="M227" s="433"/>
      <c r="N227" s="433"/>
      <c r="O227" s="433"/>
      <c r="P227" s="433"/>
      <c r="Q227" s="433"/>
    </row>
    <row r="228" ht="15.75" customHeight="1">
      <c r="B228" s="433"/>
      <c r="C228" s="433"/>
      <c r="D228" s="433"/>
      <c r="E228" s="434"/>
      <c r="F228" s="433"/>
      <c r="G228" s="433"/>
      <c r="H228" s="433"/>
      <c r="I228" s="433"/>
      <c r="J228" s="433"/>
      <c r="K228" s="433"/>
      <c r="L228" s="433"/>
      <c r="M228" s="433"/>
      <c r="N228" s="433"/>
      <c r="O228" s="433"/>
      <c r="P228" s="433"/>
      <c r="Q228" s="433"/>
    </row>
    <row r="229" ht="15.75" customHeight="1">
      <c r="B229" s="433"/>
      <c r="C229" s="433"/>
      <c r="D229" s="433"/>
      <c r="E229" s="434"/>
      <c r="F229" s="433"/>
      <c r="G229" s="433"/>
      <c r="H229" s="433"/>
      <c r="I229" s="433"/>
      <c r="J229" s="433"/>
      <c r="K229" s="433"/>
      <c r="L229" s="433"/>
      <c r="M229" s="433"/>
      <c r="N229" s="433"/>
      <c r="O229" s="433"/>
      <c r="P229" s="433"/>
      <c r="Q229" s="433"/>
    </row>
    <row r="230" ht="15.75" customHeight="1">
      <c r="B230" s="433"/>
      <c r="C230" s="433"/>
      <c r="D230" s="433"/>
      <c r="E230" s="434"/>
      <c r="F230" s="433"/>
      <c r="G230" s="433"/>
      <c r="H230" s="433"/>
      <c r="I230" s="433"/>
      <c r="J230" s="433"/>
      <c r="K230" s="433"/>
      <c r="L230" s="433"/>
      <c r="M230" s="433"/>
      <c r="N230" s="433"/>
      <c r="O230" s="433"/>
      <c r="P230" s="433"/>
      <c r="Q230" s="433"/>
    </row>
    <row r="231" ht="15.75" customHeight="1">
      <c r="B231" s="433">
        <v>220.0</v>
      </c>
      <c r="C231" s="433"/>
      <c r="D231" s="433"/>
      <c r="E231" s="434"/>
      <c r="F231" s="433"/>
      <c r="G231" s="433"/>
      <c r="H231" s="433"/>
      <c r="I231" s="433"/>
      <c r="J231" s="433"/>
      <c r="K231" s="433"/>
      <c r="L231" s="433"/>
      <c r="M231" s="433"/>
      <c r="N231" s="433"/>
      <c r="O231" s="433"/>
      <c r="P231" s="433"/>
      <c r="Q231" s="433">
        <f>SUM(Q6:Q226)</f>
        <v>300</v>
      </c>
    </row>
    <row r="232" ht="15.75" customHeight="1">
      <c r="B232" s="856"/>
      <c r="C232" s="455"/>
      <c r="D232" s="455"/>
      <c r="E232" s="455"/>
      <c r="F232" s="455"/>
      <c r="G232" s="455"/>
      <c r="H232" s="455"/>
      <c r="I232" s="455"/>
      <c r="J232" s="455"/>
      <c r="K232" s="455"/>
      <c r="L232" s="455"/>
      <c r="M232" s="455"/>
      <c r="N232" s="455"/>
      <c r="O232" s="455"/>
      <c r="P232" s="455"/>
      <c r="Q232" s="456"/>
    </row>
    <row r="233" ht="15.75" customHeight="1">
      <c r="B233" s="457" t="s">
        <v>14257</v>
      </c>
      <c r="C233" s="6"/>
      <c r="D233" s="6"/>
      <c r="E233" s="6"/>
      <c r="F233" s="6"/>
      <c r="G233" s="6"/>
      <c r="H233" s="6"/>
      <c r="I233" s="6"/>
      <c r="J233" s="6"/>
      <c r="K233" s="6"/>
      <c r="L233" s="6"/>
      <c r="M233" s="6"/>
      <c r="N233" s="6"/>
      <c r="O233" s="6"/>
      <c r="P233" s="6"/>
      <c r="Q233" s="7"/>
    </row>
    <row r="234" ht="15.75" customHeight="1">
      <c r="B234" s="327" t="s">
        <v>14150</v>
      </c>
      <c r="C234" s="457" t="s">
        <v>14151</v>
      </c>
      <c r="D234" s="6"/>
      <c r="E234" s="7"/>
      <c r="F234" s="458"/>
      <c r="G234" s="459"/>
      <c r="H234" s="7"/>
      <c r="I234" s="459"/>
      <c r="J234" s="6"/>
      <c r="K234" s="6"/>
      <c r="L234" s="7"/>
      <c r="M234" s="460"/>
      <c r="N234" s="461" t="s">
        <v>15140</v>
      </c>
      <c r="O234" s="461"/>
      <c r="P234" s="461"/>
      <c r="Q234" s="461"/>
    </row>
    <row r="235" ht="15.75" customHeight="1">
      <c r="B235" s="321"/>
      <c r="C235" s="399"/>
      <c r="D235" s="458"/>
      <c r="E235" s="462"/>
      <c r="F235" s="458"/>
      <c r="G235" s="463"/>
      <c r="H235" s="7"/>
      <c r="I235" s="321"/>
      <c r="J235" s="321"/>
      <c r="K235" s="463"/>
      <c r="L235" s="7"/>
      <c r="M235" s="321"/>
      <c r="N235" s="321"/>
      <c r="O235" s="321"/>
      <c r="P235" s="321"/>
      <c r="Q235" s="321"/>
    </row>
    <row r="236" ht="15.75" customHeight="1">
      <c r="B236" s="463"/>
      <c r="C236" s="7"/>
      <c r="D236" s="458"/>
      <c r="E236" s="463"/>
      <c r="F236" s="7"/>
      <c r="G236" s="321"/>
      <c r="H236" s="321"/>
      <c r="I236" s="321"/>
      <c r="J236" s="321"/>
      <c r="K236" s="321"/>
      <c r="L236" s="321"/>
      <c r="M236" s="321"/>
      <c r="N236" s="321"/>
      <c r="O236" s="321"/>
      <c r="P236" s="321"/>
      <c r="Q236" s="321"/>
    </row>
    <row r="237" ht="15.75" customHeight="1">
      <c r="B237" s="321"/>
      <c r="C237" s="457" t="s">
        <v>15030</v>
      </c>
      <c r="D237" s="6"/>
      <c r="E237" s="7"/>
      <c r="F237" s="458"/>
      <c r="G237" s="457"/>
      <c r="H237" s="7"/>
      <c r="I237" s="457"/>
      <c r="J237" s="6"/>
      <c r="K237" s="6"/>
      <c r="L237" s="7"/>
      <c r="M237" s="457" t="s">
        <v>14154</v>
      </c>
      <c r="N237" s="6"/>
      <c r="O237" s="6"/>
      <c r="P237" s="6"/>
      <c r="Q237" s="7"/>
    </row>
    <row r="238" ht="15.75" customHeight="1">
      <c r="B238" s="321"/>
      <c r="C238" s="457" t="s">
        <v>14155</v>
      </c>
      <c r="D238" s="6"/>
      <c r="E238" s="7"/>
      <c r="F238" s="458"/>
      <c r="G238" s="457"/>
      <c r="H238" s="7"/>
      <c r="I238" s="327"/>
      <c r="J238" s="457"/>
      <c r="K238" s="6"/>
      <c r="L238" s="7"/>
      <c r="M238" s="457" t="s">
        <v>14156</v>
      </c>
      <c r="N238" s="6"/>
      <c r="O238" s="6"/>
      <c r="P238" s="6"/>
      <c r="Q238" s="7"/>
    </row>
    <row r="239" ht="15.75" customHeight="1">
      <c r="B239" s="460"/>
      <c r="C239" s="460"/>
      <c r="D239" s="460"/>
      <c r="E239" s="939"/>
      <c r="F239" s="460"/>
      <c r="G239" s="460"/>
      <c r="H239" s="460"/>
      <c r="I239" s="460"/>
      <c r="J239" s="460"/>
      <c r="K239" s="460"/>
      <c r="L239" s="460"/>
      <c r="M239" s="940"/>
      <c r="O239" s="458"/>
      <c r="P239" s="458"/>
      <c r="Q239" s="458"/>
    </row>
    <row r="240" ht="15.75" customHeight="1">
      <c r="B240" s="667"/>
      <c r="C240" s="667"/>
      <c r="D240" s="667"/>
      <c r="E240" s="668"/>
      <c r="F240" s="667"/>
      <c r="G240" s="667"/>
      <c r="H240" s="667"/>
      <c r="I240" s="667"/>
      <c r="J240" s="667"/>
      <c r="K240" s="667"/>
      <c r="L240" s="667"/>
      <c r="M240" s="667"/>
      <c r="N240" s="667"/>
      <c r="O240" s="667"/>
      <c r="P240" s="667"/>
      <c r="Q240" s="667"/>
    </row>
    <row r="241" ht="15.75" customHeight="1">
      <c r="B241" s="667"/>
      <c r="C241" s="667"/>
      <c r="D241" s="667"/>
      <c r="E241" s="668"/>
      <c r="F241" s="667"/>
      <c r="G241" s="667"/>
      <c r="H241" s="667"/>
      <c r="I241" s="667"/>
      <c r="J241" s="667"/>
      <c r="K241" s="667"/>
      <c r="L241" s="667"/>
      <c r="M241" s="667"/>
      <c r="N241" s="667"/>
      <c r="O241" s="667"/>
      <c r="P241" s="667"/>
      <c r="Q241" s="667"/>
    </row>
    <row r="242" ht="15.75" customHeight="1">
      <c r="B242" s="667"/>
      <c r="C242" s="667"/>
      <c r="D242" s="667"/>
      <c r="E242" s="668"/>
      <c r="F242" s="667"/>
      <c r="G242" s="667"/>
      <c r="H242" s="667"/>
      <c r="I242" s="667"/>
      <c r="J242" s="667"/>
      <c r="K242" s="667"/>
      <c r="L242" s="667"/>
      <c r="M242" s="667"/>
      <c r="N242" s="667"/>
      <c r="O242" s="667"/>
      <c r="P242" s="667"/>
      <c r="Q242" s="667"/>
    </row>
    <row r="243" ht="15.75" customHeight="1">
      <c r="B243" s="667"/>
      <c r="C243" s="667"/>
      <c r="D243" s="667"/>
      <c r="E243" s="668"/>
      <c r="F243" s="667"/>
      <c r="G243" s="667"/>
      <c r="H243" s="667"/>
      <c r="I243" s="667"/>
      <c r="J243" s="667"/>
      <c r="K243" s="667"/>
      <c r="L243" s="667"/>
      <c r="M243" s="667"/>
      <c r="N243" s="667"/>
      <c r="O243" s="667"/>
      <c r="P243" s="667"/>
      <c r="Q243" s="667"/>
    </row>
    <row r="244" ht="15.75" customHeight="1">
      <c r="B244" s="667"/>
      <c r="C244" s="667"/>
      <c r="D244" s="667"/>
      <c r="E244" s="668"/>
      <c r="F244" s="667"/>
      <c r="G244" s="667"/>
      <c r="H244" s="667"/>
      <c r="I244" s="667"/>
      <c r="J244" s="667"/>
      <c r="K244" s="667"/>
      <c r="L244" s="667"/>
      <c r="M244" s="667"/>
      <c r="N244" s="667"/>
      <c r="O244" s="667"/>
      <c r="P244" s="667"/>
      <c r="Q244" s="667"/>
    </row>
    <row r="245" ht="15.75" customHeight="1">
      <c r="B245" s="667"/>
      <c r="C245" s="667"/>
      <c r="D245" s="667"/>
      <c r="E245" s="668"/>
      <c r="F245" s="667"/>
      <c r="G245" s="667"/>
      <c r="H245" s="667"/>
      <c r="I245" s="667"/>
      <c r="J245" s="667"/>
      <c r="K245" s="667"/>
      <c r="L245" s="667"/>
      <c r="M245" s="667"/>
      <c r="N245" s="667"/>
      <c r="O245" s="667"/>
      <c r="P245" s="667"/>
      <c r="Q245" s="667"/>
    </row>
    <row r="246" ht="15.75" customHeight="1">
      <c r="B246" s="667"/>
      <c r="C246" s="667"/>
      <c r="D246" s="667"/>
      <c r="E246" s="668"/>
      <c r="F246" s="667"/>
      <c r="G246" s="667"/>
      <c r="H246" s="667"/>
      <c r="I246" s="667"/>
      <c r="J246" s="667"/>
      <c r="K246" s="667"/>
      <c r="L246" s="667"/>
      <c r="M246" s="667"/>
      <c r="N246" s="667"/>
      <c r="O246" s="667"/>
      <c r="P246" s="667"/>
      <c r="Q246" s="667"/>
    </row>
    <row r="247" ht="15.75" customHeight="1">
      <c r="B247" s="667"/>
      <c r="C247" s="667"/>
      <c r="D247" s="667"/>
      <c r="E247" s="668"/>
      <c r="F247" s="667"/>
      <c r="G247" s="667"/>
      <c r="H247" s="667"/>
      <c r="I247" s="667"/>
      <c r="J247" s="667"/>
      <c r="K247" s="667"/>
      <c r="L247" s="667"/>
      <c r="M247" s="667"/>
      <c r="N247" s="667"/>
      <c r="O247" s="667"/>
      <c r="P247" s="667"/>
      <c r="Q247" s="667"/>
    </row>
    <row r="248" ht="15.75" customHeight="1">
      <c r="B248" s="667"/>
      <c r="C248" s="667"/>
      <c r="D248" s="667"/>
      <c r="E248" s="668"/>
      <c r="F248" s="667"/>
      <c r="G248" s="667"/>
      <c r="H248" s="667"/>
      <c r="I248" s="667"/>
      <c r="J248" s="667"/>
      <c r="K248" s="667"/>
      <c r="L248" s="667"/>
      <c r="M248" s="667"/>
      <c r="N248" s="667"/>
      <c r="O248" s="667"/>
      <c r="P248" s="667"/>
      <c r="Q248" s="667"/>
    </row>
    <row r="249" ht="15.75" customHeight="1">
      <c r="B249" s="667"/>
      <c r="C249" s="667"/>
      <c r="D249" s="667"/>
      <c r="E249" s="668"/>
      <c r="F249" s="667"/>
      <c r="G249" s="667"/>
      <c r="H249" s="667"/>
      <c r="I249" s="667"/>
      <c r="J249" s="667"/>
      <c r="K249" s="667"/>
      <c r="L249" s="667"/>
      <c r="M249" s="667"/>
      <c r="N249" s="667"/>
      <c r="O249" s="667"/>
      <c r="P249" s="667"/>
      <c r="Q249" s="667"/>
    </row>
    <row r="250" ht="15.75" customHeight="1">
      <c r="B250" s="667"/>
      <c r="C250" s="667"/>
      <c r="D250" s="667"/>
      <c r="E250" s="668"/>
      <c r="F250" s="667"/>
      <c r="G250" s="667"/>
      <c r="H250" s="667"/>
      <c r="I250" s="667"/>
      <c r="J250" s="667"/>
      <c r="K250" s="667"/>
      <c r="L250" s="667"/>
      <c r="M250" s="667"/>
      <c r="N250" s="667"/>
      <c r="O250" s="667"/>
      <c r="P250" s="667"/>
      <c r="Q250" s="667"/>
    </row>
    <row r="251" ht="15.75" customHeight="1">
      <c r="B251" s="667"/>
      <c r="C251" s="667"/>
      <c r="D251" s="667"/>
      <c r="E251" s="668"/>
      <c r="F251" s="667"/>
      <c r="G251" s="667"/>
      <c r="H251" s="667"/>
      <c r="I251" s="667"/>
      <c r="J251" s="667"/>
      <c r="K251" s="667"/>
      <c r="L251" s="667"/>
      <c r="M251" s="667"/>
      <c r="N251" s="667"/>
      <c r="O251" s="667"/>
      <c r="P251" s="667"/>
      <c r="Q251" s="667"/>
    </row>
    <row r="252" ht="15.75" customHeight="1">
      <c r="B252" s="667"/>
      <c r="C252" s="667"/>
      <c r="D252" s="667"/>
      <c r="E252" s="668"/>
      <c r="F252" s="667"/>
      <c r="G252" s="667"/>
      <c r="H252" s="667"/>
      <c r="I252" s="667"/>
      <c r="J252" s="667"/>
      <c r="K252" s="667"/>
      <c r="L252" s="667"/>
      <c r="M252" s="667"/>
      <c r="N252" s="667"/>
      <c r="O252" s="667"/>
      <c r="P252" s="667"/>
      <c r="Q252" s="667"/>
    </row>
    <row r="253" ht="15.75" customHeight="1">
      <c r="B253" s="667"/>
      <c r="C253" s="667"/>
      <c r="D253" s="667"/>
      <c r="E253" s="668"/>
      <c r="F253" s="667"/>
      <c r="G253" s="667"/>
      <c r="H253" s="667"/>
      <c r="I253" s="667"/>
      <c r="J253" s="667"/>
      <c r="K253" s="667"/>
      <c r="L253" s="667"/>
      <c r="M253" s="667"/>
      <c r="N253" s="667"/>
      <c r="O253" s="667"/>
      <c r="P253" s="667"/>
      <c r="Q253" s="667"/>
    </row>
    <row r="254" ht="15.75" customHeight="1">
      <c r="B254" s="667"/>
      <c r="C254" s="667"/>
      <c r="D254" s="667"/>
      <c r="E254" s="668"/>
      <c r="F254" s="667"/>
      <c r="G254" s="667"/>
      <c r="H254" s="667"/>
      <c r="I254" s="667"/>
      <c r="J254" s="667"/>
      <c r="K254" s="667"/>
      <c r="L254" s="667"/>
      <c r="M254" s="667"/>
      <c r="N254" s="667"/>
      <c r="O254" s="667"/>
      <c r="P254" s="667"/>
      <c r="Q254" s="667"/>
    </row>
    <row r="255" ht="15.75" customHeight="1">
      <c r="B255" s="667"/>
      <c r="C255" s="667"/>
      <c r="D255" s="667"/>
      <c r="E255" s="668"/>
      <c r="F255" s="667"/>
      <c r="G255" s="667"/>
      <c r="H255" s="667"/>
      <c r="I255" s="667"/>
      <c r="J255" s="667"/>
      <c r="K255" s="667"/>
      <c r="L255" s="667"/>
      <c r="M255" s="667"/>
      <c r="N255" s="667"/>
      <c r="O255" s="667"/>
      <c r="P255" s="667"/>
      <c r="Q255" s="667"/>
    </row>
    <row r="256" ht="15.75" customHeight="1">
      <c r="B256" s="667"/>
      <c r="C256" s="667"/>
      <c r="D256" s="667"/>
      <c r="E256" s="668"/>
      <c r="F256" s="667"/>
      <c r="G256" s="667"/>
      <c r="H256" s="667"/>
      <c r="I256" s="667"/>
      <c r="J256" s="667"/>
      <c r="K256" s="667"/>
      <c r="L256" s="667"/>
      <c r="M256" s="667"/>
      <c r="N256" s="667"/>
      <c r="O256" s="667"/>
      <c r="P256" s="667"/>
      <c r="Q256" s="667"/>
    </row>
    <row r="257" ht="15.75" customHeight="1">
      <c r="B257" s="667"/>
      <c r="C257" s="667"/>
      <c r="D257" s="667"/>
      <c r="E257" s="668"/>
      <c r="F257" s="667"/>
      <c r="G257" s="667"/>
      <c r="H257" s="667"/>
      <c r="I257" s="667"/>
      <c r="J257" s="667"/>
      <c r="K257" s="667"/>
      <c r="L257" s="667"/>
      <c r="M257" s="667"/>
      <c r="N257" s="667"/>
      <c r="O257" s="667"/>
      <c r="P257" s="667"/>
      <c r="Q257" s="667"/>
    </row>
    <row r="258" ht="15.75" customHeight="1">
      <c r="B258" s="667"/>
      <c r="C258" s="667"/>
      <c r="D258" s="667"/>
      <c r="E258" s="668"/>
      <c r="F258" s="667"/>
      <c r="G258" s="667"/>
      <c r="H258" s="667"/>
      <c r="I258" s="667"/>
      <c r="J258" s="667"/>
      <c r="K258" s="667"/>
      <c r="L258" s="667"/>
      <c r="M258" s="667"/>
      <c r="N258" s="667"/>
      <c r="O258" s="667"/>
      <c r="P258" s="667"/>
      <c r="Q258" s="667"/>
    </row>
    <row r="259" ht="15.75" customHeight="1">
      <c r="B259" s="667"/>
      <c r="C259" s="667"/>
      <c r="D259" s="667"/>
      <c r="E259" s="668"/>
      <c r="F259" s="667"/>
      <c r="G259" s="667"/>
      <c r="H259" s="667"/>
      <c r="I259" s="667"/>
      <c r="J259" s="667"/>
      <c r="K259" s="667"/>
      <c r="L259" s="667"/>
      <c r="M259" s="667"/>
      <c r="N259" s="667"/>
      <c r="O259" s="667"/>
      <c r="P259" s="667"/>
      <c r="Q259" s="667"/>
    </row>
    <row r="260" ht="15.75" customHeight="1">
      <c r="B260" s="667"/>
      <c r="C260" s="667"/>
      <c r="D260" s="667"/>
      <c r="E260" s="668"/>
      <c r="F260" s="667"/>
      <c r="G260" s="667"/>
      <c r="H260" s="667"/>
      <c r="I260" s="667"/>
      <c r="J260" s="667"/>
      <c r="K260" s="667"/>
      <c r="L260" s="667"/>
      <c r="M260" s="667"/>
      <c r="N260" s="667"/>
      <c r="O260" s="667"/>
      <c r="P260" s="667"/>
      <c r="Q260" s="667"/>
    </row>
    <row r="261" ht="15.75" customHeight="1">
      <c r="B261" s="667"/>
      <c r="C261" s="667"/>
      <c r="D261" s="667"/>
      <c r="E261" s="668"/>
      <c r="F261" s="667"/>
      <c r="G261" s="667"/>
      <c r="H261" s="667"/>
      <c r="I261" s="667"/>
      <c r="J261" s="667"/>
      <c r="K261" s="667"/>
      <c r="L261" s="667"/>
      <c r="M261" s="667"/>
      <c r="N261" s="667"/>
      <c r="O261" s="667"/>
      <c r="P261" s="667"/>
      <c r="Q261" s="667"/>
    </row>
    <row r="262" ht="15.75" customHeight="1">
      <c r="B262" s="667"/>
      <c r="C262" s="667"/>
      <c r="D262" s="667"/>
      <c r="E262" s="668"/>
      <c r="F262" s="667"/>
      <c r="G262" s="667"/>
      <c r="H262" s="667"/>
      <c r="I262" s="667"/>
      <c r="J262" s="667"/>
      <c r="K262" s="667"/>
      <c r="L262" s="667"/>
      <c r="M262" s="667"/>
      <c r="N262" s="667"/>
      <c r="O262" s="667"/>
      <c r="P262" s="667"/>
      <c r="Q262" s="667"/>
    </row>
    <row r="263" ht="15.75" customHeight="1">
      <c r="B263" s="667"/>
      <c r="C263" s="667"/>
      <c r="D263" s="667"/>
      <c r="E263" s="668"/>
      <c r="F263" s="667"/>
      <c r="G263" s="667"/>
      <c r="H263" s="667"/>
      <c r="I263" s="667"/>
      <c r="J263" s="667"/>
      <c r="K263" s="667"/>
      <c r="L263" s="667"/>
      <c r="M263" s="667"/>
      <c r="N263" s="667"/>
      <c r="O263" s="667"/>
      <c r="P263" s="667"/>
      <c r="Q263" s="667"/>
    </row>
    <row r="264" ht="15.75" customHeight="1">
      <c r="B264" s="667"/>
      <c r="C264" s="667"/>
      <c r="D264" s="667"/>
      <c r="E264" s="668"/>
      <c r="F264" s="667"/>
      <c r="G264" s="667"/>
      <c r="H264" s="667"/>
      <c r="I264" s="667"/>
      <c r="J264" s="667"/>
      <c r="K264" s="667"/>
      <c r="L264" s="667"/>
      <c r="M264" s="667"/>
      <c r="N264" s="667"/>
      <c r="O264" s="667"/>
      <c r="P264" s="667"/>
      <c r="Q264" s="667"/>
    </row>
    <row r="265" ht="15.75" customHeight="1">
      <c r="B265" s="667"/>
      <c r="C265" s="667"/>
      <c r="D265" s="667"/>
      <c r="E265" s="668"/>
      <c r="F265" s="667"/>
      <c r="G265" s="667"/>
      <c r="H265" s="667"/>
      <c r="I265" s="667"/>
      <c r="J265" s="667"/>
      <c r="K265" s="667"/>
      <c r="L265" s="667"/>
      <c r="M265" s="667"/>
      <c r="N265" s="667"/>
      <c r="O265" s="667"/>
      <c r="P265" s="667"/>
      <c r="Q265" s="667"/>
    </row>
    <row r="266" ht="15.75" customHeight="1">
      <c r="B266" s="667"/>
      <c r="C266" s="667"/>
      <c r="D266" s="667"/>
      <c r="E266" s="668"/>
      <c r="F266" s="667"/>
      <c r="G266" s="667"/>
      <c r="H266" s="667"/>
      <c r="I266" s="667"/>
      <c r="J266" s="667"/>
      <c r="K266" s="667"/>
      <c r="L266" s="667"/>
      <c r="M266" s="667"/>
      <c r="N266" s="667"/>
      <c r="O266" s="667"/>
      <c r="P266" s="667"/>
      <c r="Q266" s="667"/>
    </row>
    <row r="267" ht="15.75" customHeight="1">
      <c r="B267" s="667"/>
      <c r="C267" s="667"/>
      <c r="D267" s="667"/>
      <c r="E267" s="668"/>
      <c r="F267" s="667"/>
      <c r="G267" s="667"/>
      <c r="H267" s="667"/>
      <c r="I267" s="667"/>
      <c r="J267" s="667"/>
      <c r="K267" s="667"/>
      <c r="L267" s="667"/>
      <c r="M267" s="667"/>
      <c r="N267" s="667"/>
      <c r="O267" s="667"/>
      <c r="P267" s="667"/>
      <c r="Q267" s="667"/>
    </row>
    <row r="268" ht="15.75" customHeight="1">
      <c r="B268" s="667"/>
      <c r="C268" s="667"/>
      <c r="D268" s="667"/>
      <c r="E268" s="668"/>
      <c r="F268" s="667"/>
      <c r="G268" s="667"/>
      <c r="H268" s="667"/>
      <c r="I268" s="667"/>
      <c r="J268" s="667"/>
      <c r="K268" s="667"/>
      <c r="L268" s="667"/>
      <c r="M268" s="667"/>
      <c r="N268" s="667"/>
      <c r="O268" s="667"/>
      <c r="P268" s="667"/>
      <c r="Q268" s="667"/>
    </row>
    <row r="269" ht="15.75" customHeight="1">
      <c r="B269" s="667"/>
      <c r="C269" s="667"/>
      <c r="D269" s="667"/>
      <c r="E269" s="668"/>
      <c r="F269" s="667"/>
      <c r="G269" s="667"/>
      <c r="H269" s="667"/>
      <c r="I269" s="667"/>
      <c r="J269" s="667"/>
      <c r="K269" s="667"/>
      <c r="L269" s="667"/>
      <c r="M269" s="667"/>
      <c r="N269" s="667"/>
      <c r="O269" s="667"/>
      <c r="P269" s="667"/>
      <c r="Q269" s="667"/>
    </row>
    <row r="270" ht="15.75" customHeight="1">
      <c r="B270" s="667"/>
      <c r="C270" s="667"/>
      <c r="D270" s="667"/>
      <c r="E270" s="668"/>
      <c r="F270" s="667"/>
      <c r="G270" s="667"/>
      <c r="H270" s="667"/>
      <c r="I270" s="667"/>
      <c r="J270" s="667"/>
      <c r="K270" s="667"/>
      <c r="L270" s="667"/>
      <c r="M270" s="667"/>
      <c r="N270" s="667"/>
      <c r="O270" s="667"/>
      <c r="P270" s="667"/>
      <c r="Q270" s="667"/>
    </row>
    <row r="271" ht="15.75" customHeight="1">
      <c r="B271" s="667"/>
      <c r="C271" s="667"/>
      <c r="D271" s="667"/>
      <c r="E271" s="668"/>
      <c r="F271" s="667"/>
      <c r="G271" s="667"/>
      <c r="H271" s="667"/>
      <c r="I271" s="667"/>
      <c r="J271" s="667"/>
      <c r="K271" s="667"/>
      <c r="L271" s="667"/>
      <c r="M271" s="667"/>
      <c r="N271" s="667"/>
      <c r="O271" s="667"/>
      <c r="P271" s="667"/>
      <c r="Q271" s="667"/>
    </row>
    <row r="272" ht="15.75" customHeight="1">
      <c r="B272" s="667"/>
      <c r="C272" s="667"/>
      <c r="D272" s="667"/>
      <c r="E272" s="668"/>
      <c r="F272" s="667"/>
      <c r="G272" s="667"/>
      <c r="H272" s="667"/>
      <c r="I272" s="667"/>
      <c r="J272" s="667"/>
      <c r="K272" s="667"/>
      <c r="L272" s="667"/>
      <c r="M272" s="667"/>
      <c r="N272" s="667"/>
      <c r="O272" s="667"/>
      <c r="P272" s="667"/>
      <c r="Q272" s="667"/>
    </row>
    <row r="273" ht="15.75" customHeight="1">
      <c r="B273" s="667"/>
      <c r="C273" s="667"/>
      <c r="D273" s="667"/>
      <c r="E273" s="668"/>
      <c r="F273" s="667"/>
      <c r="G273" s="667"/>
      <c r="H273" s="667"/>
      <c r="I273" s="667"/>
      <c r="J273" s="667"/>
      <c r="K273" s="667"/>
      <c r="L273" s="667"/>
      <c r="M273" s="667"/>
      <c r="N273" s="667"/>
      <c r="O273" s="667"/>
      <c r="P273" s="667"/>
      <c r="Q273" s="667"/>
    </row>
    <row r="274" ht="15.75" customHeight="1">
      <c r="B274" s="667"/>
      <c r="C274" s="667"/>
      <c r="D274" s="667"/>
      <c r="E274" s="668"/>
      <c r="F274" s="667"/>
      <c r="G274" s="667"/>
      <c r="H274" s="667"/>
      <c r="I274" s="667"/>
      <c r="J274" s="667"/>
      <c r="K274" s="667"/>
      <c r="L274" s="667"/>
      <c r="M274" s="667"/>
      <c r="N274" s="667"/>
      <c r="O274" s="667"/>
      <c r="P274" s="667"/>
      <c r="Q274" s="667"/>
    </row>
    <row r="275" ht="15.75" customHeight="1">
      <c r="B275" s="667"/>
      <c r="C275" s="667"/>
      <c r="D275" s="667"/>
      <c r="E275" s="668"/>
      <c r="F275" s="667"/>
      <c r="G275" s="667"/>
      <c r="H275" s="667"/>
      <c r="I275" s="667"/>
      <c r="J275" s="667"/>
      <c r="K275" s="667"/>
      <c r="L275" s="667"/>
      <c r="M275" s="667"/>
      <c r="N275" s="667"/>
      <c r="O275" s="667"/>
      <c r="P275" s="667"/>
      <c r="Q275" s="667"/>
    </row>
    <row r="276" ht="15.75" customHeight="1">
      <c r="B276" s="667"/>
      <c r="C276" s="667"/>
      <c r="D276" s="667"/>
      <c r="E276" s="668"/>
      <c r="F276" s="667"/>
      <c r="G276" s="667"/>
      <c r="H276" s="667"/>
      <c r="I276" s="667"/>
      <c r="J276" s="667"/>
      <c r="K276" s="667"/>
      <c r="L276" s="667"/>
      <c r="M276" s="667"/>
      <c r="N276" s="667"/>
      <c r="O276" s="667"/>
      <c r="P276" s="667"/>
      <c r="Q276" s="667"/>
    </row>
    <row r="277" ht="15.75" customHeight="1">
      <c r="B277" s="667"/>
      <c r="C277" s="667"/>
      <c r="D277" s="667"/>
      <c r="E277" s="668"/>
      <c r="F277" s="667"/>
      <c r="G277" s="667"/>
      <c r="H277" s="667"/>
      <c r="I277" s="667"/>
      <c r="J277" s="667"/>
      <c r="K277" s="667"/>
      <c r="L277" s="667"/>
      <c r="M277" s="667"/>
      <c r="N277" s="667"/>
      <c r="O277" s="667"/>
      <c r="P277" s="667"/>
      <c r="Q277" s="667"/>
    </row>
    <row r="278" ht="15.75" customHeight="1">
      <c r="B278" s="667"/>
      <c r="C278" s="667"/>
      <c r="D278" s="667"/>
      <c r="E278" s="668"/>
      <c r="F278" s="667"/>
      <c r="G278" s="667"/>
      <c r="H278" s="667"/>
      <c r="I278" s="667"/>
      <c r="J278" s="667"/>
      <c r="K278" s="667"/>
      <c r="L278" s="667"/>
      <c r="M278" s="667"/>
      <c r="N278" s="667"/>
      <c r="O278" s="667"/>
      <c r="P278" s="667"/>
      <c r="Q278" s="667"/>
    </row>
    <row r="279" ht="15.75" customHeight="1">
      <c r="B279" s="667"/>
      <c r="C279" s="667"/>
      <c r="D279" s="667"/>
      <c r="E279" s="668"/>
      <c r="F279" s="667"/>
      <c r="G279" s="667"/>
      <c r="H279" s="667"/>
      <c r="I279" s="667"/>
      <c r="J279" s="667"/>
      <c r="K279" s="667"/>
      <c r="L279" s="667"/>
      <c r="M279" s="667"/>
      <c r="N279" s="667"/>
      <c r="O279" s="667"/>
      <c r="P279" s="667"/>
      <c r="Q279" s="667"/>
    </row>
    <row r="280" ht="15.75" customHeight="1">
      <c r="B280" s="667"/>
      <c r="C280" s="667"/>
      <c r="D280" s="667"/>
      <c r="E280" s="668"/>
      <c r="F280" s="667"/>
      <c r="G280" s="667"/>
      <c r="H280" s="667"/>
      <c r="I280" s="667"/>
      <c r="J280" s="667"/>
      <c r="K280" s="667"/>
      <c r="L280" s="667"/>
      <c r="M280" s="667"/>
      <c r="N280" s="667"/>
      <c r="O280" s="667"/>
      <c r="P280" s="667"/>
      <c r="Q280" s="667"/>
    </row>
    <row r="281" ht="15.75" customHeight="1">
      <c r="B281" s="667"/>
      <c r="C281" s="667"/>
      <c r="D281" s="667"/>
      <c r="E281" s="668"/>
      <c r="F281" s="667"/>
      <c r="G281" s="667"/>
      <c r="H281" s="667"/>
      <c r="I281" s="667"/>
      <c r="J281" s="667"/>
      <c r="K281" s="667"/>
      <c r="L281" s="667"/>
      <c r="M281" s="667"/>
      <c r="N281" s="667"/>
      <c r="O281" s="667"/>
      <c r="P281" s="667"/>
      <c r="Q281" s="667"/>
    </row>
    <row r="282" ht="15.75" customHeight="1">
      <c r="B282" s="667"/>
      <c r="C282" s="667"/>
      <c r="D282" s="667"/>
      <c r="E282" s="668"/>
      <c r="F282" s="667"/>
      <c r="G282" s="667"/>
      <c r="H282" s="667"/>
      <c r="I282" s="667"/>
      <c r="J282" s="667"/>
      <c r="K282" s="667"/>
      <c r="L282" s="667"/>
      <c r="M282" s="667"/>
      <c r="N282" s="667"/>
      <c r="O282" s="667"/>
      <c r="P282" s="667"/>
      <c r="Q282" s="667"/>
    </row>
    <row r="283" ht="15.75" customHeight="1">
      <c r="B283" s="667"/>
      <c r="C283" s="667"/>
      <c r="D283" s="667"/>
      <c r="E283" s="668"/>
      <c r="F283" s="667"/>
      <c r="G283" s="667"/>
      <c r="H283" s="667"/>
      <c r="I283" s="667"/>
      <c r="J283" s="667"/>
      <c r="K283" s="667"/>
      <c r="L283" s="667"/>
      <c r="M283" s="667"/>
      <c r="N283" s="667"/>
      <c r="O283" s="667"/>
      <c r="P283" s="667"/>
      <c r="Q283" s="667"/>
    </row>
    <row r="284" ht="15.75" customHeight="1">
      <c r="B284" s="667"/>
      <c r="C284" s="667"/>
      <c r="D284" s="667"/>
      <c r="E284" s="668"/>
      <c r="F284" s="667"/>
      <c r="G284" s="667"/>
      <c r="H284" s="667"/>
      <c r="I284" s="667"/>
      <c r="J284" s="667"/>
      <c r="K284" s="667"/>
      <c r="L284" s="667"/>
      <c r="M284" s="667"/>
      <c r="N284" s="667"/>
      <c r="O284" s="667"/>
      <c r="P284" s="667"/>
      <c r="Q284" s="667"/>
    </row>
    <row r="285" ht="15.75" customHeight="1">
      <c r="B285" s="667"/>
      <c r="C285" s="667"/>
      <c r="D285" s="667"/>
      <c r="E285" s="668"/>
      <c r="F285" s="667"/>
      <c r="G285" s="667"/>
      <c r="H285" s="667"/>
      <c r="I285" s="667"/>
      <c r="J285" s="667"/>
      <c r="K285" s="667"/>
      <c r="L285" s="667"/>
      <c r="M285" s="667"/>
      <c r="N285" s="667"/>
      <c r="O285" s="667"/>
      <c r="P285" s="667"/>
      <c r="Q285" s="667"/>
    </row>
    <row r="286" ht="15.75" customHeight="1">
      <c r="B286" s="667"/>
      <c r="C286" s="667"/>
      <c r="D286" s="667"/>
      <c r="E286" s="668"/>
      <c r="F286" s="667"/>
      <c r="G286" s="667"/>
      <c r="H286" s="667"/>
      <c r="I286" s="667"/>
      <c r="J286" s="667"/>
      <c r="K286" s="667"/>
      <c r="L286" s="667"/>
      <c r="M286" s="667"/>
      <c r="N286" s="667"/>
      <c r="O286" s="667"/>
      <c r="P286" s="667"/>
      <c r="Q286" s="667"/>
    </row>
    <row r="287" ht="15.75" customHeight="1">
      <c r="B287" s="667"/>
      <c r="C287" s="667"/>
      <c r="D287" s="667"/>
      <c r="E287" s="668"/>
      <c r="F287" s="667"/>
      <c r="G287" s="667"/>
      <c r="H287" s="667"/>
      <c r="I287" s="667"/>
      <c r="J287" s="667"/>
      <c r="K287" s="667"/>
      <c r="L287" s="667"/>
      <c r="M287" s="667"/>
      <c r="N287" s="667"/>
      <c r="O287" s="667"/>
      <c r="P287" s="667"/>
      <c r="Q287" s="667"/>
    </row>
    <row r="288" ht="15.75" customHeight="1">
      <c r="B288" s="667"/>
      <c r="C288" s="667"/>
      <c r="D288" s="667"/>
      <c r="E288" s="668"/>
      <c r="F288" s="667"/>
      <c r="G288" s="667"/>
      <c r="H288" s="667"/>
      <c r="I288" s="667"/>
      <c r="J288" s="667"/>
      <c r="K288" s="667"/>
      <c r="L288" s="667"/>
      <c r="M288" s="667"/>
      <c r="N288" s="667"/>
      <c r="O288" s="667"/>
      <c r="P288" s="667"/>
      <c r="Q288" s="667"/>
    </row>
    <row r="289" ht="15.75" customHeight="1">
      <c r="B289" s="667"/>
      <c r="C289" s="667"/>
      <c r="D289" s="667"/>
      <c r="E289" s="668"/>
      <c r="F289" s="667"/>
      <c r="G289" s="667"/>
      <c r="H289" s="667"/>
      <c r="I289" s="667"/>
      <c r="J289" s="667"/>
      <c r="K289" s="667"/>
      <c r="L289" s="667"/>
      <c r="M289" s="667"/>
      <c r="N289" s="667"/>
      <c r="O289" s="667"/>
      <c r="P289" s="667"/>
      <c r="Q289" s="667"/>
    </row>
    <row r="290" ht="15.75" customHeight="1">
      <c r="B290" s="667"/>
      <c r="C290" s="667"/>
      <c r="D290" s="667"/>
      <c r="E290" s="668"/>
      <c r="F290" s="667"/>
      <c r="G290" s="667"/>
      <c r="H290" s="667"/>
      <c r="I290" s="667"/>
      <c r="J290" s="667"/>
      <c r="K290" s="667"/>
      <c r="L290" s="667"/>
      <c r="M290" s="667"/>
      <c r="N290" s="667"/>
      <c r="O290" s="667"/>
      <c r="P290" s="667"/>
      <c r="Q290" s="667"/>
    </row>
    <row r="291" ht="15.75" customHeight="1">
      <c r="B291" s="667"/>
      <c r="C291" s="667"/>
      <c r="D291" s="667"/>
      <c r="E291" s="668"/>
      <c r="F291" s="667"/>
      <c r="G291" s="667"/>
      <c r="H291" s="667"/>
      <c r="I291" s="667"/>
      <c r="J291" s="667"/>
      <c r="K291" s="667"/>
      <c r="L291" s="667"/>
      <c r="M291" s="667"/>
      <c r="N291" s="667"/>
      <c r="O291" s="667"/>
      <c r="P291" s="667"/>
      <c r="Q291" s="667"/>
    </row>
    <row r="292" ht="15.75" customHeight="1">
      <c r="B292" s="667"/>
      <c r="C292" s="667"/>
      <c r="D292" s="667"/>
      <c r="E292" s="668"/>
      <c r="F292" s="667"/>
      <c r="G292" s="667"/>
      <c r="H292" s="667"/>
      <c r="I292" s="667"/>
      <c r="J292" s="667"/>
      <c r="K292" s="667"/>
      <c r="L292" s="667"/>
      <c r="M292" s="667"/>
      <c r="N292" s="667"/>
      <c r="O292" s="667"/>
      <c r="P292" s="667"/>
      <c r="Q292" s="667"/>
    </row>
    <row r="293" ht="15.75" customHeight="1">
      <c r="B293" s="667"/>
      <c r="C293" s="667"/>
      <c r="D293" s="667"/>
      <c r="E293" s="668"/>
      <c r="F293" s="667"/>
      <c r="G293" s="667"/>
      <c r="H293" s="667"/>
      <c r="I293" s="667"/>
      <c r="J293" s="667"/>
      <c r="K293" s="667"/>
      <c r="L293" s="667"/>
      <c r="M293" s="667"/>
      <c r="N293" s="667"/>
      <c r="O293" s="667"/>
      <c r="P293" s="667"/>
      <c r="Q293" s="667"/>
    </row>
    <row r="294" ht="15.75" customHeight="1">
      <c r="B294" s="667"/>
      <c r="C294" s="667"/>
      <c r="D294" s="667"/>
      <c r="E294" s="668"/>
      <c r="F294" s="667"/>
      <c r="G294" s="667"/>
      <c r="H294" s="667"/>
      <c r="I294" s="667"/>
      <c r="J294" s="667"/>
      <c r="K294" s="667"/>
      <c r="L294" s="667"/>
      <c r="M294" s="667"/>
      <c r="N294" s="667"/>
      <c r="O294" s="667"/>
      <c r="P294" s="667"/>
      <c r="Q294" s="667"/>
    </row>
    <row r="295" ht="15.75" customHeight="1">
      <c r="B295" s="667"/>
      <c r="C295" s="667"/>
      <c r="D295" s="667"/>
      <c r="E295" s="668"/>
      <c r="F295" s="667"/>
      <c r="G295" s="667"/>
      <c r="H295" s="667"/>
      <c r="I295" s="667"/>
      <c r="J295" s="667"/>
      <c r="K295" s="667"/>
      <c r="L295" s="667"/>
      <c r="M295" s="667"/>
      <c r="N295" s="667"/>
      <c r="O295" s="667"/>
      <c r="P295" s="667"/>
      <c r="Q295" s="667"/>
    </row>
    <row r="296" ht="15.75" customHeight="1">
      <c r="B296" s="667"/>
      <c r="C296" s="667"/>
      <c r="D296" s="667"/>
      <c r="E296" s="668"/>
      <c r="F296" s="667"/>
      <c r="G296" s="667"/>
      <c r="H296" s="667"/>
      <c r="I296" s="667"/>
      <c r="J296" s="667"/>
      <c r="K296" s="667"/>
      <c r="L296" s="667"/>
      <c r="M296" s="667"/>
      <c r="N296" s="667"/>
      <c r="O296" s="667"/>
      <c r="P296" s="667"/>
      <c r="Q296" s="667"/>
    </row>
    <row r="297" ht="15.75" customHeight="1">
      <c r="B297" s="667"/>
      <c r="C297" s="667"/>
      <c r="D297" s="667"/>
      <c r="E297" s="668"/>
      <c r="F297" s="667"/>
      <c r="G297" s="667"/>
      <c r="H297" s="667"/>
      <c r="I297" s="667"/>
      <c r="J297" s="667"/>
      <c r="K297" s="667"/>
      <c r="L297" s="667"/>
      <c r="M297" s="667"/>
      <c r="N297" s="667"/>
      <c r="O297" s="667"/>
      <c r="P297" s="667"/>
      <c r="Q297" s="667"/>
    </row>
    <row r="298" ht="15.75" customHeight="1">
      <c r="B298" s="667"/>
      <c r="C298" s="667"/>
      <c r="D298" s="667"/>
      <c r="E298" s="668"/>
      <c r="F298" s="667"/>
      <c r="G298" s="667"/>
      <c r="H298" s="667"/>
      <c r="I298" s="667"/>
      <c r="J298" s="667"/>
      <c r="K298" s="667"/>
      <c r="L298" s="667"/>
      <c r="M298" s="667"/>
      <c r="N298" s="667"/>
      <c r="O298" s="667"/>
      <c r="P298" s="667"/>
      <c r="Q298" s="667"/>
    </row>
    <row r="299" ht="15.75" customHeight="1">
      <c r="B299" s="667"/>
      <c r="C299" s="667"/>
      <c r="D299" s="667"/>
      <c r="E299" s="668"/>
      <c r="F299" s="667"/>
      <c r="G299" s="667"/>
      <c r="H299" s="667"/>
      <c r="I299" s="667"/>
      <c r="J299" s="667"/>
      <c r="K299" s="667"/>
      <c r="L299" s="667"/>
      <c r="M299" s="667"/>
      <c r="N299" s="667"/>
      <c r="O299" s="667"/>
      <c r="P299" s="667"/>
      <c r="Q299" s="667"/>
    </row>
    <row r="300" ht="15.75" customHeight="1">
      <c r="B300" s="667"/>
      <c r="C300" s="667"/>
      <c r="D300" s="667"/>
      <c r="E300" s="668"/>
      <c r="F300" s="667"/>
      <c r="G300" s="667"/>
      <c r="H300" s="667"/>
      <c r="I300" s="667"/>
      <c r="J300" s="667"/>
      <c r="K300" s="667"/>
      <c r="L300" s="667"/>
      <c r="M300" s="667"/>
      <c r="N300" s="667"/>
      <c r="O300" s="667"/>
      <c r="P300" s="667"/>
      <c r="Q300" s="667"/>
    </row>
    <row r="301" ht="15.75" customHeight="1">
      <c r="B301" s="667"/>
      <c r="C301" s="667"/>
      <c r="D301" s="667"/>
      <c r="E301" s="668"/>
      <c r="F301" s="667"/>
      <c r="G301" s="667"/>
      <c r="H301" s="667"/>
      <c r="I301" s="667"/>
      <c r="J301" s="667"/>
      <c r="K301" s="667"/>
      <c r="L301" s="667"/>
      <c r="M301" s="667"/>
      <c r="N301" s="667"/>
      <c r="O301" s="667"/>
      <c r="P301" s="667"/>
      <c r="Q301" s="667"/>
    </row>
    <row r="302" ht="15.75" customHeight="1">
      <c r="B302" s="667"/>
      <c r="C302" s="667"/>
      <c r="D302" s="667"/>
      <c r="E302" s="668"/>
      <c r="F302" s="667"/>
      <c r="G302" s="667"/>
      <c r="H302" s="667"/>
      <c r="I302" s="667"/>
      <c r="J302" s="667"/>
      <c r="K302" s="667"/>
      <c r="L302" s="667"/>
      <c r="M302" s="667"/>
      <c r="N302" s="667"/>
      <c r="O302" s="667"/>
      <c r="P302" s="667"/>
      <c r="Q302" s="667"/>
    </row>
    <row r="303" ht="15.75" customHeight="1">
      <c r="B303" s="667"/>
      <c r="C303" s="667"/>
      <c r="D303" s="667"/>
      <c r="E303" s="668"/>
      <c r="F303" s="667"/>
      <c r="G303" s="667"/>
      <c r="H303" s="667"/>
      <c r="I303" s="667"/>
      <c r="J303" s="667"/>
      <c r="K303" s="667"/>
      <c r="L303" s="667"/>
      <c r="M303" s="667"/>
      <c r="N303" s="667"/>
      <c r="O303" s="667"/>
      <c r="P303" s="667"/>
      <c r="Q303" s="667"/>
    </row>
    <row r="304" ht="15.75" customHeight="1">
      <c r="B304" s="667"/>
      <c r="C304" s="667"/>
      <c r="D304" s="667"/>
      <c r="E304" s="668"/>
      <c r="F304" s="667"/>
      <c r="G304" s="667"/>
      <c r="H304" s="667"/>
      <c r="I304" s="667"/>
      <c r="J304" s="667"/>
      <c r="K304" s="667"/>
      <c r="L304" s="667"/>
      <c r="M304" s="667"/>
      <c r="N304" s="667"/>
      <c r="O304" s="667"/>
      <c r="P304" s="667"/>
      <c r="Q304" s="667"/>
    </row>
    <row r="305" ht="15.75" customHeight="1">
      <c r="B305" s="667"/>
      <c r="C305" s="667"/>
      <c r="D305" s="667"/>
      <c r="E305" s="668"/>
      <c r="F305" s="667"/>
      <c r="G305" s="667"/>
      <c r="H305" s="667"/>
      <c r="I305" s="667"/>
      <c r="J305" s="667"/>
      <c r="K305" s="667"/>
      <c r="L305" s="667"/>
      <c r="M305" s="667"/>
      <c r="N305" s="667"/>
      <c r="O305" s="667"/>
      <c r="P305" s="667"/>
      <c r="Q305" s="667"/>
    </row>
    <row r="306" ht="15.75" customHeight="1">
      <c r="B306" s="667"/>
      <c r="C306" s="667"/>
      <c r="D306" s="667"/>
      <c r="E306" s="668"/>
      <c r="F306" s="667"/>
      <c r="G306" s="667"/>
      <c r="H306" s="667"/>
      <c r="I306" s="667"/>
      <c r="J306" s="667"/>
      <c r="K306" s="667"/>
      <c r="L306" s="667"/>
      <c r="M306" s="667"/>
      <c r="N306" s="667"/>
      <c r="O306" s="667"/>
      <c r="P306" s="667"/>
      <c r="Q306" s="667"/>
    </row>
    <row r="307" ht="15.75" customHeight="1">
      <c r="B307" s="667"/>
      <c r="C307" s="667"/>
      <c r="D307" s="667"/>
      <c r="E307" s="668"/>
      <c r="F307" s="667"/>
      <c r="G307" s="667"/>
      <c r="H307" s="667"/>
      <c r="I307" s="667"/>
      <c r="J307" s="667"/>
      <c r="K307" s="667"/>
      <c r="L307" s="667"/>
      <c r="M307" s="667"/>
      <c r="N307" s="667"/>
      <c r="O307" s="667"/>
      <c r="P307" s="667"/>
      <c r="Q307" s="667"/>
    </row>
    <row r="308" ht="15.75" customHeight="1">
      <c r="B308" s="667"/>
      <c r="C308" s="667"/>
      <c r="D308" s="667"/>
      <c r="E308" s="668"/>
      <c r="F308" s="667"/>
      <c r="G308" s="667"/>
      <c r="H308" s="667"/>
      <c r="I308" s="667"/>
      <c r="J308" s="667"/>
      <c r="K308" s="667"/>
      <c r="L308" s="667"/>
      <c r="M308" s="667"/>
      <c r="N308" s="667"/>
      <c r="O308" s="667"/>
      <c r="P308" s="667"/>
      <c r="Q308" s="667"/>
    </row>
    <row r="309" ht="15.75" customHeight="1">
      <c r="B309" s="667"/>
      <c r="C309" s="667"/>
      <c r="D309" s="667"/>
      <c r="E309" s="668"/>
      <c r="F309" s="667"/>
      <c r="G309" s="667"/>
      <c r="H309" s="667"/>
      <c r="I309" s="667"/>
      <c r="J309" s="667"/>
      <c r="K309" s="667"/>
      <c r="L309" s="667"/>
      <c r="M309" s="667"/>
      <c r="N309" s="667"/>
      <c r="O309" s="667"/>
      <c r="P309" s="667"/>
      <c r="Q309" s="667"/>
    </row>
    <row r="310" ht="15.75" customHeight="1">
      <c r="B310" s="667"/>
      <c r="C310" s="667"/>
      <c r="D310" s="667"/>
      <c r="E310" s="668"/>
      <c r="F310" s="667"/>
      <c r="G310" s="667"/>
      <c r="H310" s="667"/>
      <c r="I310" s="667"/>
      <c r="J310" s="667"/>
      <c r="K310" s="667"/>
      <c r="L310" s="667"/>
      <c r="M310" s="667"/>
      <c r="N310" s="667"/>
      <c r="O310" s="667"/>
      <c r="P310" s="667"/>
      <c r="Q310" s="667"/>
    </row>
    <row r="311" ht="15.75" customHeight="1">
      <c r="B311" s="667"/>
      <c r="C311" s="667"/>
      <c r="D311" s="667"/>
      <c r="E311" s="668"/>
      <c r="F311" s="667"/>
      <c r="G311" s="667"/>
      <c r="H311" s="667"/>
      <c r="I311" s="667"/>
      <c r="J311" s="667"/>
      <c r="K311" s="667"/>
      <c r="L311" s="667"/>
      <c r="M311" s="667"/>
      <c r="N311" s="667"/>
      <c r="O311" s="667"/>
      <c r="P311" s="667"/>
      <c r="Q311" s="667"/>
    </row>
    <row r="312" ht="15.75" customHeight="1">
      <c r="B312" s="667"/>
      <c r="C312" s="667"/>
      <c r="D312" s="667"/>
      <c r="E312" s="668"/>
      <c r="F312" s="667"/>
      <c r="G312" s="667"/>
      <c r="H312" s="667"/>
      <c r="I312" s="667"/>
      <c r="J312" s="667"/>
      <c r="K312" s="667"/>
      <c r="L312" s="667"/>
      <c r="M312" s="667"/>
      <c r="N312" s="667"/>
      <c r="O312" s="667"/>
      <c r="P312" s="667"/>
      <c r="Q312" s="667"/>
    </row>
    <row r="313" ht="15.75" customHeight="1">
      <c r="B313" s="667"/>
      <c r="C313" s="667"/>
      <c r="D313" s="667"/>
      <c r="E313" s="668"/>
      <c r="F313" s="667"/>
      <c r="G313" s="667"/>
      <c r="H313" s="667"/>
      <c r="I313" s="667"/>
      <c r="J313" s="667"/>
      <c r="K313" s="667"/>
      <c r="L313" s="667"/>
      <c r="M313" s="667"/>
      <c r="N313" s="667"/>
      <c r="O313" s="667"/>
      <c r="P313" s="667"/>
      <c r="Q313" s="667"/>
    </row>
    <row r="314" ht="15.75" customHeight="1">
      <c r="B314" s="667"/>
      <c r="C314" s="667"/>
      <c r="D314" s="667"/>
      <c r="E314" s="668"/>
      <c r="F314" s="667"/>
      <c r="G314" s="667"/>
      <c r="H314" s="667"/>
      <c r="I314" s="667"/>
      <c r="J314" s="667"/>
      <c r="K314" s="667"/>
      <c r="L314" s="667"/>
      <c r="M314" s="667"/>
      <c r="N314" s="667"/>
      <c r="O314" s="667"/>
      <c r="P314" s="667"/>
      <c r="Q314" s="667"/>
    </row>
    <row r="315" ht="15.75" customHeight="1">
      <c r="B315" s="667"/>
      <c r="C315" s="667"/>
      <c r="D315" s="667"/>
      <c r="E315" s="668"/>
      <c r="F315" s="667"/>
      <c r="G315" s="667"/>
      <c r="H315" s="667"/>
      <c r="I315" s="667"/>
      <c r="J315" s="667"/>
      <c r="K315" s="667"/>
      <c r="L315" s="667"/>
      <c r="M315" s="667"/>
      <c r="N315" s="667"/>
      <c r="O315" s="667"/>
      <c r="P315" s="667"/>
      <c r="Q315" s="667"/>
    </row>
    <row r="316" ht="15.75" customHeight="1">
      <c r="B316" s="667"/>
      <c r="C316" s="667"/>
      <c r="D316" s="667"/>
      <c r="E316" s="668"/>
      <c r="F316" s="667"/>
      <c r="G316" s="667"/>
      <c r="H316" s="667"/>
      <c r="I316" s="667"/>
      <c r="J316" s="667"/>
      <c r="K316" s="667"/>
      <c r="L316" s="667"/>
      <c r="M316" s="667"/>
      <c r="N316" s="667"/>
      <c r="O316" s="667"/>
      <c r="P316" s="667"/>
      <c r="Q316" s="667"/>
    </row>
    <row r="317" ht="15.75" customHeight="1">
      <c r="B317" s="667"/>
      <c r="C317" s="667"/>
      <c r="D317" s="667"/>
      <c r="E317" s="668"/>
      <c r="F317" s="667"/>
      <c r="G317" s="667"/>
      <c r="H317" s="667"/>
      <c r="I317" s="667"/>
      <c r="J317" s="667"/>
      <c r="K317" s="667"/>
      <c r="L317" s="667"/>
      <c r="M317" s="667"/>
      <c r="N317" s="667"/>
      <c r="O317" s="667"/>
      <c r="P317" s="667"/>
      <c r="Q317" s="667"/>
    </row>
    <row r="318" ht="15.75" customHeight="1">
      <c r="B318" s="667"/>
      <c r="C318" s="667"/>
      <c r="D318" s="667"/>
      <c r="E318" s="668"/>
      <c r="F318" s="667"/>
      <c r="G318" s="667"/>
      <c r="H318" s="667"/>
      <c r="I318" s="667"/>
      <c r="J318" s="667"/>
      <c r="K318" s="667"/>
      <c r="L318" s="667"/>
      <c r="M318" s="667"/>
      <c r="N318" s="667"/>
      <c r="O318" s="667"/>
      <c r="P318" s="667"/>
      <c r="Q318" s="667"/>
    </row>
    <row r="319" ht="15.75" customHeight="1">
      <c r="B319" s="667"/>
      <c r="C319" s="667"/>
      <c r="D319" s="667"/>
      <c r="E319" s="668"/>
      <c r="F319" s="667"/>
      <c r="G319" s="667"/>
      <c r="H319" s="667"/>
      <c r="I319" s="667"/>
      <c r="J319" s="667"/>
      <c r="K319" s="667"/>
      <c r="L319" s="667"/>
      <c r="M319" s="667"/>
      <c r="N319" s="667"/>
      <c r="O319" s="667"/>
      <c r="P319" s="667"/>
      <c r="Q319" s="667"/>
    </row>
    <row r="320" ht="15.75" customHeight="1">
      <c r="B320" s="667"/>
      <c r="C320" s="667"/>
      <c r="D320" s="667"/>
      <c r="E320" s="668"/>
      <c r="F320" s="667"/>
      <c r="G320" s="667"/>
      <c r="H320" s="667"/>
      <c r="I320" s="667"/>
      <c r="J320" s="667"/>
      <c r="K320" s="667"/>
      <c r="L320" s="667"/>
      <c r="M320" s="667"/>
      <c r="N320" s="667"/>
      <c r="O320" s="667"/>
      <c r="P320" s="667"/>
      <c r="Q320" s="667"/>
    </row>
    <row r="321" ht="15.75" customHeight="1">
      <c r="B321" s="667"/>
      <c r="C321" s="667"/>
      <c r="D321" s="667"/>
      <c r="E321" s="668"/>
      <c r="F321" s="667"/>
      <c r="G321" s="667"/>
      <c r="H321" s="667"/>
      <c r="I321" s="667"/>
      <c r="J321" s="667"/>
      <c r="K321" s="667"/>
      <c r="L321" s="667"/>
      <c r="M321" s="667"/>
      <c r="N321" s="667"/>
      <c r="O321" s="667"/>
      <c r="P321" s="667"/>
      <c r="Q321" s="667"/>
    </row>
    <row r="322" ht="15.75" customHeight="1">
      <c r="B322" s="667"/>
      <c r="C322" s="667"/>
      <c r="D322" s="667"/>
      <c r="E322" s="668"/>
      <c r="F322" s="667"/>
      <c r="G322" s="667"/>
      <c r="H322" s="667"/>
      <c r="I322" s="667"/>
      <c r="J322" s="667"/>
      <c r="K322" s="667"/>
      <c r="L322" s="667"/>
      <c r="M322" s="667"/>
      <c r="N322" s="667"/>
      <c r="O322" s="667"/>
      <c r="P322" s="667"/>
      <c r="Q322" s="667"/>
    </row>
    <row r="323" ht="15.75" customHeight="1">
      <c r="B323" s="667"/>
      <c r="C323" s="667"/>
      <c r="D323" s="667"/>
      <c r="E323" s="668"/>
      <c r="F323" s="667"/>
      <c r="G323" s="667"/>
      <c r="H323" s="667"/>
      <c r="I323" s="667"/>
      <c r="J323" s="667"/>
      <c r="K323" s="667"/>
      <c r="L323" s="667"/>
      <c r="M323" s="667"/>
      <c r="N323" s="667"/>
      <c r="O323" s="667"/>
      <c r="P323" s="667"/>
      <c r="Q323" s="667"/>
    </row>
    <row r="324" ht="15.75" customHeight="1">
      <c r="B324" s="667"/>
      <c r="C324" s="667"/>
      <c r="D324" s="667"/>
      <c r="E324" s="668"/>
      <c r="F324" s="667"/>
      <c r="G324" s="667"/>
      <c r="H324" s="667"/>
      <c r="I324" s="667"/>
      <c r="J324" s="667"/>
      <c r="K324" s="667"/>
      <c r="L324" s="667"/>
      <c r="M324" s="667"/>
      <c r="N324" s="667"/>
      <c r="O324" s="667"/>
      <c r="P324" s="667"/>
      <c r="Q324" s="667"/>
    </row>
    <row r="325" ht="15.75" customHeight="1">
      <c r="B325" s="667"/>
      <c r="C325" s="667"/>
      <c r="D325" s="667"/>
      <c r="E325" s="668"/>
      <c r="F325" s="667"/>
      <c r="G325" s="667"/>
      <c r="H325" s="667"/>
      <c r="I325" s="667"/>
      <c r="J325" s="667"/>
      <c r="K325" s="667"/>
      <c r="L325" s="667"/>
      <c r="M325" s="667"/>
      <c r="N325" s="667"/>
      <c r="O325" s="667"/>
      <c r="P325" s="667"/>
      <c r="Q325" s="667"/>
    </row>
    <row r="326" ht="15.75" customHeight="1">
      <c r="B326" s="667"/>
      <c r="C326" s="667"/>
      <c r="D326" s="667"/>
      <c r="E326" s="668"/>
      <c r="F326" s="667"/>
      <c r="G326" s="667"/>
      <c r="H326" s="667"/>
      <c r="I326" s="667"/>
      <c r="J326" s="667"/>
      <c r="K326" s="667"/>
      <c r="L326" s="667"/>
      <c r="M326" s="667"/>
      <c r="N326" s="667"/>
      <c r="O326" s="667"/>
      <c r="P326" s="667"/>
      <c r="Q326" s="667"/>
    </row>
    <row r="327" ht="15.75" customHeight="1">
      <c r="B327" s="667"/>
      <c r="C327" s="667"/>
      <c r="D327" s="667"/>
      <c r="E327" s="668"/>
      <c r="F327" s="667"/>
      <c r="G327" s="667"/>
      <c r="H327" s="667"/>
      <c r="I327" s="667"/>
      <c r="J327" s="667"/>
      <c r="K327" s="667"/>
      <c r="L327" s="667"/>
      <c r="M327" s="667"/>
      <c r="N327" s="667"/>
      <c r="O327" s="667"/>
      <c r="P327" s="667"/>
      <c r="Q327" s="667"/>
    </row>
    <row r="328" ht="15.75" customHeight="1">
      <c r="B328" s="667"/>
      <c r="C328" s="667"/>
      <c r="D328" s="667"/>
      <c r="E328" s="668"/>
      <c r="F328" s="667"/>
      <c r="G328" s="667"/>
      <c r="H328" s="667"/>
      <c r="I328" s="667"/>
      <c r="J328" s="667"/>
      <c r="K328" s="667"/>
      <c r="L328" s="667"/>
      <c r="M328" s="667"/>
      <c r="N328" s="667"/>
      <c r="O328" s="667"/>
      <c r="P328" s="667"/>
      <c r="Q328" s="667"/>
    </row>
    <row r="329" ht="15.75" customHeight="1">
      <c r="B329" s="667"/>
      <c r="C329" s="667"/>
      <c r="D329" s="667"/>
      <c r="E329" s="668"/>
      <c r="F329" s="667"/>
      <c r="G329" s="667"/>
      <c r="H329" s="667"/>
      <c r="I329" s="667"/>
      <c r="J329" s="667"/>
      <c r="K329" s="667"/>
      <c r="L329" s="667"/>
      <c r="M329" s="667"/>
      <c r="N329" s="667"/>
      <c r="O329" s="667"/>
      <c r="P329" s="667"/>
      <c r="Q329" s="667"/>
    </row>
    <row r="330" ht="15.75" customHeight="1">
      <c r="B330" s="667"/>
      <c r="C330" s="667"/>
      <c r="D330" s="667"/>
      <c r="E330" s="668"/>
      <c r="F330" s="667"/>
      <c r="G330" s="667"/>
      <c r="H330" s="667"/>
      <c r="I330" s="667"/>
      <c r="J330" s="667"/>
      <c r="K330" s="667"/>
      <c r="L330" s="667"/>
      <c r="M330" s="667"/>
      <c r="N330" s="667"/>
      <c r="O330" s="667"/>
      <c r="P330" s="667"/>
      <c r="Q330" s="667"/>
    </row>
    <row r="331" ht="15.75" customHeight="1">
      <c r="B331" s="667"/>
      <c r="C331" s="667"/>
      <c r="D331" s="667"/>
      <c r="E331" s="668"/>
      <c r="F331" s="667"/>
      <c r="G331" s="667"/>
      <c r="H331" s="667"/>
      <c r="I331" s="667"/>
      <c r="J331" s="667"/>
      <c r="K331" s="667"/>
      <c r="L331" s="667"/>
      <c r="M331" s="667"/>
      <c r="N331" s="667"/>
      <c r="O331" s="667"/>
      <c r="P331" s="667"/>
      <c r="Q331" s="667"/>
    </row>
    <row r="332" ht="15.75" customHeight="1">
      <c r="B332" s="667"/>
      <c r="C332" s="667"/>
      <c r="D332" s="667"/>
      <c r="E332" s="668"/>
      <c r="F332" s="667"/>
      <c r="G332" s="667"/>
      <c r="H332" s="667"/>
      <c r="I332" s="667"/>
      <c r="J332" s="667"/>
      <c r="K332" s="667"/>
      <c r="L332" s="667"/>
      <c r="M332" s="667"/>
      <c r="N332" s="667"/>
      <c r="O332" s="667"/>
      <c r="P332" s="667"/>
      <c r="Q332" s="667"/>
    </row>
    <row r="333" ht="15.75" customHeight="1">
      <c r="B333" s="667"/>
      <c r="C333" s="667"/>
      <c r="D333" s="667"/>
      <c r="E333" s="668"/>
      <c r="F333" s="667"/>
      <c r="G333" s="667"/>
      <c r="H333" s="667"/>
      <c r="I333" s="667"/>
      <c r="J333" s="667"/>
      <c r="K333" s="667"/>
      <c r="L333" s="667"/>
      <c r="M333" s="667"/>
      <c r="N333" s="667"/>
      <c r="O333" s="667"/>
      <c r="P333" s="667"/>
      <c r="Q333" s="667"/>
    </row>
    <row r="334" ht="15.75" customHeight="1">
      <c r="B334" s="667"/>
      <c r="C334" s="667"/>
      <c r="D334" s="667"/>
      <c r="E334" s="668"/>
      <c r="F334" s="667"/>
      <c r="G334" s="667"/>
      <c r="H334" s="667"/>
      <c r="I334" s="667"/>
      <c r="J334" s="667"/>
      <c r="K334" s="667"/>
      <c r="L334" s="667"/>
      <c r="M334" s="667"/>
      <c r="N334" s="667"/>
      <c r="O334" s="667"/>
      <c r="P334" s="667"/>
      <c r="Q334" s="667"/>
    </row>
    <row r="335" ht="15.75" customHeight="1">
      <c r="B335" s="667"/>
      <c r="C335" s="667"/>
      <c r="D335" s="667"/>
      <c r="E335" s="668"/>
      <c r="F335" s="667"/>
      <c r="G335" s="667"/>
      <c r="H335" s="667"/>
      <c r="I335" s="667"/>
      <c r="J335" s="667"/>
      <c r="K335" s="667"/>
      <c r="L335" s="667"/>
      <c r="M335" s="667"/>
      <c r="N335" s="667"/>
      <c r="O335" s="667"/>
      <c r="P335" s="667"/>
      <c r="Q335" s="667"/>
    </row>
    <row r="336" ht="15.75" customHeight="1">
      <c r="B336" s="667"/>
      <c r="C336" s="667"/>
      <c r="D336" s="667"/>
      <c r="E336" s="668"/>
      <c r="F336" s="667"/>
      <c r="G336" s="667"/>
      <c r="H336" s="667"/>
      <c r="I336" s="667"/>
      <c r="J336" s="667"/>
      <c r="K336" s="667"/>
      <c r="L336" s="667"/>
      <c r="M336" s="667"/>
      <c r="N336" s="667"/>
      <c r="O336" s="667"/>
      <c r="P336" s="667"/>
      <c r="Q336" s="667"/>
    </row>
    <row r="337" ht="15.75" customHeight="1">
      <c r="B337" s="667"/>
      <c r="C337" s="667"/>
      <c r="D337" s="667"/>
      <c r="E337" s="668"/>
      <c r="F337" s="667"/>
      <c r="G337" s="667"/>
      <c r="H337" s="667"/>
      <c r="I337" s="667"/>
      <c r="J337" s="667"/>
      <c r="K337" s="667"/>
      <c r="L337" s="667"/>
      <c r="M337" s="667"/>
      <c r="N337" s="667"/>
      <c r="O337" s="667"/>
      <c r="P337" s="667"/>
      <c r="Q337" s="667"/>
    </row>
    <row r="338" ht="15.75" customHeight="1">
      <c r="B338" s="667"/>
      <c r="C338" s="667"/>
      <c r="D338" s="667"/>
      <c r="E338" s="668"/>
      <c r="F338" s="667"/>
      <c r="G338" s="667"/>
      <c r="H338" s="667"/>
      <c r="I338" s="667"/>
      <c r="J338" s="667"/>
      <c r="K338" s="667"/>
      <c r="L338" s="667"/>
      <c r="M338" s="667"/>
      <c r="N338" s="667"/>
      <c r="O338" s="667"/>
      <c r="P338" s="667"/>
      <c r="Q338" s="667"/>
    </row>
    <row r="339" ht="15.75" customHeight="1">
      <c r="B339" s="667"/>
      <c r="C339" s="667"/>
      <c r="D339" s="667"/>
      <c r="E339" s="668"/>
      <c r="F339" s="667"/>
      <c r="G339" s="667"/>
      <c r="H339" s="667"/>
      <c r="I339" s="667"/>
      <c r="J339" s="667"/>
      <c r="K339" s="667"/>
      <c r="L339" s="667"/>
      <c r="M339" s="667"/>
      <c r="N339" s="667"/>
      <c r="O339" s="667"/>
      <c r="P339" s="667"/>
      <c r="Q339" s="667"/>
    </row>
    <row r="340" ht="15.75" customHeight="1">
      <c r="B340" s="667"/>
      <c r="C340" s="667"/>
      <c r="D340" s="667"/>
      <c r="E340" s="668"/>
      <c r="F340" s="667"/>
      <c r="G340" s="667"/>
      <c r="H340" s="667"/>
      <c r="I340" s="667"/>
      <c r="J340" s="667"/>
      <c r="K340" s="667"/>
      <c r="L340" s="667"/>
      <c r="M340" s="667"/>
      <c r="N340" s="667"/>
      <c r="O340" s="667"/>
      <c r="P340" s="667"/>
      <c r="Q340" s="667"/>
    </row>
    <row r="341" ht="15.75" customHeight="1">
      <c r="B341" s="667"/>
      <c r="C341" s="667"/>
      <c r="D341" s="667"/>
      <c r="E341" s="668"/>
      <c r="F341" s="667"/>
      <c r="G341" s="667"/>
      <c r="H341" s="667"/>
      <c r="I341" s="667"/>
      <c r="J341" s="667"/>
      <c r="K341" s="667"/>
      <c r="L341" s="667"/>
      <c r="M341" s="667"/>
      <c r="N341" s="667"/>
      <c r="O341" s="667"/>
      <c r="P341" s="667"/>
      <c r="Q341" s="667"/>
    </row>
    <row r="342" ht="15.75" customHeight="1">
      <c r="B342" s="667"/>
      <c r="C342" s="667"/>
      <c r="D342" s="667"/>
      <c r="E342" s="668"/>
      <c r="F342" s="667"/>
      <c r="G342" s="667"/>
      <c r="H342" s="667"/>
      <c r="I342" s="667"/>
      <c r="J342" s="667"/>
      <c r="K342" s="667"/>
      <c r="L342" s="667"/>
      <c r="M342" s="667"/>
      <c r="N342" s="667"/>
      <c r="O342" s="667"/>
      <c r="P342" s="667"/>
      <c r="Q342" s="667"/>
    </row>
    <row r="343" ht="15.75" customHeight="1">
      <c r="B343" s="667"/>
      <c r="C343" s="667"/>
      <c r="D343" s="667"/>
      <c r="E343" s="668"/>
      <c r="F343" s="667"/>
      <c r="G343" s="667"/>
      <c r="H343" s="667"/>
      <c r="I343" s="667"/>
      <c r="J343" s="667"/>
      <c r="K343" s="667"/>
      <c r="L343" s="667"/>
      <c r="M343" s="667"/>
      <c r="N343" s="667"/>
      <c r="O343" s="667"/>
      <c r="P343" s="667"/>
      <c r="Q343" s="667"/>
    </row>
    <row r="344" ht="15.75" customHeight="1">
      <c r="B344" s="667"/>
      <c r="C344" s="667"/>
      <c r="D344" s="667"/>
      <c r="E344" s="668"/>
      <c r="F344" s="667"/>
      <c r="G344" s="667"/>
      <c r="H344" s="667"/>
      <c r="I344" s="667"/>
      <c r="J344" s="667"/>
      <c r="K344" s="667"/>
      <c r="L344" s="667"/>
      <c r="M344" s="667"/>
      <c r="N344" s="667"/>
      <c r="O344" s="667"/>
      <c r="P344" s="667"/>
      <c r="Q344" s="667"/>
    </row>
    <row r="345" ht="15.75" customHeight="1">
      <c r="B345" s="667"/>
      <c r="C345" s="667"/>
      <c r="D345" s="667"/>
      <c r="E345" s="668"/>
      <c r="F345" s="667"/>
      <c r="G345" s="667"/>
      <c r="H345" s="667"/>
      <c r="I345" s="667"/>
      <c r="J345" s="667"/>
      <c r="K345" s="667"/>
      <c r="L345" s="667"/>
      <c r="M345" s="667"/>
      <c r="N345" s="667"/>
      <c r="O345" s="667"/>
      <c r="P345" s="667"/>
      <c r="Q345" s="667"/>
    </row>
    <row r="346" ht="15.75" customHeight="1">
      <c r="B346" s="667"/>
      <c r="C346" s="667"/>
      <c r="D346" s="667"/>
      <c r="E346" s="668"/>
      <c r="F346" s="667"/>
      <c r="G346" s="667"/>
      <c r="H346" s="667"/>
      <c r="I346" s="667"/>
      <c r="J346" s="667"/>
      <c r="K346" s="667"/>
      <c r="L346" s="667"/>
      <c r="M346" s="667"/>
      <c r="N346" s="667"/>
      <c r="O346" s="667"/>
      <c r="P346" s="667"/>
      <c r="Q346" s="667"/>
    </row>
    <row r="347" ht="15.75" customHeight="1">
      <c r="B347" s="667"/>
      <c r="C347" s="667"/>
      <c r="D347" s="667"/>
      <c r="E347" s="668"/>
      <c r="F347" s="667"/>
      <c r="G347" s="667"/>
      <c r="H347" s="667"/>
      <c r="I347" s="667"/>
      <c r="J347" s="667"/>
      <c r="K347" s="667"/>
      <c r="L347" s="667"/>
      <c r="M347" s="667"/>
      <c r="N347" s="667"/>
      <c r="O347" s="667"/>
      <c r="P347" s="667"/>
      <c r="Q347" s="667"/>
    </row>
    <row r="348" ht="15.75" customHeight="1">
      <c r="B348" s="667"/>
      <c r="C348" s="667"/>
      <c r="D348" s="667"/>
      <c r="E348" s="668"/>
      <c r="F348" s="667"/>
      <c r="G348" s="667"/>
      <c r="H348" s="667"/>
      <c r="I348" s="667"/>
      <c r="J348" s="667"/>
      <c r="K348" s="667"/>
      <c r="L348" s="667"/>
      <c r="M348" s="667"/>
      <c r="N348" s="667"/>
      <c r="O348" s="667"/>
      <c r="P348" s="667"/>
      <c r="Q348" s="667"/>
    </row>
    <row r="349" ht="15.75" customHeight="1">
      <c r="B349" s="667"/>
      <c r="C349" s="667"/>
      <c r="D349" s="667"/>
      <c r="E349" s="668"/>
      <c r="F349" s="667"/>
      <c r="G349" s="667"/>
      <c r="H349" s="667"/>
      <c r="I349" s="667"/>
      <c r="J349" s="667"/>
      <c r="K349" s="667"/>
      <c r="L349" s="667"/>
      <c r="M349" s="667"/>
      <c r="N349" s="667"/>
      <c r="O349" s="667"/>
      <c r="P349" s="667"/>
      <c r="Q349" s="667"/>
    </row>
    <row r="350" ht="15.75" customHeight="1">
      <c r="B350" s="667"/>
      <c r="C350" s="667"/>
      <c r="D350" s="667"/>
      <c r="E350" s="668"/>
      <c r="F350" s="667"/>
      <c r="G350" s="667"/>
      <c r="H350" s="667"/>
      <c r="I350" s="667"/>
      <c r="J350" s="667"/>
      <c r="K350" s="667"/>
      <c r="L350" s="667"/>
      <c r="M350" s="667"/>
      <c r="N350" s="667"/>
      <c r="O350" s="667"/>
      <c r="P350" s="667"/>
      <c r="Q350" s="667"/>
    </row>
    <row r="351" ht="15.75" customHeight="1">
      <c r="B351" s="667"/>
      <c r="C351" s="667"/>
      <c r="D351" s="667"/>
      <c r="E351" s="668"/>
      <c r="F351" s="667"/>
      <c r="G351" s="667"/>
      <c r="H351" s="667"/>
      <c r="I351" s="667"/>
      <c r="J351" s="667"/>
      <c r="K351" s="667"/>
      <c r="L351" s="667"/>
      <c r="M351" s="667"/>
      <c r="N351" s="667"/>
      <c r="O351" s="667"/>
      <c r="P351" s="667"/>
      <c r="Q351" s="667"/>
    </row>
    <row r="352" ht="15.75" customHeight="1">
      <c r="B352" s="667"/>
      <c r="C352" s="667"/>
      <c r="D352" s="667"/>
      <c r="E352" s="668"/>
      <c r="F352" s="667"/>
      <c r="G352" s="667"/>
      <c r="H352" s="667"/>
      <c r="I352" s="667"/>
      <c r="J352" s="667"/>
      <c r="K352" s="667"/>
      <c r="L352" s="667"/>
      <c r="M352" s="667"/>
      <c r="N352" s="667"/>
      <c r="O352" s="667"/>
      <c r="P352" s="667"/>
      <c r="Q352" s="667"/>
    </row>
    <row r="353" ht="15.75" customHeight="1">
      <c r="B353" s="667"/>
      <c r="C353" s="667"/>
      <c r="D353" s="667"/>
      <c r="E353" s="668"/>
      <c r="F353" s="667"/>
      <c r="G353" s="667"/>
      <c r="H353" s="667"/>
      <c r="I353" s="667"/>
      <c r="J353" s="667"/>
      <c r="K353" s="667"/>
      <c r="L353" s="667"/>
      <c r="M353" s="667"/>
      <c r="N353" s="667"/>
      <c r="O353" s="667"/>
      <c r="P353" s="667"/>
      <c r="Q353" s="667"/>
    </row>
    <row r="354" ht="15.75" customHeight="1">
      <c r="B354" s="667"/>
      <c r="C354" s="667"/>
      <c r="D354" s="667"/>
      <c r="E354" s="668"/>
      <c r="F354" s="667"/>
      <c r="G354" s="667"/>
      <c r="H354" s="667"/>
      <c r="I354" s="667"/>
      <c r="J354" s="667"/>
      <c r="K354" s="667"/>
      <c r="L354" s="667"/>
      <c r="M354" s="667"/>
      <c r="N354" s="667"/>
      <c r="O354" s="667"/>
      <c r="P354" s="667"/>
      <c r="Q354" s="667"/>
    </row>
    <row r="355" ht="15.75" customHeight="1">
      <c r="B355" s="667"/>
      <c r="C355" s="667"/>
      <c r="D355" s="667"/>
      <c r="E355" s="668"/>
      <c r="F355" s="667"/>
      <c r="G355" s="667"/>
      <c r="H355" s="667"/>
      <c r="I355" s="667"/>
      <c r="J355" s="667"/>
      <c r="K355" s="667"/>
      <c r="L355" s="667"/>
      <c r="M355" s="667"/>
      <c r="N355" s="667"/>
      <c r="O355" s="667"/>
      <c r="P355" s="667"/>
      <c r="Q355" s="667"/>
    </row>
    <row r="356" ht="15.75" customHeight="1">
      <c r="B356" s="667"/>
      <c r="C356" s="667"/>
      <c r="D356" s="667"/>
      <c r="E356" s="668"/>
      <c r="F356" s="667"/>
      <c r="G356" s="667"/>
      <c r="H356" s="667"/>
      <c r="I356" s="667"/>
      <c r="J356" s="667"/>
      <c r="K356" s="667"/>
      <c r="L356" s="667"/>
      <c r="M356" s="667"/>
      <c r="N356" s="667"/>
      <c r="O356" s="667"/>
      <c r="P356" s="667"/>
      <c r="Q356" s="667"/>
    </row>
    <row r="357" ht="15.75" customHeight="1">
      <c r="B357" s="667"/>
      <c r="C357" s="667"/>
      <c r="D357" s="667"/>
      <c r="E357" s="668"/>
      <c r="F357" s="667"/>
      <c r="G357" s="667"/>
      <c r="H357" s="667"/>
      <c r="I357" s="667"/>
      <c r="J357" s="667"/>
      <c r="K357" s="667"/>
      <c r="L357" s="667"/>
      <c r="M357" s="667"/>
      <c r="N357" s="667"/>
      <c r="O357" s="667"/>
      <c r="P357" s="667"/>
      <c r="Q357" s="667"/>
    </row>
    <row r="358" ht="15.75" customHeight="1">
      <c r="B358" s="667"/>
      <c r="C358" s="667"/>
      <c r="D358" s="667"/>
      <c r="E358" s="668"/>
      <c r="F358" s="667"/>
      <c r="G358" s="667"/>
      <c r="H358" s="667"/>
      <c r="I358" s="667"/>
      <c r="J358" s="667"/>
      <c r="K358" s="667"/>
      <c r="L358" s="667"/>
      <c r="M358" s="667"/>
      <c r="N358" s="667"/>
      <c r="O358" s="667"/>
      <c r="P358" s="667"/>
      <c r="Q358" s="667"/>
    </row>
    <row r="359" ht="15.75" customHeight="1">
      <c r="B359" s="667"/>
      <c r="C359" s="667"/>
      <c r="D359" s="667"/>
      <c r="E359" s="668"/>
      <c r="F359" s="667"/>
      <c r="G359" s="667"/>
      <c r="H359" s="667"/>
      <c r="I359" s="667"/>
      <c r="J359" s="667"/>
      <c r="K359" s="667"/>
      <c r="L359" s="667"/>
      <c r="M359" s="667"/>
      <c r="N359" s="667"/>
      <c r="O359" s="667"/>
      <c r="P359" s="667"/>
      <c r="Q359" s="667"/>
    </row>
    <row r="360" ht="15.75" customHeight="1">
      <c r="B360" s="667"/>
      <c r="C360" s="667"/>
      <c r="D360" s="667"/>
      <c r="E360" s="668"/>
      <c r="F360" s="667"/>
      <c r="G360" s="667"/>
      <c r="H360" s="667"/>
      <c r="I360" s="667"/>
      <c r="J360" s="667"/>
      <c r="K360" s="667"/>
      <c r="L360" s="667"/>
      <c r="M360" s="667"/>
      <c r="N360" s="667"/>
      <c r="O360" s="667"/>
      <c r="P360" s="667"/>
      <c r="Q360" s="667"/>
    </row>
    <row r="361" ht="15.75" customHeight="1">
      <c r="B361" s="667"/>
      <c r="C361" s="667"/>
      <c r="D361" s="667"/>
      <c r="E361" s="668"/>
      <c r="F361" s="667"/>
      <c r="G361" s="667"/>
      <c r="H361" s="667"/>
      <c r="I361" s="667"/>
      <c r="J361" s="667"/>
      <c r="K361" s="667"/>
      <c r="L361" s="667"/>
      <c r="M361" s="667"/>
      <c r="N361" s="667"/>
      <c r="O361" s="667"/>
      <c r="P361" s="667"/>
      <c r="Q361" s="667"/>
    </row>
    <row r="362" ht="15.75" customHeight="1">
      <c r="B362" s="667"/>
      <c r="C362" s="667"/>
      <c r="D362" s="667"/>
      <c r="E362" s="668"/>
      <c r="F362" s="667"/>
      <c r="G362" s="667"/>
      <c r="H362" s="667"/>
      <c r="I362" s="667"/>
      <c r="J362" s="667"/>
      <c r="K362" s="667"/>
      <c r="L362" s="667"/>
      <c r="M362" s="667"/>
      <c r="N362" s="667"/>
      <c r="O362" s="667"/>
      <c r="P362" s="667"/>
      <c r="Q362" s="667"/>
    </row>
    <row r="363" ht="15.75" customHeight="1">
      <c r="B363" s="667"/>
      <c r="C363" s="667"/>
      <c r="D363" s="667"/>
      <c r="E363" s="668"/>
      <c r="F363" s="667"/>
      <c r="G363" s="667"/>
      <c r="H363" s="667"/>
      <c r="I363" s="667"/>
      <c r="J363" s="667"/>
      <c r="K363" s="667"/>
      <c r="L363" s="667"/>
      <c r="M363" s="667"/>
      <c r="N363" s="667"/>
      <c r="O363" s="667"/>
      <c r="P363" s="667"/>
      <c r="Q363" s="667"/>
    </row>
    <row r="364" ht="15.75" customHeight="1">
      <c r="B364" s="667"/>
      <c r="C364" s="667"/>
      <c r="D364" s="667"/>
      <c r="E364" s="668"/>
      <c r="F364" s="667"/>
      <c r="G364" s="667"/>
      <c r="H364" s="667"/>
      <c r="I364" s="667"/>
      <c r="J364" s="667"/>
      <c r="K364" s="667"/>
      <c r="L364" s="667"/>
      <c r="M364" s="667"/>
      <c r="N364" s="667"/>
      <c r="O364" s="667"/>
      <c r="P364" s="667"/>
      <c r="Q364" s="667"/>
    </row>
    <row r="365" ht="15.75" customHeight="1">
      <c r="B365" s="667"/>
      <c r="C365" s="667"/>
      <c r="D365" s="667"/>
      <c r="E365" s="668"/>
      <c r="F365" s="667"/>
      <c r="G365" s="667"/>
      <c r="H365" s="667"/>
      <c r="I365" s="667"/>
      <c r="J365" s="667"/>
      <c r="K365" s="667"/>
      <c r="L365" s="667"/>
      <c r="M365" s="667"/>
      <c r="N365" s="667"/>
      <c r="O365" s="667"/>
      <c r="P365" s="667"/>
      <c r="Q365" s="667"/>
    </row>
    <row r="366" ht="15.75" customHeight="1">
      <c r="B366" s="667"/>
      <c r="C366" s="667"/>
      <c r="D366" s="667"/>
      <c r="E366" s="668"/>
      <c r="F366" s="667"/>
      <c r="G366" s="667"/>
      <c r="H366" s="667"/>
      <c r="I366" s="667"/>
      <c r="J366" s="667"/>
      <c r="K366" s="667"/>
      <c r="L366" s="667"/>
      <c r="M366" s="667"/>
      <c r="N366" s="667"/>
      <c r="O366" s="667"/>
      <c r="P366" s="667"/>
      <c r="Q366" s="667"/>
    </row>
    <row r="367" ht="15.75" customHeight="1">
      <c r="B367" s="667"/>
      <c r="C367" s="667"/>
      <c r="D367" s="667"/>
      <c r="E367" s="668"/>
      <c r="F367" s="667"/>
      <c r="G367" s="667"/>
      <c r="H367" s="667"/>
      <c r="I367" s="667"/>
      <c r="J367" s="667"/>
      <c r="K367" s="667"/>
      <c r="L367" s="667"/>
      <c r="M367" s="667"/>
      <c r="N367" s="667"/>
      <c r="O367" s="667"/>
      <c r="P367" s="667"/>
      <c r="Q367" s="667"/>
    </row>
    <row r="368" ht="15.75" customHeight="1">
      <c r="B368" s="667"/>
      <c r="C368" s="667"/>
      <c r="D368" s="667"/>
      <c r="E368" s="668"/>
      <c r="F368" s="667"/>
      <c r="G368" s="667"/>
      <c r="H368" s="667"/>
      <c r="I368" s="667"/>
      <c r="J368" s="667"/>
      <c r="K368" s="667"/>
      <c r="L368" s="667"/>
      <c r="M368" s="667"/>
      <c r="N368" s="667"/>
      <c r="O368" s="667"/>
      <c r="P368" s="667"/>
      <c r="Q368" s="667"/>
    </row>
    <row r="369" ht="15.75" customHeight="1">
      <c r="B369" s="667"/>
      <c r="C369" s="667"/>
      <c r="D369" s="667"/>
      <c r="E369" s="668"/>
      <c r="F369" s="667"/>
      <c r="G369" s="667"/>
      <c r="H369" s="667"/>
      <c r="I369" s="667"/>
      <c r="J369" s="667"/>
      <c r="K369" s="667"/>
      <c r="L369" s="667"/>
      <c r="M369" s="667"/>
      <c r="N369" s="667"/>
      <c r="O369" s="667"/>
      <c r="P369" s="667"/>
      <c r="Q369" s="667"/>
    </row>
    <row r="370" ht="15.75" customHeight="1">
      <c r="B370" s="667"/>
      <c r="C370" s="667"/>
      <c r="D370" s="667"/>
      <c r="E370" s="668"/>
      <c r="F370" s="667"/>
      <c r="G370" s="667"/>
      <c r="H370" s="667"/>
      <c r="I370" s="667"/>
      <c r="J370" s="667"/>
      <c r="K370" s="667"/>
      <c r="L370" s="667"/>
      <c r="M370" s="667"/>
      <c r="N370" s="667"/>
      <c r="O370" s="667"/>
      <c r="P370" s="667"/>
      <c r="Q370" s="667"/>
    </row>
    <row r="371" ht="15.75" customHeight="1">
      <c r="B371" s="667"/>
      <c r="C371" s="667"/>
      <c r="D371" s="667"/>
      <c r="E371" s="668"/>
      <c r="F371" s="667"/>
      <c r="G371" s="667"/>
      <c r="H371" s="667"/>
      <c r="I371" s="667"/>
      <c r="J371" s="667"/>
      <c r="K371" s="667"/>
      <c r="L371" s="667"/>
      <c r="M371" s="667"/>
      <c r="N371" s="667"/>
      <c r="O371" s="667"/>
      <c r="P371" s="667"/>
      <c r="Q371" s="667"/>
    </row>
    <row r="372" ht="15.75" customHeight="1">
      <c r="B372" s="667"/>
      <c r="C372" s="667"/>
      <c r="D372" s="667"/>
      <c r="E372" s="668"/>
      <c r="F372" s="667"/>
      <c r="G372" s="667"/>
      <c r="H372" s="667"/>
      <c r="I372" s="667"/>
      <c r="J372" s="667"/>
      <c r="K372" s="667"/>
      <c r="L372" s="667"/>
      <c r="M372" s="667"/>
      <c r="N372" s="667"/>
      <c r="O372" s="667"/>
      <c r="P372" s="667"/>
      <c r="Q372" s="667"/>
    </row>
    <row r="373" ht="15.75" customHeight="1">
      <c r="B373" s="667"/>
      <c r="C373" s="667"/>
      <c r="D373" s="667"/>
      <c r="E373" s="668"/>
      <c r="F373" s="667"/>
      <c r="G373" s="667"/>
      <c r="H373" s="667"/>
      <c r="I373" s="667"/>
      <c r="J373" s="667"/>
      <c r="K373" s="667"/>
      <c r="L373" s="667"/>
      <c r="M373" s="667"/>
      <c r="N373" s="667"/>
      <c r="O373" s="667"/>
      <c r="P373" s="667"/>
      <c r="Q373" s="667"/>
    </row>
    <row r="374" ht="15.75" customHeight="1">
      <c r="B374" s="667"/>
      <c r="C374" s="667"/>
      <c r="D374" s="667"/>
      <c r="E374" s="668"/>
      <c r="F374" s="667"/>
      <c r="G374" s="667"/>
      <c r="H374" s="667"/>
      <c r="I374" s="667"/>
      <c r="J374" s="667"/>
      <c r="K374" s="667"/>
      <c r="L374" s="667"/>
      <c r="M374" s="667"/>
      <c r="N374" s="667"/>
      <c r="O374" s="667"/>
      <c r="P374" s="667"/>
      <c r="Q374" s="667"/>
    </row>
    <row r="375" ht="15.75" customHeight="1">
      <c r="B375" s="667"/>
      <c r="C375" s="667"/>
      <c r="D375" s="667"/>
      <c r="E375" s="668"/>
      <c r="F375" s="667"/>
      <c r="G375" s="667"/>
      <c r="H375" s="667"/>
      <c r="I375" s="667"/>
      <c r="J375" s="667"/>
      <c r="K375" s="667"/>
      <c r="L375" s="667"/>
      <c r="M375" s="667"/>
      <c r="N375" s="667"/>
      <c r="O375" s="667"/>
      <c r="P375" s="667"/>
      <c r="Q375" s="667"/>
    </row>
    <row r="376" ht="15.75" customHeight="1">
      <c r="B376" s="667"/>
      <c r="C376" s="667"/>
      <c r="D376" s="667"/>
      <c r="E376" s="668"/>
      <c r="F376" s="667"/>
      <c r="G376" s="667"/>
      <c r="H376" s="667"/>
      <c r="I376" s="667"/>
      <c r="J376" s="667"/>
      <c r="K376" s="667"/>
      <c r="L376" s="667"/>
      <c r="M376" s="667"/>
      <c r="N376" s="667"/>
      <c r="O376" s="667"/>
      <c r="P376" s="667"/>
      <c r="Q376" s="667"/>
    </row>
    <row r="377" ht="15.75" customHeight="1">
      <c r="B377" s="667"/>
      <c r="C377" s="667"/>
      <c r="D377" s="667"/>
      <c r="E377" s="668"/>
      <c r="F377" s="667"/>
      <c r="G377" s="667"/>
      <c r="H377" s="667"/>
      <c r="I377" s="667"/>
      <c r="J377" s="667"/>
      <c r="K377" s="667"/>
      <c r="L377" s="667"/>
      <c r="M377" s="667"/>
      <c r="N377" s="667"/>
      <c r="O377" s="667"/>
      <c r="P377" s="667"/>
      <c r="Q377" s="667"/>
    </row>
    <row r="378" ht="15.75" customHeight="1">
      <c r="B378" s="667"/>
      <c r="C378" s="667"/>
      <c r="D378" s="667"/>
      <c r="E378" s="668"/>
      <c r="F378" s="667"/>
      <c r="G378" s="667"/>
      <c r="H378" s="667"/>
      <c r="I378" s="667"/>
      <c r="J378" s="667"/>
      <c r="K378" s="667"/>
      <c r="L378" s="667"/>
      <c r="M378" s="667"/>
      <c r="N378" s="667"/>
      <c r="O378" s="667"/>
      <c r="P378" s="667"/>
      <c r="Q378" s="667"/>
    </row>
    <row r="379" ht="15.75" customHeight="1">
      <c r="B379" s="667"/>
      <c r="C379" s="667"/>
      <c r="D379" s="667"/>
      <c r="E379" s="668"/>
      <c r="F379" s="667"/>
      <c r="G379" s="667"/>
      <c r="H379" s="667"/>
      <c r="I379" s="667"/>
      <c r="J379" s="667"/>
      <c r="K379" s="667"/>
      <c r="L379" s="667"/>
      <c r="M379" s="667"/>
      <c r="N379" s="667"/>
      <c r="O379" s="667"/>
      <c r="P379" s="667"/>
      <c r="Q379" s="667"/>
    </row>
    <row r="380" ht="15.75" customHeight="1">
      <c r="B380" s="667"/>
      <c r="C380" s="667"/>
      <c r="D380" s="667"/>
      <c r="E380" s="668"/>
      <c r="F380" s="667"/>
      <c r="G380" s="667"/>
      <c r="H380" s="667"/>
      <c r="I380" s="667"/>
      <c r="J380" s="667"/>
      <c r="K380" s="667"/>
      <c r="L380" s="667"/>
      <c r="M380" s="667"/>
      <c r="N380" s="667"/>
      <c r="O380" s="667"/>
      <c r="P380" s="667"/>
      <c r="Q380" s="667"/>
    </row>
    <row r="381" ht="15.75" customHeight="1">
      <c r="B381" s="667"/>
      <c r="C381" s="667"/>
      <c r="D381" s="667"/>
      <c r="E381" s="668"/>
      <c r="F381" s="667"/>
      <c r="G381" s="667"/>
      <c r="H381" s="667"/>
      <c r="I381" s="667"/>
      <c r="J381" s="667"/>
      <c r="K381" s="667"/>
      <c r="L381" s="667"/>
      <c r="M381" s="667"/>
      <c r="N381" s="667"/>
      <c r="O381" s="667"/>
      <c r="P381" s="667"/>
      <c r="Q381" s="667"/>
    </row>
    <row r="382" ht="15.75" customHeight="1">
      <c r="B382" s="667"/>
      <c r="C382" s="667"/>
      <c r="D382" s="667"/>
      <c r="E382" s="668"/>
      <c r="F382" s="667"/>
      <c r="G382" s="667"/>
      <c r="H382" s="667"/>
      <c r="I382" s="667"/>
      <c r="J382" s="667"/>
      <c r="K382" s="667"/>
      <c r="L382" s="667"/>
      <c r="M382" s="667"/>
      <c r="N382" s="667"/>
      <c r="O382" s="667"/>
      <c r="P382" s="667"/>
      <c r="Q382" s="667"/>
    </row>
    <row r="383" ht="15.75" customHeight="1">
      <c r="B383" s="667"/>
      <c r="C383" s="667"/>
      <c r="D383" s="667"/>
      <c r="E383" s="668"/>
      <c r="F383" s="667"/>
      <c r="G383" s="667"/>
      <c r="H383" s="667"/>
      <c r="I383" s="667"/>
      <c r="J383" s="667"/>
      <c r="K383" s="667"/>
      <c r="L383" s="667"/>
      <c r="M383" s="667"/>
      <c r="N383" s="667"/>
      <c r="O383" s="667"/>
      <c r="P383" s="667"/>
      <c r="Q383" s="667"/>
    </row>
    <row r="384" ht="15.75" customHeight="1">
      <c r="B384" s="667"/>
      <c r="C384" s="667"/>
      <c r="D384" s="667"/>
      <c r="E384" s="668"/>
      <c r="F384" s="667"/>
      <c r="G384" s="667"/>
      <c r="H384" s="667"/>
      <c r="I384" s="667"/>
      <c r="J384" s="667"/>
      <c r="K384" s="667"/>
      <c r="L384" s="667"/>
      <c r="M384" s="667"/>
      <c r="N384" s="667"/>
      <c r="O384" s="667"/>
      <c r="P384" s="667"/>
      <c r="Q384" s="667"/>
    </row>
    <row r="385" ht="15.75" customHeight="1">
      <c r="B385" s="667"/>
      <c r="C385" s="667"/>
      <c r="D385" s="667"/>
      <c r="E385" s="668"/>
      <c r="F385" s="667"/>
      <c r="G385" s="667"/>
      <c r="H385" s="667"/>
      <c r="I385" s="667"/>
      <c r="J385" s="667"/>
      <c r="K385" s="667"/>
      <c r="L385" s="667"/>
      <c r="M385" s="667"/>
      <c r="N385" s="667"/>
      <c r="O385" s="667"/>
      <c r="P385" s="667"/>
      <c r="Q385" s="667"/>
    </row>
    <row r="386" ht="15.75" customHeight="1">
      <c r="B386" s="667"/>
      <c r="C386" s="667"/>
      <c r="D386" s="667"/>
      <c r="E386" s="668"/>
      <c r="F386" s="667"/>
      <c r="G386" s="667"/>
      <c r="H386" s="667"/>
      <c r="I386" s="667"/>
      <c r="J386" s="667"/>
      <c r="K386" s="667"/>
      <c r="L386" s="667"/>
      <c r="M386" s="667"/>
      <c r="N386" s="667"/>
      <c r="O386" s="667"/>
      <c r="P386" s="667"/>
      <c r="Q386" s="667"/>
    </row>
    <row r="387" ht="15.75" customHeight="1">
      <c r="B387" s="667"/>
      <c r="C387" s="667"/>
      <c r="D387" s="667"/>
      <c r="E387" s="668"/>
      <c r="F387" s="667"/>
      <c r="G387" s="667"/>
      <c r="H387" s="667"/>
      <c r="I387" s="667"/>
      <c r="J387" s="667"/>
      <c r="K387" s="667"/>
      <c r="L387" s="667"/>
      <c r="M387" s="667"/>
      <c r="N387" s="667"/>
      <c r="O387" s="667"/>
      <c r="P387" s="667"/>
      <c r="Q387" s="667"/>
    </row>
    <row r="388" ht="15.75" customHeight="1">
      <c r="B388" s="667"/>
      <c r="C388" s="667"/>
      <c r="D388" s="667"/>
      <c r="E388" s="668"/>
      <c r="F388" s="667"/>
      <c r="G388" s="667"/>
      <c r="H388" s="667"/>
      <c r="I388" s="667"/>
      <c r="J388" s="667"/>
      <c r="K388" s="667"/>
      <c r="L388" s="667"/>
      <c r="M388" s="667"/>
      <c r="N388" s="667"/>
      <c r="O388" s="667"/>
      <c r="P388" s="667"/>
      <c r="Q388" s="667"/>
    </row>
    <row r="389" ht="15.75" customHeight="1">
      <c r="B389" s="667"/>
      <c r="C389" s="667"/>
      <c r="D389" s="667"/>
      <c r="E389" s="668"/>
      <c r="F389" s="667"/>
      <c r="G389" s="667"/>
      <c r="H389" s="667"/>
      <c r="I389" s="667"/>
      <c r="J389" s="667"/>
      <c r="K389" s="667"/>
      <c r="L389" s="667"/>
      <c r="M389" s="667"/>
      <c r="N389" s="667"/>
      <c r="O389" s="667"/>
      <c r="P389" s="667"/>
      <c r="Q389" s="667"/>
    </row>
    <row r="390" ht="15.75" customHeight="1">
      <c r="B390" s="667"/>
      <c r="C390" s="667"/>
      <c r="D390" s="667"/>
      <c r="E390" s="668"/>
      <c r="F390" s="667"/>
      <c r="G390" s="667"/>
      <c r="H390" s="667"/>
      <c r="I390" s="667"/>
      <c r="J390" s="667"/>
      <c r="K390" s="667"/>
      <c r="L390" s="667"/>
      <c r="M390" s="667"/>
      <c r="N390" s="667"/>
      <c r="O390" s="667"/>
      <c r="P390" s="667"/>
      <c r="Q390" s="667"/>
    </row>
    <row r="391" ht="15.75" customHeight="1">
      <c r="B391" s="667"/>
      <c r="C391" s="667"/>
      <c r="D391" s="667"/>
      <c r="E391" s="668"/>
      <c r="F391" s="667"/>
      <c r="G391" s="667"/>
      <c r="H391" s="667"/>
      <c r="I391" s="667"/>
      <c r="J391" s="667"/>
      <c r="K391" s="667"/>
      <c r="L391" s="667"/>
      <c r="M391" s="667"/>
      <c r="N391" s="667"/>
      <c r="O391" s="667"/>
      <c r="P391" s="667"/>
      <c r="Q391" s="667"/>
    </row>
    <row r="392" ht="15.75" customHeight="1">
      <c r="B392" s="667"/>
      <c r="C392" s="667"/>
      <c r="D392" s="667"/>
      <c r="E392" s="668"/>
      <c r="F392" s="667"/>
      <c r="G392" s="667"/>
      <c r="H392" s="667"/>
      <c r="I392" s="667"/>
      <c r="J392" s="667"/>
      <c r="K392" s="667"/>
      <c r="L392" s="667"/>
      <c r="M392" s="667"/>
      <c r="N392" s="667"/>
      <c r="O392" s="667"/>
      <c r="P392" s="667"/>
      <c r="Q392" s="667"/>
    </row>
    <row r="393" ht="15.75" customHeight="1">
      <c r="B393" s="667"/>
      <c r="C393" s="667"/>
      <c r="D393" s="667"/>
      <c r="E393" s="668"/>
      <c r="F393" s="667"/>
      <c r="G393" s="667"/>
      <c r="H393" s="667"/>
      <c r="I393" s="667"/>
      <c r="J393" s="667"/>
      <c r="K393" s="667"/>
      <c r="L393" s="667"/>
      <c r="M393" s="667"/>
      <c r="N393" s="667"/>
      <c r="O393" s="667"/>
      <c r="P393" s="667"/>
      <c r="Q393" s="667"/>
    </row>
    <row r="394" ht="15.75" customHeight="1">
      <c r="B394" s="667"/>
      <c r="C394" s="667"/>
      <c r="D394" s="667"/>
      <c r="E394" s="668"/>
      <c r="F394" s="667"/>
      <c r="G394" s="667"/>
      <c r="H394" s="667"/>
      <c r="I394" s="667"/>
      <c r="J394" s="667"/>
      <c r="K394" s="667"/>
      <c r="L394" s="667"/>
      <c r="M394" s="667"/>
      <c r="N394" s="667"/>
      <c r="O394" s="667"/>
      <c r="P394" s="667"/>
      <c r="Q394" s="667"/>
    </row>
    <row r="395" ht="15.75" customHeight="1">
      <c r="B395" s="667"/>
      <c r="C395" s="667"/>
      <c r="D395" s="667"/>
      <c r="E395" s="668"/>
      <c r="F395" s="667"/>
      <c r="G395" s="667"/>
      <c r="H395" s="667"/>
      <c r="I395" s="667"/>
      <c r="J395" s="667"/>
      <c r="K395" s="667"/>
      <c r="L395" s="667"/>
      <c r="M395" s="667"/>
      <c r="N395" s="667"/>
      <c r="O395" s="667"/>
      <c r="P395" s="667"/>
      <c r="Q395" s="667"/>
    </row>
    <row r="396" ht="15.75" customHeight="1">
      <c r="B396" s="667"/>
      <c r="C396" s="667"/>
      <c r="D396" s="667"/>
      <c r="E396" s="668"/>
      <c r="F396" s="667"/>
      <c r="G396" s="667"/>
      <c r="H396" s="667"/>
      <c r="I396" s="667"/>
      <c r="J396" s="667"/>
      <c r="K396" s="667"/>
      <c r="L396" s="667"/>
      <c r="M396" s="667"/>
      <c r="N396" s="667"/>
      <c r="O396" s="667"/>
      <c r="P396" s="667"/>
      <c r="Q396" s="667"/>
    </row>
    <row r="397" ht="15.75" customHeight="1">
      <c r="B397" s="667"/>
      <c r="C397" s="667"/>
      <c r="D397" s="667"/>
      <c r="E397" s="668"/>
      <c r="F397" s="667"/>
      <c r="G397" s="667"/>
      <c r="H397" s="667"/>
      <c r="I397" s="667"/>
      <c r="J397" s="667"/>
      <c r="K397" s="667"/>
      <c r="L397" s="667"/>
      <c r="M397" s="667"/>
      <c r="N397" s="667"/>
      <c r="O397" s="667"/>
      <c r="P397" s="667"/>
      <c r="Q397" s="667"/>
    </row>
    <row r="398" ht="15.75" customHeight="1">
      <c r="B398" s="667"/>
      <c r="C398" s="667"/>
      <c r="D398" s="667"/>
      <c r="E398" s="668"/>
      <c r="F398" s="667"/>
      <c r="G398" s="667"/>
      <c r="H398" s="667"/>
      <c r="I398" s="667"/>
      <c r="J398" s="667"/>
      <c r="K398" s="667"/>
      <c r="L398" s="667"/>
      <c r="M398" s="667"/>
      <c r="N398" s="667"/>
      <c r="O398" s="667"/>
      <c r="P398" s="667"/>
      <c r="Q398" s="667"/>
    </row>
    <row r="399" ht="15.75" customHeight="1">
      <c r="B399" s="667"/>
      <c r="C399" s="667"/>
      <c r="D399" s="667"/>
      <c r="E399" s="668"/>
      <c r="F399" s="667"/>
      <c r="G399" s="667"/>
      <c r="H399" s="667"/>
      <c r="I399" s="667"/>
      <c r="J399" s="667"/>
      <c r="K399" s="667"/>
      <c r="L399" s="667"/>
      <c r="M399" s="667"/>
      <c r="N399" s="667"/>
      <c r="O399" s="667"/>
      <c r="P399" s="667"/>
      <c r="Q399" s="667"/>
    </row>
    <row r="400" ht="15.75" customHeight="1">
      <c r="B400" s="667"/>
      <c r="C400" s="667"/>
      <c r="D400" s="667"/>
      <c r="E400" s="668"/>
      <c r="F400" s="667"/>
      <c r="G400" s="667"/>
      <c r="H400" s="667"/>
      <c r="I400" s="667"/>
      <c r="J400" s="667"/>
      <c r="K400" s="667"/>
      <c r="L400" s="667"/>
      <c r="M400" s="667"/>
      <c r="N400" s="667"/>
      <c r="O400" s="667"/>
      <c r="P400" s="667"/>
      <c r="Q400" s="667"/>
    </row>
    <row r="401" ht="15.75" customHeight="1">
      <c r="B401" s="667"/>
      <c r="C401" s="667"/>
      <c r="D401" s="667"/>
      <c r="E401" s="668"/>
      <c r="F401" s="667"/>
      <c r="G401" s="667"/>
      <c r="H401" s="667"/>
      <c r="I401" s="667"/>
      <c r="J401" s="667"/>
      <c r="K401" s="667"/>
      <c r="L401" s="667"/>
      <c r="M401" s="667"/>
      <c r="N401" s="667"/>
      <c r="O401" s="667"/>
      <c r="P401" s="667"/>
      <c r="Q401" s="667"/>
    </row>
    <row r="402" ht="15.75" customHeight="1">
      <c r="B402" s="667"/>
      <c r="C402" s="667"/>
      <c r="D402" s="667"/>
      <c r="E402" s="668"/>
      <c r="F402" s="667"/>
      <c r="G402" s="667"/>
      <c r="H402" s="667"/>
      <c r="I402" s="667"/>
      <c r="J402" s="667"/>
      <c r="K402" s="667"/>
      <c r="L402" s="667"/>
      <c r="M402" s="667"/>
      <c r="N402" s="667"/>
      <c r="O402" s="667"/>
      <c r="P402" s="667"/>
      <c r="Q402" s="667"/>
    </row>
    <row r="403" ht="15.75" customHeight="1">
      <c r="B403" s="667"/>
      <c r="C403" s="667"/>
      <c r="D403" s="667"/>
      <c r="E403" s="668"/>
      <c r="F403" s="667"/>
      <c r="G403" s="667"/>
      <c r="H403" s="667"/>
      <c r="I403" s="667"/>
      <c r="J403" s="667"/>
      <c r="K403" s="667"/>
      <c r="L403" s="667"/>
      <c r="M403" s="667"/>
      <c r="N403" s="667"/>
      <c r="O403" s="667"/>
      <c r="P403" s="667"/>
      <c r="Q403" s="667"/>
    </row>
    <row r="404" ht="15.75" customHeight="1">
      <c r="B404" s="667"/>
      <c r="C404" s="667"/>
      <c r="D404" s="667"/>
      <c r="E404" s="668"/>
      <c r="F404" s="667"/>
      <c r="G404" s="667"/>
      <c r="H404" s="667"/>
      <c r="I404" s="667"/>
      <c r="J404" s="667"/>
      <c r="K404" s="667"/>
      <c r="L404" s="667"/>
      <c r="M404" s="667"/>
      <c r="N404" s="667"/>
      <c r="O404" s="667"/>
      <c r="P404" s="667"/>
      <c r="Q404" s="667"/>
    </row>
    <row r="405" ht="15.75" customHeight="1">
      <c r="B405" s="667"/>
      <c r="C405" s="667"/>
      <c r="D405" s="667"/>
      <c r="E405" s="668"/>
      <c r="F405" s="667"/>
      <c r="G405" s="667"/>
      <c r="H405" s="667"/>
      <c r="I405" s="667"/>
      <c r="J405" s="667"/>
      <c r="K405" s="667"/>
      <c r="L405" s="667"/>
      <c r="M405" s="667"/>
      <c r="N405" s="667"/>
      <c r="O405" s="667"/>
      <c r="P405" s="667"/>
      <c r="Q405" s="667"/>
    </row>
    <row r="406" ht="15.75" customHeight="1">
      <c r="B406" s="667"/>
      <c r="C406" s="667"/>
      <c r="D406" s="667"/>
      <c r="E406" s="668"/>
      <c r="F406" s="667"/>
      <c r="G406" s="667"/>
      <c r="H406" s="667"/>
      <c r="I406" s="667"/>
      <c r="J406" s="667"/>
      <c r="K406" s="667"/>
      <c r="L406" s="667"/>
      <c r="M406" s="667"/>
      <c r="N406" s="667"/>
      <c r="O406" s="667"/>
      <c r="P406" s="667"/>
      <c r="Q406" s="667"/>
    </row>
    <row r="407" ht="15.75" customHeight="1">
      <c r="B407" s="667"/>
      <c r="C407" s="667"/>
      <c r="D407" s="667"/>
      <c r="E407" s="668"/>
      <c r="F407" s="667"/>
      <c r="G407" s="667"/>
      <c r="H407" s="667"/>
      <c r="I407" s="667"/>
      <c r="J407" s="667"/>
      <c r="K407" s="667"/>
      <c r="L407" s="667"/>
      <c r="M407" s="667"/>
      <c r="N407" s="667"/>
      <c r="O407" s="667"/>
      <c r="P407" s="667"/>
      <c r="Q407" s="667"/>
    </row>
    <row r="408" ht="15.75" customHeight="1">
      <c r="B408" s="667"/>
      <c r="C408" s="667"/>
      <c r="D408" s="667"/>
      <c r="E408" s="668"/>
      <c r="F408" s="667"/>
      <c r="G408" s="667"/>
      <c r="H408" s="667"/>
      <c r="I408" s="667"/>
      <c r="J408" s="667"/>
      <c r="K408" s="667"/>
      <c r="L408" s="667"/>
      <c r="M408" s="667"/>
      <c r="N408" s="667"/>
      <c r="O408" s="667"/>
      <c r="P408" s="667"/>
      <c r="Q408" s="667"/>
    </row>
    <row r="409" ht="15.75" customHeight="1">
      <c r="B409" s="667"/>
      <c r="C409" s="667"/>
      <c r="D409" s="667"/>
      <c r="E409" s="668"/>
      <c r="F409" s="667"/>
      <c r="G409" s="667"/>
      <c r="H409" s="667"/>
      <c r="I409" s="667"/>
      <c r="J409" s="667"/>
      <c r="K409" s="667"/>
      <c r="L409" s="667"/>
      <c r="M409" s="667"/>
      <c r="N409" s="667"/>
      <c r="O409" s="667"/>
      <c r="P409" s="667"/>
      <c r="Q409" s="667"/>
    </row>
    <row r="410" ht="15.75" customHeight="1">
      <c r="B410" s="667"/>
      <c r="C410" s="667"/>
      <c r="D410" s="667"/>
      <c r="E410" s="668"/>
      <c r="F410" s="667"/>
      <c r="G410" s="667"/>
      <c r="H410" s="667"/>
      <c r="I410" s="667"/>
      <c r="J410" s="667"/>
      <c r="K410" s="667"/>
      <c r="L410" s="667"/>
      <c r="M410" s="667"/>
      <c r="N410" s="667"/>
      <c r="O410" s="667"/>
      <c r="P410" s="667"/>
      <c r="Q410" s="667"/>
    </row>
    <row r="411" ht="15.75" customHeight="1">
      <c r="B411" s="667"/>
      <c r="C411" s="667"/>
      <c r="D411" s="667"/>
      <c r="E411" s="668"/>
      <c r="F411" s="667"/>
      <c r="G411" s="667"/>
      <c r="H411" s="667"/>
      <c r="I411" s="667"/>
      <c r="J411" s="667"/>
      <c r="K411" s="667"/>
      <c r="L411" s="667"/>
      <c r="M411" s="667"/>
      <c r="N411" s="667"/>
      <c r="O411" s="667"/>
      <c r="P411" s="667"/>
      <c r="Q411" s="667"/>
    </row>
    <row r="412" ht="15.75" customHeight="1">
      <c r="B412" s="667"/>
      <c r="C412" s="667"/>
      <c r="D412" s="667"/>
      <c r="E412" s="668"/>
      <c r="F412" s="667"/>
      <c r="G412" s="667"/>
      <c r="H412" s="667"/>
      <c r="I412" s="667"/>
      <c r="J412" s="667"/>
      <c r="K412" s="667"/>
      <c r="L412" s="667"/>
      <c r="M412" s="667"/>
      <c r="N412" s="667"/>
      <c r="O412" s="667"/>
      <c r="P412" s="667"/>
      <c r="Q412" s="667"/>
    </row>
    <row r="413" ht="15.75" customHeight="1">
      <c r="B413" s="667"/>
      <c r="C413" s="667"/>
      <c r="D413" s="667"/>
      <c r="E413" s="668"/>
      <c r="F413" s="667"/>
      <c r="G413" s="667"/>
      <c r="H413" s="667"/>
      <c r="I413" s="667"/>
      <c r="J413" s="667"/>
      <c r="K413" s="667"/>
      <c r="L413" s="667"/>
      <c r="M413" s="667"/>
      <c r="N413" s="667"/>
      <c r="O413" s="667"/>
      <c r="P413" s="667"/>
      <c r="Q413" s="667"/>
    </row>
    <row r="414" ht="15.75" customHeight="1">
      <c r="B414" s="667"/>
      <c r="C414" s="667"/>
      <c r="D414" s="667"/>
      <c r="E414" s="668"/>
      <c r="F414" s="667"/>
      <c r="G414" s="667"/>
      <c r="H414" s="667"/>
      <c r="I414" s="667"/>
      <c r="J414" s="667"/>
      <c r="K414" s="667"/>
      <c r="L414" s="667"/>
      <c r="M414" s="667"/>
      <c r="N414" s="667"/>
      <c r="O414" s="667"/>
      <c r="P414" s="667"/>
      <c r="Q414" s="667"/>
    </row>
    <row r="415" ht="15.75" customHeight="1">
      <c r="B415" s="667"/>
      <c r="C415" s="667"/>
      <c r="D415" s="667"/>
      <c r="E415" s="668"/>
      <c r="F415" s="667"/>
      <c r="G415" s="667"/>
      <c r="H415" s="667"/>
      <c r="I415" s="667"/>
      <c r="J415" s="667"/>
      <c r="K415" s="667"/>
      <c r="L415" s="667"/>
      <c r="M415" s="667"/>
      <c r="N415" s="667"/>
      <c r="O415" s="667"/>
      <c r="P415" s="667"/>
      <c r="Q415" s="667"/>
    </row>
    <row r="416" ht="15.75" customHeight="1">
      <c r="B416" s="667"/>
      <c r="C416" s="667"/>
      <c r="D416" s="667"/>
      <c r="E416" s="668"/>
      <c r="F416" s="667"/>
      <c r="G416" s="667"/>
      <c r="H416" s="667"/>
      <c r="I416" s="667"/>
      <c r="J416" s="667"/>
      <c r="K416" s="667"/>
      <c r="L416" s="667"/>
      <c r="M416" s="667"/>
      <c r="N416" s="667"/>
      <c r="O416" s="667"/>
      <c r="P416" s="667"/>
      <c r="Q416" s="667"/>
    </row>
    <row r="417" ht="15.75" customHeight="1">
      <c r="B417" s="667"/>
      <c r="C417" s="667"/>
      <c r="D417" s="667"/>
      <c r="E417" s="668"/>
      <c r="F417" s="667"/>
      <c r="G417" s="667"/>
      <c r="H417" s="667"/>
      <c r="I417" s="667"/>
      <c r="J417" s="667"/>
      <c r="K417" s="667"/>
      <c r="L417" s="667"/>
      <c r="M417" s="667"/>
      <c r="N417" s="667"/>
      <c r="O417" s="667"/>
      <c r="P417" s="667"/>
      <c r="Q417" s="667"/>
    </row>
    <row r="418" ht="15.75" customHeight="1">
      <c r="B418" s="667"/>
      <c r="C418" s="667"/>
      <c r="D418" s="667"/>
      <c r="E418" s="668"/>
      <c r="F418" s="667"/>
      <c r="G418" s="667"/>
      <c r="H418" s="667"/>
      <c r="I418" s="667"/>
      <c r="J418" s="667"/>
      <c r="K418" s="667"/>
      <c r="L418" s="667"/>
      <c r="M418" s="667"/>
      <c r="N418" s="667"/>
      <c r="O418" s="667"/>
      <c r="P418" s="667"/>
      <c r="Q418" s="667"/>
    </row>
    <row r="419" ht="15.75" customHeight="1">
      <c r="B419" s="667"/>
      <c r="C419" s="667"/>
      <c r="D419" s="667"/>
      <c r="E419" s="668"/>
      <c r="F419" s="667"/>
      <c r="G419" s="667"/>
      <c r="H419" s="667"/>
      <c r="I419" s="667"/>
      <c r="J419" s="667"/>
      <c r="K419" s="667"/>
      <c r="L419" s="667"/>
      <c r="M419" s="667"/>
      <c r="N419" s="667"/>
      <c r="O419" s="667"/>
      <c r="P419" s="667"/>
      <c r="Q419" s="667"/>
    </row>
    <row r="420" ht="15.75" customHeight="1">
      <c r="B420" s="667"/>
      <c r="C420" s="667"/>
      <c r="D420" s="667"/>
      <c r="E420" s="668"/>
      <c r="F420" s="667"/>
      <c r="G420" s="667"/>
      <c r="H420" s="667"/>
      <c r="I420" s="667"/>
      <c r="J420" s="667"/>
      <c r="K420" s="667"/>
      <c r="L420" s="667"/>
      <c r="M420" s="667"/>
      <c r="N420" s="667"/>
      <c r="O420" s="667"/>
      <c r="P420" s="667"/>
      <c r="Q420" s="667"/>
    </row>
    <row r="421" ht="15.75" customHeight="1">
      <c r="B421" s="667"/>
      <c r="C421" s="667"/>
      <c r="D421" s="667"/>
      <c r="E421" s="668"/>
      <c r="F421" s="667"/>
      <c r="G421" s="667"/>
      <c r="H421" s="667"/>
      <c r="I421" s="667"/>
      <c r="J421" s="667"/>
      <c r="K421" s="667"/>
      <c r="L421" s="667"/>
      <c r="M421" s="667"/>
      <c r="N421" s="667"/>
      <c r="O421" s="667"/>
      <c r="P421" s="667"/>
      <c r="Q421" s="667"/>
    </row>
    <row r="422" ht="15.75" customHeight="1">
      <c r="B422" s="667"/>
      <c r="C422" s="667"/>
      <c r="D422" s="667"/>
      <c r="E422" s="668"/>
      <c r="F422" s="667"/>
      <c r="G422" s="667"/>
      <c r="H422" s="667"/>
      <c r="I422" s="667"/>
      <c r="J422" s="667"/>
      <c r="K422" s="667"/>
      <c r="L422" s="667"/>
      <c r="M422" s="667"/>
      <c r="N422" s="667"/>
      <c r="O422" s="667"/>
      <c r="P422" s="667"/>
      <c r="Q422" s="667"/>
    </row>
    <row r="423" ht="15.75" customHeight="1">
      <c r="B423" s="667"/>
      <c r="C423" s="667"/>
      <c r="D423" s="667"/>
      <c r="E423" s="668"/>
      <c r="F423" s="667"/>
      <c r="G423" s="667"/>
      <c r="H423" s="667"/>
      <c r="I423" s="667"/>
      <c r="J423" s="667"/>
      <c r="K423" s="667"/>
      <c r="L423" s="667"/>
      <c r="M423" s="667"/>
      <c r="N423" s="667"/>
      <c r="O423" s="667"/>
      <c r="P423" s="667"/>
      <c r="Q423" s="667"/>
    </row>
    <row r="424" ht="15.75" customHeight="1">
      <c r="B424" s="667"/>
      <c r="C424" s="667"/>
      <c r="D424" s="667"/>
      <c r="E424" s="668"/>
      <c r="F424" s="667"/>
      <c r="G424" s="667"/>
      <c r="H424" s="667"/>
      <c r="I424" s="667"/>
      <c r="J424" s="667"/>
      <c r="K424" s="667"/>
      <c r="L424" s="667"/>
      <c r="M424" s="667"/>
      <c r="N424" s="667"/>
      <c r="O424" s="667"/>
      <c r="P424" s="667"/>
      <c r="Q424" s="667"/>
    </row>
    <row r="425" ht="15.75" customHeight="1">
      <c r="B425" s="667"/>
      <c r="C425" s="667"/>
      <c r="D425" s="667"/>
      <c r="E425" s="668"/>
      <c r="F425" s="667"/>
      <c r="G425" s="667"/>
      <c r="H425" s="667"/>
      <c r="I425" s="667"/>
      <c r="J425" s="667"/>
      <c r="K425" s="667"/>
      <c r="L425" s="667"/>
      <c r="M425" s="667"/>
      <c r="N425" s="667"/>
      <c r="O425" s="667"/>
      <c r="P425" s="667"/>
      <c r="Q425" s="667"/>
    </row>
    <row r="426" ht="15.75" customHeight="1">
      <c r="B426" s="667"/>
      <c r="C426" s="667"/>
      <c r="D426" s="667"/>
      <c r="E426" s="668"/>
      <c r="F426" s="667"/>
      <c r="G426" s="667"/>
      <c r="H426" s="667"/>
      <c r="I426" s="667"/>
      <c r="J426" s="667"/>
      <c r="K426" s="667"/>
      <c r="L426" s="667"/>
      <c r="M426" s="667"/>
      <c r="N426" s="667"/>
      <c r="O426" s="667"/>
      <c r="P426" s="667"/>
      <c r="Q426" s="667"/>
    </row>
    <row r="427" ht="15.75" customHeight="1">
      <c r="B427" s="667"/>
      <c r="C427" s="667"/>
      <c r="D427" s="667"/>
      <c r="E427" s="668"/>
      <c r="F427" s="667"/>
      <c r="G427" s="667"/>
      <c r="H427" s="667"/>
      <c r="I427" s="667"/>
      <c r="J427" s="667"/>
      <c r="K427" s="667"/>
      <c r="L427" s="667"/>
      <c r="M427" s="667"/>
      <c r="N427" s="667"/>
      <c r="O427" s="667"/>
      <c r="P427" s="667"/>
      <c r="Q427" s="667"/>
    </row>
    <row r="428" ht="15.75" customHeight="1">
      <c r="B428" s="667"/>
      <c r="C428" s="667"/>
      <c r="D428" s="667"/>
      <c r="E428" s="668"/>
      <c r="F428" s="667"/>
      <c r="G428" s="667"/>
      <c r="H428" s="667"/>
      <c r="I428" s="667"/>
      <c r="J428" s="667"/>
      <c r="K428" s="667"/>
      <c r="L428" s="667"/>
      <c r="M428" s="667"/>
      <c r="N428" s="667"/>
      <c r="O428" s="667"/>
      <c r="P428" s="667"/>
      <c r="Q428" s="667"/>
    </row>
    <row r="429" ht="15.75" customHeight="1">
      <c r="B429" s="667"/>
      <c r="C429" s="667"/>
      <c r="D429" s="667"/>
      <c r="E429" s="668"/>
      <c r="F429" s="667"/>
      <c r="G429" s="667"/>
      <c r="H429" s="667"/>
      <c r="I429" s="667"/>
      <c r="J429" s="667"/>
      <c r="K429" s="667"/>
      <c r="L429" s="667"/>
      <c r="M429" s="667"/>
      <c r="N429" s="667"/>
      <c r="O429" s="667"/>
      <c r="P429" s="667"/>
      <c r="Q429" s="667"/>
    </row>
    <row r="430" ht="15.75" customHeight="1">
      <c r="B430" s="667"/>
      <c r="C430" s="667"/>
      <c r="D430" s="667"/>
      <c r="E430" s="668"/>
      <c r="F430" s="667"/>
      <c r="G430" s="667"/>
      <c r="H430" s="667"/>
      <c r="I430" s="667"/>
      <c r="J430" s="667"/>
      <c r="K430" s="667"/>
      <c r="L430" s="667"/>
      <c r="M430" s="667"/>
      <c r="N430" s="667"/>
      <c r="O430" s="667"/>
      <c r="P430" s="667"/>
      <c r="Q430" s="667"/>
    </row>
    <row r="431" ht="15.75" customHeight="1">
      <c r="B431" s="667"/>
      <c r="C431" s="667"/>
      <c r="D431" s="667"/>
      <c r="E431" s="668"/>
      <c r="F431" s="667"/>
      <c r="G431" s="667"/>
      <c r="H431" s="667"/>
      <c r="I431" s="667"/>
      <c r="J431" s="667"/>
      <c r="K431" s="667"/>
      <c r="L431" s="667"/>
      <c r="M431" s="667"/>
      <c r="N431" s="667"/>
      <c r="O431" s="667"/>
      <c r="P431" s="667"/>
      <c r="Q431" s="667"/>
    </row>
    <row r="432" ht="15.75" customHeight="1">
      <c r="B432" s="667"/>
      <c r="C432" s="667"/>
      <c r="D432" s="667"/>
      <c r="E432" s="668"/>
      <c r="F432" s="667"/>
      <c r="G432" s="667"/>
      <c r="H432" s="667"/>
      <c r="I432" s="667"/>
      <c r="J432" s="667"/>
      <c r="K432" s="667"/>
      <c r="L432" s="667"/>
      <c r="M432" s="667"/>
      <c r="N432" s="667"/>
      <c r="O432" s="667"/>
      <c r="P432" s="667"/>
      <c r="Q432" s="667"/>
    </row>
    <row r="433" ht="15.75" customHeight="1">
      <c r="B433" s="667"/>
      <c r="C433" s="667"/>
      <c r="D433" s="667"/>
      <c r="E433" s="668"/>
      <c r="F433" s="667"/>
      <c r="G433" s="667"/>
      <c r="H433" s="667"/>
      <c r="I433" s="667"/>
      <c r="J433" s="667"/>
      <c r="K433" s="667"/>
      <c r="L433" s="667"/>
      <c r="M433" s="667"/>
      <c r="N433" s="667"/>
      <c r="O433" s="667"/>
      <c r="P433" s="667"/>
      <c r="Q433" s="667"/>
    </row>
    <row r="434" ht="15.75" customHeight="1">
      <c r="B434" s="667"/>
      <c r="C434" s="667"/>
      <c r="D434" s="667"/>
      <c r="E434" s="668"/>
      <c r="F434" s="667"/>
      <c r="G434" s="667"/>
      <c r="H434" s="667"/>
      <c r="I434" s="667"/>
      <c r="J434" s="667"/>
      <c r="K434" s="667"/>
      <c r="L434" s="667"/>
      <c r="M434" s="667"/>
      <c r="N434" s="667"/>
      <c r="O434" s="667"/>
      <c r="P434" s="667"/>
      <c r="Q434" s="667"/>
    </row>
    <row r="435" ht="15.75" customHeight="1">
      <c r="B435" s="667"/>
      <c r="C435" s="667"/>
      <c r="D435" s="667"/>
      <c r="E435" s="668"/>
      <c r="F435" s="667"/>
      <c r="G435" s="667"/>
      <c r="H435" s="667"/>
      <c r="I435" s="667"/>
      <c r="J435" s="667"/>
      <c r="K435" s="667"/>
      <c r="L435" s="667"/>
      <c r="M435" s="667"/>
      <c r="N435" s="667"/>
      <c r="O435" s="667"/>
      <c r="P435" s="667"/>
      <c r="Q435" s="667"/>
    </row>
    <row r="436" ht="15.75" customHeight="1">
      <c r="B436" s="667"/>
      <c r="C436" s="667"/>
      <c r="D436" s="667"/>
      <c r="E436" s="668"/>
      <c r="F436" s="667"/>
      <c r="G436" s="667"/>
      <c r="H436" s="667"/>
      <c r="I436" s="667"/>
      <c r="J436" s="667"/>
      <c r="K436" s="667"/>
      <c r="L436" s="667"/>
      <c r="M436" s="667"/>
      <c r="N436" s="667"/>
      <c r="O436" s="667"/>
      <c r="P436" s="667"/>
      <c r="Q436" s="667"/>
    </row>
    <row r="437" ht="15.75" customHeight="1">
      <c r="B437" s="667"/>
      <c r="C437" s="667"/>
      <c r="D437" s="667"/>
      <c r="E437" s="668"/>
      <c r="F437" s="667"/>
      <c r="G437" s="667"/>
      <c r="H437" s="667"/>
      <c r="I437" s="667"/>
      <c r="J437" s="667"/>
      <c r="K437" s="667"/>
      <c r="L437" s="667"/>
      <c r="M437" s="667"/>
      <c r="N437" s="667"/>
      <c r="O437" s="667"/>
      <c r="P437" s="667"/>
      <c r="Q437" s="667"/>
    </row>
    <row r="438" ht="15.75" customHeight="1">
      <c r="B438" s="667"/>
      <c r="C438" s="667"/>
      <c r="D438" s="667"/>
      <c r="E438" s="668"/>
      <c r="F438" s="667"/>
      <c r="G438" s="667"/>
      <c r="H438" s="667"/>
      <c r="I438" s="667"/>
      <c r="J438" s="667"/>
      <c r="K438" s="667"/>
      <c r="L438" s="667"/>
      <c r="M438" s="667"/>
      <c r="N438" s="667"/>
      <c r="O438" s="667"/>
      <c r="P438" s="667"/>
      <c r="Q438" s="667"/>
    </row>
    <row r="439" ht="15.75" customHeight="1">
      <c r="B439" s="667"/>
      <c r="C439" s="667"/>
      <c r="D439" s="667"/>
      <c r="E439" s="668"/>
      <c r="F439" s="667"/>
      <c r="G439" s="667"/>
      <c r="H439" s="667"/>
      <c r="I439" s="667"/>
      <c r="J439" s="667"/>
      <c r="K439" s="667"/>
      <c r="L439" s="667"/>
      <c r="M439" s="667"/>
      <c r="N439" s="667"/>
      <c r="O439" s="667"/>
      <c r="P439" s="667"/>
      <c r="Q439" s="667"/>
    </row>
    <row r="440" ht="15.75" customHeight="1">
      <c r="B440" s="667"/>
      <c r="C440" s="667"/>
      <c r="D440" s="667"/>
      <c r="E440" s="668"/>
      <c r="F440" s="667"/>
      <c r="G440" s="667"/>
      <c r="H440" s="667"/>
      <c r="I440" s="667"/>
      <c r="J440" s="667"/>
      <c r="K440" s="667"/>
      <c r="L440" s="667"/>
      <c r="M440" s="667"/>
      <c r="N440" s="667"/>
      <c r="O440" s="667"/>
      <c r="P440" s="667"/>
      <c r="Q440" s="667"/>
    </row>
    <row r="441" ht="15.75" customHeight="1">
      <c r="B441" s="667"/>
      <c r="C441" s="667"/>
      <c r="D441" s="667"/>
      <c r="E441" s="668"/>
      <c r="F441" s="667"/>
      <c r="G441" s="667"/>
      <c r="H441" s="667"/>
      <c r="I441" s="667"/>
      <c r="J441" s="667"/>
      <c r="K441" s="667"/>
      <c r="L441" s="667"/>
      <c r="M441" s="667"/>
      <c r="N441" s="667"/>
      <c r="O441" s="667"/>
      <c r="P441" s="667"/>
      <c r="Q441" s="667"/>
    </row>
    <row r="442" ht="15.75" customHeight="1">
      <c r="B442" s="667"/>
      <c r="C442" s="667"/>
      <c r="D442" s="667"/>
      <c r="E442" s="668"/>
      <c r="F442" s="667"/>
      <c r="G442" s="667"/>
      <c r="H442" s="667"/>
      <c r="I442" s="667"/>
      <c r="J442" s="667"/>
      <c r="K442" s="667"/>
      <c r="L442" s="667"/>
      <c r="M442" s="667"/>
      <c r="N442" s="667"/>
      <c r="O442" s="667"/>
      <c r="P442" s="667"/>
      <c r="Q442" s="667"/>
    </row>
    <row r="443" ht="15.75" customHeight="1">
      <c r="B443" s="667"/>
      <c r="C443" s="667"/>
      <c r="D443" s="667"/>
      <c r="E443" s="668"/>
      <c r="F443" s="667"/>
      <c r="G443" s="667"/>
      <c r="H443" s="667"/>
      <c r="I443" s="667"/>
      <c r="J443" s="667"/>
      <c r="K443" s="667"/>
      <c r="L443" s="667"/>
      <c r="M443" s="667"/>
      <c r="N443" s="667"/>
      <c r="O443" s="667"/>
      <c r="P443" s="667"/>
      <c r="Q443" s="667"/>
    </row>
    <row r="444" ht="15.75" customHeight="1">
      <c r="B444" s="667"/>
      <c r="C444" s="667"/>
      <c r="D444" s="667"/>
      <c r="E444" s="668"/>
      <c r="F444" s="667"/>
      <c r="G444" s="667"/>
      <c r="H444" s="667"/>
      <c r="I444" s="667"/>
      <c r="J444" s="667"/>
      <c r="K444" s="667"/>
      <c r="L444" s="667"/>
      <c r="M444" s="667"/>
      <c r="N444" s="667"/>
      <c r="O444" s="667"/>
      <c r="P444" s="667"/>
      <c r="Q444" s="667"/>
    </row>
    <row r="445" ht="15.75" customHeight="1">
      <c r="B445" s="667"/>
      <c r="C445" s="667"/>
      <c r="D445" s="667"/>
      <c r="E445" s="668"/>
      <c r="F445" s="667"/>
      <c r="G445" s="667"/>
      <c r="H445" s="667"/>
      <c r="I445" s="667"/>
      <c r="J445" s="667"/>
      <c r="K445" s="667"/>
      <c r="L445" s="667"/>
      <c r="M445" s="667"/>
      <c r="N445" s="667"/>
      <c r="O445" s="667"/>
      <c r="P445" s="667"/>
      <c r="Q445" s="667"/>
    </row>
    <row r="446" ht="15.75" customHeight="1">
      <c r="B446" s="667"/>
      <c r="C446" s="667"/>
      <c r="D446" s="667"/>
      <c r="E446" s="668"/>
      <c r="F446" s="667"/>
      <c r="G446" s="667"/>
      <c r="H446" s="667"/>
      <c r="I446" s="667"/>
      <c r="J446" s="667"/>
      <c r="K446" s="667"/>
      <c r="L446" s="667"/>
      <c r="M446" s="667"/>
      <c r="N446" s="667"/>
      <c r="O446" s="667"/>
      <c r="P446" s="667"/>
      <c r="Q446" s="667"/>
    </row>
    <row r="447" ht="15.75" customHeight="1">
      <c r="B447" s="667"/>
      <c r="C447" s="667"/>
      <c r="D447" s="667"/>
      <c r="E447" s="668"/>
      <c r="F447" s="667"/>
      <c r="G447" s="667"/>
      <c r="H447" s="667"/>
      <c r="I447" s="667"/>
      <c r="J447" s="667"/>
      <c r="K447" s="667"/>
      <c r="L447" s="667"/>
      <c r="M447" s="667"/>
      <c r="N447" s="667"/>
      <c r="O447" s="667"/>
      <c r="P447" s="667"/>
      <c r="Q447" s="667"/>
    </row>
    <row r="448" ht="15.75" customHeight="1">
      <c r="B448" s="667"/>
      <c r="C448" s="667"/>
      <c r="D448" s="667"/>
      <c r="E448" s="668"/>
      <c r="F448" s="667"/>
      <c r="G448" s="667"/>
      <c r="H448" s="667"/>
      <c r="I448" s="667"/>
      <c r="J448" s="667"/>
      <c r="K448" s="667"/>
      <c r="L448" s="667"/>
      <c r="M448" s="667"/>
      <c r="N448" s="667"/>
      <c r="O448" s="667"/>
      <c r="P448" s="667"/>
      <c r="Q448" s="667"/>
    </row>
    <row r="449" ht="15.75" customHeight="1">
      <c r="B449" s="667"/>
      <c r="C449" s="667"/>
      <c r="D449" s="667"/>
      <c r="E449" s="668"/>
      <c r="F449" s="667"/>
      <c r="G449" s="667"/>
      <c r="H449" s="667"/>
      <c r="I449" s="667"/>
      <c r="J449" s="667"/>
      <c r="K449" s="667"/>
      <c r="L449" s="667"/>
      <c r="M449" s="667"/>
      <c r="N449" s="667"/>
      <c r="O449" s="667"/>
      <c r="P449" s="667"/>
      <c r="Q449" s="667"/>
    </row>
    <row r="450" ht="15.75" customHeight="1">
      <c r="B450" s="667"/>
      <c r="C450" s="667"/>
      <c r="D450" s="667"/>
      <c r="E450" s="668"/>
      <c r="F450" s="667"/>
      <c r="G450" s="667"/>
      <c r="H450" s="667"/>
      <c r="I450" s="667"/>
      <c r="J450" s="667"/>
      <c r="K450" s="667"/>
      <c r="L450" s="667"/>
      <c r="M450" s="667"/>
      <c r="N450" s="667"/>
      <c r="O450" s="667"/>
      <c r="P450" s="667"/>
      <c r="Q450" s="667"/>
    </row>
    <row r="451" ht="15.75" customHeight="1">
      <c r="B451" s="667"/>
      <c r="C451" s="667"/>
      <c r="D451" s="667"/>
      <c r="E451" s="668"/>
      <c r="F451" s="667"/>
      <c r="G451" s="667"/>
      <c r="H451" s="667"/>
      <c r="I451" s="667"/>
      <c r="J451" s="667"/>
      <c r="K451" s="667"/>
      <c r="L451" s="667"/>
      <c r="M451" s="667"/>
      <c r="N451" s="667"/>
      <c r="O451" s="667"/>
      <c r="P451" s="667"/>
      <c r="Q451" s="667"/>
    </row>
    <row r="452" ht="15.75" customHeight="1">
      <c r="B452" s="667"/>
      <c r="C452" s="667"/>
      <c r="D452" s="667"/>
      <c r="E452" s="668"/>
      <c r="F452" s="667"/>
      <c r="G452" s="667"/>
      <c r="H452" s="667"/>
      <c r="I452" s="667"/>
      <c r="J452" s="667"/>
      <c r="K452" s="667"/>
      <c r="L452" s="667"/>
      <c r="M452" s="667"/>
      <c r="N452" s="667"/>
      <c r="O452" s="667"/>
      <c r="P452" s="667"/>
      <c r="Q452" s="667"/>
    </row>
    <row r="453" ht="15.75" customHeight="1">
      <c r="B453" s="667"/>
      <c r="C453" s="667"/>
      <c r="D453" s="667"/>
      <c r="E453" s="668"/>
      <c r="F453" s="667"/>
      <c r="G453" s="667"/>
      <c r="H453" s="667"/>
      <c r="I453" s="667"/>
      <c r="J453" s="667"/>
      <c r="K453" s="667"/>
      <c r="L453" s="667"/>
      <c r="M453" s="667"/>
      <c r="N453" s="667"/>
      <c r="O453" s="667"/>
      <c r="P453" s="667"/>
      <c r="Q453" s="667"/>
    </row>
    <row r="454" ht="15.75" customHeight="1">
      <c r="B454" s="667"/>
      <c r="C454" s="667"/>
      <c r="D454" s="667"/>
      <c r="E454" s="668"/>
      <c r="F454" s="667"/>
      <c r="G454" s="667"/>
      <c r="H454" s="667"/>
      <c r="I454" s="667"/>
      <c r="J454" s="667"/>
      <c r="K454" s="667"/>
      <c r="L454" s="667"/>
      <c r="M454" s="667"/>
      <c r="N454" s="667"/>
      <c r="O454" s="667"/>
      <c r="P454" s="667"/>
      <c r="Q454" s="667"/>
    </row>
    <row r="455" ht="15.75" customHeight="1">
      <c r="B455" s="667"/>
      <c r="C455" s="667"/>
      <c r="D455" s="667"/>
      <c r="E455" s="668"/>
      <c r="F455" s="667"/>
      <c r="G455" s="667"/>
      <c r="H455" s="667"/>
      <c r="I455" s="667"/>
      <c r="J455" s="667"/>
      <c r="K455" s="667"/>
      <c r="L455" s="667"/>
      <c r="M455" s="667"/>
      <c r="N455" s="667"/>
      <c r="O455" s="667"/>
      <c r="P455" s="667"/>
      <c r="Q455" s="667"/>
    </row>
    <row r="456" ht="15.75" customHeight="1">
      <c r="B456" s="667"/>
      <c r="C456" s="667"/>
      <c r="D456" s="667"/>
      <c r="E456" s="668"/>
      <c r="F456" s="667"/>
      <c r="G456" s="667"/>
      <c r="H456" s="667"/>
      <c r="I456" s="667"/>
      <c r="J456" s="667"/>
      <c r="K456" s="667"/>
      <c r="L456" s="667"/>
      <c r="M456" s="667"/>
      <c r="N456" s="667"/>
      <c r="O456" s="667"/>
      <c r="P456" s="667"/>
      <c r="Q456" s="667"/>
    </row>
    <row r="457" ht="15.75" customHeight="1">
      <c r="B457" s="667"/>
      <c r="C457" s="667"/>
      <c r="D457" s="667"/>
      <c r="E457" s="668"/>
      <c r="F457" s="667"/>
      <c r="G457" s="667"/>
      <c r="H457" s="667"/>
      <c r="I457" s="667"/>
      <c r="J457" s="667"/>
      <c r="K457" s="667"/>
      <c r="L457" s="667"/>
      <c r="M457" s="667"/>
      <c r="N457" s="667"/>
      <c r="O457" s="667"/>
      <c r="P457" s="667"/>
      <c r="Q457" s="667"/>
    </row>
    <row r="458" ht="15.75" customHeight="1">
      <c r="B458" s="667"/>
      <c r="C458" s="667"/>
      <c r="D458" s="667"/>
      <c r="E458" s="668"/>
      <c r="F458" s="667"/>
      <c r="G458" s="667"/>
      <c r="H458" s="667"/>
      <c r="I458" s="667"/>
      <c r="J458" s="667"/>
      <c r="K458" s="667"/>
      <c r="L458" s="667"/>
      <c r="M458" s="667"/>
      <c r="N458" s="667"/>
      <c r="O458" s="667"/>
      <c r="P458" s="667"/>
      <c r="Q458" s="667"/>
    </row>
    <row r="459" ht="15.75" customHeight="1">
      <c r="B459" s="667"/>
      <c r="C459" s="667"/>
      <c r="D459" s="667"/>
      <c r="E459" s="668"/>
      <c r="F459" s="667"/>
      <c r="G459" s="667"/>
      <c r="H459" s="667"/>
      <c r="I459" s="667"/>
      <c r="J459" s="667"/>
      <c r="K459" s="667"/>
      <c r="L459" s="667"/>
      <c r="M459" s="667"/>
      <c r="N459" s="667"/>
      <c r="O459" s="667"/>
      <c r="P459" s="667"/>
      <c r="Q459" s="667"/>
    </row>
    <row r="460" ht="15.75" customHeight="1">
      <c r="B460" s="667"/>
      <c r="C460" s="667"/>
      <c r="D460" s="667"/>
      <c r="E460" s="668"/>
      <c r="F460" s="667"/>
      <c r="G460" s="667"/>
      <c r="H460" s="667"/>
      <c r="I460" s="667"/>
      <c r="J460" s="667"/>
      <c r="K460" s="667"/>
      <c r="L460" s="667"/>
      <c r="M460" s="667"/>
      <c r="N460" s="667"/>
      <c r="O460" s="667"/>
      <c r="P460" s="667"/>
      <c r="Q460" s="667"/>
    </row>
    <row r="461" ht="15.75" customHeight="1">
      <c r="B461" s="667"/>
      <c r="C461" s="667"/>
      <c r="D461" s="667"/>
      <c r="E461" s="668"/>
      <c r="F461" s="667"/>
      <c r="G461" s="667"/>
      <c r="H461" s="667"/>
      <c r="I461" s="667"/>
      <c r="J461" s="667"/>
      <c r="K461" s="667"/>
      <c r="L461" s="667"/>
      <c r="M461" s="667"/>
      <c r="N461" s="667"/>
      <c r="O461" s="667"/>
      <c r="P461" s="667"/>
      <c r="Q461" s="667"/>
    </row>
    <row r="462" ht="15.75" customHeight="1">
      <c r="B462" s="667"/>
      <c r="C462" s="667"/>
      <c r="D462" s="667"/>
      <c r="E462" s="668"/>
      <c r="F462" s="667"/>
      <c r="G462" s="667"/>
      <c r="H462" s="667"/>
      <c r="I462" s="667"/>
      <c r="J462" s="667"/>
      <c r="K462" s="667"/>
      <c r="L462" s="667"/>
      <c r="M462" s="667"/>
      <c r="N462" s="667"/>
      <c r="O462" s="667"/>
      <c r="P462" s="667"/>
      <c r="Q462" s="667"/>
    </row>
    <row r="463" ht="15.75" customHeight="1">
      <c r="B463" s="667"/>
      <c r="C463" s="667"/>
      <c r="D463" s="667"/>
      <c r="E463" s="668"/>
      <c r="F463" s="667"/>
      <c r="G463" s="667"/>
      <c r="H463" s="667"/>
      <c r="I463" s="667"/>
      <c r="J463" s="667"/>
      <c r="K463" s="667"/>
      <c r="L463" s="667"/>
      <c r="M463" s="667"/>
      <c r="N463" s="667"/>
      <c r="O463" s="667"/>
      <c r="P463" s="667"/>
      <c r="Q463" s="667"/>
    </row>
    <row r="464" ht="15.75" customHeight="1">
      <c r="B464" s="667"/>
      <c r="C464" s="667"/>
      <c r="D464" s="667"/>
      <c r="E464" s="668"/>
      <c r="F464" s="667"/>
      <c r="G464" s="667"/>
      <c r="H464" s="667"/>
      <c r="I464" s="667"/>
      <c r="J464" s="667"/>
      <c r="K464" s="667"/>
      <c r="L464" s="667"/>
      <c r="M464" s="667"/>
      <c r="N464" s="667"/>
      <c r="O464" s="667"/>
      <c r="P464" s="667"/>
      <c r="Q464" s="667"/>
    </row>
    <row r="465" ht="15.75" customHeight="1">
      <c r="B465" s="667"/>
      <c r="C465" s="667"/>
      <c r="D465" s="667"/>
      <c r="E465" s="668"/>
      <c r="F465" s="667"/>
      <c r="G465" s="667"/>
      <c r="H465" s="667"/>
      <c r="I465" s="667"/>
      <c r="J465" s="667"/>
      <c r="K465" s="667"/>
      <c r="L465" s="667"/>
      <c r="M465" s="667"/>
      <c r="N465" s="667"/>
      <c r="O465" s="667"/>
      <c r="P465" s="667"/>
      <c r="Q465" s="667"/>
    </row>
    <row r="466" ht="15.75" customHeight="1">
      <c r="B466" s="667"/>
      <c r="C466" s="667"/>
      <c r="D466" s="667"/>
      <c r="E466" s="668"/>
      <c r="F466" s="667"/>
      <c r="G466" s="667"/>
      <c r="H466" s="667"/>
      <c r="I466" s="667"/>
      <c r="J466" s="667"/>
      <c r="K466" s="667"/>
      <c r="L466" s="667"/>
      <c r="M466" s="667"/>
      <c r="N466" s="667"/>
      <c r="O466" s="667"/>
      <c r="P466" s="667"/>
      <c r="Q466" s="667"/>
    </row>
    <row r="467" ht="15.75" customHeight="1">
      <c r="B467" s="667"/>
      <c r="C467" s="667"/>
      <c r="D467" s="667"/>
      <c r="E467" s="668"/>
      <c r="F467" s="667"/>
      <c r="G467" s="667"/>
      <c r="H467" s="667"/>
      <c r="I467" s="667"/>
      <c r="J467" s="667"/>
      <c r="K467" s="667"/>
      <c r="L467" s="667"/>
      <c r="M467" s="667"/>
      <c r="N467" s="667"/>
      <c r="O467" s="667"/>
      <c r="P467" s="667"/>
      <c r="Q467" s="667"/>
    </row>
    <row r="468" ht="15.75" customHeight="1">
      <c r="B468" s="667"/>
      <c r="C468" s="667"/>
      <c r="D468" s="667"/>
      <c r="E468" s="668"/>
      <c r="F468" s="667"/>
      <c r="G468" s="667"/>
      <c r="H468" s="667"/>
      <c r="I468" s="667"/>
      <c r="J468" s="667"/>
      <c r="K468" s="667"/>
      <c r="L468" s="667"/>
      <c r="M468" s="667"/>
      <c r="N468" s="667"/>
      <c r="O468" s="667"/>
      <c r="P468" s="667"/>
      <c r="Q468" s="667"/>
    </row>
    <row r="469" ht="15.75" customHeight="1">
      <c r="B469" s="667"/>
      <c r="C469" s="667"/>
      <c r="D469" s="667"/>
      <c r="E469" s="668"/>
      <c r="F469" s="667"/>
      <c r="G469" s="667"/>
      <c r="H469" s="667"/>
      <c r="I469" s="667"/>
      <c r="J469" s="667"/>
      <c r="K469" s="667"/>
      <c r="L469" s="667"/>
      <c r="M469" s="667"/>
      <c r="N469" s="667"/>
      <c r="O469" s="667"/>
      <c r="P469" s="667"/>
      <c r="Q469" s="667"/>
    </row>
    <row r="470" ht="15.75" customHeight="1">
      <c r="B470" s="667"/>
      <c r="C470" s="667"/>
      <c r="D470" s="667"/>
      <c r="E470" s="668"/>
      <c r="F470" s="667"/>
      <c r="G470" s="667"/>
      <c r="H470" s="667"/>
      <c r="I470" s="667"/>
      <c r="J470" s="667"/>
      <c r="K470" s="667"/>
      <c r="L470" s="667"/>
      <c r="M470" s="667"/>
      <c r="N470" s="667"/>
      <c r="O470" s="667"/>
      <c r="P470" s="667"/>
      <c r="Q470" s="667"/>
    </row>
    <row r="471" ht="15.75" customHeight="1">
      <c r="B471" s="667"/>
      <c r="C471" s="667"/>
      <c r="D471" s="667"/>
      <c r="E471" s="668"/>
      <c r="F471" s="667"/>
      <c r="G471" s="667"/>
      <c r="H471" s="667"/>
      <c r="I471" s="667"/>
      <c r="J471" s="667"/>
      <c r="K471" s="667"/>
      <c r="L471" s="667"/>
      <c r="M471" s="667"/>
      <c r="N471" s="667"/>
      <c r="O471" s="667"/>
      <c r="P471" s="667"/>
      <c r="Q471" s="667"/>
    </row>
    <row r="472" ht="15.75" customHeight="1">
      <c r="B472" s="667"/>
      <c r="C472" s="667"/>
      <c r="D472" s="667"/>
      <c r="E472" s="668"/>
      <c r="F472" s="667"/>
      <c r="G472" s="667"/>
      <c r="H472" s="667"/>
      <c r="I472" s="667"/>
      <c r="J472" s="667"/>
      <c r="K472" s="667"/>
      <c r="L472" s="667"/>
      <c r="M472" s="667"/>
      <c r="N472" s="667"/>
      <c r="O472" s="667"/>
      <c r="P472" s="667"/>
      <c r="Q472" s="667"/>
    </row>
    <row r="473" ht="15.75" customHeight="1">
      <c r="B473" s="667"/>
      <c r="C473" s="667"/>
      <c r="D473" s="667"/>
      <c r="E473" s="668"/>
      <c r="F473" s="667"/>
      <c r="G473" s="667"/>
      <c r="H473" s="667"/>
      <c r="I473" s="667"/>
      <c r="J473" s="667"/>
      <c r="K473" s="667"/>
      <c r="L473" s="667"/>
      <c r="M473" s="667"/>
      <c r="N473" s="667"/>
      <c r="O473" s="667"/>
      <c r="P473" s="667"/>
      <c r="Q473" s="667"/>
    </row>
    <row r="474" ht="15.75" customHeight="1">
      <c r="B474" s="667"/>
      <c r="C474" s="667"/>
      <c r="D474" s="667"/>
      <c r="E474" s="668"/>
      <c r="F474" s="667"/>
      <c r="G474" s="667"/>
      <c r="H474" s="667"/>
      <c r="I474" s="667"/>
      <c r="J474" s="667"/>
      <c r="K474" s="667"/>
      <c r="L474" s="667"/>
      <c r="M474" s="667"/>
      <c r="N474" s="667"/>
      <c r="O474" s="667"/>
      <c r="P474" s="667"/>
      <c r="Q474" s="667"/>
    </row>
    <row r="475" ht="15.75" customHeight="1">
      <c r="B475" s="667"/>
      <c r="C475" s="667"/>
      <c r="D475" s="667"/>
      <c r="E475" s="668"/>
      <c r="F475" s="667"/>
      <c r="G475" s="667"/>
      <c r="H475" s="667"/>
      <c r="I475" s="667"/>
      <c r="J475" s="667"/>
      <c r="K475" s="667"/>
      <c r="L475" s="667"/>
      <c r="M475" s="667"/>
      <c r="N475" s="667"/>
      <c r="O475" s="667"/>
      <c r="P475" s="667"/>
      <c r="Q475" s="667"/>
    </row>
    <row r="476" ht="15.75" customHeight="1">
      <c r="B476" s="667"/>
      <c r="C476" s="667"/>
      <c r="D476" s="667"/>
      <c r="E476" s="668"/>
      <c r="F476" s="667"/>
      <c r="G476" s="667"/>
      <c r="H476" s="667"/>
      <c r="I476" s="667"/>
      <c r="J476" s="667"/>
      <c r="K476" s="667"/>
      <c r="L476" s="667"/>
      <c r="M476" s="667"/>
      <c r="N476" s="667"/>
      <c r="O476" s="667"/>
      <c r="P476" s="667"/>
      <c r="Q476" s="667"/>
    </row>
    <row r="477" ht="15.75" customHeight="1">
      <c r="B477" s="667"/>
      <c r="C477" s="667"/>
      <c r="D477" s="667"/>
      <c r="E477" s="668"/>
      <c r="F477" s="667"/>
      <c r="G477" s="667"/>
      <c r="H477" s="667"/>
      <c r="I477" s="667"/>
      <c r="J477" s="667"/>
      <c r="K477" s="667"/>
      <c r="L477" s="667"/>
      <c r="M477" s="667"/>
      <c r="N477" s="667"/>
      <c r="O477" s="667"/>
      <c r="P477" s="667"/>
      <c r="Q477" s="667"/>
    </row>
    <row r="478" ht="15.75" customHeight="1">
      <c r="B478" s="667"/>
      <c r="C478" s="667"/>
      <c r="D478" s="667"/>
      <c r="E478" s="668"/>
      <c r="F478" s="667"/>
      <c r="G478" s="667"/>
      <c r="H478" s="667"/>
      <c r="I478" s="667"/>
      <c r="J478" s="667"/>
      <c r="K478" s="667"/>
      <c r="L478" s="667"/>
      <c r="M478" s="667"/>
      <c r="N478" s="667"/>
      <c r="O478" s="667"/>
      <c r="P478" s="667"/>
      <c r="Q478" s="667"/>
    </row>
    <row r="479" ht="15.75" customHeight="1">
      <c r="B479" s="667"/>
      <c r="C479" s="667"/>
      <c r="D479" s="667"/>
      <c r="E479" s="668"/>
      <c r="F479" s="667"/>
      <c r="G479" s="667"/>
      <c r="H479" s="667"/>
      <c r="I479" s="667"/>
      <c r="J479" s="667"/>
      <c r="K479" s="667"/>
      <c r="L479" s="667"/>
      <c r="M479" s="667"/>
      <c r="N479" s="667"/>
      <c r="O479" s="667"/>
      <c r="P479" s="667"/>
      <c r="Q479" s="667"/>
    </row>
    <row r="480" ht="15.75" customHeight="1">
      <c r="B480" s="667"/>
      <c r="C480" s="667"/>
      <c r="D480" s="667"/>
      <c r="E480" s="668"/>
      <c r="F480" s="667"/>
      <c r="G480" s="667"/>
      <c r="H480" s="667"/>
      <c r="I480" s="667"/>
      <c r="J480" s="667"/>
      <c r="K480" s="667"/>
      <c r="L480" s="667"/>
      <c r="M480" s="667"/>
      <c r="N480" s="667"/>
      <c r="O480" s="667"/>
      <c r="P480" s="667"/>
      <c r="Q480" s="667"/>
    </row>
    <row r="481" ht="15.75" customHeight="1">
      <c r="B481" s="667"/>
      <c r="C481" s="667"/>
      <c r="D481" s="667"/>
      <c r="E481" s="668"/>
      <c r="F481" s="667"/>
      <c r="G481" s="667"/>
      <c r="H481" s="667"/>
      <c r="I481" s="667"/>
      <c r="J481" s="667"/>
      <c r="K481" s="667"/>
      <c r="L481" s="667"/>
      <c r="M481" s="667"/>
      <c r="N481" s="667"/>
      <c r="O481" s="667"/>
      <c r="P481" s="667"/>
      <c r="Q481" s="667"/>
    </row>
    <row r="482" ht="15.75" customHeight="1">
      <c r="B482" s="667"/>
      <c r="C482" s="667"/>
      <c r="D482" s="667"/>
      <c r="E482" s="668"/>
      <c r="F482" s="667"/>
      <c r="G482" s="667"/>
      <c r="H482" s="667"/>
      <c r="I482" s="667"/>
      <c r="J482" s="667"/>
      <c r="K482" s="667"/>
      <c r="L482" s="667"/>
      <c r="M482" s="667"/>
      <c r="N482" s="667"/>
      <c r="O482" s="667"/>
      <c r="P482" s="667"/>
      <c r="Q482" s="667"/>
    </row>
    <row r="483" ht="15.75" customHeight="1">
      <c r="B483" s="667"/>
      <c r="C483" s="667"/>
      <c r="D483" s="667"/>
      <c r="E483" s="668"/>
      <c r="F483" s="667"/>
      <c r="G483" s="667"/>
      <c r="H483" s="667"/>
      <c r="I483" s="667"/>
      <c r="J483" s="667"/>
      <c r="K483" s="667"/>
      <c r="L483" s="667"/>
      <c r="M483" s="667"/>
      <c r="N483" s="667"/>
      <c r="O483" s="667"/>
      <c r="P483" s="667"/>
      <c r="Q483" s="667"/>
    </row>
    <row r="484" ht="15.75" customHeight="1">
      <c r="B484" s="667"/>
      <c r="C484" s="667"/>
      <c r="D484" s="667"/>
      <c r="E484" s="668"/>
      <c r="F484" s="667"/>
      <c r="G484" s="667"/>
      <c r="H484" s="667"/>
      <c r="I484" s="667"/>
      <c r="J484" s="667"/>
      <c r="K484" s="667"/>
      <c r="L484" s="667"/>
      <c r="M484" s="667"/>
      <c r="N484" s="667"/>
      <c r="O484" s="667"/>
      <c r="P484" s="667"/>
      <c r="Q484" s="667"/>
    </row>
    <row r="485" ht="15.75" customHeight="1">
      <c r="B485" s="667"/>
      <c r="C485" s="667"/>
      <c r="D485" s="667"/>
      <c r="E485" s="668"/>
      <c r="F485" s="667"/>
      <c r="G485" s="667"/>
      <c r="H485" s="667"/>
      <c r="I485" s="667"/>
      <c r="J485" s="667"/>
      <c r="K485" s="667"/>
      <c r="L485" s="667"/>
      <c r="M485" s="667"/>
      <c r="N485" s="667"/>
      <c r="O485" s="667"/>
      <c r="P485" s="667"/>
      <c r="Q485" s="667"/>
    </row>
    <row r="486" ht="15.75" customHeight="1">
      <c r="B486" s="667"/>
      <c r="C486" s="667"/>
      <c r="D486" s="667"/>
      <c r="E486" s="668"/>
      <c r="F486" s="667"/>
      <c r="G486" s="667"/>
      <c r="H486" s="667"/>
      <c r="I486" s="667"/>
      <c r="J486" s="667"/>
      <c r="K486" s="667"/>
      <c r="L486" s="667"/>
      <c r="M486" s="667"/>
      <c r="N486" s="667"/>
      <c r="O486" s="667"/>
      <c r="P486" s="667"/>
      <c r="Q486" s="667"/>
    </row>
    <row r="487" ht="15.75" customHeight="1">
      <c r="B487" s="667"/>
      <c r="C487" s="667"/>
      <c r="D487" s="667"/>
      <c r="E487" s="668"/>
      <c r="F487" s="667"/>
      <c r="G487" s="667"/>
      <c r="H487" s="667"/>
      <c r="I487" s="667"/>
      <c r="J487" s="667"/>
      <c r="K487" s="667"/>
      <c r="L487" s="667"/>
      <c r="M487" s="667"/>
      <c r="N487" s="667"/>
      <c r="O487" s="667"/>
      <c r="P487" s="667"/>
      <c r="Q487" s="667"/>
    </row>
    <row r="488" ht="15.75" customHeight="1">
      <c r="B488" s="667"/>
      <c r="C488" s="667"/>
      <c r="D488" s="667"/>
      <c r="E488" s="668"/>
      <c r="F488" s="667"/>
      <c r="G488" s="667"/>
      <c r="H488" s="667"/>
      <c r="I488" s="667"/>
      <c r="J488" s="667"/>
      <c r="K488" s="667"/>
      <c r="L488" s="667"/>
      <c r="M488" s="667"/>
      <c r="N488" s="667"/>
      <c r="O488" s="667"/>
      <c r="P488" s="667"/>
      <c r="Q488" s="667"/>
    </row>
    <row r="489" ht="15.75" customHeight="1">
      <c r="B489" s="667"/>
      <c r="C489" s="667"/>
      <c r="D489" s="667"/>
      <c r="E489" s="668"/>
      <c r="F489" s="667"/>
      <c r="G489" s="667"/>
      <c r="H489" s="667"/>
      <c r="I489" s="667"/>
      <c r="J489" s="667"/>
      <c r="K489" s="667"/>
      <c r="L489" s="667"/>
      <c r="M489" s="667"/>
      <c r="N489" s="667"/>
      <c r="O489" s="667"/>
      <c r="P489" s="667"/>
      <c r="Q489" s="667"/>
    </row>
    <row r="490" ht="15.75" customHeight="1">
      <c r="B490" s="667"/>
      <c r="C490" s="667"/>
      <c r="D490" s="667"/>
      <c r="E490" s="668"/>
      <c r="F490" s="667"/>
      <c r="G490" s="667"/>
      <c r="H490" s="667"/>
      <c r="I490" s="667"/>
      <c r="J490" s="667"/>
      <c r="K490" s="667"/>
      <c r="L490" s="667"/>
      <c r="M490" s="667"/>
      <c r="N490" s="667"/>
      <c r="O490" s="667"/>
      <c r="P490" s="667"/>
      <c r="Q490" s="667"/>
    </row>
    <row r="491" ht="15.75" customHeight="1">
      <c r="B491" s="667"/>
      <c r="C491" s="667"/>
      <c r="D491" s="667"/>
      <c r="E491" s="668"/>
      <c r="F491" s="667"/>
      <c r="G491" s="667"/>
      <c r="H491" s="667"/>
      <c r="I491" s="667"/>
      <c r="J491" s="667"/>
      <c r="K491" s="667"/>
      <c r="L491" s="667"/>
      <c r="M491" s="667"/>
      <c r="N491" s="667"/>
      <c r="O491" s="667"/>
      <c r="P491" s="667"/>
      <c r="Q491" s="667"/>
    </row>
    <row r="492" ht="15.75" customHeight="1">
      <c r="B492" s="667"/>
      <c r="C492" s="667"/>
      <c r="D492" s="667"/>
      <c r="E492" s="668"/>
      <c r="F492" s="667"/>
      <c r="G492" s="667"/>
      <c r="H492" s="667"/>
      <c r="I492" s="667"/>
      <c r="J492" s="667"/>
      <c r="K492" s="667"/>
      <c r="L492" s="667"/>
      <c r="M492" s="667"/>
      <c r="N492" s="667"/>
      <c r="O492" s="667"/>
      <c r="P492" s="667"/>
      <c r="Q492" s="667"/>
    </row>
    <row r="493" ht="15.75" customHeight="1">
      <c r="B493" s="667"/>
      <c r="C493" s="667"/>
      <c r="D493" s="667"/>
      <c r="E493" s="668"/>
      <c r="F493" s="667"/>
      <c r="G493" s="667"/>
      <c r="H493" s="667"/>
      <c r="I493" s="667"/>
      <c r="J493" s="667"/>
      <c r="K493" s="667"/>
      <c r="L493" s="667"/>
      <c r="M493" s="667"/>
      <c r="N493" s="667"/>
      <c r="O493" s="667"/>
      <c r="P493" s="667"/>
      <c r="Q493" s="667"/>
    </row>
    <row r="494" ht="15.75" customHeight="1">
      <c r="B494" s="667"/>
      <c r="C494" s="667"/>
      <c r="D494" s="667"/>
      <c r="E494" s="668"/>
      <c r="F494" s="667"/>
      <c r="G494" s="667"/>
      <c r="H494" s="667"/>
      <c r="I494" s="667"/>
      <c r="J494" s="667"/>
      <c r="K494" s="667"/>
      <c r="L494" s="667"/>
      <c r="M494" s="667"/>
      <c r="N494" s="667"/>
      <c r="O494" s="667"/>
      <c r="P494" s="667"/>
      <c r="Q494" s="667"/>
    </row>
    <row r="495" ht="15.75" customHeight="1">
      <c r="B495" s="667"/>
      <c r="C495" s="667"/>
      <c r="D495" s="667"/>
      <c r="E495" s="668"/>
      <c r="F495" s="667"/>
      <c r="G495" s="667"/>
      <c r="H495" s="667"/>
      <c r="I495" s="667"/>
      <c r="J495" s="667"/>
      <c r="K495" s="667"/>
      <c r="L495" s="667"/>
      <c r="M495" s="667"/>
      <c r="N495" s="667"/>
      <c r="O495" s="667"/>
      <c r="P495" s="667"/>
      <c r="Q495" s="667"/>
    </row>
    <row r="496" ht="15.75" customHeight="1">
      <c r="B496" s="667"/>
      <c r="C496" s="667"/>
      <c r="D496" s="667"/>
      <c r="E496" s="668"/>
      <c r="F496" s="667"/>
      <c r="G496" s="667"/>
      <c r="H496" s="667"/>
      <c r="I496" s="667"/>
      <c r="J496" s="667"/>
      <c r="K496" s="667"/>
      <c r="L496" s="667"/>
      <c r="M496" s="667"/>
      <c r="N496" s="667"/>
      <c r="O496" s="667"/>
      <c r="P496" s="667"/>
      <c r="Q496" s="667"/>
    </row>
    <row r="497" ht="15.75" customHeight="1">
      <c r="B497" s="667"/>
      <c r="C497" s="667"/>
      <c r="D497" s="667"/>
      <c r="E497" s="668"/>
      <c r="F497" s="667"/>
      <c r="G497" s="667"/>
      <c r="H497" s="667"/>
      <c r="I497" s="667"/>
      <c r="J497" s="667"/>
      <c r="K497" s="667"/>
      <c r="L497" s="667"/>
      <c r="M497" s="667"/>
      <c r="N497" s="667"/>
      <c r="O497" s="667"/>
      <c r="P497" s="667"/>
      <c r="Q497" s="667"/>
    </row>
    <row r="498" ht="15.75" customHeight="1">
      <c r="B498" s="667"/>
      <c r="C498" s="667"/>
      <c r="D498" s="667"/>
      <c r="E498" s="668"/>
      <c r="F498" s="667"/>
      <c r="G498" s="667"/>
      <c r="H498" s="667"/>
      <c r="I498" s="667"/>
      <c r="J498" s="667"/>
      <c r="K498" s="667"/>
      <c r="L498" s="667"/>
      <c r="M498" s="667"/>
      <c r="N498" s="667"/>
      <c r="O498" s="667"/>
      <c r="P498" s="667"/>
      <c r="Q498" s="667"/>
    </row>
    <row r="499" ht="15.75" customHeight="1">
      <c r="B499" s="667"/>
      <c r="C499" s="667"/>
      <c r="D499" s="667"/>
      <c r="E499" s="668"/>
      <c r="F499" s="667"/>
      <c r="G499" s="667"/>
      <c r="H499" s="667"/>
      <c r="I499" s="667"/>
      <c r="J499" s="667"/>
      <c r="K499" s="667"/>
      <c r="L499" s="667"/>
      <c r="M499" s="667"/>
      <c r="N499" s="667"/>
      <c r="O499" s="667"/>
      <c r="P499" s="667"/>
      <c r="Q499" s="667"/>
    </row>
    <row r="500" ht="15.75" customHeight="1">
      <c r="B500" s="667"/>
      <c r="C500" s="667"/>
      <c r="D500" s="667"/>
      <c r="E500" s="668"/>
      <c r="F500" s="667"/>
      <c r="G500" s="667"/>
      <c r="H500" s="667"/>
      <c r="I500" s="667"/>
      <c r="J500" s="667"/>
      <c r="K500" s="667"/>
      <c r="L500" s="667"/>
      <c r="M500" s="667"/>
      <c r="N500" s="667"/>
      <c r="O500" s="667"/>
      <c r="P500" s="667"/>
      <c r="Q500" s="667"/>
    </row>
    <row r="501" ht="15.75" customHeight="1">
      <c r="B501" s="667"/>
      <c r="C501" s="667"/>
      <c r="D501" s="667"/>
      <c r="E501" s="668"/>
      <c r="F501" s="667"/>
      <c r="G501" s="667"/>
      <c r="H501" s="667"/>
      <c r="I501" s="667"/>
      <c r="J501" s="667"/>
      <c r="K501" s="667"/>
      <c r="L501" s="667"/>
      <c r="M501" s="667"/>
      <c r="N501" s="667"/>
      <c r="O501" s="667"/>
      <c r="P501" s="667"/>
      <c r="Q501" s="667"/>
    </row>
    <row r="502" ht="15.75" customHeight="1">
      <c r="B502" s="667"/>
      <c r="C502" s="667"/>
      <c r="D502" s="667"/>
      <c r="E502" s="668"/>
      <c r="F502" s="667"/>
      <c r="G502" s="667"/>
      <c r="H502" s="667"/>
      <c r="I502" s="667"/>
      <c r="J502" s="667"/>
      <c r="K502" s="667"/>
      <c r="L502" s="667"/>
      <c r="M502" s="667"/>
      <c r="N502" s="667"/>
      <c r="O502" s="667"/>
      <c r="P502" s="667"/>
      <c r="Q502" s="667"/>
    </row>
    <row r="503" ht="15.75" customHeight="1">
      <c r="B503" s="667"/>
      <c r="C503" s="667"/>
      <c r="D503" s="667"/>
      <c r="E503" s="668"/>
      <c r="F503" s="667"/>
      <c r="G503" s="667"/>
      <c r="H503" s="667"/>
      <c r="I503" s="667"/>
      <c r="J503" s="667"/>
      <c r="K503" s="667"/>
      <c r="L503" s="667"/>
      <c r="M503" s="667"/>
      <c r="N503" s="667"/>
      <c r="O503" s="667"/>
      <c r="P503" s="667"/>
      <c r="Q503" s="667"/>
    </row>
    <row r="504" ht="15.75" customHeight="1">
      <c r="B504" s="667"/>
      <c r="C504" s="667"/>
      <c r="D504" s="667"/>
      <c r="E504" s="668"/>
      <c r="F504" s="667"/>
      <c r="G504" s="667"/>
      <c r="H504" s="667"/>
      <c r="I504" s="667"/>
      <c r="J504" s="667"/>
      <c r="K504" s="667"/>
      <c r="L504" s="667"/>
      <c r="M504" s="667"/>
      <c r="N504" s="667"/>
      <c r="O504" s="667"/>
      <c r="P504" s="667"/>
      <c r="Q504" s="667"/>
    </row>
    <row r="505" ht="15.75" customHeight="1">
      <c r="B505" s="667"/>
      <c r="C505" s="667"/>
      <c r="D505" s="667"/>
      <c r="E505" s="668"/>
      <c r="F505" s="667"/>
      <c r="G505" s="667"/>
      <c r="H505" s="667"/>
      <c r="I505" s="667"/>
      <c r="J505" s="667"/>
      <c r="K505" s="667"/>
      <c r="L505" s="667"/>
      <c r="M505" s="667"/>
      <c r="N505" s="667"/>
      <c r="O505" s="667"/>
      <c r="P505" s="667"/>
      <c r="Q505" s="667"/>
    </row>
    <row r="506" ht="15.75" customHeight="1">
      <c r="B506" s="667"/>
      <c r="C506" s="667"/>
      <c r="D506" s="667"/>
      <c r="E506" s="668"/>
      <c r="F506" s="667"/>
      <c r="G506" s="667"/>
      <c r="H506" s="667"/>
      <c r="I506" s="667"/>
      <c r="J506" s="667"/>
      <c r="K506" s="667"/>
      <c r="L506" s="667"/>
      <c r="M506" s="667"/>
      <c r="N506" s="667"/>
      <c r="O506" s="667"/>
      <c r="P506" s="667"/>
      <c r="Q506" s="667"/>
    </row>
    <row r="507" ht="15.75" customHeight="1">
      <c r="B507" s="667"/>
      <c r="C507" s="667"/>
      <c r="D507" s="667"/>
      <c r="E507" s="668"/>
      <c r="F507" s="667"/>
      <c r="G507" s="667"/>
      <c r="H507" s="667"/>
      <c r="I507" s="667"/>
      <c r="J507" s="667"/>
      <c r="K507" s="667"/>
      <c r="L507" s="667"/>
      <c r="M507" s="667"/>
      <c r="N507" s="667"/>
      <c r="O507" s="667"/>
      <c r="P507" s="667"/>
      <c r="Q507" s="667"/>
    </row>
    <row r="508" ht="15.75" customHeight="1">
      <c r="B508" s="667"/>
      <c r="C508" s="667"/>
      <c r="D508" s="667"/>
      <c r="E508" s="668"/>
      <c r="F508" s="667"/>
      <c r="G508" s="667"/>
      <c r="H508" s="667"/>
      <c r="I508" s="667"/>
      <c r="J508" s="667"/>
      <c r="K508" s="667"/>
      <c r="L508" s="667"/>
      <c r="M508" s="667"/>
      <c r="N508" s="667"/>
      <c r="O508" s="667"/>
      <c r="P508" s="667"/>
      <c r="Q508" s="667"/>
    </row>
    <row r="509" ht="15.75" customHeight="1">
      <c r="B509" s="667"/>
      <c r="C509" s="667"/>
      <c r="D509" s="667"/>
      <c r="E509" s="668"/>
      <c r="F509" s="667"/>
      <c r="G509" s="667"/>
      <c r="H509" s="667"/>
      <c r="I509" s="667"/>
      <c r="J509" s="667"/>
      <c r="K509" s="667"/>
      <c r="L509" s="667"/>
      <c r="M509" s="667"/>
      <c r="N509" s="667"/>
      <c r="O509" s="667"/>
      <c r="P509" s="667"/>
      <c r="Q509" s="667"/>
    </row>
    <row r="510" ht="15.75" customHeight="1">
      <c r="B510" s="667"/>
      <c r="C510" s="667"/>
      <c r="D510" s="667"/>
      <c r="E510" s="668"/>
      <c r="F510" s="667"/>
      <c r="G510" s="667"/>
      <c r="H510" s="667"/>
      <c r="I510" s="667"/>
      <c r="J510" s="667"/>
      <c r="K510" s="667"/>
      <c r="L510" s="667"/>
      <c r="M510" s="667"/>
      <c r="N510" s="667"/>
      <c r="O510" s="667"/>
      <c r="P510" s="667"/>
      <c r="Q510" s="667"/>
    </row>
    <row r="511" ht="15.75" customHeight="1">
      <c r="B511" s="667"/>
      <c r="C511" s="667"/>
      <c r="D511" s="667"/>
      <c r="E511" s="668"/>
      <c r="F511" s="667"/>
      <c r="G511" s="667"/>
      <c r="H511" s="667"/>
      <c r="I511" s="667"/>
      <c r="J511" s="667"/>
      <c r="K511" s="667"/>
      <c r="L511" s="667"/>
      <c r="M511" s="667"/>
      <c r="N511" s="667"/>
      <c r="O511" s="667"/>
      <c r="P511" s="667"/>
      <c r="Q511" s="667"/>
    </row>
    <row r="512" ht="15.75" customHeight="1">
      <c r="B512" s="667"/>
      <c r="C512" s="667"/>
      <c r="D512" s="667"/>
      <c r="E512" s="668"/>
      <c r="F512" s="667"/>
      <c r="G512" s="667"/>
      <c r="H512" s="667"/>
      <c r="I512" s="667"/>
      <c r="J512" s="667"/>
      <c r="K512" s="667"/>
      <c r="L512" s="667"/>
      <c r="M512" s="667"/>
      <c r="N512" s="667"/>
      <c r="O512" s="667"/>
      <c r="P512" s="667"/>
      <c r="Q512" s="667"/>
    </row>
    <row r="513" ht="15.75" customHeight="1">
      <c r="B513" s="667"/>
      <c r="C513" s="667"/>
      <c r="D513" s="667"/>
      <c r="E513" s="668"/>
      <c r="F513" s="667"/>
      <c r="G513" s="667"/>
      <c r="H513" s="667"/>
      <c r="I513" s="667"/>
      <c r="J513" s="667"/>
      <c r="K513" s="667"/>
      <c r="L513" s="667"/>
      <c r="M513" s="667"/>
      <c r="N513" s="667"/>
      <c r="O513" s="667"/>
      <c r="P513" s="667"/>
      <c r="Q513" s="667"/>
    </row>
    <row r="514" ht="15.75" customHeight="1">
      <c r="B514" s="667"/>
      <c r="C514" s="667"/>
      <c r="D514" s="667"/>
      <c r="E514" s="668"/>
      <c r="F514" s="667"/>
      <c r="G514" s="667"/>
      <c r="H514" s="667"/>
      <c r="I514" s="667"/>
      <c r="J514" s="667"/>
      <c r="K514" s="667"/>
      <c r="L514" s="667"/>
      <c r="M514" s="667"/>
      <c r="N514" s="667"/>
      <c r="O514" s="667"/>
      <c r="P514" s="667"/>
      <c r="Q514" s="667"/>
    </row>
    <row r="515" ht="15.75" customHeight="1">
      <c r="B515" s="667"/>
      <c r="C515" s="667"/>
      <c r="D515" s="667"/>
      <c r="E515" s="668"/>
      <c r="F515" s="667"/>
      <c r="G515" s="667"/>
      <c r="H515" s="667"/>
      <c r="I515" s="667"/>
      <c r="J515" s="667"/>
      <c r="K515" s="667"/>
      <c r="L515" s="667"/>
      <c r="M515" s="667"/>
      <c r="N515" s="667"/>
      <c r="O515" s="667"/>
      <c r="P515" s="667"/>
      <c r="Q515" s="667"/>
    </row>
    <row r="516" ht="15.75" customHeight="1">
      <c r="B516" s="667"/>
      <c r="C516" s="667"/>
      <c r="D516" s="667"/>
      <c r="E516" s="668"/>
      <c r="F516" s="667"/>
      <c r="G516" s="667"/>
      <c r="H516" s="667"/>
      <c r="I516" s="667"/>
      <c r="J516" s="667"/>
      <c r="K516" s="667"/>
      <c r="L516" s="667"/>
      <c r="M516" s="667"/>
      <c r="N516" s="667"/>
      <c r="O516" s="667"/>
      <c r="P516" s="667"/>
      <c r="Q516" s="667"/>
    </row>
    <row r="517" ht="15.75" customHeight="1">
      <c r="B517" s="667"/>
      <c r="C517" s="667"/>
      <c r="D517" s="667"/>
      <c r="E517" s="668"/>
      <c r="F517" s="667"/>
      <c r="G517" s="667"/>
      <c r="H517" s="667"/>
      <c r="I517" s="667"/>
      <c r="J517" s="667"/>
      <c r="K517" s="667"/>
      <c r="L517" s="667"/>
      <c r="M517" s="667"/>
      <c r="N517" s="667"/>
      <c r="O517" s="667"/>
      <c r="P517" s="667"/>
      <c r="Q517" s="667"/>
    </row>
    <row r="518" ht="15.75" customHeight="1">
      <c r="B518" s="667"/>
      <c r="C518" s="667"/>
      <c r="D518" s="667"/>
      <c r="E518" s="668"/>
      <c r="F518" s="667"/>
      <c r="G518" s="667"/>
      <c r="H518" s="667"/>
      <c r="I518" s="667"/>
      <c r="J518" s="667"/>
      <c r="K518" s="667"/>
      <c r="L518" s="667"/>
      <c r="M518" s="667"/>
      <c r="N518" s="667"/>
      <c r="O518" s="667"/>
      <c r="P518" s="667"/>
      <c r="Q518" s="667"/>
    </row>
    <row r="519" ht="15.75" customHeight="1">
      <c r="B519" s="667"/>
      <c r="C519" s="667"/>
      <c r="D519" s="667"/>
      <c r="E519" s="668"/>
      <c r="F519" s="667"/>
      <c r="G519" s="667"/>
      <c r="H519" s="667"/>
      <c r="I519" s="667"/>
      <c r="J519" s="667"/>
      <c r="K519" s="667"/>
      <c r="L519" s="667"/>
      <c r="M519" s="667"/>
      <c r="N519" s="667"/>
      <c r="O519" s="667"/>
      <c r="P519" s="667"/>
      <c r="Q519" s="667"/>
    </row>
    <row r="520" ht="15.75" customHeight="1">
      <c r="B520" s="667"/>
      <c r="C520" s="667"/>
      <c r="D520" s="667"/>
      <c r="E520" s="668"/>
      <c r="F520" s="667"/>
      <c r="G520" s="667"/>
      <c r="H520" s="667"/>
      <c r="I520" s="667"/>
      <c r="J520" s="667"/>
      <c r="K520" s="667"/>
      <c r="L520" s="667"/>
      <c r="M520" s="667"/>
      <c r="N520" s="667"/>
      <c r="O520" s="667"/>
      <c r="P520" s="667"/>
      <c r="Q520" s="667"/>
    </row>
    <row r="521" ht="15.75" customHeight="1">
      <c r="B521" s="667"/>
      <c r="C521" s="667"/>
      <c r="D521" s="667"/>
      <c r="E521" s="668"/>
      <c r="F521" s="667"/>
      <c r="G521" s="667"/>
      <c r="H521" s="667"/>
      <c r="I521" s="667"/>
      <c r="J521" s="667"/>
      <c r="K521" s="667"/>
      <c r="L521" s="667"/>
      <c r="M521" s="667"/>
      <c r="N521" s="667"/>
      <c r="O521" s="667"/>
      <c r="P521" s="667"/>
      <c r="Q521" s="667"/>
    </row>
    <row r="522" ht="15.75" customHeight="1">
      <c r="B522" s="667"/>
      <c r="C522" s="667"/>
      <c r="D522" s="667"/>
      <c r="E522" s="668"/>
      <c r="F522" s="667"/>
      <c r="G522" s="667"/>
      <c r="H522" s="667"/>
      <c r="I522" s="667"/>
      <c r="J522" s="667"/>
      <c r="K522" s="667"/>
      <c r="L522" s="667"/>
      <c r="M522" s="667"/>
      <c r="N522" s="667"/>
      <c r="O522" s="667"/>
      <c r="P522" s="667"/>
      <c r="Q522" s="667"/>
    </row>
    <row r="523" ht="15.75" customHeight="1">
      <c r="B523" s="667"/>
      <c r="C523" s="667"/>
      <c r="D523" s="667"/>
      <c r="E523" s="668"/>
      <c r="F523" s="667"/>
      <c r="G523" s="667"/>
      <c r="H523" s="667"/>
      <c r="I523" s="667"/>
      <c r="J523" s="667"/>
      <c r="K523" s="667"/>
      <c r="L523" s="667"/>
      <c r="M523" s="667"/>
      <c r="N523" s="667"/>
      <c r="O523" s="667"/>
      <c r="P523" s="667"/>
      <c r="Q523" s="667"/>
    </row>
    <row r="524" ht="15.75" customHeight="1">
      <c r="B524" s="667"/>
      <c r="C524" s="667"/>
      <c r="D524" s="667"/>
      <c r="E524" s="668"/>
      <c r="F524" s="667"/>
      <c r="G524" s="667"/>
      <c r="H524" s="667"/>
      <c r="I524" s="667"/>
      <c r="J524" s="667"/>
      <c r="K524" s="667"/>
      <c r="L524" s="667"/>
      <c r="M524" s="667"/>
      <c r="N524" s="667"/>
      <c r="O524" s="667"/>
      <c r="P524" s="667"/>
      <c r="Q524" s="667"/>
    </row>
    <row r="525" ht="15.75" customHeight="1">
      <c r="B525" s="667"/>
      <c r="C525" s="667"/>
      <c r="D525" s="667"/>
      <c r="E525" s="668"/>
      <c r="F525" s="667"/>
      <c r="G525" s="667"/>
      <c r="H525" s="667"/>
      <c r="I525" s="667"/>
      <c r="J525" s="667"/>
      <c r="K525" s="667"/>
      <c r="L525" s="667"/>
      <c r="M525" s="667"/>
      <c r="N525" s="667"/>
      <c r="O525" s="667"/>
      <c r="P525" s="667"/>
      <c r="Q525" s="667"/>
    </row>
    <row r="526" ht="15.75" customHeight="1">
      <c r="B526" s="667"/>
      <c r="C526" s="667"/>
      <c r="D526" s="667"/>
      <c r="E526" s="668"/>
      <c r="F526" s="667"/>
      <c r="G526" s="667"/>
      <c r="H526" s="667"/>
      <c r="I526" s="667"/>
      <c r="J526" s="667"/>
      <c r="K526" s="667"/>
      <c r="L526" s="667"/>
      <c r="M526" s="667"/>
      <c r="N526" s="667"/>
      <c r="O526" s="667"/>
      <c r="P526" s="667"/>
      <c r="Q526" s="667"/>
    </row>
    <row r="527" ht="15.75" customHeight="1">
      <c r="B527" s="667"/>
      <c r="C527" s="667"/>
      <c r="D527" s="667"/>
      <c r="E527" s="668"/>
      <c r="F527" s="667"/>
      <c r="G527" s="667"/>
      <c r="H527" s="667"/>
      <c r="I527" s="667"/>
      <c r="J527" s="667"/>
      <c r="K527" s="667"/>
      <c r="L527" s="667"/>
      <c r="M527" s="667"/>
      <c r="N527" s="667"/>
      <c r="O527" s="667"/>
      <c r="P527" s="667"/>
      <c r="Q527" s="667"/>
    </row>
    <row r="528" ht="15.75" customHeight="1">
      <c r="B528" s="667"/>
      <c r="C528" s="667"/>
      <c r="D528" s="667"/>
      <c r="E528" s="668"/>
      <c r="F528" s="667"/>
      <c r="G528" s="667"/>
      <c r="H528" s="667"/>
      <c r="I528" s="667"/>
      <c r="J528" s="667"/>
      <c r="K528" s="667"/>
      <c r="L528" s="667"/>
      <c r="M528" s="667"/>
      <c r="N528" s="667"/>
      <c r="O528" s="667"/>
      <c r="P528" s="667"/>
      <c r="Q528" s="667"/>
    </row>
    <row r="529" ht="15.75" customHeight="1">
      <c r="B529" s="667"/>
      <c r="C529" s="667"/>
      <c r="D529" s="667"/>
      <c r="E529" s="668"/>
      <c r="F529" s="667"/>
      <c r="G529" s="667"/>
      <c r="H529" s="667"/>
      <c r="I529" s="667"/>
      <c r="J529" s="667"/>
      <c r="K529" s="667"/>
      <c r="L529" s="667"/>
      <c r="M529" s="667"/>
      <c r="N529" s="667"/>
      <c r="O529" s="667"/>
      <c r="P529" s="667"/>
      <c r="Q529" s="667"/>
    </row>
    <row r="530" ht="15.75" customHeight="1">
      <c r="B530" s="667"/>
      <c r="C530" s="667"/>
      <c r="D530" s="667"/>
      <c r="E530" s="668"/>
      <c r="F530" s="667"/>
      <c r="G530" s="667"/>
      <c r="H530" s="667"/>
      <c r="I530" s="667"/>
      <c r="J530" s="667"/>
      <c r="K530" s="667"/>
      <c r="L530" s="667"/>
      <c r="M530" s="667"/>
      <c r="N530" s="667"/>
      <c r="O530" s="667"/>
      <c r="P530" s="667"/>
      <c r="Q530" s="667"/>
    </row>
    <row r="531" ht="15.75" customHeight="1">
      <c r="B531" s="667"/>
      <c r="C531" s="667"/>
      <c r="D531" s="667"/>
      <c r="E531" s="668"/>
      <c r="F531" s="667"/>
      <c r="G531" s="667"/>
      <c r="H531" s="667"/>
      <c r="I531" s="667"/>
      <c r="J531" s="667"/>
      <c r="K531" s="667"/>
      <c r="L531" s="667"/>
      <c r="M531" s="667"/>
      <c r="N531" s="667"/>
      <c r="O531" s="667"/>
      <c r="P531" s="667"/>
      <c r="Q531" s="667"/>
    </row>
    <row r="532" ht="15.75" customHeight="1">
      <c r="B532" s="667"/>
      <c r="C532" s="667"/>
      <c r="D532" s="667"/>
      <c r="E532" s="668"/>
      <c r="F532" s="667"/>
      <c r="G532" s="667"/>
      <c r="H532" s="667"/>
      <c r="I532" s="667"/>
      <c r="J532" s="667"/>
      <c r="K532" s="667"/>
      <c r="L532" s="667"/>
      <c r="M532" s="667"/>
      <c r="N532" s="667"/>
      <c r="O532" s="667"/>
      <c r="P532" s="667"/>
      <c r="Q532" s="667"/>
    </row>
    <row r="533" ht="15.75" customHeight="1">
      <c r="B533" s="667"/>
      <c r="C533" s="667"/>
      <c r="D533" s="667"/>
      <c r="E533" s="668"/>
      <c r="F533" s="667"/>
      <c r="G533" s="667"/>
      <c r="H533" s="667"/>
      <c r="I533" s="667"/>
      <c r="J533" s="667"/>
      <c r="K533" s="667"/>
      <c r="L533" s="667"/>
      <c r="M533" s="667"/>
      <c r="N533" s="667"/>
      <c r="O533" s="667"/>
      <c r="P533" s="667"/>
      <c r="Q533" s="667"/>
    </row>
    <row r="534" ht="15.75" customHeight="1">
      <c r="B534" s="667"/>
      <c r="C534" s="667"/>
      <c r="D534" s="667"/>
      <c r="E534" s="668"/>
      <c r="F534" s="667"/>
      <c r="G534" s="667"/>
      <c r="H534" s="667"/>
      <c r="I534" s="667"/>
      <c r="J534" s="667"/>
      <c r="K534" s="667"/>
      <c r="L534" s="667"/>
      <c r="M534" s="667"/>
      <c r="N534" s="667"/>
      <c r="O534" s="667"/>
      <c r="P534" s="667"/>
      <c r="Q534" s="667"/>
    </row>
    <row r="535" ht="15.75" customHeight="1">
      <c r="B535" s="667"/>
      <c r="C535" s="667"/>
      <c r="D535" s="667"/>
      <c r="E535" s="668"/>
      <c r="F535" s="667"/>
      <c r="G535" s="667"/>
      <c r="H535" s="667"/>
      <c r="I535" s="667"/>
      <c r="J535" s="667"/>
      <c r="K535" s="667"/>
      <c r="L535" s="667"/>
      <c r="M535" s="667"/>
      <c r="N535" s="667"/>
      <c r="O535" s="667"/>
      <c r="P535" s="667"/>
      <c r="Q535" s="667"/>
    </row>
    <row r="536" ht="15.75" customHeight="1">
      <c r="B536" s="667"/>
      <c r="C536" s="667"/>
      <c r="D536" s="667"/>
      <c r="E536" s="668"/>
      <c r="F536" s="667"/>
      <c r="G536" s="667"/>
      <c r="H536" s="667"/>
      <c r="I536" s="667"/>
      <c r="J536" s="667"/>
      <c r="K536" s="667"/>
      <c r="L536" s="667"/>
      <c r="M536" s="667"/>
      <c r="N536" s="667"/>
      <c r="O536" s="667"/>
      <c r="P536" s="667"/>
      <c r="Q536" s="667"/>
    </row>
    <row r="537" ht="15.75" customHeight="1">
      <c r="B537" s="667"/>
      <c r="C537" s="667"/>
      <c r="D537" s="667"/>
      <c r="E537" s="668"/>
      <c r="F537" s="667"/>
      <c r="G537" s="667"/>
      <c r="H537" s="667"/>
      <c r="I537" s="667"/>
      <c r="J537" s="667"/>
      <c r="K537" s="667"/>
      <c r="L537" s="667"/>
      <c r="M537" s="667"/>
      <c r="N537" s="667"/>
      <c r="O537" s="667"/>
      <c r="P537" s="667"/>
      <c r="Q537" s="667"/>
    </row>
    <row r="538" ht="15.75" customHeight="1">
      <c r="B538" s="667"/>
      <c r="C538" s="667"/>
      <c r="D538" s="667"/>
      <c r="E538" s="668"/>
      <c r="F538" s="667"/>
      <c r="G538" s="667"/>
      <c r="H538" s="667"/>
      <c r="I538" s="667"/>
      <c r="J538" s="667"/>
      <c r="K538" s="667"/>
      <c r="L538" s="667"/>
      <c r="M538" s="667"/>
      <c r="N538" s="667"/>
      <c r="O538" s="667"/>
      <c r="P538" s="667"/>
      <c r="Q538" s="667"/>
    </row>
    <row r="539" ht="15.75" customHeight="1">
      <c r="B539" s="667"/>
      <c r="C539" s="667"/>
      <c r="D539" s="667"/>
      <c r="E539" s="668"/>
      <c r="F539" s="667"/>
      <c r="G539" s="667"/>
      <c r="H539" s="667"/>
      <c r="I539" s="667"/>
      <c r="J539" s="667"/>
      <c r="K539" s="667"/>
      <c r="L539" s="667"/>
      <c r="M539" s="667"/>
      <c r="N539" s="667"/>
      <c r="O539" s="667"/>
      <c r="P539" s="667"/>
      <c r="Q539" s="667"/>
    </row>
    <row r="540" ht="15.75" customHeight="1">
      <c r="B540" s="667"/>
      <c r="C540" s="667"/>
      <c r="D540" s="667"/>
      <c r="E540" s="668"/>
      <c r="F540" s="667"/>
      <c r="G540" s="667"/>
      <c r="H540" s="667"/>
      <c r="I540" s="667"/>
      <c r="J540" s="667"/>
      <c r="K540" s="667"/>
      <c r="L540" s="667"/>
      <c r="M540" s="667"/>
      <c r="N540" s="667"/>
      <c r="O540" s="667"/>
      <c r="P540" s="667"/>
      <c r="Q540" s="667"/>
    </row>
    <row r="541" ht="15.75" customHeight="1">
      <c r="B541" s="667"/>
      <c r="C541" s="667"/>
      <c r="D541" s="667"/>
      <c r="E541" s="668"/>
      <c r="F541" s="667"/>
      <c r="G541" s="667"/>
      <c r="H541" s="667"/>
      <c r="I541" s="667"/>
      <c r="J541" s="667"/>
      <c r="K541" s="667"/>
      <c r="L541" s="667"/>
      <c r="M541" s="667"/>
      <c r="N541" s="667"/>
      <c r="O541" s="667"/>
      <c r="P541" s="667"/>
      <c r="Q541" s="667"/>
    </row>
    <row r="542" ht="15.75" customHeight="1">
      <c r="B542" s="667"/>
      <c r="C542" s="667"/>
      <c r="D542" s="667"/>
      <c r="E542" s="668"/>
      <c r="F542" s="667"/>
      <c r="G542" s="667"/>
      <c r="H542" s="667"/>
      <c r="I542" s="667"/>
      <c r="J542" s="667"/>
      <c r="K542" s="667"/>
      <c r="L542" s="667"/>
      <c r="M542" s="667"/>
      <c r="N542" s="667"/>
      <c r="O542" s="667"/>
      <c r="P542" s="667"/>
      <c r="Q542" s="667"/>
    </row>
    <row r="543" ht="15.75" customHeight="1">
      <c r="B543" s="667"/>
      <c r="C543" s="667"/>
      <c r="D543" s="667"/>
      <c r="E543" s="668"/>
      <c r="F543" s="667"/>
      <c r="G543" s="667"/>
      <c r="H543" s="667"/>
      <c r="I543" s="667"/>
      <c r="J543" s="667"/>
      <c r="K543" s="667"/>
      <c r="L543" s="667"/>
      <c r="M543" s="667"/>
      <c r="N543" s="667"/>
      <c r="O543" s="667"/>
      <c r="P543" s="667"/>
      <c r="Q543" s="667"/>
    </row>
    <row r="544" ht="15.75" customHeight="1">
      <c r="B544" s="667"/>
      <c r="C544" s="667"/>
      <c r="D544" s="667"/>
      <c r="E544" s="668"/>
      <c r="F544" s="667"/>
      <c r="G544" s="667"/>
      <c r="H544" s="667"/>
      <c r="I544" s="667"/>
      <c r="J544" s="667"/>
      <c r="K544" s="667"/>
      <c r="L544" s="667"/>
      <c r="M544" s="667"/>
      <c r="N544" s="667"/>
      <c r="O544" s="667"/>
      <c r="P544" s="667"/>
      <c r="Q544" s="667"/>
    </row>
    <row r="545" ht="15.75" customHeight="1">
      <c r="B545" s="667"/>
      <c r="C545" s="667"/>
      <c r="D545" s="667"/>
      <c r="E545" s="668"/>
      <c r="F545" s="667"/>
      <c r="G545" s="667"/>
      <c r="H545" s="667"/>
      <c r="I545" s="667"/>
      <c r="J545" s="667"/>
      <c r="K545" s="667"/>
      <c r="L545" s="667"/>
      <c r="M545" s="667"/>
      <c r="N545" s="667"/>
      <c r="O545" s="667"/>
      <c r="P545" s="667"/>
      <c r="Q545" s="667"/>
    </row>
    <row r="546" ht="15.75" customHeight="1">
      <c r="B546" s="667"/>
      <c r="C546" s="667"/>
      <c r="D546" s="667"/>
      <c r="E546" s="668"/>
      <c r="F546" s="667"/>
      <c r="G546" s="667"/>
      <c r="H546" s="667"/>
      <c r="I546" s="667"/>
      <c r="J546" s="667"/>
      <c r="K546" s="667"/>
      <c r="L546" s="667"/>
      <c r="M546" s="667"/>
      <c r="N546" s="667"/>
      <c r="O546" s="667"/>
      <c r="P546" s="667"/>
      <c r="Q546" s="667"/>
    </row>
    <row r="547" ht="15.75" customHeight="1">
      <c r="B547" s="667"/>
      <c r="C547" s="667"/>
      <c r="D547" s="667"/>
      <c r="E547" s="668"/>
      <c r="F547" s="667"/>
      <c r="G547" s="667"/>
      <c r="H547" s="667"/>
      <c r="I547" s="667"/>
      <c r="J547" s="667"/>
      <c r="K547" s="667"/>
      <c r="L547" s="667"/>
      <c r="M547" s="667"/>
      <c r="N547" s="667"/>
      <c r="O547" s="667"/>
      <c r="P547" s="667"/>
      <c r="Q547" s="667"/>
    </row>
    <row r="548" ht="15.75" customHeight="1">
      <c r="B548" s="667"/>
      <c r="C548" s="667"/>
      <c r="D548" s="667"/>
      <c r="E548" s="668"/>
      <c r="F548" s="667"/>
      <c r="G548" s="667"/>
      <c r="H548" s="667"/>
      <c r="I548" s="667"/>
      <c r="J548" s="667"/>
      <c r="K548" s="667"/>
      <c r="L548" s="667"/>
      <c r="M548" s="667"/>
      <c r="N548" s="667"/>
      <c r="O548" s="667"/>
      <c r="P548" s="667"/>
      <c r="Q548" s="667"/>
    </row>
    <row r="549" ht="15.75" customHeight="1">
      <c r="B549" s="667"/>
      <c r="C549" s="667"/>
      <c r="D549" s="667"/>
      <c r="E549" s="668"/>
      <c r="F549" s="667"/>
      <c r="G549" s="667"/>
      <c r="H549" s="667"/>
      <c r="I549" s="667"/>
      <c r="J549" s="667"/>
      <c r="K549" s="667"/>
      <c r="L549" s="667"/>
      <c r="M549" s="667"/>
      <c r="N549" s="667"/>
      <c r="O549" s="667"/>
      <c r="P549" s="667"/>
      <c r="Q549" s="667"/>
    </row>
    <row r="550" ht="15.75" customHeight="1">
      <c r="B550" s="667"/>
      <c r="C550" s="667"/>
      <c r="D550" s="667"/>
      <c r="E550" s="668"/>
      <c r="F550" s="667"/>
      <c r="G550" s="667"/>
      <c r="H550" s="667"/>
      <c r="I550" s="667"/>
      <c r="J550" s="667"/>
      <c r="K550" s="667"/>
      <c r="L550" s="667"/>
      <c r="M550" s="667"/>
      <c r="N550" s="667"/>
      <c r="O550" s="667"/>
      <c r="P550" s="667"/>
      <c r="Q550" s="667"/>
    </row>
    <row r="551" ht="15.75" customHeight="1">
      <c r="B551" s="667"/>
      <c r="C551" s="667"/>
      <c r="D551" s="667"/>
      <c r="E551" s="668"/>
      <c r="F551" s="667"/>
      <c r="G551" s="667"/>
      <c r="H551" s="667"/>
      <c r="I551" s="667"/>
      <c r="J551" s="667"/>
      <c r="K551" s="667"/>
      <c r="L551" s="667"/>
      <c r="M551" s="667"/>
      <c r="N551" s="667"/>
      <c r="O551" s="667"/>
      <c r="P551" s="667"/>
      <c r="Q551" s="667"/>
    </row>
    <row r="552" ht="15.75" customHeight="1">
      <c r="B552" s="667"/>
      <c r="C552" s="667"/>
      <c r="D552" s="667"/>
      <c r="E552" s="668"/>
      <c r="F552" s="667"/>
      <c r="G552" s="667"/>
      <c r="H552" s="667"/>
      <c r="I552" s="667"/>
      <c r="J552" s="667"/>
      <c r="K552" s="667"/>
      <c r="L552" s="667"/>
      <c r="M552" s="667"/>
      <c r="N552" s="667"/>
      <c r="O552" s="667"/>
      <c r="P552" s="667"/>
      <c r="Q552" s="667"/>
    </row>
    <row r="553" ht="15.75" customHeight="1">
      <c r="B553" s="667"/>
      <c r="C553" s="667"/>
      <c r="D553" s="667"/>
      <c r="E553" s="668"/>
      <c r="F553" s="667"/>
      <c r="G553" s="667"/>
      <c r="H553" s="667"/>
      <c r="I553" s="667"/>
      <c r="J553" s="667"/>
      <c r="K553" s="667"/>
      <c r="L553" s="667"/>
      <c r="M553" s="667"/>
      <c r="N553" s="667"/>
      <c r="O553" s="667"/>
      <c r="P553" s="667"/>
      <c r="Q553" s="667"/>
    </row>
    <row r="554" ht="15.75" customHeight="1">
      <c r="B554" s="667"/>
      <c r="C554" s="667"/>
      <c r="D554" s="667"/>
      <c r="E554" s="668"/>
      <c r="F554" s="667"/>
      <c r="G554" s="667"/>
      <c r="H554" s="667"/>
      <c r="I554" s="667"/>
      <c r="J554" s="667"/>
      <c r="K554" s="667"/>
      <c r="L554" s="667"/>
      <c r="M554" s="667"/>
      <c r="N554" s="667"/>
      <c r="O554" s="667"/>
      <c r="P554" s="667"/>
      <c r="Q554" s="667"/>
    </row>
    <row r="555" ht="15.75" customHeight="1">
      <c r="B555" s="667"/>
      <c r="C555" s="667"/>
      <c r="D555" s="667"/>
      <c r="E555" s="668"/>
      <c r="F555" s="667"/>
      <c r="G555" s="667"/>
      <c r="H555" s="667"/>
      <c r="I555" s="667"/>
      <c r="J555" s="667"/>
      <c r="K555" s="667"/>
      <c r="L555" s="667"/>
      <c r="M555" s="667"/>
      <c r="N555" s="667"/>
      <c r="O555" s="667"/>
      <c r="P555" s="667"/>
      <c r="Q555" s="667"/>
    </row>
    <row r="556" ht="15.75" customHeight="1">
      <c r="B556" s="667"/>
      <c r="C556" s="667"/>
      <c r="D556" s="667"/>
      <c r="E556" s="668"/>
      <c r="F556" s="667"/>
      <c r="G556" s="667"/>
      <c r="H556" s="667"/>
      <c r="I556" s="667"/>
      <c r="J556" s="667"/>
      <c r="K556" s="667"/>
      <c r="L556" s="667"/>
      <c r="M556" s="667"/>
      <c r="N556" s="667"/>
      <c r="O556" s="667"/>
      <c r="P556" s="667"/>
      <c r="Q556" s="667"/>
    </row>
    <row r="557" ht="15.75" customHeight="1">
      <c r="B557" s="667"/>
      <c r="C557" s="667"/>
      <c r="D557" s="667"/>
      <c r="E557" s="668"/>
      <c r="F557" s="667"/>
      <c r="G557" s="667"/>
      <c r="H557" s="667"/>
      <c r="I557" s="667"/>
      <c r="J557" s="667"/>
      <c r="K557" s="667"/>
      <c r="L557" s="667"/>
      <c r="M557" s="667"/>
      <c r="N557" s="667"/>
      <c r="O557" s="667"/>
      <c r="P557" s="667"/>
      <c r="Q557" s="667"/>
    </row>
    <row r="558" ht="15.75" customHeight="1">
      <c r="B558" s="667"/>
      <c r="C558" s="667"/>
      <c r="D558" s="667"/>
      <c r="E558" s="668"/>
      <c r="F558" s="667"/>
      <c r="G558" s="667"/>
      <c r="H558" s="667"/>
      <c r="I558" s="667"/>
      <c r="J558" s="667"/>
      <c r="K558" s="667"/>
      <c r="L558" s="667"/>
      <c r="M558" s="667"/>
      <c r="N558" s="667"/>
      <c r="O558" s="667"/>
      <c r="P558" s="667"/>
      <c r="Q558" s="667"/>
    </row>
    <row r="559" ht="15.75" customHeight="1">
      <c r="B559" s="667"/>
      <c r="C559" s="667"/>
      <c r="D559" s="667"/>
      <c r="E559" s="668"/>
      <c r="F559" s="667"/>
      <c r="G559" s="667"/>
      <c r="H559" s="667"/>
      <c r="I559" s="667"/>
      <c r="J559" s="667"/>
      <c r="K559" s="667"/>
      <c r="L559" s="667"/>
      <c r="M559" s="667"/>
      <c r="N559" s="667"/>
      <c r="O559" s="667"/>
      <c r="P559" s="667"/>
      <c r="Q559" s="667"/>
    </row>
    <row r="560" ht="15.75" customHeight="1">
      <c r="B560" s="667"/>
      <c r="C560" s="667"/>
      <c r="D560" s="667"/>
      <c r="E560" s="668"/>
      <c r="F560" s="667"/>
      <c r="G560" s="667"/>
      <c r="H560" s="667"/>
      <c r="I560" s="667"/>
      <c r="J560" s="667"/>
      <c r="K560" s="667"/>
      <c r="L560" s="667"/>
      <c r="M560" s="667"/>
      <c r="N560" s="667"/>
      <c r="O560" s="667"/>
      <c r="P560" s="667"/>
      <c r="Q560" s="667"/>
    </row>
    <row r="561" ht="15.75" customHeight="1">
      <c r="B561" s="667"/>
      <c r="C561" s="667"/>
      <c r="D561" s="667"/>
      <c r="E561" s="668"/>
      <c r="F561" s="667"/>
      <c r="G561" s="667"/>
      <c r="H561" s="667"/>
      <c r="I561" s="667"/>
      <c r="J561" s="667"/>
      <c r="K561" s="667"/>
      <c r="L561" s="667"/>
      <c r="M561" s="667"/>
      <c r="N561" s="667"/>
      <c r="O561" s="667"/>
      <c r="P561" s="667"/>
      <c r="Q561" s="667"/>
    </row>
    <row r="562" ht="15.75" customHeight="1">
      <c r="B562" s="667"/>
      <c r="C562" s="667"/>
      <c r="D562" s="667"/>
      <c r="E562" s="668"/>
      <c r="F562" s="667"/>
      <c r="G562" s="667"/>
      <c r="H562" s="667"/>
      <c r="I562" s="667"/>
      <c r="J562" s="667"/>
      <c r="K562" s="667"/>
      <c r="L562" s="667"/>
      <c r="M562" s="667"/>
      <c r="N562" s="667"/>
      <c r="O562" s="667"/>
      <c r="P562" s="667"/>
      <c r="Q562" s="667"/>
    </row>
    <row r="563" ht="15.75" customHeight="1">
      <c r="B563" s="667"/>
      <c r="C563" s="667"/>
      <c r="D563" s="667"/>
      <c r="E563" s="668"/>
      <c r="F563" s="667"/>
      <c r="G563" s="667"/>
      <c r="H563" s="667"/>
      <c r="I563" s="667"/>
      <c r="J563" s="667"/>
      <c r="K563" s="667"/>
      <c r="L563" s="667"/>
      <c r="M563" s="667"/>
      <c r="N563" s="667"/>
      <c r="O563" s="667"/>
      <c r="P563" s="667"/>
      <c r="Q563" s="667"/>
    </row>
    <row r="564" ht="15.75" customHeight="1">
      <c r="B564" s="667"/>
      <c r="C564" s="667"/>
      <c r="D564" s="667"/>
      <c r="E564" s="668"/>
      <c r="F564" s="667"/>
      <c r="G564" s="667"/>
      <c r="H564" s="667"/>
      <c r="I564" s="667"/>
      <c r="J564" s="667"/>
      <c r="K564" s="667"/>
      <c r="L564" s="667"/>
      <c r="M564" s="667"/>
      <c r="N564" s="667"/>
      <c r="O564" s="667"/>
      <c r="P564" s="667"/>
      <c r="Q564" s="667"/>
    </row>
    <row r="565" ht="15.75" customHeight="1">
      <c r="B565" s="667"/>
      <c r="C565" s="667"/>
      <c r="D565" s="667"/>
      <c r="E565" s="668"/>
      <c r="F565" s="667"/>
      <c r="G565" s="667"/>
      <c r="H565" s="667"/>
      <c r="I565" s="667"/>
      <c r="J565" s="667"/>
      <c r="K565" s="667"/>
      <c r="L565" s="667"/>
      <c r="M565" s="667"/>
      <c r="N565" s="667"/>
      <c r="O565" s="667"/>
      <c r="P565" s="667"/>
      <c r="Q565" s="667"/>
    </row>
    <row r="566" ht="15.75" customHeight="1">
      <c r="B566" s="667"/>
      <c r="C566" s="667"/>
      <c r="D566" s="667"/>
      <c r="E566" s="668"/>
      <c r="F566" s="667"/>
      <c r="G566" s="667"/>
      <c r="H566" s="667"/>
      <c r="I566" s="667"/>
      <c r="J566" s="667"/>
      <c r="K566" s="667"/>
      <c r="L566" s="667"/>
      <c r="M566" s="667"/>
      <c r="N566" s="667"/>
      <c r="O566" s="667"/>
      <c r="P566" s="667"/>
      <c r="Q566" s="667"/>
    </row>
    <row r="567" ht="15.75" customHeight="1">
      <c r="B567" s="667"/>
      <c r="C567" s="667"/>
      <c r="D567" s="667"/>
      <c r="E567" s="668"/>
      <c r="F567" s="667"/>
      <c r="G567" s="667"/>
      <c r="H567" s="667"/>
      <c r="I567" s="667"/>
      <c r="J567" s="667"/>
      <c r="K567" s="667"/>
      <c r="L567" s="667"/>
      <c r="M567" s="667"/>
      <c r="N567" s="667"/>
      <c r="O567" s="667"/>
      <c r="P567" s="667"/>
      <c r="Q567" s="667"/>
    </row>
    <row r="568" ht="15.75" customHeight="1">
      <c r="B568" s="667"/>
      <c r="C568" s="667"/>
      <c r="D568" s="667"/>
      <c r="E568" s="668"/>
      <c r="F568" s="667"/>
      <c r="G568" s="667"/>
      <c r="H568" s="667"/>
      <c r="I568" s="667"/>
      <c r="J568" s="667"/>
      <c r="K568" s="667"/>
      <c r="L568" s="667"/>
      <c r="M568" s="667"/>
      <c r="N568" s="667"/>
      <c r="O568" s="667"/>
      <c r="P568" s="667"/>
      <c r="Q568" s="667"/>
    </row>
    <row r="569" ht="15.75" customHeight="1">
      <c r="B569" s="667"/>
      <c r="C569" s="667"/>
      <c r="D569" s="667"/>
      <c r="E569" s="668"/>
      <c r="F569" s="667"/>
      <c r="G569" s="667"/>
      <c r="H569" s="667"/>
      <c r="I569" s="667"/>
      <c r="J569" s="667"/>
      <c r="K569" s="667"/>
      <c r="L569" s="667"/>
      <c r="M569" s="667"/>
      <c r="N569" s="667"/>
      <c r="O569" s="667"/>
      <c r="P569" s="667"/>
      <c r="Q569" s="667"/>
    </row>
    <row r="570" ht="15.75" customHeight="1">
      <c r="B570" s="667"/>
      <c r="C570" s="667"/>
      <c r="D570" s="667"/>
      <c r="E570" s="668"/>
      <c r="F570" s="667"/>
      <c r="G570" s="667"/>
      <c r="H570" s="667"/>
      <c r="I570" s="667"/>
      <c r="J570" s="667"/>
      <c r="K570" s="667"/>
      <c r="L570" s="667"/>
      <c r="M570" s="667"/>
      <c r="N570" s="667"/>
      <c r="O570" s="667"/>
      <c r="P570" s="667"/>
      <c r="Q570" s="667"/>
    </row>
    <row r="571" ht="15.75" customHeight="1">
      <c r="B571" s="667"/>
      <c r="C571" s="667"/>
      <c r="D571" s="667"/>
      <c r="E571" s="668"/>
      <c r="F571" s="667"/>
      <c r="G571" s="667"/>
      <c r="H571" s="667"/>
      <c r="I571" s="667"/>
      <c r="J571" s="667"/>
      <c r="K571" s="667"/>
      <c r="L571" s="667"/>
      <c r="M571" s="667"/>
      <c r="N571" s="667"/>
      <c r="O571" s="667"/>
      <c r="P571" s="667"/>
      <c r="Q571" s="667"/>
    </row>
    <row r="572" ht="15.75" customHeight="1">
      <c r="B572" s="667"/>
      <c r="C572" s="667"/>
      <c r="D572" s="667"/>
      <c r="E572" s="668"/>
      <c r="F572" s="667"/>
      <c r="G572" s="667"/>
      <c r="H572" s="667"/>
      <c r="I572" s="667"/>
      <c r="J572" s="667"/>
      <c r="K572" s="667"/>
      <c r="L572" s="667"/>
      <c r="M572" s="667"/>
      <c r="N572" s="667"/>
      <c r="O572" s="667"/>
      <c r="P572" s="667"/>
      <c r="Q572" s="667"/>
    </row>
    <row r="573" ht="15.75" customHeight="1">
      <c r="B573" s="667"/>
      <c r="C573" s="667"/>
      <c r="D573" s="667"/>
      <c r="E573" s="668"/>
      <c r="F573" s="667"/>
      <c r="G573" s="667"/>
      <c r="H573" s="667"/>
      <c r="I573" s="667"/>
      <c r="J573" s="667"/>
      <c r="K573" s="667"/>
      <c r="L573" s="667"/>
      <c r="M573" s="667"/>
      <c r="N573" s="667"/>
      <c r="O573" s="667"/>
      <c r="P573" s="667"/>
      <c r="Q573" s="667"/>
    </row>
    <row r="574" ht="15.75" customHeight="1">
      <c r="B574" s="667"/>
      <c r="C574" s="667"/>
      <c r="D574" s="667"/>
      <c r="E574" s="668"/>
      <c r="F574" s="667"/>
      <c r="G574" s="667"/>
      <c r="H574" s="667"/>
      <c r="I574" s="667"/>
      <c r="J574" s="667"/>
      <c r="K574" s="667"/>
      <c r="L574" s="667"/>
      <c r="M574" s="667"/>
      <c r="N574" s="667"/>
      <c r="O574" s="667"/>
      <c r="P574" s="667"/>
      <c r="Q574" s="667"/>
    </row>
    <row r="575" ht="15.75" customHeight="1">
      <c r="B575" s="667"/>
      <c r="C575" s="667"/>
      <c r="D575" s="667"/>
      <c r="E575" s="668"/>
      <c r="F575" s="667"/>
      <c r="G575" s="667"/>
      <c r="H575" s="667"/>
      <c r="I575" s="667"/>
      <c r="J575" s="667"/>
      <c r="K575" s="667"/>
      <c r="L575" s="667"/>
      <c r="M575" s="667"/>
      <c r="N575" s="667"/>
      <c r="O575" s="667"/>
      <c r="P575" s="667"/>
      <c r="Q575" s="667"/>
    </row>
    <row r="576" ht="15.75" customHeight="1">
      <c r="B576" s="667"/>
      <c r="C576" s="667"/>
      <c r="D576" s="667"/>
      <c r="E576" s="668"/>
      <c r="F576" s="667"/>
      <c r="G576" s="667"/>
      <c r="H576" s="667"/>
      <c r="I576" s="667"/>
      <c r="J576" s="667"/>
      <c r="K576" s="667"/>
      <c r="L576" s="667"/>
      <c r="M576" s="667"/>
      <c r="N576" s="667"/>
      <c r="O576" s="667"/>
      <c r="P576" s="667"/>
      <c r="Q576" s="667"/>
    </row>
    <row r="577" ht="15.75" customHeight="1">
      <c r="B577" s="667"/>
      <c r="C577" s="667"/>
      <c r="D577" s="667"/>
      <c r="E577" s="668"/>
      <c r="F577" s="667"/>
      <c r="G577" s="667"/>
      <c r="H577" s="667"/>
      <c r="I577" s="667"/>
      <c r="J577" s="667"/>
      <c r="K577" s="667"/>
      <c r="L577" s="667"/>
      <c r="M577" s="667"/>
      <c r="N577" s="667"/>
      <c r="O577" s="667"/>
      <c r="P577" s="667"/>
      <c r="Q577" s="667"/>
    </row>
    <row r="578" ht="15.75" customHeight="1">
      <c r="B578" s="667"/>
      <c r="C578" s="667"/>
      <c r="D578" s="667"/>
      <c r="E578" s="668"/>
      <c r="F578" s="667"/>
      <c r="G578" s="667"/>
      <c r="H578" s="667"/>
      <c r="I578" s="667"/>
      <c r="J578" s="667"/>
      <c r="K578" s="667"/>
      <c r="L578" s="667"/>
      <c r="M578" s="667"/>
      <c r="N578" s="667"/>
      <c r="O578" s="667"/>
      <c r="P578" s="667"/>
      <c r="Q578" s="667"/>
    </row>
    <row r="579" ht="15.75" customHeight="1">
      <c r="B579" s="667"/>
      <c r="C579" s="667"/>
      <c r="D579" s="667"/>
      <c r="E579" s="668"/>
      <c r="F579" s="667"/>
      <c r="G579" s="667"/>
      <c r="H579" s="667"/>
      <c r="I579" s="667"/>
      <c r="J579" s="667"/>
      <c r="K579" s="667"/>
      <c r="L579" s="667"/>
      <c r="M579" s="667"/>
      <c r="N579" s="667"/>
      <c r="O579" s="667"/>
      <c r="P579" s="667"/>
      <c r="Q579" s="667"/>
    </row>
    <row r="580" ht="15.75" customHeight="1">
      <c r="B580" s="667"/>
      <c r="C580" s="667"/>
      <c r="D580" s="667"/>
      <c r="E580" s="668"/>
      <c r="F580" s="667"/>
      <c r="G580" s="667"/>
      <c r="H580" s="667"/>
      <c r="I580" s="667"/>
      <c r="J580" s="667"/>
      <c r="K580" s="667"/>
      <c r="L580" s="667"/>
      <c r="M580" s="667"/>
      <c r="N580" s="667"/>
      <c r="O580" s="667"/>
      <c r="P580" s="667"/>
      <c r="Q580" s="667"/>
    </row>
    <row r="581" ht="15.75" customHeight="1">
      <c r="B581" s="667"/>
      <c r="C581" s="667"/>
      <c r="D581" s="667"/>
      <c r="E581" s="668"/>
      <c r="F581" s="667"/>
      <c r="G581" s="667"/>
      <c r="H581" s="667"/>
      <c r="I581" s="667"/>
      <c r="J581" s="667"/>
      <c r="K581" s="667"/>
      <c r="L581" s="667"/>
      <c r="M581" s="667"/>
      <c r="N581" s="667"/>
      <c r="O581" s="667"/>
      <c r="P581" s="667"/>
      <c r="Q581" s="667"/>
    </row>
    <row r="582" ht="15.75" customHeight="1">
      <c r="B582" s="667"/>
      <c r="C582" s="667"/>
      <c r="D582" s="667"/>
      <c r="E582" s="668"/>
      <c r="F582" s="667"/>
      <c r="G582" s="667"/>
      <c r="H582" s="667"/>
      <c r="I582" s="667"/>
      <c r="J582" s="667"/>
      <c r="K582" s="667"/>
      <c r="L582" s="667"/>
      <c r="M582" s="667"/>
      <c r="N582" s="667"/>
      <c r="O582" s="667"/>
      <c r="P582" s="667"/>
      <c r="Q582" s="667"/>
    </row>
    <row r="583" ht="15.75" customHeight="1">
      <c r="B583" s="667"/>
      <c r="C583" s="667"/>
      <c r="D583" s="667"/>
      <c r="E583" s="668"/>
      <c r="F583" s="667"/>
      <c r="G583" s="667"/>
      <c r="H583" s="667"/>
      <c r="I583" s="667"/>
      <c r="J583" s="667"/>
      <c r="K583" s="667"/>
      <c r="L583" s="667"/>
      <c r="M583" s="667"/>
      <c r="N583" s="667"/>
      <c r="O583" s="667"/>
      <c r="P583" s="667"/>
      <c r="Q583" s="667"/>
    </row>
    <row r="584" ht="15.75" customHeight="1">
      <c r="B584" s="667"/>
      <c r="C584" s="667"/>
      <c r="D584" s="667"/>
      <c r="E584" s="668"/>
      <c r="F584" s="667"/>
      <c r="G584" s="667"/>
      <c r="H584" s="667"/>
      <c r="I584" s="667"/>
      <c r="J584" s="667"/>
      <c r="K584" s="667"/>
      <c r="L584" s="667"/>
      <c r="M584" s="667"/>
      <c r="N584" s="667"/>
      <c r="O584" s="667"/>
      <c r="P584" s="667"/>
      <c r="Q584" s="667"/>
    </row>
    <row r="585" ht="15.75" customHeight="1">
      <c r="B585" s="667"/>
      <c r="C585" s="667"/>
      <c r="D585" s="667"/>
      <c r="E585" s="668"/>
      <c r="F585" s="667"/>
      <c r="G585" s="667"/>
      <c r="H585" s="667"/>
      <c r="I585" s="667"/>
      <c r="J585" s="667"/>
      <c r="K585" s="667"/>
      <c r="L585" s="667"/>
      <c r="M585" s="667"/>
      <c r="N585" s="667"/>
      <c r="O585" s="667"/>
      <c r="P585" s="667"/>
      <c r="Q585" s="667"/>
    </row>
    <row r="586" ht="15.75" customHeight="1">
      <c r="B586" s="667"/>
      <c r="C586" s="667"/>
      <c r="D586" s="667"/>
      <c r="E586" s="668"/>
      <c r="F586" s="667"/>
      <c r="G586" s="667"/>
      <c r="H586" s="667"/>
      <c r="I586" s="667"/>
      <c r="J586" s="667"/>
      <c r="K586" s="667"/>
      <c r="L586" s="667"/>
      <c r="M586" s="667"/>
      <c r="N586" s="667"/>
      <c r="O586" s="667"/>
      <c r="P586" s="667"/>
      <c r="Q586" s="667"/>
    </row>
    <row r="587" ht="15.75" customHeight="1">
      <c r="B587" s="667"/>
      <c r="C587" s="667"/>
      <c r="D587" s="667"/>
      <c r="E587" s="668"/>
      <c r="F587" s="667"/>
      <c r="G587" s="667"/>
      <c r="H587" s="667"/>
      <c r="I587" s="667"/>
      <c r="J587" s="667"/>
      <c r="K587" s="667"/>
      <c r="L587" s="667"/>
      <c r="M587" s="667"/>
      <c r="N587" s="667"/>
      <c r="O587" s="667"/>
      <c r="P587" s="667"/>
      <c r="Q587" s="667"/>
    </row>
    <row r="588" ht="15.75" customHeight="1">
      <c r="B588" s="667"/>
      <c r="C588" s="667"/>
      <c r="D588" s="667"/>
      <c r="E588" s="668"/>
      <c r="F588" s="667"/>
      <c r="G588" s="667"/>
      <c r="H588" s="667"/>
      <c r="I588" s="667"/>
      <c r="J588" s="667"/>
      <c r="K588" s="667"/>
      <c r="L588" s="667"/>
      <c r="M588" s="667"/>
      <c r="N588" s="667"/>
      <c r="O588" s="667"/>
      <c r="P588" s="667"/>
      <c r="Q588" s="667"/>
    </row>
    <row r="589" ht="15.75" customHeight="1">
      <c r="B589" s="667"/>
      <c r="C589" s="667"/>
      <c r="D589" s="667"/>
      <c r="E589" s="668"/>
      <c r="F589" s="667"/>
      <c r="G589" s="667"/>
      <c r="H589" s="667"/>
      <c r="I589" s="667"/>
      <c r="J589" s="667"/>
      <c r="K589" s="667"/>
      <c r="L589" s="667"/>
      <c r="M589" s="667"/>
      <c r="N589" s="667"/>
      <c r="O589" s="667"/>
      <c r="P589" s="667"/>
      <c r="Q589" s="667"/>
    </row>
    <row r="590" ht="15.75" customHeight="1">
      <c r="B590" s="667"/>
      <c r="C590" s="667"/>
      <c r="D590" s="667"/>
      <c r="E590" s="668"/>
      <c r="F590" s="667"/>
      <c r="G590" s="667"/>
      <c r="H590" s="667"/>
      <c r="I590" s="667"/>
      <c r="J590" s="667"/>
      <c r="K590" s="667"/>
      <c r="L590" s="667"/>
      <c r="M590" s="667"/>
      <c r="N590" s="667"/>
      <c r="O590" s="667"/>
      <c r="P590" s="667"/>
      <c r="Q590" s="667"/>
    </row>
    <row r="591" ht="15.75" customHeight="1">
      <c r="B591" s="667"/>
      <c r="C591" s="667"/>
      <c r="D591" s="667"/>
      <c r="E591" s="668"/>
      <c r="F591" s="667"/>
      <c r="G591" s="667"/>
      <c r="H591" s="667"/>
      <c r="I591" s="667"/>
      <c r="J591" s="667"/>
      <c r="K591" s="667"/>
      <c r="L591" s="667"/>
      <c r="M591" s="667"/>
      <c r="N591" s="667"/>
      <c r="O591" s="667"/>
      <c r="P591" s="667"/>
      <c r="Q591" s="667"/>
    </row>
    <row r="592" ht="15.75" customHeight="1">
      <c r="B592" s="667"/>
      <c r="C592" s="667"/>
      <c r="D592" s="667"/>
      <c r="E592" s="668"/>
      <c r="F592" s="667"/>
      <c r="G592" s="667"/>
      <c r="H592" s="667"/>
      <c r="I592" s="667"/>
      <c r="J592" s="667"/>
      <c r="K592" s="667"/>
      <c r="L592" s="667"/>
      <c r="M592" s="667"/>
      <c r="N592" s="667"/>
      <c r="O592" s="667"/>
      <c r="P592" s="667"/>
      <c r="Q592" s="667"/>
    </row>
    <row r="593" ht="15.75" customHeight="1">
      <c r="B593" s="667"/>
      <c r="C593" s="667"/>
      <c r="D593" s="667"/>
      <c r="E593" s="668"/>
      <c r="F593" s="667"/>
      <c r="G593" s="667"/>
      <c r="H593" s="667"/>
      <c r="I593" s="667"/>
      <c r="J593" s="667"/>
      <c r="K593" s="667"/>
      <c r="L593" s="667"/>
      <c r="M593" s="667"/>
      <c r="N593" s="667"/>
      <c r="O593" s="667"/>
      <c r="P593" s="667"/>
      <c r="Q593" s="667"/>
    </row>
    <row r="594" ht="15.75" customHeight="1">
      <c r="B594" s="667"/>
      <c r="C594" s="667"/>
      <c r="D594" s="667"/>
      <c r="E594" s="668"/>
      <c r="F594" s="667"/>
      <c r="G594" s="667"/>
      <c r="H594" s="667"/>
      <c r="I594" s="667"/>
      <c r="J594" s="667"/>
      <c r="K594" s="667"/>
      <c r="L594" s="667"/>
      <c r="M594" s="667"/>
      <c r="N594" s="667"/>
      <c r="O594" s="667"/>
      <c r="P594" s="667"/>
      <c r="Q594" s="667"/>
    </row>
    <row r="595" ht="15.75" customHeight="1">
      <c r="B595" s="667"/>
      <c r="C595" s="667"/>
      <c r="D595" s="667"/>
      <c r="E595" s="668"/>
      <c r="F595" s="667"/>
      <c r="G595" s="667"/>
      <c r="H595" s="667"/>
      <c r="I595" s="667"/>
      <c r="J595" s="667"/>
      <c r="K595" s="667"/>
      <c r="L595" s="667"/>
      <c r="M595" s="667"/>
      <c r="N595" s="667"/>
      <c r="O595" s="667"/>
      <c r="P595" s="667"/>
      <c r="Q595" s="667"/>
    </row>
    <row r="596" ht="15.75" customHeight="1">
      <c r="B596" s="667"/>
      <c r="C596" s="667"/>
      <c r="D596" s="667"/>
      <c r="E596" s="668"/>
      <c r="F596" s="667"/>
      <c r="G596" s="667"/>
      <c r="H596" s="667"/>
      <c r="I596" s="667"/>
      <c r="J596" s="667"/>
      <c r="K596" s="667"/>
      <c r="L596" s="667"/>
      <c r="M596" s="667"/>
      <c r="N596" s="667"/>
      <c r="O596" s="667"/>
      <c r="P596" s="667"/>
      <c r="Q596" s="667"/>
    </row>
    <row r="597" ht="15.75" customHeight="1">
      <c r="B597" s="667"/>
      <c r="C597" s="667"/>
      <c r="D597" s="667"/>
      <c r="E597" s="668"/>
      <c r="F597" s="667"/>
      <c r="G597" s="667"/>
      <c r="H597" s="667"/>
      <c r="I597" s="667"/>
      <c r="J597" s="667"/>
      <c r="K597" s="667"/>
      <c r="L597" s="667"/>
      <c r="M597" s="667"/>
      <c r="N597" s="667"/>
      <c r="O597" s="667"/>
      <c r="P597" s="667"/>
      <c r="Q597" s="667"/>
    </row>
    <row r="598" ht="15.75" customHeight="1">
      <c r="B598" s="667"/>
      <c r="C598" s="667"/>
      <c r="D598" s="667"/>
      <c r="E598" s="668"/>
      <c r="F598" s="667"/>
      <c r="G598" s="667"/>
      <c r="H598" s="667"/>
      <c r="I598" s="667"/>
      <c r="J598" s="667"/>
      <c r="K598" s="667"/>
      <c r="L598" s="667"/>
      <c r="M598" s="667"/>
      <c r="N598" s="667"/>
      <c r="O598" s="667"/>
      <c r="P598" s="667"/>
      <c r="Q598" s="667"/>
    </row>
    <row r="599" ht="15.75" customHeight="1">
      <c r="B599" s="667"/>
      <c r="C599" s="667"/>
      <c r="D599" s="667"/>
      <c r="E599" s="668"/>
      <c r="F599" s="667"/>
      <c r="G599" s="667"/>
      <c r="H599" s="667"/>
      <c r="I599" s="667"/>
      <c r="J599" s="667"/>
      <c r="K599" s="667"/>
      <c r="L599" s="667"/>
      <c r="M599" s="667"/>
      <c r="N599" s="667"/>
      <c r="O599" s="667"/>
      <c r="P599" s="667"/>
      <c r="Q599" s="667"/>
    </row>
    <row r="600" ht="15.75" customHeight="1">
      <c r="B600" s="667"/>
      <c r="C600" s="667"/>
      <c r="D600" s="667"/>
      <c r="E600" s="668"/>
      <c r="F600" s="667"/>
      <c r="G600" s="667"/>
      <c r="H600" s="667"/>
      <c r="I600" s="667"/>
      <c r="J600" s="667"/>
      <c r="K600" s="667"/>
      <c r="L600" s="667"/>
      <c r="M600" s="667"/>
      <c r="N600" s="667"/>
      <c r="O600" s="667"/>
      <c r="P600" s="667"/>
      <c r="Q600" s="667"/>
    </row>
    <row r="601" ht="15.75" customHeight="1">
      <c r="B601" s="667"/>
      <c r="C601" s="667"/>
      <c r="D601" s="667"/>
      <c r="E601" s="668"/>
      <c r="F601" s="667"/>
      <c r="G601" s="667"/>
      <c r="H601" s="667"/>
      <c r="I601" s="667"/>
      <c r="J601" s="667"/>
      <c r="K601" s="667"/>
      <c r="L601" s="667"/>
      <c r="M601" s="667"/>
      <c r="N601" s="667"/>
      <c r="O601" s="667"/>
      <c r="P601" s="667"/>
      <c r="Q601" s="667"/>
    </row>
    <row r="602" ht="15.75" customHeight="1">
      <c r="B602" s="667"/>
      <c r="C602" s="667"/>
      <c r="D602" s="667"/>
      <c r="E602" s="668"/>
      <c r="F602" s="667"/>
      <c r="G602" s="667"/>
      <c r="H602" s="667"/>
      <c r="I602" s="667"/>
      <c r="J602" s="667"/>
      <c r="K602" s="667"/>
      <c r="L602" s="667"/>
      <c r="M602" s="667"/>
      <c r="N602" s="667"/>
      <c r="O602" s="667"/>
      <c r="P602" s="667"/>
      <c r="Q602" s="667"/>
    </row>
    <row r="603" ht="15.75" customHeight="1">
      <c r="B603" s="667"/>
      <c r="C603" s="667"/>
      <c r="D603" s="667"/>
      <c r="E603" s="668"/>
      <c r="F603" s="667"/>
      <c r="G603" s="667"/>
      <c r="H603" s="667"/>
      <c r="I603" s="667"/>
      <c r="J603" s="667"/>
      <c r="K603" s="667"/>
      <c r="L603" s="667"/>
      <c r="M603" s="667"/>
      <c r="N603" s="667"/>
      <c r="O603" s="667"/>
      <c r="P603" s="667"/>
      <c r="Q603" s="667"/>
    </row>
    <row r="604" ht="15.75" customHeight="1">
      <c r="B604" s="667"/>
      <c r="C604" s="667"/>
      <c r="D604" s="667"/>
      <c r="E604" s="668"/>
      <c r="F604" s="667"/>
      <c r="G604" s="667"/>
      <c r="H604" s="667"/>
      <c r="I604" s="667"/>
      <c r="J604" s="667"/>
      <c r="K604" s="667"/>
      <c r="L604" s="667"/>
      <c r="M604" s="667"/>
      <c r="N604" s="667"/>
      <c r="O604" s="667"/>
      <c r="P604" s="667"/>
      <c r="Q604" s="667"/>
    </row>
    <row r="605" ht="15.75" customHeight="1">
      <c r="B605" s="667"/>
      <c r="C605" s="667"/>
      <c r="D605" s="667"/>
      <c r="E605" s="668"/>
      <c r="F605" s="667"/>
      <c r="G605" s="667"/>
      <c r="H605" s="667"/>
      <c r="I605" s="667"/>
      <c r="J605" s="667"/>
      <c r="K605" s="667"/>
      <c r="L605" s="667"/>
      <c r="M605" s="667"/>
      <c r="N605" s="667"/>
      <c r="O605" s="667"/>
      <c r="P605" s="667"/>
      <c r="Q605" s="667"/>
    </row>
    <row r="606" ht="15.75" customHeight="1">
      <c r="B606" s="667"/>
      <c r="C606" s="667"/>
      <c r="D606" s="667"/>
      <c r="E606" s="668"/>
      <c r="F606" s="667"/>
      <c r="G606" s="667"/>
      <c r="H606" s="667"/>
      <c r="I606" s="667"/>
      <c r="J606" s="667"/>
      <c r="K606" s="667"/>
      <c r="L606" s="667"/>
      <c r="M606" s="667"/>
      <c r="N606" s="667"/>
      <c r="O606" s="667"/>
      <c r="P606" s="667"/>
      <c r="Q606" s="667"/>
    </row>
    <row r="607" ht="15.75" customHeight="1">
      <c r="B607" s="667"/>
      <c r="C607" s="667"/>
      <c r="D607" s="667"/>
      <c r="E607" s="668"/>
      <c r="F607" s="667"/>
      <c r="G607" s="667"/>
      <c r="H607" s="667"/>
      <c r="I607" s="667"/>
      <c r="J607" s="667"/>
      <c r="K607" s="667"/>
      <c r="L607" s="667"/>
      <c r="M607" s="667"/>
      <c r="N607" s="667"/>
      <c r="O607" s="667"/>
      <c r="P607" s="667"/>
      <c r="Q607" s="667"/>
    </row>
    <row r="608" ht="15.75" customHeight="1">
      <c r="B608" s="667"/>
      <c r="C608" s="667"/>
      <c r="D608" s="667"/>
      <c r="E608" s="668"/>
      <c r="F608" s="667"/>
      <c r="G608" s="667"/>
      <c r="H608" s="667"/>
      <c r="I608" s="667"/>
      <c r="J608" s="667"/>
      <c r="K608" s="667"/>
      <c r="L608" s="667"/>
      <c r="M608" s="667"/>
      <c r="N608" s="667"/>
      <c r="O608" s="667"/>
      <c r="P608" s="667"/>
      <c r="Q608" s="667"/>
    </row>
    <row r="609" ht="15.75" customHeight="1">
      <c r="B609" s="667"/>
      <c r="C609" s="667"/>
      <c r="D609" s="667"/>
      <c r="E609" s="668"/>
      <c r="F609" s="667"/>
      <c r="G609" s="667"/>
      <c r="H609" s="667"/>
      <c r="I609" s="667"/>
      <c r="J609" s="667"/>
      <c r="K609" s="667"/>
      <c r="L609" s="667"/>
      <c r="M609" s="667"/>
      <c r="N609" s="667"/>
      <c r="O609" s="667"/>
      <c r="P609" s="667"/>
      <c r="Q609" s="667"/>
    </row>
    <row r="610" ht="15.75" customHeight="1">
      <c r="B610" s="667"/>
      <c r="C610" s="667"/>
      <c r="D610" s="667"/>
      <c r="E610" s="668"/>
      <c r="F610" s="667"/>
      <c r="G610" s="667"/>
      <c r="H610" s="667"/>
      <c r="I610" s="667"/>
      <c r="J610" s="667"/>
      <c r="K610" s="667"/>
      <c r="L610" s="667"/>
      <c r="M610" s="667"/>
      <c r="N610" s="667"/>
      <c r="O610" s="667"/>
      <c r="P610" s="667"/>
      <c r="Q610" s="667"/>
    </row>
    <row r="611" ht="15.75" customHeight="1">
      <c r="B611" s="667"/>
      <c r="C611" s="667"/>
      <c r="D611" s="667"/>
      <c r="E611" s="668"/>
      <c r="F611" s="667"/>
      <c r="G611" s="667"/>
      <c r="H611" s="667"/>
      <c r="I611" s="667"/>
      <c r="J611" s="667"/>
      <c r="K611" s="667"/>
      <c r="L611" s="667"/>
      <c r="M611" s="667"/>
      <c r="N611" s="667"/>
      <c r="O611" s="667"/>
      <c r="P611" s="667"/>
      <c r="Q611" s="667"/>
    </row>
    <row r="612" ht="15.75" customHeight="1">
      <c r="B612" s="667"/>
      <c r="C612" s="667"/>
      <c r="D612" s="667"/>
      <c r="E612" s="668"/>
      <c r="F612" s="667"/>
      <c r="G612" s="667"/>
      <c r="H612" s="667"/>
      <c r="I612" s="667"/>
      <c r="J612" s="667"/>
      <c r="K612" s="667"/>
      <c r="L612" s="667"/>
      <c r="M612" s="667"/>
      <c r="N612" s="667"/>
      <c r="O612" s="667"/>
      <c r="P612" s="667"/>
      <c r="Q612" s="667"/>
    </row>
    <row r="613" ht="15.75" customHeight="1">
      <c r="B613" s="667"/>
      <c r="C613" s="667"/>
      <c r="D613" s="667"/>
      <c r="E613" s="668"/>
      <c r="F613" s="667"/>
      <c r="G613" s="667"/>
      <c r="H613" s="667"/>
      <c r="I613" s="667"/>
      <c r="J613" s="667"/>
      <c r="K613" s="667"/>
      <c r="L613" s="667"/>
      <c r="M613" s="667"/>
      <c r="N613" s="667"/>
      <c r="O613" s="667"/>
      <c r="P613" s="667"/>
      <c r="Q613" s="667"/>
    </row>
    <row r="614" ht="15.75" customHeight="1">
      <c r="B614" s="667"/>
      <c r="C614" s="667"/>
      <c r="D614" s="667"/>
      <c r="E614" s="668"/>
      <c r="F614" s="667"/>
      <c r="G614" s="667"/>
      <c r="H614" s="667"/>
      <c r="I614" s="667"/>
      <c r="J614" s="667"/>
      <c r="K614" s="667"/>
      <c r="L614" s="667"/>
      <c r="M614" s="667"/>
      <c r="N614" s="667"/>
      <c r="O614" s="667"/>
      <c r="P614" s="667"/>
      <c r="Q614" s="667"/>
    </row>
    <row r="615" ht="15.75" customHeight="1">
      <c r="B615" s="667"/>
      <c r="C615" s="667"/>
      <c r="D615" s="667"/>
      <c r="E615" s="668"/>
      <c r="F615" s="667"/>
      <c r="G615" s="667"/>
      <c r="H615" s="667"/>
      <c r="I615" s="667"/>
      <c r="J615" s="667"/>
      <c r="K615" s="667"/>
      <c r="L615" s="667"/>
      <c r="M615" s="667"/>
      <c r="N615" s="667"/>
      <c r="O615" s="667"/>
      <c r="P615" s="667"/>
      <c r="Q615" s="667"/>
    </row>
    <row r="616" ht="15.75" customHeight="1">
      <c r="B616" s="667"/>
      <c r="C616" s="667"/>
      <c r="D616" s="667"/>
      <c r="E616" s="668"/>
      <c r="F616" s="667"/>
      <c r="G616" s="667"/>
      <c r="H616" s="667"/>
      <c r="I616" s="667"/>
      <c r="J616" s="667"/>
      <c r="K616" s="667"/>
      <c r="L616" s="667"/>
      <c r="M616" s="667"/>
      <c r="N616" s="667"/>
      <c r="O616" s="667"/>
      <c r="P616" s="667"/>
      <c r="Q616" s="667"/>
    </row>
    <row r="617" ht="15.75" customHeight="1">
      <c r="B617" s="667"/>
      <c r="C617" s="667"/>
      <c r="D617" s="667"/>
      <c r="E617" s="668"/>
      <c r="F617" s="667"/>
      <c r="G617" s="667"/>
      <c r="H617" s="667"/>
      <c r="I617" s="667"/>
      <c r="J617" s="667"/>
      <c r="K617" s="667"/>
      <c r="L617" s="667"/>
      <c r="M617" s="667"/>
      <c r="N617" s="667"/>
      <c r="O617" s="667"/>
      <c r="P617" s="667"/>
      <c r="Q617" s="667"/>
    </row>
    <row r="618" ht="15.75" customHeight="1">
      <c r="B618" s="667"/>
      <c r="C618" s="667"/>
      <c r="D618" s="667"/>
      <c r="E618" s="668"/>
      <c r="F618" s="667"/>
      <c r="G618" s="667"/>
      <c r="H618" s="667"/>
      <c r="I618" s="667"/>
      <c r="J618" s="667"/>
      <c r="K618" s="667"/>
      <c r="L618" s="667"/>
      <c r="M618" s="667"/>
      <c r="N618" s="667"/>
      <c r="O618" s="667"/>
      <c r="P618" s="667"/>
      <c r="Q618" s="667"/>
    </row>
    <row r="619" ht="15.75" customHeight="1">
      <c r="B619" s="667"/>
      <c r="C619" s="667"/>
      <c r="D619" s="667"/>
      <c r="E619" s="668"/>
      <c r="F619" s="667"/>
      <c r="G619" s="667"/>
      <c r="H619" s="667"/>
      <c r="I619" s="667"/>
      <c r="J619" s="667"/>
      <c r="K619" s="667"/>
      <c r="L619" s="667"/>
      <c r="M619" s="667"/>
      <c r="N619" s="667"/>
      <c r="O619" s="667"/>
      <c r="P619" s="667"/>
      <c r="Q619" s="667"/>
    </row>
    <row r="620" ht="15.75" customHeight="1">
      <c r="B620" s="667"/>
      <c r="C620" s="667"/>
      <c r="D620" s="667"/>
      <c r="E620" s="668"/>
      <c r="F620" s="667"/>
      <c r="G620" s="667"/>
      <c r="H620" s="667"/>
      <c r="I620" s="667"/>
      <c r="J620" s="667"/>
      <c r="K620" s="667"/>
      <c r="L620" s="667"/>
      <c r="M620" s="667"/>
      <c r="N620" s="667"/>
      <c r="O620" s="667"/>
      <c r="P620" s="667"/>
      <c r="Q620" s="667"/>
    </row>
    <row r="621" ht="15.75" customHeight="1">
      <c r="B621" s="667"/>
      <c r="C621" s="667"/>
      <c r="D621" s="667"/>
      <c r="E621" s="668"/>
      <c r="F621" s="667"/>
      <c r="G621" s="667"/>
      <c r="H621" s="667"/>
      <c r="I621" s="667"/>
      <c r="J621" s="667"/>
      <c r="K621" s="667"/>
      <c r="L621" s="667"/>
      <c r="M621" s="667"/>
      <c r="N621" s="667"/>
      <c r="O621" s="667"/>
      <c r="P621" s="667"/>
      <c r="Q621" s="667"/>
    </row>
    <row r="622" ht="15.75" customHeight="1">
      <c r="B622" s="667"/>
      <c r="C622" s="667"/>
      <c r="D622" s="667"/>
      <c r="E622" s="668"/>
      <c r="F622" s="667"/>
      <c r="G622" s="667"/>
      <c r="H622" s="667"/>
      <c r="I622" s="667"/>
      <c r="J622" s="667"/>
      <c r="K622" s="667"/>
      <c r="L622" s="667"/>
      <c r="M622" s="667"/>
      <c r="N622" s="667"/>
      <c r="O622" s="667"/>
      <c r="P622" s="667"/>
      <c r="Q622" s="667"/>
    </row>
    <row r="623" ht="15.75" customHeight="1">
      <c r="B623" s="667"/>
      <c r="C623" s="667"/>
      <c r="D623" s="667"/>
      <c r="E623" s="668"/>
      <c r="F623" s="667"/>
      <c r="G623" s="667"/>
      <c r="H623" s="667"/>
      <c r="I623" s="667"/>
      <c r="J623" s="667"/>
      <c r="K623" s="667"/>
      <c r="L623" s="667"/>
      <c r="M623" s="667"/>
      <c r="N623" s="667"/>
      <c r="O623" s="667"/>
      <c r="P623" s="667"/>
      <c r="Q623" s="667"/>
    </row>
    <row r="624" ht="15.75" customHeight="1">
      <c r="B624" s="667"/>
      <c r="C624" s="667"/>
      <c r="D624" s="667"/>
      <c r="E624" s="668"/>
      <c r="F624" s="667"/>
      <c r="G624" s="667"/>
      <c r="H624" s="667"/>
      <c r="I624" s="667"/>
      <c r="J624" s="667"/>
      <c r="K624" s="667"/>
      <c r="L624" s="667"/>
      <c r="M624" s="667"/>
      <c r="N624" s="667"/>
      <c r="O624" s="667"/>
      <c r="P624" s="667"/>
      <c r="Q624" s="667"/>
    </row>
    <row r="625" ht="15.75" customHeight="1">
      <c r="B625" s="667"/>
      <c r="C625" s="667"/>
      <c r="D625" s="667"/>
      <c r="E625" s="668"/>
      <c r="F625" s="667"/>
      <c r="G625" s="667"/>
      <c r="H625" s="667"/>
      <c r="I625" s="667"/>
      <c r="J625" s="667"/>
      <c r="K625" s="667"/>
      <c r="L625" s="667"/>
      <c r="M625" s="667"/>
      <c r="N625" s="667"/>
      <c r="O625" s="667"/>
      <c r="P625" s="667"/>
      <c r="Q625" s="667"/>
    </row>
    <row r="626" ht="15.75" customHeight="1">
      <c r="B626" s="667"/>
      <c r="C626" s="667"/>
      <c r="D626" s="667"/>
      <c r="E626" s="668"/>
      <c r="F626" s="667"/>
      <c r="G626" s="667"/>
      <c r="H626" s="667"/>
      <c r="I626" s="667"/>
      <c r="J626" s="667"/>
      <c r="K626" s="667"/>
      <c r="L626" s="667"/>
      <c r="M626" s="667"/>
      <c r="N626" s="667"/>
      <c r="O626" s="667"/>
      <c r="P626" s="667"/>
      <c r="Q626" s="667"/>
    </row>
    <row r="627" ht="15.75" customHeight="1">
      <c r="B627" s="667"/>
      <c r="C627" s="667"/>
      <c r="D627" s="667"/>
      <c r="E627" s="668"/>
      <c r="F627" s="667"/>
      <c r="G627" s="667"/>
      <c r="H627" s="667"/>
      <c r="I627" s="667"/>
      <c r="J627" s="667"/>
      <c r="K627" s="667"/>
      <c r="L627" s="667"/>
      <c r="M627" s="667"/>
      <c r="N627" s="667"/>
      <c r="O627" s="667"/>
      <c r="P627" s="667"/>
      <c r="Q627" s="667"/>
    </row>
    <row r="628" ht="15.75" customHeight="1">
      <c r="B628" s="667"/>
      <c r="C628" s="667"/>
      <c r="D628" s="667"/>
      <c r="E628" s="668"/>
      <c r="F628" s="667"/>
      <c r="G628" s="667"/>
      <c r="H628" s="667"/>
      <c r="I628" s="667"/>
      <c r="J628" s="667"/>
      <c r="K628" s="667"/>
      <c r="L628" s="667"/>
      <c r="M628" s="667"/>
      <c r="N628" s="667"/>
      <c r="O628" s="667"/>
      <c r="P628" s="667"/>
      <c r="Q628" s="667"/>
    </row>
    <row r="629" ht="15.75" customHeight="1">
      <c r="B629" s="667"/>
      <c r="C629" s="667"/>
      <c r="D629" s="667"/>
      <c r="E629" s="668"/>
      <c r="F629" s="667"/>
      <c r="G629" s="667"/>
      <c r="H629" s="667"/>
      <c r="I629" s="667"/>
      <c r="J629" s="667"/>
      <c r="K629" s="667"/>
      <c r="L629" s="667"/>
      <c r="M629" s="667"/>
      <c r="N629" s="667"/>
      <c r="O629" s="667"/>
      <c r="P629" s="667"/>
      <c r="Q629" s="667"/>
    </row>
    <row r="630" ht="15.75" customHeight="1">
      <c r="B630" s="667"/>
      <c r="C630" s="667"/>
      <c r="D630" s="667"/>
      <c r="E630" s="668"/>
      <c r="F630" s="667"/>
      <c r="G630" s="667"/>
      <c r="H630" s="667"/>
      <c r="I630" s="667"/>
      <c r="J630" s="667"/>
      <c r="K630" s="667"/>
      <c r="L630" s="667"/>
      <c r="M630" s="667"/>
      <c r="N630" s="667"/>
      <c r="O630" s="667"/>
      <c r="P630" s="667"/>
      <c r="Q630" s="667"/>
    </row>
    <row r="631" ht="15.75" customHeight="1">
      <c r="B631" s="667"/>
      <c r="C631" s="667"/>
      <c r="D631" s="667"/>
      <c r="E631" s="668"/>
      <c r="F631" s="667"/>
      <c r="G631" s="667"/>
      <c r="H631" s="667"/>
      <c r="I631" s="667"/>
      <c r="J631" s="667"/>
      <c r="K631" s="667"/>
      <c r="L631" s="667"/>
      <c r="M631" s="667"/>
      <c r="N631" s="667"/>
      <c r="O631" s="667"/>
      <c r="P631" s="667"/>
      <c r="Q631" s="667"/>
    </row>
    <row r="632" ht="15.75" customHeight="1">
      <c r="B632" s="667"/>
      <c r="C632" s="667"/>
      <c r="D632" s="667"/>
      <c r="E632" s="668"/>
      <c r="F632" s="667"/>
      <c r="G632" s="667"/>
      <c r="H632" s="667"/>
      <c r="I632" s="667"/>
      <c r="J632" s="667"/>
      <c r="K632" s="667"/>
      <c r="L632" s="667"/>
      <c r="M632" s="667"/>
      <c r="N632" s="667"/>
      <c r="O632" s="667"/>
      <c r="P632" s="667"/>
      <c r="Q632" s="667"/>
    </row>
    <row r="633" ht="15.75" customHeight="1">
      <c r="B633" s="667"/>
      <c r="C633" s="667"/>
      <c r="D633" s="667"/>
      <c r="E633" s="668"/>
      <c r="F633" s="667"/>
      <c r="G633" s="667"/>
      <c r="H633" s="667"/>
      <c r="I633" s="667"/>
      <c r="J633" s="667"/>
      <c r="K633" s="667"/>
      <c r="L633" s="667"/>
      <c r="M633" s="667"/>
      <c r="N633" s="667"/>
      <c r="O633" s="667"/>
      <c r="P633" s="667"/>
      <c r="Q633" s="667"/>
    </row>
    <row r="634" ht="15.75" customHeight="1">
      <c r="B634" s="667"/>
      <c r="C634" s="667"/>
      <c r="D634" s="667"/>
      <c r="E634" s="668"/>
      <c r="F634" s="667"/>
      <c r="G634" s="667"/>
      <c r="H634" s="667"/>
      <c r="I634" s="667"/>
      <c r="J634" s="667"/>
      <c r="K634" s="667"/>
      <c r="L634" s="667"/>
      <c r="M634" s="667"/>
      <c r="N634" s="667"/>
      <c r="O634" s="667"/>
      <c r="P634" s="667"/>
      <c r="Q634" s="667"/>
    </row>
    <row r="635" ht="15.75" customHeight="1">
      <c r="B635" s="667"/>
      <c r="C635" s="667"/>
      <c r="D635" s="667"/>
      <c r="E635" s="668"/>
      <c r="F635" s="667"/>
      <c r="G635" s="667"/>
      <c r="H635" s="667"/>
      <c r="I635" s="667"/>
      <c r="J635" s="667"/>
      <c r="K635" s="667"/>
      <c r="L635" s="667"/>
      <c r="M635" s="667"/>
      <c r="N635" s="667"/>
      <c r="O635" s="667"/>
      <c r="P635" s="667"/>
      <c r="Q635" s="667"/>
    </row>
    <row r="636" ht="15.75" customHeight="1">
      <c r="B636" s="667"/>
      <c r="C636" s="667"/>
      <c r="D636" s="667"/>
      <c r="E636" s="668"/>
      <c r="F636" s="667"/>
      <c r="G636" s="667"/>
      <c r="H636" s="667"/>
      <c r="I636" s="667"/>
      <c r="J636" s="667"/>
      <c r="K636" s="667"/>
      <c r="L636" s="667"/>
      <c r="M636" s="667"/>
      <c r="N636" s="667"/>
      <c r="O636" s="667"/>
      <c r="P636" s="667"/>
      <c r="Q636" s="667"/>
    </row>
    <row r="637" ht="15.75" customHeight="1">
      <c r="B637" s="667"/>
      <c r="C637" s="667"/>
      <c r="D637" s="667"/>
      <c r="E637" s="668"/>
      <c r="F637" s="667"/>
      <c r="G637" s="667"/>
      <c r="H637" s="667"/>
      <c r="I637" s="667"/>
      <c r="J637" s="667"/>
      <c r="K637" s="667"/>
      <c r="L637" s="667"/>
      <c r="M637" s="667"/>
      <c r="N637" s="667"/>
      <c r="O637" s="667"/>
      <c r="P637" s="667"/>
      <c r="Q637" s="667"/>
    </row>
    <row r="638" ht="15.75" customHeight="1">
      <c r="B638" s="667"/>
      <c r="C638" s="667"/>
      <c r="D638" s="667"/>
      <c r="E638" s="668"/>
      <c r="F638" s="667"/>
      <c r="G638" s="667"/>
      <c r="H638" s="667"/>
      <c r="I638" s="667"/>
      <c r="J638" s="667"/>
      <c r="K638" s="667"/>
      <c r="L638" s="667"/>
      <c r="M638" s="667"/>
      <c r="N638" s="667"/>
      <c r="O638" s="667"/>
      <c r="P638" s="667"/>
      <c r="Q638" s="667"/>
    </row>
    <row r="639" ht="15.75" customHeight="1">
      <c r="B639" s="667"/>
      <c r="C639" s="667"/>
      <c r="D639" s="667"/>
      <c r="E639" s="668"/>
      <c r="F639" s="667"/>
      <c r="G639" s="667"/>
      <c r="H639" s="667"/>
      <c r="I639" s="667"/>
      <c r="J639" s="667"/>
      <c r="K639" s="667"/>
      <c r="L639" s="667"/>
      <c r="M639" s="667"/>
      <c r="N639" s="667"/>
      <c r="O639" s="667"/>
      <c r="P639" s="667"/>
      <c r="Q639" s="667"/>
    </row>
    <row r="640" ht="15.75" customHeight="1">
      <c r="B640" s="667"/>
      <c r="C640" s="667"/>
      <c r="D640" s="667"/>
      <c r="E640" s="668"/>
      <c r="F640" s="667"/>
      <c r="G640" s="667"/>
      <c r="H640" s="667"/>
      <c r="I640" s="667"/>
      <c r="J640" s="667"/>
      <c r="K640" s="667"/>
      <c r="L640" s="667"/>
      <c r="M640" s="667"/>
      <c r="N640" s="667"/>
      <c r="O640" s="667"/>
      <c r="P640" s="667"/>
      <c r="Q640" s="667"/>
    </row>
    <row r="641" ht="15.75" customHeight="1">
      <c r="B641" s="667"/>
      <c r="C641" s="667"/>
      <c r="D641" s="667"/>
      <c r="E641" s="668"/>
      <c r="F641" s="667"/>
      <c r="G641" s="667"/>
      <c r="H641" s="667"/>
      <c r="I641" s="667"/>
      <c r="J641" s="667"/>
      <c r="K641" s="667"/>
      <c r="L641" s="667"/>
      <c r="M641" s="667"/>
      <c r="N641" s="667"/>
      <c r="O641" s="667"/>
      <c r="P641" s="667"/>
      <c r="Q641" s="667"/>
    </row>
    <row r="642" ht="15.75" customHeight="1">
      <c r="B642" s="667"/>
      <c r="C642" s="667"/>
      <c r="D642" s="667"/>
      <c r="E642" s="668"/>
      <c r="F642" s="667"/>
      <c r="G642" s="667"/>
      <c r="H642" s="667"/>
      <c r="I642" s="667"/>
      <c r="J642" s="667"/>
      <c r="K642" s="667"/>
      <c r="L642" s="667"/>
      <c r="M642" s="667"/>
      <c r="N642" s="667"/>
      <c r="O642" s="667"/>
      <c r="P642" s="667"/>
      <c r="Q642" s="667"/>
    </row>
    <row r="643" ht="15.75" customHeight="1">
      <c r="B643" s="667"/>
      <c r="C643" s="667"/>
      <c r="D643" s="667"/>
      <c r="E643" s="668"/>
      <c r="F643" s="667"/>
      <c r="G643" s="667"/>
      <c r="H643" s="667"/>
      <c r="I643" s="667"/>
      <c r="J643" s="667"/>
      <c r="K643" s="667"/>
      <c r="L643" s="667"/>
      <c r="M643" s="667"/>
      <c r="N643" s="667"/>
      <c r="O643" s="667"/>
      <c r="P643" s="667"/>
      <c r="Q643" s="667"/>
    </row>
    <row r="644" ht="15.75" customHeight="1">
      <c r="B644" s="667"/>
      <c r="C644" s="667"/>
      <c r="D644" s="667"/>
      <c r="E644" s="668"/>
      <c r="F644" s="667"/>
      <c r="G644" s="667"/>
      <c r="H644" s="667"/>
      <c r="I644" s="667"/>
      <c r="J644" s="667"/>
      <c r="K644" s="667"/>
      <c r="L644" s="667"/>
      <c r="M644" s="667"/>
      <c r="N644" s="667"/>
      <c r="O644" s="667"/>
      <c r="P644" s="667"/>
      <c r="Q644" s="667"/>
    </row>
    <row r="645" ht="15.75" customHeight="1">
      <c r="B645" s="667"/>
      <c r="C645" s="667"/>
      <c r="D645" s="667"/>
      <c r="E645" s="668"/>
      <c r="F645" s="667"/>
      <c r="G645" s="667"/>
      <c r="H645" s="667"/>
      <c r="I645" s="667"/>
      <c r="J645" s="667"/>
      <c r="K645" s="667"/>
      <c r="L645" s="667"/>
      <c r="M645" s="667"/>
      <c r="N645" s="667"/>
      <c r="O645" s="667"/>
      <c r="P645" s="667"/>
      <c r="Q645" s="667"/>
    </row>
    <row r="646" ht="15.75" customHeight="1">
      <c r="B646" s="667"/>
      <c r="C646" s="667"/>
      <c r="D646" s="667"/>
      <c r="E646" s="668"/>
      <c r="F646" s="667"/>
      <c r="G646" s="667"/>
      <c r="H646" s="667"/>
      <c r="I646" s="667"/>
      <c r="J646" s="667"/>
      <c r="K646" s="667"/>
      <c r="L646" s="667"/>
      <c r="M646" s="667"/>
      <c r="N646" s="667"/>
      <c r="O646" s="667"/>
      <c r="P646" s="667"/>
      <c r="Q646" s="667"/>
    </row>
    <row r="647" ht="15.75" customHeight="1">
      <c r="B647" s="667"/>
      <c r="C647" s="667"/>
      <c r="D647" s="667"/>
      <c r="E647" s="668"/>
      <c r="F647" s="667"/>
      <c r="G647" s="667"/>
      <c r="H647" s="667"/>
      <c r="I647" s="667"/>
      <c r="J647" s="667"/>
      <c r="K647" s="667"/>
      <c r="L647" s="667"/>
      <c r="M647" s="667"/>
      <c r="N647" s="667"/>
      <c r="O647" s="667"/>
      <c r="P647" s="667"/>
      <c r="Q647" s="667"/>
    </row>
    <row r="648" ht="15.75" customHeight="1">
      <c r="B648" s="667"/>
      <c r="C648" s="667"/>
      <c r="D648" s="667"/>
      <c r="E648" s="668"/>
      <c r="F648" s="667"/>
      <c r="G648" s="667"/>
      <c r="H648" s="667"/>
      <c r="I648" s="667"/>
      <c r="J648" s="667"/>
      <c r="K648" s="667"/>
      <c r="L648" s="667"/>
      <c r="M648" s="667"/>
      <c r="N648" s="667"/>
      <c r="O648" s="667"/>
      <c r="P648" s="667"/>
      <c r="Q648" s="667"/>
    </row>
    <row r="649" ht="15.75" customHeight="1">
      <c r="B649" s="667"/>
      <c r="C649" s="667"/>
      <c r="D649" s="667"/>
      <c r="E649" s="668"/>
      <c r="F649" s="667"/>
      <c r="G649" s="667"/>
      <c r="H649" s="667"/>
      <c r="I649" s="667"/>
      <c r="J649" s="667"/>
      <c r="K649" s="667"/>
      <c r="L649" s="667"/>
      <c r="M649" s="667"/>
      <c r="N649" s="667"/>
      <c r="O649" s="667"/>
      <c r="P649" s="667"/>
      <c r="Q649" s="667"/>
    </row>
    <row r="650" ht="15.75" customHeight="1">
      <c r="B650" s="667"/>
      <c r="C650" s="667"/>
      <c r="D650" s="667"/>
      <c r="E650" s="668"/>
      <c r="F650" s="667"/>
      <c r="G650" s="667"/>
      <c r="H650" s="667"/>
      <c r="I650" s="667"/>
      <c r="J650" s="667"/>
      <c r="K650" s="667"/>
      <c r="L650" s="667"/>
      <c r="M650" s="667"/>
      <c r="N650" s="667"/>
      <c r="O650" s="667"/>
      <c r="P650" s="667"/>
      <c r="Q650" s="667"/>
    </row>
    <row r="651" ht="15.75" customHeight="1">
      <c r="B651" s="667"/>
      <c r="C651" s="667"/>
      <c r="D651" s="667"/>
      <c r="E651" s="668"/>
      <c r="F651" s="667"/>
      <c r="G651" s="667"/>
      <c r="H651" s="667"/>
      <c r="I651" s="667"/>
      <c r="J651" s="667"/>
      <c r="K651" s="667"/>
      <c r="L651" s="667"/>
      <c r="M651" s="667"/>
      <c r="N651" s="667"/>
      <c r="O651" s="667"/>
      <c r="P651" s="667"/>
      <c r="Q651" s="667"/>
    </row>
    <row r="652" ht="15.75" customHeight="1">
      <c r="B652" s="667"/>
      <c r="C652" s="667"/>
      <c r="D652" s="667"/>
      <c r="E652" s="668"/>
      <c r="F652" s="667"/>
      <c r="G652" s="667"/>
      <c r="H652" s="667"/>
      <c r="I652" s="667"/>
      <c r="J652" s="667"/>
      <c r="K652" s="667"/>
      <c r="L652" s="667"/>
      <c r="M652" s="667"/>
      <c r="N652" s="667"/>
      <c r="O652" s="667"/>
      <c r="P652" s="667"/>
      <c r="Q652" s="667"/>
    </row>
    <row r="653" ht="15.75" customHeight="1">
      <c r="B653" s="667"/>
      <c r="C653" s="667"/>
      <c r="D653" s="667"/>
      <c r="E653" s="668"/>
      <c r="F653" s="667"/>
      <c r="G653" s="667"/>
      <c r="H653" s="667"/>
      <c r="I653" s="667"/>
      <c r="J653" s="667"/>
      <c r="K653" s="667"/>
      <c r="L653" s="667"/>
      <c r="M653" s="667"/>
      <c r="N653" s="667"/>
      <c r="O653" s="667"/>
      <c r="P653" s="667"/>
      <c r="Q653" s="667"/>
    </row>
    <row r="654" ht="15.75" customHeight="1">
      <c r="B654" s="667"/>
      <c r="C654" s="667"/>
      <c r="D654" s="667"/>
      <c r="E654" s="668"/>
      <c r="F654" s="667"/>
      <c r="G654" s="667"/>
      <c r="H654" s="667"/>
      <c r="I654" s="667"/>
      <c r="J654" s="667"/>
      <c r="K654" s="667"/>
      <c r="L654" s="667"/>
      <c r="M654" s="667"/>
      <c r="N654" s="667"/>
      <c r="O654" s="667"/>
      <c r="P654" s="667"/>
      <c r="Q654" s="667"/>
    </row>
    <row r="655" ht="15.75" customHeight="1">
      <c r="B655" s="667"/>
      <c r="C655" s="667"/>
      <c r="D655" s="667"/>
      <c r="E655" s="668"/>
      <c r="F655" s="667"/>
      <c r="G655" s="667"/>
      <c r="H655" s="667"/>
      <c r="I655" s="667"/>
      <c r="J655" s="667"/>
      <c r="K655" s="667"/>
      <c r="L655" s="667"/>
      <c r="M655" s="667"/>
      <c r="N655" s="667"/>
      <c r="O655" s="667"/>
      <c r="P655" s="667"/>
      <c r="Q655" s="667"/>
    </row>
    <row r="656" ht="15.75" customHeight="1">
      <c r="B656" s="667"/>
      <c r="C656" s="667"/>
      <c r="D656" s="667"/>
      <c r="E656" s="668"/>
      <c r="F656" s="667"/>
      <c r="G656" s="667"/>
      <c r="H656" s="667"/>
      <c r="I656" s="667"/>
      <c r="J656" s="667"/>
      <c r="K656" s="667"/>
      <c r="L656" s="667"/>
      <c r="M656" s="667"/>
      <c r="N656" s="667"/>
      <c r="O656" s="667"/>
      <c r="P656" s="667"/>
      <c r="Q656" s="667"/>
    </row>
    <row r="657" ht="15.75" customHeight="1">
      <c r="B657" s="667"/>
      <c r="C657" s="667"/>
      <c r="D657" s="667"/>
      <c r="E657" s="668"/>
      <c r="F657" s="667"/>
      <c r="G657" s="667"/>
      <c r="H657" s="667"/>
      <c r="I657" s="667"/>
      <c r="J657" s="667"/>
      <c r="K657" s="667"/>
      <c r="L657" s="667"/>
      <c r="M657" s="667"/>
      <c r="N657" s="667"/>
      <c r="O657" s="667"/>
      <c r="P657" s="667"/>
      <c r="Q657" s="667"/>
    </row>
    <row r="658" ht="15.75" customHeight="1">
      <c r="B658" s="667"/>
      <c r="C658" s="667"/>
      <c r="D658" s="667"/>
      <c r="E658" s="668"/>
      <c r="F658" s="667"/>
      <c r="G658" s="667"/>
      <c r="H658" s="667"/>
      <c r="I658" s="667"/>
      <c r="J658" s="667"/>
      <c r="K658" s="667"/>
      <c r="L658" s="667"/>
      <c r="M658" s="667"/>
      <c r="N658" s="667"/>
      <c r="O658" s="667"/>
      <c r="P658" s="667"/>
      <c r="Q658" s="667"/>
    </row>
    <row r="659" ht="15.75" customHeight="1">
      <c r="B659" s="667"/>
      <c r="C659" s="667"/>
      <c r="D659" s="667"/>
      <c r="E659" s="668"/>
      <c r="F659" s="667"/>
      <c r="G659" s="667"/>
      <c r="H659" s="667"/>
      <c r="I659" s="667"/>
      <c r="J659" s="667"/>
      <c r="K659" s="667"/>
      <c r="L659" s="667"/>
      <c r="M659" s="667"/>
      <c r="N659" s="667"/>
      <c r="O659" s="667"/>
      <c r="P659" s="667"/>
      <c r="Q659" s="667"/>
    </row>
    <row r="660" ht="15.75" customHeight="1">
      <c r="B660" s="667"/>
      <c r="C660" s="667"/>
      <c r="D660" s="667"/>
      <c r="E660" s="668"/>
      <c r="F660" s="667"/>
      <c r="G660" s="667"/>
      <c r="H660" s="667"/>
      <c r="I660" s="667"/>
      <c r="J660" s="667"/>
      <c r="K660" s="667"/>
      <c r="L660" s="667"/>
      <c r="M660" s="667"/>
      <c r="N660" s="667"/>
      <c r="O660" s="667"/>
      <c r="P660" s="667"/>
      <c r="Q660" s="667"/>
    </row>
    <row r="661" ht="15.75" customHeight="1">
      <c r="B661" s="667"/>
      <c r="C661" s="667"/>
      <c r="D661" s="667"/>
      <c r="E661" s="668"/>
      <c r="F661" s="667"/>
      <c r="G661" s="667"/>
      <c r="H661" s="667"/>
      <c r="I661" s="667"/>
      <c r="J661" s="667"/>
      <c r="K661" s="667"/>
      <c r="L661" s="667"/>
      <c r="M661" s="667"/>
      <c r="N661" s="667"/>
      <c r="O661" s="667"/>
      <c r="P661" s="667"/>
      <c r="Q661" s="667"/>
    </row>
    <row r="662" ht="15.75" customHeight="1">
      <c r="B662" s="667"/>
      <c r="C662" s="667"/>
      <c r="D662" s="667"/>
      <c r="E662" s="668"/>
      <c r="F662" s="667"/>
      <c r="G662" s="667"/>
      <c r="H662" s="667"/>
      <c r="I662" s="667"/>
      <c r="J662" s="667"/>
      <c r="K662" s="667"/>
      <c r="L662" s="667"/>
      <c r="M662" s="667"/>
      <c r="N662" s="667"/>
      <c r="O662" s="667"/>
      <c r="P662" s="667"/>
      <c r="Q662" s="667"/>
    </row>
    <row r="663" ht="15.75" customHeight="1">
      <c r="B663" s="667"/>
      <c r="C663" s="667"/>
      <c r="D663" s="667"/>
      <c r="E663" s="668"/>
      <c r="F663" s="667"/>
      <c r="G663" s="667"/>
      <c r="H663" s="667"/>
      <c r="I663" s="667"/>
      <c r="J663" s="667"/>
      <c r="K663" s="667"/>
      <c r="L663" s="667"/>
      <c r="M663" s="667"/>
      <c r="N663" s="667"/>
      <c r="O663" s="667"/>
      <c r="P663" s="667"/>
      <c r="Q663" s="667"/>
    </row>
    <row r="664" ht="15.75" customHeight="1">
      <c r="B664" s="667"/>
      <c r="C664" s="667"/>
      <c r="D664" s="667"/>
      <c r="E664" s="668"/>
      <c r="F664" s="667"/>
      <c r="G664" s="667"/>
      <c r="H664" s="667"/>
      <c r="I664" s="667"/>
      <c r="J664" s="667"/>
      <c r="K664" s="667"/>
      <c r="L664" s="667"/>
      <c r="M664" s="667"/>
      <c r="N664" s="667"/>
      <c r="O664" s="667"/>
      <c r="P664" s="667"/>
      <c r="Q664" s="667"/>
    </row>
    <row r="665" ht="15.75" customHeight="1">
      <c r="B665" s="667"/>
      <c r="C665" s="667"/>
      <c r="D665" s="667"/>
      <c r="E665" s="668"/>
      <c r="F665" s="667"/>
      <c r="G665" s="667"/>
      <c r="H665" s="667"/>
      <c r="I665" s="667"/>
      <c r="J665" s="667"/>
      <c r="K665" s="667"/>
      <c r="L665" s="667"/>
      <c r="M665" s="667"/>
      <c r="N665" s="667"/>
      <c r="O665" s="667"/>
      <c r="P665" s="667"/>
      <c r="Q665" s="667"/>
    </row>
    <row r="666" ht="15.75" customHeight="1">
      <c r="B666" s="667"/>
      <c r="C666" s="667"/>
      <c r="D666" s="667"/>
      <c r="E666" s="668"/>
      <c r="F666" s="667"/>
      <c r="G666" s="667"/>
      <c r="H666" s="667"/>
      <c r="I666" s="667"/>
      <c r="J666" s="667"/>
      <c r="K666" s="667"/>
      <c r="L666" s="667"/>
      <c r="M666" s="667"/>
      <c r="N666" s="667"/>
      <c r="O666" s="667"/>
      <c r="P666" s="667"/>
      <c r="Q666" s="667"/>
    </row>
    <row r="667" ht="15.75" customHeight="1">
      <c r="B667" s="667"/>
      <c r="C667" s="667"/>
      <c r="D667" s="667"/>
      <c r="E667" s="668"/>
      <c r="F667" s="667"/>
      <c r="G667" s="667"/>
      <c r="H667" s="667"/>
      <c r="I667" s="667"/>
      <c r="J667" s="667"/>
      <c r="K667" s="667"/>
      <c r="L667" s="667"/>
      <c r="M667" s="667"/>
      <c r="N667" s="667"/>
      <c r="O667" s="667"/>
      <c r="P667" s="667"/>
      <c r="Q667" s="667"/>
    </row>
    <row r="668" ht="15.75" customHeight="1">
      <c r="B668" s="667"/>
      <c r="C668" s="667"/>
      <c r="D668" s="667"/>
      <c r="E668" s="668"/>
      <c r="F668" s="667"/>
      <c r="G668" s="667"/>
      <c r="H668" s="667"/>
      <c r="I668" s="667"/>
      <c r="J668" s="667"/>
      <c r="K668" s="667"/>
      <c r="L668" s="667"/>
      <c r="M668" s="667"/>
      <c r="N668" s="667"/>
      <c r="O668" s="667"/>
      <c r="P668" s="667"/>
      <c r="Q668" s="667"/>
    </row>
    <row r="669" ht="15.75" customHeight="1">
      <c r="B669" s="667"/>
      <c r="C669" s="667"/>
      <c r="D669" s="667"/>
      <c r="E669" s="668"/>
      <c r="F669" s="667"/>
      <c r="G669" s="667"/>
      <c r="H669" s="667"/>
      <c r="I669" s="667"/>
      <c r="J669" s="667"/>
      <c r="K669" s="667"/>
      <c r="L669" s="667"/>
      <c r="M669" s="667"/>
      <c r="N669" s="667"/>
      <c r="O669" s="667"/>
      <c r="P669" s="667"/>
      <c r="Q669" s="667"/>
    </row>
    <row r="670" ht="15.75" customHeight="1">
      <c r="B670" s="667"/>
      <c r="C670" s="667"/>
      <c r="D670" s="667"/>
      <c r="E670" s="668"/>
      <c r="F670" s="667"/>
      <c r="G670" s="667"/>
      <c r="H670" s="667"/>
      <c r="I670" s="667"/>
      <c r="J670" s="667"/>
      <c r="K670" s="667"/>
      <c r="L670" s="667"/>
      <c r="M670" s="667"/>
      <c r="N670" s="667"/>
      <c r="O670" s="667"/>
      <c r="P670" s="667"/>
      <c r="Q670" s="667"/>
    </row>
    <row r="671" ht="15.75" customHeight="1">
      <c r="B671" s="667"/>
      <c r="C671" s="667"/>
      <c r="D671" s="667"/>
      <c r="E671" s="668"/>
      <c r="F671" s="667"/>
      <c r="G671" s="667"/>
      <c r="H671" s="667"/>
      <c r="I671" s="667"/>
      <c r="J671" s="667"/>
      <c r="K671" s="667"/>
      <c r="L671" s="667"/>
      <c r="M671" s="667"/>
      <c r="N671" s="667"/>
      <c r="O671" s="667"/>
      <c r="P671" s="667"/>
      <c r="Q671" s="667"/>
    </row>
    <row r="672" ht="15.75" customHeight="1">
      <c r="B672" s="667"/>
      <c r="C672" s="667"/>
      <c r="D672" s="667"/>
      <c r="E672" s="668"/>
      <c r="F672" s="667"/>
      <c r="G672" s="667"/>
      <c r="H672" s="667"/>
      <c r="I672" s="667"/>
      <c r="J672" s="667"/>
      <c r="K672" s="667"/>
      <c r="L672" s="667"/>
      <c r="M672" s="667"/>
      <c r="N672" s="667"/>
      <c r="O672" s="667"/>
      <c r="P672" s="667"/>
      <c r="Q672" s="667"/>
    </row>
    <row r="673" ht="15.75" customHeight="1">
      <c r="B673" s="667"/>
      <c r="C673" s="667"/>
      <c r="D673" s="667"/>
      <c r="E673" s="668"/>
      <c r="F673" s="667"/>
      <c r="G673" s="667"/>
      <c r="H673" s="667"/>
      <c r="I673" s="667"/>
      <c r="J673" s="667"/>
      <c r="K673" s="667"/>
      <c r="L673" s="667"/>
      <c r="M673" s="667"/>
      <c r="N673" s="667"/>
      <c r="O673" s="667"/>
      <c r="P673" s="667"/>
      <c r="Q673" s="667"/>
    </row>
    <row r="674" ht="15.75" customHeight="1">
      <c r="B674" s="667"/>
      <c r="C674" s="667"/>
      <c r="D674" s="667"/>
      <c r="E674" s="668"/>
      <c r="F674" s="667"/>
      <c r="G674" s="667"/>
      <c r="H674" s="667"/>
      <c r="I674" s="667"/>
      <c r="J674" s="667"/>
      <c r="K674" s="667"/>
      <c r="L674" s="667"/>
      <c r="M674" s="667"/>
      <c r="N674" s="667"/>
      <c r="O674" s="667"/>
      <c r="P674" s="667"/>
      <c r="Q674" s="667"/>
    </row>
    <row r="675" ht="15.75" customHeight="1">
      <c r="B675" s="667"/>
      <c r="C675" s="667"/>
      <c r="D675" s="667"/>
      <c r="E675" s="668"/>
      <c r="F675" s="667"/>
      <c r="G675" s="667"/>
      <c r="H675" s="667"/>
      <c r="I675" s="667"/>
      <c r="J675" s="667"/>
      <c r="K675" s="667"/>
      <c r="L675" s="667"/>
      <c r="M675" s="667"/>
      <c r="N675" s="667"/>
      <c r="O675" s="667"/>
      <c r="P675" s="667"/>
      <c r="Q675" s="667"/>
    </row>
    <row r="676" ht="15.75" customHeight="1">
      <c r="B676" s="667"/>
      <c r="C676" s="667"/>
      <c r="D676" s="667"/>
      <c r="E676" s="668"/>
      <c r="F676" s="667"/>
      <c r="G676" s="667"/>
      <c r="H676" s="667"/>
      <c r="I676" s="667"/>
      <c r="J676" s="667"/>
      <c r="K676" s="667"/>
      <c r="L676" s="667"/>
      <c r="M676" s="667"/>
      <c r="N676" s="667"/>
      <c r="O676" s="667"/>
      <c r="P676" s="667"/>
      <c r="Q676" s="667"/>
    </row>
    <row r="677" ht="15.75" customHeight="1">
      <c r="B677" s="667"/>
      <c r="C677" s="667"/>
      <c r="D677" s="667"/>
      <c r="E677" s="668"/>
      <c r="F677" s="667"/>
      <c r="G677" s="667"/>
      <c r="H677" s="667"/>
      <c r="I677" s="667"/>
      <c r="J677" s="667"/>
      <c r="K677" s="667"/>
      <c r="L677" s="667"/>
      <c r="M677" s="667"/>
      <c r="N677" s="667"/>
      <c r="O677" s="667"/>
      <c r="P677" s="667"/>
      <c r="Q677" s="667"/>
    </row>
    <row r="678" ht="15.75" customHeight="1">
      <c r="B678" s="667"/>
      <c r="C678" s="667"/>
      <c r="D678" s="667"/>
      <c r="E678" s="668"/>
      <c r="F678" s="667"/>
      <c r="G678" s="667"/>
      <c r="H678" s="667"/>
      <c r="I678" s="667"/>
      <c r="J678" s="667"/>
      <c r="K678" s="667"/>
      <c r="L678" s="667"/>
      <c r="M678" s="667"/>
      <c r="N678" s="667"/>
      <c r="O678" s="667"/>
      <c r="P678" s="667"/>
      <c r="Q678" s="667"/>
    </row>
    <row r="679" ht="15.75" customHeight="1">
      <c r="B679" s="667"/>
      <c r="C679" s="667"/>
      <c r="D679" s="667"/>
      <c r="E679" s="668"/>
      <c r="F679" s="667"/>
      <c r="G679" s="667"/>
      <c r="H679" s="667"/>
      <c r="I679" s="667"/>
      <c r="J679" s="667"/>
      <c r="K679" s="667"/>
      <c r="L679" s="667"/>
      <c r="M679" s="667"/>
      <c r="N679" s="667"/>
      <c r="O679" s="667"/>
      <c r="P679" s="667"/>
      <c r="Q679" s="667"/>
    </row>
    <row r="680" ht="15.75" customHeight="1">
      <c r="B680" s="667"/>
      <c r="C680" s="667"/>
      <c r="D680" s="667"/>
      <c r="E680" s="668"/>
      <c r="F680" s="667"/>
      <c r="G680" s="667"/>
      <c r="H680" s="667"/>
      <c r="I680" s="667"/>
      <c r="J680" s="667"/>
      <c r="K680" s="667"/>
      <c r="L680" s="667"/>
      <c r="M680" s="667"/>
      <c r="N680" s="667"/>
      <c r="O680" s="667"/>
      <c r="P680" s="667"/>
      <c r="Q680" s="667"/>
    </row>
    <row r="681" ht="15.75" customHeight="1">
      <c r="B681" s="667"/>
      <c r="C681" s="667"/>
      <c r="D681" s="667"/>
      <c r="E681" s="668"/>
      <c r="F681" s="667"/>
      <c r="G681" s="667"/>
      <c r="H681" s="667"/>
      <c r="I681" s="667"/>
      <c r="J681" s="667"/>
      <c r="K681" s="667"/>
      <c r="L681" s="667"/>
      <c r="M681" s="667"/>
      <c r="N681" s="667"/>
      <c r="O681" s="667"/>
      <c r="P681" s="667"/>
      <c r="Q681" s="667"/>
    </row>
    <row r="682" ht="15.75" customHeight="1">
      <c r="B682" s="667"/>
      <c r="C682" s="667"/>
      <c r="D682" s="667"/>
      <c r="E682" s="668"/>
      <c r="F682" s="667"/>
      <c r="G682" s="667"/>
      <c r="H682" s="667"/>
      <c r="I682" s="667"/>
      <c r="J682" s="667"/>
      <c r="K682" s="667"/>
      <c r="L682" s="667"/>
      <c r="M682" s="667"/>
      <c r="N682" s="667"/>
      <c r="O682" s="667"/>
      <c r="P682" s="667"/>
      <c r="Q682" s="667"/>
    </row>
    <row r="683" ht="15.75" customHeight="1">
      <c r="B683" s="667"/>
      <c r="C683" s="667"/>
      <c r="D683" s="667"/>
      <c r="E683" s="668"/>
      <c r="F683" s="667"/>
      <c r="G683" s="667"/>
      <c r="H683" s="667"/>
      <c r="I683" s="667"/>
      <c r="J683" s="667"/>
      <c r="K683" s="667"/>
      <c r="L683" s="667"/>
      <c r="M683" s="667"/>
      <c r="N683" s="667"/>
      <c r="O683" s="667"/>
      <c r="P683" s="667"/>
      <c r="Q683" s="667"/>
    </row>
    <row r="684" ht="15.75" customHeight="1">
      <c r="B684" s="667"/>
      <c r="C684" s="667"/>
      <c r="D684" s="667"/>
      <c r="E684" s="668"/>
      <c r="F684" s="667"/>
      <c r="G684" s="667"/>
      <c r="H684" s="667"/>
      <c r="I684" s="667"/>
      <c r="J684" s="667"/>
      <c r="K684" s="667"/>
      <c r="L684" s="667"/>
      <c r="M684" s="667"/>
      <c r="N684" s="667"/>
      <c r="O684" s="667"/>
      <c r="P684" s="667"/>
      <c r="Q684" s="667"/>
    </row>
    <row r="685" ht="15.75" customHeight="1">
      <c r="B685" s="667"/>
      <c r="C685" s="667"/>
      <c r="D685" s="667"/>
      <c r="E685" s="668"/>
      <c r="F685" s="667"/>
      <c r="G685" s="667"/>
      <c r="H685" s="667"/>
      <c r="I685" s="667"/>
      <c r="J685" s="667"/>
      <c r="K685" s="667"/>
      <c r="L685" s="667"/>
      <c r="M685" s="667"/>
      <c r="N685" s="667"/>
      <c r="O685" s="667"/>
      <c r="P685" s="667"/>
      <c r="Q685" s="667"/>
    </row>
    <row r="686" ht="15.75" customHeight="1">
      <c r="B686" s="667"/>
      <c r="C686" s="667"/>
      <c r="D686" s="667"/>
      <c r="E686" s="668"/>
      <c r="F686" s="667"/>
      <c r="G686" s="667"/>
      <c r="H686" s="667"/>
      <c r="I686" s="667"/>
      <c r="J686" s="667"/>
      <c r="K686" s="667"/>
      <c r="L686" s="667"/>
      <c r="M686" s="667"/>
      <c r="N686" s="667"/>
      <c r="O686" s="667"/>
      <c r="P686" s="667"/>
      <c r="Q686" s="667"/>
    </row>
    <row r="687" ht="15.75" customHeight="1">
      <c r="B687" s="667"/>
      <c r="C687" s="667"/>
      <c r="D687" s="667"/>
      <c r="E687" s="668"/>
      <c r="F687" s="667"/>
      <c r="G687" s="667"/>
      <c r="H687" s="667"/>
      <c r="I687" s="667"/>
      <c r="J687" s="667"/>
      <c r="K687" s="667"/>
      <c r="L687" s="667"/>
      <c r="M687" s="667"/>
      <c r="N687" s="667"/>
      <c r="O687" s="667"/>
      <c r="P687" s="667"/>
      <c r="Q687" s="667"/>
    </row>
    <row r="688" ht="15.75" customHeight="1">
      <c r="B688" s="667"/>
      <c r="C688" s="667"/>
      <c r="D688" s="667"/>
      <c r="E688" s="668"/>
      <c r="F688" s="667"/>
      <c r="G688" s="667"/>
      <c r="H688" s="667"/>
      <c r="I688" s="667"/>
      <c r="J688" s="667"/>
      <c r="K688" s="667"/>
      <c r="L688" s="667"/>
      <c r="M688" s="667"/>
      <c r="N688" s="667"/>
      <c r="O688" s="667"/>
      <c r="P688" s="667"/>
      <c r="Q688" s="667"/>
    </row>
    <row r="689" ht="15.75" customHeight="1">
      <c r="B689" s="667"/>
      <c r="C689" s="667"/>
      <c r="D689" s="667"/>
      <c r="E689" s="668"/>
      <c r="F689" s="667"/>
      <c r="G689" s="667"/>
      <c r="H689" s="667"/>
      <c r="I689" s="667"/>
      <c r="J689" s="667"/>
      <c r="K689" s="667"/>
      <c r="L689" s="667"/>
      <c r="M689" s="667"/>
      <c r="N689" s="667"/>
      <c r="O689" s="667"/>
      <c r="P689" s="667"/>
      <c r="Q689" s="667"/>
    </row>
    <row r="690" ht="15.75" customHeight="1">
      <c r="B690" s="667"/>
      <c r="C690" s="667"/>
      <c r="D690" s="667"/>
      <c r="E690" s="668"/>
      <c r="F690" s="667"/>
      <c r="G690" s="667"/>
      <c r="H690" s="667"/>
      <c r="I690" s="667"/>
      <c r="J690" s="667"/>
      <c r="K690" s="667"/>
      <c r="L690" s="667"/>
      <c r="M690" s="667"/>
      <c r="N690" s="667"/>
      <c r="O690" s="667"/>
      <c r="P690" s="667"/>
      <c r="Q690" s="667"/>
    </row>
    <row r="691" ht="15.75" customHeight="1">
      <c r="B691" s="667"/>
      <c r="C691" s="667"/>
      <c r="D691" s="667"/>
      <c r="E691" s="668"/>
      <c r="F691" s="667"/>
      <c r="G691" s="667"/>
      <c r="H691" s="667"/>
      <c r="I691" s="667"/>
      <c r="J691" s="667"/>
      <c r="K691" s="667"/>
      <c r="L691" s="667"/>
      <c r="M691" s="667"/>
      <c r="N691" s="667"/>
      <c r="O691" s="667"/>
      <c r="P691" s="667"/>
      <c r="Q691" s="667"/>
    </row>
    <row r="692" ht="15.75" customHeight="1">
      <c r="B692" s="667"/>
      <c r="C692" s="667"/>
      <c r="D692" s="667"/>
      <c r="E692" s="668"/>
      <c r="F692" s="667"/>
      <c r="G692" s="667"/>
      <c r="H692" s="667"/>
      <c r="I692" s="667"/>
      <c r="J692" s="667"/>
      <c r="K692" s="667"/>
      <c r="L692" s="667"/>
      <c r="M692" s="667"/>
      <c r="N692" s="667"/>
      <c r="O692" s="667"/>
      <c r="P692" s="667"/>
      <c r="Q692" s="667"/>
    </row>
    <row r="693" ht="15.75" customHeight="1">
      <c r="B693" s="667"/>
      <c r="C693" s="667"/>
      <c r="D693" s="667"/>
      <c r="E693" s="668"/>
      <c r="F693" s="667"/>
      <c r="G693" s="667"/>
      <c r="H693" s="667"/>
      <c r="I693" s="667"/>
      <c r="J693" s="667"/>
      <c r="K693" s="667"/>
      <c r="L693" s="667"/>
      <c r="M693" s="667"/>
      <c r="N693" s="667"/>
      <c r="O693" s="667"/>
      <c r="P693" s="667"/>
      <c r="Q693" s="667"/>
    </row>
    <row r="694" ht="15.75" customHeight="1">
      <c r="B694" s="667"/>
      <c r="C694" s="667"/>
      <c r="D694" s="667"/>
      <c r="E694" s="668"/>
      <c r="F694" s="667"/>
      <c r="G694" s="667"/>
      <c r="H694" s="667"/>
      <c r="I694" s="667"/>
      <c r="J694" s="667"/>
      <c r="K694" s="667"/>
      <c r="L694" s="667"/>
      <c r="M694" s="667"/>
      <c r="N694" s="667"/>
      <c r="O694" s="667"/>
      <c r="P694" s="667"/>
      <c r="Q694" s="667"/>
    </row>
    <row r="695" ht="15.75" customHeight="1">
      <c r="B695" s="667"/>
      <c r="C695" s="667"/>
      <c r="D695" s="667"/>
      <c r="E695" s="668"/>
      <c r="F695" s="667"/>
      <c r="G695" s="667"/>
      <c r="H695" s="667"/>
      <c r="I695" s="667"/>
      <c r="J695" s="667"/>
      <c r="K695" s="667"/>
      <c r="L695" s="667"/>
      <c r="M695" s="667"/>
      <c r="N695" s="667"/>
      <c r="O695" s="667"/>
      <c r="P695" s="667"/>
      <c r="Q695" s="667"/>
    </row>
    <row r="696" ht="15.75" customHeight="1">
      <c r="B696" s="667"/>
      <c r="C696" s="667"/>
      <c r="D696" s="667"/>
      <c r="E696" s="668"/>
      <c r="F696" s="667"/>
      <c r="G696" s="667"/>
      <c r="H696" s="667"/>
      <c r="I696" s="667"/>
      <c r="J696" s="667"/>
      <c r="K696" s="667"/>
      <c r="L696" s="667"/>
      <c r="M696" s="667"/>
      <c r="N696" s="667"/>
      <c r="O696" s="667"/>
      <c r="P696" s="667"/>
      <c r="Q696" s="667"/>
    </row>
    <row r="697" ht="15.75" customHeight="1">
      <c r="B697" s="667"/>
      <c r="C697" s="667"/>
      <c r="D697" s="667"/>
      <c r="E697" s="668"/>
      <c r="F697" s="667"/>
      <c r="G697" s="667"/>
      <c r="H697" s="667"/>
      <c r="I697" s="667"/>
      <c r="J697" s="667"/>
      <c r="K697" s="667"/>
      <c r="L697" s="667"/>
      <c r="M697" s="667"/>
      <c r="N697" s="667"/>
      <c r="O697" s="667"/>
      <c r="P697" s="667"/>
      <c r="Q697" s="667"/>
    </row>
    <row r="698" ht="15.75" customHeight="1">
      <c r="B698" s="667"/>
      <c r="C698" s="667"/>
      <c r="D698" s="667"/>
      <c r="E698" s="668"/>
      <c r="F698" s="667"/>
      <c r="G698" s="667"/>
      <c r="H698" s="667"/>
      <c r="I698" s="667"/>
      <c r="J698" s="667"/>
      <c r="K698" s="667"/>
      <c r="L698" s="667"/>
      <c r="M698" s="667"/>
      <c r="N698" s="667"/>
      <c r="O698" s="667"/>
      <c r="P698" s="667"/>
      <c r="Q698" s="667"/>
    </row>
    <row r="699" ht="15.75" customHeight="1">
      <c r="B699" s="667"/>
      <c r="C699" s="667"/>
      <c r="D699" s="667"/>
      <c r="E699" s="668"/>
      <c r="F699" s="667"/>
      <c r="G699" s="667"/>
      <c r="H699" s="667"/>
      <c r="I699" s="667"/>
      <c r="J699" s="667"/>
      <c r="K699" s="667"/>
      <c r="L699" s="667"/>
      <c r="M699" s="667"/>
      <c r="N699" s="667"/>
      <c r="O699" s="667"/>
      <c r="P699" s="667"/>
      <c r="Q699" s="667"/>
    </row>
    <row r="700" ht="15.75" customHeight="1">
      <c r="B700" s="667"/>
      <c r="C700" s="667"/>
      <c r="D700" s="667"/>
      <c r="E700" s="668"/>
      <c r="F700" s="667"/>
      <c r="G700" s="667"/>
      <c r="H700" s="667"/>
      <c r="I700" s="667"/>
      <c r="J700" s="667"/>
      <c r="K700" s="667"/>
      <c r="L700" s="667"/>
      <c r="M700" s="667"/>
      <c r="N700" s="667"/>
      <c r="O700" s="667"/>
      <c r="P700" s="667"/>
      <c r="Q700" s="667"/>
    </row>
    <row r="701" ht="15.75" customHeight="1">
      <c r="B701" s="667"/>
      <c r="C701" s="667"/>
      <c r="D701" s="667"/>
      <c r="E701" s="668"/>
      <c r="F701" s="667"/>
      <c r="G701" s="667"/>
      <c r="H701" s="667"/>
      <c r="I701" s="667"/>
      <c r="J701" s="667"/>
      <c r="K701" s="667"/>
      <c r="L701" s="667"/>
      <c r="M701" s="667"/>
      <c r="N701" s="667"/>
      <c r="O701" s="667"/>
      <c r="P701" s="667"/>
      <c r="Q701" s="667"/>
    </row>
    <row r="702" ht="15.75" customHeight="1">
      <c r="B702" s="667"/>
      <c r="C702" s="667"/>
      <c r="D702" s="667"/>
      <c r="E702" s="668"/>
      <c r="F702" s="667"/>
      <c r="G702" s="667"/>
      <c r="H702" s="667"/>
      <c r="I702" s="667"/>
      <c r="J702" s="667"/>
      <c r="K702" s="667"/>
      <c r="L702" s="667"/>
      <c r="M702" s="667"/>
      <c r="N702" s="667"/>
      <c r="O702" s="667"/>
      <c r="P702" s="667"/>
      <c r="Q702" s="667"/>
    </row>
    <row r="703" ht="15.75" customHeight="1">
      <c r="B703" s="667"/>
      <c r="C703" s="667"/>
      <c r="D703" s="667"/>
      <c r="E703" s="668"/>
      <c r="F703" s="667"/>
      <c r="G703" s="667"/>
      <c r="H703" s="667"/>
      <c r="I703" s="667"/>
      <c r="J703" s="667"/>
      <c r="K703" s="667"/>
      <c r="L703" s="667"/>
      <c r="M703" s="667"/>
      <c r="N703" s="667"/>
      <c r="O703" s="667"/>
      <c r="P703" s="667"/>
      <c r="Q703" s="667"/>
    </row>
    <row r="704" ht="15.75" customHeight="1">
      <c r="B704" s="667"/>
      <c r="C704" s="667"/>
      <c r="D704" s="667"/>
      <c r="E704" s="668"/>
      <c r="F704" s="667"/>
      <c r="G704" s="667"/>
      <c r="H704" s="667"/>
      <c r="I704" s="667"/>
      <c r="J704" s="667"/>
      <c r="K704" s="667"/>
      <c r="L704" s="667"/>
      <c r="M704" s="667"/>
      <c r="N704" s="667"/>
      <c r="O704" s="667"/>
      <c r="P704" s="667"/>
      <c r="Q704" s="667"/>
    </row>
    <row r="705" ht="15.75" customHeight="1">
      <c r="B705" s="667"/>
      <c r="C705" s="667"/>
      <c r="D705" s="667"/>
      <c r="E705" s="668"/>
      <c r="F705" s="667"/>
      <c r="G705" s="667"/>
      <c r="H705" s="667"/>
      <c r="I705" s="667"/>
      <c r="J705" s="667"/>
      <c r="K705" s="667"/>
      <c r="L705" s="667"/>
      <c r="M705" s="667"/>
      <c r="N705" s="667"/>
      <c r="O705" s="667"/>
      <c r="P705" s="667"/>
      <c r="Q705" s="667"/>
    </row>
    <row r="706" ht="15.75" customHeight="1">
      <c r="B706" s="667"/>
      <c r="C706" s="667"/>
      <c r="D706" s="667"/>
      <c r="E706" s="668"/>
      <c r="F706" s="667"/>
      <c r="G706" s="667"/>
      <c r="H706" s="667"/>
      <c r="I706" s="667"/>
      <c r="J706" s="667"/>
      <c r="K706" s="667"/>
      <c r="L706" s="667"/>
      <c r="M706" s="667"/>
      <c r="N706" s="667"/>
      <c r="O706" s="667"/>
      <c r="P706" s="667"/>
      <c r="Q706" s="667"/>
    </row>
    <row r="707" ht="15.75" customHeight="1">
      <c r="B707" s="667"/>
      <c r="C707" s="667"/>
      <c r="D707" s="667"/>
      <c r="E707" s="668"/>
      <c r="F707" s="667"/>
      <c r="G707" s="667"/>
      <c r="H707" s="667"/>
      <c r="I707" s="667"/>
      <c r="J707" s="667"/>
      <c r="K707" s="667"/>
      <c r="L707" s="667"/>
      <c r="M707" s="667"/>
      <c r="N707" s="667"/>
      <c r="O707" s="667"/>
      <c r="P707" s="667"/>
      <c r="Q707" s="667"/>
    </row>
    <row r="708" ht="15.75" customHeight="1">
      <c r="B708" s="667"/>
      <c r="C708" s="667"/>
      <c r="D708" s="667"/>
      <c r="E708" s="668"/>
      <c r="F708" s="667"/>
      <c r="G708" s="667"/>
      <c r="H708" s="667"/>
      <c r="I708" s="667"/>
      <c r="J708" s="667"/>
      <c r="K708" s="667"/>
      <c r="L708" s="667"/>
      <c r="M708" s="667"/>
      <c r="N708" s="667"/>
      <c r="O708" s="667"/>
      <c r="P708" s="667"/>
      <c r="Q708" s="667"/>
    </row>
    <row r="709" ht="15.75" customHeight="1">
      <c r="B709" s="667"/>
      <c r="C709" s="667"/>
      <c r="D709" s="667"/>
      <c r="E709" s="668"/>
      <c r="F709" s="667"/>
      <c r="G709" s="667"/>
      <c r="H709" s="667"/>
      <c r="I709" s="667"/>
      <c r="J709" s="667"/>
      <c r="K709" s="667"/>
      <c r="L709" s="667"/>
      <c r="M709" s="667"/>
      <c r="N709" s="667"/>
      <c r="O709" s="667"/>
      <c r="P709" s="667"/>
      <c r="Q709" s="667"/>
    </row>
    <row r="710" ht="15.75" customHeight="1">
      <c r="B710" s="667"/>
      <c r="C710" s="667"/>
      <c r="D710" s="667"/>
      <c r="E710" s="668"/>
      <c r="F710" s="667"/>
      <c r="G710" s="667"/>
      <c r="H710" s="667"/>
      <c r="I710" s="667"/>
      <c r="J710" s="667"/>
      <c r="K710" s="667"/>
      <c r="L710" s="667"/>
      <c r="M710" s="667"/>
      <c r="N710" s="667"/>
      <c r="O710" s="667"/>
      <c r="P710" s="667"/>
      <c r="Q710" s="667"/>
    </row>
    <row r="711" ht="15.75" customHeight="1">
      <c r="B711" s="667"/>
      <c r="C711" s="667"/>
      <c r="D711" s="667"/>
      <c r="E711" s="668"/>
      <c r="F711" s="667"/>
      <c r="G711" s="667"/>
      <c r="H711" s="667"/>
      <c r="I711" s="667"/>
      <c r="J711" s="667"/>
      <c r="K711" s="667"/>
      <c r="L711" s="667"/>
      <c r="M711" s="667"/>
      <c r="N711" s="667"/>
      <c r="O711" s="667"/>
      <c r="P711" s="667"/>
      <c r="Q711" s="667"/>
    </row>
    <row r="712" ht="15.75" customHeight="1">
      <c r="B712" s="667"/>
      <c r="C712" s="667"/>
      <c r="D712" s="667"/>
      <c r="E712" s="668"/>
      <c r="F712" s="667"/>
      <c r="G712" s="667"/>
      <c r="H712" s="667"/>
      <c r="I712" s="667"/>
      <c r="J712" s="667"/>
      <c r="K712" s="667"/>
      <c r="L712" s="667"/>
      <c r="M712" s="667"/>
      <c r="N712" s="667"/>
      <c r="O712" s="667"/>
      <c r="P712" s="667"/>
      <c r="Q712" s="667"/>
    </row>
    <row r="713" ht="15.75" customHeight="1">
      <c r="B713" s="667"/>
      <c r="C713" s="667"/>
      <c r="D713" s="667"/>
      <c r="E713" s="668"/>
      <c r="F713" s="667"/>
      <c r="G713" s="667"/>
      <c r="H713" s="667"/>
      <c r="I713" s="667"/>
      <c r="J713" s="667"/>
      <c r="K713" s="667"/>
      <c r="L713" s="667"/>
      <c r="M713" s="667"/>
      <c r="N713" s="667"/>
      <c r="O713" s="667"/>
      <c r="P713" s="667"/>
      <c r="Q713" s="667"/>
    </row>
    <row r="714" ht="15.75" customHeight="1">
      <c r="B714" s="667"/>
      <c r="C714" s="667"/>
      <c r="D714" s="667"/>
      <c r="E714" s="668"/>
      <c r="F714" s="667"/>
      <c r="G714" s="667"/>
      <c r="H714" s="667"/>
      <c r="I714" s="667"/>
      <c r="J714" s="667"/>
      <c r="K714" s="667"/>
      <c r="L714" s="667"/>
      <c r="M714" s="667"/>
      <c r="N714" s="667"/>
      <c r="O714" s="667"/>
      <c r="P714" s="667"/>
      <c r="Q714" s="667"/>
    </row>
    <row r="715" ht="15.75" customHeight="1">
      <c r="B715" s="667"/>
      <c r="C715" s="667"/>
      <c r="D715" s="667"/>
      <c r="E715" s="668"/>
      <c r="F715" s="667"/>
      <c r="G715" s="667"/>
      <c r="H715" s="667"/>
      <c r="I715" s="667"/>
      <c r="J715" s="667"/>
      <c r="K715" s="667"/>
      <c r="L715" s="667"/>
      <c r="M715" s="667"/>
      <c r="N715" s="667"/>
      <c r="O715" s="667"/>
      <c r="P715" s="667"/>
      <c r="Q715" s="667"/>
    </row>
    <row r="716" ht="15.75" customHeight="1">
      <c r="B716" s="667"/>
      <c r="C716" s="667"/>
      <c r="D716" s="667"/>
      <c r="E716" s="668"/>
      <c r="F716" s="667"/>
      <c r="G716" s="667"/>
      <c r="H716" s="667"/>
      <c r="I716" s="667"/>
      <c r="J716" s="667"/>
      <c r="K716" s="667"/>
      <c r="L716" s="667"/>
      <c r="M716" s="667"/>
      <c r="N716" s="667"/>
      <c r="O716" s="667"/>
      <c r="P716" s="667"/>
      <c r="Q716" s="667"/>
    </row>
    <row r="717" ht="15.75" customHeight="1">
      <c r="B717" s="667"/>
      <c r="C717" s="667"/>
      <c r="D717" s="667"/>
      <c r="E717" s="668"/>
      <c r="F717" s="667"/>
      <c r="G717" s="667"/>
      <c r="H717" s="667"/>
      <c r="I717" s="667"/>
      <c r="J717" s="667"/>
      <c r="K717" s="667"/>
      <c r="L717" s="667"/>
      <c r="M717" s="667"/>
      <c r="N717" s="667"/>
      <c r="O717" s="667"/>
      <c r="P717" s="667"/>
      <c r="Q717" s="667"/>
    </row>
    <row r="718" ht="15.75" customHeight="1">
      <c r="B718" s="667"/>
      <c r="C718" s="667"/>
      <c r="D718" s="667"/>
      <c r="E718" s="668"/>
      <c r="F718" s="667"/>
      <c r="G718" s="667"/>
      <c r="H718" s="667"/>
      <c r="I718" s="667"/>
      <c r="J718" s="667"/>
      <c r="K718" s="667"/>
      <c r="L718" s="667"/>
      <c r="M718" s="667"/>
      <c r="N718" s="667"/>
      <c r="O718" s="667"/>
      <c r="P718" s="667"/>
      <c r="Q718" s="667"/>
    </row>
    <row r="719" ht="15.75" customHeight="1">
      <c r="B719" s="667"/>
      <c r="C719" s="667"/>
      <c r="D719" s="667"/>
      <c r="E719" s="668"/>
      <c r="F719" s="667"/>
      <c r="G719" s="667"/>
      <c r="H719" s="667"/>
      <c r="I719" s="667"/>
      <c r="J719" s="667"/>
      <c r="K719" s="667"/>
      <c r="L719" s="667"/>
      <c r="M719" s="667"/>
      <c r="N719" s="667"/>
      <c r="O719" s="667"/>
      <c r="P719" s="667"/>
      <c r="Q719" s="667"/>
    </row>
    <row r="720" ht="15.75" customHeight="1">
      <c r="B720" s="667"/>
      <c r="C720" s="667"/>
      <c r="D720" s="667"/>
      <c r="E720" s="668"/>
      <c r="F720" s="667"/>
      <c r="G720" s="667"/>
      <c r="H720" s="667"/>
      <c r="I720" s="667"/>
      <c r="J720" s="667"/>
      <c r="K720" s="667"/>
      <c r="L720" s="667"/>
      <c r="M720" s="667"/>
      <c r="N720" s="667"/>
      <c r="O720" s="667"/>
      <c r="P720" s="667"/>
      <c r="Q720" s="667"/>
    </row>
    <row r="721" ht="15.75" customHeight="1">
      <c r="B721" s="667"/>
      <c r="C721" s="667"/>
      <c r="D721" s="667"/>
      <c r="E721" s="668"/>
      <c r="F721" s="667"/>
      <c r="G721" s="667"/>
      <c r="H721" s="667"/>
      <c r="I721" s="667"/>
      <c r="J721" s="667"/>
      <c r="K721" s="667"/>
      <c r="L721" s="667"/>
      <c r="M721" s="667"/>
      <c r="N721" s="667"/>
      <c r="O721" s="667"/>
      <c r="P721" s="667"/>
      <c r="Q721" s="667"/>
    </row>
    <row r="722" ht="15.75" customHeight="1">
      <c r="B722" s="667"/>
      <c r="C722" s="667"/>
      <c r="D722" s="667"/>
      <c r="E722" s="668"/>
      <c r="F722" s="667"/>
      <c r="G722" s="667"/>
      <c r="H722" s="667"/>
      <c r="I722" s="667"/>
      <c r="J722" s="667"/>
      <c r="K722" s="667"/>
      <c r="L722" s="667"/>
      <c r="M722" s="667"/>
      <c r="N722" s="667"/>
      <c r="O722" s="667"/>
      <c r="P722" s="667"/>
      <c r="Q722" s="667"/>
    </row>
    <row r="723" ht="15.75" customHeight="1">
      <c r="B723" s="667"/>
      <c r="C723" s="667"/>
      <c r="D723" s="667"/>
      <c r="E723" s="668"/>
      <c r="F723" s="667"/>
      <c r="G723" s="667"/>
      <c r="H723" s="667"/>
      <c r="I723" s="667"/>
      <c r="J723" s="667"/>
      <c r="K723" s="667"/>
      <c r="L723" s="667"/>
      <c r="M723" s="667"/>
      <c r="N723" s="667"/>
      <c r="O723" s="667"/>
      <c r="P723" s="667"/>
      <c r="Q723" s="667"/>
    </row>
    <row r="724" ht="15.75" customHeight="1">
      <c r="B724" s="667"/>
      <c r="C724" s="667"/>
      <c r="D724" s="667"/>
      <c r="E724" s="668"/>
      <c r="F724" s="667"/>
      <c r="G724" s="667"/>
      <c r="H724" s="667"/>
      <c r="I724" s="667"/>
      <c r="J724" s="667"/>
      <c r="K724" s="667"/>
      <c r="L724" s="667"/>
      <c r="M724" s="667"/>
      <c r="N724" s="667"/>
      <c r="O724" s="667"/>
      <c r="P724" s="667"/>
      <c r="Q724" s="667"/>
    </row>
    <row r="725" ht="15.75" customHeight="1">
      <c r="B725" s="667"/>
      <c r="C725" s="667"/>
      <c r="D725" s="667"/>
      <c r="E725" s="668"/>
      <c r="F725" s="667"/>
      <c r="G725" s="667"/>
      <c r="H725" s="667"/>
      <c r="I725" s="667"/>
      <c r="J725" s="667"/>
      <c r="K725" s="667"/>
      <c r="L725" s="667"/>
      <c r="M725" s="667"/>
      <c r="N725" s="667"/>
      <c r="O725" s="667"/>
      <c r="P725" s="667"/>
      <c r="Q725" s="667"/>
    </row>
    <row r="726" ht="15.75" customHeight="1">
      <c r="B726" s="667"/>
      <c r="C726" s="667"/>
      <c r="D726" s="667"/>
      <c r="E726" s="668"/>
      <c r="F726" s="667"/>
      <c r="G726" s="667"/>
      <c r="H726" s="667"/>
      <c r="I726" s="667"/>
      <c r="J726" s="667"/>
      <c r="K726" s="667"/>
      <c r="L726" s="667"/>
      <c r="M726" s="667"/>
      <c r="N726" s="667"/>
      <c r="O726" s="667"/>
      <c r="P726" s="667"/>
      <c r="Q726" s="667"/>
    </row>
    <row r="727" ht="15.75" customHeight="1">
      <c r="B727" s="667"/>
      <c r="C727" s="667"/>
      <c r="D727" s="667"/>
      <c r="E727" s="668"/>
      <c r="F727" s="667"/>
      <c r="G727" s="667"/>
      <c r="H727" s="667"/>
      <c r="I727" s="667"/>
      <c r="J727" s="667"/>
      <c r="K727" s="667"/>
      <c r="L727" s="667"/>
      <c r="M727" s="667"/>
      <c r="N727" s="667"/>
      <c r="O727" s="667"/>
      <c r="P727" s="667"/>
      <c r="Q727" s="667"/>
    </row>
    <row r="728" ht="15.75" customHeight="1">
      <c r="B728" s="667"/>
      <c r="C728" s="667"/>
      <c r="D728" s="667"/>
      <c r="E728" s="668"/>
      <c r="F728" s="667"/>
      <c r="G728" s="667"/>
      <c r="H728" s="667"/>
      <c r="I728" s="667"/>
      <c r="J728" s="667"/>
      <c r="K728" s="667"/>
      <c r="L728" s="667"/>
      <c r="M728" s="667"/>
      <c r="N728" s="667"/>
      <c r="O728" s="667"/>
      <c r="P728" s="667"/>
      <c r="Q728" s="667"/>
    </row>
    <row r="729" ht="15.75" customHeight="1">
      <c r="B729" s="667"/>
      <c r="C729" s="667"/>
      <c r="D729" s="667"/>
      <c r="E729" s="668"/>
      <c r="F729" s="667"/>
      <c r="G729" s="667"/>
      <c r="H729" s="667"/>
      <c r="I729" s="667"/>
      <c r="J729" s="667"/>
      <c r="K729" s="667"/>
      <c r="L729" s="667"/>
      <c r="M729" s="667"/>
      <c r="N729" s="667"/>
      <c r="O729" s="667"/>
      <c r="P729" s="667"/>
      <c r="Q729" s="667"/>
    </row>
    <row r="730" ht="15.75" customHeight="1">
      <c r="B730" s="667"/>
      <c r="C730" s="667"/>
      <c r="D730" s="667"/>
      <c r="E730" s="668"/>
      <c r="F730" s="667"/>
      <c r="G730" s="667"/>
      <c r="H730" s="667"/>
      <c r="I730" s="667"/>
      <c r="J730" s="667"/>
      <c r="K730" s="667"/>
      <c r="L730" s="667"/>
      <c r="M730" s="667"/>
      <c r="N730" s="667"/>
      <c r="O730" s="667"/>
      <c r="P730" s="667"/>
      <c r="Q730" s="667"/>
    </row>
    <row r="731" ht="15.75" customHeight="1">
      <c r="B731" s="667"/>
      <c r="C731" s="667"/>
      <c r="D731" s="667"/>
      <c r="E731" s="668"/>
      <c r="F731" s="667"/>
      <c r="G731" s="667"/>
      <c r="H731" s="667"/>
      <c r="I731" s="667"/>
      <c r="J731" s="667"/>
      <c r="K731" s="667"/>
      <c r="L731" s="667"/>
      <c r="M731" s="667"/>
      <c r="N731" s="667"/>
      <c r="O731" s="667"/>
      <c r="P731" s="667"/>
      <c r="Q731" s="667"/>
    </row>
    <row r="732" ht="15.75" customHeight="1">
      <c r="B732" s="667"/>
      <c r="C732" s="667"/>
      <c r="D732" s="667"/>
      <c r="E732" s="668"/>
      <c r="F732" s="667"/>
      <c r="G732" s="667"/>
      <c r="H732" s="667"/>
      <c r="I732" s="667"/>
      <c r="J732" s="667"/>
      <c r="K732" s="667"/>
      <c r="L732" s="667"/>
      <c r="M732" s="667"/>
      <c r="N732" s="667"/>
      <c r="O732" s="667"/>
      <c r="P732" s="667"/>
      <c r="Q732" s="667"/>
    </row>
    <row r="733" ht="15.75" customHeight="1">
      <c r="B733" s="667"/>
      <c r="C733" s="667"/>
      <c r="D733" s="667"/>
      <c r="E733" s="668"/>
      <c r="F733" s="667"/>
      <c r="G733" s="667"/>
      <c r="H733" s="667"/>
      <c r="I733" s="667"/>
      <c r="J733" s="667"/>
      <c r="K733" s="667"/>
      <c r="L733" s="667"/>
      <c r="M733" s="667"/>
      <c r="N733" s="667"/>
      <c r="O733" s="667"/>
      <c r="P733" s="667"/>
      <c r="Q733" s="667"/>
    </row>
    <row r="734" ht="15.75" customHeight="1">
      <c r="B734" s="667"/>
      <c r="C734" s="667"/>
      <c r="D734" s="667"/>
      <c r="E734" s="668"/>
      <c r="F734" s="667"/>
      <c r="G734" s="667"/>
      <c r="H734" s="667"/>
      <c r="I734" s="667"/>
      <c r="J734" s="667"/>
      <c r="K734" s="667"/>
      <c r="L734" s="667"/>
      <c r="M734" s="667"/>
      <c r="N734" s="667"/>
      <c r="O734" s="667"/>
      <c r="P734" s="667"/>
      <c r="Q734" s="667"/>
    </row>
    <row r="735" ht="15.75" customHeight="1">
      <c r="B735" s="667"/>
      <c r="C735" s="667"/>
      <c r="D735" s="667"/>
      <c r="E735" s="668"/>
      <c r="F735" s="667"/>
      <c r="G735" s="667"/>
      <c r="H735" s="667"/>
      <c r="I735" s="667"/>
      <c r="J735" s="667"/>
      <c r="K735" s="667"/>
      <c r="L735" s="667"/>
      <c r="M735" s="667"/>
      <c r="N735" s="667"/>
      <c r="O735" s="667"/>
      <c r="P735" s="667"/>
      <c r="Q735" s="667"/>
    </row>
    <row r="736" ht="15.75" customHeight="1">
      <c r="B736" s="667"/>
      <c r="C736" s="667"/>
      <c r="D736" s="667"/>
      <c r="E736" s="668"/>
      <c r="F736" s="667"/>
      <c r="G736" s="667"/>
      <c r="H736" s="667"/>
      <c r="I736" s="667"/>
      <c r="J736" s="667"/>
      <c r="K736" s="667"/>
      <c r="L736" s="667"/>
      <c r="M736" s="667"/>
      <c r="N736" s="667"/>
      <c r="O736" s="667"/>
      <c r="P736" s="667"/>
      <c r="Q736" s="667"/>
    </row>
    <row r="737" ht="15.75" customHeight="1">
      <c r="B737" s="667"/>
      <c r="C737" s="667"/>
      <c r="D737" s="667"/>
      <c r="E737" s="668"/>
      <c r="F737" s="667"/>
      <c r="G737" s="667"/>
      <c r="H737" s="667"/>
      <c r="I737" s="667"/>
      <c r="J737" s="667"/>
      <c r="K737" s="667"/>
      <c r="L737" s="667"/>
      <c r="M737" s="667"/>
      <c r="N737" s="667"/>
      <c r="O737" s="667"/>
      <c r="P737" s="667"/>
      <c r="Q737" s="667"/>
    </row>
    <row r="738" ht="15.75" customHeight="1">
      <c r="B738" s="667"/>
      <c r="C738" s="667"/>
      <c r="D738" s="667"/>
      <c r="E738" s="668"/>
      <c r="F738" s="667"/>
      <c r="G738" s="667"/>
      <c r="H738" s="667"/>
      <c r="I738" s="667"/>
      <c r="J738" s="667"/>
      <c r="K738" s="667"/>
      <c r="L738" s="667"/>
      <c r="M738" s="667"/>
      <c r="N738" s="667"/>
      <c r="O738" s="667"/>
      <c r="P738" s="667"/>
      <c r="Q738" s="667"/>
    </row>
    <row r="739" ht="15.75" customHeight="1">
      <c r="B739" s="667"/>
      <c r="C739" s="667"/>
      <c r="D739" s="667"/>
      <c r="E739" s="668"/>
      <c r="F739" s="667"/>
      <c r="G739" s="667"/>
      <c r="H739" s="667"/>
      <c r="I739" s="667"/>
      <c r="J739" s="667"/>
      <c r="K739" s="667"/>
      <c r="L739" s="667"/>
      <c r="M739" s="667"/>
      <c r="N739" s="667"/>
      <c r="O739" s="667"/>
      <c r="P739" s="667"/>
      <c r="Q739" s="667"/>
    </row>
    <row r="740" ht="15.75" customHeight="1">
      <c r="B740" s="667"/>
      <c r="C740" s="667"/>
      <c r="D740" s="667"/>
      <c r="E740" s="668"/>
      <c r="F740" s="667"/>
      <c r="G740" s="667"/>
      <c r="H740" s="667"/>
      <c r="I740" s="667"/>
      <c r="J740" s="667"/>
      <c r="K740" s="667"/>
      <c r="L740" s="667"/>
      <c r="M740" s="667"/>
      <c r="N740" s="667"/>
      <c r="O740" s="667"/>
      <c r="P740" s="667"/>
      <c r="Q740" s="667"/>
    </row>
    <row r="741" ht="15.75" customHeight="1">
      <c r="B741" s="667"/>
      <c r="C741" s="667"/>
      <c r="D741" s="667"/>
      <c r="E741" s="668"/>
      <c r="F741" s="667"/>
      <c r="G741" s="667"/>
      <c r="H741" s="667"/>
      <c r="I741" s="667"/>
      <c r="J741" s="667"/>
      <c r="K741" s="667"/>
      <c r="L741" s="667"/>
      <c r="M741" s="667"/>
      <c r="N741" s="667"/>
      <c r="O741" s="667"/>
      <c r="P741" s="667"/>
      <c r="Q741" s="667"/>
    </row>
    <row r="742" ht="15.75" customHeight="1">
      <c r="B742" s="667"/>
      <c r="C742" s="667"/>
      <c r="D742" s="667"/>
      <c r="E742" s="668"/>
      <c r="F742" s="667"/>
      <c r="G742" s="667"/>
      <c r="H742" s="667"/>
      <c r="I742" s="667"/>
      <c r="J742" s="667"/>
      <c r="K742" s="667"/>
      <c r="L742" s="667"/>
      <c r="M742" s="667"/>
      <c r="N742" s="667"/>
      <c r="O742" s="667"/>
      <c r="P742" s="667"/>
      <c r="Q742" s="667"/>
    </row>
    <row r="743" ht="15.75" customHeight="1">
      <c r="B743" s="667"/>
      <c r="C743" s="667"/>
      <c r="D743" s="667"/>
      <c r="E743" s="668"/>
      <c r="F743" s="667"/>
      <c r="G743" s="667"/>
      <c r="H743" s="667"/>
      <c r="I743" s="667"/>
      <c r="J743" s="667"/>
      <c r="K743" s="667"/>
      <c r="L743" s="667"/>
      <c r="M743" s="667"/>
      <c r="N743" s="667"/>
      <c r="O743" s="667"/>
      <c r="P743" s="667"/>
      <c r="Q743" s="667"/>
    </row>
    <row r="744" ht="15.75" customHeight="1">
      <c r="B744" s="667"/>
      <c r="C744" s="667"/>
      <c r="D744" s="667"/>
      <c r="E744" s="668"/>
      <c r="F744" s="667"/>
      <c r="G744" s="667"/>
      <c r="H744" s="667"/>
      <c r="I744" s="667"/>
      <c r="J744" s="667"/>
      <c r="K744" s="667"/>
      <c r="L744" s="667"/>
      <c r="M744" s="667"/>
      <c r="N744" s="667"/>
      <c r="O744" s="667"/>
      <c r="P744" s="667"/>
      <c r="Q744" s="667"/>
    </row>
    <row r="745" ht="15.75" customHeight="1">
      <c r="B745" s="667"/>
      <c r="C745" s="667"/>
      <c r="D745" s="667"/>
      <c r="E745" s="668"/>
      <c r="F745" s="667"/>
      <c r="G745" s="667"/>
      <c r="H745" s="667"/>
      <c r="I745" s="667"/>
      <c r="J745" s="667"/>
      <c r="K745" s="667"/>
      <c r="L745" s="667"/>
      <c r="M745" s="667"/>
      <c r="N745" s="667"/>
      <c r="O745" s="667"/>
      <c r="P745" s="667"/>
      <c r="Q745" s="667"/>
    </row>
    <row r="746" ht="15.75" customHeight="1">
      <c r="B746" s="667"/>
      <c r="C746" s="667"/>
      <c r="D746" s="667"/>
      <c r="E746" s="668"/>
      <c r="F746" s="667"/>
      <c r="G746" s="667"/>
      <c r="H746" s="667"/>
      <c r="I746" s="667"/>
      <c r="J746" s="667"/>
      <c r="K746" s="667"/>
      <c r="L746" s="667"/>
      <c r="M746" s="667"/>
      <c r="N746" s="667"/>
      <c r="O746" s="667"/>
      <c r="P746" s="667"/>
      <c r="Q746" s="667"/>
    </row>
    <row r="747" ht="15.75" customHeight="1">
      <c r="B747" s="667"/>
      <c r="C747" s="667"/>
      <c r="D747" s="667"/>
      <c r="E747" s="668"/>
      <c r="F747" s="667"/>
      <c r="G747" s="667"/>
      <c r="H747" s="667"/>
      <c r="I747" s="667"/>
      <c r="J747" s="667"/>
      <c r="K747" s="667"/>
      <c r="L747" s="667"/>
      <c r="M747" s="667"/>
      <c r="N747" s="667"/>
      <c r="O747" s="667"/>
      <c r="P747" s="667"/>
      <c r="Q747" s="667"/>
    </row>
    <row r="748" ht="15.75" customHeight="1">
      <c r="B748" s="667"/>
      <c r="C748" s="667"/>
      <c r="D748" s="667"/>
      <c r="E748" s="668"/>
      <c r="F748" s="667"/>
      <c r="G748" s="667"/>
      <c r="H748" s="667"/>
      <c r="I748" s="667"/>
      <c r="J748" s="667"/>
      <c r="K748" s="667"/>
      <c r="L748" s="667"/>
      <c r="M748" s="667"/>
      <c r="N748" s="667"/>
      <c r="O748" s="667"/>
      <c r="P748" s="667"/>
      <c r="Q748" s="667"/>
    </row>
    <row r="749" ht="15.75" customHeight="1">
      <c r="B749" s="667"/>
      <c r="C749" s="667"/>
      <c r="D749" s="667"/>
      <c r="E749" s="668"/>
      <c r="F749" s="667"/>
      <c r="G749" s="667"/>
      <c r="H749" s="667"/>
      <c r="I749" s="667"/>
      <c r="J749" s="667"/>
      <c r="K749" s="667"/>
      <c r="L749" s="667"/>
      <c r="M749" s="667"/>
      <c r="N749" s="667"/>
      <c r="O749" s="667"/>
      <c r="P749" s="667"/>
      <c r="Q749" s="667"/>
    </row>
    <row r="750" ht="15.75" customHeight="1">
      <c r="B750" s="667"/>
      <c r="C750" s="667"/>
      <c r="D750" s="667"/>
      <c r="E750" s="668"/>
      <c r="F750" s="667"/>
      <c r="G750" s="667"/>
      <c r="H750" s="667"/>
      <c r="I750" s="667"/>
      <c r="J750" s="667"/>
      <c r="K750" s="667"/>
      <c r="L750" s="667"/>
      <c r="M750" s="667"/>
      <c r="N750" s="667"/>
      <c r="O750" s="667"/>
      <c r="P750" s="667"/>
      <c r="Q750" s="667"/>
    </row>
    <row r="751" ht="15.75" customHeight="1">
      <c r="B751" s="667"/>
      <c r="C751" s="667"/>
      <c r="D751" s="667"/>
      <c r="E751" s="668"/>
      <c r="F751" s="667"/>
      <c r="G751" s="667"/>
      <c r="H751" s="667"/>
      <c r="I751" s="667"/>
      <c r="J751" s="667"/>
      <c r="K751" s="667"/>
      <c r="L751" s="667"/>
      <c r="M751" s="667"/>
      <c r="N751" s="667"/>
      <c r="O751" s="667"/>
      <c r="P751" s="667"/>
      <c r="Q751" s="667"/>
    </row>
    <row r="752" ht="15.75" customHeight="1">
      <c r="B752" s="667"/>
      <c r="C752" s="667"/>
      <c r="D752" s="667"/>
      <c r="E752" s="668"/>
      <c r="F752" s="667"/>
      <c r="G752" s="667"/>
      <c r="H752" s="667"/>
      <c r="I752" s="667"/>
      <c r="J752" s="667"/>
      <c r="K752" s="667"/>
      <c r="L752" s="667"/>
      <c r="M752" s="667"/>
      <c r="N752" s="667"/>
      <c r="O752" s="667"/>
      <c r="P752" s="667"/>
      <c r="Q752" s="667"/>
    </row>
    <row r="753" ht="15.75" customHeight="1">
      <c r="B753" s="667"/>
      <c r="C753" s="667"/>
      <c r="D753" s="667"/>
      <c r="E753" s="668"/>
      <c r="F753" s="667"/>
      <c r="G753" s="667"/>
      <c r="H753" s="667"/>
      <c r="I753" s="667"/>
      <c r="J753" s="667"/>
      <c r="K753" s="667"/>
      <c r="L753" s="667"/>
      <c r="M753" s="667"/>
      <c r="N753" s="667"/>
      <c r="O753" s="667"/>
      <c r="P753" s="667"/>
      <c r="Q753" s="667"/>
    </row>
    <row r="754" ht="15.75" customHeight="1">
      <c r="B754" s="667"/>
      <c r="C754" s="667"/>
      <c r="D754" s="667"/>
      <c r="E754" s="668"/>
      <c r="F754" s="667"/>
      <c r="G754" s="667"/>
      <c r="H754" s="667"/>
      <c r="I754" s="667"/>
      <c r="J754" s="667"/>
      <c r="K754" s="667"/>
      <c r="L754" s="667"/>
      <c r="M754" s="667"/>
      <c r="N754" s="667"/>
      <c r="O754" s="667"/>
      <c r="P754" s="667"/>
      <c r="Q754" s="667"/>
    </row>
    <row r="755" ht="15.75" customHeight="1">
      <c r="B755" s="667"/>
      <c r="C755" s="667"/>
      <c r="D755" s="667"/>
      <c r="E755" s="668"/>
      <c r="F755" s="667"/>
      <c r="G755" s="667"/>
      <c r="H755" s="667"/>
      <c r="I755" s="667"/>
      <c r="J755" s="667"/>
      <c r="K755" s="667"/>
      <c r="L755" s="667"/>
      <c r="M755" s="667"/>
      <c r="N755" s="667"/>
      <c r="O755" s="667"/>
      <c r="P755" s="667"/>
      <c r="Q755" s="667"/>
    </row>
    <row r="756" ht="15.75" customHeight="1">
      <c r="B756" s="667"/>
      <c r="C756" s="667"/>
      <c r="D756" s="667"/>
      <c r="E756" s="668"/>
      <c r="F756" s="667"/>
      <c r="G756" s="667"/>
      <c r="H756" s="667"/>
      <c r="I756" s="667"/>
      <c r="J756" s="667"/>
      <c r="K756" s="667"/>
      <c r="L756" s="667"/>
      <c r="M756" s="667"/>
      <c r="N756" s="667"/>
      <c r="O756" s="667"/>
      <c r="P756" s="667"/>
      <c r="Q756" s="667"/>
    </row>
    <row r="757" ht="15.75" customHeight="1">
      <c r="B757" s="667"/>
      <c r="C757" s="667"/>
      <c r="D757" s="667"/>
      <c r="E757" s="668"/>
      <c r="F757" s="667"/>
      <c r="G757" s="667"/>
      <c r="H757" s="667"/>
      <c r="I757" s="667"/>
      <c r="J757" s="667"/>
      <c r="K757" s="667"/>
      <c r="L757" s="667"/>
      <c r="M757" s="667"/>
      <c r="N757" s="667"/>
      <c r="O757" s="667"/>
      <c r="P757" s="667"/>
      <c r="Q757" s="667"/>
    </row>
    <row r="758" ht="15.75" customHeight="1">
      <c r="B758" s="667"/>
      <c r="C758" s="667"/>
      <c r="D758" s="667"/>
      <c r="E758" s="668"/>
      <c r="F758" s="667"/>
      <c r="G758" s="667"/>
      <c r="H758" s="667"/>
      <c r="I758" s="667"/>
      <c r="J758" s="667"/>
      <c r="K758" s="667"/>
      <c r="L758" s="667"/>
      <c r="M758" s="667"/>
      <c r="N758" s="667"/>
      <c r="O758" s="667"/>
      <c r="P758" s="667"/>
      <c r="Q758" s="667"/>
    </row>
    <row r="759" ht="15.75" customHeight="1">
      <c r="B759" s="667"/>
      <c r="C759" s="667"/>
      <c r="D759" s="667"/>
      <c r="E759" s="668"/>
      <c r="F759" s="667"/>
      <c r="G759" s="667"/>
      <c r="H759" s="667"/>
      <c r="I759" s="667"/>
      <c r="J759" s="667"/>
      <c r="K759" s="667"/>
      <c r="L759" s="667"/>
      <c r="M759" s="667"/>
      <c r="N759" s="667"/>
      <c r="O759" s="667"/>
      <c r="P759" s="667"/>
      <c r="Q759" s="667"/>
    </row>
    <row r="760" ht="15.75" customHeight="1">
      <c r="B760" s="667"/>
      <c r="C760" s="667"/>
      <c r="D760" s="667"/>
      <c r="E760" s="668"/>
      <c r="F760" s="667"/>
      <c r="G760" s="667"/>
      <c r="H760" s="667"/>
      <c r="I760" s="667"/>
      <c r="J760" s="667"/>
      <c r="K760" s="667"/>
      <c r="L760" s="667"/>
      <c r="M760" s="667"/>
      <c r="N760" s="667"/>
      <c r="O760" s="667"/>
      <c r="P760" s="667"/>
      <c r="Q760" s="667"/>
    </row>
    <row r="761" ht="15.75" customHeight="1">
      <c r="B761" s="667"/>
      <c r="C761" s="667"/>
      <c r="D761" s="667"/>
      <c r="E761" s="668"/>
      <c r="F761" s="667"/>
      <c r="G761" s="667"/>
      <c r="H761" s="667"/>
      <c r="I761" s="667"/>
      <c r="J761" s="667"/>
      <c r="K761" s="667"/>
      <c r="L761" s="667"/>
      <c r="M761" s="667"/>
      <c r="N761" s="667"/>
      <c r="O761" s="667"/>
      <c r="P761" s="667"/>
      <c r="Q761" s="667"/>
    </row>
    <row r="762" ht="15.75" customHeight="1">
      <c r="B762" s="667"/>
      <c r="C762" s="667"/>
      <c r="D762" s="667"/>
      <c r="E762" s="668"/>
      <c r="F762" s="667"/>
      <c r="G762" s="667"/>
      <c r="H762" s="667"/>
      <c r="I762" s="667"/>
      <c r="J762" s="667"/>
      <c r="K762" s="667"/>
      <c r="L762" s="667"/>
      <c r="M762" s="667"/>
      <c r="N762" s="667"/>
      <c r="O762" s="667"/>
      <c r="P762" s="667"/>
      <c r="Q762" s="667"/>
    </row>
    <row r="763" ht="15.75" customHeight="1">
      <c r="B763" s="667"/>
      <c r="C763" s="667"/>
      <c r="D763" s="667"/>
      <c r="E763" s="668"/>
      <c r="F763" s="667"/>
      <c r="G763" s="667"/>
      <c r="H763" s="667"/>
      <c r="I763" s="667"/>
      <c r="J763" s="667"/>
      <c r="K763" s="667"/>
      <c r="L763" s="667"/>
      <c r="M763" s="667"/>
      <c r="N763" s="667"/>
      <c r="O763" s="667"/>
      <c r="P763" s="667"/>
      <c r="Q763" s="667"/>
    </row>
    <row r="764" ht="15.75" customHeight="1">
      <c r="B764" s="667"/>
      <c r="C764" s="667"/>
      <c r="D764" s="667"/>
      <c r="E764" s="668"/>
      <c r="F764" s="667"/>
      <c r="G764" s="667"/>
      <c r="H764" s="667"/>
      <c r="I764" s="667"/>
      <c r="J764" s="667"/>
      <c r="K764" s="667"/>
      <c r="L764" s="667"/>
      <c r="M764" s="667"/>
      <c r="N764" s="667"/>
      <c r="O764" s="667"/>
      <c r="P764" s="667"/>
      <c r="Q764" s="667"/>
    </row>
    <row r="765" ht="15.75" customHeight="1">
      <c r="B765" s="667"/>
      <c r="C765" s="667"/>
      <c r="D765" s="667"/>
      <c r="E765" s="668"/>
      <c r="F765" s="667"/>
      <c r="G765" s="667"/>
      <c r="H765" s="667"/>
      <c r="I765" s="667"/>
      <c r="J765" s="667"/>
      <c r="K765" s="667"/>
      <c r="L765" s="667"/>
      <c r="M765" s="667"/>
      <c r="N765" s="667"/>
      <c r="O765" s="667"/>
      <c r="P765" s="667"/>
      <c r="Q765" s="667"/>
    </row>
    <row r="766" ht="15.75" customHeight="1">
      <c r="B766" s="667"/>
      <c r="C766" s="667"/>
      <c r="D766" s="667"/>
      <c r="E766" s="668"/>
      <c r="F766" s="667"/>
      <c r="G766" s="667"/>
      <c r="H766" s="667"/>
      <c r="I766" s="667"/>
      <c r="J766" s="667"/>
      <c r="K766" s="667"/>
      <c r="L766" s="667"/>
      <c r="M766" s="667"/>
      <c r="N766" s="667"/>
      <c r="O766" s="667"/>
      <c r="P766" s="667"/>
      <c r="Q766" s="667"/>
    </row>
    <row r="767" ht="15.75" customHeight="1">
      <c r="B767" s="667"/>
      <c r="C767" s="667"/>
      <c r="D767" s="667"/>
      <c r="E767" s="668"/>
      <c r="F767" s="667"/>
      <c r="G767" s="667"/>
      <c r="H767" s="667"/>
      <c r="I767" s="667"/>
      <c r="J767" s="667"/>
      <c r="K767" s="667"/>
      <c r="L767" s="667"/>
      <c r="M767" s="667"/>
      <c r="N767" s="667"/>
      <c r="O767" s="667"/>
      <c r="P767" s="667"/>
      <c r="Q767" s="667"/>
    </row>
    <row r="768" ht="15.75" customHeight="1">
      <c r="B768" s="667"/>
      <c r="C768" s="667"/>
      <c r="D768" s="667"/>
      <c r="E768" s="668"/>
      <c r="F768" s="667"/>
      <c r="G768" s="667"/>
      <c r="H768" s="667"/>
      <c r="I768" s="667"/>
      <c r="J768" s="667"/>
      <c r="K768" s="667"/>
      <c r="L768" s="667"/>
      <c r="M768" s="667"/>
      <c r="N768" s="667"/>
      <c r="O768" s="667"/>
      <c r="P768" s="667"/>
      <c r="Q768" s="667"/>
    </row>
    <row r="769" ht="15.75" customHeight="1">
      <c r="B769" s="667"/>
      <c r="C769" s="667"/>
      <c r="D769" s="667"/>
      <c r="E769" s="668"/>
      <c r="F769" s="667"/>
      <c r="G769" s="667"/>
      <c r="H769" s="667"/>
      <c r="I769" s="667"/>
      <c r="J769" s="667"/>
      <c r="K769" s="667"/>
      <c r="L769" s="667"/>
      <c r="M769" s="667"/>
      <c r="N769" s="667"/>
      <c r="O769" s="667"/>
      <c r="P769" s="667"/>
      <c r="Q769" s="667"/>
    </row>
    <row r="770" ht="15.75" customHeight="1">
      <c r="B770" s="667"/>
      <c r="C770" s="667"/>
      <c r="D770" s="667"/>
      <c r="E770" s="668"/>
      <c r="F770" s="667"/>
      <c r="G770" s="667"/>
      <c r="H770" s="667"/>
      <c r="I770" s="667"/>
      <c r="J770" s="667"/>
      <c r="K770" s="667"/>
      <c r="L770" s="667"/>
      <c r="M770" s="667"/>
      <c r="N770" s="667"/>
      <c r="O770" s="667"/>
      <c r="P770" s="667"/>
      <c r="Q770" s="667"/>
    </row>
    <row r="771" ht="15.75" customHeight="1">
      <c r="B771" s="667"/>
      <c r="C771" s="667"/>
      <c r="D771" s="667"/>
      <c r="E771" s="668"/>
      <c r="F771" s="667"/>
      <c r="G771" s="667"/>
      <c r="H771" s="667"/>
      <c r="I771" s="667"/>
      <c r="J771" s="667"/>
      <c r="K771" s="667"/>
      <c r="L771" s="667"/>
      <c r="M771" s="667"/>
      <c r="N771" s="667"/>
      <c r="O771" s="667"/>
      <c r="P771" s="667"/>
      <c r="Q771" s="667"/>
    </row>
    <row r="772" ht="15.75" customHeight="1">
      <c r="B772" s="667"/>
      <c r="C772" s="667"/>
      <c r="D772" s="667"/>
      <c r="E772" s="668"/>
      <c r="F772" s="667"/>
      <c r="G772" s="667"/>
      <c r="H772" s="667"/>
      <c r="I772" s="667"/>
      <c r="J772" s="667"/>
      <c r="K772" s="667"/>
      <c r="L772" s="667"/>
      <c r="M772" s="667"/>
      <c r="N772" s="667"/>
      <c r="O772" s="667"/>
      <c r="P772" s="667"/>
      <c r="Q772" s="667"/>
    </row>
    <row r="773" ht="15.75" customHeight="1">
      <c r="B773" s="667"/>
      <c r="C773" s="667"/>
      <c r="D773" s="667"/>
      <c r="E773" s="668"/>
      <c r="F773" s="667"/>
      <c r="G773" s="667"/>
      <c r="H773" s="667"/>
      <c r="I773" s="667"/>
      <c r="J773" s="667"/>
      <c r="K773" s="667"/>
      <c r="L773" s="667"/>
      <c r="M773" s="667"/>
      <c r="N773" s="667"/>
      <c r="O773" s="667"/>
      <c r="P773" s="667"/>
      <c r="Q773" s="667"/>
    </row>
    <row r="774" ht="15.75" customHeight="1">
      <c r="B774" s="667"/>
      <c r="C774" s="667"/>
      <c r="D774" s="667"/>
      <c r="E774" s="668"/>
      <c r="F774" s="667"/>
      <c r="G774" s="667"/>
      <c r="H774" s="667"/>
      <c r="I774" s="667"/>
      <c r="J774" s="667"/>
      <c r="K774" s="667"/>
      <c r="L774" s="667"/>
      <c r="M774" s="667"/>
      <c r="N774" s="667"/>
      <c r="O774" s="667"/>
      <c r="P774" s="667"/>
      <c r="Q774" s="667"/>
    </row>
    <row r="775" ht="15.75" customHeight="1">
      <c r="B775" s="667"/>
      <c r="C775" s="667"/>
      <c r="D775" s="667"/>
      <c r="E775" s="668"/>
      <c r="F775" s="667"/>
      <c r="G775" s="667"/>
      <c r="H775" s="667"/>
      <c r="I775" s="667"/>
      <c r="J775" s="667"/>
      <c r="K775" s="667"/>
      <c r="L775" s="667"/>
      <c r="M775" s="667"/>
      <c r="N775" s="667"/>
      <c r="O775" s="667"/>
      <c r="P775" s="667"/>
      <c r="Q775" s="667"/>
    </row>
    <row r="776" ht="15.75" customHeight="1">
      <c r="B776" s="667"/>
      <c r="C776" s="667"/>
      <c r="D776" s="667"/>
      <c r="E776" s="668"/>
      <c r="F776" s="667"/>
      <c r="G776" s="667"/>
      <c r="H776" s="667"/>
      <c r="I776" s="667"/>
      <c r="J776" s="667"/>
      <c r="K776" s="667"/>
      <c r="L776" s="667"/>
      <c r="M776" s="667"/>
      <c r="N776" s="667"/>
      <c r="O776" s="667"/>
      <c r="P776" s="667"/>
      <c r="Q776" s="667"/>
    </row>
    <row r="777" ht="15.75" customHeight="1">
      <c r="B777" s="667"/>
      <c r="C777" s="667"/>
      <c r="D777" s="667"/>
      <c r="E777" s="668"/>
      <c r="F777" s="667"/>
      <c r="G777" s="667"/>
      <c r="H777" s="667"/>
      <c r="I777" s="667"/>
      <c r="J777" s="667"/>
      <c r="K777" s="667"/>
      <c r="L777" s="667"/>
      <c r="M777" s="667"/>
      <c r="N777" s="667"/>
      <c r="O777" s="667"/>
      <c r="P777" s="667"/>
      <c r="Q777" s="667"/>
    </row>
    <row r="778" ht="15.75" customHeight="1">
      <c r="B778" s="667"/>
      <c r="C778" s="667"/>
      <c r="D778" s="667"/>
      <c r="E778" s="668"/>
      <c r="F778" s="667"/>
      <c r="G778" s="667"/>
      <c r="H778" s="667"/>
      <c r="I778" s="667"/>
      <c r="J778" s="667"/>
      <c r="K778" s="667"/>
      <c r="L778" s="667"/>
      <c r="M778" s="667"/>
      <c r="N778" s="667"/>
      <c r="O778" s="667"/>
      <c r="P778" s="667"/>
      <c r="Q778" s="667"/>
    </row>
    <row r="779" ht="15.75" customHeight="1">
      <c r="B779" s="667"/>
      <c r="C779" s="667"/>
      <c r="D779" s="667"/>
      <c r="E779" s="668"/>
      <c r="F779" s="667"/>
      <c r="G779" s="667"/>
      <c r="H779" s="667"/>
      <c r="I779" s="667"/>
      <c r="J779" s="667"/>
      <c r="K779" s="667"/>
      <c r="L779" s="667"/>
      <c r="M779" s="667"/>
      <c r="N779" s="667"/>
      <c r="O779" s="667"/>
      <c r="P779" s="667"/>
      <c r="Q779" s="667"/>
    </row>
    <row r="780" ht="15.75" customHeight="1">
      <c r="B780" s="667"/>
      <c r="C780" s="667"/>
      <c r="D780" s="667"/>
      <c r="E780" s="668"/>
      <c r="F780" s="667"/>
      <c r="G780" s="667"/>
      <c r="H780" s="667"/>
      <c r="I780" s="667"/>
      <c r="J780" s="667"/>
      <c r="K780" s="667"/>
      <c r="L780" s="667"/>
      <c r="M780" s="667"/>
      <c r="N780" s="667"/>
      <c r="O780" s="667"/>
      <c r="P780" s="667"/>
      <c r="Q780" s="667"/>
    </row>
    <row r="781" ht="15.75" customHeight="1">
      <c r="B781" s="667"/>
      <c r="C781" s="667"/>
      <c r="D781" s="667"/>
      <c r="E781" s="668"/>
      <c r="F781" s="667"/>
      <c r="G781" s="667"/>
      <c r="H781" s="667"/>
      <c r="I781" s="667"/>
      <c r="J781" s="667"/>
      <c r="K781" s="667"/>
      <c r="L781" s="667"/>
      <c r="M781" s="667"/>
      <c r="N781" s="667"/>
      <c r="O781" s="667"/>
      <c r="P781" s="667"/>
      <c r="Q781" s="667"/>
    </row>
    <row r="782" ht="15.75" customHeight="1">
      <c r="B782" s="667"/>
      <c r="C782" s="667"/>
      <c r="D782" s="667"/>
      <c r="E782" s="668"/>
      <c r="F782" s="667"/>
      <c r="G782" s="667"/>
      <c r="H782" s="667"/>
      <c r="I782" s="667"/>
      <c r="J782" s="667"/>
      <c r="K782" s="667"/>
      <c r="L782" s="667"/>
      <c r="M782" s="667"/>
      <c r="N782" s="667"/>
      <c r="O782" s="667"/>
      <c r="P782" s="667"/>
      <c r="Q782" s="667"/>
    </row>
    <row r="783" ht="15.75" customHeight="1">
      <c r="B783" s="667"/>
      <c r="C783" s="667"/>
      <c r="D783" s="667"/>
      <c r="E783" s="668"/>
      <c r="F783" s="667"/>
      <c r="G783" s="667"/>
      <c r="H783" s="667"/>
      <c r="I783" s="667"/>
      <c r="J783" s="667"/>
      <c r="K783" s="667"/>
      <c r="L783" s="667"/>
      <c r="M783" s="667"/>
      <c r="N783" s="667"/>
      <c r="O783" s="667"/>
      <c r="P783" s="667"/>
      <c r="Q783" s="667"/>
    </row>
    <row r="784" ht="15.75" customHeight="1">
      <c r="B784" s="667"/>
      <c r="C784" s="667"/>
      <c r="D784" s="667"/>
      <c r="E784" s="668"/>
      <c r="F784" s="667"/>
      <c r="G784" s="667"/>
      <c r="H784" s="667"/>
      <c r="I784" s="667"/>
      <c r="J784" s="667"/>
      <c r="K784" s="667"/>
      <c r="L784" s="667"/>
      <c r="M784" s="667"/>
      <c r="N784" s="667"/>
      <c r="O784" s="667"/>
      <c r="P784" s="667"/>
      <c r="Q784" s="667"/>
    </row>
    <row r="785" ht="15.75" customHeight="1">
      <c r="B785" s="667"/>
      <c r="C785" s="667"/>
      <c r="D785" s="667"/>
      <c r="E785" s="668"/>
      <c r="F785" s="667"/>
      <c r="G785" s="667"/>
      <c r="H785" s="667"/>
      <c r="I785" s="667"/>
      <c r="J785" s="667"/>
      <c r="K785" s="667"/>
      <c r="L785" s="667"/>
      <c r="M785" s="667"/>
      <c r="N785" s="667"/>
      <c r="O785" s="667"/>
      <c r="P785" s="667"/>
      <c r="Q785" s="667"/>
    </row>
    <row r="786" ht="15.75" customHeight="1">
      <c r="B786" s="667"/>
      <c r="C786" s="667"/>
      <c r="D786" s="667"/>
      <c r="E786" s="668"/>
      <c r="F786" s="667"/>
      <c r="G786" s="667"/>
      <c r="H786" s="667"/>
      <c r="I786" s="667"/>
      <c r="J786" s="667"/>
      <c r="K786" s="667"/>
      <c r="L786" s="667"/>
      <c r="M786" s="667"/>
      <c r="N786" s="667"/>
      <c r="O786" s="667"/>
      <c r="P786" s="667"/>
      <c r="Q786" s="667"/>
    </row>
    <row r="787" ht="15.75" customHeight="1">
      <c r="B787" s="667"/>
      <c r="C787" s="667"/>
      <c r="D787" s="667"/>
      <c r="E787" s="668"/>
      <c r="F787" s="667"/>
      <c r="G787" s="667"/>
      <c r="H787" s="667"/>
      <c r="I787" s="667"/>
      <c r="J787" s="667"/>
      <c r="K787" s="667"/>
      <c r="L787" s="667"/>
      <c r="M787" s="667"/>
      <c r="N787" s="667"/>
      <c r="O787" s="667"/>
      <c r="P787" s="667"/>
      <c r="Q787" s="667"/>
    </row>
    <row r="788" ht="15.75" customHeight="1">
      <c r="B788" s="667"/>
      <c r="C788" s="667"/>
      <c r="D788" s="667"/>
      <c r="E788" s="668"/>
      <c r="F788" s="667"/>
      <c r="G788" s="667"/>
      <c r="H788" s="667"/>
      <c r="I788" s="667"/>
      <c r="J788" s="667"/>
      <c r="K788" s="667"/>
      <c r="L788" s="667"/>
      <c r="M788" s="667"/>
      <c r="N788" s="667"/>
      <c r="O788" s="667"/>
      <c r="P788" s="667"/>
      <c r="Q788" s="667"/>
    </row>
    <row r="789" ht="15.75" customHeight="1">
      <c r="B789" s="667"/>
      <c r="C789" s="667"/>
      <c r="D789" s="667"/>
      <c r="E789" s="668"/>
      <c r="F789" s="667"/>
      <c r="G789" s="667"/>
      <c r="H789" s="667"/>
      <c r="I789" s="667"/>
      <c r="J789" s="667"/>
      <c r="K789" s="667"/>
      <c r="L789" s="667"/>
      <c r="M789" s="667"/>
      <c r="N789" s="667"/>
      <c r="O789" s="667"/>
      <c r="P789" s="667"/>
      <c r="Q789" s="667"/>
    </row>
    <row r="790" ht="15.75" customHeight="1">
      <c r="B790" s="667"/>
      <c r="C790" s="667"/>
      <c r="D790" s="667"/>
      <c r="E790" s="668"/>
      <c r="F790" s="667"/>
      <c r="G790" s="667"/>
      <c r="H790" s="667"/>
      <c r="I790" s="667"/>
      <c r="J790" s="667"/>
      <c r="K790" s="667"/>
      <c r="L790" s="667"/>
      <c r="M790" s="667"/>
      <c r="N790" s="667"/>
      <c r="O790" s="667"/>
      <c r="P790" s="667"/>
      <c r="Q790" s="667"/>
    </row>
    <row r="791" ht="15.75" customHeight="1">
      <c r="B791" s="667"/>
      <c r="C791" s="667"/>
      <c r="D791" s="667"/>
      <c r="E791" s="668"/>
      <c r="F791" s="667"/>
      <c r="G791" s="667"/>
      <c r="H791" s="667"/>
      <c r="I791" s="667"/>
      <c r="J791" s="667"/>
      <c r="K791" s="667"/>
      <c r="L791" s="667"/>
      <c r="M791" s="667"/>
      <c r="N791" s="667"/>
      <c r="O791" s="667"/>
      <c r="P791" s="667"/>
      <c r="Q791" s="667"/>
    </row>
    <row r="792" ht="15.75" customHeight="1">
      <c r="B792" s="667"/>
      <c r="C792" s="667"/>
      <c r="D792" s="667"/>
      <c r="E792" s="668"/>
      <c r="F792" s="667"/>
      <c r="G792" s="667"/>
      <c r="H792" s="667"/>
      <c r="I792" s="667"/>
      <c r="J792" s="667"/>
      <c r="K792" s="667"/>
      <c r="L792" s="667"/>
      <c r="M792" s="667"/>
      <c r="N792" s="667"/>
      <c r="O792" s="667"/>
      <c r="P792" s="667"/>
      <c r="Q792" s="667"/>
    </row>
    <row r="793" ht="15.75" customHeight="1">
      <c r="B793" s="667"/>
      <c r="C793" s="667"/>
      <c r="D793" s="667"/>
      <c r="E793" s="668"/>
      <c r="F793" s="667"/>
      <c r="G793" s="667"/>
      <c r="H793" s="667"/>
      <c r="I793" s="667"/>
      <c r="J793" s="667"/>
      <c r="K793" s="667"/>
      <c r="L793" s="667"/>
      <c r="M793" s="667"/>
      <c r="N793" s="667"/>
      <c r="O793" s="667"/>
      <c r="P793" s="667"/>
      <c r="Q793" s="667"/>
    </row>
    <row r="794" ht="15.75" customHeight="1">
      <c r="B794" s="667"/>
      <c r="C794" s="667"/>
      <c r="D794" s="667"/>
      <c r="E794" s="668"/>
      <c r="F794" s="667"/>
      <c r="G794" s="667"/>
      <c r="H794" s="667"/>
      <c r="I794" s="667"/>
      <c r="J794" s="667"/>
      <c r="K794" s="667"/>
      <c r="L794" s="667"/>
      <c r="M794" s="667"/>
      <c r="N794" s="667"/>
      <c r="O794" s="667"/>
      <c r="P794" s="667"/>
      <c r="Q794" s="667"/>
    </row>
    <row r="795" ht="15.75" customHeight="1">
      <c r="B795" s="667"/>
      <c r="C795" s="667"/>
      <c r="D795" s="667"/>
      <c r="E795" s="668"/>
      <c r="F795" s="667"/>
      <c r="G795" s="667"/>
      <c r="H795" s="667"/>
      <c r="I795" s="667"/>
      <c r="J795" s="667"/>
      <c r="K795" s="667"/>
      <c r="L795" s="667"/>
      <c r="M795" s="667"/>
      <c r="N795" s="667"/>
      <c r="O795" s="667"/>
      <c r="P795" s="667"/>
      <c r="Q795" s="667"/>
    </row>
    <row r="796" ht="15.75" customHeight="1">
      <c r="B796" s="667"/>
      <c r="C796" s="667"/>
      <c r="D796" s="667"/>
      <c r="E796" s="668"/>
      <c r="F796" s="667"/>
      <c r="G796" s="667"/>
      <c r="H796" s="667"/>
      <c r="I796" s="667"/>
      <c r="J796" s="667"/>
      <c r="K796" s="667"/>
      <c r="L796" s="667"/>
      <c r="M796" s="667"/>
      <c r="N796" s="667"/>
      <c r="O796" s="667"/>
      <c r="P796" s="667"/>
      <c r="Q796" s="667"/>
    </row>
    <row r="797" ht="15.75" customHeight="1">
      <c r="B797" s="667"/>
      <c r="C797" s="667"/>
      <c r="D797" s="667"/>
      <c r="E797" s="668"/>
      <c r="F797" s="667"/>
      <c r="G797" s="667"/>
      <c r="H797" s="667"/>
      <c r="I797" s="667"/>
      <c r="J797" s="667"/>
      <c r="K797" s="667"/>
      <c r="L797" s="667"/>
      <c r="M797" s="667"/>
      <c r="N797" s="667"/>
      <c r="O797" s="667"/>
      <c r="P797" s="667"/>
      <c r="Q797" s="667"/>
    </row>
    <row r="798" ht="15.75" customHeight="1">
      <c r="B798" s="667"/>
      <c r="C798" s="667"/>
      <c r="D798" s="667"/>
      <c r="E798" s="668"/>
      <c r="F798" s="667"/>
      <c r="G798" s="667"/>
      <c r="H798" s="667"/>
      <c r="I798" s="667"/>
      <c r="J798" s="667"/>
      <c r="K798" s="667"/>
      <c r="L798" s="667"/>
      <c r="M798" s="667"/>
      <c r="N798" s="667"/>
      <c r="O798" s="667"/>
      <c r="P798" s="667"/>
      <c r="Q798" s="667"/>
    </row>
    <row r="799" ht="15.75" customHeight="1">
      <c r="B799" s="667"/>
      <c r="C799" s="667"/>
      <c r="D799" s="667"/>
      <c r="E799" s="668"/>
      <c r="F799" s="667"/>
      <c r="G799" s="667"/>
      <c r="H799" s="667"/>
      <c r="I799" s="667"/>
      <c r="J799" s="667"/>
      <c r="K799" s="667"/>
      <c r="L799" s="667"/>
      <c r="M799" s="667"/>
      <c r="N799" s="667"/>
      <c r="O799" s="667"/>
      <c r="P799" s="667"/>
      <c r="Q799" s="667"/>
    </row>
    <row r="800" ht="15.75" customHeight="1">
      <c r="B800" s="667"/>
      <c r="C800" s="667"/>
      <c r="D800" s="667"/>
      <c r="E800" s="668"/>
      <c r="F800" s="667"/>
      <c r="G800" s="667"/>
      <c r="H800" s="667"/>
      <c r="I800" s="667"/>
      <c r="J800" s="667"/>
      <c r="K800" s="667"/>
      <c r="L800" s="667"/>
      <c r="M800" s="667"/>
      <c r="N800" s="667"/>
      <c r="O800" s="667"/>
      <c r="P800" s="667"/>
      <c r="Q800" s="667"/>
    </row>
    <row r="801" ht="15.75" customHeight="1">
      <c r="B801" s="667"/>
      <c r="C801" s="667"/>
      <c r="D801" s="667"/>
      <c r="E801" s="668"/>
      <c r="F801" s="667"/>
      <c r="G801" s="667"/>
      <c r="H801" s="667"/>
      <c r="I801" s="667"/>
      <c r="J801" s="667"/>
      <c r="K801" s="667"/>
      <c r="L801" s="667"/>
      <c r="M801" s="667"/>
      <c r="N801" s="667"/>
      <c r="O801" s="667"/>
      <c r="P801" s="667"/>
      <c r="Q801" s="667"/>
    </row>
    <row r="802" ht="15.75" customHeight="1">
      <c r="B802" s="667"/>
      <c r="C802" s="667"/>
      <c r="D802" s="667"/>
      <c r="E802" s="668"/>
      <c r="F802" s="667"/>
      <c r="G802" s="667"/>
      <c r="H802" s="667"/>
      <c r="I802" s="667"/>
      <c r="J802" s="667"/>
      <c r="K802" s="667"/>
      <c r="L802" s="667"/>
      <c r="M802" s="667"/>
      <c r="N802" s="667"/>
      <c r="O802" s="667"/>
      <c r="P802" s="667"/>
      <c r="Q802" s="667"/>
    </row>
    <row r="803" ht="15.75" customHeight="1">
      <c r="B803" s="667"/>
      <c r="C803" s="667"/>
      <c r="D803" s="667"/>
      <c r="E803" s="668"/>
      <c r="F803" s="667"/>
      <c r="G803" s="667"/>
      <c r="H803" s="667"/>
      <c r="I803" s="667"/>
      <c r="J803" s="667"/>
      <c r="K803" s="667"/>
      <c r="L803" s="667"/>
      <c r="M803" s="667"/>
      <c r="N803" s="667"/>
      <c r="O803" s="667"/>
      <c r="P803" s="667"/>
      <c r="Q803" s="667"/>
    </row>
    <row r="804" ht="15.75" customHeight="1">
      <c r="B804" s="667"/>
      <c r="C804" s="667"/>
      <c r="D804" s="667"/>
      <c r="E804" s="668"/>
      <c r="F804" s="667"/>
      <c r="G804" s="667"/>
      <c r="H804" s="667"/>
      <c r="I804" s="667"/>
      <c r="J804" s="667"/>
      <c r="K804" s="667"/>
      <c r="L804" s="667"/>
      <c r="M804" s="667"/>
      <c r="N804" s="667"/>
      <c r="O804" s="667"/>
      <c r="P804" s="667"/>
      <c r="Q804" s="667"/>
    </row>
    <row r="805" ht="15.75" customHeight="1">
      <c r="B805" s="667"/>
      <c r="C805" s="667"/>
      <c r="D805" s="667"/>
      <c r="E805" s="668"/>
      <c r="F805" s="667"/>
      <c r="G805" s="667"/>
      <c r="H805" s="667"/>
      <c r="I805" s="667"/>
      <c r="J805" s="667"/>
      <c r="K805" s="667"/>
      <c r="L805" s="667"/>
      <c r="M805" s="667"/>
      <c r="N805" s="667"/>
      <c r="O805" s="667"/>
      <c r="P805" s="667"/>
      <c r="Q805" s="667"/>
    </row>
    <row r="806" ht="15.75" customHeight="1">
      <c r="B806" s="667"/>
      <c r="C806" s="667"/>
      <c r="D806" s="667"/>
      <c r="E806" s="668"/>
      <c r="F806" s="667"/>
      <c r="G806" s="667"/>
      <c r="H806" s="667"/>
      <c r="I806" s="667"/>
      <c r="J806" s="667"/>
      <c r="K806" s="667"/>
      <c r="L806" s="667"/>
      <c r="M806" s="667"/>
      <c r="N806" s="667"/>
      <c r="O806" s="667"/>
      <c r="P806" s="667"/>
      <c r="Q806" s="667"/>
    </row>
    <row r="807" ht="15.75" customHeight="1">
      <c r="B807" s="667"/>
      <c r="C807" s="667"/>
      <c r="D807" s="667"/>
      <c r="E807" s="668"/>
      <c r="F807" s="667"/>
      <c r="G807" s="667"/>
      <c r="H807" s="667"/>
      <c r="I807" s="667"/>
      <c r="J807" s="667"/>
      <c r="K807" s="667"/>
      <c r="L807" s="667"/>
      <c r="M807" s="667"/>
      <c r="N807" s="667"/>
      <c r="O807" s="667"/>
      <c r="P807" s="667"/>
      <c r="Q807" s="667"/>
    </row>
    <row r="808" ht="15.75" customHeight="1">
      <c r="B808" s="667"/>
      <c r="C808" s="667"/>
      <c r="D808" s="667"/>
      <c r="E808" s="668"/>
      <c r="F808" s="667"/>
      <c r="G808" s="667"/>
      <c r="H808" s="667"/>
      <c r="I808" s="667"/>
      <c r="J808" s="667"/>
      <c r="K808" s="667"/>
      <c r="L808" s="667"/>
      <c r="M808" s="667"/>
      <c r="N808" s="667"/>
      <c r="O808" s="667"/>
      <c r="P808" s="667"/>
      <c r="Q808" s="667"/>
    </row>
    <row r="809" ht="15.75" customHeight="1">
      <c r="B809" s="667"/>
      <c r="C809" s="667"/>
      <c r="D809" s="667"/>
      <c r="E809" s="668"/>
      <c r="F809" s="667"/>
      <c r="G809" s="667"/>
      <c r="H809" s="667"/>
      <c r="I809" s="667"/>
      <c r="J809" s="667"/>
      <c r="K809" s="667"/>
      <c r="L809" s="667"/>
      <c r="M809" s="667"/>
      <c r="N809" s="667"/>
      <c r="O809" s="667"/>
      <c r="P809" s="667"/>
      <c r="Q809" s="667"/>
    </row>
    <row r="810" ht="15.75" customHeight="1">
      <c r="B810" s="667"/>
      <c r="C810" s="667"/>
      <c r="D810" s="667"/>
      <c r="E810" s="668"/>
      <c r="F810" s="667"/>
      <c r="G810" s="667"/>
      <c r="H810" s="667"/>
      <c r="I810" s="667"/>
      <c r="J810" s="667"/>
      <c r="K810" s="667"/>
      <c r="L810" s="667"/>
      <c r="M810" s="667"/>
      <c r="N810" s="667"/>
      <c r="O810" s="667"/>
      <c r="P810" s="667"/>
      <c r="Q810" s="667"/>
    </row>
    <row r="811" ht="15.75" customHeight="1">
      <c r="B811" s="667"/>
      <c r="C811" s="667"/>
      <c r="D811" s="667"/>
      <c r="E811" s="668"/>
      <c r="F811" s="667"/>
      <c r="G811" s="667"/>
      <c r="H811" s="667"/>
      <c r="I811" s="667"/>
      <c r="J811" s="667"/>
      <c r="K811" s="667"/>
      <c r="L811" s="667"/>
      <c r="M811" s="667"/>
      <c r="N811" s="667"/>
      <c r="O811" s="667"/>
      <c r="P811" s="667"/>
      <c r="Q811" s="667"/>
    </row>
    <row r="812" ht="15.75" customHeight="1">
      <c r="B812" s="667"/>
      <c r="C812" s="667"/>
      <c r="D812" s="667"/>
      <c r="E812" s="668"/>
      <c r="F812" s="667"/>
      <c r="G812" s="667"/>
      <c r="H812" s="667"/>
      <c r="I812" s="667"/>
      <c r="J812" s="667"/>
      <c r="K812" s="667"/>
      <c r="L812" s="667"/>
      <c r="M812" s="667"/>
      <c r="N812" s="667"/>
      <c r="O812" s="667"/>
      <c r="P812" s="667"/>
      <c r="Q812" s="667"/>
    </row>
    <row r="813" ht="15.75" customHeight="1">
      <c r="B813" s="667"/>
      <c r="C813" s="667"/>
      <c r="D813" s="667"/>
      <c r="E813" s="668"/>
      <c r="F813" s="667"/>
      <c r="G813" s="667"/>
      <c r="H813" s="667"/>
      <c r="I813" s="667"/>
      <c r="J813" s="667"/>
      <c r="K813" s="667"/>
      <c r="L813" s="667"/>
      <c r="M813" s="667"/>
      <c r="N813" s="667"/>
      <c r="O813" s="667"/>
      <c r="P813" s="667"/>
      <c r="Q813" s="667"/>
    </row>
    <row r="814" ht="15.75" customHeight="1">
      <c r="B814" s="667"/>
      <c r="C814" s="667"/>
      <c r="D814" s="667"/>
      <c r="E814" s="668"/>
      <c r="F814" s="667"/>
      <c r="G814" s="667"/>
      <c r="H814" s="667"/>
      <c r="I814" s="667"/>
      <c r="J814" s="667"/>
      <c r="K814" s="667"/>
      <c r="L814" s="667"/>
      <c r="M814" s="667"/>
      <c r="N814" s="667"/>
      <c r="O814" s="667"/>
      <c r="P814" s="667"/>
      <c r="Q814" s="667"/>
    </row>
    <row r="815" ht="15.75" customHeight="1">
      <c r="B815" s="667"/>
      <c r="C815" s="667"/>
      <c r="D815" s="667"/>
      <c r="E815" s="668"/>
      <c r="F815" s="667"/>
      <c r="G815" s="667"/>
      <c r="H815" s="667"/>
      <c r="I815" s="667"/>
      <c r="J815" s="667"/>
      <c r="K815" s="667"/>
      <c r="L815" s="667"/>
      <c r="M815" s="667"/>
      <c r="N815" s="667"/>
      <c r="O815" s="667"/>
      <c r="P815" s="667"/>
      <c r="Q815" s="667"/>
    </row>
    <row r="816" ht="15.75" customHeight="1">
      <c r="B816" s="667"/>
      <c r="C816" s="667"/>
      <c r="D816" s="667"/>
      <c r="E816" s="668"/>
      <c r="F816" s="667"/>
      <c r="G816" s="667"/>
      <c r="H816" s="667"/>
      <c r="I816" s="667"/>
      <c r="J816" s="667"/>
      <c r="K816" s="667"/>
      <c r="L816" s="667"/>
      <c r="M816" s="667"/>
      <c r="N816" s="667"/>
      <c r="O816" s="667"/>
      <c r="P816" s="667"/>
      <c r="Q816" s="667"/>
    </row>
    <row r="817" ht="15.75" customHeight="1">
      <c r="B817" s="667"/>
      <c r="C817" s="667"/>
      <c r="D817" s="667"/>
      <c r="E817" s="668"/>
      <c r="F817" s="667"/>
      <c r="G817" s="667"/>
      <c r="H817" s="667"/>
      <c r="I817" s="667"/>
      <c r="J817" s="667"/>
      <c r="K817" s="667"/>
      <c r="L817" s="667"/>
      <c r="M817" s="667"/>
      <c r="N817" s="667"/>
      <c r="O817" s="667"/>
      <c r="P817" s="667"/>
      <c r="Q817" s="667"/>
    </row>
    <row r="818" ht="15.75" customHeight="1">
      <c r="B818" s="667"/>
      <c r="C818" s="667"/>
      <c r="D818" s="667"/>
      <c r="E818" s="668"/>
      <c r="F818" s="667"/>
      <c r="G818" s="667"/>
      <c r="H818" s="667"/>
      <c r="I818" s="667"/>
      <c r="J818" s="667"/>
      <c r="K818" s="667"/>
      <c r="L818" s="667"/>
      <c r="M818" s="667"/>
      <c r="N818" s="667"/>
      <c r="O818" s="667"/>
      <c r="P818" s="667"/>
      <c r="Q818" s="667"/>
    </row>
    <row r="819" ht="15.75" customHeight="1">
      <c r="B819" s="667"/>
      <c r="C819" s="667"/>
      <c r="D819" s="667"/>
      <c r="E819" s="668"/>
      <c r="F819" s="667"/>
      <c r="G819" s="667"/>
      <c r="H819" s="667"/>
      <c r="I819" s="667"/>
      <c r="J819" s="667"/>
      <c r="K819" s="667"/>
      <c r="L819" s="667"/>
      <c r="M819" s="667"/>
      <c r="N819" s="667"/>
      <c r="O819" s="667"/>
      <c r="P819" s="667"/>
      <c r="Q819" s="667"/>
    </row>
    <row r="820" ht="15.75" customHeight="1">
      <c r="B820" s="667"/>
      <c r="C820" s="667"/>
      <c r="D820" s="667"/>
      <c r="E820" s="668"/>
      <c r="F820" s="667"/>
      <c r="G820" s="667"/>
      <c r="H820" s="667"/>
      <c r="I820" s="667"/>
      <c r="J820" s="667"/>
      <c r="K820" s="667"/>
      <c r="L820" s="667"/>
      <c r="M820" s="667"/>
      <c r="N820" s="667"/>
      <c r="O820" s="667"/>
      <c r="P820" s="667"/>
      <c r="Q820" s="667"/>
    </row>
    <row r="821" ht="15.75" customHeight="1">
      <c r="B821" s="667"/>
      <c r="C821" s="667"/>
      <c r="D821" s="667"/>
      <c r="E821" s="668"/>
      <c r="F821" s="667"/>
      <c r="G821" s="667"/>
      <c r="H821" s="667"/>
      <c r="I821" s="667"/>
      <c r="J821" s="667"/>
      <c r="K821" s="667"/>
      <c r="L821" s="667"/>
      <c r="M821" s="667"/>
      <c r="N821" s="667"/>
      <c r="O821" s="667"/>
      <c r="P821" s="667"/>
      <c r="Q821" s="667"/>
    </row>
    <row r="822" ht="15.75" customHeight="1">
      <c r="B822" s="667"/>
      <c r="C822" s="667"/>
      <c r="D822" s="667"/>
      <c r="E822" s="668"/>
      <c r="F822" s="667"/>
      <c r="G822" s="667"/>
      <c r="H822" s="667"/>
      <c r="I822" s="667"/>
      <c r="J822" s="667"/>
      <c r="K822" s="667"/>
      <c r="L822" s="667"/>
      <c r="M822" s="667"/>
      <c r="N822" s="667"/>
      <c r="O822" s="667"/>
      <c r="P822" s="667"/>
      <c r="Q822" s="667"/>
    </row>
    <row r="823" ht="15.75" customHeight="1">
      <c r="B823" s="667"/>
      <c r="C823" s="667"/>
      <c r="D823" s="667"/>
      <c r="E823" s="668"/>
      <c r="F823" s="667"/>
      <c r="G823" s="667"/>
      <c r="H823" s="667"/>
      <c r="I823" s="667"/>
      <c r="J823" s="667"/>
      <c r="K823" s="667"/>
      <c r="L823" s="667"/>
      <c r="M823" s="667"/>
      <c r="N823" s="667"/>
      <c r="O823" s="667"/>
      <c r="P823" s="667"/>
      <c r="Q823" s="667"/>
    </row>
    <row r="824" ht="15.75" customHeight="1">
      <c r="B824" s="667"/>
      <c r="C824" s="667"/>
      <c r="D824" s="667"/>
      <c r="E824" s="668"/>
      <c r="F824" s="667"/>
      <c r="G824" s="667"/>
      <c r="H824" s="667"/>
      <c r="I824" s="667"/>
      <c r="J824" s="667"/>
      <c r="K824" s="667"/>
      <c r="L824" s="667"/>
      <c r="M824" s="667"/>
      <c r="N824" s="667"/>
      <c r="O824" s="667"/>
      <c r="P824" s="667"/>
      <c r="Q824" s="667"/>
    </row>
    <row r="825" ht="15.75" customHeight="1">
      <c r="B825" s="667"/>
      <c r="C825" s="667"/>
      <c r="D825" s="667"/>
      <c r="E825" s="668"/>
      <c r="F825" s="667"/>
      <c r="G825" s="667"/>
      <c r="H825" s="667"/>
      <c r="I825" s="667"/>
      <c r="J825" s="667"/>
      <c r="K825" s="667"/>
      <c r="L825" s="667"/>
      <c r="M825" s="667"/>
      <c r="N825" s="667"/>
      <c r="O825" s="667"/>
      <c r="P825" s="667"/>
      <c r="Q825" s="667"/>
    </row>
    <row r="826" ht="15.75" customHeight="1">
      <c r="B826" s="667"/>
      <c r="C826" s="667"/>
      <c r="D826" s="667"/>
      <c r="E826" s="668"/>
      <c r="F826" s="667"/>
      <c r="G826" s="667"/>
      <c r="H826" s="667"/>
      <c r="I826" s="667"/>
      <c r="J826" s="667"/>
      <c r="K826" s="667"/>
      <c r="L826" s="667"/>
      <c r="M826" s="667"/>
      <c r="N826" s="667"/>
      <c r="O826" s="667"/>
      <c r="P826" s="667"/>
      <c r="Q826" s="667"/>
    </row>
    <row r="827" ht="15.75" customHeight="1">
      <c r="B827" s="667"/>
      <c r="C827" s="667"/>
      <c r="D827" s="667"/>
      <c r="E827" s="668"/>
      <c r="F827" s="667"/>
      <c r="G827" s="667"/>
      <c r="H827" s="667"/>
      <c r="I827" s="667"/>
      <c r="J827" s="667"/>
      <c r="K827" s="667"/>
      <c r="L827" s="667"/>
      <c r="M827" s="667"/>
      <c r="N827" s="667"/>
      <c r="O827" s="667"/>
      <c r="P827" s="667"/>
      <c r="Q827" s="667"/>
    </row>
    <row r="828" ht="15.75" customHeight="1">
      <c r="B828" s="667"/>
      <c r="C828" s="667"/>
      <c r="D828" s="667"/>
      <c r="E828" s="668"/>
      <c r="F828" s="667"/>
      <c r="G828" s="667"/>
      <c r="H828" s="667"/>
      <c r="I828" s="667"/>
      <c r="J828" s="667"/>
      <c r="K828" s="667"/>
      <c r="L828" s="667"/>
      <c r="M828" s="667"/>
      <c r="N828" s="667"/>
      <c r="O828" s="667"/>
      <c r="P828" s="667"/>
      <c r="Q828" s="667"/>
    </row>
    <row r="829" ht="15.75" customHeight="1">
      <c r="B829" s="667"/>
      <c r="C829" s="667"/>
      <c r="D829" s="667"/>
      <c r="E829" s="668"/>
      <c r="F829" s="667"/>
      <c r="G829" s="667"/>
      <c r="H829" s="667"/>
      <c r="I829" s="667"/>
      <c r="J829" s="667"/>
      <c r="K829" s="667"/>
      <c r="L829" s="667"/>
      <c r="M829" s="667"/>
      <c r="N829" s="667"/>
      <c r="O829" s="667"/>
      <c r="P829" s="667"/>
      <c r="Q829" s="667"/>
    </row>
    <row r="830" ht="15.75" customHeight="1">
      <c r="B830" s="667"/>
      <c r="C830" s="667"/>
      <c r="D830" s="667"/>
      <c r="E830" s="668"/>
      <c r="F830" s="667"/>
      <c r="G830" s="667"/>
      <c r="H830" s="667"/>
      <c r="I830" s="667"/>
      <c r="J830" s="667"/>
      <c r="K830" s="667"/>
      <c r="L830" s="667"/>
      <c r="M830" s="667"/>
      <c r="N830" s="667"/>
      <c r="O830" s="667"/>
      <c r="P830" s="667"/>
      <c r="Q830" s="667"/>
    </row>
    <row r="831" ht="15.75" customHeight="1">
      <c r="B831" s="667"/>
      <c r="C831" s="667"/>
      <c r="D831" s="667"/>
      <c r="E831" s="668"/>
      <c r="F831" s="667"/>
      <c r="G831" s="667"/>
      <c r="H831" s="667"/>
      <c r="I831" s="667"/>
      <c r="J831" s="667"/>
      <c r="K831" s="667"/>
      <c r="L831" s="667"/>
      <c r="M831" s="667"/>
      <c r="N831" s="667"/>
      <c r="O831" s="667"/>
      <c r="P831" s="667"/>
      <c r="Q831" s="667"/>
    </row>
    <row r="832" ht="15.75" customHeight="1">
      <c r="B832" s="667"/>
      <c r="C832" s="667"/>
      <c r="D832" s="667"/>
      <c r="E832" s="668"/>
      <c r="F832" s="667"/>
      <c r="G832" s="667"/>
      <c r="H832" s="667"/>
      <c r="I832" s="667"/>
      <c r="J832" s="667"/>
      <c r="K832" s="667"/>
      <c r="L832" s="667"/>
      <c r="M832" s="667"/>
      <c r="N832" s="667"/>
      <c r="O832" s="667"/>
      <c r="P832" s="667"/>
      <c r="Q832" s="667"/>
    </row>
    <row r="833" ht="15.75" customHeight="1">
      <c r="B833" s="667"/>
      <c r="C833" s="667"/>
      <c r="D833" s="667"/>
      <c r="E833" s="668"/>
      <c r="F833" s="667"/>
      <c r="G833" s="667"/>
      <c r="H833" s="667"/>
      <c r="I833" s="667"/>
      <c r="J833" s="667"/>
      <c r="K833" s="667"/>
      <c r="L833" s="667"/>
      <c r="M833" s="667"/>
      <c r="N833" s="667"/>
      <c r="O833" s="667"/>
      <c r="P833" s="667"/>
      <c r="Q833" s="667"/>
    </row>
    <row r="834" ht="15.75" customHeight="1">
      <c r="B834" s="667"/>
      <c r="C834" s="667"/>
      <c r="D834" s="667"/>
      <c r="E834" s="668"/>
      <c r="F834" s="667"/>
      <c r="G834" s="667"/>
      <c r="H834" s="667"/>
      <c r="I834" s="667"/>
      <c r="J834" s="667"/>
      <c r="K834" s="667"/>
      <c r="L834" s="667"/>
      <c r="M834" s="667"/>
      <c r="N834" s="667"/>
      <c r="O834" s="667"/>
      <c r="P834" s="667"/>
      <c r="Q834" s="667"/>
    </row>
    <row r="835" ht="15.75" customHeight="1">
      <c r="B835" s="667"/>
      <c r="C835" s="667"/>
      <c r="D835" s="667"/>
      <c r="E835" s="668"/>
      <c r="F835" s="667"/>
      <c r="G835" s="667"/>
      <c r="H835" s="667"/>
      <c r="I835" s="667"/>
      <c r="J835" s="667"/>
      <c r="K835" s="667"/>
      <c r="L835" s="667"/>
      <c r="M835" s="667"/>
      <c r="N835" s="667"/>
      <c r="O835" s="667"/>
      <c r="P835" s="667"/>
      <c r="Q835" s="667"/>
    </row>
    <row r="836" ht="15.75" customHeight="1">
      <c r="B836" s="667"/>
      <c r="C836" s="667"/>
      <c r="D836" s="667"/>
      <c r="E836" s="668"/>
      <c r="F836" s="667"/>
      <c r="G836" s="667"/>
      <c r="H836" s="667"/>
      <c r="I836" s="667"/>
      <c r="J836" s="667"/>
      <c r="K836" s="667"/>
      <c r="L836" s="667"/>
      <c r="M836" s="667"/>
      <c r="N836" s="667"/>
      <c r="O836" s="667"/>
      <c r="P836" s="667"/>
      <c r="Q836" s="667"/>
    </row>
    <row r="837" ht="15.75" customHeight="1">
      <c r="B837" s="667"/>
      <c r="C837" s="667"/>
      <c r="D837" s="667"/>
      <c r="E837" s="668"/>
      <c r="F837" s="667"/>
      <c r="G837" s="667"/>
      <c r="H837" s="667"/>
      <c r="I837" s="667"/>
      <c r="J837" s="667"/>
      <c r="K837" s="667"/>
      <c r="L837" s="667"/>
      <c r="M837" s="667"/>
      <c r="N837" s="667"/>
      <c r="O837" s="667"/>
      <c r="P837" s="667"/>
      <c r="Q837" s="667"/>
    </row>
    <row r="838" ht="15.75" customHeight="1">
      <c r="B838" s="667"/>
      <c r="C838" s="667"/>
      <c r="D838" s="667"/>
      <c r="E838" s="668"/>
      <c r="F838" s="667"/>
      <c r="G838" s="667"/>
      <c r="H838" s="667"/>
      <c r="I838" s="667"/>
      <c r="J838" s="667"/>
      <c r="K838" s="667"/>
      <c r="L838" s="667"/>
      <c r="M838" s="667"/>
      <c r="N838" s="667"/>
      <c r="O838" s="667"/>
      <c r="P838" s="667"/>
      <c r="Q838" s="667"/>
    </row>
    <row r="839" ht="15.75" customHeight="1">
      <c r="B839" s="667"/>
      <c r="C839" s="667"/>
      <c r="D839" s="667"/>
      <c r="E839" s="668"/>
      <c r="F839" s="667"/>
      <c r="G839" s="667"/>
      <c r="H839" s="667"/>
      <c r="I839" s="667"/>
      <c r="J839" s="667"/>
      <c r="K839" s="667"/>
      <c r="L839" s="667"/>
      <c r="M839" s="667"/>
      <c r="N839" s="667"/>
      <c r="O839" s="667"/>
      <c r="P839" s="667"/>
      <c r="Q839" s="667"/>
    </row>
    <row r="840" ht="15.75" customHeight="1">
      <c r="B840" s="667"/>
      <c r="C840" s="667"/>
      <c r="D840" s="667"/>
      <c r="E840" s="668"/>
      <c r="F840" s="667"/>
      <c r="G840" s="667"/>
      <c r="H840" s="667"/>
      <c r="I840" s="667"/>
      <c r="J840" s="667"/>
      <c r="K840" s="667"/>
      <c r="L840" s="667"/>
      <c r="M840" s="667"/>
      <c r="N840" s="667"/>
      <c r="O840" s="667"/>
      <c r="P840" s="667"/>
      <c r="Q840" s="667"/>
    </row>
    <row r="841" ht="15.75" customHeight="1">
      <c r="B841" s="667"/>
      <c r="C841" s="667"/>
      <c r="D841" s="667"/>
      <c r="E841" s="668"/>
      <c r="F841" s="667"/>
      <c r="G841" s="667"/>
      <c r="H841" s="667"/>
      <c r="I841" s="667"/>
      <c r="J841" s="667"/>
      <c r="K841" s="667"/>
      <c r="L841" s="667"/>
      <c r="M841" s="667"/>
      <c r="N841" s="667"/>
      <c r="O841" s="667"/>
      <c r="P841" s="667"/>
      <c r="Q841" s="667"/>
    </row>
    <row r="842" ht="15.75" customHeight="1">
      <c r="B842" s="667"/>
      <c r="C842" s="667"/>
      <c r="D842" s="667"/>
      <c r="E842" s="668"/>
      <c r="F842" s="667"/>
      <c r="G842" s="667"/>
      <c r="H842" s="667"/>
      <c r="I842" s="667"/>
      <c r="J842" s="667"/>
      <c r="K842" s="667"/>
      <c r="L842" s="667"/>
      <c r="M842" s="667"/>
      <c r="N842" s="667"/>
      <c r="O842" s="667"/>
      <c r="P842" s="667"/>
      <c r="Q842" s="667"/>
    </row>
    <row r="843" ht="15.75" customHeight="1">
      <c r="B843" s="667"/>
      <c r="C843" s="667"/>
      <c r="D843" s="667"/>
      <c r="E843" s="668"/>
      <c r="F843" s="667"/>
      <c r="G843" s="667"/>
      <c r="H843" s="667"/>
      <c r="I843" s="667"/>
      <c r="J843" s="667"/>
      <c r="K843" s="667"/>
      <c r="L843" s="667"/>
      <c r="M843" s="667"/>
      <c r="N843" s="667"/>
      <c r="O843" s="667"/>
      <c r="P843" s="667"/>
      <c r="Q843" s="667"/>
    </row>
    <row r="844" ht="15.75" customHeight="1">
      <c r="B844" s="667"/>
      <c r="C844" s="667"/>
      <c r="D844" s="667"/>
      <c r="E844" s="668"/>
      <c r="F844" s="667"/>
      <c r="G844" s="667"/>
      <c r="H844" s="667"/>
      <c r="I844" s="667"/>
      <c r="J844" s="667"/>
      <c r="K844" s="667"/>
      <c r="L844" s="667"/>
      <c r="M844" s="667"/>
      <c r="N844" s="667"/>
      <c r="O844" s="667"/>
      <c r="P844" s="667"/>
      <c r="Q844" s="667"/>
    </row>
    <row r="845" ht="15.75" customHeight="1">
      <c r="B845" s="667"/>
      <c r="C845" s="667"/>
      <c r="D845" s="667"/>
      <c r="E845" s="668"/>
      <c r="F845" s="667"/>
      <c r="G845" s="667"/>
      <c r="H845" s="667"/>
      <c r="I845" s="667"/>
      <c r="J845" s="667"/>
      <c r="K845" s="667"/>
      <c r="L845" s="667"/>
      <c r="M845" s="667"/>
      <c r="N845" s="667"/>
      <c r="O845" s="667"/>
      <c r="P845" s="667"/>
      <c r="Q845" s="667"/>
    </row>
    <row r="846" ht="15.75" customHeight="1">
      <c r="B846" s="667"/>
      <c r="C846" s="667"/>
      <c r="D846" s="667"/>
      <c r="E846" s="668"/>
      <c r="F846" s="667"/>
      <c r="G846" s="667"/>
      <c r="H846" s="667"/>
      <c r="I846" s="667"/>
      <c r="J846" s="667"/>
      <c r="K846" s="667"/>
      <c r="L846" s="667"/>
      <c r="M846" s="667"/>
      <c r="N846" s="667"/>
      <c r="O846" s="667"/>
      <c r="P846" s="667"/>
      <c r="Q846" s="667"/>
    </row>
    <row r="847" ht="15.75" customHeight="1">
      <c r="B847" s="667"/>
      <c r="C847" s="667"/>
      <c r="D847" s="667"/>
      <c r="E847" s="668"/>
      <c r="F847" s="667"/>
      <c r="G847" s="667"/>
      <c r="H847" s="667"/>
      <c r="I847" s="667"/>
      <c r="J847" s="667"/>
      <c r="K847" s="667"/>
      <c r="L847" s="667"/>
      <c r="M847" s="667"/>
      <c r="N847" s="667"/>
      <c r="O847" s="667"/>
      <c r="P847" s="667"/>
      <c r="Q847" s="667"/>
    </row>
    <row r="848" ht="15.75" customHeight="1">
      <c r="B848" s="667"/>
      <c r="C848" s="667"/>
      <c r="D848" s="667"/>
      <c r="E848" s="668"/>
      <c r="F848" s="667"/>
      <c r="G848" s="667"/>
      <c r="H848" s="667"/>
      <c r="I848" s="667"/>
      <c r="J848" s="667"/>
      <c r="K848" s="667"/>
      <c r="L848" s="667"/>
      <c r="M848" s="667"/>
      <c r="N848" s="667"/>
      <c r="O848" s="667"/>
      <c r="P848" s="667"/>
      <c r="Q848" s="667"/>
    </row>
    <row r="849" ht="15.75" customHeight="1">
      <c r="B849" s="667"/>
      <c r="C849" s="667"/>
      <c r="D849" s="667"/>
      <c r="E849" s="668"/>
      <c r="F849" s="667"/>
      <c r="G849" s="667"/>
      <c r="H849" s="667"/>
      <c r="I849" s="667"/>
      <c r="J849" s="667"/>
      <c r="K849" s="667"/>
      <c r="L849" s="667"/>
      <c r="M849" s="667"/>
      <c r="N849" s="667"/>
      <c r="O849" s="667"/>
      <c r="P849" s="667"/>
      <c r="Q849" s="667"/>
    </row>
    <row r="850" ht="15.75" customHeight="1">
      <c r="B850" s="667"/>
      <c r="C850" s="667"/>
      <c r="D850" s="667"/>
      <c r="E850" s="668"/>
      <c r="F850" s="667"/>
      <c r="G850" s="667"/>
      <c r="H850" s="667"/>
      <c r="I850" s="667"/>
      <c r="J850" s="667"/>
      <c r="K850" s="667"/>
      <c r="L850" s="667"/>
      <c r="M850" s="667"/>
      <c r="N850" s="667"/>
      <c r="O850" s="667"/>
      <c r="P850" s="667"/>
      <c r="Q850" s="667"/>
    </row>
    <row r="851" ht="15.75" customHeight="1">
      <c r="B851" s="667"/>
      <c r="C851" s="667"/>
      <c r="D851" s="667"/>
      <c r="E851" s="668"/>
      <c r="F851" s="667"/>
      <c r="G851" s="667"/>
      <c r="H851" s="667"/>
      <c r="I851" s="667"/>
      <c r="J851" s="667"/>
      <c r="K851" s="667"/>
      <c r="L851" s="667"/>
      <c r="M851" s="667"/>
      <c r="N851" s="667"/>
      <c r="O851" s="667"/>
      <c r="P851" s="667"/>
      <c r="Q851" s="667"/>
    </row>
    <row r="852" ht="15.75" customHeight="1">
      <c r="B852" s="667"/>
      <c r="C852" s="667"/>
      <c r="D852" s="667"/>
      <c r="E852" s="668"/>
      <c r="F852" s="667"/>
      <c r="G852" s="667"/>
      <c r="H852" s="667"/>
      <c r="I852" s="667"/>
      <c r="J852" s="667"/>
      <c r="K852" s="667"/>
      <c r="L852" s="667"/>
      <c r="M852" s="667"/>
      <c r="N852" s="667"/>
      <c r="O852" s="667"/>
      <c r="P852" s="667"/>
      <c r="Q852" s="667"/>
    </row>
    <row r="853" ht="15.75" customHeight="1">
      <c r="B853" s="667"/>
      <c r="C853" s="667"/>
      <c r="D853" s="667"/>
      <c r="E853" s="668"/>
      <c r="F853" s="667"/>
      <c r="G853" s="667"/>
      <c r="H853" s="667"/>
      <c r="I853" s="667"/>
      <c r="J853" s="667"/>
      <c r="K853" s="667"/>
      <c r="L853" s="667"/>
      <c r="M853" s="667"/>
      <c r="N853" s="667"/>
      <c r="O853" s="667"/>
      <c r="P853" s="667"/>
      <c r="Q853" s="667"/>
    </row>
    <row r="854" ht="15.75" customHeight="1">
      <c r="B854" s="667"/>
      <c r="C854" s="667"/>
      <c r="D854" s="667"/>
      <c r="E854" s="668"/>
      <c r="F854" s="667"/>
      <c r="G854" s="667"/>
      <c r="H854" s="667"/>
      <c r="I854" s="667"/>
      <c r="J854" s="667"/>
      <c r="K854" s="667"/>
      <c r="L854" s="667"/>
      <c r="M854" s="667"/>
      <c r="N854" s="667"/>
      <c r="O854" s="667"/>
      <c r="P854" s="667"/>
      <c r="Q854" s="667"/>
    </row>
    <row r="855" ht="15.75" customHeight="1">
      <c r="B855" s="667"/>
      <c r="C855" s="667"/>
      <c r="D855" s="667"/>
      <c r="E855" s="668"/>
      <c r="F855" s="667"/>
      <c r="G855" s="667"/>
      <c r="H855" s="667"/>
      <c r="I855" s="667"/>
      <c r="J855" s="667"/>
      <c r="K855" s="667"/>
      <c r="L855" s="667"/>
      <c r="M855" s="667"/>
      <c r="N855" s="667"/>
      <c r="O855" s="667"/>
      <c r="P855" s="667"/>
      <c r="Q855" s="667"/>
    </row>
    <row r="856" ht="15.75" customHeight="1">
      <c r="B856" s="667"/>
      <c r="C856" s="667"/>
      <c r="D856" s="667"/>
      <c r="E856" s="668"/>
      <c r="F856" s="667"/>
      <c r="G856" s="667"/>
      <c r="H856" s="667"/>
      <c r="I856" s="667"/>
      <c r="J856" s="667"/>
      <c r="K856" s="667"/>
      <c r="L856" s="667"/>
      <c r="M856" s="667"/>
      <c r="N856" s="667"/>
      <c r="O856" s="667"/>
      <c r="P856" s="667"/>
      <c r="Q856" s="667"/>
    </row>
    <row r="857" ht="15.75" customHeight="1">
      <c r="B857" s="667"/>
      <c r="C857" s="667"/>
      <c r="D857" s="667"/>
      <c r="E857" s="668"/>
      <c r="F857" s="667"/>
      <c r="G857" s="667"/>
      <c r="H857" s="667"/>
      <c r="I857" s="667"/>
      <c r="J857" s="667"/>
      <c r="K857" s="667"/>
      <c r="L857" s="667"/>
      <c r="M857" s="667"/>
      <c r="N857" s="667"/>
      <c r="O857" s="667"/>
      <c r="P857" s="667"/>
      <c r="Q857" s="667"/>
    </row>
    <row r="858" ht="15.75" customHeight="1">
      <c r="B858" s="667"/>
      <c r="C858" s="667"/>
      <c r="D858" s="667"/>
      <c r="E858" s="668"/>
      <c r="F858" s="667"/>
      <c r="G858" s="667"/>
      <c r="H858" s="667"/>
      <c r="I858" s="667"/>
      <c r="J858" s="667"/>
      <c r="K858" s="667"/>
      <c r="L858" s="667"/>
      <c r="M858" s="667"/>
      <c r="N858" s="667"/>
      <c r="O858" s="667"/>
      <c r="P858" s="667"/>
      <c r="Q858" s="667"/>
    </row>
    <row r="859" ht="15.75" customHeight="1">
      <c r="B859" s="667"/>
      <c r="C859" s="667"/>
      <c r="D859" s="667"/>
      <c r="E859" s="668"/>
      <c r="F859" s="667"/>
      <c r="G859" s="667"/>
      <c r="H859" s="667"/>
      <c r="I859" s="667"/>
      <c r="J859" s="667"/>
      <c r="K859" s="667"/>
      <c r="L859" s="667"/>
      <c r="M859" s="667"/>
      <c r="N859" s="667"/>
      <c r="O859" s="667"/>
      <c r="P859" s="667"/>
      <c r="Q859" s="667"/>
    </row>
    <row r="860" ht="15.75" customHeight="1">
      <c r="B860" s="667"/>
      <c r="C860" s="667"/>
      <c r="D860" s="667"/>
      <c r="E860" s="668"/>
      <c r="F860" s="667"/>
      <c r="G860" s="667"/>
      <c r="H860" s="667"/>
      <c r="I860" s="667"/>
      <c r="J860" s="667"/>
      <c r="K860" s="667"/>
      <c r="L860" s="667"/>
      <c r="M860" s="667"/>
      <c r="N860" s="667"/>
      <c r="O860" s="667"/>
      <c r="P860" s="667"/>
      <c r="Q860" s="667"/>
    </row>
    <row r="861" ht="15.75" customHeight="1">
      <c r="B861" s="667"/>
      <c r="C861" s="667"/>
      <c r="D861" s="667"/>
      <c r="E861" s="668"/>
      <c r="F861" s="667"/>
      <c r="G861" s="667"/>
      <c r="H861" s="667"/>
      <c r="I861" s="667"/>
      <c r="J861" s="667"/>
      <c r="K861" s="667"/>
      <c r="L861" s="667"/>
      <c r="M861" s="667"/>
      <c r="N861" s="667"/>
      <c r="O861" s="667"/>
      <c r="P861" s="667"/>
      <c r="Q861" s="667"/>
    </row>
    <row r="862" ht="15.75" customHeight="1">
      <c r="B862" s="667"/>
      <c r="C862" s="667"/>
      <c r="D862" s="667"/>
      <c r="E862" s="668"/>
      <c r="F862" s="667"/>
      <c r="G862" s="667"/>
      <c r="H862" s="667"/>
      <c r="I862" s="667"/>
      <c r="J862" s="667"/>
      <c r="K862" s="667"/>
      <c r="L862" s="667"/>
      <c r="M862" s="667"/>
      <c r="N862" s="667"/>
      <c r="O862" s="667"/>
      <c r="P862" s="667"/>
      <c r="Q862" s="667"/>
    </row>
    <row r="863" ht="15.75" customHeight="1">
      <c r="B863" s="667"/>
      <c r="C863" s="667"/>
      <c r="D863" s="667"/>
      <c r="E863" s="668"/>
      <c r="F863" s="667"/>
      <c r="G863" s="667"/>
      <c r="H863" s="667"/>
      <c r="I863" s="667"/>
      <c r="J863" s="667"/>
      <c r="K863" s="667"/>
      <c r="L863" s="667"/>
      <c r="M863" s="667"/>
      <c r="N863" s="667"/>
      <c r="O863" s="667"/>
      <c r="P863" s="667"/>
      <c r="Q863" s="667"/>
    </row>
    <row r="864" ht="15.75" customHeight="1">
      <c r="B864" s="667"/>
      <c r="C864" s="667"/>
      <c r="D864" s="667"/>
      <c r="E864" s="668"/>
      <c r="F864" s="667"/>
      <c r="G864" s="667"/>
      <c r="H864" s="667"/>
      <c r="I864" s="667"/>
      <c r="J864" s="667"/>
      <c r="K864" s="667"/>
      <c r="L864" s="667"/>
      <c r="M864" s="667"/>
      <c r="N864" s="667"/>
      <c r="O864" s="667"/>
      <c r="P864" s="667"/>
      <c r="Q864" s="667"/>
    </row>
    <row r="865" ht="15.75" customHeight="1">
      <c r="B865" s="667"/>
      <c r="C865" s="667"/>
      <c r="D865" s="667"/>
      <c r="E865" s="668"/>
      <c r="F865" s="667"/>
      <c r="G865" s="667"/>
      <c r="H865" s="667"/>
      <c r="I865" s="667"/>
      <c r="J865" s="667"/>
      <c r="K865" s="667"/>
      <c r="L865" s="667"/>
      <c r="M865" s="667"/>
      <c r="N865" s="667"/>
      <c r="O865" s="667"/>
      <c r="P865" s="667"/>
      <c r="Q865" s="667"/>
    </row>
    <row r="866" ht="15.75" customHeight="1">
      <c r="B866" s="667"/>
      <c r="C866" s="667"/>
      <c r="D866" s="667"/>
      <c r="E866" s="668"/>
      <c r="F866" s="667"/>
      <c r="G866" s="667"/>
      <c r="H866" s="667"/>
      <c r="I866" s="667"/>
      <c r="J866" s="667"/>
      <c r="K866" s="667"/>
      <c r="L866" s="667"/>
      <c r="M866" s="667"/>
      <c r="N866" s="667"/>
      <c r="O866" s="667"/>
      <c r="P866" s="667"/>
      <c r="Q866" s="667"/>
    </row>
    <row r="867" ht="15.75" customHeight="1">
      <c r="B867" s="667"/>
      <c r="C867" s="667"/>
      <c r="D867" s="667"/>
      <c r="E867" s="668"/>
      <c r="F867" s="667"/>
      <c r="G867" s="667"/>
      <c r="H867" s="667"/>
      <c r="I867" s="667"/>
      <c r="J867" s="667"/>
      <c r="K867" s="667"/>
      <c r="L867" s="667"/>
      <c r="M867" s="667"/>
      <c r="N867" s="667"/>
      <c r="O867" s="667"/>
      <c r="P867" s="667"/>
      <c r="Q867" s="667"/>
    </row>
    <row r="868" ht="15.75" customHeight="1">
      <c r="B868" s="667"/>
      <c r="C868" s="667"/>
      <c r="D868" s="667"/>
      <c r="E868" s="668"/>
      <c r="F868" s="667"/>
      <c r="G868" s="667"/>
      <c r="H868" s="667"/>
      <c r="I868" s="667"/>
      <c r="J868" s="667"/>
      <c r="K868" s="667"/>
      <c r="L868" s="667"/>
      <c r="M868" s="667"/>
      <c r="N868" s="667"/>
      <c r="O868" s="667"/>
      <c r="P868" s="667"/>
      <c r="Q868" s="667"/>
    </row>
    <row r="869" ht="15.75" customHeight="1">
      <c r="B869" s="667"/>
      <c r="C869" s="667"/>
      <c r="D869" s="667"/>
      <c r="E869" s="668"/>
      <c r="F869" s="667"/>
      <c r="G869" s="667"/>
      <c r="H869" s="667"/>
      <c r="I869" s="667"/>
      <c r="J869" s="667"/>
      <c r="K869" s="667"/>
      <c r="L869" s="667"/>
      <c r="M869" s="667"/>
      <c r="N869" s="667"/>
      <c r="O869" s="667"/>
      <c r="P869" s="667"/>
      <c r="Q869" s="667"/>
    </row>
    <row r="870" ht="15.75" customHeight="1">
      <c r="B870" s="667"/>
      <c r="C870" s="667"/>
      <c r="D870" s="667"/>
      <c r="E870" s="668"/>
      <c r="F870" s="667"/>
      <c r="G870" s="667"/>
      <c r="H870" s="667"/>
      <c r="I870" s="667"/>
      <c r="J870" s="667"/>
      <c r="K870" s="667"/>
      <c r="L870" s="667"/>
      <c r="M870" s="667"/>
      <c r="N870" s="667"/>
      <c r="O870" s="667"/>
      <c r="P870" s="667"/>
      <c r="Q870" s="667"/>
    </row>
    <row r="871" ht="15.75" customHeight="1">
      <c r="B871" s="667"/>
      <c r="C871" s="667"/>
      <c r="D871" s="667"/>
      <c r="E871" s="668"/>
      <c r="F871" s="667"/>
      <c r="G871" s="667"/>
      <c r="H871" s="667"/>
      <c r="I871" s="667"/>
      <c r="J871" s="667"/>
      <c r="K871" s="667"/>
      <c r="L871" s="667"/>
      <c r="M871" s="667"/>
      <c r="N871" s="667"/>
      <c r="O871" s="667"/>
      <c r="P871" s="667"/>
      <c r="Q871" s="667"/>
    </row>
    <row r="872" ht="15.75" customHeight="1">
      <c r="B872" s="667"/>
      <c r="C872" s="667"/>
      <c r="D872" s="667"/>
      <c r="E872" s="668"/>
      <c r="F872" s="667"/>
      <c r="G872" s="667"/>
      <c r="H872" s="667"/>
      <c r="I872" s="667"/>
      <c r="J872" s="667"/>
      <c r="K872" s="667"/>
      <c r="L872" s="667"/>
      <c r="M872" s="667"/>
      <c r="N872" s="667"/>
      <c r="O872" s="667"/>
      <c r="P872" s="667"/>
      <c r="Q872" s="667"/>
    </row>
    <row r="873" ht="15.75" customHeight="1">
      <c r="B873" s="667"/>
      <c r="C873" s="667"/>
      <c r="D873" s="667"/>
      <c r="E873" s="668"/>
      <c r="F873" s="667"/>
      <c r="G873" s="667"/>
      <c r="H873" s="667"/>
      <c r="I873" s="667"/>
      <c r="J873" s="667"/>
      <c r="K873" s="667"/>
      <c r="L873" s="667"/>
      <c r="M873" s="667"/>
      <c r="N873" s="667"/>
      <c r="O873" s="667"/>
      <c r="P873" s="667"/>
      <c r="Q873" s="667"/>
    </row>
    <row r="874" ht="15.75" customHeight="1">
      <c r="B874" s="667"/>
      <c r="C874" s="667"/>
      <c r="D874" s="667"/>
      <c r="E874" s="668"/>
      <c r="F874" s="667"/>
      <c r="G874" s="667"/>
      <c r="H874" s="667"/>
      <c r="I874" s="667"/>
      <c r="J874" s="667"/>
      <c r="K874" s="667"/>
      <c r="L874" s="667"/>
      <c r="M874" s="667"/>
      <c r="N874" s="667"/>
      <c r="O874" s="667"/>
      <c r="P874" s="667"/>
      <c r="Q874" s="667"/>
    </row>
    <row r="875" ht="15.75" customHeight="1">
      <c r="B875" s="667"/>
      <c r="C875" s="667"/>
      <c r="D875" s="667"/>
      <c r="E875" s="668"/>
      <c r="F875" s="667"/>
      <c r="G875" s="667"/>
      <c r="H875" s="667"/>
      <c r="I875" s="667"/>
      <c r="J875" s="667"/>
      <c r="K875" s="667"/>
      <c r="L875" s="667"/>
      <c r="M875" s="667"/>
      <c r="N875" s="667"/>
      <c r="O875" s="667"/>
      <c r="P875" s="667"/>
      <c r="Q875" s="667"/>
    </row>
    <row r="876" ht="15.75" customHeight="1">
      <c r="B876" s="667"/>
      <c r="C876" s="667"/>
      <c r="D876" s="667"/>
      <c r="E876" s="668"/>
      <c r="F876" s="667"/>
      <c r="G876" s="667"/>
      <c r="H876" s="667"/>
      <c r="I876" s="667"/>
      <c r="J876" s="667"/>
      <c r="K876" s="667"/>
      <c r="L876" s="667"/>
      <c r="M876" s="667"/>
      <c r="N876" s="667"/>
      <c r="O876" s="667"/>
      <c r="P876" s="667"/>
      <c r="Q876" s="667"/>
    </row>
    <row r="877" ht="15.75" customHeight="1">
      <c r="B877" s="667"/>
      <c r="C877" s="667"/>
      <c r="D877" s="667"/>
      <c r="E877" s="668"/>
      <c r="F877" s="667"/>
      <c r="G877" s="667"/>
      <c r="H877" s="667"/>
      <c r="I877" s="667"/>
      <c r="J877" s="667"/>
      <c r="K877" s="667"/>
      <c r="L877" s="667"/>
      <c r="M877" s="667"/>
      <c r="N877" s="667"/>
      <c r="O877" s="667"/>
      <c r="P877" s="667"/>
      <c r="Q877" s="667"/>
    </row>
    <row r="878" ht="15.75" customHeight="1">
      <c r="B878" s="667"/>
      <c r="C878" s="667"/>
      <c r="D878" s="667"/>
      <c r="E878" s="668"/>
      <c r="F878" s="667"/>
      <c r="G878" s="667"/>
      <c r="H878" s="667"/>
      <c r="I878" s="667"/>
      <c r="J878" s="667"/>
      <c r="K878" s="667"/>
      <c r="L878" s="667"/>
      <c r="M878" s="667"/>
      <c r="N878" s="667"/>
      <c r="O878" s="667"/>
      <c r="P878" s="667"/>
      <c r="Q878" s="667"/>
    </row>
    <row r="879" ht="15.75" customHeight="1">
      <c r="B879" s="667"/>
      <c r="C879" s="667"/>
      <c r="D879" s="667"/>
      <c r="E879" s="668"/>
      <c r="F879" s="667"/>
      <c r="G879" s="667"/>
      <c r="H879" s="667"/>
      <c r="I879" s="667"/>
      <c r="J879" s="667"/>
      <c r="K879" s="667"/>
      <c r="L879" s="667"/>
      <c r="M879" s="667"/>
      <c r="N879" s="667"/>
      <c r="O879" s="667"/>
      <c r="P879" s="667"/>
      <c r="Q879" s="667"/>
    </row>
    <row r="880" ht="15.75" customHeight="1">
      <c r="B880" s="667"/>
      <c r="C880" s="667"/>
      <c r="D880" s="667"/>
      <c r="E880" s="668"/>
      <c r="F880" s="667"/>
      <c r="G880" s="667"/>
      <c r="H880" s="667"/>
      <c r="I880" s="667"/>
      <c r="J880" s="667"/>
      <c r="K880" s="667"/>
      <c r="L880" s="667"/>
      <c r="M880" s="667"/>
      <c r="N880" s="667"/>
      <c r="O880" s="667"/>
      <c r="P880" s="667"/>
      <c r="Q880" s="667"/>
    </row>
    <row r="881" ht="15.75" customHeight="1">
      <c r="B881" s="667"/>
      <c r="C881" s="667"/>
      <c r="D881" s="667"/>
      <c r="E881" s="668"/>
      <c r="F881" s="667"/>
      <c r="G881" s="667"/>
      <c r="H881" s="667"/>
      <c r="I881" s="667"/>
      <c r="J881" s="667"/>
      <c r="K881" s="667"/>
      <c r="L881" s="667"/>
      <c r="M881" s="667"/>
      <c r="N881" s="667"/>
      <c r="O881" s="667"/>
      <c r="P881" s="667"/>
      <c r="Q881" s="667"/>
    </row>
    <row r="882" ht="15.75" customHeight="1">
      <c r="B882" s="667"/>
      <c r="C882" s="667"/>
      <c r="D882" s="667"/>
      <c r="E882" s="668"/>
      <c r="F882" s="667"/>
      <c r="G882" s="667"/>
      <c r="H882" s="667"/>
      <c r="I882" s="667"/>
      <c r="J882" s="667"/>
      <c r="K882" s="667"/>
      <c r="L882" s="667"/>
      <c r="M882" s="667"/>
      <c r="N882" s="667"/>
      <c r="O882" s="667"/>
      <c r="P882" s="667"/>
      <c r="Q882" s="667"/>
    </row>
    <row r="883" ht="15.75" customHeight="1">
      <c r="B883" s="667"/>
      <c r="C883" s="667"/>
      <c r="D883" s="667"/>
      <c r="E883" s="668"/>
      <c r="F883" s="667"/>
      <c r="G883" s="667"/>
      <c r="H883" s="667"/>
      <c r="I883" s="667"/>
      <c r="J883" s="667"/>
      <c r="K883" s="667"/>
      <c r="L883" s="667"/>
      <c r="M883" s="667"/>
      <c r="N883" s="667"/>
      <c r="O883" s="667"/>
      <c r="P883" s="667"/>
      <c r="Q883" s="667"/>
    </row>
    <row r="884" ht="15.75" customHeight="1">
      <c r="B884" s="667"/>
      <c r="C884" s="667"/>
      <c r="D884" s="667"/>
      <c r="E884" s="668"/>
      <c r="F884" s="667"/>
      <c r="G884" s="667"/>
      <c r="H884" s="667"/>
      <c r="I884" s="667"/>
      <c r="J884" s="667"/>
      <c r="K884" s="667"/>
      <c r="L884" s="667"/>
      <c r="M884" s="667"/>
      <c r="N884" s="667"/>
      <c r="O884" s="667"/>
      <c r="P884" s="667"/>
      <c r="Q884" s="667"/>
    </row>
    <row r="885" ht="15.75" customHeight="1">
      <c r="B885" s="667"/>
      <c r="C885" s="667"/>
      <c r="D885" s="667"/>
      <c r="E885" s="668"/>
      <c r="F885" s="667"/>
      <c r="G885" s="667"/>
      <c r="H885" s="667"/>
      <c r="I885" s="667"/>
      <c r="J885" s="667"/>
      <c r="K885" s="667"/>
      <c r="L885" s="667"/>
      <c r="M885" s="667"/>
      <c r="N885" s="667"/>
      <c r="O885" s="667"/>
      <c r="P885" s="667"/>
      <c r="Q885" s="667"/>
    </row>
    <row r="886" ht="15.75" customHeight="1">
      <c r="B886" s="667"/>
      <c r="C886" s="667"/>
      <c r="D886" s="667"/>
      <c r="E886" s="668"/>
      <c r="F886" s="667"/>
      <c r="G886" s="667"/>
      <c r="H886" s="667"/>
      <c r="I886" s="667"/>
      <c r="J886" s="667"/>
      <c r="K886" s="667"/>
      <c r="L886" s="667"/>
      <c r="M886" s="667"/>
      <c r="N886" s="667"/>
      <c r="O886" s="667"/>
      <c r="P886" s="667"/>
      <c r="Q886" s="667"/>
    </row>
    <row r="887" ht="15.75" customHeight="1">
      <c r="B887" s="667"/>
      <c r="C887" s="667"/>
      <c r="D887" s="667"/>
      <c r="E887" s="668"/>
      <c r="F887" s="667"/>
      <c r="G887" s="667"/>
      <c r="H887" s="667"/>
      <c r="I887" s="667"/>
      <c r="J887" s="667"/>
      <c r="K887" s="667"/>
      <c r="L887" s="667"/>
      <c r="M887" s="667"/>
      <c r="N887" s="667"/>
      <c r="O887" s="667"/>
      <c r="P887" s="667"/>
      <c r="Q887" s="667"/>
    </row>
    <row r="888" ht="15.75" customHeight="1">
      <c r="B888" s="667"/>
      <c r="C888" s="667"/>
      <c r="D888" s="667"/>
      <c r="E888" s="668"/>
      <c r="F888" s="667"/>
      <c r="G888" s="667"/>
      <c r="H888" s="667"/>
      <c r="I888" s="667"/>
      <c r="J888" s="667"/>
      <c r="K888" s="667"/>
      <c r="L888" s="667"/>
      <c r="M888" s="667"/>
      <c r="N888" s="667"/>
      <c r="O888" s="667"/>
      <c r="P888" s="667"/>
      <c r="Q888" s="667"/>
    </row>
    <row r="889" ht="15.75" customHeight="1">
      <c r="B889" s="667"/>
      <c r="C889" s="667"/>
      <c r="D889" s="667"/>
      <c r="E889" s="668"/>
      <c r="F889" s="667"/>
      <c r="G889" s="667"/>
      <c r="H889" s="667"/>
      <c r="I889" s="667"/>
      <c r="J889" s="667"/>
      <c r="K889" s="667"/>
      <c r="L889" s="667"/>
      <c r="M889" s="667"/>
      <c r="N889" s="667"/>
      <c r="O889" s="667"/>
      <c r="P889" s="667"/>
      <c r="Q889" s="667"/>
    </row>
    <row r="890" ht="15.75" customHeight="1">
      <c r="B890" s="667"/>
      <c r="C890" s="667"/>
      <c r="D890" s="667"/>
      <c r="E890" s="668"/>
      <c r="F890" s="667"/>
      <c r="G890" s="667"/>
      <c r="H890" s="667"/>
      <c r="I890" s="667"/>
      <c r="J890" s="667"/>
      <c r="K890" s="667"/>
      <c r="L890" s="667"/>
      <c r="M890" s="667"/>
      <c r="N890" s="667"/>
      <c r="O890" s="667"/>
      <c r="P890" s="667"/>
      <c r="Q890" s="667"/>
    </row>
    <row r="891" ht="15.75" customHeight="1">
      <c r="B891" s="667"/>
      <c r="C891" s="667"/>
      <c r="D891" s="667"/>
      <c r="E891" s="668"/>
      <c r="F891" s="667"/>
      <c r="G891" s="667"/>
      <c r="H891" s="667"/>
      <c r="I891" s="667"/>
      <c r="J891" s="667"/>
      <c r="K891" s="667"/>
      <c r="L891" s="667"/>
      <c r="M891" s="667"/>
      <c r="N891" s="667"/>
      <c r="O891" s="667"/>
      <c r="P891" s="667"/>
      <c r="Q891" s="667"/>
    </row>
    <row r="892" ht="15.75" customHeight="1">
      <c r="B892" s="667"/>
      <c r="C892" s="667"/>
      <c r="D892" s="667"/>
      <c r="E892" s="668"/>
      <c r="F892" s="667"/>
      <c r="G892" s="667"/>
      <c r="H892" s="667"/>
      <c r="I892" s="667"/>
      <c r="J892" s="667"/>
      <c r="K892" s="667"/>
      <c r="L892" s="667"/>
      <c r="M892" s="667"/>
      <c r="N892" s="667"/>
      <c r="O892" s="667"/>
      <c r="P892" s="667"/>
      <c r="Q892" s="667"/>
    </row>
    <row r="893" ht="15.75" customHeight="1">
      <c r="B893" s="667"/>
      <c r="C893" s="667"/>
      <c r="D893" s="667"/>
      <c r="E893" s="668"/>
      <c r="F893" s="667"/>
      <c r="G893" s="667"/>
      <c r="H893" s="667"/>
      <c r="I893" s="667"/>
      <c r="J893" s="667"/>
      <c r="K893" s="667"/>
      <c r="L893" s="667"/>
      <c r="M893" s="667"/>
      <c r="N893" s="667"/>
      <c r="O893" s="667"/>
      <c r="P893" s="667"/>
      <c r="Q893" s="667"/>
    </row>
    <row r="894" ht="15.75" customHeight="1">
      <c r="B894" s="667"/>
      <c r="C894" s="667"/>
      <c r="D894" s="667"/>
      <c r="E894" s="668"/>
      <c r="F894" s="667"/>
      <c r="G894" s="667"/>
      <c r="H894" s="667"/>
      <c r="I894" s="667"/>
      <c r="J894" s="667"/>
      <c r="K894" s="667"/>
      <c r="L894" s="667"/>
      <c r="M894" s="667"/>
      <c r="N894" s="667"/>
      <c r="O894" s="667"/>
      <c r="P894" s="667"/>
      <c r="Q894" s="667"/>
    </row>
    <row r="895" ht="15.75" customHeight="1">
      <c r="B895" s="667"/>
      <c r="C895" s="667"/>
      <c r="D895" s="667"/>
      <c r="E895" s="668"/>
      <c r="F895" s="667"/>
      <c r="G895" s="667"/>
      <c r="H895" s="667"/>
      <c r="I895" s="667"/>
      <c r="J895" s="667"/>
      <c r="K895" s="667"/>
      <c r="L895" s="667"/>
      <c r="M895" s="667"/>
      <c r="N895" s="667"/>
      <c r="O895" s="667"/>
      <c r="P895" s="667"/>
      <c r="Q895" s="667"/>
    </row>
    <row r="896" ht="15.75" customHeight="1">
      <c r="B896" s="667"/>
      <c r="C896" s="667"/>
      <c r="D896" s="667"/>
      <c r="E896" s="668"/>
      <c r="F896" s="667"/>
      <c r="G896" s="667"/>
      <c r="H896" s="667"/>
      <c r="I896" s="667"/>
      <c r="J896" s="667"/>
      <c r="K896" s="667"/>
      <c r="L896" s="667"/>
      <c r="M896" s="667"/>
      <c r="N896" s="667"/>
      <c r="O896" s="667"/>
      <c r="P896" s="667"/>
      <c r="Q896" s="667"/>
    </row>
    <row r="897" ht="15.75" customHeight="1">
      <c r="B897" s="667"/>
      <c r="C897" s="667"/>
      <c r="D897" s="667"/>
      <c r="E897" s="668"/>
      <c r="F897" s="667"/>
      <c r="G897" s="667"/>
      <c r="H897" s="667"/>
      <c r="I897" s="667"/>
      <c r="J897" s="667"/>
      <c r="K897" s="667"/>
      <c r="L897" s="667"/>
      <c r="M897" s="667"/>
      <c r="N897" s="667"/>
      <c r="O897" s="667"/>
      <c r="P897" s="667"/>
      <c r="Q897" s="667"/>
    </row>
    <row r="898" ht="15.75" customHeight="1">
      <c r="B898" s="667"/>
      <c r="C898" s="667"/>
      <c r="D898" s="667"/>
      <c r="E898" s="668"/>
      <c r="F898" s="667"/>
      <c r="G898" s="667"/>
      <c r="H898" s="667"/>
      <c r="I898" s="667"/>
      <c r="J898" s="667"/>
      <c r="K898" s="667"/>
      <c r="L898" s="667"/>
      <c r="M898" s="667"/>
      <c r="N898" s="667"/>
      <c r="O898" s="667"/>
      <c r="P898" s="667"/>
      <c r="Q898" s="667"/>
    </row>
    <row r="899" ht="15.75" customHeight="1">
      <c r="B899" s="667"/>
      <c r="C899" s="667"/>
      <c r="D899" s="667"/>
      <c r="E899" s="668"/>
      <c r="F899" s="667"/>
      <c r="G899" s="667"/>
      <c r="H899" s="667"/>
      <c r="I899" s="667"/>
      <c r="J899" s="667"/>
      <c r="K899" s="667"/>
      <c r="L899" s="667"/>
      <c r="M899" s="667"/>
      <c r="N899" s="667"/>
      <c r="O899" s="667"/>
      <c r="P899" s="667"/>
      <c r="Q899" s="667"/>
    </row>
    <row r="900" ht="15.75" customHeight="1">
      <c r="B900" s="667"/>
      <c r="C900" s="667"/>
      <c r="D900" s="667"/>
      <c r="E900" s="668"/>
      <c r="F900" s="667"/>
      <c r="G900" s="667"/>
      <c r="H900" s="667"/>
      <c r="I900" s="667"/>
      <c r="J900" s="667"/>
      <c r="K900" s="667"/>
      <c r="L900" s="667"/>
      <c r="M900" s="667"/>
      <c r="N900" s="667"/>
      <c r="O900" s="667"/>
      <c r="P900" s="667"/>
      <c r="Q900" s="667"/>
    </row>
    <row r="901" ht="15.75" customHeight="1">
      <c r="B901" s="667"/>
      <c r="C901" s="667"/>
      <c r="D901" s="667"/>
      <c r="E901" s="668"/>
      <c r="F901" s="667"/>
      <c r="G901" s="667"/>
      <c r="H901" s="667"/>
      <c r="I901" s="667"/>
      <c r="J901" s="667"/>
      <c r="K901" s="667"/>
      <c r="L901" s="667"/>
      <c r="M901" s="667"/>
      <c r="N901" s="667"/>
      <c r="O901" s="667"/>
      <c r="P901" s="667"/>
      <c r="Q901" s="667"/>
    </row>
    <row r="902" ht="15.75" customHeight="1">
      <c r="B902" s="667"/>
      <c r="C902" s="667"/>
      <c r="D902" s="667"/>
      <c r="E902" s="668"/>
      <c r="F902" s="667"/>
      <c r="G902" s="667"/>
      <c r="H902" s="667"/>
      <c r="I902" s="667"/>
      <c r="J902" s="667"/>
      <c r="K902" s="667"/>
      <c r="L902" s="667"/>
      <c r="M902" s="667"/>
      <c r="N902" s="667"/>
      <c r="O902" s="667"/>
      <c r="P902" s="667"/>
      <c r="Q902" s="667"/>
    </row>
    <row r="903" ht="15.75" customHeight="1">
      <c r="B903" s="667"/>
      <c r="C903" s="667"/>
      <c r="D903" s="667"/>
      <c r="E903" s="668"/>
      <c r="F903" s="667"/>
      <c r="G903" s="667"/>
      <c r="H903" s="667"/>
      <c r="I903" s="667"/>
      <c r="J903" s="667"/>
      <c r="K903" s="667"/>
      <c r="L903" s="667"/>
      <c r="M903" s="667"/>
      <c r="N903" s="667"/>
      <c r="O903" s="667"/>
      <c r="P903" s="667"/>
      <c r="Q903" s="667"/>
    </row>
    <row r="904" ht="15.75" customHeight="1">
      <c r="B904" s="667"/>
      <c r="C904" s="667"/>
      <c r="D904" s="667"/>
      <c r="E904" s="668"/>
      <c r="F904" s="667"/>
      <c r="G904" s="667"/>
      <c r="H904" s="667"/>
      <c r="I904" s="667"/>
      <c r="J904" s="667"/>
      <c r="K904" s="667"/>
      <c r="L904" s="667"/>
      <c r="M904" s="667"/>
      <c r="N904" s="667"/>
      <c r="O904" s="667"/>
      <c r="P904" s="667"/>
      <c r="Q904" s="667"/>
    </row>
    <row r="905" ht="15.75" customHeight="1">
      <c r="B905" s="667"/>
      <c r="C905" s="667"/>
      <c r="D905" s="667"/>
      <c r="E905" s="668"/>
      <c r="F905" s="667"/>
      <c r="G905" s="667"/>
      <c r="H905" s="667"/>
      <c r="I905" s="667"/>
      <c r="J905" s="667"/>
      <c r="K905" s="667"/>
      <c r="L905" s="667"/>
      <c r="M905" s="667"/>
      <c r="N905" s="667"/>
      <c r="O905" s="667"/>
      <c r="P905" s="667"/>
      <c r="Q905" s="667"/>
    </row>
    <row r="906" ht="15.75" customHeight="1">
      <c r="B906" s="667"/>
      <c r="C906" s="667"/>
      <c r="D906" s="667"/>
      <c r="E906" s="668"/>
      <c r="F906" s="667"/>
      <c r="G906" s="667"/>
      <c r="H906" s="667"/>
      <c r="I906" s="667"/>
      <c r="J906" s="667"/>
      <c r="K906" s="667"/>
      <c r="L906" s="667"/>
      <c r="M906" s="667"/>
      <c r="N906" s="667"/>
      <c r="O906" s="667"/>
      <c r="P906" s="667"/>
      <c r="Q906" s="667"/>
    </row>
    <row r="907" ht="15.75" customHeight="1">
      <c r="B907" s="667"/>
      <c r="C907" s="667"/>
      <c r="D907" s="667"/>
      <c r="E907" s="668"/>
      <c r="F907" s="667"/>
      <c r="G907" s="667"/>
      <c r="H907" s="667"/>
      <c r="I907" s="667"/>
      <c r="J907" s="667"/>
      <c r="K907" s="667"/>
      <c r="L907" s="667"/>
      <c r="M907" s="667"/>
      <c r="N907" s="667"/>
      <c r="O907" s="667"/>
      <c r="P907" s="667"/>
      <c r="Q907" s="667"/>
    </row>
    <row r="908" ht="15.75" customHeight="1">
      <c r="B908" s="667"/>
      <c r="C908" s="667"/>
      <c r="D908" s="667"/>
      <c r="E908" s="668"/>
      <c r="F908" s="667"/>
      <c r="G908" s="667"/>
      <c r="H908" s="667"/>
      <c r="I908" s="667"/>
      <c r="J908" s="667"/>
      <c r="K908" s="667"/>
      <c r="L908" s="667"/>
      <c r="M908" s="667"/>
      <c r="N908" s="667"/>
      <c r="O908" s="667"/>
      <c r="P908" s="667"/>
      <c r="Q908" s="667"/>
    </row>
    <row r="909" ht="15.75" customHeight="1">
      <c r="B909" s="667"/>
      <c r="C909" s="667"/>
      <c r="D909" s="667"/>
      <c r="E909" s="668"/>
      <c r="F909" s="667"/>
      <c r="G909" s="667"/>
      <c r="H909" s="667"/>
      <c r="I909" s="667"/>
      <c r="J909" s="667"/>
      <c r="K909" s="667"/>
      <c r="L909" s="667"/>
      <c r="M909" s="667"/>
      <c r="N909" s="667"/>
      <c r="O909" s="667"/>
      <c r="P909" s="667"/>
      <c r="Q909" s="667"/>
    </row>
    <row r="910" ht="15.75" customHeight="1">
      <c r="B910" s="667"/>
      <c r="C910" s="667"/>
      <c r="D910" s="667"/>
      <c r="E910" s="668"/>
      <c r="F910" s="667"/>
      <c r="G910" s="667"/>
      <c r="H910" s="667"/>
      <c r="I910" s="667"/>
      <c r="J910" s="667"/>
      <c r="K910" s="667"/>
      <c r="L910" s="667"/>
      <c r="M910" s="667"/>
      <c r="N910" s="667"/>
      <c r="O910" s="667"/>
      <c r="P910" s="667"/>
      <c r="Q910" s="667"/>
    </row>
    <row r="911" ht="15.75" customHeight="1">
      <c r="B911" s="667"/>
      <c r="C911" s="667"/>
      <c r="D911" s="667"/>
      <c r="E911" s="668"/>
      <c r="F911" s="667"/>
      <c r="G911" s="667"/>
      <c r="H911" s="667"/>
      <c r="I911" s="667"/>
      <c r="J911" s="667"/>
      <c r="K911" s="667"/>
      <c r="L911" s="667"/>
      <c r="M911" s="667"/>
      <c r="N911" s="667"/>
      <c r="O911" s="667"/>
      <c r="P911" s="667"/>
      <c r="Q911" s="667"/>
    </row>
    <row r="912" ht="15.75" customHeight="1">
      <c r="B912" s="667"/>
      <c r="C912" s="667"/>
      <c r="D912" s="667"/>
      <c r="E912" s="668"/>
      <c r="F912" s="667"/>
      <c r="G912" s="667"/>
      <c r="H912" s="667"/>
      <c r="I912" s="667"/>
      <c r="J912" s="667"/>
      <c r="K912" s="667"/>
      <c r="L912" s="667"/>
      <c r="M912" s="667"/>
      <c r="N912" s="667"/>
      <c r="O912" s="667"/>
      <c r="P912" s="667"/>
      <c r="Q912" s="667"/>
    </row>
    <row r="913" ht="15.75" customHeight="1">
      <c r="B913" s="667"/>
      <c r="C913" s="667"/>
      <c r="D913" s="667"/>
      <c r="E913" s="668"/>
      <c r="F913" s="667"/>
      <c r="G913" s="667"/>
      <c r="H913" s="667"/>
      <c r="I913" s="667"/>
      <c r="J913" s="667"/>
      <c r="K913" s="667"/>
      <c r="L913" s="667"/>
      <c r="M913" s="667"/>
      <c r="N913" s="667"/>
      <c r="O913" s="667"/>
      <c r="P913" s="667"/>
      <c r="Q913" s="667"/>
    </row>
    <row r="914" ht="15.75" customHeight="1">
      <c r="B914" s="667"/>
      <c r="C914" s="667"/>
      <c r="D914" s="667"/>
      <c r="E914" s="668"/>
      <c r="F914" s="667"/>
      <c r="G914" s="667"/>
      <c r="H914" s="667"/>
      <c r="I914" s="667"/>
      <c r="J914" s="667"/>
      <c r="K914" s="667"/>
      <c r="L914" s="667"/>
      <c r="M914" s="667"/>
      <c r="N914" s="667"/>
      <c r="O914" s="667"/>
      <c r="P914" s="667"/>
      <c r="Q914" s="667"/>
    </row>
    <row r="915" ht="15.75" customHeight="1">
      <c r="B915" s="667"/>
      <c r="C915" s="667"/>
      <c r="D915" s="667"/>
      <c r="E915" s="668"/>
      <c r="F915" s="667"/>
      <c r="G915" s="667"/>
      <c r="H915" s="667"/>
      <c r="I915" s="667"/>
      <c r="J915" s="667"/>
      <c r="K915" s="667"/>
      <c r="L915" s="667"/>
      <c r="M915" s="667"/>
      <c r="N915" s="667"/>
      <c r="O915" s="667"/>
      <c r="P915" s="667"/>
      <c r="Q915" s="667"/>
    </row>
    <row r="916" ht="15.75" customHeight="1">
      <c r="B916" s="667"/>
      <c r="C916" s="667"/>
      <c r="D916" s="667"/>
      <c r="E916" s="668"/>
      <c r="F916" s="667"/>
      <c r="G916" s="667"/>
      <c r="H916" s="667"/>
      <c r="I916" s="667"/>
      <c r="J916" s="667"/>
      <c r="K916" s="667"/>
      <c r="L916" s="667"/>
      <c r="M916" s="667"/>
      <c r="N916" s="667"/>
      <c r="O916" s="667"/>
      <c r="P916" s="667"/>
      <c r="Q916" s="667"/>
    </row>
    <row r="917" ht="15.75" customHeight="1">
      <c r="B917" s="667"/>
      <c r="C917" s="667"/>
      <c r="D917" s="667"/>
      <c r="E917" s="668"/>
      <c r="F917" s="667"/>
      <c r="G917" s="667"/>
      <c r="H917" s="667"/>
      <c r="I917" s="667"/>
      <c r="J917" s="667"/>
      <c r="K917" s="667"/>
      <c r="L917" s="667"/>
      <c r="M917" s="667"/>
      <c r="N917" s="667"/>
      <c r="O917" s="667"/>
      <c r="P917" s="667"/>
      <c r="Q917" s="667"/>
    </row>
    <row r="918" ht="15.75" customHeight="1">
      <c r="B918" s="667"/>
      <c r="C918" s="667"/>
      <c r="D918" s="667"/>
      <c r="E918" s="668"/>
      <c r="F918" s="667"/>
      <c r="G918" s="667"/>
      <c r="H918" s="667"/>
      <c r="I918" s="667"/>
      <c r="J918" s="667"/>
      <c r="K918" s="667"/>
      <c r="L918" s="667"/>
      <c r="M918" s="667"/>
      <c r="N918" s="667"/>
      <c r="O918" s="667"/>
      <c r="P918" s="667"/>
      <c r="Q918" s="667"/>
    </row>
    <row r="919" ht="15.75" customHeight="1">
      <c r="B919" s="667"/>
      <c r="C919" s="667"/>
      <c r="D919" s="667"/>
      <c r="E919" s="668"/>
      <c r="F919" s="667"/>
      <c r="G919" s="667"/>
      <c r="H919" s="667"/>
      <c r="I919" s="667"/>
      <c r="J919" s="667"/>
      <c r="K919" s="667"/>
      <c r="L919" s="667"/>
      <c r="M919" s="667"/>
      <c r="N919" s="667"/>
      <c r="O919" s="667"/>
      <c r="P919" s="667"/>
      <c r="Q919" s="667"/>
    </row>
    <row r="920" ht="15.75" customHeight="1">
      <c r="B920" s="667"/>
      <c r="C920" s="667"/>
      <c r="D920" s="667"/>
      <c r="E920" s="668"/>
      <c r="F920" s="667"/>
      <c r="G920" s="667"/>
      <c r="H920" s="667"/>
      <c r="I920" s="667"/>
      <c r="J920" s="667"/>
      <c r="K920" s="667"/>
      <c r="L920" s="667"/>
      <c r="M920" s="667"/>
      <c r="N920" s="667"/>
      <c r="O920" s="667"/>
      <c r="P920" s="667"/>
      <c r="Q920" s="667"/>
    </row>
    <row r="921" ht="15.75" customHeight="1">
      <c r="B921" s="667"/>
      <c r="C921" s="667"/>
      <c r="D921" s="667"/>
      <c r="E921" s="668"/>
      <c r="F921" s="667"/>
      <c r="G921" s="667"/>
      <c r="H921" s="667"/>
      <c r="I921" s="667"/>
      <c r="J921" s="667"/>
      <c r="K921" s="667"/>
      <c r="L921" s="667"/>
      <c r="M921" s="667"/>
      <c r="N921" s="667"/>
      <c r="O921" s="667"/>
      <c r="P921" s="667"/>
      <c r="Q921" s="667"/>
    </row>
    <row r="922" ht="15.75" customHeight="1">
      <c r="B922" s="667"/>
      <c r="C922" s="667"/>
      <c r="D922" s="667"/>
      <c r="E922" s="668"/>
      <c r="F922" s="667"/>
      <c r="G922" s="667"/>
      <c r="H922" s="667"/>
      <c r="I922" s="667"/>
      <c r="J922" s="667"/>
      <c r="K922" s="667"/>
      <c r="L922" s="667"/>
      <c r="M922" s="667"/>
      <c r="N922" s="667"/>
      <c r="O922" s="667"/>
      <c r="P922" s="667"/>
      <c r="Q922" s="667"/>
    </row>
    <row r="923" ht="15.75" customHeight="1">
      <c r="B923" s="667"/>
      <c r="C923" s="667"/>
      <c r="D923" s="667"/>
      <c r="E923" s="668"/>
      <c r="F923" s="667"/>
      <c r="G923" s="667"/>
      <c r="H923" s="667"/>
      <c r="I923" s="667"/>
      <c r="J923" s="667"/>
      <c r="K923" s="667"/>
      <c r="L923" s="667"/>
      <c r="M923" s="667"/>
      <c r="N923" s="667"/>
      <c r="O923" s="667"/>
      <c r="P923" s="667"/>
      <c r="Q923" s="667"/>
    </row>
    <row r="924" ht="15.75" customHeight="1">
      <c r="B924" s="667"/>
      <c r="C924" s="667"/>
      <c r="D924" s="667"/>
      <c r="E924" s="668"/>
      <c r="F924" s="667"/>
      <c r="G924" s="667"/>
      <c r="H924" s="667"/>
      <c r="I924" s="667"/>
      <c r="J924" s="667"/>
      <c r="K924" s="667"/>
      <c r="L924" s="667"/>
      <c r="M924" s="667"/>
      <c r="N924" s="667"/>
      <c r="O924" s="667"/>
      <c r="P924" s="667"/>
      <c r="Q924" s="667"/>
    </row>
    <row r="925" ht="15.75" customHeight="1">
      <c r="B925" s="667"/>
      <c r="C925" s="667"/>
      <c r="D925" s="667"/>
      <c r="E925" s="668"/>
      <c r="F925" s="667"/>
      <c r="G925" s="667"/>
      <c r="H925" s="667"/>
      <c r="I925" s="667"/>
      <c r="J925" s="667"/>
      <c r="K925" s="667"/>
      <c r="L925" s="667"/>
      <c r="M925" s="667"/>
      <c r="N925" s="667"/>
      <c r="O925" s="667"/>
      <c r="P925" s="667"/>
      <c r="Q925" s="667"/>
    </row>
    <row r="926" ht="15.75" customHeight="1">
      <c r="B926" s="667"/>
      <c r="C926" s="667"/>
      <c r="D926" s="667"/>
      <c r="E926" s="668"/>
      <c r="F926" s="667"/>
      <c r="G926" s="667"/>
      <c r="H926" s="667"/>
      <c r="I926" s="667"/>
      <c r="J926" s="667"/>
      <c r="K926" s="667"/>
      <c r="L926" s="667"/>
      <c r="M926" s="667"/>
      <c r="N926" s="667"/>
      <c r="O926" s="667"/>
      <c r="P926" s="667"/>
      <c r="Q926" s="667"/>
    </row>
    <row r="927" ht="15.75" customHeight="1">
      <c r="B927" s="667"/>
      <c r="C927" s="667"/>
      <c r="D927" s="667"/>
      <c r="E927" s="668"/>
      <c r="F927" s="667"/>
      <c r="G927" s="667"/>
      <c r="H927" s="667"/>
      <c r="I927" s="667"/>
      <c r="J927" s="667"/>
      <c r="K927" s="667"/>
      <c r="L927" s="667"/>
      <c r="M927" s="667"/>
      <c r="N927" s="667"/>
      <c r="O927" s="667"/>
      <c r="P927" s="667"/>
      <c r="Q927" s="667"/>
    </row>
    <row r="928" ht="15.75" customHeight="1">
      <c r="B928" s="667"/>
      <c r="C928" s="667"/>
      <c r="D928" s="667"/>
      <c r="E928" s="668"/>
      <c r="F928" s="667"/>
      <c r="G928" s="667"/>
      <c r="H928" s="667"/>
      <c r="I928" s="667"/>
      <c r="J928" s="667"/>
      <c r="K928" s="667"/>
      <c r="L928" s="667"/>
      <c r="M928" s="667"/>
      <c r="N928" s="667"/>
      <c r="O928" s="667"/>
      <c r="P928" s="667"/>
      <c r="Q928" s="667"/>
    </row>
    <row r="929" ht="15.75" customHeight="1">
      <c r="B929" s="667"/>
      <c r="C929" s="667"/>
      <c r="D929" s="667"/>
      <c r="E929" s="668"/>
      <c r="F929" s="667"/>
      <c r="G929" s="667"/>
      <c r="H929" s="667"/>
      <c r="I929" s="667"/>
      <c r="J929" s="667"/>
      <c r="K929" s="667"/>
      <c r="L929" s="667"/>
      <c r="M929" s="667"/>
      <c r="N929" s="667"/>
      <c r="O929" s="667"/>
      <c r="P929" s="667"/>
      <c r="Q929" s="667"/>
    </row>
    <row r="930" ht="15.75" customHeight="1">
      <c r="B930" s="667"/>
      <c r="C930" s="667"/>
      <c r="D930" s="667"/>
      <c r="E930" s="668"/>
      <c r="F930" s="667"/>
      <c r="G930" s="667"/>
      <c r="H930" s="667"/>
      <c r="I930" s="667"/>
      <c r="J930" s="667"/>
      <c r="K930" s="667"/>
      <c r="L930" s="667"/>
      <c r="M930" s="667"/>
      <c r="N930" s="667"/>
      <c r="O930" s="667"/>
      <c r="P930" s="667"/>
      <c r="Q930" s="667"/>
    </row>
    <row r="931" ht="15.75" customHeight="1">
      <c r="B931" s="667"/>
      <c r="C931" s="667"/>
      <c r="D931" s="667"/>
      <c r="E931" s="668"/>
      <c r="F931" s="667"/>
      <c r="G931" s="667"/>
      <c r="H931" s="667"/>
      <c r="I931" s="667"/>
      <c r="J931" s="667"/>
      <c r="K931" s="667"/>
      <c r="L931" s="667"/>
      <c r="M931" s="667"/>
      <c r="N931" s="667"/>
      <c r="O931" s="667"/>
      <c r="P931" s="667"/>
      <c r="Q931" s="667"/>
    </row>
    <row r="932" ht="15.75" customHeight="1">
      <c r="B932" s="667"/>
      <c r="C932" s="667"/>
      <c r="D932" s="667"/>
      <c r="E932" s="668"/>
      <c r="F932" s="667"/>
      <c r="G932" s="667"/>
      <c r="H932" s="667"/>
      <c r="I932" s="667"/>
      <c r="J932" s="667"/>
      <c r="K932" s="667"/>
      <c r="L932" s="667"/>
      <c r="M932" s="667"/>
      <c r="N932" s="667"/>
      <c r="O932" s="667"/>
      <c r="P932" s="667"/>
      <c r="Q932" s="667"/>
    </row>
    <row r="933" ht="15.75" customHeight="1">
      <c r="B933" s="667"/>
      <c r="C933" s="667"/>
      <c r="D933" s="667"/>
      <c r="E933" s="668"/>
      <c r="F933" s="667"/>
      <c r="G933" s="667"/>
      <c r="H933" s="667"/>
      <c r="I933" s="667"/>
      <c r="J933" s="667"/>
      <c r="K933" s="667"/>
      <c r="L933" s="667"/>
      <c r="M933" s="667"/>
      <c r="N933" s="667"/>
      <c r="O933" s="667"/>
      <c r="P933" s="667"/>
      <c r="Q933" s="667"/>
    </row>
    <row r="934" ht="15.75" customHeight="1">
      <c r="B934" s="667"/>
      <c r="C934" s="667"/>
      <c r="D934" s="667"/>
      <c r="E934" s="668"/>
      <c r="F934" s="667"/>
      <c r="G934" s="667"/>
      <c r="H934" s="667"/>
      <c r="I934" s="667"/>
      <c r="J934" s="667"/>
      <c r="K934" s="667"/>
      <c r="L934" s="667"/>
      <c r="M934" s="667"/>
      <c r="N934" s="667"/>
      <c r="O934" s="667"/>
      <c r="P934" s="667"/>
      <c r="Q934" s="667"/>
    </row>
    <row r="935" ht="15.75" customHeight="1">
      <c r="B935" s="667"/>
      <c r="C935" s="667"/>
      <c r="D935" s="667"/>
      <c r="E935" s="668"/>
      <c r="F935" s="667"/>
      <c r="G935" s="667"/>
      <c r="H935" s="667"/>
      <c r="I935" s="667"/>
      <c r="J935" s="667"/>
      <c r="K935" s="667"/>
      <c r="L935" s="667"/>
      <c r="M935" s="667"/>
      <c r="N935" s="667"/>
      <c r="O935" s="667"/>
      <c r="P935" s="667"/>
      <c r="Q935" s="667"/>
    </row>
    <row r="936" ht="15.75" customHeight="1">
      <c r="B936" s="667"/>
      <c r="C936" s="667"/>
      <c r="D936" s="667"/>
      <c r="E936" s="668"/>
      <c r="F936" s="667"/>
      <c r="G936" s="667"/>
      <c r="H936" s="667"/>
      <c r="I936" s="667"/>
      <c r="J936" s="667"/>
      <c r="K936" s="667"/>
      <c r="L936" s="667"/>
      <c r="M936" s="667"/>
      <c r="N936" s="667"/>
      <c r="O936" s="667"/>
      <c r="P936" s="667"/>
      <c r="Q936" s="667"/>
    </row>
    <row r="937" ht="15.75" customHeight="1">
      <c r="B937" s="667"/>
      <c r="C937" s="667"/>
      <c r="D937" s="667"/>
      <c r="E937" s="668"/>
      <c r="F937" s="667"/>
      <c r="G937" s="667"/>
      <c r="H937" s="667"/>
      <c r="I937" s="667"/>
      <c r="J937" s="667"/>
      <c r="K937" s="667"/>
      <c r="L937" s="667"/>
      <c r="M937" s="667"/>
      <c r="N937" s="667"/>
      <c r="O937" s="667"/>
      <c r="P937" s="667"/>
      <c r="Q937" s="667"/>
    </row>
    <row r="938" ht="15.75" customHeight="1">
      <c r="B938" s="667"/>
      <c r="C938" s="667"/>
      <c r="D938" s="667"/>
      <c r="E938" s="668"/>
      <c r="F938" s="667"/>
      <c r="G938" s="667"/>
      <c r="H938" s="667"/>
      <c r="I938" s="667"/>
      <c r="J938" s="667"/>
      <c r="K938" s="667"/>
      <c r="L938" s="667"/>
      <c r="M938" s="667"/>
      <c r="N938" s="667"/>
      <c r="O938" s="667"/>
      <c r="P938" s="667"/>
      <c r="Q938" s="667"/>
    </row>
    <row r="939" ht="15.75" customHeight="1">
      <c r="B939" s="667"/>
      <c r="C939" s="667"/>
      <c r="D939" s="667"/>
      <c r="E939" s="668"/>
      <c r="F939" s="667"/>
      <c r="G939" s="667"/>
      <c r="H939" s="667"/>
      <c r="I939" s="667"/>
      <c r="J939" s="667"/>
      <c r="K939" s="667"/>
      <c r="L939" s="667"/>
      <c r="M939" s="667"/>
      <c r="N939" s="667"/>
      <c r="O939" s="667"/>
      <c r="P939" s="667"/>
      <c r="Q939" s="667"/>
    </row>
    <row r="940" ht="15.75" customHeight="1">
      <c r="B940" s="667"/>
      <c r="C940" s="667"/>
      <c r="D940" s="667"/>
      <c r="E940" s="668"/>
      <c r="F940" s="667"/>
      <c r="G940" s="667"/>
      <c r="H940" s="667"/>
      <c r="I940" s="667"/>
      <c r="J940" s="667"/>
      <c r="K940" s="667"/>
      <c r="L940" s="667"/>
      <c r="M940" s="667"/>
      <c r="N940" s="667"/>
      <c r="O940" s="667"/>
      <c r="P940" s="667"/>
      <c r="Q940" s="667"/>
    </row>
    <row r="941" ht="15.75" customHeight="1">
      <c r="B941" s="667"/>
      <c r="C941" s="667"/>
      <c r="D941" s="667"/>
      <c r="E941" s="668"/>
      <c r="F941" s="667"/>
      <c r="G941" s="667"/>
      <c r="H941" s="667"/>
      <c r="I941" s="667"/>
      <c r="J941" s="667"/>
      <c r="K941" s="667"/>
      <c r="L941" s="667"/>
      <c r="M941" s="667"/>
      <c r="N941" s="667"/>
      <c r="O941" s="667"/>
      <c r="P941" s="667"/>
      <c r="Q941" s="667"/>
    </row>
    <row r="942" ht="15.75" customHeight="1">
      <c r="B942" s="667"/>
      <c r="C942" s="667"/>
      <c r="D942" s="667"/>
      <c r="E942" s="668"/>
      <c r="F942" s="667"/>
      <c r="G942" s="667"/>
      <c r="H942" s="667"/>
      <c r="I942" s="667"/>
      <c r="J942" s="667"/>
      <c r="K942" s="667"/>
      <c r="L942" s="667"/>
      <c r="M942" s="667"/>
      <c r="N942" s="667"/>
      <c r="O942" s="667"/>
      <c r="P942" s="667"/>
      <c r="Q942" s="667"/>
    </row>
    <row r="943" ht="15.75" customHeight="1">
      <c r="B943" s="667"/>
      <c r="C943" s="667"/>
      <c r="D943" s="667"/>
      <c r="E943" s="668"/>
      <c r="F943" s="667"/>
      <c r="G943" s="667"/>
      <c r="H943" s="667"/>
      <c r="I943" s="667"/>
      <c r="J943" s="667"/>
      <c r="K943" s="667"/>
      <c r="L943" s="667"/>
      <c r="M943" s="667"/>
      <c r="N943" s="667"/>
      <c r="O943" s="667"/>
      <c r="P943" s="667"/>
      <c r="Q943" s="667"/>
    </row>
    <row r="944" ht="15.75" customHeight="1">
      <c r="B944" s="667"/>
      <c r="C944" s="667"/>
      <c r="D944" s="667"/>
      <c r="E944" s="668"/>
      <c r="F944" s="667"/>
      <c r="G944" s="667"/>
      <c r="H944" s="667"/>
      <c r="I944" s="667"/>
      <c r="J944" s="667"/>
      <c r="K944" s="667"/>
      <c r="L944" s="667"/>
      <c r="M944" s="667"/>
      <c r="N944" s="667"/>
      <c r="O944" s="667"/>
      <c r="P944" s="667"/>
      <c r="Q944" s="667"/>
    </row>
    <row r="945" ht="15.75" customHeight="1">
      <c r="B945" s="667"/>
      <c r="C945" s="667"/>
      <c r="D945" s="667"/>
      <c r="E945" s="668"/>
      <c r="F945" s="667"/>
      <c r="G945" s="667"/>
      <c r="H945" s="667"/>
      <c r="I945" s="667"/>
      <c r="J945" s="667"/>
      <c r="K945" s="667"/>
      <c r="L945" s="667"/>
      <c r="M945" s="667"/>
      <c r="N945" s="667"/>
      <c r="O945" s="667"/>
      <c r="P945" s="667"/>
      <c r="Q945" s="667"/>
    </row>
    <row r="946" ht="15.75" customHeight="1">
      <c r="B946" s="667"/>
      <c r="C946" s="667"/>
      <c r="D946" s="667"/>
      <c r="E946" s="668"/>
      <c r="F946" s="667"/>
      <c r="G946" s="667"/>
      <c r="H946" s="667"/>
      <c r="I946" s="667"/>
      <c r="J946" s="667"/>
      <c r="K946" s="667"/>
      <c r="L946" s="667"/>
      <c r="M946" s="667"/>
      <c r="N946" s="667"/>
      <c r="O946" s="667"/>
      <c r="P946" s="667"/>
      <c r="Q946" s="667"/>
    </row>
    <row r="947" ht="15.75" customHeight="1">
      <c r="B947" s="667"/>
      <c r="C947" s="667"/>
      <c r="D947" s="667"/>
      <c r="E947" s="668"/>
      <c r="F947" s="667"/>
      <c r="G947" s="667"/>
      <c r="H947" s="667"/>
      <c r="I947" s="667"/>
      <c r="J947" s="667"/>
      <c r="K947" s="667"/>
      <c r="L947" s="667"/>
      <c r="M947" s="667"/>
      <c r="N947" s="667"/>
      <c r="O947" s="667"/>
      <c r="P947" s="667"/>
      <c r="Q947" s="667"/>
    </row>
    <row r="948" ht="15.75" customHeight="1">
      <c r="B948" s="667"/>
      <c r="C948" s="667"/>
      <c r="D948" s="667"/>
      <c r="E948" s="668"/>
      <c r="F948" s="667"/>
      <c r="G948" s="667"/>
      <c r="H948" s="667"/>
      <c r="I948" s="667"/>
      <c r="J948" s="667"/>
      <c r="K948" s="667"/>
      <c r="L948" s="667"/>
      <c r="M948" s="667"/>
      <c r="N948" s="667"/>
      <c r="O948" s="667"/>
      <c r="P948" s="667"/>
      <c r="Q948" s="667"/>
    </row>
    <row r="949" ht="15.75" customHeight="1">
      <c r="B949" s="667"/>
      <c r="C949" s="667"/>
      <c r="D949" s="667"/>
      <c r="E949" s="668"/>
      <c r="F949" s="667"/>
      <c r="G949" s="667"/>
      <c r="H949" s="667"/>
      <c r="I949" s="667"/>
      <c r="J949" s="667"/>
      <c r="K949" s="667"/>
      <c r="L949" s="667"/>
      <c r="M949" s="667"/>
      <c r="N949" s="667"/>
      <c r="O949" s="667"/>
      <c r="P949" s="667"/>
      <c r="Q949" s="667"/>
    </row>
    <row r="950" ht="15.75" customHeight="1">
      <c r="B950" s="667"/>
      <c r="C950" s="667"/>
      <c r="D950" s="667"/>
      <c r="E950" s="668"/>
      <c r="F950" s="667"/>
      <c r="G950" s="667"/>
      <c r="H950" s="667"/>
      <c r="I950" s="667"/>
      <c r="J950" s="667"/>
      <c r="K950" s="667"/>
      <c r="L950" s="667"/>
      <c r="M950" s="667"/>
      <c r="N950" s="667"/>
      <c r="O950" s="667"/>
      <c r="P950" s="667"/>
      <c r="Q950" s="667"/>
    </row>
    <row r="951" ht="15.75" customHeight="1">
      <c r="B951" s="667"/>
      <c r="C951" s="667"/>
      <c r="D951" s="667"/>
      <c r="E951" s="668"/>
      <c r="F951" s="667"/>
      <c r="G951" s="667"/>
      <c r="H951" s="667"/>
      <c r="I951" s="667"/>
      <c r="J951" s="667"/>
      <c r="K951" s="667"/>
      <c r="L951" s="667"/>
      <c r="M951" s="667"/>
      <c r="N951" s="667"/>
      <c r="O951" s="667"/>
      <c r="P951" s="667"/>
      <c r="Q951" s="667"/>
    </row>
    <row r="952" ht="15.75" customHeight="1">
      <c r="B952" s="667"/>
      <c r="C952" s="667"/>
      <c r="D952" s="667"/>
      <c r="E952" s="668"/>
      <c r="F952" s="667"/>
      <c r="G952" s="667"/>
      <c r="H952" s="667"/>
      <c r="I952" s="667"/>
      <c r="J952" s="667"/>
      <c r="K952" s="667"/>
      <c r="L952" s="667"/>
      <c r="M952" s="667"/>
      <c r="N952" s="667"/>
      <c r="O952" s="667"/>
      <c r="P952" s="667"/>
      <c r="Q952" s="667"/>
    </row>
    <row r="953" ht="15.75" customHeight="1">
      <c r="B953" s="667"/>
      <c r="C953" s="667"/>
      <c r="D953" s="667"/>
      <c r="E953" s="668"/>
      <c r="F953" s="667"/>
      <c r="G953" s="667"/>
      <c r="H953" s="667"/>
      <c r="I953" s="667"/>
      <c r="J953" s="667"/>
      <c r="K953" s="667"/>
      <c r="L953" s="667"/>
      <c r="M953" s="667"/>
      <c r="N953" s="667"/>
      <c r="O953" s="667"/>
      <c r="P953" s="667"/>
      <c r="Q953" s="667"/>
    </row>
    <row r="954" ht="15.75" customHeight="1">
      <c r="B954" s="667"/>
      <c r="C954" s="667"/>
      <c r="D954" s="667"/>
      <c r="E954" s="668"/>
      <c r="F954" s="667"/>
      <c r="G954" s="667"/>
      <c r="H954" s="667"/>
      <c r="I954" s="667"/>
      <c r="J954" s="667"/>
      <c r="K954" s="667"/>
      <c r="L954" s="667"/>
      <c r="M954" s="667"/>
      <c r="N954" s="667"/>
      <c r="O954" s="667"/>
      <c r="P954" s="667"/>
      <c r="Q954" s="667"/>
    </row>
    <row r="955" ht="15.75" customHeight="1">
      <c r="B955" s="667"/>
      <c r="C955" s="667"/>
      <c r="D955" s="667"/>
      <c r="E955" s="668"/>
      <c r="F955" s="667"/>
      <c r="G955" s="667"/>
      <c r="H955" s="667"/>
      <c r="I955" s="667"/>
      <c r="J955" s="667"/>
      <c r="K955" s="667"/>
      <c r="L955" s="667"/>
      <c r="M955" s="667"/>
      <c r="N955" s="667"/>
      <c r="O955" s="667"/>
      <c r="P955" s="667"/>
      <c r="Q955" s="667"/>
    </row>
    <row r="956" ht="15.75" customHeight="1">
      <c r="B956" s="667"/>
      <c r="C956" s="667"/>
      <c r="D956" s="667"/>
      <c r="E956" s="668"/>
      <c r="F956" s="667"/>
      <c r="G956" s="667"/>
      <c r="H956" s="667"/>
      <c r="I956" s="667"/>
      <c r="J956" s="667"/>
      <c r="K956" s="667"/>
      <c r="L956" s="667"/>
      <c r="M956" s="667"/>
      <c r="N956" s="667"/>
      <c r="O956" s="667"/>
      <c r="P956" s="667"/>
      <c r="Q956" s="667"/>
    </row>
    <row r="957" ht="15.75" customHeight="1">
      <c r="B957" s="667"/>
      <c r="C957" s="667"/>
      <c r="D957" s="667"/>
      <c r="E957" s="668"/>
      <c r="F957" s="667"/>
      <c r="G957" s="667"/>
      <c r="H957" s="667"/>
      <c r="I957" s="667"/>
      <c r="J957" s="667"/>
      <c r="K957" s="667"/>
      <c r="L957" s="667"/>
      <c r="M957" s="667"/>
      <c r="N957" s="667"/>
      <c r="O957" s="667"/>
      <c r="P957" s="667"/>
      <c r="Q957" s="667"/>
    </row>
    <row r="958" ht="15.75" customHeight="1">
      <c r="B958" s="667"/>
      <c r="C958" s="667"/>
      <c r="D958" s="667"/>
      <c r="E958" s="668"/>
      <c r="F958" s="667"/>
      <c r="G958" s="667"/>
      <c r="H958" s="667"/>
      <c r="I958" s="667"/>
      <c r="J958" s="667"/>
      <c r="K958" s="667"/>
      <c r="L958" s="667"/>
      <c r="M958" s="667"/>
      <c r="N958" s="667"/>
      <c r="O958" s="667"/>
      <c r="P958" s="667"/>
      <c r="Q958" s="667"/>
    </row>
    <row r="959" ht="15.75" customHeight="1">
      <c r="B959" s="667"/>
      <c r="C959" s="667"/>
      <c r="D959" s="667"/>
      <c r="E959" s="668"/>
      <c r="F959" s="667"/>
      <c r="G959" s="667"/>
      <c r="H959" s="667"/>
      <c r="I959" s="667"/>
      <c r="J959" s="667"/>
      <c r="K959" s="667"/>
      <c r="L959" s="667"/>
      <c r="M959" s="667"/>
      <c r="N959" s="667"/>
      <c r="O959" s="667"/>
      <c r="P959" s="667"/>
      <c r="Q959" s="667"/>
    </row>
    <row r="960" ht="15.75" customHeight="1">
      <c r="B960" s="667"/>
      <c r="C960" s="667"/>
      <c r="D960" s="667"/>
      <c r="E960" s="668"/>
      <c r="F960" s="667"/>
      <c r="G960" s="667"/>
      <c r="H960" s="667"/>
      <c r="I960" s="667"/>
      <c r="J960" s="667"/>
      <c r="K960" s="667"/>
      <c r="L960" s="667"/>
      <c r="M960" s="667"/>
      <c r="N960" s="667"/>
      <c r="O960" s="667"/>
      <c r="P960" s="667"/>
      <c r="Q960" s="667"/>
    </row>
    <row r="961" ht="15.75" customHeight="1">
      <c r="B961" s="667"/>
      <c r="C961" s="667"/>
      <c r="D961" s="667"/>
      <c r="E961" s="668"/>
      <c r="F961" s="667"/>
      <c r="G961" s="667"/>
      <c r="H961" s="667"/>
      <c r="I961" s="667"/>
      <c r="J961" s="667"/>
      <c r="K961" s="667"/>
      <c r="L961" s="667"/>
      <c r="M961" s="667"/>
      <c r="N961" s="667"/>
      <c r="O961" s="667"/>
      <c r="P961" s="667"/>
      <c r="Q961" s="667"/>
    </row>
    <row r="962" ht="15.75" customHeight="1">
      <c r="B962" s="667"/>
      <c r="C962" s="667"/>
      <c r="D962" s="667"/>
      <c r="E962" s="668"/>
      <c r="F962" s="667"/>
      <c r="G962" s="667"/>
      <c r="H962" s="667"/>
      <c r="I962" s="667"/>
      <c r="J962" s="667"/>
      <c r="K962" s="667"/>
      <c r="L962" s="667"/>
      <c r="M962" s="667"/>
      <c r="N962" s="667"/>
      <c r="O962" s="667"/>
      <c r="P962" s="667"/>
      <c r="Q962" s="667"/>
    </row>
    <row r="963" ht="15.75" customHeight="1">
      <c r="B963" s="667"/>
      <c r="C963" s="667"/>
      <c r="D963" s="667"/>
      <c r="E963" s="668"/>
      <c r="F963" s="667"/>
      <c r="G963" s="667"/>
      <c r="H963" s="667"/>
      <c r="I963" s="667"/>
      <c r="J963" s="667"/>
      <c r="K963" s="667"/>
      <c r="L963" s="667"/>
      <c r="M963" s="667"/>
      <c r="N963" s="667"/>
      <c r="O963" s="667"/>
      <c r="P963" s="667"/>
      <c r="Q963" s="667"/>
    </row>
    <row r="964" ht="15.75" customHeight="1">
      <c r="B964" s="667"/>
      <c r="C964" s="667"/>
      <c r="D964" s="667"/>
      <c r="E964" s="668"/>
      <c r="F964" s="667"/>
      <c r="G964" s="667"/>
      <c r="H964" s="667"/>
      <c r="I964" s="667"/>
      <c r="J964" s="667"/>
      <c r="K964" s="667"/>
      <c r="L964" s="667"/>
      <c r="M964" s="667"/>
      <c r="N964" s="667"/>
      <c r="O964" s="667"/>
      <c r="P964" s="667"/>
      <c r="Q964" s="667"/>
    </row>
    <row r="965" ht="15.75" customHeight="1">
      <c r="B965" s="667"/>
      <c r="C965" s="667"/>
      <c r="D965" s="667"/>
      <c r="E965" s="668"/>
      <c r="F965" s="667"/>
      <c r="G965" s="667"/>
      <c r="H965" s="667"/>
      <c r="I965" s="667"/>
      <c r="J965" s="667"/>
      <c r="K965" s="667"/>
      <c r="L965" s="667"/>
      <c r="M965" s="667"/>
      <c r="N965" s="667"/>
      <c r="O965" s="667"/>
      <c r="P965" s="667"/>
      <c r="Q965" s="667"/>
    </row>
    <row r="966" ht="15.75" customHeight="1">
      <c r="B966" s="667"/>
      <c r="C966" s="667"/>
      <c r="D966" s="667"/>
      <c r="E966" s="668"/>
      <c r="F966" s="667"/>
      <c r="G966" s="667"/>
      <c r="H966" s="667"/>
      <c r="I966" s="667"/>
      <c r="J966" s="667"/>
      <c r="K966" s="667"/>
      <c r="L966" s="667"/>
      <c r="M966" s="667"/>
      <c r="N966" s="667"/>
      <c r="O966" s="667"/>
      <c r="P966" s="667"/>
      <c r="Q966" s="667"/>
    </row>
    <row r="967" ht="15.75" customHeight="1">
      <c r="B967" s="667"/>
      <c r="C967" s="667"/>
      <c r="D967" s="667"/>
      <c r="E967" s="668"/>
      <c r="F967" s="667"/>
      <c r="G967" s="667"/>
      <c r="H967" s="667"/>
      <c r="I967" s="667"/>
      <c r="J967" s="667"/>
      <c r="K967" s="667"/>
      <c r="L967" s="667"/>
      <c r="M967" s="667"/>
      <c r="N967" s="667"/>
      <c r="O967" s="667"/>
      <c r="P967" s="667"/>
      <c r="Q967" s="667"/>
    </row>
    <row r="968" ht="15.75" customHeight="1">
      <c r="B968" s="667"/>
      <c r="C968" s="667"/>
      <c r="D968" s="667"/>
      <c r="E968" s="668"/>
      <c r="F968" s="667"/>
      <c r="G968" s="667"/>
      <c r="H968" s="667"/>
      <c r="I968" s="667"/>
      <c r="J968" s="667"/>
      <c r="K968" s="667"/>
      <c r="L968" s="667"/>
      <c r="M968" s="667"/>
      <c r="N968" s="667"/>
      <c r="O968" s="667"/>
      <c r="P968" s="667"/>
      <c r="Q968" s="667"/>
    </row>
    <row r="969" ht="15.75" customHeight="1">
      <c r="B969" s="667"/>
      <c r="C969" s="667"/>
      <c r="D969" s="667"/>
      <c r="E969" s="668"/>
      <c r="F969" s="667"/>
      <c r="G969" s="667"/>
      <c r="H969" s="667"/>
      <c r="I969" s="667"/>
      <c r="J969" s="667"/>
      <c r="K969" s="667"/>
      <c r="L969" s="667"/>
      <c r="M969" s="667"/>
      <c r="N969" s="667"/>
      <c r="O969" s="667"/>
      <c r="P969" s="667"/>
      <c r="Q969" s="667"/>
    </row>
    <row r="970" ht="15.75" customHeight="1">
      <c r="B970" s="667"/>
      <c r="C970" s="667"/>
      <c r="D970" s="667"/>
      <c r="E970" s="668"/>
      <c r="F970" s="667"/>
      <c r="G970" s="667"/>
      <c r="H970" s="667"/>
      <c r="I970" s="667"/>
      <c r="J970" s="667"/>
      <c r="K970" s="667"/>
      <c r="L970" s="667"/>
      <c r="M970" s="667"/>
      <c r="N970" s="667"/>
      <c r="O970" s="667"/>
      <c r="P970" s="667"/>
      <c r="Q970" s="667"/>
    </row>
    <row r="971" ht="15.75" customHeight="1">
      <c r="B971" s="667"/>
      <c r="C971" s="667"/>
      <c r="D971" s="667"/>
      <c r="E971" s="668"/>
      <c r="F971" s="667"/>
      <c r="G971" s="667"/>
      <c r="H971" s="667"/>
      <c r="I971" s="667"/>
      <c r="J971" s="667"/>
      <c r="K971" s="667"/>
      <c r="L971" s="667"/>
      <c r="M971" s="667"/>
      <c r="N971" s="667"/>
      <c r="O971" s="667"/>
      <c r="P971" s="667"/>
      <c r="Q971" s="667"/>
    </row>
    <row r="972" ht="15.75" customHeight="1">
      <c r="B972" s="667"/>
      <c r="C972" s="667"/>
      <c r="D972" s="667"/>
      <c r="E972" s="668"/>
      <c r="F972" s="667"/>
      <c r="G972" s="667"/>
      <c r="H972" s="667"/>
      <c r="I972" s="667"/>
      <c r="J972" s="667"/>
      <c r="K972" s="667"/>
      <c r="L972" s="667"/>
      <c r="M972" s="667"/>
      <c r="N972" s="667"/>
      <c r="O972" s="667"/>
      <c r="P972" s="667"/>
      <c r="Q972" s="667"/>
    </row>
    <row r="973" ht="15.75" customHeight="1">
      <c r="B973" s="667"/>
      <c r="C973" s="667"/>
      <c r="D973" s="667"/>
      <c r="E973" s="668"/>
      <c r="F973" s="667"/>
      <c r="G973" s="667"/>
      <c r="H973" s="667"/>
      <c r="I973" s="667"/>
      <c r="J973" s="667"/>
      <c r="K973" s="667"/>
      <c r="L973" s="667"/>
      <c r="M973" s="667"/>
      <c r="N973" s="667"/>
      <c r="O973" s="667"/>
      <c r="P973" s="667"/>
      <c r="Q973" s="667"/>
    </row>
    <row r="974" ht="15.75" customHeight="1">
      <c r="B974" s="667"/>
      <c r="C974" s="667"/>
      <c r="D974" s="667"/>
      <c r="E974" s="668"/>
      <c r="F974" s="667"/>
      <c r="G974" s="667"/>
      <c r="H974" s="667"/>
      <c r="I974" s="667"/>
      <c r="J974" s="667"/>
      <c r="K974" s="667"/>
      <c r="L974" s="667"/>
      <c r="M974" s="667"/>
      <c r="N974" s="667"/>
      <c r="O974" s="667"/>
      <c r="P974" s="667"/>
      <c r="Q974" s="667"/>
    </row>
    <row r="975" ht="15.75" customHeight="1">
      <c r="B975" s="667"/>
      <c r="C975" s="667"/>
      <c r="D975" s="667"/>
      <c r="E975" s="668"/>
      <c r="F975" s="667"/>
      <c r="G975" s="667"/>
      <c r="H975" s="667"/>
      <c r="I975" s="667"/>
      <c r="J975" s="667"/>
      <c r="K975" s="667"/>
      <c r="L975" s="667"/>
      <c r="M975" s="667"/>
      <c r="N975" s="667"/>
      <c r="O975" s="667"/>
      <c r="P975" s="667"/>
      <c r="Q975" s="667"/>
    </row>
    <row r="976" ht="15.75" customHeight="1">
      <c r="B976" s="667"/>
      <c r="C976" s="667"/>
      <c r="D976" s="667"/>
      <c r="E976" s="668"/>
      <c r="F976" s="667"/>
      <c r="G976" s="667"/>
      <c r="H976" s="667"/>
      <c r="I976" s="667"/>
      <c r="J976" s="667"/>
      <c r="K976" s="667"/>
      <c r="L976" s="667"/>
      <c r="M976" s="667"/>
      <c r="N976" s="667"/>
      <c r="O976" s="667"/>
      <c r="P976" s="667"/>
      <c r="Q976" s="667"/>
    </row>
    <row r="977" ht="15.75" customHeight="1">
      <c r="B977" s="667"/>
      <c r="C977" s="667"/>
      <c r="D977" s="667"/>
      <c r="E977" s="668"/>
      <c r="F977" s="667"/>
      <c r="G977" s="667"/>
      <c r="H977" s="667"/>
      <c r="I977" s="667"/>
      <c r="J977" s="667"/>
      <c r="K977" s="667"/>
      <c r="L977" s="667"/>
      <c r="M977" s="667"/>
      <c r="N977" s="667"/>
      <c r="O977" s="667"/>
      <c r="P977" s="667"/>
      <c r="Q977" s="667"/>
    </row>
    <row r="978" ht="15.75" customHeight="1">
      <c r="B978" s="667"/>
      <c r="C978" s="667"/>
      <c r="D978" s="667"/>
      <c r="E978" s="668"/>
      <c r="F978" s="667"/>
      <c r="G978" s="667"/>
      <c r="H978" s="667"/>
      <c r="I978" s="667"/>
      <c r="J978" s="667"/>
      <c r="K978" s="667"/>
      <c r="L978" s="667"/>
      <c r="M978" s="667"/>
      <c r="N978" s="667"/>
      <c r="O978" s="667"/>
      <c r="P978" s="667"/>
      <c r="Q978" s="667"/>
    </row>
    <row r="979" ht="15.75" customHeight="1">
      <c r="B979" s="667"/>
      <c r="C979" s="667"/>
      <c r="D979" s="667"/>
      <c r="E979" s="668"/>
      <c r="F979" s="667"/>
      <c r="G979" s="667"/>
      <c r="H979" s="667"/>
      <c r="I979" s="667"/>
      <c r="J979" s="667"/>
      <c r="K979" s="667"/>
      <c r="L979" s="667"/>
      <c r="M979" s="667"/>
      <c r="N979" s="667"/>
      <c r="O979" s="667"/>
      <c r="P979" s="667"/>
      <c r="Q979" s="667"/>
    </row>
    <row r="980" ht="15.75" customHeight="1">
      <c r="B980" s="667"/>
      <c r="C980" s="667"/>
      <c r="D980" s="667"/>
      <c r="E980" s="668"/>
      <c r="F980" s="667"/>
      <c r="G980" s="667"/>
      <c r="H980" s="667"/>
      <c r="I980" s="667"/>
      <c r="J980" s="667"/>
      <c r="K980" s="667"/>
      <c r="L980" s="667"/>
      <c r="M980" s="667"/>
      <c r="N980" s="667"/>
      <c r="O980" s="667"/>
      <c r="P980" s="667"/>
      <c r="Q980" s="667"/>
    </row>
    <row r="981" ht="15.75" customHeight="1">
      <c r="B981" s="667"/>
      <c r="C981" s="667"/>
      <c r="D981" s="667"/>
      <c r="E981" s="668"/>
      <c r="F981" s="667"/>
      <c r="G981" s="667"/>
      <c r="H981" s="667"/>
      <c r="I981" s="667"/>
      <c r="J981" s="667"/>
      <c r="K981" s="667"/>
      <c r="L981" s="667"/>
      <c r="M981" s="667"/>
      <c r="N981" s="667"/>
      <c r="O981" s="667"/>
      <c r="P981" s="667"/>
      <c r="Q981" s="667"/>
    </row>
    <row r="982" ht="15.75" customHeight="1">
      <c r="B982" s="667"/>
      <c r="C982" s="667"/>
      <c r="D982" s="667"/>
      <c r="E982" s="668"/>
      <c r="F982" s="667"/>
      <c r="G982" s="667"/>
      <c r="H982" s="667"/>
      <c r="I982" s="667"/>
      <c r="J982" s="667"/>
      <c r="K982" s="667"/>
      <c r="L982" s="667"/>
      <c r="M982" s="667"/>
      <c r="N982" s="667"/>
      <c r="O982" s="667"/>
      <c r="P982" s="667"/>
      <c r="Q982" s="667"/>
    </row>
    <row r="983" ht="15.75" customHeight="1">
      <c r="B983" s="667"/>
      <c r="C983" s="667"/>
      <c r="D983" s="667"/>
      <c r="E983" s="668"/>
      <c r="F983" s="667"/>
      <c r="G983" s="667"/>
      <c r="H983" s="667"/>
      <c r="I983" s="667"/>
      <c r="J983" s="667"/>
      <c r="K983" s="667"/>
      <c r="L983" s="667"/>
      <c r="M983" s="667"/>
      <c r="N983" s="667"/>
      <c r="O983" s="667"/>
      <c r="P983" s="667"/>
      <c r="Q983" s="667"/>
    </row>
    <row r="984" ht="15.75" customHeight="1">
      <c r="B984" s="667"/>
      <c r="C984" s="667"/>
      <c r="D984" s="667"/>
      <c r="E984" s="668"/>
      <c r="F984" s="667"/>
      <c r="G984" s="667"/>
      <c r="H984" s="667"/>
      <c r="I984" s="667"/>
      <c r="J984" s="667"/>
      <c r="K984" s="667"/>
      <c r="L984" s="667"/>
      <c r="M984" s="667"/>
      <c r="N984" s="667"/>
      <c r="O984" s="667"/>
      <c r="P984" s="667"/>
      <c r="Q984" s="667"/>
    </row>
    <row r="985" ht="15.75" customHeight="1">
      <c r="B985" s="667"/>
      <c r="C985" s="667"/>
      <c r="D985" s="667"/>
      <c r="E985" s="668"/>
      <c r="F985" s="667"/>
      <c r="G985" s="667"/>
      <c r="H985" s="667"/>
      <c r="I985" s="667"/>
      <c r="J985" s="667"/>
      <c r="K985" s="667"/>
      <c r="L985" s="667"/>
      <c r="M985" s="667"/>
      <c r="N985" s="667"/>
      <c r="O985" s="667"/>
      <c r="P985" s="667"/>
      <c r="Q985" s="667"/>
    </row>
    <row r="986" ht="15.75" customHeight="1">
      <c r="B986" s="667"/>
      <c r="C986" s="667"/>
      <c r="D986" s="667"/>
      <c r="E986" s="668"/>
      <c r="F986" s="667"/>
      <c r="G986" s="667"/>
      <c r="H986" s="667"/>
      <c r="I986" s="667"/>
      <c r="J986" s="667"/>
      <c r="K986" s="667"/>
      <c r="L986" s="667"/>
      <c r="M986" s="667"/>
      <c r="N986" s="667"/>
      <c r="O986" s="667"/>
      <c r="P986" s="667"/>
      <c r="Q986" s="667"/>
    </row>
    <row r="987" ht="15.75" customHeight="1">
      <c r="B987" s="667"/>
      <c r="C987" s="667"/>
      <c r="D987" s="667"/>
      <c r="E987" s="668"/>
      <c r="F987" s="667"/>
      <c r="G987" s="667"/>
      <c r="H987" s="667"/>
      <c r="I987" s="667"/>
      <c r="J987" s="667"/>
      <c r="K987" s="667"/>
      <c r="L987" s="667"/>
      <c r="M987" s="667"/>
      <c r="N987" s="667"/>
      <c r="O987" s="667"/>
      <c r="P987" s="667"/>
      <c r="Q987" s="667"/>
    </row>
    <row r="988" ht="15.75" customHeight="1">
      <c r="B988" s="667"/>
      <c r="C988" s="667"/>
      <c r="D988" s="667"/>
      <c r="E988" s="668"/>
      <c r="F988" s="667"/>
      <c r="G988" s="667"/>
      <c r="H988" s="667"/>
      <c r="I988" s="667"/>
      <c r="J988" s="667"/>
      <c r="K988" s="667"/>
      <c r="L988" s="667"/>
      <c r="M988" s="667"/>
      <c r="N988" s="667"/>
      <c r="O988" s="667"/>
      <c r="P988" s="667"/>
      <c r="Q988" s="667"/>
    </row>
    <row r="989" ht="15.75" customHeight="1">
      <c r="B989" s="667"/>
      <c r="C989" s="667"/>
      <c r="D989" s="667"/>
      <c r="E989" s="668"/>
      <c r="F989" s="667"/>
      <c r="G989" s="667"/>
      <c r="H989" s="667"/>
      <c r="I989" s="667"/>
      <c r="J989" s="667"/>
      <c r="K989" s="667"/>
      <c r="L989" s="667"/>
      <c r="M989" s="667"/>
      <c r="N989" s="667"/>
      <c r="O989" s="667"/>
      <c r="P989" s="667"/>
      <c r="Q989" s="667"/>
    </row>
    <row r="990" ht="15.75" customHeight="1">
      <c r="B990" s="667"/>
      <c r="C990" s="667"/>
      <c r="D990" s="667"/>
      <c r="E990" s="668"/>
      <c r="F990" s="667"/>
      <c r="G990" s="667"/>
      <c r="H990" s="667"/>
      <c r="I990" s="667"/>
      <c r="J990" s="667"/>
      <c r="K990" s="667"/>
      <c r="L990" s="667"/>
      <c r="M990" s="667"/>
      <c r="N990" s="667"/>
      <c r="O990" s="667"/>
      <c r="P990" s="667"/>
      <c r="Q990" s="667"/>
    </row>
    <row r="991" ht="15.75" customHeight="1">
      <c r="B991" s="667"/>
      <c r="C991" s="667"/>
      <c r="D991" s="667"/>
      <c r="E991" s="668"/>
      <c r="F991" s="667"/>
      <c r="G991" s="667"/>
      <c r="H991" s="667"/>
      <c r="I991" s="667"/>
      <c r="J991" s="667"/>
      <c r="K991" s="667"/>
      <c r="L991" s="667"/>
      <c r="M991" s="667"/>
      <c r="N991" s="667"/>
      <c r="O991" s="667"/>
      <c r="P991" s="667"/>
      <c r="Q991" s="667"/>
    </row>
    <row r="992" ht="15.75" customHeight="1">
      <c r="B992" s="667"/>
      <c r="C992" s="667"/>
      <c r="D992" s="667"/>
      <c r="E992" s="668"/>
      <c r="F992" s="667"/>
      <c r="G992" s="667"/>
      <c r="H992" s="667"/>
      <c r="I992" s="667"/>
      <c r="J992" s="667"/>
      <c r="K992" s="667"/>
      <c r="L992" s="667"/>
      <c r="M992" s="667"/>
      <c r="N992" s="667"/>
      <c r="O992" s="667"/>
      <c r="P992" s="667"/>
      <c r="Q992" s="667"/>
    </row>
    <row r="993" ht="15.75" customHeight="1">
      <c r="B993" s="667"/>
      <c r="C993" s="667"/>
      <c r="D993" s="667"/>
      <c r="E993" s="668"/>
      <c r="F993" s="667"/>
      <c r="G993" s="667"/>
      <c r="H993" s="667"/>
      <c r="I993" s="667"/>
      <c r="J993" s="667"/>
      <c r="K993" s="667"/>
      <c r="L993" s="667"/>
      <c r="M993" s="667"/>
      <c r="N993" s="667"/>
      <c r="O993" s="667"/>
      <c r="P993" s="667"/>
      <c r="Q993" s="667"/>
    </row>
    <row r="994" ht="15.75" customHeight="1">
      <c r="B994" s="667"/>
      <c r="C994" s="667"/>
      <c r="D994" s="667"/>
      <c r="E994" s="668"/>
      <c r="F994" s="667"/>
      <c r="G994" s="667"/>
      <c r="H994" s="667"/>
      <c r="I994" s="667"/>
      <c r="J994" s="667"/>
      <c r="K994" s="667"/>
      <c r="L994" s="667"/>
      <c r="M994" s="667"/>
      <c r="N994" s="667"/>
      <c r="O994" s="667"/>
      <c r="P994" s="667"/>
      <c r="Q994" s="667"/>
    </row>
    <row r="995" ht="15.75" customHeight="1">
      <c r="B995" s="667"/>
      <c r="C995" s="667"/>
      <c r="D995" s="667"/>
      <c r="E995" s="668"/>
      <c r="F995" s="667"/>
      <c r="G995" s="667"/>
      <c r="H995" s="667"/>
      <c r="I995" s="667"/>
      <c r="J995" s="667"/>
      <c r="K995" s="667"/>
      <c r="L995" s="667"/>
      <c r="M995" s="667"/>
      <c r="N995" s="667"/>
      <c r="O995" s="667"/>
      <c r="P995" s="667"/>
      <c r="Q995" s="667"/>
    </row>
    <row r="996" ht="15.75" customHeight="1">
      <c r="B996" s="667"/>
      <c r="C996" s="667"/>
      <c r="D996" s="667"/>
      <c r="E996" s="668"/>
      <c r="F996" s="667"/>
      <c r="G996" s="667"/>
      <c r="H996" s="667"/>
      <c r="I996" s="667"/>
      <c r="J996" s="667"/>
      <c r="K996" s="667"/>
      <c r="L996" s="667"/>
      <c r="M996" s="667"/>
      <c r="N996" s="667"/>
      <c r="O996" s="667"/>
      <c r="P996" s="667"/>
      <c r="Q996" s="667"/>
    </row>
    <row r="997" ht="15.75" customHeight="1">
      <c r="B997" s="667"/>
      <c r="C997" s="667"/>
      <c r="D997" s="667"/>
      <c r="E997" s="668"/>
      <c r="F997" s="667"/>
      <c r="G997" s="667"/>
      <c r="H997" s="667"/>
      <c r="I997" s="667"/>
      <c r="J997" s="667"/>
      <c r="K997" s="667"/>
      <c r="L997" s="667"/>
      <c r="M997" s="667"/>
      <c r="N997" s="667"/>
      <c r="O997" s="667"/>
      <c r="P997" s="667"/>
      <c r="Q997" s="667"/>
    </row>
    <row r="998" ht="15.75" customHeight="1">
      <c r="B998" s="667"/>
      <c r="C998" s="667"/>
      <c r="D998" s="667"/>
      <c r="E998" s="668"/>
      <c r="F998" s="667"/>
      <c r="G998" s="667"/>
      <c r="H998" s="667"/>
      <c r="I998" s="667"/>
      <c r="J998" s="667"/>
      <c r="K998" s="667"/>
      <c r="L998" s="667"/>
      <c r="M998" s="667"/>
      <c r="N998" s="667"/>
      <c r="O998" s="667"/>
      <c r="P998" s="667"/>
      <c r="Q998" s="667"/>
    </row>
    <row r="999" ht="15.75" customHeight="1">
      <c r="B999" s="667"/>
      <c r="C999" s="667"/>
      <c r="D999" s="667"/>
      <c r="E999" s="668"/>
      <c r="F999" s="667"/>
      <c r="G999" s="667"/>
      <c r="H999" s="667"/>
      <c r="I999" s="667"/>
      <c r="J999" s="667"/>
      <c r="K999" s="667"/>
      <c r="L999" s="667"/>
      <c r="M999" s="667"/>
      <c r="N999" s="667"/>
      <c r="O999" s="667"/>
      <c r="P999" s="667"/>
      <c r="Q999" s="667"/>
    </row>
    <row r="1000" ht="15.75" customHeight="1">
      <c r="B1000" s="667"/>
      <c r="C1000" s="667"/>
      <c r="D1000" s="667"/>
      <c r="E1000" s="668"/>
      <c r="F1000" s="667"/>
      <c r="G1000" s="667"/>
      <c r="H1000" s="667"/>
      <c r="I1000" s="667"/>
      <c r="J1000" s="667"/>
      <c r="K1000" s="667"/>
      <c r="L1000" s="667"/>
      <c r="M1000" s="667"/>
      <c r="N1000" s="667"/>
      <c r="O1000" s="667"/>
      <c r="P1000" s="667"/>
      <c r="Q1000" s="667"/>
    </row>
  </sheetData>
  <mergeCells count="23">
    <mergeCell ref="B1:Q1"/>
    <mergeCell ref="C2:Q2"/>
    <mergeCell ref="K3:M3"/>
    <mergeCell ref="O3:Q3"/>
    <mergeCell ref="L4:M4"/>
    <mergeCell ref="B232:Q232"/>
    <mergeCell ref="B233:Q233"/>
    <mergeCell ref="C234:E234"/>
    <mergeCell ref="G234:H234"/>
    <mergeCell ref="I234:L234"/>
    <mergeCell ref="G235:H235"/>
    <mergeCell ref="K235:L235"/>
    <mergeCell ref="B236:C236"/>
    <mergeCell ref="E236:F236"/>
    <mergeCell ref="M238:Q238"/>
    <mergeCell ref="M239:N239"/>
    <mergeCell ref="C237:E237"/>
    <mergeCell ref="G237:H237"/>
    <mergeCell ref="I237:L237"/>
    <mergeCell ref="M237:Q237"/>
    <mergeCell ref="C238:E238"/>
    <mergeCell ref="G238:H238"/>
    <mergeCell ref="J238:L238"/>
  </mergeCells>
  <printOptions/>
  <pageMargins bottom="0.7480314960629921" footer="0.0" header="0.0" left="0.7086614173228347" right="0.7086614173228347" top="0.7480314960629921"/>
  <pageSetup paperSize="5" scale="95"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8.71"/>
    <col customWidth="1" min="9" max="9" width="7.57"/>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75" t="s">
        <v>14157</v>
      </c>
    </row>
    <row r="2">
      <c r="B2" s="399"/>
      <c r="C2" s="400" t="s">
        <v>1</v>
      </c>
      <c r="D2" s="6"/>
      <c r="E2" s="6"/>
      <c r="F2" s="6"/>
      <c r="G2" s="6"/>
      <c r="H2" s="6"/>
      <c r="I2" s="6"/>
      <c r="J2" s="6"/>
      <c r="K2" s="6"/>
      <c r="L2" s="6"/>
      <c r="M2" s="6"/>
      <c r="N2" s="6"/>
      <c r="O2" s="6"/>
      <c r="P2" s="6"/>
      <c r="Q2" s="7"/>
    </row>
    <row r="3">
      <c r="B3" s="399"/>
      <c r="C3" s="401"/>
      <c r="D3" s="9"/>
      <c r="E3" s="402"/>
      <c r="F3" s="9"/>
      <c r="G3" s="403"/>
      <c r="H3" s="403"/>
      <c r="I3" s="403"/>
      <c r="J3" s="9"/>
      <c r="K3" s="12"/>
      <c r="M3" s="13"/>
      <c r="N3" s="14" t="s">
        <v>3</v>
      </c>
      <c r="O3" s="404" t="s">
        <v>22182</v>
      </c>
      <c r="P3" s="16"/>
      <c r="Q3" s="17"/>
    </row>
    <row r="4">
      <c r="B4" s="399"/>
      <c r="C4" s="405"/>
      <c r="D4" s="9"/>
      <c r="E4" s="402"/>
      <c r="F4" s="9"/>
      <c r="G4" s="403"/>
      <c r="H4" s="321"/>
      <c r="I4" s="403"/>
      <c r="J4" s="9"/>
      <c r="K4" s="403"/>
      <c r="L4" s="406"/>
      <c r="M4" s="407"/>
      <c r="N4" s="9"/>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49"/>
      <c r="D6" s="875"/>
      <c r="E6" s="434" t="s">
        <v>22183</v>
      </c>
      <c r="F6" s="433" t="s">
        <v>22184</v>
      </c>
      <c r="G6" s="433" t="s">
        <v>29</v>
      </c>
      <c r="H6" s="433" t="s">
        <v>22185</v>
      </c>
      <c r="I6" s="433"/>
      <c r="J6" s="433" t="s">
        <v>22186</v>
      </c>
      <c r="K6" s="433">
        <v>25.0</v>
      </c>
      <c r="L6" s="433"/>
      <c r="M6" s="433" t="s">
        <v>13582</v>
      </c>
      <c r="N6" s="433" t="s">
        <v>54</v>
      </c>
      <c r="O6" s="433">
        <v>1986.0</v>
      </c>
      <c r="P6" s="433" t="s">
        <v>388</v>
      </c>
      <c r="Q6" s="433">
        <v>1.0</v>
      </c>
    </row>
    <row r="7">
      <c r="B7" s="433">
        <v>2.0</v>
      </c>
      <c r="C7" s="449"/>
      <c r="D7" s="875"/>
      <c r="E7" s="434" t="s">
        <v>22187</v>
      </c>
      <c r="F7" s="433" t="s">
        <v>22184</v>
      </c>
      <c r="G7" s="433" t="s">
        <v>29</v>
      </c>
      <c r="H7" s="433" t="s">
        <v>22185</v>
      </c>
      <c r="I7" s="433"/>
      <c r="J7" s="433" t="s">
        <v>22186</v>
      </c>
      <c r="K7" s="433">
        <v>36.0</v>
      </c>
      <c r="L7" s="433"/>
      <c r="M7" s="433" t="s">
        <v>13582</v>
      </c>
      <c r="N7" s="433" t="s">
        <v>54</v>
      </c>
      <c r="O7" s="433">
        <v>1986.0</v>
      </c>
      <c r="P7" s="433" t="s">
        <v>388</v>
      </c>
      <c r="Q7" s="433">
        <v>1.0</v>
      </c>
    </row>
    <row r="8">
      <c r="B8" s="433">
        <v>3.0</v>
      </c>
      <c r="C8" s="449"/>
      <c r="D8" s="875"/>
      <c r="E8" s="434" t="s">
        <v>22188</v>
      </c>
      <c r="F8" s="433" t="s">
        <v>22184</v>
      </c>
      <c r="G8" s="433" t="s">
        <v>29</v>
      </c>
      <c r="H8" s="433" t="s">
        <v>22185</v>
      </c>
      <c r="I8" s="433"/>
      <c r="J8" s="433" t="s">
        <v>22186</v>
      </c>
      <c r="K8" s="433">
        <v>36.0</v>
      </c>
      <c r="L8" s="433"/>
      <c r="M8" s="433" t="s">
        <v>13582</v>
      </c>
      <c r="N8" s="433" t="s">
        <v>54</v>
      </c>
      <c r="O8" s="433">
        <v>1986.0</v>
      </c>
      <c r="P8" s="433" t="s">
        <v>388</v>
      </c>
      <c r="Q8" s="433">
        <v>1.0</v>
      </c>
    </row>
    <row r="9">
      <c r="B9" s="433">
        <v>4.0</v>
      </c>
      <c r="C9" s="449"/>
      <c r="D9" s="875"/>
      <c r="E9" s="434" t="s">
        <v>22189</v>
      </c>
      <c r="F9" s="433" t="s">
        <v>22184</v>
      </c>
      <c r="G9" s="433" t="s">
        <v>29</v>
      </c>
      <c r="H9" s="433" t="s">
        <v>22185</v>
      </c>
      <c r="I9" s="433"/>
      <c r="J9" s="433" t="s">
        <v>17039</v>
      </c>
      <c r="K9" s="433">
        <v>28.0</v>
      </c>
      <c r="L9" s="433"/>
      <c r="M9" s="433"/>
      <c r="N9" s="433" t="s">
        <v>54</v>
      </c>
      <c r="O9" s="433">
        <v>1986.0</v>
      </c>
      <c r="P9" s="433" t="s">
        <v>388</v>
      </c>
      <c r="Q9" s="433">
        <v>1.0</v>
      </c>
    </row>
    <row r="10">
      <c r="B10" s="433">
        <v>5.0</v>
      </c>
      <c r="C10" s="449"/>
      <c r="D10" s="875"/>
      <c r="E10" s="434" t="s">
        <v>22190</v>
      </c>
      <c r="F10" s="433" t="s">
        <v>22184</v>
      </c>
      <c r="G10" s="433" t="s">
        <v>29</v>
      </c>
      <c r="H10" s="433" t="s">
        <v>22185</v>
      </c>
      <c r="I10" s="433"/>
      <c r="J10" s="433" t="s">
        <v>22186</v>
      </c>
      <c r="K10" s="433">
        <v>17.0</v>
      </c>
      <c r="L10" s="433"/>
      <c r="M10" s="433" t="s">
        <v>13582</v>
      </c>
      <c r="N10" s="433" t="s">
        <v>22191</v>
      </c>
      <c r="O10" s="433">
        <v>1986.0</v>
      </c>
      <c r="P10" s="433" t="s">
        <v>388</v>
      </c>
      <c r="Q10" s="433">
        <v>1.0</v>
      </c>
    </row>
    <row r="11">
      <c r="B11" s="433">
        <v>6.0</v>
      </c>
      <c r="C11" s="449"/>
      <c r="D11" s="875"/>
      <c r="E11" s="434" t="s">
        <v>22192</v>
      </c>
      <c r="F11" s="433" t="s">
        <v>22184</v>
      </c>
      <c r="G11" s="433" t="s">
        <v>29</v>
      </c>
      <c r="H11" s="433" t="s">
        <v>22185</v>
      </c>
      <c r="I11" s="433"/>
      <c r="J11" s="433" t="s">
        <v>22186</v>
      </c>
      <c r="K11" s="433">
        <v>22.0</v>
      </c>
      <c r="L11" s="433"/>
      <c r="M11" s="433" t="s">
        <v>13582</v>
      </c>
      <c r="N11" s="433" t="s">
        <v>22193</v>
      </c>
      <c r="O11" s="433">
        <v>1988.0</v>
      </c>
      <c r="P11" s="433" t="s">
        <v>388</v>
      </c>
      <c r="Q11" s="433">
        <v>1.0</v>
      </c>
    </row>
    <row r="12">
      <c r="B12" s="433">
        <v>7.0</v>
      </c>
      <c r="C12" s="449"/>
      <c r="D12" s="875"/>
      <c r="E12" s="434" t="s">
        <v>22194</v>
      </c>
      <c r="F12" s="433" t="s">
        <v>22184</v>
      </c>
      <c r="G12" s="433" t="s">
        <v>29</v>
      </c>
      <c r="H12" s="433" t="s">
        <v>22185</v>
      </c>
      <c r="I12" s="433"/>
      <c r="J12" s="433" t="s">
        <v>22186</v>
      </c>
      <c r="K12" s="433">
        <v>21.0</v>
      </c>
      <c r="L12" s="433"/>
      <c r="M12" s="433" t="s">
        <v>21453</v>
      </c>
      <c r="N12" s="433" t="s">
        <v>22193</v>
      </c>
      <c r="O12" s="433">
        <v>1988.0</v>
      </c>
      <c r="P12" s="433" t="s">
        <v>388</v>
      </c>
      <c r="Q12" s="433">
        <v>1.0</v>
      </c>
    </row>
    <row r="13">
      <c r="B13" s="433">
        <v>8.0</v>
      </c>
      <c r="C13" s="449"/>
      <c r="D13" s="875"/>
      <c r="E13" s="434" t="s">
        <v>22195</v>
      </c>
      <c r="F13" s="433" t="s">
        <v>22184</v>
      </c>
      <c r="G13" s="433" t="s">
        <v>29</v>
      </c>
      <c r="H13" s="433" t="s">
        <v>22185</v>
      </c>
      <c r="I13" s="433"/>
      <c r="J13" s="433" t="s">
        <v>22186</v>
      </c>
      <c r="K13" s="433">
        <v>26.0</v>
      </c>
      <c r="L13" s="433"/>
      <c r="M13" s="433" t="s">
        <v>13582</v>
      </c>
      <c r="N13" s="433" t="s">
        <v>22193</v>
      </c>
      <c r="O13" s="433">
        <v>1986.0</v>
      </c>
      <c r="P13" s="433" t="s">
        <v>388</v>
      </c>
      <c r="Q13" s="433">
        <v>1.0</v>
      </c>
    </row>
    <row r="14">
      <c r="B14" s="433">
        <v>9.0</v>
      </c>
      <c r="C14" s="449"/>
      <c r="D14" s="875"/>
      <c r="E14" s="434" t="s">
        <v>22196</v>
      </c>
      <c r="F14" s="433" t="s">
        <v>22184</v>
      </c>
      <c r="G14" s="433" t="s">
        <v>29</v>
      </c>
      <c r="H14" s="433" t="s">
        <v>22185</v>
      </c>
      <c r="I14" s="433"/>
      <c r="J14" s="433" t="s">
        <v>22186</v>
      </c>
      <c r="K14" s="433">
        <v>30.0</v>
      </c>
      <c r="L14" s="433"/>
      <c r="M14" s="433" t="s">
        <v>22197</v>
      </c>
      <c r="N14" s="433" t="s">
        <v>22193</v>
      </c>
      <c r="O14" s="433">
        <v>1986.0</v>
      </c>
      <c r="P14" s="433" t="s">
        <v>388</v>
      </c>
      <c r="Q14" s="433">
        <v>1.0</v>
      </c>
    </row>
    <row r="15">
      <c r="B15" s="433">
        <v>10.0</v>
      </c>
      <c r="C15" s="449"/>
      <c r="D15" s="875"/>
      <c r="E15" s="434" t="s">
        <v>22198</v>
      </c>
      <c r="F15" s="433" t="s">
        <v>22184</v>
      </c>
      <c r="G15" s="433" t="s">
        <v>29</v>
      </c>
      <c r="H15" s="433" t="s">
        <v>22185</v>
      </c>
      <c r="I15" s="433"/>
      <c r="J15" s="433" t="s">
        <v>22186</v>
      </c>
      <c r="K15" s="433">
        <v>16.0</v>
      </c>
      <c r="L15" s="433"/>
      <c r="M15" s="433" t="s">
        <v>13582</v>
      </c>
      <c r="N15" s="433" t="s">
        <v>22193</v>
      </c>
      <c r="O15" s="433">
        <v>1986.0</v>
      </c>
      <c r="P15" s="433" t="s">
        <v>388</v>
      </c>
      <c r="Q15" s="433">
        <v>1.0</v>
      </c>
    </row>
    <row r="16">
      <c r="B16" s="433">
        <v>11.0</v>
      </c>
      <c r="C16" s="449"/>
      <c r="D16" s="875"/>
      <c r="E16" s="434" t="s">
        <v>22199</v>
      </c>
      <c r="F16" s="433" t="s">
        <v>22184</v>
      </c>
      <c r="G16" s="433" t="s">
        <v>29</v>
      </c>
      <c r="H16" s="433" t="s">
        <v>22185</v>
      </c>
      <c r="I16" s="433"/>
      <c r="J16" s="433" t="s">
        <v>17039</v>
      </c>
      <c r="K16" s="433">
        <v>16.0</v>
      </c>
      <c r="L16" s="433"/>
      <c r="M16" s="433" t="s">
        <v>13582</v>
      </c>
      <c r="N16" s="433" t="s">
        <v>22193</v>
      </c>
      <c r="O16" s="433">
        <v>1988.0</v>
      </c>
      <c r="P16" s="433" t="s">
        <v>388</v>
      </c>
      <c r="Q16" s="433">
        <v>1.0</v>
      </c>
    </row>
    <row r="17">
      <c r="B17" s="433">
        <v>12.0</v>
      </c>
      <c r="C17" s="449"/>
      <c r="D17" s="875"/>
      <c r="E17" s="434" t="s">
        <v>22200</v>
      </c>
      <c r="F17" s="433" t="s">
        <v>22184</v>
      </c>
      <c r="G17" s="433" t="s">
        <v>29</v>
      </c>
      <c r="H17" s="433" t="s">
        <v>22185</v>
      </c>
      <c r="I17" s="433"/>
      <c r="J17" s="433" t="s">
        <v>17039</v>
      </c>
      <c r="K17" s="433">
        <v>12.0</v>
      </c>
      <c r="L17" s="433"/>
      <c r="M17" s="433" t="s">
        <v>21453</v>
      </c>
      <c r="N17" s="433" t="s">
        <v>22201</v>
      </c>
      <c r="O17" s="433" t="s">
        <v>13695</v>
      </c>
      <c r="P17" s="433" t="s">
        <v>388</v>
      </c>
      <c r="Q17" s="433">
        <v>1.0</v>
      </c>
    </row>
    <row r="18">
      <c r="B18" s="433">
        <v>13.0</v>
      </c>
      <c r="C18" s="433"/>
      <c r="D18" s="433"/>
      <c r="E18" s="434" t="s">
        <v>22202</v>
      </c>
      <c r="F18" s="433" t="s">
        <v>22184</v>
      </c>
      <c r="G18" s="433" t="s">
        <v>29</v>
      </c>
      <c r="H18" s="433" t="s">
        <v>22185</v>
      </c>
      <c r="I18" s="433"/>
      <c r="J18" s="433" t="s">
        <v>17039</v>
      </c>
      <c r="K18" s="433">
        <v>101.0</v>
      </c>
      <c r="L18" s="433"/>
      <c r="M18" s="433"/>
      <c r="N18" s="433" t="s">
        <v>54</v>
      </c>
      <c r="O18" s="433">
        <v>1985.0</v>
      </c>
      <c r="P18" s="433" t="s">
        <v>388</v>
      </c>
      <c r="Q18" s="433">
        <v>1.0</v>
      </c>
    </row>
    <row r="19">
      <c r="B19" s="433">
        <v>14.0</v>
      </c>
      <c r="C19" s="433"/>
      <c r="D19" s="433"/>
      <c r="E19" s="434" t="s">
        <v>22203</v>
      </c>
      <c r="F19" s="433" t="s">
        <v>22184</v>
      </c>
      <c r="G19" s="433"/>
      <c r="H19" s="433" t="s">
        <v>15840</v>
      </c>
      <c r="I19" s="433"/>
      <c r="J19" s="433" t="s">
        <v>17097</v>
      </c>
      <c r="K19" s="433">
        <v>42.0</v>
      </c>
      <c r="L19" s="433"/>
      <c r="M19" s="433" t="s">
        <v>13582</v>
      </c>
      <c r="N19" s="433" t="s">
        <v>54</v>
      </c>
      <c r="O19" s="433">
        <v>1980.0</v>
      </c>
      <c r="P19" s="433" t="s">
        <v>388</v>
      </c>
      <c r="Q19" s="433">
        <v>1.0</v>
      </c>
    </row>
    <row r="20">
      <c r="B20" s="433">
        <v>15.0</v>
      </c>
      <c r="C20" s="433"/>
      <c r="D20" s="433"/>
      <c r="E20" s="434" t="s">
        <v>22204</v>
      </c>
      <c r="F20" s="433" t="s">
        <v>22184</v>
      </c>
      <c r="G20" s="433"/>
      <c r="H20" s="433" t="s">
        <v>15840</v>
      </c>
      <c r="I20" s="433"/>
      <c r="J20" s="433" t="s">
        <v>17097</v>
      </c>
      <c r="K20" s="433">
        <v>25.0</v>
      </c>
      <c r="L20" s="433"/>
      <c r="M20" s="433" t="s">
        <v>13582</v>
      </c>
      <c r="N20" s="433" t="s">
        <v>22205</v>
      </c>
      <c r="O20" s="433">
        <v>1986.0</v>
      </c>
      <c r="P20" s="433" t="s">
        <v>388</v>
      </c>
      <c r="Q20" s="433">
        <v>1.0</v>
      </c>
    </row>
    <row r="21" ht="15.75" customHeight="1">
      <c r="B21" s="433">
        <v>16.0</v>
      </c>
      <c r="C21" s="433"/>
      <c r="D21" s="433"/>
      <c r="E21" s="434" t="s">
        <v>22206</v>
      </c>
      <c r="F21" s="433" t="s">
        <v>22184</v>
      </c>
      <c r="G21" s="433" t="s">
        <v>29</v>
      </c>
      <c r="H21" s="433" t="s">
        <v>15840</v>
      </c>
      <c r="I21" s="433"/>
      <c r="J21" s="433" t="s">
        <v>17097</v>
      </c>
      <c r="K21" s="433">
        <v>193.0</v>
      </c>
      <c r="L21" s="433"/>
      <c r="M21" s="433"/>
      <c r="N21" s="433" t="s">
        <v>22205</v>
      </c>
      <c r="O21" s="433">
        <v>1988.0</v>
      </c>
      <c r="P21" s="433" t="s">
        <v>388</v>
      </c>
      <c r="Q21" s="433">
        <v>1.0</v>
      </c>
    </row>
    <row r="22" ht="15.75" customHeight="1">
      <c r="B22" s="433">
        <v>17.0</v>
      </c>
      <c r="C22" s="433"/>
      <c r="D22" s="433"/>
      <c r="E22" s="434" t="s">
        <v>22207</v>
      </c>
      <c r="F22" s="433" t="s">
        <v>22184</v>
      </c>
      <c r="G22" s="433" t="s">
        <v>29</v>
      </c>
      <c r="H22" s="433" t="s">
        <v>15840</v>
      </c>
      <c r="I22" s="433"/>
      <c r="J22" s="433" t="s">
        <v>17097</v>
      </c>
      <c r="K22" s="433">
        <v>77.0</v>
      </c>
      <c r="L22" s="433" t="s">
        <v>31</v>
      </c>
      <c r="M22" s="433"/>
      <c r="N22" s="433" t="s">
        <v>22205</v>
      </c>
      <c r="O22" s="433">
        <v>1988.0</v>
      </c>
      <c r="P22" s="433" t="s">
        <v>388</v>
      </c>
      <c r="Q22" s="433">
        <v>1.0</v>
      </c>
    </row>
    <row r="23" ht="15.75" customHeight="1">
      <c r="B23" s="433">
        <v>18.0</v>
      </c>
      <c r="C23" s="433"/>
      <c r="D23" s="433"/>
      <c r="E23" s="434" t="s">
        <v>22208</v>
      </c>
      <c r="F23" s="433" t="s">
        <v>22184</v>
      </c>
      <c r="G23" s="433"/>
      <c r="H23" s="433" t="s">
        <v>22185</v>
      </c>
      <c r="I23" s="433"/>
      <c r="J23" s="433" t="s">
        <v>16700</v>
      </c>
      <c r="K23" s="433">
        <v>10.0</v>
      </c>
      <c r="L23" s="433"/>
      <c r="M23" s="433"/>
      <c r="N23" s="433" t="s">
        <v>22209</v>
      </c>
      <c r="O23" s="433">
        <v>1982.0</v>
      </c>
      <c r="P23" s="433" t="s">
        <v>388</v>
      </c>
      <c r="Q23" s="433">
        <v>1.0</v>
      </c>
    </row>
    <row r="24" ht="15.75" customHeight="1">
      <c r="B24" s="433">
        <v>19.0</v>
      </c>
      <c r="C24" s="466"/>
      <c r="D24" s="433"/>
      <c r="E24" s="434" t="s">
        <v>22210</v>
      </c>
      <c r="F24" s="433" t="s">
        <v>22184</v>
      </c>
      <c r="G24" s="433" t="s">
        <v>29</v>
      </c>
      <c r="H24" s="433" t="s">
        <v>22185</v>
      </c>
      <c r="I24" s="433"/>
      <c r="J24" s="433" t="s">
        <v>16700</v>
      </c>
      <c r="K24" s="433">
        <v>44.0</v>
      </c>
      <c r="L24" s="433"/>
      <c r="M24" s="433"/>
      <c r="N24" s="433" t="s">
        <v>54</v>
      </c>
      <c r="O24" s="433">
        <v>1986.0</v>
      </c>
      <c r="P24" s="433" t="s">
        <v>388</v>
      </c>
      <c r="Q24" s="433">
        <v>1.0</v>
      </c>
    </row>
    <row r="25" ht="15.75" customHeight="1">
      <c r="B25" s="433">
        <v>20.0</v>
      </c>
      <c r="C25" s="433"/>
      <c r="D25" s="433"/>
      <c r="E25" s="434" t="s">
        <v>22211</v>
      </c>
      <c r="F25" s="433" t="s">
        <v>22184</v>
      </c>
      <c r="G25" s="433" t="s">
        <v>29</v>
      </c>
      <c r="H25" s="433" t="s">
        <v>22185</v>
      </c>
      <c r="I25" s="433"/>
      <c r="J25" s="433" t="s">
        <v>16700</v>
      </c>
      <c r="K25" s="433">
        <v>96.0</v>
      </c>
      <c r="L25" s="433"/>
      <c r="M25" s="433"/>
      <c r="N25" s="433" t="s">
        <v>22209</v>
      </c>
      <c r="O25" s="433">
        <v>1987.0</v>
      </c>
      <c r="P25" s="433" t="s">
        <v>388</v>
      </c>
      <c r="Q25" s="433">
        <v>2.0</v>
      </c>
    </row>
    <row r="26" ht="15.75" customHeight="1">
      <c r="B26" s="433">
        <v>21.0</v>
      </c>
      <c r="C26" s="433"/>
      <c r="D26" s="433"/>
      <c r="E26" s="434" t="s">
        <v>22212</v>
      </c>
      <c r="F26" s="433" t="s">
        <v>22184</v>
      </c>
      <c r="G26" s="433" t="s">
        <v>29</v>
      </c>
      <c r="H26" s="433" t="s">
        <v>22185</v>
      </c>
      <c r="I26" s="433"/>
      <c r="J26" s="433" t="s">
        <v>16700</v>
      </c>
      <c r="K26" s="433">
        <v>7.0</v>
      </c>
      <c r="L26" s="433"/>
      <c r="M26" s="433"/>
      <c r="N26" s="433" t="s">
        <v>22209</v>
      </c>
      <c r="O26" s="433">
        <v>1982.0</v>
      </c>
      <c r="P26" s="433" t="s">
        <v>388</v>
      </c>
      <c r="Q26" s="433">
        <v>1.0</v>
      </c>
    </row>
    <row r="27" ht="15.75" customHeight="1">
      <c r="B27" s="433">
        <v>22.0</v>
      </c>
      <c r="C27" s="433"/>
      <c r="D27" s="433"/>
      <c r="E27" s="434" t="s">
        <v>22213</v>
      </c>
      <c r="F27" s="433" t="s">
        <v>22184</v>
      </c>
      <c r="G27" s="433" t="s">
        <v>29</v>
      </c>
      <c r="H27" s="433" t="s">
        <v>22185</v>
      </c>
      <c r="I27" s="433"/>
      <c r="J27" s="433" t="s">
        <v>16700</v>
      </c>
      <c r="K27" s="433">
        <v>24.0</v>
      </c>
      <c r="L27" s="433"/>
      <c r="M27" s="433" t="s">
        <v>13582</v>
      </c>
      <c r="N27" s="433" t="s">
        <v>54</v>
      </c>
      <c r="O27" s="433">
        <v>1986.0</v>
      </c>
      <c r="P27" s="433" t="s">
        <v>388</v>
      </c>
      <c r="Q27" s="433">
        <v>1.0</v>
      </c>
    </row>
    <row r="28" ht="15.75" customHeight="1">
      <c r="B28" s="433">
        <v>23.0</v>
      </c>
      <c r="C28" s="433"/>
      <c r="D28" s="433"/>
      <c r="E28" s="434" t="s">
        <v>22214</v>
      </c>
      <c r="F28" s="433" t="s">
        <v>22184</v>
      </c>
      <c r="G28" s="433" t="s">
        <v>29</v>
      </c>
      <c r="H28" s="433" t="s">
        <v>22185</v>
      </c>
      <c r="I28" s="433"/>
      <c r="J28" s="433" t="s">
        <v>16700</v>
      </c>
      <c r="K28" s="433">
        <v>24.0</v>
      </c>
      <c r="L28" s="433"/>
      <c r="M28" s="433" t="s">
        <v>13582</v>
      </c>
      <c r="N28" s="433" t="s">
        <v>54</v>
      </c>
      <c r="O28" s="433">
        <v>1987.0</v>
      </c>
      <c r="P28" s="433" t="s">
        <v>388</v>
      </c>
      <c r="Q28" s="433">
        <v>1.0</v>
      </c>
    </row>
    <row r="29" ht="15.75" customHeight="1">
      <c r="B29" s="433">
        <v>24.0</v>
      </c>
      <c r="C29" s="433"/>
      <c r="D29" s="433"/>
      <c r="E29" s="434" t="s">
        <v>22215</v>
      </c>
      <c r="F29" s="433" t="s">
        <v>22184</v>
      </c>
      <c r="G29" s="433" t="s">
        <v>29</v>
      </c>
      <c r="H29" s="433" t="s">
        <v>22185</v>
      </c>
      <c r="I29" s="433"/>
      <c r="J29" s="433" t="s">
        <v>16700</v>
      </c>
      <c r="K29" s="433">
        <v>24.0</v>
      </c>
      <c r="L29" s="433"/>
      <c r="M29" s="433" t="s">
        <v>13582</v>
      </c>
      <c r="N29" s="433" t="s">
        <v>54</v>
      </c>
      <c r="O29" s="433">
        <v>1988.0</v>
      </c>
      <c r="P29" s="433" t="s">
        <v>388</v>
      </c>
      <c r="Q29" s="433">
        <v>2.0</v>
      </c>
    </row>
    <row r="30" ht="15.75" customHeight="1">
      <c r="B30" s="433">
        <v>25.0</v>
      </c>
      <c r="C30" s="433"/>
      <c r="D30" s="433"/>
      <c r="E30" s="434" t="s">
        <v>22214</v>
      </c>
      <c r="F30" s="433" t="s">
        <v>22184</v>
      </c>
      <c r="G30" s="433" t="s">
        <v>29</v>
      </c>
      <c r="H30" s="433" t="s">
        <v>22185</v>
      </c>
      <c r="I30" s="433"/>
      <c r="J30" s="433" t="s">
        <v>16700</v>
      </c>
      <c r="K30" s="433">
        <v>24.0</v>
      </c>
      <c r="L30" s="433"/>
      <c r="M30" s="433" t="s">
        <v>21453</v>
      </c>
      <c r="N30" s="433" t="s">
        <v>54</v>
      </c>
      <c r="O30" s="433">
        <v>1987.0</v>
      </c>
      <c r="P30" s="433" t="s">
        <v>388</v>
      </c>
      <c r="Q30" s="433">
        <v>1.0</v>
      </c>
    </row>
    <row r="31" ht="15.75" customHeight="1">
      <c r="B31" s="433">
        <v>26.0</v>
      </c>
      <c r="C31" s="433"/>
      <c r="D31" s="433"/>
      <c r="E31" s="434" t="s">
        <v>22213</v>
      </c>
      <c r="F31" s="433" t="s">
        <v>22184</v>
      </c>
      <c r="G31" s="433" t="s">
        <v>29</v>
      </c>
      <c r="H31" s="433" t="s">
        <v>22185</v>
      </c>
      <c r="I31" s="433"/>
      <c r="J31" s="433" t="s">
        <v>16700</v>
      </c>
      <c r="K31" s="433">
        <v>24.0</v>
      </c>
      <c r="L31" s="433"/>
      <c r="M31" s="433" t="s">
        <v>13582</v>
      </c>
      <c r="N31" s="433" t="s">
        <v>54</v>
      </c>
      <c r="O31" s="433">
        <v>1986.0</v>
      </c>
      <c r="P31" s="433" t="s">
        <v>388</v>
      </c>
      <c r="Q31" s="433">
        <v>1.0</v>
      </c>
    </row>
    <row r="32" ht="15.75" customHeight="1">
      <c r="B32" s="433">
        <v>27.0</v>
      </c>
      <c r="C32" s="433"/>
      <c r="D32" s="433"/>
      <c r="E32" s="434" t="s">
        <v>22216</v>
      </c>
      <c r="F32" s="433" t="s">
        <v>22184</v>
      </c>
      <c r="G32" s="433" t="s">
        <v>29</v>
      </c>
      <c r="H32" s="433" t="s">
        <v>22185</v>
      </c>
      <c r="I32" s="433"/>
      <c r="J32" s="433" t="s">
        <v>16700</v>
      </c>
      <c r="K32" s="433">
        <v>24.0</v>
      </c>
      <c r="L32" s="433"/>
      <c r="M32" s="433" t="s">
        <v>13582</v>
      </c>
      <c r="N32" s="433" t="s">
        <v>54</v>
      </c>
      <c r="O32" s="433">
        <v>1986.0</v>
      </c>
      <c r="P32" s="433" t="s">
        <v>388</v>
      </c>
      <c r="Q32" s="433">
        <v>1.0</v>
      </c>
    </row>
    <row r="33" ht="15.75" customHeight="1">
      <c r="B33" s="433">
        <v>28.0</v>
      </c>
      <c r="C33" s="433"/>
      <c r="D33" s="433"/>
      <c r="E33" s="434" t="s">
        <v>22217</v>
      </c>
      <c r="F33" s="433" t="s">
        <v>22184</v>
      </c>
      <c r="G33" s="433" t="s">
        <v>29</v>
      </c>
      <c r="H33" s="433" t="s">
        <v>22218</v>
      </c>
      <c r="I33" s="538"/>
      <c r="J33" s="433" t="s">
        <v>22186</v>
      </c>
      <c r="K33" s="538"/>
      <c r="L33" s="433"/>
      <c r="M33" s="433" t="s">
        <v>13582</v>
      </c>
      <c r="N33" s="433" t="s">
        <v>54</v>
      </c>
      <c r="O33" s="433">
        <v>1986.0</v>
      </c>
      <c r="P33" s="433" t="s">
        <v>388</v>
      </c>
      <c r="Q33" s="433">
        <v>1.0</v>
      </c>
    </row>
    <row r="34" ht="15.75" customHeight="1">
      <c r="B34" s="433">
        <v>29.0</v>
      </c>
      <c r="C34" s="433"/>
      <c r="D34" s="433"/>
      <c r="E34" s="434" t="s">
        <v>22219</v>
      </c>
      <c r="F34" s="433" t="s">
        <v>22184</v>
      </c>
      <c r="G34" s="433" t="s">
        <v>29</v>
      </c>
      <c r="H34" s="433" t="s">
        <v>22218</v>
      </c>
      <c r="I34" s="538"/>
      <c r="J34" s="433" t="s">
        <v>22186</v>
      </c>
      <c r="K34" s="538"/>
      <c r="L34" s="433"/>
      <c r="M34" s="433" t="s">
        <v>13582</v>
      </c>
      <c r="N34" s="433" t="s">
        <v>54</v>
      </c>
      <c r="O34" s="433">
        <v>1986.0</v>
      </c>
      <c r="P34" s="433" t="s">
        <v>388</v>
      </c>
      <c r="Q34" s="433">
        <v>1.0</v>
      </c>
    </row>
    <row r="35" ht="15.75" customHeight="1">
      <c r="B35" s="433">
        <v>30.0</v>
      </c>
      <c r="C35" s="433"/>
      <c r="D35" s="433"/>
      <c r="E35" s="434" t="s">
        <v>22220</v>
      </c>
      <c r="F35" s="433" t="s">
        <v>22184</v>
      </c>
      <c r="G35" s="433" t="s">
        <v>29</v>
      </c>
      <c r="H35" s="433" t="s">
        <v>22185</v>
      </c>
      <c r="I35" s="433"/>
      <c r="J35" s="433" t="s">
        <v>38</v>
      </c>
      <c r="K35" s="433">
        <v>51.0</v>
      </c>
      <c r="L35" s="433"/>
      <c r="M35" s="433" t="s">
        <v>13582</v>
      </c>
      <c r="N35" s="433" t="s">
        <v>21927</v>
      </c>
      <c r="O35" s="433">
        <v>1989.0</v>
      </c>
      <c r="P35" s="433" t="s">
        <v>388</v>
      </c>
      <c r="Q35" s="433">
        <v>1.0</v>
      </c>
    </row>
    <row r="36" ht="15.75" customHeight="1">
      <c r="B36" s="433">
        <v>31.0</v>
      </c>
      <c r="C36" s="433"/>
      <c r="D36" s="433"/>
      <c r="E36" s="434" t="s">
        <v>22221</v>
      </c>
      <c r="F36" s="433" t="s">
        <v>22184</v>
      </c>
      <c r="G36" s="433" t="s">
        <v>29</v>
      </c>
      <c r="H36" s="433"/>
      <c r="I36" s="433"/>
      <c r="J36" s="433" t="s">
        <v>38</v>
      </c>
      <c r="K36" s="433">
        <v>48.0</v>
      </c>
      <c r="L36" s="433"/>
      <c r="M36" s="433"/>
      <c r="N36" s="433" t="s">
        <v>22222</v>
      </c>
      <c r="O36" s="433">
        <v>1952.0</v>
      </c>
      <c r="P36" s="433" t="s">
        <v>388</v>
      </c>
      <c r="Q36" s="433">
        <v>1.0</v>
      </c>
    </row>
    <row r="37" ht="15.75" customHeight="1">
      <c r="B37" s="433">
        <v>32.0</v>
      </c>
      <c r="C37" s="433"/>
      <c r="D37" s="433"/>
      <c r="E37" s="434" t="s">
        <v>22223</v>
      </c>
      <c r="F37" s="433" t="s">
        <v>22184</v>
      </c>
      <c r="G37" s="433" t="s">
        <v>29</v>
      </c>
      <c r="H37" s="433"/>
      <c r="I37" s="433"/>
      <c r="J37" s="433" t="s">
        <v>38</v>
      </c>
      <c r="K37" s="433">
        <v>64.0</v>
      </c>
      <c r="L37" s="433"/>
      <c r="M37" s="433"/>
      <c r="N37" s="433" t="s">
        <v>13587</v>
      </c>
      <c r="O37" s="433">
        <v>1849.0</v>
      </c>
      <c r="P37" s="433" t="s">
        <v>388</v>
      </c>
      <c r="Q37" s="433">
        <v>1.0</v>
      </c>
    </row>
    <row r="38" ht="15.75" customHeight="1">
      <c r="B38" s="433">
        <v>33.0</v>
      </c>
      <c r="C38" s="433"/>
      <c r="D38" s="433"/>
      <c r="E38" s="434" t="s">
        <v>22224</v>
      </c>
      <c r="F38" s="433" t="s">
        <v>22184</v>
      </c>
      <c r="G38" s="433" t="s">
        <v>29</v>
      </c>
      <c r="H38" s="433"/>
      <c r="I38" s="433"/>
      <c r="J38" s="433"/>
      <c r="K38" s="433"/>
      <c r="L38" s="433"/>
      <c r="M38" s="433"/>
      <c r="N38" s="433" t="s">
        <v>13587</v>
      </c>
      <c r="O38" s="433">
        <v>1998.0</v>
      </c>
      <c r="P38" s="433" t="s">
        <v>388</v>
      </c>
      <c r="Q38" s="433">
        <v>1.0</v>
      </c>
    </row>
    <row r="39" ht="15.75" customHeight="1">
      <c r="B39" s="433">
        <v>34.0</v>
      </c>
      <c r="C39" s="433"/>
      <c r="D39" s="433"/>
      <c r="E39" s="434" t="s">
        <v>22225</v>
      </c>
      <c r="F39" s="433" t="s">
        <v>22184</v>
      </c>
      <c r="G39" s="433" t="s">
        <v>29</v>
      </c>
      <c r="H39" s="433" t="s">
        <v>22185</v>
      </c>
      <c r="I39" s="433"/>
      <c r="J39" s="433" t="s">
        <v>22226</v>
      </c>
      <c r="K39" s="433">
        <v>268.0</v>
      </c>
      <c r="L39" s="433"/>
      <c r="M39" s="433" t="s">
        <v>22227</v>
      </c>
      <c r="N39" s="433" t="s">
        <v>22228</v>
      </c>
      <c r="O39" s="433">
        <v>1979.0</v>
      </c>
      <c r="P39" s="433" t="s">
        <v>388</v>
      </c>
      <c r="Q39" s="433">
        <v>1.0</v>
      </c>
    </row>
    <row r="40" ht="15.75" customHeight="1">
      <c r="B40" s="433">
        <v>35.0</v>
      </c>
      <c r="C40" s="433"/>
      <c r="D40" s="433"/>
      <c r="E40" s="434" t="s">
        <v>22229</v>
      </c>
      <c r="F40" s="433" t="s">
        <v>22184</v>
      </c>
      <c r="G40" s="433" t="s">
        <v>29</v>
      </c>
      <c r="H40" s="433" t="s">
        <v>22185</v>
      </c>
      <c r="I40" s="433"/>
      <c r="J40" s="433" t="s">
        <v>22185</v>
      </c>
      <c r="K40" s="433">
        <v>379.0</v>
      </c>
      <c r="L40" s="433"/>
      <c r="M40" s="433" t="s">
        <v>19614</v>
      </c>
      <c r="N40" s="433" t="s">
        <v>22228</v>
      </c>
      <c r="O40" s="433">
        <v>1980.0</v>
      </c>
      <c r="P40" s="433" t="s">
        <v>388</v>
      </c>
      <c r="Q40" s="433">
        <v>1.0</v>
      </c>
    </row>
    <row r="41" ht="15.75" customHeight="1">
      <c r="B41" s="433">
        <v>36.0</v>
      </c>
      <c r="C41" s="433"/>
      <c r="D41" s="433"/>
      <c r="E41" s="434" t="s">
        <v>22230</v>
      </c>
      <c r="F41" s="433" t="s">
        <v>22184</v>
      </c>
      <c r="G41" s="433" t="s">
        <v>29</v>
      </c>
      <c r="H41" s="433" t="s">
        <v>22185</v>
      </c>
      <c r="I41" s="433"/>
      <c r="J41" s="433" t="s">
        <v>166</v>
      </c>
      <c r="K41" s="433">
        <v>101.0</v>
      </c>
      <c r="L41" s="433"/>
      <c r="M41" s="433"/>
      <c r="N41" s="433" t="s">
        <v>22231</v>
      </c>
      <c r="O41" s="433">
        <v>1951.0</v>
      </c>
      <c r="P41" s="433" t="s">
        <v>388</v>
      </c>
      <c r="Q41" s="433">
        <v>1.0</v>
      </c>
    </row>
    <row r="42" ht="15.75" customHeight="1">
      <c r="B42" s="433">
        <v>37.0</v>
      </c>
      <c r="C42" s="433"/>
      <c r="D42" s="433"/>
      <c r="E42" s="434" t="s">
        <v>22232</v>
      </c>
      <c r="F42" s="433" t="s">
        <v>22184</v>
      </c>
      <c r="G42" s="433" t="s">
        <v>29</v>
      </c>
      <c r="H42" s="433" t="s">
        <v>22233</v>
      </c>
      <c r="I42" s="433"/>
      <c r="J42" s="433" t="s">
        <v>22234</v>
      </c>
      <c r="K42" s="433">
        <v>60.0</v>
      </c>
      <c r="L42" s="433"/>
      <c r="M42" s="433" t="s">
        <v>13582</v>
      </c>
      <c r="N42" s="433" t="s">
        <v>22235</v>
      </c>
      <c r="O42" s="433">
        <v>1985.0</v>
      </c>
      <c r="P42" s="433" t="s">
        <v>388</v>
      </c>
      <c r="Q42" s="433">
        <v>1.0</v>
      </c>
    </row>
    <row r="43" ht="15.75" customHeight="1">
      <c r="B43" s="433">
        <v>38.0</v>
      </c>
      <c r="C43" s="433"/>
      <c r="D43" s="433"/>
      <c r="E43" s="434" t="s">
        <v>22236</v>
      </c>
      <c r="F43" s="433" t="s">
        <v>22184</v>
      </c>
      <c r="G43" s="433" t="s">
        <v>29</v>
      </c>
      <c r="H43" s="433" t="s">
        <v>22233</v>
      </c>
      <c r="I43" s="433"/>
      <c r="J43" s="433" t="s">
        <v>22234</v>
      </c>
      <c r="K43" s="433">
        <v>44.0</v>
      </c>
      <c r="L43" s="433"/>
      <c r="M43" s="433" t="s">
        <v>13582</v>
      </c>
      <c r="N43" s="433" t="s">
        <v>22235</v>
      </c>
      <c r="O43" s="433">
        <v>1986.0</v>
      </c>
      <c r="P43" s="433" t="s">
        <v>388</v>
      </c>
      <c r="Q43" s="433">
        <v>1.0</v>
      </c>
    </row>
    <row r="44" ht="15.75" customHeight="1">
      <c r="B44" s="433">
        <v>39.0</v>
      </c>
      <c r="C44" s="433"/>
      <c r="D44" s="433"/>
      <c r="E44" s="434" t="s">
        <v>22237</v>
      </c>
      <c r="F44" s="433" t="s">
        <v>22184</v>
      </c>
      <c r="G44" s="433" t="s">
        <v>29</v>
      </c>
      <c r="H44" s="433" t="s">
        <v>22233</v>
      </c>
      <c r="I44" s="433"/>
      <c r="J44" s="433" t="s">
        <v>1195</v>
      </c>
      <c r="K44" s="433">
        <v>44.0</v>
      </c>
      <c r="L44" s="433"/>
      <c r="M44" s="433" t="s">
        <v>13582</v>
      </c>
      <c r="N44" s="433" t="s">
        <v>22238</v>
      </c>
      <c r="O44" s="433">
        <v>1984.0</v>
      </c>
      <c r="P44" s="433" t="s">
        <v>388</v>
      </c>
      <c r="Q44" s="433">
        <v>1.0</v>
      </c>
    </row>
    <row r="45" ht="15.75" customHeight="1">
      <c r="B45" s="433">
        <v>40.0</v>
      </c>
      <c r="C45" s="433"/>
      <c r="D45" s="433"/>
      <c r="E45" s="434" t="s">
        <v>22239</v>
      </c>
      <c r="F45" s="433" t="s">
        <v>22184</v>
      </c>
      <c r="G45" s="433" t="s">
        <v>29</v>
      </c>
      <c r="H45" s="433" t="s">
        <v>22233</v>
      </c>
      <c r="I45" s="433"/>
      <c r="J45" s="433" t="s">
        <v>1195</v>
      </c>
      <c r="K45" s="433">
        <v>44.0</v>
      </c>
      <c r="L45" s="433"/>
      <c r="M45" s="433" t="s">
        <v>13582</v>
      </c>
      <c r="N45" s="433" t="s">
        <v>22240</v>
      </c>
      <c r="O45" s="433">
        <v>1984.0</v>
      </c>
      <c r="P45" s="433" t="s">
        <v>388</v>
      </c>
      <c r="Q45" s="433">
        <v>1.0</v>
      </c>
    </row>
    <row r="46" ht="15.75" customHeight="1">
      <c r="B46" s="433">
        <v>41.0</v>
      </c>
      <c r="C46" s="433"/>
      <c r="D46" s="576"/>
      <c r="E46" s="434" t="s">
        <v>22241</v>
      </c>
      <c r="F46" s="433" t="s">
        <v>22184</v>
      </c>
      <c r="G46" s="433" t="s">
        <v>29</v>
      </c>
      <c r="H46" s="433" t="s">
        <v>22233</v>
      </c>
      <c r="I46" s="433"/>
      <c r="J46" s="433" t="s">
        <v>1195</v>
      </c>
      <c r="K46" s="433">
        <v>44.0</v>
      </c>
      <c r="L46" s="433"/>
      <c r="M46" s="433" t="s">
        <v>13582</v>
      </c>
      <c r="N46" s="433" t="s">
        <v>22242</v>
      </c>
      <c r="O46" s="433">
        <v>1984.0</v>
      </c>
      <c r="P46" s="433" t="s">
        <v>388</v>
      </c>
      <c r="Q46" s="433">
        <v>1.0</v>
      </c>
    </row>
    <row r="47" ht="15.75" customHeight="1">
      <c r="B47" s="433">
        <v>42.0</v>
      </c>
      <c r="C47" s="433"/>
      <c r="D47" s="433"/>
      <c r="E47" s="434" t="s">
        <v>22243</v>
      </c>
      <c r="F47" s="433" t="s">
        <v>22184</v>
      </c>
      <c r="G47" s="433" t="s">
        <v>29</v>
      </c>
      <c r="H47" s="433" t="s">
        <v>17224</v>
      </c>
      <c r="I47" s="433"/>
      <c r="J47" s="433" t="s">
        <v>17224</v>
      </c>
      <c r="K47" s="433">
        <v>21.0</v>
      </c>
      <c r="L47" s="433"/>
      <c r="M47" s="433" t="s">
        <v>13582</v>
      </c>
      <c r="N47" s="433" t="s">
        <v>22244</v>
      </c>
      <c r="O47" s="433">
        <v>1967.0</v>
      </c>
      <c r="P47" s="433" t="s">
        <v>388</v>
      </c>
      <c r="Q47" s="433">
        <v>1.0</v>
      </c>
    </row>
    <row r="48" ht="15.75" customHeight="1">
      <c r="B48" s="433">
        <v>43.0</v>
      </c>
      <c r="C48" s="433"/>
      <c r="D48" s="433"/>
      <c r="E48" s="434" t="s">
        <v>22245</v>
      </c>
      <c r="F48" s="433" t="s">
        <v>22184</v>
      </c>
      <c r="G48" s="433" t="s">
        <v>29</v>
      </c>
      <c r="H48" s="433" t="s">
        <v>22246</v>
      </c>
      <c r="I48" s="433"/>
      <c r="J48" s="433"/>
      <c r="K48" s="433"/>
      <c r="L48" s="433"/>
      <c r="M48" s="433"/>
      <c r="N48" s="433"/>
      <c r="O48" s="433"/>
      <c r="P48" s="433" t="s">
        <v>388</v>
      </c>
      <c r="Q48" s="433">
        <v>1.0</v>
      </c>
    </row>
    <row r="49" ht="15.75" customHeight="1">
      <c r="B49" s="433">
        <v>44.0</v>
      </c>
      <c r="C49" s="433"/>
      <c r="D49" s="433"/>
      <c r="E49" s="434" t="s">
        <v>22247</v>
      </c>
      <c r="F49" s="433" t="s">
        <v>22184</v>
      </c>
      <c r="G49" s="433" t="s">
        <v>29</v>
      </c>
      <c r="H49" s="433" t="s">
        <v>22233</v>
      </c>
      <c r="I49" s="433"/>
      <c r="J49" s="433"/>
      <c r="K49" s="433">
        <v>42.0</v>
      </c>
      <c r="L49" s="433"/>
      <c r="M49" s="433"/>
      <c r="N49" s="433" t="s">
        <v>54</v>
      </c>
      <c r="O49" s="433">
        <v>1985.0</v>
      </c>
      <c r="P49" s="433" t="s">
        <v>388</v>
      </c>
      <c r="Q49" s="433">
        <v>1.0</v>
      </c>
    </row>
    <row r="50" ht="15.75" customHeight="1">
      <c r="B50" s="433">
        <v>45.0</v>
      </c>
      <c r="C50" s="433"/>
      <c r="D50" s="433"/>
      <c r="E50" s="434" t="s">
        <v>22219</v>
      </c>
      <c r="F50" s="433" t="s">
        <v>22184</v>
      </c>
      <c r="G50" s="433" t="s">
        <v>29</v>
      </c>
      <c r="H50" s="433" t="s">
        <v>17039</v>
      </c>
      <c r="I50" s="433"/>
      <c r="J50" s="433" t="s">
        <v>22186</v>
      </c>
      <c r="K50" s="433">
        <v>30.0</v>
      </c>
      <c r="L50" s="433"/>
      <c r="M50" s="433"/>
      <c r="N50" s="433" t="s">
        <v>22248</v>
      </c>
      <c r="O50" s="433">
        <v>1986.0</v>
      </c>
      <c r="P50" s="433" t="s">
        <v>388</v>
      </c>
      <c r="Q50" s="433">
        <v>1.0</v>
      </c>
    </row>
    <row r="51" ht="15.75" customHeight="1">
      <c r="B51" s="433">
        <v>46.0</v>
      </c>
      <c r="C51" s="433"/>
      <c r="D51" s="433"/>
      <c r="E51" s="434" t="s">
        <v>22249</v>
      </c>
      <c r="F51" s="433" t="s">
        <v>22184</v>
      </c>
      <c r="G51" s="433" t="s">
        <v>29</v>
      </c>
      <c r="H51" s="433" t="s">
        <v>17019</v>
      </c>
      <c r="I51" s="433"/>
      <c r="J51" s="433" t="s">
        <v>22250</v>
      </c>
      <c r="K51" s="433">
        <v>87.0</v>
      </c>
      <c r="L51" s="433"/>
      <c r="M51" s="433"/>
      <c r="N51" s="433" t="s">
        <v>22251</v>
      </c>
      <c r="O51" s="433">
        <v>1937.0</v>
      </c>
      <c r="P51" s="433" t="s">
        <v>388</v>
      </c>
      <c r="Q51" s="433">
        <v>1.0</v>
      </c>
    </row>
    <row r="52" ht="15.75" customHeight="1">
      <c r="B52" s="449"/>
      <c r="C52" s="433"/>
      <c r="D52" s="433"/>
      <c r="E52" s="434"/>
      <c r="F52" s="433"/>
      <c r="G52" s="433"/>
      <c r="H52" s="433"/>
      <c r="I52" s="433"/>
      <c r="J52" s="433"/>
      <c r="K52" s="433"/>
      <c r="L52" s="433"/>
      <c r="M52" s="450"/>
      <c r="N52" s="433"/>
      <c r="O52" s="451"/>
      <c r="P52" s="433"/>
      <c r="Q52" s="342"/>
    </row>
    <row r="53" ht="15.75" customHeight="1">
      <c r="B53" s="449"/>
      <c r="C53" s="449"/>
      <c r="D53" s="450"/>
      <c r="E53" s="523"/>
      <c r="F53" s="450"/>
      <c r="G53" s="450"/>
      <c r="H53" s="450"/>
      <c r="I53" s="450"/>
      <c r="J53" s="450"/>
      <c r="K53" s="450"/>
      <c r="L53" s="450"/>
      <c r="M53" s="450"/>
      <c r="N53" s="15" t="s">
        <v>13862</v>
      </c>
      <c r="O53" s="16"/>
      <c r="P53" s="17"/>
      <c r="Q53" s="452">
        <f>SUM(Q6:Q52)</f>
        <v>48</v>
      </c>
    </row>
    <row r="54" ht="15.75" customHeight="1">
      <c r="B54" s="454"/>
      <c r="C54" s="455"/>
      <c r="D54" s="455"/>
      <c r="E54" s="455"/>
      <c r="F54" s="455"/>
      <c r="G54" s="455"/>
      <c r="H54" s="455"/>
      <c r="I54" s="455"/>
      <c r="J54" s="455"/>
      <c r="K54" s="455"/>
      <c r="L54" s="455"/>
      <c r="M54" s="455"/>
      <c r="N54" s="455"/>
      <c r="O54" s="455"/>
      <c r="P54" s="455"/>
      <c r="Q54" s="456"/>
    </row>
    <row r="55" ht="15.75" customHeight="1">
      <c r="B55" s="457" t="s">
        <v>14257</v>
      </c>
      <c r="C55" s="6"/>
      <c r="D55" s="6"/>
      <c r="E55" s="6"/>
      <c r="F55" s="6"/>
      <c r="G55" s="6"/>
      <c r="H55" s="6"/>
      <c r="I55" s="6"/>
      <c r="J55" s="6"/>
      <c r="K55" s="6"/>
      <c r="L55" s="6"/>
      <c r="M55" s="6"/>
      <c r="N55" s="6"/>
      <c r="O55" s="6"/>
      <c r="P55" s="6"/>
      <c r="Q55" s="7"/>
    </row>
    <row r="56" ht="15.75" customHeight="1">
      <c r="B56" s="327" t="s">
        <v>14150</v>
      </c>
      <c r="C56" s="457" t="s">
        <v>14151</v>
      </c>
      <c r="D56" s="6"/>
      <c r="E56" s="7"/>
      <c r="F56" s="458"/>
      <c r="G56" s="459"/>
      <c r="H56" s="7"/>
      <c r="I56" s="459"/>
      <c r="J56" s="6"/>
      <c r="K56" s="6"/>
      <c r="L56" s="7"/>
      <c r="M56" s="460"/>
      <c r="N56" s="461" t="s">
        <v>22252</v>
      </c>
      <c r="O56" s="461"/>
      <c r="P56" s="461"/>
      <c r="Q56" s="461"/>
    </row>
    <row r="57" ht="15.75" customHeight="1">
      <c r="B57" s="321"/>
      <c r="C57" s="399"/>
      <c r="D57" s="458"/>
      <c r="E57" s="462"/>
      <c r="F57" s="458"/>
      <c r="G57" s="463"/>
      <c r="H57" s="7"/>
      <c r="I57" s="321"/>
      <c r="J57" s="321"/>
      <c r="K57" s="463"/>
      <c r="L57" s="7"/>
      <c r="M57" s="321"/>
      <c r="N57" s="321"/>
      <c r="O57" s="321"/>
      <c r="P57" s="321"/>
      <c r="Q57" s="321"/>
    </row>
    <row r="58" ht="15.75" customHeight="1">
      <c r="B58" s="463"/>
      <c r="C58" s="7"/>
      <c r="D58" s="458"/>
      <c r="E58" s="463"/>
      <c r="F58" s="7"/>
      <c r="G58" s="321"/>
      <c r="H58" s="321"/>
      <c r="I58" s="321"/>
      <c r="J58" s="321"/>
      <c r="K58" s="321"/>
      <c r="L58" s="321"/>
      <c r="M58" s="321"/>
      <c r="N58" s="321"/>
      <c r="O58" s="321"/>
      <c r="P58" s="321"/>
      <c r="Q58" s="321"/>
    </row>
    <row r="59" ht="15.75" customHeight="1">
      <c r="B59" s="321"/>
      <c r="C59" s="457" t="s">
        <v>15030</v>
      </c>
      <c r="D59" s="6"/>
      <c r="E59" s="7"/>
      <c r="F59" s="458"/>
      <c r="G59" s="457"/>
      <c r="H59" s="7"/>
      <c r="I59" s="457"/>
      <c r="J59" s="6"/>
      <c r="K59" s="6"/>
      <c r="L59" s="7"/>
      <c r="M59" s="457" t="s">
        <v>14154</v>
      </c>
      <c r="N59" s="6"/>
      <c r="O59" s="6"/>
      <c r="P59" s="6"/>
      <c r="Q59" s="7"/>
    </row>
    <row r="60" ht="15.75" customHeight="1">
      <c r="B60" s="321"/>
      <c r="C60" s="457" t="s">
        <v>14155</v>
      </c>
      <c r="D60" s="6"/>
      <c r="E60" s="7"/>
      <c r="F60" s="458"/>
      <c r="G60" s="457"/>
      <c r="H60" s="7"/>
      <c r="I60" s="327"/>
      <c r="J60" s="457"/>
      <c r="K60" s="6"/>
      <c r="L60" s="7"/>
      <c r="M60" s="457" t="s">
        <v>14156</v>
      </c>
      <c r="N60" s="6"/>
      <c r="O60" s="6"/>
      <c r="P60" s="6"/>
      <c r="Q60" s="7"/>
    </row>
    <row r="61" ht="15.75" customHeight="1">
      <c r="B61" s="460"/>
      <c r="C61" s="944"/>
      <c r="D61" s="460"/>
      <c r="E61" s="939"/>
      <c r="F61" s="460"/>
      <c r="G61" s="460"/>
      <c r="H61" s="460"/>
      <c r="I61" s="460"/>
      <c r="J61" s="460"/>
      <c r="K61" s="460"/>
      <c r="L61" s="460"/>
      <c r="M61" s="474"/>
      <c r="O61" s="321"/>
      <c r="P61" s="321"/>
      <c r="Q61" s="321"/>
    </row>
    <row r="62" ht="15.75" customHeight="1">
      <c r="B62" s="2"/>
      <c r="C62" s="2"/>
      <c r="D62" s="667"/>
      <c r="E62" s="464"/>
      <c r="F62" s="2"/>
      <c r="G62" s="2"/>
      <c r="H62" s="2"/>
      <c r="I62" s="2"/>
      <c r="J62" s="2"/>
      <c r="K62" s="2"/>
      <c r="L62" s="2"/>
      <c r="M62" s="2"/>
      <c r="N62" s="667"/>
      <c r="O62" s="2"/>
      <c r="P62" s="2"/>
      <c r="Q62" s="2"/>
    </row>
    <row r="63" ht="15.75" customHeight="1">
      <c r="B63" s="2"/>
      <c r="C63" s="2"/>
      <c r="D63" s="667"/>
      <c r="E63" s="464"/>
      <c r="F63" s="2"/>
      <c r="G63" s="2"/>
      <c r="H63" s="2"/>
      <c r="I63" s="2"/>
      <c r="J63" s="2"/>
      <c r="K63" s="2"/>
      <c r="L63" s="2"/>
      <c r="M63" s="2"/>
      <c r="N63" s="667"/>
      <c r="O63" s="2"/>
      <c r="P63" s="2"/>
      <c r="Q63" s="2"/>
    </row>
    <row r="64" ht="15.75" customHeight="1">
      <c r="B64" s="2"/>
      <c r="C64" s="2"/>
      <c r="D64" s="667"/>
      <c r="E64" s="464"/>
      <c r="F64" s="2"/>
      <c r="G64" s="2"/>
      <c r="H64" s="2"/>
      <c r="I64" s="2"/>
      <c r="J64" s="2"/>
      <c r="K64" s="2"/>
      <c r="L64" s="2"/>
      <c r="M64" s="2"/>
      <c r="N64" s="667"/>
      <c r="O64" s="2"/>
      <c r="P64" s="2"/>
      <c r="Q64" s="2"/>
    </row>
    <row r="65" ht="15.75" customHeight="1">
      <c r="B65" s="2"/>
      <c r="C65" s="2"/>
      <c r="D65" s="667"/>
      <c r="E65" s="464"/>
      <c r="F65" s="2"/>
      <c r="G65" s="2"/>
      <c r="H65" s="2"/>
      <c r="I65" s="2"/>
      <c r="J65" s="2"/>
      <c r="K65" s="2"/>
      <c r="L65" s="2"/>
      <c r="M65" s="2"/>
      <c r="N65" s="667"/>
      <c r="O65" s="2"/>
      <c r="P65" s="2"/>
      <c r="Q65" s="2"/>
    </row>
    <row r="66" ht="15.75" customHeight="1">
      <c r="B66" s="2"/>
      <c r="C66" s="2"/>
      <c r="D66" s="667"/>
      <c r="E66" s="464"/>
      <c r="F66" s="2"/>
      <c r="G66" s="2"/>
      <c r="H66" s="2"/>
      <c r="I66" s="2"/>
      <c r="J66" s="2"/>
      <c r="K66" s="2"/>
      <c r="L66" s="2"/>
      <c r="M66" s="2"/>
      <c r="N66" s="667"/>
      <c r="O66" s="2"/>
      <c r="P66" s="2"/>
      <c r="Q66" s="2"/>
    </row>
    <row r="67" ht="15.75" customHeight="1">
      <c r="B67" s="2"/>
      <c r="C67" s="2"/>
      <c r="D67" s="667"/>
      <c r="E67" s="464"/>
      <c r="F67" s="2"/>
      <c r="G67" s="2"/>
      <c r="H67" s="2"/>
      <c r="I67" s="2"/>
      <c r="J67" s="2"/>
      <c r="K67" s="2"/>
      <c r="L67" s="2"/>
      <c r="M67" s="2"/>
      <c r="N67" s="667"/>
      <c r="O67" s="2"/>
      <c r="P67" s="2"/>
      <c r="Q67" s="2"/>
    </row>
    <row r="68" ht="15.75" customHeight="1">
      <c r="B68" s="2"/>
      <c r="C68" s="2"/>
      <c r="D68" s="667"/>
      <c r="E68" s="464"/>
      <c r="F68" s="2"/>
      <c r="G68" s="2"/>
      <c r="H68" s="2"/>
      <c r="I68" s="2"/>
      <c r="J68" s="2"/>
      <c r="K68" s="2"/>
      <c r="L68" s="2"/>
      <c r="M68" s="2"/>
      <c r="N68" s="667"/>
      <c r="O68" s="2"/>
      <c r="P68" s="2"/>
      <c r="Q68" s="2"/>
    </row>
    <row r="69" ht="15.75" customHeight="1">
      <c r="B69" s="2"/>
      <c r="C69" s="2"/>
      <c r="D69" s="667"/>
      <c r="E69" s="464"/>
      <c r="F69" s="2"/>
      <c r="G69" s="2"/>
      <c r="H69" s="2"/>
      <c r="I69" s="2"/>
      <c r="J69" s="2"/>
      <c r="K69" s="2"/>
      <c r="L69" s="2"/>
      <c r="M69" s="2"/>
      <c r="N69" s="667"/>
      <c r="O69" s="2"/>
      <c r="P69" s="2"/>
      <c r="Q69" s="2"/>
    </row>
    <row r="70" ht="15.75" customHeight="1">
      <c r="B70" s="2"/>
      <c r="C70" s="2"/>
      <c r="D70" s="667"/>
      <c r="E70" s="464"/>
      <c r="F70" s="2"/>
      <c r="G70" s="2"/>
      <c r="H70" s="2"/>
      <c r="I70" s="2"/>
      <c r="J70" s="2"/>
      <c r="K70" s="2"/>
      <c r="L70" s="2"/>
      <c r="M70" s="2"/>
      <c r="N70" s="667"/>
      <c r="O70" s="2"/>
      <c r="P70" s="2"/>
      <c r="Q70" s="2"/>
    </row>
    <row r="71" ht="15.75" customHeight="1">
      <c r="B71" s="2"/>
      <c r="C71" s="2"/>
      <c r="D71" s="667"/>
      <c r="E71" s="464"/>
      <c r="F71" s="2"/>
      <c r="G71" s="2"/>
      <c r="H71" s="2"/>
      <c r="I71" s="2"/>
      <c r="J71" s="2"/>
      <c r="K71" s="2"/>
      <c r="L71" s="2"/>
      <c r="M71" s="2"/>
      <c r="N71" s="667"/>
      <c r="O71" s="2"/>
      <c r="P71" s="2"/>
      <c r="Q71" s="2"/>
    </row>
    <row r="72" ht="15.75" customHeight="1">
      <c r="B72" s="2"/>
      <c r="C72" s="2"/>
      <c r="D72" s="667"/>
      <c r="E72" s="464"/>
      <c r="F72" s="2"/>
      <c r="G72" s="2"/>
      <c r="H72" s="2"/>
      <c r="I72" s="2"/>
      <c r="J72" s="2"/>
      <c r="K72" s="2"/>
      <c r="L72" s="2"/>
      <c r="M72" s="2"/>
      <c r="N72" s="667"/>
      <c r="O72" s="2"/>
      <c r="P72" s="2"/>
      <c r="Q72" s="2"/>
    </row>
    <row r="73" ht="15.75" customHeight="1">
      <c r="B73" s="2"/>
      <c r="C73" s="2"/>
      <c r="D73" s="667"/>
      <c r="E73" s="464"/>
      <c r="F73" s="2"/>
      <c r="G73" s="2"/>
      <c r="H73" s="2"/>
      <c r="I73" s="2"/>
      <c r="J73" s="2"/>
      <c r="K73" s="2"/>
      <c r="L73" s="2"/>
      <c r="M73" s="2"/>
      <c r="N73" s="667"/>
      <c r="O73" s="2"/>
      <c r="P73" s="2"/>
      <c r="Q73" s="2"/>
    </row>
    <row r="74" ht="15.75" customHeight="1">
      <c r="B74" s="2"/>
      <c r="C74" s="2"/>
      <c r="D74" s="667"/>
      <c r="E74" s="464"/>
      <c r="F74" s="2"/>
      <c r="G74" s="2"/>
      <c r="H74" s="2"/>
      <c r="I74" s="2"/>
      <c r="J74" s="2"/>
      <c r="K74" s="2"/>
      <c r="L74" s="2"/>
      <c r="M74" s="2"/>
      <c r="N74" s="667"/>
      <c r="O74" s="2"/>
      <c r="P74" s="2"/>
      <c r="Q74" s="2"/>
    </row>
    <row r="75" ht="15.75" customHeight="1">
      <c r="B75" s="2"/>
      <c r="C75" s="2"/>
      <c r="D75" s="667"/>
      <c r="E75" s="464"/>
      <c r="F75" s="2"/>
      <c r="G75" s="2"/>
      <c r="H75" s="2"/>
      <c r="I75" s="2"/>
      <c r="J75" s="2"/>
      <c r="K75" s="2"/>
      <c r="L75" s="2"/>
      <c r="M75" s="2"/>
      <c r="N75" s="667"/>
      <c r="O75" s="2"/>
      <c r="P75" s="2"/>
      <c r="Q75" s="2"/>
    </row>
    <row r="76" ht="15.75" customHeight="1">
      <c r="B76" s="2"/>
      <c r="C76" s="2"/>
      <c r="D76" s="667"/>
      <c r="E76" s="464"/>
      <c r="F76" s="2"/>
      <c r="G76" s="2"/>
      <c r="H76" s="2"/>
      <c r="I76" s="2"/>
      <c r="J76" s="2"/>
      <c r="K76" s="2"/>
      <c r="L76" s="2"/>
      <c r="M76" s="2"/>
      <c r="N76" s="667"/>
      <c r="O76" s="2"/>
      <c r="P76" s="2"/>
      <c r="Q76" s="2"/>
    </row>
    <row r="77" ht="15.75" customHeight="1">
      <c r="B77" s="2"/>
      <c r="C77" s="2"/>
      <c r="D77" s="667"/>
      <c r="E77" s="464"/>
      <c r="F77" s="2"/>
      <c r="G77" s="2"/>
      <c r="H77" s="2"/>
      <c r="I77" s="2"/>
      <c r="J77" s="2"/>
      <c r="K77" s="2"/>
      <c r="L77" s="2"/>
      <c r="M77" s="2"/>
      <c r="N77" s="667"/>
      <c r="O77" s="2"/>
      <c r="P77" s="2"/>
      <c r="Q77" s="2"/>
    </row>
    <row r="78" ht="15.75" customHeight="1">
      <c r="B78" s="2"/>
      <c r="C78" s="2"/>
      <c r="D78" s="667"/>
      <c r="E78" s="464"/>
      <c r="F78" s="2"/>
      <c r="G78" s="2"/>
      <c r="H78" s="2"/>
      <c r="I78" s="2"/>
      <c r="J78" s="2"/>
      <c r="K78" s="2"/>
      <c r="L78" s="2"/>
      <c r="M78" s="2"/>
      <c r="N78" s="667"/>
      <c r="O78" s="2"/>
      <c r="P78" s="2"/>
      <c r="Q78" s="2"/>
    </row>
    <row r="79" ht="15.75" customHeight="1">
      <c r="B79" s="2"/>
      <c r="C79" s="2"/>
      <c r="D79" s="667"/>
      <c r="E79" s="464"/>
      <c r="F79" s="2"/>
      <c r="G79" s="2"/>
      <c r="H79" s="2"/>
      <c r="I79" s="2"/>
      <c r="J79" s="2"/>
      <c r="K79" s="2"/>
      <c r="L79" s="2"/>
      <c r="M79" s="2"/>
      <c r="N79" s="667"/>
      <c r="O79" s="2"/>
      <c r="P79" s="2"/>
      <c r="Q79" s="2"/>
    </row>
    <row r="80" ht="15.75" customHeight="1">
      <c r="B80" s="2"/>
      <c r="C80" s="2"/>
      <c r="D80" s="667"/>
      <c r="E80" s="464"/>
      <c r="F80" s="2"/>
      <c r="G80" s="2"/>
      <c r="H80" s="2"/>
      <c r="I80" s="2"/>
      <c r="J80" s="2"/>
      <c r="K80" s="2"/>
      <c r="L80" s="2"/>
      <c r="M80" s="2"/>
      <c r="N80" s="667"/>
      <c r="O80" s="2"/>
      <c r="P80" s="2"/>
      <c r="Q80" s="2"/>
    </row>
    <row r="81" ht="15.75" customHeight="1">
      <c r="B81" s="2"/>
      <c r="C81" s="2"/>
      <c r="D81" s="667"/>
      <c r="E81" s="464"/>
      <c r="F81" s="2"/>
      <c r="G81" s="2"/>
      <c r="H81" s="2"/>
      <c r="I81" s="2"/>
      <c r="J81" s="2"/>
      <c r="K81" s="2"/>
      <c r="L81" s="2"/>
      <c r="M81" s="2"/>
      <c r="N81" s="667"/>
      <c r="O81" s="2"/>
      <c r="P81" s="2"/>
      <c r="Q81" s="2"/>
    </row>
    <row r="82" ht="15.75" customHeight="1">
      <c r="B82" s="2"/>
      <c r="C82" s="2"/>
      <c r="D82" s="667"/>
      <c r="E82" s="464"/>
      <c r="F82" s="2"/>
      <c r="G82" s="2"/>
      <c r="H82" s="2"/>
      <c r="I82" s="2"/>
      <c r="J82" s="2"/>
      <c r="K82" s="2"/>
      <c r="L82" s="2"/>
      <c r="M82" s="2"/>
      <c r="N82" s="667"/>
      <c r="O82" s="2"/>
      <c r="P82" s="2"/>
      <c r="Q82" s="2"/>
    </row>
    <row r="83" ht="15.75" customHeight="1">
      <c r="B83" s="2"/>
      <c r="C83" s="2"/>
      <c r="D83" s="667"/>
      <c r="E83" s="464"/>
      <c r="F83" s="2"/>
      <c r="G83" s="2"/>
      <c r="H83" s="2"/>
      <c r="I83" s="2"/>
      <c r="J83" s="2"/>
      <c r="K83" s="2"/>
      <c r="L83" s="2"/>
      <c r="M83" s="2"/>
      <c r="N83" s="667"/>
      <c r="O83" s="2"/>
      <c r="P83" s="2"/>
      <c r="Q83" s="2"/>
    </row>
    <row r="84" ht="15.75" customHeight="1">
      <c r="B84" s="2"/>
      <c r="C84" s="2"/>
      <c r="D84" s="667"/>
      <c r="E84" s="464"/>
      <c r="F84" s="2"/>
      <c r="G84" s="2"/>
      <c r="H84" s="2"/>
      <c r="I84" s="2"/>
      <c r="J84" s="2"/>
      <c r="K84" s="2"/>
      <c r="L84" s="2"/>
      <c r="M84" s="2"/>
      <c r="N84" s="667"/>
      <c r="O84" s="2"/>
      <c r="P84" s="2"/>
      <c r="Q84" s="2"/>
    </row>
    <row r="85" ht="15.75" customHeight="1">
      <c r="B85" s="2"/>
      <c r="C85" s="2"/>
      <c r="D85" s="667"/>
      <c r="E85" s="464"/>
      <c r="F85" s="2"/>
      <c r="G85" s="2"/>
      <c r="H85" s="2"/>
      <c r="I85" s="2"/>
      <c r="J85" s="2"/>
      <c r="K85" s="2"/>
      <c r="L85" s="2"/>
      <c r="M85" s="2"/>
      <c r="N85" s="667"/>
      <c r="O85" s="2"/>
      <c r="P85" s="2"/>
      <c r="Q85" s="2"/>
    </row>
    <row r="86" ht="15.75" customHeight="1">
      <c r="B86" s="2"/>
      <c r="C86" s="2"/>
      <c r="D86" s="667"/>
      <c r="E86" s="464"/>
      <c r="F86" s="2"/>
      <c r="G86" s="2"/>
      <c r="H86" s="2"/>
      <c r="I86" s="2"/>
      <c r="J86" s="2"/>
      <c r="K86" s="2"/>
      <c r="L86" s="2"/>
      <c r="M86" s="2"/>
      <c r="N86" s="667"/>
      <c r="O86" s="2"/>
      <c r="P86" s="2"/>
      <c r="Q86" s="2"/>
    </row>
    <row r="87" ht="15.75" customHeight="1">
      <c r="B87" s="2"/>
      <c r="C87" s="2"/>
      <c r="D87" s="667"/>
      <c r="E87" s="464"/>
      <c r="F87" s="2"/>
      <c r="G87" s="2"/>
      <c r="H87" s="2"/>
      <c r="I87" s="2"/>
      <c r="J87" s="2"/>
      <c r="K87" s="2"/>
      <c r="L87" s="2"/>
      <c r="M87" s="2"/>
      <c r="N87" s="667"/>
      <c r="O87" s="2"/>
      <c r="P87" s="2"/>
      <c r="Q87" s="2"/>
    </row>
    <row r="88" ht="15.75" customHeight="1">
      <c r="B88" s="2"/>
      <c r="C88" s="2"/>
      <c r="D88" s="667"/>
      <c r="E88" s="464"/>
      <c r="F88" s="2"/>
      <c r="G88" s="2"/>
      <c r="H88" s="2"/>
      <c r="I88" s="2"/>
      <c r="J88" s="2"/>
      <c r="K88" s="2"/>
      <c r="L88" s="2"/>
      <c r="M88" s="2"/>
      <c r="N88" s="667"/>
      <c r="O88" s="2"/>
      <c r="P88" s="2"/>
      <c r="Q88" s="2"/>
    </row>
    <row r="89" ht="15.75" customHeight="1">
      <c r="B89" s="2"/>
      <c r="C89" s="2"/>
      <c r="D89" s="667"/>
      <c r="E89" s="464"/>
      <c r="F89" s="2"/>
      <c r="G89" s="2"/>
      <c r="H89" s="2"/>
      <c r="I89" s="2"/>
      <c r="J89" s="2"/>
      <c r="K89" s="2"/>
      <c r="L89" s="2"/>
      <c r="M89" s="2"/>
      <c r="N89" s="667"/>
      <c r="O89" s="2"/>
      <c r="P89" s="2"/>
      <c r="Q89" s="2"/>
    </row>
    <row r="90" ht="15.75" customHeight="1">
      <c r="B90" s="2"/>
      <c r="C90" s="2"/>
      <c r="D90" s="667"/>
      <c r="E90" s="464"/>
      <c r="F90" s="2"/>
      <c r="G90" s="2"/>
      <c r="H90" s="2"/>
      <c r="I90" s="2"/>
      <c r="J90" s="2"/>
      <c r="K90" s="2"/>
      <c r="L90" s="2"/>
      <c r="M90" s="2"/>
      <c r="N90" s="667"/>
      <c r="O90" s="2"/>
      <c r="P90" s="2"/>
      <c r="Q90" s="2"/>
    </row>
    <row r="91" ht="15.75" customHeight="1">
      <c r="B91" s="2"/>
      <c r="C91" s="2"/>
      <c r="D91" s="667"/>
      <c r="E91" s="464"/>
      <c r="F91" s="2"/>
      <c r="G91" s="2"/>
      <c r="H91" s="2"/>
      <c r="I91" s="2"/>
      <c r="J91" s="2"/>
      <c r="K91" s="2"/>
      <c r="L91" s="2"/>
      <c r="M91" s="2"/>
      <c r="N91" s="667"/>
      <c r="O91" s="2"/>
      <c r="P91" s="2"/>
      <c r="Q91" s="2"/>
    </row>
    <row r="92" ht="15.75" customHeight="1">
      <c r="B92" s="2"/>
      <c r="C92" s="2"/>
      <c r="D92" s="667"/>
      <c r="E92" s="464"/>
      <c r="F92" s="2"/>
      <c r="G92" s="2"/>
      <c r="H92" s="2"/>
      <c r="I92" s="2"/>
      <c r="J92" s="2"/>
      <c r="K92" s="2"/>
      <c r="L92" s="2"/>
      <c r="M92" s="2"/>
      <c r="N92" s="667"/>
      <c r="O92" s="2"/>
      <c r="P92" s="2"/>
      <c r="Q92" s="2"/>
    </row>
    <row r="93" ht="15.75" customHeight="1">
      <c r="B93" s="2"/>
      <c r="C93" s="2"/>
      <c r="D93" s="667"/>
      <c r="E93" s="464"/>
      <c r="F93" s="2"/>
      <c r="G93" s="2"/>
      <c r="H93" s="2"/>
      <c r="I93" s="2"/>
      <c r="J93" s="2"/>
      <c r="K93" s="2"/>
      <c r="L93" s="2"/>
      <c r="M93" s="2"/>
      <c r="N93" s="667"/>
      <c r="O93" s="2"/>
      <c r="P93" s="2"/>
      <c r="Q93" s="2"/>
    </row>
    <row r="94" ht="15.75" customHeight="1">
      <c r="B94" s="2"/>
      <c r="C94" s="2"/>
      <c r="D94" s="667"/>
      <c r="E94" s="464"/>
      <c r="F94" s="2"/>
      <c r="G94" s="2"/>
      <c r="H94" s="2"/>
      <c r="I94" s="2"/>
      <c r="J94" s="2"/>
      <c r="K94" s="2"/>
      <c r="L94" s="2"/>
      <c r="M94" s="2"/>
      <c r="N94" s="667"/>
      <c r="O94" s="2"/>
      <c r="P94" s="2"/>
      <c r="Q94" s="2"/>
    </row>
    <row r="95" ht="15.75" customHeight="1">
      <c r="B95" s="2"/>
      <c r="C95" s="2"/>
      <c r="D95" s="667"/>
      <c r="E95" s="464"/>
      <c r="F95" s="2"/>
      <c r="G95" s="2"/>
      <c r="H95" s="2"/>
      <c r="I95" s="2"/>
      <c r="J95" s="2"/>
      <c r="K95" s="2"/>
      <c r="L95" s="2"/>
      <c r="M95" s="2"/>
      <c r="N95" s="667"/>
      <c r="O95" s="2"/>
      <c r="P95" s="2"/>
      <c r="Q95" s="2"/>
    </row>
    <row r="96" ht="15.75" customHeight="1">
      <c r="B96" s="2"/>
      <c r="C96" s="2"/>
      <c r="D96" s="667"/>
      <c r="E96" s="464"/>
      <c r="F96" s="2"/>
      <c r="G96" s="2"/>
      <c r="H96" s="2"/>
      <c r="I96" s="2"/>
      <c r="J96" s="2"/>
      <c r="K96" s="2"/>
      <c r="L96" s="2"/>
      <c r="M96" s="2"/>
      <c r="N96" s="667"/>
      <c r="O96" s="2"/>
      <c r="P96" s="2"/>
      <c r="Q96" s="2"/>
    </row>
    <row r="97" ht="15.75" customHeight="1">
      <c r="B97" s="2"/>
      <c r="C97" s="2"/>
      <c r="D97" s="667"/>
      <c r="E97" s="464"/>
      <c r="F97" s="2"/>
      <c r="G97" s="2"/>
      <c r="H97" s="2"/>
      <c r="I97" s="2"/>
      <c r="J97" s="2"/>
      <c r="K97" s="2"/>
      <c r="L97" s="2"/>
      <c r="M97" s="2"/>
      <c r="N97" s="667"/>
      <c r="O97" s="2"/>
      <c r="P97" s="2"/>
      <c r="Q97" s="2"/>
    </row>
    <row r="98" ht="15.75" customHeight="1">
      <c r="B98" s="2"/>
      <c r="C98" s="2"/>
      <c r="D98" s="667"/>
      <c r="E98" s="464"/>
      <c r="F98" s="2"/>
      <c r="G98" s="2"/>
      <c r="H98" s="2"/>
      <c r="I98" s="2"/>
      <c r="J98" s="2"/>
      <c r="K98" s="2"/>
      <c r="L98" s="2"/>
      <c r="M98" s="2"/>
      <c r="N98" s="667"/>
      <c r="O98" s="2"/>
      <c r="P98" s="2"/>
      <c r="Q98" s="2"/>
    </row>
    <row r="99" ht="15.75" customHeight="1">
      <c r="B99" s="2"/>
      <c r="C99" s="2"/>
      <c r="D99" s="667"/>
      <c r="E99" s="464"/>
      <c r="F99" s="2"/>
      <c r="G99" s="2"/>
      <c r="H99" s="2"/>
      <c r="I99" s="2"/>
      <c r="J99" s="2"/>
      <c r="K99" s="2"/>
      <c r="L99" s="2"/>
      <c r="M99" s="2"/>
      <c r="N99" s="667"/>
      <c r="O99" s="2"/>
      <c r="P99" s="2"/>
      <c r="Q99" s="2"/>
    </row>
    <row r="100" ht="15.75" customHeight="1">
      <c r="B100" s="2"/>
      <c r="C100" s="2"/>
      <c r="D100" s="667"/>
      <c r="E100" s="464"/>
      <c r="F100" s="2"/>
      <c r="G100" s="2"/>
      <c r="H100" s="2"/>
      <c r="I100" s="2"/>
      <c r="J100" s="2"/>
      <c r="K100" s="2"/>
      <c r="L100" s="2"/>
      <c r="M100" s="2"/>
      <c r="N100" s="667"/>
      <c r="O100" s="2"/>
      <c r="P100" s="2"/>
      <c r="Q100" s="2"/>
    </row>
    <row r="101" ht="15.75" customHeight="1">
      <c r="B101" s="2"/>
      <c r="C101" s="2"/>
      <c r="D101" s="667"/>
      <c r="E101" s="464"/>
      <c r="F101" s="2"/>
      <c r="G101" s="2"/>
      <c r="H101" s="2"/>
      <c r="I101" s="2"/>
      <c r="J101" s="2"/>
      <c r="K101" s="2"/>
      <c r="L101" s="2"/>
      <c r="M101" s="2"/>
      <c r="N101" s="667"/>
      <c r="O101" s="2"/>
      <c r="P101" s="2"/>
      <c r="Q101" s="2"/>
    </row>
    <row r="102" ht="15.75" customHeight="1">
      <c r="B102" s="2"/>
      <c r="C102" s="2"/>
      <c r="D102" s="667"/>
      <c r="E102" s="464"/>
      <c r="F102" s="2"/>
      <c r="G102" s="2"/>
      <c r="H102" s="2"/>
      <c r="I102" s="2"/>
      <c r="J102" s="2"/>
      <c r="K102" s="2"/>
      <c r="L102" s="2"/>
      <c r="M102" s="2"/>
      <c r="N102" s="667"/>
      <c r="O102" s="2"/>
      <c r="P102" s="2"/>
      <c r="Q102" s="2"/>
    </row>
    <row r="103" ht="15.75" customHeight="1">
      <c r="B103" s="2"/>
      <c r="C103" s="2"/>
      <c r="D103" s="667"/>
      <c r="E103" s="464"/>
      <c r="F103" s="2"/>
      <c r="G103" s="2"/>
      <c r="H103" s="2"/>
      <c r="I103" s="2"/>
      <c r="J103" s="2"/>
      <c r="K103" s="2"/>
      <c r="L103" s="2"/>
      <c r="M103" s="2"/>
      <c r="N103" s="667"/>
      <c r="O103" s="2"/>
      <c r="P103" s="2"/>
      <c r="Q103" s="2"/>
    </row>
    <row r="104" ht="15.75" customHeight="1">
      <c r="B104" s="2"/>
      <c r="C104" s="2"/>
      <c r="D104" s="667"/>
      <c r="E104" s="464"/>
      <c r="F104" s="2"/>
      <c r="G104" s="2"/>
      <c r="H104" s="2"/>
      <c r="I104" s="2"/>
      <c r="J104" s="2"/>
      <c r="K104" s="2"/>
      <c r="L104" s="2"/>
      <c r="M104" s="2"/>
      <c r="N104" s="667"/>
      <c r="O104" s="2"/>
      <c r="P104" s="2"/>
      <c r="Q104" s="2"/>
    </row>
    <row r="105" ht="15.75" customHeight="1">
      <c r="B105" s="2"/>
      <c r="C105" s="2"/>
      <c r="D105" s="667"/>
      <c r="E105" s="464"/>
      <c r="F105" s="2"/>
      <c r="G105" s="2"/>
      <c r="H105" s="2"/>
      <c r="I105" s="2"/>
      <c r="J105" s="2"/>
      <c r="K105" s="2"/>
      <c r="L105" s="2"/>
      <c r="M105" s="2"/>
      <c r="N105" s="667"/>
      <c r="O105" s="2"/>
      <c r="P105" s="2"/>
      <c r="Q105" s="2"/>
    </row>
    <row r="106" ht="15.75" customHeight="1">
      <c r="B106" s="2"/>
      <c r="C106" s="2"/>
      <c r="D106" s="2"/>
      <c r="E106" s="464"/>
      <c r="F106" s="2"/>
      <c r="G106" s="2"/>
      <c r="H106" s="2"/>
      <c r="I106" s="2"/>
      <c r="J106" s="2"/>
      <c r="K106" s="2"/>
      <c r="L106" s="2"/>
      <c r="M106" s="2"/>
      <c r="N106" s="2"/>
      <c r="O106" s="2"/>
      <c r="P106" s="2"/>
      <c r="Q106" s="2"/>
    </row>
    <row r="107" ht="15.75" customHeight="1">
      <c r="B107" s="2"/>
      <c r="C107" s="2"/>
      <c r="D107" s="2"/>
      <c r="E107" s="464"/>
      <c r="F107" s="2"/>
      <c r="G107" s="2"/>
      <c r="H107" s="2"/>
      <c r="I107" s="2"/>
      <c r="J107" s="2"/>
      <c r="K107" s="2"/>
      <c r="L107" s="2"/>
      <c r="M107" s="2"/>
      <c r="N107" s="2"/>
      <c r="O107" s="2"/>
      <c r="P107" s="2"/>
      <c r="Q107" s="2"/>
    </row>
    <row r="108" ht="15.75" customHeight="1">
      <c r="B108" s="2"/>
      <c r="C108" s="2"/>
      <c r="D108" s="2"/>
      <c r="E108" s="464"/>
      <c r="F108" s="2"/>
      <c r="G108" s="2"/>
      <c r="H108" s="2"/>
      <c r="I108" s="2"/>
      <c r="J108" s="2"/>
      <c r="K108" s="2"/>
      <c r="L108" s="2"/>
      <c r="M108" s="2"/>
      <c r="N108" s="2"/>
      <c r="O108" s="2"/>
      <c r="P108" s="2"/>
      <c r="Q108" s="2"/>
    </row>
    <row r="109" ht="15.75" customHeight="1">
      <c r="B109" s="2"/>
      <c r="C109" s="2"/>
      <c r="D109" s="2"/>
      <c r="E109" s="464"/>
      <c r="F109" s="2"/>
      <c r="G109" s="2"/>
      <c r="H109" s="2"/>
      <c r="I109" s="2"/>
      <c r="J109" s="2"/>
      <c r="K109" s="2"/>
      <c r="L109" s="2"/>
      <c r="M109" s="2"/>
      <c r="N109" s="2"/>
      <c r="O109" s="2"/>
      <c r="P109" s="2"/>
      <c r="Q109" s="2"/>
    </row>
    <row r="110" ht="15.75" customHeight="1">
      <c r="B110" s="2"/>
      <c r="C110" s="2"/>
      <c r="D110" s="2"/>
      <c r="E110" s="464"/>
      <c r="F110" s="2"/>
      <c r="G110" s="2"/>
      <c r="H110" s="2"/>
      <c r="I110" s="2"/>
      <c r="J110" s="2"/>
      <c r="K110" s="2"/>
      <c r="L110" s="2"/>
      <c r="M110" s="2"/>
      <c r="N110" s="2"/>
      <c r="O110" s="2"/>
      <c r="P110" s="2"/>
      <c r="Q110" s="2"/>
    </row>
    <row r="111" ht="15.75" customHeight="1">
      <c r="B111" s="2"/>
      <c r="C111" s="2"/>
      <c r="D111" s="2"/>
      <c r="E111" s="464"/>
      <c r="F111" s="2"/>
      <c r="G111" s="2"/>
      <c r="H111" s="2"/>
      <c r="I111" s="2"/>
      <c r="J111" s="2"/>
      <c r="K111" s="2"/>
      <c r="L111" s="2"/>
      <c r="M111" s="2"/>
      <c r="N111" s="2"/>
      <c r="O111" s="2"/>
      <c r="P111" s="2"/>
      <c r="Q111" s="2"/>
    </row>
    <row r="112" ht="15.75" customHeight="1">
      <c r="B112" s="2"/>
      <c r="C112" s="2"/>
      <c r="D112" s="2"/>
      <c r="E112" s="464"/>
      <c r="F112" s="2"/>
      <c r="G112" s="2"/>
      <c r="H112" s="2"/>
      <c r="I112" s="2"/>
      <c r="J112" s="2"/>
      <c r="K112" s="2"/>
      <c r="L112" s="2"/>
      <c r="M112" s="2"/>
      <c r="N112" s="2"/>
      <c r="O112" s="2"/>
      <c r="P112" s="2"/>
      <c r="Q112" s="2"/>
    </row>
    <row r="113" ht="15.75" customHeight="1">
      <c r="B113" s="2"/>
      <c r="C113" s="2"/>
      <c r="D113" s="2"/>
      <c r="E113" s="464"/>
      <c r="F113" s="2"/>
      <c r="G113" s="2"/>
      <c r="H113" s="2"/>
      <c r="I113" s="2"/>
      <c r="J113" s="2"/>
      <c r="K113" s="2"/>
      <c r="L113" s="2"/>
      <c r="M113" s="2"/>
      <c r="N113" s="2"/>
      <c r="O113" s="2"/>
      <c r="P113" s="2"/>
      <c r="Q113" s="2"/>
    </row>
    <row r="114" ht="15.75" customHeight="1">
      <c r="B114" s="2"/>
      <c r="C114" s="2"/>
      <c r="D114" s="2"/>
      <c r="E114" s="464"/>
      <c r="F114" s="2"/>
      <c r="G114" s="2"/>
      <c r="H114" s="2"/>
      <c r="I114" s="2"/>
      <c r="J114" s="2"/>
      <c r="K114" s="2"/>
      <c r="L114" s="2"/>
      <c r="M114" s="2"/>
      <c r="N114" s="2"/>
      <c r="O114" s="2"/>
      <c r="P114" s="2"/>
      <c r="Q114" s="2"/>
    </row>
    <row r="115" ht="15.75" customHeight="1">
      <c r="B115" s="2"/>
      <c r="C115" s="2"/>
      <c r="D115" s="2"/>
      <c r="E115" s="464"/>
      <c r="F115" s="2"/>
      <c r="G115" s="2"/>
      <c r="H115" s="2"/>
      <c r="I115" s="2"/>
      <c r="J115" s="2"/>
      <c r="K115" s="2"/>
      <c r="L115" s="2"/>
      <c r="M115" s="2"/>
      <c r="N115" s="2"/>
      <c r="O115" s="2"/>
      <c r="P115" s="2"/>
      <c r="Q115" s="2"/>
    </row>
    <row r="116" ht="15.75" customHeight="1">
      <c r="B116" s="2"/>
      <c r="C116" s="2"/>
      <c r="D116" s="2"/>
      <c r="E116" s="464"/>
      <c r="F116" s="2"/>
      <c r="G116" s="2"/>
      <c r="H116" s="2"/>
      <c r="I116" s="2"/>
      <c r="J116" s="2"/>
      <c r="K116" s="2"/>
      <c r="L116" s="2"/>
      <c r="M116" s="2"/>
      <c r="N116" s="2"/>
      <c r="O116" s="2"/>
      <c r="P116" s="2"/>
      <c r="Q116" s="2"/>
    </row>
    <row r="117" ht="15.75" customHeight="1">
      <c r="B117" s="2"/>
      <c r="C117" s="2"/>
      <c r="D117" s="2"/>
      <c r="E117" s="464"/>
      <c r="F117" s="2"/>
      <c r="G117" s="2"/>
      <c r="H117" s="2"/>
      <c r="I117" s="2"/>
      <c r="J117" s="2"/>
      <c r="K117" s="2"/>
      <c r="L117" s="2"/>
      <c r="M117" s="2"/>
      <c r="N117" s="2"/>
      <c r="O117" s="2"/>
      <c r="P117" s="2"/>
      <c r="Q117" s="2"/>
    </row>
    <row r="118" ht="15.75" customHeight="1">
      <c r="B118" s="2"/>
      <c r="C118" s="2"/>
      <c r="D118" s="2"/>
      <c r="E118" s="464"/>
      <c r="F118" s="2"/>
      <c r="G118" s="2"/>
      <c r="H118" s="2"/>
      <c r="I118" s="2"/>
      <c r="J118" s="2"/>
      <c r="K118" s="2"/>
      <c r="L118" s="2"/>
      <c r="M118" s="2"/>
      <c r="N118" s="2"/>
      <c r="O118" s="2"/>
      <c r="P118" s="2"/>
      <c r="Q118" s="2"/>
    </row>
    <row r="119" ht="15.75" customHeight="1">
      <c r="B119" s="2"/>
      <c r="C119" s="2"/>
      <c r="D119" s="2"/>
      <c r="E119" s="464"/>
      <c r="F119" s="2"/>
      <c r="G119" s="2"/>
      <c r="H119" s="2"/>
      <c r="I119" s="2"/>
      <c r="J119" s="2"/>
      <c r="K119" s="2"/>
      <c r="L119" s="2"/>
      <c r="M119" s="2"/>
      <c r="N119" s="2"/>
      <c r="O119" s="2"/>
      <c r="P119" s="2"/>
      <c r="Q119" s="2"/>
    </row>
    <row r="120" ht="15.75" customHeight="1">
      <c r="B120" s="2"/>
      <c r="C120" s="2"/>
      <c r="D120" s="2"/>
      <c r="E120" s="464"/>
      <c r="F120" s="2"/>
      <c r="G120" s="2"/>
      <c r="H120" s="2"/>
      <c r="I120" s="2"/>
      <c r="J120" s="2"/>
      <c r="K120" s="2"/>
      <c r="L120" s="2"/>
      <c r="M120" s="2"/>
      <c r="N120" s="2"/>
      <c r="O120" s="2"/>
      <c r="P120" s="2"/>
      <c r="Q120" s="2"/>
    </row>
    <row r="121" ht="15.75" customHeight="1">
      <c r="B121" s="2"/>
      <c r="C121" s="2"/>
      <c r="D121" s="2"/>
      <c r="E121" s="464"/>
      <c r="F121" s="2"/>
      <c r="G121" s="2"/>
      <c r="H121" s="2"/>
      <c r="I121" s="2"/>
      <c r="J121" s="2"/>
      <c r="K121" s="2"/>
      <c r="L121" s="2"/>
      <c r="M121" s="2"/>
      <c r="N121" s="2"/>
      <c r="O121" s="2"/>
      <c r="P121" s="2"/>
      <c r="Q121" s="2"/>
    </row>
    <row r="122" ht="15.75" customHeight="1">
      <c r="B122" s="2"/>
      <c r="C122" s="2"/>
      <c r="D122" s="2"/>
      <c r="E122" s="464"/>
      <c r="F122" s="2"/>
      <c r="G122" s="2"/>
      <c r="H122" s="2"/>
      <c r="I122" s="2"/>
      <c r="J122" s="2"/>
      <c r="K122" s="2"/>
      <c r="L122" s="2"/>
      <c r="M122" s="2"/>
      <c r="N122" s="2"/>
      <c r="O122" s="2"/>
      <c r="P122" s="2"/>
      <c r="Q122" s="2"/>
    </row>
    <row r="123" ht="15.75" customHeight="1">
      <c r="B123" s="2"/>
      <c r="C123" s="2"/>
      <c r="D123" s="2"/>
      <c r="E123" s="464"/>
      <c r="F123" s="2"/>
      <c r="G123" s="2"/>
      <c r="H123" s="2"/>
      <c r="I123" s="2"/>
      <c r="J123" s="2"/>
      <c r="K123" s="2"/>
      <c r="L123" s="2"/>
      <c r="M123" s="2"/>
      <c r="N123" s="2"/>
      <c r="O123" s="2"/>
      <c r="P123" s="2"/>
      <c r="Q123" s="2"/>
    </row>
    <row r="124" ht="15.75" customHeight="1">
      <c r="B124" s="2"/>
      <c r="C124" s="2"/>
      <c r="D124" s="2"/>
      <c r="E124" s="464"/>
      <c r="F124" s="2"/>
      <c r="G124" s="2"/>
      <c r="H124" s="2"/>
      <c r="I124" s="2"/>
      <c r="J124" s="2"/>
      <c r="K124" s="2"/>
      <c r="L124" s="2"/>
      <c r="M124" s="2"/>
      <c r="N124" s="2"/>
      <c r="O124" s="2"/>
      <c r="P124" s="2"/>
      <c r="Q124" s="2"/>
    </row>
    <row r="125" ht="15.75" customHeight="1">
      <c r="B125" s="2"/>
      <c r="C125" s="2"/>
      <c r="D125" s="2"/>
      <c r="E125" s="464"/>
      <c r="F125" s="2"/>
      <c r="G125" s="2"/>
      <c r="H125" s="2"/>
      <c r="I125" s="2"/>
      <c r="J125" s="2"/>
      <c r="K125" s="2"/>
      <c r="L125" s="2"/>
      <c r="M125" s="2"/>
      <c r="N125" s="2"/>
      <c r="O125" s="2"/>
      <c r="P125" s="2"/>
      <c r="Q125" s="2"/>
    </row>
    <row r="126" ht="15.75" customHeight="1">
      <c r="B126" s="2"/>
      <c r="C126" s="2"/>
      <c r="D126" s="2"/>
      <c r="E126" s="464"/>
      <c r="F126" s="2"/>
      <c r="G126" s="2"/>
      <c r="H126" s="2"/>
      <c r="I126" s="2"/>
      <c r="J126" s="2"/>
      <c r="K126" s="2"/>
      <c r="L126" s="2"/>
      <c r="M126" s="2"/>
      <c r="N126" s="2"/>
      <c r="O126" s="2"/>
      <c r="P126" s="2"/>
      <c r="Q126" s="2"/>
    </row>
    <row r="127" ht="15.75" customHeight="1">
      <c r="B127" s="2"/>
      <c r="C127" s="2"/>
      <c r="D127" s="2"/>
      <c r="E127" s="464"/>
      <c r="F127" s="2"/>
      <c r="G127" s="2"/>
      <c r="H127" s="2"/>
      <c r="I127" s="2"/>
      <c r="J127" s="2"/>
      <c r="K127" s="2"/>
      <c r="L127" s="2"/>
      <c r="M127" s="2"/>
      <c r="N127" s="2"/>
      <c r="O127" s="2"/>
      <c r="P127" s="2"/>
      <c r="Q127" s="2"/>
    </row>
    <row r="128" ht="15.75" customHeight="1">
      <c r="B128" s="2"/>
      <c r="C128" s="2"/>
      <c r="D128" s="2"/>
      <c r="E128" s="464"/>
      <c r="F128" s="2"/>
      <c r="G128" s="2"/>
      <c r="H128" s="2"/>
      <c r="I128" s="2"/>
      <c r="J128" s="2"/>
      <c r="K128" s="2"/>
      <c r="L128" s="2"/>
      <c r="M128" s="2"/>
      <c r="N128" s="2"/>
      <c r="O128" s="2"/>
      <c r="P128" s="2"/>
      <c r="Q128" s="2"/>
    </row>
    <row r="129" ht="15.75" customHeight="1">
      <c r="B129" s="2"/>
      <c r="C129" s="2"/>
      <c r="D129" s="2"/>
      <c r="E129" s="464"/>
      <c r="F129" s="2"/>
      <c r="G129" s="2"/>
      <c r="H129" s="2"/>
      <c r="I129" s="2"/>
      <c r="J129" s="2"/>
      <c r="K129" s="2"/>
      <c r="L129" s="2"/>
      <c r="M129" s="2"/>
      <c r="N129" s="2"/>
      <c r="O129" s="2"/>
      <c r="P129" s="2"/>
      <c r="Q129" s="2"/>
    </row>
    <row r="130" ht="15.75" customHeight="1">
      <c r="B130" s="2"/>
      <c r="C130" s="2"/>
      <c r="D130" s="2"/>
      <c r="E130" s="464"/>
      <c r="F130" s="2"/>
      <c r="G130" s="2"/>
      <c r="H130" s="2"/>
      <c r="I130" s="2"/>
      <c r="J130" s="2"/>
      <c r="K130" s="2"/>
      <c r="L130" s="2"/>
      <c r="M130" s="2"/>
      <c r="N130" s="2"/>
      <c r="O130" s="2"/>
      <c r="P130" s="2"/>
      <c r="Q130" s="2"/>
    </row>
    <row r="131" ht="15.75" customHeight="1">
      <c r="B131" s="2"/>
      <c r="C131" s="2"/>
      <c r="D131" s="2"/>
      <c r="E131" s="464"/>
      <c r="F131" s="2"/>
      <c r="G131" s="2"/>
      <c r="H131" s="2"/>
      <c r="I131" s="2"/>
      <c r="J131" s="2"/>
      <c r="K131" s="2"/>
      <c r="L131" s="2"/>
      <c r="M131" s="2"/>
      <c r="N131" s="2"/>
      <c r="O131" s="2"/>
      <c r="P131" s="2"/>
      <c r="Q131" s="2"/>
    </row>
    <row r="132" ht="15.75" customHeight="1">
      <c r="B132" s="2"/>
      <c r="C132" s="2"/>
      <c r="D132" s="2"/>
      <c r="E132" s="464"/>
      <c r="F132" s="2"/>
      <c r="G132" s="2"/>
      <c r="H132" s="2"/>
      <c r="I132" s="2"/>
      <c r="J132" s="2"/>
      <c r="K132" s="2"/>
      <c r="L132" s="2"/>
      <c r="M132" s="2"/>
      <c r="N132" s="2"/>
      <c r="O132" s="2"/>
      <c r="P132" s="2"/>
      <c r="Q132" s="2"/>
    </row>
    <row r="133" ht="15.75" customHeight="1">
      <c r="B133" s="2"/>
      <c r="C133" s="2"/>
      <c r="D133" s="2"/>
      <c r="E133" s="464"/>
      <c r="F133" s="2"/>
      <c r="G133" s="2"/>
      <c r="H133" s="2"/>
      <c r="I133" s="2"/>
      <c r="J133" s="2"/>
      <c r="K133" s="2"/>
      <c r="L133" s="2"/>
      <c r="M133" s="2"/>
      <c r="N133" s="2"/>
      <c r="O133" s="2"/>
      <c r="P133" s="2"/>
      <c r="Q133" s="2"/>
    </row>
    <row r="134" ht="15.75" customHeight="1">
      <c r="B134" s="2"/>
      <c r="C134" s="2"/>
      <c r="D134" s="2"/>
      <c r="E134" s="464"/>
      <c r="F134" s="2"/>
      <c r="G134" s="2"/>
      <c r="H134" s="2"/>
      <c r="I134" s="2"/>
      <c r="J134" s="2"/>
      <c r="K134" s="2"/>
      <c r="L134" s="2"/>
      <c r="M134" s="2"/>
      <c r="N134" s="2"/>
      <c r="O134" s="2"/>
      <c r="P134" s="2"/>
      <c r="Q134" s="2"/>
    </row>
    <row r="135" ht="15.75" customHeight="1">
      <c r="B135" s="2"/>
      <c r="C135" s="2"/>
      <c r="D135" s="2"/>
      <c r="E135" s="464"/>
      <c r="F135" s="2"/>
      <c r="G135" s="2"/>
      <c r="H135" s="2"/>
      <c r="I135" s="2"/>
      <c r="J135" s="2"/>
      <c r="K135" s="2"/>
      <c r="L135" s="2"/>
      <c r="M135" s="2"/>
      <c r="N135" s="2"/>
      <c r="O135" s="2"/>
      <c r="P135" s="2"/>
      <c r="Q135" s="2"/>
    </row>
    <row r="136" ht="15.75" customHeight="1">
      <c r="B136" s="2"/>
      <c r="C136" s="2"/>
      <c r="D136" s="2"/>
      <c r="E136" s="464"/>
      <c r="F136" s="2"/>
      <c r="G136" s="2"/>
      <c r="H136" s="2"/>
      <c r="I136" s="2"/>
      <c r="J136" s="2"/>
      <c r="K136" s="2"/>
      <c r="L136" s="2"/>
      <c r="M136" s="2"/>
      <c r="N136" s="2"/>
      <c r="O136" s="2"/>
      <c r="P136" s="2"/>
      <c r="Q136" s="2"/>
    </row>
    <row r="137" ht="15.75" customHeight="1">
      <c r="B137" s="2"/>
      <c r="C137" s="2"/>
      <c r="D137" s="2"/>
      <c r="E137" s="464"/>
      <c r="F137" s="2"/>
      <c r="G137" s="2"/>
      <c r="H137" s="2"/>
      <c r="I137" s="2"/>
      <c r="J137" s="2"/>
      <c r="K137" s="2"/>
      <c r="L137" s="2"/>
      <c r="M137" s="2"/>
      <c r="N137" s="2"/>
      <c r="O137" s="2"/>
      <c r="P137" s="2"/>
      <c r="Q137" s="2"/>
    </row>
    <row r="138" ht="15.75" customHeight="1">
      <c r="B138" s="2"/>
      <c r="C138" s="2"/>
      <c r="D138" s="2"/>
      <c r="E138" s="464"/>
      <c r="F138" s="2"/>
      <c r="G138" s="2"/>
      <c r="H138" s="2"/>
      <c r="I138" s="2"/>
      <c r="J138" s="2"/>
      <c r="K138" s="2"/>
      <c r="L138" s="2"/>
      <c r="M138" s="2"/>
      <c r="N138" s="2"/>
      <c r="O138" s="2"/>
      <c r="P138" s="2"/>
      <c r="Q138" s="2"/>
    </row>
    <row r="139" ht="15.75" customHeight="1">
      <c r="B139" s="2"/>
      <c r="C139" s="2"/>
      <c r="D139" s="2"/>
      <c r="E139" s="464"/>
      <c r="F139" s="2"/>
      <c r="G139" s="2"/>
      <c r="H139" s="2"/>
      <c r="I139" s="2"/>
      <c r="J139" s="2"/>
      <c r="K139" s="2"/>
      <c r="L139" s="2"/>
      <c r="M139" s="2"/>
      <c r="N139" s="2"/>
      <c r="O139" s="2"/>
      <c r="P139" s="2"/>
      <c r="Q139" s="2"/>
    </row>
    <row r="140" ht="15.75" customHeight="1">
      <c r="B140" s="2"/>
      <c r="C140" s="2"/>
      <c r="D140" s="2"/>
      <c r="E140" s="464"/>
      <c r="F140" s="2"/>
      <c r="G140" s="2"/>
      <c r="H140" s="2"/>
      <c r="I140" s="2"/>
      <c r="J140" s="2"/>
      <c r="K140" s="2"/>
      <c r="L140" s="2"/>
      <c r="M140" s="2"/>
      <c r="N140" s="2"/>
      <c r="O140" s="2"/>
      <c r="P140" s="2"/>
      <c r="Q140" s="2"/>
    </row>
    <row r="141" ht="15.75" customHeight="1">
      <c r="B141" s="2"/>
      <c r="C141" s="2"/>
      <c r="D141" s="2"/>
      <c r="E141" s="464"/>
      <c r="F141" s="2"/>
      <c r="G141" s="2"/>
      <c r="H141" s="2"/>
      <c r="I141" s="2"/>
      <c r="J141" s="2"/>
      <c r="K141" s="2"/>
      <c r="L141" s="2"/>
      <c r="M141" s="2"/>
      <c r="N141" s="2"/>
      <c r="O141" s="2"/>
      <c r="P141" s="2"/>
      <c r="Q141" s="2"/>
    </row>
    <row r="142" ht="15.75" customHeight="1">
      <c r="B142" s="2"/>
      <c r="C142" s="2"/>
      <c r="D142" s="2"/>
      <c r="E142" s="464"/>
      <c r="F142" s="2"/>
      <c r="G142" s="2"/>
      <c r="H142" s="2"/>
      <c r="I142" s="2"/>
      <c r="J142" s="2"/>
      <c r="K142" s="2"/>
      <c r="L142" s="2"/>
      <c r="M142" s="2"/>
      <c r="N142" s="2"/>
      <c r="O142" s="2"/>
      <c r="P142" s="2"/>
      <c r="Q142" s="2"/>
    </row>
    <row r="143" ht="15.75" customHeight="1">
      <c r="B143" s="2"/>
      <c r="C143" s="2"/>
      <c r="D143" s="2"/>
      <c r="E143" s="464"/>
      <c r="F143" s="2"/>
      <c r="G143" s="2"/>
      <c r="H143" s="2"/>
      <c r="I143" s="2"/>
      <c r="J143" s="2"/>
      <c r="K143" s="2"/>
      <c r="L143" s="2"/>
      <c r="M143" s="2"/>
      <c r="N143" s="2"/>
      <c r="O143" s="2"/>
      <c r="P143" s="2"/>
      <c r="Q143" s="2"/>
    </row>
    <row r="144" ht="15.75" customHeight="1">
      <c r="B144" s="2"/>
      <c r="C144" s="2"/>
      <c r="D144" s="2"/>
      <c r="E144" s="464"/>
      <c r="F144" s="2"/>
      <c r="G144" s="2"/>
      <c r="H144" s="2"/>
      <c r="I144" s="2"/>
      <c r="J144" s="2"/>
      <c r="K144" s="2"/>
      <c r="L144" s="2"/>
      <c r="M144" s="2"/>
      <c r="N144" s="2"/>
      <c r="O144" s="2"/>
      <c r="P144" s="2"/>
      <c r="Q144" s="2"/>
    </row>
    <row r="145" ht="15.75" customHeight="1">
      <c r="B145" s="2"/>
      <c r="C145" s="2"/>
      <c r="D145" s="2"/>
      <c r="E145" s="464"/>
      <c r="F145" s="2"/>
      <c r="G145" s="2"/>
      <c r="H145" s="2"/>
      <c r="I145" s="2"/>
      <c r="J145" s="2"/>
      <c r="K145" s="2"/>
      <c r="L145" s="2"/>
      <c r="M145" s="2"/>
      <c r="N145" s="2"/>
      <c r="O145" s="2"/>
      <c r="P145" s="2"/>
      <c r="Q145" s="2"/>
    </row>
    <row r="146" ht="15.75" customHeight="1">
      <c r="B146" s="2"/>
      <c r="C146" s="2"/>
      <c r="D146" s="2"/>
      <c r="E146" s="464"/>
      <c r="F146" s="2"/>
      <c r="G146" s="2"/>
      <c r="H146" s="2"/>
      <c r="I146" s="2"/>
      <c r="J146" s="2"/>
      <c r="K146" s="2"/>
      <c r="L146" s="2"/>
      <c r="M146" s="2"/>
      <c r="N146" s="2"/>
      <c r="O146" s="2"/>
      <c r="P146" s="2"/>
      <c r="Q146" s="2"/>
    </row>
    <row r="147" ht="15.75" customHeight="1">
      <c r="B147" s="2"/>
      <c r="C147" s="2"/>
      <c r="D147" s="2"/>
      <c r="E147" s="464"/>
      <c r="F147" s="2"/>
      <c r="G147" s="2"/>
      <c r="H147" s="2"/>
      <c r="I147" s="2"/>
      <c r="J147" s="2"/>
      <c r="K147" s="2"/>
      <c r="L147" s="2"/>
      <c r="M147" s="2"/>
      <c r="N147" s="2"/>
      <c r="O147" s="2"/>
      <c r="P147" s="2"/>
      <c r="Q147" s="2"/>
    </row>
    <row r="148" ht="15.75" customHeight="1">
      <c r="B148" s="2"/>
      <c r="C148" s="2"/>
      <c r="D148" s="2"/>
      <c r="E148" s="464"/>
      <c r="F148" s="2"/>
      <c r="G148" s="2"/>
      <c r="H148" s="2"/>
      <c r="I148" s="2"/>
      <c r="J148" s="2"/>
      <c r="K148" s="2"/>
      <c r="L148" s="2"/>
      <c r="M148" s="2"/>
      <c r="N148" s="2"/>
      <c r="O148" s="2"/>
      <c r="P148" s="2"/>
      <c r="Q148" s="2"/>
    </row>
    <row r="149" ht="15.75" customHeight="1">
      <c r="B149" s="2"/>
      <c r="C149" s="2"/>
      <c r="D149" s="2"/>
      <c r="E149" s="464"/>
      <c r="F149" s="2"/>
      <c r="G149" s="2"/>
      <c r="H149" s="2"/>
      <c r="I149" s="2"/>
      <c r="J149" s="2"/>
      <c r="K149" s="2"/>
      <c r="L149" s="2"/>
      <c r="M149" s="2"/>
      <c r="N149" s="2"/>
      <c r="O149" s="2"/>
      <c r="P149" s="2"/>
      <c r="Q149" s="2"/>
    </row>
    <row r="150" ht="15.75" customHeight="1">
      <c r="B150" s="2"/>
      <c r="C150" s="2"/>
      <c r="D150" s="2"/>
      <c r="E150" s="464"/>
      <c r="F150" s="2"/>
      <c r="G150" s="2"/>
      <c r="H150" s="2"/>
      <c r="I150" s="2"/>
      <c r="J150" s="2"/>
      <c r="K150" s="2"/>
      <c r="L150" s="2"/>
      <c r="M150" s="2"/>
      <c r="N150" s="2"/>
      <c r="O150" s="2"/>
      <c r="P150" s="2"/>
      <c r="Q150" s="2"/>
    </row>
    <row r="151" ht="15.75" customHeight="1">
      <c r="B151" s="2"/>
      <c r="C151" s="2"/>
      <c r="D151" s="2"/>
      <c r="E151" s="464"/>
      <c r="F151" s="2"/>
      <c r="G151" s="2"/>
      <c r="H151" s="2"/>
      <c r="I151" s="2"/>
      <c r="J151" s="2"/>
      <c r="K151" s="2"/>
      <c r="L151" s="2"/>
      <c r="M151" s="2"/>
      <c r="N151" s="2"/>
      <c r="O151" s="2"/>
      <c r="P151" s="2"/>
      <c r="Q151" s="2"/>
    </row>
    <row r="152" ht="15.75" customHeight="1">
      <c r="B152" s="2"/>
      <c r="C152" s="2"/>
      <c r="D152" s="2"/>
      <c r="E152" s="464"/>
      <c r="F152" s="2"/>
      <c r="G152" s="2"/>
      <c r="H152" s="2"/>
      <c r="I152" s="2"/>
      <c r="J152" s="2"/>
      <c r="K152" s="2"/>
      <c r="L152" s="2"/>
      <c r="M152" s="2"/>
      <c r="N152" s="2"/>
      <c r="O152" s="2"/>
      <c r="P152" s="2"/>
      <c r="Q152" s="2"/>
    </row>
    <row r="153" ht="15.75" customHeight="1">
      <c r="B153" s="2"/>
      <c r="C153" s="2"/>
      <c r="D153" s="2"/>
      <c r="E153" s="464"/>
      <c r="F153" s="2"/>
      <c r="G153" s="2"/>
      <c r="H153" s="2"/>
      <c r="I153" s="2"/>
      <c r="J153" s="2"/>
      <c r="K153" s="2"/>
      <c r="L153" s="2"/>
      <c r="M153" s="2"/>
      <c r="N153" s="2"/>
      <c r="O153" s="2"/>
      <c r="P153" s="2"/>
      <c r="Q153" s="2"/>
    </row>
    <row r="154" ht="15.75" customHeight="1">
      <c r="B154" s="2"/>
      <c r="C154" s="2"/>
      <c r="D154" s="2"/>
      <c r="E154" s="464"/>
      <c r="F154" s="2"/>
      <c r="G154" s="2"/>
      <c r="H154" s="2"/>
      <c r="I154" s="2"/>
      <c r="J154" s="2"/>
      <c r="K154" s="2"/>
      <c r="L154" s="2"/>
      <c r="M154" s="2"/>
      <c r="N154" s="2"/>
      <c r="O154" s="2"/>
      <c r="P154" s="2"/>
      <c r="Q154" s="2"/>
    </row>
    <row r="155" ht="15.75" customHeight="1">
      <c r="B155" s="2"/>
      <c r="C155" s="2"/>
      <c r="D155" s="2"/>
      <c r="E155" s="464"/>
      <c r="F155" s="2"/>
      <c r="G155" s="2"/>
      <c r="H155" s="2"/>
      <c r="I155" s="2"/>
      <c r="J155" s="2"/>
      <c r="K155" s="2"/>
      <c r="L155" s="2"/>
      <c r="M155" s="2"/>
      <c r="N155" s="2"/>
      <c r="O155" s="2"/>
      <c r="P155" s="2"/>
      <c r="Q155" s="2"/>
    </row>
    <row r="156" ht="15.75" customHeight="1">
      <c r="B156" s="2"/>
      <c r="C156" s="2"/>
      <c r="D156" s="2"/>
      <c r="E156" s="464"/>
      <c r="F156" s="2"/>
      <c r="G156" s="2"/>
      <c r="H156" s="2"/>
      <c r="I156" s="2"/>
      <c r="J156" s="2"/>
      <c r="K156" s="2"/>
      <c r="L156" s="2"/>
      <c r="M156" s="2"/>
      <c r="N156" s="2"/>
      <c r="O156" s="2"/>
      <c r="P156" s="2"/>
      <c r="Q156" s="2"/>
    </row>
    <row r="157" ht="15.75" customHeight="1">
      <c r="B157" s="2"/>
      <c r="C157" s="2"/>
      <c r="D157" s="2"/>
      <c r="E157" s="464"/>
      <c r="F157" s="2"/>
      <c r="G157" s="2"/>
      <c r="H157" s="2"/>
      <c r="I157" s="2"/>
      <c r="J157" s="2"/>
      <c r="K157" s="2"/>
      <c r="L157" s="2"/>
      <c r="M157" s="2"/>
      <c r="N157" s="2"/>
      <c r="O157" s="2"/>
      <c r="P157" s="2"/>
      <c r="Q157" s="2"/>
    </row>
    <row r="158" ht="15.75" customHeight="1">
      <c r="B158" s="2"/>
      <c r="C158" s="2"/>
      <c r="D158" s="2"/>
      <c r="E158" s="464"/>
      <c r="F158" s="2"/>
      <c r="G158" s="2"/>
      <c r="H158" s="2"/>
      <c r="I158" s="2"/>
      <c r="J158" s="2"/>
      <c r="K158" s="2"/>
      <c r="L158" s="2"/>
      <c r="M158" s="2"/>
      <c r="N158" s="2"/>
      <c r="O158" s="2"/>
      <c r="P158" s="2"/>
      <c r="Q158" s="2"/>
    </row>
    <row r="159" ht="15.75" customHeight="1">
      <c r="B159" s="2"/>
      <c r="C159" s="2"/>
      <c r="D159" s="2"/>
      <c r="E159" s="464"/>
      <c r="F159" s="2"/>
      <c r="G159" s="2"/>
      <c r="H159" s="2"/>
      <c r="I159" s="2"/>
      <c r="J159" s="2"/>
      <c r="K159" s="2"/>
      <c r="L159" s="2"/>
      <c r="M159" s="2"/>
      <c r="N159" s="2"/>
      <c r="O159" s="2"/>
      <c r="P159" s="2"/>
      <c r="Q159" s="2"/>
    </row>
    <row r="160" ht="15.75" customHeight="1">
      <c r="B160" s="2"/>
      <c r="C160" s="2"/>
      <c r="D160" s="2"/>
      <c r="E160" s="464"/>
      <c r="F160" s="2"/>
      <c r="G160" s="2"/>
      <c r="H160" s="2"/>
      <c r="I160" s="2"/>
      <c r="J160" s="2"/>
      <c r="K160" s="2"/>
      <c r="L160" s="2"/>
      <c r="M160" s="2"/>
      <c r="N160" s="2"/>
      <c r="O160" s="2"/>
      <c r="P160" s="2"/>
      <c r="Q160" s="2"/>
    </row>
    <row r="161" ht="15.75" customHeight="1">
      <c r="B161" s="2"/>
      <c r="C161" s="2"/>
      <c r="D161" s="2"/>
      <c r="E161" s="464"/>
      <c r="F161" s="2"/>
      <c r="G161" s="2"/>
      <c r="H161" s="2"/>
      <c r="I161" s="2"/>
      <c r="J161" s="2"/>
      <c r="K161" s="2"/>
      <c r="L161" s="2"/>
      <c r="M161" s="2"/>
      <c r="N161" s="2"/>
      <c r="O161" s="2"/>
      <c r="P161" s="2"/>
      <c r="Q161" s="2"/>
    </row>
    <row r="162" ht="15.75" customHeight="1">
      <c r="B162" s="2"/>
      <c r="C162" s="2"/>
      <c r="D162" s="2"/>
      <c r="E162" s="464"/>
      <c r="F162" s="2"/>
      <c r="G162" s="2"/>
      <c r="H162" s="2"/>
      <c r="I162" s="2"/>
      <c r="J162" s="2"/>
      <c r="K162" s="2"/>
      <c r="L162" s="2"/>
      <c r="M162" s="2"/>
      <c r="N162" s="2"/>
      <c r="O162" s="2"/>
      <c r="P162" s="2"/>
      <c r="Q162" s="2"/>
    </row>
    <row r="163" ht="15.75" customHeight="1">
      <c r="B163" s="2"/>
      <c r="C163" s="2"/>
      <c r="D163" s="2"/>
      <c r="E163" s="464"/>
      <c r="F163" s="2"/>
      <c r="G163" s="2"/>
      <c r="H163" s="2"/>
      <c r="I163" s="2"/>
      <c r="J163" s="2"/>
      <c r="K163" s="2"/>
      <c r="L163" s="2"/>
      <c r="M163" s="2"/>
      <c r="N163" s="2"/>
      <c r="O163" s="2"/>
      <c r="P163" s="2"/>
      <c r="Q163" s="2"/>
    </row>
    <row r="164" ht="15.75" customHeight="1">
      <c r="B164" s="2"/>
      <c r="C164" s="2"/>
      <c r="D164" s="2"/>
      <c r="E164" s="464"/>
      <c r="F164" s="2"/>
      <c r="G164" s="2"/>
      <c r="H164" s="2"/>
      <c r="I164" s="2"/>
      <c r="J164" s="2"/>
      <c r="K164" s="2"/>
      <c r="L164" s="2"/>
      <c r="M164" s="2"/>
      <c r="N164" s="2"/>
      <c r="O164" s="2"/>
      <c r="P164" s="2"/>
      <c r="Q164" s="2"/>
    </row>
    <row r="165" ht="15.75" customHeight="1">
      <c r="B165" s="2"/>
      <c r="C165" s="2"/>
      <c r="D165" s="2"/>
      <c r="E165" s="464"/>
      <c r="F165" s="2"/>
      <c r="G165" s="2"/>
      <c r="H165" s="2"/>
      <c r="I165" s="2"/>
      <c r="J165" s="2"/>
      <c r="K165" s="2"/>
      <c r="L165" s="2"/>
      <c r="M165" s="2"/>
      <c r="N165" s="2"/>
      <c r="O165" s="2"/>
      <c r="P165" s="2"/>
      <c r="Q165" s="2"/>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4">
    <mergeCell ref="B1:Q1"/>
    <mergeCell ref="C2:Q2"/>
    <mergeCell ref="K3:M3"/>
    <mergeCell ref="O3:Q3"/>
    <mergeCell ref="L4:M4"/>
    <mergeCell ref="N53:P53"/>
    <mergeCell ref="B54:Q54"/>
    <mergeCell ref="B55:Q55"/>
    <mergeCell ref="C56:E56"/>
    <mergeCell ref="G56:H56"/>
    <mergeCell ref="I56:L56"/>
    <mergeCell ref="G57:H57"/>
    <mergeCell ref="K57:L57"/>
    <mergeCell ref="B58:C58"/>
    <mergeCell ref="J60:L60"/>
    <mergeCell ref="M60:Q60"/>
    <mergeCell ref="M61:N61"/>
    <mergeCell ref="E58:F58"/>
    <mergeCell ref="C59:E59"/>
    <mergeCell ref="G59:H59"/>
    <mergeCell ref="I59:L59"/>
    <mergeCell ref="M59:Q59"/>
    <mergeCell ref="C60:E60"/>
    <mergeCell ref="G60:H60"/>
  </mergeCells>
  <printOptions/>
  <pageMargins bottom="0.7480314960629921" footer="0.0" header="0.0" left="0.7086614173228347" right="0.7086614173228347" top="0.7480314960629921"/>
  <pageSetup paperSize="5" scale="95"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8.71"/>
    <col customWidth="1" min="9" max="9" width="7.57"/>
    <col customWidth="1" min="10" max="10" width="9.0"/>
    <col customWidth="1" min="11" max="11" width="7.29"/>
    <col customWidth="1" min="12" max="12" width="10.0"/>
    <col customWidth="1" min="13" max="13" width="10.57"/>
    <col customWidth="1" min="14" max="14" width="16.71"/>
    <col customWidth="1" min="15" max="15" width="5.29"/>
    <col customWidth="1" min="16" max="16" width="11.43"/>
    <col customWidth="1" min="17" max="17" width="6.14"/>
    <col customWidth="1" min="18" max="26" width="8.71"/>
  </cols>
  <sheetData>
    <row r="1">
      <c r="B1" s="475" t="s">
        <v>14157</v>
      </c>
    </row>
    <row r="2">
      <c r="B2" s="945" t="s">
        <v>19694</v>
      </c>
      <c r="C2" s="6"/>
      <c r="D2" s="6"/>
      <c r="E2" s="6"/>
      <c r="F2" s="6"/>
      <c r="G2" s="6"/>
      <c r="H2" s="6"/>
      <c r="I2" s="6"/>
      <c r="J2" s="6"/>
      <c r="K2" s="6"/>
      <c r="L2" s="6"/>
      <c r="M2" s="6"/>
      <c r="N2" s="6"/>
      <c r="O2" s="6"/>
      <c r="P2" s="6"/>
      <c r="Q2" s="7"/>
    </row>
    <row r="3">
      <c r="B3" s="399"/>
      <c r="C3" s="401"/>
      <c r="D3" s="9"/>
      <c r="E3" s="402"/>
      <c r="F3" s="9"/>
      <c r="G3" s="403"/>
      <c r="H3" s="403"/>
      <c r="I3" s="403"/>
      <c r="J3" s="9"/>
      <c r="K3" s="12"/>
      <c r="M3" s="13"/>
      <c r="N3" s="14" t="s">
        <v>3</v>
      </c>
      <c r="O3" s="404" t="s">
        <v>22253</v>
      </c>
      <c r="P3" s="16"/>
      <c r="Q3" s="17"/>
    </row>
    <row r="4">
      <c r="B4" s="399"/>
      <c r="C4" s="405"/>
      <c r="D4" s="9"/>
      <c r="E4" s="402"/>
      <c r="F4" s="9"/>
      <c r="G4" s="403"/>
      <c r="H4" s="321"/>
      <c r="I4" s="403"/>
      <c r="J4" s="9"/>
      <c r="K4" s="403"/>
      <c r="L4" s="406"/>
      <c r="M4" s="407"/>
      <c r="N4" s="9"/>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33"/>
      <c r="D6" s="433"/>
      <c r="E6" s="434" t="s">
        <v>22254</v>
      </c>
      <c r="F6" s="433" t="s">
        <v>22255</v>
      </c>
      <c r="G6" s="433" t="s">
        <v>29</v>
      </c>
      <c r="H6" s="433" t="s">
        <v>2743</v>
      </c>
      <c r="I6" s="433"/>
      <c r="J6" s="433" t="s">
        <v>38</v>
      </c>
      <c r="K6" s="433">
        <v>12.0</v>
      </c>
      <c r="L6" s="433"/>
      <c r="M6" s="433" t="s">
        <v>13582</v>
      </c>
      <c r="N6" s="433" t="s">
        <v>4836</v>
      </c>
      <c r="O6" s="433">
        <v>1976.0</v>
      </c>
      <c r="P6" s="433" t="s">
        <v>388</v>
      </c>
      <c r="Q6" s="433">
        <v>1.0</v>
      </c>
    </row>
    <row r="7">
      <c r="B7" s="433">
        <v>2.0</v>
      </c>
      <c r="C7" s="433"/>
      <c r="D7" s="433"/>
      <c r="E7" s="434" t="s">
        <v>22256</v>
      </c>
      <c r="F7" s="433" t="s">
        <v>22255</v>
      </c>
      <c r="G7" s="433" t="s">
        <v>29</v>
      </c>
      <c r="H7" s="433" t="s">
        <v>2743</v>
      </c>
      <c r="I7" s="433"/>
      <c r="J7" s="433" t="s">
        <v>38</v>
      </c>
      <c r="K7" s="433">
        <v>24.0</v>
      </c>
      <c r="L7" s="433"/>
      <c r="M7" s="433" t="s">
        <v>13582</v>
      </c>
      <c r="N7" s="433" t="s">
        <v>22257</v>
      </c>
      <c r="O7" s="433">
        <v>1988.0</v>
      </c>
      <c r="P7" s="433" t="s">
        <v>388</v>
      </c>
      <c r="Q7" s="433">
        <v>1.0</v>
      </c>
    </row>
    <row r="8">
      <c r="B8" s="433">
        <v>3.0</v>
      </c>
      <c r="C8" s="433"/>
      <c r="D8" s="433"/>
      <c r="E8" s="434" t="s">
        <v>22258</v>
      </c>
      <c r="F8" s="433" t="s">
        <v>22255</v>
      </c>
      <c r="G8" s="433" t="s">
        <v>29</v>
      </c>
      <c r="H8" s="433" t="s">
        <v>22259</v>
      </c>
      <c r="I8" s="433"/>
      <c r="J8" s="433" t="s">
        <v>38</v>
      </c>
      <c r="K8" s="433">
        <v>64.0</v>
      </c>
      <c r="L8" s="433"/>
      <c r="M8" s="433"/>
      <c r="N8" s="433" t="s">
        <v>22260</v>
      </c>
      <c r="O8" s="433">
        <v>1986.0</v>
      </c>
      <c r="P8" s="433" t="s">
        <v>388</v>
      </c>
      <c r="Q8" s="433">
        <v>1.0</v>
      </c>
    </row>
    <row r="9">
      <c r="B9" s="433">
        <v>4.0</v>
      </c>
      <c r="C9" s="433"/>
      <c r="D9" s="433"/>
      <c r="E9" s="434" t="s">
        <v>22261</v>
      </c>
      <c r="F9" s="433" t="s">
        <v>22255</v>
      </c>
      <c r="G9" s="433" t="s">
        <v>29</v>
      </c>
      <c r="H9" s="433"/>
      <c r="I9" s="433"/>
      <c r="J9" s="433" t="s">
        <v>22262</v>
      </c>
      <c r="K9" s="433">
        <v>151.0</v>
      </c>
      <c r="L9" s="433"/>
      <c r="M9" s="433"/>
      <c r="N9" s="433" t="s">
        <v>22263</v>
      </c>
      <c r="O9" s="433">
        <v>1984.0</v>
      </c>
      <c r="P9" s="433" t="s">
        <v>388</v>
      </c>
      <c r="Q9" s="433">
        <v>1.0</v>
      </c>
    </row>
    <row r="10">
      <c r="B10" s="433">
        <v>5.0</v>
      </c>
      <c r="C10" s="433" t="s">
        <v>22264</v>
      </c>
      <c r="D10" s="433"/>
      <c r="E10" s="434" t="s">
        <v>22265</v>
      </c>
      <c r="F10" s="433" t="s">
        <v>22255</v>
      </c>
      <c r="G10" s="433" t="s">
        <v>29</v>
      </c>
      <c r="H10" s="433"/>
      <c r="I10" s="433"/>
      <c r="J10" s="433"/>
      <c r="K10" s="433">
        <v>60.0</v>
      </c>
      <c r="L10" s="433"/>
      <c r="M10" s="433"/>
      <c r="N10" s="433" t="s">
        <v>22266</v>
      </c>
      <c r="O10" s="433">
        <v>1986.0</v>
      </c>
      <c r="P10" s="433" t="s">
        <v>388</v>
      </c>
      <c r="Q10" s="433">
        <v>1.0</v>
      </c>
    </row>
    <row r="11" ht="29.25" customHeight="1">
      <c r="B11" s="433">
        <v>6.0</v>
      </c>
      <c r="C11" s="433"/>
      <c r="D11" s="433"/>
      <c r="E11" s="434" t="s">
        <v>22267</v>
      </c>
      <c r="F11" s="433" t="s">
        <v>22255</v>
      </c>
      <c r="G11" s="433" t="s">
        <v>29</v>
      </c>
      <c r="H11" s="433"/>
      <c r="I11" s="433"/>
      <c r="J11" s="433"/>
      <c r="K11" s="433"/>
      <c r="L11" s="433"/>
      <c r="M11" s="433"/>
      <c r="N11" s="433"/>
      <c r="O11" s="433"/>
      <c r="P11" s="433" t="s">
        <v>388</v>
      </c>
      <c r="Q11" s="433">
        <v>1.0</v>
      </c>
    </row>
    <row r="12" ht="30.75" customHeight="1">
      <c r="B12" s="433">
        <v>7.0</v>
      </c>
      <c r="C12" s="433"/>
      <c r="D12" s="433"/>
      <c r="E12" s="434" t="s">
        <v>22268</v>
      </c>
      <c r="F12" s="433" t="s">
        <v>22255</v>
      </c>
      <c r="G12" s="433" t="s">
        <v>29</v>
      </c>
      <c r="H12" s="433" t="s">
        <v>15304</v>
      </c>
      <c r="I12" s="433"/>
      <c r="J12" s="433" t="s">
        <v>15304</v>
      </c>
      <c r="K12" s="433">
        <v>69.0</v>
      </c>
      <c r="L12" s="433"/>
      <c r="M12" s="433"/>
      <c r="N12" s="433" t="s">
        <v>13587</v>
      </c>
      <c r="O12" s="433">
        <v>1977.0</v>
      </c>
      <c r="P12" s="433" t="s">
        <v>388</v>
      </c>
      <c r="Q12" s="433">
        <v>3.0</v>
      </c>
    </row>
    <row r="13" ht="30.75" customHeight="1">
      <c r="B13" s="433">
        <v>8.0</v>
      </c>
      <c r="C13" s="433"/>
      <c r="D13" s="433"/>
      <c r="E13" s="434" t="s">
        <v>22269</v>
      </c>
      <c r="F13" s="433" t="s">
        <v>22255</v>
      </c>
      <c r="G13" s="433" t="s">
        <v>29</v>
      </c>
      <c r="H13" s="433" t="s">
        <v>15304</v>
      </c>
      <c r="I13" s="433"/>
      <c r="J13" s="433" t="s">
        <v>15304</v>
      </c>
      <c r="K13" s="433">
        <v>24.0</v>
      </c>
      <c r="L13" s="433"/>
      <c r="M13" s="433"/>
      <c r="N13" s="433" t="s">
        <v>13587</v>
      </c>
      <c r="O13" s="433">
        <v>1988.0</v>
      </c>
      <c r="P13" s="433" t="s">
        <v>388</v>
      </c>
      <c r="Q13" s="433">
        <v>3.0</v>
      </c>
    </row>
    <row r="14" ht="28.5" customHeight="1">
      <c r="B14" s="433">
        <v>9.0</v>
      </c>
      <c r="C14" s="433"/>
      <c r="D14" s="433"/>
      <c r="E14" s="434" t="s">
        <v>22270</v>
      </c>
      <c r="F14" s="433" t="s">
        <v>22255</v>
      </c>
      <c r="G14" s="433" t="s">
        <v>29</v>
      </c>
      <c r="H14" s="433" t="s">
        <v>15304</v>
      </c>
      <c r="I14" s="433"/>
      <c r="J14" s="433" t="s">
        <v>15304</v>
      </c>
      <c r="K14" s="433">
        <v>207.0</v>
      </c>
      <c r="L14" s="433"/>
      <c r="M14" s="433"/>
      <c r="N14" s="433" t="s">
        <v>13587</v>
      </c>
      <c r="O14" s="433">
        <v>1979.0</v>
      </c>
      <c r="P14" s="433" t="s">
        <v>388</v>
      </c>
      <c r="Q14" s="433">
        <v>3.0</v>
      </c>
    </row>
    <row r="15">
      <c r="B15" s="433">
        <v>10.0</v>
      </c>
      <c r="C15" s="433"/>
      <c r="D15" s="433"/>
      <c r="E15" s="434" t="s">
        <v>22270</v>
      </c>
      <c r="F15" s="433" t="s">
        <v>22255</v>
      </c>
      <c r="G15" s="433" t="s">
        <v>29</v>
      </c>
      <c r="H15" s="433" t="s">
        <v>15304</v>
      </c>
      <c r="I15" s="433"/>
      <c r="J15" s="433" t="s">
        <v>15304</v>
      </c>
      <c r="K15" s="433">
        <v>207.0</v>
      </c>
      <c r="L15" s="433"/>
      <c r="M15" s="433"/>
      <c r="N15" s="433" t="s">
        <v>13587</v>
      </c>
      <c r="O15" s="433">
        <v>1997.0</v>
      </c>
      <c r="P15" s="433" t="s">
        <v>388</v>
      </c>
      <c r="Q15" s="433">
        <v>1.0</v>
      </c>
    </row>
    <row r="16">
      <c r="B16" s="433">
        <v>11.0</v>
      </c>
      <c r="C16" s="433"/>
      <c r="D16" s="433"/>
      <c r="E16" s="434" t="s">
        <v>22271</v>
      </c>
      <c r="F16" s="433" t="s">
        <v>22255</v>
      </c>
      <c r="G16" s="433" t="s">
        <v>29</v>
      </c>
      <c r="H16" s="433" t="s">
        <v>15304</v>
      </c>
      <c r="I16" s="433"/>
      <c r="J16" s="433" t="s">
        <v>15304</v>
      </c>
      <c r="K16" s="433">
        <v>16.0</v>
      </c>
      <c r="L16" s="433"/>
      <c r="M16" s="433"/>
      <c r="N16" s="433" t="s">
        <v>13587</v>
      </c>
      <c r="O16" s="433">
        <v>1988.0</v>
      </c>
      <c r="P16" s="433" t="s">
        <v>388</v>
      </c>
      <c r="Q16" s="433">
        <v>6.0</v>
      </c>
    </row>
    <row r="17">
      <c r="B17" s="433">
        <v>12.0</v>
      </c>
      <c r="C17" s="433"/>
      <c r="D17" s="433"/>
      <c r="E17" s="434" t="s">
        <v>22272</v>
      </c>
      <c r="F17" s="433" t="s">
        <v>22255</v>
      </c>
      <c r="G17" s="433" t="s">
        <v>29</v>
      </c>
      <c r="H17" s="433" t="s">
        <v>15304</v>
      </c>
      <c r="I17" s="433"/>
      <c r="J17" s="433" t="s">
        <v>15304</v>
      </c>
      <c r="K17" s="433">
        <v>123.0</v>
      </c>
      <c r="L17" s="433"/>
      <c r="M17" s="433"/>
      <c r="N17" s="433" t="s">
        <v>13587</v>
      </c>
      <c r="O17" s="433">
        <v>1988.0</v>
      </c>
      <c r="P17" s="433" t="s">
        <v>388</v>
      </c>
      <c r="Q17" s="433">
        <v>3.0</v>
      </c>
    </row>
    <row r="18">
      <c r="B18" s="433">
        <v>13.0</v>
      </c>
      <c r="C18" s="433"/>
      <c r="D18" s="433"/>
      <c r="E18" s="434" t="s">
        <v>22273</v>
      </c>
      <c r="F18" s="433" t="s">
        <v>22255</v>
      </c>
      <c r="G18" s="433" t="s">
        <v>29</v>
      </c>
      <c r="H18" s="433" t="s">
        <v>15304</v>
      </c>
      <c r="I18" s="433"/>
      <c r="J18" s="433" t="s">
        <v>15304</v>
      </c>
      <c r="K18" s="433">
        <v>84.0</v>
      </c>
      <c r="L18" s="433"/>
      <c r="M18" s="433"/>
      <c r="N18" s="433" t="s">
        <v>22274</v>
      </c>
      <c r="O18" s="433">
        <v>1981.0</v>
      </c>
      <c r="P18" s="433" t="s">
        <v>388</v>
      </c>
      <c r="Q18" s="433">
        <v>3.0</v>
      </c>
    </row>
    <row r="19">
      <c r="B19" s="433">
        <v>14.0</v>
      </c>
      <c r="C19" s="433"/>
      <c r="D19" s="433"/>
      <c r="E19" s="434" t="s">
        <v>22275</v>
      </c>
      <c r="F19" s="433" t="s">
        <v>22255</v>
      </c>
      <c r="G19" s="433" t="s">
        <v>29</v>
      </c>
      <c r="H19" s="433" t="s">
        <v>15304</v>
      </c>
      <c r="I19" s="433"/>
      <c r="J19" s="433" t="s">
        <v>22276</v>
      </c>
      <c r="K19" s="433">
        <v>61.0</v>
      </c>
      <c r="L19" s="433"/>
      <c r="M19" s="433"/>
      <c r="N19" s="433" t="s">
        <v>13587</v>
      </c>
      <c r="O19" s="433">
        <v>1987.0</v>
      </c>
      <c r="P19" s="433" t="s">
        <v>388</v>
      </c>
      <c r="Q19" s="433">
        <v>3.0</v>
      </c>
    </row>
    <row r="20">
      <c r="B20" s="433">
        <v>15.0</v>
      </c>
      <c r="C20" s="433"/>
      <c r="D20" s="433"/>
      <c r="E20" s="434" t="s">
        <v>22277</v>
      </c>
      <c r="F20" s="433" t="s">
        <v>22255</v>
      </c>
      <c r="G20" s="433" t="s">
        <v>29</v>
      </c>
      <c r="H20" s="433" t="s">
        <v>15304</v>
      </c>
      <c r="I20" s="433"/>
      <c r="J20" s="433" t="s">
        <v>22276</v>
      </c>
      <c r="K20" s="433">
        <v>31.0</v>
      </c>
      <c r="L20" s="433"/>
      <c r="M20" s="433"/>
      <c r="N20" s="433" t="s">
        <v>13587</v>
      </c>
      <c r="O20" s="433">
        <v>1987.0</v>
      </c>
      <c r="P20" s="433" t="s">
        <v>388</v>
      </c>
      <c r="Q20" s="433">
        <v>3.0</v>
      </c>
    </row>
    <row r="21" ht="15.75" customHeight="1">
      <c r="B21" s="433">
        <v>16.0</v>
      </c>
      <c r="C21" s="433"/>
      <c r="D21" s="433"/>
      <c r="E21" s="434" t="s">
        <v>22278</v>
      </c>
      <c r="F21" s="433" t="s">
        <v>22255</v>
      </c>
      <c r="G21" s="433" t="s">
        <v>29</v>
      </c>
      <c r="H21" s="433" t="s">
        <v>15304</v>
      </c>
      <c r="I21" s="433"/>
      <c r="J21" s="433" t="s">
        <v>22276</v>
      </c>
      <c r="K21" s="433">
        <v>51.0</v>
      </c>
      <c r="L21" s="433"/>
      <c r="M21" s="433"/>
      <c r="N21" s="433" t="s">
        <v>13587</v>
      </c>
      <c r="O21" s="433">
        <v>1987.0</v>
      </c>
      <c r="P21" s="433" t="s">
        <v>388</v>
      </c>
      <c r="Q21" s="433">
        <v>3.0</v>
      </c>
    </row>
    <row r="22" ht="15.75" customHeight="1">
      <c r="B22" s="433">
        <v>17.0</v>
      </c>
      <c r="C22" s="433"/>
      <c r="D22" s="433"/>
      <c r="E22" s="434" t="s">
        <v>22279</v>
      </c>
      <c r="F22" s="433" t="s">
        <v>22255</v>
      </c>
      <c r="G22" s="433" t="s">
        <v>29</v>
      </c>
      <c r="H22" s="433" t="s">
        <v>15304</v>
      </c>
      <c r="I22" s="433"/>
      <c r="J22" s="433" t="s">
        <v>22276</v>
      </c>
      <c r="K22" s="433">
        <v>67.0</v>
      </c>
      <c r="L22" s="433"/>
      <c r="M22" s="433"/>
      <c r="N22" s="433" t="s">
        <v>13587</v>
      </c>
      <c r="O22" s="433">
        <v>1987.0</v>
      </c>
      <c r="P22" s="433" t="s">
        <v>388</v>
      </c>
      <c r="Q22" s="433">
        <v>3.0</v>
      </c>
    </row>
    <row r="23" ht="15.75" customHeight="1">
      <c r="B23" s="433">
        <v>18.0</v>
      </c>
      <c r="C23" s="433"/>
      <c r="D23" s="433"/>
      <c r="E23" s="434" t="s">
        <v>22280</v>
      </c>
      <c r="F23" s="433" t="s">
        <v>22255</v>
      </c>
      <c r="G23" s="433" t="s">
        <v>29</v>
      </c>
      <c r="H23" s="433" t="s">
        <v>15304</v>
      </c>
      <c r="I23" s="433"/>
      <c r="J23" s="433" t="s">
        <v>16856</v>
      </c>
      <c r="K23" s="433">
        <v>36.0</v>
      </c>
      <c r="L23" s="433"/>
      <c r="M23" s="433"/>
      <c r="N23" s="433" t="s">
        <v>22281</v>
      </c>
      <c r="O23" s="433">
        <v>1983.0</v>
      </c>
      <c r="P23" s="433" t="s">
        <v>388</v>
      </c>
      <c r="Q23" s="433">
        <v>1.0</v>
      </c>
    </row>
    <row r="24" ht="15.75" customHeight="1">
      <c r="B24" s="433">
        <v>19.0</v>
      </c>
      <c r="C24" s="433"/>
      <c r="D24" s="433"/>
      <c r="E24" s="434" t="s">
        <v>21837</v>
      </c>
      <c r="F24" s="433" t="s">
        <v>22255</v>
      </c>
      <c r="G24" s="433" t="s">
        <v>29</v>
      </c>
      <c r="H24" s="433" t="s">
        <v>15304</v>
      </c>
      <c r="I24" s="433"/>
      <c r="J24" s="433" t="s">
        <v>22276</v>
      </c>
      <c r="K24" s="433">
        <v>79.0</v>
      </c>
      <c r="L24" s="433"/>
      <c r="M24" s="433"/>
      <c r="N24" s="433" t="s">
        <v>13587</v>
      </c>
      <c r="O24" s="433">
        <v>1998.0</v>
      </c>
      <c r="P24" s="433" t="s">
        <v>388</v>
      </c>
      <c r="Q24" s="433">
        <v>4.0</v>
      </c>
    </row>
    <row r="25" ht="15.75" customHeight="1">
      <c r="B25" s="433">
        <v>20.0</v>
      </c>
      <c r="C25" s="433"/>
      <c r="D25" s="433"/>
      <c r="E25" s="434" t="s">
        <v>22282</v>
      </c>
      <c r="F25" s="433" t="s">
        <v>22255</v>
      </c>
      <c r="G25" s="433" t="s">
        <v>29</v>
      </c>
      <c r="H25" s="433" t="s">
        <v>15304</v>
      </c>
      <c r="I25" s="433"/>
      <c r="J25" s="433" t="s">
        <v>22276</v>
      </c>
      <c r="K25" s="433">
        <v>68.0</v>
      </c>
      <c r="L25" s="433"/>
      <c r="M25" s="433"/>
      <c r="N25" s="433" t="s">
        <v>13587</v>
      </c>
      <c r="O25" s="433">
        <v>1987.0</v>
      </c>
      <c r="P25" s="433" t="s">
        <v>388</v>
      </c>
      <c r="Q25" s="433">
        <v>3.0</v>
      </c>
    </row>
    <row r="26" ht="15.75" customHeight="1">
      <c r="B26" s="433">
        <v>21.0</v>
      </c>
      <c r="C26" s="433"/>
      <c r="D26" s="433"/>
      <c r="E26" s="434" t="s">
        <v>22283</v>
      </c>
      <c r="F26" s="433" t="s">
        <v>22255</v>
      </c>
      <c r="G26" s="433" t="s">
        <v>29</v>
      </c>
      <c r="H26" s="433" t="s">
        <v>15304</v>
      </c>
      <c r="I26" s="433"/>
      <c r="J26" s="433" t="s">
        <v>22276</v>
      </c>
      <c r="K26" s="433">
        <v>46.0</v>
      </c>
      <c r="L26" s="433"/>
      <c r="M26" s="433"/>
      <c r="N26" s="433" t="s">
        <v>13587</v>
      </c>
      <c r="O26" s="433">
        <v>1987.0</v>
      </c>
      <c r="P26" s="433" t="s">
        <v>388</v>
      </c>
      <c r="Q26" s="433">
        <v>3.0</v>
      </c>
    </row>
    <row r="27" ht="15.75" customHeight="1">
      <c r="B27" s="433">
        <v>22.0</v>
      </c>
      <c r="C27" s="433"/>
      <c r="D27" s="433"/>
      <c r="E27" s="434" t="s">
        <v>22284</v>
      </c>
      <c r="F27" s="433" t="s">
        <v>22255</v>
      </c>
      <c r="G27" s="433" t="s">
        <v>29</v>
      </c>
      <c r="H27" s="433" t="s">
        <v>15304</v>
      </c>
      <c r="I27" s="433"/>
      <c r="J27" s="433" t="s">
        <v>22276</v>
      </c>
      <c r="K27" s="433">
        <v>72.0</v>
      </c>
      <c r="L27" s="433"/>
      <c r="M27" s="433"/>
      <c r="N27" s="433" t="s">
        <v>22191</v>
      </c>
      <c r="O27" s="433">
        <v>1987.0</v>
      </c>
      <c r="P27" s="433" t="s">
        <v>388</v>
      </c>
      <c r="Q27" s="433">
        <v>3.0</v>
      </c>
    </row>
    <row r="28" ht="15.75" customHeight="1">
      <c r="B28" s="433">
        <v>23.0</v>
      </c>
      <c r="C28" s="433"/>
      <c r="D28" s="433"/>
      <c r="E28" s="434" t="s">
        <v>22285</v>
      </c>
      <c r="F28" s="433" t="s">
        <v>22255</v>
      </c>
      <c r="G28" s="433" t="s">
        <v>29</v>
      </c>
      <c r="H28" s="433" t="s">
        <v>15304</v>
      </c>
      <c r="I28" s="433"/>
      <c r="J28" s="576"/>
      <c r="K28" s="433">
        <v>112.0</v>
      </c>
      <c r="L28" s="433"/>
      <c r="M28" s="433"/>
      <c r="N28" s="433" t="s">
        <v>13587</v>
      </c>
      <c r="O28" s="433">
        <v>1988.0</v>
      </c>
      <c r="P28" s="433" t="s">
        <v>388</v>
      </c>
      <c r="Q28" s="433">
        <v>1.0</v>
      </c>
    </row>
    <row r="29" ht="15.75" customHeight="1">
      <c r="B29" s="433">
        <v>24.0</v>
      </c>
      <c r="C29" s="433"/>
      <c r="D29" s="433"/>
      <c r="E29" s="434" t="s">
        <v>22286</v>
      </c>
      <c r="F29" s="433" t="s">
        <v>22255</v>
      </c>
      <c r="G29" s="433" t="s">
        <v>29</v>
      </c>
      <c r="H29" s="433" t="s">
        <v>15304</v>
      </c>
      <c r="I29" s="433"/>
      <c r="J29" s="433" t="s">
        <v>22276</v>
      </c>
      <c r="K29" s="433">
        <v>46.0</v>
      </c>
      <c r="L29" s="433"/>
      <c r="M29" s="433"/>
      <c r="N29" s="433" t="s">
        <v>13587</v>
      </c>
      <c r="O29" s="433">
        <v>1993.0</v>
      </c>
      <c r="P29" s="433" t="s">
        <v>388</v>
      </c>
      <c r="Q29" s="433">
        <v>1.0</v>
      </c>
    </row>
    <row r="30" ht="15.75" customHeight="1">
      <c r="B30" s="433">
        <v>25.0</v>
      </c>
      <c r="C30" s="433"/>
      <c r="D30" s="433"/>
      <c r="E30" s="434" t="s">
        <v>22287</v>
      </c>
      <c r="F30" s="433" t="s">
        <v>22255</v>
      </c>
      <c r="G30" s="433" t="s">
        <v>29</v>
      </c>
      <c r="H30" s="433" t="s">
        <v>15304</v>
      </c>
      <c r="I30" s="433"/>
      <c r="J30" s="433" t="s">
        <v>22276</v>
      </c>
      <c r="K30" s="433">
        <v>98.0</v>
      </c>
      <c r="L30" s="433"/>
      <c r="M30" s="433"/>
      <c r="N30" s="433" t="s">
        <v>13587</v>
      </c>
      <c r="O30" s="433">
        <v>1997.0</v>
      </c>
      <c r="P30" s="433" t="s">
        <v>388</v>
      </c>
      <c r="Q30" s="433">
        <v>1.0</v>
      </c>
    </row>
    <row r="31" ht="15.75" customHeight="1">
      <c r="B31" s="433">
        <v>26.0</v>
      </c>
      <c r="C31" s="433"/>
      <c r="D31" s="433"/>
      <c r="E31" s="434" t="s">
        <v>22288</v>
      </c>
      <c r="F31" s="433" t="s">
        <v>22255</v>
      </c>
      <c r="G31" s="433" t="s">
        <v>29</v>
      </c>
      <c r="H31" s="433" t="s">
        <v>15304</v>
      </c>
      <c r="I31" s="433"/>
      <c r="J31" s="433" t="s">
        <v>22276</v>
      </c>
      <c r="K31" s="433">
        <v>70.0</v>
      </c>
      <c r="L31" s="433"/>
      <c r="M31" s="433"/>
      <c r="N31" s="433" t="s">
        <v>13587</v>
      </c>
      <c r="O31" s="433">
        <v>1996.0</v>
      </c>
      <c r="P31" s="433" t="s">
        <v>388</v>
      </c>
      <c r="Q31" s="433">
        <v>1.0</v>
      </c>
    </row>
    <row r="32" ht="15.75" customHeight="1">
      <c r="B32" s="433">
        <v>27.0</v>
      </c>
      <c r="C32" s="433"/>
      <c r="D32" s="433"/>
      <c r="E32" s="434" t="s">
        <v>22289</v>
      </c>
      <c r="F32" s="433" t="s">
        <v>22255</v>
      </c>
      <c r="G32" s="433" t="s">
        <v>29</v>
      </c>
      <c r="H32" s="433" t="s">
        <v>22290</v>
      </c>
      <c r="I32" s="433"/>
      <c r="J32" s="433" t="s">
        <v>22291</v>
      </c>
      <c r="K32" s="433">
        <v>70.0</v>
      </c>
      <c r="L32" s="433"/>
      <c r="M32" s="433"/>
      <c r="N32" s="433" t="s">
        <v>16332</v>
      </c>
      <c r="O32" s="433">
        <v>1978.0</v>
      </c>
      <c r="P32" s="433" t="s">
        <v>388</v>
      </c>
      <c r="Q32" s="433">
        <v>1.0</v>
      </c>
    </row>
    <row r="33" ht="15.75" customHeight="1">
      <c r="B33" s="433">
        <v>28.0</v>
      </c>
      <c r="C33" s="433"/>
      <c r="D33" s="433"/>
      <c r="E33" s="434" t="s">
        <v>22292</v>
      </c>
      <c r="F33" s="433" t="s">
        <v>22255</v>
      </c>
      <c r="G33" s="433" t="s">
        <v>29</v>
      </c>
      <c r="H33" s="433" t="s">
        <v>22293</v>
      </c>
      <c r="I33" s="433"/>
      <c r="J33" s="433" t="s">
        <v>22293</v>
      </c>
      <c r="K33" s="433">
        <v>94.0</v>
      </c>
      <c r="L33" s="433"/>
      <c r="M33" s="433"/>
      <c r="N33" s="433" t="s">
        <v>22274</v>
      </c>
      <c r="O33" s="433">
        <v>1986.0</v>
      </c>
      <c r="P33" s="433" t="s">
        <v>388</v>
      </c>
      <c r="Q33" s="433">
        <v>3.0</v>
      </c>
    </row>
    <row r="34" ht="15.75" customHeight="1">
      <c r="B34" s="433">
        <v>29.0</v>
      </c>
      <c r="C34" s="433"/>
      <c r="D34" s="433"/>
      <c r="E34" s="434" t="s">
        <v>22294</v>
      </c>
      <c r="F34" s="433" t="s">
        <v>22255</v>
      </c>
      <c r="G34" s="433" t="s">
        <v>29</v>
      </c>
      <c r="H34" s="433" t="s">
        <v>1032</v>
      </c>
      <c r="I34" s="433"/>
      <c r="J34" s="433" t="s">
        <v>1032</v>
      </c>
      <c r="K34" s="433">
        <v>25.0</v>
      </c>
      <c r="L34" s="433"/>
      <c r="M34" s="433" t="s">
        <v>13582</v>
      </c>
      <c r="N34" s="433" t="s">
        <v>16332</v>
      </c>
      <c r="O34" s="433">
        <v>1983.0</v>
      </c>
      <c r="P34" s="433" t="s">
        <v>388</v>
      </c>
      <c r="Q34" s="433">
        <v>1.0</v>
      </c>
    </row>
    <row r="35" ht="15.75" customHeight="1">
      <c r="B35" s="433">
        <v>30.0</v>
      </c>
      <c r="C35" s="433"/>
      <c r="D35" s="433"/>
      <c r="E35" s="434" t="s">
        <v>22295</v>
      </c>
      <c r="F35" s="433" t="s">
        <v>22255</v>
      </c>
      <c r="G35" s="433" t="s">
        <v>29</v>
      </c>
      <c r="H35" s="433" t="s">
        <v>1032</v>
      </c>
      <c r="I35" s="433"/>
      <c r="J35" s="433" t="s">
        <v>1032</v>
      </c>
      <c r="K35" s="433">
        <v>168.0</v>
      </c>
      <c r="L35" s="433"/>
      <c r="M35" s="433" t="s">
        <v>13582</v>
      </c>
      <c r="N35" s="433" t="s">
        <v>16332</v>
      </c>
      <c r="O35" s="433">
        <v>1986.0</v>
      </c>
      <c r="P35" s="433" t="s">
        <v>388</v>
      </c>
      <c r="Q35" s="433">
        <v>1.0</v>
      </c>
    </row>
    <row r="36" ht="15.75" customHeight="1">
      <c r="B36" s="433">
        <v>31.0</v>
      </c>
      <c r="C36" s="433"/>
      <c r="D36" s="433"/>
      <c r="E36" s="434" t="s">
        <v>22296</v>
      </c>
      <c r="F36" s="433" t="s">
        <v>22255</v>
      </c>
      <c r="G36" s="433" t="s">
        <v>29</v>
      </c>
      <c r="H36" s="433" t="s">
        <v>1032</v>
      </c>
      <c r="I36" s="433"/>
      <c r="J36" s="433" t="s">
        <v>1032</v>
      </c>
      <c r="K36" s="433">
        <v>117.0</v>
      </c>
      <c r="L36" s="433"/>
      <c r="M36" s="433" t="s">
        <v>13582</v>
      </c>
      <c r="N36" s="433" t="s">
        <v>16332</v>
      </c>
      <c r="O36" s="433">
        <v>1989.0</v>
      </c>
      <c r="P36" s="433" t="s">
        <v>388</v>
      </c>
      <c r="Q36" s="433">
        <v>1.0</v>
      </c>
    </row>
    <row r="37" ht="15.75" customHeight="1">
      <c r="B37" s="433">
        <v>32.0</v>
      </c>
      <c r="C37" s="433"/>
      <c r="D37" s="433"/>
      <c r="E37" s="434" t="s">
        <v>22297</v>
      </c>
      <c r="F37" s="433" t="s">
        <v>22255</v>
      </c>
      <c r="G37" s="433" t="s">
        <v>29</v>
      </c>
      <c r="H37" s="433" t="s">
        <v>1032</v>
      </c>
      <c r="I37" s="433"/>
      <c r="J37" s="433" t="s">
        <v>1032</v>
      </c>
      <c r="K37" s="433">
        <v>69.0</v>
      </c>
      <c r="L37" s="433"/>
      <c r="M37" s="433" t="s">
        <v>13582</v>
      </c>
      <c r="N37" s="433" t="s">
        <v>16332</v>
      </c>
      <c r="O37" s="433">
        <v>1989.0</v>
      </c>
      <c r="P37" s="433" t="s">
        <v>388</v>
      </c>
      <c r="Q37" s="433">
        <v>1.0</v>
      </c>
    </row>
    <row r="38" ht="15.75" customHeight="1">
      <c r="B38" s="433">
        <v>33.0</v>
      </c>
      <c r="C38" s="433"/>
      <c r="D38" s="433"/>
      <c r="E38" s="434" t="s">
        <v>22298</v>
      </c>
      <c r="F38" s="433" t="s">
        <v>22255</v>
      </c>
      <c r="G38" s="433" t="s">
        <v>29</v>
      </c>
      <c r="H38" s="433" t="s">
        <v>15304</v>
      </c>
      <c r="I38" s="433"/>
      <c r="J38" s="433" t="s">
        <v>15304</v>
      </c>
      <c r="K38" s="433">
        <v>16.0</v>
      </c>
      <c r="L38" s="433"/>
      <c r="M38" s="433"/>
      <c r="N38" s="433" t="s">
        <v>22174</v>
      </c>
      <c r="O38" s="433">
        <v>1995.0</v>
      </c>
      <c r="P38" s="433" t="s">
        <v>388</v>
      </c>
      <c r="Q38" s="433">
        <v>3.0</v>
      </c>
    </row>
    <row r="39" ht="15.75" customHeight="1">
      <c r="B39" s="433">
        <v>34.0</v>
      </c>
      <c r="C39" s="433"/>
      <c r="D39" s="433"/>
      <c r="E39" s="434" t="s">
        <v>22299</v>
      </c>
      <c r="F39" s="433" t="s">
        <v>22255</v>
      </c>
      <c r="G39" s="433" t="s">
        <v>29</v>
      </c>
      <c r="H39" s="433" t="s">
        <v>15304</v>
      </c>
      <c r="I39" s="433"/>
      <c r="J39" s="433" t="s">
        <v>15304</v>
      </c>
      <c r="K39" s="433">
        <v>16.0</v>
      </c>
      <c r="L39" s="433"/>
      <c r="M39" s="433"/>
      <c r="N39" s="433" t="s">
        <v>22174</v>
      </c>
      <c r="O39" s="433">
        <v>1988.0</v>
      </c>
      <c r="P39" s="433" t="s">
        <v>388</v>
      </c>
      <c r="Q39" s="433">
        <v>4.0</v>
      </c>
    </row>
    <row r="40" ht="15.75" customHeight="1">
      <c r="B40" s="433">
        <v>35.0</v>
      </c>
      <c r="C40" s="433"/>
      <c r="D40" s="433"/>
      <c r="E40" s="434" t="s">
        <v>22300</v>
      </c>
      <c r="F40" s="433" t="s">
        <v>22255</v>
      </c>
      <c r="G40" s="433" t="s">
        <v>29</v>
      </c>
      <c r="H40" s="433" t="s">
        <v>15304</v>
      </c>
      <c r="I40" s="433"/>
      <c r="J40" s="433" t="s">
        <v>15304</v>
      </c>
      <c r="K40" s="433">
        <v>16.0</v>
      </c>
      <c r="L40" s="433"/>
      <c r="M40" s="433"/>
      <c r="N40" s="433" t="s">
        <v>22174</v>
      </c>
      <c r="O40" s="433">
        <v>1998.0</v>
      </c>
      <c r="P40" s="433" t="s">
        <v>388</v>
      </c>
      <c r="Q40" s="433">
        <v>1.0</v>
      </c>
    </row>
    <row r="41" ht="15.75" customHeight="1">
      <c r="B41" s="433">
        <v>36.0</v>
      </c>
      <c r="C41" s="433"/>
      <c r="D41" s="433"/>
      <c r="E41" s="434" t="s">
        <v>22301</v>
      </c>
      <c r="F41" s="433" t="s">
        <v>22255</v>
      </c>
      <c r="G41" s="433" t="s">
        <v>29</v>
      </c>
      <c r="H41" s="433" t="s">
        <v>15304</v>
      </c>
      <c r="I41" s="433"/>
      <c r="J41" s="433" t="s">
        <v>22302</v>
      </c>
      <c r="K41" s="433">
        <v>16.0</v>
      </c>
      <c r="L41" s="433"/>
      <c r="M41" s="433"/>
      <c r="N41" s="433" t="s">
        <v>22174</v>
      </c>
      <c r="O41" s="433">
        <v>1988.0</v>
      </c>
      <c r="P41" s="433" t="s">
        <v>388</v>
      </c>
      <c r="Q41" s="433">
        <v>1.0</v>
      </c>
    </row>
    <row r="42" ht="15.75" customHeight="1">
      <c r="B42" s="433">
        <v>37.0</v>
      </c>
      <c r="C42" s="433"/>
      <c r="D42" s="433"/>
      <c r="E42" s="434" t="s">
        <v>22303</v>
      </c>
      <c r="F42" s="433" t="s">
        <v>22255</v>
      </c>
      <c r="G42" s="433" t="s">
        <v>29</v>
      </c>
      <c r="H42" s="433" t="s">
        <v>15304</v>
      </c>
      <c r="I42" s="433"/>
      <c r="J42" s="433" t="s">
        <v>22302</v>
      </c>
      <c r="K42" s="433">
        <v>16.0</v>
      </c>
      <c r="L42" s="433"/>
      <c r="M42" s="433"/>
      <c r="N42" s="433" t="s">
        <v>22174</v>
      </c>
      <c r="O42" s="433">
        <v>1989.0</v>
      </c>
      <c r="P42" s="433" t="s">
        <v>388</v>
      </c>
      <c r="Q42" s="433">
        <v>1.0</v>
      </c>
    </row>
    <row r="43" ht="15.75" customHeight="1">
      <c r="B43" s="433">
        <v>38.0</v>
      </c>
      <c r="C43" s="433"/>
      <c r="D43" s="433"/>
      <c r="E43" s="434" t="s">
        <v>22304</v>
      </c>
      <c r="F43" s="433" t="s">
        <v>22255</v>
      </c>
      <c r="G43" s="433" t="s">
        <v>29</v>
      </c>
      <c r="H43" s="433" t="s">
        <v>15304</v>
      </c>
      <c r="I43" s="433"/>
      <c r="J43" s="433" t="s">
        <v>22302</v>
      </c>
      <c r="K43" s="433">
        <v>24.0</v>
      </c>
      <c r="L43" s="433"/>
      <c r="M43" s="433"/>
      <c r="N43" s="433"/>
      <c r="O43" s="576"/>
      <c r="P43" s="433" t="s">
        <v>388</v>
      </c>
      <c r="Q43" s="433">
        <v>1.0</v>
      </c>
    </row>
    <row r="44" ht="15.75" customHeight="1">
      <c r="B44" s="433">
        <v>39.0</v>
      </c>
      <c r="C44" s="433"/>
      <c r="D44" s="433"/>
      <c r="E44" s="434" t="s">
        <v>22305</v>
      </c>
      <c r="F44" s="433" t="s">
        <v>22255</v>
      </c>
      <c r="G44" s="433" t="s">
        <v>29</v>
      </c>
      <c r="H44" s="433" t="s">
        <v>2743</v>
      </c>
      <c r="I44" s="433"/>
      <c r="J44" s="433" t="s">
        <v>22076</v>
      </c>
      <c r="K44" s="433">
        <v>29.0</v>
      </c>
      <c r="L44" s="433"/>
      <c r="M44" s="433" t="s">
        <v>13582</v>
      </c>
      <c r="N44" s="433" t="s">
        <v>4836</v>
      </c>
      <c r="O44" s="433">
        <v>1979.0</v>
      </c>
      <c r="P44" s="433" t="s">
        <v>388</v>
      </c>
      <c r="Q44" s="433">
        <v>1.0</v>
      </c>
    </row>
    <row r="45" ht="15.75" customHeight="1">
      <c r="B45" s="433">
        <v>40.0</v>
      </c>
      <c r="C45" s="433"/>
      <c r="D45" s="433"/>
      <c r="E45" s="434" t="s">
        <v>22306</v>
      </c>
      <c r="F45" s="433" t="s">
        <v>22255</v>
      </c>
      <c r="G45" s="433" t="s">
        <v>29</v>
      </c>
      <c r="H45" s="433" t="s">
        <v>2743</v>
      </c>
      <c r="I45" s="433"/>
      <c r="J45" s="433" t="s">
        <v>22076</v>
      </c>
      <c r="K45" s="433">
        <v>72.0</v>
      </c>
      <c r="L45" s="433"/>
      <c r="M45" s="433" t="s">
        <v>13582</v>
      </c>
      <c r="N45" s="433" t="s">
        <v>22307</v>
      </c>
      <c r="O45" s="433">
        <v>1978.0</v>
      </c>
      <c r="P45" s="433" t="s">
        <v>388</v>
      </c>
      <c r="Q45" s="433">
        <v>1.0</v>
      </c>
    </row>
    <row r="46" ht="15.75" customHeight="1">
      <c r="B46" s="433">
        <v>41.0</v>
      </c>
      <c r="C46" s="433" t="s">
        <v>22308</v>
      </c>
      <c r="D46" s="433"/>
      <c r="E46" s="434" t="s">
        <v>22309</v>
      </c>
      <c r="F46" s="433" t="s">
        <v>22255</v>
      </c>
      <c r="G46" s="433" t="s">
        <v>29</v>
      </c>
      <c r="H46" s="433" t="s">
        <v>2743</v>
      </c>
      <c r="I46" s="433"/>
      <c r="J46" s="433" t="s">
        <v>22076</v>
      </c>
      <c r="K46" s="433">
        <v>119.0</v>
      </c>
      <c r="L46" s="433"/>
      <c r="M46" s="433" t="s">
        <v>13582</v>
      </c>
      <c r="N46" s="433" t="s">
        <v>22307</v>
      </c>
      <c r="O46" s="433">
        <v>1977.0</v>
      </c>
      <c r="P46" s="433" t="s">
        <v>388</v>
      </c>
      <c r="Q46" s="433">
        <v>2.0</v>
      </c>
    </row>
    <row r="47" ht="15.75" customHeight="1">
      <c r="B47" s="433">
        <v>42.0</v>
      </c>
      <c r="C47" s="433"/>
      <c r="D47" s="433"/>
      <c r="E47" s="434" t="s">
        <v>18432</v>
      </c>
      <c r="F47" s="433" t="s">
        <v>22255</v>
      </c>
      <c r="G47" s="433" t="s">
        <v>29</v>
      </c>
      <c r="H47" s="433" t="s">
        <v>2743</v>
      </c>
      <c r="I47" s="433"/>
      <c r="J47" s="433" t="s">
        <v>22076</v>
      </c>
      <c r="K47" s="433">
        <v>156.0</v>
      </c>
      <c r="L47" s="433"/>
      <c r="M47" s="433" t="s">
        <v>13582</v>
      </c>
      <c r="N47" s="433" t="s">
        <v>4836</v>
      </c>
      <c r="O47" s="433">
        <v>1978.0</v>
      </c>
      <c r="P47" s="433" t="s">
        <v>388</v>
      </c>
      <c r="Q47" s="433">
        <v>1.0</v>
      </c>
    </row>
    <row r="48" ht="15.75" customHeight="1">
      <c r="B48" s="433">
        <v>43.0</v>
      </c>
      <c r="C48" s="433"/>
      <c r="D48" s="433"/>
      <c r="E48" s="434" t="s">
        <v>22310</v>
      </c>
      <c r="F48" s="433" t="s">
        <v>22255</v>
      </c>
      <c r="G48" s="433" t="s">
        <v>29</v>
      </c>
      <c r="H48" s="433" t="s">
        <v>2743</v>
      </c>
      <c r="I48" s="433"/>
      <c r="J48" s="433" t="s">
        <v>22076</v>
      </c>
      <c r="K48" s="433">
        <v>80.0</v>
      </c>
      <c r="L48" s="433"/>
      <c r="M48" s="433" t="s">
        <v>13582</v>
      </c>
      <c r="N48" s="433" t="s">
        <v>4836</v>
      </c>
      <c r="O48" s="433">
        <v>1986.0</v>
      </c>
      <c r="P48" s="433" t="s">
        <v>388</v>
      </c>
      <c r="Q48" s="433">
        <v>2.0</v>
      </c>
    </row>
    <row r="49" ht="27.75" customHeight="1">
      <c r="B49" s="433">
        <v>44.0</v>
      </c>
      <c r="C49" s="433"/>
      <c r="D49" s="433"/>
      <c r="E49" s="434" t="s">
        <v>22311</v>
      </c>
      <c r="F49" s="433" t="s">
        <v>22255</v>
      </c>
      <c r="G49" s="433" t="s">
        <v>29</v>
      </c>
      <c r="H49" s="433" t="s">
        <v>2743</v>
      </c>
      <c r="I49" s="433"/>
      <c r="J49" s="433" t="s">
        <v>22076</v>
      </c>
      <c r="K49" s="433">
        <v>31.0</v>
      </c>
      <c r="L49" s="433"/>
      <c r="M49" s="433"/>
      <c r="N49" s="433" t="s">
        <v>4836</v>
      </c>
      <c r="O49" s="433">
        <v>1976.0</v>
      </c>
      <c r="P49" s="433" t="s">
        <v>388</v>
      </c>
      <c r="Q49" s="433">
        <v>1.0</v>
      </c>
    </row>
    <row r="50" ht="26.25" customHeight="1">
      <c r="B50" s="433">
        <v>45.0</v>
      </c>
      <c r="C50" s="433"/>
      <c r="D50" s="433"/>
      <c r="E50" s="434" t="s">
        <v>22312</v>
      </c>
      <c r="F50" s="433" t="s">
        <v>22255</v>
      </c>
      <c r="G50" s="433" t="s">
        <v>29</v>
      </c>
      <c r="H50" s="433" t="s">
        <v>2743</v>
      </c>
      <c r="I50" s="433"/>
      <c r="J50" s="433" t="s">
        <v>22076</v>
      </c>
      <c r="K50" s="433">
        <v>26.0</v>
      </c>
      <c r="L50" s="433"/>
      <c r="M50" s="433"/>
      <c r="N50" s="433" t="s">
        <v>4836</v>
      </c>
      <c r="O50" s="433">
        <v>1988.0</v>
      </c>
      <c r="P50" s="433" t="s">
        <v>388</v>
      </c>
      <c r="Q50" s="433">
        <v>1.0</v>
      </c>
    </row>
    <row r="51" ht="28.5" customHeight="1">
      <c r="B51" s="433">
        <v>46.0</v>
      </c>
      <c r="C51" s="433"/>
      <c r="D51" s="433"/>
      <c r="E51" s="434" t="s">
        <v>22313</v>
      </c>
      <c r="F51" s="433" t="s">
        <v>22255</v>
      </c>
      <c r="G51" s="433" t="s">
        <v>29</v>
      </c>
      <c r="H51" s="433" t="s">
        <v>2743</v>
      </c>
      <c r="I51" s="433"/>
      <c r="J51" s="433" t="s">
        <v>22076</v>
      </c>
      <c r="K51" s="433">
        <v>18.0</v>
      </c>
      <c r="L51" s="433"/>
      <c r="M51" s="433"/>
      <c r="N51" s="433" t="s">
        <v>4836</v>
      </c>
      <c r="O51" s="433">
        <v>1976.0</v>
      </c>
      <c r="P51" s="433" t="s">
        <v>388</v>
      </c>
      <c r="Q51" s="433">
        <v>1.0</v>
      </c>
    </row>
    <row r="52" ht="29.25" customHeight="1">
      <c r="B52" s="433">
        <v>47.0</v>
      </c>
      <c r="C52" s="433"/>
      <c r="D52" s="433"/>
      <c r="E52" s="434" t="s">
        <v>22314</v>
      </c>
      <c r="F52" s="433" t="s">
        <v>22255</v>
      </c>
      <c r="G52" s="433" t="s">
        <v>29</v>
      </c>
      <c r="H52" s="433" t="s">
        <v>2743</v>
      </c>
      <c r="I52" s="433"/>
      <c r="J52" s="433" t="s">
        <v>22076</v>
      </c>
      <c r="K52" s="433">
        <v>56.0</v>
      </c>
      <c r="L52" s="433"/>
      <c r="M52" s="433"/>
      <c r="N52" s="433" t="s">
        <v>4836</v>
      </c>
      <c r="O52" s="433">
        <v>1976.0</v>
      </c>
      <c r="P52" s="433" t="s">
        <v>388</v>
      </c>
      <c r="Q52" s="433">
        <v>1.0</v>
      </c>
    </row>
    <row r="53" ht="30.0" customHeight="1">
      <c r="B53" s="433">
        <v>48.0</v>
      </c>
      <c r="C53" s="433"/>
      <c r="D53" s="433"/>
      <c r="E53" s="434" t="s">
        <v>22315</v>
      </c>
      <c r="F53" s="433" t="s">
        <v>22255</v>
      </c>
      <c r="G53" s="433" t="s">
        <v>29</v>
      </c>
      <c r="H53" s="433" t="s">
        <v>2743</v>
      </c>
      <c r="I53" s="433"/>
      <c r="J53" s="433" t="s">
        <v>22076</v>
      </c>
      <c r="K53" s="433">
        <v>167.0</v>
      </c>
      <c r="L53" s="433"/>
      <c r="M53" s="433"/>
      <c r="N53" s="433" t="s">
        <v>22307</v>
      </c>
      <c r="O53" s="433">
        <v>1953.0</v>
      </c>
      <c r="P53" s="433" t="s">
        <v>388</v>
      </c>
      <c r="Q53" s="433">
        <v>1.0</v>
      </c>
    </row>
    <row r="54" ht="36.75" customHeight="1">
      <c r="B54" s="433">
        <v>49.0</v>
      </c>
      <c r="C54" s="433"/>
      <c r="D54" s="433"/>
      <c r="E54" s="434" t="s">
        <v>22316</v>
      </c>
      <c r="F54" s="433" t="s">
        <v>22255</v>
      </c>
      <c r="G54" s="433" t="s">
        <v>29</v>
      </c>
      <c r="H54" s="433" t="s">
        <v>2743</v>
      </c>
      <c r="I54" s="433"/>
      <c r="J54" s="433" t="s">
        <v>22076</v>
      </c>
      <c r="K54" s="433">
        <v>161.0</v>
      </c>
      <c r="L54" s="433"/>
      <c r="M54" s="433" t="s">
        <v>13582</v>
      </c>
      <c r="N54" s="433" t="s">
        <v>4836</v>
      </c>
      <c r="O54" s="433">
        <v>1978.0</v>
      </c>
      <c r="P54" s="433" t="s">
        <v>388</v>
      </c>
      <c r="Q54" s="433">
        <v>1.0</v>
      </c>
    </row>
    <row r="55" ht="15.75" customHeight="1">
      <c r="B55" s="433">
        <v>50.0</v>
      </c>
      <c r="C55" s="433"/>
      <c r="D55" s="433"/>
      <c r="E55" s="434" t="s">
        <v>22317</v>
      </c>
      <c r="F55" s="433" t="s">
        <v>22255</v>
      </c>
      <c r="G55" s="433" t="s">
        <v>29</v>
      </c>
      <c r="H55" s="433" t="s">
        <v>2743</v>
      </c>
      <c r="I55" s="433"/>
      <c r="J55" s="433" t="s">
        <v>22076</v>
      </c>
      <c r="K55" s="433">
        <v>96.0</v>
      </c>
      <c r="L55" s="433" t="s">
        <v>8588</v>
      </c>
      <c r="M55" s="433"/>
      <c r="N55" s="433" t="s">
        <v>22318</v>
      </c>
      <c r="O55" s="433">
        <v>1954.0</v>
      </c>
      <c r="P55" s="433" t="s">
        <v>388</v>
      </c>
      <c r="Q55" s="433">
        <v>1.0</v>
      </c>
    </row>
    <row r="56" ht="15.75" customHeight="1">
      <c r="B56" s="433">
        <v>51.0</v>
      </c>
      <c r="C56" s="433"/>
      <c r="D56" s="433"/>
      <c r="E56" s="434" t="s">
        <v>22319</v>
      </c>
      <c r="F56" s="433" t="s">
        <v>22255</v>
      </c>
      <c r="G56" s="433" t="s">
        <v>29</v>
      </c>
      <c r="H56" s="433" t="s">
        <v>2743</v>
      </c>
      <c r="I56" s="433"/>
      <c r="J56" s="433" t="s">
        <v>22076</v>
      </c>
      <c r="K56" s="433">
        <v>74.0</v>
      </c>
      <c r="L56" s="433"/>
      <c r="M56" s="433" t="s">
        <v>13582</v>
      </c>
      <c r="N56" s="433" t="s">
        <v>4836</v>
      </c>
      <c r="O56" s="433">
        <v>1966.0</v>
      </c>
      <c r="P56" s="433" t="s">
        <v>388</v>
      </c>
      <c r="Q56" s="433">
        <v>1.0</v>
      </c>
    </row>
    <row r="57" ht="15.75" customHeight="1">
      <c r="B57" s="433">
        <v>52.0</v>
      </c>
      <c r="C57" s="433" t="s">
        <v>22320</v>
      </c>
      <c r="D57" s="433"/>
      <c r="E57" s="434" t="s">
        <v>22321</v>
      </c>
      <c r="F57" s="433" t="s">
        <v>22255</v>
      </c>
      <c r="G57" s="433" t="s">
        <v>29</v>
      </c>
      <c r="H57" s="433" t="s">
        <v>2743</v>
      </c>
      <c r="I57" s="433"/>
      <c r="J57" s="433" t="s">
        <v>22076</v>
      </c>
      <c r="K57" s="433">
        <v>89.0</v>
      </c>
      <c r="L57" s="433"/>
      <c r="M57" s="433" t="s">
        <v>13582</v>
      </c>
      <c r="N57" s="433" t="s">
        <v>4836</v>
      </c>
      <c r="O57" s="433">
        <v>1988.0</v>
      </c>
      <c r="P57" s="433" t="s">
        <v>388</v>
      </c>
      <c r="Q57" s="433">
        <v>1.0</v>
      </c>
    </row>
    <row r="58" ht="30.0" customHeight="1">
      <c r="B58" s="433">
        <v>53.0</v>
      </c>
      <c r="C58" s="433"/>
      <c r="D58" s="433"/>
      <c r="E58" s="434" t="s">
        <v>22322</v>
      </c>
      <c r="F58" s="433" t="s">
        <v>22255</v>
      </c>
      <c r="G58" s="433" t="s">
        <v>29</v>
      </c>
      <c r="H58" s="433" t="s">
        <v>2743</v>
      </c>
      <c r="I58" s="433"/>
      <c r="J58" s="433" t="s">
        <v>22076</v>
      </c>
      <c r="K58" s="433">
        <v>64.0</v>
      </c>
      <c r="L58" s="433"/>
      <c r="M58" s="433"/>
      <c r="N58" s="433" t="s">
        <v>4836</v>
      </c>
      <c r="O58" s="433">
        <v>1976.0</v>
      </c>
      <c r="P58" s="433" t="s">
        <v>388</v>
      </c>
      <c r="Q58" s="433">
        <v>2.0</v>
      </c>
    </row>
    <row r="59" ht="30.0" customHeight="1">
      <c r="B59" s="433">
        <v>54.0</v>
      </c>
      <c r="C59" s="433"/>
      <c r="D59" s="433"/>
      <c r="E59" s="434" t="s">
        <v>22323</v>
      </c>
      <c r="F59" s="433" t="s">
        <v>22255</v>
      </c>
      <c r="G59" s="433" t="s">
        <v>29</v>
      </c>
      <c r="H59" s="433" t="s">
        <v>2743</v>
      </c>
      <c r="I59" s="433"/>
      <c r="J59" s="433" t="s">
        <v>22076</v>
      </c>
      <c r="K59" s="433">
        <v>42.0</v>
      </c>
      <c r="L59" s="433"/>
      <c r="M59" s="433"/>
      <c r="N59" s="433" t="s">
        <v>4836</v>
      </c>
      <c r="O59" s="433">
        <v>1976.0</v>
      </c>
      <c r="P59" s="433" t="s">
        <v>388</v>
      </c>
      <c r="Q59" s="433">
        <v>1.0</v>
      </c>
    </row>
    <row r="60" ht="36.0" customHeight="1">
      <c r="B60" s="433">
        <v>55.0</v>
      </c>
      <c r="C60" s="433"/>
      <c r="D60" s="433"/>
      <c r="E60" s="434" t="s">
        <v>22324</v>
      </c>
      <c r="F60" s="433" t="s">
        <v>22255</v>
      </c>
      <c r="G60" s="433" t="s">
        <v>29</v>
      </c>
      <c r="H60" s="433" t="s">
        <v>2743</v>
      </c>
      <c r="I60" s="433"/>
      <c r="J60" s="433" t="s">
        <v>22076</v>
      </c>
      <c r="K60" s="433">
        <v>80.0</v>
      </c>
      <c r="L60" s="433"/>
      <c r="M60" s="433" t="s">
        <v>13582</v>
      </c>
      <c r="N60" s="433" t="s">
        <v>4836</v>
      </c>
      <c r="O60" s="433">
        <v>1976.0</v>
      </c>
      <c r="P60" s="433" t="s">
        <v>388</v>
      </c>
      <c r="Q60" s="433">
        <v>1.0</v>
      </c>
    </row>
    <row r="61" ht="15.75" customHeight="1">
      <c r="B61" s="433">
        <v>56.0</v>
      </c>
      <c r="C61" s="433"/>
      <c r="D61" s="433"/>
      <c r="E61" s="434" t="s">
        <v>22325</v>
      </c>
      <c r="F61" s="433" t="s">
        <v>22255</v>
      </c>
      <c r="G61" s="433" t="s">
        <v>29</v>
      </c>
      <c r="H61" s="433" t="s">
        <v>2743</v>
      </c>
      <c r="I61" s="433"/>
      <c r="J61" s="433" t="s">
        <v>22076</v>
      </c>
      <c r="K61" s="433">
        <v>73.0</v>
      </c>
      <c r="L61" s="433"/>
      <c r="M61" s="433" t="s">
        <v>13582</v>
      </c>
      <c r="N61" s="433" t="s">
        <v>4836</v>
      </c>
      <c r="O61" s="433">
        <v>1976.0</v>
      </c>
      <c r="P61" s="433" t="s">
        <v>388</v>
      </c>
      <c r="Q61" s="433">
        <v>1.0</v>
      </c>
    </row>
    <row r="62" ht="15.75" customHeight="1">
      <c r="B62" s="433">
        <v>57.0</v>
      </c>
      <c r="C62" s="433"/>
      <c r="D62" s="433"/>
      <c r="E62" s="434" t="s">
        <v>22326</v>
      </c>
      <c r="F62" s="433" t="s">
        <v>22255</v>
      </c>
      <c r="G62" s="433" t="s">
        <v>29</v>
      </c>
      <c r="H62" s="433" t="s">
        <v>2743</v>
      </c>
      <c r="I62" s="433"/>
      <c r="J62" s="433" t="s">
        <v>22076</v>
      </c>
      <c r="K62" s="433">
        <v>42.0</v>
      </c>
      <c r="L62" s="433"/>
      <c r="M62" s="433" t="s">
        <v>13582</v>
      </c>
      <c r="N62" s="433" t="s">
        <v>4836</v>
      </c>
      <c r="O62" s="433">
        <v>1976.0</v>
      </c>
      <c r="P62" s="433" t="s">
        <v>388</v>
      </c>
      <c r="Q62" s="433">
        <v>1.0</v>
      </c>
    </row>
    <row r="63" ht="15.75" customHeight="1">
      <c r="B63" s="433">
        <v>58.0</v>
      </c>
      <c r="C63" s="433"/>
      <c r="D63" s="433"/>
      <c r="E63" s="434" t="s">
        <v>22327</v>
      </c>
      <c r="F63" s="433" t="s">
        <v>22255</v>
      </c>
      <c r="G63" s="433" t="s">
        <v>29</v>
      </c>
      <c r="H63" s="433" t="s">
        <v>2743</v>
      </c>
      <c r="I63" s="433"/>
      <c r="J63" s="433" t="s">
        <v>22076</v>
      </c>
      <c r="K63" s="433">
        <v>37.0</v>
      </c>
      <c r="L63" s="433"/>
      <c r="M63" s="433" t="s">
        <v>13582</v>
      </c>
      <c r="N63" s="433" t="s">
        <v>4836</v>
      </c>
      <c r="O63" s="433">
        <v>1988.0</v>
      </c>
      <c r="P63" s="433" t="s">
        <v>388</v>
      </c>
      <c r="Q63" s="433">
        <v>1.0</v>
      </c>
    </row>
    <row r="64" ht="15.75" customHeight="1">
      <c r="B64" s="433">
        <v>59.0</v>
      </c>
      <c r="C64" s="433"/>
      <c r="D64" s="433"/>
      <c r="E64" s="434" t="s">
        <v>22328</v>
      </c>
      <c r="F64" s="433" t="s">
        <v>22255</v>
      </c>
      <c r="G64" s="433" t="s">
        <v>29</v>
      </c>
      <c r="H64" s="433" t="s">
        <v>2743</v>
      </c>
      <c r="I64" s="433"/>
      <c r="J64" s="433" t="s">
        <v>22076</v>
      </c>
      <c r="K64" s="433">
        <v>67.0</v>
      </c>
      <c r="L64" s="433"/>
      <c r="M64" s="433" t="s">
        <v>13582</v>
      </c>
      <c r="N64" s="433" t="s">
        <v>22307</v>
      </c>
      <c r="O64" s="433">
        <v>1966.0</v>
      </c>
      <c r="P64" s="433" t="s">
        <v>388</v>
      </c>
      <c r="Q64" s="433">
        <v>1.0</v>
      </c>
    </row>
    <row r="65" ht="29.25" customHeight="1">
      <c r="B65" s="433">
        <v>60.0</v>
      </c>
      <c r="C65" s="433"/>
      <c r="D65" s="433"/>
      <c r="E65" s="434" t="s">
        <v>22329</v>
      </c>
      <c r="F65" s="433" t="s">
        <v>22255</v>
      </c>
      <c r="G65" s="433" t="s">
        <v>29</v>
      </c>
      <c r="H65" s="433" t="s">
        <v>2743</v>
      </c>
      <c r="I65" s="433"/>
      <c r="J65" s="433" t="s">
        <v>22076</v>
      </c>
      <c r="K65" s="433">
        <v>32.0</v>
      </c>
      <c r="L65" s="433"/>
      <c r="M65" s="433"/>
      <c r="N65" s="433" t="s">
        <v>22330</v>
      </c>
      <c r="O65" s="433">
        <v>1984.0</v>
      </c>
      <c r="P65" s="433" t="s">
        <v>388</v>
      </c>
      <c r="Q65" s="433">
        <v>1.0</v>
      </c>
    </row>
    <row r="66" ht="33.0" customHeight="1">
      <c r="B66" s="433">
        <v>61.0</v>
      </c>
      <c r="C66" s="433"/>
      <c r="D66" s="433"/>
      <c r="E66" s="434" t="s">
        <v>22331</v>
      </c>
      <c r="F66" s="433" t="s">
        <v>22255</v>
      </c>
      <c r="G66" s="433" t="s">
        <v>29</v>
      </c>
      <c r="H66" s="433" t="s">
        <v>2743</v>
      </c>
      <c r="I66" s="433"/>
      <c r="J66" s="433" t="s">
        <v>22076</v>
      </c>
      <c r="K66" s="433">
        <v>89.0</v>
      </c>
      <c r="L66" s="433"/>
      <c r="M66" s="433"/>
      <c r="N66" s="433" t="s">
        <v>4836</v>
      </c>
      <c r="O66" s="433">
        <v>1971.0</v>
      </c>
      <c r="P66" s="433" t="s">
        <v>388</v>
      </c>
      <c r="Q66" s="433">
        <v>2.0</v>
      </c>
    </row>
    <row r="67" ht="15.75" customHeight="1">
      <c r="B67" s="433">
        <v>62.0</v>
      </c>
      <c r="C67" s="433"/>
      <c r="D67" s="433"/>
      <c r="E67" s="434" t="s">
        <v>22332</v>
      </c>
      <c r="F67" s="433" t="s">
        <v>22255</v>
      </c>
      <c r="G67" s="433" t="s">
        <v>29</v>
      </c>
      <c r="H67" s="433" t="s">
        <v>2743</v>
      </c>
      <c r="I67" s="433"/>
      <c r="J67" s="433" t="s">
        <v>22076</v>
      </c>
      <c r="K67" s="433">
        <v>28.0</v>
      </c>
      <c r="L67" s="433" t="s">
        <v>22333</v>
      </c>
      <c r="M67" s="433"/>
      <c r="N67" s="433" t="s">
        <v>22330</v>
      </c>
      <c r="O67" s="433">
        <v>1979.0</v>
      </c>
      <c r="P67" s="433" t="s">
        <v>388</v>
      </c>
      <c r="Q67" s="433">
        <v>1.0</v>
      </c>
    </row>
    <row r="68" ht="15.75" customHeight="1">
      <c r="B68" s="433">
        <v>63.0</v>
      </c>
      <c r="C68" s="433"/>
      <c r="D68" s="433"/>
      <c r="E68" s="434" t="s">
        <v>22334</v>
      </c>
      <c r="F68" s="433" t="s">
        <v>22255</v>
      </c>
      <c r="G68" s="433" t="s">
        <v>29</v>
      </c>
      <c r="H68" s="433" t="s">
        <v>2743</v>
      </c>
      <c r="I68" s="433"/>
      <c r="J68" s="433" t="s">
        <v>22076</v>
      </c>
      <c r="K68" s="433">
        <v>86.0</v>
      </c>
      <c r="L68" s="433"/>
      <c r="M68" s="433"/>
      <c r="N68" s="433" t="s">
        <v>22191</v>
      </c>
      <c r="O68" s="433">
        <v>1964.0</v>
      </c>
      <c r="P68" s="433" t="s">
        <v>388</v>
      </c>
      <c r="Q68" s="433">
        <v>1.0</v>
      </c>
    </row>
    <row r="69" ht="15.75" customHeight="1">
      <c r="B69" s="433">
        <v>64.0</v>
      </c>
      <c r="C69" s="433"/>
      <c r="D69" s="433"/>
      <c r="E69" s="434" t="s">
        <v>22335</v>
      </c>
      <c r="F69" s="433" t="s">
        <v>22255</v>
      </c>
      <c r="G69" s="433" t="s">
        <v>29</v>
      </c>
      <c r="H69" s="433" t="s">
        <v>2743</v>
      </c>
      <c r="I69" s="433"/>
      <c r="J69" s="433" t="s">
        <v>22076</v>
      </c>
      <c r="K69" s="433">
        <v>26.0</v>
      </c>
      <c r="L69" s="433"/>
      <c r="M69" s="433"/>
      <c r="N69" s="433" t="s">
        <v>4836</v>
      </c>
      <c r="O69" s="433">
        <v>1988.0</v>
      </c>
      <c r="P69" s="433" t="s">
        <v>388</v>
      </c>
      <c r="Q69" s="433">
        <v>1.0</v>
      </c>
    </row>
    <row r="70" ht="15.75" customHeight="1">
      <c r="B70" s="433">
        <v>65.0</v>
      </c>
      <c r="C70" s="433"/>
      <c r="D70" s="433"/>
      <c r="E70" s="434" t="s">
        <v>22336</v>
      </c>
      <c r="F70" s="433" t="s">
        <v>22255</v>
      </c>
      <c r="G70" s="433" t="s">
        <v>29</v>
      </c>
      <c r="H70" s="433" t="s">
        <v>22337</v>
      </c>
      <c r="I70" s="433"/>
      <c r="J70" s="433" t="s">
        <v>166</v>
      </c>
      <c r="K70" s="433"/>
      <c r="L70" s="433"/>
      <c r="M70" s="433" t="s">
        <v>20980</v>
      </c>
      <c r="N70" s="433" t="s">
        <v>4836</v>
      </c>
      <c r="O70" s="433">
        <v>1973.0</v>
      </c>
      <c r="P70" s="433" t="s">
        <v>388</v>
      </c>
      <c r="Q70" s="433">
        <v>3.0</v>
      </c>
    </row>
    <row r="71" ht="15.75" customHeight="1">
      <c r="B71" s="433">
        <v>66.0</v>
      </c>
      <c r="C71" s="433"/>
      <c r="D71" s="433"/>
      <c r="E71" s="434" t="s">
        <v>22338</v>
      </c>
      <c r="F71" s="433" t="s">
        <v>22255</v>
      </c>
      <c r="G71" s="433" t="s">
        <v>29</v>
      </c>
      <c r="H71" s="433" t="s">
        <v>22337</v>
      </c>
      <c r="I71" s="433"/>
      <c r="J71" s="433" t="s">
        <v>166</v>
      </c>
      <c r="K71" s="433"/>
      <c r="L71" s="433"/>
      <c r="M71" s="433" t="s">
        <v>20980</v>
      </c>
      <c r="N71" s="433" t="s">
        <v>4836</v>
      </c>
      <c r="O71" s="433">
        <v>1973.0</v>
      </c>
      <c r="P71" s="433" t="s">
        <v>388</v>
      </c>
      <c r="Q71" s="433">
        <v>4.0</v>
      </c>
    </row>
    <row r="72" ht="15.75" customHeight="1">
      <c r="B72" s="433">
        <v>67.0</v>
      </c>
      <c r="C72" s="433"/>
      <c r="D72" s="433"/>
      <c r="E72" s="434" t="s">
        <v>22339</v>
      </c>
      <c r="F72" s="433" t="s">
        <v>22255</v>
      </c>
      <c r="G72" s="433" t="s">
        <v>29</v>
      </c>
      <c r="H72" s="433" t="s">
        <v>2743</v>
      </c>
      <c r="I72" s="433"/>
      <c r="J72" s="433" t="s">
        <v>166</v>
      </c>
      <c r="K72" s="433">
        <v>101.0</v>
      </c>
      <c r="L72" s="433" t="s">
        <v>10580</v>
      </c>
      <c r="M72" s="433"/>
      <c r="N72" s="433" t="s">
        <v>4836</v>
      </c>
      <c r="O72" s="433">
        <v>1992.0</v>
      </c>
      <c r="P72" s="433" t="s">
        <v>388</v>
      </c>
      <c r="Q72" s="433">
        <v>1.0</v>
      </c>
    </row>
    <row r="73" ht="15.75" customHeight="1">
      <c r="B73" s="433">
        <v>68.0</v>
      </c>
      <c r="C73" s="433"/>
      <c r="D73" s="433"/>
      <c r="E73" s="434" t="s">
        <v>22340</v>
      </c>
      <c r="F73" s="433" t="s">
        <v>22255</v>
      </c>
      <c r="G73" s="433" t="s">
        <v>29</v>
      </c>
      <c r="H73" s="433" t="s">
        <v>2743</v>
      </c>
      <c r="I73" s="433"/>
      <c r="J73" s="433" t="s">
        <v>166</v>
      </c>
      <c r="K73" s="433">
        <v>197.0</v>
      </c>
      <c r="L73" s="433" t="s">
        <v>3372</v>
      </c>
      <c r="M73" s="433"/>
      <c r="N73" s="433" t="s">
        <v>22341</v>
      </c>
      <c r="O73" s="433">
        <v>1967.0</v>
      </c>
      <c r="P73" s="433" t="s">
        <v>388</v>
      </c>
      <c r="Q73" s="433">
        <v>1.0</v>
      </c>
    </row>
    <row r="74" ht="15.75" customHeight="1">
      <c r="B74" s="433">
        <v>69.0</v>
      </c>
      <c r="C74" s="433"/>
      <c r="D74" s="433"/>
      <c r="E74" s="434" t="s">
        <v>22342</v>
      </c>
      <c r="F74" s="433" t="s">
        <v>22255</v>
      </c>
      <c r="G74" s="433" t="s">
        <v>29</v>
      </c>
      <c r="H74" s="433" t="s">
        <v>15304</v>
      </c>
      <c r="I74" s="433"/>
      <c r="J74" s="433" t="s">
        <v>166</v>
      </c>
      <c r="K74" s="433">
        <v>30.0</v>
      </c>
      <c r="L74" s="433"/>
      <c r="M74" s="433"/>
      <c r="N74" s="433" t="s">
        <v>22174</v>
      </c>
      <c r="O74" s="433">
        <v>1998.0</v>
      </c>
      <c r="P74" s="433" t="s">
        <v>388</v>
      </c>
      <c r="Q74" s="433">
        <v>1.0</v>
      </c>
    </row>
    <row r="75" ht="15.75" customHeight="1">
      <c r="B75" s="433">
        <v>70.0</v>
      </c>
      <c r="C75" s="433"/>
      <c r="D75" s="433"/>
      <c r="E75" s="434" t="s">
        <v>22343</v>
      </c>
      <c r="F75" s="433" t="s">
        <v>22255</v>
      </c>
      <c r="G75" s="433" t="s">
        <v>29</v>
      </c>
      <c r="H75" s="433" t="s">
        <v>2743</v>
      </c>
      <c r="I75" s="433"/>
      <c r="J75" s="577" t="s">
        <v>22156</v>
      </c>
      <c r="K75" s="433">
        <v>57.0</v>
      </c>
      <c r="L75" s="433"/>
      <c r="M75" s="433" t="s">
        <v>13582</v>
      </c>
      <c r="N75" s="433" t="s">
        <v>4836</v>
      </c>
      <c r="O75" s="433">
        <v>1976.0</v>
      </c>
      <c r="P75" s="433" t="s">
        <v>388</v>
      </c>
      <c r="Q75" s="433">
        <v>1.0</v>
      </c>
    </row>
    <row r="76" ht="15.75" customHeight="1">
      <c r="B76" s="433">
        <v>71.0</v>
      </c>
      <c r="C76" s="433"/>
      <c r="D76" s="433"/>
      <c r="E76" s="434" t="s">
        <v>22344</v>
      </c>
      <c r="F76" s="433" t="s">
        <v>22255</v>
      </c>
      <c r="G76" s="433" t="s">
        <v>29</v>
      </c>
      <c r="H76" s="433" t="s">
        <v>22337</v>
      </c>
      <c r="I76" s="433"/>
      <c r="J76" s="433"/>
      <c r="K76" s="433">
        <v>415.0</v>
      </c>
      <c r="L76" s="433"/>
      <c r="M76" s="433"/>
      <c r="N76" s="433" t="s">
        <v>22330</v>
      </c>
      <c r="O76" s="433">
        <v>1958.0</v>
      </c>
      <c r="P76" s="433" t="s">
        <v>388</v>
      </c>
      <c r="Q76" s="433">
        <v>1.0</v>
      </c>
    </row>
    <row r="77" ht="15.75" customHeight="1">
      <c r="B77" s="433">
        <v>72.0</v>
      </c>
      <c r="C77" s="433"/>
      <c r="D77" s="433"/>
      <c r="E77" s="434" t="s">
        <v>22345</v>
      </c>
      <c r="F77" s="433" t="s">
        <v>22255</v>
      </c>
      <c r="G77" s="433" t="s">
        <v>29</v>
      </c>
      <c r="H77" s="433" t="s">
        <v>2743</v>
      </c>
      <c r="I77" s="433"/>
      <c r="J77" s="433" t="s">
        <v>38</v>
      </c>
      <c r="K77" s="433">
        <v>16.0</v>
      </c>
      <c r="L77" s="433"/>
      <c r="M77" s="433" t="s">
        <v>22160</v>
      </c>
      <c r="N77" s="433" t="s">
        <v>4836</v>
      </c>
      <c r="O77" s="433">
        <v>1998.0</v>
      </c>
      <c r="P77" s="433" t="s">
        <v>388</v>
      </c>
      <c r="Q77" s="433">
        <v>1.0</v>
      </c>
    </row>
    <row r="78" ht="15.75" customHeight="1">
      <c r="B78" s="433">
        <v>73.0</v>
      </c>
      <c r="C78" s="433"/>
      <c r="D78" s="433"/>
      <c r="E78" s="434" t="s">
        <v>22346</v>
      </c>
      <c r="F78" s="433" t="s">
        <v>22255</v>
      </c>
      <c r="G78" s="433" t="s">
        <v>29</v>
      </c>
      <c r="H78" s="433" t="s">
        <v>15304</v>
      </c>
      <c r="I78" s="433"/>
      <c r="J78" s="433" t="s">
        <v>15304</v>
      </c>
      <c r="K78" s="433">
        <v>16.0</v>
      </c>
      <c r="L78" s="433"/>
      <c r="M78" s="433" t="s">
        <v>22160</v>
      </c>
      <c r="N78" s="433" t="s">
        <v>22174</v>
      </c>
      <c r="O78" s="433">
        <v>1996.0</v>
      </c>
      <c r="P78" s="433" t="s">
        <v>388</v>
      </c>
      <c r="Q78" s="433">
        <v>9.0</v>
      </c>
    </row>
    <row r="79" ht="15.75" customHeight="1">
      <c r="B79" s="433">
        <v>74.0</v>
      </c>
      <c r="C79" s="433"/>
      <c r="D79" s="433"/>
      <c r="E79" s="434" t="s">
        <v>22289</v>
      </c>
      <c r="F79" s="433" t="s">
        <v>22255</v>
      </c>
      <c r="G79" s="433" t="s">
        <v>29</v>
      </c>
      <c r="H79" s="433" t="s">
        <v>22290</v>
      </c>
      <c r="I79" s="433"/>
      <c r="J79" s="433" t="s">
        <v>22291</v>
      </c>
      <c r="K79" s="433">
        <v>70.0</v>
      </c>
      <c r="L79" s="433"/>
      <c r="M79" s="433"/>
      <c r="N79" s="433"/>
      <c r="O79" s="451"/>
      <c r="P79" s="433" t="s">
        <v>388</v>
      </c>
      <c r="Q79" s="342">
        <v>1.0</v>
      </c>
    </row>
    <row r="80" ht="15.75" customHeight="1">
      <c r="B80" s="433">
        <v>75.0</v>
      </c>
      <c r="C80" s="433"/>
      <c r="D80" s="433"/>
      <c r="E80" s="434" t="s">
        <v>22292</v>
      </c>
      <c r="F80" s="433" t="s">
        <v>22255</v>
      </c>
      <c r="G80" s="433" t="s">
        <v>29</v>
      </c>
      <c r="H80" s="433" t="s">
        <v>22293</v>
      </c>
      <c r="I80" s="433"/>
      <c r="J80" s="433" t="s">
        <v>22293</v>
      </c>
      <c r="K80" s="433">
        <v>94.0</v>
      </c>
      <c r="L80" s="433"/>
      <c r="M80" s="433"/>
      <c r="N80" s="433"/>
      <c r="O80" s="451"/>
      <c r="P80" s="433" t="s">
        <v>388</v>
      </c>
      <c r="Q80" s="342">
        <v>1.0</v>
      </c>
    </row>
    <row r="81" ht="15.75" customHeight="1">
      <c r="B81" s="433">
        <v>76.0</v>
      </c>
      <c r="C81" s="433"/>
      <c r="D81" s="433"/>
      <c r="E81" s="434" t="s">
        <v>22294</v>
      </c>
      <c r="F81" s="433" t="s">
        <v>22255</v>
      </c>
      <c r="G81" s="433" t="s">
        <v>29</v>
      </c>
      <c r="H81" s="433" t="s">
        <v>1032</v>
      </c>
      <c r="I81" s="433"/>
      <c r="J81" s="433" t="s">
        <v>1032</v>
      </c>
      <c r="K81" s="433">
        <v>25.0</v>
      </c>
      <c r="L81" s="433"/>
      <c r="M81" s="433"/>
      <c r="N81" s="433"/>
      <c r="O81" s="451"/>
      <c r="P81" s="433" t="s">
        <v>388</v>
      </c>
      <c r="Q81" s="342">
        <v>1.0</v>
      </c>
    </row>
    <row r="82" ht="15.75" customHeight="1">
      <c r="B82" s="433">
        <v>77.0</v>
      </c>
      <c r="C82" s="433"/>
      <c r="D82" s="433"/>
      <c r="E82" s="434" t="s">
        <v>22295</v>
      </c>
      <c r="F82" s="433" t="s">
        <v>22255</v>
      </c>
      <c r="G82" s="433" t="s">
        <v>29</v>
      </c>
      <c r="H82" s="433" t="s">
        <v>1032</v>
      </c>
      <c r="I82" s="433"/>
      <c r="J82" s="433" t="s">
        <v>1032</v>
      </c>
      <c r="K82" s="433">
        <v>168.0</v>
      </c>
      <c r="L82" s="433"/>
      <c r="M82" s="433"/>
      <c r="N82" s="433"/>
      <c r="O82" s="451"/>
      <c r="P82" s="433" t="s">
        <v>388</v>
      </c>
      <c r="Q82" s="342">
        <v>1.0</v>
      </c>
    </row>
    <row r="83" ht="15.75" customHeight="1">
      <c r="B83" s="433">
        <v>78.0</v>
      </c>
      <c r="C83" s="433"/>
      <c r="D83" s="433"/>
      <c r="E83" s="434" t="s">
        <v>22347</v>
      </c>
      <c r="F83" s="433" t="s">
        <v>22255</v>
      </c>
      <c r="G83" s="433" t="s">
        <v>29</v>
      </c>
      <c r="H83" s="433" t="s">
        <v>1032</v>
      </c>
      <c r="I83" s="433"/>
      <c r="J83" s="433" t="s">
        <v>1032</v>
      </c>
      <c r="K83" s="433">
        <v>117.0</v>
      </c>
      <c r="L83" s="433"/>
      <c r="M83" s="433"/>
      <c r="N83" s="433"/>
      <c r="O83" s="451"/>
      <c r="P83" s="433" t="s">
        <v>388</v>
      </c>
      <c r="Q83" s="342">
        <v>1.0</v>
      </c>
    </row>
    <row r="84" ht="15.75" customHeight="1">
      <c r="B84" s="433">
        <v>79.0</v>
      </c>
      <c r="C84" s="433"/>
      <c r="D84" s="433"/>
      <c r="E84" s="434" t="s">
        <v>22348</v>
      </c>
      <c r="F84" s="433" t="s">
        <v>22255</v>
      </c>
      <c r="G84" s="433" t="s">
        <v>29</v>
      </c>
      <c r="H84" s="433" t="s">
        <v>1032</v>
      </c>
      <c r="I84" s="433"/>
      <c r="J84" s="433" t="s">
        <v>1032</v>
      </c>
      <c r="K84" s="433">
        <v>69.0</v>
      </c>
      <c r="L84" s="433"/>
      <c r="M84" s="433"/>
      <c r="N84" s="433"/>
      <c r="O84" s="451"/>
      <c r="P84" s="433" t="s">
        <v>388</v>
      </c>
      <c r="Q84" s="342">
        <v>1.0</v>
      </c>
    </row>
    <row r="85" ht="15.75" customHeight="1">
      <c r="B85" s="433">
        <v>80.0</v>
      </c>
      <c r="C85" s="433"/>
      <c r="D85" s="433"/>
      <c r="E85" s="434" t="s">
        <v>22298</v>
      </c>
      <c r="F85" s="433" t="s">
        <v>22255</v>
      </c>
      <c r="G85" s="433" t="s">
        <v>29</v>
      </c>
      <c r="H85" s="433" t="s">
        <v>15304</v>
      </c>
      <c r="I85" s="433"/>
      <c r="J85" s="433" t="s">
        <v>15304</v>
      </c>
      <c r="K85" s="433">
        <v>16.0</v>
      </c>
      <c r="L85" s="433"/>
      <c r="M85" s="433"/>
      <c r="N85" s="433"/>
      <c r="O85" s="451"/>
      <c r="P85" s="433" t="s">
        <v>388</v>
      </c>
      <c r="Q85" s="342">
        <v>1.0</v>
      </c>
    </row>
    <row r="86" ht="15.75" customHeight="1">
      <c r="B86" s="433">
        <v>81.0</v>
      </c>
      <c r="C86" s="433"/>
      <c r="D86" s="433"/>
      <c r="E86" s="434" t="s">
        <v>22299</v>
      </c>
      <c r="F86" s="433" t="s">
        <v>22255</v>
      </c>
      <c r="G86" s="433" t="s">
        <v>29</v>
      </c>
      <c r="H86" s="433" t="s">
        <v>15304</v>
      </c>
      <c r="I86" s="433"/>
      <c r="J86" s="433" t="s">
        <v>15304</v>
      </c>
      <c r="K86" s="433">
        <v>16.0</v>
      </c>
      <c r="L86" s="433"/>
      <c r="M86" s="433"/>
      <c r="N86" s="433"/>
      <c r="O86" s="451"/>
      <c r="P86" s="433" t="s">
        <v>388</v>
      </c>
      <c r="Q86" s="342">
        <v>1.0</v>
      </c>
    </row>
    <row r="87" ht="15.75" customHeight="1">
      <c r="B87" s="433">
        <v>82.0</v>
      </c>
      <c r="C87" s="433"/>
      <c r="D87" s="433"/>
      <c r="E87" s="434" t="s">
        <v>22300</v>
      </c>
      <c r="F87" s="433" t="s">
        <v>22255</v>
      </c>
      <c r="G87" s="433" t="s">
        <v>29</v>
      </c>
      <c r="H87" s="433" t="s">
        <v>15304</v>
      </c>
      <c r="I87" s="433"/>
      <c r="J87" s="433" t="s">
        <v>15304</v>
      </c>
      <c r="K87" s="433">
        <v>16.0</v>
      </c>
      <c r="L87" s="433"/>
      <c r="M87" s="433"/>
      <c r="N87" s="433"/>
      <c r="O87" s="451"/>
      <c r="P87" s="433" t="s">
        <v>388</v>
      </c>
      <c r="Q87" s="342">
        <v>1.0</v>
      </c>
    </row>
    <row r="88" ht="15.75" customHeight="1">
      <c r="B88" s="433">
        <v>83.0</v>
      </c>
      <c r="C88" s="433"/>
      <c r="D88" s="433"/>
      <c r="E88" s="434" t="s">
        <v>22301</v>
      </c>
      <c r="F88" s="433" t="s">
        <v>22255</v>
      </c>
      <c r="G88" s="433" t="s">
        <v>29</v>
      </c>
      <c r="H88" s="433" t="s">
        <v>15304</v>
      </c>
      <c r="I88" s="433"/>
      <c r="J88" s="433" t="s">
        <v>22302</v>
      </c>
      <c r="K88" s="433">
        <v>16.0</v>
      </c>
      <c r="L88" s="433"/>
      <c r="M88" s="433"/>
      <c r="N88" s="433"/>
      <c r="O88" s="451"/>
      <c r="P88" s="433" t="s">
        <v>388</v>
      </c>
      <c r="Q88" s="342">
        <v>1.0</v>
      </c>
    </row>
    <row r="89" ht="15.75" customHeight="1">
      <c r="B89" s="433">
        <v>84.0</v>
      </c>
      <c r="C89" s="433"/>
      <c r="D89" s="433"/>
      <c r="E89" s="434" t="s">
        <v>22303</v>
      </c>
      <c r="F89" s="433" t="s">
        <v>22255</v>
      </c>
      <c r="G89" s="433" t="s">
        <v>29</v>
      </c>
      <c r="H89" s="433" t="s">
        <v>15304</v>
      </c>
      <c r="I89" s="433"/>
      <c r="J89" s="433" t="s">
        <v>22302</v>
      </c>
      <c r="K89" s="433">
        <v>16.0</v>
      </c>
      <c r="L89" s="433"/>
      <c r="M89" s="450"/>
      <c r="N89" s="433"/>
      <c r="O89" s="451"/>
      <c r="P89" s="433" t="s">
        <v>388</v>
      </c>
      <c r="Q89" s="342">
        <v>1.0</v>
      </c>
    </row>
    <row r="90" ht="15.75" customHeight="1">
      <c r="B90" s="433">
        <v>85.0</v>
      </c>
      <c r="C90" s="433"/>
      <c r="D90" s="433"/>
      <c r="E90" s="434" t="s">
        <v>22304</v>
      </c>
      <c r="F90" s="433" t="s">
        <v>22255</v>
      </c>
      <c r="G90" s="433" t="s">
        <v>29</v>
      </c>
      <c r="H90" s="433" t="s">
        <v>15304</v>
      </c>
      <c r="I90" s="433"/>
      <c r="J90" s="433" t="s">
        <v>22302</v>
      </c>
      <c r="K90" s="433">
        <v>24.0</v>
      </c>
      <c r="L90" s="433"/>
      <c r="M90" s="450"/>
      <c r="N90" s="433"/>
      <c r="O90" s="451"/>
      <c r="P90" s="433" t="s">
        <v>388</v>
      </c>
      <c r="Q90" s="342">
        <v>1.0</v>
      </c>
    </row>
    <row r="91" ht="15.75" customHeight="1">
      <c r="B91" s="433">
        <v>86.0</v>
      </c>
      <c r="C91" s="433"/>
      <c r="D91" s="433"/>
      <c r="E91" s="434" t="s">
        <v>22305</v>
      </c>
      <c r="F91" s="433" t="s">
        <v>22255</v>
      </c>
      <c r="G91" s="433" t="s">
        <v>29</v>
      </c>
      <c r="H91" s="433" t="s">
        <v>2743</v>
      </c>
      <c r="I91" s="433"/>
      <c r="J91" s="433" t="s">
        <v>22076</v>
      </c>
      <c r="K91" s="433">
        <v>29.0</v>
      </c>
      <c r="L91" s="433"/>
      <c r="M91" s="450"/>
      <c r="N91" s="433"/>
      <c r="O91" s="451"/>
      <c r="P91" s="433" t="s">
        <v>388</v>
      </c>
      <c r="Q91" s="342">
        <v>1.0</v>
      </c>
    </row>
    <row r="92" ht="15.75" customHeight="1">
      <c r="B92" s="433">
        <v>87.0</v>
      </c>
      <c r="C92" s="433"/>
      <c r="D92" s="433"/>
      <c r="E92" s="434" t="s">
        <v>22306</v>
      </c>
      <c r="F92" s="433" t="s">
        <v>22255</v>
      </c>
      <c r="G92" s="433" t="s">
        <v>29</v>
      </c>
      <c r="H92" s="433" t="s">
        <v>2743</v>
      </c>
      <c r="I92" s="433"/>
      <c r="J92" s="433" t="s">
        <v>22076</v>
      </c>
      <c r="K92" s="433">
        <v>72.0</v>
      </c>
      <c r="L92" s="433"/>
      <c r="M92" s="450"/>
      <c r="N92" s="433"/>
      <c r="O92" s="451"/>
      <c r="P92" s="433" t="s">
        <v>388</v>
      </c>
      <c r="Q92" s="342">
        <v>1.0</v>
      </c>
    </row>
    <row r="93" ht="15.75" customHeight="1">
      <c r="B93" s="433">
        <v>88.0</v>
      </c>
      <c r="C93" s="433" t="s">
        <v>22308</v>
      </c>
      <c r="D93" s="433"/>
      <c r="E93" s="434" t="s">
        <v>22309</v>
      </c>
      <c r="F93" s="433" t="s">
        <v>22255</v>
      </c>
      <c r="G93" s="433" t="s">
        <v>29</v>
      </c>
      <c r="H93" s="433" t="s">
        <v>2743</v>
      </c>
      <c r="I93" s="433"/>
      <c r="J93" s="433" t="s">
        <v>22076</v>
      </c>
      <c r="K93" s="433">
        <v>119.0</v>
      </c>
      <c r="L93" s="433"/>
      <c r="M93" s="450"/>
      <c r="N93" s="433"/>
      <c r="O93" s="451"/>
      <c r="P93" s="433" t="s">
        <v>388</v>
      </c>
      <c r="Q93" s="342">
        <v>1.0</v>
      </c>
    </row>
    <row r="94" ht="15.75" customHeight="1">
      <c r="B94" s="433">
        <v>89.0</v>
      </c>
      <c r="C94" s="433"/>
      <c r="D94" s="433"/>
      <c r="E94" s="434" t="s">
        <v>18432</v>
      </c>
      <c r="F94" s="433" t="s">
        <v>22255</v>
      </c>
      <c r="G94" s="433" t="s">
        <v>29</v>
      </c>
      <c r="H94" s="433" t="s">
        <v>2743</v>
      </c>
      <c r="I94" s="433"/>
      <c r="J94" s="433" t="s">
        <v>22076</v>
      </c>
      <c r="K94" s="433">
        <v>156.0</v>
      </c>
      <c r="L94" s="433"/>
      <c r="M94" s="450"/>
      <c r="N94" s="433"/>
      <c r="O94" s="451"/>
      <c r="P94" s="433" t="s">
        <v>388</v>
      </c>
      <c r="Q94" s="342">
        <v>1.0</v>
      </c>
    </row>
    <row r="95" ht="15.75" customHeight="1">
      <c r="B95" s="433">
        <v>90.0</v>
      </c>
      <c r="C95" s="433"/>
      <c r="D95" s="433"/>
      <c r="E95" s="434" t="s">
        <v>22310</v>
      </c>
      <c r="F95" s="433" t="s">
        <v>22255</v>
      </c>
      <c r="G95" s="433" t="s">
        <v>29</v>
      </c>
      <c r="H95" s="433" t="s">
        <v>2743</v>
      </c>
      <c r="I95" s="433"/>
      <c r="J95" s="433" t="s">
        <v>22076</v>
      </c>
      <c r="K95" s="433">
        <v>80.0</v>
      </c>
      <c r="L95" s="433"/>
      <c r="M95" s="450"/>
      <c r="N95" s="433"/>
      <c r="O95" s="451"/>
      <c r="P95" s="433" t="s">
        <v>388</v>
      </c>
      <c r="Q95" s="342">
        <v>1.0</v>
      </c>
    </row>
    <row r="96" ht="15.75" customHeight="1">
      <c r="B96" s="433">
        <v>91.0</v>
      </c>
      <c r="C96" s="433"/>
      <c r="D96" s="433"/>
      <c r="E96" s="434" t="s">
        <v>22311</v>
      </c>
      <c r="F96" s="433" t="s">
        <v>22255</v>
      </c>
      <c r="G96" s="433" t="s">
        <v>29</v>
      </c>
      <c r="H96" s="433" t="s">
        <v>2743</v>
      </c>
      <c r="I96" s="433"/>
      <c r="J96" s="433" t="s">
        <v>22076</v>
      </c>
      <c r="K96" s="433">
        <v>31.0</v>
      </c>
      <c r="L96" s="433"/>
      <c r="M96" s="450"/>
      <c r="N96" s="433"/>
      <c r="O96" s="451"/>
      <c r="P96" s="433" t="s">
        <v>388</v>
      </c>
      <c r="Q96" s="342">
        <v>1.0</v>
      </c>
    </row>
    <row r="97" ht="15.75" customHeight="1">
      <c r="B97" s="433">
        <v>92.0</v>
      </c>
      <c r="C97" s="433"/>
      <c r="D97" s="433"/>
      <c r="E97" s="434" t="s">
        <v>22312</v>
      </c>
      <c r="F97" s="433" t="s">
        <v>22255</v>
      </c>
      <c r="G97" s="433" t="s">
        <v>29</v>
      </c>
      <c r="H97" s="433" t="s">
        <v>2743</v>
      </c>
      <c r="I97" s="433"/>
      <c r="J97" s="433" t="s">
        <v>22076</v>
      </c>
      <c r="K97" s="433">
        <v>26.0</v>
      </c>
      <c r="L97" s="433"/>
      <c r="M97" s="450"/>
      <c r="N97" s="433"/>
      <c r="O97" s="451"/>
      <c r="P97" s="433" t="s">
        <v>388</v>
      </c>
      <c r="Q97" s="342">
        <v>1.0</v>
      </c>
    </row>
    <row r="98" ht="15.75" customHeight="1">
      <c r="B98" s="433">
        <v>93.0</v>
      </c>
      <c r="C98" s="433"/>
      <c r="D98" s="433"/>
      <c r="E98" s="434" t="s">
        <v>22313</v>
      </c>
      <c r="F98" s="433" t="s">
        <v>22255</v>
      </c>
      <c r="G98" s="433" t="s">
        <v>29</v>
      </c>
      <c r="H98" s="433" t="s">
        <v>2743</v>
      </c>
      <c r="I98" s="433"/>
      <c r="J98" s="433" t="s">
        <v>22076</v>
      </c>
      <c r="K98" s="433">
        <v>18.0</v>
      </c>
      <c r="L98" s="433"/>
      <c r="M98" s="450"/>
      <c r="N98" s="433"/>
      <c r="O98" s="451"/>
      <c r="P98" s="433" t="s">
        <v>388</v>
      </c>
      <c r="Q98" s="342">
        <v>1.0</v>
      </c>
    </row>
    <row r="99" ht="15.75" customHeight="1">
      <c r="B99" s="433">
        <v>94.0</v>
      </c>
      <c r="C99" s="433"/>
      <c r="D99" s="433"/>
      <c r="E99" s="434" t="s">
        <v>22314</v>
      </c>
      <c r="F99" s="433" t="s">
        <v>22255</v>
      </c>
      <c r="G99" s="433" t="s">
        <v>29</v>
      </c>
      <c r="H99" s="433" t="s">
        <v>2743</v>
      </c>
      <c r="I99" s="433"/>
      <c r="J99" s="433" t="s">
        <v>22076</v>
      </c>
      <c r="K99" s="433">
        <v>56.0</v>
      </c>
      <c r="L99" s="433"/>
      <c r="M99" s="450"/>
      <c r="N99" s="433"/>
      <c r="O99" s="451"/>
      <c r="P99" s="433" t="s">
        <v>388</v>
      </c>
      <c r="Q99" s="342">
        <v>1.0</v>
      </c>
    </row>
    <row r="100" ht="15.75" customHeight="1">
      <c r="B100" s="433">
        <v>95.0</v>
      </c>
      <c r="C100" s="433"/>
      <c r="D100" s="433"/>
      <c r="E100" s="434" t="s">
        <v>22315</v>
      </c>
      <c r="F100" s="433" t="s">
        <v>22255</v>
      </c>
      <c r="G100" s="433" t="s">
        <v>29</v>
      </c>
      <c r="H100" s="433" t="s">
        <v>2743</v>
      </c>
      <c r="I100" s="433"/>
      <c r="J100" s="433" t="s">
        <v>22076</v>
      </c>
      <c r="K100" s="433">
        <v>167.0</v>
      </c>
      <c r="L100" s="433"/>
      <c r="M100" s="450"/>
      <c r="N100" s="433"/>
      <c r="O100" s="451"/>
      <c r="P100" s="433" t="s">
        <v>388</v>
      </c>
      <c r="Q100" s="342">
        <v>1.0</v>
      </c>
    </row>
    <row r="101" ht="15.75" customHeight="1">
      <c r="B101" s="433">
        <v>96.0</v>
      </c>
      <c r="C101" s="433"/>
      <c r="D101" s="433"/>
      <c r="E101" s="434" t="s">
        <v>22316</v>
      </c>
      <c r="F101" s="433" t="s">
        <v>22255</v>
      </c>
      <c r="G101" s="433" t="s">
        <v>29</v>
      </c>
      <c r="H101" s="433" t="s">
        <v>2743</v>
      </c>
      <c r="I101" s="433"/>
      <c r="J101" s="433" t="s">
        <v>22076</v>
      </c>
      <c r="K101" s="433">
        <v>161.0</v>
      </c>
      <c r="L101" s="433"/>
      <c r="M101" s="450"/>
      <c r="N101" s="433"/>
      <c r="O101" s="451"/>
      <c r="P101" s="433" t="s">
        <v>388</v>
      </c>
      <c r="Q101" s="342">
        <v>1.0</v>
      </c>
    </row>
    <row r="102" ht="15.75" customHeight="1">
      <c r="B102" s="433">
        <v>97.0</v>
      </c>
      <c r="C102" s="433"/>
      <c r="D102" s="433"/>
      <c r="E102" s="434" t="s">
        <v>22317</v>
      </c>
      <c r="F102" s="433" t="s">
        <v>22255</v>
      </c>
      <c r="G102" s="433" t="s">
        <v>29</v>
      </c>
      <c r="H102" s="433" t="s">
        <v>2743</v>
      </c>
      <c r="I102" s="433"/>
      <c r="J102" s="433" t="s">
        <v>22076</v>
      </c>
      <c r="K102" s="433">
        <v>96.0</v>
      </c>
      <c r="L102" s="433"/>
      <c r="M102" s="450"/>
      <c r="N102" s="433"/>
      <c r="O102" s="451"/>
      <c r="P102" s="433" t="s">
        <v>388</v>
      </c>
      <c r="Q102" s="342">
        <v>1.0</v>
      </c>
    </row>
    <row r="103" ht="15.75" customHeight="1">
      <c r="B103" s="433">
        <v>98.0</v>
      </c>
      <c r="C103" s="433"/>
      <c r="D103" s="433"/>
      <c r="E103" s="434" t="s">
        <v>22319</v>
      </c>
      <c r="F103" s="433" t="s">
        <v>22255</v>
      </c>
      <c r="G103" s="433" t="s">
        <v>29</v>
      </c>
      <c r="H103" s="433" t="s">
        <v>2743</v>
      </c>
      <c r="I103" s="433"/>
      <c r="J103" s="433" t="s">
        <v>22076</v>
      </c>
      <c r="K103" s="433">
        <v>74.0</v>
      </c>
      <c r="L103" s="433"/>
      <c r="M103" s="450"/>
      <c r="N103" s="433"/>
      <c r="O103" s="451"/>
      <c r="P103" s="433" t="s">
        <v>388</v>
      </c>
      <c r="Q103" s="342">
        <v>1.0</v>
      </c>
    </row>
    <row r="104" ht="15.75" customHeight="1">
      <c r="B104" s="433">
        <v>99.0</v>
      </c>
      <c r="C104" s="433" t="s">
        <v>22320</v>
      </c>
      <c r="D104" s="433"/>
      <c r="E104" s="434" t="s">
        <v>22321</v>
      </c>
      <c r="F104" s="433" t="s">
        <v>22255</v>
      </c>
      <c r="G104" s="433" t="s">
        <v>29</v>
      </c>
      <c r="H104" s="433" t="s">
        <v>2743</v>
      </c>
      <c r="I104" s="433"/>
      <c r="J104" s="433" t="s">
        <v>22076</v>
      </c>
      <c r="K104" s="433">
        <v>89.0</v>
      </c>
      <c r="L104" s="433"/>
      <c r="M104" s="450"/>
      <c r="N104" s="433"/>
      <c r="O104" s="451"/>
      <c r="P104" s="433" t="s">
        <v>388</v>
      </c>
      <c r="Q104" s="342">
        <v>1.0</v>
      </c>
    </row>
    <row r="105" ht="15.75" customHeight="1">
      <c r="B105" s="433">
        <v>100.0</v>
      </c>
      <c r="C105" s="433"/>
      <c r="D105" s="433"/>
      <c r="E105" s="434" t="s">
        <v>22322</v>
      </c>
      <c r="F105" s="433" t="s">
        <v>22255</v>
      </c>
      <c r="G105" s="433" t="s">
        <v>29</v>
      </c>
      <c r="H105" s="433" t="s">
        <v>2743</v>
      </c>
      <c r="I105" s="433"/>
      <c r="J105" s="433" t="s">
        <v>22076</v>
      </c>
      <c r="K105" s="433">
        <v>64.0</v>
      </c>
      <c r="L105" s="433"/>
      <c r="M105" s="450"/>
      <c r="N105" s="433"/>
      <c r="O105" s="451"/>
      <c r="P105" s="433" t="s">
        <v>388</v>
      </c>
      <c r="Q105" s="342">
        <v>1.0</v>
      </c>
    </row>
    <row r="106" ht="15.75" customHeight="1">
      <c r="B106" s="433">
        <v>101.0</v>
      </c>
      <c r="C106" s="433"/>
      <c r="D106" s="433"/>
      <c r="E106" s="434" t="s">
        <v>22323</v>
      </c>
      <c r="F106" s="433" t="s">
        <v>22255</v>
      </c>
      <c r="G106" s="433" t="s">
        <v>29</v>
      </c>
      <c r="H106" s="433" t="s">
        <v>2743</v>
      </c>
      <c r="I106" s="433"/>
      <c r="J106" s="433" t="s">
        <v>22076</v>
      </c>
      <c r="K106" s="433">
        <v>42.0</v>
      </c>
      <c r="L106" s="433"/>
      <c r="M106" s="450"/>
      <c r="N106" s="433"/>
      <c r="O106" s="451"/>
      <c r="P106" s="433" t="s">
        <v>388</v>
      </c>
      <c r="Q106" s="342">
        <v>1.0</v>
      </c>
    </row>
    <row r="107" ht="15.75" customHeight="1">
      <c r="B107" s="433">
        <v>102.0</v>
      </c>
      <c r="C107" s="433"/>
      <c r="D107" s="433"/>
      <c r="E107" s="434" t="s">
        <v>22324</v>
      </c>
      <c r="F107" s="433" t="s">
        <v>22255</v>
      </c>
      <c r="G107" s="433" t="s">
        <v>29</v>
      </c>
      <c r="H107" s="433" t="s">
        <v>2743</v>
      </c>
      <c r="I107" s="433"/>
      <c r="J107" s="433" t="s">
        <v>22076</v>
      </c>
      <c r="K107" s="433">
        <v>80.0</v>
      </c>
      <c r="L107" s="433"/>
      <c r="M107" s="450"/>
      <c r="N107" s="433"/>
      <c r="O107" s="451"/>
      <c r="P107" s="433" t="s">
        <v>388</v>
      </c>
      <c r="Q107" s="342">
        <v>1.0</v>
      </c>
    </row>
    <row r="108" ht="15.75" customHeight="1">
      <c r="B108" s="433">
        <v>103.0</v>
      </c>
      <c r="C108" s="433"/>
      <c r="D108" s="433"/>
      <c r="E108" s="434" t="s">
        <v>22325</v>
      </c>
      <c r="F108" s="433" t="s">
        <v>22255</v>
      </c>
      <c r="G108" s="433" t="s">
        <v>29</v>
      </c>
      <c r="H108" s="433" t="s">
        <v>2743</v>
      </c>
      <c r="I108" s="433"/>
      <c r="J108" s="433" t="s">
        <v>22076</v>
      </c>
      <c r="K108" s="433">
        <v>73.0</v>
      </c>
      <c r="L108" s="433"/>
      <c r="M108" s="450"/>
      <c r="N108" s="433"/>
      <c r="O108" s="451"/>
      <c r="P108" s="433" t="s">
        <v>388</v>
      </c>
      <c r="Q108" s="342">
        <v>1.0</v>
      </c>
    </row>
    <row r="109" ht="15.75" customHeight="1">
      <c r="B109" s="433">
        <v>104.0</v>
      </c>
      <c r="C109" s="433"/>
      <c r="D109" s="433"/>
      <c r="E109" s="434" t="s">
        <v>22326</v>
      </c>
      <c r="F109" s="433" t="s">
        <v>22255</v>
      </c>
      <c r="G109" s="433" t="s">
        <v>29</v>
      </c>
      <c r="H109" s="433" t="s">
        <v>2743</v>
      </c>
      <c r="I109" s="433"/>
      <c r="J109" s="433" t="s">
        <v>22076</v>
      </c>
      <c r="K109" s="433">
        <v>42.0</v>
      </c>
      <c r="L109" s="433"/>
      <c r="M109" s="450"/>
      <c r="N109" s="433"/>
      <c r="O109" s="451"/>
      <c r="P109" s="433" t="s">
        <v>388</v>
      </c>
      <c r="Q109" s="342">
        <v>1.0</v>
      </c>
    </row>
    <row r="110" ht="15.75" customHeight="1">
      <c r="B110" s="433">
        <v>105.0</v>
      </c>
      <c r="C110" s="433"/>
      <c r="D110" s="433"/>
      <c r="E110" s="434" t="s">
        <v>22327</v>
      </c>
      <c r="F110" s="433" t="s">
        <v>22255</v>
      </c>
      <c r="G110" s="433" t="s">
        <v>29</v>
      </c>
      <c r="H110" s="433" t="s">
        <v>2743</v>
      </c>
      <c r="I110" s="433"/>
      <c r="J110" s="433" t="s">
        <v>22076</v>
      </c>
      <c r="K110" s="433">
        <v>37.0</v>
      </c>
      <c r="L110" s="433"/>
      <c r="M110" s="450"/>
      <c r="N110" s="433"/>
      <c r="O110" s="451"/>
      <c r="P110" s="433" t="s">
        <v>388</v>
      </c>
      <c r="Q110" s="342">
        <v>1.0</v>
      </c>
    </row>
    <row r="111" ht="15.75" customHeight="1">
      <c r="B111" s="433">
        <v>106.0</v>
      </c>
      <c r="C111" s="433"/>
      <c r="D111" s="433"/>
      <c r="E111" s="434" t="s">
        <v>22328</v>
      </c>
      <c r="F111" s="433" t="s">
        <v>22255</v>
      </c>
      <c r="G111" s="433" t="s">
        <v>29</v>
      </c>
      <c r="H111" s="433" t="s">
        <v>2743</v>
      </c>
      <c r="I111" s="433"/>
      <c r="J111" s="433" t="s">
        <v>22076</v>
      </c>
      <c r="K111" s="433">
        <v>67.0</v>
      </c>
      <c r="L111" s="433"/>
      <c r="M111" s="450"/>
      <c r="N111" s="433"/>
      <c r="O111" s="451"/>
      <c r="P111" s="433" t="s">
        <v>388</v>
      </c>
      <c r="Q111" s="342">
        <v>1.0</v>
      </c>
    </row>
    <row r="112" ht="15.75" customHeight="1">
      <c r="B112" s="433">
        <v>107.0</v>
      </c>
      <c r="C112" s="433"/>
      <c r="D112" s="433"/>
      <c r="E112" s="434" t="s">
        <v>22329</v>
      </c>
      <c r="F112" s="433" t="s">
        <v>22255</v>
      </c>
      <c r="G112" s="433" t="s">
        <v>29</v>
      </c>
      <c r="H112" s="433" t="s">
        <v>2743</v>
      </c>
      <c r="I112" s="433"/>
      <c r="J112" s="433" t="s">
        <v>22076</v>
      </c>
      <c r="K112" s="433">
        <v>32.0</v>
      </c>
      <c r="L112" s="433"/>
      <c r="M112" s="450"/>
      <c r="N112" s="433"/>
      <c r="O112" s="451"/>
      <c r="P112" s="433" t="s">
        <v>388</v>
      </c>
      <c r="Q112" s="342">
        <v>1.0</v>
      </c>
    </row>
    <row r="113" ht="15.75" customHeight="1">
      <c r="B113" s="433">
        <v>108.0</v>
      </c>
      <c r="C113" s="433"/>
      <c r="D113" s="433"/>
      <c r="E113" s="434" t="s">
        <v>22331</v>
      </c>
      <c r="F113" s="433" t="s">
        <v>22255</v>
      </c>
      <c r="G113" s="433" t="s">
        <v>29</v>
      </c>
      <c r="H113" s="433" t="s">
        <v>2743</v>
      </c>
      <c r="I113" s="433"/>
      <c r="J113" s="433" t="s">
        <v>22076</v>
      </c>
      <c r="K113" s="433">
        <v>89.0</v>
      </c>
      <c r="L113" s="433"/>
      <c r="M113" s="450"/>
      <c r="N113" s="433"/>
      <c r="O113" s="451"/>
      <c r="P113" s="433" t="s">
        <v>388</v>
      </c>
      <c r="Q113" s="342">
        <v>1.0</v>
      </c>
    </row>
    <row r="114" ht="15.75" customHeight="1">
      <c r="B114" s="433">
        <v>109.0</v>
      </c>
      <c r="C114" s="433"/>
      <c r="D114" s="433"/>
      <c r="E114" s="434" t="s">
        <v>22332</v>
      </c>
      <c r="F114" s="433" t="s">
        <v>22255</v>
      </c>
      <c r="G114" s="433" t="s">
        <v>29</v>
      </c>
      <c r="H114" s="433" t="s">
        <v>2743</v>
      </c>
      <c r="I114" s="433"/>
      <c r="J114" s="433" t="s">
        <v>22076</v>
      </c>
      <c r="K114" s="433">
        <v>28.0</v>
      </c>
      <c r="L114" s="433"/>
      <c r="M114" s="450"/>
      <c r="N114" s="433"/>
      <c r="O114" s="451"/>
      <c r="P114" s="433" t="s">
        <v>388</v>
      </c>
      <c r="Q114" s="342">
        <v>1.0</v>
      </c>
    </row>
    <row r="115" ht="15.75" customHeight="1">
      <c r="B115" s="433">
        <v>110.0</v>
      </c>
      <c r="C115" s="433"/>
      <c r="D115" s="433"/>
      <c r="E115" s="434" t="s">
        <v>22349</v>
      </c>
      <c r="F115" s="433" t="s">
        <v>22255</v>
      </c>
      <c r="G115" s="433" t="s">
        <v>29</v>
      </c>
      <c r="H115" s="433" t="s">
        <v>2743</v>
      </c>
      <c r="I115" s="433"/>
      <c r="J115" s="433" t="s">
        <v>22076</v>
      </c>
      <c r="K115" s="433">
        <v>86.0</v>
      </c>
      <c r="L115" s="433"/>
      <c r="M115" s="450"/>
      <c r="N115" s="433"/>
      <c r="O115" s="451"/>
      <c r="P115" s="433" t="s">
        <v>388</v>
      </c>
      <c r="Q115" s="342">
        <v>1.0</v>
      </c>
    </row>
    <row r="116" ht="15.75" customHeight="1">
      <c r="B116" s="433">
        <v>111.0</v>
      </c>
      <c r="C116" s="433"/>
      <c r="D116" s="433"/>
      <c r="E116" s="434" t="s">
        <v>22335</v>
      </c>
      <c r="F116" s="433" t="s">
        <v>22255</v>
      </c>
      <c r="G116" s="433" t="s">
        <v>29</v>
      </c>
      <c r="H116" s="433" t="s">
        <v>2743</v>
      </c>
      <c r="I116" s="433"/>
      <c r="J116" s="433" t="s">
        <v>22076</v>
      </c>
      <c r="K116" s="433">
        <v>26.0</v>
      </c>
      <c r="L116" s="433"/>
      <c r="M116" s="450"/>
      <c r="N116" s="433"/>
      <c r="O116" s="451"/>
      <c r="P116" s="433" t="s">
        <v>388</v>
      </c>
      <c r="Q116" s="342">
        <v>1.0</v>
      </c>
    </row>
    <row r="117" ht="15.75" customHeight="1">
      <c r="B117" s="433">
        <v>112.0</v>
      </c>
      <c r="C117" s="433"/>
      <c r="D117" s="433"/>
      <c r="E117" s="434" t="s">
        <v>22336</v>
      </c>
      <c r="F117" s="433" t="s">
        <v>22255</v>
      </c>
      <c r="G117" s="433" t="s">
        <v>29</v>
      </c>
      <c r="H117" s="433" t="s">
        <v>22337</v>
      </c>
      <c r="I117" s="433"/>
      <c r="J117" s="433" t="s">
        <v>166</v>
      </c>
      <c r="K117" s="433"/>
      <c r="L117" s="433"/>
      <c r="M117" s="450"/>
      <c r="N117" s="433"/>
      <c r="O117" s="451"/>
      <c r="P117" s="433" t="s">
        <v>388</v>
      </c>
      <c r="Q117" s="342">
        <v>1.0</v>
      </c>
    </row>
    <row r="118" ht="15.75" customHeight="1">
      <c r="B118" s="433">
        <v>113.0</v>
      </c>
      <c r="C118" s="433"/>
      <c r="D118" s="433"/>
      <c r="E118" s="434" t="s">
        <v>22338</v>
      </c>
      <c r="F118" s="433" t="s">
        <v>22255</v>
      </c>
      <c r="G118" s="433" t="s">
        <v>29</v>
      </c>
      <c r="H118" s="433" t="s">
        <v>22337</v>
      </c>
      <c r="I118" s="433"/>
      <c r="J118" s="433" t="s">
        <v>166</v>
      </c>
      <c r="K118" s="433"/>
      <c r="L118" s="433"/>
      <c r="M118" s="450"/>
      <c r="N118" s="433"/>
      <c r="O118" s="451"/>
      <c r="P118" s="433" t="s">
        <v>388</v>
      </c>
      <c r="Q118" s="342">
        <v>1.0</v>
      </c>
    </row>
    <row r="119" ht="15.75" customHeight="1">
      <c r="B119" s="433">
        <v>114.0</v>
      </c>
      <c r="C119" s="433"/>
      <c r="D119" s="433"/>
      <c r="E119" s="434" t="s">
        <v>22350</v>
      </c>
      <c r="F119" s="433" t="s">
        <v>22255</v>
      </c>
      <c r="G119" s="433" t="s">
        <v>29</v>
      </c>
      <c r="H119" s="433" t="s">
        <v>22351</v>
      </c>
      <c r="I119" s="433"/>
      <c r="J119" s="433" t="s">
        <v>22351</v>
      </c>
      <c r="K119" s="433">
        <v>161.0</v>
      </c>
      <c r="L119" s="433"/>
      <c r="M119" s="433"/>
      <c r="N119" s="433" t="s">
        <v>22352</v>
      </c>
      <c r="O119" s="433">
        <v>1984.0</v>
      </c>
      <c r="P119" s="433" t="s">
        <v>388</v>
      </c>
      <c r="Q119" s="433">
        <v>2.0</v>
      </c>
    </row>
    <row r="120" ht="15.75" customHeight="1">
      <c r="B120" s="433">
        <v>115.0</v>
      </c>
      <c r="C120" s="433"/>
      <c r="D120" s="433"/>
      <c r="E120" s="434" t="s">
        <v>22353</v>
      </c>
      <c r="F120" s="433" t="s">
        <v>22255</v>
      </c>
      <c r="G120" s="433" t="s">
        <v>29</v>
      </c>
      <c r="H120" s="433" t="s">
        <v>22354</v>
      </c>
      <c r="I120" s="433"/>
      <c r="J120" s="433" t="s">
        <v>16424</v>
      </c>
      <c r="K120" s="433">
        <v>32.0</v>
      </c>
      <c r="L120" s="433"/>
      <c r="M120" s="433"/>
      <c r="N120" s="433" t="s">
        <v>22355</v>
      </c>
      <c r="O120" s="433">
        <v>1978.0</v>
      </c>
      <c r="P120" s="433" t="s">
        <v>388</v>
      </c>
      <c r="Q120" s="433">
        <v>3.0</v>
      </c>
    </row>
    <row r="121" ht="15.75" customHeight="1">
      <c r="B121" s="433">
        <v>116.0</v>
      </c>
      <c r="C121" s="433" t="s">
        <v>22356</v>
      </c>
      <c r="D121" s="433"/>
      <c r="E121" s="434" t="s">
        <v>22357</v>
      </c>
      <c r="F121" s="433" t="s">
        <v>22255</v>
      </c>
      <c r="G121" s="433" t="s">
        <v>29</v>
      </c>
      <c r="H121" s="433" t="s">
        <v>22358</v>
      </c>
      <c r="I121" s="433"/>
      <c r="J121" s="433" t="s">
        <v>22358</v>
      </c>
      <c r="K121" s="433">
        <v>37.0</v>
      </c>
      <c r="L121" s="433"/>
      <c r="M121" s="433"/>
      <c r="N121" s="433" t="s">
        <v>15547</v>
      </c>
      <c r="O121" s="433">
        <v>1987.0</v>
      </c>
      <c r="P121" s="433" t="s">
        <v>388</v>
      </c>
      <c r="Q121" s="433">
        <v>1.0</v>
      </c>
    </row>
    <row r="122" ht="15.75" customHeight="1">
      <c r="A122" s="837"/>
      <c r="B122" s="490">
        <v>117.0</v>
      </c>
      <c r="C122" s="490"/>
      <c r="D122" s="490"/>
      <c r="E122" s="491" t="s">
        <v>3421</v>
      </c>
      <c r="F122" s="490" t="s">
        <v>22255</v>
      </c>
      <c r="G122" s="490" t="s">
        <v>29</v>
      </c>
      <c r="H122" s="490" t="s">
        <v>2179</v>
      </c>
      <c r="I122" s="490"/>
      <c r="J122" s="490" t="s">
        <v>22076</v>
      </c>
      <c r="K122" s="490">
        <v>211.0</v>
      </c>
      <c r="L122" s="490"/>
      <c r="M122" s="490"/>
      <c r="N122" s="490" t="s">
        <v>4836</v>
      </c>
      <c r="O122" s="490">
        <v>1970.0</v>
      </c>
      <c r="P122" s="490" t="s">
        <v>388</v>
      </c>
      <c r="Q122" s="490">
        <v>1.0</v>
      </c>
      <c r="R122" s="837"/>
      <c r="S122" s="837"/>
      <c r="T122" s="837"/>
      <c r="U122" s="837"/>
      <c r="V122" s="837"/>
      <c r="W122" s="837"/>
      <c r="X122" s="837"/>
      <c r="Y122" s="837"/>
      <c r="Z122" s="837"/>
    </row>
    <row r="123" ht="15.75" customHeight="1">
      <c r="B123" s="433">
        <v>118.0</v>
      </c>
      <c r="C123" s="433"/>
      <c r="D123" s="433"/>
      <c r="E123" s="434" t="s">
        <v>22359</v>
      </c>
      <c r="F123" s="433" t="s">
        <v>22255</v>
      </c>
      <c r="G123" s="433" t="s">
        <v>29</v>
      </c>
      <c r="H123" s="433" t="s">
        <v>13593</v>
      </c>
      <c r="I123" s="433"/>
      <c r="J123" s="433" t="s">
        <v>22076</v>
      </c>
      <c r="K123" s="433">
        <v>32.0</v>
      </c>
      <c r="L123" s="433"/>
      <c r="M123" s="433"/>
      <c r="N123" s="433" t="s">
        <v>22330</v>
      </c>
      <c r="O123" s="433">
        <v>1982.0</v>
      </c>
      <c r="P123" s="433" t="s">
        <v>388</v>
      </c>
      <c r="Q123" s="433">
        <v>3.0</v>
      </c>
    </row>
    <row r="124" ht="15.75" customHeight="1">
      <c r="B124" s="433">
        <v>119.0</v>
      </c>
      <c r="C124" s="433"/>
      <c r="D124" s="433"/>
      <c r="E124" s="434" t="s">
        <v>22360</v>
      </c>
      <c r="F124" s="433" t="s">
        <v>22255</v>
      </c>
      <c r="G124" s="433" t="s">
        <v>29</v>
      </c>
      <c r="H124" s="433" t="s">
        <v>13593</v>
      </c>
      <c r="I124" s="433"/>
      <c r="J124" s="433" t="s">
        <v>22076</v>
      </c>
      <c r="K124" s="433">
        <v>32.0</v>
      </c>
      <c r="L124" s="433"/>
      <c r="M124" s="433"/>
      <c r="N124" s="433" t="s">
        <v>22361</v>
      </c>
      <c r="O124" s="433">
        <v>2000.0</v>
      </c>
      <c r="P124" s="433" t="s">
        <v>388</v>
      </c>
      <c r="Q124" s="433">
        <v>1.0</v>
      </c>
    </row>
    <row r="125" ht="15.75" customHeight="1">
      <c r="B125" s="433">
        <v>120.0</v>
      </c>
      <c r="C125" s="433"/>
      <c r="D125" s="433"/>
      <c r="E125" s="434" t="s">
        <v>22362</v>
      </c>
      <c r="F125" s="433" t="s">
        <v>22255</v>
      </c>
      <c r="G125" s="433" t="s">
        <v>29</v>
      </c>
      <c r="H125" s="433" t="s">
        <v>13593</v>
      </c>
      <c r="I125" s="577"/>
      <c r="J125" s="433" t="s">
        <v>22076</v>
      </c>
      <c r="K125" s="433">
        <v>32.0</v>
      </c>
      <c r="L125" s="433"/>
      <c r="M125" s="433"/>
      <c r="N125" s="433" t="s">
        <v>22361</v>
      </c>
      <c r="O125" s="433">
        <v>1999.0</v>
      </c>
      <c r="P125" s="433" t="s">
        <v>388</v>
      </c>
      <c r="Q125" s="433">
        <v>2.0</v>
      </c>
    </row>
    <row r="126" ht="15.75" customHeight="1">
      <c r="B126" s="433">
        <v>121.0</v>
      </c>
      <c r="C126" s="433"/>
      <c r="D126" s="433"/>
      <c r="E126" s="434" t="s">
        <v>22363</v>
      </c>
      <c r="F126" s="433" t="s">
        <v>22255</v>
      </c>
      <c r="G126" s="433" t="s">
        <v>29</v>
      </c>
      <c r="H126" s="433" t="s">
        <v>13593</v>
      </c>
      <c r="I126" s="433"/>
      <c r="J126" s="433" t="s">
        <v>22076</v>
      </c>
      <c r="K126" s="433">
        <v>32.0</v>
      </c>
      <c r="L126" s="433"/>
      <c r="M126" s="433"/>
      <c r="N126" s="433" t="s">
        <v>22361</v>
      </c>
      <c r="O126" s="433">
        <v>1984.0</v>
      </c>
      <c r="P126" s="433" t="s">
        <v>388</v>
      </c>
      <c r="Q126" s="433">
        <v>1.0</v>
      </c>
    </row>
    <row r="127" ht="15.75" customHeight="1">
      <c r="B127" s="433">
        <v>122.0</v>
      </c>
      <c r="C127" s="433"/>
      <c r="D127" s="433"/>
      <c r="E127" s="434" t="s">
        <v>22364</v>
      </c>
      <c r="F127" s="433" t="s">
        <v>22255</v>
      </c>
      <c r="G127" s="433" t="s">
        <v>29</v>
      </c>
      <c r="H127" s="433" t="s">
        <v>13593</v>
      </c>
      <c r="I127" s="433"/>
      <c r="J127" s="433" t="s">
        <v>22076</v>
      </c>
      <c r="K127" s="433">
        <v>32.0</v>
      </c>
      <c r="L127" s="433"/>
      <c r="M127" s="433"/>
      <c r="N127" s="433" t="s">
        <v>22361</v>
      </c>
      <c r="O127" s="433">
        <v>1990.0</v>
      </c>
      <c r="P127" s="433" t="s">
        <v>388</v>
      </c>
      <c r="Q127" s="433">
        <v>1.0</v>
      </c>
    </row>
    <row r="128" ht="15.75" customHeight="1">
      <c r="B128" s="433">
        <v>123.0</v>
      </c>
      <c r="C128" s="433"/>
      <c r="D128" s="433"/>
      <c r="E128" s="434" t="s">
        <v>22365</v>
      </c>
      <c r="F128" s="433" t="s">
        <v>22255</v>
      </c>
      <c r="G128" s="433" t="s">
        <v>29</v>
      </c>
      <c r="H128" s="433" t="s">
        <v>13593</v>
      </c>
      <c r="I128" s="433"/>
      <c r="J128" s="433" t="s">
        <v>22076</v>
      </c>
      <c r="K128" s="433">
        <v>32.0</v>
      </c>
      <c r="L128" s="433"/>
      <c r="M128" s="433"/>
      <c r="N128" s="433" t="s">
        <v>22361</v>
      </c>
      <c r="O128" s="433">
        <v>1990.0</v>
      </c>
      <c r="P128" s="433" t="s">
        <v>388</v>
      </c>
      <c r="Q128" s="433">
        <v>1.0</v>
      </c>
    </row>
    <row r="129" ht="15.75" customHeight="1">
      <c r="B129" s="433">
        <v>124.0</v>
      </c>
      <c r="C129" s="433"/>
      <c r="D129" s="433"/>
      <c r="E129" s="434" t="s">
        <v>22366</v>
      </c>
      <c r="F129" s="433" t="s">
        <v>22255</v>
      </c>
      <c r="G129" s="433" t="s">
        <v>29</v>
      </c>
      <c r="H129" s="433" t="s">
        <v>13593</v>
      </c>
      <c r="I129" s="433"/>
      <c r="J129" s="433" t="s">
        <v>22076</v>
      </c>
      <c r="K129" s="433">
        <v>32.0</v>
      </c>
      <c r="L129" s="433"/>
      <c r="M129" s="433"/>
      <c r="N129" s="433" t="s">
        <v>22361</v>
      </c>
      <c r="O129" s="433">
        <v>1992.0</v>
      </c>
      <c r="P129" s="433" t="s">
        <v>388</v>
      </c>
      <c r="Q129" s="433">
        <v>1.0</v>
      </c>
    </row>
    <row r="130" ht="15.75" customHeight="1">
      <c r="B130" s="433">
        <v>125.0</v>
      </c>
      <c r="C130" s="433"/>
      <c r="D130" s="433"/>
      <c r="E130" s="434" t="s">
        <v>22367</v>
      </c>
      <c r="F130" s="433" t="s">
        <v>22255</v>
      </c>
      <c r="G130" s="433" t="s">
        <v>29</v>
      </c>
      <c r="H130" s="433" t="s">
        <v>13593</v>
      </c>
      <c r="I130" s="433"/>
      <c r="J130" s="433" t="s">
        <v>22076</v>
      </c>
      <c r="K130" s="433">
        <v>32.0</v>
      </c>
      <c r="L130" s="433"/>
      <c r="M130" s="433"/>
      <c r="N130" s="433" t="s">
        <v>22361</v>
      </c>
      <c r="O130" s="433">
        <v>1994.0</v>
      </c>
      <c r="P130" s="433" t="s">
        <v>388</v>
      </c>
      <c r="Q130" s="433">
        <v>1.0</v>
      </c>
    </row>
    <row r="131" ht="15.75" customHeight="1">
      <c r="B131" s="433">
        <v>126.0</v>
      </c>
      <c r="C131" s="433"/>
      <c r="D131" s="433"/>
      <c r="E131" s="434" t="s">
        <v>22368</v>
      </c>
      <c r="F131" s="433" t="s">
        <v>22255</v>
      </c>
      <c r="G131" s="433" t="s">
        <v>29</v>
      </c>
      <c r="H131" s="433" t="s">
        <v>22369</v>
      </c>
      <c r="I131" s="433"/>
      <c r="J131" s="433" t="s">
        <v>2417</v>
      </c>
      <c r="K131" s="433"/>
      <c r="L131" s="433"/>
      <c r="M131" s="433"/>
      <c r="N131" s="433" t="s">
        <v>4836</v>
      </c>
      <c r="O131" s="433">
        <v>1961.0</v>
      </c>
      <c r="P131" s="433" t="s">
        <v>388</v>
      </c>
      <c r="Q131" s="433">
        <v>1.0</v>
      </c>
    </row>
    <row r="132" ht="15.75" customHeight="1">
      <c r="B132" s="433">
        <v>127.0</v>
      </c>
      <c r="C132" s="433"/>
      <c r="D132" s="433"/>
      <c r="E132" s="434" t="s">
        <v>22370</v>
      </c>
      <c r="F132" s="433" t="s">
        <v>22255</v>
      </c>
      <c r="G132" s="433" t="s">
        <v>29</v>
      </c>
      <c r="H132" s="433" t="s">
        <v>2179</v>
      </c>
      <c r="I132" s="433"/>
      <c r="J132" s="433" t="s">
        <v>166</v>
      </c>
      <c r="K132" s="433">
        <v>309.0</v>
      </c>
      <c r="L132" s="433"/>
      <c r="M132" s="433"/>
      <c r="N132" s="433" t="s">
        <v>22371</v>
      </c>
      <c r="O132" s="433">
        <v>1982.0</v>
      </c>
      <c r="P132" s="433" t="s">
        <v>388</v>
      </c>
      <c r="Q132" s="433">
        <v>1.0</v>
      </c>
    </row>
    <row r="133" ht="15.75" customHeight="1">
      <c r="B133" s="433">
        <v>128.0</v>
      </c>
      <c r="C133" s="433"/>
      <c r="D133" s="433"/>
      <c r="E133" s="434" t="s">
        <v>22372</v>
      </c>
      <c r="F133" s="433" t="s">
        <v>22255</v>
      </c>
      <c r="G133" s="433" t="s">
        <v>29</v>
      </c>
      <c r="H133" s="433" t="s">
        <v>13593</v>
      </c>
      <c r="I133" s="433"/>
      <c r="J133" s="433" t="s">
        <v>166</v>
      </c>
      <c r="K133" s="433">
        <v>124.0</v>
      </c>
      <c r="L133" s="433" t="s">
        <v>22373</v>
      </c>
      <c r="M133" s="433"/>
      <c r="N133" s="433" t="s">
        <v>22341</v>
      </c>
      <c r="O133" s="433">
        <v>1983.0</v>
      </c>
      <c r="P133" s="433" t="s">
        <v>388</v>
      </c>
      <c r="Q133" s="433">
        <v>1.0</v>
      </c>
    </row>
    <row r="134" ht="15.75" customHeight="1">
      <c r="B134" s="433">
        <v>129.0</v>
      </c>
      <c r="C134" s="433"/>
      <c r="D134" s="433"/>
      <c r="E134" s="434" t="s">
        <v>22374</v>
      </c>
      <c r="F134" s="433" t="s">
        <v>22255</v>
      </c>
      <c r="G134" s="433" t="s">
        <v>29</v>
      </c>
      <c r="H134" s="433" t="s">
        <v>2179</v>
      </c>
      <c r="I134" s="433"/>
      <c r="J134" s="433" t="s">
        <v>38</v>
      </c>
      <c r="K134" s="433">
        <v>48.0</v>
      </c>
      <c r="L134" s="433"/>
      <c r="M134" s="433" t="s">
        <v>22375</v>
      </c>
      <c r="N134" s="433" t="s">
        <v>4836</v>
      </c>
      <c r="O134" s="433">
        <v>1978.0</v>
      </c>
      <c r="P134" s="433" t="s">
        <v>388</v>
      </c>
      <c r="Q134" s="433">
        <v>3.0</v>
      </c>
    </row>
    <row r="135" ht="15.75" customHeight="1">
      <c r="B135" s="433">
        <v>130.0</v>
      </c>
      <c r="C135" s="433"/>
      <c r="D135" s="433"/>
      <c r="E135" s="434" t="s">
        <v>22376</v>
      </c>
      <c r="F135" s="433" t="s">
        <v>22255</v>
      </c>
      <c r="G135" s="433" t="s">
        <v>29</v>
      </c>
      <c r="H135" s="433" t="s">
        <v>2179</v>
      </c>
      <c r="I135" s="433"/>
      <c r="J135" s="433" t="s">
        <v>38</v>
      </c>
      <c r="K135" s="433">
        <v>48.0</v>
      </c>
      <c r="L135" s="433"/>
      <c r="M135" s="433" t="s">
        <v>22375</v>
      </c>
      <c r="N135" s="433" t="s">
        <v>4836</v>
      </c>
      <c r="O135" s="433">
        <v>1978.0</v>
      </c>
      <c r="P135" s="433" t="s">
        <v>388</v>
      </c>
      <c r="Q135" s="433">
        <v>4.0</v>
      </c>
    </row>
    <row r="136" ht="15.75" customHeight="1">
      <c r="B136" s="433">
        <v>131.0</v>
      </c>
      <c r="C136" s="433"/>
      <c r="D136" s="433"/>
      <c r="E136" s="434" t="s">
        <v>22377</v>
      </c>
      <c r="F136" s="433" t="s">
        <v>22255</v>
      </c>
      <c r="G136" s="433" t="s">
        <v>29</v>
      </c>
      <c r="H136" s="433" t="s">
        <v>2179</v>
      </c>
      <c r="I136" s="433"/>
      <c r="J136" s="433" t="s">
        <v>38</v>
      </c>
      <c r="K136" s="433">
        <v>48.0</v>
      </c>
      <c r="L136" s="433"/>
      <c r="M136" s="433" t="s">
        <v>22375</v>
      </c>
      <c r="N136" s="433" t="s">
        <v>4836</v>
      </c>
      <c r="O136" s="433">
        <v>1978.0</v>
      </c>
      <c r="P136" s="433" t="s">
        <v>388</v>
      </c>
      <c r="Q136" s="433">
        <v>3.0</v>
      </c>
    </row>
    <row r="137" ht="15.75" customHeight="1">
      <c r="B137" s="433">
        <v>132.0</v>
      </c>
      <c r="C137" s="433"/>
      <c r="D137" s="433"/>
      <c r="E137" s="434" t="s">
        <v>22378</v>
      </c>
      <c r="F137" s="433" t="s">
        <v>22255</v>
      </c>
      <c r="G137" s="433" t="s">
        <v>29</v>
      </c>
      <c r="H137" s="433" t="s">
        <v>2179</v>
      </c>
      <c r="I137" s="433"/>
      <c r="J137" s="433" t="s">
        <v>38</v>
      </c>
      <c r="K137" s="433">
        <v>48.0</v>
      </c>
      <c r="L137" s="433"/>
      <c r="M137" s="433" t="s">
        <v>22375</v>
      </c>
      <c r="N137" s="433" t="s">
        <v>4836</v>
      </c>
      <c r="O137" s="433">
        <v>1978.0</v>
      </c>
      <c r="P137" s="433" t="s">
        <v>388</v>
      </c>
      <c r="Q137" s="433">
        <v>3.0</v>
      </c>
    </row>
    <row r="138" ht="15.75" customHeight="1">
      <c r="B138" s="433">
        <v>133.0</v>
      </c>
      <c r="C138" s="433"/>
      <c r="D138" s="433"/>
      <c r="E138" s="434" t="s">
        <v>22379</v>
      </c>
      <c r="F138" s="433" t="s">
        <v>22255</v>
      </c>
      <c r="G138" s="433" t="s">
        <v>29</v>
      </c>
      <c r="H138" s="433" t="s">
        <v>2179</v>
      </c>
      <c r="I138" s="433"/>
      <c r="J138" s="433" t="s">
        <v>38</v>
      </c>
      <c r="K138" s="433">
        <v>48.0</v>
      </c>
      <c r="L138" s="433"/>
      <c r="M138" s="433" t="s">
        <v>22375</v>
      </c>
      <c r="N138" s="433" t="s">
        <v>4836</v>
      </c>
      <c r="O138" s="433">
        <v>1978.0</v>
      </c>
      <c r="P138" s="433" t="s">
        <v>388</v>
      </c>
      <c r="Q138" s="433">
        <v>4.0</v>
      </c>
    </row>
    <row r="139" ht="15.75" customHeight="1">
      <c r="B139" s="433">
        <v>134.0</v>
      </c>
      <c r="C139" s="433"/>
      <c r="D139" s="433"/>
      <c r="E139" s="434" t="s">
        <v>22380</v>
      </c>
      <c r="F139" s="433" t="s">
        <v>22255</v>
      </c>
      <c r="G139" s="433" t="s">
        <v>29</v>
      </c>
      <c r="H139" s="433" t="s">
        <v>2179</v>
      </c>
      <c r="I139" s="433"/>
      <c r="J139" s="433" t="s">
        <v>38</v>
      </c>
      <c r="K139" s="433">
        <v>48.0</v>
      </c>
      <c r="L139" s="433"/>
      <c r="M139" s="433" t="s">
        <v>22375</v>
      </c>
      <c r="N139" s="433" t="s">
        <v>4836</v>
      </c>
      <c r="O139" s="433">
        <v>1978.0</v>
      </c>
      <c r="P139" s="433" t="s">
        <v>388</v>
      </c>
      <c r="Q139" s="433">
        <v>3.0</v>
      </c>
    </row>
    <row r="140" ht="15.75" customHeight="1">
      <c r="B140" s="433">
        <v>135.0</v>
      </c>
      <c r="C140" s="433"/>
      <c r="D140" s="433"/>
      <c r="E140" s="434" t="s">
        <v>22381</v>
      </c>
      <c r="F140" s="433" t="s">
        <v>22255</v>
      </c>
      <c r="G140" s="433" t="s">
        <v>29</v>
      </c>
      <c r="H140" s="433" t="s">
        <v>22382</v>
      </c>
      <c r="I140" s="433"/>
      <c r="J140" s="433" t="s">
        <v>15304</v>
      </c>
      <c r="K140" s="433">
        <v>15.0</v>
      </c>
      <c r="L140" s="433"/>
      <c r="M140" s="433"/>
      <c r="N140" s="433" t="s">
        <v>22174</v>
      </c>
      <c r="O140" s="433">
        <v>1988.0</v>
      </c>
      <c r="P140" s="433" t="s">
        <v>388</v>
      </c>
      <c r="Q140" s="433">
        <v>2.0</v>
      </c>
    </row>
    <row r="141" ht="15.75" customHeight="1">
      <c r="B141" s="433">
        <v>136.0</v>
      </c>
      <c r="C141" s="433"/>
      <c r="D141" s="433"/>
      <c r="E141" s="434" t="s">
        <v>22269</v>
      </c>
      <c r="F141" s="433" t="s">
        <v>22255</v>
      </c>
      <c r="G141" s="433" t="s">
        <v>29</v>
      </c>
      <c r="H141" s="433" t="s">
        <v>22382</v>
      </c>
      <c r="I141" s="433"/>
      <c r="J141" s="433" t="s">
        <v>15304</v>
      </c>
      <c r="K141" s="433">
        <v>24.0</v>
      </c>
      <c r="L141" s="433"/>
      <c r="M141" s="433"/>
      <c r="N141" s="433" t="s">
        <v>22174</v>
      </c>
      <c r="O141" s="433">
        <v>1988.0</v>
      </c>
      <c r="P141" s="433" t="s">
        <v>388</v>
      </c>
      <c r="Q141" s="433">
        <v>4.0</v>
      </c>
    </row>
    <row r="142" ht="15.75" customHeight="1">
      <c r="B142" s="433">
        <v>137.0</v>
      </c>
      <c r="C142" s="433"/>
      <c r="D142" s="433"/>
      <c r="E142" s="434" t="s">
        <v>22383</v>
      </c>
      <c r="F142" s="433" t="s">
        <v>22255</v>
      </c>
      <c r="G142" s="433" t="s">
        <v>29</v>
      </c>
      <c r="H142" s="433" t="s">
        <v>22382</v>
      </c>
      <c r="I142" s="433"/>
      <c r="J142" s="433" t="s">
        <v>15304</v>
      </c>
      <c r="K142" s="433">
        <v>16.0</v>
      </c>
      <c r="L142" s="433"/>
      <c r="M142" s="433"/>
      <c r="N142" s="433" t="s">
        <v>22174</v>
      </c>
      <c r="O142" s="433">
        <v>1988.0</v>
      </c>
      <c r="P142" s="433" t="s">
        <v>388</v>
      </c>
      <c r="Q142" s="433">
        <v>4.0</v>
      </c>
    </row>
    <row r="143" ht="15.75" customHeight="1">
      <c r="B143" s="433">
        <v>138.0</v>
      </c>
      <c r="C143" s="433"/>
      <c r="D143" s="433"/>
      <c r="E143" s="434" t="s">
        <v>22384</v>
      </c>
      <c r="F143" s="433" t="s">
        <v>22255</v>
      </c>
      <c r="G143" s="433" t="s">
        <v>29</v>
      </c>
      <c r="H143" s="433" t="s">
        <v>22382</v>
      </c>
      <c r="I143" s="433"/>
      <c r="J143" s="433" t="s">
        <v>15304</v>
      </c>
      <c r="K143" s="433">
        <v>16.0</v>
      </c>
      <c r="L143" s="433"/>
      <c r="M143" s="433"/>
      <c r="N143" s="433" t="s">
        <v>22174</v>
      </c>
      <c r="O143" s="433">
        <v>1989.0</v>
      </c>
      <c r="P143" s="433" t="s">
        <v>388</v>
      </c>
      <c r="Q143" s="342">
        <v>1.0</v>
      </c>
    </row>
    <row r="144" ht="39.75" customHeight="1">
      <c r="B144" s="433">
        <v>139.0</v>
      </c>
      <c r="C144" s="433" t="s">
        <v>22385</v>
      </c>
      <c r="D144" s="433"/>
      <c r="E144" s="434" t="s">
        <v>22386</v>
      </c>
      <c r="F144" s="433" t="s">
        <v>22255</v>
      </c>
      <c r="G144" s="433" t="s">
        <v>29</v>
      </c>
      <c r="H144" s="433" t="s">
        <v>2743</v>
      </c>
      <c r="I144" s="433"/>
      <c r="J144" s="433" t="s">
        <v>38</v>
      </c>
      <c r="K144" s="433">
        <v>300.0</v>
      </c>
      <c r="L144" s="433"/>
      <c r="M144" s="433" t="s">
        <v>303</v>
      </c>
      <c r="N144" s="433" t="s">
        <v>22387</v>
      </c>
      <c r="O144" s="433">
        <v>1975.0</v>
      </c>
      <c r="P144" s="433" t="s">
        <v>388</v>
      </c>
      <c r="Q144" s="433">
        <v>1.0</v>
      </c>
    </row>
    <row r="145" ht="15.75" customHeight="1">
      <c r="B145" s="433"/>
      <c r="C145" s="433"/>
      <c r="D145" s="433"/>
      <c r="E145" s="434"/>
      <c r="F145" s="433"/>
      <c r="G145" s="433"/>
      <c r="H145" s="433"/>
      <c r="I145" s="433"/>
      <c r="J145" s="433"/>
      <c r="K145" s="433"/>
      <c r="L145" s="433"/>
      <c r="M145" s="450"/>
      <c r="N145" s="345"/>
      <c r="O145" s="345"/>
      <c r="P145" s="345"/>
      <c r="Q145" s="342"/>
    </row>
    <row r="146" ht="15.75" customHeight="1">
      <c r="B146" s="449"/>
      <c r="C146" s="449"/>
      <c r="D146" s="450"/>
      <c r="E146" s="523"/>
      <c r="F146" s="450"/>
      <c r="G146" s="450"/>
      <c r="H146" s="450"/>
      <c r="I146" s="450"/>
      <c r="J146" s="450"/>
      <c r="K146" s="450"/>
      <c r="L146" s="450"/>
      <c r="M146" s="450"/>
      <c r="N146" s="15" t="s">
        <v>13862</v>
      </c>
      <c r="O146" s="16"/>
      <c r="P146" s="17"/>
      <c r="Q146" s="452">
        <f>SUM(Q6:Q145)</f>
        <v>222</v>
      </c>
    </row>
    <row r="147" ht="15.75" customHeight="1">
      <c r="B147" s="454"/>
      <c r="C147" s="455"/>
      <c r="D147" s="455"/>
      <c r="E147" s="455"/>
      <c r="F147" s="455"/>
      <c r="G147" s="455"/>
      <c r="H147" s="455"/>
      <c r="I147" s="455"/>
      <c r="J147" s="455"/>
      <c r="K147" s="455"/>
      <c r="L147" s="455"/>
      <c r="M147" s="455"/>
      <c r="N147" s="455"/>
      <c r="O147" s="455"/>
      <c r="P147" s="455"/>
      <c r="Q147" s="456"/>
    </row>
    <row r="148" ht="15.75" customHeight="1">
      <c r="B148" s="457" t="s">
        <v>14257</v>
      </c>
      <c r="C148" s="6"/>
      <c r="D148" s="6"/>
      <c r="E148" s="6"/>
      <c r="F148" s="6"/>
      <c r="G148" s="6"/>
      <c r="H148" s="6"/>
      <c r="I148" s="6"/>
      <c r="J148" s="6"/>
      <c r="K148" s="6"/>
      <c r="L148" s="6"/>
      <c r="M148" s="6"/>
      <c r="N148" s="6"/>
      <c r="O148" s="6"/>
      <c r="P148" s="6"/>
      <c r="Q148" s="7"/>
    </row>
    <row r="149" ht="15.75" customHeight="1">
      <c r="B149" s="327" t="s">
        <v>14150</v>
      </c>
      <c r="C149" s="457" t="s">
        <v>14151</v>
      </c>
      <c r="D149" s="6"/>
      <c r="E149" s="7"/>
      <c r="F149" s="458"/>
      <c r="G149" s="459"/>
      <c r="H149" s="7"/>
      <c r="I149" s="459"/>
      <c r="J149" s="6"/>
      <c r="K149" s="6"/>
      <c r="L149" s="7"/>
      <c r="M149" s="460"/>
      <c r="N149" s="461" t="s">
        <v>14152</v>
      </c>
      <c r="O149" s="461"/>
      <c r="P149" s="461"/>
      <c r="Q149" s="461"/>
    </row>
    <row r="150" ht="15.75" customHeight="1">
      <c r="B150" s="321"/>
      <c r="C150" s="399"/>
      <c r="D150" s="458"/>
      <c r="E150" s="462"/>
      <c r="F150" s="458"/>
      <c r="G150" s="463"/>
      <c r="H150" s="7"/>
      <c r="I150" s="321"/>
      <c r="J150" s="321"/>
      <c r="K150" s="463"/>
      <c r="L150" s="7"/>
      <c r="M150" s="321"/>
      <c r="N150" s="321"/>
      <c r="O150" s="321"/>
      <c r="P150" s="321"/>
      <c r="Q150" s="321"/>
    </row>
    <row r="151" ht="15.75" customHeight="1">
      <c r="B151" s="463"/>
      <c r="C151" s="7"/>
      <c r="D151" s="458"/>
      <c r="E151" s="463"/>
      <c r="F151" s="7"/>
      <c r="G151" s="321"/>
      <c r="H151" s="321"/>
      <c r="I151" s="321"/>
      <c r="J151" s="321"/>
      <c r="K151" s="321"/>
      <c r="L151" s="321"/>
      <c r="M151" s="321"/>
      <c r="N151" s="321"/>
      <c r="O151" s="321"/>
      <c r="P151" s="321"/>
      <c r="Q151" s="321"/>
    </row>
    <row r="152" ht="15.75" customHeight="1">
      <c r="B152" s="321"/>
      <c r="C152" s="457" t="s">
        <v>15030</v>
      </c>
      <c r="D152" s="6"/>
      <c r="E152" s="7"/>
      <c r="F152" s="458"/>
      <c r="G152" s="457"/>
      <c r="H152" s="7"/>
      <c r="I152" s="457"/>
      <c r="J152" s="6"/>
      <c r="K152" s="6"/>
      <c r="L152" s="7"/>
      <c r="M152" s="457" t="s">
        <v>14154</v>
      </c>
      <c r="N152" s="6"/>
      <c r="O152" s="6"/>
      <c r="P152" s="6"/>
      <c r="Q152" s="7"/>
    </row>
    <row r="153" ht="15.75" customHeight="1">
      <c r="B153" s="321"/>
      <c r="C153" s="457" t="s">
        <v>14155</v>
      </c>
      <c r="D153" s="6"/>
      <c r="E153" s="7"/>
      <c r="F153" s="458"/>
      <c r="G153" s="457"/>
      <c r="H153" s="7"/>
      <c r="I153" s="327"/>
      <c r="J153" s="457"/>
      <c r="K153" s="6"/>
      <c r="L153" s="7"/>
      <c r="M153" s="457" t="s">
        <v>14156</v>
      </c>
      <c r="N153" s="6"/>
      <c r="O153" s="6"/>
      <c r="P153" s="6"/>
      <c r="Q153" s="7"/>
    </row>
    <row r="154" ht="15.75" customHeight="1">
      <c r="B154" s="460"/>
      <c r="C154" s="944"/>
      <c r="D154" s="460"/>
      <c r="E154" s="939"/>
      <c r="F154" s="460"/>
      <c r="G154" s="460"/>
      <c r="H154" s="460"/>
      <c r="I154" s="460"/>
      <c r="J154" s="460"/>
      <c r="K154" s="460"/>
      <c r="L154" s="460"/>
      <c r="M154" s="474"/>
      <c r="O154" s="321"/>
      <c r="P154" s="321"/>
      <c r="Q154" s="321"/>
    </row>
    <row r="155" ht="15.75" customHeight="1">
      <c r="B155" s="2"/>
      <c r="C155" s="2"/>
      <c r="D155" s="667"/>
      <c r="E155" s="464"/>
      <c r="F155" s="2"/>
      <c r="G155" s="2"/>
      <c r="H155" s="2"/>
      <c r="I155" s="2"/>
      <c r="J155" s="2"/>
      <c r="K155" s="2"/>
      <c r="L155" s="2"/>
      <c r="M155" s="2"/>
      <c r="N155" s="667"/>
      <c r="O155" s="2"/>
      <c r="P155" s="2"/>
      <c r="Q155" s="2"/>
    </row>
    <row r="156" ht="15.75" customHeight="1">
      <c r="B156" s="2"/>
      <c r="C156" s="2"/>
      <c r="D156" s="667"/>
      <c r="E156" s="464"/>
      <c r="F156" s="2"/>
      <c r="G156" s="2"/>
      <c r="H156" s="2"/>
      <c r="I156" s="2"/>
      <c r="J156" s="2"/>
      <c r="K156" s="2"/>
      <c r="L156" s="2"/>
      <c r="M156" s="2"/>
      <c r="N156" s="667"/>
      <c r="O156" s="2"/>
      <c r="P156" s="2"/>
      <c r="Q156" s="2"/>
    </row>
    <row r="157" ht="15.75" customHeight="1">
      <c r="B157" s="2"/>
      <c r="C157" s="2"/>
      <c r="D157" s="667"/>
      <c r="E157" s="464"/>
      <c r="F157" s="2"/>
      <c r="G157" s="2"/>
      <c r="H157" s="2"/>
      <c r="I157" s="2"/>
      <c r="J157" s="2"/>
      <c r="K157" s="2"/>
      <c r="L157" s="2"/>
      <c r="M157" s="2"/>
      <c r="N157" s="667"/>
      <c r="O157" s="2"/>
      <c r="P157" s="2"/>
      <c r="Q157" s="2"/>
    </row>
    <row r="158" ht="15.75" customHeight="1">
      <c r="B158" s="2"/>
      <c r="C158" s="2"/>
      <c r="D158" s="2"/>
      <c r="E158" s="464"/>
      <c r="F158" s="2"/>
      <c r="G158" s="2"/>
      <c r="H158" s="2"/>
      <c r="I158" s="2"/>
      <c r="J158" s="2"/>
      <c r="K158" s="2"/>
      <c r="L158" s="2"/>
      <c r="M158" s="2"/>
      <c r="N158" s="2"/>
      <c r="O158" s="2"/>
      <c r="P158" s="2"/>
      <c r="Q158" s="2"/>
    </row>
    <row r="159" ht="15.75" customHeight="1">
      <c r="B159" s="2"/>
      <c r="C159" s="2"/>
      <c r="D159" s="2"/>
      <c r="E159" s="464"/>
      <c r="F159" s="2"/>
      <c r="G159" s="2"/>
      <c r="H159" s="2"/>
      <c r="I159" s="2"/>
      <c r="J159" s="2"/>
      <c r="K159" s="2"/>
      <c r="L159" s="2"/>
      <c r="M159" s="2"/>
      <c r="N159" s="2"/>
      <c r="O159" s="2"/>
      <c r="P159" s="2"/>
      <c r="Q159" s="2"/>
    </row>
    <row r="160" ht="15.75" customHeight="1">
      <c r="B160" s="2"/>
      <c r="C160" s="2"/>
      <c r="D160" s="2"/>
      <c r="E160" s="464"/>
      <c r="F160" s="2"/>
      <c r="G160" s="2"/>
      <c r="H160" s="2"/>
      <c r="I160" s="2"/>
      <c r="J160" s="2"/>
      <c r="K160" s="2"/>
      <c r="L160" s="2"/>
      <c r="M160" s="2"/>
      <c r="N160" s="2"/>
      <c r="O160" s="2"/>
      <c r="P160" s="2"/>
      <c r="Q160" s="2"/>
    </row>
    <row r="161" ht="15.75" customHeight="1">
      <c r="B161" s="2"/>
      <c r="C161" s="2"/>
      <c r="D161" s="2"/>
      <c r="E161" s="464"/>
      <c r="F161" s="2"/>
      <c r="G161" s="2"/>
      <c r="H161" s="2"/>
      <c r="I161" s="2"/>
      <c r="J161" s="2"/>
      <c r="K161" s="2"/>
      <c r="L161" s="2"/>
      <c r="M161" s="2"/>
      <c r="N161" s="2"/>
      <c r="O161" s="2"/>
      <c r="P161" s="2"/>
      <c r="Q161" s="2"/>
    </row>
    <row r="162" ht="15.75" customHeight="1">
      <c r="B162" s="2"/>
      <c r="C162" s="2"/>
      <c r="D162" s="2"/>
      <c r="E162" s="464"/>
      <c r="F162" s="2"/>
      <c r="G162" s="2"/>
      <c r="H162" s="2"/>
      <c r="I162" s="2"/>
      <c r="J162" s="2"/>
      <c r="K162" s="2"/>
      <c r="L162" s="2"/>
      <c r="M162" s="2"/>
      <c r="N162" s="2"/>
      <c r="O162" s="2"/>
      <c r="P162" s="2"/>
      <c r="Q162" s="2"/>
    </row>
    <row r="163" ht="15.75" customHeight="1">
      <c r="B163" s="2"/>
      <c r="C163" s="2"/>
      <c r="D163" s="2"/>
      <c r="E163" s="464"/>
      <c r="F163" s="2"/>
      <c r="G163" s="2"/>
      <c r="H163" s="2"/>
      <c r="I163" s="2"/>
      <c r="J163" s="2"/>
      <c r="K163" s="2"/>
      <c r="L163" s="2"/>
      <c r="M163" s="2"/>
      <c r="N163" s="2"/>
      <c r="O163" s="2"/>
      <c r="P163" s="2"/>
      <c r="Q163" s="2"/>
    </row>
    <row r="164" ht="15.75" customHeight="1">
      <c r="B164" s="2"/>
      <c r="C164" s="2"/>
      <c r="D164" s="2"/>
      <c r="E164" s="464"/>
      <c r="F164" s="2"/>
      <c r="G164" s="2"/>
      <c r="H164" s="2"/>
      <c r="I164" s="2"/>
      <c r="J164" s="2"/>
      <c r="K164" s="2"/>
      <c r="L164" s="2"/>
      <c r="M164" s="2"/>
      <c r="N164" s="2"/>
      <c r="O164" s="2"/>
      <c r="P164" s="2"/>
      <c r="Q164" s="2"/>
    </row>
    <row r="165" ht="15.75" customHeight="1">
      <c r="B165" s="2"/>
      <c r="C165" s="2"/>
      <c r="D165" s="2"/>
      <c r="E165" s="464"/>
      <c r="F165" s="2"/>
      <c r="G165" s="2"/>
      <c r="H165" s="2"/>
      <c r="I165" s="2"/>
      <c r="J165" s="2"/>
      <c r="K165" s="2"/>
      <c r="L165" s="2"/>
      <c r="M165" s="2"/>
      <c r="N165" s="2"/>
      <c r="O165" s="2"/>
      <c r="P165" s="2"/>
      <c r="Q165" s="2"/>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4">
    <mergeCell ref="B1:Q1"/>
    <mergeCell ref="B2:Q2"/>
    <mergeCell ref="K3:M3"/>
    <mergeCell ref="O3:Q3"/>
    <mergeCell ref="L4:M4"/>
    <mergeCell ref="N146:P146"/>
    <mergeCell ref="B147:Q147"/>
    <mergeCell ref="B148:Q148"/>
    <mergeCell ref="C149:E149"/>
    <mergeCell ref="G149:H149"/>
    <mergeCell ref="I149:L149"/>
    <mergeCell ref="G150:H150"/>
    <mergeCell ref="K150:L150"/>
    <mergeCell ref="B151:C151"/>
    <mergeCell ref="J153:L153"/>
    <mergeCell ref="M153:Q153"/>
    <mergeCell ref="M154:N154"/>
    <mergeCell ref="E151:F151"/>
    <mergeCell ref="C152:E152"/>
    <mergeCell ref="G152:H152"/>
    <mergeCell ref="I152:L152"/>
    <mergeCell ref="M152:Q152"/>
    <mergeCell ref="C153:E153"/>
    <mergeCell ref="G153:H153"/>
  </mergeCells>
  <printOptions/>
  <pageMargins bottom="0.7480314960629921" footer="0.0" header="0.0" left="0.7086614173228347" right="0.7086614173228347" top="0.7480314960629921"/>
  <pageSetup paperSize="5" scale="95"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9.71"/>
    <col customWidth="1" min="9" max="9" width="7.57"/>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75" t="s">
        <v>14157</v>
      </c>
    </row>
    <row r="2">
      <c r="B2" s="321"/>
      <c r="C2" s="400" t="s">
        <v>1</v>
      </c>
      <c r="D2" s="6"/>
      <c r="E2" s="6"/>
      <c r="F2" s="6"/>
      <c r="G2" s="6"/>
      <c r="H2" s="6"/>
      <c r="I2" s="6"/>
      <c r="J2" s="6"/>
      <c r="K2" s="6"/>
      <c r="L2" s="6"/>
      <c r="M2" s="6"/>
      <c r="N2" s="6"/>
      <c r="O2" s="6"/>
      <c r="P2" s="6"/>
      <c r="Q2" s="7"/>
    </row>
    <row r="3">
      <c r="B3" s="321"/>
      <c r="C3" s="401"/>
      <c r="D3" s="9"/>
      <c r="E3" s="402"/>
      <c r="F3" s="9"/>
      <c r="G3" s="403"/>
      <c r="H3" s="403"/>
      <c r="I3" s="403"/>
      <c r="J3" s="9"/>
      <c r="K3" s="12"/>
      <c r="M3" s="13"/>
      <c r="N3" s="14" t="s">
        <v>3</v>
      </c>
      <c r="O3" s="404" t="s">
        <v>22388</v>
      </c>
      <c r="P3" s="16"/>
      <c r="Q3" s="17"/>
    </row>
    <row r="4">
      <c r="B4" s="321"/>
      <c r="C4" s="405"/>
      <c r="D4" s="9"/>
      <c r="E4" s="402"/>
      <c r="F4" s="9"/>
      <c r="G4" s="403"/>
      <c r="H4" s="321"/>
      <c r="I4" s="403"/>
      <c r="J4" s="9"/>
      <c r="K4" s="403"/>
      <c r="L4" s="406"/>
      <c r="M4" s="407"/>
      <c r="N4" s="9"/>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33"/>
      <c r="D6" s="433"/>
      <c r="E6" s="434" t="s">
        <v>22389</v>
      </c>
      <c r="F6" s="433" t="s">
        <v>22390</v>
      </c>
      <c r="G6" s="433" t="s">
        <v>29</v>
      </c>
      <c r="H6" s="433" t="s">
        <v>3849</v>
      </c>
      <c r="I6" s="433"/>
      <c r="J6" s="433" t="s">
        <v>22391</v>
      </c>
      <c r="K6" s="433"/>
      <c r="L6" s="433"/>
      <c r="M6" s="433"/>
      <c r="N6" s="433" t="s">
        <v>22392</v>
      </c>
      <c r="O6" s="433">
        <v>1920.0</v>
      </c>
      <c r="P6" s="433" t="s">
        <v>388</v>
      </c>
      <c r="Q6" s="433">
        <v>1.0</v>
      </c>
    </row>
    <row r="7">
      <c r="B7" s="433">
        <v>2.0</v>
      </c>
      <c r="C7" s="433"/>
      <c r="D7" s="433"/>
      <c r="E7" s="434" t="s">
        <v>22393</v>
      </c>
      <c r="F7" s="433" t="s">
        <v>22390</v>
      </c>
      <c r="G7" s="433" t="s">
        <v>29</v>
      </c>
      <c r="H7" s="433"/>
      <c r="I7" s="433"/>
      <c r="J7" s="433" t="s">
        <v>22394</v>
      </c>
      <c r="K7" s="433">
        <v>100.0</v>
      </c>
      <c r="L7" s="433"/>
      <c r="M7" s="433"/>
      <c r="N7" s="433" t="s">
        <v>22395</v>
      </c>
      <c r="O7" s="433">
        <v>1937.0</v>
      </c>
      <c r="P7" s="433" t="s">
        <v>388</v>
      </c>
      <c r="Q7" s="433">
        <v>1.0</v>
      </c>
    </row>
    <row r="8">
      <c r="B8" s="433">
        <v>3.0</v>
      </c>
      <c r="C8" s="433"/>
      <c r="D8" s="433"/>
      <c r="E8" s="434" t="s">
        <v>22396</v>
      </c>
      <c r="F8" s="433" t="s">
        <v>22390</v>
      </c>
      <c r="G8" s="433" t="s">
        <v>29</v>
      </c>
      <c r="H8" s="433"/>
      <c r="I8" s="433"/>
      <c r="J8" s="433" t="s">
        <v>5948</v>
      </c>
      <c r="K8" s="433">
        <v>127.0</v>
      </c>
      <c r="L8" s="433"/>
      <c r="M8" s="433"/>
      <c r="N8" s="433" t="s">
        <v>22397</v>
      </c>
      <c r="O8" s="433">
        <v>1974.0</v>
      </c>
      <c r="P8" s="433" t="s">
        <v>388</v>
      </c>
      <c r="Q8" s="433">
        <v>1.0</v>
      </c>
    </row>
    <row r="9">
      <c r="B9" s="433">
        <v>4.0</v>
      </c>
      <c r="C9" s="433"/>
      <c r="D9" s="433"/>
      <c r="E9" s="434" t="s">
        <v>22398</v>
      </c>
      <c r="F9" s="433" t="s">
        <v>22390</v>
      </c>
      <c r="G9" s="433" t="s">
        <v>29</v>
      </c>
      <c r="H9" s="433" t="s">
        <v>98</v>
      </c>
      <c r="I9" s="433"/>
      <c r="J9" s="433" t="s">
        <v>98</v>
      </c>
      <c r="K9" s="433">
        <v>64.0</v>
      </c>
      <c r="L9" s="433"/>
      <c r="M9" s="433" t="s">
        <v>22399</v>
      </c>
      <c r="N9" s="433"/>
      <c r="O9" s="433">
        <v>1983.0</v>
      </c>
      <c r="P9" s="433" t="s">
        <v>388</v>
      </c>
      <c r="Q9" s="433">
        <v>1.0</v>
      </c>
    </row>
    <row r="10">
      <c r="B10" s="433">
        <v>5.0</v>
      </c>
      <c r="C10" s="433"/>
      <c r="D10" s="433"/>
      <c r="E10" s="434" t="s">
        <v>22400</v>
      </c>
      <c r="F10" s="433" t="s">
        <v>22390</v>
      </c>
      <c r="G10" s="433" t="s">
        <v>29</v>
      </c>
      <c r="H10" s="433"/>
      <c r="I10" s="433"/>
      <c r="J10" s="433" t="s">
        <v>22401</v>
      </c>
      <c r="K10" s="433">
        <v>12.0</v>
      </c>
      <c r="L10" s="433"/>
      <c r="M10" s="433"/>
      <c r="N10" s="433" t="s">
        <v>54</v>
      </c>
      <c r="O10" s="433">
        <v>1988.0</v>
      </c>
      <c r="P10" s="433" t="s">
        <v>388</v>
      </c>
      <c r="Q10" s="433">
        <v>1.0</v>
      </c>
    </row>
    <row r="11">
      <c r="B11" s="433">
        <v>6.0</v>
      </c>
      <c r="C11" s="433"/>
      <c r="D11" s="433"/>
      <c r="E11" s="434" t="s">
        <v>22402</v>
      </c>
      <c r="F11" s="433" t="s">
        <v>22390</v>
      </c>
      <c r="G11" s="433" t="s">
        <v>29</v>
      </c>
      <c r="H11" s="433" t="s">
        <v>22403</v>
      </c>
      <c r="I11" s="433"/>
      <c r="J11" s="433" t="s">
        <v>22403</v>
      </c>
      <c r="K11" s="433">
        <v>57.0</v>
      </c>
      <c r="L11" s="433"/>
      <c r="M11" s="433" t="s">
        <v>21536</v>
      </c>
      <c r="N11" s="433" t="s">
        <v>22404</v>
      </c>
      <c r="O11" s="433">
        <v>1983.0</v>
      </c>
      <c r="P11" s="433" t="s">
        <v>388</v>
      </c>
      <c r="Q11" s="433">
        <v>2.0</v>
      </c>
    </row>
    <row r="12">
      <c r="B12" s="433">
        <v>7.0</v>
      </c>
      <c r="C12" s="433"/>
      <c r="D12" s="433"/>
      <c r="E12" s="434" t="s">
        <v>22405</v>
      </c>
      <c r="F12" s="433" t="s">
        <v>22390</v>
      </c>
      <c r="G12" s="433" t="s">
        <v>29</v>
      </c>
      <c r="H12" s="433" t="s">
        <v>22403</v>
      </c>
      <c r="I12" s="433"/>
      <c r="J12" s="433" t="s">
        <v>22403</v>
      </c>
      <c r="K12" s="433">
        <v>83.0</v>
      </c>
      <c r="L12" s="433"/>
      <c r="M12" s="433" t="s">
        <v>21536</v>
      </c>
      <c r="N12" s="433" t="s">
        <v>22404</v>
      </c>
      <c r="O12" s="433">
        <v>1983.0</v>
      </c>
      <c r="P12" s="433" t="s">
        <v>388</v>
      </c>
      <c r="Q12" s="433">
        <v>2.0</v>
      </c>
    </row>
    <row r="13">
      <c r="B13" s="433">
        <v>8.0</v>
      </c>
      <c r="C13" s="433"/>
      <c r="D13" s="433"/>
      <c r="E13" s="434" t="s">
        <v>22406</v>
      </c>
      <c r="F13" s="433" t="s">
        <v>22390</v>
      </c>
      <c r="G13" s="433" t="s">
        <v>29</v>
      </c>
      <c r="H13" s="433" t="s">
        <v>22403</v>
      </c>
      <c r="I13" s="433"/>
      <c r="J13" s="433" t="s">
        <v>22403</v>
      </c>
      <c r="K13" s="433">
        <v>88.0</v>
      </c>
      <c r="L13" s="433"/>
      <c r="M13" s="433" t="s">
        <v>21536</v>
      </c>
      <c r="N13" s="433" t="s">
        <v>22404</v>
      </c>
      <c r="O13" s="433">
        <v>1983.0</v>
      </c>
      <c r="P13" s="433" t="s">
        <v>388</v>
      </c>
      <c r="Q13" s="433">
        <v>2.0</v>
      </c>
    </row>
    <row r="14">
      <c r="B14" s="433">
        <v>9.0</v>
      </c>
      <c r="C14" s="433"/>
      <c r="D14" s="433"/>
      <c r="E14" s="434" t="s">
        <v>22407</v>
      </c>
      <c r="F14" s="433" t="s">
        <v>22390</v>
      </c>
      <c r="G14" s="433" t="s">
        <v>29</v>
      </c>
      <c r="H14" s="433" t="s">
        <v>22403</v>
      </c>
      <c r="I14" s="433"/>
      <c r="J14" s="433" t="s">
        <v>22403</v>
      </c>
      <c r="K14" s="433">
        <v>64.0</v>
      </c>
      <c r="L14" s="433"/>
      <c r="M14" s="433" t="s">
        <v>21536</v>
      </c>
      <c r="N14" s="433" t="s">
        <v>22404</v>
      </c>
      <c r="O14" s="433">
        <v>1983.0</v>
      </c>
      <c r="P14" s="433" t="s">
        <v>388</v>
      </c>
      <c r="Q14" s="433">
        <v>2.0</v>
      </c>
    </row>
    <row r="15">
      <c r="B15" s="433">
        <v>10.0</v>
      </c>
      <c r="C15" s="433"/>
      <c r="D15" s="433"/>
      <c r="E15" s="434" t="s">
        <v>22408</v>
      </c>
      <c r="F15" s="433" t="s">
        <v>22390</v>
      </c>
      <c r="G15" s="433" t="s">
        <v>29</v>
      </c>
      <c r="H15" s="433" t="s">
        <v>21891</v>
      </c>
      <c r="I15" s="433"/>
      <c r="J15" s="433" t="s">
        <v>98</v>
      </c>
      <c r="K15" s="433">
        <v>80.0</v>
      </c>
      <c r="L15" s="433"/>
      <c r="M15" s="433" t="s">
        <v>13582</v>
      </c>
      <c r="N15" s="433" t="s">
        <v>22409</v>
      </c>
      <c r="O15" s="433">
        <v>1964.0</v>
      </c>
      <c r="P15" s="433" t="s">
        <v>388</v>
      </c>
      <c r="Q15" s="433">
        <v>1.0</v>
      </c>
    </row>
    <row r="16">
      <c r="B16" s="433">
        <v>11.0</v>
      </c>
      <c r="C16" s="433"/>
      <c r="D16" s="433"/>
      <c r="E16" s="434" t="s">
        <v>22410</v>
      </c>
      <c r="F16" s="433" t="s">
        <v>22390</v>
      </c>
      <c r="G16" s="433" t="s">
        <v>29</v>
      </c>
      <c r="H16" s="433" t="s">
        <v>98</v>
      </c>
      <c r="I16" s="433"/>
      <c r="J16" s="433" t="s">
        <v>98</v>
      </c>
      <c r="K16" s="433">
        <v>144.0</v>
      </c>
      <c r="L16" s="433"/>
      <c r="M16" s="433"/>
      <c r="N16" s="433" t="s">
        <v>22411</v>
      </c>
      <c r="O16" s="433">
        <v>1986.0</v>
      </c>
      <c r="P16" s="433" t="s">
        <v>388</v>
      </c>
      <c r="Q16" s="433">
        <v>1.0</v>
      </c>
    </row>
    <row r="17">
      <c r="B17" s="433">
        <v>12.0</v>
      </c>
      <c r="C17" s="433"/>
      <c r="D17" s="433"/>
      <c r="E17" s="434" t="s">
        <v>22412</v>
      </c>
      <c r="F17" s="433" t="s">
        <v>22390</v>
      </c>
      <c r="G17" s="433" t="s">
        <v>29</v>
      </c>
      <c r="H17" s="433" t="s">
        <v>21891</v>
      </c>
      <c r="I17" s="433"/>
      <c r="J17" s="433" t="s">
        <v>22413</v>
      </c>
      <c r="K17" s="433">
        <v>148.0</v>
      </c>
      <c r="L17" s="433"/>
      <c r="M17" s="433"/>
      <c r="N17" s="433" t="s">
        <v>22409</v>
      </c>
      <c r="O17" s="433">
        <v>1969.0</v>
      </c>
      <c r="P17" s="433" t="s">
        <v>388</v>
      </c>
      <c r="Q17" s="433">
        <v>1.0</v>
      </c>
    </row>
    <row r="18">
      <c r="B18" s="433">
        <v>13.0</v>
      </c>
      <c r="C18" s="433"/>
      <c r="D18" s="433"/>
      <c r="E18" s="434" t="s">
        <v>22414</v>
      </c>
      <c r="F18" s="433" t="s">
        <v>22390</v>
      </c>
      <c r="G18" s="433" t="s">
        <v>29</v>
      </c>
      <c r="H18" s="433" t="s">
        <v>6738</v>
      </c>
      <c r="I18" s="433"/>
      <c r="J18" s="433" t="s">
        <v>6738</v>
      </c>
      <c r="K18" s="433">
        <v>152.0</v>
      </c>
      <c r="L18" s="433"/>
      <c r="M18" s="433"/>
      <c r="N18" s="433" t="s">
        <v>22415</v>
      </c>
      <c r="O18" s="433"/>
      <c r="P18" s="433" t="s">
        <v>388</v>
      </c>
      <c r="Q18" s="433">
        <v>1.0</v>
      </c>
    </row>
    <row r="19">
      <c r="B19" s="433">
        <v>14.0</v>
      </c>
      <c r="C19" s="433"/>
      <c r="D19" s="433"/>
      <c r="E19" s="434" t="s">
        <v>22416</v>
      </c>
      <c r="F19" s="433" t="s">
        <v>22390</v>
      </c>
      <c r="G19" s="433" t="s">
        <v>29</v>
      </c>
      <c r="H19" s="433" t="s">
        <v>21891</v>
      </c>
      <c r="I19" s="433"/>
      <c r="J19" s="433" t="s">
        <v>98</v>
      </c>
      <c r="K19" s="433">
        <v>133.0</v>
      </c>
      <c r="L19" s="433"/>
      <c r="M19" s="433"/>
      <c r="N19" s="433"/>
      <c r="O19" s="433">
        <v>1935.0</v>
      </c>
      <c r="P19" s="433" t="s">
        <v>388</v>
      </c>
      <c r="Q19" s="433">
        <v>1.0</v>
      </c>
    </row>
    <row r="20">
      <c r="B20" s="433">
        <v>15.0</v>
      </c>
      <c r="C20" s="433"/>
      <c r="D20" s="433"/>
      <c r="E20" s="434" t="s">
        <v>22417</v>
      </c>
      <c r="F20" s="433" t="s">
        <v>22390</v>
      </c>
      <c r="G20" s="433" t="s">
        <v>29</v>
      </c>
      <c r="H20" s="433" t="s">
        <v>21891</v>
      </c>
      <c r="I20" s="433"/>
      <c r="J20" s="433" t="s">
        <v>98</v>
      </c>
      <c r="K20" s="433">
        <v>75.0</v>
      </c>
      <c r="L20" s="433"/>
      <c r="M20" s="433"/>
      <c r="N20" s="433" t="s">
        <v>22418</v>
      </c>
      <c r="O20" s="433">
        <v>1542.0</v>
      </c>
      <c r="P20" s="433" t="s">
        <v>388</v>
      </c>
      <c r="Q20" s="433">
        <v>1.0</v>
      </c>
    </row>
    <row r="21" ht="15.75" customHeight="1">
      <c r="B21" s="433">
        <v>16.0</v>
      </c>
      <c r="C21" s="433"/>
      <c r="D21" s="433"/>
      <c r="E21" s="434" t="s">
        <v>22419</v>
      </c>
      <c r="F21" s="433" t="s">
        <v>22390</v>
      </c>
      <c r="G21" s="433" t="s">
        <v>29</v>
      </c>
      <c r="H21" s="433" t="s">
        <v>21891</v>
      </c>
      <c r="I21" s="433"/>
      <c r="J21" s="433" t="s">
        <v>98</v>
      </c>
      <c r="K21" s="433">
        <v>55.0</v>
      </c>
      <c r="L21" s="433"/>
      <c r="M21" s="433"/>
      <c r="N21" s="433" t="s">
        <v>22418</v>
      </c>
      <c r="O21" s="433">
        <v>1541.0</v>
      </c>
      <c r="P21" s="433" t="s">
        <v>388</v>
      </c>
      <c r="Q21" s="433">
        <v>1.0</v>
      </c>
    </row>
    <row r="22" ht="15.75" customHeight="1">
      <c r="B22" s="433">
        <v>17.0</v>
      </c>
      <c r="C22" s="433"/>
      <c r="D22" s="433"/>
      <c r="E22" s="434" t="s">
        <v>22420</v>
      </c>
      <c r="F22" s="433" t="s">
        <v>22390</v>
      </c>
      <c r="G22" s="433" t="s">
        <v>29</v>
      </c>
      <c r="H22" s="433"/>
      <c r="I22" s="433"/>
      <c r="J22" s="433" t="s">
        <v>22421</v>
      </c>
      <c r="K22" s="433">
        <v>46.0</v>
      </c>
      <c r="L22" s="433"/>
      <c r="M22" s="433"/>
      <c r="N22" s="433" t="s">
        <v>100</v>
      </c>
      <c r="O22" s="433">
        <v>2006.0</v>
      </c>
      <c r="P22" s="433" t="s">
        <v>388</v>
      </c>
      <c r="Q22" s="433">
        <v>3.0</v>
      </c>
    </row>
    <row r="23" ht="15.75" customHeight="1">
      <c r="B23" s="433">
        <v>18.0</v>
      </c>
      <c r="C23" s="433"/>
      <c r="D23" s="433"/>
      <c r="E23" s="434" t="s">
        <v>22170</v>
      </c>
      <c r="F23" s="433" t="s">
        <v>22390</v>
      </c>
      <c r="G23" s="433" t="s">
        <v>29</v>
      </c>
      <c r="H23" s="433" t="s">
        <v>11105</v>
      </c>
      <c r="I23" s="433"/>
      <c r="J23" s="433" t="s">
        <v>16335</v>
      </c>
      <c r="K23" s="433">
        <v>24.0</v>
      </c>
      <c r="L23" s="433"/>
      <c r="M23" s="433"/>
      <c r="N23" s="433" t="s">
        <v>22409</v>
      </c>
      <c r="O23" s="433">
        <v>1980.0</v>
      </c>
      <c r="P23" s="433" t="s">
        <v>388</v>
      </c>
      <c r="Q23" s="433">
        <v>1.0</v>
      </c>
    </row>
    <row r="24" ht="15.75" customHeight="1">
      <c r="B24" s="433">
        <v>19.0</v>
      </c>
      <c r="C24" s="433"/>
      <c r="D24" s="433"/>
      <c r="E24" s="434" t="s">
        <v>22422</v>
      </c>
      <c r="F24" s="433" t="s">
        <v>22390</v>
      </c>
      <c r="G24" s="433" t="s">
        <v>29</v>
      </c>
      <c r="H24" s="433" t="s">
        <v>11105</v>
      </c>
      <c r="I24" s="433"/>
      <c r="J24" s="433" t="s">
        <v>16335</v>
      </c>
      <c r="K24" s="433"/>
      <c r="L24" s="433"/>
      <c r="M24" s="433"/>
      <c r="N24" s="433" t="s">
        <v>13587</v>
      </c>
      <c r="O24" s="433">
        <v>1989.0</v>
      </c>
      <c r="P24" s="433" t="s">
        <v>388</v>
      </c>
      <c r="Q24" s="433">
        <v>1.0</v>
      </c>
    </row>
    <row r="25" ht="15.75" customHeight="1">
      <c r="B25" s="433">
        <v>20.0</v>
      </c>
      <c r="C25" s="433"/>
      <c r="D25" s="433"/>
      <c r="E25" s="434" t="s">
        <v>22423</v>
      </c>
      <c r="F25" s="433" t="s">
        <v>22390</v>
      </c>
      <c r="G25" s="433" t="s">
        <v>29</v>
      </c>
      <c r="H25" s="433" t="s">
        <v>11105</v>
      </c>
      <c r="I25" s="433"/>
      <c r="J25" s="433" t="s">
        <v>16335</v>
      </c>
      <c r="K25" s="433"/>
      <c r="L25" s="433"/>
      <c r="M25" s="433"/>
      <c r="N25" s="433" t="s">
        <v>13587</v>
      </c>
      <c r="O25" s="433">
        <v>1989.0</v>
      </c>
      <c r="P25" s="433" t="s">
        <v>388</v>
      </c>
      <c r="Q25" s="433">
        <v>1.0</v>
      </c>
    </row>
    <row r="26" ht="15.75" customHeight="1">
      <c r="B26" s="433">
        <v>21.0</v>
      </c>
      <c r="C26" s="433"/>
      <c r="D26" s="433"/>
      <c r="E26" s="434"/>
      <c r="F26" s="433" t="s">
        <v>22390</v>
      </c>
      <c r="G26" s="433" t="s">
        <v>29</v>
      </c>
      <c r="H26" s="433" t="s">
        <v>11105</v>
      </c>
      <c r="I26" s="433"/>
      <c r="J26" s="433" t="s">
        <v>16335</v>
      </c>
      <c r="K26" s="433"/>
      <c r="L26" s="433"/>
      <c r="M26" s="433"/>
      <c r="N26" s="433" t="s">
        <v>13587</v>
      </c>
      <c r="O26" s="433">
        <v>1989.0</v>
      </c>
      <c r="P26" s="433" t="s">
        <v>388</v>
      </c>
      <c r="Q26" s="433">
        <v>1.0</v>
      </c>
    </row>
    <row r="27" ht="15.75" customHeight="1">
      <c r="B27" s="433">
        <v>22.0</v>
      </c>
      <c r="C27" s="433"/>
      <c r="D27" s="433"/>
      <c r="E27" s="434" t="s">
        <v>22424</v>
      </c>
      <c r="F27" s="433" t="s">
        <v>22390</v>
      </c>
      <c r="G27" s="433" t="s">
        <v>29</v>
      </c>
      <c r="H27" s="433" t="s">
        <v>11105</v>
      </c>
      <c r="I27" s="433"/>
      <c r="J27" s="433" t="s">
        <v>16335</v>
      </c>
      <c r="K27" s="433">
        <v>23.0</v>
      </c>
      <c r="L27" s="433"/>
      <c r="M27" s="433"/>
      <c r="N27" s="433" t="s">
        <v>2233</v>
      </c>
      <c r="O27" s="433">
        <v>1986.0</v>
      </c>
      <c r="P27" s="433" t="s">
        <v>388</v>
      </c>
      <c r="Q27" s="433">
        <v>2.0</v>
      </c>
    </row>
    <row r="28" ht="15.75" customHeight="1">
      <c r="B28" s="433">
        <v>23.0</v>
      </c>
      <c r="C28" s="433"/>
      <c r="D28" s="433"/>
      <c r="E28" s="434" t="s">
        <v>22425</v>
      </c>
      <c r="F28" s="433" t="s">
        <v>22390</v>
      </c>
      <c r="G28" s="433" t="s">
        <v>29</v>
      </c>
      <c r="H28" s="433" t="s">
        <v>11105</v>
      </c>
      <c r="I28" s="433"/>
      <c r="J28" s="433" t="s">
        <v>16335</v>
      </c>
      <c r="K28" s="433"/>
      <c r="L28" s="433"/>
      <c r="M28" s="433"/>
      <c r="N28" s="433" t="s">
        <v>2233</v>
      </c>
      <c r="O28" s="433">
        <v>1966.0</v>
      </c>
      <c r="P28" s="433" t="s">
        <v>388</v>
      </c>
      <c r="Q28" s="433">
        <v>1.0</v>
      </c>
    </row>
    <row r="29" ht="15.75" customHeight="1">
      <c r="B29" s="433">
        <v>24.0</v>
      </c>
      <c r="C29" s="433"/>
      <c r="D29" s="433"/>
      <c r="E29" s="434" t="s">
        <v>22426</v>
      </c>
      <c r="F29" s="433" t="s">
        <v>22390</v>
      </c>
      <c r="G29" s="433" t="s">
        <v>29</v>
      </c>
      <c r="H29" s="433" t="s">
        <v>11105</v>
      </c>
      <c r="I29" s="433"/>
      <c r="J29" s="433" t="s">
        <v>16335</v>
      </c>
      <c r="K29" s="433">
        <v>25.0</v>
      </c>
      <c r="L29" s="433"/>
      <c r="M29" s="433"/>
      <c r="N29" s="433" t="s">
        <v>22409</v>
      </c>
      <c r="O29" s="433">
        <v>1987.0</v>
      </c>
      <c r="P29" s="433" t="s">
        <v>388</v>
      </c>
      <c r="Q29" s="433">
        <v>1.0</v>
      </c>
    </row>
    <row r="30" ht="15.75" customHeight="1">
      <c r="B30" s="433">
        <v>25.0</v>
      </c>
      <c r="C30" s="433"/>
      <c r="D30" s="433"/>
      <c r="E30" s="434" t="s">
        <v>22427</v>
      </c>
      <c r="F30" s="433" t="s">
        <v>22390</v>
      </c>
      <c r="G30" s="433" t="s">
        <v>29</v>
      </c>
      <c r="H30" s="433" t="s">
        <v>11105</v>
      </c>
      <c r="I30" s="433"/>
      <c r="J30" s="433" t="s">
        <v>16335</v>
      </c>
      <c r="K30" s="433">
        <v>25.0</v>
      </c>
      <c r="L30" s="433"/>
      <c r="M30" s="433"/>
      <c r="N30" s="433" t="s">
        <v>22409</v>
      </c>
      <c r="O30" s="433">
        <v>1986.0</v>
      </c>
      <c r="P30" s="433" t="s">
        <v>388</v>
      </c>
      <c r="Q30" s="433">
        <v>2.0</v>
      </c>
    </row>
    <row r="31" ht="15.75" customHeight="1">
      <c r="B31" s="433">
        <v>26.0</v>
      </c>
      <c r="C31" s="433"/>
      <c r="D31" s="433"/>
      <c r="E31" s="434" t="s">
        <v>22428</v>
      </c>
      <c r="F31" s="433" t="s">
        <v>22390</v>
      </c>
      <c r="G31" s="433" t="s">
        <v>29</v>
      </c>
      <c r="H31" s="433" t="s">
        <v>11105</v>
      </c>
      <c r="I31" s="433"/>
      <c r="J31" s="433" t="s">
        <v>16335</v>
      </c>
      <c r="K31" s="433">
        <v>24.0</v>
      </c>
      <c r="L31" s="433"/>
      <c r="M31" s="433"/>
      <c r="N31" s="433" t="s">
        <v>22409</v>
      </c>
      <c r="O31" s="433">
        <v>1987.0</v>
      </c>
      <c r="P31" s="433" t="s">
        <v>388</v>
      </c>
      <c r="Q31" s="433">
        <v>1.0</v>
      </c>
    </row>
    <row r="32" ht="15.75" customHeight="1">
      <c r="B32" s="433">
        <v>27.0</v>
      </c>
      <c r="C32" s="433"/>
      <c r="D32" s="433"/>
      <c r="E32" s="434" t="s">
        <v>22429</v>
      </c>
      <c r="F32" s="433" t="s">
        <v>22390</v>
      </c>
      <c r="G32" s="433" t="s">
        <v>29</v>
      </c>
      <c r="H32" s="433" t="s">
        <v>11105</v>
      </c>
      <c r="I32" s="433"/>
      <c r="J32" s="433" t="s">
        <v>16335</v>
      </c>
      <c r="K32" s="433">
        <v>25.0</v>
      </c>
      <c r="L32" s="433"/>
      <c r="M32" s="433"/>
      <c r="N32" s="433" t="s">
        <v>22409</v>
      </c>
      <c r="O32" s="433">
        <v>1987.0</v>
      </c>
      <c r="P32" s="433" t="s">
        <v>388</v>
      </c>
      <c r="Q32" s="433">
        <v>1.0</v>
      </c>
    </row>
    <row r="33" ht="15.75" customHeight="1">
      <c r="B33" s="433">
        <v>28.0</v>
      </c>
      <c r="C33" s="433"/>
      <c r="D33" s="433"/>
      <c r="E33" s="434" t="s">
        <v>22430</v>
      </c>
      <c r="F33" s="433" t="s">
        <v>22390</v>
      </c>
      <c r="G33" s="433" t="s">
        <v>29</v>
      </c>
      <c r="H33" s="433" t="s">
        <v>6271</v>
      </c>
      <c r="I33" s="433"/>
      <c r="J33" s="433" t="s">
        <v>6271</v>
      </c>
      <c r="K33" s="433">
        <v>95.0</v>
      </c>
      <c r="L33" s="433"/>
      <c r="M33" s="433"/>
      <c r="N33" s="433" t="s">
        <v>22431</v>
      </c>
      <c r="O33" s="433"/>
      <c r="P33" s="433" t="s">
        <v>388</v>
      </c>
      <c r="Q33" s="433">
        <v>2.0</v>
      </c>
    </row>
    <row r="34" ht="15.75" customHeight="1">
      <c r="B34" s="433">
        <v>29.0</v>
      </c>
      <c r="C34" s="433"/>
      <c r="D34" s="433"/>
      <c r="E34" s="434" t="s">
        <v>22432</v>
      </c>
      <c r="F34" s="433" t="s">
        <v>22390</v>
      </c>
      <c r="G34" s="433" t="s">
        <v>29</v>
      </c>
      <c r="H34" s="433" t="s">
        <v>6271</v>
      </c>
      <c r="I34" s="433"/>
      <c r="J34" s="433" t="s">
        <v>38</v>
      </c>
      <c r="K34" s="433"/>
      <c r="L34" s="433"/>
      <c r="M34" s="433"/>
      <c r="N34" s="433"/>
      <c r="O34" s="433"/>
      <c r="P34" s="433" t="s">
        <v>388</v>
      </c>
      <c r="Q34" s="433">
        <v>3.0</v>
      </c>
    </row>
    <row r="35" ht="15.75" customHeight="1">
      <c r="B35" s="433">
        <v>30.0</v>
      </c>
      <c r="C35" s="433"/>
      <c r="D35" s="433"/>
      <c r="E35" s="434" t="s">
        <v>22433</v>
      </c>
      <c r="F35" s="433" t="s">
        <v>22390</v>
      </c>
      <c r="G35" s="433" t="s">
        <v>29</v>
      </c>
      <c r="H35" s="433" t="s">
        <v>6271</v>
      </c>
      <c r="I35" s="433"/>
      <c r="J35" s="433" t="s">
        <v>38</v>
      </c>
      <c r="K35" s="433">
        <v>128.0</v>
      </c>
      <c r="L35" s="433"/>
      <c r="M35" s="433"/>
      <c r="N35" s="433"/>
      <c r="O35" s="433"/>
      <c r="P35" s="433" t="s">
        <v>388</v>
      </c>
      <c r="Q35" s="433">
        <v>1.0</v>
      </c>
    </row>
    <row r="36" ht="15.75" customHeight="1">
      <c r="B36" s="433">
        <v>31.0</v>
      </c>
      <c r="C36" s="433"/>
      <c r="D36" s="433"/>
      <c r="E36" s="434" t="s">
        <v>22434</v>
      </c>
      <c r="F36" s="433" t="s">
        <v>22390</v>
      </c>
      <c r="G36" s="433" t="s">
        <v>29</v>
      </c>
      <c r="H36" s="433" t="s">
        <v>6271</v>
      </c>
      <c r="I36" s="433"/>
      <c r="J36" s="433" t="s">
        <v>38</v>
      </c>
      <c r="K36" s="433">
        <v>56.0</v>
      </c>
      <c r="L36" s="433"/>
      <c r="M36" s="433"/>
      <c r="N36" s="433" t="s">
        <v>6271</v>
      </c>
      <c r="O36" s="433"/>
      <c r="P36" s="433" t="s">
        <v>388</v>
      </c>
      <c r="Q36" s="433">
        <v>2.0</v>
      </c>
    </row>
    <row r="37" ht="15.75" customHeight="1">
      <c r="B37" s="433">
        <v>32.0</v>
      </c>
      <c r="C37" s="433"/>
      <c r="D37" s="433"/>
      <c r="E37" s="434" t="s">
        <v>22435</v>
      </c>
      <c r="F37" s="433" t="s">
        <v>22390</v>
      </c>
      <c r="G37" s="433" t="s">
        <v>29</v>
      </c>
      <c r="H37" s="433" t="s">
        <v>6271</v>
      </c>
      <c r="I37" s="433"/>
      <c r="J37" s="433" t="s">
        <v>38</v>
      </c>
      <c r="K37" s="433">
        <v>12.0</v>
      </c>
      <c r="L37" s="433"/>
      <c r="M37" s="433" t="s">
        <v>13582</v>
      </c>
      <c r="N37" s="433" t="s">
        <v>6271</v>
      </c>
      <c r="O37" s="433"/>
      <c r="P37" s="433" t="s">
        <v>388</v>
      </c>
      <c r="Q37" s="433">
        <v>2.0</v>
      </c>
    </row>
    <row r="38" ht="15.75" customHeight="1">
      <c r="B38" s="433">
        <v>33.0</v>
      </c>
      <c r="C38" s="433"/>
      <c r="D38" s="433"/>
      <c r="E38" s="434" t="s">
        <v>22436</v>
      </c>
      <c r="F38" s="433" t="s">
        <v>22390</v>
      </c>
      <c r="G38" s="433" t="s">
        <v>29</v>
      </c>
      <c r="H38" s="433" t="s">
        <v>6271</v>
      </c>
      <c r="I38" s="433"/>
      <c r="J38" s="433" t="s">
        <v>38</v>
      </c>
      <c r="K38" s="433">
        <v>29.0</v>
      </c>
      <c r="L38" s="433"/>
      <c r="M38" s="433"/>
      <c r="N38" s="433" t="s">
        <v>6271</v>
      </c>
      <c r="O38" s="433"/>
      <c r="P38" s="433" t="s">
        <v>388</v>
      </c>
      <c r="Q38" s="433">
        <v>2.0</v>
      </c>
    </row>
    <row r="39" ht="15.75" customHeight="1">
      <c r="B39" s="433">
        <v>34.0</v>
      </c>
      <c r="C39" s="433"/>
      <c r="D39" s="433"/>
      <c r="E39" s="434" t="s">
        <v>22437</v>
      </c>
      <c r="F39" s="433" t="s">
        <v>22390</v>
      </c>
      <c r="G39" s="433" t="s">
        <v>29</v>
      </c>
      <c r="H39" s="433" t="s">
        <v>6271</v>
      </c>
      <c r="I39" s="433"/>
      <c r="J39" s="433" t="s">
        <v>38</v>
      </c>
      <c r="K39" s="433">
        <v>106.0</v>
      </c>
      <c r="L39" s="433"/>
      <c r="M39" s="433" t="s">
        <v>13582</v>
      </c>
      <c r="N39" s="433" t="s">
        <v>13285</v>
      </c>
      <c r="O39" s="433"/>
      <c r="P39" s="433" t="s">
        <v>388</v>
      </c>
      <c r="Q39" s="433">
        <v>2.0</v>
      </c>
    </row>
    <row r="40" ht="15.75" customHeight="1">
      <c r="B40" s="433">
        <v>35.0</v>
      </c>
      <c r="C40" s="433"/>
      <c r="D40" s="433"/>
      <c r="E40" s="434" t="s">
        <v>22438</v>
      </c>
      <c r="F40" s="433" t="s">
        <v>22390</v>
      </c>
      <c r="G40" s="433" t="s">
        <v>29</v>
      </c>
      <c r="H40" s="433" t="s">
        <v>6271</v>
      </c>
      <c r="I40" s="433"/>
      <c r="J40" s="433" t="s">
        <v>38</v>
      </c>
      <c r="K40" s="433">
        <v>48.0</v>
      </c>
      <c r="L40" s="433"/>
      <c r="M40" s="433"/>
      <c r="N40" s="433" t="s">
        <v>13310</v>
      </c>
      <c r="O40" s="433"/>
      <c r="P40" s="433" t="s">
        <v>388</v>
      </c>
      <c r="Q40" s="433">
        <v>2.0</v>
      </c>
    </row>
    <row r="41" ht="15.75" customHeight="1">
      <c r="B41" s="433">
        <v>36.0</v>
      </c>
      <c r="C41" s="433"/>
      <c r="D41" s="433"/>
      <c r="E41" s="434" t="s">
        <v>22439</v>
      </c>
      <c r="F41" s="433" t="s">
        <v>22390</v>
      </c>
      <c r="G41" s="433" t="s">
        <v>29</v>
      </c>
      <c r="H41" s="433" t="s">
        <v>6271</v>
      </c>
      <c r="I41" s="433"/>
      <c r="J41" s="433" t="s">
        <v>38</v>
      </c>
      <c r="K41" s="433">
        <v>48.0</v>
      </c>
      <c r="L41" s="433"/>
      <c r="M41" s="433"/>
      <c r="N41" s="433" t="s">
        <v>13285</v>
      </c>
      <c r="O41" s="433"/>
      <c r="P41" s="433" t="s">
        <v>388</v>
      </c>
      <c r="Q41" s="433">
        <v>2.0</v>
      </c>
    </row>
    <row r="42" ht="15.75" customHeight="1">
      <c r="B42" s="433">
        <v>37.0</v>
      </c>
      <c r="C42" s="433"/>
      <c r="D42" s="433"/>
      <c r="E42" s="434" t="s">
        <v>22440</v>
      </c>
      <c r="F42" s="433" t="s">
        <v>22390</v>
      </c>
      <c r="G42" s="433" t="s">
        <v>29</v>
      </c>
      <c r="H42" s="433" t="s">
        <v>6271</v>
      </c>
      <c r="I42" s="433"/>
      <c r="J42" s="433" t="s">
        <v>38</v>
      </c>
      <c r="K42" s="433">
        <v>31.0</v>
      </c>
      <c r="L42" s="433"/>
      <c r="M42" s="433"/>
      <c r="N42" s="433" t="s">
        <v>6271</v>
      </c>
      <c r="O42" s="433"/>
      <c r="P42" s="433" t="s">
        <v>388</v>
      </c>
      <c r="Q42" s="433">
        <v>2.0</v>
      </c>
    </row>
    <row r="43" ht="15.75" customHeight="1">
      <c r="B43" s="433">
        <v>38.0</v>
      </c>
      <c r="C43" s="433"/>
      <c r="D43" s="433"/>
      <c r="E43" s="434" t="s">
        <v>22441</v>
      </c>
      <c r="F43" s="433" t="s">
        <v>22390</v>
      </c>
      <c r="G43" s="433" t="s">
        <v>29</v>
      </c>
      <c r="H43" s="433" t="s">
        <v>6271</v>
      </c>
      <c r="I43" s="433"/>
      <c r="J43" s="433" t="s">
        <v>38</v>
      </c>
      <c r="K43" s="433">
        <v>56.0</v>
      </c>
      <c r="L43" s="433"/>
      <c r="M43" s="433"/>
      <c r="N43" s="433" t="s">
        <v>6271</v>
      </c>
      <c r="O43" s="433"/>
      <c r="P43" s="433" t="s">
        <v>388</v>
      </c>
      <c r="Q43" s="433">
        <v>2.0</v>
      </c>
    </row>
    <row r="44" ht="15.75" customHeight="1">
      <c r="B44" s="433">
        <v>39.0</v>
      </c>
      <c r="C44" s="433"/>
      <c r="D44" s="433"/>
      <c r="E44" s="434" t="s">
        <v>22442</v>
      </c>
      <c r="F44" s="433" t="s">
        <v>22390</v>
      </c>
      <c r="G44" s="433" t="s">
        <v>29</v>
      </c>
      <c r="H44" s="433" t="s">
        <v>6271</v>
      </c>
      <c r="I44" s="433"/>
      <c r="J44" s="433" t="s">
        <v>38</v>
      </c>
      <c r="K44" s="433">
        <v>86.0</v>
      </c>
      <c r="L44" s="433" t="s">
        <v>22443</v>
      </c>
      <c r="M44" s="433"/>
      <c r="N44" s="433" t="s">
        <v>6271</v>
      </c>
      <c r="O44" s="433"/>
      <c r="P44" s="433" t="s">
        <v>388</v>
      </c>
      <c r="Q44" s="433">
        <v>2.0</v>
      </c>
    </row>
    <row r="45" ht="15.75" customHeight="1">
      <c r="B45" s="433">
        <v>40.0</v>
      </c>
      <c r="C45" s="433"/>
      <c r="D45" s="433"/>
      <c r="E45" s="434" t="s">
        <v>22444</v>
      </c>
      <c r="F45" s="433" t="s">
        <v>22390</v>
      </c>
      <c r="G45" s="433" t="s">
        <v>29</v>
      </c>
      <c r="H45" s="433" t="s">
        <v>6271</v>
      </c>
      <c r="I45" s="433"/>
      <c r="J45" s="433"/>
      <c r="K45" s="433">
        <v>37.0</v>
      </c>
      <c r="L45" s="433"/>
      <c r="M45" s="433"/>
      <c r="N45" s="433"/>
      <c r="O45" s="433"/>
      <c r="P45" s="433" t="s">
        <v>388</v>
      </c>
      <c r="Q45" s="433">
        <v>2.0</v>
      </c>
    </row>
    <row r="46" ht="15.75" customHeight="1">
      <c r="B46" s="433">
        <v>41.0</v>
      </c>
      <c r="C46" s="433"/>
      <c r="D46" s="433"/>
      <c r="E46" s="434" t="s">
        <v>22445</v>
      </c>
      <c r="F46" s="433" t="s">
        <v>22390</v>
      </c>
      <c r="G46" s="433" t="s">
        <v>29</v>
      </c>
      <c r="H46" s="433" t="s">
        <v>6271</v>
      </c>
      <c r="I46" s="433"/>
      <c r="J46" s="433"/>
      <c r="K46" s="433">
        <v>94.0</v>
      </c>
      <c r="L46" s="433"/>
      <c r="M46" s="433"/>
      <c r="N46" s="433" t="s">
        <v>22446</v>
      </c>
      <c r="O46" s="433">
        <v>1989.0</v>
      </c>
      <c r="P46" s="433" t="s">
        <v>388</v>
      </c>
      <c r="Q46" s="433">
        <v>1.0</v>
      </c>
    </row>
    <row r="47" ht="15.75" customHeight="1">
      <c r="B47" s="433">
        <v>42.0</v>
      </c>
      <c r="C47" s="433"/>
      <c r="D47" s="433"/>
      <c r="E47" s="434" t="s">
        <v>22447</v>
      </c>
      <c r="F47" s="433" t="s">
        <v>22390</v>
      </c>
      <c r="G47" s="433" t="s">
        <v>29</v>
      </c>
      <c r="H47" s="433" t="s">
        <v>6271</v>
      </c>
      <c r="I47" s="433"/>
      <c r="J47" s="433" t="s">
        <v>38</v>
      </c>
      <c r="K47" s="433">
        <v>37.0</v>
      </c>
      <c r="L47" s="433" t="s">
        <v>13285</v>
      </c>
      <c r="M47" s="433"/>
      <c r="N47" s="433" t="s">
        <v>6271</v>
      </c>
      <c r="O47" s="433"/>
      <c r="P47" s="433" t="s">
        <v>388</v>
      </c>
      <c r="Q47" s="433">
        <v>1.0</v>
      </c>
    </row>
    <row r="48" ht="15.75" customHeight="1">
      <c r="B48" s="433">
        <v>43.0</v>
      </c>
      <c r="C48" s="433"/>
      <c r="D48" s="433"/>
      <c r="E48" s="434" t="s">
        <v>22448</v>
      </c>
      <c r="F48" s="433" t="s">
        <v>22390</v>
      </c>
      <c r="G48" s="433" t="s">
        <v>29</v>
      </c>
      <c r="H48" s="433" t="s">
        <v>6271</v>
      </c>
      <c r="I48" s="433"/>
      <c r="J48" s="433" t="s">
        <v>38</v>
      </c>
      <c r="K48" s="433">
        <v>123.0</v>
      </c>
      <c r="L48" s="433" t="s">
        <v>13285</v>
      </c>
      <c r="M48" s="433"/>
      <c r="N48" s="433" t="s">
        <v>6271</v>
      </c>
      <c r="O48" s="433"/>
      <c r="P48" s="433" t="s">
        <v>388</v>
      </c>
      <c r="Q48" s="433">
        <v>1.0</v>
      </c>
    </row>
    <row r="49" ht="15.75" customHeight="1">
      <c r="B49" s="433">
        <v>44.0</v>
      </c>
      <c r="C49" s="433"/>
      <c r="D49" s="433"/>
      <c r="E49" s="434" t="s">
        <v>22449</v>
      </c>
      <c r="F49" s="433" t="s">
        <v>22390</v>
      </c>
      <c r="G49" s="433" t="s">
        <v>29</v>
      </c>
      <c r="H49" s="433" t="s">
        <v>6271</v>
      </c>
      <c r="I49" s="433"/>
      <c r="J49" s="433" t="s">
        <v>38</v>
      </c>
      <c r="K49" s="433">
        <v>35.0</v>
      </c>
      <c r="L49" s="433" t="s">
        <v>22450</v>
      </c>
      <c r="M49" s="433"/>
      <c r="N49" s="433"/>
      <c r="O49" s="433"/>
      <c r="P49" s="433" t="s">
        <v>388</v>
      </c>
      <c r="Q49" s="433">
        <v>2.0</v>
      </c>
    </row>
    <row r="50" ht="15.75" customHeight="1">
      <c r="B50" s="433">
        <v>45.0</v>
      </c>
      <c r="C50" s="433"/>
      <c r="D50" s="433"/>
      <c r="E50" s="434" t="s">
        <v>22451</v>
      </c>
      <c r="F50" s="433" t="s">
        <v>22390</v>
      </c>
      <c r="G50" s="433" t="s">
        <v>29</v>
      </c>
      <c r="H50" s="433" t="s">
        <v>3746</v>
      </c>
      <c r="I50" s="433"/>
      <c r="J50" s="433" t="s">
        <v>38</v>
      </c>
      <c r="K50" s="433">
        <v>284.0</v>
      </c>
      <c r="L50" s="433"/>
      <c r="M50" s="433"/>
      <c r="N50" s="433" t="s">
        <v>22452</v>
      </c>
      <c r="O50" s="433">
        <v>1980.0</v>
      </c>
      <c r="P50" s="433" t="s">
        <v>388</v>
      </c>
      <c r="Q50" s="433">
        <v>1.0</v>
      </c>
    </row>
    <row r="51" ht="15.75" customHeight="1">
      <c r="B51" s="433">
        <v>46.0</v>
      </c>
      <c r="C51" s="433"/>
      <c r="D51" s="433"/>
      <c r="E51" s="434" t="s">
        <v>22453</v>
      </c>
      <c r="F51" s="433" t="s">
        <v>22390</v>
      </c>
      <c r="G51" s="433" t="s">
        <v>29</v>
      </c>
      <c r="H51" s="433" t="s">
        <v>21891</v>
      </c>
      <c r="I51" s="433"/>
      <c r="J51" s="433" t="s">
        <v>131</v>
      </c>
      <c r="K51" s="433">
        <v>84.0</v>
      </c>
      <c r="L51" s="433"/>
      <c r="M51" s="433"/>
      <c r="N51" s="433"/>
      <c r="O51" s="433">
        <v>1967.0</v>
      </c>
      <c r="P51" s="433" t="s">
        <v>388</v>
      </c>
      <c r="Q51" s="433">
        <v>2.0</v>
      </c>
    </row>
    <row r="52" ht="15.75" customHeight="1">
      <c r="B52" s="433">
        <v>47.0</v>
      </c>
      <c r="C52" s="433"/>
      <c r="D52" s="433"/>
      <c r="E52" s="434" t="s">
        <v>22454</v>
      </c>
      <c r="F52" s="433" t="s">
        <v>22390</v>
      </c>
      <c r="G52" s="433" t="s">
        <v>29</v>
      </c>
      <c r="H52" s="433" t="s">
        <v>21891</v>
      </c>
      <c r="I52" s="433"/>
      <c r="J52" s="433" t="s">
        <v>131</v>
      </c>
      <c r="K52" s="433">
        <v>306.0</v>
      </c>
      <c r="L52" s="433"/>
      <c r="M52" s="433"/>
      <c r="N52" s="433"/>
      <c r="O52" s="433">
        <v>1969.0</v>
      </c>
      <c r="P52" s="433" t="s">
        <v>388</v>
      </c>
      <c r="Q52" s="433">
        <v>1.0</v>
      </c>
    </row>
    <row r="53" ht="15.75" customHeight="1">
      <c r="B53" s="433">
        <v>48.0</v>
      </c>
      <c r="C53" s="433"/>
      <c r="D53" s="433"/>
      <c r="E53" s="434" t="s">
        <v>22408</v>
      </c>
      <c r="F53" s="433" t="s">
        <v>22390</v>
      </c>
      <c r="G53" s="433" t="s">
        <v>29</v>
      </c>
      <c r="H53" s="433" t="s">
        <v>21891</v>
      </c>
      <c r="I53" s="433"/>
      <c r="J53" s="433" t="s">
        <v>131</v>
      </c>
      <c r="K53" s="433">
        <v>80.0</v>
      </c>
      <c r="L53" s="433"/>
      <c r="M53" s="433"/>
      <c r="N53" s="433" t="s">
        <v>22455</v>
      </c>
      <c r="O53" s="433">
        <v>1964.0</v>
      </c>
      <c r="P53" s="433" t="s">
        <v>388</v>
      </c>
      <c r="Q53" s="433">
        <v>1.0</v>
      </c>
    </row>
    <row r="54" ht="15.75" customHeight="1">
      <c r="B54" s="433">
        <v>49.0</v>
      </c>
      <c r="C54" s="433"/>
      <c r="D54" s="433"/>
      <c r="E54" s="434" t="s">
        <v>22456</v>
      </c>
      <c r="F54" s="433" t="s">
        <v>22390</v>
      </c>
      <c r="G54" s="433" t="s">
        <v>29</v>
      </c>
      <c r="H54" s="433" t="s">
        <v>21891</v>
      </c>
      <c r="I54" s="433"/>
      <c r="J54" s="433" t="s">
        <v>131</v>
      </c>
      <c r="K54" s="433">
        <v>15.0</v>
      </c>
      <c r="L54" s="433"/>
      <c r="M54" s="433"/>
      <c r="N54" s="433" t="s">
        <v>22455</v>
      </c>
      <c r="O54" s="433"/>
      <c r="P54" s="433" t="s">
        <v>388</v>
      </c>
      <c r="Q54" s="433">
        <v>4.0</v>
      </c>
    </row>
    <row r="55" ht="15.75" customHeight="1">
      <c r="B55" s="433">
        <v>50.0</v>
      </c>
      <c r="C55" s="433"/>
      <c r="D55" s="433"/>
      <c r="E55" s="434" t="s">
        <v>22457</v>
      </c>
      <c r="F55" s="433" t="s">
        <v>22390</v>
      </c>
      <c r="G55" s="433" t="s">
        <v>29</v>
      </c>
      <c r="H55" s="433" t="s">
        <v>21891</v>
      </c>
      <c r="I55" s="433"/>
      <c r="J55" s="433" t="s">
        <v>131</v>
      </c>
      <c r="K55" s="433">
        <v>40.0</v>
      </c>
      <c r="L55" s="433"/>
      <c r="M55" s="433"/>
      <c r="N55" s="433" t="s">
        <v>22455</v>
      </c>
      <c r="O55" s="433"/>
      <c r="P55" s="433" t="s">
        <v>388</v>
      </c>
      <c r="Q55" s="433">
        <v>1.0</v>
      </c>
    </row>
    <row r="56" ht="15.75" customHeight="1">
      <c r="B56" s="433">
        <v>51.0</v>
      </c>
      <c r="C56" s="433"/>
      <c r="D56" s="433"/>
      <c r="E56" s="434" t="s">
        <v>22458</v>
      </c>
      <c r="F56" s="433" t="s">
        <v>22390</v>
      </c>
      <c r="G56" s="433" t="s">
        <v>29</v>
      </c>
      <c r="H56" s="433" t="s">
        <v>21891</v>
      </c>
      <c r="I56" s="433"/>
      <c r="J56" s="433" t="s">
        <v>131</v>
      </c>
      <c r="K56" s="433">
        <v>468.0</v>
      </c>
      <c r="L56" s="433"/>
      <c r="M56" s="433"/>
      <c r="N56" s="433"/>
      <c r="O56" s="433">
        <v>1970.0</v>
      </c>
      <c r="P56" s="433" t="s">
        <v>388</v>
      </c>
      <c r="Q56" s="433">
        <v>3.0</v>
      </c>
    </row>
    <row r="57" ht="15.75" customHeight="1">
      <c r="B57" s="433">
        <v>52.0</v>
      </c>
      <c r="C57" s="433"/>
      <c r="D57" s="433"/>
      <c r="E57" s="434" t="s">
        <v>22459</v>
      </c>
      <c r="F57" s="433" t="s">
        <v>22390</v>
      </c>
      <c r="G57" s="433" t="s">
        <v>29</v>
      </c>
      <c r="H57" s="433" t="s">
        <v>21891</v>
      </c>
      <c r="I57" s="433"/>
      <c r="J57" s="433" t="s">
        <v>131</v>
      </c>
      <c r="K57" s="433">
        <v>125.0</v>
      </c>
      <c r="L57" s="433"/>
      <c r="M57" s="433" t="s">
        <v>13582</v>
      </c>
      <c r="N57" s="433" t="s">
        <v>22455</v>
      </c>
      <c r="O57" s="433">
        <v>1966.0</v>
      </c>
      <c r="P57" s="433" t="s">
        <v>388</v>
      </c>
      <c r="Q57" s="433">
        <v>3.0</v>
      </c>
    </row>
    <row r="58" ht="15.75" customHeight="1">
      <c r="B58" s="433">
        <v>53.0</v>
      </c>
      <c r="C58" s="433"/>
      <c r="D58" s="433"/>
      <c r="E58" s="434" t="s">
        <v>22460</v>
      </c>
      <c r="F58" s="433" t="s">
        <v>22390</v>
      </c>
      <c r="G58" s="433" t="s">
        <v>29</v>
      </c>
      <c r="H58" s="433" t="s">
        <v>21891</v>
      </c>
      <c r="I58" s="433"/>
      <c r="J58" s="433"/>
      <c r="K58" s="433">
        <v>90.0</v>
      </c>
      <c r="L58" s="433"/>
      <c r="M58" s="433" t="s">
        <v>22461</v>
      </c>
      <c r="N58" s="433"/>
      <c r="O58" s="433">
        <v>1964.0</v>
      </c>
      <c r="P58" s="433" t="s">
        <v>388</v>
      </c>
      <c r="Q58" s="433">
        <v>2.0</v>
      </c>
    </row>
    <row r="59" ht="15.75" customHeight="1">
      <c r="B59" s="433">
        <v>54.0</v>
      </c>
      <c r="C59" s="433"/>
      <c r="D59" s="433"/>
      <c r="E59" s="434" t="s">
        <v>22462</v>
      </c>
      <c r="F59" s="433" t="s">
        <v>22390</v>
      </c>
      <c r="G59" s="433" t="s">
        <v>29</v>
      </c>
      <c r="H59" s="433" t="s">
        <v>21891</v>
      </c>
      <c r="I59" s="433"/>
      <c r="J59" s="433" t="s">
        <v>2743</v>
      </c>
      <c r="K59" s="433"/>
      <c r="L59" s="433"/>
      <c r="M59" s="433"/>
      <c r="N59" s="433" t="s">
        <v>22409</v>
      </c>
      <c r="O59" s="433">
        <v>1969.0</v>
      </c>
      <c r="P59" s="433" t="s">
        <v>388</v>
      </c>
      <c r="Q59" s="433">
        <v>1.0</v>
      </c>
    </row>
    <row r="60" ht="15.75" customHeight="1">
      <c r="B60" s="433">
        <v>55.0</v>
      </c>
      <c r="C60" s="433"/>
      <c r="D60" s="433"/>
      <c r="E60" s="434" t="s">
        <v>22463</v>
      </c>
      <c r="F60" s="433" t="s">
        <v>22390</v>
      </c>
      <c r="G60" s="433" t="s">
        <v>29</v>
      </c>
      <c r="H60" s="433" t="s">
        <v>21891</v>
      </c>
      <c r="I60" s="433"/>
      <c r="J60" s="433" t="s">
        <v>21891</v>
      </c>
      <c r="K60" s="433"/>
      <c r="L60" s="433"/>
      <c r="M60" s="433"/>
      <c r="N60" s="433" t="s">
        <v>22409</v>
      </c>
      <c r="O60" s="433">
        <v>1970.0</v>
      </c>
      <c r="P60" s="433" t="s">
        <v>388</v>
      </c>
      <c r="Q60" s="433">
        <v>1.0</v>
      </c>
    </row>
    <row r="61" ht="15.75" customHeight="1">
      <c r="B61" s="433">
        <v>56.0</v>
      </c>
      <c r="C61" s="433"/>
      <c r="D61" s="433"/>
      <c r="E61" s="434" t="s">
        <v>22464</v>
      </c>
      <c r="F61" s="433" t="s">
        <v>22390</v>
      </c>
      <c r="G61" s="433" t="s">
        <v>29</v>
      </c>
      <c r="H61" s="433" t="s">
        <v>11105</v>
      </c>
      <c r="I61" s="433"/>
      <c r="J61" s="433" t="s">
        <v>22465</v>
      </c>
      <c r="K61" s="433"/>
      <c r="L61" s="433"/>
      <c r="M61" s="433" t="s">
        <v>22466</v>
      </c>
      <c r="N61" s="433" t="s">
        <v>54</v>
      </c>
      <c r="O61" s="433">
        <v>1972.0</v>
      </c>
      <c r="P61" s="433" t="s">
        <v>388</v>
      </c>
      <c r="Q61" s="433">
        <v>1.0</v>
      </c>
    </row>
    <row r="62" ht="15.75" customHeight="1">
      <c r="B62" s="433">
        <v>57.0</v>
      </c>
      <c r="C62" s="433"/>
      <c r="D62" s="433"/>
      <c r="E62" s="434" t="s">
        <v>22467</v>
      </c>
      <c r="F62" s="433" t="s">
        <v>22390</v>
      </c>
      <c r="G62" s="433" t="s">
        <v>29</v>
      </c>
      <c r="H62" s="433" t="s">
        <v>38</v>
      </c>
      <c r="I62" s="433"/>
      <c r="J62" s="433" t="s">
        <v>22076</v>
      </c>
      <c r="K62" s="433">
        <v>55.0</v>
      </c>
      <c r="L62" s="433"/>
      <c r="M62" s="433" t="s">
        <v>13582</v>
      </c>
      <c r="N62" s="433" t="s">
        <v>22468</v>
      </c>
      <c r="O62" s="433">
        <v>1969.0</v>
      </c>
      <c r="P62" s="433" t="s">
        <v>388</v>
      </c>
      <c r="Q62" s="433">
        <v>1.0</v>
      </c>
    </row>
    <row r="63" ht="15.75" customHeight="1">
      <c r="B63" s="433">
        <v>58.0</v>
      </c>
      <c r="C63" s="433" t="s">
        <v>22469</v>
      </c>
      <c r="D63" s="433"/>
      <c r="E63" s="434" t="s">
        <v>22470</v>
      </c>
      <c r="F63" s="433" t="s">
        <v>22390</v>
      </c>
      <c r="G63" s="433" t="s">
        <v>29</v>
      </c>
      <c r="H63" s="433" t="s">
        <v>38</v>
      </c>
      <c r="I63" s="433"/>
      <c r="J63" s="433" t="s">
        <v>22076</v>
      </c>
      <c r="K63" s="433">
        <v>157.0</v>
      </c>
      <c r="L63" s="433" t="s">
        <v>22471</v>
      </c>
      <c r="M63" s="433"/>
      <c r="N63" s="433" t="s">
        <v>22472</v>
      </c>
      <c r="O63" s="433">
        <v>1979.0</v>
      </c>
      <c r="P63" s="433" t="s">
        <v>388</v>
      </c>
      <c r="Q63" s="433">
        <v>1.0</v>
      </c>
    </row>
    <row r="64" ht="15.75" customHeight="1">
      <c r="B64" s="433">
        <v>59.0</v>
      </c>
      <c r="C64" s="433"/>
      <c r="D64" s="433"/>
      <c r="E64" s="434" t="s">
        <v>22473</v>
      </c>
      <c r="F64" s="433" t="s">
        <v>22390</v>
      </c>
      <c r="G64" s="433" t="s">
        <v>29</v>
      </c>
      <c r="H64" s="433" t="s">
        <v>38</v>
      </c>
      <c r="I64" s="433"/>
      <c r="J64" s="433" t="s">
        <v>22076</v>
      </c>
      <c r="K64" s="433">
        <v>24.0</v>
      </c>
      <c r="L64" s="433"/>
      <c r="M64" s="433"/>
      <c r="N64" s="433" t="s">
        <v>22474</v>
      </c>
      <c r="O64" s="433">
        <v>1952.0</v>
      </c>
      <c r="P64" s="433" t="s">
        <v>388</v>
      </c>
      <c r="Q64" s="433">
        <v>1.0</v>
      </c>
    </row>
    <row r="65" ht="15.75" customHeight="1">
      <c r="B65" s="433">
        <v>60.0</v>
      </c>
      <c r="C65" s="433"/>
      <c r="D65" s="433"/>
      <c r="E65" s="434" t="s">
        <v>22475</v>
      </c>
      <c r="F65" s="433" t="s">
        <v>22390</v>
      </c>
      <c r="G65" s="433" t="s">
        <v>29</v>
      </c>
      <c r="H65" s="433" t="s">
        <v>38</v>
      </c>
      <c r="I65" s="433"/>
      <c r="J65" s="433" t="s">
        <v>22076</v>
      </c>
      <c r="K65" s="433">
        <v>47.0</v>
      </c>
      <c r="L65" s="433"/>
      <c r="M65" s="433"/>
      <c r="N65" s="433" t="s">
        <v>22474</v>
      </c>
      <c r="O65" s="433"/>
      <c r="P65" s="433" t="s">
        <v>388</v>
      </c>
      <c r="Q65" s="433">
        <v>1.0</v>
      </c>
    </row>
    <row r="66" ht="15.75" customHeight="1">
      <c r="B66" s="433">
        <v>61.0</v>
      </c>
      <c r="C66" s="433"/>
      <c r="D66" s="433"/>
      <c r="E66" s="434" t="s">
        <v>22476</v>
      </c>
      <c r="F66" s="433" t="s">
        <v>22390</v>
      </c>
      <c r="G66" s="433" t="s">
        <v>29</v>
      </c>
      <c r="H66" s="433" t="s">
        <v>38</v>
      </c>
      <c r="I66" s="433"/>
      <c r="J66" s="433" t="s">
        <v>3849</v>
      </c>
      <c r="K66" s="433">
        <v>96.0</v>
      </c>
      <c r="L66" s="433"/>
      <c r="M66" s="433"/>
      <c r="N66" s="433" t="s">
        <v>22474</v>
      </c>
      <c r="O66" s="433"/>
      <c r="P66" s="433" t="s">
        <v>388</v>
      </c>
      <c r="Q66" s="433">
        <v>1.0</v>
      </c>
    </row>
    <row r="67" ht="15.75" customHeight="1">
      <c r="B67" s="433">
        <v>62.0</v>
      </c>
      <c r="C67" s="433"/>
      <c r="D67" s="433"/>
      <c r="E67" s="434" t="s">
        <v>22477</v>
      </c>
      <c r="F67" s="433" t="s">
        <v>22390</v>
      </c>
      <c r="G67" s="433" t="s">
        <v>29</v>
      </c>
      <c r="H67" s="433" t="s">
        <v>2417</v>
      </c>
      <c r="I67" s="433"/>
      <c r="J67" s="433" t="s">
        <v>22478</v>
      </c>
      <c r="K67" s="433">
        <v>87.0</v>
      </c>
      <c r="L67" s="433"/>
      <c r="M67" s="433" t="s">
        <v>13582</v>
      </c>
      <c r="N67" s="433" t="s">
        <v>22479</v>
      </c>
      <c r="O67" s="433">
        <v>1972.0</v>
      </c>
      <c r="P67" s="433" t="s">
        <v>388</v>
      </c>
      <c r="Q67" s="433">
        <v>2.0</v>
      </c>
    </row>
    <row r="68" ht="15.75" customHeight="1">
      <c r="B68" s="433">
        <v>63.0</v>
      </c>
      <c r="C68" s="433"/>
      <c r="D68" s="433"/>
      <c r="E68" s="434" t="s">
        <v>22480</v>
      </c>
      <c r="F68" s="433" t="s">
        <v>22390</v>
      </c>
      <c r="G68" s="433" t="s">
        <v>29</v>
      </c>
      <c r="H68" s="433" t="s">
        <v>38</v>
      </c>
      <c r="I68" s="433"/>
      <c r="J68" s="433"/>
      <c r="K68" s="433"/>
      <c r="L68" s="433"/>
      <c r="M68" s="433"/>
      <c r="N68" s="433" t="s">
        <v>22481</v>
      </c>
      <c r="O68" s="433">
        <v>1952.0</v>
      </c>
      <c r="P68" s="433" t="s">
        <v>388</v>
      </c>
      <c r="Q68" s="433">
        <v>1.0</v>
      </c>
    </row>
    <row r="69" ht="15.75" customHeight="1">
      <c r="B69" s="433">
        <v>64.0</v>
      </c>
      <c r="C69" s="433">
        <v>9.061264685E9</v>
      </c>
      <c r="D69" s="433"/>
      <c r="E69" s="434" t="s">
        <v>22482</v>
      </c>
      <c r="F69" s="433" t="s">
        <v>22390</v>
      </c>
      <c r="G69" s="433" t="s">
        <v>29</v>
      </c>
      <c r="H69" s="433" t="s">
        <v>131</v>
      </c>
      <c r="I69" s="433"/>
      <c r="J69" s="433"/>
      <c r="K69" s="433">
        <v>64.0</v>
      </c>
      <c r="L69" s="433" t="s">
        <v>22483</v>
      </c>
      <c r="M69" s="433"/>
      <c r="N69" s="433" t="s">
        <v>22484</v>
      </c>
      <c r="O69" s="433">
        <v>1972.0</v>
      </c>
      <c r="P69" s="433" t="s">
        <v>388</v>
      </c>
      <c r="Q69" s="433">
        <v>1.0</v>
      </c>
    </row>
    <row r="70" ht="15.75" customHeight="1">
      <c r="B70" s="433">
        <v>65.0</v>
      </c>
      <c r="C70" s="433"/>
      <c r="D70" s="433"/>
      <c r="E70" s="434" t="s">
        <v>22485</v>
      </c>
      <c r="F70" s="433" t="s">
        <v>22390</v>
      </c>
      <c r="G70" s="433" t="s">
        <v>29</v>
      </c>
      <c r="H70" s="433" t="s">
        <v>131</v>
      </c>
      <c r="I70" s="433"/>
      <c r="J70" s="433" t="s">
        <v>131</v>
      </c>
      <c r="K70" s="433"/>
      <c r="L70" s="433"/>
      <c r="M70" s="433" t="s">
        <v>22486</v>
      </c>
      <c r="N70" s="433" t="s">
        <v>21891</v>
      </c>
      <c r="O70" s="433">
        <v>1967.0</v>
      </c>
      <c r="P70" s="433" t="s">
        <v>388</v>
      </c>
      <c r="Q70" s="433">
        <v>2.0</v>
      </c>
    </row>
    <row r="71" ht="15.75" customHeight="1">
      <c r="B71" s="433">
        <v>66.0</v>
      </c>
      <c r="C71" s="433"/>
      <c r="D71" s="433"/>
      <c r="E71" s="434" t="s">
        <v>22487</v>
      </c>
      <c r="F71" s="433" t="s">
        <v>22390</v>
      </c>
      <c r="G71" s="433" t="s">
        <v>29</v>
      </c>
      <c r="H71" s="433" t="s">
        <v>131</v>
      </c>
      <c r="I71" s="433"/>
      <c r="J71" s="433" t="s">
        <v>131</v>
      </c>
      <c r="K71" s="433"/>
      <c r="L71" s="433"/>
      <c r="M71" s="433" t="s">
        <v>22488</v>
      </c>
      <c r="N71" s="433" t="s">
        <v>21891</v>
      </c>
      <c r="O71" s="433">
        <v>1977.0</v>
      </c>
      <c r="P71" s="433" t="s">
        <v>388</v>
      </c>
      <c r="Q71" s="433">
        <v>1.0</v>
      </c>
    </row>
    <row r="72" ht="15.75" customHeight="1">
      <c r="B72" s="433">
        <v>67.0</v>
      </c>
      <c r="C72" s="433"/>
      <c r="D72" s="433"/>
      <c r="E72" s="434" t="s">
        <v>22489</v>
      </c>
      <c r="F72" s="433" t="s">
        <v>22390</v>
      </c>
      <c r="G72" s="433" t="s">
        <v>29</v>
      </c>
      <c r="H72" s="433" t="s">
        <v>131</v>
      </c>
      <c r="I72" s="433"/>
      <c r="J72" s="433" t="s">
        <v>131</v>
      </c>
      <c r="K72" s="433"/>
      <c r="L72" s="433"/>
      <c r="M72" s="433" t="s">
        <v>22490</v>
      </c>
      <c r="N72" s="433" t="s">
        <v>21891</v>
      </c>
      <c r="O72" s="433">
        <v>1977.0</v>
      </c>
      <c r="P72" s="433" t="s">
        <v>388</v>
      </c>
      <c r="Q72" s="433">
        <v>1.0</v>
      </c>
    </row>
    <row r="73" ht="15.75" customHeight="1">
      <c r="B73" s="433">
        <v>68.0</v>
      </c>
      <c r="C73" s="433"/>
      <c r="D73" s="433"/>
      <c r="E73" s="434" t="s">
        <v>22491</v>
      </c>
      <c r="F73" s="433" t="s">
        <v>22390</v>
      </c>
      <c r="G73" s="433" t="s">
        <v>29</v>
      </c>
      <c r="H73" s="433" t="s">
        <v>131</v>
      </c>
      <c r="I73" s="433"/>
      <c r="J73" s="433" t="s">
        <v>131</v>
      </c>
      <c r="K73" s="433"/>
      <c r="L73" s="433"/>
      <c r="M73" s="433" t="s">
        <v>22492</v>
      </c>
      <c r="N73" s="433" t="s">
        <v>21891</v>
      </c>
      <c r="O73" s="433">
        <v>1986.0</v>
      </c>
      <c r="P73" s="433" t="s">
        <v>388</v>
      </c>
      <c r="Q73" s="433">
        <v>1.0</v>
      </c>
    </row>
    <row r="74" ht="15.75" customHeight="1">
      <c r="B74" s="433">
        <v>69.0</v>
      </c>
      <c r="C74" s="433"/>
      <c r="D74" s="433"/>
      <c r="E74" s="434" t="s">
        <v>22493</v>
      </c>
      <c r="F74" s="433" t="s">
        <v>22390</v>
      </c>
      <c r="G74" s="433" t="s">
        <v>29</v>
      </c>
      <c r="H74" s="433" t="s">
        <v>131</v>
      </c>
      <c r="I74" s="433"/>
      <c r="J74" s="433" t="s">
        <v>131</v>
      </c>
      <c r="K74" s="433"/>
      <c r="L74" s="433"/>
      <c r="M74" s="433" t="s">
        <v>22494</v>
      </c>
      <c r="N74" s="433" t="s">
        <v>21891</v>
      </c>
      <c r="O74" s="433">
        <v>1974.0</v>
      </c>
      <c r="P74" s="433" t="s">
        <v>388</v>
      </c>
      <c r="Q74" s="433">
        <v>1.0</v>
      </c>
    </row>
    <row r="75" ht="15.75" customHeight="1">
      <c r="B75" s="433">
        <v>70.0</v>
      </c>
      <c r="C75" s="433"/>
      <c r="D75" s="433"/>
      <c r="E75" s="434" t="s">
        <v>22495</v>
      </c>
      <c r="F75" s="433" t="s">
        <v>22390</v>
      </c>
      <c r="G75" s="433" t="s">
        <v>29</v>
      </c>
      <c r="H75" s="433" t="s">
        <v>131</v>
      </c>
      <c r="I75" s="433"/>
      <c r="J75" s="433" t="s">
        <v>131</v>
      </c>
      <c r="K75" s="433"/>
      <c r="L75" s="433"/>
      <c r="M75" s="433" t="s">
        <v>22496</v>
      </c>
      <c r="N75" s="433" t="s">
        <v>21891</v>
      </c>
      <c r="O75" s="433">
        <v>1977.0</v>
      </c>
      <c r="P75" s="433" t="s">
        <v>388</v>
      </c>
      <c r="Q75" s="433">
        <v>1.0</v>
      </c>
    </row>
    <row r="76" ht="15.75" customHeight="1">
      <c r="B76" s="433">
        <v>71.0</v>
      </c>
      <c r="C76" s="433"/>
      <c r="D76" s="433"/>
      <c r="E76" s="434" t="s">
        <v>22428</v>
      </c>
      <c r="F76" s="433" t="s">
        <v>22390</v>
      </c>
      <c r="G76" s="433" t="s">
        <v>29</v>
      </c>
      <c r="H76" s="433" t="s">
        <v>131</v>
      </c>
      <c r="I76" s="433"/>
      <c r="J76" s="433" t="s">
        <v>131</v>
      </c>
      <c r="K76" s="433"/>
      <c r="L76" s="433"/>
      <c r="M76" s="433" t="s">
        <v>22497</v>
      </c>
      <c r="N76" s="433" t="s">
        <v>21891</v>
      </c>
      <c r="O76" s="433">
        <v>1976.0</v>
      </c>
      <c r="P76" s="433" t="s">
        <v>388</v>
      </c>
      <c r="Q76" s="433">
        <v>1.0</v>
      </c>
    </row>
    <row r="77" ht="15.75" customHeight="1">
      <c r="B77" s="433">
        <v>72.0</v>
      </c>
      <c r="C77" s="433"/>
      <c r="D77" s="433"/>
      <c r="E77" s="434" t="s">
        <v>22498</v>
      </c>
      <c r="F77" s="433" t="s">
        <v>22390</v>
      </c>
      <c r="G77" s="433" t="s">
        <v>29</v>
      </c>
      <c r="H77" s="433" t="s">
        <v>131</v>
      </c>
      <c r="I77" s="433"/>
      <c r="J77" s="433" t="s">
        <v>131</v>
      </c>
      <c r="K77" s="433"/>
      <c r="L77" s="433"/>
      <c r="M77" s="433" t="s">
        <v>21453</v>
      </c>
      <c r="N77" s="433" t="s">
        <v>21891</v>
      </c>
      <c r="O77" s="433">
        <v>1976.0</v>
      </c>
      <c r="P77" s="433" t="s">
        <v>388</v>
      </c>
      <c r="Q77" s="433">
        <v>2.0</v>
      </c>
    </row>
    <row r="78" ht="15.75" customHeight="1">
      <c r="B78" s="433">
        <v>73.0</v>
      </c>
      <c r="C78" s="433"/>
      <c r="D78" s="433"/>
      <c r="E78" s="434" t="s">
        <v>22427</v>
      </c>
      <c r="F78" s="433" t="s">
        <v>22390</v>
      </c>
      <c r="G78" s="433" t="s">
        <v>29</v>
      </c>
      <c r="H78" s="433" t="s">
        <v>131</v>
      </c>
      <c r="I78" s="433"/>
      <c r="J78" s="433" t="s">
        <v>131</v>
      </c>
      <c r="K78" s="433"/>
      <c r="L78" s="433"/>
      <c r="M78" s="433" t="s">
        <v>21453</v>
      </c>
      <c r="N78" s="433" t="s">
        <v>21891</v>
      </c>
      <c r="O78" s="433">
        <v>1975.0</v>
      </c>
      <c r="P78" s="433" t="s">
        <v>388</v>
      </c>
      <c r="Q78" s="433">
        <v>1.0</v>
      </c>
    </row>
    <row r="79" ht="15.75" customHeight="1">
      <c r="B79" s="433">
        <v>74.0</v>
      </c>
      <c r="C79" s="433"/>
      <c r="D79" s="433"/>
      <c r="E79" s="434" t="s">
        <v>22499</v>
      </c>
      <c r="F79" s="433" t="s">
        <v>22390</v>
      </c>
      <c r="G79" s="433" t="s">
        <v>29</v>
      </c>
      <c r="H79" s="433" t="s">
        <v>131</v>
      </c>
      <c r="I79" s="433"/>
      <c r="J79" s="433" t="s">
        <v>131</v>
      </c>
      <c r="K79" s="433"/>
      <c r="L79" s="433"/>
      <c r="M79" s="433" t="s">
        <v>22500</v>
      </c>
      <c r="N79" s="433" t="s">
        <v>21891</v>
      </c>
      <c r="O79" s="433">
        <v>1977.0</v>
      </c>
      <c r="P79" s="433" t="s">
        <v>388</v>
      </c>
      <c r="Q79" s="433">
        <v>2.0</v>
      </c>
    </row>
    <row r="80" ht="15.75" customHeight="1">
      <c r="B80" s="433">
        <v>75.0</v>
      </c>
      <c r="C80" s="433"/>
      <c r="D80" s="433"/>
      <c r="E80" s="434" t="s">
        <v>22424</v>
      </c>
      <c r="F80" s="433" t="s">
        <v>22390</v>
      </c>
      <c r="G80" s="433" t="s">
        <v>29</v>
      </c>
      <c r="H80" s="433" t="s">
        <v>131</v>
      </c>
      <c r="I80" s="433"/>
      <c r="J80" s="433" t="s">
        <v>131</v>
      </c>
      <c r="K80" s="433"/>
      <c r="L80" s="433"/>
      <c r="M80" s="433" t="s">
        <v>13582</v>
      </c>
      <c r="N80" s="433" t="s">
        <v>21891</v>
      </c>
      <c r="O80" s="433">
        <v>1978.0</v>
      </c>
      <c r="P80" s="433" t="s">
        <v>388</v>
      </c>
      <c r="Q80" s="433">
        <v>1.0</v>
      </c>
    </row>
    <row r="81" ht="15.75" customHeight="1">
      <c r="B81" s="433">
        <v>76.0</v>
      </c>
      <c r="C81" s="433"/>
      <c r="D81" s="433"/>
      <c r="E81" s="434" t="s">
        <v>22501</v>
      </c>
      <c r="F81" s="433" t="s">
        <v>22390</v>
      </c>
      <c r="G81" s="433" t="s">
        <v>29</v>
      </c>
      <c r="H81" s="433" t="s">
        <v>131</v>
      </c>
      <c r="I81" s="433"/>
      <c r="J81" s="433" t="s">
        <v>131</v>
      </c>
      <c r="K81" s="433"/>
      <c r="L81" s="433"/>
      <c r="M81" s="433" t="s">
        <v>13582</v>
      </c>
      <c r="N81" s="433" t="s">
        <v>21891</v>
      </c>
      <c r="O81" s="433">
        <v>1978.0</v>
      </c>
      <c r="P81" s="433" t="s">
        <v>388</v>
      </c>
      <c r="Q81" s="433">
        <v>1.0</v>
      </c>
    </row>
    <row r="82" ht="15.75" customHeight="1">
      <c r="B82" s="433">
        <v>77.0</v>
      </c>
      <c r="C82" s="433"/>
      <c r="D82" s="433"/>
      <c r="E82" s="434" t="s">
        <v>22502</v>
      </c>
      <c r="F82" s="433" t="s">
        <v>22390</v>
      </c>
      <c r="G82" s="433" t="s">
        <v>29</v>
      </c>
      <c r="H82" s="433" t="s">
        <v>131</v>
      </c>
      <c r="I82" s="433"/>
      <c r="J82" s="433" t="s">
        <v>131</v>
      </c>
      <c r="K82" s="433"/>
      <c r="L82" s="433"/>
      <c r="M82" s="433" t="s">
        <v>13582</v>
      </c>
      <c r="N82" s="433" t="s">
        <v>21891</v>
      </c>
      <c r="O82" s="433">
        <v>1977.0</v>
      </c>
      <c r="P82" s="433" t="s">
        <v>388</v>
      </c>
      <c r="Q82" s="433">
        <v>1.0</v>
      </c>
    </row>
    <row r="83" ht="15.75" customHeight="1">
      <c r="B83" s="433">
        <v>78.0</v>
      </c>
      <c r="C83" s="433"/>
      <c r="D83" s="433"/>
      <c r="E83" s="434" t="s">
        <v>22503</v>
      </c>
      <c r="F83" s="433" t="s">
        <v>22390</v>
      </c>
      <c r="G83" s="433" t="s">
        <v>29</v>
      </c>
      <c r="H83" s="433" t="s">
        <v>131</v>
      </c>
      <c r="I83" s="433"/>
      <c r="J83" s="433" t="s">
        <v>131</v>
      </c>
      <c r="K83" s="433"/>
      <c r="L83" s="433"/>
      <c r="M83" s="433" t="s">
        <v>13582</v>
      </c>
      <c r="N83" s="433" t="s">
        <v>21891</v>
      </c>
      <c r="O83" s="433">
        <v>1978.0</v>
      </c>
      <c r="P83" s="433" t="s">
        <v>388</v>
      </c>
      <c r="Q83" s="433">
        <v>3.0</v>
      </c>
    </row>
    <row r="84" ht="15.75" customHeight="1">
      <c r="B84" s="433">
        <v>79.0</v>
      </c>
      <c r="C84" s="433"/>
      <c r="D84" s="433"/>
      <c r="E84" s="434" t="s">
        <v>22504</v>
      </c>
      <c r="F84" s="433" t="s">
        <v>22390</v>
      </c>
      <c r="G84" s="433" t="s">
        <v>29</v>
      </c>
      <c r="H84" s="433" t="s">
        <v>131</v>
      </c>
      <c r="I84" s="433"/>
      <c r="J84" s="433" t="s">
        <v>131</v>
      </c>
      <c r="K84" s="433"/>
      <c r="L84" s="433"/>
      <c r="M84" s="433" t="s">
        <v>13582</v>
      </c>
      <c r="N84" s="433" t="s">
        <v>21891</v>
      </c>
      <c r="O84" s="433">
        <v>1987.0</v>
      </c>
      <c r="P84" s="433" t="s">
        <v>388</v>
      </c>
      <c r="Q84" s="433">
        <v>1.0</v>
      </c>
    </row>
    <row r="85" ht="15.75" customHeight="1">
      <c r="B85" s="433">
        <v>80.0</v>
      </c>
      <c r="C85" s="433"/>
      <c r="D85" s="433"/>
      <c r="E85" s="434" t="s">
        <v>22505</v>
      </c>
      <c r="F85" s="433" t="s">
        <v>22390</v>
      </c>
      <c r="G85" s="433" t="s">
        <v>29</v>
      </c>
      <c r="H85" s="433" t="s">
        <v>131</v>
      </c>
      <c r="I85" s="433"/>
      <c r="J85" s="433" t="s">
        <v>131</v>
      </c>
      <c r="K85" s="433"/>
      <c r="L85" s="433"/>
      <c r="M85" s="433" t="s">
        <v>13582</v>
      </c>
      <c r="N85" s="433" t="s">
        <v>21891</v>
      </c>
      <c r="O85" s="433">
        <v>1977.0</v>
      </c>
      <c r="P85" s="433" t="s">
        <v>388</v>
      </c>
      <c r="Q85" s="433">
        <v>2.0</v>
      </c>
    </row>
    <row r="86" ht="15.75" customHeight="1">
      <c r="B86" s="433">
        <v>81.0</v>
      </c>
      <c r="C86" s="433"/>
      <c r="D86" s="433"/>
      <c r="E86" s="434" t="s">
        <v>22506</v>
      </c>
      <c r="F86" s="433" t="s">
        <v>22390</v>
      </c>
      <c r="G86" s="433" t="s">
        <v>29</v>
      </c>
      <c r="H86" s="433" t="s">
        <v>131</v>
      </c>
      <c r="I86" s="433"/>
      <c r="J86" s="433" t="s">
        <v>131</v>
      </c>
      <c r="K86" s="433"/>
      <c r="L86" s="433"/>
      <c r="M86" s="433" t="s">
        <v>13582</v>
      </c>
      <c r="N86" s="433" t="s">
        <v>21891</v>
      </c>
      <c r="O86" s="433">
        <v>1977.0</v>
      </c>
      <c r="P86" s="433" t="s">
        <v>388</v>
      </c>
      <c r="Q86" s="433">
        <v>1.0</v>
      </c>
    </row>
    <row r="87" ht="15.75" customHeight="1">
      <c r="B87" s="433">
        <v>82.0</v>
      </c>
      <c r="C87" s="433"/>
      <c r="D87" s="433"/>
      <c r="E87" s="434" t="s">
        <v>22507</v>
      </c>
      <c r="F87" s="433" t="s">
        <v>22390</v>
      </c>
      <c r="G87" s="433" t="s">
        <v>29</v>
      </c>
      <c r="H87" s="433" t="s">
        <v>131</v>
      </c>
      <c r="I87" s="433"/>
      <c r="J87" s="433" t="s">
        <v>131</v>
      </c>
      <c r="K87" s="433"/>
      <c r="L87" s="433"/>
      <c r="M87" s="433" t="s">
        <v>13582</v>
      </c>
      <c r="N87" s="433" t="s">
        <v>21891</v>
      </c>
      <c r="O87" s="433">
        <v>1977.0</v>
      </c>
      <c r="P87" s="433" t="s">
        <v>388</v>
      </c>
      <c r="Q87" s="433">
        <v>1.0</v>
      </c>
    </row>
    <row r="88" ht="15.75" customHeight="1">
      <c r="B88" s="433">
        <v>83.0</v>
      </c>
      <c r="C88" s="433"/>
      <c r="D88" s="433"/>
      <c r="E88" s="434" t="s">
        <v>22508</v>
      </c>
      <c r="F88" s="433" t="s">
        <v>22390</v>
      </c>
      <c r="G88" s="433" t="s">
        <v>29</v>
      </c>
      <c r="H88" s="433" t="s">
        <v>131</v>
      </c>
      <c r="I88" s="433"/>
      <c r="J88" s="433" t="s">
        <v>131</v>
      </c>
      <c r="K88" s="433"/>
      <c r="L88" s="433"/>
      <c r="M88" s="433" t="s">
        <v>22509</v>
      </c>
      <c r="N88" s="433" t="s">
        <v>21891</v>
      </c>
      <c r="O88" s="433">
        <v>1978.0</v>
      </c>
      <c r="P88" s="433" t="s">
        <v>388</v>
      </c>
      <c r="Q88" s="433">
        <v>1.0</v>
      </c>
    </row>
    <row r="89" ht="15.75" customHeight="1">
      <c r="B89" s="433">
        <v>84.0</v>
      </c>
      <c r="C89" s="433"/>
      <c r="D89" s="433"/>
      <c r="E89" s="434" t="s">
        <v>22508</v>
      </c>
      <c r="F89" s="433" t="s">
        <v>22390</v>
      </c>
      <c r="G89" s="433" t="s">
        <v>29</v>
      </c>
      <c r="H89" s="433" t="s">
        <v>131</v>
      </c>
      <c r="I89" s="433"/>
      <c r="J89" s="433" t="s">
        <v>131</v>
      </c>
      <c r="K89" s="433"/>
      <c r="L89" s="433"/>
      <c r="M89" s="433" t="s">
        <v>22510</v>
      </c>
      <c r="N89" s="433" t="s">
        <v>21891</v>
      </c>
      <c r="O89" s="433">
        <v>1977.0</v>
      </c>
      <c r="P89" s="433" t="s">
        <v>388</v>
      </c>
      <c r="Q89" s="433">
        <v>1.0</v>
      </c>
    </row>
    <row r="90" ht="15.75" customHeight="1">
      <c r="B90" s="433">
        <v>85.0</v>
      </c>
      <c r="C90" s="433"/>
      <c r="D90" s="433"/>
      <c r="E90" s="434" t="s">
        <v>22511</v>
      </c>
      <c r="F90" s="433" t="s">
        <v>22390</v>
      </c>
      <c r="G90" s="433" t="s">
        <v>29</v>
      </c>
      <c r="H90" s="433" t="s">
        <v>131</v>
      </c>
      <c r="I90" s="433"/>
      <c r="J90" s="433" t="s">
        <v>81</v>
      </c>
      <c r="K90" s="433"/>
      <c r="L90" s="433"/>
      <c r="M90" s="433" t="s">
        <v>13582</v>
      </c>
      <c r="N90" s="433" t="s">
        <v>22512</v>
      </c>
      <c r="O90" s="433">
        <v>1982.0</v>
      </c>
      <c r="P90" s="433" t="s">
        <v>388</v>
      </c>
      <c r="Q90" s="433">
        <v>1.0</v>
      </c>
    </row>
    <row r="91" ht="15.75" customHeight="1">
      <c r="B91" s="433">
        <v>86.0</v>
      </c>
      <c r="C91" s="433"/>
      <c r="D91" s="433"/>
      <c r="E91" s="434" t="s">
        <v>22513</v>
      </c>
      <c r="F91" s="433" t="s">
        <v>22390</v>
      </c>
      <c r="G91" s="433" t="s">
        <v>29</v>
      </c>
      <c r="H91" s="433" t="s">
        <v>131</v>
      </c>
      <c r="I91" s="433"/>
      <c r="J91" s="433" t="s">
        <v>81</v>
      </c>
      <c r="K91" s="433"/>
      <c r="L91" s="433"/>
      <c r="M91" s="433" t="s">
        <v>13582</v>
      </c>
      <c r="N91" s="433" t="s">
        <v>22512</v>
      </c>
      <c r="O91" s="433">
        <v>1982.0</v>
      </c>
      <c r="P91" s="433" t="s">
        <v>388</v>
      </c>
      <c r="Q91" s="433">
        <v>1.0</v>
      </c>
    </row>
    <row r="92" ht="15.75" customHeight="1">
      <c r="B92" s="433">
        <v>87.0</v>
      </c>
      <c r="C92" s="433"/>
      <c r="D92" s="433"/>
      <c r="E92" s="434" t="s">
        <v>22514</v>
      </c>
      <c r="F92" s="433" t="s">
        <v>22390</v>
      </c>
      <c r="G92" s="433" t="s">
        <v>29</v>
      </c>
      <c r="H92" s="433" t="s">
        <v>131</v>
      </c>
      <c r="I92" s="433"/>
      <c r="J92" s="433" t="s">
        <v>81</v>
      </c>
      <c r="K92" s="433"/>
      <c r="L92" s="433"/>
      <c r="M92" s="433" t="s">
        <v>13582</v>
      </c>
      <c r="N92" s="433" t="s">
        <v>22512</v>
      </c>
      <c r="O92" s="433">
        <v>1982.0</v>
      </c>
      <c r="P92" s="433" t="s">
        <v>388</v>
      </c>
      <c r="Q92" s="433">
        <v>1.0</v>
      </c>
    </row>
    <row r="93" ht="15.75" customHeight="1">
      <c r="B93" s="433">
        <v>88.0</v>
      </c>
      <c r="C93" s="433"/>
      <c r="D93" s="433"/>
      <c r="E93" s="434" t="s">
        <v>22515</v>
      </c>
      <c r="F93" s="433" t="s">
        <v>22390</v>
      </c>
      <c r="G93" s="433" t="s">
        <v>29</v>
      </c>
      <c r="H93" s="433" t="s">
        <v>131</v>
      </c>
      <c r="I93" s="433"/>
      <c r="J93" s="433" t="s">
        <v>81</v>
      </c>
      <c r="K93" s="433"/>
      <c r="L93" s="433"/>
      <c r="M93" s="433" t="s">
        <v>13582</v>
      </c>
      <c r="N93" s="433" t="s">
        <v>22512</v>
      </c>
      <c r="O93" s="433">
        <v>1982.0</v>
      </c>
      <c r="P93" s="433" t="s">
        <v>388</v>
      </c>
      <c r="Q93" s="433">
        <v>1.0</v>
      </c>
    </row>
    <row r="94" ht="15.75" customHeight="1">
      <c r="B94" s="433">
        <v>89.0</v>
      </c>
      <c r="C94" s="433"/>
      <c r="D94" s="433"/>
      <c r="E94" s="434" t="s">
        <v>22516</v>
      </c>
      <c r="F94" s="433" t="s">
        <v>22390</v>
      </c>
      <c r="G94" s="433" t="s">
        <v>29</v>
      </c>
      <c r="H94" s="433" t="s">
        <v>131</v>
      </c>
      <c r="I94" s="433"/>
      <c r="J94" s="433" t="s">
        <v>81</v>
      </c>
      <c r="K94" s="433"/>
      <c r="L94" s="433"/>
      <c r="M94" s="433" t="s">
        <v>13582</v>
      </c>
      <c r="N94" s="433" t="s">
        <v>22512</v>
      </c>
      <c r="O94" s="433">
        <v>1982.0</v>
      </c>
      <c r="P94" s="433" t="s">
        <v>388</v>
      </c>
      <c r="Q94" s="433">
        <v>1.0</v>
      </c>
    </row>
    <row r="95" ht="15.75" customHeight="1">
      <c r="B95" s="433">
        <v>90.0</v>
      </c>
      <c r="C95" s="433"/>
      <c r="D95" s="433"/>
      <c r="E95" s="434" t="s">
        <v>22517</v>
      </c>
      <c r="F95" s="433" t="s">
        <v>22390</v>
      </c>
      <c r="G95" s="433" t="s">
        <v>29</v>
      </c>
      <c r="H95" s="433" t="s">
        <v>131</v>
      </c>
      <c r="I95" s="433"/>
      <c r="J95" s="433" t="s">
        <v>81</v>
      </c>
      <c r="K95" s="433"/>
      <c r="L95" s="433"/>
      <c r="M95" s="433" t="s">
        <v>13582</v>
      </c>
      <c r="N95" s="433" t="s">
        <v>22512</v>
      </c>
      <c r="O95" s="433">
        <v>1982.0</v>
      </c>
      <c r="P95" s="433" t="s">
        <v>388</v>
      </c>
      <c r="Q95" s="433">
        <v>1.0</v>
      </c>
    </row>
    <row r="96" ht="15.75" customHeight="1">
      <c r="B96" s="433">
        <v>91.0</v>
      </c>
      <c r="C96" s="433"/>
      <c r="D96" s="433"/>
      <c r="E96" s="434" t="s">
        <v>22518</v>
      </c>
      <c r="F96" s="433" t="s">
        <v>22390</v>
      </c>
      <c r="G96" s="433" t="s">
        <v>29</v>
      </c>
      <c r="H96" s="433" t="s">
        <v>131</v>
      </c>
      <c r="I96" s="433"/>
      <c r="J96" s="433" t="s">
        <v>15225</v>
      </c>
      <c r="K96" s="433"/>
      <c r="L96" s="433"/>
      <c r="M96" s="433" t="s">
        <v>20980</v>
      </c>
      <c r="N96" s="433" t="s">
        <v>22409</v>
      </c>
      <c r="O96" s="433">
        <v>1980.0</v>
      </c>
      <c r="P96" s="433" t="s">
        <v>388</v>
      </c>
      <c r="Q96" s="433">
        <v>1.0</v>
      </c>
    </row>
    <row r="97" ht="15.75" customHeight="1">
      <c r="B97" s="433">
        <v>92.0</v>
      </c>
      <c r="C97" s="433"/>
      <c r="D97" s="433"/>
      <c r="E97" s="434" t="s">
        <v>22519</v>
      </c>
      <c r="F97" s="433" t="s">
        <v>22390</v>
      </c>
      <c r="G97" s="433" t="s">
        <v>29</v>
      </c>
      <c r="H97" s="433" t="s">
        <v>131</v>
      </c>
      <c r="I97" s="433"/>
      <c r="J97" s="433" t="s">
        <v>15225</v>
      </c>
      <c r="K97" s="433"/>
      <c r="L97" s="433"/>
      <c r="M97" s="433" t="s">
        <v>22520</v>
      </c>
      <c r="N97" s="433" t="s">
        <v>22409</v>
      </c>
      <c r="O97" s="433">
        <v>1978.0</v>
      </c>
      <c r="P97" s="433" t="s">
        <v>388</v>
      </c>
      <c r="Q97" s="433">
        <v>2.0</v>
      </c>
    </row>
    <row r="98" ht="15.75" customHeight="1">
      <c r="B98" s="433">
        <v>93.0</v>
      </c>
      <c r="C98" s="433"/>
      <c r="D98" s="433"/>
      <c r="E98" s="434" t="s">
        <v>22521</v>
      </c>
      <c r="F98" s="433" t="s">
        <v>22390</v>
      </c>
      <c r="G98" s="433" t="s">
        <v>29</v>
      </c>
      <c r="H98" s="433" t="s">
        <v>131</v>
      </c>
      <c r="I98" s="433"/>
      <c r="J98" s="433" t="s">
        <v>166</v>
      </c>
      <c r="K98" s="433">
        <v>47.0</v>
      </c>
      <c r="L98" s="433" t="s">
        <v>22522</v>
      </c>
      <c r="M98" s="433" t="s">
        <v>22523</v>
      </c>
      <c r="N98" s="433" t="s">
        <v>21891</v>
      </c>
      <c r="O98" s="433">
        <v>1986.0</v>
      </c>
      <c r="P98" s="433" t="s">
        <v>388</v>
      </c>
      <c r="Q98" s="433">
        <v>1.0</v>
      </c>
    </row>
    <row r="99" ht="15.75" customHeight="1">
      <c r="B99" s="433">
        <v>94.0</v>
      </c>
      <c r="C99" s="433"/>
      <c r="D99" s="433"/>
      <c r="E99" s="434" t="s">
        <v>22524</v>
      </c>
      <c r="F99" s="433" t="s">
        <v>22390</v>
      </c>
      <c r="G99" s="433" t="s">
        <v>29</v>
      </c>
      <c r="H99" s="433" t="s">
        <v>131</v>
      </c>
      <c r="I99" s="433"/>
      <c r="J99" s="433" t="s">
        <v>131</v>
      </c>
      <c r="K99" s="433">
        <v>95.0</v>
      </c>
      <c r="L99" s="433"/>
      <c r="M99" s="433" t="s">
        <v>13582</v>
      </c>
      <c r="N99" s="433" t="s">
        <v>22409</v>
      </c>
      <c r="O99" s="433">
        <v>1987.0</v>
      </c>
      <c r="P99" s="433" t="s">
        <v>388</v>
      </c>
      <c r="Q99" s="433">
        <v>2.0</v>
      </c>
    </row>
    <row r="100" ht="15.75" customHeight="1">
      <c r="B100" s="433">
        <v>95.0</v>
      </c>
      <c r="C100" s="433"/>
      <c r="D100" s="433"/>
      <c r="E100" s="434" t="s">
        <v>22525</v>
      </c>
      <c r="F100" s="433" t="s">
        <v>22390</v>
      </c>
      <c r="G100" s="433" t="s">
        <v>29</v>
      </c>
      <c r="H100" s="433" t="s">
        <v>131</v>
      </c>
      <c r="I100" s="433"/>
      <c r="J100" s="433" t="s">
        <v>131</v>
      </c>
      <c r="K100" s="433">
        <v>96.0</v>
      </c>
      <c r="L100" s="433"/>
      <c r="M100" s="433"/>
      <c r="N100" s="433" t="s">
        <v>22409</v>
      </c>
      <c r="O100" s="433">
        <v>1988.0</v>
      </c>
      <c r="P100" s="433" t="s">
        <v>388</v>
      </c>
      <c r="Q100" s="433">
        <v>1.0</v>
      </c>
    </row>
    <row r="101" ht="15.75" customHeight="1">
      <c r="B101" s="433">
        <v>96.0</v>
      </c>
      <c r="C101" s="433"/>
      <c r="D101" s="433"/>
      <c r="E101" s="434" t="s">
        <v>22526</v>
      </c>
      <c r="F101" s="433" t="s">
        <v>22390</v>
      </c>
      <c r="G101" s="433" t="s">
        <v>29</v>
      </c>
      <c r="H101" s="433" t="s">
        <v>131</v>
      </c>
      <c r="I101" s="433"/>
      <c r="J101" s="433" t="s">
        <v>2743</v>
      </c>
      <c r="K101" s="433">
        <v>190.0</v>
      </c>
      <c r="L101" s="433"/>
      <c r="M101" s="433"/>
      <c r="N101" s="433" t="s">
        <v>22330</v>
      </c>
      <c r="O101" s="433">
        <v>1968.0</v>
      </c>
      <c r="P101" s="433" t="s">
        <v>388</v>
      </c>
      <c r="Q101" s="433">
        <v>1.0</v>
      </c>
    </row>
    <row r="102" ht="15.75" customHeight="1">
      <c r="B102" s="433">
        <v>97.0</v>
      </c>
      <c r="C102" s="433"/>
      <c r="D102" s="433"/>
      <c r="E102" s="434" t="s">
        <v>22527</v>
      </c>
      <c r="F102" s="433" t="s">
        <v>22390</v>
      </c>
      <c r="G102" s="433" t="s">
        <v>29</v>
      </c>
      <c r="H102" s="433" t="s">
        <v>131</v>
      </c>
      <c r="I102" s="433"/>
      <c r="J102" s="433"/>
      <c r="K102" s="433">
        <v>19.0</v>
      </c>
      <c r="L102" s="433"/>
      <c r="M102" s="433" t="s">
        <v>13582</v>
      </c>
      <c r="N102" s="433"/>
      <c r="O102" s="433">
        <v>1980.0</v>
      </c>
      <c r="P102" s="433" t="s">
        <v>388</v>
      </c>
      <c r="Q102" s="433">
        <v>3.0</v>
      </c>
    </row>
    <row r="103" ht="15.75" customHeight="1">
      <c r="B103" s="433">
        <v>98.0</v>
      </c>
      <c r="C103" s="433" t="s">
        <v>22528</v>
      </c>
      <c r="D103" s="433"/>
      <c r="E103" s="434" t="s">
        <v>22529</v>
      </c>
      <c r="F103" s="433" t="s">
        <v>22390</v>
      </c>
      <c r="G103" s="433" t="s">
        <v>29</v>
      </c>
      <c r="H103" s="433" t="s">
        <v>98</v>
      </c>
      <c r="I103" s="433"/>
      <c r="J103" s="433" t="s">
        <v>38</v>
      </c>
      <c r="K103" s="433"/>
      <c r="L103" s="433"/>
      <c r="M103" s="433" t="s">
        <v>22160</v>
      </c>
      <c r="N103" s="433"/>
      <c r="O103" s="433">
        <v>1985.0</v>
      </c>
      <c r="P103" s="433" t="s">
        <v>388</v>
      </c>
      <c r="Q103" s="433">
        <v>1.0</v>
      </c>
    </row>
    <row r="104" ht="15.75" customHeight="1">
      <c r="B104" s="433">
        <v>99.0</v>
      </c>
      <c r="C104" s="433"/>
      <c r="D104" s="433"/>
      <c r="E104" s="434" t="s">
        <v>22530</v>
      </c>
      <c r="F104" s="433" t="s">
        <v>22390</v>
      </c>
      <c r="G104" s="433" t="s">
        <v>29</v>
      </c>
      <c r="H104" s="433" t="s">
        <v>22531</v>
      </c>
      <c r="I104" s="433"/>
      <c r="J104" s="433" t="s">
        <v>22531</v>
      </c>
      <c r="K104" s="433"/>
      <c r="L104" s="433"/>
      <c r="M104" s="433"/>
      <c r="N104" s="433" t="s">
        <v>22532</v>
      </c>
      <c r="O104" s="433">
        <v>1937.0</v>
      </c>
      <c r="P104" s="433" t="s">
        <v>388</v>
      </c>
      <c r="Q104" s="433">
        <v>1.0</v>
      </c>
    </row>
    <row r="105" ht="15.75" customHeight="1">
      <c r="B105" s="433">
        <v>100.0</v>
      </c>
      <c r="C105" s="433"/>
      <c r="D105" s="433"/>
      <c r="E105" s="434" t="s">
        <v>22533</v>
      </c>
      <c r="F105" s="433" t="s">
        <v>22390</v>
      </c>
      <c r="G105" s="433" t="s">
        <v>29</v>
      </c>
      <c r="H105" s="433" t="s">
        <v>22531</v>
      </c>
      <c r="I105" s="433"/>
      <c r="J105" s="433" t="s">
        <v>22531</v>
      </c>
      <c r="K105" s="433"/>
      <c r="L105" s="433"/>
      <c r="M105" s="433"/>
      <c r="N105" s="433" t="s">
        <v>22532</v>
      </c>
      <c r="O105" s="433">
        <v>1935.0</v>
      </c>
      <c r="P105" s="433" t="s">
        <v>388</v>
      </c>
      <c r="Q105" s="433">
        <v>1.0</v>
      </c>
    </row>
    <row r="106" ht="15.75" customHeight="1">
      <c r="B106" s="433">
        <v>101.0</v>
      </c>
      <c r="C106" s="433"/>
      <c r="D106" s="433"/>
      <c r="E106" s="434" t="s">
        <v>22534</v>
      </c>
      <c r="F106" s="433" t="s">
        <v>22390</v>
      </c>
      <c r="G106" s="433" t="s">
        <v>29</v>
      </c>
      <c r="H106" s="433" t="s">
        <v>16733</v>
      </c>
      <c r="I106" s="433"/>
      <c r="J106" s="433" t="s">
        <v>16734</v>
      </c>
      <c r="K106" s="433">
        <v>66.0</v>
      </c>
      <c r="L106" s="433"/>
      <c r="M106" s="433"/>
      <c r="N106" s="433"/>
      <c r="O106" s="433"/>
      <c r="P106" s="433" t="s">
        <v>388</v>
      </c>
      <c r="Q106" s="433">
        <v>1.0</v>
      </c>
    </row>
    <row r="107" ht="15.75" customHeight="1">
      <c r="B107" s="450">
        <v>102.0</v>
      </c>
      <c r="C107" s="433"/>
      <c r="D107" s="433"/>
      <c r="E107" s="434" t="s">
        <v>15257</v>
      </c>
      <c r="F107" s="433" t="s">
        <v>22390</v>
      </c>
      <c r="G107" s="433" t="s">
        <v>29</v>
      </c>
      <c r="H107" s="433" t="s">
        <v>98</v>
      </c>
      <c r="I107" s="433"/>
      <c r="J107" s="433" t="s">
        <v>98</v>
      </c>
      <c r="K107" s="433">
        <v>191.0</v>
      </c>
      <c r="L107" s="433"/>
      <c r="M107" s="450"/>
      <c r="N107" s="433" t="s">
        <v>100</v>
      </c>
      <c r="O107" s="451"/>
      <c r="P107" s="433" t="s">
        <v>388</v>
      </c>
      <c r="Q107" s="342">
        <v>1.0</v>
      </c>
    </row>
    <row r="108" ht="15.75" customHeight="1">
      <c r="B108" s="450"/>
      <c r="C108" s="433"/>
      <c r="D108" s="433"/>
      <c r="E108" s="434"/>
      <c r="F108" s="433"/>
      <c r="G108" s="433"/>
      <c r="H108" s="433"/>
      <c r="I108" s="433"/>
      <c r="J108" s="433"/>
      <c r="K108" s="433"/>
      <c r="L108" s="433"/>
      <c r="M108" s="450"/>
      <c r="N108" s="607"/>
      <c r="O108" s="946"/>
      <c r="P108" s="947"/>
      <c r="Q108" s="342">
        <f>SUM(Q6:Q107)</f>
        <v>144</v>
      </c>
    </row>
    <row r="109" ht="15.75" customHeight="1">
      <c r="B109" s="454"/>
      <c r="C109" s="455"/>
      <c r="D109" s="455"/>
      <c r="E109" s="455"/>
      <c r="F109" s="455"/>
      <c r="G109" s="455"/>
      <c r="H109" s="455"/>
      <c r="I109" s="455"/>
      <c r="J109" s="455"/>
      <c r="K109" s="455"/>
      <c r="L109" s="455"/>
      <c r="M109" s="455"/>
      <c r="N109" s="455"/>
      <c r="O109" s="455"/>
      <c r="P109" s="455"/>
      <c r="Q109" s="456"/>
    </row>
    <row r="110" ht="15.75" customHeight="1">
      <c r="B110" s="457" t="s">
        <v>15471</v>
      </c>
      <c r="C110" s="6"/>
      <c r="D110" s="6"/>
      <c r="E110" s="6"/>
      <c r="F110" s="6"/>
      <c r="G110" s="6"/>
      <c r="H110" s="6"/>
      <c r="I110" s="6"/>
      <c r="J110" s="6"/>
      <c r="K110" s="6"/>
      <c r="L110" s="6"/>
      <c r="M110" s="6"/>
      <c r="N110" s="6"/>
      <c r="O110" s="6"/>
      <c r="P110" s="6"/>
      <c r="Q110" s="7"/>
    </row>
    <row r="111" ht="15.75" customHeight="1">
      <c r="B111" s="327" t="s">
        <v>14150</v>
      </c>
      <c r="C111" s="457" t="s">
        <v>14151</v>
      </c>
      <c r="D111" s="6"/>
      <c r="E111" s="7"/>
      <c r="F111" s="458"/>
      <c r="G111" s="459"/>
      <c r="H111" s="7"/>
      <c r="I111" s="459"/>
      <c r="J111" s="6"/>
      <c r="K111" s="6"/>
      <c r="L111" s="7"/>
      <c r="M111" s="460"/>
      <c r="N111" s="461" t="s">
        <v>14152</v>
      </c>
      <c r="O111" s="461"/>
      <c r="P111" s="461"/>
      <c r="Q111" s="461"/>
    </row>
    <row r="112" ht="15.75" customHeight="1">
      <c r="B112" s="321"/>
      <c r="C112" s="399"/>
      <c r="D112" s="458"/>
      <c r="E112" s="462"/>
      <c r="F112" s="458"/>
      <c r="G112" s="463"/>
      <c r="H112" s="7"/>
      <c r="I112" s="321"/>
      <c r="J112" s="321"/>
      <c r="K112" s="463"/>
      <c r="L112" s="7"/>
      <c r="M112" s="321"/>
      <c r="N112" s="321"/>
      <c r="O112" s="321"/>
      <c r="P112" s="321"/>
      <c r="Q112" s="321"/>
    </row>
    <row r="113" ht="15.75" customHeight="1">
      <c r="B113" s="463"/>
      <c r="C113" s="7"/>
      <c r="D113" s="458"/>
      <c r="E113" s="463"/>
      <c r="F113" s="7"/>
      <c r="G113" s="321"/>
      <c r="H113" s="321"/>
      <c r="I113" s="321"/>
      <c r="J113" s="321"/>
      <c r="K113" s="321"/>
      <c r="L113" s="321"/>
      <c r="M113" s="321"/>
      <c r="N113" s="321"/>
      <c r="O113" s="321"/>
      <c r="P113" s="321"/>
      <c r="Q113" s="321"/>
    </row>
    <row r="114" ht="15.75" customHeight="1">
      <c r="B114" s="321"/>
      <c r="C114" s="457" t="s">
        <v>15030</v>
      </c>
      <c r="D114" s="6"/>
      <c r="E114" s="7"/>
      <c r="F114" s="458"/>
      <c r="G114" s="457"/>
      <c r="H114" s="7"/>
      <c r="I114" s="457"/>
      <c r="J114" s="6"/>
      <c r="K114" s="6"/>
      <c r="L114" s="7"/>
      <c r="M114" s="457" t="s">
        <v>14154</v>
      </c>
      <c r="N114" s="6"/>
      <c r="O114" s="6"/>
      <c r="P114" s="6"/>
      <c r="Q114" s="7"/>
    </row>
    <row r="115" ht="15.75" customHeight="1">
      <c r="B115" s="321"/>
      <c r="C115" s="457" t="s">
        <v>14155</v>
      </c>
      <c r="D115" s="6"/>
      <c r="E115" s="7"/>
      <c r="F115" s="458"/>
      <c r="G115" s="457"/>
      <c r="H115" s="7"/>
      <c r="I115" s="327"/>
      <c r="J115" s="457"/>
      <c r="K115" s="6"/>
      <c r="L115" s="7"/>
      <c r="M115" s="457" t="s">
        <v>14156</v>
      </c>
      <c r="N115" s="6"/>
      <c r="O115" s="6"/>
      <c r="P115" s="6"/>
      <c r="Q115" s="7"/>
    </row>
    <row r="116" ht="15.75" customHeight="1">
      <c r="B116" s="576"/>
      <c r="C116" s="2"/>
      <c r="D116" s="2"/>
      <c r="E116" s="464"/>
      <c r="F116" s="2"/>
      <c r="G116" s="2"/>
      <c r="H116" s="2"/>
      <c r="I116" s="2"/>
      <c r="J116" s="2"/>
      <c r="K116" s="2"/>
      <c r="L116" s="2"/>
      <c r="M116" s="2"/>
      <c r="N116" s="2"/>
      <c r="O116" s="2"/>
      <c r="P116" s="2"/>
      <c r="Q116" s="2"/>
    </row>
    <row r="117" ht="15.75" customHeight="1">
      <c r="B117" s="576"/>
      <c r="C117" s="2"/>
      <c r="D117" s="2"/>
      <c r="E117" s="464"/>
      <c r="F117" s="2"/>
      <c r="G117" s="2"/>
      <c r="H117" s="2"/>
      <c r="I117" s="2"/>
      <c r="J117" s="2"/>
      <c r="K117" s="2"/>
      <c r="L117" s="2"/>
      <c r="M117" s="2"/>
      <c r="N117" s="2"/>
      <c r="O117" s="2"/>
      <c r="P117" s="2"/>
      <c r="Q117" s="2"/>
    </row>
    <row r="118" ht="15.75" customHeight="1">
      <c r="B118" s="576"/>
      <c r="C118" s="2"/>
      <c r="D118" s="2"/>
      <c r="E118" s="464"/>
      <c r="F118" s="2"/>
      <c r="G118" s="2"/>
      <c r="H118" s="2"/>
      <c r="I118" s="2"/>
      <c r="J118" s="2"/>
      <c r="K118" s="2"/>
      <c r="L118" s="2"/>
      <c r="M118" s="2"/>
      <c r="N118" s="2"/>
      <c r="O118" s="2"/>
      <c r="P118" s="2"/>
      <c r="Q118" s="2"/>
    </row>
    <row r="119" ht="15.75" customHeight="1">
      <c r="B119" s="576"/>
      <c r="C119" s="2"/>
      <c r="D119" s="2"/>
      <c r="E119" s="464"/>
      <c r="F119" s="2"/>
      <c r="G119" s="2"/>
      <c r="H119" s="2"/>
      <c r="I119" s="2"/>
      <c r="J119" s="2"/>
      <c r="K119" s="2"/>
      <c r="L119" s="2"/>
      <c r="M119" s="2"/>
      <c r="N119" s="2"/>
      <c r="O119" s="2"/>
      <c r="P119" s="2"/>
      <c r="Q119" s="2"/>
    </row>
    <row r="120" ht="15.75" customHeight="1">
      <c r="B120" s="576"/>
      <c r="C120" s="2"/>
      <c r="D120" s="2"/>
      <c r="E120" s="464"/>
      <c r="F120" s="2"/>
      <c r="G120" s="2"/>
      <c r="H120" s="2"/>
      <c r="I120" s="2"/>
      <c r="J120" s="2"/>
      <c r="K120" s="2"/>
      <c r="L120" s="2"/>
      <c r="M120" s="2"/>
      <c r="N120" s="2"/>
      <c r="O120" s="2"/>
      <c r="P120" s="2"/>
      <c r="Q120" s="2"/>
    </row>
    <row r="121" ht="15.75" customHeight="1">
      <c r="B121" s="576"/>
      <c r="C121" s="2"/>
      <c r="D121" s="2"/>
      <c r="E121" s="464"/>
      <c r="F121" s="2"/>
      <c r="G121" s="2"/>
      <c r="H121" s="2"/>
      <c r="I121" s="2"/>
      <c r="J121" s="2"/>
      <c r="K121" s="2"/>
      <c r="L121" s="2"/>
      <c r="M121" s="2"/>
      <c r="N121" s="2"/>
      <c r="O121" s="2"/>
      <c r="P121" s="2"/>
      <c r="Q121" s="2"/>
    </row>
    <row r="122" ht="15.75" customHeight="1">
      <c r="B122" s="576"/>
      <c r="C122" s="2"/>
      <c r="D122" s="2"/>
      <c r="E122" s="464"/>
      <c r="F122" s="2"/>
      <c r="G122" s="2"/>
      <c r="H122" s="2"/>
      <c r="I122" s="2"/>
      <c r="J122" s="2"/>
      <c r="K122" s="2"/>
      <c r="L122" s="2"/>
      <c r="M122" s="2"/>
      <c r="N122" s="2"/>
      <c r="O122" s="2"/>
      <c r="P122" s="2"/>
      <c r="Q122" s="2"/>
    </row>
    <row r="123" ht="15.75" customHeight="1">
      <c r="B123" s="576"/>
      <c r="C123" s="2"/>
      <c r="D123" s="2"/>
      <c r="E123" s="464"/>
      <c r="F123" s="2"/>
      <c r="G123" s="2"/>
      <c r="H123" s="2"/>
      <c r="I123" s="2"/>
      <c r="J123" s="2"/>
      <c r="K123" s="2"/>
      <c r="L123" s="2"/>
      <c r="M123" s="2"/>
      <c r="N123" s="2"/>
      <c r="O123" s="2"/>
      <c r="P123" s="2"/>
      <c r="Q123" s="2"/>
    </row>
    <row r="124" ht="15.75" customHeight="1">
      <c r="B124" s="576"/>
      <c r="C124" s="2"/>
      <c r="D124" s="2"/>
      <c r="E124" s="464"/>
      <c r="F124" s="2"/>
      <c r="G124" s="2"/>
      <c r="H124" s="2"/>
      <c r="I124" s="2"/>
      <c r="J124" s="2"/>
      <c r="K124" s="2"/>
      <c r="L124" s="2"/>
      <c r="M124" s="2"/>
      <c r="N124" s="2"/>
      <c r="O124" s="2"/>
      <c r="P124" s="2"/>
      <c r="Q124" s="2"/>
    </row>
    <row r="125" ht="15.75" customHeight="1">
      <c r="B125" s="576"/>
      <c r="C125" s="2"/>
      <c r="D125" s="2"/>
      <c r="E125" s="464"/>
      <c r="F125" s="2"/>
      <c r="G125" s="2"/>
      <c r="H125" s="2"/>
      <c r="I125" s="2"/>
      <c r="J125" s="2"/>
      <c r="K125" s="2"/>
      <c r="L125" s="2"/>
      <c r="M125" s="2"/>
      <c r="N125" s="2"/>
      <c r="O125" s="2"/>
      <c r="P125" s="2"/>
      <c r="Q125" s="2"/>
    </row>
    <row r="126" ht="15.75" customHeight="1">
      <c r="B126" s="576"/>
      <c r="C126" s="2"/>
      <c r="D126" s="2"/>
      <c r="E126" s="464"/>
      <c r="F126" s="2"/>
      <c r="G126" s="2"/>
      <c r="H126" s="2"/>
      <c r="I126" s="2"/>
      <c r="J126" s="2"/>
      <c r="K126" s="2"/>
      <c r="L126" s="2"/>
      <c r="M126" s="2"/>
      <c r="N126" s="2"/>
      <c r="O126" s="2"/>
      <c r="P126" s="2"/>
      <c r="Q126" s="2"/>
    </row>
    <row r="127" ht="15.75" customHeight="1">
      <c r="B127" s="576"/>
      <c r="C127" s="2"/>
      <c r="D127" s="2"/>
      <c r="E127" s="464"/>
      <c r="F127" s="2"/>
      <c r="G127" s="2"/>
      <c r="H127" s="2"/>
      <c r="I127" s="2"/>
      <c r="J127" s="2"/>
      <c r="K127" s="2"/>
      <c r="L127" s="2"/>
      <c r="M127" s="2"/>
      <c r="N127" s="2"/>
      <c r="O127" s="2"/>
      <c r="P127" s="2"/>
      <c r="Q127" s="2"/>
    </row>
    <row r="128" ht="15.75" customHeight="1">
      <c r="B128" s="576"/>
      <c r="C128" s="2"/>
      <c r="D128" s="2"/>
      <c r="E128" s="464"/>
      <c r="F128" s="2"/>
      <c r="G128" s="2"/>
      <c r="H128" s="2"/>
      <c r="I128" s="2"/>
      <c r="J128" s="2"/>
      <c r="K128" s="2"/>
      <c r="L128" s="2"/>
      <c r="M128" s="2"/>
      <c r="N128" s="2"/>
      <c r="O128" s="2"/>
      <c r="P128" s="2"/>
      <c r="Q128" s="2"/>
    </row>
    <row r="129" ht="15.75" customHeight="1">
      <c r="B129" s="576"/>
      <c r="C129" s="2"/>
      <c r="D129" s="2"/>
      <c r="E129" s="464"/>
      <c r="F129" s="2"/>
      <c r="G129" s="2"/>
      <c r="H129" s="2"/>
      <c r="I129" s="2"/>
      <c r="J129" s="2"/>
      <c r="K129" s="2"/>
      <c r="L129" s="2"/>
      <c r="M129" s="2"/>
      <c r="N129" s="2"/>
      <c r="O129" s="2"/>
      <c r="P129" s="2"/>
      <c r="Q129" s="2"/>
    </row>
    <row r="130" ht="15.75" customHeight="1">
      <c r="B130" s="576"/>
      <c r="C130" s="2"/>
      <c r="D130" s="2"/>
      <c r="E130" s="464"/>
      <c r="F130" s="2"/>
      <c r="G130" s="2"/>
      <c r="H130" s="2"/>
      <c r="I130" s="2"/>
      <c r="J130" s="2"/>
      <c r="K130" s="2"/>
      <c r="L130" s="2"/>
      <c r="M130" s="2"/>
      <c r="N130" s="2"/>
      <c r="O130" s="2"/>
      <c r="P130" s="2"/>
      <c r="Q130" s="2"/>
    </row>
    <row r="131" ht="15.75" customHeight="1">
      <c r="B131" s="576"/>
      <c r="C131" s="2"/>
      <c r="D131" s="2"/>
      <c r="E131" s="464"/>
      <c r="F131" s="2"/>
      <c r="G131" s="2"/>
      <c r="H131" s="2"/>
      <c r="I131" s="2"/>
      <c r="J131" s="2"/>
      <c r="K131" s="2"/>
      <c r="L131" s="2"/>
      <c r="M131" s="2"/>
      <c r="N131" s="2"/>
      <c r="O131" s="2"/>
      <c r="P131" s="2"/>
      <c r="Q131" s="2"/>
    </row>
    <row r="132" ht="15.75" customHeight="1">
      <c r="B132" s="576"/>
      <c r="C132" s="2"/>
      <c r="D132" s="2"/>
      <c r="E132" s="464"/>
      <c r="F132" s="2"/>
      <c r="G132" s="2"/>
      <c r="H132" s="2"/>
      <c r="I132" s="2"/>
      <c r="J132" s="2"/>
      <c r="K132" s="2"/>
      <c r="L132" s="2"/>
      <c r="M132" s="2"/>
      <c r="N132" s="2"/>
      <c r="O132" s="2"/>
      <c r="P132" s="2"/>
      <c r="Q132" s="2"/>
    </row>
    <row r="133" ht="15.75" customHeight="1">
      <c r="B133" s="576"/>
      <c r="C133" s="2"/>
      <c r="D133" s="2"/>
      <c r="E133" s="464"/>
      <c r="F133" s="2"/>
      <c r="G133" s="2"/>
      <c r="H133" s="2"/>
      <c r="I133" s="2"/>
      <c r="J133" s="2"/>
      <c r="K133" s="2"/>
      <c r="L133" s="2"/>
      <c r="M133" s="2"/>
      <c r="N133" s="2"/>
      <c r="O133" s="2"/>
      <c r="P133" s="2"/>
      <c r="Q133" s="2"/>
    </row>
    <row r="134" ht="15.75" customHeight="1">
      <c r="B134" s="576"/>
      <c r="C134" s="2"/>
      <c r="D134" s="2"/>
      <c r="E134" s="464"/>
      <c r="F134" s="2"/>
      <c r="G134" s="2"/>
      <c r="H134" s="2"/>
      <c r="I134" s="2"/>
      <c r="J134" s="2"/>
      <c r="K134" s="2"/>
      <c r="L134" s="2"/>
      <c r="M134" s="2"/>
      <c r="N134" s="2"/>
      <c r="O134" s="2"/>
      <c r="P134" s="2"/>
      <c r="Q134" s="2"/>
    </row>
    <row r="135" ht="15.75" customHeight="1">
      <c r="B135" s="576"/>
      <c r="C135" s="2"/>
      <c r="D135" s="2"/>
      <c r="E135" s="464"/>
      <c r="F135" s="2"/>
      <c r="G135" s="2"/>
      <c r="H135" s="2"/>
      <c r="I135" s="2"/>
      <c r="J135" s="2"/>
      <c r="K135" s="2"/>
      <c r="L135" s="2"/>
      <c r="M135" s="2"/>
      <c r="N135" s="2"/>
      <c r="O135" s="2"/>
      <c r="P135" s="2"/>
      <c r="Q135" s="2"/>
    </row>
    <row r="136" ht="15.75" customHeight="1">
      <c r="B136" s="576"/>
      <c r="C136" s="2"/>
      <c r="D136" s="2"/>
      <c r="E136" s="464"/>
      <c r="F136" s="2"/>
      <c r="G136" s="2"/>
      <c r="H136" s="2"/>
      <c r="I136" s="2"/>
      <c r="J136" s="2"/>
      <c r="K136" s="2"/>
      <c r="L136" s="2"/>
      <c r="M136" s="2"/>
      <c r="N136" s="2"/>
      <c r="O136" s="2"/>
      <c r="P136" s="2"/>
      <c r="Q136" s="2"/>
    </row>
    <row r="137" ht="15.75" customHeight="1">
      <c r="B137" s="576"/>
      <c r="C137" s="2"/>
      <c r="D137" s="2"/>
      <c r="E137" s="464"/>
      <c r="F137" s="2"/>
      <c r="G137" s="2"/>
      <c r="H137" s="2"/>
      <c r="I137" s="2"/>
      <c r="J137" s="2"/>
      <c r="K137" s="2"/>
      <c r="L137" s="2"/>
      <c r="M137" s="2"/>
      <c r="N137" s="2"/>
      <c r="O137" s="2"/>
      <c r="P137" s="2"/>
      <c r="Q137" s="2"/>
    </row>
    <row r="138" ht="15.75" customHeight="1">
      <c r="B138" s="576"/>
      <c r="C138" s="2"/>
      <c r="D138" s="2"/>
      <c r="E138" s="464"/>
      <c r="F138" s="2"/>
      <c r="G138" s="2"/>
      <c r="H138" s="2"/>
      <c r="I138" s="2"/>
      <c r="J138" s="2"/>
      <c r="K138" s="2"/>
      <c r="L138" s="2"/>
      <c r="M138" s="2"/>
      <c r="N138" s="2"/>
      <c r="O138" s="2"/>
      <c r="P138" s="2"/>
      <c r="Q138" s="2"/>
    </row>
    <row r="139" ht="15.75" customHeight="1">
      <c r="B139" s="576"/>
      <c r="C139" s="2"/>
      <c r="D139" s="2"/>
      <c r="E139" s="464"/>
      <c r="F139" s="2"/>
      <c r="G139" s="2"/>
      <c r="H139" s="2"/>
      <c r="I139" s="2"/>
      <c r="J139" s="2"/>
      <c r="K139" s="2"/>
      <c r="L139" s="2"/>
      <c r="M139" s="2"/>
      <c r="N139" s="2"/>
      <c r="O139" s="2"/>
      <c r="P139" s="2"/>
      <c r="Q139" s="2"/>
    </row>
    <row r="140" ht="15.75" customHeight="1">
      <c r="B140" s="576"/>
      <c r="C140" s="2"/>
      <c r="D140" s="2"/>
      <c r="E140" s="464"/>
      <c r="F140" s="2"/>
      <c r="G140" s="2"/>
      <c r="H140" s="2"/>
      <c r="I140" s="2"/>
      <c r="J140" s="2"/>
      <c r="K140" s="2"/>
      <c r="L140" s="2"/>
      <c r="M140" s="2"/>
      <c r="N140" s="2"/>
      <c r="O140" s="2"/>
      <c r="P140" s="2"/>
      <c r="Q140" s="2"/>
    </row>
    <row r="141" ht="15.75" customHeight="1">
      <c r="B141" s="576"/>
      <c r="C141" s="2"/>
      <c r="D141" s="2"/>
      <c r="E141" s="464"/>
      <c r="F141" s="2"/>
      <c r="G141" s="2"/>
      <c r="H141" s="2"/>
      <c r="I141" s="2"/>
      <c r="J141" s="2"/>
      <c r="K141" s="2"/>
      <c r="L141" s="2"/>
      <c r="M141" s="2"/>
      <c r="N141" s="2"/>
      <c r="O141" s="2"/>
      <c r="P141" s="2"/>
      <c r="Q141" s="2"/>
    </row>
    <row r="142" ht="15.75" customHeight="1">
      <c r="B142" s="576"/>
      <c r="C142" s="2"/>
      <c r="D142" s="2"/>
      <c r="E142" s="464"/>
      <c r="F142" s="2"/>
      <c r="G142" s="2"/>
      <c r="H142" s="2"/>
      <c r="I142" s="2"/>
      <c r="J142" s="2"/>
      <c r="K142" s="2"/>
      <c r="L142" s="2"/>
      <c r="M142" s="2"/>
      <c r="N142" s="2"/>
      <c r="O142" s="2"/>
      <c r="P142" s="2"/>
      <c r="Q142" s="2"/>
    </row>
    <row r="143" ht="15.75" customHeight="1">
      <c r="B143" s="576"/>
      <c r="C143" s="2"/>
      <c r="D143" s="2"/>
      <c r="E143" s="464"/>
      <c r="F143" s="2"/>
      <c r="G143" s="2"/>
      <c r="H143" s="2"/>
      <c r="I143" s="2"/>
      <c r="J143" s="2"/>
      <c r="K143" s="2"/>
      <c r="L143" s="2"/>
      <c r="M143" s="2"/>
      <c r="N143" s="2"/>
      <c r="O143" s="2"/>
      <c r="P143" s="2"/>
      <c r="Q143" s="2"/>
    </row>
    <row r="144" ht="15.75" customHeight="1">
      <c r="B144" s="576"/>
      <c r="C144" s="2"/>
      <c r="D144" s="2"/>
      <c r="E144" s="464"/>
      <c r="F144" s="2"/>
      <c r="G144" s="2"/>
      <c r="H144" s="2"/>
      <c r="I144" s="2"/>
      <c r="J144" s="2"/>
      <c r="K144" s="2"/>
      <c r="L144" s="2"/>
      <c r="M144" s="2"/>
      <c r="N144" s="2"/>
      <c r="O144" s="2"/>
      <c r="P144" s="2"/>
      <c r="Q144" s="2"/>
    </row>
    <row r="145" ht="15.75" customHeight="1">
      <c r="B145" s="576"/>
      <c r="C145" s="2"/>
      <c r="D145" s="2"/>
      <c r="E145" s="464"/>
      <c r="F145" s="2"/>
      <c r="G145" s="2"/>
      <c r="H145" s="2"/>
      <c r="I145" s="2"/>
      <c r="J145" s="2"/>
      <c r="K145" s="2"/>
      <c r="L145" s="2"/>
      <c r="M145" s="2"/>
      <c r="N145" s="2"/>
      <c r="O145" s="2"/>
      <c r="P145" s="2"/>
      <c r="Q145" s="2"/>
    </row>
    <row r="146" ht="15.75" customHeight="1">
      <c r="B146" s="576"/>
      <c r="C146" s="2"/>
      <c r="D146" s="2"/>
      <c r="E146" s="464"/>
      <c r="F146" s="2"/>
      <c r="G146" s="2"/>
      <c r="H146" s="2"/>
      <c r="I146" s="2"/>
      <c r="J146" s="2"/>
      <c r="K146" s="2"/>
      <c r="L146" s="2"/>
      <c r="M146" s="2"/>
      <c r="N146" s="2"/>
      <c r="O146" s="2"/>
      <c r="P146" s="2"/>
      <c r="Q146" s="2"/>
    </row>
    <row r="147" ht="15.75" customHeight="1">
      <c r="B147" s="576"/>
      <c r="C147" s="2"/>
      <c r="D147" s="2"/>
      <c r="E147" s="464"/>
      <c r="F147" s="2"/>
      <c r="G147" s="2"/>
      <c r="H147" s="2"/>
      <c r="I147" s="2"/>
      <c r="J147" s="2"/>
      <c r="K147" s="2"/>
      <c r="L147" s="2"/>
      <c r="M147" s="2"/>
      <c r="N147" s="2"/>
      <c r="O147" s="2"/>
      <c r="P147" s="2"/>
      <c r="Q147" s="2"/>
    </row>
    <row r="148" ht="15.75" customHeight="1">
      <c r="B148" s="576"/>
      <c r="C148" s="2"/>
      <c r="D148" s="2"/>
      <c r="E148" s="464"/>
      <c r="F148" s="2"/>
      <c r="G148" s="2"/>
      <c r="H148" s="2"/>
      <c r="I148" s="2"/>
      <c r="J148" s="2"/>
      <c r="K148" s="2"/>
      <c r="L148" s="2"/>
      <c r="M148" s="2"/>
      <c r="N148" s="2"/>
      <c r="O148" s="2"/>
      <c r="P148" s="2"/>
      <c r="Q148" s="2"/>
    </row>
    <row r="149" ht="15.75" customHeight="1">
      <c r="B149" s="576"/>
      <c r="C149" s="2"/>
      <c r="D149" s="2"/>
      <c r="E149" s="464"/>
      <c r="F149" s="2"/>
      <c r="G149" s="2"/>
      <c r="H149" s="2"/>
      <c r="I149" s="2"/>
      <c r="J149" s="2"/>
      <c r="K149" s="2"/>
      <c r="L149" s="2"/>
      <c r="M149" s="2"/>
      <c r="N149" s="2"/>
      <c r="O149" s="2"/>
      <c r="P149" s="2"/>
      <c r="Q149" s="2"/>
    </row>
    <row r="150" ht="15.75" customHeight="1">
      <c r="B150" s="576"/>
      <c r="C150" s="2"/>
      <c r="D150" s="2"/>
      <c r="E150" s="464"/>
      <c r="F150" s="2"/>
      <c r="G150" s="2"/>
      <c r="H150" s="2"/>
      <c r="I150" s="2"/>
      <c r="J150" s="2"/>
      <c r="K150" s="2"/>
      <c r="L150" s="2"/>
      <c r="M150" s="2"/>
      <c r="N150" s="2"/>
      <c r="O150" s="2"/>
      <c r="P150" s="2"/>
      <c r="Q150" s="2"/>
    </row>
    <row r="151" ht="15.75" customHeight="1">
      <c r="B151" s="576"/>
      <c r="C151" s="2"/>
      <c r="D151" s="2"/>
      <c r="E151" s="464"/>
      <c r="F151" s="2"/>
      <c r="G151" s="2"/>
      <c r="H151" s="2"/>
      <c r="I151" s="2"/>
      <c r="J151" s="2"/>
      <c r="K151" s="2"/>
      <c r="L151" s="2"/>
      <c r="M151" s="2"/>
      <c r="N151" s="2"/>
      <c r="O151" s="2"/>
      <c r="P151" s="2"/>
      <c r="Q151" s="2"/>
    </row>
    <row r="152" ht="15.75" customHeight="1">
      <c r="B152" s="576"/>
      <c r="C152" s="2"/>
      <c r="D152" s="2"/>
      <c r="E152" s="464"/>
      <c r="F152" s="2"/>
      <c r="G152" s="2"/>
      <c r="H152" s="2"/>
      <c r="I152" s="2"/>
      <c r="J152" s="2"/>
      <c r="K152" s="2"/>
      <c r="L152" s="2"/>
      <c r="M152" s="2"/>
      <c r="N152" s="2"/>
      <c r="O152" s="2"/>
      <c r="P152" s="2"/>
      <c r="Q152" s="2"/>
    </row>
    <row r="153" ht="15.75" customHeight="1">
      <c r="B153" s="576"/>
      <c r="C153" s="2"/>
      <c r="D153" s="2"/>
      <c r="E153" s="464"/>
      <c r="F153" s="2"/>
      <c r="G153" s="2"/>
      <c r="H153" s="2"/>
      <c r="I153" s="2"/>
      <c r="J153" s="2"/>
      <c r="K153" s="2"/>
      <c r="L153" s="2"/>
      <c r="M153" s="2"/>
      <c r="N153" s="2"/>
      <c r="O153" s="2"/>
      <c r="P153" s="2"/>
      <c r="Q153" s="2"/>
    </row>
    <row r="154" ht="15.75" customHeight="1">
      <c r="B154" s="576"/>
      <c r="C154" s="2"/>
      <c r="D154" s="2"/>
      <c r="E154" s="464"/>
      <c r="F154" s="2"/>
      <c r="G154" s="2"/>
      <c r="H154" s="2"/>
      <c r="I154" s="2"/>
      <c r="J154" s="2"/>
      <c r="K154" s="2"/>
      <c r="L154" s="2"/>
      <c r="M154" s="2"/>
      <c r="N154" s="2"/>
      <c r="O154" s="2"/>
      <c r="P154" s="2"/>
      <c r="Q154" s="2"/>
    </row>
    <row r="155" ht="15.75" customHeight="1">
      <c r="B155" s="576"/>
      <c r="C155" s="2"/>
      <c r="D155" s="2"/>
      <c r="E155" s="464"/>
      <c r="F155" s="2"/>
      <c r="G155" s="2"/>
      <c r="H155" s="2"/>
      <c r="I155" s="2"/>
      <c r="J155" s="2"/>
      <c r="K155" s="2"/>
      <c r="L155" s="2"/>
      <c r="M155" s="2"/>
      <c r="N155" s="2"/>
      <c r="O155" s="2"/>
      <c r="P155" s="2"/>
      <c r="Q155" s="2"/>
    </row>
    <row r="156" ht="15.75" customHeight="1">
      <c r="B156" s="576"/>
      <c r="C156" s="2"/>
      <c r="D156" s="2"/>
      <c r="E156" s="464"/>
      <c r="F156" s="2"/>
      <c r="G156" s="2"/>
      <c r="H156" s="2"/>
      <c r="I156" s="2"/>
      <c r="J156" s="2"/>
      <c r="K156" s="2"/>
      <c r="L156" s="2"/>
      <c r="M156" s="2"/>
      <c r="N156" s="2"/>
      <c r="O156" s="2"/>
      <c r="P156" s="2"/>
      <c r="Q156" s="2"/>
    </row>
    <row r="157" ht="15.75" customHeight="1">
      <c r="B157" s="576"/>
      <c r="C157" s="2"/>
      <c r="D157" s="2"/>
      <c r="E157" s="464"/>
      <c r="F157" s="2"/>
      <c r="G157" s="2"/>
      <c r="H157" s="2"/>
      <c r="I157" s="2"/>
      <c r="J157" s="2"/>
      <c r="K157" s="2"/>
      <c r="L157" s="2"/>
      <c r="M157" s="2"/>
      <c r="N157" s="2"/>
      <c r="O157" s="2"/>
      <c r="P157" s="2"/>
      <c r="Q157" s="2"/>
    </row>
    <row r="158" ht="15.75" customHeight="1">
      <c r="B158" s="576"/>
      <c r="C158" s="2"/>
      <c r="D158" s="2"/>
      <c r="E158" s="464"/>
      <c r="F158" s="2"/>
      <c r="G158" s="2"/>
      <c r="H158" s="2"/>
      <c r="I158" s="2"/>
      <c r="J158" s="2"/>
      <c r="K158" s="2"/>
      <c r="L158" s="2"/>
      <c r="M158" s="2"/>
      <c r="N158" s="2"/>
      <c r="O158" s="2"/>
      <c r="P158" s="2"/>
      <c r="Q158" s="2"/>
    </row>
    <row r="159" ht="15.75" customHeight="1">
      <c r="B159" s="576"/>
      <c r="C159" s="2"/>
      <c r="D159" s="2"/>
      <c r="E159" s="464"/>
      <c r="F159" s="2"/>
      <c r="G159" s="2"/>
      <c r="H159" s="2"/>
      <c r="I159" s="2"/>
      <c r="J159" s="2"/>
      <c r="K159" s="2"/>
      <c r="L159" s="2"/>
      <c r="M159" s="2"/>
      <c r="N159" s="2"/>
      <c r="O159" s="2"/>
      <c r="P159" s="2"/>
      <c r="Q159" s="2"/>
    </row>
    <row r="160" ht="15.75" customHeight="1">
      <c r="B160" s="576"/>
      <c r="C160" s="2"/>
      <c r="D160" s="2"/>
      <c r="E160" s="464"/>
      <c r="F160" s="2"/>
      <c r="G160" s="2"/>
      <c r="H160" s="2"/>
      <c r="I160" s="2"/>
      <c r="J160" s="2"/>
      <c r="K160" s="2"/>
      <c r="L160" s="2"/>
      <c r="M160" s="2"/>
      <c r="N160" s="2"/>
      <c r="O160" s="2"/>
      <c r="P160" s="2"/>
      <c r="Q160" s="2"/>
    </row>
    <row r="161" ht="15.75" customHeight="1">
      <c r="B161" s="576"/>
      <c r="C161" s="2"/>
      <c r="D161" s="2"/>
      <c r="E161" s="464"/>
      <c r="F161" s="2"/>
      <c r="G161" s="2"/>
      <c r="H161" s="2"/>
      <c r="I161" s="2"/>
      <c r="J161" s="2"/>
      <c r="K161" s="2"/>
      <c r="L161" s="2"/>
      <c r="M161" s="2"/>
      <c r="N161" s="2"/>
      <c r="O161" s="2"/>
      <c r="P161" s="2"/>
      <c r="Q161" s="2"/>
    </row>
    <row r="162" ht="15.75" customHeight="1">
      <c r="B162" s="576"/>
      <c r="C162" s="2"/>
      <c r="D162" s="2"/>
      <c r="E162" s="464"/>
      <c r="F162" s="2"/>
      <c r="G162" s="2"/>
      <c r="H162" s="2"/>
      <c r="I162" s="2"/>
      <c r="J162" s="2"/>
      <c r="K162" s="2"/>
      <c r="L162" s="2"/>
      <c r="M162" s="2"/>
      <c r="N162" s="2"/>
      <c r="O162" s="2"/>
      <c r="P162" s="2"/>
      <c r="Q162" s="2"/>
    </row>
    <row r="163" ht="15.75" customHeight="1">
      <c r="B163" s="576"/>
      <c r="C163" s="2"/>
      <c r="D163" s="2"/>
      <c r="E163" s="464"/>
      <c r="F163" s="2"/>
      <c r="G163" s="2"/>
      <c r="H163" s="2"/>
      <c r="I163" s="2"/>
      <c r="J163" s="2"/>
      <c r="K163" s="2"/>
      <c r="L163" s="2"/>
      <c r="M163" s="2"/>
      <c r="N163" s="2"/>
      <c r="O163" s="2"/>
      <c r="P163" s="2"/>
      <c r="Q163" s="2"/>
    </row>
    <row r="164" ht="15.75" customHeight="1">
      <c r="B164" s="576"/>
      <c r="C164" s="2"/>
      <c r="D164" s="2"/>
      <c r="E164" s="464"/>
      <c r="F164" s="2"/>
      <c r="G164" s="2"/>
      <c r="H164" s="2"/>
      <c r="I164" s="2"/>
      <c r="J164" s="2"/>
      <c r="K164" s="2"/>
      <c r="L164" s="2"/>
      <c r="M164" s="2"/>
      <c r="N164" s="2"/>
      <c r="O164" s="2"/>
      <c r="P164" s="2"/>
      <c r="Q164" s="2"/>
    </row>
    <row r="165" ht="15.75" customHeight="1">
      <c r="B165" s="576"/>
      <c r="C165" s="2"/>
      <c r="D165" s="2"/>
      <c r="E165" s="464"/>
      <c r="F165" s="2"/>
      <c r="G165" s="2"/>
      <c r="H165" s="2"/>
      <c r="I165" s="2"/>
      <c r="J165" s="2"/>
      <c r="K165" s="2"/>
      <c r="L165" s="2"/>
      <c r="M165" s="2"/>
      <c r="N165" s="2"/>
      <c r="O165" s="2"/>
      <c r="P165" s="2"/>
      <c r="Q165" s="2"/>
    </row>
    <row r="166" ht="15.75" customHeight="1">
      <c r="B166" s="576"/>
      <c r="C166" s="2"/>
      <c r="D166" s="2"/>
      <c r="E166" s="464"/>
      <c r="F166" s="2"/>
      <c r="G166" s="2"/>
      <c r="H166" s="2"/>
      <c r="I166" s="2"/>
      <c r="J166" s="2"/>
      <c r="K166" s="2"/>
      <c r="L166" s="2"/>
      <c r="M166" s="2"/>
      <c r="N166" s="2"/>
      <c r="O166" s="2"/>
      <c r="P166" s="2"/>
      <c r="Q166" s="2"/>
    </row>
    <row r="167" ht="15.75" customHeight="1">
      <c r="B167" s="576"/>
      <c r="C167" s="2"/>
      <c r="D167" s="2"/>
      <c r="E167" s="464"/>
      <c r="F167" s="2"/>
      <c r="G167" s="2"/>
      <c r="H167" s="2"/>
      <c r="I167" s="2"/>
      <c r="J167" s="2"/>
      <c r="K167" s="2"/>
      <c r="L167" s="2"/>
      <c r="M167" s="2"/>
      <c r="N167" s="2"/>
      <c r="O167" s="2"/>
      <c r="P167" s="2"/>
      <c r="Q167" s="2"/>
    </row>
    <row r="168" ht="15.75" customHeight="1">
      <c r="B168" s="576"/>
      <c r="C168" s="2"/>
      <c r="D168" s="2"/>
      <c r="E168" s="464"/>
      <c r="F168" s="2"/>
      <c r="G168" s="2"/>
      <c r="H168" s="2"/>
      <c r="I168" s="2"/>
      <c r="J168" s="2"/>
      <c r="K168" s="2"/>
      <c r="L168" s="2"/>
      <c r="M168" s="2"/>
      <c r="N168" s="2"/>
      <c r="O168" s="2"/>
      <c r="P168" s="2"/>
      <c r="Q168" s="2"/>
    </row>
    <row r="169" ht="15.75" customHeight="1">
      <c r="B169" s="576"/>
      <c r="C169" s="2"/>
      <c r="D169" s="2"/>
      <c r="E169" s="464"/>
      <c r="F169" s="2"/>
      <c r="G169" s="2"/>
      <c r="H169" s="2"/>
      <c r="I169" s="2"/>
      <c r="J169" s="2"/>
      <c r="K169" s="2"/>
      <c r="L169" s="2"/>
      <c r="M169" s="2"/>
      <c r="N169" s="2"/>
      <c r="O169" s="2"/>
      <c r="P169" s="2"/>
      <c r="Q169" s="2"/>
    </row>
    <row r="170" ht="15.75" customHeight="1">
      <c r="B170" s="576"/>
      <c r="C170" s="2"/>
      <c r="D170" s="2"/>
      <c r="E170" s="464"/>
      <c r="F170" s="2"/>
      <c r="G170" s="2"/>
      <c r="H170" s="2"/>
      <c r="I170" s="2"/>
      <c r="J170" s="2"/>
      <c r="K170" s="2"/>
      <c r="L170" s="2"/>
      <c r="M170" s="2"/>
      <c r="N170" s="2"/>
      <c r="O170" s="2"/>
      <c r="P170" s="2"/>
      <c r="Q170" s="2"/>
    </row>
    <row r="171" ht="15.75" customHeight="1">
      <c r="B171" s="576"/>
      <c r="C171" s="2"/>
      <c r="D171" s="2"/>
      <c r="E171" s="464"/>
      <c r="F171" s="2"/>
      <c r="G171" s="2"/>
      <c r="H171" s="2"/>
      <c r="I171" s="2"/>
      <c r="J171" s="2"/>
      <c r="K171" s="2"/>
      <c r="L171" s="2"/>
      <c r="M171" s="2"/>
      <c r="N171" s="2"/>
      <c r="O171" s="2"/>
      <c r="P171" s="2"/>
      <c r="Q171" s="2"/>
    </row>
    <row r="172" ht="15.75" customHeight="1">
      <c r="B172" s="576"/>
      <c r="C172" s="2"/>
      <c r="D172" s="2"/>
      <c r="E172" s="464"/>
      <c r="F172" s="2"/>
      <c r="G172" s="2"/>
      <c r="H172" s="2"/>
      <c r="I172" s="2"/>
      <c r="J172" s="2"/>
      <c r="K172" s="2"/>
      <c r="L172" s="2"/>
      <c r="M172" s="2"/>
      <c r="N172" s="2"/>
      <c r="O172" s="2"/>
      <c r="P172" s="2"/>
      <c r="Q172" s="2"/>
    </row>
    <row r="173" ht="15.75" customHeight="1">
      <c r="B173" s="576"/>
      <c r="C173" s="2"/>
      <c r="D173" s="2"/>
      <c r="E173" s="464"/>
      <c r="F173" s="2"/>
      <c r="G173" s="2"/>
      <c r="H173" s="2"/>
      <c r="I173" s="2"/>
      <c r="J173" s="2"/>
      <c r="K173" s="2"/>
      <c r="L173" s="2"/>
      <c r="M173" s="2"/>
      <c r="N173" s="2"/>
      <c r="O173" s="2"/>
      <c r="P173" s="2"/>
      <c r="Q173" s="2"/>
    </row>
    <row r="174" ht="15.75" customHeight="1">
      <c r="B174" s="576"/>
      <c r="C174" s="2"/>
      <c r="D174" s="2"/>
      <c r="E174" s="464"/>
      <c r="F174" s="2"/>
      <c r="G174" s="2"/>
      <c r="H174" s="2"/>
      <c r="I174" s="2"/>
      <c r="J174" s="2"/>
      <c r="K174" s="2"/>
      <c r="L174" s="2"/>
      <c r="M174" s="2"/>
      <c r="N174" s="2"/>
      <c r="O174" s="2"/>
      <c r="P174" s="2"/>
      <c r="Q174" s="2"/>
    </row>
    <row r="175" ht="15.75" customHeight="1">
      <c r="B175" s="576"/>
      <c r="C175" s="2"/>
      <c r="D175" s="2"/>
      <c r="E175" s="464"/>
      <c r="F175" s="2"/>
      <c r="G175" s="2"/>
      <c r="H175" s="2"/>
      <c r="I175" s="2"/>
      <c r="J175" s="2"/>
      <c r="K175" s="2"/>
      <c r="L175" s="2"/>
      <c r="M175" s="2"/>
      <c r="N175" s="2"/>
      <c r="O175" s="2"/>
      <c r="P175" s="2"/>
      <c r="Q175" s="2"/>
    </row>
    <row r="176" ht="15.75" customHeight="1">
      <c r="B176" s="576"/>
      <c r="C176" s="2"/>
      <c r="D176" s="2"/>
      <c r="E176" s="464"/>
      <c r="F176" s="2"/>
      <c r="G176" s="2"/>
      <c r="H176" s="2"/>
      <c r="I176" s="2"/>
      <c r="J176" s="2"/>
      <c r="K176" s="2"/>
      <c r="L176" s="2"/>
      <c r="M176" s="2"/>
      <c r="N176" s="2"/>
      <c r="O176" s="2"/>
      <c r="P176" s="2"/>
      <c r="Q176" s="2"/>
    </row>
    <row r="177" ht="15.75" customHeight="1">
      <c r="B177" s="576"/>
      <c r="C177" s="2"/>
      <c r="D177" s="2"/>
      <c r="E177" s="464"/>
      <c r="F177" s="2"/>
      <c r="G177" s="2"/>
      <c r="H177" s="2"/>
      <c r="I177" s="2"/>
      <c r="J177" s="2"/>
      <c r="K177" s="2"/>
      <c r="L177" s="2"/>
      <c r="M177" s="2"/>
      <c r="N177" s="2"/>
      <c r="O177" s="2"/>
      <c r="P177" s="2"/>
      <c r="Q177" s="2"/>
    </row>
    <row r="178" ht="15.75" customHeight="1">
      <c r="B178" s="576"/>
      <c r="C178" s="2"/>
      <c r="D178" s="2"/>
      <c r="E178" s="464"/>
      <c r="F178" s="2"/>
      <c r="G178" s="2"/>
      <c r="H178" s="2"/>
      <c r="I178" s="2"/>
      <c r="J178" s="2"/>
      <c r="K178" s="2"/>
      <c r="L178" s="2"/>
      <c r="M178" s="2"/>
      <c r="N178" s="2"/>
      <c r="O178" s="2"/>
      <c r="P178" s="2"/>
      <c r="Q178" s="2"/>
    </row>
    <row r="179" ht="15.75" customHeight="1">
      <c r="B179" s="576"/>
      <c r="C179" s="2"/>
      <c r="D179" s="2"/>
      <c r="E179" s="464"/>
      <c r="F179" s="2"/>
      <c r="G179" s="2"/>
      <c r="H179" s="2"/>
      <c r="I179" s="2"/>
      <c r="J179" s="2"/>
      <c r="K179" s="2"/>
      <c r="L179" s="2"/>
      <c r="M179" s="2"/>
      <c r="N179" s="2"/>
      <c r="O179" s="2"/>
      <c r="P179" s="2"/>
      <c r="Q179" s="2"/>
    </row>
    <row r="180" ht="15.75" customHeight="1">
      <c r="B180" s="576"/>
      <c r="C180" s="2"/>
      <c r="D180" s="2"/>
      <c r="E180" s="464"/>
      <c r="F180" s="2"/>
      <c r="G180" s="2"/>
      <c r="H180" s="2"/>
      <c r="I180" s="2"/>
      <c r="J180" s="2"/>
      <c r="K180" s="2"/>
      <c r="L180" s="2"/>
      <c r="M180" s="2"/>
      <c r="N180" s="2"/>
      <c r="O180" s="2"/>
      <c r="P180" s="2"/>
      <c r="Q180" s="2"/>
    </row>
    <row r="181" ht="15.75" customHeight="1">
      <c r="B181" s="576"/>
      <c r="C181" s="2"/>
      <c r="D181" s="2"/>
      <c r="E181" s="464"/>
      <c r="F181" s="2"/>
      <c r="G181" s="2"/>
      <c r="H181" s="2"/>
      <c r="I181" s="2"/>
      <c r="J181" s="2"/>
      <c r="K181" s="2"/>
      <c r="L181" s="2"/>
      <c r="M181" s="2"/>
      <c r="N181" s="2"/>
      <c r="O181" s="2"/>
      <c r="P181" s="2"/>
      <c r="Q181" s="2"/>
    </row>
    <row r="182" ht="15.75" customHeight="1">
      <c r="B182" s="576"/>
      <c r="C182" s="2"/>
      <c r="D182" s="2"/>
      <c r="E182" s="464"/>
      <c r="F182" s="2"/>
      <c r="G182" s="2"/>
      <c r="H182" s="2"/>
      <c r="I182" s="2"/>
      <c r="J182" s="2"/>
      <c r="K182" s="2"/>
      <c r="L182" s="2"/>
      <c r="M182" s="2"/>
      <c r="N182" s="2"/>
      <c r="O182" s="2"/>
      <c r="P182" s="2"/>
      <c r="Q182" s="2"/>
    </row>
    <row r="183" ht="15.75" customHeight="1">
      <c r="B183" s="576"/>
      <c r="C183" s="2"/>
      <c r="D183" s="2"/>
      <c r="E183" s="464"/>
      <c r="F183" s="2"/>
      <c r="G183" s="2"/>
      <c r="H183" s="2"/>
      <c r="I183" s="2"/>
      <c r="J183" s="2"/>
      <c r="K183" s="2"/>
      <c r="L183" s="2"/>
      <c r="M183" s="2"/>
      <c r="N183" s="2"/>
      <c r="O183" s="2"/>
      <c r="P183" s="2"/>
      <c r="Q183" s="2"/>
    </row>
    <row r="184" ht="15.75" customHeight="1">
      <c r="B184" s="576"/>
      <c r="C184" s="2"/>
      <c r="D184" s="2"/>
      <c r="E184" s="464"/>
      <c r="F184" s="2"/>
      <c r="G184" s="2"/>
      <c r="H184" s="2"/>
      <c r="I184" s="2"/>
      <c r="J184" s="2"/>
      <c r="K184" s="2"/>
      <c r="L184" s="2"/>
      <c r="M184" s="2"/>
      <c r="N184" s="2"/>
      <c r="O184" s="2"/>
      <c r="P184" s="2"/>
      <c r="Q184" s="2"/>
    </row>
    <row r="185" ht="15.75" customHeight="1">
      <c r="B185" s="576"/>
      <c r="C185" s="2"/>
      <c r="D185" s="2"/>
      <c r="E185" s="464"/>
      <c r="F185" s="2"/>
      <c r="G185" s="2"/>
      <c r="H185" s="2"/>
      <c r="I185" s="2"/>
      <c r="J185" s="2"/>
      <c r="K185" s="2"/>
      <c r="L185" s="2"/>
      <c r="M185" s="2"/>
      <c r="N185" s="2"/>
      <c r="O185" s="2"/>
      <c r="P185" s="2"/>
      <c r="Q185" s="2"/>
    </row>
    <row r="186" ht="15.75" customHeight="1">
      <c r="B186" s="576"/>
      <c r="C186" s="2"/>
      <c r="D186" s="2"/>
      <c r="E186" s="464"/>
      <c r="F186" s="2"/>
      <c r="G186" s="2"/>
      <c r="H186" s="2"/>
      <c r="I186" s="2"/>
      <c r="J186" s="2"/>
      <c r="K186" s="2"/>
      <c r="L186" s="2"/>
      <c r="M186" s="2"/>
      <c r="N186" s="2"/>
      <c r="O186" s="2"/>
      <c r="P186" s="2"/>
      <c r="Q186" s="2"/>
    </row>
    <row r="187" ht="15.75" customHeight="1">
      <c r="B187" s="576"/>
      <c r="C187" s="2"/>
      <c r="D187" s="2"/>
      <c r="E187" s="464"/>
      <c r="F187" s="2"/>
      <c r="G187" s="2"/>
      <c r="H187" s="2"/>
      <c r="I187" s="2"/>
      <c r="J187" s="2"/>
      <c r="K187" s="2"/>
      <c r="L187" s="2"/>
      <c r="M187" s="2"/>
      <c r="N187" s="2"/>
      <c r="O187" s="2"/>
      <c r="P187" s="2"/>
      <c r="Q187" s="2"/>
    </row>
    <row r="188" ht="15.75" customHeight="1">
      <c r="B188" s="576"/>
      <c r="C188" s="2"/>
      <c r="D188" s="2"/>
      <c r="E188" s="464"/>
      <c r="F188" s="2"/>
      <c r="G188" s="2"/>
      <c r="H188" s="2"/>
      <c r="I188" s="2"/>
      <c r="J188" s="2"/>
      <c r="K188" s="2"/>
      <c r="L188" s="2"/>
      <c r="M188" s="2"/>
      <c r="N188" s="2"/>
      <c r="O188" s="2"/>
      <c r="P188" s="2"/>
      <c r="Q188" s="2"/>
    </row>
    <row r="189" ht="15.75" customHeight="1">
      <c r="B189" s="576"/>
      <c r="C189" s="2"/>
      <c r="D189" s="2"/>
      <c r="E189" s="464"/>
      <c r="F189" s="2"/>
      <c r="G189" s="2"/>
      <c r="H189" s="2"/>
      <c r="I189" s="2"/>
      <c r="J189" s="2"/>
      <c r="K189" s="2"/>
      <c r="L189" s="2"/>
      <c r="M189" s="2"/>
      <c r="N189" s="2"/>
      <c r="O189" s="2"/>
      <c r="P189" s="2"/>
      <c r="Q189" s="2"/>
    </row>
    <row r="190" ht="15.75" customHeight="1">
      <c r="B190" s="576"/>
      <c r="C190" s="2"/>
      <c r="D190" s="2"/>
      <c r="E190" s="464"/>
      <c r="F190" s="2"/>
      <c r="G190" s="2"/>
      <c r="H190" s="2"/>
      <c r="I190" s="2"/>
      <c r="J190" s="2"/>
      <c r="K190" s="2"/>
      <c r="L190" s="2"/>
      <c r="M190" s="2"/>
      <c r="N190" s="2"/>
      <c r="O190" s="2"/>
      <c r="P190" s="2"/>
      <c r="Q190" s="2"/>
    </row>
    <row r="191" ht="15.75" customHeight="1">
      <c r="B191" s="576"/>
      <c r="C191" s="2"/>
      <c r="D191" s="2"/>
      <c r="E191" s="464"/>
      <c r="F191" s="2"/>
      <c r="G191" s="2"/>
      <c r="H191" s="2"/>
      <c r="I191" s="2"/>
      <c r="J191" s="2"/>
      <c r="K191" s="2"/>
      <c r="L191" s="2"/>
      <c r="M191" s="2"/>
      <c r="N191" s="2"/>
      <c r="O191" s="2"/>
      <c r="P191" s="2"/>
      <c r="Q191" s="2"/>
    </row>
    <row r="192" ht="15.75" customHeight="1">
      <c r="B192" s="576"/>
      <c r="C192" s="2"/>
      <c r="D192" s="2"/>
      <c r="E192" s="464"/>
      <c r="F192" s="2"/>
      <c r="G192" s="2"/>
      <c r="H192" s="2"/>
      <c r="I192" s="2"/>
      <c r="J192" s="2"/>
      <c r="K192" s="2"/>
      <c r="L192" s="2"/>
      <c r="M192" s="2"/>
      <c r="N192" s="2"/>
      <c r="O192" s="2"/>
      <c r="P192" s="2"/>
      <c r="Q192" s="2"/>
    </row>
    <row r="193" ht="15.75" customHeight="1">
      <c r="B193" s="576"/>
      <c r="C193" s="2"/>
      <c r="D193" s="2"/>
      <c r="E193" s="464"/>
      <c r="F193" s="2"/>
      <c r="G193" s="2"/>
      <c r="H193" s="2"/>
      <c r="I193" s="2"/>
      <c r="J193" s="2"/>
      <c r="K193" s="2"/>
      <c r="L193" s="2"/>
      <c r="M193" s="2"/>
      <c r="N193" s="2"/>
      <c r="O193" s="2"/>
      <c r="P193" s="2"/>
      <c r="Q193" s="2"/>
    </row>
    <row r="194" ht="15.75" customHeight="1">
      <c r="B194" s="576"/>
      <c r="C194" s="2"/>
      <c r="D194" s="2"/>
      <c r="E194" s="464"/>
      <c r="F194" s="2"/>
      <c r="G194" s="2"/>
      <c r="H194" s="2"/>
      <c r="I194" s="2"/>
      <c r="J194" s="2"/>
      <c r="K194" s="2"/>
      <c r="L194" s="2"/>
      <c r="M194" s="2"/>
      <c r="N194" s="2"/>
      <c r="O194" s="2"/>
      <c r="P194" s="2"/>
      <c r="Q194" s="2"/>
    </row>
    <row r="195" ht="15.75" customHeight="1">
      <c r="B195" s="576"/>
      <c r="C195" s="2"/>
      <c r="D195" s="2"/>
      <c r="E195" s="464"/>
      <c r="F195" s="2"/>
      <c r="G195" s="2"/>
      <c r="H195" s="2"/>
      <c r="I195" s="2"/>
      <c r="J195" s="2"/>
      <c r="K195" s="2"/>
      <c r="L195" s="2"/>
      <c r="M195" s="2"/>
      <c r="N195" s="2"/>
      <c r="O195" s="2"/>
      <c r="P195" s="2"/>
      <c r="Q195" s="2"/>
    </row>
    <row r="196" ht="15.75" customHeight="1">
      <c r="B196" s="576"/>
      <c r="C196" s="2"/>
      <c r="D196" s="2"/>
      <c r="E196" s="464"/>
      <c r="F196" s="2"/>
      <c r="G196" s="2"/>
      <c r="H196" s="2"/>
      <c r="I196" s="2"/>
      <c r="J196" s="2"/>
      <c r="K196" s="2"/>
      <c r="L196" s="2"/>
      <c r="M196" s="2"/>
      <c r="N196" s="2"/>
      <c r="O196" s="2"/>
      <c r="P196" s="2"/>
      <c r="Q196" s="2"/>
    </row>
    <row r="197" ht="15.75" customHeight="1">
      <c r="B197" s="576"/>
      <c r="C197" s="2"/>
      <c r="D197" s="2"/>
      <c r="E197" s="464"/>
      <c r="F197" s="2"/>
      <c r="G197" s="2"/>
      <c r="H197" s="2"/>
      <c r="I197" s="2"/>
      <c r="J197" s="2"/>
      <c r="K197" s="2"/>
      <c r="L197" s="2"/>
      <c r="M197" s="2"/>
      <c r="N197" s="2"/>
      <c r="O197" s="2"/>
      <c r="P197" s="2"/>
      <c r="Q197" s="2"/>
    </row>
    <row r="198" ht="15.75" customHeight="1">
      <c r="B198" s="576"/>
      <c r="C198" s="2"/>
      <c r="D198" s="2"/>
      <c r="E198" s="464"/>
      <c r="F198" s="2"/>
      <c r="G198" s="2"/>
      <c r="H198" s="2"/>
      <c r="I198" s="2"/>
      <c r="J198" s="2"/>
      <c r="K198" s="2"/>
      <c r="L198" s="2"/>
      <c r="M198" s="2"/>
      <c r="N198" s="2"/>
      <c r="O198" s="2"/>
      <c r="P198" s="2"/>
      <c r="Q198" s="2"/>
    </row>
    <row r="199" ht="15.75" customHeight="1">
      <c r="B199" s="576"/>
      <c r="C199" s="2"/>
      <c r="D199" s="2"/>
      <c r="E199" s="464"/>
      <c r="F199" s="2"/>
      <c r="G199" s="2"/>
      <c r="H199" s="2"/>
      <c r="I199" s="2"/>
      <c r="J199" s="2"/>
      <c r="K199" s="2"/>
      <c r="L199" s="2"/>
      <c r="M199" s="2"/>
      <c r="N199" s="2"/>
      <c r="O199" s="2"/>
      <c r="P199" s="2"/>
      <c r="Q199" s="2"/>
    </row>
    <row r="200" ht="15.75" customHeight="1">
      <c r="B200" s="576"/>
      <c r="C200" s="2"/>
      <c r="D200" s="2"/>
      <c r="E200" s="464"/>
      <c r="F200" s="2"/>
      <c r="G200" s="2"/>
      <c r="H200" s="2"/>
      <c r="I200" s="2"/>
      <c r="J200" s="2"/>
      <c r="K200" s="2"/>
      <c r="L200" s="2"/>
      <c r="M200" s="2"/>
      <c r="N200" s="2"/>
      <c r="O200" s="2"/>
      <c r="P200" s="2"/>
      <c r="Q200" s="2"/>
    </row>
    <row r="201" ht="15.75" customHeight="1">
      <c r="B201" s="576"/>
      <c r="C201" s="2"/>
      <c r="D201" s="2"/>
      <c r="E201" s="464"/>
      <c r="F201" s="2"/>
      <c r="G201" s="2"/>
      <c r="H201" s="2"/>
      <c r="I201" s="2"/>
      <c r="J201" s="2"/>
      <c r="K201" s="2"/>
      <c r="L201" s="2"/>
      <c r="M201" s="2"/>
      <c r="N201" s="2"/>
      <c r="O201" s="2"/>
      <c r="P201" s="2"/>
      <c r="Q201" s="2"/>
    </row>
    <row r="202" ht="15.75" customHeight="1">
      <c r="B202" s="576"/>
      <c r="C202" s="2"/>
      <c r="D202" s="2"/>
      <c r="E202" s="464"/>
      <c r="F202" s="2"/>
      <c r="G202" s="2"/>
      <c r="H202" s="2"/>
      <c r="I202" s="2"/>
      <c r="J202" s="2"/>
      <c r="K202" s="2"/>
      <c r="L202" s="2"/>
      <c r="M202" s="2"/>
      <c r="N202" s="2"/>
      <c r="O202" s="2"/>
      <c r="P202" s="2"/>
      <c r="Q202" s="2"/>
    </row>
    <row r="203" ht="15.75" customHeight="1">
      <c r="B203" s="576"/>
      <c r="C203" s="2"/>
      <c r="D203" s="2"/>
      <c r="E203" s="464"/>
      <c r="F203" s="2"/>
      <c r="G203" s="2"/>
      <c r="H203" s="2"/>
      <c r="I203" s="2"/>
      <c r="J203" s="2"/>
      <c r="K203" s="2"/>
      <c r="L203" s="2"/>
      <c r="M203" s="2"/>
      <c r="N203" s="2"/>
      <c r="O203" s="2"/>
      <c r="P203" s="2"/>
      <c r="Q203" s="2"/>
    </row>
    <row r="204" ht="15.75" customHeight="1">
      <c r="B204" s="576"/>
      <c r="C204" s="2"/>
      <c r="D204" s="2"/>
      <c r="E204" s="464"/>
      <c r="F204" s="2"/>
      <c r="G204" s="2"/>
      <c r="H204" s="2"/>
      <c r="I204" s="2"/>
      <c r="J204" s="2"/>
      <c r="K204" s="2"/>
      <c r="L204" s="2"/>
      <c r="M204" s="2"/>
      <c r="N204" s="2"/>
      <c r="O204" s="2"/>
      <c r="P204" s="2"/>
      <c r="Q204" s="2"/>
    </row>
    <row r="205" ht="15.75" customHeight="1">
      <c r="B205" s="576"/>
      <c r="C205" s="2"/>
      <c r="D205" s="2"/>
      <c r="E205" s="464"/>
      <c r="F205" s="2"/>
      <c r="G205" s="2"/>
      <c r="H205" s="2"/>
      <c r="I205" s="2"/>
      <c r="J205" s="2"/>
      <c r="K205" s="2"/>
      <c r="L205" s="2"/>
      <c r="M205" s="2"/>
      <c r="N205" s="2"/>
      <c r="O205" s="2"/>
      <c r="P205" s="2"/>
      <c r="Q205" s="2"/>
    </row>
    <row r="206" ht="15.75" customHeight="1">
      <c r="B206" s="576"/>
      <c r="C206" s="2"/>
      <c r="D206" s="2"/>
      <c r="E206" s="464"/>
      <c r="F206" s="2"/>
      <c r="G206" s="2"/>
      <c r="H206" s="2"/>
      <c r="I206" s="2"/>
      <c r="J206" s="2"/>
      <c r="K206" s="2"/>
      <c r="L206" s="2"/>
      <c r="M206" s="2"/>
      <c r="N206" s="2"/>
      <c r="O206" s="2"/>
      <c r="P206" s="2"/>
      <c r="Q206" s="2"/>
    </row>
    <row r="207" ht="15.75" customHeight="1">
      <c r="B207" s="576"/>
      <c r="C207" s="2"/>
      <c r="D207" s="2"/>
      <c r="E207" s="464"/>
      <c r="F207" s="2"/>
      <c r="G207" s="2"/>
      <c r="H207" s="2"/>
      <c r="I207" s="2"/>
      <c r="J207" s="2"/>
      <c r="K207" s="2"/>
      <c r="L207" s="2"/>
      <c r="M207" s="2"/>
      <c r="N207" s="2"/>
      <c r="O207" s="2"/>
      <c r="P207" s="2"/>
      <c r="Q207" s="2"/>
    </row>
    <row r="208" ht="15.75" customHeight="1">
      <c r="B208" s="576"/>
      <c r="C208" s="2"/>
      <c r="D208" s="2"/>
      <c r="E208" s="464"/>
      <c r="F208" s="2"/>
      <c r="G208" s="2"/>
      <c r="H208" s="2"/>
      <c r="I208" s="2"/>
      <c r="J208" s="2"/>
      <c r="K208" s="2"/>
      <c r="L208" s="2"/>
      <c r="M208" s="2"/>
      <c r="N208" s="2"/>
      <c r="O208" s="2"/>
      <c r="P208" s="2"/>
      <c r="Q208" s="2"/>
    </row>
    <row r="209" ht="15.75" customHeight="1">
      <c r="B209" s="576"/>
      <c r="C209" s="2"/>
      <c r="D209" s="2"/>
      <c r="E209" s="464"/>
      <c r="F209" s="2"/>
      <c r="G209" s="2"/>
      <c r="H209" s="2"/>
      <c r="I209" s="2"/>
      <c r="J209" s="2"/>
      <c r="K209" s="2"/>
      <c r="L209" s="2"/>
      <c r="M209" s="2"/>
      <c r="N209" s="2"/>
      <c r="O209" s="2"/>
      <c r="P209" s="2"/>
      <c r="Q209" s="2"/>
    </row>
    <row r="210" ht="15.75" customHeight="1">
      <c r="B210" s="576"/>
      <c r="C210" s="2"/>
      <c r="D210" s="2"/>
      <c r="E210" s="464"/>
      <c r="F210" s="2"/>
      <c r="G210" s="2"/>
      <c r="H210" s="2"/>
      <c r="I210" s="2"/>
      <c r="J210" s="2"/>
      <c r="K210" s="2"/>
      <c r="L210" s="2"/>
      <c r="M210" s="2"/>
      <c r="N210" s="2"/>
      <c r="O210" s="2"/>
      <c r="P210" s="2"/>
      <c r="Q210" s="2"/>
    </row>
    <row r="211" ht="15.75" customHeight="1">
      <c r="B211" s="576"/>
      <c r="C211" s="2"/>
      <c r="D211" s="2"/>
      <c r="E211" s="464"/>
      <c r="F211" s="2"/>
      <c r="G211" s="2"/>
      <c r="H211" s="2"/>
      <c r="I211" s="2"/>
      <c r="J211" s="2"/>
      <c r="K211" s="2"/>
      <c r="L211" s="2"/>
      <c r="M211" s="2"/>
      <c r="N211" s="2"/>
      <c r="O211" s="2"/>
      <c r="P211" s="2"/>
      <c r="Q211" s="2"/>
    </row>
    <row r="212" ht="15.75" customHeight="1">
      <c r="B212" s="576"/>
      <c r="C212" s="2"/>
      <c r="D212" s="2"/>
      <c r="E212" s="464"/>
      <c r="F212" s="2"/>
      <c r="G212" s="2"/>
      <c r="H212" s="2"/>
      <c r="I212" s="2"/>
      <c r="J212" s="2"/>
      <c r="K212" s="2"/>
      <c r="L212" s="2"/>
      <c r="M212" s="2"/>
      <c r="N212" s="2"/>
      <c r="O212" s="2"/>
      <c r="P212" s="2"/>
      <c r="Q212" s="2"/>
    </row>
    <row r="213" ht="15.75" customHeight="1">
      <c r="B213" s="576"/>
      <c r="C213" s="2"/>
      <c r="D213" s="2"/>
      <c r="E213" s="464"/>
      <c r="F213" s="2"/>
      <c r="G213" s="2"/>
      <c r="H213" s="2"/>
      <c r="I213" s="2"/>
      <c r="J213" s="2"/>
      <c r="K213" s="2"/>
      <c r="L213" s="2"/>
      <c r="M213" s="2"/>
      <c r="N213" s="2"/>
      <c r="O213" s="2"/>
      <c r="P213" s="2"/>
      <c r="Q213" s="2"/>
    </row>
    <row r="214" ht="15.75" customHeight="1">
      <c r="B214" s="576"/>
      <c r="C214" s="2"/>
      <c r="D214" s="2"/>
      <c r="E214" s="464"/>
      <c r="F214" s="2"/>
      <c r="G214" s="2"/>
      <c r="H214" s="2"/>
      <c r="I214" s="2"/>
      <c r="J214" s="2"/>
      <c r="K214" s="2"/>
      <c r="L214" s="2"/>
      <c r="M214" s="2"/>
      <c r="N214" s="2"/>
      <c r="O214" s="2"/>
      <c r="P214" s="2"/>
      <c r="Q214" s="2"/>
    </row>
    <row r="215" ht="15.75" customHeight="1">
      <c r="B215" s="576"/>
      <c r="C215" s="2"/>
      <c r="D215" s="2"/>
      <c r="E215" s="464"/>
      <c r="F215" s="2"/>
      <c r="G215" s="2"/>
      <c r="H215" s="2"/>
      <c r="I215" s="2"/>
      <c r="J215" s="2"/>
      <c r="K215" s="2"/>
      <c r="L215" s="2"/>
      <c r="M215" s="2"/>
      <c r="N215" s="2"/>
      <c r="O215" s="2"/>
      <c r="P215" s="2"/>
      <c r="Q215" s="2"/>
    </row>
    <row r="216" ht="15.75" customHeight="1">
      <c r="B216" s="576"/>
      <c r="C216" s="2"/>
      <c r="D216" s="2"/>
      <c r="E216" s="464"/>
      <c r="F216" s="2"/>
      <c r="G216" s="2"/>
      <c r="H216" s="2"/>
      <c r="I216" s="2"/>
      <c r="J216" s="2"/>
      <c r="K216" s="2"/>
      <c r="L216" s="2"/>
      <c r="M216" s="2"/>
      <c r="N216" s="2"/>
      <c r="O216" s="2"/>
      <c r="P216" s="2"/>
      <c r="Q216" s="2"/>
    </row>
    <row r="217" ht="15.75" customHeight="1">
      <c r="B217" s="576"/>
      <c r="C217" s="2"/>
      <c r="D217" s="2"/>
      <c r="E217" s="464"/>
      <c r="F217" s="2"/>
      <c r="G217" s="2"/>
      <c r="H217" s="2"/>
      <c r="I217" s="2"/>
      <c r="J217" s="2"/>
      <c r="K217" s="2"/>
      <c r="L217" s="2"/>
      <c r="M217" s="2"/>
      <c r="N217" s="2"/>
      <c r="O217" s="2"/>
      <c r="P217" s="2"/>
      <c r="Q217" s="2"/>
    </row>
    <row r="218" ht="15.75" customHeight="1">
      <c r="B218" s="576"/>
      <c r="C218" s="2"/>
      <c r="D218" s="2"/>
      <c r="E218" s="464"/>
      <c r="F218" s="2"/>
      <c r="G218" s="2"/>
      <c r="H218" s="2"/>
      <c r="I218" s="2"/>
      <c r="J218" s="2"/>
      <c r="K218" s="2"/>
      <c r="L218" s="2"/>
      <c r="M218" s="2"/>
      <c r="N218" s="2"/>
      <c r="O218" s="2"/>
      <c r="P218" s="2"/>
      <c r="Q218" s="2"/>
    </row>
    <row r="219" ht="15.75" customHeight="1">
      <c r="B219" s="576"/>
      <c r="C219" s="2"/>
      <c r="D219" s="2"/>
      <c r="E219" s="464"/>
      <c r="F219" s="2"/>
      <c r="G219" s="2"/>
      <c r="H219" s="2"/>
      <c r="I219" s="2"/>
      <c r="J219" s="2"/>
      <c r="K219" s="2"/>
      <c r="L219" s="2"/>
      <c r="M219" s="2"/>
      <c r="N219" s="2"/>
      <c r="O219" s="2"/>
      <c r="P219" s="2"/>
      <c r="Q219" s="2"/>
    </row>
    <row r="220" ht="15.75" customHeight="1">
      <c r="B220" s="576"/>
      <c r="C220" s="2"/>
      <c r="D220" s="2"/>
      <c r="E220" s="464"/>
      <c r="F220" s="2"/>
      <c r="G220" s="2"/>
      <c r="H220" s="2"/>
      <c r="I220" s="2"/>
      <c r="J220" s="2"/>
      <c r="K220" s="2"/>
      <c r="L220" s="2"/>
      <c r="M220" s="2"/>
      <c r="N220" s="2"/>
      <c r="O220" s="2"/>
      <c r="P220" s="2"/>
      <c r="Q220" s="2"/>
    </row>
    <row r="221" ht="15.75" customHeight="1">
      <c r="B221" s="576"/>
      <c r="C221" s="2"/>
      <c r="D221" s="2"/>
      <c r="E221" s="464"/>
      <c r="F221" s="2"/>
      <c r="G221" s="2"/>
      <c r="H221" s="2"/>
      <c r="I221" s="2"/>
      <c r="J221" s="2"/>
      <c r="K221" s="2"/>
      <c r="L221" s="2"/>
      <c r="M221" s="2"/>
      <c r="N221" s="2"/>
      <c r="O221" s="2"/>
      <c r="P221" s="2"/>
      <c r="Q221" s="2"/>
    </row>
    <row r="222" ht="15.75" customHeight="1">
      <c r="B222" s="576"/>
      <c r="C222" s="2"/>
      <c r="D222" s="2"/>
      <c r="E222" s="464"/>
      <c r="F222" s="2"/>
      <c r="G222" s="2"/>
      <c r="H222" s="2"/>
      <c r="I222" s="2"/>
      <c r="J222" s="2"/>
      <c r="K222" s="2"/>
      <c r="L222" s="2"/>
      <c r="M222" s="2"/>
      <c r="N222" s="2"/>
      <c r="O222" s="2"/>
      <c r="P222" s="2"/>
      <c r="Q222" s="2"/>
    </row>
    <row r="223" ht="15.75" customHeight="1">
      <c r="B223" s="576"/>
      <c r="C223" s="2"/>
      <c r="D223" s="2"/>
      <c r="E223" s="464"/>
      <c r="F223" s="2"/>
      <c r="G223" s="2"/>
      <c r="H223" s="2"/>
      <c r="I223" s="2"/>
      <c r="J223" s="2"/>
      <c r="K223" s="2"/>
      <c r="L223" s="2"/>
      <c r="M223" s="2"/>
      <c r="N223" s="2"/>
      <c r="O223" s="2"/>
      <c r="P223" s="2"/>
      <c r="Q223" s="2"/>
    </row>
    <row r="224" ht="15.75" customHeight="1">
      <c r="B224" s="576"/>
      <c r="C224" s="2"/>
      <c r="D224" s="2"/>
      <c r="E224" s="464"/>
      <c r="F224" s="2"/>
      <c r="G224" s="2"/>
      <c r="H224" s="2"/>
      <c r="I224" s="2"/>
      <c r="J224" s="2"/>
      <c r="K224" s="2"/>
      <c r="L224" s="2"/>
      <c r="M224" s="2"/>
      <c r="N224" s="2"/>
      <c r="O224" s="2"/>
      <c r="P224" s="2"/>
      <c r="Q224" s="2"/>
    </row>
    <row r="225" ht="15.75" customHeight="1">
      <c r="B225" s="576"/>
      <c r="C225" s="2"/>
      <c r="D225" s="2"/>
      <c r="E225" s="464"/>
      <c r="F225" s="2"/>
      <c r="G225" s="2"/>
      <c r="H225" s="2"/>
      <c r="I225" s="2"/>
      <c r="J225" s="2"/>
      <c r="K225" s="2"/>
      <c r="L225" s="2"/>
      <c r="M225" s="2"/>
      <c r="N225" s="2"/>
      <c r="O225" s="2"/>
      <c r="P225" s="2"/>
      <c r="Q225" s="2"/>
    </row>
    <row r="226" ht="15.75" customHeight="1">
      <c r="B226" s="576"/>
      <c r="C226" s="2"/>
      <c r="D226" s="2"/>
      <c r="E226" s="464"/>
      <c r="F226" s="2"/>
      <c r="G226" s="2"/>
      <c r="H226" s="2"/>
      <c r="I226" s="2"/>
      <c r="J226" s="2"/>
      <c r="K226" s="2"/>
      <c r="L226" s="2"/>
      <c r="M226" s="2"/>
      <c r="N226" s="2"/>
      <c r="O226" s="2"/>
      <c r="P226" s="2"/>
      <c r="Q226" s="2"/>
    </row>
    <row r="227" ht="15.75" customHeight="1">
      <c r="B227" s="576"/>
      <c r="C227" s="2"/>
      <c r="D227" s="2"/>
      <c r="E227" s="464"/>
      <c r="F227" s="2"/>
      <c r="G227" s="2"/>
      <c r="H227" s="2"/>
      <c r="I227" s="2"/>
      <c r="J227" s="2"/>
      <c r="K227" s="2"/>
      <c r="L227" s="2"/>
      <c r="M227" s="2"/>
      <c r="N227" s="2"/>
      <c r="O227" s="2"/>
      <c r="P227" s="2"/>
      <c r="Q227" s="2"/>
    </row>
    <row r="228" ht="15.75" customHeight="1">
      <c r="B228" s="576"/>
      <c r="C228" s="2"/>
      <c r="D228" s="2"/>
      <c r="E228" s="464"/>
      <c r="F228" s="2"/>
      <c r="G228" s="2"/>
      <c r="H228" s="2"/>
      <c r="I228" s="2"/>
      <c r="J228" s="2"/>
      <c r="K228" s="2"/>
      <c r="L228" s="2"/>
      <c r="M228" s="2"/>
      <c r="N228" s="2"/>
      <c r="O228" s="2"/>
      <c r="P228" s="2"/>
      <c r="Q228" s="2"/>
    </row>
    <row r="229" ht="15.75" customHeight="1">
      <c r="B229" s="576"/>
      <c r="C229" s="2"/>
      <c r="D229" s="2"/>
      <c r="E229" s="464"/>
      <c r="F229" s="2"/>
      <c r="G229" s="2"/>
      <c r="H229" s="2"/>
      <c r="I229" s="2"/>
      <c r="J229" s="2"/>
      <c r="K229" s="2"/>
      <c r="L229" s="2"/>
      <c r="M229" s="2"/>
      <c r="N229" s="2"/>
      <c r="O229" s="2"/>
      <c r="P229" s="2"/>
      <c r="Q229" s="2"/>
    </row>
    <row r="230" ht="15.75" customHeight="1">
      <c r="B230" s="576"/>
      <c r="C230" s="2"/>
      <c r="D230" s="2"/>
      <c r="E230" s="464"/>
      <c r="F230" s="2"/>
      <c r="G230" s="2"/>
      <c r="H230" s="2"/>
      <c r="I230" s="2"/>
      <c r="J230" s="2"/>
      <c r="K230" s="2"/>
      <c r="L230" s="2"/>
      <c r="M230" s="2"/>
      <c r="N230" s="2"/>
      <c r="O230" s="2"/>
      <c r="P230" s="2"/>
      <c r="Q230" s="2"/>
    </row>
    <row r="231" ht="15.75" customHeight="1">
      <c r="B231" s="576"/>
      <c r="C231" s="2"/>
      <c r="D231" s="2"/>
      <c r="E231" s="464"/>
      <c r="F231" s="2"/>
      <c r="G231" s="2"/>
      <c r="H231" s="2"/>
      <c r="I231" s="2"/>
      <c r="J231" s="2"/>
      <c r="K231" s="2"/>
      <c r="L231" s="2"/>
      <c r="M231" s="2"/>
      <c r="N231" s="2"/>
      <c r="O231" s="2"/>
      <c r="P231" s="2"/>
      <c r="Q231" s="2"/>
    </row>
    <row r="232" ht="15.75" customHeight="1">
      <c r="B232" s="576"/>
      <c r="C232" s="2"/>
      <c r="D232" s="2"/>
      <c r="E232" s="464"/>
      <c r="F232" s="2"/>
      <c r="G232" s="2"/>
      <c r="H232" s="2"/>
      <c r="I232" s="2"/>
      <c r="J232" s="2"/>
      <c r="K232" s="2"/>
      <c r="L232" s="2"/>
      <c r="M232" s="2"/>
      <c r="N232" s="2"/>
      <c r="O232" s="2"/>
      <c r="P232" s="2"/>
      <c r="Q232" s="2"/>
    </row>
    <row r="233" ht="15.75" customHeight="1">
      <c r="B233" s="576"/>
      <c r="C233" s="2"/>
      <c r="D233" s="2"/>
      <c r="E233" s="464"/>
      <c r="F233" s="2"/>
      <c r="G233" s="2"/>
      <c r="H233" s="2"/>
      <c r="I233" s="2"/>
      <c r="J233" s="2"/>
      <c r="K233" s="2"/>
      <c r="L233" s="2"/>
      <c r="M233" s="2"/>
      <c r="N233" s="2"/>
      <c r="O233" s="2"/>
      <c r="P233" s="2"/>
      <c r="Q233" s="2"/>
    </row>
    <row r="234" ht="15.75" customHeight="1">
      <c r="B234" s="576"/>
      <c r="C234" s="2"/>
      <c r="D234" s="2"/>
      <c r="E234" s="464"/>
      <c r="F234" s="2"/>
      <c r="G234" s="2"/>
      <c r="H234" s="2"/>
      <c r="I234" s="2"/>
      <c r="J234" s="2"/>
      <c r="K234" s="2"/>
      <c r="L234" s="2"/>
      <c r="M234" s="2"/>
      <c r="N234" s="2"/>
      <c r="O234" s="2"/>
      <c r="P234" s="2"/>
      <c r="Q234" s="2"/>
    </row>
    <row r="235" ht="15.75" customHeight="1">
      <c r="B235" s="576"/>
      <c r="C235" s="2"/>
      <c r="D235" s="2"/>
      <c r="E235" s="464"/>
      <c r="F235" s="2"/>
      <c r="G235" s="2"/>
      <c r="H235" s="2"/>
      <c r="I235" s="2"/>
      <c r="J235" s="2"/>
      <c r="K235" s="2"/>
      <c r="L235" s="2"/>
      <c r="M235" s="2"/>
      <c r="N235" s="2"/>
      <c r="O235" s="2"/>
      <c r="P235" s="2"/>
      <c r="Q235" s="2"/>
    </row>
    <row r="236" ht="15.75" customHeight="1">
      <c r="B236" s="576"/>
      <c r="C236" s="2"/>
      <c r="D236" s="2"/>
      <c r="E236" s="464"/>
      <c r="F236" s="2"/>
      <c r="G236" s="2"/>
      <c r="H236" s="2"/>
      <c r="I236" s="2"/>
      <c r="J236" s="2"/>
      <c r="K236" s="2"/>
      <c r="L236" s="2"/>
      <c r="M236" s="2"/>
      <c r="N236" s="2"/>
      <c r="O236" s="2"/>
      <c r="P236" s="2"/>
      <c r="Q236" s="2"/>
    </row>
    <row r="237" ht="15.75" customHeight="1">
      <c r="B237" s="576"/>
      <c r="C237" s="2"/>
      <c r="D237" s="2"/>
      <c r="E237" s="464"/>
      <c r="F237" s="2"/>
      <c r="G237" s="2"/>
      <c r="H237" s="2"/>
      <c r="I237" s="2"/>
      <c r="J237" s="2"/>
      <c r="K237" s="2"/>
      <c r="L237" s="2"/>
      <c r="M237" s="2"/>
      <c r="N237" s="2"/>
      <c r="O237" s="2"/>
      <c r="P237" s="2"/>
      <c r="Q237" s="2"/>
    </row>
    <row r="238" ht="15.75" customHeight="1">
      <c r="B238" s="576"/>
      <c r="C238" s="2"/>
      <c r="D238" s="2"/>
      <c r="E238" s="464"/>
      <c r="F238" s="2"/>
      <c r="G238" s="2"/>
      <c r="H238" s="2"/>
      <c r="I238" s="2"/>
      <c r="J238" s="2"/>
      <c r="K238" s="2"/>
      <c r="L238" s="2"/>
      <c r="M238" s="2"/>
      <c r="N238" s="2"/>
      <c r="O238" s="2"/>
      <c r="P238" s="2"/>
      <c r="Q238" s="2"/>
    </row>
    <row r="239" ht="15.75" customHeight="1">
      <c r="B239" s="576"/>
      <c r="C239" s="2"/>
      <c r="D239" s="2"/>
      <c r="E239" s="464"/>
      <c r="F239" s="2"/>
      <c r="G239" s="2"/>
      <c r="H239" s="2"/>
      <c r="I239" s="2"/>
      <c r="J239" s="2"/>
      <c r="K239" s="2"/>
      <c r="L239" s="2"/>
      <c r="M239" s="2"/>
      <c r="N239" s="2"/>
      <c r="O239" s="2"/>
      <c r="P239" s="2"/>
      <c r="Q239" s="2"/>
    </row>
    <row r="240" ht="15.75" customHeight="1">
      <c r="B240" s="576"/>
      <c r="C240" s="2"/>
      <c r="D240" s="2"/>
      <c r="E240" s="464"/>
      <c r="F240" s="2"/>
      <c r="G240" s="2"/>
      <c r="H240" s="2"/>
      <c r="I240" s="2"/>
      <c r="J240" s="2"/>
      <c r="K240" s="2"/>
      <c r="L240" s="2"/>
      <c r="M240" s="2"/>
      <c r="N240" s="2"/>
      <c r="O240" s="2"/>
      <c r="P240" s="2"/>
      <c r="Q240" s="2"/>
    </row>
    <row r="241" ht="15.75" customHeight="1">
      <c r="B241" s="576"/>
      <c r="C241" s="2"/>
      <c r="D241" s="2"/>
      <c r="E241" s="464"/>
      <c r="F241" s="2"/>
      <c r="G241" s="2"/>
      <c r="H241" s="2"/>
      <c r="I241" s="2"/>
      <c r="J241" s="2"/>
      <c r="K241" s="2"/>
      <c r="L241" s="2"/>
      <c r="M241" s="2"/>
      <c r="N241" s="2"/>
      <c r="O241" s="2"/>
      <c r="P241" s="2"/>
      <c r="Q241" s="2"/>
    </row>
    <row r="242" ht="15.75" customHeight="1">
      <c r="B242" s="576"/>
      <c r="C242" s="2"/>
      <c r="D242" s="2"/>
      <c r="E242" s="464"/>
      <c r="F242" s="2"/>
      <c r="G242" s="2"/>
      <c r="H242" s="2"/>
      <c r="I242" s="2"/>
      <c r="J242" s="2"/>
      <c r="K242" s="2"/>
      <c r="L242" s="2"/>
      <c r="M242" s="2"/>
      <c r="N242" s="2"/>
      <c r="O242" s="2"/>
      <c r="P242" s="2"/>
      <c r="Q242" s="2"/>
    </row>
    <row r="243" ht="15.75" customHeight="1">
      <c r="B243" s="576"/>
      <c r="C243" s="2"/>
      <c r="D243" s="2"/>
      <c r="E243" s="464"/>
      <c r="F243" s="2"/>
      <c r="G243" s="2"/>
      <c r="H243" s="2"/>
      <c r="I243" s="2"/>
      <c r="J243" s="2"/>
      <c r="K243" s="2"/>
      <c r="L243" s="2"/>
      <c r="M243" s="2"/>
      <c r="N243" s="2"/>
      <c r="O243" s="2"/>
      <c r="P243" s="2"/>
      <c r="Q243" s="2"/>
    </row>
    <row r="244" ht="15.75" customHeight="1">
      <c r="B244" s="576"/>
      <c r="C244" s="2"/>
      <c r="D244" s="2"/>
      <c r="E244" s="464"/>
      <c r="F244" s="2"/>
      <c r="G244" s="2"/>
      <c r="H244" s="2"/>
      <c r="I244" s="2"/>
      <c r="J244" s="2"/>
      <c r="K244" s="2"/>
      <c r="L244" s="2"/>
      <c r="M244" s="2"/>
      <c r="N244" s="2"/>
      <c r="O244" s="2"/>
      <c r="P244" s="2"/>
      <c r="Q244" s="2"/>
    </row>
    <row r="245" ht="15.75" customHeight="1">
      <c r="B245" s="576"/>
      <c r="C245" s="2"/>
      <c r="D245" s="2"/>
      <c r="E245" s="464"/>
      <c r="F245" s="2"/>
      <c r="G245" s="2"/>
      <c r="H245" s="2"/>
      <c r="I245" s="2"/>
      <c r="J245" s="2"/>
      <c r="K245" s="2"/>
      <c r="L245" s="2"/>
      <c r="M245" s="2"/>
      <c r="N245" s="2"/>
      <c r="O245" s="2"/>
      <c r="P245" s="2"/>
      <c r="Q245" s="2"/>
    </row>
    <row r="246" ht="15.75" customHeight="1">
      <c r="B246" s="576"/>
      <c r="C246" s="2"/>
      <c r="D246" s="2"/>
      <c r="E246" s="464"/>
      <c r="F246" s="2"/>
      <c r="G246" s="2"/>
      <c r="H246" s="2"/>
      <c r="I246" s="2"/>
      <c r="J246" s="2"/>
      <c r="K246" s="2"/>
      <c r="L246" s="2"/>
      <c r="M246" s="2"/>
      <c r="N246" s="2"/>
      <c r="O246" s="2"/>
      <c r="P246" s="2"/>
      <c r="Q246" s="2"/>
    </row>
    <row r="247" ht="15.75" customHeight="1">
      <c r="B247" s="576"/>
      <c r="C247" s="2"/>
      <c r="D247" s="2"/>
      <c r="E247" s="464"/>
      <c r="F247" s="2"/>
      <c r="G247" s="2"/>
      <c r="H247" s="2"/>
      <c r="I247" s="2"/>
      <c r="J247" s="2"/>
      <c r="K247" s="2"/>
      <c r="L247" s="2"/>
      <c r="M247" s="2"/>
      <c r="N247" s="2"/>
      <c r="O247" s="2"/>
      <c r="P247" s="2"/>
      <c r="Q247" s="2"/>
    </row>
    <row r="248" ht="15.75" customHeight="1">
      <c r="B248" s="576"/>
      <c r="C248" s="2"/>
      <c r="D248" s="2"/>
      <c r="E248" s="464"/>
      <c r="F248" s="2"/>
      <c r="G248" s="2"/>
      <c r="H248" s="2"/>
      <c r="I248" s="2"/>
      <c r="J248" s="2"/>
      <c r="K248" s="2"/>
      <c r="L248" s="2"/>
      <c r="M248" s="2"/>
      <c r="N248" s="2"/>
      <c r="O248" s="2"/>
      <c r="P248" s="2"/>
      <c r="Q248" s="2"/>
    </row>
    <row r="249" ht="15.75" customHeight="1">
      <c r="B249" s="576"/>
      <c r="C249" s="2"/>
      <c r="D249" s="2"/>
      <c r="E249" s="464"/>
      <c r="F249" s="2"/>
      <c r="G249" s="2"/>
      <c r="H249" s="2"/>
      <c r="I249" s="2"/>
      <c r="J249" s="2"/>
      <c r="K249" s="2"/>
      <c r="L249" s="2"/>
      <c r="M249" s="2"/>
      <c r="N249" s="2"/>
      <c r="O249" s="2"/>
      <c r="P249" s="2"/>
      <c r="Q249" s="2"/>
    </row>
    <row r="250" ht="15.75" customHeight="1">
      <c r="B250" s="576"/>
      <c r="C250" s="2"/>
      <c r="D250" s="2"/>
      <c r="E250" s="464"/>
      <c r="F250" s="2"/>
      <c r="G250" s="2"/>
      <c r="H250" s="2"/>
      <c r="I250" s="2"/>
      <c r="J250" s="2"/>
      <c r="K250" s="2"/>
      <c r="L250" s="2"/>
      <c r="M250" s="2"/>
      <c r="N250" s="2"/>
      <c r="O250" s="2"/>
      <c r="P250" s="2"/>
      <c r="Q250" s="2"/>
    </row>
    <row r="251" ht="15.75" customHeight="1">
      <c r="B251" s="576"/>
      <c r="C251" s="2"/>
      <c r="D251" s="2"/>
      <c r="E251" s="464"/>
      <c r="F251" s="2"/>
      <c r="G251" s="2"/>
      <c r="H251" s="2"/>
      <c r="I251" s="2"/>
      <c r="J251" s="2"/>
      <c r="K251" s="2"/>
      <c r="L251" s="2"/>
      <c r="M251" s="2"/>
      <c r="N251" s="2"/>
      <c r="O251" s="2"/>
      <c r="P251" s="2"/>
      <c r="Q251" s="2"/>
    </row>
    <row r="252" ht="15.75" customHeight="1">
      <c r="B252" s="576"/>
      <c r="C252" s="2"/>
      <c r="D252" s="2"/>
      <c r="E252" s="464"/>
      <c r="F252" s="2"/>
      <c r="G252" s="2"/>
      <c r="H252" s="2"/>
      <c r="I252" s="2"/>
      <c r="J252" s="2"/>
      <c r="K252" s="2"/>
      <c r="L252" s="2"/>
      <c r="M252" s="2"/>
      <c r="N252" s="2"/>
      <c r="O252" s="2"/>
      <c r="P252" s="2"/>
      <c r="Q252" s="2"/>
    </row>
    <row r="253" ht="15.75" customHeight="1">
      <c r="B253" s="576"/>
      <c r="C253" s="2"/>
      <c r="D253" s="2"/>
      <c r="E253" s="464"/>
      <c r="F253" s="2"/>
      <c r="G253" s="2"/>
      <c r="H253" s="2"/>
      <c r="I253" s="2"/>
      <c r="J253" s="2"/>
      <c r="K253" s="2"/>
      <c r="L253" s="2"/>
      <c r="M253" s="2"/>
      <c r="N253" s="2"/>
      <c r="O253" s="2"/>
      <c r="P253" s="2"/>
      <c r="Q253" s="2"/>
    </row>
    <row r="254" ht="15.75" customHeight="1">
      <c r="B254" s="576"/>
      <c r="C254" s="2"/>
      <c r="D254" s="2"/>
      <c r="E254" s="464"/>
      <c r="F254" s="2"/>
      <c r="G254" s="2"/>
      <c r="H254" s="2"/>
      <c r="I254" s="2"/>
      <c r="J254" s="2"/>
      <c r="K254" s="2"/>
      <c r="L254" s="2"/>
      <c r="M254" s="2"/>
      <c r="N254" s="2"/>
      <c r="O254" s="2"/>
      <c r="P254" s="2"/>
      <c r="Q254" s="2"/>
    </row>
    <row r="255" ht="15.75" customHeight="1">
      <c r="B255" s="576"/>
      <c r="C255" s="2"/>
      <c r="D255" s="2"/>
      <c r="E255" s="464"/>
      <c r="F255" s="2"/>
      <c r="G255" s="2"/>
      <c r="H255" s="2"/>
      <c r="I255" s="2"/>
      <c r="J255" s="2"/>
      <c r="K255" s="2"/>
      <c r="L255" s="2"/>
      <c r="M255" s="2"/>
      <c r="N255" s="2"/>
      <c r="O255" s="2"/>
      <c r="P255" s="2"/>
      <c r="Q255" s="2"/>
    </row>
    <row r="256" ht="15.75" customHeight="1">
      <c r="B256" s="576"/>
      <c r="C256" s="2"/>
      <c r="D256" s="2"/>
      <c r="E256" s="464"/>
      <c r="F256" s="2"/>
      <c r="G256" s="2"/>
      <c r="H256" s="2"/>
      <c r="I256" s="2"/>
      <c r="J256" s="2"/>
      <c r="K256" s="2"/>
      <c r="L256" s="2"/>
      <c r="M256" s="2"/>
      <c r="N256" s="2"/>
      <c r="O256" s="2"/>
      <c r="P256" s="2"/>
      <c r="Q256" s="2"/>
    </row>
    <row r="257" ht="15.75" customHeight="1">
      <c r="B257" s="576"/>
      <c r="C257" s="2"/>
      <c r="D257" s="2"/>
      <c r="E257" s="464"/>
      <c r="F257" s="2"/>
      <c r="G257" s="2"/>
      <c r="H257" s="2"/>
      <c r="I257" s="2"/>
      <c r="J257" s="2"/>
      <c r="K257" s="2"/>
      <c r="L257" s="2"/>
      <c r="M257" s="2"/>
      <c r="N257" s="2"/>
      <c r="O257" s="2"/>
      <c r="P257" s="2"/>
      <c r="Q257" s="2"/>
    </row>
    <row r="258" ht="15.75" customHeight="1">
      <c r="B258" s="576"/>
      <c r="C258" s="2"/>
      <c r="D258" s="2"/>
      <c r="E258" s="464"/>
      <c r="F258" s="2"/>
      <c r="G258" s="2"/>
      <c r="H258" s="2"/>
      <c r="I258" s="2"/>
      <c r="J258" s="2"/>
      <c r="K258" s="2"/>
      <c r="L258" s="2"/>
      <c r="M258" s="2"/>
      <c r="N258" s="2"/>
      <c r="O258" s="2"/>
      <c r="P258" s="2"/>
      <c r="Q258" s="2"/>
    </row>
    <row r="259" ht="15.75" customHeight="1">
      <c r="B259" s="576"/>
      <c r="C259" s="2"/>
      <c r="D259" s="2"/>
      <c r="E259" s="464"/>
      <c r="F259" s="2"/>
      <c r="G259" s="2"/>
      <c r="H259" s="2"/>
      <c r="I259" s="2"/>
      <c r="J259" s="2"/>
      <c r="K259" s="2"/>
      <c r="L259" s="2"/>
      <c r="M259" s="2"/>
      <c r="N259" s="2"/>
      <c r="O259" s="2"/>
      <c r="P259" s="2"/>
      <c r="Q259" s="2"/>
    </row>
    <row r="260" ht="15.75" customHeight="1">
      <c r="B260" s="576"/>
      <c r="C260" s="2"/>
      <c r="D260" s="2"/>
      <c r="E260" s="464"/>
      <c r="F260" s="2"/>
      <c r="G260" s="2"/>
      <c r="H260" s="2"/>
      <c r="I260" s="2"/>
      <c r="J260" s="2"/>
      <c r="K260" s="2"/>
      <c r="L260" s="2"/>
      <c r="M260" s="2"/>
      <c r="N260" s="2"/>
      <c r="O260" s="2"/>
      <c r="P260" s="2"/>
      <c r="Q260" s="2"/>
    </row>
    <row r="261" ht="15.75" customHeight="1">
      <c r="B261" s="576"/>
      <c r="C261" s="2"/>
      <c r="D261" s="2"/>
      <c r="E261" s="464"/>
      <c r="F261" s="2"/>
      <c r="G261" s="2"/>
      <c r="H261" s="2"/>
      <c r="I261" s="2"/>
      <c r="J261" s="2"/>
      <c r="K261" s="2"/>
      <c r="L261" s="2"/>
      <c r="M261" s="2"/>
      <c r="N261" s="2"/>
      <c r="O261" s="2"/>
      <c r="P261" s="2"/>
      <c r="Q261" s="2"/>
    </row>
    <row r="262" ht="15.75" customHeight="1">
      <c r="B262" s="576"/>
      <c r="C262" s="2"/>
      <c r="D262" s="2"/>
      <c r="E262" s="464"/>
      <c r="F262" s="2"/>
      <c r="G262" s="2"/>
      <c r="H262" s="2"/>
      <c r="I262" s="2"/>
      <c r="J262" s="2"/>
      <c r="K262" s="2"/>
      <c r="L262" s="2"/>
      <c r="M262" s="2"/>
      <c r="N262" s="2"/>
      <c r="O262" s="2"/>
      <c r="P262" s="2"/>
      <c r="Q262" s="2"/>
    </row>
    <row r="263" ht="15.75" customHeight="1">
      <c r="B263" s="576"/>
      <c r="C263" s="2"/>
      <c r="D263" s="2"/>
      <c r="E263" s="464"/>
      <c r="F263" s="2"/>
      <c r="G263" s="2"/>
      <c r="H263" s="2"/>
      <c r="I263" s="2"/>
      <c r="J263" s="2"/>
      <c r="K263" s="2"/>
      <c r="L263" s="2"/>
      <c r="M263" s="2"/>
      <c r="N263" s="2"/>
      <c r="O263" s="2"/>
      <c r="P263" s="2"/>
      <c r="Q263" s="2"/>
    </row>
    <row r="264" ht="15.75" customHeight="1">
      <c r="B264" s="576"/>
      <c r="C264" s="2"/>
      <c r="D264" s="2"/>
      <c r="E264" s="464"/>
      <c r="F264" s="2"/>
      <c r="G264" s="2"/>
      <c r="H264" s="2"/>
      <c r="I264" s="2"/>
      <c r="J264" s="2"/>
      <c r="K264" s="2"/>
      <c r="L264" s="2"/>
      <c r="M264" s="2"/>
      <c r="N264" s="2"/>
      <c r="O264" s="2"/>
      <c r="P264" s="2"/>
      <c r="Q264" s="2"/>
    </row>
    <row r="265" ht="15.75" customHeight="1">
      <c r="B265" s="576"/>
      <c r="C265" s="2"/>
      <c r="D265" s="2"/>
      <c r="E265" s="464"/>
      <c r="F265" s="2"/>
      <c r="G265" s="2"/>
      <c r="H265" s="2"/>
      <c r="I265" s="2"/>
      <c r="J265" s="2"/>
      <c r="K265" s="2"/>
      <c r="L265" s="2"/>
      <c r="M265" s="2"/>
      <c r="N265" s="2"/>
      <c r="O265" s="2"/>
      <c r="P265" s="2"/>
      <c r="Q265" s="2"/>
    </row>
    <row r="266" ht="15.75" customHeight="1">
      <c r="B266" s="576"/>
      <c r="C266" s="2"/>
      <c r="D266" s="2"/>
      <c r="E266" s="464"/>
      <c r="F266" s="2"/>
      <c r="G266" s="2"/>
      <c r="H266" s="2"/>
      <c r="I266" s="2"/>
      <c r="J266" s="2"/>
      <c r="K266" s="2"/>
      <c r="L266" s="2"/>
      <c r="M266" s="2"/>
      <c r="N266" s="2"/>
      <c r="O266" s="2"/>
      <c r="P266" s="2"/>
      <c r="Q266" s="2"/>
    </row>
    <row r="267" ht="15.75" customHeight="1">
      <c r="B267" s="576"/>
      <c r="C267" s="2"/>
      <c r="D267" s="2"/>
      <c r="E267" s="464"/>
      <c r="F267" s="2"/>
      <c r="G267" s="2"/>
      <c r="H267" s="2"/>
      <c r="I267" s="2"/>
      <c r="J267" s="2"/>
      <c r="K267" s="2"/>
      <c r="L267" s="2"/>
      <c r="M267" s="2"/>
      <c r="N267" s="2"/>
      <c r="O267" s="2"/>
      <c r="P267" s="2"/>
      <c r="Q267" s="2"/>
    </row>
    <row r="268" ht="15.75" customHeight="1">
      <c r="B268" s="576"/>
      <c r="C268" s="2"/>
      <c r="D268" s="2"/>
      <c r="E268" s="464"/>
      <c r="F268" s="2"/>
      <c r="G268" s="2"/>
      <c r="H268" s="2"/>
      <c r="I268" s="2"/>
      <c r="J268" s="2"/>
      <c r="K268" s="2"/>
      <c r="L268" s="2"/>
      <c r="M268" s="2"/>
      <c r="N268" s="2"/>
      <c r="O268" s="2"/>
      <c r="P268" s="2"/>
      <c r="Q268" s="2"/>
    </row>
    <row r="269" ht="15.75" customHeight="1">
      <c r="B269" s="576"/>
      <c r="C269" s="2"/>
      <c r="D269" s="2"/>
      <c r="E269" s="464"/>
      <c r="F269" s="2"/>
      <c r="G269" s="2"/>
      <c r="H269" s="2"/>
      <c r="I269" s="2"/>
      <c r="J269" s="2"/>
      <c r="K269" s="2"/>
      <c r="L269" s="2"/>
      <c r="M269" s="2"/>
      <c r="N269" s="2"/>
      <c r="O269" s="2"/>
      <c r="P269" s="2"/>
      <c r="Q269" s="2"/>
    </row>
    <row r="270" ht="15.75" customHeight="1">
      <c r="B270" s="576"/>
      <c r="C270" s="2"/>
      <c r="D270" s="2"/>
      <c r="E270" s="464"/>
      <c r="F270" s="2"/>
      <c r="G270" s="2"/>
      <c r="H270" s="2"/>
      <c r="I270" s="2"/>
      <c r="J270" s="2"/>
      <c r="K270" s="2"/>
      <c r="L270" s="2"/>
      <c r="M270" s="2"/>
      <c r="N270" s="2"/>
      <c r="O270" s="2"/>
      <c r="P270" s="2"/>
      <c r="Q270" s="2"/>
    </row>
    <row r="271" ht="15.75" customHeight="1">
      <c r="B271" s="576"/>
      <c r="C271" s="2"/>
      <c r="D271" s="2"/>
      <c r="E271" s="464"/>
      <c r="F271" s="2"/>
      <c r="G271" s="2"/>
      <c r="H271" s="2"/>
      <c r="I271" s="2"/>
      <c r="J271" s="2"/>
      <c r="K271" s="2"/>
      <c r="L271" s="2"/>
      <c r="M271" s="2"/>
      <c r="N271" s="2"/>
      <c r="O271" s="2"/>
      <c r="P271" s="2"/>
      <c r="Q271" s="2"/>
    </row>
    <row r="272" ht="15.75" customHeight="1">
      <c r="B272" s="576"/>
      <c r="C272" s="2"/>
      <c r="D272" s="2"/>
      <c r="E272" s="464"/>
      <c r="F272" s="2"/>
      <c r="G272" s="2"/>
      <c r="H272" s="2"/>
      <c r="I272" s="2"/>
      <c r="J272" s="2"/>
      <c r="K272" s="2"/>
      <c r="L272" s="2"/>
      <c r="M272" s="2"/>
      <c r="N272" s="2"/>
      <c r="O272" s="2"/>
      <c r="P272" s="2"/>
      <c r="Q272" s="2"/>
    </row>
    <row r="273" ht="15.75" customHeight="1">
      <c r="B273" s="576"/>
      <c r="C273" s="2"/>
      <c r="D273" s="2"/>
      <c r="E273" s="464"/>
      <c r="F273" s="2"/>
      <c r="G273" s="2"/>
      <c r="H273" s="2"/>
      <c r="I273" s="2"/>
      <c r="J273" s="2"/>
      <c r="K273" s="2"/>
      <c r="L273" s="2"/>
      <c r="M273" s="2"/>
      <c r="N273" s="2"/>
      <c r="O273" s="2"/>
      <c r="P273" s="2"/>
      <c r="Q273" s="2"/>
    </row>
    <row r="274" ht="15.75" customHeight="1">
      <c r="B274" s="576"/>
      <c r="C274" s="2"/>
      <c r="D274" s="2"/>
      <c r="E274" s="464"/>
      <c r="F274" s="2"/>
      <c r="G274" s="2"/>
      <c r="H274" s="2"/>
      <c r="I274" s="2"/>
      <c r="J274" s="2"/>
      <c r="K274" s="2"/>
      <c r="L274" s="2"/>
      <c r="M274" s="2"/>
      <c r="N274" s="2"/>
      <c r="O274" s="2"/>
      <c r="P274" s="2"/>
      <c r="Q274" s="2"/>
    </row>
    <row r="275" ht="15.75" customHeight="1">
      <c r="B275" s="576"/>
      <c r="C275" s="2"/>
      <c r="D275" s="2"/>
      <c r="E275" s="464"/>
      <c r="F275" s="2"/>
      <c r="G275" s="2"/>
      <c r="H275" s="2"/>
      <c r="I275" s="2"/>
      <c r="J275" s="2"/>
      <c r="K275" s="2"/>
      <c r="L275" s="2"/>
      <c r="M275" s="2"/>
      <c r="N275" s="2"/>
      <c r="O275" s="2"/>
      <c r="P275" s="2"/>
      <c r="Q275" s="2"/>
    </row>
    <row r="276" ht="15.75" customHeight="1">
      <c r="B276" s="576"/>
      <c r="C276" s="2"/>
      <c r="D276" s="2"/>
      <c r="E276" s="464"/>
      <c r="F276" s="2"/>
      <c r="G276" s="2"/>
      <c r="H276" s="2"/>
      <c r="I276" s="2"/>
      <c r="J276" s="2"/>
      <c r="K276" s="2"/>
      <c r="L276" s="2"/>
      <c r="M276" s="2"/>
      <c r="N276" s="2"/>
      <c r="O276" s="2"/>
      <c r="P276" s="2"/>
      <c r="Q276" s="2"/>
    </row>
    <row r="277" ht="15.75" customHeight="1">
      <c r="B277" s="576"/>
      <c r="C277" s="2"/>
      <c r="D277" s="2"/>
      <c r="E277" s="464"/>
      <c r="F277" s="2"/>
      <c r="G277" s="2"/>
      <c r="H277" s="2"/>
      <c r="I277" s="2"/>
      <c r="J277" s="2"/>
      <c r="K277" s="2"/>
      <c r="L277" s="2"/>
      <c r="M277" s="2"/>
      <c r="N277" s="2"/>
      <c r="O277" s="2"/>
      <c r="P277" s="2"/>
      <c r="Q277" s="2"/>
    </row>
    <row r="278" ht="15.75" customHeight="1">
      <c r="B278" s="576"/>
      <c r="C278" s="2"/>
      <c r="D278" s="2"/>
      <c r="E278" s="464"/>
      <c r="F278" s="2"/>
      <c r="G278" s="2"/>
      <c r="H278" s="2"/>
      <c r="I278" s="2"/>
      <c r="J278" s="2"/>
      <c r="K278" s="2"/>
      <c r="L278" s="2"/>
      <c r="M278" s="2"/>
      <c r="N278" s="2"/>
      <c r="O278" s="2"/>
      <c r="P278" s="2"/>
      <c r="Q278" s="2"/>
    </row>
    <row r="279" ht="15.75" customHeight="1">
      <c r="B279" s="576"/>
      <c r="C279" s="2"/>
      <c r="D279" s="2"/>
      <c r="E279" s="464"/>
      <c r="F279" s="2"/>
      <c r="G279" s="2"/>
      <c r="H279" s="2"/>
      <c r="I279" s="2"/>
      <c r="J279" s="2"/>
      <c r="K279" s="2"/>
      <c r="L279" s="2"/>
      <c r="M279" s="2"/>
      <c r="N279" s="2"/>
      <c r="O279" s="2"/>
      <c r="P279" s="2"/>
      <c r="Q279" s="2"/>
    </row>
    <row r="280" ht="15.75" customHeight="1">
      <c r="B280" s="576"/>
      <c r="C280" s="2"/>
      <c r="D280" s="2"/>
      <c r="E280" s="464"/>
      <c r="F280" s="2"/>
      <c r="G280" s="2"/>
      <c r="H280" s="2"/>
      <c r="I280" s="2"/>
      <c r="J280" s="2"/>
      <c r="K280" s="2"/>
      <c r="L280" s="2"/>
      <c r="M280" s="2"/>
      <c r="N280" s="2"/>
      <c r="O280" s="2"/>
      <c r="P280" s="2"/>
      <c r="Q280" s="2"/>
    </row>
    <row r="281" ht="15.75" customHeight="1">
      <c r="B281" s="576"/>
      <c r="C281" s="2"/>
      <c r="D281" s="2"/>
      <c r="E281" s="464"/>
      <c r="F281" s="2"/>
      <c r="G281" s="2"/>
      <c r="H281" s="2"/>
      <c r="I281" s="2"/>
      <c r="J281" s="2"/>
      <c r="K281" s="2"/>
      <c r="L281" s="2"/>
      <c r="M281" s="2"/>
      <c r="N281" s="2"/>
      <c r="O281" s="2"/>
      <c r="P281" s="2"/>
      <c r="Q281" s="2"/>
    </row>
    <row r="282" ht="15.75" customHeight="1">
      <c r="B282" s="576"/>
      <c r="C282" s="2"/>
      <c r="D282" s="2"/>
      <c r="E282" s="464"/>
      <c r="F282" s="2"/>
      <c r="G282" s="2"/>
      <c r="H282" s="2"/>
      <c r="I282" s="2"/>
      <c r="J282" s="2"/>
      <c r="K282" s="2"/>
      <c r="L282" s="2"/>
      <c r="M282" s="2"/>
      <c r="N282" s="2"/>
      <c r="O282" s="2"/>
      <c r="P282" s="2"/>
      <c r="Q282" s="2"/>
    </row>
    <row r="283" ht="15.75" customHeight="1">
      <c r="B283" s="576"/>
      <c r="C283" s="2"/>
      <c r="D283" s="2"/>
      <c r="E283" s="464"/>
      <c r="F283" s="2"/>
      <c r="G283" s="2"/>
      <c r="H283" s="2"/>
      <c r="I283" s="2"/>
      <c r="J283" s="2"/>
      <c r="K283" s="2"/>
      <c r="L283" s="2"/>
      <c r="M283" s="2"/>
      <c r="N283" s="2"/>
      <c r="O283" s="2"/>
      <c r="P283" s="2"/>
      <c r="Q283" s="2"/>
    </row>
    <row r="284" ht="15.75" customHeight="1">
      <c r="B284" s="576"/>
      <c r="C284" s="2"/>
      <c r="D284" s="2"/>
      <c r="E284" s="464"/>
      <c r="F284" s="2"/>
      <c r="G284" s="2"/>
      <c r="H284" s="2"/>
      <c r="I284" s="2"/>
      <c r="J284" s="2"/>
      <c r="K284" s="2"/>
      <c r="L284" s="2"/>
      <c r="M284" s="2"/>
      <c r="N284" s="2"/>
      <c r="O284" s="2"/>
      <c r="P284" s="2"/>
      <c r="Q284" s="2"/>
    </row>
    <row r="285" ht="15.75" customHeight="1">
      <c r="B285" s="576"/>
      <c r="C285" s="2"/>
      <c r="D285" s="2"/>
      <c r="E285" s="464"/>
      <c r="F285" s="2"/>
      <c r="G285" s="2"/>
      <c r="H285" s="2"/>
      <c r="I285" s="2"/>
      <c r="J285" s="2"/>
      <c r="K285" s="2"/>
      <c r="L285" s="2"/>
      <c r="M285" s="2"/>
      <c r="N285" s="2"/>
      <c r="O285" s="2"/>
      <c r="P285" s="2"/>
      <c r="Q285" s="2"/>
    </row>
    <row r="286" ht="15.75" customHeight="1">
      <c r="B286" s="576"/>
      <c r="C286" s="2"/>
      <c r="D286" s="2"/>
      <c r="E286" s="464"/>
      <c r="F286" s="2"/>
      <c r="G286" s="2"/>
      <c r="H286" s="2"/>
      <c r="I286" s="2"/>
      <c r="J286" s="2"/>
      <c r="K286" s="2"/>
      <c r="L286" s="2"/>
      <c r="M286" s="2"/>
      <c r="N286" s="2"/>
      <c r="O286" s="2"/>
      <c r="P286" s="2"/>
      <c r="Q286" s="2"/>
    </row>
    <row r="287" ht="15.75" customHeight="1">
      <c r="B287" s="576"/>
      <c r="C287" s="2"/>
      <c r="D287" s="2"/>
      <c r="E287" s="464"/>
      <c r="F287" s="2"/>
      <c r="G287" s="2"/>
      <c r="H287" s="2"/>
      <c r="I287" s="2"/>
      <c r="J287" s="2"/>
      <c r="K287" s="2"/>
      <c r="L287" s="2"/>
      <c r="M287" s="2"/>
      <c r="N287" s="2"/>
      <c r="O287" s="2"/>
      <c r="P287" s="2"/>
      <c r="Q287" s="2"/>
    </row>
    <row r="288" ht="15.75" customHeight="1">
      <c r="B288" s="576"/>
      <c r="C288" s="2"/>
      <c r="D288" s="2"/>
      <c r="E288" s="464"/>
      <c r="F288" s="2"/>
      <c r="G288" s="2"/>
      <c r="H288" s="2"/>
      <c r="I288" s="2"/>
      <c r="J288" s="2"/>
      <c r="K288" s="2"/>
      <c r="L288" s="2"/>
      <c r="M288" s="2"/>
      <c r="N288" s="2"/>
      <c r="O288" s="2"/>
      <c r="P288" s="2"/>
      <c r="Q288" s="2"/>
    </row>
    <row r="289" ht="15.75" customHeight="1">
      <c r="B289" s="576"/>
      <c r="C289" s="2"/>
      <c r="D289" s="2"/>
      <c r="E289" s="464"/>
      <c r="F289" s="2"/>
      <c r="G289" s="2"/>
      <c r="H289" s="2"/>
      <c r="I289" s="2"/>
      <c r="J289" s="2"/>
      <c r="K289" s="2"/>
      <c r="L289" s="2"/>
      <c r="M289" s="2"/>
      <c r="N289" s="2"/>
      <c r="O289" s="2"/>
      <c r="P289" s="2"/>
      <c r="Q289" s="2"/>
    </row>
    <row r="290" ht="15.75" customHeight="1">
      <c r="B290" s="576"/>
      <c r="C290" s="2"/>
      <c r="D290" s="2"/>
      <c r="E290" s="464"/>
      <c r="F290" s="2"/>
      <c r="G290" s="2"/>
      <c r="H290" s="2"/>
      <c r="I290" s="2"/>
      <c r="J290" s="2"/>
      <c r="K290" s="2"/>
      <c r="L290" s="2"/>
      <c r="M290" s="2"/>
      <c r="N290" s="2"/>
      <c r="O290" s="2"/>
      <c r="P290" s="2"/>
      <c r="Q290" s="2"/>
    </row>
    <row r="291" ht="15.75" customHeight="1">
      <c r="B291" s="576"/>
      <c r="C291" s="2"/>
      <c r="D291" s="2"/>
      <c r="E291" s="464"/>
      <c r="F291" s="2"/>
      <c r="G291" s="2"/>
      <c r="H291" s="2"/>
      <c r="I291" s="2"/>
      <c r="J291" s="2"/>
      <c r="K291" s="2"/>
      <c r="L291" s="2"/>
      <c r="M291" s="2"/>
      <c r="N291" s="2"/>
      <c r="O291" s="2"/>
      <c r="P291" s="2"/>
      <c r="Q291" s="2"/>
    </row>
    <row r="292" ht="15.75" customHeight="1">
      <c r="B292" s="576"/>
      <c r="C292" s="2"/>
      <c r="D292" s="2"/>
      <c r="E292" s="464"/>
      <c r="F292" s="2"/>
      <c r="G292" s="2"/>
      <c r="H292" s="2"/>
      <c r="I292" s="2"/>
      <c r="J292" s="2"/>
      <c r="K292" s="2"/>
      <c r="L292" s="2"/>
      <c r="M292" s="2"/>
      <c r="N292" s="2"/>
      <c r="O292" s="2"/>
      <c r="P292" s="2"/>
      <c r="Q292" s="2"/>
    </row>
    <row r="293" ht="15.75" customHeight="1">
      <c r="B293" s="576"/>
      <c r="C293" s="2"/>
      <c r="D293" s="2"/>
      <c r="E293" s="464"/>
      <c r="F293" s="2"/>
      <c r="G293" s="2"/>
      <c r="H293" s="2"/>
      <c r="I293" s="2"/>
      <c r="J293" s="2"/>
      <c r="K293" s="2"/>
      <c r="L293" s="2"/>
      <c r="M293" s="2"/>
      <c r="N293" s="2"/>
      <c r="O293" s="2"/>
      <c r="P293" s="2"/>
      <c r="Q293" s="2"/>
    </row>
    <row r="294" ht="15.75" customHeight="1">
      <c r="B294" s="576"/>
      <c r="C294" s="2"/>
      <c r="D294" s="2"/>
      <c r="E294" s="464"/>
      <c r="F294" s="2"/>
      <c r="G294" s="2"/>
      <c r="H294" s="2"/>
      <c r="I294" s="2"/>
      <c r="J294" s="2"/>
      <c r="K294" s="2"/>
      <c r="L294" s="2"/>
      <c r="M294" s="2"/>
      <c r="N294" s="2"/>
      <c r="O294" s="2"/>
      <c r="P294" s="2"/>
      <c r="Q294" s="2"/>
    </row>
    <row r="295" ht="15.75" customHeight="1">
      <c r="B295" s="576"/>
      <c r="C295" s="2"/>
      <c r="D295" s="2"/>
      <c r="E295" s="464"/>
      <c r="F295" s="2"/>
      <c r="G295" s="2"/>
      <c r="H295" s="2"/>
      <c r="I295" s="2"/>
      <c r="J295" s="2"/>
      <c r="K295" s="2"/>
      <c r="L295" s="2"/>
      <c r="M295" s="2"/>
      <c r="N295" s="2"/>
      <c r="O295" s="2"/>
      <c r="P295" s="2"/>
      <c r="Q295" s="2"/>
    </row>
    <row r="296" ht="15.75" customHeight="1">
      <c r="B296" s="576"/>
      <c r="C296" s="2"/>
      <c r="D296" s="2"/>
      <c r="E296" s="464"/>
      <c r="F296" s="2"/>
      <c r="G296" s="2"/>
      <c r="H296" s="2"/>
      <c r="I296" s="2"/>
      <c r="J296" s="2"/>
      <c r="K296" s="2"/>
      <c r="L296" s="2"/>
      <c r="M296" s="2"/>
      <c r="N296" s="2"/>
      <c r="O296" s="2"/>
      <c r="P296" s="2"/>
      <c r="Q296" s="2"/>
    </row>
    <row r="297" ht="15.75" customHeight="1">
      <c r="B297" s="576"/>
      <c r="C297" s="2"/>
      <c r="D297" s="2"/>
      <c r="E297" s="464"/>
      <c r="F297" s="2"/>
      <c r="G297" s="2"/>
      <c r="H297" s="2"/>
      <c r="I297" s="2"/>
      <c r="J297" s="2"/>
      <c r="K297" s="2"/>
      <c r="L297" s="2"/>
      <c r="M297" s="2"/>
      <c r="N297" s="2"/>
      <c r="O297" s="2"/>
      <c r="P297" s="2"/>
      <c r="Q297" s="2"/>
    </row>
    <row r="298" ht="15.75" customHeight="1">
      <c r="B298" s="576"/>
      <c r="C298" s="2"/>
      <c r="D298" s="2"/>
      <c r="E298" s="464"/>
      <c r="F298" s="2"/>
      <c r="G298" s="2"/>
      <c r="H298" s="2"/>
      <c r="I298" s="2"/>
      <c r="J298" s="2"/>
      <c r="K298" s="2"/>
      <c r="L298" s="2"/>
      <c r="M298" s="2"/>
      <c r="N298" s="2"/>
      <c r="O298" s="2"/>
      <c r="P298" s="2"/>
      <c r="Q298" s="2"/>
    </row>
    <row r="299" ht="15.75" customHeight="1">
      <c r="B299" s="576"/>
      <c r="C299" s="2"/>
      <c r="D299" s="2"/>
      <c r="E299" s="464"/>
      <c r="F299" s="2"/>
      <c r="G299" s="2"/>
      <c r="H299" s="2"/>
      <c r="I299" s="2"/>
      <c r="J299" s="2"/>
      <c r="K299" s="2"/>
      <c r="L299" s="2"/>
      <c r="M299" s="2"/>
      <c r="N299" s="2"/>
      <c r="O299" s="2"/>
      <c r="P299" s="2"/>
      <c r="Q299" s="2"/>
    </row>
    <row r="300" ht="15.75" customHeight="1">
      <c r="B300" s="576"/>
      <c r="C300" s="2"/>
      <c r="D300" s="2"/>
      <c r="E300" s="464"/>
      <c r="F300" s="2"/>
      <c r="G300" s="2"/>
      <c r="H300" s="2"/>
      <c r="I300" s="2"/>
      <c r="J300" s="2"/>
      <c r="K300" s="2"/>
      <c r="L300" s="2"/>
      <c r="M300" s="2"/>
      <c r="N300" s="2"/>
      <c r="O300" s="2"/>
      <c r="P300" s="2"/>
      <c r="Q300" s="2"/>
    </row>
    <row r="301" ht="15.75" customHeight="1">
      <c r="B301" s="576"/>
      <c r="C301" s="2"/>
      <c r="D301" s="2"/>
      <c r="E301" s="464"/>
      <c r="F301" s="2"/>
      <c r="G301" s="2"/>
      <c r="H301" s="2"/>
      <c r="I301" s="2"/>
      <c r="J301" s="2"/>
      <c r="K301" s="2"/>
      <c r="L301" s="2"/>
      <c r="M301" s="2"/>
      <c r="N301" s="2"/>
      <c r="O301" s="2"/>
      <c r="P301" s="2"/>
      <c r="Q301" s="2"/>
    </row>
    <row r="302" ht="15.75" customHeight="1">
      <c r="B302" s="576"/>
      <c r="C302" s="2"/>
      <c r="D302" s="2"/>
      <c r="E302" s="464"/>
      <c r="F302" s="2"/>
      <c r="G302" s="2"/>
      <c r="H302" s="2"/>
      <c r="I302" s="2"/>
      <c r="J302" s="2"/>
      <c r="K302" s="2"/>
      <c r="L302" s="2"/>
      <c r="M302" s="2"/>
      <c r="N302" s="2"/>
      <c r="O302" s="2"/>
      <c r="P302" s="2"/>
      <c r="Q302" s="2"/>
    </row>
    <row r="303" ht="15.75" customHeight="1">
      <c r="B303" s="576"/>
      <c r="C303" s="2"/>
      <c r="D303" s="2"/>
      <c r="E303" s="464"/>
      <c r="F303" s="2"/>
      <c r="G303" s="2"/>
      <c r="H303" s="2"/>
      <c r="I303" s="2"/>
      <c r="J303" s="2"/>
      <c r="K303" s="2"/>
      <c r="L303" s="2"/>
      <c r="M303" s="2"/>
      <c r="N303" s="2"/>
      <c r="O303" s="2"/>
      <c r="P303" s="2"/>
      <c r="Q303" s="2"/>
    </row>
    <row r="304" ht="15.75" customHeight="1">
      <c r="B304" s="576"/>
      <c r="C304" s="2"/>
      <c r="D304" s="2"/>
      <c r="E304" s="464"/>
      <c r="F304" s="2"/>
      <c r="G304" s="2"/>
      <c r="H304" s="2"/>
      <c r="I304" s="2"/>
      <c r="J304" s="2"/>
      <c r="K304" s="2"/>
      <c r="L304" s="2"/>
      <c r="M304" s="2"/>
      <c r="N304" s="2"/>
      <c r="O304" s="2"/>
      <c r="P304" s="2"/>
      <c r="Q304" s="2"/>
    </row>
    <row r="305" ht="15.75" customHeight="1">
      <c r="B305" s="576"/>
      <c r="C305" s="2"/>
      <c r="D305" s="2"/>
      <c r="E305" s="464"/>
      <c r="F305" s="2"/>
      <c r="G305" s="2"/>
      <c r="H305" s="2"/>
      <c r="I305" s="2"/>
      <c r="J305" s="2"/>
      <c r="K305" s="2"/>
      <c r="L305" s="2"/>
      <c r="M305" s="2"/>
      <c r="N305" s="2"/>
      <c r="O305" s="2"/>
      <c r="P305" s="2"/>
      <c r="Q305" s="2"/>
    </row>
    <row r="306" ht="15.75" customHeight="1">
      <c r="B306" s="576"/>
      <c r="C306" s="2"/>
      <c r="D306" s="2"/>
      <c r="E306" s="464"/>
      <c r="F306" s="2"/>
      <c r="G306" s="2"/>
      <c r="H306" s="2"/>
      <c r="I306" s="2"/>
      <c r="J306" s="2"/>
      <c r="K306" s="2"/>
      <c r="L306" s="2"/>
      <c r="M306" s="2"/>
      <c r="N306" s="2"/>
      <c r="O306" s="2"/>
      <c r="P306" s="2"/>
      <c r="Q306" s="2"/>
    </row>
    <row r="307" ht="15.75" customHeight="1">
      <c r="B307" s="576"/>
      <c r="C307" s="2"/>
      <c r="D307" s="2"/>
      <c r="E307" s="464"/>
      <c r="F307" s="2"/>
      <c r="G307" s="2"/>
      <c r="H307" s="2"/>
      <c r="I307" s="2"/>
      <c r="J307" s="2"/>
      <c r="K307" s="2"/>
      <c r="L307" s="2"/>
      <c r="M307" s="2"/>
      <c r="N307" s="2"/>
      <c r="O307" s="2"/>
      <c r="P307" s="2"/>
      <c r="Q307" s="2"/>
    </row>
    <row r="308" ht="15.75" customHeight="1">
      <c r="B308" s="576"/>
      <c r="C308" s="2"/>
      <c r="D308" s="2"/>
      <c r="E308" s="464"/>
      <c r="F308" s="2"/>
      <c r="G308" s="2"/>
      <c r="H308" s="2"/>
      <c r="I308" s="2"/>
      <c r="J308" s="2"/>
      <c r="K308" s="2"/>
      <c r="L308" s="2"/>
      <c r="M308" s="2"/>
      <c r="N308" s="2"/>
      <c r="O308" s="2"/>
      <c r="P308" s="2"/>
      <c r="Q308" s="2"/>
    </row>
    <row r="309" ht="15.75" customHeight="1">
      <c r="B309" s="576"/>
      <c r="C309" s="2"/>
      <c r="D309" s="2"/>
      <c r="E309" s="464"/>
      <c r="F309" s="2"/>
      <c r="G309" s="2"/>
      <c r="H309" s="2"/>
      <c r="I309" s="2"/>
      <c r="J309" s="2"/>
      <c r="K309" s="2"/>
      <c r="L309" s="2"/>
      <c r="M309" s="2"/>
      <c r="N309" s="2"/>
      <c r="O309" s="2"/>
      <c r="P309" s="2"/>
      <c r="Q309" s="2"/>
    </row>
    <row r="310" ht="15.75" customHeight="1">
      <c r="B310" s="576"/>
      <c r="C310" s="2"/>
      <c r="D310" s="2"/>
      <c r="E310" s="464"/>
      <c r="F310" s="2"/>
      <c r="G310" s="2"/>
      <c r="H310" s="2"/>
      <c r="I310" s="2"/>
      <c r="J310" s="2"/>
      <c r="K310" s="2"/>
      <c r="L310" s="2"/>
      <c r="M310" s="2"/>
      <c r="N310" s="2"/>
      <c r="O310" s="2"/>
      <c r="P310" s="2"/>
      <c r="Q310" s="2"/>
    </row>
    <row r="311" ht="15.75" customHeight="1">
      <c r="B311" s="576"/>
      <c r="C311" s="2"/>
      <c r="D311" s="2"/>
      <c r="E311" s="464"/>
      <c r="F311" s="2"/>
      <c r="G311" s="2"/>
      <c r="H311" s="2"/>
      <c r="I311" s="2"/>
      <c r="J311" s="2"/>
      <c r="K311" s="2"/>
      <c r="L311" s="2"/>
      <c r="M311" s="2"/>
      <c r="N311" s="2"/>
      <c r="O311" s="2"/>
      <c r="P311" s="2"/>
      <c r="Q311" s="2"/>
    </row>
    <row r="312" ht="15.75" customHeight="1">
      <c r="B312" s="576"/>
      <c r="C312" s="2"/>
      <c r="D312" s="2"/>
      <c r="E312" s="464"/>
      <c r="F312" s="2"/>
      <c r="G312" s="2"/>
      <c r="H312" s="2"/>
      <c r="I312" s="2"/>
      <c r="J312" s="2"/>
      <c r="K312" s="2"/>
      <c r="L312" s="2"/>
      <c r="M312" s="2"/>
      <c r="N312" s="2"/>
      <c r="O312" s="2"/>
      <c r="P312" s="2"/>
      <c r="Q312" s="2"/>
    </row>
    <row r="313" ht="15.75" customHeight="1">
      <c r="B313" s="576"/>
      <c r="C313" s="2"/>
      <c r="D313" s="2"/>
      <c r="E313" s="464"/>
      <c r="F313" s="2"/>
      <c r="G313" s="2"/>
      <c r="H313" s="2"/>
      <c r="I313" s="2"/>
      <c r="J313" s="2"/>
      <c r="K313" s="2"/>
      <c r="L313" s="2"/>
      <c r="M313" s="2"/>
      <c r="N313" s="2"/>
      <c r="O313" s="2"/>
      <c r="P313" s="2"/>
      <c r="Q313" s="2"/>
    </row>
    <row r="314" ht="15.75" customHeight="1">
      <c r="B314" s="576"/>
      <c r="C314" s="2"/>
      <c r="D314" s="2"/>
      <c r="E314" s="464"/>
      <c r="F314" s="2"/>
      <c r="G314" s="2"/>
      <c r="H314" s="2"/>
      <c r="I314" s="2"/>
      <c r="J314" s="2"/>
      <c r="K314" s="2"/>
      <c r="L314" s="2"/>
      <c r="M314" s="2"/>
      <c r="N314" s="2"/>
      <c r="O314" s="2"/>
      <c r="P314" s="2"/>
      <c r="Q314" s="2"/>
    </row>
    <row r="315" ht="15.75" customHeight="1">
      <c r="B315" s="576"/>
      <c r="C315" s="2"/>
      <c r="D315" s="2"/>
      <c r="E315" s="464"/>
      <c r="F315" s="2"/>
      <c r="G315" s="2"/>
      <c r="H315" s="2"/>
      <c r="I315" s="2"/>
      <c r="J315" s="2"/>
      <c r="K315" s="2"/>
      <c r="L315" s="2"/>
      <c r="M315" s="2"/>
      <c r="N315" s="2"/>
      <c r="O315" s="2"/>
      <c r="P315" s="2"/>
      <c r="Q315" s="2"/>
    </row>
    <row r="316" ht="15.75" customHeight="1">
      <c r="B316" s="576"/>
      <c r="C316" s="2"/>
      <c r="D316" s="2"/>
      <c r="E316" s="464"/>
      <c r="F316" s="2"/>
      <c r="G316" s="2"/>
      <c r="H316" s="2"/>
      <c r="I316" s="2"/>
      <c r="J316" s="2"/>
      <c r="K316" s="2"/>
      <c r="L316" s="2"/>
      <c r="M316" s="2"/>
      <c r="N316" s="2"/>
      <c r="O316" s="2"/>
      <c r="P316" s="2"/>
      <c r="Q316" s="2"/>
    </row>
    <row r="317" ht="15.75" customHeight="1">
      <c r="B317" s="576"/>
      <c r="C317" s="2"/>
      <c r="D317" s="2"/>
      <c r="E317" s="464"/>
      <c r="F317" s="2"/>
      <c r="G317" s="2"/>
      <c r="H317" s="2"/>
      <c r="I317" s="2"/>
      <c r="J317" s="2"/>
      <c r="K317" s="2"/>
      <c r="L317" s="2"/>
      <c r="M317" s="2"/>
      <c r="N317" s="2"/>
      <c r="O317" s="2"/>
      <c r="P317" s="2"/>
      <c r="Q317" s="2"/>
    </row>
    <row r="318" ht="15.75" customHeight="1">
      <c r="B318" s="576"/>
      <c r="C318" s="2"/>
      <c r="D318" s="2"/>
      <c r="E318" s="464"/>
      <c r="F318" s="2"/>
      <c r="G318" s="2"/>
      <c r="H318" s="2"/>
      <c r="I318" s="2"/>
      <c r="J318" s="2"/>
      <c r="K318" s="2"/>
      <c r="L318" s="2"/>
      <c r="M318" s="2"/>
      <c r="N318" s="2"/>
      <c r="O318" s="2"/>
      <c r="P318" s="2"/>
      <c r="Q318" s="2"/>
    </row>
    <row r="319" ht="15.75" customHeight="1">
      <c r="B319" s="576"/>
      <c r="C319" s="2"/>
      <c r="D319" s="2"/>
      <c r="E319" s="464"/>
      <c r="F319" s="2"/>
      <c r="G319" s="2"/>
      <c r="H319" s="2"/>
      <c r="I319" s="2"/>
      <c r="J319" s="2"/>
      <c r="K319" s="2"/>
      <c r="L319" s="2"/>
      <c r="M319" s="2"/>
      <c r="N319" s="2"/>
      <c r="O319" s="2"/>
      <c r="P319" s="2"/>
      <c r="Q319" s="2"/>
    </row>
    <row r="320" ht="15.75" customHeight="1">
      <c r="B320" s="576"/>
      <c r="C320" s="2"/>
      <c r="D320" s="2"/>
      <c r="E320" s="464"/>
      <c r="F320" s="2"/>
      <c r="G320" s="2"/>
      <c r="H320" s="2"/>
      <c r="I320" s="2"/>
      <c r="J320" s="2"/>
      <c r="K320" s="2"/>
      <c r="L320" s="2"/>
      <c r="M320" s="2"/>
      <c r="N320" s="2"/>
      <c r="O320" s="2"/>
      <c r="P320" s="2"/>
      <c r="Q320" s="2"/>
    </row>
    <row r="321" ht="15.75" customHeight="1">
      <c r="B321" s="576"/>
      <c r="C321" s="2"/>
      <c r="D321" s="2"/>
      <c r="E321" s="464"/>
      <c r="F321" s="2"/>
      <c r="G321" s="2"/>
      <c r="H321" s="2"/>
      <c r="I321" s="2"/>
      <c r="J321" s="2"/>
      <c r="K321" s="2"/>
      <c r="L321" s="2"/>
      <c r="M321" s="2"/>
      <c r="N321" s="2"/>
      <c r="O321" s="2"/>
      <c r="P321" s="2"/>
      <c r="Q321" s="2"/>
    </row>
    <row r="322" ht="15.75" customHeight="1">
      <c r="B322" s="576"/>
      <c r="C322" s="2"/>
      <c r="D322" s="2"/>
      <c r="E322" s="464"/>
      <c r="F322" s="2"/>
      <c r="G322" s="2"/>
      <c r="H322" s="2"/>
      <c r="I322" s="2"/>
      <c r="J322" s="2"/>
      <c r="K322" s="2"/>
      <c r="L322" s="2"/>
      <c r="M322" s="2"/>
      <c r="N322" s="2"/>
      <c r="O322" s="2"/>
      <c r="P322" s="2"/>
      <c r="Q322" s="2"/>
    </row>
    <row r="323" ht="15.75" customHeight="1">
      <c r="B323" s="576"/>
      <c r="C323" s="2"/>
      <c r="D323" s="2"/>
      <c r="E323" s="464"/>
      <c r="F323" s="2"/>
      <c r="G323" s="2"/>
      <c r="H323" s="2"/>
      <c r="I323" s="2"/>
      <c r="J323" s="2"/>
      <c r="K323" s="2"/>
      <c r="L323" s="2"/>
      <c r="M323" s="2"/>
      <c r="N323" s="2"/>
      <c r="O323" s="2"/>
      <c r="P323" s="2"/>
      <c r="Q323" s="2"/>
    </row>
    <row r="324" ht="15.75" customHeight="1">
      <c r="B324" s="576"/>
      <c r="C324" s="2"/>
      <c r="D324" s="2"/>
      <c r="E324" s="464"/>
      <c r="F324" s="2"/>
      <c r="G324" s="2"/>
      <c r="H324" s="2"/>
      <c r="I324" s="2"/>
      <c r="J324" s="2"/>
      <c r="K324" s="2"/>
      <c r="L324" s="2"/>
      <c r="M324" s="2"/>
      <c r="N324" s="2"/>
      <c r="O324" s="2"/>
      <c r="P324" s="2"/>
      <c r="Q324" s="2"/>
    </row>
    <row r="325" ht="15.75" customHeight="1">
      <c r="B325" s="576"/>
      <c r="C325" s="2"/>
      <c r="D325" s="2"/>
      <c r="E325" s="464"/>
      <c r="F325" s="2"/>
      <c r="G325" s="2"/>
      <c r="H325" s="2"/>
      <c r="I325" s="2"/>
      <c r="J325" s="2"/>
      <c r="K325" s="2"/>
      <c r="L325" s="2"/>
      <c r="M325" s="2"/>
      <c r="N325" s="2"/>
      <c r="O325" s="2"/>
      <c r="P325" s="2"/>
      <c r="Q325" s="2"/>
    </row>
    <row r="326" ht="15.75" customHeight="1">
      <c r="B326" s="576"/>
      <c r="C326" s="2"/>
      <c r="D326" s="2"/>
      <c r="E326" s="464"/>
      <c r="F326" s="2"/>
      <c r="G326" s="2"/>
      <c r="H326" s="2"/>
      <c r="I326" s="2"/>
      <c r="J326" s="2"/>
      <c r="K326" s="2"/>
      <c r="L326" s="2"/>
      <c r="M326" s="2"/>
      <c r="N326" s="2"/>
      <c r="O326" s="2"/>
      <c r="P326" s="2"/>
      <c r="Q326" s="2"/>
    </row>
    <row r="327" ht="15.75" customHeight="1">
      <c r="B327" s="576"/>
      <c r="C327" s="2"/>
      <c r="D327" s="2"/>
      <c r="E327" s="464"/>
      <c r="F327" s="2"/>
      <c r="G327" s="2"/>
      <c r="H327" s="2"/>
      <c r="I327" s="2"/>
      <c r="J327" s="2"/>
      <c r="K327" s="2"/>
      <c r="L327" s="2"/>
      <c r="M327" s="2"/>
      <c r="N327" s="2"/>
      <c r="O327" s="2"/>
      <c r="P327" s="2"/>
      <c r="Q327" s="2"/>
    </row>
    <row r="328" ht="15.75" customHeight="1">
      <c r="B328" s="576"/>
      <c r="C328" s="2"/>
      <c r="D328" s="2"/>
      <c r="E328" s="464"/>
      <c r="F328" s="2"/>
      <c r="G328" s="2"/>
      <c r="H328" s="2"/>
      <c r="I328" s="2"/>
      <c r="J328" s="2"/>
      <c r="K328" s="2"/>
      <c r="L328" s="2"/>
      <c r="M328" s="2"/>
      <c r="N328" s="2"/>
      <c r="O328" s="2"/>
      <c r="P328" s="2"/>
      <c r="Q328" s="2"/>
    </row>
    <row r="329" ht="15.75" customHeight="1">
      <c r="B329" s="576"/>
      <c r="C329" s="2"/>
      <c r="D329" s="2"/>
      <c r="E329" s="464"/>
      <c r="F329" s="2"/>
      <c r="G329" s="2"/>
      <c r="H329" s="2"/>
      <c r="I329" s="2"/>
      <c r="J329" s="2"/>
      <c r="K329" s="2"/>
      <c r="L329" s="2"/>
      <c r="M329" s="2"/>
      <c r="N329" s="2"/>
      <c r="O329" s="2"/>
      <c r="P329" s="2"/>
      <c r="Q329" s="2"/>
    </row>
    <row r="330" ht="15.75" customHeight="1">
      <c r="B330" s="576"/>
      <c r="C330" s="2"/>
      <c r="D330" s="2"/>
      <c r="E330" s="464"/>
      <c r="F330" s="2"/>
      <c r="G330" s="2"/>
      <c r="H330" s="2"/>
      <c r="I330" s="2"/>
      <c r="J330" s="2"/>
      <c r="K330" s="2"/>
      <c r="L330" s="2"/>
      <c r="M330" s="2"/>
      <c r="N330" s="2"/>
      <c r="O330" s="2"/>
      <c r="P330" s="2"/>
      <c r="Q330" s="2"/>
    </row>
    <row r="331" ht="15.75" customHeight="1">
      <c r="B331" s="576"/>
      <c r="C331" s="2"/>
      <c r="D331" s="2"/>
      <c r="E331" s="464"/>
      <c r="F331" s="2"/>
      <c r="G331" s="2"/>
      <c r="H331" s="2"/>
      <c r="I331" s="2"/>
      <c r="J331" s="2"/>
      <c r="K331" s="2"/>
      <c r="L331" s="2"/>
      <c r="M331" s="2"/>
      <c r="N331" s="2"/>
      <c r="O331" s="2"/>
      <c r="P331" s="2"/>
      <c r="Q331" s="2"/>
    </row>
    <row r="332" ht="15.75" customHeight="1">
      <c r="B332" s="576"/>
      <c r="C332" s="2"/>
      <c r="D332" s="2"/>
      <c r="E332" s="464"/>
      <c r="F332" s="2"/>
      <c r="G332" s="2"/>
      <c r="H332" s="2"/>
      <c r="I332" s="2"/>
      <c r="J332" s="2"/>
      <c r="K332" s="2"/>
      <c r="L332" s="2"/>
      <c r="M332" s="2"/>
      <c r="N332" s="2"/>
      <c r="O332" s="2"/>
      <c r="P332" s="2"/>
      <c r="Q332" s="2"/>
    </row>
    <row r="333" ht="15.75" customHeight="1">
      <c r="B333" s="576"/>
      <c r="C333" s="2"/>
      <c r="D333" s="2"/>
      <c r="E333" s="464"/>
      <c r="F333" s="2"/>
      <c r="G333" s="2"/>
      <c r="H333" s="2"/>
      <c r="I333" s="2"/>
      <c r="J333" s="2"/>
      <c r="K333" s="2"/>
      <c r="L333" s="2"/>
      <c r="M333" s="2"/>
      <c r="N333" s="2"/>
      <c r="O333" s="2"/>
      <c r="P333" s="2"/>
      <c r="Q333" s="2"/>
    </row>
    <row r="334" ht="15.75" customHeight="1">
      <c r="B334" s="576"/>
      <c r="C334" s="2"/>
      <c r="D334" s="2"/>
      <c r="E334" s="464"/>
      <c r="F334" s="2"/>
      <c r="G334" s="2"/>
      <c r="H334" s="2"/>
      <c r="I334" s="2"/>
      <c r="J334" s="2"/>
      <c r="K334" s="2"/>
      <c r="L334" s="2"/>
      <c r="M334" s="2"/>
      <c r="N334" s="2"/>
      <c r="O334" s="2"/>
      <c r="P334" s="2"/>
      <c r="Q334" s="2"/>
    </row>
    <row r="335" ht="15.75" customHeight="1">
      <c r="B335" s="576"/>
      <c r="C335" s="2"/>
      <c r="D335" s="2"/>
      <c r="E335" s="464"/>
      <c r="F335" s="2"/>
      <c r="G335" s="2"/>
      <c r="H335" s="2"/>
      <c r="I335" s="2"/>
      <c r="J335" s="2"/>
      <c r="K335" s="2"/>
      <c r="L335" s="2"/>
      <c r="M335" s="2"/>
      <c r="N335" s="2"/>
      <c r="O335" s="2"/>
      <c r="P335" s="2"/>
      <c r="Q335" s="2"/>
    </row>
    <row r="336" ht="15.75" customHeight="1">
      <c r="B336" s="576"/>
      <c r="C336" s="2"/>
      <c r="D336" s="2"/>
      <c r="E336" s="464"/>
      <c r="F336" s="2"/>
      <c r="G336" s="2"/>
      <c r="H336" s="2"/>
      <c r="I336" s="2"/>
      <c r="J336" s="2"/>
      <c r="K336" s="2"/>
      <c r="L336" s="2"/>
      <c r="M336" s="2"/>
      <c r="N336" s="2"/>
      <c r="O336" s="2"/>
      <c r="P336" s="2"/>
      <c r="Q336" s="2"/>
    </row>
    <row r="337" ht="15.75" customHeight="1">
      <c r="B337" s="576"/>
      <c r="C337" s="2"/>
      <c r="D337" s="2"/>
      <c r="E337" s="464"/>
      <c r="F337" s="2"/>
      <c r="G337" s="2"/>
      <c r="H337" s="2"/>
      <c r="I337" s="2"/>
      <c r="J337" s="2"/>
      <c r="K337" s="2"/>
      <c r="L337" s="2"/>
      <c r="M337" s="2"/>
      <c r="N337" s="2"/>
      <c r="O337" s="2"/>
      <c r="P337" s="2"/>
      <c r="Q337" s="2"/>
    </row>
    <row r="338" ht="15.75" customHeight="1">
      <c r="B338" s="576"/>
      <c r="C338" s="2"/>
      <c r="D338" s="2"/>
      <c r="E338" s="464"/>
      <c r="F338" s="2"/>
      <c r="G338" s="2"/>
      <c r="H338" s="2"/>
      <c r="I338" s="2"/>
      <c r="J338" s="2"/>
      <c r="K338" s="2"/>
      <c r="L338" s="2"/>
      <c r="M338" s="2"/>
      <c r="N338" s="2"/>
      <c r="O338" s="2"/>
      <c r="P338" s="2"/>
      <c r="Q338" s="2"/>
    </row>
    <row r="339" ht="15.75" customHeight="1">
      <c r="B339" s="576"/>
      <c r="C339" s="2"/>
      <c r="D339" s="2"/>
      <c r="E339" s="464"/>
      <c r="F339" s="2"/>
      <c r="G339" s="2"/>
      <c r="H339" s="2"/>
      <c r="I339" s="2"/>
      <c r="J339" s="2"/>
      <c r="K339" s="2"/>
      <c r="L339" s="2"/>
      <c r="M339" s="2"/>
      <c r="N339" s="2"/>
      <c r="O339" s="2"/>
      <c r="P339" s="2"/>
      <c r="Q339" s="2"/>
    </row>
    <row r="340" ht="15.75" customHeight="1">
      <c r="B340" s="576"/>
      <c r="C340" s="2"/>
      <c r="D340" s="2"/>
      <c r="E340" s="464"/>
      <c r="F340" s="2"/>
      <c r="G340" s="2"/>
      <c r="H340" s="2"/>
      <c r="I340" s="2"/>
      <c r="J340" s="2"/>
      <c r="K340" s="2"/>
      <c r="L340" s="2"/>
      <c r="M340" s="2"/>
      <c r="N340" s="2"/>
      <c r="O340" s="2"/>
      <c r="P340" s="2"/>
      <c r="Q340" s="2"/>
    </row>
    <row r="341" ht="15.75" customHeight="1">
      <c r="B341" s="576"/>
      <c r="C341" s="2"/>
      <c r="D341" s="2"/>
      <c r="E341" s="464"/>
      <c r="F341" s="2"/>
      <c r="G341" s="2"/>
      <c r="H341" s="2"/>
      <c r="I341" s="2"/>
      <c r="J341" s="2"/>
      <c r="K341" s="2"/>
      <c r="L341" s="2"/>
      <c r="M341" s="2"/>
      <c r="N341" s="2"/>
      <c r="O341" s="2"/>
      <c r="P341" s="2"/>
      <c r="Q341" s="2"/>
    </row>
    <row r="342" ht="15.75" customHeight="1">
      <c r="B342" s="576"/>
      <c r="C342" s="2"/>
      <c r="D342" s="2"/>
      <c r="E342" s="464"/>
      <c r="F342" s="2"/>
      <c r="G342" s="2"/>
      <c r="H342" s="2"/>
      <c r="I342" s="2"/>
      <c r="J342" s="2"/>
      <c r="K342" s="2"/>
      <c r="L342" s="2"/>
      <c r="M342" s="2"/>
      <c r="N342" s="2"/>
      <c r="O342" s="2"/>
      <c r="P342" s="2"/>
      <c r="Q342" s="2"/>
    </row>
    <row r="343" ht="15.75" customHeight="1">
      <c r="B343" s="576"/>
      <c r="C343" s="2"/>
      <c r="D343" s="2"/>
      <c r="E343" s="464"/>
      <c r="F343" s="2"/>
      <c r="G343" s="2"/>
      <c r="H343" s="2"/>
      <c r="I343" s="2"/>
      <c r="J343" s="2"/>
      <c r="K343" s="2"/>
      <c r="L343" s="2"/>
      <c r="M343" s="2"/>
      <c r="N343" s="2"/>
      <c r="O343" s="2"/>
      <c r="P343" s="2"/>
      <c r="Q343" s="2"/>
    </row>
    <row r="344" ht="15.75" customHeight="1">
      <c r="B344" s="576"/>
      <c r="C344" s="2"/>
      <c r="D344" s="2"/>
      <c r="E344" s="464"/>
      <c r="F344" s="2"/>
      <c r="G344" s="2"/>
      <c r="H344" s="2"/>
      <c r="I344" s="2"/>
      <c r="J344" s="2"/>
      <c r="K344" s="2"/>
      <c r="L344" s="2"/>
      <c r="M344" s="2"/>
      <c r="N344" s="2"/>
      <c r="O344" s="2"/>
      <c r="P344" s="2"/>
      <c r="Q344" s="2"/>
    </row>
    <row r="345" ht="15.75" customHeight="1">
      <c r="B345" s="576"/>
      <c r="C345" s="2"/>
      <c r="D345" s="2"/>
      <c r="E345" s="464"/>
      <c r="F345" s="2"/>
      <c r="G345" s="2"/>
      <c r="H345" s="2"/>
      <c r="I345" s="2"/>
      <c r="J345" s="2"/>
      <c r="K345" s="2"/>
      <c r="L345" s="2"/>
      <c r="M345" s="2"/>
      <c r="N345" s="2"/>
      <c r="O345" s="2"/>
      <c r="P345" s="2"/>
      <c r="Q345" s="2"/>
    </row>
    <row r="346" ht="15.75" customHeight="1">
      <c r="B346" s="576"/>
      <c r="C346" s="2"/>
      <c r="D346" s="2"/>
      <c r="E346" s="464"/>
      <c r="F346" s="2"/>
      <c r="G346" s="2"/>
      <c r="H346" s="2"/>
      <c r="I346" s="2"/>
      <c r="J346" s="2"/>
      <c r="K346" s="2"/>
      <c r="L346" s="2"/>
      <c r="M346" s="2"/>
      <c r="N346" s="2"/>
      <c r="O346" s="2"/>
      <c r="P346" s="2"/>
      <c r="Q346" s="2"/>
    </row>
    <row r="347" ht="15.75" customHeight="1">
      <c r="B347" s="576"/>
      <c r="C347" s="2"/>
      <c r="D347" s="2"/>
      <c r="E347" s="464"/>
      <c r="F347" s="2"/>
      <c r="G347" s="2"/>
      <c r="H347" s="2"/>
      <c r="I347" s="2"/>
      <c r="J347" s="2"/>
      <c r="K347" s="2"/>
      <c r="L347" s="2"/>
      <c r="M347" s="2"/>
      <c r="N347" s="2"/>
      <c r="O347" s="2"/>
      <c r="P347" s="2"/>
      <c r="Q347" s="2"/>
    </row>
    <row r="348" ht="15.75" customHeight="1">
      <c r="B348" s="576"/>
      <c r="C348" s="2"/>
      <c r="D348" s="2"/>
      <c r="E348" s="464"/>
      <c r="F348" s="2"/>
      <c r="G348" s="2"/>
      <c r="H348" s="2"/>
      <c r="I348" s="2"/>
      <c r="J348" s="2"/>
      <c r="K348" s="2"/>
      <c r="L348" s="2"/>
      <c r="M348" s="2"/>
      <c r="N348" s="2"/>
      <c r="O348" s="2"/>
      <c r="P348" s="2"/>
      <c r="Q348" s="2"/>
    </row>
    <row r="349" ht="15.75" customHeight="1">
      <c r="B349" s="576"/>
      <c r="C349" s="2"/>
      <c r="D349" s="2"/>
      <c r="E349" s="464"/>
      <c r="F349" s="2"/>
      <c r="G349" s="2"/>
      <c r="H349" s="2"/>
      <c r="I349" s="2"/>
      <c r="J349" s="2"/>
      <c r="K349" s="2"/>
      <c r="L349" s="2"/>
      <c r="M349" s="2"/>
      <c r="N349" s="2"/>
      <c r="O349" s="2"/>
      <c r="P349" s="2"/>
      <c r="Q349" s="2"/>
    </row>
    <row r="350" ht="15.75" customHeight="1">
      <c r="B350" s="576"/>
      <c r="C350" s="2"/>
      <c r="D350" s="2"/>
      <c r="E350" s="464"/>
      <c r="F350" s="2"/>
      <c r="G350" s="2"/>
      <c r="H350" s="2"/>
      <c r="I350" s="2"/>
      <c r="J350" s="2"/>
      <c r="K350" s="2"/>
      <c r="L350" s="2"/>
      <c r="M350" s="2"/>
      <c r="N350" s="2"/>
      <c r="O350" s="2"/>
      <c r="P350" s="2"/>
      <c r="Q350" s="2"/>
    </row>
    <row r="351" ht="15.75" customHeight="1">
      <c r="B351" s="576"/>
      <c r="C351" s="2"/>
      <c r="D351" s="2"/>
      <c r="E351" s="464"/>
      <c r="F351" s="2"/>
      <c r="G351" s="2"/>
      <c r="H351" s="2"/>
      <c r="I351" s="2"/>
      <c r="J351" s="2"/>
      <c r="K351" s="2"/>
      <c r="L351" s="2"/>
      <c r="M351" s="2"/>
      <c r="N351" s="2"/>
      <c r="O351" s="2"/>
      <c r="P351" s="2"/>
      <c r="Q351" s="2"/>
    </row>
    <row r="352" ht="15.75" customHeight="1">
      <c r="B352" s="576"/>
      <c r="C352" s="2"/>
      <c r="D352" s="2"/>
      <c r="E352" s="464"/>
      <c r="F352" s="2"/>
      <c r="G352" s="2"/>
      <c r="H352" s="2"/>
      <c r="I352" s="2"/>
      <c r="J352" s="2"/>
      <c r="K352" s="2"/>
      <c r="L352" s="2"/>
      <c r="M352" s="2"/>
      <c r="N352" s="2"/>
      <c r="O352" s="2"/>
      <c r="P352" s="2"/>
      <c r="Q352" s="2"/>
    </row>
    <row r="353" ht="15.75" customHeight="1">
      <c r="B353" s="576"/>
      <c r="C353" s="2"/>
      <c r="D353" s="2"/>
      <c r="E353" s="464"/>
      <c r="F353" s="2"/>
      <c r="G353" s="2"/>
      <c r="H353" s="2"/>
      <c r="I353" s="2"/>
      <c r="J353" s="2"/>
      <c r="K353" s="2"/>
      <c r="L353" s="2"/>
      <c r="M353" s="2"/>
      <c r="N353" s="2"/>
      <c r="O353" s="2"/>
      <c r="P353" s="2"/>
      <c r="Q353" s="2"/>
    </row>
    <row r="354" ht="15.75" customHeight="1">
      <c r="B354" s="576"/>
      <c r="C354" s="2"/>
      <c r="D354" s="2"/>
      <c r="E354" s="464"/>
      <c r="F354" s="2"/>
      <c r="G354" s="2"/>
      <c r="H354" s="2"/>
      <c r="I354" s="2"/>
      <c r="J354" s="2"/>
      <c r="K354" s="2"/>
      <c r="L354" s="2"/>
      <c r="M354" s="2"/>
      <c r="N354" s="2"/>
      <c r="O354" s="2"/>
      <c r="P354" s="2"/>
      <c r="Q354" s="2"/>
    </row>
    <row r="355" ht="15.75" customHeight="1">
      <c r="B355" s="576"/>
      <c r="C355" s="2"/>
      <c r="D355" s="2"/>
      <c r="E355" s="464"/>
      <c r="F355" s="2"/>
      <c r="G355" s="2"/>
      <c r="H355" s="2"/>
      <c r="I355" s="2"/>
      <c r="J355" s="2"/>
      <c r="K355" s="2"/>
      <c r="L355" s="2"/>
      <c r="M355" s="2"/>
      <c r="N355" s="2"/>
      <c r="O355" s="2"/>
      <c r="P355" s="2"/>
      <c r="Q355" s="2"/>
    </row>
    <row r="356" ht="15.75" customHeight="1">
      <c r="B356" s="576"/>
      <c r="C356" s="2"/>
      <c r="D356" s="2"/>
      <c r="E356" s="464"/>
      <c r="F356" s="2"/>
      <c r="G356" s="2"/>
      <c r="H356" s="2"/>
      <c r="I356" s="2"/>
      <c r="J356" s="2"/>
      <c r="K356" s="2"/>
      <c r="L356" s="2"/>
      <c r="M356" s="2"/>
      <c r="N356" s="2"/>
      <c r="O356" s="2"/>
      <c r="P356" s="2"/>
      <c r="Q356" s="2"/>
    </row>
    <row r="357" ht="15.75" customHeight="1">
      <c r="B357" s="576"/>
      <c r="C357" s="2"/>
      <c r="D357" s="2"/>
      <c r="E357" s="464"/>
      <c r="F357" s="2"/>
      <c r="G357" s="2"/>
      <c r="H357" s="2"/>
      <c r="I357" s="2"/>
      <c r="J357" s="2"/>
      <c r="K357" s="2"/>
      <c r="L357" s="2"/>
      <c r="M357" s="2"/>
      <c r="N357" s="2"/>
      <c r="O357" s="2"/>
      <c r="P357" s="2"/>
      <c r="Q357" s="2"/>
    </row>
    <row r="358" ht="15.75" customHeight="1">
      <c r="B358" s="576"/>
      <c r="C358" s="2"/>
      <c r="D358" s="2"/>
      <c r="E358" s="464"/>
      <c r="F358" s="2"/>
      <c r="G358" s="2"/>
      <c r="H358" s="2"/>
      <c r="I358" s="2"/>
      <c r="J358" s="2"/>
      <c r="K358" s="2"/>
      <c r="L358" s="2"/>
      <c r="M358" s="2"/>
      <c r="N358" s="2"/>
      <c r="O358" s="2"/>
      <c r="P358" s="2"/>
      <c r="Q358" s="2"/>
    </row>
    <row r="359" ht="15.75" customHeight="1">
      <c r="B359" s="576"/>
      <c r="C359" s="2"/>
      <c r="D359" s="2"/>
      <c r="E359" s="464"/>
      <c r="F359" s="2"/>
      <c r="G359" s="2"/>
      <c r="H359" s="2"/>
      <c r="I359" s="2"/>
      <c r="J359" s="2"/>
      <c r="K359" s="2"/>
      <c r="L359" s="2"/>
      <c r="M359" s="2"/>
      <c r="N359" s="2"/>
      <c r="O359" s="2"/>
      <c r="P359" s="2"/>
      <c r="Q359" s="2"/>
    </row>
    <row r="360" ht="15.75" customHeight="1">
      <c r="B360" s="576"/>
      <c r="C360" s="2"/>
      <c r="D360" s="2"/>
      <c r="E360" s="464"/>
      <c r="F360" s="2"/>
      <c r="G360" s="2"/>
      <c r="H360" s="2"/>
      <c r="I360" s="2"/>
      <c r="J360" s="2"/>
      <c r="K360" s="2"/>
      <c r="L360" s="2"/>
      <c r="M360" s="2"/>
      <c r="N360" s="2"/>
      <c r="O360" s="2"/>
      <c r="P360" s="2"/>
      <c r="Q360" s="2"/>
    </row>
    <row r="361" ht="15.75" customHeight="1">
      <c r="B361" s="576"/>
      <c r="C361" s="2"/>
      <c r="D361" s="2"/>
      <c r="E361" s="464"/>
      <c r="F361" s="2"/>
      <c r="G361" s="2"/>
      <c r="H361" s="2"/>
      <c r="I361" s="2"/>
      <c r="J361" s="2"/>
      <c r="K361" s="2"/>
      <c r="L361" s="2"/>
      <c r="M361" s="2"/>
      <c r="N361" s="2"/>
      <c r="O361" s="2"/>
      <c r="P361" s="2"/>
      <c r="Q361" s="2"/>
    </row>
    <row r="362" ht="15.75" customHeight="1">
      <c r="B362" s="576"/>
      <c r="C362" s="2"/>
      <c r="D362" s="2"/>
      <c r="E362" s="464"/>
      <c r="F362" s="2"/>
      <c r="G362" s="2"/>
      <c r="H362" s="2"/>
      <c r="I362" s="2"/>
      <c r="J362" s="2"/>
      <c r="K362" s="2"/>
      <c r="L362" s="2"/>
      <c r="M362" s="2"/>
      <c r="N362" s="2"/>
      <c r="O362" s="2"/>
      <c r="P362" s="2"/>
      <c r="Q362" s="2"/>
    </row>
    <row r="363" ht="15.75" customHeight="1">
      <c r="B363" s="576"/>
      <c r="C363" s="2"/>
      <c r="D363" s="2"/>
      <c r="E363" s="464"/>
      <c r="F363" s="2"/>
      <c r="G363" s="2"/>
      <c r="H363" s="2"/>
      <c r="I363" s="2"/>
      <c r="J363" s="2"/>
      <c r="K363" s="2"/>
      <c r="L363" s="2"/>
      <c r="M363" s="2"/>
      <c r="N363" s="2"/>
      <c r="O363" s="2"/>
      <c r="P363" s="2"/>
      <c r="Q363" s="2"/>
    </row>
    <row r="364" ht="15.75" customHeight="1">
      <c r="B364" s="576"/>
      <c r="C364" s="2"/>
      <c r="D364" s="2"/>
      <c r="E364" s="464"/>
      <c r="F364" s="2"/>
      <c r="G364" s="2"/>
      <c r="H364" s="2"/>
      <c r="I364" s="2"/>
      <c r="J364" s="2"/>
      <c r="K364" s="2"/>
      <c r="L364" s="2"/>
      <c r="M364" s="2"/>
      <c r="N364" s="2"/>
      <c r="O364" s="2"/>
      <c r="P364" s="2"/>
      <c r="Q364" s="2"/>
    </row>
    <row r="365" ht="15.75" customHeight="1">
      <c r="B365" s="576"/>
      <c r="C365" s="2"/>
      <c r="D365" s="2"/>
      <c r="E365" s="464"/>
      <c r="F365" s="2"/>
      <c r="G365" s="2"/>
      <c r="H365" s="2"/>
      <c r="I365" s="2"/>
      <c r="J365" s="2"/>
      <c r="K365" s="2"/>
      <c r="L365" s="2"/>
      <c r="M365" s="2"/>
      <c r="N365" s="2"/>
      <c r="O365" s="2"/>
      <c r="P365" s="2"/>
      <c r="Q365" s="2"/>
    </row>
    <row r="366" ht="15.75" customHeight="1">
      <c r="B366" s="576"/>
      <c r="C366" s="2"/>
      <c r="D366" s="2"/>
      <c r="E366" s="464"/>
      <c r="F366" s="2"/>
      <c r="G366" s="2"/>
      <c r="H366" s="2"/>
      <c r="I366" s="2"/>
      <c r="J366" s="2"/>
      <c r="K366" s="2"/>
      <c r="L366" s="2"/>
      <c r="M366" s="2"/>
      <c r="N366" s="2"/>
      <c r="O366" s="2"/>
      <c r="P366" s="2"/>
      <c r="Q366" s="2"/>
    </row>
    <row r="367" ht="15.75" customHeight="1">
      <c r="B367" s="576"/>
      <c r="C367" s="2"/>
      <c r="D367" s="2"/>
      <c r="E367" s="464"/>
      <c r="F367" s="2"/>
      <c r="G367" s="2"/>
      <c r="H367" s="2"/>
      <c r="I367" s="2"/>
      <c r="J367" s="2"/>
      <c r="K367" s="2"/>
      <c r="L367" s="2"/>
      <c r="M367" s="2"/>
      <c r="N367" s="2"/>
      <c r="O367" s="2"/>
      <c r="P367" s="2"/>
      <c r="Q367" s="2"/>
    </row>
    <row r="368" ht="15.75" customHeight="1">
      <c r="B368" s="576"/>
      <c r="C368" s="2"/>
      <c r="D368" s="2"/>
      <c r="E368" s="464"/>
      <c r="F368" s="2"/>
      <c r="G368" s="2"/>
      <c r="H368" s="2"/>
      <c r="I368" s="2"/>
      <c r="J368" s="2"/>
      <c r="K368" s="2"/>
      <c r="L368" s="2"/>
      <c r="M368" s="2"/>
      <c r="N368" s="2"/>
      <c r="O368" s="2"/>
      <c r="P368" s="2"/>
      <c r="Q368" s="2"/>
    </row>
    <row r="369" ht="15.75" customHeight="1">
      <c r="B369" s="576"/>
      <c r="C369" s="2"/>
      <c r="D369" s="2"/>
      <c r="E369" s="464"/>
      <c r="F369" s="2"/>
      <c r="G369" s="2"/>
      <c r="H369" s="2"/>
      <c r="I369" s="2"/>
      <c r="J369" s="2"/>
      <c r="K369" s="2"/>
      <c r="L369" s="2"/>
      <c r="M369" s="2"/>
      <c r="N369" s="2"/>
      <c r="O369" s="2"/>
      <c r="P369" s="2"/>
      <c r="Q369" s="2"/>
    </row>
    <row r="370" ht="15.75" customHeight="1">
      <c r="B370" s="576"/>
      <c r="C370" s="2"/>
      <c r="D370" s="2"/>
      <c r="E370" s="464"/>
      <c r="F370" s="2"/>
      <c r="G370" s="2"/>
      <c r="H370" s="2"/>
      <c r="I370" s="2"/>
      <c r="J370" s="2"/>
      <c r="K370" s="2"/>
      <c r="L370" s="2"/>
      <c r="M370" s="2"/>
      <c r="N370" s="2"/>
      <c r="O370" s="2"/>
      <c r="P370" s="2"/>
      <c r="Q370" s="2"/>
    </row>
    <row r="371" ht="15.75" customHeight="1">
      <c r="B371" s="576"/>
      <c r="C371" s="2"/>
      <c r="D371" s="2"/>
      <c r="E371" s="464"/>
      <c r="F371" s="2"/>
      <c r="G371" s="2"/>
      <c r="H371" s="2"/>
      <c r="I371" s="2"/>
      <c r="J371" s="2"/>
      <c r="K371" s="2"/>
      <c r="L371" s="2"/>
      <c r="M371" s="2"/>
      <c r="N371" s="2"/>
      <c r="O371" s="2"/>
      <c r="P371" s="2"/>
      <c r="Q371" s="2"/>
    </row>
    <row r="372" ht="15.75" customHeight="1">
      <c r="B372" s="576"/>
      <c r="C372" s="2"/>
      <c r="D372" s="2"/>
      <c r="E372" s="464"/>
      <c r="F372" s="2"/>
      <c r="G372" s="2"/>
      <c r="H372" s="2"/>
      <c r="I372" s="2"/>
      <c r="J372" s="2"/>
      <c r="K372" s="2"/>
      <c r="L372" s="2"/>
      <c r="M372" s="2"/>
      <c r="N372" s="2"/>
      <c r="O372" s="2"/>
      <c r="P372" s="2"/>
      <c r="Q372" s="2"/>
    </row>
    <row r="373" ht="15.75" customHeight="1">
      <c r="B373" s="576"/>
      <c r="C373" s="2"/>
      <c r="D373" s="2"/>
      <c r="E373" s="464"/>
      <c r="F373" s="2"/>
      <c r="G373" s="2"/>
      <c r="H373" s="2"/>
      <c r="I373" s="2"/>
      <c r="J373" s="2"/>
      <c r="K373" s="2"/>
      <c r="L373" s="2"/>
      <c r="M373" s="2"/>
      <c r="N373" s="2"/>
      <c r="O373" s="2"/>
      <c r="P373" s="2"/>
      <c r="Q373" s="2"/>
    </row>
    <row r="374" ht="15.75" customHeight="1">
      <c r="B374" s="576"/>
      <c r="C374" s="2"/>
      <c r="D374" s="2"/>
      <c r="E374" s="464"/>
      <c r="F374" s="2"/>
      <c r="G374" s="2"/>
      <c r="H374" s="2"/>
      <c r="I374" s="2"/>
      <c r="J374" s="2"/>
      <c r="K374" s="2"/>
      <c r="L374" s="2"/>
      <c r="M374" s="2"/>
      <c r="N374" s="2"/>
      <c r="O374" s="2"/>
      <c r="P374" s="2"/>
      <c r="Q374" s="2"/>
    </row>
    <row r="375" ht="15.75" customHeight="1">
      <c r="B375" s="576"/>
      <c r="C375" s="2"/>
      <c r="D375" s="2"/>
      <c r="E375" s="464"/>
      <c r="F375" s="2"/>
      <c r="G375" s="2"/>
      <c r="H375" s="2"/>
      <c r="I375" s="2"/>
      <c r="J375" s="2"/>
      <c r="K375" s="2"/>
      <c r="L375" s="2"/>
      <c r="M375" s="2"/>
      <c r="N375" s="2"/>
      <c r="O375" s="2"/>
      <c r="P375" s="2"/>
      <c r="Q375" s="2"/>
    </row>
    <row r="376" ht="15.75" customHeight="1">
      <c r="B376" s="576"/>
      <c r="C376" s="2"/>
      <c r="D376" s="2"/>
      <c r="E376" s="464"/>
      <c r="F376" s="2"/>
      <c r="G376" s="2"/>
      <c r="H376" s="2"/>
      <c r="I376" s="2"/>
      <c r="J376" s="2"/>
      <c r="K376" s="2"/>
      <c r="L376" s="2"/>
      <c r="M376" s="2"/>
      <c r="N376" s="2"/>
      <c r="O376" s="2"/>
      <c r="P376" s="2"/>
      <c r="Q376" s="2"/>
    </row>
    <row r="377" ht="15.75" customHeight="1">
      <c r="B377" s="576"/>
      <c r="C377" s="2"/>
      <c r="D377" s="2"/>
      <c r="E377" s="464"/>
      <c r="F377" s="2"/>
      <c r="G377" s="2"/>
      <c r="H377" s="2"/>
      <c r="I377" s="2"/>
      <c r="J377" s="2"/>
      <c r="K377" s="2"/>
      <c r="L377" s="2"/>
      <c r="M377" s="2"/>
      <c r="N377" s="2"/>
      <c r="O377" s="2"/>
      <c r="P377" s="2"/>
      <c r="Q377" s="2"/>
    </row>
    <row r="378" ht="15.75" customHeight="1">
      <c r="B378" s="576"/>
      <c r="C378" s="2"/>
      <c r="D378" s="2"/>
      <c r="E378" s="464"/>
      <c r="F378" s="2"/>
      <c r="G378" s="2"/>
      <c r="H378" s="2"/>
      <c r="I378" s="2"/>
      <c r="J378" s="2"/>
      <c r="K378" s="2"/>
      <c r="L378" s="2"/>
      <c r="M378" s="2"/>
      <c r="N378" s="2"/>
      <c r="O378" s="2"/>
      <c r="P378" s="2"/>
      <c r="Q378" s="2"/>
    </row>
    <row r="379" ht="15.75" customHeight="1">
      <c r="B379" s="576"/>
      <c r="C379" s="2"/>
      <c r="D379" s="2"/>
      <c r="E379" s="464"/>
      <c r="F379" s="2"/>
      <c r="G379" s="2"/>
      <c r="H379" s="2"/>
      <c r="I379" s="2"/>
      <c r="J379" s="2"/>
      <c r="K379" s="2"/>
      <c r="L379" s="2"/>
      <c r="M379" s="2"/>
      <c r="N379" s="2"/>
      <c r="O379" s="2"/>
      <c r="P379" s="2"/>
      <c r="Q379" s="2"/>
    </row>
    <row r="380" ht="15.75" customHeight="1">
      <c r="B380" s="576"/>
      <c r="C380" s="2"/>
      <c r="D380" s="2"/>
      <c r="E380" s="464"/>
      <c r="F380" s="2"/>
      <c r="G380" s="2"/>
      <c r="H380" s="2"/>
      <c r="I380" s="2"/>
      <c r="J380" s="2"/>
      <c r="K380" s="2"/>
      <c r="L380" s="2"/>
      <c r="M380" s="2"/>
      <c r="N380" s="2"/>
      <c r="O380" s="2"/>
      <c r="P380" s="2"/>
      <c r="Q380" s="2"/>
    </row>
    <row r="381" ht="15.75" customHeight="1">
      <c r="B381" s="576"/>
      <c r="C381" s="2"/>
      <c r="D381" s="2"/>
      <c r="E381" s="464"/>
      <c r="F381" s="2"/>
      <c r="G381" s="2"/>
      <c r="H381" s="2"/>
      <c r="I381" s="2"/>
      <c r="J381" s="2"/>
      <c r="K381" s="2"/>
      <c r="L381" s="2"/>
      <c r="M381" s="2"/>
      <c r="N381" s="2"/>
      <c r="O381" s="2"/>
      <c r="P381" s="2"/>
      <c r="Q381" s="2"/>
    </row>
    <row r="382" ht="15.75" customHeight="1">
      <c r="B382" s="576"/>
      <c r="C382" s="2"/>
      <c r="D382" s="2"/>
      <c r="E382" s="464"/>
      <c r="F382" s="2"/>
      <c r="G382" s="2"/>
      <c r="H382" s="2"/>
      <c r="I382" s="2"/>
      <c r="J382" s="2"/>
      <c r="K382" s="2"/>
      <c r="L382" s="2"/>
      <c r="M382" s="2"/>
      <c r="N382" s="2"/>
      <c r="O382" s="2"/>
      <c r="P382" s="2"/>
      <c r="Q382" s="2"/>
    </row>
    <row r="383" ht="15.75" customHeight="1">
      <c r="B383" s="576"/>
      <c r="C383" s="2"/>
      <c r="D383" s="2"/>
      <c r="E383" s="464"/>
      <c r="F383" s="2"/>
      <c r="G383" s="2"/>
      <c r="H383" s="2"/>
      <c r="I383" s="2"/>
      <c r="J383" s="2"/>
      <c r="K383" s="2"/>
      <c r="L383" s="2"/>
      <c r="M383" s="2"/>
      <c r="N383" s="2"/>
      <c r="O383" s="2"/>
      <c r="P383" s="2"/>
      <c r="Q383" s="2"/>
    </row>
    <row r="384" ht="15.75" customHeight="1">
      <c r="B384" s="576"/>
      <c r="C384" s="2"/>
      <c r="D384" s="2"/>
      <c r="E384" s="464"/>
      <c r="F384" s="2"/>
      <c r="G384" s="2"/>
      <c r="H384" s="2"/>
      <c r="I384" s="2"/>
      <c r="J384" s="2"/>
      <c r="K384" s="2"/>
      <c r="L384" s="2"/>
      <c r="M384" s="2"/>
      <c r="N384" s="2"/>
      <c r="O384" s="2"/>
      <c r="P384" s="2"/>
      <c r="Q384" s="2"/>
    </row>
    <row r="385" ht="15.75" customHeight="1">
      <c r="B385" s="576"/>
      <c r="C385" s="2"/>
      <c r="D385" s="2"/>
      <c r="E385" s="464"/>
      <c r="F385" s="2"/>
      <c r="G385" s="2"/>
      <c r="H385" s="2"/>
      <c r="I385" s="2"/>
      <c r="J385" s="2"/>
      <c r="K385" s="2"/>
      <c r="L385" s="2"/>
      <c r="M385" s="2"/>
      <c r="N385" s="2"/>
      <c r="O385" s="2"/>
      <c r="P385" s="2"/>
      <c r="Q385" s="2"/>
    </row>
    <row r="386" ht="15.75" customHeight="1">
      <c r="B386" s="576"/>
      <c r="C386" s="2"/>
      <c r="D386" s="2"/>
      <c r="E386" s="464"/>
      <c r="F386" s="2"/>
      <c r="G386" s="2"/>
      <c r="H386" s="2"/>
      <c r="I386" s="2"/>
      <c r="J386" s="2"/>
      <c r="K386" s="2"/>
      <c r="L386" s="2"/>
      <c r="M386" s="2"/>
      <c r="N386" s="2"/>
      <c r="O386" s="2"/>
      <c r="P386" s="2"/>
      <c r="Q386" s="2"/>
    </row>
    <row r="387" ht="15.75" customHeight="1">
      <c r="B387" s="576"/>
      <c r="C387" s="2"/>
      <c r="D387" s="2"/>
      <c r="E387" s="464"/>
      <c r="F387" s="2"/>
      <c r="G387" s="2"/>
      <c r="H387" s="2"/>
      <c r="I387" s="2"/>
      <c r="J387" s="2"/>
      <c r="K387" s="2"/>
      <c r="L387" s="2"/>
      <c r="M387" s="2"/>
      <c r="N387" s="2"/>
      <c r="O387" s="2"/>
      <c r="P387" s="2"/>
      <c r="Q387" s="2"/>
    </row>
    <row r="388" ht="15.75" customHeight="1">
      <c r="B388" s="576"/>
      <c r="C388" s="2"/>
      <c r="D388" s="2"/>
      <c r="E388" s="464"/>
      <c r="F388" s="2"/>
      <c r="G388" s="2"/>
      <c r="H388" s="2"/>
      <c r="I388" s="2"/>
      <c r="J388" s="2"/>
      <c r="K388" s="2"/>
      <c r="L388" s="2"/>
      <c r="M388" s="2"/>
      <c r="N388" s="2"/>
      <c r="O388" s="2"/>
      <c r="P388" s="2"/>
      <c r="Q388" s="2"/>
    </row>
    <row r="389" ht="15.75" customHeight="1">
      <c r="B389" s="576"/>
      <c r="C389" s="2"/>
      <c r="D389" s="2"/>
      <c r="E389" s="464"/>
      <c r="F389" s="2"/>
      <c r="G389" s="2"/>
      <c r="H389" s="2"/>
      <c r="I389" s="2"/>
      <c r="J389" s="2"/>
      <c r="K389" s="2"/>
      <c r="L389" s="2"/>
      <c r="M389" s="2"/>
      <c r="N389" s="2"/>
      <c r="O389" s="2"/>
      <c r="P389" s="2"/>
      <c r="Q389" s="2"/>
    </row>
    <row r="390" ht="15.75" customHeight="1">
      <c r="B390" s="576"/>
      <c r="C390" s="2"/>
      <c r="D390" s="2"/>
      <c r="E390" s="464"/>
      <c r="F390" s="2"/>
      <c r="G390" s="2"/>
      <c r="H390" s="2"/>
      <c r="I390" s="2"/>
      <c r="J390" s="2"/>
      <c r="K390" s="2"/>
      <c r="L390" s="2"/>
      <c r="M390" s="2"/>
      <c r="N390" s="2"/>
      <c r="O390" s="2"/>
      <c r="P390" s="2"/>
      <c r="Q390" s="2"/>
    </row>
    <row r="391" ht="15.75" customHeight="1">
      <c r="B391" s="576"/>
      <c r="C391" s="2"/>
      <c r="D391" s="2"/>
      <c r="E391" s="464"/>
      <c r="F391" s="2"/>
      <c r="G391" s="2"/>
      <c r="H391" s="2"/>
      <c r="I391" s="2"/>
      <c r="J391" s="2"/>
      <c r="K391" s="2"/>
      <c r="L391" s="2"/>
      <c r="M391" s="2"/>
      <c r="N391" s="2"/>
      <c r="O391" s="2"/>
      <c r="P391" s="2"/>
      <c r="Q391" s="2"/>
    </row>
    <row r="392" ht="15.75" customHeight="1">
      <c r="B392" s="576"/>
      <c r="C392" s="2"/>
      <c r="D392" s="2"/>
      <c r="E392" s="464"/>
      <c r="F392" s="2"/>
      <c r="G392" s="2"/>
      <c r="H392" s="2"/>
      <c r="I392" s="2"/>
      <c r="J392" s="2"/>
      <c r="K392" s="2"/>
      <c r="L392" s="2"/>
      <c r="M392" s="2"/>
      <c r="N392" s="2"/>
      <c r="O392" s="2"/>
      <c r="P392" s="2"/>
      <c r="Q392" s="2"/>
    </row>
    <row r="393" ht="15.75" customHeight="1">
      <c r="B393" s="576"/>
      <c r="C393" s="2"/>
      <c r="D393" s="2"/>
      <c r="E393" s="464"/>
      <c r="F393" s="2"/>
      <c r="G393" s="2"/>
      <c r="H393" s="2"/>
      <c r="I393" s="2"/>
      <c r="J393" s="2"/>
      <c r="K393" s="2"/>
      <c r="L393" s="2"/>
      <c r="M393" s="2"/>
      <c r="N393" s="2"/>
      <c r="O393" s="2"/>
      <c r="P393" s="2"/>
      <c r="Q393" s="2"/>
    </row>
    <row r="394" ht="15.75" customHeight="1">
      <c r="B394" s="576"/>
      <c r="C394" s="2"/>
      <c r="D394" s="2"/>
      <c r="E394" s="464"/>
      <c r="F394" s="2"/>
      <c r="G394" s="2"/>
      <c r="H394" s="2"/>
      <c r="I394" s="2"/>
      <c r="J394" s="2"/>
      <c r="K394" s="2"/>
      <c r="L394" s="2"/>
      <c r="M394" s="2"/>
      <c r="N394" s="2"/>
      <c r="O394" s="2"/>
      <c r="P394" s="2"/>
      <c r="Q394" s="2"/>
    </row>
    <row r="395" ht="15.75" customHeight="1">
      <c r="B395" s="576"/>
      <c r="C395" s="2"/>
      <c r="D395" s="2"/>
      <c r="E395" s="464"/>
      <c r="F395" s="2"/>
      <c r="G395" s="2"/>
      <c r="H395" s="2"/>
      <c r="I395" s="2"/>
      <c r="J395" s="2"/>
      <c r="K395" s="2"/>
      <c r="L395" s="2"/>
      <c r="M395" s="2"/>
      <c r="N395" s="2"/>
      <c r="O395" s="2"/>
      <c r="P395" s="2"/>
      <c r="Q395" s="2"/>
    </row>
    <row r="396" ht="15.75" customHeight="1">
      <c r="B396" s="576"/>
      <c r="C396" s="2"/>
      <c r="D396" s="2"/>
      <c r="E396" s="464"/>
      <c r="F396" s="2"/>
      <c r="G396" s="2"/>
      <c r="H396" s="2"/>
      <c r="I396" s="2"/>
      <c r="J396" s="2"/>
      <c r="K396" s="2"/>
      <c r="L396" s="2"/>
      <c r="M396" s="2"/>
      <c r="N396" s="2"/>
      <c r="O396" s="2"/>
      <c r="P396" s="2"/>
      <c r="Q396" s="2"/>
    </row>
    <row r="397" ht="15.75" customHeight="1">
      <c r="B397" s="576"/>
      <c r="C397" s="2"/>
      <c r="D397" s="2"/>
      <c r="E397" s="464"/>
      <c r="F397" s="2"/>
      <c r="G397" s="2"/>
      <c r="H397" s="2"/>
      <c r="I397" s="2"/>
      <c r="J397" s="2"/>
      <c r="K397" s="2"/>
      <c r="L397" s="2"/>
      <c r="M397" s="2"/>
      <c r="N397" s="2"/>
      <c r="O397" s="2"/>
      <c r="P397" s="2"/>
      <c r="Q397" s="2"/>
    </row>
    <row r="398" ht="15.75" customHeight="1">
      <c r="B398" s="576"/>
      <c r="C398" s="2"/>
      <c r="D398" s="2"/>
      <c r="E398" s="464"/>
      <c r="F398" s="2"/>
      <c r="G398" s="2"/>
      <c r="H398" s="2"/>
      <c r="I398" s="2"/>
      <c r="J398" s="2"/>
      <c r="K398" s="2"/>
      <c r="L398" s="2"/>
      <c r="M398" s="2"/>
      <c r="N398" s="2"/>
      <c r="O398" s="2"/>
      <c r="P398" s="2"/>
      <c r="Q398" s="2"/>
    </row>
    <row r="399" ht="15.75" customHeight="1">
      <c r="B399" s="576"/>
      <c r="C399" s="2"/>
      <c r="D399" s="2"/>
      <c r="E399" s="464"/>
      <c r="F399" s="2"/>
      <c r="G399" s="2"/>
      <c r="H399" s="2"/>
      <c r="I399" s="2"/>
      <c r="J399" s="2"/>
      <c r="K399" s="2"/>
      <c r="L399" s="2"/>
      <c r="M399" s="2"/>
      <c r="N399" s="2"/>
      <c r="O399" s="2"/>
      <c r="P399" s="2"/>
      <c r="Q399" s="2"/>
    </row>
    <row r="400" ht="15.75" customHeight="1">
      <c r="B400" s="576"/>
      <c r="C400" s="2"/>
      <c r="D400" s="2"/>
      <c r="E400" s="464"/>
      <c r="F400" s="2"/>
      <c r="G400" s="2"/>
      <c r="H400" s="2"/>
      <c r="I400" s="2"/>
      <c r="J400" s="2"/>
      <c r="K400" s="2"/>
      <c r="L400" s="2"/>
      <c r="M400" s="2"/>
      <c r="N400" s="2"/>
      <c r="O400" s="2"/>
      <c r="P400" s="2"/>
      <c r="Q400" s="2"/>
    </row>
    <row r="401" ht="15.75" customHeight="1">
      <c r="B401" s="576"/>
      <c r="C401" s="2"/>
      <c r="D401" s="2"/>
      <c r="E401" s="464"/>
      <c r="F401" s="2"/>
      <c r="G401" s="2"/>
      <c r="H401" s="2"/>
      <c r="I401" s="2"/>
      <c r="J401" s="2"/>
      <c r="K401" s="2"/>
      <c r="L401" s="2"/>
      <c r="M401" s="2"/>
      <c r="N401" s="2"/>
      <c r="O401" s="2"/>
      <c r="P401" s="2"/>
      <c r="Q401" s="2"/>
    </row>
    <row r="402" ht="15.75" customHeight="1">
      <c r="B402" s="576"/>
      <c r="C402" s="2"/>
      <c r="D402" s="2"/>
      <c r="E402" s="464"/>
      <c r="F402" s="2"/>
      <c r="G402" s="2"/>
      <c r="H402" s="2"/>
      <c r="I402" s="2"/>
      <c r="J402" s="2"/>
      <c r="K402" s="2"/>
      <c r="L402" s="2"/>
      <c r="M402" s="2"/>
      <c r="N402" s="2"/>
      <c r="O402" s="2"/>
      <c r="P402" s="2"/>
      <c r="Q402" s="2"/>
    </row>
    <row r="403" ht="15.75" customHeight="1">
      <c r="B403" s="576"/>
      <c r="C403" s="2"/>
      <c r="D403" s="2"/>
      <c r="E403" s="464"/>
      <c r="F403" s="2"/>
      <c r="G403" s="2"/>
      <c r="H403" s="2"/>
      <c r="I403" s="2"/>
      <c r="J403" s="2"/>
      <c r="K403" s="2"/>
      <c r="L403" s="2"/>
      <c r="M403" s="2"/>
      <c r="N403" s="2"/>
      <c r="O403" s="2"/>
      <c r="P403" s="2"/>
      <c r="Q403" s="2"/>
    </row>
    <row r="404" ht="15.75" customHeight="1">
      <c r="B404" s="576"/>
      <c r="C404" s="2"/>
      <c r="D404" s="2"/>
      <c r="E404" s="464"/>
      <c r="F404" s="2"/>
      <c r="G404" s="2"/>
      <c r="H404" s="2"/>
      <c r="I404" s="2"/>
      <c r="J404" s="2"/>
      <c r="K404" s="2"/>
      <c r="L404" s="2"/>
      <c r="M404" s="2"/>
      <c r="N404" s="2"/>
      <c r="O404" s="2"/>
      <c r="P404" s="2"/>
      <c r="Q404" s="2"/>
    </row>
    <row r="405" ht="15.75" customHeight="1">
      <c r="B405" s="576"/>
      <c r="C405" s="2"/>
      <c r="D405" s="2"/>
      <c r="E405" s="464"/>
      <c r="F405" s="2"/>
      <c r="G405" s="2"/>
      <c r="H405" s="2"/>
      <c r="I405" s="2"/>
      <c r="J405" s="2"/>
      <c r="K405" s="2"/>
      <c r="L405" s="2"/>
      <c r="M405" s="2"/>
      <c r="N405" s="2"/>
      <c r="O405" s="2"/>
      <c r="P405" s="2"/>
      <c r="Q405" s="2"/>
    </row>
    <row r="406" ht="15.75" customHeight="1">
      <c r="B406" s="576"/>
      <c r="C406" s="2"/>
      <c r="D406" s="2"/>
      <c r="E406" s="464"/>
      <c r="F406" s="2"/>
      <c r="G406" s="2"/>
      <c r="H406" s="2"/>
      <c r="I406" s="2"/>
      <c r="J406" s="2"/>
      <c r="K406" s="2"/>
      <c r="L406" s="2"/>
      <c r="M406" s="2"/>
      <c r="N406" s="2"/>
      <c r="O406" s="2"/>
      <c r="P406" s="2"/>
      <c r="Q406" s="2"/>
    </row>
    <row r="407" ht="15.75" customHeight="1">
      <c r="B407" s="576"/>
      <c r="C407" s="2"/>
      <c r="D407" s="2"/>
      <c r="E407" s="464"/>
      <c r="F407" s="2"/>
      <c r="G407" s="2"/>
      <c r="H407" s="2"/>
      <c r="I407" s="2"/>
      <c r="J407" s="2"/>
      <c r="K407" s="2"/>
      <c r="L407" s="2"/>
      <c r="M407" s="2"/>
      <c r="N407" s="2"/>
      <c r="O407" s="2"/>
      <c r="P407" s="2"/>
      <c r="Q407" s="2"/>
    </row>
    <row r="408" ht="15.75" customHeight="1">
      <c r="B408" s="576"/>
      <c r="C408" s="2"/>
      <c r="D408" s="2"/>
      <c r="E408" s="464"/>
      <c r="F408" s="2"/>
      <c r="G408" s="2"/>
      <c r="H408" s="2"/>
      <c r="I408" s="2"/>
      <c r="J408" s="2"/>
      <c r="K408" s="2"/>
      <c r="L408" s="2"/>
      <c r="M408" s="2"/>
      <c r="N408" s="2"/>
      <c r="O408" s="2"/>
      <c r="P408" s="2"/>
      <c r="Q408" s="2"/>
    </row>
    <row r="409" ht="15.75" customHeight="1">
      <c r="B409" s="576"/>
      <c r="C409" s="2"/>
      <c r="D409" s="2"/>
      <c r="E409" s="464"/>
      <c r="F409" s="2"/>
      <c r="G409" s="2"/>
      <c r="H409" s="2"/>
      <c r="I409" s="2"/>
      <c r="J409" s="2"/>
      <c r="K409" s="2"/>
      <c r="L409" s="2"/>
      <c r="M409" s="2"/>
      <c r="N409" s="2"/>
      <c r="O409" s="2"/>
      <c r="P409" s="2"/>
      <c r="Q409" s="2"/>
    </row>
    <row r="410" ht="15.75" customHeight="1">
      <c r="B410" s="576"/>
      <c r="C410" s="2"/>
      <c r="D410" s="2"/>
      <c r="E410" s="464"/>
      <c r="F410" s="2"/>
      <c r="G410" s="2"/>
      <c r="H410" s="2"/>
      <c r="I410" s="2"/>
      <c r="J410" s="2"/>
      <c r="K410" s="2"/>
      <c r="L410" s="2"/>
      <c r="M410" s="2"/>
      <c r="N410" s="2"/>
      <c r="O410" s="2"/>
      <c r="P410" s="2"/>
      <c r="Q410" s="2"/>
    </row>
    <row r="411" ht="15.75" customHeight="1">
      <c r="B411" s="576"/>
      <c r="C411" s="2"/>
      <c r="D411" s="2"/>
      <c r="E411" s="464"/>
      <c r="F411" s="2"/>
      <c r="G411" s="2"/>
      <c r="H411" s="2"/>
      <c r="I411" s="2"/>
      <c r="J411" s="2"/>
      <c r="K411" s="2"/>
      <c r="L411" s="2"/>
      <c r="M411" s="2"/>
      <c r="N411" s="2"/>
      <c r="O411" s="2"/>
      <c r="P411" s="2"/>
      <c r="Q411" s="2"/>
    </row>
    <row r="412" ht="15.75" customHeight="1">
      <c r="B412" s="576"/>
      <c r="C412" s="2"/>
      <c r="D412" s="2"/>
      <c r="E412" s="464"/>
      <c r="F412" s="2"/>
      <c r="G412" s="2"/>
      <c r="H412" s="2"/>
      <c r="I412" s="2"/>
      <c r="J412" s="2"/>
      <c r="K412" s="2"/>
      <c r="L412" s="2"/>
      <c r="M412" s="2"/>
      <c r="N412" s="2"/>
      <c r="O412" s="2"/>
      <c r="P412" s="2"/>
      <c r="Q412" s="2"/>
    </row>
    <row r="413" ht="15.75" customHeight="1">
      <c r="B413" s="576"/>
      <c r="C413" s="2"/>
      <c r="D413" s="2"/>
      <c r="E413" s="464"/>
      <c r="F413" s="2"/>
      <c r="G413" s="2"/>
      <c r="H413" s="2"/>
      <c r="I413" s="2"/>
      <c r="J413" s="2"/>
      <c r="K413" s="2"/>
      <c r="L413" s="2"/>
      <c r="M413" s="2"/>
      <c r="N413" s="2"/>
      <c r="O413" s="2"/>
      <c r="P413" s="2"/>
      <c r="Q413" s="2"/>
    </row>
    <row r="414" ht="15.75" customHeight="1">
      <c r="B414" s="576"/>
      <c r="C414" s="2"/>
      <c r="D414" s="2"/>
      <c r="E414" s="464"/>
      <c r="F414" s="2"/>
      <c r="G414" s="2"/>
      <c r="H414" s="2"/>
      <c r="I414" s="2"/>
      <c r="J414" s="2"/>
      <c r="K414" s="2"/>
      <c r="L414" s="2"/>
      <c r="M414" s="2"/>
      <c r="N414" s="2"/>
      <c r="O414" s="2"/>
      <c r="P414" s="2"/>
      <c r="Q414" s="2"/>
    </row>
    <row r="415" ht="15.75" customHeight="1">
      <c r="B415" s="576"/>
      <c r="C415" s="2"/>
      <c r="D415" s="2"/>
      <c r="E415" s="464"/>
      <c r="F415" s="2"/>
      <c r="G415" s="2"/>
      <c r="H415" s="2"/>
      <c r="I415" s="2"/>
      <c r="J415" s="2"/>
      <c r="K415" s="2"/>
      <c r="L415" s="2"/>
      <c r="M415" s="2"/>
      <c r="N415" s="2"/>
      <c r="O415" s="2"/>
      <c r="P415" s="2"/>
      <c r="Q415" s="2"/>
    </row>
    <row r="416" ht="15.75" customHeight="1">
      <c r="B416" s="576"/>
      <c r="C416" s="2"/>
      <c r="D416" s="2"/>
      <c r="E416" s="464"/>
      <c r="F416" s="2"/>
      <c r="G416" s="2"/>
      <c r="H416" s="2"/>
      <c r="I416" s="2"/>
      <c r="J416" s="2"/>
      <c r="K416" s="2"/>
      <c r="L416" s="2"/>
      <c r="M416" s="2"/>
      <c r="N416" s="2"/>
      <c r="O416" s="2"/>
      <c r="P416" s="2"/>
      <c r="Q416" s="2"/>
    </row>
    <row r="417" ht="15.75" customHeight="1">
      <c r="B417" s="576"/>
      <c r="C417" s="2"/>
      <c r="D417" s="2"/>
      <c r="E417" s="464"/>
      <c r="F417" s="2"/>
      <c r="G417" s="2"/>
      <c r="H417" s="2"/>
      <c r="I417" s="2"/>
      <c r="J417" s="2"/>
      <c r="K417" s="2"/>
      <c r="L417" s="2"/>
      <c r="M417" s="2"/>
      <c r="N417" s="2"/>
      <c r="O417" s="2"/>
      <c r="P417" s="2"/>
      <c r="Q417" s="2"/>
    </row>
    <row r="418" ht="15.75" customHeight="1">
      <c r="B418" s="576"/>
      <c r="C418" s="2"/>
      <c r="D418" s="2"/>
      <c r="E418" s="464"/>
      <c r="F418" s="2"/>
      <c r="G418" s="2"/>
      <c r="H418" s="2"/>
      <c r="I418" s="2"/>
      <c r="J418" s="2"/>
      <c r="K418" s="2"/>
      <c r="L418" s="2"/>
      <c r="M418" s="2"/>
      <c r="N418" s="2"/>
      <c r="O418" s="2"/>
      <c r="P418" s="2"/>
      <c r="Q418" s="2"/>
    </row>
    <row r="419" ht="15.75" customHeight="1">
      <c r="B419" s="576"/>
      <c r="C419" s="2"/>
      <c r="D419" s="2"/>
      <c r="E419" s="464"/>
      <c r="F419" s="2"/>
      <c r="G419" s="2"/>
      <c r="H419" s="2"/>
      <c r="I419" s="2"/>
      <c r="J419" s="2"/>
      <c r="K419" s="2"/>
      <c r="L419" s="2"/>
      <c r="M419" s="2"/>
      <c r="N419" s="2"/>
      <c r="O419" s="2"/>
      <c r="P419" s="2"/>
      <c r="Q419" s="2"/>
    </row>
    <row r="420" ht="15.75" customHeight="1">
      <c r="B420" s="576"/>
      <c r="C420" s="2"/>
      <c r="D420" s="2"/>
      <c r="E420" s="464"/>
      <c r="F420" s="2"/>
      <c r="G420" s="2"/>
      <c r="H420" s="2"/>
      <c r="I420" s="2"/>
      <c r="J420" s="2"/>
      <c r="K420" s="2"/>
      <c r="L420" s="2"/>
      <c r="M420" s="2"/>
      <c r="N420" s="2"/>
      <c r="O420" s="2"/>
      <c r="P420" s="2"/>
      <c r="Q420" s="2"/>
    </row>
    <row r="421" ht="15.75" customHeight="1">
      <c r="B421" s="576"/>
      <c r="C421" s="2"/>
      <c r="D421" s="2"/>
      <c r="E421" s="464"/>
      <c r="F421" s="2"/>
      <c r="G421" s="2"/>
      <c r="H421" s="2"/>
      <c r="I421" s="2"/>
      <c r="J421" s="2"/>
      <c r="K421" s="2"/>
      <c r="L421" s="2"/>
      <c r="M421" s="2"/>
      <c r="N421" s="2"/>
      <c r="O421" s="2"/>
      <c r="P421" s="2"/>
      <c r="Q421" s="2"/>
    </row>
    <row r="422" ht="15.75" customHeight="1">
      <c r="B422" s="576"/>
      <c r="C422" s="2"/>
      <c r="D422" s="2"/>
      <c r="E422" s="464"/>
      <c r="F422" s="2"/>
      <c r="G422" s="2"/>
      <c r="H422" s="2"/>
      <c r="I422" s="2"/>
      <c r="J422" s="2"/>
      <c r="K422" s="2"/>
      <c r="L422" s="2"/>
      <c r="M422" s="2"/>
      <c r="N422" s="2"/>
      <c r="O422" s="2"/>
      <c r="P422" s="2"/>
      <c r="Q422" s="2"/>
    </row>
    <row r="423" ht="15.75" customHeight="1">
      <c r="B423" s="576"/>
      <c r="C423" s="2"/>
      <c r="D423" s="2"/>
      <c r="E423" s="464"/>
      <c r="F423" s="2"/>
      <c r="G423" s="2"/>
      <c r="H423" s="2"/>
      <c r="I423" s="2"/>
      <c r="J423" s="2"/>
      <c r="K423" s="2"/>
      <c r="L423" s="2"/>
      <c r="M423" s="2"/>
      <c r="N423" s="2"/>
      <c r="O423" s="2"/>
      <c r="P423" s="2"/>
      <c r="Q423" s="2"/>
    </row>
    <row r="424" ht="15.75" customHeight="1">
      <c r="B424" s="576"/>
      <c r="C424" s="2"/>
      <c r="D424" s="2"/>
      <c r="E424" s="464"/>
      <c r="F424" s="2"/>
      <c r="G424" s="2"/>
      <c r="H424" s="2"/>
      <c r="I424" s="2"/>
      <c r="J424" s="2"/>
      <c r="K424" s="2"/>
      <c r="L424" s="2"/>
      <c r="M424" s="2"/>
      <c r="N424" s="2"/>
      <c r="O424" s="2"/>
      <c r="P424" s="2"/>
      <c r="Q424" s="2"/>
    </row>
    <row r="425" ht="15.75" customHeight="1">
      <c r="B425" s="576"/>
      <c r="C425" s="2"/>
      <c r="D425" s="2"/>
      <c r="E425" s="464"/>
      <c r="F425" s="2"/>
      <c r="G425" s="2"/>
      <c r="H425" s="2"/>
      <c r="I425" s="2"/>
      <c r="J425" s="2"/>
      <c r="K425" s="2"/>
      <c r="L425" s="2"/>
      <c r="M425" s="2"/>
      <c r="N425" s="2"/>
      <c r="O425" s="2"/>
      <c r="P425" s="2"/>
      <c r="Q425" s="2"/>
    </row>
    <row r="426" ht="15.75" customHeight="1">
      <c r="B426" s="576"/>
      <c r="C426" s="2"/>
      <c r="D426" s="2"/>
      <c r="E426" s="464"/>
      <c r="F426" s="2"/>
      <c r="G426" s="2"/>
      <c r="H426" s="2"/>
      <c r="I426" s="2"/>
      <c r="J426" s="2"/>
      <c r="K426" s="2"/>
      <c r="L426" s="2"/>
      <c r="M426" s="2"/>
      <c r="N426" s="2"/>
      <c r="O426" s="2"/>
      <c r="P426" s="2"/>
      <c r="Q426" s="2"/>
    </row>
    <row r="427" ht="15.75" customHeight="1">
      <c r="B427" s="576"/>
      <c r="C427" s="2"/>
      <c r="D427" s="2"/>
      <c r="E427" s="464"/>
      <c r="F427" s="2"/>
      <c r="G427" s="2"/>
      <c r="H427" s="2"/>
      <c r="I427" s="2"/>
      <c r="J427" s="2"/>
      <c r="K427" s="2"/>
      <c r="L427" s="2"/>
      <c r="M427" s="2"/>
      <c r="N427" s="2"/>
      <c r="O427" s="2"/>
      <c r="P427" s="2"/>
      <c r="Q427" s="2"/>
    </row>
    <row r="428" ht="15.75" customHeight="1">
      <c r="B428" s="576"/>
      <c r="C428" s="2"/>
      <c r="D428" s="2"/>
      <c r="E428" s="464"/>
      <c r="F428" s="2"/>
      <c r="G428" s="2"/>
      <c r="H428" s="2"/>
      <c r="I428" s="2"/>
      <c r="J428" s="2"/>
      <c r="K428" s="2"/>
      <c r="L428" s="2"/>
      <c r="M428" s="2"/>
      <c r="N428" s="2"/>
      <c r="O428" s="2"/>
      <c r="P428" s="2"/>
      <c r="Q428" s="2"/>
    </row>
    <row r="429" ht="15.75" customHeight="1">
      <c r="B429" s="576"/>
      <c r="C429" s="2"/>
      <c r="D429" s="2"/>
      <c r="E429" s="464"/>
      <c r="F429" s="2"/>
      <c r="G429" s="2"/>
      <c r="H429" s="2"/>
      <c r="I429" s="2"/>
      <c r="J429" s="2"/>
      <c r="K429" s="2"/>
      <c r="L429" s="2"/>
      <c r="M429" s="2"/>
      <c r="N429" s="2"/>
      <c r="O429" s="2"/>
      <c r="P429" s="2"/>
      <c r="Q429" s="2"/>
    </row>
    <row r="430" ht="15.75" customHeight="1">
      <c r="B430" s="576"/>
      <c r="C430" s="2"/>
      <c r="D430" s="2"/>
      <c r="E430" s="464"/>
      <c r="F430" s="2"/>
      <c r="G430" s="2"/>
      <c r="H430" s="2"/>
      <c r="I430" s="2"/>
      <c r="J430" s="2"/>
      <c r="K430" s="2"/>
      <c r="L430" s="2"/>
      <c r="M430" s="2"/>
      <c r="N430" s="2"/>
      <c r="O430" s="2"/>
      <c r="P430" s="2"/>
      <c r="Q430" s="2"/>
    </row>
    <row r="431" ht="15.75" customHeight="1">
      <c r="B431" s="576"/>
      <c r="C431" s="2"/>
      <c r="D431" s="2"/>
      <c r="E431" s="464"/>
      <c r="F431" s="2"/>
      <c r="G431" s="2"/>
      <c r="H431" s="2"/>
      <c r="I431" s="2"/>
      <c r="J431" s="2"/>
      <c r="K431" s="2"/>
      <c r="L431" s="2"/>
      <c r="M431" s="2"/>
      <c r="N431" s="2"/>
      <c r="O431" s="2"/>
      <c r="P431" s="2"/>
      <c r="Q431" s="2"/>
    </row>
    <row r="432" ht="15.75" customHeight="1">
      <c r="B432" s="576"/>
      <c r="C432" s="2"/>
      <c r="D432" s="2"/>
      <c r="E432" s="464"/>
      <c r="F432" s="2"/>
      <c r="G432" s="2"/>
      <c r="H432" s="2"/>
      <c r="I432" s="2"/>
      <c r="J432" s="2"/>
      <c r="K432" s="2"/>
      <c r="L432" s="2"/>
      <c r="M432" s="2"/>
      <c r="N432" s="2"/>
      <c r="O432" s="2"/>
      <c r="P432" s="2"/>
      <c r="Q432" s="2"/>
    </row>
    <row r="433" ht="15.75" customHeight="1">
      <c r="B433" s="576"/>
      <c r="C433" s="2"/>
      <c r="D433" s="2"/>
      <c r="E433" s="464"/>
      <c r="F433" s="2"/>
      <c r="G433" s="2"/>
      <c r="H433" s="2"/>
      <c r="I433" s="2"/>
      <c r="J433" s="2"/>
      <c r="K433" s="2"/>
      <c r="L433" s="2"/>
      <c r="M433" s="2"/>
      <c r="N433" s="2"/>
      <c r="O433" s="2"/>
      <c r="P433" s="2"/>
      <c r="Q433" s="2"/>
    </row>
    <row r="434" ht="15.75" customHeight="1">
      <c r="B434" s="576"/>
      <c r="C434" s="2"/>
      <c r="D434" s="2"/>
      <c r="E434" s="464"/>
      <c r="F434" s="2"/>
      <c r="G434" s="2"/>
      <c r="H434" s="2"/>
      <c r="I434" s="2"/>
      <c r="J434" s="2"/>
      <c r="K434" s="2"/>
      <c r="L434" s="2"/>
      <c r="M434" s="2"/>
      <c r="N434" s="2"/>
      <c r="O434" s="2"/>
      <c r="P434" s="2"/>
      <c r="Q434" s="2"/>
    </row>
    <row r="435" ht="15.75" customHeight="1">
      <c r="B435" s="576"/>
      <c r="C435" s="2"/>
      <c r="D435" s="2"/>
      <c r="E435" s="464"/>
      <c r="F435" s="2"/>
      <c r="G435" s="2"/>
      <c r="H435" s="2"/>
      <c r="I435" s="2"/>
      <c r="J435" s="2"/>
      <c r="K435" s="2"/>
      <c r="L435" s="2"/>
      <c r="M435" s="2"/>
      <c r="N435" s="2"/>
      <c r="O435" s="2"/>
      <c r="P435" s="2"/>
      <c r="Q435" s="2"/>
    </row>
    <row r="436" ht="15.75" customHeight="1">
      <c r="B436" s="576"/>
      <c r="C436" s="2"/>
      <c r="D436" s="2"/>
      <c r="E436" s="464"/>
      <c r="F436" s="2"/>
      <c r="G436" s="2"/>
      <c r="H436" s="2"/>
      <c r="I436" s="2"/>
      <c r="J436" s="2"/>
      <c r="K436" s="2"/>
      <c r="L436" s="2"/>
      <c r="M436" s="2"/>
      <c r="N436" s="2"/>
      <c r="O436" s="2"/>
      <c r="P436" s="2"/>
      <c r="Q436" s="2"/>
    </row>
    <row r="437" ht="15.75" customHeight="1">
      <c r="B437" s="576"/>
      <c r="C437" s="2"/>
      <c r="D437" s="2"/>
      <c r="E437" s="464"/>
      <c r="F437" s="2"/>
      <c r="G437" s="2"/>
      <c r="H437" s="2"/>
      <c r="I437" s="2"/>
      <c r="J437" s="2"/>
      <c r="K437" s="2"/>
      <c r="L437" s="2"/>
      <c r="M437" s="2"/>
      <c r="N437" s="2"/>
      <c r="O437" s="2"/>
      <c r="P437" s="2"/>
      <c r="Q437" s="2"/>
    </row>
    <row r="438" ht="15.75" customHeight="1">
      <c r="B438" s="576"/>
      <c r="C438" s="2"/>
      <c r="D438" s="2"/>
      <c r="E438" s="464"/>
      <c r="F438" s="2"/>
      <c r="G438" s="2"/>
      <c r="H438" s="2"/>
      <c r="I438" s="2"/>
      <c r="J438" s="2"/>
      <c r="K438" s="2"/>
      <c r="L438" s="2"/>
      <c r="M438" s="2"/>
      <c r="N438" s="2"/>
      <c r="O438" s="2"/>
      <c r="P438" s="2"/>
      <c r="Q438" s="2"/>
    </row>
    <row r="439" ht="15.75" customHeight="1">
      <c r="B439" s="576"/>
      <c r="C439" s="2"/>
      <c r="D439" s="2"/>
      <c r="E439" s="464"/>
      <c r="F439" s="2"/>
      <c r="G439" s="2"/>
      <c r="H439" s="2"/>
      <c r="I439" s="2"/>
      <c r="J439" s="2"/>
      <c r="K439" s="2"/>
      <c r="L439" s="2"/>
      <c r="M439" s="2"/>
      <c r="N439" s="2"/>
      <c r="O439" s="2"/>
      <c r="P439" s="2"/>
      <c r="Q439" s="2"/>
    </row>
    <row r="440" ht="15.75" customHeight="1">
      <c r="B440" s="576"/>
      <c r="C440" s="2"/>
      <c r="D440" s="2"/>
      <c r="E440" s="464"/>
      <c r="F440" s="2"/>
      <c r="G440" s="2"/>
      <c r="H440" s="2"/>
      <c r="I440" s="2"/>
      <c r="J440" s="2"/>
      <c r="K440" s="2"/>
      <c r="L440" s="2"/>
      <c r="M440" s="2"/>
      <c r="N440" s="2"/>
      <c r="O440" s="2"/>
      <c r="P440" s="2"/>
      <c r="Q440" s="2"/>
    </row>
    <row r="441" ht="15.75" customHeight="1">
      <c r="B441" s="576"/>
      <c r="C441" s="2"/>
      <c r="D441" s="2"/>
      <c r="E441" s="464"/>
      <c r="F441" s="2"/>
      <c r="G441" s="2"/>
      <c r="H441" s="2"/>
      <c r="I441" s="2"/>
      <c r="J441" s="2"/>
      <c r="K441" s="2"/>
      <c r="L441" s="2"/>
      <c r="M441" s="2"/>
      <c r="N441" s="2"/>
      <c r="O441" s="2"/>
      <c r="P441" s="2"/>
      <c r="Q441" s="2"/>
    </row>
    <row r="442" ht="15.75" customHeight="1">
      <c r="B442" s="576"/>
      <c r="C442" s="2"/>
      <c r="D442" s="2"/>
      <c r="E442" s="464"/>
      <c r="F442" s="2"/>
      <c r="G442" s="2"/>
      <c r="H442" s="2"/>
      <c r="I442" s="2"/>
      <c r="J442" s="2"/>
      <c r="K442" s="2"/>
      <c r="L442" s="2"/>
      <c r="M442" s="2"/>
      <c r="N442" s="2"/>
      <c r="O442" s="2"/>
      <c r="P442" s="2"/>
      <c r="Q442" s="2"/>
    </row>
    <row r="443" ht="15.75" customHeight="1">
      <c r="B443" s="576"/>
      <c r="C443" s="2"/>
      <c r="D443" s="2"/>
      <c r="E443" s="464"/>
      <c r="F443" s="2"/>
      <c r="G443" s="2"/>
      <c r="H443" s="2"/>
      <c r="I443" s="2"/>
      <c r="J443" s="2"/>
      <c r="K443" s="2"/>
      <c r="L443" s="2"/>
      <c r="M443" s="2"/>
      <c r="N443" s="2"/>
      <c r="O443" s="2"/>
      <c r="P443" s="2"/>
      <c r="Q443" s="2"/>
    </row>
    <row r="444" ht="15.75" customHeight="1">
      <c r="B444" s="576"/>
      <c r="C444" s="2"/>
      <c r="D444" s="2"/>
      <c r="E444" s="464"/>
      <c r="F444" s="2"/>
      <c r="G444" s="2"/>
      <c r="H444" s="2"/>
      <c r="I444" s="2"/>
      <c r="J444" s="2"/>
      <c r="K444" s="2"/>
      <c r="L444" s="2"/>
      <c r="M444" s="2"/>
      <c r="N444" s="2"/>
      <c r="O444" s="2"/>
      <c r="P444" s="2"/>
      <c r="Q444" s="2"/>
    </row>
    <row r="445" ht="15.75" customHeight="1">
      <c r="B445" s="576"/>
      <c r="C445" s="2"/>
      <c r="D445" s="2"/>
      <c r="E445" s="464"/>
      <c r="F445" s="2"/>
      <c r="G445" s="2"/>
      <c r="H445" s="2"/>
      <c r="I445" s="2"/>
      <c r="J445" s="2"/>
      <c r="K445" s="2"/>
      <c r="L445" s="2"/>
      <c r="M445" s="2"/>
      <c r="N445" s="2"/>
      <c r="O445" s="2"/>
      <c r="P445" s="2"/>
      <c r="Q445" s="2"/>
    </row>
    <row r="446" ht="15.75" customHeight="1">
      <c r="B446" s="576"/>
      <c r="C446" s="2"/>
      <c r="D446" s="2"/>
      <c r="E446" s="464"/>
      <c r="F446" s="2"/>
      <c r="G446" s="2"/>
      <c r="H446" s="2"/>
      <c r="I446" s="2"/>
      <c r="J446" s="2"/>
      <c r="K446" s="2"/>
      <c r="L446" s="2"/>
      <c r="M446" s="2"/>
      <c r="N446" s="2"/>
      <c r="O446" s="2"/>
      <c r="P446" s="2"/>
      <c r="Q446" s="2"/>
    </row>
    <row r="447" ht="15.75" customHeight="1">
      <c r="B447" s="576"/>
      <c r="C447" s="2"/>
      <c r="D447" s="2"/>
      <c r="E447" s="464"/>
      <c r="F447" s="2"/>
      <c r="G447" s="2"/>
      <c r="H447" s="2"/>
      <c r="I447" s="2"/>
      <c r="J447" s="2"/>
      <c r="K447" s="2"/>
      <c r="L447" s="2"/>
      <c r="M447" s="2"/>
      <c r="N447" s="2"/>
      <c r="O447" s="2"/>
      <c r="P447" s="2"/>
      <c r="Q447" s="2"/>
    </row>
    <row r="448" ht="15.75" customHeight="1">
      <c r="B448" s="576"/>
      <c r="C448" s="2"/>
      <c r="D448" s="2"/>
      <c r="E448" s="464"/>
      <c r="F448" s="2"/>
      <c r="G448" s="2"/>
      <c r="H448" s="2"/>
      <c r="I448" s="2"/>
      <c r="J448" s="2"/>
      <c r="K448" s="2"/>
      <c r="L448" s="2"/>
      <c r="M448" s="2"/>
      <c r="N448" s="2"/>
      <c r="O448" s="2"/>
      <c r="P448" s="2"/>
      <c r="Q448" s="2"/>
    </row>
    <row r="449" ht="15.75" customHeight="1">
      <c r="B449" s="576"/>
      <c r="C449" s="2"/>
      <c r="D449" s="2"/>
      <c r="E449" s="464"/>
      <c r="F449" s="2"/>
      <c r="G449" s="2"/>
      <c r="H449" s="2"/>
      <c r="I449" s="2"/>
      <c r="J449" s="2"/>
      <c r="K449" s="2"/>
      <c r="L449" s="2"/>
      <c r="M449" s="2"/>
      <c r="N449" s="2"/>
      <c r="O449" s="2"/>
      <c r="P449" s="2"/>
      <c r="Q449" s="2"/>
    </row>
    <row r="450" ht="15.75" customHeight="1">
      <c r="B450" s="576"/>
      <c r="C450" s="2"/>
      <c r="D450" s="2"/>
      <c r="E450" s="464"/>
      <c r="F450" s="2"/>
      <c r="G450" s="2"/>
      <c r="H450" s="2"/>
      <c r="I450" s="2"/>
      <c r="J450" s="2"/>
      <c r="K450" s="2"/>
      <c r="L450" s="2"/>
      <c r="M450" s="2"/>
      <c r="N450" s="2"/>
      <c r="O450" s="2"/>
      <c r="P450" s="2"/>
      <c r="Q450" s="2"/>
    </row>
    <row r="451" ht="15.75" customHeight="1">
      <c r="B451" s="576"/>
      <c r="C451" s="2"/>
      <c r="D451" s="2"/>
      <c r="E451" s="464"/>
      <c r="F451" s="2"/>
      <c r="G451" s="2"/>
      <c r="H451" s="2"/>
      <c r="I451" s="2"/>
      <c r="J451" s="2"/>
      <c r="K451" s="2"/>
      <c r="L451" s="2"/>
      <c r="M451" s="2"/>
      <c r="N451" s="2"/>
      <c r="O451" s="2"/>
      <c r="P451" s="2"/>
      <c r="Q451" s="2"/>
    </row>
    <row r="452" ht="15.75" customHeight="1">
      <c r="B452" s="576"/>
      <c r="C452" s="2"/>
      <c r="D452" s="2"/>
      <c r="E452" s="464"/>
      <c r="F452" s="2"/>
      <c r="G452" s="2"/>
      <c r="H452" s="2"/>
      <c r="I452" s="2"/>
      <c r="J452" s="2"/>
      <c r="K452" s="2"/>
      <c r="L452" s="2"/>
      <c r="M452" s="2"/>
      <c r="N452" s="2"/>
      <c r="O452" s="2"/>
      <c r="P452" s="2"/>
      <c r="Q452" s="2"/>
    </row>
    <row r="453" ht="15.75" customHeight="1">
      <c r="B453" s="576"/>
      <c r="C453" s="2"/>
      <c r="D453" s="2"/>
      <c r="E453" s="464"/>
      <c r="F453" s="2"/>
      <c r="G453" s="2"/>
      <c r="H453" s="2"/>
      <c r="I453" s="2"/>
      <c r="J453" s="2"/>
      <c r="K453" s="2"/>
      <c r="L453" s="2"/>
      <c r="M453" s="2"/>
      <c r="N453" s="2"/>
      <c r="O453" s="2"/>
      <c r="P453" s="2"/>
      <c r="Q453" s="2"/>
    </row>
    <row r="454" ht="15.75" customHeight="1">
      <c r="B454" s="576"/>
      <c r="C454" s="2"/>
      <c r="D454" s="2"/>
      <c r="E454" s="464"/>
      <c r="F454" s="2"/>
      <c r="G454" s="2"/>
      <c r="H454" s="2"/>
      <c r="I454" s="2"/>
      <c r="J454" s="2"/>
      <c r="K454" s="2"/>
      <c r="L454" s="2"/>
      <c r="M454" s="2"/>
      <c r="N454" s="2"/>
      <c r="O454" s="2"/>
      <c r="P454" s="2"/>
      <c r="Q454" s="2"/>
    </row>
    <row r="455" ht="15.75" customHeight="1">
      <c r="B455" s="576"/>
      <c r="C455" s="2"/>
      <c r="D455" s="2"/>
      <c r="E455" s="464"/>
      <c r="F455" s="2"/>
      <c r="G455" s="2"/>
      <c r="H455" s="2"/>
      <c r="I455" s="2"/>
      <c r="J455" s="2"/>
      <c r="K455" s="2"/>
      <c r="L455" s="2"/>
      <c r="M455" s="2"/>
      <c r="N455" s="2"/>
      <c r="O455" s="2"/>
      <c r="P455" s="2"/>
      <c r="Q455" s="2"/>
    </row>
    <row r="456" ht="15.75" customHeight="1">
      <c r="B456" s="576"/>
      <c r="C456" s="2"/>
      <c r="D456" s="2"/>
      <c r="E456" s="464"/>
      <c r="F456" s="2"/>
      <c r="G456" s="2"/>
      <c r="H456" s="2"/>
      <c r="I456" s="2"/>
      <c r="J456" s="2"/>
      <c r="K456" s="2"/>
      <c r="L456" s="2"/>
      <c r="M456" s="2"/>
      <c r="N456" s="2"/>
      <c r="O456" s="2"/>
      <c r="P456" s="2"/>
      <c r="Q456" s="2"/>
    </row>
    <row r="457" ht="15.75" customHeight="1">
      <c r="B457" s="576"/>
      <c r="C457" s="2"/>
      <c r="D457" s="2"/>
      <c r="E457" s="464"/>
      <c r="F457" s="2"/>
      <c r="G457" s="2"/>
      <c r="H457" s="2"/>
      <c r="I457" s="2"/>
      <c r="J457" s="2"/>
      <c r="K457" s="2"/>
      <c r="L457" s="2"/>
      <c r="M457" s="2"/>
      <c r="N457" s="2"/>
      <c r="O457" s="2"/>
      <c r="P457" s="2"/>
      <c r="Q457" s="2"/>
    </row>
    <row r="458" ht="15.75" customHeight="1">
      <c r="B458" s="576"/>
      <c r="C458" s="2"/>
      <c r="D458" s="2"/>
      <c r="E458" s="464"/>
      <c r="F458" s="2"/>
      <c r="G458" s="2"/>
      <c r="H458" s="2"/>
      <c r="I458" s="2"/>
      <c r="J458" s="2"/>
      <c r="K458" s="2"/>
      <c r="L458" s="2"/>
      <c r="M458" s="2"/>
      <c r="N458" s="2"/>
      <c r="O458" s="2"/>
      <c r="P458" s="2"/>
      <c r="Q458" s="2"/>
    </row>
    <row r="459" ht="15.75" customHeight="1">
      <c r="B459" s="576"/>
      <c r="C459" s="2"/>
      <c r="D459" s="2"/>
      <c r="E459" s="464"/>
      <c r="F459" s="2"/>
      <c r="G459" s="2"/>
      <c r="H459" s="2"/>
      <c r="I459" s="2"/>
      <c r="J459" s="2"/>
      <c r="K459" s="2"/>
      <c r="L459" s="2"/>
      <c r="M459" s="2"/>
      <c r="N459" s="2"/>
      <c r="O459" s="2"/>
      <c r="P459" s="2"/>
      <c r="Q459" s="2"/>
    </row>
    <row r="460" ht="15.75" customHeight="1">
      <c r="B460" s="576"/>
      <c r="C460" s="2"/>
      <c r="D460" s="2"/>
      <c r="E460" s="464"/>
      <c r="F460" s="2"/>
      <c r="G460" s="2"/>
      <c r="H460" s="2"/>
      <c r="I460" s="2"/>
      <c r="J460" s="2"/>
      <c r="K460" s="2"/>
      <c r="L460" s="2"/>
      <c r="M460" s="2"/>
      <c r="N460" s="2"/>
      <c r="O460" s="2"/>
      <c r="P460" s="2"/>
      <c r="Q460" s="2"/>
    </row>
    <row r="461" ht="15.75" customHeight="1">
      <c r="B461" s="576"/>
      <c r="C461" s="2"/>
      <c r="D461" s="2"/>
      <c r="E461" s="464"/>
      <c r="F461" s="2"/>
      <c r="G461" s="2"/>
      <c r="H461" s="2"/>
      <c r="I461" s="2"/>
      <c r="J461" s="2"/>
      <c r="K461" s="2"/>
      <c r="L461" s="2"/>
      <c r="M461" s="2"/>
      <c r="N461" s="2"/>
      <c r="O461" s="2"/>
      <c r="P461" s="2"/>
      <c r="Q461" s="2"/>
    </row>
    <row r="462" ht="15.75" customHeight="1">
      <c r="B462" s="576"/>
      <c r="C462" s="2"/>
      <c r="D462" s="2"/>
      <c r="E462" s="464"/>
      <c r="F462" s="2"/>
      <c r="G462" s="2"/>
      <c r="H462" s="2"/>
      <c r="I462" s="2"/>
      <c r="J462" s="2"/>
      <c r="K462" s="2"/>
      <c r="L462" s="2"/>
      <c r="M462" s="2"/>
      <c r="N462" s="2"/>
      <c r="O462" s="2"/>
      <c r="P462" s="2"/>
      <c r="Q462" s="2"/>
    </row>
    <row r="463" ht="15.75" customHeight="1">
      <c r="B463" s="576"/>
      <c r="C463" s="2"/>
      <c r="D463" s="2"/>
      <c r="E463" s="464"/>
      <c r="F463" s="2"/>
      <c r="G463" s="2"/>
      <c r="H463" s="2"/>
      <c r="I463" s="2"/>
      <c r="J463" s="2"/>
      <c r="K463" s="2"/>
      <c r="L463" s="2"/>
      <c r="M463" s="2"/>
      <c r="N463" s="2"/>
      <c r="O463" s="2"/>
      <c r="P463" s="2"/>
      <c r="Q463" s="2"/>
    </row>
    <row r="464" ht="15.75" customHeight="1">
      <c r="B464" s="576"/>
      <c r="C464" s="2"/>
      <c r="D464" s="2"/>
      <c r="E464" s="464"/>
      <c r="F464" s="2"/>
      <c r="G464" s="2"/>
      <c r="H464" s="2"/>
      <c r="I464" s="2"/>
      <c r="J464" s="2"/>
      <c r="K464" s="2"/>
      <c r="L464" s="2"/>
      <c r="M464" s="2"/>
      <c r="N464" s="2"/>
      <c r="O464" s="2"/>
      <c r="P464" s="2"/>
      <c r="Q464" s="2"/>
    </row>
    <row r="465" ht="15.75" customHeight="1">
      <c r="B465" s="576"/>
      <c r="C465" s="2"/>
      <c r="D465" s="2"/>
      <c r="E465" s="464"/>
      <c r="F465" s="2"/>
      <c r="G465" s="2"/>
      <c r="H465" s="2"/>
      <c r="I465" s="2"/>
      <c r="J465" s="2"/>
      <c r="K465" s="2"/>
      <c r="L465" s="2"/>
      <c r="M465" s="2"/>
      <c r="N465" s="2"/>
      <c r="O465" s="2"/>
      <c r="P465" s="2"/>
      <c r="Q465" s="2"/>
    </row>
    <row r="466" ht="15.75" customHeight="1">
      <c r="B466" s="576"/>
      <c r="C466" s="2"/>
      <c r="D466" s="2"/>
      <c r="E466" s="464"/>
      <c r="F466" s="2"/>
      <c r="G466" s="2"/>
      <c r="H466" s="2"/>
      <c r="I466" s="2"/>
      <c r="J466" s="2"/>
      <c r="K466" s="2"/>
      <c r="L466" s="2"/>
      <c r="M466" s="2"/>
      <c r="N466" s="2"/>
      <c r="O466" s="2"/>
      <c r="P466" s="2"/>
      <c r="Q466" s="2"/>
    </row>
    <row r="467" ht="15.75" customHeight="1">
      <c r="B467" s="576"/>
      <c r="C467" s="2"/>
      <c r="D467" s="2"/>
      <c r="E467" s="464"/>
      <c r="F467" s="2"/>
      <c r="G467" s="2"/>
      <c r="H467" s="2"/>
      <c r="I467" s="2"/>
      <c r="J467" s="2"/>
      <c r="K467" s="2"/>
      <c r="L467" s="2"/>
      <c r="M467" s="2"/>
      <c r="N467" s="2"/>
      <c r="O467" s="2"/>
      <c r="P467" s="2"/>
      <c r="Q467" s="2"/>
    </row>
    <row r="468" ht="15.75" customHeight="1">
      <c r="B468" s="576"/>
      <c r="C468" s="2"/>
      <c r="D468" s="2"/>
      <c r="E468" s="464"/>
      <c r="F468" s="2"/>
      <c r="G468" s="2"/>
      <c r="H468" s="2"/>
      <c r="I468" s="2"/>
      <c r="J468" s="2"/>
      <c r="K468" s="2"/>
      <c r="L468" s="2"/>
      <c r="M468" s="2"/>
      <c r="N468" s="2"/>
      <c r="O468" s="2"/>
      <c r="P468" s="2"/>
      <c r="Q468" s="2"/>
    </row>
    <row r="469" ht="15.75" customHeight="1">
      <c r="B469" s="576"/>
      <c r="C469" s="2"/>
      <c r="D469" s="2"/>
      <c r="E469" s="464"/>
      <c r="F469" s="2"/>
      <c r="G469" s="2"/>
      <c r="H469" s="2"/>
      <c r="I469" s="2"/>
      <c r="J469" s="2"/>
      <c r="K469" s="2"/>
      <c r="L469" s="2"/>
      <c r="M469" s="2"/>
      <c r="N469" s="2"/>
      <c r="O469" s="2"/>
      <c r="P469" s="2"/>
      <c r="Q469" s="2"/>
    </row>
    <row r="470" ht="15.75" customHeight="1">
      <c r="B470" s="576"/>
      <c r="C470" s="2"/>
      <c r="D470" s="2"/>
      <c r="E470" s="464"/>
      <c r="F470" s="2"/>
      <c r="G470" s="2"/>
      <c r="H470" s="2"/>
      <c r="I470" s="2"/>
      <c r="J470" s="2"/>
      <c r="K470" s="2"/>
      <c r="L470" s="2"/>
      <c r="M470" s="2"/>
      <c r="N470" s="2"/>
      <c r="O470" s="2"/>
      <c r="P470" s="2"/>
      <c r="Q470" s="2"/>
    </row>
    <row r="471" ht="15.75" customHeight="1">
      <c r="B471" s="576"/>
      <c r="C471" s="2"/>
      <c r="D471" s="2"/>
      <c r="E471" s="464"/>
      <c r="F471" s="2"/>
      <c r="G471" s="2"/>
      <c r="H471" s="2"/>
      <c r="I471" s="2"/>
      <c r="J471" s="2"/>
      <c r="K471" s="2"/>
      <c r="L471" s="2"/>
      <c r="M471" s="2"/>
      <c r="N471" s="2"/>
      <c r="O471" s="2"/>
      <c r="P471" s="2"/>
      <c r="Q471" s="2"/>
    </row>
    <row r="472" ht="15.75" customHeight="1">
      <c r="B472" s="576"/>
      <c r="C472" s="2"/>
      <c r="D472" s="2"/>
      <c r="E472" s="464"/>
      <c r="F472" s="2"/>
      <c r="G472" s="2"/>
      <c r="H472" s="2"/>
      <c r="I472" s="2"/>
      <c r="J472" s="2"/>
      <c r="K472" s="2"/>
      <c r="L472" s="2"/>
      <c r="M472" s="2"/>
      <c r="N472" s="2"/>
      <c r="O472" s="2"/>
      <c r="P472" s="2"/>
      <c r="Q472" s="2"/>
    </row>
    <row r="473" ht="15.75" customHeight="1">
      <c r="B473" s="576"/>
      <c r="C473" s="2"/>
      <c r="D473" s="2"/>
      <c r="E473" s="464"/>
      <c r="F473" s="2"/>
      <c r="G473" s="2"/>
      <c r="H473" s="2"/>
      <c r="I473" s="2"/>
      <c r="J473" s="2"/>
      <c r="K473" s="2"/>
      <c r="L473" s="2"/>
      <c r="M473" s="2"/>
      <c r="N473" s="2"/>
      <c r="O473" s="2"/>
      <c r="P473" s="2"/>
      <c r="Q473" s="2"/>
    </row>
    <row r="474" ht="15.75" customHeight="1">
      <c r="B474" s="576"/>
      <c r="C474" s="2"/>
      <c r="D474" s="2"/>
      <c r="E474" s="464"/>
      <c r="F474" s="2"/>
      <c r="G474" s="2"/>
      <c r="H474" s="2"/>
      <c r="I474" s="2"/>
      <c r="J474" s="2"/>
      <c r="K474" s="2"/>
      <c r="L474" s="2"/>
      <c r="M474" s="2"/>
      <c r="N474" s="2"/>
      <c r="O474" s="2"/>
      <c r="P474" s="2"/>
      <c r="Q474" s="2"/>
    </row>
    <row r="475" ht="15.75" customHeight="1">
      <c r="B475" s="576"/>
      <c r="C475" s="2"/>
      <c r="D475" s="2"/>
      <c r="E475" s="464"/>
      <c r="F475" s="2"/>
      <c r="G475" s="2"/>
      <c r="H475" s="2"/>
      <c r="I475" s="2"/>
      <c r="J475" s="2"/>
      <c r="K475" s="2"/>
      <c r="L475" s="2"/>
      <c r="M475" s="2"/>
      <c r="N475" s="2"/>
      <c r="O475" s="2"/>
      <c r="P475" s="2"/>
      <c r="Q475" s="2"/>
    </row>
    <row r="476" ht="15.75" customHeight="1">
      <c r="B476" s="576"/>
      <c r="C476" s="2"/>
      <c r="D476" s="2"/>
      <c r="E476" s="464"/>
      <c r="F476" s="2"/>
      <c r="G476" s="2"/>
      <c r="H476" s="2"/>
      <c r="I476" s="2"/>
      <c r="J476" s="2"/>
      <c r="K476" s="2"/>
      <c r="L476" s="2"/>
      <c r="M476" s="2"/>
      <c r="N476" s="2"/>
      <c r="O476" s="2"/>
      <c r="P476" s="2"/>
      <c r="Q476" s="2"/>
    </row>
    <row r="477" ht="15.75" customHeight="1">
      <c r="B477" s="576"/>
      <c r="C477" s="2"/>
      <c r="D477" s="2"/>
      <c r="E477" s="464"/>
      <c r="F477" s="2"/>
      <c r="G477" s="2"/>
      <c r="H477" s="2"/>
      <c r="I477" s="2"/>
      <c r="J477" s="2"/>
      <c r="K477" s="2"/>
      <c r="L477" s="2"/>
      <c r="M477" s="2"/>
      <c r="N477" s="2"/>
      <c r="O477" s="2"/>
      <c r="P477" s="2"/>
      <c r="Q477" s="2"/>
    </row>
    <row r="478" ht="15.75" customHeight="1">
      <c r="B478" s="576"/>
      <c r="C478" s="2"/>
      <c r="D478" s="2"/>
      <c r="E478" s="464"/>
      <c r="F478" s="2"/>
      <c r="G478" s="2"/>
      <c r="H478" s="2"/>
      <c r="I478" s="2"/>
      <c r="J478" s="2"/>
      <c r="K478" s="2"/>
      <c r="L478" s="2"/>
      <c r="M478" s="2"/>
      <c r="N478" s="2"/>
      <c r="O478" s="2"/>
      <c r="P478" s="2"/>
      <c r="Q478" s="2"/>
    </row>
    <row r="479" ht="15.75" customHeight="1">
      <c r="B479" s="576"/>
      <c r="C479" s="2"/>
      <c r="D479" s="2"/>
      <c r="E479" s="464"/>
      <c r="F479" s="2"/>
      <c r="G479" s="2"/>
      <c r="H479" s="2"/>
      <c r="I479" s="2"/>
      <c r="J479" s="2"/>
      <c r="K479" s="2"/>
      <c r="L479" s="2"/>
      <c r="M479" s="2"/>
      <c r="N479" s="2"/>
      <c r="O479" s="2"/>
      <c r="P479" s="2"/>
      <c r="Q479" s="2"/>
    </row>
    <row r="480" ht="15.75" customHeight="1">
      <c r="B480" s="576"/>
      <c r="C480" s="2"/>
      <c r="D480" s="2"/>
      <c r="E480" s="464"/>
      <c r="F480" s="2"/>
      <c r="G480" s="2"/>
      <c r="H480" s="2"/>
      <c r="I480" s="2"/>
      <c r="J480" s="2"/>
      <c r="K480" s="2"/>
      <c r="L480" s="2"/>
      <c r="M480" s="2"/>
      <c r="N480" s="2"/>
      <c r="O480" s="2"/>
      <c r="P480" s="2"/>
      <c r="Q480" s="2"/>
    </row>
    <row r="481" ht="15.75" customHeight="1">
      <c r="B481" s="576"/>
      <c r="C481" s="2"/>
      <c r="D481" s="2"/>
      <c r="E481" s="464"/>
      <c r="F481" s="2"/>
      <c r="G481" s="2"/>
      <c r="H481" s="2"/>
      <c r="I481" s="2"/>
      <c r="J481" s="2"/>
      <c r="K481" s="2"/>
      <c r="L481" s="2"/>
      <c r="M481" s="2"/>
      <c r="N481" s="2"/>
      <c r="O481" s="2"/>
      <c r="P481" s="2"/>
      <c r="Q481" s="2"/>
    </row>
    <row r="482" ht="15.75" customHeight="1">
      <c r="B482" s="576"/>
      <c r="C482" s="2"/>
      <c r="D482" s="2"/>
      <c r="E482" s="464"/>
      <c r="F482" s="2"/>
      <c r="G482" s="2"/>
      <c r="H482" s="2"/>
      <c r="I482" s="2"/>
      <c r="J482" s="2"/>
      <c r="K482" s="2"/>
      <c r="L482" s="2"/>
      <c r="M482" s="2"/>
      <c r="N482" s="2"/>
      <c r="O482" s="2"/>
      <c r="P482" s="2"/>
      <c r="Q482" s="2"/>
    </row>
    <row r="483" ht="15.75" customHeight="1">
      <c r="B483" s="576"/>
      <c r="C483" s="2"/>
      <c r="D483" s="2"/>
      <c r="E483" s="464"/>
      <c r="F483" s="2"/>
      <c r="G483" s="2"/>
      <c r="H483" s="2"/>
      <c r="I483" s="2"/>
      <c r="J483" s="2"/>
      <c r="K483" s="2"/>
      <c r="L483" s="2"/>
      <c r="M483" s="2"/>
      <c r="N483" s="2"/>
      <c r="O483" s="2"/>
      <c r="P483" s="2"/>
      <c r="Q483" s="2"/>
    </row>
    <row r="484" ht="15.75" customHeight="1">
      <c r="B484" s="576"/>
      <c r="C484" s="2"/>
      <c r="D484" s="2"/>
      <c r="E484" s="464"/>
      <c r="F484" s="2"/>
      <c r="G484" s="2"/>
      <c r="H484" s="2"/>
      <c r="I484" s="2"/>
      <c r="J484" s="2"/>
      <c r="K484" s="2"/>
      <c r="L484" s="2"/>
      <c r="M484" s="2"/>
      <c r="N484" s="2"/>
      <c r="O484" s="2"/>
      <c r="P484" s="2"/>
      <c r="Q484" s="2"/>
    </row>
    <row r="485" ht="15.75" customHeight="1">
      <c r="B485" s="576"/>
      <c r="C485" s="2"/>
      <c r="D485" s="2"/>
      <c r="E485" s="464"/>
      <c r="F485" s="2"/>
      <c r="G485" s="2"/>
      <c r="H485" s="2"/>
      <c r="I485" s="2"/>
      <c r="J485" s="2"/>
      <c r="K485" s="2"/>
      <c r="L485" s="2"/>
      <c r="M485" s="2"/>
      <c r="N485" s="2"/>
      <c r="O485" s="2"/>
      <c r="P485" s="2"/>
      <c r="Q485" s="2"/>
    </row>
    <row r="486" ht="15.75" customHeight="1">
      <c r="B486" s="576"/>
      <c r="C486" s="2"/>
      <c r="D486" s="2"/>
      <c r="E486" s="464"/>
      <c r="F486" s="2"/>
      <c r="G486" s="2"/>
      <c r="H486" s="2"/>
      <c r="I486" s="2"/>
      <c r="J486" s="2"/>
      <c r="K486" s="2"/>
      <c r="L486" s="2"/>
      <c r="M486" s="2"/>
      <c r="N486" s="2"/>
      <c r="O486" s="2"/>
      <c r="P486" s="2"/>
      <c r="Q486" s="2"/>
    </row>
    <row r="487" ht="15.75" customHeight="1">
      <c r="B487" s="576"/>
      <c r="C487" s="2"/>
      <c r="D487" s="2"/>
      <c r="E487" s="464"/>
      <c r="F487" s="2"/>
      <c r="G487" s="2"/>
      <c r="H487" s="2"/>
      <c r="I487" s="2"/>
      <c r="J487" s="2"/>
      <c r="K487" s="2"/>
      <c r="L487" s="2"/>
      <c r="M487" s="2"/>
      <c r="N487" s="2"/>
      <c r="O487" s="2"/>
      <c r="P487" s="2"/>
      <c r="Q487" s="2"/>
    </row>
    <row r="488" ht="15.75" customHeight="1">
      <c r="B488" s="576"/>
      <c r="C488" s="2"/>
      <c r="D488" s="2"/>
      <c r="E488" s="464"/>
      <c r="F488" s="2"/>
      <c r="G488" s="2"/>
      <c r="H488" s="2"/>
      <c r="I488" s="2"/>
      <c r="J488" s="2"/>
      <c r="K488" s="2"/>
      <c r="L488" s="2"/>
      <c r="M488" s="2"/>
      <c r="N488" s="2"/>
      <c r="O488" s="2"/>
      <c r="P488" s="2"/>
      <c r="Q488" s="2"/>
    </row>
    <row r="489" ht="15.75" customHeight="1">
      <c r="B489" s="576"/>
      <c r="C489" s="2"/>
      <c r="D489" s="2"/>
      <c r="E489" s="464"/>
      <c r="F489" s="2"/>
      <c r="G489" s="2"/>
      <c r="H489" s="2"/>
      <c r="I489" s="2"/>
      <c r="J489" s="2"/>
      <c r="K489" s="2"/>
      <c r="L489" s="2"/>
      <c r="M489" s="2"/>
      <c r="N489" s="2"/>
      <c r="O489" s="2"/>
      <c r="P489" s="2"/>
      <c r="Q489" s="2"/>
    </row>
    <row r="490" ht="15.75" customHeight="1">
      <c r="B490" s="576"/>
      <c r="C490" s="2"/>
      <c r="D490" s="2"/>
      <c r="E490" s="464"/>
      <c r="F490" s="2"/>
      <c r="G490" s="2"/>
      <c r="H490" s="2"/>
      <c r="I490" s="2"/>
      <c r="J490" s="2"/>
      <c r="K490" s="2"/>
      <c r="L490" s="2"/>
      <c r="M490" s="2"/>
      <c r="N490" s="2"/>
      <c r="O490" s="2"/>
      <c r="P490" s="2"/>
      <c r="Q490" s="2"/>
    </row>
    <row r="491" ht="15.75" customHeight="1">
      <c r="B491" s="576"/>
      <c r="C491" s="2"/>
      <c r="D491" s="2"/>
      <c r="E491" s="464"/>
      <c r="F491" s="2"/>
      <c r="G491" s="2"/>
      <c r="H491" s="2"/>
      <c r="I491" s="2"/>
      <c r="J491" s="2"/>
      <c r="K491" s="2"/>
      <c r="L491" s="2"/>
      <c r="M491" s="2"/>
      <c r="N491" s="2"/>
      <c r="O491" s="2"/>
      <c r="P491" s="2"/>
      <c r="Q491" s="2"/>
    </row>
    <row r="492" ht="15.75" customHeight="1">
      <c r="B492" s="576"/>
      <c r="C492" s="2"/>
      <c r="D492" s="2"/>
      <c r="E492" s="464"/>
      <c r="F492" s="2"/>
      <c r="G492" s="2"/>
      <c r="H492" s="2"/>
      <c r="I492" s="2"/>
      <c r="J492" s="2"/>
      <c r="K492" s="2"/>
      <c r="L492" s="2"/>
      <c r="M492" s="2"/>
      <c r="N492" s="2"/>
      <c r="O492" s="2"/>
      <c r="P492" s="2"/>
      <c r="Q492" s="2"/>
    </row>
    <row r="493" ht="15.75" customHeight="1">
      <c r="B493" s="576"/>
      <c r="C493" s="2"/>
      <c r="D493" s="2"/>
      <c r="E493" s="464"/>
      <c r="F493" s="2"/>
      <c r="G493" s="2"/>
      <c r="H493" s="2"/>
      <c r="I493" s="2"/>
      <c r="J493" s="2"/>
      <c r="K493" s="2"/>
      <c r="L493" s="2"/>
      <c r="M493" s="2"/>
      <c r="N493" s="2"/>
      <c r="O493" s="2"/>
      <c r="P493" s="2"/>
      <c r="Q493" s="2"/>
    </row>
    <row r="494" ht="15.75" customHeight="1">
      <c r="B494" s="576"/>
      <c r="C494" s="2"/>
      <c r="D494" s="2"/>
      <c r="E494" s="464"/>
      <c r="F494" s="2"/>
      <c r="G494" s="2"/>
      <c r="H494" s="2"/>
      <c r="I494" s="2"/>
      <c r="J494" s="2"/>
      <c r="K494" s="2"/>
      <c r="L494" s="2"/>
      <c r="M494" s="2"/>
      <c r="N494" s="2"/>
      <c r="O494" s="2"/>
      <c r="P494" s="2"/>
      <c r="Q494" s="2"/>
    </row>
    <row r="495" ht="15.75" customHeight="1">
      <c r="B495" s="576"/>
      <c r="C495" s="2"/>
      <c r="D495" s="2"/>
      <c r="E495" s="464"/>
      <c r="F495" s="2"/>
      <c r="G495" s="2"/>
      <c r="H495" s="2"/>
      <c r="I495" s="2"/>
      <c r="J495" s="2"/>
      <c r="K495" s="2"/>
      <c r="L495" s="2"/>
      <c r="M495" s="2"/>
      <c r="N495" s="2"/>
      <c r="O495" s="2"/>
      <c r="P495" s="2"/>
      <c r="Q495" s="2"/>
    </row>
    <row r="496" ht="15.75" customHeight="1">
      <c r="B496" s="576"/>
      <c r="C496" s="2"/>
      <c r="D496" s="2"/>
      <c r="E496" s="464"/>
      <c r="F496" s="2"/>
      <c r="G496" s="2"/>
      <c r="H496" s="2"/>
      <c r="I496" s="2"/>
      <c r="J496" s="2"/>
      <c r="K496" s="2"/>
      <c r="L496" s="2"/>
      <c r="M496" s="2"/>
      <c r="N496" s="2"/>
      <c r="O496" s="2"/>
      <c r="P496" s="2"/>
      <c r="Q496" s="2"/>
    </row>
    <row r="497" ht="15.75" customHeight="1">
      <c r="B497" s="576"/>
      <c r="C497" s="2"/>
      <c r="D497" s="2"/>
      <c r="E497" s="464"/>
      <c r="F497" s="2"/>
      <c r="G497" s="2"/>
      <c r="H497" s="2"/>
      <c r="I497" s="2"/>
      <c r="J497" s="2"/>
      <c r="K497" s="2"/>
      <c r="L497" s="2"/>
      <c r="M497" s="2"/>
      <c r="N497" s="2"/>
      <c r="O497" s="2"/>
      <c r="P497" s="2"/>
      <c r="Q497" s="2"/>
    </row>
    <row r="498" ht="15.75" customHeight="1">
      <c r="B498" s="576"/>
      <c r="C498" s="2"/>
      <c r="D498" s="2"/>
      <c r="E498" s="464"/>
      <c r="F498" s="2"/>
      <c r="G498" s="2"/>
      <c r="H498" s="2"/>
      <c r="I498" s="2"/>
      <c r="J498" s="2"/>
      <c r="K498" s="2"/>
      <c r="L498" s="2"/>
      <c r="M498" s="2"/>
      <c r="N498" s="2"/>
      <c r="O498" s="2"/>
      <c r="P498" s="2"/>
      <c r="Q498" s="2"/>
    </row>
    <row r="499" ht="15.75" customHeight="1">
      <c r="B499" s="576"/>
      <c r="C499" s="2"/>
      <c r="D499" s="2"/>
      <c r="E499" s="464"/>
      <c r="F499" s="2"/>
      <c r="G499" s="2"/>
      <c r="H499" s="2"/>
      <c r="I499" s="2"/>
      <c r="J499" s="2"/>
      <c r="K499" s="2"/>
      <c r="L499" s="2"/>
      <c r="M499" s="2"/>
      <c r="N499" s="2"/>
      <c r="O499" s="2"/>
      <c r="P499" s="2"/>
      <c r="Q499" s="2"/>
    </row>
    <row r="500" ht="15.75" customHeight="1">
      <c r="B500" s="576"/>
      <c r="C500" s="2"/>
      <c r="D500" s="2"/>
      <c r="E500" s="464"/>
      <c r="F500" s="2"/>
      <c r="G500" s="2"/>
      <c r="H500" s="2"/>
      <c r="I500" s="2"/>
      <c r="J500" s="2"/>
      <c r="K500" s="2"/>
      <c r="L500" s="2"/>
      <c r="M500" s="2"/>
      <c r="N500" s="2"/>
      <c r="O500" s="2"/>
      <c r="P500" s="2"/>
      <c r="Q500" s="2"/>
    </row>
    <row r="501" ht="15.75" customHeight="1">
      <c r="B501" s="576"/>
      <c r="C501" s="2"/>
      <c r="D501" s="2"/>
      <c r="E501" s="464"/>
      <c r="F501" s="2"/>
      <c r="G501" s="2"/>
      <c r="H501" s="2"/>
      <c r="I501" s="2"/>
      <c r="J501" s="2"/>
      <c r="K501" s="2"/>
      <c r="L501" s="2"/>
      <c r="M501" s="2"/>
      <c r="N501" s="2"/>
      <c r="O501" s="2"/>
      <c r="P501" s="2"/>
      <c r="Q501" s="2"/>
    </row>
    <row r="502" ht="15.75" customHeight="1">
      <c r="B502" s="576"/>
      <c r="C502" s="2"/>
      <c r="D502" s="2"/>
      <c r="E502" s="464"/>
      <c r="F502" s="2"/>
      <c r="G502" s="2"/>
      <c r="H502" s="2"/>
      <c r="I502" s="2"/>
      <c r="J502" s="2"/>
      <c r="K502" s="2"/>
      <c r="L502" s="2"/>
      <c r="M502" s="2"/>
      <c r="N502" s="2"/>
      <c r="O502" s="2"/>
      <c r="P502" s="2"/>
      <c r="Q502" s="2"/>
    </row>
    <row r="503" ht="15.75" customHeight="1">
      <c r="B503" s="576"/>
      <c r="C503" s="2"/>
      <c r="D503" s="2"/>
      <c r="E503" s="464"/>
      <c r="F503" s="2"/>
      <c r="G503" s="2"/>
      <c r="H503" s="2"/>
      <c r="I503" s="2"/>
      <c r="J503" s="2"/>
      <c r="K503" s="2"/>
      <c r="L503" s="2"/>
      <c r="M503" s="2"/>
      <c r="N503" s="2"/>
      <c r="O503" s="2"/>
      <c r="P503" s="2"/>
      <c r="Q503" s="2"/>
    </row>
    <row r="504" ht="15.75" customHeight="1">
      <c r="B504" s="576"/>
      <c r="C504" s="2"/>
      <c r="D504" s="2"/>
      <c r="E504" s="464"/>
      <c r="F504" s="2"/>
      <c r="G504" s="2"/>
      <c r="H504" s="2"/>
      <c r="I504" s="2"/>
      <c r="J504" s="2"/>
      <c r="K504" s="2"/>
      <c r="L504" s="2"/>
      <c r="M504" s="2"/>
      <c r="N504" s="2"/>
      <c r="O504" s="2"/>
      <c r="P504" s="2"/>
      <c r="Q504" s="2"/>
    </row>
    <row r="505" ht="15.75" customHeight="1">
      <c r="B505" s="576"/>
      <c r="C505" s="2"/>
      <c r="D505" s="2"/>
      <c r="E505" s="464"/>
      <c r="F505" s="2"/>
      <c r="G505" s="2"/>
      <c r="H505" s="2"/>
      <c r="I505" s="2"/>
      <c r="J505" s="2"/>
      <c r="K505" s="2"/>
      <c r="L505" s="2"/>
      <c r="M505" s="2"/>
      <c r="N505" s="2"/>
      <c r="O505" s="2"/>
      <c r="P505" s="2"/>
      <c r="Q505" s="2"/>
    </row>
    <row r="506" ht="15.75" customHeight="1">
      <c r="B506" s="576"/>
      <c r="C506" s="2"/>
      <c r="D506" s="2"/>
      <c r="E506" s="464"/>
      <c r="F506" s="2"/>
      <c r="G506" s="2"/>
      <c r="H506" s="2"/>
      <c r="I506" s="2"/>
      <c r="J506" s="2"/>
      <c r="K506" s="2"/>
      <c r="L506" s="2"/>
      <c r="M506" s="2"/>
      <c r="N506" s="2"/>
      <c r="O506" s="2"/>
      <c r="P506" s="2"/>
      <c r="Q506" s="2"/>
    </row>
    <row r="507" ht="15.75" customHeight="1">
      <c r="B507" s="576"/>
      <c r="C507" s="2"/>
      <c r="D507" s="2"/>
      <c r="E507" s="464"/>
      <c r="F507" s="2"/>
      <c r="G507" s="2"/>
      <c r="H507" s="2"/>
      <c r="I507" s="2"/>
      <c r="J507" s="2"/>
      <c r="K507" s="2"/>
      <c r="L507" s="2"/>
      <c r="M507" s="2"/>
      <c r="N507" s="2"/>
      <c r="O507" s="2"/>
      <c r="P507" s="2"/>
      <c r="Q507" s="2"/>
    </row>
    <row r="508" ht="15.75" customHeight="1">
      <c r="B508" s="576"/>
      <c r="C508" s="2"/>
      <c r="D508" s="2"/>
      <c r="E508" s="464"/>
      <c r="F508" s="2"/>
      <c r="G508" s="2"/>
      <c r="H508" s="2"/>
      <c r="I508" s="2"/>
      <c r="J508" s="2"/>
      <c r="K508" s="2"/>
      <c r="L508" s="2"/>
      <c r="M508" s="2"/>
      <c r="N508" s="2"/>
      <c r="O508" s="2"/>
      <c r="P508" s="2"/>
      <c r="Q508" s="2"/>
    </row>
    <row r="509" ht="15.75" customHeight="1">
      <c r="B509" s="576"/>
      <c r="C509" s="2"/>
      <c r="D509" s="2"/>
      <c r="E509" s="464"/>
      <c r="F509" s="2"/>
      <c r="G509" s="2"/>
      <c r="H509" s="2"/>
      <c r="I509" s="2"/>
      <c r="J509" s="2"/>
      <c r="K509" s="2"/>
      <c r="L509" s="2"/>
      <c r="M509" s="2"/>
      <c r="N509" s="2"/>
      <c r="O509" s="2"/>
      <c r="P509" s="2"/>
      <c r="Q509" s="2"/>
    </row>
    <row r="510" ht="15.75" customHeight="1">
      <c r="B510" s="576"/>
      <c r="C510" s="2"/>
      <c r="D510" s="2"/>
      <c r="E510" s="464"/>
      <c r="F510" s="2"/>
      <c r="G510" s="2"/>
      <c r="H510" s="2"/>
      <c r="I510" s="2"/>
      <c r="J510" s="2"/>
      <c r="K510" s="2"/>
      <c r="L510" s="2"/>
      <c r="M510" s="2"/>
      <c r="N510" s="2"/>
      <c r="O510" s="2"/>
      <c r="P510" s="2"/>
      <c r="Q510" s="2"/>
    </row>
    <row r="511" ht="15.75" customHeight="1">
      <c r="B511" s="576"/>
      <c r="C511" s="2"/>
      <c r="D511" s="2"/>
      <c r="E511" s="464"/>
      <c r="F511" s="2"/>
      <c r="G511" s="2"/>
      <c r="H511" s="2"/>
      <c r="I511" s="2"/>
      <c r="J511" s="2"/>
      <c r="K511" s="2"/>
      <c r="L511" s="2"/>
      <c r="M511" s="2"/>
      <c r="N511" s="2"/>
      <c r="O511" s="2"/>
      <c r="P511" s="2"/>
      <c r="Q511" s="2"/>
    </row>
    <row r="512" ht="15.75" customHeight="1">
      <c r="B512" s="576"/>
      <c r="C512" s="2"/>
      <c r="D512" s="2"/>
      <c r="E512" s="464"/>
      <c r="F512" s="2"/>
      <c r="G512" s="2"/>
      <c r="H512" s="2"/>
      <c r="I512" s="2"/>
      <c r="J512" s="2"/>
      <c r="K512" s="2"/>
      <c r="L512" s="2"/>
      <c r="M512" s="2"/>
      <c r="N512" s="2"/>
      <c r="O512" s="2"/>
      <c r="P512" s="2"/>
      <c r="Q512" s="2"/>
    </row>
    <row r="513" ht="15.75" customHeight="1">
      <c r="B513" s="576"/>
      <c r="C513" s="2"/>
      <c r="D513" s="2"/>
      <c r="E513" s="464"/>
      <c r="F513" s="2"/>
      <c r="G513" s="2"/>
      <c r="H513" s="2"/>
      <c r="I513" s="2"/>
      <c r="J513" s="2"/>
      <c r="K513" s="2"/>
      <c r="L513" s="2"/>
      <c r="M513" s="2"/>
      <c r="N513" s="2"/>
      <c r="O513" s="2"/>
      <c r="P513" s="2"/>
      <c r="Q513" s="2"/>
    </row>
    <row r="514" ht="15.75" customHeight="1">
      <c r="B514" s="576"/>
      <c r="C514" s="2"/>
      <c r="D514" s="2"/>
      <c r="E514" s="464"/>
      <c r="F514" s="2"/>
      <c r="G514" s="2"/>
      <c r="H514" s="2"/>
      <c r="I514" s="2"/>
      <c r="J514" s="2"/>
      <c r="K514" s="2"/>
      <c r="L514" s="2"/>
      <c r="M514" s="2"/>
      <c r="N514" s="2"/>
      <c r="O514" s="2"/>
      <c r="P514" s="2"/>
      <c r="Q514" s="2"/>
    </row>
    <row r="515" ht="15.75" customHeight="1">
      <c r="B515" s="576"/>
      <c r="C515" s="2"/>
      <c r="D515" s="2"/>
      <c r="E515" s="464"/>
      <c r="F515" s="2"/>
      <c r="G515" s="2"/>
      <c r="H515" s="2"/>
      <c r="I515" s="2"/>
      <c r="J515" s="2"/>
      <c r="K515" s="2"/>
      <c r="L515" s="2"/>
      <c r="M515" s="2"/>
      <c r="N515" s="2"/>
      <c r="O515" s="2"/>
      <c r="P515" s="2"/>
      <c r="Q515" s="2"/>
    </row>
    <row r="516" ht="15.75" customHeight="1">
      <c r="B516" s="576"/>
      <c r="C516" s="2"/>
      <c r="D516" s="2"/>
      <c r="E516" s="464"/>
      <c r="F516" s="2"/>
      <c r="G516" s="2"/>
      <c r="H516" s="2"/>
      <c r="I516" s="2"/>
      <c r="J516" s="2"/>
      <c r="K516" s="2"/>
      <c r="L516" s="2"/>
      <c r="M516" s="2"/>
      <c r="N516" s="2"/>
      <c r="O516" s="2"/>
      <c r="P516" s="2"/>
      <c r="Q516" s="2"/>
    </row>
    <row r="517" ht="15.75" customHeight="1">
      <c r="B517" s="576"/>
      <c r="C517" s="2"/>
      <c r="D517" s="2"/>
      <c r="E517" s="464"/>
      <c r="F517" s="2"/>
      <c r="G517" s="2"/>
      <c r="H517" s="2"/>
      <c r="I517" s="2"/>
      <c r="J517" s="2"/>
      <c r="K517" s="2"/>
      <c r="L517" s="2"/>
      <c r="M517" s="2"/>
      <c r="N517" s="2"/>
      <c r="O517" s="2"/>
      <c r="P517" s="2"/>
      <c r="Q517" s="2"/>
    </row>
    <row r="518" ht="15.75" customHeight="1">
      <c r="B518" s="576"/>
      <c r="C518" s="2"/>
      <c r="D518" s="2"/>
      <c r="E518" s="464"/>
      <c r="F518" s="2"/>
      <c r="G518" s="2"/>
      <c r="H518" s="2"/>
      <c r="I518" s="2"/>
      <c r="J518" s="2"/>
      <c r="K518" s="2"/>
      <c r="L518" s="2"/>
      <c r="M518" s="2"/>
      <c r="N518" s="2"/>
      <c r="O518" s="2"/>
      <c r="P518" s="2"/>
      <c r="Q518" s="2"/>
    </row>
    <row r="519" ht="15.75" customHeight="1">
      <c r="B519" s="576"/>
      <c r="C519" s="2"/>
      <c r="D519" s="2"/>
      <c r="E519" s="464"/>
      <c r="F519" s="2"/>
      <c r="G519" s="2"/>
      <c r="H519" s="2"/>
      <c r="I519" s="2"/>
      <c r="J519" s="2"/>
      <c r="K519" s="2"/>
      <c r="L519" s="2"/>
      <c r="M519" s="2"/>
      <c r="N519" s="2"/>
      <c r="O519" s="2"/>
      <c r="P519" s="2"/>
      <c r="Q519" s="2"/>
    </row>
    <row r="520" ht="15.75" customHeight="1">
      <c r="B520" s="576"/>
      <c r="C520" s="2"/>
      <c r="D520" s="2"/>
      <c r="E520" s="464"/>
      <c r="F520" s="2"/>
      <c r="G520" s="2"/>
      <c r="H520" s="2"/>
      <c r="I520" s="2"/>
      <c r="J520" s="2"/>
      <c r="K520" s="2"/>
      <c r="L520" s="2"/>
      <c r="M520" s="2"/>
      <c r="N520" s="2"/>
      <c r="O520" s="2"/>
      <c r="P520" s="2"/>
      <c r="Q520" s="2"/>
    </row>
    <row r="521" ht="15.75" customHeight="1">
      <c r="B521" s="576"/>
      <c r="C521" s="2"/>
      <c r="D521" s="2"/>
      <c r="E521" s="464"/>
      <c r="F521" s="2"/>
      <c r="G521" s="2"/>
      <c r="H521" s="2"/>
      <c r="I521" s="2"/>
      <c r="J521" s="2"/>
      <c r="K521" s="2"/>
      <c r="L521" s="2"/>
      <c r="M521" s="2"/>
      <c r="N521" s="2"/>
      <c r="O521" s="2"/>
      <c r="P521" s="2"/>
      <c r="Q521" s="2"/>
    </row>
    <row r="522" ht="15.75" customHeight="1">
      <c r="B522" s="576"/>
      <c r="C522" s="2"/>
      <c r="D522" s="2"/>
      <c r="E522" s="464"/>
      <c r="F522" s="2"/>
      <c r="G522" s="2"/>
      <c r="H522" s="2"/>
      <c r="I522" s="2"/>
      <c r="J522" s="2"/>
      <c r="K522" s="2"/>
      <c r="L522" s="2"/>
      <c r="M522" s="2"/>
      <c r="N522" s="2"/>
      <c r="O522" s="2"/>
      <c r="P522" s="2"/>
      <c r="Q522" s="2"/>
    </row>
    <row r="523" ht="15.75" customHeight="1">
      <c r="B523" s="576"/>
      <c r="C523" s="2"/>
      <c r="D523" s="2"/>
      <c r="E523" s="464"/>
      <c r="F523" s="2"/>
      <c r="G523" s="2"/>
      <c r="H523" s="2"/>
      <c r="I523" s="2"/>
      <c r="J523" s="2"/>
      <c r="K523" s="2"/>
      <c r="L523" s="2"/>
      <c r="M523" s="2"/>
      <c r="N523" s="2"/>
      <c r="O523" s="2"/>
      <c r="P523" s="2"/>
      <c r="Q523" s="2"/>
    </row>
    <row r="524" ht="15.75" customHeight="1">
      <c r="B524" s="576"/>
      <c r="C524" s="2"/>
      <c r="D524" s="2"/>
      <c r="E524" s="464"/>
      <c r="F524" s="2"/>
      <c r="G524" s="2"/>
      <c r="H524" s="2"/>
      <c r="I524" s="2"/>
      <c r="J524" s="2"/>
      <c r="K524" s="2"/>
      <c r="L524" s="2"/>
      <c r="M524" s="2"/>
      <c r="N524" s="2"/>
      <c r="O524" s="2"/>
      <c r="P524" s="2"/>
      <c r="Q524" s="2"/>
    </row>
    <row r="525" ht="15.75" customHeight="1">
      <c r="B525" s="576"/>
      <c r="C525" s="2"/>
      <c r="D525" s="2"/>
      <c r="E525" s="464"/>
      <c r="F525" s="2"/>
      <c r="G525" s="2"/>
      <c r="H525" s="2"/>
      <c r="I525" s="2"/>
      <c r="J525" s="2"/>
      <c r="K525" s="2"/>
      <c r="L525" s="2"/>
      <c r="M525" s="2"/>
      <c r="N525" s="2"/>
      <c r="O525" s="2"/>
      <c r="P525" s="2"/>
      <c r="Q525" s="2"/>
    </row>
    <row r="526" ht="15.75" customHeight="1">
      <c r="B526" s="576"/>
      <c r="C526" s="2"/>
      <c r="D526" s="2"/>
      <c r="E526" s="464"/>
      <c r="F526" s="2"/>
      <c r="G526" s="2"/>
      <c r="H526" s="2"/>
      <c r="I526" s="2"/>
      <c r="J526" s="2"/>
      <c r="K526" s="2"/>
      <c r="L526" s="2"/>
      <c r="M526" s="2"/>
      <c r="N526" s="2"/>
      <c r="O526" s="2"/>
      <c r="P526" s="2"/>
      <c r="Q526" s="2"/>
    </row>
    <row r="527" ht="15.75" customHeight="1">
      <c r="B527" s="576"/>
      <c r="C527" s="2"/>
      <c r="D527" s="2"/>
      <c r="E527" s="464"/>
      <c r="F527" s="2"/>
      <c r="G527" s="2"/>
      <c r="H527" s="2"/>
      <c r="I527" s="2"/>
      <c r="J527" s="2"/>
      <c r="K527" s="2"/>
      <c r="L527" s="2"/>
      <c r="M527" s="2"/>
      <c r="N527" s="2"/>
      <c r="O527" s="2"/>
      <c r="P527" s="2"/>
      <c r="Q527" s="2"/>
    </row>
    <row r="528" ht="15.75" customHeight="1">
      <c r="B528" s="576"/>
      <c r="C528" s="2"/>
      <c r="D528" s="2"/>
      <c r="E528" s="464"/>
      <c r="F528" s="2"/>
      <c r="G528" s="2"/>
      <c r="H528" s="2"/>
      <c r="I528" s="2"/>
      <c r="J528" s="2"/>
      <c r="K528" s="2"/>
      <c r="L528" s="2"/>
      <c r="M528" s="2"/>
      <c r="N528" s="2"/>
      <c r="O528" s="2"/>
      <c r="P528" s="2"/>
      <c r="Q528" s="2"/>
    </row>
    <row r="529" ht="15.75" customHeight="1">
      <c r="B529" s="576"/>
      <c r="C529" s="2"/>
      <c r="D529" s="2"/>
      <c r="E529" s="464"/>
      <c r="F529" s="2"/>
      <c r="G529" s="2"/>
      <c r="H529" s="2"/>
      <c r="I529" s="2"/>
      <c r="J529" s="2"/>
      <c r="K529" s="2"/>
      <c r="L529" s="2"/>
      <c r="M529" s="2"/>
      <c r="N529" s="2"/>
      <c r="O529" s="2"/>
      <c r="P529" s="2"/>
      <c r="Q529" s="2"/>
    </row>
    <row r="530" ht="15.75" customHeight="1">
      <c r="B530" s="576"/>
      <c r="C530" s="2"/>
      <c r="D530" s="2"/>
      <c r="E530" s="464"/>
      <c r="F530" s="2"/>
      <c r="G530" s="2"/>
      <c r="H530" s="2"/>
      <c r="I530" s="2"/>
      <c r="J530" s="2"/>
      <c r="K530" s="2"/>
      <c r="L530" s="2"/>
      <c r="M530" s="2"/>
      <c r="N530" s="2"/>
      <c r="O530" s="2"/>
      <c r="P530" s="2"/>
      <c r="Q530" s="2"/>
    </row>
    <row r="531" ht="15.75" customHeight="1">
      <c r="B531" s="576"/>
      <c r="C531" s="2"/>
      <c r="D531" s="2"/>
      <c r="E531" s="464"/>
      <c r="F531" s="2"/>
      <c r="G531" s="2"/>
      <c r="H531" s="2"/>
      <c r="I531" s="2"/>
      <c r="J531" s="2"/>
      <c r="K531" s="2"/>
      <c r="L531" s="2"/>
      <c r="M531" s="2"/>
      <c r="N531" s="2"/>
      <c r="O531" s="2"/>
      <c r="P531" s="2"/>
      <c r="Q531" s="2"/>
    </row>
    <row r="532" ht="15.75" customHeight="1">
      <c r="B532" s="576"/>
      <c r="C532" s="2"/>
      <c r="D532" s="2"/>
      <c r="E532" s="464"/>
      <c r="F532" s="2"/>
      <c r="G532" s="2"/>
      <c r="H532" s="2"/>
      <c r="I532" s="2"/>
      <c r="J532" s="2"/>
      <c r="K532" s="2"/>
      <c r="L532" s="2"/>
      <c r="M532" s="2"/>
      <c r="N532" s="2"/>
      <c r="O532" s="2"/>
      <c r="P532" s="2"/>
      <c r="Q532" s="2"/>
    </row>
    <row r="533" ht="15.75" customHeight="1">
      <c r="B533" s="576"/>
      <c r="C533" s="2"/>
      <c r="D533" s="2"/>
      <c r="E533" s="464"/>
      <c r="F533" s="2"/>
      <c r="G533" s="2"/>
      <c r="H533" s="2"/>
      <c r="I533" s="2"/>
      <c r="J533" s="2"/>
      <c r="K533" s="2"/>
      <c r="L533" s="2"/>
      <c r="M533" s="2"/>
      <c r="N533" s="2"/>
      <c r="O533" s="2"/>
      <c r="P533" s="2"/>
      <c r="Q533" s="2"/>
    </row>
    <row r="534" ht="15.75" customHeight="1">
      <c r="B534" s="576"/>
      <c r="C534" s="2"/>
      <c r="D534" s="2"/>
      <c r="E534" s="464"/>
      <c r="F534" s="2"/>
      <c r="G534" s="2"/>
      <c r="H534" s="2"/>
      <c r="I534" s="2"/>
      <c r="J534" s="2"/>
      <c r="K534" s="2"/>
      <c r="L534" s="2"/>
      <c r="M534" s="2"/>
      <c r="N534" s="2"/>
      <c r="O534" s="2"/>
      <c r="P534" s="2"/>
      <c r="Q534" s="2"/>
    </row>
    <row r="535" ht="15.75" customHeight="1">
      <c r="B535" s="576"/>
      <c r="C535" s="2"/>
      <c r="D535" s="2"/>
      <c r="E535" s="464"/>
      <c r="F535" s="2"/>
      <c r="G535" s="2"/>
      <c r="H535" s="2"/>
      <c r="I535" s="2"/>
      <c r="J535" s="2"/>
      <c r="K535" s="2"/>
      <c r="L535" s="2"/>
      <c r="M535" s="2"/>
      <c r="N535" s="2"/>
      <c r="O535" s="2"/>
      <c r="P535" s="2"/>
      <c r="Q535" s="2"/>
    </row>
    <row r="536" ht="15.75" customHeight="1">
      <c r="B536" s="576"/>
      <c r="C536" s="2"/>
      <c r="D536" s="2"/>
      <c r="E536" s="464"/>
      <c r="F536" s="2"/>
      <c r="G536" s="2"/>
      <c r="H536" s="2"/>
      <c r="I536" s="2"/>
      <c r="J536" s="2"/>
      <c r="K536" s="2"/>
      <c r="L536" s="2"/>
      <c r="M536" s="2"/>
      <c r="N536" s="2"/>
      <c r="O536" s="2"/>
      <c r="P536" s="2"/>
      <c r="Q536" s="2"/>
    </row>
    <row r="537" ht="15.75" customHeight="1">
      <c r="B537" s="576"/>
      <c r="C537" s="2"/>
      <c r="D537" s="2"/>
      <c r="E537" s="464"/>
      <c r="F537" s="2"/>
      <c r="G537" s="2"/>
      <c r="H537" s="2"/>
      <c r="I537" s="2"/>
      <c r="J537" s="2"/>
      <c r="K537" s="2"/>
      <c r="L537" s="2"/>
      <c r="M537" s="2"/>
      <c r="N537" s="2"/>
      <c r="O537" s="2"/>
      <c r="P537" s="2"/>
      <c r="Q537" s="2"/>
    </row>
    <row r="538" ht="15.75" customHeight="1">
      <c r="B538" s="576"/>
      <c r="C538" s="2"/>
      <c r="D538" s="2"/>
      <c r="E538" s="464"/>
      <c r="F538" s="2"/>
      <c r="G538" s="2"/>
      <c r="H538" s="2"/>
      <c r="I538" s="2"/>
      <c r="J538" s="2"/>
      <c r="K538" s="2"/>
      <c r="L538" s="2"/>
      <c r="M538" s="2"/>
      <c r="N538" s="2"/>
      <c r="O538" s="2"/>
      <c r="P538" s="2"/>
      <c r="Q538" s="2"/>
    </row>
    <row r="539" ht="15.75" customHeight="1">
      <c r="B539" s="576"/>
      <c r="C539" s="2"/>
      <c r="D539" s="2"/>
      <c r="E539" s="464"/>
      <c r="F539" s="2"/>
      <c r="G539" s="2"/>
      <c r="H539" s="2"/>
      <c r="I539" s="2"/>
      <c r="J539" s="2"/>
      <c r="K539" s="2"/>
      <c r="L539" s="2"/>
      <c r="M539" s="2"/>
      <c r="N539" s="2"/>
      <c r="O539" s="2"/>
      <c r="P539" s="2"/>
      <c r="Q539" s="2"/>
    </row>
    <row r="540" ht="15.75" customHeight="1">
      <c r="B540" s="576"/>
      <c r="C540" s="2"/>
      <c r="D540" s="2"/>
      <c r="E540" s="464"/>
      <c r="F540" s="2"/>
      <c r="G540" s="2"/>
      <c r="H540" s="2"/>
      <c r="I540" s="2"/>
      <c r="J540" s="2"/>
      <c r="K540" s="2"/>
      <c r="L540" s="2"/>
      <c r="M540" s="2"/>
      <c r="N540" s="2"/>
      <c r="O540" s="2"/>
      <c r="P540" s="2"/>
      <c r="Q540" s="2"/>
    </row>
    <row r="541" ht="15.75" customHeight="1">
      <c r="B541" s="576"/>
      <c r="C541" s="2"/>
      <c r="D541" s="2"/>
      <c r="E541" s="464"/>
      <c r="F541" s="2"/>
      <c r="G541" s="2"/>
      <c r="H541" s="2"/>
      <c r="I541" s="2"/>
      <c r="J541" s="2"/>
      <c r="K541" s="2"/>
      <c r="L541" s="2"/>
      <c r="M541" s="2"/>
      <c r="N541" s="2"/>
      <c r="O541" s="2"/>
      <c r="P541" s="2"/>
      <c r="Q541" s="2"/>
    </row>
    <row r="542" ht="15.75" customHeight="1">
      <c r="B542" s="576"/>
      <c r="C542" s="2"/>
      <c r="D542" s="2"/>
      <c r="E542" s="464"/>
      <c r="F542" s="2"/>
      <c r="G542" s="2"/>
      <c r="H542" s="2"/>
      <c r="I542" s="2"/>
      <c r="J542" s="2"/>
      <c r="K542" s="2"/>
      <c r="L542" s="2"/>
      <c r="M542" s="2"/>
      <c r="N542" s="2"/>
      <c r="O542" s="2"/>
      <c r="P542" s="2"/>
      <c r="Q542" s="2"/>
    </row>
    <row r="543" ht="15.75" customHeight="1">
      <c r="B543" s="576"/>
      <c r="C543" s="2"/>
      <c r="D543" s="2"/>
      <c r="E543" s="464"/>
      <c r="F543" s="2"/>
      <c r="G543" s="2"/>
      <c r="H543" s="2"/>
      <c r="I543" s="2"/>
      <c r="J543" s="2"/>
      <c r="K543" s="2"/>
      <c r="L543" s="2"/>
      <c r="M543" s="2"/>
      <c r="N543" s="2"/>
      <c r="O543" s="2"/>
      <c r="P543" s="2"/>
      <c r="Q543" s="2"/>
    </row>
    <row r="544" ht="15.75" customHeight="1">
      <c r="B544" s="576"/>
      <c r="C544" s="2"/>
      <c r="D544" s="2"/>
      <c r="E544" s="464"/>
      <c r="F544" s="2"/>
      <c r="G544" s="2"/>
      <c r="H544" s="2"/>
      <c r="I544" s="2"/>
      <c r="J544" s="2"/>
      <c r="K544" s="2"/>
      <c r="L544" s="2"/>
      <c r="M544" s="2"/>
      <c r="N544" s="2"/>
      <c r="O544" s="2"/>
      <c r="P544" s="2"/>
      <c r="Q544" s="2"/>
    </row>
    <row r="545" ht="15.75" customHeight="1">
      <c r="B545" s="576"/>
      <c r="C545" s="2"/>
      <c r="D545" s="2"/>
      <c r="E545" s="464"/>
      <c r="F545" s="2"/>
      <c r="G545" s="2"/>
      <c r="H545" s="2"/>
      <c r="I545" s="2"/>
      <c r="J545" s="2"/>
      <c r="K545" s="2"/>
      <c r="L545" s="2"/>
      <c r="M545" s="2"/>
      <c r="N545" s="2"/>
      <c r="O545" s="2"/>
      <c r="P545" s="2"/>
      <c r="Q545" s="2"/>
    </row>
    <row r="546" ht="15.75" customHeight="1">
      <c r="B546" s="576"/>
      <c r="C546" s="2"/>
      <c r="D546" s="2"/>
      <c r="E546" s="464"/>
      <c r="F546" s="2"/>
      <c r="G546" s="2"/>
      <c r="H546" s="2"/>
      <c r="I546" s="2"/>
      <c r="J546" s="2"/>
      <c r="K546" s="2"/>
      <c r="L546" s="2"/>
      <c r="M546" s="2"/>
      <c r="N546" s="2"/>
      <c r="O546" s="2"/>
      <c r="P546" s="2"/>
      <c r="Q546" s="2"/>
    </row>
    <row r="547" ht="15.75" customHeight="1">
      <c r="B547" s="576"/>
      <c r="C547" s="2"/>
      <c r="D547" s="2"/>
      <c r="E547" s="464"/>
      <c r="F547" s="2"/>
      <c r="G547" s="2"/>
      <c r="H547" s="2"/>
      <c r="I547" s="2"/>
      <c r="J547" s="2"/>
      <c r="K547" s="2"/>
      <c r="L547" s="2"/>
      <c r="M547" s="2"/>
      <c r="N547" s="2"/>
      <c r="O547" s="2"/>
      <c r="P547" s="2"/>
      <c r="Q547" s="2"/>
    </row>
    <row r="548" ht="15.75" customHeight="1">
      <c r="B548" s="576"/>
      <c r="C548" s="2"/>
      <c r="D548" s="2"/>
      <c r="E548" s="464"/>
      <c r="F548" s="2"/>
      <c r="G548" s="2"/>
      <c r="H548" s="2"/>
      <c r="I548" s="2"/>
      <c r="J548" s="2"/>
      <c r="K548" s="2"/>
      <c r="L548" s="2"/>
      <c r="M548" s="2"/>
      <c r="N548" s="2"/>
      <c r="O548" s="2"/>
      <c r="P548" s="2"/>
      <c r="Q548" s="2"/>
    </row>
    <row r="549" ht="15.75" customHeight="1">
      <c r="B549" s="576"/>
      <c r="C549" s="2"/>
      <c r="D549" s="2"/>
      <c r="E549" s="464"/>
      <c r="F549" s="2"/>
      <c r="G549" s="2"/>
      <c r="H549" s="2"/>
      <c r="I549" s="2"/>
      <c r="J549" s="2"/>
      <c r="K549" s="2"/>
      <c r="L549" s="2"/>
      <c r="M549" s="2"/>
      <c r="N549" s="2"/>
      <c r="O549" s="2"/>
      <c r="P549" s="2"/>
      <c r="Q549" s="2"/>
    </row>
    <row r="550" ht="15.75" customHeight="1">
      <c r="B550" s="576"/>
      <c r="C550" s="2"/>
      <c r="D550" s="2"/>
      <c r="E550" s="464"/>
      <c r="F550" s="2"/>
      <c r="G550" s="2"/>
      <c r="H550" s="2"/>
      <c r="I550" s="2"/>
      <c r="J550" s="2"/>
      <c r="K550" s="2"/>
      <c r="L550" s="2"/>
      <c r="M550" s="2"/>
      <c r="N550" s="2"/>
      <c r="O550" s="2"/>
      <c r="P550" s="2"/>
      <c r="Q550" s="2"/>
    </row>
    <row r="551" ht="15.75" customHeight="1">
      <c r="B551" s="576"/>
      <c r="C551" s="2"/>
      <c r="D551" s="2"/>
      <c r="E551" s="464"/>
      <c r="F551" s="2"/>
      <c r="G551" s="2"/>
      <c r="H551" s="2"/>
      <c r="I551" s="2"/>
      <c r="J551" s="2"/>
      <c r="K551" s="2"/>
      <c r="L551" s="2"/>
      <c r="M551" s="2"/>
      <c r="N551" s="2"/>
      <c r="O551" s="2"/>
      <c r="P551" s="2"/>
      <c r="Q551" s="2"/>
    </row>
    <row r="552" ht="15.75" customHeight="1">
      <c r="B552" s="576"/>
      <c r="C552" s="2"/>
      <c r="D552" s="2"/>
      <c r="E552" s="464"/>
      <c r="F552" s="2"/>
      <c r="G552" s="2"/>
      <c r="H552" s="2"/>
      <c r="I552" s="2"/>
      <c r="J552" s="2"/>
      <c r="K552" s="2"/>
      <c r="L552" s="2"/>
      <c r="M552" s="2"/>
      <c r="N552" s="2"/>
      <c r="O552" s="2"/>
      <c r="P552" s="2"/>
      <c r="Q552" s="2"/>
    </row>
    <row r="553" ht="15.75" customHeight="1">
      <c r="B553" s="576"/>
      <c r="C553" s="2"/>
      <c r="D553" s="2"/>
      <c r="E553" s="464"/>
      <c r="F553" s="2"/>
      <c r="G553" s="2"/>
      <c r="H553" s="2"/>
      <c r="I553" s="2"/>
      <c r="J553" s="2"/>
      <c r="K553" s="2"/>
      <c r="L553" s="2"/>
      <c r="M553" s="2"/>
      <c r="N553" s="2"/>
      <c r="O553" s="2"/>
      <c r="P553" s="2"/>
      <c r="Q553" s="2"/>
    </row>
    <row r="554" ht="15.75" customHeight="1">
      <c r="B554" s="576"/>
      <c r="C554" s="2"/>
      <c r="D554" s="2"/>
      <c r="E554" s="464"/>
      <c r="F554" s="2"/>
      <c r="G554" s="2"/>
      <c r="H554" s="2"/>
      <c r="I554" s="2"/>
      <c r="J554" s="2"/>
      <c r="K554" s="2"/>
      <c r="L554" s="2"/>
      <c r="M554" s="2"/>
      <c r="N554" s="2"/>
      <c r="O554" s="2"/>
      <c r="P554" s="2"/>
      <c r="Q554" s="2"/>
    </row>
    <row r="555" ht="15.75" customHeight="1">
      <c r="B555" s="576"/>
      <c r="C555" s="2"/>
      <c r="D555" s="2"/>
      <c r="E555" s="464"/>
      <c r="F555" s="2"/>
      <c r="G555" s="2"/>
      <c r="H555" s="2"/>
      <c r="I555" s="2"/>
      <c r="J555" s="2"/>
      <c r="K555" s="2"/>
      <c r="L555" s="2"/>
      <c r="M555" s="2"/>
      <c r="N555" s="2"/>
      <c r="O555" s="2"/>
      <c r="P555" s="2"/>
      <c r="Q555" s="2"/>
    </row>
    <row r="556" ht="15.75" customHeight="1">
      <c r="B556" s="576"/>
      <c r="C556" s="2"/>
      <c r="D556" s="2"/>
      <c r="E556" s="464"/>
      <c r="F556" s="2"/>
      <c r="G556" s="2"/>
      <c r="H556" s="2"/>
      <c r="I556" s="2"/>
      <c r="J556" s="2"/>
      <c r="K556" s="2"/>
      <c r="L556" s="2"/>
      <c r="M556" s="2"/>
      <c r="N556" s="2"/>
      <c r="O556" s="2"/>
      <c r="P556" s="2"/>
      <c r="Q556" s="2"/>
    </row>
    <row r="557" ht="15.75" customHeight="1">
      <c r="B557" s="576"/>
      <c r="C557" s="2"/>
      <c r="D557" s="2"/>
      <c r="E557" s="464"/>
      <c r="F557" s="2"/>
      <c r="G557" s="2"/>
      <c r="H557" s="2"/>
      <c r="I557" s="2"/>
      <c r="J557" s="2"/>
      <c r="K557" s="2"/>
      <c r="L557" s="2"/>
      <c r="M557" s="2"/>
      <c r="N557" s="2"/>
      <c r="O557" s="2"/>
      <c r="P557" s="2"/>
      <c r="Q557" s="2"/>
    </row>
    <row r="558" ht="15.75" customHeight="1">
      <c r="B558" s="576"/>
      <c r="C558" s="2"/>
      <c r="D558" s="2"/>
      <c r="E558" s="464"/>
      <c r="F558" s="2"/>
      <c r="G558" s="2"/>
      <c r="H558" s="2"/>
      <c r="I558" s="2"/>
      <c r="J558" s="2"/>
      <c r="K558" s="2"/>
      <c r="L558" s="2"/>
      <c r="M558" s="2"/>
      <c r="N558" s="2"/>
      <c r="O558" s="2"/>
      <c r="P558" s="2"/>
      <c r="Q558" s="2"/>
    </row>
    <row r="559" ht="15.75" customHeight="1">
      <c r="B559" s="576"/>
      <c r="C559" s="2"/>
      <c r="D559" s="2"/>
      <c r="E559" s="464"/>
      <c r="F559" s="2"/>
      <c r="G559" s="2"/>
      <c r="H559" s="2"/>
      <c r="I559" s="2"/>
      <c r="J559" s="2"/>
      <c r="K559" s="2"/>
      <c r="L559" s="2"/>
      <c r="M559" s="2"/>
      <c r="N559" s="2"/>
      <c r="O559" s="2"/>
      <c r="P559" s="2"/>
      <c r="Q559" s="2"/>
    </row>
    <row r="560" ht="15.75" customHeight="1">
      <c r="B560" s="576"/>
      <c r="C560" s="2"/>
      <c r="D560" s="2"/>
      <c r="E560" s="464"/>
      <c r="F560" s="2"/>
      <c r="G560" s="2"/>
      <c r="H560" s="2"/>
      <c r="I560" s="2"/>
      <c r="J560" s="2"/>
      <c r="K560" s="2"/>
      <c r="L560" s="2"/>
      <c r="M560" s="2"/>
      <c r="N560" s="2"/>
      <c r="O560" s="2"/>
      <c r="P560" s="2"/>
      <c r="Q560" s="2"/>
    </row>
    <row r="561" ht="15.75" customHeight="1">
      <c r="B561" s="576"/>
      <c r="C561" s="2"/>
      <c r="D561" s="2"/>
      <c r="E561" s="464"/>
      <c r="F561" s="2"/>
      <c r="G561" s="2"/>
      <c r="H561" s="2"/>
      <c r="I561" s="2"/>
      <c r="J561" s="2"/>
      <c r="K561" s="2"/>
      <c r="L561" s="2"/>
      <c r="M561" s="2"/>
      <c r="N561" s="2"/>
      <c r="O561" s="2"/>
      <c r="P561" s="2"/>
      <c r="Q561" s="2"/>
    </row>
    <row r="562" ht="15.75" customHeight="1">
      <c r="B562" s="576"/>
      <c r="C562" s="2"/>
      <c r="D562" s="2"/>
      <c r="E562" s="464"/>
      <c r="F562" s="2"/>
      <c r="G562" s="2"/>
      <c r="H562" s="2"/>
      <c r="I562" s="2"/>
      <c r="J562" s="2"/>
      <c r="K562" s="2"/>
      <c r="L562" s="2"/>
      <c r="M562" s="2"/>
      <c r="N562" s="2"/>
      <c r="O562" s="2"/>
      <c r="P562" s="2"/>
      <c r="Q562" s="2"/>
    </row>
    <row r="563" ht="15.75" customHeight="1">
      <c r="B563" s="576"/>
      <c r="C563" s="2"/>
      <c r="D563" s="2"/>
      <c r="E563" s="464"/>
      <c r="F563" s="2"/>
      <c r="G563" s="2"/>
      <c r="H563" s="2"/>
      <c r="I563" s="2"/>
      <c r="J563" s="2"/>
      <c r="K563" s="2"/>
      <c r="L563" s="2"/>
      <c r="M563" s="2"/>
      <c r="N563" s="2"/>
      <c r="O563" s="2"/>
      <c r="P563" s="2"/>
      <c r="Q563" s="2"/>
    </row>
    <row r="564" ht="15.75" customHeight="1">
      <c r="B564" s="576"/>
      <c r="C564" s="2"/>
      <c r="D564" s="2"/>
      <c r="E564" s="464"/>
      <c r="F564" s="2"/>
      <c r="G564" s="2"/>
      <c r="H564" s="2"/>
      <c r="I564" s="2"/>
      <c r="J564" s="2"/>
      <c r="K564" s="2"/>
      <c r="L564" s="2"/>
      <c r="M564" s="2"/>
      <c r="N564" s="2"/>
      <c r="O564" s="2"/>
      <c r="P564" s="2"/>
      <c r="Q564" s="2"/>
    </row>
    <row r="565" ht="15.75" customHeight="1">
      <c r="B565" s="576"/>
      <c r="C565" s="2"/>
      <c r="D565" s="2"/>
      <c r="E565" s="464"/>
      <c r="F565" s="2"/>
      <c r="G565" s="2"/>
      <c r="H565" s="2"/>
      <c r="I565" s="2"/>
      <c r="J565" s="2"/>
      <c r="K565" s="2"/>
      <c r="L565" s="2"/>
      <c r="M565" s="2"/>
      <c r="N565" s="2"/>
      <c r="O565" s="2"/>
      <c r="P565" s="2"/>
      <c r="Q565" s="2"/>
    </row>
    <row r="566" ht="15.75" customHeight="1">
      <c r="B566" s="576"/>
      <c r="C566" s="2"/>
      <c r="D566" s="2"/>
      <c r="E566" s="464"/>
      <c r="F566" s="2"/>
      <c r="G566" s="2"/>
      <c r="H566" s="2"/>
      <c r="I566" s="2"/>
      <c r="J566" s="2"/>
      <c r="K566" s="2"/>
      <c r="L566" s="2"/>
      <c r="M566" s="2"/>
      <c r="N566" s="2"/>
      <c r="O566" s="2"/>
      <c r="P566" s="2"/>
      <c r="Q566" s="2"/>
    </row>
    <row r="567" ht="15.75" customHeight="1">
      <c r="B567" s="576"/>
      <c r="C567" s="2"/>
      <c r="D567" s="2"/>
      <c r="E567" s="464"/>
      <c r="F567" s="2"/>
      <c r="G567" s="2"/>
      <c r="H567" s="2"/>
      <c r="I567" s="2"/>
      <c r="J567" s="2"/>
      <c r="K567" s="2"/>
      <c r="L567" s="2"/>
      <c r="M567" s="2"/>
      <c r="N567" s="2"/>
      <c r="O567" s="2"/>
      <c r="P567" s="2"/>
      <c r="Q567" s="2"/>
    </row>
    <row r="568" ht="15.75" customHeight="1">
      <c r="B568" s="576"/>
      <c r="C568" s="2"/>
      <c r="D568" s="2"/>
      <c r="E568" s="464"/>
      <c r="F568" s="2"/>
      <c r="G568" s="2"/>
      <c r="H568" s="2"/>
      <c r="I568" s="2"/>
      <c r="J568" s="2"/>
      <c r="K568" s="2"/>
      <c r="L568" s="2"/>
      <c r="M568" s="2"/>
      <c r="N568" s="2"/>
      <c r="O568" s="2"/>
      <c r="P568" s="2"/>
      <c r="Q568" s="2"/>
    </row>
    <row r="569" ht="15.75" customHeight="1">
      <c r="B569" s="576"/>
      <c r="C569" s="2"/>
      <c r="D569" s="2"/>
      <c r="E569" s="464"/>
      <c r="F569" s="2"/>
      <c r="G569" s="2"/>
      <c r="H569" s="2"/>
      <c r="I569" s="2"/>
      <c r="J569" s="2"/>
      <c r="K569" s="2"/>
      <c r="L569" s="2"/>
      <c r="M569" s="2"/>
      <c r="N569" s="2"/>
      <c r="O569" s="2"/>
      <c r="P569" s="2"/>
      <c r="Q569" s="2"/>
    </row>
    <row r="570" ht="15.75" customHeight="1">
      <c r="B570" s="576"/>
      <c r="C570" s="2"/>
      <c r="D570" s="2"/>
      <c r="E570" s="464"/>
      <c r="F570" s="2"/>
      <c r="G570" s="2"/>
      <c r="H570" s="2"/>
      <c r="I570" s="2"/>
      <c r="J570" s="2"/>
      <c r="K570" s="2"/>
      <c r="L570" s="2"/>
      <c r="M570" s="2"/>
      <c r="N570" s="2"/>
      <c r="O570" s="2"/>
      <c r="P570" s="2"/>
      <c r="Q570" s="2"/>
    </row>
    <row r="571" ht="15.75" customHeight="1">
      <c r="B571" s="576"/>
      <c r="C571" s="2"/>
      <c r="D571" s="2"/>
      <c r="E571" s="464"/>
      <c r="F571" s="2"/>
      <c r="G571" s="2"/>
      <c r="H571" s="2"/>
      <c r="I571" s="2"/>
      <c r="J571" s="2"/>
      <c r="K571" s="2"/>
      <c r="L571" s="2"/>
      <c r="M571" s="2"/>
      <c r="N571" s="2"/>
      <c r="O571" s="2"/>
      <c r="P571" s="2"/>
      <c r="Q571" s="2"/>
    </row>
    <row r="572" ht="15.75" customHeight="1">
      <c r="B572" s="576"/>
      <c r="C572" s="2"/>
      <c r="D572" s="2"/>
      <c r="E572" s="464"/>
      <c r="F572" s="2"/>
      <c r="G572" s="2"/>
      <c r="H572" s="2"/>
      <c r="I572" s="2"/>
      <c r="J572" s="2"/>
      <c r="K572" s="2"/>
      <c r="L572" s="2"/>
      <c r="M572" s="2"/>
      <c r="N572" s="2"/>
      <c r="O572" s="2"/>
      <c r="P572" s="2"/>
      <c r="Q572" s="2"/>
    </row>
    <row r="573" ht="15.75" customHeight="1">
      <c r="B573" s="576"/>
      <c r="C573" s="2"/>
      <c r="D573" s="2"/>
      <c r="E573" s="464"/>
      <c r="F573" s="2"/>
      <c r="G573" s="2"/>
      <c r="H573" s="2"/>
      <c r="I573" s="2"/>
      <c r="J573" s="2"/>
      <c r="K573" s="2"/>
      <c r="L573" s="2"/>
      <c r="M573" s="2"/>
      <c r="N573" s="2"/>
      <c r="O573" s="2"/>
      <c r="P573" s="2"/>
      <c r="Q573" s="2"/>
    </row>
    <row r="574" ht="15.75" customHeight="1">
      <c r="B574" s="576"/>
      <c r="C574" s="2"/>
      <c r="D574" s="2"/>
      <c r="E574" s="464"/>
      <c r="F574" s="2"/>
      <c r="G574" s="2"/>
      <c r="H574" s="2"/>
      <c r="I574" s="2"/>
      <c r="J574" s="2"/>
      <c r="K574" s="2"/>
      <c r="L574" s="2"/>
      <c r="M574" s="2"/>
      <c r="N574" s="2"/>
      <c r="O574" s="2"/>
      <c r="P574" s="2"/>
      <c r="Q574" s="2"/>
    </row>
    <row r="575" ht="15.75" customHeight="1">
      <c r="B575" s="576"/>
      <c r="C575" s="2"/>
      <c r="D575" s="2"/>
      <c r="E575" s="464"/>
      <c r="F575" s="2"/>
      <c r="G575" s="2"/>
      <c r="H575" s="2"/>
      <c r="I575" s="2"/>
      <c r="J575" s="2"/>
      <c r="K575" s="2"/>
      <c r="L575" s="2"/>
      <c r="M575" s="2"/>
      <c r="N575" s="2"/>
      <c r="O575" s="2"/>
      <c r="P575" s="2"/>
      <c r="Q575" s="2"/>
    </row>
    <row r="576" ht="15.75" customHeight="1">
      <c r="B576" s="576"/>
      <c r="C576" s="2"/>
      <c r="D576" s="2"/>
      <c r="E576" s="464"/>
      <c r="F576" s="2"/>
      <c r="G576" s="2"/>
      <c r="H576" s="2"/>
      <c r="I576" s="2"/>
      <c r="J576" s="2"/>
      <c r="K576" s="2"/>
      <c r="L576" s="2"/>
      <c r="M576" s="2"/>
      <c r="N576" s="2"/>
      <c r="O576" s="2"/>
      <c r="P576" s="2"/>
      <c r="Q576" s="2"/>
    </row>
    <row r="577" ht="15.75" customHeight="1">
      <c r="B577" s="576"/>
      <c r="C577" s="2"/>
      <c r="D577" s="2"/>
      <c r="E577" s="464"/>
      <c r="F577" s="2"/>
      <c r="G577" s="2"/>
      <c r="H577" s="2"/>
      <c r="I577" s="2"/>
      <c r="J577" s="2"/>
      <c r="K577" s="2"/>
      <c r="L577" s="2"/>
      <c r="M577" s="2"/>
      <c r="N577" s="2"/>
      <c r="O577" s="2"/>
      <c r="P577" s="2"/>
      <c r="Q577" s="2"/>
    </row>
    <row r="578" ht="15.75" customHeight="1">
      <c r="B578" s="576"/>
      <c r="C578" s="2"/>
      <c r="D578" s="2"/>
      <c r="E578" s="464"/>
      <c r="F578" s="2"/>
      <c r="G578" s="2"/>
      <c r="H578" s="2"/>
      <c r="I578" s="2"/>
      <c r="J578" s="2"/>
      <c r="K578" s="2"/>
      <c r="L578" s="2"/>
      <c r="M578" s="2"/>
      <c r="N578" s="2"/>
      <c r="O578" s="2"/>
      <c r="P578" s="2"/>
      <c r="Q578" s="2"/>
    </row>
    <row r="579" ht="15.75" customHeight="1">
      <c r="B579" s="576"/>
      <c r="C579" s="2"/>
      <c r="D579" s="2"/>
      <c r="E579" s="464"/>
      <c r="F579" s="2"/>
      <c r="G579" s="2"/>
      <c r="H579" s="2"/>
      <c r="I579" s="2"/>
      <c r="J579" s="2"/>
      <c r="K579" s="2"/>
      <c r="L579" s="2"/>
      <c r="M579" s="2"/>
      <c r="N579" s="2"/>
      <c r="O579" s="2"/>
      <c r="P579" s="2"/>
      <c r="Q579" s="2"/>
    </row>
    <row r="580" ht="15.75" customHeight="1">
      <c r="B580" s="576"/>
      <c r="C580" s="2"/>
      <c r="D580" s="2"/>
      <c r="E580" s="464"/>
      <c r="F580" s="2"/>
      <c r="G580" s="2"/>
      <c r="H580" s="2"/>
      <c r="I580" s="2"/>
      <c r="J580" s="2"/>
      <c r="K580" s="2"/>
      <c r="L580" s="2"/>
      <c r="M580" s="2"/>
      <c r="N580" s="2"/>
      <c r="O580" s="2"/>
      <c r="P580" s="2"/>
      <c r="Q580" s="2"/>
    </row>
    <row r="581" ht="15.75" customHeight="1">
      <c r="B581" s="576"/>
      <c r="C581" s="2"/>
      <c r="D581" s="2"/>
      <c r="E581" s="464"/>
      <c r="F581" s="2"/>
      <c r="G581" s="2"/>
      <c r="H581" s="2"/>
      <c r="I581" s="2"/>
      <c r="J581" s="2"/>
      <c r="K581" s="2"/>
      <c r="L581" s="2"/>
      <c r="M581" s="2"/>
      <c r="N581" s="2"/>
      <c r="O581" s="2"/>
      <c r="P581" s="2"/>
      <c r="Q581" s="2"/>
    </row>
    <row r="582" ht="15.75" customHeight="1">
      <c r="B582" s="576"/>
      <c r="C582" s="2"/>
      <c r="D582" s="2"/>
      <c r="E582" s="464"/>
      <c r="F582" s="2"/>
      <c r="G582" s="2"/>
      <c r="H582" s="2"/>
      <c r="I582" s="2"/>
      <c r="J582" s="2"/>
      <c r="K582" s="2"/>
      <c r="L582" s="2"/>
      <c r="M582" s="2"/>
      <c r="N582" s="2"/>
      <c r="O582" s="2"/>
      <c r="P582" s="2"/>
      <c r="Q582" s="2"/>
    </row>
    <row r="583" ht="15.75" customHeight="1">
      <c r="B583" s="576"/>
      <c r="C583" s="2"/>
      <c r="D583" s="2"/>
      <c r="E583" s="464"/>
      <c r="F583" s="2"/>
      <c r="G583" s="2"/>
      <c r="H583" s="2"/>
      <c r="I583" s="2"/>
      <c r="J583" s="2"/>
      <c r="K583" s="2"/>
      <c r="L583" s="2"/>
      <c r="M583" s="2"/>
      <c r="N583" s="2"/>
      <c r="O583" s="2"/>
      <c r="P583" s="2"/>
      <c r="Q583" s="2"/>
    </row>
    <row r="584" ht="15.75" customHeight="1">
      <c r="B584" s="576"/>
      <c r="C584" s="2"/>
      <c r="D584" s="2"/>
      <c r="E584" s="464"/>
      <c r="F584" s="2"/>
      <c r="G584" s="2"/>
      <c r="H584" s="2"/>
      <c r="I584" s="2"/>
      <c r="J584" s="2"/>
      <c r="K584" s="2"/>
      <c r="L584" s="2"/>
      <c r="M584" s="2"/>
      <c r="N584" s="2"/>
      <c r="O584" s="2"/>
      <c r="P584" s="2"/>
      <c r="Q584" s="2"/>
    </row>
    <row r="585" ht="15.75" customHeight="1">
      <c r="B585" s="576"/>
      <c r="C585" s="2"/>
      <c r="D585" s="2"/>
      <c r="E585" s="464"/>
      <c r="F585" s="2"/>
      <c r="G585" s="2"/>
      <c r="H585" s="2"/>
      <c r="I585" s="2"/>
      <c r="J585" s="2"/>
      <c r="K585" s="2"/>
      <c r="L585" s="2"/>
      <c r="M585" s="2"/>
      <c r="N585" s="2"/>
      <c r="O585" s="2"/>
      <c r="P585" s="2"/>
      <c r="Q585" s="2"/>
    </row>
    <row r="586" ht="15.75" customHeight="1">
      <c r="B586" s="576"/>
      <c r="C586" s="2"/>
      <c r="D586" s="2"/>
      <c r="E586" s="464"/>
      <c r="F586" s="2"/>
      <c r="G586" s="2"/>
      <c r="H586" s="2"/>
      <c r="I586" s="2"/>
      <c r="J586" s="2"/>
      <c r="K586" s="2"/>
      <c r="L586" s="2"/>
      <c r="M586" s="2"/>
      <c r="N586" s="2"/>
      <c r="O586" s="2"/>
      <c r="P586" s="2"/>
      <c r="Q586" s="2"/>
    </row>
    <row r="587" ht="15.75" customHeight="1">
      <c r="B587" s="576"/>
      <c r="C587" s="2"/>
      <c r="D587" s="2"/>
      <c r="E587" s="464"/>
      <c r="F587" s="2"/>
      <c r="G587" s="2"/>
      <c r="H587" s="2"/>
      <c r="I587" s="2"/>
      <c r="J587" s="2"/>
      <c r="K587" s="2"/>
      <c r="L587" s="2"/>
      <c r="M587" s="2"/>
      <c r="N587" s="2"/>
      <c r="O587" s="2"/>
      <c r="P587" s="2"/>
      <c r="Q587" s="2"/>
    </row>
    <row r="588" ht="15.75" customHeight="1">
      <c r="B588" s="576"/>
      <c r="C588" s="2"/>
      <c r="D588" s="2"/>
      <c r="E588" s="464"/>
      <c r="F588" s="2"/>
      <c r="G588" s="2"/>
      <c r="H588" s="2"/>
      <c r="I588" s="2"/>
      <c r="J588" s="2"/>
      <c r="K588" s="2"/>
      <c r="L588" s="2"/>
      <c r="M588" s="2"/>
      <c r="N588" s="2"/>
      <c r="O588" s="2"/>
      <c r="P588" s="2"/>
      <c r="Q588" s="2"/>
    </row>
    <row r="589" ht="15.75" customHeight="1">
      <c r="B589" s="576"/>
      <c r="C589" s="2"/>
      <c r="D589" s="2"/>
      <c r="E589" s="464"/>
      <c r="F589" s="2"/>
      <c r="G589" s="2"/>
      <c r="H589" s="2"/>
      <c r="I589" s="2"/>
      <c r="J589" s="2"/>
      <c r="K589" s="2"/>
      <c r="L589" s="2"/>
      <c r="M589" s="2"/>
      <c r="N589" s="2"/>
      <c r="O589" s="2"/>
      <c r="P589" s="2"/>
      <c r="Q589" s="2"/>
    </row>
    <row r="590" ht="15.75" customHeight="1">
      <c r="B590" s="576"/>
      <c r="C590" s="2"/>
      <c r="D590" s="2"/>
      <c r="E590" s="464"/>
      <c r="F590" s="2"/>
      <c r="G590" s="2"/>
      <c r="H590" s="2"/>
      <c r="I590" s="2"/>
      <c r="J590" s="2"/>
      <c r="K590" s="2"/>
      <c r="L590" s="2"/>
      <c r="M590" s="2"/>
      <c r="N590" s="2"/>
      <c r="O590" s="2"/>
      <c r="P590" s="2"/>
      <c r="Q590" s="2"/>
    </row>
    <row r="591" ht="15.75" customHeight="1">
      <c r="B591" s="576"/>
      <c r="C591" s="2"/>
      <c r="D591" s="2"/>
      <c r="E591" s="464"/>
      <c r="F591" s="2"/>
      <c r="G591" s="2"/>
      <c r="H591" s="2"/>
      <c r="I591" s="2"/>
      <c r="J591" s="2"/>
      <c r="K591" s="2"/>
      <c r="L591" s="2"/>
      <c r="M591" s="2"/>
      <c r="N591" s="2"/>
      <c r="O591" s="2"/>
      <c r="P591" s="2"/>
      <c r="Q591" s="2"/>
    </row>
    <row r="592" ht="15.75" customHeight="1">
      <c r="B592" s="576"/>
      <c r="C592" s="2"/>
      <c r="D592" s="2"/>
      <c r="E592" s="464"/>
      <c r="F592" s="2"/>
      <c r="G592" s="2"/>
      <c r="H592" s="2"/>
      <c r="I592" s="2"/>
      <c r="J592" s="2"/>
      <c r="K592" s="2"/>
      <c r="L592" s="2"/>
      <c r="M592" s="2"/>
      <c r="N592" s="2"/>
      <c r="O592" s="2"/>
      <c r="P592" s="2"/>
      <c r="Q592" s="2"/>
    </row>
    <row r="593" ht="15.75" customHeight="1">
      <c r="B593" s="576"/>
      <c r="C593" s="2"/>
      <c r="D593" s="2"/>
      <c r="E593" s="464"/>
      <c r="F593" s="2"/>
      <c r="G593" s="2"/>
      <c r="H593" s="2"/>
      <c r="I593" s="2"/>
      <c r="J593" s="2"/>
      <c r="K593" s="2"/>
      <c r="L593" s="2"/>
      <c r="M593" s="2"/>
      <c r="N593" s="2"/>
      <c r="O593" s="2"/>
      <c r="P593" s="2"/>
      <c r="Q593" s="2"/>
    </row>
    <row r="594" ht="15.75" customHeight="1">
      <c r="B594" s="576"/>
      <c r="C594" s="2"/>
      <c r="D594" s="2"/>
      <c r="E594" s="464"/>
      <c r="F594" s="2"/>
      <c r="G594" s="2"/>
      <c r="H594" s="2"/>
      <c r="I594" s="2"/>
      <c r="J594" s="2"/>
      <c r="K594" s="2"/>
      <c r="L594" s="2"/>
      <c r="M594" s="2"/>
      <c r="N594" s="2"/>
      <c r="O594" s="2"/>
      <c r="P594" s="2"/>
      <c r="Q594" s="2"/>
    </row>
    <row r="595" ht="15.75" customHeight="1">
      <c r="B595" s="576"/>
      <c r="C595" s="2"/>
      <c r="D595" s="2"/>
      <c r="E595" s="464"/>
      <c r="F595" s="2"/>
      <c r="G595" s="2"/>
      <c r="H595" s="2"/>
      <c r="I595" s="2"/>
      <c r="J595" s="2"/>
      <c r="K595" s="2"/>
      <c r="L595" s="2"/>
      <c r="M595" s="2"/>
      <c r="N595" s="2"/>
      <c r="O595" s="2"/>
      <c r="P595" s="2"/>
      <c r="Q595" s="2"/>
    </row>
    <row r="596" ht="15.75" customHeight="1">
      <c r="B596" s="576"/>
      <c r="C596" s="2"/>
      <c r="D596" s="2"/>
      <c r="E596" s="464"/>
      <c r="F596" s="2"/>
      <c r="G596" s="2"/>
      <c r="H596" s="2"/>
      <c r="I596" s="2"/>
      <c r="J596" s="2"/>
      <c r="K596" s="2"/>
      <c r="L596" s="2"/>
      <c r="M596" s="2"/>
      <c r="N596" s="2"/>
      <c r="O596" s="2"/>
      <c r="P596" s="2"/>
      <c r="Q596" s="2"/>
    </row>
    <row r="597" ht="15.75" customHeight="1">
      <c r="B597" s="576"/>
      <c r="C597" s="2"/>
      <c r="D597" s="2"/>
      <c r="E597" s="464"/>
      <c r="F597" s="2"/>
      <c r="G597" s="2"/>
      <c r="H597" s="2"/>
      <c r="I597" s="2"/>
      <c r="J597" s="2"/>
      <c r="K597" s="2"/>
      <c r="L597" s="2"/>
      <c r="M597" s="2"/>
      <c r="N597" s="2"/>
      <c r="O597" s="2"/>
      <c r="P597" s="2"/>
      <c r="Q597" s="2"/>
    </row>
    <row r="598" ht="15.75" customHeight="1">
      <c r="B598" s="576"/>
      <c r="C598" s="2"/>
      <c r="D598" s="2"/>
      <c r="E598" s="464"/>
      <c r="F598" s="2"/>
      <c r="G598" s="2"/>
      <c r="H598" s="2"/>
      <c r="I598" s="2"/>
      <c r="J598" s="2"/>
      <c r="K598" s="2"/>
      <c r="L598" s="2"/>
      <c r="M598" s="2"/>
      <c r="N598" s="2"/>
      <c r="O598" s="2"/>
      <c r="P598" s="2"/>
      <c r="Q598" s="2"/>
    </row>
    <row r="599" ht="15.75" customHeight="1">
      <c r="B599" s="576"/>
      <c r="C599" s="2"/>
      <c r="D599" s="2"/>
      <c r="E599" s="464"/>
      <c r="F599" s="2"/>
      <c r="G599" s="2"/>
      <c r="H599" s="2"/>
      <c r="I599" s="2"/>
      <c r="J599" s="2"/>
      <c r="K599" s="2"/>
      <c r="L599" s="2"/>
      <c r="M599" s="2"/>
      <c r="N599" s="2"/>
      <c r="O599" s="2"/>
      <c r="P599" s="2"/>
      <c r="Q599" s="2"/>
    </row>
    <row r="600" ht="15.75" customHeight="1">
      <c r="B600" s="576"/>
      <c r="C600" s="2"/>
      <c r="D600" s="2"/>
      <c r="E600" s="464"/>
      <c r="F600" s="2"/>
      <c r="G600" s="2"/>
      <c r="H600" s="2"/>
      <c r="I600" s="2"/>
      <c r="J600" s="2"/>
      <c r="K600" s="2"/>
      <c r="L600" s="2"/>
      <c r="M600" s="2"/>
      <c r="N600" s="2"/>
      <c r="O600" s="2"/>
      <c r="P600" s="2"/>
      <c r="Q600" s="2"/>
    </row>
    <row r="601" ht="15.75" customHeight="1">
      <c r="B601" s="576"/>
      <c r="C601" s="2"/>
      <c r="D601" s="2"/>
      <c r="E601" s="464"/>
      <c r="F601" s="2"/>
      <c r="G601" s="2"/>
      <c r="H601" s="2"/>
      <c r="I601" s="2"/>
      <c r="J601" s="2"/>
      <c r="K601" s="2"/>
      <c r="L601" s="2"/>
      <c r="M601" s="2"/>
      <c r="N601" s="2"/>
      <c r="O601" s="2"/>
      <c r="P601" s="2"/>
      <c r="Q601" s="2"/>
    </row>
    <row r="602" ht="15.75" customHeight="1">
      <c r="B602" s="576"/>
      <c r="C602" s="2"/>
      <c r="D602" s="2"/>
      <c r="E602" s="464"/>
      <c r="F602" s="2"/>
      <c r="G602" s="2"/>
      <c r="H602" s="2"/>
      <c r="I602" s="2"/>
      <c r="J602" s="2"/>
      <c r="K602" s="2"/>
      <c r="L602" s="2"/>
      <c r="M602" s="2"/>
      <c r="N602" s="2"/>
      <c r="O602" s="2"/>
      <c r="P602" s="2"/>
      <c r="Q602" s="2"/>
    </row>
    <row r="603" ht="15.75" customHeight="1">
      <c r="B603" s="576"/>
      <c r="C603" s="2"/>
      <c r="D603" s="2"/>
      <c r="E603" s="464"/>
      <c r="F603" s="2"/>
      <c r="G603" s="2"/>
      <c r="H603" s="2"/>
      <c r="I603" s="2"/>
      <c r="J603" s="2"/>
      <c r="K603" s="2"/>
      <c r="L603" s="2"/>
      <c r="M603" s="2"/>
      <c r="N603" s="2"/>
      <c r="O603" s="2"/>
      <c r="P603" s="2"/>
      <c r="Q603" s="2"/>
    </row>
    <row r="604" ht="15.75" customHeight="1">
      <c r="B604" s="576"/>
      <c r="C604" s="2"/>
      <c r="D604" s="2"/>
      <c r="E604" s="464"/>
      <c r="F604" s="2"/>
      <c r="G604" s="2"/>
      <c r="H604" s="2"/>
      <c r="I604" s="2"/>
      <c r="J604" s="2"/>
      <c r="K604" s="2"/>
      <c r="L604" s="2"/>
      <c r="M604" s="2"/>
      <c r="N604" s="2"/>
      <c r="O604" s="2"/>
      <c r="P604" s="2"/>
      <c r="Q604" s="2"/>
    </row>
    <row r="605" ht="15.75" customHeight="1">
      <c r="B605" s="576"/>
      <c r="C605" s="2"/>
      <c r="D605" s="2"/>
      <c r="E605" s="464"/>
      <c r="F605" s="2"/>
      <c r="G605" s="2"/>
      <c r="H605" s="2"/>
      <c r="I605" s="2"/>
      <c r="J605" s="2"/>
      <c r="K605" s="2"/>
      <c r="L605" s="2"/>
      <c r="M605" s="2"/>
      <c r="N605" s="2"/>
      <c r="O605" s="2"/>
      <c r="P605" s="2"/>
      <c r="Q605" s="2"/>
    </row>
    <row r="606" ht="15.75" customHeight="1">
      <c r="B606" s="576"/>
      <c r="C606" s="2"/>
      <c r="D606" s="2"/>
      <c r="E606" s="464"/>
      <c r="F606" s="2"/>
      <c r="G606" s="2"/>
      <c r="H606" s="2"/>
      <c r="I606" s="2"/>
      <c r="J606" s="2"/>
      <c r="K606" s="2"/>
      <c r="L606" s="2"/>
      <c r="M606" s="2"/>
      <c r="N606" s="2"/>
      <c r="O606" s="2"/>
      <c r="P606" s="2"/>
      <c r="Q606" s="2"/>
    </row>
    <row r="607" ht="15.75" customHeight="1">
      <c r="B607" s="576"/>
      <c r="C607" s="2"/>
      <c r="D607" s="2"/>
      <c r="E607" s="464"/>
      <c r="F607" s="2"/>
      <c r="G607" s="2"/>
      <c r="H607" s="2"/>
      <c r="I607" s="2"/>
      <c r="J607" s="2"/>
      <c r="K607" s="2"/>
      <c r="L607" s="2"/>
      <c r="M607" s="2"/>
      <c r="N607" s="2"/>
      <c r="O607" s="2"/>
      <c r="P607" s="2"/>
      <c r="Q607" s="2"/>
    </row>
    <row r="608" ht="15.75" customHeight="1">
      <c r="B608" s="576"/>
      <c r="C608" s="2"/>
      <c r="D608" s="2"/>
      <c r="E608" s="464"/>
      <c r="F608" s="2"/>
      <c r="G608" s="2"/>
      <c r="H608" s="2"/>
      <c r="I608" s="2"/>
      <c r="J608" s="2"/>
      <c r="K608" s="2"/>
      <c r="L608" s="2"/>
      <c r="M608" s="2"/>
      <c r="N608" s="2"/>
      <c r="O608" s="2"/>
      <c r="P608" s="2"/>
      <c r="Q608" s="2"/>
    </row>
    <row r="609" ht="15.75" customHeight="1">
      <c r="B609" s="576"/>
      <c r="C609" s="2"/>
      <c r="D609" s="2"/>
      <c r="E609" s="464"/>
      <c r="F609" s="2"/>
      <c r="G609" s="2"/>
      <c r="H609" s="2"/>
      <c r="I609" s="2"/>
      <c r="J609" s="2"/>
      <c r="K609" s="2"/>
      <c r="L609" s="2"/>
      <c r="M609" s="2"/>
      <c r="N609" s="2"/>
      <c r="O609" s="2"/>
      <c r="P609" s="2"/>
      <c r="Q609" s="2"/>
    </row>
    <row r="610" ht="15.75" customHeight="1">
      <c r="B610" s="576"/>
      <c r="C610" s="2"/>
      <c r="D610" s="2"/>
      <c r="E610" s="464"/>
      <c r="F610" s="2"/>
      <c r="G610" s="2"/>
      <c r="H610" s="2"/>
      <c r="I610" s="2"/>
      <c r="J610" s="2"/>
      <c r="K610" s="2"/>
      <c r="L610" s="2"/>
      <c r="M610" s="2"/>
      <c r="N610" s="2"/>
      <c r="O610" s="2"/>
      <c r="P610" s="2"/>
      <c r="Q610" s="2"/>
    </row>
    <row r="611" ht="15.75" customHeight="1">
      <c r="B611" s="576"/>
      <c r="C611" s="2"/>
      <c r="D611" s="2"/>
      <c r="E611" s="464"/>
      <c r="F611" s="2"/>
      <c r="G611" s="2"/>
      <c r="H611" s="2"/>
      <c r="I611" s="2"/>
      <c r="J611" s="2"/>
      <c r="K611" s="2"/>
      <c r="L611" s="2"/>
      <c r="M611" s="2"/>
      <c r="N611" s="2"/>
      <c r="O611" s="2"/>
      <c r="P611" s="2"/>
      <c r="Q611" s="2"/>
    </row>
    <row r="612" ht="15.75" customHeight="1">
      <c r="B612" s="576"/>
      <c r="C612" s="2"/>
      <c r="D612" s="2"/>
      <c r="E612" s="464"/>
      <c r="F612" s="2"/>
      <c r="G612" s="2"/>
      <c r="H612" s="2"/>
      <c r="I612" s="2"/>
      <c r="J612" s="2"/>
      <c r="K612" s="2"/>
      <c r="L612" s="2"/>
      <c r="M612" s="2"/>
      <c r="N612" s="2"/>
      <c r="O612" s="2"/>
      <c r="P612" s="2"/>
      <c r="Q612" s="2"/>
    </row>
    <row r="613" ht="15.75" customHeight="1">
      <c r="B613" s="576"/>
      <c r="C613" s="2"/>
      <c r="D613" s="2"/>
      <c r="E613" s="464"/>
      <c r="F613" s="2"/>
      <c r="G613" s="2"/>
      <c r="H613" s="2"/>
      <c r="I613" s="2"/>
      <c r="J613" s="2"/>
      <c r="K613" s="2"/>
      <c r="L613" s="2"/>
      <c r="M613" s="2"/>
      <c r="N613" s="2"/>
      <c r="O613" s="2"/>
      <c r="P613" s="2"/>
      <c r="Q613" s="2"/>
    </row>
    <row r="614" ht="15.75" customHeight="1">
      <c r="B614" s="576"/>
      <c r="C614" s="2"/>
      <c r="D614" s="2"/>
      <c r="E614" s="464"/>
      <c r="F614" s="2"/>
      <c r="G614" s="2"/>
      <c r="H614" s="2"/>
      <c r="I614" s="2"/>
      <c r="J614" s="2"/>
      <c r="K614" s="2"/>
      <c r="L614" s="2"/>
      <c r="M614" s="2"/>
      <c r="N614" s="2"/>
      <c r="O614" s="2"/>
      <c r="P614" s="2"/>
      <c r="Q614" s="2"/>
    </row>
    <row r="615" ht="15.75" customHeight="1">
      <c r="B615" s="576"/>
      <c r="C615" s="2"/>
      <c r="D615" s="2"/>
      <c r="E615" s="464"/>
      <c r="F615" s="2"/>
      <c r="G615" s="2"/>
      <c r="H615" s="2"/>
      <c r="I615" s="2"/>
      <c r="J615" s="2"/>
      <c r="K615" s="2"/>
      <c r="L615" s="2"/>
      <c r="M615" s="2"/>
      <c r="N615" s="2"/>
      <c r="O615" s="2"/>
      <c r="P615" s="2"/>
      <c r="Q615" s="2"/>
    </row>
    <row r="616" ht="15.75" customHeight="1">
      <c r="B616" s="576"/>
      <c r="C616" s="2"/>
      <c r="D616" s="2"/>
      <c r="E616" s="464"/>
      <c r="F616" s="2"/>
      <c r="G616" s="2"/>
      <c r="H616" s="2"/>
      <c r="I616" s="2"/>
      <c r="J616" s="2"/>
      <c r="K616" s="2"/>
      <c r="L616" s="2"/>
      <c r="M616" s="2"/>
      <c r="N616" s="2"/>
      <c r="O616" s="2"/>
      <c r="P616" s="2"/>
      <c r="Q616" s="2"/>
    </row>
    <row r="617" ht="15.75" customHeight="1">
      <c r="B617" s="576"/>
      <c r="C617" s="2"/>
      <c r="D617" s="2"/>
      <c r="E617" s="464"/>
      <c r="F617" s="2"/>
      <c r="G617" s="2"/>
      <c r="H617" s="2"/>
      <c r="I617" s="2"/>
      <c r="J617" s="2"/>
      <c r="K617" s="2"/>
      <c r="L617" s="2"/>
      <c r="M617" s="2"/>
      <c r="N617" s="2"/>
      <c r="O617" s="2"/>
      <c r="P617" s="2"/>
      <c r="Q617" s="2"/>
    </row>
    <row r="618" ht="15.75" customHeight="1">
      <c r="B618" s="576"/>
      <c r="C618" s="2"/>
      <c r="D618" s="2"/>
      <c r="E618" s="464"/>
      <c r="F618" s="2"/>
      <c r="G618" s="2"/>
      <c r="H618" s="2"/>
      <c r="I618" s="2"/>
      <c r="J618" s="2"/>
      <c r="K618" s="2"/>
      <c r="L618" s="2"/>
      <c r="M618" s="2"/>
      <c r="N618" s="2"/>
      <c r="O618" s="2"/>
      <c r="P618" s="2"/>
      <c r="Q618" s="2"/>
    </row>
    <row r="619" ht="15.75" customHeight="1">
      <c r="B619" s="576"/>
      <c r="C619" s="2"/>
      <c r="D619" s="2"/>
      <c r="E619" s="464"/>
      <c r="F619" s="2"/>
      <c r="G619" s="2"/>
      <c r="H619" s="2"/>
      <c r="I619" s="2"/>
      <c r="J619" s="2"/>
      <c r="K619" s="2"/>
      <c r="L619" s="2"/>
      <c r="M619" s="2"/>
      <c r="N619" s="2"/>
      <c r="O619" s="2"/>
      <c r="P619" s="2"/>
      <c r="Q619" s="2"/>
    </row>
    <row r="620" ht="15.75" customHeight="1">
      <c r="B620" s="576"/>
      <c r="C620" s="2"/>
      <c r="D620" s="2"/>
      <c r="E620" s="464"/>
      <c r="F620" s="2"/>
      <c r="G620" s="2"/>
      <c r="H620" s="2"/>
      <c r="I620" s="2"/>
      <c r="J620" s="2"/>
      <c r="K620" s="2"/>
      <c r="L620" s="2"/>
      <c r="M620" s="2"/>
      <c r="N620" s="2"/>
      <c r="O620" s="2"/>
      <c r="P620" s="2"/>
      <c r="Q620" s="2"/>
    </row>
    <row r="621" ht="15.75" customHeight="1">
      <c r="B621" s="576"/>
      <c r="C621" s="2"/>
      <c r="D621" s="2"/>
      <c r="E621" s="464"/>
      <c r="F621" s="2"/>
      <c r="G621" s="2"/>
      <c r="H621" s="2"/>
      <c r="I621" s="2"/>
      <c r="J621" s="2"/>
      <c r="K621" s="2"/>
      <c r="L621" s="2"/>
      <c r="M621" s="2"/>
      <c r="N621" s="2"/>
      <c r="O621" s="2"/>
      <c r="P621" s="2"/>
      <c r="Q621" s="2"/>
    </row>
    <row r="622" ht="15.75" customHeight="1">
      <c r="B622" s="576"/>
      <c r="C622" s="2"/>
      <c r="D622" s="2"/>
      <c r="E622" s="464"/>
      <c r="F622" s="2"/>
      <c r="G622" s="2"/>
      <c r="H622" s="2"/>
      <c r="I622" s="2"/>
      <c r="J622" s="2"/>
      <c r="K622" s="2"/>
      <c r="L622" s="2"/>
      <c r="M622" s="2"/>
      <c r="N622" s="2"/>
      <c r="O622" s="2"/>
      <c r="P622" s="2"/>
      <c r="Q622" s="2"/>
    </row>
    <row r="623" ht="15.75" customHeight="1">
      <c r="B623" s="576"/>
      <c r="C623" s="2"/>
      <c r="D623" s="2"/>
      <c r="E623" s="464"/>
      <c r="F623" s="2"/>
      <c r="G623" s="2"/>
      <c r="H623" s="2"/>
      <c r="I623" s="2"/>
      <c r="J623" s="2"/>
      <c r="K623" s="2"/>
      <c r="L623" s="2"/>
      <c r="M623" s="2"/>
      <c r="N623" s="2"/>
      <c r="O623" s="2"/>
      <c r="P623" s="2"/>
      <c r="Q623" s="2"/>
    </row>
    <row r="624" ht="15.75" customHeight="1">
      <c r="B624" s="576"/>
      <c r="C624" s="2"/>
      <c r="D624" s="2"/>
      <c r="E624" s="464"/>
      <c r="F624" s="2"/>
      <c r="G624" s="2"/>
      <c r="H624" s="2"/>
      <c r="I624" s="2"/>
      <c r="J624" s="2"/>
      <c r="K624" s="2"/>
      <c r="L624" s="2"/>
      <c r="M624" s="2"/>
      <c r="N624" s="2"/>
      <c r="O624" s="2"/>
      <c r="P624" s="2"/>
      <c r="Q624" s="2"/>
    </row>
    <row r="625" ht="15.75" customHeight="1">
      <c r="B625" s="576"/>
      <c r="C625" s="2"/>
      <c r="D625" s="2"/>
      <c r="E625" s="464"/>
      <c r="F625" s="2"/>
      <c r="G625" s="2"/>
      <c r="H625" s="2"/>
      <c r="I625" s="2"/>
      <c r="J625" s="2"/>
      <c r="K625" s="2"/>
      <c r="L625" s="2"/>
      <c r="M625" s="2"/>
      <c r="N625" s="2"/>
      <c r="O625" s="2"/>
      <c r="P625" s="2"/>
      <c r="Q625" s="2"/>
    </row>
    <row r="626" ht="15.75" customHeight="1">
      <c r="B626" s="576"/>
      <c r="C626" s="2"/>
      <c r="D626" s="2"/>
      <c r="E626" s="464"/>
      <c r="F626" s="2"/>
      <c r="G626" s="2"/>
      <c r="H626" s="2"/>
      <c r="I626" s="2"/>
      <c r="J626" s="2"/>
      <c r="K626" s="2"/>
      <c r="L626" s="2"/>
      <c r="M626" s="2"/>
      <c r="N626" s="2"/>
      <c r="O626" s="2"/>
      <c r="P626" s="2"/>
      <c r="Q626" s="2"/>
    </row>
    <row r="627" ht="15.75" customHeight="1">
      <c r="B627" s="576"/>
      <c r="C627" s="2"/>
      <c r="D627" s="2"/>
      <c r="E627" s="464"/>
      <c r="F627" s="2"/>
      <c r="G627" s="2"/>
      <c r="H627" s="2"/>
      <c r="I627" s="2"/>
      <c r="J627" s="2"/>
      <c r="K627" s="2"/>
      <c r="L627" s="2"/>
      <c r="M627" s="2"/>
      <c r="N627" s="2"/>
      <c r="O627" s="2"/>
      <c r="P627" s="2"/>
      <c r="Q627" s="2"/>
    </row>
    <row r="628" ht="15.75" customHeight="1">
      <c r="B628" s="576"/>
      <c r="C628" s="2"/>
      <c r="D628" s="2"/>
      <c r="E628" s="464"/>
      <c r="F628" s="2"/>
      <c r="G628" s="2"/>
      <c r="H628" s="2"/>
      <c r="I628" s="2"/>
      <c r="J628" s="2"/>
      <c r="K628" s="2"/>
      <c r="L628" s="2"/>
      <c r="M628" s="2"/>
      <c r="N628" s="2"/>
      <c r="O628" s="2"/>
      <c r="P628" s="2"/>
      <c r="Q628" s="2"/>
    </row>
    <row r="629" ht="15.75" customHeight="1">
      <c r="B629" s="576"/>
      <c r="C629" s="2"/>
      <c r="D629" s="2"/>
      <c r="E629" s="464"/>
      <c r="F629" s="2"/>
      <c r="G629" s="2"/>
      <c r="H629" s="2"/>
      <c r="I629" s="2"/>
      <c r="J629" s="2"/>
      <c r="K629" s="2"/>
      <c r="L629" s="2"/>
      <c r="M629" s="2"/>
      <c r="N629" s="2"/>
      <c r="O629" s="2"/>
      <c r="P629" s="2"/>
      <c r="Q629" s="2"/>
    </row>
    <row r="630" ht="15.75" customHeight="1">
      <c r="B630" s="576"/>
      <c r="C630" s="2"/>
      <c r="D630" s="2"/>
      <c r="E630" s="464"/>
      <c r="F630" s="2"/>
      <c r="G630" s="2"/>
      <c r="H630" s="2"/>
      <c r="I630" s="2"/>
      <c r="J630" s="2"/>
      <c r="K630" s="2"/>
      <c r="L630" s="2"/>
      <c r="M630" s="2"/>
      <c r="N630" s="2"/>
      <c r="O630" s="2"/>
      <c r="P630" s="2"/>
      <c r="Q630" s="2"/>
    </row>
    <row r="631" ht="15.75" customHeight="1">
      <c r="B631" s="576"/>
      <c r="C631" s="2"/>
      <c r="D631" s="2"/>
      <c r="E631" s="464"/>
      <c r="F631" s="2"/>
      <c r="G631" s="2"/>
      <c r="H631" s="2"/>
      <c r="I631" s="2"/>
      <c r="J631" s="2"/>
      <c r="K631" s="2"/>
      <c r="L631" s="2"/>
      <c r="M631" s="2"/>
      <c r="N631" s="2"/>
      <c r="O631" s="2"/>
      <c r="P631" s="2"/>
      <c r="Q631" s="2"/>
    </row>
    <row r="632" ht="15.75" customHeight="1">
      <c r="B632" s="576"/>
      <c r="C632" s="2"/>
      <c r="D632" s="2"/>
      <c r="E632" s="464"/>
      <c r="F632" s="2"/>
      <c r="G632" s="2"/>
      <c r="H632" s="2"/>
      <c r="I632" s="2"/>
      <c r="J632" s="2"/>
      <c r="K632" s="2"/>
      <c r="L632" s="2"/>
      <c r="M632" s="2"/>
      <c r="N632" s="2"/>
      <c r="O632" s="2"/>
      <c r="P632" s="2"/>
      <c r="Q632" s="2"/>
    </row>
    <row r="633" ht="15.75" customHeight="1">
      <c r="B633" s="576"/>
      <c r="C633" s="2"/>
      <c r="D633" s="2"/>
      <c r="E633" s="464"/>
      <c r="F633" s="2"/>
      <c r="G633" s="2"/>
      <c r="H633" s="2"/>
      <c r="I633" s="2"/>
      <c r="J633" s="2"/>
      <c r="K633" s="2"/>
      <c r="L633" s="2"/>
      <c r="M633" s="2"/>
      <c r="N633" s="2"/>
      <c r="O633" s="2"/>
      <c r="P633" s="2"/>
      <c r="Q633" s="2"/>
    </row>
    <row r="634" ht="15.75" customHeight="1">
      <c r="B634" s="576"/>
      <c r="C634" s="2"/>
      <c r="D634" s="2"/>
      <c r="E634" s="464"/>
      <c r="F634" s="2"/>
      <c r="G634" s="2"/>
      <c r="H634" s="2"/>
      <c r="I634" s="2"/>
      <c r="J634" s="2"/>
      <c r="K634" s="2"/>
      <c r="L634" s="2"/>
      <c r="M634" s="2"/>
      <c r="N634" s="2"/>
      <c r="O634" s="2"/>
      <c r="P634" s="2"/>
      <c r="Q634" s="2"/>
    </row>
    <row r="635" ht="15.75" customHeight="1">
      <c r="B635" s="576"/>
      <c r="C635" s="2"/>
      <c r="D635" s="2"/>
      <c r="E635" s="464"/>
      <c r="F635" s="2"/>
      <c r="G635" s="2"/>
      <c r="H635" s="2"/>
      <c r="I635" s="2"/>
      <c r="J635" s="2"/>
      <c r="K635" s="2"/>
      <c r="L635" s="2"/>
      <c r="M635" s="2"/>
      <c r="N635" s="2"/>
      <c r="O635" s="2"/>
      <c r="P635" s="2"/>
      <c r="Q635" s="2"/>
    </row>
    <row r="636" ht="15.75" customHeight="1">
      <c r="B636" s="576"/>
      <c r="C636" s="2"/>
      <c r="D636" s="2"/>
      <c r="E636" s="464"/>
      <c r="F636" s="2"/>
      <c r="G636" s="2"/>
      <c r="H636" s="2"/>
      <c r="I636" s="2"/>
      <c r="J636" s="2"/>
      <c r="K636" s="2"/>
      <c r="L636" s="2"/>
      <c r="M636" s="2"/>
      <c r="N636" s="2"/>
      <c r="O636" s="2"/>
      <c r="P636" s="2"/>
      <c r="Q636" s="2"/>
    </row>
    <row r="637" ht="15.75" customHeight="1">
      <c r="B637" s="576"/>
      <c r="C637" s="2"/>
      <c r="D637" s="2"/>
      <c r="E637" s="464"/>
      <c r="F637" s="2"/>
      <c r="G637" s="2"/>
      <c r="H637" s="2"/>
      <c r="I637" s="2"/>
      <c r="J637" s="2"/>
      <c r="K637" s="2"/>
      <c r="L637" s="2"/>
      <c r="M637" s="2"/>
      <c r="N637" s="2"/>
      <c r="O637" s="2"/>
      <c r="P637" s="2"/>
      <c r="Q637" s="2"/>
    </row>
    <row r="638" ht="15.75" customHeight="1">
      <c r="B638" s="576"/>
      <c r="C638" s="2"/>
      <c r="D638" s="2"/>
      <c r="E638" s="464"/>
      <c r="F638" s="2"/>
      <c r="G638" s="2"/>
      <c r="H638" s="2"/>
      <c r="I638" s="2"/>
      <c r="J638" s="2"/>
      <c r="K638" s="2"/>
      <c r="L638" s="2"/>
      <c r="M638" s="2"/>
      <c r="N638" s="2"/>
      <c r="O638" s="2"/>
      <c r="P638" s="2"/>
      <c r="Q638" s="2"/>
    </row>
    <row r="639" ht="15.75" customHeight="1">
      <c r="B639" s="576"/>
      <c r="C639" s="2"/>
      <c r="D639" s="2"/>
      <c r="E639" s="464"/>
      <c r="F639" s="2"/>
      <c r="G639" s="2"/>
      <c r="H639" s="2"/>
      <c r="I639" s="2"/>
      <c r="J639" s="2"/>
      <c r="K639" s="2"/>
      <c r="L639" s="2"/>
      <c r="M639" s="2"/>
      <c r="N639" s="2"/>
      <c r="O639" s="2"/>
      <c r="P639" s="2"/>
      <c r="Q639" s="2"/>
    </row>
    <row r="640" ht="15.75" customHeight="1">
      <c r="B640" s="576"/>
      <c r="C640" s="2"/>
      <c r="D640" s="2"/>
      <c r="E640" s="464"/>
      <c r="F640" s="2"/>
      <c r="G640" s="2"/>
      <c r="H640" s="2"/>
      <c r="I640" s="2"/>
      <c r="J640" s="2"/>
      <c r="K640" s="2"/>
      <c r="L640" s="2"/>
      <c r="M640" s="2"/>
      <c r="N640" s="2"/>
      <c r="O640" s="2"/>
      <c r="P640" s="2"/>
      <c r="Q640" s="2"/>
    </row>
    <row r="641" ht="15.75" customHeight="1">
      <c r="B641" s="576"/>
      <c r="C641" s="2"/>
      <c r="D641" s="2"/>
      <c r="E641" s="464"/>
      <c r="F641" s="2"/>
      <c r="G641" s="2"/>
      <c r="H641" s="2"/>
      <c r="I641" s="2"/>
      <c r="J641" s="2"/>
      <c r="K641" s="2"/>
      <c r="L641" s="2"/>
      <c r="M641" s="2"/>
      <c r="N641" s="2"/>
      <c r="O641" s="2"/>
      <c r="P641" s="2"/>
      <c r="Q641" s="2"/>
    </row>
    <row r="642" ht="15.75" customHeight="1">
      <c r="B642" s="576"/>
      <c r="C642" s="2"/>
      <c r="D642" s="2"/>
      <c r="E642" s="464"/>
      <c r="F642" s="2"/>
      <c r="G642" s="2"/>
      <c r="H642" s="2"/>
      <c r="I642" s="2"/>
      <c r="J642" s="2"/>
      <c r="K642" s="2"/>
      <c r="L642" s="2"/>
      <c r="M642" s="2"/>
      <c r="N642" s="2"/>
      <c r="O642" s="2"/>
      <c r="P642" s="2"/>
      <c r="Q642" s="2"/>
    </row>
    <row r="643" ht="15.75" customHeight="1">
      <c r="B643" s="576"/>
      <c r="C643" s="2"/>
      <c r="D643" s="2"/>
      <c r="E643" s="464"/>
      <c r="F643" s="2"/>
      <c r="G643" s="2"/>
      <c r="H643" s="2"/>
      <c r="I643" s="2"/>
      <c r="J643" s="2"/>
      <c r="K643" s="2"/>
      <c r="L643" s="2"/>
      <c r="M643" s="2"/>
      <c r="N643" s="2"/>
      <c r="O643" s="2"/>
      <c r="P643" s="2"/>
      <c r="Q643" s="2"/>
    </row>
    <row r="644" ht="15.75" customHeight="1">
      <c r="B644" s="576"/>
      <c r="C644" s="2"/>
      <c r="D644" s="2"/>
      <c r="E644" s="464"/>
      <c r="F644" s="2"/>
      <c r="G644" s="2"/>
      <c r="H644" s="2"/>
      <c r="I644" s="2"/>
      <c r="J644" s="2"/>
      <c r="K644" s="2"/>
      <c r="L644" s="2"/>
      <c r="M644" s="2"/>
      <c r="N644" s="2"/>
      <c r="O644" s="2"/>
      <c r="P644" s="2"/>
      <c r="Q644" s="2"/>
    </row>
    <row r="645" ht="15.75" customHeight="1">
      <c r="B645" s="576"/>
      <c r="C645" s="2"/>
      <c r="D645" s="2"/>
      <c r="E645" s="464"/>
      <c r="F645" s="2"/>
      <c r="G645" s="2"/>
      <c r="H645" s="2"/>
      <c r="I645" s="2"/>
      <c r="J645" s="2"/>
      <c r="K645" s="2"/>
      <c r="L645" s="2"/>
      <c r="M645" s="2"/>
      <c r="N645" s="2"/>
      <c r="O645" s="2"/>
      <c r="P645" s="2"/>
      <c r="Q645" s="2"/>
    </row>
    <row r="646" ht="15.75" customHeight="1">
      <c r="B646" s="576"/>
      <c r="C646" s="2"/>
      <c r="D646" s="2"/>
      <c r="E646" s="464"/>
      <c r="F646" s="2"/>
      <c r="G646" s="2"/>
      <c r="H646" s="2"/>
      <c r="I646" s="2"/>
      <c r="J646" s="2"/>
      <c r="K646" s="2"/>
      <c r="L646" s="2"/>
      <c r="M646" s="2"/>
      <c r="N646" s="2"/>
      <c r="O646" s="2"/>
      <c r="P646" s="2"/>
      <c r="Q646" s="2"/>
    </row>
    <row r="647" ht="15.75" customHeight="1">
      <c r="B647" s="576"/>
      <c r="C647" s="2"/>
      <c r="D647" s="2"/>
      <c r="E647" s="464"/>
      <c r="F647" s="2"/>
      <c r="G647" s="2"/>
      <c r="H647" s="2"/>
      <c r="I647" s="2"/>
      <c r="J647" s="2"/>
      <c r="K647" s="2"/>
      <c r="L647" s="2"/>
      <c r="M647" s="2"/>
      <c r="N647" s="2"/>
      <c r="O647" s="2"/>
      <c r="P647" s="2"/>
      <c r="Q647" s="2"/>
    </row>
    <row r="648" ht="15.75" customHeight="1">
      <c r="B648" s="576"/>
      <c r="C648" s="2"/>
      <c r="D648" s="2"/>
      <c r="E648" s="464"/>
      <c r="F648" s="2"/>
      <c r="G648" s="2"/>
      <c r="H648" s="2"/>
      <c r="I648" s="2"/>
      <c r="J648" s="2"/>
      <c r="K648" s="2"/>
      <c r="L648" s="2"/>
      <c r="M648" s="2"/>
      <c r="N648" s="2"/>
      <c r="O648" s="2"/>
      <c r="P648" s="2"/>
      <c r="Q648" s="2"/>
    </row>
    <row r="649" ht="15.75" customHeight="1">
      <c r="B649" s="576"/>
      <c r="C649" s="2"/>
      <c r="D649" s="2"/>
      <c r="E649" s="464"/>
      <c r="F649" s="2"/>
      <c r="G649" s="2"/>
      <c r="H649" s="2"/>
      <c r="I649" s="2"/>
      <c r="J649" s="2"/>
      <c r="K649" s="2"/>
      <c r="L649" s="2"/>
      <c r="M649" s="2"/>
      <c r="N649" s="2"/>
      <c r="O649" s="2"/>
      <c r="P649" s="2"/>
      <c r="Q649" s="2"/>
    </row>
    <row r="650" ht="15.75" customHeight="1">
      <c r="B650" s="576"/>
      <c r="C650" s="2"/>
      <c r="D650" s="2"/>
      <c r="E650" s="464"/>
      <c r="F650" s="2"/>
      <c r="G650" s="2"/>
      <c r="H650" s="2"/>
      <c r="I650" s="2"/>
      <c r="J650" s="2"/>
      <c r="K650" s="2"/>
      <c r="L650" s="2"/>
      <c r="M650" s="2"/>
      <c r="N650" s="2"/>
      <c r="O650" s="2"/>
      <c r="P650" s="2"/>
      <c r="Q650" s="2"/>
    </row>
    <row r="651" ht="15.75" customHeight="1">
      <c r="B651" s="576"/>
      <c r="C651" s="2"/>
      <c r="D651" s="2"/>
      <c r="E651" s="464"/>
      <c r="F651" s="2"/>
      <c r="G651" s="2"/>
      <c r="H651" s="2"/>
      <c r="I651" s="2"/>
      <c r="J651" s="2"/>
      <c r="K651" s="2"/>
      <c r="L651" s="2"/>
      <c r="M651" s="2"/>
      <c r="N651" s="2"/>
      <c r="O651" s="2"/>
      <c r="P651" s="2"/>
      <c r="Q651" s="2"/>
    </row>
    <row r="652" ht="15.75" customHeight="1">
      <c r="B652" s="576"/>
      <c r="C652" s="2"/>
      <c r="D652" s="2"/>
      <c r="E652" s="464"/>
      <c r="F652" s="2"/>
      <c r="G652" s="2"/>
      <c r="H652" s="2"/>
      <c r="I652" s="2"/>
      <c r="J652" s="2"/>
      <c r="K652" s="2"/>
      <c r="L652" s="2"/>
      <c r="M652" s="2"/>
      <c r="N652" s="2"/>
      <c r="O652" s="2"/>
      <c r="P652" s="2"/>
      <c r="Q652" s="2"/>
    </row>
    <row r="653" ht="15.75" customHeight="1">
      <c r="B653" s="576"/>
      <c r="C653" s="2"/>
      <c r="D653" s="2"/>
      <c r="E653" s="464"/>
      <c r="F653" s="2"/>
      <c r="G653" s="2"/>
      <c r="H653" s="2"/>
      <c r="I653" s="2"/>
      <c r="J653" s="2"/>
      <c r="K653" s="2"/>
      <c r="L653" s="2"/>
      <c r="M653" s="2"/>
      <c r="N653" s="2"/>
      <c r="O653" s="2"/>
      <c r="P653" s="2"/>
      <c r="Q653" s="2"/>
    </row>
    <row r="654" ht="15.75" customHeight="1">
      <c r="B654" s="576"/>
      <c r="C654" s="2"/>
      <c r="D654" s="2"/>
      <c r="E654" s="464"/>
      <c r="F654" s="2"/>
      <c r="G654" s="2"/>
      <c r="H654" s="2"/>
      <c r="I654" s="2"/>
      <c r="J654" s="2"/>
      <c r="K654" s="2"/>
      <c r="L654" s="2"/>
      <c r="M654" s="2"/>
      <c r="N654" s="2"/>
      <c r="O654" s="2"/>
      <c r="P654" s="2"/>
      <c r="Q654" s="2"/>
    </row>
    <row r="655" ht="15.75" customHeight="1">
      <c r="B655" s="576"/>
      <c r="C655" s="2"/>
      <c r="D655" s="2"/>
      <c r="E655" s="464"/>
      <c r="F655" s="2"/>
      <c r="G655" s="2"/>
      <c r="H655" s="2"/>
      <c r="I655" s="2"/>
      <c r="J655" s="2"/>
      <c r="K655" s="2"/>
      <c r="L655" s="2"/>
      <c r="M655" s="2"/>
      <c r="N655" s="2"/>
      <c r="O655" s="2"/>
      <c r="P655" s="2"/>
      <c r="Q655" s="2"/>
    </row>
    <row r="656" ht="15.75" customHeight="1">
      <c r="B656" s="576"/>
      <c r="C656" s="2"/>
      <c r="D656" s="2"/>
      <c r="E656" s="464"/>
      <c r="F656" s="2"/>
      <c r="G656" s="2"/>
      <c r="H656" s="2"/>
      <c r="I656" s="2"/>
      <c r="J656" s="2"/>
      <c r="K656" s="2"/>
      <c r="L656" s="2"/>
      <c r="M656" s="2"/>
      <c r="N656" s="2"/>
      <c r="O656" s="2"/>
      <c r="P656" s="2"/>
      <c r="Q656" s="2"/>
    </row>
    <row r="657" ht="15.75" customHeight="1">
      <c r="B657" s="576"/>
      <c r="C657" s="2"/>
      <c r="D657" s="2"/>
      <c r="E657" s="464"/>
      <c r="F657" s="2"/>
      <c r="G657" s="2"/>
      <c r="H657" s="2"/>
      <c r="I657" s="2"/>
      <c r="J657" s="2"/>
      <c r="K657" s="2"/>
      <c r="L657" s="2"/>
      <c r="M657" s="2"/>
      <c r="N657" s="2"/>
      <c r="O657" s="2"/>
      <c r="P657" s="2"/>
      <c r="Q657" s="2"/>
    </row>
    <row r="658" ht="15.75" customHeight="1">
      <c r="B658" s="576"/>
      <c r="C658" s="2"/>
      <c r="D658" s="2"/>
      <c r="E658" s="464"/>
      <c r="F658" s="2"/>
      <c r="G658" s="2"/>
      <c r="H658" s="2"/>
      <c r="I658" s="2"/>
      <c r="J658" s="2"/>
      <c r="K658" s="2"/>
      <c r="L658" s="2"/>
      <c r="M658" s="2"/>
      <c r="N658" s="2"/>
      <c r="O658" s="2"/>
      <c r="P658" s="2"/>
      <c r="Q658" s="2"/>
    </row>
    <row r="659" ht="15.75" customHeight="1">
      <c r="B659" s="576"/>
      <c r="C659" s="2"/>
      <c r="D659" s="2"/>
      <c r="E659" s="464"/>
      <c r="F659" s="2"/>
      <c r="G659" s="2"/>
      <c r="H659" s="2"/>
      <c r="I659" s="2"/>
      <c r="J659" s="2"/>
      <c r="K659" s="2"/>
      <c r="L659" s="2"/>
      <c r="M659" s="2"/>
      <c r="N659" s="2"/>
      <c r="O659" s="2"/>
      <c r="P659" s="2"/>
      <c r="Q659" s="2"/>
    </row>
    <row r="660" ht="15.75" customHeight="1">
      <c r="B660" s="576"/>
      <c r="C660" s="2"/>
      <c r="D660" s="2"/>
      <c r="E660" s="464"/>
      <c r="F660" s="2"/>
      <c r="G660" s="2"/>
      <c r="H660" s="2"/>
      <c r="I660" s="2"/>
      <c r="J660" s="2"/>
      <c r="K660" s="2"/>
      <c r="L660" s="2"/>
      <c r="M660" s="2"/>
      <c r="N660" s="2"/>
      <c r="O660" s="2"/>
      <c r="P660" s="2"/>
      <c r="Q660" s="2"/>
    </row>
    <row r="661" ht="15.75" customHeight="1">
      <c r="B661" s="576"/>
      <c r="C661" s="2"/>
      <c r="D661" s="2"/>
      <c r="E661" s="464"/>
      <c r="F661" s="2"/>
      <c r="G661" s="2"/>
      <c r="H661" s="2"/>
      <c r="I661" s="2"/>
      <c r="J661" s="2"/>
      <c r="K661" s="2"/>
      <c r="L661" s="2"/>
      <c r="M661" s="2"/>
      <c r="N661" s="2"/>
      <c r="O661" s="2"/>
      <c r="P661" s="2"/>
      <c r="Q661" s="2"/>
    </row>
    <row r="662" ht="15.75" customHeight="1">
      <c r="B662" s="576"/>
      <c r="C662" s="2"/>
      <c r="D662" s="2"/>
      <c r="E662" s="464"/>
      <c r="F662" s="2"/>
      <c r="G662" s="2"/>
      <c r="H662" s="2"/>
      <c r="I662" s="2"/>
      <c r="J662" s="2"/>
      <c r="K662" s="2"/>
      <c r="L662" s="2"/>
      <c r="M662" s="2"/>
      <c r="N662" s="2"/>
      <c r="O662" s="2"/>
      <c r="P662" s="2"/>
      <c r="Q662" s="2"/>
    </row>
    <row r="663" ht="15.75" customHeight="1">
      <c r="B663" s="576"/>
      <c r="C663" s="2"/>
      <c r="D663" s="2"/>
      <c r="E663" s="464"/>
      <c r="F663" s="2"/>
      <c r="G663" s="2"/>
      <c r="H663" s="2"/>
      <c r="I663" s="2"/>
      <c r="J663" s="2"/>
      <c r="K663" s="2"/>
      <c r="L663" s="2"/>
      <c r="M663" s="2"/>
      <c r="N663" s="2"/>
      <c r="O663" s="2"/>
      <c r="P663" s="2"/>
      <c r="Q663" s="2"/>
    </row>
    <row r="664" ht="15.75" customHeight="1">
      <c r="B664" s="576"/>
      <c r="C664" s="2"/>
      <c r="D664" s="2"/>
      <c r="E664" s="464"/>
      <c r="F664" s="2"/>
      <c r="G664" s="2"/>
      <c r="H664" s="2"/>
      <c r="I664" s="2"/>
      <c r="J664" s="2"/>
      <c r="K664" s="2"/>
      <c r="L664" s="2"/>
      <c r="M664" s="2"/>
      <c r="N664" s="2"/>
      <c r="O664" s="2"/>
      <c r="P664" s="2"/>
      <c r="Q664" s="2"/>
    </row>
    <row r="665" ht="15.75" customHeight="1">
      <c r="B665" s="576"/>
      <c r="C665" s="2"/>
      <c r="D665" s="2"/>
      <c r="E665" s="464"/>
      <c r="F665" s="2"/>
      <c r="G665" s="2"/>
      <c r="H665" s="2"/>
      <c r="I665" s="2"/>
      <c r="J665" s="2"/>
      <c r="K665" s="2"/>
      <c r="L665" s="2"/>
      <c r="M665" s="2"/>
      <c r="N665" s="2"/>
      <c r="O665" s="2"/>
      <c r="P665" s="2"/>
      <c r="Q665" s="2"/>
    </row>
    <row r="666" ht="15.75" customHeight="1">
      <c r="B666" s="576"/>
      <c r="C666" s="2"/>
      <c r="D666" s="2"/>
      <c r="E666" s="464"/>
      <c r="F666" s="2"/>
      <c r="G666" s="2"/>
      <c r="H666" s="2"/>
      <c r="I666" s="2"/>
      <c r="J666" s="2"/>
      <c r="K666" s="2"/>
      <c r="L666" s="2"/>
      <c r="M666" s="2"/>
      <c r="N666" s="2"/>
      <c r="O666" s="2"/>
      <c r="P666" s="2"/>
      <c r="Q666" s="2"/>
    </row>
    <row r="667" ht="15.75" customHeight="1">
      <c r="B667" s="576"/>
      <c r="C667" s="2"/>
      <c r="D667" s="2"/>
      <c r="E667" s="464"/>
      <c r="F667" s="2"/>
      <c r="G667" s="2"/>
      <c r="H667" s="2"/>
      <c r="I667" s="2"/>
      <c r="J667" s="2"/>
      <c r="K667" s="2"/>
      <c r="L667" s="2"/>
      <c r="M667" s="2"/>
      <c r="N667" s="2"/>
      <c r="O667" s="2"/>
      <c r="P667" s="2"/>
      <c r="Q667" s="2"/>
    </row>
    <row r="668" ht="15.75" customHeight="1">
      <c r="B668" s="576"/>
      <c r="C668" s="2"/>
      <c r="D668" s="2"/>
      <c r="E668" s="464"/>
      <c r="F668" s="2"/>
      <c r="G668" s="2"/>
      <c r="H668" s="2"/>
      <c r="I668" s="2"/>
      <c r="J668" s="2"/>
      <c r="K668" s="2"/>
      <c r="L668" s="2"/>
      <c r="M668" s="2"/>
      <c r="N668" s="2"/>
      <c r="O668" s="2"/>
      <c r="P668" s="2"/>
      <c r="Q668" s="2"/>
    </row>
    <row r="669" ht="15.75" customHeight="1">
      <c r="B669" s="576"/>
      <c r="C669" s="2"/>
      <c r="D669" s="2"/>
      <c r="E669" s="464"/>
      <c r="F669" s="2"/>
      <c r="G669" s="2"/>
      <c r="H669" s="2"/>
      <c r="I669" s="2"/>
      <c r="J669" s="2"/>
      <c r="K669" s="2"/>
      <c r="L669" s="2"/>
      <c r="M669" s="2"/>
      <c r="N669" s="2"/>
      <c r="O669" s="2"/>
      <c r="P669" s="2"/>
      <c r="Q669" s="2"/>
    </row>
    <row r="670" ht="15.75" customHeight="1">
      <c r="B670" s="576"/>
      <c r="C670" s="2"/>
      <c r="D670" s="2"/>
      <c r="E670" s="464"/>
      <c r="F670" s="2"/>
      <c r="G670" s="2"/>
      <c r="H670" s="2"/>
      <c r="I670" s="2"/>
      <c r="J670" s="2"/>
      <c r="K670" s="2"/>
      <c r="L670" s="2"/>
      <c r="M670" s="2"/>
      <c r="N670" s="2"/>
      <c r="O670" s="2"/>
      <c r="P670" s="2"/>
      <c r="Q670" s="2"/>
    </row>
    <row r="671" ht="15.75" customHeight="1">
      <c r="B671" s="576"/>
      <c r="C671" s="2"/>
      <c r="D671" s="2"/>
      <c r="E671" s="464"/>
      <c r="F671" s="2"/>
      <c r="G671" s="2"/>
      <c r="H671" s="2"/>
      <c r="I671" s="2"/>
      <c r="J671" s="2"/>
      <c r="K671" s="2"/>
      <c r="L671" s="2"/>
      <c r="M671" s="2"/>
      <c r="N671" s="2"/>
      <c r="O671" s="2"/>
      <c r="P671" s="2"/>
      <c r="Q671" s="2"/>
    </row>
    <row r="672" ht="15.75" customHeight="1">
      <c r="B672" s="576"/>
      <c r="C672" s="2"/>
      <c r="D672" s="2"/>
      <c r="E672" s="464"/>
      <c r="F672" s="2"/>
      <c r="G672" s="2"/>
      <c r="H672" s="2"/>
      <c r="I672" s="2"/>
      <c r="J672" s="2"/>
      <c r="K672" s="2"/>
      <c r="L672" s="2"/>
      <c r="M672" s="2"/>
      <c r="N672" s="2"/>
      <c r="O672" s="2"/>
      <c r="P672" s="2"/>
      <c r="Q672" s="2"/>
    </row>
    <row r="673" ht="15.75" customHeight="1">
      <c r="B673" s="576"/>
      <c r="C673" s="2"/>
      <c r="D673" s="2"/>
      <c r="E673" s="464"/>
      <c r="F673" s="2"/>
      <c r="G673" s="2"/>
      <c r="H673" s="2"/>
      <c r="I673" s="2"/>
      <c r="J673" s="2"/>
      <c r="K673" s="2"/>
      <c r="L673" s="2"/>
      <c r="M673" s="2"/>
      <c r="N673" s="2"/>
      <c r="O673" s="2"/>
      <c r="P673" s="2"/>
      <c r="Q673" s="2"/>
    </row>
    <row r="674" ht="15.75" customHeight="1">
      <c r="B674" s="576"/>
      <c r="C674" s="2"/>
      <c r="D674" s="2"/>
      <c r="E674" s="464"/>
      <c r="F674" s="2"/>
      <c r="G674" s="2"/>
      <c r="H674" s="2"/>
      <c r="I674" s="2"/>
      <c r="J674" s="2"/>
      <c r="K674" s="2"/>
      <c r="L674" s="2"/>
      <c r="M674" s="2"/>
      <c r="N674" s="2"/>
      <c r="O674" s="2"/>
      <c r="P674" s="2"/>
      <c r="Q674" s="2"/>
    </row>
    <row r="675" ht="15.75" customHeight="1">
      <c r="B675" s="576"/>
      <c r="C675" s="2"/>
      <c r="D675" s="2"/>
      <c r="E675" s="464"/>
      <c r="F675" s="2"/>
      <c r="G675" s="2"/>
      <c r="H675" s="2"/>
      <c r="I675" s="2"/>
      <c r="J675" s="2"/>
      <c r="K675" s="2"/>
      <c r="L675" s="2"/>
      <c r="M675" s="2"/>
      <c r="N675" s="2"/>
      <c r="O675" s="2"/>
      <c r="P675" s="2"/>
      <c r="Q675" s="2"/>
    </row>
    <row r="676" ht="15.75" customHeight="1">
      <c r="B676" s="576"/>
      <c r="C676" s="2"/>
      <c r="D676" s="2"/>
      <c r="E676" s="464"/>
      <c r="F676" s="2"/>
      <c r="G676" s="2"/>
      <c r="H676" s="2"/>
      <c r="I676" s="2"/>
      <c r="J676" s="2"/>
      <c r="K676" s="2"/>
      <c r="L676" s="2"/>
      <c r="M676" s="2"/>
      <c r="N676" s="2"/>
      <c r="O676" s="2"/>
      <c r="P676" s="2"/>
      <c r="Q676" s="2"/>
    </row>
    <row r="677" ht="15.75" customHeight="1">
      <c r="B677" s="576"/>
      <c r="C677" s="2"/>
      <c r="D677" s="2"/>
      <c r="E677" s="464"/>
      <c r="F677" s="2"/>
      <c r="G677" s="2"/>
      <c r="H677" s="2"/>
      <c r="I677" s="2"/>
      <c r="J677" s="2"/>
      <c r="K677" s="2"/>
      <c r="L677" s="2"/>
      <c r="M677" s="2"/>
      <c r="N677" s="2"/>
      <c r="O677" s="2"/>
      <c r="P677" s="2"/>
      <c r="Q677" s="2"/>
    </row>
    <row r="678" ht="15.75" customHeight="1">
      <c r="B678" s="576"/>
      <c r="C678" s="2"/>
      <c r="D678" s="2"/>
      <c r="E678" s="464"/>
      <c r="F678" s="2"/>
      <c r="G678" s="2"/>
      <c r="H678" s="2"/>
      <c r="I678" s="2"/>
      <c r="J678" s="2"/>
      <c r="K678" s="2"/>
      <c r="L678" s="2"/>
      <c r="M678" s="2"/>
      <c r="N678" s="2"/>
      <c r="O678" s="2"/>
      <c r="P678" s="2"/>
      <c r="Q678" s="2"/>
    </row>
    <row r="679" ht="15.75" customHeight="1">
      <c r="B679" s="576"/>
      <c r="C679" s="2"/>
      <c r="D679" s="2"/>
      <c r="E679" s="464"/>
      <c r="F679" s="2"/>
      <c r="G679" s="2"/>
      <c r="H679" s="2"/>
      <c r="I679" s="2"/>
      <c r="J679" s="2"/>
      <c r="K679" s="2"/>
      <c r="L679" s="2"/>
      <c r="M679" s="2"/>
      <c r="N679" s="2"/>
      <c r="O679" s="2"/>
      <c r="P679" s="2"/>
      <c r="Q679" s="2"/>
    </row>
    <row r="680" ht="15.75" customHeight="1">
      <c r="B680" s="576"/>
      <c r="C680" s="2"/>
      <c r="D680" s="2"/>
      <c r="E680" s="464"/>
      <c r="F680" s="2"/>
      <c r="G680" s="2"/>
      <c r="H680" s="2"/>
      <c r="I680" s="2"/>
      <c r="J680" s="2"/>
      <c r="K680" s="2"/>
      <c r="L680" s="2"/>
      <c r="M680" s="2"/>
      <c r="N680" s="2"/>
      <c r="O680" s="2"/>
      <c r="P680" s="2"/>
      <c r="Q680" s="2"/>
    </row>
    <row r="681" ht="15.75" customHeight="1">
      <c r="B681" s="576"/>
      <c r="C681" s="2"/>
      <c r="D681" s="2"/>
      <c r="E681" s="464"/>
      <c r="F681" s="2"/>
      <c r="G681" s="2"/>
      <c r="H681" s="2"/>
      <c r="I681" s="2"/>
      <c r="J681" s="2"/>
      <c r="K681" s="2"/>
      <c r="L681" s="2"/>
      <c r="M681" s="2"/>
      <c r="N681" s="2"/>
      <c r="O681" s="2"/>
      <c r="P681" s="2"/>
      <c r="Q681" s="2"/>
    </row>
    <row r="682" ht="15.75" customHeight="1">
      <c r="B682" s="576"/>
      <c r="C682" s="2"/>
      <c r="D682" s="2"/>
      <c r="E682" s="464"/>
      <c r="F682" s="2"/>
      <c r="G682" s="2"/>
      <c r="H682" s="2"/>
      <c r="I682" s="2"/>
      <c r="J682" s="2"/>
      <c r="K682" s="2"/>
      <c r="L682" s="2"/>
      <c r="M682" s="2"/>
      <c r="N682" s="2"/>
      <c r="O682" s="2"/>
      <c r="P682" s="2"/>
      <c r="Q682" s="2"/>
    </row>
    <row r="683" ht="15.75" customHeight="1">
      <c r="B683" s="576"/>
      <c r="C683" s="2"/>
      <c r="D683" s="2"/>
      <c r="E683" s="464"/>
      <c r="F683" s="2"/>
      <c r="G683" s="2"/>
      <c r="H683" s="2"/>
      <c r="I683" s="2"/>
      <c r="J683" s="2"/>
      <c r="K683" s="2"/>
      <c r="L683" s="2"/>
      <c r="M683" s="2"/>
      <c r="N683" s="2"/>
      <c r="O683" s="2"/>
      <c r="P683" s="2"/>
      <c r="Q683" s="2"/>
    </row>
    <row r="684" ht="15.75" customHeight="1">
      <c r="B684" s="576"/>
      <c r="C684" s="2"/>
      <c r="D684" s="2"/>
      <c r="E684" s="464"/>
      <c r="F684" s="2"/>
      <c r="G684" s="2"/>
      <c r="H684" s="2"/>
      <c r="I684" s="2"/>
      <c r="J684" s="2"/>
      <c r="K684" s="2"/>
      <c r="L684" s="2"/>
      <c r="M684" s="2"/>
      <c r="N684" s="2"/>
      <c r="O684" s="2"/>
      <c r="P684" s="2"/>
      <c r="Q684" s="2"/>
    </row>
    <row r="685" ht="15.75" customHeight="1">
      <c r="B685" s="576"/>
      <c r="C685" s="2"/>
      <c r="D685" s="2"/>
      <c r="E685" s="464"/>
      <c r="F685" s="2"/>
      <c r="G685" s="2"/>
      <c r="H685" s="2"/>
      <c r="I685" s="2"/>
      <c r="J685" s="2"/>
      <c r="K685" s="2"/>
      <c r="L685" s="2"/>
      <c r="M685" s="2"/>
      <c r="N685" s="2"/>
      <c r="O685" s="2"/>
      <c r="P685" s="2"/>
      <c r="Q685" s="2"/>
    </row>
    <row r="686" ht="15.75" customHeight="1">
      <c r="B686" s="576"/>
      <c r="C686" s="2"/>
      <c r="D686" s="2"/>
      <c r="E686" s="464"/>
      <c r="F686" s="2"/>
      <c r="G686" s="2"/>
      <c r="H686" s="2"/>
      <c r="I686" s="2"/>
      <c r="J686" s="2"/>
      <c r="K686" s="2"/>
      <c r="L686" s="2"/>
      <c r="M686" s="2"/>
      <c r="N686" s="2"/>
      <c r="O686" s="2"/>
      <c r="P686" s="2"/>
      <c r="Q686" s="2"/>
    </row>
    <row r="687" ht="15.75" customHeight="1">
      <c r="B687" s="576"/>
      <c r="C687" s="2"/>
      <c r="D687" s="2"/>
      <c r="E687" s="464"/>
      <c r="F687" s="2"/>
      <c r="G687" s="2"/>
      <c r="H687" s="2"/>
      <c r="I687" s="2"/>
      <c r="J687" s="2"/>
      <c r="K687" s="2"/>
      <c r="L687" s="2"/>
      <c r="M687" s="2"/>
      <c r="N687" s="2"/>
      <c r="O687" s="2"/>
      <c r="P687" s="2"/>
      <c r="Q687" s="2"/>
    </row>
    <row r="688" ht="15.75" customHeight="1">
      <c r="B688" s="576"/>
      <c r="C688" s="2"/>
      <c r="D688" s="2"/>
      <c r="E688" s="464"/>
      <c r="F688" s="2"/>
      <c r="G688" s="2"/>
      <c r="H688" s="2"/>
      <c r="I688" s="2"/>
      <c r="J688" s="2"/>
      <c r="K688" s="2"/>
      <c r="L688" s="2"/>
      <c r="M688" s="2"/>
      <c r="N688" s="2"/>
      <c r="O688" s="2"/>
      <c r="P688" s="2"/>
      <c r="Q688" s="2"/>
    </row>
    <row r="689" ht="15.75" customHeight="1">
      <c r="B689" s="576"/>
      <c r="C689" s="2"/>
      <c r="D689" s="2"/>
      <c r="E689" s="464"/>
      <c r="F689" s="2"/>
      <c r="G689" s="2"/>
      <c r="H689" s="2"/>
      <c r="I689" s="2"/>
      <c r="J689" s="2"/>
      <c r="K689" s="2"/>
      <c r="L689" s="2"/>
      <c r="M689" s="2"/>
      <c r="N689" s="2"/>
      <c r="O689" s="2"/>
      <c r="P689" s="2"/>
      <c r="Q689" s="2"/>
    </row>
    <row r="690" ht="15.75" customHeight="1">
      <c r="B690" s="576"/>
      <c r="C690" s="2"/>
      <c r="D690" s="2"/>
      <c r="E690" s="464"/>
      <c r="F690" s="2"/>
      <c r="G690" s="2"/>
      <c r="H690" s="2"/>
      <c r="I690" s="2"/>
      <c r="J690" s="2"/>
      <c r="K690" s="2"/>
      <c r="L690" s="2"/>
      <c r="M690" s="2"/>
      <c r="N690" s="2"/>
      <c r="O690" s="2"/>
      <c r="P690" s="2"/>
      <c r="Q690" s="2"/>
    </row>
    <row r="691" ht="15.75" customHeight="1">
      <c r="B691" s="576"/>
      <c r="C691" s="2"/>
      <c r="D691" s="2"/>
      <c r="E691" s="464"/>
      <c r="F691" s="2"/>
      <c r="G691" s="2"/>
      <c r="H691" s="2"/>
      <c r="I691" s="2"/>
      <c r="J691" s="2"/>
      <c r="K691" s="2"/>
      <c r="L691" s="2"/>
      <c r="M691" s="2"/>
      <c r="N691" s="2"/>
      <c r="O691" s="2"/>
      <c r="P691" s="2"/>
      <c r="Q691" s="2"/>
    </row>
    <row r="692" ht="15.75" customHeight="1">
      <c r="B692" s="576"/>
      <c r="C692" s="2"/>
      <c r="D692" s="2"/>
      <c r="E692" s="464"/>
      <c r="F692" s="2"/>
      <c r="G692" s="2"/>
      <c r="H692" s="2"/>
      <c r="I692" s="2"/>
      <c r="J692" s="2"/>
      <c r="K692" s="2"/>
      <c r="L692" s="2"/>
      <c r="M692" s="2"/>
      <c r="N692" s="2"/>
      <c r="O692" s="2"/>
      <c r="P692" s="2"/>
      <c r="Q692" s="2"/>
    </row>
    <row r="693" ht="15.75" customHeight="1">
      <c r="B693" s="576"/>
      <c r="C693" s="2"/>
      <c r="D693" s="2"/>
      <c r="E693" s="464"/>
      <c r="F693" s="2"/>
      <c r="G693" s="2"/>
      <c r="H693" s="2"/>
      <c r="I693" s="2"/>
      <c r="J693" s="2"/>
      <c r="K693" s="2"/>
      <c r="L693" s="2"/>
      <c r="M693" s="2"/>
      <c r="N693" s="2"/>
      <c r="O693" s="2"/>
      <c r="P693" s="2"/>
      <c r="Q693" s="2"/>
    </row>
    <row r="694" ht="15.75" customHeight="1">
      <c r="B694" s="576"/>
      <c r="C694" s="2"/>
      <c r="D694" s="2"/>
      <c r="E694" s="464"/>
      <c r="F694" s="2"/>
      <c r="G694" s="2"/>
      <c r="H694" s="2"/>
      <c r="I694" s="2"/>
      <c r="J694" s="2"/>
      <c r="K694" s="2"/>
      <c r="L694" s="2"/>
      <c r="M694" s="2"/>
      <c r="N694" s="2"/>
      <c r="O694" s="2"/>
      <c r="P694" s="2"/>
      <c r="Q694" s="2"/>
    </row>
    <row r="695" ht="15.75" customHeight="1">
      <c r="B695" s="576"/>
      <c r="C695" s="2"/>
      <c r="D695" s="2"/>
      <c r="E695" s="464"/>
      <c r="F695" s="2"/>
      <c r="G695" s="2"/>
      <c r="H695" s="2"/>
      <c r="I695" s="2"/>
      <c r="J695" s="2"/>
      <c r="K695" s="2"/>
      <c r="L695" s="2"/>
      <c r="M695" s="2"/>
      <c r="N695" s="2"/>
      <c r="O695" s="2"/>
      <c r="P695" s="2"/>
      <c r="Q695" s="2"/>
    </row>
    <row r="696" ht="15.75" customHeight="1">
      <c r="B696" s="576"/>
      <c r="C696" s="2"/>
      <c r="D696" s="2"/>
      <c r="E696" s="464"/>
      <c r="F696" s="2"/>
      <c r="G696" s="2"/>
      <c r="H696" s="2"/>
      <c r="I696" s="2"/>
      <c r="J696" s="2"/>
      <c r="K696" s="2"/>
      <c r="L696" s="2"/>
      <c r="M696" s="2"/>
      <c r="N696" s="2"/>
      <c r="O696" s="2"/>
      <c r="P696" s="2"/>
      <c r="Q696" s="2"/>
    </row>
    <row r="697" ht="15.75" customHeight="1">
      <c r="B697" s="576"/>
      <c r="C697" s="2"/>
      <c r="D697" s="2"/>
      <c r="E697" s="464"/>
      <c r="F697" s="2"/>
      <c r="G697" s="2"/>
      <c r="H697" s="2"/>
      <c r="I697" s="2"/>
      <c r="J697" s="2"/>
      <c r="K697" s="2"/>
      <c r="L697" s="2"/>
      <c r="M697" s="2"/>
      <c r="N697" s="2"/>
      <c r="O697" s="2"/>
      <c r="P697" s="2"/>
      <c r="Q697" s="2"/>
    </row>
    <row r="698" ht="15.75" customHeight="1">
      <c r="B698" s="576"/>
      <c r="C698" s="2"/>
      <c r="D698" s="2"/>
      <c r="E698" s="464"/>
      <c r="F698" s="2"/>
      <c r="G698" s="2"/>
      <c r="H698" s="2"/>
      <c r="I698" s="2"/>
      <c r="J698" s="2"/>
      <c r="K698" s="2"/>
      <c r="L698" s="2"/>
      <c r="M698" s="2"/>
      <c r="N698" s="2"/>
      <c r="O698" s="2"/>
      <c r="P698" s="2"/>
      <c r="Q698" s="2"/>
    </row>
    <row r="699" ht="15.75" customHeight="1">
      <c r="B699" s="576"/>
      <c r="C699" s="2"/>
      <c r="D699" s="2"/>
      <c r="E699" s="464"/>
      <c r="F699" s="2"/>
      <c r="G699" s="2"/>
      <c r="H699" s="2"/>
      <c r="I699" s="2"/>
      <c r="J699" s="2"/>
      <c r="K699" s="2"/>
      <c r="L699" s="2"/>
      <c r="M699" s="2"/>
      <c r="N699" s="2"/>
      <c r="O699" s="2"/>
      <c r="P699" s="2"/>
      <c r="Q699" s="2"/>
    </row>
    <row r="700" ht="15.75" customHeight="1">
      <c r="B700" s="576"/>
      <c r="C700" s="2"/>
      <c r="D700" s="2"/>
      <c r="E700" s="464"/>
      <c r="F700" s="2"/>
      <c r="G700" s="2"/>
      <c r="H700" s="2"/>
      <c r="I700" s="2"/>
      <c r="J700" s="2"/>
      <c r="K700" s="2"/>
      <c r="L700" s="2"/>
      <c r="M700" s="2"/>
      <c r="N700" s="2"/>
      <c r="O700" s="2"/>
      <c r="P700" s="2"/>
      <c r="Q700" s="2"/>
    </row>
    <row r="701" ht="15.75" customHeight="1">
      <c r="B701" s="576"/>
      <c r="C701" s="2"/>
      <c r="D701" s="2"/>
      <c r="E701" s="464"/>
      <c r="F701" s="2"/>
      <c r="G701" s="2"/>
      <c r="H701" s="2"/>
      <c r="I701" s="2"/>
      <c r="J701" s="2"/>
      <c r="K701" s="2"/>
      <c r="L701" s="2"/>
      <c r="M701" s="2"/>
      <c r="N701" s="2"/>
      <c r="O701" s="2"/>
      <c r="P701" s="2"/>
      <c r="Q701" s="2"/>
    </row>
    <row r="702" ht="15.75" customHeight="1">
      <c r="B702" s="576"/>
      <c r="C702" s="2"/>
      <c r="D702" s="2"/>
      <c r="E702" s="464"/>
      <c r="F702" s="2"/>
      <c r="G702" s="2"/>
      <c r="H702" s="2"/>
      <c r="I702" s="2"/>
      <c r="J702" s="2"/>
      <c r="K702" s="2"/>
      <c r="L702" s="2"/>
      <c r="M702" s="2"/>
      <c r="N702" s="2"/>
      <c r="O702" s="2"/>
      <c r="P702" s="2"/>
      <c r="Q702" s="2"/>
    </row>
    <row r="703" ht="15.75" customHeight="1">
      <c r="B703" s="576"/>
      <c r="C703" s="2"/>
      <c r="D703" s="2"/>
      <c r="E703" s="464"/>
      <c r="F703" s="2"/>
      <c r="G703" s="2"/>
      <c r="H703" s="2"/>
      <c r="I703" s="2"/>
      <c r="J703" s="2"/>
      <c r="K703" s="2"/>
      <c r="L703" s="2"/>
      <c r="M703" s="2"/>
      <c r="N703" s="2"/>
      <c r="O703" s="2"/>
      <c r="P703" s="2"/>
      <c r="Q703" s="2"/>
    </row>
    <row r="704" ht="15.75" customHeight="1">
      <c r="B704" s="576"/>
      <c r="C704" s="2"/>
      <c r="D704" s="2"/>
      <c r="E704" s="464"/>
      <c r="F704" s="2"/>
      <c r="G704" s="2"/>
      <c r="H704" s="2"/>
      <c r="I704" s="2"/>
      <c r="J704" s="2"/>
      <c r="K704" s="2"/>
      <c r="L704" s="2"/>
      <c r="M704" s="2"/>
      <c r="N704" s="2"/>
      <c r="O704" s="2"/>
      <c r="P704" s="2"/>
      <c r="Q704" s="2"/>
    </row>
    <row r="705" ht="15.75" customHeight="1">
      <c r="B705" s="576"/>
      <c r="C705" s="2"/>
      <c r="D705" s="2"/>
      <c r="E705" s="464"/>
      <c r="F705" s="2"/>
      <c r="G705" s="2"/>
      <c r="H705" s="2"/>
      <c r="I705" s="2"/>
      <c r="J705" s="2"/>
      <c r="K705" s="2"/>
      <c r="L705" s="2"/>
      <c r="M705" s="2"/>
      <c r="N705" s="2"/>
      <c r="O705" s="2"/>
      <c r="P705" s="2"/>
      <c r="Q705" s="2"/>
    </row>
    <row r="706" ht="15.75" customHeight="1">
      <c r="B706" s="576"/>
      <c r="C706" s="2"/>
      <c r="D706" s="2"/>
      <c r="E706" s="464"/>
      <c r="F706" s="2"/>
      <c r="G706" s="2"/>
      <c r="H706" s="2"/>
      <c r="I706" s="2"/>
      <c r="J706" s="2"/>
      <c r="K706" s="2"/>
      <c r="L706" s="2"/>
      <c r="M706" s="2"/>
      <c r="N706" s="2"/>
      <c r="O706" s="2"/>
      <c r="P706" s="2"/>
      <c r="Q706" s="2"/>
    </row>
    <row r="707" ht="15.75" customHeight="1">
      <c r="B707" s="576"/>
      <c r="C707" s="2"/>
      <c r="D707" s="2"/>
      <c r="E707" s="464"/>
      <c r="F707" s="2"/>
      <c r="G707" s="2"/>
      <c r="H707" s="2"/>
      <c r="I707" s="2"/>
      <c r="J707" s="2"/>
      <c r="K707" s="2"/>
      <c r="L707" s="2"/>
      <c r="M707" s="2"/>
      <c r="N707" s="2"/>
      <c r="O707" s="2"/>
      <c r="P707" s="2"/>
      <c r="Q707" s="2"/>
    </row>
    <row r="708" ht="15.75" customHeight="1">
      <c r="B708" s="576"/>
      <c r="C708" s="2"/>
      <c r="D708" s="2"/>
      <c r="E708" s="464"/>
      <c r="F708" s="2"/>
      <c r="G708" s="2"/>
      <c r="H708" s="2"/>
      <c r="I708" s="2"/>
      <c r="J708" s="2"/>
      <c r="K708" s="2"/>
      <c r="L708" s="2"/>
      <c r="M708" s="2"/>
      <c r="N708" s="2"/>
      <c r="O708" s="2"/>
      <c r="P708" s="2"/>
      <c r="Q708" s="2"/>
    </row>
    <row r="709" ht="15.75" customHeight="1">
      <c r="B709" s="576"/>
      <c r="C709" s="2"/>
      <c r="D709" s="2"/>
      <c r="E709" s="464"/>
      <c r="F709" s="2"/>
      <c r="G709" s="2"/>
      <c r="H709" s="2"/>
      <c r="I709" s="2"/>
      <c r="J709" s="2"/>
      <c r="K709" s="2"/>
      <c r="L709" s="2"/>
      <c r="M709" s="2"/>
      <c r="N709" s="2"/>
      <c r="O709" s="2"/>
      <c r="P709" s="2"/>
      <c r="Q709" s="2"/>
    </row>
    <row r="710" ht="15.75" customHeight="1">
      <c r="B710" s="576"/>
      <c r="C710" s="2"/>
      <c r="D710" s="2"/>
      <c r="E710" s="464"/>
      <c r="F710" s="2"/>
      <c r="G710" s="2"/>
      <c r="H710" s="2"/>
      <c r="I710" s="2"/>
      <c r="J710" s="2"/>
      <c r="K710" s="2"/>
      <c r="L710" s="2"/>
      <c r="M710" s="2"/>
      <c r="N710" s="2"/>
      <c r="O710" s="2"/>
      <c r="P710" s="2"/>
      <c r="Q710" s="2"/>
    </row>
    <row r="711" ht="15.75" customHeight="1">
      <c r="B711" s="576"/>
      <c r="C711" s="2"/>
      <c r="D711" s="2"/>
      <c r="E711" s="464"/>
      <c r="F711" s="2"/>
      <c r="G711" s="2"/>
      <c r="H711" s="2"/>
      <c r="I711" s="2"/>
      <c r="J711" s="2"/>
      <c r="K711" s="2"/>
      <c r="L711" s="2"/>
      <c r="M711" s="2"/>
      <c r="N711" s="2"/>
      <c r="O711" s="2"/>
      <c r="P711" s="2"/>
      <c r="Q711" s="2"/>
    </row>
    <row r="712" ht="15.75" customHeight="1">
      <c r="B712" s="576"/>
      <c r="C712" s="2"/>
      <c r="D712" s="2"/>
      <c r="E712" s="464"/>
      <c r="F712" s="2"/>
      <c r="G712" s="2"/>
      <c r="H712" s="2"/>
      <c r="I712" s="2"/>
      <c r="J712" s="2"/>
      <c r="K712" s="2"/>
      <c r="L712" s="2"/>
      <c r="M712" s="2"/>
      <c r="N712" s="2"/>
      <c r="O712" s="2"/>
      <c r="P712" s="2"/>
      <c r="Q712" s="2"/>
    </row>
    <row r="713" ht="15.75" customHeight="1">
      <c r="B713" s="576"/>
      <c r="C713" s="2"/>
      <c r="D713" s="2"/>
      <c r="E713" s="464"/>
      <c r="F713" s="2"/>
      <c r="G713" s="2"/>
      <c r="H713" s="2"/>
      <c r="I713" s="2"/>
      <c r="J713" s="2"/>
      <c r="K713" s="2"/>
      <c r="L713" s="2"/>
      <c r="M713" s="2"/>
      <c r="N713" s="2"/>
      <c r="O713" s="2"/>
      <c r="P713" s="2"/>
      <c r="Q713" s="2"/>
    </row>
    <row r="714" ht="15.75" customHeight="1">
      <c r="B714" s="576"/>
      <c r="C714" s="2"/>
      <c r="D714" s="2"/>
      <c r="E714" s="464"/>
      <c r="F714" s="2"/>
      <c r="G714" s="2"/>
      <c r="H714" s="2"/>
      <c r="I714" s="2"/>
      <c r="J714" s="2"/>
      <c r="K714" s="2"/>
      <c r="L714" s="2"/>
      <c r="M714" s="2"/>
      <c r="N714" s="2"/>
      <c r="O714" s="2"/>
      <c r="P714" s="2"/>
      <c r="Q714" s="2"/>
    </row>
    <row r="715" ht="15.75" customHeight="1">
      <c r="B715" s="576"/>
      <c r="C715" s="2"/>
      <c r="D715" s="2"/>
      <c r="E715" s="464"/>
      <c r="F715" s="2"/>
      <c r="G715" s="2"/>
      <c r="H715" s="2"/>
      <c r="I715" s="2"/>
      <c r="J715" s="2"/>
      <c r="K715" s="2"/>
      <c r="L715" s="2"/>
      <c r="M715" s="2"/>
      <c r="N715" s="2"/>
      <c r="O715" s="2"/>
      <c r="P715" s="2"/>
      <c r="Q715" s="2"/>
    </row>
    <row r="716" ht="15.75" customHeight="1">
      <c r="B716" s="576"/>
      <c r="C716" s="2"/>
      <c r="D716" s="2"/>
      <c r="E716" s="464"/>
      <c r="F716" s="2"/>
      <c r="G716" s="2"/>
      <c r="H716" s="2"/>
      <c r="I716" s="2"/>
      <c r="J716" s="2"/>
      <c r="K716" s="2"/>
      <c r="L716" s="2"/>
      <c r="M716" s="2"/>
      <c r="N716" s="2"/>
      <c r="O716" s="2"/>
      <c r="P716" s="2"/>
      <c r="Q716" s="2"/>
    </row>
    <row r="717" ht="15.75" customHeight="1">
      <c r="B717" s="576"/>
      <c r="C717" s="2"/>
      <c r="D717" s="2"/>
      <c r="E717" s="464"/>
      <c r="F717" s="2"/>
      <c r="G717" s="2"/>
      <c r="H717" s="2"/>
      <c r="I717" s="2"/>
      <c r="J717" s="2"/>
      <c r="K717" s="2"/>
      <c r="L717" s="2"/>
      <c r="M717" s="2"/>
      <c r="N717" s="2"/>
      <c r="O717" s="2"/>
      <c r="P717" s="2"/>
      <c r="Q717" s="2"/>
    </row>
    <row r="718" ht="15.75" customHeight="1">
      <c r="B718" s="576"/>
      <c r="C718" s="2"/>
      <c r="D718" s="2"/>
      <c r="E718" s="464"/>
      <c r="F718" s="2"/>
      <c r="G718" s="2"/>
      <c r="H718" s="2"/>
      <c r="I718" s="2"/>
      <c r="J718" s="2"/>
      <c r="K718" s="2"/>
      <c r="L718" s="2"/>
      <c r="M718" s="2"/>
      <c r="N718" s="2"/>
      <c r="O718" s="2"/>
      <c r="P718" s="2"/>
      <c r="Q718" s="2"/>
    </row>
    <row r="719" ht="15.75" customHeight="1">
      <c r="B719" s="576"/>
      <c r="C719" s="2"/>
      <c r="D719" s="2"/>
      <c r="E719" s="464"/>
      <c r="F719" s="2"/>
      <c r="G719" s="2"/>
      <c r="H719" s="2"/>
      <c r="I719" s="2"/>
      <c r="J719" s="2"/>
      <c r="K719" s="2"/>
      <c r="L719" s="2"/>
      <c r="M719" s="2"/>
      <c r="N719" s="2"/>
      <c r="O719" s="2"/>
      <c r="P719" s="2"/>
      <c r="Q719" s="2"/>
    </row>
    <row r="720" ht="15.75" customHeight="1">
      <c r="B720" s="576"/>
      <c r="C720" s="2"/>
      <c r="D720" s="2"/>
      <c r="E720" s="464"/>
      <c r="F720" s="2"/>
      <c r="G720" s="2"/>
      <c r="H720" s="2"/>
      <c r="I720" s="2"/>
      <c r="J720" s="2"/>
      <c r="K720" s="2"/>
      <c r="L720" s="2"/>
      <c r="M720" s="2"/>
      <c r="N720" s="2"/>
      <c r="O720" s="2"/>
      <c r="P720" s="2"/>
      <c r="Q720" s="2"/>
    </row>
    <row r="721" ht="15.75" customHeight="1">
      <c r="B721" s="576"/>
      <c r="C721" s="2"/>
      <c r="D721" s="2"/>
      <c r="E721" s="464"/>
      <c r="F721" s="2"/>
      <c r="G721" s="2"/>
      <c r="H721" s="2"/>
      <c r="I721" s="2"/>
      <c r="J721" s="2"/>
      <c r="K721" s="2"/>
      <c r="L721" s="2"/>
      <c r="M721" s="2"/>
      <c r="N721" s="2"/>
      <c r="O721" s="2"/>
      <c r="P721" s="2"/>
      <c r="Q721" s="2"/>
    </row>
    <row r="722" ht="15.75" customHeight="1">
      <c r="B722" s="576"/>
      <c r="C722" s="2"/>
      <c r="D722" s="2"/>
      <c r="E722" s="464"/>
      <c r="F722" s="2"/>
      <c r="G722" s="2"/>
      <c r="H722" s="2"/>
      <c r="I722" s="2"/>
      <c r="J722" s="2"/>
      <c r="K722" s="2"/>
      <c r="L722" s="2"/>
      <c r="M722" s="2"/>
      <c r="N722" s="2"/>
      <c r="O722" s="2"/>
      <c r="P722" s="2"/>
      <c r="Q722" s="2"/>
    </row>
    <row r="723" ht="15.75" customHeight="1">
      <c r="B723" s="576"/>
      <c r="C723" s="2"/>
      <c r="D723" s="2"/>
      <c r="E723" s="464"/>
      <c r="F723" s="2"/>
      <c r="G723" s="2"/>
      <c r="H723" s="2"/>
      <c r="I723" s="2"/>
      <c r="J723" s="2"/>
      <c r="K723" s="2"/>
      <c r="L723" s="2"/>
      <c r="M723" s="2"/>
      <c r="N723" s="2"/>
      <c r="O723" s="2"/>
      <c r="P723" s="2"/>
      <c r="Q723" s="2"/>
    </row>
    <row r="724" ht="15.75" customHeight="1">
      <c r="B724" s="576"/>
      <c r="C724" s="2"/>
      <c r="D724" s="2"/>
      <c r="E724" s="464"/>
      <c r="F724" s="2"/>
      <c r="G724" s="2"/>
      <c r="H724" s="2"/>
      <c r="I724" s="2"/>
      <c r="J724" s="2"/>
      <c r="K724" s="2"/>
      <c r="L724" s="2"/>
      <c r="M724" s="2"/>
      <c r="N724" s="2"/>
      <c r="O724" s="2"/>
      <c r="P724" s="2"/>
      <c r="Q724" s="2"/>
    </row>
    <row r="725" ht="15.75" customHeight="1">
      <c r="B725" s="576"/>
      <c r="C725" s="2"/>
      <c r="D725" s="2"/>
      <c r="E725" s="464"/>
      <c r="F725" s="2"/>
      <c r="G725" s="2"/>
      <c r="H725" s="2"/>
      <c r="I725" s="2"/>
      <c r="J725" s="2"/>
      <c r="K725" s="2"/>
      <c r="L725" s="2"/>
      <c r="M725" s="2"/>
      <c r="N725" s="2"/>
      <c r="O725" s="2"/>
      <c r="P725" s="2"/>
      <c r="Q725" s="2"/>
    </row>
    <row r="726" ht="15.75" customHeight="1">
      <c r="B726" s="576"/>
      <c r="C726" s="2"/>
      <c r="D726" s="2"/>
      <c r="E726" s="464"/>
      <c r="F726" s="2"/>
      <c r="G726" s="2"/>
      <c r="H726" s="2"/>
      <c r="I726" s="2"/>
      <c r="J726" s="2"/>
      <c r="K726" s="2"/>
      <c r="L726" s="2"/>
      <c r="M726" s="2"/>
      <c r="N726" s="2"/>
      <c r="O726" s="2"/>
      <c r="P726" s="2"/>
      <c r="Q726" s="2"/>
    </row>
    <row r="727" ht="15.75" customHeight="1">
      <c r="B727" s="576"/>
      <c r="C727" s="2"/>
      <c r="D727" s="2"/>
      <c r="E727" s="464"/>
      <c r="F727" s="2"/>
      <c r="G727" s="2"/>
      <c r="H727" s="2"/>
      <c r="I727" s="2"/>
      <c r="J727" s="2"/>
      <c r="K727" s="2"/>
      <c r="L727" s="2"/>
      <c r="M727" s="2"/>
      <c r="N727" s="2"/>
      <c r="O727" s="2"/>
      <c r="P727" s="2"/>
      <c r="Q727" s="2"/>
    </row>
    <row r="728" ht="15.75" customHeight="1">
      <c r="B728" s="576"/>
      <c r="C728" s="2"/>
      <c r="D728" s="2"/>
      <c r="E728" s="464"/>
      <c r="F728" s="2"/>
      <c r="G728" s="2"/>
      <c r="H728" s="2"/>
      <c r="I728" s="2"/>
      <c r="J728" s="2"/>
      <c r="K728" s="2"/>
      <c r="L728" s="2"/>
      <c r="M728" s="2"/>
      <c r="N728" s="2"/>
      <c r="O728" s="2"/>
      <c r="P728" s="2"/>
      <c r="Q728" s="2"/>
    </row>
    <row r="729" ht="15.75" customHeight="1">
      <c r="B729" s="576"/>
      <c r="C729" s="2"/>
      <c r="D729" s="2"/>
      <c r="E729" s="464"/>
      <c r="F729" s="2"/>
      <c r="G729" s="2"/>
      <c r="H729" s="2"/>
      <c r="I729" s="2"/>
      <c r="J729" s="2"/>
      <c r="K729" s="2"/>
      <c r="L729" s="2"/>
      <c r="M729" s="2"/>
      <c r="N729" s="2"/>
      <c r="O729" s="2"/>
      <c r="P729" s="2"/>
      <c r="Q729" s="2"/>
    </row>
    <row r="730" ht="15.75" customHeight="1">
      <c r="B730" s="576"/>
      <c r="C730" s="2"/>
      <c r="D730" s="2"/>
      <c r="E730" s="464"/>
      <c r="F730" s="2"/>
      <c r="G730" s="2"/>
      <c r="H730" s="2"/>
      <c r="I730" s="2"/>
      <c r="J730" s="2"/>
      <c r="K730" s="2"/>
      <c r="L730" s="2"/>
      <c r="M730" s="2"/>
      <c r="N730" s="2"/>
      <c r="O730" s="2"/>
      <c r="P730" s="2"/>
      <c r="Q730" s="2"/>
    </row>
    <row r="731" ht="15.75" customHeight="1">
      <c r="B731" s="576"/>
      <c r="C731" s="2"/>
      <c r="D731" s="2"/>
      <c r="E731" s="464"/>
      <c r="F731" s="2"/>
      <c r="G731" s="2"/>
      <c r="H731" s="2"/>
      <c r="I731" s="2"/>
      <c r="J731" s="2"/>
      <c r="K731" s="2"/>
      <c r="L731" s="2"/>
      <c r="M731" s="2"/>
      <c r="N731" s="2"/>
      <c r="O731" s="2"/>
      <c r="P731" s="2"/>
      <c r="Q731" s="2"/>
    </row>
    <row r="732" ht="15.75" customHeight="1">
      <c r="B732" s="576"/>
      <c r="C732" s="2"/>
      <c r="D732" s="2"/>
      <c r="E732" s="464"/>
      <c r="F732" s="2"/>
      <c r="G732" s="2"/>
      <c r="H732" s="2"/>
      <c r="I732" s="2"/>
      <c r="J732" s="2"/>
      <c r="K732" s="2"/>
      <c r="L732" s="2"/>
      <c r="M732" s="2"/>
      <c r="N732" s="2"/>
      <c r="O732" s="2"/>
      <c r="P732" s="2"/>
      <c r="Q732" s="2"/>
    </row>
    <row r="733" ht="15.75" customHeight="1">
      <c r="B733" s="576"/>
      <c r="C733" s="2"/>
      <c r="D733" s="2"/>
      <c r="E733" s="464"/>
      <c r="F733" s="2"/>
      <c r="G733" s="2"/>
      <c r="H733" s="2"/>
      <c r="I733" s="2"/>
      <c r="J733" s="2"/>
      <c r="K733" s="2"/>
      <c r="L733" s="2"/>
      <c r="M733" s="2"/>
      <c r="N733" s="2"/>
      <c r="O733" s="2"/>
      <c r="P733" s="2"/>
      <c r="Q733" s="2"/>
    </row>
    <row r="734" ht="15.75" customHeight="1">
      <c r="B734" s="576"/>
      <c r="C734" s="2"/>
      <c r="D734" s="2"/>
      <c r="E734" s="464"/>
      <c r="F734" s="2"/>
      <c r="G734" s="2"/>
      <c r="H734" s="2"/>
      <c r="I734" s="2"/>
      <c r="J734" s="2"/>
      <c r="K734" s="2"/>
      <c r="L734" s="2"/>
      <c r="M734" s="2"/>
      <c r="N734" s="2"/>
      <c r="O734" s="2"/>
      <c r="P734" s="2"/>
      <c r="Q734" s="2"/>
    </row>
    <row r="735" ht="15.75" customHeight="1">
      <c r="B735" s="576"/>
      <c r="C735" s="2"/>
      <c r="D735" s="2"/>
      <c r="E735" s="464"/>
      <c r="F735" s="2"/>
      <c r="G735" s="2"/>
      <c r="H735" s="2"/>
      <c r="I735" s="2"/>
      <c r="J735" s="2"/>
      <c r="K735" s="2"/>
      <c r="L735" s="2"/>
      <c r="M735" s="2"/>
      <c r="N735" s="2"/>
      <c r="O735" s="2"/>
      <c r="P735" s="2"/>
      <c r="Q735" s="2"/>
    </row>
    <row r="736" ht="15.75" customHeight="1">
      <c r="B736" s="576"/>
      <c r="C736" s="2"/>
      <c r="D736" s="2"/>
      <c r="E736" s="464"/>
      <c r="F736" s="2"/>
      <c r="G736" s="2"/>
      <c r="H736" s="2"/>
      <c r="I736" s="2"/>
      <c r="J736" s="2"/>
      <c r="K736" s="2"/>
      <c r="L736" s="2"/>
      <c r="M736" s="2"/>
      <c r="N736" s="2"/>
      <c r="O736" s="2"/>
      <c r="P736" s="2"/>
      <c r="Q736" s="2"/>
    </row>
    <row r="737" ht="15.75" customHeight="1">
      <c r="B737" s="576"/>
      <c r="C737" s="2"/>
      <c r="D737" s="2"/>
      <c r="E737" s="464"/>
      <c r="F737" s="2"/>
      <c r="G737" s="2"/>
      <c r="H737" s="2"/>
      <c r="I737" s="2"/>
      <c r="J737" s="2"/>
      <c r="K737" s="2"/>
      <c r="L737" s="2"/>
      <c r="M737" s="2"/>
      <c r="N737" s="2"/>
      <c r="O737" s="2"/>
      <c r="P737" s="2"/>
      <c r="Q737" s="2"/>
    </row>
    <row r="738" ht="15.75" customHeight="1">
      <c r="B738" s="576"/>
      <c r="C738" s="2"/>
      <c r="D738" s="2"/>
      <c r="E738" s="464"/>
      <c r="F738" s="2"/>
      <c r="G738" s="2"/>
      <c r="H738" s="2"/>
      <c r="I738" s="2"/>
      <c r="J738" s="2"/>
      <c r="K738" s="2"/>
      <c r="L738" s="2"/>
      <c r="M738" s="2"/>
      <c r="N738" s="2"/>
      <c r="O738" s="2"/>
      <c r="P738" s="2"/>
      <c r="Q738" s="2"/>
    </row>
    <row r="739" ht="15.75" customHeight="1">
      <c r="B739" s="576"/>
      <c r="C739" s="2"/>
      <c r="D739" s="2"/>
      <c r="E739" s="464"/>
      <c r="F739" s="2"/>
      <c r="G739" s="2"/>
      <c r="H739" s="2"/>
      <c r="I739" s="2"/>
      <c r="J739" s="2"/>
      <c r="K739" s="2"/>
      <c r="L739" s="2"/>
      <c r="M739" s="2"/>
      <c r="N739" s="2"/>
      <c r="O739" s="2"/>
      <c r="P739" s="2"/>
      <c r="Q739" s="2"/>
    </row>
    <row r="740" ht="15.75" customHeight="1">
      <c r="B740" s="576"/>
      <c r="C740" s="2"/>
      <c r="D740" s="2"/>
      <c r="E740" s="464"/>
      <c r="F740" s="2"/>
      <c r="G740" s="2"/>
      <c r="H740" s="2"/>
      <c r="I740" s="2"/>
      <c r="J740" s="2"/>
      <c r="K740" s="2"/>
      <c r="L740" s="2"/>
      <c r="M740" s="2"/>
      <c r="N740" s="2"/>
      <c r="O740" s="2"/>
      <c r="P740" s="2"/>
      <c r="Q740" s="2"/>
    </row>
    <row r="741" ht="15.75" customHeight="1">
      <c r="B741" s="576"/>
      <c r="C741" s="2"/>
      <c r="D741" s="2"/>
      <c r="E741" s="464"/>
      <c r="F741" s="2"/>
      <c r="G741" s="2"/>
      <c r="H741" s="2"/>
      <c r="I741" s="2"/>
      <c r="J741" s="2"/>
      <c r="K741" s="2"/>
      <c r="L741" s="2"/>
      <c r="M741" s="2"/>
      <c r="N741" s="2"/>
      <c r="O741" s="2"/>
      <c r="P741" s="2"/>
      <c r="Q741" s="2"/>
    </row>
    <row r="742" ht="15.75" customHeight="1">
      <c r="B742" s="576"/>
      <c r="C742" s="2"/>
      <c r="D742" s="2"/>
      <c r="E742" s="464"/>
      <c r="F742" s="2"/>
      <c r="G742" s="2"/>
      <c r="H742" s="2"/>
      <c r="I742" s="2"/>
      <c r="J742" s="2"/>
      <c r="K742" s="2"/>
      <c r="L742" s="2"/>
      <c r="M742" s="2"/>
      <c r="N742" s="2"/>
      <c r="O742" s="2"/>
      <c r="P742" s="2"/>
      <c r="Q742" s="2"/>
    </row>
    <row r="743" ht="15.75" customHeight="1">
      <c r="B743" s="576"/>
      <c r="C743" s="2"/>
      <c r="D743" s="2"/>
      <c r="E743" s="464"/>
      <c r="F743" s="2"/>
      <c r="G743" s="2"/>
      <c r="H743" s="2"/>
      <c r="I743" s="2"/>
      <c r="J743" s="2"/>
      <c r="K743" s="2"/>
      <c r="L743" s="2"/>
      <c r="M743" s="2"/>
      <c r="N743" s="2"/>
      <c r="O743" s="2"/>
      <c r="P743" s="2"/>
      <c r="Q743" s="2"/>
    </row>
    <row r="744" ht="15.75" customHeight="1">
      <c r="B744" s="576"/>
      <c r="C744" s="2"/>
      <c r="D744" s="2"/>
      <c r="E744" s="464"/>
      <c r="F744" s="2"/>
      <c r="G744" s="2"/>
      <c r="H744" s="2"/>
      <c r="I744" s="2"/>
      <c r="J744" s="2"/>
      <c r="K744" s="2"/>
      <c r="L744" s="2"/>
      <c r="M744" s="2"/>
      <c r="N744" s="2"/>
      <c r="O744" s="2"/>
      <c r="P744" s="2"/>
      <c r="Q744" s="2"/>
    </row>
    <row r="745" ht="15.75" customHeight="1">
      <c r="B745" s="576"/>
      <c r="C745" s="2"/>
      <c r="D745" s="2"/>
      <c r="E745" s="464"/>
      <c r="F745" s="2"/>
      <c r="G745" s="2"/>
      <c r="H745" s="2"/>
      <c r="I745" s="2"/>
      <c r="J745" s="2"/>
      <c r="K745" s="2"/>
      <c r="L745" s="2"/>
      <c r="M745" s="2"/>
      <c r="N745" s="2"/>
      <c r="O745" s="2"/>
      <c r="P745" s="2"/>
      <c r="Q745" s="2"/>
    </row>
    <row r="746" ht="15.75" customHeight="1">
      <c r="B746" s="576"/>
      <c r="C746" s="2"/>
      <c r="D746" s="2"/>
      <c r="E746" s="464"/>
      <c r="F746" s="2"/>
      <c r="G746" s="2"/>
      <c r="H746" s="2"/>
      <c r="I746" s="2"/>
      <c r="J746" s="2"/>
      <c r="K746" s="2"/>
      <c r="L746" s="2"/>
      <c r="M746" s="2"/>
      <c r="N746" s="2"/>
      <c r="O746" s="2"/>
      <c r="P746" s="2"/>
      <c r="Q746" s="2"/>
    </row>
    <row r="747" ht="15.75" customHeight="1">
      <c r="B747" s="576"/>
      <c r="C747" s="2"/>
      <c r="D747" s="2"/>
      <c r="E747" s="464"/>
      <c r="F747" s="2"/>
      <c r="G747" s="2"/>
      <c r="H747" s="2"/>
      <c r="I747" s="2"/>
      <c r="J747" s="2"/>
      <c r="K747" s="2"/>
      <c r="L747" s="2"/>
      <c r="M747" s="2"/>
      <c r="N747" s="2"/>
      <c r="O747" s="2"/>
      <c r="P747" s="2"/>
      <c r="Q747" s="2"/>
    </row>
    <row r="748" ht="15.75" customHeight="1">
      <c r="B748" s="576"/>
      <c r="C748" s="2"/>
      <c r="D748" s="2"/>
      <c r="E748" s="464"/>
      <c r="F748" s="2"/>
      <c r="G748" s="2"/>
      <c r="H748" s="2"/>
      <c r="I748" s="2"/>
      <c r="J748" s="2"/>
      <c r="K748" s="2"/>
      <c r="L748" s="2"/>
      <c r="M748" s="2"/>
      <c r="N748" s="2"/>
      <c r="O748" s="2"/>
      <c r="P748" s="2"/>
      <c r="Q748" s="2"/>
    </row>
    <row r="749" ht="15.75" customHeight="1">
      <c r="B749" s="576"/>
      <c r="C749" s="2"/>
      <c r="D749" s="2"/>
      <c r="E749" s="464"/>
      <c r="F749" s="2"/>
      <c r="G749" s="2"/>
      <c r="H749" s="2"/>
      <c r="I749" s="2"/>
      <c r="J749" s="2"/>
      <c r="K749" s="2"/>
      <c r="L749" s="2"/>
      <c r="M749" s="2"/>
      <c r="N749" s="2"/>
      <c r="O749" s="2"/>
      <c r="P749" s="2"/>
      <c r="Q749" s="2"/>
    </row>
    <row r="750" ht="15.75" customHeight="1">
      <c r="B750" s="576"/>
      <c r="C750" s="2"/>
      <c r="D750" s="2"/>
      <c r="E750" s="464"/>
      <c r="F750" s="2"/>
      <c r="G750" s="2"/>
      <c r="H750" s="2"/>
      <c r="I750" s="2"/>
      <c r="J750" s="2"/>
      <c r="K750" s="2"/>
      <c r="L750" s="2"/>
      <c r="M750" s="2"/>
      <c r="N750" s="2"/>
      <c r="O750" s="2"/>
      <c r="P750" s="2"/>
      <c r="Q750" s="2"/>
    </row>
    <row r="751" ht="15.75" customHeight="1">
      <c r="B751" s="576"/>
      <c r="C751" s="2"/>
      <c r="D751" s="2"/>
      <c r="E751" s="464"/>
      <c r="F751" s="2"/>
      <c r="G751" s="2"/>
      <c r="H751" s="2"/>
      <c r="I751" s="2"/>
      <c r="J751" s="2"/>
      <c r="K751" s="2"/>
      <c r="L751" s="2"/>
      <c r="M751" s="2"/>
      <c r="N751" s="2"/>
      <c r="O751" s="2"/>
      <c r="P751" s="2"/>
      <c r="Q751" s="2"/>
    </row>
    <row r="752" ht="15.75" customHeight="1">
      <c r="B752" s="576"/>
      <c r="C752" s="2"/>
      <c r="D752" s="2"/>
      <c r="E752" s="464"/>
      <c r="F752" s="2"/>
      <c r="G752" s="2"/>
      <c r="H752" s="2"/>
      <c r="I752" s="2"/>
      <c r="J752" s="2"/>
      <c r="K752" s="2"/>
      <c r="L752" s="2"/>
      <c r="M752" s="2"/>
      <c r="N752" s="2"/>
      <c r="O752" s="2"/>
      <c r="P752" s="2"/>
      <c r="Q752" s="2"/>
    </row>
    <row r="753" ht="15.75" customHeight="1">
      <c r="B753" s="576"/>
      <c r="C753" s="2"/>
      <c r="D753" s="2"/>
      <c r="E753" s="464"/>
      <c r="F753" s="2"/>
      <c r="G753" s="2"/>
      <c r="H753" s="2"/>
      <c r="I753" s="2"/>
      <c r="J753" s="2"/>
      <c r="K753" s="2"/>
      <c r="L753" s="2"/>
      <c r="M753" s="2"/>
      <c r="N753" s="2"/>
      <c r="O753" s="2"/>
      <c r="P753" s="2"/>
      <c r="Q753" s="2"/>
    </row>
    <row r="754" ht="15.75" customHeight="1">
      <c r="B754" s="576"/>
      <c r="C754" s="2"/>
      <c r="D754" s="2"/>
      <c r="E754" s="464"/>
      <c r="F754" s="2"/>
      <c r="G754" s="2"/>
      <c r="H754" s="2"/>
      <c r="I754" s="2"/>
      <c r="J754" s="2"/>
      <c r="K754" s="2"/>
      <c r="L754" s="2"/>
      <c r="M754" s="2"/>
      <c r="N754" s="2"/>
      <c r="O754" s="2"/>
      <c r="P754" s="2"/>
      <c r="Q754" s="2"/>
    </row>
    <row r="755" ht="15.75" customHeight="1">
      <c r="B755" s="576"/>
      <c r="C755" s="2"/>
      <c r="D755" s="2"/>
      <c r="E755" s="464"/>
      <c r="F755" s="2"/>
      <c r="G755" s="2"/>
      <c r="H755" s="2"/>
      <c r="I755" s="2"/>
      <c r="J755" s="2"/>
      <c r="K755" s="2"/>
      <c r="L755" s="2"/>
      <c r="M755" s="2"/>
      <c r="N755" s="2"/>
      <c r="O755" s="2"/>
      <c r="P755" s="2"/>
      <c r="Q755" s="2"/>
    </row>
    <row r="756" ht="15.75" customHeight="1">
      <c r="B756" s="576"/>
      <c r="C756" s="2"/>
      <c r="D756" s="2"/>
      <c r="E756" s="464"/>
      <c r="F756" s="2"/>
      <c r="G756" s="2"/>
      <c r="H756" s="2"/>
      <c r="I756" s="2"/>
      <c r="J756" s="2"/>
      <c r="K756" s="2"/>
      <c r="L756" s="2"/>
      <c r="M756" s="2"/>
      <c r="N756" s="2"/>
      <c r="O756" s="2"/>
      <c r="P756" s="2"/>
      <c r="Q756" s="2"/>
    </row>
    <row r="757" ht="15.75" customHeight="1">
      <c r="B757" s="576"/>
      <c r="C757" s="2"/>
      <c r="D757" s="2"/>
      <c r="E757" s="464"/>
      <c r="F757" s="2"/>
      <c r="G757" s="2"/>
      <c r="H757" s="2"/>
      <c r="I757" s="2"/>
      <c r="J757" s="2"/>
      <c r="K757" s="2"/>
      <c r="L757" s="2"/>
      <c r="M757" s="2"/>
      <c r="N757" s="2"/>
      <c r="O757" s="2"/>
      <c r="P757" s="2"/>
      <c r="Q757" s="2"/>
    </row>
    <row r="758" ht="15.75" customHeight="1">
      <c r="B758" s="576"/>
      <c r="C758" s="2"/>
      <c r="D758" s="2"/>
      <c r="E758" s="464"/>
      <c r="F758" s="2"/>
      <c r="G758" s="2"/>
      <c r="H758" s="2"/>
      <c r="I758" s="2"/>
      <c r="J758" s="2"/>
      <c r="K758" s="2"/>
      <c r="L758" s="2"/>
      <c r="M758" s="2"/>
      <c r="N758" s="2"/>
      <c r="O758" s="2"/>
      <c r="P758" s="2"/>
      <c r="Q758" s="2"/>
    </row>
    <row r="759" ht="15.75" customHeight="1">
      <c r="B759" s="576"/>
      <c r="C759" s="2"/>
      <c r="D759" s="2"/>
      <c r="E759" s="464"/>
      <c r="F759" s="2"/>
      <c r="G759" s="2"/>
      <c r="H759" s="2"/>
      <c r="I759" s="2"/>
      <c r="J759" s="2"/>
      <c r="K759" s="2"/>
      <c r="L759" s="2"/>
      <c r="M759" s="2"/>
      <c r="N759" s="2"/>
      <c r="O759" s="2"/>
      <c r="P759" s="2"/>
      <c r="Q759" s="2"/>
    </row>
    <row r="760" ht="15.75" customHeight="1">
      <c r="B760" s="576"/>
      <c r="C760" s="2"/>
      <c r="D760" s="2"/>
      <c r="E760" s="464"/>
      <c r="F760" s="2"/>
      <c r="G760" s="2"/>
      <c r="H760" s="2"/>
      <c r="I760" s="2"/>
      <c r="J760" s="2"/>
      <c r="K760" s="2"/>
      <c r="L760" s="2"/>
      <c r="M760" s="2"/>
      <c r="N760" s="2"/>
      <c r="O760" s="2"/>
      <c r="P760" s="2"/>
      <c r="Q760" s="2"/>
    </row>
    <row r="761" ht="15.75" customHeight="1">
      <c r="B761" s="576"/>
      <c r="C761" s="2"/>
      <c r="D761" s="2"/>
      <c r="E761" s="464"/>
      <c r="F761" s="2"/>
      <c r="G761" s="2"/>
      <c r="H761" s="2"/>
      <c r="I761" s="2"/>
      <c r="J761" s="2"/>
      <c r="K761" s="2"/>
      <c r="L761" s="2"/>
      <c r="M761" s="2"/>
      <c r="N761" s="2"/>
      <c r="O761" s="2"/>
      <c r="P761" s="2"/>
      <c r="Q761" s="2"/>
    </row>
    <row r="762" ht="15.75" customHeight="1">
      <c r="B762" s="576"/>
      <c r="C762" s="2"/>
      <c r="D762" s="2"/>
      <c r="E762" s="464"/>
      <c r="F762" s="2"/>
      <c r="G762" s="2"/>
      <c r="H762" s="2"/>
      <c r="I762" s="2"/>
      <c r="J762" s="2"/>
      <c r="K762" s="2"/>
      <c r="L762" s="2"/>
      <c r="M762" s="2"/>
      <c r="N762" s="2"/>
      <c r="O762" s="2"/>
      <c r="P762" s="2"/>
      <c r="Q762" s="2"/>
    </row>
    <row r="763" ht="15.75" customHeight="1">
      <c r="B763" s="576"/>
      <c r="C763" s="2"/>
      <c r="D763" s="2"/>
      <c r="E763" s="464"/>
      <c r="F763" s="2"/>
      <c r="G763" s="2"/>
      <c r="H763" s="2"/>
      <c r="I763" s="2"/>
      <c r="J763" s="2"/>
      <c r="K763" s="2"/>
      <c r="L763" s="2"/>
      <c r="M763" s="2"/>
      <c r="N763" s="2"/>
      <c r="O763" s="2"/>
      <c r="P763" s="2"/>
      <c r="Q763" s="2"/>
    </row>
    <row r="764" ht="15.75" customHeight="1">
      <c r="B764" s="576"/>
      <c r="C764" s="2"/>
      <c r="D764" s="2"/>
      <c r="E764" s="464"/>
      <c r="F764" s="2"/>
      <c r="G764" s="2"/>
      <c r="H764" s="2"/>
      <c r="I764" s="2"/>
      <c r="J764" s="2"/>
      <c r="K764" s="2"/>
      <c r="L764" s="2"/>
      <c r="M764" s="2"/>
      <c r="N764" s="2"/>
      <c r="O764" s="2"/>
      <c r="P764" s="2"/>
      <c r="Q764" s="2"/>
    </row>
    <row r="765" ht="15.75" customHeight="1">
      <c r="B765" s="576"/>
      <c r="C765" s="2"/>
      <c r="D765" s="2"/>
      <c r="E765" s="464"/>
      <c r="F765" s="2"/>
      <c r="G765" s="2"/>
      <c r="H765" s="2"/>
      <c r="I765" s="2"/>
      <c r="J765" s="2"/>
      <c r="K765" s="2"/>
      <c r="L765" s="2"/>
      <c r="M765" s="2"/>
      <c r="N765" s="2"/>
      <c r="O765" s="2"/>
      <c r="P765" s="2"/>
      <c r="Q765" s="2"/>
    </row>
    <row r="766" ht="15.75" customHeight="1">
      <c r="B766" s="576"/>
      <c r="C766" s="2"/>
      <c r="D766" s="2"/>
      <c r="E766" s="464"/>
      <c r="F766" s="2"/>
      <c r="G766" s="2"/>
      <c r="H766" s="2"/>
      <c r="I766" s="2"/>
      <c r="J766" s="2"/>
      <c r="K766" s="2"/>
      <c r="L766" s="2"/>
      <c r="M766" s="2"/>
      <c r="N766" s="2"/>
      <c r="O766" s="2"/>
      <c r="P766" s="2"/>
      <c r="Q766" s="2"/>
    </row>
    <row r="767" ht="15.75" customHeight="1">
      <c r="B767" s="576"/>
      <c r="C767" s="2"/>
      <c r="D767" s="2"/>
      <c r="E767" s="464"/>
      <c r="F767" s="2"/>
      <c r="G767" s="2"/>
      <c r="H767" s="2"/>
      <c r="I767" s="2"/>
      <c r="J767" s="2"/>
      <c r="K767" s="2"/>
      <c r="L767" s="2"/>
      <c r="M767" s="2"/>
      <c r="N767" s="2"/>
      <c r="O767" s="2"/>
      <c r="P767" s="2"/>
      <c r="Q767" s="2"/>
    </row>
    <row r="768" ht="15.75" customHeight="1">
      <c r="B768" s="576"/>
      <c r="C768" s="2"/>
      <c r="D768" s="2"/>
      <c r="E768" s="464"/>
      <c r="F768" s="2"/>
      <c r="G768" s="2"/>
      <c r="H768" s="2"/>
      <c r="I768" s="2"/>
      <c r="J768" s="2"/>
      <c r="K768" s="2"/>
      <c r="L768" s="2"/>
      <c r="M768" s="2"/>
      <c r="N768" s="2"/>
      <c r="O768" s="2"/>
      <c r="P768" s="2"/>
      <c r="Q768" s="2"/>
    </row>
    <row r="769" ht="15.75" customHeight="1">
      <c r="B769" s="576"/>
      <c r="C769" s="2"/>
      <c r="D769" s="2"/>
      <c r="E769" s="464"/>
      <c r="F769" s="2"/>
      <c r="G769" s="2"/>
      <c r="H769" s="2"/>
      <c r="I769" s="2"/>
      <c r="J769" s="2"/>
      <c r="K769" s="2"/>
      <c r="L769" s="2"/>
      <c r="M769" s="2"/>
      <c r="N769" s="2"/>
      <c r="O769" s="2"/>
      <c r="P769" s="2"/>
      <c r="Q769" s="2"/>
    </row>
    <row r="770" ht="15.75" customHeight="1">
      <c r="B770" s="576"/>
      <c r="C770" s="2"/>
      <c r="D770" s="2"/>
      <c r="E770" s="464"/>
      <c r="F770" s="2"/>
      <c r="G770" s="2"/>
      <c r="H770" s="2"/>
      <c r="I770" s="2"/>
      <c r="J770" s="2"/>
      <c r="K770" s="2"/>
      <c r="L770" s="2"/>
      <c r="M770" s="2"/>
      <c r="N770" s="2"/>
      <c r="O770" s="2"/>
      <c r="P770" s="2"/>
      <c r="Q770" s="2"/>
    </row>
    <row r="771" ht="15.75" customHeight="1">
      <c r="B771" s="576"/>
      <c r="C771" s="2"/>
      <c r="D771" s="2"/>
      <c r="E771" s="464"/>
      <c r="F771" s="2"/>
      <c r="G771" s="2"/>
      <c r="H771" s="2"/>
      <c r="I771" s="2"/>
      <c r="J771" s="2"/>
      <c r="K771" s="2"/>
      <c r="L771" s="2"/>
      <c r="M771" s="2"/>
      <c r="N771" s="2"/>
      <c r="O771" s="2"/>
      <c r="P771" s="2"/>
      <c r="Q771" s="2"/>
    </row>
    <row r="772" ht="15.75" customHeight="1">
      <c r="B772" s="576"/>
      <c r="C772" s="2"/>
      <c r="D772" s="2"/>
      <c r="E772" s="464"/>
      <c r="F772" s="2"/>
      <c r="G772" s="2"/>
      <c r="H772" s="2"/>
      <c r="I772" s="2"/>
      <c r="J772" s="2"/>
      <c r="K772" s="2"/>
      <c r="L772" s="2"/>
      <c r="M772" s="2"/>
      <c r="N772" s="2"/>
      <c r="O772" s="2"/>
      <c r="P772" s="2"/>
      <c r="Q772" s="2"/>
    </row>
    <row r="773" ht="15.75" customHeight="1">
      <c r="B773" s="576"/>
      <c r="C773" s="2"/>
      <c r="D773" s="2"/>
      <c r="E773" s="464"/>
      <c r="F773" s="2"/>
      <c r="G773" s="2"/>
      <c r="H773" s="2"/>
      <c r="I773" s="2"/>
      <c r="J773" s="2"/>
      <c r="K773" s="2"/>
      <c r="L773" s="2"/>
      <c r="M773" s="2"/>
      <c r="N773" s="2"/>
      <c r="O773" s="2"/>
      <c r="P773" s="2"/>
      <c r="Q773" s="2"/>
    </row>
    <row r="774" ht="15.75" customHeight="1">
      <c r="B774" s="576"/>
      <c r="C774" s="2"/>
      <c r="D774" s="2"/>
      <c r="E774" s="464"/>
      <c r="F774" s="2"/>
      <c r="G774" s="2"/>
      <c r="H774" s="2"/>
      <c r="I774" s="2"/>
      <c r="J774" s="2"/>
      <c r="K774" s="2"/>
      <c r="L774" s="2"/>
      <c r="M774" s="2"/>
      <c r="N774" s="2"/>
      <c r="O774" s="2"/>
      <c r="P774" s="2"/>
      <c r="Q774" s="2"/>
    </row>
    <row r="775" ht="15.75" customHeight="1">
      <c r="B775" s="576"/>
      <c r="C775" s="2"/>
      <c r="D775" s="2"/>
      <c r="E775" s="464"/>
      <c r="F775" s="2"/>
      <c r="G775" s="2"/>
      <c r="H775" s="2"/>
      <c r="I775" s="2"/>
      <c r="J775" s="2"/>
      <c r="K775" s="2"/>
      <c r="L775" s="2"/>
      <c r="M775" s="2"/>
      <c r="N775" s="2"/>
      <c r="O775" s="2"/>
      <c r="P775" s="2"/>
      <c r="Q775" s="2"/>
    </row>
    <row r="776" ht="15.75" customHeight="1">
      <c r="B776" s="576"/>
      <c r="C776" s="2"/>
      <c r="D776" s="2"/>
      <c r="E776" s="464"/>
      <c r="F776" s="2"/>
      <c r="G776" s="2"/>
      <c r="H776" s="2"/>
      <c r="I776" s="2"/>
      <c r="J776" s="2"/>
      <c r="K776" s="2"/>
      <c r="L776" s="2"/>
      <c r="M776" s="2"/>
      <c r="N776" s="2"/>
      <c r="O776" s="2"/>
      <c r="P776" s="2"/>
      <c r="Q776" s="2"/>
    </row>
    <row r="777" ht="15.75" customHeight="1">
      <c r="B777" s="576"/>
      <c r="C777" s="2"/>
      <c r="D777" s="2"/>
      <c r="E777" s="464"/>
      <c r="F777" s="2"/>
      <c r="G777" s="2"/>
      <c r="H777" s="2"/>
      <c r="I777" s="2"/>
      <c r="J777" s="2"/>
      <c r="K777" s="2"/>
      <c r="L777" s="2"/>
      <c r="M777" s="2"/>
      <c r="N777" s="2"/>
      <c r="O777" s="2"/>
      <c r="P777" s="2"/>
      <c r="Q777" s="2"/>
    </row>
    <row r="778" ht="15.75" customHeight="1">
      <c r="B778" s="576"/>
      <c r="C778" s="2"/>
      <c r="D778" s="2"/>
      <c r="E778" s="464"/>
      <c r="F778" s="2"/>
      <c r="G778" s="2"/>
      <c r="H778" s="2"/>
      <c r="I778" s="2"/>
      <c r="J778" s="2"/>
      <c r="K778" s="2"/>
      <c r="L778" s="2"/>
      <c r="M778" s="2"/>
      <c r="N778" s="2"/>
      <c r="O778" s="2"/>
      <c r="P778" s="2"/>
      <c r="Q778" s="2"/>
    </row>
    <row r="779" ht="15.75" customHeight="1">
      <c r="B779" s="576"/>
      <c r="C779" s="2"/>
      <c r="D779" s="2"/>
      <c r="E779" s="464"/>
      <c r="F779" s="2"/>
      <c r="G779" s="2"/>
      <c r="H779" s="2"/>
      <c r="I779" s="2"/>
      <c r="J779" s="2"/>
      <c r="K779" s="2"/>
      <c r="L779" s="2"/>
      <c r="M779" s="2"/>
      <c r="N779" s="2"/>
      <c r="O779" s="2"/>
      <c r="P779" s="2"/>
      <c r="Q779" s="2"/>
    </row>
    <row r="780" ht="15.75" customHeight="1">
      <c r="B780" s="576"/>
      <c r="C780" s="2"/>
      <c r="D780" s="2"/>
      <c r="E780" s="464"/>
      <c r="F780" s="2"/>
      <c r="G780" s="2"/>
      <c r="H780" s="2"/>
      <c r="I780" s="2"/>
      <c r="J780" s="2"/>
      <c r="K780" s="2"/>
      <c r="L780" s="2"/>
      <c r="M780" s="2"/>
      <c r="N780" s="2"/>
      <c r="O780" s="2"/>
      <c r="P780" s="2"/>
      <c r="Q780" s="2"/>
    </row>
    <row r="781" ht="15.75" customHeight="1">
      <c r="B781" s="576"/>
      <c r="C781" s="2"/>
      <c r="D781" s="2"/>
      <c r="E781" s="464"/>
      <c r="F781" s="2"/>
      <c r="G781" s="2"/>
      <c r="H781" s="2"/>
      <c r="I781" s="2"/>
      <c r="J781" s="2"/>
      <c r="K781" s="2"/>
      <c r="L781" s="2"/>
      <c r="M781" s="2"/>
      <c r="N781" s="2"/>
      <c r="O781" s="2"/>
      <c r="P781" s="2"/>
      <c r="Q781" s="2"/>
    </row>
    <row r="782" ht="15.75" customHeight="1">
      <c r="B782" s="576"/>
      <c r="C782" s="2"/>
      <c r="D782" s="2"/>
      <c r="E782" s="464"/>
      <c r="F782" s="2"/>
      <c r="G782" s="2"/>
      <c r="H782" s="2"/>
      <c r="I782" s="2"/>
      <c r="J782" s="2"/>
      <c r="K782" s="2"/>
      <c r="L782" s="2"/>
      <c r="M782" s="2"/>
      <c r="N782" s="2"/>
      <c r="O782" s="2"/>
      <c r="P782" s="2"/>
      <c r="Q782" s="2"/>
    </row>
    <row r="783" ht="15.75" customHeight="1">
      <c r="B783" s="576"/>
      <c r="C783" s="2"/>
      <c r="D783" s="2"/>
      <c r="E783" s="464"/>
      <c r="F783" s="2"/>
      <c r="G783" s="2"/>
      <c r="H783" s="2"/>
      <c r="I783" s="2"/>
      <c r="J783" s="2"/>
      <c r="K783" s="2"/>
      <c r="L783" s="2"/>
      <c r="M783" s="2"/>
      <c r="N783" s="2"/>
      <c r="O783" s="2"/>
      <c r="P783" s="2"/>
      <c r="Q783" s="2"/>
    </row>
    <row r="784" ht="15.75" customHeight="1">
      <c r="B784" s="576"/>
      <c r="C784" s="2"/>
      <c r="D784" s="2"/>
      <c r="E784" s="464"/>
      <c r="F784" s="2"/>
      <c r="G784" s="2"/>
      <c r="H784" s="2"/>
      <c r="I784" s="2"/>
      <c r="J784" s="2"/>
      <c r="K784" s="2"/>
      <c r="L784" s="2"/>
      <c r="M784" s="2"/>
      <c r="N784" s="2"/>
      <c r="O784" s="2"/>
      <c r="P784" s="2"/>
      <c r="Q784" s="2"/>
    </row>
    <row r="785" ht="15.75" customHeight="1">
      <c r="B785" s="576"/>
      <c r="C785" s="2"/>
      <c r="D785" s="2"/>
      <c r="E785" s="464"/>
      <c r="F785" s="2"/>
      <c r="G785" s="2"/>
      <c r="H785" s="2"/>
      <c r="I785" s="2"/>
      <c r="J785" s="2"/>
      <c r="K785" s="2"/>
      <c r="L785" s="2"/>
      <c r="M785" s="2"/>
      <c r="N785" s="2"/>
      <c r="O785" s="2"/>
      <c r="P785" s="2"/>
      <c r="Q785" s="2"/>
    </row>
    <row r="786" ht="15.75" customHeight="1">
      <c r="B786" s="576"/>
      <c r="C786" s="2"/>
      <c r="D786" s="2"/>
      <c r="E786" s="464"/>
      <c r="F786" s="2"/>
      <c r="G786" s="2"/>
      <c r="H786" s="2"/>
      <c r="I786" s="2"/>
      <c r="J786" s="2"/>
      <c r="K786" s="2"/>
      <c r="L786" s="2"/>
      <c r="M786" s="2"/>
      <c r="N786" s="2"/>
      <c r="O786" s="2"/>
      <c r="P786" s="2"/>
      <c r="Q786" s="2"/>
    </row>
    <row r="787" ht="15.75" customHeight="1">
      <c r="B787" s="576"/>
      <c r="C787" s="2"/>
      <c r="D787" s="2"/>
      <c r="E787" s="464"/>
      <c r="F787" s="2"/>
      <c r="G787" s="2"/>
      <c r="H787" s="2"/>
      <c r="I787" s="2"/>
      <c r="J787" s="2"/>
      <c r="K787" s="2"/>
      <c r="L787" s="2"/>
      <c r="M787" s="2"/>
      <c r="N787" s="2"/>
      <c r="O787" s="2"/>
      <c r="P787" s="2"/>
      <c r="Q787" s="2"/>
    </row>
    <row r="788" ht="15.75" customHeight="1">
      <c r="B788" s="576"/>
      <c r="C788" s="2"/>
      <c r="D788" s="2"/>
      <c r="E788" s="464"/>
      <c r="F788" s="2"/>
      <c r="G788" s="2"/>
      <c r="H788" s="2"/>
      <c r="I788" s="2"/>
      <c r="J788" s="2"/>
      <c r="K788" s="2"/>
      <c r="L788" s="2"/>
      <c r="M788" s="2"/>
      <c r="N788" s="2"/>
      <c r="O788" s="2"/>
      <c r="P788" s="2"/>
      <c r="Q788" s="2"/>
    </row>
    <row r="789" ht="15.75" customHeight="1">
      <c r="B789" s="576"/>
      <c r="C789" s="2"/>
      <c r="D789" s="2"/>
      <c r="E789" s="464"/>
      <c r="F789" s="2"/>
      <c r="G789" s="2"/>
      <c r="H789" s="2"/>
      <c r="I789" s="2"/>
      <c r="J789" s="2"/>
      <c r="K789" s="2"/>
      <c r="L789" s="2"/>
      <c r="M789" s="2"/>
      <c r="N789" s="2"/>
      <c r="O789" s="2"/>
      <c r="P789" s="2"/>
      <c r="Q789" s="2"/>
    </row>
    <row r="790" ht="15.75" customHeight="1">
      <c r="B790" s="576"/>
      <c r="C790" s="2"/>
      <c r="D790" s="2"/>
      <c r="E790" s="464"/>
      <c r="F790" s="2"/>
      <c r="G790" s="2"/>
      <c r="H790" s="2"/>
      <c r="I790" s="2"/>
      <c r="J790" s="2"/>
      <c r="K790" s="2"/>
      <c r="L790" s="2"/>
      <c r="M790" s="2"/>
      <c r="N790" s="2"/>
      <c r="O790" s="2"/>
      <c r="P790" s="2"/>
      <c r="Q790" s="2"/>
    </row>
    <row r="791" ht="15.75" customHeight="1">
      <c r="B791" s="576"/>
      <c r="C791" s="2"/>
      <c r="D791" s="2"/>
      <c r="E791" s="464"/>
      <c r="F791" s="2"/>
      <c r="G791" s="2"/>
      <c r="H791" s="2"/>
      <c r="I791" s="2"/>
      <c r="J791" s="2"/>
      <c r="K791" s="2"/>
      <c r="L791" s="2"/>
      <c r="M791" s="2"/>
      <c r="N791" s="2"/>
      <c r="O791" s="2"/>
      <c r="P791" s="2"/>
      <c r="Q791" s="2"/>
    </row>
    <row r="792" ht="15.75" customHeight="1">
      <c r="B792" s="576"/>
      <c r="C792" s="2"/>
      <c r="D792" s="2"/>
      <c r="E792" s="464"/>
      <c r="F792" s="2"/>
      <c r="G792" s="2"/>
      <c r="H792" s="2"/>
      <c r="I792" s="2"/>
      <c r="J792" s="2"/>
      <c r="K792" s="2"/>
      <c r="L792" s="2"/>
      <c r="M792" s="2"/>
      <c r="N792" s="2"/>
      <c r="O792" s="2"/>
      <c r="P792" s="2"/>
      <c r="Q792" s="2"/>
    </row>
    <row r="793" ht="15.75" customHeight="1">
      <c r="B793" s="576"/>
      <c r="C793" s="2"/>
      <c r="D793" s="2"/>
      <c r="E793" s="464"/>
      <c r="F793" s="2"/>
      <c r="G793" s="2"/>
      <c r="H793" s="2"/>
      <c r="I793" s="2"/>
      <c r="J793" s="2"/>
      <c r="K793" s="2"/>
      <c r="L793" s="2"/>
      <c r="M793" s="2"/>
      <c r="N793" s="2"/>
      <c r="O793" s="2"/>
      <c r="P793" s="2"/>
      <c r="Q793" s="2"/>
    </row>
    <row r="794" ht="15.75" customHeight="1">
      <c r="B794" s="576"/>
      <c r="C794" s="2"/>
      <c r="D794" s="2"/>
      <c r="E794" s="464"/>
      <c r="F794" s="2"/>
      <c r="G794" s="2"/>
      <c r="H794" s="2"/>
      <c r="I794" s="2"/>
      <c r="J794" s="2"/>
      <c r="K794" s="2"/>
      <c r="L794" s="2"/>
      <c r="M794" s="2"/>
      <c r="N794" s="2"/>
      <c r="O794" s="2"/>
      <c r="P794" s="2"/>
      <c r="Q794" s="2"/>
    </row>
    <row r="795" ht="15.75" customHeight="1">
      <c r="B795" s="576"/>
      <c r="C795" s="2"/>
      <c r="D795" s="2"/>
      <c r="E795" s="464"/>
      <c r="F795" s="2"/>
      <c r="G795" s="2"/>
      <c r="H795" s="2"/>
      <c r="I795" s="2"/>
      <c r="J795" s="2"/>
      <c r="K795" s="2"/>
      <c r="L795" s="2"/>
      <c r="M795" s="2"/>
      <c r="N795" s="2"/>
      <c r="O795" s="2"/>
      <c r="P795" s="2"/>
      <c r="Q795" s="2"/>
    </row>
    <row r="796" ht="15.75" customHeight="1">
      <c r="B796" s="576"/>
      <c r="C796" s="2"/>
      <c r="D796" s="2"/>
      <c r="E796" s="464"/>
      <c r="F796" s="2"/>
      <c r="G796" s="2"/>
      <c r="H796" s="2"/>
      <c r="I796" s="2"/>
      <c r="J796" s="2"/>
      <c r="K796" s="2"/>
      <c r="L796" s="2"/>
      <c r="M796" s="2"/>
      <c r="N796" s="2"/>
      <c r="O796" s="2"/>
      <c r="P796" s="2"/>
      <c r="Q796" s="2"/>
    </row>
    <row r="797" ht="15.75" customHeight="1">
      <c r="B797" s="576"/>
      <c r="C797" s="2"/>
      <c r="D797" s="2"/>
      <c r="E797" s="464"/>
      <c r="F797" s="2"/>
      <c r="G797" s="2"/>
      <c r="H797" s="2"/>
      <c r="I797" s="2"/>
      <c r="J797" s="2"/>
      <c r="K797" s="2"/>
      <c r="L797" s="2"/>
      <c r="M797" s="2"/>
      <c r="N797" s="2"/>
      <c r="O797" s="2"/>
      <c r="P797" s="2"/>
      <c r="Q797" s="2"/>
    </row>
    <row r="798" ht="15.75" customHeight="1">
      <c r="B798" s="576"/>
      <c r="C798" s="2"/>
      <c r="D798" s="2"/>
      <c r="E798" s="464"/>
      <c r="F798" s="2"/>
      <c r="G798" s="2"/>
      <c r="H798" s="2"/>
      <c r="I798" s="2"/>
      <c r="J798" s="2"/>
      <c r="K798" s="2"/>
      <c r="L798" s="2"/>
      <c r="M798" s="2"/>
      <c r="N798" s="2"/>
      <c r="O798" s="2"/>
      <c r="P798" s="2"/>
      <c r="Q798" s="2"/>
    </row>
    <row r="799" ht="15.75" customHeight="1">
      <c r="B799" s="576"/>
      <c r="C799" s="2"/>
      <c r="D799" s="2"/>
      <c r="E799" s="464"/>
      <c r="F799" s="2"/>
      <c r="G799" s="2"/>
      <c r="H799" s="2"/>
      <c r="I799" s="2"/>
      <c r="J799" s="2"/>
      <c r="K799" s="2"/>
      <c r="L799" s="2"/>
      <c r="M799" s="2"/>
      <c r="N799" s="2"/>
      <c r="O799" s="2"/>
      <c r="P799" s="2"/>
      <c r="Q799" s="2"/>
    </row>
    <row r="800" ht="15.75" customHeight="1">
      <c r="B800" s="576"/>
      <c r="C800" s="2"/>
      <c r="D800" s="2"/>
      <c r="E800" s="464"/>
      <c r="F800" s="2"/>
      <c r="G800" s="2"/>
      <c r="H800" s="2"/>
      <c r="I800" s="2"/>
      <c r="J800" s="2"/>
      <c r="K800" s="2"/>
      <c r="L800" s="2"/>
      <c r="M800" s="2"/>
      <c r="N800" s="2"/>
      <c r="O800" s="2"/>
      <c r="P800" s="2"/>
      <c r="Q800" s="2"/>
    </row>
    <row r="801" ht="15.75" customHeight="1">
      <c r="B801" s="576"/>
      <c r="C801" s="2"/>
      <c r="D801" s="2"/>
      <c r="E801" s="464"/>
      <c r="F801" s="2"/>
      <c r="G801" s="2"/>
      <c r="H801" s="2"/>
      <c r="I801" s="2"/>
      <c r="J801" s="2"/>
      <c r="K801" s="2"/>
      <c r="L801" s="2"/>
      <c r="M801" s="2"/>
      <c r="N801" s="2"/>
      <c r="O801" s="2"/>
      <c r="P801" s="2"/>
      <c r="Q801" s="2"/>
    </row>
    <row r="802" ht="15.75" customHeight="1">
      <c r="B802" s="576"/>
      <c r="C802" s="2"/>
      <c r="D802" s="2"/>
      <c r="E802" s="464"/>
      <c r="F802" s="2"/>
      <c r="G802" s="2"/>
      <c r="H802" s="2"/>
      <c r="I802" s="2"/>
      <c r="J802" s="2"/>
      <c r="K802" s="2"/>
      <c r="L802" s="2"/>
      <c r="M802" s="2"/>
      <c r="N802" s="2"/>
      <c r="O802" s="2"/>
      <c r="P802" s="2"/>
      <c r="Q802" s="2"/>
    </row>
    <row r="803" ht="15.75" customHeight="1">
      <c r="B803" s="576"/>
      <c r="C803" s="2"/>
      <c r="D803" s="2"/>
      <c r="E803" s="464"/>
      <c r="F803" s="2"/>
      <c r="G803" s="2"/>
      <c r="H803" s="2"/>
      <c r="I803" s="2"/>
      <c r="J803" s="2"/>
      <c r="K803" s="2"/>
      <c r="L803" s="2"/>
      <c r="M803" s="2"/>
      <c r="N803" s="2"/>
      <c r="O803" s="2"/>
      <c r="P803" s="2"/>
      <c r="Q803" s="2"/>
    </row>
    <row r="804" ht="15.75" customHeight="1">
      <c r="B804" s="576"/>
      <c r="C804" s="2"/>
      <c r="D804" s="2"/>
      <c r="E804" s="464"/>
      <c r="F804" s="2"/>
      <c r="G804" s="2"/>
      <c r="H804" s="2"/>
      <c r="I804" s="2"/>
      <c r="J804" s="2"/>
      <c r="K804" s="2"/>
      <c r="L804" s="2"/>
      <c r="M804" s="2"/>
      <c r="N804" s="2"/>
      <c r="O804" s="2"/>
      <c r="P804" s="2"/>
      <c r="Q804" s="2"/>
    </row>
    <row r="805" ht="15.75" customHeight="1">
      <c r="B805" s="576"/>
      <c r="C805" s="2"/>
      <c r="D805" s="2"/>
      <c r="E805" s="464"/>
      <c r="F805" s="2"/>
      <c r="G805" s="2"/>
      <c r="H805" s="2"/>
      <c r="I805" s="2"/>
      <c r="J805" s="2"/>
      <c r="K805" s="2"/>
      <c r="L805" s="2"/>
      <c r="M805" s="2"/>
      <c r="N805" s="2"/>
      <c r="O805" s="2"/>
      <c r="P805" s="2"/>
      <c r="Q805" s="2"/>
    </row>
    <row r="806" ht="15.75" customHeight="1">
      <c r="B806" s="576"/>
      <c r="C806" s="2"/>
      <c r="D806" s="2"/>
      <c r="E806" s="464"/>
      <c r="F806" s="2"/>
      <c r="G806" s="2"/>
      <c r="H806" s="2"/>
      <c r="I806" s="2"/>
      <c r="J806" s="2"/>
      <c r="K806" s="2"/>
      <c r="L806" s="2"/>
      <c r="M806" s="2"/>
      <c r="N806" s="2"/>
      <c r="O806" s="2"/>
      <c r="P806" s="2"/>
      <c r="Q806" s="2"/>
    </row>
    <row r="807" ht="15.75" customHeight="1">
      <c r="B807" s="576"/>
      <c r="C807" s="2"/>
      <c r="D807" s="2"/>
      <c r="E807" s="464"/>
      <c r="F807" s="2"/>
      <c r="G807" s="2"/>
      <c r="H807" s="2"/>
      <c r="I807" s="2"/>
      <c r="J807" s="2"/>
      <c r="K807" s="2"/>
      <c r="L807" s="2"/>
      <c r="M807" s="2"/>
      <c r="N807" s="2"/>
      <c r="O807" s="2"/>
      <c r="P807" s="2"/>
      <c r="Q807" s="2"/>
    </row>
    <row r="808" ht="15.75" customHeight="1">
      <c r="B808" s="576"/>
      <c r="C808" s="2"/>
      <c r="D808" s="2"/>
      <c r="E808" s="464"/>
      <c r="F808" s="2"/>
      <c r="G808" s="2"/>
      <c r="H808" s="2"/>
      <c r="I808" s="2"/>
      <c r="J808" s="2"/>
      <c r="K808" s="2"/>
      <c r="L808" s="2"/>
      <c r="M808" s="2"/>
      <c r="N808" s="2"/>
      <c r="O808" s="2"/>
      <c r="P808" s="2"/>
      <c r="Q808" s="2"/>
    </row>
    <row r="809" ht="15.75" customHeight="1">
      <c r="B809" s="576"/>
      <c r="C809" s="2"/>
      <c r="D809" s="2"/>
      <c r="E809" s="464"/>
      <c r="F809" s="2"/>
      <c r="G809" s="2"/>
      <c r="H809" s="2"/>
      <c r="I809" s="2"/>
      <c r="J809" s="2"/>
      <c r="K809" s="2"/>
      <c r="L809" s="2"/>
      <c r="M809" s="2"/>
      <c r="N809" s="2"/>
      <c r="O809" s="2"/>
      <c r="P809" s="2"/>
      <c r="Q809" s="2"/>
    </row>
    <row r="810" ht="15.75" customHeight="1">
      <c r="B810" s="576"/>
      <c r="C810" s="2"/>
      <c r="D810" s="2"/>
      <c r="E810" s="464"/>
      <c r="F810" s="2"/>
      <c r="G810" s="2"/>
      <c r="H810" s="2"/>
      <c r="I810" s="2"/>
      <c r="J810" s="2"/>
      <c r="K810" s="2"/>
      <c r="L810" s="2"/>
      <c r="M810" s="2"/>
      <c r="N810" s="2"/>
      <c r="O810" s="2"/>
      <c r="P810" s="2"/>
      <c r="Q810" s="2"/>
    </row>
    <row r="811" ht="15.75" customHeight="1">
      <c r="B811" s="576"/>
      <c r="C811" s="2"/>
      <c r="D811" s="2"/>
      <c r="E811" s="464"/>
      <c r="F811" s="2"/>
      <c r="G811" s="2"/>
      <c r="H811" s="2"/>
      <c r="I811" s="2"/>
      <c r="J811" s="2"/>
      <c r="K811" s="2"/>
      <c r="L811" s="2"/>
      <c r="M811" s="2"/>
      <c r="N811" s="2"/>
      <c r="O811" s="2"/>
      <c r="P811" s="2"/>
      <c r="Q811" s="2"/>
    </row>
    <row r="812" ht="15.75" customHeight="1">
      <c r="B812" s="576"/>
      <c r="C812" s="2"/>
      <c r="D812" s="2"/>
      <c r="E812" s="464"/>
      <c r="F812" s="2"/>
      <c r="G812" s="2"/>
      <c r="H812" s="2"/>
      <c r="I812" s="2"/>
      <c r="J812" s="2"/>
      <c r="K812" s="2"/>
      <c r="L812" s="2"/>
      <c r="M812" s="2"/>
      <c r="N812" s="2"/>
      <c r="O812" s="2"/>
      <c r="P812" s="2"/>
      <c r="Q812" s="2"/>
    </row>
    <row r="813" ht="15.75" customHeight="1">
      <c r="B813" s="576"/>
      <c r="C813" s="2"/>
      <c r="D813" s="2"/>
      <c r="E813" s="464"/>
      <c r="F813" s="2"/>
      <c r="G813" s="2"/>
      <c r="H813" s="2"/>
      <c r="I813" s="2"/>
      <c r="J813" s="2"/>
      <c r="K813" s="2"/>
      <c r="L813" s="2"/>
      <c r="M813" s="2"/>
      <c r="N813" s="2"/>
      <c r="O813" s="2"/>
      <c r="P813" s="2"/>
      <c r="Q813" s="2"/>
    </row>
    <row r="814" ht="15.75" customHeight="1">
      <c r="B814" s="576"/>
      <c r="C814" s="2"/>
      <c r="D814" s="2"/>
      <c r="E814" s="464"/>
      <c r="F814" s="2"/>
      <c r="G814" s="2"/>
      <c r="H814" s="2"/>
      <c r="I814" s="2"/>
      <c r="J814" s="2"/>
      <c r="K814" s="2"/>
      <c r="L814" s="2"/>
      <c r="M814" s="2"/>
      <c r="N814" s="2"/>
      <c r="O814" s="2"/>
      <c r="P814" s="2"/>
      <c r="Q814" s="2"/>
    </row>
    <row r="815" ht="15.75" customHeight="1">
      <c r="B815" s="576"/>
      <c r="C815" s="2"/>
      <c r="D815" s="2"/>
      <c r="E815" s="464"/>
      <c r="F815" s="2"/>
      <c r="G815" s="2"/>
      <c r="H815" s="2"/>
      <c r="I815" s="2"/>
      <c r="J815" s="2"/>
      <c r="K815" s="2"/>
      <c r="L815" s="2"/>
      <c r="M815" s="2"/>
      <c r="N815" s="2"/>
      <c r="O815" s="2"/>
      <c r="P815" s="2"/>
      <c r="Q815" s="2"/>
    </row>
    <row r="816" ht="15.75" customHeight="1">
      <c r="B816" s="576"/>
      <c r="C816" s="2"/>
      <c r="D816" s="2"/>
      <c r="E816" s="464"/>
      <c r="F816" s="2"/>
      <c r="G816" s="2"/>
      <c r="H816" s="2"/>
      <c r="I816" s="2"/>
      <c r="J816" s="2"/>
      <c r="K816" s="2"/>
      <c r="L816" s="2"/>
      <c r="M816" s="2"/>
      <c r="N816" s="2"/>
      <c r="O816" s="2"/>
      <c r="P816" s="2"/>
      <c r="Q816" s="2"/>
    </row>
    <row r="817" ht="15.75" customHeight="1">
      <c r="B817" s="576"/>
      <c r="C817" s="2"/>
      <c r="D817" s="2"/>
      <c r="E817" s="464"/>
      <c r="F817" s="2"/>
      <c r="G817" s="2"/>
      <c r="H817" s="2"/>
      <c r="I817" s="2"/>
      <c r="J817" s="2"/>
      <c r="K817" s="2"/>
      <c r="L817" s="2"/>
      <c r="M817" s="2"/>
      <c r="N817" s="2"/>
      <c r="O817" s="2"/>
      <c r="P817" s="2"/>
      <c r="Q817" s="2"/>
    </row>
    <row r="818" ht="15.75" customHeight="1">
      <c r="B818" s="576"/>
      <c r="C818" s="2"/>
      <c r="D818" s="2"/>
      <c r="E818" s="464"/>
      <c r="F818" s="2"/>
      <c r="G818" s="2"/>
      <c r="H818" s="2"/>
      <c r="I818" s="2"/>
      <c r="J818" s="2"/>
      <c r="K818" s="2"/>
      <c r="L818" s="2"/>
      <c r="M818" s="2"/>
      <c r="N818" s="2"/>
      <c r="O818" s="2"/>
      <c r="P818" s="2"/>
      <c r="Q818" s="2"/>
    </row>
    <row r="819" ht="15.75" customHeight="1">
      <c r="B819" s="576"/>
      <c r="C819" s="2"/>
      <c r="D819" s="2"/>
      <c r="E819" s="464"/>
      <c r="F819" s="2"/>
      <c r="G819" s="2"/>
      <c r="H819" s="2"/>
      <c r="I819" s="2"/>
      <c r="J819" s="2"/>
      <c r="K819" s="2"/>
      <c r="L819" s="2"/>
      <c r="M819" s="2"/>
      <c r="N819" s="2"/>
      <c r="O819" s="2"/>
      <c r="P819" s="2"/>
      <c r="Q819" s="2"/>
    </row>
    <row r="820" ht="15.75" customHeight="1">
      <c r="B820" s="576"/>
      <c r="C820" s="2"/>
      <c r="D820" s="2"/>
      <c r="E820" s="464"/>
      <c r="F820" s="2"/>
      <c r="G820" s="2"/>
      <c r="H820" s="2"/>
      <c r="I820" s="2"/>
      <c r="J820" s="2"/>
      <c r="K820" s="2"/>
      <c r="L820" s="2"/>
      <c r="M820" s="2"/>
      <c r="N820" s="2"/>
      <c r="O820" s="2"/>
      <c r="P820" s="2"/>
      <c r="Q820" s="2"/>
    </row>
    <row r="821" ht="15.75" customHeight="1">
      <c r="B821" s="576"/>
      <c r="C821" s="2"/>
      <c r="D821" s="2"/>
      <c r="E821" s="464"/>
      <c r="F821" s="2"/>
      <c r="G821" s="2"/>
      <c r="H821" s="2"/>
      <c r="I821" s="2"/>
      <c r="J821" s="2"/>
      <c r="K821" s="2"/>
      <c r="L821" s="2"/>
      <c r="M821" s="2"/>
      <c r="N821" s="2"/>
      <c r="O821" s="2"/>
      <c r="P821" s="2"/>
      <c r="Q821" s="2"/>
    </row>
    <row r="822" ht="15.75" customHeight="1">
      <c r="B822" s="576"/>
      <c r="C822" s="2"/>
      <c r="D822" s="2"/>
      <c r="E822" s="464"/>
      <c r="F822" s="2"/>
      <c r="G822" s="2"/>
      <c r="H822" s="2"/>
      <c r="I822" s="2"/>
      <c r="J822" s="2"/>
      <c r="K822" s="2"/>
      <c r="L822" s="2"/>
      <c r="M822" s="2"/>
      <c r="N822" s="2"/>
      <c r="O822" s="2"/>
      <c r="P822" s="2"/>
      <c r="Q822" s="2"/>
    </row>
    <row r="823" ht="15.75" customHeight="1">
      <c r="B823" s="576"/>
      <c r="C823" s="2"/>
      <c r="D823" s="2"/>
      <c r="E823" s="464"/>
      <c r="F823" s="2"/>
      <c r="G823" s="2"/>
      <c r="H823" s="2"/>
      <c r="I823" s="2"/>
      <c r="J823" s="2"/>
      <c r="K823" s="2"/>
      <c r="L823" s="2"/>
      <c r="M823" s="2"/>
      <c r="N823" s="2"/>
      <c r="O823" s="2"/>
      <c r="P823" s="2"/>
      <c r="Q823" s="2"/>
    </row>
    <row r="824" ht="15.75" customHeight="1">
      <c r="B824" s="576"/>
      <c r="C824" s="2"/>
      <c r="D824" s="2"/>
      <c r="E824" s="464"/>
      <c r="F824" s="2"/>
      <c r="G824" s="2"/>
      <c r="H824" s="2"/>
      <c r="I824" s="2"/>
      <c r="J824" s="2"/>
      <c r="K824" s="2"/>
      <c r="L824" s="2"/>
      <c r="M824" s="2"/>
      <c r="N824" s="2"/>
      <c r="O824" s="2"/>
      <c r="P824" s="2"/>
      <c r="Q824" s="2"/>
    </row>
    <row r="825" ht="15.75" customHeight="1">
      <c r="B825" s="576"/>
      <c r="C825" s="2"/>
      <c r="D825" s="2"/>
      <c r="E825" s="464"/>
      <c r="F825" s="2"/>
      <c r="G825" s="2"/>
      <c r="H825" s="2"/>
      <c r="I825" s="2"/>
      <c r="J825" s="2"/>
      <c r="K825" s="2"/>
      <c r="L825" s="2"/>
      <c r="M825" s="2"/>
      <c r="N825" s="2"/>
      <c r="O825" s="2"/>
      <c r="P825" s="2"/>
      <c r="Q825" s="2"/>
    </row>
    <row r="826" ht="15.75" customHeight="1">
      <c r="B826" s="576"/>
      <c r="C826" s="2"/>
      <c r="D826" s="2"/>
      <c r="E826" s="464"/>
      <c r="F826" s="2"/>
      <c r="G826" s="2"/>
      <c r="H826" s="2"/>
      <c r="I826" s="2"/>
      <c r="J826" s="2"/>
      <c r="K826" s="2"/>
      <c r="L826" s="2"/>
      <c r="M826" s="2"/>
      <c r="N826" s="2"/>
      <c r="O826" s="2"/>
      <c r="P826" s="2"/>
      <c r="Q826" s="2"/>
    </row>
    <row r="827" ht="15.75" customHeight="1">
      <c r="B827" s="576"/>
      <c r="C827" s="2"/>
      <c r="D827" s="2"/>
      <c r="E827" s="464"/>
      <c r="F827" s="2"/>
      <c r="G827" s="2"/>
      <c r="H827" s="2"/>
      <c r="I827" s="2"/>
      <c r="J827" s="2"/>
      <c r="K827" s="2"/>
      <c r="L827" s="2"/>
      <c r="M827" s="2"/>
      <c r="N827" s="2"/>
      <c r="O827" s="2"/>
      <c r="P827" s="2"/>
      <c r="Q827" s="2"/>
    </row>
    <row r="828" ht="15.75" customHeight="1">
      <c r="B828" s="576"/>
      <c r="C828" s="2"/>
      <c r="D828" s="2"/>
      <c r="E828" s="464"/>
      <c r="F828" s="2"/>
      <c r="G828" s="2"/>
      <c r="H828" s="2"/>
      <c r="I828" s="2"/>
      <c r="J828" s="2"/>
      <c r="K828" s="2"/>
      <c r="L828" s="2"/>
      <c r="M828" s="2"/>
      <c r="N828" s="2"/>
      <c r="O828" s="2"/>
      <c r="P828" s="2"/>
      <c r="Q828" s="2"/>
    </row>
    <row r="829" ht="15.75" customHeight="1">
      <c r="B829" s="576"/>
      <c r="C829" s="2"/>
      <c r="D829" s="2"/>
      <c r="E829" s="464"/>
      <c r="F829" s="2"/>
      <c r="G829" s="2"/>
      <c r="H829" s="2"/>
      <c r="I829" s="2"/>
      <c r="J829" s="2"/>
      <c r="K829" s="2"/>
      <c r="L829" s="2"/>
      <c r="M829" s="2"/>
      <c r="N829" s="2"/>
      <c r="O829" s="2"/>
      <c r="P829" s="2"/>
      <c r="Q829" s="2"/>
    </row>
    <row r="830" ht="15.75" customHeight="1">
      <c r="B830" s="576"/>
      <c r="C830" s="2"/>
      <c r="D830" s="2"/>
      <c r="E830" s="464"/>
      <c r="F830" s="2"/>
      <c r="G830" s="2"/>
      <c r="H830" s="2"/>
      <c r="I830" s="2"/>
      <c r="J830" s="2"/>
      <c r="K830" s="2"/>
      <c r="L830" s="2"/>
      <c r="M830" s="2"/>
      <c r="N830" s="2"/>
      <c r="O830" s="2"/>
      <c r="P830" s="2"/>
      <c r="Q830" s="2"/>
    </row>
    <row r="831" ht="15.75" customHeight="1">
      <c r="B831" s="576"/>
      <c r="C831" s="2"/>
      <c r="D831" s="2"/>
      <c r="E831" s="464"/>
      <c r="F831" s="2"/>
      <c r="G831" s="2"/>
      <c r="H831" s="2"/>
      <c r="I831" s="2"/>
      <c r="J831" s="2"/>
      <c r="K831" s="2"/>
      <c r="L831" s="2"/>
      <c r="M831" s="2"/>
      <c r="N831" s="2"/>
      <c r="O831" s="2"/>
      <c r="P831" s="2"/>
      <c r="Q831" s="2"/>
    </row>
    <row r="832" ht="15.75" customHeight="1">
      <c r="B832" s="576"/>
      <c r="C832" s="2"/>
      <c r="D832" s="2"/>
      <c r="E832" s="464"/>
      <c r="F832" s="2"/>
      <c r="G832" s="2"/>
      <c r="H832" s="2"/>
      <c r="I832" s="2"/>
      <c r="J832" s="2"/>
      <c r="K832" s="2"/>
      <c r="L832" s="2"/>
      <c r="M832" s="2"/>
      <c r="N832" s="2"/>
      <c r="O832" s="2"/>
      <c r="P832" s="2"/>
      <c r="Q832" s="2"/>
    </row>
    <row r="833" ht="15.75" customHeight="1">
      <c r="B833" s="576"/>
      <c r="C833" s="2"/>
      <c r="D833" s="2"/>
      <c r="E833" s="464"/>
      <c r="F833" s="2"/>
      <c r="G833" s="2"/>
      <c r="H833" s="2"/>
      <c r="I833" s="2"/>
      <c r="J833" s="2"/>
      <c r="K833" s="2"/>
      <c r="L833" s="2"/>
      <c r="M833" s="2"/>
      <c r="N833" s="2"/>
      <c r="O833" s="2"/>
      <c r="P833" s="2"/>
      <c r="Q833" s="2"/>
    </row>
    <row r="834" ht="15.75" customHeight="1">
      <c r="B834" s="576"/>
      <c r="C834" s="2"/>
      <c r="D834" s="2"/>
      <c r="E834" s="464"/>
      <c r="F834" s="2"/>
      <c r="G834" s="2"/>
      <c r="H834" s="2"/>
      <c r="I834" s="2"/>
      <c r="J834" s="2"/>
      <c r="K834" s="2"/>
      <c r="L834" s="2"/>
      <c r="M834" s="2"/>
      <c r="N834" s="2"/>
      <c r="O834" s="2"/>
      <c r="P834" s="2"/>
      <c r="Q834" s="2"/>
    </row>
    <row r="835" ht="15.75" customHeight="1">
      <c r="B835" s="576"/>
      <c r="C835" s="2"/>
      <c r="D835" s="2"/>
      <c r="E835" s="464"/>
      <c r="F835" s="2"/>
      <c r="G835" s="2"/>
      <c r="H835" s="2"/>
      <c r="I835" s="2"/>
      <c r="J835" s="2"/>
      <c r="K835" s="2"/>
      <c r="L835" s="2"/>
      <c r="M835" s="2"/>
      <c r="N835" s="2"/>
      <c r="O835" s="2"/>
      <c r="P835" s="2"/>
      <c r="Q835" s="2"/>
    </row>
    <row r="836" ht="15.75" customHeight="1">
      <c r="B836" s="576"/>
      <c r="C836" s="2"/>
      <c r="D836" s="2"/>
      <c r="E836" s="464"/>
      <c r="F836" s="2"/>
      <c r="G836" s="2"/>
      <c r="H836" s="2"/>
      <c r="I836" s="2"/>
      <c r="J836" s="2"/>
      <c r="K836" s="2"/>
      <c r="L836" s="2"/>
      <c r="M836" s="2"/>
      <c r="N836" s="2"/>
      <c r="O836" s="2"/>
      <c r="P836" s="2"/>
      <c r="Q836" s="2"/>
    </row>
    <row r="837" ht="15.75" customHeight="1">
      <c r="B837" s="576"/>
      <c r="C837" s="2"/>
      <c r="D837" s="2"/>
      <c r="E837" s="464"/>
      <c r="F837" s="2"/>
      <c r="G837" s="2"/>
      <c r="H837" s="2"/>
      <c r="I837" s="2"/>
      <c r="J837" s="2"/>
      <c r="K837" s="2"/>
      <c r="L837" s="2"/>
      <c r="M837" s="2"/>
      <c r="N837" s="2"/>
      <c r="O837" s="2"/>
      <c r="P837" s="2"/>
      <c r="Q837" s="2"/>
    </row>
    <row r="838" ht="15.75" customHeight="1">
      <c r="B838" s="576"/>
      <c r="C838" s="2"/>
      <c r="D838" s="2"/>
      <c r="E838" s="464"/>
      <c r="F838" s="2"/>
      <c r="G838" s="2"/>
      <c r="H838" s="2"/>
      <c r="I838" s="2"/>
      <c r="J838" s="2"/>
      <c r="K838" s="2"/>
      <c r="L838" s="2"/>
      <c r="M838" s="2"/>
      <c r="N838" s="2"/>
      <c r="O838" s="2"/>
      <c r="P838" s="2"/>
      <c r="Q838" s="2"/>
    </row>
    <row r="839" ht="15.75" customHeight="1">
      <c r="B839" s="576"/>
      <c r="C839" s="2"/>
      <c r="D839" s="2"/>
      <c r="E839" s="464"/>
      <c r="F839" s="2"/>
      <c r="G839" s="2"/>
      <c r="H839" s="2"/>
      <c r="I839" s="2"/>
      <c r="J839" s="2"/>
      <c r="K839" s="2"/>
      <c r="L839" s="2"/>
      <c r="M839" s="2"/>
      <c r="N839" s="2"/>
      <c r="O839" s="2"/>
      <c r="P839" s="2"/>
      <c r="Q839" s="2"/>
    </row>
    <row r="840" ht="15.75" customHeight="1">
      <c r="B840" s="576"/>
      <c r="C840" s="2"/>
      <c r="D840" s="2"/>
      <c r="E840" s="464"/>
      <c r="F840" s="2"/>
      <c r="G840" s="2"/>
      <c r="H840" s="2"/>
      <c r="I840" s="2"/>
      <c r="J840" s="2"/>
      <c r="K840" s="2"/>
      <c r="L840" s="2"/>
      <c r="M840" s="2"/>
      <c r="N840" s="2"/>
      <c r="O840" s="2"/>
      <c r="P840" s="2"/>
      <c r="Q840" s="2"/>
    </row>
    <row r="841" ht="15.75" customHeight="1">
      <c r="B841" s="576"/>
      <c r="C841" s="2"/>
      <c r="D841" s="2"/>
      <c r="E841" s="464"/>
      <c r="F841" s="2"/>
      <c r="G841" s="2"/>
      <c r="H841" s="2"/>
      <c r="I841" s="2"/>
      <c r="J841" s="2"/>
      <c r="K841" s="2"/>
      <c r="L841" s="2"/>
      <c r="M841" s="2"/>
      <c r="N841" s="2"/>
      <c r="O841" s="2"/>
      <c r="P841" s="2"/>
      <c r="Q841" s="2"/>
    </row>
    <row r="842" ht="15.75" customHeight="1">
      <c r="B842" s="576"/>
      <c r="C842" s="2"/>
      <c r="D842" s="2"/>
      <c r="E842" s="464"/>
      <c r="F842" s="2"/>
      <c r="G842" s="2"/>
      <c r="H842" s="2"/>
      <c r="I842" s="2"/>
      <c r="J842" s="2"/>
      <c r="K842" s="2"/>
      <c r="L842" s="2"/>
      <c r="M842" s="2"/>
      <c r="N842" s="2"/>
      <c r="O842" s="2"/>
      <c r="P842" s="2"/>
      <c r="Q842" s="2"/>
    </row>
    <row r="843" ht="15.75" customHeight="1">
      <c r="B843" s="576"/>
      <c r="C843" s="2"/>
      <c r="D843" s="2"/>
      <c r="E843" s="464"/>
      <c r="F843" s="2"/>
      <c r="G843" s="2"/>
      <c r="H843" s="2"/>
      <c r="I843" s="2"/>
      <c r="J843" s="2"/>
      <c r="K843" s="2"/>
      <c r="L843" s="2"/>
      <c r="M843" s="2"/>
      <c r="N843" s="2"/>
      <c r="O843" s="2"/>
      <c r="P843" s="2"/>
      <c r="Q843" s="2"/>
    </row>
    <row r="844" ht="15.75" customHeight="1">
      <c r="B844" s="576"/>
      <c r="C844" s="2"/>
      <c r="D844" s="2"/>
      <c r="E844" s="464"/>
      <c r="F844" s="2"/>
      <c r="G844" s="2"/>
      <c r="H844" s="2"/>
      <c r="I844" s="2"/>
      <c r="J844" s="2"/>
      <c r="K844" s="2"/>
      <c r="L844" s="2"/>
      <c r="M844" s="2"/>
      <c r="N844" s="2"/>
      <c r="O844" s="2"/>
      <c r="P844" s="2"/>
      <c r="Q844" s="2"/>
    </row>
    <row r="845" ht="15.75" customHeight="1">
      <c r="B845" s="576"/>
      <c r="C845" s="2"/>
      <c r="D845" s="2"/>
      <c r="E845" s="464"/>
      <c r="F845" s="2"/>
      <c r="G845" s="2"/>
      <c r="H845" s="2"/>
      <c r="I845" s="2"/>
      <c r="J845" s="2"/>
      <c r="K845" s="2"/>
      <c r="L845" s="2"/>
      <c r="M845" s="2"/>
      <c r="N845" s="2"/>
      <c r="O845" s="2"/>
      <c r="P845" s="2"/>
      <c r="Q845" s="2"/>
    </row>
    <row r="846" ht="15.75" customHeight="1">
      <c r="B846" s="576"/>
      <c r="C846" s="2"/>
      <c r="D846" s="2"/>
      <c r="E846" s="464"/>
      <c r="F846" s="2"/>
      <c r="G846" s="2"/>
      <c r="H846" s="2"/>
      <c r="I846" s="2"/>
      <c r="J846" s="2"/>
      <c r="K846" s="2"/>
      <c r="L846" s="2"/>
      <c r="M846" s="2"/>
      <c r="N846" s="2"/>
      <c r="O846" s="2"/>
      <c r="P846" s="2"/>
      <c r="Q846" s="2"/>
    </row>
    <row r="847" ht="15.75" customHeight="1">
      <c r="B847" s="576"/>
      <c r="C847" s="2"/>
      <c r="D847" s="2"/>
      <c r="E847" s="464"/>
      <c r="F847" s="2"/>
      <c r="G847" s="2"/>
      <c r="H847" s="2"/>
      <c r="I847" s="2"/>
      <c r="J847" s="2"/>
      <c r="K847" s="2"/>
      <c r="L847" s="2"/>
      <c r="M847" s="2"/>
      <c r="N847" s="2"/>
      <c r="O847" s="2"/>
      <c r="P847" s="2"/>
      <c r="Q847" s="2"/>
    </row>
    <row r="848" ht="15.75" customHeight="1">
      <c r="B848" s="576"/>
      <c r="C848" s="2"/>
      <c r="D848" s="2"/>
      <c r="E848" s="464"/>
      <c r="F848" s="2"/>
      <c r="G848" s="2"/>
      <c r="H848" s="2"/>
      <c r="I848" s="2"/>
      <c r="J848" s="2"/>
      <c r="K848" s="2"/>
      <c r="L848" s="2"/>
      <c r="M848" s="2"/>
      <c r="N848" s="2"/>
      <c r="O848" s="2"/>
      <c r="P848" s="2"/>
      <c r="Q848" s="2"/>
    </row>
    <row r="849" ht="15.75" customHeight="1">
      <c r="B849" s="576"/>
      <c r="C849" s="2"/>
      <c r="D849" s="2"/>
      <c r="E849" s="464"/>
      <c r="F849" s="2"/>
      <c r="G849" s="2"/>
      <c r="H849" s="2"/>
      <c r="I849" s="2"/>
      <c r="J849" s="2"/>
      <c r="K849" s="2"/>
      <c r="L849" s="2"/>
      <c r="M849" s="2"/>
      <c r="N849" s="2"/>
      <c r="O849" s="2"/>
      <c r="P849" s="2"/>
      <c r="Q849" s="2"/>
    </row>
    <row r="850" ht="15.75" customHeight="1">
      <c r="B850" s="576"/>
      <c r="C850" s="2"/>
      <c r="D850" s="2"/>
      <c r="E850" s="464"/>
      <c r="F850" s="2"/>
      <c r="G850" s="2"/>
      <c r="H850" s="2"/>
      <c r="I850" s="2"/>
      <c r="J850" s="2"/>
      <c r="K850" s="2"/>
      <c r="L850" s="2"/>
      <c r="M850" s="2"/>
      <c r="N850" s="2"/>
      <c r="O850" s="2"/>
      <c r="P850" s="2"/>
      <c r="Q850" s="2"/>
    </row>
    <row r="851" ht="15.75" customHeight="1">
      <c r="B851" s="576"/>
      <c r="C851" s="2"/>
      <c r="D851" s="2"/>
      <c r="E851" s="464"/>
      <c r="F851" s="2"/>
      <c r="G851" s="2"/>
      <c r="H851" s="2"/>
      <c r="I851" s="2"/>
      <c r="J851" s="2"/>
      <c r="K851" s="2"/>
      <c r="L851" s="2"/>
      <c r="M851" s="2"/>
      <c r="N851" s="2"/>
      <c r="O851" s="2"/>
      <c r="P851" s="2"/>
      <c r="Q851" s="2"/>
    </row>
    <row r="852" ht="15.75" customHeight="1">
      <c r="B852" s="576"/>
      <c r="C852" s="2"/>
      <c r="D852" s="2"/>
      <c r="E852" s="464"/>
      <c r="F852" s="2"/>
      <c r="G852" s="2"/>
      <c r="H852" s="2"/>
      <c r="I852" s="2"/>
      <c r="J852" s="2"/>
      <c r="K852" s="2"/>
      <c r="L852" s="2"/>
      <c r="M852" s="2"/>
      <c r="N852" s="2"/>
      <c r="O852" s="2"/>
      <c r="P852" s="2"/>
      <c r="Q852" s="2"/>
    </row>
    <row r="853" ht="15.75" customHeight="1">
      <c r="B853" s="576"/>
      <c r="C853" s="2"/>
      <c r="D853" s="2"/>
      <c r="E853" s="464"/>
      <c r="F853" s="2"/>
      <c r="G853" s="2"/>
      <c r="H853" s="2"/>
      <c r="I853" s="2"/>
      <c r="J853" s="2"/>
      <c r="K853" s="2"/>
      <c r="L853" s="2"/>
      <c r="M853" s="2"/>
      <c r="N853" s="2"/>
      <c r="O853" s="2"/>
      <c r="P853" s="2"/>
      <c r="Q853" s="2"/>
    </row>
    <row r="854" ht="15.75" customHeight="1">
      <c r="B854" s="576"/>
      <c r="C854" s="2"/>
      <c r="D854" s="2"/>
      <c r="E854" s="464"/>
      <c r="F854" s="2"/>
      <c r="G854" s="2"/>
      <c r="H854" s="2"/>
      <c r="I854" s="2"/>
      <c r="J854" s="2"/>
      <c r="K854" s="2"/>
      <c r="L854" s="2"/>
      <c r="M854" s="2"/>
      <c r="N854" s="2"/>
      <c r="O854" s="2"/>
      <c r="P854" s="2"/>
      <c r="Q854" s="2"/>
    </row>
    <row r="855" ht="15.75" customHeight="1">
      <c r="B855" s="576"/>
      <c r="C855" s="2"/>
      <c r="D855" s="2"/>
      <c r="E855" s="464"/>
      <c r="F855" s="2"/>
      <c r="G855" s="2"/>
      <c r="H855" s="2"/>
      <c r="I855" s="2"/>
      <c r="J855" s="2"/>
      <c r="K855" s="2"/>
      <c r="L855" s="2"/>
      <c r="M855" s="2"/>
      <c r="N855" s="2"/>
      <c r="O855" s="2"/>
      <c r="P855" s="2"/>
      <c r="Q855" s="2"/>
    </row>
    <row r="856" ht="15.75" customHeight="1">
      <c r="B856" s="576"/>
      <c r="C856" s="2"/>
      <c r="D856" s="2"/>
      <c r="E856" s="464"/>
      <c r="F856" s="2"/>
      <c r="G856" s="2"/>
      <c r="H856" s="2"/>
      <c r="I856" s="2"/>
      <c r="J856" s="2"/>
      <c r="K856" s="2"/>
      <c r="L856" s="2"/>
      <c r="M856" s="2"/>
      <c r="N856" s="2"/>
      <c r="O856" s="2"/>
      <c r="P856" s="2"/>
      <c r="Q856" s="2"/>
    </row>
    <row r="857" ht="15.75" customHeight="1">
      <c r="B857" s="576"/>
      <c r="C857" s="2"/>
      <c r="D857" s="2"/>
      <c r="E857" s="464"/>
      <c r="F857" s="2"/>
      <c r="G857" s="2"/>
      <c r="H857" s="2"/>
      <c r="I857" s="2"/>
      <c r="J857" s="2"/>
      <c r="K857" s="2"/>
      <c r="L857" s="2"/>
      <c r="M857" s="2"/>
      <c r="N857" s="2"/>
      <c r="O857" s="2"/>
      <c r="P857" s="2"/>
      <c r="Q857" s="2"/>
    </row>
    <row r="858" ht="15.75" customHeight="1">
      <c r="B858" s="576"/>
      <c r="C858" s="2"/>
      <c r="D858" s="2"/>
      <c r="E858" s="464"/>
      <c r="F858" s="2"/>
      <c r="G858" s="2"/>
      <c r="H858" s="2"/>
      <c r="I858" s="2"/>
      <c r="J858" s="2"/>
      <c r="K858" s="2"/>
      <c r="L858" s="2"/>
      <c r="M858" s="2"/>
      <c r="N858" s="2"/>
      <c r="O858" s="2"/>
      <c r="P858" s="2"/>
      <c r="Q858" s="2"/>
    </row>
    <row r="859" ht="15.75" customHeight="1">
      <c r="B859" s="576"/>
      <c r="C859" s="2"/>
      <c r="D859" s="2"/>
      <c r="E859" s="464"/>
      <c r="F859" s="2"/>
      <c r="G859" s="2"/>
      <c r="H859" s="2"/>
      <c r="I859" s="2"/>
      <c r="J859" s="2"/>
      <c r="K859" s="2"/>
      <c r="L859" s="2"/>
      <c r="M859" s="2"/>
      <c r="N859" s="2"/>
      <c r="O859" s="2"/>
      <c r="P859" s="2"/>
      <c r="Q859" s="2"/>
    </row>
    <row r="860" ht="15.75" customHeight="1">
      <c r="B860" s="576"/>
      <c r="C860" s="2"/>
      <c r="D860" s="2"/>
      <c r="E860" s="464"/>
      <c r="F860" s="2"/>
      <c r="G860" s="2"/>
      <c r="H860" s="2"/>
      <c r="I860" s="2"/>
      <c r="J860" s="2"/>
      <c r="K860" s="2"/>
      <c r="L860" s="2"/>
      <c r="M860" s="2"/>
      <c r="N860" s="2"/>
      <c r="O860" s="2"/>
      <c r="P860" s="2"/>
      <c r="Q860" s="2"/>
    </row>
    <row r="861" ht="15.75" customHeight="1">
      <c r="B861" s="576"/>
      <c r="C861" s="2"/>
      <c r="D861" s="2"/>
      <c r="E861" s="464"/>
      <c r="F861" s="2"/>
      <c r="G861" s="2"/>
      <c r="H861" s="2"/>
      <c r="I861" s="2"/>
      <c r="J861" s="2"/>
      <c r="K861" s="2"/>
      <c r="L861" s="2"/>
      <c r="M861" s="2"/>
      <c r="N861" s="2"/>
      <c r="O861" s="2"/>
      <c r="P861" s="2"/>
      <c r="Q861" s="2"/>
    </row>
    <row r="862" ht="15.75" customHeight="1">
      <c r="B862" s="576"/>
      <c r="C862" s="2"/>
      <c r="D862" s="2"/>
      <c r="E862" s="464"/>
      <c r="F862" s="2"/>
      <c r="G862" s="2"/>
      <c r="H862" s="2"/>
      <c r="I862" s="2"/>
      <c r="J862" s="2"/>
      <c r="K862" s="2"/>
      <c r="L862" s="2"/>
      <c r="M862" s="2"/>
      <c r="N862" s="2"/>
      <c r="O862" s="2"/>
      <c r="P862" s="2"/>
      <c r="Q862" s="2"/>
    </row>
    <row r="863" ht="15.75" customHeight="1">
      <c r="B863" s="576"/>
      <c r="C863" s="2"/>
      <c r="D863" s="2"/>
      <c r="E863" s="464"/>
      <c r="F863" s="2"/>
      <c r="G863" s="2"/>
      <c r="H863" s="2"/>
      <c r="I863" s="2"/>
      <c r="J863" s="2"/>
      <c r="K863" s="2"/>
      <c r="L863" s="2"/>
      <c r="M863" s="2"/>
      <c r="N863" s="2"/>
      <c r="O863" s="2"/>
      <c r="P863" s="2"/>
      <c r="Q863" s="2"/>
    </row>
    <row r="864" ht="15.75" customHeight="1">
      <c r="B864" s="576"/>
      <c r="C864" s="2"/>
      <c r="D864" s="2"/>
      <c r="E864" s="464"/>
      <c r="F864" s="2"/>
      <c r="G864" s="2"/>
      <c r="H864" s="2"/>
      <c r="I864" s="2"/>
      <c r="J864" s="2"/>
      <c r="K864" s="2"/>
      <c r="L864" s="2"/>
      <c r="M864" s="2"/>
      <c r="N864" s="2"/>
      <c r="O864" s="2"/>
      <c r="P864" s="2"/>
      <c r="Q864" s="2"/>
    </row>
    <row r="865" ht="15.75" customHeight="1">
      <c r="B865" s="576"/>
      <c r="C865" s="2"/>
      <c r="D865" s="2"/>
      <c r="E865" s="464"/>
      <c r="F865" s="2"/>
      <c r="G865" s="2"/>
      <c r="H865" s="2"/>
      <c r="I865" s="2"/>
      <c r="J865" s="2"/>
      <c r="K865" s="2"/>
      <c r="L865" s="2"/>
      <c r="M865" s="2"/>
      <c r="N865" s="2"/>
      <c r="O865" s="2"/>
      <c r="P865" s="2"/>
      <c r="Q865" s="2"/>
    </row>
    <row r="866" ht="15.75" customHeight="1">
      <c r="B866" s="576"/>
      <c r="C866" s="2"/>
      <c r="D866" s="2"/>
      <c r="E866" s="464"/>
      <c r="F866" s="2"/>
      <c r="G866" s="2"/>
      <c r="H866" s="2"/>
      <c r="I866" s="2"/>
      <c r="J866" s="2"/>
      <c r="K866" s="2"/>
      <c r="L866" s="2"/>
      <c r="M866" s="2"/>
      <c r="N866" s="2"/>
      <c r="O866" s="2"/>
      <c r="P866" s="2"/>
      <c r="Q866" s="2"/>
    </row>
    <row r="867" ht="15.75" customHeight="1">
      <c r="B867" s="576"/>
      <c r="C867" s="2"/>
      <c r="D867" s="2"/>
      <c r="E867" s="464"/>
      <c r="F867" s="2"/>
      <c r="G867" s="2"/>
      <c r="H867" s="2"/>
      <c r="I867" s="2"/>
      <c r="J867" s="2"/>
      <c r="K867" s="2"/>
      <c r="L867" s="2"/>
      <c r="M867" s="2"/>
      <c r="N867" s="2"/>
      <c r="O867" s="2"/>
      <c r="P867" s="2"/>
      <c r="Q867" s="2"/>
    </row>
    <row r="868" ht="15.75" customHeight="1">
      <c r="B868" s="576"/>
      <c r="C868" s="2"/>
      <c r="D868" s="2"/>
      <c r="E868" s="464"/>
      <c r="F868" s="2"/>
      <c r="G868" s="2"/>
      <c r="H868" s="2"/>
      <c r="I868" s="2"/>
      <c r="J868" s="2"/>
      <c r="K868" s="2"/>
      <c r="L868" s="2"/>
      <c r="M868" s="2"/>
      <c r="N868" s="2"/>
      <c r="O868" s="2"/>
      <c r="P868" s="2"/>
      <c r="Q868" s="2"/>
    </row>
    <row r="869" ht="15.75" customHeight="1">
      <c r="B869" s="576"/>
      <c r="C869" s="2"/>
      <c r="D869" s="2"/>
      <c r="E869" s="464"/>
      <c r="F869" s="2"/>
      <c r="G869" s="2"/>
      <c r="H869" s="2"/>
      <c r="I869" s="2"/>
      <c r="J869" s="2"/>
      <c r="K869" s="2"/>
      <c r="L869" s="2"/>
      <c r="M869" s="2"/>
      <c r="N869" s="2"/>
      <c r="O869" s="2"/>
      <c r="P869" s="2"/>
      <c r="Q869" s="2"/>
    </row>
    <row r="870" ht="15.75" customHeight="1">
      <c r="B870" s="576"/>
      <c r="C870" s="2"/>
      <c r="D870" s="2"/>
      <c r="E870" s="464"/>
      <c r="F870" s="2"/>
      <c r="G870" s="2"/>
      <c r="H870" s="2"/>
      <c r="I870" s="2"/>
      <c r="J870" s="2"/>
      <c r="K870" s="2"/>
      <c r="L870" s="2"/>
      <c r="M870" s="2"/>
      <c r="N870" s="2"/>
      <c r="O870" s="2"/>
      <c r="P870" s="2"/>
      <c r="Q870" s="2"/>
    </row>
    <row r="871" ht="15.75" customHeight="1">
      <c r="B871" s="576"/>
      <c r="C871" s="2"/>
      <c r="D871" s="2"/>
      <c r="E871" s="464"/>
      <c r="F871" s="2"/>
      <c r="G871" s="2"/>
      <c r="H871" s="2"/>
      <c r="I871" s="2"/>
      <c r="J871" s="2"/>
      <c r="K871" s="2"/>
      <c r="L871" s="2"/>
      <c r="M871" s="2"/>
      <c r="N871" s="2"/>
      <c r="O871" s="2"/>
      <c r="P871" s="2"/>
      <c r="Q871" s="2"/>
    </row>
    <row r="872" ht="15.75" customHeight="1">
      <c r="B872" s="576"/>
      <c r="C872" s="2"/>
      <c r="D872" s="2"/>
      <c r="E872" s="464"/>
      <c r="F872" s="2"/>
      <c r="G872" s="2"/>
      <c r="H872" s="2"/>
      <c r="I872" s="2"/>
      <c r="J872" s="2"/>
      <c r="K872" s="2"/>
      <c r="L872" s="2"/>
      <c r="M872" s="2"/>
      <c r="N872" s="2"/>
      <c r="O872" s="2"/>
      <c r="P872" s="2"/>
      <c r="Q872" s="2"/>
    </row>
    <row r="873" ht="15.75" customHeight="1">
      <c r="B873" s="576"/>
      <c r="C873" s="2"/>
      <c r="D873" s="2"/>
      <c r="E873" s="464"/>
      <c r="F873" s="2"/>
      <c r="G873" s="2"/>
      <c r="H873" s="2"/>
      <c r="I873" s="2"/>
      <c r="J873" s="2"/>
      <c r="K873" s="2"/>
      <c r="L873" s="2"/>
      <c r="M873" s="2"/>
      <c r="N873" s="2"/>
      <c r="O873" s="2"/>
      <c r="P873" s="2"/>
      <c r="Q873" s="2"/>
    </row>
    <row r="874" ht="15.75" customHeight="1">
      <c r="B874" s="576"/>
      <c r="C874" s="2"/>
      <c r="D874" s="2"/>
      <c r="E874" s="464"/>
      <c r="F874" s="2"/>
      <c r="G874" s="2"/>
      <c r="H874" s="2"/>
      <c r="I874" s="2"/>
      <c r="J874" s="2"/>
      <c r="K874" s="2"/>
      <c r="L874" s="2"/>
      <c r="M874" s="2"/>
      <c r="N874" s="2"/>
      <c r="O874" s="2"/>
      <c r="P874" s="2"/>
      <c r="Q874" s="2"/>
    </row>
    <row r="875" ht="15.75" customHeight="1">
      <c r="B875" s="576"/>
      <c r="C875" s="2"/>
      <c r="D875" s="2"/>
      <c r="E875" s="464"/>
      <c r="F875" s="2"/>
      <c r="G875" s="2"/>
      <c r="H875" s="2"/>
      <c r="I875" s="2"/>
      <c r="J875" s="2"/>
      <c r="K875" s="2"/>
      <c r="L875" s="2"/>
      <c r="M875" s="2"/>
      <c r="N875" s="2"/>
      <c r="O875" s="2"/>
      <c r="P875" s="2"/>
      <c r="Q875" s="2"/>
    </row>
    <row r="876" ht="15.75" customHeight="1">
      <c r="B876" s="576"/>
      <c r="C876" s="2"/>
      <c r="D876" s="2"/>
      <c r="E876" s="464"/>
      <c r="F876" s="2"/>
      <c r="G876" s="2"/>
      <c r="H876" s="2"/>
      <c r="I876" s="2"/>
      <c r="J876" s="2"/>
      <c r="K876" s="2"/>
      <c r="L876" s="2"/>
      <c r="M876" s="2"/>
      <c r="N876" s="2"/>
      <c r="O876" s="2"/>
      <c r="P876" s="2"/>
      <c r="Q876" s="2"/>
    </row>
    <row r="877" ht="15.75" customHeight="1">
      <c r="B877" s="576"/>
      <c r="C877" s="2"/>
      <c r="D877" s="2"/>
      <c r="E877" s="464"/>
      <c r="F877" s="2"/>
      <c r="G877" s="2"/>
      <c r="H877" s="2"/>
      <c r="I877" s="2"/>
      <c r="J877" s="2"/>
      <c r="K877" s="2"/>
      <c r="L877" s="2"/>
      <c r="M877" s="2"/>
      <c r="N877" s="2"/>
      <c r="O877" s="2"/>
      <c r="P877" s="2"/>
      <c r="Q877" s="2"/>
    </row>
    <row r="878" ht="15.75" customHeight="1">
      <c r="B878" s="576"/>
      <c r="C878" s="2"/>
      <c r="D878" s="2"/>
      <c r="E878" s="464"/>
      <c r="F878" s="2"/>
      <c r="G878" s="2"/>
      <c r="H878" s="2"/>
      <c r="I878" s="2"/>
      <c r="J878" s="2"/>
      <c r="K878" s="2"/>
      <c r="L878" s="2"/>
      <c r="M878" s="2"/>
      <c r="N878" s="2"/>
      <c r="O878" s="2"/>
      <c r="P878" s="2"/>
      <c r="Q878" s="2"/>
    </row>
    <row r="879" ht="15.75" customHeight="1">
      <c r="B879" s="576"/>
      <c r="C879" s="2"/>
      <c r="D879" s="2"/>
      <c r="E879" s="464"/>
      <c r="F879" s="2"/>
      <c r="G879" s="2"/>
      <c r="H879" s="2"/>
      <c r="I879" s="2"/>
      <c r="J879" s="2"/>
      <c r="K879" s="2"/>
      <c r="L879" s="2"/>
      <c r="M879" s="2"/>
      <c r="N879" s="2"/>
      <c r="O879" s="2"/>
      <c r="P879" s="2"/>
      <c r="Q879" s="2"/>
    </row>
    <row r="880" ht="15.75" customHeight="1">
      <c r="B880" s="576"/>
      <c r="C880" s="2"/>
      <c r="D880" s="2"/>
      <c r="E880" s="464"/>
      <c r="F880" s="2"/>
      <c r="G880" s="2"/>
      <c r="H880" s="2"/>
      <c r="I880" s="2"/>
      <c r="J880" s="2"/>
      <c r="K880" s="2"/>
      <c r="L880" s="2"/>
      <c r="M880" s="2"/>
      <c r="N880" s="2"/>
      <c r="O880" s="2"/>
      <c r="P880" s="2"/>
      <c r="Q880" s="2"/>
    </row>
    <row r="881" ht="15.75" customHeight="1">
      <c r="B881" s="576"/>
      <c r="C881" s="2"/>
      <c r="D881" s="2"/>
      <c r="E881" s="464"/>
      <c r="F881" s="2"/>
      <c r="G881" s="2"/>
      <c r="H881" s="2"/>
      <c r="I881" s="2"/>
      <c r="J881" s="2"/>
      <c r="K881" s="2"/>
      <c r="L881" s="2"/>
      <c r="M881" s="2"/>
      <c r="N881" s="2"/>
      <c r="O881" s="2"/>
      <c r="P881" s="2"/>
      <c r="Q881" s="2"/>
    </row>
    <row r="882" ht="15.75" customHeight="1">
      <c r="B882" s="576"/>
      <c r="C882" s="2"/>
      <c r="D882" s="2"/>
      <c r="E882" s="464"/>
      <c r="F882" s="2"/>
      <c r="G882" s="2"/>
      <c r="H882" s="2"/>
      <c r="I882" s="2"/>
      <c r="J882" s="2"/>
      <c r="K882" s="2"/>
      <c r="L882" s="2"/>
      <c r="M882" s="2"/>
      <c r="N882" s="2"/>
      <c r="O882" s="2"/>
      <c r="P882" s="2"/>
      <c r="Q882" s="2"/>
    </row>
    <row r="883" ht="15.75" customHeight="1">
      <c r="B883" s="576"/>
      <c r="C883" s="2"/>
      <c r="D883" s="2"/>
      <c r="E883" s="464"/>
      <c r="F883" s="2"/>
      <c r="G883" s="2"/>
      <c r="H883" s="2"/>
      <c r="I883" s="2"/>
      <c r="J883" s="2"/>
      <c r="K883" s="2"/>
      <c r="L883" s="2"/>
      <c r="M883" s="2"/>
      <c r="N883" s="2"/>
      <c r="O883" s="2"/>
      <c r="P883" s="2"/>
      <c r="Q883" s="2"/>
    </row>
    <row r="884" ht="15.75" customHeight="1">
      <c r="B884" s="576"/>
      <c r="C884" s="2"/>
      <c r="D884" s="2"/>
      <c r="E884" s="464"/>
      <c r="F884" s="2"/>
      <c r="G884" s="2"/>
      <c r="H884" s="2"/>
      <c r="I884" s="2"/>
      <c r="J884" s="2"/>
      <c r="K884" s="2"/>
      <c r="L884" s="2"/>
      <c r="M884" s="2"/>
      <c r="N884" s="2"/>
      <c r="O884" s="2"/>
      <c r="P884" s="2"/>
      <c r="Q884" s="2"/>
    </row>
    <row r="885" ht="15.75" customHeight="1">
      <c r="B885" s="576"/>
      <c r="C885" s="2"/>
      <c r="D885" s="2"/>
      <c r="E885" s="464"/>
      <c r="F885" s="2"/>
      <c r="G885" s="2"/>
      <c r="H885" s="2"/>
      <c r="I885" s="2"/>
      <c r="J885" s="2"/>
      <c r="K885" s="2"/>
      <c r="L885" s="2"/>
      <c r="M885" s="2"/>
      <c r="N885" s="2"/>
      <c r="O885" s="2"/>
      <c r="P885" s="2"/>
      <c r="Q885" s="2"/>
    </row>
    <row r="886" ht="15.75" customHeight="1">
      <c r="B886" s="576"/>
      <c r="C886" s="2"/>
      <c r="D886" s="2"/>
      <c r="E886" s="464"/>
      <c r="F886" s="2"/>
      <c r="G886" s="2"/>
      <c r="H886" s="2"/>
      <c r="I886" s="2"/>
      <c r="J886" s="2"/>
      <c r="K886" s="2"/>
      <c r="L886" s="2"/>
      <c r="M886" s="2"/>
      <c r="N886" s="2"/>
      <c r="O886" s="2"/>
      <c r="P886" s="2"/>
      <c r="Q886" s="2"/>
    </row>
    <row r="887" ht="15.75" customHeight="1">
      <c r="B887" s="576"/>
      <c r="C887" s="2"/>
      <c r="D887" s="2"/>
      <c r="E887" s="464"/>
      <c r="F887" s="2"/>
      <c r="G887" s="2"/>
      <c r="H887" s="2"/>
      <c r="I887" s="2"/>
      <c r="J887" s="2"/>
      <c r="K887" s="2"/>
      <c r="L887" s="2"/>
      <c r="M887" s="2"/>
      <c r="N887" s="2"/>
      <c r="O887" s="2"/>
      <c r="P887" s="2"/>
      <c r="Q887" s="2"/>
    </row>
    <row r="888" ht="15.75" customHeight="1">
      <c r="B888" s="576"/>
      <c r="C888" s="2"/>
      <c r="D888" s="2"/>
      <c r="E888" s="464"/>
      <c r="F888" s="2"/>
      <c r="G888" s="2"/>
      <c r="H888" s="2"/>
      <c r="I888" s="2"/>
      <c r="J888" s="2"/>
      <c r="K888" s="2"/>
      <c r="L888" s="2"/>
      <c r="M888" s="2"/>
      <c r="N888" s="2"/>
      <c r="O888" s="2"/>
      <c r="P888" s="2"/>
      <c r="Q888" s="2"/>
    </row>
    <row r="889" ht="15.75" customHeight="1">
      <c r="B889" s="576"/>
      <c r="C889" s="2"/>
      <c r="D889" s="2"/>
      <c r="E889" s="464"/>
      <c r="F889" s="2"/>
      <c r="G889" s="2"/>
      <c r="H889" s="2"/>
      <c r="I889" s="2"/>
      <c r="J889" s="2"/>
      <c r="K889" s="2"/>
      <c r="L889" s="2"/>
      <c r="M889" s="2"/>
      <c r="N889" s="2"/>
      <c r="O889" s="2"/>
      <c r="P889" s="2"/>
      <c r="Q889" s="2"/>
    </row>
    <row r="890" ht="15.75" customHeight="1">
      <c r="B890" s="576"/>
      <c r="C890" s="2"/>
      <c r="D890" s="2"/>
      <c r="E890" s="464"/>
      <c r="F890" s="2"/>
      <c r="G890" s="2"/>
      <c r="H890" s="2"/>
      <c r="I890" s="2"/>
      <c r="J890" s="2"/>
      <c r="K890" s="2"/>
      <c r="L890" s="2"/>
      <c r="M890" s="2"/>
      <c r="N890" s="2"/>
      <c r="O890" s="2"/>
      <c r="P890" s="2"/>
      <c r="Q890" s="2"/>
    </row>
    <row r="891" ht="15.75" customHeight="1">
      <c r="B891" s="576"/>
      <c r="C891" s="2"/>
      <c r="D891" s="2"/>
      <c r="E891" s="464"/>
      <c r="F891" s="2"/>
      <c r="G891" s="2"/>
      <c r="H891" s="2"/>
      <c r="I891" s="2"/>
      <c r="J891" s="2"/>
      <c r="K891" s="2"/>
      <c r="L891" s="2"/>
      <c r="M891" s="2"/>
      <c r="N891" s="2"/>
      <c r="O891" s="2"/>
      <c r="P891" s="2"/>
      <c r="Q891" s="2"/>
    </row>
    <row r="892" ht="15.75" customHeight="1">
      <c r="B892" s="576"/>
      <c r="C892" s="2"/>
      <c r="D892" s="2"/>
      <c r="E892" s="464"/>
      <c r="F892" s="2"/>
      <c r="G892" s="2"/>
      <c r="H892" s="2"/>
      <c r="I892" s="2"/>
      <c r="J892" s="2"/>
      <c r="K892" s="2"/>
      <c r="L892" s="2"/>
      <c r="M892" s="2"/>
      <c r="N892" s="2"/>
      <c r="O892" s="2"/>
      <c r="P892" s="2"/>
      <c r="Q892" s="2"/>
    </row>
    <row r="893" ht="15.75" customHeight="1">
      <c r="B893" s="576"/>
      <c r="C893" s="2"/>
      <c r="D893" s="2"/>
      <c r="E893" s="464"/>
      <c r="F893" s="2"/>
      <c r="G893" s="2"/>
      <c r="H893" s="2"/>
      <c r="I893" s="2"/>
      <c r="J893" s="2"/>
      <c r="K893" s="2"/>
      <c r="L893" s="2"/>
      <c r="M893" s="2"/>
      <c r="N893" s="2"/>
      <c r="O893" s="2"/>
      <c r="P893" s="2"/>
      <c r="Q893" s="2"/>
    </row>
    <row r="894" ht="15.75" customHeight="1">
      <c r="B894" s="576"/>
      <c r="C894" s="2"/>
      <c r="D894" s="2"/>
      <c r="E894" s="464"/>
      <c r="F894" s="2"/>
      <c r="G894" s="2"/>
      <c r="H894" s="2"/>
      <c r="I894" s="2"/>
      <c r="J894" s="2"/>
      <c r="K894" s="2"/>
      <c r="L894" s="2"/>
      <c r="M894" s="2"/>
      <c r="N894" s="2"/>
      <c r="O894" s="2"/>
      <c r="P894" s="2"/>
      <c r="Q894" s="2"/>
    </row>
    <row r="895" ht="15.75" customHeight="1">
      <c r="B895" s="576"/>
      <c r="C895" s="2"/>
      <c r="D895" s="2"/>
      <c r="E895" s="464"/>
      <c r="F895" s="2"/>
      <c r="G895" s="2"/>
      <c r="H895" s="2"/>
      <c r="I895" s="2"/>
      <c r="J895" s="2"/>
      <c r="K895" s="2"/>
      <c r="L895" s="2"/>
      <c r="M895" s="2"/>
      <c r="N895" s="2"/>
      <c r="O895" s="2"/>
      <c r="P895" s="2"/>
      <c r="Q895" s="2"/>
    </row>
    <row r="896" ht="15.75" customHeight="1">
      <c r="B896" s="576"/>
      <c r="C896" s="2"/>
      <c r="D896" s="2"/>
      <c r="E896" s="464"/>
      <c r="F896" s="2"/>
      <c r="G896" s="2"/>
      <c r="H896" s="2"/>
      <c r="I896" s="2"/>
      <c r="J896" s="2"/>
      <c r="K896" s="2"/>
      <c r="L896" s="2"/>
      <c r="M896" s="2"/>
      <c r="N896" s="2"/>
      <c r="O896" s="2"/>
      <c r="P896" s="2"/>
      <c r="Q896" s="2"/>
    </row>
    <row r="897" ht="15.75" customHeight="1">
      <c r="B897" s="576"/>
      <c r="C897" s="2"/>
      <c r="D897" s="2"/>
      <c r="E897" s="464"/>
      <c r="F897" s="2"/>
      <c r="G897" s="2"/>
      <c r="H897" s="2"/>
      <c r="I897" s="2"/>
      <c r="J897" s="2"/>
      <c r="K897" s="2"/>
      <c r="L897" s="2"/>
      <c r="M897" s="2"/>
      <c r="N897" s="2"/>
      <c r="O897" s="2"/>
      <c r="P897" s="2"/>
      <c r="Q897" s="2"/>
    </row>
    <row r="898" ht="15.75" customHeight="1">
      <c r="B898" s="576"/>
      <c r="C898" s="2"/>
      <c r="D898" s="2"/>
      <c r="E898" s="464"/>
      <c r="F898" s="2"/>
      <c r="G898" s="2"/>
      <c r="H898" s="2"/>
      <c r="I898" s="2"/>
      <c r="J898" s="2"/>
      <c r="K898" s="2"/>
      <c r="L898" s="2"/>
      <c r="M898" s="2"/>
      <c r="N898" s="2"/>
      <c r="O898" s="2"/>
      <c r="P898" s="2"/>
      <c r="Q898" s="2"/>
    </row>
    <row r="899" ht="15.75" customHeight="1">
      <c r="B899" s="576"/>
      <c r="C899" s="2"/>
      <c r="D899" s="2"/>
      <c r="E899" s="464"/>
      <c r="F899" s="2"/>
      <c r="G899" s="2"/>
      <c r="H899" s="2"/>
      <c r="I899" s="2"/>
      <c r="J899" s="2"/>
      <c r="K899" s="2"/>
      <c r="L899" s="2"/>
      <c r="M899" s="2"/>
      <c r="N899" s="2"/>
      <c r="O899" s="2"/>
      <c r="P899" s="2"/>
      <c r="Q899" s="2"/>
    </row>
    <row r="900" ht="15.75" customHeight="1">
      <c r="B900" s="576"/>
      <c r="C900" s="2"/>
      <c r="D900" s="2"/>
      <c r="E900" s="464"/>
      <c r="F900" s="2"/>
      <c r="G900" s="2"/>
      <c r="H900" s="2"/>
      <c r="I900" s="2"/>
      <c r="J900" s="2"/>
      <c r="K900" s="2"/>
      <c r="L900" s="2"/>
      <c r="M900" s="2"/>
      <c r="N900" s="2"/>
      <c r="O900" s="2"/>
      <c r="P900" s="2"/>
      <c r="Q900" s="2"/>
    </row>
    <row r="901" ht="15.75" customHeight="1">
      <c r="B901" s="576"/>
      <c r="C901" s="2"/>
      <c r="D901" s="2"/>
      <c r="E901" s="464"/>
      <c r="F901" s="2"/>
      <c r="G901" s="2"/>
      <c r="H901" s="2"/>
      <c r="I901" s="2"/>
      <c r="J901" s="2"/>
      <c r="K901" s="2"/>
      <c r="L901" s="2"/>
      <c r="M901" s="2"/>
      <c r="N901" s="2"/>
      <c r="O901" s="2"/>
      <c r="P901" s="2"/>
      <c r="Q901" s="2"/>
    </row>
    <row r="902" ht="15.75" customHeight="1">
      <c r="B902" s="576"/>
      <c r="C902" s="2"/>
      <c r="D902" s="2"/>
      <c r="E902" s="464"/>
      <c r="F902" s="2"/>
      <c r="G902" s="2"/>
      <c r="H902" s="2"/>
      <c r="I902" s="2"/>
      <c r="J902" s="2"/>
      <c r="K902" s="2"/>
      <c r="L902" s="2"/>
      <c r="M902" s="2"/>
      <c r="N902" s="2"/>
      <c r="O902" s="2"/>
      <c r="P902" s="2"/>
      <c r="Q902" s="2"/>
    </row>
    <row r="903" ht="15.75" customHeight="1">
      <c r="B903" s="576"/>
      <c r="C903" s="2"/>
      <c r="D903" s="2"/>
      <c r="E903" s="464"/>
      <c r="F903" s="2"/>
      <c r="G903" s="2"/>
      <c r="H903" s="2"/>
      <c r="I903" s="2"/>
      <c r="J903" s="2"/>
      <c r="K903" s="2"/>
      <c r="L903" s="2"/>
      <c r="M903" s="2"/>
      <c r="N903" s="2"/>
      <c r="O903" s="2"/>
      <c r="P903" s="2"/>
      <c r="Q903" s="2"/>
    </row>
    <row r="904" ht="15.75" customHeight="1">
      <c r="B904" s="576"/>
      <c r="C904" s="2"/>
      <c r="D904" s="2"/>
      <c r="E904" s="464"/>
      <c r="F904" s="2"/>
      <c r="G904" s="2"/>
      <c r="H904" s="2"/>
      <c r="I904" s="2"/>
      <c r="J904" s="2"/>
      <c r="K904" s="2"/>
      <c r="L904" s="2"/>
      <c r="M904" s="2"/>
      <c r="N904" s="2"/>
      <c r="O904" s="2"/>
      <c r="P904" s="2"/>
      <c r="Q904" s="2"/>
    </row>
    <row r="905" ht="15.75" customHeight="1">
      <c r="B905" s="576"/>
      <c r="C905" s="2"/>
      <c r="D905" s="2"/>
      <c r="E905" s="464"/>
      <c r="F905" s="2"/>
      <c r="G905" s="2"/>
      <c r="H905" s="2"/>
      <c r="I905" s="2"/>
      <c r="J905" s="2"/>
      <c r="K905" s="2"/>
      <c r="L905" s="2"/>
      <c r="M905" s="2"/>
      <c r="N905" s="2"/>
      <c r="O905" s="2"/>
      <c r="P905" s="2"/>
      <c r="Q905" s="2"/>
    </row>
    <row r="906" ht="15.75" customHeight="1">
      <c r="B906" s="576"/>
      <c r="C906" s="2"/>
      <c r="D906" s="2"/>
      <c r="E906" s="464"/>
      <c r="F906" s="2"/>
      <c r="G906" s="2"/>
      <c r="H906" s="2"/>
      <c r="I906" s="2"/>
      <c r="J906" s="2"/>
      <c r="K906" s="2"/>
      <c r="L906" s="2"/>
      <c r="M906" s="2"/>
      <c r="N906" s="2"/>
      <c r="O906" s="2"/>
      <c r="P906" s="2"/>
      <c r="Q906" s="2"/>
    </row>
    <row r="907" ht="15.75" customHeight="1">
      <c r="B907" s="576"/>
      <c r="C907" s="2"/>
      <c r="D907" s="2"/>
      <c r="E907" s="464"/>
      <c r="F907" s="2"/>
      <c r="G907" s="2"/>
      <c r="H907" s="2"/>
      <c r="I907" s="2"/>
      <c r="J907" s="2"/>
      <c r="K907" s="2"/>
      <c r="L907" s="2"/>
      <c r="M907" s="2"/>
      <c r="N907" s="2"/>
      <c r="O907" s="2"/>
      <c r="P907" s="2"/>
      <c r="Q907" s="2"/>
    </row>
    <row r="908" ht="15.75" customHeight="1">
      <c r="B908" s="576"/>
      <c r="C908" s="2"/>
      <c r="D908" s="2"/>
      <c r="E908" s="464"/>
      <c r="F908" s="2"/>
      <c r="G908" s="2"/>
      <c r="H908" s="2"/>
      <c r="I908" s="2"/>
      <c r="J908" s="2"/>
      <c r="K908" s="2"/>
      <c r="L908" s="2"/>
      <c r="M908" s="2"/>
      <c r="N908" s="2"/>
      <c r="O908" s="2"/>
      <c r="P908" s="2"/>
      <c r="Q908" s="2"/>
    </row>
    <row r="909" ht="15.75" customHeight="1">
      <c r="B909" s="576"/>
      <c r="C909" s="2"/>
      <c r="D909" s="2"/>
      <c r="E909" s="464"/>
      <c r="F909" s="2"/>
      <c r="G909" s="2"/>
      <c r="H909" s="2"/>
      <c r="I909" s="2"/>
      <c r="J909" s="2"/>
      <c r="K909" s="2"/>
      <c r="L909" s="2"/>
      <c r="M909" s="2"/>
      <c r="N909" s="2"/>
      <c r="O909" s="2"/>
      <c r="P909" s="2"/>
      <c r="Q909" s="2"/>
    </row>
    <row r="910" ht="15.75" customHeight="1">
      <c r="B910" s="576"/>
      <c r="C910" s="2"/>
      <c r="D910" s="2"/>
      <c r="E910" s="464"/>
      <c r="F910" s="2"/>
      <c r="G910" s="2"/>
      <c r="H910" s="2"/>
      <c r="I910" s="2"/>
      <c r="J910" s="2"/>
      <c r="K910" s="2"/>
      <c r="L910" s="2"/>
      <c r="M910" s="2"/>
      <c r="N910" s="2"/>
      <c r="O910" s="2"/>
      <c r="P910" s="2"/>
      <c r="Q910" s="2"/>
    </row>
    <row r="911" ht="15.75" customHeight="1">
      <c r="B911" s="576"/>
      <c r="C911" s="2"/>
      <c r="D911" s="2"/>
      <c r="E911" s="464"/>
      <c r="F911" s="2"/>
      <c r="G911" s="2"/>
      <c r="H911" s="2"/>
      <c r="I911" s="2"/>
      <c r="J911" s="2"/>
      <c r="K911" s="2"/>
      <c r="L911" s="2"/>
      <c r="M911" s="2"/>
      <c r="N911" s="2"/>
      <c r="O911" s="2"/>
      <c r="P911" s="2"/>
      <c r="Q911" s="2"/>
    </row>
    <row r="912" ht="15.75" customHeight="1">
      <c r="B912" s="576"/>
      <c r="C912" s="2"/>
      <c r="D912" s="2"/>
      <c r="E912" s="464"/>
      <c r="F912" s="2"/>
      <c r="G912" s="2"/>
      <c r="H912" s="2"/>
      <c r="I912" s="2"/>
      <c r="J912" s="2"/>
      <c r="K912" s="2"/>
      <c r="L912" s="2"/>
      <c r="M912" s="2"/>
      <c r="N912" s="2"/>
      <c r="O912" s="2"/>
      <c r="P912" s="2"/>
      <c r="Q912" s="2"/>
    </row>
    <row r="913" ht="15.75" customHeight="1">
      <c r="B913" s="576"/>
      <c r="C913" s="2"/>
      <c r="D913" s="2"/>
      <c r="E913" s="464"/>
      <c r="F913" s="2"/>
      <c r="G913" s="2"/>
      <c r="H913" s="2"/>
      <c r="I913" s="2"/>
      <c r="J913" s="2"/>
      <c r="K913" s="2"/>
      <c r="L913" s="2"/>
      <c r="M913" s="2"/>
      <c r="N913" s="2"/>
      <c r="O913" s="2"/>
      <c r="P913" s="2"/>
      <c r="Q913" s="2"/>
    </row>
    <row r="914" ht="15.75" customHeight="1">
      <c r="B914" s="576"/>
      <c r="C914" s="2"/>
      <c r="D914" s="2"/>
      <c r="E914" s="464"/>
      <c r="F914" s="2"/>
      <c r="G914" s="2"/>
      <c r="H914" s="2"/>
      <c r="I914" s="2"/>
      <c r="J914" s="2"/>
      <c r="K914" s="2"/>
      <c r="L914" s="2"/>
      <c r="M914" s="2"/>
      <c r="N914" s="2"/>
      <c r="O914" s="2"/>
      <c r="P914" s="2"/>
      <c r="Q914" s="2"/>
    </row>
    <row r="915" ht="15.75" customHeight="1">
      <c r="B915" s="576"/>
      <c r="C915" s="2"/>
      <c r="D915" s="2"/>
      <c r="E915" s="464"/>
      <c r="F915" s="2"/>
      <c r="G915" s="2"/>
      <c r="H915" s="2"/>
      <c r="I915" s="2"/>
      <c r="J915" s="2"/>
      <c r="K915" s="2"/>
      <c r="L915" s="2"/>
      <c r="M915" s="2"/>
      <c r="N915" s="2"/>
      <c r="O915" s="2"/>
      <c r="P915" s="2"/>
      <c r="Q915" s="2"/>
    </row>
    <row r="916" ht="15.75" customHeight="1">
      <c r="B916" s="576"/>
      <c r="C916" s="2"/>
      <c r="D916" s="2"/>
      <c r="E916" s="464"/>
      <c r="F916" s="2"/>
      <c r="G916" s="2"/>
      <c r="H916" s="2"/>
      <c r="I916" s="2"/>
      <c r="J916" s="2"/>
      <c r="K916" s="2"/>
      <c r="L916" s="2"/>
      <c r="M916" s="2"/>
      <c r="N916" s="2"/>
      <c r="O916" s="2"/>
      <c r="P916" s="2"/>
      <c r="Q916" s="2"/>
    </row>
    <row r="917" ht="15.75" customHeight="1">
      <c r="B917" s="576"/>
      <c r="C917" s="2"/>
      <c r="D917" s="2"/>
      <c r="E917" s="464"/>
      <c r="F917" s="2"/>
      <c r="G917" s="2"/>
      <c r="H917" s="2"/>
      <c r="I917" s="2"/>
      <c r="J917" s="2"/>
      <c r="K917" s="2"/>
      <c r="L917" s="2"/>
      <c r="M917" s="2"/>
      <c r="N917" s="2"/>
      <c r="O917" s="2"/>
      <c r="P917" s="2"/>
      <c r="Q917" s="2"/>
    </row>
    <row r="918" ht="15.75" customHeight="1">
      <c r="B918" s="576"/>
      <c r="C918" s="2"/>
      <c r="D918" s="2"/>
      <c r="E918" s="464"/>
      <c r="F918" s="2"/>
      <c r="G918" s="2"/>
      <c r="H918" s="2"/>
      <c r="I918" s="2"/>
      <c r="J918" s="2"/>
      <c r="K918" s="2"/>
      <c r="L918" s="2"/>
      <c r="M918" s="2"/>
      <c r="N918" s="2"/>
      <c r="O918" s="2"/>
      <c r="P918" s="2"/>
      <c r="Q918" s="2"/>
    </row>
    <row r="919" ht="15.75" customHeight="1">
      <c r="B919" s="576"/>
      <c r="C919" s="2"/>
      <c r="D919" s="2"/>
      <c r="E919" s="464"/>
      <c r="F919" s="2"/>
      <c r="G919" s="2"/>
      <c r="H919" s="2"/>
      <c r="I919" s="2"/>
      <c r="J919" s="2"/>
      <c r="K919" s="2"/>
      <c r="L919" s="2"/>
      <c r="M919" s="2"/>
      <c r="N919" s="2"/>
      <c r="O919" s="2"/>
      <c r="P919" s="2"/>
      <c r="Q919" s="2"/>
    </row>
    <row r="920" ht="15.75" customHeight="1">
      <c r="B920" s="576"/>
      <c r="C920" s="2"/>
      <c r="D920" s="2"/>
      <c r="E920" s="464"/>
      <c r="F920" s="2"/>
      <c r="G920" s="2"/>
      <c r="H920" s="2"/>
      <c r="I920" s="2"/>
      <c r="J920" s="2"/>
      <c r="K920" s="2"/>
      <c r="L920" s="2"/>
      <c r="M920" s="2"/>
      <c r="N920" s="2"/>
      <c r="O920" s="2"/>
      <c r="P920" s="2"/>
      <c r="Q920" s="2"/>
    </row>
    <row r="921" ht="15.75" customHeight="1">
      <c r="B921" s="576"/>
      <c r="C921" s="2"/>
      <c r="D921" s="2"/>
      <c r="E921" s="464"/>
      <c r="F921" s="2"/>
      <c r="G921" s="2"/>
      <c r="H921" s="2"/>
      <c r="I921" s="2"/>
      <c r="J921" s="2"/>
      <c r="K921" s="2"/>
      <c r="L921" s="2"/>
      <c r="M921" s="2"/>
      <c r="N921" s="2"/>
      <c r="O921" s="2"/>
      <c r="P921" s="2"/>
      <c r="Q921" s="2"/>
    </row>
    <row r="922" ht="15.75" customHeight="1">
      <c r="B922" s="576"/>
      <c r="C922" s="2"/>
      <c r="D922" s="2"/>
      <c r="E922" s="464"/>
      <c r="F922" s="2"/>
      <c r="G922" s="2"/>
      <c r="H922" s="2"/>
      <c r="I922" s="2"/>
      <c r="J922" s="2"/>
      <c r="K922" s="2"/>
      <c r="L922" s="2"/>
      <c r="M922" s="2"/>
      <c r="N922" s="2"/>
      <c r="O922" s="2"/>
      <c r="P922" s="2"/>
      <c r="Q922" s="2"/>
    </row>
    <row r="923" ht="15.75" customHeight="1">
      <c r="B923" s="576"/>
      <c r="C923" s="2"/>
      <c r="D923" s="2"/>
      <c r="E923" s="464"/>
      <c r="F923" s="2"/>
      <c r="G923" s="2"/>
      <c r="H923" s="2"/>
      <c r="I923" s="2"/>
      <c r="J923" s="2"/>
      <c r="K923" s="2"/>
      <c r="L923" s="2"/>
      <c r="M923" s="2"/>
      <c r="N923" s="2"/>
      <c r="O923" s="2"/>
      <c r="P923" s="2"/>
      <c r="Q923" s="2"/>
    </row>
    <row r="924" ht="15.75" customHeight="1">
      <c r="B924" s="576"/>
      <c r="C924" s="2"/>
      <c r="D924" s="2"/>
      <c r="E924" s="464"/>
      <c r="F924" s="2"/>
      <c r="G924" s="2"/>
      <c r="H924" s="2"/>
      <c r="I924" s="2"/>
      <c r="J924" s="2"/>
      <c r="K924" s="2"/>
      <c r="L924" s="2"/>
      <c r="M924" s="2"/>
      <c r="N924" s="2"/>
      <c r="O924" s="2"/>
      <c r="P924" s="2"/>
      <c r="Q924" s="2"/>
    </row>
    <row r="925" ht="15.75" customHeight="1">
      <c r="B925" s="576"/>
      <c r="C925" s="2"/>
      <c r="D925" s="2"/>
      <c r="E925" s="464"/>
      <c r="F925" s="2"/>
      <c r="G925" s="2"/>
      <c r="H925" s="2"/>
      <c r="I925" s="2"/>
      <c r="J925" s="2"/>
      <c r="K925" s="2"/>
      <c r="L925" s="2"/>
      <c r="M925" s="2"/>
      <c r="N925" s="2"/>
      <c r="O925" s="2"/>
      <c r="P925" s="2"/>
      <c r="Q925" s="2"/>
    </row>
    <row r="926" ht="15.75" customHeight="1">
      <c r="B926" s="576"/>
      <c r="C926" s="2"/>
      <c r="D926" s="2"/>
      <c r="E926" s="464"/>
      <c r="F926" s="2"/>
      <c r="G926" s="2"/>
      <c r="H926" s="2"/>
      <c r="I926" s="2"/>
      <c r="J926" s="2"/>
      <c r="K926" s="2"/>
      <c r="L926" s="2"/>
      <c r="M926" s="2"/>
      <c r="N926" s="2"/>
      <c r="O926" s="2"/>
      <c r="P926" s="2"/>
      <c r="Q926" s="2"/>
    </row>
    <row r="927" ht="15.75" customHeight="1">
      <c r="B927" s="576"/>
      <c r="C927" s="2"/>
      <c r="D927" s="2"/>
      <c r="E927" s="464"/>
      <c r="F927" s="2"/>
      <c r="G927" s="2"/>
      <c r="H927" s="2"/>
      <c r="I927" s="2"/>
      <c r="J927" s="2"/>
      <c r="K927" s="2"/>
      <c r="L927" s="2"/>
      <c r="M927" s="2"/>
      <c r="N927" s="2"/>
      <c r="O927" s="2"/>
      <c r="P927" s="2"/>
      <c r="Q927" s="2"/>
    </row>
    <row r="928" ht="15.75" customHeight="1">
      <c r="B928" s="576"/>
      <c r="C928" s="2"/>
      <c r="D928" s="2"/>
      <c r="E928" s="464"/>
      <c r="F928" s="2"/>
      <c r="G928" s="2"/>
      <c r="H928" s="2"/>
      <c r="I928" s="2"/>
      <c r="J928" s="2"/>
      <c r="K928" s="2"/>
      <c r="L928" s="2"/>
      <c r="M928" s="2"/>
      <c r="N928" s="2"/>
      <c r="O928" s="2"/>
      <c r="P928" s="2"/>
      <c r="Q928" s="2"/>
    </row>
    <row r="929" ht="15.75" customHeight="1">
      <c r="B929" s="576"/>
      <c r="C929" s="2"/>
      <c r="D929" s="2"/>
      <c r="E929" s="464"/>
      <c r="F929" s="2"/>
      <c r="G929" s="2"/>
      <c r="H929" s="2"/>
      <c r="I929" s="2"/>
      <c r="J929" s="2"/>
      <c r="K929" s="2"/>
      <c r="L929" s="2"/>
      <c r="M929" s="2"/>
      <c r="N929" s="2"/>
      <c r="O929" s="2"/>
      <c r="P929" s="2"/>
      <c r="Q929" s="2"/>
    </row>
    <row r="930" ht="15.75" customHeight="1">
      <c r="B930" s="576"/>
      <c r="C930" s="2"/>
      <c r="D930" s="2"/>
      <c r="E930" s="464"/>
      <c r="F930" s="2"/>
      <c r="G930" s="2"/>
      <c r="H930" s="2"/>
      <c r="I930" s="2"/>
      <c r="J930" s="2"/>
      <c r="K930" s="2"/>
      <c r="L930" s="2"/>
      <c r="M930" s="2"/>
      <c r="N930" s="2"/>
      <c r="O930" s="2"/>
      <c r="P930" s="2"/>
      <c r="Q930" s="2"/>
    </row>
    <row r="931" ht="15.75" customHeight="1">
      <c r="B931" s="576"/>
      <c r="C931" s="2"/>
      <c r="D931" s="2"/>
      <c r="E931" s="464"/>
      <c r="F931" s="2"/>
      <c r="G931" s="2"/>
      <c r="H931" s="2"/>
      <c r="I931" s="2"/>
      <c r="J931" s="2"/>
      <c r="K931" s="2"/>
      <c r="L931" s="2"/>
      <c r="M931" s="2"/>
      <c r="N931" s="2"/>
      <c r="O931" s="2"/>
      <c r="P931" s="2"/>
      <c r="Q931" s="2"/>
    </row>
    <row r="932" ht="15.75" customHeight="1">
      <c r="B932" s="576"/>
      <c r="C932" s="2"/>
      <c r="D932" s="2"/>
      <c r="E932" s="464"/>
      <c r="F932" s="2"/>
      <c r="G932" s="2"/>
      <c r="H932" s="2"/>
      <c r="I932" s="2"/>
      <c r="J932" s="2"/>
      <c r="K932" s="2"/>
      <c r="L932" s="2"/>
      <c r="M932" s="2"/>
      <c r="N932" s="2"/>
      <c r="O932" s="2"/>
      <c r="P932" s="2"/>
      <c r="Q932" s="2"/>
    </row>
    <row r="933" ht="15.75" customHeight="1">
      <c r="B933" s="576"/>
      <c r="C933" s="2"/>
      <c r="D933" s="2"/>
      <c r="E933" s="464"/>
      <c r="F933" s="2"/>
      <c r="G933" s="2"/>
      <c r="H933" s="2"/>
      <c r="I933" s="2"/>
      <c r="J933" s="2"/>
      <c r="K933" s="2"/>
      <c r="L933" s="2"/>
      <c r="M933" s="2"/>
      <c r="N933" s="2"/>
      <c r="O933" s="2"/>
      <c r="P933" s="2"/>
      <c r="Q933" s="2"/>
    </row>
    <row r="934" ht="15.75" customHeight="1">
      <c r="B934" s="576"/>
      <c r="C934" s="2"/>
      <c r="D934" s="2"/>
      <c r="E934" s="464"/>
      <c r="F934" s="2"/>
      <c r="G934" s="2"/>
      <c r="H934" s="2"/>
      <c r="I934" s="2"/>
      <c r="J934" s="2"/>
      <c r="K934" s="2"/>
      <c r="L934" s="2"/>
      <c r="M934" s="2"/>
      <c r="N934" s="2"/>
      <c r="O934" s="2"/>
      <c r="P934" s="2"/>
      <c r="Q934" s="2"/>
    </row>
    <row r="935" ht="15.75" customHeight="1">
      <c r="B935" s="576"/>
      <c r="C935" s="2"/>
      <c r="D935" s="2"/>
      <c r="E935" s="464"/>
      <c r="F935" s="2"/>
      <c r="G935" s="2"/>
      <c r="H935" s="2"/>
      <c r="I935" s="2"/>
      <c r="J935" s="2"/>
      <c r="K935" s="2"/>
      <c r="L935" s="2"/>
      <c r="M935" s="2"/>
      <c r="N935" s="2"/>
      <c r="O935" s="2"/>
      <c r="P935" s="2"/>
      <c r="Q935" s="2"/>
    </row>
    <row r="936" ht="15.75" customHeight="1">
      <c r="B936" s="576"/>
      <c r="C936" s="2"/>
      <c r="D936" s="2"/>
      <c r="E936" s="464"/>
      <c r="F936" s="2"/>
      <c r="G936" s="2"/>
      <c r="H936" s="2"/>
      <c r="I936" s="2"/>
      <c r="J936" s="2"/>
      <c r="K936" s="2"/>
      <c r="L936" s="2"/>
      <c r="M936" s="2"/>
      <c r="N936" s="2"/>
      <c r="O936" s="2"/>
      <c r="P936" s="2"/>
      <c r="Q936" s="2"/>
    </row>
    <row r="937" ht="15.75" customHeight="1">
      <c r="B937" s="576"/>
      <c r="C937" s="2"/>
      <c r="D937" s="2"/>
      <c r="E937" s="464"/>
      <c r="F937" s="2"/>
      <c r="G937" s="2"/>
      <c r="H937" s="2"/>
      <c r="I937" s="2"/>
      <c r="J937" s="2"/>
      <c r="K937" s="2"/>
      <c r="L937" s="2"/>
      <c r="M937" s="2"/>
      <c r="N937" s="2"/>
      <c r="O937" s="2"/>
      <c r="P937" s="2"/>
      <c r="Q937" s="2"/>
    </row>
    <row r="938" ht="15.75" customHeight="1">
      <c r="B938" s="576"/>
      <c r="C938" s="2"/>
      <c r="D938" s="2"/>
      <c r="E938" s="464"/>
      <c r="F938" s="2"/>
      <c r="G938" s="2"/>
      <c r="H938" s="2"/>
      <c r="I938" s="2"/>
      <c r="J938" s="2"/>
      <c r="K938" s="2"/>
      <c r="L938" s="2"/>
      <c r="M938" s="2"/>
      <c r="N938" s="2"/>
      <c r="O938" s="2"/>
      <c r="P938" s="2"/>
      <c r="Q938" s="2"/>
    </row>
    <row r="939" ht="15.75" customHeight="1">
      <c r="B939" s="576"/>
      <c r="C939" s="2"/>
      <c r="D939" s="2"/>
      <c r="E939" s="464"/>
      <c r="F939" s="2"/>
      <c r="G939" s="2"/>
      <c r="H939" s="2"/>
      <c r="I939" s="2"/>
      <c r="J939" s="2"/>
      <c r="K939" s="2"/>
      <c r="L939" s="2"/>
      <c r="M939" s="2"/>
      <c r="N939" s="2"/>
      <c r="O939" s="2"/>
      <c r="P939" s="2"/>
      <c r="Q939" s="2"/>
    </row>
    <row r="940" ht="15.75" customHeight="1">
      <c r="B940" s="576"/>
      <c r="C940" s="2"/>
      <c r="D940" s="2"/>
      <c r="E940" s="464"/>
      <c r="F940" s="2"/>
      <c r="G940" s="2"/>
      <c r="H940" s="2"/>
      <c r="I940" s="2"/>
      <c r="J940" s="2"/>
      <c r="K940" s="2"/>
      <c r="L940" s="2"/>
      <c r="M940" s="2"/>
      <c r="N940" s="2"/>
      <c r="O940" s="2"/>
      <c r="P940" s="2"/>
      <c r="Q940" s="2"/>
    </row>
    <row r="941" ht="15.75" customHeight="1">
      <c r="B941" s="576"/>
      <c r="C941" s="2"/>
      <c r="D941" s="2"/>
      <c r="E941" s="464"/>
      <c r="F941" s="2"/>
      <c r="G941" s="2"/>
      <c r="H941" s="2"/>
      <c r="I941" s="2"/>
      <c r="J941" s="2"/>
      <c r="K941" s="2"/>
      <c r="L941" s="2"/>
      <c r="M941" s="2"/>
      <c r="N941" s="2"/>
      <c r="O941" s="2"/>
      <c r="P941" s="2"/>
      <c r="Q941" s="2"/>
    </row>
    <row r="942" ht="15.75" customHeight="1">
      <c r="B942" s="576"/>
      <c r="C942" s="2"/>
      <c r="D942" s="2"/>
      <c r="E942" s="464"/>
      <c r="F942" s="2"/>
      <c r="G942" s="2"/>
      <c r="H942" s="2"/>
      <c r="I942" s="2"/>
      <c r="J942" s="2"/>
      <c r="K942" s="2"/>
      <c r="L942" s="2"/>
      <c r="M942" s="2"/>
      <c r="N942" s="2"/>
      <c r="O942" s="2"/>
      <c r="P942" s="2"/>
      <c r="Q942" s="2"/>
    </row>
    <row r="943" ht="15.75" customHeight="1">
      <c r="B943" s="576"/>
      <c r="C943" s="2"/>
      <c r="D943" s="2"/>
      <c r="E943" s="464"/>
      <c r="F943" s="2"/>
      <c r="G943" s="2"/>
      <c r="H943" s="2"/>
      <c r="I943" s="2"/>
      <c r="J943" s="2"/>
      <c r="K943" s="2"/>
      <c r="L943" s="2"/>
      <c r="M943" s="2"/>
      <c r="N943" s="2"/>
      <c r="O943" s="2"/>
      <c r="P943" s="2"/>
      <c r="Q943" s="2"/>
    </row>
    <row r="944" ht="15.75" customHeight="1">
      <c r="B944" s="576"/>
      <c r="C944" s="2"/>
      <c r="D944" s="2"/>
      <c r="E944" s="464"/>
      <c r="F944" s="2"/>
      <c r="G944" s="2"/>
      <c r="H944" s="2"/>
      <c r="I944" s="2"/>
      <c r="J944" s="2"/>
      <c r="K944" s="2"/>
      <c r="L944" s="2"/>
      <c r="M944" s="2"/>
      <c r="N944" s="2"/>
      <c r="O944" s="2"/>
      <c r="P944" s="2"/>
      <c r="Q944" s="2"/>
    </row>
    <row r="945" ht="15.75" customHeight="1">
      <c r="B945" s="576"/>
      <c r="C945" s="2"/>
      <c r="D945" s="2"/>
      <c r="E945" s="464"/>
      <c r="F945" s="2"/>
      <c r="G945" s="2"/>
      <c r="H945" s="2"/>
      <c r="I945" s="2"/>
      <c r="J945" s="2"/>
      <c r="K945" s="2"/>
      <c r="L945" s="2"/>
      <c r="M945" s="2"/>
      <c r="N945" s="2"/>
      <c r="O945" s="2"/>
      <c r="P945" s="2"/>
      <c r="Q945" s="2"/>
    </row>
    <row r="946" ht="15.75" customHeight="1">
      <c r="B946" s="576"/>
      <c r="C946" s="2"/>
      <c r="D946" s="2"/>
      <c r="E946" s="464"/>
      <c r="F946" s="2"/>
      <c r="G946" s="2"/>
      <c r="H946" s="2"/>
      <c r="I946" s="2"/>
      <c r="J946" s="2"/>
      <c r="K946" s="2"/>
      <c r="L946" s="2"/>
      <c r="M946" s="2"/>
      <c r="N946" s="2"/>
      <c r="O946" s="2"/>
      <c r="P946" s="2"/>
      <c r="Q946" s="2"/>
    </row>
    <row r="947" ht="15.75" customHeight="1">
      <c r="B947" s="576"/>
      <c r="C947" s="2"/>
      <c r="D947" s="2"/>
      <c r="E947" s="464"/>
      <c r="F947" s="2"/>
      <c r="G947" s="2"/>
      <c r="H947" s="2"/>
      <c r="I947" s="2"/>
      <c r="J947" s="2"/>
      <c r="K947" s="2"/>
      <c r="L947" s="2"/>
      <c r="M947" s="2"/>
      <c r="N947" s="2"/>
      <c r="O947" s="2"/>
      <c r="P947" s="2"/>
      <c r="Q947" s="2"/>
    </row>
    <row r="948" ht="15.75" customHeight="1">
      <c r="B948" s="576"/>
      <c r="C948" s="2"/>
      <c r="D948" s="2"/>
      <c r="E948" s="464"/>
      <c r="F948" s="2"/>
      <c r="G948" s="2"/>
      <c r="H948" s="2"/>
      <c r="I948" s="2"/>
      <c r="J948" s="2"/>
      <c r="K948" s="2"/>
      <c r="L948" s="2"/>
      <c r="M948" s="2"/>
      <c r="N948" s="2"/>
      <c r="O948" s="2"/>
      <c r="P948" s="2"/>
      <c r="Q948" s="2"/>
    </row>
    <row r="949" ht="15.75" customHeight="1">
      <c r="B949" s="576"/>
      <c r="C949" s="2"/>
      <c r="D949" s="2"/>
      <c r="E949" s="464"/>
      <c r="F949" s="2"/>
      <c r="G949" s="2"/>
      <c r="H949" s="2"/>
      <c r="I949" s="2"/>
      <c r="J949" s="2"/>
      <c r="K949" s="2"/>
      <c r="L949" s="2"/>
      <c r="M949" s="2"/>
      <c r="N949" s="2"/>
      <c r="O949" s="2"/>
      <c r="P949" s="2"/>
      <c r="Q949" s="2"/>
    </row>
    <row r="950" ht="15.75" customHeight="1">
      <c r="B950" s="576"/>
      <c r="C950" s="2"/>
      <c r="D950" s="2"/>
      <c r="E950" s="464"/>
      <c r="F950" s="2"/>
      <c r="G950" s="2"/>
      <c r="H950" s="2"/>
      <c r="I950" s="2"/>
      <c r="J950" s="2"/>
      <c r="K950" s="2"/>
      <c r="L950" s="2"/>
      <c r="M950" s="2"/>
      <c r="N950" s="2"/>
      <c r="O950" s="2"/>
      <c r="P950" s="2"/>
      <c r="Q950" s="2"/>
    </row>
    <row r="951" ht="15.75" customHeight="1">
      <c r="B951" s="576"/>
      <c r="C951" s="2"/>
      <c r="D951" s="2"/>
      <c r="E951" s="464"/>
      <c r="F951" s="2"/>
      <c r="G951" s="2"/>
      <c r="H951" s="2"/>
      <c r="I951" s="2"/>
      <c r="J951" s="2"/>
      <c r="K951" s="2"/>
      <c r="L951" s="2"/>
      <c r="M951" s="2"/>
      <c r="N951" s="2"/>
      <c r="O951" s="2"/>
      <c r="P951" s="2"/>
      <c r="Q951" s="2"/>
    </row>
    <row r="952" ht="15.75" customHeight="1">
      <c r="B952" s="576"/>
      <c r="C952" s="2"/>
      <c r="D952" s="2"/>
      <c r="E952" s="464"/>
      <c r="F952" s="2"/>
      <c r="G952" s="2"/>
      <c r="H952" s="2"/>
      <c r="I952" s="2"/>
      <c r="J952" s="2"/>
      <c r="K952" s="2"/>
      <c r="L952" s="2"/>
      <c r="M952" s="2"/>
      <c r="N952" s="2"/>
      <c r="O952" s="2"/>
      <c r="P952" s="2"/>
      <c r="Q952" s="2"/>
    </row>
    <row r="953" ht="15.75" customHeight="1">
      <c r="B953" s="576"/>
      <c r="C953" s="2"/>
      <c r="D953" s="2"/>
      <c r="E953" s="464"/>
      <c r="F953" s="2"/>
      <c r="G953" s="2"/>
      <c r="H953" s="2"/>
      <c r="I953" s="2"/>
      <c r="J953" s="2"/>
      <c r="K953" s="2"/>
      <c r="L953" s="2"/>
      <c r="M953" s="2"/>
      <c r="N953" s="2"/>
      <c r="O953" s="2"/>
      <c r="P953" s="2"/>
      <c r="Q953" s="2"/>
    </row>
    <row r="954" ht="15.75" customHeight="1">
      <c r="B954" s="576"/>
      <c r="C954" s="2"/>
      <c r="D954" s="2"/>
      <c r="E954" s="464"/>
      <c r="F954" s="2"/>
      <c r="G954" s="2"/>
      <c r="H954" s="2"/>
      <c r="I954" s="2"/>
      <c r="J954" s="2"/>
      <c r="K954" s="2"/>
      <c r="L954" s="2"/>
      <c r="M954" s="2"/>
      <c r="N954" s="2"/>
      <c r="O954" s="2"/>
      <c r="P954" s="2"/>
      <c r="Q954" s="2"/>
    </row>
    <row r="955" ht="15.75" customHeight="1">
      <c r="B955" s="576"/>
      <c r="C955" s="2"/>
      <c r="D955" s="2"/>
      <c r="E955" s="464"/>
      <c r="F955" s="2"/>
      <c r="G955" s="2"/>
      <c r="H955" s="2"/>
      <c r="I955" s="2"/>
      <c r="J955" s="2"/>
      <c r="K955" s="2"/>
      <c r="L955" s="2"/>
      <c r="M955" s="2"/>
      <c r="N955" s="2"/>
      <c r="O955" s="2"/>
      <c r="P955" s="2"/>
      <c r="Q955" s="2"/>
    </row>
    <row r="956" ht="15.75" customHeight="1">
      <c r="B956" s="576"/>
      <c r="C956" s="2"/>
      <c r="D956" s="2"/>
      <c r="E956" s="464"/>
      <c r="F956" s="2"/>
      <c r="G956" s="2"/>
      <c r="H956" s="2"/>
      <c r="I956" s="2"/>
      <c r="J956" s="2"/>
      <c r="K956" s="2"/>
      <c r="L956" s="2"/>
      <c r="M956" s="2"/>
      <c r="N956" s="2"/>
      <c r="O956" s="2"/>
      <c r="P956" s="2"/>
      <c r="Q956" s="2"/>
    </row>
    <row r="957" ht="15.75" customHeight="1">
      <c r="B957" s="576"/>
      <c r="C957" s="2"/>
      <c r="D957" s="2"/>
      <c r="E957" s="464"/>
      <c r="F957" s="2"/>
      <c r="G957" s="2"/>
      <c r="H957" s="2"/>
      <c r="I957" s="2"/>
      <c r="J957" s="2"/>
      <c r="K957" s="2"/>
      <c r="L957" s="2"/>
      <c r="M957" s="2"/>
      <c r="N957" s="2"/>
      <c r="O957" s="2"/>
      <c r="P957" s="2"/>
      <c r="Q957" s="2"/>
    </row>
    <row r="958" ht="15.75" customHeight="1">
      <c r="B958" s="576"/>
      <c r="C958" s="2"/>
      <c r="D958" s="2"/>
      <c r="E958" s="464"/>
      <c r="F958" s="2"/>
      <c r="G958" s="2"/>
      <c r="H958" s="2"/>
      <c r="I958" s="2"/>
      <c r="J958" s="2"/>
      <c r="K958" s="2"/>
      <c r="L958" s="2"/>
      <c r="M958" s="2"/>
      <c r="N958" s="2"/>
      <c r="O958" s="2"/>
      <c r="P958" s="2"/>
      <c r="Q958" s="2"/>
    </row>
    <row r="959" ht="15.75" customHeight="1">
      <c r="B959" s="576"/>
      <c r="C959" s="2"/>
      <c r="D959" s="2"/>
      <c r="E959" s="464"/>
      <c r="F959" s="2"/>
      <c r="G959" s="2"/>
      <c r="H959" s="2"/>
      <c r="I959" s="2"/>
      <c r="J959" s="2"/>
      <c r="K959" s="2"/>
      <c r="L959" s="2"/>
      <c r="M959" s="2"/>
      <c r="N959" s="2"/>
      <c r="O959" s="2"/>
      <c r="P959" s="2"/>
      <c r="Q959" s="2"/>
    </row>
    <row r="960" ht="15.75" customHeight="1">
      <c r="B960" s="576"/>
      <c r="C960" s="2"/>
      <c r="D960" s="2"/>
      <c r="E960" s="464"/>
      <c r="F960" s="2"/>
      <c r="G960" s="2"/>
      <c r="H960" s="2"/>
      <c r="I960" s="2"/>
      <c r="J960" s="2"/>
      <c r="K960" s="2"/>
      <c r="L960" s="2"/>
      <c r="M960" s="2"/>
      <c r="N960" s="2"/>
      <c r="O960" s="2"/>
      <c r="P960" s="2"/>
      <c r="Q960" s="2"/>
    </row>
    <row r="961" ht="15.75" customHeight="1">
      <c r="B961" s="576"/>
      <c r="C961" s="2"/>
      <c r="D961" s="2"/>
      <c r="E961" s="464"/>
      <c r="F961" s="2"/>
      <c r="G961" s="2"/>
      <c r="H961" s="2"/>
      <c r="I961" s="2"/>
      <c r="J961" s="2"/>
      <c r="K961" s="2"/>
      <c r="L961" s="2"/>
      <c r="M961" s="2"/>
      <c r="N961" s="2"/>
      <c r="O961" s="2"/>
      <c r="P961" s="2"/>
      <c r="Q961" s="2"/>
    </row>
    <row r="962" ht="15.75" customHeight="1">
      <c r="B962" s="576"/>
      <c r="C962" s="2"/>
      <c r="D962" s="2"/>
      <c r="E962" s="464"/>
      <c r="F962" s="2"/>
      <c r="G962" s="2"/>
      <c r="H962" s="2"/>
      <c r="I962" s="2"/>
      <c r="J962" s="2"/>
      <c r="K962" s="2"/>
      <c r="L962" s="2"/>
      <c r="M962" s="2"/>
      <c r="N962" s="2"/>
      <c r="O962" s="2"/>
      <c r="P962" s="2"/>
      <c r="Q962" s="2"/>
    </row>
    <row r="963" ht="15.75" customHeight="1">
      <c r="B963" s="576"/>
      <c r="C963" s="2"/>
      <c r="D963" s="2"/>
      <c r="E963" s="464"/>
      <c r="F963" s="2"/>
      <c r="G963" s="2"/>
      <c r="H963" s="2"/>
      <c r="I963" s="2"/>
      <c r="J963" s="2"/>
      <c r="K963" s="2"/>
      <c r="L963" s="2"/>
      <c r="M963" s="2"/>
      <c r="N963" s="2"/>
      <c r="O963" s="2"/>
      <c r="P963" s="2"/>
      <c r="Q963" s="2"/>
    </row>
    <row r="964" ht="15.75" customHeight="1">
      <c r="B964" s="576"/>
      <c r="C964" s="2"/>
      <c r="D964" s="2"/>
      <c r="E964" s="464"/>
      <c r="F964" s="2"/>
      <c r="G964" s="2"/>
      <c r="H964" s="2"/>
      <c r="I964" s="2"/>
      <c r="J964" s="2"/>
      <c r="K964" s="2"/>
      <c r="L964" s="2"/>
      <c r="M964" s="2"/>
      <c r="N964" s="2"/>
      <c r="O964" s="2"/>
      <c r="P964" s="2"/>
      <c r="Q964" s="2"/>
    </row>
    <row r="965" ht="15.75" customHeight="1">
      <c r="B965" s="576"/>
      <c r="C965" s="2"/>
      <c r="D965" s="2"/>
      <c r="E965" s="464"/>
      <c r="F965" s="2"/>
      <c r="G965" s="2"/>
      <c r="H965" s="2"/>
      <c r="I965" s="2"/>
      <c r="J965" s="2"/>
      <c r="K965" s="2"/>
      <c r="L965" s="2"/>
      <c r="M965" s="2"/>
      <c r="N965" s="2"/>
      <c r="O965" s="2"/>
      <c r="P965" s="2"/>
      <c r="Q965" s="2"/>
    </row>
    <row r="966" ht="15.75" customHeight="1">
      <c r="B966" s="576"/>
      <c r="C966" s="2"/>
      <c r="D966" s="2"/>
      <c r="E966" s="464"/>
      <c r="F966" s="2"/>
      <c r="G966" s="2"/>
      <c r="H966" s="2"/>
      <c r="I966" s="2"/>
      <c r="J966" s="2"/>
      <c r="K966" s="2"/>
      <c r="L966" s="2"/>
      <c r="M966" s="2"/>
      <c r="N966" s="2"/>
      <c r="O966" s="2"/>
      <c r="P966" s="2"/>
      <c r="Q966" s="2"/>
    </row>
    <row r="967" ht="15.75" customHeight="1">
      <c r="B967" s="576"/>
      <c r="C967" s="2"/>
      <c r="D967" s="2"/>
      <c r="E967" s="464"/>
      <c r="F967" s="2"/>
      <c r="G967" s="2"/>
      <c r="H967" s="2"/>
      <c r="I967" s="2"/>
      <c r="J967" s="2"/>
      <c r="K967" s="2"/>
      <c r="L967" s="2"/>
      <c r="M967" s="2"/>
      <c r="N967" s="2"/>
      <c r="O967" s="2"/>
      <c r="P967" s="2"/>
      <c r="Q967" s="2"/>
    </row>
    <row r="968" ht="15.75" customHeight="1">
      <c r="B968" s="576"/>
      <c r="C968" s="2"/>
      <c r="D968" s="2"/>
      <c r="E968" s="464"/>
      <c r="F968" s="2"/>
      <c r="G968" s="2"/>
      <c r="H968" s="2"/>
      <c r="I968" s="2"/>
      <c r="J968" s="2"/>
      <c r="K968" s="2"/>
      <c r="L968" s="2"/>
      <c r="M968" s="2"/>
      <c r="N968" s="2"/>
      <c r="O968" s="2"/>
      <c r="P968" s="2"/>
      <c r="Q968" s="2"/>
    </row>
    <row r="969" ht="15.75" customHeight="1">
      <c r="B969" s="576"/>
      <c r="C969" s="2"/>
      <c r="D969" s="2"/>
      <c r="E969" s="464"/>
      <c r="F969" s="2"/>
      <c r="G969" s="2"/>
      <c r="H969" s="2"/>
      <c r="I969" s="2"/>
      <c r="J969" s="2"/>
      <c r="K969" s="2"/>
      <c r="L969" s="2"/>
      <c r="M969" s="2"/>
      <c r="N969" s="2"/>
      <c r="O969" s="2"/>
      <c r="P969" s="2"/>
      <c r="Q969" s="2"/>
    </row>
    <row r="970" ht="15.75" customHeight="1">
      <c r="B970" s="576"/>
      <c r="C970" s="2"/>
      <c r="D970" s="2"/>
      <c r="E970" s="464"/>
      <c r="F970" s="2"/>
      <c r="G970" s="2"/>
      <c r="H970" s="2"/>
      <c r="I970" s="2"/>
      <c r="J970" s="2"/>
      <c r="K970" s="2"/>
      <c r="L970" s="2"/>
      <c r="M970" s="2"/>
      <c r="N970" s="2"/>
      <c r="O970" s="2"/>
      <c r="P970" s="2"/>
      <c r="Q970" s="2"/>
    </row>
    <row r="971" ht="15.75" customHeight="1">
      <c r="B971" s="576"/>
      <c r="C971" s="2"/>
      <c r="D971" s="2"/>
      <c r="E971" s="464"/>
      <c r="F971" s="2"/>
      <c r="G971" s="2"/>
      <c r="H971" s="2"/>
      <c r="I971" s="2"/>
      <c r="J971" s="2"/>
      <c r="K971" s="2"/>
      <c r="L971" s="2"/>
      <c r="M971" s="2"/>
      <c r="N971" s="2"/>
      <c r="O971" s="2"/>
      <c r="P971" s="2"/>
      <c r="Q971" s="2"/>
    </row>
    <row r="972" ht="15.75" customHeight="1">
      <c r="B972" s="576"/>
      <c r="C972" s="2"/>
      <c r="D972" s="2"/>
      <c r="E972" s="464"/>
      <c r="F972" s="2"/>
      <c r="G972" s="2"/>
      <c r="H972" s="2"/>
      <c r="I972" s="2"/>
      <c r="J972" s="2"/>
      <c r="K972" s="2"/>
      <c r="L972" s="2"/>
      <c r="M972" s="2"/>
      <c r="N972" s="2"/>
      <c r="O972" s="2"/>
      <c r="P972" s="2"/>
      <c r="Q972" s="2"/>
    </row>
    <row r="973" ht="15.75" customHeight="1">
      <c r="B973" s="576"/>
      <c r="C973" s="2"/>
      <c r="D973" s="2"/>
      <c r="E973" s="464"/>
      <c r="F973" s="2"/>
      <c r="G973" s="2"/>
      <c r="H973" s="2"/>
      <c r="I973" s="2"/>
      <c r="J973" s="2"/>
      <c r="K973" s="2"/>
      <c r="L973" s="2"/>
      <c r="M973" s="2"/>
      <c r="N973" s="2"/>
      <c r="O973" s="2"/>
      <c r="P973" s="2"/>
      <c r="Q973" s="2"/>
    </row>
    <row r="974" ht="15.75" customHeight="1">
      <c r="B974" s="576"/>
      <c r="C974" s="2"/>
      <c r="D974" s="2"/>
      <c r="E974" s="464"/>
      <c r="F974" s="2"/>
      <c r="G974" s="2"/>
      <c r="H974" s="2"/>
      <c r="I974" s="2"/>
      <c r="J974" s="2"/>
      <c r="K974" s="2"/>
      <c r="L974" s="2"/>
      <c r="M974" s="2"/>
      <c r="N974" s="2"/>
      <c r="O974" s="2"/>
      <c r="P974" s="2"/>
      <c r="Q974" s="2"/>
    </row>
    <row r="975" ht="15.75" customHeight="1">
      <c r="B975" s="576"/>
      <c r="C975" s="2"/>
      <c r="D975" s="2"/>
      <c r="E975" s="464"/>
      <c r="F975" s="2"/>
      <c r="G975" s="2"/>
      <c r="H975" s="2"/>
      <c r="I975" s="2"/>
      <c r="J975" s="2"/>
      <c r="K975" s="2"/>
      <c r="L975" s="2"/>
      <c r="M975" s="2"/>
      <c r="N975" s="2"/>
      <c r="O975" s="2"/>
      <c r="P975" s="2"/>
      <c r="Q975" s="2"/>
    </row>
    <row r="976" ht="15.75" customHeight="1">
      <c r="B976" s="576"/>
      <c r="C976" s="2"/>
      <c r="D976" s="2"/>
      <c r="E976" s="464"/>
      <c r="F976" s="2"/>
      <c r="G976" s="2"/>
      <c r="H976" s="2"/>
      <c r="I976" s="2"/>
      <c r="J976" s="2"/>
      <c r="K976" s="2"/>
      <c r="L976" s="2"/>
      <c r="M976" s="2"/>
      <c r="N976" s="2"/>
      <c r="O976" s="2"/>
      <c r="P976" s="2"/>
      <c r="Q976" s="2"/>
    </row>
    <row r="977" ht="15.75" customHeight="1">
      <c r="B977" s="576"/>
      <c r="C977" s="2"/>
      <c r="D977" s="2"/>
      <c r="E977" s="464"/>
      <c r="F977" s="2"/>
      <c r="G977" s="2"/>
      <c r="H977" s="2"/>
      <c r="I977" s="2"/>
      <c r="J977" s="2"/>
      <c r="K977" s="2"/>
      <c r="L977" s="2"/>
      <c r="M977" s="2"/>
      <c r="N977" s="2"/>
      <c r="O977" s="2"/>
      <c r="P977" s="2"/>
      <c r="Q977" s="2"/>
    </row>
    <row r="978" ht="15.75" customHeight="1">
      <c r="B978" s="576"/>
      <c r="C978" s="2"/>
      <c r="D978" s="2"/>
      <c r="E978" s="464"/>
      <c r="F978" s="2"/>
      <c r="G978" s="2"/>
      <c r="H978" s="2"/>
      <c r="I978" s="2"/>
      <c r="J978" s="2"/>
      <c r="K978" s="2"/>
      <c r="L978" s="2"/>
      <c r="M978" s="2"/>
      <c r="N978" s="2"/>
      <c r="O978" s="2"/>
      <c r="P978" s="2"/>
      <c r="Q978" s="2"/>
    </row>
    <row r="979" ht="15.75" customHeight="1">
      <c r="B979" s="576"/>
      <c r="C979" s="2"/>
      <c r="D979" s="2"/>
      <c r="E979" s="464"/>
      <c r="F979" s="2"/>
      <c r="G979" s="2"/>
      <c r="H979" s="2"/>
      <c r="I979" s="2"/>
      <c r="J979" s="2"/>
      <c r="K979" s="2"/>
      <c r="L979" s="2"/>
      <c r="M979" s="2"/>
      <c r="N979" s="2"/>
      <c r="O979" s="2"/>
      <c r="P979" s="2"/>
      <c r="Q979" s="2"/>
    </row>
    <row r="980" ht="15.75" customHeight="1">
      <c r="B980" s="576"/>
      <c r="C980" s="2"/>
      <c r="D980" s="2"/>
      <c r="E980" s="464"/>
      <c r="F980" s="2"/>
      <c r="G980" s="2"/>
      <c r="H980" s="2"/>
      <c r="I980" s="2"/>
      <c r="J980" s="2"/>
      <c r="K980" s="2"/>
      <c r="L980" s="2"/>
      <c r="M980" s="2"/>
      <c r="N980" s="2"/>
      <c r="O980" s="2"/>
      <c r="P980" s="2"/>
      <c r="Q980" s="2"/>
    </row>
    <row r="981" ht="15.75" customHeight="1">
      <c r="B981" s="576"/>
      <c r="C981" s="2"/>
      <c r="D981" s="2"/>
      <c r="E981" s="464"/>
      <c r="F981" s="2"/>
      <c r="G981" s="2"/>
      <c r="H981" s="2"/>
      <c r="I981" s="2"/>
      <c r="J981" s="2"/>
      <c r="K981" s="2"/>
      <c r="L981" s="2"/>
      <c r="M981" s="2"/>
      <c r="N981" s="2"/>
      <c r="O981" s="2"/>
      <c r="P981" s="2"/>
      <c r="Q981" s="2"/>
    </row>
    <row r="982" ht="15.75" customHeight="1">
      <c r="B982" s="576"/>
      <c r="C982" s="2"/>
      <c r="D982" s="2"/>
      <c r="E982" s="464"/>
      <c r="F982" s="2"/>
      <c r="G982" s="2"/>
      <c r="H982" s="2"/>
      <c r="I982" s="2"/>
      <c r="J982" s="2"/>
      <c r="K982" s="2"/>
      <c r="L982" s="2"/>
      <c r="M982" s="2"/>
      <c r="N982" s="2"/>
      <c r="O982" s="2"/>
      <c r="P982" s="2"/>
      <c r="Q982" s="2"/>
    </row>
    <row r="983" ht="15.75" customHeight="1">
      <c r="B983" s="576"/>
      <c r="C983" s="2"/>
      <c r="D983" s="2"/>
      <c r="E983" s="464"/>
      <c r="F983" s="2"/>
      <c r="G983" s="2"/>
      <c r="H983" s="2"/>
      <c r="I983" s="2"/>
      <c r="J983" s="2"/>
      <c r="K983" s="2"/>
      <c r="L983" s="2"/>
      <c r="M983" s="2"/>
      <c r="N983" s="2"/>
      <c r="O983" s="2"/>
      <c r="P983" s="2"/>
      <c r="Q983" s="2"/>
    </row>
    <row r="984" ht="15.75" customHeight="1">
      <c r="B984" s="576"/>
      <c r="C984" s="2"/>
      <c r="D984" s="2"/>
      <c r="E984" s="464"/>
      <c r="F984" s="2"/>
      <c r="G984" s="2"/>
      <c r="H984" s="2"/>
      <c r="I984" s="2"/>
      <c r="J984" s="2"/>
      <c r="K984" s="2"/>
      <c r="L984" s="2"/>
      <c r="M984" s="2"/>
      <c r="N984" s="2"/>
      <c r="O984" s="2"/>
      <c r="P984" s="2"/>
      <c r="Q984" s="2"/>
    </row>
    <row r="985" ht="15.75" customHeight="1">
      <c r="B985" s="576"/>
      <c r="C985" s="2"/>
      <c r="D985" s="2"/>
      <c r="E985" s="464"/>
      <c r="F985" s="2"/>
      <c r="G985" s="2"/>
      <c r="H985" s="2"/>
      <c r="I985" s="2"/>
      <c r="J985" s="2"/>
      <c r="K985" s="2"/>
      <c r="L985" s="2"/>
      <c r="M985" s="2"/>
      <c r="N985" s="2"/>
      <c r="O985" s="2"/>
      <c r="P985" s="2"/>
      <c r="Q985" s="2"/>
    </row>
    <row r="986" ht="15.75" customHeight="1">
      <c r="B986" s="576"/>
      <c r="C986" s="2"/>
      <c r="D986" s="2"/>
      <c r="E986" s="464"/>
      <c r="F986" s="2"/>
      <c r="G986" s="2"/>
      <c r="H986" s="2"/>
      <c r="I986" s="2"/>
      <c r="J986" s="2"/>
      <c r="K986" s="2"/>
      <c r="L986" s="2"/>
      <c r="M986" s="2"/>
      <c r="N986" s="2"/>
      <c r="O986" s="2"/>
      <c r="P986" s="2"/>
      <c r="Q986" s="2"/>
    </row>
    <row r="987" ht="15.75" customHeight="1">
      <c r="B987" s="576"/>
      <c r="C987" s="2"/>
      <c r="D987" s="2"/>
      <c r="E987" s="464"/>
      <c r="F987" s="2"/>
      <c r="G987" s="2"/>
      <c r="H987" s="2"/>
      <c r="I987" s="2"/>
      <c r="J987" s="2"/>
      <c r="K987" s="2"/>
      <c r="L987" s="2"/>
      <c r="M987" s="2"/>
      <c r="N987" s="2"/>
      <c r="O987" s="2"/>
      <c r="P987" s="2"/>
      <c r="Q987" s="2"/>
    </row>
    <row r="988" ht="15.75" customHeight="1">
      <c r="B988" s="576"/>
      <c r="C988" s="2"/>
      <c r="D988" s="2"/>
      <c r="E988" s="464"/>
      <c r="F988" s="2"/>
      <c r="G988" s="2"/>
      <c r="H988" s="2"/>
      <c r="I988" s="2"/>
      <c r="J988" s="2"/>
      <c r="K988" s="2"/>
      <c r="L988" s="2"/>
      <c r="M988" s="2"/>
      <c r="N988" s="2"/>
      <c r="O988" s="2"/>
      <c r="P988" s="2"/>
      <c r="Q988" s="2"/>
    </row>
    <row r="989" ht="15.75" customHeight="1">
      <c r="B989" s="576"/>
      <c r="C989" s="2"/>
      <c r="D989" s="2"/>
      <c r="E989" s="464"/>
      <c r="F989" s="2"/>
      <c r="G989" s="2"/>
      <c r="H989" s="2"/>
      <c r="I989" s="2"/>
      <c r="J989" s="2"/>
      <c r="K989" s="2"/>
      <c r="L989" s="2"/>
      <c r="M989" s="2"/>
      <c r="N989" s="2"/>
      <c r="O989" s="2"/>
      <c r="P989" s="2"/>
      <c r="Q989" s="2"/>
    </row>
    <row r="990" ht="15.75" customHeight="1">
      <c r="B990" s="576"/>
      <c r="C990" s="2"/>
      <c r="D990" s="2"/>
      <c r="E990" s="464"/>
      <c r="F990" s="2"/>
      <c r="G990" s="2"/>
      <c r="H990" s="2"/>
      <c r="I990" s="2"/>
      <c r="J990" s="2"/>
      <c r="K990" s="2"/>
      <c r="L990" s="2"/>
      <c r="M990" s="2"/>
      <c r="N990" s="2"/>
      <c r="O990" s="2"/>
      <c r="P990" s="2"/>
      <c r="Q990" s="2"/>
    </row>
    <row r="991" ht="15.75" customHeight="1">
      <c r="B991" s="576"/>
      <c r="C991" s="2"/>
      <c r="D991" s="2"/>
      <c r="E991" s="464"/>
      <c r="F991" s="2"/>
      <c r="G991" s="2"/>
      <c r="H991" s="2"/>
      <c r="I991" s="2"/>
      <c r="J991" s="2"/>
      <c r="K991" s="2"/>
      <c r="L991" s="2"/>
      <c r="M991" s="2"/>
      <c r="N991" s="2"/>
      <c r="O991" s="2"/>
      <c r="P991" s="2"/>
      <c r="Q991" s="2"/>
    </row>
    <row r="992" ht="15.75" customHeight="1">
      <c r="B992" s="576"/>
      <c r="C992" s="2"/>
      <c r="D992" s="2"/>
      <c r="E992" s="464"/>
      <c r="F992" s="2"/>
      <c r="G992" s="2"/>
      <c r="H992" s="2"/>
      <c r="I992" s="2"/>
      <c r="J992" s="2"/>
      <c r="K992" s="2"/>
      <c r="L992" s="2"/>
      <c r="M992" s="2"/>
      <c r="N992" s="2"/>
      <c r="O992" s="2"/>
      <c r="P992" s="2"/>
      <c r="Q992" s="2"/>
    </row>
    <row r="993" ht="15.75" customHeight="1">
      <c r="B993" s="576"/>
      <c r="C993" s="2"/>
      <c r="D993" s="2"/>
      <c r="E993" s="464"/>
      <c r="F993" s="2"/>
      <c r="G993" s="2"/>
      <c r="H993" s="2"/>
      <c r="I993" s="2"/>
      <c r="J993" s="2"/>
      <c r="K993" s="2"/>
      <c r="L993" s="2"/>
      <c r="M993" s="2"/>
      <c r="N993" s="2"/>
      <c r="O993" s="2"/>
      <c r="P993" s="2"/>
      <c r="Q993" s="2"/>
    </row>
    <row r="994" ht="15.75" customHeight="1">
      <c r="B994" s="576"/>
      <c r="C994" s="2"/>
      <c r="D994" s="2"/>
      <c r="E994" s="464"/>
      <c r="F994" s="2"/>
      <c r="G994" s="2"/>
      <c r="H994" s="2"/>
      <c r="I994" s="2"/>
      <c r="J994" s="2"/>
      <c r="K994" s="2"/>
      <c r="L994" s="2"/>
      <c r="M994" s="2"/>
      <c r="N994" s="2"/>
      <c r="O994" s="2"/>
      <c r="P994" s="2"/>
      <c r="Q994" s="2"/>
    </row>
    <row r="995" ht="15.75" customHeight="1">
      <c r="B995" s="576"/>
      <c r="C995" s="2"/>
      <c r="D995" s="2"/>
      <c r="E995" s="464"/>
      <c r="F995" s="2"/>
      <c r="G995" s="2"/>
      <c r="H995" s="2"/>
      <c r="I995" s="2"/>
      <c r="J995" s="2"/>
      <c r="K995" s="2"/>
      <c r="L995" s="2"/>
      <c r="M995" s="2"/>
      <c r="N995" s="2"/>
      <c r="O995" s="2"/>
      <c r="P995" s="2"/>
      <c r="Q995" s="2"/>
    </row>
    <row r="996" ht="15.75" customHeight="1">
      <c r="B996" s="576"/>
      <c r="C996" s="2"/>
      <c r="D996" s="2"/>
      <c r="E996" s="464"/>
      <c r="F996" s="2"/>
      <c r="G996" s="2"/>
      <c r="H996" s="2"/>
      <c r="I996" s="2"/>
      <c r="J996" s="2"/>
      <c r="K996" s="2"/>
      <c r="L996" s="2"/>
      <c r="M996" s="2"/>
      <c r="N996" s="2"/>
      <c r="O996" s="2"/>
      <c r="P996" s="2"/>
      <c r="Q996" s="2"/>
    </row>
    <row r="997" ht="15.75" customHeight="1">
      <c r="B997" s="576"/>
      <c r="C997" s="2"/>
      <c r="D997" s="2"/>
      <c r="E997" s="464"/>
      <c r="F997" s="2"/>
      <c r="G997" s="2"/>
      <c r="H997" s="2"/>
      <c r="I997" s="2"/>
      <c r="J997" s="2"/>
      <c r="K997" s="2"/>
      <c r="L997" s="2"/>
      <c r="M997" s="2"/>
      <c r="N997" s="2"/>
      <c r="O997" s="2"/>
      <c r="P997" s="2"/>
      <c r="Q997" s="2"/>
    </row>
    <row r="998" ht="15.75" customHeight="1">
      <c r="B998" s="576"/>
      <c r="C998" s="2"/>
      <c r="D998" s="2"/>
      <c r="E998" s="464"/>
      <c r="F998" s="2"/>
      <c r="G998" s="2"/>
      <c r="H998" s="2"/>
      <c r="I998" s="2"/>
      <c r="J998" s="2"/>
      <c r="K998" s="2"/>
      <c r="L998" s="2"/>
      <c r="M998" s="2"/>
      <c r="N998" s="2"/>
      <c r="O998" s="2"/>
      <c r="P998" s="2"/>
      <c r="Q998" s="2"/>
    </row>
    <row r="999" ht="15.75" customHeight="1">
      <c r="B999" s="576"/>
      <c r="C999" s="2"/>
      <c r="D999" s="2"/>
      <c r="E999" s="464"/>
      <c r="F999" s="2"/>
      <c r="G999" s="2"/>
      <c r="H999" s="2"/>
      <c r="I999" s="2"/>
      <c r="J999" s="2"/>
      <c r="K999" s="2"/>
      <c r="L999" s="2"/>
      <c r="M999" s="2"/>
      <c r="N999" s="2"/>
      <c r="O999" s="2"/>
      <c r="P999" s="2"/>
      <c r="Q999" s="2"/>
    </row>
    <row r="1000" ht="15.75" customHeight="1">
      <c r="B1000" s="576"/>
      <c r="C1000" s="2"/>
      <c r="D1000" s="2"/>
      <c r="E1000" s="464"/>
      <c r="F1000" s="2"/>
      <c r="G1000" s="2"/>
      <c r="H1000" s="2"/>
      <c r="I1000" s="2"/>
      <c r="J1000" s="2"/>
      <c r="K1000" s="2"/>
      <c r="L1000" s="2"/>
      <c r="M1000" s="2"/>
      <c r="N1000" s="2"/>
      <c r="O1000" s="2"/>
      <c r="P1000" s="2"/>
      <c r="Q1000" s="2"/>
    </row>
  </sheetData>
  <mergeCells count="22">
    <mergeCell ref="B1:Q1"/>
    <mergeCell ref="C2:Q2"/>
    <mergeCell ref="K3:M3"/>
    <mergeCell ref="O3:Q3"/>
    <mergeCell ref="L4:M4"/>
    <mergeCell ref="B109:Q109"/>
    <mergeCell ref="B110:Q110"/>
    <mergeCell ref="C114:E114"/>
    <mergeCell ref="G114:H114"/>
    <mergeCell ref="I114:L114"/>
    <mergeCell ref="M114:Q114"/>
    <mergeCell ref="C115:E115"/>
    <mergeCell ref="G115:H115"/>
    <mergeCell ref="J115:L115"/>
    <mergeCell ref="M115:Q115"/>
    <mergeCell ref="C111:E111"/>
    <mergeCell ref="G111:H111"/>
    <mergeCell ref="I111:L111"/>
    <mergeCell ref="G112:H112"/>
    <mergeCell ref="K112:L112"/>
    <mergeCell ref="B113:C113"/>
    <mergeCell ref="E113:F113"/>
  </mergeCells>
  <printOptions/>
  <pageMargins bottom="0.7480314960629921" footer="0.0" header="0.0" left="0.7086614173228347" right="0.7086614173228347" top="0.7480314960629921"/>
  <pageSetup paperSize="5" scale="95"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7" width="7.86"/>
    <col customWidth="1" min="8" max="8" width="8.71"/>
    <col customWidth="1" min="9" max="9" width="7.57"/>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75" t="s">
        <v>14157</v>
      </c>
    </row>
    <row r="2">
      <c r="B2" s="399"/>
      <c r="C2" s="400" t="s">
        <v>1</v>
      </c>
      <c r="D2" s="6"/>
      <c r="E2" s="6"/>
      <c r="F2" s="6"/>
      <c r="G2" s="6"/>
      <c r="H2" s="6"/>
      <c r="I2" s="6"/>
      <c r="J2" s="6"/>
      <c r="K2" s="6"/>
      <c r="L2" s="6"/>
      <c r="M2" s="6"/>
      <c r="N2" s="6"/>
      <c r="O2" s="6"/>
      <c r="P2" s="6"/>
      <c r="Q2" s="7"/>
    </row>
    <row r="3">
      <c r="B3" s="399"/>
      <c r="C3" s="401"/>
      <c r="D3" s="9"/>
      <c r="E3" s="402"/>
      <c r="F3" s="9"/>
      <c r="G3" s="403"/>
      <c r="H3" s="403"/>
      <c r="I3" s="403"/>
      <c r="J3" s="9"/>
      <c r="K3" s="12"/>
      <c r="M3" s="13"/>
      <c r="N3" s="14" t="s">
        <v>3</v>
      </c>
      <c r="O3" s="404" t="s">
        <v>22535</v>
      </c>
      <c r="P3" s="16"/>
      <c r="Q3" s="17"/>
    </row>
    <row r="4">
      <c r="B4" s="399"/>
      <c r="C4" s="405"/>
      <c r="D4" s="9"/>
      <c r="E4" s="402"/>
      <c r="F4" s="9"/>
      <c r="G4" s="403"/>
      <c r="H4" s="321"/>
      <c r="I4" s="403"/>
      <c r="J4" s="9"/>
      <c r="K4" s="403"/>
      <c r="L4" s="406"/>
      <c r="M4" s="407"/>
      <c r="N4" s="9"/>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33"/>
      <c r="D6" s="433"/>
      <c r="E6" s="434" t="s">
        <v>22536</v>
      </c>
      <c r="F6" s="433" t="s">
        <v>22537</v>
      </c>
      <c r="G6" s="433" t="s">
        <v>29</v>
      </c>
      <c r="H6" s="433" t="s">
        <v>81</v>
      </c>
      <c r="I6" s="433"/>
      <c r="J6" s="433" t="s">
        <v>22538</v>
      </c>
      <c r="K6" s="433"/>
      <c r="L6" s="433" t="s">
        <v>22539</v>
      </c>
      <c r="M6" s="433"/>
      <c r="N6" s="433" t="s">
        <v>6009</v>
      </c>
      <c r="O6" s="433">
        <v>1969.0</v>
      </c>
      <c r="P6" s="433" t="s">
        <v>388</v>
      </c>
      <c r="Q6" s="433">
        <v>1.0</v>
      </c>
    </row>
    <row r="7">
      <c r="B7" s="433">
        <v>2.0</v>
      </c>
      <c r="C7" s="433"/>
      <c r="D7" s="433"/>
      <c r="E7" s="434" t="s">
        <v>22540</v>
      </c>
      <c r="F7" s="433" t="s">
        <v>22537</v>
      </c>
      <c r="G7" s="433" t="s">
        <v>29</v>
      </c>
      <c r="H7" s="433" t="s">
        <v>81</v>
      </c>
      <c r="I7" s="576"/>
      <c r="J7" s="433" t="s">
        <v>38</v>
      </c>
      <c r="K7" s="433">
        <v>44.0</v>
      </c>
      <c r="L7" s="433"/>
      <c r="M7" s="433" t="s">
        <v>13582</v>
      </c>
      <c r="N7" s="433" t="s">
        <v>22541</v>
      </c>
      <c r="O7" s="433">
        <v>1976.0</v>
      </c>
      <c r="P7" s="433" t="s">
        <v>388</v>
      </c>
      <c r="Q7" s="433">
        <v>1.0</v>
      </c>
    </row>
    <row r="8">
      <c r="B8" s="433">
        <v>3.0</v>
      </c>
      <c r="C8" s="433"/>
      <c r="D8" s="433"/>
      <c r="E8" s="434" t="s">
        <v>22540</v>
      </c>
      <c r="F8" s="433" t="s">
        <v>22537</v>
      </c>
      <c r="G8" s="433" t="s">
        <v>29</v>
      </c>
      <c r="H8" s="433" t="s">
        <v>81</v>
      </c>
      <c r="I8" s="433"/>
      <c r="J8" s="433" t="s">
        <v>38</v>
      </c>
      <c r="K8" s="576">
        <v>44.0</v>
      </c>
      <c r="L8" s="919"/>
      <c r="M8" s="433" t="s">
        <v>13582</v>
      </c>
      <c r="N8" s="433" t="s">
        <v>22541</v>
      </c>
      <c r="O8" s="433">
        <v>1976.0</v>
      </c>
      <c r="P8" s="433" t="s">
        <v>388</v>
      </c>
      <c r="Q8" s="433">
        <v>1.0</v>
      </c>
    </row>
    <row r="9">
      <c r="B9" s="433">
        <v>4.0</v>
      </c>
      <c r="C9" s="433"/>
      <c r="D9" s="433"/>
      <c r="E9" s="434" t="s">
        <v>22540</v>
      </c>
      <c r="F9" s="433" t="s">
        <v>22537</v>
      </c>
      <c r="G9" s="433" t="s">
        <v>29</v>
      </c>
      <c r="H9" s="433" t="s">
        <v>81</v>
      </c>
      <c r="I9" s="433"/>
      <c r="J9" s="433" t="s">
        <v>38</v>
      </c>
      <c r="K9" s="342">
        <v>44.0</v>
      </c>
      <c r="L9" s="433"/>
      <c r="M9" s="433" t="s">
        <v>13582</v>
      </c>
      <c r="N9" s="433" t="s">
        <v>22541</v>
      </c>
      <c r="O9" s="433">
        <v>1977.0</v>
      </c>
      <c r="P9" s="433" t="s">
        <v>388</v>
      </c>
      <c r="Q9" s="433">
        <v>1.0</v>
      </c>
    </row>
    <row r="10">
      <c r="B10" s="433">
        <v>5.0</v>
      </c>
      <c r="C10" s="433"/>
      <c r="D10" s="433"/>
      <c r="E10" s="434" t="s">
        <v>22540</v>
      </c>
      <c r="F10" s="433" t="s">
        <v>22537</v>
      </c>
      <c r="G10" s="433" t="s">
        <v>29</v>
      </c>
      <c r="H10" s="433" t="s">
        <v>81</v>
      </c>
      <c r="I10" s="433"/>
      <c r="J10" s="433" t="s">
        <v>38</v>
      </c>
      <c r="K10" s="576">
        <v>44.0</v>
      </c>
      <c r="L10" s="782"/>
      <c r="M10" s="433" t="s">
        <v>13582</v>
      </c>
      <c r="N10" s="433" t="s">
        <v>22541</v>
      </c>
      <c r="O10" s="433">
        <v>1980.0</v>
      </c>
      <c r="P10" s="433" t="s">
        <v>388</v>
      </c>
      <c r="Q10" s="433">
        <v>1.0</v>
      </c>
    </row>
    <row r="11">
      <c r="B11" s="433">
        <v>6.0</v>
      </c>
      <c r="C11" s="433"/>
      <c r="D11" s="433"/>
      <c r="E11" s="434" t="s">
        <v>22540</v>
      </c>
      <c r="F11" s="433" t="s">
        <v>22537</v>
      </c>
      <c r="G11" s="433" t="s">
        <v>29</v>
      </c>
      <c r="H11" s="433" t="s">
        <v>81</v>
      </c>
      <c r="I11" s="433"/>
      <c r="J11" s="433" t="s">
        <v>38</v>
      </c>
      <c r="K11" s="342">
        <v>44.0</v>
      </c>
      <c r="L11" s="433"/>
      <c r="M11" s="433" t="s">
        <v>13582</v>
      </c>
      <c r="N11" s="433" t="s">
        <v>22541</v>
      </c>
      <c r="O11" s="433">
        <v>1980.0</v>
      </c>
      <c r="P11" s="433" t="s">
        <v>388</v>
      </c>
      <c r="Q11" s="433">
        <v>1.0</v>
      </c>
    </row>
    <row r="12">
      <c r="B12" s="433">
        <v>7.0</v>
      </c>
      <c r="C12" s="433"/>
      <c r="D12" s="433"/>
      <c r="E12" s="434" t="s">
        <v>22542</v>
      </c>
      <c r="F12" s="433" t="s">
        <v>22537</v>
      </c>
      <c r="G12" s="433" t="s">
        <v>29</v>
      </c>
      <c r="H12" s="433" t="s">
        <v>81</v>
      </c>
      <c r="I12" s="433"/>
      <c r="J12" s="433" t="s">
        <v>38</v>
      </c>
      <c r="K12" s="451">
        <v>44.0</v>
      </c>
      <c r="L12" s="433"/>
      <c r="M12" s="433" t="s">
        <v>13582</v>
      </c>
      <c r="N12" s="433" t="s">
        <v>22541</v>
      </c>
      <c r="O12" s="433">
        <v>1978.0</v>
      </c>
      <c r="P12" s="433" t="s">
        <v>388</v>
      </c>
      <c r="Q12" s="433">
        <v>1.0</v>
      </c>
    </row>
    <row r="13">
      <c r="B13" s="433">
        <v>8.0</v>
      </c>
      <c r="C13" s="433"/>
      <c r="D13" s="433"/>
      <c r="E13" s="434" t="s">
        <v>22542</v>
      </c>
      <c r="F13" s="433" t="s">
        <v>22537</v>
      </c>
      <c r="G13" s="433" t="s">
        <v>29</v>
      </c>
      <c r="H13" s="433" t="s">
        <v>81</v>
      </c>
      <c r="I13" s="433"/>
      <c r="J13" s="433" t="s">
        <v>38</v>
      </c>
      <c r="K13" s="576">
        <v>44.0</v>
      </c>
      <c r="L13" s="782"/>
      <c r="M13" s="433" t="s">
        <v>13582</v>
      </c>
      <c r="N13" s="433" t="s">
        <v>22541</v>
      </c>
      <c r="O13" s="433">
        <v>1978.0</v>
      </c>
      <c r="P13" s="433" t="s">
        <v>388</v>
      </c>
      <c r="Q13" s="433">
        <v>1.0</v>
      </c>
    </row>
    <row r="14">
      <c r="B14" s="433">
        <v>9.0</v>
      </c>
      <c r="C14" s="433"/>
      <c r="D14" s="433"/>
      <c r="E14" s="434" t="s">
        <v>22543</v>
      </c>
      <c r="F14" s="433" t="s">
        <v>22537</v>
      </c>
      <c r="G14" s="433" t="s">
        <v>29</v>
      </c>
      <c r="H14" s="433" t="s">
        <v>81</v>
      </c>
      <c r="I14" s="433"/>
      <c r="J14" s="433" t="s">
        <v>38</v>
      </c>
      <c r="K14" s="433">
        <v>42.0</v>
      </c>
      <c r="L14" s="433"/>
      <c r="M14" s="433" t="s">
        <v>13582</v>
      </c>
      <c r="N14" s="433" t="s">
        <v>22541</v>
      </c>
      <c r="O14" s="433">
        <v>1980.0</v>
      </c>
      <c r="P14" s="433" t="s">
        <v>388</v>
      </c>
      <c r="Q14" s="433">
        <v>1.0</v>
      </c>
    </row>
    <row r="15">
      <c r="B15" s="433">
        <v>10.0</v>
      </c>
      <c r="C15" s="433"/>
      <c r="D15" s="433"/>
      <c r="E15" s="434" t="s">
        <v>22544</v>
      </c>
      <c r="F15" s="433" t="s">
        <v>22537</v>
      </c>
      <c r="G15" s="433" t="s">
        <v>29</v>
      </c>
      <c r="H15" s="433" t="s">
        <v>81</v>
      </c>
      <c r="I15" s="433"/>
      <c r="J15" s="433" t="s">
        <v>38</v>
      </c>
      <c r="K15" s="433">
        <v>60.0</v>
      </c>
      <c r="L15" s="433"/>
      <c r="M15" s="433" t="s">
        <v>13582</v>
      </c>
      <c r="N15" s="433" t="s">
        <v>22541</v>
      </c>
      <c r="O15" s="433">
        <v>1980.0</v>
      </c>
      <c r="P15" s="433" t="s">
        <v>388</v>
      </c>
      <c r="Q15" s="433">
        <v>1.0</v>
      </c>
    </row>
    <row r="16">
      <c r="B16" s="433">
        <v>11.0</v>
      </c>
      <c r="C16" s="433"/>
      <c r="D16" s="433"/>
      <c r="E16" s="434" t="s">
        <v>22545</v>
      </c>
      <c r="F16" s="433" t="s">
        <v>22537</v>
      </c>
      <c r="G16" s="433" t="s">
        <v>29</v>
      </c>
      <c r="H16" s="433" t="s">
        <v>81</v>
      </c>
      <c r="I16" s="433"/>
      <c r="J16" s="433" t="s">
        <v>38</v>
      </c>
      <c r="K16" s="433">
        <v>60.0</v>
      </c>
      <c r="L16" s="433"/>
      <c r="M16" s="433" t="s">
        <v>13582</v>
      </c>
      <c r="N16" s="433" t="s">
        <v>22541</v>
      </c>
      <c r="O16" s="433">
        <v>1980.0</v>
      </c>
      <c r="P16" s="433" t="s">
        <v>388</v>
      </c>
      <c r="Q16" s="433">
        <v>1.0</v>
      </c>
    </row>
    <row r="17">
      <c r="B17" s="433">
        <v>12.0</v>
      </c>
      <c r="C17" s="433"/>
      <c r="D17" s="433"/>
      <c r="E17" s="434" t="s">
        <v>22546</v>
      </c>
      <c r="F17" s="433" t="s">
        <v>22537</v>
      </c>
      <c r="G17" s="433" t="s">
        <v>29</v>
      </c>
      <c r="H17" s="433" t="s">
        <v>81</v>
      </c>
      <c r="I17" s="433"/>
      <c r="J17" s="433" t="s">
        <v>38</v>
      </c>
      <c r="K17" s="433">
        <v>44.0</v>
      </c>
      <c r="L17" s="433"/>
      <c r="M17" s="433" t="s">
        <v>13582</v>
      </c>
      <c r="N17" s="433" t="s">
        <v>22541</v>
      </c>
      <c r="O17" s="433">
        <v>1977.0</v>
      </c>
      <c r="P17" s="433" t="s">
        <v>388</v>
      </c>
      <c r="Q17" s="433">
        <v>1.0</v>
      </c>
    </row>
    <row r="18">
      <c r="B18" s="433">
        <v>13.0</v>
      </c>
      <c r="C18" s="433"/>
      <c r="D18" s="433"/>
      <c r="E18" s="434" t="s">
        <v>22547</v>
      </c>
      <c r="F18" s="433" t="s">
        <v>22537</v>
      </c>
      <c r="G18" s="433" t="s">
        <v>29</v>
      </c>
      <c r="H18" s="433" t="s">
        <v>81</v>
      </c>
      <c r="I18" s="433"/>
      <c r="J18" s="433" t="s">
        <v>38</v>
      </c>
      <c r="K18" s="433">
        <v>43.0</v>
      </c>
      <c r="L18" s="433"/>
      <c r="M18" s="433" t="s">
        <v>13582</v>
      </c>
      <c r="N18" s="433" t="s">
        <v>22541</v>
      </c>
      <c r="O18" s="433">
        <v>1980.0</v>
      </c>
      <c r="P18" s="433" t="s">
        <v>388</v>
      </c>
      <c r="Q18" s="433">
        <v>1.0</v>
      </c>
    </row>
    <row r="19">
      <c r="B19" s="433">
        <v>14.0</v>
      </c>
      <c r="C19" s="433"/>
      <c r="D19" s="433"/>
      <c r="E19" s="434" t="s">
        <v>22548</v>
      </c>
      <c r="F19" s="433" t="s">
        <v>22537</v>
      </c>
      <c r="G19" s="433" t="s">
        <v>29</v>
      </c>
      <c r="H19" s="433" t="s">
        <v>81</v>
      </c>
      <c r="I19" s="433"/>
      <c r="J19" s="433" t="s">
        <v>81</v>
      </c>
      <c r="K19" s="433">
        <v>85.0</v>
      </c>
      <c r="L19" s="433"/>
      <c r="M19" s="433" t="s">
        <v>13582</v>
      </c>
      <c r="N19" s="433" t="s">
        <v>22549</v>
      </c>
      <c r="O19" s="433">
        <v>1979.0</v>
      </c>
      <c r="P19" s="433" t="s">
        <v>388</v>
      </c>
      <c r="Q19" s="433">
        <v>1.0</v>
      </c>
    </row>
    <row r="20">
      <c r="B20" s="433">
        <v>15.0</v>
      </c>
      <c r="C20" s="433"/>
      <c r="D20" s="433"/>
      <c r="E20" s="434" t="s">
        <v>22550</v>
      </c>
      <c r="F20" s="433" t="s">
        <v>22537</v>
      </c>
      <c r="G20" s="433" t="s">
        <v>29</v>
      </c>
      <c r="H20" s="433" t="s">
        <v>81</v>
      </c>
      <c r="I20" s="433"/>
      <c r="J20" s="433" t="s">
        <v>81</v>
      </c>
      <c r="K20" s="433">
        <v>99.0</v>
      </c>
      <c r="L20" s="433"/>
      <c r="M20" s="433" t="s">
        <v>13582</v>
      </c>
      <c r="N20" s="433" t="s">
        <v>22551</v>
      </c>
      <c r="O20" s="433">
        <v>1967.0</v>
      </c>
      <c r="P20" s="433" t="s">
        <v>388</v>
      </c>
      <c r="Q20" s="433">
        <v>1.0</v>
      </c>
    </row>
    <row r="21" ht="15.75" customHeight="1">
      <c r="B21" s="433">
        <v>16.0</v>
      </c>
      <c r="C21" s="433"/>
      <c r="D21" s="433"/>
      <c r="E21" s="434" t="s">
        <v>22552</v>
      </c>
      <c r="F21" s="433" t="s">
        <v>22537</v>
      </c>
      <c r="G21" s="433" t="s">
        <v>29</v>
      </c>
      <c r="H21" s="433" t="s">
        <v>81</v>
      </c>
      <c r="I21" s="433"/>
      <c r="J21" s="433" t="s">
        <v>81</v>
      </c>
      <c r="K21" s="433">
        <v>335.0</v>
      </c>
      <c r="L21" s="433"/>
      <c r="M21" s="433" t="s">
        <v>13582</v>
      </c>
      <c r="N21" s="433" t="s">
        <v>22512</v>
      </c>
      <c r="O21" s="433">
        <v>1978.0</v>
      </c>
      <c r="P21" s="433" t="s">
        <v>388</v>
      </c>
      <c r="Q21" s="433">
        <v>2.0</v>
      </c>
    </row>
    <row r="22" ht="15.75" customHeight="1">
      <c r="B22" s="433">
        <v>17.0</v>
      </c>
      <c r="C22" s="433"/>
      <c r="D22" s="433"/>
      <c r="E22" s="434" t="s">
        <v>22553</v>
      </c>
      <c r="F22" s="433" t="s">
        <v>22537</v>
      </c>
      <c r="G22" s="433" t="s">
        <v>29</v>
      </c>
      <c r="H22" s="433" t="s">
        <v>81</v>
      </c>
      <c r="I22" s="433"/>
      <c r="J22" s="433" t="s">
        <v>38</v>
      </c>
      <c r="K22" s="433">
        <v>64.0</v>
      </c>
      <c r="L22" s="433"/>
      <c r="M22" s="433" t="s">
        <v>13582</v>
      </c>
      <c r="N22" s="433" t="s">
        <v>22554</v>
      </c>
      <c r="O22" s="433">
        <v>1979.0</v>
      </c>
      <c r="P22" s="433" t="s">
        <v>388</v>
      </c>
      <c r="Q22" s="433">
        <v>2.0</v>
      </c>
    </row>
    <row r="23" ht="15.75" customHeight="1">
      <c r="B23" s="433">
        <v>18.0</v>
      </c>
      <c r="C23" s="433"/>
      <c r="D23" s="433"/>
      <c r="E23" s="434" t="s">
        <v>22555</v>
      </c>
      <c r="F23" s="433" t="s">
        <v>22537</v>
      </c>
      <c r="G23" s="433" t="s">
        <v>29</v>
      </c>
      <c r="H23" s="433" t="s">
        <v>81</v>
      </c>
      <c r="I23" s="433"/>
      <c r="J23" s="433" t="s">
        <v>38</v>
      </c>
      <c r="K23" s="433">
        <v>90.0</v>
      </c>
      <c r="L23" s="433"/>
      <c r="M23" s="433"/>
      <c r="N23" s="433" t="s">
        <v>22512</v>
      </c>
      <c r="O23" s="433">
        <v>1984.0</v>
      </c>
      <c r="P23" s="433" t="s">
        <v>388</v>
      </c>
      <c r="Q23" s="433">
        <v>1.0</v>
      </c>
    </row>
    <row r="24" ht="15.75" customHeight="1">
      <c r="B24" s="433">
        <v>19.0</v>
      </c>
      <c r="C24" s="433"/>
      <c r="D24" s="433"/>
      <c r="E24" s="434" t="s">
        <v>22556</v>
      </c>
      <c r="F24" s="433" t="s">
        <v>22537</v>
      </c>
      <c r="G24" s="433" t="s">
        <v>29</v>
      </c>
      <c r="H24" s="433" t="s">
        <v>81</v>
      </c>
      <c r="I24" s="433"/>
      <c r="J24" s="433" t="s">
        <v>38</v>
      </c>
      <c r="K24" s="433">
        <v>48.0</v>
      </c>
      <c r="L24" s="433"/>
      <c r="M24" s="433"/>
      <c r="N24" s="433" t="s">
        <v>22557</v>
      </c>
      <c r="O24" s="433">
        <v>1978.0</v>
      </c>
      <c r="P24" s="433" t="s">
        <v>388</v>
      </c>
      <c r="Q24" s="433">
        <v>1.0</v>
      </c>
    </row>
    <row r="25" ht="15.75" customHeight="1">
      <c r="B25" s="433">
        <v>20.0</v>
      </c>
      <c r="C25" s="433"/>
      <c r="D25" s="433"/>
      <c r="E25" s="434" t="s">
        <v>22558</v>
      </c>
      <c r="F25" s="433" t="s">
        <v>22537</v>
      </c>
      <c r="G25" s="433" t="s">
        <v>29</v>
      </c>
      <c r="H25" s="433" t="s">
        <v>81</v>
      </c>
      <c r="I25" s="433"/>
      <c r="J25" s="433" t="s">
        <v>38</v>
      </c>
      <c r="K25" s="433">
        <v>150.0</v>
      </c>
      <c r="L25" s="433"/>
      <c r="M25" s="433"/>
      <c r="N25" s="433" t="s">
        <v>22559</v>
      </c>
      <c r="O25" s="433">
        <v>1964.0</v>
      </c>
      <c r="P25" s="433" t="s">
        <v>388</v>
      </c>
      <c r="Q25" s="433">
        <v>1.0</v>
      </c>
    </row>
    <row r="26" ht="15.75" customHeight="1">
      <c r="B26" s="433">
        <v>21.0</v>
      </c>
      <c r="C26" s="433"/>
      <c r="D26" s="433"/>
      <c r="E26" s="434" t="s">
        <v>22560</v>
      </c>
      <c r="F26" s="433" t="s">
        <v>22537</v>
      </c>
      <c r="G26" s="433" t="s">
        <v>29</v>
      </c>
      <c r="H26" s="433" t="s">
        <v>22561</v>
      </c>
      <c r="I26" s="433"/>
      <c r="J26" s="433" t="s">
        <v>22561</v>
      </c>
      <c r="K26" s="433">
        <v>108.0</v>
      </c>
      <c r="L26" s="433"/>
      <c r="M26" s="433"/>
      <c r="N26" s="433" t="s">
        <v>22562</v>
      </c>
      <c r="O26" s="433">
        <v>1971.0</v>
      </c>
      <c r="P26" s="433" t="s">
        <v>388</v>
      </c>
      <c r="Q26" s="433">
        <v>1.0</v>
      </c>
    </row>
    <row r="27" ht="15.75" customHeight="1">
      <c r="B27" s="433">
        <v>22.0</v>
      </c>
      <c r="C27" s="433"/>
      <c r="D27" s="433"/>
      <c r="E27" s="434" t="s">
        <v>22563</v>
      </c>
      <c r="F27" s="433" t="s">
        <v>22537</v>
      </c>
      <c r="G27" s="433" t="s">
        <v>29</v>
      </c>
      <c r="H27" s="433" t="s">
        <v>81</v>
      </c>
      <c r="I27" s="433"/>
      <c r="J27" s="433" t="s">
        <v>38</v>
      </c>
      <c r="K27" s="433">
        <v>50.0</v>
      </c>
      <c r="L27" s="433" t="s">
        <v>22450</v>
      </c>
      <c r="M27" s="433"/>
      <c r="N27" s="433" t="s">
        <v>22564</v>
      </c>
      <c r="O27" s="433">
        <v>1988.0</v>
      </c>
      <c r="P27" s="433" t="s">
        <v>388</v>
      </c>
      <c r="Q27" s="433">
        <v>2.0</v>
      </c>
    </row>
    <row r="28" ht="15.75" customHeight="1">
      <c r="B28" s="433">
        <v>23.0</v>
      </c>
      <c r="C28" s="445"/>
      <c r="D28" s="445"/>
      <c r="E28" s="447" t="s">
        <v>22565</v>
      </c>
      <c r="F28" s="433" t="s">
        <v>22537</v>
      </c>
      <c r="G28" s="445" t="s">
        <v>29</v>
      </c>
      <c r="H28" s="445" t="s">
        <v>81</v>
      </c>
      <c r="I28" s="445"/>
      <c r="J28" s="445" t="s">
        <v>22076</v>
      </c>
      <c r="K28" s="445">
        <v>16.0</v>
      </c>
      <c r="L28" s="445"/>
      <c r="M28" s="445" t="s">
        <v>13582</v>
      </c>
      <c r="N28" s="445" t="s">
        <v>22566</v>
      </c>
      <c r="O28" s="445">
        <v>1976.0</v>
      </c>
      <c r="P28" s="433" t="s">
        <v>388</v>
      </c>
      <c r="Q28" s="445">
        <v>2.0</v>
      </c>
    </row>
    <row r="29" ht="15.75" customHeight="1">
      <c r="B29" s="433">
        <v>24.0</v>
      </c>
      <c r="C29" s="445"/>
      <c r="D29" s="445"/>
      <c r="E29" s="447" t="s">
        <v>22567</v>
      </c>
      <c r="F29" s="433" t="s">
        <v>22537</v>
      </c>
      <c r="G29" s="445" t="s">
        <v>29</v>
      </c>
      <c r="H29" s="445" t="s">
        <v>81</v>
      </c>
      <c r="I29" s="445"/>
      <c r="J29" s="445" t="s">
        <v>22076</v>
      </c>
      <c r="K29" s="445">
        <v>32.0</v>
      </c>
      <c r="L29" s="445"/>
      <c r="M29" s="445"/>
      <c r="N29" s="433" t="s">
        <v>22549</v>
      </c>
      <c r="O29" s="445"/>
      <c r="P29" s="433" t="s">
        <v>388</v>
      </c>
      <c r="Q29" s="445">
        <v>1.0</v>
      </c>
    </row>
    <row r="30" ht="15.75" customHeight="1">
      <c r="B30" s="433">
        <v>25.0</v>
      </c>
      <c r="C30" s="445"/>
      <c r="D30" s="445"/>
      <c r="E30" s="447" t="s">
        <v>22568</v>
      </c>
      <c r="F30" s="433" t="s">
        <v>22537</v>
      </c>
      <c r="G30" s="445" t="s">
        <v>29</v>
      </c>
      <c r="H30" s="445" t="s">
        <v>81</v>
      </c>
      <c r="I30" s="445"/>
      <c r="J30" s="445" t="s">
        <v>166</v>
      </c>
      <c r="K30" s="445"/>
      <c r="L30" s="445"/>
      <c r="M30" s="445" t="s">
        <v>22569</v>
      </c>
      <c r="N30" s="445" t="s">
        <v>4836</v>
      </c>
      <c r="O30" s="445">
        <v>1974.0</v>
      </c>
      <c r="P30" s="433" t="s">
        <v>388</v>
      </c>
      <c r="Q30" s="445">
        <v>1.0</v>
      </c>
    </row>
    <row r="31" ht="15.75" customHeight="1">
      <c r="B31" s="433">
        <v>26.0</v>
      </c>
      <c r="C31" s="445"/>
      <c r="D31" s="445"/>
      <c r="E31" s="447" t="s">
        <v>22570</v>
      </c>
      <c r="F31" s="433" t="s">
        <v>22537</v>
      </c>
      <c r="G31" s="445" t="s">
        <v>29</v>
      </c>
      <c r="H31" s="445" t="s">
        <v>81</v>
      </c>
      <c r="I31" s="445"/>
      <c r="J31" s="445" t="s">
        <v>166</v>
      </c>
      <c r="K31" s="445"/>
      <c r="L31" s="445"/>
      <c r="M31" s="445" t="s">
        <v>22569</v>
      </c>
      <c r="N31" s="445" t="s">
        <v>4836</v>
      </c>
      <c r="O31" s="445">
        <v>1974.0</v>
      </c>
      <c r="P31" s="433" t="s">
        <v>388</v>
      </c>
      <c r="Q31" s="445">
        <v>1.0</v>
      </c>
    </row>
    <row r="32" ht="15.75" customHeight="1">
      <c r="B32" s="433">
        <v>27.0</v>
      </c>
      <c r="C32" s="445"/>
      <c r="D32" s="445"/>
      <c r="E32" s="447" t="s">
        <v>22571</v>
      </c>
      <c r="F32" s="433" t="s">
        <v>22537</v>
      </c>
      <c r="G32" s="445" t="s">
        <v>29</v>
      </c>
      <c r="H32" s="445" t="s">
        <v>81</v>
      </c>
      <c r="I32" s="445"/>
      <c r="J32" s="445" t="s">
        <v>166</v>
      </c>
      <c r="K32" s="445"/>
      <c r="L32" s="445"/>
      <c r="M32" s="445" t="s">
        <v>22569</v>
      </c>
      <c r="N32" s="445" t="s">
        <v>4836</v>
      </c>
      <c r="O32" s="445">
        <v>1974.0</v>
      </c>
      <c r="P32" s="433" t="s">
        <v>388</v>
      </c>
      <c r="Q32" s="445">
        <v>1.0</v>
      </c>
    </row>
    <row r="33" ht="15.75" customHeight="1">
      <c r="B33" s="433">
        <v>28.0</v>
      </c>
      <c r="C33" s="445"/>
      <c r="D33" s="445"/>
      <c r="E33" s="447" t="s">
        <v>22572</v>
      </c>
      <c r="F33" s="433" t="s">
        <v>22537</v>
      </c>
      <c r="G33" s="445" t="s">
        <v>29</v>
      </c>
      <c r="H33" s="445" t="s">
        <v>81</v>
      </c>
      <c r="I33" s="445"/>
      <c r="J33" s="445" t="s">
        <v>81</v>
      </c>
      <c r="K33" s="445">
        <v>155.0</v>
      </c>
      <c r="L33" s="445"/>
      <c r="M33" s="445"/>
      <c r="N33" s="445" t="s">
        <v>22512</v>
      </c>
      <c r="O33" s="445">
        <v>1977.0</v>
      </c>
      <c r="P33" s="433" t="s">
        <v>388</v>
      </c>
      <c r="Q33" s="445">
        <v>1.0</v>
      </c>
    </row>
    <row r="34" ht="15.75" customHeight="1">
      <c r="B34" s="433">
        <v>29.0</v>
      </c>
      <c r="C34" s="445"/>
      <c r="D34" s="445"/>
      <c r="E34" s="447" t="s">
        <v>22573</v>
      </c>
      <c r="F34" s="433" t="s">
        <v>22537</v>
      </c>
      <c r="G34" s="445" t="s">
        <v>29</v>
      </c>
      <c r="H34" s="445" t="s">
        <v>81</v>
      </c>
      <c r="I34" s="445"/>
      <c r="J34" s="445" t="s">
        <v>81</v>
      </c>
      <c r="K34" s="445">
        <v>60.0</v>
      </c>
      <c r="L34" s="445"/>
      <c r="M34" s="445"/>
      <c r="N34" s="445" t="s">
        <v>22512</v>
      </c>
      <c r="O34" s="445">
        <v>1984.0</v>
      </c>
      <c r="P34" s="433" t="s">
        <v>388</v>
      </c>
      <c r="Q34" s="445">
        <v>1.0</v>
      </c>
    </row>
    <row r="35" ht="15.75" customHeight="1">
      <c r="B35" s="449"/>
      <c r="C35" s="433"/>
      <c r="D35" s="433"/>
      <c r="E35" s="434"/>
      <c r="F35" s="433"/>
      <c r="G35" s="433"/>
      <c r="H35" s="433"/>
      <c r="I35" s="433"/>
      <c r="J35" s="433"/>
      <c r="K35" s="433"/>
      <c r="L35" s="433"/>
      <c r="M35" s="450"/>
      <c r="N35" s="433"/>
      <c r="O35" s="451"/>
      <c r="P35" s="433"/>
      <c r="Q35" s="342"/>
    </row>
    <row r="36" ht="15.75" customHeight="1">
      <c r="B36" s="449"/>
      <c r="C36" s="449"/>
      <c r="D36" s="450"/>
      <c r="E36" s="523"/>
      <c r="F36" s="450"/>
      <c r="G36" s="450"/>
      <c r="H36" s="450"/>
      <c r="I36" s="450"/>
      <c r="J36" s="450"/>
      <c r="K36" s="450"/>
      <c r="L36" s="450"/>
      <c r="M36" s="450"/>
      <c r="N36" s="15" t="s">
        <v>13862</v>
      </c>
      <c r="O36" s="16"/>
      <c r="P36" s="17"/>
      <c r="Q36" s="452">
        <f>SUM(Q6:Q35)</f>
        <v>33</v>
      </c>
    </row>
    <row r="37" ht="15.75" customHeight="1">
      <c r="B37" s="454"/>
      <c r="C37" s="455"/>
      <c r="D37" s="455"/>
      <c r="E37" s="455"/>
      <c r="F37" s="455"/>
      <c r="G37" s="455"/>
      <c r="H37" s="455"/>
      <c r="I37" s="455"/>
      <c r="J37" s="455"/>
      <c r="K37" s="455"/>
      <c r="L37" s="455"/>
      <c r="M37" s="455"/>
      <c r="N37" s="455"/>
      <c r="O37" s="455"/>
      <c r="P37" s="455"/>
      <c r="Q37" s="456"/>
    </row>
    <row r="38" ht="15.75" customHeight="1">
      <c r="B38" s="457" t="s">
        <v>14257</v>
      </c>
      <c r="C38" s="6"/>
      <c r="D38" s="6"/>
      <c r="E38" s="6"/>
      <c r="F38" s="6"/>
      <c r="G38" s="6"/>
      <c r="H38" s="6"/>
      <c r="I38" s="6"/>
      <c r="J38" s="6"/>
      <c r="K38" s="6"/>
      <c r="L38" s="6"/>
      <c r="M38" s="6"/>
      <c r="N38" s="6"/>
      <c r="O38" s="6"/>
      <c r="P38" s="6"/>
      <c r="Q38" s="7"/>
    </row>
    <row r="39" ht="15.75" customHeight="1">
      <c r="B39" s="327" t="s">
        <v>14150</v>
      </c>
      <c r="C39" s="457" t="s">
        <v>14151</v>
      </c>
      <c r="D39" s="6"/>
      <c r="E39" s="7"/>
      <c r="F39" s="458"/>
      <c r="G39" s="459"/>
      <c r="H39" s="7"/>
      <c r="I39" s="459"/>
      <c r="J39" s="6"/>
      <c r="K39" s="6"/>
      <c r="L39" s="7"/>
      <c r="M39" s="460"/>
      <c r="N39" s="461" t="s">
        <v>14152</v>
      </c>
      <c r="O39" s="461"/>
      <c r="P39" s="461"/>
      <c r="Q39" s="461"/>
    </row>
    <row r="40" ht="15.75" customHeight="1">
      <c r="B40" s="321"/>
      <c r="C40" s="399"/>
      <c r="D40" s="458"/>
      <c r="E40" s="462"/>
      <c r="F40" s="458"/>
      <c r="G40" s="463"/>
      <c r="H40" s="7"/>
      <c r="I40" s="321"/>
      <c r="J40" s="321"/>
      <c r="K40" s="463"/>
      <c r="L40" s="7"/>
      <c r="M40" s="321"/>
      <c r="N40" s="321"/>
      <c r="O40" s="321"/>
      <c r="P40" s="321"/>
      <c r="Q40" s="321"/>
    </row>
    <row r="41" ht="15.75" customHeight="1">
      <c r="B41" s="463"/>
      <c r="C41" s="7"/>
      <c r="D41" s="458"/>
      <c r="E41" s="463"/>
      <c r="F41" s="7"/>
      <c r="G41" s="321"/>
      <c r="H41" s="321"/>
      <c r="I41" s="321"/>
      <c r="J41" s="321"/>
      <c r="K41" s="321"/>
      <c r="L41" s="321"/>
      <c r="M41" s="321"/>
      <c r="N41" s="321"/>
      <c r="O41" s="321"/>
      <c r="P41" s="321"/>
      <c r="Q41" s="321"/>
    </row>
    <row r="42" ht="15.75" customHeight="1">
      <c r="B42" s="321"/>
      <c r="C42" s="457" t="s">
        <v>15030</v>
      </c>
      <c r="D42" s="6"/>
      <c r="E42" s="7"/>
      <c r="F42" s="458"/>
      <c r="G42" s="457"/>
      <c r="H42" s="7"/>
      <c r="I42" s="457"/>
      <c r="J42" s="6"/>
      <c r="K42" s="6"/>
      <c r="L42" s="7"/>
      <c r="M42" s="457" t="s">
        <v>14154</v>
      </c>
      <c r="N42" s="6"/>
      <c r="O42" s="6"/>
      <c r="P42" s="6"/>
      <c r="Q42" s="7"/>
    </row>
    <row r="43" ht="15.75" customHeight="1">
      <c r="B43" s="321"/>
      <c r="C43" s="457" t="s">
        <v>14155</v>
      </c>
      <c r="D43" s="6"/>
      <c r="E43" s="7"/>
      <c r="F43" s="458"/>
      <c r="G43" s="457"/>
      <c r="H43" s="7"/>
      <c r="I43" s="327"/>
      <c r="J43" s="457"/>
      <c r="K43" s="6"/>
      <c r="L43" s="7"/>
      <c r="M43" s="457" t="s">
        <v>14156</v>
      </c>
      <c r="N43" s="6"/>
      <c r="O43" s="6"/>
      <c r="P43" s="6"/>
      <c r="Q43" s="7"/>
    </row>
    <row r="44" ht="15.75" customHeight="1">
      <c r="B44" s="2"/>
      <c r="C44" s="2"/>
      <c r="D44" s="2"/>
      <c r="E44" s="464"/>
      <c r="F44" s="2"/>
      <c r="G44" s="2"/>
      <c r="H44" s="2"/>
      <c r="I44" s="2"/>
      <c r="J44" s="2"/>
      <c r="K44" s="2"/>
      <c r="L44" s="2"/>
      <c r="M44" s="2"/>
      <c r="N44" s="2"/>
      <c r="O44" s="2"/>
      <c r="P44" s="2"/>
      <c r="Q44" s="2"/>
    </row>
    <row r="45" ht="15.75" customHeight="1">
      <c r="B45" s="2"/>
      <c r="C45" s="2"/>
      <c r="D45" s="2"/>
      <c r="E45" s="464"/>
      <c r="F45" s="2"/>
      <c r="G45" s="2"/>
      <c r="H45" s="2"/>
      <c r="I45" s="2"/>
      <c r="J45" s="2"/>
      <c r="K45" s="2"/>
      <c r="L45" s="2"/>
      <c r="M45" s="2"/>
      <c r="N45" s="2"/>
      <c r="O45" s="2"/>
      <c r="P45" s="2"/>
      <c r="Q45" s="2"/>
    </row>
    <row r="46" ht="15.75" customHeight="1">
      <c r="B46" s="2"/>
      <c r="C46" s="2"/>
      <c r="D46" s="2"/>
      <c r="E46" s="464"/>
      <c r="F46" s="2"/>
      <c r="G46" s="2"/>
      <c r="H46" s="2"/>
      <c r="I46" s="2"/>
      <c r="J46" s="2"/>
      <c r="K46" s="2"/>
      <c r="L46" s="2"/>
      <c r="M46" s="2"/>
      <c r="N46" s="2"/>
      <c r="O46" s="2"/>
      <c r="P46" s="2"/>
      <c r="Q46" s="2"/>
    </row>
    <row r="47" ht="15.75" customHeight="1">
      <c r="B47" s="2"/>
      <c r="C47" s="2"/>
      <c r="D47" s="2"/>
      <c r="E47" s="464"/>
      <c r="F47" s="2"/>
      <c r="G47" s="2"/>
      <c r="H47" s="2"/>
      <c r="I47" s="2"/>
      <c r="J47" s="2"/>
      <c r="K47" s="2"/>
      <c r="L47" s="2"/>
      <c r="M47" s="2"/>
      <c r="N47" s="2"/>
      <c r="O47" s="2"/>
      <c r="P47" s="2"/>
      <c r="Q47" s="2"/>
    </row>
    <row r="48" ht="15.75" customHeight="1">
      <c r="B48" s="2"/>
      <c r="C48" s="2"/>
      <c r="D48" s="2"/>
      <c r="E48" s="464"/>
      <c r="F48" s="2"/>
      <c r="G48" s="2"/>
      <c r="H48" s="2"/>
      <c r="I48" s="2"/>
      <c r="J48" s="2"/>
      <c r="K48" s="2"/>
      <c r="L48" s="2"/>
      <c r="M48" s="2"/>
      <c r="N48" s="2"/>
      <c r="O48" s="2"/>
      <c r="P48" s="2"/>
      <c r="Q48" s="2"/>
    </row>
    <row r="49" ht="15.75" customHeight="1">
      <c r="B49" s="2"/>
      <c r="C49" s="2"/>
      <c r="D49" s="2"/>
      <c r="E49" s="464"/>
      <c r="F49" s="2"/>
      <c r="G49" s="2"/>
      <c r="H49" s="2"/>
      <c r="I49" s="2"/>
      <c r="J49" s="2"/>
      <c r="K49" s="2"/>
      <c r="L49" s="2"/>
      <c r="M49" s="2"/>
      <c r="N49" s="2"/>
      <c r="O49" s="2"/>
      <c r="P49" s="2"/>
      <c r="Q49" s="2"/>
    </row>
    <row r="50" ht="15.75" customHeight="1">
      <c r="B50" s="2"/>
      <c r="C50" s="2"/>
      <c r="D50" s="2"/>
      <c r="E50" s="464"/>
      <c r="F50" s="2"/>
      <c r="G50" s="2"/>
      <c r="H50" s="2"/>
      <c r="I50" s="2"/>
      <c r="J50" s="2"/>
      <c r="K50" s="2"/>
      <c r="L50" s="2"/>
      <c r="M50" s="2"/>
      <c r="N50" s="2"/>
      <c r="O50" s="2"/>
      <c r="P50" s="2"/>
      <c r="Q50" s="2"/>
    </row>
    <row r="51" ht="15.75" customHeight="1">
      <c r="B51" s="2"/>
      <c r="C51" s="2"/>
      <c r="D51" s="2"/>
      <c r="E51" s="464"/>
      <c r="F51" s="2"/>
      <c r="G51" s="2"/>
      <c r="H51" s="2"/>
      <c r="I51" s="2"/>
      <c r="J51" s="2"/>
      <c r="K51" s="2"/>
      <c r="L51" s="2"/>
      <c r="M51" s="2"/>
      <c r="N51" s="2"/>
      <c r="O51" s="2"/>
      <c r="P51" s="2"/>
      <c r="Q51" s="2"/>
    </row>
    <row r="52" ht="15.75" customHeight="1">
      <c r="B52" s="2"/>
      <c r="C52" s="2"/>
      <c r="D52" s="2"/>
      <c r="E52" s="464"/>
      <c r="F52" s="2"/>
      <c r="G52" s="2"/>
      <c r="H52" s="2"/>
      <c r="I52" s="2"/>
      <c r="J52" s="2"/>
      <c r="K52" s="2"/>
      <c r="L52" s="2"/>
      <c r="M52" s="2"/>
      <c r="N52" s="2"/>
      <c r="O52" s="2"/>
      <c r="P52" s="2"/>
      <c r="Q52" s="2"/>
    </row>
    <row r="53" ht="15.75" customHeight="1">
      <c r="B53" s="2"/>
      <c r="C53" s="2"/>
      <c r="D53" s="2"/>
      <c r="E53" s="464"/>
      <c r="F53" s="2"/>
      <c r="G53" s="2"/>
      <c r="H53" s="2"/>
      <c r="I53" s="2"/>
      <c r="J53" s="2"/>
      <c r="K53" s="2"/>
      <c r="L53" s="2"/>
      <c r="M53" s="2"/>
      <c r="N53" s="2"/>
      <c r="O53" s="2"/>
      <c r="P53" s="2"/>
      <c r="Q53" s="2"/>
    </row>
    <row r="54" ht="15.75" customHeight="1">
      <c r="B54" s="2"/>
      <c r="C54" s="2"/>
      <c r="D54" s="2"/>
      <c r="E54" s="464"/>
      <c r="F54" s="2"/>
      <c r="G54" s="2"/>
      <c r="H54" s="2"/>
      <c r="I54" s="2"/>
      <c r="J54" s="2"/>
      <c r="K54" s="2"/>
      <c r="L54" s="2"/>
      <c r="M54" s="2"/>
      <c r="N54" s="2"/>
      <c r="O54" s="2"/>
      <c r="P54" s="2"/>
      <c r="Q54" s="2"/>
    </row>
    <row r="55" ht="15.75" customHeight="1">
      <c r="B55" s="2"/>
      <c r="C55" s="2"/>
      <c r="D55" s="2"/>
      <c r="E55" s="464"/>
      <c r="F55" s="2"/>
      <c r="G55" s="2"/>
      <c r="H55" s="2"/>
      <c r="I55" s="2"/>
      <c r="J55" s="2"/>
      <c r="K55" s="2"/>
      <c r="L55" s="2"/>
      <c r="M55" s="2"/>
      <c r="N55" s="2"/>
      <c r="O55" s="2"/>
      <c r="P55" s="2"/>
      <c r="Q55" s="2"/>
    </row>
    <row r="56" ht="15.75" customHeight="1">
      <c r="B56" s="2"/>
      <c r="C56" s="2"/>
      <c r="D56" s="2"/>
      <c r="E56" s="464"/>
      <c r="F56" s="2"/>
      <c r="G56" s="2"/>
      <c r="H56" s="2"/>
      <c r="I56" s="2"/>
      <c r="J56" s="2"/>
      <c r="K56" s="2"/>
      <c r="L56" s="2"/>
      <c r="M56" s="2"/>
      <c r="N56" s="2"/>
      <c r="O56" s="2"/>
      <c r="P56" s="2"/>
      <c r="Q56" s="2"/>
    </row>
    <row r="57" ht="15.75" customHeight="1">
      <c r="B57" s="2"/>
      <c r="C57" s="2"/>
      <c r="D57" s="2"/>
      <c r="E57" s="464"/>
      <c r="F57" s="2"/>
      <c r="G57" s="2"/>
      <c r="H57" s="2"/>
      <c r="I57" s="2"/>
      <c r="J57" s="2"/>
      <c r="K57" s="2"/>
      <c r="L57" s="2"/>
      <c r="M57" s="2"/>
      <c r="N57" s="2"/>
      <c r="O57" s="2"/>
      <c r="P57" s="2"/>
      <c r="Q57" s="2"/>
    </row>
    <row r="58" ht="15.75" customHeight="1">
      <c r="B58" s="2"/>
      <c r="C58" s="2"/>
      <c r="D58" s="2"/>
      <c r="E58" s="464"/>
      <c r="F58" s="2"/>
      <c r="G58" s="2"/>
      <c r="H58" s="2"/>
      <c r="I58" s="2"/>
      <c r="J58" s="2"/>
      <c r="K58" s="2"/>
      <c r="L58" s="2"/>
      <c r="M58" s="2"/>
      <c r="N58" s="2"/>
      <c r="O58" s="2"/>
      <c r="P58" s="2"/>
      <c r="Q58" s="2"/>
    </row>
    <row r="59" ht="15.75" customHeight="1">
      <c r="B59" s="2"/>
      <c r="C59" s="2"/>
      <c r="D59" s="2"/>
      <c r="E59" s="464"/>
      <c r="F59" s="2"/>
      <c r="G59" s="2"/>
      <c r="H59" s="2"/>
      <c r="I59" s="2"/>
      <c r="J59" s="2"/>
      <c r="K59" s="2"/>
      <c r="L59" s="2"/>
      <c r="M59" s="2"/>
      <c r="N59" s="2"/>
      <c r="O59" s="2"/>
      <c r="P59" s="2"/>
      <c r="Q59" s="2"/>
    </row>
    <row r="60" ht="15.75" customHeight="1">
      <c r="B60" s="2"/>
      <c r="C60" s="2"/>
      <c r="D60" s="2"/>
      <c r="E60" s="464"/>
      <c r="F60" s="2"/>
      <c r="G60" s="2"/>
      <c r="H60" s="2"/>
      <c r="I60" s="2"/>
      <c r="J60" s="2"/>
      <c r="K60" s="2"/>
      <c r="L60" s="2"/>
      <c r="M60" s="2"/>
      <c r="N60" s="2"/>
      <c r="O60" s="2"/>
      <c r="P60" s="2"/>
      <c r="Q60" s="2"/>
    </row>
    <row r="61" ht="15.75" customHeight="1">
      <c r="B61" s="2"/>
      <c r="C61" s="2"/>
      <c r="D61" s="2"/>
      <c r="E61" s="464"/>
      <c r="F61" s="2"/>
      <c r="G61" s="2"/>
      <c r="H61" s="2"/>
      <c r="I61" s="2"/>
      <c r="J61" s="2"/>
      <c r="K61" s="2"/>
      <c r="L61" s="2"/>
      <c r="M61" s="2"/>
      <c r="N61" s="2"/>
      <c r="O61" s="2"/>
      <c r="P61" s="2"/>
      <c r="Q61" s="2"/>
    </row>
    <row r="62" ht="15.75" customHeight="1">
      <c r="B62" s="2"/>
      <c r="C62" s="2"/>
      <c r="D62" s="2"/>
      <c r="E62" s="464"/>
      <c r="F62" s="2"/>
      <c r="G62" s="2"/>
      <c r="H62" s="2"/>
      <c r="I62" s="2"/>
      <c r="J62" s="2"/>
      <c r="K62" s="2"/>
      <c r="L62" s="2"/>
      <c r="M62" s="2"/>
      <c r="N62" s="2"/>
      <c r="O62" s="2"/>
      <c r="P62" s="2"/>
      <c r="Q62" s="2"/>
    </row>
    <row r="63" ht="15.75" customHeight="1">
      <c r="B63" s="2"/>
      <c r="C63" s="2"/>
      <c r="D63" s="2"/>
      <c r="E63" s="464"/>
      <c r="F63" s="2"/>
      <c r="G63" s="2"/>
      <c r="H63" s="2"/>
      <c r="I63" s="2"/>
      <c r="J63" s="2"/>
      <c r="K63" s="2"/>
      <c r="L63" s="2"/>
      <c r="M63" s="2"/>
      <c r="N63" s="2"/>
      <c r="O63" s="2"/>
      <c r="P63" s="2"/>
      <c r="Q63" s="2"/>
    </row>
    <row r="64" ht="15.75" customHeight="1">
      <c r="B64" s="2"/>
      <c r="C64" s="2"/>
      <c r="D64" s="2"/>
      <c r="E64" s="464"/>
      <c r="F64" s="2"/>
      <c r="G64" s="2"/>
      <c r="H64" s="2"/>
      <c r="I64" s="2"/>
      <c r="J64" s="2"/>
      <c r="K64" s="2"/>
      <c r="L64" s="2"/>
      <c r="M64" s="2"/>
      <c r="N64" s="2"/>
      <c r="O64" s="2"/>
      <c r="P64" s="2"/>
      <c r="Q64" s="2"/>
    </row>
    <row r="65" ht="15.75" customHeight="1">
      <c r="B65" s="2"/>
      <c r="C65" s="2"/>
      <c r="D65" s="2"/>
      <c r="E65" s="464"/>
      <c r="F65" s="2"/>
      <c r="G65" s="2"/>
      <c r="H65" s="2"/>
      <c r="I65" s="2"/>
      <c r="J65" s="2"/>
      <c r="K65" s="2"/>
      <c r="L65" s="2"/>
      <c r="M65" s="2"/>
      <c r="N65" s="2"/>
      <c r="O65" s="2"/>
      <c r="P65" s="2"/>
      <c r="Q65" s="2"/>
    </row>
    <row r="66" ht="15.75" customHeight="1">
      <c r="B66" s="2"/>
      <c r="C66" s="2"/>
      <c r="D66" s="2"/>
      <c r="E66" s="464"/>
      <c r="F66" s="2"/>
      <c r="G66" s="2"/>
      <c r="H66" s="2"/>
      <c r="I66" s="2"/>
      <c r="J66" s="2"/>
      <c r="K66" s="2"/>
      <c r="L66" s="2"/>
      <c r="M66" s="2"/>
      <c r="N66" s="2"/>
      <c r="O66" s="2"/>
      <c r="P66" s="2"/>
      <c r="Q66" s="2"/>
    </row>
    <row r="67" ht="15.75" customHeight="1">
      <c r="B67" s="2"/>
      <c r="C67" s="2"/>
      <c r="D67" s="2"/>
      <c r="E67" s="464"/>
      <c r="F67" s="2"/>
      <c r="G67" s="2"/>
      <c r="H67" s="2"/>
      <c r="I67" s="2"/>
      <c r="J67" s="2"/>
      <c r="K67" s="2"/>
      <c r="L67" s="2"/>
      <c r="M67" s="2"/>
      <c r="N67" s="2"/>
      <c r="O67" s="2"/>
      <c r="P67" s="2"/>
      <c r="Q67" s="2"/>
    </row>
    <row r="68" ht="15.75" customHeight="1">
      <c r="B68" s="2"/>
      <c r="C68" s="2"/>
      <c r="D68" s="2"/>
      <c r="E68" s="464"/>
      <c r="F68" s="2"/>
      <c r="G68" s="2"/>
      <c r="H68" s="2"/>
      <c r="I68" s="2"/>
      <c r="J68" s="2"/>
      <c r="K68" s="2"/>
      <c r="L68" s="2"/>
      <c r="M68" s="2"/>
      <c r="N68" s="2"/>
      <c r="O68" s="2"/>
      <c r="P68" s="2"/>
      <c r="Q68" s="2"/>
    </row>
    <row r="69" ht="15.75" customHeight="1">
      <c r="B69" s="2"/>
      <c r="C69" s="2"/>
      <c r="D69" s="2"/>
      <c r="E69" s="464"/>
      <c r="F69" s="2"/>
      <c r="G69" s="2"/>
      <c r="H69" s="2"/>
      <c r="I69" s="2"/>
      <c r="J69" s="2"/>
      <c r="K69" s="2"/>
      <c r="L69" s="2"/>
      <c r="M69" s="2"/>
      <c r="N69" s="2"/>
      <c r="O69" s="2"/>
      <c r="P69" s="2"/>
      <c r="Q69" s="2"/>
    </row>
    <row r="70" ht="15.75" customHeight="1">
      <c r="B70" s="2"/>
      <c r="C70" s="2"/>
      <c r="D70" s="2"/>
      <c r="E70" s="464"/>
      <c r="F70" s="2"/>
      <c r="G70" s="2"/>
      <c r="H70" s="2"/>
      <c r="I70" s="2"/>
      <c r="J70" s="2"/>
      <c r="K70" s="2"/>
      <c r="L70" s="2"/>
      <c r="M70" s="2"/>
      <c r="N70" s="2"/>
      <c r="O70" s="2"/>
      <c r="P70" s="2"/>
      <c r="Q70" s="2"/>
    </row>
    <row r="71" ht="15.75" customHeight="1">
      <c r="B71" s="2"/>
      <c r="C71" s="2"/>
      <c r="D71" s="2"/>
      <c r="E71" s="464"/>
      <c r="F71" s="2"/>
      <c r="G71" s="2"/>
      <c r="H71" s="2"/>
      <c r="I71" s="2"/>
      <c r="J71" s="2"/>
      <c r="K71" s="2"/>
      <c r="L71" s="2"/>
      <c r="M71" s="2"/>
      <c r="N71" s="2"/>
      <c r="O71" s="2"/>
      <c r="P71" s="2"/>
      <c r="Q71" s="2"/>
    </row>
    <row r="72" ht="15.75" customHeight="1">
      <c r="B72" s="2"/>
      <c r="C72" s="2"/>
      <c r="D72" s="2"/>
      <c r="E72" s="464"/>
      <c r="F72" s="2"/>
      <c r="G72" s="2"/>
      <c r="H72" s="2"/>
      <c r="I72" s="2"/>
      <c r="J72" s="2"/>
      <c r="K72" s="2"/>
      <c r="L72" s="2"/>
      <c r="M72" s="2"/>
      <c r="N72" s="2"/>
      <c r="O72" s="2"/>
      <c r="P72" s="2"/>
      <c r="Q72" s="2"/>
    </row>
    <row r="73" ht="15.75" customHeight="1">
      <c r="B73" s="2"/>
      <c r="C73" s="2"/>
      <c r="D73" s="2"/>
      <c r="E73" s="464"/>
      <c r="F73" s="2"/>
      <c r="G73" s="2"/>
      <c r="H73" s="2"/>
      <c r="I73" s="2"/>
      <c r="J73" s="2"/>
      <c r="K73" s="2"/>
      <c r="L73" s="2"/>
      <c r="M73" s="2"/>
      <c r="N73" s="2"/>
      <c r="O73" s="2"/>
      <c r="P73" s="2"/>
      <c r="Q73" s="2"/>
    </row>
    <row r="74" ht="15.75" customHeight="1">
      <c r="B74" s="2"/>
      <c r="C74" s="2"/>
      <c r="D74" s="2"/>
      <c r="E74" s="464"/>
      <c r="F74" s="2"/>
      <c r="G74" s="2"/>
      <c r="H74" s="2"/>
      <c r="I74" s="2"/>
      <c r="J74" s="2"/>
      <c r="K74" s="2"/>
      <c r="L74" s="2"/>
      <c r="M74" s="2"/>
      <c r="N74" s="2"/>
      <c r="O74" s="2"/>
      <c r="P74" s="2"/>
      <c r="Q74" s="2"/>
    </row>
    <row r="75" ht="15.75" customHeight="1">
      <c r="B75" s="2"/>
      <c r="C75" s="2"/>
      <c r="D75" s="2"/>
      <c r="E75" s="464"/>
      <c r="F75" s="2"/>
      <c r="G75" s="2"/>
      <c r="H75" s="2"/>
      <c r="I75" s="2"/>
      <c r="J75" s="2"/>
      <c r="K75" s="2"/>
      <c r="L75" s="2"/>
      <c r="M75" s="2"/>
      <c r="N75" s="2"/>
      <c r="O75" s="2"/>
      <c r="P75" s="2"/>
      <c r="Q75" s="2"/>
    </row>
    <row r="76" ht="15.75" customHeight="1">
      <c r="B76" s="2"/>
      <c r="C76" s="2"/>
      <c r="D76" s="2"/>
      <c r="E76" s="464"/>
      <c r="F76" s="2"/>
      <c r="G76" s="2"/>
      <c r="H76" s="2"/>
      <c r="I76" s="2"/>
      <c r="J76" s="2"/>
      <c r="K76" s="2"/>
      <c r="L76" s="2"/>
      <c r="M76" s="2"/>
      <c r="N76" s="2"/>
      <c r="O76" s="2"/>
      <c r="P76" s="2"/>
      <c r="Q76" s="2"/>
    </row>
    <row r="77" ht="15.75" customHeight="1">
      <c r="B77" s="2"/>
      <c r="C77" s="2"/>
      <c r="D77" s="2"/>
      <c r="E77" s="464"/>
      <c r="F77" s="2"/>
      <c r="G77" s="2"/>
      <c r="H77" s="2"/>
      <c r="I77" s="2"/>
      <c r="J77" s="2"/>
      <c r="K77" s="2"/>
      <c r="L77" s="2"/>
      <c r="M77" s="2"/>
      <c r="N77" s="2"/>
      <c r="O77" s="2"/>
      <c r="P77" s="2"/>
      <c r="Q77" s="2"/>
    </row>
    <row r="78" ht="15.75" customHeight="1">
      <c r="B78" s="2"/>
      <c r="C78" s="2"/>
      <c r="D78" s="2"/>
      <c r="E78" s="464"/>
      <c r="F78" s="2"/>
      <c r="G78" s="2"/>
      <c r="H78" s="2"/>
      <c r="I78" s="2"/>
      <c r="J78" s="2"/>
      <c r="K78" s="2"/>
      <c r="L78" s="2"/>
      <c r="M78" s="2"/>
      <c r="N78" s="2"/>
      <c r="O78" s="2"/>
      <c r="P78" s="2"/>
      <c r="Q78" s="2"/>
    </row>
    <row r="79" ht="15.75" customHeight="1">
      <c r="B79" s="2"/>
      <c r="C79" s="2"/>
      <c r="D79" s="2"/>
      <c r="E79" s="464"/>
      <c r="F79" s="2"/>
      <c r="G79" s="2"/>
      <c r="H79" s="2"/>
      <c r="I79" s="2"/>
      <c r="J79" s="2"/>
      <c r="K79" s="2"/>
      <c r="L79" s="2"/>
      <c r="M79" s="2"/>
      <c r="N79" s="2"/>
      <c r="O79" s="2"/>
      <c r="P79" s="2"/>
      <c r="Q79" s="2"/>
    </row>
    <row r="80" ht="15.75" customHeight="1">
      <c r="B80" s="2"/>
      <c r="C80" s="2"/>
      <c r="D80" s="2"/>
      <c r="E80" s="464"/>
      <c r="F80" s="2"/>
      <c r="G80" s="2"/>
      <c r="H80" s="2"/>
      <c r="I80" s="2"/>
      <c r="J80" s="2"/>
      <c r="K80" s="2"/>
      <c r="L80" s="2"/>
      <c r="M80" s="2"/>
      <c r="N80" s="2"/>
      <c r="O80" s="2"/>
      <c r="P80" s="2"/>
      <c r="Q80" s="2"/>
    </row>
    <row r="81" ht="15.75" customHeight="1">
      <c r="B81" s="2"/>
      <c r="C81" s="2"/>
      <c r="D81" s="2"/>
      <c r="E81" s="464"/>
      <c r="F81" s="2"/>
      <c r="G81" s="2"/>
      <c r="H81" s="2"/>
      <c r="I81" s="2"/>
      <c r="J81" s="2"/>
      <c r="K81" s="2"/>
      <c r="L81" s="2"/>
      <c r="M81" s="2"/>
      <c r="N81" s="2"/>
      <c r="O81" s="2"/>
      <c r="P81" s="2"/>
      <c r="Q81" s="2"/>
    </row>
    <row r="82" ht="15.75" customHeight="1">
      <c r="B82" s="2"/>
      <c r="C82" s="2"/>
      <c r="D82" s="2"/>
      <c r="E82" s="464"/>
      <c r="F82" s="2"/>
      <c r="G82" s="2"/>
      <c r="H82" s="2"/>
      <c r="I82" s="2"/>
      <c r="J82" s="2"/>
      <c r="K82" s="2"/>
      <c r="L82" s="2"/>
      <c r="M82" s="2"/>
      <c r="N82" s="2"/>
      <c r="O82" s="2"/>
      <c r="P82" s="2"/>
      <c r="Q82" s="2"/>
    </row>
    <row r="83" ht="15.75" customHeight="1">
      <c r="B83" s="2"/>
      <c r="C83" s="2"/>
      <c r="D83" s="2"/>
      <c r="E83" s="464"/>
      <c r="F83" s="2"/>
      <c r="G83" s="2"/>
      <c r="H83" s="2"/>
      <c r="I83" s="2"/>
      <c r="J83" s="2"/>
      <c r="K83" s="2"/>
      <c r="L83" s="2"/>
      <c r="M83" s="2"/>
      <c r="N83" s="2"/>
      <c r="O83" s="2"/>
      <c r="P83" s="2"/>
      <c r="Q83" s="2"/>
    </row>
    <row r="84" ht="15.75" customHeight="1">
      <c r="B84" s="2"/>
      <c r="C84" s="2"/>
      <c r="D84" s="2"/>
      <c r="E84" s="464"/>
      <c r="F84" s="2"/>
      <c r="G84" s="2"/>
      <c r="H84" s="2"/>
      <c r="I84" s="2"/>
      <c r="J84" s="2"/>
      <c r="K84" s="2"/>
      <c r="L84" s="2"/>
      <c r="M84" s="2"/>
      <c r="N84" s="2"/>
      <c r="O84" s="2"/>
      <c r="P84" s="2"/>
      <c r="Q84" s="2"/>
    </row>
    <row r="85" ht="15.75" customHeight="1">
      <c r="B85" s="2"/>
      <c r="C85" s="2"/>
      <c r="D85" s="2"/>
      <c r="E85" s="464"/>
      <c r="F85" s="2"/>
      <c r="G85" s="2"/>
      <c r="H85" s="2"/>
      <c r="I85" s="2"/>
      <c r="J85" s="2"/>
      <c r="K85" s="2"/>
      <c r="L85" s="2"/>
      <c r="M85" s="2"/>
      <c r="N85" s="2"/>
      <c r="O85" s="2"/>
      <c r="P85" s="2"/>
      <c r="Q85" s="2"/>
    </row>
    <row r="86" ht="15.75" customHeight="1">
      <c r="B86" s="2"/>
      <c r="C86" s="2"/>
      <c r="D86" s="2"/>
      <c r="E86" s="464"/>
      <c r="F86" s="2"/>
      <c r="G86" s="2"/>
      <c r="H86" s="2"/>
      <c r="I86" s="2"/>
      <c r="J86" s="2"/>
      <c r="K86" s="2"/>
      <c r="L86" s="2"/>
      <c r="M86" s="2"/>
      <c r="N86" s="2"/>
      <c r="O86" s="2"/>
      <c r="P86" s="2"/>
      <c r="Q86" s="2"/>
    </row>
    <row r="87" ht="15.75" customHeight="1">
      <c r="B87" s="2"/>
      <c r="C87" s="2"/>
      <c r="D87" s="2"/>
      <c r="E87" s="464"/>
      <c r="F87" s="2"/>
      <c r="G87" s="2"/>
      <c r="H87" s="2"/>
      <c r="I87" s="2"/>
      <c r="J87" s="2"/>
      <c r="K87" s="2"/>
      <c r="L87" s="2"/>
      <c r="M87" s="2"/>
      <c r="N87" s="2"/>
      <c r="O87" s="2"/>
      <c r="P87" s="2"/>
      <c r="Q87" s="2"/>
    </row>
    <row r="88" ht="15.75" customHeight="1">
      <c r="B88" s="2"/>
      <c r="C88" s="2"/>
      <c r="D88" s="2"/>
      <c r="E88" s="464"/>
      <c r="F88" s="2"/>
      <c r="G88" s="2"/>
      <c r="H88" s="2"/>
      <c r="I88" s="2"/>
      <c r="J88" s="2"/>
      <c r="K88" s="2"/>
      <c r="L88" s="2"/>
      <c r="M88" s="2"/>
      <c r="N88" s="2"/>
      <c r="O88" s="2"/>
      <c r="P88" s="2"/>
      <c r="Q88" s="2"/>
    </row>
    <row r="89" ht="15.75" customHeight="1">
      <c r="B89" s="2"/>
      <c r="C89" s="2"/>
      <c r="D89" s="2"/>
      <c r="E89" s="464"/>
      <c r="F89" s="2"/>
      <c r="G89" s="2"/>
      <c r="H89" s="2"/>
      <c r="I89" s="2"/>
      <c r="J89" s="2"/>
      <c r="K89" s="2"/>
      <c r="L89" s="2"/>
      <c r="M89" s="2"/>
      <c r="N89" s="2"/>
      <c r="O89" s="2"/>
      <c r="P89" s="2"/>
      <c r="Q89" s="2"/>
    </row>
    <row r="90" ht="15.75" customHeight="1">
      <c r="B90" s="2"/>
      <c r="C90" s="2"/>
      <c r="D90" s="2"/>
      <c r="E90" s="464"/>
      <c r="F90" s="2"/>
      <c r="G90" s="2"/>
      <c r="H90" s="2"/>
      <c r="I90" s="2"/>
      <c r="J90" s="2"/>
      <c r="K90" s="2"/>
      <c r="L90" s="2"/>
      <c r="M90" s="2"/>
      <c r="N90" s="2"/>
      <c r="O90" s="2"/>
      <c r="P90" s="2"/>
      <c r="Q90" s="2"/>
    </row>
    <row r="91" ht="15.75" customHeight="1">
      <c r="B91" s="2"/>
      <c r="C91" s="2"/>
      <c r="D91" s="2"/>
      <c r="E91" s="464"/>
      <c r="F91" s="2"/>
      <c r="G91" s="2"/>
      <c r="H91" s="2"/>
      <c r="I91" s="2"/>
      <c r="J91" s="2"/>
      <c r="K91" s="2"/>
      <c r="L91" s="2"/>
      <c r="M91" s="2"/>
      <c r="N91" s="2"/>
      <c r="O91" s="2"/>
      <c r="P91" s="2"/>
      <c r="Q91" s="2"/>
    </row>
    <row r="92" ht="15.75" customHeight="1">
      <c r="B92" s="2"/>
      <c r="C92" s="2"/>
      <c r="D92" s="2"/>
      <c r="E92" s="464"/>
      <c r="F92" s="2"/>
      <c r="G92" s="2"/>
      <c r="H92" s="2"/>
      <c r="I92" s="2"/>
      <c r="J92" s="2"/>
      <c r="K92" s="2"/>
      <c r="L92" s="2"/>
      <c r="M92" s="2"/>
      <c r="N92" s="2"/>
      <c r="O92" s="2"/>
      <c r="P92" s="2"/>
      <c r="Q92" s="2"/>
    </row>
    <row r="93" ht="15.75" customHeight="1">
      <c r="B93" s="2"/>
      <c r="C93" s="2"/>
      <c r="D93" s="2"/>
      <c r="E93" s="464"/>
      <c r="F93" s="2"/>
      <c r="G93" s="2"/>
      <c r="H93" s="2"/>
      <c r="I93" s="2"/>
      <c r="J93" s="2"/>
      <c r="K93" s="2"/>
      <c r="L93" s="2"/>
      <c r="M93" s="2"/>
      <c r="N93" s="2"/>
      <c r="O93" s="2"/>
      <c r="P93" s="2"/>
      <c r="Q93" s="2"/>
    </row>
    <row r="94" ht="15.75" customHeight="1">
      <c r="B94" s="2"/>
      <c r="C94" s="2"/>
      <c r="D94" s="2"/>
      <c r="E94" s="464"/>
      <c r="F94" s="2"/>
      <c r="G94" s="2"/>
      <c r="H94" s="2"/>
      <c r="I94" s="2"/>
      <c r="J94" s="2"/>
      <c r="K94" s="2"/>
      <c r="L94" s="2"/>
      <c r="M94" s="2"/>
      <c r="N94" s="2"/>
      <c r="O94" s="2"/>
      <c r="P94" s="2"/>
      <c r="Q94" s="2"/>
    </row>
    <row r="95" ht="15.75" customHeight="1">
      <c r="B95" s="2"/>
      <c r="C95" s="2"/>
      <c r="D95" s="2"/>
      <c r="E95" s="464"/>
      <c r="F95" s="2"/>
      <c r="G95" s="2"/>
      <c r="H95" s="2"/>
      <c r="I95" s="2"/>
      <c r="J95" s="2"/>
      <c r="K95" s="2"/>
      <c r="L95" s="2"/>
      <c r="M95" s="2"/>
      <c r="N95" s="2"/>
      <c r="O95" s="2"/>
      <c r="P95" s="2"/>
      <c r="Q95" s="2"/>
    </row>
    <row r="96" ht="15.75" customHeight="1">
      <c r="B96" s="2"/>
      <c r="C96" s="2"/>
      <c r="D96" s="2"/>
      <c r="E96" s="464"/>
      <c r="F96" s="2"/>
      <c r="G96" s="2"/>
      <c r="H96" s="2"/>
      <c r="I96" s="2"/>
      <c r="J96" s="2"/>
      <c r="K96" s="2"/>
      <c r="L96" s="2"/>
      <c r="M96" s="2"/>
      <c r="N96" s="2"/>
      <c r="O96" s="2"/>
      <c r="P96" s="2"/>
      <c r="Q96" s="2"/>
    </row>
    <row r="97" ht="15.75" customHeight="1">
      <c r="B97" s="2"/>
      <c r="C97" s="2"/>
      <c r="D97" s="2"/>
      <c r="E97" s="464"/>
      <c r="F97" s="2"/>
      <c r="G97" s="2"/>
      <c r="H97" s="2"/>
      <c r="I97" s="2"/>
      <c r="J97" s="2"/>
      <c r="K97" s="2"/>
      <c r="L97" s="2"/>
      <c r="M97" s="2"/>
      <c r="N97" s="2"/>
      <c r="O97" s="2"/>
      <c r="P97" s="2"/>
      <c r="Q97" s="2"/>
    </row>
    <row r="98" ht="15.75" customHeight="1">
      <c r="B98" s="2"/>
      <c r="C98" s="2"/>
      <c r="D98" s="2"/>
      <c r="E98" s="464"/>
      <c r="F98" s="2"/>
      <c r="G98" s="2"/>
      <c r="H98" s="2"/>
      <c r="I98" s="2"/>
      <c r="J98" s="2"/>
      <c r="K98" s="2"/>
      <c r="L98" s="2"/>
      <c r="M98" s="2"/>
      <c r="N98" s="2"/>
      <c r="O98" s="2"/>
      <c r="P98" s="2"/>
      <c r="Q98" s="2"/>
    </row>
    <row r="99" ht="15.75" customHeight="1">
      <c r="B99" s="2"/>
      <c r="C99" s="2"/>
      <c r="D99" s="2"/>
      <c r="E99" s="464"/>
      <c r="F99" s="2"/>
      <c r="G99" s="2"/>
      <c r="H99" s="2"/>
      <c r="I99" s="2"/>
      <c r="J99" s="2"/>
      <c r="K99" s="2"/>
      <c r="L99" s="2"/>
      <c r="M99" s="2"/>
      <c r="N99" s="2"/>
      <c r="O99" s="2"/>
      <c r="P99" s="2"/>
      <c r="Q99" s="2"/>
    </row>
    <row r="100" ht="15.75" customHeight="1">
      <c r="B100" s="2"/>
      <c r="C100" s="2"/>
      <c r="D100" s="2"/>
      <c r="E100" s="464"/>
      <c r="F100" s="2"/>
      <c r="G100" s="2"/>
      <c r="H100" s="2"/>
      <c r="I100" s="2"/>
      <c r="J100" s="2"/>
      <c r="K100" s="2"/>
      <c r="L100" s="2"/>
      <c r="M100" s="2"/>
      <c r="N100" s="2"/>
      <c r="O100" s="2"/>
      <c r="P100" s="2"/>
      <c r="Q100" s="2"/>
    </row>
    <row r="101" ht="15.75" customHeight="1">
      <c r="B101" s="2"/>
      <c r="C101" s="2"/>
      <c r="D101" s="2"/>
      <c r="E101" s="464"/>
      <c r="F101" s="2"/>
      <c r="G101" s="2"/>
      <c r="H101" s="2"/>
      <c r="I101" s="2"/>
      <c r="J101" s="2"/>
      <c r="K101" s="2"/>
      <c r="L101" s="2"/>
      <c r="M101" s="2"/>
      <c r="N101" s="2"/>
      <c r="O101" s="2"/>
      <c r="P101" s="2"/>
      <c r="Q101" s="2"/>
    </row>
    <row r="102" ht="15.75" customHeight="1">
      <c r="B102" s="2"/>
      <c r="C102" s="2"/>
      <c r="D102" s="2"/>
      <c r="E102" s="464"/>
      <c r="F102" s="2"/>
      <c r="G102" s="2"/>
      <c r="H102" s="2"/>
      <c r="I102" s="2"/>
      <c r="J102" s="2"/>
      <c r="K102" s="2"/>
      <c r="L102" s="2"/>
      <c r="M102" s="2"/>
      <c r="N102" s="2"/>
      <c r="O102" s="2"/>
      <c r="P102" s="2"/>
      <c r="Q102" s="2"/>
    </row>
    <row r="103" ht="15.75" customHeight="1">
      <c r="B103" s="2"/>
      <c r="C103" s="2"/>
      <c r="D103" s="2"/>
      <c r="E103" s="464"/>
      <c r="F103" s="2"/>
      <c r="G103" s="2"/>
      <c r="H103" s="2"/>
      <c r="I103" s="2"/>
      <c r="J103" s="2"/>
      <c r="K103" s="2"/>
      <c r="L103" s="2"/>
      <c r="M103" s="2"/>
      <c r="N103" s="2"/>
      <c r="O103" s="2"/>
      <c r="P103" s="2"/>
      <c r="Q103" s="2"/>
    </row>
    <row r="104" ht="15.75" customHeight="1">
      <c r="B104" s="2"/>
      <c r="C104" s="2"/>
      <c r="D104" s="2"/>
      <c r="E104" s="464"/>
      <c r="F104" s="2"/>
      <c r="G104" s="2"/>
      <c r="H104" s="2"/>
      <c r="I104" s="2"/>
      <c r="J104" s="2"/>
      <c r="K104" s="2"/>
      <c r="L104" s="2"/>
      <c r="M104" s="2"/>
      <c r="N104" s="2"/>
      <c r="O104" s="2"/>
      <c r="P104" s="2"/>
      <c r="Q104" s="2"/>
    </row>
    <row r="105" ht="15.75" customHeight="1">
      <c r="B105" s="2"/>
      <c r="C105" s="2"/>
      <c r="D105" s="2"/>
      <c r="E105" s="464"/>
      <c r="F105" s="2"/>
      <c r="G105" s="2"/>
      <c r="H105" s="2"/>
      <c r="I105" s="2"/>
      <c r="J105" s="2"/>
      <c r="K105" s="2"/>
      <c r="L105" s="2"/>
      <c r="M105" s="2"/>
      <c r="N105" s="2"/>
      <c r="O105" s="2"/>
      <c r="P105" s="2"/>
      <c r="Q105" s="2"/>
    </row>
    <row r="106" ht="15.75" customHeight="1">
      <c r="B106" s="2"/>
      <c r="C106" s="2"/>
      <c r="D106" s="2"/>
      <c r="E106" s="464"/>
      <c r="F106" s="2"/>
      <c r="G106" s="2"/>
      <c r="H106" s="2"/>
      <c r="I106" s="2"/>
      <c r="J106" s="2"/>
      <c r="K106" s="2"/>
      <c r="L106" s="2"/>
      <c r="M106" s="2"/>
      <c r="N106" s="2"/>
      <c r="O106" s="2"/>
      <c r="P106" s="2"/>
      <c r="Q106" s="2"/>
    </row>
    <row r="107" ht="15.75" customHeight="1">
      <c r="B107" s="2"/>
      <c r="C107" s="2"/>
      <c r="D107" s="2"/>
      <c r="E107" s="464"/>
      <c r="F107" s="2"/>
      <c r="G107" s="2"/>
      <c r="H107" s="2"/>
      <c r="I107" s="2"/>
      <c r="J107" s="2"/>
      <c r="K107" s="2"/>
      <c r="L107" s="2"/>
      <c r="M107" s="2"/>
      <c r="N107" s="2"/>
      <c r="O107" s="2"/>
      <c r="P107" s="2"/>
      <c r="Q107" s="2"/>
    </row>
    <row r="108" ht="15.75" customHeight="1">
      <c r="B108" s="2"/>
      <c r="C108" s="2"/>
      <c r="D108" s="2"/>
      <c r="E108" s="464"/>
      <c r="F108" s="2"/>
      <c r="G108" s="2"/>
      <c r="H108" s="2"/>
      <c r="I108" s="2"/>
      <c r="J108" s="2"/>
      <c r="K108" s="2"/>
      <c r="L108" s="2"/>
      <c r="M108" s="2"/>
      <c r="N108" s="2"/>
      <c r="O108" s="2"/>
      <c r="P108" s="2"/>
      <c r="Q108" s="2"/>
    </row>
    <row r="109" ht="15.75" customHeight="1">
      <c r="B109" s="2"/>
      <c r="C109" s="2"/>
      <c r="D109" s="2"/>
      <c r="E109" s="464"/>
      <c r="F109" s="2"/>
      <c r="G109" s="2"/>
      <c r="H109" s="2"/>
      <c r="I109" s="2"/>
      <c r="J109" s="2"/>
      <c r="K109" s="2"/>
      <c r="L109" s="2"/>
      <c r="M109" s="2"/>
      <c r="N109" s="2"/>
      <c r="O109" s="2"/>
      <c r="P109" s="2"/>
      <c r="Q109" s="2"/>
    </row>
    <row r="110" ht="15.75" customHeight="1">
      <c r="B110" s="2"/>
      <c r="C110" s="2"/>
      <c r="D110" s="2"/>
      <c r="E110" s="464"/>
      <c r="F110" s="2"/>
      <c r="G110" s="2"/>
      <c r="H110" s="2"/>
      <c r="I110" s="2"/>
      <c r="J110" s="2"/>
      <c r="K110" s="2"/>
      <c r="L110" s="2"/>
      <c r="M110" s="2"/>
      <c r="N110" s="2"/>
      <c r="O110" s="2"/>
      <c r="P110" s="2"/>
      <c r="Q110" s="2"/>
    </row>
    <row r="111" ht="15.75" customHeight="1">
      <c r="B111" s="2"/>
      <c r="C111" s="2"/>
      <c r="D111" s="2"/>
      <c r="E111" s="464"/>
      <c r="F111" s="2"/>
      <c r="G111" s="2"/>
      <c r="H111" s="2"/>
      <c r="I111" s="2"/>
      <c r="J111" s="2"/>
      <c r="K111" s="2"/>
      <c r="L111" s="2"/>
      <c r="M111" s="2"/>
      <c r="N111" s="2"/>
      <c r="O111" s="2"/>
      <c r="P111" s="2"/>
      <c r="Q111" s="2"/>
    </row>
    <row r="112" ht="15.75" customHeight="1">
      <c r="B112" s="2"/>
      <c r="C112" s="2"/>
      <c r="D112" s="2"/>
      <c r="E112" s="464"/>
      <c r="F112" s="2"/>
      <c r="G112" s="2"/>
      <c r="H112" s="2"/>
      <c r="I112" s="2"/>
      <c r="J112" s="2"/>
      <c r="K112" s="2"/>
      <c r="L112" s="2"/>
      <c r="M112" s="2"/>
      <c r="N112" s="2"/>
      <c r="O112" s="2"/>
      <c r="P112" s="2"/>
      <c r="Q112" s="2"/>
    </row>
    <row r="113" ht="15.75" customHeight="1">
      <c r="B113" s="2"/>
      <c r="C113" s="2"/>
      <c r="D113" s="2"/>
      <c r="E113" s="464"/>
      <c r="F113" s="2"/>
      <c r="G113" s="2"/>
      <c r="H113" s="2"/>
      <c r="I113" s="2"/>
      <c r="J113" s="2"/>
      <c r="K113" s="2"/>
      <c r="L113" s="2"/>
      <c r="M113" s="2"/>
      <c r="N113" s="2"/>
      <c r="O113" s="2"/>
      <c r="P113" s="2"/>
      <c r="Q113" s="2"/>
    </row>
    <row r="114" ht="15.75" customHeight="1">
      <c r="B114" s="2"/>
      <c r="C114" s="2"/>
      <c r="D114" s="2"/>
      <c r="E114" s="464"/>
      <c r="F114" s="2"/>
      <c r="G114" s="2"/>
      <c r="H114" s="2"/>
      <c r="I114" s="2"/>
      <c r="J114" s="2"/>
      <c r="K114" s="2"/>
      <c r="L114" s="2"/>
      <c r="M114" s="2"/>
      <c r="N114" s="2"/>
      <c r="O114" s="2"/>
      <c r="P114" s="2"/>
      <c r="Q114" s="2"/>
    </row>
    <row r="115" ht="15.75" customHeight="1">
      <c r="B115" s="2"/>
      <c r="C115" s="2"/>
      <c r="D115" s="2"/>
      <c r="E115" s="464"/>
      <c r="F115" s="2"/>
      <c r="G115" s="2"/>
      <c r="H115" s="2"/>
      <c r="I115" s="2"/>
      <c r="J115" s="2"/>
      <c r="K115" s="2"/>
      <c r="L115" s="2"/>
      <c r="M115" s="2"/>
      <c r="N115" s="2"/>
      <c r="O115" s="2"/>
      <c r="P115" s="2"/>
      <c r="Q115" s="2"/>
    </row>
    <row r="116" ht="15.75" customHeight="1">
      <c r="B116" s="2"/>
      <c r="C116" s="2"/>
      <c r="D116" s="2"/>
      <c r="E116" s="464"/>
      <c r="F116" s="2"/>
      <c r="G116" s="2"/>
      <c r="H116" s="2"/>
      <c r="I116" s="2"/>
      <c r="J116" s="2"/>
      <c r="K116" s="2"/>
      <c r="L116" s="2"/>
      <c r="M116" s="2"/>
      <c r="N116" s="2"/>
      <c r="O116" s="2"/>
      <c r="P116" s="2"/>
      <c r="Q116" s="2"/>
    </row>
    <row r="117" ht="15.75" customHeight="1">
      <c r="B117" s="2"/>
      <c r="C117" s="2"/>
      <c r="D117" s="2"/>
      <c r="E117" s="464"/>
      <c r="F117" s="2"/>
      <c r="G117" s="2"/>
      <c r="H117" s="2"/>
      <c r="I117" s="2"/>
      <c r="J117" s="2"/>
      <c r="K117" s="2"/>
      <c r="L117" s="2"/>
      <c r="M117" s="2"/>
      <c r="N117" s="2"/>
      <c r="O117" s="2"/>
      <c r="P117" s="2"/>
      <c r="Q117" s="2"/>
    </row>
    <row r="118" ht="15.75" customHeight="1">
      <c r="B118" s="2"/>
      <c r="C118" s="2"/>
      <c r="D118" s="2"/>
      <c r="E118" s="464"/>
      <c r="F118" s="2"/>
      <c r="G118" s="2"/>
      <c r="H118" s="2"/>
      <c r="I118" s="2"/>
      <c r="J118" s="2"/>
      <c r="K118" s="2"/>
      <c r="L118" s="2"/>
      <c r="M118" s="2"/>
      <c r="N118" s="2"/>
      <c r="O118" s="2"/>
      <c r="P118" s="2"/>
      <c r="Q118" s="2"/>
    </row>
    <row r="119" ht="15.75" customHeight="1">
      <c r="B119" s="2"/>
      <c r="C119" s="2"/>
      <c r="D119" s="2"/>
      <c r="E119" s="464"/>
      <c r="F119" s="2"/>
      <c r="G119" s="2"/>
      <c r="H119" s="2"/>
      <c r="I119" s="2"/>
      <c r="J119" s="2"/>
      <c r="K119" s="2"/>
      <c r="L119" s="2"/>
      <c r="M119" s="2"/>
      <c r="N119" s="2"/>
      <c r="O119" s="2"/>
      <c r="P119" s="2"/>
      <c r="Q119" s="2"/>
    </row>
    <row r="120" ht="15.75" customHeight="1">
      <c r="B120" s="2"/>
      <c r="C120" s="2"/>
      <c r="D120" s="2"/>
      <c r="E120" s="464"/>
      <c r="F120" s="2"/>
      <c r="G120" s="2"/>
      <c r="H120" s="2"/>
      <c r="I120" s="2"/>
      <c r="J120" s="2"/>
      <c r="K120" s="2"/>
      <c r="L120" s="2"/>
      <c r="M120" s="2"/>
      <c r="N120" s="2"/>
      <c r="O120" s="2"/>
      <c r="P120" s="2"/>
      <c r="Q120" s="2"/>
    </row>
    <row r="121" ht="15.75" customHeight="1">
      <c r="B121" s="2"/>
      <c r="C121" s="2"/>
      <c r="D121" s="2"/>
      <c r="E121" s="464"/>
      <c r="F121" s="2"/>
      <c r="G121" s="2"/>
      <c r="H121" s="2"/>
      <c r="I121" s="2"/>
      <c r="J121" s="2"/>
      <c r="K121" s="2"/>
      <c r="L121" s="2"/>
      <c r="M121" s="2"/>
      <c r="N121" s="2"/>
      <c r="O121" s="2"/>
      <c r="P121" s="2"/>
      <c r="Q121" s="2"/>
    </row>
    <row r="122" ht="15.75" customHeight="1">
      <c r="B122" s="2"/>
      <c r="C122" s="2"/>
      <c r="D122" s="2"/>
      <c r="E122" s="464"/>
      <c r="F122" s="2"/>
      <c r="G122" s="2"/>
      <c r="H122" s="2"/>
      <c r="I122" s="2"/>
      <c r="J122" s="2"/>
      <c r="K122" s="2"/>
      <c r="L122" s="2"/>
      <c r="M122" s="2"/>
      <c r="N122" s="2"/>
      <c r="O122" s="2"/>
      <c r="P122" s="2"/>
      <c r="Q122" s="2"/>
    </row>
    <row r="123" ht="15.75" customHeight="1">
      <c r="B123" s="2"/>
      <c r="C123" s="2"/>
      <c r="D123" s="2"/>
      <c r="E123" s="464"/>
      <c r="F123" s="2"/>
      <c r="G123" s="2"/>
      <c r="H123" s="2"/>
      <c r="I123" s="2"/>
      <c r="J123" s="2"/>
      <c r="K123" s="2"/>
      <c r="L123" s="2"/>
      <c r="M123" s="2"/>
      <c r="N123" s="2"/>
      <c r="O123" s="2"/>
      <c r="P123" s="2"/>
      <c r="Q123" s="2"/>
    </row>
    <row r="124" ht="15.75" customHeight="1">
      <c r="B124" s="2"/>
      <c r="C124" s="2"/>
      <c r="D124" s="2"/>
      <c r="E124" s="464"/>
      <c r="F124" s="2"/>
      <c r="G124" s="2"/>
      <c r="H124" s="2"/>
      <c r="I124" s="2"/>
      <c r="J124" s="2"/>
      <c r="K124" s="2"/>
      <c r="L124" s="2"/>
      <c r="M124" s="2"/>
      <c r="N124" s="2"/>
      <c r="O124" s="2"/>
      <c r="P124" s="2"/>
      <c r="Q124" s="2"/>
    </row>
    <row r="125" ht="15.75" customHeight="1">
      <c r="B125" s="2"/>
      <c r="C125" s="2"/>
      <c r="D125" s="2"/>
      <c r="E125" s="464"/>
      <c r="F125" s="2"/>
      <c r="G125" s="2"/>
      <c r="H125" s="2"/>
      <c r="I125" s="2"/>
      <c r="J125" s="2"/>
      <c r="K125" s="2"/>
      <c r="L125" s="2"/>
      <c r="M125" s="2"/>
      <c r="N125" s="2"/>
      <c r="O125" s="2"/>
      <c r="P125" s="2"/>
      <c r="Q125" s="2"/>
    </row>
    <row r="126" ht="15.75" customHeight="1">
      <c r="B126" s="2"/>
      <c r="C126" s="2"/>
      <c r="D126" s="2"/>
      <c r="E126" s="464"/>
      <c r="F126" s="2"/>
      <c r="G126" s="2"/>
      <c r="H126" s="2"/>
      <c r="I126" s="2"/>
      <c r="J126" s="2"/>
      <c r="K126" s="2"/>
      <c r="L126" s="2"/>
      <c r="M126" s="2"/>
      <c r="N126" s="2"/>
      <c r="O126" s="2"/>
      <c r="P126" s="2"/>
      <c r="Q126" s="2"/>
    </row>
    <row r="127" ht="15.75" customHeight="1">
      <c r="B127" s="2"/>
      <c r="C127" s="2"/>
      <c r="D127" s="2"/>
      <c r="E127" s="464"/>
      <c r="F127" s="2"/>
      <c r="G127" s="2"/>
      <c r="H127" s="2"/>
      <c r="I127" s="2"/>
      <c r="J127" s="2"/>
      <c r="K127" s="2"/>
      <c r="L127" s="2"/>
      <c r="M127" s="2"/>
      <c r="N127" s="2"/>
      <c r="O127" s="2"/>
      <c r="P127" s="2"/>
      <c r="Q127" s="2"/>
    </row>
    <row r="128" ht="15.75" customHeight="1">
      <c r="B128" s="2"/>
      <c r="C128" s="2"/>
      <c r="D128" s="2"/>
      <c r="E128" s="464"/>
      <c r="F128" s="2"/>
      <c r="G128" s="2"/>
      <c r="H128" s="2"/>
      <c r="I128" s="2"/>
      <c r="J128" s="2"/>
      <c r="K128" s="2"/>
      <c r="L128" s="2"/>
      <c r="M128" s="2"/>
      <c r="N128" s="2"/>
      <c r="O128" s="2"/>
      <c r="P128" s="2"/>
      <c r="Q128" s="2"/>
    </row>
    <row r="129" ht="15.75" customHeight="1">
      <c r="B129" s="2"/>
      <c r="C129" s="2"/>
      <c r="D129" s="2"/>
      <c r="E129" s="464"/>
      <c r="F129" s="2"/>
      <c r="G129" s="2"/>
      <c r="H129" s="2"/>
      <c r="I129" s="2"/>
      <c r="J129" s="2"/>
      <c r="K129" s="2"/>
      <c r="L129" s="2"/>
      <c r="M129" s="2"/>
      <c r="N129" s="2"/>
      <c r="O129" s="2"/>
      <c r="P129" s="2"/>
      <c r="Q129" s="2"/>
    </row>
    <row r="130" ht="15.75" customHeight="1">
      <c r="B130" s="2"/>
      <c r="C130" s="2"/>
      <c r="D130" s="2"/>
      <c r="E130" s="464"/>
      <c r="F130" s="2"/>
      <c r="G130" s="2"/>
      <c r="H130" s="2"/>
      <c r="I130" s="2"/>
      <c r="J130" s="2"/>
      <c r="K130" s="2"/>
      <c r="L130" s="2"/>
      <c r="M130" s="2"/>
      <c r="N130" s="2"/>
      <c r="O130" s="2"/>
      <c r="P130" s="2"/>
      <c r="Q130" s="2"/>
    </row>
    <row r="131" ht="15.75" customHeight="1">
      <c r="B131" s="2"/>
      <c r="C131" s="2"/>
      <c r="D131" s="2"/>
      <c r="E131" s="464"/>
      <c r="F131" s="2"/>
      <c r="G131" s="2"/>
      <c r="H131" s="2"/>
      <c r="I131" s="2"/>
      <c r="J131" s="2"/>
      <c r="K131" s="2"/>
      <c r="L131" s="2"/>
      <c r="M131" s="2"/>
      <c r="N131" s="2"/>
      <c r="O131" s="2"/>
      <c r="P131" s="2"/>
      <c r="Q131" s="2"/>
    </row>
    <row r="132" ht="15.75" customHeight="1">
      <c r="B132" s="2"/>
      <c r="C132" s="2"/>
      <c r="D132" s="2"/>
      <c r="E132" s="464"/>
      <c r="F132" s="2"/>
      <c r="G132" s="2"/>
      <c r="H132" s="2"/>
      <c r="I132" s="2"/>
      <c r="J132" s="2"/>
      <c r="K132" s="2"/>
      <c r="L132" s="2"/>
      <c r="M132" s="2"/>
      <c r="N132" s="2"/>
      <c r="O132" s="2"/>
      <c r="P132" s="2"/>
      <c r="Q132" s="2"/>
    </row>
    <row r="133" ht="15.75" customHeight="1">
      <c r="B133" s="2"/>
      <c r="C133" s="2"/>
      <c r="D133" s="2"/>
      <c r="E133" s="464"/>
      <c r="F133" s="2"/>
      <c r="G133" s="2"/>
      <c r="H133" s="2"/>
      <c r="I133" s="2"/>
      <c r="J133" s="2"/>
      <c r="K133" s="2"/>
      <c r="L133" s="2"/>
      <c r="M133" s="2"/>
      <c r="N133" s="2"/>
      <c r="O133" s="2"/>
      <c r="P133" s="2"/>
      <c r="Q133" s="2"/>
    </row>
    <row r="134" ht="15.75" customHeight="1">
      <c r="B134" s="2"/>
      <c r="C134" s="2"/>
      <c r="D134" s="2"/>
      <c r="E134" s="464"/>
      <c r="F134" s="2"/>
      <c r="G134" s="2"/>
      <c r="H134" s="2"/>
      <c r="I134" s="2"/>
      <c r="J134" s="2"/>
      <c r="K134" s="2"/>
      <c r="L134" s="2"/>
      <c r="M134" s="2"/>
      <c r="N134" s="2"/>
      <c r="O134" s="2"/>
      <c r="P134" s="2"/>
      <c r="Q134" s="2"/>
    </row>
    <row r="135" ht="15.75" customHeight="1">
      <c r="B135" s="2"/>
      <c r="C135" s="2"/>
      <c r="D135" s="2"/>
      <c r="E135" s="464"/>
      <c r="F135" s="2"/>
      <c r="G135" s="2"/>
      <c r="H135" s="2"/>
      <c r="I135" s="2"/>
      <c r="J135" s="2"/>
      <c r="K135" s="2"/>
      <c r="L135" s="2"/>
      <c r="M135" s="2"/>
      <c r="N135" s="2"/>
      <c r="O135" s="2"/>
      <c r="P135" s="2"/>
      <c r="Q135" s="2"/>
    </row>
    <row r="136" ht="15.75" customHeight="1">
      <c r="B136" s="2"/>
      <c r="C136" s="2"/>
      <c r="D136" s="2"/>
      <c r="E136" s="464"/>
      <c r="F136" s="2"/>
      <c r="G136" s="2"/>
      <c r="H136" s="2"/>
      <c r="I136" s="2"/>
      <c r="J136" s="2"/>
      <c r="K136" s="2"/>
      <c r="L136" s="2"/>
      <c r="M136" s="2"/>
      <c r="N136" s="2"/>
      <c r="O136" s="2"/>
      <c r="P136" s="2"/>
      <c r="Q136" s="2"/>
    </row>
    <row r="137" ht="15.75" customHeight="1">
      <c r="B137" s="2"/>
      <c r="C137" s="2"/>
      <c r="D137" s="2"/>
      <c r="E137" s="464"/>
      <c r="F137" s="2"/>
      <c r="G137" s="2"/>
      <c r="H137" s="2"/>
      <c r="I137" s="2"/>
      <c r="J137" s="2"/>
      <c r="K137" s="2"/>
      <c r="L137" s="2"/>
      <c r="M137" s="2"/>
      <c r="N137" s="2"/>
      <c r="O137" s="2"/>
      <c r="P137" s="2"/>
      <c r="Q137" s="2"/>
    </row>
    <row r="138" ht="15.75" customHeight="1">
      <c r="B138" s="2"/>
      <c r="C138" s="2"/>
      <c r="D138" s="2"/>
      <c r="E138" s="464"/>
      <c r="F138" s="2"/>
      <c r="G138" s="2"/>
      <c r="H138" s="2"/>
      <c r="I138" s="2"/>
      <c r="J138" s="2"/>
      <c r="K138" s="2"/>
      <c r="L138" s="2"/>
      <c r="M138" s="2"/>
      <c r="N138" s="2"/>
      <c r="O138" s="2"/>
      <c r="P138" s="2"/>
      <c r="Q138" s="2"/>
    </row>
    <row r="139" ht="15.75" customHeight="1">
      <c r="B139" s="2"/>
      <c r="C139" s="2"/>
      <c r="D139" s="2"/>
      <c r="E139" s="464"/>
      <c r="F139" s="2"/>
      <c r="G139" s="2"/>
      <c r="H139" s="2"/>
      <c r="I139" s="2"/>
      <c r="J139" s="2"/>
      <c r="K139" s="2"/>
      <c r="L139" s="2"/>
      <c r="M139" s="2"/>
      <c r="N139" s="2"/>
      <c r="O139" s="2"/>
      <c r="P139" s="2"/>
      <c r="Q139" s="2"/>
    </row>
    <row r="140" ht="15.75" customHeight="1">
      <c r="B140" s="2"/>
      <c r="C140" s="2"/>
      <c r="D140" s="2"/>
      <c r="E140" s="464"/>
      <c r="F140" s="2"/>
      <c r="G140" s="2"/>
      <c r="H140" s="2"/>
      <c r="I140" s="2"/>
      <c r="J140" s="2"/>
      <c r="K140" s="2"/>
      <c r="L140" s="2"/>
      <c r="M140" s="2"/>
      <c r="N140" s="2"/>
      <c r="O140" s="2"/>
      <c r="P140" s="2"/>
      <c r="Q140" s="2"/>
    </row>
    <row r="141" ht="15.75" customHeight="1">
      <c r="B141" s="2"/>
      <c r="C141" s="2"/>
      <c r="D141" s="2"/>
      <c r="E141" s="464"/>
      <c r="F141" s="2"/>
      <c r="G141" s="2"/>
      <c r="H141" s="2"/>
      <c r="I141" s="2"/>
      <c r="J141" s="2"/>
      <c r="K141" s="2"/>
      <c r="L141" s="2"/>
      <c r="M141" s="2"/>
      <c r="N141" s="2"/>
      <c r="O141" s="2"/>
      <c r="P141" s="2"/>
      <c r="Q141" s="2"/>
    </row>
    <row r="142" ht="15.75" customHeight="1">
      <c r="B142" s="2"/>
      <c r="C142" s="2"/>
      <c r="D142" s="2"/>
      <c r="E142" s="464"/>
      <c r="F142" s="2"/>
      <c r="G142" s="2"/>
      <c r="H142" s="2"/>
      <c r="I142" s="2"/>
      <c r="J142" s="2"/>
      <c r="K142" s="2"/>
      <c r="L142" s="2"/>
      <c r="M142" s="2"/>
      <c r="N142" s="2"/>
      <c r="O142" s="2"/>
      <c r="P142" s="2"/>
      <c r="Q142" s="2"/>
    </row>
    <row r="143" ht="15.75" customHeight="1">
      <c r="B143" s="2"/>
      <c r="C143" s="2"/>
      <c r="D143" s="2"/>
      <c r="E143" s="464"/>
      <c r="F143" s="2"/>
      <c r="G143" s="2"/>
      <c r="H143" s="2"/>
      <c r="I143" s="2"/>
      <c r="J143" s="2"/>
      <c r="K143" s="2"/>
      <c r="L143" s="2"/>
      <c r="M143" s="2"/>
      <c r="N143" s="2"/>
      <c r="O143" s="2"/>
      <c r="P143" s="2"/>
      <c r="Q143" s="2"/>
    </row>
    <row r="144" ht="15.75" customHeight="1">
      <c r="B144" s="2"/>
      <c r="C144" s="2"/>
      <c r="D144" s="2"/>
      <c r="E144" s="464"/>
      <c r="F144" s="2"/>
      <c r="G144" s="2"/>
      <c r="H144" s="2"/>
      <c r="I144" s="2"/>
      <c r="J144" s="2"/>
      <c r="K144" s="2"/>
      <c r="L144" s="2"/>
      <c r="M144" s="2"/>
      <c r="N144" s="2"/>
      <c r="O144" s="2"/>
      <c r="P144" s="2"/>
      <c r="Q144" s="2"/>
    </row>
    <row r="145" ht="15.75" customHeight="1">
      <c r="B145" s="2"/>
      <c r="C145" s="2"/>
      <c r="D145" s="2"/>
      <c r="E145" s="464"/>
      <c r="F145" s="2"/>
      <c r="G145" s="2"/>
      <c r="H145" s="2"/>
      <c r="I145" s="2"/>
      <c r="J145" s="2"/>
      <c r="K145" s="2"/>
      <c r="L145" s="2"/>
      <c r="M145" s="2"/>
      <c r="N145" s="2"/>
      <c r="O145" s="2"/>
      <c r="P145" s="2"/>
      <c r="Q145" s="2"/>
    </row>
    <row r="146" ht="15.75" customHeight="1">
      <c r="B146" s="2"/>
      <c r="C146" s="2"/>
      <c r="D146" s="2"/>
      <c r="E146" s="464"/>
      <c r="F146" s="2"/>
      <c r="G146" s="2"/>
      <c r="H146" s="2"/>
      <c r="I146" s="2"/>
      <c r="J146" s="2"/>
      <c r="K146" s="2"/>
      <c r="L146" s="2"/>
      <c r="M146" s="2"/>
      <c r="N146" s="2"/>
      <c r="O146" s="2"/>
      <c r="P146" s="2"/>
      <c r="Q146" s="2"/>
    </row>
    <row r="147" ht="15.75" customHeight="1">
      <c r="B147" s="2"/>
      <c r="C147" s="2"/>
      <c r="D147" s="2"/>
      <c r="E147" s="464"/>
      <c r="F147" s="2"/>
      <c r="G147" s="2"/>
      <c r="H147" s="2"/>
      <c r="I147" s="2"/>
      <c r="J147" s="2"/>
      <c r="K147" s="2"/>
      <c r="L147" s="2"/>
      <c r="M147" s="2"/>
      <c r="N147" s="2"/>
      <c r="O147" s="2"/>
      <c r="P147" s="2"/>
      <c r="Q147" s="2"/>
    </row>
    <row r="148" ht="15.75" customHeight="1">
      <c r="B148" s="2"/>
      <c r="C148" s="2"/>
      <c r="D148" s="2"/>
      <c r="E148" s="464"/>
      <c r="F148" s="2"/>
      <c r="G148" s="2"/>
      <c r="H148" s="2"/>
      <c r="I148" s="2"/>
      <c r="J148" s="2"/>
      <c r="K148" s="2"/>
      <c r="L148" s="2"/>
      <c r="M148" s="2"/>
      <c r="N148" s="2"/>
      <c r="O148" s="2"/>
      <c r="P148" s="2"/>
      <c r="Q148" s="2"/>
    </row>
    <row r="149" ht="15.75" customHeight="1">
      <c r="B149" s="2"/>
      <c r="C149" s="2"/>
      <c r="D149" s="2"/>
      <c r="E149" s="464"/>
      <c r="F149" s="2"/>
      <c r="G149" s="2"/>
      <c r="H149" s="2"/>
      <c r="I149" s="2"/>
      <c r="J149" s="2"/>
      <c r="K149" s="2"/>
      <c r="L149" s="2"/>
      <c r="M149" s="2"/>
      <c r="N149" s="2"/>
      <c r="O149" s="2"/>
      <c r="P149" s="2"/>
      <c r="Q149" s="2"/>
    </row>
    <row r="150" ht="15.75" customHeight="1">
      <c r="B150" s="2"/>
      <c r="C150" s="2"/>
      <c r="D150" s="2"/>
      <c r="E150" s="464"/>
      <c r="F150" s="2"/>
      <c r="G150" s="2"/>
      <c r="H150" s="2"/>
      <c r="I150" s="2"/>
      <c r="J150" s="2"/>
      <c r="K150" s="2"/>
      <c r="L150" s="2"/>
      <c r="M150" s="2"/>
      <c r="N150" s="2"/>
      <c r="O150" s="2"/>
      <c r="P150" s="2"/>
      <c r="Q150" s="2"/>
    </row>
    <row r="151" ht="15.75" customHeight="1">
      <c r="B151" s="2"/>
      <c r="C151" s="2"/>
      <c r="D151" s="2"/>
      <c r="E151" s="464"/>
      <c r="F151" s="2"/>
      <c r="G151" s="2"/>
      <c r="H151" s="2"/>
      <c r="I151" s="2"/>
      <c r="J151" s="2"/>
      <c r="K151" s="2"/>
      <c r="L151" s="2"/>
      <c r="M151" s="2"/>
      <c r="N151" s="2"/>
      <c r="O151" s="2"/>
      <c r="P151" s="2"/>
      <c r="Q151" s="2"/>
    </row>
    <row r="152" ht="15.75" customHeight="1">
      <c r="B152" s="2"/>
      <c r="C152" s="2"/>
      <c r="D152" s="2"/>
      <c r="E152" s="464"/>
      <c r="F152" s="2"/>
      <c r="G152" s="2"/>
      <c r="H152" s="2"/>
      <c r="I152" s="2"/>
      <c r="J152" s="2"/>
      <c r="K152" s="2"/>
      <c r="L152" s="2"/>
      <c r="M152" s="2"/>
      <c r="N152" s="2"/>
      <c r="O152" s="2"/>
      <c r="P152" s="2"/>
      <c r="Q152" s="2"/>
    </row>
    <row r="153" ht="15.75" customHeight="1">
      <c r="B153" s="2"/>
      <c r="C153" s="2"/>
      <c r="D153" s="2"/>
      <c r="E153" s="464"/>
      <c r="F153" s="2"/>
      <c r="G153" s="2"/>
      <c r="H153" s="2"/>
      <c r="I153" s="2"/>
      <c r="J153" s="2"/>
      <c r="K153" s="2"/>
      <c r="L153" s="2"/>
      <c r="M153" s="2"/>
      <c r="N153" s="2"/>
      <c r="O153" s="2"/>
      <c r="P153" s="2"/>
      <c r="Q153" s="2"/>
    </row>
    <row r="154" ht="15.75" customHeight="1">
      <c r="B154" s="2"/>
      <c r="C154" s="2"/>
      <c r="D154" s="2"/>
      <c r="E154" s="464"/>
      <c r="F154" s="2"/>
      <c r="G154" s="2"/>
      <c r="H154" s="2"/>
      <c r="I154" s="2"/>
      <c r="J154" s="2"/>
      <c r="K154" s="2"/>
      <c r="L154" s="2"/>
      <c r="M154" s="2"/>
      <c r="N154" s="2"/>
      <c r="O154" s="2"/>
      <c r="P154" s="2"/>
      <c r="Q154" s="2"/>
    </row>
    <row r="155" ht="15.75" customHeight="1">
      <c r="B155" s="2"/>
      <c r="C155" s="2"/>
      <c r="D155" s="2"/>
      <c r="E155" s="464"/>
      <c r="F155" s="2"/>
      <c r="G155" s="2"/>
      <c r="H155" s="2"/>
      <c r="I155" s="2"/>
      <c r="J155" s="2"/>
      <c r="K155" s="2"/>
      <c r="L155" s="2"/>
      <c r="M155" s="2"/>
      <c r="N155" s="2"/>
      <c r="O155" s="2"/>
      <c r="P155" s="2"/>
      <c r="Q155" s="2"/>
    </row>
    <row r="156" ht="15.75" customHeight="1">
      <c r="B156" s="2"/>
      <c r="C156" s="2"/>
      <c r="D156" s="2"/>
      <c r="E156" s="464"/>
      <c r="F156" s="2"/>
      <c r="G156" s="2"/>
      <c r="H156" s="2"/>
      <c r="I156" s="2"/>
      <c r="J156" s="2"/>
      <c r="K156" s="2"/>
      <c r="L156" s="2"/>
      <c r="M156" s="2"/>
      <c r="N156" s="2"/>
      <c r="O156" s="2"/>
      <c r="P156" s="2"/>
      <c r="Q156" s="2"/>
    </row>
    <row r="157" ht="15.75" customHeight="1">
      <c r="B157" s="2"/>
      <c r="C157" s="2"/>
      <c r="D157" s="2"/>
      <c r="E157" s="464"/>
      <c r="F157" s="2"/>
      <c r="G157" s="2"/>
      <c r="H157" s="2"/>
      <c r="I157" s="2"/>
      <c r="J157" s="2"/>
      <c r="K157" s="2"/>
      <c r="L157" s="2"/>
      <c r="M157" s="2"/>
      <c r="N157" s="2"/>
      <c r="O157" s="2"/>
      <c r="P157" s="2"/>
      <c r="Q157" s="2"/>
    </row>
    <row r="158" ht="15.75" customHeight="1">
      <c r="B158" s="2"/>
      <c r="C158" s="2"/>
      <c r="D158" s="2"/>
      <c r="E158" s="464"/>
      <c r="F158" s="2"/>
      <c r="G158" s="2"/>
      <c r="H158" s="2"/>
      <c r="I158" s="2"/>
      <c r="J158" s="2"/>
      <c r="K158" s="2"/>
      <c r="L158" s="2"/>
      <c r="M158" s="2"/>
      <c r="N158" s="2"/>
      <c r="O158" s="2"/>
      <c r="P158" s="2"/>
      <c r="Q158" s="2"/>
    </row>
    <row r="159" ht="15.75" customHeight="1">
      <c r="B159" s="2"/>
      <c r="C159" s="2"/>
      <c r="D159" s="2"/>
      <c r="E159" s="464"/>
      <c r="F159" s="2"/>
      <c r="G159" s="2"/>
      <c r="H159" s="2"/>
      <c r="I159" s="2"/>
      <c r="J159" s="2"/>
      <c r="K159" s="2"/>
      <c r="L159" s="2"/>
      <c r="M159" s="2"/>
      <c r="N159" s="2"/>
      <c r="O159" s="2"/>
      <c r="P159" s="2"/>
      <c r="Q159" s="2"/>
    </row>
    <row r="160" ht="15.75" customHeight="1">
      <c r="B160" s="2"/>
      <c r="C160" s="2"/>
      <c r="D160" s="2"/>
      <c r="E160" s="464"/>
      <c r="F160" s="2"/>
      <c r="G160" s="2"/>
      <c r="H160" s="2"/>
      <c r="I160" s="2"/>
      <c r="J160" s="2"/>
      <c r="K160" s="2"/>
      <c r="L160" s="2"/>
      <c r="M160" s="2"/>
      <c r="N160" s="2"/>
      <c r="O160" s="2"/>
      <c r="P160" s="2"/>
      <c r="Q160" s="2"/>
    </row>
    <row r="161" ht="15.75" customHeight="1">
      <c r="B161" s="2"/>
      <c r="C161" s="2"/>
      <c r="D161" s="2"/>
      <c r="E161" s="464"/>
      <c r="F161" s="2"/>
      <c r="G161" s="2"/>
      <c r="H161" s="2"/>
      <c r="I161" s="2"/>
      <c r="J161" s="2"/>
      <c r="K161" s="2"/>
      <c r="L161" s="2"/>
      <c r="M161" s="2"/>
      <c r="N161" s="2"/>
      <c r="O161" s="2"/>
      <c r="P161" s="2"/>
      <c r="Q161" s="2"/>
    </row>
    <row r="162" ht="15.75" customHeight="1">
      <c r="B162" s="2"/>
      <c r="C162" s="2"/>
      <c r="D162" s="2"/>
      <c r="E162" s="464"/>
      <c r="F162" s="2"/>
      <c r="G162" s="2"/>
      <c r="H162" s="2"/>
      <c r="I162" s="2"/>
      <c r="J162" s="2"/>
      <c r="K162" s="2"/>
      <c r="L162" s="2"/>
      <c r="M162" s="2"/>
      <c r="N162" s="2"/>
      <c r="O162" s="2"/>
      <c r="P162" s="2"/>
      <c r="Q162" s="2"/>
    </row>
    <row r="163" ht="15.75" customHeight="1">
      <c r="B163" s="2"/>
      <c r="C163" s="2"/>
      <c r="D163" s="2"/>
      <c r="E163" s="464"/>
      <c r="F163" s="2"/>
      <c r="G163" s="2"/>
      <c r="H163" s="2"/>
      <c r="I163" s="2"/>
      <c r="J163" s="2"/>
      <c r="K163" s="2"/>
      <c r="L163" s="2"/>
      <c r="M163" s="2"/>
      <c r="N163" s="2"/>
      <c r="O163" s="2"/>
      <c r="P163" s="2"/>
      <c r="Q163" s="2"/>
    </row>
    <row r="164" ht="15.75" customHeight="1">
      <c r="B164" s="2"/>
      <c r="C164" s="2"/>
      <c r="D164" s="2"/>
      <c r="E164" s="464"/>
      <c r="F164" s="2"/>
      <c r="G164" s="2"/>
      <c r="H164" s="2"/>
      <c r="I164" s="2"/>
      <c r="J164" s="2"/>
      <c r="K164" s="2"/>
      <c r="L164" s="2"/>
      <c r="M164" s="2"/>
      <c r="N164" s="2"/>
      <c r="O164" s="2"/>
      <c r="P164" s="2"/>
      <c r="Q164" s="2"/>
    </row>
    <row r="165" ht="15.75" customHeight="1">
      <c r="B165" s="2"/>
      <c r="C165" s="2"/>
      <c r="D165" s="2"/>
      <c r="E165" s="464"/>
      <c r="F165" s="2"/>
      <c r="G165" s="2"/>
      <c r="H165" s="2"/>
      <c r="I165" s="2"/>
      <c r="J165" s="2"/>
      <c r="K165" s="2"/>
      <c r="L165" s="2"/>
      <c r="M165" s="2"/>
      <c r="N165" s="2"/>
      <c r="O165" s="2"/>
      <c r="P165" s="2"/>
      <c r="Q165" s="2"/>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3">
    <mergeCell ref="B1:Q1"/>
    <mergeCell ref="C2:Q2"/>
    <mergeCell ref="K3:M3"/>
    <mergeCell ref="O3:Q3"/>
    <mergeCell ref="L4:M4"/>
    <mergeCell ref="N36:P36"/>
    <mergeCell ref="B37:Q37"/>
    <mergeCell ref="B38:Q38"/>
    <mergeCell ref="C39:E39"/>
    <mergeCell ref="G39:H39"/>
    <mergeCell ref="I39:L39"/>
    <mergeCell ref="G40:H40"/>
    <mergeCell ref="K40:L40"/>
    <mergeCell ref="B41:C41"/>
    <mergeCell ref="J43:L43"/>
    <mergeCell ref="M43:Q43"/>
    <mergeCell ref="E41:F41"/>
    <mergeCell ref="C42:E42"/>
    <mergeCell ref="G42:H42"/>
    <mergeCell ref="I42:L42"/>
    <mergeCell ref="M42:Q42"/>
    <mergeCell ref="C43:E43"/>
    <mergeCell ref="G43:H43"/>
  </mergeCells>
  <printOptions/>
  <pageMargins bottom="0.7480314960629921" footer="0.0" header="0.0" left="0.7086614173228347" right="0.7086614173228347" top="0.7480314960629921"/>
  <pageSetup paperSize="5" scale="95"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3.29"/>
    <col customWidth="1" min="2" max="2" width="4.71"/>
    <col customWidth="1" min="3" max="3" width="11.43"/>
    <col customWidth="1" min="4" max="4" width="9.57"/>
    <col customWidth="1" min="5" max="5" width="16.71"/>
    <col customWidth="1" min="6" max="7" width="7.86"/>
    <col customWidth="1" min="8" max="8" width="8.71"/>
    <col customWidth="1" min="9" max="9" width="8.43"/>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65" t="s">
        <v>14157</v>
      </c>
    </row>
    <row r="2">
      <c r="B2" s="400" t="s">
        <v>1</v>
      </c>
      <c r="C2" s="6"/>
      <c r="D2" s="6"/>
      <c r="E2" s="6"/>
      <c r="F2" s="6"/>
      <c r="G2" s="6"/>
      <c r="H2" s="6"/>
      <c r="I2" s="6"/>
      <c r="J2" s="6"/>
      <c r="K2" s="6"/>
      <c r="L2" s="6"/>
      <c r="M2" s="6"/>
      <c r="N2" s="6"/>
      <c r="O2" s="6"/>
      <c r="P2" s="6"/>
      <c r="Q2" s="7"/>
    </row>
    <row r="3">
      <c r="B3" s="321"/>
      <c r="C3" s="403"/>
      <c r="D3" s="9"/>
      <c r="E3" s="402"/>
      <c r="F3" s="9"/>
      <c r="G3" s="403"/>
      <c r="H3" s="403"/>
      <c r="I3" s="403"/>
      <c r="J3" s="9"/>
      <c r="K3" s="466"/>
      <c r="M3" s="13"/>
      <c r="N3" s="14" t="s">
        <v>3</v>
      </c>
      <c r="O3" s="15" t="s">
        <v>14158</v>
      </c>
      <c r="P3" s="16"/>
      <c r="Q3" s="17"/>
    </row>
    <row r="4">
      <c r="B4" s="321"/>
      <c r="C4" s="403"/>
      <c r="D4" s="9"/>
      <c r="E4" s="402"/>
      <c r="F4" s="9"/>
      <c r="G4" s="403"/>
      <c r="H4" s="321"/>
      <c r="I4" s="403"/>
      <c r="J4" s="9"/>
      <c r="K4" s="403"/>
      <c r="L4" s="467"/>
      <c r="M4" s="407"/>
      <c r="N4" s="9"/>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342">
        <v>1.0</v>
      </c>
      <c r="C6" s="433"/>
      <c r="D6" s="2"/>
      <c r="E6" s="434" t="s">
        <v>22574</v>
      </c>
      <c r="F6" s="433" t="s">
        <v>22575</v>
      </c>
      <c r="G6" s="433" t="s">
        <v>29</v>
      </c>
      <c r="H6" s="433" t="s">
        <v>30</v>
      </c>
      <c r="I6" s="433"/>
      <c r="J6" s="433" t="s">
        <v>30</v>
      </c>
      <c r="K6" s="433">
        <v>36.0</v>
      </c>
      <c r="L6" s="433" t="s">
        <v>16614</v>
      </c>
      <c r="M6" s="345"/>
      <c r="N6" s="433" t="s">
        <v>6480</v>
      </c>
      <c r="O6" s="433" t="s">
        <v>31</v>
      </c>
      <c r="P6" s="433" t="s">
        <v>388</v>
      </c>
      <c r="Q6" s="433">
        <v>1.0</v>
      </c>
    </row>
    <row r="7">
      <c r="B7" s="342">
        <v>2.0</v>
      </c>
      <c r="C7" s="433"/>
      <c r="D7" s="433"/>
      <c r="E7" s="434" t="s">
        <v>16526</v>
      </c>
      <c r="F7" s="433" t="s">
        <v>22575</v>
      </c>
      <c r="G7" s="433" t="s">
        <v>29</v>
      </c>
      <c r="H7" s="433" t="s">
        <v>30</v>
      </c>
      <c r="I7" s="433"/>
      <c r="J7" s="433" t="s">
        <v>30</v>
      </c>
      <c r="K7" s="433">
        <v>164.0</v>
      </c>
      <c r="L7" s="433" t="s">
        <v>31</v>
      </c>
      <c r="M7" s="345"/>
      <c r="N7" s="433" t="s">
        <v>22576</v>
      </c>
      <c r="O7" s="433">
        <v>1965.0</v>
      </c>
      <c r="P7" s="433" t="s">
        <v>388</v>
      </c>
      <c r="Q7" s="433">
        <v>1.0</v>
      </c>
    </row>
    <row r="8">
      <c r="B8" s="342">
        <v>3.0</v>
      </c>
      <c r="C8" s="433"/>
      <c r="D8" s="433"/>
      <c r="E8" s="434" t="s">
        <v>16526</v>
      </c>
      <c r="F8" s="433" t="s">
        <v>22575</v>
      </c>
      <c r="G8" s="433" t="s">
        <v>29</v>
      </c>
      <c r="H8" s="433" t="s">
        <v>30</v>
      </c>
      <c r="I8" s="433"/>
      <c r="J8" s="433" t="s">
        <v>30</v>
      </c>
      <c r="K8" s="433">
        <v>148.0</v>
      </c>
      <c r="L8" s="433" t="s">
        <v>31</v>
      </c>
      <c r="M8" s="345"/>
      <c r="N8" s="433" t="s">
        <v>4179</v>
      </c>
      <c r="O8" s="433">
        <v>1988.0</v>
      </c>
      <c r="P8" s="433" t="s">
        <v>388</v>
      </c>
      <c r="Q8" s="433">
        <v>1.0</v>
      </c>
    </row>
    <row r="9">
      <c r="B9" s="342">
        <v>4.0</v>
      </c>
      <c r="C9" s="433"/>
      <c r="D9" s="433"/>
      <c r="E9" s="434" t="s">
        <v>22577</v>
      </c>
      <c r="F9" s="433" t="s">
        <v>22575</v>
      </c>
      <c r="G9" s="433" t="s">
        <v>29</v>
      </c>
      <c r="H9" s="433" t="s">
        <v>30</v>
      </c>
      <c r="I9" s="433"/>
      <c r="J9" s="433" t="s">
        <v>30</v>
      </c>
      <c r="K9" s="433">
        <v>70.0</v>
      </c>
      <c r="L9" s="433" t="s">
        <v>31</v>
      </c>
      <c r="M9" s="433"/>
      <c r="N9" s="433" t="s">
        <v>9290</v>
      </c>
      <c r="O9" s="433" t="s">
        <v>31</v>
      </c>
      <c r="P9" s="433" t="s">
        <v>388</v>
      </c>
      <c r="Q9" s="433">
        <v>1.0</v>
      </c>
    </row>
    <row r="10">
      <c r="B10" s="342">
        <v>5.0</v>
      </c>
      <c r="C10" s="433"/>
      <c r="D10" s="433"/>
      <c r="E10" s="434" t="s">
        <v>22578</v>
      </c>
      <c r="F10" s="433" t="s">
        <v>22575</v>
      </c>
      <c r="G10" s="433" t="s">
        <v>29</v>
      </c>
      <c r="H10" s="433" t="s">
        <v>30</v>
      </c>
      <c r="I10" s="433"/>
      <c r="J10" s="433" t="s">
        <v>30</v>
      </c>
      <c r="K10" s="433">
        <v>46.0</v>
      </c>
      <c r="L10" s="433" t="s">
        <v>31</v>
      </c>
      <c r="M10" s="433"/>
      <c r="N10" s="433" t="s">
        <v>9290</v>
      </c>
      <c r="O10" s="433" t="s">
        <v>31</v>
      </c>
      <c r="P10" s="433" t="s">
        <v>388</v>
      </c>
      <c r="Q10" s="433">
        <v>1.0</v>
      </c>
    </row>
    <row r="11">
      <c r="B11" s="342">
        <v>6.0</v>
      </c>
      <c r="C11" s="433"/>
      <c r="D11" s="433"/>
      <c r="E11" s="434" t="s">
        <v>22579</v>
      </c>
      <c r="F11" s="433" t="s">
        <v>22575</v>
      </c>
      <c r="G11" s="433" t="s">
        <v>29</v>
      </c>
      <c r="H11" s="433" t="s">
        <v>30</v>
      </c>
      <c r="I11" s="433"/>
      <c r="J11" s="433" t="s">
        <v>30</v>
      </c>
      <c r="K11" s="433">
        <v>12.0</v>
      </c>
      <c r="L11" s="433" t="s">
        <v>31</v>
      </c>
      <c r="M11" s="433"/>
      <c r="N11" s="433" t="s">
        <v>9290</v>
      </c>
      <c r="O11" s="433" t="s">
        <v>31</v>
      </c>
      <c r="P11" s="433" t="s">
        <v>388</v>
      </c>
      <c r="Q11" s="433">
        <v>1.0</v>
      </c>
    </row>
    <row r="12">
      <c r="B12" s="342">
        <v>7.0</v>
      </c>
      <c r="C12" s="433" t="s">
        <v>10265</v>
      </c>
      <c r="D12" s="433" t="s">
        <v>22580</v>
      </c>
      <c r="E12" s="434" t="s">
        <v>22581</v>
      </c>
      <c r="F12" s="433" t="s">
        <v>31</v>
      </c>
      <c r="G12" s="433" t="s">
        <v>29</v>
      </c>
      <c r="H12" s="433" t="s">
        <v>30</v>
      </c>
      <c r="I12" s="433"/>
      <c r="J12" s="433" t="s">
        <v>30</v>
      </c>
      <c r="K12" s="433">
        <v>260.0</v>
      </c>
      <c r="L12" s="433"/>
      <c r="M12" s="433" t="s">
        <v>10147</v>
      </c>
      <c r="N12" s="433" t="s">
        <v>10269</v>
      </c>
      <c r="O12" s="433">
        <v>2001.0</v>
      </c>
      <c r="P12" s="433" t="s">
        <v>388</v>
      </c>
      <c r="Q12" s="433">
        <v>1.0</v>
      </c>
    </row>
    <row r="13">
      <c r="B13" s="342">
        <v>8.0</v>
      </c>
      <c r="C13" s="433"/>
      <c r="D13" s="433" t="s">
        <v>22582</v>
      </c>
      <c r="E13" s="434" t="s">
        <v>22583</v>
      </c>
      <c r="F13" s="433" t="s">
        <v>22575</v>
      </c>
      <c r="G13" s="433" t="s">
        <v>29</v>
      </c>
      <c r="H13" s="433" t="s">
        <v>30</v>
      </c>
      <c r="I13" s="433"/>
      <c r="J13" s="433" t="s">
        <v>30</v>
      </c>
      <c r="K13" s="433">
        <f>400</f>
        <v>400</v>
      </c>
      <c r="L13" s="433"/>
      <c r="M13" s="433"/>
      <c r="N13" s="433" t="s">
        <v>22584</v>
      </c>
      <c r="O13" s="433">
        <v>1994.0</v>
      </c>
      <c r="P13" s="433" t="s">
        <v>388</v>
      </c>
      <c r="Q13" s="433">
        <v>1.0</v>
      </c>
    </row>
    <row r="14">
      <c r="B14" s="342">
        <v>9.0</v>
      </c>
      <c r="C14" s="433"/>
      <c r="D14" s="433" t="s">
        <v>22582</v>
      </c>
      <c r="E14" s="434" t="s">
        <v>22585</v>
      </c>
      <c r="F14" s="433" t="s">
        <v>22575</v>
      </c>
      <c r="G14" s="433" t="s">
        <v>29</v>
      </c>
      <c r="H14" s="433" t="s">
        <v>30</v>
      </c>
      <c r="I14" s="433"/>
      <c r="J14" s="433" t="s">
        <v>30</v>
      </c>
      <c r="K14" s="433" t="s">
        <v>22586</v>
      </c>
      <c r="L14" s="433"/>
      <c r="M14" s="433"/>
      <c r="N14" s="433" t="s">
        <v>22584</v>
      </c>
      <c r="O14" s="433">
        <v>1994.0</v>
      </c>
      <c r="P14" s="433" t="s">
        <v>388</v>
      </c>
      <c r="Q14" s="433">
        <v>1.0</v>
      </c>
    </row>
    <row r="15">
      <c r="B15" s="342"/>
      <c r="C15" s="433"/>
      <c r="D15" s="433"/>
      <c r="E15" s="434"/>
      <c r="F15" s="433"/>
      <c r="G15" s="433"/>
      <c r="H15" s="433"/>
      <c r="I15" s="433"/>
      <c r="J15" s="433"/>
      <c r="K15" s="433"/>
      <c r="L15" s="433"/>
      <c r="M15" s="433"/>
      <c r="N15" s="433"/>
      <c r="O15" s="433"/>
      <c r="P15" s="433"/>
      <c r="Q15" s="433"/>
    </row>
    <row r="16">
      <c r="B16" s="342"/>
      <c r="C16" s="433"/>
      <c r="D16" s="433"/>
      <c r="E16" s="434"/>
      <c r="F16" s="433"/>
      <c r="G16" s="433"/>
      <c r="H16" s="433"/>
      <c r="I16" s="433"/>
      <c r="J16" s="433"/>
      <c r="K16" s="433"/>
      <c r="L16" s="433"/>
      <c r="M16" s="433"/>
      <c r="N16" s="433"/>
      <c r="O16" s="433"/>
      <c r="P16" s="433"/>
      <c r="Q16" s="433"/>
    </row>
    <row r="17">
      <c r="B17" s="342"/>
      <c r="C17" s="433"/>
      <c r="D17" s="433"/>
      <c r="E17" s="434"/>
      <c r="F17" s="433"/>
      <c r="G17" s="433"/>
      <c r="H17" s="433"/>
      <c r="I17" s="433"/>
      <c r="J17" s="433"/>
      <c r="K17" s="433"/>
      <c r="L17" s="433"/>
      <c r="M17" s="433"/>
      <c r="N17" s="433"/>
      <c r="O17" s="433"/>
      <c r="P17" s="433"/>
      <c r="Q17" s="433"/>
    </row>
    <row r="18">
      <c r="B18" s="342"/>
      <c r="C18" s="433"/>
      <c r="D18" s="433"/>
      <c r="E18" s="434"/>
      <c r="F18" s="433"/>
      <c r="G18" s="433"/>
      <c r="H18" s="433"/>
      <c r="I18" s="433"/>
      <c r="J18" s="433"/>
      <c r="K18" s="433"/>
      <c r="L18" s="433"/>
      <c r="M18" s="433"/>
      <c r="N18" s="433"/>
      <c r="O18" s="433"/>
      <c r="P18" s="433"/>
      <c r="Q18" s="433"/>
    </row>
    <row r="19">
      <c r="B19" s="342"/>
      <c r="C19" s="433"/>
      <c r="D19" s="433"/>
      <c r="E19" s="434"/>
      <c r="F19" s="433"/>
      <c r="G19" s="433"/>
      <c r="H19" s="433"/>
      <c r="I19" s="433"/>
      <c r="J19" s="433"/>
      <c r="K19" s="433"/>
      <c r="L19" s="433"/>
      <c r="M19" s="433"/>
      <c r="N19" s="433"/>
      <c r="O19" s="433"/>
      <c r="P19" s="433"/>
      <c r="Q19" s="433"/>
    </row>
    <row r="20">
      <c r="B20" s="342"/>
      <c r="C20" s="433"/>
      <c r="D20" s="433"/>
      <c r="E20" s="434"/>
      <c r="F20" s="433"/>
      <c r="G20" s="433"/>
      <c r="H20" s="433"/>
      <c r="I20" s="433"/>
      <c r="J20" s="433"/>
      <c r="K20" s="433"/>
      <c r="L20" s="433"/>
      <c r="M20" s="433"/>
      <c r="N20" s="433"/>
      <c r="O20" s="433"/>
      <c r="P20" s="433"/>
      <c r="Q20" s="433"/>
    </row>
    <row r="21" ht="15.75" customHeight="1">
      <c r="B21" s="342"/>
      <c r="C21" s="433"/>
      <c r="D21" s="433"/>
      <c r="E21" s="434"/>
      <c r="F21" s="433"/>
      <c r="G21" s="433"/>
      <c r="H21" s="433"/>
      <c r="I21" s="433"/>
      <c r="J21" s="433"/>
      <c r="K21" s="433"/>
      <c r="L21" s="433"/>
      <c r="M21" s="433"/>
      <c r="N21" s="433"/>
      <c r="O21" s="433"/>
      <c r="P21" s="433"/>
      <c r="Q21" s="433"/>
    </row>
    <row r="22" ht="15.75" customHeight="1">
      <c r="B22" s="342"/>
      <c r="C22" s="433"/>
      <c r="D22" s="433"/>
      <c r="E22" s="434"/>
      <c r="F22" s="433"/>
      <c r="G22" s="433"/>
      <c r="H22" s="433"/>
      <c r="I22" s="433"/>
      <c r="J22" s="433"/>
      <c r="K22" s="433"/>
      <c r="L22" s="433"/>
      <c r="M22" s="433"/>
      <c r="N22" s="433"/>
      <c r="O22" s="433"/>
      <c r="P22" s="433"/>
      <c r="Q22" s="433"/>
    </row>
    <row r="23" ht="15.75" customHeight="1">
      <c r="B23" s="433"/>
      <c r="C23" s="433"/>
      <c r="D23" s="433"/>
      <c r="E23" s="434"/>
      <c r="F23" s="433"/>
      <c r="G23" s="433"/>
      <c r="H23" s="433"/>
      <c r="I23" s="433"/>
      <c r="J23" s="433"/>
      <c r="K23" s="433"/>
      <c r="L23" s="433"/>
      <c r="M23" s="433"/>
      <c r="N23" s="538"/>
      <c r="O23" s="433"/>
      <c r="P23" s="433"/>
      <c r="Q23" s="433"/>
    </row>
    <row r="24" ht="15.75" customHeight="1">
      <c r="B24" s="433"/>
      <c r="C24" s="433"/>
      <c r="D24" s="433"/>
      <c r="E24" s="434"/>
      <c r="F24" s="433"/>
      <c r="G24" s="433"/>
      <c r="H24" s="433"/>
      <c r="I24" s="433"/>
      <c r="J24" s="433"/>
      <c r="K24" s="433"/>
      <c r="L24" s="433"/>
      <c r="M24" s="433"/>
      <c r="N24" s="15" t="s">
        <v>13862</v>
      </c>
      <c r="O24" s="16"/>
      <c r="P24" s="17"/>
      <c r="Q24" s="14">
        <f>SUM(Q6:Q23)</f>
        <v>9</v>
      </c>
    </row>
    <row r="25" ht="15.75" customHeight="1">
      <c r="B25" s="472"/>
      <c r="C25" s="455"/>
      <c r="D25" s="455"/>
      <c r="E25" s="455"/>
      <c r="F25" s="455"/>
      <c r="G25" s="455"/>
      <c r="H25" s="455"/>
      <c r="I25" s="455"/>
      <c r="J25" s="455"/>
      <c r="K25" s="455"/>
      <c r="L25" s="455"/>
      <c r="M25" s="455"/>
      <c r="N25" s="455"/>
      <c r="O25" s="455"/>
      <c r="P25" s="455"/>
      <c r="Q25" s="456"/>
    </row>
    <row r="26" ht="15.75" customHeight="1">
      <c r="B26" s="457" t="s">
        <v>14257</v>
      </c>
      <c r="C26" s="6"/>
      <c r="D26" s="6"/>
      <c r="E26" s="6"/>
      <c r="F26" s="6"/>
      <c r="G26" s="6"/>
      <c r="H26" s="6"/>
      <c r="I26" s="6"/>
      <c r="J26" s="6"/>
      <c r="K26" s="6"/>
      <c r="L26" s="6"/>
      <c r="M26" s="6"/>
      <c r="N26" s="6"/>
      <c r="O26" s="6"/>
      <c r="P26" s="6"/>
      <c r="Q26" s="7"/>
    </row>
    <row r="27" ht="15.75" customHeight="1">
      <c r="B27" s="327" t="s">
        <v>14150</v>
      </c>
      <c r="C27" s="457" t="s">
        <v>14151</v>
      </c>
      <c r="D27" s="6"/>
      <c r="E27" s="7"/>
      <c r="F27" s="458"/>
      <c r="G27" s="459"/>
      <c r="H27" s="7"/>
      <c r="I27" s="459"/>
      <c r="J27" s="6"/>
      <c r="K27" s="6"/>
      <c r="L27" s="7"/>
      <c r="M27" s="460"/>
      <c r="N27" s="461" t="s">
        <v>14152</v>
      </c>
      <c r="O27" s="461"/>
      <c r="P27" s="461"/>
      <c r="Q27" s="461"/>
    </row>
    <row r="28" ht="15.75" customHeight="1">
      <c r="B28" s="321"/>
      <c r="C28" s="399"/>
      <c r="D28" s="458"/>
      <c r="E28" s="462"/>
      <c r="F28" s="458"/>
      <c r="G28" s="463"/>
      <c r="H28" s="7"/>
      <c r="I28" s="321"/>
      <c r="J28" s="321"/>
      <c r="K28" s="463"/>
      <c r="L28" s="7"/>
      <c r="M28" s="321"/>
      <c r="N28" s="321"/>
      <c r="O28" s="321"/>
      <c r="P28" s="321"/>
      <c r="Q28" s="321"/>
    </row>
    <row r="29" ht="15.75" customHeight="1">
      <c r="B29" s="463"/>
      <c r="C29" s="7"/>
      <c r="D29" s="458"/>
      <c r="E29" s="463"/>
      <c r="F29" s="7"/>
      <c r="G29" s="321"/>
      <c r="H29" s="321"/>
      <c r="I29" s="321"/>
      <c r="J29" s="321"/>
      <c r="K29" s="321"/>
      <c r="L29" s="321"/>
      <c r="M29" s="321"/>
      <c r="N29" s="321"/>
      <c r="O29" s="321"/>
      <c r="P29" s="321"/>
      <c r="Q29" s="321"/>
    </row>
    <row r="30" ht="15.75" customHeight="1">
      <c r="B30" s="321"/>
      <c r="C30" s="457" t="s">
        <v>15030</v>
      </c>
      <c r="D30" s="6"/>
      <c r="E30" s="7"/>
      <c r="F30" s="458"/>
      <c r="G30" s="457"/>
      <c r="H30" s="7"/>
      <c r="I30" s="457"/>
      <c r="J30" s="6"/>
      <c r="K30" s="6"/>
      <c r="L30" s="7"/>
      <c r="M30" s="457" t="s">
        <v>14154</v>
      </c>
      <c r="N30" s="6"/>
      <c r="O30" s="6"/>
      <c r="P30" s="6"/>
      <c r="Q30" s="7"/>
    </row>
    <row r="31" ht="15.75" customHeight="1">
      <c r="B31" s="321"/>
      <c r="C31" s="457" t="s">
        <v>14155</v>
      </c>
      <c r="D31" s="6"/>
      <c r="E31" s="7"/>
      <c r="F31" s="458"/>
      <c r="G31" s="457"/>
      <c r="H31" s="7"/>
      <c r="I31" s="327"/>
      <c r="J31" s="457"/>
      <c r="K31" s="6"/>
      <c r="L31" s="7"/>
      <c r="M31" s="457" t="s">
        <v>14156</v>
      </c>
      <c r="N31" s="6"/>
      <c r="O31" s="6"/>
      <c r="P31" s="6"/>
      <c r="Q31" s="7"/>
    </row>
    <row r="32" ht="15.75" customHeight="1">
      <c r="B32" s="2"/>
      <c r="C32" s="2"/>
      <c r="D32" s="2"/>
      <c r="E32" s="464"/>
      <c r="F32" s="2"/>
      <c r="G32" s="2"/>
      <c r="H32" s="2"/>
      <c r="I32" s="2"/>
      <c r="J32" s="2"/>
      <c r="K32" s="2"/>
      <c r="L32" s="2"/>
      <c r="M32" s="2"/>
      <c r="N32" s="2"/>
      <c r="O32" s="2"/>
      <c r="P32" s="2"/>
      <c r="Q32" s="2"/>
    </row>
    <row r="33" ht="15.75" customHeight="1">
      <c r="B33" s="2"/>
      <c r="C33" s="2"/>
      <c r="D33" s="2"/>
      <c r="E33" s="464"/>
      <c r="F33" s="2"/>
      <c r="G33" s="2"/>
      <c r="H33" s="2"/>
      <c r="I33" s="2"/>
      <c r="J33" s="2"/>
      <c r="K33" s="2"/>
      <c r="L33" s="2"/>
      <c r="M33" s="2"/>
      <c r="N33" s="2"/>
      <c r="O33" s="2"/>
      <c r="P33" s="2"/>
      <c r="Q33" s="2"/>
    </row>
    <row r="34" ht="15.75" customHeight="1">
      <c r="B34" s="2"/>
      <c r="C34" s="2"/>
      <c r="D34" s="2"/>
      <c r="E34" s="464"/>
      <c r="F34" s="2"/>
      <c r="G34" s="2"/>
      <c r="H34" s="2"/>
      <c r="I34" s="2"/>
      <c r="J34" s="2"/>
      <c r="K34" s="2"/>
      <c r="L34" s="2"/>
      <c r="M34" s="2"/>
      <c r="N34" s="2"/>
      <c r="O34" s="2"/>
      <c r="P34" s="2"/>
      <c r="Q34" s="2"/>
    </row>
    <row r="35" ht="15.75" customHeight="1">
      <c r="B35" s="2"/>
      <c r="C35" s="2"/>
      <c r="D35" s="2"/>
      <c r="E35" s="464"/>
      <c r="F35" s="2"/>
      <c r="G35" s="2"/>
      <c r="H35" s="2"/>
      <c r="I35" s="2"/>
      <c r="J35" s="2"/>
      <c r="K35" s="2"/>
      <c r="L35" s="2"/>
      <c r="M35" s="2"/>
      <c r="N35" s="2"/>
      <c r="O35" s="2"/>
      <c r="P35" s="2"/>
      <c r="Q35" s="2"/>
    </row>
    <row r="36" ht="15.75" customHeight="1">
      <c r="B36" s="2"/>
      <c r="C36" s="2"/>
      <c r="D36" s="2"/>
      <c r="E36" s="464"/>
      <c r="F36" s="2"/>
      <c r="G36" s="2"/>
      <c r="H36" s="2"/>
      <c r="I36" s="2"/>
      <c r="J36" s="2"/>
      <c r="K36" s="2"/>
      <c r="L36" s="2"/>
      <c r="M36" s="2"/>
      <c r="N36" s="2"/>
      <c r="O36" s="2"/>
      <c r="P36" s="2"/>
      <c r="Q36" s="2"/>
    </row>
    <row r="37" ht="15.75" customHeight="1">
      <c r="B37" s="2"/>
      <c r="C37" s="2"/>
      <c r="D37" s="2"/>
      <c r="E37" s="464"/>
      <c r="F37" s="2"/>
      <c r="G37" s="2"/>
      <c r="H37" s="2"/>
      <c r="I37" s="2"/>
      <c r="J37" s="2"/>
      <c r="K37" s="2"/>
      <c r="L37" s="2"/>
      <c r="M37" s="2"/>
      <c r="N37" s="2"/>
      <c r="O37" s="2"/>
      <c r="P37" s="2"/>
      <c r="Q37" s="2"/>
    </row>
    <row r="38" ht="15.75" customHeight="1">
      <c r="B38" s="2"/>
      <c r="C38" s="2"/>
      <c r="D38" s="2"/>
      <c r="E38" s="464"/>
      <c r="F38" s="2"/>
      <c r="G38" s="2"/>
      <c r="H38" s="2"/>
      <c r="I38" s="2"/>
      <c r="J38" s="2"/>
      <c r="K38" s="2"/>
      <c r="L38" s="2"/>
      <c r="M38" s="2"/>
      <c r="N38" s="2"/>
      <c r="O38" s="2"/>
      <c r="P38" s="2"/>
      <c r="Q38" s="2"/>
    </row>
    <row r="39" ht="15.75" customHeight="1">
      <c r="B39" s="2"/>
      <c r="C39" s="2"/>
      <c r="D39" s="2"/>
      <c r="E39" s="464"/>
      <c r="F39" s="2"/>
      <c r="G39" s="2"/>
      <c r="H39" s="2"/>
      <c r="I39" s="2"/>
      <c r="J39" s="2"/>
      <c r="K39" s="2"/>
      <c r="L39" s="2"/>
      <c r="M39" s="2"/>
      <c r="N39" s="2"/>
      <c r="O39" s="2"/>
      <c r="P39" s="2"/>
      <c r="Q39" s="2"/>
    </row>
    <row r="40" ht="15.75" customHeight="1">
      <c r="B40" s="2"/>
      <c r="C40" s="2"/>
      <c r="D40" s="2"/>
      <c r="E40" s="464"/>
      <c r="F40" s="2"/>
      <c r="G40" s="2"/>
      <c r="H40" s="2"/>
      <c r="I40" s="2"/>
      <c r="J40" s="2"/>
      <c r="K40" s="2"/>
      <c r="L40" s="2"/>
      <c r="M40" s="2"/>
      <c r="N40" s="2"/>
      <c r="O40" s="2"/>
      <c r="P40" s="2"/>
      <c r="Q40" s="2"/>
    </row>
    <row r="41" ht="15.75" customHeight="1">
      <c r="B41" s="2"/>
      <c r="C41" s="2"/>
      <c r="D41" s="2"/>
      <c r="E41" s="464"/>
      <c r="F41" s="2"/>
      <c r="G41" s="2"/>
      <c r="H41" s="2"/>
      <c r="I41" s="2"/>
      <c r="J41" s="2"/>
      <c r="K41" s="2"/>
      <c r="L41" s="2"/>
      <c r="M41" s="2"/>
      <c r="N41" s="2"/>
      <c r="O41" s="2"/>
      <c r="P41" s="2"/>
      <c r="Q41" s="2"/>
    </row>
    <row r="42" ht="15.75" customHeight="1">
      <c r="B42" s="2"/>
      <c r="C42" s="2"/>
      <c r="D42" s="2"/>
      <c r="E42" s="464"/>
      <c r="F42" s="2"/>
      <c r="G42" s="2"/>
      <c r="H42" s="2"/>
      <c r="I42" s="2"/>
      <c r="J42" s="2"/>
      <c r="K42" s="2"/>
      <c r="L42" s="2"/>
      <c r="M42" s="2"/>
      <c r="N42" s="2"/>
      <c r="O42" s="2"/>
      <c r="P42" s="2"/>
      <c r="Q42" s="2"/>
    </row>
    <row r="43" ht="15.75" customHeight="1">
      <c r="B43" s="2"/>
      <c r="C43" s="2"/>
      <c r="D43" s="2"/>
      <c r="E43" s="464"/>
      <c r="F43" s="2"/>
      <c r="G43" s="2"/>
      <c r="H43" s="2"/>
      <c r="I43" s="2"/>
      <c r="J43" s="2"/>
      <c r="K43" s="2"/>
      <c r="L43" s="2"/>
      <c r="M43" s="2"/>
      <c r="N43" s="2"/>
      <c r="O43" s="2"/>
      <c r="P43" s="2"/>
      <c r="Q43" s="2"/>
    </row>
    <row r="44" ht="15.75" customHeight="1">
      <c r="B44" s="2"/>
      <c r="C44" s="2"/>
      <c r="D44" s="2"/>
      <c r="E44" s="464"/>
      <c r="F44" s="2"/>
      <c r="G44" s="2"/>
      <c r="H44" s="2"/>
      <c r="I44" s="2"/>
      <c r="J44" s="2"/>
      <c r="K44" s="2"/>
      <c r="L44" s="2"/>
      <c r="M44" s="2"/>
      <c r="N44" s="2"/>
      <c r="O44" s="2"/>
      <c r="P44" s="2"/>
      <c r="Q44" s="2"/>
    </row>
    <row r="45" ht="15.75" customHeight="1">
      <c r="B45" s="2"/>
      <c r="C45" s="2"/>
      <c r="D45" s="2"/>
      <c r="E45" s="464"/>
      <c r="F45" s="2"/>
      <c r="G45" s="2"/>
      <c r="H45" s="2"/>
      <c r="I45" s="2"/>
      <c r="J45" s="2"/>
      <c r="K45" s="2"/>
      <c r="L45" s="2"/>
      <c r="M45" s="2"/>
      <c r="N45" s="2"/>
      <c r="O45" s="2"/>
      <c r="P45" s="2"/>
      <c r="Q45" s="2"/>
    </row>
    <row r="46" ht="15.75" customHeight="1">
      <c r="B46" s="2"/>
      <c r="C46" s="2"/>
      <c r="D46" s="2"/>
      <c r="E46" s="464"/>
      <c r="F46" s="2"/>
      <c r="G46" s="2"/>
      <c r="H46" s="2"/>
      <c r="I46" s="2"/>
      <c r="J46" s="2"/>
      <c r="K46" s="2"/>
      <c r="L46" s="2"/>
      <c r="M46" s="2"/>
      <c r="N46" s="2"/>
      <c r="O46" s="2"/>
      <c r="P46" s="2"/>
      <c r="Q46" s="2"/>
    </row>
    <row r="47" ht="15.75" customHeight="1">
      <c r="B47" s="2"/>
      <c r="C47" s="2"/>
      <c r="D47" s="2"/>
      <c r="E47" s="464"/>
      <c r="F47" s="2"/>
      <c r="G47" s="2"/>
      <c r="H47" s="2"/>
      <c r="I47" s="2"/>
      <c r="J47" s="2"/>
      <c r="K47" s="2"/>
      <c r="L47" s="2"/>
      <c r="M47" s="2"/>
      <c r="N47" s="2"/>
      <c r="O47" s="2"/>
      <c r="P47" s="2"/>
      <c r="Q47" s="2"/>
    </row>
    <row r="48" ht="15.75" customHeight="1">
      <c r="B48" s="2"/>
      <c r="C48" s="2"/>
      <c r="D48" s="2"/>
      <c r="E48" s="464"/>
      <c r="F48" s="2"/>
      <c r="G48" s="2"/>
      <c r="H48" s="2"/>
      <c r="I48" s="2"/>
      <c r="J48" s="2"/>
      <c r="K48" s="2"/>
      <c r="L48" s="2"/>
      <c r="M48" s="2"/>
      <c r="N48" s="2"/>
      <c r="O48" s="2"/>
      <c r="P48" s="2"/>
      <c r="Q48" s="2"/>
    </row>
    <row r="49" ht="15.75" customHeight="1">
      <c r="B49" s="2"/>
      <c r="C49" s="2"/>
      <c r="D49" s="2"/>
      <c r="E49" s="464"/>
      <c r="F49" s="2"/>
      <c r="G49" s="2"/>
      <c r="H49" s="2"/>
      <c r="I49" s="2"/>
      <c r="J49" s="2"/>
      <c r="K49" s="2"/>
      <c r="L49" s="2"/>
      <c r="M49" s="2"/>
      <c r="N49" s="2"/>
      <c r="O49" s="2"/>
      <c r="P49" s="2"/>
      <c r="Q49" s="2"/>
    </row>
    <row r="50" ht="15.75" customHeight="1">
      <c r="B50" s="2"/>
      <c r="C50" s="2"/>
      <c r="D50" s="2"/>
      <c r="E50" s="464"/>
      <c r="F50" s="2"/>
      <c r="G50" s="2"/>
      <c r="H50" s="2"/>
      <c r="I50" s="2"/>
      <c r="J50" s="2"/>
      <c r="K50" s="2"/>
      <c r="L50" s="2"/>
      <c r="M50" s="2"/>
      <c r="N50" s="2"/>
      <c r="O50" s="2"/>
      <c r="P50" s="2"/>
      <c r="Q50" s="2"/>
    </row>
    <row r="51" ht="15.75" customHeight="1">
      <c r="B51" s="2"/>
      <c r="C51" s="2"/>
      <c r="D51" s="2"/>
      <c r="E51" s="464"/>
      <c r="F51" s="2"/>
      <c r="G51" s="2"/>
      <c r="H51" s="2"/>
      <c r="I51" s="2"/>
      <c r="J51" s="2"/>
      <c r="K51" s="2"/>
      <c r="L51" s="2"/>
      <c r="M51" s="2"/>
      <c r="N51" s="2"/>
      <c r="O51" s="2"/>
      <c r="P51" s="2"/>
      <c r="Q51" s="2"/>
    </row>
    <row r="52" ht="15.75" customHeight="1">
      <c r="B52" s="2"/>
      <c r="C52" s="2"/>
      <c r="D52" s="2"/>
      <c r="E52" s="464"/>
      <c r="F52" s="2"/>
      <c r="G52" s="2"/>
      <c r="H52" s="2"/>
      <c r="I52" s="2"/>
      <c r="J52" s="2"/>
      <c r="K52" s="2"/>
      <c r="L52" s="2"/>
      <c r="M52" s="2"/>
      <c r="N52" s="2"/>
      <c r="O52" s="2"/>
      <c r="P52" s="2"/>
      <c r="Q52" s="2"/>
    </row>
    <row r="53" ht="15.75" customHeight="1">
      <c r="B53" s="2"/>
      <c r="C53" s="2"/>
      <c r="D53" s="2"/>
      <c r="E53" s="464"/>
      <c r="F53" s="2"/>
      <c r="G53" s="2"/>
      <c r="H53" s="2"/>
      <c r="I53" s="2"/>
      <c r="J53" s="2"/>
      <c r="K53" s="2"/>
      <c r="L53" s="2"/>
      <c r="M53" s="2"/>
      <c r="N53" s="2"/>
      <c r="O53" s="2"/>
      <c r="P53" s="2"/>
      <c r="Q53" s="2"/>
    </row>
    <row r="54" ht="15.75" customHeight="1">
      <c r="B54" s="2"/>
      <c r="C54" s="2"/>
      <c r="D54" s="2"/>
      <c r="E54" s="464"/>
      <c r="F54" s="2"/>
      <c r="G54" s="2"/>
      <c r="H54" s="2"/>
      <c r="I54" s="2"/>
      <c r="J54" s="2"/>
      <c r="K54" s="2"/>
      <c r="L54" s="2"/>
      <c r="M54" s="2"/>
      <c r="N54" s="2"/>
      <c r="O54" s="2"/>
      <c r="P54" s="2"/>
      <c r="Q54" s="2"/>
    </row>
    <row r="55" ht="15.75" customHeight="1">
      <c r="B55" s="2"/>
      <c r="C55" s="2"/>
      <c r="D55" s="2"/>
      <c r="E55" s="464"/>
      <c r="F55" s="2"/>
      <c r="G55" s="2"/>
      <c r="H55" s="2"/>
      <c r="I55" s="2"/>
      <c r="J55" s="2"/>
      <c r="K55" s="2"/>
      <c r="L55" s="2"/>
      <c r="M55" s="2"/>
      <c r="N55" s="2"/>
      <c r="O55" s="2"/>
      <c r="P55" s="2"/>
      <c r="Q55" s="2"/>
    </row>
    <row r="56" ht="15.75" customHeight="1">
      <c r="B56" s="2"/>
      <c r="C56" s="2"/>
      <c r="D56" s="2"/>
      <c r="E56" s="464"/>
      <c r="F56" s="2"/>
      <c r="G56" s="2"/>
      <c r="H56" s="2"/>
      <c r="I56" s="2"/>
      <c r="J56" s="2"/>
      <c r="K56" s="2"/>
      <c r="L56" s="2"/>
      <c r="M56" s="2"/>
      <c r="N56" s="2"/>
      <c r="O56" s="2"/>
      <c r="P56" s="2"/>
      <c r="Q56" s="2"/>
    </row>
    <row r="57" ht="15.75" customHeight="1">
      <c r="B57" s="2"/>
      <c r="C57" s="2"/>
      <c r="D57" s="2"/>
      <c r="E57" s="464"/>
      <c r="F57" s="2"/>
      <c r="G57" s="2"/>
      <c r="H57" s="2"/>
      <c r="I57" s="2"/>
      <c r="J57" s="2"/>
      <c r="K57" s="2"/>
      <c r="L57" s="2"/>
      <c r="M57" s="2"/>
      <c r="N57" s="2"/>
      <c r="O57" s="2"/>
      <c r="P57" s="2"/>
      <c r="Q57" s="2"/>
    </row>
    <row r="58" ht="15.75" customHeight="1">
      <c r="B58" s="2"/>
      <c r="C58" s="2"/>
      <c r="D58" s="2"/>
      <c r="E58" s="464"/>
      <c r="F58" s="2"/>
      <c r="G58" s="2"/>
      <c r="H58" s="2"/>
      <c r="I58" s="2"/>
      <c r="J58" s="2"/>
      <c r="K58" s="2"/>
      <c r="L58" s="2"/>
      <c r="M58" s="2"/>
      <c r="N58" s="2"/>
      <c r="O58" s="2"/>
      <c r="P58" s="2"/>
      <c r="Q58" s="2"/>
    </row>
    <row r="59" ht="15.75" customHeight="1">
      <c r="B59" s="2"/>
      <c r="C59" s="2"/>
      <c r="D59" s="2"/>
      <c r="E59" s="464"/>
      <c r="F59" s="2"/>
      <c r="G59" s="2"/>
      <c r="H59" s="2"/>
      <c r="I59" s="2"/>
      <c r="J59" s="2"/>
      <c r="K59" s="2"/>
      <c r="L59" s="2"/>
      <c r="M59" s="2"/>
      <c r="N59" s="2"/>
      <c r="O59" s="2"/>
      <c r="P59" s="2"/>
      <c r="Q59" s="2"/>
    </row>
    <row r="60" ht="15.75" customHeight="1">
      <c r="B60" s="2"/>
      <c r="C60" s="2"/>
      <c r="D60" s="2"/>
      <c r="E60" s="464"/>
      <c r="F60" s="2"/>
      <c r="G60" s="2"/>
      <c r="H60" s="2"/>
      <c r="I60" s="2"/>
      <c r="J60" s="2"/>
      <c r="K60" s="2"/>
      <c r="L60" s="2"/>
      <c r="M60" s="2"/>
      <c r="N60" s="2"/>
      <c r="O60" s="2"/>
      <c r="P60" s="2"/>
      <c r="Q60" s="2"/>
    </row>
    <row r="61" ht="15.75" customHeight="1">
      <c r="B61" s="2"/>
      <c r="C61" s="2"/>
      <c r="D61" s="2"/>
      <c r="E61" s="464"/>
      <c r="F61" s="2"/>
      <c r="G61" s="2"/>
      <c r="H61" s="2"/>
      <c r="I61" s="2"/>
      <c r="J61" s="2"/>
      <c r="K61" s="2"/>
      <c r="L61" s="2"/>
      <c r="M61" s="2"/>
      <c r="N61" s="2"/>
      <c r="O61" s="2"/>
      <c r="P61" s="2"/>
      <c r="Q61" s="2"/>
    </row>
    <row r="62" ht="15.75" customHeight="1">
      <c r="B62" s="2"/>
      <c r="C62" s="2"/>
      <c r="D62" s="2"/>
      <c r="E62" s="464"/>
      <c r="F62" s="2"/>
      <c r="G62" s="2"/>
      <c r="H62" s="2"/>
      <c r="I62" s="2"/>
      <c r="J62" s="2"/>
      <c r="K62" s="2"/>
      <c r="L62" s="2"/>
      <c r="M62" s="2"/>
      <c r="N62" s="2"/>
      <c r="O62" s="2"/>
      <c r="P62" s="2"/>
      <c r="Q62" s="2"/>
    </row>
    <row r="63" ht="15.75" customHeight="1">
      <c r="B63" s="2"/>
      <c r="C63" s="2"/>
      <c r="D63" s="2"/>
      <c r="E63" s="464"/>
      <c r="F63" s="2"/>
      <c r="G63" s="2"/>
      <c r="H63" s="2"/>
      <c r="I63" s="2"/>
      <c r="J63" s="2"/>
      <c r="K63" s="2"/>
      <c r="L63" s="2"/>
      <c r="M63" s="2"/>
      <c r="N63" s="2"/>
      <c r="O63" s="2"/>
      <c r="P63" s="2"/>
      <c r="Q63" s="2"/>
    </row>
    <row r="64" ht="15.75" customHeight="1">
      <c r="B64" s="2"/>
      <c r="C64" s="2"/>
      <c r="D64" s="2"/>
      <c r="E64" s="464"/>
      <c r="F64" s="2"/>
      <c r="G64" s="2"/>
      <c r="H64" s="2"/>
      <c r="I64" s="2"/>
      <c r="J64" s="2"/>
      <c r="K64" s="2"/>
      <c r="L64" s="2"/>
      <c r="M64" s="2"/>
      <c r="N64" s="2"/>
      <c r="O64" s="2"/>
      <c r="P64" s="2"/>
      <c r="Q64" s="2"/>
    </row>
    <row r="65" ht="15.75" customHeight="1">
      <c r="B65" s="2"/>
      <c r="C65" s="2"/>
      <c r="D65" s="2"/>
      <c r="E65" s="464"/>
      <c r="F65" s="2"/>
      <c r="G65" s="2"/>
      <c r="H65" s="2"/>
      <c r="I65" s="2"/>
      <c r="J65" s="2"/>
      <c r="K65" s="2"/>
      <c r="L65" s="2"/>
      <c r="M65" s="2"/>
      <c r="N65" s="2"/>
      <c r="O65" s="2"/>
      <c r="P65" s="2"/>
      <c r="Q65" s="2"/>
    </row>
    <row r="66" ht="15.75" customHeight="1">
      <c r="B66" s="2"/>
      <c r="C66" s="2"/>
      <c r="D66" s="2"/>
      <c r="E66" s="464"/>
      <c r="F66" s="2"/>
      <c r="G66" s="2"/>
      <c r="H66" s="2"/>
      <c r="I66" s="2"/>
      <c r="J66" s="2"/>
      <c r="K66" s="2"/>
      <c r="L66" s="2"/>
      <c r="M66" s="2"/>
      <c r="N66" s="2"/>
      <c r="O66" s="2"/>
      <c r="P66" s="2"/>
      <c r="Q66" s="2"/>
    </row>
    <row r="67" ht="15.75" customHeight="1">
      <c r="B67" s="2"/>
      <c r="C67" s="2"/>
      <c r="D67" s="2"/>
      <c r="E67" s="464"/>
      <c r="F67" s="2"/>
      <c r="G67" s="2"/>
      <c r="H67" s="2"/>
      <c r="I67" s="2"/>
      <c r="J67" s="2"/>
      <c r="K67" s="2"/>
      <c r="L67" s="2"/>
      <c r="M67" s="2"/>
      <c r="N67" s="2"/>
      <c r="O67" s="2"/>
      <c r="P67" s="2"/>
      <c r="Q67" s="2"/>
    </row>
    <row r="68" ht="15.75" customHeight="1">
      <c r="B68" s="2"/>
      <c r="C68" s="2"/>
      <c r="D68" s="2"/>
      <c r="E68" s="464"/>
      <c r="F68" s="2"/>
      <c r="G68" s="2"/>
      <c r="H68" s="2"/>
      <c r="I68" s="2"/>
      <c r="J68" s="2"/>
      <c r="K68" s="2"/>
      <c r="L68" s="2"/>
      <c r="M68" s="2"/>
      <c r="N68" s="2"/>
      <c r="O68" s="2"/>
      <c r="P68" s="2"/>
      <c r="Q68" s="2"/>
    </row>
    <row r="69" ht="15.75" customHeight="1">
      <c r="B69" s="2"/>
      <c r="C69" s="2"/>
      <c r="D69" s="2"/>
      <c r="E69" s="464"/>
      <c r="F69" s="2"/>
      <c r="G69" s="2"/>
      <c r="H69" s="2"/>
      <c r="I69" s="2"/>
      <c r="J69" s="2"/>
      <c r="K69" s="2"/>
      <c r="L69" s="2"/>
      <c r="M69" s="2"/>
      <c r="N69" s="2"/>
      <c r="O69" s="2"/>
      <c r="P69" s="2"/>
      <c r="Q69" s="2"/>
    </row>
    <row r="70" ht="15.75" customHeight="1">
      <c r="B70" s="2"/>
      <c r="C70" s="2"/>
      <c r="D70" s="2"/>
      <c r="E70" s="464"/>
      <c r="F70" s="2"/>
      <c r="G70" s="2"/>
      <c r="H70" s="2"/>
      <c r="I70" s="2"/>
      <c r="J70" s="2"/>
      <c r="K70" s="2"/>
      <c r="L70" s="2"/>
      <c r="M70" s="2"/>
      <c r="N70" s="2"/>
      <c r="O70" s="2"/>
      <c r="P70" s="2"/>
      <c r="Q70" s="2"/>
    </row>
    <row r="71" ht="15.75" customHeight="1">
      <c r="B71" s="2"/>
      <c r="C71" s="2"/>
      <c r="D71" s="2"/>
      <c r="E71" s="464"/>
      <c r="F71" s="2"/>
      <c r="G71" s="2"/>
      <c r="H71" s="2"/>
      <c r="I71" s="2"/>
      <c r="J71" s="2"/>
      <c r="K71" s="2"/>
      <c r="L71" s="2"/>
      <c r="M71" s="2"/>
      <c r="N71" s="2"/>
      <c r="O71" s="2"/>
      <c r="P71" s="2"/>
      <c r="Q71" s="2"/>
    </row>
    <row r="72" ht="15.75" customHeight="1">
      <c r="B72" s="2"/>
      <c r="C72" s="2"/>
      <c r="D72" s="2"/>
      <c r="E72" s="464"/>
      <c r="F72" s="2"/>
      <c r="G72" s="2"/>
      <c r="H72" s="2"/>
      <c r="I72" s="2"/>
      <c r="J72" s="2"/>
      <c r="K72" s="2"/>
      <c r="L72" s="2"/>
      <c r="M72" s="2"/>
      <c r="N72" s="2"/>
      <c r="O72" s="2"/>
      <c r="P72" s="2"/>
      <c r="Q72" s="2"/>
    </row>
    <row r="73" ht="15.75" customHeight="1">
      <c r="B73" s="2"/>
      <c r="C73" s="2"/>
      <c r="D73" s="2"/>
      <c r="E73" s="464"/>
      <c r="F73" s="2"/>
      <c r="G73" s="2"/>
      <c r="H73" s="2"/>
      <c r="I73" s="2"/>
      <c r="J73" s="2"/>
      <c r="K73" s="2"/>
      <c r="L73" s="2"/>
      <c r="M73" s="2"/>
      <c r="N73" s="2"/>
      <c r="O73" s="2"/>
      <c r="P73" s="2"/>
      <c r="Q73" s="2"/>
    </row>
    <row r="74" ht="15.75" customHeight="1">
      <c r="B74" s="2"/>
      <c r="C74" s="2"/>
      <c r="D74" s="2"/>
      <c r="E74" s="464"/>
      <c r="F74" s="2"/>
      <c r="G74" s="2"/>
      <c r="H74" s="2"/>
      <c r="I74" s="2"/>
      <c r="J74" s="2"/>
      <c r="K74" s="2"/>
      <c r="L74" s="2"/>
      <c r="M74" s="2"/>
      <c r="N74" s="2"/>
      <c r="O74" s="2"/>
      <c r="P74" s="2"/>
      <c r="Q74" s="2"/>
    </row>
    <row r="75" ht="15.75" customHeight="1">
      <c r="B75" s="2"/>
      <c r="C75" s="2"/>
      <c r="D75" s="2"/>
      <c r="E75" s="464"/>
      <c r="F75" s="2"/>
      <c r="G75" s="2"/>
      <c r="H75" s="2"/>
      <c r="I75" s="2"/>
      <c r="J75" s="2"/>
      <c r="K75" s="2"/>
      <c r="L75" s="2"/>
      <c r="M75" s="2"/>
      <c r="N75" s="2"/>
      <c r="O75" s="2"/>
      <c r="P75" s="2"/>
      <c r="Q75" s="2"/>
    </row>
    <row r="76" ht="15.75" customHeight="1">
      <c r="B76" s="2"/>
      <c r="C76" s="2"/>
      <c r="D76" s="2"/>
      <c r="E76" s="464"/>
      <c r="F76" s="2"/>
      <c r="G76" s="2"/>
      <c r="H76" s="2"/>
      <c r="I76" s="2"/>
      <c r="J76" s="2"/>
      <c r="K76" s="2"/>
      <c r="L76" s="2"/>
      <c r="M76" s="2"/>
      <c r="N76" s="2"/>
      <c r="O76" s="2"/>
      <c r="P76" s="2"/>
      <c r="Q76" s="2"/>
    </row>
    <row r="77" ht="15.75" customHeight="1">
      <c r="B77" s="2"/>
      <c r="C77" s="2"/>
      <c r="D77" s="2"/>
      <c r="E77" s="464"/>
      <c r="F77" s="2"/>
      <c r="G77" s="2"/>
      <c r="H77" s="2"/>
      <c r="I77" s="2"/>
      <c r="J77" s="2"/>
      <c r="K77" s="2"/>
      <c r="L77" s="2"/>
      <c r="M77" s="2"/>
      <c r="N77" s="2"/>
      <c r="O77" s="2"/>
      <c r="P77" s="2"/>
      <c r="Q77" s="2"/>
    </row>
    <row r="78" ht="15.75" customHeight="1">
      <c r="B78" s="2"/>
      <c r="C78" s="2"/>
      <c r="D78" s="2"/>
      <c r="E78" s="464"/>
      <c r="F78" s="2"/>
      <c r="G78" s="2"/>
      <c r="H78" s="2"/>
      <c r="I78" s="2"/>
      <c r="J78" s="2"/>
      <c r="K78" s="2"/>
      <c r="L78" s="2"/>
      <c r="M78" s="2"/>
      <c r="N78" s="2"/>
      <c r="O78" s="2"/>
      <c r="P78" s="2"/>
      <c r="Q78" s="2"/>
    </row>
    <row r="79" ht="15.75" customHeight="1">
      <c r="B79" s="2"/>
      <c r="C79" s="2"/>
      <c r="D79" s="2"/>
      <c r="E79" s="464"/>
      <c r="F79" s="2"/>
      <c r="G79" s="2"/>
      <c r="H79" s="2"/>
      <c r="I79" s="2"/>
      <c r="J79" s="2"/>
      <c r="K79" s="2"/>
      <c r="L79" s="2"/>
      <c r="M79" s="2"/>
      <c r="N79" s="2"/>
      <c r="O79" s="2"/>
      <c r="P79" s="2"/>
      <c r="Q79" s="2"/>
    </row>
    <row r="80" ht="15.75" customHeight="1">
      <c r="B80" s="2"/>
      <c r="C80" s="2"/>
      <c r="D80" s="2"/>
      <c r="E80" s="464"/>
      <c r="F80" s="2"/>
      <c r="G80" s="2"/>
      <c r="H80" s="2"/>
      <c r="I80" s="2"/>
      <c r="J80" s="2"/>
      <c r="K80" s="2"/>
      <c r="L80" s="2"/>
      <c r="M80" s="2"/>
      <c r="N80" s="2"/>
      <c r="O80" s="2"/>
      <c r="P80" s="2"/>
      <c r="Q80" s="2"/>
    </row>
    <row r="81" ht="15.75" customHeight="1">
      <c r="B81" s="2"/>
      <c r="C81" s="2"/>
      <c r="D81" s="2"/>
      <c r="E81" s="464"/>
      <c r="F81" s="2"/>
      <c r="G81" s="2"/>
      <c r="H81" s="2"/>
      <c r="I81" s="2"/>
      <c r="J81" s="2"/>
      <c r="K81" s="2"/>
      <c r="L81" s="2"/>
      <c r="M81" s="2"/>
      <c r="N81" s="2"/>
      <c r="O81" s="2"/>
      <c r="P81" s="2"/>
      <c r="Q81" s="2"/>
    </row>
    <row r="82" ht="15.75" customHeight="1">
      <c r="B82" s="2"/>
      <c r="C82" s="2"/>
      <c r="D82" s="2"/>
      <c r="E82" s="464"/>
      <c r="F82" s="2"/>
      <c r="G82" s="2"/>
      <c r="H82" s="2"/>
      <c r="I82" s="2"/>
      <c r="J82" s="2"/>
      <c r="K82" s="2"/>
      <c r="L82" s="2"/>
      <c r="M82" s="2"/>
      <c r="N82" s="2"/>
      <c r="O82" s="2"/>
      <c r="P82" s="2"/>
      <c r="Q82" s="2"/>
    </row>
    <row r="83" ht="15.75" customHeight="1">
      <c r="B83" s="2"/>
      <c r="C83" s="2"/>
      <c r="D83" s="2"/>
      <c r="E83" s="464"/>
      <c r="F83" s="2"/>
      <c r="G83" s="2"/>
      <c r="H83" s="2"/>
      <c r="I83" s="2"/>
      <c r="J83" s="2"/>
      <c r="K83" s="2"/>
      <c r="L83" s="2"/>
      <c r="M83" s="2"/>
      <c r="N83" s="2"/>
      <c r="O83" s="2"/>
      <c r="P83" s="2"/>
      <c r="Q83" s="2"/>
    </row>
    <row r="84" ht="15.75" customHeight="1">
      <c r="B84" s="2"/>
      <c r="C84" s="2"/>
      <c r="D84" s="2"/>
      <c r="E84" s="464"/>
      <c r="F84" s="2"/>
      <c r="G84" s="2"/>
      <c r="H84" s="2"/>
      <c r="I84" s="2"/>
      <c r="J84" s="2"/>
      <c r="K84" s="2"/>
      <c r="L84" s="2"/>
      <c r="M84" s="2"/>
      <c r="N84" s="2"/>
      <c r="O84" s="2"/>
      <c r="P84" s="2"/>
      <c r="Q84" s="2"/>
    </row>
    <row r="85" ht="15.75" customHeight="1">
      <c r="B85" s="2"/>
      <c r="C85" s="2"/>
      <c r="D85" s="2"/>
      <c r="E85" s="464"/>
      <c r="F85" s="2"/>
      <c r="G85" s="2"/>
      <c r="H85" s="2"/>
      <c r="I85" s="2"/>
      <c r="J85" s="2"/>
      <c r="K85" s="2"/>
      <c r="L85" s="2"/>
      <c r="M85" s="2"/>
      <c r="N85" s="2"/>
      <c r="O85" s="2"/>
      <c r="P85" s="2"/>
      <c r="Q85" s="2"/>
    </row>
    <row r="86" ht="15.75" customHeight="1">
      <c r="B86" s="2"/>
      <c r="C86" s="2"/>
      <c r="D86" s="2"/>
      <c r="E86" s="464"/>
      <c r="F86" s="2"/>
      <c r="G86" s="2"/>
      <c r="H86" s="2"/>
      <c r="I86" s="2"/>
      <c r="J86" s="2"/>
      <c r="K86" s="2"/>
      <c r="L86" s="2"/>
      <c r="M86" s="2"/>
      <c r="N86" s="2"/>
      <c r="O86" s="2"/>
      <c r="P86" s="2"/>
      <c r="Q86" s="2"/>
    </row>
    <row r="87" ht="15.75" customHeight="1">
      <c r="B87" s="2"/>
      <c r="C87" s="2"/>
      <c r="D87" s="2"/>
      <c r="E87" s="464"/>
      <c r="F87" s="2"/>
      <c r="G87" s="2"/>
      <c r="H87" s="2"/>
      <c r="I87" s="2"/>
      <c r="J87" s="2"/>
      <c r="K87" s="2"/>
      <c r="L87" s="2"/>
      <c r="M87" s="2"/>
      <c r="N87" s="2"/>
      <c r="O87" s="2"/>
      <c r="P87" s="2"/>
      <c r="Q87" s="2"/>
    </row>
    <row r="88" ht="15.75" customHeight="1">
      <c r="B88" s="2"/>
      <c r="C88" s="2"/>
      <c r="D88" s="2"/>
      <c r="E88" s="464"/>
      <c r="F88" s="2"/>
      <c r="G88" s="2"/>
      <c r="H88" s="2"/>
      <c r="I88" s="2"/>
      <c r="J88" s="2"/>
      <c r="K88" s="2"/>
      <c r="L88" s="2"/>
      <c r="M88" s="2"/>
      <c r="N88" s="2"/>
      <c r="O88" s="2"/>
      <c r="P88" s="2"/>
      <c r="Q88" s="2"/>
    </row>
    <row r="89" ht="15.75" customHeight="1">
      <c r="B89" s="2"/>
      <c r="C89" s="2"/>
      <c r="D89" s="2"/>
      <c r="E89" s="464"/>
      <c r="F89" s="2"/>
      <c r="G89" s="2"/>
      <c r="H89" s="2"/>
      <c r="I89" s="2"/>
      <c r="J89" s="2"/>
      <c r="K89" s="2"/>
      <c r="L89" s="2"/>
      <c r="M89" s="2"/>
      <c r="N89" s="2"/>
      <c r="O89" s="2"/>
      <c r="P89" s="2"/>
      <c r="Q89" s="2"/>
    </row>
    <row r="90" ht="15.75" customHeight="1">
      <c r="B90" s="2"/>
      <c r="C90" s="2"/>
      <c r="D90" s="2"/>
      <c r="E90" s="464"/>
      <c r="F90" s="2"/>
      <c r="G90" s="2"/>
      <c r="H90" s="2"/>
      <c r="I90" s="2"/>
      <c r="J90" s="2"/>
      <c r="K90" s="2"/>
      <c r="L90" s="2"/>
      <c r="M90" s="2"/>
      <c r="N90" s="2"/>
      <c r="O90" s="2"/>
      <c r="P90" s="2"/>
      <c r="Q90" s="2"/>
    </row>
    <row r="91" ht="15.75" customHeight="1">
      <c r="B91" s="2"/>
      <c r="C91" s="2"/>
      <c r="D91" s="2"/>
      <c r="E91" s="464"/>
      <c r="F91" s="2"/>
      <c r="G91" s="2"/>
      <c r="H91" s="2"/>
      <c r="I91" s="2"/>
      <c r="J91" s="2"/>
      <c r="K91" s="2"/>
      <c r="L91" s="2"/>
      <c r="M91" s="2"/>
      <c r="N91" s="2"/>
      <c r="O91" s="2"/>
      <c r="P91" s="2"/>
      <c r="Q91" s="2"/>
    </row>
    <row r="92" ht="15.75" customHeight="1">
      <c r="B92" s="2"/>
      <c r="C92" s="2"/>
      <c r="D92" s="2"/>
      <c r="E92" s="464"/>
      <c r="F92" s="2"/>
      <c r="G92" s="2"/>
      <c r="H92" s="2"/>
      <c r="I92" s="2"/>
      <c r="J92" s="2"/>
      <c r="K92" s="2"/>
      <c r="L92" s="2"/>
      <c r="M92" s="2"/>
      <c r="N92" s="2"/>
      <c r="O92" s="2"/>
      <c r="P92" s="2"/>
      <c r="Q92" s="2"/>
    </row>
    <row r="93" ht="15.75" customHeight="1">
      <c r="B93" s="2"/>
      <c r="C93" s="2"/>
      <c r="D93" s="2"/>
      <c r="E93" s="464"/>
      <c r="F93" s="2"/>
      <c r="G93" s="2"/>
      <c r="H93" s="2"/>
      <c r="I93" s="2"/>
      <c r="J93" s="2"/>
      <c r="K93" s="2"/>
      <c r="L93" s="2"/>
      <c r="M93" s="2"/>
      <c r="N93" s="2"/>
      <c r="O93" s="2"/>
      <c r="P93" s="2"/>
      <c r="Q93" s="2"/>
    </row>
    <row r="94" ht="15.75" customHeight="1">
      <c r="B94" s="2"/>
      <c r="C94" s="2"/>
      <c r="D94" s="2"/>
      <c r="E94" s="464"/>
      <c r="F94" s="2"/>
      <c r="G94" s="2"/>
      <c r="H94" s="2"/>
      <c r="I94" s="2"/>
      <c r="J94" s="2"/>
      <c r="K94" s="2"/>
      <c r="L94" s="2"/>
      <c r="M94" s="2"/>
      <c r="N94" s="2"/>
      <c r="O94" s="2"/>
      <c r="P94" s="2"/>
      <c r="Q94" s="2"/>
    </row>
    <row r="95" ht="15.75" customHeight="1">
      <c r="B95" s="2"/>
      <c r="C95" s="2"/>
      <c r="D95" s="2"/>
      <c r="E95" s="464"/>
      <c r="F95" s="2"/>
      <c r="G95" s="2"/>
      <c r="H95" s="2"/>
      <c r="I95" s="2"/>
      <c r="J95" s="2"/>
      <c r="K95" s="2"/>
      <c r="L95" s="2"/>
      <c r="M95" s="2"/>
      <c r="N95" s="2"/>
      <c r="O95" s="2"/>
      <c r="P95" s="2"/>
      <c r="Q95" s="2"/>
    </row>
    <row r="96" ht="15.75" customHeight="1">
      <c r="B96" s="2"/>
      <c r="C96" s="2"/>
      <c r="D96" s="2"/>
      <c r="E96" s="464"/>
      <c r="F96" s="2"/>
      <c r="G96" s="2"/>
      <c r="H96" s="2"/>
      <c r="I96" s="2"/>
      <c r="J96" s="2"/>
      <c r="K96" s="2"/>
      <c r="L96" s="2"/>
      <c r="M96" s="2"/>
      <c r="N96" s="2"/>
      <c r="O96" s="2"/>
      <c r="P96" s="2"/>
      <c r="Q96" s="2"/>
    </row>
    <row r="97" ht="15.75" customHeight="1">
      <c r="B97" s="2"/>
      <c r="C97" s="2"/>
      <c r="D97" s="2"/>
      <c r="E97" s="464"/>
      <c r="F97" s="2"/>
      <c r="G97" s="2"/>
      <c r="H97" s="2"/>
      <c r="I97" s="2"/>
      <c r="J97" s="2"/>
      <c r="K97" s="2"/>
      <c r="L97" s="2"/>
      <c r="M97" s="2"/>
      <c r="N97" s="2"/>
      <c r="O97" s="2"/>
      <c r="P97" s="2"/>
      <c r="Q97" s="2"/>
    </row>
    <row r="98" ht="15.75" customHeight="1">
      <c r="B98" s="2"/>
      <c r="C98" s="2"/>
      <c r="D98" s="2"/>
      <c r="E98" s="464"/>
      <c r="F98" s="2"/>
      <c r="G98" s="2"/>
      <c r="H98" s="2"/>
      <c r="I98" s="2"/>
      <c r="J98" s="2"/>
      <c r="K98" s="2"/>
      <c r="L98" s="2"/>
      <c r="M98" s="2"/>
      <c r="N98" s="2"/>
      <c r="O98" s="2"/>
      <c r="P98" s="2"/>
      <c r="Q98" s="2"/>
    </row>
    <row r="99" ht="15.75" customHeight="1">
      <c r="B99" s="2"/>
      <c r="C99" s="2"/>
      <c r="D99" s="2"/>
      <c r="E99" s="464"/>
      <c r="F99" s="2"/>
      <c r="G99" s="2"/>
      <c r="H99" s="2"/>
      <c r="I99" s="2"/>
      <c r="J99" s="2"/>
      <c r="K99" s="2"/>
      <c r="L99" s="2"/>
      <c r="M99" s="2"/>
      <c r="N99" s="2"/>
      <c r="O99" s="2"/>
      <c r="P99" s="2"/>
      <c r="Q99" s="2"/>
    </row>
    <row r="100" ht="15.75" customHeight="1">
      <c r="B100" s="2"/>
      <c r="C100" s="2"/>
      <c r="D100" s="2"/>
      <c r="E100" s="464"/>
      <c r="F100" s="2"/>
      <c r="G100" s="2"/>
      <c r="H100" s="2"/>
      <c r="I100" s="2"/>
      <c r="J100" s="2"/>
      <c r="K100" s="2"/>
      <c r="L100" s="2"/>
      <c r="M100" s="2"/>
      <c r="N100" s="2"/>
      <c r="O100" s="2"/>
      <c r="P100" s="2"/>
      <c r="Q100" s="2"/>
    </row>
    <row r="101" ht="15.75" customHeight="1">
      <c r="B101" s="2"/>
      <c r="C101" s="2"/>
      <c r="D101" s="2"/>
      <c r="E101" s="464"/>
      <c r="F101" s="2"/>
      <c r="G101" s="2"/>
      <c r="H101" s="2"/>
      <c r="I101" s="2"/>
      <c r="J101" s="2"/>
      <c r="K101" s="2"/>
      <c r="L101" s="2"/>
      <c r="M101" s="2"/>
      <c r="N101" s="2"/>
      <c r="O101" s="2"/>
      <c r="P101" s="2"/>
      <c r="Q101" s="2"/>
    </row>
    <row r="102" ht="15.75" customHeight="1">
      <c r="B102" s="2"/>
      <c r="C102" s="2"/>
      <c r="D102" s="2"/>
      <c r="E102" s="464"/>
      <c r="F102" s="2"/>
      <c r="G102" s="2"/>
      <c r="H102" s="2"/>
      <c r="I102" s="2"/>
      <c r="J102" s="2"/>
      <c r="K102" s="2"/>
      <c r="L102" s="2"/>
      <c r="M102" s="2"/>
      <c r="N102" s="2"/>
      <c r="O102" s="2"/>
      <c r="P102" s="2"/>
      <c r="Q102" s="2"/>
    </row>
    <row r="103" ht="15.75" customHeight="1">
      <c r="B103" s="2"/>
      <c r="C103" s="2"/>
      <c r="D103" s="2"/>
      <c r="E103" s="464"/>
      <c r="F103" s="2"/>
      <c r="G103" s="2"/>
      <c r="H103" s="2"/>
      <c r="I103" s="2"/>
      <c r="J103" s="2"/>
      <c r="K103" s="2"/>
      <c r="L103" s="2"/>
      <c r="M103" s="2"/>
      <c r="N103" s="2"/>
      <c r="O103" s="2"/>
      <c r="P103" s="2"/>
      <c r="Q103" s="2"/>
    </row>
    <row r="104" ht="15.75" customHeight="1">
      <c r="B104" s="2"/>
      <c r="C104" s="2"/>
      <c r="D104" s="2"/>
      <c r="E104" s="464"/>
      <c r="F104" s="2"/>
      <c r="G104" s="2"/>
      <c r="H104" s="2"/>
      <c r="I104" s="2"/>
      <c r="J104" s="2"/>
      <c r="K104" s="2"/>
      <c r="L104" s="2"/>
      <c r="M104" s="2"/>
      <c r="N104" s="2"/>
      <c r="O104" s="2"/>
      <c r="P104" s="2"/>
      <c r="Q104" s="2"/>
    </row>
    <row r="105" ht="15.75" customHeight="1">
      <c r="B105" s="2"/>
      <c r="C105" s="2"/>
      <c r="D105" s="2"/>
      <c r="E105" s="464"/>
      <c r="F105" s="2"/>
      <c r="G105" s="2"/>
      <c r="H105" s="2"/>
      <c r="I105" s="2"/>
      <c r="J105" s="2"/>
      <c r="K105" s="2"/>
      <c r="L105" s="2"/>
      <c r="M105" s="2"/>
      <c r="N105" s="2"/>
      <c r="O105" s="2"/>
      <c r="P105" s="2"/>
      <c r="Q105" s="2"/>
    </row>
    <row r="106" ht="15.75" customHeight="1">
      <c r="B106" s="2"/>
      <c r="C106" s="2"/>
      <c r="D106" s="2"/>
      <c r="E106" s="464"/>
      <c r="F106" s="2"/>
      <c r="G106" s="2"/>
      <c r="H106" s="2"/>
      <c r="I106" s="2"/>
      <c r="J106" s="2"/>
      <c r="K106" s="2"/>
      <c r="L106" s="2"/>
      <c r="M106" s="2"/>
      <c r="N106" s="2"/>
      <c r="O106" s="2"/>
      <c r="P106" s="2"/>
      <c r="Q106" s="2"/>
    </row>
    <row r="107" ht="15.75" customHeight="1">
      <c r="B107" s="2"/>
      <c r="C107" s="2"/>
      <c r="D107" s="2"/>
      <c r="E107" s="464"/>
      <c r="F107" s="2"/>
      <c r="G107" s="2"/>
      <c r="H107" s="2"/>
      <c r="I107" s="2"/>
      <c r="J107" s="2"/>
      <c r="K107" s="2"/>
      <c r="L107" s="2"/>
      <c r="M107" s="2"/>
      <c r="N107" s="2"/>
      <c r="O107" s="2"/>
      <c r="P107" s="2"/>
      <c r="Q107" s="2"/>
    </row>
    <row r="108" ht="15.75" customHeight="1">
      <c r="B108" s="2"/>
      <c r="C108" s="2"/>
      <c r="D108" s="2"/>
      <c r="E108" s="464"/>
      <c r="F108" s="2"/>
      <c r="G108" s="2"/>
      <c r="H108" s="2"/>
      <c r="I108" s="2"/>
      <c r="J108" s="2"/>
      <c r="K108" s="2"/>
      <c r="L108" s="2"/>
      <c r="M108" s="2"/>
      <c r="N108" s="2"/>
      <c r="O108" s="2"/>
      <c r="P108" s="2"/>
      <c r="Q108" s="2"/>
    </row>
    <row r="109" ht="15.75" customHeight="1">
      <c r="B109" s="2"/>
      <c r="C109" s="2"/>
      <c r="D109" s="2"/>
      <c r="E109" s="464"/>
      <c r="F109" s="2"/>
      <c r="G109" s="2"/>
      <c r="H109" s="2"/>
      <c r="I109" s="2"/>
      <c r="J109" s="2"/>
      <c r="K109" s="2"/>
      <c r="L109" s="2"/>
      <c r="M109" s="2"/>
      <c r="N109" s="2"/>
      <c r="O109" s="2"/>
      <c r="P109" s="2"/>
      <c r="Q109" s="2"/>
    </row>
    <row r="110" ht="15.75" customHeight="1">
      <c r="B110" s="2"/>
      <c r="C110" s="2"/>
      <c r="D110" s="2"/>
      <c r="E110" s="464"/>
      <c r="F110" s="2"/>
      <c r="G110" s="2"/>
      <c r="H110" s="2"/>
      <c r="I110" s="2"/>
      <c r="J110" s="2"/>
      <c r="K110" s="2"/>
      <c r="L110" s="2"/>
      <c r="M110" s="2"/>
      <c r="N110" s="2"/>
      <c r="O110" s="2"/>
      <c r="P110" s="2"/>
      <c r="Q110" s="2"/>
    </row>
    <row r="111" ht="15.75" customHeight="1">
      <c r="B111" s="2"/>
      <c r="C111" s="2"/>
      <c r="D111" s="2"/>
      <c r="E111" s="464"/>
      <c r="F111" s="2"/>
      <c r="G111" s="2"/>
      <c r="H111" s="2"/>
      <c r="I111" s="2"/>
      <c r="J111" s="2"/>
      <c r="K111" s="2"/>
      <c r="L111" s="2"/>
      <c r="M111" s="2"/>
      <c r="N111" s="2"/>
      <c r="O111" s="2"/>
      <c r="P111" s="2"/>
      <c r="Q111" s="2"/>
    </row>
    <row r="112" ht="15.75" customHeight="1">
      <c r="B112" s="2"/>
      <c r="C112" s="2"/>
      <c r="D112" s="2"/>
      <c r="E112" s="464"/>
      <c r="F112" s="2"/>
      <c r="G112" s="2"/>
      <c r="H112" s="2"/>
      <c r="I112" s="2"/>
      <c r="J112" s="2"/>
      <c r="K112" s="2"/>
      <c r="L112" s="2"/>
      <c r="M112" s="2"/>
      <c r="N112" s="2"/>
      <c r="O112" s="2"/>
      <c r="P112" s="2"/>
      <c r="Q112" s="2"/>
    </row>
    <row r="113" ht="15.75" customHeight="1">
      <c r="B113" s="2"/>
      <c r="C113" s="2"/>
      <c r="D113" s="2"/>
      <c r="E113" s="464"/>
      <c r="F113" s="2"/>
      <c r="G113" s="2"/>
      <c r="H113" s="2"/>
      <c r="I113" s="2"/>
      <c r="J113" s="2"/>
      <c r="K113" s="2"/>
      <c r="L113" s="2"/>
      <c r="M113" s="2"/>
      <c r="N113" s="2"/>
      <c r="O113" s="2"/>
      <c r="P113" s="2"/>
      <c r="Q113" s="2"/>
    </row>
    <row r="114" ht="15.75" customHeight="1">
      <c r="B114" s="2"/>
      <c r="C114" s="2"/>
      <c r="D114" s="2"/>
      <c r="E114" s="464"/>
      <c r="F114" s="2"/>
      <c r="G114" s="2"/>
      <c r="H114" s="2"/>
      <c r="I114" s="2"/>
      <c r="J114" s="2"/>
      <c r="K114" s="2"/>
      <c r="L114" s="2"/>
      <c r="M114" s="2"/>
      <c r="N114" s="2"/>
      <c r="O114" s="2"/>
      <c r="P114" s="2"/>
      <c r="Q114" s="2"/>
    </row>
    <row r="115" ht="15.75" customHeight="1">
      <c r="B115" s="2"/>
      <c r="C115" s="2"/>
      <c r="D115" s="2"/>
      <c r="E115" s="464"/>
      <c r="F115" s="2"/>
      <c r="G115" s="2"/>
      <c r="H115" s="2"/>
      <c r="I115" s="2"/>
      <c r="J115" s="2"/>
      <c r="K115" s="2"/>
      <c r="L115" s="2"/>
      <c r="M115" s="2"/>
      <c r="N115" s="2"/>
      <c r="O115" s="2"/>
      <c r="P115" s="2"/>
      <c r="Q115" s="2"/>
    </row>
    <row r="116" ht="15.75" customHeight="1">
      <c r="B116" s="2"/>
      <c r="C116" s="2"/>
      <c r="D116" s="2"/>
      <c r="E116" s="464"/>
      <c r="F116" s="2"/>
      <c r="G116" s="2"/>
      <c r="H116" s="2"/>
      <c r="I116" s="2"/>
      <c r="J116" s="2"/>
      <c r="K116" s="2"/>
      <c r="L116" s="2"/>
      <c r="M116" s="2"/>
      <c r="N116" s="2"/>
      <c r="O116" s="2"/>
      <c r="P116" s="2"/>
      <c r="Q116" s="2"/>
    </row>
    <row r="117" ht="15.75" customHeight="1">
      <c r="B117" s="2"/>
      <c r="C117" s="2"/>
      <c r="D117" s="2"/>
      <c r="E117" s="464"/>
      <c r="F117" s="2"/>
      <c r="G117" s="2"/>
      <c r="H117" s="2"/>
      <c r="I117" s="2"/>
      <c r="J117" s="2"/>
      <c r="K117" s="2"/>
      <c r="L117" s="2"/>
      <c r="M117" s="2"/>
      <c r="N117" s="2"/>
      <c r="O117" s="2"/>
      <c r="P117" s="2"/>
      <c r="Q117" s="2"/>
    </row>
    <row r="118" ht="15.75" customHeight="1">
      <c r="B118" s="2"/>
      <c r="C118" s="2"/>
      <c r="D118" s="2"/>
      <c r="E118" s="464"/>
      <c r="F118" s="2"/>
      <c r="G118" s="2"/>
      <c r="H118" s="2"/>
      <c r="I118" s="2"/>
      <c r="J118" s="2"/>
      <c r="K118" s="2"/>
      <c r="L118" s="2"/>
      <c r="M118" s="2"/>
      <c r="N118" s="2"/>
      <c r="O118" s="2"/>
      <c r="P118" s="2"/>
      <c r="Q118" s="2"/>
    </row>
    <row r="119" ht="15.75" customHeight="1">
      <c r="B119" s="2"/>
      <c r="C119" s="2"/>
      <c r="D119" s="2"/>
      <c r="E119" s="464"/>
      <c r="F119" s="2"/>
      <c r="G119" s="2"/>
      <c r="H119" s="2"/>
      <c r="I119" s="2"/>
      <c r="J119" s="2"/>
      <c r="K119" s="2"/>
      <c r="L119" s="2"/>
      <c r="M119" s="2"/>
      <c r="N119" s="2"/>
      <c r="O119" s="2"/>
      <c r="P119" s="2"/>
      <c r="Q119" s="2"/>
    </row>
    <row r="120" ht="15.75" customHeight="1">
      <c r="B120" s="2"/>
      <c r="C120" s="2"/>
      <c r="D120" s="2"/>
      <c r="E120" s="464"/>
      <c r="F120" s="2"/>
      <c r="G120" s="2"/>
      <c r="H120" s="2"/>
      <c r="I120" s="2"/>
      <c r="J120" s="2"/>
      <c r="K120" s="2"/>
      <c r="L120" s="2"/>
      <c r="M120" s="2"/>
      <c r="N120" s="2"/>
      <c r="O120" s="2"/>
      <c r="P120" s="2"/>
      <c r="Q120" s="2"/>
    </row>
    <row r="121" ht="15.75" customHeight="1">
      <c r="B121" s="2"/>
      <c r="C121" s="2"/>
      <c r="D121" s="2"/>
      <c r="E121" s="464"/>
      <c r="F121" s="2"/>
      <c r="G121" s="2"/>
      <c r="H121" s="2"/>
      <c r="I121" s="2"/>
      <c r="J121" s="2"/>
      <c r="K121" s="2"/>
      <c r="L121" s="2"/>
      <c r="M121" s="2"/>
      <c r="N121" s="2"/>
      <c r="O121" s="2"/>
      <c r="P121" s="2"/>
      <c r="Q121" s="2"/>
    </row>
    <row r="122" ht="15.75" customHeight="1">
      <c r="B122" s="2"/>
      <c r="C122" s="2"/>
      <c r="D122" s="2"/>
      <c r="E122" s="464"/>
      <c r="F122" s="2"/>
      <c r="G122" s="2"/>
      <c r="H122" s="2"/>
      <c r="I122" s="2"/>
      <c r="J122" s="2"/>
      <c r="K122" s="2"/>
      <c r="L122" s="2"/>
      <c r="M122" s="2"/>
      <c r="N122" s="2"/>
      <c r="O122" s="2"/>
      <c r="P122" s="2"/>
      <c r="Q122" s="2"/>
    </row>
    <row r="123" ht="15.75" customHeight="1">
      <c r="B123" s="2"/>
      <c r="C123" s="2"/>
      <c r="D123" s="2"/>
      <c r="E123" s="464"/>
      <c r="F123" s="2"/>
      <c r="G123" s="2"/>
      <c r="H123" s="2"/>
      <c r="I123" s="2"/>
      <c r="J123" s="2"/>
      <c r="K123" s="2"/>
      <c r="L123" s="2"/>
      <c r="M123" s="2"/>
      <c r="N123" s="2"/>
      <c r="O123" s="2"/>
      <c r="P123" s="2"/>
      <c r="Q123" s="2"/>
    </row>
    <row r="124" ht="15.75" customHeight="1">
      <c r="B124" s="2"/>
      <c r="C124" s="2"/>
      <c r="D124" s="2"/>
      <c r="E124" s="464"/>
      <c r="F124" s="2"/>
      <c r="G124" s="2"/>
      <c r="H124" s="2"/>
      <c r="I124" s="2"/>
      <c r="J124" s="2"/>
      <c r="K124" s="2"/>
      <c r="L124" s="2"/>
      <c r="M124" s="2"/>
      <c r="N124" s="2"/>
      <c r="O124" s="2"/>
      <c r="P124" s="2"/>
      <c r="Q124" s="2"/>
    </row>
    <row r="125" ht="15.75" customHeight="1">
      <c r="B125" s="2"/>
      <c r="C125" s="2"/>
      <c r="D125" s="2"/>
      <c r="E125" s="464"/>
      <c r="F125" s="2"/>
      <c r="G125" s="2"/>
      <c r="H125" s="2"/>
      <c r="I125" s="2"/>
      <c r="J125" s="2"/>
      <c r="K125" s="2"/>
      <c r="L125" s="2"/>
      <c r="M125" s="2"/>
      <c r="N125" s="2"/>
      <c r="O125" s="2"/>
      <c r="P125" s="2"/>
      <c r="Q125" s="2"/>
    </row>
    <row r="126" ht="15.75" customHeight="1">
      <c r="B126" s="2"/>
      <c r="C126" s="2"/>
      <c r="D126" s="2"/>
      <c r="E126" s="464"/>
      <c r="F126" s="2"/>
      <c r="G126" s="2"/>
      <c r="H126" s="2"/>
      <c r="I126" s="2"/>
      <c r="J126" s="2"/>
      <c r="K126" s="2"/>
      <c r="L126" s="2"/>
      <c r="M126" s="2"/>
      <c r="N126" s="2"/>
      <c r="O126" s="2"/>
      <c r="P126" s="2"/>
      <c r="Q126" s="2"/>
    </row>
    <row r="127" ht="15.75" customHeight="1">
      <c r="B127" s="2"/>
      <c r="C127" s="2"/>
      <c r="D127" s="2"/>
      <c r="E127" s="464"/>
      <c r="F127" s="2"/>
      <c r="G127" s="2"/>
      <c r="H127" s="2"/>
      <c r="I127" s="2"/>
      <c r="J127" s="2"/>
      <c r="K127" s="2"/>
      <c r="L127" s="2"/>
      <c r="M127" s="2"/>
      <c r="N127" s="2"/>
      <c r="O127" s="2"/>
      <c r="P127" s="2"/>
      <c r="Q127" s="2"/>
    </row>
    <row r="128" ht="15.75" customHeight="1">
      <c r="B128" s="2"/>
      <c r="C128" s="2"/>
      <c r="D128" s="2"/>
      <c r="E128" s="464"/>
      <c r="F128" s="2"/>
      <c r="G128" s="2"/>
      <c r="H128" s="2"/>
      <c r="I128" s="2"/>
      <c r="J128" s="2"/>
      <c r="K128" s="2"/>
      <c r="L128" s="2"/>
      <c r="M128" s="2"/>
      <c r="N128" s="2"/>
      <c r="O128" s="2"/>
      <c r="P128" s="2"/>
      <c r="Q128" s="2"/>
    </row>
    <row r="129" ht="15.75" customHeight="1">
      <c r="B129" s="2"/>
      <c r="C129" s="2"/>
      <c r="D129" s="2"/>
      <c r="E129" s="464"/>
      <c r="F129" s="2"/>
      <c r="G129" s="2"/>
      <c r="H129" s="2"/>
      <c r="I129" s="2"/>
      <c r="J129" s="2"/>
      <c r="K129" s="2"/>
      <c r="L129" s="2"/>
      <c r="M129" s="2"/>
      <c r="N129" s="2"/>
      <c r="O129" s="2"/>
      <c r="P129" s="2"/>
      <c r="Q129" s="2"/>
    </row>
    <row r="130" ht="15.75" customHeight="1">
      <c r="B130" s="2"/>
      <c r="C130" s="2"/>
      <c r="D130" s="2"/>
      <c r="E130" s="464"/>
      <c r="F130" s="2"/>
      <c r="G130" s="2"/>
      <c r="H130" s="2"/>
      <c r="I130" s="2"/>
      <c r="J130" s="2"/>
      <c r="K130" s="2"/>
      <c r="L130" s="2"/>
      <c r="M130" s="2"/>
      <c r="N130" s="2"/>
      <c r="O130" s="2"/>
      <c r="P130" s="2"/>
      <c r="Q130" s="2"/>
    </row>
    <row r="131" ht="15.75" customHeight="1">
      <c r="B131" s="2"/>
      <c r="C131" s="2"/>
      <c r="D131" s="2"/>
      <c r="E131" s="464"/>
      <c r="F131" s="2"/>
      <c r="G131" s="2"/>
      <c r="H131" s="2"/>
      <c r="I131" s="2"/>
      <c r="J131" s="2"/>
      <c r="K131" s="2"/>
      <c r="L131" s="2"/>
      <c r="M131" s="2"/>
      <c r="N131" s="2"/>
      <c r="O131" s="2"/>
      <c r="P131" s="2"/>
      <c r="Q131" s="2"/>
    </row>
    <row r="132" ht="15.75" customHeight="1">
      <c r="B132" s="2"/>
      <c r="C132" s="2"/>
      <c r="D132" s="2"/>
      <c r="E132" s="464"/>
      <c r="F132" s="2"/>
      <c r="G132" s="2"/>
      <c r="H132" s="2"/>
      <c r="I132" s="2"/>
      <c r="J132" s="2"/>
      <c r="K132" s="2"/>
      <c r="L132" s="2"/>
      <c r="M132" s="2"/>
      <c r="N132" s="2"/>
      <c r="O132" s="2"/>
      <c r="P132" s="2"/>
      <c r="Q132" s="2"/>
    </row>
    <row r="133" ht="15.75" customHeight="1">
      <c r="B133" s="2"/>
      <c r="C133" s="2"/>
      <c r="D133" s="2"/>
      <c r="E133" s="464"/>
      <c r="F133" s="2"/>
      <c r="G133" s="2"/>
      <c r="H133" s="2"/>
      <c r="I133" s="2"/>
      <c r="J133" s="2"/>
      <c r="K133" s="2"/>
      <c r="L133" s="2"/>
      <c r="M133" s="2"/>
      <c r="N133" s="2"/>
      <c r="O133" s="2"/>
      <c r="P133" s="2"/>
      <c r="Q133" s="2"/>
    </row>
    <row r="134" ht="15.75" customHeight="1">
      <c r="B134" s="2"/>
      <c r="C134" s="2"/>
      <c r="D134" s="2"/>
      <c r="E134" s="464"/>
      <c r="F134" s="2"/>
      <c r="G134" s="2"/>
      <c r="H134" s="2"/>
      <c r="I134" s="2"/>
      <c r="J134" s="2"/>
      <c r="K134" s="2"/>
      <c r="L134" s="2"/>
      <c r="M134" s="2"/>
      <c r="N134" s="2"/>
      <c r="O134" s="2"/>
      <c r="P134" s="2"/>
      <c r="Q134" s="2"/>
    </row>
    <row r="135" ht="15.75" customHeight="1">
      <c r="B135" s="2"/>
      <c r="C135" s="2"/>
      <c r="D135" s="2"/>
      <c r="E135" s="464"/>
      <c r="F135" s="2"/>
      <c r="G135" s="2"/>
      <c r="H135" s="2"/>
      <c r="I135" s="2"/>
      <c r="J135" s="2"/>
      <c r="K135" s="2"/>
      <c r="L135" s="2"/>
      <c r="M135" s="2"/>
      <c r="N135" s="2"/>
      <c r="O135" s="2"/>
      <c r="P135" s="2"/>
      <c r="Q135" s="2"/>
    </row>
    <row r="136" ht="15.75" customHeight="1">
      <c r="B136" s="2"/>
      <c r="C136" s="2"/>
      <c r="D136" s="2"/>
      <c r="E136" s="464"/>
      <c r="F136" s="2"/>
      <c r="G136" s="2"/>
      <c r="H136" s="2"/>
      <c r="I136" s="2"/>
      <c r="J136" s="2"/>
      <c r="K136" s="2"/>
      <c r="L136" s="2"/>
      <c r="M136" s="2"/>
      <c r="N136" s="2"/>
      <c r="O136" s="2"/>
      <c r="P136" s="2"/>
      <c r="Q136" s="2"/>
    </row>
    <row r="137" ht="15.75" customHeight="1">
      <c r="B137" s="2"/>
      <c r="C137" s="2"/>
      <c r="D137" s="2"/>
      <c r="E137" s="464"/>
      <c r="F137" s="2"/>
      <c r="G137" s="2"/>
      <c r="H137" s="2"/>
      <c r="I137" s="2"/>
      <c r="J137" s="2"/>
      <c r="K137" s="2"/>
      <c r="L137" s="2"/>
      <c r="M137" s="2"/>
      <c r="N137" s="2"/>
      <c r="O137" s="2"/>
      <c r="P137" s="2"/>
      <c r="Q137" s="2"/>
    </row>
    <row r="138" ht="15.75" customHeight="1">
      <c r="B138" s="2"/>
      <c r="C138" s="2"/>
      <c r="D138" s="2"/>
      <c r="E138" s="464"/>
      <c r="F138" s="2"/>
      <c r="G138" s="2"/>
      <c r="H138" s="2"/>
      <c r="I138" s="2"/>
      <c r="J138" s="2"/>
      <c r="K138" s="2"/>
      <c r="L138" s="2"/>
      <c r="M138" s="2"/>
      <c r="N138" s="2"/>
      <c r="O138" s="2"/>
      <c r="P138" s="2"/>
      <c r="Q138" s="2"/>
    </row>
    <row r="139" ht="15.75" customHeight="1">
      <c r="B139" s="2"/>
      <c r="C139" s="2"/>
      <c r="D139" s="2"/>
      <c r="E139" s="464"/>
      <c r="F139" s="2"/>
      <c r="G139" s="2"/>
      <c r="H139" s="2"/>
      <c r="I139" s="2"/>
      <c r="J139" s="2"/>
      <c r="K139" s="2"/>
      <c r="L139" s="2"/>
      <c r="M139" s="2"/>
      <c r="N139" s="2"/>
      <c r="O139" s="2"/>
      <c r="P139" s="2"/>
      <c r="Q139" s="2"/>
    </row>
    <row r="140" ht="15.75" customHeight="1">
      <c r="B140" s="2"/>
      <c r="C140" s="2"/>
      <c r="D140" s="2"/>
      <c r="E140" s="464"/>
      <c r="F140" s="2"/>
      <c r="G140" s="2"/>
      <c r="H140" s="2"/>
      <c r="I140" s="2"/>
      <c r="J140" s="2"/>
      <c r="K140" s="2"/>
      <c r="L140" s="2"/>
      <c r="M140" s="2"/>
      <c r="N140" s="2"/>
      <c r="O140" s="2"/>
      <c r="P140" s="2"/>
      <c r="Q140" s="2"/>
    </row>
    <row r="141" ht="15.75" customHeight="1">
      <c r="B141" s="2"/>
      <c r="C141" s="2"/>
      <c r="D141" s="2"/>
      <c r="E141" s="464"/>
      <c r="F141" s="2"/>
      <c r="G141" s="2"/>
      <c r="H141" s="2"/>
      <c r="I141" s="2"/>
      <c r="J141" s="2"/>
      <c r="K141" s="2"/>
      <c r="L141" s="2"/>
      <c r="M141" s="2"/>
      <c r="N141" s="2"/>
      <c r="O141" s="2"/>
      <c r="P141" s="2"/>
      <c r="Q141" s="2"/>
    </row>
    <row r="142" ht="15.75" customHeight="1">
      <c r="B142" s="2"/>
      <c r="C142" s="2"/>
      <c r="D142" s="2"/>
      <c r="E142" s="464"/>
      <c r="F142" s="2"/>
      <c r="G142" s="2"/>
      <c r="H142" s="2"/>
      <c r="I142" s="2"/>
      <c r="J142" s="2"/>
      <c r="K142" s="2"/>
      <c r="L142" s="2"/>
      <c r="M142" s="2"/>
      <c r="N142" s="2"/>
      <c r="O142" s="2"/>
      <c r="P142" s="2"/>
      <c r="Q142" s="2"/>
    </row>
    <row r="143" ht="15.75" customHeight="1">
      <c r="B143" s="2"/>
      <c r="C143" s="2"/>
      <c r="D143" s="2"/>
      <c r="E143" s="464"/>
      <c r="F143" s="2"/>
      <c r="G143" s="2"/>
      <c r="H143" s="2"/>
      <c r="I143" s="2"/>
      <c r="J143" s="2"/>
      <c r="K143" s="2"/>
      <c r="L143" s="2"/>
      <c r="M143" s="2"/>
      <c r="N143" s="2"/>
      <c r="O143" s="2"/>
      <c r="P143" s="2"/>
      <c r="Q143" s="2"/>
    </row>
    <row r="144" ht="15.75" customHeight="1">
      <c r="B144" s="2"/>
      <c r="C144" s="2"/>
      <c r="D144" s="2"/>
      <c r="E144" s="464"/>
      <c r="F144" s="2"/>
      <c r="G144" s="2"/>
      <c r="H144" s="2"/>
      <c r="I144" s="2"/>
      <c r="J144" s="2"/>
      <c r="K144" s="2"/>
      <c r="L144" s="2"/>
      <c r="M144" s="2"/>
      <c r="N144" s="2"/>
      <c r="O144" s="2"/>
      <c r="P144" s="2"/>
      <c r="Q144" s="2"/>
    </row>
    <row r="145" ht="15.75" customHeight="1">
      <c r="B145" s="2"/>
      <c r="C145" s="2"/>
      <c r="D145" s="2"/>
      <c r="E145" s="464"/>
      <c r="F145" s="2"/>
      <c r="G145" s="2"/>
      <c r="H145" s="2"/>
      <c r="I145" s="2"/>
      <c r="J145" s="2"/>
      <c r="K145" s="2"/>
      <c r="L145" s="2"/>
      <c r="M145" s="2"/>
      <c r="N145" s="2"/>
      <c r="O145" s="2"/>
      <c r="P145" s="2"/>
      <c r="Q145" s="2"/>
    </row>
    <row r="146" ht="15.75" customHeight="1">
      <c r="B146" s="2"/>
      <c r="C146" s="2"/>
      <c r="D146" s="2"/>
      <c r="E146" s="464"/>
      <c r="F146" s="2"/>
      <c r="G146" s="2"/>
      <c r="H146" s="2"/>
      <c r="I146" s="2"/>
      <c r="J146" s="2"/>
      <c r="K146" s="2"/>
      <c r="L146" s="2"/>
      <c r="M146" s="2"/>
      <c r="N146" s="2"/>
      <c r="O146" s="2"/>
      <c r="P146" s="2"/>
      <c r="Q146" s="2"/>
    </row>
    <row r="147" ht="15.75" customHeight="1">
      <c r="B147" s="2"/>
      <c r="C147" s="2"/>
      <c r="D147" s="2"/>
      <c r="E147" s="464"/>
      <c r="F147" s="2"/>
      <c r="G147" s="2"/>
      <c r="H147" s="2"/>
      <c r="I147" s="2"/>
      <c r="J147" s="2"/>
      <c r="K147" s="2"/>
      <c r="L147" s="2"/>
      <c r="M147" s="2"/>
      <c r="N147" s="2"/>
      <c r="O147" s="2"/>
      <c r="P147" s="2"/>
      <c r="Q147" s="2"/>
    </row>
    <row r="148" ht="15.75" customHeight="1">
      <c r="B148" s="2"/>
      <c r="C148" s="2"/>
      <c r="D148" s="2"/>
      <c r="E148" s="464"/>
      <c r="F148" s="2"/>
      <c r="G148" s="2"/>
      <c r="H148" s="2"/>
      <c r="I148" s="2"/>
      <c r="J148" s="2"/>
      <c r="K148" s="2"/>
      <c r="L148" s="2"/>
      <c r="M148" s="2"/>
      <c r="N148" s="2"/>
      <c r="O148" s="2"/>
      <c r="P148" s="2"/>
      <c r="Q148" s="2"/>
    </row>
    <row r="149" ht="15.75" customHeight="1">
      <c r="B149" s="2"/>
      <c r="C149" s="2"/>
      <c r="D149" s="2"/>
      <c r="E149" s="464"/>
      <c r="F149" s="2"/>
      <c r="G149" s="2"/>
      <c r="H149" s="2"/>
      <c r="I149" s="2"/>
      <c r="J149" s="2"/>
      <c r="K149" s="2"/>
      <c r="L149" s="2"/>
      <c r="M149" s="2"/>
      <c r="N149" s="2"/>
      <c r="O149" s="2"/>
      <c r="P149" s="2"/>
      <c r="Q149" s="2"/>
    </row>
    <row r="150" ht="15.75" customHeight="1">
      <c r="B150" s="2"/>
      <c r="C150" s="2"/>
      <c r="D150" s="2"/>
      <c r="E150" s="464"/>
      <c r="F150" s="2"/>
      <c r="G150" s="2"/>
      <c r="H150" s="2"/>
      <c r="I150" s="2"/>
      <c r="J150" s="2"/>
      <c r="K150" s="2"/>
      <c r="L150" s="2"/>
      <c r="M150" s="2"/>
      <c r="N150" s="2"/>
      <c r="O150" s="2"/>
      <c r="P150" s="2"/>
      <c r="Q150" s="2"/>
    </row>
    <row r="151" ht="15.75" customHeight="1">
      <c r="B151" s="2"/>
      <c r="C151" s="2"/>
      <c r="D151" s="2"/>
      <c r="E151" s="464"/>
      <c r="F151" s="2"/>
      <c r="G151" s="2"/>
      <c r="H151" s="2"/>
      <c r="I151" s="2"/>
      <c r="J151" s="2"/>
      <c r="K151" s="2"/>
      <c r="L151" s="2"/>
      <c r="M151" s="2"/>
      <c r="N151" s="2"/>
      <c r="O151" s="2"/>
      <c r="P151" s="2"/>
      <c r="Q151" s="2"/>
    </row>
    <row r="152" ht="15.75" customHeight="1">
      <c r="B152" s="2"/>
      <c r="C152" s="2"/>
      <c r="D152" s="2"/>
      <c r="E152" s="464"/>
      <c r="F152" s="2"/>
      <c r="G152" s="2"/>
      <c r="H152" s="2"/>
      <c r="I152" s="2"/>
      <c r="J152" s="2"/>
      <c r="K152" s="2"/>
      <c r="L152" s="2"/>
      <c r="M152" s="2"/>
      <c r="N152" s="2"/>
      <c r="O152" s="2"/>
      <c r="P152" s="2"/>
      <c r="Q152" s="2"/>
    </row>
    <row r="153" ht="15.75" customHeight="1">
      <c r="B153" s="2"/>
      <c r="C153" s="2"/>
      <c r="D153" s="2"/>
      <c r="E153" s="464"/>
      <c r="F153" s="2"/>
      <c r="G153" s="2"/>
      <c r="H153" s="2"/>
      <c r="I153" s="2"/>
      <c r="J153" s="2"/>
      <c r="K153" s="2"/>
      <c r="L153" s="2"/>
      <c r="M153" s="2"/>
      <c r="N153" s="2"/>
      <c r="O153" s="2"/>
      <c r="P153" s="2"/>
      <c r="Q153" s="2"/>
    </row>
    <row r="154" ht="15.75" customHeight="1">
      <c r="B154" s="2"/>
      <c r="C154" s="2"/>
      <c r="D154" s="2"/>
      <c r="E154" s="464"/>
      <c r="F154" s="2"/>
      <c r="G154" s="2"/>
      <c r="H154" s="2"/>
      <c r="I154" s="2"/>
      <c r="J154" s="2"/>
      <c r="K154" s="2"/>
      <c r="L154" s="2"/>
      <c r="M154" s="2"/>
      <c r="N154" s="2"/>
      <c r="O154" s="2"/>
      <c r="P154" s="2"/>
      <c r="Q154" s="2"/>
    </row>
    <row r="155" ht="15.75" customHeight="1">
      <c r="B155" s="2"/>
      <c r="C155" s="2"/>
      <c r="D155" s="2"/>
      <c r="E155" s="464"/>
      <c r="F155" s="2"/>
      <c r="G155" s="2"/>
      <c r="H155" s="2"/>
      <c r="I155" s="2"/>
      <c r="J155" s="2"/>
      <c r="K155" s="2"/>
      <c r="L155" s="2"/>
      <c r="M155" s="2"/>
      <c r="N155" s="2"/>
      <c r="O155" s="2"/>
      <c r="P155" s="2"/>
      <c r="Q155" s="2"/>
    </row>
    <row r="156" ht="15.75" customHeight="1">
      <c r="B156" s="2"/>
      <c r="C156" s="2"/>
      <c r="D156" s="2"/>
      <c r="E156" s="464"/>
      <c r="F156" s="2"/>
      <c r="G156" s="2"/>
      <c r="H156" s="2"/>
      <c r="I156" s="2"/>
      <c r="J156" s="2"/>
      <c r="K156" s="2"/>
      <c r="L156" s="2"/>
      <c r="M156" s="2"/>
      <c r="N156" s="2"/>
      <c r="O156" s="2"/>
      <c r="P156" s="2"/>
      <c r="Q156" s="2"/>
    </row>
    <row r="157" ht="15.75" customHeight="1">
      <c r="B157" s="2"/>
      <c r="C157" s="2"/>
      <c r="D157" s="2"/>
      <c r="E157" s="464"/>
      <c r="F157" s="2"/>
      <c r="G157" s="2"/>
      <c r="H157" s="2"/>
      <c r="I157" s="2"/>
      <c r="J157" s="2"/>
      <c r="K157" s="2"/>
      <c r="L157" s="2"/>
      <c r="M157" s="2"/>
      <c r="N157" s="2"/>
      <c r="O157" s="2"/>
      <c r="P157" s="2"/>
      <c r="Q157" s="2"/>
    </row>
    <row r="158" ht="15.75" customHeight="1">
      <c r="B158" s="2"/>
      <c r="C158" s="2"/>
      <c r="D158" s="2"/>
      <c r="E158" s="464"/>
      <c r="F158" s="2"/>
      <c r="G158" s="2"/>
      <c r="H158" s="2"/>
      <c r="I158" s="2"/>
      <c r="J158" s="2"/>
      <c r="K158" s="2"/>
      <c r="L158" s="2"/>
      <c r="M158" s="2"/>
      <c r="N158" s="2"/>
      <c r="O158" s="2"/>
      <c r="P158" s="2"/>
      <c r="Q158" s="2"/>
    </row>
    <row r="159" ht="15.75" customHeight="1">
      <c r="B159" s="2"/>
      <c r="C159" s="2"/>
      <c r="D159" s="2"/>
      <c r="E159" s="464"/>
      <c r="F159" s="2"/>
      <c r="G159" s="2"/>
      <c r="H159" s="2"/>
      <c r="I159" s="2"/>
      <c r="J159" s="2"/>
      <c r="K159" s="2"/>
      <c r="L159" s="2"/>
      <c r="M159" s="2"/>
      <c r="N159" s="2"/>
      <c r="O159" s="2"/>
      <c r="P159" s="2"/>
      <c r="Q159" s="2"/>
    </row>
    <row r="160" ht="15.75" customHeight="1">
      <c r="B160" s="2"/>
      <c r="C160" s="2"/>
      <c r="D160" s="2"/>
      <c r="E160" s="464"/>
      <c r="F160" s="2"/>
      <c r="G160" s="2"/>
      <c r="H160" s="2"/>
      <c r="I160" s="2"/>
      <c r="J160" s="2"/>
      <c r="K160" s="2"/>
      <c r="L160" s="2"/>
      <c r="M160" s="2"/>
      <c r="N160" s="2"/>
      <c r="O160" s="2"/>
      <c r="P160" s="2"/>
      <c r="Q160" s="2"/>
    </row>
    <row r="161" ht="15.75" customHeight="1">
      <c r="B161" s="2"/>
      <c r="C161" s="2"/>
      <c r="D161" s="2"/>
      <c r="E161" s="464"/>
      <c r="F161" s="2"/>
      <c r="G161" s="2"/>
      <c r="H161" s="2"/>
      <c r="I161" s="2"/>
      <c r="J161" s="2"/>
      <c r="K161" s="2"/>
      <c r="L161" s="2"/>
      <c r="M161" s="2"/>
      <c r="N161" s="2"/>
      <c r="O161" s="2"/>
      <c r="P161" s="2"/>
      <c r="Q161" s="2"/>
    </row>
    <row r="162" ht="15.75" customHeight="1">
      <c r="B162" s="2"/>
      <c r="C162" s="2"/>
      <c r="D162" s="2"/>
      <c r="E162" s="464"/>
      <c r="F162" s="2"/>
      <c r="G162" s="2"/>
      <c r="H162" s="2"/>
      <c r="I162" s="2"/>
      <c r="J162" s="2"/>
      <c r="K162" s="2"/>
      <c r="L162" s="2"/>
      <c r="M162" s="2"/>
      <c r="N162" s="2"/>
      <c r="O162" s="2"/>
      <c r="P162" s="2"/>
      <c r="Q162" s="2"/>
    </row>
    <row r="163" ht="15.75" customHeight="1">
      <c r="B163" s="2"/>
      <c r="C163" s="2"/>
      <c r="D163" s="2"/>
      <c r="E163" s="464"/>
      <c r="F163" s="2"/>
      <c r="G163" s="2"/>
      <c r="H163" s="2"/>
      <c r="I163" s="2"/>
      <c r="J163" s="2"/>
      <c r="K163" s="2"/>
      <c r="L163" s="2"/>
      <c r="M163" s="2"/>
      <c r="N163" s="2"/>
      <c r="O163" s="2"/>
      <c r="P163" s="2"/>
      <c r="Q163" s="2"/>
    </row>
    <row r="164" ht="15.75" customHeight="1">
      <c r="B164" s="2"/>
      <c r="C164" s="2"/>
      <c r="D164" s="2"/>
      <c r="E164" s="464"/>
      <c r="F164" s="2"/>
      <c r="G164" s="2"/>
      <c r="H164" s="2"/>
      <c r="I164" s="2"/>
      <c r="J164" s="2"/>
      <c r="K164" s="2"/>
      <c r="L164" s="2"/>
      <c r="M164" s="2"/>
      <c r="N164" s="2"/>
      <c r="O164" s="2"/>
      <c r="P164" s="2"/>
      <c r="Q164" s="2"/>
    </row>
    <row r="165" ht="15.75" customHeight="1">
      <c r="B165" s="2"/>
      <c r="C165" s="2"/>
      <c r="D165" s="2"/>
      <c r="E165" s="464"/>
      <c r="F165" s="2"/>
      <c r="G165" s="2"/>
      <c r="H165" s="2"/>
      <c r="I165" s="2"/>
      <c r="J165" s="2"/>
      <c r="K165" s="2"/>
      <c r="L165" s="2"/>
      <c r="M165" s="2"/>
      <c r="N165" s="2"/>
      <c r="O165" s="2"/>
      <c r="P165" s="2"/>
      <c r="Q165" s="2"/>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3">
    <mergeCell ref="B1:Q1"/>
    <mergeCell ref="B2:Q2"/>
    <mergeCell ref="K3:M3"/>
    <mergeCell ref="O3:Q3"/>
    <mergeCell ref="L4:M4"/>
    <mergeCell ref="N24:P24"/>
    <mergeCell ref="B25:Q25"/>
    <mergeCell ref="B26:Q26"/>
    <mergeCell ref="C27:E27"/>
    <mergeCell ref="G27:H27"/>
    <mergeCell ref="I27:L27"/>
    <mergeCell ref="G28:H28"/>
    <mergeCell ref="K28:L28"/>
    <mergeCell ref="B29:C29"/>
    <mergeCell ref="J31:L31"/>
    <mergeCell ref="M31:Q31"/>
    <mergeCell ref="E29:F29"/>
    <mergeCell ref="C30:E30"/>
    <mergeCell ref="G30:H30"/>
    <mergeCell ref="I30:L30"/>
    <mergeCell ref="M30:Q30"/>
    <mergeCell ref="C31:E31"/>
    <mergeCell ref="G31:H31"/>
  </mergeCells>
  <printOptions/>
  <pageMargins bottom="0.7480314960629921" footer="0.0" header="0.0" left="0.7086614173228347" right="0.7086614173228347" top="0.7480314960629921"/>
  <pageSetup paperSize="5" scale="95"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3.0"/>
    <col customWidth="1" min="2" max="2" width="4.71"/>
    <col customWidth="1" min="3" max="3" width="10.43"/>
    <col customWidth="1" min="4" max="4" width="12.29"/>
    <col customWidth="1" min="5" max="5" width="21.29"/>
    <col customWidth="1" min="6" max="6" width="11.43"/>
    <col customWidth="1" min="7" max="7" width="7.86"/>
    <col customWidth="1" min="8" max="8" width="8.71"/>
    <col customWidth="1" min="9" max="9" width="8.43"/>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524" t="s">
        <v>14157</v>
      </c>
    </row>
    <row r="2">
      <c r="B2" s="458"/>
      <c r="C2" s="5" t="s">
        <v>1</v>
      </c>
      <c r="D2" s="6"/>
      <c r="E2" s="6"/>
      <c r="F2" s="6"/>
      <c r="G2" s="6"/>
      <c r="H2" s="6"/>
      <c r="I2" s="6"/>
      <c r="J2" s="6"/>
      <c r="K2" s="6"/>
      <c r="L2" s="6"/>
      <c r="M2" s="6"/>
      <c r="N2" s="6"/>
      <c r="O2" s="6"/>
      <c r="P2" s="6"/>
      <c r="Q2" s="7"/>
    </row>
    <row r="3">
      <c r="B3" s="458"/>
      <c r="C3" s="823"/>
      <c r="D3" s="9"/>
      <c r="E3" s="402"/>
      <c r="F3" s="9"/>
      <c r="G3" s="9"/>
      <c r="H3" s="9"/>
      <c r="I3" s="9"/>
      <c r="J3" s="9"/>
      <c r="K3" s="12"/>
      <c r="M3" s="13"/>
      <c r="N3" s="14" t="s">
        <v>3</v>
      </c>
      <c r="O3" s="15" t="s">
        <v>22587</v>
      </c>
      <c r="P3" s="16"/>
      <c r="Q3" s="17"/>
    </row>
    <row r="4">
      <c r="B4" s="458"/>
      <c r="C4" s="824"/>
      <c r="D4" s="9"/>
      <c r="E4" s="402"/>
      <c r="F4" s="9"/>
      <c r="G4" s="9"/>
      <c r="H4" s="458"/>
      <c r="I4" s="9"/>
      <c r="J4" s="9"/>
      <c r="K4" s="9"/>
      <c r="L4" s="825"/>
      <c r="M4" s="407"/>
      <c r="N4" s="473"/>
      <c r="O4" s="9"/>
      <c r="P4" s="9"/>
      <c r="Q4" s="9"/>
    </row>
    <row r="5">
      <c r="B5" s="409" t="s">
        <v>13864</v>
      </c>
      <c r="C5" s="409" t="s">
        <v>13834</v>
      </c>
      <c r="D5" s="409" t="s">
        <v>10</v>
      </c>
      <c r="E5" s="948"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433">
        <v>1.0</v>
      </c>
      <c r="C6" s="433"/>
      <c r="D6" s="433"/>
      <c r="E6" s="434" t="s">
        <v>22588</v>
      </c>
      <c r="F6" s="433" t="s">
        <v>22589</v>
      </c>
      <c r="G6" s="433" t="s">
        <v>29</v>
      </c>
      <c r="H6" s="433" t="s">
        <v>30</v>
      </c>
      <c r="I6" s="433" t="s">
        <v>19618</v>
      </c>
      <c r="J6" s="433"/>
      <c r="K6" s="433"/>
      <c r="L6" s="433" t="s">
        <v>21753</v>
      </c>
      <c r="M6" s="433"/>
      <c r="N6" s="433" t="s">
        <v>22159</v>
      </c>
      <c r="O6" s="433">
        <v>1939.0</v>
      </c>
      <c r="P6" s="433" t="s">
        <v>388</v>
      </c>
      <c r="Q6" s="433">
        <v>1.0</v>
      </c>
    </row>
    <row r="7">
      <c r="B7" s="433">
        <v>2.0</v>
      </c>
      <c r="C7" s="433"/>
      <c r="D7" s="433"/>
      <c r="E7" s="434" t="s">
        <v>22590</v>
      </c>
      <c r="F7" s="433" t="s">
        <v>22589</v>
      </c>
      <c r="G7" s="433" t="s">
        <v>29</v>
      </c>
      <c r="H7" s="433" t="s">
        <v>30</v>
      </c>
      <c r="I7" s="538" t="s">
        <v>19618</v>
      </c>
      <c r="J7" s="433" t="s">
        <v>22591</v>
      </c>
      <c r="K7" s="433">
        <v>100.0</v>
      </c>
      <c r="L7" s="433" t="s">
        <v>22592</v>
      </c>
      <c r="M7" s="433"/>
      <c r="N7" s="433" t="s">
        <v>22593</v>
      </c>
      <c r="O7" s="433">
        <v>2007.0</v>
      </c>
      <c r="P7" s="433" t="s">
        <v>388</v>
      </c>
      <c r="Q7" s="433">
        <v>1.0</v>
      </c>
    </row>
    <row r="8">
      <c r="B8" s="433">
        <v>3.0</v>
      </c>
      <c r="C8" s="433"/>
      <c r="D8" s="433"/>
      <c r="E8" s="434" t="s">
        <v>22594</v>
      </c>
      <c r="F8" s="433" t="s">
        <v>22589</v>
      </c>
      <c r="G8" s="433" t="s">
        <v>29</v>
      </c>
      <c r="H8" s="433" t="s">
        <v>30</v>
      </c>
      <c r="I8" s="433" t="s">
        <v>19618</v>
      </c>
      <c r="J8" s="433" t="s">
        <v>22595</v>
      </c>
      <c r="K8" s="433">
        <v>79.0</v>
      </c>
      <c r="L8" s="433" t="s">
        <v>22596</v>
      </c>
      <c r="M8" s="433"/>
      <c r="N8" s="433" t="s">
        <v>9290</v>
      </c>
      <c r="O8" s="433">
        <v>2006.0</v>
      </c>
      <c r="P8" s="433" t="s">
        <v>388</v>
      </c>
      <c r="Q8" s="433">
        <v>1.0</v>
      </c>
    </row>
    <row r="9">
      <c r="B9" s="433">
        <v>4.0</v>
      </c>
      <c r="C9" s="433"/>
      <c r="D9" s="433"/>
      <c r="E9" s="434" t="s">
        <v>22597</v>
      </c>
      <c r="F9" s="433" t="s">
        <v>22589</v>
      </c>
      <c r="G9" s="433" t="s">
        <v>29</v>
      </c>
      <c r="H9" s="433" t="s">
        <v>30</v>
      </c>
      <c r="I9" s="433" t="s">
        <v>19618</v>
      </c>
      <c r="J9" s="433" t="s">
        <v>22598</v>
      </c>
      <c r="K9" s="433">
        <v>77.0</v>
      </c>
      <c r="L9" s="433" t="s">
        <v>22596</v>
      </c>
      <c r="M9" s="433"/>
      <c r="N9" s="433" t="s">
        <v>9290</v>
      </c>
      <c r="O9" s="433">
        <v>2007.0</v>
      </c>
      <c r="P9" s="433" t="s">
        <v>388</v>
      </c>
      <c r="Q9" s="433">
        <v>2.0</v>
      </c>
    </row>
    <row r="10">
      <c r="B10" s="433">
        <v>5.0</v>
      </c>
      <c r="C10" s="433"/>
      <c r="D10" s="433"/>
      <c r="E10" s="434" t="s">
        <v>22599</v>
      </c>
      <c r="F10" s="433" t="s">
        <v>22589</v>
      </c>
      <c r="G10" s="433" t="s">
        <v>29</v>
      </c>
      <c r="H10" s="433" t="s">
        <v>30</v>
      </c>
      <c r="I10" s="433" t="s">
        <v>19618</v>
      </c>
      <c r="J10" s="433" t="s">
        <v>22600</v>
      </c>
      <c r="K10" s="433">
        <v>138.0</v>
      </c>
      <c r="L10" s="433" t="s">
        <v>22601</v>
      </c>
      <c r="M10" s="433"/>
      <c r="N10" s="433" t="s">
        <v>9290</v>
      </c>
      <c r="O10" s="433">
        <v>2007.0</v>
      </c>
      <c r="P10" s="433" t="s">
        <v>388</v>
      </c>
      <c r="Q10" s="433">
        <v>2.0</v>
      </c>
    </row>
    <row r="11">
      <c r="B11" s="433">
        <v>6.0</v>
      </c>
      <c r="C11" s="433"/>
      <c r="D11" s="433"/>
      <c r="E11" s="434" t="s">
        <v>22602</v>
      </c>
      <c r="F11" s="433" t="s">
        <v>22589</v>
      </c>
      <c r="G11" s="433" t="s">
        <v>29</v>
      </c>
      <c r="H11" s="433" t="s">
        <v>30</v>
      </c>
      <c r="I11" s="433" t="s">
        <v>19618</v>
      </c>
      <c r="J11" s="433" t="s">
        <v>22603</v>
      </c>
      <c r="K11" s="433">
        <v>132.0</v>
      </c>
      <c r="L11" s="433" t="s">
        <v>22601</v>
      </c>
      <c r="M11" s="433"/>
      <c r="N11" s="433" t="s">
        <v>9290</v>
      </c>
      <c r="O11" s="433">
        <v>2008.0</v>
      </c>
      <c r="P11" s="433" t="s">
        <v>388</v>
      </c>
      <c r="Q11" s="433">
        <v>1.0</v>
      </c>
    </row>
    <row r="12">
      <c r="B12" s="433">
        <v>7.0</v>
      </c>
      <c r="C12" s="433"/>
      <c r="D12" s="433"/>
      <c r="E12" s="434" t="s">
        <v>22604</v>
      </c>
      <c r="F12" s="433" t="s">
        <v>22589</v>
      </c>
      <c r="G12" s="433" t="s">
        <v>29</v>
      </c>
      <c r="H12" s="433" t="s">
        <v>30</v>
      </c>
      <c r="I12" s="433" t="s">
        <v>19618</v>
      </c>
      <c r="J12" s="433" t="s">
        <v>22595</v>
      </c>
      <c r="K12" s="433">
        <v>140.0</v>
      </c>
      <c r="L12" s="433" t="s">
        <v>22601</v>
      </c>
      <c r="M12" s="433"/>
      <c r="N12" s="433" t="s">
        <v>9290</v>
      </c>
      <c r="O12" s="433">
        <v>2008.0</v>
      </c>
      <c r="P12" s="433" t="s">
        <v>388</v>
      </c>
      <c r="Q12" s="433">
        <v>2.0</v>
      </c>
    </row>
    <row r="13">
      <c r="B13" s="433">
        <v>8.0</v>
      </c>
      <c r="C13" s="433"/>
      <c r="D13" s="433"/>
      <c r="E13" s="434" t="s">
        <v>22605</v>
      </c>
      <c r="F13" s="433" t="s">
        <v>22589</v>
      </c>
      <c r="G13" s="433" t="s">
        <v>29</v>
      </c>
      <c r="H13" s="433" t="s">
        <v>30</v>
      </c>
      <c r="I13" s="433" t="s">
        <v>19618</v>
      </c>
      <c r="J13" s="433" t="s">
        <v>22603</v>
      </c>
      <c r="K13" s="433">
        <v>132.0</v>
      </c>
      <c r="L13" s="433" t="s">
        <v>22601</v>
      </c>
      <c r="M13" s="433"/>
      <c r="N13" s="433" t="s">
        <v>9290</v>
      </c>
      <c r="O13" s="433">
        <v>2008.0</v>
      </c>
      <c r="P13" s="433" t="s">
        <v>388</v>
      </c>
      <c r="Q13" s="433">
        <v>1.0</v>
      </c>
    </row>
    <row r="14">
      <c r="B14" s="433">
        <v>9.0</v>
      </c>
      <c r="C14" s="433"/>
      <c r="D14" s="433"/>
      <c r="E14" s="434" t="s">
        <v>22606</v>
      </c>
      <c r="F14" s="433" t="s">
        <v>22589</v>
      </c>
      <c r="G14" s="433" t="s">
        <v>29</v>
      </c>
      <c r="H14" s="433" t="s">
        <v>30</v>
      </c>
      <c r="I14" s="433" t="s">
        <v>19618</v>
      </c>
      <c r="J14" s="433" t="s">
        <v>22607</v>
      </c>
      <c r="K14" s="433">
        <v>75.0</v>
      </c>
      <c r="L14" s="433" t="s">
        <v>22608</v>
      </c>
      <c r="M14" s="433"/>
      <c r="N14" s="433" t="s">
        <v>22609</v>
      </c>
      <c r="O14" s="433">
        <v>1995.0</v>
      </c>
      <c r="P14" s="433" t="s">
        <v>388</v>
      </c>
      <c r="Q14" s="433">
        <v>2.0</v>
      </c>
    </row>
    <row r="15">
      <c r="B15" s="433">
        <v>10.0</v>
      </c>
      <c r="C15" s="433"/>
      <c r="D15" s="433"/>
      <c r="E15" s="434" t="s">
        <v>22610</v>
      </c>
      <c r="F15" s="433" t="s">
        <v>22589</v>
      </c>
      <c r="G15" s="433" t="s">
        <v>29</v>
      </c>
      <c r="H15" s="433" t="s">
        <v>30</v>
      </c>
      <c r="I15" s="433" t="s">
        <v>19618</v>
      </c>
      <c r="J15" s="433" t="s">
        <v>22611</v>
      </c>
      <c r="K15" s="433">
        <v>15.0</v>
      </c>
      <c r="L15" s="433" t="s">
        <v>22608</v>
      </c>
      <c r="M15" s="433"/>
      <c r="N15" s="433" t="s">
        <v>10148</v>
      </c>
      <c r="O15" s="433">
        <v>2009.0</v>
      </c>
      <c r="P15" s="433" t="s">
        <v>388</v>
      </c>
      <c r="Q15" s="433">
        <v>2.0</v>
      </c>
    </row>
    <row r="16">
      <c r="B16" s="433">
        <v>11.0</v>
      </c>
      <c r="C16" s="433"/>
      <c r="D16" s="433"/>
      <c r="E16" s="434" t="s">
        <v>22610</v>
      </c>
      <c r="F16" s="433" t="s">
        <v>22589</v>
      </c>
      <c r="G16" s="433" t="s">
        <v>29</v>
      </c>
      <c r="H16" s="433" t="s">
        <v>30</v>
      </c>
      <c r="I16" s="433" t="s">
        <v>19618</v>
      </c>
      <c r="J16" s="433" t="s">
        <v>22612</v>
      </c>
      <c r="K16" s="433">
        <v>15.0</v>
      </c>
      <c r="L16" s="433" t="s">
        <v>22608</v>
      </c>
      <c r="M16" s="433"/>
      <c r="N16" s="433" t="s">
        <v>10148</v>
      </c>
      <c r="O16" s="433">
        <v>2009.0</v>
      </c>
      <c r="P16" s="433" t="s">
        <v>388</v>
      </c>
      <c r="Q16" s="433">
        <v>1.0</v>
      </c>
    </row>
    <row r="17">
      <c r="B17" s="433">
        <v>12.0</v>
      </c>
      <c r="C17" s="433"/>
      <c r="D17" s="433"/>
      <c r="E17" s="434" t="s">
        <v>22613</v>
      </c>
      <c r="F17" s="433" t="s">
        <v>22589</v>
      </c>
      <c r="G17" s="433" t="s">
        <v>29</v>
      </c>
      <c r="H17" s="433" t="s">
        <v>30</v>
      </c>
      <c r="I17" s="433" t="s">
        <v>19618</v>
      </c>
      <c r="J17" s="433" t="s">
        <v>22614</v>
      </c>
      <c r="K17" s="433">
        <v>14.0</v>
      </c>
      <c r="L17" s="433" t="s">
        <v>22608</v>
      </c>
      <c r="M17" s="433"/>
      <c r="N17" s="433"/>
      <c r="O17" s="433">
        <v>2001.0</v>
      </c>
      <c r="P17" s="433" t="s">
        <v>388</v>
      </c>
      <c r="Q17" s="433">
        <v>1.0</v>
      </c>
    </row>
    <row r="18">
      <c r="B18" s="433">
        <v>13.0</v>
      </c>
      <c r="C18" s="433"/>
      <c r="D18" s="433"/>
      <c r="E18" s="434" t="s">
        <v>22615</v>
      </c>
      <c r="F18" s="433" t="s">
        <v>22589</v>
      </c>
      <c r="G18" s="433" t="s">
        <v>29</v>
      </c>
      <c r="H18" s="433" t="s">
        <v>30</v>
      </c>
      <c r="I18" s="433" t="s">
        <v>19618</v>
      </c>
      <c r="J18" s="433" t="s">
        <v>22600</v>
      </c>
      <c r="K18" s="433">
        <v>51.0</v>
      </c>
      <c r="L18" s="433" t="s">
        <v>22608</v>
      </c>
      <c r="M18" s="433"/>
      <c r="N18" s="433" t="s">
        <v>22593</v>
      </c>
      <c r="O18" s="433">
        <v>2003.0</v>
      </c>
      <c r="P18" s="433" t="s">
        <v>388</v>
      </c>
      <c r="Q18" s="433">
        <v>1.0</v>
      </c>
    </row>
    <row r="19">
      <c r="B19" s="433">
        <v>14.0</v>
      </c>
      <c r="C19" s="433"/>
      <c r="D19" s="433"/>
      <c r="E19" s="434" t="s">
        <v>22616</v>
      </c>
      <c r="F19" s="433" t="s">
        <v>22589</v>
      </c>
      <c r="G19" s="433" t="s">
        <v>29</v>
      </c>
      <c r="H19" s="433" t="s">
        <v>30</v>
      </c>
      <c r="I19" s="433" t="s">
        <v>19618</v>
      </c>
      <c r="J19" s="433" t="s">
        <v>22600</v>
      </c>
      <c r="K19" s="433">
        <v>11.0</v>
      </c>
      <c r="L19" s="433" t="s">
        <v>22608</v>
      </c>
      <c r="M19" s="433"/>
      <c r="N19" s="433" t="s">
        <v>22593</v>
      </c>
      <c r="O19" s="433">
        <v>2003.0</v>
      </c>
      <c r="P19" s="433" t="s">
        <v>388</v>
      </c>
      <c r="Q19" s="433">
        <v>1.0</v>
      </c>
    </row>
    <row r="20">
      <c r="B20" s="433">
        <v>15.0</v>
      </c>
      <c r="C20" s="433"/>
      <c r="D20" s="433"/>
      <c r="E20" s="434" t="s">
        <v>22617</v>
      </c>
      <c r="F20" s="433" t="s">
        <v>22589</v>
      </c>
      <c r="G20" s="433" t="s">
        <v>29</v>
      </c>
      <c r="H20" s="433" t="s">
        <v>30</v>
      </c>
      <c r="I20" s="433" t="s">
        <v>19618</v>
      </c>
      <c r="J20" s="433" t="s">
        <v>6663</v>
      </c>
      <c r="K20" s="433">
        <v>52.0</v>
      </c>
      <c r="L20" s="433" t="s">
        <v>22608</v>
      </c>
      <c r="M20" s="433"/>
      <c r="N20" s="433" t="s">
        <v>22618</v>
      </c>
      <c r="O20" s="433">
        <v>1991.0</v>
      </c>
      <c r="P20" s="433" t="s">
        <v>388</v>
      </c>
      <c r="Q20" s="433">
        <v>1.0</v>
      </c>
    </row>
    <row r="21" ht="15.75" customHeight="1">
      <c r="B21" s="433">
        <v>16.0</v>
      </c>
      <c r="C21" s="433"/>
      <c r="D21" s="433"/>
      <c r="E21" s="434" t="s">
        <v>22619</v>
      </c>
      <c r="F21" s="433" t="s">
        <v>22589</v>
      </c>
      <c r="G21" s="433" t="s">
        <v>29</v>
      </c>
      <c r="H21" s="433" t="s">
        <v>30</v>
      </c>
      <c r="I21" s="433" t="s">
        <v>19618</v>
      </c>
      <c r="J21" s="433" t="s">
        <v>22620</v>
      </c>
      <c r="K21" s="433">
        <v>53.0</v>
      </c>
      <c r="L21" s="433" t="s">
        <v>22608</v>
      </c>
      <c r="M21" s="433"/>
      <c r="N21" s="433" t="s">
        <v>22621</v>
      </c>
      <c r="O21" s="433">
        <v>2005.0</v>
      </c>
      <c r="P21" s="433" t="s">
        <v>388</v>
      </c>
      <c r="Q21" s="433">
        <v>1.0</v>
      </c>
    </row>
    <row r="22" ht="15.75" customHeight="1">
      <c r="B22" s="433">
        <v>17.0</v>
      </c>
      <c r="C22" s="433"/>
      <c r="D22" s="433"/>
      <c r="E22" s="434" t="s">
        <v>22622</v>
      </c>
      <c r="F22" s="433" t="s">
        <v>22589</v>
      </c>
      <c r="G22" s="433" t="s">
        <v>29</v>
      </c>
      <c r="H22" s="433" t="s">
        <v>30</v>
      </c>
      <c r="I22" s="433" t="s">
        <v>19618</v>
      </c>
      <c r="J22" s="433" t="s">
        <v>22620</v>
      </c>
      <c r="K22" s="433">
        <v>76.0</v>
      </c>
      <c r="L22" s="433" t="s">
        <v>22608</v>
      </c>
      <c r="M22" s="433"/>
      <c r="N22" s="433" t="s">
        <v>9290</v>
      </c>
      <c r="O22" s="433">
        <v>2006.0</v>
      </c>
      <c r="P22" s="433" t="s">
        <v>388</v>
      </c>
      <c r="Q22" s="433">
        <v>1.0</v>
      </c>
    </row>
    <row r="23" ht="15.75" customHeight="1">
      <c r="B23" s="433">
        <v>18.0</v>
      </c>
      <c r="C23" s="433"/>
      <c r="D23" s="433"/>
      <c r="E23" s="434" t="s">
        <v>22623</v>
      </c>
      <c r="F23" s="433" t="s">
        <v>22589</v>
      </c>
      <c r="G23" s="433" t="s">
        <v>29</v>
      </c>
      <c r="H23" s="433" t="s">
        <v>30</v>
      </c>
      <c r="I23" s="433" t="s">
        <v>19618</v>
      </c>
      <c r="J23" s="433" t="s">
        <v>22624</v>
      </c>
      <c r="K23" s="433">
        <v>24.0</v>
      </c>
      <c r="L23" s="433" t="s">
        <v>22625</v>
      </c>
      <c r="M23" s="433"/>
      <c r="N23" s="433" t="s">
        <v>10148</v>
      </c>
      <c r="O23" s="433">
        <v>2005.0</v>
      </c>
      <c r="P23" s="433" t="s">
        <v>388</v>
      </c>
      <c r="Q23" s="433">
        <v>1.0</v>
      </c>
    </row>
    <row r="24" ht="15.75" customHeight="1">
      <c r="B24" s="433">
        <v>19.0</v>
      </c>
      <c r="C24" s="433"/>
      <c r="D24" s="433"/>
      <c r="E24" s="434" t="s">
        <v>22626</v>
      </c>
      <c r="F24" s="433" t="s">
        <v>22589</v>
      </c>
      <c r="G24" s="433" t="s">
        <v>29</v>
      </c>
      <c r="H24" s="433" t="s">
        <v>30</v>
      </c>
      <c r="I24" s="433" t="s">
        <v>19618</v>
      </c>
      <c r="J24" s="433" t="s">
        <v>22624</v>
      </c>
      <c r="K24" s="433">
        <v>15.0</v>
      </c>
      <c r="L24" s="433" t="s">
        <v>22625</v>
      </c>
      <c r="M24" s="433"/>
      <c r="N24" s="433" t="s">
        <v>22627</v>
      </c>
      <c r="O24" s="433">
        <v>2005.0</v>
      </c>
      <c r="P24" s="433" t="s">
        <v>388</v>
      </c>
      <c r="Q24" s="433">
        <v>1.0</v>
      </c>
    </row>
    <row r="25" ht="15.75" customHeight="1">
      <c r="B25" s="433">
        <v>20.0</v>
      </c>
      <c r="C25" s="433"/>
      <c r="D25" s="433"/>
      <c r="E25" s="434" t="s">
        <v>22628</v>
      </c>
      <c r="F25" s="433" t="s">
        <v>22589</v>
      </c>
      <c r="G25" s="433" t="s">
        <v>29</v>
      </c>
      <c r="H25" s="433" t="s">
        <v>30</v>
      </c>
      <c r="I25" s="433" t="s">
        <v>19618</v>
      </c>
      <c r="J25" s="433" t="s">
        <v>22624</v>
      </c>
      <c r="K25" s="433">
        <v>14.0</v>
      </c>
      <c r="L25" s="433" t="s">
        <v>22625</v>
      </c>
      <c r="M25" s="433"/>
      <c r="N25" s="433" t="s">
        <v>22627</v>
      </c>
      <c r="O25" s="433">
        <v>2005.0</v>
      </c>
      <c r="P25" s="433" t="s">
        <v>388</v>
      </c>
      <c r="Q25" s="433">
        <v>1.0</v>
      </c>
    </row>
    <row r="26" ht="15.75" customHeight="1">
      <c r="B26" s="433">
        <v>21.0</v>
      </c>
      <c r="C26" s="433"/>
      <c r="D26" s="433"/>
      <c r="E26" s="434" t="s">
        <v>22629</v>
      </c>
      <c r="F26" s="433" t="s">
        <v>22589</v>
      </c>
      <c r="G26" s="433" t="s">
        <v>29</v>
      </c>
      <c r="H26" s="433" t="s">
        <v>30</v>
      </c>
      <c r="I26" s="433" t="s">
        <v>19618</v>
      </c>
      <c r="J26" s="433" t="s">
        <v>22630</v>
      </c>
      <c r="K26" s="433">
        <v>28.0</v>
      </c>
      <c r="L26" s="433" t="s">
        <v>22625</v>
      </c>
      <c r="M26" s="433"/>
      <c r="N26" s="433" t="s">
        <v>10148</v>
      </c>
      <c r="O26" s="433">
        <v>2004.0</v>
      </c>
      <c r="P26" s="433" t="s">
        <v>388</v>
      </c>
      <c r="Q26" s="433">
        <v>1.0</v>
      </c>
    </row>
    <row r="27" ht="15.75" customHeight="1">
      <c r="B27" s="433">
        <v>22.0</v>
      </c>
      <c r="C27" s="433"/>
      <c r="D27" s="433"/>
      <c r="E27" s="434" t="s">
        <v>22631</v>
      </c>
      <c r="F27" s="433" t="s">
        <v>22589</v>
      </c>
      <c r="G27" s="433" t="s">
        <v>29</v>
      </c>
      <c r="H27" s="433" t="s">
        <v>30</v>
      </c>
      <c r="I27" s="433" t="s">
        <v>19618</v>
      </c>
      <c r="J27" s="433" t="s">
        <v>22630</v>
      </c>
      <c r="K27" s="433">
        <v>18.0</v>
      </c>
      <c r="L27" s="433" t="s">
        <v>22625</v>
      </c>
      <c r="M27" s="433"/>
      <c r="N27" s="433" t="s">
        <v>10148</v>
      </c>
      <c r="O27" s="433">
        <v>2004.0</v>
      </c>
      <c r="P27" s="433" t="s">
        <v>388</v>
      </c>
      <c r="Q27" s="433">
        <v>1.0</v>
      </c>
    </row>
    <row r="28" ht="15.75" customHeight="1">
      <c r="B28" s="433">
        <v>23.0</v>
      </c>
      <c r="C28" s="433"/>
      <c r="D28" s="433"/>
      <c r="E28" s="434" t="s">
        <v>22632</v>
      </c>
      <c r="F28" s="433" t="s">
        <v>22589</v>
      </c>
      <c r="G28" s="433" t="s">
        <v>29</v>
      </c>
      <c r="H28" s="433" t="s">
        <v>30</v>
      </c>
      <c r="I28" s="433" t="s">
        <v>19618</v>
      </c>
      <c r="J28" s="433" t="s">
        <v>22630</v>
      </c>
      <c r="K28" s="433">
        <v>28.0</v>
      </c>
      <c r="L28" s="433" t="s">
        <v>22625</v>
      </c>
      <c r="M28" s="433"/>
      <c r="N28" s="433" t="s">
        <v>10148</v>
      </c>
      <c r="O28" s="433">
        <v>2004.0</v>
      </c>
      <c r="P28" s="433" t="s">
        <v>388</v>
      </c>
      <c r="Q28" s="433">
        <v>1.0</v>
      </c>
    </row>
    <row r="29" ht="15.75" customHeight="1">
      <c r="B29" s="433">
        <v>24.0</v>
      </c>
      <c r="C29" s="433"/>
      <c r="D29" s="433"/>
      <c r="E29" s="434" t="s">
        <v>22633</v>
      </c>
      <c r="F29" s="433" t="s">
        <v>22589</v>
      </c>
      <c r="G29" s="433" t="s">
        <v>29</v>
      </c>
      <c r="H29" s="433" t="s">
        <v>30</v>
      </c>
      <c r="I29" s="433" t="s">
        <v>19618</v>
      </c>
      <c r="J29" s="433" t="s">
        <v>22630</v>
      </c>
      <c r="K29" s="433">
        <v>24.0</v>
      </c>
      <c r="L29" s="433" t="s">
        <v>22625</v>
      </c>
      <c r="M29" s="433"/>
      <c r="N29" s="433" t="s">
        <v>10148</v>
      </c>
      <c r="O29" s="433">
        <v>2004.0</v>
      </c>
      <c r="P29" s="433" t="s">
        <v>388</v>
      </c>
      <c r="Q29" s="433">
        <v>1.0</v>
      </c>
    </row>
    <row r="30" ht="15.75" customHeight="1">
      <c r="B30" s="433">
        <v>25.0</v>
      </c>
      <c r="C30" s="433"/>
      <c r="D30" s="433"/>
      <c r="E30" s="434" t="s">
        <v>22634</v>
      </c>
      <c r="F30" s="433" t="s">
        <v>22589</v>
      </c>
      <c r="G30" s="433" t="s">
        <v>29</v>
      </c>
      <c r="H30" s="433" t="s">
        <v>30</v>
      </c>
      <c r="I30" s="433" t="s">
        <v>19618</v>
      </c>
      <c r="J30" s="433" t="s">
        <v>22624</v>
      </c>
      <c r="K30" s="433">
        <v>18.0</v>
      </c>
      <c r="L30" s="433" t="s">
        <v>22625</v>
      </c>
      <c r="M30" s="433"/>
      <c r="N30" s="433" t="s">
        <v>10148</v>
      </c>
      <c r="O30" s="433">
        <v>2004.0</v>
      </c>
      <c r="P30" s="433" t="s">
        <v>388</v>
      </c>
      <c r="Q30" s="433">
        <v>1.0</v>
      </c>
    </row>
    <row r="31" ht="15.75" customHeight="1">
      <c r="B31" s="433">
        <v>26.0</v>
      </c>
      <c r="C31" s="433"/>
      <c r="D31" s="433"/>
      <c r="E31" s="434" t="s">
        <v>22635</v>
      </c>
      <c r="F31" s="433" t="s">
        <v>22589</v>
      </c>
      <c r="G31" s="433" t="s">
        <v>29</v>
      </c>
      <c r="H31" s="433" t="s">
        <v>30</v>
      </c>
      <c r="I31" s="433"/>
      <c r="J31" s="433" t="s">
        <v>22630</v>
      </c>
      <c r="K31" s="433">
        <v>20.0</v>
      </c>
      <c r="L31" s="433" t="s">
        <v>22625</v>
      </c>
      <c r="M31" s="433"/>
      <c r="N31" s="433" t="s">
        <v>10148</v>
      </c>
      <c r="O31" s="433">
        <v>2004.0</v>
      </c>
      <c r="P31" s="433" t="s">
        <v>388</v>
      </c>
      <c r="Q31" s="433">
        <v>1.0</v>
      </c>
    </row>
    <row r="32" ht="15.75" customHeight="1">
      <c r="B32" s="433">
        <v>27.0</v>
      </c>
      <c r="C32" s="433"/>
      <c r="D32" s="433"/>
      <c r="E32" s="434" t="s">
        <v>22636</v>
      </c>
      <c r="F32" s="433" t="s">
        <v>22589</v>
      </c>
      <c r="G32" s="433" t="s">
        <v>29</v>
      </c>
      <c r="H32" s="433" t="s">
        <v>30</v>
      </c>
      <c r="I32" s="433" t="s">
        <v>19618</v>
      </c>
      <c r="J32" s="433" t="s">
        <v>22630</v>
      </c>
      <c r="K32" s="433">
        <v>20.0</v>
      </c>
      <c r="L32" s="433" t="s">
        <v>22625</v>
      </c>
      <c r="M32" s="433"/>
      <c r="N32" s="433" t="s">
        <v>10148</v>
      </c>
      <c r="O32" s="433">
        <v>2004.0</v>
      </c>
      <c r="P32" s="433" t="s">
        <v>388</v>
      </c>
      <c r="Q32" s="433">
        <v>1.0</v>
      </c>
    </row>
    <row r="33" ht="15.75" customHeight="1">
      <c r="B33" s="433">
        <v>28.0</v>
      </c>
      <c r="C33" s="433"/>
      <c r="D33" s="433"/>
      <c r="E33" s="434" t="s">
        <v>22637</v>
      </c>
      <c r="F33" s="433" t="s">
        <v>22589</v>
      </c>
      <c r="G33" s="433" t="s">
        <v>29</v>
      </c>
      <c r="H33" s="433" t="s">
        <v>30</v>
      </c>
      <c r="I33" s="433" t="s">
        <v>19618</v>
      </c>
      <c r="J33" s="433" t="s">
        <v>22630</v>
      </c>
      <c r="K33" s="433">
        <v>24.0</v>
      </c>
      <c r="L33" s="433" t="s">
        <v>22625</v>
      </c>
      <c r="M33" s="433"/>
      <c r="N33" s="433" t="s">
        <v>10148</v>
      </c>
      <c r="O33" s="433">
        <v>2004.0</v>
      </c>
      <c r="P33" s="433" t="s">
        <v>388</v>
      </c>
      <c r="Q33" s="433">
        <v>1.0</v>
      </c>
    </row>
    <row r="34" ht="15.75" customHeight="1">
      <c r="B34" s="433">
        <v>29.0</v>
      </c>
      <c r="C34" s="433"/>
      <c r="D34" s="433"/>
      <c r="E34" s="434" t="s">
        <v>22638</v>
      </c>
      <c r="F34" s="433" t="s">
        <v>22589</v>
      </c>
      <c r="G34" s="433" t="s">
        <v>29</v>
      </c>
      <c r="H34" s="433" t="s">
        <v>30</v>
      </c>
      <c r="I34" s="433" t="s">
        <v>19618</v>
      </c>
      <c r="J34" s="433"/>
      <c r="K34" s="433"/>
      <c r="L34" s="433"/>
      <c r="M34" s="433"/>
      <c r="N34" s="433" t="s">
        <v>18627</v>
      </c>
      <c r="O34" s="433">
        <v>2002.0</v>
      </c>
      <c r="P34" s="433" t="s">
        <v>388</v>
      </c>
      <c r="Q34" s="433">
        <v>1.0</v>
      </c>
    </row>
    <row r="35" ht="15.75" customHeight="1">
      <c r="B35" s="433">
        <v>30.0</v>
      </c>
      <c r="C35" s="433"/>
      <c r="D35" s="433"/>
      <c r="E35" s="434" t="s">
        <v>22639</v>
      </c>
      <c r="F35" s="433" t="s">
        <v>22589</v>
      </c>
      <c r="G35" s="433" t="s">
        <v>29</v>
      </c>
      <c r="H35" s="433" t="s">
        <v>30</v>
      </c>
      <c r="I35" s="433" t="s">
        <v>19618</v>
      </c>
      <c r="J35" s="433" t="s">
        <v>22624</v>
      </c>
      <c r="K35" s="433">
        <v>12.0</v>
      </c>
      <c r="L35" s="433" t="s">
        <v>22625</v>
      </c>
      <c r="M35" s="433"/>
      <c r="N35" s="433" t="s">
        <v>22627</v>
      </c>
      <c r="O35" s="433">
        <v>2005.0</v>
      </c>
      <c r="P35" s="433" t="s">
        <v>388</v>
      </c>
      <c r="Q35" s="433">
        <v>1.0</v>
      </c>
    </row>
    <row r="36" ht="15.75" customHeight="1">
      <c r="B36" s="433">
        <v>31.0</v>
      </c>
      <c r="C36" s="433"/>
      <c r="D36" s="433"/>
      <c r="E36" s="434" t="s">
        <v>22640</v>
      </c>
      <c r="F36" s="433" t="s">
        <v>22589</v>
      </c>
      <c r="G36" s="433" t="s">
        <v>29</v>
      </c>
      <c r="H36" s="433" t="s">
        <v>30</v>
      </c>
      <c r="I36" s="433" t="s">
        <v>19618</v>
      </c>
      <c r="J36" s="433" t="s">
        <v>22624</v>
      </c>
      <c r="K36" s="433">
        <v>16.0</v>
      </c>
      <c r="L36" s="433" t="s">
        <v>22625</v>
      </c>
      <c r="M36" s="433"/>
      <c r="N36" s="433" t="s">
        <v>10148</v>
      </c>
      <c r="O36" s="433">
        <v>2005.0</v>
      </c>
      <c r="P36" s="433" t="s">
        <v>388</v>
      </c>
      <c r="Q36" s="433">
        <v>1.0</v>
      </c>
    </row>
    <row r="37" ht="15.75" customHeight="1">
      <c r="B37" s="433">
        <v>32.0</v>
      </c>
      <c r="C37" s="433"/>
      <c r="D37" s="433"/>
      <c r="E37" s="434" t="s">
        <v>22641</v>
      </c>
      <c r="F37" s="433" t="s">
        <v>22589</v>
      </c>
      <c r="G37" s="433" t="s">
        <v>29</v>
      </c>
      <c r="H37" s="433" t="s">
        <v>30</v>
      </c>
      <c r="I37" s="433" t="s">
        <v>19618</v>
      </c>
      <c r="J37" s="433" t="s">
        <v>22624</v>
      </c>
      <c r="K37" s="433">
        <v>19.0</v>
      </c>
      <c r="L37" s="433" t="s">
        <v>22625</v>
      </c>
      <c r="M37" s="433"/>
      <c r="N37" s="433" t="s">
        <v>10148</v>
      </c>
      <c r="O37" s="433">
        <v>2005.0</v>
      </c>
      <c r="P37" s="433" t="s">
        <v>388</v>
      </c>
      <c r="Q37" s="433">
        <v>1.0</v>
      </c>
    </row>
    <row r="38" ht="15.75" customHeight="1">
      <c r="B38" s="433">
        <v>33.0</v>
      </c>
      <c r="C38" s="433"/>
      <c r="D38" s="433"/>
      <c r="E38" s="434" t="s">
        <v>22642</v>
      </c>
      <c r="F38" s="433" t="s">
        <v>22589</v>
      </c>
      <c r="G38" s="433" t="s">
        <v>29</v>
      </c>
      <c r="H38" s="433" t="s">
        <v>30</v>
      </c>
      <c r="I38" s="433" t="s">
        <v>19618</v>
      </c>
      <c r="J38" s="433" t="s">
        <v>22643</v>
      </c>
      <c r="K38" s="433">
        <v>66.0</v>
      </c>
      <c r="L38" s="433" t="s">
        <v>21753</v>
      </c>
      <c r="M38" s="433"/>
      <c r="N38" s="433"/>
      <c r="O38" s="433"/>
      <c r="P38" s="433" t="s">
        <v>388</v>
      </c>
      <c r="Q38" s="433">
        <v>1.0</v>
      </c>
    </row>
    <row r="39" ht="15.75" customHeight="1">
      <c r="B39" s="433">
        <v>34.0</v>
      </c>
      <c r="C39" s="433"/>
      <c r="D39" s="433"/>
      <c r="E39" s="434" t="s">
        <v>22644</v>
      </c>
      <c r="F39" s="433" t="s">
        <v>22589</v>
      </c>
      <c r="G39" s="433" t="s">
        <v>29</v>
      </c>
      <c r="H39" s="433" t="s">
        <v>30</v>
      </c>
      <c r="I39" s="433" t="s">
        <v>19618</v>
      </c>
      <c r="J39" s="433" t="s">
        <v>22643</v>
      </c>
      <c r="K39" s="433">
        <v>78.0</v>
      </c>
      <c r="L39" s="433" t="s">
        <v>21753</v>
      </c>
      <c r="M39" s="433"/>
      <c r="N39" s="433"/>
      <c r="O39" s="433"/>
      <c r="P39" s="433" t="s">
        <v>388</v>
      </c>
      <c r="Q39" s="433">
        <v>1.0</v>
      </c>
    </row>
    <row r="40" ht="15.75" customHeight="1">
      <c r="B40" s="433">
        <v>35.0</v>
      </c>
      <c r="C40" s="433"/>
      <c r="D40" s="433"/>
      <c r="E40" s="434" t="s">
        <v>22645</v>
      </c>
      <c r="F40" s="433" t="s">
        <v>22589</v>
      </c>
      <c r="G40" s="433" t="s">
        <v>29</v>
      </c>
      <c r="H40" s="433" t="s">
        <v>30</v>
      </c>
      <c r="I40" s="433" t="s">
        <v>19618</v>
      </c>
      <c r="J40" s="433" t="s">
        <v>22630</v>
      </c>
      <c r="K40" s="433">
        <v>28.0</v>
      </c>
      <c r="L40" s="433" t="s">
        <v>22646</v>
      </c>
      <c r="M40" s="433"/>
      <c r="N40" s="433" t="s">
        <v>10148</v>
      </c>
      <c r="O40" s="433">
        <v>2004.0</v>
      </c>
      <c r="P40" s="433" t="s">
        <v>388</v>
      </c>
      <c r="Q40" s="433">
        <v>2.0</v>
      </c>
    </row>
    <row r="41" ht="15.75" customHeight="1">
      <c r="B41" s="433">
        <v>36.0</v>
      </c>
      <c r="C41" s="433"/>
      <c r="D41" s="433"/>
      <c r="E41" s="434" t="s">
        <v>22647</v>
      </c>
      <c r="F41" s="433" t="s">
        <v>22589</v>
      </c>
      <c r="G41" s="433" t="s">
        <v>29</v>
      </c>
      <c r="H41" s="433" t="s">
        <v>30</v>
      </c>
      <c r="I41" s="433" t="s">
        <v>19618</v>
      </c>
      <c r="J41" s="433" t="s">
        <v>22624</v>
      </c>
      <c r="K41" s="433">
        <v>16.0</v>
      </c>
      <c r="L41" s="433" t="s">
        <v>22646</v>
      </c>
      <c r="M41" s="433"/>
      <c r="N41" s="433" t="s">
        <v>22627</v>
      </c>
      <c r="O41" s="433">
        <v>2005.0</v>
      </c>
      <c r="P41" s="433" t="s">
        <v>388</v>
      </c>
      <c r="Q41" s="433">
        <v>1.0</v>
      </c>
    </row>
    <row r="42" ht="15.75" customHeight="1">
      <c r="B42" s="433">
        <v>37.0</v>
      </c>
      <c r="C42" s="433"/>
      <c r="D42" s="433"/>
      <c r="E42" s="434" t="s">
        <v>22648</v>
      </c>
      <c r="F42" s="433" t="s">
        <v>22589</v>
      </c>
      <c r="G42" s="433" t="s">
        <v>29</v>
      </c>
      <c r="H42" s="433" t="s">
        <v>30</v>
      </c>
      <c r="I42" s="433" t="s">
        <v>19618</v>
      </c>
      <c r="J42" s="433" t="s">
        <v>22649</v>
      </c>
      <c r="K42" s="433">
        <v>62.0</v>
      </c>
      <c r="L42" s="433" t="s">
        <v>22646</v>
      </c>
      <c r="M42" s="433"/>
      <c r="N42" s="433" t="s">
        <v>9290</v>
      </c>
      <c r="O42" s="433">
        <v>2004.0</v>
      </c>
      <c r="P42" s="433" t="s">
        <v>388</v>
      </c>
      <c r="Q42" s="433">
        <v>2.0</v>
      </c>
    </row>
    <row r="43" ht="15.75" customHeight="1">
      <c r="B43" s="433">
        <v>38.0</v>
      </c>
      <c r="C43" s="433"/>
      <c r="D43" s="433"/>
      <c r="E43" s="434"/>
      <c r="F43" s="433" t="s">
        <v>22589</v>
      </c>
      <c r="G43" s="433" t="s">
        <v>29</v>
      </c>
      <c r="H43" s="433" t="s">
        <v>30</v>
      </c>
      <c r="I43" s="433"/>
      <c r="J43" s="433"/>
      <c r="K43" s="433"/>
      <c r="L43" s="433"/>
      <c r="M43" s="433"/>
      <c r="N43" s="433"/>
      <c r="O43" s="433"/>
      <c r="P43" s="433" t="s">
        <v>388</v>
      </c>
      <c r="Q43" s="433">
        <v>1.0</v>
      </c>
    </row>
    <row r="44" ht="15.75" customHeight="1">
      <c r="B44" s="433">
        <v>39.0</v>
      </c>
      <c r="C44" s="433"/>
      <c r="D44" s="433"/>
      <c r="E44" s="434" t="s">
        <v>22650</v>
      </c>
      <c r="F44" s="433" t="s">
        <v>22589</v>
      </c>
      <c r="G44" s="433" t="s">
        <v>29</v>
      </c>
      <c r="H44" s="433" t="s">
        <v>30</v>
      </c>
      <c r="I44" s="433" t="s">
        <v>19618</v>
      </c>
      <c r="J44" s="433" t="s">
        <v>22651</v>
      </c>
      <c r="K44" s="433">
        <v>21.0</v>
      </c>
      <c r="L44" s="433" t="s">
        <v>21753</v>
      </c>
      <c r="M44" s="433"/>
      <c r="N44" s="433"/>
      <c r="O44" s="433">
        <v>1990.0</v>
      </c>
      <c r="P44" s="433" t="s">
        <v>388</v>
      </c>
      <c r="Q44" s="433">
        <v>4.0</v>
      </c>
    </row>
    <row r="45" ht="15.75" customHeight="1">
      <c r="B45" s="433">
        <v>40.0</v>
      </c>
      <c r="C45" s="433"/>
      <c r="D45" s="433"/>
      <c r="E45" s="434" t="s">
        <v>22652</v>
      </c>
      <c r="F45" s="433" t="s">
        <v>22589</v>
      </c>
      <c r="G45" s="433" t="s">
        <v>29</v>
      </c>
      <c r="H45" s="433" t="s">
        <v>30</v>
      </c>
      <c r="I45" s="433" t="s">
        <v>19618</v>
      </c>
      <c r="J45" s="433" t="s">
        <v>22651</v>
      </c>
      <c r="K45" s="433">
        <v>110.0</v>
      </c>
      <c r="L45" s="433" t="s">
        <v>22608</v>
      </c>
      <c r="M45" s="433"/>
      <c r="N45" s="433" t="s">
        <v>22653</v>
      </c>
      <c r="O45" s="433">
        <v>1996.0</v>
      </c>
      <c r="P45" s="433" t="s">
        <v>388</v>
      </c>
      <c r="Q45" s="433">
        <v>1.0</v>
      </c>
    </row>
    <row r="46" ht="15.75" customHeight="1">
      <c r="B46" s="433">
        <v>41.0</v>
      </c>
      <c r="C46" s="433"/>
      <c r="D46" s="433"/>
      <c r="E46" s="434" t="s">
        <v>22654</v>
      </c>
      <c r="F46" s="433" t="s">
        <v>22589</v>
      </c>
      <c r="G46" s="433" t="s">
        <v>29</v>
      </c>
      <c r="H46" s="433" t="s">
        <v>30</v>
      </c>
      <c r="I46" s="433" t="s">
        <v>19618</v>
      </c>
      <c r="J46" s="433" t="s">
        <v>22651</v>
      </c>
      <c r="K46" s="433">
        <v>112.0</v>
      </c>
      <c r="L46" s="433" t="s">
        <v>22608</v>
      </c>
      <c r="M46" s="433"/>
      <c r="N46" s="433" t="s">
        <v>22653</v>
      </c>
      <c r="O46" s="433">
        <v>1995.0</v>
      </c>
      <c r="P46" s="433" t="s">
        <v>388</v>
      </c>
      <c r="Q46" s="433">
        <v>1.0</v>
      </c>
    </row>
    <row r="47" ht="15.75" customHeight="1">
      <c r="B47" s="433">
        <v>42.0</v>
      </c>
      <c r="C47" s="433"/>
      <c r="D47" s="433"/>
      <c r="E47" s="434" t="s">
        <v>22655</v>
      </c>
      <c r="F47" s="433" t="s">
        <v>22589</v>
      </c>
      <c r="G47" s="433" t="s">
        <v>29</v>
      </c>
      <c r="H47" s="433" t="s">
        <v>30</v>
      </c>
      <c r="I47" s="433" t="s">
        <v>19618</v>
      </c>
      <c r="J47" s="433" t="s">
        <v>22630</v>
      </c>
      <c r="K47" s="433">
        <v>53.0</v>
      </c>
      <c r="L47" s="433" t="s">
        <v>22608</v>
      </c>
      <c r="M47" s="433"/>
      <c r="N47" s="433" t="s">
        <v>22656</v>
      </c>
      <c r="O47" s="433">
        <v>2004.0</v>
      </c>
      <c r="P47" s="433" t="s">
        <v>388</v>
      </c>
      <c r="Q47" s="433">
        <v>1.0</v>
      </c>
    </row>
    <row r="48" ht="15.75" customHeight="1">
      <c r="B48" s="433">
        <v>43.0</v>
      </c>
      <c r="C48" s="433"/>
      <c r="D48" s="433"/>
      <c r="E48" s="434" t="s">
        <v>22657</v>
      </c>
      <c r="F48" s="433" t="s">
        <v>22589</v>
      </c>
      <c r="G48" s="433" t="s">
        <v>29</v>
      </c>
      <c r="H48" s="433" t="s">
        <v>30</v>
      </c>
      <c r="I48" s="433" t="s">
        <v>19618</v>
      </c>
      <c r="J48" s="433" t="s">
        <v>22600</v>
      </c>
      <c r="K48" s="433">
        <v>185.0</v>
      </c>
      <c r="L48" s="433"/>
      <c r="M48" s="433"/>
      <c r="N48" s="433" t="s">
        <v>22658</v>
      </c>
      <c r="O48" s="433">
        <v>1912.0</v>
      </c>
      <c r="P48" s="433" t="s">
        <v>388</v>
      </c>
      <c r="Q48" s="433">
        <v>2.0</v>
      </c>
    </row>
    <row r="49" ht="15.75" customHeight="1">
      <c r="B49" s="433">
        <v>44.0</v>
      </c>
      <c r="C49" s="433"/>
      <c r="D49" s="433"/>
      <c r="E49" s="434" t="s">
        <v>22659</v>
      </c>
      <c r="F49" s="433" t="s">
        <v>22589</v>
      </c>
      <c r="G49" s="433" t="s">
        <v>29</v>
      </c>
      <c r="H49" s="433" t="s">
        <v>30</v>
      </c>
      <c r="I49" s="433" t="s">
        <v>19618</v>
      </c>
      <c r="J49" s="433" t="s">
        <v>15464</v>
      </c>
      <c r="K49" s="433">
        <v>242.0</v>
      </c>
      <c r="L49" s="433" t="s">
        <v>22660</v>
      </c>
      <c r="M49" s="433"/>
      <c r="N49" s="433"/>
      <c r="O49" s="433">
        <v>1967.0</v>
      </c>
      <c r="P49" s="433" t="s">
        <v>388</v>
      </c>
      <c r="Q49" s="433">
        <v>1.0</v>
      </c>
    </row>
    <row r="50" ht="15.75" customHeight="1">
      <c r="B50" s="433">
        <v>45.0</v>
      </c>
      <c r="C50" s="433"/>
      <c r="D50" s="433"/>
      <c r="E50" s="434" t="s">
        <v>22661</v>
      </c>
      <c r="F50" s="433" t="s">
        <v>22589</v>
      </c>
      <c r="G50" s="433" t="s">
        <v>29</v>
      </c>
      <c r="H50" s="433" t="s">
        <v>30</v>
      </c>
      <c r="I50" s="433" t="s">
        <v>19618</v>
      </c>
      <c r="J50" s="433" t="s">
        <v>22662</v>
      </c>
      <c r="K50" s="433">
        <v>189.0</v>
      </c>
      <c r="L50" s="433" t="s">
        <v>13582</v>
      </c>
      <c r="M50" s="433"/>
      <c r="N50" s="433" t="s">
        <v>22663</v>
      </c>
      <c r="O50" s="433">
        <v>1972.0</v>
      </c>
      <c r="P50" s="433" t="s">
        <v>388</v>
      </c>
      <c r="Q50" s="433">
        <v>1.0</v>
      </c>
    </row>
    <row r="51" ht="15.75" customHeight="1">
      <c r="A51" s="255"/>
      <c r="B51" s="186">
        <v>46.0</v>
      </c>
      <c r="C51" s="186"/>
      <c r="D51" s="191" t="s">
        <v>22664</v>
      </c>
      <c r="E51" s="188" t="s">
        <v>22665</v>
      </c>
      <c r="F51" s="186" t="s">
        <v>22589</v>
      </c>
      <c r="G51" s="186" t="s">
        <v>29</v>
      </c>
      <c r="H51" s="186" t="s">
        <v>30</v>
      </c>
      <c r="I51" s="186" t="s">
        <v>15440</v>
      </c>
      <c r="J51" s="186" t="s">
        <v>22666</v>
      </c>
      <c r="K51" s="186">
        <v>450.0</v>
      </c>
      <c r="L51" s="186" t="s">
        <v>21875</v>
      </c>
      <c r="M51" s="186"/>
      <c r="N51" s="186" t="s">
        <v>22159</v>
      </c>
      <c r="O51" s="186">
        <v>1995.0</v>
      </c>
      <c r="P51" s="191">
        <v>30.0</v>
      </c>
      <c r="Q51" s="186">
        <v>1.0</v>
      </c>
      <c r="R51" s="949">
        <v>1.0</v>
      </c>
      <c r="S51" s="255"/>
      <c r="T51" s="255"/>
      <c r="U51" s="255"/>
      <c r="V51" s="255"/>
      <c r="W51" s="255"/>
      <c r="X51" s="255"/>
      <c r="Y51" s="255"/>
      <c r="Z51" s="255"/>
    </row>
    <row r="52" ht="15.75" customHeight="1">
      <c r="B52" s="433">
        <v>47.0</v>
      </c>
      <c r="C52" s="433"/>
      <c r="D52" s="433"/>
      <c r="E52" s="434" t="s">
        <v>22667</v>
      </c>
      <c r="F52" s="433" t="s">
        <v>22589</v>
      </c>
      <c r="G52" s="433" t="s">
        <v>29</v>
      </c>
      <c r="H52" s="433" t="s">
        <v>30</v>
      </c>
      <c r="I52" s="433" t="s">
        <v>22668</v>
      </c>
      <c r="J52" s="433" t="s">
        <v>22669</v>
      </c>
      <c r="K52" s="433">
        <v>38.0</v>
      </c>
      <c r="L52" s="433" t="s">
        <v>21875</v>
      </c>
      <c r="M52" s="433"/>
      <c r="N52" s="433" t="s">
        <v>4212</v>
      </c>
      <c r="O52" s="433">
        <v>2002.0</v>
      </c>
      <c r="P52" s="433" t="s">
        <v>388</v>
      </c>
      <c r="Q52" s="433">
        <v>2.0</v>
      </c>
    </row>
    <row r="53" ht="15.75" customHeight="1">
      <c r="B53" s="433">
        <v>48.0</v>
      </c>
      <c r="C53" s="433"/>
      <c r="D53" s="433"/>
      <c r="E53" s="434" t="s">
        <v>22670</v>
      </c>
      <c r="F53" s="433" t="s">
        <v>22589</v>
      </c>
      <c r="G53" s="433" t="s">
        <v>29</v>
      </c>
      <c r="H53" s="433" t="s">
        <v>30</v>
      </c>
      <c r="I53" s="433" t="s">
        <v>22668</v>
      </c>
      <c r="J53" s="433" t="s">
        <v>22669</v>
      </c>
      <c r="K53" s="433">
        <v>112.0</v>
      </c>
      <c r="L53" s="433" t="s">
        <v>21875</v>
      </c>
      <c r="M53" s="433"/>
      <c r="N53" s="433" t="s">
        <v>9290</v>
      </c>
      <c r="O53" s="433">
        <v>1997.0</v>
      </c>
      <c r="P53" s="433" t="s">
        <v>388</v>
      </c>
      <c r="Q53" s="433">
        <v>1.0</v>
      </c>
    </row>
    <row r="54" ht="15.75" customHeight="1">
      <c r="B54" s="433">
        <v>49.0</v>
      </c>
      <c r="C54" s="433"/>
      <c r="D54" s="433"/>
      <c r="E54" s="434" t="s">
        <v>22671</v>
      </c>
      <c r="F54" s="433" t="s">
        <v>22589</v>
      </c>
      <c r="G54" s="433" t="s">
        <v>29</v>
      </c>
      <c r="H54" s="433" t="s">
        <v>30</v>
      </c>
      <c r="I54" s="433" t="s">
        <v>22668</v>
      </c>
      <c r="J54" s="433" t="s">
        <v>22672</v>
      </c>
      <c r="K54" s="433">
        <v>21.0</v>
      </c>
      <c r="L54" s="433" t="s">
        <v>21875</v>
      </c>
      <c r="M54" s="433"/>
      <c r="N54" s="433" t="s">
        <v>22673</v>
      </c>
      <c r="O54" s="433">
        <v>1998.0</v>
      </c>
      <c r="P54" s="433" t="s">
        <v>388</v>
      </c>
      <c r="Q54" s="433">
        <v>3.0</v>
      </c>
    </row>
    <row r="55" ht="15.75" customHeight="1">
      <c r="B55" s="433">
        <v>50.0</v>
      </c>
      <c r="C55" s="433"/>
      <c r="D55" s="433"/>
      <c r="E55" s="434" t="s">
        <v>22674</v>
      </c>
      <c r="F55" s="433" t="s">
        <v>22589</v>
      </c>
      <c r="G55" s="433" t="s">
        <v>29</v>
      </c>
      <c r="H55" s="433" t="s">
        <v>30</v>
      </c>
      <c r="I55" s="433" t="s">
        <v>22668</v>
      </c>
      <c r="J55" s="433" t="s">
        <v>14693</v>
      </c>
      <c r="K55" s="433">
        <v>82.0</v>
      </c>
      <c r="L55" s="433" t="s">
        <v>21875</v>
      </c>
      <c r="M55" s="433"/>
      <c r="N55" s="433"/>
      <c r="O55" s="433"/>
      <c r="P55" s="433" t="s">
        <v>388</v>
      </c>
      <c r="Q55" s="433">
        <v>1.0</v>
      </c>
    </row>
    <row r="56" ht="15.75" customHeight="1">
      <c r="B56" s="433">
        <v>51.0</v>
      </c>
      <c r="C56" s="433"/>
      <c r="D56" s="433"/>
      <c r="E56" s="434" t="s">
        <v>22675</v>
      </c>
      <c r="F56" s="433" t="s">
        <v>22589</v>
      </c>
      <c r="G56" s="433" t="s">
        <v>29</v>
      </c>
      <c r="H56" s="433" t="s">
        <v>30</v>
      </c>
      <c r="I56" s="433" t="s">
        <v>22676</v>
      </c>
      <c r="J56" s="433" t="s">
        <v>15387</v>
      </c>
      <c r="K56" s="433">
        <v>117.0</v>
      </c>
      <c r="L56" s="433" t="s">
        <v>22677</v>
      </c>
      <c r="M56" s="433"/>
      <c r="N56" s="433" t="s">
        <v>22678</v>
      </c>
      <c r="O56" s="433">
        <v>2007.0</v>
      </c>
      <c r="P56" s="433" t="s">
        <v>388</v>
      </c>
      <c r="Q56" s="433">
        <v>2.0</v>
      </c>
    </row>
    <row r="57" ht="15.75" customHeight="1">
      <c r="B57" s="433">
        <v>52.0</v>
      </c>
      <c r="C57" s="433"/>
      <c r="D57" s="433"/>
      <c r="E57" s="434" t="s">
        <v>22679</v>
      </c>
      <c r="F57" s="433" t="s">
        <v>22589</v>
      </c>
      <c r="G57" s="433" t="s">
        <v>29</v>
      </c>
      <c r="H57" s="433" t="s">
        <v>30</v>
      </c>
      <c r="I57" s="433" t="s">
        <v>22676</v>
      </c>
      <c r="J57" s="433" t="s">
        <v>15371</v>
      </c>
      <c r="K57" s="433">
        <v>50.0</v>
      </c>
      <c r="L57" s="433" t="s">
        <v>22680</v>
      </c>
      <c r="M57" s="433"/>
      <c r="N57" s="433" t="s">
        <v>22681</v>
      </c>
      <c r="O57" s="433">
        <v>1991.0</v>
      </c>
      <c r="P57" s="433" t="s">
        <v>388</v>
      </c>
      <c r="Q57" s="433">
        <v>2.0</v>
      </c>
    </row>
    <row r="58" ht="15.75" customHeight="1">
      <c r="B58" s="433">
        <v>53.0</v>
      </c>
      <c r="C58" s="433"/>
      <c r="D58" s="433"/>
      <c r="E58" s="434" t="s">
        <v>22682</v>
      </c>
      <c r="F58" s="433" t="s">
        <v>22589</v>
      </c>
      <c r="G58" s="433" t="s">
        <v>29</v>
      </c>
      <c r="H58" s="433" t="s">
        <v>30</v>
      </c>
      <c r="I58" s="433" t="s">
        <v>22668</v>
      </c>
      <c r="J58" s="433" t="s">
        <v>22683</v>
      </c>
      <c r="K58" s="433">
        <v>42.0</v>
      </c>
      <c r="L58" s="433" t="s">
        <v>22684</v>
      </c>
      <c r="M58" s="577"/>
      <c r="N58" s="577" t="s">
        <v>22685</v>
      </c>
      <c r="O58" s="433">
        <v>1997.0</v>
      </c>
      <c r="P58" s="433" t="s">
        <v>388</v>
      </c>
      <c r="Q58" s="433">
        <v>2.0</v>
      </c>
    </row>
    <row r="59" ht="15.75" customHeight="1">
      <c r="B59" s="433">
        <v>54.0</v>
      </c>
      <c r="C59" s="433"/>
      <c r="D59" s="433"/>
      <c r="E59" s="434" t="s">
        <v>22686</v>
      </c>
      <c r="F59" s="433" t="s">
        <v>22589</v>
      </c>
      <c r="G59" s="433" t="s">
        <v>29</v>
      </c>
      <c r="H59" s="433" t="s">
        <v>30</v>
      </c>
      <c r="I59" s="433" t="s">
        <v>22668</v>
      </c>
      <c r="J59" s="433" t="s">
        <v>22687</v>
      </c>
      <c r="K59" s="433">
        <v>50.0</v>
      </c>
      <c r="L59" s="433" t="s">
        <v>21471</v>
      </c>
      <c r="M59" s="433"/>
      <c r="N59" s="433" t="s">
        <v>22688</v>
      </c>
      <c r="O59" s="433">
        <v>2003.0</v>
      </c>
      <c r="P59" s="433" t="s">
        <v>388</v>
      </c>
      <c r="Q59" s="433">
        <v>1.0</v>
      </c>
    </row>
    <row r="60" ht="15.75" customHeight="1">
      <c r="B60" s="433">
        <v>55.0</v>
      </c>
      <c r="C60" s="433"/>
      <c r="D60" s="433"/>
      <c r="E60" s="434" t="s">
        <v>22689</v>
      </c>
      <c r="F60" s="433" t="s">
        <v>22589</v>
      </c>
      <c r="G60" s="433" t="s">
        <v>29</v>
      </c>
      <c r="H60" s="433" t="s">
        <v>30</v>
      </c>
      <c r="I60" s="433" t="s">
        <v>22690</v>
      </c>
      <c r="J60" s="433" t="s">
        <v>15380</v>
      </c>
      <c r="K60" s="433">
        <v>29.0</v>
      </c>
      <c r="L60" s="433" t="s">
        <v>22691</v>
      </c>
      <c r="M60" s="433"/>
      <c r="N60" s="433" t="s">
        <v>10148</v>
      </c>
      <c r="O60" s="433">
        <v>1998.0</v>
      </c>
      <c r="P60" s="433" t="s">
        <v>388</v>
      </c>
      <c r="Q60" s="433">
        <v>2.0</v>
      </c>
    </row>
    <row r="61" ht="15.75" customHeight="1">
      <c r="B61" s="433">
        <v>56.0</v>
      </c>
      <c r="C61" s="433"/>
      <c r="D61" s="433"/>
      <c r="E61" s="434" t="s">
        <v>22692</v>
      </c>
      <c r="F61" s="433" t="s">
        <v>22589</v>
      </c>
      <c r="G61" s="433" t="s">
        <v>29</v>
      </c>
      <c r="H61" s="433" t="s">
        <v>30</v>
      </c>
      <c r="I61" s="433" t="s">
        <v>22690</v>
      </c>
      <c r="J61" s="433" t="s">
        <v>15371</v>
      </c>
      <c r="K61" s="433">
        <v>90.0</v>
      </c>
      <c r="L61" s="433" t="s">
        <v>22693</v>
      </c>
      <c r="M61" s="433"/>
      <c r="N61" s="433" t="s">
        <v>9290</v>
      </c>
      <c r="O61" s="433">
        <v>2007.0</v>
      </c>
      <c r="P61" s="433" t="s">
        <v>388</v>
      </c>
      <c r="Q61" s="433">
        <v>2.0</v>
      </c>
    </row>
    <row r="62" ht="15.75" customHeight="1">
      <c r="B62" s="433">
        <v>57.0</v>
      </c>
      <c r="C62" s="433"/>
      <c r="D62" s="433"/>
      <c r="E62" s="434" t="s">
        <v>22694</v>
      </c>
      <c r="F62" s="433" t="s">
        <v>22589</v>
      </c>
      <c r="G62" s="433" t="s">
        <v>29</v>
      </c>
      <c r="H62" s="433" t="s">
        <v>30</v>
      </c>
      <c r="I62" s="433" t="s">
        <v>22690</v>
      </c>
      <c r="J62" s="433" t="s">
        <v>15371</v>
      </c>
      <c r="K62" s="433">
        <v>63.0</v>
      </c>
      <c r="L62" s="433" t="s">
        <v>22693</v>
      </c>
      <c r="M62" s="433"/>
      <c r="N62" s="433" t="s">
        <v>22695</v>
      </c>
      <c r="O62" s="433">
        <v>2002.0</v>
      </c>
      <c r="P62" s="433" t="s">
        <v>388</v>
      </c>
      <c r="Q62" s="433">
        <v>2.0</v>
      </c>
    </row>
    <row r="63" ht="15.75" customHeight="1">
      <c r="B63" s="433">
        <v>58.0</v>
      </c>
      <c r="C63" s="433"/>
      <c r="D63" s="433"/>
      <c r="E63" s="434" t="s">
        <v>22696</v>
      </c>
      <c r="F63" s="433" t="s">
        <v>22589</v>
      </c>
      <c r="G63" s="433" t="s">
        <v>29</v>
      </c>
      <c r="H63" s="433" t="s">
        <v>30</v>
      </c>
      <c r="I63" s="433" t="s">
        <v>22668</v>
      </c>
      <c r="J63" s="433" t="s">
        <v>22697</v>
      </c>
      <c r="K63" s="433">
        <v>69.0</v>
      </c>
      <c r="L63" s="433" t="s">
        <v>13663</v>
      </c>
      <c r="M63" s="433"/>
      <c r="N63" s="433" t="s">
        <v>22698</v>
      </c>
      <c r="O63" s="433">
        <v>1990.0</v>
      </c>
      <c r="P63" s="433" t="s">
        <v>388</v>
      </c>
      <c r="Q63" s="433">
        <v>2.0</v>
      </c>
    </row>
    <row r="64" ht="15.75" customHeight="1">
      <c r="B64" s="433">
        <v>59.0</v>
      </c>
      <c r="C64" s="433"/>
      <c r="D64" s="433"/>
      <c r="E64" s="434" t="s">
        <v>22699</v>
      </c>
      <c r="F64" s="433" t="s">
        <v>22589</v>
      </c>
      <c r="G64" s="433" t="s">
        <v>29</v>
      </c>
      <c r="H64" s="433" t="s">
        <v>30</v>
      </c>
      <c r="I64" s="433" t="s">
        <v>22668</v>
      </c>
      <c r="J64" s="433" t="s">
        <v>22700</v>
      </c>
      <c r="K64" s="433">
        <v>83.0</v>
      </c>
      <c r="L64" s="433" t="s">
        <v>13663</v>
      </c>
      <c r="M64" s="433"/>
      <c r="N64" s="433" t="s">
        <v>22701</v>
      </c>
      <c r="O64" s="433">
        <v>1998.0</v>
      </c>
      <c r="P64" s="433" t="s">
        <v>388</v>
      </c>
      <c r="Q64" s="433">
        <v>2.0</v>
      </c>
    </row>
    <row r="65" ht="15.75" customHeight="1">
      <c r="B65" s="433">
        <v>60.0</v>
      </c>
      <c r="C65" s="433"/>
      <c r="D65" s="433"/>
      <c r="E65" s="434" t="s">
        <v>22699</v>
      </c>
      <c r="F65" s="433" t="s">
        <v>22589</v>
      </c>
      <c r="G65" s="433" t="s">
        <v>29</v>
      </c>
      <c r="H65" s="433" t="s">
        <v>30</v>
      </c>
      <c r="I65" s="433" t="s">
        <v>22668</v>
      </c>
      <c r="J65" s="433" t="s">
        <v>22700</v>
      </c>
      <c r="K65" s="433">
        <v>83.0</v>
      </c>
      <c r="L65" s="433" t="s">
        <v>13663</v>
      </c>
      <c r="M65" s="433"/>
      <c r="N65" s="433" t="s">
        <v>22701</v>
      </c>
      <c r="O65" s="433">
        <v>1999.0</v>
      </c>
      <c r="P65" s="433" t="s">
        <v>388</v>
      </c>
      <c r="Q65" s="433">
        <v>1.0</v>
      </c>
    </row>
    <row r="66" ht="15.75" customHeight="1">
      <c r="B66" s="433">
        <v>61.0</v>
      </c>
      <c r="C66" s="433"/>
      <c r="D66" s="433"/>
      <c r="E66" s="434" t="s">
        <v>22702</v>
      </c>
      <c r="F66" s="433" t="s">
        <v>22589</v>
      </c>
      <c r="G66" s="433" t="s">
        <v>29</v>
      </c>
      <c r="H66" s="433" t="s">
        <v>30</v>
      </c>
      <c r="I66" s="433" t="s">
        <v>22668</v>
      </c>
      <c r="J66" s="433" t="s">
        <v>22700</v>
      </c>
      <c r="K66" s="433">
        <v>42.0</v>
      </c>
      <c r="L66" s="433" t="s">
        <v>21875</v>
      </c>
      <c r="M66" s="433"/>
      <c r="N66" s="433" t="s">
        <v>22701</v>
      </c>
      <c r="O66" s="433">
        <v>1999.0</v>
      </c>
      <c r="P66" s="433" t="s">
        <v>388</v>
      </c>
      <c r="Q66" s="433">
        <v>3.0</v>
      </c>
    </row>
    <row r="67" ht="15.75" customHeight="1">
      <c r="B67" s="433">
        <v>62.0</v>
      </c>
      <c r="C67" s="433"/>
      <c r="D67" s="433"/>
      <c r="E67" s="434" t="s">
        <v>22703</v>
      </c>
      <c r="F67" s="433" t="s">
        <v>22589</v>
      </c>
      <c r="G67" s="433" t="s">
        <v>29</v>
      </c>
      <c r="H67" s="433" t="s">
        <v>30</v>
      </c>
      <c r="I67" s="433" t="s">
        <v>22668</v>
      </c>
      <c r="J67" s="433" t="s">
        <v>22700</v>
      </c>
      <c r="K67" s="433">
        <v>63.0</v>
      </c>
      <c r="L67" s="433" t="s">
        <v>21875</v>
      </c>
      <c r="M67" s="433"/>
      <c r="N67" s="433" t="s">
        <v>22701</v>
      </c>
      <c r="O67" s="433">
        <v>1997.0</v>
      </c>
      <c r="P67" s="433" t="s">
        <v>388</v>
      </c>
      <c r="Q67" s="433">
        <v>2.0</v>
      </c>
    </row>
    <row r="68" ht="15.75" customHeight="1">
      <c r="B68" s="433">
        <v>63.0</v>
      </c>
      <c r="C68" s="433"/>
      <c r="D68" s="433"/>
      <c r="E68" s="434" t="s">
        <v>22704</v>
      </c>
      <c r="F68" s="433" t="s">
        <v>22589</v>
      </c>
      <c r="G68" s="433" t="s">
        <v>29</v>
      </c>
      <c r="H68" s="433" t="s">
        <v>30</v>
      </c>
      <c r="I68" s="433" t="s">
        <v>22705</v>
      </c>
      <c r="J68" s="433" t="s">
        <v>22697</v>
      </c>
      <c r="K68" s="433">
        <v>11.0</v>
      </c>
      <c r="L68" s="433" t="s">
        <v>22706</v>
      </c>
      <c r="M68" s="433"/>
      <c r="N68" s="433" t="s">
        <v>6009</v>
      </c>
      <c r="O68" s="433">
        <v>2002.0</v>
      </c>
      <c r="P68" s="433" t="s">
        <v>388</v>
      </c>
      <c r="Q68" s="433">
        <v>1.0</v>
      </c>
    </row>
    <row r="69" ht="15.75" customHeight="1">
      <c r="B69" s="433">
        <v>64.0</v>
      </c>
      <c r="C69" s="433"/>
      <c r="D69" s="433"/>
      <c r="E69" s="434" t="s">
        <v>22707</v>
      </c>
      <c r="F69" s="433" t="s">
        <v>22589</v>
      </c>
      <c r="G69" s="433" t="s">
        <v>29</v>
      </c>
      <c r="H69" s="433" t="s">
        <v>30</v>
      </c>
      <c r="I69" s="433" t="s">
        <v>22705</v>
      </c>
      <c r="J69" s="433" t="s">
        <v>22697</v>
      </c>
      <c r="K69" s="433">
        <v>14.0</v>
      </c>
      <c r="L69" s="433" t="s">
        <v>22706</v>
      </c>
      <c r="M69" s="433"/>
      <c r="N69" s="433" t="s">
        <v>6009</v>
      </c>
      <c r="O69" s="433">
        <v>2001.0</v>
      </c>
      <c r="P69" s="433" t="s">
        <v>388</v>
      </c>
      <c r="Q69" s="433">
        <v>1.0</v>
      </c>
    </row>
    <row r="70" ht="15.75" customHeight="1">
      <c r="B70" s="433">
        <v>65.0</v>
      </c>
      <c r="C70" s="433"/>
      <c r="D70" s="433"/>
      <c r="E70" s="434" t="s">
        <v>22708</v>
      </c>
      <c r="F70" s="433" t="s">
        <v>22589</v>
      </c>
      <c r="G70" s="433" t="s">
        <v>29</v>
      </c>
      <c r="H70" s="433" t="s">
        <v>30</v>
      </c>
      <c r="I70" s="433" t="s">
        <v>22705</v>
      </c>
      <c r="J70" s="433" t="s">
        <v>22697</v>
      </c>
      <c r="K70" s="433">
        <v>15.0</v>
      </c>
      <c r="L70" s="433" t="s">
        <v>22706</v>
      </c>
      <c r="M70" s="433"/>
      <c r="N70" s="433" t="s">
        <v>6009</v>
      </c>
      <c r="O70" s="433">
        <v>2001.0</v>
      </c>
      <c r="P70" s="433" t="s">
        <v>388</v>
      </c>
      <c r="Q70" s="433">
        <v>1.0</v>
      </c>
    </row>
    <row r="71" ht="15.75" customHeight="1">
      <c r="B71" s="433">
        <v>66.0</v>
      </c>
      <c r="C71" s="433"/>
      <c r="D71" s="433"/>
      <c r="E71" s="434" t="s">
        <v>22709</v>
      </c>
      <c r="F71" s="433" t="s">
        <v>22589</v>
      </c>
      <c r="G71" s="433" t="s">
        <v>29</v>
      </c>
      <c r="H71" s="433" t="s">
        <v>30</v>
      </c>
      <c r="I71" s="433" t="s">
        <v>22705</v>
      </c>
      <c r="J71" s="433" t="s">
        <v>22697</v>
      </c>
      <c r="K71" s="433">
        <v>14.0</v>
      </c>
      <c r="L71" s="433" t="s">
        <v>22706</v>
      </c>
      <c r="M71" s="433"/>
      <c r="N71" s="433" t="s">
        <v>6009</v>
      </c>
      <c r="O71" s="433">
        <v>2001.0</v>
      </c>
      <c r="P71" s="433" t="s">
        <v>388</v>
      </c>
      <c r="Q71" s="433">
        <v>1.0</v>
      </c>
    </row>
    <row r="72" ht="15.75" customHeight="1">
      <c r="B72" s="433">
        <v>67.0</v>
      </c>
      <c r="C72" s="433"/>
      <c r="D72" s="433"/>
      <c r="E72" s="434" t="s">
        <v>22710</v>
      </c>
      <c r="F72" s="433" t="s">
        <v>22589</v>
      </c>
      <c r="G72" s="433" t="s">
        <v>29</v>
      </c>
      <c r="H72" s="433" t="s">
        <v>30</v>
      </c>
      <c r="I72" s="433" t="s">
        <v>22705</v>
      </c>
      <c r="J72" s="433" t="s">
        <v>22697</v>
      </c>
      <c r="K72" s="433">
        <v>12.0</v>
      </c>
      <c r="L72" s="433" t="s">
        <v>22706</v>
      </c>
      <c r="M72" s="433"/>
      <c r="N72" s="433" t="s">
        <v>6009</v>
      </c>
      <c r="O72" s="433">
        <v>2001.0</v>
      </c>
      <c r="P72" s="433" t="s">
        <v>388</v>
      </c>
      <c r="Q72" s="433">
        <v>1.0</v>
      </c>
    </row>
    <row r="73" ht="15.75" customHeight="1">
      <c r="B73" s="433">
        <v>68.0</v>
      </c>
      <c r="C73" s="433"/>
      <c r="D73" s="433"/>
      <c r="E73" s="434" t="s">
        <v>22711</v>
      </c>
      <c r="F73" s="433" t="s">
        <v>22589</v>
      </c>
      <c r="G73" s="433" t="s">
        <v>29</v>
      </c>
      <c r="H73" s="433" t="s">
        <v>30</v>
      </c>
      <c r="I73" s="433" t="s">
        <v>22712</v>
      </c>
      <c r="J73" s="433" t="s">
        <v>15371</v>
      </c>
      <c r="K73" s="433">
        <v>44.0</v>
      </c>
      <c r="L73" s="433" t="s">
        <v>22520</v>
      </c>
      <c r="M73" s="433"/>
      <c r="N73" s="433" t="s">
        <v>10148</v>
      </c>
      <c r="O73" s="433">
        <v>2007.0</v>
      </c>
      <c r="P73" s="433" t="s">
        <v>388</v>
      </c>
      <c r="Q73" s="433">
        <v>2.0</v>
      </c>
    </row>
    <row r="74" ht="15.75" customHeight="1">
      <c r="B74" s="433">
        <v>69.0</v>
      </c>
      <c r="C74" s="433"/>
      <c r="D74" s="433"/>
      <c r="E74" s="434" t="s">
        <v>22713</v>
      </c>
      <c r="F74" s="433" t="s">
        <v>22589</v>
      </c>
      <c r="G74" s="433" t="s">
        <v>29</v>
      </c>
      <c r="H74" s="433" t="s">
        <v>30</v>
      </c>
      <c r="I74" s="433" t="s">
        <v>22705</v>
      </c>
      <c r="J74" s="433" t="s">
        <v>22697</v>
      </c>
      <c r="K74" s="433">
        <v>15.0</v>
      </c>
      <c r="L74" s="433" t="s">
        <v>22706</v>
      </c>
      <c r="M74" s="433"/>
      <c r="N74" s="433" t="s">
        <v>6009</v>
      </c>
      <c r="O74" s="433">
        <v>2001.0</v>
      </c>
      <c r="P74" s="433" t="s">
        <v>388</v>
      </c>
      <c r="Q74" s="433">
        <v>1.0</v>
      </c>
    </row>
    <row r="75" ht="15.75" customHeight="1">
      <c r="B75" s="433">
        <v>70.0</v>
      </c>
      <c r="C75" s="433"/>
      <c r="D75" s="433"/>
      <c r="E75" s="434" t="s">
        <v>22714</v>
      </c>
      <c r="F75" s="433" t="s">
        <v>22589</v>
      </c>
      <c r="G75" s="433" t="s">
        <v>29</v>
      </c>
      <c r="H75" s="433" t="s">
        <v>30</v>
      </c>
      <c r="I75" s="433" t="s">
        <v>22705</v>
      </c>
      <c r="J75" s="433" t="s">
        <v>22697</v>
      </c>
      <c r="K75" s="433">
        <v>19.0</v>
      </c>
      <c r="L75" s="433" t="s">
        <v>22706</v>
      </c>
      <c r="M75" s="433"/>
      <c r="N75" s="433" t="s">
        <v>6009</v>
      </c>
      <c r="O75" s="433">
        <v>2001.0</v>
      </c>
      <c r="P75" s="433" t="s">
        <v>388</v>
      </c>
      <c r="Q75" s="433">
        <v>1.0</v>
      </c>
    </row>
    <row r="76" ht="15.75" customHeight="1">
      <c r="B76" s="433">
        <v>71.0</v>
      </c>
      <c r="C76" s="433"/>
      <c r="D76" s="433"/>
      <c r="E76" s="434" t="s">
        <v>22715</v>
      </c>
      <c r="F76" s="433" t="s">
        <v>22589</v>
      </c>
      <c r="G76" s="433" t="s">
        <v>29</v>
      </c>
      <c r="H76" s="433" t="s">
        <v>30</v>
      </c>
      <c r="I76" s="433" t="s">
        <v>22705</v>
      </c>
      <c r="J76" s="433" t="s">
        <v>22697</v>
      </c>
      <c r="K76" s="433">
        <v>28.0</v>
      </c>
      <c r="L76" s="433" t="s">
        <v>22706</v>
      </c>
      <c r="M76" s="433"/>
      <c r="N76" s="433" t="s">
        <v>6009</v>
      </c>
      <c r="O76" s="433">
        <v>2002.0</v>
      </c>
      <c r="P76" s="433" t="s">
        <v>388</v>
      </c>
      <c r="Q76" s="433">
        <v>1.0</v>
      </c>
    </row>
    <row r="77" ht="15.75" customHeight="1">
      <c r="B77" s="433">
        <v>72.0</v>
      </c>
      <c r="C77" s="433"/>
      <c r="D77" s="433"/>
      <c r="E77" s="434" t="s">
        <v>22716</v>
      </c>
      <c r="F77" s="433" t="s">
        <v>22589</v>
      </c>
      <c r="G77" s="433" t="s">
        <v>29</v>
      </c>
      <c r="H77" s="433" t="s">
        <v>30</v>
      </c>
      <c r="I77" s="433" t="s">
        <v>22705</v>
      </c>
      <c r="J77" s="433" t="s">
        <v>15384</v>
      </c>
      <c r="K77" s="433">
        <v>71.0</v>
      </c>
      <c r="L77" s="433" t="s">
        <v>22706</v>
      </c>
      <c r="M77" s="433"/>
      <c r="N77" s="433" t="s">
        <v>22717</v>
      </c>
      <c r="O77" s="433">
        <v>1996.0</v>
      </c>
      <c r="P77" s="433" t="s">
        <v>388</v>
      </c>
      <c r="Q77" s="433">
        <v>1.0</v>
      </c>
    </row>
    <row r="78" ht="15.75" customHeight="1">
      <c r="B78" s="433">
        <v>73.0</v>
      </c>
      <c r="C78" s="433"/>
      <c r="D78" s="433"/>
      <c r="E78" s="434" t="s">
        <v>22718</v>
      </c>
      <c r="F78" s="433" t="s">
        <v>22589</v>
      </c>
      <c r="G78" s="433" t="s">
        <v>29</v>
      </c>
      <c r="H78" s="433" t="s">
        <v>30</v>
      </c>
      <c r="I78" s="433" t="s">
        <v>22705</v>
      </c>
      <c r="J78" s="433" t="s">
        <v>15384</v>
      </c>
      <c r="K78" s="433">
        <v>115.0</v>
      </c>
      <c r="L78" s="433" t="s">
        <v>22719</v>
      </c>
      <c r="M78" s="433"/>
      <c r="N78" s="433" t="s">
        <v>22720</v>
      </c>
      <c r="O78" s="433">
        <v>1998.0</v>
      </c>
      <c r="P78" s="433" t="s">
        <v>388</v>
      </c>
      <c r="Q78" s="433">
        <v>2.0</v>
      </c>
    </row>
    <row r="79" ht="15.75" customHeight="1">
      <c r="B79" s="433">
        <v>74.0</v>
      </c>
      <c r="C79" s="433"/>
      <c r="D79" s="433"/>
      <c r="E79" s="434" t="s">
        <v>22721</v>
      </c>
      <c r="F79" s="433" t="s">
        <v>22589</v>
      </c>
      <c r="G79" s="433" t="s">
        <v>29</v>
      </c>
      <c r="H79" s="433" t="s">
        <v>30</v>
      </c>
      <c r="I79" s="433" t="s">
        <v>22705</v>
      </c>
      <c r="J79" s="433" t="s">
        <v>15380</v>
      </c>
      <c r="K79" s="433">
        <v>47.0</v>
      </c>
      <c r="L79" s="433" t="s">
        <v>22722</v>
      </c>
      <c r="M79" s="433"/>
      <c r="N79" s="433" t="s">
        <v>22723</v>
      </c>
      <c r="O79" s="433">
        <v>1996.0</v>
      </c>
      <c r="P79" s="433" t="s">
        <v>388</v>
      </c>
      <c r="Q79" s="433">
        <v>1.0</v>
      </c>
    </row>
    <row r="80" ht="15.75" customHeight="1">
      <c r="B80" s="433">
        <v>75.0</v>
      </c>
      <c r="C80" s="433"/>
      <c r="D80" s="433"/>
      <c r="E80" s="434" t="s">
        <v>22724</v>
      </c>
      <c r="F80" s="433" t="s">
        <v>22589</v>
      </c>
      <c r="G80" s="433" t="s">
        <v>29</v>
      </c>
      <c r="H80" s="433" t="s">
        <v>30</v>
      </c>
      <c r="I80" s="433" t="s">
        <v>22705</v>
      </c>
      <c r="J80" s="433" t="s">
        <v>15380</v>
      </c>
      <c r="K80" s="433">
        <v>27.0</v>
      </c>
      <c r="L80" s="433" t="s">
        <v>22722</v>
      </c>
      <c r="M80" s="433"/>
      <c r="N80" s="433" t="s">
        <v>22723</v>
      </c>
      <c r="O80" s="433">
        <v>1996.0</v>
      </c>
      <c r="P80" s="433" t="s">
        <v>388</v>
      </c>
      <c r="Q80" s="433">
        <v>1.0</v>
      </c>
    </row>
    <row r="81" ht="15.75" customHeight="1">
      <c r="B81" s="433">
        <v>76.0</v>
      </c>
      <c r="C81" s="433"/>
      <c r="D81" s="433"/>
      <c r="E81" s="434" t="s">
        <v>22725</v>
      </c>
      <c r="F81" s="433" t="s">
        <v>22589</v>
      </c>
      <c r="G81" s="433" t="s">
        <v>29</v>
      </c>
      <c r="H81" s="433" t="s">
        <v>30</v>
      </c>
      <c r="I81" s="433" t="s">
        <v>22705</v>
      </c>
      <c r="J81" s="433" t="s">
        <v>15380</v>
      </c>
      <c r="K81" s="433">
        <v>41.0</v>
      </c>
      <c r="L81" s="433" t="s">
        <v>22684</v>
      </c>
      <c r="M81" s="433"/>
      <c r="N81" s="433" t="s">
        <v>22723</v>
      </c>
      <c r="O81" s="433">
        <v>1996.0</v>
      </c>
      <c r="P81" s="433" t="s">
        <v>388</v>
      </c>
      <c r="Q81" s="433">
        <v>1.0</v>
      </c>
    </row>
    <row r="82" ht="15.75" customHeight="1">
      <c r="B82" s="433">
        <v>77.0</v>
      </c>
      <c r="C82" s="433"/>
      <c r="D82" s="433"/>
      <c r="E82" s="434" t="s">
        <v>22726</v>
      </c>
      <c r="F82" s="433" t="s">
        <v>22589</v>
      </c>
      <c r="G82" s="433" t="s">
        <v>29</v>
      </c>
      <c r="H82" s="433" t="s">
        <v>30</v>
      </c>
      <c r="I82" s="433" t="s">
        <v>22705</v>
      </c>
      <c r="J82" s="433" t="s">
        <v>15380</v>
      </c>
      <c r="K82" s="433">
        <v>11.0</v>
      </c>
      <c r="L82" s="433" t="s">
        <v>22684</v>
      </c>
      <c r="M82" s="433"/>
      <c r="N82" s="433" t="s">
        <v>22723</v>
      </c>
      <c r="O82" s="433">
        <v>1996.0</v>
      </c>
      <c r="P82" s="433" t="s">
        <v>388</v>
      </c>
      <c r="Q82" s="433">
        <v>1.0</v>
      </c>
    </row>
    <row r="83" ht="15.75" customHeight="1">
      <c r="B83" s="433">
        <v>78.0</v>
      </c>
      <c r="C83" s="433"/>
      <c r="D83" s="433"/>
      <c r="E83" s="434" t="s">
        <v>22727</v>
      </c>
      <c r="F83" s="433" t="s">
        <v>22589</v>
      </c>
      <c r="G83" s="433" t="s">
        <v>29</v>
      </c>
      <c r="H83" s="433" t="s">
        <v>30</v>
      </c>
      <c r="I83" s="433" t="s">
        <v>22705</v>
      </c>
      <c r="J83" s="433" t="s">
        <v>15421</v>
      </c>
      <c r="K83" s="433">
        <v>83.0</v>
      </c>
      <c r="L83" s="433" t="s">
        <v>22722</v>
      </c>
      <c r="M83" s="433"/>
      <c r="N83" s="433" t="s">
        <v>22723</v>
      </c>
      <c r="O83" s="433">
        <v>1996.0</v>
      </c>
      <c r="P83" s="433" t="s">
        <v>388</v>
      </c>
      <c r="Q83" s="433">
        <v>1.0</v>
      </c>
    </row>
    <row r="84" ht="15.75" customHeight="1">
      <c r="B84" s="433">
        <v>79.0</v>
      </c>
      <c r="C84" s="433"/>
      <c r="D84" s="433"/>
      <c r="E84" s="434" t="s">
        <v>22728</v>
      </c>
      <c r="F84" s="433" t="s">
        <v>22589</v>
      </c>
      <c r="G84" s="433" t="s">
        <v>29</v>
      </c>
      <c r="H84" s="433" t="s">
        <v>30</v>
      </c>
      <c r="I84" s="433" t="s">
        <v>22705</v>
      </c>
      <c r="J84" s="433" t="s">
        <v>15380</v>
      </c>
      <c r="K84" s="433">
        <v>37.0</v>
      </c>
      <c r="L84" s="433" t="s">
        <v>22729</v>
      </c>
      <c r="M84" s="433"/>
      <c r="N84" s="433" t="s">
        <v>22723</v>
      </c>
      <c r="O84" s="433">
        <v>1998.0</v>
      </c>
      <c r="P84" s="433" t="s">
        <v>388</v>
      </c>
      <c r="Q84" s="433">
        <v>1.0</v>
      </c>
    </row>
    <row r="85" ht="15.75" customHeight="1">
      <c r="B85" s="433">
        <v>80.0</v>
      </c>
      <c r="C85" s="433"/>
      <c r="D85" s="433"/>
      <c r="E85" s="434" t="s">
        <v>22730</v>
      </c>
      <c r="F85" s="433" t="s">
        <v>22589</v>
      </c>
      <c r="G85" s="433" t="s">
        <v>29</v>
      </c>
      <c r="H85" s="433" t="s">
        <v>30</v>
      </c>
      <c r="I85" s="433" t="s">
        <v>22705</v>
      </c>
      <c r="J85" s="433" t="s">
        <v>15380</v>
      </c>
      <c r="K85" s="433">
        <v>77.0</v>
      </c>
      <c r="L85" s="433" t="s">
        <v>22729</v>
      </c>
      <c r="M85" s="433"/>
      <c r="N85" s="433" t="s">
        <v>22723</v>
      </c>
      <c r="O85" s="433">
        <v>1998.0</v>
      </c>
      <c r="P85" s="433" t="s">
        <v>388</v>
      </c>
      <c r="Q85" s="433">
        <v>2.0</v>
      </c>
    </row>
    <row r="86" ht="15.75" customHeight="1">
      <c r="B86" s="433">
        <v>81.0</v>
      </c>
      <c r="C86" s="433"/>
      <c r="D86" s="433"/>
      <c r="E86" s="434" t="s">
        <v>22731</v>
      </c>
      <c r="F86" s="433" t="s">
        <v>22589</v>
      </c>
      <c r="G86" s="433" t="s">
        <v>29</v>
      </c>
      <c r="H86" s="433" t="s">
        <v>30</v>
      </c>
      <c r="I86" s="433" t="s">
        <v>22705</v>
      </c>
      <c r="J86" s="433" t="s">
        <v>15380</v>
      </c>
      <c r="K86" s="433">
        <v>13.0</v>
      </c>
      <c r="L86" s="433" t="s">
        <v>22729</v>
      </c>
      <c r="M86" s="433"/>
      <c r="N86" s="433" t="s">
        <v>22723</v>
      </c>
      <c r="O86" s="433">
        <v>1998.0</v>
      </c>
      <c r="P86" s="433" t="s">
        <v>388</v>
      </c>
      <c r="Q86" s="433">
        <v>1.0</v>
      </c>
    </row>
    <row r="87" ht="15.75" customHeight="1">
      <c r="B87" s="433">
        <v>82.0</v>
      </c>
      <c r="C87" s="433"/>
      <c r="D87" s="433"/>
      <c r="E87" s="434" t="s">
        <v>22732</v>
      </c>
      <c r="F87" s="433" t="s">
        <v>22589</v>
      </c>
      <c r="G87" s="433" t="s">
        <v>29</v>
      </c>
      <c r="H87" s="433" t="s">
        <v>30</v>
      </c>
      <c r="I87" s="433" t="s">
        <v>22705</v>
      </c>
      <c r="J87" s="433" t="s">
        <v>15380</v>
      </c>
      <c r="K87" s="433">
        <v>122.0</v>
      </c>
      <c r="L87" s="433" t="s">
        <v>22520</v>
      </c>
      <c r="M87" s="433"/>
      <c r="N87" s="433" t="s">
        <v>22723</v>
      </c>
      <c r="O87" s="433">
        <v>1997.0</v>
      </c>
      <c r="P87" s="433" t="s">
        <v>388</v>
      </c>
      <c r="Q87" s="433">
        <v>2.0</v>
      </c>
    </row>
    <row r="88" ht="15.75" customHeight="1">
      <c r="B88" s="433">
        <v>83.0</v>
      </c>
      <c r="C88" s="433"/>
      <c r="D88" s="433"/>
      <c r="E88" s="434" t="s">
        <v>22733</v>
      </c>
      <c r="F88" s="433" t="s">
        <v>22589</v>
      </c>
      <c r="G88" s="433" t="s">
        <v>29</v>
      </c>
      <c r="H88" s="433" t="s">
        <v>30</v>
      </c>
      <c r="I88" s="433" t="s">
        <v>22705</v>
      </c>
      <c r="J88" s="433" t="s">
        <v>22734</v>
      </c>
      <c r="K88" s="433">
        <v>81.0</v>
      </c>
      <c r="L88" s="433" t="s">
        <v>22520</v>
      </c>
      <c r="M88" s="433"/>
      <c r="N88" s="433" t="s">
        <v>9290</v>
      </c>
      <c r="O88" s="433">
        <v>1998.0</v>
      </c>
      <c r="P88" s="433" t="s">
        <v>388</v>
      </c>
      <c r="Q88" s="433">
        <v>1.0</v>
      </c>
    </row>
    <row r="89" ht="15.75" customHeight="1">
      <c r="B89" s="433">
        <v>84.0</v>
      </c>
      <c r="C89" s="433"/>
      <c r="D89" s="433"/>
      <c r="E89" s="434" t="s">
        <v>22735</v>
      </c>
      <c r="F89" s="433" t="s">
        <v>22589</v>
      </c>
      <c r="G89" s="433" t="s">
        <v>29</v>
      </c>
      <c r="H89" s="433" t="s">
        <v>30</v>
      </c>
      <c r="I89" s="433" t="s">
        <v>22705</v>
      </c>
      <c r="J89" s="433" t="s">
        <v>22137</v>
      </c>
      <c r="K89" s="433">
        <v>85.0</v>
      </c>
      <c r="L89" s="433" t="s">
        <v>22520</v>
      </c>
      <c r="M89" s="433"/>
      <c r="N89" s="433" t="s">
        <v>9290</v>
      </c>
      <c r="O89" s="433">
        <v>2007.0</v>
      </c>
      <c r="P89" s="433" t="s">
        <v>388</v>
      </c>
      <c r="Q89" s="433">
        <v>2.0</v>
      </c>
    </row>
    <row r="90" ht="15.75" customHeight="1">
      <c r="B90" s="433">
        <v>85.0</v>
      </c>
      <c r="C90" s="433"/>
      <c r="D90" s="433"/>
      <c r="E90" s="434" t="s">
        <v>22736</v>
      </c>
      <c r="F90" s="433" t="s">
        <v>22589</v>
      </c>
      <c r="G90" s="433" t="s">
        <v>29</v>
      </c>
      <c r="H90" s="433" t="s">
        <v>30</v>
      </c>
      <c r="I90" s="433" t="s">
        <v>22705</v>
      </c>
      <c r="J90" s="433" t="s">
        <v>22137</v>
      </c>
      <c r="K90" s="433">
        <v>44.0</v>
      </c>
      <c r="L90" s="433" t="s">
        <v>22520</v>
      </c>
      <c r="M90" s="433"/>
      <c r="N90" s="433" t="s">
        <v>22737</v>
      </c>
      <c r="O90" s="433">
        <v>2005.0</v>
      </c>
      <c r="P90" s="433" t="s">
        <v>388</v>
      </c>
      <c r="Q90" s="433">
        <v>1.0</v>
      </c>
    </row>
    <row r="91" ht="15.75" customHeight="1">
      <c r="B91" s="433">
        <v>86.0</v>
      </c>
      <c r="C91" s="433"/>
      <c r="D91" s="433"/>
      <c r="E91" s="434" t="s">
        <v>22738</v>
      </c>
      <c r="F91" s="433" t="s">
        <v>22589</v>
      </c>
      <c r="G91" s="433" t="s">
        <v>29</v>
      </c>
      <c r="H91" s="433" t="s">
        <v>30</v>
      </c>
      <c r="I91" s="433" t="s">
        <v>22705</v>
      </c>
      <c r="J91" s="433" t="s">
        <v>22137</v>
      </c>
      <c r="K91" s="433">
        <v>10.0</v>
      </c>
      <c r="L91" s="433" t="s">
        <v>22520</v>
      </c>
      <c r="M91" s="433"/>
      <c r="N91" s="433" t="s">
        <v>22737</v>
      </c>
      <c r="O91" s="433">
        <v>2005.0</v>
      </c>
      <c r="P91" s="433" t="s">
        <v>388</v>
      </c>
      <c r="Q91" s="433">
        <v>1.0</v>
      </c>
    </row>
    <row r="92" ht="15.75" customHeight="1">
      <c r="B92" s="433">
        <v>87.0</v>
      </c>
      <c r="C92" s="433"/>
      <c r="D92" s="433"/>
      <c r="E92" s="434" t="s">
        <v>22739</v>
      </c>
      <c r="F92" s="433" t="s">
        <v>22589</v>
      </c>
      <c r="G92" s="433" t="s">
        <v>29</v>
      </c>
      <c r="H92" s="433" t="s">
        <v>30</v>
      </c>
      <c r="I92" s="433" t="s">
        <v>22705</v>
      </c>
      <c r="J92" s="433" t="s">
        <v>22672</v>
      </c>
      <c r="K92" s="433">
        <v>165.0</v>
      </c>
      <c r="L92" s="433" t="s">
        <v>22520</v>
      </c>
      <c r="M92" s="433"/>
      <c r="N92" s="433" t="s">
        <v>22740</v>
      </c>
      <c r="O92" s="433">
        <v>1996.0</v>
      </c>
      <c r="P92" s="433" t="s">
        <v>388</v>
      </c>
      <c r="Q92" s="433">
        <v>1.0</v>
      </c>
    </row>
    <row r="93" ht="15.75" customHeight="1">
      <c r="B93" s="433">
        <v>88.0</v>
      </c>
      <c r="C93" s="433"/>
      <c r="D93" s="433"/>
      <c r="E93" s="434" t="s">
        <v>22741</v>
      </c>
      <c r="F93" s="433" t="s">
        <v>22589</v>
      </c>
      <c r="G93" s="433" t="s">
        <v>29</v>
      </c>
      <c r="H93" s="433" t="s">
        <v>30</v>
      </c>
      <c r="I93" s="433" t="s">
        <v>22705</v>
      </c>
      <c r="J93" s="433" t="s">
        <v>22734</v>
      </c>
      <c r="K93" s="433">
        <v>17.0</v>
      </c>
      <c r="L93" s="433" t="s">
        <v>22520</v>
      </c>
      <c r="M93" s="433"/>
      <c r="N93" s="433" t="s">
        <v>22723</v>
      </c>
      <c r="O93" s="433">
        <v>1996.0</v>
      </c>
      <c r="P93" s="433" t="s">
        <v>388</v>
      </c>
      <c r="Q93" s="433">
        <v>1.0</v>
      </c>
    </row>
    <row r="94" ht="15.75" customHeight="1">
      <c r="B94" s="433">
        <v>89.0</v>
      </c>
      <c r="C94" s="433"/>
      <c r="D94" s="433"/>
      <c r="E94" s="434" t="s">
        <v>22742</v>
      </c>
      <c r="F94" s="433" t="s">
        <v>22589</v>
      </c>
      <c r="G94" s="433" t="s">
        <v>29</v>
      </c>
      <c r="H94" s="433" t="s">
        <v>30</v>
      </c>
      <c r="I94" s="433" t="s">
        <v>22705</v>
      </c>
      <c r="J94" s="433" t="s">
        <v>22743</v>
      </c>
      <c r="K94" s="433">
        <v>103.0</v>
      </c>
      <c r="L94" s="433" t="s">
        <v>22520</v>
      </c>
      <c r="M94" s="433"/>
      <c r="N94" s="433" t="s">
        <v>22688</v>
      </c>
      <c r="O94" s="433">
        <v>2003.0</v>
      </c>
      <c r="P94" s="433" t="s">
        <v>388</v>
      </c>
      <c r="Q94" s="433">
        <v>1.0</v>
      </c>
    </row>
    <row r="95" ht="15.75" customHeight="1">
      <c r="B95" s="433">
        <v>90.0</v>
      </c>
      <c r="C95" s="433"/>
      <c r="D95" s="433"/>
      <c r="E95" s="434" t="s">
        <v>22744</v>
      </c>
      <c r="F95" s="433" t="s">
        <v>22589</v>
      </c>
      <c r="G95" s="433" t="s">
        <v>29</v>
      </c>
      <c r="H95" s="433" t="s">
        <v>30</v>
      </c>
      <c r="I95" s="433" t="s">
        <v>22705</v>
      </c>
      <c r="J95" s="433" t="s">
        <v>22672</v>
      </c>
      <c r="K95" s="433">
        <v>96.0</v>
      </c>
      <c r="L95" s="433" t="s">
        <v>22520</v>
      </c>
      <c r="M95" s="433"/>
      <c r="N95" s="433" t="s">
        <v>4645</v>
      </c>
      <c r="O95" s="433">
        <v>1994.0</v>
      </c>
      <c r="P95" s="433" t="s">
        <v>388</v>
      </c>
      <c r="Q95" s="433">
        <v>1.0</v>
      </c>
    </row>
    <row r="96" ht="15.75" customHeight="1">
      <c r="B96" s="433">
        <v>91.0</v>
      </c>
      <c r="C96" s="433"/>
      <c r="D96" s="433"/>
      <c r="E96" s="434" t="s">
        <v>22745</v>
      </c>
      <c r="F96" s="433" t="s">
        <v>22589</v>
      </c>
      <c r="G96" s="433" t="s">
        <v>29</v>
      </c>
      <c r="H96" s="433" t="s">
        <v>30</v>
      </c>
      <c r="I96" s="433" t="s">
        <v>22668</v>
      </c>
      <c r="J96" s="433" t="s">
        <v>22746</v>
      </c>
      <c r="K96" s="433">
        <v>65.0</v>
      </c>
      <c r="L96" s="433" t="s">
        <v>13663</v>
      </c>
      <c r="M96" s="433"/>
      <c r="N96" s="433" t="s">
        <v>22723</v>
      </c>
      <c r="O96" s="433">
        <v>2012.0</v>
      </c>
      <c r="P96" s="433" t="s">
        <v>388</v>
      </c>
      <c r="Q96" s="433">
        <v>1.0</v>
      </c>
    </row>
    <row r="97" ht="15.75" customHeight="1">
      <c r="B97" s="433">
        <v>92.0</v>
      </c>
      <c r="C97" s="433"/>
      <c r="D97" s="433"/>
      <c r="E97" s="434" t="s">
        <v>22747</v>
      </c>
      <c r="F97" s="433" t="s">
        <v>22589</v>
      </c>
      <c r="G97" s="433" t="s">
        <v>29</v>
      </c>
      <c r="H97" s="433" t="s">
        <v>30</v>
      </c>
      <c r="I97" s="433" t="s">
        <v>22668</v>
      </c>
      <c r="J97" s="433" t="s">
        <v>22748</v>
      </c>
      <c r="K97" s="433">
        <v>63.0</v>
      </c>
      <c r="L97" s="433" t="s">
        <v>13663</v>
      </c>
      <c r="M97" s="433"/>
      <c r="N97" s="433" t="s">
        <v>22749</v>
      </c>
      <c r="O97" s="433">
        <v>2012.0</v>
      </c>
      <c r="P97" s="433" t="s">
        <v>388</v>
      </c>
      <c r="Q97" s="433">
        <v>2.0</v>
      </c>
    </row>
    <row r="98" ht="15.75" customHeight="1">
      <c r="B98" s="433">
        <v>93.0</v>
      </c>
      <c r="C98" s="433"/>
      <c r="D98" s="433"/>
      <c r="E98" s="434" t="s">
        <v>22750</v>
      </c>
      <c r="F98" s="433" t="s">
        <v>22589</v>
      </c>
      <c r="G98" s="433" t="s">
        <v>29</v>
      </c>
      <c r="H98" s="433" t="s">
        <v>30</v>
      </c>
      <c r="I98" s="433" t="s">
        <v>22668</v>
      </c>
      <c r="J98" s="433" t="s">
        <v>15122</v>
      </c>
      <c r="K98" s="433">
        <v>126.0</v>
      </c>
      <c r="L98" s="433" t="s">
        <v>22751</v>
      </c>
      <c r="M98" s="433"/>
      <c r="N98" s="433" t="s">
        <v>9290</v>
      </c>
      <c r="O98" s="433">
        <v>2010.0</v>
      </c>
      <c r="P98" s="433" t="s">
        <v>388</v>
      </c>
      <c r="Q98" s="433">
        <v>1.0</v>
      </c>
    </row>
    <row r="99" ht="15.75" customHeight="1">
      <c r="B99" s="433">
        <v>94.0</v>
      </c>
      <c r="C99" s="433"/>
      <c r="D99" s="433"/>
      <c r="E99" s="434" t="s">
        <v>22752</v>
      </c>
      <c r="F99" s="433" t="s">
        <v>22589</v>
      </c>
      <c r="G99" s="433" t="s">
        <v>29</v>
      </c>
      <c r="H99" s="433" t="s">
        <v>30</v>
      </c>
      <c r="I99" s="433" t="s">
        <v>22668</v>
      </c>
      <c r="J99" s="433" t="s">
        <v>15122</v>
      </c>
      <c r="K99" s="433">
        <v>126.0</v>
      </c>
      <c r="L99" s="433" t="s">
        <v>22751</v>
      </c>
      <c r="M99" s="433"/>
      <c r="N99" s="433" t="s">
        <v>9290</v>
      </c>
      <c r="O99" s="433">
        <v>2008.0</v>
      </c>
      <c r="P99" s="433" t="s">
        <v>388</v>
      </c>
      <c r="Q99" s="433">
        <v>1.0</v>
      </c>
    </row>
    <row r="100" ht="15.75" customHeight="1">
      <c r="B100" s="433">
        <v>95.0</v>
      </c>
      <c r="C100" s="433"/>
      <c r="D100" s="433"/>
      <c r="E100" s="434" t="s">
        <v>22753</v>
      </c>
      <c r="F100" s="433" t="s">
        <v>22589</v>
      </c>
      <c r="G100" s="433" t="s">
        <v>29</v>
      </c>
      <c r="H100" s="433" t="s">
        <v>30</v>
      </c>
      <c r="I100" s="433" t="s">
        <v>22668</v>
      </c>
      <c r="J100" s="433" t="s">
        <v>22754</v>
      </c>
      <c r="K100" s="433">
        <v>17.0</v>
      </c>
      <c r="L100" s="433" t="s">
        <v>13582</v>
      </c>
      <c r="M100" s="433"/>
      <c r="N100" s="433" t="s">
        <v>22755</v>
      </c>
      <c r="O100" s="433">
        <v>2005.0</v>
      </c>
      <c r="P100" s="433" t="s">
        <v>388</v>
      </c>
      <c r="Q100" s="433">
        <v>1.0</v>
      </c>
    </row>
    <row r="101" ht="15.75" customHeight="1">
      <c r="B101" s="433">
        <v>96.0</v>
      </c>
      <c r="C101" s="433"/>
      <c r="D101" s="433"/>
      <c r="E101" s="434" t="s">
        <v>22756</v>
      </c>
      <c r="F101" s="433" t="s">
        <v>22589</v>
      </c>
      <c r="G101" s="433" t="s">
        <v>29</v>
      </c>
      <c r="H101" s="433" t="s">
        <v>30</v>
      </c>
      <c r="I101" s="433" t="s">
        <v>22668</v>
      </c>
      <c r="J101" s="433" t="s">
        <v>13552</v>
      </c>
      <c r="K101" s="433">
        <v>117.0</v>
      </c>
      <c r="L101" s="433" t="s">
        <v>22757</v>
      </c>
      <c r="M101" s="433"/>
      <c r="N101" s="433" t="s">
        <v>13552</v>
      </c>
      <c r="O101" s="433" t="s">
        <v>13552</v>
      </c>
      <c r="P101" s="433" t="s">
        <v>388</v>
      </c>
      <c r="Q101" s="433">
        <v>1.0</v>
      </c>
    </row>
    <row r="102" ht="15.75" customHeight="1">
      <c r="B102" s="433">
        <v>97.0</v>
      </c>
      <c r="C102" s="433"/>
      <c r="D102" s="433"/>
      <c r="E102" s="434" t="s">
        <v>22758</v>
      </c>
      <c r="F102" s="433" t="s">
        <v>22589</v>
      </c>
      <c r="G102" s="433" t="s">
        <v>29</v>
      </c>
      <c r="H102" s="433" t="s">
        <v>30</v>
      </c>
      <c r="I102" s="433" t="s">
        <v>22668</v>
      </c>
      <c r="J102" s="433" t="s">
        <v>6636</v>
      </c>
      <c r="K102" s="433">
        <v>93.0</v>
      </c>
      <c r="L102" s="433" t="s">
        <v>22759</v>
      </c>
      <c r="M102" s="433"/>
      <c r="N102" s="433" t="s">
        <v>13552</v>
      </c>
      <c r="O102" s="433" t="s">
        <v>13552</v>
      </c>
      <c r="P102" s="433" t="s">
        <v>388</v>
      </c>
      <c r="Q102" s="433">
        <v>1.0</v>
      </c>
    </row>
    <row r="103" ht="15.75" customHeight="1">
      <c r="B103" s="433">
        <v>98.0</v>
      </c>
      <c r="C103" s="433"/>
      <c r="D103" s="433"/>
      <c r="E103" s="434" t="s">
        <v>22760</v>
      </c>
      <c r="F103" s="433" t="s">
        <v>22589</v>
      </c>
      <c r="G103" s="433" t="s">
        <v>29</v>
      </c>
      <c r="H103" s="433" t="s">
        <v>30</v>
      </c>
      <c r="I103" s="433" t="s">
        <v>22668</v>
      </c>
      <c r="J103" s="433" t="s">
        <v>6636</v>
      </c>
      <c r="K103" s="433">
        <v>136.0</v>
      </c>
      <c r="L103" s="433" t="s">
        <v>22759</v>
      </c>
      <c r="M103" s="433"/>
      <c r="N103" s="433" t="s">
        <v>13552</v>
      </c>
      <c r="O103" s="433">
        <v>1954.0</v>
      </c>
      <c r="P103" s="433" t="s">
        <v>388</v>
      </c>
      <c r="Q103" s="433">
        <v>1.0</v>
      </c>
    </row>
    <row r="104" ht="15.75" customHeight="1">
      <c r="B104" s="433">
        <v>99.0</v>
      </c>
      <c r="C104" s="433"/>
      <c r="D104" s="433"/>
      <c r="E104" s="434" t="s">
        <v>22761</v>
      </c>
      <c r="F104" s="433" t="s">
        <v>22589</v>
      </c>
      <c r="G104" s="433" t="s">
        <v>29</v>
      </c>
      <c r="H104" s="433" t="s">
        <v>30</v>
      </c>
      <c r="I104" s="433" t="s">
        <v>22668</v>
      </c>
      <c r="J104" s="433" t="s">
        <v>22762</v>
      </c>
      <c r="K104" s="433">
        <v>104.0</v>
      </c>
      <c r="L104" s="433" t="s">
        <v>22763</v>
      </c>
      <c r="M104" s="433"/>
      <c r="N104" s="433" t="s">
        <v>13552</v>
      </c>
      <c r="O104" s="433">
        <v>1915.0</v>
      </c>
      <c r="P104" s="433" t="s">
        <v>388</v>
      </c>
      <c r="Q104" s="433">
        <v>1.0</v>
      </c>
    </row>
    <row r="105" ht="15.75" customHeight="1">
      <c r="B105" s="433">
        <v>100.0</v>
      </c>
      <c r="C105" s="433"/>
      <c r="D105" s="433"/>
      <c r="E105" s="434" t="s">
        <v>22764</v>
      </c>
      <c r="F105" s="433" t="s">
        <v>22589</v>
      </c>
      <c r="G105" s="433" t="s">
        <v>29</v>
      </c>
      <c r="H105" s="433" t="s">
        <v>30</v>
      </c>
      <c r="I105" s="433" t="s">
        <v>22712</v>
      </c>
      <c r="J105" s="433" t="s">
        <v>15387</v>
      </c>
      <c r="K105" s="433">
        <v>54.0</v>
      </c>
      <c r="L105" s="433" t="s">
        <v>22765</v>
      </c>
      <c r="M105" s="433"/>
      <c r="N105" s="433" t="s">
        <v>22766</v>
      </c>
      <c r="O105" s="433">
        <v>1991.0</v>
      </c>
      <c r="P105" s="433" t="s">
        <v>388</v>
      </c>
      <c r="Q105" s="433">
        <v>1.0</v>
      </c>
    </row>
    <row r="106" ht="15.75" customHeight="1">
      <c r="B106" s="433">
        <v>101.0</v>
      </c>
      <c r="C106" s="433"/>
      <c r="D106" s="433"/>
      <c r="E106" s="434" t="s">
        <v>22767</v>
      </c>
      <c r="F106" s="433" t="s">
        <v>22589</v>
      </c>
      <c r="G106" s="433" t="s">
        <v>29</v>
      </c>
      <c r="H106" s="433" t="s">
        <v>30</v>
      </c>
      <c r="I106" s="433" t="s">
        <v>22668</v>
      </c>
      <c r="J106" s="433" t="s">
        <v>13552</v>
      </c>
      <c r="K106" s="433">
        <v>232.0</v>
      </c>
      <c r="L106" s="433" t="s">
        <v>13582</v>
      </c>
      <c r="M106" s="433"/>
      <c r="N106" s="433" t="s">
        <v>13552</v>
      </c>
      <c r="O106" s="433">
        <v>1966.0</v>
      </c>
      <c r="P106" s="433" t="s">
        <v>388</v>
      </c>
      <c r="Q106" s="433">
        <v>1.0</v>
      </c>
    </row>
    <row r="107" ht="15.75" customHeight="1">
      <c r="B107" s="433">
        <v>102.0</v>
      </c>
      <c r="C107" s="433"/>
      <c r="D107" s="433"/>
      <c r="E107" s="434" t="s">
        <v>22768</v>
      </c>
      <c r="F107" s="433" t="s">
        <v>22589</v>
      </c>
      <c r="G107" s="433" t="s">
        <v>29</v>
      </c>
      <c r="H107" s="433" t="s">
        <v>30</v>
      </c>
      <c r="I107" s="433" t="s">
        <v>22668</v>
      </c>
      <c r="J107" s="433" t="s">
        <v>22769</v>
      </c>
      <c r="K107" s="433">
        <v>240.0</v>
      </c>
      <c r="L107" s="433" t="s">
        <v>22770</v>
      </c>
      <c r="M107" s="433"/>
      <c r="N107" s="433" t="s">
        <v>22771</v>
      </c>
      <c r="O107" s="433">
        <v>1956.0</v>
      </c>
      <c r="P107" s="433" t="s">
        <v>388</v>
      </c>
      <c r="Q107" s="433">
        <v>1.0</v>
      </c>
    </row>
    <row r="108" ht="15.75" customHeight="1">
      <c r="B108" s="433">
        <v>103.0</v>
      </c>
      <c r="C108" s="433"/>
      <c r="D108" s="433"/>
      <c r="E108" s="434" t="s">
        <v>22772</v>
      </c>
      <c r="F108" s="433" t="s">
        <v>22589</v>
      </c>
      <c r="G108" s="433" t="s">
        <v>29</v>
      </c>
      <c r="H108" s="433" t="s">
        <v>30</v>
      </c>
      <c r="I108" s="433" t="s">
        <v>22668</v>
      </c>
      <c r="J108" s="433" t="s">
        <v>22773</v>
      </c>
      <c r="K108" s="433">
        <v>142.0</v>
      </c>
      <c r="L108" s="433" t="s">
        <v>22774</v>
      </c>
      <c r="M108" s="433"/>
      <c r="N108" s="433" t="s">
        <v>4212</v>
      </c>
      <c r="O108" s="433">
        <v>2004.0</v>
      </c>
      <c r="P108" s="433" t="s">
        <v>388</v>
      </c>
      <c r="Q108" s="433">
        <v>1.0</v>
      </c>
    </row>
    <row r="109" ht="15.75" customHeight="1">
      <c r="B109" s="433">
        <v>104.0</v>
      </c>
      <c r="C109" s="433"/>
      <c r="D109" s="433"/>
      <c r="E109" s="434" t="s">
        <v>22775</v>
      </c>
      <c r="F109" s="433" t="s">
        <v>22589</v>
      </c>
      <c r="G109" s="433" t="s">
        <v>29</v>
      </c>
      <c r="H109" s="433" t="s">
        <v>30</v>
      </c>
      <c r="I109" s="433" t="s">
        <v>22668</v>
      </c>
      <c r="J109" s="433" t="s">
        <v>22773</v>
      </c>
      <c r="K109" s="433">
        <v>134.0</v>
      </c>
      <c r="L109" s="433" t="s">
        <v>22774</v>
      </c>
      <c r="M109" s="433"/>
      <c r="N109" s="433" t="s">
        <v>4212</v>
      </c>
      <c r="O109" s="433">
        <v>2004.0</v>
      </c>
      <c r="P109" s="433" t="s">
        <v>388</v>
      </c>
      <c r="Q109" s="433">
        <v>1.0</v>
      </c>
    </row>
    <row r="110" ht="15.75" customHeight="1">
      <c r="B110" s="433">
        <v>105.0</v>
      </c>
      <c r="C110" s="433"/>
      <c r="D110" s="433"/>
      <c r="E110" s="434" t="s">
        <v>22776</v>
      </c>
      <c r="F110" s="433" t="s">
        <v>22589</v>
      </c>
      <c r="G110" s="433" t="s">
        <v>29</v>
      </c>
      <c r="H110" s="433" t="s">
        <v>30</v>
      </c>
      <c r="I110" s="433" t="s">
        <v>22668</v>
      </c>
      <c r="J110" s="433" t="s">
        <v>22777</v>
      </c>
      <c r="K110" s="433">
        <v>82.0</v>
      </c>
      <c r="L110" s="433" t="s">
        <v>22778</v>
      </c>
      <c r="M110" s="433"/>
      <c r="N110" s="433" t="s">
        <v>4212</v>
      </c>
      <c r="O110" s="433">
        <v>2004.0</v>
      </c>
      <c r="P110" s="433" t="s">
        <v>388</v>
      </c>
      <c r="Q110" s="433">
        <v>1.0</v>
      </c>
    </row>
    <row r="111" ht="15.75" customHeight="1">
      <c r="B111" s="433">
        <v>106.0</v>
      </c>
      <c r="C111" s="433"/>
      <c r="D111" s="433"/>
      <c r="E111" s="434" t="s">
        <v>22779</v>
      </c>
      <c r="F111" s="433" t="s">
        <v>22589</v>
      </c>
      <c r="G111" s="433" t="s">
        <v>29</v>
      </c>
      <c r="H111" s="433" t="s">
        <v>30</v>
      </c>
      <c r="I111" s="433" t="s">
        <v>22668</v>
      </c>
      <c r="J111" s="433" t="s">
        <v>22780</v>
      </c>
      <c r="K111" s="433">
        <v>88.0</v>
      </c>
      <c r="L111" s="433" t="s">
        <v>22778</v>
      </c>
      <c r="M111" s="433"/>
      <c r="N111" s="433" t="s">
        <v>4212</v>
      </c>
      <c r="O111" s="433">
        <v>2004.0</v>
      </c>
      <c r="P111" s="433" t="s">
        <v>388</v>
      </c>
      <c r="Q111" s="433">
        <v>1.0</v>
      </c>
    </row>
    <row r="112" ht="15.75" customHeight="1">
      <c r="B112" s="433">
        <v>107.0</v>
      </c>
      <c r="C112" s="433"/>
      <c r="D112" s="433"/>
      <c r="E112" s="434" t="s">
        <v>22781</v>
      </c>
      <c r="F112" s="433" t="s">
        <v>22589</v>
      </c>
      <c r="G112" s="433" t="s">
        <v>29</v>
      </c>
      <c r="H112" s="433" t="s">
        <v>30</v>
      </c>
      <c r="I112" s="433" t="s">
        <v>22668</v>
      </c>
      <c r="J112" s="433" t="s">
        <v>22782</v>
      </c>
      <c r="K112" s="433">
        <v>137.0</v>
      </c>
      <c r="L112" s="433" t="s">
        <v>22778</v>
      </c>
      <c r="M112" s="433"/>
      <c r="N112" s="433" t="s">
        <v>4212</v>
      </c>
      <c r="O112" s="433">
        <v>2004.0</v>
      </c>
      <c r="P112" s="433" t="s">
        <v>388</v>
      </c>
      <c r="Q112" s="433">
        <v>1.0</v>
      </c>
    </row>
    <row r="113" ht="15.75" customHeight="1">
      <c r="B113" s="433">
        <v>108.0</v>
      </c>
      <c r="C113" s="433"/>
      <c r="D113" s="433"/>
      <c r="E113" s="434" t="s">
        <v>22783</v>
      </c>
      <c r="F113" s="433" t="s">
        <v>22589</v>
      </c>
      <c r="G113" s="433" t="s">
        <v>29</v>
      </c>
      <c r="H113" s="433" t="s">
        <v>30</v>
      </c>
      <c r="I113" s="433" t="s">
        <v>22668</v>
      </c>
      <c r="J113" s="433" t="s">
        <v>22784</v>
      </c>
      <c r="K113" s="433">
        <v>83.0</v>
      </c>
      <c r="L113" s="433" t="s">
        <v>22778</v>
      </c>
      <c r="M113" s="433"/>
      <c r="N113" s="433" t="s">
        <v>4212</v>
      </c>
      <c r="O113" s="433">
        <v>2004.0</v>
      </c>
      <c r="P113" s="433" t="s">
        <v>388</v>
      </c>
      <c r="Q113" s="433">
        <v>1.0</v>
      </c>
    </row>
    <row r="114" ht="15.75" customHeight="1">
      <c r="B114" s="433">
        <v>109.0</v>
      </c>
      <c r="C114" s="433"/>
      <c r="D114" s="433"/>
      <c r="E114" s="434" t="s">
        <v>22785</v>
      </c>
      <c r="F114" s="433" t="s">
        <v>22589</v>
      </c>
      <c r="G114" s="433" t="s">
        <v>29</v>
      </c>
      <c r="H114" s="433" t="s">
        <v>30</v>
      </c>
      <c r="I114" s="433" t="s">
        <v>22786</v>
      </c>
      <c r="J114" s="433" t="s">
        <v>22787</v>
      </c>
      <c r="K114" s="433">
        <v>40.0</v>
      </c>
      <c r="L114" s="433" t="s">
        <v>22788</v>
      </c>
      <c r="M114" s="433"/>
      <c r="N114" s="433" t="s">
        <v>10148</v>
      </c>
      <c r="O114" s="433">
        <v>2004.0</v>
      </c>
      <c r="P114" s="433" t="s">
        <v>388</v>
      </c>
      <c r="Q114" s="433">
        <v>3.0</v>
      </c>
    </row>
    <row r="115" ht="15.75" customHeight="1">
      <c r="B115" s="433">
        <v>110.0</v>
      </c>
      <c r="C115" s="433"/>
      <c r="D115" s="433"/>
      <c r="E115" s="434" t="s">
        <v>22789</v>
      </c>
      <c r="F115" s="433" t="s">
        <v>22589</v>
      </c>
      <c r="G115" s="433" t="s">
        <v>29</v>
      </c>
      <c r="H115" s="433" t="s">
        <v>30</v>
      </c>
      <c r="I115" s="433" t="s">
        <v>22668</v>
      </c>
      <c r="J115" s="433" t="s">
        <v>22790</v>
      </c>
      <c r="K115" s="433">
        <v>98.0</v>
      </c>
      <c r="L115" s="433" t="s">
        <v>22791</v>
      </c>
      <c r="M115" s="433"/>
      <c r="N115" s="433" t="s">
        <v>15300</v>
      </c>
      <c r="O115" s="433">
        <v>1991.0</v>
      </c>
      <c r="P115" s="433" t="s">
        <v>388</v>
      </c>
      <c r="Q115" s="433">
        <v>2.0</v>
      </c>
    </row>
    <row r="116" ht="15.75" customHeight="1">
      <c r="B116" s="433">
        <v>111.0</v>
      </c>
      <c r="C116" s="433"/>
      <c r="D116" s="433"/>
      <c r="E116" s="434" t="s">
        <v>22792</v>
      </c>
      <c r="F116" s="433" t="s">
        <v>22589</v>
      </c>
      <c r="G116" s="433" t="s">
        <v>29</v>
      </c>
      <c r="H116" s="433" t="s">
        <v>30</v>
      </c>
      <c r="I116" s="433" t="s">
        <v>22668</v>
      </c>
      <c r="J116" s="433" t="s">
        <v>22787</v>
      </c>
      <c r="K116" s="433">
        <v>26.0</v>
      </c>
      <c r="L116" s="433" t="s">
        <v>22793</v>
      </c>
      <c r="M116" s="433"/>
      <c r="N116" s="433" t="s">
        <v>6009</v>
      </c>
      <c r="O116" s="433">
        <v>2004.0</v>
      </c>
      <c r="P116" s="433" t="s">
        <v>388</v>
      </c>
      <c r="Q116" s="433">
        <v>1.0</v>
      </c>
    </row>
    <row r="117" ht="15.75" customHeight="1">
      <c r="B117" s="433">
        <v>112.0</v>
      </c>
      <c r="C117" s="433"/>
      <c r="D117" s="433"/>
      <c r="E117" s="434" t="s">
        <v>22794</v>
      </c>
      <c r="F117" s="433" t="s">
        <v>22589</v>
      </c>
      <c r="G117" s="433" t="s">
        <v>29</v>
      </c>
      <c r="H117" s="433" t="s">
        <v>30</v>
      </c>
      <c r="I117" s="433" t="s">
        <v>22668</v>
      </c>
      <c r="J117" s="433" t="s">
        <v>22787</v>
      </c>
      <c r="K117" s="433">
        <v>29.0</v>
      </c>
      <c r="L117" s="433" t="s">
        <v>22795</v>
      </c>
      <c r="M117" s="433"/>
      <c r="N117" s="433" t="s">
        <v>6009</v>
      </c>
      <c r="O117" s="433">
        <v>2004.0</v>
      </c>
      <c r="P117" s="433" t="s">
        <v>388</v>
      </c>
      <c r="Q117" s="433">
        <v>1.0</v>
      </c>
    </row>
    <row r="118" ht="15.75" customHeight="1">
      <c r="B118" s="433">
        <v>113.0</v>
      </c>
      <c r="C118" s="433"/>
      <c r="D118" s="433"/>
      <c r="E118" s="434" t="s">
        <v>22796</v>
      </c>
      <c r="F118" s="433" t="s">
        <v>22589</v>
      </c>
      <c r="G118" s="433" t="s">
        <v>29</v>
      </c>
      <c r="H118" s="433" t="s">
        <v>30</v>
      </c>
      <c r="I118" s="433" t="s">
        <v>22668</v>
      </c>
      <c r="J118" s="433" t="s">
        <v>22787</v>
      </c>
      <c r="K118" s="433">
        <v>32.0</v>
      </c>
      <c r="L118" s="433" t="s">
        <v>22797</v>
      </c>
      <c r="M118" s="433"/>
      <c r="N118" s="433" t="s">
        <v>6009</v>
      </c>
      <c r="O118" s="433">
        <v>2005.0</v>
      </c>
      <c r="P118" s="433" t="s">
        <v>388</v>
      </c>
      <c r="Q118" s="433">
        <v>1.0</v>
      </c>
    </row>
    <row r="119" ht="15.75" customHeight="1">
      <c r="B119" s="433">
        <v>114.0</v>
      </c>
      <c r="C119" s="433"/>
      <c r="D119" s="433"/>
      <c r="E119" s="434" t="s">
        <v>22798</v>
      </c>
      <c r="F119" s="433" t="s">
        <v>22589</v>
      </c>
      <c r="G119" s="433" t="s">
        <v>29</v>
      </c>
      <c r="H119" s="433" t="s">
        <v>30</v>
      </c>
      <c r="I119" s="433" t="s">
        <v>22668</v>
      </c>
      <c r="J119" s="433" t="s">
        <v>22787</v>
      </c>
      <c r="K119" s="433">
        <v>12.0</v>
      </c>
      <c r="L119" s="433" t="s">
        <v>22799</v>
      </c>
      <c r="M119" s="433"/>
      <c r="N119" s="433" t="s">
        <v>6009</v>
      </c>
      <c r="O119" s="433">
        <v>2005.0</v>
      </c>
      <c r="P119" s="433" t="s">
        <v>388</v>
      </c>
      <c r="Q119" s="433">
        <v>1.0</v>
      </c>
    </row>
    <row r="120" ht="15.75" customHeight="1">
      <c r="B120" s="433">
        <v>115.0</v>
      </c>
      <c r="C120" s="433"/>
      <c r="D120" s="433"/>
      <c r="E120" s="434" t="s">
        <v>22800</v>
      </c>
      <c r="F120" s="433" t="s">
        <v>22589</v>
      </c>
      <c r="G120" s="433" t="s">
        <v>29</v>
      </c>
      <c r="H120" s="433" t="s">
        <v>30</v>
      </c>
      <c r="I120" s="433" t="s">
        <v>22668</v>
      </c>
      <c r="J120" s="433" t="s">
        <v>22787</v>
      </c>
      <c r="K120" s="433">
        <v>23.0</v>
      </c>
      <c r="L120" s="433" t="s">
        <v>22801</v>
      </c>
      <c r="M120" s="433"/>
      <c r="N120" s="433" t="s">
        <v>6009</v>
      </c>
      <c r="O120" s="433">
        <v>2005.0</v>
      </c>
      <c r="P120" s="433" t="s">
        <v>388</v>
      </c>
      <c r="Q120" s="433">
        <v>1.0</v>
      </c>
    </row>
    <row r="121" ht="15.75" customHeight="1">
      <c r="B121" s="433">
        <v>116.0</v>
      </c>
      <c r="C121" s="433"/>
      <c r="D121" s="433"/>
      <c r="E121" s="434" t="s">
        <v>22802</v>
      </c>
      <c r="F121" s="433" t="s">
        <v>22589</v>
      </c>
      <c r="G121" s="433" t="s">
        <v>29</v>
      </c>
      <c r="H121" s="433" t="s">
        <v>30</v>
      </c>
      <c r="I121" s="433" t="s">
        <v>22668</v>
      </c>
      <c r="J121" s="433" t="s">
        <v>22787</v>
      </c>
      <c r="K121" s="433">
        <v>12.0</v>
      </c>
      <c r="L121" s="433" t="s">
        <v>22803</v>
      </c>
      <c r="M121" s="433"/>
      <c r="N121" s="433" t="s">
        <v>6009</v>
      </c>
      <c r="O121" s="433">
        <v>2005.0</v>
      </c>
      <c r="P121" s="433" t="s">
        <v>388</v>
      </c>
      <c r="Q121" s="433">
        <v>1.0</v>
      </c>
    </row>
    <row r="122" ht="15.75" customHeight="1">
      <c r="B122" s="433">
        <v>117.0</v>
      </c>
      <c r="C122" s="433"/>
      <c r="D122" s="433"/>
      <c r="E122" s="434" t="s">
        <v>22804</v>
      </c>
      <c r="F122" s="433" t="s">
        <v>22589</v>
      </c>
      <c r="G122" s="433" t="s">
        <v>29</v>
      </c>
      <c r="H122" s="433" t="s">
        <v>30</v>
      </c>
      <c r="I122" s="433" t="s">
        <v>22668</v>
      </c>
      <c r="J122" s="433" t="s">
        <v>22790</v>
      </c>
      <c r="K122" s="433">
        <v>55.0</v>
      </c>
      <c r="L122" s="433" t="s">
        <v>22805</v>
      </c>
      <c r="M122" s="433"/>
      <c r="N122" s="433" t="s">
        <v>22723</v>
      </c>
      <c r="O122" s="433">
        <v>1998.0</v>
      </c>
      <c r="P122" s="433" t="s">
        <v>388</v>
      </c>
      <c r="Q122" s="433">
        <v>2.0</v>
      </c>
    </row>
    <row r="123" ht="15.75" customHeight="1">
      <c r="B123" s="433">
        <v>118.0</v>
      </c>
      <c r="C123" s="433"/>
      <c r="D123" s="433"/>
      <c r="E123" s="434" t="s">
        <v>22806</v>
      </c>
      <c r="F123" s="433" t="s">
        <v>22589</v>
      </c>
      <c r="G123" s="433" t="s">
        <v>29</v>
      </c>
      <c r="H123" s="433" t="s">
        <v>30</v>
      </c>
      <c r="I123" s="433" t="s">
        <v>22668</v>
      </c>
      <c r="J123" s="433" t="s">
        <v>22807</v>
      </c>
      <c r="K123" s="433">
        <v>17.0</v>
      </c>
      <c r="L123" s="433" t="s">
        <v>22808</v>
      </c>
      <c r="M123" s="433"/>
      <c r="N123" s="433" t="s">
        <v>22809</v>
      </c>
      <c r="O123" s="433">
        <v>2005.0</v>
      </c>
      <c r="P123" s="433" t="s">
        <v>388</v>
      </c>
      <c r="Q123" s="433">
        <v>2.0</v>
      </c>
    </row>
    <row r="124" ht="15.75" customHeight="1">
      <c r="B124" s="433">
        <v>119.0</v>
      </c>
      <c r="C124" s="433"/>
      <c r="D124" s="433"/>
      <c r="E124" s="434" t="s">
        <v>22810</v>
      </c>
      <c r="F124" s="433" t="s">
        <v>22589</v>
      </c>
      <c r="G124" s="433" t="s">
        <v>29</v>
      </c>
      <c r="H124" s="433" t="s">
        <v>30</v>
      </c>
      <c r="I124" s="433" t="s">
        <v>22668</v>
      </c>
      <c r="J124" s="433" t="s">
        <v>22811</v>
      </c>
      <c r="K124" s="433">
        <v>96.0</v>
      </c>
      <c r="L124" s="433" t="s">
        <v>22812</v>
      </c>
      <c r="M124" s="433"/>
      <c r="N124" s="433" t="s">
        <v>22723</v>
      </c>
      <c r="O124" s="433">
        <v>1997.0</v>
      </c>
      <c r="P124" s="433" t="s">
        <v>388</v>
      </c>
      <c r="Q124" s="433">
        <v>2.0</v>
      </c>
    </row>
    <row r="125" ht="15.75" customHeight="1">
      <c r="B125" s="433">
        <v>120.0</v>
      </c>
      <c r="C125" s="433"/>
      <c r="D125" s="433"/>
      <c r="E125" s="434" t="s">
        <v>22813</v>
      </c>
      <c r="F125" s="433" t="s">
        <v>22589</v>
      </c>
      <c r="G125" s="433" t="s">
        <v>29</v>
      </c>
      <c r="H125" s="433" t="s">
        <v>30</v>
      </c>
      <c r="I125" s="433" t="s">
        <v>22668</v>
      </c>
      <c r="J125" s="433" t="s">
        <v>22811</v>
      </c>
      <c r="K125" s="433">
        <v>16.0</v>
      </c>
      <c r="L125" s="433" t="s">
        <v>22814</v>
      </c>
      <c r="M125" s="433"/>
      <c r="N125" s="433" t="s">
        <v>22723</v>
      </c>
      <c r="O125" s="433">
        <v>1996.0</v>
      </c>
      <c r="P125" s="433" t="s">
        <v>388</v>
      </c>
      <c r="Q125" s="433">
        <v>1.0</v>
      </c>
    </row>
    <row r="126" ht="15.75" customHeight="1">
      <c r="B126" s="433">
        <v>121.0</v>
      </c>
      <c r="C126" s="433"/>
      <c r="D126" s="433"/>
      <c r="E126" s="434" t="s">
        <v>22815</v>
      </c>
      <c r="F126" s="433" t="s">
        <v>22589</v>
      </c>
      <c r="G126" s="433" t="s">
        <v>29</v>
      </c>
      <c r="H126" s="433" t="s">
        <v>30</v>
      </c>
      <c r="I126" s="433" t="s">
        <v>22668</v>
      </c>
      <c r="J126" s="433" t="s">
        <v>22816</v>
      </c>
      <c r="K126" s="433">
        <v>171.0</v>
      </c>
      <c r="L126" s="433" t="s">
        <v>22817</v>
      </c>
      <c r="M126" s="433"/>
      <c r="N126" s="433" t="s">
        <v>22818</v>
      </c>
      <c r="O126" s="433">
        <v>2008.0</v>
      </c>
      <c r="P126" s="433" t="s">
        <v>388</v>
      </c>
      <c r="Q126" s="433">
        <v>2.0</v>
      </c>
    </row>
    <row r="127" ht="15.75" customHeight="1">
      <c r="B127" s="433">
        <v>122.0</v>
      </c>
      <c r="C127" s="433"/>
      <c r="D127" s="433"/>
      <c r="E127" s="434" t="s">
        <v>22819</v>
      </c>
      <c r="F127" s="433" t="s">
        <v>22589</v>
      </c>
      <c r="G127" s="433" t="s">
        <v>29</v>
      </c>
      <c r="H127" s="433" t="s">
        <v>30</v>
      </c>
      <c r="I127" s="433" t="s">
        <v>22668</v>
      </c>
      <c r="J127" s="433" t="s">
        <v>22820</v>
      </c>
      <c r="K127" s="433">
        <v>22.0</v>
      </c>
      <c r="L127" s="433" t="s">
        <v>22821</v>
      </c>
      <c r="M127" s="433"/>
      <c r="N127" s="433" t="s">
        <v>22723</v>
      </c>
      <c r="O127" s="433">
        <v>1996.0</v>
      </c>
      <c r="P127" s="433" t="s">
        <v>388</v>
      </c>
      <c r="Q127" s="433">
        <v>1.0</v>
      </c>
    </row>
    <row r="128" ht="15.75" customHeight="1">
      <c r="B128" s="433">
        <v>123.0</v>
      </c>
      <c r="C128" s="433"/>
      <c r="D128" s="433"/>
      <c r="E128" s="434" t="s">
        <v>22822</v>
      </c>
      <c r="F128" s="433" t="s">
        <v>22589</v>
      </c>
      <c r="G128" s="433" t="s">
        <v>29</v>
      </c>
      <c r="H128" s="433" t="s">
        <v>30</v>
      </c>
      <c r="I128" s="433" t="s">
        <v>22668</v>
      </c>
      <c r="J128" s="433" t="s">
        <v>22807</v>
      </c>
      <c r="K128" s="433">
        <v>37.0</v>
      </c>
      <c r="L128" s="433" t="s">
        <v>22823</v>
      </c>
      <c r="M128" s="433"/>
      <c r="N128" s="433" t="s">
        <v>9290</v>
      </c>
      <c r="O128" s="433">
        <v>2005.0</v>
      </c>
      <c r="P128" s="433" t="s">
        <v>388</v>
      </c>
      <c r="Q128" s="433">
        <v>1.0</v>
      </c>
    </row>
    <row r="129" ht="15.75" customHeight="1">
      <c r="B129" s="433">
        <v>124.0</v>
      </c>
      <c r="C129" s="433"/>
      <c r="D129" s="433"/>
      <c r="E129" s="434" t="s">
        <v>22824</v>
      </c>
      <c r="F129" s="433" t="s">
        <v>22589</v>
      </c>
      <c r="G129" s="433" t="s">
        <v>29</v>
      </c>
      <c r="H129" s="433" t="s">
        <v>30</v>
      </c>
      <c r="I129" s="433" t="s">
        <v>22668</v>
      </c>
      <c r="J129" s="433" t="s">
        <v>22825</v>
      </c>
      <c r="K129" s="433">
        <v>14.0</v>
      </c>
      <c r="L129" s="433" t="s">
        <v>22826</v>
      </c>
      <c r="M129" s="433"/>
      <c r="N129" s="433" t="s">
        <v>22723</v>
      </c>
      <c r="O129" s="433">
        <v>1997.0</v>
      </c>
      <c r="P129" s="433" t="s">
        <v>388</v>
      </c>
      <c r="Q129" s="433">
        <v>1.0</v>
      </c>
    </row>
    <row r="130" ht="15.75" customHeight="1">
      <c r="B130" s="433">
        <v>125.0</v>
      </c>
      <c r="C130" s="433"/>
      <c r="D130" s="433"/>
      <c r="E130" s="434" t="s">
        <v>22827</v>
      </c>
      <c r="F130" s="433" t="s">
        <v>22589</v>
      </c>
      <c r="G130" s="433" t="s">
        <v>29</v>
      </c>
      <c r="H130" s="433" t="s">
        <v>30</v>
      </c>
      <c r="I130" s="433" t="s">
        <v>22668</v>
      </c>
      <c r="J130" s="433" t="s">
        <v>22700</v>
      </c>
      <c r="K130" s="433">
        <v>15.0</v>
      </c>
      <c r="L130" s="433" t="s">
        <v>22799</v>
      </c>
      <c r="M130" s="433"/>
      <c r="N130" s="433" t="s">
        <v>6009</v>
      </c>
      <c r="O130" s="433">
        <v>2002.0</v>
      </c>
      <c r="P130" s="433" t="s">
        <v>388</v>
      </c>
      <c r="Q130" s="433">
        <v>1.0</v>
      </c>
    </row>
    <row r="131" ht="15.75" customHeight="1">
      <c r="B131" s="433">
        <v>126.0</v>
      </c>
      <c r="C131" s="433"/>
      <c r="D131" s="433"/>
      <c r="E131" s="434" t="s">
        <v>22828</v>
      </c>
      <c r="F131" s="433" t="s">
        <v>22589</v>
      </c>
      <c r="G131" s="433" t="s">
        <v>29</v>
      </c>
      <c r="H131" s="433" t="s">
        <v>30</v>
      </c>
      <c r="I131" s="433" t="s">
        <v>22668</v>
      </c>
      <c r="J131" s="433" t="s">
        <v>22787</v>
      </c>
      <c r="K131" s="433">
        <v>113.0</v>
      </c>
      <c r="L131" s="433" t="s">
        <v>22829</v>
      </c>
      <c r="M131" s="433"/>
      <c r="N131" s="433" t="s">
        <v>22723</v>
      </c>
      <c r="O131" s="433">
        <v>1995.0</v>
      </c>
      <c r="P131" s="433" t="s">
        <v>388</v>
      </c>
      <c r="Q131" s="433">
        <v>1.0</v>
      </c>
    </row>
    <row r="132" ht="15.75" customHeight="1">
      <c r="B132" s="433">
        <v>127.0</v>
      </c>
      <c r="C132" s="433"/>
      <c r="D132" s="433"/>
      <c r="E132" s="434" t="s">
        <v>22830</v>
      </c>
      <c r="F132" s="433" t="s">
        <v>22589</v>
      </c>
      <c r="G132" s="433" t="s">
        <v>29</v>
      </c>
      <c r="H132" s="433" t="s">
        <v>30</v>
      </c>
      <c r="I132" s="433" t="s">
        <v>22668</v>
      </c>
      <c r="J132" s="433" t="s">
        <v>22831</v>
      </c>
      <c r="K132" s="433">
        <v>35.0</v>
      </c>
      <c r="L132" s="433" t="s">
        <v>22832</v>
      </c>
      <c r="M132" s="433"/>
      <c r="N132" s="433" t="s">
        <v>9290</v>
      </c>
      <c r="O132" s="433">
        <v>2005.0</v>
      </c>
      <c r="P132" s="433" t="s">
        <v>388</v>
      </c>
      <c r="Q132" s="433">
        <v>2.0</v>
      </c>
    </row>
    <row r="133" ht="15.75" customHeight="1">
      <c r="B133" s="433">
        <v>128.0</v>
      </c>
      <c r="C133" s="433"/>
      <c r="D133" s="433"/>
      <c r="E133" s="434" t="s">
        <v>22833</v>
      </c>
      <c r="F133" s="433" t="s">
        <v>22589</v>
      </c>
      <c r="G133" s="433" t="s">
        <v>29</v>
      </c>
      <c r="H133" s="433" t="s">
        <v>30</v>
      </c>
      <c r="I133" s="433" t="s">
        <v>22668</v>
      </c>
      <c r="J133" s="433" t="s">
        <v>22831</v>
      </c>
      <c r="K133" s="433">
        <v>17.0</v>
      </c>
      <c r="L133" s="433" t="s">
        <v>22834</v>
      </c>
      <c r="M133" s="433"/>
      <c r="N133" s="433" t="s">
        <v>22755</v>
      </c>
      <c r="O133" s="433">
        <v>2005.0</v>
      </c>
      <c r="P133" s="433" t="s">
        <v>388</v>
      </c>
      <c r="Q133" s="433">
        <v>2.0</v>
      </c>
    </row>
    <row r="134" ht="15.75" customHeight="1">
      <c r="B134" s="433">
        <v>129.0</v>
      </c>
      <c r="C134" s="433"/>
      <c r="D134" s="433"/>
      <c r="E134" s="434" t="s">
        <v>22835</v>
      </c>
      <c r="F134" s="433" t="s">
        <v>22589</v>
      </c>
      <c r="G134" s="433" t="s">
        <v>29</v>
      </c>
      <c r="H134" s="433" t="s">
        <v>30</v>
      </c>
      <c r="I134" s="433" t="s">
        <v>22668</v>
      </c>
      <c r="J134" s="433" t="s">
        <v>22811</v>
      </c>
      <c r="K134" s="433">
        <v>81.0</v>
      </c>
      <c r="L134" s="433" t="s">
        <v>22836</v>
      </c>
      <c r="M134" s="433"/>
      <c r="N134" s="433" t="s">
        <v>9290</v>
      </c>
      <c r="O134" s="433">
        <v>2010.0</v>
      </c>
      <c r="P134" s="433" t="s">
        <v>388</v>
      </c>
      <c r="Q134" s="433">
        <v>2.0</v>
      </c>
    </row>
    <row r="135" ht="15.75" customHeight="1">
      <c r="B135" s="433">
        <v>130.0</v>
      </c>
      <c r="C135" s="433"/>
      <c r="D135" s="433"/>
      <c r="E135" s="434" t="s">
        <v>22837</v>
      </c>
      <c r="F135" s="433" t="s">
        <v>22589</v>
      </c>
      <c r="G135" s="433" t="s">
        <v>29</v>
      </c>
      <c r="H135" s="433" t="s">
        <v>30</v>
      </c>
      <c r="I135" s="433" t="s">
        <v>22668</v>
      </c>
      <c r="J135" s="433" t="s">
        <v>22838</v>
      </c>
      <c r="K135" s="433">
        <v>144.0</v>
      </c>
      <c r="L135" s="433" t="s">
        <v>13663</v>
      </c>
      <c r="M135" s="433"/>
      <c r="N135" s="433" t="s">
        <v>22839</v>
      </c>
      <c r="O135" s="433">
        <v>2007.0</v>
      </c>
      <c r="P135" s="433" t="s">
        <v>388</v>
      </c>
      <c r="Q135" s="433">
        <v>1.0</v>
      </c>
    </row>
    <row r="136" ht="15.75" customHeight="1">
      <c r="B136" s="433">
        <v>131.0</v>
      </c>
      <c r="C136" s="433"/>
      <c r="D136" s="433"/>
      <c r="E136" s="434" t="s">
        <v>22840</v>
      </c>
      <c r="F136" s="433" t="s">
        <v>22589</v>
      </c>
      <c r="G136" s="433" t="s">
        <v>29</v>
      </c>
      <c r="H136" s="433" t="s">
        <v>30</v>
      </c>
      <c r="I136" s="433" t="s">
        <v>22668</v>
      </c>
      <c r="J136" s="433" t="s">
        <v>22697</v>
      </c>
      <c r="K136" s="433">
        <v>36.0</v>
      </c>
      <c r="L136" s="433" t="s">
        <v>22841</v>
      </c>
      <c r="M136" s="433"/>
      <c r="N136" s="433" t="s">
        <v>10148</v>
      </c>
      <c r="O136" s="433">
        <v>2002.0</v>
      </c>
      <c r="P136" s="433" t="s">
        <v>388</v>
      </c>
      <c r="Q136" s="433">
        <v>1.0</v>
      </c>
    </row>
    <row r="137" ht="15.75" customHeight="1">
      <c r="B137" s="433">
        <v>132.0</v>
      </c>
      <c r="C137" s="433"/>
      <c r="D137" s="433"/>
      <c r="E137" s="434" t="s">
        <v>22842</v>
      </c>
      <c r="F137" s="433" t="s">
        <v>22589</v>
      </c>
      <c r="G137" s="433" t="s">
        <v>29</v>
      </c>
      <c r="H137" s="433" t="s">
        <v>30</v>
      </c>
      <c r="I137" s="433" t="s">
        <v>22668</v>
      </c>
      <c r="J137" s="433" t="s">
        <v>22700</v>
      </c>
      <c r="K137" s="433">
        <v>20.0</v>
      </c>
      <c r="L137" s="433" t="s">
        <v>22843</v>
      </c>
      <c r="M137" s="433"/>
      <c r="N137" s="433" t="s">
        <v>10148</v>
      </c>
      <c r="O137" s="433">
        <v>2002.0</v>
      </c>
      <c r="P137" s="433" t="s">
        <v>388</v>
      </c>
      <c r="Q137" s="433">
        <v>1.0</v>
      </c>
    </row>
    <row r="138" ht="15.75" customHeight="1">
      <c r="B138" s="433">
        <v>133.0</v>
      </c>
      <c r="C138" s="433"/>
      <c r="D138" s="433"/>
      <c r="E138" s="434" t="s">
        <v>22844</v>
      </c>
      <c r="F138" s="433" t="s">
        <v>22589</v>
      </c>
      <c r="G138" s="433" t="s">
        <v>29</v>
      </c>
      <c r="H138" s="433" t="s">
        <v>30</v>
      </c>
      <c r="I138" s="433" t="s">
        <v>22668</v>
      </c>
      <c r="J138" s="433" t="s">
        <v>22697</v>
      </c>
      <c r="K138" s="433">
        <v>15.0</v>
      </c>
      <c r="L138" s="433" t="s">
        <v>22845</v>
      </c>
      <c r="M138" s="433"/>
      <c r="N138" s="433" t="s">
        <v>10148</v>
      </c>
      <c r="O138" s="433">
        <v>2001.0</v>
      </c>
      <c r="P138" s="433" t="s">
        <v>388</v>
      </c>
      <c r="Q138" s="433">
        <v>1.0</v>
      </c>
    </row>
    <row r="139" ht="15.75" customHeight="1">
      <c r="B139" s="433">
        <v>134.0</v>
      </c>
      <c r="C139" s="433"/>
      <c r="D139" s="433"/>
      <c r="E139" s="434" t="s">
        <v>22846</v>
      </c>
      <c r="F139" s="433" t="s">
        <v>22589</v>
      </c>
      <c r="G139" s="433" t="s">
        <v>29</v>
      </c>
      <c r="H139" s="433" t="s">
        <v>30</v>
      </c>
      <c r="I139" s="433" t="s">
        <v>22668</v>
      </c>
      <c r="J139" s="433" t="s">
        <v>22697</v>
      </c>
      <c r="K139" s="433">
        <v>9.0</v>
      </c>
      <c r="L139" s="433" t="s">
        <v>22847</v>
      </c>
      <c r="M139" s="433"/>
      <c r="N139" s="433" t="s">
        <v>6009</v>
      </c>
      <c r="O139" s="433">
        <v>2002.0</v>
      </c>
      <c r="P139" s="433" t="s">
        <v>388</v>
      </c>
      <c r="Q139" s="433">
        <v>1.0</v>
      </c>
    </row>
    <row r="140" ht="15.75" customHeight="1">
      <c r="B140" s="433">
        <v>135.0</v>
      </c>
      <c r="C140" s="433"/>
      <c r="D140" s="433"/>
      <c r="E140" s="434" t="s">
        <v>22848</v>
      </c>
      <c r="F140" s="433" t="s">
        <v>22589</v>
      </c>
      <c r="G140" s="433" t="s">
        <v>29</v>
      </c>
      <c r="H140" s="433" t="s">
        <v>30</v>
      </c>
      <c r="I140" s="433" t="s">
        <v>22668</v>
      </c>
      <c r="J140" s="433" t="s">
        <v>22700</v>
      </c>
      <c r="K140" s="433">
        <v>16.0</v>
      </c>
      <c r="L140" s="433" t="s">
        <v>22849</v>
      </c>
      <c r="M140" s="433"/>
      <c r="N140" s="433" t="s">
        <v>6009</v>
      </c>
      <c r="O140" s="433">
        <v>2001.0</v>
      </c>
      <c r="P140" s="433" t="s">
        <v>388</v>
      </c>
      <c r="Q140" s="433">
        <v>1.0</v>
      </c>
    </row>
    <row r="141" ht="15.75" customHeight="1">
      <c r="B141" s="433">
        <v>136.0</v>
      </c>
      <c r="C141" s="433"/>
      <c r="D141" s="433"/>
      <c r="E141" s="434" t="s">
        <v>22850</v>
      </c>
      <c r="F141" s="433" t="s">
        <v>22589</v>
      </c>
      <c r="G141" s="433" t="s">
        <v>29</v>
      </c>
      <c r="H141" s="433" t="s">
        <v>30</v>
      </c>
      <c r="I141" s="433" t="s">
        <v>22668</v>
      </c>
      <c r="J141" s="433" t="s">
        <v>22700</v>
      </c>
      <c r="K141" s="433">
        <v>13.0</v>
      </c>
      <c r="L141" s="433" t="s">
        <v>22851</v>
      </c>
      <c r="M141" s="433"/>
      <c r="N141" s="433" t="s">
        <v>6009</v>
      </c>
      <c r="O141" s="433">
        <v>2002.0</v>
      </c>
      <c r="P141" s="433" t="s">
        <v>388</v>
      </c>
      <c r="Q141" s="433">
        <v>1.0</v>
      </c>
    </row>
    <row r="142" ht="15.75" customHeight="1">
      <c r="B142" s="433">
        <v>137.0</v>
      </c>
      <c r="C142" s="433"/>
      <c r="D142" s="433"/>
      <c r="E142" s="434" t="s">
        <v>22852</v>
      </c>
      <c r="F142" s="433" t="s">
        <v>22589</v>
      </c>
      <c r="G142" s="433" t="s">
        <v>29</v>
      </c>
      <c r="H142" s="433" t="s">
        <v>30</v>
      </c>
      <c r="I142" s="433" t="s">
        <v>22668</v>
      </c>
      <c r="J142" s="433" t="s">
        <v>22790</v>
      </c>
      <c r="K142" s="433">
        <v>35.0</v>
      </c>
      <c r="L142" s="433" t="s">
        <v>13582</v>
      </c>
      <c r="M142" s="433"/>
      <c r="N142" s="433" t="s">
        <v>9290</v>
      </c>
      <c r="O142" s="433">
        <v>2005.0</v>
      </c>
      <c r="P142" s="433" t="s">
        <v>388</v>
      </c>
      <c r="Q142" s="433">
        <v>1.0</v>
      </c>
    </row>
    <row r="143" ht="15.75" customHeight="1">
      <c r="B143" s="433">
        <v>138.0</v>
      </c>
      <c r="C143" s="433"/>
      <c r="D143" s="433"/>
      <c r="E143" s="434" t="s">
        <v>22853</v>
      </c>
      <c r="F143" s="433" t="s">
        <v>22589</v>
      </c>
      <c r="G143" s="433" t="s">
        <v>29</v>
      </c>
      <c r="H143" s="433" t="s">
        <v>30</v>
      </c>
      <c r="I143" s="433" t="s">
        <v>22668</v>
      </c>
      <c r="J143" s="433" t="s">
        <v>22790</v>
      </c>
      <c r="K143" s="433">
        <v>17.0</v>
      </c>
      <c r="L143" s="433" t="s">
        <v>13582</v>
      </c>
      <c r="M143" s="433"/>
      <c r="N143" s="433" t="s">
        <v>22755</v>
      </c>
      <c r="O143" s="433">
        <v>2005.0</v>
      </c>
      <c r="P143" s="433" t="s">
        <v>388</v>
      </c>
      <c r="Q143" s="433">
        <v>2.0</v>
      </c>
    </row>
    <row r="144" ht="15.75" customHeight="1">
      <c r="B144" s="433">
        <v>139.0</v>
      </c>
      <c r="C144" s="433"/>
      <c r="D144" s="433"/>
      <c r="E144" s="434" t="s">
        <v>22854</v>
      </c>
      <c r="F144" s="433" t="s">
        <v>22589</v>
      </c>
      <c r="G144" s="433" t="s">
        <v>29</v>
      </c>
      <c r="H144" s="433" t="s">
        <v>30</v>
      </c>
      <c r="I144" s="433" t="s">
        <v>22668</v>
      </c>
      <c r="J144" s="433" t="s">
        <v>22855</v>
      </c>
      <c r="K144" s="433">
        <v>37.0</v>
      </c>
      <c r="L144" s="433" t="s">
        <v>22834</v>
      </c>
      <c r="M144" s="433"/>
      <c r="N144" s="433" t="s">
        <v>22856</v>
      </c>
      <c r="O144" s="433">
        <v>2005.0</v>
      </c>
      <c r="P144" s="433" t="s">
        <v>388</v>
      </c>
      <c r="Q144" s="433">
        <v>1.0</v>
      </c>
    </row>
    <row r="145" ht="15.75" customHeight="1">
      <c r="B145" s="433">
        <v>140.0</v>
      </c>
      <c r="C145" s="433"/>
      <c r="D145" s="433"/>
      <c r="E145" s="434" t="s">
        <v>22857</v>
      </c>
      <c r="F145" s="433" t="s">
        <v>22589</v>
      </c>
      <c r="G145" s="433" t="s">
        <v>29</v>
      </c>
      <c r="H145" s="433" t="s">
        <v>30</v>
      </c>
      <c r="I145" s="433" t="s">
        <v>22668</v>
      </c>
      <c r="J145" s="433" t="s">
        <v>22700</v>
      </c>
      <c r="K145" s="433">
        <v>20.0</v>
      </c>
      <c r="L145" s="433" t="s">
        <v>22858</v>
      </c>
      <c r="M145" s="433"/>
      <c r="N145" s="433" t="s">
        <v>6009</v>
      </c>
      <c r="O145" s="433">
        <v>2002.0</v>
      </c>
      <c r="P145" s="433" t="s">
        <v>388</v>
      </c>
      <c r="Q145" s="433">
        <v>1.0</v>
      </c>
    </row>
    <row r="146" ht="15.75" customHeight="1">
      <c r="B146" s="433">
        <v>141.0</v>
      </c>
      <c r="C146" s="433"/>
      <c r="D146" s="433"/>
      <c r="E146" s="434" t="s">
        <v>22859</v>
      </c>
      <c r="F146" s="433" t="s">
        <v>22589</v>
      </c>
      <c r="G146" s="433" t="s">
        <v>29</v>
      </c>
      <c r="H146" s="433" t="s">
        <v>30</v>
      </c>
      <c r="I146" s="433" t="s">
        <v>22668</v>
      </c>
      <c r="J146" s="433" t="s">
        <v>22700</v>
      </c>
      <c r="K146" s="433">
        <v>24.0</v>
      </c>
      <c r="L146" s="433" t="s">
        <v>22860</v>
      </c>
      <c r="M146" s="433"/>
      <c r="N146" s="433" t="s">
        <v>6009</v>
      </c>
      <c r="O146" s="433">
        <v>2002.0</v>
      </c>
      <c r="P146" s="433" t="s">
        <v>388</v>
      </c>
      <c r="Q146" s="433">
        <v>1.0</v>
      </c>
    </row>
    <row r="147" ht="15.75" customHeight="1">
      <c r="B147" s="433">
        <v>142.0</v>
      </c>
      <c r="C147" s="433"/>
      <c r="D147" s="433"/>
      <c r="E147" s="434" t="s">
        <v>22861</v>
      </c>
      <c r="F147" s="433" t="s">
        <v>22589</v>
      </c>
      <c r="G147" s="433" t="s">
        <v>29</v>
      </c>
      <c r="H147" s="433" t="s">
        <v>30</v>
      </c>
      <c r="I147" s="433" t="s">
        <v>22668</v>
      </c>
      <c r="J147" s="433" t="s">
        <v>22700</v>
      </c>
      <c r="K147" s="433">
        <v>23.0</v>
      </c>
      <c r="L147" s="433" t="s">
        <v>22862</v>
      </c>
      <c r="M147" s="433"/>
      <c r="N147" s="433" t="s">
        <v>6009</v>
      </c>
      <c r="O147" s="433">
        <v>2002.0</v>
      </c>
      <c r="P147" s="433" t="s">
        <v>388</v>
      </c>
      <c r="Q147" s="433">
        <v>1.0</v>
      </c>
    </row>
    <row r="148" ht="15.75" customHeight="1">
      <c r="B148" s="433">
        <v>143.0</v>
      </c>
      <c r="C148" s="433"/>
      <c r="D148" s="433"/>
      <c r="E148" s="434" t="s">
        <v>22863</v>
      </c>
      <c r="F148" s="433" t="s">
        <v>22589</v>
      </c>
      <c r="G148" s="433" t="s">
        <v>29</v>
      </c>
      <c r="H148" s="433" t="s">
        <v>30</v>
      </c>
      <c r="I148" s="433" t="s">
        <v>22668</v>
      </c>
      <c r="J148" s="433" t="s">
        <v>22700</v>
      </c>
      <c r="K148" s="433">
        <v>27.0</v>
      </c>
      <c r="L148" s="433" t="s">
        <v>22864</v>
      </c>
      <c r="M148" s="433"/>
      <c r="N148" s="433" t="s">
        <v>6009</v>
      </c>
      <c r="O148" s="433">
        <v>2002.0</v>
      </c>
      <c r="P148" s="433" t="s">
        <v>388</v>
      </c>
      <c r="Q148" s="433">
        <v>1.0</v>
      </c>
    </row>
    <row r="149" ht="15.75" customHeight="1">
      <c r="B149" s="433">
        <v>144.0</v>
      </c>
      <c r="C149" s="433"/>
      <c r="D149" s="433"/>
      <c r="E149" s="434" t="s">
        <v>22865</v>
      </c>
      <c r="F149" s="433" t="s">
        <v>22589</v>
      </c>
      <c r="G149" s="433" t="s">
        <v>29</v>
      </c>
      <c r="H149" s="433" t="s">
        <v>30</v>
      </c>
      <c r="I149" s="433" t="s">
        <v>22668</v>
      </c>
      <c r="J149" s="433" t="s">
        <v>22697</v>
      </c>
      <c r="K149" s="433">
        <v>20.0</v>
      </c>
      <c r="L149" s="433" t="s">
        <v>22866</v>
      </c>
      <c r="M149" s="433"/>
      <c r="N149" s="433" t="s">
        <v>6009</v>
      </c>
      <c r="O149" s="433">
        <v>2002.0</v>
      </c>
      <c r="P149" s="433" t="s">
        <v>388</v>
      </c>
      <c r="Q149" s="433">
        <v>1.0</v>
      </c>
    </row>
    <row r="150" ht="15.75" customHeight="1">
      <c r="B150" s="433">
        <v>145.0</v>
      </c>
      <c r="C150" s="433"/>
      <c r="D150" s="433"/>
      <c r="E150" s="434" t="s">
        <v>22867</v>
      </c>
      <c r="F150" s="433" t="s">
        <v>22589</v>
      </c>
      <c r="G150" s="433" t="s">
        <v>29</v>
      </c>
      <c r="H150" s="433" t="s">
        <v>30</v>
      </c>
      <c r="I150" s="433" t="s">
        <v>22668</v>
      </c>
      <c r="J150" s="433" t="s">
        <v>22700</v>
      </c>
      <c r="K150" s="433">
        <v>45.0</v>
      </c>
      <c r="L150" s="433" t="s">
        <v>22868</v>
      </c>
      <c r="M150" s="433"/>
      <c r="N150" s="433" t="s">
        <v>9290</v>
      </c>
      <c r="O150" s="433">
        <v>2001.0</v>
      </c>
      <c r="P150" s="433" t="s">
        <v>388</v>
      </c>
      <c r="Q150" s="433">
        <v>1.0</v>
      </c>
    </row>
    <row r="151" ht="15.75" customHeight="1">
      <c r="B151" s="433">
        <v>146.0</v>
      </c>
      <c r="C151" s="433"/>
      <c r="D151" s="433"/>
      <c r="E151" s="434" t="s">
        <v>22869</v>
      </c>
      <c r="F151" s="433" t="s">
        <v>22589</v>
      </c>
      <c r="G151" s="433" t="s">
        <v>29</v>
      </c>
      <c r="H151" s="433" t="s">
        <v>30</v>
      </c>
      <c r="I151" s="433" t="s">
        <v>22668</v>
      </c>
      <c r="J151" s="433" t="s">
        <v>22700</v>
      </c>
      <c r="K151" s="433">
        <v>32.0</v>
      </c>
      <c r="L151" s="433" t="s">
        <v>22870</v>
      </c>
      <c r="M151" s="433"/>
      <c r="N151" s="433" t="s">
        <v>6009</v>
      </c>
      <c r="O151" s="433">
        <v>2002.0</v>
      </c>
      <c r="P151" s="433" t="s">
        <v>388</v>
      </c>
      <c r="Q151" s="433">
        <v>1.0</v>
      </c>
    </row>
    <row r="152" ht="15.75" customHeight="1">
      <c r="B152" s="433">
        <v>147.0</v>
      </c>
      <c r="C152" s="433"/>
      <c r="D152" s="433"/>
      <c r="E152" s="434" t="s">
        <v>22871</v>
      </c>
      <c r="F152" s="433" t="s">
        <v>22589</v>
      </c>
      <c r="G152" s="433" t="s">
        <v>29</v>
      </c>
      <c r="H152" s="433" t="s">
        <v>30</v>
      </c>
      <c r="I152" s="433" t="s">
        <v>22668</v>
      </c>
      <c r="J152" s="433" t="s">
        <v>22700</v>
      </c>
      <c r="K152" s="433">
        <v>11.0</v>
      </c>
      <c r="L152" s="433" t="s">
        <v>22872</v>
      </c>
      <c r="M152" s="433"/>
      <c r="N152" s="433" t="s">
        <v>6009</v>
      </c>
      <c r="O152" s="433">
        <v>2002.0</v>
      </c>
      <c r="P152" s="433" t="s">
        <v>388</v>
      </c>
      <c r="Q152" s="433">
        <v>1.0</v>
      </c>
    </row>
    <row r="153" ht="15.75" customHeight="1">
      <c r="B153" s="433">
        <v>148.0</v>
      </c>
      <c r="C153" s="433"/>
      <c r="D153" s="433"/>
      <c r="E153" s="434" t="s">
        <v>22873</v>
      </c>
      <c r="F153" s="433" t="s">
        <v>22589</v>
      </c>
      <c r="G153" s="433" t="s">
        <v>29</v>
      </c>
      <c r="H153" s="433" t="s">
        <v>30</v>
      </c>
      <c r="I153" s="433" t="s">
        <v>22668</v>
      </c>
      <c r="J153" s="433" t="s">
        <v>22700</v>
      </c>
      <c r="K153" s="433">
        <v>31.0</v>
      </c>
      <c r="L153" s="433" t="s">
        <v>22706</v>
      </c>
      <c r="M153" s="433"/>
      <c r="N153" s="433" t="s">
        <v>6009</v>
      </c>
      <c r="O153" s="433">
        <v>2002.0</v>
      </c>
      <c r="P153" s="433" t="s">
        <v>388</v>
      </c>
      <c r="Q153" s="433">
        <v>1.0</v>
      </c>
    </row>
    <row r="154" ht="15.75" customHeight="1">
      <c r="B154" s="433">
        <v>149.0</v>
      </c>
      <c r="C154" s="433"/>
      <c r="D154" s="433"/>
      <c r="E154" s="434" t="s">
        <v>22874</v>
      </c>
      <c r="F154" s="433" t="s">
        <v>22589</v>
      </c>
      <c r="G154" s="433" t="s">
        <v>29</v>
      </c>
      <c r="H154" s="433" t="s">
        <v>30</v>
      </c>
      <c r="I154" s="433" t="s">
        <v>22668</v>
      </c>
      <c r="J154" s="433" t="s">
        <v>22700</v>
      </c>
      <c r="K154" s="433">
        <v>14.0</v>
      </c>
      <c r="L154" s="433" t="s">
        <v>22706</v>
      </c>
      <c r="M154" s="433"/>
      <c r="N154" s="433" t="s">
        <v>6009</v>
      </c>
      <c r="O154" s="433">
        <v>2002.0</v>
      </c>
      <c r="P154" s="433" t="s">
        <v>388</v>
      </c>
      <c r="Q154" s="433">
        <v>1.0</v>
      </c>
    </row>
    <row r="155" ht="15.75" customHeight="1">
      <c r="B155" s="433">
        <v>150.0</v>
      </c>
      <c r="C155" s="433"/>
      <c r="D155" s="433"/>
      <c r="E155" s="434" t="s">
        <v>22875</v>
      </c>
      <c r="F155" s="433" t="s">
        <v>22589</v>
      </c>
      <c r="G155" s="433" t="s">
        <v>29</v>
      </c>
      <c r="H155" s="433" t="s">
        <v>30</v>
      </c>
      <c r="I155" s="433" t="s">
        <v>22668</v>
      </c>
      <c r="J155" s="433" t="s">
        <v>22700</v>
      </c>
      <c r="K155" s="433">
        <v>15.0</v>
      </c>
      <c r="L155" s="433" t="s">
        <v>22876</v>
      </c>
      <c r="M155" s="433"/>
      <c r="N155" s="433" t="s">
        <v>6009</v>
      </c>
      <c r="O155" s="433">
        <v>2002.0</v>
      </c>
      <c r="P155" s="433" t="s">
        <v>388</v>
      </c>
      <c r="Q155" s="433">
        <v>1.0</v>
      </c>
    </row>
    <row r="156" ht="15.75" customHeight="1">
      <c r="B156" s="433">
        <v>151.0</v>
      </c>
      <c r="C156" s="433"/>
      <c r="D156" s="433"/>
      <c r="E156" s="434" t="s">
        <v>22877</v>
      </c>
      <c r="F156" s="433" t="s">
        <v>22589</v>
      </c>
      <c r="G156" s="433" t="s">
        <v>29</v>
      </c>
      <c r="H156" s="433" t="s">
        <v>30</v>
      </c>
      <c r="I156" s="433" t="s">
        <v>22668</v>
      </c>
      <c r="J156" s="433" t="s">
        <v>22700</v>
      </c>
      <c r="K156" s="433">
        <v>20.0</v>
      </c>
      <c r="L156" s="433" t="s">
        <v>22876</v>
      </c>
      <c r="M156" s="433"/>
      <c r="N156" s="433" t="s">
        <v>6009</v>
      </c>
      <c r="O156" s="433">
        <v>2002.0</v>
      </c>
      <c r="P156" s="433" t="s">
        <v>388</v>
      </c>
      <c r="Q156" s="433">
        <v>1.0</v>
      </c>
    </row>
    <row r="157" ht="15.75" customHeight="1">
      <c r="B157" s="433">
        <v>152.0</v>
      </c>
      <c r="C157" s="433"/>
      <c r="D157" s="433"/>
      <c r="E157" s="434" t="s">
        <v>22878</v>
      </c>
      <c r="F157" s="433" t="s">
        <v>22589</v>
      </c>
      <c r="G157" s="433" t="s">
        <v>29</v>
      </c>
      <c r="H157" s="433" t="s">
        <v>30</v>
      </c>
      <c r="I157" s="433" t="s">
        <v>22668</v>
      </c>
      <c r="J157" s="433" t="s">
        <v>22700</v>
      </c>
      <c r="K157" s="433">
        <v>36.0</v>
      </c>
      <c r="L157" s="433" t="s">
        <v>22879</v>
      </c>
      <c r="M157" s="433"/>
      <c r="N157" s="433" t="s">
        <v>6009</v>
      </c>
      <c r="O157" s="433">
        <v>2002.0</v>
      </c>
      <c r="P157" s="433" t="s">
        <v>388</v>
      </c>
      <c r="Q157" s="433">
        <v>1.0</v>
      </c>
    </row>
    <row r="158" ht="15.75" customHeight="1">
      <c r="B158" s="433">
        <v>153.0</v>
      </c>
      <c r="C158" s="433"/>
      <c r="D158" s="433"/>
      <c r="E158" s="434" t="s">
        <v>22880</v>
      </c>
      <c r="F158" s="433" t="s">
        <v>22589</v>
      </c>
      <c r="G158" s="433" t="s">
        <v>29</v>
      </c>
      <c r="H158" s="433" t="s">
        <v>30</v>
      </c>
      <c r="I158" s="433" t="s">
        <v>22668</v>
      </c>
      <c r="J158" s="433" t="s">
        <v>22787</v>
      </c>
      <c r="K158" s="433">
        <v>26.0</v>
      </c>
      <c r="L158" s="433" t="s">
        <v>22881</v>
      </c>
      <c r="M158" s="433"/>
      <c r="N158" s="433" t="s">
        <v>10148</v>
      </c>
      <c r="O158" s="433">
        <v>2004.0</v>
      </c>
      <c r="P158" s="433" t="s">
        <v>388</v>
      </c>
      <c r="Q158" s="433">
        <v>3.0</v>
      </c>
    </row>
    <row r="159" ht="15.75" customHeight="1">
      <c r="B159" s="433">
        <v>154.0</v>
      </c>
      <c r="C159" s="433"/>
      <c r="D159" s="433"/>
      <c r="E159" s="434" t="s">
        <v>22882</v>
      </c>
      <c r="F159" s="433" t="s">
        <v>22589</v>
      </c>
      <c r="G159" s="433" t="s">
        <v>29</v>
      </c>
      <c r="H159" s="433" t="s">
        <v>30</v>
      </c>
      <c r="I159" s="433" t="s">
        <v>22668</v>
      </c>
      <c r="J159" s="433" t="s">
        <v>22787</v>
      </c>
      <c r="K159" s="433">
        <v>45.0</v>
      </c>
      <c r="L159" s="433" t="s">
        <v>22883</v>
      </c>
      <c r="M159" s="433"/>
      <c r="N159" s="433" t="s">
        <v>22723</v>
      </c>
      <c r="O159" s="433">
        <v>1995.0</v>
      </c>
      <c r="P159" s="433" t="s">
        <v>388</v>
      </c>
      <c r="Q159" s="433">
        <v>1.0</v>
      </c>
    </row>
    <row r="160" ht="15.75" customHeight="1">
      <c r="B160" s="433">
        <v>155.0</v>
      </c>
      <c r="C160" s="433"/>
      <c r="D160" s="433"/>
      <c r="E160" s="434"/>
      <c r="F160" s="433" t="s">
        <v>22589</v>
      </c>
      <c r="G160" s="433" t="s">
        <v>29</v>
      </c>
      <c r="H160" s="433" t="s">
        <v>30</v>
      </c>
      <c r="I160" s="433"/>
      <c r="J160" s="433"/>
      <c r="K160" s="433"/>
      <c r="L160" s="433"/>
      <c r="M160" s="433"/>
      <c r="N160" s="433"/>
      <c r="O160" s="433"/>
      <c r="P160" s="433" t="s">
        <v>388</v>
      </c>
      <c r="Q160" s="433">
        <v>1.0</v>
      </c>
    </row>
    <row r="161" ht="15.75" customHeight="1">
      <c r="B161" s="433">
        <v>156.0</v>
      </c>
      <c r="C161" s="433"/>
      <c r="D161" s="433"/>
      <c r="E161" s="434" t="s">
        <v>22884</v>
      </c>
      <c r="F161" s="433" t="s">
        <v>22589</v>
      </c>
      <c r="G161" s="433" t="s">
        <v>29</v>
      </c>
      <c r="H161" s="433" t="s">
        <v>30</v>
      </c>
      <c r="I161" s="433" t="s">
        <v>22668</v>
      </c>
      <c r="J161" s="433" t="s">
        <v>22885</v>
      </c>
      <c r="K161" s="433">
        <v>37.0</v>
      </c>
      <c r="L161" s="433" t="s">
        <v>22592</v>
      </c>
      <c r="M161" s="433"/>
      <c r="N161" s="433" t="s">
        <v>22886</v>
      </c>
      <c r="O161" s="433">
        <v>2003.0</v>
      </c>
      <c r="P161" s="433" t="s">
        <v>388</v>
      </c>
      <c r="Q161" s="433">
        <v>1.0</v>
      </c>
    </row>
    <row r="162" ht="15.75" customHeight="1">
      <c r="B162" s="433">
        <v>157.0</v>
      </c>
      <c r="C162" s="433"/>
      <c r="D162" s="433"/>
      <c r="E162" s="434" t="s">
        <v>22887</v>
      </c>
      <c r="F162" s="433" t="s">
        <v>22589</v>
      </c>
      <c r="G162" s="433" t="s">
        <v>29</v>
      </c>
      <c r="H162" s="433" t="s">
        <v>30</v>
      </c>
      <c r="I162" s="433" t="s">
        <v>22668</v>
      </c>
      <c r="J162" s="433" t="s">
        <v>22700</v>
      </c>
      <c r="K162" s="433">
        <v>38.0</v>
      </c>
      <c r="L162" s="433" t="s">
        <v>22722</v>
      </c>
      <c r="M162" s="433"/>
      <c r="N162" s="433" t="s">
        <v>22886</v>
      </c>
      <c r="O162" s="433" t="s">
        <v>13552</v>
      </c>
      <c r="P162" s="433" t="s">
        <v>388</v>
      </c>
      <c r="Q162" s="433">
        <v>2.0</v>
      </c>
    </row>
    <row r="163" ht="15.75" customHeight="1">
      <c r="B163" s="433">
        <v>158.0</v>
      </c>
      <c r="C163" s="433"/>
      <c r="D163" s="433"/>
      <c r="E163" s="434" t="s">
        <v>22888</v>
      </c>
      <c r="F163" s="433" t="s">
        <v>22589</v>
      </c>
      <c r="G163" s="433" t="s">
        <v>29</v>
      </c>
      <c r="H163" s="433" t="s">
        <v>30</v>
      </c>
      <c r="I163" s="433" t="s">
        <v>22668</v>
      </c>
      <c r="J163" s="433" t="s">
        <v>13552</v>
      </c>
      <c r="K163" s="433" t="s">
        <v>13552</v>
      </c>
      <c r="L163" s="433" t="s">
        <v>13552</v>
      </c>
      <c r="M163" s="433"/>
      <c r="N163" s="433" t="s">
        <v>22886</v>
      </c>
      <c r="O163" s="433">
        <v>1933.0</v>
      </c>
      <c r="P163" s="433" t="s">
        <v>388</v>
      </c>
      <c r="Q163" s="433">
        <v>1.0</v>
      </c>
    </row>
    <row r="164" ht="15.75" customHeight="1">
      <c r="B164" s="433">
        <v>159.0</v>
      </c>
      <c r="C164" s="433"/>
      <c r="D164" s="433"/>
      <c r="E164" s="434" t="s">
        <v>22889</v>
      </c>
      <c r="F164" s="433" t="s">
        <v>22589</v>
      </c>
      <c r="G164" s="433" t="s">
        <v>29</v>
      </c>
      <c r="H164" s="433" t="s">
        <v>30</v>
      </c>
      <c r="I164" s="433" t="s">
        <v>22668</v>
      </c>
      <c r="J164" s="433" t="s">
        <v>22787</v>
      </c>
      <c r="K164" s="433">
        <v>126.0</v>
      </c>
      <c r="L164" s="433" t="s">
        <v>22890</v>
      </c>
      <c r="M164" s="433"/>
      <c r="N164" s="433" t="s">
        <v>22723</v>
      </c>
      <c r="O164" s="433">
        <v>1998.0</v>
      </c>
      <c r="P164" s="433" t="s">
        <v>388</v>
      </c>
      <c r="Q164" s="433">
        <v>1.0</v>
      </c>
    </row>
    <row r="165" ht="15.75" customHeight="1">
      <c r="B165" s="433">
        <v>160.0</v>
      </c>
      <c r="C165" s="433"/>
      <c r="D165" s="433"/>
      <c r="E165" s="434" t="s">
        <v>22891</v>
      </c>
      <c r="F165" s="433" t="s">
        <v>22589</v>
      </c>
      <c r="G165" s="433" t="s">
        <v>29</v>
      </c>
      <c r="H165" s="433" t="s">
        <v>30</v>
      </c>
      <c r="I165" s="433" t="s">
        <v>22668</v>
      </c>
      <c r="J165" s="433" t="s">
        <v>22892</v>
      </c>
      <c r="K165" s="433">
        <v>77.0</v>
      </c>
      <c r="L165" s="433" t="s">
        <v>22893</v>
      </c>
      <c r="M165" s="433"/>
      <c r="N165" s="433" t="s">
        <v>3465</v>
      </c>
      <c r="O165" s="433">
        <v>1904.0</v>
      </c>
      <c r="P165" s="433" t="s">
        <v>388</v>
      </c>
      <c r="Q165" s="433">
        <v>1.0</v>
      </c>
    </row>
    <row r="166" ht="15.75" customHeight="1">
      <c r="B166" s="433">
        <v>161.0</v>
      </c>
      <c r="C166" s="433"/>
      <c r="D166" s="433"/>
      <c r="E166" s="434" t="s">
        <v>22894</v>
      </c>
      <c r="F166" s="433" t="s">
        <v>22589</v>
      </c>
      <c r="G166" s="433" t="s">
        <v>29</v>
      </c>
      <c r="H166" s="433" t="s">
        <v>30</v>
      </c>
      <c r="I166" s="433" t="s">
        <v>22895</v>
      </c>
      <c r="J166" s="433" t="s">
        <v>22896</v>
      </c>
      <c r="K166" s="433">
        <v>84.0</v>
      </c>
      <c r="L166" s="433" t="s">
        <v>22897</v>
      </c>
      <c r="M166" s="433"/>
      <c r="N166" s="433" t="s">
        <v>13552</v>
      </c>
      <c r="O166" s="433">
        <v>1969.0</v>
      </c>
      <c r="P166" s="433" t="s">
        <v>388</v>
      </c>
      <c r="Q166" s="433">
        <v>1.0</v>
      </c>
    </row>
    <row r="167" ht="15.75" customHeight="1">
      <c r="B167" s="433">
        <v>162.0</v>
      </c>
      <c r="C167" s="433"/>
      <c r="D167" s="433"/>
      <c r="E167" s="434" t="s">
        <v>22898</v>
      </c>
      <c r="F167" s="433" t="s">
        <v>22589</v>
      </c>
      <c r="G167" s="433" t="s">
        <v>29</v>
      </c>
      <c r="H167" s="433" t="s">
        <v>30</v>
      </c>
      <c r="I167" s="433" t="s">
        <v>22895</v>
      </c>
      <c r="J167" s="433" t="s">
        <v>22899</v>
      </c>
      <c r="K167" s="433">
        <v>56.0</v>
      </c>
      <c r="L167" s="433" t="s">
        <v>22900</v>
      </c>
      <c r="M167" s="433"/>
      <c r="N167" s="433" t="s">
        <v>22901</v>
      </c>
      <c r="O167" s="433">
        <v>2007.0</v>
      </c>
      <c r="P167" s="433" t="s">
        <v>388</v>
      </c>
      <c r="Q167" s="433">
        <v>1.0</v>
      </c>
    </row>
    <row r="168" ht="15.75" customHeight="1">
      <c r="B168" s="433">
        <v>163.0</v>
      </c>
      <c r="C168" s="433"/>
      <c r="D168" s="433"/>
      <c r="E168" s="434" t="s">
        <v>22902</v>
      </c>
      <c r="F168" s="433" t="s">
        <v>22589</v>
      </c>
      <c r="G168" s="433" t="s">
        <v>29</v>
      </c>
      <c r="H168" s="433" t="s">
        <v>30</v>
      </c>
      <c r="I168" s="433" t="s">
        <v>22895</v>
      </c>
      <c r="J168" s="433" t="s">
        <v>22903</v>
      </c>
      <c r="K168" s="433">
        <v>34.0</v>
      </c>
      <c r="L168" s="433" t="s">
        <v>22904</v>
      </c>
      <c r="M168" s="433"/>
      <c r="N168" s="433" t="s">
        <v>22901</v>
      </c>
      <c r="O168" s="433">
        <v>2007.0</v>
      </c>
      <c r="P168" s="433" t="s">
        <v>388</v>
      </c>
      <c r="Q168" s="433">
        <v>1.0</v>
      </c>
    </row>
    <row r="169" ht="15.75" customHeight="1">
      <c r="B169" s="433">
        <v>164.0</v>
      </c>
      <c r="C169" s="433"/>
      <c r="D169" s="433"/>
      <c r="E169" s="434" t="s">
        <v>22905</v>
      </c>
      <c r="F169" s="433" t="s">
        <v>22589</v>
      </c>
      <c r="G169" s="433" t="s">
        <v>29</v>
      </c>
      <c r="H169" s="433" t="s">
        <v>30</v>
      </c>
      <c r="I169" s="433" t="s">
        <v>22895</v>
      </c>
      <c r="J169" s="433" t="s">
        <v>22906</v>
      </c>
      <c r="K169" s="433">
        <v>21.0</v>
      </c>
      <c r="L169" s="433" t="s">
        <v>22592</v>
      </c>
      <c r="M169" s="433"/>
      <c r="N169" s="433" t="s">
        <v>22907</v>
      </c>
      <c r="O169" s="433"/>
      <c r="P169" s="433" t="s">
        <v>388</v>
      </c>
      <c r="Q169" s="433">
        <v>3.0</v>
      </c>
    </row>
    <row r="170" ht="15.75" customHeight="1">
      <c r="B170" s="433">
        <v>165.0</v>
      </c>
      <c r="C170" s="433"/>
      <c r="D170" s="433"/>
      <c r="E170" s="434" t="s">
        <v>22908</v>
      </c>
      <c r="F170" s="433" t="s">
        <v>22589</v>
      </c>
      <c r="G170" s="433" t="s">
        <v>29</v>
      </c>
      <c r="H170" s="433" t="s">
        <v>30</v>
      </c>
      <c r="I170" s="433" t="s">
        <v>22895</v>
      </c>
      <c r="J170" s="433" t="s">
        <v>15395</v>
      </c>
      <c r="K170" s="433">
        <v>276.0</v>
      </c>
      <c r="L170" s="433" t="s">
        <v>21875</v>
      </c>
      <c r="M170" s="433"/>
      <c r="N170" s="433" t="s">
        <v>22909</v>
      </c>
      <c r="O170" s="433">
        <v>1980.0</v>
      </c>
      <c r="P170" s="433" t="s">
        <v>388</v>
      </c>
      <c r="Q170" s="433">
        <v>2.0</v>
      </c>
    </row>
    <row r="171" ht="15.75" customHeight="1">
      <c r="B171" s="433">
        <v>166.0</v>
      </c>
      <c r="C171" s="433"/>
      <c r="D171" s="433"/>
      <c r="E171" s="434" t="s">
        <v>22910</v>
      </c>
      <c r="F171" s="433" t="s">
        <v>22589</v>
      </c>
      <c r="G171" s="433" t="s">
        <v>29</v>
      </c>
      <c r="H171" s="433" t="s">
        <v>30</v>
      </c>
      <c r="I171" s="433" t="s">
        <v>22895</v>
      </c>
      <c r="J171" s="433" t="s">
        <v>22911</v>
      </c>
      <c r="K171" s="433">
        <v>260.0</v>
      </c>
      <c r="L171" s="433" t="s">
        <v>13663</v>
      </c>
      <c r="M171" s="433"/>
      <c r="N171" s="433" t="s">
        <v>15300</v>
      </c>
      <c r="O171" s="433">
        <v>1996.0</v>
      </c>
      <c r="P171" s="433" t="s">
        <v>388</v>
      </c>
      <c r="Q171" s="433">
        <v>1.0</v>
      </c>
    </row>
    <row r="172" ht="15.75" customHeight="1">
      <c r="B172" s="433">
        <v>167.0</v>
      </c>
      <c r="C172" s="433"/>
      <c r="D172" s="433"/>
      <c r="E172" s="434" t="s">
        <v>22912</v>
      </c>
      <c r="F172" s="433" t="s">
        <v>22589</v>
      </c>
      <c r="G172" s="433" t="s">
        <v>29</v>
      </c>
      <c r="H172" s="433" t="s">
        <v>30</v>
      </c>
      <c r="I172" s="433" t="s">
        <v>22895</v>
      </c>
      <c r="J172" s="433" t="s">
        <v>22913</v>
      </c>
      <c r="K172" s="433">
        <v>80.0</v>
      </c>
      <c r="L172" s="433" t="s">
        <v>22914</v>
      </c>
      <c r="M172" s="433"/>
      <c r="N172" s="433" t="s">
        <v>10148</v>
      </c>
      <c r="O172" s="433">
        <v>1996.0</v>
      </c>
      <c r="P172" s="433" t="s">
        <v>388</v>
      </c>
      <c r="Q172" s="433">
        <v>1.0</v>
      </c>
    </row>
    <row r="173" ht="15.75" customHeight="1">
      <c r="B173" s="433">
        <v>168.0</v>
      </c>
      <c r="C173" s="433"/>
      <c r="D173" s="433"/>
      <c r="E173" s="434" t="s">
        <v>22915</v>
      </c>
      <c r="F173" s="433" t="s">
        <v>22589</v>
      </c>
      <c r="G173" s="433" t="s">
        <v>29</v>
      </c>
      <c r="H173" s="433" t="s">
        <v>30</v>
      </c>
      <c r="I173" s="433" t="s">
        <v>22895</v>
      </c>
      <c r="J173" s="433" t="s">
        <v>22916</v>
      </c>
      <c r="K173" s="433">
        <v>109.0</v>
      </c>
      <c r="L173" s="433"/>
      <c r="M173" s="433"/>
      <c r="N173" s="433" t="s">
        <v>13552</v>
      </c>
      <c r="O173" s="433" t="s">
        <v>13552</v>
      </c>
      <c r="P173" s="433" t="s">
        <v>388</v>
      </c>
      <c r="Q173" s="433">
        <v>1.0</v>
      </c>
    </row>
    <row r="174" ht="15.75" customHeight="1">
      <c r="B174" s="433">
        <v>169.0</v>
      </c>
      <c r="C174" s="433"/>
      <c r="D174" s="433"/>
      <c r="E174" s="434" t="s">
        <v>22917</v>
      </c>
      <c r="F174" s="433" t="s">
        <v>22589</v>
      </c>
      <c r="G174" s="433" t="s">
        <v>29</v>
      </c>
      <c r="H174" s="433" t="s">
        <v>30</v>
      </c>
      <c r="I174" s="433" t="s">
        <v>22895</v>
      </c>
      <c r="J174" s="433" t="s">
        <v>15410</v>
      </c>
      <c r="K174" s="433">
        <v>124.0</v>
      </c>
      <c r="L174" s="433" t="s">
        <v>21962</v>
      </c>
      <c r="M174" s="433"/>
      <c r="N174" s="433" t="s">
        <v>22918</v>
      </c>
      <c r="O174" s="433">
        <v>1999.0</v>
      </c>
      <c r="P174" s="433" t="s">
        <v>388</v>
      </c>
      <c r="Q174" s="433">
        <v>2.0</v>
      </c>
    </row>
    <row r="175" ht="15.75" customHeight="1">
      <c r="B175" s="433">
        <v>170.0</v>
      </c>
      <c r="C175" s="433"/>
      <c r="D175" s="433"/>
      <c r="E175" s="434" t="s">
        <v>22919</v>
      </c>
      <c r="F175" s="433" t="s">
        <v>22589</v>
      </c>
      <c r="G175" s="433" t="s">
        <v>29</v>
      </c>
      <c r="H175" s="433" t="s">
        <v>30</v>
      </c>
      <c r="I175" s="433" t="s">
        <v>22895</v>
      </c>
      <c r="J175" s="433" t="s">
        <v>15410</v>
      </c>
      <c r="K175" s="433">
        <v>144.0</v>
      </c>
      <c r="L175" s="433" t="s">
        <v>21536</v>
      </c>
      <c r="M175" s="433"/>
      <c r="N175" s="433" t="s">
        <v>22909</v>
      </c>
      <c r="O175" s="433">
        <v>1986.0</v>
      </c>
      <c r="P175" s="433" t="s">
        <v>388</v>
      </c>
      <c r="Q175" s="433">
        <v>2.0</v>
      </c>
    </row>
    <row r="176" ht="15.75" customHeight="1">
      <c r="B176" s="433">
        <v>171.0</v>
      </c>
      <c r="C176" s="433"/>
      <c r="D176" s="433"/>
      <c r="E176" s="434" t="s">
        <v>22920</v>
      </c>
      <c r="F176" s="433" t="s">
        <v>22589</v>
      </c>
      <c r="G176" s="433" t="s">
        <v>29</v>
      </c>
      <c r="H176" s="433" t="s">
        <v>30</v>
      </c>
      <c r="I176" s="433" t="s">
        <v>22895</v>
      </c>
      <c r="J176" s="433" t="s">
        <v>15406</v>
      </c>
      <c r="K176" s="433">
        <v>67.0</v>
      </c>
      <c r="L176" s="433" t="s">
        <v>21875</v>
      </c>
      <c r="M176" s="433"/>
      <c r="N176" s="433" t="s">
        <v>22921</v>
      </c>
      <c r="O176" s="433">
        <v>1995.0</v>
      </c>
      <c r="P176" s="433" t="s">
        <v>388</v>
      </c>
      <c r="Q176" s="433">
        <v>1.0</v>
      </c>
    </row>
    <row r="177" ht="15.75" customHeight="1">
      <c r="B177" s="433">
        <v>172.0</v>
      </c>
      <c r="C177" s="433"/>
      <c r="D177" s="433"/>
      <c r="E177" s="434" t="s">
        <v>22922</v>
      </c>
      <c r="F177" s="433" t="s">
        <v>22589</v>
      </c>
      <c r="G177" s="433" t="s">
        <v>29</v>
      </c>
      <c r="H177" s="433" t="s">
        <v>30</v>
      </c>
      <c r="I177" s="433" t="s">
        <v>22895</v>
      </c>
      <c r="J177" s="433" t="s">
        <v>15406</v>
      </c>
      <c r="K177" s="433" t="s">
        <v>22923</v>
      </c>
      <c r="L177" s="433" t="s">
        <v>22924</v>
      </c>
      <c r="M177" s="433"/>
      <c r="N177" s="433" t="s">
        <v>22921</v>
      </c>
      <c r="O177" s="433">
        <v>1995.0</v>
      </c>
      <c r="P177" s="433" t="s">
        <v>388</v>
      </c>
      <c r="Q177" s="433">
        <v>1.0</v>
      </c>
    </row>
    <row r="178" ht="15.75" customHeight="1">
      <c r="B178" s="433">
        <v>173.0</v>
      </c>
      <c r="C178" s="433"/>
      <c r="D178" s="433"/>
      <c r="E178" s="434" t="s">
        <v>22925</v>
      </c>
      <c r="F178" s="433" t="s">
        <v>22589</v>
      </c>
      <c r="G178" s="433" t="s">
        <v>29</v>
      </c>
      <c r="H178" s="433" t="s">
        <v>30</v>
      </c>
      <c r="I178" s="433" t="s">
        <v>22895</v>
      </c>
      <c r="J178" s="433" t="s">
        <v>15406</v>
      </c>
      <c r="K178" s="433">
        <v>74.0</v>
      </c>
      <c r="L178" s="433" t="s">
        <v>22625</v>
      </c>
      <c r="M178" s="433"/>
      <c r="N178" s="433" t="s">
        <v>22921</v>
      </c>
      <c r="O178" s="433">
        <v>1995.0</v>
      </c>
      <c r="P178" s="433" t="s">
        <v>388</v>
      </c>
      <c r="Q178" s="433">
        <v>1.0</v>
      </c>
    </row>
    <row r="179" ht="15.75" customHeight="1">
      <c r="B179" s="433">
        <v>174.0</v>
      </c>
      <c r="C179" s="433"/>
      <c r="D179" s="433"/>
      <c r="E179" s="434" t="s">
        <v>22926</v>
      </c>
      <c r="F179" s="433" t="s">
        <v>22589</v>
      </c>
      <c r="G179" s="433" t="s">
        <v>29</v>
      </c>
      <c r="H179" s="433" t="s">
        <v>30</v>
      </c>
      <c r="I179" s="433" t="s">
        <v>22895</v>
      </c>
      <c r="J179" s="433" t="s">
        <v>15429</v>
      </c>
      <c r="K179" s="433">
        <v>129.0</v>
      </c>
      <c r="L179" s="433" t="s">
        <v>22625</v>
      </c>
      <c r="M179" s="433"/>
      <c r="N179" s="433" t="s">
        <v>10148</v>
      </c>
      <c r="O179" s="433">
        <v>1995.0</v>
      </c>
      <c r="P179" s="433" t="s">
        <v>388</v>
      </c>
      <c r="Q179" s="433">
        <v>1.0</v>
      </c>
    </row>
    <row r="180" ht="15.75" customHeight="1">
      <c r="B180" s="433">
        <v>175.0</v>
      </c>
      <c r="C180" s="433"/>
      <c r="D180" s="433"/>
      <c r="E180" s="434" t="s">
        <v>22927</v>
      </c>
      <c r="F180" s="433" t="s">
        <v>22589</v>
      </c>
      <c r="G180" s="433" t="s">
        <v>29</v>
      </c>
      <c r="H180" s="433" t="s">
        <v>30</v>
      </c>
      <c r="I180" s="433" t="s">
        <v>22895</v>
      </c>
      <c r="J180" s="433" t="s">
        <v>15429</v>
      </c>
      <c r="K180" s="433">
        <v>135.0</v>
      </c>
      <c r="L180" s="433" t="s">
        <v>22928</v>
      </c>
      <c r="M180" s="433"/>
      <c r="N180" s="433" t="s">
        <v>22929</v>
      </c>
      <c r="O180" s="433" t="s">
        <v>13552</v>
      </c>
      <c r="P180" s="433" t="s">
        <v>388</v>
      </c>
      <c r="Q180" s="433">
        <v>2.0</v>
      </c>
    </row>
    <row r="181" ht="15.75" customHeight="1">
      <c r="B181" s="433">
        <v>176.0</v>
      </c>
      <c r="C181" s="433"/>
      <c r="D181" s="433"/>
      <c r="E181" s="434" t="s">
        <v>22930</v>
      </c>
      <c r="F181" s="433" t="s">
        <v>22589</v>
      </c>
      <c r="G181" s="433" t="s">
        <v>29</v>
      </c>
      <c r="H181" s="433" t="s">
        <v>30</v>
      </c>
      <c r="I181" s="433" t="s">
        <v>22895</v>
      </c>
      <c r="J181" s="433" t="s">
        <v>22825</v>
      </c>
      <c r="K181" s="433">
        <v>37.0</v>
      </c>
      <c r="L181" s="433" t="s">
        <v>22931</v>
      </c>
      <c r="M181" s="433"/>
      <c r="N181" s="433" t="s">
        <v>9290</v>
      </c>
      <c r="O181" s="433">
        <v>2005.0</v>
      </c>
      <c r="P181" s="433" t="s">
        <v>388</v>
      </c>
      <c r="Q181" s="433">
        <v>1.0</v>
      </c>
    </row>
    <row r="182" ht="15.75" customHeight="1">
      <c r="B182" s="433">
        <v>177.0</v>
      </c>
      <c r="C182" s="433"/>
      <c r="D182" s="433"/>
      <c r="E182" s="434" t="s">
        <v>22932</v>
      </c>
      <c r="F182" s="433" t="s">
        <v>22589</v>
      </c>
      <c r="G182" s="433" t="s">
        <v>29</v>
      </c>
      <c r="H182" s="433" t="s">
        <v>30</v>
      </c>
      <c r="I182" s="433" t="s">
        <v>22895</v>
      </c>
      <c r="J182" s="433" t="s">
        <v>22933</v>
      </c>
      <c r="K182" s="433">
        <v>74.0</v>
      </c>
      <c r="L182" s="433" t="s">
        <v>22934</v>
      </c>
      <c r="M182" s="433"/>
      <c r="N182" s="433" t="s">
        <v>6009</v>
      </c>
      <c r="O182" s="433">
        <v>2002.0</v>
      </c>
      <c r="P182" s="433" t="s">
        <v>388</v>
      </c>
      <c r="Q182" s="433">
        <v>1.0</v>
      </c>
    </row>
    <row r="183" ht="15.75" customHeight="1">
      <c r="B183" s="433">
        <v>178.0</v>
      </c>
      <c r="C183" s="433"/>
      <c r="D183" s="433"/>
      <c r="E183" s="434" t="s">
        <v>22935</v>
      </c>
      <c r="F183" s="433" t="s">
        <v>22589</v>
      </c>
      <c r="G183" s="433" t="s">
        <v>29</v>
      </c>
      <c r="H183" s="433" t="s">
        <v>30</v>
      </c>
      <c r="I183" s="433" t="s">
        <v>22895</v>
      </c>
      <c r="J183" s="433" t="s">
        <v>22933</v>
      </c>
      <c r="K183" s="433">
        <v>28.0</v>
      </c>
      <c r="L183" s="433" t="s">
        <v>22936</v>
      </c>
      <c r="M183" s="433"/>
      <c r="N183" s="433" t="s">
        <v>6009</v>
      </c>
      <c r="O183" s="433">
        <v>2005.0</v>
      </c>
      <c r="P183" s="433" t="s">
        <v>388</v>
      </c>
      <c r="Q183" s="433">
        <v>1.0</v>
      </c>
    </row>
    <row r="184" ht="15.75" customHeight="1">
      <c r="B184" s="433">
        <v>179.0</v>
      </c>
      <c r="C184" s="433"/>
      <c r="D184" s="433"/>
      <c r="E184" s="434" t="s">
        <v>22937</v>
      </c>
      <c r="F184" s="433" t="s">
        <v>22589</v>
      </c>
      <c r="G184" s="433" t="s">
        <v>29</v>
      </c>
      <c r="H184" s="433" t="s">
        <v>30</v>
      </c>
      <c r="I184" s="433" t="s">
        <v>22895</v>
      </c>
      <c r="J184" s="433" t="s">
        <v>22933</v>
      </c>
      <c r="K184" s="433">
        <v>61.0</v>
      </c>
      <c r="L184" s="433" t="s">
        <v>22938</v>
      </c>
      <c r="M184" s="433"/>
      <c r="N184" s="433" t="s">
        <v>6009</v>
      </c>
      <c r="O184" s="433">
        <v>2004.0</v>
      </c>
      <c r="P184" s="433" t="s">
        <v>388</v>
      </c>
      <c r="Q184" s="433">
        <v>1.0</v>
      </c>
    </row>
    <row r="185" ht="15.75" customHeight="1">
      <c r="B185" s="433">
        <v>180.0</v>
      </c>
      <c r="C185" s="433"/>
      <c r="D185" s="433"/>
      <c r="E185" s="434" t="s">
        <v>22939</v>
      </c>
      <c r="F185" s="433" t="s">
        <v>22589</v>
      </c>
      <c r="G185" s="433" t="s">
        <v>29</v>
      </c>
      <c r="H185" s="433" t="s">
        <v>30</v>
      </c>
      <c r="I185" s="433" t="s">
        <v>22895</v>
      </c>
      <c r="J185" s="433" t="s">
        <v>22933</v>
      </c>
      <c r="K185" s="433">
        <v>31.0</v>
      </c>
      <c r="L185" s="433" t="s">
        <v>22904</v>
      </c>
      <c r="M185" s="433"/>
      <c r="N185" s="433" t="s">
        <v>6009</v>
      </c>
      <c r="O185" s="433">
        <v>2005.0</v>
      </c>
      <c r="P185" s="433" t="s">
        <v>388</v>
      </c>
      <c r="Q185" s="433">
        <v>1.0</v>
      </c>
    </row>
    <row r="186" ht="15.75" customHeight="1">
      <c r="B186" s="433">
        <v>181.0</v>
      </c>
      <c r="C186" s="433"/>
      <c r="D186" s="433"/>
      <c r="E186" s="434" t="s">
        <v>22940</v>
      </c>
      <c r="F186" s="433" t="s">
        <v>22589</v>
      </c>
      <c r="G186" s="433" t="s">
        <v>29</v>
      </c>
      <c r="H186" s="433" t="s">
        <v>30</v>
      </c>
      <c r="I186" s="433" t="s">
        <v>22895</v>
      </c>
      <c r="J186" s="433" t="s">
        <v>22933</v>
      </c>
      <c r="K186" s="433">
        <v>31.0</v>
      </c>
      <c r="L186" s="433" t="s">
        <v>13582</v>
      </c>
      <c r="M186" s="433"/>
      <c r="N186" s="433" t="s">
        <v>6009</v>
      </c>
      <c r="O186" s="433">
        <v>2006.0</v>
      </c>
      <c r="P186" s="433" t="s">
        <v>388</v>
      </c>
      <c r="Q186" s="433">
        <v>1.0</v>
      </c>
    </row>
    <row r="187" ht="15.75" customHeight="1">
      <c r="B187" s="433">
        <v>182.0</v>
      </c>
      <c r="C187" s="433"/>
      <c r="D187" s="433"/>
      <c r="E187" s="434" t="s">
        <v>22941</v>
      </c>
      <c r="F187" s="433" t="s">
        <v>22589</v>
      </c>
      <c r="G187" s="433" t="s">
        <v>29</v>
      </c>
      <c r="H187" s="433" t="s">
        <v>30</v>
      </c>
      <c r="I187" s="433" t="s">
        <v>22895</v>
      </c>
      <c r="J187" s="433" t="s">
        <v>22933</v>
      </c>
      <c r="K187" s="433">
        <v>16.0</v>
      </c>
      <c r="L187" s="433" t="s">
        <v>13582</v>
      </c>
      <c r="M187" s="433"/>
      <c r="N187" s="433" t="s">
        <v>6009</v>
      </c>
      <c r="O187" s="433">
        <v>2005.0</v>
      </c>
      <c r="P187" s="433" t="s">
        <v>388</v>
      </c>
      <c r="Q187" s="433">
        <v>1.0</v>
      </c>
    </row>
    <row r="188" ht="15.75" customHeight="1">
      <c r="B188" s="433">
        <v>183.0</v>
      </c>
      <c r="C188" s="433"/>
      <c r="D188" s="433"/>
      <c r="E188" s="434" t="s">
        <v>22942</v>
      </c>
      <c r="F188" s="433" t="s">
        <v>22589</v>
      </c>
      <c r="G188" s="433" t="s">
        <v>29</v>
      </c>
      <c r="H188" s="433" t="s">
        <v>30</v>
      </c>
      <c r="I188" s="433" t="s">
        <v>22895</v>
      </c>
      <c r="J188" s="433" t="s">
        <v>22933</v>
      </c>
      <c r="K188" s="433">
        <v>28.0</v>
      </c>
      <c r="L188" s="433" t="s">
        <v>22943</v>
      </c>
      <c r="M188" s="433"/>
      <c r="N188" s="433" t="s">
        <v>6009</v>
      </c>
      <c r="O188" s="433">
        <v>2006.0</v>
      </c>
      <c r="P188" s="433" t="s">
        <v>388</v>
      </c>
      <c r="Q188" s="433">
        <v>1.0</v>
      </c>
    </row>
    <row r="189" ht="15.75" customHeight="1">
      <c r="B189" s="433">
        <v>184.0</v>
      </c>
      <c r="C189" s="433"/>
      <c r="D189" s="433"/>
      <c r="E189" s="434" t="s">
        <v>22944</v>
      </c>
      <c r="F189" s="433" t="s">
        <v>22589</v>
      </c>
      <c r="G189" s="433" t="s">
        <v>29</v>
      </c>
      <c r="H189" s="433" t="s">
        <v>30</v>
      </c>
      <c r="I189" s="433" t="s">
        <v>22895</v>
      </c>
      <c r="J189" s="433" t="s">
        <v>22933</v>
      </c>
      <c r="K189" s="433">
        <v>24.0</v>
      </c>
      <c r="L189" s="433" t="s">
        <v>22945</v>
      </c>
      <c r="M189" s="433"/>
      <c r="N189" s="433" t="s">
        <v>6009</v>
      </c>
      <c r="O189" s="433">
        <v>2007.0</v>
      </c>
      <c r="P189" s="433" t="s">
        <v>388</v>
      </c>
      <c r="Q189" s="433">
        <v>1.0</v>
      </c>
    </row>
    <row r="190" ht="15.75" customHeight="1">
      <c r="B190" s="433">
        <v>185.0</v>
      </c>
      <c r="C190" s="433"/>
      <c r="D190" s="433"/>
      <c r="E190" s="434" t="s">
        <v>22946</v>
      </c>
      <c r="F190" s="433" t="s">
        <v>22589</v>
      </c>
      <c r="G190" s="433" t="s">
        <v>29</v>
      </c>
      <c r="H190" s="433" t="s">
        <v>30</v>
      </c>
      <c r="I190" s="433" t="s">
        <v>22895</v>
      </c>
      <c r="J190" s="433" t="s">
        <v>22933</v>
      </c>
      <c r="K190" s="433">
        <v>12.0</v>
      </c>
      <c r="L190" s="433" t="s">
        <v>22947</v>
      </c>
      <c r="M190" s="433"/>
      <c r="N190" s="433" t="s">
        <v>22948</v>
      </c>
      <c r="O190" s="433">
        <v>2005.0</v>
      </c>
      <c r="P190" s="433" t="s">
        <v>388</v>
      </c>
      <c r="Q190" s="433">
        <v>1.0</v>
      </c>
    </row>
    <row r="191" ht="15.75" customHeight="1">
      <c r="B191" s="433">
        <v>186.0</v>
      </c>
      <c r="C191" s="433"/>
      <c r="D191" s="433"/>
      <c r="E191" s="434" t="s">
        <v>22949</v>
      </c>
      <c r="F191" s="433" t="s">
        <v>22589</v>
      </c>
      <c r="G191" s="433" t="s">
        <v>29</v>
      </c>
      <c r="H191" s="433" t="s">
        <v>30</v>
      </c>
      <c r="I191" s="433" t="s">
        <v>22895</v>
      </c>
      <c r="J191" s="433" t="s">
        <v>22933</v>
      </c>
      <c r="K191" s="433">
        <v>30.0</v>
      </c>
      <c r="L191" s="433" t="s">
        <v>13582</v>
      </c>
      <c r="M191" s="433"/>
      <c r="N191" s="433" t="s">
        <v>22948</v>
      </c>
      <c r="O191" s="433">
        <v>2006.0</v>
      </c>
      <c r="P191" s="433" t="s">
        <v>388</v>
      </c>
      <c r="Q191" s="433">
        <v>1.0</v>
      </c>
    </row>
    <row r="192" ht="15.75" customHeight="1">
      <c r="B192" s="433">
        <v>187.0</v>
      </c>
      <c r="C192" s="433"/>
      <c r="D192" s="433"/>
      <c r="E192" s="434" t="s">
        <v>22950</v>
      </c>
      <c r="F192" s="433" t="s">
        <v>22589</v>
      </c>
      <c r="G192" s="433" t="s">
        <v>29</v>
      </c>
      <c r="H192" s="433" t="s">
        <v>30</v>
      </c>
      <c r="I192" s="433" t="s">
        <v>22895</v>
      </c>
      <c r="J192" s="433" t="s">
        <v>22933</v>
      </c>
      <c r="K192" s="433">
        <v>40.0</v>
      </c>
      <c r="L192" s="433" t="s">
        <v>13582</v>
      </c>
      <c r="M192" s="433"/>
      <c r="N192" s="433" t="s">
        <v>22948</v>
      </c>
      <c r="O192" s="433">
        <v>2005.0</v>
      </c>
      <c r="P192" s="433" t="s">
        <v>388</v>
      </c>
      <c r="Q192" s="433">
        <v>1.0</v>
      </c>
    </row>
    <row r="193" ht="15.75" customHeight="1">
      <c r="B193" s="433">
        <v>188.0</v>
      </c>
      <c r="C193" s="433"/>
      <c r="D193" s="433"/>
      <c r="E193" s="434" t="s">
        <v>22951</v>
      </c>
      <c r="F193" s="433" t="s">
        <v>22589</v>
      </c>
      <c r="G193" s="433" t="s">
        <v>29</v>
      </c>
      <c r="H193" s="433" t="s">
        <v>30</v>
      </c>
      <c r="I193" s="433" t="s">
        <v>22895</v>
      </c>
      <c r="J193" s="433" t="s">
        <v>22933</v>
      </c>
      <c r="K193" s="433">
        <v>48.0</v>
      </c>
      <c r="L193" s="433" t="s">
        <v>13582</v>
      </c>
      <c r="M193" s="433"/>
      <c r="N193" s="433" t="s">
        <v>22948</v>
      </c>
      <c r="O193" s="433">
        <v>2006.0</v>
      </c>
      <c r="P193" s="433" t="s">
        <v>388</v>
      </c>
      <c r="Q193" s="433">
        <v>1.0</v>
      </c>
    </row>
    <row r="194" ht="15.75" customHeight="1">
      <c r="B194" s="433">
        <v>189.0</v>
      </c>
      <c r="C194" s="433"/>
      <c r="D194" s="433"/>
      <c r="E194" s="434" t="s">
        <v>22952</v>
      </c>
      <c r="F194" s="433" t="s">
        <v>22589</v>
      </c>
      <c r="G194" s="433" t="s">
        <v>29</v>
      </c>
      <c r="H194" s="433" t="s">
        <v>30</v>
      </c>
      <c r="I194" s="433" t="s">
        <v>22895</v>
      </c>
      <c r="J194" s="433" t="s">
        <v>22953</v>
      </c>
      <c r="K194" s="433">
        <v>37.0</v>
      </c>
      <c r="L194" s="433" t="s">
        <v>13582</v>
      </c>
      <c r="M194" s="433"/>
      <c r="N194" s="433" t="s">
        <v>22886</v>
      </c>
      <c r="O194" s="433" t="s">
        <v>13552</v>
      </c>
      <c r="P194" s="433" t="s">
        <v>388</v>
      </c>
      <c r="Q194" s="433">
        <v>1.0</v>
      </c>
    </row>
    <row r="195" ht="15.75" customHeight="1">
      <c r="B195" s="433">
        <v>190.0</v>
      </c>
      <c r="C195" s="433"/>
      <c r="D195" s="433"/>
      <c r="E195" s="434" t="s">
        <v>22954</v>
      </c>
      <c r="F195" s="433" t="s">
        <v>22589</v>
      </c>
      <c r="G195" s="433" t="s">
        <v>29</v>
      </c>
      <c r="H195" s="433" t="s">
        <v>30</v>
      </c>
      <c r="I195" s="433" t="s">
        <v>22895</v>
      </c>
      <c r="J195" s="433" t="s">
        <v>22955</v>
      </c>
      <c r="K195" s="433">
        <v>77.0</v>
      </c>
      <c r="L195" s="433" t="s">
        <v>22956</v>
      </c>
      <c r="M195" s="433"/>
      <c r="N195" s="433" t="s">
        <v>22957</v>
      </c>
      <c r="O195" s="433">
        <v>1998.0</v>
      </c>
      <c r="P195" s="433" t="s">
        <v>388</v>
      </c>
      <c r="Q195" s="433">
        <v>1.0</v>
      </c>
    </row>
    <row r="196" ht="15.75" customHeight="1">
      <c r="B196" s="433">
        <v>191.0</v>
      </c>
      <c r="C196" s="433"/>
      <c r="D196" s="433"/>
      <c r="E196" s="434" t="s">
        <v>22958</v>
      </c>
      <c r="F196" s="433" t="s">
        <v>22589</v>
      </c>
      <c r="G196" s="433" t="s">
        <v>29</v>
      </c>
      <c r="H196" s="433" t="s">
        <v>30</v>
      </c>
      <c r="I196" s="433" t="s">
        <v>22895</v>
      </c>
      <c r="J196" s="433" t="s">
        <v>22959</v>
      </c>
      <c r="K196" s="433">
        <v>34.0</v>
      </c>
      <c r="L196" s="433" t="s">
        <v>22960</v>
      </c>
      <c r="M196" s="433"/>
      <c r="N196" s="433" t="s">
        <v>22901</v>
      </c>
      <c r="O196" s="433">
        <v>2007.0</v>
      </c>
      <c r="P196" s="433" t="s">
        <v>388</v>
      </c>
      <c r="Q196" s="433">
        <v>1.0</v>
      </c>
    </row>
    <row r="197" ht="15.75" customHeight="1">
      <c r="B197" s="433">
        <v>192.0</v>
      </c>
      <c r="C197" s="433"/>
      <c r="D197" s="433"/>
      <c r="E197" s="434" t="s">
        <v>22961</v>
      </c>
      <c r="F197" s="433" t="s">
        <v>22589</v>
      </c>
      <c r="G197" s="433" t="s">
        <v>29</v>
      </c>
      <c r="H197" s="433" t="s">
        <v>30</v>
      </c>
      <c r="I197" s="433" t="s">
        <v>22895</v>
      </c>
      <c r="J197" s="433" t="s">
        <v>22962</v>
      </c>
      <c r="K197" s="433">
        <v>87.0</v>
      </c>
      <c r="L197" s="433" t="s">
        <v>22893</v>
      </c>
      <c r="M197" s="433"/>
      <c r="N197" s="433" t="s">
        <v>22963</v>
      </c>
      <c r="O197" s="433">
        <v>1986.0</v>
      </c>
      <c r="P197" s="433" t="s">
        <v>388</v>
      </c>
      <c r="Q197" s="433">
        <v>1.0</v>
      </c>
    </row>
    <row r="198" ht="15.75" customHeight="1">
      <c r="B198" s="433">
        <v>193.0</v>
      </c>
      <c r="C198" s="433"/>
      <c r="D198" s="433"/>
      <c r="E198" s="434" t="s">
        <v>22964</v>
      </c>
      <c r="F198" s="433" t="s">
        <v>22589</v>
      </c>
      <c r="G198" s="433" t="s">
        <v>29</v>
      </c>
      <c r="H198" s="433" t="s">
        <v>30</v>
      </c>
      <c r="I198" s="433" t="s">
        <v>22895</v>
      </c>
      <c r="J198" s="433" t="s">
        <v>22965</v>
      </c>
      <c r="K198" s="433">
        <v>19.0</v>
      </c>
      <c r="L198" s="433" t="s">
        <v>22966</v>
      </c>
      <c r="M198" s="433"/>
      <c r="N198" s="433" t="s">
        <v>6009</v>
      </c>
      <c r="O198" s="433">
        <v>2004.0</v>
      </c>
      <c r="P198" s="433" t="s">
        <v>388</v>
      </c>
      <c r="Q198" s="433">
        <v>1.0</v>
      </c>
    </row>
    <row r="199" ht="15.75" customHeight="1">
      <c r="B199" s="433">
        <v>194.0</v>
      </c>
      <c r="C199" s="433"/>
      <c r="D199" s="433"/>
      <c r="E199" s="434" t="s">
        <v>22967</v>
      </c>
      <c r="F199" s="433" t="s">
        <v>22589</v>
      </c>
      <c r="G199" s="433" t="s">
        <v>29</v>
      </c>
      <c r="H199" s="433" t="s">
        <v>30</v>
      </c>
      <c r="I199" s="433" t="s">
        <v>22895</v>
      </c>
      <c r="J199" s="433" t="s">
        <v>22968</v>
      </c>
      <c r="K199" s="433">
        <v>40.0</v>
      </c>
      <c r="L199" s="433" t="s">
        <v>22969</v>
      </c>
      <c r="M199" s="433"/>
      <c r="N199" s="433" t="s">
        <v>6009</v>
      </c>
      <c r="O199" s="433">
        <v>2007.0</v>
      </c>
      <c r="P199" s="433" t="s">
        <v>388</v>
      </c>
      <c r="Q199" s="433">
        <v>1.0</v>
      </c>
    </row>
    <row r="200" ht="15.75" customHeight="1">
      <c r="B200" s="433">
        <v>195.0</v>
      </c>
      <c r="C200" s="433"/>
      <c r="D200" s="433"/>
      <c r="E200" s="434" t="s">
        <v>22970</v>
      </c>
      <c r="F200" s="433" t="s">
        <v>22589</v>
      </c>
      <c r="G200" s="433" t="s">
        <v>29</v>
      </c>
      <c r="H200" s="433" t="s">
        <v>30</v>
      </c>
      <c r="I200" s="433" t="s">
        <v>22895</v>
      </c>
      <c r="J200" s="433" t="s">
        <v>15410</v>
      </c>
      <c r="K200" s="433">
        <v>20.0</v>
      </c>
      <c r="L200" s="433" t="s">
        <v>22971</v>
      </c>
      <c r="M200" s="433"/>
      <c r="N200" s="433" t="s">
        <v>10148</v>
      </c>
      <c r="O200" s="433">
        <v>2004.0</v>
      </c>
      <c r="P200" s="433" t="s">
        <v>388</v>
      </c>
      <c r="Q200" s="433">
        <v>1.0</v>
      </c>
    </row>
    <row r="201" ht="15.75" customHeight="1">
      <c r="B201" s="433">
        <v>196.0</v>
      </c>
      <c r="C201" s="433"/>
      <c r="D201" s="433"/>
      <c r="E201" s="434" t="s">
        <v>22972</v>
      </c>
      <c r="F201" s="433" t="s">
        <v>22589</v>
      </c>
      <c r="G201" s="433" t="s">
        <v>29</v>
      </c>
      <c r="H201" s="433" t="s">
        <v>30</v>
      </c>
      <c r="I201" s="433" t="s">
        <v>22895</v>
      </c>
      <c r="J201" s="433" t="s">
        <v>15410</v>
      </c>
      <c r="K201" s="433">
        <v>28.0</v>
      </c>
      <c r="L201" s="433" t="s">
        <v>22973</v>
      </c>
      <c r="M201" s="433"/>
      <c r="N201" s="433" t="s">
        <v>10148</v>
      </c>
      <c r="O201" s="433">
        <v>2004.0</v>
      </c>
      <c r="P201" s="433" t="s">
        <v>388</v>
      </c>
      <c r="Q201" s="433">
        <v>1.0</v>
      </c>
    </row>
    <row r="202" ht="15.75" customHeight="1">
      <c r="B202" s="433">
        <v>197.0</v>
      </c>
      <c r="C202" s="433"/>
      <c r="D202" s="433"/>
      <c r="E202" s="434" t="s">
        <v>22974</v>
      </c>
      <c r="F202" s="433" t="s">
        <v>22589</v>
      </c>
      <c r="G202" s="433" t="s">
        <v>29</v>
      </c>
      <c r="H202" s="433" t="s">
        <v>30</v>
      </c>
      <c r="I202" s="433" t="s">
        <v>22895</v>
      </c>
      <c r="J202" s="433" t="s">
        <v>15410</v>
      </c>
      <c r="K202" s="433">
        <v>18.0</v>
      </c>
      <c r="L202" s="433" t="s">
        <v>22975</v>
      </c>
      <c r="M202" s="433"/>
      <c r="N202" s="433" t="s">
        <v>10148</v>
      </c>
      <c r="O202" s="433">
        <v>2004.0</v>
      </c>
      <c r="P202" s="433" t="s">
        <v>388</v>
      </c>
      <c r="Q202" s="433">
        <v>1.0</v>
      </c>
    </row>
    <row r="203" ht="15.75" customHeight="1">
      <c r="B203" s="433">
        <v>198.0</v>
      </c>
      <c r="C203" s="433"/>
      <c r="D203" s="433"/>
      <c r="E203" s="434" t="s">
        <v>22976</v>
      </c>
      <c r="F203" s="433" t="s">
        <v>22589</v>
      </c>
      <c r="G203" s="433" t="s">
        <v>29</v>
      </c>
      <c r="H203" s="433" t="s">
        <v>30</v>
      </c>
      <c r="I203" s="433" t="s">
        <v>22895</v>
      </c>
      <c r="J203" s="433" t="s">
        <v>15410</v>
      </c>
      <c r="K203" s="433">
        <v>20.0</v>
      </c>
      <c r="L203" s="433" t="s">
        <v>22977</v>
      </c>
      <c r="M203" s="433"/>
      <c r="N203" s="433" t="s">
        <v>10148</v>
      </c>
      <c r="O203" s="433">
        <v>2004.0</v>
      </c>
      <c r="P203" s="433" t="s">
        <v>388</v>
      </c>
      <c r="Q203" s="433">
        <v>2.0</v>
      </c>
    </row>
    <row r="204" ht="15.75" customHeight="1">
      <c r="B204" s="433">
        <v>199.0</v>
      </c>
      <c r="C204" s="433"/>
      <c r="D204" s="433"/>
      <c r="E204" s="434" t="s">
        <v>22978</v>
      </c>
      <c r="F204" s="433" t="s">
        <v>22589</v>
      </c>
      <c r="G204" s="433" t="s">
        <v>29</v>
      </c>
      <c r="H204" s="433" t="s">
        <v>30</v>
      </c>
      <c r="I204" s="433" t="s">
        <v>14765</v>
      </c>
      <c r="J204" s="433" t="s">
        <v>22979</v>
      </c>
      <c r="K204" s="433">
        <v>150.0</v>
      </c>
      <c r="L204" s="433" t="s">
        <v>15377</v>
      </c>
      <c r="M204" s="433"/>
      <c r="N204" s="433" t="s">
        <v>22980</v>
      </c>
      <c r="O204" s="433">
        <v>2015.0</v>
      </c>
      <c r="P204" s="433" t="s">
        <v>388</v>
      </c>
      <c r="Q204" s="433">
        <v>2.0</v>
      </c>
    </row>
    <row r="205" ht="15.75" customHeight="1">
      <c r="B205" s="433">
        <v>200.0</v>
      </c>
      <c r="C205" s="433"/>
      <c r="D205" s="433"/>
      <c r="E205" s="434" t="s">
        <v>22981</v>
      </c>
      <c r="F205" s="433" t="s">
        <v>22589</v>
      </c>
      <c r="G205" s="433" t="s">
        <v>29</v>
      </c>
      <c r="H205" s="433" t="s">
        <v>30</v>
      </c>
      <c r="I205" s="433" t="s">
        <v>14712</v>
      </c>
      <c r="J205" s="433" t="s">
        <v>22782</v>
      </c>
      <c r="K205" s="433">
        <v>102.0</v>
      </c>
      <c r="L205" s="433" t="s">
        <v>31</v>
      </c>
      <c r="M205" s="433"/>
      <c r="N205" s="433" t="s">
        <v>4212</v>
      </c>
      <c r="O205" s="433">
        <v>2001.0</v>
      </c>
      <c r="P205" s="433" t="s">
        <v>388</v>
      </c>
      <c r="Q205" s="433">
        <v>1.0</v>
      </c>
    </row>
    <row r="206" ht="15.75" customHeight="1">
      <c r="B206" s="433">
        <v>201.0</v>
      </c>
      <c r="C206" s="433"/>
      <c r="D206" s="433"/>
      <c r="E206" s="434" t="s">
        <v>22982</v>
      </c>
      <c r="F206" s="433" t="s">
        <v>22589</v>
      </c>
      <c r="G206" s="433" t="s">
        <v>29</v>
      </c>
      <c r="H206" s="433" t="s">
        <v>30</v>
      </c>
      <c r="I206" s="433" t="s">
        <v>14221</v>
      </c>
      <c r="J206" s="433" t="s">
        <v>22983</v>
      </c>
      <c r="K206" s="433">
        <v>92.0</v>
      </c>
      <c r="L206" s="433"/>
      <c r="M206" s="875"/>
      <c r="N206" s="433" t="s">
        <v>22984</v>
      </c>
      <c r="O206" s="433">
        <v>1940.0</v>
      </c>
      <c r="P206" s="433" t="s">
        <v>388</v>
      </c>
      <c r="Q206" s="433">
        <v>1.0</v>
      </c>
    </row>
    <row r="207" ht="15.75" customHeight="1">
      <c r="B207" s="433">
        <v>202.0</v>
      </c>
      <c r="C207" s="433"/>
      <c r="D207" s="433"/>
      <c r="E207" s="434" t="s">
        <v>22985</v>
      </c>
      <c r="F207" s="433" t="s">
        <v>22589</v>
      </c>
      <c r="G207" s="433" t="s">
        <v>29</v>
      </c>
      <c r="H207" s="433" t="s">
        <v>30</v>
      </c>
      <c r="I207" s="433" t="s">
        <v>14221</v>
      </c>
      <c r="J207" s="433" t="s">
        <v>22983</v>
      </c>
      <c r="K207" s="433">
        <v>76.0</v>
      </c>
      <c r="L207" s="433"/>
      <c r="M207" s="875"/>
      <c r="N207" s="433" t="s">
        <v>22984</v>
      </c>
      <c r="O207" s="433">
        <v>1910.0</v>
      </c>
      <c r="P207" s="433" t="s">
        <v>388</v>
      </c>
      <c r="Q207" s="433">
        <v>1.0</v>
      </c>
    </row>
    <row r="208" ht="15.75" customHeight="1">
      <c r="B208" s="433">
        <v>203.0</v>
      </c>
      <c r="C208" s="433"/>
      <c r="D208" s="433"/>
      <c r="E208" s="434" t="s">
        <v>22908</v>
      </c>
      <c r="F208" s="433" t="s">
        <v>22589</v>
      </c>
      <c r="G208" s="433" t="s">
        <v>29</v>
      </c>
      <c r="H208" s="433" t="s">
        <v>30</v>
      </c>
      <c r="I208" s="433" t="s">
        <v>14221</v>
      </c>
      <c r="J208" s="433" t="s">
        <v>22983</v>
      </c>
      <c r="K208" s="433" t="s">
        <v>22986</v>
      </c>
      <c r="L208" s="433"/>
      <c r="M208" s="875"/>
      <c r="N208" s="433" t="s">
        <v>22984</v>
      </c>
      <c r="O208" s="433">
        <v>1910.0</v>
      </c>
      <c r="P208" s="433" t="s">
        <v>388</v>
      </c>
      <c r="Q208" s="433">
        <v>1.0</v>
      </c>
    </row>
    <row r="209" ht="15.75" customHeight="1">
      <c r="B209" s="433">
        <v>204.0</v>
      </c>
      <c r="C209" s="433"/>
      <c r="D209" s="433"/>
      <c r="E209" s="434" t="s">
        <v>22987</v>
      </c>
      <c r="F209" s="433" t="s">
        <v>22589</v>
      </c>
      <c r="G209" s="433" t="s">
        <v>29</v>
      </c>
      <c r="H209" s="433" t="s">
        <v>30</v>
      </c>
      <c r="I209" s="433" t="s">
        <v>14221</v>
      </c>
      <c r="J209" s="433" t="s">
        <v>22983</v>
      </c>
      <c r="K209" s="433" t="s">
        <v>22988</v>
      </c>
      <c r="L209" s="433"/>
      <c r="M209" s="875"/>
      <c r="N209" s="433" t="s">
        <v>22984</v>
      </c>
      <c r="O209" s="433">
        <v>1910.0</v>
      </c>
      <c r="P209" s="433" t="s">
        <v>388</v>
      </c>
      <c r="Q209" s="433">
        <v>2.0</v>
      </c>
    </row>
    <row r="210" ht="15.75" customHeight="1">
      <c r="B210" s="433">
        <v>205.0</v>
      </c>
      <c r="C210" s="433"/>
      <c r="D210" s="433"/>
      <c r="E210" s="434" t="s">
        <v>22908</v>
      </c>
      <c r="F210" s="433" t="s">
        <v>22589</v>
      </c>
      <c r="G210" s="433" t="s">
        <v>29</v>
      </c>
      <c r="H210" s="433" t="s">
        <v>30</v>
      </c>
      <c r="I210" s="433" t="s">
        <v>14221</v>
      </c>
      <c r="J210" s="433" t="s">
        <v>22983</v>
      </c>
      <c r="K210" s="433">
        <v>74.0</v>
      </c>
      <c r="L210" s="433"/>
      <c r="M210" s="875"/>
      <c r="N210" s="433" t="s">
        <v>22984</v>
      </c>
      <c r="O210" s="433">
        <v>1950.0</v>
      </c>
      <c r="P210" s="433" t="s">
        <v>388</v>
      </c>
      <c r="Q210" s="433">
        <v>2.0</v>
      </c>
    </row>
    <row r="211" ht="15.75" customHeight="1">
      <c r="B211" s="433">
        <v>206.0</v>
      </c>
      <c r="C211" s="433"/>
      <c r="D211" s="433"/>
      <c r="E211" s="434" t="s">
        <v>22989</v>
      </c>
      <c r="F211" s="433" t="s">
        <v>22589</v>
      </c>
      <c r="G211" s="433" t="s">
        <v>29</v>
      </c>
      <c r="H211" s="433" t="s">
        <v>30</v>
      </c>
      <c r="I211" s="433" t="s">
        <v>14221</v>
      </c>
      <c r="J211" s="433" t="s">
        <v>22983</v>
      </c>
      <c r="K211" s="433">
        <v>58.0</v>
      </c>
      <c r="L211" s="433"/>
      <c r="M211" s="875"/>
      <c r="N211" s="433" t="s">
        <v>22984</v>
      </c>
      <c r="O211" s="433">
        <v>1950.0</v>
      </c>
      <c r="P211" s="433" t="s">
        <v>388</v>
      </c>
      <c r="Q211" s="433">
        <v>1.0</v>
      </c>
    </row>
    <row r="212" ht="15.75" customHeight="1">
      <c r="B212" s="433">
        <v>207.0</v>
      </c>
      <c r="C212" s="433"/>
      <c r="D212" s="433"/>
      <c r="E212" s="434" t="s">
        <v>22990</v>
      </c>
      <c r="F212" s="433" t="s">
        <v>22589</v>
      </c>
      <c r="G212" s="433" t="s">
        <v>29</v>
      </c>
      <c r="H212" s="433" t="s">
        <v>30</v>
      </c>
      <c r="I212" s="433" t="s">
        <v>14221</v>
      </c>
      <c r="J212" s="433" t="s">
        <v>22983</v>
      </c>
      <c r="K212" s="433">
        <v>198.0</v>
      </c>
      <c r="L212" s="433"/>
      <c r="M212" s="875"/>
      <c r="N212" s="433" t="s">
        <v>22984</v>
      </c>
      <c r="O212" s="433">
        <v>1939.0</v>
      </c>
      <c r="P212" s="433" t="s">
        <v>388</v>
      </c>
      <c r="Q212" s="433">
        <v>1.0</v>
      </c>
    </row>
    <row r="213" ht="15.75" customHeight="1">
      <c r="B213" s="433">
        <v>208.0</v>
      </c>
      <c r="C213" s="433"/>
      <c r="D213" s="433"/>
      <c r="E213" s="434" t="s">
        <v>22989</v>
      </c>
      <c r="F213" s="433" t="s">
        <v>22589</v>
      </c>
      <c r="G213" s="433" t="s">
        <v>29</v>
      </c>
      <c r="H213" s="433" t="s">
        <v>30</v>
      </c>
      <c r="I213" s="433" t="s">
        <v>14221</v>
      </c>
      <c r="J213" s="433" t="s">
        <v>22983</v>
      </c>
      <c r="K213" s="433">
        <v>68.0</v>
      </c>
      <c r="L213" s="433"/>
      <c r="M213" s="875"/>
      <c r="N213" s="433" t="s">
        <v>22984</v>
      </c>
      <c r="O213" s="433">
        <v>1936.0</v>
      </c>
      <c r="P213" s="433" t="s">
        <v>388</v>
      </c>
      <c r="Q213" s="433">
        <v>1.0</v>
      </c>
    </row>
    <row r="214" ht="15.75" customHeight="1">
      <c r="B214" s="433">
        <v>209.0</v>
      </c>
      <c r="C214" s="433"/>
      <c r="D214" s="433"/>
      <c r="E214" s="434" t="s">
        <v>22991</v>
      </c>
      <c r="F214" s="433" t="s">
        <v>22589</v>
      </c>
      <c r="G214" s="433" t="s">
        <v>29</v>
      </c>
      <c r="H214" s="433" t="s">
        <v>30</v>
      </c>
      <c r="I214" s="433" t="s">
        <v>14221</v>
      </c>
      <c r="J214" s="433" t="s">
        <v>22983</v>
      </c>
      <c r="K214" s="433">
        <v>88.0</v>
      </c>
      <c r="L214" s="433"/>
      <c r="M214" s="875"/>
      <c r="N214" s="433" t="s">
        <v>22984</v>
      </c>
      <c r="O214" s="433">
        <v>1938.0</v>
      </c>
      <c r="P214" s="433" t="s">
        <v>388</v>
      </c>
      <c r="Q214" s="433">
        <v>1.0</v>
      </c>
    </row>
    <row r="215" ht="15.75" customHeight="1">
      <c r="B215" s="433">
        <v>210.0</v>
      </c>
      <c r="C215" s="433"/>
      <c r="D215" s="433"/>
      <c r="E215" s="434" t="s">
        <v>22992</v>
      </c>
      <c r="F215" s="433" t="s">
        <v>22589</v>
      </c>
      <c r="G215" s="433" t="s">
        <v>29</v>
      </c>
      <c r="H215" s="433" t="s">
        <v>30</v>
      </c>
      <c r="I215" s="433" t="s">
        <v>14221</v>
      </c>
      <c r="J215" s="433" t="s">
        <v>22983</v>
      </c>
      <c r="K215" s="433">
        <v>122.0</v>
      </c>
      <c r="L215" s="433"/>
      <c r="M215" s="875"/>
      <c r="N215" s="433" t="s">
        <v>22984</v>
      </c>
      <c r="O215" s="433">
        <v>1918.0</v>
      </c>
      <c r="P215" s="433" t="s">
        <v>388</v>
      </c>
      <c r="Q215" s="433">
        <v>1.0</v>
      </c>
    </row>
    <row r="216" ht="15.75" customHeight="1">
      <c r="B216" s="433">
        <v>211.0</v>
      </c>
      <c r="C216" s="433"/>
      <c r="D216" s="433"/>
      <c r="E216" s="434" t="s">
        <v>22993</v>
      </c>
      <c r="F216" s="433" t="s">
        <v>22589</v>
      </c>
      <c r="G216" s="433" t="s">
        <v>29</v>
      </c>
      <c r="H216" s="433" t="s">
        <v>30</v>
      </c>
      <c r="I216" s="433" t="s">
        <v>14221</v>
      </c>
      <c r="J216" s="433" t="s">
        <v>22994</v>
      </c>
      <c r="K216" s="433">
        <v>128.0</v>
      </c>
      <c r="L216" s="433"/>
      <c r="M216" s="875"/>
      <c r="N216" s="433" t="s">
        <v>22984</v>
      </c>
      <c r="O216" s="433"/>
      <c r="P216" s="433" t="s">
        <v>388</v>
      </c>
      <c r="Q216" s="433">
        <v>1.0</v>
      </c>
    </row>
    <row r="217" ht="15.75" customHeight="1">
      <c r="B217" s="433">
        <v>212.0</v>
      </c>
      <c r="C217" s="433"/>
      <c r="D217" s="433"/>
      <c r="E217" s="434" t="s">
        <v>22995</v>
      </c>
      <c r="F217" s="433" t="s">
        <v>22589</v>
      </c>
      <c r="G217" s="433" t="s">
        <v>29</v>
      </c>
      <c r="H217" s="433" t="s">
        <v>30</v>
      </c>
      <c r="I217" s="433" t="s">
        <v>14221</v>
      </c>
      <c r="J217" s="433" t="s">
        <v>22983</v>
      </c>
      <c r="K217" s="433">
        <v>94.0</v>
      </c>
      <c r="L217" s="433"/>
      <c r="M217" s="875"/>
      <c r="N217" s="433" t="s">
        <v>22984</v>
      </c>
      <c r="O217" s="433">
        <v>1912.0</v>
      </c>
      <c r="P217" s="433" t="s">
        <v>388</v>
      </c>
      <c r="Q217" s="433">
        <v>2.0</v>
      </c>
    </row>
    <row r="218" ht="15.75" customHeight="1">
      <c r="B218" s="433">
        <v>213.0</v>
      </c>
      <c r="C218" s="433"/>
      <c r="D218" s="433"/>
      <c r="E218" s="434" t="s">
        <v>22996</v>
      </c>
      <c r="F218" s="433" t="s">
        <v>22589</v>
      </c>
      <c r="G218" s="433" t="s">
        <v>29</v>
      </c>
      <c r="H218" s="433" t="s">
        <v>30</v>
      </c>
      <c r="I218" s="433" t="s">
        <v>14221</v>
      </c>
      <c r="J218" s="433" t="s">
        <v>22983</v>
      </c>
      <c r="K218" s="433">
        <v>152.0</v>
      </c>
      <c r="L218" s="433"/>
      <c r="M218" s="875"/>
      <c r="N218" s="433" t="s">
        <v>22984</v>
      </c>
      <c r="O218" s="433">
        <v>1912.0</v>
      </c>
      <c r="P218" s="433" t="s">
        <v>388</v>
      </c>
      <c r="Q218" s="433">
        <v>2.0</v>
      </c>
    </row>
    <row r="219" ht="15.75" customHeight="1">
      <c r="B219" s="433">
        <v>214.0</v>
      </c>
      <c r="C219" s="433"/>
      <c r="D219" s="433"/>
      <c r="E219" s="434" t="s">
        <v>22982</v>
      </c>
      <c r="F219" s="433" t="s">
        <v>22589</v>
      </c>
      <c r="G219" s="433" t="s">
        <v>29</v>
      </c>
      <c r="H219" s="433" t="s">
        <v>30</v>
      </c>
      <c r="I219" s="433" t="s">
        <v>14221</v>
      </c>
      <c r="J219" s="433" t="s">
        <v>22983</v>
      </c>
      <c r="K219" s="433">
        <v>64.0</v>
      </c>
      <c r="L219" s="433"/>
      <c r="M219" s="875"/>
      <c r="N219" s="433" t="s">
        <v>22984</v>
      </c>
      <c r="O219" s="433">
        <v>1912.0</v>
      </c>
      <c r="P219" s="433" t="s">
        <v>388</v>
      </c>
      <c r="Q219" s="433">
        <v>2.0</v>
      </c>
    </row>
    <row r="220" ht="15.75" customHeight="1">
      <c r="B220" s="433">
        <v>215.0</v>
      </c>
      <c r="C220" s="433"/>
      <c r="D220" s="433"/>
      <c r="E220" s="434" t="s">
        <v>22997</v>
      </c>
      <c r="F220" s="433" t="s">
        <v>22589</v>
      </c>
      <c r="G220" s="433" t="s">
        <v>29</v>
      </c>
      <c r="H220" s="433" t="s">
        <v>30</v>
      </c>
      <c r="I220" s="433" t="s">
        <v>14221</v>
      </c>
      <c r="J220" s="433" t="s">
        <v>22983</v>
      </c>
      <c r="K220" s="433">
        <v>64.0</v>
      </c>
      <c r="L220" s="433"/>
      <c r="M220" s="875"/>
      <c r="N220" s="433" t="s">
        <v>22984</v>
      </c>
      <c r="O220" s="433">
        <v>1912.0</v>
      </c>
      <c r="P220" s="433" t="s">
        <v>388</v>
      </c>
      <c r="Q220" s="433">
        <v>2.0</v>
      </c>
    </row>
    <row r="221" ht="15.75" customHeight="1">
      <c r="B221" s="433">
        <v>216.0</v>
      </c>
      <c r="C221" s="433"/>
      <c r="D221" s="433"/>
      <c r="E221" s="434" t="s">
        <v>22908</v>
      </c>
      <c r="F221" s="433" t="s">
        <v>22589</v>
      </c>
      <c r="G221" s="433" t="s">
        <v>29</v>
      </c>
      <c r="H221" s="433" t="s">
        <v>30</v>
      </c>
      <c r="I221" s="433" t="s">
        <v>14221</v>
      </c>
      <c r="J221" s="433" t="s">
        <v>22983</v>
      </c>
      <c r="K221" s="433">
        <v>90.0</v>
      </c>
      <c r="L221" s="433"/>
      <c r="M221" s="875"/>
      <c r="N221" s="433" t="s">
        <v>22984</v>
      </c>
      <c r="O221" s="433">
        <v>1940.0</v>
      </c>
      <c r="P221" s="433" t="s">
        <v>388</v>
      </c>
      <c r="Q221" s="433">
        <v>2.0</v>
      </c>
    </row>
    <row r="222" ht="15.75" customHeight="1">
      <c r="B222" s="433">
        <v>217.0</v>
      </c>
      <c r="C222" s="433"/>
      <c r="D222" s="433"/>
      <c r="E222" s="434" t="s">
        <v>22985</v>
      </c>
      <c r="F222" s="433" t="s">
        <v>22589</v>
      </c>
      <c r="G222" s="433" t="s">
        <v>29</v>
      </c>
      <c r="H222" s="433" t="s">
        <v>30</v>
      </c>
      <c r="I222" s="433" t="s">
        <v>14221</v>
      </c>
      <c r="J222" s="433" t="s">
        <v>22983</v>
      </c>
      <c r="K222" s="433">
        <v>80.0</v>
      </c>
      <c r="L222" s="433"/>
      <c r="M222" s="875"/>
      <c r="N222" s="433" t="s">
        <v>22984</v>
      </c>
      <c r="O222" s="433">
        <v>1940.0</v>
      </c>
      <c r="P222" s="433" t="s">
        <v>388</v>
      </c>
      <c r="Q222" s="433">
        <v>1.0</v>
      </c>
    </row>
    <row r="223" ht="15.75" customHeight="1">
      <c r="B223" s="433">
        <v>218.0</v>
      </c>
      <c r="C223" s="433"/>
      <c r="D223" s="433"/>
      <c r="E223" s="434" t="s">
        <v>22985</v>
      </c>
      <c r="F223" s="433" t="s">
        <v>22589</v>
      </c>
      <c r="G223" s="433" t="s">
        <v>29</v>
      </c>
      <c r="H223" s="433" t="s">
        <v>30</v>
      </c>
      <c r="I223" s="433" t="s">
        <v>14221</v>
      </c>
      <c r="J223" s="433" t="s">
        <v>22983</v>
      </c>
      <c r="K223" s="433">
        <v>72.0</v>
      </c>
      <c r="L223" s="433"/>
      <c r="M223" s="875"/>
      <c r="N223" s="433" t="s">
        <v>22984</v>
      </c>
      <c r="O223" s="433">
        <v>1909.0</v>
      </c>
      <c r="P223" s="433" t="s">
        <v>388</v>
      </c>
      <c r="Q223" s="433">
        <v>1.0</v>
      </c>
    </row>
    <row r="224" ht="15.75" customHeight="1">
      <c r="B224" s="433">
        <v>219.0</v>
      </c>
      <c r="C224" s="433"/>
      <c r="D224" s="433"/>
      <c r="E224" s="434" t="s">
        <v>22998</v>
      </c>
      <c r="F224" s="433" t="s">
        <v>22589</v>
      </c>
      <c r="G224" s="433" t="s">
        <v>29</v>
      </c>
      <c r="H224" s="433" t="s">
        <v>30</v>
      </c>
      <c r="I224" s="433" t="s">
        <v>14221</v>
      </c>
      <c r="J224" s="433" t="s">
        <v>22983</v>
      </c>
      <c r="K224" s="433">
        <v>92.0</v>
      </c>
      <c r="L224" s="433"/>
      <c r="M224" s="875"/>
      <c r="N224" s="433" t="s">
        <v>22984</v>
      </c>
      <c r="O224" s="433">
        <v>1940.0</v>
      </c>
      <c r="P224" s="433" t="s">
        <v>388</v>
      </c>
      <c r="Q224" s="433">
        <v>1.0</v>
      </c>
    </row>
    <row r="225" ht="15.75" customHeight="1">
      <c r="B225" s="433">
        <v>220.0</v>
      </c>
      <c r="C225" s="433"/>
      <c r="D225" s="433"/>
      <c r="E225" s="434" t="s">
        <v>22996</v>
      </c>
      <c r="F225" s="433" t="s">
        <v>22589</v>
      </c>
      <c r="G225" s="433" t="s">
        <v>29</v>
      </c>
      <c r="H225" s="433" t="s">
        <v>30</v>
      </c>
      <c r="I225" s="433" t="s">
        <v>14221</v>
      </c>
      <c r="J225" s="433" t="s">
        <v>22983</v>
      </c>
      <c r="K225" s="433">
        <v>74.0</v>
      </c>
      <c r="L225" s="433"/>
      <c r="M225" s="875"/>
      <c r="N225" s="433" t="s">
        <v>22984</v>
      </c>
      <c r="O225" s="433">
        <v>1940.0</v>
      </c>
      <c r="P225" s="433" t="s">
        <v>388</v>
      </c>
      <c r="Q225" s="433">
        <v>1.0</v>
      </c>
    </row>
    <row r="226" ht="15.75" customHeight="1">
      <c r="B226" s="433">
        <v>221.0</v>
      </c>
      <c r="C226" s="433"/>
      <c r="D226" s="433"/>
      <c r="E226" s="434" t="s">
        <v>22995</v>
      </c>
      <c r="F226" s="433" t="s">
        <v>22589</v>
      </c>
      <c r="G226" s="433" t="s">
        <v>29</v>
      </c>
      <c r="H226" s="433" t="s">
        <v>30</v>
      </c>
      <c r="I226" s="433" t="s">
        <v>14221</v>
      </c>
      <c r="J226" s="433" t="s">
        <v>22983</v>
      </c>
      <c r="K226" s="433">
        <v>120.0</v>
      </c>
      <c r="L226" s="433"/>
      <c r="M226" s="875"/>
      <c r="N226" s="433" t="s">
        <v>22984</v>
      </c>
      <c r="O226" s="433"/>
      <c r="P226" s="433" t="s">
        <v>388</v>
      </c>
      <c r="Q226" s="433">
        <v>1.0</v>
      </c>
    </row>
    <row r="227" ht="15.75" customHeight="1">
      <c r="B227" s="433">
        <v>222.0</v>
      </c>
      <c r="C227" s="433"/>
      <c r="D227" s="433"/>
      <c r="E227" s="434" t="s">
        <v>22999</v>
      </c>
      <c r="F227" s="433" t="s">
        <v>22589</v>
      </c>
      <c r="G227" s="433" t="s">
        <v>29</v>
      </c>
      <c r="H227" s="433" t="s">
        <v>30</v>
      </c>
      <c r="I227" s="433" t="s">
        <v>14221</v>
      </c>
      <c r="J227" s="433" t="s">
        <v>22983</v>
      </c>
      <c r="K227" s="433"/>
      <c r="L227" s="433"/>
      <c r="M227" s="875"/>
      <c r="N227" s="433" t="s">
        <v>22984</v>
      </c>
      <c r="O227" s="433">
        <v>1918.0</v>
      </c>
      <c r="P227" s="433" t="s">
        <v>388</v>
      </c>
      <c r="Q227" s="433">
        <v>1.0</v>
      </c>
    </row>
    <row r="228" ht="15.75" customHeight="1">
      <c r="B228" s="433">
        <v>223.0</v>
      </c>
      <c r="C228" s="433"/>
      <c r="D228" s="433"/>
      <c r="E228" s="434" t="s">
        <v>23000</v>
      </c>
      <c r="F228" s="433" t="s">
        <v>22589</v>
      </c>
      <c r="G228" s="433" t="s">
        <v>29</v>
      </c>
      <c r="H228" s="433" t="s">
        <v>30</v>
      </c>
      <c r="I228" s="433" t="s">
        <v>14221</v>
      </c>
      <c r="J228" s="433" t="s">
        <v>23001</v>
      </c>
      <c r="K228" s="433">
        <v>254.0</v>
      </c>
      <c r="L228" s="433"/>
      <c r="M228" s="875"/>
      <c r="N228" s="433"/>
      <c r="O228" s="433"/>
      <c r="P228" s="433" t="s">
        <v>388</v>
      </c>
      <c r="Q228" s="433">
        <v>1.0</v>
      </c>
    </row>
    <row r="229" ht="15.75" customHeight="1">
      <c r="B229" s="433">
        <v>224.0</v>
      </c>
      <c r="C229" s="433" t="s">
        <v>23002</v>
      </c>
      <c r="D229" s="433"/>
      <c r="E229" s="434" t="s">
        <v>23003</v>
      </c>
      <c r="F229" s="433" t="s">
        <v>22589</v>
      </c>
      <c r="G229" s="433" t="s">
        <v>29</v>
      </c>
      <c r="H229" s="433" t="s">
        <v>30</v>
      </c>
      <c r="I229" s="433" t="s">
        <v>15370</v>
      </c>
      <c r="J229" s="433" t="s">
        <v>15380</v>
      </c>
      <c r="K229" s="433">
        <v>20.0</v>
      </c>
      <c r="L229" s="433"/>
      <c r="M229" s="875"/>
      <c r="N229" s="433" t="s">
        <v>10148</v>
      </c>
      <c r="O229" s="433">
        <v>2003.0</v>
      </c>
      <c r="P229" s="433" t="s">
        <v>388</v>
      </c>
      <c r="Q229" s="433">
        <v>2.0</v>
      </c>
    </row>
    <row r="230" ht="15.75" customHeight="1">
      <c r="B230" s="433">
        <v>225.0</v>
      </c>
      <c r="C230" s="433" t="s">
        <v>23004</v>
      </c>
      <c r="D230" s="433"/>
      <c r="E230" s="434" t="s">
        <v>23005</v>
      </c>
      <c r="F230" s="433" t="s">
        <v>22589</v>
      </c>
      <c r="G230" s="433" t="s">
        <v>29</v>
      </c>
      <c r="H230" s="433" t="s">
        <v>30</v>
      </c>
      <c r="I230" s="433" t="s">
        <v>15370</v>
      </c>
      <c r="J230" s="433" t="s">
        <v>15380</v>
      </c>
      <c r="K230" s="433">
        <v>36.0</v>
      </c>
      <c r="L230" s="433"/>
      <c r="M230" s="875"/>
      <c r="N230" s="433" t="s">
        <v>10148</v>
      </c>
      <c r="O230" s="433">
        <v>2003.0</v>
      </c>
      <c r="P230" s="433" t="s">
        <v>388</v>
      </c>
      <c r="Q230" s="433">
        <v>2.0</v>
      </c>
    </row>
    <row r="231" ht="15.75" customHeight="1">
      <c r="B231" s="433">
        <v>226.0</v>
      </c>
      <c r="C231" s="433" t="s">
        <v>23006</v>
      </c>
      <c r="D231" s="433"/>
      <c r="E231" s="434" t="s">
        <v>23007</v>
      </c>
      <c r="F231" s="433" t="s">
        <v>22589</v>
      </c>
      <c r="G231" s="433" t="s">
        <v>29</v>
      </c>
      <c r="H231" s="433" t="s">
        <v>30</v>
      </c>
      <c r="I231" s="433" t="s">
        <v>15370</v>
      </c>
      <c r="J231" s="433" t="s">
        <v>15380</v>
      </c>
      <c r="K231" s="433">
        <v>20.0</v>
      </c>
      <c r="L231" s="433"/>
      <c r="M231" s="875"/>
      <c r="N231" s="433" t="s">
        <v>10148</v>
      </c>
      <c r="O231" s="433">
        <v>2003.0</v>
      </c>
      <c r="P231" s="433" t="s">
        <v>388</v>
      </c>
      <c r="Q231" s="433">
        <v>2.0</v>
      </c>
    </row>
    <row r="232" ht="15.75" customHeight="1">
      <c r="B232" s="433">
        <v>227.0</v>
      </c>
      <c r="C232" s="433" t="s">
        <v>23008</v>
      </c>
      <c r="D232" s="433"/>
      <c r="E232" s="434" t="s">
        <v>23009</v>
      </c>
      <c r="F232" s="433" t="s">
        <v>22589</v>
      </c>
      <c r="G232" s="433" t="s">
        <v>29</v>
      </c>
      <c r="H232" s="433" t="s">
        <v>30</v>
      </c>
      <c r="I232" s="433" t="s">
        <v>15370</v>
      </c>
      <c r="J232" s="433" t="s">
        <v>15380</v>
      </c>
      <c r="K232" s="433">
        <v>52.0</v>
      </c>
      <c r="L232" s="433"/>
      <c r="M232" s="875"/>
      <c r="N232" s="433" t="s">
        <v>10148</v>
      </c>
      <c r="O232" s="433">
        <v>2003.0</v>
      </c>
      <c r="P232" s="433" t="s">
        <v>388</v>
      </c>
      <c r="Q232" s="433">
        <v>2.0</v>
      </c>
    </row>
    <row r="233" ht="15.75" customHeight="1">
      <c r="B233" s="433">
        <v>228.0</v>
      </c>
      <c r="C233" s="433" t="s">
        <v>23010</v>
      </c>
      <c r="D233" s="433"/>
      <c r="E233" s="434" t="s">
        <v>23011</v>
      </c>
      <c r="F233" s="433" t="s">
        <v>22589</v>
      </c>
      <c r="G233" s="433" t="s">
        <v>29</v>
      </c>
      <c r="H233" s="433" t="s">
        <v>30</v>
      </c>
      <c r="I233" s="433" t="s">
        <v>15370</v>
      </c>
      <c r="J233" s="433" t="s">
        <v>15380</v>
      </c>
      <c r="K233" s="433">
        <v>16.0</v>
      </c>
      <c r="L233" s="433"/>
      <c r="M233" s="875"/>
      <c r="N233" s="433" t="s">
        <v>10148</v>
      </c>
      <c r="O233" s="433">
        <v>2003.0</v>
      </c>
      <c r="P233" s="433" t="s">
        <v>388</v>
      </c>
      <c r="Q233" s="433">
        <v>2.0</v>
      </c>
    </row>
    <row r="234" ht="15.75" customHeight="1">
      <c r="B234" s="433">
        <v>229.0</v>
      </c>
      <c r="C234" s="433" t="s">
        <v>23012</v>
      </c>
      <c r="D234" s="433"/>
      <c r="E234" s="434" t="s">
        <v>23013</v>
      </c>
      <c r="F234" s="433" t="s">
        <v>22589</v>
      </c>
      <c r="G234" s="433" t="s">
        <v>29</v>
      </c>
      <c r="H234" s="433" t="s">
        <v>30</v>
      </c>
      <c r="I234" s="433" t="s">
        <v>14765</v>
      </c>
      <c r="J234" s="433" t="s">
        <v>15461</v>
      </c>
      <c r="K234" s="433">
        <v>60.0</v>
      </c>
      <c r="L234" s="433"/>
      <c r="M234" s="875"/>
      <c r="N234" s="433" t="s">
        <v>10148</v>
      </c>
      <c r="O234" s="433">
        <v>2004.0</v>
      </c>
      <c r="P234" s="433" t="s">
        <v>388</v>
      </c>
      <c r="Q234" s="433">
        <v>1.0</v>
      </c>
    </row>
    <row r="235" ht="15.75" customHeight="1">
      <c r="B235" s="433">
        <v>230.0</v>
      </c>
      <c r="C235" s="433" t="s">
        <v>23014</v>
      </c>
      <c r="D235" s="433"/>
      <c r="E235" s="434" t="s">
        <v>23015</v>
      </c>
      <c r="F235" s="433" t="s">
        <v>22589</v>
      </c>
      <c r="G235" s="433" t="s">
        <v>29</v>
      </c>
      <c r="H235" s="433" t="s">
        <v>30</v>
      </c>
      <c r="I235" s="433" t="s">
        <v>14765</v>
      </c>
      <c r="J235" s="433" t="s">
        <v>15461</v>
      </c>
      <c r="K235" s="433">
        <v>28.0</v>
      </c>
      <c r="L235" s="433"/>
      <c r="M235" s="875"/>
      <c r="N235" s="433" t="s">
        <v>10148</v>
      </c>
      <c r="O235" s="433">
        <v>2004.0</v>
      </c>
      <c r="P235" s="433" t="s">
        <v>388</v>
      </c>
      <c r="Q235" s="433">
        <v>1.0</v>
      </c>
    </row>
    <row r="236" ht="15.75" customHeight="1">
      <c r="B236" s="433">
        <v>231.0</v>
      </c>
      <c r="C236" s="433" t="s">
        <v>23016</v>
      </c>
      <c r="D236" s="433"/>
      <c r="E236" s="434" t="s">
        <v>23017</v>
      </c>
      <c r="F236" s="433" t="s">
        <v>22589</v>
      </c>
      <c r="G236" s="433" t="s">
        <v>29</v>
      </c>
      <c r="H236" s="433" t="s">
        <v>30</v>
      </c>
      <c r="I236" s="433" t="s">
        <v>14765</v>
      </c>
      <c r="J236" s="433" t="s">
        <v>15461</v>
      </c>
      <c r="K236" s="433">
        <v>24.0</v>
      </c>
      <c r="L236" s="433"/>
      <c r="M236" s="875"/>
      <c r="N236" s="433" t="s">
        <v>10148</v>
      </c>
      <c r="O236" s="433">
        <v>2004.0</v>
      </c>
      <c r="P236" s="433" t="s">
        <v>388</v>
      </c>
      <c r="Q236" s="433">
        <v>1.0</v>
      </c>
    </row>
    <row r="237" ht="15.75" customHeight="1">
      <c r="B237" s="433">
        <v>232.0</v>
      </c>
      <c r="C237" s="433" t="s">
        <v>23018</v>
      </c>
      <c r="D237" s="433"/>
      <c r="E237" s="434" t="s">
        <v>23019</v>
      </c>
      <c r="F237" s="433" t="s">
        <v>22589</v>
      </c>
      <c r="G237" s="433" t="s">
        <v>29</v>
      </c>
      <c r="H237" s="433" t="s">
        <v>30</v>
      </c>
      <c r="I237" s="433" t="s">
        <v>14765</v>
      </c>
      <c r="J237" s="433" t="s">
        <v>15461</v>
      </c>
      <c r="K237" s="433">
        <v>32.0</v>
      </c>
      <c r="L237" s="433"/>
      <c r="M237" s="875"/>
      <c r="N237" s="433" t="s">
        <v>10148</v>
      </c>
      <c r="O237" s="433">
        <v>2004.0</v>
      </c>
      <c r="P237" s="433" t="s">
        <v>388</v>
      </c>
      <c r="Q237" s="433">
        <v>1.0</v>
      </c>
    </row>
    <row r="238" ht="15.75" customHeight="1">
      <c r="B238" s="433">
        <v>233.0</v>
      </c>
      <c r="C238" s="433"/>
      <c r="D238" s="433"/>
      <c r="E238" s="434" t="s">
        <v>23020</v>
      </c>
      <c r="F238" s="433" t="s">
        <v>22589</v>
      </c>
      <c r="G238" s="433" t="s">
        <v>29</v>
      </c>
      <c r="H238" s="433" t="s">
        <v>30</v>
      </c>
      <c r="I238" s="433" t="s">
        <v>14765</v>
      </c>
      <c r="J238" s="433" t="s">
        <v>15461</v>
      </c>
      <c r="K238" s="433">
        <v>32.0</v>
      </c>
      <c r="L238" s="433" t="s">
        <v>16614</v>
      </c>
      <c r="M238" s="875"/>
      <c r="N238" s="433" t="s">
        <v>6009</v>
      </c>
      <c r="O238" s="433">
        <v>2004.0</v>
      </c>
      <c r="P238" s="433" t="s">
        <v>388</v>
      </c>
      <c r="Q238" s="433">
        <v>1.0</v>
      </c>
    </row>
    <row r="239" ht="15.75" customHeight="1">
      <c r="B239" s="433">
        <v>234.0</v>
      </c>
      <c r="C239" s="433"/>
      <c r="D239" s="433"/>
      <c r="E239" s="434" t="s">
        <v>23021</v>
      </c>
      <c r="F239" s="433" t="s">
        <v>22589</v>
      </c>
      <c r="G239" s="433" t="s">
        <v>29</v>
      </c>
      <c r="H239" s="433" t="s">
        <v>30</v>
      </c>
      <c r="I239" s="433" t="s">
        <v>14765</v>
      </c>
      <c r="J239" s="433" t="s">
        <v>15461</v>
      </c>
      <c r="K239" s="433">
        <v>28.0</v>
      </c>
      <c r="L239" s="433" t="s">
        <v>16614</v>
      </c>
      <c r="M239" s="875"/>
      <c r="N239" s="433" t="s">
        <v>6009</v>
      </c>
      <c r="O239" s="433">
        <v>2004.0</v>
      </c>
      <c r="P239" s="433" t="s">
        <v>388</v>
      </c>
      <c r="Q239" s="433">
        <v>1.0</v>
      </c>
    </row>
    <row r="240" ht="15.75" customHeight="1">
      <c r="B240" s="433">
        <v>235.0</v>
      </c>
      <c r="C240" s="433"/>
      <c r="D240" s="433"/>
      <c r="E240" s="434" t="s">
        <v>23022</v>
      </c>
      <c r="F240" s="433" t="s">
        <v>22589</v>
      </c>
      <c r="G240" s="433" t="s">
        <v>29</v>
      </c>
      <c r="H240" s="433" t="s">
        <v>30</v>
      </c>
      <c r="I240" s="433" t="s">
        <v>14765</v>
      </c>
      <c r="J240" s="433" t="s">
        <v>15461</v>
      </c>
      <c r="K240" s="433">
        <v>88.0</v>
      </c>
      <c r="L240" s="433"/>
      <c r="M240" s="875"/>
      <c r="N240" s="433" t="s">
        <v>23023</v>
      </c>
      <c r="O240" s="433">
        <v>1982.0</v>
      </c>
      <c r="P240" s="433" t="s">
        <v>388</v>
      </c>
      <c r="Q240" s="433">
        <v>3.0</v>
      </c>
    </row>
    <row r="241" ht="15.75" customHeight="1">
      <c r="B241" s="433">
        <v>236.0</v>
      </c>
      <c r="C241" s="433"/>
      <c r="D241" s="433"/>
      <c r="E241" s="434" t="s">
        <v>23024</v>
      </c>
      <c r="F241" s="433" t="s">
        <v>22589</v>
      </c>
      <c r="G241" s="433" t="s">
        <v>29</v>
      </c>
      <c r="H241" s="433" t="s">
        <v>30</v>
      </c>
      <c r="I241" s="433" t="s">
        <v>14765</v>
      </c>
      <c r="J241" s="433" t="s">
        <v>15461</v>
      </c>
      <c r="K241" s="433">
        <v>62.0</v>
      </c>
      <c r="L241" s="433"/>
      <c r="M241" s="875"/>
      <c r="N241" s="433"/>
      <c r="O241" s="433">
        <v>1997.0</v>
      </c>
      <c r="P241" s="433" t="s">
        <v>388</v>
      </c>
      <c r="Q241" s="433">
        <v>2.0</v>
      </c>
    </row>
    <row r="242" ht="15.75" customHeight="1">
      <c r="B242" s="433">
        <v>237.0</v>
      </c>
      <c r="C242" s="433" t="s">
        <v>23025</v>
      </c>
      <c r="D242" s="433"/>
      <c r="E242" s="434" t="s">
        <v>23026</v>
      </c>
      <c r="F242" s="433" t="s">
        <v>22589</v>
      </c>
      <c r="G242" s="433" t="s">
        <v>29</v>
      </c>
      <c r="H242" s="433" t="s">
        <v>30</v>
      </c>
      <c r="I242" s="433" t="s">
        <v>14765</v>
      </c>
      <c r="J242" s="433" t="s">
        <v>15461</v>
      </c>
      <c r="K242" s="433">
        <v>192.0</v>
      </c>
      <c r="L242" s="433"/>
      <c r="M242" s="875"/>
      <c r="N242" s="433"/>
      <c r="O242" s="433">
        <v>1994.0</v>
      </c>
      <c r="P242" s="433" t="s">
        <v>388</v>
      </c>
      <c r="Q242" s="433">
        <v>1.0</v>
      </c>
    </row>
    <row r="243" ht="15.75" customHeight="1">
      <c r="B243" s="433">
        <v>238.0</v>
      </c>
      <c r="C243" s="433"/>
      <c r="D243" s="433"/>
      <c r="E243" s="434" t="s">
        <v>23027</v>
      </c>
      <c r="F243" s="433" t="s">
        <v>22589</v>
      </c>
      <c r="G243" s="433" t="s">
        <v>29</v>
      </c>
      <c r="H243" s="433" t="s">
        <v>30</v>
      </c>
      <c r="I243" s="433" t="s">
        <v>15370</v>
      </c>
      <c r="J243" s="433" t="s">
        <v>15421</v>
      </c>
      <c r="K243" s="433">
        <v>52.0</v>
      </c>
      <c r="L243" s="433"/>
      <c r="M243" s="875"/>
      <c r="N243" s="433" t="s">
        <v>23028</v>
      </c>
      <c r="O243" s="433">
        <v>2004.0</v>
      </c>
      <c r="P243" s="433" t="s">
        <v>388</v>
      </c>
      <c r="Q243" s="433">
        <v>1.0</v>
      </c>
    </row>
    <row r="244" ht="15.75" customHeight="1">
      <c r="B244" s="433">
        <v>239.0</v>
      </c>
      <c r="C244" s="433"/>
      <c r="D244" s="433"/>
      <c r="E244" s="434" t="s">
        <v>23029</v>
      </c>
      <c r="F244" s="433" t="s">
        <v>22589</v>
      </c>
      <c r="G244" s="433" t="s">
        <v>29</v>
      </c>
      <c r="H244" s="433" t="s">
        <v>30</v>
      </c>
      <c r="I244" s="433" t="s">
        <v>15370</v>
      </c>
      <c r="J244" s="433" t="s">
        <v>15421</v>
      </c>
      <c r="K244" s="433">
        <v>48.0</v>
      </c>
      <c r="L244" s="433"/>
      <c r="M244" s="875"/>
      <c r="N244" s="433" t="s">
        <v>23028</v>
      </c>
      <c r="O244" s="433">
        <v>2003.0</v>
      </c>
      <c r="P244" s="433" t="s">
        <v>388</v>
      </c>
      <c r="Q244" s="433">
        <v>2.0</v>
      </c>
    </row>
    <row r="245" ht="15.75" customHeight="1">
      <c r="B245" s="433">
        <v>240.0</v>
      </c>
      <c r="C245" s="433"/>
      <c r="D245" s="433"/>
      <c r="E245" s="434" t="s">
        <v>23030</v>
      </c>
      <c r="F245" s="433" t="s">
        <v>22589</v>
      </c>
      <c r="G245" s="433" t="s">
        <v>29</v>
      </c>
      <c r="H245" s="433" t="s">
        <v>30</v>
      </c>
      <c r="I245" s="433" t="s">
        <v>15370</v>
      </c>
      <c r="J245" s="433" t="s">
        <v>22831</v>
      </c>
      <c r="K245" s="433">
        <v>12.0</v>
      </c>
      <c r="L245" s="433"/>
      <c r="M245" s="875"/>
      <c r="N245" s="433" t="s">
        <v>23028</v>
      </c>
      <c r="O245" s="433">
        <v>2004.0</v>
      </c>
      <c r="P245" s="433" t="s">
        <v>388</v>
      </c>
      <c r="Q245" s="433">
        <v>1.0</v>
      </c>
    </row>
    <row r="246" ht="15.75" customHeight="1">
      <c r="B246" s="433">
        <v>241.0</v>
      </c>
      <c r="C246" s="433"/>
      <c r="D246" s="433"/>
      <c r="E246" s="434" t="s">
        <v>23031</v>
      </c>
      <c r="F246" s="433" t="s">
        <v>22589</v>
      </c>
      <c r="G246" s="433" t="s">
        <v>29</v>
      </c>
      <c r="H246" s="433" t="s">
        <v>30</v>
      </c>
      <c r="I246" s="433" t="s">
        <v>14765</v>
      </c>
      <c r="J246" s="433" t="s">
        <v>22953</v>
      </c>
      <c r="K246" s="433">
        <v>16.0</v>
      </c>
      <c r="L246" s="433" t="s">
        <v>16614</v>
      </c>
      <c r="M246" s="875"/>
      <c r="N246" s="433" t="s">
        <v>23032</v>
      </c>
      <c r="O246" s="433">
        <v>1997.0</v>
      </c>
      <c r="P246" s="433" t="s">
        <v>388</v>
      </c>
      <c r="Q246" s="433">
        <v>2.0</v>
      </c>
    </row>
    <row r="247" ht="15.75" customHeight="1">
      <c r="B247" s="433">
        <v>242.0</v>
      </c>
      <c r="C247" s="433"/>
      <c r="D247" s="433"/>
      <c r="E247" s="434" t="s">
        <v>23033</v>
      </c>
      <c r="F247" s="433" t="s">
        <v>22589</v>
      </c>
      <c r="G247" s="433" t="s">
        <v>29</v>
      </c>
      <c r="H247" s="433" t="s">
        <v>30</v>
      </c>
      <c r="I247" s="433" t="s">
        <v>14765</v>
      </c>
      <c r="J247" s="433" t="s">
        <v>22953</v>
      </c>
      <c r="K247" s="433">
        <v>174.0</v>
      </c>
      <c r="L247" s="433"/>
      <c r="M247" s="875"/>
      <c r="N247" s="433" t="s">
        <v>23032</v>
      </c>
      <c r="O247" s="433">
        <v>1997.0</v>
      </c>
      <c r="P247" s="433" t="s">
        <v>388</v>
      </c>
      <c r="Q247" s="433">
        <v>1.0</v>
      </c>
    </row>
    <row r="248" ht="15.75" customHeight="1">
      <c r="B248" s="433">
        <v>243.0</v>
      </c>
      <c r="C248" s="433"/>
      <c r="D248" s="433"/>
      <c r="E248" s="434" t="s">
        <v>23034</v>
      </c>
      <c r="F248" s="433" t="s">
        <v>22589</v>
      </c>
      <c r="G248" s="433" t="s">
        <v>29</v>
      </c>
      <c r="H248" s="433" t="s">
        <v>30</v>
      </c>
      <c r="I248" s="433" t="s">
        <v>14765</v>
      </c>
      <c r="J248" s="433" t="s">
        <v>22953</v>
      </c>
      <c r="K248" s="433">
        <v>68.0</v>
      </c>
      <c r="L248" s="433"/>
      <c r="M248" s="875"/>
      <c r="N248" s="433" t="s">
        <v>23032</v>
      </c>
      <c r="O248" s="433">
        <v>1997.0</v>
      </c>
      <c r="P248" s="433" t="s">
        <v>388</v>
      </c>
      <c r="Q248" s="433">
        <v>2.0</v>
      </c>
    </row>
    <row r="249" ht="15.75" customHeight="1">
      <c r="B249" s="433">
        <v>244.0</v>
      </c>
      <c r="C249" s="433"/>
      <c r="D249" s="433"/>
      <c r="E249" s="434" t="s">
        <v>23035</v>
      </c>
      <c r="F249" s="433" t="s">
        <v>22589</v>
      </c>
      <c r="G249" s="433" t="s">
        <v>29</v>
      </c>
      <c r="H249" s="433" t="s">
        <v>30</v>
      </c>
      <c r="I249" s="433" t="s">
        <v>14765</v>
      </c>
      <c r="J249" s="433" t="s">
        <v>22965</v>
      </c>
      <c r="K249" s="433">
        <v>66.0</v>
      </c>
      <c r="L249" s="433" t="s">
        <v>16614</v>
      </c>
      <c r="M249" s="875"/>
      <c r="N249" s="433" t="s">
        <v>6009</v>
      </c>
      <c r="O249" s="433">
        <v>2002.0</v>
      </c>
      <c r="P249" s="433" t="s">
        <v>388</v>
      </c>
      <c r="Q249" s="433">
        <v>1.0</v>
      </c>
    </row>
    <row r="250" ht="15.75" customHeight="1">
      <c r="B250" s="433">
        <v>245.0</v>
      </c>
      <c r="C250" s="433"/>
      <c r="D250" s="433"/>
      <c r="E250" s="434" t="s">
        <v>23036</v>
      </c>
      <c r="F250" s="433" t="s">
        <v>22589</v>
      </c>
      <c r="G250" s="433" t="s">
        <v>29</v>
      </c>
      <c r="H250" s="433" t="s">
        <v>30</v>
      </c>
      <c r="I250" s="433" t="s">
        <v>14765</v>
      </c>
      <c r="J250" s="433" t="s">
        <v>22965</v>
      </c>
      <c r="K250" s="433">
        <v>164.0</v>
      </c>
      <c r="L250" s="433"/>
      <c r="M250" s="875"/>
      <c r="N250" s="433" t="s">
        <v>23037</v>
      </c>
      <c r="O250" s="433">
        <v>1994.0</v>
      </c>
      <c r="P250" s="433" t="s">
        <v>388</v>
      </c>
      <c r="Q250" s="433">
        <v>1.0</v>
      </c>
    </row>
    <row r="251" ht="15.75" customHeight="1">
      <c r="B251" s="433">
        <v>246.0</v>
      </c>
      <c r="C251" s="433"/>
      <c r="D251" s="433"/>
      <c r="E251" s="434" t="s">
        <v>23038</v>
      </c>
      <c r="F251" s="433" t="s">
        <v>22589</v>
      </c>
      <c r="G251" s="433" t="s">
        <v>29</v>
      </c>
      <c r="H251" s="433" t="s">
        <v>30</v>
      </c>
      <c r="I251" s="433" t="s">
        <v>14765</v>
      </c>
      <c r="J251" s="433" t="s">
        <v>22965</v>
      </c>
      <c r="K251" s="433">
        <v>154.0</v>
      </c>
      <c r="L251" s="433"/>
      <c r="M251" s="875"/>
      <c r="N251" s="433" t="s">
        <v>23028</v>
      </c>
      <c r="O251" s="433">
        <v>2003.0</v>
      </c>
      <c r="P251" s="433" t="s">
        <v>388</v>
      </c>
      <c r="Q251" s="433">
        <v>1.0</v>
      </c>
    </row>
    <row r="252" ht="15.75" customHeight="1">
      <c r="B252" s="433">
        <v>247.0</v>
      </c>
      <c r="C252" s="433" t="s">
        <v>23039</v>
      </c>
      <c r="D252" s="433"/>
      <c r="E252" s="434" t="s">
        <v>23040</v>
      </c>
      <c r="F252" s="433" t="s">
        <v>22589</v>
      </c>
      <c r="G252" s="433" t="s">
        <v>29</v>
      </c>
      <c r="H252" s="433" t="s">
        <v>30</v>
      </c>
      <c r="I252" s="433" t="s">
        <v>14765</v>
      </c>
      <c r="J252" s="433" t="s">
        <v>22968</v>
      </c>
      <c r="K252" s="433">
        <v>32.0</v>
      </c>
      <c r="L252" s="433" t="s">
        <v>16614</v>
      </c>
      <c r="M252" s="875"/>
      <c r="N252" s="433" t="s">
        <v>10148</v>
      </c>
      <c r="O252" s="433">
        <v>2003.0</v>
      </c>
      <c r="P252" s="433" t="s">
        <v>388</v>
      </c>
      <c r="Q252" s="433">
        <v>2.0</v>
      </c>
    </row>
    <row r="253" ht="15.75" customHeight="1">
      <c r="B253" s="433">
        <v>248.0</v>
      </c>
      <c r="C253" s="433" t="s">
        <v>23041</v>
      </c>
      <c r="D253" s="433"/>
      <c r="E253" s="434" t="s">
        <v>23042</v>
      </c>
      <c r="F253" s="433" t="s">
        <v>22589</v>
      </c>
      <c r="G253" s="433" t="s">
        <v>29</v>
      </c>
      <c r="H253" s="433" t="s">
        <v>30</v>
      </c>
      <c r="I253" s="433" t="s">
        <v>14765</v>
      </c>
      <c r="J253" s="433" t="s">
        <v>22968</v>
      </c>
      <c r="K253" s="433">
        <v>24.0</v>
      </c>
      <c r="L253" s="433" t="s">
        <v>16614</v>
      </c>
      <c r="M253" s="875"/>
      <c r="N253" s="433" t="s">
        <v>10148</v>
      </c>
      <c r="O253" s="433">
        <v>2003.0</v>
      </c>
      <c r="P253" s="433" t="s">
        <v>388</v>
      </c>
      <c r="Q253" s="433">
        <v>2.0</v>
      </c>
    </row>
    <row r="254" ht="15.75" customHeight="1">
      <c r="B254" s="433">
        <v>249.0</v>
      </c>
      <c r="C254" s="433" t="s">
        <v>23043</v>
      </c>
      <c r="D254" s="433"/>
      <c r="E254" s="434" t="s">
        <v>23044</v>
      </c>
      <c r="F254" s="433" t="s">
        <v>22589</v>
      </c>
      <c r="G254" s="433" t="s">
        <v>29</v>
      </c>
      <c r="H254" s="433" t="s">
        <v>30</v>
      </c>
      <c r="I254" s="433" t="s">
        <v>14765</v>
      </c>
      <c r="J254" s="433" t="s">
        <v>22968</v>
      </c>
      <c r="K254" s="433">
        <v>28.0</v>
      </c>
      <c r="L254" s="433" t="s">
        <v>16614</v>
      </c>
      <c r="M254" s="875"/>
      <c r="N254" s="433" t="s">
        <v>10148</v>
      </c>
      <c r="O254" s="433">
        <v>2003.0</v>
      </c>
      <c r="P254" s="433" t="s">
        <v>388</v>
      </c>
      <c r="Q254" s="433">
        <v>2.0</v>
      </c>
    </row>
    <row r="255" ht="15.75" customHeight="1">
      <c r="B255" s="433">
        <v>250.0</v>
      </c>
      <c r="C255" s="433" t="s">
        <v>23045</v>
      </c>
      <c r="D255" s="433"/>
      <c r="E255" s="434" t="s">
        <v>23046</v>
      </c>
      <c r="F255" s="433" t="s">
        <v>22589</v>
      </c>
      <c r="G255" s="433" t="s">
        <v>29</v>
      </c>
      <c r="H255" s="433" t="s">
        <v>30</v>
      </c>
      <c r="I255" s="433" t="s">
        <v>14765</v>
      </c>
      <c r="J255" s="433" t="s">
        <v>22968</v>
      </c>
      <c r="K255" s="433">
        <v>56.0</v>
      </c>
      <c r="L255" s="433" t="s">
        <v>16614</v>
      </c>
      <c r="M255" s="875"/>
      <c r="N255" s="433" t="s">
        <v>10148</v>
      </c>
      <c r="O255" s="433">
        <v>2003.0</v>
      </c>
      <c r="P255" s="433" t="s">
        <v>388</v>
      </c>
      <c r="Q255" s="433">
        <v>2.0</v>
      </c>
    </row>
    <row r="256" ht="15.75" customHeight="1">
      <c r="B256" s="433">
        <v>251.0</v>
      </c>
      <c r="C256" s="433" t="s">
        <v>23047</v>
      </c>
      <c r="D256" s="433"/>
      <c r="E256" s="434" t="s">
        <v>23048</v>
      </c>
      <c r="F256" s="433" t="s">
        <v>22589</v>
      </c>
      <c r="G256" s="433" t="s">
        <v>29</v>
      </c>
      <c r="H256" s="433" t="s">
        <v>30</v>
      </c>
      <c r="I256" s="433" t="s">
        <v>14765</v>
      </c>
      <c r="J256" s="433" t="s">
        <v>22968</v>
      </c>
      <c r="K256" s="433">
        <v>32.0</v>
      </c>
      <c r="L256" s="433" t="s">
        <v>16614</v>
      </c>
      <c r="M256" s="875"/>
      <c r="N256" s="433" t="s">
        <v>10148</v>
      </c>
      <c r="O256" s="433">
        <v>2003.0</v>
      </c>
      <c r="P256" s="433" t="s">
        <v>388</v>
      </c>
      <c r="Q256" s="433">
        <v>2.0</v>
      </c>
    </row>
    <row r="257" ht="15.75" customHeight="1">
      <c r="B257" s="433">
        <v>252.0</v>
      </c>
      <c r="C257" s="433" t="s">
        <v>23049</v>
      </c>
      <c r="D257" s="433"/>
      <c r="E257" s="434" t="s">
        <v>23050</v>
      </c>
      <c r="F257" s="433" t="s">
        <v>22589</v>
      </c>
      <c r="G257" s="433" t="s">
        <v>29</v>
      </c>
      <c r="H257" s="433" t="s">
        <v>30</v>
      </c>
      <c r="I257" s="433" t="s">
        <v>14765</v>
      </c>
      <c r="J257" s="433" t="s">
        <v>22968</v>
      </c>
      <c r="K257" s="433">
        <v>52.0</v>
      </c>
      <c r="L257" s="433" t="s">
        <v>16614</v>
      </c>
      <c r="M257" s="875"/>
      <c r="N257" s="433" t="s">
        <v>10148</v>
      </c>
      <c r="O257" s="433">
        <v>2003.0</v>
      </c>
      <c r="P257" s="433" t="s">
        <v>388</v>
      </c>
      <c r="Q257" s="433">
        <v>2.0</v>
      </c>
    </row>
    <row r="258" ht="15.75" customHeight="1">
      <c r="B258" s="433">
        <v>253.0</v>
      </c>
      <c r="C258" s="433"/>
      <c r="D258" s="433"/>
      <c r="E258" s="434" t="s">
        <v>23051</v>
      </c>
      <c r="F258" s="433" t="s">
        <v>22589</v>
      </c>
      <c r="G258" s="433" t="s">
        <v>29</v>
      </c>
      <c r="H258" s="433" t="s">
        <v>30</v>
      </c>
      <c r="I258" s="433" t="s">
        <v>14765</v>
      </c>
      <c r="J258" s="433" t="s">
        <v>23052</v>
      </c>
      <c r="K258" s="433">
        <v>84.0</v>
      </c>
      <c r="L258" s="433"/>
      <c r="M258" s="875"/>
      <c r="N258" s="433" t="s">
        <v>23023</v>
      </c>
      <c r="O258" s="433">
        <v>1986.0</v>
      </c>
      <c r="P258" s="433" t="s">
        <v>388</v>
      </c>
      <c r="Q258" s="433">
        <v>2.0</v>
      </c>
    </row>
    <row r="259" ht="15.75" customHeight="1">
      <c r="B259" s="433">
        <v>254.0</v>
      </c>
      <c r="C259" s="433"/>
      <c r="D259" s="433"/>
      <c r="E259" s="434" t="s">
        <v>23053</v>
      </c>
      <c r="F259" s="433" t="s">
        <v>22589</v>
      </c>
      <c r="G259" s="433" t="s">
        <v>29</v>
      </c>
      <c r="H259" s="433" t="s">
        <v>30</v>
      </c>
      <c r="I259" s="433" t="s">
        <v>14765</v>
      </c>
      <c r="J259" s="433" t="s">
        <v>23054</v>
      </c>
      <c r="K259" s="433">
        <v>34.0</v>
      </c>
      <c r="L259" s="433" t="s">
        <v>16614</v>
      </c>
      <c r="M259" s="875"/>
      <c r="N259" s="433" t="s">
        <v>6009</v>
      </c>
      <c r="O259" s="433">
        <v>1999.0</v>
      </c>
      <c r="P259" s="433" t="s">
        <v>388</v>
      </c>
      <c r="Q259" s="433">
        <v>1.0</v>
      </c>
    </row>
    <row r="260" ht="15.75" customHeight="1">
      <c r="B260" s="433">
        <v>255.0</v>
      </c>
      <c r="C260" s="433"/>
      <c r="D260" s="433"/>
      <c r="E260" s="434" t="s">
        <v>23055</v>
      </c>
      <c r="F260" s="433" t="s">
        <v>22589</v>
      </c>
      <c r="G260" s="433" t="s">
        <v>29</v>
      </c>
      <c r="H260" s="433" t="s">
        <v>30</v>
      </c>
      <c r="I260" s="433" t="s">
        <v>14765</v>
      </c>
      <c r="J260" s="433" t="s">
        <v>23054</v>
      </c>
      <c r="K260" s="433">
        <v>22.0</v>
      </c>
      <c r="L260" s="433" t="s">
        <v>16614</v>
      </c>
      <c r="M260" s="875"/>
      <c r="N260" s="433" t="s">
        <v>6009</v>
      </c>
      <c r="O260" s="433">
        <v>1999.0</v>
      </c>
      <c r="P260" s="433" t="s">
        <v>388</v>
      </c>
      <c r="Q260" s="433">
        <v>1.0</v>
      </c>
    </row>
    <row r="261" ht="15.75" customHeight="1">
      <c r="B261" s="433">
        <v>256.0</v>
      </c>
      <c r="C261" s="433"/>
      <c r="D261" s="433"/>
      <c r="E261" s="434" t="s">
        <v>23056</v>
      </c>
      <c r="F261" s="433" t="s">
        <v>22589</v>
      </c>
      <c r="G261" s="433" t="s">
        <v>29</v>
      </c>
      <c r="H261" s="433" t="s">
        <v>30</v>
      </c>
      <c r="I261" s="433" t="s">
        <v>14765</v>
      </c>
      <c r="J261" s="433" t="s">
        <v>23054</v>
      </c>
      <c r="K261" s="433">
        <v>74.0</v>
      </c>
      <c r="L261" s="433"/>
      <c r="M261" s="875"/>
      <c r="N261" s="433" t="s">
        <v>23057</v>
      </c>
      <c r="O261" s="433">
        <v>1993.0</v>
      </c>
      <c r="P261" s="433" t="s">
        <v>388</v>
      </c>
      <c r="Q261" s="433">
        <v>1.0</v>
      </c>
    </row>
    <row r="262" ht="15.75" customHeight="1">
      <c r="B262" s="433">
        <v>257.0</v>
      </c>
      <c r="C262" s="433"/>
      <c r="D262" s="433"/>
      <c r="E262" s="434" t="s">
        <v>23058</v>
      </c>
      <c r="F262" s="433" t="s">
        <v>22589</v>
      </c>
      <c r="G262" s="433" t="s">
        <v>29</v>
      </c>
      <c r="H262" s="433" t="s">
        <v>30</v>
      </c>
      <c r="I262" s="433" t="s">
        <v>14765</v>
      </c>
      <c r="J262" s="433" t="s">
        <v>23054</v>
      </c>
      <c r="K262" s="433">
        <v>106.0</v>
      </c>
      <c r="L262" s="433"/>
      <c r="M262" s="875"/>
      <c r="N262" s="433" t="s">
        <v>23057</v>
      </c>
      <c r="O262" s="433">
        <v>1993.0</v>
      </c>
      <c r="P262" s="433" t="s">
        <v>388</v>
      </c>
      <c r="Q262" s="433">
        <v>1.0</v>
      </c>
    </row>
    <row r="263" ht="15.75" customHeight="1">
      <c r="B263" s="433">
        <v>258.0</v>
      </c>
      <c r="C263" s="433"/>
      <c r="D263" s="433"/>
      <c r="E263" s="434" t="s">
        <v>23059</v>
      </c>
      <c r="F263" s="433" t="s">
        <v>22589</v>
      </c>
      <c r="G263" s="433" t="s">
        <v>29</v>
      </c>
      <c r="H263" s="433" t="s">
        <v>30</v>
      </c>
      <c r="I263" s="433" t="s">
        <v>14765</v>
      </c>
      <c r="J263" s="433" t="s">
        <v>23054</v>
      </c>
      <c r="K263" s="433">
        <v>114.0</v>
      </c>
      <c r="L263" s="433"/>
      <c r="M263" s="875"/>
      <c r="N263" s="433" t="s">
        <v>23057</v>
      </c>
      <c r="O263" s="433">
        <v>1993.0</v>
      </c>
      <c r="P263" s="433" t="s">
        <v>388</v>
      </c>
      <c r="Q263" s="433">
        <v>1.0</v>
      </c>
    </row>
    <row r="264" ht="15.75" customHeight="1">
      <c r="B264" s="433">
        <v>259.0</v>
      </c>
      <c r="C264" s="433"/>
      <c r="D264" s="433"/>
      <c r="E264" s="434" t="s">
        <v>23060</v>
      </c>
      <c r="F264" s="433" t="s">
        <v>22589</v>
      </c>
      <c r="G264" s="433" t="s">
        <v>29</v>
      </c>
      <c r="H264" s="433" t="s">
        <v>30</v>
      </c>
      <c r="I264" s="433" t="s">
        <v>14765</v>
      </c>
      <c r="J264" s="433" t="s">
        <v>23052</v>
      </c>
      <c r="K264" s="433">
        <v>38.0</v>
      </c>
      <c r="L264" s="433"/>
      <c r="M264" s="875"/>
      <c r="N264" s="433" t="s">
        <v>23023</v>
      </c>
      <c r="O264" s="433">
        <v>1986.0</v>
      </c>
      <c r="P264" s="433" t="s">
        <v>388</v>
      </c>
      <c r="Q264" s="433">
        <v>2.0</v>
      </c>
    </row>
    <row r="265" ht="15.75" customHeight="1">
      <c r="B265" s="433">
        <v>260.0</v>
      </c>
      <c r="C265" s="433"/>
      <c r="D265" s="433"/>
      <c r="E265" s="434" t="s">
        <v>23061</v>
      </c>
      <c r="F265" s="433" t="s">
        <v>22589</v>
      </c>
      <c r="G265" s="433" t="s">
        <v>29</v>
      </c>
      <c r="H265" s="433" t="s">
        <v>30</v>
      </c>
      <c r="I265" s="433" t="s">
        <v>14765</v>
      </c>
      <c r="J265" s="433" t="s">
        <v>23052</v>
      </c>
      <c r="K265" s="433">
        <v>90.0</v>
      </c>
      <c r="L265" s="433" t="s">
        <v>16614</v>
      </c>
      <c r="M265" s="875"/>
      <c r="N265" s="433"/>
      <c r="O265" s="433">
        <v>1979.0</v>
      </c>
      <c r="P265" s="433" t="s">
        <v>388</v>
      </c>
      <c r="Q265" s="433">
        <v>2.0</v>
      </c>
    </row>
    <row r="266" ht="15.75" customHeight="1">
      <c r="B266" s="433">
        <v>261.0</v>
      </c>
      <c r="C266" s="433"/>
      <c r="D266" s="433"/>
      <c r="E266" s="434" t="s">
        <v>23062</v>
      </c>
      <c r="F266" s="433" t="s">
        <v>22589</v>
      </c>
      <c r="G266" s="433" t="s">
        <v>29</v>
      </c>
      <c r="H266" s="433" t="s">
        <v>30</v>
      </c>
      <c r="I266" s="433" t="s">
        <v>14765</v>
      </c>
      <c r="J266" s="433" t="s">
        <v>23063</v>
      </c>
      <c r="K266" s="433">
        <v>102.0</v>
      </c>
      <c r="L266" s="433"/>
      <c r="M266" s="875"/>
      <c r="N266" s="433" t="s">
        <v>23064</v>
      </c>
      <c r="O266" s="433">
        <v>1979.0</v>
      </c>
      <c r="P266" s="433" t="s">
        <v>388</v>
      </c>
      <c r="Q266" s="433">
        <v>2.0</v>
      </c>
    </row>
    <row r="267" ht="15.75" customHeight="1">
      <c r="B267" s="433">
        <v>262.0</v>
      </c>
      <c r="C267" s="433"/>
      <c r="D267" s="433"/>
      <c r="E267" s="434" t="s">
        <v>23065</v>
      </c>
      <c r="F267" s="433" t="s">
        <v>22589</v>
      </c>
      <c r="G267" s="433" t="s">
        <v>29</v>
      </c>
      <c r="H267" s="433" t="s">
        <v>30</v>
      </c>
      <c r="I267" s="433" t="s">
        <v>14765</v>
      </c>
      <c r="J267" s="433" t="s">
        <v>23066</v>
      </c>
      <c r="K267" s="433">
        <v>110.0</v>
      </c>
      <c r="L267" s="433"/>
      <c r="M267" s="875"/>
      <c r="N267" s="433" t="s">
        <v>6009</v>
      </c>
      <c r="O267" s="433">
        <v>1967.0</v>
      </c>
      <c r="P267" s="433" t="s">
        <v>388</v>
      </c>
      <c r="Q267" s="433">
        <v>1.0</v>
      </c>
    </row>
    <row r="268" ht="15.75" customHeight="1">
      <c r="B268" s="433">
        <v>263.0</v>
      </c>
      <c r="C268" s="433"/>
      <c r="D268" s="433"/>
      <c r="E268" s="434" t="s">
        <v>22767</v>
      </c>
      <c r="F268" s="433" t="s">
        <v>22589</v>
      </c>
      <c r="G268" s="433" t="s">
        <v>29</v>
      </c>
      <c r="H268" s="433" t="s">
        <v>30</v>
      </c>
      <c r="I268" s="433" t="s">
        <v>14712</v>
      </c>
      <c r="J268" s="433" t="s">
        <v>23067</v>
      </c>
      <c r="K268" s="433">
        <v>232.0</v>
      </c>
      <c r="L268" s="433"/>
      <c r="M268" s="875"/>
      <c r="N268" s="433" t="s">
        <v>23068</v>
      </c>
      <c r="O268" s="433">
        <v>1966.0</v>
      </c>
      <c r="P268" s="433" t="s">
        <v>388</v>
      </c>
      <c r="Q268" s="433">
        <v>1.0</v>
      </c>
    </row>
    <row r="269" ht="15.75" customHeight="1">
      <c r="B269" s="433">
        <v>264.0</v>
      </c>
      <c r="C269" s="433"/>
      <c r="D269" s="433"/>
      <c r="E269" s="434" t="s">
        <v>23069</v>
      </c>
      <c r="F269" s="433" t="s">
        <v>22589</v>
      </c>
      <c r="G269" s="433" t="s">
        <v>29</v>
      </c>
      <c r="H269" s="433" t="s">
        <v>30</v>
      </c>
      <c r="I269" s="433" t="s">
        <v>14712</v>
      </c>
      <c r="J269" s="433" t="s">
        <v>23070</v>
      </c>
      <c r="K269" s="433">
        <v>100.0</v>
      </c>
      <c r="L269" s="433"/>
      <c r="M269" s="875"/>
      <c r="N269" s="433"/>
      <c r="O269" s="433">
        <v>1949.0</v>
      </c>
      <c r="P269" s="433" t="s">
        <v>388</v>
      </c>
      <c r="Q269" s="433">
        <v>4.0</v>
      </c>
    </row>
    <row r="270" ht="15.75" customHeight="1">
      <c r="B270" s="433">
        <v>265.0</v>
      </c>
      <c r="C270" s="433"/>
      <c r="D270" s="433"/>
      <c r="E270" s="434" t="s">
        <v>23071</v>
      </c>
      <c r="F270" s="433" t="s">
        <v>22589</v>
      </c>
      <c r="G270" s="433" t="s">
        <v>29</v>
      </c>
      <c r="H270" s="433" t="s">
        <v>30</v>
      </c>
      <c r="I270" s="433" t="s">
        <v>14712</v>
      </c>
      <c r="J270" s="433" t="s">
        <v>23070</v>
      </c>
      <c r="K270" s="433">
        <v>88.0</v>
      </c>
      <c r="L270" s="433"/>
      <c r="M270" s="875"/>
      <c r="N270" s="433"/>
      <c r="O270" s="433">
        <v>1966.0</v>
      </c>
      <c r="P270" s="433" t="s">
        <v>388</v>
      </c>
      <c r="Q270" s="433">
        <v>1.0</v>
      </c>
    </row>
    <row r="271" ht="15.75" customHeight="1">
      <c r="B271" s="433">
        <v>266.0</v>
      </c>
      <c r="C271" s="433"/>
      <c r="D271" s="433"/>
      <c r="E271" s="434" t="s">
        <v>23072</v>
      </c>
      <c r="F271" s="433" t="s">
        <v>22589</v>
      </c>
      <c r="G271" s="433" t="s">
        <v>29</v>
      </c>
      <c r="H271" s="433" t="s">
        <v>30</v>
      </c>
      <c r="I271" s="433" t="s">
        <v>14712</v>
      </c>
      <c r="J271" s="433" t="s">
        <v>22885</v>
      </c>
      <c r="K271" s="433">
        <v>76.0</v>
      </c>
      <c r="L271" s="433"/>
      <c r="M271" s="875"/>
      <c r="N271" s="433"/>
      <c r="O271" s="433"/>
      <c r="P271" s="433" t="s">
        <v>388</v>
      </c>
      <c r="Q271" s="433">
        <v>2.0</v>
      </c>
    </row>
    <row r="272" ht="15.75" customHeight="1">
      <c r="B272" s="433">
        <v>267.0</v>
      </c>
      <c r="C272" s="433"/>
      <c r="D272" s="433"/>
      <c r="E272" s="434" t="s">
        <v>23073</v>
      </c>
      <c r="F272" s="433" t="s">
        <v>22589</v>
      </c>
      <c r="G272" s="433" t="s">
        <v>29</v>
      </c>
      <c r="H272" s="433" t="s">
        <v>30</v>
      </c>
      <c r="I272" s="433" t="s">
        <v>14712</v>
      </c>
      <c r="J272" s="433" t="s">
        <v>23074</v>
      </c>
      <c r="K272" s="433">
        <v>16.0</v>
      </c>
      <c r="L272" s="433"/>
      <c r="M272" s="875"/>
      <c r="N272" s="433" t="s">
        <v>23075</v>
      </c>
      <c r="O272" s="433"/>
      <c r="P272" s="433" t="s">
        <v>388</v>
      </c>
      <c r="Q272" s="433">
        <v>1.0</v>
      </c>
    </row>
    <row r="273" ht="15.75" customHeight="1">
      <c r="B273" s="433">
        <v>268.0</v>
      </c>
      <c r="C273" s="433"/>
      <c r="D273" s="433"/>
      <c r="E273" s="434" t="s">
        <v>23076</v>
      </c>
      <c r="F273" s="433" t="s">
        <v>22589</v>
      </c>
      <c r="G273" s="433" t="s">
        <v>29</v>
      </c>
      <c r="H273" s="433" t="s">
        <v>30</v>
      </c>
      <c r="I273" s="433" t="s">
        <v>14712</v>
      </c>
      <c r="J273" s="433" t="s">
        <v>23074</v>
      </c>
      <c r="K273" s="433">
        <v>16.0</v>
      </c>
      <c r="L273" s="433"/>
      <c r="M273" s="875"/>
      <c r="N273" s="433" t="s">
        <v>23075</v>
      </c>
      <c r="O273" s="433"/>
      <c r="P273" s="433" t="s">
        <v>388</v>
      </c>
      <c r="Q273" s="433">
        <v>1.0</v>
      </c>
    </row>
    <row r="274" ht="15.75" customHeight="1">
      <c r="B274" s="433">
        <v>269.0</v>
      </c>
      <c r="C274" s="433"/>
      <c r="D274" s="433"/>
      <c r="E274" s="434" t="s">
        <v>23077</v>
      </c>
      <c r="F274" s="433" t="s">
        <v>22589</v>
      </c>
      <c r="G274" s="433" t="s">
        <v>29</v>
      </c>
      <c r="H274" s="433" t="s">
        <v>30</v>
      </c>
      <c r="I274" s="433" t="s">
        <v>14712</v>
      </c>
      <c r="J274" s="433" t="s">
        <v>23074</v>
      </c>
      <c r="K274" s="433">
        <v>18.0</v>
      </c>
      <c r="L274" s="433"/>
      <c r="M274" s="875"/>
      <c r="N274" s="433" t="s">
        <v>23075</v>
      </c>
      <c r="O274" s="433"/>
      <c r="P274" s="433" t="s">
        <v>388</v>
      </c>
      <c r="Q274" s="433">
        <v>1.0</v>
      </c>
    </row>
    <row r="275" ht="15.75" customHeight="1">
      <c r="B275" s="433">
        <v>270.0</v>
      </c>
      <c r="C275" s="433"/>
      <c r="D275" s="433"/>
      <c r="E275" s="434" t="s">
        <v>23078</v>
      </c>
      <c r="F275" s="433" t="s">
        <v>22589</v>
      </c>
      <c r="G275" s="433" t="s">
        <v>29</v>
      </c>
      <c r="H275" s="433" t="s">
        <v>30</v>
      </c>
      <c r="I275" s="433" t="s">
        <v>14712</v>
      </c>
      <c r="J275" s="433" t="s">
        <v>23074</v>
      </c>
      <c r="K275" s="433">
        <v>18.0</v>
      </c>
      <c r="L275" s="433"/>
      <c r="M275" s="875"/>
      <c r="N275" s="433" t="s">
        <v>23075</v>
      </c>
      <c r="O275" s="433"/>
      <c r="P275" s="433" t="s">
        <v>388</v>
      </c>
      <c r="Q275" s="433">
        <v>1.0</v>
      </c>
    </row>
    <row r="276" ht="15.75" customHeight="1">
      <c r="B276" s="433">
        <v>271.0</v>
      </c>
      <c r="C276" s="433"/>
      <c r="D276" s="433"/>
      <c r="E276" s="434" t="s">
        <v>23079</v>
      </c>
      <c r="F276" s="433" t="s">
        <v>22589</v>
      </c>
      <c r="G276" s="433" t="s">
        <v>29</v>
      </c>
      <c r="H276" s="433" t="s">
        <v>30</v>
      </c>
      <c r="I276" s="433" t="s">
        <v>14712</v>
      </c>
      <c r="J276" s="433" t="s">
        <v>23080</v>
      </c>
      <c r="K276" s="433">
        <v>30.0</v>
      </c>
      <c r="L276" s="433"/>
      <c r="M276" s="875"/>
      <c r="N276" s="433" t="s">
        <v>23075</v>
      </c>
      <c r="O276" s="433"/>
      <c r="P276" s="433" t="s">
        <v>388</v>
      </c>
      <c r="Q276" s="433">
        <v>1.0</v>
      </c>
    </row>
    <row r="277" ht="15.75" customHeight="1">
      <c r="B277" s="433">
        <v>272.0</v>
      </c>
      <c r="C277" s="433"/>
      <c r="D277" s="433"/>
      <c r="E277" s="434" t="s">
        <v>23081</v>
      </c>
      <c r="F277" s="433" t="s">
        <v>22589</v>
      </c>
      <c r="G277" s="433" t="s">
        <v>29</v>
      </c>
      <c r="H277" s="433" t="s">
        <v>30</v>
      </c>
      <c r="I277" s="433" t="s">
        <v>14712</v>
      </c>
      <c r="J277" s="433" t="s">
        <v>23080</v>
      </c>
      <c r="K277" s="433">
        <v>62.0</v>
      </c>
      <c r="L277" s="433"/>
      <c r="M277" s="875"/>
      <c r="N277" s="433" t="s">
        <v>23075</v>
      </c>
      <c r="O277" s="433"/>
      <c r="P277" s="433" t="s">
        <v>388</v>
      </c>
      <c r="Q277" s="433">
        <v>1.0</v>
      </c>
    </row>
    <row r="278" ht="15.75" customHeight="1">
      <c r="B278" s="433">
        <v>273.0</v>
      </c>
      <c r="C278" s="433"/>
      <c r="D278" s="433"/>
      <c r="E278" s="434" t="s">
        <v>23082</v>
      </c>
      <c r="F278" s="433" t="s">
        <v>22589</v>
      </c>
      <c r="G278" s="433" t="s">
        <v>29</v>
      </c>
      <c r="H278" s="433" t="s">
        <v>30</v>
      </c>
      <c r="I278" s="433" t="s">
        <v>14712</v>
      </c>
      <c r="J278" s="433" t="s">
        <v>23083</v>
      </c>
      <c r="K278" s="433">
        <v>50.0</v>
      </c>
      <c r="L278" s="433"/>
      <c r="M278" s="875"/>
      <c r="N278" s="433"/>
      <c r="O278" s="433">
        <v>1990.0</v>
      </c>
      <c r="P278" s="433" t="s">
        <v>388</v>
      </c>
      <c r="Q278" s="433">
        <v>1.0</v>
      </c>
    </row>
    <row r="279" ht="15.75" customHeight="1">
      <c r="B279" s="433">
        <v>274.0</v>
      </c>
      <c r="C279" s="538"/>
      <c r="D279" s="433"/>
      <c r="E279" s="434" t="s">
        <v>23084</v>
      </c>
      <c r="F279" s="433" t="s">
        <v>22589</v>
      </c>
      <c r="G279" s="433" t="s">
        <v>29</v>
      </c>
      <c r="H279" s="433" t="s">
        <v>30</v>
      </c>
      <c r="I279" s="433" t="s">
        <v>14712</v>
      </c>
      <c r="J279" s="433" t="s">
        <v>23085</v>
      </c>
      <c r="K279" s="433">
        <v>144.0</v>
      </c>
      <c r="L279" s="433" t="s">
        <v>16201</v>
      </c>
      <c r="M279" s="875"/>
      <c r="N279" s="433" t="s">
        <v>23086</v>
      </c>
      <c r="O279" s="433">
        <v>2004.0</v>
      </c>
      <c r="P279" s="433" t="s">
        <v>388</v>
      </c>
      <c r="Q279" s="433">
        <v>2.0</v>
      </c>
    </row>
    <row r="280" ht="15.75" customHeight="1">
      <c r="B280" s="433">
        <v>275.0</v>
      </c>
      <c r="C280" s="433"/>
      <c r="D280" s="433"/>
      <c r="E280" s="434" t="s">
        <v>23062</v>
      </c>
      <c r="F280" s="433" t="s">
        <v>22589</v>
      </c>
      <c r="G280" s="433" t="s">
        <v>29</v>
      </c>
      <c r="H280" s="433" t="s">
        <v>30</v>
      </c>
      <c r="I280" s="433" t="s">
        <v>14712</v>
      </c>
      <c r="J280" s="433" t="s">
        <v>23085</v>
      </c>
      <c r="K280" s="433">
        <v>100.0</v>
      </c>
      <c r="L280" s="433" t="s">
        <v>16201</v>
      </c>
      <c r="M280" s="875"/>
      <c r="N280" s="433" t="s">
        <v>23086</v>
      </c>
      <c r="O280" s="433">
        <v>2002.0</v>
      </c>
      <c r="P280" s="433" t="s">
        <v>388</v>
      </c>
      <c r="Q280" s="433">
        <v>1.0</v>
      </c>
    </row>
    <row r="281" ht="15.75" customHeight="1">
      <c r="B281" s="433">
        <v>276.0</v>
      </c>
      <c r="C281" s="433"/>
      <c r="D281" s="433"/>
      <c r="E281" s="434" t="s">
        <v>23062</v>
      </c>
      <c r="F281" s="433" t="s">
        <v>22589</v>
      </c>
      <c r="G281" s="433" t="s">
        <v>29</v>
      </c>
      <c r="H281" s="433" t="s">
        <v>30</v>
      </c>
      <c r="I281" s="433" t="s">
        <v>14712</v>
      </c>
      <c r="J281" s="433" t="s">
        <v>22777</v>
      </c>
      <c r="K281" s="433">
        <v>84.0</v>
      </c>
      <c r="L281" s="433" t="s">
        <v>16201</v>
      </c>
      <c r="M281" s="875"/>
      <c r="N281" s="433" t="s">
        <v>23086</v>
      </c>
      <c r="O281" s="433">
        <v>2004.0</v>
      </c>
      <c r="P281" s="433" t="s">
        <v>388</v>
      </c>
      <c r="Q281" s="433">
        <v>1.0</v>
      </c>
    </row>
    <row r="282" ht="15.75" customHeight="1">
      <c r="B282" s="433">
        <v>277.0</v>
      </c>
      <c r="C282" s="433"/>
      <c r="D282" s="433"/>
      <c r="E282" s="434" t="s">
        <v>23062</v>
      </c>
      <c r="F282" s="433" t="s">
        <v>22589</v>
      </c>
      <c r="G282" s="433" t="s">
        <v>29</v>
      </c>
      <c r="H282" s="433" t="s">
        <v>30</v>
      </c>
      <c r="I282" s="433" t="s">
        <v>14712</v>
      </c>
      <c r="J282" s="433" t="s">
        <v>15464</v>
      </c>
      <c r="K282" s="433">
        <v>88.0</v>
      </c>
      <c r="L282" s="433" t="s">
        <v>16201</v>
      </c>
      <c r="M282" s="875"/>
      <c r="N282" s="433" t="s">
        <v>23086</v>
      </c>
      <c r="O282" s="433">
        <v>2002.0</v>
      </c>
      <c r="P282" s="433" t="s">
        <v>388</v>
      </c>
      <c r="Q282" s="433">
        <v>1.0</v>
      </c>
    </row>
    <row r="283" ht="15.75" customHeight="1">
      <c r="B283" s="433">
        <v>278.0</v>
      </c>
      <c r="C283" s="433"/>
      <c r="D283" s="433"/>
      <c r="E283" s="434" t="s">
        <v>23087</v>
      </c>
      <c r="F283" s="433" t="s">
        <v>22589</v>
      </c>
      <c r="G283" s="433" t="s">
        <v>29</v>
      </c>
      <c r="H283" s="433" t="s">
        <v>30</v>
      </c>
      <c r="I283" s="433" t="s">
        <v>14712</v>
      </c>
      <c r="J283" s="433" t="s">
        <v>15464</v>
      </c>
      <c r="K283" s="433">
        <v>80.0</v>
      </c>
      <c r="L283" s="433" t="s">
        <v>16201</v>
      </c>
      <c r="M283" s="875"/>
      <c r="N283" s="433" t="s">
        <v>23086</v>
      </c>
      <c r="O283" s="433">
        <v>2004.0</v>
      </c>
      <c r="P283" s="433" t="s">
        <v>388</v>
      </c>
      <c r="Q283" s="433">
        <v>2.0</v>
      </c>
    </row>
    <row r="284" ht="15.75" customHeight="1">
      <c r="B284" s="433">
        <v>279.0</v>
      </c>
      <c r="C284" s="433"/>
      <c r="D284" s="433"/>
      <c r="E284" s="434" t="s">
        <v>23088</v>
      </c>
      <c r="F284" s="433" t="s">
        <v>22589</v>
      </c>
      <c r="G284" s="433" t="s">
        <v>29</v>
      </c>
      <c r="H284" s="433" t="s">
        <v>30</v>
      </c>
      <c r="I284" s="433" t="s">
        <v>15370</v>
      </c>
      <c r="J284" s="433" t="s">
        <v>23089</v>
      </c>
      <c r="K284" s="433">
        <v>20.0</v>
      </c>
      <c r="L284" s="433" t="s">
        <v>16614</v>
      </c>
      <c r="M284" s="875"/>
      <c r="N284" s="433"/>
      <c r="O284" s="433">
        <v>1993.0</v>
      </c>
      <c r="P284" s="433" t="s">
        <v>388</v>
      </c>
      <c r="Q284" s="433">
        <v>1.0</v>
      </c>
    </row>
    <row r="285" ht="15.75" customHeight="1">
      <c r="B285" s="433">
        <v>280.0</v>
      </c>
      <c r="C285" s="433"/>
      <c r="D285" s="433"/>
      <c r="E285" s="434" t="s">
        <v>23090</v>
      </c>
      <c r="F285" s="433" t="s">
        <v>22589</v>
      </c>
      <c r="G285" s="433" t="s">
        <v>29</v>
      </c>
      <c r="H285" s="433" t="s">
        <v>30</v>
      </c>
      <c r="I285" s="433" t="s">
        <v>15370</v>
      </c>
      <c r="J285" s="433" t="s">
        <v>23089</v>
      </c>
      <c r="K285" s="433">
        <v>44.0</v>
      </c>
      <c r="L285" s="433" t="s">
        <v>16201</v>
      </c>
      <c r="M285" s="875"/>
      <c r="N285" s="433"/>
      <c r="O285" s="433">
        <v>1993.0</v>
      </c>
      <c r="P285" s="433" t="s">
        <v>388</v>
      </c>
      <c r="Q285" s="433">
        <v>1.0</v>
      </c>
    </row>
    <row r="286" ht="15.75" customHeight="1">
      <c r="B286" s="433">
        <v>281.0</v>
      </c>
      <c r="C286" s="433"/>
      <c r="D286" s="433"/>
      <c r="E286" s="434" t="s">
        <v>23091</v>
      </c>
      <c r="F286" s="433" t="s">
        <v>22589</v>
      </c>
      <c r="G286" s="433" t="s">
        <v>29</v>
      </c>
      <c r="H286" s="433" t="s">
        <v>30</v>
      </c>
      <c r="I286" s="433" t="s">
        <v>15370</v>
      </c>
      <c r="J286" s="433" t="s">
        <v>23092</v>
      </c>
      <c r="K286" s="433">
        <v>70.0</v>
      </c>
      <c r="L286" s="433" t="s">
        <v>23093</v>
      </c>
      <c r="M286" s="875"/>
      <c r="N286" s="433" t="s">
        <v>23094</v>
      </c>
      <c r="O286" s="433">
        <v>2002.0</v>
      </c>
      <c r="P286" s="433" t="s">
        <v>388</v>
      </c>
      <c r="Q286" s="433">
        <v>5.0</v>
      </c>
    </row>
    <row r="287" ht="15.75" customHeight="1">
      <c r="B287" s="433">
        <v>282.0</v>
      </c>
      <c r="C287" s="433"/>
      <c r="D287" s="433"/>
      <c r="E287" s="434" t="s">
        <v>23095</v>
      </c>
      <c r="F287" s="433" t="s">
        <v>22589</v>
      </c>
      <c r="G287" s="433" t="s">
        <v>29</v>
      </c>
      <c r="H287" s="433" t="s">
        <v>30</v>
      </c>
      <c r="I287" s="433" t="s">
        <v>14712</v>
      </c>
      <c r="J287" s="433" t="s">
        <v>15469</v>
      </c>
      <c r="K287" s="433">
        <v>162.0</v>
      </c>
      <c r="L287" s="433" t="s">
        <v>16201</v>
      </c>
      <c r="M287" s="875"/>
      <c r="N287" s="433" t="s">
        <v>23086</v>
      </c>
      <c r="O287" s="433">
        <v>2001.0</v>
      </c>
      <c r="P287" s="433" t="s">
        <v>388</v>
      </c>
      <c r="Q287" s="433">
        <v>1.0</v>
      </c>
    </row>
    <row r="288" ht="15.75" customHeight="1">
      <c r="B288" s="433">
        <v>283.0</v>
      </c>
      <c r="C288" s="433"/>
      <c r="D288" s="433"/>
      <c r="E288" s="434" t="s">
        <v>23096</v>
      </c>
      <c r="F288" s="433" t="s">
        <v>22589</v>
      </c>
      <c r="G288" s="433" t="s">
        <v>29</v>
      </c>
      <c r="H288" s="433" t="s">
        <v>30</v>
      </c>
      <c r="I288" s="433" t="s">
        <v>14712</v>
      </c>
      <c r="J288" s="433" t="s">
        <v>15469</v>
      </c>
      <c r="K288" s="433">
        <v>64.0</v>
      </c>
      <c r="L288" s="433"/>
      <c r="M288" s="875"/>
      <c r="N288" s="433" t="s">
        <v>23086</v>
      </c>
      <c r="O288" s="433">
        <v>2002.0</v>
      </c>
      <c r="P288" s="433" t="s">
        <v>388</v>
      </c>
      <c r="Q288" s="433">
        <v>1.0</v>
      </c>
    </row>
    <row r="289" ht="15.75" customHeight="1">
      <c r="B289" s="433">
        <v>284.0</v>
      </c>
      <c r="C289" s="433"/>
      <c r="D289" s="433"/>
      <c r="E289" s="434" t="s">
        <v>23097</v>
      </c>
      <c r="F289" s="433" t="s">
        <v>22589</v>
      </c>
      <c r="G289" s="433" t="s">
        <v>29</v>
      </c>
      <c r="H289" s="433" t="s">
        <v>30</v>
      </c>
      <c r="I289" s="433" t="s">
        <v>14712</v>
      </c>
      <c r="J289" s="433" t="s">
        <v>23098</v>
      </c>
      <c r="K289" s="433">
        <v>136.0</v>
      </c>
      <c r="L289" s="433"/>
      <c r="M289" s="875"/>
      <c r="N289" s="433" t="s">
        <v>23099</v>
      </c>
      <c r="O289" s="433">
        <v>2004.0</v>
      </c>
      <c r="P289" s="433" t="s">
        <v>388</v>
      </c>
      <c r="Q289" s="433">
        <v>1.0</v>
      </c>
    </row>
    <row r="290" ht="15.75" customHeight="1">
      <c r="B290" s="433">
        <v>285.0</v>
      </c>
      <c r="C290" s="433"/>
      <c r="D290" s="433"/>
      <c r="E290" s="434" t="s">
        <v>23061</v>
      </c>
      <c r="F290" s="433" t="s">
        <v>22589</v>
      </c>
      <c r="G290" s="433" t="s">
        <v>29</v>
      </c>
      <c r="H290" s="433" t="s">
        <v>30</v>
      </c>
      <c r="I290" s="433" t="s">
        <v>14712</v>
      </c>
      <c r="J290" s="433" t="s">
        <v>23098</v>
      </c>
      <c r="K290" s="433">
        <v>38.0</v>
      </c>
      <c r="L290" s="433"/>
      <c r="M290" s="875"/>
      <c r="N290" s="433" t="s">
        <v>23086</v>
      </c>
      <c r="O290" s="433">
        <v>2000.0</v>
      </c>
      <c r="P290" s="433" t="s">
        <v>388</v>
      </c>
      <c r="Q290" s="433">
        <v>2.0</v>
      </c>
    </row>
    <row r="291" ht="15.75" customHeight="1">
      <c r="B291" s="433">
        <v>286.0</v>
      </c>
      <c r="C291" s="433"/>
      <c r="D291" s="433"/>
      <c r="E291" s="434" t="s">
        <v>23100</v>
      </c>
      <c r="F291" s="433" t="s">
        <v>22589</v>
      </c>
      <c r="G291" s="433" t="s">
        <v>29</v>
      </c>
      <c r="H291" s="433" t="s">
        <v>30</v>
      </c>
      <c r="I291" s="433" t="s">
        <v>14712</v>
      </c>
      <c r="J291" s="433" t="s">
        <v>6636</v>
      </c>
      <c r="K291" s="433">
        <v>220.0</v>
      </c>
      <c r="L291" s="433" t="s">
        <v>16201</v>
      </c>
      <c r="M291" s="875"/>
      <c r="N291" s="433"/>
      <c r="O291" s="433"/>
      <c r="P291" s="433" t="s">
        <v>388</v>
      </c>
      <c r="Q291" s="433">
        <v>1.0</v>
      </c>
    </row>
    <row r="292" ht="15.75" customHeight="1">
      <c r="B292" s="433">
        <v>287.0</v>
      </c>
      <c r="C292" s="433"/>
      <c r="D292" s="433"/>
      <c r="E292" s="434" t="s">
        <v>23101</v>
      </c>
      <c r="F292" s="433" t="s">
        <v>22589</v>
      </c>
      <c r="G292" s="433" t="s">
        <v>29</v>
      </c>
      <c r="H292" s="433" t="s">
        <v>30</v>
      </c>
      <c r="I292" s="433" t="s">
        <v>14712</v>
      </c>
      <c r="J292" s="433" t="s">
        <v>15434</v>
      </c>
      <c r="K292" s="433">
        <v>76.0</v>
      </c>
      <c r="L292" s="433" t="s">
        <v>16614</v>
      </c>
      <c r="M292" s="875"/>
      <c r="N292" s="433"/>
      <c r="O292" s="433">
        <v>1938.0</v>
      </c>
      <c r="P292" s="433" t="s">
        <v>388</v>
      </c>
      <c r="Q292" s="433">
        <v>2.0</v>
      </c>
    </row>
    <row r="293" ht="15.75" customHeight="1">
      <c r="B293" s="433">
        <v>288.0</v>
      </c>
      <c r="C293" s="433"/>
      <c r="D293" s="433"/>
      <c r="E293" s="434"/>
      <c r="F293" s="433" t="s">
        <v>22589</v>
      </c>
      <c r="G293" s="433" t="s">
        <v>29</v>
      </c>
      <c r="H293" s="433" t="s">
        <v>30</v>
      </c>
      <c r="I293" s="433"/>
      <c r="J293" s="433"/>
      <c r="K293" s="433"/>
      <c r="L293" s="433"/>
      <c r="M293" s="875"/>
      <c r="N293" s="433"/>
      <c r="O293" s="433"/>
      <c r="P293" s="433" t="s">
        <v>388</v>
      </c>
      <c r="Q293" s="433">
        <v>1.0</v>
      </c>
    </row>
    <row r="294" ht="15.75" customHeight="1">
      <c r="B294" s="433">
        <v>289.0</v>
      </c>
      <c r="C294" s="433"/>
      <c r="D294" s="433"/>
      <c r="E294" s="434" t="s">
        <v>23102</v>
      </c>
      <c r="F294" s="433" t="s">
        <v>22589</v>
      </c>
      <c r="G294" s="433" t="s">
        <v>29</v>
      </c>
      <c r="H294" s="433" t="s">
        <v>30</v>
      </c>
      <c r="I294" s="433" t="s">
        <v>15445</v>
      </c>
      <c r="J294" s="433" t="s">
        <v>23103</v>
      </c>
      <c r="K294" s="433"/>
      <c r="L294" s="433"/>
      <c r="M294" s="875"/>
      <c r="N294" s="433" t="s">
        <v>10148</v>
      </c>
      <c r="O294" s="433">
        <v>2004.0</v>
      </c>
      <c r="P294" s="433" t="s">
        <v>388</v>
      </c>
      <c r="Q294" s="433">
        <v>1.0</v>
      </c>
    </row>
    <row r="295" ht="15.75" customHeight="1">
      <c r="B295" s="433">
        <v>290.0</v>
      </c>
      <c r="C295" s="433"/>
      <c r="D295" s="433"/>
      <c r="E295" s="434" t="s">
        <v>23104</v>
      </c>
      <c r="F295" s="433" t="s">
        <v>22589</v>
      </c>
      <c r="G295" s="433" t="s">
        <v>29</v>
      </c>
      <c r="H295" s="433" t="s">
        <v>30</v>
      </c>
      <c r="I295" s="433" t="s">
        <v>15445</v>
      </c>
      <c r="J295" s="433" t="s">
        <v>23105</v>
      </c>
      <c r="K295" s="433"/>
      <c r="L295" s="433"/>
      <c r="M295" s="875"/>
      <c r="N295" s="433"/>
      <c r="O295" s="433">
        <v>1949.0</v>
      </c>
      <c r="P295" s="433" t="s">
        <v>388</v>
      </c>
      <c r="Q295" s="433">
        <v>1.0</v>
      </c>
    </row>
    <row r="296" ht="15.75" customHeight="1">
      <c r="B296" s="433">
        <v>291.0</v>
      </c>
      <c r="C296" s="433"/>
      <c r="D296" s="433"/>
      <c r="E296" s="434" t="s">
        <v>23106</v>
      </c>
      <c r="F296" s="433" t="s">
        <v>22589</v>
      </c>
      <c r="G296" s="433" t="s">
        <v>29</v>
      </c>
      <c r="H296" s="433" t="s">
        <v>30</v>
      </c>
      <c r="I296" s="433" t="s">
        <v>15445</v>
      </c>
      <c r="J296" s="433" t="s">
        <v>23107</v>
      </c>
      <c r="K296" s="433"/>
      <c r="L296" s="433"/>
      <c r="M296" s="875"/>
      <c r="N296" s="433" t="s">
        <v>22984</v>
      </c>
      <c r="O296" s="433">
        <v>1913.0</v>
      </c>
      <c r="P296" s="433" t="s">
        <v>388</v>
      </c>
      <c r="Q296" s="433">
        <v>1.0</v>
      </c>
    </row>
    <row r="297" ht="15.75" customHeight="1">
      <c r="B297" s="433">
        <v>292.0</v>
      </c>
      <c r="C297" s="433"/>
      <c r="D297" s="433"/>
      <c r="E297" s="434" t="s">
        <v>23108</v>
      </c>
      <c r="F297" s="433" t="s">
        <v>22589</v>
      </c>
      <c r="G297" s="433" t="s">
        <v>29</v>
      </c>
      <c r="H297" s="433" t="s">
        <v>30</v>
      </c>
      <c r="I297" s="433" t="s">
        <v>15445</v>
      </c>
      <c r="J297" s="433" t="s">
        <v>23105</v>
      </c>
      <c r="K297" s="433"/>
      <c r="L297" s="433"/>
      <c r="M297" s="875"/>
      <c r="N297" s="433" t="s">
        <v>23109</v>
      </c>
      <c r="O297" s="433">
        <v>1934.0</v>
      </c>
      <c r="P297" s="433" t="s">
        <v>388</v>
      </c>
      <c r="Q297" s="433">
        <v>1.0</v>
      </c>
    </row>
    <row r="298" ht="15.75" customHeight="1">
      <c r="B298" s="433">
        <v>293.0</v>
      </c>
      <c r="C298" s="433"/>
      <c r="D298" s="433"/>
      <c r="E298" s="434" t="s">
        <v>23110</v>
      </c>
      <c r="F298" s="433" t="s">
        <v>22589</v>
      </c>
      <c r="G298" s="433" t="s">
        <v>29</v>
      </c>
      <c r="H298" s="433" t="s">
        <v>30</v>
      </c>
      <c r="I298" s="433" t="s">
        <v>14765</v>
      </c>
      <c r="J298" s="433" t="s">
        <v>23111</v>
      </c>
      <c r="K298" s="433"/>
      <c r="L298" s="433"/>
      <c r="M298" s="875"/>
      <c r="N298" s="433" t="s">
        <v>22984</v>
      </c>
      <c r="O298" s="433">
        <v>1955.0</v>
      </c>
      <c r="P298" s="433" t="s">
        <v>388</v>
      </c>
      <c r="Q298" s="433">
        <v>4.0</v>
      </c>
    </row>
    <row r="299" ht="15.75" customHeight="1">
      <c r="B299" s="433">
        <v>294.0</v>
      </c>
      <c r="C299" s="433"/>
      <c r="D299" s="433"/>
      <c r="E299" s="434" t="s">
        <v>23112</v>
      </c>
      <c r="F299" s="433" t="s">
        <v>22589</v>
      </c>
      <c r="G299" s="433" t="s">
        <v>29</v>
      </c>
      <c r="H299" s="433" t="s">
        <v>30</v>
      </c>
      <c r="I299" s="433" t="s">
        <v>14765</v>
      </c>
      <c r="J299" s="433" t="s">
        <v>23066</v>
      </c>
      <c r="K299" s="433"/>
      <c r="L299" s="433"/>
      <c r="M299" s="875"/>
      <c r="N299" s="433" t="s">
        <v>22886</v>
      </c>
      <c r="O299" s="433">
        <v>1971.0</v>
      </c>
      <c r="P299" s="433" t="s">
        <v>388</v>
      </c>
      <c r="Q299" s="433">
        <v>2.0</v>
      </c>
    </row>
    <row r="300" ht="15.75" customHeight="1">
      <c r="B300" s="433">
        <v>295.0</v>
      </c>
      <c r="C300" s="433"/>
      <c r="D300" s="433"/>
      <c r="E300" s="434" t="s">
        <v>23113</v>
      </c>
      <c r="F300" s="433" t="s">
        <v>22589</v>
      </c>
      <c r="G300" s="433" t="s">
        <v>29</v>
      </c>
      <c r="H300" s="433" t="s">
        <v>30</v>
      </c>
      <c r="I300" s="433" t="s">
        <v>14765</v>
      </c>
      <c r="J300" s="433" t="s">
        <v>23066</v>
      </c>
      <c r="K300" s="433"/>
      <c r="L300" s="433" t="s">
        <v>16614</v>
      </c>
      <c r="M300" s="875"/>
      <c r="N300" s="433"/>
      <c r="O300" s="433">
        <v>1969.0</v>
      </c>
      <c r="P300" s="433" t="s">
        <v>388</v>
      </c>
      <c r="Q300" s="433">
        <v>1.0</v>
      </c>
    </row>
    <row r="301" ht="15.75" customHeight="1">
      <c r="B301" s="433">
        <v>296.0</v>
      </c>
      <c r="C301" s="433"/>
      <c r="D301" s="433"/>
      <c r="E301" s="434" t="s">
        <v>23114</v>
      </c>
      <c r="F301" s="433" t="s">
        <v>22589</v>
      </c>
      <c r="G301" s="433" t="s">
        <v>29</v>
      </c>
      <c r="H301" s="433" t="s">
        <v>30</v>
      </c>
      <c r="I301" s="433" t="s">
        <v>14765</v>
      </c>
      <c r="J301" s="433" t="s">
        <v>23115</v>
      </c>
      <c r="K301" s="433"/>
      <c r="L301" s="433"/>
      <c r="M301" s="875"/>
      <c r="N301" s="433" t="s">
        <v>23094</v>
      </c>
      <c r="O301" s="433">
        <v>2002.0</v>
      </c>
      <c r="P301" s="433" t="s">
        <v>388</v>
      </c>
      <c r="Q301" s="433">
        <v>1.0</v>
      </c>
    </row>
    <row r="302" ht="15.75" customHeight="1">
      <c r="B302" s="433">
        <v>297.0</v>
      </c>
      <c r="C302" s="433"/>
      <c r="D302" s="433"/>
      <c r="E302" s="434" t="s">
        <v>23116</v>
      </c>
      <c r="F302" s="433" t="s">
        <v>22589</v>
      </c>
      <c r="G302" s="433" t="s">
        <v>29</v>
      </c>
      <c r="H302" s="433" t="s">
        <v>30</v>
      </c>
      <c r="I302" s="433" t="s">
        <v>14765</v>
      </c>
      <c r="J302" s="433" t="s">
        <v>23117</v>
      </c>
      <c r="K302" s="433"/>
      <c r="L302" s="433" t="s">
        <v>16614</v>
      </c>
      <c r="M302" s="875"/>
      <c r="N302" s="433" t="s">
        <v>23118</v>
      </c>
      <c r="O302" s="433">
        <v>1997.0</v>
      </c>
      <c r="P302" s="433" t="s">
        <v>388</v>
      </c>
      <c r="Q302" s="433">
        <v>3.0</v>
      </c>
    </row>
    <row r="303" ht="15.75" customHeight="1">
      <c r="B303" s="433">
        <v>298.0</v>
      </c>
      <c r="C303" s="433"/>
      <c r="D303" s="433"/>
      <c r="E303" s="434" t="s">
        <v>23119</v>
      </c>
      <c r="F303" s="433" t="s">
        <v>22589</v>
      </c>
      <c r="G303" s="433" t="s">
        <v>29</v>
      </c>
      <c r="H303" s="433" t="s">
        <v>30</v>
      </c>
      <c r="I303" s="433" t="s">
        <v>14765</v>
      </c>
      <c r="J303" s="433" t="s">
        <v>23117</v>
      </c>
      <c r="K303" s="433"/>
      <c r="L303" s="433" t="s">
        <v>16614</v>
      </c>
      <c r="M303" s="875"/>
      <c r="N303" s="433" t="s">
        <v>23118</v>
      </c>
      <c r="O303" s="433">
        <v>1997.0</v>
      </c>
      <c r="P303" s="433" t="s">
        <v>388</v>
      </c>
      <c r="Q303" s="433">
        <v>3.0</v>
      </c>
    </row>
    <row r="304" ht="15.75" customHeight="1">
      <c r="B304" s="433">
        <v>299.0</v>
      </c>
      <c r="C304" s="433"/>
      <c r="D304" s="433"/>
      <c r="E304" s="434" t="s">
        <v>23120</v>
      </c>
      <c r="F304" s="433" t="s">
        <v>22589</v>
      </c>
      <c r="G304" s="433" t="s">
        <v>29</v>
      </c>
      <c r="H304" s="433" t="s">
        <v>30</v>
      </c>
      <c r="I304" s="433" t="s">
        <v>14765</v>
      </c>
      <c r="J304" s="433" t="s">
        <v>23117</v>
      </c>
      <c r="K304" s="433"/>
      <c r="L304" s="433" t="s">
        <v>16614</v>
      </c>
      <c r="M304" s="875"/>
      <c r="N304" s="433" t="s">
        <v>23094</v>
      </c>
      <c r="O304" s="433">
        <v>2003.0</v>
      </c>
      <c r="P304" s="433" t="s">
        <v>388</v>
      </c>
      <c r="Q304" s="433">
        <v>2.0</v>
      </c>
    </row>
    <row r="305" ht="15.75" customHeight="1">
      <c r="B305" s="433">
        <v>300.0</v>
      </c>
      <c r="C305" s="433"/>
      <c r="D305" s="433"/>
      <c r="E305" s="434" t="s">
        <v>23121</v>
      </c>
      <c r="F305" s="433" t="s">
        <v>22589</v>
      </c>
      <c r="G305" s="433" t="s">
        <v>29</v>
      </c>
      <c r="H305" s="433" t="s">
        <v>30</v>
      </c>
      <c r="I305" s="433" t="s">
        <v>14765</v>
      </c>
      <c r="J305" s="433" t="s">
        <v>23122</v>
      </c>
      <c r="K305" s="433"/>
      <c r="L305" s="433" t="s">
        <v>23123</v>
      </c>
      <c r="M305" s="875"/>
      <c r="N305" s="433" t="s">
        <v>23023</v>
      </c>
      <c r="O305" s="433">
        <v>1986.0</v>
      </c>
      <c r="P305" s="433" t="s">
        <v>388</v>
      </c>
      <c r="Q305" s="433">
        <v>2.0</v>
      </c>
    </row>
    <row r="306" ht="15.75" customHeight="1">
      <c r="B306" s="433">
        <v>301.0</v>
      </c>
      <c r="C306" s="433"/>
      <c r="D306" s="433"/>
      <c r="E306" s="434" t="s">
        <v>22910</v>
      </c>
      <c r="F306" s="433" t="s">
        <v>22589</v>
      </c>
      <c r="G306" s="433" t="s">
        <v>29</v>
      </c>
      <c r="H306" s="433" t="s">
        <v>30</v>
      </c>
      <c r="I306" s="433" t="s">
        <v>14765</v>
      </c>
      <c r="J306" s="433" t="s">
        <v>23122</v>
      </c>
      <c r="K306" s="433"/>
      <c r="L306" s="433"/>
      <c r="M306" s="875"/>
      <c r="N306" s="433" t="s">
        <v>23037</v>
      </c>
      <c r="O306" s="433">
        <v>1996.0</v>
      </c>
      <c r="P306" s="433" t="s">
        <v>388</v>
      </c>
      <c r="Q306" s="433">
        <v>1.0</v>
      </c>
    </row>
    <row r="307" ht="15.75" customHeight="1">
      <c r="B307" s="433">
        <v>302.0</v>
      </c>
      <c r="C307" s="433"/>
      <c r="D307" s="433"/>
      <c r="E307" s="434" t="s">
        <v>23124</v>
      </c>
      <c r="F307" s="433" t="s">
        <v>22589</v>
      </c>
      <c r="G307" s="433" t="s">
        <v>29</v>
      </c>
      <c r="H307" s="433" t="s">
        <v>30</v>
      </c>
      <c r="I307" s="433" t="s">
        <v>14765</v>
      </c>
      <c r="J307" s="433" t="s">
        <v>23125</v>
      </c>
      <c r="K307" s="433"/>
      <c r="L307" s="433"/>
      <c r="M307" s="875"/>
      <c r="N307" s="433" t="s">
        <v>15399</v>
      </c>
      <c r="O307" s="433">
        <v>1984.0</v>
      </c>
      <c r="P307" s="433" t="s">
        <v>388</v>
      </c>
      <c r="Q307" s="433">
        <v>3.0</v>
      </c>
    </row>
    <row r="308" ht="15.75" customHeight="1">
      <c r="B308" s="433">
        <v>303.0</v>
      </c>
      <c r="C308" s="433"/>
      <c r="D308" s="433"/>
      <c r="E308" s="434" t="s">
        <v>23126</v>
      </c>
      <c r="F308" s="433" t="s">
        <v>22589</v>
      </c>
      <c r="G308" s="433" t="s">
        <v>29</v>
      </c>
      <c r="H308" s="433" t="s">
        <v>30</v>
      </c>
      <c r="I308" s="433" t="s">
        <v>14765</v>
      </c>
      <c r="J308" s="433" t="s">
        <v>23127</v>
      </c>
      <c r="K308" s="433"/>
      <c r="L308" s="433"/>
      <c r="M308" s="875"/>
      <c r="N308" s="433"/>
      <c r="O308" s="433"/>
      <c r="P308" s="433" t="s">
        <v>388</v>
      </c>
      <c r="Q308" s="433">
        <v>1.0</v>
      </c>
    </row>
    <row r="309" ht="15.75" customHeight="1">
      <c r="B309" s="433">
        <v>304.0</v>
      </c>
      <c r="C309" s="433"/>
      <c r="D309" s="433"/>
      <c r="E309" s="434" t="s">
        <v>23128</v>
      </c>
      <c r="F309" s="433" t="s">
        <v>22589</v>
      </c>
      <c r="G309" s="433" t="s">
        <v>29</v>
      </c>
      <c r="H309" s="433" t="s">
        <v>30</v>
      </c>
      <c r="I309" s="433" t="s">
        <v>14765</v>
      </c>
      <c r="J309" s="433" t="s">
        <v>23129</v>
      </c>
      <c r="K309" s="433"/>
      <c r="L309" s="433" t="s">
        <v>16201</v>
      </c>
      <c r="M309" s="875"/>
      <c r="N309" s="433" t="s">
        <v>23023</v>
      </c>
      <c r="O309" s="433">
        <v>1987.0</v>
      </c>
      <c r="P309" s="433" t="s">
        <v>388</v>
      </c>
      <c r="Q309" s="433">
        <v>2.0</v>
      </c>
    </row>
    <row r="310" ht="15.75" customHeight="1">
      <c r="B310" s="433">
        <v>305.0</v>
      </c>
      <c r="C310" s="433"/>
      <c r="D310" s="433"/>
      <c r="E310" s="434" t="s">
        <v>23130</v>
      </c>
      <c r="F310" s="433" t="s">
        <v>22589</v>
      </c>
      <c r="G310" s="433" t="s">
        <v>29</v>
      </c>
      <c r="H310" s="433" t="s">
        <v>30</v>
      </c>
      <c r="I310" s="433" t="s">
        <v>14765</v>
      </c>
      <c r="J310" s="433" t="s">
        <v>15403</v>
      </c>
      <c r="K310" s="433"/>
      <c r="L310" s="433" t="s">
        <v>16614</v>
      </c>
      <c r="M310" s="875"/>
      <c r="N310" s="433" t="s">
        <v>23131</v>
      </c>
      <c r="O310" s="433">
        <v>2000.0</v>
      </c>
      <c r="P310" s="433" t="s">
        <v>388</v>
      </c>
      <c r="Q310" s="433">
        <v>1.0</v>
      </c>
    </row>
    <row r="311" ht="15.75" customHeight="1">
      <c r="B311" s="433">
        <v>306.0</v>
      </c>
      <c r="C311" s="433"/>
      <c r="D311" s="433"/>
      <c r="E311" s="434" t="s">
        <v>23132</v>
      </c>
      <c r="F311" s="433" t="s">
        <v>22589</v>
      </c>
      <c r="G311" s="433" t="s">
        <v>29</v>
      </c>
      <c r="H311" s="433" t="s">
        <v>30</v>
      </c>
      <c r="I311" s="433" t="s">
        <v>14765</v>
      </c>
      <c r="J311" s="433" t="s">
        <v>15403</v>
      </c>
      <c r="K311" s="433"/>
      <c r="L311" s="433" t="s">
        <v>16614</v>
      </c>
      <c r="M311" s="875"/>
      <c r="N311" s="433" t="s">
        <v>23131</v>
      </c>
      <c r="O311" s="433">
        <v>2000.0</v>
      </c>
      <c r="P311" s="433" t="s">
        <v>388</v>
      </c>
      <c r="Q311" s="433">
        <v>1.0</v>
      </c>
    </row>
    <row r="312" ht="15.75" customHeight="1">
      <c r="B312" s="433">
        <v>307.0</v>
      </c>
      <c r="C312" s="433"/>
      <c r="D312" s="433"/>
      <c r="E312" s="434" t="s">
        <v>23133</v>
      </c>
      <c r="F312" s="433" t="s">
        <v>22589</v>
      </c>
      <c r="G312" s="433" t="s">
        <v>29</v>
      </c>
      <c r="H312" s="433" t="s">
        <v>30</v>
      </c>
      <c r="I312" s="433" t="s">
        <v>14765</v>
      </c>
      <c r="J312" s="433" t="s">
        <v>15403</v>
      </c>
      <c r="K312" s="433"/>
      <c r="L312" s="433" t="s">
        <v>16614</v>
      </c>
      <c r="M312" s="875"/>
      <c r="N312" s="433" t="s">
        <v>23131</v>
      </c>
      <c r="O312" s="433">
        <v>2000.0</v>
      </c>
      <c r="P312" s="433" t="s">
        <v>388</v>
      </c>
      <c r="Q312" s="433">
        <v>1.0</v>
      </c>
    </row>
    <row r="313" ht="15.75" customHeight="1">
      <c r="B313" s="433">
        <v>308.0</v>
      </c>
      <c r="C313" s="433"/>
      <c r="D313" s="433"/>
      <c r="E313" s="434" t="s">
        <v>23134</v>
      </c>
      <c r="F313" s="433" t="s">
        <v>22589</v>
      </c>
      <c r="G313" s="433" t="s">
        <v>29</v>
      </c>
      <c r="H313" s="433" t="s">
        <v>30</v>
      </c>
      <c r="I313" s="433" t="s">
        <v>14765</v>
      </c>
      <c r="J313" s="433" t="s">
        <v>15403</v>
      </c>
      <c r="K313" s="433"/>
      <c r="L313" s="433" t="s">
        <v>16614</v>
      </c>
      <c r="M313" s="875"/>
      <c r="N313" s="433" t="s">
        <v>23131</v>
      </c>
      <c r="O313" s="433">
        <v>2000.0</v>
      </c>
      <c r="P313" s="433" t="s">
        <v>388</v>
      </c>
      <c r="Q313" s="433">
        <v>1.0</v>
      </c>
    </row>
    <row r="314" ht="15.75" customHeight="1">
      <c r="B314" s="433">
        <v>309.0</v>
      </c>
      <c r="C314" s="433"/>
      <c r="D314" s="433"/>
      <c r="E314" s="434" t="s">
        <v>23135</v>
      </c>
      <c r="F314" s="433" t="s">
        <v>22589</v>
      </c>
      <c r="G314" s="433" t="s">
        <v>29</v>
      </c>
      <c r="H314" s="433" t="s">
        <v>30</v>
      </c>
      <c r="I314" s="433" t="s">
        <v>14765</v>
      </c>
      <c r="J314" s="433" t="s">
        <v>15403</v>
      </c>
      <c r="K314" s="433"/>
      <c r="L314" s="433" t="s">
        <v>16614</v>
      </c>
      <c r="M314" s="875"/>
      <c r="N314" s="433" t="s">
        <v>23131</v>
      </c>
      <c r="O314" s="433">
        <v>2000.0</v>
      </c>
      <c r="P314" s="433" t="s">
        <v>388</v>
      </c>
      <c r="Q314" s="433">
        <v>1.0</v>
      </c>
    </row>
    <row r="315" ht="15.75" customHeight="1">
      <c r="B315" s="433">
        <v>310.0</v>
      </c>
      <c r="C315" s="433"/>
      <c r="D315" s="433"/>
      <c r="E315" s="434" t="s">
        <v>23136</v>
      </c>
      <c r="F315" s="433" t="s">
        <v>22589</v>
      </c>
      <c r="G315" s="433" t="s">
        <v>29</v>
      </c>
      <c r="H315" s="433" t="s">
        <v>30</v>
      </c>
      <c r="I315" s="433" t="s">
        <v>14765</v>
      </c>
      <c r="J315" s="433" t="s">
        <v>15403</v>
      </c>
      <c r="K315" s="433"/>
      <c r="L315" s="433" t="s">
        <v>16614</v>
      </c>
      <c r="M315" s="875"/>
      <c r="N315" s="433" t="s">
        <v>23131</v>
      </c>
      <c r="O315" s="433">
        <v>2000.0</v>
      </c>
      <c r="P315" s="433" t="s">
        <v>388</v>
      </c>
      <c r="Q315" s="433">
        <v>1.0</v>
      </c>
    </row>
    <row r="316" ht="15.75" customHeight="1">
      <c r="B316" s="433">
        <v>311.0</v>
      </c>
      <c r="C316" s="433"/>
      <c r="D316" s="433"/>
      <c r="E316" s="434" t="s">
        <v>23137</v>
      </c>
      <c r="F316" s="433" t="s">
        <v>22589</v>
      </c>
      <c r="G316" s="433" t="s">
        <v>29</v>
      </c>
      <c r="H316" s="433" t="s">
        <v>30</v>
      </c>
      <c r="I316" s="433" t="s">
        <v>14765</v>
      </c>
      <c r="J316" s="433" t="s">
        <v>15403</v>
      </c>
      <c r="K316" s="433"/>
      <c r="L316" s="433" t="s">
        <v>16614</v>
      </c>
      <c r="M316" s="875"/>
      <c r="N316" s="433" t="s">
        <v>23131</v>
      </c>
      <c r="O316" s="433">
        <v>2000.0</v>
      </c>
      <c r="P316" s="433" t="s">
        <v>388</v>
      </c>
      <c r="Q316" s="433">
        <v>1.0</v>
      </c>
    </row>
    <row r="317" ht="15.75" customHeight="1">
      <c r="B317" s="433">
        <v>312.0</v>
      </c>
      <c r="C317" s="433"/>
      <c r="D317" s="433"/>
      <c r="E317" s="434" t="s">
        <v>23138</v>
      </c>
      <c r="F317" s="433" t="s">
        <v>22589</v>
      </c>
      <c r="G317" s="433" t="s">
        <v>29</v>
      </c>
      <c r="H317" s="433" t="s">
        <v>30</v>
      </c>
      <c r="I317" s="433" t="s">
        <v>14765</v>
      </c>
      <c r="J317" s="433" t="s">
        <v>15403</v>
      </c>
      <c r="K317" s="433"/>
      <c r="L317" s="433" t="s">
        <v>16614</v>
      </c>
      <c r="M317" s="875"/>
      <c r="N317" s="433" t="s">
        <v>23131</v>
      </c>
      <c r="O317" s="433">
        <v>2000.0</v>
      </c>
      <c r="P317" s="433" t="s">
        <v>388</v>
      </c>
      <c r="Q317" s="433">
        <v>1.0</v>
      </c>
    </row>
    <row r="318" ht="15.75" customHeight="1">
      <c r="B318" s="433">
        <v>313.0</v>
      </c>
      <c r="C318" s="433"/>
      <c r="D318" s="433"/>
      <c r="E318" s="434" t="s">
        <v>23139</v>
      </c>
      <c r="F318" s="433" t="s">
        <v>22589</v>
      </c>
      <c r="G318" s="433" t="s">
        <v>29</v>
      </c>
      <c r="H318" s="433" t="s">
        <v>30</v>
      </c>
      <c r="I318" s="433" t="s">
        <v>14765</v>
      </c>
      <c r="J318" s="433" t="s">
        <v>15403</v>
      </c>
      <c r="K318" s="433"/>
      <c r="L318" s="433" t="s">
        <v>16614</v>
      </c>
      <c r="M318" s="875"/>
      <c r="N318" s="433" t="s">
        <v>23131</v>
      </c>
      <c r="O318" s="433">
        <v>2000.0</v>
      </c>
      <c r="P318" s="433" t="s">
        <v>388</v>
      </c>
      <c r="Q318" s="433">
        <v>1.0</v>
      </c>
    </row>
    <row r="319" ht="15.75" customHeight="1">
      <c r="B319" s="433">
        <v>314.0</v>
      </c>
      <c r="C319" s="433"/>
      <c r="D319" s="433"/>
      <c r="E319" s="434" t="s">
        <v>23140</v>
      </c>
      <c r="F319" s="433" t="s">
        <v>22589</v>
      </c>
      <c r="G319" s="433" t="s">
        <v>29</v>
      </c>
      <c r="H319" s="433" t="s">
        <v>30</v>
      </c>
      <c r="I319" s="433" t="s">
        <v>14765</v>
      </c>
      <c r="J319" s="433" t="s">
        <v>15403</v>
      </c>
      <c r="K319" s="433"/>
      <c r="L319" s="433" t="s">
        <v>16614</v>
      </c>
      <c r="M319" s="875"/>
      <c r="N319" s="433" t="s">
        <v>23131</v>
      </c>
      <c r="O319" s="433">
        <v>2000.0</v>
      </c>
      <c r="P319" s="433" t="s">
        <v>388</v>
      </c>
      <c r="Q319" s="433">
        <v>1.0</v>
      </c>
    </row>
    <row r="320" ht="15.75" customHeight="1">
      <c r="B320" s="433">
        <v>315.0</v>
      </c>
      <c r="C320" s="433"/>
      <c r="D320" s="433"/>
      <c r="E320" s="434" t="s">
        <v>23141</v>
      </c>
      <c r="F320" s="433" t="s">
        <v>22589</v>
      </c>
      <c r="G320" s="433" t="s">
        <v>29</v>
      </c>
      <c r="H320" s="433" t="s">
        <v>30</v>
      </c>
      <c r="I320" s="433" t="s">
        <v>14765</v>
      </c>
      <c r="J320" s="433" t="s">
        <v>15399</v>
      </c>
      <c r="K320" s="433"/>
      <c r="L320" s="433"/>
      <c r="M320" s="875"/>
      <c r="N320" s="433" t="s">
        <v>23142</v>
      </c>
      <c r="O320" s="433">
        <v>1981.0</v>
      </c>
      <c r="P320" s="433" t="s">
        <v>388</v>
      </c>
      <c r="Q320" s="433">
        <v>1.0</v>
      </c>
    </row>
    <row r="321" ht="15.75" customHeight="1">
      <c r="B321" s="433">
        <v>316.0</v>
      </c>
      <c r="C321" s="433"/>
      <c r="D321" s="433"/>
      <c r="E321" s="434" t="s">
        <v>23143</v>
      </c>
      <c r="F321" s="433" t="s">
        <v>22589</v>
      </c>
      <c r="G321" s="433" t="s">
        <v>29</v>
      </c>
      <c r="H321" s="433" t="s">
        <v>30</v>
      </c>
      <c r="I321" s="433" t="s">
        <v>14765</v>
      </c>
      <c r="J321" s="433" t="s">
        <v>15395</v>
      </c>
      <c r="K321" s="433"/>
      <c r="L321" s="433" t="s">
        <v>23144</v>
      </c>
      <c r="M321" s="875"/>
      <c r="N321" s="433" t="s">
        <v>23023</v>
      </c>
      <c r="O321" s="433">
        <v>1981.0</v>
      </c>
      <c r="P321" s="433" t="s">
        <v>388</v>
      </c>
      <c r="Q321" s="433">
        <v>2.0</v>
      </c>
    </row>
    <row r="322" ht="15.75" customHeight="1">
      <c r="B322" s="433">
        <v>317.0</v>
      </c>
      <c r="C322" s="433"/>
      <c r="D322" s="433"/>
      <c r="E322" s="434" t="s">
        <v>23145</v>
      </c>
      <c r="F322" s="433" t="s">
        <v>22589</v>
      </c>
      <c r="G322" s="433" t="s">
        <v>29</v>
      </c>
      <c r="H322" s="433" t="s">
        <v>30</v>
      </c>
      <c r="I322" s="433" t="s">
        <v>14812</v>
      </c>
      <c r="J322" s="433" t="s">
        <v>22906</v>
      </c>
      <c r="K322" s="433"/>
      <c r="L322" s="433" t="s">
        <v>16614</v>
      </c>
      <c r="M322" s="875"/>
      <c r="N322" s="433" t="s">
        <v>23146</v>
      </c>
      <c r="O322" s="433">
        <v>1997.0</v>
      </c>
      <c r="P322" s="433" t="s">
        <v>388</v>
      </c>
      <c r="Q322" s="433">
        <v>2.0</v>
      </c>
    </row>
    <row r="323" ht="15.75" customHeight="1">
      <c r="B323" s="433">
        <v>318.0</v>
      </c>
      <c r="C323" s="433"/>
      <c r="D323" s="433"/>
      <c r="E323" s="434" t="s">
        <v>23147</v>
      </c>
      <c r="F323" s="433" t="s">
        <v>22589</v>
      </c>
      <c r="G323" s="433" t="s">
        <v>29</v>
      </c>
      <c r="H323" s="433" t="s">
        <v>30</v>
      </c>
      <c r="I323" s="433" t="s">
        <v>14812</v>
      </c>
      <c r="J323" s="433" t="s">
        <v>22906</v>
      </c>
      <c r="K323" s="433"/>
      <c r="L323" s="433" t="s">
        <v>16614</v>
      </c>
      <c r="M323" s="875"/>
      <c r="N323" s="433" t="s">
        <v>23146</v>
      </c>
      <c r="O323" s="433">
        <v>2001.0</v>
      </c>
      <c r="P323" s="433" t="s">
        <v>388</v>
      </c>
      <c r="Q323" s="433">
        <v>1.0</v>
      </c>
    </row>
    <row r="324" ht="15.75" customHeight="1">
      <c r="B324" s="433">
        <v>319.0</v>
      </c>
      <c r="C324" s="433"/>
      <c r="D324" s="433"/>
      <c r="E324" s="434" t="s">
        <v>23148</v>
      </c>
      <c r="F324" s="433" t="s">
        <v>22589</v>
      </c>
      <c r="G324" s="433" t="s">
        <v>29</v>
      </c>
      <c r="H324" s="433" t="s">
        <v>30</v>
      </c>
      <c r="I324" s="433" t="s">
        <v>14812</v>
      </c>
      <c r="J324" s="433" t="s">
        <v>23149</v>
      </c>
      <c r="K324" s="433"/>
      <c r="L324" s="433" t="s">
        <v>16614</v>
      </c>
      <c r="M324" s="875"/>
      <c r="N324" s="433" t="s">
        <v>22909</v>
      </c>
      <c r="O324" s="433">
        <v>1988.0</v>
      </c>
      <c r="P324" s="433" t="s">
        <v>388</v>
      </c>
      <c r="Q324" s="433">
        <v>1.0</v>
      </c>
    </row>
    <row r="325" ht="15.75" customHeight="1">
      <c r="B325" s="433">
        <v>320.0</v>
      </c>
      <c r="C325" s="433" t="s">
        <v>23150</v>
      </c>
      <c r="D325" s="433"/>
      <c r="E325" s="434" t="s">
        <v>23151</v>
      </c>
      <c r="F325" s="433" t="s">
        <v>22589</v>
      </c>
      <c r="G325" s="433" t="s">
        <v>29</v>
      </c>
      <c r="H325" s="433" t="s">
        <v>30</v>
      </c>
      <c r="I325" s="433" t="s">
        <v>14812</v>
      </c>
      <c r="J325" s="433" t="s">
        <v>23149</v>
      </c>
      <c r="K325" s="433"/>
      <c r="L325" s="433"/>
      <c r="M325" s="875"/>
      <c r="N325" s="433" t="s">
        <v>10148</v>
      </c>
      <c r="O325" s="433">
        <v>2002.0</v>
      </c>
      <c r="P325" s="433" t="s">
        <v>388</v>
      </c>
      <c r="Q325" s="433">
        <v>1.0</v>
      </c>
    </row>
    <row r="326" ht="15.75" customHeight="1">
      <c r="B326" s="433">
        <v>321.0</v>
      </c>
      <c r="C326" s="433" t="s">
        <v>23152</v>
      </c>
      <c r="D326" s="433"/>
      <c r="E326" s="434" t="s">
        <v>23153</v>
      </c>
      <c r="F326" s="433" t="s">
        <v>22589</v>
      </c>
      <c r="G326" s="433" t="s">
        <v>29</v>
      </c>
      <c r="H326" s="433" t="s">
        <v>30</v>
      </c>
      <c r="I326" s="433" t="s">
        <v>14812</v>
      </c>
      <c r="J326" s="433" t="s">
        <v>23149</v>
      </c>
      <c r="K326" s="433"/>
      <c r="L326" s="433" t="s">
        <v>16614</v>
      </c>
      <c r="M326" s="875"/>
      <c r="N326" s="433" t="s">
        <v>10148</v>
      </c>
      <c r="O326" s="433">
        <v>2002.0</v>
      </c>
      <c r="P326" s="433" t="s">
        <v>388</v>
      </c>
      <c r="Q326" s="433">
        <v>1.0</v>
      </c>
    </row>
    <row r="327" ht="15.75" customHeight="1">
      <c r="B327" s="433">
        <v>322.0</v>
      </c>
      <c r="C327" s="433" t="s">
        <v>23154</v>
      </c>
      <c r="D327" s="433"/>
      <c r="E327" s="434" t="s">
        <v>23155</v>
      </c>
      <c r="F327" s="433" t="s">
        <v>22589</v>
      </c>
      <c r="G327" s="433" t="s">
        <v>29</v>
      </c>
      <c r="H327" s="433" t="s">
        <v>30</v>
      </c>
      <c r="I327" s="433" t="s">
        <v>14812</v>
      </c>
      <c r="J327" s="433" t="s">
        <v>23149</v>
      </c>
      <c r="K327" s="433"/>
      <c r="L327" s="433"/>
      <c r="M327" s="875"/>
      <c r="N327" s="433" t="s">
        <v>10148</v>
      </c>
      <c r="O327" s="433">
        <v>2002.0</v>
      </c>
      <c r="P327" s="433" t="s">
        <v>388</v>
      </c>
      <c r="Q327" s="433">
        <v>1.0</v>
      </c>
    </row>
    <row r="328" ht="15.75" customHeight="1">
      <c r="B328" s="433">
        <v>323.0</v>
      </c>
      <c r="C328" s="433" t="s">
        <v>23156</v>
      </c>
      <c r="D328" s="433"/>
      <c r="E328" s="434" t="s">
        <v>23157</v>
      </c>
      <c r="F328" s="433" t="s">
        <v>22589</v>
      </c>
      <c r="G328" s="433" t="s">
        <v>29</v>
      </c>
      <c r="H328" s="433" t="s">
        <v>30</v>
      </c>
      <c r="I328" s="433" t="s">
        <v>14812</v>
      </c>
      <c r="J328" s="433" t="s">
        <v>23149</v>
      </c>
      <c r="K328" s="433"/>
      <c r="L328" s="433"/>
      <c r="M328" s="875"/>
      <c r="N328" s="433" t="s">
        <v>10148</v>
      </c>
      <c r="O328" s="433">
        <v>2002.0</v>
      </c>
      <c r="P328" s="433" t="s">
        <v>388</v>
      </c>
      <c r="Q328" s="433">
        <v>1.0</v>
      </c>
    </row>
    <row r="329" ht="15.75" customHeight="1">
      <c r="B329" s="433">
        <v>324.0</v>
      </c>
      <c r="C329" s="433" t="s">
        <v>23158</v>
      </c>
      <c r="D329" s="433"/>
      <c r="E329" s="434" t="s">
        <v>23159</v>
      </c>
      <c r="F329" s="433" t="s">
        <v>22589</v>
      </c>
      <c r="G329" s="433" t="s">
        <v>29</v>
      </c>
      <c r="H329" s="433" t="s">
        <v>30</v>
      </c>
      <c r="I329" s="433" t="s">
        <v>14812</v>
      </c>
      <c r="J329" s="433" t="s">
        <v>23149</v>
      </c>
      <c r="K329" s="433"/>
      <c r="L329" s="433"/>
      <c r="M329" s="875"/>
      <c r="N329" s="433" t="s">
        <v>10148</v>
      </c>
      <c r="O329" s="433">
        <v>2002.0</v>
      </c>
      <c r="P329" s="433" t="s">
        <v>388</v>
      </c>
      <c r="Q329" s="433">
        <v>1.0</v>
      </c>
    </row>
    <row r="330" ht="15.75" customHeight="1">
      <c r="B330" s="433">
        <v>325.0</v>
      </c>
      <c r="C330" s="433" t="s">
        <v>23160</v>
      </c>
      <c r="D330" s="433"/>
      <c r="E330" s="434" t="s">
        <v>23161</v>
      </c>
      <c r="F330" s="433" t="s">
        <v>22589</v>
      </c>
      <c r="G330" s="433" t="s">
        <v>29</v>
      </c>
      <c r="H330" s="433" t="s">
        <v>30</v>
      </c>
      <c r="I330" s="433" t="s">
        <v>14812</v>
      </c>
      <c r="J330" s="433" t="s">
        <v>23149</v>
      </c>
      <c r="K330" s="433"/>
      <c r="L330" s="433"/>
      <c r="M330" s="875"/>
      <c r="N330" s="433" t="s">
        <v>10148</v>
      </c>
      <c r="O330" s="433">
        <v>2002.0</v>
      </c>
      <c r="P330" s="433" t="s">
        <v>388</v>
      </c>
      <c r="Q330" s="433">
        <v>1.0</v>
      </c>
    </row>
    <row r="331" ht="15.75" customHeight="1">
      <c r="B331" s="433">
        <v>326.0</v>
      </c>
      <c r="C331" s="433" t="s">
        <v>23162</v>
      </c>
      <c r="D331" s="433"/>
      <c r="E331" s="434" t="s">
        <v>23163</v>
      </c>
      <c r="F331" s="433" t="s">
        <v>22589</v>
      </c>
      <c r="G331" s="433" t="s">
        <v>29</v>
      </c>
      <c r="H331" s="433" t="s">
        <v>30</v>
      </c>
      <c r="I331" s="433" t="s">
        <v>14812</v>
      </c>
      <c r="J331" s="433" t="s">
        <v>23149</v>
      </c>
      <c r="K331" s="433"/>
      <c r="L331" s="433"/>
      <c r="M331" s="875"/>
      <c r="N331" s="433" t="s">
        <v>10148</v>
      </c>
      <c r="O331" s="433">
        <v>2002.0</v>
      </c>
      <c r="P331" s="433" t="s">
        <v>388</v>
      </c>
      <c r="Q331" s="433">
        <v>1.0</v>
      </c>
    </row>
    <row r="332" ht="15.75" customHeight="1">
      <c r="B332" s="433">
        <v>327.0</v>
      </c>
      <c r="C332" s="433" t="s">
        <v>23164</v>
      </c>
      <c r="D332" s="433"/>
      <c r="E332" s="434" t="s">
        <v>23165</v>
      </c>
      <c r="F332" s="433" t="s">
        <v>22589</v>
      </c>
      <c r="G332" s="433" t="s">
        <v>29</v>
      </c>
      <c r="H332" s="433" t="s">
        <v>30</v>
      </c>
      <c r="I332" s="433" t="s">
        <v>14812</v>
      </c>
      <c r="J332" s="433" t="s">
        <v>23149</v>
      </c>
      <c r="K332" s="433"/>
      <c r="L332" s="433"/>
      <c r="M332" s="875"/>
      <c r="N332" s="433" t="s">
        <v>10148</v>
      </c>
      <c r="O332" s="433">
        <v>2002.0</v>
      </c>
      <c r="P332" s="433" t="s">
        <v>388</v>
      </c>
      <c r="Q332" s="433">
        <v>1.0</v>
      </c>
    </row>
    <row r="333" ht="15.75" customHeight="1">
      <c r="B333" s="433">
        <v>328.0</v>
      </c>
      <c r="C333" s="433"/>
      <c r="D333" s="433"/>
      <c r="E333" s="434" t="s">
        <v>23166</v>
      </c>
      <c r="F333" s="433" t="s">
        <v>22589</v>
      </c>
      <c r="G333" s="433" t="s">
        <v>29</v>
      </c>
      <c r="H333" s="433" t="s">
        <v>30</v>
      </c>
      <c r="I333" s="433" t="s">
        <v>14812</v>
      </c>
      <c r="J333" s="433" t="s">
        <v>23149</v>
      </c>
      <c r="K333" s="433"/>
      <c r="L333" s="433" t="s">
        <v>16614</v>
      </c>
      <c r="M333" s="875"/>
      <c r="N333" s="433" t="s">
        <v>22909</v>
      </c>
      <c r="O333" s="433">
        <v>1981.0</v>
      </c>
      <c r="P333" s="433" t="s">
        <v>388</v>
      </c>
      <c r="Q333" s="433">
        <v>2.0</v>
      </c>
    </row>
    <row r="334" ht="15.75" customHeight="1">
      <c r="B334" s="433">
        <v>329.0</v>
      </c>
      <c r="C334" s="433"/>
      <c r="D334" s="433"/>
      <c r="E334" s="434" t="s">
        <v>23167</v>
      </c>
      <c r="F334" s="433" t="s">
        <v>22589</v>
      </c>
      <c r="G334" s="433" t="s">
        <v>29</v>
      </c>
      <c r="H334" s="433" t="s">
        <v>30</v>
      </c>
      <c r="I334" s="433" t="s">
        <v>14812</v>
      </c>
      <c r="J334" s="433" t="s">
        <v>22906</v>
      </c>
      <c r="K334" s="433"/>
      <c r="L334" s="433"/>
      <c r="M334" s="875"/>
      <c r="N334" s="433" t="s">
        <v>23168</v>
      </c>
      <c r="O334" s="433">
        <v>1997.0</v>
      </c>
      <c r="P334" s="433" t="s">
        <v>388</v>
      </c>
      <c r="Q334" s="433">
        <v>2.0</v>
      </c>
    </row>
    <row r="335" ht="15.75" customHeight="1">
      <c r="B335" s="433">
        <v>330.0</v>
      </c>
      <c r="C335" s="433"/>
      <c r="D335" s="433"/>
      <c r="E335" s="434" t="s">
        <v>23169</v>
      </c>
      <c r="F335" s="433" t="s">
        <v>22589</v>
      </c>
      <c r="G335" s="433" t="s">
        <v>29</v>
      </c>
      <c r="H335" s="433" t="s">
        <v>30</v>
      </c>
      <c r="I335" s="433" t="s">
        <v>14812</v>
      </c>
      <c r="J335" s="433" t="s">
        <v>23170</v>
      </c>
      <c r="K335" s="433"/>
      <c r="L335" s="433"/>
      <c r="M335" s="875"/>
      <c r="N335" s="433" t="s">
        <v>23171</v>
      </c>
      <c r="O335" s="433">
        <v>1998.0</v>
      </c>
      <c r="P335" s="433" t="s">
        <v>388</v>
      </c>
      <c r="Q335" s="433">
        <v>1.0</v>
      </c>
    </row>
    <row r="336" ht="15.75" customHeight="1">
      <c r="B336" s="433">
        <v>331.0</v>
      </c>
      <c r="C336" s="433"/>
      <c r="D336" s="433"/>
      <c r="E336" s="434" t="s">
        <v>23172</v>
      </c>
      <c r="F336" s="433" t="s">
        <v>22589</v>
      </c>
      <c r="G336" s="433" t="s">
        <v>29</v>
      </c>
      <c r="H336" s="433" t="s">
        <v>30</v>
      </c>
      <c r="I336" s="433" t="s">
        <v>14812</v>
      </c>
      <c r="J336" s="433" t="s">
        <v>22906</v>
      </c>
      <c r="K336" s="433"/>
      <c r="L336" s="433" t="s">
        <v>16614</v>
      </c>
      <c r="M336" s="875"/>
      <c r="N336" s="433" t="s">
        <v>23146</v>
      </c>
      <c r="O336" s="433">
        <v>1999.0</v>
      </c>
      <c r="P336" s="433" t="s">
        <v>388</v>
      </c>
      <c r="Q336" s="433">
        <v>1.0</v>
      </c>
    </row>
    <row r="337" ht="15.75" customHeight="1">
      <c r="B337" s="433">
        <v>332.0</v>
      </c>
      <c r="C337" s="433"/>
      <c r="D337" s="433"/>
      <c r="E337" s="434" t="s">
        <v>23173</v>
      </c>
      <c r="F337" s="433" t="s">
        <v>22589</v>
      </c>
      <c r="G337" s="433" t="s">
        <v>29</v>
      </c>
      <c r="H337" s="433" t="s">
        <v>30</v>
      </c>
      <c r="I337" s="433" t="s">
        <v>14812</v>
      </c>
      <c r="J337" s="433" t="s">
        <v>22906</v>
      </c>
      <c r="K337" s="433"/>
      <c r="L337" s="433"/>
      <c r="M337" s="875"/>
      <c r="N337" s="433" t="s">
        <v>23146</v>
      </c>
      <c r="O337" s="433">
        <v>1995.0</v>
      </c>
      <c r="P337" s="433" t="s">
        <v>388</v>
      </c>
      <c r="Q337" s="433">
        <v>1.0</v>
      </c>
    </row>
    <row r="338" ht="15.75" customHeight="1">
      <c r="B338" s="433">
        <v>333.0</v>
      </c>
      <c r="C338" s="433"/>
      <c r="D338" s="433"/>
      <c r="E338" s="434" t="s">
        <v>23174</v>
      </c>
      <c r="F338" s="433" t="s">
        <v>22589</v>
      </c>
      <c r="G338" s="433" t="s">
        <v>29</v>
      </c>
      <c r="H338" s="433" t="s">
        <v>30</v>
      </c>
      <c r="I338" s="433" t="s">
        <v>14812</v>
      </c>
      <c r="J338" s="433" t="s">
        <v>23175</v>
      </c>
      <c r="K338" s="433"/>
      <c r="L338" s="433"/>
      <c r="M338" s="875"/>
      <c r="N338" s="433" t="s">
        <v>151</v>
      </c>
      <c r="O338" s="433">
        <v>1959.0</v>
      </c>
      <c r="P338" s="433" t="s">
        <v>388</v>
      </c>
      <c r="Q338" s="433">
        <v>2.0</v>
      </c>
    </row>
    <row r="339" ht="15.75" customHeight="1">
      <c r="B339" s="433">
        <v>334.0</v>
      </c>
      <c r="C339" s="433"/>
      <c r="D339" s="433"/>
      <c r="E339" s="434" t="s">
        <v>23176</v>
      </c>
      <c r="F339" s="433" t="s">
        <v>22589</v>
      </c>
      <c r="G339" s="433" t="s">
        <v>29</v>
      </c>
      <c r="H339" s="433" t="s">
        <v>30</v>
      </c>
      <c r="I339" s="433" t="s">
        <v>14812</v>
      </c>
      <c r="J339" s="433" t="s">
        <v>23175</v>
      </c>
      <c r="K339" s="433"/>
      <c r="L339" s="433"/>
      <c r="M339" s="875"/>
      <c r="N339" s="433" t="s">
        <v>23177</v>
      </c>
      <c r="O339" s="433">
        <v>1931.0</v>
      </c>
      <c r="P339" s="433" t="s">
        <v>388</v>
      </c>
      <c r="Q339" s="433">
        <v>2.0</v>
      </c>
    </row>
    <row r="340" ht="15.75" customHeight="1">
      <c r="B340" s="433">
        <v>335.0</v>
      </c>
      <c r="C340" s="433"/>
      <c r="D340" s="433"/>
      <c r="E340" s="434" t="s">
        <v>23178</v>
      </c>
      <c r="F340" s="433" t="s">
        <v>22589</v>
      </c>
      <c r="G340" s="433" t="s">
        <v>29</v>
      </c>
      <c r="H340" s="433" t="s">
        <v>30</v>
      </c>
      <c r="I340" s="433" t="s">
        <v>14812</v>
      </c>
      <c r="J340" s="433" t="s">
        <v>23175</v>
      </c>
      <c r="K340" s="433"/>
      <c r="L340" s="433"/>
      <c r="M340" s="875"/>
      <c r="N340" s="433" t="s">
        <v>23177</v>
      </c>
      <c r="O340" s="433">
        <v>1933.0</v>
      </c>
      <c r="P340" s="433" t="s">
        <v>388</v>
      </c>
      <c r="Q340" s="433">
        <v>3.0</v>
      </c>
    </row>
    <row r="341" ht="15.75" customHeight="1">
      <c r="B341" s="433">
        <v>336.0</v>
      </c>
      <c r="C341" s="433"/>
      <c r="D341" s="433"/>
      <c r="E341" s="434" t="s">
        <v>23179</v>
      </c>
      <c r="F341" s="433" t="s">
        <v>22589</v>
      </c>
      <c r="G341" s="433" t="s">
        <v>29</v>
      </c>
      <c r="H341" s="433" t="s">
        <v>30</v>
      </c>
      <c r="I341" s="433" t="s">
        <v>14812</v>
      </c>
      <c r="J341" s="433" t="s">
        <v>23175</v>
      </c>
      <c r="K341" s="433"/>
      <c r="L341" s="433"/>
      <c r="M341" s="875"/>
      <c r="N341" s="433" t="s">
        <v>23180</v>
      </c>
      <c r="O341" s="433">
        <v>1932.0</v>
      </c>
      <c r="P341" s="433" t="s">
        <v>388</v>
      </c>
      <c r="Q341" s="433">
        <v>1.0</v>
      </c>
    </row>
    <row r="342" ht="267.0" customHeight="1">
      <c r="B342" s="433"/>
      <c r="C342" s="433"/>
      <c r="D342" s="433"/>
      <c r="E342" s="434"/>
      <c r="F342" s="433"/>
      <c r="G342" s="433"/>
      <c r="H342" s="433"/>
      <c r="I342" s="433"/>
      <c r="J342" s="433"/>
      <c r="K342" s="433"/>
      <c r="L342" s="433"/>
      <c r="M342" s="875"/>
      <c r="N342" s="433"/>
      <c r="O342" s="433"/>
      <c r="P342" s="433"/>
      <c r="Q342" s="433"/>
    </row>
    <row r="343" ht="15.75" customHeight="1">
      <c r="B343" s="433">
        <v>337.0</v>
      </c>
      <c r="C343" s="433"/>
      <c r="D343" s="433"/>
      <c r="E343" s="434" t="s">
        <v>23181</v>
      </c>
      <c r="F343" s="433" t="s">
        <v>22589</v>
      </c>
      <c r="G343" s="433" t="s">
        <v>29</v>
      </c>
      <c r="H343" s="433" t="s">
        <v>30</v>
      </c>
      <c r="I343" s="433" t="s">
        <v>14812</v>
      </c>
      <c r="J343" s="433" t="s">
        <v>23182</v>
      </c>
      <c r="K343" s="433"/>
      <c r="L343" s="433" t="s">
        <v>16614</v>
      </c>
      <c r="M343" s="875"/>
      <c r="N343" s="433" t="s">
        <v>23180</v>
      </c>
      <c r="O343" s="433">
        <v>1938.0</v>
      </c>
      <c r="P343" s="433" t="s">
        <v>388</v>
      </c>
      <c r="Q343" s="433">
        <v>1.0</v>
      </c>
    </row>
    <row r="344" ht="15.75" customHeight="1">
      <c r="B344" s="433">
        <v>338.0</v>
      </c>
      <c r="C344" s="433"/>
      <c r="D344" s="433"/>
      <c r="E344" s="434" t="s">
        <v>23183</v>
      </c>
      <c r="F344" s="433" t="s">
        <v>22589</v>
      </c>
      <c r="G344" s="433" t="s">
        <v>29</v>
      </c>
      <c r="H344" s="433" t="s">
        <v>30</v>
      </c>
      <c r="I344" s="433" t="s">
        <v>14812</v>
      </c>
      <c r="J344" s="433" t="s">
        <v>23184</v>
      </c>
      <c r="K344" s="433"/>
      <c r="L344" s="433"/>
      <c r="M344" s="875"/>
      <c r="N344" s="433" t="s">
        <v>23185</v>
      </c>
      <c r="O344" s="433">
        <v>1939.0</v>
      </c>
      <c r="P344" s="433" t="s">
        <v>388</v>
      </c>
      <c r="Q344" s="433">
        <v>2.0</v>
      </c>
    </row>
    <row r="345" ht="15.75" customHeight="1">
      <c r="B345" s="433">
        <v>339.0</v>
      </c>
      <c r="C345" s="433"/>
      <c r="D345" s="433"/>
      <c r="E345" s="434" t="s">
        <v>23186</v>
      </c>
      <c r="F345" s="433" t="s">
        <v>22589</v>
      </c>
      <c r="G345" s="433" t="s">
        <v>29</v>
      </c>
      <c r="H345" s="433" t="s">
        <v>30</v>
      </c>
      <c r="I345" s="433" t="s">
        <v>14812</v>
      </c>
      <c r="J345" s="433" t="s">
        <v>23184</v>
      </c>
      <c r="K345" s="433"/>
      <c r="L345" s="433" t="s">
        <v>16201</v>
      </c>
      <c r="M345" s="875"/>
      <c r="N345" s="433"/>
      <c r="O345" s="433">
        <v>1997.0</v>
      </c>
      <c r="P345" s="433" t="s">
        <v>388</v>
      </c>
      <c r="Q345" s="433">
        <v>1.0</v>
      </c>
    </row>
    <row r="346" ht="15.75" customHeight="1">
      <c r="B346" s="433">
        <v>340.0</v>
      </c>
      <c r="C346" s="433"/>
      <c r="D346" s="433"/>
      <c r="E346" s="434" t="s">
        <v>23187</v>
      </c>
      <c r="F346" s="433" t="s">
        <v>22589</v>
      </c>
      <c r="G346" s="433" t="s">
        <v>29</v>
      </c>
      <c r="H346" s="433" t="s">
        <v>30</v>
      </c>
      <c r="I346" s="433" t="s">
        <v>14812</v>
      </c>
      <c r="J346" s="433" t="s">
        <v>23184</v>
      </c>
      <c r="K346" s="433"/>
      <c r="L346" s="433" t="s">
        <v>16614</v>
      </c>
      <c r="M346" s="875"/>
      <c r="N346" s="433"/>
      <c r="O346" s="433">
        <v>1990.0</v>
      </c>
      <c r="P346" s="433" t="s">
        <v>388</v>
      </c>
      <c r="Q346" s="433">
        <v>3.0</v>
      </c>
    </row>
    <row r="347" ht="15.75" customHeight="1">
      <c r="B347" s="433">
        <v>341.0</v>
      </c>
      <c r="C347" s="433" t="s">
        <v>23188</v>
      </c>
      <c r="D347" s="433" t="s">
        <v>23189</v>
      </c>
      <c r="E347" s="434" t="s">
        <v>23190</v>
      </c>
      <c r="F347" s="433" t="s">
        <v>23191</v>
      </c>
      <c r="G347" s="433" t="s">
        <v>29</v>
      </c>
      <c r="H347" s="433" t="s">
        <v>30</v>
      </c>
      <c r="I347" s="433" t="s">
        <v>15370</v>
      </c>
      <c r="J347" s="433" t="s">
        <v>15122</v>
      </c>
      <c r="K347" s="433">
        <v>42.0</v>
      </c>
      <c r="L347" s="433"/>
      <c r="M347" s="875"/>
      <c r="N347" s="433" t="s">
        <v>23192</v>
      </c>
      <c r="O347" s="433">
        <v>2015.0</v>
      </c>
      <c r="P347" s="433" t="s">
        <v>388</v>
      </c>
      <c r="Q347" s="433">
        <v>3.0</v>
      </c>
    </row>
    <row r="348" ht="15.75" customHeight="1">
      <c r="B348" s="433">
        <v>342.0</v>
      </c>
      <c r="C348" s="433" t="s">
        <v>23193</v>
      </c>
      <c r="D348" s="433" t="s">
        <v>23194</v>
      </c>
      <c r="E348" s="434" t="s">
        <v>23195</v>
      </c>
      <c r="F348" s="433" t="s">
        <v>23191</v>
      </c>
      <c r="G348" s="433" t="s">
        <v>29</v>
      </c>
      <c r="H348" s="433" t="s">
        <v>30</v>
      </c>
      <c r="I348" s="433" t="s">
        <v>15370</v>
      </c>
      <c r="J348" s="433" t="s">
        <v>15122</v>
      </c>
      <c r="K348" s="433">
        <v>68.0</v>
      </c>
      <c r="L348" s="433"/>
      <c r="M348" s="875"/>
      <c r="N348" s="433" t="s">
        <v>23192</v>
      </c>
      <c r="O348" s="433">
        <v>2015.0</v>
      </c>
      <c r="P348" s="433" t="s">
        <v>388</v>
      </c>
      <c r="Q348" s="433">
        <v>3.0</v>
      </c>
    </row>
    <row r="349" ht="15.75" customHeight="1">
      <c r="B349" s="433">
        <v>343.0</v>
      </c>
      <c r="C349" s="433" t="s">
        <v>31</v>
      </c>
      <c r="D349" s="433" t="s">
        <v>23196</v>
      </c>
      <c r="E349" s="434" t="s">
        <v>23197</v>
      </c>
      <c r="F349" s="433" t="s">
        <v>23191</v>
      </c>
      <c r="G349" s="433" t="s">
        <v>29</v>
      </c>
      <c r="H349" s="433" t="s">
        <v>30</v>
      </c>
      <c r="I349" s="433" t="s">
        <v>15370</v>
      </c>
      <c r="J349" s="433" t="s">
        <v>22811</v>
      </c>
      <c r="K349" s="433">
        <v>147.0</v>
      </c>
      <c r="L349" s="433"/>
      <c r="M349" s="875"/>
      <c r="N349" s="433" t="s">
        <v>23192</v>
      </c>
      <c r="O349" s="433">
        <v>2015.0</v>
      </c>
      <c r="P349" s="433" t="s">
        <v>388</v>
      </c>
      <c r="Q349" s="433">
        <v>3.0</v>
      </c>
    </row>
    <row r="350" ht="15.75" customHeight="1">
      <c r="B350" s="433">
        <v>344.0</v>
      </c>
      <c r="C350" s="433"/>
      <c r="D350" s="433" t="s">
        <v>23198</v>
      </c>
      <c r="E350" s="434" t="s">
        <v>23199</v>
      </c>
      <c r="F350" s="433" t="s">
        <v>28</v>
      </c>
      <c r="G350" s="433" t="s">
        <v>29</v>
      </c>
      <c r="H350" s="433" t="s">
        <v>37</v>
      </c>
      <c r="I350" s="433" t="s">
        <v>31</v>
      </c>
      <c r="J350" s="433" t="s">
        <v>38</v>
      </c>
      <c r="K350" s="433">
        <v>643.0</v>
      </c>
      <c r="L350" s="433"/>
      <c r="M350" s="875"/>
      <c r="N350" s="433" t="s">
        <v>382</v>
      </c>
      <c r="O350" s="433">
        <v>2006.0</v>
      </c>
      <c r="P350" s="433" t="s">
        <v>388</v>
      </c>
      <c r="Q350" s="433">
        <v>1.0</v>
      </c>
    </row>
    <row r="351" ht="15.75" customHeight="1">
      <c r="A351" s="837"/>
      <c r="B351" s="490"/>
      <c r="C351" s="490" t="s">
        <v>23200</v>
      </c>
      <c r="D351" s="490" t="s">
        <v>23201</v>
      </c>
      <c r="E351" s="491" t="s">
        <v>23202</v>
      </c>
      <c r="F351" s="490" t="s">
        <v>23191</v>
      </c>
      <c r="G351" s="490" t="s">
        <v>29</v>
      </c>
      <c r="H351" s="490" t="s">
        <v>30</v>
      </c>
      <c r="I351" s="490"/>
      <c r="J351" s="490" t="s">
        <v>14765</v>
      </c>
      <c r="K351" s="490">
        <v>22.0</v>
      </c>
      <c r="L351" s="490"/>
      <c r="M351" s="950"/>
      <c r="N351" s="490" t="s">
        <v>23203</v>
      </c>
      <c r="O351" s="490">
        <v>2016.0</v>
      </c>
      <c r="P351" s="490" t="s">
        <v>388</v>
      </c>
      <c r="Q351" s="490">
        <v>1.0</v>
      </c>
      <c r="R351" s="837"/>
      <c r="S351" s="837"/>
      <c r="T351" s="837"/>
      <c r="U351" s="837"/>
      <c r="V351" s="837"/>
      <c r="W351" s="837"/>
      <c r="X351" s="837"/>
      <c r="Y351" s="837"/>
      <c r="Z351" s="837"/>
    </row>
    <row r="352" ht="15.75" customHeight="1">
      <c r="A352" s="837"/>
      <c r="B352" s="490"/>
      <c r="C352" s="490" t="s">
        <v>23204</v>
      </c>
      <c r="D352" s="490" t="s">
        <v>23205</v>
      </c>
      <c r="E352" s="491" t="s">
        <v>23206</v>
      </c>
      <c r="F352" s="490" t="s">
        <v>23191</v>
      </c>
      <c r="G352" s="490" t="s">
        <v>29</v>
      </c>
      <c r="H352" s="490" t="s">
        <v>30</v>
      </c>
      <c r="I352" s="490"/>
      <c r="J352" s="490" t="s">
        <v>14765</v>
      </c>
      <c r="K352" s="490">
        <v>22.0</v>
      </c>
      <c r="L352" s="490"/>
      <c r="M352" s="950"/>
      <c r="N352" s="490" t="s">
        <v>23203</v>
      </c>
      <c r="O352" s="490">
        <v>2016.0</v>
      </c>
      <c r="P352" s="490" t="s">
        <v>388</v>
      </c>
      <c r="Q352" s="490">
        <v>1.0</v>
      </c>
      <c r="R352" s="837"/>
      <c r="S352" s="837"/>
      <c r="T352" s="837"/>
      <c r="U352" s="837"/>
      <c r="V352" s="837"/>
      <c r="W352" s="837"/>
      <c r="X352" s="837"/>
      <c r="Y352" s="837"/>
      <c r="Z352" s="837"/>
    </row>
    <row r="353" ht="15.75" customHeight="1">
      <c r="A353" s="837"/>
      <c r="B353" s="490"/>
      <c r="C353" s="490" t="s">
        <v>23207</v>
      </c>
      <c r="D353" s="490" t="s">
        <v>23208</v>
      </c>
      <c r="E353" s="491" t="s">
        <v>23209</v>
      </c>
      <c r="F353" s="490" t="s">
        <v>23191</v>
      </c>
      <c r="G353" s="490" t="s">
        <v>29</v>
      </c>
      <c r="H353" s="490" t="s">
        <v>30</v>
      </c>
      <c r="I353" s="490"/>
      <c r="J353" s="490" t="s">
        <v>14765</v>
      </c>
      <c r="K353" s="490">
        <v>22.0</v>
      </c>
      <c r="L353" s="490"/>
      <c r="M353" s="950"/>
      <c r="N353" s="490" t="s">
        <v>23203</v>
      </c>
      <c r="O353" s="490">
        <v>2016.0</v>
      </c>
      <c r="P353" s="490" t="s">
        <v>388</v>
      </c>
      <c r="Q353" s="490">
        <v>1.0</v>
      </c>
      <c r="R353" s="837"/>
      <c r="S353" s="837"/>
      <c r="T353" s="837"/>
      <c r="U353" s="837"/>
      <c r="V353" s="837"/>
      <c r="W353" s="837"/>
      <c r="X353" s="837"/>
      <c r="Y353" s="837"/>
      <c r="Z353" s="837"/>
    </row>
    <row r="354" ht="15.75" customHeight="1">
      <c r="A354" s="837"/>
      <c r="B354" s="490"/>
      <c r="C354" s="490" t="s">
        <v>23210</v>
      </c>
      <c r="D354" s="490" t="s">
        <v>23211</v>
      </c>
      <c r="E354" s="491" t="s">
        <v>23212</v>
      </c>
      <c r="F354" s="490" t="s">
        <v>23191</v>
      </c>
      <c r="G354" s="490" t="s">
        <v>29</v>
      </c>
      <c r="H354" s="490" t="s">
        <v>30</v>
      </c>
      <c r="I354" s="490"/>
      <c r="J354" s="490" t="s">
        <v>14765</v>
      </c>
      <c r="K354" s="490">
        <v>22.0</v>
      </c>
      <c r="L354" s="490"/>
      <c r="M354" s="950"/>
      <c r="N354" s="490" t="s">
        <v>23203</v>
      </c>
      <c r="O354" s="490">
        <v>2016.0</v>
      </c>
      <c r="P354" s="490" t="s">
        <v>388</v>
      </c>
      <c r="Q354" s="490">
        <v>1.0</v>
      </c>
      <c r="R354" s="837"/>
      <c r="S354" s="837"/>
      <c r="T354" s="837"/>
      <c r="U354" s="837"/>
      <c r="V354" s="837"/>
      <c r="W354" s="837"/>
      <c r="X354" s="837"/>
      <c r="Y354" s="837"/>
      <c r="Z354" s="837"/>
    </row>
    <row r="355" ht="15.75" customHeight="1">
      <c r="B355" s="433"/>
      <c r="C355" s="433"/>
      <c r="D355" s="433"/>
      <c r="E355" s="434"/>
      <c r="F355" s="433"/>
      <c r="G355" s="433"/>
      <c r="H355" s="433"/>
      <c r="I355" s="433"/>
      <c r="J355" s="433"/>
      <c r="K355" s="433"/>
      <c r="L355" s="433"/>
      <c r="M355" s="875"/>
      <c r="N355" s="433"/>
      <c r="O355" s="433"/>
      <c r="P355" s="433"/>
      <c r="Q355" s="433"/>
    </row>
    <row r="356" ht="15.75" customHeight="1">
      <c r="B356" s="433"/>
      <c r="C356" s="433"/>
      <c r="D356" s="433"/>
      <c r="E356" s="434"/>
      <c r="F356" s="433"/>
      <c r="G356" s="433"/>
      <c r="H356" s="433"/>
      <c r="I356" s="433"/>
      <c r="J356" s="433"/>
      <c r="K356" s="433"/>
      <c r="L356" s="433"/>
      <c r="M356" s="875"/>
      <c r="N356" s="433"/>
      <c r="O356" s="433"/>
      <c r="P356" s="433"/>
      <c r="Q356" s="433"/>
    </row>
    <row r="357" ht="15.75" customHeight="1">
      <c r="B357" s="433"/>
      <c r="C357" s="433"/>
      <c r="D357" s="433"/>
      <c r="E357" s="434"/>
      <c r="F357" s="433"/>
      <c r="G357" s="433"/>
      <c r="H357" s="433"/>
      <c r="I357" s="433"/>
      <c r="J357" s="433"/>
      <c r="K357" s="433"/>
      <c r="L357" s="433"/>
      <c r="M357" s="875"/>
      <c r="N357" s="433"/>
      <c r="O357" s="433"/>
      <c r="P357" s="433"/>
      <c r="Q357" s="433"/>
    </row>
    <row r="358" ht="15.75" customHeight="1">
      <c r="B358" s="433"/>
      <c r="C358" s="433"/>
      <c r="D358" s="433"/>
      <c r="E358" s="434"/>
      <c r="F358" s="433"/>
      <c r="G358" s="433"/>
      <c r="H358" s="433"/>
      <c r="I358" s="433"/>
      <c r="J358" s="433"/>
      <c r="K358" s="433"/>
      <c r="L358" s="433"/>
      <c r="M358" s="875"/>
      <c r="N358" s="433"/>
      <c r="O358" s="433"/>
      <c r="P358" s="433"/>
      <c r="Q358" s="433"/>
    </row>
    <row r="359" ht="15.75" customHeight="1">
      <c r="B359" s="433"/>
      <c r="C359" s="433"/>
      <c r="D359" s="433"/>
      <c r="E359" s="434"/>
      <c r="F359" s="433"/>
      <c r="G359" s="433"/>
      <c r="H359" s="433"/>
      <c r="I359" s="433"/>
      <c r="J359" s="433"/>
      <c r="K359" s="433"/>
      <c r="L359" s="433"/>
      <c r="M359" s="875"/>
      <c r="N359" s="433"/>
      <c r="O359" s="433"/>
      <c r="P359" s="433"/>
      <c r="Q359" s="433"/>
    </row>
    <row r="360" ht="15.75" customHeight="1">
      <c r="B360" s="433"/>
      <c r="C360" s="433"/>
      <c r="D360" s="433"/>
      <c r="E360" s="434"/>
      <c r="F360" s="433"/>
      <c r="G360" s="433"/>
      <c r="H360" s="433"/>
      <c r="I360" s="433"/>
      <c r="J360" s="433"/>
      <c r="K360" s="433"/>
      <c r="L360" s="433"/>
      <c r="M360" s="875"/>
      <c r="N360" s="433"/>
      <c r="O360" s="433"/>
      <c r="P360" s="433"/>
      <c r="Q360" s="433"/>
    </row>
    <row r="361" ht="15.75" customHeight="1">
      <c r="B361" s="433"/>
      <c r="C361" s="433"/>
      <c r="D361" s="433"/>
      <c r="E361" s="434"/>
      <c r="F361" s="433"/>
      <c r="G361" s="433"/>
      <c r="H361" s="433"/>
      <c r="I361" s="433"/>
      <c r="J361" s="433"/>
      <c r="K361" s="433"/>
      <c r="L361" s="433"/>
      <c r="M361" s="875"/>
      <c r="N361" s="433"/>
      <c r="O361" s="433"/>
      <c r="P361" s="433"/>
      <c r="Q361" s="433"/>
    </row>
    <row r="362" ht="15.75" customHeight="1">
      <c r="B362" s="433"/>
      <c r="C362" s="875"/>
      <c r="D362" s="875"/>
      <c r="E362" s="876"/>
      <c r="F362" s="875"/>
      <c r="G362" s="875"/>
      <c r="H362" s="875"/>
      <c r="I362" s="875"/>
      <c r="J362" s="875"/>
      <c r="K362" s="875"/>
      <c r="L362" s="875"/>
      <c r="M362" s="875"/>
      <c r="N362" s="875"/>
      <c r="O362" s="875"/>
      <c r="P362" s="875"/>
      <c r="Q362" s="875">
        <f>SUM(Q6:Q354)</f>
        <v>471</v>
      </c>
    </row>
    <row r="363" ht="15.75" customHeight="1">
      <c r="B363" s="856"/>
      <c r="C363" s="455"/>
      <c r="D363" s="455"/>
      <c r="E363" s="455"/>
      <c r="F363" s="455"/>
      <c r="G363" s="455"/>
      <c r="H363" s="455"/>
      <c r="I363" s="455"/>
      <c r="J363" s="455"/>
      <c r="K363" s="455"/>
      <c r="L363" s="455"/>
      <c r="M363" s="455"/>
      <c r="N363" s="455"/>
      <c r="O363" s="455"/>
      <c r="P363" s="455"/>
      <c r="Q363" s="456"/>
    </row>
    <row r="364" ht="15.75" customHeight="1">
      <c r="B364" s="951" t="s">
        <v>23213</v>
      </c>
      <c r="C364" s="6"/>
      <c r="D364" s="6"/>
      <c r="E364" s="6"/>
      <c r="F364" s="6"/>
      <c r="G364" s="6"/>
      <c r="H364" s="6"/>
      <c r="I364" s="6"/>
      <c r="J364" s="6"/>
      <c r="K364" s="6"/>
      <c r="L364" s="6"/>
      <c r="M364" s="6"/>
      <c r="N364" s="6"/>
      <c r="O364" s="6"/>
      <c r="P364" s="6"/>
      <c r="Q364" s="7"/>
    </row>
    <row r="365" ht="15.75" customHeight="1">
      <c r="B365" s="327" t="s">
        <v>14150</v>
      </c>
      <c r="C365" s="457" t="s">
        <v>14151</v>
      </c>
      <c r="D365" s="6"/>
      <c r="E365" s="7"/>
      <c r="F365" s="458"/>
      <c r="G365" s="459"/>
      <c r="H365" s="7"/>
      <c r="I365" s="459"/>
      <c r="J365" s="6"/>
      <c r="K365" s="6"/>
      <c r="L365" s="7"/>
      <c r="M365" s="460"/>
      <c r="N365" s="461" t="s">
        <v>14152</v>
      </c>
      <c r="O365" s="461"/>
      <c r="P365" s="461"/>
      <c r="Q365" s="461"/>
    </row>
    <row r="366" ht="15.75" customHeight="1">
      <c r="B366" s="321"/>
      <c r="C366" s="399"/>
      <c r="D366" s="458"/>
      <c r="E366" s="462"/>
      <c r="F366" s="458"/>
      <c r="G366" s="463"/>
      <c r="H366" s="7"/>
      <c r="I366" s="321"/>
      <c r="J366" s="321"/>
      <c r="K366" s="463"/>
      <c r="L366" s="7"/>
      <c r="M366" s="321"/>
      <c r="N366" s="321"/>
      <c r="O366" s="321"/>
      <c r="P366" s="321"/>
      <c r="Q366" s="321"/>
    </row>
    <row r="367" ht="15.75" customHeight="1">
      <c r="B367" s="463"/>
      <c r="C367" s="7"/>
      <c r="D367" s="458"/>
      <c r="E367" s="463"/>
      <c r="F367" s="7"/>
      <c r="G367" s="321"/>
      <c r="H367" s="321"/>
      <c r="I367" s="321"/>
      <c r="J367" s="321"/>
      <c r="K367" s="321"/>
      <c r="L367" s="321"/>
      <c r="M367" s="321"/>
      <c r="N367" s="321"/>
      <c r="O367" s="321"/>
      <c r="P367" s="321"/>
      <c r="Q367" s="321"/>
    </row>
    <row r="368" ht="15.75" customHeight="1">
      <c r="B368" s="321"/>
      <c r="C368" s="951" t="s">
        <v>23214</v>
      </c>
      <c r="D368" s="6"/>
      <c r="E368" s="7"/>
      <c r="F368" s="458"/>
      <c r="G368" s="457"/>
      <c r="H368" s="7"/>
      <c r="I368" s="457"/>
      <c r="J368" s="6"/>
      <c r="K368" s="6"/>
      <c r="L368" s="7"/>
      <c r="M368" s="951" t="s">
        <v>23215</v>
      </c>
      <c r="N368" s="6"/>
      <c r="O368" s="6"/>
      <c r="P368" s="6"/>
      <c r="Q368" s="7"/>
    </row>
    <row r="369" ht="15.75" customHeight="1">
      <c r="B369" s="321"/>
      <c r="C369" s="457" t="s">
        <v>14155</v>
      </c>
      <c r="D369" s="6"/>
      <c r="E369" s="7"/>
      <c r="F369" s="458"/>
      <c r="G369" s="457"/>
      <c r="H369" s="7"/>
      <c r="I369" s="327"/>
      <c r="J369" s="457"/>
      <c r="K369" s="6"/>
      <c r="L369" s="7"/>
      <c r="M369" s="457" t="s">
        <v>14156</v>
      </c>
      <c r="N369" s="6"/>
      <c r="O369" s="6"/>
      <c r="P369" s="6"/>
      <c r="Q369" s="7"/>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466"/>
      <c r="C372" s="667"/>
      <c r="D372" s="667"/>
      <c r="E372" s="668"/>
      <c r="F372" s="667"/>
      <c r="G372" s="667"/>
      <c r="H372" s="667"/>
      <c r="I372" s="667"/>
      <c r="J372" s="667"/>
      <c r="K372" s="667"/>
      <c r="L372" s="667"/>
      <c r="M372" s="667"/>
      <c r="N372" s="667"/>
      <c r="O372" s="667"/>
      <c r="P372" s="667"/>
      <c r="Q372" s="667"/>
    </row>
    <row r="373" ht="15.75" customHeight="1">
      <c r="B373" s="466"/>
      <c r="C373" s="667"/>
      <c r="D373" s="667"/>
      <c r="E373" s="668"/>
      <c r="F373" s="667"/>
      <c r="G373" s="667"/>
      <c r="H373" s="667"/>
      <c r="I373" s="667"/>
      <c r="J373" s="667"/>
      <c r="K373" s="667"/>
      <c r="L373" s="667"/>
      <c r="M373" s="667"/>
      <c r="N373" s="667"/>
      <c r="O373" s="667"/>
      <c r="P373" s="667"/>
      <c r="Q373" s="667"/>
    </row>
    <row r="374" ht="15.75" customHeight="1">
      <c r="B374" s="466"/>
      <c r="C374" s="667"/>
      <c r="D374" s="667"/>
      <c r="E374" s="668"/>
      <c r="F374" s="667"/>
      <c r="G374" s="667"/>
      <c r="H374" s="667"/>
      <c r="I374" s="667"/>
      <c r="J374" s="667"/>
      <c r="K374" s="667"/>
      <c r="L374" s="667"/>
      <c r="M374" s="667"/>
      <c r="N374" s="667"/>
      <c r="O374" s="667"/>
      <c r="P374" s="667"/>
      <c r="Q374" s="667"/>
    </row>
    <row r="375" ht="15.75" customHeight="1">
      <c r="B375" s="466"/>
      <c r="C375" s="667"/>
      <c r="D375" s="667"/>
      <c r="E375" s="668"/>
      <c r="F375" s="667"/>
      <c r="G375" s="667"/>
      <c r="H375" s="667"/>
      <c r="I375" s="667"/>
      <c r="J375" s="667"/>
      <c r="K375" s="667"/>
      <c r="L375" s="667"/>
      <c r="M375" s="667"/>
      <c r="N375" s="667"/>
      <c r="O375" s="667"/>
      <c r="P375" s="667"/>
      <c r="Q375" s="667"/>
    </row>
    <row r="376" ht="15.75" customHeight="1">
      <c r="B376" s="466"/>
      <c r="C376" s="667"/>
      <c r="D376" s="667"/>
      <c r="E376" s="668"/>
      <c r="F376" s="667"/>
      <c r="G376" s="667"/>
      <c r="H376" s="667"/>
      <c r="I376" s="667"/>
      <c r="J376" s="667"/>
      <c r="K376" s="667"/>
      <c r="L376" s="667"/>
      <c r="M376" s="667"/>
      <c r="N376" s="667"/>
      <c r="O376" s="667"/>
      <c r="P376" s="667"/>
      <c r="Q376" s="667"/>
    </row>
    <row r="377" ht="15.75" customHeight="1">
      <c r="B377" s="466"/>
      <c r="C377" s="667"/>
      <c r="D377" s="667"/>
      <c r="E377" s="668"/>
      <c r="F377" s="667"/>
      <c r="G377" s="667"/>
      <c r="H377" s="667"/>
      <c r="I377" s="667"/>
      <c r="J377" s="667"/>
      <c r="K377" s="667"/>
      <c r="L377" s="667"/>
      <c r="M377" s="667"/>
      <c r="N377" s="667"/>
      <c r="O377" s="667"/>
      <c r="P377" s="667"/>
      <c r="Q377" s="667"/>
    </row>
    <row r="378" ht="15.75" customHeight="1">
      <c r="B378" s="466"/>
      <c r="C378" s="667"/>
      <c r="D378" s="667"/>
      <c r="E378" s="668"/>
      <c r="F378" s="667"/>
      <c r="G378" s="667"/>
      <c r="H378" s="667"/>
      <c r="I378" s="667"/>
      <c r="J378" s="667"/>
      <c r="K378" s="667"/>
      <c r="L378" s="667"/>
      <c r="M378" s="667"/>
      <c r="N378" s="667"/>
      <c r="O378" s="667"/>
      <c r="P378" s="667"/>
      <c r="Q378" s="667"/>
    </row>
    <row r="379" ht="15.75" customHeight="1">
      <c r="B379" s="466"/>
      <c r="C379" s="667"/>
      <c r="D379" s="667"/>
      <c r="E379" s="668"/>
      <c r="F379" s="667"/>
      <c r="G379" s="667"/>
      <c r="H379" s="667"/>
      <c r="I379" s="667"/>
      <c r="J379" s="667"/>
      <c r="K379" s="667"/>
      <c r="L379" s="667"/>
      <c r="M379" s="667"/>
      <c r="N379" s="667"/>
      <c r="O379" s="667"/>
      <c r="P379" s="667"/>
      <c r="Q379" s="667"/>
    </row>
    <row r="380" ht="15.75" customHeight="1">
      <c r="B380" s="466"/>
      <c r="C380" s="667"/>
      <c r="D380" s="667"/>
      <c r="E380" s="668"/>
      <c r="F380" s="667"/>
      <c r="G380" s="667"/>
      <c r="H380" s="667"/>
      <c r="I380" s="667"/>
      <c r="J380" s="667"/>
      <c r="K380" s="667"/>
      <c r="L380" s="667"/>
      <c r="M380" s="667"/>
      <c r="N380" s="667"/>
      <c r="O380" s="667"/>
      <c r="P380" s="667"/>
      <c r="Q380" s="667"/>
    </row>
    <row r="381" ht="15.75" customHeight="1">
      <c r="B381" s="466"/>
      <c r="C381" s="667"/>
      <c r="D381" s="667"/>
      <c r="E381" s="668"/>
      <c r="F381" s="667"/>
      <c r="G381" s="667"/>
      <c r="H381" s="667"/>
      <c r="I381" s="667"/>
      <c r="J381" s="667"/>
      <c r="K381" s="667"/>
      <c r="L381" s="667"/>
      <c r="M381" s="667"/>
      <c r="N381" s="667"/>
      <c r="O381" s="667"/>
      <c r="P381" s="667"/>
      <c r="Q381" s="667"/>
    </row>
    <row r="382" ht="15.75" customHeight="1">
      <c r="B382" s="466"/>
      <c r="C382" s="667"/>
      <c r="D382" s="667"/>
      <c r="E382" s="668"/>
      <c r="F382" s="667"/>
      <c r="G382" s="667"/>
      <c r="H382" s="667"/>
      <c r="I382" s="667"/>
      <c r="J382" s="667"/>
      <c r="K382" s="667"/>
      <c r="L382" s="667"/>
      <c r="M382" s="667"/>
      <c r="N382" s="667"/>
      <c r="O382" s="667"/>
      <c r="P382" s="667"/>
      <c r="Q382" s="667"/>
    </row>
    <row r="383" ht="15.75" customHeight="1">
      <c r="B383" s="466"/>
      <c r="C383" s="667"/>
      <c r="D383" s="667"/>
      <c r="E383" s="668"/>
      <c r="F383" s="667"/>
      <c r="G383" s="667"/>
      <c r="H383" s="667"/>
      <c r="I383" s="667"/>
      <c r="J383" s="667"/>
      <c r="K383" s="667"/>
      <c r="L383" s="667"/>
      <c r="M383" s="667"/>
      <c r="N383" s="667"/>
      <c r="O383" s="667"/>
      <c r="P383" s="667"/>
      <c r="Q383" s="667"/>
    </row>
    <row r="384" ht="15.75" customHeight="1">
      <c r="B384" s="466"/>
      <c r="C384" s="667"/>
      <c r="D384" s="667"/>
      <c r="E384" s="668"/>
      <c r="F384" s="667"/>
      <c r="G384" s="667"/>
      <c r="H384" s="667"/>
      <c r="I384" s="667"/>
      <c r="J384" s="667"/>
      <c r="K384" s="667"/>
      <c r="L384" s="667"/>
      <c r="M384" s="667"/>
      <c r="N384" s="667"/>
      <c r="O384" s="667"/>
      <c r="P384" s="667"/>
      <c r="Q384" s="667"/>
    </row>
    <row r="385" ht="15.75" customHeight="1">
      <c r="B385" s="466"/>
      <c r="C385" s="667"/>
      <c r="D385" s="667"/>
      <c r="E385" s="668"/>
      <c r="F385" s="667"/>
      <c r="G385" s="667"/>
      <c r="H385" s="667"/>
      <c r="I385" s="667"/>
      <c r="J385" s="667"/>
      <c r="K385" s="667"/>
      <c r="L385" s="667"/>
      <c r="M385" s="667"/>
      <c r="N385" s="667"/>
      <c r="O385" s="667"/>
      <c r="P385" s="667"/>
      <c r="Q385" s="667"/>
    </row>
    <row r="386" ht="15.75" customHeight="1">
      <c r="B386" s="466"/>
      <c r="C386" s="667"/>
      <c r="D386" s="667"/>
      <c r="E386" s="668"/>
      <c r="F386" s="667"/>
      <c r="G386" s="667"/>
      <c r="H386" s="667"/>
      <c r="I386" s="667"/>
      <c r="J386" s="667"/>
      <c r="K386" s="667"/>
      <c r="L386" s="667"/>
      <c r="M386" s="667"/>
      <c r="N386" s="667"/>
      <c r="O386" s="667"/>
      <c r="P386" s="667"/>
      <c r="Q386" s="667"/>
    </row>
    <row r="387" ht="15.75" customHeight="1">
      <c r="B387" s="466"/>
      <c r="C387" s="667"/>
      <c r="D387" s="667"/>
      <c r="E387" s="668"/>
      <c r="F387" s="667"/>
      <c r="G387" s="667"/>
      <c r="H387" s="667"/>
      <c r="I387" s="667"/>
      <c r="J387" s="667"/>
      <c r="K387" s="667"/>
      <c r="L387" s="667"/>
      <c r="M387" s="667"/>
      <c r="N387" s="667"/>
      <c r="O387" s="667"/>
      <c r="P387" s="667"/>
      <c r="Q387" s="667"/>
    </row>
    <row r="388" ht="15.75" customHeight="1">
      <c r="B388" s="466"/>
      <c r="C388" s="667"/>
      <c r="D388" s="667"/>
      <c r="E388" s="668"/>
      <c r="F388" s="667"/>
      <c r="G388" s="667"/>
      <c r="H388" s="667"/>
      <c r="I388" s="667"/>
      <c r="J388" s="667"/>
      <c r="K388" s="667"/>
      <c r="L388" s="667"/>
      <c r="M388" s="667"/>
      <c r="N388" s="667"/>
      <c r="O388" s="667"/>
      <c r="P388" s="667"/>
      <c r="Q388" s="667"/>
    </row>
    <row r="389" ht="15.75" customHeight="1">
      <c r="B389" s="466"/>
      <c r="C389" s="667"/>
      <c r="D389" s="667"/>
      <c r="E389" s="668"/>
      <c r="F389" s="667"/>
      <c r="G389" s="667"/>
      <c r="H389" s="667"/>
      <c r="I389" s="667"/>
      <c r="J389" s="667"/>
      <c r="K389" s="667"/>
      <c r="L389" s="667"/>
      <c r="M389" s="667"/>
      <c r="N389" s="667"/>
      <c r="O389" s="667"/>
      <c r="P389" s="667"/>
      <c r="Q389" s="667"/>
    </row>
    <row r="390" ht="15.75" customHeight="1">
      <c r="B390" s="466"/>
      <c r="C390" s="667"/>
      <c r="D390" s="667"/>
      <c r="E390" s="668"/>
      <c r="F390" s="667"/>
      <c r="G390" s="667"/>
      <c r="H390" s="667"/>
      <c r="I390" s="667"/>
      <c r="J390" s="667"/>
      <c r="K390" s="667"/>
      <c r="L390" s="667"/>
      <c r="M390" s="667"/>
      <c r="N390" s="667"/>
      <c r="O390" s="667"/>
      <c r="P390" s="667"/>
      <c r="Q390" s="667"/>
    </row>
    <row r="391" ht="15.75" customHeight="1">
      <c r="B391" s="466"/>
      <c r="C391" s="667"/>
      <c r="D391" s="667"/>
      <c r="E391" s="668"/>
      <c r="F391" s="667"/>
      <c r="G391" s="667"/>
      <c r="H391" s="667"/>
      <c r="I391" s="667"/>
      <c r="J391" s="667"/>
      <c r="K391" s="667"/>
      <c r="L391" s="667"/>
      <c r="M391" s="667"/>
      <c r="N391" s="667"/>
      <c r="O391" s="667"/>
      <c r="P391" s="667"/>
      <c r="Q391" s="667"/>
    </row>
    <row r="392" ht="15.75" customHeight="1">
      <c r="B392" s="466"/>
      <c r="C392" s="667"/>
      <c r="D392" s="667"/>
      <c r="E392" s="668"/>
      <c r="F392" s="667"/>
      <c r="G392" s="667"/>
      <c r="H392" s="667"/>
      <c r="I392" s="667"/>
      <c r="J392" s="667"/>
      <c r="K392" s="667"/>
      <c r="L392" s="667"/>
      <c r="M392" s="667"/>
      <c r="N392" s="667"/>
      <c r="O392" s="667"/>
      <c r="P392" s="667"/>
      <c r="Q392" s="667"/>
    </row>
    <row r="393" ht="15.75" customHeight="1">
      <c r="B393" s="466"/>
      <c r="C393" s="667"/>
      <c r="D393" s="667"/>
      <c r="E393" s="668"/>
      <c r="F393" s="667"/>
      <c r="G393" s="667"/>
      <c r="H393" s="667"/>
      <c r="I393" s="667"/>
      <c r="J393" s="667"/>
      <c r="K393" s="667"/>
      <c r="L393" s="667"/>
      <c r="M393" s="667"/>
      <c r="N393" s="667"/>
      <c r="O393" s="667"/>
      <c r="P393" s="667"/>
      <c r="Q393" s="667"/>
    </row>
    <row r="394" ht="15.75" customHeight="1">
      <c r="B394" s="466"/>
      <c r="C394" s="667"/>
      <c r="D394" s="667"/>
      <c r="E394" s="668"/>
      <c r="F394" s="667"/>
      <c r="G394" s="667"/>
      <c r="H394" s="667"/>
      <c r="I394" s="667"/>
      <c r="J394" s="667"/>
      <c r="K394" s="667"/>
      <c r="L394" s="667"/>
      <c r="M394" s="667"/>
      <c r="N394" s="667"/>
      <c r="O394" s="667"/>
      <c r="P394" s="667"/>
      <c r="Q394" s="667"/>
    </row>
    <row r="395" ht="15.75" customHeight="1">
      <c r="B395" s="466"/>
      <c r="C395" s="667"/>
      <c r="D395" s="667"/>
      <c r="E395" s="668"/>
      <c r="F395" s="667"/>
      <c r="G395" s="667"/>
      <c r="H395" s="667"/>
      <c r="I395" s="667"/>
      <c r="J395" s="667"/>
      <c r="K395" s="667"/>
      <c r="L395" s="667"/>
      <c r="M395" s="667"/>
      <c r="N395" s="667"/>
      <c r="O395" s="667"/>
      <c r="P395" s="667"/>
      <c r="Q395" s="667"/>
    </row>
    <row r="396" ht="15.75" customHeight="1">
      <c r="B396" s="466"/>
      <c r="C396" s="667"/>
      <c r="D396" s="667"/>
      <c r="E396" s="668"/>
      <c r="F396" s="667"/>
      <c r="G396" s="667"/>
      <c r="H396" s="667"/>
      <c r="I396" s="667"/>
      <c r="J396" s="667"/>
      <c r="K396" s="667"/>
      <c r="L396" s="667"/>
      <c r="M396" s="667"/>
      <c r="N396" s="667"/>
      <c r="O396" s="667"/>
      <c r="P396" s="667"/>
      <c r="Q396" s="667"/>
    </row>
    <row r="397" ht="15.75" customHeight="1">
      <c r="B397" s="466"/>
      <c r="C397" s="667"/>
      <c r="D397" s="667"/>
      <c r="E397" s="668"/>
      <c r="F397" s="667"/>
      <c r="G397" s="667"/>
      <c r="H397" s="667"/>
      <c r="I397" s="667"/>
      <c r="J397" s="667"/>
      <c r="K397" s="667"/>
      <c r="L397" s="667"/>
      <c r="M397" s="667"/>
      <c r="N397" s="667"/>
      <c r="O397" s="667"/>
      <c r="P397" s="667"/>
      <c r="Q397" s="667"/>
    </row>
    <row r="398" ht="15.75" customHeight="1">
      <c r="B398" s="466"/>
      <c r="C398" s="667"/>
      <c r="D398" s="667"/>
      <c r="E398" s="668"/>
      <c r="F398" s="667"/>
      <c r="G398" s="667"/>
      <c r="H398" s="667"/>
      <c r="I398" s="667"/>
      <c r="J398" s="667"/>
      <c r="K398" s="667"/>
      <c r="L398" s="667"/>
      <c r="M398" s="667"/>
      <c r="N398" s="667"/>
      <c r="O398" s="667"/>
      <c r="P398" s="667"/>
      <c r="Q398" s="667"/>
    </row>
    <row r="399" ht="15.75" customHeight="1">
      <c r="B399" s="466"/>
      <c r="C399" s="667"/>
      <c r="D399" s="667"/>
      <c r="E399" s="668"/>
      <c r="F399" s="667"/>
      <c r="G399" s="667"/>
      <c r="H399" s="667"/>
      <c r="I399" s="667"/>
      <c r="J399" s="667"/>
      <c r="K399" s="667"/>
      <c r="L399" s="667"/>
      <c r="M399" s="667"/>
      <c r="N399" s="667"/>
      <c r="O399" s="667"/>
      <c r="P399" s="667"/>
      <c r="Q399" s="667"/>
    </row>
    <row r="400" ht="15.75" customHeight="1">
      <c r="B400" s="466"/>
      <c r="C400" s="667"/>
      <c r="D400" s="667"/>
      <c r="E400" s="668"/>
      <c r="F400" s="667"/>
      <c r="G400" s="667"/>
      <c r="H400" s="667"/>
      <c r="I400" s="667"/>
      <c r="J400" s="667"/>
      <c r="K400" s="667"/>
      <c r="L400" s="667"/>
      <c r="M400" s="667"/>
      <c r="N400" s="667"/>
      <c r="O400" s="667"/>
      <c r="P400" s="667"/>
      <c r="Q400" s="667"/>
    </row>
    <row r="401" ht="15.75" customHeight="1">
      <c r="B401" s="466"/>
      <c r="C401" s="667"/>
      <c r="D401" s="667"/>
      <c r="E401" s="668"/>
      <c r="F401" s="667"/>
      <c r="G401" s="667"/>
      <c r="H401" s="667"/>
      <c r="I401" s="667"/>
      <c r="J401" s="667"/>
      <c r="K401" s="667"/>
      <c r="L401" s="667"/>
      <c r="M401" s="667"/>
      <c r="N401" s="667"/>
      <c r="O401" s="667"/>
      <c r="P401" s="667"/>
      <c r="Q401" s="667"/>
    </row>
    <row r="402" ht="15.75" customHeight="1">
      <c r="B402" s="466"/>
      <c r="C402" s="667"/>
      <c r="D402" s="667"/>
      <c r="E402" s="668"/>
      <c r="F402" s="667"/>
      <c r="G402" s="667"/>
      <c r="H402" s="667"/>
      <c r="I402" s="667"/>
      <c r="J402" s="667"/>
      <c r="K402" s="667"/>
      <c r="L402" s="667"/>
      <c r="M402" s="667"/>
      <c r="N402" s="667"/>
      <c r="O402" s="667"/>
      <c r="P402" s="667"/>
      <c r="Q402" s="667"/>
    </row>
    <row r="403" ht="15.75" customHeight="1">
      <c r="B403" s="466"/>
      <c r="C403" s="667"/>
      <c r="D403" s="667"/>
      <c r="E403" s="668"/>
      <c r="F403" s="667"/>
      <c r="G403" s="667"/>
      <c r="H403" s="667"/>
      <c r="I403" s="667"/>
      <c r="J403" s="667"/>
      <c r="K403" s="667"/>
      <c r="L403" s="667"/>
      <c r="M403" s="667"/>
      <c r="N403" s="667"/>
      <c r="O403" s="667"/>
      <c r="P403" s="667"/>
      <c r="Q403" s="667"/>
    </row>
    <row r="404" ht="15.75" customHeight="1">
      <c r="B404" s="466"/>
      <c r="C404" s="667"/>
      <c r="D404" s="667"/>
      <c r="E404" s="668"/>
      <c r="F404" s="667"/>
      <c r="G404" s="667"/>
      <c r="H404" s="667"/>
      <c r="I404" s="667"/>
      <c r="J404" s="667"/>
      <c r="K404" s="667"/>
      <c r="L404" s="667"/>
      <c r="M404" s="667"/>
      <c r="N404" s="667"/>
      <c r="O404" s="667"/>
      <c r="P404" s="667"/>
      <c r="Q404" s="667"/>
    </row>
    <row r="405" ht="15.75" customHeight="1">
      <c r="B405" s="466"/>
      <c r="C405" s="667"/>
      <c r="D405" s="667"/>
      <c r="E405" s="668"/>
      <c r="F405" s="667"/>
      <c r="G405" s="667"/>
      <c r="H405" s="667"/>
      <c r="I405" s="667"/>
      <c r="J405" s="667"/>
      <c r="K405" s="667"/>
      <c r="L405" s="667"/>
      <c r="M405" s="667"/>
      <c r="N405" s="667"/>
      <c r="O405" s="667"/>
      <c r="P405" s="667"/>
      <c r="Q405" s="667"/>
    </row>
    <row r="406" ht="15.75" customHeight="1">
      <c r="B406" s="466"/>
      <c r="C406" s="667"/>
      <c r="D406" s="667"/>
      <c r="E406" s="668"/>
      <c r="F406" s="667"/>
      <c r="G406" s="667"/>
      <c r="H406" s="667"/>
      <c r="I406" s="667"/>
      <c r="J406" s="667"/>
      <c r="K406" s="667"/>
      <c r="L406" s="667"/>
      <c r="M406" s="667"/>
      <c r="N406" s="667"/>
      <c r="O406" s="667"/>
      <c r="P406" s="667"/>
      <c r="Q406" s="667"/>
    </row>
    <row r="407" ht="15.75" customHeight="1">
      <c r="B407" s="466"/>
      <c r="C407" s="667"/>
      <c r="D407" s="667"/>
      <c r="E407" s="668"/>
      <c r="F407" s="667"/>
      <c r="G407" s="667"/>
      <c r="H407" s="667"/>
      <c r="I407" s="667"/>
      <c r="J407" s="667"/>
      <c r="K407" s="667"/>
      <c r="L407" s="667"/>
      <c r="M407" s="667"/>
      <c r="N407" s="667"/>
      <c r="O407" s="667"/>
      <c r="P407" s="667"/>
      <c r="Q407" s="667"/>
    </row>
    <row r="408" ht="15.75" customHeight="1">
      <c r="B408" s="466"/>
      <c r="C408" s="667"/>
      <c r="D408" s="667"/>
      <c r="E408" s="668"/>
      <c r="F408" s="667"/>
      <c r="G408" s="667"/>
      <c r="H408" s="667"/>
      <c r="I408" s="667"/>
      <c r="J408" s="667"/>
      <c r="K408" s="667"/>
      <c r="L408" s="667"/>
      <c r="M408" s="667"/>
      <c r="N408" s="667"/>
      <c r="O408" s="667"/>
      <c r="P408" s="667"/>
      <c r="Q408" s="667"/>
    </row>
    <row r="409" ht="15.75" customHeight="1">
      <c r="B409" s="466"/>
      <c r="C409" s="667"/>
      <c r="D409" s="667"/>
      <c r="E409" s="668"/>
      <c r="F409" s="667"/>
      <c r="G409" s="667"/>
      <c r="H409" s="667"/>
      <c r="I409" s="667"/>
      <c r="J409" s="667"/>
      <c r="K409" s="667"/>
      <c r="L409" s="667"/>
      <c r="M409" s="667"/>
      <c r="N409" s="667"/>
      <c r="O409" s="667"/>
      <c r="P409" s="667"/>
      <c r="Q409" s="667"/>
    </row>
    <row r="410" ht="15.75" customHeight="1">
      <c r="B410" s="466"/>
      <c r="C410" s="667"/>
      <c r="D410" s="667"/>
      <c r="E410" s="668"/>
      <c r="F410" s="667"/>
      <c r="G410" s="667"/>
      <c r="H410" s="667"/>
      <c r="I410" s="667"/>
      <c r="J410" s="667"/>
      <c r="K410" s="667"/>
      <c r="L410" s="667"/>
      <c r="M410" s="667"/>
      <c r="N410" s="667"/>
      <c r="O410" s="667"/>
      <c r="P410" s="667"/>
      <c r="Q410" s="667"/>
    </row>
    <row r="411" ht="15.75" customHeight="1">
      <c r="B411" s="466"/>
      <c r="C411" s="667"/>
      <c r="D411" s="667"/>
      <c r="E411" s="668"/>
      <c r="F411" s="667"/>
      <c r="G411" s="667"/>
      <c r="H411" s="667"/>
      <c r="I411" s="667"/>
      <c r="J411" s="667"/>
      <c r="K411" s="667"/>
      <c r="L411" s="667"/>
      <c r="M411" s="667"/>
      <c r="N411" s="667"/>
      <c r="O411" s="667"/>
      <c r="P411" s="667"/>
      <c r="Q411" s="667"/>
    </row>
    <row r="412" ht="15.75" customHeight="1">
      <c r="B412" s="466"/>
      <c r="C412" s="667"/>
      <c r="D412" s="667"/>
      <c r="E412" s="668"/>
      <c r="F412" s="667"/>
      <c r="G412" s="667"/>
      <c r="H412" s="667"/>
      <c r="I412" s="667"/>
      <c r="J412" s="667"/>
      <c r="K412" s="667"/>
      <c r="L412" s="667"/>
      <c r="M412" s="667"/>
      <c r="N412" s="667"/>
      <c r="O412" s="667"/>
      <c r="P412" s="667"/>
      <c r="Q412" s="667"/>
    </row>
    <row r="413" ht="15.75" customHeight="1">
      <c r="B413" s="466"/>
      <c r="C413" s="667"/>
      <c r="D413" s="667"/>
      <c r="E413" s="668"/>
      <c r="F413" s="667"/>
      <c r="G413" s="667"/>
      <c r="H413" s="667"/>
      <c r="I413" s="667"/>
      <c r="J413" s="667"/>
      <c r="K413" s="667"/>
      <c r="L413" s="667"/>
      <c r="M413" s="667"/>
      <c r="N413" s="667"/>
      <c r="O413" s="667"/>
      <c r="P413" s="667"/>
      <c r="Q413" s="667"/>
    </row>
    <row r="414" ht="15.75" customHeight="1">
      <c r="B414" s="466"/>
      <c r="C414" s="667"/>
      <c r="D414" s="667"/>
      <c r="E414" s="668"/>
      <c r="F414" s="667"/>
      <c r="G414" s="667"/>
      <c r="H414" s="667"/>
      <c r="I414" s="667"/>
      <c r="J414" s="667"/>
      <c r="K414" s="667"/>
      <c r="L414" s="667"/>
      <c r="M414" s="667"/>
      <c r="N414" s="667"/>
      <c r="O414" s="667"/>
      <c r="P414" s="667"/>
      <c r="Q414" s="667"/>
    </row>
    <row r="415" ht="15.75" customHeight="1">
      <c r="B415" s="466"/>
      <c r="C415" s="667"/>
      <c r="D415" s="667"/>
      <c r="E415" s="668"/>
      <c r="F415" s="667"/>
      <c r="G415" s="667"/>
      <c r="H415" s="667"/>
      <c r="I415" s="667"/>
      <c r="J415" s="667"/>
      <c r="K415" s="667"/>
      <c r="L415" s="667"/>
      <c r="M415" s="667"/>
      <c r="N415" s="667"/>
      <c r="O415" s="667"/>
      <c r="P415" s="667"/>
      <c r="Q415" s="667"/>
    </row>
    <row r="416" ht="15.75" customHeight="1">
      <c r="B416" s="466"/>
      <c r="C416" s="667"/>
      <c r="D416" s="667"/>
      <c r="E416" s="668"/>
      <c r="F416" s="667"/>
      <c r="G416" s="667"/>
      <c r="H416" s="667"/>
      <c r="I416" s="667"/>
      <c r="J416" s="667"/>
      <c r="K416" s="667"/>
      <c r="L416" s="667"/>
      <c r="M416" s="667"/>
      <c r="N416" s="667"/>
      <c r="O416" s="667"/>
      <c r="P416" s="667"/>
      <c r="Q416" s="667"/>
    </row>
    <row r="417" ht="15.75" customHeight="1">
      <c r="B417" s="466"/>
      <c r="C417" s="667"/>
      <c r="D417" s="667"/>
      <c r="E417" s="668"/>
      <c r="F417" s="667"/>
      <c r="G417" s="667"/>
      <c r="H417" s="667"/>
      <c r="I417" s="667"/>
      <c r="J417" s="667"/>
      <c r="K417" s="667"/>
      <c r="L417" s="667"/>
      <c r="M417" s="667"/>
      <c r="N417" s="667"/>
      <c r="O417" s="667"/>
      <c r="P417" s="667"/>
      <c r="Q417" s="667"/>
    </row>
    <row r="418" ht="15.75" customHeight="1">
      <c r="B418" s="466"/>
      <c r="C418" s="667"/>
      <c r="D418" s="667"/>
      <c r="E418" s="668"/>
      <c r="F418" s="667"/>
      <c r="G418" s="667"/>
      <c r="H418" s="667"/>
      <c r="I418" s="667"/>
      <c r="J418" s="667"/>
      <c r="K418" s="667"/>
      <c r="L418" s="667"/>
      <c r="M418" s="667"/>
      <c r="N418" s="667"/>
      <c r="O418" s="667"/>
      <c r="P418" s="667"/>
      <c r="Q418" s="667"/>
    </row>
    <row r="419" ht="15.75" customHeight="1">
      <c r="B419" s="466"/>
      <c r="C419" s="667"/>
      <c r="D419" s="667"/>
      <c r="E419" s="668"/>
      <c r="F419" s="667"/>
      <c r="G419" s="667"/>
      <c r="H419" s="667"/>
      <c r="I419" s="667"/>
      <c r="J419" s="667"/>
      <c r="K419" s="667"/>
      <c r="L419" s="667"/>
      <c r="M419" s="667"/>
      <c r="N419" s="667"/>
      <c r="O419" s="667"/>
      <c r="P419" s="667"/>
      <c r="Q419" s="667"/>
    </row>
    <row r="420" ht="15.75" customHeight="1">
      <c r="B420" s="466"/>
      <c r="C420" s="667"/>
      <c r="D420" s="667"/>
      <c r="E420" s="668"/>
      <c r="F420" s="667"/>
      <c r="G420" s="667"/>
      <c r="H420" s="667"/>
      <c r="I420" s="667"/>
      <c r="J420" s="667"/>
      <c r="K420" s="667"/>
      <c r="L420" s="667"/>
      <c r="M420" s="667"/>
      <c r="N420" s="667"/>
      <c r="O420" s="667"/>
      <c r="P420" s="667"/>
      <c r="Q420" s="667"/>
    </row>
    <row r="421" ht="15.75" customHeight="1">
      <c r="B421" s="466"/>
      <c r="C421" s="667"/>
      <c r="D421" s="667"/>
      <c r="E421" s="668"/>
      <c r="F421" s="667"/>
      <c r="G421" s="667"/>
      <c r="H421" s="667"/>
      <c r="I421" s="667"/>
      <c r="J421" s="667"/>
      <c r="K421" s="667"/>
      <c r="L421" s="667"/>
      <c r="M421" s="667"/>
      <c r="N421" s="667"/>
      <c r="O421" s="667"/>
      <c r="P421" s="667"/>
      <c r="Q421" s="667"/>
    </row>
    <row r="422" ht="15.75" customHeight="1">
      <c r="B422" s="466"/>
      <c r="C422" s="667"/>
      <c r="D422" s="667"/>
      <c r="E422" s="668"/>
      <c r="F422" s="667"/>
      <c r="G422" s="667"/>
      <c r="H422" s="667"/>
      <c r="I422" s="667"/>
      <c r="J422" s="667"/>
      <c r="K422" s="667"/>
      <c r="L422" s="667"/>
      <c r="M422" s="667"/>
      <c r="N422" s="667"/>
      <c r="O422" s="667"/>
      <c r="P422" s="667"/>
      <c r="Q422" s="667"/>
    </row>
    <row r="423" ht="15.75" customHeight="1">
      <c r="B423" s="466"/>
      <c r="C423" s="667"/>
      <c r="D423" s="667"/>
      <c r="E423" s="668"/>
      <c r="F423" s="667"/>
      <c r="G423" s="667"/>
      <c r="H423" s="667"/>
      <c r="I423" s="667"/>
      <c r="J423" s="667"/>
      <c r="K423" s="667"/>
      <c r="L423" s="667"/>
      <c r="M423" s="667"/>
      <c r="N423" s="667"/>
      <c r="O423" s="667"/>
      <c r="P423" s="667"/>
      <c r="Q423" s="667"/>
    </row>
    <row r="424" ht="15.75" customHeight="1">
      <c r="B424" s="466"/>
      <c r="C424" s="667"/>
      <c r="D424" s="667"/>
      <c r="E424" s="668"/>
      <c r="F424" s="667"/>
      <c r="G424" s="667"/>
      <c r="H424" s="667"/>
      <c r="I424" s="667"/>
      <c r="J424" s="667"/>
      <c r="K424" s="667"/>
      <c r="L424" s="667"/>
      <c r="M424" s="667"/>
      <c r="N424" s="667"/>
      <c r="O424" s="667"/>
      <c r="P424" s="667"/>
      <c r="Q424" s="667"/>
    </row>
    <row r="425" ht="15.75" customHeight="1">
      <c r="B425" s="466"/>
      <c r="C425" s="667"/>
      <c r="D425" s="667"/>
      <c r="E425" s="668"/>
      <c r="F425" s="667"/>
      <c r="G425" s="667"/>
      <c r="H425" s="667"/>
      <c r="I425" s="667"/>
      <c r="J425" s="667"/>
      <c r="K425" s="667"/>
      <c r="L425" s="667"/>
      <c r="M425" s="667"/>
      <c r="N425" s="667"/>
      <c r="O425" s="667"/>
      <c r="P425" s="667"/>
      <c r="Q425" s="667"/>
    </row>
    <row r="426" ht="15.75" customHeight="1">
      <c r="B426" s="466"/>
      <c r="C426" s="667"/>
      <c r="D426" s="667"/>
      <c r="E426" s="668"/>
      <c r="F426" s="667"/>
      <c r="G426" s="667"/>
      <c r="H426" s="667"/>
      <c r="I426" s="667"/>
      <c r="J426" s="667"/>
      <c r="K426" s="667"/>
      <c r="L426" s="667"/>
      <c r="M426" s="667"/>
      <c r="N426" s="667"/>
      <c r="O426" s="667"/>
      <c r="P426" s="667"/>
      <c r="Q426" s="667"/>
    </row>
    <row r="427" ht="15.75" customHeight="1">
      <c r="B427" s="466"/>
      <c r="C427" s="667"/>
      <c r="D427" s="667"/>
      <c r="E427" s="668"/>
      <c r="F427" s="667"/>
      <c r="G427" s="667"/>
      <c r="H427" s="667"/>
      <c r="I427" s="667"/>
      <c r="J427" s="667"/>
      <c r="K427" s="667"/>
      <c r="L427" s="667"/>
      <c r="M427" s="667"/>
      <c r="N427" s="667"/>
      <c r="O427" s="667"/>
      <c r="P427" s="667"/>
      <c r="Q427" s="667"/>
    </row>
    <row r="428" ht="15.75" customHeight="1">
      <c r="B428" s="466"/>
      <c r="C428" s="667"/>
      <c r="D428" s="667"/>
      <c r="E428" s="668"/>
      <c r="F428" s="667"/>
      <c r="G428" s="667"/>
      <c r="H428" s="667"/>
      <c r="I428" s="667"/>
      <c r="J428" s="667"/>
      <c r="K428" s="667"/>
      <c r="L428" s="667"/>
      <c r="M428" s="667"/>
      <c r="N428" s="667"/>
      <c r="O428" s="667"/>
      <c r="P428" s="667"/>
      <c r="Q428" s="667"/>
    </row>
    <row r="429" ht="15.75" customHeight="1">
      <c r="B429" s="466"/>
      <c r="C429" s="667"/>
      <c r="D429" s="667"/>
      <c r="E429" s="668"/>
      <c r="F429" s="667"/>
      <c r="G429" s="667"/>
      <c r="H429" s="667"/>
      <c r="I429" s="667"/>
      <c r="J429" s="667"/>
      <c r="K429" s="667"/>
      <c r="L429" s="667"/>
      <c r="M429" s="667"/>
      <c r="N429" s="667"/>
      <c r="O429" s="667"/>
      <c r="P429" s="667"/>
      <c r="Q429" s="667"/>
    </row>
    <row r="430" ht="15.75" customHeight="1">
      <c r="B430" s="466"/>
      <c r="C430" s="667"/>
      <c r="D430" s="667"/>
      <c r="E430" s="668"/>
      <c r="F430" s="667"/>
      <c r="G430" s="667"/>
      <c r="H430" s="667"/>
      <c r="I430" s="667"/>
      <c r="J430" s="667"/>
      <c r="K430" s="667"/>
      <c r="L430" s="667"/>
      <c r="M430" s="667"/>
      <c r="N430" s="667"/>
      <c r="O430" s="667"/>
      <c r="P430" s="667"/>
      <c r="Q430" s="667"/>
    </row>
    <row r="431" ht="15.75" customHeight="1">
      <c r="B431" s="466"/>
      <c r="C431" s="667"/>
      <c r="D431" s="667"/>
      <c r="E431" s="668"/>
      <c r="F431" s="667"/>
      <c r="G431" s="667"/>
      <c r="H431" s="667"/>
      <c r="I431" s="667"/>
      <c r="J431" s="667"/>
      <c r="K431" s="667"/>
      <c r="L431" s="667"/>
      <c r="M431" s="667"/>
      <c r="N431" s="667"/>
      <c r="O431" s="667"/>
      <c r="P431" s="667"/>
      <c r="Q431" s="667"/>
    </row>
    <row r="432" ht="15.75" customHeight="1">
      <c r="B432" s="466"/>
      <c r="C432" s="667"/>
      <c r="D432" s="667"/>
      <c r="E432" s="668"/>
      <c r="F432" s="667"/>
      <c r="G432" s="667"/>
      <c r="H432" s="667"/>
      <c r="I432" s="667"/>
      <c r="J432" s="667"/>
      <c r="K432" s="667"/>
      <c r="L432" s="667"/>
      <c r="M432" s="667"/>
      <c r="N432" s="667"/>
      <c r="O432" s="667"/>
      <c r="P432" s="667"/>
      <c r="Q432" s="667"/>
    </row>
    <row r="433" ht="15.75" customHeight="1">
      <c r="B433" s="466"/>
      <c r="C433" s="667"/>
      <c r="D433" s="667"/>
      <c r="E433" s="668"/>
      <c r="F433" s="667"/>
      <c r="G433" s="667"/>
      <c r="H433" s="667"/>
      <c r="I433" s="667"/>
      <c r="J433" s="667"/>
      <c r="K433" s="667"/>
      <c r="L433" s="667"/>
      <c r="M433" s="667"/>
      <c r="N433" s="667"/>
      <c r="O433" s="667"/>
      <c r="P433" s="667"/>
      <c r="Q433" s="667"/>
    </row>
    <row r="434" ht="15.75" customHeight="1">
      <c r="B434" s="466"/>
      <c r="C434" s="667"/>
      <c r="D434" s="667"/>
      <c r="E434" s="668"/>
      <c r="F434" s="667"/>
      <c r="G434" s="667"/>
      <c r="H434" s="667"/>
      <c r="I434" s="667"/>
      <c r="J434" s="667"/>
      <c r="K434" s="667"/>
      <c r="L434" s="667"/>
      <c r="M434" s="667"/>
      <c r="N434" s="667"/>
      <c r="O434" s="667"/>
      <c r="P434" s="667"/>
      <c r="Q434" s="667"/>
    </row>
    <row r="435" ht="15.75" customHeight="1">
      <c r="B435" s="466"/>
      <c r="C435" s="667"/>
      <c r="D435" s="667"/>
      <c r="E435" s="668"/>
      <c r="F435" s="667"/>
      <c r="G435" s="667"/>
      <c r="H435" s="667"/>
      <c r="I435" s="667"/>
      <c r="J435" s="667"/>
      <c r="K435" s="667"/>
      <c r="L435" s="667"/>
      <c r="M435" s="667"/>
      <c r="N435" s="667"/>
      <c r="O435" s="667"/>
      <c r="P435" s="667"/>
      <c r="Q435" s="667"/>
    </row>
    <row r="436" ht="15.75" customHeight="1">
      <c r="B436" s="466"/>
      <c r="C436" s="667"/>
      <c r="D436" s="667"/>
      <c r="E436" s="668"/>
      <c r="F436" s="667"/>
      <c r="G436" s="667"/>
      <c r="H436" s="667"/>
      <c r="I436" s="667"/>
      <c r="J436" s="667"/>
      <c r="K436" s="667"/>
      <c r="L436" s="667"/>
      <c r="M436" s="667"/>
      <c r="N436" s="667"/>
      <c r="O436" s="667"/>
      <c r="P436" s="667"/>
      <c r="Q436" s="667"/>
    </row>
    <row r="437" ht="15.75" customHeight="1">
      <c r="B437" s="466"/>
      <c r="C437" s="667"/>
      <c r="D437" s="667"/>
      <c r="E437" s="668"/>
      <c r="F437" s="667"/>
      <c r="G437" s="667"/>
      <c r="H437" s="667"/>
      <c r="I437" s="667"/>
      <c r="J437" s="667"/>
      <c r="K437" s="667"/>
      <c r="L437" s="667"/>
      <c r="M437" s="667"/>
      <c r="N437" s="667"/>
      <c r="O437" s="667"/>
      <c r="P437" s="667"/>
      <c r="Q437" s="667"/>
    </row>
    <row r="438" ht="15.75" customHeight="1">
      <c r="B438" s="466"/>
      <c r="C438" s="667"/>
      <c r="D438" s="667"/>
      <c r="E438" s="668"/>
      <c r="F438" s="667"/>
      <c r="G438" s="667"/>
      <c r="H438" s="667"/>
      <c r="I438" s="667"/>
      <c r="J438" s="667"/>
      <c r="K438" s="667"/>
      <c r="L438" s="667"/>
      <c r="M438" s="667"/>
      <c r="N438" s="667"/>
      <c r="O438" s="667"/>
      <c r="P438" s="667"/>
      <c r="Q438" s="667"/>
    </row>
    <row r="439" ht="15.75" customHeight="1">
      <c r="B439" s="466"/>
      <c r="C439" s="667"/>
      <c r="D439" s="667"/>
      <c r="E439" s="668"/>
      <c r="F439" s="667"/>
      <c r="G439" s="667"/>
      <c r="H439" s="667"/>
      <c r="I439" s="667"/>
      <c r="J439" s="667"/>
      <c r="K439" s="667"/>
      <c r="L439" s="667"/>
      <c r="M439" s="667"/>
      <c r="N439" s="667"/>
      <c r="O439" s="667"/>
      <c r="P439" s="667"/>
      <c r="Q439" s="667"/>
    </row>
    <row r="440" ht="15.75" customHeight="1">
      <c r="B440" s="466"/>
      <c r="C440" s="667"/>
      <c r="D440" s="667"/>
      <c r="E440" s="668"/>
      <c r="F440" s="667"/>
      <c r="G440" s="667"/>
      <c r="H440" s="667"/>
      <c r="I440" s="667"/>
      <c r="J440" s="667"/>
      <c r="K440" s="667"/>
      <c r="L440" s="667"/>
      <c r="M440" s="667"/>
      <c r="N440" s="667"/>
      <c r="O440" s="667"/>
      <c r="P440" s="667"/>
      <c r="Q440" s="667"/>
    </row>
    <row r="441" ht="15.75" customHeight="1">
      <c r="B441" s="466"/>
      <c r="C441" s="667"/>
      <c r="D441" s="667"/>
      <c r="E441" s="668"/>
      <c r="F441" s="667"/>
      <c r="G441" s="667"/>
      <c r="H441" s="667"/>
      <c r="I441" s="667"/>
      <c r="J441" s="667"/>
      <c r="K441" s="667"/>
      <c r="L441" s="667"/>
      <c r="M441" s="667"/>
      <c r="N441" s="667"/>
      <c r="O441" s="667"/>
      <c r="P441" s="667"/>
      <c r="Q441" s="667"/>
    </row>
    <row r="442" ht="15.75" customHeight="1">
      <c r="B442" s="466"/>
      <c r="C442" s="667"/>
      <c r="D442" s="667"/>
      <c r="E442" s="668"/>
      <c r="F442" s="667"/>
      <c r="G442" s="667"/>
      <c r="H442" s="667"/>
      <c r="I442" s="667"/>
      <c r="J442" s="667"/>
      <c r="K442" s="667"/>
      <c r="L442" s="667"/>
      <c r="M442" s="667"/>
      <c r="N442" s="667"/>
      <c r="O442" s="667"/>
      <c r="P442" s="667"/>
      <c r="Q442" s="667"/>
    </row>
    <row r="443" ht="15.75" customHeight="1">
      <c r="B443" s="466"/>
      <c r="C443" s="667"/>
      <c r="D443" s="667"/>
      <c r="E443" s="668"/>
      <c r="F443" s="667"/>
      <c r="G443" s="667"/>
      <c r="H443" s="667"/>
      <c r="I443" s="667"/>
      <c r="J443" s="667"/>
      <c r="K443" s="667"/>
      <c r="L443" s="667"/>
      <c r="M443" s="667"/>
      <c r="N443" s="667"/>
      <c r="O443" s="667"/>
      <c r="P443" s="667"/>
      <c r="Q443" s="667"/>
    </row>
    <row r="444" ht="15.75" customHeight="1">
      <c r="B444" s="466"/>
      <c r="C444" s="667"/>
      <c r="D444" s="667"/>
      <c r="E444" s="668"/>
      <c r="F444" s="667"/>
      <c r="G444" s="667"/>
      <c r="H444" s="667"/>
      <c r="I444" s="667"/>
      <c r="J444" s="667"/>
      <c r="K444" s="667"/>
      <c r="L444" s="667"/>
      <c r="M444" s="667"/>
      <c r="N444" s="667"/>
      <c r="O444" s="667"/>
      <c r="P444" s="667"/>
      <c r="Q444" s="667"/>
    </row>
    <row r="445" ht="15.75" customHeight="1">
      <c r="B445" s="466"/>
      <c r="C445" s="667"/>
      <c r="D445" s="667"/>
      <c r="E445" s="668"/>
      <c r="F445" s="667"/>
      <c r="G445" s="667"/>
      <c r="H445" s="667"/>
      <c r="I445" s="667"/>
      <c r="J445" s="667"/>
      <c r="K445" s="667"/>
      <c r="L445" s="667"/>
      <c r="M445" s="667"/>
      <c r="N445" s="667"/>
      <c r="O445" s="667"/>
      <c r="P445" s="667"/>
      <c r="Q445" s="667"/>
    </row>
    <row r="446" ht="15.75" customHeight="1">
      <c r="B446" s="466"/>
      <c r="C446" s="667"/>
      <c r="D446" s="667"/>
      <c r="E446" s="668"/>
      <c r="F446" s="667"/>
      <c r="G446" s="667"/>
      <c r="H446" s="667"/>
      <c r="I446" s="667"/>
      <c r="J446" s="667"/>
      <c r="K446" s="667"/>
      <c r="L446" s="667"/>
      <c r="M446" s="667"/>
      <c r="N446" s="667"/>
      <c r="O446" s="667"/>
      <c r="P446" s="667"/>
      <c r="Q446" s="667"/>
    </row>
    <row r="447" ht="15.75" customHeight="1">
      <c r="B447" s="466"/>
      <c r="C447" s="667"/>
      <c r="D447" s="667"/>
      <c r="E447" s="668"/>
      <c r="F447" s="667"/>
      <c r="G447" s="667"/>
      <c r="H447" s="667"/>
      <c r="I447" s="667"/>
      <c r="J447" s="667"/>
      <c r="K447" s="667"/>
      <c r="L447" s="667"/>
      <c r="M447" s="667"/>
      <c r="N447" s="667"/>
      <c r="O447" s="667"/>
      <c r="P447" s="667"/>
      <c r="Q447" s="667"/>
    </row>
    <row r="448" ht="15.75" customHeight="1">
      <c r="B448" s="466"/>
      <c r="C448" s="667"/>
      <c r="D448" s="667"/>
      <c r="E448" s="668"/>
      <c r="F448" s="667"/>
      <c r="G448" s="667"/>
      <c r="H448" s="667"/>
      <c r="I448" s="667"/>
      <c r="J448" s="667"/>
      <c r="K448" s="667"/>
      <c r="L448" s="667"/>
      <c r="M448" s="667"/>
      <c r="N448" s="667"/>
      <c r="O448" s="667"/>
      <c r="P448" s="667"/>
      <c r="Q448" s="667"/>
    </row>
    <row r="449" ht="15.75" customHeight="1">
      <c r="B449" s="466"/>
      <c r="C449" s="667"/>
      <c r="D449" s="667"/>
      <c r="E449" s="668"/>
      <c r="F449" s="667"/>
      <c r="G449" s="667"/>
      <c r="H449" s="667"/>
      <c r="I449" s="667"/>
      <c r="J449" s="667"/>
      <c r="K449" s="667"/>
      <c r="L449" s="667"/>
      <c r="M449" s="667"/>
      <c r="N449" s="667"/>
      <c r="O449" s="667"/>
      <c r="P449" s="667"/>
      <c r="Q449" s="667"/>
    </row>
    <row r="450" ht="15.75" customHeight="1">
      <c r="B450" s="466"/>
      <c r="C450" s="667"/>
      <c r="D450" s="667"/>
      <c r="E450" s="668"/>
      <c r="F450" s="667"/>
      <c r="G450" s="667"/>
      <c r="H450" s="667"/>
      <c r="I450" s="667"/>
      <c r="J450" s="667"/>
      <c r="K450" s="667"/>
      <c r="L450" s="667"/>
      <c r="M450" s="667"/>
      <c r="N450" s="667"/>
      <c r="O450" s="667"/>
      <c r="P450" s="667"/>
      <c r="Q450" s="667"/>
    </row>
    <row r="451" ht="15.75" customHeight="1">
      <c r="B451" s="466"/>
      <c r="C451" s="667"/>
      <c r="D451" s="667"/>
      <c r="E451" s="668"/>
      <c r="F451" s="667"/>
      <c r="G451" s="667"/>
      <c r="H451" s="667"/>
      <c r="I451" s="667"/>
      <c r="J451" s="667"/>
      <c r="K451" s="667"/>
      <c r="L451" s="667"/>
      <c r="M451" s="667"/>
      <c r="N451" s="667"/>
      <c r="O451" s="667"/>
      <c r="P451" s="667"/>
      <c r="Q451" s="667"/>
    </row>
    <row r="452" ht="15.75" customHeight="1">
      <c r="B452" s="466"/>
      <c r="C452" s="667"/>
      <c r="D452" s="667"/>
      <c r="E452" s="668"/>
      <c r="F452" s="667"/>
      <c r="G452" s="667"/>
      <c r="H452" s="667"/>
      <c r="I452" s="667"/>
      <c r="J452" s="667"/>
      <c r="K452" s="667"/>
      <c r="L452" s="667"/>
      <c r="M452" s="667"/>
      <c r="N452" s="667"/>
      <c r="O452" s="667"/>
      <c r="P452" s="667"/>
      <c r="Q452" s="667"/>
    </row>
    <row r="453" ht="15.75" customHeight="1">
      <c r="B453" s="466"/>
      <c r="C453" s="667"/>
      <c r="D453" s="667"/>
      <c r="E453" s="668"/>
      <c r="F453" s="667"/>
      <c r="G453" s="667"/>
      <c r="H453" s="667"/>
      <c r="I453" s="667"/>
      <c r="J453" s="667"/>
      <c r="K453" s="667"/>
      <c r="L453" s="667"/>
      <c r="M453" s="667"/>
      <c r="N453" s="667"/>
      <c r="O453" s="667"/>
      <c r="P453" s="667"/>
      <c r="Q453" s="667"/>
    </row>
    <row r="454" ht="15.75" customHeight="1">
      <c r="B454" s="466"/>
      <c r="C454" s="667"/>
      <c r="D454" s="667"/>
      <c r="E454" s="668"/>
      <c r="F454" s="667"/>
      <c r="G454" s="667"/>
      <c r="H454" s="667"/>
      <c r="I454" s="667"/>
      <c r="J454" s="667"/>
      <c r="K454" s="667"/>
      <c r="L454" s="667"/>
      <c r="M454" s="667"/>
      <c r="N454" s="667"/>
      <c r="O454" s="667"/>
      <c r="P454" s="667"/>
      <c r="Q454" s="667"/>
    </row>
    <row r="455" ht="15.75" customHeight="1">
      <c r="B455" s="466"/>
      <c r="C455" s="667"/>
      <c r="D455" s="667"/>
      <c r="E455" s="668"/>
      <c r="F455" s="667"/>
      <c r="G455" s="667"/>
      <c r="H455" s="667"/>
      <c r="I455" s="667"/>
      <c r="J455" s="667"/>
      <c r="K455" s="667"/>
      <c r="L455" s="667"/>
      <c r="M455" s="667"/>
      <c r="N455" s="667"/>
      <c r="O455" s="667"/>
      <c r="P455" s="667"/>
      <c r="Q455" s="667"/>
    </row>
    <row r="456" ht="15.75" customHeight="1">
      <c r="B456" s="466"/>
      <c r="C456" s="667"/>
      <c r="D456" s="667"/>
      <c r="E456" s="668"/>
      <c r="F456" s="667"/>
      <c r="G456" s="667"/>
      <c r="H456" s="667"/>
      <c r="I456" s="667"/>
      <c r="J456" s="667"/>
      <c r="K456" s="667"/>
      <c r="L456" s="667"/>
      <c r="M456" s="667"/>
      <c r="N456" s="667"/>
      <c r="O456" s="667"/>
      <c r="P456" s="667"/>
      <c r="Q456" s="667"/>
    </row>
    <row r="457" ht="15.75" customHeight="1">
      <c r="B457" s="466"/>
      <c r="C457" s="667"/>
      <c r="D457" s="667"/>
      <c r="E457" s="668"/>
      <c r="F457" s="667"/>
      <c r="G457" s="667"/>
      <c r="H457" s="667"/>
      <c r="I457" s="667"/>
      <c r="J457" s="667"/>
      <c r="K457" s="667"/>
      <c r="L457" s="667"/>
      <c r="M457" s="667"/>
      <c r="N457" s="667"/>
      <c r="O457" s="667"/>
      <c r="P457" s="667"/>
      <c r="Q457" s="667"/>
    </row>
    <row r="458" ht="15.75" customHeight="1">
      <c r="B458" s="466"/>
      <c r="C458" s="667"/>
      <c r="D458" s="667"/>
      <c r="E458" s="668"/>
      <c r="F458" s="667"/>
      <c r="G458" s="667"/>
      <c r="H458" s="667"/>
      <c r="I458" s="667"/>
      <c r="J458" s="667"/>
      <c r="K458" s="667"/>
      <c r="L458" s="667"/>
      <c r="M458" s="667"/>
      <c r="N458" s="667"/>
      <c r="O458" s="667"/>
      <c r="P458" s="667"/>
      <c r="Q458" s="667"/>
    </row>
    <row r="459" ht="15.75" customHeight="1">
      <c r="B459" s="466"/>
      <c r="C459" s="667"/>
      <c r="D459" s="667"/>
      <c r="E459" s="668"/>
      <c r="F459" s="667"/>
      <c r="G459" s="667"/>
      <c r="H459" s="667"/>
      <c r="I459" s="667"/>
      <c r="J459" s="667"/>
      <c r="K459" s="667"/>
      <c r="L459" s="667"/>
      <c r="M459" s="667"/>
      <c r="N459" s="667"/>
      <c r="O459" s="667"/>
      <c r="P459" s="667"/>
      <c r="Q459" s="667"/>
    </row>
    <row r="460" ht="15.75" customHeight="1">
      <c r="B460" s="466"/>
      <c r="C460" s="667"/>
      <c r="D460" s="667"/>
      <c r="E460" s="668"/>
      <c r="F460" s="667"/>
      <c r="G460" s="667"/>
      <c r="H460" s="667"/>
      <c r="I460" s="667"/>
      <c r="J460" s="667"/>
      <c r="K460" s="667"/>
      <c r="L460" s="667"/>
      <c r="M460" s="667"/>
      <c r="N460" s="667"/>
      <c r="O460" s="667"/>
      <c r="P460" s="667"/>
      <c r="Q460" s="667"/>
    </row>
    <row r="461" ht="15.75" customHeight="1">
      <c r="B461" s="466"/>
      <c r="C461" s="667"/>
      <c r="D461" s="667"/>
      <c r="E461" s="668"/>
      <c r="F461" s="667"/>
      <c r="G461" s="667"/>
      <c r="H461" s="667"/>
      <c r="I461" s="667"/>
      <c r="J461" s="667"/>
      <c r="K461" s="667"/>
      <c r="L461" s="667"/>
      <c r="M461" s="667"/>
      <c r="N461" s="667"/>
      <c r="O461" s="667"/>
      <c r="P461" s="667"/>
      <c r="Q461" s="667"/>
    </row>
    <row r="462" ht="15.75" customHeight="1">
      <c r="B462" s="466"/>
      <c r="C462" s="667"/>
      <c r="D462" s="667"/>
      <c r="E462" s="668"/>
      <c r="F462" s="667"/>
      <c r="G462" s="667"/>
      <c r="H462" s="667"/>
      <c r="I462" s="667"/>
      <c r="J462" s="667"/>
      <c r="K462" s="667"/>
      <c r="L462" s="667"/>
      <c r="M462" s="667"/>
      <c r="N462" s="667"/>
      <c r="O462" s="667"/>
      <c r="P462" s="667"/>
      <c r="Q462" s="667"/>
    </row>
    <row r="463" ht="15.75" customHeight="1">
      <c r="B463" s="466"/>
      <c r="C463" s="667"/>
      <c r="D463" s="667"/>
      <c r="E463" s="668"/>
      <c r="F463" s="667"/>
      <c r="G463" s="667"/>
      <c r="H463" s="667"/>
      <c r="I463" s="667"/>
      <c r="J463" s="667"/>
      <c r="K463" s="667"/>
      <c r="L463" s="667"/>
      <c r="M463" s="667"/>
      <c r="N463" s="667"/>
      <c r="O463" s="667"/>
      <c r="P463" s="667"/>
      <c r="Q463" s="667"/>
    </row>
    <row r="464" ht="15.75" customHeight="1">
      <c r="B464" s="466"/>
      <c r="C464" s="667"/>
      <c r="D464" s="667"/>
      <c r="E464" s="668"/>
      <c r="F464" s="667"/>
      <c r="G464" s="667"/>
      <c r="H464" s="667"/>
      <c r="I464" s="667"/>
      <c r="J464" s="667"/>
      <c r="K464" s="667"/>
      <c r="L464" s="667"/>
      <c r="M464" s="667"/>
      <c r="N464" s="667"/>
      <c r="O464" s="667"/>
      <c r="P464" s="667"/>
      <c r="Q464" s="667"/>
    </row>
    <row r="465" ht="15.75" customHeight="1">
      <c r="B465" s="466"/>
      <c r="C465" s="667"/>
      <c r="D465" s="667"/>
      <c r="E465" s="668"/>
      <c r="F465" s="667"/>
      <c r="G465" s="667"/>
      <c r="H465" s="667"/>
      <c r="I465" s="667"/>
      <c r="J465" s="667"/>
      <c r="K465" s="667"/>
      <c r="L465" s="667"/>
      <c r="M465" s="667"/>
      <c r="N465" s="667"/>
      <c r="O465" s="667"/>
      <c r="P465" s="667"/>
      <c r="Q465" s="667"/>
    </row>
    <row r="466" ht="15.75" customHeight="1">
      <c r="B466" s="466"/>
      <c r="C466" s="667"/>
      <c r="D466" s="667"/>
      <c r="E466" s="668"/>
      <c r="F466" s="667"/>
      <c r="G466" s="667"/>
      <c r="H466" s="667"/>
      <c r="I466" s="667"/>
      <c r="J466" s="667"/>
      <c r="K466" s="667"/>
      <c r="L466" s="667"/>
      <c r="M466" s="667"/>
      <c r="N466" s="667"/>
      <c r="O466" s="667"/>
      <c r="P466" s="667"/>
      <c r="Q466" s="667"/>
    </row>
    <row r="467" ht="15.75" customHeight="1">
      <c r="B467" s="466"/>
      <c r="C467" s="667"/>
      <c r="D467" s="667"/>
      <c r="E467" s="668"/>
      <c r="F467" s="667"/>
      <c r="G467" s="667"/>
      <c r="H467" s="667"/>
      <c r="I467" s="667"/>
      <c r="J467" s="667"/>
      <c r="K467" s="667"/>
      <c r="L467" s="667"/>
      <c r="M467" s="667"/>
      <c r="N467" s="667"/>
      <c r="O467" s="667"/>
      <c r="P467" s="667"/>
      <c r="Q467" s="667"/>
    </row>
    <row r="468" ht="15.75" customHeight="1">
      <c r="B468" s="466"/>
      <c r="C468" s="667"/>
      <c r="D468" s="667"/>
      <c r="E468" s="668"/>
      <c r="F468" s="667"/>
      <c r="G468" s="667"/>
      <c r="H468" s="667"/>
      <c r="I468" s="667"/>
      <c r="J468" s="667"/>
      <c r="K468" s="667"/>
      <c r="L468" s="667"/>
      <c r="M468" s="667"/>
      <c r="N468" s="667"/>
      <c r="O468" s="667"/>
      <c r="P468" s="667"/>
      <c r="Q468" s="667"/>
    </row>
    <row r="469" ht="15.75" customHeight="1">
      <c r="B469" s="466"/>
      <c r="C469" s="667"/>
      <c r="D469" s="667"/>
      <c r="E469" s="668"/>
      <c r="F469" s="667"/>
      <c r="G469" s="667"/>
      <c r="H469" s="667"/>
      <c r="I469" s="667"/>
      <c r="J469" s="667"/>
      <c r="K469" s="667"/>
      <c r="L469" s="667"/>
      <c r="M469" s="667"/>
      <c r="N469" s="667"/>
      <c r="O469" s="667"/>
      <c r="P469" s="667"/>
      <c r="Q469" s="667"/>
    </row>
    <row r="470" ht="15.75" customHeight="1">
      <c r="B470" s="466"/>
      <c r="C470" s="667"/>
      <c r="D470" s="667"/>
      <c r="E470" s="668"/>
      <c r="F470" s="667"/>
      <c r="G470" s="667"/>
      <c r="H470" s="667"/>
      <c r="I470" s="667"/>
      <c r="J470" s="667"/>
      <c r="K470" s="667"/>
      <c r="L470" s="667"/>
      <c r="M470" s="667"/>
      <c r="N470" s="667"/>
      <c r="O470" s="667"/>
      <c r="P470" s="667"/>
      <c r="Q470" s="667"/>
    </row>
    <row r="471" ht="15.75" customHeight="1">
      <c r="B471" s="466"/>
      <c r="C471" s="667"/>
      <c r="D471" s="667"/>
      <c r="E471" s="668"/>
      <c r="F471" s="667"/>
      <c r="G471" s="667"/>
      <c r="H471" s="667"/>
      <c r="I471" s="667"/>
      <c r="J471" s="667"/>
      <c r="K471" s="667"/>
      <c r="L471" s="667"/>
      <c r="M471" s="667"/>
      <c r="N471" s="667"/>
      <c r="O471" s="667"/>
      <c r="P471" s="667"/>
      <c r="Q471" s="667"/>
    </row>
    <row r="472" ht="15.75" customHeight="1">
      <c r="B472" s="466"/>
      <c r="C472" s="667"/>
      <c r="D472" s="667"/>
      <c r="E472" s="668"/>
      <c r="F472" s="667"/>
      <c r="G472" s="667"/>
      <c r="H472" s="667"/>
      <c r="I472" s="667"/>
      <c r="J472" s="667"/>
      <c r="K472" s="667"/>
      <c r="L472" s="667"/>
      <c r="M472" s="667"/>
      <c r="N472" s="667"/>
      <c r="O472" s="667"/>
      <c r="P472" s="667"/>
      <c r="Q472" s="667"/>
    </row>
    <row r="473" ht="15.75" customHeight="1">
      <c r="B473" s="466"/>
      <c r="C473" s="667"/>
      <c r="D473" s="667"/>
      <c r="E473" s="668"/>
      <c r="F473" s="667"/>
      <c r="G473" s="667"/>
      <c r="H473" s="667"/>
      <c r="I473" s="667"/>
      <c r="J473" s="667"/>
      <c r="K473" s="667"/>
      <c r="L473" s="667"/>
      <c r="M473" s="667"/>
      <c r="N473" s="667"/>
      <c r="O473" s="667"/>
      <c r="P473" s="667"/>
      <c r="Q473" s="667"/>
    </row>
    <row r="474" ht="15.75" customHeight="1">
      <c r="B474" s="466"/>
      <c r="C474" s="667"/>
      <c r="D474" s="667"/>
      <c r="E474" s="668"/>
      <c r="F474" s="667"/>
      <c r="G474" s="667"/>
      <c r="H474" s="667"/>
      <c r="I474" s="667"/>
      <c r="J474" s="667"/>
      <c r="K474" s="667"/>
      <c r="L474" s="667"/>
      <c r="M474" s="667"/>
      <c r="N474" s="667"/>
      <c r="O474" s="667"/>
      <c r="P474" s="667"/>
      <c r="Q474" s="667"/>
    </row>
    <row r="475" ht="15.75" customHeight="1">
      <c r="B475" s="466"/>
      <c r="C475" s="667"/>
      <c r="D475" s="667"/>
      <c r="E475" s="668"/>
      <c r="F475" s="667"/>
      <c r="G475" s="667"/>
      <c r="H475" s="667"/>
      <c r="I475" s="667"/>
      <c r="J475" s="667"/>
      <c r="K475" s="667"/>
      <c r="L475" s="667"/>
      <c r="M475" s="667"/>
      <c r="N475" s="667"/>
      <c r="O475" s="667"/>
      <c r="P475" s="667"/>
      <c r="Q475" s="667"/>
    </row>
    <row r="476" ht="15.75" customHeight="1">
      <c r="B476" s="466"/>
      <c r="C476" s="667"/>
      <c r="D476" s="667"/>
      <c r="E476" s="668"/>
      <c r="F476" s="667"/>
      <c r="G476" s="667"/>
      <c r="H476" s="667"/>
      <c r="I476" s="667"/>
      <c r="J476" s="667"/>
      <c r="K476" s="667"/>
      <c r="L476" s="667"/>
      <c r="M476" s="667"/>
      <c r="N476" s="667"/>
      <c r="O476" s="667"/>
      <c r="P476" s="667"/>
      <c r="Q476" s="667"/>
    </row>
    <row r="477" ht="15.75" customHeight="1">
      <c r="B477" s="466"/>
      <c r="C477" s="667"/>
      <c r="D477" s="667"/>
      <c r="E477" s="668"/>
      <c r="F477" s="667"/>
      <c r="G477" s="667"/>
      <c r="H477" s="667"/>
      <c r="I477" s="667"/>
      <c r="J477" s="667"/>
      <c r="K477" s="667"/>
      <c r="L477" s="667"/>
      <c r="M477" s="667"/>
      <c r="N477" s="667"/>
      <c r="O477" s="667"/>
      <c r="P477" s="667"/>
      <c r="Q477" s="667"/>
    </row>
    <row r="478" ht="15.75" customHeight="1">
      <c r="B478" s="466"/>
      <c r="C478" s="667"/>
      <c r="D478" s="667"/>
      <c r="E478" s="668"/>
      <c r="F478" s="667"/>
      <c r="G478" s="667"/>
      <c r="H478" s="667"/>
      <c r="I478" s="667"/>
      <c r="J478" s="667"/>
      <c r="K478" s="667"/>
      <c r="L478" s="667"/>
      <c r="M478" s="667"/>
      <c r="N478" s="667"/>
      <c r="O478" s="667"/>
      <c r="P478" s="667"/>
      <c r="Q478" s="667"/>
    </row>
    <row r="479" ht="15.75" customHeight="1">
      <c r="B479" s="466"/>
      <c r="C479" s="667"/>
      <c r="D479" s="667"/>
      <c r="E479" s="668"/>
      <c r="F479" s="667"/>
      <c r="G479" s="667"/>
      <c r="H479" s="667"/>
      <c r="I479" s="667"/>
      <c r="J479" s="667"/>
      <c r="K479" s="667"/>
      <c r="L479" s="667"/>
      <c r="M479" s="667"/>
      <c r="N479" s="667"/>
      <c r="O479" s="667"/>
      <c r="P479" s="667"/>
      <c r="Q479" s="667"/>
    </row>
    <row r="480" ht="15.75" customHeight="1">
      <c r="B480" s="466"/>
      <c r="C480" s="667"/>
      <c r="D480" s="667"/>
      <c r="E480" s="668"/>
      <c r="F480" s="667"/>
      <c r="G480" s="667"/>
      <c r="H480" s="667"/>
      <c r="I480" s="667"/>
      <c r="J480" s="667"/>
      <c r="K480" s="667"/>
      <c r="L480" s="667"/>
      <c r="M480" s="667"/>
      <c r="N480" s="667"/>
      <c r="O480" s="667"/>
      <c r="P480" s="667"/>
      <c r="Q480" s="667"/>
    </row>
    <row r="481" ht="15.75" customHeight="1">
      <c r="B481" s="466"/>
      <c r="C481" s="667"/>
      <c r="D481" s="667"/>
      <c r="E481" s="668"/>
      <c r="F481" s="667"/>
      <c r="G481" s="667"/>
      <c r="H481" s="667"/>
      <c r="I481" s="667"/>
      <c r="J481" s="667"/>
      <c r="K481" s="667"/>
      <c r="L481" s="667"/>
      <c r="M481" s="667"/>
      <c r="N481" s="667"/>
      <c r="O481" s="667"/>
      <c r="P481" s="667"/>
      <c r="Q481" s="667"/>
    </row>
    <row r="482" ht="15.75" customHeight="1">
      <c r="B482" s="466"/>
      <c r="C482" s="667"/>
      <c r="D482" s="667"/>
      <c r="E482" s="668"/>
      <c r="F482" s="667"/>
      <c r="G482" s="667"/>
      <c r="H482" s="667"/>
      <c r="I482" s="667"/>
      <c r="J482" s="667"/>
      <c r="K482" s="667"/>
      <c r="L482" s="667"/>
      <c r="M482" s="667"/>
      <c r="N482" s="667"/>
      <c r="O482" s="667"/>
      <c r="P482" s="667"/>
      <c r="Q482" s="667"/>
    </row>
    <row r="483" ht="15.75" customHeight="1">
      <c r="B483" s="466"/>
      <c r="C483" s="667"/>
      <c r="D483" s="667"/>
      <c r="E483" s="668"/>
      <c r="F483" s="667"/>
      <c r="G483" s="667"/>
      <c r="H483" s="667"/>
      <c r="I483" s="667"/>
      <c r="J483" s="667"/>
      <c r="K483" s="667"/>
      <c r="L483" s="667"/>
      <c r="M483" s="667"/>
      <c r="N483" s="667"/>
      <c r="O483" s="667"/>
      <c r="P483" s="667"/>
      <c r="Q483" s="667"/>
    </row>
    <row r="484" ht="15.75" customHeight="1">
      <c r="B484" s="466"/>
      <c r="C484" s="667"/>
      <c r="D484" s="667"/>
      <c r="E484" s="668"/>
      <c r="F484" s="667"/>
      <c r="G484" s="667"/>
      <c r="H484" s="667"/>
      <c r="I484" s="667"/>
      <c r="J484" s="667"/>
      <c r="K484" s="667"/>
      <c r="L484" s="667"/>
      <c r="M484" s="667"/>
      <c r="N484" s="667"/>
      <c r="O484" s="667"/>
      <c r="P484" s="667"/>
      <c r="Q484" s="667"/>
    </row>
    <row r="485" ht="15.75" customHeight="1">
      <c r="B485" s="466"/>
      <c r="C485" s="667"/>
      <c r="D485" s="667"/>
      <c r="E485" s="668"/>
      <c r="F485" s="667"/>
      <c r="G485" s="667"/>
      <c r="H485" s="667"/>
      <c r="I485" s="667"/>
      <c r="J485" s="667"/>
      <c r="K485" s="667"/>
      <c r="L485" s="667"/>
      <c r="M485" s="667"/>
      <c r="N485" s="667"/>
      <c r="O485" s="667"/>
      <c r="P485" s="667"/>
      <c r="Q485" s="667"/>
    </row>
    <row r="486" ht="15.75" customHeight="1">
      <c r="B486" s="466"/>
      <c r="C486" s="667"/>
      <c r="D486" s="667"/>
      <c r="E486" s="668"/>
      <c r="F486" s="667"/>
      <c r="G486" s="667"/>
      <c r="H486" s="667"/>
      <c r="I486" s="667"/>
      <c r="J486" s="667"/>
      <c r="K486" s="667"/>
      <c r="L486" s="667"/>
      <c r="M486" s="667"/>
      <c r="N486" s="667"/>
      <c r="O486" s="667"/>
      <c r="P486" s="667"/>
      <c r="Q486" s="667"/>
    </row>
    <row r="487" ht="15.75" customHeight="1">
      <c r="B487" s="466"/>
      <c r="C487" s="667"/>
      <c r="D487" s="667"/>
      <c r="E487" s="668"/>
      <c r="F487" s="667"/>
      <c r="G487" s="667"/>
      <c r="H487" s="667"/>
      <c r="I487" s="667"/>
      <c r="J487" s="667"/>
      <c r="K487" s="667"/>
      <c r="L487" s="667"/>
      <c r="M487" s="667"/>
      <c r="N487" s="667"/>
      <c r="O487" s="667"/>
      <c r="P487" s="667"/>
      <c r="Q487" s="667"/>
    </row>
    <row r="488" ht="15.75" customHeight="1">
      <c r="B488" s="466"/>
      <c r="C488" s="667"/>
      <c r="D488" s="667"/>
      <c r="E488" s="668"/>
      <c r="F488" s="667"/>
      <c r="G488" s="667"/>
      <c r="H488" s="667"/>
      <c r="I488" s="667"/>
      <c r="J488" s="667"/>
      <c r="K488" s="667"/>
      <c r="L488" s="667"/>
      <c r="M488" s="667"/>
      <c r="N488" s="667"/>
      <c r="O488" s="667"/>
      <c r="P488" s="667"/>
      <c r="Q488" s="667"/>
    </row>
    <row r="489" ht="15.75" customHeight="1">
      <c r="B489" s="466"/>
      <c r="C489" s="667"/>
      <c r="D489" s="667"/>
      <c r="E489" s="668"/>
      <c r="F489" s="667"/>
      <c r="G489" s="667"/>
      <c r="H489" s="667"/>
      <c r="I489" s="667"/>
      <c r="J489" s="667"/>
      <c r="K489" s="667"/>
      <c r="L489" s="667"/>
      <c r="M489" s="667"/>
      <c r="N489" s="667"/>
      <c r="O489" s="667"/>
      <c r="P489" s="667"/>
      <c r="Q489" s="667"/>
    </row>
    <row r="490" ht="15.75" customHeight="1">
      <c r="B490" s="466"/>
      <c r="C490" s="667"/>
      <c r="D490" s="667"/>
      <c r="E490" s="668"/>
      <c r="F490" s="667"/>
      <c r="G490" s="667"/>
      <c r="H490" s="667"/>
      <c r="I490" s="667"/>
      <c r="J490" s="667"/>
      <c r="K490" s="667"/>
      <c r="L490" s="667"/>
      <c r="M490" s="667"/>
      <c r="N490" s="667"/>
      <c r="O490" s="667"/>
      <c r="P490" s="667"/>
      <c r="Q490" s="667"/>
    </row>
    <row r="491" ht="15.75" customHeight="1">
      <c r="B491" s="466"/>
      <c r="C491" s="667"/>
      <c r="D491" s="667"/>
      <c r="E491" s="668"/>
      <c r="F491" s="667"/>
      <c r="G491" s="667"/>
      <c r="H491" s="667"/>
      <c r="I491" s="667"/>
      <c r="J491" s="667"/>
      <c r="K491" s="667"/>
      <c r="L491" s="667"/>
      <c r="M491" s="667"/>
      <c r="N491" s="667"/>
      <c r="O491" s="667"/>
      <c r="P491" s="667"/>
      <c r="Q491" s="667"/>
    </row>
    <row r="492" ht="15.75" customHeight="1">
      <c r="B492" s="466"/>
      <c r="C492" s="667"/>
      <c r="D492" s="667"/>
      <c r="E492" s="668"/>
      <c r="F492" s="667"/>
      <c r="G492" s="667"/>
      <c r="H492" s="667"/>
      <c r="I492" s="667"/>
      <c r="J492" s="667"/>
      <c r="K492" s="667"/>
      <c r="L492" s="667"/>
      <c r="M492" s="667"/>
      <c r="N492" s="667"/>
      <c r="O492" s="667"/>
      <c r="P492" s="667"/>
      <c r="Q492" s="667"/>
    </row>
    <row r="493" ht="15.75" customHeight="1">
      <c r="B493" s="466"/>
      <c r="C493" s="667"/>
      <c r="D493" s="667"/>
      <c r="E493" s="668"/>
      <c r="F493" s="667"/>
      <c r="G493" s="667"/>
      <c r="H493" s="667"/>
      <c r="I493" s="667"/>
      <c r="J493" s="667"/>
      <c r="K493" s="667"/>
      <c r="L493" s="667"/>
      <c r="M493" s="667"/>
      <c r="N493" s="667"/>
      <c r="O493" s="667"/>
      <c r="P493" s="667"/>
      <c r="Q493" s="667"/>
    </row>
    <row r="494" ht="15.75" customHeight="1">
      <c r="B494" s="466"/>
      <c r="C494" s="667"/>
      <c r="D494" s="667"/>
      <c r="E494" s="668"/>
      <c r="F494" s="667"/>
      <c r="G494" s="667"/>
      <c r="H494" s="667"/>
      <c r="I494" s="667"/>
      <c r="J494" s="667"/>
      <c r="K494" s="667"/>
      <c r="L494" s="667"/>
      <c r="M494" s="667"/>
      <c r="N494" s="667"/>
      <c r="O494" s="667"/>
      <c r="P494" s="667"/>
      <c r="Q494" s="667"/>
    </row>
    <row r="495" ht="15.75" customHeight="1">
      <c r="B495" s="466"/>
      <c r="C495" s="667"/>
      <c r="D495" s="667"/>
      <c r="E495" s="668"/>
      <c r="F495" s="667"/>
      <c r="G495" s="667"/>
      <c r="H495" s="667"/>
      <c r="I495" s="667"/>
      <c r="J495" s="667"/>
      <c r="K495" s="667"/>
      <c r="L495" s="667"/>
      <c r="M495" s="667"/>
      <c r="N495" s="667"/>
      <c r="O495" s="667"/>
      <c r="P495" s="667"/>
      <c r="Q495" s="667"/>
    </row>
    <row r="496" ht="15.75" customHeight="1">
      <c r="B496" s="466"/>
      <c r="C496" s="667"/>
      <c r="D496" s="667"/>
      <c r="E496" s="668"/>
      <c r="F496" s="667"/>
      <c r="G496" s="667"/>
      <c r="H496" s="667"/>
      <c r="I496" s="667"/>
      <c r="J496" s="667"/>
      <c r="K496" s="667"/>
      <c r="L496" s="667"/>
      <c r="M496" s="667"/>
      <c r="N496" s="667"/>
      <c r="O496" s="667"/>
      <c r="P496" s="667"/>
      <c r="Q496" s="667"/>
    </row>
    <row r="497" ht="15.75" customHeight="1">
      <c r="B497" s="466"/>
      <c r="C497" s="667"/>
      <c r="D497" s="667"/>
      <c r="E497" s="668"/>
      <c r="F497" s="667"/>
      <c r="G497" s="667"/>
      <c r="H497" s="667"/>
      <c r="I497" s="667"/>
      <c r="J497" s="667"/>
      <c r="K497" s="667"/>
      <c r="L497" s="667"/>
      <c r="M497" s="667"/>
      <c r="N497" s="667"/>
      <c r="O497" s="667"/>
      <c r="P497" s="667"/>
      <c r="Q497" s="667"/>
    </row>
    <row r="498" ht="15.75" customHeight="1">
      <c r="B498" s="466"/>
      <c r="C498" s="667"/>
      <c r="D498" s="667"/>
      <c r="E498" s="668"/>
      <c r="F498" s="667"/>
      <c r="G498" s="667"/>
      <c r="H498" s="667"/>
      <c r="I498" s="667"/>
      <c r="J498" s="667"/>
      <c r="K498" s="667"/>
      <c r="L498" s="667"/>
      <c r="M498" s="667"/>
      <c r="N498" s="667"/>
      <c r="O498" s="667"/>
      <c r="P498" s="667"/>
      <c r="Q498" s="667"/>
    </row>
    <row r="499" ht="15.75" customHeight="1">
      <c r="B499" s="466"/>
      <c r="C499" s="667"/>
      <c r="D499" s="667"/>
      <c r="E499" s="668"/>
      <c r="F499" s="667"/>
      <c r="G499" s="667"/>
      <c r="H499" s="667"/>
      <c r="I499" s="667"/>
      <c r="J499" s="667"/>
      <c r="K499" s="667"/>
      <c r="L499" s="667"/>
      <c r="M499" s="667"/>
      <c r="N499" s="667"/>
      <c r="O499" s="667"/>
      <c r="P499" s="667"/>
      <c r="Q499" s="667"/>
    </row>
    <row r="500" ht="15.75" customHeight="1">
      <c r="B500" s="466"/>
      <c r="C500" s="667"/>
      <c r="D500" s="667"/>
      <c r="E500" s="668"/>
      <c r="F500" s="667"/>
      <c r="G500" s="667"/>
      <c r="H500" s="667"/>
      <c r="I500" s="667"/>
      <c r="J500" s="667"/>
      <c r="K500" s="667"/>
      <c r="L500" s="667"/>
      <c r="M500" s="667"/>
      <c r="N500" s="667"/>
      <c r="O500" s="667"/>
      <c r="P500" s="667"/>
      <c r="Q500" s="667"/>
    </row>
    <row r="501" ht="15.75" customHeight="1">
      <c r="B501" s="466"/>
      <c r="C501" s="667"/>
      <c r="D501" s="667"/>
      <c r="E501" s="668"/>
      <c r="F501" s="667"/>
      <c r="G501" s="667"/>
      <c r="H501" s="667"/>
      <c r="I501" s="667"/>
      <c r="J501" s="667"/>
      <c r="K501" s="667"/>
      <c r="L501" s="667"/>
      <c r="M501" s="667"/>
      <c r="N501" s="667"/>
      <c r="O501" s="667"/>
      <c r="P501" s="667"/>
      <c r="Q501" s="667"/>
    </row>
    <row r="502" ht="15.75" customHeight="1">
      <c r="B502" s="466"/>
      <c r="C502" s="667"/>
      <c r="D502" s="667"/>
      <c r="E502" s="668"/>
      <c r="F502" s="667"/>
      <c r="G502" s="667"/>
      <c r="H502" s="667"/>
      <c r="I502" s="667"/>
      <c r="J502" s="667"/>
      <c r="K502" s="667"/>
      <c r="L502" s="667"/>
      <c r="M502" s="667"/>
      <c r="N502" s="667"/>
      <c r="O502" s="667"/>
      <c r="P502" s="667"/>
      <c r="Q502" s="667"/>
    </row>
    <row r="503" ht="15.75" customHeight="1">
      <c r="B503" s="466"/>
      <c r="C503" s="667"/>
      <c r="D503" s="667"/>
      <c r="E503" s="668"/>
      <c r="F503" s="667"/>
      <c r="G503" s="667"/>
      <c r="H503" s="667"/>
      <c r="I503" s="667"/>
      <c r="J503" s="667"/>
      <c r="K503" s="667"/>
      <c r="L503" s="667"/>
      <c r="M503" s="667"/>
      <c r="N503" s="667"/>
      <c r="O503" s="667"/>
      <c r="P503" s="667"/>
      <c r="Q503" s="667"/>
    </row>
    <row r="504" ht="15.75" customHeight="1">
      <c r="B504" s="466"/>
      <c r="C504" s="667"/>
      <c r="D504" s="667"/>
      <c r="E504" s="668"/>
      <c r="F504" s="667"/>
      <c r="G504" s="667"/>
      <c r="H504" s="667"/>
      <c r="I504" s="667"/>
      <c r="J504" s="667"/>
      <c r="K504" s="667"/>
      <c r="L504" s="667"/>
      <c r="M504" s="667"/>
      <c r="N504" s="667"/>
      <c r="O504" s="667"/>
      <c r="P504" s="667"/>
      <c r="Q504" s="667"/>
    </row>
    <row r="505" ht="15.75" customHeight="1">
      <c r="B505" s="466"/>
      <c r="C505" s="667"/>
      <c r="D505" s="667"/>
      <c r="E505" s="668"/>
      <c r="F505" s="667"/>
      <c r="G505" s="667"/>
      <c r="H505" s="667"/>
      <c r="I505" s="667"/>
      <c r="J505" s="667"/>
      <c r="K505" s="667"/>
      <c r="L505" s="667"/>
      <c r="M505" s="667"/>
      <c r="N505" s="667"/>
      <c r="O505" s="667"/>
      <c r="P505" s="667"/>
      <c r="Q505" s="667"/>
    </row>
    <row r="506" ht="15.75" customHeight="1">
      <c r="B506" s="466"/>
      <c r="C506" s="667"/>
      <c r="D506" s="667"/>
      <c r="E506" s="668"/>
      <c r="F506" s="667"/>
      <c r="G506" s="667"/>
      <c r="H506" s="667"/>
      <c r="I506" s="667"/>
      <c r="J506" s="667"/>
      <c r="K506" s="667"/>
      <c r="L506" s="667"/>
      <c r="M506" s="667"/>
      <c r="N506" s="667"/>
      <c r="O506" s="667"/>
      <c r="P506" s="667"/>
      <c r="Q506" s="667"/>
    </row>
    <row r="507" ht="15.75" customHeight="1">
      <c r="B507" s="466"/>
      <c r="C507" s="667"/>
      <c r="D507" s="667"/>
      <c r="E507" s="668"/>
      <c r="F507" s="667"/>
      <c r="G507" s="667"/>
      <c r="H507" s="667"/>
      <c r="I507" s="667"/>
      <c r="J507" s="667"/>
      <c r="K507" s="667"/>
      <c r="L507" s="667"/>
      <c r="M507" s="667"/>
      <c r="N507" s="667"/>
      <c r="O507" s="667"/>
      <c r="P507" s="667"/>
      <c r="Q507" s="667"/>
    </row>
    <row r="508" ht="15.75" customHeight="1">
      <c r="B508" s="466"/>
      <c r="C508" s="667"/>
      <c r="D508" s="667"/>
      <c r="E508" s="668"/>
      <c r="F508" s="667"/>
      <c r="G508" s="667"/>
      <c r="H508" s="667"/>
      <c r="I508" s="667"/>
      <c r="J508" s="667"/>
      <c r="K508" s="667"/>
      <c r="L508" s="667"/>
      <c r="M508" s="667"/>
      <c r="N508" s="667"/>
      <c r="O508" s="667"/>
      <c r="P508" s="667"/>
      <c r="Q508" s="667"/>
    </row>
    <row r="509" ht="15.75" customHeight="1">
      <c r="B509" s="466"/>
      <c r="C509" s="667"/>
      <c r="D509" s="667"/>
      <c r="E509" s="668"/>
      <c r="F509" s="667"/>
      <c r="G509" s="667"/>
      <c r="H509" s="667"/>
      <c r="I509" s="667"/>
      <c r="J509" s="667"/>
      <c r="K509" s="667"/>
      <c r="L509" s="667"/>
      <c r="M509" s="667"/>
      <c r="N509" s="667"/>
      <c r="O509" s="667"/>
      <c r="P509" s="667"/>
      <c r="Q509" s="667"/>
    </row>
    <row r="510" ht="15.75" customHeight="1">
      <c r="B510" s="466"/>
      <c r="C510" s="667"/>
      <c r="D510" s="667"/>
      <c r="E510" s="668"/>
      <c r="F510" s="667"/>
      <c r="G510" s="667"/>
      <c r="H510" s="667"/>
      <c r="I510" s="667"/>
      <c r="J510" s="667"/>
      <c r="K510" s="667"/>
      <c r="L510" s="667"/>
      <c r="M510" s="667"/>
      <c r="N510" s="667"/>
      <c r="O510" s="667"/>
      <c r="P510" s="667"/>
      <c r="Q510" s="667"/>
    </row>
    <row r="511" ht="15.75" customHeight="1">
      <c r="B511" s="466"/>
      <c r="C511" s="667"/>
      <c r="D511" s="667"/>
      <c r="E511" s="668"/>
      <c r="F511" s="667"/>
      <c r="G511" s="667"/>
      <c r="H511" s="667"/>
      <c r="I511" s="667"/>
      <c r="J511" s="667"/>
      <c r="K511" s="667"/>
      <c r="L511" s="667"/>
      <c r="M511" s="667"/>
      <c r="N511" s="667"/>
      <c r="O511" s="667"/>
      <c r="P511" s="667"/>
      <c r="Q511" s="667"/>
    </row>
    <row r="512" ht="15.75" customHeight="1">
      <c r="B512" s="466"/>
      <c r="C512" s="667"/>
      <c r="D512" s="667"/>
      <c r="E512" s="668"/>
      <c r="F512" s="667"/>
      <c r="G512" s="667"/>
      <c r="H512" s="667"/>
      <c r="I512" s="667"/>
      <c r="J512" s="667"/>
      <c r="K512" s="667"/>
      <c r="L512" s="667"/>
      <c r="M512" s="667"/>
      <c r="N512" s="667"/>
      <c r="O512" s="667"/>
      <c r="P512" s="667"/>
      <c r="Q512" s="667"/>
    </row>
    <row r="513" ht="15.75" customHeight="1">
      <c r="B513" s="466"/>
      <c r="C513" s="667"/>
      <c r="D513" s="667"/>
      <c r="E513" s="668"/>
      <c r="F513" s="667"/>
      <c r="G513" s="667"/>
      <c r="H513" s="667"/>
      <c r="I513" s="667"/>
      <c r="J513" s="667"/>
      <c r="K513" s="667"/>
      <c r="L513" s="667"/>
      <c r="M513" s="667"/>
      <c r="N513" s="667"/>
      <c r="O513" s="667"/>
      <c r="P513" s="667"/>
      <c r="Q513" s="667"/>
    </row>
    <row r="514" ht="15.75" customHeight="1">
      <c r="B514" s="466"/>
      <c r="C514" s="667"/>
      <c r="D514" s="667"/>
      <c r="E514" s="668"/>
      <c r="F514" s="667"/>
      <c r="G514" s="667"/>
      <c r="H514" s="667"/>
      <c r="I514" s="667"/>
      <c r="J514" s="667"/>
      <c r="K514" s="667"/>
      <c r="L514" s="667"/>
      <c r="M514" s="667"/>
      <c r="N514" s="667"/>
      <c r="O514" s="667"/>
      <c r="P514" s="667"/>
      <c r="Q514" s="667"/>
    </row>
    <row r="515" ht="15.75" customHeight="1">
      <c r="B515" s="466"/>
      <c r="C515" s="667"/>
      <c r="D515" s="667"/>
      <c r="E515" s="668"/>
      <c r="F515" s="667"/>
      <c r="G515" s="667"/>
      <c r="H515" s="667"/>
      <c r="I515" s="667"/>
      <c r="J515" s="667"/>
      <c r="K515" s="667"/>
      <c r="L515" s="667"/>
      <c r="M515" s="667"/>
      <c r="N515" s="667"/>
      <c r="O515" s="667"/>
      <c r="P515" s="667"/>
      <c r="Q515" s="667"/>
    </row>
    <row r="516" ht="15.75" customHeight="1">
      <c r="B516" s="466"/>
      <c r="C516" s="667"/>
      <c r="D516" s="667"/>
      <c r="E516" s="668"/>
      <c r="F516" s="667"/>
      <c r="G516" s="667"/>
      <c r="H516" s="667"/>
      <c r="I516" s="667"/>
      <c r="J516" s="667"/>
      <c r="K516" s="667"/>
      <c r="L516" s="667"/>
      <c r="M516" s="667"/>
      <c r="N516" s="667"/>
      <c r="O516" s="667"/>
      <c r="P516" s="667"/>
      <c r="Q516" s="667"/>
    </row>
    <row r="517" ht="15.75" customHeight="1">
      <c r="B517" s="466"/>
      <c r="C517" s="667"/>
      <c r="D517" s="667"/>
      <c r="E517" s="668"/>
      <c r="F517" s="667"/>
      <c r="G517" s="667"/>
      <c r="H517" s="667"/>
      <c r="I517" s="667"/>
      <c r="J517" s="667"/>
      <c r="K517" s="667"/>
      <c r="L517" s="667"/>
      <c r="M517" s="667"/>
      <c r="N517" s="667"/>
      <c r="O517" s="667"/>
      <c r="P517" s="667"/>
      <c r="Q517" s="667"/>
    </row>
    <row r="518" ht="15.75" customHeight="1">
      <c r="B518" s="466"/>
      <c r="C518" s="667"/>
      <c r="D518" s="667"/>
      <c r="E518" s="668"/>
      <c r="F518" s="667"/>
      <c r="G518" s="667"/>
      <c r="H518" s="667"/>
      <c r="I518" s="667"/>
      <c r="J518" s="667"/>
      <c r="K518" s="667"/>
      <c r="L518" s="667"/>
      <c r="M518" s="667"/>
      <c r="N518" s="667"/>
      <c r="O518" s="667"/>
      <c r="P518" s="667"/>
      <c r="Q518" s="667"/>
    </row>
    <row r="519" ht="15.75" customHeight="1">
      <c r="B519" s="466"/>
      <c r="C519" s="667"/>
      <c r="D519" s="667"/>
      <c r="E519" s="668"/>
      <c r="F519" s="667"/>
      <c r="G519" s="667"/>
      <c r="H519" s="667"/>
      <c r="I519" s="667"/>
      <c r="J519" s="667"/>
      <c r="K519" s="667"/>
      <c r="L519" s="667"/>
      <c r="M519" s="667"/>
      <c r="N519" s="667"/>
      <c r="O519" s="667"/>
      <c r="P519" s="667"/>
      <c r="Q519" s="667"/>
    </row>
    <row r="520" ht="15.75" customHeight="1">
      <c r="B520" s="466"/>
      <c r="C520" s="667"/>
      <c r="D520" s="667"/>
      <c r="E520" s="668"/>
      <c r="F520" s="667"/>
      <c r="G520" s="667"/>
      <c r="H520" s="667"/>
      <c r="I520" s="667"/>
      <c r="J520" s="667"/>
      <c r="K520" s="667"/>
      <c r="L520" s="667"/>
      <c r="M520" s="667"/>
      <c r="N520" s="667"/>
      <c r="O520" s="667"/>
      <c r="P520" s="667"/>
      <c r="Q520" s="667"/>
    </row>
    <row r="521" ht="15.75" customHeight="1">
      <c r="B521" s="466"/>
      <c r="C521" s="667"/>
      <c r="D521" s="667"/>
      <c r="E521" s="668"/>
      <c r="F521" s="667"/>
      <c r="G521" s="667"/>
      <c r="H521" s="667"/>
      <c r="I521" s="667"/>
      <c r="J521" s="667"/>
      <c r="K521" s="667"/>
      <c r="L521" s="667"/>
      <c r="M521" s="667"/>
      <c r="N521" s="667"/>
      <c r="O521" s="667"/>
      <c r="P521" s="667"/>
      <c r="Q521" s="667"/>
    </row>
    <row r="522" ht="15.75" customHeight="1">
      <c r="B522" s="466"/>
      <c r="C522" s="667"/>
      <c r="D522" s="667"/>
      <c r="E522" s="668"/>
      <c r="F522" s="667"/>
      <c r="G522" s="667"/>
      <c r="H522" s="667"/>
      <c r="I522" s="667"/>
      <c r="J522" s="667"/>
      <c r="K522" s="667"/>
      <c r="L522" s="667"/>
      <c r="M522" s="667"/>
      <c r="N522" s="667"/>
      <c r="O522" s="667"/>
      <c r="P522" s="667"/>
      <c r="Q522" s="667"/>
    </row>
    <row r="523" ht="15.75" customHeight="1">
      <c r="B523" s="466"/>
      <c r="C523" s="667"/>
      <c r="D523" s="667"/>
      <c r="E523" s="668"/>
      <c r="F523" s="667"/>
      <c r="G523" s="667"/>
      <c r="H523" s="667"/>
      <c r="I523" s="667"/>
      <c r="J523" s="667"/>
      <c r="K523" s="667"/>
      <c r="L523" s="667"/>
      <c r="M523" s="667"/>
      <c r="N523" s="667"/>
      <c r="O523" s="667"/>
      <c r="P523" s="667"/>
      <c r="Q523" s="667"/>
    </row>
    <row r="524" ht="15.75" customHeight="1">
      <c r="B524" s="466"/>
      <c r="C524" s="667"/>
      <c r="D524" s="667"/>
      <c r="E524" s="668"/>
      <c r="F524" s="667"/>
      <c r="G524" s="667"/>
      <c r="H524" s="667"/>
      <c r="I524" s="667"/>
      <c r="J524" s="667"/>
      <c r="K524" s="667"/>
      <c r="L524" s="667"/>
      <c r="M524" s="667"/>
      <c r="N524" s="667"/>
      <c r="O524" s="667"/>
      <c r="P524" s="667"/>
      <c r="Q524" s="667"/>
    </row>
    <row r="525" ht="15.75" customHeight="1">
      <c r="B525" s="466"/>
      <c r="C525" s="667"/>
      <c r="D525" s="667"/>
      <c r="E525" s="668"/>
      <c r="F525" s="667"/>
      <c r="G525" s="667"/>
      <c r="H525" s="667"/>
      <c r="I525" s="667"/>
      <c r="J525" s="667"/>
      <c r="K525" s="667"/>
      <c r="L525" s="667"/>
      <c r="M525" s="667"/>
      <c r="N525" s="667"/>
      <c r="O525" s="667"/>
      <c r="P525" s="667"/>
      <c r="Q525" s="667"/>
    </row>
    <row r="526" ht="15.75" customHeight="1">
      <c r="B526" s="466"/>
      <c r="C526" s="667"/>
      <c r="D526" s="667"/>
      <c r="E526" s="668"/>
      <c r="F526" s="667"/>
      <c r="G526" s="667"/>
      <c r="H526" s="667"/>
      <c r="I526" s="667"/>
      <c r="J526" s="667"/>
      <c r="K526" s="667"/>
      <c r="L526" s="667"/>
      <c r="M526" s="667"/>
      <c r="N526" s="667"/>
      <c r="O526" s="667"/>
      <c r="P526" s="667"/>
      <c r="Q526" s="667"/>
    </row>
    <row r="527" ht="15.75" customHeight="1">
      <c r="B527" s="466"/>
      <c r="C527" s="667"/>
      <c r="D527" s="667"/>
      <c r="E527" s="668"/>
      <c r="F527" s="667"/>
      <c r="G527" s="667"/>
      <c r="H527" s="667"/>
      <c r="I527" s="667"/>
      <c r="J527" s="667"/>
      <c r="K527" s="667"/>
      <c r="L527" s="667"/>
      <c r="M527" s="667"/>
      <c r="N527" s="667"/>
      <c r="O527" s="667"/>
      <c r="P527" s="667"/>
      <c r="Q527" s="667"/>
    </row>
    <row r="528" ht="15.75" customHeight="1">
      <c r="B528" s="466"/>
      <c r="C528" s="667"/>
      <c r="D528" s="667"/>
      <c r="E528" s="668"/>
      <c r="F528" s="667"/>
      <c r="G528" s="667"/>
      <c r="H528" s="667"/>
      <c r="I528" s="667"/>
      <c r="J528" s="667"/>
      <c r="K528" s="667"/>
      <c r="L528" s="667"/>
      <c r="M528" s="667"/>
      <c r="N528" s="667"/>
      <c r="O528" s="667"/>
      <c r="P528" s="667"/>
      <c r="Q528" s="667"/>
    </row>
    <row r="529" ht="15.75" customHeight="1">
      <c r="B529" s="466"/>
      <c r="C529" s="667"/>
      <c r="D529" s="667"/>
      <c r="E529" s="668"/>
      <c r="F529" s="667"/>
      <c r="G529" s="667"/>
      <c r="H529" s="667"/>
      <c r="I529" s="667"/>
      <c r="J529" s="667"/>
      <c r="K529" s="667"/>
      <c r="L529" s="667"/>
      <c r="M529" s="667"/>
      <c r="N529" s="667"/>
      <c r="O529" s="667"/>
      <c r="P529" s="667"/>
      <c r="Q529" s="667"/>
    </row>
    <row r="530" ht="15.75" customHeight="1">
      <c r="B530" s="466"/>
      <c r="C530" s="667"/>
      <c r="D530" s="667"/>
      <c r="E530" s="668"/>
      <c r="F530" s="667"/>
      <c r="G530" s="667"/>
      <c r="H530" s="667"/>
      <c r="I530" s="667"/>
      <c r="J530" s="667"/>
      <c r="K530" s="667"/>
      <c r="L530" s="667"/>
      <c r="M530" s="667"/>
      <c r="N530" s="667"/>
      <c r="O530" s="667"/>
      <c r="P530" s="667"/>
      <c r="Q530" s="667"/>
    </row>
    <row r="531" ht="15.75" customHeight="1">
      <c r="B531" s="466"/>
      <c r="C531" s="667"/>
      <c r="D531" s="667"/>
      <c r="E531" s="668"/>
      <c r="F531" s="667"/>
      <c r="G531" s="667"/>
      <c r="H531" s="667"/>
      <c r="I531" s="667"/>
      <c r="J531" s="667"/>
      <c r="K531" s="667"/>
      <c r="L531" s="667"/>
      <c r="M531" s="667"/>
      <c r="N531" s="667"/>
      <c r="O531" s="667"/>
      <c r="P531" s="667"/>
      <c r="Q531" s="667"/>
    </row>
    <row r="532" ht="15.75" customHeight="1">
      <c r="B532" s="466"/>
      <c r="C532" s="667"/>
      <c r="D532" s="667"/>
      <c r="E532" s="668"/>
      <c r="F532" s="667"/>
      <c r="G532" s="667"/>
      <c r="H532" s="667"/>
      <c r="I532" s="667"/>
      <c r="J532" s="667"/>
      <c r="K532" s="667"/>
      <c r="L532" s="667"/>
      <c r="M532" s="667"/>
      <c r="N532" s="667"/>
      <c r="O532" s="667"/>
      <c r="P532" s="667"/>
      <c r="Q532" s="667"/>
    </row>
    <row r="533" ht="15.75" customHeight="1">
      <c r="B533" s="466"/>
      <c r="C533" s="667"/>
      <c r="D533" s="667"/>
      <c r="E533" s="668"/>
      <c r="F533" s="667"/>
      <c r="G533" s="667"/>
      <c r="H533" s="667"/>
      <c r="I533" s="667"/>
      <c r="J533" s="667"/>
      <c r="K533" s="667"/>
      <c r="L533" s="667"/>
      <c r="M533" s="667"/>
      <c r="N533" s="667"/>
      <c r="O533" s="667"/>
      <c r="P533" s="667"/>
      <c r="Q533" s="667"/>
    </row>
    <row r="534" ht="15.75" customHeight="1">
      <c r="B534" s="466"/>
      <c r="C534" s="667"/>
      <c r="D534" s="667"/>
      <c r="E534" s="668"/>
      <c r="F534" s="667"/>
      <c r="G534" s="667"/>
      <c r="H534" s="667"/>
      <c r="I534" s="667"/>
      <c r="J534" s="667"/>
      <c r="K534" s="667"/>
      <c r="L534" s="667"/>
      <c r="M534" s="667"/>
      <c r="N534" s="667"/>
      <c r="O534" s="667"/>
      <c r="P534" s="667"/>
      <c r="Q534" s="667"/>
    </row>
    <row r="535" ht="15.75" customHeight="1">
      <c r="B535" s="466"/>
      <c r="C535" s="667"/>
      <c r="D535" s="667"/>
      <c r="E535" s="668"/>
      <c r="F535" s="667"/>
      <c r="G535" s="667"/>
      <c r="H535" s="667"/>
      <c r="I535" s="667"/>
      <c r="J535" s="667"/>
      <c r="K535" s="667"/>
      <c r="L535" s="667"/>
      <c r="M535" s="667"/>
      <c r="N535" s="667"/>
      <c r="O535" s="667"/>
      <c r="P535" s="667"/>
      <c r="Q535" s="667"/>
    </row>
    <row r="536" ht="15.75" customHeight="1">
      <c r="B536" s="466"/>
      <c r="C536" s="667"/>
      <c r="D536" s="667"/>
      <c r="E536" s="668"/>
      <c r="F536" s="667"/>
      <c r="G536" s="667"/>
      <c r="H536" s="667"/>
      <c r="I536" s="667"/>
      <c r="J536" s="667"/>
      <c r="K536" s="667"/>
      <c r="L536" s="667"/>
      <c r="M536" s="667"/>
      <c r="N536" s="667"/>
      <c r="O536" s="667"/>
      <c r="P536" s="667"/>
      <c r="Q536" s="667"/>
    </row>
    <row r="537" ht="15.75" customHeight="1">
      <c r="B537" s="466"/>
      <c r="C537" s="667"/>
      <c r="D537" s="667"/>
      <c r="E537" s="668"/>
      <c r="F537" s="667"/>
      <c r="G537" s="667"/>
      <c r="H537" s="667"/>
      <c r="I537" s="667"/>
      <c r="J537" s="667"/>
      <c r="K537" s="667"/>
      <c r="L537" s="667"/>
      <c r="M537" s="667"/>
      <c r="N537" s="667"/>
      <c r="O537" s="667"/>
      <c r="P537" s="667"/>
      <c r="Q537" s="667"/>
    </row>
    <row r="538" ht="15.75" customHeight="1">
      <c r="B538" s="466"/>
      <c r="C538" s="667"/>
      <c r="D538" s="667"/>
      <c r="E538" s="668"/>
      <c r="F538" s="667"/>
      <c r="G538" s="667"/>
      <c r="H538" s="667"/>
      <c r="I538" s="667"/>
      <c r="J538" s="667"/>
      <c r="K538" s="667"/>
      <c r="L538" s="667"/>
      <c r="M538" s="667"/>
      <c r="N538" s="667"/>
      <c r="O538" s="667"/>
      <c r="P538" s="667"/>
      <c r="Q538" s="667"/>
    </row>
    <row r="539" ht="15.75" customHeight="1">
      <c r="B539" s="466"/>
      <c r="C539" s="667"/>
      <c r="D539" s="667"/>
      <c r="E539" s="668"/>
      <c r="F539" s="667"/>
      <c r="G539" s="667"/>
      <c r="H539" s="667"/>
      <c r="I539" s="667"/>
      <c r="J539" s="667"/>
      <c r="K539" s="667"/>
      <c r="L539" s="667"/>
      <c r="M539" s="667"/>
      <c r="N539" s="667"/>
      <c r="O539" s="667"/>
      <c r="P539" s="667"/>
      <c r="Q539" s="667"/>
    </row>
    <row r="540" ht="15.75" customHeight="1">
      <c r="B540" s="466"/>
      <c r="C540" s="667"/>
      <c r="D540" s="667"/>
      <c r="E540" s="668"/>
      <c r="F540" s="667"/>
      <c r="G540" s="667"/>
      <c r="H540" s="667"/>
      <c r="I540" s="667"/>
      <c r="J540" s="667"/>
      <c r="K540" s="667"/>
      <c r="L540" s="667"/>
      <c r="M540" s="667"/>
      <c r="N540" s="667"/>
      <c r="O540" s="667"/>
      <c r="P540" s="667"/>
      <c r="Q540" s="667"/>
    </row>
    <row r="541" ht="15.75" customHeight="1">
      <c r="B541" s="466"/>
      <c r="C541" s="667"/>
      <c r="D541" s="667"/>
      <c r="E541" s="668"/>
      <c r="F541" s="667"/>
      <c r="G541" s="667"/>
      <c r="H541" s="667"/>
      <c r="I541" s="667"/>
      <c r="J541" s="667"/>
      <c r="K541" s="667"/>
      <c r="L541" s="667"/>
      <c r="M541" s="667"/>
      <c r="N541" s="667"/>
      <c r="O541" s="667"/>
      <c r="P541" s="667"/>
      <c r="Q541" s="667"/>
    </row>
    <row r="542" ht="15.75" customHeight="1">
      <c r="B542" s="466"/>
      <c r="C542" s="667"/>
      <c r="D542" s="667"/>
      <c r="E542" s="668"/>
      <c r="F542" s="667"/>
      <c r="G542" s="667"/>
      <c r="H542" s="667"/>
      <c r="I542" s="667"/>
      <c r="J542" s="667"/>
      <c r="K542" s="667"/>
      <c r="L542" s="667"/>
      <c r="M542" s="667"/>
      <c r="N542" s="667"/>
      <c r="O542" s="667"/>
      <c r="P542" s="667"/>
      <c r="Q542" s="667"/>
    </row>
    <row r="543" ht="15.75" customHeight="1">
      <c r="B543" s="466"/>
      <c r="C543" s="667"/>
      <c r="D543" s="667"/>
      <c r="E543" s="668"/>
      <c r="F543" s="667"/>
      <c r="G543" s="667"/>
      <c r="H543" s="667"/>
      <c r="I543" s="667"/>
      <c r="J543" s="667"/>
      <c r="K543" s="667"/>
      <c r="L543" s="667"/>
      <c r="M543" s="667"/>
      <c r="N543" s="667"/>
      <c r="O543" s="667"/>
      <c r="P543" s="667"/>
      <c r="Q543" s="667"/>
    </row>
    <row r="544" ht="15.75" customHeight="1">
      <c r="B544" s="466"/>
      <c r="C544" s="667"/>
      <c r="D544" s="667"/>
      <c r="E544" s="668"/>
      <c r="F544" s="667"/>
      <c r="G544" s="667"/>
      <c r="H544" s="667"/>
      <c r="I544" s="667"/>
      <c r="J544" s="667"/>
      <c r="K544" s="667"/>
      <c r="L544" s="667"/>
      <c r="M544" s="667"/>
      <c r="N544" s="667"/>
      <c r="O544" s="667"/>
      <c r="P544" s="667"/>
      <c r="Q544" s="667"/>
    </row>
    <row r="545" ht="15.75" customHeight="1">
      <c r="B545" s="466"/>
      <c r="C545" s="667"/>
      <c r="D545" s="667"/>
      <c r="E545" s="668"/>
      <c r="F545" s="667"/>
      <c r="G545" s="667"/>
      <c r="H545" s="667"/>
      <c r="I545" s="667"/>
      <c r="J545" s="667"/>
      <c r="K545" s="667"/>
      <c r="L545" s="667"/>
      <c r="M545" s="667"/>
      <c r="N545" s="667"/>
      <c r="O545" s="667"/>
      <c r="P545" s="667"/>
      <c r="Q545" s="667"/>
    </row>
    <row r="546" ht="15.75" customHeight="1">
      <c r="B546" s="466"/>
      <c r="C546" s="667"/>
      <c r="D546" s="667"/>
      <c r="E546" s="668"/>
      <c r="F546" s="667"/>
      <c r="G546" s="667"/>
      <c r="H546" s="667"/>
      <c r="I546" s="667"/>
      <c r="J546" s="667"/>
      <c r="K546" s="667"/>
      <c r="L546" s="667"/>
      <c r="M546" s="667"/>
      <c r="N546" s="667"/>
      <c r="O546" s="667"/>
      <c r="P546" s="667"/>
      <c r="Q546" s="667"/>
    </row>
    <row r="547" ht="15.75" customHeight="1">
      <c r="B547" s="466"/>
      <c r="C547" s="667"/>
      <c r="D547" s="667"/>
      <c r="E547" s="668"/>
      <c r="F547" s="667"/>
      <c r="G547" s="667"/>
      <c r="H547" s="667"/>
      <c r="I547" s="667"/>
      <c r="J547" s="667"/>
      <c r="K547" s="667"/>
      <c r="L547" s="667"/>
      <c r="M547" s="667"/>
      <c r="N547" s="667"/>
      <c r="O547" s="667"/>
      <c r="P547" s="667"/>
      <c r="Q547" s="667"/>
    </row>
    <row r="548" ht="15.75" customHeight="1">
      <c r="B548" s="466"/>
      <c r="C548" s="667"/>
      <c r="D548" s="667"/>
      <c r="E548" s="668"/>
      <c r="F548" s="667"/>
      <c r="G548" s="667"/>
      <c r="H548" s="667"/>
      <c r="I548" s="667"/>
      <c r="J548" s="667"/>
      <c r="K548" s="667"/>
      <c r="L548" s="667"/>
      <c r="M548" s="667"/>
      <c r="N548" s="667"/>
      <c r="O548" s="667"/>
      <c r="P548" s="667"/>
      <c r="Q548" s="667"/>
    </row>
    <row r="549" ht="15.75" customHeight="1">
      <c r="B549" s="466"/>
      <c r="C549" s="667"/>
      <c r="D549" s="667"/>
      <c r="E549" s="668"/>
      <c r="F549" s="667"/>
      <c r="G549" s="667"/>
      <c r="H549" s="667"/>
      <c r="I549" s="667"/>
      <c r="J549" s="667"/>
      <c r="K549" s="667"/>
      <c r="L549" s="667"/>
      <c r="M549" s="667"/>
      <c r="N549" s="667"/>
      <c r="O549" s="667"/>
      <c r="P549" s="667"/>
      <c r="Q549" s="667"/>
    </row>
    <row r="550" ht="15.75" customHeight="1">
      <c r="B550" s="466"/>
      <c r="C550" s="667"/>
      <c r="D550" s="667"/>
      <c r="E550" s="668"/>
      <c r="F550" s="667"/>
      <c r="G550" s="667"/>
      <c r="H550" s="667"/>
      <c r="I550" s="667"/>
      <c r="J550" s="667"/>
      <c r="K550" s="667"/>
      <c r="L550" s="667"/>
      <c r="M550" s="667"/>
      <c r="N550" s="667"/>
      <c r="O550" s="667"/>
      <c r="P550" s="667"/>
      <c r="Q550" s="667"/>
    </row>
    <row r="551" ht="15.75" customHeight="1">
      <c r="B551" s="466"/>
      <c r="C551" s="667"/>
      <c r="D551" s="667"/>
      <c r="E551" s="668"/>
      <c r="F551" s="667"/>
      <c r="G551" s="667"/>
      <c r="H551" s="667"/>
      <c r="I551" s="667"/>
      <c r="J551" s="667"/>
      <c r="K551" s="667"/>
      <c r="L551" s="667"/>
      <c r="M551" s="667"/>
      <c r="N551" s="667"/>
      <c r="O551" s="667"/>
      <c r="P551" s="667"/>
      <c r="Q551" s="667"/>
    </row>
    <row r="552" ht="15.75" customHeight="1">
      <c r="B552" s="466"/>
      <c r="C552" s="667"/>
      <c r="D552" s="667"/>
      <c r="E552" s="668"/>
      <c r="F552" s="667"/>
      <c r="G552" s="667"/>
      <c r="H552" s="667"/>
      <c r="I552" s="667"/>
      <c r="J552" s="667"/>
      <c r="K552" s="667"/>
      <c r="L552" s="667"/>
      <c r="M552" s="667"/>
      <c r="N552" s="667"/>
      <c r="O552" s="667"/>
      <c r="P552" s="667"/>
      <c r="Q552" s="667"/>
    </row>
    <row r="553" ht="15.75" customHeight="1">
      <c r="B553" s="466"/>
      <c r="C553" s="667"/>
      <c r="D553" s="667"/>
      <c r="E553" s="668"/>
      <c r="F553" s="667"/>
      <c r="G553" s="667"/>
      <c r="H553" s="667"/>
      <c r="I553" s="667"/>
      <c r="J553" s="667"/>
      <c r="K553" s="667"/>
      <c r="L553" s="667"/>
      <c r="M553" s="667"/>
      <c r="N553" s="667"/>
      <c r="O553" s="667"/>
      <c r="P553" s="667"/>
      <c r="Q553" s="667"/>
    </row>
    <row r="554" ht="15.75" customHeight="1">
      <c r="B554" s="466"/>
      <c r="C554" s="667"/>
      <c r="D554" s="667"/>
      <c r="E554" s="668"/>
      <c r="F554" s="667"/>
      <c r="G554" s="667"/>
      <c r="H554" s="667"/>
      <c r="I554" s="667"/>
      <c r="J554" s="667"/>
      <c r="K554" s="667"/>
      <c r="L554" s="667"/>
      <c r="M554" s="667"/>
      <c r="N554" s="667"/>
      <c r="O554" s="667"/>
      <c r="P554" s="667"/>
      <c r="Q554" s="667"/>
    </row>
    <row r="555" ht="15.75" customHeight="1">
      <c r="B555" s="466"/>
      <c r="C555" s="667"/>
      <c r="D555" s="667"/>
      <c r="E555" s="668"/>
      <c r="F555" s="667"/>
      <c r="G555" s="667"/>
      <c r="H555" s="667"/>
      <c r="I555" s="667"/>
      <c r="J555" s="667"/>
      <c r="K555" s="667"/>
      <c r="L555" s="667"/>
      <c r="M555" s="667"/>
      <c r="N555" s="667"/>
      <c r="O555" s="667"/>
      <c r="P555" s="667"/>
      <c r="Q555" s="667"/>
    </row>
    <row r="556" ht="15.75" customHeight="1">
      <c r="B556" s="466"/>
      <c r="C556" s="667"/>
      <c r="D556" s="667"/>
      <c r="E556" s="668"/>
      <c r="F556" s="667"/>
      <c r="G556" s="667"/>
      <c r="H556" s="667"/>
      <c r="I556" s="667"/>
      <c r="J556" s="667"/>
      <c r="K556" s="667"/>
      <c r="L556" s="667"/>
      <c r="M556" s="667"/>
      <c r="N556" s="667"/>
      <c r="O556" s="667"/>
      <c r="P556" s="667"/>
      <c r="Q556" s="667"/>
    </row>
    <row r="557" ht="15.75" customHeight="1">
      <c r="B557" s="466"/>
      <c r="C557" s="667"/>
      <c r="D557" s="667"/>
      <c r="E557" s="668"/>
      <c r="F557" s="667"/>
      <c r="G557" s="667"/>
      <c r="H557" s="667"/>
      <c r="I557" s="667"/>
      <c r="J557" s="667"/>
      <c r="K557" s="667"/>
      <c r="L557" s="667"/>
      <c r="M557" s="667"/>
      <c r="N557" s="667"/>
      <c r="O557" s="667"/>
      <c r="P557" s="667"/>
      <c r="Q557" s="667"/>
    </row>
    <row r="558" ht="15.75" customHeight="1">
      <c r="B558" s="466"/>
      <c r="C558" s="667"/>
      <c r="D558" s="667"/>
      <c r="E558" s="668"/>
      <c r="F558" s="667"/>
      <c r="G558" s="667"/>
      <c r="H558" s="667"/>
      <c r="I558" s="667"/>
      <c r="J558" s="667"/>
      <c r="K558" s="667"/>
      <c r="L558" s="667"/>
      <c r="M558" s="667"/>
      <c r="N558" s="667"/>
      <c r="O558" s="667"/>
      <c r="P558" s="667"/>
      <c r="Q558" s="667"/>
    </row>
    <row r="559" ht="15.75" customHeight="1">
      <c r="B559" s="466"/>
      <c r="C559" s="667"/>
      <c r="D559" s="667"/>
      <c r="E559" s="668"/>
      <c r="F559" s="667"/>
      <c r="G559" s="667"/>
      <c r="H559" s="667"/>
      <c r="I559" s="667"/>
      <c r="J559" s="667"/>
      <c r="K559" s="667"/>
      <c r="L559" s="667"/>
      <c r="M559" s="667"/>
      <c r="N559" s="667"/>
      <c r="O559" s="667"/>
      <c r="P559" s="667"/>
      <c r="Q559" s="667"/>
    </row>
    <row r="560" ht="15.75" customHeight="1">
      <c r="B560" s="466"/>
      <c r="C560" s="667"/>
      <c r="D560" s="667"/>
      <c r="E560" s="668"/>
      <c r="F560" s="667"/>
      <c r="G560" s="667"/>
      <c r="H560" s="667"/>
      <c r="I560" s="667"/>
      <c r="J560" s="667"/>
      <c r="K560" s="667"/>
      <c r="L560" s="667"/>
      <c r="M560" s="667"/>
      <c r="N560" s="667"/>
      <c r="O560" s="667"/>
      <c r="P560" s="667"/>
      <c r="Q560" s="667"/>
    </row>
    <row r="561" ht="15.75" customHeight="1">
      <c r="B561" s="466"/>
      <c r="C561" s="667"/>
      <c r="D561" s="667"/>
      <c r="E561" s="668"/>
      <c r="F561" s="667"/>
      <c r="G561" s="667"/>
      <c r="H561" s="667"/>
      <c r="I561" s="667"/>
      <c r="J561" s="667"/>
      <c r="K561" s="667"/>
      <c r="L561" s="667"/>
      <c r="M561" s="667"/>
      <c r="N561" s="667"/>
      <c r="O561" s="667"/>
      <c r="P561" s="667"/>
      <c r="Q561" s="667"/>
    </row>
    <row r="562" ht="15.75" customHeight="1">
      <c r="B562" s="466"/>
      <c r="C562" s="667"/>
      <c r="D562" s="667"/>
      <c r="E562" s="668"/>
      <c r="F562" s="667"/>
      <c r="G562" s="667"/>
      <c r="H562" s="667"/>
      <c r="I562" s="667"/>
      <c r="J562" s="667"/>
      <c r="K562" s="667"/>
      <c r="L562" s="667"/>
      <c r="M562" s="667"/>
      <c r="N562" s="667"/>
      <c r="O562" s="667"/>
      <c r="P562" s="667"/>
      <c r="Q562" s="667"/>
    </row>
    <row r="563" ht="15.75" customHeight="1">
      <c r="B563" s="466"/>
      <c r="C563" s="667"/>
      <c r="D563" s="667"/>
      <c r="E563" s="668"/>
      <c r="F563" s="667"/>
      <c r="G563" s="667"/>
      <c r="H563" s="667"/>
      <c r="I563" s="667"/>
      <c r="J563" s="667"/>
      <c r="K563" s="667"/>
      <c r="L563" s="667"/>
      <c r="M563" s="667"/>
      <c r="N563" s="667"/>
      <c r="O563" s="667"/>
      <c r="P563" s="667"/>
      <c r="Q563" s="667"/>
    </row>
    <row r="564" ht="15.75" customHeight="1">
      <c r="B564" s="466"/>
      <c r="C564" s="667"/>
      <c r="D564" s="667"/>
      <c r="E564" s="668"/>
      <c r="F564" s="667"/>
      <c r="G564" s="667"/>
      <c r="H564" s="667"/>
      <c r="I564" s="667"/>
      <c r="J564" s="667"/>
      <c r="K564" s="667"/>
      <c r="L564" s="667"/>
      <c r="M564" s="667"/>
      <c r="N564" s="667"/>
      <c r="O564" s="667"/>
      <c r="P564" s="667"/>
      <c r="Q564" s="667"/>
    </row>
    <row r="565" ht="15.75" customHeight="1">
      <c r="B565" s="466"/>
      <c r="C565" s="667"/>
      <c r="D565" s="667"/>
      <c r="E565" s="668"/>
      <c r="F565" s="667"/>
      <c r="G565" s="667"/>
      <c r="H565" s="667"/>
      <c r="I565" s="667"/>
      <c r="J565" s="667"/>
      <c r="K565" s="667"/>
      <c r="L565" s="667"/>
      <c r="M565" s="667"/>
      <c r="N565" s="667"/>
      <c r="O565" s="667"/>
      <c r="P565" s="667"/>
      <c r="Q565" s="667"/>
    </row>
    <row r="566" ht="15.75" customHeight="1">
      <c r="B566" s="466"/>
      <c r="C566" s="667"/>
      <c r="D566" s="667"/>
      <c r="E566" s="668"/>
      <c r="F566" s="667"/>
      <c r="G566" s="667"/>
      <c r="H566" s="667"/>
      <c r="I566" s="667"/>
      <c r="J566" s="667"/>
      <c r="K566" s="667"/>
      <c r="L566" s="667"/>
      <c r="M566" s="667"/>
      <c r="N566" s="667"/>
      <c r="O566" s="667"/>
      <c r="P566" s="667"/>
      <c r="Q566" s="667"/>
    </row>
    <row r="567" ht="15.75" customHeight="1">
      <c r="B567" s="466"/>
      <c r="C567" s="667"/>
      <c r="D567" s="667"/>
      <c r="E567" s="668"/>
      <c r="F567" s="667"/>
      <c r="G567" s="667"/>
      <c r="H567" s="667"/>
      <c r="I567" s="667"/>
      <c r="J567" s="667"/>
      <c r="K567" s="667"/>
      <c r="L567" s="667"/>
      <c r="M567" s="667"/>
      <c r="N567" s="667"/>
      <c r="O567" s="667"/>
      <c r="P567" s="667"/>
      <c r="Q567" s="667"/>
    </row>
    <row r="568" ht="15.75" customHeight="1">
      <c r="B568" s="466"/>
      <c r="C568" s="667"/>
      <c r="D568" s="667"/>
      <c r="E568" s="668"/>
      <c r="F568" s="667"/>
      <c r="G568" s="667"/>
      <c r="H568" s="667"/>
      <c r="I568" s="667"/>
      <c r="J568" s="667"/>
      <c r="K568" s="667"/>
      <c r="L568" s="667"/>
      <c r="M568" s="667"/>
      <c r="N568" s="667"/>
      <c r="O568" s="667"/>
      <c r="P568" s="667"/>
      <c r="Q568" s="667"/>
    </row>
    <row r="569" ht="15.75" customHeight="1">
      <c r="B569" s="466"/>
      <c r="C569" s="667"/>
      <c r="D569" s="667"/>
      <c r="E569" s="668"/>
      <c r="F569" s="667"/>
      <c r="G569" s="667"/>
      <c r="H569" s="667"/>
      <c r="I569" s="667"/>
      <c r="J569" s="667"/>
      <c r="K569" s="667"/>
      <c r="L569" s="667"/>
      <c r="M569" s="667"/>
      <c r="N569" s="667"/>
      <c r="O569" s="667"/>
      <c r="P569" s="667"/>
      <c r="Q569" s="667"/>
    </row>
    <row r="570" ht="15.75" customHeight="1">
      <c r="B570" s="466"/>
      <c r="C570" s="667"/>
      <c r="D570" s="667"/>
      <c r="E570" s="668"/>
      <c r="F570" s="667"/>
      <c r="G570" s="667"/>
      <c r="H570" s="667"/>
      <c r="I570" s="667"/>
      <c r="J570" s="667"/>
      <c r="K570" s="667"/>
      <c r="L570" s="667"/>
      <c r="M570" s="667"/>
      <c r="N570" s="667"/>
      <c r="O570" s="667"/>
      <c r="P570" s="667"/>
      <c r="Q570" s="667"/>
    </row>
    <row r="571" ht="15.75" customHeight="1">
      <c r="B571" s="466"/>
      <c r="C571" s="667"/>
      <c r="D571" s="667"/>
      <c r="E571" s="668"/>
      <c r="F571" s="667"/>
      <c r="G571" s="667"/>
      <c r="H571" s="667"/>
      <c r="I571" s="667"/>
      <c r="J571" s="667"/>
      <c r="K571" s="667"/>
      <c r="L571" s="667"/>
      <c r="M571" s="667"/>
      <c r="N571" s="667"/>
      <c r="O571" s="667"/>
      <c r="P571" s="667"/>
      <c r="Q571" s="667"/>
    </row>
    <row r="572" ht="15.75" customHeight="1">
      <c r="B572" s="466"/>
      <c r="C572" s="667"/>
      <c r="D572" s="667"/>
      <c r="E572" s="668"/>
      <c r="F572" s="667"/>
      <c r="G572" s="667"/>
      <c r="H572" s="667"/>
      <c r="I572" s="667"/>
      <c r="J572" s="667"/>
      <c r="K572" s="667"/>
      <c r="L572" s="667"/>
      <c r="M572" s="667"/>
      <c r="N572" s="667"/>
      <c r="O572" s="667"/>
      <c r="P572" s="667"/>
      <c r="Q572" s="667"/>
    </row>
    <row r="573" ht="15.75" customHeight="1">
      <c r="B573" s="466"/>
      <c r="C573" s="667"/>
      <c r="D573" s="667"/>
      <c r="E573" s="668"/>
      <c r="F573" s="667"/>
      <c r="G573" s="667"/>
      <c r="H573" s="667"/>
      <c r="I573" s="667"/>
      <c r="J573" s="667"/>
      <c r="K573" s="667"/>
      <c r="L573" s="667"/>
      <c r="M573" s="667"/>
      <c r="N573" s="667"/>
      <c r="O573" s="667"/>
      <c r="P573" s="667"/>
      <c r="Q573" s="667"/>
    </row>
    <row r="574" ht="15.75" customHeight="1">
      <c r="B574" s="466"/>
      <c r="C574" s="667"/>
      <c r="D574" s="667"/>
      <c r="E574" s="668"/>
      <c r="F574" s="667"/>
      <c r="G574" s="667"/>
      <c r="H574" s="667"/>
      <c r="I574" s="667"/>
      <c r="J574" s="667"/>
      <c r="K574" s="667"/>
      <c r="L574" s="667"/>
      <c r="M574" s="667"/>
      <c r="N574" s="667"/>
      <c r="O574" s="667"/>
      <c r="P574" s="667"/>
      <c r="Q574" s="667"/>
    </row>
    <row r="575" ht="15.75" customHeight="1">
      <c r="B575" s="466"/>
      <c r="C575" s="667"/>
      <c r="D575" s="667"/>
      <c r="E575" s="668"/>
      <c r="F575" s="667"/>
      <c r="G575" s="667"/>
      <c r="H575" s="667"/>
      <c r="I575" s="667"/>
      <c r="J575" s="667"/>
      <c r="K575" s="667"/>
      <c r="L575" s="667"/>
      <c r="M575" s="667"/>
      <c r="N575" s="667"/>
      <c r="O575" s="667"/>
      <c r="P575" s="667"/>
      <c r="Q575" s="667"/>
    </row>
    <row r="576" ht="15.75" customHeight="1">
      <c r="B576" s="466"/>
      <c r="C576" s="667"/>
      <c r="D576" s="667"/>
      <c r="E576" s="668"/>
      <c r="F576" s="667"/>
      <c r="G576" s="667"/>
      <c r="H576" s="667"/>
      <c r="I576" s="667"/>
      <c r="J576" s="667"/>
      <c r="K576" s="667"/>
      <c r="L576" s="667"/>
      <c r="M576" s="667"/>
      <c r="N576" s="667"/>
      <c r="O576" s="667"/>
      <c r="P576" s="667"/>
      <c r="Q576" s="667"/>
    </row>
    <row r="577" ht="15.75" customHeight="1">
      <c r="B577" s="466"/>
      <c r="C577" s="667"/>
      <c r="D577" s="667"/>
      <c r="E577" s="668"/>
      <c r="F577" s="667"/>
      <c r="G577" s="667"/>
      <c r="H577" s="667"/>
      <c r="I577" s="667"/>
      <c r="J577" s="667"/>
      <c r="K577" s="667"/>
      <c r="L577" s="667"/>
      <c r="M577" s="667"/>
      <c r="N577" s="667"/>
      <c r="O577" s="667"/>
      <c r="P577" s="667"/>
      <c r="Q577" s="667"/>
    </row>
    <row r="578" ht="15.75" customHeight="1">
      <c r="B578" s="466"/>
      <c r="C578" s="667"/>
      <c r="D578" s="667"/>
      <c r="E578" s="668"/>
      <c r="F578" s="667"/>
      <c r="G578" s="667"/>
      <c r="H578" s="667"/>
      <c r="I578" s="667"/>
      <c r="J578" s="667"/>
      <c r="K578" s="667"/>
      <c r="L578" s="667"/>
      <c r="M578" s="667"/>
      <c r="N578" s="667"/>
      <c r="O578" s="667"/>
      <c r="P578" s="667"/>
      <c r="Q578" s="667"/>
    </row>
    <row r="579" ht="15.75" customHeight="1">
      <c r="B579" s="466"/>
      <c r="C579" s="667"/>
      <c r="D579" s="667"/>
      <c r="E579" s="668"/>
      <c r="F579" s="667"/>
      <c r="G579" s="667"/>
      <c r="H579" s="667"/>
      <c r="I579" s="667"/>
      <c r="J579" s="667"/>
      <c r="K579" s="667"/>
      <c r="L579" s="667"/>
      <c r="M579" s="667"/>
      <c r="N579" s="667"/>
      <c r="O579" s="667"/>
      <c r="P579" s="667"/>
      <c r="Q579" s="667"/>
    </row>
    <row r="580" ht="15.75" customHeight="1">
      <c r="B580" s="466"/>
      <c r="C580" s="667"/>
      <c r="D580" s="667"/>
      <c r="E580" s="668"/>
      <c r="F580" s="667"/>
      <c r="G580" s="667"/>
      <c r="H580" s="667"/>
      <c r="I580" s="667"/>
      <c r="J580" s="667"/>
      <c r="K580" s="667"/>
      <c r="L580" s="667"/>
      <c r="M580" s="667"/>
      <c r="N580" s="667"/>
      <c r="O580" s="667"/>
      <c r="P580" s="667"/>
      <c r="Q580" s="667"/>
    </row>
    <row r="581" ht="15.75" customHeight="1">
      <c r="B581" s="466"/>
      <c r="C581" s="667"/>
      <c r="D581" s="667"/>
      <c r="E581" s="668"/>
      <c r="F581" s="667"/>
      <c r="G581" s="667"/>
      <c r="H581" s="667"/>
      <c r="I581" s="667"/>
      <c r="J581" s="667"/>
      <c r="K581" s="667"/>
      <c r="L581" s="667"/>
      <c r="M581" s="667"/>
      <c r="N581" s="667"/>
      <c r="O581" s="667"/>
      <c r="P581" s="667"/>
      <c r="Q581" s="667"/>
    </row>
    <row r="582" ht="15.75" customHeight="1">
      <c r="B582" s="466"/>
      <c r="C582" s="667"/>
      <c r="D582" s="667"/>
      <c r="E582" s="668"/>
      <c r="F582" s="667"/>
      <c r="G582" s="667"/>
      <c r="H582" s="667"/>
      <c r="I582" s="667"/>
      <c r="J582" s="667"/>
      <c r="K582" s="667"/>
      <c r="L582" s="667"/>
      <c r="M582" s="667"/>
      <c r="N582" s="667"/>
      <c r="O582" s="667"/>
      <c r="P582" s="667"/>
      <c r="Q582" s="667"/>
    </row>
    <row r="583" ht="15.75" customHeight="1">
      <c r="B583" s="466"/>
      <c r="C583" s="667"/>
      <c r="D583" s="667"/>
      <c r="E583" s="668"/>
      <c r="F583" s="667"/>
      <c r="G583" s="667"/>
      <c r="H583" s="667"/>
      <c r="I583" s="667"/>
      <c r="J583" s="667"/>
      <c r="K583" s="667"/>
      <c r="L583" s="667"/>
      <c r="M583" s="667"/>
      <c r="N583" s="667"/>
      <c r="O583" s="667"/>
      <c r="P583" s="667"/>
      <c r="Q583" s="667"/>
    </row>
    <row r="584" ht="15.75" customHeight="1">
      <c r="B584" s="466"/>
      <c r="C584" s="667"/>
      <c r="D584" s="667"/>
      <c r="E584" s="668"/>
      <c r="F584" s="667"/>
      <c r="G584" s="667"/>
      <c r="H584" s="667"/>
      <c r="I584" s="667"/>
      <c r="J584" s="667"/>
      <c r="K584" s="667"/>
      <c r="L584" s="667"/>
      <c r="M584" s="667"/>
      <c r="N584" s="667"/>
      <c r="O584" s="667"/>
      <c r="P584" s="667"/>
      <c r="Q584" s="667"/>
    </row>
    <row r="585" ht="15.75" customHeight="1">
      <c r="B585" s="466"/>
      <c r="C585" s="667"/>
      <c r="D585" s="667"/>
      <c r="E585" s="668"/>
      <c r="F585" s="667"/>
      <c r="G585" s="667"/>
      <c r="H585" s="667"/>
      <c r="I585" s="667"/>
      <c r="J585" s="667"/>
      <c r="K585" s="667"/>
      <c r="L585" s="667"/>
      <c r="M585" s="667"/>
      <c r="N585" s="667"/>
      <c r="O585" s="667"/>
      <c r="P585" s="667"/>
      <c r="Q585" s="667"/>
    </row>
    <row r="586" ht="15.75" customHeight="1">
      <c r="B586" s="466"/>
      <c r="C586" s="667"/>
      <c r="D586" s="667"/>
      <c r="E586" s="668"/>
      <c r="F586" s="667"/>
      <c r="G586" s="667"/>
      <c r="H586" s="667"/>
      <c r="I586" s="667"/>
      <c r="J586" s="667"/>
      <c r="K586" s="667"/>
      <c r="L586" s="667"/>
      <c r="M586" s="667"/>
      <c r="N586" s="667"/>
      <c r="O586" s="667"/>
      <c r="P586" s="667"/>
      <c r="Q586" s="667"/>
    </row>
    <row r="587" ht="15.75" customHeight="1">
      <c r="B587" s="466"/>
      <c r="C587" s="667"/>
      <c r="D587" s="667"/>
      <c r="E587" s="668"/>
      <c r="F587" s="667"/>
      <c r="G587" s="667"/>
      <c r="H587" s="667"/>
      <c r="I587" s="667"/>
      <c r="J587" s="667"/>
      <c r="K587" s="667"/>
      <c r="L587" s="667"/>
      <c r="M587" s="667"/>
      <c r="N587" s="667"/>
      <c r="O587" s="667"/>
      <c r="P587" s="667"/>
      <c r="Q587" s="667"/>
    </row>
    <row r="588" ht="15.75" customHeight="1">
      <c r="B588" s="466"/>
      <c r="C588" s="667"/>
      <c r="D588" s="667"/>
      <c r="E588" s="668"/>
      <c r="F588" s="667"/>
      <c r="G588" s="667"/>
      <c r="H588" s="667"/>
      <c r="I588" s="667"/>
      <c r="J588" s="667"/>
      <c r="K588" s="667"/>
      <c r="L588" s="667"/>
      <c r="M588" s="667"/>
      <c r="N588" s="667"/>
      <c r="O588" s="667"/>
      <c r="P588" s="667"/>
      <c r="Q588" s="667"/>
    </row>
    <row r="589" ht="15.75" customHeight="1">
      <c r="B589" s="466"/>
      <c r="C589" s="667"/>
      <c r="D589" s="667"/>
      <c r="E589" s="668"/>
      <c r="F589" s="667"/>
      <c r="G589" s="667"/>
      <c r="H589" s="667"/>
      <c r="I589" s="667"/>
      <c r="J589" s="667"/>
      <c r="K589" s="667"/>
      <c r="L589" s="667"/>
      <c r="M589" s="667"/>
      <c r="N589" s="667"/>
      <c r="O589" s="667"/>
      <c r="P589" s="667"/>
      <c r="Q589" s="667"/>
    </row>
    <row r="590" ht="15.75" customHeight="1">
      <c r="B590" s="466"/>
      <c r="C590" s="667"/>
      <c r="D590" s="667"/>
      <c r="E590" s="668"/>
      <c r="F590" s="667"/>
      <c r="G590" s="667"/>
      <c r="H590" s="667"/>
      <c r="I590" s="667"/>
      <c r="J590" s="667"/>
      <c r="K590" s="667"/>
      <c r="L590" s="667"/>
      <c r="M590" s="667"/>
      <c r="N590" s="667"/>
      <c r="O590" s="667"/>
      <c r="P590" s="667"/>
      <c r="Q590" s="667"/>
    </row>
    <row r="591" ht="15.75" customHeight="1">
      <c r="B591" s="466"/>
      <c r="C591" s="667"/>
      <c r="D591" s="667"/>
      <c r="E591" s="668"/>
      <c r="F591" s="667"/>
      <c r="G591" s="667"/>
      <c r="H591" s="667"/>
      <c r="I591" s="667"/>
      <c r="J591" s="667"/>
      <c r="K591" s="667"/>
      <c r="L591" s="667"/>
      <c r="M591" s="667"/>
      <c r="N591" s="667"/>
      <c r="O591" s="667"/>
      <c r="P591" s="667"/>
      <c r="Q591" s="667"/>
    </row>
    <row r="592" ht="15.75" customHeight="1">
      <c r="B592" s="466"/>
      <c r="C592" s="667"/>
      <c r="D592" s="667"/>
      <c r="E592" s="668"/>
      <c r="F592" s="667"/>
      <c r="G592" s="667"/>
      <c r="H592" s="667"/>
      <c r="I592" s="667"/>
      <c r="J592" s="667"/>
      <c r="K592" s="667"/>
      <c r="L592" s="667"/>
      <c r="M592" s="667"/>
      <c r="N592" s="667"/>
      <c r="O592" s="667"/>
      <c r="P592" s="667"/>
      <c r="Q592" s="667"/>
    </row>
    <row r="593" ht="15.75" customHeight="1">
      <c r="B593" s="466"/>
      <c r="C593" s="667"/>
      <c r="D593" s="667"/>
      <c r="E593" s="668"/>
      <c r="F593" s="667"/>
      <c r="G593" s="667"/>
      <c r="H593" s="667"/>
      <c r="I593" s="667"/>
      <c r="J593" s="667"/>
      <c r="K593" s="667"/>
      <c r="L593" s="667"/>
      <c r="M593" s="667"/>
      <c r="N593" s="667"/>
      <c r="O593" s="667"/>
      <c r="P593" s="667"/>
      <c r="Q593" s="667"/>
    </row>
    <row r="594" ht="15.75" customHeight="1">
      <c r="B594" s="466"/>
      <c r="C594" s="667"/>
      <c r="D594" s="667"/>
      <c r="E594" s="668"/>
      <c r="F594" s="667"/>
      <c r="G594" s="667"/>
      <c r="H594" s="667"/>
      <c r="I594" s="667"/>
      <c r="J594" s="667"/>
      <c r="K594" s="667"/>
      <c r="L594" s="667"/>
      <c r="M594" s="667"/>
      <c r="N594" s="667"/>
      <c r="O594" s="667"/>
      <c r="P594" s="667"/>
      <c r="Q594" s="667"/>
    </row>
    <row r="595" ht="15.75" customHeight="1">
      <c r="B595" s="466"/>
      <c r="C595" s="667"/>
      <c r="D595" s="667"/>
      <c r="E595" s="668"/>
      <c r="F595" s="667"/>
      <c r="G595" s="667"/>
      <c r="H595" s="667"/>
      <c r="I595" s="667"/>
      <c r="J595" s="667"/>
      <c r="K595" s="667"/>
      <c r="L595" s="667"/>
      <c r="M595" s="667"/>
      <c r="N595" s="667"/>
      <c r="O595" s="667"/>
      <c r="P595" s="667"/>
      <c r="Q595" s="667"/>
    </row>
    <row r="596" ht="15.75" customHeight="1">
      <c r="B596" s="466"/>
      <c r="C596" s="667"/>
      <c r="D596" s="667"/>
      <c r="E596" s="668"/>
      <c r="F596" s="667"/>
      <c r="G596" s="667"/>
      <c r="H596" s="667"/>
      <c r="I596" s="667"/>
      <c r="J596" s="667"/>
      <c r="K596" s="667"/>
      <c r="L596" s="667"/>
      <c r="M596" s="667"/>
      <c r="N596" s="667"/>
      <c r="O596" s="667"/>
      <c r="P596" s="667"/>
      <c r="Q596" s="667"/>
    </row>
    <row r="597" ht="15.75" customHeight="1">
      <c r="B597" s="466"/>
      <c r="C597" s="667"/>
      <c r="D597" s="667"/>
      <c r="E597" s="668"/>
      <c r="F597" s="667"/>
      <c r="G597" s="667"/>
      <c r="H597" s="667"/>
      <c r="I597" s="667"/>
      <c r="J597" s="667"/>
      <c r="K597" s="667"/>
      <c r="L597" s="667"/>
      <c r="M597" s="667"/>
      <c r="N597" s="667"/>
      <c r="O597" s="667"/>
      <c r="P597" s="667"/>
      <c r="Q597" s="667"/>
    </row>
    <row r="598" ht="15.75" customHeight="1">
      <c r="B598" s="466"/>
      <c r="C598" s="667"/>
      <c r="D598" s="667"/>
      <c r="E598" s="668"/>
      <c r="F598" s="667"/>
      <c r="G598" s="667"/>
      <c r="H598" s="667"/>
      <c r="I598" s="667"/>
      <c r="J598" s="667"/>
      <c r="K598" s="667"/>
      <c r="L598" s="667"/>
      <c r="M598" s="667"/>
      <c r="N598" s="667"/>
      <c r="O598" s="667"/>
      <c r="P598" s="667"/>
      <c r="Q598" s="667"/>
    </row>
    <row r="599" ht="15.75" customHeight="1">
      <c r="B599" s="466"/>
      <c r="C599" s="667"/>
      <c r="D599" s="667"/>
      <c r="E599" s="668"/>
      <c r="F599" s="667"/>
      <c r="G599" s="667"/>
      <c r="H599" s="667"/>
      <c r="I599" s="667"/>
      <c r="J599" s="667"/>
      <c r="K599" s="667"/>
      <c r="L599" s="667"/>
      <c r="M599" s="667"/>
      <c r="N599" s="667"/>
      <c r="O599" s="667"/>
      <c r="P599" s="667"/>
      <c r="Q599" s="667"/>
    </row>
    <row r="600" ht="15.75" customHeight="1">
      <c r="B600" s="466"/>
      <c r="C600" s="667"/>
      <c r="D600" s="667"/>
      <c r="E600" s="668"/>
      <c r="F600" s="667"/>
      <c r="G600" s="667"/>
      <c r="H600" s="667"/>
      <c r="I600" s="667"/>
      <c r="J600" s="667"/>
      <c r="K600" s="667"/>
      <c r="L600" s="667"/>
      <c r="M600" s="667"/>
      <c r="N600" s="667"/>
      <c r="O600" s="667"/>
      <c r="P600" s="667"/>
      <c r="Q600" s="667"/>
    </row>
    <row r="601" ht="15.75" customHeight="1">
      <c r="B601" s="466"/>
      <c r="C601" s="667"/>
      <c r="D601" s="667"/>
      <c r="E601" s="668"/>
      <c r="F601" s="667"/>
      <c r="G601" s="667"/>
      <c r="H601" s="667"/>
      <c r="I601" s="667"/>
      <c r="J601" s="667"/>
      <c r="K601" s="667"/>
      <c r="L601" s="667"/>
      <c r="M601" s="667"/>
      <c r="N601" s="667"/>
      <c r="O601" s="667"/>
      <c r="P601" s="667"/>
      <c r="Q601" s="667"/>
    </row>
    <row r="602" ht="15.75" customHeight="1">
      <c r="B602" s="466"/>
      <c r="C602" s="667"/>
      <c r="D602" s="667"/>
      <c r="E602" s="668"/>
      <c r="F602" s="667"/>
      <c r="G602" s="667"/>
      <c r="H602" s="667"/>
      <c r="I602" s="667"/>
      <c r="J602" s="667"/>
      <c r="K602" s="667"/>
      <c r="L602" s="667"/>
      <c r="M602" s="667"/>
      <c r="N602" s="667"/>
      <c r="O602" s="667"/>
      <c r="P602" s="667"/>
      <c r="Q602" s="667"/>
    </row>
    <row r="603" ht="15.75" customHeight="1">
      <c r="B603" s="466"/>
      <c r="C603" s="667"/>
      <c r="D603" s="667"/>
      <c r="E603" s="668"/>
      <c r="F603" s="667"/>
      <c r="G603" s="667"/>
      <c r="H603" s="667"/>
      <c r="I603" s="667"/>
      <c r="J603" s="667"/>
      <c r="K603" s="667"/>
      <c r="L603" s="667"/>
      <c r="M603" s="667"/>
      <c r="N603" s="667"/>
      <c r="O603" s="667"/>
      <c r="P603" s="667"/>
      <c r="Q603" s="667"/>
    </row>
    <row r="604" ht="15.75" customHeight="1">
      <c r="B604" s="466"/>
      <c r="C604" s="667"/>
      <c r="D604" s="667"/>
      <c r="E604" s="668"/>
      <c r="F604" s="667"/>
      <c r="G604" s="667"/>
      <c r="H604" s="667"/>
      <c r="I604" s="667"/>
      <c r="J604" s="667"/>
      <c r="K604" s="667"/>
      <c r="L604" s="667"/>
      <c r="M604" s="667"/>
      <c r="N604" s="667"/>
      <c r="O604" s="667"/>
      <c r="P604" s="667"/>
      <c r="Q604" s="667"/>
    </row>
    <row r="605" ht="15.75" customHeight="1">
      <c r="B605" s="466"/>
      <c r="C605" s="667"/>
      <c r="D605" s="667"/>
      <c r="E605" s="668"/>
      <c r="F605" s="667"/>
      <c r="G605" s="667"/>
      <c r="H605" s="667"/>
      <c r="I605" s="667"/>
      <c r="J605" s="667"/>
      <c r="K605" s="667"/>
      <c r="L605" s="667"/>
      <c r="M605" s="667"/>
      <c r="N605" s="667"/>
      <c r="O605" s="667"/>
      <c r="P605" s="667"/>
      <c r="Q605" s="667"/>
    </row>
    <row r="606" ht="15.75" customHeight="1">
      <c r="B606" s="466"/>
      <c r="C606" s="667"/>
      <c r="D606" s="667"/>
      <c r="E606" s="668"/>
      <c r="F606" s="667"/>
      <c r="G606" s="667"/>
      <c r="H606" s="667"/>
      <c r="I606" s="667"/>
      <c r="J606" s="667"/>
      <c r="K606" s="667"/>
      <c r="L606" s="667"/>
      <c r="M606" s="667"/>
      <c r="N606" s="667"/>
      <c r="O606" s="667"/>
      <c r="P606" s="667"/>
      <c r="Q606" s="667"/>
    </row>
    <row r="607" ht="15.75" customHeight="1">
      <c r="B607" s="466"/>
      <c r="C607" s="667"/>
      <c r="D607" s="667"/>
      <c r="E607" s="668"/>
      <c r="F607" s="667"/>
      <c r="G607" s="667"/>
      <c r="H607" s="667"/>
      <c r="I607" s="667"/>
      <c r="J607" s="667"/>
      <c r="K607" s="667"/>
      <c r="L607" s="667"/>
      <c r="M607" s="667"/>
      <c r="N607" s="667"/>
      <c r="O607" s="667"/>
      <c r="P607" s="667"/>
      <c r="Q607" s="667"/>
    </row>
    <row r="608" ht="15.75" customHeight="1">
      <c r="B608" s="466"/>
      <c r="C608" s="667"/>
      <c r="D608" s="667"/>
      <c r="E608" s="668"/>
      <c r="F608" s="667"/>
      <c r="G608" s="667"/>
      <c r="H608" s="667"/>
      <c r="I608" s="667"/>
      <c r="J608" s="667"/>
      <c r="K608" s="667"/>
      <c r="L608" s="667"/>
      <c r="M608" s="667"/>
      <c r="N608" s="667"/>
      <c r="O608" s="667"/>
      <c r="P608" s="667"/>
      <c r="Q608" s="667"/>
    </row>
    <row r="609" ht="15.75" customHeight="1">
      <c r="B609" s="466"/>
      <c r="C609" s="667"/>
      <c r="D609" s="667"/>
      <c r="E609" s="668"/>
      <c r="F609" s="667"/>
      <c r="G609" s="667"/>
      <c r="H609" s="667"/>
      <c r="I609" s="667"/>
      <c r="J609" s="667"/>
      <c r="K609" s="667"/>
      <c r="L609" s="667"/>
      <c r="M609" s="667"/>
      <c r="N609" s="667"/>
      <c r="O609" s="667"/>
      <c r="P609" s="667"/>
      <c r="Q609" s="667"/>
    </row>
    <row r="610" ht="15.75" customHeight="1">
      <c r="B610" s="466"/>
      <c r="C610" s="667"/>
      <c r="D610" s="667"/>
      <c r="E610" s="668"/>
      <c r="F610" s="667"/>
      <c r="G610" s="667"/>
      <c r="H610" s="667"/>
      <c r="I610" s="667"/>
      <c r="J610" s="667"/>
      <c r="K610" s="667"/>
      <c r="L610" s="667"/>
      <c r="M610" s="667"/>
      <c r="N610" s="667"/>
      <c r="O610" s="667"/>
      <c r="P610" s="667"/>
      <c r="Q610" s="667"/>
    </row>
    <row r="611" ht="15.75" customHeight="1">
      <c r="B611" s="466"/>
      <c r="C611" s="667"/>
      <c r="D611" s="667"/>
      <c r="E611" s="668"/>
      <c r="F611" s="667"/>
      <c r="G611" s="667"/>
      <c r="H611" s="667"/>
      <c r="I611" s="667"/>
      <c r="J611" s="667"/>
      <c r="K611" s="667"/>
      <c r="L611" s="667"/>
      <c r="M611" s="667"/>
      <c r="N611" s="667"/>
      <c r="O611" s="667"/>
      <c r="P611" s="667"/>
      <c r="Q611" s="667"/>
    </row>
    <row r="612" ht="15.75" customHeight="1">
      <c r="B612" s="466"/>
      <c r="C612" s="667"/>
      <c r="D612" s="667"/>
      <c r="E612" s="668"/>
      <c r="F612" s="667"/>
      <c r="G612" s="667"/>
      <c r="H612" s="667"/>
      <c r="I612" s="667"/>
      <c r="J612" s="667"/>
      <c r="K612" s="667"/>
      <c r="L612" s="667"/>
      <c r="M612" s="667"/>
      <c r="N612" s="667"/>
      <c r="O612" s="667"/>
      <c r="P612" s="667"/>
      <c r="Q612" s="667"/>
    </row>
    <row r="613" ht="15.75" customHeight="1">
      <c r="B613" s="466"/>
      <c r="C613" s="667"/>
      <c r="D613" s="667"/>
      <c r="E613" s="668"/>
      <c r="F613" s="667"/>
      <c r="G613" s="667"/>
      <c r="H613" s="667"/>
      <c r="I613" s="667"/>
      <c r="J613" s="667"/>
      <c r="K613" s="667"/>
      <c r="L613" s="667"/>
      <c r="M613" s="667"/>
      <c r="N613" s="667"/>
      <c r="O613" s="667"/>
      <c r="P613" s="667"/>
      <c r="Q613" s="667"/>
    </row>
    <row r="614" ht="15.75" customHeight="1">
      <c r="B614" s="466"/>
      <c r="C614" s="667"/>
      <c r="D614" s="667"/>
      <c r="E614" s="668"/>
      <c r="F614" s="667"/>
      <c r="G614" s="667"/>
      <c r="H614" s="667"/>
      <c r="I614" s="667"/>
      <c r="J614" s="667"/>
      <c r="K614" s="667"/>
      <c r="L614" s="667"/>
      <c r="M614" s="667"/>
      <c r="N614" s="667"/>
      <c r="O614" s="667"/>
      <c r="P614" s="667"/>
      <c r="Q614" s="667"/>
    </row>
    <row r="615" ht="15.75" customHeight="1">
      <c r="B615" s="466"/>
      <c r="C615" s="667"/>
      <c r="D615" s="667"/>
      <c r="E615" s="668"/>
      <c r="F615" s="667"/>
      <c r="G615" s="667"/>
      <c r="H615" s="667"/>
      <c r="I615" s="667"/>
      <c r="J615" s="667"/>
      <c r="K615" s="667"/>
      <c r="L615" s="667"/>
      <c r="M615" s="667"/>
      <c r="N615" s="667"/>
      <c r="O615" s="667"/>
      <c r="P615" s="667"/>
      <c r="Q615" s="667"/>
    </row>
    <row r="616" ht="15.75" customHeight="1">
      <c r="B616" s="466"/>
      <c r="C616" s="667"/>
      <c r="D616" s="667"/>
      <c r="E616" s="668"/>
      <c r="F616" s="667"/>
      <c r="G616" s="667"/>
      <c r="H616" s="667"/>
      <c r="I616" s="667"/>
      <c r="J616" s="667"/>
      <c r="K616" s="667"/>
      <c r="L616" s="667"/>
      <c r="M616" s="667"/>
      <c r="N616" s="667"/>
      <c r="O616" s="667"/>
      <c r="P616" s="667"/>
      <c r="Q616" s="667"/>
    </row>
    <row r="617" ht="15.75" customHeight="1">
      <c r="B617" s="466"/>
      <c r="C617" s="667"/>
      <c r="D617" s="667"/>
      <c r="E617" s="668"/>
      <c r="F617" s="667"/>
      <c r="G617" s="667"/>
      <c r="H617" s="667"/>
      <c r="I617" s="667"/>
      <c r="J617" s="667"/>
      <c r="K617" s="667"/>
      <c r="L617" s="667"/>
      <c r="M617" s="667"/>
      <c r="N617" s="667"/>
      <c r="O617" s="667"/>
      <c r="P617" s="667"/>
      <c r="Q617" s="667"/>
    </row>
    <row r="618" ht="15.75" customHeight="1">
      <c r="B618" s="466"/>
      <c r="C618" s="667"/>
      <c r="D618" s="667"/>
      <c r="E618" s="668"/>
      <c r="F618" s="667"/>
      <c r="G618" s="667"/>
      <c r="H618" s="667"/>
      <c r="I618" s="667"/>
      <c r="J618" s="667"/>
      <c r="K618" s="667"/>
      <c r="L618" s="667"/>
      <c r="M618" s="667"/>
      <c r="N618" s="667"/>
      <c r="O618" s="667"/>
      <c r="P618" s="667"/>
      <c r="Q618" s="667"/>
    </row>
    <row r="619" ht="15.75" customHeight="1">
      <c r="B619" s="466"/>
      <c r="C619" s="667"/>
      <c r="D619" s="667"/>
      <c r="E619" s="668"/>
      <c r="F619" s="667"/>
      <c r="G619" s="667"/>
      <c r="H619" s="667"/>
      <c r="I619" s="667"/>
      <c r="J619" s="667"/>
      <c r="K619" s="667"/>
      <c r="L619" s="667"/>
      <c r="M619" s="667"/>
      <c r="N619" s="667"/>
      <c r="O619" s="667"/>
      <c r="P619" s="667"/>
      <c r="Q619" s="667"/>
    </row>
    <row r="620" ht="15.75" customHeight="1">
      <c r="B620" s="466"/>
      <c r="C620" s="667"/>
      <c r="D620" s="667"/>
      <c r="E620" s="668"/>
      <c r="F620" s="667"/>
      <c r="G620" s="667"/>
      <c r="H620" s="667"/>
      <c r="I620" s="667"/>
      <c r="J620" s="667"/>
      <c r="K620" s="667"/>
      <c r="L620" s="667"/>
      <c r="M620" s="667"/>
      <c r="N620" s="667"/>
      <c r="O620" s="667"/>
      <c r="P620" s="667"/>
      <c r="Q620" s="667"/>
    </row>
    <row r="621" ht="15.75" customHeight="1">
      <c r="B621" s="466"/>
      <c r="C621" s="667"/>
      <c r="D621" s="667"/>
      <c r="E621" s="668"/>
      <c r="F621" s="667"/>
      <c r="G621" s="667"/>
      <c r="H621" s="667"/>
      <c r="I621" s="667"/>
      <c r="J621" s="667"/>
      <c r="K621" s="667"/>
      <c r="L621" s="667"/>
      <c r="M621" s="667"/>
      <c r="N621" s="667"/>
      <c r="O621" s="667"/>
      <c r="P621" s="667"/>
      <c r="Q621" s="667"/>
    </row>
    <row r="622" ht="15.75" customHeight="1">
      <c r="B622" s="466"/>
      <c r="C622" s="667"/>
      <c r="D622" s="667"/>
      <c r="E622" s="668"/>
      <c r="F622" s="667"/>
      <c r="G622" s="667"/>
      <c r="H622" s="667"/>
      <c r="I622" s="667"/>
      <c r="J622" s="667"/>
      <c r="K622" s="667"/>
      <c r="L622" s="667"/>
      <c r="M622" s="667"/>
      <c r="N622" s="667"/>
      <c r="O622" s="667"/>
      <c r="P622" s="667"/>
      <c r="Q622" s="667"/>
    </row>
    <row r="623" ht="15.75" customHeight="1">
      <c r="B623" s="466"/>
      <c r="C623" s="667"/>
      <c r="D623" s="667"/>
      <c r="E623" s="668"/>
      <c r="F623" s="667"/>
      <c r="G623" s="667"/>
      <c r="H623" s="667"/>
      <c r="I623" s="667"/>
      <c r="J623" s="667"/>
      <c r="K623" s="667"/>
      <c r="L623" s="667"/>
      <c r="M623" s="667"/>
      <c r="N623" s="667"/>
      <c r="O623" s="667"/>
      <c r="P623" s="667"/>
      <c r="Q623" s="667"/>
    </row>
    <row r="624" ht="15.75" customHeight="1">
      <c r="B624" s="466"/>
      <c r="C624" s="667"/>
      <c r="D624" s="667"/>
      <c r="E624" s="668"/>
      <c r="F624" s="667"/>
      <c r="G624" s="667"/>
      <c r="H624" s="667"/>
      <c r="I624" s="667"/>
      <c r="J624" s="667"/>
      <c r="K624" s="667"/>
      <c r="L624" s="667"/>
      <c r="M624" s="667"/>
      <c r="N624" s="667"/>
      <c r="O624" s="667"/>
      <c r="P624" s="667"/>
      <c r="Q624" s="667"/>
    </row>
    <row r="625" ht="15.75" customHeight="1">
      <c r="B625" s="466"/>
      <c r="C625" s="667"/>
      <c r="D625" s="667"/>
      <c r="E625" s="668"/>
      <c r="F625" s="667"/>
      <c r="G625" s="667"/>
      <c r="H625" s="667"/>
      <c r="I625" s="667"/>
      <c r="J625" s="667"/>
      <c r="K625" s="667"/>
      <c r="L625" s="667"/>
      <c r="M625" s="667"/>
      <c r="N625" s="667"/>
      <c r="O625" s="667"/>
      <c r="P625" s="667"/>
      <c r="Q625" s="667"/>
    </row>
    <row r="626" ht="15.75" customHeight="1">
      <c r="B626" s="466"/>
      <c r="C626" s="667"/>
      <c r="D626" s="667"/>
      <c r="E626" s="668"/>
      <c r="F626" s="667"/>
      <c r="G626" s="667"/>
      <c r="H626" s="667"/>
      <c r="I626" s="667"/>
      <c r="J626" s="667"/>
      <c r="K626" s="667"/>
      <c r="L626" s="667"/>
      <c r="M626" s="667"/>
      <c r="N626" s="667"/>
      <c r="O626" s="667"/>
      <c r="P626" s="667"/>
      <c r="Q626" s="667"/>
    </row>
    <row r="627" ht="15.75" customHeight="1">
      <c r="B627" s="466"/>
      <c r="C627" s="667"/>
      <c r="D627" s="667"/>
      <c r="E627" s="668"/>
      <c r="F627" s="667"/>
      <c r="G627" s="667"/>
      <c r="H627" s="667"/>
      <c r="I627" s="667"/>
      <c r="J627" s="667"/>
      <c r="K627" s="667"/>
      <c r="L627" s="667"/>
      <c r="M627" s="667"/>
      <c r="N627" s="667"/>
      <c r="O627" s="667"/>
      <c r="P627" s="667"/>
      <c r="Q627" s="667"/>
    </row>
    <row r="628" ht="15.75" customHeight="1">
      <c r="B628" s="466"/>
      <c r="C628" s="667"/>
      <c r="D628" s="667"/>
      <c r="E628" s="668"/>
      <c r="F628" s="667"/>
      <c r="G628" s="667"/>
      <c r="H628" s="667"/>
      <c r="I628" s="667"/>
      <c r="J628" s="667"/>
      <c r="K628" s="667"/>
      <c r="L628" s="667"/>
      <c r="M628" s="667"/>
      <c r="N628" s="667"/>
      <c r="O628" s="667"/>
      <c r="P628" s="667"/>
      <c r="Q628" s="667"/>
    </row>
    <row r="629" ht="15.75" customHeight="1">
      <c r="B629" s="466"/>
      <c r="C629" s="667"/>
      <c r="D629" s="667"/>
      <c r="E629" s="668"/>
      <c r="F629" s="667"/>
      <c r="G629" s="667"/>
      <c r="H629" s="667"/>
      <c r="I629" s="667"/>
      <c r="J629" s="667"/>
      <c r="K629" s="667"/>
      <c r="L629" s="667"/>
      <c r="M629" s="667"/>
      <c r="N629" s="667"/>
      <c r="O629" s="667"/>
      <c r="P629" s="667"/>
      <c r="Q629" s="667"/>
    </row>
    <row r="630" ht="15.75" customHeight="1">
      <c r="B630" s="466"/>
      <c r="C630" s="667"/>
      <c r="D630" s="667"/>
      <c r="E630" s="668"/>
      <c r="F630" s="667"/>
      <c r="G630" s="667"/>
      <c r="H630" s="667"/>
      <c r="I630" s="667"/>
      <c r="J630" s="667"/>
      <c r="K630" s="667"/>
      <c r="L630" s="667"/>
      <c r="M630" s="667"/>
      <c r="N630" s="667"/>
      <c r="O630" s="667"/>
      <c r="P630" s="667"/>
      <c r="Q630" s="667"/>
    </row>
    <row r="631" ht="15.75" customHeight="1">
      <c r="B631" s="466"/>
      <c r="C631" s="667"/>
      <c r="D631" s="667"/>
      <c r="E631" s="668"/>
      <c r="F631" s="667"/>
      <c r="G631" s="667"/>
      <c r="H631" s="667"/>
      <c r="I631" s="667"/>
      <c r="J631" s="667"/>
      <c r="K631" s="667"/>
      <c r="L631" s="667"/>
      <c r="M631" s="667"/>
      <c r="N631" s="667"/>
      <c r="O631" s="667"/>
      <c r="P631" s="667"/>
      <c r="Q631" s="667"/>
    </row>
    <row r="632" ht="15.75" customHeight="1">
      <c r="B632" s="466"/>
      <c r="C632" s="667"/>
      <c r="D632" s="667"/>
      <c r="E632" s="668"/>
      <c r="F632" s="667"/>
      <c r="G632" s="667"/>
      <c r="H632" s="667"/>
      <c r="I632" s="667"/>
      <c r="J632" s="667"/>
      <c r="K632" s="667"/>
      <c r="L632" s="667"/>
      <c r="M632" s="667"/>
      <c r="N632" s="667"/>
      <c r="O632" s="667"/>
      <c r="P632" s="667"/>
      <c r="Q632" s="667"/>
    </row>
    <row r="633" ht="15.75" customHeight="1">
      <c r="B633" s="466"/>
      <c r="C633" s="667"/>
      <c r="D633" s="667"/>
      <c r="E633" s="668"/>
      <c r="F633" s="667"/>
      <c r="G633" s="667"/>
      <c r="H633" s="667"/>
      <c r="I633" s="667"/>
      <c r="J633" s="667"/>
      <c r="K633" s="667"/>
      <c r="L633" s="667"/>
      <c r="M633" s="667"/>
      <c r="N633" s="667"/>
      <c r="O633" s="667"/>
      <c r="P633" s="667"/>
      <c r="Q633" s="667"/>
    </row>
    <row r="634" ht="15.75" customHeight="1">
      <c r="B634" s="466"/>
      <c r="C634" s="667"/>
      <c r="D634" s="667"/>
      <c r="E634" s="668"/>
      <c r="F634" s="667"/>
      <c r="G634" s="667"/>
      <c r="H634" s="667"/>
      <c r="I634" s="667"/>
      <c r="J634" s="667"/>
      <c r="K634" s="667"/>
      <c r="L634" s="667"/>
      <c r="M634" s="667"/>
      <c r="N634" s="667"/>
      <c r="O634" s="667"/>
      <c r="P634" s="667"/>
      <c r="Q634" s="667"/>
    </row>
    <row r="635" ht="15.75" customHeight="1">
      <c r="B635" s="466"/>
      <c r="C635" s="667"/>
      <c r="D635" s="667"/>
      <c r="E635" s="668"/>
      <c r="F635" s="667"/>
      <c r="G635" s="667"/>
      <c r="H635" s="667"/>
      <c r="I635" s="667"/>
      <c r="J635" s="667"/>
      <c r="K635" s="667"/>
      <c r="L635" s="667"/>
      <c r="M635" s="667"/>
      <c r="N635" s="667"/>
      <c r="O635" s="667"/>
      <c r="P635" s="667"/>
      <c r="Q635" s="667"/>
    </row>
    <row r="636" ht="15.75" customHeight="1">
      <c r="B636" s="466"/>
      <c r="C636" s="667"/>
      <c r="D636" s="667"/>
      <c r="E636" s="668"/>
      <c r="F636" s="667"/>
      <c r="G636" s="667"/>
      <c r="H636" s="667"/>
      <c r="I636" s="667"/>
      <c r="J636" s="667"/>
      <c r="K636" s="667"/>
      <c r="L636" s="667"/>
      <c r="M636" s="667"/>
      <c r="N636" s="667"/>
      <c r="O636" s="667"/>
      <c r="P636" s="667"/>
      <c r="Q636" s="667"/>
    </row>
    <row r="637" ht="15.75" customHeight="1">
      <c r="B637" s="466"/>
      <c r="C637" s="667"/>
      <c r="D637" s="667"/>
      <c r="E637" s="668"/>
      <c r="F637" s="667"/>
      <c r="G637" s="667"/>
      <c r="H637" s="667"/>
      <c r="I637" s="667"/>
      <c r="J637" s="667"/>
      <c r="K637" s="667"/>
      <c r="L637" s="667"/>
      <c r="M637" s="667"/>
      <c r="N637" s="667"/>
      <c r="O637" s="667"/>
      <c r="P637" s="667"/>
      <c r="Q637" s="667"/>
    </row>
    <row r="638" ht="15.75" customHeight="1">
      <c r="B638" s="466"/>
      <c r="C638" s="667"/>
      <c r="D638" s="667"/>
      <c r="E638" s="668"/>
      <c r="F638" s="667"/>
      <c r="G638" s="667"/>
      <c r="H638" s="667"/>
      <c r="I638" s="667"/>
      <c r="J638" s="667"/>
      <c r="K638" s="667"/>
      <c r="L638" s="667"/>
      <c r="M638" s="667"/>
      <c r="N638" s="667"/>
      <c r="O638" s="667"/>
      <c r="P638" s="667"/>
      <c r="Q638" s="667"/>
    </row>
    <row r="639" ht="15.75" customHeight="1">
      <c r="B639" s="466"/>
      <c r="C639" s="667"/>
      <c r="D639" s="667"/>
      <c r="E639" s="668"/>
      <c r="F639" s="667"/>
      <c r="G639" s="667"/>
      <c r="H639" s="667"/>
      <c r="I639" s="667"/>
      <c r="J639" s="667"/>
      <c r="K639" s="667"/>
      <c r="L639" s="667"/>
      <c r="M639" s="667"/>
      <c r="N639" s="667"/>
      <c r="O639" s="667"/>
      <c r="P639" s="667"/>
      <c r="Q639" s="667"/>
    </row>
    <row r="640" ht="15.75" customHeight="1">
      <c r="B640" s="466"/>
      <c r="C640" s="667"/>
      <c r="D640" s="667"/>
      <c r="E640" s="668"/>
      <c r="F640" s="667"/>
      <c r="G640" s="667"/>
      <c r="H640" s="667"/>
      <c r="I640" s="667"/>
      <c r="J640" s="667"/>
      <c r="K640" s="667"/>
      <c r="L640" s="667"/>
      <c r="M640" s="667"/>
      <c r="N640" s="667"/>
      <c r="O640" s="667"/>
      <c r="P640" s="667"/>
      <c r="Q640" s="667"/>
    </row>
    <row r="641" ht="15.75" customHeight="1">
      <c r="B641" s="466"/>
      <c r="C641" s="667"/>
      <c r="D641" s="667"/>
      <c r="E641" s="668"/>
      <c r="F641" s="667"/>
      <c r="G641" s="667"/>
      <c r="H641" s="667"/>
      <c r="I641" s="667"/>
      <c r="J641" s="667"/>
      <c r="K641" s="667"/>
      <c r="L641" s="667"/>
      <c r="M641" s="667"/>
      <c r="N641" s="667"/>
      <c r="O641" s="667"/>
      <c r="P641" s="667"/>
      <c r="Q641" s="667"/>
    </row>
    <row r="642" ht="15.75" customHeight="1">
      <c r="B642" s="466"/>
      <c r="C642" s="667"/>
      <c r="D642" s="667"/>
      <c r="E642" s="668"/>
      <c r="F642" s="667"/>
      <c r="G642" s="667"/>
      <c r="H642" s="667"/>
      <c r="I642" s="667"/>
      <c r="J642" s="667"/>
      <c r="K642" s="667"/>
      <c r="L642" s="667"/>
      <c r="M642" s="667"/>
      <c r="N642" s="667"/>
      <c r="O642" s="667"/>
      <c r="P642" s="667"/>
      <c r="Q642" s="667"/>
    </row>
    <row r="643" ht="15.75" customHeight="1">
      <c r="B643" s="466"/>
      <c r="C643" s="667"/>
      <c r="D643" s="667"/>
      <c r="E643" s="668"/>
      <c r="F643" s="667"/>
      <c r="G643" s="667"/>
      <c r="H643" s="667"/>
      <c r="I643" s="667"/>
      <c r="J643" s="667"/>
      <c r="K643" s="667"/>
      <c r="L643" s="667"/>
      <c r="M643" s="667"/>
      <c r="N643" s="667"/>
      <c r="O643" s="667"/>
      <c r="P643" s="667"/>
      <c r="Q643" s="667"/>
    </row>
    <row r="644" ht="15.75" customHeight="1">
      <c r="B644" s="466"/>
      <c r="C644" s="667"/>
      <c r="D644" s="667"/>
      <c r="E644" s="668"/>
      <c r="F644" s="667"/>
      <c r="G644" s="667"/>
      <c r="H644" s="667"/>
      <c r="I644" s="667"/>
      <c r="J644" s="667"/>
      <c r="K644" s="667"/>
      <c r="L644" s="667"/>
      <c r="M644" s="667"/>
      <c r="N644" s="667"/>
      <c r="O644" s="667"/>
      <c r="P644" s="667"/>
      <c r="Q644" s="667"/>
    </row>
    <row r="645" ht="15.75" customHeight="1">
      <c r="B645" s="466"/>
      <c r="C645" s="667"/>
      <c r="D645" s="667"/>
      <c r="E645" s="668"/>
      <c r="F645" s="667"/>
      <c r="G645" s="667"/>
      <c r="H645" s="667"/>
      <c r="I645" s="667"/>
      <c r="J645" s="667"/>
      <c r="K645" s="667"/>
      <c r="L645" s="667"/>
      <c r="M645" s="667"/>
      <c r="N645" s="667"/>
      <c r="O645" s="667"/>
      <c r="P645" s="667"/>
      <c r="Q645" s="667"/>
    </row>
    <row r="646" ht="15.75" customHeight="1">
      <c r="B646" s="466"/>
      <c r="C646" s="667"/>
      <c r="D646" s="667"/>
      <c r="E646" s="668"/>
      <c r="F646" s="667"/>
      <c r="G646" s="667"/>
      <c r="H646" s="667"/>
      <c r="I646" s="667"/>
      <c r="J646" s="667"/>
      <c r="K646" s="667"/>
      <c r="L646" s="667"/>
      <c r="M646" s="667"/>
      <c r="N646" s="667"/>
      <c r="O646" s="667"/>
      <c r="P646" s="667"/>
      <c r="Q646" s="667"/>
    </row>
    <row r="647" ht="15.75" customHeight="1">
      <c r="B647" s="466"/>
      <c r="C647" s="667"/>
      <c r="D647" s="667"/>
      <c r="E647" s="668"/>
      <c r="F647" s="667"/>
      <c r="G647" s="667"/>
      <c r="H647" s="667"/>
      <c r="I647" s="667"/>
      <c r="J647" s="667"/>
      <c r="K647" s="667"/>
      <c r="L647" s="667"/>
      <c r="M647" s="667"/>
      <c r="N647" s="667"/>
      <c r="O647" s="667"/>
      <c r="P647" s="667"/>
      <c r="Q647" s="667"/>
    </row>
    <row r="648" ht="15.75" customHeight="1">
      <c r="B648" s="466"/>
      <c r="C648" s="667"/>
      <c r="D648" s="667"/>
      <c r="E648" s="668"/>
      <c r="F648" s="667"/>
      <c r="G648" s="667"/>
      <c r="H648" s="667"/>
      <c r="I648" s="667"/>
      <c r="J648" s="667"/>
      <c r="K648" s="667"/>
      <c r="L648" s="667"/>
      <c r="M648" s="667"/>
      <c r="N648" s="667"/>
      <c r="O648" s="667"/>
      <c r="P648" s="667"/>
      <c r="Q648" s="667"/>
    </row>
    <row r="649" ht="15.75" customHeight="1">
      <c r="B649" s="466"/>
      <c r="C649" s="667"/>
      <c r="D649" s="667"/>
      <c r="E649" s="668"/>
      <c r="F649" s="667"/>
      <c r="G649" s="667"/>
      <c r="H649" s="667"/>
      <c r="I649" s="667"/>
      <c r="J649" s="667"/>
      <c r="K649" s="667"/>
      <c r="L649" s="667"/>
      <c r="M649" s="667"/>
      <c r="N649" s="667"/>
      <c r="O649" s="667"/>
      <c r="P649" s="667"/>
      <c r="Q649" s="667"/>
    </row>
    <row r="650" ht="15.75" customHeight="1">
      <c r="B650" s="466"/>
      <c r="C650" s="667"/>
      <c r="D650" s="667"/>
      <c r="E650" s="668"/>
      <c r="F650" s="667"/>
      <c r="G650" s="667"/>
      <c r="H650" s="667"/>
      <c r="I650" s="667"/>
      <c r="J650" s="667"/>
      <c r="K650" s="667"/>
      <c r="L650" s="667"/>
      <c r="M650" s="667"/>
      <c r="N650" s="667"/>
      <c r="O650" s="667"/>
      <c r="P650" s="667"/>
      <c r="Q650" s="667"/>
    </row>
    <row r="651" ht="15.75" customHeight="1">
      <c r="B651" s="466"/>
      <c r="C651" s="667"/>
      <c r="D651" s="667"/>
      <c r="E651" s="668"/>
      <c r="F651" s="667"/>
      <c r="G651" s="667"/>
      <c r="H651" s="667"/>
      <c r="I651" s="667"/>
      <c r="J651" s="667"/>
      <c r="K651" s="667"/>
      <c r="L651" s="667"/>
      <c r="M651" s="667"/>
      <c r="N651" s="667"/>
      <c r="O651" s="667"/>
      <c r="P651" s="667"/>
      <c r="Q651" s="667"/>
    </row>
    <row r="652" ht="15.75" customHeight="1">
      <c r="B652" s="466"/>
      <c r="C652" s="667"/>
      <c r="D652" s="667"/>
      <c r="E652" s="668"/>
      <c r="F652" s="667"/>
      <c r="G652" s="667"/>
      <c r="H652" s="667"/>
      <c r="I652" s="667"/>
      <c r="J652" s="667"/>
      <c r="K652" s="667"/>
      <c r="L652" s="667"/>
      <c r="M652" s="667"/>
      <c r="N652" s="667"/>
      <c r="O652" s="667"/>
      <c r="P652" s="667"/>
      <c r="Q652" s="667"/>
    </row>
    <row r="653" ht="15.75" customHeight="1">
      <c r="B653" s="466"/>
      <c r="C653" s="667"/>
      <c r="D653" s="667"/>
      <c r="E653" s="668"/>
      <c r="F653" s="667"/>
      <c r="G653" s="667"/>
      <c r="H653" s="667"/>
      <c r="I653" s="667"/>
      <c r="J653" s="667"/>
      <c r="K653" s="667"/>
      <c r="L653" s="667"/>
      <c r="M653" s="667"/>
      <c r="N653" s="667"/>
      <c r="O653" s="667"/>
      <c r="P653" s="667"/>
      <c r="Q653" s="667"/>
    </row>
    <row r="654" ht="15.75" customHeight="1">
      <c r="B654" s="466"/>
      <c r="C654" s="667"/>
      <c r="D654" s="667"/>
      <c r="E654" s="668"/>
      <c r="F654" s="667"/>
      <c r="G654" s="667"/>
      <c r="H654" s="667"/>
      <c r="I654" s="667"/>
      <c r="J654" s="667"/>
      <c r="K654" s="667"/>
      <c r="L654" s="667"/>
      <c r="M654" s="667"/>
      <c r="N654" s="667"/>
      <c r="O654" s="667"/>
      <c r="P654" s="667"/>
      <c r="Q654" s="667"/>
    </row>
    <row r="655" ht="15.75" customHeight="1">
      <c r="B655" s="466"/>
      <c r="C655" s="667"/>
      <c r="D655" s="667"/>
      <c r="E655" s="668"/>
      <c r="F655" s="667"/>
      <c r="G655" s="667"/>
      <c r="H655" s="667"/>
      <c r="I655" s="667"/>
      <c r="J655" s="667"/>
      <c r="K655" s="667"/>
      <c r="L655" s="667"/>
      <c r="M655" s="667"/>
      <c r="N655" s="667"/>
      <c r="O655" s="667"/>
      <c r="P655" s="667"/>
      <c r="Q655" s="667"/>
    </row>
    <row r="656" ht="15.75" customHeight="1">
      <c r="B656" s="466"/>
      <c r="C656" s="667"/>
      <c r="D656" s="667"/>
      <c r="E656" s="668"/>
      <c r="F656" s="667"/>
      <c r="G656" s="667"/>
      <c r="H656" s="667"/>
      <c r="I656" s="667"/>
      <c r="J656" s="667"/>
      <c r="K656" s="667"/>
      <c r="L656" s="667"/>
      <c r="M656" s="667"/>
      <c r="N656" s="667"/>
      <c r="O656" s="667"/>
      <c r="P656" s="667"/>
      <c r="Q656" s="667"/>
    </row>
    <row r="657" ht="15.75" customHeight="1">
      <c r="B657" s="466"/>
      <c r="C657" s="667"/>
      <c r="D657" s="667"/>
      <c r="E657" s="668"/>
      <c r="F657" s="667"/>
      <c r="G657" s="667"/>
      <c r="H657" s="667"/>
      <c r="I657" s="667"/>
      <c r="J657" s="667"/>
      <c r="K657" s="667"/>
      <c r="L657" s="667"/>
      <c r="M657" s="667"/>
      <c r="N657" s="667"/>
      <c r="O657" s="667"/>
      <c r="P657" s="667"/>
      <c r="Q657" s="667"/>
    </row>
    <row r="658" ht="15.75" customHeight="1">
      <c r="B658" s="466"/>
      <c r="C658" s="667"/>
      <c r="D658" s="667"/>
      <c r="E658" s="668"/>
      <c r="F658" s="667"/>
      <c r="G658" s="667"/>
      <c r="H658" s="667"/>
      <c r="I658" s="667"/>
      <c r="J658" s="667"/>
      <c r="K658" s="667"/>
      <c r="L658" s="667"/>
      <c r="M658" s="667"/>
      <c r="N658" s="667"/>
      <c r="O658" s="667"/>
      <c r="P658" s="667"/>
      <c r="Q658" s="667"/>
    </row>
    <row r="659" ht="15.75" customHeight="1">
      <c r="B659" s="466"/>
      <c r="C659" s="667"/>
      <c r="D659" s="667"/>
      <c r="E659" s="668"/>
      <c r="F659" s="667"/>
      <c r="G659" s="667"/>
      <c r="H659" s="667"/>
      <c r="I659" s="667"/>
      <c r="J659" s="667"/>
      <c r="K659" s="667"/>
      <c r="L659" s="667"/>
      <c r="M659" s="667"/>
      <c r="N659" s="667"/>
      <c r="O659" s="667"/>
      <c r="P659" s="667"/>
      <c r="Q659" s="667"/>
    </row>
    <row r="660" ht="15.75" customHeight="1">
      <c r="B660" s="466"/>
      <c r="C660" s="667"/>
      <c r="D660" s="667"/>
      <c r="E660" s="668"/>
      <c r="F660" s="667"/>
      <c r="G660" s="667"/>
      <c r="H660" s="667"/>
      <c r="I660" s="667"/>
      <c r="J660" s="667"/>
      <c r="K660" s="667"/>
      <c r="L660" s="667"/>
      <c r="M660" s="667"/>
      <c r="N660" s="667"/>
      <c r="O660" s="667"/>
      <c r="P660" s="667"/>
      <c r="Q660" s="667"/>
    </row>
    <row r="661" ht="15.75" customHeight="1">
      <c r="B661" s="466"/>
      <c r="C661" s="667"/>
      <c r="D661" s="667"/>
      <c r="E661" s="668"/>
      <c r="F661" s="667"/>
      <c r="G661" s="667"/>
      <c r="H661" s="667"/>
      <c r="I661" s="667"/>
      <c r="J661" s="667"/>
      <c r="K661" s="667"/>
      <c r="L661" s="667"/>
      <c r="M661" s="667"/>
      <c r="N661" s="667"/>
      <c r="O661" s="667"/>
      <c r="P661" s="667"/>
      <c r="Q661" s="667"/>
    </row>
    <row r="662" ht="15.75" customHeight="1">
      <c r="B662" s="466"/>
      <c r="C662" s="667"/>
      <c r="D662" s="667"/>
      <c r="E662" s="668"/>
      <c r="F662" s="667"/>
      <c r="G662" s="667"/>
      <c r="H662" s="667"/>
      <c r="I662" s="667"/>
      <c r="J662" s="667"/>
      <c r="K662" s="667"/>
      <c r="L662" s="667"/>
      <c r="M662" s="667"/>
      <c r="N662" s="667"/>
      <c r="O662" s="667"/>
      <c r="P662" s="667"/>
      <c r="Q662" s="667"/>
    </row>
    <row r="663" ht="15.75" customHeight="1">
      <c r="B663" s="466"/>
      <c r="C663" s="667"/>
      <c r="D663" s="667"/>
      <c r="E663" s="668"/>
      <c r="F663" s="667"/>
      <c r="G663" s="667"/>
      <c r="H663" s="667"/>
      <c r="I663" s="667"/>
      <c r="J663" s="667"/>
      <c r="K663" s="667"/>
      <c r="L663" s="667"/>
      <c r="M663" s="667"/>
      <c r="N663" s="667"/>
      <c r="O663" s="667"/>
      <c r="P663" s="667"/>
      <c r="Q663" s="667"/>
    </row>
    <row r="664" ht="15.75" customHeight="1">
      <c r="B664" s="466"/>
      <c r="C664" s="667"/>
      <c r="D664" s="667"/>
      <c r="E664" s="668"/>
      <c r="F664" s="667"/>
      <c r="G664" s="667"/>
      <c r="H664" s="667"/>
      <c r="I664" s="667"/>
      <c r="J664" s="667"/>
      <c r="K664" s="667"/>
      <c r="L664" s="667"/>
      <c r="M664" s="667"/>
      <c r="N664" s="667"/>
      <c r="O664" s="667"/>
      <c r="P664" s="667"/>
      <c r="Q664" s="667"/>
    </row>
    <row r="665" ht="15.75" customHeight="1">
      <c r="B665" s="466"/>
      <c r="C665" s="667"/>
      <c r="D665" s="667"/>
      <c r="E665" s="668"/>
      <c r="F665" s="667"/>
      <c r="G665" s="667"/>
      <c r="H665" s="667"/>
      <c r="I665" s="667"/>
      <c r="J665" s="667"/>
      <c r="K665" s="667"/>
      <c r="L665" s="667"/>
      <c r="M665" s="667"/>
      <c r="N665" s="667"/>
      <c r="O665" s="667"/>
      <c r="P665" s="667"/>
      <c r="Q665" s="667"/>
    </row>
    <row r="666" ht="15.75" customHeight="1">
      <c r="B666" s="466"/>
      <c r="C666" s="667"/>
      <c r="D666" s="667"/>
      <c r="E666" s="668"/>
      <c r="F666" s="667"/>
      <c r="G666" s="667"/>
      <c r="H666" s="667"/>
      <c r="I666" s="667"/>
      <c r="J666" s="667"/>
      <c r="K666" s="667"/>
      <c r="L666" s="667"/>
      <c r="M666" s="667"/>
      <c r="N666" s="667"/>
      <c r="O666" s="667"/>
      <c r="P666" s="667"/>
      <c r="Q666" s="667"/>
    </row>
    <row r="667" ht="15.75" customHeight="1">
      <c r="B667" s="466"/>
      <c r="C667" s="667"/>
      <c r="D667" s="667"/>
      <c r="E667" s="668"/>
      <c r="F667" s="667"/>
      <c r="G667" s="667"/>
      <c r="H667" s="667"/>
      <c r="I667" s="667"/>
      <c r="J667" s="667"/>
      <c r="K667" s="667"/>
      <c r="L667" s="667"/>
      <c r="M667" s="667"/>
      <c r="N667" s="667"/>
      <c r="O667" s="667"/>
      <c r="P667" s="667"/>
      <c r="Q667" s="667"/>
    </row>
    <row r="668" ht="15.75" customHeight="1">
      <c r="B668" s="466"/>
      <c r="C668" s="667"/>
      <c r="D668" s="667"/>
      <c r="E668" s="668"/>
      <c r="F668" s="667"/>
      <c r="G668" s="667"/>
      <c r="H668" s="667"/>
      <c r="I668" s="667"/>
      <c r="J668" s="667"/>
      <c r="K668" s="667"/>
      <c r="L668" s="667"/>
      <c r="M668" s="667"/>
      <c r="N668" s="667"/>
      <c r="O668" s="667"/>
      <c r="P668" s="667"/>
      <c r="Q668" s="667"/>
    </row>
    <row r="669" ht="15.75" customHeight="1">
      <c r="B669" s="466"/>
      <c r="C669" s="667"/>
      <c r="D669" s="667"/>
      <c r="E669" s="668"/>
      <c r="F669" s="667"/>
      <c r="G669" s="667"/>
      <c r="H669" s="667"/>
      <c r="I669" s="667"/>
      <c r="J669" s="667"/>
      <c r="K669" s="667"/>
      <c r="L669" s="667"/>
      <c r="M669" s="667"/>
      <c r="N669" s="667"/>
      <c r="O669" s="667"/>
      <c r="P669" s="667"/>
      <c r="Q669" s="667"/>
    </row>
    <row r="670" ht="15.75" customHeight="1">
      <c r="B670" s="466"/>
      <c r="C670" s="667"/>
      <c r="D670" s="667"/>
      <c r="E670" s="668"/>
      <c r="F670" s="667"/>
      <c r="G670" s="667"/>
      <c r="H670" s="667"/>
      <c r="I670" s="667"/>
      <c r="J670" s="667"/>
      <c r="K670" s="667"/>
      <c r="L670" s="667"/>
      <c r="M670" s="667"/>
      <c r="N670" s="667"/>
      <c r="O670" s="667"/>
      <c r="P670" s="667"/>
      <c r="Q670" s="667"/>
    </row>
    <row r="671" ht="15.75" customHeight="1">
      <c r="B671" s="466"/>
      <c r="C671" s="667"/>
      <c r="D671" s="667"/>
      <c r="E671" s="668"/>
      <c r="F671" s="667"/>
      <c r="G671" s="667"/>
      <c r="H671" s="667"/>
      <c r="I671" s="667"/>
      <c r="J671" s="667"/>
      <c r="K671" s="667"/>
      <c r="L671" s="667"/>
      <c r="M671" s="667"/>
      <c r="N671" s="667"/>
      <c r="O671" s="667"/>
      <c r="P671" s="667"/>
      <c r="Q671" s="667"/>
    </row>
    <row r="672" ht="15.75" customHeight="1">
      <c r="B672" s="466"/>
      <c r="C672" s="667"/>
      <c r="D672" s="667"/>
      <c r="E672" s="668"/>
      <c r="F672" s="667"/>
      <c r="G672" s="667"/>
      <c r="H672" s="667"/>
      <c r="I672" s="667"/>
      <c r="J672" s="667"/>
      <c r="K672" s="667"/>
      <c r="L672" s="667"/>
      <c r="M672" s="667"/>
      <c r="N672" s="667"/>
      <c r="O672" s="667"/>
      <c r="P672" s="667"/>
      <c r="Q672" s="667"/>
    </row>
    <row r="673" ht="15.75" customHeight="1">
      <c r="B673" s="466"/>
      <c r="C673" s="667"/>
      <c r="D673" s="667"/>
      <c r="E673" s="668"/>
      <c r="F673" s="667"/>
      <c r="G673" s="667"/>
      <c r="H673" s="667"/>
      <c r="I673" s="667"/>
      <c r="J673" s="667"/>
      <c r="K673" s="667"/>
      <c r="L673" s="667"/>
      <c r="M673" s="667"/>
      <c r="N673" s="667"/>
      <c r="O673" s="667"/>
      <c r="P673" s="667"/>
      <c r="Q673" s="667"/>
    </row>
    <row r="674" ht="15.75" customHeight="1">
      <c r="B674" s="466"/>
      <c r="C674" s="667"/>
      <c r="D674" s="667"/>
      <c r="E674" s="668"/>
      <c r="F674" s="667"/>
      <c r="G674" s="667"/>
      <c r="H674" s="667"/>
      <c r="I674" s="667"/>
      <c r="J674" s="667"/>
      <c r="K674" s="667"/>
      <c r="L674" s="667"/>
      <c r="M674" s="667"/>
      <c r="N674" s="667"/>
      <c r="O674" s="667"/>
      <c r="P674" s="667"/>
      <c r="Q674" s="667"/>
    </row>
    <row r="675" ht="15.75" customHeight="1">
      <c r="B675" s="466"/>
      <c r="C675" s="667"/>
      <c r="D675" s="667"/>
      <c r="E675" s="668"/>
      <c r="F675" s="667"/>
      <c r="G675" s="667"/>
      <c r="H675" s="667"/>
      <c r="I675" s="667"/>
      <c r="J675" s="667"/>
      <c r="K675" s="667"/>
      <c r="L675" s="667"/>
      <c r="M675" s="667"/>
      <c r="N675" s="667"/>
      <c r="O675" s="667"/>
      <c r="P675" s="667"/>
      <c r="Q675" s="667"/>
    </row>
    <row r="676" ht="15.75" customHeight="1">
      <c r="B676" s="466"/>
      <c r="C676" s="667"/>
      <c r="D676" s="667"/>
      <c r="E676" s="668"/>
      <c r="F676" s="667"/>
      <c r="G676" s="667"/>
      <c r="H676" s="667"/>
      <c r="I676" s="667"/>
      <c r="J676" s="667"/>
      <c r="K676" s="667"/>
      <c r="L676" s="667"/>
      <c r="M676" s="667"/>
      <c r="N676" s="667"/>
      <c r="O676" s="667"/>
      <c r="P676" s="667"/>
      <c r="Q676" s="667"/>
    </row>
    <row r="677" ht="15.75" customHeight="1">
      <c r="B677" s="466"/>
      <c r="C677" s="667"/>
      <c r="D677" s="667"/>
      <c r="E677" s="668"/>
      <c r="F677" s="667"/>
      <c r="G677" s="667"/>
      <c r="H677" s="667"/>
      <c r="I677" s="667"/>
      <c r="J677" s="667"/>
      <c r="K677" s="667"/>
      <c r="L677" s="667"/>
      <c r="M677" s="667"/>
      <c r="N677" s="667"/>
      <c r="O677" s="667"/>
      <c r="P677" s="667"/>
      <c r="Q677" s="667"/>
    </row>
    <row r="678" ht="15.75" customHeight="1">
      <c r="B678" s="466"/>
      <c r="C678" s="667"/>
      <c r="D678" s="667"/>
      <c r="E678" s="668"/>
      <c r="F678" s="667"/>
      <c r="G678" s="667"/>
      <c r="H678" s="667"/>
      <c r="I678" s="667"/>
      <c r="J678" s="667"/>
      <c r="K678" s="667"/>
      <c r="L678" s="667"/>
      <c r="M678" s="667"/>
      <c r="N678" s="667"/>
      <c r="O678" s="667"/>
      <c r="P678" s="667"/>
      <c r="Q678" s="667"/>
    </row>
    <row r="679" ht="15.75" customHeight="1">
      <c r="B679" s="466"/>
      <c r="C679" s="667"/>
      <c r="D679" s="667"/>
      <c r="E679" s="668"/>
      <c r="F679" s="667"/>
      <c r="G679" s="667"/>
      <c r="H679" s="667"/>
      <c r="I679" s="667"/>
      <c r="J679" s="667"/>
      <c r="K679" s="667"/>
      <c r="L679" s="667"/>
      <c r="M679" s="667"/>
      <c r="N679" s="667"/>
      <c r="O679" s="667"/>
      <c r="P679" s="667"/>
      <c r="Q679" s="667"/>
    </row>
    <row r="680" ht="15.75" customHeight="1">
      <c r="B680" s="466"/>
      <c r="C680" s="667"/>
      <c r="D680" s="667"/>
      <c r="E680" s="668"/>
      <c r="F680" s="667"/>
      <c r="G680" s="667"/>
      <c r="H680" s="667"/>
      <c r="I680" s="667"/>
      <c r="J680" s="667"/>
      <c r="K680" s="667"/>
      <c r="L680" s="667"/>
      <c r="M680" s="667"/>
      <c r="N680" s="667"/>
      <c r="O680" s="667"/>
      <c r="P680" s="667"/>
      <c r="Q680" s="667"/>
    </row>
    <row r="681" ht="15.75" customHeight="1">
      <c r="B681" s="466"/>
      <c r="C681" s="667"/>
      <c r="D681" s="667"/>
      <c r="E681" s="668"/>
      <c r="F681" s="667"/>
      <c r="G681" s="667"/>
      <c r="H681" s="667"/>
      <c r="I681" s="667"/>
      <c r="J681" s="667"/>
      <c r="K681" s="667"/>
      <c r="L681" s="667"/>
      <c r="M681" s="667"/>
      <c r="N681" s="667"/>
      <c r="O681" s="667"/>
      <c r="P681" s="667"/>
      <c r="Q681" s="667"/>
    </row>
    <row r="682" ht="15.75" customHeight="1">
      <c r="B682" s="466"/>
      <c r="C682" s="667"/>
      <c r="D682" s="667"/>
      <c r="E682" s="668"/>
      <c r="F682" s="667"/>
      <c r="G682" s="667"/>
      <c r="H682" s="667"/>
      <c r="I682" s="667"/>
      <c r="J682" s="667"/>
      <c r="K682" s="667"/>
      <c r="L682" s="667"/>
      <c r="M682" s="667"/>
      <c r="N682" s="667"/>
      <c r="O682" s="667"/>
      <c r="P682" s="667"/>
      <c r="Q682" s="667"/>
    </row>
    <row r="683" ht="15.75" customHeight="1">
      <c r="B683" s="466"/>
      <c r="C683" s="667"/>
      <c r="D683" s="667"/>
      <c r="E683" s="668"/>
      <c r="F683" s="667"/>
      <c r="G683" s="667"/>
      <c r="H683" s="667"/>
      <c r="I683" s="667"/>
      <c r="J683" s="667"/>
      <c r="K683" s="667"/>
      <c r="L683" s="667"/>
      <c r="M683" s="667"/>
      <c r="N683" s="667"/>
      <c r="O683" s="667"/>
      <c r="P683" s="667"/>
      <c r="Q683" s="667"/>
    </row>
    <row r="684" ht="15.75" customHeight="1">
      <c r="B684" s="466"/>
      <c r="C684" s="667"/>
      <c r="D684" s="667"/>
      <c r="E684" s="668"/>
      <c r="F684" s="667"/>
      <c r="G684" s="667"/>
      <c r="H684" s="667"/>
      <c r="I684" s="667"/>
      <c r="J684" s="667"/>
      <c r="K684" s="667"/>
      <c r="L684" s="667"/>
      <c r="M684" s="667"/>
      <c r="N684" s="667"/>
      <c r="O684" s="667"/>
      <c r="P684" s="667"/>
      <c r="Q684" s="667"/>
    </row>
    <row r="685" ht="15.75" customHeight="1">
      <c r="B685" s="466"/>
      <c r="C685" s="667"/>
      <c r="D685" s="667"/>
      <c r="E685" s="668"/>
      <c r="F685" s="667"/>
      <c r="G685" s="667"/>
      <c r="H685" s="667"/>
      <c r="I685" s="667"/>
      <c r="J685" s="667"/>
      <c r="K685" s="667"/>
      <c r="L685" s="667"/>
      <c r="M685" s="667"/>
      <c r="N685" s="667"/>
      <c r="O685" s="667"/>
      <c r="P685" s="667"/>
      <c r="Q685" s="667"/>
    </row>
    <row r="686" ht="15.75" customHeight="1">
      <c r="B686" s="466"/>
      <c r="C686" s="667"/>
      <c r="D686" s="667"/>
      <c r="E686" s="668"/>
      <c r="F686" s="667"/>
      <c r="G686" s="667"/>
      <c r="H686" s="667"/>
      <c r="I686" s="667"/>
      <c r="J686" s="667"/>
      <c r="K686" s="667"/>
      <c r="L686" s="667"/>
      <c r="M686" s="667"/>
      <c r="N686" s="667"/>
      <c r="O686" s="667"/>
      <c r="P686" s="667"/>
      <c r="Q686" s="667"/>
    </row>
    <row r="687" ht="15.75" customHeight="1">
      <c r="B687" s="466"/>
      <c r="C687" s="667"/>
      <c r="D687" s="667"/>
      <c r="E687" s="668"/>
      <c r="F687" s="667"/>
      <c r="G687" s="667"/>
      <c r="H687" s="667"/>
      <c r="I687" s="667"/>
      <c r="J687" s="667"/>
      <c r="K687" s="667"/>
      <c r="L687" s="667"/>
      <c r="M687" s="667"/>
      <c r="N687" s="667"/>
      <c r="O687" s="667"/>
      <c r="P687" s="667"/>
      <c r="Q687" s="667"/>
    </row>
    <row r="688" ht="15.75" customHeight="1">
      <c r="B688" s="466"/>
      <c r="C688" s="667"/>
      <c r="D688" s="667"/>
      <c r="E688" s="668"/>
      <c r="F688" s="667"/>
      <c r="G688" s="667"/>
      <c r="H688" s="667"/>
      <c r="I688" s="667"/>
      <c r="J688" s="667"/>
      <c r="K688" s="667"/>
      <c r="L688" s="667"/>
      <c r="M688" s="667"/>
      <c r="N688" s="667"/>
      <c r="O688" s="667"/>
      <c r="P688" s="667"/>
      <c r="Q688" s="667"/>
    </row>
    <row r="689" ht="15.75" customHeight="1">
      <c r="B689" s="466"/>
      <c r="C689" s="667"/>
      <c r="D689" s="667"/>
      <c r="E689" s="668"/>
      <c r="F689" s="667"/>
      <c r="G689" s="667"/>
      <c r="H689" s="667"/>
      <c r="I689" s="667"/>
      <c r="J689" s="667"/>
      <c r="K689" s="667"/>
      <c r="L689" s="667"/>
      <c r="M689" s="667"/>
      <c r="N689" s="667"/>
      <c r="O689" s="667"/>
      <c r="P689" s="667"/>
      <c r="Q689" s="667"/>
    </row>
    <row r="690" ht="15.75" customHeight="1">
      <c r="B690" s="466"/>
      <c r="C690" s="667"/>
      <c r="D690" s="667"/>
      <c r="E690" s="668"/>
      <c r="F690" s="667"/>
      <c r="G690" s="667"/>
      <c r="H690" s="667"/>
      <c r="I690" s="667"/>
      <c r="J690" s="667"/>
      <c r="K690" s="667"/>
      <c r="L690" s="667"/>
      <c r="M690" s="667"/>
      <c r="N690" s="667"/>
      <c r="O690" s="667"/>
      <c r="P690" s="667"/>
      <c r="Q690" s="667"/>
    </row>
    <row r="691" ht="15.75" customHeight="1">
      <c r="B691" s="466"/>
      <c r="C691" s="667"/>
      <c r="D691" s="667"/>
      <c r="E691" s="668"/>
      <c r="F691" s="667"/>
      <c r="G691" s="667"/>
      <c r="H691" s="667"/>
      <c r="I691" s="667"/>
      <c r="J691" s="667"/>
      <c r="K691" s="667"/>
      <c r="L691" s="667"/>
      <c r="M691" s="667"/>
      <c r="N691" s="667"/>
      <c r="O691" s="667"/>
      <c r="P691" s="667"/>
      <c r="Q691" s="667"/>
    </row>
    <row r="692" ht="15.75" customHeight="1">
      <c r="B692" s="466"/>
      <c r="C692" s="667"/>
      <c r="D692" s="667"/>
      <c r="E692" s="668"/>
      <c r="F692" s="667"/>
      <c r="G692" s="667"/>
      <c r="H692" s="667"/>
      <c r="I692" s="667"/>
      <c r="J692" s="667"/>
      <c r="K692" s="667"/>
      <c r="L692" s="667"/>
      <c r="M692" s="667"/>
      <c r="N692" s="667"/>
      <c r="O692" s="667"/>
      <c r="P692" s="667"/>
      <c r="Q692" s="667"/>
    </row>
    <row r="693" ht="15.75" customHeight="1">
      <c r="B693" s="466"/>
      <c r="C693" s="667"/>
      <c r="D693" s="667"/>
      <c r="E693" s="668"/>
      <c r="F693" s="667"/>
      <c r="G693" s="667"/>
      <c r="H693" s="667"/>
      <c r="I693" s="667"/>
      <c r="J693" s="667"/>
      <c r="K693" s="667"/>
      <c r="L693" s="667"/>
      <c r="M693" s="667"/>
      <c r="N693" s="667"/>
      <c r="O693" s="667"/>
      <c r="P693" s="667"/>
      <c r="Q693" s="667"/>
    </row>
    <row r="694" ht="15.75" customHeight="1">
      <c r="B694" s="466"/>
      <c r="C694" s="667"/>
      <c r="D694" s="667"/>
      <c r="E694" s="668"/>
      <c r="F694" s="667"/>
      <c r="G694" s="667"/>
      <c r="H694" s="667"/>
      <c r="I694" s="667"/>
      <c r="J694" s="667"/>
      <c r="K694" s="667"/>
      <c r="L694" s="667"/>
      <c r="M694" s="667"/>
      <c r="N694" s="667"/>
      <c r="O694" s="667"/>
      <c r="P694" s="667"/>
      <c r="Q694" s="667"/>
    </row>
    <row r="695" ht="15.75" customHeight="1">
      <c r="B695" s="466"/>
      <c r="C695" s="667"/>
      <c r="D695" s="667"/>
      <c r="E695" s="668"/>
      <c r="F695" s="667"/>
      <c r="G695" s="667"/>
      <c r="H695" s="667"/>
      <c r="I695" s="667"/>
      <c r="J695" s="667"/>
      <c r="K695" s="667"/>
      <c r="L695" s="667"/>
      <c r="M695" s="667"/>
      <c r="N695" s="667"/>
      <c r="O695" s="667"/>
      <c r="P695" s="667"/>
      <c r="Q695" s="667"/>
    </row>
    <row r="696" ht="15.75" customHeight="1">
      <c r="B696" s="466"/>
      <c r="C696" s="667"/>
      <c r="D696" s="667"/>
      <c r="E696" s="668"/>
      <c r="F696" s="667"/>
      <c r="G696" s="667"/>
      <c r="H696" s="667"/>
      <c r="I696" s="667"/>
      <c r="J696" s="667"/>
      <c r="K696" s="667"/>
      <c r="L696" s="667"/>
      <c r="M696" s="667"/>
      <c r="N696" s="667"/>
      <c r="O696" s="667"/>
      <c r="P696" s="667"/>
      <c r="Q696" s="667"/>
    </row>
    <row r="697" ht="15.75" customHeight="1">
      <c r="B697" s="466"/>
      <c r="C697" s="667"/>
      <c r="D697" s="667"/>
      <c r="E697" s="668"/>
      <c r="F697" s="667"/>
      <c r="G697" s="667"/>
      <c r="H697" s="667"/>
      <c r="I697" s="667"/>
      <c r="J697" s="667"/>
      <c r="K697" s="667"/>
      <c r="L697" s="667"/>
      <c r="M697" s="667"/>
      <c r="N697" s="667"/>
      <c r="O697" s="667"/>
      <c r="P697" s="667"/>
      <c r="Q697" s="667"/>
    </row>
    <row r="698" ht="15.75" customHeight="1">
      <c r="B698" s="466"/>
      <c r="C698" s="667"/>
      <c r="D698" s="667"/>
      <c r="E698" s="668"/>
      <c r="F698" s="667"/>
      <c r="G698" s="667"/>
      <c r="H698" s="667"/>
      <c r="I698" s="667"/>
      <c r="J698" s="667"/>
      <c r="K698" s="667"/>
      <c r="L698" s="667"/>
      <c r="M698" s="667"/>
      <c r="N698" s="667"/>
      <c r="O698" s="667"/>
      <c r="P698" s="667"/>
      <c r="Q698" s="667"/>
    </row>
    <row r="699" ht="15.75" customHeight="1">
      <c r="B699" s="466"/>
      <c r="C699" s="667"/>
      <c r="D699" s="667"/>
      <c r="E699" s="668"/>
      <c r="F699" s="667"/>
      <c r="G699" s="667"/>
      <c r="H699" s="667"/>
      <c r="I699" s="667"/>
      <c r="J699" s="667"/>
      <c r="K699" s="667"/>
      <c r="L699" s="667"/>
      <c r="M699" s="667"/>
      <c r="N699" s="667"/>
      <c r="O699" s="667"/>
      <c r="P699" s="667"/>
      <c r="Q699" s="667"/>
    </row>
    <row r="700" ht="15.75" customHeight="1">
      <c r="B700" s="466"/>
      <c r="C700" s="667"/>
      <c r="D700" s="667"/>
      <c r="E700" s="668"/>
      <c r="F700" s="667"/>
      <c r="G700" s="667"/>
      <c r="H700" s="667"/>
      <c r="I700" s="667"/>
      <c r="J700" s="667"/>
      <c r="K700" s="667"/>
      <c r="L700" s="667"/>
      <c r="M700" s="667"/>
      <c r="N700" s="667"/>
      <c r="O700" s="667"/>
      <c r="P700" s="667"/>
      <c r="Q700" s="667"/>
    </row>
    <row r="701" ht="15.75" customHeight="1">
      <c r="B701" s="466"/>
      <c r="C701" s="667"/>
      <c r="D701" s="667"/>
      <c r="E701" s="668"/>
      <c r="F701" s="667"/>
      <c r="G701" s="667"/>
      <c r="H701" s="667"/>
      <c r="I701" s="667"/>
      <c r="J701" s="667"/>
      <c r="K701" s="667"/>
      <c r="L701" s="667"/>
      <c r="M701" s="667"/>
      <c r="N701" s="667"/>
      <c r="O701" s="667"/>
      <c r="P701" s="667"/>
      <c r="Q701" s="667"/>
    </row>
    <row r="702" ht="15.75" customHeight="1">
      <c r="B702" s="466"/>
      <c r="C702" s="667"/>
      <c r="D702" s="667"/>
      <c r="E702" s="668"/>
      <c r="F702" s="667"/>
      <c r="G702" s="667"/>
      <c r="H702" s="667"/>
      <c r="I702" s="667"/>
      <c r="J702" s="667"/>
      <c r="K702" s="667"/>
      <c r="L702" s="667"/>
      <c r="M702" s="667"/>
      <c r="N702" s="667"/>
      <c r="O702" s="667"/>
      <c r="P702" s="667"/>
      <c r="Q702" s="667"/>
    </row>
    <row r="703" ht="15.75" customHeight="1">
      <c r="B703" s="466"/>
      <c r="C703" s="667"/>
      <c r="D703" s="667"/>
      <c r="E703" s="668"/>
      <c r="F703" s="667"/>
      <c r="G703" s="667"/>
      <c r="H703" s="667"/>
      <c r="I703" s="667"/>
      <c r="J703" s="667"/>
      <c r="K703" s="667"/>
      <c r="L703" s="667"/>
      <c r="M703" s="667"/>
      <c r="N703" s="667"/>
      <c r="O703" s="667"/>
      <c r="P703" s="667"/>
      <c r="Q703" s="667"/>
    </row>
    <row r="704" ht="15.75" customHeight="1">
      <c r="B704" s="466"/>
      <c r="C704" s="667"/>
      <c r="D704" s="667"/>
      <c r="E704" s="668"/>
      <c r="F704" s="667"/>
      <c r="G704" s="667"/>
      <c r="H704" s="667"/>
      <c r="I704" s="667"/>
      <c r="J704" s="667"/>
      <c r="K704" s="667"/>
      <c r="L704" s="667"/>
      <c r="M704" s="667"/>
      <c r="N704" s="667"/>
      <c r="O704" s="667"/>
      <c r="P704" s="667"/>
      <c r="Q704" s="667"/>
    </row>
    <row r="705" ht="15.75" customHeight="1">
      <c r="B705" s="466"/>
      <c r="C705" s="667"/>
      <c r="D705" s="667"/>
      <c r="E705" s="668"/>
      <c r="F705" s="667"/>
      <c r="G705" s="667"/>
      <c r="H705" s="667"/>
      <c r="I705" s="667"/>
      <c r="J705" s="667"/>
      <c r="K705" s="667"/>
      <c r="L705" s="667"/>
      <c r="M705" s="667"/>
      <c r="N705" s="667"/>
      <c r="O705" s="667"/>
      <c r="P705" s="667"/>
      <c r="Q705" s="667"/>
    </row>
    <row r="706" ht="15.75" customHeight="1">
      <c r="B706" s="466"/>
      <c r="C706" s="667"/>
      <c r="D706" s="667"/>
      <c r="E706" s="668"/>
      <c r="F706" s="667"/>
      <c r="G706" s="667"/>
      <c r="H706" s="667"/>
      <c r="I706" s="667"/>
      <c r="J706" s="667"/>
      <c r="K706" s="667"/>
      <c r="L706" s="667"/>
      <c r="M706" s="667"/>
      <c r="N706" s="667"/>
      <c r="O706" s="667"/>
      <c r="P706" s="667"/>
      <c r="Q706" s="667"/>
    </row>
    <row r="707" ht="15.75" customHeight="1">
      <c r="B707" s="466"/>
      <c r="C707" s="667"/>
      <c r="D707" s="667"/>
      <c r="E707" s="668"/>
      <c r="F707" s="667"/>
      <c r="G707" s="667"/>
      <c r="H707" s="667"/>
      <c r="I707" s="667"/>
      <c r="J707" s="667"/>
      <c r="K707" s="667"/>
      <c r="L707" s="667"/>
      <c r="M707" s="667"/>
      <c r="N707" s="667"/>
      <c r="O707" s="667"/>
      <c r="P707" s="667"/>
      <c r="Q707" s="667"/>
    </row>
    <row r="708" ht="15.75" customHeight="1">
      <c r="B708" s="466"/>
      <c r="C708" s="667"/>
      <c r="D708" s="667"/>
      <c r="E708" s="668"/>
      <c r="F708" s="667"/>
      <c r="G708" s="667"/>
      <c r="H708" s="667"/>
      <c r="I708" s="667"/>
      <c r="J708" s="667"/>
      <c r="K708" s="667"/>
      <c r="L708" s="667"/>
      <c r="M708" s="667"/>
      <c r="N708" s="667"/>
      <c r="O708" s="667"/>
      <c r="P708" s="667"/>
      <c r="Q708" s="667"/>
    </row>
    <row r="709" ht="15.75" customHeight="1">
      <c r="B709" s="466"/>
      <c r="C709" s="667"/>
      <c r="D709" s="667"/>
      <c r="E709" s="668"/>
      <c r="F709" s="667"/>
      <c r="G709" s="667"/>
      <c r="H709" s="667"/>
      <c r="I709" s="667"/>
      <c r="J709" s="667"/>
      <c r="K709" s="667"/>
      <c r="L709" s="667"/>
      <c r="M709" s="667"/>
      <c r="N709" s="667"/>
      <c r="O709" s="667"/>
      <c r="P709" s="667"/>
      <c r="Q709" s="667"/>
    </row>
    <row r="710" ht="15.75" customHeight="1">
      <c r="B710" s="466"/>
      <c r="C710" s="667"/>
      <c r="D710" s="667"/>
      <c r="E710" s="668"/>
      <c r="F710" s="667"/>
      <c r="G710" s="667"/>
      <c r="H710" s="667"/>
      <c r="I710" s="667"/>
      <c r="J710" s="667"/>
      <c r="K710" s="667"/>
      <c r="L710" s="667"/>
      <c r="M710" s="667"/>
      <c r="N710" s="667"/>
      <c r="O710" s="667"/>
      <c r="P710" s="667"/>
      <c r="Q710" s="667"/>
    </row>
    <row r="711" ht="15.75" customHeight="1">
      <c r="B711" s="466"/>
      <c r="C711" s="667"/>
      <c r="D711" s="667"/>
      <c r="E711" s="668"/>
      <c r="F711" s="667"/>
      <c r="G711" s="667"/>
      <c r="H711" s="667"/>
      <c r="I711" s="667"/>
      <c r="J711" s="667"/>
      <c r="K711" s="667"/>
      <c r="L711" s="667"/>
      <c r="M711" s="667"/>
      <c r="N711" s="667"/>
      <c r="O711" s="667"/>
      <c r="P711" s="667"/>
      <c r="Q711" s="667"/>
    </row>
    <row r="712" ht="15.75" customHeight="1">
      <c r="B712" s="466"/>
      <c r="C712" s="667"/>
      <c r="D712" s="667"/>
      <c r="E712" s="668"/>
      <c r="F712" s="667"/>
      <c r="G712" s="667"/>
      <c r="H712" s="667"/>
      <c r="I712" s="667"/>
      <c r="J712" s="667"/>
      <c r="K712" s="667"/>
      <c r="L712" s="667"/>
      <c r="M712" s="667"/>
      <c r="N712" s="667"/>
      <c r="O712" s="667"/>
      <c r="P712" s="667"/>
      <c r="Q712" s="667"/>
    </row>
    <row r="713" ht="15.75" customHeight="1">
      <c r="B713" s="466"/>
      <c r="C713" s="667"/>
      <c r="D713" s="667"/>
      <c r="E713" s="668"/>
      <c r="F713" s="667"/>
      <c r="G713" s="667"/>
      <c r="H713" s="667"/>
      <c r="I713" s="667"/>
      <c r="J713" s="667"/>
      <c r="K713" s="667"/>
      <c r="L713" s="667"/>
      <c r="M713" s="667"/>
      <c r="N713" s="667"/>
      <c r="O713" s="667"/>
      <c r="P713" s="667"/>
      <c r="Q713" s="667"/>
    </row>
    <row r="714" ht="15.75" customHeight="1">
      <c r="B714" s="466"/>
      <c r="C714" s="667"/>
      <c r="D714" s="667"/>
      <c r="E714" s="668"/>
      <c r="F714" s="667"/>
      <c r="G714" s="667"/>
      <c r="H714" s="667"/>
      <c r="I714" s="667"/>
      <c r="J714" s="667"/>
      <c r="K714" s="667"/>
      <c r="L714" s="667"/>
      <c r="M714" s="667"/>
      <c r="N714" s="667"/>
      <c r="O714" s="667"/>
      <c r="P714" s="667"/>
      <c r="Q714" s="667"/>
    </row>
    <row r="715" ht="15.75" customHeight="1">
      <c r="B715" s="466"/>
      <c r="C715" s="667"/>
      <c r="D715" s="667"/>
      <c r="E715" s="668"/>
      <c r="F715" s="667"/>
      <c r="G715" s="667"/>
      <c r="H715" s="667"/>
      <c r="I715" s="667"/>
      <c r="J715" s="667"/>
      <c r="K715" s="667"/>
      <c r="L715" s="667"/>
      <c r="M715" s="667"/>
      <c r="N715" s="667"/>
      <c r="O715" s="667"/>
      <c r="P715" s="667"/>
      <c r="Q715" s="667"/>
    </row>
    <row r="716" ht="15.75" customHeight="1">
      <c r="B716" s="466"/>
      <c r="C716" s="667"/>
      <c r="D716" s="667"/>
      <c r="E716" s="668"/>
      <c r="F716" s="667"/>
      <c r="G716" s="667"/>
      <c r="H716" s="667"/>
      <c r="I716" s="667"/>
      <c r="J716" s="667"/>
      <c r="K716" s="667"/>
      <c r="L716" s="667"/>
      <c r="M716" s="667"/>
      <c r="N716" s="667"/>
      <c r="O716" s="667"/>
      <c r="P716" s="667"/>
      <c r="Q716" s="667"/>
    </row>
    <row r="717" ht="15.75" customHeight="1">
      <c r="B717" s="466"/>
      <c r="C717" s="667"/>
      <c r="D717" s="667"/>
      <c r="E717" s="668"/>
      <c r="F717" s="667"/>
      <c r="G717" s="667"/>
      <c r="H717" s="667"/>
      <c r="I717" s="667"/>
      <c r="J717" s="667"/>
      <c r="K717" s="667"/>
      <c r="L717" s="667"/>
      <c r="M717" s="667"/>
      <c r="N717" s="667"/>
      <c r="O717" s="667"/>
      <c r="P717" s="667"/>
      <c r="Q717" s="667"/>
    </row>
    <row r="718" ht="15.75" customHeight="1">
      <c r="B718" s="466"/>
      <c r="C718" s="667"/>
      <c r="D718" s="667"/>
      <c r="E718" s="668"/>
      <c r="F718" s="667"/>
      <c r="G718" s="667"/>
      <c r="H718" s="667"/>
      <c r="I718" s="667"/>
      <c r="J718" s="667"/>
      <c r="K718" s="667"/>
      <c r="L718" s="667"/>
      <c r="M718" s="667"/>
      <c r="N718" s="667"/>
      <c r="O718" s="667"/>
      <c r="P718" s="667"/>
      <c r="Q718" s="667"/>
    </row>
    <row r="719" ht="15.75" customHeight="1">
      <c r="B719" s="466"/>
      <c r="C719" s="667"/>
      <c r="D719" s="667"/>
      <c r="E719" s="668"/>
      <c r="F719" s="667"/>
      <c r="G719" s="667"/>
      <c r="H719" s="667"/>
      <c r="I719" s="667"/>
      <c r="J719" s="667"/>
      <c r="K719" s="667"/>
      <c r="L719" s="667"/>
      <c r="M719" s="667"/>
      <c r="N719" s="667"/>
      <c r="O719" s="667"/>
      <c r="P719" s="667"/>
      <c r="Q719" s="667"/>
    </row>
    <row r="720" ht="15.75" customHeight="1">
      <c r="B720" s="466"/>
      <c r="C720" s="667"/>
      <c r="D720" s="667"/>
      <c r="E720" s="668"/>
      <c r="F720" s="667"/>
      <c r="G720" s="667"/>
      <c r="H720" s="667"/>
      <c r="I720" s="667"/>
      <c r="J720" s="667"/>
      <c r="K720" s="667"/>
      <c r="L720" s="667"/>
      <c r="M720" s="667"/>
      <c r="N720" s="667"/>
      <c r="O720" s="667"/>
      <c r="P720" s="667"/>
      <c r="Q720" s="667"/>
    </row>
    <row r="721" ht="15.75" customHeight="1">
      <c r="B721" s="466"/>
      <c r="C721" s="667"/>
      <c r="D721" s="667"/>
      <c r="E721" s="668"/>
      <c r="F721" s="667"/>
      <c r="G721" s="667"/>
      <c r="H721" s="667"/>
      <c r="I721" s="667"/>
      <c r="J721" s="667"/>
      <c r="K721" s="667"/>
      <c r="L721" s="667"/>
      <c r="M721" s="667"/>
      <c r="N721" s="667"/>
      <c r="O721" s="667"/>
      <c r="P721" s="667"/>
      <c r="Q721" s="667"/>
    </row>
    <row r="722" ht="15.75" customHeight="1">
      <c r="B722" s="466"/>
      <c r="C722" s="667"/>
      <c r="D722" s="667"/>
      <c r="E722" s="668"/>
      <c r="F722" s="667"/>
      <c r="G722" s="667"/>
      <c r="H722" s="667"/>
      <c r="I722" s="667"/>
      <c r="J722" s="667"/>
      <c r="K722" s="667"/>
      <c r="L722" s="667"/>
      <c r="M722" s="667"/>
      <c r="N722" s="667"/>
      <c r="O722" s="667"/>
      <c r="P722" s="667"/>
      <c r="Q722" s="667"/>
    </row>
    <row r="723" ht="15.75" customHeight="1">
      <c r="B723" s="466"/>
      <c r="C723" s="667"/>
      <c r="D723" s="667"/>
      <c r="E723" s="668"/>
      <c r="F723" s="667"/>
      <c r="G723" s="667"/>
      <c r="H723" s="667"/>
      <c r="I723" s="667"/>
      <c r="J723" s="667"/>
      <c r="K723" s="667"/>
      <c r="L723" s="667"/>
      <c r="M723" s="667"/>
      <c r="N723" s="667"/>
      <c r="O723" s="667"/>
      <c r="P723" s="667"/>
      <c r="Q723" s="667"/>
    </row>
    <row r="724" ht="15.75" customHeight="1">
      <c r="B724" s="466"/>
      <c r="C724" s="667"/>
      <c r="D724" s="667"/>
      <c r="E724" s="668"/>
      <c r="F724" s="667"/>
      <c r="G724" s="667"/>
      <c r="H724" s="667"/>
      <c r="I724" s="667"/>
      <c r="J724" s="667"/>
      <c r="K724" s="667"/>
      <c r="L724" s="667"/>
      <c r="M724" s="667"/>
      <c r="N724" s="667"/>
      <c r="O724" s="667"/>
      <c r="P724" s="667"/>
      <c r="Q724" s="667"/>
    </row>
    <row r="725" ht="15.75" customHeight="1">
      <c r="B725" s="466"/>
      <c r="C725" s="667"/>
      <c r="D725" s="667"/>
      <c r="E725" s="668"/>
      <c r="F725" s="667"/>
      <c r="G725" s="667"/>
      <c r="H725" s="667"/>
      <c r="I725" s="667"/>
      <c r="J725" s="667"/>
      <c r="K725" s="667"/>
      <c r="L725" s="667"/>
      <c r="M725" s="667"/>
      <c r="N725" s="667"/>
      <c r="O725" s="667"/>
      <c r="P725" s="667"/>
      <c r="Q725" s="667"/>
    </row>
    <row r="726" ht="15.75" customHeight="1">
      <c r="B726" s="466"/>
      <c r="C726" s="667"/>
      <c r="D726" s="667"/>
      <c r="E726" s="668"/>
      <c r="F726" s="667"/>
      <c r="G726" s="667"/>
      <c r="H726" s="667"/>
      <c r="I726" s="667"/>
      <c r="J726" s="667"/>
      <c r="K726" s="667"/>
      <c r="L726" s="667"/>
      <c r="M726" s="667"/>
      <c r="N726" s="667"/>
      <c r="O726" s="667"/>
      <c r="P726" s="667"/>
      <c r="Q726" s="667"/>
    </row>
    <row r="727" ht="15.75" customHeight="1">
      <c r="B727" s="466"/>
      <c r="C727" s="667"/>
      <c r="D727" s="667"/>
      <c r="E727" s="668"/>
      <c r="F727" s="667"/>
      <c r="G727" s="667"/>
      <c r="H727" s="667"/>
      <c r="I727" s="667"/>
      <c r="J727" s="667"/>
      <c r="K727" s="667"/>
      <c r="L727" s="667"/>
      <c r="M727" s="667"/>
      <c r="N727" s="667"/>
      <c r="O727" s="667"/>
      <c r="P727" s="667"/>
      <c r="Q727" s="667"/>
    </row>
    <row r="728" ht="15.75" customHeight="1">
      <c r="B728" s="466"/>
      <c r="C728" s="667"/>
      <c r="D728" s="667"/>
      <c r="E728" s="668"/>
      <c r="F728" s="667"/>
      <c r="G728" s="667"/>
      <c r="H728" s="667"/>
      <c r="I728" s="667"/>
      <c r="J728" s="667"/>
      <c r="K728" s="667"/>
      <c r="L728" s="667"/>
      <c r="M728" s="667"/>
      <c r="N728" s="667"/>
      <c r="O728" s="667"/>
      <c r="P728" s="667"/>
      <c r="Q728" s="667"/>
    </row>
    <row r="729" ht="15.75" customHeight="1">
      <c r="B729" s="466"/>
      <c r="C729" s="667"/>
      <c r="D729" s="667"/>
      <c r="E729" s="668"/>
      <c r="F729" s="667"/>
      <c r="G729" s="667"/>
      <c r="H729" s="667"/>
      <c r="I729" s="667"/>
      <c r="J729" s="667"/>
      <c r="K729" s="667"/>
      <c r="L729" s="667"/>
      <c r="M729" s="667"/>
      <c r="N729" s="667"/>
      <c r="O729" s="667"/>
      <c r="P729" s="667"/>
      <c r="Q729" s="667"/>
    </row>
    <row r="730" ht="15.75" customHeight="1">
      <c r="B730" s="466"/>
      <c r="C730" s="667"/>
      <c r="D730" s="667"/>
      <c r="E730" s="668"/>
      <c r="F730" s="667"/>
      <c r="G730" s="667"/>
      <c r="H730" s="667"/>
      <c r="I730" s="667"/>
      <c r="J730" s="667"/>
      <c r="K730" s="667"/>
      <c r="L730" s="667"/>
      <c r="M730" s="667"/>
      <c r="N730" s="667"/>
      <c r="O730" s="667"/>
      <c r="P730" s="667"/>
      <c r="Q730" s="667"/>
    </row>
    <row r="731" ht="15.75" customHeight="1">
      <c r="B731" s="466"/>
      <c r="C731" s="667"/>
      <c r="D731" s="667"/>
      <c r="E731" s="668"/>
      <c r="F731" s="667"/>
      <c r="G731" s="667"/>
      <c r="H731" s="667"/>
      <c r="I731" s="667"/>
      <c r="J731" s="667"/>
      <c r="K731" s="667"/>
      <c r="L731" s="667"/>
      <c r="M731" s="667"/>
      <c r="N731" s="667"/>
      <c r="O731" s="667"/>
      <c r="P731" s="667"/>
      <c r="Q731" s="667"/>
    </row>
    <row r="732" ht="15.75" customHeight="1">
      <c r="B732" s="466"/>
      <c r="C732" s="667"/>
      <c r="D732" s="667"/>
      <c r="E732" s="668"/>
      <c r="F732" s="667"/>
      <c r="G732" s="667"/>
      <c r="H732" s="667"/>
      <c r="I732" s="667"/>
      <c r="J732" s="667"/>
      <c r="K732" s="667"/>
      <c r="L732" s="667"/>
      <c r="M732" s="667"/>
      <c r="N732" s="667"/>
      <c r="O732" s="667"/>
      <c r="P732" s="667"/>
      <c r="Q732" s="667"/>
    </row>
    <row r="733" ht="15.75" customHeight="1">
      <c r="B733" s="466"/>
      <c r="C733" s="667"/>
      <c r="D733" s="667"/>
      <c r="E733" s="668"/>
      <c r="F733" s="667"/>
      <c r="G733" s="667"/>
      <c r="H733" s="667"/>
      <c r="I733" s="667"/>
      <c r="J733" s="667"/>
      <c r="K733" s="667"/>
      <c r="L733" s="667"/>
      <c r="M733" s="667"/>
      <c r="N733" s="667"/>
      <c r="O733" s="667"/>
      <c r="P733" s="667"/>
      <c r="Q733" s="667"/>
    </row>
    <row r="734" ht="15.75" customHeight="1">
      <c r="B734" s="466"/>
      <c r="C734" s="667"/>
      <c r="D734" s="667"/>
      <c r="E734" s="668"/>
      <c r="F734" s="667"/>
      <c r="G734" s="667"/>
      <c r="H734" s="667"/>
      <c r="I734" s="667"/>
      <c r="J734" s="667"/>
      <c r="K734" s="667"/>
      <c r="L734" s="667"/>
      <c r="M734" s="667"/>
      <c r="N734" s="667"/>
      <c r="O734" s="667"/>
      <c r="P734" s="667"/>
      <c r="Q734" s="667"/>
    </row>
    <row r="735" ht="15.75" customHeight="1">
      <c r="B735" s="466"/>
      <c r="C735" s="667"/>
      <c r="D735" s="667"/>
      <c r="E735" s="668"/>
      <c r="F735" s="667"/>
      <c r="G735" s="667"/>
      <c r="H735" s="667"/>
      <c r="I735" s="667"/>
      <c r="J735" s="667"/>
      <c r="K735" s="667"/>
      <c r="L735" s="667"/>
      <c r="M735" s="667"/>
      <c r="N735" s="667"/>
      <c r="O735" s="667"/>
      <c r="P735" s="667"/>
      <c r="Q735" s="667"/>
    </row>
    <row r="736" ht="15.75" customHeight="1">
      <c r="B736" s="466"/>
      <c r="C736" s="667"/>
      <c r="D736" s="667"/>
      <c r="E736" s="668"/>
      <c r="F736" s="667"/>
      <c r="G736" s="667"/>
      <c r="H736" s="667"/>
      <c r="I736" s="667"/>
      <c r="J736" s="667"/>
      <c r="K736" s="667"/>
      <c r="L736" s="667"/>
      <c r="M736" s="667"/>
      <c r="N736" s="667"/>
      <c r="O736" s="667"/>
      <c r="P736" s="667"/>
      <c r="Q736" s="667"/>
    </row>
    <row r="737" ht="15.75" customHeight="1">
      <c r="B737" s="466"/>
      <c r="C737" s="667"/>
      <c r="D737" s="667"/>
      <c r="E737" s="668"/>
      <c r="F737" s="667"/>
      <c r="G737" s="667"/>
      <c r="H737" s="667"/>
      <c r="I737" s="667"/>
      <c r="J737" s="667"/>
      <c r="K737" s="667"/>
      <c r="L737" s="667"/>
      <c r="M737" s="667"/>
      <c r="N737" s="667"/>
      <c r="O737" s="667"/>
      <c r="P737" s="667"/>
      <c r="Q737" s="667"/>
    </row>
    <row r="738" ht="15.75" customHeight="1">
      <c r="B738" s="466"/>
      <c r="C738" s="667"/>
      <c r="D738" s="667"/>
      <c r="E738" s="668"/>
      <c r="F738" s="667"/>
      <c r="G738" s="667"/>
      <c r="H738" s="667"/>
      <c r="I738" s="667"/>
      <c r="J738" s="667"/>
      <c r="K738" s="667"/>
      <c r="L738" s="667"/>
      <c r="M738" s="667"/>
      <c r="N738" s="667"/>
      <c r="O738" s="667"/>
      <c r="P738" s="667"/>
      <c r="Q738" s="667"/>
    </row>
    <row r="739" ht="15.75" customHeight="1">
      <c r="B739" s="466"/>
      <c r="C739" s="667"/>
      <c r="D739" s="667"/>
      <c r="E739" s="668"/>
      <c r="F739" s="667"/>
      <c r="G739" s="667"/>
      <c r="H739" s="667"/>
      <c r="I739" s="667"/>
      <c r="J739" s="667"/>
      <c r="K739" s="667"/>
      <c r="L739" s="667"/>
      <c r="M739" s="667"/>
      <c r="N739" s="667"/>
      <c r="O739" s="667"/>
      <c r="P739" s="667"/>
      <c r="Q739" s="667"/>
    </row>
    <row r="740" ht="15.75" customHeight="1">
      <c r="B740" s="466"/>
      <c r="C740" s="667"/>
      <c r="D740" s="667"/>
      <c r="E740" s="668"/>
      <c r="F740" s="667"/>
      <c r="G740" s="667"/>
      <c r="H740" s="667"/>
      <c r="I740" s="667"/>
      <c r="J740" s="667"/>
      <c r="K740" s="667"/>
      <c r="L740" s="667"/>
      <c r="M740" s="667"/>
      <c r="N740" s="667"/>
      <c r="O740" s="667"/>
      <c r="P740" s="667"/>
      <c r="Q740" s="667"/>
    </row>
    <row r="741" ht="15.75" customHeight="1">
      <c r="B741" s="466"/>
      <c r="C741" s="667"/>
      <c r="D741" s="667"/>
      <c r="E741" s="668"/>
      <c r="F741" s="667"/>
      <c r="G741" s="667"/>
      <c r="H741" s="667"/>
      <c r="I741" s="667"/>
      <c r="J741" s="667"/>
      <c r="K741" s="667"/>
      <c r="L741" s="667"/>
      <c r="M741" s="667"/>
      <c r="N741" s="667"/>
      <c r="O741" s="667"/>
      <c r="P741" s="667"/>
      <c r="Q741" s="667"/>
    </row>
    <row r="742" ht="15.75" customHeight="1">
      <c r="B742" s="466"/>
      <c r="C742" s="667"/>
      <c r="D742" s="667"/>
      <c r="E742" s="668"/>
      <c r="F742" s="667"/>
      <c r="G742" s="667"/>
      <c r="H742" s="667"/>
      <c r="I742" s="667"/>
      <c r="J742" s="667"/>
      <c r="K742" s="667"/>
      <c r="L742" s="667"/>
      <c r="M742" s="667"/>
      <c r="N742" s="667"/>
      <c r="O742" s="667"/>
      <c r="P742" s="667"/>
      <c r="Q742" s="667"/>
    </row>
    <row r="743" ht="15.75" customHeight="1">
      <c r="B743" s="466"/>
      <c r="C743" s="667"/>
      <c r="D743" s="667"/>
      <c r="E743" s="668"/>
      <c r="F743" s="667"/>
      <c r="G743" s="667"/>
      <c r="H743" s="667"/>
      <c r="I743" s="667"/>
      <c r="J743" s="667"/>
      <c r="K743" s="667"/>
      <c r="L743" s="667"/>
      <c r="M743" s="667"/>
      <c r="N743" s="667"/>
      <c r="O743" s="667"/>
      <c r="P743" s="667"/>
      <c r="Q743" s="667"/>
    </row>
    <row r="744" ht="15.75" customHeight="1">
      <c r="B744" s="466"/>
      <c r="C744" s="667"/>
      <c r="D744" s="667"/>
      <c r="E744" s="668"/>
      <c r="F744" s="667"/>
      <c r="G744" s="667"/>
      <c r="H744" s="667"/>
      <c r="I744" s="667"/>
      <c r="J744" s="667"/>
      <c r="K744" s="667"/>
      <c r="L744" s="667"/>
      <c r="M744" s="667"/>
      <c r="N744" s="667"/>
      <c r="O744" s="667"/>
      <c r="P744" s="667"/>
      <c r="Q744" s="667"/>
    </row>
    <row r="745" ht="15.75" customHeight="1">
      <c r="B745" s="466"/>
      <c r="C745" s="667"/>
      <c r="D745" s="667"/>
      <c r="E745" s="668"/>
      <c r="F745" s="667"/>
      <c r="G745" s="667"/>
      <c r="H745" s="667"/>
      <c r="I745" s="667"/>
      <c r="J745" s="667"/>
      <c r="K745" s="667"/>
      <c r="L745" s="667"/>
      <c r="M745" s="667"/>
      <c r="N745" s="667"/>
      <c r="O745" s="667"/>
      <c r="P745" s="667"/>
      <c r="Q745" s="667"/>
    </row>
    <row r="746" ht="15.75" customHeight="1">
      <c r="B746" s="466"/>
      <c r="C746" s="667"/>
      <c r="D746" s="667"/>
      <c r="E746" s="668"/>
      <c r="F746" s="667"/>
      <c r="G746" s="667"/>
      <c r="H746" s="667"/>
      <c r="I746" s="667"/>
      <c r="J746" s="667"/>
      <c r="K746" s="667"/>
      <c r="L746" s="667"/>
      <c r="M746" s="667"/>
      <c r="N746" s="667"/>
      <c r="O746" s="667"/>
      <c r="P746" s="667"/>
      <c r="Q746" s="667"/>
    </row>
    <row r="747" ht="15.75" customHeight="1">
      <c r="B747" s="466"/>
      <c r="C747" s="667"/>
      <c r="D747" s="667"/>
      <c r="E747" s="668"/>
      <c r="F747" s="667"/>
      <c r="G747" s="667"/>
      <c r="H747" s="667"/>
      <c r="I747" s="667"/>
      <c r="J747" s="667"/>
      <c r="K747" s="667"/>
      <c r="L747" s="667"/>
      <c r="M747" s="667"/>
      <c r="N747" s="667"/>
      <c r="O747" s="667"/>
      <c r="P747" s="667"/>
      <c r="Q747" s="667"/>
    </row>
    <row r="748" ht="15.75" customHeight="1">
      <c r="B748" s="466"/>
      <c r="C748" s="667"/>
      <c r="D748" s="667"/>
      <c r="E748" s="668"/>
      <c r="F748" s="667"/>
      <c r="G748" s="667"/>
      <c r="H748" s="667"/>
      <c r="I748" s="667"/>
      <c r="J748" s="667"/>
      <c r="K748" s="667"/>
      <c r="L748" s="667"/>
      <c r="M748" s="667"/>
      <c r="N748" s="667"/>
      <c r="O748" s="667"/>
      <c r="P748" s="667"/>
      <c r="Q748" s="667"/>
    </row>
    <row r="749" ht="15.75" customHeight="1">
      <c r="B749" s="466"/>
      <c r="C749" s="667"/>
      <c r="D749" s="667"/>
      <c r="E749" s="668"/>
      <c r="F749" s="667"/>
      <c r="G749" s="667"/>
      <c r="H749" s="667"/>
      <c r="I749" s="667"/>
      <c r="J749" s="667"/>
      <c r="K749" s="667"/>
      <c r="L749" s="667"/>
      <c r="M749" s="667"/>
      <c r="N749" s="667"/>
      <c r="O749" s="667"/>
      <c r="P749" s="667"/>
      <c r="Q749" s="667"/>
    </row>
    <row r="750" ht="15.75" customHeight="1">
      <c r="B750" s="466"/>
      <c r="C750" s="667"/>
      <c r="D750" s="667"/>
      <c r="E750" s="668"/>
      <c r="F750" s="667"/>
      <c r="G750" s="667"/>
      <c r="H750" s="667"/>
      <c r="I750" s="667"/>
      <c r="J750" s="667"/>
      <c r="K750" s="667"/>
      <c r="L750" s="667"/>
      <c r="M750" s="667"/>
      <c r="N750" s="667"/>
      <c r="O750" s="667"/>
      <c r="P750" s="667"/>
      <c r="Q750" s="667"/>
    </row>
    <row r="751" ht="15.75" customHeight="1">
      <c r="B751" s="466"/>
      <c r="C751" s="667"/>
      <c r="D751" s="667"/>
      <c r="E751" s="668"/>
      <c r="F751" s="667"/>
      <c r="G751" s="667"/>
      <c r="H751" s="667"/>
      <c r="I751" s="667"/>
      <c r="J751" s="667"/>
      <c r="K751" s="667"/>
      <c r="L751" s="667"/>
      <c r="M751" s="667"/>
      <c r="N751" s="667"/>
      <c r="O751" s="667"/>
      <c r="P751" s="667"/>
      <c r="Q751" s="667"/>
    </row>
    <row r="752" ht="15.75" customHeight="1">
      <c r="B752" s="466"/>
      <c r="C752" s="667"/>
      <c r="D752" s="667"/>
      <c r="E752" s="668"/>
      <c r="F752" s="667"/>
      <c r="G752" s="667"/>
      <c r="H752" s="667"/>
      <c r="I752" s="667"/>
      <c r="J752" s="667"/>
      <c r="K752" s="667"/>
      <c r="L752" s="667"/>
      <c r="M752" s="667"/>
      <c r="N752" s="667"/>
      <c r="O752" s="667"/>
      <c r="P752" s="667"/>
      <c r="Q752" s="667"/>
    </row>
    <row r="753" ht="15.75" customHeight="1">
      <c r="B753" s="466"/>
      <c r="C753" s="667"/>
      <c r="D753" s="667"/>
      <c r="E753" s="668"/>
      <c r="F753" s="667"/>
      <c r="G753" s="667"/>
      <c r="H753" s="667"/>
      <c r="I753" s="667"/>
      <c r="J753" s="667"/>
      <c r="K753" s="667"/>
      <c r="L753" s="667"/>
      <c r="M753" s="667"/>
      <c r="N753" s="667"/>
      <c r="O753" s="667"/>
      <c r="P753" s="667"/>
      <c r="Q753" s="667"/>
    </row>
    <row r="754" ht="15.75" customHeight="1">
      <c r="B754" s="466"/>
      <c r="C754" s="667"/>
      <c r="D754" s="667"/>
      <c r="E754" s="668"/>
      <c r="F754" s="667"/>
      <c r="G754" s="667"/>
      <c r="H754" s="667"/>
      <c r="I754" s="667"/>
      <c r="J754" s="667"/>
      <c r="K754" s="667"/>
      <c r="L754" s="667"/>
      <c r="M754" s="667"/>
      <c r="N754" s="667"/>
      <c r="O754" s="667"/>
      <c r="P754" s="667"/>
      <c r="Q754" s="667"/>
    </row>
    <row r="755" ht="15.75" customHeight="1">
      <c r="B755" s="466"/>
      <c r="C755" s="667"/>
      <c r="D755" s="667"/>
      <c r="E755" s="668"/>
      <c r="F755" s="667"/>
      <c r="G755" s="667"/>
      <c r="H755" s="667"/>
      <c r="I755" s="667"/>
      <c r="J755" s="667"/>
      <c r="K755" s="667"/>
      <c r="L755" s="667"/>
      <c r="M755" s="667"/>
      <c r="N755" s="667"/>
      <c r="O755" s="667"/>
      <c r="P755" s="667"/>
      <c r="Q755" s="667"/>
    </row>
    <row r="756" ht="15.75" customHeight="1">
      <c r="B756" s="466"/>
      <c r="C756" s="667"/>
      <c r="D756" s="667"/>
      <c r="E756" s="668"/>
      <c r="F756" s="667"/>
      <c r="G756" s="667"/>
      <c r="H756" s="667"/>
      <c r="I756" s="667"/>
      <c r="J756" s="667"/>
      <c r="K756" s="667"/>
      <c r="L756" s="667"/>
      <c r="M756" s="667"/>
      <c r="N756" s="667"/>
      <c r="O756" s="667"/>
      <c r="P756" s="667"/>
      <c r="Q756" s="667"/>
    </row>
    <row r="757" ht="15.75" customHeight="1">
      <c r="B757" s="466"/>
      <c r="C757" s="667"/>
      <c r="D757" s="667"/>
      <c r="E757" s="668"/>
      <c r="F757" s="667"/>
      <c r="G757" s="667"/>
      <c r="H757" s="667"/>
      <c r="I757" s="667"/>
      <c r="J757" s="667"/>
      <c r="K757" s="667"/>
      <c r="L757" s="667"/>
      <c r="M757" s="667"/>
      <c r="N757" s="667"/>
      <c r="O757" s="667"/>
      <c r="P757" s="667"/>
      <c r="Q757" s="667"/>
    </row>
    <row r="758" ht="15.75" customHeight="1">
      <c r="B758" s="466"/>
      <c r="C758" s="667"/>
      <c r="D758" s="667"/>
      <c r="E758" s="668"/>
      <c r="F758" s="667"/>
      <c r="G758" s="667"/>
      <c r="H758" s="667"/>
      <c r="I758" s="667"/>
      <c r="J758" s="667"/>
      <c r="K758" s="667"/>
      <c r="L758" s="667"/>
      <c r="M758" s="667"/>
      <c r="N758" s="667"/>
      <c r="O758" s="667"/>
      <c r="P758" s="667"/>
      <c r="Q758" s="667"/>
    </row>
    <row r="759" ht="15.75" customHeight="1">
      <c r="B759" s="466"/>
      <c r="C759" s="667"/>
      <c r="D759" s="667"/>
      <c r="E759" s="668"/>
      <c r="F759" s="667"/>
      <c r="G759" s="667"/>
      <c r="H759" s="667"/>
      <c r="I759" s="667"/>
      <c r="J759" s="667"/>
      <c r="K759" s="667"/>
      <c r="L759" s="667"/>
      <c r="M759" s="667"/>
      <c r="N759" s="667"/>
      <c r="O759" s="667"/>
      <c r="P759" s="667"/>
      <c r="Q759" s="667"/>
    </row>
    <row r="760" ht="15.75" customHeight="1">
      <c r="B760" s="466"/>
      <c r="C760" s="667"/>
      <c r="D760" s="667"/>
      <c r="E760" s="668"/>
      <c r="F760" s="667"/>
      <c r="G760" s="667"/>
      <c r="H760" s="667"/>
      <c r="I760" s="667"/>
      <c r="J760" s="667"/>
      <c r="K760" s="667"/>
      <c r="L760" s="667"/>
      <c r="M760" s="667"/>
      <c r="N760" s="667"/>
      <c r="O760" s="667"/>
      <c r="P760" s="667"/>
      <c r="Q760" s="667"/>
    </row>
    <row r="761" ht="15.75" customHeight="1">
      <c r="B761" s="466"/>
      <c r="C761" s="667"/>
      <c r="D761" s="667"/>
      <c r="E761" s="668"/>
      <c r="F761" s="667"/>
      <c r="G761" s="667"/>
      <c r="H761" s="667"/>
      <c r="I761" s="667"/>
      <c r="J761" s="667"/>
      <c r="K761" s="667"/>
      <c r="L761" s="667"/>
      <c r="M761" s="667"/>
      <c r="N761" s="667"/>
      <c r="O761" s="667"/>
      <c r="P761" s="667"/>
      <c r="Q761" s="667"/>
    </row>
    <row r="762" ht="15.75" customHeight="1">
      <c r="B762" s="466"/>
      <c r="C762" s="667"/>
      <c r="D762" s="667"/>
      <c r="E762" s="668"/>
      <c r="F762" s="667"/>
      <c r="G762" s="667"/>
      <c r="H762" s="667"/>
      <c r="I762" s="667"/>
      <c r="J762" s="667"/>
      <c r="K762" s="667"/>
      <c r="L762" s="667"/>
      <c r="M762" s="667"/>
      <c r="N762" s="667"/>
      <c r="O762" s="667"/>
      <c r="P762" s="667"/>
      <c r="Q762" s="667"/>
    </row>
    <row r="763" ht="15.75" customHeight="1">
      <c r="B763" s="466"/>
      <c r="C763" s="667"/>
      <c r="D763" s="667"/>
      <c r="E763" s="668"/>
      <c r="F763" s="667"/>
      <c r="G763" s="667"/>
      <c r="H763" s="667"/>
      <c r="I763" s="667"/>
      <c r="J763" s="667"/>
      <c r="K763" s="667"/>
      <c r="L763" s="667"/>
      <c r="M763" s="667"/>
      <c r="N763" s="667"/>
      <c r="O763" s="667"/>
      <c r="P763" s="667"/>
      <c r="Q763" s="667"/>
    </row>
    <row r="764" ht="15.75" customHeight="1">
      <c r="B764" s="466"/>
      <c r="C764" s="667"/>
      <c r="D764" s="667"/>
      <c r="E764" s="668"/>
      <c r="F764" s="667"/>
      <c r="G764" s="667"/>
      <c r="H764" s="667"/>
      <c r="I764" s="667"/>
      <c r="J764" s="667"/>
      <c r="K764" s="667"/>
      <c r="L764" s="667"/>
      <c r="M764" s="667"/>
      <c r="N764" s="667"/>
      <c r="O764" s="667"/>
      <c r="P764" s="667"/>
      <c r="Q764" s="667"/>
    </row>
    <row r="765" ht="15.75" customHeight="1">
      <c r="B765" s="466"/>
      <c r="C765" s="667"/>
      <c r="D765" s="667"/>
      <c r="E765" s="668"/>
      <c r="F765" s="667"/>
      <c r="G765" s="667"/>
      <c r="H765" s="667"/>
      <c r="I765" s="667"/>
      <c r="J765" s="667"/>
      <c r="K765" s="667"/>
      <c r="L765" s="667"/>
      <c r="M765" s="667"/>
      <c r="N765" s="667"/>
      <c r="O765" s="667"/>
      <c r="P765" s="667"/>
      <c r="Q765" s="667"/>
    </row>
    <row r="766" ht="15.75" customHeight="1">
      <c r="B766" s="466"/>
      <c r="C766" s="667"/>
      <c r="D766" s="667"/>
      <c r="E766" s="668"/>
      <c r="F766" s="667"/>
      <c r="G766" s="667"/>
      <c r="H766" s="667"/>
      <c r="I766" s="667"/>
      <c r="J766" s="667"/>
      <c r="K766" s="667"/>
      <c r="L766" s="667"/>
      <c r="M766" s="667"/>
      <c r="N766" s="667"/>
      <c r="O766" s="667"/>
      <c r="P766" s="667"/>
      <c r="Q766" s="667"/>
    </row>
    <row r="767" ht="15.75" customHeight="1">
      <c r="B767" s="466"/>
      <c r="C767" s="667"/>
      <c r="D767" s="667"/>
      <c r="E767" s="668"/>
      <c r="F767" s="667"/>
      <c r="G767" s="667"/>
      <c r="H767" s="667"/>
      <c r="I767" s="667"/>
      <c r="J767" s="667"/>
      <c r="K767" s="667"/>
      <c r="L767" s="667"/>
      <c r="M767" s="667"/>
      <c r="N767" s="667"/>
      <c r="O767" s="667"/>
      <c r="P767" s="667"/>
      <c r="Q767" s="667"/>
    </row>
    <row r="768" ht="15.75" customHeight="1">
      <c r="B768" s="466"/>
      <c r="C768" s="667"/>
      <c r="D768" s="667"/>
      <c r="E768" s="668"/>
      <c r="F768" s="667"/>
      <c r="G768" s="667"/>
      <c r="H768" s="667"/>
      <c r="I768" s="667"/>
      <c r="J768" s="667"/>
      <c r="K768" s="667"/>
      <c r="L768" s="667"/>
      <c r="M768" s="667"/>
      <c r="N768" s="667"/>
      <c r="O768" s="667"/>
      <c r="P768" s="667"/>
      <c r="Q768" s="667"/>
    </row>
    <row r="769" ht="15.75" customHeight="1">
      <c r="B769" s="466"/>
      <c r="C769" s="667"/>
      <c r="D769" s="667"/>
      <c r="E769" s="668"/>
      <c r="F769" s="667"/>
      <c r="G769" s="667"/>
      <c r="H769" s="667"/>
      <c r="I769" s="667"/>
      <c r="J769" s="667"/>
      <c r="K769" s="667"/>
      <c r="L769" s="667"/>
      <c r="M769" s="667"/>
      <c r="N769" s="667"/>
      <c r="O769" s="667"/>
      <c r="P769" s="667"/>
      <c r="Q769" s="667"/>
    </row>
    <row r="770" ht="15.75" customHeight="1">
      <c r="B770" s="466"/>
      <c r="C770" s="667"/>
      <c r="D770" s="667"/>
      <c r="E770" s="668"/>
      <c r="F770" s="667"/>
      <c r="G770" s="667"/>
      <c r="H770" s="667"/>
      <c r="I770" s="667"/>
      <c r="J770" s="667"/>
      <c r="K770" s="667"/>
      <c r="L770" s="667"/>
      <c r="M770" s="667"/>
      <c r="N770" s="667"/>
      <c r="O770" s="667"/>
      <c r="P770" s="667"/>
      <c r="Q770" s="667"/>
    </row>
    <row r="771" ht="15.75" customHeight="1">
      <c r="B771" s="466"/>
      <c r="C771" s="667"/>
      <c r="D771" s="667"/>
      <c r="E771" s="668"/>
      <c r="F771" s="667"/>
      <c r="G771" s="667"/>
      <c r="H771" s="667"/>
      <c r="I771" s="667"/>
      <c r="J771" s="667"/>
      <c r="K771" s="667"/>
      <c r="L771" s="667"/>
      <c r="M771" s="667"/>
      <c r="N771" s="667"/>
      <c r="O771" s="667"/>
      <c r="P771" s="667"/>
      <c r="Q771" s="667"/>
    </row>
    <row r="772" ht="15.75" customHeight="1">
      <c r="B772" s="466"/>
      <c r="C772" s="667"/>
      <c r="D772" s="667"/>
      <c r="E772" s="668"/>
      <c r="F772" s="667"/>
      <c r="G772" s="667"/>
      <c r="H772" s="667"/>
      <c r="I772" s="667"/>
      <c r="J772" s="667"/>
      <c r="K772" s="667"/>
      <c r="L772" s="667"/>
      <c r="M772" s="667"/>
      <c r="N772" s="667"/>
      <c r="O772" s="667"/>
      <c r="P772" s="667"/>
      <c r="Q772" s="667"/>
    </row>
    <row r="773" ht="15.75" customHeight="1">
      <c r="B773" s="466"/>
      <c r="C773" s="667"/>
      <c r="D773" s="667"/>
      <c r="E773" s="668"/>
      <c r="F773" s="667"/>
      <c r="G773" s="667"/>
      <c r="H773" s="667"/>
      <c r="I773" s="667"/>
      <c r="J773" s="667"/>
      <c r="K773" s="667"/>
      <c r="L773" s="667"/>
      <c r="M773" s="667"/>
      <c r="N773" s="667"/>
      <c r="O773" s="667"/>
      <c r="P773" s="667"/>
      <c r="Q773" s="667"/>
    </row>
    <row r="774" ht="15.75" customHeight="1">
      <c r="B774" s="466"/>
      <c r="C774" s="667"/>
      <c r="D774" s="667"/>
      <c r="E774" s="668"/>
      <c r="F774" s="667"/>
      <c r="G774" s="667"/>
      <c r="H774" s="667"/>
      <c r="I774" s="667"/>
      <c r="J774" s="667"/>
      <c r="K774" s="667"/>
      <c r="L774" s="667"/>
      <c r="M774" s="667"/>
      <c r="N774" s="667"/>
      <c r="O774" s="667"/>
      <c r="P774" s="667"/>
      <c r="Q774" s="667"/>
    </row>
    <row r="775" ht="15.75" customHeight="1">
      <c r="B775" s="466"/>
      <c r="C775" s="667"/>
      <c r="D775" s="667"/>
      <c r="E775" s="668"/>
      <c r="F775" s="667"/>
      <c r="G775" s="667"/>
      <c r="H775" s="667"/>
      <c r="I775" s="667"/>
      <c r="J775" s="667"/>
      <c r="K775" s="667"/>
      <c r="L775" s="667"/>
      <c r="M775" s="667"/>
      <c r="N775" s="667"/>
      <c r="O775" s="667"/>
      <c r="P775" s="667"/>
      <c r="Q775" s="667"/>
    </row>
    <row r="776" ht="15.75" customHeight="1">
      <c r="B776" s="466"/>
      <c r="C776" s="667"/>
      <c r="D776" s="667"/>
      <c r="E776" s="668"/>
      <c r="F776" s="667"/>
      <c r="G776" s="667"/>
      <c r="H776" s="667"/>
      <c r="I776" s="667"/>
      <c r="J776" s="667"/>
      <c r="K776" s="667"/>
      <c r="L776" s="667"/>
      <c r="M776" s="667"/>
      <c r="N776" s="667"/>
      <c r="O776" s="667"/>
      <c r="P776" s="667"/>
      <c r="Q776" s="667"/>
    </row>
    <row r="777" ht="15.75" customHeight="1">
      <c r="B777" s="466"/>
      <c r="C777" s="667"/>
      <c r="D777" s="667"/>
      <c r="E777" s="668"/>
      <c r="F777" s="667"/>
      <c r="G777" s="667"/>
      <c r="H777" s="667"/>
      <c r="I777" s="667"/>
      <c r="J777" s="667"/>
      <c r="K777" s="667"/>
      <c r="L777" s="667"/>
      <c r="M777" s="667"/>
      <c r="N777" s="667"/>
      <c r="O777" s="667"/>
      <c r="P777" s="667"/>
      <c r="Q777" s="667"/>
    </row>
    <row r="778" ht="15.75" customHeight="1">
      <c r="B778" s="466"/>
      <c r="C778" s="667"/>
      <c r="D778" s="667"/>
      <c r="E778" s="668"/>
      <c r="F778" s="667"/>
      <c r="G778" s="667"/>
      <c r="H778" s="667"/>
      <c r="I778" s="667"/>
      <c r="J778" s="667"/>
      <c r="K778" s="667"/>
      <c r="L778" s="667"/>
      <c r="M778" s="667"/>
      <c r="N778" s="667"/>
      <c r="O778" s="667"/>
      <c r="P778" s="667"/>
      <c r="Q778" s="667"/>
    </row>
    <row r="779" ht="15.75" customHeight="1">
      <c r="B779" s="466"/>
      <c r="C779" s="667"/>
      <c r="D779" s="667"/>
      <c r="E779" s="668"/>
      <c r="F779" s="667"/>
      <c r="G779" s="667"/>
      <c r="H779" s="667"/>
      <c r="I779" s="667"/>
      <c r="J779" s="667"/>
      <c r="K779" s="667"/>
      <c r="L779" s="667"/>
      <c r="M779" s="667"/>
      <c r="N779" s="667"/>
      <c r="O779" s="667"/>
      <c r="P779" s="667"/>
      <c r="Q779" s="667"/>
    </row>
    <row r="780" ht="15.75" customHeight="1">
      <c r="B780" s="466"/>
      <c r="C780" s="667"/>
      <c r="D780" s="667"/>
      <c r="E780" s="668"/>
      <c r="F780" s="667"/>
      <c r="G780" s="667"/>
      <c r="H780" s="667"/>
      <c r="I780" s="667"/>
      <c r="J780" s="667"/>
      <c r="K780" s="667"/>
      <c r="L780" s="667"/>
      <c r="M780" s="667"/>
      <c r="N780" s="667"/>
      <c r="O780" s="667"/>
      <c r="P780" s="667"/>
      <c r="Q780" s="667"/>
    </row>
    <row r="781" ht="15.75" customHeight="1">
      <c r="B781" s="466"/>
      <c r="C781" s="667"/>
      <c r="D781" s="667"/>
      <c r="E781" s="668"/>
      <c r="F781" s="667"/>
      <c r="G781" s="667"/>
      <c r="H781" s="667"/>
      <c r="I781" s="667"/>
      <c r="J781" s="667"/>
      <c r="K781" s="667"/>
      <c r="L781" s="667"/>
      <c r="M781" s="667"/>
      <c r="N781" s="667"/>
      <c r="O781" s="667"/>
      <c r="P781" s="667"/>
      <c r="Q781" s="667"/>
    </row>
    <row r="782" ht="15.75" customHeight="1">
      <c r="B782" s="466"/>
      <c r="C782" s="667"/>
      <c r="D782" s="667"/>
      <c r="E782" s="668"/>
      <c r="F782" s="667"/>
      <c r="G782" s="667"/>
      <c r="H782" s="667"/>
      <c r="I782" s="667"/>
      <c r="J782" s="667"/>
      <c r="K782" s="667"/>
      <c r="L782" s="667"/>
      <c r="M782" s="667"/>
      <c r="N782" s="667"/>
      <c r="O782" s="667"/>
      <c r="P782" s="667"/>
      <c r="Q782" s="667"/>
    </row>
    <row r="783" ht="15.75" customHeight="1">
      <c r="B783" s="466"/>
      <c r="C783" s="667"/>
      <c r="D783" s="667"/>
      <c r="E783" s="668"/>
      <c r="F783" s="667"/>
      <c r="G783" s="667"/>
      <c r="H783" s="667"/>
      <c r="I783" s="667"/>
      <c r="J783" s="667"/>
      <c r="K783" s="667"/>
      <c r="L783" s="667"/>
      <c r="M783" s="667"/>
      <c r="N783" s="667"/>
      <c r="O783" s="667"/>
      <c r="P783" s="667"/>
      <c r="Q783" s="667"/>
    </row>
    <row r="784" ht="15.75" customHeight="1">
      <c r="B784" s="466"/>
      <c r="C784" s="667"/>
      <c r="D784" s="667"/>
      <c r="E784" s="668"/>
      <c r="F784" s="667"/>
      <c r="G784" s="667"/>
      <c r="H784" s="667"/>
      <c r="I784" s="667"/>
      <c r="J784" s="667"/>
      <c r="K784" s="667"/>
      <c r="L784" s="667"/>
      <c r="M784" s="667"/>
      <c r="N784" s="667"/>
      <c r="O784" s="667"/>
      <c r="P784" s="667"/>
      <c r="Q784" s="667"/>
    </row>
    <row r="785" ht="15.75" customHeight="1">
      <c r="B785" s="466"/>
      <c r="C785" s="667"/>
      <c r="D785" s="667"/>
      <c r="E785" s="668"/>
      <c r="F785" s="667"/>
      <c r="G785" s="667"/>
      <c r="H785" s="667"/>
      <c r="I785" s="667"/>
      <c r="J785" s="667"/>
      <c r="K785" s="667"/>
      <c r="L785" s="667"/>
      <c r="M785" s="667"/>
      <c r="N785" s="667"/>
      <c r="O785" s="667"/>
      <c r="P785" s="667"/>
      <c r="Q785" s="667"/>
    </row>
    <row r="786" ht="15.75" customHeight="1">
      <c r="B786" s="466"/>
      <c r="C786" s="667"/>
      <c r="D786" s="667"/>
      <c r="E786" s="668"/>
      <c r="F786" s="667"/>
      <c r="G786" s="667"/>
      <c r="H786" s="667"/>
      <c r="I786" s="667"/>
      <c r="J786" s="667"/>
      <c r="K786" s="667"/>
      <c r="L786" s="667"/>
      <c r="M786" s="667"/>
      <c r="N786" s="667"/>
      <c r="O786" s="667"/>
      <c r="P786" s="667"/>
      <c r="Q786" s="667"/>
    </row>
    <row r="787" ht="15.75" customHeight="1">
      <c r="B787" s="466"/>
      <c r="C787" s="667"/>
      <c r="D787" s="667"/>
      <c r="E787" s="668"/>
      <c r="F787" s="667"/>
      <c r="G787" s="667"/>
      <c r="H787" s="667"/>
      <c r="I787" s="667"/>
      <c r="J787" s="667"/>
      <c r="K787" s="667"/>
      <c r="L787" s="667"/>
      <c r="M787" s="667"/>
      <c r="N787" s="667"/>
      <c r="O787" s="667"/>
      <c r="P787" s="667"/>
      <c r="Q787" s="667"/>
    </row>
    <row r="788" ht="15.75" customHeight="1">
      <c r="B788" s="466"/>
      <c r="C788" s="667"/>
      <c r="D788" s="667"/>
      <c r="E788" s="668"/>
      <c r="F788" s="667"/>
      <c r="G788" s="667"/>
      <c r="H788" s="667"/>
      <c r="I788" s="667"/>
      <c r="J788" s="667"/>
      <c r="K788" s="667"/>
      <c r="L788" s="667"/>
      <c r="M788" s="667"/>
      <c r="N788" s="667"/>
      <c r="O788" s="667"/>
      <c r="P788" s="667"/>
      <c r="Q788" s="667"/>
    </row>
    <row r="789" ht="15.75" customHeight="1">
      <c r="B789" s="466"/>
      <c r="C789" s="667"/>
      <c r="D789" s="667"/>
      <c r="E789" s="668"/>
      <c r="F789" s="667"/>
      <c r="G789" s="667"/>
      <c r="H789" s="667"/>
      <c r="I789" s="667"/>
      <c r="J789" s="667"/>
      <c r="K789" s="667"/>
      <c r="L789" s="667"/>
      <c r="M789" s="667"/>
      <c r="N789" s="667"/>
      <c r="O789" s="667"/>
      <c r="P789" s="667"/>
      <c r="Q789" s="667"/>
    </row>
    <row r="790" ht="15.75" customHeight="1">
      <c r="B790" s="466"/>
      <c r="C790" s="667"/>
      <c r="D790" s="667"/>
      <c r="E790" s="668"/>
      <c r="F790" s="667"/>
      <c r="G790" s="667"/>
      <c r="H790" s="667"/>
      <c r="I790" s="667"/>
      <c r="J790" s="667"/>
      <c r="K790" s="667"/>
      <c r="L790" s="667"/>
      <c r="M790" s="667"/>
      <c r="N790" s="667"/>
      <c r="O790" s="667"/>
      <c r="P790" s="667"/>
      <c r="Q790" s="667"/>
    </row>
    <row r="791" ht="15.75" customHeight="1">
      <c r="B791" s="466"/>
      <c r="C791" s="667"/>
      <c r="D791" s="667"/>
      <c r="E791" s="668"/>
      <c r="F791" s="667"/>
      <c r="G791" s="667"/>
      <c r="H791" s="667"/>
      <c r="I791" s="667"/>
      <c r="J791" s="667"/>
      <c r="K791" s="667"/>
      <c r="L791" s="667"/>
      <c r="M791" s="667"/>
      <c r="N791" s="667"/>
      <c r="O791" s="667"/>
      <c r="P791" s="667"/>
      <c r="Q791" s="667"/>
    </row>
    <row r="792" ht="15.75" customHeight="1">
      <c r="B792" s="466"/>
      <c r="C792" s="667"/>
      <c r="D792" s="667"/>
      <c r="E792" s="668"/>
      <c r="F792" s="667"/>
      <c r="G792" s="667"/>
      <c r="H792" s="667"/>
      <c r="I792" s="667"/>
      <c r="J792" s="667"/>
      <c r="K792" s="667"/>
      <c r="L792" s="667"/>
      <c r="M792" s="667"/>
      <c r="N792" s="667"/>
      <c r="O792" s="667"/>
      <c r="P792" s="667"/>
      <c r="Q792" s="667"/>
    </row>
    <row r="793" ht="15.75" customHeight="1">
      <c r="B793" s="466"/>
      <c r="C793" s="667"/>
      <c r="D793" s="667"/>
      <c r="E793" s="668"/>
      <c r="F793" s="667"/>
      <c r="G793" s="667"/>
      <c r="H793" s="667"/>
      <c r="I793" s="667"/>
      <c r="J793" s="667"/>
      <c r="K793" s="667"/>
      <c r="L793" s="667"/>
      <c r="M793" s="667"/>
      <c r="N793" s="667"/>
      <c r="O793" s="667"/>
      <c r="P793" s="667"/>
      <c r="Q793" s="667"/>
    </row>
    <row r="794" ht="15.75" customHeight="1">
      <c r="B794" s="466"/>
      <c r="C794" s="667"/>
      <c r="D794" s="667"/>
      <c r="E794" s="668"/>
      <c r="F794" s="667"/>
      <c r="G794" s="667"/>
      <c r="H794" s="667"/>
      <c r="I794" s="667"/>
      <c r="J794" s="667"/>
      <c r="K794" s="667"/>
      <c r="L794" s="667"/>
      <c r="M794" s="667"/>
      <c r="N794" s="667"/>
      <c r="O794" s="667"/>
      <c r="P794" s="667"/>
      <c r="Q794" s="667"/>
    </row>
    <row r="795" ht="15.75" customHeight="1">
      <c r="B795" s="466"/>
      <c r="C795" s="667"/>
      <c r="D795" s="667"/>
      <c r="E795" s="668"/>
      <c r="F795" s="667"/>
      <c r="G795" s="667"/>
      <c r="H795" s="667"/>
      <c r="I795" s="667"/>
      <c r="J795" s="667"/>
      <c r="K795" s="667"/>
      <c r="L795" s="667"/>
      <c r="M795" s="667"/>
      <c r="N795" s="667"/>
      <c r="O795" s="667"/>
      <c r="P795" s="667"/>
      <c r="Q795" s="667"/>
    </row>
    <row r="796" ht="15.75" customHeight="1">
      <c r="B796" s="466"/>
      <c r="C796" s="667"/>
      <c r="D796" s="667"/>
      <c r="E796" s="668"/>
      <c r="F796" s="667"/>
      <c r="G796" s="667"/>
      <c r="H796" s="667"/>
      <c r="I796" s="667"/>
      <c r="J796" s="667"/>
      <c r="K796" s="667"/>
      <c r="L796" s="667"/>
      <c r="M796" s="667"/>
      <c r="N796" s="667"/>
      <c r="O796" s="667"/>
      <c r="P796" s="667"/>
      <c r="Q796" s="667"/>
    </row>
    <row r="797" ht="15.75" customHeight="1">
      <c r="B797" s="466"/>
      <c r="C797" s="667"/>
      <c r="D797" s="667"/>
      <c r="E797" s="668"/>
      <c r="F797" s="667"/>
      <c r="G797" s="667"/>
      <c r="H797" s="667"/>
      <c r="I797" s="667"/>
      <c r="J797" s="667"/>
      <c r="K797" s="667"/>
      <c r="L797" s="667"/>
      <c r="M797" s="667"/>
      <c r="N797" s="667"/>
      <c r="O797" s="667"/>
      <c r="P797" s="667"/>
      <c r="Q797" s="667"/>
    </row>
    <row r="798" ht="15.75" customHeight="1">
      <c r="B798" s="466"/>
      <c r="C798" s="667"/>
      <c r="D798" s="667"/>
      <c r="E798" s="668"/>
      <c r="F798" s="667"/>
      <c r="G798" s="667"/>
      <c r="H798" s="667"/>
      <c r="I798" s="667"/>
      <c r="J798" s="667"/>
      <c r="K798" s="667"/>
      <c r="L798" s="667"/>
      <c r="M798" s="667"/>
      <c r="N798" s="667"/>
      <c r="O798" s="667"/>
      <c r="P798" s="667"/>
      <c r="Q798" s="667"/>
    </row>
    <row r="799" ht="15.75" customHeight="1">
      <c r="B799" s="466"/>
      <c r="C799" s="667"/>
      <c r="D799" s="667"/>
      <c r="E799" s="668"/>
      <c r="F799" s="667"/>
      <c r="G799" s="667"/>
      <c r="H799" s="667"/>
      <c r="I799" s="667"/>
      <c r="J799" s="667"/>
      <c r="K799" s="667"/>
      <c r="L799" s="667"/>
      <c r="M799" s="667"/>
      <c r="N799" s="667"/>
      <c r="O799" s="667"/>
      <c r="P799" s="667"/>
      <c r="Q799" s="667"/>
    </row>
    <row r="800" ht="15.75" customHeight="1">
      <c r="B800" s="466"/>
      <c r="C800" s="667"/>
      <c r="D800" s="667"/>
      <c r="E800" s="668"/>
      <c r="F800" s="667"/>
      <c r="G800" s="667"/>
      <c r="H800" s="667"/>
      <c r="I800" s="667"/>
      <c r="J800" s="667"/>
      <c r="K800" s="667"/>
      <c r="L800" s="667"/>
      <c r="M800" s="667"/>
      <c r="N800" s="667"/>
      <c r="O800" s="667"/>
      <c r="P800" s="667"/>
      <c r="Q800" s="667"/>
    </row>
    <row r="801" ht="15.75" customHeight="1">
      <c r="B801" s="466"/>
      <c r="C801" s="667"/>
      <c r="D801" s="667"/>
      <c r="E801" s="668"/>
      <c r="F801" s="667"/>
      <c r="G801" s="667"/>
      <c r="H801" s="667"/>
      <c r="I801" s="667"/>
      <c r="J801" s="667"/>
      <c r="K801" s="667"/>
      <c r="L801" s="667"/>
      <c r="M801" s="667"/>
      <c r="N801" s="667"/>
      <c r="O801" s="667"/>
      <c r="P801" s="667"/>
      <c r="Q801" s="667"/>
    </row>
    <row r="802" ht="15.75" customHeight="1">
      <c r="B802" s="466"/>
      <c r="C802" s="667"/>
      <c r="D802" s="667"/>
      <c r="E802" s="668"/>
      <c r="F802" s="667"/>
      <c r="G802" s="667"/>
      <c r="H802" s="667"/>
      <c r="I802" s="667"/>
      <c r="J802" s="667"/>
      <c r="K802" s="667"/>
      <c r="L802" s="667"/>
      <c r="M802" s="667"/>
      <c r="N802" s="667"/>
      <c r="O802" s="667"/>
      <c r="P802" s="667"/>
      <c r="Q802" s="667"/>
    </row>
    <row r="803" ht="15.75" customHeight="1">
      <c r="B803" s="466"/>
      <c r="C803" s="667"/>
      <c r="D803" s="667"/>
      <c r="E803" s="668"/>
      <c r="F803" s="667"/>
      <c r="G803" s="667"/>
      <c r="H803" s="667"/>
      <c r="I803" s="667"/>
      <c r="J803" s="667"/>
      <c r="K803" s="667"/>
      <c r="L803" s="667"/>
      <c r="M803" s="667"/>
      <c r="N803" s="667"/>
      <c r="O803" s="667"/>
      <c r="P803" s="667"/>
      <c r="Q803" s="667"/>
    </row>
    <row r="804" ht="15.75" customHeight="1">
      <c r="B804" s="466"/>
      <c r="C804" s="667"/>
      <c r="D804" s="667"/>
      <c r="E804" s="668"/>
      <c r="F804" s="667"/>
      <c r="G804" s="667"/>
      <c r="H804" s="667"/>
      <c r="I804" s="667"/>
      <c r="J804" s="667"/>
      <c r="K804" s="667"/>
      <c r="L804" s="667"/>
      <c r="M804" s="667"/>
      <c r="N804" s="667"/>
      <c r="O804" s="667"/>
      <c r="P804" s="667"/>
      <c r="Q804" s="667"/>
    </row>
    <row r="805" ht="15.75" customHeight="1">
      <c r="B805" s="466"/>
      <c r="C805" s="667"/>
      <c r="D805" s="667"/>
      <c r="E805" s="668"/>
      <c r="F805" s="667"/>
      <c r="G805" s="667"/>
      <c r="H805" s="667"/>
      <c r="I805" s="667"/>
      <c r="J805" s="667"/>
      <c r="K805" s="667"/>
      <c r="L805" s="667"/>
      <c r="M805" s="667"/>
      <c r="N805" s="667"/>
      <c r="O805" s="667"/>
      <c r="P805" s="667"/>
      <c r="Q805" s="667"/>
    </row>
    <row r="806" ht="15.75" customHeight="1">
      <c r="B806" s="466"/>
      <c r="C806" s="667"/>
      <c r="D806" s="667"/>
      <c r="E806" s="668"/>
      <c r="F806" s="667"/>
      <c r="G806" s="667"/>
      <c r="H806" s="667"/>
      <c r="I806" s="667"/>
      <c r="J806" s="667"/>
      <c r="K806" s="667"/>
      <c r="L806" s="667"/>
      <c r="M806" s="667"/>
      <c r="N806" s="667"/>
      <c r="O806" s="667"/>
      <c r="P806" s="667"/>
      <c r="Q806" s="667"/>
    </row>
    <row r="807" ht="15.75" customHeight="1">
      <c r="B807" s="466"/>
      <c r="C807" s="667"/>
      <c r="D807" s="667"/>
      <c r="E807" s="668"/>
      <c r="F807" s="667"/>
      <c r="G807" s="667"/>
      <c r="H807" s="667"/>
      <c r="I807" s="667"/>
      <c r="J807" s="667"/>
      <c r="K807" s="667"/>
      <c r="L807" s="667"/>
      <c r="M807" s="667"/>
      <c r="N807" s="667"/>
      <c r="O807" s="667"/>
      <c r="P807" s="667"/>
      <c r="Q807" s="667"/>
    </row>
    <row r="808" ht="15.75" customHeight="1">
      <c r="B808" s="466"/>
      <c r="C808" s="667"/>
      <c r="D808" s="667"/>
      <c r="E808" s="668"/>
      <c r="F808" s="667"/>
      <c r="G808" s="667"/>
      <c r="H808" s="667"/>
      <c r="I808" s="667"/>
      <c r="J808" s="667"/>
      <c r="K808" s="667"/>
      <c r="L808" s="667"/>
      <c r="M808" s="667"/>
      <c r="N808" s="667"/>
      <c r="O808" s="667"/>
      <c r="P808" s="667"/>
      <c r="Q808" s="667"/>
    </row>
    <row r="809" ht="15.75" customHeight="1">
      <c r="B809" s="466"/>
      <c r="C809" s="667"/>
      <c r="D809" s="667"/>
      <c r="E809" s="668"/>
      <c r="F809" s="667"/>
      <c r="G809" s="667"/>
      <c r="H809" s="667"/>
      <c r="I809" s="667"/>
      <c r="J809" s="667"/>
      <c r="K809" s="667"/>
      <c r="L809" s="667"/>
      <c r="M809" s="667"/>
      <c r="N809" s="667"/>
      <c r="O809" s="667"/>
      <c r="P809" s="667"/>
      <c r="Q809" s="667"/>
    </row>
    <row r="810" ht="15.75" customHeight="1">
      <c r="B810" s="466"/>
      <c r="C810" s="667"/>
      <c r="D810" s="667"/>
      <c r="E810" s="668"/>
      <c r="F810" s="667"/>
      <c r="G810" s="667"/>
      <c r="H810" s="667"/>
      <c r="I810" s="667"/>
      <c r="J810" s="667"/>
      <c r="K810" s="667"/>
      <c r="L810" s="667"/>
      <c r="M810" s="667"/>
      <c r="N810" s="667"/>
      <c r="O810" s="667"/>
      <c r="P810" s="667"/>
      <c r="Q810" s="667"/>
    </row>
    <row r="811" ht="15.75" customHeight="1">
      <c r="B811" s="466"/>
      <c r="C811" s="667"/>
      <c r="D811" s="667"/>
      <c r="E811" s="668"/>
      <c r="F811" s="667"/>
      <c r="G811" s="667"/>
      <c r="H811" s="667"/>
      <c r="I811" s="667"/>
      <c r="J811" s="667"/>
      <c r="K811" s="667"/>
      <c r="L811" s="667"/>
      <c r="M811" s="667"/>
      <c r="N811" s="667"/>
      <c r="O811" s="667"/>
      <c r="P811" s="667"/>
      <c r="Q811" s="667"/>
    </row>
    <row r="812" ht="15.75" customHeight="1">
      <c r="B812" s="466"/>
      <c r="C812" s="667"/>
      <c r="D812" s="667"/>
      <c r="E812" s="668"/>
      <c r="F812" s="667"/>
      <c r="G812" s="667"/>
      <c r="H812" s="667"/>
      <c r="I812" s="667"/>
      <c r="J812" s="667"/>
      <c r="K812" s="667"/>
      <c r="L812" s="667"/>
      <c r="M812" s="667"/>
      <c r="N812" s="667"/>
      <c r="O812" s="667"/>
      <c r="P812" s="667"/>
      <c r="Q812" s="667"/>
    </row>
    <row r="813" ht="15.75" customHeight="1">
      <c r="B813" s="466"/>
      <c r="C813" s="667"/>
      <c r="D813" s="667"/>
      <c r="E813" s="668"/>
      <c r="F813" s="667"/>
      <c r="G813" s="667"/>
      <c r="H813" s="667"/>
      <c r="I813" s="667"/>
      <c r="J813" s="667"/>
      <c r="K813" s="667"/>
      <c r="L813" s="667"/>
      <c r="M813" s="667"/>
      <c r="N813" s="667"/>
      <c r="O813" s="667"/>
      <c r="P813" s="667"/>
      <c r="Q813" s="667"/>
    </row>
    <row r="814" ht="15.75" customHeight="1">
      <c r="B814" s="466"/>
      <c r="C814" s="667"/>
      <c r="D814" s="667"/>
      <c r="E814" s="668"/>
      <c r="F814" s="667"/>
      <c r="G814" s="667"/>
      <c r="H814" s="667"/>
      <c r="I814" s="667"/>
      <c r="J814" s="667"/>
      <c r="K814" s="667"/>
      <c r="L814" s="667"/>
      <c r="M814" s="667"/>
      <c r="N814" s="667"/>
      <c r="O814" s="667"/>
      <c r="P814" s="667"/>
      <c r="Q814" s="667"/>
    </row>
    <row r="815" ht="15.75" customHeight="1">
      <c r="B815" s="466"/>
      <c r="C815" s="667"/>
      <c r="D815" s="667"/>
      <c r="E815" s="668"/>
      <c r="F815" s="667"/>
      <c r="G815" s="667"/>
      <c r="H815" s="667"/>
      <c r="I815" s="667"/>
      <c r="J815" s="667"/>
      <c r="K815" s="667"/>
      <c r="L815" s="667"/>
      <c r="M815" s="667"/>
      <c r="N815" s="667"/>
      <c r="O815" s="667"/>
      <c r="P815" s="667"/>
      <c r="Q815" s="667"/>
    </row>
    <row r="816" ht="15.75" customHeight="1">
      <c r="B816" s="466"/>
      <c r="C816" s="667"/>
      <c r="D816" s="667"/>
      <c r="E816" s="668"/>
      <c r="F816" s="667"/>
      <c r="G816" s="667"/>
      <c r="H816" s="667"/>
      <c r="I816" s="667"/>
      <c r="J816" s="667"/>
      <c r="K816" s="667"/>
      <c r="L816" s="667"/>
      <c r="M816" s="667"/>
      <c r="N816" s="667"/>
      <c r="O816" s="667"/>
      <c r="P816" s="667"/>
      <c r="Q816" s="667"/>
    </row>
    <row r="817" ht="15.75" customHeight="1">
      <c r="B817" s="466"/>
      <c r="C817" s="667"/>
      <c r="D817" s="667"/>
      <c r="E817" s="668"/>
      <c r="F817" s="667"/>
      <c r="G817" s="667"/>
      <c r="H817" s="667"/>
      <c r="I817" s="667"/>
      <c r="J817" s="667"/>
      <c r="K817" s="667"/>
      <c r="L817" s="667"/>
      <c r="M817" s="667"/>
      <c r="N817" s="667"/>
      <c r="O817" s="667"/>
      <c r="P817" s="667"/>
      <c r="Q817" s="667"/>
    </row>
    <row r="818" ht="15.75" customHeight="1">
      <c r="B818" s="466"/>
      <c r="C818" s="667"/>
      <c r="D818" s="667"/>
      <c r="E818" s="668"/>
      <c r="F818" s="667"/>
      <c r="G818" s="667"/>
      <c r="H818" s="667"/>
      <c r="I818" s="667"/>
      <c r="J818" s="667"/>
      <c r="K818" s="667"/>
      <c r="L818" s="667"/>
      <c r="M818" s="667"/>
      <c r="N818" s="667"/>
      <c r="O818" s="667"/>
      <c r="P818" s="667"/>
      <c r="Q818" s="667"/>
    </row>
    <row r="819" ht="15.75" customHeight="1">
      <c r="B819" s="466"/>
      <c r="C819" s="667"/>
      <c r="D819" s="667"/>
      <c r="E819" s="668"/>
      <c r="F819" s="667"/>
      <c r="G819" s="667"/>
      <c r="H819" s="667"/>
      <c r="I819" s="667"/>
      <c r="J819" s="667"/>
      <c r="K819" s="667"/>
      <c r="L819" s="667"/>
      <c r="M819" s="667"/>
      <c r="N819" s="667"/>
      <c r="O819" s="667"/>
      <c r="P819" s="667"/>
      <c r="Q819" s="667"/>
    </row>
    <row r="820" ht="15.75" customHeight="1">
      <c r="B820" s="466"/>
      <c r="C820" s="667"/>
      <c r="D820" s="667"/>
      <c r="E820" s="668"/>
      <c r="F820" s="667"/>
      <c r="G820" s="667"/>
      <c r="H820" s="667"/>
      <c r="I820" s="667"/>
      <c r="J820" s="667"/>
      <c r="K820" s="667"/>
      <c r="L820" s="667"/>
      <c r="M820" s="667"/>
      <c r="N820" s="667"/>
      <c r="O820" s="667"/>
      <c r="P820" s="667"/>
      <c r="Q820" s="667"/>
    </row>
    <row r="821" ht="15.75" customHeight="1">
      <c r="B821" s="466"/>
      <c r="C821" s="667"/>
      <c r="D821" s="667"/>
      <c r="E821" s="668"/>
      <c r="F821" s="667"/>
      <c r="G821" s="667"/>
      <c r="H821" s="667"/>
      <c r="I821" s="667"/>
      <c r="J821" s="667"/>
      <c r="K821" s="667"/>
      <c r="L821" s="667"/>
      <c r="M821" s="667"/>
      <c r="N821" s="667"/>
      <c r="O821" s="667"/>
      <c r="P821" s="667"/>
      <c r="Q821" s="667"/>
    </row>
    <row r="822" ht="15.75" customHeight="1">
      <c r="B822" s="466"/>
      <c r="C822" s="667"/>
      <c r="D822" s="667"/>
      <c r="E822" s="668"/>
      <c r="F822" s="667"/>
      <c r="G822" s="667"/>
      <c r="H822" s="667"/>
      <c r="I822" s="667"/>
      <c r="J822" s="667"/>
      <c r="K822" s="667"/>
      <c r="L822" s="667"/>
      <c r="M822" s="667"/>
      <c r="N822" s="667"/>
      <c r="O822" s="667"/>
      <c r="P822" s="667"/>
      <c r="Q822" s="667"/>
    </row>
    <row r="823" ht="15.75" customHeight="1">
      <c r="B823" s="466"/>
      <c r="C823" s="667"/>
      <c r="D823" s="667"/>
      <c r="E823" s="668"/>
      <c r="F823" s="667"/>
      <c r="G823" s="667"/>
      <c r="H823" s="667"/>
      <c r="I823" s="667"/>
      <c r="J823" s="667"/>
      <c r="K823" s="667"/>
      <c r="L823" s="667"/>
      <c r="M823" s="667"/>
      <c r="N823" s="667"/>
      <c r="O823" s="667"/>
      <c r="P823" s="667"/>
      <c r="Q823" s="667"/>
    </row>
    <row r="824" ht="15.75" customHeight="1">
      <c r="B824" s="466"/>
      <c r="C824" s="667"/>
      <c r="D824" s="667"/>
      <c r="E824" s="668"/>
      <c r="F824" s="667"/>
      <c r="G824" s="667"/>
      <c r="H824" s="667"/>
      <c r="I824" s="667"/>
      <c r="J824" s="667"/>
      <c r="K824" s="667"/>
      <c r="L824" s="667"/>
      <c r="M824" s="667"/>
      <c r="N824" s="667"/>
      <c r="O824" s="667"/>
      <c r="P824" s="667"/>
      <c r="Q824" s="667"/>
    </row>
    <row r="825" ht="15.75" customHeight="1">
      <c r="B825" s="466"/>
      <c r="C825" s="667"/>
      <c r="D825" s="667"/>
      <c r="E825" s="668"/>
      <c r="F825" s="667"/>
      <c r="G825" s="667"/>
      <c r="H825" s="667"/>
      <c r="I825" s="667"/>
      <c r="J825" s="667"/>
      <c r="K825" s="667"/>
      <c r="L825" s="667"/>
      <c r="M825" s="667"/>
      <c r="N825" s="667"/>
      <c r="O825" s="667"/>
      <c r="P825" s="667"/>
      <c r="Q825" s="667"/>
    </row>
    <row r="826" ht="15.75" customHeight="1">
      <c r="B826" s="466"/>
      <c r="C826" s="667"/>
      <c r="D826" s="667"/>
      <c r="E826" s="668"/>
      <c r="F826" s="667"/>
      <c r="G826" s="667"/>
      <c r="H826" s="667"/>
      <c r="I826" s="667"/>
      <c r="J826" s="667"/>
      <c r="K826" s="667"/>
      <c r="L826" s="667"/>
      <c r="M826" s="667"/>
      <c r="N826" s="667"/>
      <c r="O826" s="667"/>
      <c r="P826" s="667"/>
      <c r="Q826" s="667"/>
    </row>
    <row r="827" ht="15.75" customHeight="1">
      <c r="B827" s="466"/>
      <c r="C827" s="667"/>
      <c r="D827" s="667"/>
      <c r="E827" s="668"/>
      <c r="F827" s="667"/>
      <c r="G827" s="667"/>
      <c r="H827" s="667"/>
      <c r="I827" s="667"/>
      <c r="J827" s="667"/>
      <c r="K827" s="667"/>
      <c r="L827" s="667"/>
      <c r="M827" s="667"/>
      <c r="N827" s="667"/>
      <c r="O827" s="667"/>
      <c r="P827" s="667"/>
      <c r="Q827" s="667"/>
    </row>
    <row r="828" ht="15.75" customHeight="1">
      <c r="B828" s="466"/>
      <c r="C828" s="667"/>
      <c r="D828" s="667"/>
      <c r="E828" s="668"/>
      <c r="F828" s="667"/>
      <c r="G828" s="667"/>
      <c r="H828" s="667"/>
      <c r="I828" s="667"/>
      <c r="J828" s="667"/>
      <c r="K828" s="667"/>
      <c r="L828" s="667"/>
      <c r="M828" s="667"/>
      <c r="N828" s="667"/>
      <c r="O828" s="667"/>
      <c r="P828" s="667"/>
      <c r="Q828" s="667"/>
    </row>
    <row r="829" ht="15.75" customHeight="1">
      <c r="B829" s="466"/>
      <c r="C829" s="667"/>
      <c r="D829" s="667"/>
      <c r="E829" s="668"/>
      <c r="F829" s="667"/>
      <c r="G829" s="667"/>
      <c r="H829" s="667"/>
      <c r="I829" s="667"/>
      <c r="J829" s="667"/>
      <c r="K829" s="667"/>
      <c r="L829" s="667"/>
      <c r="M829" s="667"/>
      <c r="N829" s="667"/>
      <c r="O829" s="667"/>
      <c r="P829" s="667"/>
      <c r="Q829" s="667"/>
    </row>
    <row r="830" ht="15.75" customHeight="1">
      <c r="B830" s="466"/>
      <c r="C830" s="667"/>
      <c r="D830" s="667"/>
      <c r="E830" s="668"/>
      <c r="F830" s="667"/>
      <c r="G830" s="667"/>
      <c r="H830" s="667"/>
      <c r="I830" s="667"/>
      <c r="J830" s="667"/>
      <c r="K830" s="667"/>
      <c r="L830" s="667"/>
      <c r="M830" s="667"/>
      <c r="N830" s="667"/>
      <c r="O830" s="667"/>
      <c r="P830" s="667"/>
      <c r="Q830" s="667"/>
    </row>
    <row r="831" ht="15.75" customHeight="1">
      <c r="B831" s="466"/>
      <c r="C831" s="667"/>
      <c r="D831" s="667"/>
      <c r="E831" s="668"/>
      <c r="F831" s="667"/>
      <c r="G831" s="667"/>
      <c r="H831" s="667"/>
      <c r="I831" s="667"/>
      <c r="J831" s="667"/>
      <c r="K831" s="667"/>
      <c r="L831" s="667"/>
      <c r="M831" s="667"/>
      <c r="N831" s="667"/>
      <c r="O831" s="667"/>
      <c r="P831" s="667"/>
      <c r="Q831" s="667"/>
    </row>
    <row r="832" ht="15.75" customHeight="1">
      <c r="B832" s="466"/>
      <c r="C832" s="667"/>
      <c r="D832" s="667"/>
      <c r="E832" s="668"/>
      <c r="F832" s="667"/>
      <c r="G832" s="667"/>
      <c r="H832" s="667"/>
      <c r="I832" s="667"/>
      <c r="J832" s="667"/>
      <c r="K832" s="667"/>
      <c r="L832" s="667"/>
      <c r="M832" s="667"/>
      <c r="N832" s="667"/>
      <c r="O832" s="667"/>
      <c r="P832" s="667"/>
      <c r="Q832" s="667"/>
    </row>
    <row r="833" ht="15.75" customHeight="1">
      <c r="B833" s="466"/>
      <c r="C833" s="667"/>
      <c r="D833" s="667"/>
      <c r="E833" s="668"/>
      <c r="F833" s="667"/>
      <c r="G833" s="667"/>
      <c r="H833" s="667"/>
      <c r="I833" s="667"/>
      <c r="J833" s="667"/>
      <c r="K833" s="667"/>
      <c r="L833" s="667"/>
      <c r="M833" s="667"/>
      <c r="N833" s="667"/>
      <c r="O833" s="667"/>
      <c r="P833" s="667"/>
      <c r="Q833" s="667"/>
    </row>
    <row r="834" ht="15.75" customHeight="1">
      <c r="B834" s="466"/>
      <c r="C834" s="667"/>
      <c r="D834" s="667"/>
      <c r="E834" s="668"/>
      <c r="F834" s="667"/>
      <c r="G834" s="667"/>
      <c r="H834" s="667"/>
      <c r="I834" s="667"/>
      <c r="J834" s="667"/>
      <c r="K834" s="667"/>
      <c r="L834" s="667"/>
      <c r="M834" s="667"/>
      <c r="N834" s="667"/>
      <c r="O834" s="667"/>
      <c r="P834" s="667"/>
      <c r="Q834" s="667"/>
    </row>
    <row r="835" ht="15.75" customHeight="1">
      <c r="B835" s="466"/>
      <c r="C835" s="667"/>
      <c r="D835" s="667"/>
      <c r="E835" s="668"/>
      <c r="F835" s="667"/>
      <c r="G835" s="667"/>
      <c r="H835" s="667"/>
      <c r="I835" s="667"/>
      <c r="J835" s="667"/>
      <c r="K835" s="667"/>
      <c r="L835" s="667"/>
      <c r="M835" s="667"/>
      <c r="N835" s="667"/>
      <c r="O835" s="667"/>
      <c r="P835" s="667"/>
      <c r="Q835" s="667"/>
    </row>
    <row r="836" ht="15.75" customHeight="1">
      <c r="B836" s="466"/>
      <c r="C836" s="667"/>
      <c r="D836" s="667"/>
      <c r="E836" s="668"/>
      <c r="F836" s="667"/>
      <c r="G836" s="667"/>
      <c r="H836" s="667"/>
      <c r="I836" s="667"/>
      <c r="J836" s="667"/>
      <c r="K836" s="667"/>
      <c r="L836" s="667"/>
      <c r="M836" s="667"/>
      <c r="N836" s="667"/>
      <c r="O836" s="667"/>
      <c r="P836" s="667"/>
      <c r="Q836" s="667"/>
    </row>
    <row r="837" ht="15.75" customHeight="1">
      <c r="B837" s="466"/>
      <c r="C837" s="667"/>
      <c r="D837" s="667"/>
      <c r="E837" s="668"/>
      <c r="F837" s="667"/>
      <c r="G837" s="667"/>
      <c r="H837" s="667"/>
      <c r="I837" s="667"/>
      <c r="J837" s="667"/>
      <c r="K837" s="667"/>
      <c r="L837" s="667"/>
      <c r="M837" s="667"/>
      <c r="N837" s="667"/>
      <c r="O837" s="667"/>
      <c r="P837" s="667"/>
      <c r="Q837" s="667"/>
    </row>
    <row r="838" ht="15.75" customHeight="1">
      <c r="B838" s="466"/>
      <c r="C838" s="667"/>
      <c r="D838" s="667"/>
      <c r="E838" s="668"/>
      <c r="F838" s="667"/>
      <c r="G838" s="667"/>
      <c r="H838" s="667"/>
      <c r="I838" s="667"/>
      <c r="J838" s="667"/>
      <c r="K838" s="667"/>
      <c r="L838" s="667"/>
      <c r="M838" s="667"/>
      <c r="N838" s="667"/>
      <c r="O838" s="667"/>
      <c r="P838" s="667"/>
      <c r="Q838" s="667"/>
    </row>
    <row r="839" ht="15.75" customHeight="1">
      <c r="B839" s="466"/>
      <c r="C839" s="667"/>
      <c r="D839" s="667"/>
      <c r="E839" s="668"/>
      <c r="F839" s="667"/>
      <c r="G839" s="667"/>
      <c r="H839" s="667"/>
      <c r="I839" s="667"/>
      <c r="J839" s="667"/>
      <c r="K839" s="667"/>
      <c r="L839" s="667"/>
      <c r="M839" s="667"/>
      <c r="N839" s="667"/>
      <c r="O839" s="667"/>
      <c r="P839" s="667"/>
      <c r="Q839" s="667"/>
    </row>
    <row r="840" ht="15.75" customHeight="1">
      <c r="B840" s="466"/>
      <c r="C840" s="667"/>
      <c r="D840" s="667"/>
      <c r="E840" s="668"/>
      <c r="F840" s="667"/>
      <c r="G840" s="667"/>
      <c r="H840" s="667"/>
      <c r="I840" s="667"/>
      <c r="J840" s="667"/>
      <c r="K840" s="667"/>
      <c r="L840" s="667"/>
      <c r="M840" s="667"/>
      <c r="N840" s="667"/>
      <c r="O840" s="667"/>
      <c r="P840" s="667"/>
      <c r="Q840" s="667"/>
    </row>
    <row r="841" ht="15.75" customHeight="1">
      <c r="B841" s="466"/>
      <c r="C841" s="667"/>
      <c r="D841" s="667"/>
      <c r="E841" s="668"/>
      <c r="F841" s="667"/>
      <c r="G841" s="667"/>
      <c r="H841" s="667"/>
      <c r="I841" s="667"/>
      <c r="J841" s="667"/>
      <c r="K841" s="667"/>
      <c r="L841" s="667"/>
      <c r="M841" s="667"/>
      <c r="N841" s="667"/>
      <c r="O841" s="667"/>
      <c r="P841" s="667"/>
      <c r="Q841" s="667"/>
    </row>
    <row r="842" ht="15.75" customHeight="1">
      <c r="B842" s="466"/>
      <c r="C842" s="667"/>
      <c r="D842" s="667"/>
      <c r="E842" s="668"/>
      <c r="F842" s="667"/>
      <c r="G842" s="667"/>
      <c r="H842" s="667"/>
      <c r="I842" s="667"/>
      <c r="J842" s="667"/>
      <c r="K842" s="667"/>
      <c r="L842" s="667"/>
      <c r="M842" s="667"/>
      <c r="N842" s="667"/>
      <c r="O842" s="667"/>
      <c r="P842" s="667"/>
      <c r="Q842" s="667"/>
    </row>
    <row r="843" ht="15.75" customHeight="1">
      <c r="B843" s="466"/>
      <c r="C843" s="667"/>
      <c r="D843" s="667"/>
      <c r="E843" s="668"/>
      <c r="F843" s="667"/>
      <c r="G843" s="667"/>
      <c r="H843" s="667"/>
      <c r="I843" s="667"/>
      <c r="J843" s="667"/>
      <c r="K843" s="667"/>
      <c r="L843" s="667"/>
      <c r="M843" s="667"/>
      <c r="N843" s="667"/>
      <c r="O843" s="667"/>
      <c r="P843" s="667"/>
      <c r="Q843" s="667"/>
    </row>
    <row r="844" ht="15.75" customHeight="1">
      <c r="B844" s="466"/>
      <c r="C844" s="667"/>
      <c r="D844" s="667"/>
      <c r="E844" s="668"/>
      <c r="F844" s="667"/>
      <c r="G844" s="667"/>
      <c r="H844" s="667"/>
      <c r="I844" s="667"/>
      <c r="J844" s="667"/>
      <c r="K844" s="667"/>
      <c r="L844" s="667"/>
      <c r="M844" s="667"/>
      <c r="N844" s="667"/>
      <c r="O844" s="667"/>
      <c r="P844" s="667"/>
      <c r="Q844" s="667"/>
    </row>
    <row r="845" ht="15.75" customHeight="1">
      <c r="B845" s="466"/>
      <c r="C845" s="667"/>
      <c r="D845" s="667"/>
      <c r="E845" s="668"/>
      <c r="F845" s="667"/>
      <c r="G845" s="667"/>
      <c r="H845" s="667"/>
      <c r="I845" s="667"/>
      <c r="J845" s="667"/>
      <c r="K845" s="667"/>
      <c r="L845" s="667"/>
      <c r="M845" s="667"/>
      <c r="N845" s="667"/>
      <c r="O845" s="667"/>
      <c r="P845" s="667"/>
      <c r="Q845" s="667"/>
    </row>
    <row r="846" ht="15.75" customHeight="1">
      <c r="B846" s="466"/>
      <c r="C846" s="667"/>
      <c r="D846" s="667"/>
      <c r="E846" s="668"/>
      <c r="F846" s="667"/>
      <c r="G846" s="667"/>
      <c r="H846" s="667"/>
      <c r="I846" s="667"/>
      <c r="J846" s="667"/>
      <c r="K846" s="667"/>
      <c r="L846" s="667"/>
      <c r="M846" s="667"/>
      <c r="N846" s="667"/>
      <c r="O846" s="667"/>
      <c r="P846" s="667"/>
      <c r="Q846" s="667"/>
    </row>
    <row r="847" ht="15.75" customHeight="1">
      <c r="B847" s="466"/>
      <c r="C847" s="667"/>
      <c r="D847" s="667"/>
      <c r="E847" s="668"/>
      <c r="F847" s="667"/>
      <c r="G847" s="667"/>
      <c r="H847" s="667"/>
      <c r="I847" s="667"/>
      <c r="J847" s="667"/>
      <c r="K847" s="667"/>
      <c r="L847" s="667"/>
      <c r="M847" s="667"/>
      <c r="N847" s="667"/>
      <c r="O847" s="667"/>
      <c r="P847" s="667"/>
      <c r="Q847" s="667"/>
    </row>
    <row r="848" ht="15.75" customHeight="1">
      <c r="B848" s="466"/>
      <c r="C848" s="667"/>
      <c r="D848" s="667"/>
      <c r="E848" s="668"/>
      <c r="F848" s="667"/>
      <c r="G848" s="667"/>
      <c r="H848" s="667"/>
      <c r="I848" s="667"/>
      <c r="J848" s="667"/>
      <c r="K848" s="667"/>
      <c r="L848" s="667"/>
      <c r="M848" s="667"/>
      <c r="N848" s="667"/>
      <c r="O848" s="667"/>
      <c r="P848" s="667"/>
      <c r="Q848" s="667"/>
    </row>
    <row r="849" ht="15.75" customHeight="1">
      <c r="B849" s="466"/>
      <c r="C849" s="667"/>
      <c r="D849" s="667"/>
      <c r="E849" s="668"/>
      <c r="F849" s="667"/>
      <c r="G849" s="667"/>
      <c r="H849" s="667"/>
      <c r="I849" s="667"/>
      <c r="J849" s="667"/>
      <c r="K849" s="667"/>
      <c r="L849" s="667"/>
      <c r="M849" s="667"/>
      <c r="N849" s="667"/>
      <c r="O849" s="667"/>
      <c r="P849" s="667"/>
      <c r="Q849" s="667"/>
    </row>
    <row r="850" ht="15.75" customHeight="1">
      <c r="B850" s="466"/>
      <c r="C850" s="667"/>
      <c r="D850" s="667"/>
      <c r="E850" s="668"/>
      <c r="F850" s="667"/>
      <c r="G850" s="667"/>
      <c r="H850" s="667"/>
      <c r="I850" s="667"/>
      <c r="J850" s="667"/>
      <c r="K850" s="667"/>
      <c r="L850" s="667"/>
      <c r="M850" s="667"/>
      <c r="N850" s="667"/>
      <c r="O850" s="667"/>
      <c r="P850" s="667"/>
      <c r="Q850" s="667"/>
    </row>
    <row r="851" ht="15.75" customHeight="1">
      <c r="B851" s="466"/>
      <c r="C851" s="667"/>
      <c r="D851" s="667"/>
      <c r="E851" s="668"/>
      <c r="F851" s="667"/>
      <c r="G851" s="667"/>
      <c r="H851" s="667"/>
      <c r="I851" s="667"/>
      <c r="J851" s="667"/>
      <c r="K851" s="667"/>
      <c r="L851" s="667"/>
      <c r="M851" s="667"/>
      <c r="N851" s="667"/>
      <c r="O851" s="667"/>
      <c r="P851" s="667"/>
      <c r="Q851" s="667"/>
    </row>
    <row r="852" ht="15.75" customHeight="1">
      <c r="B852" s="466"/>
      <c r="C852" s="667"/>
      <c r="D852" s="667"/>
      <c r="E852" s="668"/>
      <c r="F852" s="667"/>
      <c r="G852" s="667"/>
      <c r="H852" s="667"/>
      <c r="I852" s="667"/>
      <c r="J852" s="667"/>
      <c r="K852" s="667"/>
      <c r="L852" s="667"/>
      <c r="M852" s="667"/>
      <c r="N852" s="667"/>
      <c r="O852" s="667"/>
      <c r="P852" s="667"/>
      <c r="Q852" s="667"/>
    </row>
    <row r="853" ht="15.75" customHeight="1">
      <c r="B853" s="466"/>
      <c r="C853" s="667"/>
      <c r="D853" s="667"/>
      <c r="E853" s="668"/>
      <c r="F853" s="667"/>
      <c r="G853" s="667"/>
      <c r="H853" s="667"/>
      <c r="I853" s="667"/>
      <c r="J853" s="667"/>
      <c r="K853" s="667"/>
      <c r="L853" s="667"/>
      <c r="M853" s="667"/>
      <c r="N853" s="667"/>
      <c r="O853" s="667"/>
      <c r="P853" s="667"/>
      <c r="Q853" s="667"/>
    </row>
    <row r="854" ht="15.75" customHeight="1">
      <c r="B854" s="466"/>
      <c r="C854" s="667"/>
      <c r="D854" s="667"/>
      <c r="E854" s="668"/>
      <c r="F854" s="667"/>
      <c r="G854" s="667"/>
      <c r="H854" s="667"/>
      <c r="I854" s="667"/>
      <c r="J854" s="667"/>
      <c r="K854" s="667"/>
      <c r="L854" s="667"/>
      <c r="M854" s="667"/>
      <c r="N854" s="667"/>
      <c r="O854" s="667"/>
      <c r="P854" s="667"/>
      <c r="Q854" s="667"/>
    </row>
    <row r="855" ht="15.75" customHeight="1">
      <c r="B855" s="466"/>
      <c r="C855" s="667"/>
      <c r="D855" s="667"/>
      <c r="E855" s="668"/>
      <c r="F855" s="667"/>
      <c r="G855" s="667"/>
      <c r="H855" s="667"/>
      <c r="I855" s="667"/>
      <c r="J855" s="667"/>
      <c r="K855" s="667"/>
      <c r="L855" s="667"/>
      <c r="M855" s="667"/>
      <c r="N855" s="667"/>
      <c r="O855" s="667"/>
      <c r="P855" s="667"/>
      <c r="Q855" s="667"/>
    </row>
    <row r="856" ht="15.75" customHeight="1">
      <c r="B856" s="466"/>
      <c r="C856" s="667"/>
      <c r="D856" s="667"/>
      <c r="E856" s="668"/>
      <c r="F856" s="667"/>
      <c r="G856" s="667"/>
      <c r="H856" s="667"/>
      <c r="I856" s="667"/>
      <c r="J856" s="667"/>
      <c r="K856" s="667"/>
      <c r="L856" s="667"/>
      <c r="M856" s="667"/>
      <c r="N856" s="667"/>
      <c r="O856" s="667"/>
      <c r="P856" s="667"/>
      <c r="Q856" s="667"/>
    </row>
    <row r="857" ht="15.75" customHeight="1">
      <c r="B857" s="466"/>
      <c r="C857" s="667"/>
      <c r="D857" s="667"/>
      <c r="E857" s="668"/>
      <c r="F857" s="667"/>
      <c r="G857" s="667"/>
      <c r="H857" s="667"/>
      <c r="I857" s="667"/>
      <c r="J857" s="667"/>
      <c r="K857" s="667"/>
      <c r="L857" s="667"/>
      <c r="M857" s="667"/>
      <c r="N857" s="667"/>
      <c r="O857" s="667"/>
      <c r="P857" s="667"/>
      <c r="Q857" s="667"/>
    </row>
    <row r="858" ht="15.75" customHeight="1">
      <c r="B858" s="466"/>
      <c r="C858" s="667"/>
      <c r="D858" s="667"/>
      <c r="E858" s="668"/>
      <c r="F858" s="667"/>
      <c r="G858" s="667"/>
      <c r="H858" s="667"/>
      <c r="I858" s="667"/>
      <c r="J858" s="667"/>
      <c r="K858" s="667"/>
      <c r="L858" s="667"/>
      <c r="M858" s="667"/>
      <c r="N858" s="667"/>
      <c r="O858" s="667"/>
      <c r="P858" s="667"/>
      <c r="Q858" s="667"/>
    </row>
    <row r="859" ht="15.75" customHeight="1">
      <c r="B859" s="466"/>
      <c r="C859" s="667"/>
      <c r="D859" s="667"/>
      <c r="E859" s="668"/>
      <c r="F859" s="667"/>
      <c r="G859" s="667"/>
      <c r="H859" s="667"/>
      <c r="I859" s="667"/>
      <c r="J859" s="667"/>
      <c r="K859" s="667"/>
      <c r="L859" s="667"/>
      <c r="M859" s="667"/>
      <c r="N859" s="667"/>
      <c r="O859" s="667"/>
      <c r="P859" s="667"/>
      <c r="Q859" s="667"/>
    </row>
    <row r="860" ht="15.75" customHeight="1">
      <c r="B860" s="466"/>
      <c r="C860" s="667"/>
      <c r="D860" s="667"/>
      <c r="E860" s="668"/>
      <c r="F860" s="667"/>
      <c r="G860" s="667"/>
      <c r="H860" s="667"/>
      <c r="I860" s="667"/>
      <c r="J860" s="667"/>
      <c r="K860" s="667"/>
      <c r="L860" s="667"/>
      <c r="M860" s="667"/>
      <c r="N860" s="667"/>
      <c r="O860" s="667"/>
      <c r="P860" s="667"/>
      <c r="Q860" s="667"/>
    </row>
    <row r="861" ht="15.75" customHeight="1">
      <c r="B861" s="466"/>
      <c r="C861" s="667"/>
      <c r="D861" s="667"/>
      <c r="E861" s="668"/>
      <c r="F861" s="667"/>
      <c r="G861" s="667"/>
      <c r="H861" s="667"/>
      <c r="I861" s="667"/>
      <c r="J861" s="667"/>
      <c r="K861" s="667"/>
      <c r="L861" s="667"/>
      <c r="M861" s="667"/>
      <c r="N861" s="667"/>
      <c r="O861" s="667"/>
      <c r="P861" s="667"/>
      <c r="Q861" s="667"/>
    </row>
    <row r="862" ht="15.75" customHeight="1">
      <c r="B862" s="466"/>
      <c r="C862" s="667"/>
      <c r="D862" s="667"/>
      <c r="E862" s="668"/>
      <c r="F862" s="667"/>
      <c r="G862" s="667"/>
      <c r="H862" s="667"/>
      <c r="I862" s="667"/>
      <c r="J862" s="667"/>
      <c r="K862" s="667"/>
      <c r="L862" s="667"/>
      <c r="M862" s="667"/>
      <c r="N862" s="667"/>
      <c r="O862" s="667"/>
      <c r="P862" s="667"/>
      <c r="Q862" s="667"/>
    </row>
    <row r="863" ht="15.75" customHeight="1">
      <c r="B863" s="466"/>
      <c r="C863" s="667"/>
      <c r="D863" s="667"/>
      <c r="E863" s="668"/>
      <c r="F863" s="667"/>
      <c r="G863" s="667"/>
      <c r="H863" s="667"/>
      <c r="I863" s="667"/>
      <c r="J863" s="667"/>
      <c r="K863" s="667"/>
      <c r="L863" s="667"/>
      <c r="M863" s="667"/>
      <c r="N863" s="667"/>
      <c r="O863" s="667"/>
      <c r="P863" s="667"/>
      <c r="Q863" s="667"/>
    </row>
    <row r="864" ht="15.75" customHeight="1">
      <c r="B864" s="466"/>
      <c r="C864" s="667"/>
      <c r="D864" s="667"/>
      <c r="E864" s="668"/>
      <c r="F864" s="667"/>
      <c r="G864" s="667"/>
      <c r="H864" s="667"/>
      <c r="I864" s="667"/>
      <c r="J864" s="667"/>
      <c r="K864" s="667"/>
      <c r="L864" s="667"/>
      <c r="M864" s="667"/>
      <c r="N864" s="667"/>
      <c r="O864" s="667"/>
      <c r="P864" s="667"/>
      <c r="Q864" s="667"/>
    </row>
    <row r="865" ht="15.75" customHeight="1">
      <c r="B865" s="466"/>
      <c r="C865" s="667"/>
      <c r="D865" s="667"/>
      <c r="E865" s="668"/>
      <c r="F865" s="667"/>
      <c r="G865" s="667"/>
      <c r="H865" s="667"/>
      <c r="I865" s="667"/>
      <c r="J865" s="667"/>
      <c r="K865" s="667"/>
      <c r="L865" s="667"/>
      <c r="M865" s="667"/>
      <c r="N865" s="667"/>
      <c r="O865" s="667"/>
      <c r="P865" s="667"/>
      <c r="Q865" s="667"/>
    </row>
    <row r="866" ht="15.75" customHeight="1">
      <c r="B866" s="466"/>
      <c r="C866" s="667"/>
      <c r="D866" s="667"/>
      <c r="E866" s="668"/>
      <c r="F866" s="667"/>
      <c r="G866" s="667"/>
      <c r="H866" s="667"/>
      <c r="I866" s="667"/>
      <c r="J866" s="667"/>
      <c r="K866" s="667"/>
      <c r="L866" s="667"/>
      <c r="M866" s="667"/>
      <c r="N866" s="667"/>
      <c r="O866" s="667"/>
      <c r="P866" s="667"/>
      <c r="Q866" s="667"/>
    </row>
    <row r="867" ht="15.75" customHeight="1">
      <c r="B867" s="466"/>
      <c r="C867" s="667"/>
      <c r="D867" s="667"/>
      <c r="E867" s="668"/>
      <c r="F867" s="667"/>
      <c r="G867" s="667"/>
      <c r="H867" s="667"/>
      <c r="I867" s="667"/>
      <c r="J867" s="667"/>
      <c r="K867" s="667"/>
      <c r="L867" s="667"/>
      <c r="M867" s="667"/>
      <c r="N867" s="667"/>
      <c r="O867" s="667"/>
      <c r="P867" s="667"/>
      <c r="Q867" s="667"/>
    </row>
    <row r="868" ht="15.75" customHeight="1">
      <c r="B868" s="466"/>
      <c r="C868" s="667"/>
      <c r="D868" s="667"/>
      <c r="E868" s="668"/>
      <c r="F868" s="667"/>
      <c r="G868" s="667"/>
      <c r="H868" s="667"/>
      <c r="I868" s="667"/>
      <c r="J868" s="667"/>
      <c r="K868" s="667"/>
      <c r="L868" s="667"/>
      <c r="M868" s="667"/>
      <c r="N868" s="667"/>
      <c r="O868" s="667"/>
      <c r="P868" s="667"/>
      <c r="Q868" s="667"/>
    </row>
    <row r="869" ht="15.75" customHeight="1">
      <c r="B869" s="466"/>
      <c r="C869" s="667"/>
      <c r="D869" s="667"/>
      <c r="E869" s="668"/>
      <c r="F869" s="667"/>
      <c r="G869" s="667"/>
      <c r="H869" s="667"/>
      <c r="I869" s="667"/>
      <c r="J869" s="667"/>
      <c r="K869" s="667"/>
      <c r="L869" s="667"/>
      <c r="M869" s="667"/>
      <c r="N869" s="667"/>
      <c r="O869" s="667"/>
      <c r="P869" s="667"/>
      <c r="Q869" s="667"/>
    </row>
    <row r="870" ht="15.75" customHeight="1">
      <c r="B870" s="466"/>
      <c r="C870" s="667"/>
      <c r="D870" s="667"/>
      <c r="E870" s="668"/>
      <c r="F870" s="667"/>
      <c r="G870" s="667"/>
      <c r="H870" s="667"/>
      <c r="I870" s="667"/>
      <c r="J870" s="667"/>
      <c r="K870" s="667"/>
      <c r="L870" s="667"/>
      <c r="M870" s="667"/>
      <c r="N870" s="667"/>
      <c r="O870" s="667"/>
      <c r="P870" s="667"/>
      <c r="Q870" s="667"/>
    </row>
    <row r="871" ht="15.75" customHeight="1">
      <c r="B871" s="466"/>
      <c r="C871" s="667"/>
      <c r="D871" s="667"/>
      <c r="E871" s="668"/>
      <c r="F871" s="667"/>
      <c r="G871" s="667"/>
      <c r="H871" s="667"/>
      <c r="I871" s="667"/>
      <c r="J871" s="667"/>
      <c r="K871" s="667"/>
      <c r="L871" s="667"/>
      <c r="M871" s="667"/>
      <c r="N871" s="667"/>
      <c r="O871" s="667"/>
      <c r="P871" s="667"/>
      <c r="Q871" s="667"/>
    </row>
    <row r="872" ht="15.75" customHeight="1">
      <c r="B872" s="466"/>
      <c r="C872" s="667"/>
      <c r="D872" s="667"/>
      <c r="E872" s="668"/>
      <c r="F872" s="667"/>
      <c r="G872" s="667"/>
      <c r="H872" s="667"/>
      <c r="I872" s="667"/>
      <c r="J872" s="667"/>
      <c r="K872" s="667"/>
      <c r="L872" s="667"/>
      <c r="M872" s="667"/>
      <c r="N872" s="667"/>
      <c r="O872" s="667"/>
      <c r="P872" s="667"/>
      <c r="Q872" s="667"/>
    </row>
    <row r="873" ht="15.75" customHeight="1">
      <c r="B873" s="466"/>
      <c r="C873" s="667"/>
      <c r="D873" s="667"/>
      <c r="E873" s="668"/>
      <c r="F873" s="667"/>
      <c r="G873" s="667"/>
      <c r="H873" s="667"/>
      <c r="I873" s="667"/>
      <c r="J873" s="667"/>
      <c r="K873" s="667"/>
      <c r="L873" s="667"/>
      <c r="M873" s="667"/>
      <c r="N873" s="667"/>
      <c r="O873" s="667"/>
      <c r="P873" s="667"/>
      <c r="Q873" s="667"/>
    </row>
    <row r="874" ht="15.75" customHeight="1">
      <c r="B874" s="466"/>
      <c r="C874" s="667"/>
      <c r="D874" s="667"/>
      <c r="E874" s="668"/>
      <c r="F874" s="667"/>
      <c r="G874" s="667"/>
      <c r="H874" s="667"/>
      <c r="I874" s="667"/>
      <c r="J874" s="667"/>
      <c r="K874" s="667"/>
      <c r="L874" s="667"/>
      <c r="M874" s="667"/>
      <c r="N874" s="667"/>
      <c r="O874" s="667"/>
      <c r="P874" s="667"/>
      <c r="Q874" s="667"/>
    </row>
    <row r="875" ht="15.75" customHeight="1">
      <c r="B875" s="466"/>
      <c r="C875" s="667"/>
      <c r="D875" s="667"/>
      <c r="E875" s="668"/>
      <c r="F875" s="667"/>
      <c r="G875" s="667"/>
      <c r="H875" s="667"/>
      <c r="I875" s="667"/>
      <c r="J875" s="667"/>
      <c r="K875" s="667"/>
      <c r="L875" s="667"/>
      <c r="M875" s="667"/>
      <c r="N875" s="667"/>
      <c r="O875" s="667"/>
      <c r="P875" s="667"/>
      <c r="Q875" s="667"/>
    </row>
    <row r="876" ht="15.75" customHeight="1">
      <c r="B876" s="466"/>
      <c r="C876" s="667"/>
      <c r="D876" s="667"/>
      <c r="E876" s="668"/>
      <c r="F876" s="667"/>
      <c r="G876" s="667"/>
      <c r="H876" s="667"/>
      <c r="I876" s="667"/>
      <c r="J876" s="667"/>
      <c r="K876" s="667"/>
      <c r="L876" s="667"/>
      <c r="M876" s="667"/>
      <c r="N876" s="667"/>
      <c r="O876" s="667"/>
      <c r="P876" s="667"/>
      <c r="Q876" s="667"/>
    </row>
    <row r="877" ht="15.75" customHeight="1">
      <c r="B877" s="466"/>
      <c r="C877" s="667"/>
      <c r="D877" s="667"/>
      <c r="E877" s="668"/>
      <c r="F877" s="667"/>
      <c r="G877" s="667"/>
      <c r="H877" s="667"/>
      <c r="I877" s="667"/>
      <c r="J877" s="667"/>
      <c r="K877" s="667"/>
      <c r="L877" s="667"/>
      <c r="M877" s="667"/>
      <c r="N877" s="667"/>
      <c r="O877" s="667"/>
      <c r="P877" s="667"/>
      <c r="Q877" s="667"/>
    </row>
    <row r="878" ht="15.75" customHeight="1">
      <c r="B878" s="466"/>
      <c r="C878" s="667"/>
      <c r="D878" s="667"/>
      <c r="E878" s="668"/>
      <c r="F878" s="667"/>
      <c r="G878" s="667"/>
      <c r="H878" s="667"/>
      <c r="I878" s="667"/>
      <c r="J878" s="667"/>
      <c r="K878" s="667"/>
      <c r="L878" s="667"/>
      <c r="M878" s="667"/>
      <c r="N878" s="667"/>
      <c r="O878" s="667"/>
      <c r="P878" s="667"/>
      <c r="Q878" s="667"/>
    </row>
    <row r="879" ht="15.75" customHeight="1">
      <c r="B879" s="466"/>
      <c r="C879" s="667"/>
      <c r="D879" s="667"/>
      <c r="E879" s="668"/>
      <c r="F879" s="667"/>
      <c r="G879" s="667"/>
      <c r="H879" s="667"/>
      <c r="I879" s="667"/>
      <c r="J879" s="667"/>
      <c r="K879" s="667"/>
      <c r="L879" s="667"/>
      <c r="M879" s="667"/>
      <c r="N879" s="667"/>
      <c r="O879" s="667"/>
      <c r="P879" s="667"/>
      <c r="Q879" s="667"/>
    </row>
    <row r="880" ht="15.75" customHeight="1">
      <c r="B880" s="466"/>
      <c r="C880" s="667"/>
      <c r="D880" s="667"/>
      <c r="E880" s="668"/>
      <c r="F880" s="667"/>
      <c r="G880" s="667"/>
      <c r="H880" s="667"/>
      <c r="I880" s="667"/>
      <c r="J880" s="667"/>
      <c r="K880" s="667"/>
      <c r="L880" s="667"/>
      <c r="M880" s="667"/>
      <c r="N880" s="667"/>
      <c r="O880" s="667"/>
      <c r="P880" s="667"/>
      <c r="Q880" s="667"/>
    </row>
    <row r="881" ht="15.75" customHeight="1">
      <c r="B881" s="466"/>
      <c r="C881" s="667"/>
      <c r="D881" s="667"/>
      <c r="E881" s="668"/>
      <c r="F881" s="667"/>
      <c r="G881" s="667"/>
      <c r="H881" s="667"/>
      <c r="I881" s="667"/>
      <c r="J881" s="667"/>
      <c r="K881" s="667"/>
      <c r="L881" s="667"/>
      <c r="M881" s="667"/>
      <c r="N881" s="667"/>
      <c r="O881" s="667"/>
      <c r="P881" s="667"/>
      <c r="Q881" s="667"/>
    </row>
    <row r="882" ht="15.75" customHeight="1">
      <c r="B882" s="466"/>
      <c r="C882" s="667"/>
      <c r="D882" s="667"/>
      <c r="E882" s="668"/>
      <c r="F882" s="667"/>
      <c r="G882" s="667"/>
      <c r="H882" s="667"/>
      <c r="I882" s="667"/>
      <c r="J882" s="667"/>
      <c r="K882" s="667"/>
      <c r="L882" s="667"/>
      <c r="M882" s="667"/>
      <c r="N882" s="667"/>
      <c r="O882" s="667"/>
      <c r="P882" s="667"/>
      <c r="Q882" s="667"/>
    </row>
    <row r="883" ht="15.75" customHeight="1">
      <c r="B883" s="466"/>
      <c r="C883" s="667"/>
      <c r="D883" s="667"/>
      <c r="E883" s="668"/>
      <c r="F883" s="667"/>
      <c r="G883" s="667"/>
      <c r="H883" s="667"/>
      <c r="I883" s="667"/>
      <c r="J883" s="667"/>
      <c r="K883" s="667"/>
      <c r="L883" s="667"/>
      <c r="M883" s="667"/>
      <c r="N883" s="667"/>
      <c r="O883" s="667"/>
      <c r="P883" s="667"/>
      <c r="Q883" s="667"/>
    </row>
    <row r="884" ht="15.75" customHeight="1">
      <c r="B884" s="466"/>
      <c r="C884" s="667"/>
      <c r="D884" s="667"/>
      <c r="E884" s="668"/>
      <c r="F884" s="667"/>
      <c r="G884" s="667"/>
      <c r="H884" s="667"/>
      <c r="I884" s="667"/>
      <c r="J884" s="667"/>
      <c r="K884" s="667"/>
      <c r="L884" s="667"/>
      <c r="M884" s="667"/>
      <c r="N884" s="667"/>
      <c r="O884" s="667"/>
      <c r="P884" s="667"/>
      <c r="Q884" s="667"/>
    </row>
    <row r="885" ht="15.75" customHeight="1">
      <c r="B885" s="466"/>
      <c r="C885" s="667"/>
      <c r="D885" s="667"/>
      <c r="E885" s="668"/>
      <c r="F885" s="667"/>
      <c r="G885" s="667"/>
      <c r="H885" s="667"/>
      <c r="I885" s="667"/>
      <c r="J885" s="667"/>
      <c r="K885" s="667"/>
      <c r="L885" s="667"/>
      <c r="M885" s="667"/>
      <c r="N885" s="667"/>
      <c r="O885" s="667"/>
      <c r="P885" s="667"/>
      <c r="Q885" s="667"/>
    </row>
    <row r="886" ht="15.75" customHeight="1">
      <c r="B886" s="466"/>
      <c r="C886" s="667"/>
      <c r="D886" s="667"/>
      <c r="E886" s="668"/>
      <c r="F886" s="667"/>
      <c r="G886" s="667"/>
      <c r="H886" s="667"/>
      <c r="I886" s="667"/>
      <c r="J886" s="667"/>
      <c r="K886" s="667"/>
      <c r="L886" s="667"/>
      <c r="M886" s="667"/>
      <c r="N886" s="667"/>
      <c r="O886" s="667"/>
      <c r="P886" s="667"/>
      <c r="Q886" s="667"/>
    </row>
    <row r="887" ht="15.75" customHeight="1">
      <c r="B887" s="466"/>
      <c r="C887" s="667"/>
      <c r="D887" s="667"/>
      <c r="E887" s="668"/>
      <c r="F887" s="667"/>
      <c r="G887" s="667"/>
      <c r="H887" s="667"/>
      <c r="I887" s="667"/>
      <c r="J887" s="667"/>
      <c r="K887" s="667"/>
      <c r="L887" s="667"/>
      <c r="M887" s="667"/>
      <c r="N887" s="667"/>
      <c r="O887" s="667"/>
      <c r="P887" s="667"/>
      <c r="Q887" s="667"/>
    </row>
    <row r="888" ht="15.75" customHeight="1">
      <c r="B888" s="466"/>
      <c r="C888" s="667"/>
      <c r="D888" s="667"/>
      <c r="E888" s="668"/>
      <c r="F888" s="667"/>
      <c r="G888" s="667"/>
      <c r="H888" s="667"/>
      <c r="I888" s="667"/>
      <c r="J888" s="667"/>
      <c r="K888" s="667"/>
      <c r="L888" s="667"/>
      <c r="M888" s="667"/>
      <c r="N888" s="667"/>
      <c r="O888" s="667"/>
      <c r="P888" s="667"/>
      <c r="Q888" s="667"/>
    </row>
    <row r="889" ht="15.75" customHeight="1">
      <c r="B889" s="466"/>
      <c r="C889" s="667"/>
      <c r="D889" s="667"/>
      <c r="E889" s="668"/>
      <c r="F889" s="667"/>
      <c r="G889" s="667"/>
      <c r="H889" s="667"/>
      <c r="I889" s="667"/>
      <c r="J889" s="667"/>
      <c r="K889" s="667"/>
      <c r="L889" s="667"/>
      <c r="M889" s="667"/>
      <c r="N889" s="667"/>
      <c r="O889" s="667"/>
      <c r="P889" s="667"/>
      <c r="Q889" s="667"/>
    </row>
    <row r="890" ht="15.75" customHeight="1">
      <c r="B890" s="466"/>
      <c r="C890" s="667"/>
      <c r="D890" s="667"/>
      <c r="E890" s="668"/>
      <c r="F890" s="667"/>
      <c r="G890" s="667"/>
      <c r="H890" s="667"/>
      <c r="I890" s="667"/>
      <c r="J890" s="667"/>
      <c r="K890" s="667"/>
      <c r="L890" s="667"/>
      <c r="M890" s="667"/>
      <c r="N890" s="667"/>
      <c r="O890" s="667"/>
      <c r="P890" s="667"/>
      <c r="Q890" s="667"/>
    </row>
    <row r="891" ht="15.75" customHeight="1">
      <c r="B891" s="466"/>
      <c r="C891" s="667"/>
      <c r="D891" s="667"/>
      <c r="E891" s="668"/>
      <c r="F891" s="667"/>
      <c r="G891" s="667"/>
      <c r="H891" s="667"/>
      <c r="I891" s="667"/>
      <c r="J891" s="667"/>
      <c r="K891" s="667"/>
      <c r="L891" s="667"/>
      <c r="M891" s="667"/>
      <c r="N891" s="667"/>
      <c r="O891" s="667"/>
      <c r="P891" s="667"/>
      <c r="Q891" s="667"/>
    </row>
    <row r="892" ht="15.75" customHeight="1">
      <c r="B892" s="466"/>
      <c r="C892" s="667"/>
      <c r="D892" s="667"/>
      <c r="E892" s="668"/>
      <c r="F892" s="667"/>
      <c r="G892" s="667"/>
      <c r="H892" s="667"/>
      <c r="I892" s="667"/>
      <c r="J892" s="667"/>
      <c r="K892" s="667"/>
      <c r="L892" s="667"/>
      <c r="M892" s="667"/>
      <c r="N892" s="667"/>
      <c r="O892" s="667"/>
      <c r="P892" s="667"/>
      <c r="Q892" s="667"/>
    </row>
    <row r="893" ht="15.75" customHeight="1">
      <c r="B893" s="466"/>
      <c r="C893" s="667"/>
      <c r="D893" s="667"/>
      <c r="E893" s="668"/>
      <c r="F893" s="667"/>
      <c r="G893" s="667"/>
      <c r="H893" s="667"/>
      <c r="I893" s="667"/>
      <c r="J893" s="667"/>
      <c r="K893" s="667"/>
      <c r="L893" s="667"/>
      <c r="M893" s="667"/>
      <c r="N893" s="667"/>
      <c r="O893" s="667"/>
      <c r="P893" s="667"/>
      <c r="Q893" s="667"/>
    </row>
    <row r="894" ht="15.75" customHeight="1">
      <c r="B894" s="466"/>
      <c r="C894" s="667"/>
      <c r="D894" s="667"/>
      <c r="E894" s="668"/>
      <c r="F894" s="667"/>
      <c r="G894" s="667"/>
      <c r="H894" s="667"/>
      <c r="I894" s="667"/>
      <c r="J894" s="667"/>
      <c r="K894" s="667"/>
      <c r="L894" s="667"/>
      <c r="M894" s="667"/>
      <c r="N894" s="667"/>
      <c r="O894" s="667"/>
      <c r="P894" s="667"/>
      <c r="Q894" s="667"/>
    </row>
    <row r="895" ht="15.75" customHeight="1">
      <c r="B895" s="466"/>
      <c r="C895" s="667"/>
      <c r="D895" s="667"/>
      <c r="E895" s="668"/>
      <c r="F895" s="667"/>
      <c r="G895" s="667"/>
      <c r="H895" s="667"/>
      <c r="I895" s="667"/>
      <c r="J895" s="667"/>
      <c r="K895" s="667"/>
      <c r="L895" s="667"/>
      <c r="M895" s="667"/>
      <c r="N895" s="667"/>
      <c r="O895" s="667"/>
      <c r="P895" s="667"/>
      <c r="Q895" s="667"/>
    </row>
    <row r="896" ht="15.75" customHeight="1">
      <c r="B896" s="466"/>
      <c r="C896" s="667"/>
      <c r="D896" s="667"/>
      <c r="E896" s="668"/>
      <c r="F896" s="667"/>
      <c r="G896" s="667"/>
      <c r="H896" s="667"/>
      <c r="I896" s="667"/>
      <c r="J896" s="667"/>
      <c r="K896" s="667"/>
      <c r="L896" s="667"/>
      <c r="M896" s="667"/>
      <c r="N896" s="667"/>
      <c r="O896" s="667"/>
      <c r="P896" s="667"/>
      <c r="Q896" s="667"/>
    </row>
    <row r="897" ht="15.75" customHeight="1">
      <c r="B897" s="466"/>
      <c r="C897" s="667"/>
      <c r="D897" s="667"/>
      <c r="E897" s="668"/>
      <c r="F897" s="667"/>
      <c r="G897" s="667"/>
      <c r="H897" s="667"/>
      <c r="I897" s="667"/>
      <c r="J897" s="667"/>
      <c r="K897" s="667"/>
      <c r="L897" s="667"/>
      <c r="M897" s="667"/>
      <c r="N897" s="667"/>
      <c r="O897" s="667"/>
      <c r="P897" s="667"/>
      <c r="Q897" s="667"/>
    </row>
    <row r="898" ht="15.75" customHeight="1">
      <c r="B898" s="466"/>
      <c r="C898" s="667"/>
      <c r="D898" s="667"/>
      <c r="E898" s="668"/>
      <c r="F898" s="667"/>
      <c r="G898" s="667"/>
      <c r="H898" s="667"/>
      <c r="I898" s="667"/>
      <c r="J898" s="667"/>
      <c r="K898" s="667"/>
      <c r="L898" s="667"/>
      <c r="M898" s="667"/>
      <c r="N898" s="667"/>
      <c r="O898" s="667"/>
      <c r="P898" s="667"/>
      <c r="Q898" s="667"/>
    </row>
    <row r="899" ht="15.75" customHeight="1">
      <c r="B899" s="466"/>
      <c r="C899" s="667"/>
      <c r="D899" s="667"/>
      <c r="E899" s="668"/>
      <c r="F899" s="667"/>
      <c r="G899" s="667"/>
      <c r="H899" s="667"/>
      <c r="I899" s="667"/>
      <c r="J899" s="667"/>
      <c r="K899" s="667"/>
      <c r="L899" s="667"/>
      <c r="M899" s="667"/>
      <c r="N899" s="667"/>
      <c r="O899" s="667"/>
      <c r="P899" s="667"/>
      <c r="Q899" s="667"/>
    </row>
    <row r="900" ht="15.75" customHeight="1">
      <c r="B900" s="466"/>
      <c r="C900" s="667"/>
      <c r="D900" s="667"/>
      <c r="E900" s="668"/>
      <c r="F900" s="667"/>
      <c r="G900" s="667"/>
      <c r="H900" s="667"/>
      <c r="I900" s="667"/>
      <c r="J900" s="667"/>
      <c r="K900" s="667"/>
      <c r="L900" s="667"/>
      <c r="M900" s="667"/>
      <c r="N900" s="667"/>
      <c r="O900" s="667"/>
      <c r="P900" s="667"/>
      <c r="Q900" s="667"/>
    </row>
    <row r="901" ht="15.75" customHeight="1">
      <c r="B901" s="466"/>
      <c r="C901" s="667"/>
      <c r="D901" s="667"/>
      <c r="E901" s="668"/>
      <c r="F901" s="667"/>
      <c r="G901" s="667"/>
      <c r="H901" s="667"/>
      <c r="I901" s="667"/>
      <c r="J901" s="667"/>
      <c r="K901" s="667"/>
      <c r="L901" s="667"/>
      <c r="M901" s="667"/>
      <c r="N901" s="667"/>
      <c r="O901" s="667"/>
      <c r="P901" s="667"/>
      <c r="Q901" s="667"/>
    </row>
    <row r="902" ht="15.75" customHeight="1">
      <c r="B902" s="466"/>
      <c r="C902" s="667"/>
      <c r="D902" s="667"/>
      <c r="E902" s="668"/>
      <c r="F902" s="667"/>
      <c r="G902" s="667"/>
      <c r="H902" s="667"/>
      <c r="I902" s="667"/>
      <c r="J902" s="667"/>
      <c r="K902" s="667"/>
      <c r="L902" s="667"/>
      <c r="M902" s="667"/>
      <c r="N902" s="667"/>
      <c r="O902" s="667"/>
      <c r="P902" s="667"/>
      <c r="Q902" s="667"/>
    </row>
    <row r="903" ht="15.75" customHeight="1">
      <c r="B903" s="466"/>
      <c r="C903" s="667"/>
      <c r="D903" s="667"/>
      <c r="E903" s="668"/>
      <c r="F903" s="667"/>
      <c r="G903" s="667"/>
      <c r="H903" s="667"/>
      <c r="I903" s="667"/>
      <c r="J903" s="667"/>
      <c r="K903" s="667"/>
      <c r="L903" s="667"/>
      <c r="M903" s="667"/>
      <c r="N903" s="667"/>
      <c r="O903" s="667"/>
      <c r="P903" s="667"/>
      <c r="Q903" s="667"/>
    </row>
    <row r="904" ht="15.75" customHeight="1">
      <c r="B904" s="466"/>
      <c r="C904" s="667"/>
      <c r="D904" s="667"/>
      <c r="E904" s="668"/>
      <c r="F904" s="667"/>
      <c r="G904" s="667"/>
      <c r="H904" s="667"/>
      <c r="I904" s="667"/>
      <c r="J904" s="667"/>
      <c r="K904" s="667"/>
      <c r="L904" s="667"/>
      <c r="M904" s="667"/>
      <c r="N904" s="667"/>
      <c r="O904" s="667"/>
      <c r="P904" s="667"/>
      <c r="Q904" s="667"/>
    </row>
    <row r="905" ht="15.75" customHeight="1">
      <c r="B905" s="466"/>
      <c r="C905" s="667"/>
      <c r="D905" s="667"/>
      <c r="E905" s="668"/>
      <c r="F905" s="667"/>
      <c r="G905" s="667"/>
      <c r="H905" s="667"/>
      <c r="I905" s="667"/>
      <c r="J905" s="667"/>
      <c r="K905" s="667"/>
      <c r="L905" s="667"/>
      <c r="M905" s="667"/>
      <c r="N905" s="667"/>
      <c r="O905" s="667"/>
      <c r="P905" s="667"/>
      <c r="Q905" s="667"/>
    </row>
    <row r="906" ht="15.75" customHeight="1">
      <c r="B906" s="466"/>
      <c r="C906" s="667"/>
      <c r="D906" s="667"/>
      <c r="E906" s="668"/>
      <c r="F906" s="667"/>
      <c r="G906" s="667"/>
      <c r="H906" s="667"/>
      <c r="I906" s="667"/>
      <c r="J906" s="667"/>
      <c r="K906" s="667"/>
      <c r="L906" s="667"/>
      <c r="M906" s="667"/>
      <c r="N906" s="667"/>
      <c r="O906" s="667"/>
      <c r="P906" s="667"/>
      <c r="Q906" s="667"/>
    </row>
    <row r="907" ht="15.75" customHeight="1">
      <c r="B907" s="466"/>
      <c r="C907" s="667"/>
      <c r="D907" s="667"/>
      <c r="E907" s="668"/>
      <c r="F907" s="667"/>
      <c r="G907" s="667"/>
      <c r="H907" s="667"/>
      <c r="I907" s="667"/>
      <c r="J907" s="667"/>
      <c r="K907" s="667"/>
      <c r="L907" s="667"/>
      <c r="M907" s="667"/>
      <c r="N907" s="667"/>
      <c r="O907" s="667"/>
      <c r="P907" s="667"/>
      <c r="Q907" s="667"/>
    </row>
    <row r="908" ht="15.75" customHeight="1">
      <c r="B908" s="466"/>
      <c r="C908" s="667"/>
      <c r="D908" s="667"/>
      <c r="E908" s="668"/>
      <c r="F908" s="667"/>
      <c r="G908" s="667"/>
      <c r="H908" s="667"/>
      <c r="I908" s="667"/>
      <c r="J908" s="667"/>
      <c r="K908" s="667"/>
      <c r="L908" s="667"/>
      <c r="M908" s="667"/>
      <c r="N908" s="667"/>
      <c r="O908" s="667"/>
      <c r="P908" s="667"/>
      <c r="Q908" s="667"/>
    </row>
    <row r="909" ht="15.75" customHeight="1">
      <c r="B909" s="466"/>
      <c r="C909" s="667"/>
      <c r="D909" s="667"/>
      <c r="E909" s="668"/>
      <c r="F909" s="667"/>
      <c r="G909" s="667"/>
      <c r="H909" s="667"/>
      <c r="I909" s="667"/>
      <c r="J909" s="667"/>
      <c r="K909" s="667"/>
      <c r="L909" s="667"/>
      <c r="M909" s="667"/>
      <c r="N909" s="667"/>
      <c r="O909" s="667"/>
      <c r="P909" s="667"/>
      <c r="Q909" s="667"/>
    </row>
    <row r="910" ht="15.75" customHeight="1">
      <c r="B910" s="466"/>
      <c r="C910" s="667"/>
      <c r="D910" s="667"/>
      <c r="E910" s="668"/>
      <c r="F910" s="667"/>
      <c r="G910" s="667"/>
      <c r="H910" s="667"/>
      <c r="I910" s="667"/>
      <c r="J910" s="667"/>
      <c r="K910" s="667"/>
      <c r="L910" s="667"/>
      <c r="M910" s="667"/>
      <c r="N910" s="667"/>
      <c r="O910" s="667"/>
      <c r="P910" s="667"/>
      <c r="Q910" s="667"/>
    </row>
    <row r="911" ht="15.75" customHeight="1">
      <c r="B911" s="466"/>
      <c r="C911" s="667"/>
      <c r="D911" s="667"/>
      <c r="E911" s="668"/>
      <c r="F911" s="667"/>
      <c r="G911" s="667"/>
      <c r="H911" s="667"/>
      <c r="I911" s="667"/>
      <c r="J911" s="667"/>
      <c r="K911" s="667"/>
      <c r="L911" s="667"/>
      <c r="M911" s="667"/>
      <c r="N911" s="667"/>
      <c r="O911" s="667"/>
      <c r="P911" s="667"/>
      <c r="Q911" s="667"/>
    </row>
    <row r="912" ht="15.75" customHeight="1">
      <c r="B912" s="466"/>
      <c r="C912" s="667"/>
      <c r="D912" s="667"/>
      <c r="E912" s="668"/>
      <c r="F912" s="667"/>
      <c r="G912" s="667"/>
      <c r="H912" s="667"/>
      <c r="I912" s="667"/>
      <c r="J912" s="667"/>
      <c r="K912" s="667"/>
      <c r="L912" s="667"/>
      <c r="M912" s="667"/>
      <c r="N912" s="667"/>
      <c r="O912" s="667"/>
      <c r="P912" s="667"/>
      <c r="Q912" s="667"/>
    </row>
    <row r="913" ht="15.75" customHeight="1">
      <c r="B913" s="466"/>
      <c r="C913" s="667"/>
      <c r="D913" s="667"/>
      <c r="E913" s="668"/>
      <c r="F913" s="667"/>
      <c r="G913" s="667"/>
      <c r="H913" s="667"/>
      <c r="I913" s="667"/>
      <c r="J913" s="667"/>
      <c r="K913" s="667"/>
      <c r="L913" s="667"/>
      <c r="M913" s="667"/>
      <c r="N913" s="667"/>
      <c r="O913" s="667"/>
      <c r="P913" s="667"/>
      <c r="Q913" s="667"/>
    </row>
    <row r="914" ht="15.75" customHeight="1">
      <c r="B914" s="466"/>
      <c r="C914" s="667"/>
      <c r="D914" s="667"/>
      <c r="E914" s="668"/>
      <c r="F914" s="667"/>
      <c r="G914" s="667"/>
      <c r="H914" s="667"/>
      <c r="I914" s="667"/>
      <c r="J914" s="667"/>
      <c r="K914" s="667"/>
      <c r="L914" s="667"/>
      <c r="M914" s="667"/>
      <c r="N914" s="667"/>
      <c r="O914" s="667"/>
      <c r="P914" s="667"/>
      <c r="Q914" s="667"/>
    </row>
    <row r="915" ht="15.75" customHeight="1">
      <c r="B915" s="466"/>
      <c r="C915" s="667"/>
      <c r="D915" s="667"/>
      <c r="E915" s="668"/>
      <c r="F915" s="667"/>
      <c r="G915" s="667"/>
      <c r="H915" s="667"/>
      <c r="I915" s="667"/>
      <c r="J915" s="667"/>
      <c r="K915" s="667"/>
      <c r="L915" s="667"/>
      <c r="M915" s="667"/>
      <c r="N915" s="667"/>
      <c r="O915" s="667"/>
      <c r="P915" s="667"/>
      <c r="Q915" s="667"/>
    </row>
    <row r="916" ht="15.75" customHeight="1">
      <c r="B916" s="466"/>
      <c r="C916" s="667"/>
      <c r="D916" s="667"/>
      <c r="E916" s="668"/>
      <c r="F916" s="667"/>
      <c r="G916" s="667"/>
      <c r="H916" s="667"/>
      <c r="I916" s="667"/>
      <c r="J916" s="667"/>
      <c r="K916" s="667"/>
      <c r="L916" s="667"/>
      <c r="M916" s="667"/>
      <c r="N916" s="667"/>
      <c r="O916" s="667"/>
      <c r="P916" s="667"/>
      <c r="Q916" s="667"/>
    </row>
    <row r="917" ht="15.75" customHeight="1">
      <c r="B917" s="466"/>
      <c r="C917" s="667"/>
      <c r="D917" s="667"/>
      <c r="E917" s="668"/>
      <c r="F917" s="667"/>
      <c r="G917" s="667"/>
      <c r="H917" s="667"/>
      <c r="I917" s="667"/>
      <c r="J917" s="667"/>
      <c r="K917" s="667"/>
      <c r="L917" s="667"/>
      <c r="M917" s="667"/>
      <c r="N917" s="667"/>
      <c r="O917" s="667"/>
      <c r="P917" s="667"/>
      <c r="Q917" s="667"/>
    </row>
    <row r="918" ht="15.75" customHeight="1">
      <c r="B918" s="466"/>
      <c r="C918" s="667"/>
      <c r="D918" s="667"/>
      <c r="E918" s="668"/>
      <c r="F918" s="667"/>
      <c r="G918" s="667"/>
      <c r="H918" s="667"/>
      <c r="I918" s="667"/>
      <c r="J918" s="667"/>
      <c r="K918" s="667"/>
      <c r="L918" s="667"/>
      <c r="M918" s="667"/>
      <c r="N918" s="667"/>
      <c r="O918" s="667"/>
      <c r="P918" s="667"/>
      <c r="Q918" s="667"/>
    </row>
    <row r="919" ht="15.75" customHeight="1">
      <c r="B919" s="466"/>
      <c r="C919" s="667"/>
      <c r="D919" s="667"/>
      <c r="E919" s="668"/>
      <c r="F919" s="667"/>
      <c r="G919" s="667"/>
      <c r="H919" s="667"/>
      <c r="I919" s="667"/>
      <c r="J919" s="667"/>
      <c r="K919" s="667"/>
      <c r="L919" s="667"/>
      <c r="M919" s="667"/>
      <c r="N919" s="667"/>
      <c r="O919" s="667"/>
      <c r="P919" s="667"/>
      <c r="Q919" s="667"/>
    </row>
    <row r="920" ht="15.75" customHeight="1">
      <c r="B920" s="466"/>
      <c r="C920" s="667"/>
      <c r="D920" s="667"/>
      <c r="E920" s="668"/>
      <c r="F920" s="667"/>
      <c r="G920" s="667"/>
      <c r="H920" s="667"/>
      <c r="I920" s="667"/>
      <c r="J920" s="667"/>
      <c r="K920" s="667"/>
      <c r="L920" s="667"/>
      <c r="M920" s="667"/>
      <c r="N920" s="667"/>
      <c r="O920" s="667"/>
      <c r="P920" s="667"/>
      <c r="Q920" s="667"/>
    </row>
    <row r="921" ht="15.75" customHeight="1">
      <c r="B921" s="466"/>
      <c r="C921" s="667"/>
      <c r="D921" s="667"/>
      <c r="E921" s="668"/>
      <c r="F921" s="667"/>
      <c r="G921" s="667"/>
      <c r="H921" s="667"/>
      <c r="I921" s="667"/>
      <c r="J921" s="667"/>
      <c r="K921" s="667"/>
      <c r="L921" s="667"/>
      <c r="M921" s="667"/>
      <c r="N921" s="667"/>
      <c r="O921" s="667"/>
      <c r="P921" s="667"/>
      <c r="Q921" s="667"/>
    </row>
    <row r="922" ht="15.75" customHeight="1">
      <c r="B922" s="466"/>
      <c r="C922" s="667"/>
      <c r="D922" s="667"/>
      <c r="E922" s="668"/>
      <c r="F922" s="667"/>
      <c r="G922" s="667"/>
      <c r="H922" s="667"/>
      <c r="I922" s="667"/>
      <c r="J922" s="667"/>
      <c r="K922" s="667"/>
      <c r="L922" s="667"/>
      <c r="M922" s="667"/>
      <c r="N922" s="667"/>
      <c r="O922" s="667"/>
      <c r="P922" s="667"/>
      <c r="Q922" s="667"/>
    </row>
    <row r="923" ht="15.75" customHeight="1">
      <c r="B923" s="466"/>
      <c r="C923" s="667"/>
      <c r="D923" s="667"/>
      <c r="E923" s="668"/>
      <c r="F923" s="667"/>
      <c r="G923" s="667"/>
      <c r="H923" s="667"/>
      <c r="I923" s="667"/>
      <c r="J923" s="667"/>
      <c r="K923" s="667"/>
      <c r="L923" s="667"/>
      <c r="M923" s="667"/>
      <c r="N923" s="667"/>
      <c r="O923" s="667"/>
      <c r="P923" s="667"/>
      <c r="Q923" s="667"/>
    </row>
    <row r="924" ht="15.75" customHeight="1">
      <c r="B924" s="466"/>
      <c r="C924" s="667"/>
      <c r="D924" s="667"/>
      <c r="E924" s="668"/>
      <c r="F924" s="667"/>
      <c r="G924" s="667"/>
      <c r="H924" s="667"/>
      <c r="I924" s="667"/>
      <c r="J924" s="667"/>
      <c r="K924" s="667"/>
      <c r="L924" s="667"/>
      <c r="M924" s="667"/>
      <c r="N924" s="667"/>
      <c r="O924" s="667"/>
      <c r="P924" s="667"/>
      <c r="Q924" s="667"/>
    </row>
    <row r="925" ht="15.75" customHeight="1">
      <c r="B925" s="466"/>
      <c r="C925" s="667"/>
      <c r="D925" s="667"/>
      <c r="E925" s="668"/>
      <c r="F925" s="667"/>
      <c r="G925" s="667"/>
      <c r="H925" s="667"/>
      <c r="I925" s="667"/>
      <c r="J925" s="667"/>
      <c r="K925" s="667"/>
      <c r="L925" s="667"/>
      <c r="M925" s="667"/>
      <c r="N925" s="667"/>
      <c r="O925" s="667"/>
      <c r="P925" s="667"/>
      <c r="Q925" s="667"/>
    </row>
    <row r="926" ht="15.75" customHeight="1">
      <c r="B926" s="466"/>
      <c r="C926" s="667"/>
      <c r="D926" s="667"/>
      <c r="E926" s="668"/>
      <c r="F926" s="667"/>
      <c r="G926" s="667"/>
      <c r="H926" s="667"/>
      <c r="I926" s="667"/>
      <c r="J926" s="667"/>
      <c r="K926" s="667"/>
      <c r="L926" s="667"/>
      <c r="M926" s="667"/>
      <c r="N926" s="667"/>
      <c r="O926" s="667"/>
      <c r="P926" s="667"/>
      <c r="Q926" s="667"/>
    </row>
    <row r="927" ht="15.75" customHeight="1">
      <c r="B927" s="466"/>
      <c r="C927" s="667"/>
      <c r="D927" s="667"/>
      <c r="E927" s="668"/>
      <c r="F927" s="667"/>
      <c r="G927" s="667"/>
      <c r="H927" s="667"/>
      <c r="I927" s="667"/>
      <c r="J927" s="667"/>
      <c r="K927" s="667"/>
      <c r="L927" s="667"/>
      <c r="M927" s="667"/>
      <c r="N927" s="667"/>
      <c r="O927" s="667"/>
      <c r="P927" s="667"/>
      <c r="Q927" s="667"/>
    </row>
    <row r="928" ht="15.75" customHeight="1">
      <c r="B928" s="466"/>
      <c r="C928" s="667"/>
      <c r="D928" s="667"/>
      <c r="E928" s="668"/>
      <c r="F928" s="667"/>
      <c r="G928" s="667"/>
      <c r="H928" s="667"/>
      <c r="I928" s="667"/>
      <c r="J928" s="667"/>
      <c r="K928" s="667"/>
      <c r="L928" s="667"/>
      <c r="M928" s="667"/>
      <c r="N928" s="667"/>
      <c r="O928" s="667"/>
      <c r="P928" s="667"/>
      <c r="Q928" s="667"/>
    </row>
    <row r="929" ht="15.75" customHeight="1">
      <c r="B929" s="466"/>
      <c r="C929" s="667"/>
      <c r="D929" s="667"/>
      <c r="E929" s="668"/>
      <c r="F929" s="667"/>
      <c r="G929" s="667"/>
      <c r="H929" s="667"/>
      <c r="I929" s="667"/>
      <c r="J929" s="667"/>
      <c r="K929" s="667"/>
      <c r="L929" s="667"/>
      <c r="M929" s="667"/>
      <c r="N929" s="667"/>
      <c r="O929" s="667"/>
      <c r="P929" s="667"/>
      <c r="Q929" s="667"/>
    </row>
    <row r="930" ht="15.75" customHeight="1">
      <c r="B930" s="466"/>
      <c r="C930" s="667"/>
      <c r="D930" s="667"/>
      <c r="E930" s="668"/>
      <c r="F930" s="667"/>
      <c r="G930" s="667"/>
      <c r="H930" s="667"/>
      <c r="I930" s="667"/>
      <c r="J930" s="667"/>
      <c r="K930" s="667"/>
      <c r="L930" s="667"/>
      <c r="M930" s="667"/>
      <c r="N930" s="667"/>
      <c r="O930" s="667"/>
      <c r="P930" s="667"/>
      <c r="Q930" s="667"/>
    </row>
    <row r="931" ht="15.75" customHeight="1">
      <c r="B931" s="466"/>
      <c r="C931" s="667"/>
      <c r="D931" s="667"/>
      <c r="E931" s="668"/>
      <c r="F931" s="667"/>
      <c r="G931" s="667"/>
      <c r="H931" s="667"/>
      <c r="I931" s="667"/>
      <c r="J931" s="667"/>
      <c r="K931" s="667"/>
      <c r="L931" s="667"/>
      <c r="M931" s="667"/>
      <c r="N931" s="667"/>
      <c r="O931" s="667"/>
      <c r="P931" s="667"/>
      <c r="Q931" s="667"/>
    </row>
    <row r="932" ht="15.75" customHeight="1">
      <c r="B932" s="466"/>
      <c r="C932" s="667"/>
      <c r="D932" s="667"/>
      <c r="E932" s="668"/>
      <c r="F932" s="667"/>
      <c r="G932" s="667"/>
      <c r="H932" s="667"/>
      <c r="I932" s="667"/>
      <c r="J932" s="667"/>
      <c r="K932" s="667"/>
      <c r="L932" s="667"/>
      <c r="M932" s="667"/>
      <c r="N932" s="667"/>
      <c r="O932" s="667"/>
      <c r="P932" s="667"/>
      <c r="Q932" s="667"/>
    </row>
    <row r="933" ht="15.75" customHeight="1">
      <c r="B933" s="466"/>
      <c r="C933" s="667"/>
      <c r="D933" s="667"/>
      <c r="E933" s="668"/>
      <c r="F933" s="667"/>
      <c r="G933" s="667"/>
      <c r="H933" s="667"/>
      <c r="I933" s="667"/>
      <c r="J933" s="667"/>
      <c r="K933" s="667"/>
      <c r="L933" s="667"/>
      <c r="M933" s="667"/>
      <c r="N933" s="667"/>
      <c r="O933" s="667"/>
      <c r="P933" s="667"/>
      <c r="Q933" s="667"/>
    </row>
    <row r="934" ht="15.75" customHeight="1">
      <c r="B934" s="466"/>
      <c r="C934" s="667"/>
      <c r="D934" s="667"/>
      <c r="E934" s="668"/>
      <c r="F934" s="667"/>
      <c r="G934" s="667"/>
      <c r="H934" s="667"/>
      <c r="I934" s="667"/>
      <c r="J934" s="667"/>
      <c r="K934" s="667"/>
      <c r="L934" s="667"/>
      <c r="M934" s="667"/>
      <c r="N934" s="667"/>
      <c r="O934" s="667"/>
      <c r="P934" s="667"/>
      <c r="Q934" s="667"/>
    </row>
    <row r="935" ht="15.75" customHeight="1">
      <c r="B935" s="466"/>
      <c r="C935" s="667"/>
      <c r="D935" s="667"/>
      <c r="E935" s="668"/>
      <c r="F935" s="667"/>
      <c r="G935" s="667"/>
      <c r="H935" s="667"/>
      <c r="I935" s="667"/>
      <c r="J935" s="667"/>
      <c r="K935" s="667"/>
      <c r="L935" s="667"/>
      <c r="M935" s="667"/>
      <c r="N935" s="667"/>
      <c r="O935" s="667"/>
      <c r="P935" s="667"/>
      <c r="Q935" s="667"/>
    </row>
    <row r="936" ht="15.75" customHeight="1">
      <c r="B936" s="466"/>
      <c r="C936" s="667"/>
      <c r="D936" s="667"/>
      <c r="E936" s="668"/>
      <c r="F936" s="667"/>
      <c r="G936" s="667"/>
      <c r="H936" s="667"/>
      <c r="I936" s="667"/>
      <c r="J936" s="667"/>
      <c r="K936" s="667"/>
      <c r="L936" s="667"/>
      <c r="M936" s="667"/>
      <c r="N936" s="667"/>
      <c r="O936" s="667"/>
      <c r="P936" s="667"/>
      <c r="Q936" s="667"/>
    </row>
    <row r="937" ht="15.75" customHeight="1">
      <c r="B937" s="466"/>
      <c r="C937" s="667"/>
      <c r="D937" s="667"/>
      <c r="E937" s="668"/>
      <c r="F937" s="667"/>
      <c r="G937" s="667"/>
      <c r="H937" s="667"/>
      <c r="I937" s="667"/>
      <c r="J937" s="667"/>
      <c r="K937" s="667"/>
      <c r="L937" s="667"/>
      <c r="M937" s="667"/>
      <c r="N937" s="667"/>
      <c r="O937" s="667"/>
      <c r="P937" s="667"/>
      <c r="Q937" s="667"/>
    </row>
    <row r="938" ht="15.75" customHeight="1">
      <c r="B938" s="466"/>
      <c r="C938" s="667"/>
      <c r="D938" s="667"/>
      <c r="E938" s="668"/>
      <c r="F938" s="667"/>
      <c r="G938" s="667"/>
      <c r="H938" s="667"/>
      <c r="I938" s="667"/>
      <c r="J938" s="667"/>
      <c r="K938" s="667"/>
      <c r="L938" s="667"/>
      <c r="M938" s="667"/>
      <c r="N938" s="667"/>
      <c r="O938" s="667"/>
      <c r="P938" s="667"/>
      <c r="Q938" s="667"/>
    </row>
    <row r="939" ht="15.75" customHeight="1">
      <c r="B939" s="466"/>
      <c r="C939" s="667"/>
      <c r="D939" s="667"/>
      <c r="E939" s="668"/>
      <c r="F939" s="667"/>
      <c r="G939" s="667"/>
      <c r="H939" s="667"/>
      <c r="I939" s="667"/>
      <c r="J939" s="667"/>
      <c r="K939" s="667"/>
      <c r="L939" s="667"/>
      <c r="M939" s="667"/>
      <c r="N939" s="667"/>
      <c r="O939" s="667"/>
      <c r="P939" s="667"/>
      <c r="Q939" s="667"/>
    </row>
    <row r="940" ht="15.75" customHeight="1">
      <c r="B940" s="466"/>
      <c r="C940" s="667"/>
      <c r="D940" s="667"/>
      <c r="E940" s="668"/>
      <c r="F940" s="667"/>
      <c r="G940" s="667"/>
      <c r="H940" s="667"/>
      <c r="I940" s="667"/>
      <c r="J940" s="667"/>
      <c r="K940" s="667"/>
      <c r="L940" s="667"/>
      <c r="M940" s="667"/>
      <c r="N940" s="667"/>
      <c r="O940" s="667"/>
      <c r="P940" s="667"/>
      <c r="Q940" s="667"/>
    </row>
    <row r="941" ht="15.75" customHeight="1">
      <c r="B941" s="466"/>
      <c r="C941" s="667"/>
      <c r="D941" s="667"/>
      <c r="E941" s="668"/>
      <c r="F941" s="667"/>
      <c r="G941" s="667"/>
      <c r="H941" s="667"/>
      <c r="I941" s="667"/>
      <c r="J941" s="667"/>
      <c r="K941" s="667"/>
      <c r="L941" s="667"/>
      <c r="M941" s="667"/>
      <c r="N941" s="667"/>
      <c r="O941" s="667"/>
      <c r="P941" s="667"/>
      <c r="Q941" s="667"/>
    </row>
    <row r="942" ht="15.75" customHeight="1">
      <c r="B942" s="466"/>
      <c r="C942" s="667"/>
      <c r="D942" s="667"/>
      <c r="E942" s="668"/>
      <c r="F942" s="667"/>
      <c r="G942" s="667"/>
      <c r="H942" s="667"/>
      <c r="I942" s="667"/>
      <c r="J942" s="667"/>
      <c r="K942" s="667"/>
      <c r="L942" s="667"/>
      <c r="M942" s="667"/>
      <c r="N942" s="667"/>
      <c r="O942" s="667"/>
      <c r="P942" s="667"/>
      <c r="Q942" s="667"/>
    </row>
    <row r="943" ht="15.75" customHeight="1">
      <c r="B943" s="466"/>
      <c r="C943" s="667"/>
      <c r="D943" s="667"/>
      <c r="E943" s="668"/>
      <c r="F943" s="667"/>
      <c r="G943" s="667"/>
      <c r="H943" s="667"/>
      <c r="I943" s="667"/>
      <c r="J943" s="667"/>
      <c r="K943" s="667"/>
      <c r="L943" s="667"/>
      <c r="M943" s="667"/>
      <c r="N943" s="667"/>
      <c r="O943" s="667"/>
      <c r="P943" s="667"/>
      <c r="Q943" s="667"/>
    </row>
    <row r="944" ht="15.75" customHeight="1">
      <c r="B944" s="466"/>
      <c r="C944" s="667"/>
      <c r="D944" s="667"/>
      <c r="E944" s="668"/>
      <c r="F944" s="667"/>
      <c r="G944" s="667"/>
      <c r="H944" s="667"/>
      <c r="I944" s="667"/>
      <c r="J944" s="667"/>
      <c r="K944" s="667"/>
      <c r="L944" s="667"/>
      <c r="M944" s="667"/>
      <c r="N944" s="667"/>
      <c r="O944" s="667"/>
      <c r="P944" s="667"/>
      <c r="Q944" s="667"/>
    </row>
    <row r="945" ht="15.75" customHeight="1">
      <c r="B945" s="466"/>
      <c r="C945" s="667"/>
      <c r="D945" s="667"/>
      <c r="E945" s="668"/>
      <c r="F945" s="667"/>
      <c r="G945" s="667"/>
      <c r="H945" s="667"/>
      <c r="I945" s="667"/>
      <c r="J945" s="667"/>
      <c r="K945" s="667"/>
      <c r="L945" s="667"/>
      <c r="M945" s="667"/>
      <c r="N945" s="667"/>
      <c r="O945" s="667"/>
      <c r="P945" s="667"/>
      <c r="Q945" s="667"/>
    </row>
    <row r="946" ht="15.75" customHeight="1">
      <c r="B946" s="466"/>
      <c r="C946" s="667"/>
      <c r="D946" s="667"/>
      <c r="E946" s="668"/>
      <c r="F946" s="667"/>
      <c r="G946" s="667"/>
      <c r="H946" s="667"/>
      <c r="I946" s="667"/>
      <c r="J946" s="667"/>
      <c r="K946" s="667"/>
      <c r="L946" s="667"/>
      <c r="M946" s="667"/>
      <c r="N946" s="667"/>
      <c r="O946" s="667"/>
      <c r="P946" s="667"/>
      <c r="Q946" s="667"/>
    </row>
    <row r="947" ht="15.75" customHeight="1">
      <c r="B947" s="466"/>
      <c r="C947" s="667"/>
      <c r="D947" s="667"/>
      <c r="E947" s="668"/>
      <c r="F947" s="667"/>
      <c r="G947" s="667"/>
      <c r="H947" s="667"/>
      <c r="I947" s="667"/>
      <c r="J947" s="667"/>
      <c r="K947" s="667"/>
      <c r="L947" s="667"/>
      <c r="M947" s="667"/>
      <c r="N947" s="667"/>
      <c r="O947" s="667"/>
      <c r="P947" s="667"/>
      <c r="Q947" s="667"/>
    </row>
    <row r="948" ht="15.75" customHeight="1">
      <c r="B948" s="466"/>
      <c r="C948" s="667"/>
      <c r="D948" s="667"/>
      <c r="E948" s="668"/>
      <c r="F948" s="667"/>
      <c r="G948" s="667"/>
      <c r="H948" s="667"/>
      <c r="I948" s="667"/>
      <c r="J948" s="667"/>
      <c r="K948" s="667"/>
      <c r="L948" s="667"/>
      <c r="M948" s="667"/>
      <c r="N948" s="667"/>
      <c r="O948" s="667"/>
      <c r="P948" s="667"/>
      <c r="Q948" s="667"/>
    </row>
    <row r="949" ht="15.75" customHeight="1">
      <c r="B949" s="466"/>
      <c r="C949" s="667"/>
      <c r="D949" s="667"/>
      <c r="E949" s="668"/>
      <c r="F949" s="667"/>
      <c r="G949" s="667"/>
      <c r="H949" s="667"/>
      <c r="I949" s="667"/>
      <c r="J949" s="667"/>
      <c r="K949" s="667"/>
      <c r="L949" s="667"/>
      <c r="M949" s="667"/>
      <c r="N949" s="667"/>
      <c r="O949" s="667"/>
      <c r="P949" s="667"/>
      <c r="Q949" s="667"/>
    </row>
    <row r="950" ht="15.75" customHeight="1">
      <c r="B950" s="466"/>
      <c r="C950" s="667"/>
      <c r="D950" s="667"/>
      <c r="E950" s="668"/>
      <c r="F950" s="667"/>
      <c r="G950" s="667"/>
      <c r="H950" s="667"/>
      <c r="I950" s="667"/>
      <c r="J950" s="667"/>
      <c r="K950" s="667"/>
      <c r="L950" s="667"/>
      <c r="M950" s="667"/>
      <c r="N950" s="667"/>
      <c r="O950" s="667"/>
      <c r="P950" s="667"/>
      <c r="Q950" s="667"/>
    </row>
    <row r="951" ht="15.75" customHeight="1">
      <c r="B951" s="466"/>
      <c r="C951" s="667"/>
      <c r="D951" s="667"/>
      <c r="E951" s="668"/>
      <c r="F951" s="667"/>
      <c r="G951" s="667"/>
      <c r="H951" s="667"/>
      <c r="I951" s="667"/>
      <c r="J951" s="667"/>
      <c r="K951" s="667"/>
      <c r="L951" s="667"/>
      <c r="M951" s="667"/>
      <c r="N951" s="667"/>
      <c r="O951" s="667"/>
      <c r="P951" s="667"/>
      <c r="Q951" s="667"/>
    </row>
    <row r="952" ht="15.75" customHeight="1">
      <c r="B952" s="466"/>
      <c r="C952" s="667"/>
      <c r="D952" s="667"/>
      <c r="E952" s="668"/>
      <c r="F952" s="667"/>
      <c r="G952" s="667"/>
      <c r="H952" s="667"/>
      <c r="I952" s="667"/>
      <c r="J952" s="667"/>
      <c r="K952" s="667"/>
      <c r="L952" s="667"/>
      <c r="M952" s="667"/>
      <c r="N952" s="667"/>
      <c r="O952" s="667"/>
      <c r="P952" s="667"/>
      <c r="Q952" s="667"/>
    </row>
    <row r="953" ht="15.75" customHeight="1">
      <c r="B953" s="466"/>
      <c r="C953" s="667"/>
      <c r="D953" s="667"/>
      <c r="E953" s="668"/>
      <c r="F953" s="667"/>
      <c r="G953" s="667"/>
      <c r="H953" s="667"/>
      <c r="I953" s="667"/>
      <c r="J953" s="667"/>
      <c r="K953" s="667"/>
      <c r="L953" s="667"/>
      <c r="M953" s="667"/>
      <c r="N953" s="667"/>
      <c r="O953" s="667"/>
      <c r="P953" s="667"/>
      <c r="Q953" s="667"/>
    </row>
    <row r="954" ht="15.75" customHeight="1">
      <c r="B954" s="466"/>
      <c r="C954" s="667"/>
      <c r="D954" s="667"/>
      <c r="E954" s="668"/>
      <c r="F954" s="667"/>
      <c r="G954" s="667"/>
      <c r="H954" s="667"/>
      <c r="I954" s="667"/>
      <c r="J954" s="667"/>
      <c r="K954" s="667"/>
      <c r="L954" s="667"/>
      <c r="M954" s="667"/>
      <c r="N954" s="667"/>
      <c r="O954" s="667"/>
      <c r="P954" s="667"/>
      <c r="Q954" s="667"/>
    </row>
    <row r="955" ht="15.75" customHeight="1">
      <c r="B955" s="466"/>
      <c r="C955" s="667"/>
      <c r="D955" s="667"/>
      <c r="E955" s="668"/>
      <c r="F955" s="667"/>
      <c r="G955" s="667"/>
      <c r="H955" s="667"/>
      <c r="I955" s="667"/>
      <c r="J955" s="667"/>
      <c r="K955" s="667"/>
      <c r="L955" s="667"/>
      <c r="M955" s="667"/>
      <c r="N955" s="667"/>
      <c r="O955" s="667"/>
      <c r="P955" s="667"/>
      <c r="Q955" s="667"/>
    </row>
    <row r="956" ht="15.75" customHeight="1">
      <c r="B956" s="466"/>
      <c r="C956" s="667"/>
      <c r="D956" s="667"/>
      <c r="E956" s="668"/>
      <c r="F956" s="667"/>
      <c r="G956" s="667"/>
      <c r="H956" s="667"/>
      <c r="I956" s="667"/>
      <c r="J956" s="667"/>
      <c r="K956" s="667"/>
      <c r="L956" s="667"/>
      <c r="M956" s="667"/>
      <c r="N956" s="667"/>
      <c r="O956" s="667"/>
      <c r="P956" s="667"/>
      <c r="Q956" s="667"/>
    </row>
    <row r="957" ht="15.75" customHeight="1">
      <c r="B957" s="466"/>
      <c r="C957" s="667"/>
      <c r="D957" s="667"/>
      <c r="E957" s="668"/>
      <c r="F957" s="667"/>
      <c r="G957" s="667"/>
      <c r="H957" s="667"/>
      <c r="I957" s="667"/>
      <c r="J957" s="667"/>
      <c r="K957" s="667"/>
      <c r="L957" s="667"/>
      <c r="M957" s="667"/>
      <c r="N957" s="667"/>
      <c r="O957" s="667"/>
      <c r="P957" s="667"/>
      <c r="Q957" s="667"/>
    </row>
    <row r="958" ht="15.75" customHeight="1">
      <c r="B958" s="466"/>
      <c r="C958" s="667"/>
      <c r="D958" s="667"/>
      <c r="E958" s="668"/>
      <c r="F958" s="667"/>
      <c r="G958" s="667"/>
      <c r="H958" s="667"/>
      <c r="I958" s="667"/>
      <c r="J958" s="667"/>
      <c r="K958" s="667"/>
      <c r="L958" s="667"/>
      <c r="M958" s="667"/>
      <c r="N958" s="667"/>
      <c r="O958" s="667"/>
      <c r="P958" s="667"/>
      <c r="Q958" s="667"/>
    </row>
    <row r="959" ht="15.75" customHeight="1">
      <c r="B959" s="466"/>
      <c r="C959" s="667"/>
      <c r="D959" s="667"/>
      <c r="E959" s="668"/>
      <c r="F959" s="667"/>
      <c r="G959" s="667"/>
      <c r="H959" s="667"/>
      <c r="I959" s="667"/>
      <c r="J959" s="667"/>
      <c r="K959" s="667"/>
      <c r="L959" s="667"/>
      <c r="M959" s="667"/>
      <c r="N959" s="667"/>
      <c r="O959" s="667"/>
      <c r="P959" s="667"/>
      <c r="Q959" s="667"/>
    </row>
    <row r="960" ht="15.75" customHeight="1">
      <c r="B960" s="466"/>
      <c r="C960" s="667"/>
      <c r="D960" s="667"/>
      <c r="E960" s="668"/>
      <c r="F960" s="667"/>
      <c r="G960" s="667"/>
      <c r="H960" s="667"/>
      <c r="I960" s="667"/>
      <c r="J960" s="667"/>
      <c r="K960" s="667"/>
      <c r="L960" s="667"/>
      <c r="M960" s="667"/>
      <c r="N960" s="667"/>
      <c r="O960" s="667"/>
      <c r="P960" s="667"/>
      <c r="Q960" s="667"/>
    </row>
    <row r="961" ht="15.75" customHeight="1">
      <c r="B961" s="466"/>
      <c r="C961" s="667"/>
      <c r="D961" s="667"/>
      <c r="E961" s="668"/>
      <c r="F961" s="667"/>
      <c r="G961" s="667"/>
      <c r="H961" s="667"/>
      <c r="I961" s="667"/>
      <c r="J961" s="667"/>
      <c r="K961" s="667"/>
      <c r="L961" s="667"/>
      <c r="M961" s="667"/>
      <c r="N961" s="667"/>
      <c r="O961" s="667"/>
      <c r="P961" s="667"/>
      <c r="Q961" s="667"/>
    </row>
    <row r="962" ht="15.75" customHeight="1">
      <c r="B962" s="466"/>
      <c r="C962" s="667"/>
      <c r="D962" s="667"/>
      <c r="E962" s="668"/>
      <c r="F962" s="667"/>
      <c r="G962" s="667"/>
      <c r="H962" s="667"/>
      <c r="I962" s="667"/>
      <c r="J962" s="667"/>
      <c r="K962" s="667"/>
      <c r="L962" s="667"/>
      <c r="M962" s="667"/>
      <c r="N962" s="667"/>
      <c r="O962" s="667"/>
      <c r="P962" s="667"/>
      <c r="Q962" s="667"/>
    </row>
    <row r="963" ht="15.75" customHeight="1">
      <c r="B963" s="466"/>
      <c r="C963" s="667"/>
      <c r="D963" s="667"/>
      <c r="E963" s="668"/>
      <c r="F963" s="667"/>
      <c r="G963" s="667"/>
      <c r="H963" s="667"/>
      <c r="I963" s="667"/>
      <c r="J963" s="667"/>
      <c r="K963" s="667"/>
      <c r="L963" s="667"/>
      <c r="M963" s="667"/>
      <c r="N963" s="667"/>
      <c r="O963" s="667"/>
      <c r="P963" s="667"/>
      <c r="Q963" s="667"/>
    </row>
    <row r="964" ht="15.75" customHeight="1">
      <c r="B964" s="466"/>
      <c r="C964" s="667"/>
      <c r="D964" s="667"/>
      <c r="E964" s="668"/>
      <c r="F964" s="667"/>
      <c r="G964" s="667"/>
      <c r="H964" s="667"/>
      <c r="I964" s="667"/>
      <c r="J964" s="667"/>
      <c r="K964" s="667"/>
      <c r="L964" s="667"/>
      <c r="M964" s="667"/>
      <c r="N964" s="667"/>
      <c r="O964" s="667"/>
      <c r="P964" s="667"/>
      <c r="Q964" s="667"/>
    </row>
    <row r="965" ht="15.75" customHeight="1">
      <c r="B965" s="466"/>
      <c r="C965" s="667"/>
      <c r="D965" s="667"/>
      <c r="E965" s="668"/>
      <c r="F965" s="667"/>
      <c r="G965" s="667"/>
      <c r="H965" s="667"/>
      <c r="I965" s="667"/>
      <c r="J965" s="667"/>
      <c r="K965" s="667"/>
      <c r="L965" s="667"/>
      <c r="M965" s="667"/>
      <c r="N965" s="667"/>
      <c r="O965" s="667"/>
      <c r="P965" s="667"/>
      <c r="Q965" s="667"/>
    </row>
    <row r="966" ht="15.75" customHeight="1">
      <c r="B966" s="466"/>
      <c r="C966" s="667"/>
      <c r="D966" s="667"/>
      <c r="E966" s="668"/>
      <c r="F966" s="667"/>
      <c r="G966" s="667"/>
      <c r="H966" s="667"/>
      <c r="I966" s="667"/>
      <c r="J966" s="667"/>
      <c r="K966" s="667"/>
      <c r="L966" s="667"/>
      <c r="M966" s="667"/>
      <c r="N966" s="667"/>
      <c r="O966" s="667"/>
      <c r="P966" s="667"/>
      <c r="Q966" s="667"/>
    </row>
    <row r="967" ht="15.75" customHeight="1">
      <c r="B967" s="466"/>
      <c r="C967" s="667"/>
      <c r="D967" s="667"/>
      <c r="E967" s="668"/>
      <c r="F967" s="667"/>
      <c r="G967" s="667"/>
      <c r="H967" s="667"/>
      <c r="I967" s="667"/>
      <c r="J967" s="667"/>
      <c r="K967" s="667"/>
      <c r="L967" s="667"/>
      <c r="M967" s="667"/>
      <c r="N967" s="667"/>
      <c r="O967" s="667"/>
      <c r="P967" s="667"/>
      <c r="Q967" s="667"/>
    </row>
    <row r="968" ht="15.75" customHeight="1">
      <c r="B968" s="466"/>
      <c r="C968" s="667"/>
      <c r="D968" s="667"/>
      <c r="E968" s="668"/>
      <c r="F968" s="667"/>
      <c r="G968" s="667"/>
      <c r="H968" s="667"/>
      <c r="I968" s="667"/>
      <c r="J968" s="667"/>
      <c r="K968" s="667"/>
      <c r="L968" s="667"/>
      <c r="M968" s="667"/>
      <c r="N968" s="667"/>
      <c r="O968" s="667"/>
      <c r="P968" s="667"/>
      <c r="Q968" s="667"/>
    </row>
    <row r="969" ht="15.75" customHeight="1">
      <c r="B969" s="466"/>
      <c r="C969" s="667"/>
      <c r="D969" s="667"/>
      <c r="E969" s="668"/>
      <c r="F969" s="667"/>
      <c r="G969" s="667"/>
      <c r="H969" s="667"/>
      <c r="I969" s="667"/>
      <c r="J969" s="667"/>
      <c r="K969" s="667"/>
      <c r="L969" s="667"/>
      <c r="M969" s="667"/>
      <c r="N969" s="667"/>
      <c r="O969" s="667"/>
      <c r="P969" s="667"/>
      <c r="Q969" s="667"/>
    </row>
    <row r="970" ht="15.75" customHeight="1">
      <c r="B970" s="466"/>
      <c r="C970" s="667"/>
      <c r="D970" s="667"/>
      <c r="E970" s="668"/>
      <c r="F970" s="667"/>
      <c r="G970" s="667"/>
      <c r="H970" s="667"/>
      <c r="I970" s="667"/>
      <c r="J970" s="667"/>
      <c r="K970" s="667"/>
      <c r="L970" s="667"/>
      <c r="M970" s="667"/>
      <c r="N970" s="667"/>
      <c r="O970" s="667"/>
      <c r="P970" s="667"/>
      <c r="Q970" s="667"/>
    </row>
    <row r="971" ht="15.75" customHeight="1">
      <c r="B971" s="466"/>
      <c r="C971" s="667"/>
      <c r="D971" s="667"/>
      <c r="E971" s="668"/>
      <c r="F971" s="667"/>
      <c r="G971" s="667"/>
      <c r="H971" s="667"/>
      <c r="I971" s="667"/>
      <c r="J971" s="667"/>
      <c r="K971" s="667"/>
      <c r="L971" s="667"/>
      <c r="M971" s="667"/>
      <c r="N971" s="667"/>
      <c r="O971" s="667"/>
      <c r="P971" s="667"/>
      <c r="Q971" s="667"/>
    </row>
    <row r="972" ht="15.75" customHeight="1">
      <c r="B972" s="466"/>
      <c r="C972" s="667"/>
      <c r="D972" s="667"/>
      <c r="E972" s="668"/>
      <c r="F972" s="667"/>
      <c r="G972" s="667"/>
      <c r="H972" s="667"/>
      <c r="I972" s="667"/>
      <c r="J972" s="667"/>
      <c r="K972" s="667"/>
      <c r="L972" s="667"/>
      <c r="M972" s="667"/>
      <c r="N972" s="667"/>
      <c r="O972" s="667"/>
      <c r="P972" s="667"/>
      <c r="Q972" s="667"/>
    </row>
    <row r="973" ht="15.75" customHeight="1">
      <c r="B973" s="466"/>
      <c r="C973" s="667"/>
      <c r="D973" s="667"/>
      <c r="E973" s="668"/>
      <c r="F973" s="667"/>
      <c r="G973" s="667"/>
      <c r="H973" s="667"/>
      <c r="I973" s="667"/>
      <c r="J973" s="667"/>
      <c r="K973" s="667"/>
      <c r="L973" s="667"/>
      <c r="M973" s="667"/>
      <c r="N973" s="667"/>
      <c r="O973" s="667"/>
      <c r="P973" s="667"/>
      <c r="Q973" s="667"/>
    </row>
    <row r="974" ht="15.75" customHeight="1">
      <c r="B974" s="466"/>
      <c r="C974" s="667"/>
      <c r="D974" s="667"/>
      <c r="E974" s="668"/>
      <c r="F974" s="667"/>
      <c r="G974" s="667"/>
      <c r="H974" s="667"/>
      <c r="I974" s="667"/>
      <c r="J974" s="667"/>
      <c r="K974" s="667"/>
      <c r="L974" s="667"/>
      <c r="M974" s="667"/>
      <c r="N974" s="667"/>
      <c r="O974" s="667"/>
      <c r="P974" s="667"/>
      <c r="Q974" s="667"/>
    </row>
    <row r="975" ht="15.75" customHeight="1">
      <c r="B975" s="466"/>
      <c r="C975" s="667"/>
      <c r="D975" s="667"/>
      <c r="E975" s="668"/>
      <c r="F975" s="667"/>
      <c r="G975" s="667"/>
      <c r="H975" s="667"/>
      <c r="I975" s="667"/>
      <c r="J975" s="667"/>
      <c r="K975" s="667"/>
      <c r="L975" s="667"/>
      <c r="M975" s="667"/>
      <c r="N975" s="667"/>
      <c r="O975" s="667"/>
      <c r="P975" s="667"/>
      <c r="Q975" s="667"/>
    </row>
    <row r="976" ht="15.75" customHeight="1">
      <c r="B976" s="466"/>
      <c r="C976" s="667"/>
      <c r="D976" s="667"/>
      <c r="E976" s="668"/>
      <c r="F976" s="667"/>
      <c r="G976" s="667"/>
      <c r="H976" s="667"/>
      <c r="I976" s="667"/>
      <c r="J976" s="667"/>
      <c r="K976" s="667"/>
      <c r="L976" s="667"/>
      <c r="M976" s="667"/>
      <c r="N976" s="667"/>
      <c r="O976" s="667"/>
      <c r="P976" s="667"/>
      <c r="Q976" s="667"/>
    </row>
    <row r="977" ht="15.75" customHeight="1">
      <c r="B977" s="466"/>
      <c r="C977" s="667"/>
      <c r="D977" s="667"/>
      <c r="E977" s="668"/>
      <c r="F977" s="667"/>
      <c r="G977" s="667"/>
      <c r="H977" s="667"/>
      <c r="I977" s="667"/>
      <c r="J977" s="667"/>
      <c r="K977" s="667"/>
      <c r="L977" s="667"/>
      <c r="M977" s="667"/>
      <c r="N977" s="667"/>
      <c r="O977" s="667"/>
      <c r="P977" s="667"/>
      <c r="Q977" s="667"/>
    </row>
    <row r="978" ht="15.75" customHeight="1">
      <c r="B978" s="466"/>
      <c r="C978" s="667"/>
      <c r="D978" s="667"/>
      <c r="E978" s="668"/>
      <c r="F978" s="667"/>
      <c r="G978" s="667"/>
      <c r="H978" s="667"/>
      <c r="I978" s="667"/>
      <c r="J978" s="667"/>
      <c r="K978" s="667"/>
      <c r="L978" s="667"/>
      <c r="M978" s="667"/>
      <c r="N978" s="667"/>
      <c r="O978" s="667"/>
      <c r="P978" s="667"/>
      <c r="Q978" s="667"/>
    </row>
    <row r="979" ht="15.75" customHeight="1">
      <c r="B979" s="466"/>
      <c r="C979" s="667"/>
      <c r="D979" s="667"/>
      <c r="E979" s="668"/>
      <c r="F979" s="667"/>
      <c r="G979" s="667"/>
      <c r="H979" s="667"/>
      <c r="I979" s="667"/>
      <c r="J979" s="667"/>
      <c r="K979" s="667"/>
      <c r="L979" s="667"/>
      <c r="M979" s="667"/>
      <c r="N979" s="667"/>
      <c r="O979" s="667"/>
      <c r="P979" s="667"/>
      <c r="Q979" s="667"/>
    </row>
    <row r="980" ht="15.75" customHeight="1">
      <c r="B980" s="466"/>
      <c r="C980" s="667"/>
      <c r="D980" s="667"/>
      <c r="E980" s="668"/>
      <c r="F980" s="667"/>
      <c r="G980" s="667"/>
      <c r="H980" s="667"/>
      <c r="I980" s="667"/>
      <c r="J980" s="667"/>
      <c r="K980" s="667"/>
      <c r="L980" s="667"/>
      <c r="M980" s="667"/>
      <c r="N980" s="667"/>
      <c r="O980" s="667"/>
      <c r="P980" s="667"/>
      <c r="Q980" s="667"/>
    </row>
    <row r="981" ht="15.75" customHeight="1">
      <c r="B981" s="466"/>
      <c r="C981" s="667"/>
      <c r="D981" s="667"/>
      <c r="E981" s="668"/>
      <c r="F981" s="667"/>
      <c r="G981" s="667"/>
      <c r="H981" s="667"/>
      <c r="I981" s="667"/>
      <c r="J981" s="667"/>
      <c r="K981" s="667"/>
      <c r="L981" s="667"/>
      <c r="M981" s="667"/>
      <c r="N981" s="667"/>
      <c r="O981" s="667"/>
      <c r="P981" s="667"/>
      <c r="Q981" s="667"/>
    </row>
    <row r="982" ht="15.75" customHeight="1">
      <c r="B982" s="466"/>
      <c r="C982" s="667"/>
      <c r="D982" s="667"/>
      <c r="E982" s="668"/>
      <c r="F982" s="667"/>
      <c r="G982" s="667"/>
      <c r="H982" s="667"/>
      <c r="I982" s="667"/>
      <c r="J982" s="667"/>
      <c r="K982" s="667"/>
      <c r="L982" s="667"/>
      <c r="M982" s="667"/>
      <c r="N982" s="667"/>
      <c r="O982" s="667"/>
      <c r="P982" s="667"/>
      <c r="Q982" s="667"/>
    </row>
    <row r="983" ht="15.75" customHeight="1">
      <c r="B983" s="466"/>
      <c r="C983" s="667"/>
      <c r="D983" s="667"/>
      <c r="E983" s="668"/>
      <c r="F983" s="667"/>
      <c r="G983" s="667"/>
      <c r="H983" s="667"/>
      <c r="I983" s="667"/>
      <c r="J983" s="667"/>
      <c r="K983" s="667"/>
      <c r="L983" s="667"/>
      <c r="M983" s="667"/>
      <c r="N983" s="667"/>
      <c r="O983" s="667"/>
      <c r="P983" s="667"/>
      <c r="Q983" s="667"/>
    </row>
    <row r="984" ht="15.75" customHeight="1">
      <c r="B984" s="466"/>
      <c r="C984" s="667"/>
      <c r="D984" s="667"/>
      <c r="E984" s="668"/>
      <c r="F984" s="667"/>
      <c r="G984" s="667"/>
      <c r="H984" s="667"/>
      <c r="I984" s="667"/>
      <c r="J984" s="667"/>
      <c r="K984" s="667"/>
      <c r="L984" s="667"/>
      <c r="M984" s="667"/>
      <c r="N984" s="667"/>
      <c r="O984" s="667"/>
      <c r="P984" s="667"/>
      <c r="Q984" s="667"/>
    </row>
    <row r="985" ht="15.75" customHeight="1">
      <c r="B985" s="466"/>
      <c r="C985" s="667"/>
      <c r="D985" s="667"/>
      <c r="E985" s="668"/>
      <c r="F985" s="667"/>
      <c r="G985" s="667"/>
      <c r="H985" s="667"/>
      <c r="I985" s="667"/>
      <c r="J985" s="667"/>
      <c r="K985" s="667"/>
      <c r="L985" s="667"/>
      <c r="M985" s="667"/>
      <c r="N985" s="667"/>
      <c r="O985" s="667"/>
      <c r="P985" s="667"/>
      <c r="Q985" s="667"/>
    </row>
    <row r="986" ht="15.75" customHeight="1">
      <c r="B986" s="466"/>
      <c r="C986" s="667"/>
      <c r="D986" s="667"/>
      <c r="E986" s="668"/>
      <c r="F986" s="667"/>
      <c r="G986" s="667"/>
      <c r="H986" s="667"/>
      <c r="I986" s="667"/>
      <c r="J986" s="667"/>
      <c r="K986" s="667"/>
      <c r="L986" s="667"/>
      <c r="M986" s="667"/>
      <c r="N986" s="667"/>
      <c r="O986" s="667"/>
      <c r="P986" s="667"/>
      <c r="Q986" s="667"/>
    </row>
    <row r="987" ht="15.75" customHeight="1">
      <c r="B987" s="466"/>
      <c r="C987" s="667"/>
      <c r="D987" s="667"/>
      <c r="E987" s="668"/>
      <c r="F987" s="667"/>
      <c r="G987" s="667"/>
      <c r="H987" s="667"/>
      <c r="I987" s="667"/>
      <c r="J987" s="667"/>
      <c r="K987" s="667"/>
      <c r="L987" s="667"/>
      <c r="M987" s="667"/>
      <c r="N987" s="667"/>
      <c r="O987" s="667"/>
      <c r="P987" s="667"/>
      <c r="Q987" s="667"/>
    </row>
    <row r="988" ht="15.75" customHeight="1">
      <c r="B988" s="466"/>
      <c r="C988" s="667"/>
      <c r="D988" s="667"/>
      <c r="E988" s="668"/>
      <c r="F988" s="667"/>
      <c r="G988" s="667"/>
      <c r="H988" s="667"/>
      <c r="I988" s="667"/>
      <c r="J988" s="667"/>
      <c r="K988" s="667"/>
      <c r="L988" s="667"/>
      <c r="M988" s="667"/>
      <c r="N988" s="667"/>
      <c r="O988" s="667"/>
      <c r="P988" s="667"/>
      <c r="Q988" s="667"/>
    </row>
    <row r="989" ht="15.75" customHeight="1">
      <c r="B989" s="466"/>
      <c r="C989" s="667"/>
      <c r="D989" s="667"/>
      <c r="E989" s="668"/>
      <c r="F989" s="667"/>
      <c r="G989" s="667"/>
      <c r="H989" s="667"/>
      <c r="I989" s="667"/>
      <c r="J989" s="667"/>
      <c r="K989" s="667"/>
      <c r="L989" s="667"/>
      <c r="M989" s="667"/>
      <c r="N989" s="667"/>
      <c r="O989" s="667"/>
      <c r="P989" s="667"/>
      <c r="Q989" s="667"/>
    </row>
    <row r="990" ht="15.75" customHeight="1">
      <c r="B990" s="466"/>
      <c r="C990" s="667"/>
      <c r="D990" s="667"/>
      <c r="E990" s="668"/>
      <c r="F990" s="667"/>
      <c r="G990" s="667"/>
      <c r="H990" s="667"/>
      <c r="I990" s="667"/>
      <c r="J990" s="667"/>
      <c r="K990" s="667"/>
      <c r="L990" s="667"/>
      <c r="M990" s="667"/>
      <c r="N990" s="667"/>
      <c r="O990" s="667"/>
      <c r="P990" s="667"/>
      <c r="Q990" s="667"/>
    </row>
    <row r="991" ht="15.75" customHeight="1">
      <c r="B991" s="466"/>
      <c r="C991" s="667"/>
      <c r="D991" s="667"/>
      <c r="E991" s="668"/>
      <c r="F991" s="667"/>
      <c r="G991" s="667"/>
      <c r="H991" s="667"/>
      <c r="I991" s="667"/>
      <c r="J991" s="667"/>
      <c r="K991" s="667"/>
      <c r="L991" s="667"/>
      <c r="M991" s="667"/>
      <c r="N991" s="667"/>
      <c r="O991" s="667"/>
      <c r="P991" s="667"/>
      <c r="Q991" s="667"/>
    </row>
    <row r="992" ht="15.75" customHeight="1">
      <c r="B992" s="466"/>
      <c r="C992" s="667"/>
      <c r="D992" s="667"/>
      <c r="E992" s="668"/>
      <c r="F992" s="667"/>
      <c r="G992" s="667"/>
      <c r="H992" s="667"/>
      <c r="I992" s="667"/>
      <c r="J992" s="667"/>
      <c r="K992" s="667"/>
      <c r="L992" s="667"/>
      <c r="M992" s="667"/>
      <c r="N992" s="667"/>
      <c r="O992" s="667"/>
      <c r="P992" s="667"/>
      <c r="Q992" s="667"/>
    </row>
    <row r="993" ht="15.75" customHeight="1">
      <c r="B993" s="466"/>
      <c r="C993" s="667"/>
      <c r="D993" s="667"/>
      <c r="E993" s="668"/>
      <c r="F993" s="667"/>
      <c r="G993" s="667"/>
      <c r="H993" s="667"/>
      <c r="I993" s="667"/>
      <c r="J993" s="667"/>
      <c r="K993" s="667"/>
      <c r="L993" s="667"/>
      <c r="M993" s="667"/>
      <c r="N993" s="667"/>
      <c r="O993" s="667"/>
      <c r="P993" s="667"/>
      <c r="Q993" s="667"/>
    </row>
    <row r="994" ht="15.75" customHeight="1">
      <c r="B994" s="466"/>
      <c r="C994" s="667"/>
      <c r="D994" s="667"/>
      <c r="E994" s="668"/>
      <c r="F994" s="667"/>
      <c r="G994" s="667"/>
      <c r="H994" s="667"/>
      <c r="I994" s="667"/>
      <c r="J994" s="667"/>
      <c r="K994" s="667"/>
      <c r="L994" s="667"/>
      <c r="M994" s="667"/>
      <c r="N994" s="667"/>
      <c r="O994" s="667"/>
      <c r="P994" s="667"/>
      <c r="Q994" s="667"/>
    </row>
    <row r="995" ht="15.75" customHeight="1">
      <c r="B995" s="466"/>
      <c r="C995" s="667"/>
      <c r="D995" s="667"/>
      <c r="E995" s="668"/>
      <c r="F995" s="667"/>
      <c r="G995" s="667"/>
      <c r="H995" s="667"/>
      <c r="I995" s="667"/>
      <c r="J995" s="667"/>
      <c r="K995" s="667"/>
      <c r="L995" s="667"/>
      <c r="M995" s="667"/>
      <c r="N995" s="667"/>
      <c r="O995" s="667"/>
      <c r="P995" s="667"/>
      <c r="Q995" s="667"/>
    </row>
    <row r="996" ht="15.75" customHeight="1">
      <c r="B996" s="466"/>
      <c r="C996" s="667"/>
      <c r="D996" s="667"/>
      <c r="E996" s="668"/>
      <c r="F996" s="667"/>
      <c r="G996" s="667"/>
      <c r="H996" s="667"/>
      <c r="I996" s="667"/>
      <c r="J996" s="667"/>
      <c r="K996" s="667"/>
      <c r="L996" s="667"/>
      <c r="M996" s="667"/>
      <c r="N996" s="667"/>
      <c r="O996" s="667"/>
      <c r="P996" s="667"/>
      <c r="Q996" s="667"/>
    </row>
    <row r="997" ht="15.75" customHeight="1">
      <c r="B997" s="466"/>
      <c r="C997" s="667"/>
      <c r="D997" s="667"/>
      <c r="E997" s="668"/>
      <c r="F997" s="667"/>
      <c r="G997" s="667"/>
      <c r="H997" s="667"/>
      <c r="I997" s="667"/>
      <c r="J997" s="667"/>
      <c r="K997" s="667"/>
      <c r="L997" s="667"/>
      <c r="M997" s="667"/>
      <c r="N997" s="667"/>
      <c r="O997" s="667"/>
      <c r="P997" s="667"/>
      <c r="Q997" s="667"/>
    </row>
    <row r="998" ht="15.75" customHeight="1">
      <c r="B998" s="466"/>
      <c r="C998" s="667"/>
      <c r="D998" s="667"/>
      <c r="E998" s="668"/>
      <c r="F998" s="667"/>
      <c r="G998" s="667"/>
      <c r="H998" s="667"/>
      <c r="I998" s="667"/>
      <c r="J998" s="667"/>
      <c r="K998" s="667"/>
      <c r="L998" s="667"/>
      <c r="M998" s="667"/>
      <c r="N998" s="667"/>
      <c r="O998" s="667"/>
      <c r="P998" s="667"/>
      <c r="Q998" s="667"/>
    </row>
    <row r="999" ht="15.75" customHeight="1">
      <c r="B999" s="466"/>
      <c r="C999" s="667"/>
      <c r="D999" s="667"/>
      <c r="E999" s="668"/>
      <c r="F999" s="667"/>
      <c r="G999" s="667"/>
      <c r="H999" s="667"/>
      <c r="I999" s="667"/>
      <c r="J999" s="667"/>
      <c r="K999" s="667"/>
      <c r="L999" s="667"/>
      <c r="M999" s="667"/>
      <c r="N999" s="667"/>
      <c r="O999" s="667"/>
      <c r="P999" s="667"/>
      <c r="Q999" s="667"/>
    </row>
    <row r="1000" ht="15.75" customHeight="1">
      <c r="B1000" s="466"/>
      <c r="C1000" s="667"/>
      <c r="D1000" s="667"/>
      <c r="E1000" s="668"/>
      <c r="F1000" s="667"/>
      <c r="G1000" s="667"/>
      <c r="H1000" s="667"/>
      <c r="I1000" s="667"/>
      <c r="J1000" s="667"/>
      <c r="K1000" s="667"/>
      <c r="L1000" s="667"/>
      <c r="M1000" s="667"/>
      <c r="N1000" s="667"/>
      <c r="O1000" s="667"/>
      <c r="P1000" s="667"/>
      <c r="Q1000" s="667"/>
    </row>
  </sheetData>
  <mergeCells count="22">
    <mergeCell ref="B1:Q1"/>
    <mergeCell ref="C2:Q2"/>
    <mergeCell ref="K3:M3"/>
    <mergeCell ref="O3:Q3"/>
    <mergeCell ref="L4:M4"/>
    <mergeCell ref="B363:Q363"/>
    <mergeCell ref="B364:Q364"/>
    <mergeCell ref="C368:E368"/>
    <mergeCell ref="G368:H368"/>
    <mergeCell ref="I368:L368"/>
    <mergeCell ref="M368:Q368"/>
    <mergeCell ref="C369:E369"/>
    <mergeCell ref="G369:H369"/>
    <mergeCell ref="J369:L369"/>
    <mergeCell ref="M369:Q369"/>
    <mergeCell ref="C365:E365"/>
    <mergeCell ref="G365:H365"/>
    <mergeCell ref="I365:L365"/>
    <mergeCell ref="G366:H366"/>
    <mergeCell ref="K366:L366"/>
    <mergeCell ref="B367:C367"/>
    <mergeCell ref="E367:F367"/>
  </mergeCells>
  <printOptions/>
  <pageMargins bottom="0.7480314960629921" footer="0.0" header="0.0" left="0.7086614173228347" right="0.7086614173228347" top="0.7480314960629921"/>
  <pageSetup paperSize="5" scale="90"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3.0"/>
    <col customWidth="1" min="2" max="2" width="4.71"/>
    <col customWidth="1" min="3" max="3" width="11.43"/>
    <col customWidth="1" min="4" max="4" width="12.71"/>
    <col customWidth="1" min="5" max="5" width="16.71"/>
    <col customWidth="1" min="6" max="6" width="12.0"/>
    <col customWidth="1" min="7" max="7" width="20.14"/>
    <col customWidth="1" min="8" max="8" width="10.0"/>
    <col customWidth="1" min="9" max="9" width="8.43"/>
    <col customWidth="1" min="10" max="10" width="9.0"/>
    <col customWidth="1" min="11" max="11" width="7.29"/>
    <col customWidth="1" min="12" max="12" width="9.71"/>
    <col customWidth="1" min="13" max="13" width="13.71"/>
    <col customWidth="1" min="14" max="14" width="36.86"/>
    <col customWidth="1" min="15" max="15" width="5.29"/>
    <col customWidth="1" min="16" max="16" width="11.43"/>
    <col customWidth="1" min="17" max="17" width="6.14"/>
    <col customWidth="1" min="18" max="26" width="8.71"/>
  </cols>
  <sheetData>
    <row r="1">
      <c r="B1" s="475" t="s">
        <v>14157</v>
      </c>
    </row>
    <row r="2">
      <c r="B2" s="399"/>
      <c r="C2" s="400" t="s">
        <v>19694</v>
      </c>
      <c r="D2" s="6"/>
      <c r="E2" s="6"/>
      <c r="F2" s="6"/>
      <c r="G2" s="6"/>
      <c r="H2" s="6"/>
      <c r="I2" s="6"/>
      <c r="J2" s="6"/>
      <c r="K2" s="6"/>
      <c r="L2" s="6"/>
      <c r="M2" s="6"/>
      <c r="N2" s="6"/>
      <c r="O2" s="6"/>
      <c r="P2" s="6"/>
      <c r="Q2" s="7"/>
    </row>
    <row r="3">
      <c r="B3" s="399"/>
      <c r="C3" s="401"/>
      <c r="D3" s="9"/>
      <c r="E3" s="402"/>
      <c r="F3" s="9"/>
      <c r="G3" s="403"/>
      <c r="H3" s="403"/>
      <c r="I3" s="403"/>
      <c r="J3" s="9"/>
      <c r="K3" s="12"/>
      <c r="M3" s="13"/>
      <c r="N3" s="343" t="s">
        <v>3</v>
      </c>
      <c r="O3" s="404" t="s">
        <v>23216</v>
      </c>
      <c r="P3" s="16"/>
      <c r="Q3" s="17"/>
    </row>
    <row r="4">
      <c r="B4" s="399"/>
      <c r="C4" s="405"/>
      <c r="D4" s="9"/>
      <c r="E4" s="402"/>
      <c r="F4" s="9"/>
      <c r="G4" s="403"/>
      <c r="H4" s="321"/>
      <c r="I4" s="403"/>
      <c r="J4" s="9"/>
      <c r="K4" s="403"/>
      <c r="L4" s="406"/>
      <c r="M4" s="407"/>
      <c r="N4" s="403"/>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347">
        <v>1.0</v>
      </c>
      <c r="C6" s="342"/>
      <c r="D6" s="433"/>
      <c r="E6" s="434" t="s">
        <v>23217</v>
      </c>
      <c r="F6" s="345" t="s">
        <v>23218</v>
      </c>
      <c r="G6" s="345" t="s">
        <v>23219</v>
      </c>
      <c r="H6" s="345"/>
      <c r="I6" s="433"/>
      <c r="J6" s="342"/>
      <c r="K6" s="342"/>
      <c r="L6" s="952"/>
      <c r="M6" s="433"/>
      <c r="N6" s="433" t="s">
        <v>23220</v>
      </c>
      <c r="O6" s="433">
        <v>2001.0</v>
      </c>
      <c r="P6" s="952" t="s">
        <v>15274</v>
      </c>
      <c r="Q6" s="433">
        <v>1.0</v>
      </c>
    </row>
    <row r="7">
      <c r="B7" s="347">
        <v>2.0</v>
      </c>
      <c r="C7" s="342"/>
      <c r="D7" s="433"/>
      <c r="E7" s="434" t="s">
        <v>23221</v>
      </c>
      <c r="F7" s="345" t="s">
        <v>23218</v>
      </c>
      <c r="G7" s="345" t="s">
        <v>23219</v>
      </c>
      <c r="H7" s="345"/>
      <c r="I7" s="433"/>
      <c r="J7" s="342"/>
      <c r="K7" s="342"/>
      <c r="L7" s="952"/>
      <c r="M7" s="538"/>
      <c r="N7" s="433" t="s">
        <v>23222</v>
      </c>
      <c r="O7" s="433">
        <v>2000.0</v>
      </c>
      <c r="P7" s="952" t="s">
        <v>15274</v>
      </c>
      <c r="Q7" s="433">
        <v>2.0</v>
      </c>
    </row>
    <row r="8">
      <c r="B8" s="347">
        <v>3.0</v>
      </c>
      <c r="C8" s="342"/>
      <c r="D8" s="433"/>
      <c r="E8" s="434" t="s">
        <v>23223</v>
      </c>
      <c r="F8" s="345" t="s">
        <v>23224</v>
      </c>
      <c r="G8" s="345" t="s">
        <v>23219</v>
      </c>
      <c r="H8" s="345"/>
      <c r="I8" s="433"/>
      <c r="J8" s="342"/>
      <c r="K8" s="342"/>
      <c r="L8" s="952"/>
      <c r="M8" s="433"/>
      <c r="N8" s="433" t="s">
        <v>23225</v>
      </c>
      <c r="O8" s="433">
        <v>2011.0</v>
      </c>
      <c r="P8" s="952" t="s">
        <v>15274</v>
      </c>
      <c r="Q8" s="433">
        <v>3.0</v>
      </c>
    </row>
    <row r="9">
      <c r="B9" s="347">
        <v>4.0</v>
      </c>
      <c r="C9" s="342"/>
      <c r="D9" s="433"/>
      <c r="E9" s="434" t="s">
        <v>23226</v>
      </c>
      <c r="F9" s="345" t="s">
        <v>23224</v>
      </c>
      <c r="G9" s="345" t="s">
        <v>23219</v>
      </c>
      <c r="H9" s="345"/>
      <c r="I9" s="433"/>
      <c r="J9" s="342"/>
      <c r="K9" s="342"/>
      <c r="L9" s="952"/>
      <c r="M9" s="433"/>
      <c r="N9" s="433" t="s">
        <v>6535</v>
      </c>
      <c r="O9" s="433">
        <v>1990.0</v>
      </c>
      <c r="P9" s="952" t="s">
        <v>15274</v>
      </c>
      <c r="Q9" s="433">
        <v>1.0</v>
      </c>
    </row>
    <row r="10">
      <c r="B10" s="347">
        <v>5.0</v>
      </c>
      <c r="C10" s="342"/>
      <c r="D10" s="433"/>
      <c r="E10" s="434" t="s">
        <v>23227</v>
      </c>
      <c r="F10" s="345" t="s">
        <v>23224</v>
      </c>
      <c r="G10" s="345" t="s">
        <v>23219</v>
      </c>
      <c r="H10" s="345"/>
      <c r="I10" s="433"/>
      <c r="J10" s="342"/>
      <c r="K10" s="342"/>
      <c r="L10" s="952"/>
      <c r="M10" s="342"/>
      <c r="N10" s="433" t="s">
        <v>23228</v>
      </c>
      <c r="O10" s="433">
        <v>1999.0</v>
      </c>
      <c r="P10" s="952" t="s">
        <v>15274</v>
      </c>
      <c r="Q10" s="433">
        <v>1.0</v>
      </c>
    </row>
    <row r="11">
      <c r="B11" s="347">
        <v>6.0</v>
      </c>
      <c r="C11" s="342"/>
      <c r="D11" s="433"/>
      <c r="E11" s="434" t="s">
        <v>23229</v>
      </c>
      <c r="F11" s="345" t="s">
        <v>23230</v>
      </c>
      <c r="G11" s="345" t="s">
        <v>23219</v>
      </c>
      <c r="H11" s="345" t="s">
        <v>30</v>
      </c>
      <c r="I11" s="433"/>
      <c r="J11" s="345" t="s">
        <v>30</v>
      </c>
      <c r="K11" s="342"/>
      <c r="L11" s="952"/>
      <c r="M11" s="433"/>
      <c r="N11" s="433" t="s">
        <v>23231</v>
      </c>
      <c r="O11" s="433">
        <v>2001.0</v>
      </c>
      <c r="P11" s="952" t="s">
        <v>15274</v>
      </c>
      <c r="Q11" s="433">
        <v>1.0</v>
      </c>
    </row>
    <row r="12">
      <c r="B12" s="347">
        <v>7.0</v>
      </c>
      <c r="C12" s="342"/>
      <c r="D12" s="433"/>
      <c r="E12" s="434" t="s">
        <v>23232</v>
      </c>
      <c r="F12" s="345" t="s">
        <v>23230</v>
      </c>
      <c r="G12" s="345" t="s">
        <v>23219</v>
      </c>
      <c r="H12" s="345" t="s">
        <v>30</v>
      </c>
      <c r="I12" s="433"/>
      <c r="J12" s="345" t="s">
        <v>30</v>
      </c>
      <c r="K12" s="342"/>
      <c r="L12" s="952"/>
      <c r="M12" s="433"/>
      <c r="N12" s="433" t="s">
        <v>23231</v>
      </c>
      <c r="O12" s="433">
        <v>2003.0</v>
      </c>
      <c r="P12" s="952" t="s">
        <v>15274</v>
      </c>
      <c r="Q12" s="433">
        <v>1.0</v>
      </c>
    </row>
    <row r="13">
      <c r="B13" s="347">
        <v>8.0</v>
      </c>
      <c r="C13" s="342"/>
      <c r="D13" s="433"/>
      <c r="E13" s="434" t="s">
        <v>23233</v>
      </c>
      <c r="F13" s="345" t="s">
        <v>23230</v>
      </c>
      <c r="G13" s="345" t="s">
        <v>23219</v>
      </c>
      <c r="H13" s="345" t="s">
        <v>30</v>
      </c>
      <c r="I13" s="433"/>
      <c r="J13" s="345" t="s">
        <v>30</v>
      </c>
      <c r="K13" s="342"/>
      <c r="L13" s="952"/>
      <c r="M13" s="342"/>
      <c r="N13" s="433" t="s">
        <v>23234</v>
      </c>
      <c r="O13" s="433">
        <v>2005.0</v>
      </c>
      <c r="P13" s="952" t="s">
        <v>15274</v>
      </c>
      <c r="Q13" s="433">
        <v>1.0</v>
      </c>
    </row>
    <row r="14">
      <c r="B14" s="347">
        <v>9.0</v>
      </c>
      <c r="C14" s="342"/>
      <c r="D14" s="433" t="s">
        <v>11752</v>
      </c>
      <c r="E14" s="434" t="s">
        <v>23235</v>
      </c>
      <c r="F14" s="345" t="s">
        <v>23230</v>
      </c>
      <c r="G14" s="345" t="s">
        <v>23219</v>
      </c>
      <c r="H14" s="345" t="s">
        <v>30</v>
      </c>
      <c r="I14" s="433"/>
      <c r="J14" s="345" t="s">
        <v>30</v>
      </c>
      <c r="K14" s="342"/>
      <c r="L14" s="342"/>
      <c r="M14" s="342"/>
      <c r="N14" s="433" t="s">
        <v>23236</v>
      </c>
      <c r="O14" s="433">
        <v>2010.0</v>
      </c>
      <c r="P14" s="952" t="s">
        <v>15274</v>
      </c>
      <c r="Q14" s="433">
        <v>1.0</v>
      </c>
    </row>
    <row r="15">
      <c r="B15" s="347">
        <v>10.0</v>
      </c>
      <c r="C15" s="342"/>
      <c r="D15" s="433"/>
      <c r="E15" s="434" t="s">
        <v>23237</v>
      </c>
      <c r="F15" s="345" t="s">
        <v>23230</v>
      </c>
      <c r="G15" s="345" t="s">
        <v>23219</v>
      </c>
      <c r="H15" s="345" t="s">
        <v>30</v>
      </c>
      <c r="I15" s="433"/>
      <c r="J15" s="345" t="s">
        <v>30</v>
      </c>
      <c r="K15" s="342"/>
      <c r="L15" s="342"/>
      <c r="M15" s="342"/>
      <c r="N15" s="433" t="s">
        <v>23236</v>
      </c>
      <c r="O15" s="433">
        <v>2010.0</v>
      </c>
      <c r="P15" s="952" t="s">
        <v>15274</v>
      </c>
      <c r="Q15" s="433">
        <v>1.0</v>
      </c>
    </row>
    <row r="16">
      <c r="B16" s="347">
        <v>11.0</v>
      </c>
      <c r="C16" s="342" t="s">
        <v>31</v>
      </c>
      <c r="D16" s="433"/>
      <c r="E16" s="434" t="s">
        <v>23238</v>
      </c>
      <c r="F16" s="345" t="s">
        <v>23230</v>
      </c>
      <c r="G16" s="345" t="s">
        <v>23219</v>
      </c>
      <c r="H16" s="345" t="s">
        <v>30</v>
      </c>
      <c r="I16" s="433"/>
      <c r="J16" s="345" t="s">
        <v>30</v>
      </c>
      <c r="K16" s="342"/>
      <c r="L16" s="433"/>
      <c r="M16" s="342"/>
      <c r="N16" s="433" t="s">
        <v>23239</v>
      </c>
      <c r="O16" s="433">
        <v>2000.0</v>
      </c>
      <c r="P16" s="952" t="s">
        <v>15274</v>
      </c>
      <c r="Q16" s="433">
        <v>1.0</v>
      </c>
    </row>
    <row r="17">
      <c r="B17" s="347">
        <v>12.0</v>
      </c>
      <c r="C17" s="433"/>
      <c r="D17" s="433"/>
      <c r="E17" s="434" t="s">
        <v>23240</v>
      </c>
      <c r="F17" s="345"/>
      <c r="G17" s="345" t="s">
        <v>23219</v>
      </c>
      <c r="H17" s="345"/>
      <c r="I17" s="433"/>
      <c r="J17" s="433"/>
      <c r="K17" s="433"/>
      <c r="L17" s="433"/>
      <c r="M17" s="342"/>
      <c r="N17" s="433" t="s">
        <v>23228</v>
      </c>
      <c r="O17" s="433">
        <v>1996.0</v>
      </c>
      <c r="P17" s="952" t="s">
        <v>15274</v>
      </c>
      <c r="Q17" s="433">
        <v>1.0</v>
      </c>
    </row>
    <row r="18">
      <c r="B18" s="347">
        <v>13.0</v>
      </c>
      <c r="C18" s="433"/>
      <c r="D18" s="433"/>
      <c r="E18" s="434" t="s">
        <v>23241</v>
      </c>
      <c r="F18" s="345" t="s">
        <v>23230</v>
      </c>
      <c r="G18" s="345" t="s">
        <v>23219</v>
      </c>
      <c r="H18" s="345"/>
      <c r="I18" s="433"/>
      <c r="J18" s="433"/>
      <c r="K18" s="433"/>
      <c r="L18" s="433"/>
      <c r="M18" s="342"/>
      <c r="N18" s="433" t="s">
        <v>23242</v>
      </c>
      <c r="O18" s="433">
        <v>2000.0</v>
      </c>
      <c r="P18" s="952" t="s">
        <v>15274</v>
      </c>
      <c r="Q18" s="433">
        <v>1.0</v>
      </c>
    </row>
    <row r="19">
      <c r="B19" s="347">
        <v>14.0</v>
      </c>
      <c r="C19" s="433"/>
      <c r="D19" s="433"/>
      <c r="E19" s="434" t="s">
        <v>23243</v>
      </c>
      <c r="F19" s="345" t="s">
        <v>23230</v>
      </c>
      <c r="G19" s="345" t="s">
        <v>23219</v>
      </c>
      <c r="H19" s="345"/>
      <c r="I19" s="433"/>
      <c r="J19" s="433"/>
      <c r="K19" s="433"/>
      <c r="L19" s="433"/>
      <c r="M19" s="342"/>
      <c r="N19" s="433" t="s">
        <v>20446</v>
      </c>
      <c r="O19" s="433">
        <v>2008.0</v>
      </c>
      <c r="P19" s="952" t="s">
        <v>15274</v>
      </c>
      <c r="Q19" s="433">
        <v>1.0</v>
      </c>
    </row>
    <row r="20">
      <c r="B20" s="347">
        <v>15.0</v>
      </c>
      <c r="C20" s="433"/>
      <c r="D20" s="433"/>
      <c r="E20" s="434" t="s">
        <v>23244</v>
      </c>
      <c r="F20" s="345" t="s">
        <v>23230</v>
      </c>
      <c r="G20" s="345" t="s">
        <v>23219</v>
      </c>
      <c r="H20" s="345" t="s">
        <v>30</v>
      </c>
      <c r="I20" s="433"/>
      <c r="J20" s="345" t="s">
        <v>30</v>
      </c>
      <c r="K20" s="433"/>
      <c r="L20" s="433"/>
      <c r="M20" s="342"/>
      <c r="N20" s="433" t="s">
        <v>23245</v>
      </c>
      <c r="O20" s="433">
        <v>2004.0</v>
      </c>
      <c r="P20" s="952" t="s">
        <v>15274</v>
      </c>
      <c r="Q20" s="433">
        <v>1.0</v>
      </c>
    </row>
    <row r="21" ht="15.75" customHeight="1">
      <c r="B21" s="347">
        <v>16.0</v>
      </c>
      <c r="C21" s="433"/>
      <c r="D21" s="433"/>
      <c r="E21" s="434" t="s">
        <v>23246</v>
      </c>
      <c r="F21" s="345" t="s">
        <v>23230</v>
      </c>
      <c r="G21" s="345" t="s">
        <v>23219</v>
      </c>
      <c r="H21" s="345" t="s">
        <v>30</v>
      </c>
      <c r="I21" s="433"/>
      <c r="J21" s="345" t="s">
        <v>30</v>
      </c>
      <c r="K21" s="433"/>
      <c r="L21" s="433"/>
      <c r="M21" s="342"/>
      <c r="N21" s="433" t="s">
        <v>23245</v>
      </c>
      <c r="O21" s="433">
        <v>2004.0</v>
      </c>
      <c r="P21" s="952" t="s">
        <v>15274</v>
      </c>
      <c r="Q21" s="433">
        <v>1.0</v>
      </c>
    </row>
    <row r="22" ht="15.75" customHeight="1">
      <c r="B22" s="347">
        <v>17.0</v>
      </c>
      <c r="C22" s="433"/>
      <c r="D22" s="433"/>
      <c r="E22" s="434" t="s">
        <v>23247</v>
      </c>
      <c r="F22" s="345" t="s">
        <v>23230</v>
      </c>
      <c r="G22" s="345" t="s">
        <v>23219</v>
      </c>
      <c r="H22" s="345" t="s">
        <v>30</v>
      </c>
      <c r="I22" s="433"/>
      <c r="J22" s="345" t="s">
        <v>30</v>
      </c>
      <c r="K22" s="433"/>
      <c r="L22" s="433"/>
      <c r="M22" s="342"/>
      <c r="N22" s="433" t="s">
        <v>23248</v>
      </c>
      <c r="O22" s="433">
        <v>2004.0</v>
      </c>
      <c r="P22" s="952" t="s">
        <v>15274</v>
      </c>
      <c r="Q22" s="433">
        <v>1.0</v>
      </c>
    </row>
    <row r="23" ht="15.75" customHeight="1">
      <c r="B23" s="347">
        <v>18.0</v>
      </c>
      <c r="C23" s="433"/>
      <c r="D23" s="433"/>
      <c r="E23" s="434" t="s">
        <v>23249</v>
      </c>
      <c r="F23" s="345" t="s">
        <v>23230</v>
      </c>
      <c r="G23" s="345" t="s">
        <v>23219</v>
      </c>
      <c r="H23" s="345" t="s">
        <v>30</v>
      </c>
      <c r="I23" s="433"/>
      <c r="J23" s="345" t="s">
        <v>30</v>
      </c>
      <c r="K23" s="433"/>
      <c r="L23" s="433"/>
      <c r="M23" s="342"/>
      <c r="N23" s="433" t="s">
        <v>23250</v>
      </c>
      <c r="O23" s="433">
        <v>2007.0</v>
      </c>
      <c r="P23" s="952" t="s">
        <v>15274</v>
      </c>
      <c r="Q23" s="433">
        <v>1.0</v>
      </c>
    </row>
    <row r="24" ht="15.75" customHeight="1">
      <c r="B24" s="347">
        <v>19.0</v>
      </c>
      <c r="C24" s="433"/>
      <c r="D24" s="433"/>
      <c r="E24" s="434" t="s">
        <v>23251</v>
      </c>
      <c r="F24" s="345" t="s">
        <v>23230</v>
      </c>
      <c r="G24" s="345" t="s">
        <v>23219</v>
      </c>
      <c r="H24" s="345" t="s">
        <v>30</v>
      </c>
      <c r="I24" s="433"/>
      <c r="J24" s="345" t="s">
        <v>30</v>
      </c>
      <c r="K24" s="433"/>
      <c r="L24" s="433"/>
      <c r="M24" s="342"/>
      <c r="N24" s="433" t="s">
        <v>23250</v>
      </c>
      <c r="O24" s="433">
        <v>2009.0</v>
      </c>
      <c r="P24" s="952" t="s">
        <v>15274</v>
      </c>
      <c r="Q24" s="433">
        <v>1.0</v>
      </c>
    </row>
    <row r="25" ht="15.75" customHeight="1">
      <c r="B25" s="347">
        <v>20.0</v>
      </c>
      <c r="C25" s="433"/>
      <c r="D25" s="433"/>
      <c r="E25" s="434" t="s">
        <v>23252</v>
      </c>
      <c r="F25" s="345" t="s">
        <v>23230</v>
      </c>
      <c r="G25" s="345" t="s">
        <v>23219</v>
      </c>
      <c r="H25" s="345"/>
      <c r="I25" s="433"/>
      <c r="J25" s="433"/>
      <c r="K25" s="433"/>
      <c r="L25" s="433"/>
      <c r="M25" s="342"/>
      <c r="N25" s="433" t="s">
        <v>23253</v>
      </c>
      <c r="O25" s="433">
        <v>2008.0</v>
      </c>
      <c r="P25" s="952" t="s">
        <v>15274</v>
      </c>
      <c r="Q25" s="433">
        <v>1.0</v>
      </c>
    </row>
    <row r="26" ht="15.75" customHeight="1">
      <c r="B26" s="347">
        <v>21.0</v>
      </c>
      <c r="C26" s="433"/>
      <c r="D26" s="433"/>
      <c r="E26" s="434" t="s">
        <v>23254</v>
      </c>
      <c r="F26" s="345" t="s">
        <v>23230</v>
      </c>
      <c r="G26" s="345" t="s">
        <v>23219</v>
      </c>
      <c r="H26" s="345"/>
      <c r="I26" s="433"/>
      <c r="J26" s="433"/>
      <c r="K26" s="433"/>
      <c r="L26" s="433"/>
      <c r="M26" s="342"/>
      <c r="N26" s="433" t="s">
        <v>23255</v>
      </c>
      <c r="O26" s="433">
        <v>2012.0</v>
      </c>
      <c r="P26" s="952" t="s">
        <v>15274</v>
      </c>
      <c r="Q26" s="433">
        <v>1.0</v>
      </c>
    </row>
    <row r="27" ht="15.75" customHeight="1">
      <c r="B27" s="347">
        <v>22.0</v>
      </c>
      <c r="C27" s="433"/>
      <c r="D27" s="433"/>
      <c r="E27" s="434" t="s">
        <v>23256</v>
      </c>
      <c r="F27" s="345" t="s">
        <v>23230</v>
      </c>
      <c r="G27" s="345" t="s">
        <v>23219</v>
      </c>
      <c r="H27" s="345" t="s">
        <v>30</v>
      </c>
      <c r="I27" s="433"/>
      <c r="J27" s="345" t="s">
        <v>30</v>
      </c>
      <c r="K27" s="433"/>
      <c r="L27" s="433"/>
      <c r="M27" s="342"/>
      <c r="N27" s="433" t="s">
        <v>23248</v>
      </c>
      <c r="O27" s="433">
        <v>2004.0</v>
      </c>
      <c r="P27" s="952" t="s">
        <v>15274</v>
      </c>
      <c r="Q27" s="433">
        <v>1.0</v>
      </c>
    </row>
    <row r="28" ht="15.75" customHeight="1">
      <c r="B28" s="347">
        <v>23.0</v>
      </c>
      <c r="C28" s="433"/>
      <c r="D28" s="433"/>
      <c r="E28" s="434" t="s">
        <v>23257</v>
      </c>
      <c r="F28" s="345" t="s">
        <v>23230</v>
      </c>
      <c r="G28" s="345" t="s">
        <v>23219</v>
      </c>
      <c r="H28" s="345" t="s">
        <v>30</v>
      </c>
      <c r="I28" s="433"/>
      <c r="J28" s="345" t="s">
        <v>30</v>
      </c>
      <c r="K28" s="433"/>
      <c r="L28" s="433"/>
      <c r="M28" s="342"/>
      <c r="N28" s="433" t="s">
        <v>23248</v>
      </c>
      <c r="O28" s="433">
        <v>2004.0</v>
      </c>
      <c r="P28" s="952" t="s">
        <v>15274</v>
      </c>
      <c r="Q28" s="433">
        <v>1.0</v>
      </c>
    </row>
    <row r="29" ht="15.75" customHeight="1">
      <c r="B29" s="347">
        <v>24.0</v>
      </c>
      <c r="C29" s="433"/>
      <c r="D29" s="433"/>
      <c r="E29" s="434" t="s">
        <v>23258</v>
      </c>
      <c r="F29" s="345" t="s">
        <v>23230</v>
      </c>
      <c r="G29" s="345" t="s">
        <v>23219</v>
      </c>
      <c r="H29" s="345"/>
      <c r="I29" s="433"/>
      <c r="J29" s="433"/>
      <c r="K29" s="433"/>
      <c r="L29" s="433"/>
      <c r="M29" s="342"/>
      <c r="N29" s="433" t="s">
        <v>23259</v>
      </c>
      <c r="O29" s="433">
        <v>2010.0</v>
      </c>
      <c r="P29" s="952" t="s">
        <v>15274</v>
      </c>
      <c r="Q29" s="433">
        <v>1.0</v>
      </c>
    </row>
    <row r="30" ht="15.75" customHeight="1">
      <c r="B30" s="347">
        <v>25.0</v>
      </c>
      <c r="C30" s="433"/>
      <c r="D30" s="433"/>
      <c r="E30" s="434" t="s">
        <v>23260</v>
      </c>
      <c r="F30" s="345" t="s">
        <v>23230</v>
      </c>
      <c r="G30" s="345" t="s">
        <v>23219</v>
      </c>
      <c r="H30" s="345"/>
      <c r="I30" s="433"/>
      <c r="J30" s="433"/>
      <c r="K30" s="433"/>
      <c r="L30" s="433"/>
      <c r="M30" s="342"/>
      <c r="N30" s="433" t="s">
        <v>23261</v>
      </c>
      <c r="O30" s="433"/>
      <c r="P30" s="952" t="s">
        <v>15274</v>
      </c>
      <c r="Q30" s="433">
        <v>1.0</v>
      </c>
    </row>
    <row r="31" ht="15.75" customHeight="1">
      <c r="B31" s="347">
        <v>26.0</v>
      </c>
      <c r="C31" s="433"/>
      <c r="D31" s="433"/>
      <c r="E31" s="434" t="s">
        <v>23262</v>
      </c>
      <c r="F31" s="345" t="s">
        <v>23230</v>
      </c>
      <c r="G31" s="345" t="s">
        <v>23219</v>
      </c>
      <c r="H31" s="345" t="s">
        <v>30</v>
      </c>
      <c r="I31" s="433"/>
      <c r="J31" s="345" t="s">
        <v>30</v>
      </c>
      <c r="K31" s="433"/>
      <c r="L31" s="433"/>
      <c r="M31" s="342"/>
      <c r="N31" s="433" t="s">
        <v>23263</v>
      </c>
      <c r="O31" s="433">
        <v>2009.0</v>
      </c>
      <c r="P31" s="952" t="s">
        <v>15274</v>
      </c>
      <c r="Q31" s="433">
        <v>1.0</v>
      </c>
    </row>
    <row r="32" ht="15.75" customHeight="1">
      <c r="B32" s="347">
        <v>27.0</v>
      </c>
      <c r="C32" s="433"/>
      <c r="D32" s="433"/>
      <c r="E32" s="434" t="s">
        <v>23264</v>
      </c>
      <c r="F32" s="345" t="s">
        <v>23230</v>
      </c>
      <c r="G32" s="345" t="s">
        <v>23219</v>
      </c>
      <c r="H32" s="345"/>
      <c r="I32" s="433"/>
      <c r="J32" s="433"/>
      <c r="K32" s="433"/>
      <c r="L32" s="433"/>
      <c r="M32" s="342"/>
      <c r="N32" s="433" t="s">
        <v>23265</v>
      </c>
      <c r="O32" s="433">
        <v>2010.0</v>
      </c>
      <c r="P32" s="952" t="s">
        <v>15274</v>
      </c>
      <c r="Q32" s="433">
        <v>1.0</v>
      </c>
    </row>
    <row r="33" ht="15.75" customHeight="1">
      <c r="B33" s="347">
        <v>28.0</v>
      </c>
      <c r="C33" s="433"/>
      <c r="D33" s="433"/>
      <c r="E33" s="434" t="s">
        <v>23266</v>
      </c>
      <c r="F33" s="345" t="s">
        <v>23230</v>
      </c>
      <c r="G33" s="345" t="s">
        <v>23219</v>
      </c>
      <c r="H33" s="345"/>
      <c r="I33" s="433"/>
      <c r="J33" s="433"/>
      <c r="K33" s="433"/>
      <c r="L33" s="433"/>
      <c r="M33" s="342"/>
      <c r="N33" s="433" t="s">
        <v>2898</v>
      </c>
      <c r="O33" s="433">
        <v>2009.0</v>
      </c>
      <c r="P33" s="952" t="s">
        <v>15274</v>
      </c>
      <c r="Q33" s="433">
        <v>1.0</v>
      </c>
    </row>
    <row r="34" ht="15.75" customHeight="1">
      <c r="B34" s="347">
        <v>29.0</v>
      </c>
      <c r="C34" s="433"/>
      <c r="D34" s="433"/>
      <c r="E34" s="434" t="s">
        <v>23267</v>
      </c>
      <c r="F34" s="345" t="s">
        <v>23230</v>
      </c>
      <c r="G34" s="345" t="s">
        <v>23219</v>
      </c>
      <c r="H34" s="345"/>
      <c r="I34" s="433"/>
      <c r="J34" s="433"/>
      <c r="K34" s="433"/>
      <c r="L34" s="433"/>
      <c r="M34" s="342"/>
      <c r="N34" s="433" t="s">
        <v>31</v>
      </c>
      <c r="O34" s="433">
        <v>2004.0</v>
      </c>
      <c r="P34" s="952" t="s">
        <v>15274</v>
      </c>
      <c r="Q34" s="433">
        <v>1.0</v>
      </c>
    </row>
    <row r="35" ht="15.75" customHeight="1">
      <c r="B35" s="347">
        <v>30.0</v>
      </c>
      <c r="C35" s="433"/>
      <c r="D35" s="433"/>
      <c r="E35" s="434" t="s">
        <v>23268</v>
      </c>
      <c r="F35" s="345" t="s">
        <v>23230</v>
      </c>
      <c r="G35" s="345" t="s">
        <v>23219</v>
      </c>
      <c r="H35" s="345"/>
      <c r="I35" s="433"/>
      <c r="J35" s="433"/>
      <c r="K35" s="433"/>
      <c r="L35" s="433"/>
      <c r="M35" s="342"/>
      <c r="N35" s="433" t="s">
        <v>13587</v>
      </c>
      <c r="O35" s="433">
        <v>2004.0</v>
      </c>
      <c r="P35" s="952" t="s">
        <v>15274</v>
      </c>
      <c r="Q35" s="433">
        <v>1.0</v>
      </c>
    </row>
    <row r="36" ht="15.75" customHeight="1">
      <c r="B36" s="347">
        <v>31.0</v>
      </c>
      <c r="C36" s="433"/>
      <c r="D36" s="433"/>
      <c r="E36" s="434" t="s">
        <v>23269</v>
      </c>
      <c r="F36" s="345" t="s">
        <v>23230</v>
      </c>
      <c r="G36" s="345" t="s">
        <v>23219</v>
      </c>
      <c r="H36" s="345"/>
      <c r="I36" s="433"/>
      <c r="J36" s="433"/>
      <c r="K36" s="433"/>
      <c r="L36" s="433"/>
      <c r="M36" s="342"/>
      <c r="N36" s="433" t="s">
        <v>20446</v>
      </c>
      <c r="O36" s="433" t="s">
        <v>31</v>
      </c>
      <c r="P36" s="952" t="s">
        <v>15274</v>
      </c>
      <c r="Q36" s="433">
        <v>1.0</v>
      </c>
    </row>
    <row r="37" ht="15.75" customHeight="1">
      <c r="B37" s="347">
        <v>32.0</v>
      </c>
      <c r="C37" s="433"/>
      <c r="D37" s="433"/>
      <c r="E37" s="434" t="s">
        <v>23270</v>
      </c>
      <c r="F37" s="345" t="s">
        <v>23230</v>
      </c>
      <c r="G37" s="345" t="s">
        <v>23219</v>
      </c>
      <c r="H37" s="345"/>
      <c r="I37" s="433"/>
      <c r="J37" s="433"/>
      <c r="K37" s="433"/>
      <c r="L37" s="433"/>
      <c r="M37" s="342"/>
      <c r="N37" s="433" t="s">
        <v>20446</v>
      </c>
      <c r="O37" s="433" t="s">
        <v>31</v>
      </c>
      <c r="P37" s="952" t="s">
        <v>15274</v>
      </c>
      <c r="Q37" s="433">
        <v>1.0</v>
      </c>
    </row>
    <row r="38" ht="15.75" customHeight="1">
      <c r="B38" s="347">
        <v>33.0</v>
      </c>
      <c r="C38" s="433"/>
      <c r="D38" s="433"/>
      <c r="E38" s="434" t="s">
        <v>23271</v>
      </c>
      <c r="F38" s="345" t="s">
        <v>23230</v>
      </c>
      <c r="G38" s="345" t="s">
        <v>23219</v>
      </c>
      <c r="H38" s="345"/>
      <c r="I38" s="433"/>
      <c r="J38" s="433"/>
      <c r="K38" s="433"/>
      <c r="L38" s="433"/>
      <c r="M38" s="342"/>
      <c r="N38" s="433" t="s">
        <v>20442</v>
      </c>
      <c r="O38" s="433" t="s">
        <v>31</v>
      </c>
      <c r="P38" s="952" t="s">
        <v>15274</v>
      </c>
      <c r="Q38" s="433">
        <v>1.0</v>
      </c>
    </row>
    <row r="39" ht="15.75" customHeight="1">
      <c r="B39" s="347">
        <v>34.0</v>
      </c>
      <c r="C39" s="433"/>
      <c r="D39" s="433"/>
      <c r="E39" s="434" t="s">
        <v>23272</v>
      </c>
      <c r="F39" s="345" t="s">
        <v>23230</v>
      </c>
      <c r="G39" s="345" t="s">
        <v>23219</v>
      </c>
      <c r="H39" s="345"/>
      <c r="I39" s="433"/>
      <c r="J39" s="433"/>
      <c r="K39" s="433"/>
      <c r="L39" s="433"/>
      <c r="M39" s="342"/>
      <c r="N39" s="433" t="s">
        <v>23265</v>
      </c>
      <c r="O39" s="433">
        <v>2011.0</v>
      </c>
      <c r="P39" s="952" t="s">
        <v>15274</v>
      </c>
      <c r="Q39" s="433">
        <v>1.0</v>
      </c>
    </row>
    <row r="40" ht="15.75" customHeight="1">
      <c r="B40" s="347">
        <v>35.0</v>
      </c>
      <c r="C40" s="433"/>
      <c r="D40" s="433"/>
      <c r="E40" s="434" t="s">
        <v>23267</v>
      </c>
      <c r="F40" s="345" t="s">
        <v>23230</v>
      </c>
      <c r="G40" s="345" t="s">
        <v>23219</v>
      </c>
      <c r="H40" s="345"/>
      <c r="I40" s="433"/>
      <c r="J40" s="433"/>
      <c r="K40" s="433"/>
      <c r="L40" s="433"/>
      <c r="M40" s="342"/>
      <c r="N40" s="433" t="s">
        <v>13587</v>
      </c>
      <c r="O40" s="433" t="s">
        <v>31</v>
      </c>
      <c r="P40" s="952" t="s">
        <v>15274</v>
      </c>
      <c r="Q40" s="433">
        <v>1.0</v>
      </c>
    </row>
    <row r="41" ht="15.75" customHeight="1">
      <c r="B41" s="347">
        <v>36.0</v>
      </c>
      <c r="C41" s="433"/>
      <c r="D41" s="433"/>
      <c r="E41" s="434" t="s">
        <v>23273</v>
      </c>
      <c r="F41" s="345" t="s">
        <v>23230</v>
      </c>
      <c r="G41" s="345" t="s">
        <v>23219</v>
      </c>
      <c r="H41" s="345"/>
      <c r="I41" s="433"/>
      <c r="J41" s="433"/>
      <c r="K41" s="433"/>
      <c r="L41" s="433"/>
      <c r="M41" s="342"/>
      <c r="N41" s="433" t="s">
        <v>23274</v>
      </c>
      <c r="O41" s="433">
        <v>2001.0</v>
      </c>
      <c r="P41" s="952" t="s">
        <v>15274</v>
      </c>
      <c r="Q41" s="433">
        <v>1.0</v>
      </c>
    </row>
    <row r="42" ht="15.75" customHeight="1">
      <c r="B42" s="347"/>
      <c r="C42" s="433"/>
      <c r="D42" s="433"/>
      <c r="E42" s="434" t="s">
        <v>23275</v>
      </c>
      <c r="F42" s="345" t="s">
        <v>23230</v>
      </c>
      <c r="G42" s="345" t="s">
        <v>23276</v>
      </c>
      <c r="H42" s="345" t="s">
        <v>30</v>
      </c>
      <c r="I42" s="433"/>
      <c r="J42" s="433" t="s">
        <v>30</v>
      </c>
      <c r="K42" s="433"/>
      <c r="L42" s="433"/>
      <c r="M42" s="342"/>
      <c r="N42" s="433" t="s">
        <v>23277</v>
      </c>
      <c r="O42" s="433">
        <v>2016.0</v>
      </c>
      <c r="P42" s="952" t="s">
        <v>15470</v>
      </c>
      <c r="Q42" s="433">
        <v>1.0</v>
      </c>
    </row>
    <row r="43" ht="15.75" customHeight="1">
      <c r="B43" s="347">
        <v>37.0</v>
      </c>
      <c r="C43" s="433"/>
      <c r="D43" s="433"/>
      <c r="E43" s="434" t="s">
        <v>23278</v>
      </c>
      <c r="F43" s="345" t="s">
        <v>23230</v>
      </c>
      <c r="G43" s="345" t="s">
        <v>23276</v>
      </c>
      <c r="H43" s="345" t="s">
        <v>30</v>
      </c>
      <c r="I43" s="433"/>
      <c r="J43" s="433" t="s">
        <v>30</v>
      </c>
      <c r="K43" s="433"/>
      <c r="L43" s="433"/>
      <c r="M43" s="342"/>
      <c r="N43" s="433" t="s">
        <v>23277</v>
      </c>
      <c r="O43" s="433">
        <v>2012.0</v>
      </c>
      <c r="P43" s="952" t="s">
        <v>15470</v>
      </c>
      <c r="Q43" s="433">
        <v>1.0</v>
      </c>
    </row>
    <row r="44" ht="15.75" customHeight="1">
      <c r="B44" s="347">
        <v>38.0</v>
      </c>
      <c r="C44" s="433"/>
      <c r="D44" s="433"/>
      <c r="E44" s="434" t="s">
        <v>23279</v>
      </c>
      <c r="F44" s="345" t="s">
        <v>23280</v>
      </c>
      <c r="G44" s="345" t="s">
        <v>23219</v>
      </c>
      <c r="H44" s="345"/>
      <c r="I44" s="433"/>
      <c r="J44" s="433"/>
      <c r="K44" s="433"/>
      <c r="L44" s="433"/>
      <c r="M44" s="342"/>
      <c r="N44" s="433" t="s">
        <v>23281</v>
      </c>
      <c r="O44" s="433">
        <v>1989.0</v>
      </c>
      <c r="P44" s="952" t="s">
        <v>15274</v>
      </c>
      <c r="Q44" s="433">
        <v>10.0</v>
      </c>
    </row>
    <row r="45" ht="15.75" customHeight="1">
      <c r="B45" s="347">
        <v>39.0</v>
      </c>
      <c r="C45" s="433"/>
      <c r="D45" s="433"/>
      <c r="E45" s="434" t="s">
        <v>23282</v>
      </c>
      <c r="F45" s="345" t="s">
        <v>23280</v>
      </c>
      <c r="G45" s="345" t="s">
        <v>23219</v>
      </c>
      <c r="H45" s="345"/>
      <c r="I45" s="433"/>
      <c r="J45" s="433"/>
      <c r="K45" s="433"/>
      <c r="L45" s="433"/>
      <c r="M45" s="342"/>
      <c r="N45" s="433" t="s">
        <v>23281</v>
      </c>
      <c r="O45" s="433">
        <v>1989.0</v>
      </c>
      <c r="P45" s="952" t="s">
        <v>15274</v>
      </c>
      <c r="Q45" s="433">
        <v>8.0</v>
      </c>
    </row>
    <row r="46" ht="15.75" customHeight="1">
      <c r="B46" s="347">
        <v>40.0</v>
      </c>
      <c r="C46" s="433"/>
      <c r="D46" s="433"/>
      <c r="E46" s="434" t="s">
        <v>23283</v>
      </c>
      <c r="F46" s="345" t="s">
        <v>23280</v>
      </c>
      <c r="G46" s="345" t="s">
        <v>23219</v>
      </c>
      <c r="H46" s="345"/>
      <c r="I46" s="433"/>
      <c r="J46" s="433"/>
      <c r="K46" s="433"/>
      <c r="L46" s="433"/>
      <c r="M46" s="342"/>
      <c r="N46" s="433" t="s">
        <v>23284</v>
      </c>
      <c r="O46" s="433" t="s">
        <v>31</v>
      </c>
      <c r="P46" s="952" t="s">
        <v>15274</v>
      </c>
      <c r="Q46" s="433">
        <v>1.0</v>
      </c>
    </row>
    <row r="47" ht="15.75" customHeight="1">
      <c r="B47" s="347">
        <v>41.0</v>
      </c>
      <c r="C47" s="433"/>
      <c r="D47" s="433"/>
      <c r="E47" s="434" t="s">
        <v>23285</v>
      </c>
      <c r="F47" s="345" t="s">
        <v>23280</v>
      </c>
      <c r="G47" s="345" t="s">
        <v>23219</v>
      </c>
      <c r="H47" s="345"/>
      <c r="I47" s="433"/>
      <c r="J47" s="433"/>
      <c r="K47" s="433"/>
      <c r="L47" s="433"/>
      <c r="M47" s="342"/>
      <c r="N47" s="433" t="s">
        <v>23284</v>
      </c>
      <c r="O47" s="433" t="s">
        <v>31</v>
      </c>
      <c r="P47" s="952" t="s">
        <v>15274</v>
      </c>
      <c r="Q47" s="433">
        <v>1.0</v>
      </c>
    </row>
    <row r="48" ht="15.75" customHeight="1">
      <c r="B48" s="347">
        <v>42.0</v>
      </c>
      <c r="C48" s="433"/>
      <c r="D48" s="433"/>
      <c r="E48" s="434" t="s">
        <v>23286</v>
      </c>
      <c r="F48" s="345" t="s">
        <v>23280</v>
      </c>
      <c r="G48" s="345" t="s">
        <v>23219</v>
      </c>
      <c r="H48" s="345"/>
      <c r="I48" s="433"/>
      <c r="J48" s="433"/>
      <c r="K48" s="433"/>
      <c r="L48" s="433"/>
      <c r="M48" s="342"/>
      <c r="N48" s="433" t="s">
        <v>23284</v>
      </c>
      <c r="O48" s="433" t="s">
        <v>31</v>
      </c>
      <c r="P48" s="952" t="s">
        <v>15274</v>
      </c>
      <c r="Q48" s="433">
        <v>1.0</v>
      </c>
    </row>
    <row r="49" ht="15.75" customHeight="1">
      <c r="B49" s="347">
        <v>43.0</v>
      </c>
      <c r="C49" s="433"/>
      <c r="D49" s="433"/>
      <c r="E49" s="434" t="s">
        <v>23287</v>
      </c>
      <c r="F49" s="875" t="s">
        <v>23288</v>
      </c>
      <c r="G49" s="345" t="s">
        <v>23219</v>
      </c>
      <c r="H49" s="875"/>
      <c r="I49" s="433"/>
      <c r="J49" s="433"/>
      <c r="K49" s="433"/>
      <c r="L49" s="433"/>
      <c r="M49" s="342"/>
      <c r="N49" s="342" t="s">
        <v>23289</v>
      </c>
      <c r="O49" s="342">
        <v>2004.0</v>
      </c>
      <c r="P49" s="952" t="s">
        <v>15274</v>
      </c>
      <c r="Q49" s="342">
        <v>2.0</v>
      </c>
    </row>
    <row r="50" ht="15.75" customHeight="1">
      <c r="B50" s="347">
        <v>44.0</v>
      </c>
      <c r="C50" s="433"/>
      <c r="D50" s="433"/>
      <c r="E50" s="434" t="s">
        <v>23290</v>
      </c>
      <c r="F50" s="875" t="s">
        <v>23288</v>
      </c>
      <c r="G50" s="345" t="s">
        <v>23219</v>
      </c>
      <c r="H50" s="875"/>
      <c r="I50" s="433"/>
      <c r="J50" s="433"/>
      <c r="K50" s="433"/>
      <c r="L50" s="433"/>
      <c r="M50" s="342"/>
      <c r="N50" s="342" t="s">
        <v>23289</v>
      </c>
      <c r="O50" s="342">
        <v>2004.0</v>
      </c>
      <c r="P50" s="952" t="s">
        <v>15274</v>
      </c>
      <c r="Q50" s="342">
        <v>2.0</v>
      </c>
    </row>
    <row r="51" ht="15.75" customHeight="1">
      <c r="B51" s="347">
        <v>45.0</v>
      </c>
      <c r="C51" s="433"/>
      <c r="D51" s="433"/>
      <c r="E51" s="434" t="s">
        <v>23291</v>
      </c>
      <c r="F51" s="875" t="s">
        <v>23288</v>
      </c>
      <c r="G51" s="345" t="s">
        <v>23219</v>
      </c>
      <c r="H51" s="875"/>
      <c r="I51" s="433"/>
      <c r="J51" s="433"/>
      <c r="K51" s="433"/>
      <c r="L51" s="433"/>
      <c r="M51" s="303"/>
      <c r="N51" s="342" t="s">
        <v>23289</v>
      </c>
      <c r="O51" s="342">
        <v>2004.0</v>
      </c>
      <c r="P51" s="952" t="s">
        <v>15274</v>
      </c>
      <c r="Q51" s="342">
        <v>1.0</v>
      </c>
    </row>
    <row r="52" ht="15.75" customHeight="1">
      <c r="B52" s="347">
        <v>46.0</v>
      </c>
      <c r="C52" s="433"/>
      <c r="D52" s="433"/>
      <c r="E52" s="434" t="s">
        <v>23292</v>
      </c>
      <c r="F52" s="875" t="s">
        <v>23288</v>
      </c>
      <c r="G52" s="345" t="s">
        <v>23219</v>
      </c>
      <c r="H52" s="875"/>
      <c r="I52" s="433"/>
      <c r="J52" s="433"/>
      <c r="K52" s="433"/>
      <c r="L52" s="433"/>
      <c r="M52" s="342"/>
      <c r="N52" s="342" t="s">
        <v>23289</v>
      </c>
      <c r="O52" s="342">
        <v>2004.0</v>
      </c>
      <c r="P52" s="952" t="s">
        <v>15274</v>
      </c>
      <c r="Q52" s="342">
        <v>1.0</v>
      </c>
    </row>
    <row r="53" ht="15.75" customHeight="1">
      <c r="B53" s="347">
        <v>47.0</v>
      </c>
      <c r="C53" s="433"/>
      <c r="D53" s="433"/>
      <c r="E53" s="434" t="s">
        <v>23293</v>
      </c>
      <c r="F53" s="875" t="s">
        <v>23288</v>
      </c>
      <c r="G53" s="345" t="s">
        <v>23219</v>
      </c>
      <c r="H53" s="875"/>
      <c r="I53" s="433"/>
      <c r="J53" s="433"/>
      <c r="K53" s="433"/>
      <c r="L53" s="433"/>
      <c r="M53" s="342"/>
      <c r="N53" s="342" t="s">
        <v>23289</v>
      </c>
      <c r="O53" s="342">
        <v>2004.0</v>
      </c>
      <c r="P53" s="952" t="s">
        <v>15274</v>
      </c>
      <c r="Q53" s="342">
        <v>1.0</v>
      </c>
    </row>
    <row r="54" ht="15.75" customHeight="1">
      <c r="B54" s="347">
        <v>48.0</v>
      </c>
      <c r="C54" s="433"/>
      <c r="D54" s="433"/>
      <c r="E54" s="434" t="s">
        <v>23294</v>
      </c>
      <c r="F54" s="875" t="s">
        <v>23288</v>
      </c>
      <c r="G54" s="345" t="s">
        <v>23219</v>
      </c>
      <c r="H54" s="875"/>
      <c r="I54" s="433"/>
      <c r="J54" s="433"/>
      <c r="K54" s="433"/>
      <c r="L54" s="433"/>
      <c r="M54" s="342"/>
      <c r="N54" s="342" t="s">
        <v>23289</v>
      </c>
      <c r="O54" s="342">
        <v>2004.0</v>
      </c>
      <c r="P54" s="952" t="s">
        <v>15274</v>
      </c>
      <c r="Q54" s="342">
        <v>1.0</v>
      </c>
    </row>
    <row r="55" ht="15.75" customHeight="1">
      <c r="B55" s="347">
        <v>49.0</v>
      </c>
      <c r="C55" s="433"/>
      <c r="D55" s="433"/>
      <c r="E55" s="434" t="s">
        <v>23295</v>
      </c>
      <c r="F55" s="875" t="s">
        <v>23288</v>
      </c>
      <c r="G55" s="345" t="s">
        <v>23219</v>
      </c>
      <c r="H55" s="875"/>
      <c r="I55" s="433"/>
      <c r="J55" s="433"/>
      <c r="K55" s="433"/>
      <c r="L55" s="466"/>
      <c r="M55" s="342"/>
      <c r="N55" s="342" t="s">
        <v>23289</v>
      </c>
      <c r="O55" s="342">
        <v>2004.0</v>
      </c>
      <c r="P55" s="952" t="s">
        <v>15274</v>
      </c>
      <c r="Q55" s="342">
        <v>1.0</v>
      </c>
    </row>
    <row r="56" ht="15.75" customHeight="1">
      <c r="B56" s="347">
        <v>50.0</v>
      </c>
      <c r="C56" s="433"/>
      <c r="D56" s="433"/>
      <c r="E56" s="434" t="s">
        <v>23296</v>
      </c>
      <c r="F56" s="875" t="s">
        <v>23288</v>
      </c>
      <c r="G56" s="345" t="s">
        <v>23219</v>
      </c>
      <c r="H56" s="875"/>
      <c r="I56" s="433"/>
      <c r="J56" s="433"/>
      <c r="K56" s="433"/>
      <c r="L56" s="433"/>
      <c r="M56" s="342"/>
      <c r="N56" s="342" t="s">
        <v>23289</v>
      </c>
      <c r="O56" s="342">
        <v>2004.0</v>
      </c>
      <c r="P56" s="952" t="s">
        <v>15274</v>
      </c>
      <c r="Q56" s="342">
        <v>1.0</v>
      </c>
    </row>
    <row r="57" ht="15.75" customHeight="1">
      <c r="B57" s="347">
        <v>51.0</v>
      </c>
      <c r="C57" s="433"/>
      <c r="D57" s="433"/>
      <c r="E57" s="434" t="s">
        <v>23297</v>
      </c>
      <c r="F57" s="875" t="s">
        <v>23288</v>
      </c>
      <c r="G57" s="345" t="s">
        <v>23219</v>
      </c>
      <c r="H57" s="875"/>
      <c r="I57" s="433"/>
      <c r="J57" s="433"/>
      <c r="K57" s="433"/>
      <c r="L57" s="433"/>
      <c r="M57" s="342"/>
      <c r="N57" s="342" t="s">
        <v>23289</v>
      </c>
      <c r="O57" s="342">
        <v>2004.0</v>
      </c>
      <c r="P57" s="952" t="s">
        <v>15274</v>
      </c>
      <c r="Q57" s="342">
        <v>1.0</v>
      </c>
    </row>
    <row r="58" ht="15.75" customHeight="1">
      <c r="B58" s="347">
        <v>52.0</v>
      </c>
      <c r="C58" s="433"/>
      <c r="D58" s="433"/>
      <c r="E58" s="434" t="s">
        <v>23298</v>
      </c>
      <c r="F58" s="875" t="s">
        <v>23288</v>
      </c>
      <c r="G58" s="345" t="s">
        <v>23219</v>
      </c>
      <c r="H58" s="875"/>
      <c r="I58" s="433"/>
      <c r="J58" s="433"/>
      <c r="K58" s="433"/>
      <c r="L58" s="433"/>
      <c r="M58" s="342"/>
      <c r="N58" s="342" t="s">
        <v>23299</v>
      </c>
      <c r="O58" s="342">
        <v>2003.0</v>
      </c>
      <c r="P58" s="952" t="s">
        <v>15274</v>
      </c>
      <c r="Q58" s="342">
        <v>1.0</v>
      </c>
    </row>
    <row r="59" ht="15.75" customHeight="1">
      <c r="B59" s="347">
        <v>53.0</v>
      </c>
      <c r="C59" s="433"/>
      <c r="D59" s="433"/>
      <c r="E59" s="434" t="s">
        <v>23300</v>
      </c>
      <c r="F59" s="875" t="s">
        <v>23288</v>
      </c>
      <c r="G59" s="345" t="s">
        <v>23219</v>
      </c>
      <c r="H59" s="875"/>
      <c r="I59" s="433"/>
      <c r="J59" s="433"/>
      <c r="K59" s="433"/>
      <c r="L59" s="433"/>
      <c r="M59" s="342"/>
      <c r="N59" s="342" t="s">
        <v>23299</v>
      </c>
      <c r="O59" s="342">
        <v>2003.0</v>
      </c>
      <c r="P59" s="952" t="s">
        <v>15274</v>
      </c>
      <c r="Q59" s="342">
        <v>1.0</v>
      </c>
    </row>
    <row r="60" ht="15.75" customHeight="1">
      <c r="B60" s="347">
        <v>54.0</v>
      </c>
      <c r="C60" s="433"/>
      <c r="D60" s="433"/>
      <c r="E60" s="434" t="s">
        <v>23301</v>
      </c>
      <c r="F60" s="875" t="s">
        <v>23288</v>
      </c>
      <c r="G60" s="345" t="s">
        <v>23219</v>
      </c>
      <c r="H60" s="875"/>
      <c r="I60" s="433"/>
      <c r="J60" s="433"/>
      <c r="K60" s="433"/>
      <c r="L60" s="433"/>
      <c r="M60" s="342"/>
      <c r="N60" s="342" t="s">
        <v>20446</v>
      </c>
      <c r="O60" s="342" t="s">
        <v>31</v>
      </c>
      <c r="P60" s="952" t="s">
        <v>15274</v>
      </c>
      <c r="Q60" s="342">
        <v>1.0</v>
      </c>
    </row>
    <row r="61" ht="15.75" customHeight="1">
      <c r="B61" s="347">
        <v>55.0</v>
      </c>
      <c r="C61" s="433"/>
      <c r="D61" s="433"/>
      <c r="E61" s="434" t="s">
        <v>23302</v>
      </c>
      <c r="F61" s="875" t="s">
        <v>23288</v>
      </c>
      <c r="G61" s="345" t="s">
        <v>23219</v>
      </c>
      <c r="H61" s="875"/>
      <c r="I61" s="433"/>
      <c r="J61" s="433"/>
      <c r="K61" s="433"/>
      <c r="L61" s="433"/>
      <c r="M61" s="342"/>
      <c r="N61" s="342" t="s">
        <v>23289</v>
      </c>
      <c r="O61" s="342">
        <v>2008.0</v>
      </c>
      <c r="P61" s="952" t="s">
        <v>15274</v>
      </c>
      <c r="Q61" s="342">
        <v>1.0</v>
      </c>
    </row>
    <row r="62" ht="15.75" customHeight="1">
      <c r="B62" s="347">
        <v>56.0</v>
      </c>
      <c r="C62" s="433"/>
      <c r="D62" s="433"/>
      <c r="E62" s="434" t="s">
        <v>23303</v>
      </c>
      <c r="F62" s="875" t="s">
        <v>23288</v>
      </c>
      <c r="G62" s="345" t="s">
        <v>23219</v>
      </c>
      <c r="H62" s="875"/>
      <c r="I62" s="433"/>
      <c r="J62" s="433"/>
      <c r="K62" s="433"/>
      <c r="L62" s="433"/>
      <c r="M62" s="342"/>
      <c r="N62" s="342" t="s">
        <v>23289</v>
      </c>
      <c r="O62" s="342">
        <v>2008.0</v>
      </c>
      <c r="P62" s="952" t="s">
        <v>15274</v>
      </c>
      <c r="Q62" s="433">
        <v>1.0</v>
      </c>
    </row>
    <row r="63" ht="15.75" customHeight="1">
      <c r="B63" s="347">
        <v>57.0</v>
      </c>
      <c r="C63" s="433"/>
      <c r="D63" s="433"/>
      <c r="E63" s="434" t="s">
        <v>23304</v>
      </c>
      <c r="F63" s="875" t="s">
        <v>23288</v>
      </c>
      <c r="G63" s="345" t="s">
        <v>23219</v>
      </c>
      <c r="H63" s="875"/>
      <c r="I63" s="433"/>
      <c r="J63" s="433"/>
      <c r="K63" s="433"/>
      <c r="L63" s="433"/>
      <c r="M63" s="342"/>
      <c r="N63" s="342" t="s">
        <v>23289</v>
      </c>
      <c r="O63" s="342">
        <v>2008.0</v>
      </c>
      <c r="P63" s="952" t="s">
        <v>15274</v>
      </c>
      <c r="Q63" s="342">
        <v>1.0</v>
      </c>
    </row>
    <row r="64" ht="15.75" customHeight="1">
      <c r="B64" s="347">
        <v>58.0</v>
      </c>
      <c r="C64" s="433"/>
      <c r="D64" s="433"/>
      <c r="E64" s="434" t="s">
        <v>23305</v>
      </c>
      <c r="F64" s="875" t="s">
        <v>23288</v>
      </c>
      <c r="G64" s="345" t="s">
        <v>23219</v>
      </c>
      <c r="H64" s="875"/>
      <c r="I64" s="433"/>
      <c r="J64" s="433"/>
      <c r="K64" s="433"/>
      <c r="L64" s="433"/>
      <c r="M64" s="450"/>
      <c r="N64" s="342" t="s">
        <v>23289</v>
      </c>
      <c r="O64" s="342">
        <v>2008.0</v>
      </c>
      <c r="P64" s="952" t="s">
        <v>15274</v>
      </c>
      <c r="Q64" s="342">
        <v>1.0</v>
      </c>
    </row>
    <row r="65" ht="15.75" customHeight="1">
      <c r="B65" s="347">
        <v>59.0</v>
      </c>
      <c r="C65" s="433"/>
      <c r="D65" s="433"/>
      <c r="E65" s="434" t="s">
        <v>23306</v>
      </c>
      <c r="F65" s="875" t="s">
        <v>23288</v>
      </c>
      <c r="G65" s="345" t="s">
        <v>23219</v>
      </c>
      <c r="H65" s="875"/>
      <c r="I65" s="433"/>
      <c r="J65" s="433"/>
      <c r="K65" s="433"/>
      <c r="L65" s="433"/>
      <c r="M65" s="450"/>
      <c r="N65" s="342" t="s">
        <v>23289</v>
      </c>
      <c r="O65" s="342">
        <v>2008.0</v>
      </c>
      <c r="P65" s="952" t="s">
        <v>15274</v>
      </c>
      <c r="Q65" s="342">
        <v>1.0</v>
      </c>
    </row>
    <row r="66" ht="15.75" customHeight="1">
      <c r="B66" s="347">
        <v>60.0</v>
      </c>
      <c r="C66" s="433"/>
      <c r="D66" s="433"/>
      <c r="E66" s="434" t="s">
        <v>23307</v>
      </c>
      <c r="F66" s="875" t="s">
        <v>23288</v>
      </c>
      <c r="G66" s="345" t="s">
        <v>23219</v>
      </c>
      <c r="H66" s="875"/>
      <c r="I66" s="433"/>
      <c r="J66" s="433"/>
      <c r="K66" s="433"/>
      <c r="L66" s="433"/>
      <c r="M66" s="450"/>
      <c r="N66" s="342" t="s">
        <v>23289</v>
      </c>
      <c r="O66" s="342">
        <v>2008.0</v>
      </c>
      <c r="P66" s="952" t="s">
        <v>15274</v>
      </c>
      <c r="Q66" s="342">
        <v>1.0</v>
      </c>
    </row>
    <row r="67" ht="15.75" customHeight="1">
      <c r="B67" s="347">
        <v>61.0</v>
      </c>
      <c r="C67" s="433"/>
      <c r="D67" s="433"/>
      <c r="E67" s="434" t="s">
        <v>23308</v>
      </c>
      <c r="F67" s="875" t="s">
        <v>23288</v>
      </c>
      <c r="G67" s="345" t="s">
        <v>23219</v>
      </c>
      <c r="H67" s="875"/>
      <c r="I67" s="433"/>
      <c r="J67" s="433"/>
      <c r="K67" s="433"/>
      <c r="L67" s="433"/>
      <c r="M67" s="450"/>
      <c r="N67" s="342" t="s">
        <v>23289</v>
      </c>
      <c r="O67" s="342">
        <v>2008.0</v>
      </c>
      <c r="P67" s="952" t="s">
        <v>15274</v>
      </c>
      <c r="Q67" s="342">
        <v>1.0</v>
      </c>
    </row>
    <row r="68" ht="15.75" customHeight="1">
      <c r="B68" s="347">
        <v>62.0</v>
      </c>
      <c r="C68" s="433"/>
      <c r="D68" s="433"/>
      <c r="E68" s="434" t="s">
        <v>23309</v>
      </c>
      <c r="F68" s="875" t="s">
        <v>23288</v>
      </c>
      <c r="G68" s="345" t="s">
        <v>23219</v>
      </c>
      <c r="H68" s="875"/>
      <c r="I68" s="433"/>
      <c r="J68" s="433"/>
      <c r="K68" s="433"/>
      <c r="L68" s="433"/>
      <c r="M68" s="450"/>
      <c r="N68" s="342" t="s">
        <v>23289</v>
      </c>
      <c r="O68" s="342">
        <v>2008.0</v>
      </c>
      <c r="P68" s="952" t="s">
        <v>15274</v>
      </c>
      <c r="Q68" s="342">
        <v>1.0</v>
      </c>
    </row>
    <row r="69" ht="15.75" customHeight="1">
      <c r="B69" s="347">
        <v>63.0</v>
      </c>
      <c r="C69" s="433"/>
      <c r="D69" s="433"/>
      <c r="E69" s="434" t="s">
        <v>23310</v>
      </c>
      <c r="F69" s="875" t="s">
        <v>23288</v>
      </c>
      <c r="G69" s="345" t="s">
        <v>23219</v>
      </c>
      <c r="H69" s="875"/>
      <c r="I69" s="433"/>
      <c r="J69" s="433"/>
      <c r="K69" s="433"/>
      <c r="L69" s="433"/>
      <c r="M69" s="450"/>
      <c r="N69" s="342" t="s">
        <v>23289</v>
      </c>
      <c r="O69" s="342">
        <v>2008.0</v>
      </c>
      <c r="P69" s="952" t="s">
        <v>15274</v>
      </c>
      <c r="Q69" s="342">
        <v>1.0</v>
      </c>
    </row>
    <row r="70" ht="15.75" customHeight="1">
      <c r="B70" s="347">
        <v>64.0</v>
      </c>
      <c r="C70" s="538"/>
      <c r="D70" s="433"/>
      <c r="E70" s="434" t="s">
        <v>23311</v>
      </c>
      <c r="F70" s="875" t="s">
        <v>23288</v>
      </c>
      <c r="G70" s="345" t="s">
        <v>23219</v>
      </c>
      <c r="H70" s="875"/>
      <c r="I70" s="433"/>
      <c r="J70" s="433"/>
      <c r="K70" s="433"/>
      <c r="L70" s="433"/>
      <c r="M70" s="450"/>
      <c r="N70" s="342" t="s">
        <v>23289</v>
      </c>
      <c r="O70" s="342">
        <v>2008.0</v>
      </c>
      <c r="P70" s="952" t="s">
        <v>15274</v>
      </c>
      <c r="Q70" s="342">
        <v>1.0</v>
      </c>
    </row>
    <row r="71" ht="15.75" customHeight="1">
      <c r="B71" s="347">
        <v>65.0</v>
      </c>
      <c r="C71" s="433"/>
      <c r="D71" s="433"/>
      <c r="E71" s="434" t="s">
        <v>23312</v>
      </c>
      <c r="F71" s="875" t="s">
        <v>23288</v>
      </c>
      <c r="G71" s="345" t="s">
        <v>23219</v>
      </c>
      <c r="H71" s="875"/>
      <c r="I71" s="433"/>
      <c r="J71" s="433"/>
      <c r="K71" s="433"/>
      <c r="L71" s="433"/>
      <c r="M71" s="450"/>
      <c r="N71" s="342" t="s">
        <v>23289</v>
      </c>
      <c r="O71" s="342">
        <v>2008.0</v>
      </c>
      <c r="P71" s="952" t="s">
        <v>15274</v>
      </c>
      <c r="Q71" s="342">
        <v>1.0</v>
      </c>
    </row>
    <row r="72" ht="15.75" customHeight="1">
      <c r="B72" s="347">
        <v>66.0</v>
      </c>
      <c r="C72" s="433"/>
      <c r="D72" s="433"/>
      <c r="E72" s="434" t="s">
        <v>23313</v>
      </c>
      <c r="F72" s="875" t="s">
        <v>23288</v>
      </c>
      <c r="G72" s="345" t="s">
        <v>23219</v>
      </c>
      <c r="H72" s="875"/>
      <c r="I72" s="433"/>
      <c r="J72" s="433"/>
      <c r="K72" s="433"/>
      <c r="L72" s="433"/>
      <c r="M72" s="450"/>
      <c r="N72" s="342" t="s">
        <v>23289</v>
      </c>
      <c r="O72" s="342">
        <v>2008.0</v>
      </c>
      <c r="P72" s="952" t="s">
        <v>15274</v>
      </c>
      <c r="Q72" s="342">
        <v>1.0</v>
      </c>
    </row>
    <row r="73" ht="15.75" customHeight="1">
      <c r="B73" s="347">
        <v>67.0</v>
      </c>
      <c r="C73" s="433"/>
      <c r="D73" s="433"/>
      <c r="E73" s="434" t="s">
        <v>23314</v>
      </c>
      <c r="F73" s="875" t="s">
        <v>23288</v>
      </c>
      <c r="G73" s="345" t="s">
        <v>23219</v>
      </c>
      <c r="H73" s="875"/>
      <c r="I73" s="433"/>
      <c r="J73" s="433"/>
      <c r="K73" s="433"/>
      <c r="L73" s="433"/>
      <c r="M73" s="450"/>
      <c r="N73" s="342" t="s">
        <v>23289</v>
      </c>
      <c r="O73" s="342">
        <v>2008.0</v>
      </c>
      <c r="P73" s="952" t="s">
        <v>15274</v>
      </c>
      <c r="Q73" s="342">
        <v>1.0</v>
      </c>
    </row>
    <row r="74" ht="15.75" customHeight="1">
      <c r="B74" s="347">
        <v>68.0</v>
      </c>
      <c r="C74" s="433"/>
      <c r="D74" s="433"/>
      <c r="E74" s="434" t="s">
        <v>23315</v>
      </c>
      <c r="F74" s="875" t="s">
        <v>23288</v>
      </c>
      <c r="G74" s="345" t="s">
        <v>23219</v>
      </c>
      <c r="H74" s="875"/>
      <c r="I74" s="433"/>
      <c r="J74" s="433"/>
      <c r="K74" s="433"/>
      <c r="L74" s="433"/>
      <c r="M74" s="450"/>
      <c r="N74" s="342" t="s">
        <v>23289</v>
      </c>
      <c r="O74" s="342">
        <v>2008.0</v>
      </c>
      <c r="P74" s="952" t="s">
        <v>15274</v>
      </c>
      <c r="Q74" s="342">
        <v>1.0</v>
      </c>
    </row>
    <row r="75" ht="15.75" customHeight="1">
      <c r="B75" s="347">
        <v>69.0</v>
      </c>
      <c r="C75" s="433"/>
      <c r="D75" s="433"/>
      <c r="E75" s="434" t="s">
        <v>23316</v>
      </c>
      <c r="F75" s="875" t="s">
        <v>23288</v>
      </c>
      <c r="G75" s="345" t="s">
        <v>23219</v>
      </c>
      <c r="H75" s="875"/>
      <c r="I75" s="433"/>
      <c r="J75" s="433"/>
      <c r="K75" s="433"/>
      <c r="L75" s="433"/>
      <c r="M75" s="450"/>
      <c r="N75" s="342" t="s">
        <v>23289</v>
      </c>
      <c r="O75" s="342">
        <v>2008.0</v>
      </c>
      <c r="P75" s="952" t="s">
        <v>15274</v>
      </c>
      <c r="Q75" s="342">
        <v>1.0</v>
      </c>
    </row>
    <row r="76" ht="15.75" customHeight="1">
      <c r="B76" s="347">
        <v>70.0</v>
      </c>
      <c r="C76" s="433"/>
      <c r="D76" s="433"/>
      <c r="E76" s="434" t="s">
        <v>23317</v>
      </c>
      <c r="F76" s="875" t="s">
        <v>23288</v>
      </c>
      <c r="G76" s="345" t="s">
        <v>23219</v>
      </c>
      <c r="H76" s="875"/>
      <c r="I76" s="433"/>
      <c r="J76" s="433"/>
      <c r="K76" s="433"/>
      <c r="L76" s="433"/>
      <c r="M76" s="450"/>
      <c r="N76" s="342" t="s">
        <v>23289</v>
      </c>
      <c r="O76" s="342">
        <v>2008.0</v>
      </c>
      <c r="P76" s="952" t="s">
        <v>15274</v>
      </c>
      <c r="Q76" s="342">
        <v>1.0</v>
      </c>
    </row>
    <row r="77" ht="15.75" customHeight="1">
      <c r="B77" s="347">
        <v>71.0</v>
      </c>
      <c r="C77" s="433"/>
      <c r="D77" s="433"/>
      <c r="E77" s="434" t="s">
        <v>23318</v>
      </c>
      <c r="F77" s="875" t="s">
        <v>23288</v>
      </c>
      <c r="G77" s="345" t="s">
        <v>23219</v>
      </c>
      <c r="H77" s="875"/>
      <c r="I77" s="433"/>
      <c r="J77" s="433"/>
      <c r="K77" s="433"/>
      <c r="L77" s="433"/>
      <c r="M77" s="450"/>
      <c r="N77" s="342" t="s">
        <v>23289</v>
      </c>
      <c r="O77" s="342">
        <v>2008.0</v>
      </c>
      <c r="P77" s="952" t="s">
        <v>15274</v>
      </c>
      <c r="Q77" s="342">
        <v>1.0</v>
      </c>
    </row>
    <row r="78" ht="15.75" customHeight="1">
      <c r="B78" s="347">
        <v>72.0</v>
      </c>
      <c r="C78" s="433"/>
      <c r="D78" s="433"/>
      <c r="E78" s="434" t="s">
        <v>23319</v>
      </c>
      <c r="F78" s="875" t="s">
        <v>23288</v>
      </c>
      <c r="G78" s="345" t="s">
        <v>23219</v>
      </c>
      <c r="H78" s="875"/>
      <c r="I78" s="433"/>
      <c r="J78" s="433"/>
      <c r="K78" s="433"/>
      <c r="L78" s="433"/>
      <c r="M78" s="450"/>
      <c r="N78" s="342" t="s">
        <v>23289</v>
      </c>
      <c r="O78" s="342">
        <v>2008.0</v>
      </c>
      <c r="P78" s="952" t="s">
        <v>15274</v>
      </c>
      <c r="Q78" s="342">
        <v>1.0</v>
      </c>
    </row>
    <row r="79" ht="15.75" customHeight="1">
      <c r="B79" s="347">
        <v>73.0</v>
      </c>
      <c r="C79" s="433"/>
      <c r="D79" s="433"/>
      <c r="E79" s="434" t="s">
        <v>23320</v>
      </c>
      <c r="F79" s="875" t="s">
        <v>23288</v>
      </c>
      <c r="G79" s="345" t="s">
        <v>23219</v>
      </c>
      <c r="H79" s="875"/>
      <c r="I79" s="433"/>
      <c r="J79" s="433"/>
      <c r="K79" s="433"/>
      <c r="L79" s="433"/>
      <c r="M79" s="450"/>
      <c r="N79" s="342" t="s">
        <v>23289</v>
      </c>
      <c r="O79" s="342">
        <v>2008.0</v>
      </c>
      <c r="P79" s="952" t="s">
        <v>15274</v>
      </c>
      <c r="Q79" s="342">
        <v>1.0</v>
      </c>
    </row>
    <row r="80" ht="15.75" customHeight="1">
      <c r="B80" s="347">
        <v>74.0</v>
      </c>
      <c r="C80" s="433"/>
      <c r="D80" s="433"/>
      <c r="E80" s="434" t="s">
        <v>23321</v>
      </c>
      <c r="F80" s="875" t="s">
        <v>23288</v>
      </c>
      <c r="G80" s="345" t="s">
        <v>23219</v>
      </c>
      <c r="H80" s="875"/>
      <c r="I80" s="433"/>
      <c r="J80" s="433"/>
      <c r="K80" s="433"/>
      <c r="L80" s="433"/>
      <c r="M80" s="450"/>
      <c r="N80" s="342" t="s">
        <v>23289</v>
      </c>
      <c r="O80" s="342">
        <v>2008.0</v>
      </c>
      <c r="P80" s="952" t="s">
        <v>15274</v>
      </c>
      <c r="Q80" s="342">
        <v>1.0</v>
      </c>
    </row>
    <row r="81" ht="15.75" customHeight="1">
      <c r="B81" s="347">
        <v>75.0</v>
      </c>
      <c r="C81" s="433"/>
      <c r="D81" s="433"/>
      <c r="E81" s="434" t="s">
        <v>23322</v>
      </c>
      <c r="F81" s="875" t="s">
        <v>23288</v>
      </c>
      <c r="G81" s="345" t="s">
        <v>23219</v>
      </c>
      <c r="H81" s="875"/>
      <c r="I81" s="433"/>
      <c r="J81" s="433"/>
      <c r="K81" s="433"/>
      <c r="L81" s="433"/>
      <c r="M81" s="450"/>
      <c r="N81" s="342" t="s">
        <v>23289</v>
      </c>
      <c r="O81" s="342">
        <v>2008.0</v>
      </c>
      <c r="P81" s="952" t="s">
        <v>15274</v>
      </c>
      <c r="Q81" s="342">
        <v>1.0</v>
      </c>
    </row>
    <row r="82" ht="15.75" customHeight="1">
      <c r="B82" s="347">
        <v>76.0</v>
      </c>
      <c r="C82" s="433"/>
      <c r="D82" s="433"/>
      <c r="E82" s="434" t="s">
        <v>23323</v>
      </c>
      <c r="F82" s="875" t="s">
        <v>23288</v>
      </c>
      <c r="G82" s="345" t="s">
        <v>23219</v>
      </c>
      <c r="H82" s="875"/>
      <c r="I82" s="433"/>
      <c r="J82" s="433"/>
      <c r="K82" s="433"/>
      <c r="L82" s="433"/>
      <c r="M82" s="450"/>
      <c r="N82" s="342" t="s">
        <v>23289</v>
      </c>
      <c r="O82" s="342">
        <v>2008.0</v>
      </c>
      <c r="P82" s="952" t="s">
        <v>15274</v>
      </c>
      <c r="Q82" s="342">
        <v>1.0</v>
      </c>
    </row>
    <row r="83" ht="15.75" customHeight="1">
      <c r="B83" s="347">
        <v>77.0</v>
      </c>
      <c r="C83" s="433"/>
      <c r="D83" s="433"/>
      <c r="E83" s="434" t="s">
        <v>23324</v>
      </c>
      <c r="F83" s="875" t="s">
        <v>23288</v>
      </c>
      <c r="G83" s="345" t="s">
        <v>23219</v>
      </c>
      <c r="H83" s="875"/>
      <c r="I83" s="433"/>
      <c r="J83" s="433"/>
      <c r="K83" s="433"/>
      <c r="L83" s="433"/>
      <c r="M83" s="450"/>
      <c r="N83" s="342" t="s">
        <v>23289</v>
      </c>
      <c r="O83" s="342">
        <v>2008.0</v>
      </c>
      <c r="P83" s="952" t="s">
        <v>15274</v>
      </c>
      <c r="Q83" s="342">
        <v>1.0</v>
      </c>
    </row>
    <row r="84" ht="15.75" customHeight="1">
      <c r="B84" s="347">
        <v>78.0</v>
      </c>
      <c r="C84" s="433"/>
      <c r="D84" s="433"/>
      <c r="E84" s="434" t="s">
        <v>23325</v>
      </c>
      <c r="F84" s="875" t="s">
        <v>23288</v>
      </c>
      <c r="G84" s="345" t="s">
        <v>23219</v>
      </c>
      <c r="H84" s="875"/>
      <c r="I84" s="433"/>
      <c r="J84" s="433"/>
      <c r="K84" s="433"/>
      <c r="L84" s="433"/>
      <c r="M84" s="450"/>
      <c r="N84" s="342" t="s">
        <v>23289</v>
      </c>
      <c r="O84" s="342">
        <v>2008.0</v>
      </c>
      <c r="P84" s="952" t="s">
        <v>15274</v>
      </c>
      <c r="Q84" s="342">
        <v>1.0</v>
      </c>
    </row>
    <row r="85" ht="15.75" customHeight="1">
      <c r="B85" s="347">
        <v>79.0</v>
      </c>
      <c r="C85" s="433"/>
      <c r="D85" s="433"/>
      <c r="E85" s="434" t="s">
        <v>23326</v>
      </c>
      <c r="F85" s="875" t="s">
        <v>23288</v>
      </c>
      <c r="G85" s="345" t="s">
        <v>23219</v>
      </c>
      <c r="H85" s="875"/>
      <c r="I85" s="433"/>
      <c r="J85" s="433"/>
      <c r="K85" s="433"/>
      <c r="L85" s="433"/>
      <c r="M85" s="450"/>
      <c r="N85" s="342" t="s">
        <v>23289</v>
      </c>
      <c r="O85" s="342">
        <v>2008.0</v>
      </c>
      <c r="P85" s="952" t="s">
        <v>15274</v>
      </c>
      <c r="Q85" s="342">
        <v>1.0</v>
      </c>
    </row>
    <row r="86" ht="15.75" customHeight="1">
      <c r="B86" s="347">
        <v>80.0</v>
      </c>
      <c r="C86" s="433"/>
      <c r="D86" s="433"/>
      <c r="E86" s="434" t="s">
        <v>23327</v>
      </c>
      <c r="F86" s="875" t="s">
        <v>23288</v>
      </c>
      <c r="G86" s="345" t="s">
        <v>23219</v>
      </c>
      <c r="H86" s="875"/>
      <c r="I86" s="433"/>
      <c r="J86" s="433"/>
      <c r="K86" s="433"/>
      <c r="L86" s="433"/>
      <c r="M86" s="450"/>
      <c r="N86" s="342" t="s">
        <v>23289</v>
      </c>
      <c r="O86" s="342">
        <v>2008.0</v>
      </c>
      <c r="P86" s="952" t="s">
        <v>15274</v>
      </c>
      <c r="Q86" s="342">
        <v>1.0</v>
      </c>
    </row>
    <row r="87" ht="15.75" customHeight="1">
      <c r="B87" s="347">
        <v>81.0</v>
      </c>
      <c r="C87" s="433"/>
      <c r="D87" s="433"/>
      <c r="E87" s="434" t="s">
        <v>23328</v>
      </c>
      <c r="F87" s="875" t="s">
        <v>23288</v>
      </c>
      <c r="G87" s="345" t="s">
        <v>23219</v>
      </c>
      <c r="H87" s="875"/>
      <c r="I87" s="433"/>
      <c r="J87" s="433"/>
      <c r="K87" s="433"/>
      <c r="L87" s="433"/>
      <c r="M87" s="450"/>
      <c r="N87" s="342" t="s">
        <v>23289</v>
      </c>
      <c r="O87" s="342">
        <v>2008.0</v>
      </c>
      <c r="P87" s="952" t="s">
        <v>15274</v>
      </c>
      <c r="Q87" s="342">
        <v>1.0</v>
      </c>
    </row>
    <row r="88" ht="15.75" customHeight="1">
      <c r="B88" s="347">
        <v>82.0</v>
      </c>
      <c r="C88" s="433"/>
      <c r="D88" s="433"/>
      <c r="E88" s="434" t="s">
        <v>23329</v>
      </c>
      <c r="F88" s="875" t="s">
        <v>23288</v>
      </c>
      <c r="G88" s="345" t="s">
        <v>23219</v>
      </c>
      <c r="H88" s="875"/>
      <c r="I88" s="433"/>
      <c r="J88" s="433"/>
      <c r="K88" s="433"/>
      <c r="L88" s="433"/>
      <c r="M88" s="450"/>
      <c r="N88" s="342" t="s">
        <v>23289</v>
      </c>
      <c r="O88" s="342">
        <v>2008.0</v>
      </c>
      <c r="P88" s="952" t="s">
        <v>15274</v>
      </c>
      <c r="Q88" s="342">
        <v>1.0</v>
      </c>
    </row>
    <row r="89" ht="15.75" customHeight="1">
      <c r="B89" s="347">
        <v>83.0</v>
      </c>
      <c r="C89" s="433"/>
      <c r="D89" s="433"/>
      <c r="E89" s="434" t="s">
        <v>23330</v>
      </c>
      <c r="F89" s="875" t="s">
        <v>23288</v>
      </c>
      <c r="G89" s="345" t="s">
        <v>23219</v>
      </c>
      <c r="H89" s="875"/>
      <c r="I89" s="433"/>
      <c r="J89" s="433"/>
      <c r="K89" s="433"/>
      <c r="L89" s="433"/>
      <c r="M89" s="450"/>
      <c r="N89" s="342" t="s">
        <v>23289</v>
      </c>
      <c r="O89" s="342">
        <v>2008.0</v>
      </c>
      <c r="P89" s="952" t="s">
        <v>15274</v>
      </c>
      <c r="Q89" s="342">
        <v>1.0</v>
      </c>
    </row>
    <row r="90" ht="15.75" customHeight="1">
      <c r="B90" s="347">
        <v>84.0</v>
      </c>
      <c r="C90" s="433"/>
      <c r="D90" s="433"/>
      <c r="E90" s="434" t="s">
        <v>23331</v>
      </c>
      <c r="F90" s="875" t="s">
        <v>23288</v>
      </c>
      <c r="G90" s="345" t="s">
        <v>23219</v>
      </c>
      <c r="H90" s="875"/>
      <c r="I90" s="433"/>
      <c r="J90" s="433"/>
      <c r="K90" s="433"/>
      <c r="L90" s="433"/>
      <c r="M90" s="450"/>
      <c r="N90" s="342" t="s">
        <v>23289</v>
      </c>
      <c r="O90" s="342">
        <v>2008.0</v>
      </c>
      <c r="P90" s="952" t="s">
        <v>15274</v>
      </c>
      <c r="Q90" s="342">
        <v>1.0</v>
      </c>
    </row>
    <row r="91" ht="15.75" customHeight="1">
      <c r="B91" s="347">
        <v>85.0</v>
      </c>
      <c r="C91" s="433"/>
      <c r="D91" s="433"/>
      <c r="E91" s="434" t="s">
        <v>23332</v>
      </c>
      <c r="F91" s="875" t="s">
        <v>23288</v>
      </c>
      <c r="G91" s="345" t="s">
        <v>23219</v>
      </c>
      <c r="H91" s="875"/>
      <c r="I91" s="433"/>
      <c r="J91" s="433"/>
      <c r="K91" s="433"/>
      <c r="L91" s="433"/>
      <c r="M91" s="450"/>
      <c r="N91" s="342" t="s">
        <v>23289</v>
      </c>
      <c r="O91" s="342">
        <v>2008.0</v>
      </c>
      <c r="P91" s="952" t="s">
        <v>15274</v>
      </c>
      <c r="Q91" s="342">
        <v>1.0</v>
      </c>
    </row>
    <row r="92" ht="15.75" customHeight="1">
      <c r="B92" s="347">
        <v>86.0</v>
      </c>
      <c r="C92" s="433"/>
      <c r="D92" s="433"/>
      <c r="E92" s="434" t="s">
        <v>23333</v>
      </c>
      <c r="F92" s="875" t="s">
        <v>23288</v>
      </c>
      <c r="G92" s="345" t="s">
        <v>23219</v>
      </c>
      <c r="H92" s="875"/>
      <c r="I92" s="433"/>
      <c r="J92" s="433"/>
      <c r="K92" s="433"/>
      <c r="L92" s="433"/>
      <c r="M92" s="450"/>
      <c r="N92" s="342" t="s">
        <v>23289</v>
      </c>
      <c r="O92" s="342">
        <v>2008.0</v>
      </c>
      <c r="P92" s="952" t="s">
        <v>15274</v>
      </c>
      <c r="Q92" s="342">
        <v>1.0</v>
      </c>
    </row>
    <row r="93" ht="15.75" customHeight="1">
      <c r="B93" s="347">
        <v>87.0</v>
      </c>
      <c r="C93" s="538"/>
      <c r="D93" s="433"/>
      <c r="E93" s="434" t="s">
        <v>23334</v>
      </c>
      <c r="F93" s="875" t="s">
        <v>23288</v>
      </c>
      <c r="G93" s="345" t="s">
        <v>23219</v>
      </c>
      <c r="H93" s="875"/>
      <c r="I93" s="433"/>
      <c r="J93" s="433"/>
      <c r="K93" s="433"/>
      <c r="L93" s="433"/>
      <c r="M93" s="450"/>
      <c r="N93" s="342" t="s">
        <v>23289</v>
      </c>
      <c r="O93" s="342">
        <v>2008.0</v>
      </c>
      <c r="P93" s="952" t="s">
        <v>15274</v>
      </c>
      <c r="Q93" s="342">
        <v>1.0</v>
      </c>
    </row>
    <row r="94" ht="15.75" customHeight="1">
      <c r="B94" s="347">
        <v>88.0</v>
      </c>
      <c r="C94" s="433"/>
      <c r="D94" s="433"/>
      <c r="E94" s="434" t="s">
        <v>23335</v>
      </c>
      <c r="F94" s="875" t="s">
        <v>23288</v>
      </c>
      <c r="G94" s="345" t="s">
        <v>23219</v>
      </c>
      <c r="H94" s="875"/>
      <c r="I94" s="433"/>
      <c r="J94" s="433"/>
      <c r="K94" s="433"/>
      <c r="L94" s="433"/>
      <c r="M94" s="450"/>
      <c r="N94" s="342" t="s">
        <v>23289</v>
      </c>
      <c r="O94" s="342">
        <v>2008.0</v>
      </c>
      <c r="P94" s="952" t="s">
        <v>15274</v>
      </c>
      <c r="Q94" s="342">
        <v>1.0</v>
      </c>
    </row>
    <row r="95" ht="15.75" customHeight="1">
      <c r="B95" s="347">
        <v>89.0</v>
      </c>
      <c r="C95" s="433"/>
      <c r="D95" s="433"/>
      <c r="E95" s="434" t="s">
        <v>23336</v>
      </c>
      <c r="F95" s="875" t="s">
        <v>23288</v>
      </c>
      <c r="G95" s="345" t="s">
        <v>23219</v>
      </c>
      <c r="H95" s="875"/>
      <c r="I95" s="433"/>
      <c r="J95" s="433"/>
      <c r="K95" s="433"/>
      <c r="L95" s="433"/>
      <c r="M95" s="450"/>
      <c r="N95" s="342" t="s">
        <v>23289</v>
      </c>
      <c r="O95" s="342">
        <v>2008.0</v>
      </c>
      <c r="P95" s="952" t="s">
        <v>15274</v>
      </c>
      <c r="Q95" s="342">
        <v>1.0</v>
      </c>
    </row>
    <row r="96" ht="15.75" customHeight="1">
      <c r="B96" s="347">
        <v>90.0</v>
      </c>
      <c r="C96" s="433"/>
      <c r="D96" s="433"/>
      <c r="E96" s="434" t="s">
        <v>23337</v>
      </c>
      <c r="F96" s="875" t="s">
        <v>23288</v>
      </c>
      <c r="G96" s="345" t="s">
        <v>23219</v>
      </c>
      <c r="H96" s="875"/>
      <c r="I96" s="433"/>
      <c r="J96" s="433"/>
      <c r="K96" s="433"/>
      <c r="L96" s="433"/>
      <c r="M96" s="450"/>
      <c r="N96" s="342" t="s">
        <v>23289</v>
      </c>
      <c r="O96" s="342">
        <v>2008.0</v>
      </c>
      <c r="P96" s="952" t="s">
        <v>15274</v>
      </c>
      <c r="Q96" s="342">
        <v>1.0</v>
      </c>
    </row>
    <row r="97" ht="15.75" customHeight="1">
      <c r="B97" s="347">
        <v>91.0</v>
      </c>
      <c r="C97" s="433"/>
      <c r="D97" s="433"/>
      <c r="E97" s="434" t="s">
        <v>23338</v>
      </c>
      <c r="F97" s="875" t="s">
        <v>23288</v>
      </c>
      <c r="G97" s="345" t="s">
        <v>23219</v>
      </c>
      <c r="H97" s="875"/>
      <c r="I97" s="433"/>
      <c r="J97" s="433"/>
      <c r="K97" s="433"/>
      <c r="L97" s="433"/>
      <c r="M97" s="450"/>
      <c r="N97" s="342" t="s">
        <v>23289</v>
      </c>
      <c r="O97" s="342">
        <v>2008.0</v>
      </c>
      <c r="P97" s="952" t="s">
        <v>15274</v>
      </c>
      <c r="Q97" s="342">
        <v>1.0</v>
      </c>
    </row>
    <row r="98" ht="15.75" customHeight="1">
      <c r="B98" s="347">
        <v>92.0</v>
      </c>
      <c r="C98" s="433"/>
      <c r="D98" s="433"/>
      <c r="E98" s="434" t="s">
        <v>23339</v>
      </c>
      <c r="F98" s="875" t="s">
        <v>23288</v>
      </c>
      <c r="G98" s="345" t="s">
        <v>23219</v>
      </c>
      <c r="H98" s="875"/>
      <c r="I98" s="433"/>
      <c r="J98" s="433"/>
      <c r="K98" s="433"/>
      <c r="L98" s="433"/>
      <c r="M98" s="450"/>
      <c r="N98" s="342" t="s">
        <v>23340</v>
      </c>
      <c r="O98" s="342">
        <v>2011.0</v>
      </c>
      <c r="P98" s="952" t="s">
        <v>15274</v>
      </c>
      <c r="Q98" s="342">
        <v>1.0</v>
      </c>
    </row>
    <row r="99" ht="15.75" customHeight="1">
      <c r="B99" s="347">
        <v>93.0</v>
      </c>
      <c r="C99" s="433"/>
      <c r="D99" s="433"/>
      <c r="E99" s="434" t="s">
        <v>23341</v>
      </c>
      <c r="F99" s="875" t="s">
        <v>23288</v>
      </c>
      <c r="G99" s="345" t="s">
        <v>23219</v>
      </c>
      <c r="H99" s="875"/>
      <c r="I99" s="433"/>
      <c r="J99" s="433"/>
      <c r="K99" s="433"/>
      <c r="L99" s="433"/>
      <c r="M99" s="450"/>
      <c r="N99" s="342" t="s">
        <v>23340</v>
      </c>
      <c r="O99" s="342">
        <v>2011.0</v>
      </c>
      <c r="P99" s="952" t="s">
        <v>15274</v>
      </c>
      <c r="Q99" s="342">
        <v>1.0</v>
      </c>
    </row>
    <row r="100" ht="15.75" customHeight="1">
      <c r="B100" s="347">
        <v>94.0</v>
      </c>
      <c r="C100" s="433"/>
      <c r="D100" s="433"/>
      <c r="E100" s="434" t="s">
        <v>23342</v>
      </c>
      <c r="F100" s="875" t="s">
        <v>23288</v>
      </c>
      <c r="G100" s="345" t="s">
        <v>23219</v>
      </c>
      <c r="H100" s="875"/>
      <c r="I100" s="433"/>
      <c r="J100" s="433"/>
      <c r="K100" s="433"/>
      <c r="L100" s="433"/>
      <c r="M100" s="450"/>
      <c r="N100" s="342" t="s">
        <v>23340</v>
      </c>
      <c r="O100" s="342">
        <v>2009.0</v>
      </c>
      <c r="P100" s="952" t="s">
        <v>15274</v>
      </c>
      <c r="Q100" s="342">
        <v>1.0</v>
      </c>
    </row>
    <row r="101" ht="15.75" customHeight="1">
      <c r="B101" s="347">
        <v>95.0</v>
      </c>
      <c r="C101" s="433"/>
      <c r="D101" s="433"/>
      <c r="E101" s="434" t="s">
        <v>23343</v>
      </c>
      <c r="F101" s="875" t="s">
        <v>23288</v>
      </c>
      <c r="G101" s="345" t="s">
        <v>23219</v>
      </c>
      <c r="H101" s="875"/>
      <c r="I101" s="433"/>
      <c r="J101" s="433"/>
      <c r="K101" s="433"/>
      <c r="L101" s="433"/>
      <c r="M101" s="450"/>
      <c r="N101" s="342" t="s">
        <v>23340</v>
      </c>
      <c r="O101" s="342"/>
      <c r="P101" s="952" t="s">
        <v>15274</v>
      </c>
      <c r="Q101" s="342">
        <v>1.0</v>
      </c>
    </row>
    <row r="102" ht="15.75" customHeight="1">
      <c r="B102" s="347">
        <v>96.0</v>
      </c>
      <c r="C102" s="433"/>
      <c r="D102" s="433"/>
      <c r="E102" s="434" t="s">
        <v>23344</v>
      </c>
      <c r="F102" s="875" t="s">
        <v>23288</v>
      </c>
      <c r="G102" s="345" t="s">
        <v>23219</v>
      </c>
      <c r="H102" s="875"/>
      <c r="I102" s="433"/>
      <c r="J102" s="433"/>
      <c r="K102" s="433"/>
      <c r="L102" s="433"/>
      <c r="M102" s="450"/>
      <c r="N102" s="342" t="s">
        <v>23340</v>
      </c>
      <c r="O102" s="342">
        <v>2002.0</v>
      </c>
      <c r="P102" s="952" t="s">
        <v>15274</v>
      </c>
      <c r="Q102" s="342">
        <v>1.0</v>
      </c>
    </row>
    <row r="103" ht="15.75" customHeight="1">
      <c r="B103" s="347">
        <v>97.0</v>
      </c>
      <c r="C103" s="433"/>
      <c r="D103" s="433"/>
      <c r="E103" s="434" t="s">
        <v>23345</v>
      </c>
      <c r="F103" s="875" t="s">
        <v>23288</v>
      </c>
      <c r="G103" s="345" t="s">
        <v>23219</v>
      </c>
      <c r="H103" s="875"/>
      <c r="I103" s="433"/>
      <c r="J103" s="433"/>
      <c r="K103" s="433"/>
      <c r="L103" s="433"/>
      <c r="M103" s="450"/>
      <c r="N103" s="342" t="s">
        <v>23340</v>
      </c>
      <c r="O103" s="342">
        <v>2011.0</v>
      </c>
      <c r="P103" s="952" t="s">
        <v>15274</v>
      </c>
      <c r="Q103" s="342">
        <v>1.0</v>
      </c>
    </row>
    <row r="104" ht="15.75" customHeight="1">
      <c r="B104" s="347">
        <v>98.0</v>
      </c>
      <c r="C104" s="433"/>
      <c r="D104" s="433"/>
      <c r="E104" s="434" t="s">
        <v>23346</v>
      </c>
      <c r="F104" s="875" t="s">
        <v>23288</v>
      </c>
      <c r="G104" s="345" t="s">
        <v>23219</v>
      </c>
      <c r="H104" s="875"/>
      <c r="I104" s="433"/>
      <c r="J104" s="433"/>
      <c r="K104" s="433"/>
      <c r="L104" s="433"/>
      <c r="M104" s="450"/>
      <c r="N104" s="342" t="s">
        <v>23340</v>
      </c>
      <c r="O104" s="342">
        <v>2000.0</v>
      </c>
      <c r="P104" s="952" t="s">
        <v>15274</v>
      </c>
      <c r="Q104" s="342">
        <v>1.0</v>
      </c>
    </row>
    <row r="105" ht="15.75" customHeight="1">
      <c r="B105" s="347">
        <v>99.0</v>
      </c>
      <c r="C105" s="433"/>
      <c r="D105" s="433"/>
      <c r="E105" s="434" t="s">
        <v>23347</v>
      </c>
      <c r="F105" s="875" t="s">
        <v>23288</v>
      </c>
      <c r="G105" s="345" t="s">
        <v>23219</v>
      </c>
      <c r="H105" s="875"/>
      <c r="I105" s="433"/>
      <c r="J105" s="433"/>
      <c r="K105" s="433"/>
      <c r="L105" s="433"/>
      <c r="M105" s="450"/>
      <c r="N105" s="342" t="s">
        <v>23340</v>
      </c>
      <c r="O105" s="342">
        <v>2008.0</v>
      </c>
      <c r="P105" s="952" t="s">
        <v>15274</v>
      </c>
      <c r="Q105" s="342">
        <v>1.0</v>
      </c>
    </row>
    <row r="106" ht="15.75" customHeight="1">
      <c r="B106" s="347">
        <v>100.0</v>
      </c>
      <c r="C106" s="433"/>
      <c r="D106" s="433"/>
      <c r="E106" s="434" t="s">
        <v>23348</v>
      </c>
      <c r="F106" s="875" t="s">
        <v>23288</v>
      </c>
      <c r="G106" s="345" t="s">
        <v>23219</v>
      </c>
      <c r="H106" s="875"/>
      <c r="I106" s="433"/>
      <c r="J106" s="433"/>
      <c r="K106" s="433"/>
      <c r="L106" s="433"/>
      <c r="M106" s="450"/>
      <c r="N106" s="342" t="s">
        <v>23349</v>
      </c>
      <c r="O106" s="342">
        <v>2010.0</v>
      </c>
      <c r="P106" s="952" t="s">
        <v>15274</v>
      </c>
      <c r="Q106" s="342">
        <v>1.0</v>
      </c>
    </row>
    <row r="107" ht="15.75" customHeight="1">
      <c r="B107" s="347">
        <v>101.0</v>
      </c>
      <c r="C107" s="433"/>
      <c r="D107" s="433"/>
      <c r="E107" s="434" t="s">
        <v>23350</v>
      </c>
      <c r="F107" s="875" t="s">
        <v>23288</v>
      </c>
      <c r="G107" s="345" t="s">
        <v>23219</v>
      </c>
      <c r="H107" s="875"/>
      <c r="I107" s="433"/>
      <c r="J107" s="433"/>
      <c r="K107" s="433"/>
      <c r="L107" s="433"/>
      <c r="M107" s="450"/>
      <c r="N107" s="342" t="s">
        <v>23349</v>
      </c>
      <c r="O107" s="342">
        <v>2010.0</v>
      </c>
      <c r="P107" s="952" t="s">
        <v>15274</v>
      </c>
      <c r="Q107" s="342">
        <v>1.0</v>
      </c>
    </row>
    <row r="108" ht="15.75" customHeight="1">
      <c r="B108" s="347">
        <v>102.0</v>
      </c>
      <c r="C108" s="433"/>
      <c r="D108" s="433"/>
      <c r="E108" s="434" t="s">
        <v>23351</v>
      </c>
      <c r="F108" s="875" t="s">
        <v>23288</v>
      </c>
      <c r="G108" s="345" t="s">
        <v>23219</v>
      </c>
      <c r="H108" s="875"/>
      <c r="I108" s="433"/>
      <c r="J108" s="433"/>
      <c r="K108" s="433"/>
      <c r="L108" s="433"/>
      <c r="M108" s="450"/>
      <c r="N108" s="342" t="s">
        <v>23352</v>
      </c>
      <c r="O108" s="342">
        <v>2007.0</v>
      </c>
      <c r="P108" s="952" t="s">
        <v>15274</v>
      </c>
      <c r="Q108" s="342">
        <v>1.0</v>
      </c>
    </row>
    <row r="109" ht="15.75" customHeight="1">
      <c r="B109" s="347">
        <v>103.0</v>
      </c>
      <c r="C109" s="433"/>
      <c r="D109" s="433"/>
      <c r="E109" s="434" t="s">
        <v>23353</v>
      </c>
      <c r="F109" s="875" t="s">
        <v>23288</v>
      </c>
      <c r="G109" s="345" t="s">
        <v>23219</v>
      </c>
      <c r="H109" s="875"/>
      <c r="I109" s="433"/>
      <c r="J109" s="433"/>
      <c r="K109" s="433"/>
      <c r="L109" s="433"/>
      <c r="M109" s="450"/>
      <c r="N109" s="342" t="s">
        <v>23352</v>
      </c>
      <c r="O109" s="342">
        <v>2006.0</v>
      </c>
      <c r="P109" s="952" t="s">
        <v>15274</v>
      </c>
      <c r="Q109" s="342">
        <v>1.0</v>
      </c>
    </row>
    <row r="110" ht="15.75" customHeight="1">
      <c r="B110" s="347">
        <v>104.0</v>
      </c>
      <c r="C110" s="433"/>
      <c r="D110" s="433"/>
      <c r="E110" s="434" t="s">
        <v>23354</v>
      </c>
      <c r="F110" s="875" t="s">
        <v>23288</v>
      </c>
      <c r="G110" s="345" t="s">
        <v>23219</v>
      </c>
      <c r="H110" s="875"/>
      <c r="I110" s="433"/>
      <c r="J110" s="433"/>
      <c r="K110" s="433"/>
      <c r="L110" s="433"/>
      <c r="M110" s="450"/>
      <c r="N110" s="342" t="s">
        <v>23352</v>
      </c>
      <c r="O110" s="342">
        <v>2001.0</v>
      </c>
      <c r="P110" s="952" t="s">
        <v>15274</v>
      </c>
      <c r="Q110" s="342">
        <v>1.0</v>
      </c>
    </row>
    <row r="111" ht="15.75" customHeight="1">
      <c r="B111" s="347">
        <v>105.0</v>
      </c>
      <c r="C111" s="433"/>
      <c r="D111" s="433"/>
      <c r="E111" s="953" t="s">
        <v>23355</v>
      </c>
      <c r="F111" s="875" t="s">
        <v>23288</v>
      </c>
      <c r="G111" s="345" t="s">
        <v>23219</v>
      </c>
      <c r="H111" s="875"/>
      <c r="I111" s="433"/>
      <c r="J111" s="433"/>
      <c r="K111" s="433"/>
      <c r="L111" s="433"/>
      <c r="M111" s="450"/>
      <c r="N111" s="954" t="s">
        <v>54</v>
      </c>
      <c r="O111" s="954">
        <v>2004.0</v>
      </c>
      <c r="P111" s="952" t="s">
        <v>15274</v>
      </c>
      <c r="Q111" s="954">
        <v>1.0</v>
      </c>
    </row>
    <row r="112" ht="15.75" customHeight="1">
      <c r="B112" s="347">
        <v>106.0</v>
      </c>
      <c r="C112" s="433"/>
      <c r="D112" s="433"/>
      <c r="E112" s="434" t="s">
        <v>23356</v>
      </c>
      <c r="F112" s="875" t="s">
        <v>23288</v>
      </c>
      <c r="G112" s="345" t="s">
        <v>23219</v>
      </c>
      <c r="H112" s="875"/>
      <c r="I112" s="433"/>
      <c r="J112" s="433"/>
      <c r="K112" s="433"/>
      <c r="L112" s="433"/>
      <c r="M112" s="450"/>
      <c r="N112" s="342" t="s">
        <v>23289</v>
      </c>
      <c r="O112" s="342">
        <v>2004.0</v>
      </c>
      <c r="P112" s="952" t="s">
        <v>15274</v>
      </c>
      <c r="Q112" s="342">
        <v>2.0</v>
      </c>
    </row>
    <row r="113" ht="15.75" customHeight="1">
      <c r="B113" s="347">
        <v>107.0</v>
      </c>
      <c r="C113" s="433"/>
      <c r="D113" s="433"/>
      <c r="E113" s="434" t="s">
        <v>23357</v>
      </c>
      <c r="F113" s="875" t="s">
        <v>23288</v>
      </c>
      <c r="G113" s="345" t="s">
        <v>23219</v>
      </c>
      <c r="H113" s="875"/>
      <c r="I113" s="433"/>
      <c r="J113" s="433"/>
      <c r="K113" s="433"/>
      <c r="L113" s="433"/>
      <c r="M113" s="450"/>
      <c r="N113" s="342" t="s">
        <v>23289</v>
      </c>
      <c r="O113" s="342">
        <v>2004.0</v>
      </c>
      <c r="P113" s="952" t="s">
        <v>15274</v>
      </c>
      <c r="Q113" s="342">
        <v>2.0</v>
      </c>
    </row>
    <row r="114" ht="15.75" customHeight="1">
      <c r="B114" s="347">
        <v>108.0</v>
      </c>
      <c r="C114" s="433"/>
      <c r="D114" s="433"/>
      <c r="E114" s="434" t="s">
        <v>23358</v>
      </c>
      <c r="F114" s="875" t="s">
        <v>23288</v>
      </c>
      <c r="G114" s="345" t="s">
        <v>23219</v>
      </c>
      <c r="H114" s="875"/>
      <c r="I114" s="433"/>
      <c r="J114" s="433"/>
      <c r="K114" s="433"/>
      <c r="L114" s="433"/>
      <c r="M114" s="450"/>
      <c r="N114" s="342" t="s">
        <v>23289</v>
      </c>
      <c r="O114" s="342">
        <v>2004.0</v>
      </c>
      <c r="P114" s="952" t="s">
        <v>15274</v>
      </c>
      <c r="Q114" s="342">
        <v>2.0</v>
      </c>
    </row>
    <row r="115" ht="15.75" customHeight="1">
      <c r="B115" s="347">
        <v>109.0</v>
      </c>
      <c r="C115" s="433"/>
      <c r="D115" s="433"/>
      <c r="E115" s="434" t="s">
        <v>23359</v>
      </c>
      <c r="F115" s="875" t="s">
        <v>23288</v>
      </c>
      <c r="G115" s="345" t="s">
        <v>23219</v>
      </c>
      <c r="H115" s="875"/>
      <c r="I115" s="433"/>
      <c r="J115" s="433"/>
      <c r="K115" s="433"/>
      <c r="L115" s="433"/>
      <c r="M115" s="450"/>
      <c r="N115" s="342" t="s">
        <v>23289</v>
      </c>
      <c r="O115" s="342">
        <v>2007.0</v>
      </c>
      <c r="P115" s="952" t="s">
        <v>15274</v>
      </c>
      <c r="Q115" s="342">
        <v>2.0</v>
      </c>
    </row>
    <row r="116" ht="15.75" customHeight="1">
      <c r="B116" s="347">
        <v>110.0</v>
      </c>
      <c r="C116" s="433"/>
      <c r="D116" s="433"/>
      <c r="E116" s="434" t="s">
        <v>23360</v>
      </c>
      <c r="F116" s="875" t="s">
        <v>23288</v>
      </c>
      <c r="G116" s="345" t="s">
        <v>23219</v>
      </c>
      <c r="H116" s="875"/>
      <c r="I116" s="433"/>
      <c r="J116" s="433"/>
      <c r="K116" s="433"/>
      <c r="L116" s="433"/>
      <c r="M116" s="450"/>
      <c r="N116" s="342" t="s">
        <v>23349</v>
      </c>
      <c r="O116" s="342">
        <v>2003.0</v>
      </c>
      <c r="P116" s="952" t="s">
        <v>15274</v>
      </c>
      <c r="Q116" s="342">
        <v>1.0</v>
      </c>
    </row>
    <row r="117" ht="15.75" customHeight="1">
      <c r="B117" s="347">
        <v>111.0</v>
      </c>
      <c r="C117" s="433"/>
      <c r="D117" s="433"/>
      <c r="E117" s="434" t="s">
        <v>23361</v>
      </c>
      <c r="F117" s="875" t="s">
        <v>23288</v>
      </c>
      <c r="G117" s="345" t="s">
        <v>23219</v>
      </c>
      <c r="H117" s="875"/>
      <c r="I117" s="433"/>
      <c r="J117" s="433"/>
      <c r="K117" s="433"/>
      <c r="L117" s="433"/>
      <c r="M117" s="450"/>
      <c r="N117" s="342" t="s">
        <v>23349</v>
      </c>
      <c r="O117" s="342">
        <v>2003.0</v>
      </c>
      <c r="P117" s="952" t="s">
        <v>15274</v>
      </c>
      <c r="Q117" s="342">
        <v>1.0</v>
      </c>
    </row>
    <row r="118" ht="15.75" customHeight="1">
      <c r="B118" s="347">
        <v>112.0</v>
      </c>
      <c r="C118" s="433"/>
      <c r="D118" s="433"/>
      <c r="E118" s="434" t="s">
        <v>23362</v>
      </c>
      <c r="F118" s="875" t="s">
        <v>23288</v>
      </c>
      <c r="G118" s="345" t="s">
        <v>23219</v>
      </c>
      <c r="H118" s="875"/>
      <c r="I118" s="433"/>
      <c r="J118" s="433"/>
      <c r="K118" s="433"/>
      <c r="L118" s="433"/>
      <c r="M118" s="450"/>
      <c r="N118" s="342" t="s">
        <v>23231</v>
      </c>
      <c r="O118" s="342">
        <v>2001.0</v>
      </c>
      <c r="P118" s="952" t="s">
        <v>15274</v>
      </c>
      <c r="Q118" s="433">
        <v>1.0</v>
      </c>
    </row>
    <row r="119" ht="15.75" customHeight="1">
      <c r="B119" s="347">
        <v>113.0</v>
      </c>
      <c r="C119" s="433"/>
      <c r="D119" s="433"/>
      <c r="E119" s="434" t="s">
        <v>23363</v>
      </c>
      <c r="F119" s="875" t="s">
        <v>23288</v>
      </c>
      <c r="G119" s="345" t="s">
        <v>23219</v>
      </c>
      <c r="H119" s="875"/>
      <c r="I119" s="433"/>
      <c r="J119" s="433"/>
      <c r="K119" s="433"/>
      <c r="L119" s="433"/>
      <c r="M119" s="450"/>
      <c r="N119" s="342" t="s">
        <v>23245</v>
      </c>
      <c r="O119" s="342">
        <v>2001.0</v>
      </c>
      <c r="P119" s="952" t="s">
        <v>15274</v>
      </c>
      <c r="Q119" s="342">
        <v>1.0</v>
      </c>
    </row>
    <row r="120" ht="15.75" customHeight="1">
      <c r="B120" s="347">
        <v>114.0</v>
      </c>
      <c r="C120" s="433"/>
      <c r="D120" s="433"/>
      <c r="E120" s="434" t="s">
        <v>23364</v>
      </c>
      <c r="F120" s="875" t="s">
        <v>23288</v>
      </c>
      <c r="G120" s="345" t="s">
        <v>23219</v>
      </c>
      <c r="H120" s="875"/>
      <c r="I120" s="433"/>
      <c r="J120" s="433"/>
      <c r="K120" s="433"/>
      <c r="L120" s="433"/>
      <c r="M120" s="450"/>
      <c r="N120" s="342" t="s">
        <v>23245</v>
      </c>
      <c r="O120" s="342">
        <v>2001.0</v>
      </c>
      <c r="P120" s="952" t="s">
        <v>15274</v>
      </c>
      <c r="Q120" s="342">
        <v>1.0</v>
      </c>
    </row>
    <row r="121" ht="24.0" customHeight="1">
      <c r="B121" s="347">
        <v>115.0</v>
      </c>
      <c r="C121" s="433"/>
      <c r="D121" s="433"/>
      <c r="E121" s="434" t="s">
        <v>23365</v>
      </c>
      <c r="F121" s="875" t="s">
        <v>23288</v>
      </c>
      <c r="G121" s="345" t="s">
        <v>23219</v>
      </c>
      <c r="H121" s="875"/>
      <c r="I121" s="433"/>
      <c r="J121" s="433"/>
      <c r="K121" s="433"/>
      <c r="L121" s="433"/>
      <c r="M121" s="450"/>
      <c r="N121" s="342" t="s">
        <v>23245</v>
      </c>
      <c r="O121" s="342">
        <v>2001.0</v>
      </c>
      <c r="P121" s="952" t="s">
        <v>15274</v>
      </c>
      <c r="Q121" s="342">
        <v>2.0</v>
      </c>
    </row>
    <row r="122" ht="23.25" customHeight="1">
      <c r="B122" s="347"/>
      <c r="C122" s="433"/>
      <c r="D122" s="433"/>
      <c r="E122" s="434"/>
      <c r="F122" s="875"/>
      <c r="G122" s="345"/>
      <c r="H122" s="875"/>
      <c r="I122" s="947"/>
      <c r="J122" s="433"/>
      <c r="K122" s="433"/>
      <c r="L122" s="433"/>
      <c r="M122" s="450"/>
      <c r="N122" s="342"/>
      <c r="O122" s="451"/>
      <c r="P122" s="952"/>
      <c r="Q122" s="342"/>
    </row>
    <row r="123" ht="15.75" customHeight="1">
      <c r="B123" s="347">
        <v>115.0</v>
      </c>
      <c r="C123" s="433"/>
      <c r="D123" s="433"/>
      <c r="E123" s="434" t="s">
        <v>23366</v>
      </c>
      <c r="F123" s="875" t="s">
        <v>23367</v>
      </c>
      <c r="G123" s="345" t="s">
        <v>23219</v>
      </c>
      <c r="H123" s="433"/>
      <c r="I123" s="947"/>
      <c r="J123" s="433"/>
      <c r="K123" s="433"/>
      <c r="L123" s="433"/>
      <c r="M123" s="450"/>
      <c r="N123" s="342" t="s">
        <v>23289</v>
      </c>
      <c r="O123" s="451">
        <v>2009.0</v>
      </c>
      <c r="P123" s="433" t="s">
        <v>15274</v>
      </c>
      <c r="Q123" s="342">
        <v>1.0</v>
      </c>
    </row>
    <row r="124" ht="15.75" customHeight="1">
      <c r="B124" s="347">
        <v>116.0</v>
      </c>
      <c r="C124" s="433"/>
      <c r="D124" s="433"/>
      <c r="E124" s="434" t="s">
        <v>23368</v>
      </c>
      <c r="F124" s="875" t="s">
        <v>23367</v>
      </c>
      <c r="G124" s="345" t="s">
        <v>23219</v>
      </c>
      <c r="H124" s="433"/>
      <c r="I124" s="947"/>
      <c r="J124" s="433"/>
      <c r="K124" s="433"/>
      <c r="L124" s="433"/>
      <c r="M124" s="450"/>
      <c r="N124" s="342" t="s">
        <v>54</v>
      </c>
      <c r="O124" s="451">
        <v>2009.0</v>
      </c>
      <c r="P124" s="433" t="s">
        <v>15274</v>
      </c>
      <c r="Q124" s="342">
        <v>1.0</v>
      </c>
    </row>
    <row r="125" ht="15.75" customHeight="1">
      <c r="B125" s="347">
        <v>117.0</v>
      </c>
      <c r="C125" s="433"/>
      <c r="D125" s="433"/>
      <c r="E125" s="434" t="s">
        <v>23369</v>
      </c>
      <c r="F125" s="875" t="s">
        <v>23370</v>
      </c>
      <c r="G125" s="345" t="s">
        <v>23219</v>
      </c>
      <c r="H125" s="433"/>
      <c r="I125" s="947"/>
      <c r="J125" s="433"/>
      <c r="K125" s="433"/>
      <c r="L125" s="433"/>
      <c r="M125" s="450"/>
      <c r="N125" s="342" t="s">
        <v>23231</v>
      </c>
      <c r="O125" s="451">
        <v>2000.0</v>
      </c>
      <c r="P125" s="433" t="s">
        <v>15274</v>
      </c>
      <c r="Q125" s="342">
        <v>1.0</v>
      </c>
    </row>
    <row r="126" ht="15.75" customHeight="1">
      <c r="B126" s="347">
        <v>118.0</v>
      </c>
      <c r="C126" s="433"/>
      <c r="D126" s="433"/>
      <c r="E126" s="434" t="s">
        <v>23371</v>
      </c>
      <c r="F126" s="875" t="s">
        <v>23288</v>
      </c>
      <c r="G126" s="345" t="s">
        <v>23219</v>
      </c>
      <c r="H126" s="433"/>
      <c r="I126" s="947"/>
      <c r="J126" s="433"/>
      <c r="K126" s="433"/>
      <c r="L126" s="433"/>
      <c r="M126" s="450"/>
      <c r="N126" s="433" t="s">
        <v>23372</v>
      </c>
      <c r="O126" s="451" t="s">
        <v>31</v>
      </c>
      <c r="P126" s="433" t="s">
        <v>15274</v>
      </c>
      <c r="Q126" s="342">
        <v>1.0</v>
      </c>
    </row>
    <row r="127" ht="15.75" customHeight="1">
      <c r="B127" s="347">
        <v>119.0</v>
      </c>
      <c r="C127" s="433"/>
      <c r="D127" s="433"/>
      <c r="E127" s="434" t="s">
        <v>23373</v>
      </c>
      <c r="F127" s="875" t="s">
        <v>23288</v>
      </c>
      <c r="G127" s="345"/>
      <c r="H127" s="433" t="s">
        <v>30</v>
      </c>
      <c r="I127" s="947"/>
      <c r="J127" s="433" t="s">
        <v>30</v>
      </c>
      <c r="K127" s="433"/>
      <c r="L127" s="433"/>
      <c r="M127" s="450"/>
      <c r="N127" s="433"/>
      <c r="O127" s="451"/>
      <c r="P127" s="433" t="s">
        <v>15274</v>
      </c>
      <c r="Q127" s="342">
        <v>1.0</v>
      </c>
    </row>
    <row r="128" ht="15.75" customHeight="1">
      <c r="B128" s="347">
        <v>120.0</v>
      </c>
      <c r="C128" s="433"/>
      <c r="D128" s="433"/>
      <c r="E128" s="434" t="s">
        <v>23374</v>
      </c>
      <c r="F128" s="875" t="s">
        <v>23288</v>
      </c>
      <c r="G128" s="345"/>
      <c r="H128" s="433" t="s">
        <v>30</v>
      </c>
      <c r="I128" s="947"/>
      <c r="J128" s="433" t="s">
        <v>30</v>
      </c>
      <c r="K128" s="433"/>
      <c r="L128" s="433"/>
      <c r="M128" s="450"/>
      <c r="N128" s="433"/>
      <c r="O128" s="451"/>
      <c r="P128" s="433" t="s">
        <v>15274</v>
      </c>
      <c r="Q128" s="342">
        <v>1.0</v>
      </c>
    </row>
    <row r="129" ht="15.75" customHeight="1">
      <c r="B129" s="347">
        <v>121.0</v>
      </c>
      <c r="C129" s="433"/>
      <c r="D129" s="433"/>
      <c r="E129" s="434" t="s">
        <v>23375</v>
      </c>
      <c r="F129" s="875" t="s">
        <v>23288</v>
      </c>
      <c r="G129" s="345"/>
      <c r="H129" s="433" t="s">
        <v>30</v>
      </c>
      <c r="I129" s="947"/>
      <c r="J129" s="433" t="s">
        <v>30</v>
      </c>
      <c r="K129" s="433"/>
      <c r="L129" s="433"/>
      <c r="M129" s="450"/>
      <c r="N129" s="433"/>
      <c r="O129" s="451"/>
      <c r="P129" s="433" t="s">
        <v>15274</v>
      </c>
      <c r="Q129" s="342">
        <v>1.0</v>
      </c>
    </row>
    <row r="130" ht="15.75" customHeight="1">
      <c r="B130" s="347">
        <v>122.0</v>
      </c>
      <c r="C130" s="433"/>
      <c r="D130" s="433"/>
      <c r="E130" s="434" t="s">
        <v>23376</v>
      </c>
      <c r="F130" s="875" t="s">
        <v>23288</v>
      </c>
      <c r="G130" s="345"/>
      <c r="H130" s="433" t="s">
        <v>30</v>
      </c>
      <c r="I130" s="947"/>
      <c r="J130" s="433" t="s">
        <v>30</v>
      </c>
      <c r="K130" s="433"/>
      <c r="L130" s="433"/>
      <c r="M130" s="450"/>
      <c r="N130" s="433"/>
      <c r="O130" s="451"/>
      <c r="P130" s="433" t="s">
        <v>15274</v>
      </c>
      <c r="Q130" s="342">
        <v>1.0</v>
      </c>
    </row>
    <row r="131" ht="15.75" customHeight="1">
      <c r="B131" s="347">
        <v>123.0</v>
      </c>
      <c r="C131" s="433"/>
      <c r="D131" s="433"/>
      <c r="E131" s="434" t="s">
        <v>23377</v>
      </c>
      <c r="F131" s="875" t="s">
        <v>23288</v>
      </c>
      <c r="G131" s="345"/>
      <c r="H131" s="433" t="s">
        <v>30</v>
      </c>
      <c r="I131" s="947"/>
      <c r="J131" s="433" t="s">
        <v>30</v>
      </c>
      <c r="K131" s="433"/>
      <c r="L131" s="433"/>
      <c r="M131" s="450"/>
      <c r="N131" s="433"/>
      <c r="O131" s="451"/>
      <c r="P131" s="433" t="s">
        <v>15274</v>
      </c>
      <c r="Q131" s="342">
        <v>1.0</v>
      </c>
    </row>
    <row r="132" ht="15.75" customHeight="1">
      <c r="B132" s="347">
        <v>124.0</v>
      </c>
      <c r="C132" s="433"/>
      <c r="D132" s="433"/>
      <c r="E132" s="434" t="s">
        <v>23378</v>
      </c>
      <c r="F132" s="875" t="s">
        <v>23288</v>
      </c>
      <c r="G132" s="345"/>
      <c r="H132" s="433" t="s">
        <v>30</v>
      </c>
      <c r="I132" s="947"/>
      <c r="J132" s="433" t="s">
        <v>30</v>
      </c>
      <c r="K132" s="433"/>
      <c r="L132" s="433"/>
      <c r="M132" s="450"/>
      <c r="N132" s="433"/>
      <c r="O132" s="451"/>
      <c r="P132" s="433" t="s">
        <v>15274</v>
      </c>
      <c r="Q132" s="342">
        <v>1.0</v>
      </c>
    </row>
    <row r="133" ht="15.75" customHeight="1">
      <c r="B133" s="347">
        <v>125.0</v>
      </c>
      <c r="C133" s="433"/>
      <c r="D133" s="433"/>
      <c r="E133" s="434" t="s">
        <v>23379</v>
      </c>
      <c r="F133" s="875" t="s">
        <v>23380</v>
      </c>
      <c r="G133" s="345" t="s">
        <v>23219</v>
      </c>
      <c r="H133" s="433"/>
      <c r="I133" s="947"/>
      <c r="J133" s="433"/>
      <c r="K133" s="433"/>
      <c r="L133" s="433"/>
      <c r="M133" s="450"/>
      <c r="N133" s="342" t="s">
        <v>23381</v>
      </c>
      <c r="O133" s="451">
        <v>2015.0</v>
      </c>
      <c r="P133" s="433" t="s">
        <v>15274</v>
      </c>
      <c r="Q133" s="342">
        <v>1.0</v>
      </c>
    </row>
    <row r="134" ht="15.75" customHeight="1">
      <c r="B134" s="347">
        <v>126.0</v>
      </c>
      <c r="C134" s="433"/>
      <c r="D134" s="433"/>
      <c r="E134" s="434" t="s">
        <v>23382</v>
      </c>
      <c r="F134" s="875" t="s">
        <v>23367</v>
      </c>
      <c r="G134" s="345" t="s">
        <v>23219</v>
      </c>
      <c r="H134" s="433"/>
      <c r="I134" s="947"/>
      <c r="J134" s="433"/>
      <c r="K134" s="433"/>
      <c r="L134" s="433"/>
      <c r="M134" s="450"/>
      <c r="N134" s="342" t="s">
        <v>23383</v>
      </c>
      <c r="O134" s="451">
        <v>2014.0</v>
      </c>
      <c r="P134" s="433" t="s">
        <v>15274</v>
      </c>
      <c r="Q134" s="342">
        <v>1.0</v>
      </c>
    </row>
    <row r="135" ht="15.75" customHeight="1">
      <c r="B135" s="347">
        <v>127.0</v>
      </c>
      <c r="C135" s="433"/>
      <c r="D135" s="433"/>
      <c r="E135" s="434" t="s">
        <v>23384</v>
      </c>
      <c r="F135" s="875" t="s">
        <v>23367</v>
      </c>
      <c r="G135" s="345" t="s">
        <v>23219</v>
      </c>
      <c r="H135" s="433"/>
      <c r="I135" s="947"/>
      <c r="J135" s="433"/>
      <c r="K135" s="433"/>
      <c r="L135" s="433"/>
      <c r="M135" s="450"/>
      <c r="N135" s="342" t="s">
        <v>23383</v>
      </c>
      <c r="O135" s="451">
        <v>2012.0</v>
      </c>
      <c r="P135" s="433" t="s">
        <v>15274</v>
      </c>
      <c r="Q135" s="342">
        <v>1.0</v>
      </c>
    </row>
    <row r="136" ht="15.75" customHeight="1">
      <c r="B136" s="347">
        <v>128.0</v>
      </c>
      <c r="C136" s="433"/>
      <c r="D136" s="433"/>
      <c r="E136" s="434" t="s">
        <v>23385</v>
      </c>
      <c r="F136" s="875" t="s">
        <v>23367</v>
      </c>
      <c r="G136" s="345" t="s">
        <v>23219</v>
      </c>
      <c r="H136" s="433"/>
      <c r="I136" s="947"/>
      <c r="J136" s="433"/>
      <c r="K136" s="433"/>
      <c r="L136" s="433"/>
      <c r="M136" s="450" t="s">
        <v>23386</v>
      </c>
      <c r="N136" s="342" t="s">
        <v>23231</v>
      </c>
      <c r="O136" s="955"/>
      <c r="P136" s="433"/>
      <c r="Q136" s="342"/>
    </row>
    <row r="137" ht="15.75" customHeight="1">
      <c r="B137" s="347">
        <v>129.0</v>
      </c>
      <c r="C137" s="433"/>
      <c r="D137" s="433"/>
      <c r="E137" s="434" t="s">
        <v>23387</v>
      </c>
      <c r="F137" s="433" t="s">
        <v>23367</v>
      </c>
      <c r="G137" s="345" t="s">
        <v>23219</v>
      </c>
      <c r="H137" s="433"/>
      <c r="I137" s="433"/>
      <c r="J137" s="433"/>
      <c r="K137" s="433"/>
      <c r="L137" s="433"/>
      <c r="M137" s="450" t="s">
        <v>23388</v>
      </c>
      <c r="N137" s="342" t="s">
        <v>23231</v>
      </c>
      <c r="O137" s="451">
        <v>2011.0</v>
      </c>
      <c r="P137" s="433" t="s">
        <v>15274</v>
      </c>
      <c r="Q137" s="342">
        <v>1.0</v>
      </c>
    </row>
    <row r="138" ht="15.75" customHeight="1">
      <c r="B138" s="347">
        <v>130.0</v>
      </c>
      <c r="C138" s="433"/>
      <c r="D138" s="433"/>
      <c r="E138" s="434" t="s">
        <v>23389</v>
      </c>
      <c r="F138" s="433" t="s">
        <v>23367</v>
      </c>
      <c r="G138" s="345" t="s">
        <v>23219</v>
      </c>
      <c r="H138" s="433"/>
      <c r="I138" s="433"/>
      <c r="J138" s="433"/>
      <c r="K138" s="433"/>
      <c r="L138" s="433"/>
      <c r="M138" s="450"/>
      <c r="N138" s="451" t="s">
        <v>23261</v>
      </c>
      <c r="O138" s="342" t="s">
        <v>31</v>
      </c>
      <c r="P138" s="947" t="s">
        <v>15274</v>
      </c>
      <c r="Q138" s="342">
        <v>1.0</v>
      </c>
    </row>
    <row r="139" ht="15.75" customHeight="1">
      <c r="B139" s="347">
        <v>131.0</v>
      </c>
      <c r="C139" s="433"/>
      <c r="D139" s="433"/>
      <c r="E139" s="434" t="s">
        <v>23390</v>
      </c>
      <c r="F139" s="433" t="s">
        <v>23288</v>
      </c>
      <c r="G139" s="345" t="s">
        <v>2222</v>
      </c>
      <c r="H139" s="433" t="s">
        <v>30</v>
      </c>
      <c r="I139" s="433"/>
      <c r="J139" s="433" t="s">
        <v>30</v>
      </c>
      <c r="K139" s="433"/>
      <c r="L139" s="433"/>
      <c r="M139" s="450"/>
      <c r="N139" s="451" t="s">
        <v>23391</v>
      </c>
      <c r="O139" s="342">
        <v>2008.0</v>
      </c>
      <c r="P139" s="947" t="s">
        <v>15274</v>
      </c>
      <c r="Q139" s="342">
        <v>1.0</v>
      </c>
    </row>
    <row r="140" ht="15.75" customHeight="1">
      <c r="B140" s="347">
        <v>132.0</v>
      </c>
      <c r="C140" s="433"/>
      <c r="D140" s="433"/>
      <c r="E140" s="434" t="s">
        <v>23392</v>
      </c>
      <c r="F140" s="433" t="s">
        <v>23367</v>
      </c>
      <c r="G140" s="345" t="s">
        <v>2222</v>
      </c>
      <c r="H140" s="433" t="s">
        <v>30</v>
      </c>
      <c r="I140" s="433"/>
      <c r="J140" s="433" t="s">
        <v>30</v>
      </c>
      <c r="K140" s="433"/>
      <c r="L140" s="433"/>
      <c r="M140" s="450"/>
      <c r="N140" s="451" t="s">
        <v>23383</v>
      </c>
      <c r="O140" s="342">
        <v>2014.0</v>
      </c>
      <c r="P140" s="947" t="s">
        <v>15274</v>
      </c>
      <c r="Q140" s="342">
        <v>1.0</v>
      </c>
    </row>
    <row r="141" ht="15.75" customHeight="1">
      <c r="B141" s="347">
        <v>133.0</v>
      </c>
      <c r="C141" s="433"/>
      <c r="D141" s="433"/>
      <c r="E141" s="434" t="s">
        <v>23393</v>
      </c>
      <c r="F141" s="433" t="s">
        <v>23230</v>
      </c>
      <c r="G141" s="345" t="s">
        <v>2222</v>
      </c>
      <c r="H141" s="433" t="s">
        <v>30</v>
      </c>
      <c r="I141" s="433"/>
      <c r="J141" s="433" t="s">
        <v>30</v>
      </c>
      <c r="K141" s="433"/>
      <c r="L141" s="433"/>
      <c r="M141" s="450"/>
      <c r="N141" s="607" t="s">
        <v>23394</v>
      </c>
      <c r="O141" s="342" t="s">
        <v>31</v>
      </c>
      <c r="P141" s="947" t="s">
        <v>15274</v>
      </c>
      <c r="Q141" s="342">
        <v>1.0</v>
      </c>
    </row>
    <row r="142" ht="36.0" customHeight="1">
      <c r="B142" s="347">
        <v>134.0</v>
      </c>
      <c r="C142" s="433"/>
      <c r="D142" s="433"/>
      <c r="E142" s="434" t="s">
        <v>23395</v>
      </c>
      <c r="F142" s="433" t="s">
        <v>23367</v>
      </c>
      <c r="G142" s="345" t="s">
        <v>2222</v>
      </c>
      <c r="H142" s="433" t="s">
        <v>30</v>
      </c>
      <c r="I142" s="433"/>
      <c r="J142" s="433" t="s">
        <v>14995</v>
      </c>
      <c r="K142" s="433"/>
      <c r="L142" s="433"/>
      <c r="M142" s="450"/>
      <c r="N142" s="956" t="s">
        <v>23396</v>
      </c>
      <c r="O142" s="342">
        <v>2012.0</v>
      </c>
      <c r="P142" s="947" t="s">
        <v>15274</v>
      </c>
      <c r="Q142" s="342">
        <v>1.0</v>
      </c>
    </row>
    <row r="143" ht="15.75" customHeight="1">
      <c r="B143" s="347">
        <v>135.0</v>
      </c>
      <c r="C143" s="433"/>
      <c r="D143" s="433"/>
      <c r="E143" s="434" t="s">
        <v>23397</v>
      </c>
      <c r="F143" s="433" t="s">
        <v>23367</v>
      </c>
      <c r="G143" s="345" t="s">
        <v>2222</v>
      </c>
      <c r="H143" s="433" t="s">
        <v>30</v>
      </c>
      <c r="I143" s="433"/>
      <c r="J143" s="433" t="s">
        <v>14995</v>
      </c>
      <c r="K143" s="433"/>
      <c r="L143" s="433"/>
      <c r="M143" s="450"/>
      <c r="N143" s="451" t="s">
        <v>23396</v>
      </c>
      <c r="O143" s="342">
        <v>2011.0</v>
      </c>
      <c r="P143" s="947" t="s">
        <v>15274</v>
      </c>
      <c r="Q143" s="342">
        <v>1.0</v>
      </c>
    </row>
    <row r="144" ht="15.75" customHeight="1">
      <c r="B144" s="347">
        <v>136.0</v>
      </c>
      <c r="C144" s="433"/>
      <c r="D144" s="433"/>
      <c r="E144" s="434" t="s">
        <v>23398</v>
      </c>
      <c r="F144" s="433" t="s">
        <v>23367</v>
      </c>
      <c r="G144" s="345" t="s">
        <v>2222</v>
      </c>
      <c r="H144" s="433" t="s">
        <v>30</v>
      </c>
      <c r="I144" s="433"/>
      <c r="J144" s="433" t="s">
        <v>14995</v>
      </c>
      <c r="K144" s="433"/>
      <c r="L144" s="433"/>
      <c r="M144" s="450"/>
      <c r="N144" s="342" t="s">
        <v>23396</v>
      </c>
      <c r="O144" s="342">
        <v>2012.0</v>
      </c>
      <c r="P144" s="433" t="s">
        <v>15274</v>
      </c>
      <c r="Q144" s="342">
        <v>1.0</v>
      </c>
    </row>
    <row r="145" ht="15.75" customHeight="1">
      <c r="B145" s="347">
        <v>137.0</v>
      </c>
      <c r="C145" s="433"/>
      <c r="D145" s="433" t="s">
        <v>23399</v>
      </c>
      <c r="E145" s="434" t="s">
        <v>23400</v>
      </c>
      <c r="F145" s="433" t="s">
        <v>23401</v>
      </c>
      <c r="G145" s="345" t="s">
        <v>2222</v>
      </c>
      <c r="H145" s="433" t="s">
        <v>30</v>
      </c>
      <c r="I145" s="433"/>
      <c r="J145" s="433" t="s">
        <v>30</v>
      </c>
      <c r="K145" s="433"/>
      <c r="L145" s="433"/>
      <c r="M145" s="450"/>
      <c r="N145" s="451" t="s">
        <v>23402</v>
      </c>
      <c r="O145" s="342" t="s">
        <v>31</v>
      </c>
      <c r="P145" s="433" t="s">
        <v>15274</v>
      </c>
      <c r="Q145" s="342">
        <v>1.0</v>
      </c>
    </row>
    <row r="146" ht="15.75" customHeight="1">
      <c r="B146" s="347">
        <v>138.0</v>
      </c>
      <c r="C146" s="433"/>
      <c r="D146" s="433" t="s">
        <v>23403</v>
      </c>
      <c r="E146" s="434" t="s">
        <v>23404</v>
      </c>
      <c r="F146" s="433" t="s">
        <v>23367</v>
      </c>
      <c r="G146" s="345" t="s">
        <v>2222</v>
      </c>
      <c r="H146" s="433" t="s">
        <v>30</v>
      </c>
      <c r="I146" s="433"/>
      <c r="J146" s="433" t="s">
        <v>30</v>
      </c>
      <c r="K146" s="433"/>
      <c r="L146" s="433"/>
      <c r="M146" s="450" t="s">
        <v>23405</v>
      </c>
      <c r="N146" s="451" t="s">
        <v>23406</v>
      </c>
      <c r="O146" s="342" t="s">
        <v>31</v>
      </c>
      <c r="P146" s="947" t="s">
        <v>15274</v>
      </c>
      <c r="Q146" s="342">
        <v>1.0</v>
      </c>
    </row>
    <row r="147" ht="15.75" customHeight="1">
      <c r="B147" s="347">
        <v>139.0</v>
      </c>
      <c r="C147" s="433"/>
      <c r="D147" s="433" t="s">
        <v>23403</v>
      </c>
      <c r="E147" s="434" t="s">
        <v>23407</v>
      </c>
      <c r="F147" s="433" t="s">
        <v>23367</v>
      </c>
      <c r="G147" s="345" t="s">
        <v>2222</v>
      </c>
      <c r="H147" s="433" t="s">
        <v>30</v>
      </c>
      <c r="I147" s="433"/>
      <c r="J147" s="433" t="s">
        <v>30</v>
      </c>
      <c r="K147" s="433"/>
      <c r="L147" s="433"/>
      <c r="M147" s="450" t="s">
        <v>23405</v>
      </c>
      <c r="N147" s="451" t="s">
        <v>23406</v>
      </c>
      <c r="O147" s="342" t="s">
        <v>31</v>
      </c>
      <c r="P147" s="947" t="s">
        <v>15274</v>
      </c>
      <c r="Q147" s="342">
        <v>1.0</v>
      </c>
    </row>
    <row r="148" ht="15.75" customHeight="1">
      <c r="B148" s="347">
        <v>140.0</v>
      </c>
      <c r="C148" s="433"/>
      <c r="D148" s="433" t="s">
        <v>23408</v>
      </c>
      <c r="E148" s="434" t="s">
        <v>23409</v>
      </c>
      <c r="F148" s="433" t="s">
        <v>23367</v>
      </c>
      <c r="G148" s="345" t="s">
        <v>2222</v>
      </c>
      <c r="H148" s="433" t="s">
        <v>30</v>
      </c>
      <c r="I148" s="433"/>
      <c r="J148" s="433" t="s">
        <v>30</v>
      </c>
      <c r="K148" s="433"/>
      <c r="L148" s="433"/>
      <c r="M148" s="450" t="s">
        <v>23405</v>
      </c>
      <c r="N148" s="451" t="s">
        <v>23406</v>
      </c>
      <c r="O148" s="342" t="s">
        <v>31</v>
      </c>
      <c r="P148" s="947" t="s">
        <v>15274</v>
      </c>
      <c r="Q148" s="342">
        <v>1.0</v>
      </c>
    </row>
    <row r="149" ht="15.75" customHeight="1">
      <c r="B149" s="347">
        <v>141.0</v>
      </c>
      <c r="C149" s="433"/>
      <c r="D149" s="433" t="s">
        <v>23410</v>
      </c>
      <c r="E149" s="434" t="s">
        <v>23411</v>
      </c>
      <c r="F149" s="433" t="s">
        <v>23367</v>
      </c>
      <c r="G149" s="345" t="s">
        <v>2222</v>
      </c>
      <c r="H149" s="433" t="s">
        <v>30</v>
      </c>
      <c r="I149" s="433"/>
      <c r="J149" s="433" t="s">
        <v>30</v>
      </c>
      <c r="K149" s="433"/>
      <c r="L149" s="433"/>
      <c r="M149" s="450" t="s">
        <v>23405</v>
      </c>
      <c r="N149" s="451" t="s">
        <v>23406</v>
      </c>
      <c r="O149" s="342" t="s">
        <v>31</v>
      </c>
      <c r="P149" s="947" t="s">
        <v>15274</v>
      </c>
      <c r="Q149" s="342">
        <v>1.0</v>
      </c>
    </row>
    <row r="150" ht="15.75" customHeight="1">
      <c r="B150" s="347">
        <v>142.0</v>
      </c>
      <c r="C150" s="433"/>
      <c r="D150" s="433" t="s">
        <v>23412</v>
      </c>
      <c r="E150" s="434" t="s">
        <v>23413</v>
      </c>
      <c r="F150" s="433" t="s">
        <v>23367</v>
      </c>
      <c r="G150" s="345" t="s">
        <v>2222</v>
      </c>
      <c r="H150" s="433" t="s">
        <v>30</v>
      </c>
      <c r="I150" s="433"/>
      <c r="J150" s="433" t="s">
        <v>30</v>
      </c>
      <c r="K150" s="433"/>
      <c r="L150" s="433"/>
      <c r="M150" s="450" t="s">
        <v>23405</v>
      </c>
      <c r="N150" s="451" t="s">
        <v>23406</v>
      </c>
      <c r="O150" s="342" t="s">
        <v>31</v>
      </c>
      <c r="P150" s="947" t="s">
        <v>15274</v>
      </c>
      <c r="Q150" s="342">
        <v>1.0</v>
      </c>
    </row>
    <row r="151" ht="15.75" customHeight="1">
      <c r="B151" s="347">
        <v>143.0</v>
      </c>
      <c r="C151" s="433"/>
      <c r="D151" s="433" t="s">
        <v>23414</v>
      </c>
      <c r="E151" s="434" t="s">
        <v>23415</v>
      </c>
      <c r="F151" s="433" t="s">
        <v>23367</v>
      </c>
      <c r="G151" s="345" t="s">
        <v>2222</v>
      </c>
      <c r="H151" s="433" t="s">
        <v>30</v>
      </c>
      <c r="I151" s="433"/>
      <c r="J151" s="433" t="s">
        <v>38</v>
      </c>
      <c r="K151" s="433"/>
      <c r="L151" s="433"/>
      <c r="M151" s="450"/>
      <c r="N151" s="451" t="s">
        <v>23231</v>
      </c>
      <c r="O151" s="342" t="s">
        <v>31</v>
      </c>
      <c r="P151" s="947" t="s">
        <v>15274</v>
      </c>
      <c r="Q151" s="342">
        <v>1.0</v>
      </c>
    </row>
    <row r="152" ht="15.75" customHeight="1">
      <c r="B152" s="347">
        <v>144.0</v>
      </c>
      <c r="C152" s="433"/>
      <c r="D152" s="433" t="s">
        <v>23416</v>
      </c>
      <c r="E152" s="434" t="s">
        <v>23415</v>
      </c>
      <c r="F152" s="433" t="s">
        <v>23367</v>
      </c>
      <c r="G152" s="345" t="s">
        <v>2222</v>
      </c>
      <c r="H152" s="433" t="s">
        <v>30</v>
      </c>
      <c r="I152" s="433"/>
      <c r="J152" s="433" t="s">
        <v>38</v>
      </c>
      <c r="K152" s="433"/>
      <c r="L152" s="433"/>
      <c r="M152" s="450"/>
      <c r="N152" s="451" t="s">
        <v>23231</v>
      </c>
      <c r="O152" s="342" t="s">
        <v>31</v>
      </c>
      <c r="P152" s="947" t="s">
        <v>15274</v>
      </c>
      <c r="Q152" s="342">
        <v>1.0</v>
      </c>
    </row>
    <row r="153" ht="15.75" customHeight="1">
      <c r="B153" s="347"/>
      <c r="C153" s="433"/>
      <c r="D153" s="433"/>
      <c r="E153" s="434"/>
      <c r="F153" s="433"/>
      <c r="G153" s="345"/>
      <c r="H153" s="433"/>
      <c r="I153" s="433"/>
      <c r="J153" s="433"/>
      <c r="K153" s="433"/>
      <c r="L153" s="433"/>
      <c r="M153" s="450"/>
      <c r="N153" s="451"/>
      <c r="O153" s="342"/>
      <c r="P153" s="947"/>
      <c r="Q153" s="342"/>
    </row>
    <row r="154" ht="15.75" customHeight="1">
      <c r="B154" s="347"/>
      <c r="C154" s="433"/>
      <c r="D154" s="433"/>
      <c r="E154" s="434"/>
      <c r="F154" s="433"/>
      <c r="G154" s="433"/>
      <c r="H154" s="433"/>
      <c r="I154" s="433"/>
      <c r="J154" s="433"/>
      <c r="K154" s="433"/>
      <c r="L154" s="433"/>
      <c r="M154" s="450"/>
      <c r="N154" s="451"/>
      <c r="O154" s="342"/>
      <c r="P154" s="947"/>
      <c r="Q154" s="342"/>
    </row>
    <row r="155" ht="15.75" customHeight="1">
      <c r="B155" s="347"/>
      <c r="C155" s="433"/>
      <c r="D155" s="433"/>
      <c r="E155" s="434"/>
      <c r="F155" s="433"/>
      <c r="G155" s="433"/>
      <c r="H155" s="433"/>
      <c r="I155" s="433"/>
      <c r="J155" s="433"/>
      <c r="K155" s="433"/>
      <c r="L155" s="433"/>
      <c r="M155" s="450"/>
      <c r="N155" s="451"/>
      <c r="O155" s="342"/>
      <c r="P155" s="947"/>
      <c r="Q155" s="342"/>
    </row>
    <row r="156" ht="15.75" customHeight="1">
      <c r="B156" s="347"/>
      <c r="C156" s="433"/>
      <c r="D156" s="433"/>
      <c r="E156" s="434"/>
      <c r="F156" s="433"/>
      <c r="G156" s="433"/>
      <c r="H156" s="433"/>
      <c r="I156" s="433"/>
      <c r="J156" s="433"/>
      <c r="K156" s="433"/>
      <c r="L156" s="433"/>
      <c r="M156" s="450"/>
      <c r="N156" s="451"/>
      <c r="O156" s="342"/>
      <c r="P156" s="947"/>
      <c r="Q156" s="342"/>
    </row>
    <row r="157" ht="15.75" customHeight="1">
      <c r="B157" s="347"/>
      <c r="C157" s="433"/>
      <c r="D157" s="433"/>
      <c r="E157" s="434"/>
      <c r="F157" s="433"/>
      <c r="G157" s="433"/>
      <c r="H157" s="433"/>
      <c r="I157" s="433"/>
      <c r="J157" s="433"/>
      <c r="K157" s="433"/>
      <c r="L157" s="433"/>
      <c r="M157" s="450"/>
      <c r="N157" s="451"/>
      <c r="O157" s="342"/>
      <c r="P157" s="947"/>
      <c r="Q157" s="342"/>
    </row>
    <row r="158" ht="15.75" customHeight="1">
      <c r="B158" s="347"/>
      <c r="C158" s="433"/>
      <c r="D158" s="433"/>
      <c r="E158" s="434"/>
      <c r="F158" s="433"/>
      <c r="G158" s="433"/>
      <c r="H158" s="433"/>
      <c r="I158" s="433"/>
      <c r="J158" s="433"/>
      <c r="K158" s="433"/>
      <c r="L158" s="433"/>
      <c r="M158" s="450"/>
      <c r="N158" s="342"/>
      <c r="O158" s="342"/>
      <c r="P158" s="433"/>
      <c r="Q158" s="342">
        <f>SUM(Q6:Q152)</f>
        <v>171</v>
      </c>
    </row>
    <row r="159" ht="15.75" customHeight="1">
      <c r="B159" s="454"/>
      <c r="C159" s="455"/>
      <c r="D159" s="455"/>
      <c r="E159" s="455"/>
      <c r="F159" s="455"/>
      <c r="G159" s="455"/>
      <c r="H159" s="455"/>
      <c r="I159" s="455"/>
      <c r="J159" s="455"/>
      <c r="K159" s="455"/>
      <c r="L159" s="455"/>
      <c r="M159" s="455"/>
      <c r="N159" s="455"/>
      <c r="O159" s="455"/>
      <c r="P159" s="455"/>
      <c r="Q159" s="456"/>
    </row>
    <row r="160" ht="15.75" customHeight="1">
      <c r="B160" s="951" t="s">
        <v>23213</v>
      </c>
      <c r="C160" s="6"/>
      <c r="D160" s="6"/>
      <c r="E160" s="6"/>
      <c r="F160" s="6"/>
      <c r="G160" s="6"/>
      <c r="H160" s="6"/>
      <c r="I160" s="6"/>
      <c r="J160" s="6"/>
      <c r="K160" s="6"/>
      <c r="L160" s="6"/>
      <c r="M160" s="6"/>
      <c r="N160" s="6"/>
      <c r="O160" s="6"/>
      <c r="P160" s="6"/>
      <c r="Q160" s="7"/>
    </row>
    <row r="161" ht="15.75" customHeight="1">
      <c r="B161" s="327" t="s">
        <v>14150</v>
      </c>
      <c r="C161" s="457" t="s">
        <v>14151</v>
      </c>
      <c r="D161" s="6"/>
      <c r="E161" s="7"/>
      <c r="F161" s="458"/>
      <c r="G161" s="459"/>
      <c r="H161" s="7"/>
      <c r="I161" s="459"/>
      <c r="J161" s="6"/>
      <c r="K161" s="6"/>
      <c r="L161" s="7"/>
      <c r="M161" s="460"/>
      <c r="N161" s="461" t="s">
        <v>14152</v>
      </c>
      <c r="O161" s="461"/>
      <c r="P161" s="461"/>
      <c r="Q161" s="461"/>
    </row>
    <row r="162" ht="15.75" customHeight="1">
      <c r="B162" s="321"/>
      <c r="C162" s="399"/>
      <c r="D162" s="458"/>
      <c r="E162" s="462"/>
      <c r="F162" s="458"/>
      <c r="G162" s="463"/>
      <c r="H162" s="7"/>
      <c r="I162" s="321"/>
      <c r="J162" s="321"/>
      <c r="K162" s="463"/>
      <c r="L162" s="7"/>
      <c r="M162" s="321"/>
      <c r="N162" s="321"/>
      <c r="O162" s="321"/>
      <c r="P162" s="321"/>
      <c r="Q162" s="321"/>
    </row>
    <row r="163" ht="15.75" customHeight="1">
      <c r="B163" s="463"/>
      <c r="C163" s="7"/>
      <c r="D163" s="458"/>
      <c r="E163" s="463"/>
      <c r="F163" s="7"/>
      <c r="G163" s="321"/>
      <c r="H163" s="321"/>
      <c r="I163" s="321"/>
      <c r="J163" s="321"/>
      <c r="K163" s="321"/>
      <c r="L163" s="321"/>
      <c r="M163" s="321"/>
      <c r="N163" s="321"/>
      <c r="O163" s="321"/>
      <c r="P163" s="321"/>
      <c r="Q163" s="321"/>
    </row>
    <row r="164" ht="15.75" customHeight="1">
      <c r="B164" s="321"/>
      <c r="C164" s="951" t="s">
        <v>23214</v>
      </c>
      <c r="D164" s="6"/>
      <c r="E164" s="7"/>
      <c r="F164" s="458"/>
      <c r="G164" s="457"/>
      <c r="H164" s="7"/>
      <c r="I164" s="457"/>
      <c r="J164" s="6"/>
      <c r="K164" s="6"/>
      <c r="L164" s="7"/>
      <c r="M164" s="951" t="s">
        <v>23215</v>
      </c>
      <c r="N164" s="6"/>
      <c r="O164" s="6"/>
      <c r="P164" s="6"/>
      <c r="Q164" s="7"/>
    </row>
    <row r="165" ht="15.75" customHeight="1">
      <c r="B165" s="321"/>
      <c r="C165" s="457" t="s">
        <v>14155</v>
      </c>
      <c r="D165" s="6"/>
      <c r="E165" s="7"/>
      <c r="F165" s="458"/>
      <c r="G165" s="457"/>
      <c r="H165" s="7"/>
      <c r="I165" s="327"/>
      <c r="J165" s="457"/>
      <c r="K165" s="6"/>
      <c r="L165" s="7"/>
      <c r="M165" s="457" t="s">
        <v>14156</v>
      </c>
      <c r="N165" s="6"/>
      <c r="O165" s="6"/>
      <c r="P165" s="6"/>
      <c r="Q165" s="7"/>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2">
    <mergeCell ref="B1:Q1"/>
    <mergeCell ref="C2:Q2"/>
    <mergeCell ref="K3:M3"/>
    <mergeCell ref="O3:Q3"/>
    <mergeCell ref="L4:M4"/>
    <mergeCell ref="B159:Q159"/>
    <mergeCell ref="B160:Q160"/>
    <mergeCell ref="C164:E164"/>
    <mergeCell ref="G164:H164"/>
    <mergeCell ref="I164:L164"/>
    <mergeCell ref="M164:Q164"/>
    <mergeCell ref="C165:E165"/>
    <mergeCell ref="G165:H165"/>
    <mergeCell ref="J165:L165"/>
    <mergeCell ref="M165:Q165"/>
    <mergeCell ref="C161:E161"/>
    <mergeCell ref="G161:H161"/>
    <mergeCell ref="I161:L161"/>
    <mergeCell ref="G162:H162"/>
    <mergeCell ref="K162:L162"/>
    <mergeCell ref="B163:C163"/>
    <mergeCell ref="E163:F163"/>
  </mergeCells>
  <printOptions/>
  <pageMargins bottom="0.7480314960629921" footer="0.0" header="0.0" left="0.7086614173228347" right="0.7086614173228347" top="0.7480314960629921"/>
  <pageSetup paperSize="5" scale="88"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3.0"/>
    <col customWidth="1" min="2" max="2" width="4.71"/>
    <col customWidth="1" min="3" max="3" width="11.43"/>
    <col customWidth="1" min="4" max="4" width="9.57"/>
    <col customWidth="1" min="5" max="5" width="16.71"/>
    <col customWidth="1" min="6" max="6" width="8.14"/>
    <col customWidth="1" min="7" max="7" width="7.86"/>
    <col customWidth="1" min="8" max="8" width="8.71"/>
    <col customWidth="1" min="9" max="9" width="8.43"/>
    <col customWidth="1" min="10" max="10" width="9.0"/>
    <col customWidth="1" min="11" max="11" width="7.29"/>
    <col customWidth="1" min="12" max="12" width="12.43"/>
    <col customWidth="1" min="13" max="13" width="10.57"/>
    <col customWidth="1" min="14" max="14" width="16.71"/>
    <col customWidth="1" min="15" max="15" width="5.29"/>
    <col customWidth="1" min="16" max="16" width="11.43"/>
    <col customWidth="1" min="17" max="17" width="6.14"/>
    <col customWidth="1" min="18" max="26" width="8.71"/>
  </cols>
  <sheetData>
    <row r="1">
      <c r="B1" s="475" t="s">
        <v>14157</v>
      </c>
    </row>
    <row r="2">
      <c r="B2" s="399"/>
      <c r="C2" s="400" t="s">
        <v>19694</v>
      </c>
      <c r="D2" s="6"/>
      <c r="E2" s="6"/>
      <c r="F2" s="6"/>
      <c r="G2" s="6"/>
      <c r="H2" s="6"/>
      <c r="I2" s="6"/>
      <c r="J2" s="6"/>
      <c r="K2" s="6"/>
      <c r="L2" s="6"/>
      <c r="M2" s="6"/>
      <c r="N2" s="6"/>
      <c r="O2" s="6"/>
      <c r="P2" s="6"/>
      <c r="Q2" s="7"/>
    </row>
    <row r="3">
      <c r="B3" s="399"/>
      <c r="C3" s="401"/>
      <c r="D3" s="9"/>
      <c r="E3" s="402"/>
      <c r="F3" s="9"/>
      <c r="G3" s="403"/>
      <c r="H3" s="403"/>
      <c r="I3" s="403"/>
      <c r="J3" s="9"/>
      <c r="K3" s="12"/>
      <c r="M3" s="13"/>
      <c r="N3" s="343" t="s">
        <v>3</v>
      </c>
      <c r="O3" s="404" t="s">
        <v>23417</v>
      </c>
      <c r="P3" s="16"/>
      <c r="Q3" s="17"/>
    </row>
    <row r="4">
      <c r="B4" s="399"/>
      <c r="C4" s="405"/>
      <c r="D4" s="9"/>
      <c r="E4" s="402"/>
      <c r="F4" s="9"/>
      <c r="G4" s="403"/>
      <c r="H4" s="321"/>
      <c r="I4" s="403"/>
      <c r="J4" s="9"/>
      <c r="K4" s="403"/>
      <c r="L4" s="406"/>
      <c r="M4" s="407"/>
      <c r="N4" s="403"/>
      <c r="O4" s="403"/>
      <c r="P4" s="403"/>
      <c r="Q4" s="403"/>
    </row>
    <row r="5">
      <c r="B5" s="409" t="s">
        <v>13864</v>
      </c>
      <c r="C5" s="295"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row>
    <row r="6">
      <c r="B6" s="342">
        <v>1.0</v>
      </c>
      <c r="C6" s="342"/>
      <c r="D6" s="433"/>
      <c r="E6" s="434" t="s">
        <v>23418</v>
      </c>
      <c r="F6" s="433" t="s">
        <v>23419</v>
      </c>
      <c r="G6" s="433" t="s">
        <v>29</v>
      </c>
      <c r="H6" s="433" t="s">
        <v>30</v>
      </c>
      <c r="I6" s="433"/>
      <c r="J6" s="433" t="s">
        <v>38</v>
      </c>
      <c r="K6" s="433"/>
      <c r="L6" s="433" t="s">
        <v>13663</v>
      </c>
      <c r="M6" s="433"/>
      <c r="N6" s="433" t="s">
        <v>4836</v>
      </c>
      <c r="O6" s="433">
        <v>1991.0</v>
      </c>
      <c r="P6" s="433" t="s">
        <v>388</v>
      </c>
      <c r="Q6" s="433">
        <v>1.0</v>
      </c>
    </row>
    <row r="7">
      <c r="B7" s="342">
        <v>2.0</v>
      </c>
      <c r="C7" s="342"/>
      <c r="D7" s="433"/>
      <c r="E7" s="434" t="s">
        <v>23420</v>
      </c>
      <c r="F7" s="433" t="s">
        <v>23419</v>
      </c>
      <c r="G7" s="433" t="s">
        <v>29</v>
      </c>
      <c r="H7" s="433" t="s">
        <v>30</v>
      </c>
      <c r="I7" s="433"/>
      <c r="J7" s="433" t="s">
        <v>30</v>
      </c>
      <c r="K7" s="433">
        <v>189.0</v>
      </c>
      <c r="L7" s="433"/>
      <c r="M7" s="433"/>
      <c r="N7" s="433" t="s">
        <v>23421</v>
      </c>
      <c r="O7" s="433">
        <v>2005.0</v>
      </c>
      <c r="P7" s="433" t="s">
        <v>388</v>
      </c>
      <c r="Q7" s="433">
        <v>1.0</v>
      </c>
    </row>
    <row r="8">
      <c r="B8" s="342">
        <v>3.0</v>
      </c>
      <c r="C8" s="342"/>
      <c r="D8" s="433"/>
      <c r="E8" s="434" t="s">
        <v>23422</v>
      </c>
      <c r="F8" s="433" t="s">
        <v>23419</v>
      </c>
      <c r="G8" s="433" t="s">
        <v>2222</v>
      </c>
      <c r="H8" s="433" t="s">
        <v>30</v>
      </c>
      <c r="I8" s="433"/>
      <c r="J8" s="433" t="s">
        <v>30</v>
      </c>
      <c r="K8" s="433">
        <v>30.0</v>
      </c>
      <c r="L8" s="433" t="s">
        <v>23423</v>
      </c>
      <c r="M8" s="433"/>
      <c r="N8" s="433" t="s">
        <v>13587</v>
      </c>
      <c r="O8" s="433">
        <v>1992.0</v>
      </c>
      <c r="P8" s="433" t="s">
        <v>388</v>
      </c>
      <c r="Q8" s="433">
        <v>1.0</v>
      </c>
    </row>
    <row r="9">
      <c r="B9" s="347"/>
      <c r="C9" s="342"/>
      <c r="D9" s="433"/>
      <c r="E9" s="434"/>
      <c r="F9" s="345"/>
      <c r="G9" s="345"/>
      <c r="H9" s="345"/>
      <c r="I9" s="433"/>
      <c r="J9" s="342"/>
      <c r="K9" s="342"/>
      <c r="L9" s="952"/>
      <c r="M9" s="433"/>
      <c r="N9" s="433"/>
      <c r="O9" s="433"/>
      <c r="P9" s="952"/>
      <c r="Q9" s="433"/>
    </row>
    <row r="10">
      <c r="B10" s="449"/>
      <c r="C10" s="449"/>
      <c r="D10" s="450"/>
      <c r="E10" s="523"/>
      <c r="F10" s="450"/>
      <c r="G10" s="450"/>
      <c r="H10" s="450"/>
      <c r="I10" s="450"/>
      <c r="J10" s="450"/>
      <c r="K10" s="450"/>
      <c r="L10" s="450"/>
      <c r="M10" s="450"/>
      <c r="N10" s="15" t="s">
        <v>13862</v>
      </c>
      <c r="O10" s="16"/>
      <c r="P10" s="17"/>
      <c r="Q10" s="452">
        <f>SUM(Q6:Q9)</f>
        <v>3</v>
      </c>
    </row>
    <row r="11">
      <c r="B11" s="454"/>
      <c r="C11" s="455"/>
      <c r="D11" s="455"/>
      <c r="E11" s="455"/>
      <c r="F11" s="455"/>
      <c r="G11" s="455"/>
      <c r="H11" s="455"/>
      <c r="I11" s="455"/>
      <c r="J11" s="455"/>
      <c r="K11" s="455"/>
      <c r="L11" s="455"/>
      <c r="M11" s="455"/>
      <c r="N11" s="455"/>
      <c r="O11" s="455"/>
      <c r="P11" s="455"/>
      <c r="Q11" s="456"/>
    </row>
    <row r="12">
      <c r="B12" s="951" t="s">
        <v>23213</v>
      </c>
      <c r="C12" s="6"/>
      <c r="D12" s="6"/>
      <c r="E12" s="6"/>
      <c r="F12" s="6"/>
      <c r="G12" s="6"/>
      <c r="H12" s="6"/>
      <c r="I12" s="6"/>
      <c r="J12" s="6"/>
      <c r="K12" s="6"/>
      <c r="L12" s="6"/>
      <c r="M12" s="6"/>
      <c r="N12" s="6"/>
      <c r="O12" s="6"/>
      <c r="P12" s="6"/>
      <c r="Q12" s="7"/>
    </row>
    <row r="13">
      <c r="B13" s="327" t="s">
        <v>14150</v>
      </c>
      <c r="C13" s="457" t="s">
        <v>14151</v>
      </c>
      <c r="D13" s="6"/>
      <c r="E13" s="7"/>
      <c r="F13" s="458"/>
      <c r="G13" s="459"/>
      <c r="H13" s="7"/>
      <c r="I13" s="459"/>
      <c r="J13" s="6"/>
      <c r="K13" s="6"/>
      <c r="L13" s="7"/>
      <c r="M13" s="460"/>
      <c r="N13" s="461" t="s">
        <v>14152</v>
      </c>
      <c r="O13" s="461"/>
      <c r="P13" s="461"/>
      <c r="Q13" s="461"/>
    </row>
    <row r="14">
      <c r="B14" s="321"/>
      <c r="C14" s="399"/>
      <c r="D14" s="458"/>
      <c r="E14" s="462"/>
      <c r="F14" s="458"/>
      <c r="G14" s="463"/>
      <c r="H14" s="7"/>
      <c r="I14" s="321"/>
      <c r="J14" s="321"/>
      <c r="K14" s="463"/>
      <c r="L14" s="7"/>
      <c r="M14" s="321"/>
      <c r="N14" s="321"/>
      <c r="O14" s="321"/>
      <c r="P14" s="321"/>
      <c r="Q14" s="321"/>
    </row>
    <row r="15">
      <c r="B15" s="463"/>
      <c r="C15" s="7"/>
      <c r="D15" s="458"/>
      <c r="E15" s="463"/>
      <c r="F15" s="7"/>
      <c r="G15" s="321"/>
      <c r="H15" s="321"/>
      <c r="I15" s="321"/>
      <c r="J15" s="321"/>
      <c r="K15" s="321"/>
      <c r="L15" s="321"/>
      <c r="M15" s="321"/>
      <c r="N15" s="321"/>
      <c r="O15" s="321"/>
      <c r="P15" s="321"/>
      <c r="Q15" s="321"/>
    </row>
    <row r="16">
      <c r="B16" s="321"/>
      <c r="C16" s="951" t="s">
        <v>23214</v>
      </c>
      <c r="D16" s="6"/>
      <c r="E16" s="7"/>
      <c r="F16" s="458"/>
      <c r="G16" s="457"/>
      <c r="H16" s="7"/>
      <c r="I16" s="457"/>
      <c r="J16" s="6"/>
      <c r="K16" s="6"/>
      <c r="L16" s="7"/>
      <c r="M16" s="951" t="s">
        <v>23215</v>
      </c>
      <c r="N16" s="6"/>
      <c r="O16" s="6"/>
      <c r="P16" s="6"/>
      <c r="Q16" s="7"/>
    </row>
    <row r="17">
      <c r="B17" s="321"/>
      <c r="C17" s="457" t="s">
        <v>14155</v>
      </c>
      <c r="D17" s="6"/>
      <c r="E17" s="7"/>
      <c r="F17" s="458"/>
      <c r="G17" s="457"/>
      <c r="H17" s="7"/>
      <c r="I17" s="327"/>
      <c r="J17" s="457"/>
      <c r="K17" s="6"/>
      <c r="L17" s="7"/>
      <c r="M17" s="457" t="s">
        <v>14156</v>
      </c>
      <c r="N17" s="6"/>
      <c r="O17" s="6"/>
      <c r="P17" s="6"/>
      <c r="Q17" s="7"/>
    </row>
    <row r="18">
      <c r="B18" s="2"/>
      <c r="C18" s="2"/>
      <c r="D18" s="2"/>
      <c r="E18" s="464"/>
      <c r="F18" s="2"/>
      <c r="G18" s="2"/>
      <c r="H18" s="2"/>
      <c r="I18" s="2"/>
      <c r="J18" s="2"/>
      <c r="K18" s="2"/>
      <c r="L18" s="2"/>
      <c r="M18" s="2"/>
      <c r="N18" s="2"/>
      <c r="O18" s="2"/>
      <c r="P18" s="2"/>
      <c r="Q18" s="2"/>
    </row>
    <row r="19">
      <c r="B19" s="2"/>
      <c r="C19" s="2"/>
      <c r="D19" s="2"/>
      <c r="E19" s="464"/>
      <c r="F19" s="2"/>
      <c r="G19" s="2"/>
      <c r="H19" s="2"/>
      <c r="I19" s="2"/>
      <c r="J19" s="2"/>
      <c r="K19" s="2"/>
      <c r="L19" s="2"/>
      <c r="M19" s="2"/>
      <c r="N19" s="2"/>
      <c r="O19" s="2"/>
      <c r="P19" s="2"/>
      <c r="Q19" s="2"/>
    </row>
    <row r="20">
      <c r="B20" s="2"/>
      <c r="C20" s="2"/>
      <c r="D20" s="2"/>
      <c r="E20" s="464"/>
      <c r="F20" s="2"/>
      <c r="G20" s="2"/>
      <c r="H20" s="2"/>
      <c r="I20" s="2"/>
      <c r="J20" s="2"/>
      <c r="K20" s="2"/>
      <c r="L20" s="2"/>
      <c r="M20" s="2"/>
      <c r="N20" s="2"/>
      <c r="O20" s="2"/>
      <c r="P20" s="2"/>
      <c r="Q20" s="2"/>
    </row>
    <row r="21" ht="15.75" customHeight="1">
      <c r="B21" s="2"/>
      <c r="C21" s="2"/>
      <c r="D21" s="2"/>
      <c r="E21" s="464"/>
      <c r="F21" s="2"/>
      <c r="G21" s="2"/>
      <c r="H21" s="2"/>
      <c r="I21" s="2"/>
      <c r="J21" s="2"/>
      <c r="K21" s="2"/>
      <c r="L21" s="2"/>
      <c r="M21" s="2"/>
      <c r="N21" s="2"/>
      <c r="O21" s="2"/>
      <c r="P21" s="2"/>
      <c r="Q21" s="2"/>
    </row>
    <row r="22" ht="15.75" customHeight="1">
      <c r="B22" s="2"/>
      <c r="C22" s="2"/>
      <c r="D22" s="2"/>
      <c r="E22" s="464"/>
      <c r="F22" s="2"/>
      <c r="G22" s="2"/>
      <c r="H22" s="2"/>
      <c r="I22" s="2"/>
      <c r="J22" s="2"/>
      <c r="K22" s="2"/>
      <c r="L22" s="2"/>
      <c r="M22" s="2"/>
      <c r="N22" s="2"/>
      <c r="O22" s="2"/>
      <c r="P22" s="2"/>
      <c r="Q22" s="2"/>
    </row>
    <row r="23" ht="15.75" customHeight="1">
      <c r="B23" s="2"/>
      <c r="C23" s="2"/>
      <c r="D23" s="2"/>
      <c r="E23" s="464"/>
      <c r="F23" s="2"/>
      <c r="G23" s="2"/>
      <c r="H23" s="2"/>
      <c r="I23" s="2"/>
      <c r="J23" s="2"/>
      <c r="K23" s="2"/>
      <c r="L23" s="2"/>
      <c r="M23" s="2"/>
      <c r="N23" s="2"/>
      <c r="O23" s="2"/>
      <c r="P23" s="2"/>
      <c r="Q23" s="2"/>
    </row>
    <row r="24" ht="15.75" customHeight="1">
      <c r="B24" s="2"/>
      <c r="C24" s="2"/>
      <c r="D24" s="2"/>
      <c r="E24" s="464"/>
      <c r="F24" s="2"/>
      <c r="G24" s="2"/>
      <c r="H24" s="2"/>
      <c r="I24" s="2"/>
      <c r="J24" s="2"/>
      <c r="K24" s="2"/>
      <c r="L24" s="2"/>
      <c r="M24" s="2"/>
      <c r="N24" s="2"/>
      <c r="O24" s="2"/>
      <c r="P24" s="2"/>
      <c r="Q24" s="2"/>
    </row>
    <row r="25" ht="15.75" customHeight="1">
      <c r="B25" s="2"/>
      <c r="C25" s="2"/>
      <c r="D25" s="2"/>
      <c r="E25" s="464"/>
      <c r="F25" s="2"/>
      <c r="G25" s="2"/>
      <c r="H25" s="2"/>
      <c r="I25" s="2"/>
      <c r="J25" s="2"/>
      <c r="K25" s="2"/>
      <c r="L25" s="2"/>
      <c r="M25" s="2"/>
      <c r="N25" s="2"/>
      <c r="O25" s="2"/>
      <c r="P25" s="2"/>
      <c r="Q25" s="2"/>
    </row>
    <row r="26" ht="15.75" customHeight="1">
      <c r="B26" s="2"/>
      <c r="C26" s="2"/>
      <c r="D26" s="2"/>
      <c r="E26" s="464"/>
      <c r="F26" s="2"/>
      <c r="G26" s="2"/>
      <c r="H26" s="2"/>
      <c r="I26" s="2"/>
      <c r="J26" s="2"/>
      <c r="K26" s="2"/>
      <c r="L26" s="2"/>
      <c r="M26" s="2"/>
      <c r="N26" s="2"/>
      <c r="O26" s="2"/>
      <c r="P26" s="2"/>
      <c r="Q26" s="2"/>
    </row>
    <row r="27" ht="15.75" customHeight="1">
      <c r="B27" s="2"/>
      <c r="C27" s="2"/>
      <c r="D27" s="2"/>
      <c r="E27" s="464"/>
      <c r="F27" s="2"/>
      <c r="G27" s="2"/>
      <c r="H27" s="2"/>
      <c r="I27" s="2"/>
      <c r="J27" s="2"/>
      <c r="K27" s="2"/>
      <c r="L27" s="2"/>
      <c r="M27" s="2"/>
      <c r="N27" s="2"/>
      <c r="O27" s="2"/>
      <c r="P27" s="2"/>
      <c r="Q27" s="2"/>
    </row>
    <row r="28" ht="15.75" customHeight="1">
      <c r="B28" s="2"/>
      <c r="C28" s="2"/>
      <c r="D28" s="2"/>
      <c r="E28" s="464"/>
      <c r="F28" s="2"/>
      <c r="G28" s="2"/>
      <c r="H28" s="2"/>
      <c r="I28" s="2"/>
      <c r="J28" s="2"/>
      <c r="K28" s="2"/>
      <c r="L28" s="2"/>
      <c r="M28" s="2"/>
      <c r="N28" s="2"/>
      <c r="O28" s="2"/>
      <c r="P28" s="2"/>
      <c r="Q28" s="2"/>
    </row>
    <row r="29" ht="15.75" customHeight="1">
      <c r="B29" s="2"/>
      <c r="C29" s="2"/>
      <c r="D29" s="2"/>
      <c r="E29" s="464"/>
      <c r="F29" s="2"/>
      <c r="G29" s="2"/>
      <c r="H29" s="2"/>
      <c r="I29" s="2"/>
      <c r="J29" s="2"/>
      <c r="K29" s="2"/>
      <c r="L29" s="2"/>
      <c r="M29" s="2"/>
      <c r="N29" s="2"/>
      <c r="O29" s="2"/>
      <c r="P29" s="2"/>
      <c r="Q29" s="2"/>
    </row>
    <row r="30" ht="15.75" customHeight="1">
      <c r="B30" s="2"/>
      <c r="C30" s="2"/>
      <c r="D30" s="2"/>
      <c r="E30" s="464"/>
      <c r="F30" s="2"/>
      <c r="G30" s="2"/>
      <c r="H30" s="2"/>
      <c r="I30" s="2"/>
      <c r="J30" s="2"/>
      <c r="K30" s="2"/>
      <c r="L30" s="2"/>
      <c r="M30" s="2"/>
      <c r="N30" s="2"/>
      <c r="O30" s="2"/>
      <c r="P30" s="2"/>
      <c r="Q30" s="2"/>
    </row>
    <row r="31" ht="15.75" customHeight="1">
      <c r="B31" s="2"/>
      <c r="C31" s="2"/>
      <c r="D31" s="2"/>
      <c r="E31" s="464"/>
      <c r="F31" s="2"/>
      <c r="G31" s="2"/>
      <c r="H31" s="2"/>
      <c r="I31" s="2"/>
      <c r="J31" s="2"/>
      <c r="K31" s="2"/>
      <c r="L31" s="2"/>
      <c r="M31" s="2"/>
      <c r="N31" s="2"/>
      <c r="O31" s="2"/>
      <c r="P31" s="2"/>
      <c r="Q31" s="2"/>
    </row>
    <row r="32" ht="15.75" customHeight="1">
      <c r="B32" s="2"/>
      <c r="C32" s="2"/>
      <c r="D32" s="2"/>
      <c r="E32" s="464"/>
      <c r="F32" s="2"/>
      <c r="G32" s="2"/>
      <c r="H32" s="2"/>
      <c r="I32" s="2"/>
      <c r="J32" s="2"/>
      <c r="K32" s="2"/>
      <c r="L32" s="2"/>
      <c r="M32" s="2"/>
      <c r="N32" s="2"/>
      <c r="O32" s="2"/>
      <c r="P32" s="2"/>
      <c r="Q32" s="2"/>
    </row>
    <row r="33" ht="15.75" customHeight="1">
      <c r="B33" s="2"/>
      <c r="C33" s="2"/>
      <c r="D33" s="2"/>
      <c r="E33" s="464"/>
      <c r="F33" s="2"/>
      <c r="G33" s="2"/>
      <c r="H33" s="2"/>
      <c r="I33" s="2"/>
      <c r="J33" s="2"/>
      <c r="K33" s="2"/>
      <c r="L33" s="2"/>
      <c r="M33" s="2"/>
      <c r="N33" s="2"/>
      <c r="O33" s="2"/>
      <c r="P33" s="2"/>
      <c r="Q33" s="2"/>
    </row>
    <row r="34" ht="15.75" customHeight="1">
      <c r="B34" s="2"/>
      <c r="C34" s="2"/>
      <c r="D34" s="2"/>
      <c r="E34" s="464"/>
      <c r="F34" s="2"/>
      <c r="G34" s="2"/>
      <c r="H34" s="2"/>
      <c r="I34" s="2"/>
      <c r="J34" s="2"/>
      <c r="K34" s="2"/>
      <c r="L34" s="2"/>
      <c r="M34" s="2"/>
      <c r="N34" s="2"/>
      <c r="O34" s="2"/>
      <c r="P34" s="2"/>
      <c r="Q34" s="2"/>
    </row>
    <row r="35" ht="15.75" customHeight="1">
      <c r="B35" s="2"/>
      <c r="C35" s="2"/>
      <c r="D35" s="2"/>
      <c r="E35" s="464"/>
      <c r="F35" s="2"/>
      <c r="G35" s="2"/>
      <c r="H35" s="2"/>
      <c r="I35" s="2"/>
      <c r="J35" s="2"/>
      <c r="K35" s="2"/>
      <c r="L35" s="2"/>
      <c r="M35" s="2"/>
      <c r="N35" s="2"/>
      <c r="O35" s="2"/>
      <c r="P35" s="2"/>
      <c r="Q35" s="2"/>
    </row>
    <row r="36" ht="15.75" customHeight="1">
      <c r="B36" s="2"/>
      <c r="C36" s="2"/>
      <c r="D36" s="2"/>
      <c r="E36" s="464"/>
      <c r="F36" s="2"/>
      <c r="G36" s="2"/>
      <c r="H36" s="2"/>
      <c r="I36" s="2"/>
      <c r="J36" s="2"/>
      <c r="K36" s="2"/>
      <c r="L36" s="2"/>
      <c r="M36" s="2"/>
      <c r="N36" s="2"/>
      <c r="O36" s="2"/>
      <c r="P36" s="2"/>
      <c r="Q36" s="2"/>
    </row>
    <row r="37" ht="15.75" customHeight="1">
      <c r="B37" s="2"/>
      <c r="C37" s="2"/>
      <c r="D37" s="2"/>
      <c r="E37" s="464"/>
      <c r="F37" s="2"/>
      <c r="G37" s="2"/>
      <c r="H37" s="2"/>
      <c r="I37" s="2"/>
      <c r="J37" s="2"/>
      <c r="K37" s="2"/>
      <c r="L37" s="2"/>
      <c r="M37" s="2"/>
      <c r="N37" s="2"/>
      <c r="O37" s="2"/>
      <c r="P37" s="2"/>
      <c r="Q37" s="2"/>
    </row>
    <row r="38" ht="15.75" customHeight="1">
      <c r="B38" s="2"/>
      <c r="C38" s="2"/>
      <c r="D38" s="2"/>
      <c r="E38" s="464"/>
      <c r="F38" s="2"/>
      <c r="G38" s="2"/>
      <c r="H38" s="2"/>
      <c r="I38" s="2"/>
      <c r="J38" s="2"/>
      <c r="K38" s="2"/>
      <c r="L38" s="2"/>
      <c r="M38" s="2"/>
      <c r="N38" s="2"/>
      <c r="O38" s="2"/>
      <c r="P38" s="2"/>
      <c r="Q38" s="2"/>
    </row>
    <row r="39" ht="15.75" customHeight="1">
      <c r="B39" s="2"/>
      <c r="C39" s="2"/>
      <c r="D39" s="2"/>
      <c r="E39" s="464"/>
      <c r="F39" s="2"/>
      <c r="G39" s="2"/>
      <c r="H39" s="2"/>
      <c r="I39" s="2"/>
      <c r="J39" s="2"/>
      <c r="K39" s="2"/>
      <c r="L39" s="2"/>
      <c r="M39" s="2"/>
      <c r="N39" s="2"/>
      <c r="O39" s="2"/>
      <c r="P39" s="2"/>
      <c r="Q39" s="2"/>
    </row>
    <row r="40" ht="15.75" customHeight="1">
      <c r="B40" s="2"/>
      <c r="C40" s="2"/>
      <c r="D40" s="2"/>
      <c r="E40" s="464"/>
      <c r="F40" s="2"/>
      <c r="G40" s="2"/>
      <c r="H40" s="2"/>
      <c r="I40" s="2"/>
      <c r="J40" s="2"/>
      <c r="K40" s="2"/>
      <c r="L40" s="2"/>
      <c r="M40" s="2"/>
      <c r="N40" s="2"/>
      <c r="O40" s="2"/>
      <c r="P40" s="2"/>
      <c r="Q40" s="2"/>
    </row>
    <row r="41" ht="15.75" customHeight="1">
      <c r="B41" s="2"/>
      <c r="C41" s="2"/>
      <c r="D41" s="2"/>
      <c r="E41" s="464"/>
      <c r="F41" s="2"/>
      <c r="G41" s="2"/>
      <c r="H41" s="2"/>
      <c r="I41" s="2"/>
      <c r="J41" s="2"/>
      <c r="K41" s="2"/>
      <c r="L41" s="2"/>
      <c r="M41" s="2"/>
      <c r="N41" s="2"/>
      <c r="O41" s="2"/>
      <c r="P41" s="2"/>
      <c r="Q41" s="2"/>
    </row>
    <row r="42" ht="15.75" customHeight="1">
      <c r="B42" s="2"/>
      <c r="C42" s="2"/>
      <c r="D42" s="2"/>
      <c r="E42" s="464"/>
      <c r="F42" s="2"/>
      <c r="G42" s="2"/>
      <c r="H42" s="2"/>
      <c r="I42" s="2"/>
      <c r="J42" s="2"/>
      <c r="K42" s="2"/>
      <c r="L42" s="2"/>
      <c r="M42" s="2"/>
      <c r="N42" s="2"/>
      <c r="O42" s="2"/>
      <c r="P42" s="2"/>
      <c r="Q42" s="2"/>
    </row>
    <row r="43" ht="15.75" customHeight="1">
      <c r="B43" s="2"/>
      <c r="C43" s="2"/>
      <c r="D43" s="2"/>
      <c r="E43" s="464"/>
      <c r="F43" s="2"/>
      <c r="G43" s="2"/>
      <c r="H43" s="2"/>
      <c r="I43" s="2"/>
      <c r="J43" s="2"/>
      <c r="K43" s="2"/>
      <c r="L43" s="2"/>
      <c r="M43" s="2"/>
      <c r="N43" s="2"/>
      <c r="O43" s="2"/>
      <c r="P43" s="2"/>
      <c r="Q43" s="2"/>
    </row>
    <row r="44" ht="15.75" customHeight="1">
      <c r="B44" s="2"/>
      <c r="C44" s="2"/>
      <c r="D44" s="2"/>
      <c r="E44" s="464"/>
      <c r="F44" s="2"/>
      <c r="G44" s="2"/>
      <c r="H44" s="2"/>
      <c r="I44" s="2"/>
      <c r="J44" s="2"/>
      <c r="K44" s="2"/>
      <c r="L44" s="2"/>
      <c r="M44" s="2"/>
      <c r="N44" s="2"/>
      <c r="O44" s="2"/>
      <c r="P44" s="2"/>
      <c r="Q44" s="2"/>
    </row>
    <row r="45" ht="15.75" customHeight="1">
      <c r="B45" s="2"/>
      <c r="C45" s="2"/>
      <c r="D45" s="2"/>
      <c r="E45" s="464"/>
      <c r="F45" s="2"/>
      <c r="G45" s="2"/>
      <c r="H45" s="2"/>
      <c r="I45" s="2"/>
      <c r="J45" s="2"/>
      <c r="K45" s="2"/>
      <c r="L45" s="2"/>
      <c r="M45" s="2"/>
      <c r="N45" s="2"/>
      <c r="O45" s="2"/>
      <c r="P45" s="2"/>
      <c r="Q45" s="2"/>
    </row>
    <row r="46" ht="15.75" customHeight="1">
      <c r="B46" s="2"/>
      <c r="C46" s="2"/>
      <c r="D46" s="2"/>
      <c r="E46" s="464"/>
      <c r="F46" s="2"/>
      <c r="G46" s="2"/>
      <c r="H46" s="2"/>
      <c r="I46" s="2"/>
      <c r="J46" s="2"/>
      <c r="K46" s="2"/>
      <c r="L46" s="2"/>
      <c r="M46" s="2"/>
      <c r="N46" s="2"/>
      <c r="O46" s="2"/>
      <c r="P46" s="2"/>
      <c r="Q46" s="2"/>
    </row>
    <row r="47" ht="15.75" customHeight="1">
      <c r="B47" s="2"/>
      <c r="C47" s="2"/>
      <c r="D47" s="2"/>
      <c r="E47" s="464"/>
      <c r="F47" s="2"/>
      <c r="G47" s="2"/>
      <c r="H47" s="2"/>
      <c r="I47" s="2"/>
      <c r="J47" s="2"/>
      <c r="K47" s="2"/>
      <c r="L47" s="2"/>
      <c r="M47" s="2"/>
      <c r="N47" s="2"/>
      <c r="O47" s="2"/>
      <c r="P47" s="2"/>
      <c r="Q47" s="2"/>
    </row>
    <row r="48" ht="15.75" customHeight="1">
      <c r="B48" s="2"/>
      <c r="C48" s="2"/>
      <c r="D48" s="2"/>
      <c r="E48" s="464"/>
      <c r="F48" s="2"/>
      <c r="G48" s="2"/>
      <c r="H48" s="2"/>
      <c r="I48" s="2"/>
      <c r="J48" s="2"/>
      <c r="K48" s="2"/>
      <c r="L48" s="2"/>
      <c r="M48" s="2"/>
      <c r="N48" s="2"/>
      <c r="O48" s="2"/>
      <c r="P48" s="2"/>
      <c r="Q48" s="2"/>
    </row>
    <row r="49" ht="15.75" customHeight="1">
      <c r="B49" s="2"/>
      <c r="C49" s="2"/>
      <c r="D49" s="2"/>
      <c r="E49" s="464"/>
      <c r="F49" s="2"/>
      <c r="G49" s="2"/>
      <c r="H49" s="2"/>
      <c r="I49" s="2"/>
      <c r="J49" s="2"/>
      <c r="K49" s="2"/>
      <c r="L49" s="2"/>
      <c r="M49" s="2"/>
      <c r="N49" s="2"/>
      <c r="O49" s="2"/>
      <c r="P49" s="2"/>
      <c r="Q49" s="2"/>
    </row>
    <row r="50" ht="15.75" customHeight="1">
      <c r="B50" s="2"/>
      <c r="C50" s="2"/>
      <c r="D50" s="2"/>
      <c r="E50" s="464"/>
      <c r="F50" s="2"/>
      <c r="G50" s="2"/>
      <c r="H50" s="2"/>
      <c r="I50" s="2"/>
      <c r="J50" s="2"/>
      <c r="K50" s="2"/>
      <c r="L50" s="2"/>
      <c r="M50" s="2"/>
      <c r="N50" s="2"/>
      <c r="O50" s="2"/>
      <c r="P50" s="2"/>
      <c r="Q50" s="2"/>
    </row>
    <row r="51" ht="15.75" customHeight="1">
      <c r="B51" s="2"/>
      <c r="C51" s="2"/>
      <c r="D51" s="2"/>
      <c r="E51" s="464"/>
      <c r="F51" s="2"/>
      <c r="G51" s="2"/>
      <c r="H51" s="2"/>
      <c r="I51" s="2"/>
      <c r="J51" s="2"/>
      <c r="K51" s="2"/>
      <c r="L51" s="2"/>
      <c r="M51" s="2"/>
      <c r="N51" s="2"/>
      <c r="O51" s="2"/>
      <c r="P51" s="2"/>
      <c r="Q51" s="2"/>
    </row>
    <row r="52" ht="15.75" customHeight="1">
      <c r="B52" s="2"/>
      <c r="C52" s="2"/>
      <c r="D52" s="2"/>
      <c r="E52" s="464"/>
      <c r="F52" s="2"/>
      <c r="G52" s="2"/>
      <c r="H52" s="2"/>
      <c r="I52" s="2"/>
      <c r="J52" s="2"/>
      <c r="K52" s="2"/>
      <c r="L52" s="2"/>
      <c r="M52" s="2"/>
      <c r="N52" s="2"/>
      <c r="O52" s="2"/>
      <c r="P52" s="2"/>
      <c r="Q52" s="2"/>
    </row>
    <row r="53" ht="15.75" customHeight="1">
      <c r="B53" s="2"/>
      <c r="C53" s="2"/>
      <c r="D53" s="2"/>
      <c r="E53" s="464"/>
      <c r="F53" s="2"/>
      <c r="G53" s="2"/>
      <c r="H53" s="2"/>
      <c r="I53" s="2"/>
      <c r="J53" s="2"/>
      <c r="K53" s="2"/>
      <c r="L53" s="2"/>
      <c r="M53" s="2"/>
      <c r="N53" s="2"/>
      <c r="O53" s="2"/>
      <c r="P53" s="2"/>
      <c r="Q53" s="2"/>
    </row>
    <row r="54" ht="15.75" customHeight="1">
      <c r="B54" s="2"/>
      <c r="C54" s="2"/>
      <c r="D54" s="2"/>
      <c r="E54" s="464"/>
      <c r="F54" s="2"/>
      <c r="G54" s="2"/>
      <c r="H54" s="2"/>
      <c r="I54" s="2"/>
      <c r="J54" s="2"/>
      <c r="K54" s="2"/>
      <c r="L54" s="2"/>
      <c r="M54" s="2"/>
      <c r="N54" s="2"/>
      <c r="O54" s="2"/>
      <c r="P54" s="2"/>
      <c r="Q54" s="2"/>
    </row>
    <row r="55" ht="15.75" customHeight="1">
      <c r="B55" s="2"/>
      <c r="C55" s="2"/>
      <c r="D55" s="2"/>
      <c r="E55" s="464"/>
      <c r="F55" s="2"/>
      <c r="G55" s="2"/>
      <c r="H55" s="2"/>
      <c r="I55" s="2"/>
      <c r="J55" s="2"/>
      <c r="K55" s="2"/>
      <c r="L55" s="2"/>
      <c r="M55" s="2"/>
      <c r="N55" s="2"/>
      <c r="O55" s="2"/>
      <c r="P55" s="2"/>
      <c r="Q55" s="2"/>
    </row>
    <row r="56" ht="15.75" customHeight="1">
      <c r="B56" s="2"/>
      <c r="C56" s="2"/>
      <c r="D56" s="2"/>
      <c r="E56" s="464"/>
      <c r="F56" s="2"/>
      <c r="G56" s="2"/>
      <c r="H56" s="2"/>
      <c r="I56" s="2"/>
      <c r="J56" s="2"/>
      <c r="K56" s="2"/>
      <c r="L56" s="2"/>
      <c r="M56" s="2"/>
      <c r="N56" s="2"/>
      <c r="O56" s="2"/>
      <c r="P56" s="2"/>
      <c r="Q56" s="2"/>
    </row>
    <row r="57" ht="15.75" customHeight="1">
      <c r="B57" s="2"/>
      <c r="C57" s="2"/>
      <c r="D57" s="2"/>
      <c r="E57" s="464"/>
      <c r="F57" s="2"/>
      <c r="G57" s="2"/>
      <c r="H57" s="2"/>
      <c r="I57" s="2"/>
      <c r="J57" s="2"/>
      <c r="K57" s="2"/>
      <c r="L57" s="2"/>
      <c r="M57" s="2"/>
      <c r="N57" s="2"/>
      <c r="O57" s="2"/>
      <c r="P57" s="2"/>
      <c r="Q57" s="2"/>
    </row>
    <row r="58" ht="15.75" customHeight="1">
      <c r="B58" s="2"/>
      <c r="C58" s="2"/>
      <c r="D58" s="2"/>
      <c r="E58" s="464"/>
      <c r="F58" s="2"/>
      <c r="G58" s="2"/>
      <c r="H58" s="2"/>
      <c r="I58" s="2"/>
      <c r="J58" s="2"/>
      <c r="K58" s="2"/>
      <c r="L58" s="2"/>
      <c r="M58" s="2"/>
      <c r="N58" s="2"/>
      <c r="O58" s="2"/>
      <c r="P58" s="2"/>
      <c r="Q58" s="2"/>
    </row>
    <row r="59" ht="15.75" customHeight="1">
      <c r="B59" s="2"/>
      <c r="C59" s="2"/>
      <c r="D59" s="2"/>
      <c r="E59" s="464"/>
      <c r="F59" s="2"/>
      <c r="G59" s="2"/>
      <c r="H59" s="2"/>
      <c r="I59" s="2"/>
      <c r="J59" s="2"/>
      <c r="K59" s="2"/>
      <c r="L59" s="2"/>
      <c r="M59" s="2"/>
      <c r="N59" s="2"/>
      <c r="O59" s="2"/>
      <c r="P59" s="2"/>
      <c r="Q59" s="2"/>
    </row>
    <row r="60" ht="15.75" customHeight="1">
      <c r="B60" s="2"/>
      <c r="C60" s="2"/>
      <c r="D60" s="2"/>
      <c r="E60" s="464"/>
      <c r="F60" s="2"/>
      <c r="G60" s="2"/>
      <c r="H60" s="2"/>
      <c r="I60" s="2"/>
      <c r="J60" s="2"/>
      <c r="K60" s="2"/>
      <c r="L60" s="2"/>
      <c r="M60" s="2"/>
      <c r="N60" s="2"/>
      <c r="O60" s="2"/>
      <c r="P60" s="2"/>
      <c r="Q60" s="2"/>
    </row>
    <row r="61" ht="15.75" customHeight="1">
      <c r="B61" s="2"/>
      <c r="C61" s="2"/>
      <c r="D61" s="2"/>
      <c r="E61" s="464"/>
      <c r="F61" s="2"/>
      <c r="G61" s="2"/>
      <c r="H61" s="2"/>
      <c r="I61" s="2"/>
      <c r="J61" s="2"/>
      <c r="K61" s="2"/>
      <c r="L61" s="2"/>
      <c r="M61" s="2"/>
      <c r="N61" s="2"/>
      <c r="O61" s="2"/>
      <c r="P61" s="2"/>
      <c r="Q61" s="2"/>
    </row>
    <row r="62" ht="15.75" customHeight="1">
      <c r="B62" s="2"/>
      <c r="C62" s="2"/>
      <c r="D62" s="2"/>
      <c r="E62" s="464"/>
      <c r="F62" s="2"/>
      <c r="G62" s="2"/>
      <c r="H62" s="2"/>
      <c r="I62" s="2"/>
      <c r="J62" s="2"/>
      <c r="K62" s="2"/>
      <c r="L62" s="2"/>
      <c r="M62" s="2"/>
      <c r="N62" s="2"/>
      <c r="O62" s="2"/>
      <c r="P62" s="2"/>
      <c r="Q62" s="2"/>
    </row>
    <row r="63" ht="15.75" customHeight="1">
      <c r="B63" s="2"/>
      <c r="C63" s="2"/>
      <c r="D63" s="2"/>
      <c r="E63" s="464"/>
      <c r="F63" s="2"/>
      <c r="G63" s="2"/>
      <c r="H63" s="2"/>
      <c r="I63" s="2"/>
      <c r="J63" s="2"/>
      <c r="K63" s="2"/>
      <c r="L63" s="2"/>
      <c r="M63" s="2"/>
      <c r="N63" s="2"/>
      <c r="O63" s="2"/>
      <c r="P63" s="2"/>
      <c r="Q63" s="2"/>
    </row>
    <row r="64" ht="15.75" customHeight="1">
      <c r="B64" s="2"/>
      <c r="C64" s="2"/>
      <c r="D64" s="2"/>
      <c r="E64" s="464"/>
      <c r="F64" s="2"/>
      <c r="G64" s="2"/>
      <c r="H64" s="2"/>
      <c r="I64" s="2"/>
      <c r="J64" s="2"/>
      <c r="K64" s="2"/>
      <c r="L64" s="2"/>
      <c r="M64" s="2"/>
      <c r="N64" s="2"/>
      <c r="O64" s="2"/>
      <c r="P64" s="2"/>
      <c r="Q64" s="2"/>
    </row>
    <row r="65" ht="15.75" customHeight="1">
      <c r="B65" s="2"/>
      <c r="C65" s="2"/>
      <c r="D65" s="2"/>
      <c r="E65" s="464"/>
      <c r="F65" s="2"/>
      <c r="G65" s="2"/>
      <c r="H65" s="2"/>
      <c r="I65" s="2"/>
      <c r="J65" s="2"/>
      <c r="K65" s="2"/>
      <c r="L65" s="2"/>
      <c r="M65" s="2"/>
      <c r="N65" s="2"/>
      <c r="O65" s="2"/>
      <c r="P65" s="2"/>
      <c r="Q65" s="2"/>
    </row>
    <row r="66" ht="15.75" customHeight="1">
      <c r="B66" s="2"/>
      <c r="C66" s="2"/>
      <c r="D66" s="2"/>
      <c r="E66" s="464"/>
      <c r="F66" s="2"/>
      <c r="G66" s="2"/>
      <c r="H66" s="2"/>
      <c r="I66" s="2"/>
      <c r="J66" s="2"/>
      <c r="K66" s="2"/>
      <c r="L66" s="2"/>
      <c r="M66" s="2"/>
      <c r="N66" s="2"/>
      <c r="O66" s="2"/>
      <c r="P66" s="2"/>
      <c r="Q66" s="2"/>
    </row>
    <row r="67" ht="15.75" customHeight="1">
      <c r="B67" s="2"/>
      <c r="C67" s="2"/>
      <c r="D67" s="2"/>
      <c r="E67" s="464"/>
      <c r="F67" s="2"/>
      <c r="G67" s="2"/>
      <c r="H67" s="2"/>
      <c r="I67" s="2"/>
      <c r="J67" s="2"/>
      <c r="K67" s="2"/>
      <c r="L67" s="2"/>
      <c r="M67" s="2"/>
      <c r="N67" s="2"/>
      <c r="O67" s="2"/>
      <c r="P67" s="2"/>
      <c r="Q67" s="2"/>
    </row>
    <row r="68" ht="15.75" customHeight="1">
      <c r="B68" s="2"/>
      <c r="C68" s="2"/>
      <c r="D68" s="2"/>
      <c r="E68" s="464"/>
      <c r="F68" s="2"/>
      <c r="G68" s="2"/>
      <c r="H68" s="2"/>
      <c r="I68" s="2"/>
      <c r="J68" s="2"/>
      <c r="K68" s="2"/>
      <c r="L68" s="2"/>
      <c r="M68" s="2"/>
      <c r="N68" s="2"/>
      <c r="O68" s="2"/>
      <c r="P68" s="2"/>
      <c r="Q68" s="2"/>
    </row>
    <row r="69" ht="15.75" customHeight="1">
      <c r="B69" s="2"/>
      <c r="C69" s="2"/>
      <c r="D69" s="2"/>
      <c r="E69" s="464"/>
      <c r="F69" s="2"/>
      <c r="G69" s="2"/>
      <c r="H69" s="2"/>
      <c r="I69" s="2"/>
      <c r="J69" s="2"/>
      <c r="K69" s="2"/>
      <c r="L69" s="2"/>
      <c r="M69" s="2"/>
      <c r="N69" s="2"/>
      <c r="O69" s="2"/>
      <c r="P69" s="2"/>
      <c r="Q69" s="2"/>
    </row>
    <row r="70" ht="15.75" customHeight="1">
      <c r="B70" s="2"/>
      <c r="C70" s="2"/>
      <c r="D70" s="2"/>
      <c r="E70" s="464"/>
      <c r="F70" s="2"/>
      <c r="G70" s="2"/>
      <c r="H70" s="2"/>
      <c r="I70" s="2"/>
      <c r="J70" s="2"/>
      <c r="K70" s="2"/>
      <c r="L70" s="2"/>
      <c r="M70" s="2"/>
      <c r="N70" s="2"/>
      <c r="O70" s="2"/>
      <c r="P70" s="2"/>
      <c r="Q70" s="2"/>
    </row>
    <row r="71" ht="15.75" customHeight="1">
      <c r="B71" s="2"/>
      <c r="C71" s="2"/>
      <c r="D71" s="2"/>
      <c r="E71" s="464"/>
      <c r="F71" s="2"/>
      <c r="G71" s="2"/>
      <c r="H71" s="2"/>
      <c r="I71" s="2"/>
      <c r="J71" s="2"/>
      <c r="K71" s="2"/>
      <c r="L71" s="2"/>
      <c r="M71" s="2"/>
      <c r="N71" s="2"/>
      <c r="O71" s="2"/>
      <c r="P71" s="2"/>
      <c r="Q71" s="2"/>
    </row>
    <row r="72" ht="15.75" customHeight="1">
      <c r="B72" s="2"/>
      <c r="C72" s="2"/>
      <c r="D72" s="2"/>
      <c r="E72" s="464"/>
      <c r="F72" s="2"/>
      <c r="G72" s="2"/>
      <c r="H72" s="2"/>
      <c r="I72" s="2"/>
      <c r="J72" s="2"/>
      <c r="K72" s="2"/>
      <c r="L72" s="2"/>
      <c r="M72" s="2"/>
      <c r="N72" s="2"/>
      <c r="O72" s="2"/>
      <c r="P72" s="2"/>
      <c r="Q72" s="2"/>
    </row>
    <row r="73" ht="15.75" customHeight="1">
      <c r="B73" s="2"/>
      <c r="C73" s="2"/>
      <c r="D73" s="2"/>
      <c r="E73" s="464"/>
      <c r="F73" s="2"/>
      <c r="G73" s="2"/>
      <c r="H73" s="2"/>
      <c r="I73" s="2"/>
      <c r="J73" s="2"/>
      <c r="K73" s="2"/>
      <c r="L73" s="2"/>
      <c r="M73" s="2"/>
      <c r="N73" s="2"/>
      <c r="O73" s="2"/>
      <c r="P73" s="2"/>
      <c r="Q73" s="2"/>
    </row>
    <row r="74" ht="15.75" customHeight="1">
      <c r="B74" s="2"/>
      <c r="C74" s="2"/>
      <c r="D74" s="2"/>
      <c r="E74" s="464"/>
      <c r="F74" s="2"/>
      <c r="G74" s="2"/>
      <c r="H74" s="2"/>
      <c r="I74" s="2"/>
      <c r="J74" s="2"/>
      <c r="K74" s="2"/>
      <c r="L74" s="2"/>
      <c r="M74" s="2"/>
      <c r="N74" s="2"/>
      <c r="O74" s="2"/>
      <c r="P74" s="2"/>
      <c r="Q74" s="2"/>
    </row>
    <row r="75" ht="15.75" customHeight="1">
      <c r="B75" s="2"/>
      <c r="C75" s="2"/>
      <c r="D75" s="2"/>
      <c r="E75" s="464"/>
      <c r="F75" s="2"/>
      <c r="G75" s="2"/>
      <c r="H75" s="2"/>
      <c r="I75" s="2"/>
      <c r="J75" s="2"/>
      <c r="K75" s="2"/>
      <c r="L75" s="2"/>
      <c r="M75" s="2"/>
      <c r="N75" s="2"/>
      <c r="O75" s="2"/>
      <c r="P75" s="2"/>
      <c r="Q75" s="2"/>
    </row>
    <row r="76" ht="15.75" customHeight="1">
      <c r="B76" s="2"/>
      <c r="C76" s="2"/>
      <c r="D76" s="2"/>
      <c r="E76" s="464"/>
      <c r="F76" s="2"/>
      <c r="G76" s="2"/>
      <c r="H76" s="2"/>
      <c r="I76" s="2"/>
      <c r="J76" s="2"/>
      <c r="K76" s="2"/>
      <c r="L76" s="2"/>
      <c r="M76" s="2"/>
      <c r="N76" s="2"/>
      <c r="O76" s="2"/>
      <c r="P76" s="2"/>
      <c r="Q76" s="2"/>
    </row>
    <row r="77" ht="15.75" customHeight="1">
      <c r="B77" s="2"/>
      <c r="C77" s="2"/>
      <c r="D77" s="2"/>
      <c r="E77" s="464"/>
      <c r="F77" s="2"/>
      <c r="G77" s="2"/>
      <c r="H77" s="2"/>
      <c r="I77" s="2"/>
      <c r="J77" s="2"/>
      <c r="K77" s="2"/>
      <c r="L77" s="2"/>
      <c r="M77" s="2"/>
      <c r="N77" s="2"/>
      <c r="O77" s="2"/>
      <c r="P77" s="2"/>
      <c r="Q77" s="2"/>
    </row>
    <row r="78" ht="15.75" customHeight="1">
      <c r="B78" s="2"/>
      <c r="C78" s="2"/>
      <c r="D78" s="2"/>
      <c r="E78" s="464"/>
      <c r="F78" s="2"/>
      <c r="G78" s="2"/>
      <c r="H78" s="2"/>
      <c r="I78" s="2"/>
      <c r="J78" s="2"/>
      <c r="K78" s="2"/>
      <c r="L78" s="2"/>
      <c r="M78" s="2"/>
      <c r="N78" s="2"/>
      <c r="O78" s="2"/>
      <c r="P78" s="2"/>
      <c r="Q78" s="2"/>
    </row>
    <row r="79" ht="15.75" customHeight="1">
      <c r="B79" s="2"/>
      <c r="C79" s="2"/>
      <c r="D79" s="2"/>
      <c r="E79" s="464"/>
      <c r="F79" s="2"/>
      <c r="G79" s="2"/>
      <c r="H79" s="2"/>
      <c r="I79" s="2"/>
      <c r="J79" s="2"/>
      <c r="K79" s="2"/>
      <c r="L79" s="2"/>
      <c r="M79" s="2"/>
      <c r="N79" s="2"/>
      <c r="O79" s="2"/>
      <c r="P79" s="2"/>
      <c r="Q79" s="2"/>
    </row>
    <row r="80" ht="15.75" customHeight="1">
      <c r="B80" s="2"/>
      <c r="C80" s="2"/>
      <c r="D80" s="2"/>
      <c r="E80" s="464"/>
      <c r="F80" s="2"/>
      <c r="G80" s="2"/>
      <c r="H80" s="2"/>
      <c r="I80" s="2"/>
      <c r="J80" s="2"/>
      <c r="K80" s="2"/>
      <c r="L80" s="2"/>
      <c r="M80" s="2"/>
      <c r="N80" s="2"/>
      <c r="O80" s="2"/>
      <c r="P80" s="2"/>
      <c r="Q80" s="2"/>
    </row>
    <row r="81" ht="15.75" customHeight="1">
      <c r="B81" s="2"/>
      <c r="C81" s="2"/>
      <c r="D81" s="2"/>
      <c r="E81" s="464"/>
      <c r="F81" s="2"/>
      <c r="G81" s="2"/>
      <c r="H81" s="2"/>
      <c r="I81" s="2"/>
      <c r="J81" s="2"/>
      <c r="K81" s="2"/>
      <c r="L81" s="2"/>
      <c r="M81" s="2"/>
      <c r="N81" s="2"/>
      <c r="O81" s="2"/>
      <c r="P81" s="2"/>
      <c r="Q81" s="2"/>
    </row>
    <row r="82" ht="15.75" customHeight="1">
      <c r="B82" s="2"/>
      <c r="C82" s="2"/>
      <c r="D82" s="2"/>
      <c r="E82" s="464"/>
      <c r="F82" s="2"/>
      <c r="G82" s="2"/>
      <c r="H82" s="2"/>
      <c r="I82" s="2"/>
      <c r="J82" s="2"/>
      <c r="K82" s="2"/>
      <c r="L82" s="2"/>
      <c r="M82" s="2"/>
      <c r="N82" s="2"/>
      <c r="O82" s="2"/>
      <c r="P82" s="2"/>
      <c r="Q82" s="2"/>
    </row>
    <row r="83" ht="15.75" customHeight="1">
      <c r="B83" s="2"/>
      <c r="C83" s="2"/>
      <c r="D83" s="2"/>
      <c r="E83" s="464"/>
      <c r="F83" s="2"/>
      <c r="G83" s="2"/>
      <c r="H83" s="2"/>
      <c r="I83" s="2"/>
      <c r="J83" s="2"/>
      <c r="K83" s="2"/>
      <c r="L83" s="2"/>
      <c r="M83" s="2"/>
      <c r="N83" s="2"/>
      <c r="O83" s="2"/>
      <c r="P83" s="2"/>
      <c r="Q83" s="2"/>
    </row>
    <row r="84" ht="15.75" customHeight="1">
      <c r="B84" s="2"/>
      <c r="C84" s="2"/>
      <c r="D84" s="2"/>
      <c r="E84" s="464"/>
      <c r="F84" s="2"/>
      <c r="G84" s="2"/>
      <c r="H84" s="2"/>
      <c r="I84" s="2"/>
      <c r="J84" s="2"/>
      <c r="K84" s="2"/>
      <c r="L84" s="2"/>
      <c r="M84" s="2"/>
      <c r="N84" s="2"/>
      <c r="O84" s="2"/>
      <c r="P84" s="2"/>
      <c r="Q84" s="2"/>
    </row>
    <row r="85" ht="15.75" customHeight="1">
      <c r="B85" s="2"/>
      <c r="C85" s="2"/>
      <c r="D85" s="2"/>
      <c r="E85" s="464"/>
      <c r="F85" s="2"/>
      <c r="G85" s="2"/>
      <c r="H85" s="2"/>
      <c r="I85" s="2"/>
      <c r="J85" s="2"/>
      <c r="K85" s="2"/>
      <c r="L85" s="2"/>
      <c r="M85" s="2"/>
      <c r="N85" s="2"/>
      <c r="O85" s="2"/>
      <c r="P85" s="2"/>
      <c r="Q85" s="2"/>
    </row>
    <row r="86" ht="15.75" customHeight="1">
      <c r="B86" s="2"/>
      <c r="C86" s="2"/>
      <c r="D86" s="2"/>
      <c r="E86" s="464"/>
      <c r="F86" s="2"/>
      <c r="G86" s="2"/>
      <c r="H86" s="2"/>
      <c r="I86" s="2"/>
      <c r="J86" s="2"/>
      <c r="K86" s="2"/>
      <c r="L86" s="2"/>
      <c r="M86" s="2"/>
      <c r="N86" s="2"/>
      <c r="O86" s="2"/>
      <c r="P86" s="2"/>
      <c r="Q86" s="2"/>
    </row>
    <row r="87" ht="15.75" customHeight="1">
      <c r="B87" s="2"/>
      <c r="C87" s="2"/>
      <c r="D87" s="2"/>
      <c r="E87" s="464"/>
      <c r="F87" s="2"/>
      <c r="G87" s="2"/>
      <c r="H87" s="2"/>
      <c r="I87" s="2"/>
      <c r="J87" s="2"/>
      <c r="K87" s="2"/>
      <c r="L87" s="2"/>
      <c r="M87" s="2"/>
      <c r="N87" s="2"/>
      <c r="O87" s="2"/>
      <c r="P87" s="2"/>
      <c r="Q87" s="2"/>
    </row>
    <row r="88" ht="15.75" customHeight="1">
      <c r="B88" s="2"/>
      <c r="C88" s="2"/>
      <c r="D88" s="2"/>
      <c r="E88" s="464"/>
      <c r="F88" s="2"/>
      <c r="G88" s="2"/>
      <c r="H88" s="2"/>
      <c r="I88" s="2"/>
      <c r="J88" s="2"/>
      <c r="K88" s="2"/>
      <c r="L88" s="2"/>
      <c r="M88" s="2"/>
      <c r="N88" s="2"/>
      <c r="O88" s="2"/>
      <c r="P88" s="2"/>
      <c r="Q88" s="2"/>
    </row>
    <row r="89" ht="15.75" customHeight="1">
      <c r="B89" s="2"/>
      <c r="C89" s="2"/>
      <c r="D89" s="2"/>
      <c r="E89" s="464"/>
      <c r="F89" s="2"/>
      <c r="G89" s="2"/>
      <c r="H89" s="2"/>
      <c r="I89" s="2"/>
      <c r="J89" s="2"/>
      <c r="K89" s="2"/>
      <c r="L89" s="2"/>
      <c r="M89" s="2"/>
      <c r="N89" s="2"/>
      <c r="O89" s="2"/>
      <c r="P89" s="2"/>
      <c r="Q89" s="2"/>
    </row>
    <row r="90" ht="15.75" customHeight="1">
      <c r="B90" s="2"/>
      <c r="C90" s="2"/>
      <c r="D90" s="2"/>
      <c r="E90" s="464"/>
      <c r="F90" s="2"/>
      <c r="G90" s="2"/>
      <c r="H90" s="2"/>
      <c r="I90" s="2"/>
      <c r="J90" s="2"/>
      <c r="K90" s="2"/>
      <c r="L90" s="2"/>
      <c r="M90" s="2"/>
      <c r="N90" s="2"/>
      <c r="O90" s="2"/>
      <c r="P90" s="2"/>
      <c r="Q90" s="2"/>
    </row>
    <row r="91" ht="15.75" customHeight="1">
      <c r="B91" s="2"/>
      <c r="C91" s="2"/>
      <c r="D91" s="2"/>
      <c r="E91" s="464"/>
      <c r="F91" s="2"/>
      <c r="G91" s="2"/>
      <c r="H91" s="2"/>
      <c r="I91" s="2"/>
      <c r="J91" s="2"/>
      <c r="K91" s="2"/>
      <c r="L91" s="2"/>
      <c r="M91" s="2"/>
      <c r="N91" s="2"/>
      <c r="O91" s="2"/>
      <c r="P91" s="2"/>
      <c r="Q91" s="2"/>
    </row>
    <row r="92" ht="15.75" customHeight="1">
      <c r="B92" s="2"/>
      <c r="C92" s="2"/>
      <c r="D92" s="2"/>
      <c r="E92" s="464"/>
      <c r="F92" s="2"/>
      <c r="G92" s="2"/>
      <c r="H92" s="2"/>
      <c r="I92" s="2"/>
      <c r="J92" s="2"/>
      <c r="K92" s="2"/>
      <c r="L92" s="2"/>
      <c r="M92" s="2"/>
      <c r="N92" s="2"/>
      <c r="O92" s="2"/>
      <c r="P92" s="2"/>
      <c r="Q92" s="2"/>
    </row>
    <row r="93" ht="15.75" customHeight="1">
      <c r="B93" s="2"/>
      <c r="C93" s="2"/>
      <c r="D93" s="2"/>
      <c r="E93" s="464"/>
      <c r="F93" s="2"/>
      <c r="G93" s="2"/>
      <c r="H93" s="2"/>
      <c r="I93" s="2"/>
      <c r="J93" s="2"/>
      <c r="K93" s="2"/>
      <c r="L93" s="2"/>
      <c r="M93" s="2"/>
      <c r="N93" s="2"/>
      <c r="O93" s="2"/>
      <c r="P93" s="2"/>
      <c r="Q93" s="2"/>
    </row>
    <row r="94" ht="15.75" customHeight="1">
      <c r="B94" s="2"/>
      <c r="C94" s="2"/>
      <c r="D94" s="2"/>
      <c r="E94" s="464"/>
      <c r="F94" s="2"/>
      <c r="G94" s="2"/>
      <c r="H94" s="2"/>
      <c r="I94" s="2"/>
      <c r="J94" s="2"/>
      <c r="K94" s="2"/>
      <c r="L94" s="2"/>
      <c r="M94" s="2"/>
      <c r="N94" s="2"/>
      <c r="O94" s="2"/>
      <c r="P94" s="2"/>
      <c r="Q94" s="2"/>
    </row>
    <row r="95" ht="15.75" customHeight="1">
      <c r="B95" s="2"/>
      <c r="C95" s="2"/>
      <c r="D95" s="2"/>
      <c r="E95" s="464"/>
      <c r="F95" s="2"/>
      <c r="G95" s="2"/>
      <c r="H95" s="2"/>
      <c r="I95" s="2"/>
      <c r="J95" s="2"/>
      <c r="K95" s="2"/>
      <c r="L95" s="2"/>
      <c r="M95" s="2"/>
      <c r="N95" s="2"/>
      <c r="O95" s="2"/>
      <c r="P95" s="2"/>
      <c r="Q95" s="2"/>
    </row>
    <row r="96" ht="15.75" customHeight="1">
      <c r="B96" s="2"/>
      <c r="C96" s="2"/>
      <c r="D96" s="2"/>
      <c r="E96" s="464"/>
      <c r="F96" s="2"/>
      <c r="G96" s="2"/>
      <c r="H96" s="2"/>
      <c r="I96" s="2"/>
      <c r="J96" s="2"/>
      <c r="K96" s="2"/>
      <c r="L96" s="2"/>
      <c r="M96" s="2"/>
      <c r="N96" s="2"/>
      <c r="O96" s="2"/>
      <c r="P96" s="2"/>
      <c r="Q96" s="2"/>
    </row>
    <row r="97" ht="15.75" customHeight="1">
      <c r="B97" s="2"/>
      <c r="C97" s="2"/>
      <c r="D97" s="2"/>
      <c r="E97" s="464"/>
      <c r="F97" s="2"/>
      <c r="G97" s="2"/>
      <c r="H97" s="2"/>
      <c r="I97" s="2"/>
      <c r="J97" s="2"/>
      <c r="K97" s="2"/>
      <c r="L97" s="2"/>
      <c r="M97" s="2"/>
      <c r="N97" s="2"/>
      <c r="O97" s="2"/>
      <c r="P97" s="2"/>
      <c r="Q97" s="2"/>
    </row>
    <row r="98" ht="15.75" customHeight="1">
      <c r="B98" s="2"/>
      <c r="C98" s="2"/>
      <c r="D98" s="2"/>
      <c r="E98" s="464"/>
      <c r="F98" s="2"/>
      <c r="G98" s="2"/>
      <c r="H98" s="2"/>
      <c r="I98" s="2"/>
      <c r="J98" s="2"/>
      <c r="K98" s="2"/>
      <c r="L98" s="2"/>
      <c r="M98" s="2"/>
      <c r="N98" s="2"/>
      <c r="O98" s="2"/>
      <c r="P98" s="2"/>
      <c r="Q98" s="2"/>
    </row>
    <row r="99" ht="15.75" customHeight="1">
      <c r="B99" s="2"/>
      <c r="C99" s="2"/>
      <c r="D99" s="2"/>
      <c r="E99" s="464"/>
      <c r="F99" s="2"/>
      <c r="G99" s="2"/>
      <c r="H99" s="2"/>
      <c r="I99" s="2"/>
      <c r="J99" s="2"/>
      <c r="K99" s="2"/>
      <c r="L99" s="2"/>
      <c r="M99" s="2"/>
      <c r="N99" s="2"/>
      <c r="O99" s="2"/>
      <c r="P99" s="2"/>
      <c r="Q99" s="2"/>
    </row>
    <row r="100" ht="15.75" customHeight="1">
      <c r="B100" s="2"/>
      <c r="C100" s="2"/>
      <c r="D100" s="2"/>
      <c r="E100" s="464"/>
      <c r="F100" s="2"/>
      <c r="G100" s="2"/>
      <c r="H100" s="2"/>
      <c r="I100" s="2"/>
      <c r="J100" s="2"/>
      <c r="K100" s="2"/>
      <c r="L100" s="2"/>
      <c r="M100" s="2"/>
      <c r="N100" s="2"/>
      <c r="O100" s="2"/>
      <c r="P100" s="2"/>
      <c r="Q100" s="2"/>
    </row>
    <row r="101" ht="15.75" customHeight="1">
      <c r="B101" s="2"/>
      <c r="C101" s="2"/>
      <c r="D101" s="2"/>
      <c r="E101" s="464"/>
      <c r="F101" s="2"/>
      <c r="G101" s="2"/>
      <c r="H101" s="2"/>
      <c r="I101" s="2"/>
      <c r="J101" s="2"/>
      <c r="K101" s="2"/>
      <c r="L101" s="2"/>
      <c r="M101" s="2"/>
      <c r="N101" s="2"/>
      <c r="O101" s="2"/>
      <c r="P101" s="2"/>
      <c r="Q101" s="2"/>
    </row>
    <row r="102" ht="15.75" customHeight="1">
      <c r="B102" s="2"/>
      <c r="C102" s="2"/>
      <c r="D102" s="2"/>
      <c r="E102" s="464"/>
      <c r="F102" s="2"/>
      <c r="G102" s="2"/>
      <c r="H102" s="2"/>
      <c r="I102" s="2"/>
      <c r="J102" s="2"/>
      <c r="K102" s="2"/>
      <c r="L102" s="2"/>
      <c r="M102" s="2"/>
      <c r="N102" s="2"/>
      <c r="O102" s="2"/>
      <c r="P102" s="2"/>
      <c r="Q102" s="2"/>
    </row>
    <row r="103" ht="15.75" customHeight="1">
      <c r="B103" s="2"/>
      <c r="C103" s="2"/>
      <c r="D103" s="2"/>
      <c r="E103" s="464"/>
      <c r="F103" s="2"/>
      <c r="G103" s="2"/>
      <c r="H103" s="2"/>
      <c r="I103" s="2"/>
      <c r="J103" s="2"/>
      <c r="K103" s="2"/>
      <c r="L103" s="2"/>
      <c r="M103" s="2"/>
      <c r="N103" s="2"/>
      <c r="O103" s="2"/>
      <c r="P103" s="2"/>
      <c r="Q103" s="2"/>
    </row>
    <row r="104" ht="15.75" customHeight="1">
      <c r="B104" s="2"/>
      <c r="C104" s="2"/>
      <c r="D104" s="2"/>
      <c r="E104" s="464"/>
      <c r="F104" s="2"/>
      <c r="G104" s="2"/>
      <c r="H104" s="2"/>
      <c r="I104" s="2"/>
      <c r="J104" s="2"/>
      <c r="K104" s="2"/>
      <c r="L104" s="2"/>
      <c r="M104" s="2"/>
      <c r="N104" s="2"/>
      <c r="O104" s="2"/>
      <c r="P104" s="2"/>
      <c r="Q104" s="2"/>
    </row>
    <row r="105" ht="15.75" customHeight="1">
      <c r="B105" s="2"/>
      <c r="C105" s="2"/>
      <c r="D105" s="2"/>
      <c r="E105" s="464"/>
      <c r="F105" s="2"/>
      <c r="G105" s="2"/>
      <c r="H105" s="2"/>
      <c r="I105" s="2"/>
      <c r="J105" s="2"/>
      <c r="K105" s="2"/>
      <c r="L105" s="2"/>
      <c r="M105" s="2"/>
      <c r="N105" s="2"/>
      <c r="O105" s="2"/>
      <c r="P105" s="2"/>
      <c r="Q105" s="2"/>
    </row>
    <row r="106" ht="15.75" customHeight="1">
      <c r="B106" s="2"/>
      <c r="C106" s="2"/>
      <c r="D106" s="2"/>
      <c r="E106" s="464"/>
      <c r="F106" s="2"/>
      <c r="G106" s="2"/>
      <c r="H106" s="2"/>
      <c r="I106" s="2"/>
      <c r="J106" s="2"/>
      <c r="K106" s="2"/>
      <c r="L106" s="2"/>
      <c r="M106" s="2"/>
      <c r="N106" s="2"/>
      <c r="O106" s="2"/>
      <c r="P106" s="2"/>
      <c r="Q106" s="2"/>
    </row>
    <row r="107" ht="15.75" customHeight="1">
      <c r="B107" s="2"/>
      <c r="C107" s="2"/>
      <c r="D107" s="2"/>
      <c r="E107" s="464"/>
      <c r="F107" s="2"/>
      <c r="G107" s="2"/>
      <c r="H107" s="2"/>
      <c r="I107" s="2"/>
      <c r="J107" s="2"/>
      <c r="K107" s="2"/>
      <c r="L107" s="2"/>
      <c r="M107" s="2"/>
      <c r="N107" s="2"/>
      <c r="O107" s="2"/>
      <c r="P107" s="2"/>
      <c r="Q107" s="2"/>
    </row>
    <row r="108" ht="15.75" customHeight="1">
      <c r="B108" s="2"/>
      <c r="C108" s="2"/>
      <c r="D108" s="2"/>
      <c r="E108" s="464"/>
      <c r="F108" s="2"/>
      <c r="G108" s="2"/>
      <c r="H108" s="2"/>
      <c r="I108" s="2"/>
      <c r="J108" s="2"/>
      <c r="K108" s="2"/>
      <c r="L108" s="2"/>
      <c r="M108" s="2"/>
      <c r="N108" s="2"/>
      <c r="O108" s="2"/>
      <c r="P108" s="2"/>
      <c r="Q108" s="2"/>
    </row>
    <row r="109" ht="15.75" customHeight="1">
      <c r="B109" s="2"/>
      <c r="C109" s="2"/>
      <c r="D109" s="2"/>
      <c r="E109" s="464"/>
      <c r="F109" s="2"/>
      <c r="G109" s="2"/>
      <c r="H109" s="2"/>
      <c r="I109" s="2"/>
      <c r="J109" s="2"/>
      <c r="K109" s="2"/>
      <c r="L109" s="2"/>
      <c r="M109" s="2"/>
      <c r="N109" s="2"/>
      <c r="O109" s="2"/>
      <c r="P109" s="2"/>
      <c r="Q109" s="2"/>
    </row>
    <row r="110" ht="15.75" customHeight="1">
      <c r="B110" s="2"/>
      <c r="C110" s="2"/>
      <c r="D110" s="2"/>
      <c r="E110" s="464"/>
      <c r="F110" s="2"/>
      <c r="G110" s="2"/>
      <c r="H110" s="2"/>
      <c r="I110" s="2"/>
      <c r="J110" s="2"/>
      <c r="K110" s="2"/>
      <c r="L110" s="2"/>
      <c r="M110" s="2"/>
      <c r="N110" s="2"/>
      <c r="O110" s="2"/>
      <c r="P110" s="2"/>
      <c r="Q110" s="2"/>
    </row>
    <row r="111" ht="15.75" customHeight="1">
      <c r="B111" s="2"/>
      <c r="C111" s="2"/>
      <c r="D111" s="2"/>
      <c r="E111" s="464"/>
      <c r="F111" s="2"/>
      <c r="G111" s="2"/>
      <c r="H111" s="2"/>
      <c r="I111" s="2"/>
      <c r="J111" s="2"/>
      <c r="K111" s="2"/>
      <c r="L111" s="2"/>
      <c r="M111" s="2"/>
      <c r="N111" s="2"/>
      <c r="O111" s="2"/>
      <c r="P111" s="2"/>
      <c r="Q111" s="2"/>
    </row>
    <row r="112" ht="15.75" customHeight="1">
      <c r="B112" s="2"/>
      <c r="C112" s="2"/>
      <c r="D112" s="2"/>
      <c r="E112" s="464"/>
      <c r="F112" s="2"/>
      <c r="G112" s="2"/>
      <c r="H112" s="2"/>
      <c r="I112" s="2"/>
      <c r="J112" s="2"/>
      <c r="K112" s="2"/>
      <c r="L112" s="2"/>
      <c r="M112" s="2"/>
      <c r="N112" s="2"/>
      <c r="O112" s="2"/>
      <c r="P112" s="2"/>
      <c r="Q112" s="2"/>
    </row>
    <row r="113" ht="15.75" customHeight="1">
      <c r="B113" s="2"/>
      <c r="C113" s="2"/>
      <c r="D113" s="2"/>
      <c r="E113" s="464"/>
      <c r="F113" s="2"/>
      <c r="G113" s="2"/>
      <c r="H113" s="2"/>
      <c r="I113" s="2"/>
      <c r="J113" s="2"/>
      <c r="K113" s="2"/>
      <c r="L113" s="2"/>
      <c r="M113" s="2"/>
      <c r="N113" s="2"/>
      <c r="O113" s="2"/>
      <c r="P113" s="2"/>
      <c r="Q113" s="2"/>
    </row>
    <row r="114" ht="15.75" customHeight="1">
      <c r="B114" s="2"/>
      <c r="C114" s="2"/>
      <c r="D114" s="2"/>
      <c r="E114" s="464"/>
      <c r="F114" s="2"/>
      <c r="G114" s="2"/>
      <c r="H114" s="2"/>
      <c r="I114" s="2"/>
      <c r="J114" s="2"/>
      <c r="K114" s="2"/>
      <c r="L114" s="2"/>
      <c r="M114" s="2"/>
      <c r="N114" s="2"/>
      <c r="O114" s="2"/>
      <c r="P114" s="2"/>
      <c r="Q114" s="2"/>
    </row>
    <row r="115" ht="15.75" customHeight="1">
      <c r="B115" s="2"/>
      <c r="C115" s="2"/>
      <c r="D115" s="2"/>
      <c r="E115" s="464"/>
      <c r="F115" s="2"/>
      <c r="G115" s="2"/>
      <c r="H115" s="2"/>
      <c r="I115" s="2"/>
      <c r="J115" s="2"/>
      <c r="K115" s="2"/>
      <c r="L115" s="2"/>
      <c r="M115" s="2"/>
      <c r="N115" s="2"/>
      <c r="O115" s="2"/>
      <c r="P115" s="2"/>
      <c r="Q115" s="2"/>
    </row>
    <row r="116" ht="15.75" customHeight="1">
      <c r="B116" s="2"/>
      <c r="C116" s="2"/>
      <c r="D116" s="2"/>
      <c r="E116" s="464"/>
      <c r="F116" s="2"/>
      <c r="G116" s="2"/>
      <c r="H116" s="2"/>
      <c r="I116" s="2"/>
      <c r="J116" s="2"/>
      <c r="K116" s="2"/>
      <c r="L116" s="2"/>
      <c r="M116" s="2"/>
      <c r="N116" s="2"/>
      <c r="O116" s="2"/>
      <c r="P116" s="2"/>
      <c r="Q116" s="2"/>
    </row>
    <row r="117" ht="15.75" customHeight="1">
      <c r="B117" s="2"/>
      <c r="C117" s="2"/>
      <c r="D117" s="2"/>
      <c r="E117" s="464"/>
      <c r="F117" s="2"/>
      <c r="G117" s="2"/>
      <c r="H117" s="2"/>
      <c r="I117" s="2"/>
      <c r="J117" s="2"/>
      <c r="K117" s="2"/>
      <c r="L117" s="2"/>
      <c r="M117" s="2"/>
      <c r="N117" s="2"/>
      <c r="O117" s="2"/>
      <c r="P117" s="2"/>
      <c r="Q117" s="2"/>
    </row>
    <row r="118" ht="15.75" customHeight="1">
      <c r="B118" s="2"/>
      <c r="C118" s="2"/>
      <c r="D118" s="2"/>
      <c r="E118" s="464"/>
      <c r="F118" s="2"/>
      <c r="G118" s="2"/>
      <c r="H118" s="2"/>
      <c r="I118" s="2"/>
      <c r="J118" s="2"/>
      <c r="K118" s="2"/>
      <c r="L118" s="2"/>
      <c r="M118" s="2"/>
      <c r="N118" s="2"/>
      <c r="O118" s="2"/>
      <c r="P118" s="2"/>
      <c r="Q118" s="2"/>
    </row>
    <row r="119" ht="15.75" customHeight="1">
      <c r="B119" s="2"/>
      <c r="C119" s="2"/>
      <c r="D119" s="2"/>
      <c r="E119" s="464"/>
      <c r="F119" s="2"/>
      <c r="G119" s="2"/>
      <c r="H119" s="2"/>
      <c r="I119" s="2"/>
      <c r="J119" s="2"/>
      <c r="K119" s="2"/>
      <c r="L119" s="2"/>
      <c r="M119" s="2"/>
      <c r="N119" s="2"/>
      <c r="O119" s="2"/>
      <c r="P119" s="2"/>
      <c r="Q119" s="2"/>
    </row>
    <row r="120" ht="15.75" customHeight="1">
      <c r="B120" s="2"/>
      <c r="C120" s="2"/>
      <c r="D120" s="2"/>
      <c r="E120" s="464"/>
      <c r="F120" s="2"/>
      <c r="G120" s="2"/>
      <c r="H120" s="2"/>
      <c r="I120" s="2"/>
      <c r="J120" s="2"/>
      <c r="K120" s="2"/>
      <c r="L120" s="2"/>
      <c r="M120" s="2"/>
      <c r="N120" s="2"/>
      <c r="O120" s="2"/>
      <c r="P120" s="2"/>
      <c r="Q120" s="2"/>
    </row>
    <row r="121" ht="15.75" customHeight="1">
      <c r="B121" s="2"/>
      <c r="C121" s="2"/>
      <c r="D121" s="2"/>
      <c r="E121" s="464"/>
      <c r="F121" s="2"/>
      <c r="G121" s="2"/>
      <c r="H121" s="2"/>
      <c r="I121" s="2"/>
      <c r="J121" s="2"/>
      <c r="K121" s="2"/>
      <c r="L121" s="2"/>
      <c r="M121" s="2"/>
      <c r="N121" s="2"/>
      <c r="O121" s="2"/>
      <c r="P121" s="2"/>
      <c r="Q121" s="2"/>
    </row>
    <row r="122" ht="15.75" customHeight="1">
      <c r="B122" s="2"/>
      <c r="C122" s="2"/>
      <c r="D122" s="2"/>
      <c r="E122" s="464"/>
      <c r="F122" s="2"/>
      <c r="G122" s="2"/>
      <c r="H122" s="2"/>
      <c r="I122" s="2"/>
      <c r="J122" s="2"/>
      <c r="K122" s="2"/>
      <c r="L122" s="2"/>
      <c r="M122" s="2"/>
      <c r="N122" s="2"/>
      <c r="O122" s="2"/>
      <c r="P122" s="2"/>
      <c r="Q122" s="2"/>
    </row>
    <row r="123" ht="15.75" customHeight="1">
      <c r="B123" s="2"/>
      <c r="C123" s="2"/>
      <c r="D123" s="2"/>
      <c r="E123" s="464"/>
      <c r="F123" s="2"/>
      <c r="G123" s="2"/>
      <c r="H123" s="2"/>
      <c r="I123" s="2"/>
      <c r="J123" s="2"/>
      <c r="K123" s="2"/>
      <c r="L123" s="2"/>
      <c r="M123" s="2"/>
      <c r="N123" s="2"/>
      <c r="O123" s="2"/>
      <c r="P123" s="2"/>
      <c r="Q123" s="2"/>
    </row>
    <row r="124" ht="15.75" customHeight="1">
      <c r="B124" s="2"/>
      <c r="C124" s="2"/>
      <c r="D124" s="2"/>
      <c r="E124" s="464"/>
      <c r="F124" s="2"/>
      <c r="G124" s="2"/>
      <c r="H124" s="2"/>
      <c r="I124" s="2"/>
      <c r="J124" s="2"/>
      <c r="K124" s="2"/>
      <c r="L124" s="2"/>
      <c r="M124" s="2"/>
      <c r="N124" s="2"/>
      <c r="O124" s="2"/>
      <c r="P124" s="2"/>
      <c r="Q124" s="2"/>
    </row>
    <row r="125" ht="15.75" customHeight="1">
      <c r="B125" s="2"/>
      <c r="C125" s="2"/>
      <c r="D125" s="2"/>
      <c r="E125" s="464"/>
      <c r="F125" s="2"/>
      <c r="G125" s="2"/>
      <c r="H125" s="2"/>
      <c r="I125" s="2"/>
      <c r="J125" s="2"/>
      <c r="K125" s="2"/>
      <c r="L125" s="2"/>
      <c r="M125" s="2"/>
      <c r="N125" s="2"/>
      <c r="O125" s="2"/>
      <c r="P125" s="2"/>
      <c r="Q125" s="2"/>
    </row>
    <row r="126" ht="15.75" customHeight="1">
      <c r="B126" s="2"/>
      <c r="C126" s="2"/>
      <c r="D126" s="2"/>
      <c r="E126" s="464"/>
      <c r="F126" s="2"/>
      <c r="G126" s="2"/>
      <c r="H126" s="2"/>
      <c r="I126" s="2"/>
      <c r="J126" s="2"/>
      <c r="K126" s="2"/>
      <c r="L126" s="2"/>
      <c r="M126" s="2"/>
      <c r="N126" s="2"/>
      <c r="O126" s="2"/>
      <c r="P126" s="2"/>
      <c r="Q126" s="2"/>
    </row>
    <row r="127" ht="15.75" customHeight="1">
      <c r="B127" s="2"/>
      <c r="C127" s="2"/>
      <c r="D127" s="2"/>
      <c r="E127" s="464"/>
      <c r="F127" s="2"/>
      <c r="G127" s="2"/>
      <c r="H127" s="2"/>
      <c r="I127" s="2"/>
      <c r="J127" s="2"/>
      <c r="K127" s="2"/>
      <c r="L127" s="2"/>
      <c r="M127" s="2"/>
      <c r="N127" s="2"/>
      <c r="O127" s="2"/>
      <c r="P127" s="2"/>
      <c r="Q127" s="2"/>
    </row>
    <row r="128" ht="15.75" customHeight="1">
      <c r="B128" s="2"/>
      <c r="C128" s="2"/>
      <c r="D128" s="2"/>
      <c r="E128" s="464"/>
      <c r="F128" s="2"/>
      <c r="G128" s="2"/>
      <c r="H128" s="2"/>
      <c r="I128" s="2"/>
      <c r="J128" s="2"/>
      <c r="K128" s="2"/>
      <c r="L128" s="2"/>
      <c r="M128" s="2"/>
      <c r="N128" s="2"/>
      <c r="O128" s="2"/>
      <c r="P128" s="2"/>
      <c r="Q128" s="2"/>
    </row>
    <row r="129" ht="15.75" customHeight="1">
      <c r="B129" s="2"/>
      <c r="C129" s="2"/>
      <c r="D129" s="2"/>
      <c r="E129" s="464"/>
      <c r="F129" s="2"/>
      <c r="G129" s="2"/>
      <c r="H129" s="2"/>
      <c r="I129" s="2"/>
      <c r="J129" s="2"/>
      <c r="K129" s="2"/>
      <c r="L129" s="2"/>
      <c r="M129" s="2"/>
      <c r="N129" s="2"/>
      <c r="O129" s="2"/>
      <c r="P129" s="2"/>
      <c r="Q129" s="2"/>
    </row>
    <row r="130" ht="15.75" customHeight="1">
      <c r="B130" s="2"/>
      <c r="C130" s="2"/>
      <c r="D130" s="2"/>
      <c r="E130" s="464"/>
      <c r="F130" s="2"/>
      <c r="G130" s="2"/>
      <c r="H130" s="2"/>
      <c r="I130" s="2"/>
      <c r="J130" s="2"/>
      <c r="K130" s="2"/>
      <c r="L130" s="2"/>
      <c r="M130" s="2"/>
      <c r="N130" s="2"/>
      <c r="O130" s="2"/>
      <c r="P130" s="2"/>
      <c r="Q130" s="2"/>
    </row>
    <row r="131" ht="15.75" customHeight="1">
      <c r="B131" s="2"/>
      <c r="C131" s="2"/>
      <c r="D131" s="2"/>
      <c r="E131" s="464"/>
      <c r="F131" s="2"/>
      <c r="G131" s="2"/>
      <c r="H131" s="2"/>
      <c r="I131" s="2"/>
      <c r="J131" s="2"/>
      <c r="K131" s="2"/>
      <c r="L131" s="2"/>
      <c r="M131" s="2"/>
      <c r="N131" s="2"/>
      <c r="O131" s="2"/>
      <c r="P131" s="2"/>
      <c r="Q131" s="2"/>
    </row>
    <row r="132" ht="15.75" customHeight="1">
      <c r="B132" s="2"/>
      <c r="C132" s="2"/>
      <c r="D132" s="2"/>
      <c r="E132" s="464"/>
      <c r="F132" s="2"/>
      <c r="G132" s="2"/>
      <c r="H132" s="2"/>
      <c r="I132" s="2"/>
      <c r="J132" s="2"/>
      <c r="K132" s="2"/>
      <c r="L132" s="2"/>
      <c r="M132" s="2"/>
      <c r="N132" s="2"/>
      <c r="O132" s="2"/>
      <c r="P132" s="2"/>
      <c r="Q132" s="2"/>
    </row>
    <row r="133" ht="15.75" customHeight="1">
      <c r="B133" s="2"/>
      <c r="C133" s="2"/>
      <c r="D133" s="2"/>
      <c r="E133" s="464"/>
      <c r="F133" s="2"/>
      <c r="G133" s="2"/>
      <c r="H133" s="2"/>
      <c r="I133" s="2"/>
      <c r="J133" s="2"/>
      <c r="K133" s="2"/>
      <c r="L133" s="2"/>
      <c r="M133" s="2"/>
      <c r="N133" s="2"/>
      <c r="O133" s="2"/>
      <c r="P133" s="2"/>
      <c r="Q133" s="2"/>
    </row>
    <row r="134" ht="15.75" customHeight="1">
      <c r="B134" s="2"/>
      <c r="C134" s="2"/>
      <c r="D134" s="2"/>
      <c r="E134" s="464"/>
      <c r="F134" s="2"/>
      <c r="G134" s="2"/>
      <c r="H134" s="2"/>
      <c r="I134" s="2"/>
      <c r="J134" s="2"/>
      <c r="K134" s="2"/>
      <c r="L134" s="2"/>
      <c r="M134" s="2"/>
      <c r="N134" s="2"/>
      <c r="O134" s="2"/>
      <c r="P134" s="2"/>
      <c r="Q134" s="2"/>
    </row>
    <row r="135" ht="15.75" customHeight="1">
      <c r="B135" s="2"/>
      <c r="C135" s="2"/>
      <c r="D135" s="2"/>
      <c r="E135" s="464"/>
      <c r="F135" s="2"/>
      <c r="G135" s="2"/>
      <c r="H135" s="2"/>
      <c r="I135" s="2"/>
      <c r="J135" s="2"/>
      <c r="K135" s="2"/>
      <c r="L135" s="2"/>
      <c r="M135" s="2"/>
      <c r="N135" s="2"/>
      <c r="O135" s="2"/>
      <c r="P135" s="2"/>
      <c r="Q135" s="2"/>
    </row>
    <row r="136" ht="15.75" customHeight="1">
      <c r="B136" s="2"/>
      <c r="C136" s="2"/>
      <c r="D136" s="2"/>
      <c r="E136" s="464"/>
      <c r="F136" s="2"/>
      <c r="G136" s="2"/>
      <c r="H136" s="2"/>
      <c r="I136" s="2"/>
      <c r="J136" s="2"/>
      <c r="K136" s="2"/>
      <c r="L136" s="2"/>
      <c r="M136" s="2"/>
      <c r="N136" s="2"/>
      <c r="O136" s="2"/>
      <c r="P136" s="2"/>
      <c r="Q136" s="2"/>
    </row>
    <row r="137" ht="15.75" customHeight="1">
      <c r="B137" s="2"/>
      <c r="C137" s="2"/>
      <c r="D137" s="2"/>
      <c r="E137" s="464"/>
      <c r="F137" s="2"/>
      <c r="G137" s="2"/>
      <c r="H137" s="2"/>
      <c r="I137" s="2"/>
      <c r="J137" s="2"/>
      <c r="K137" s="2"/>
      <c r="L137" s="2"/>
      <c r="M137" s="2"/>
      <c r="N137" s="2"/>
      <c r="O137" s="2"/>
      <c r="P137" s="2"/>
      <c r="Q137" s="2"/>
    </row>
    <row r="138" ht="15.75" customHeight="1">
      <c r="B138" s="2"/>
      <c r="C138" s="2"/>
      <c r="D138" s="2"/>
      <c r="E138" s="464"/>
      <c r="F138" s="2"/>
      <c r="G138" s="2"/>
      <c r="H138" s="2"/>
      <c r="I138" s="2"/>
      <c r="J138" s="2"/>
      <c r="K138" s="2"/>
      <c r="L138" s="2"/>
      <c r="M138" s="2"/>
      <c r="N138" s="2"/>
      <c r="O138" s="2"/>
      <c r="P138" s="2"/>
      <c r="Q138" s="2"/>
    </row>
    <row r="139" ht="15.75" customHeight="1">
      <c r="B139" s="2"/>
      <c r="C139" s="2"/>
      <c r="D139" s="2"/>
      <c r="E139" s="464"/>
      <c r="F139" s="2"/>
      <c r="G139" s="2"/>
      <c r="H139" s="2"/>
      <c r="I139" s="2"/>
      <c r="J139" s="2"/>
      <c r="K139" s="2"/>
      <c r="L139" s="2"/>
      <c r="M139" s="2"/>
      <c r="N139" s="2"/>
      <c r="O139" s="2"/>
      <c r="P139" s="2"/>
      <c r="Q139" s="2"/>
    </row>
    <row r="140" ht="15.75" customHeight="1">
      <c r="B140" s="2"/>
      <c r="C140" s="2"/>
      <c r="D140" s="2"/>
      <c r="E140" s="464"/>
      <c r="F140" s="2"/>
      <c r="G140" s="2"/>
      <c r="H140" s="2"/>
      <c r="I140" s="2"/>
      <c r="J140" s="2"/>
      <c r="K140" s="2"/>
      <c r="L140" s="2"/>
      <c r="M140" s="2"/>
      <c r="N140" s="2"/>
      <c r="O140" s="2"/>
      <c r="P140" s="2"/>
      <c r="Q140" s="2"/>
    </row>
    <row r="141" ht="15.75" customHeight="1">
      <c r="B141" s="2"/>
      <c r="C141" s="2"/>
      <c r="D141" s="2"/>
      <c r="E141" s="464"/>
      <c r="F141" s="2"/>
      <c r="G141" s="2"/>
      <c r="H141" s="2"/>
      <c r="I141" s="2"/>
      <c r="J141" s="2"/>
      <c r="K141" s="2"/>
      <c r="L141" s="2"/>
      <c r="M141" s="2"/>
      <c r="N141" s="2"/>
      <c r="O141" s="2"/>
      <c r="P141" s="2"/>
      <c r="Q141" s="2"/>
    </row>
    <row r="142" ht="15.75" customHeight="1">
      <c r="B142" s="2"/>
      <c r="C142" s="2"/>
      <c r="D142" s="2"/>
      <c r="E142" s="464"/>
      <c r="F142" s="2"/>
      <c r="G142" s="2"/>
      <c r="H142" s="2"/>
      <c r="I142" s="2"/>
      <c r="J142" s="2"/>
      <c r="K142" s="2"/>
      <c r="L142" s="2"/>
      <c r="M142" s="2"/>
      <c r="N142" s="2"/>
      <c r="O142" s="2"/>
      <c r="P142" s="2"/>
      <c r="Q142" s="2"/>
    </row>
    <row r="143" ht="15.75" customHeight="1">
      <c r="B143" s="2"/>
      <c r="C143" s="2"/>
      <c r="D143" s="2"/>
      <c r="E143" s="464"/>
      <c r="F143" s="2"/>
      <c r="G143" s="2"/>
      <c r="H143" s="2"/>
      <c r="I143" s="2"/>
      <c r="J143" s="2"/>
      <c r="K143" s="2"/>
      <c r="L143" s="2"/>
      <c r="M143" s="2"/>
      <c r="N143" s="2"/>
      <c r="O143" s="2"/>
      <c r="P143" s="2"/>
      <c r="Q143" s="2"/>
    </row>
    <row r="144" ht="15.75" customHeight="1">
      <c r="B144" s="2"/>
      <c r="C144" s="2"/>
      <c r="D144" s="2"/>
      <c r="E144" s="464"/>
      <c r="F144" s="2"/>
      <c r="G144" s="2"/>
      <c r="H144" s="2"/>
      <c r="I144" s="2"/>
      <c r="J144" s="2"/>
      <c r="K144" s="2"/>
      <c r="L144" s="2"/>
      <c r="M144" s="2"/>
      <c r="N144" s="2"/>
      <c r="O144" s="2"/>
      <c r="P144" s="2"/>
      <c r="Q144" s="2"/>
    </row>
    <row r="145" ht="15.75" customHeight="1">
      <c r="B145" s="2"/>
      <c r="C145" s="2"/>
      <c r="D145" s="2"/>
      <c r="E145" s="464"/>
      <c r="F145" s="2"/>
      <c r="G145" s="2"/>
      <c r="H145" s="2"/>
      <c r="I145" s="2"/>
      <c r="J145" s="2"/>
      <c r="K145" s="2"/>
      <c r="L145" s="2"/>
      <c r="M145" s="2"/>
      <c r="N145" s="2"/>
      <c r="O145" s="2"/>
      <c r="P145" s="2"/>
      <c r="Q145" s="2"/>
    </row>
    <row r="146" ht="15.75" customHeight="1">
      <c r="B146" s="2"/>
      <c r="C146" s="2"/>
      <c r="D146" s="2"/>
      <c r="E146" s="464"/>
      <c r="F146" s="2"/>
      <c r="G146" s="2"/>
      <c r="H146" s="2"/>
      <c r="I146" s="2"/>
      <c r="J146" s="2"/>
      <c r="K146" s="2"/>
      <c r="L146" s="2"/>
      <c r="M146" s="2"/>
      <c r="N146" s="2"/>
      <c r="O146" s="2"/>
      <c r="P146" s="2"/>
      <c r="Q146" s="2"/>
    </row>
    <row r="147" ht="15.75" customHeight="1">
      <c r="B147" s="2"/>
      <c r="C147" s="2"/>
      <c r="D147" s="2"/>
      <c r="E147" s="464"/>
      <c r="F147" s="2"/>
      <c r="G147" s="2"/>
      <c r="H147" s="2"/>
      <c r="I147" s="2"/>
      <c r="J147" s="2"/>
      <c r="K147" s="2"/>
      <c r="L147" s="2"/>
      <c r="M147" s="2"/>
      <c r="N147" s="2"/>
      <c r="O147" s="2"/>
      <c r="P147" s="2"/>
      <c r="Q147" s="2"/>
    </row>
    <row r="148" ht="15.75" customHeight="1">
      <c r="B148" s="2"/>
      <c r="C148" s="2"/>
      <c r="D148" s="2"/>
      <c r="E148" s="464"/>
      <c r="F148" s="2"/>
      <c r="G148" s="2"/>
      <c r="H148" s="2"/>
      <c r="I148" s="2"/>
      <c r="J148" s="2"/>
      <c r="K148" s="2"/>
      <c r="L148" s="2"/>
      <c r="M148" s="2"/>
      <c r="N148" s="2"/>
      <c r="O148" s="2"/>
      <c r="P148" s="2"/>
      <c r="Q148" s="2"/>
    </row>
    <row r="149" ht="15.75" customHeight="1">
      <c r="B149" s="2"/>
      <c r="C149" s="2"/>
      <c r="D149" s="2"/>
      <c r="E149" s="464"/>
      <c r="F149" s="2"/>
      <c r="G149" s="2"/>
      <c r="H149" s="2"/>
      <c r="I149" s="2"/>
      <c r="J149" s="2"/>
      <c r="K149" s="2"/>
      <c r="L149" s="2"/>
      <c r="M149" s="2"/>
      <c r="N149" s="2"/>
      <c r="O149" s="2"/>
      <c r="P149" s="2"/>
      <c r="Q149" s="2"/>
    </row>
    <row r="150" ht="15.75" customHeight="1">
      <c r="B150" s="2"/>
      <c r="C150" s="2"/>
      <c r="D150" s="2"/>
      <c r="E150" s="464"/>
      <c r="F150" s="2"/>
      <c r="G150" s="2"/>
      <c r="H150" s="2"/>
      <c r="I150" s="2"/>
      <c r="J150" s="2"/>
      <c r="K150" s="2"/>
      <c r="L150" s="2"/>
      <c r="M150" s="2"/>
      <c r="N150" s="2"/>
      <c r="O150" s="2"/>
      <c r="P150" s="2"/>
      <c r="Q150" s="2"/>
    </row>
    <row r="151" ht="15.75" customHeight="1">
      <c r="B151" s="2"/>
      <c r="C151" s="2"/>
      <c r="D151" s="2"/>
      <c r="E151" s="464"/>
      <c r="F151" s="2"/>
      <c r="G151" s="2"/>
      <c r="H151" s="2"/>
      <c r="I151" s="2"/>
      <c r="J151" s="2"/>
      <c r="K151" s="2"/>
      <c r="L151" s="2"/>
      <c r="M151" s="2"/>
      <c r="N151" s="2"/>
      <c r="O151" s="2"/>
      <c r="P151" s="2"/>
      <c r="Q151" s="2"/>
    </row>
    <row r="152" ht="15.75" customHeight="1">
      <c r="B152" s="2"/>
      <c r="C152" s="2"/>
      <c r="D152" s="2"/>
      <c r="E152" s="464"/>
      <c r="F152" s="2"/>
      <c r="G152" s="2"/>
      <c r="H152" s="2"/>
      <c r="I152" s="2"/>
      <c r="J152" s="2"/>
      <c r="K152" s="2"/>
      <c r="L152" s="2"/>
      <c r="M152" s="2"/>
      <c r="N152" s="2"/>
      <c r="O152" s="2"/>
      <c r="P152" s="2"/>
      <c r="Q152" s="2"/>
    </row>
    <row r="153" ht="15.75" customHeight="1">
      <c r="B153" s="2"/>
      <c r="C153" s="2"/>
      <c r="D153" s="2"/>
      <c r="E153" s="464"/>
      <c r="F153" s="2"/>
      <c r="G153" s="2"/>
      <c r="H153" s="2"/>
      <c r="I153" s="2"/>
      <c r="J153" s="2"/>
      <c r="K153" s="2"/>
      <c r="L153" s="2"/>
      <c r="M153" s="2"/>
      <c r="N153" s="2"/>
      <c r="O153" s="2"/>
      <c r="P153" s="2"/>
      <c r="Q153" s="2"/>
    </row>
    <row r="154" ht="15.75" customHeight="1">
      <c r="B154" s="2"/>
      <c r="C154" s="2"/>
      <c r="D154" s="2"/>
      <c r="E154" s="464"/>
      <c r="F154" s="2"/>
      <c r="G154" s="2"/>
      <c r="H154" s="2"/>
      <c r="I154" s="2"/>
      <c r="J154" s="2"/>
      <c r="K154" s="2"/>
      <c r="L154" s="2"/>
      <c r="M154" s="2"/>
      <c r="N154" s="2"/>
      <c r="O154" s="2"/>
      <c r="P154" s="2"/>
      <c r="Q154" s="2"/>
    </row>
    <row r="155" ht="15.75" customHeight="1">
      <c r="B155" s="2"/>
      <c r="C155" s="2"/>
      <c r="D155" s="2"/>
      <c r="E155" s="464"/>
      <c r="F155" s="2"/>
      <c r="G155" s="2"/>
      <c r="H155" s="2"/>
      <c r="I155" s="2"/>
      <c r="J155" s="2"/>
      <c r="K155" s="2"/>
      <c r="L155" s="2"/>
      <c r="M155" s="2"/>
      <c r="N155" s="2"/>
      <c r="O155" s="2"/>
      <c r="P155" s="2"/>
      <c r="Q155" s="2"/>
    </row>
    <row r="156" ht="15.75" customHeight="1">
      <c r="B156" s="2"/>
      <c r="C156" s="2"/>
      <c r="D156" s="2"/>
      <c r="E156" s="464"/>
      <c r="F156" s="2"/>
      <c r="G156" s="2"/>
      <c r="H156" s="2"/>
      <c r="I156" s="2"/>
      <c r="J156" s="2"/>
      <c r="K156" s="2"/>
      <c r="L156" s="2"/>
      <c r="M156" s="2"/>
      <c r="N156" s="2"/>
      <c r="O156" s="2"/>
      <c r="P156" s="2"/>
      <c r="Q156" s="2"/>
    </row>
    <row r="157" ht="15.75" customHeight="1">
      <c r="B157" s="2"/>
      <c r="C157" s="2"/>
      <c r="D157" s="2"/>
      <c r="E157" s="464"/>
      <c r="F157" s="2"/>
      <c r="G157" s="2"/>
      <c r="H157" s="2"/>
      <c r="I157" s="2"/>
      <c r="J157" s="2"/>
      <c r="K157" s="2"/>
      <c r="L157" s="2"/>
      <c r="M157" s="2"/>
      <c r="N157" s="2"/>
      <c r="O157" s="2"/>
      <c r="P157" s="2"/>
      <c r="Q157" s="2"/>
    </row>
    <row r="158" ht="15.75" customHeight="1">
      <c r="B158" s="2"/>
      <c r="C158" s="2"/>
      <c r="D158" s="2"/>
      <c r="E158" s="464"/>
      <c r="F158" s="2"/>
      <c r="G158" s="2"/>
      <c r="H158" s="2"/>
      <c r="I158" s="2"/>
      <c r="J158" s="2"/>
      <c r="K158" s="2"/>
      <c r="L158" s="2"/>
      <c r="M158" s="2"/>
      <c r="N158" s="2"/>
      <c r="O158" s="2"/>
      <c r="P158" s="2"/>
      <c r="Q158" s="2"/>
    </row>
    <row r="159" ht="15.75" customHeight="1">
      <c r="B159" s="2"/>
      <c r="C159" s="2"/>
      <c r="D159" s="2"/>
      <c r="E159" s="464"/>
      <c r="F159" s="2"/>
      <c r="G159" s="2"/>
      <c r="H159" s="2"/>
      <c r="I159" s="2"/>
      <c r="J159" s="2"/>
      <c r="K159" s="2"/>
      <c r="L159" s="2"/>
      <c r="M159" s="2"/>
      <c r="N159" s="2"/>
      <c r="O159" s="2"/>
      <c r="P159" s="2"/>
      <c r="Q159" s="2"/>
    </row>
    <row r="160" ht="15.75" customHeight="1">
      <c r="B160" s="2"/>
      <c r="C160" s="2"/>
      <c r="D160" s="2"/>
      <c r="E160" s="464"/>
      <c r="F160" s="2"/>
      <c r="G160" s="2"/>
      <c r="H160" s="2"/>
      <c r="I160" s="2"/>
      <c r="J160" s="2"/>
      <c r="K160" s="2"/>
      <c r="L160" s="2"/>
      <c r="M160" s="2"/>
      <c r="N160" s="2"/>
      <c r="O160" s="2"/>
      <c r="P160" s="2"/>
      <c r="Q160" s="2"/>
    </row>
    <row r="161" ht="15.75" customHeight="1">
      <c r="B161" s="2"/>
      <c r="C161" s="2"/>
      <c r="D161" s="2"/>
      <c r="E161" s="464"/>
      <c r="F161" s="2"/>
      <c r="G161" s="2"/>
      <c r="H161" s="2"/>
      <c r="I161" s="2"/>
      <c r="J161" s="2"/>
      <c r="K161" s="2"/>
      <c r="L161" s="2"/>
      <c r="M161" s="2"/>
      <c r="N161" s="2"/>
      <c r="O161" s="2"/>
      <c r="P161" s="2"/>
      <c r="Q161" s="2"/>
    </row>
    <row r="162" ht="15.75" customHeight="1">
      <c r="B162" s="2"/>
      <c r="C162" s="2"/>
      <c r="D162" s="2"/>
      <c r="E162" s="464"/>
      <c r="F162" s="2"/>
      <c r="G162" s="2"/>
      <c r="H162" s="2"/>
      <c r="I162" s="2"/>
      <c r="J162" s="2"/>
      <c r="K162" s="2"/>
      <c r="L162" s="2"/>
      <c r="M162" s="2"/>
      <c r="N162" s="2"/>
      <c r="O162" s="2"/>
      <c r="P162" s="2"/>
      <c r="Q162" s="2"/>
    </row>
    <row r="163" ht="15.75" customHeight="1">
      <c r="B163" s="2"/>
      <c r="C163" s="2"/>
      <c r="D163" s="2"/>
      <c r="E163" s="464"/>
      <c r="F163" s="2"/>
      <c r="G163" s="2"/>
      <c r="H163" s="2"/>
      <c r="I163" s="2"/>
      <c r="J163" s="2"/>
      <c r="K163" s="2"/>
      <c r="L163" s="2"/>
      <c r="M163" s="2"/>
      <c r="N163" s="2"/>
      <c r="O163" s="2"/>
      <c r="P163" s="2"/>
      <c r="Q163" s="2"/>
    </row>
    <row r="164" ht="15.75" customHeight="1">
      <c r="B164" s="2"/>
      <c r="C164" s="2"/>
      <c r="D164" s="2"/>
      <c r="E164" s="464"/>
      <c r="F164" s="2"/>
      <c r="G164" s="2"/>
      <c r="H164" s="2"/>
      <c r="I164" s="2"/>
      <c r="J164" s="2"/>
      <c r="K164" s="2"/>
      <c r="L164" s="2"/>
      <c r="M164" s="2"/>
      <c r="N164" s="2"/>
      <c r="O164" s="2"/>
      <c r="P164" s="2"/>
      <c r="Q164" s="2"/>
    </row>
    <row r="165" ht="15.75" customHeight="1">
      <c r="B165" s="2"/>
      <c r="C165" s="2"/>
      <c r="D165" s="2"/>
      <c r="E165" s="464"/>
      <c r="F165" s="2"/>
      <c r="G165" s="2"/>
      <c r="H165" s="2"/>
      <c r="I165" s="2"/>
      <c r="J165" s="2"/>
      <c r="K165" s="2"/>
      <c r="L165" s="2"/>
      <c r="M165" s="2"/>
      <c r="N165" s="2"/>
      <c r="O165" s="2"/>
      <c r="P165" s="2"/>
      <c r="Q165" s="2"/>
    </row>
    <row r="166" ht="15.75" customHeight="1">
      <c r="B166" s="2"/>
      <c r="C166" s="2"/>
      <c r="D166" s="2"/>
      <c r="E166" s="464"/>
      <c r="F166" s="2"/>
      <c r="G166" s="2"/>
      <c r="H166" s="2"/>
      <c r="I166" s="2"/>
      <c r="J166" s="2"/>
      <c r="K166" s="2"/>
      <c r="L166" s="2"/>
      <c r="M166" s="2"/>
      <c r="N166" s="2"/>
      <c r="O166" s="2"/>
      <c r="P166" s="2"/>
      <c r="Q166" s="2"/>
    </row>
    <row r="167" ht="15.75" customHeight="1">
      <c r="B167" s="2"/>
      <c r="C167" s="2"/>
      <c r="D167" s="2"/>
      <c r="E167" s="464"/>
      <c r="F167" s="2"/>
      <c r="G167" s="2"/>
      <c r="H167" s="2"/>
      <c r="I167" s="2"/>
      <c r="J167" s="2"/>
      <c r="K167" s="2"/>
      <c r="L167" s="2"/>
      <c r="M167" s="2"/>
      <c r="N167" s="2"/>
      <c r="O167" s="2"/>
      <c r="P167" s="2"/>
      <c r="Q167" s="2"/>
    </row>
    <row r="168" ht="15.75" customHeight="1">
      <c r="B168" s="2"/>
      <c r="C168" s="2"/>
      <c r="D168" s="2"/>
      <c r="E168" s="464"/>
      <c r="F168" s="2"/>
      <c r="G168" s="2"/>
      <c r="H168" s="2"/>
      <c r="I168" s="2"/>
      <c r="J168" s="2"/>
      <c r="K168" s="2"/>
      <c r="L168" s="2"/>
      <c r="M168" s="2"/>
      <c r="N168" s="2"/>
      <c r="O168" s="2"/>
      <c r="P168" s="2"/>
      <c r="Q168" s="2"/>
    </row>
    <row r="169" ht="15.75" customHeight="1">
      <c r="B169" s="2"/>
      <c r="C169" s="2"/>
      <c r="D169" s="2"/>
      <c r="E169" s="464"/>
      <c r="F169" s="2"/>
      <c r="G169" s="2"/>
      <c r="H169" s="2"/>
      <c r="I169" s="2"/>
      <c r="J169" s="2"/>
      <c r="K169" s="2"/>
      <c r="L169" s="2"/>
      <c r="M169" s="2"/>
      <c r="N169" s="2"/>
      <c r="O169" s="2"/>
      <c r="P169" s="2"/>
      <c r="Q169" s="2"/>
    </row>
    <row r="170" ht="15.75" customHeight="1">
      <c r="B170" s="2"/>
      <c r="C170" s="2"/>
      <c r="D170" s="2"/>
      <c r="E170" s="464"/>
      <c r="F170" s="2"/>
      <c r="G170" s="2"/>
      <c r="H170" s="2"/>
      <c r="I170" s="2"/>
      <c r="J170" s="2"/>
      <c r="K170" s="2"/>
      <c r="L170" s="2"/>
      <c r="M170" s="2"/>
      <c r="N170" s="2"/>
      <c r="O170" s="2"/>
      <c r="P170" s="2"/>
      <c r="Q170" s="2"/>
    </row>
    <row r="171" ht="15.75" customHeight="1">
      <c r="B171" s="2"/>
      <c r="C171" s="2"/>
      <c r="D171" s="2"/>
      <c r="E171" s="464"/>
      <c r="F171" s="2"/>
      <c r="G171" s="2"/>
      <c r="H171" s="2"/>
      <c r="I171" s="2"/>
      <c r="J171" s="2"/>
      <c r="K171" s="2"/>
      <c r="L171" s="2"/>
      <c r="M171" s="2"/>
      <c r="N171" s="2"/>
      <c r="O171" s="2"/>
      <c r="P171" s="2"/>
      <c r="Q171" s="2"/>
    </row>
    <row r="172" ht="15.75" customHeight="1">
      <c r="B172" s="2"/>
      <c r="C172" s="2"/>
      <c r="D172" s="2"/>
      <c r="E172" s="464"/>
      <c r="F172" s="2"/>
      <c r="G172" s="2"/>
      <c r="H172" s="2"/>
      <c r="I172" s="2"/>
      <c r="J172" s="2"/>
      <c r="K172" s="2"/>
      <c r="L172" s="2"/>
      <c r="M172" s="2"/>
      <c r="N172" s="2"/>
      <c r="O172" s="2"/>
      <c r="P172" s="2"/>
      <c r="Q172" s="2"/>
    </row>
    <row r="173" ht="15.75" customHeight="1">
      <c r="B173" s="2"/>
      <c r="C173" s="2"/>
      <c r="D173" s="2"/>
      <c r="E173" s="464"/>
      <c r="F173" s="2"/>
      <c r="G173" s="2"/>
      <c r="H173" s="2"/>
      <c r="I173" s="2"/>
      <c r="J173" s="2"/>
      <c r="K173" s="2"/>
      <c r="L173" s="2"/>
      <c r="M173" s="2"/>
      <c r="N173" s="2"/>
      <c r="O173" s="2"/>
      <c r="P173" s="2"/>
      <c r="Q173" s="2"/>
    </row>
    <row r="174" ht="15.75" customHeight="1">
      <c r="B174" s="2"/>
      <c r="C174" s="2"/>
      <c r="D174" s="2"/>
      <c r="E174" s="464"/>
      <c r="F174" s="2"/>
      <c r="G174" s="2"/>
      <c r="H174" s="2"/>
      <c r="I174" s="2"/>
      <c r="J174" s="2"/>
      <c r="K174" s="2"/>
      <c r="L174" s="2"/>
      <c r="M174" s="2"/>
      <c r="N174" s="2"/>
      <c r="O174" s="2"/>
      <c r="P174" s="2"/>
      <c r="Q174" s="2"/>
    </row>
    <row r="175" ht="15.75" customHeight="1">
      <c r="B175" s="2"/>
      <c r="C175" s="2"/>
      <c r="D175" s="2"/>
      <c r="E175" s="464"/>
      <c r="F175" s="2"/>
      <c r="G175" s="2"/>
      <c r="H175" s="2"/>
      <c r="I175" s="2"/>
      <c r="J175" s="2"/>
      <c r="K175" s="2"/>
      <c r="L175" s="2"/>
      <c r="M175" s="2"/>
      <c r="N175" s="2"/>
      <c r="O175" s="2"/>
      <c r="P175" s="2"/>
      <c r="Q175" s="2"/>
    </row>
    <row r="176" ht="15.75" customHeight="1">
      <c r="B176" s="2"/>
      <c r="C176" s="2"/>
      <c r="D176" s="2"/>
      <c r="E176" s="464"/>
      <c r="F176" s="2"/>
      <c r="G176" s="2"/>
      <c r="H176" s="2"/>
      <c r="I176" s="2"/>
      <c r="J176" s="2"/>
      <c r="K176" s="2"/>
      <c r="L176" s="2"/>
      <c r="M176" s="2"/>
      <c r="N176" s="2"/>
      <c r="O176" s="2"/>
      <c r="P176" s="2"/>
      <c r="Q176" s="2"/>
    </row>
    <row r="177" ht="15.75" customHeight="1">
      <c r="B177" s="2"/>
      <c r="C177" s="2"/>
      <c r="D177" s="2"/>
      <c r="E177" s="464"/>
      <c r="F177" s="2"/>
      <c r="G177" s="2"/>
      <c r="H177" s="2"/>
      <c r="I177" s="2"/>
      <c r="J177" s="2"/>
      <c r="K177" s="2"/>
      <c r="L177" s="2"/>
      <c r="M177" s="2"/>
      <c r="N177" s="2"/>
      <c r="O177" s="2"/>
      <c r="P177" s="2"/>
      <c r="Q177" s="2"/>
    </row>
    <row r="178" ht="15.75" customHeight="1">
      <c r="B178" s="2"/>
      <c r="C178" s="2"/>
      <c r="D178" s="2"/>
      <c r="E178" s="464"/>
      <c r="F178" s="2"/>
      <c r="G178" s="2"/>
      <c r="H178" s="2"/>
      <c r="I178" s="2"/>
      <c r="J178" s="2"/>
      <c r="K178" s="2"/>
      <c r="L178" s="2"/>
      <c r="M178" s="2"/>
      <c r="N178" s="2"/>
      <c r="O178" s="2"/>
      <c r="P178" s="2"/>
      <c r="Q178" s="2"/>
    </row>
    <row r="179" ht="15.75" customHeight="1">
      <c r="B179" s="2"/>
      <c r="C179" s="2"/>
      <c r="D179" s="2"/>
      <c r="E179" s="464"/>
      <c r="F179" s="2"/>
      <c r="G179" s="2"/>
      <c r="H179" s="2"/>
      <c r="I179" s="2"/>
      <c r="J179" s="2"/>
      <c r="K179" s="2"/>
      <c r="L179" s="2"/>
      <c r="M179" s="2"/>
      <c r="N179" s="2"/>
      <c r="O179" s="2"/>
      <c r="P179" s="2"/>
      <c r="Q179" s="2"/>
    </row>
    <row r="180" ht="15.75" customHeight="1">
      <c r="B180" s="2"/>
      <c r="C180" s="2"/>
      <c r="D180" s="2"/>
      <c r="E180" s="464"/>
      <c r="F180" s="2"/>
      <c r="G180" s="2"/>
      <c r="H180" s="2"/>
      <c r="I180" s="2"/>
      <c r="J180" s="2"/>
      <c r="K180" s="2"/>
      <c r="L180" s="2"/>
      <c r="M180" s="2"/>
      <c r="N180" s="2"/>
      <c r="O180" s="2"/>
      <c r="P180" s="2"/>
      <c r="Q180" s="2"/>
    </row>
    <row r="181" ht="15.75" customHeight="1">
      <c r="B181" s="2"/>
      <c r="C181" s="2"/>
      <c r="D181" s="2"/>
      <c r="E181" s="464"/>
      <c r="F181" s="2"/>
      <c r="G181" s="2"/>
      <c r="H181" s="2"/>
      <c r="I181" s="2"/>
      <c r="J181" s="2"/>
      <c r="K181" s="2"/>
      <c r="L181" s="2"/>
      <c r="M181" s="2"/>
      <c r="N181" s="2"/>
      <c r="O181" s="2"/>
      <c r="P181" s="2"/>
      <c r="Q181" s="2"/>
    </row>
    <row r="182" ht="15.75" customHeight="1">
      <c r="B182" s="2"/>
      <c r="C182" s="2"/>
      <c r="D182" s="2"/>
      <c r="E182" s="464"/>
      <c r="F182" s="2"/>
      <c r="G182" s="2"/>
      <c r="H182" s="2"/>
      <c r="I182" s="2"/>
      <c r="J182" s="2"/>
      <c r="K182" s="2"/>
      <c r="L182" s="2"/>
      <c r="M182" s="2"/>
      <c r="N182" s="2"/>
      <c r="O182" s="2"/>
      <c r="P182" s="2"/>
      <c r="Q182" s="2"/>
    </row>
    <row r="183" ht="15.75" customHeight="1">
      <c r="B183" s="2"/>
      <c r="C183" s="2"/>
      <c r="D183" s="2"/>
      <c r="E183" s="464"/>
      <c r="F183" s="2"/>
      <c r="G183" s="2"/>
      <c r="H183" s="2"/>
      <c r="I183" s="2"/>
      <c r="J183" s="2"/>
      <c r="K183" s="2"/>
      <c r="L183" s="2"/>
      <c r="M183" s="2"/>
      <c r="N183" s="2"/>
      <c r="O183" s="2"/>
      <c r="P183" s="2"/>
      <c r="Q183" s="2"/>
    </row>
    <row r="184" ht="15.75" customHeight="1">
      <c r="B184" s="2"/>
      <c r="C184" s="2"/>
      <c r="D184" s="2"/>
      <c r="E184" s="464"/>
      <c r="F184" s="2"/>
      <c r="G184" s="2"/>
      <c r="H184" s="2"/>
      <c r="I184" s="2"/>
      <c r="J184" s="2"/>
      <c r="K184" s="2"/>
      <c r="L184" s="2"/>
      <c r="M184" s="2"/>
      <c r="N184" s="2"/>
      <c r="O184" s="2"/>
      <c r="P184" s="2"/>
      <c r="Q184" s="2"/>
    </row>
    <row r="185" ht="15.75" customHeight="1">
      <c r="B185" s="2"/>
      <c r="C185" s="2"/>
      <c r="D185" s="2"/>
      <c r="E185" s="464"/>
      <c r="F185" s="2"/>
      <c r="G185" s="2"/>
      <c r="H185" s="2"/>
      <c r="I185" s="2"/>
      <c r="J185" s="2"/>
      <c r="K185" s="2"/>
      <c r="L185" s="2"/>
      <c r="M185" s="2"/>
      <c r="N185" s="2"/>
      <c r="O185" s="2"/>
      <c r="P185" s="2"/>
      <c r="Q185" s="2"/>
    </row>
    <row r="186" ht="15.75" customHeight="1">
      <c r="B186" s="2"/>
      <c r="C186" s="2"/>
      <c r="D186" s="2"/>
      <c r="E186" s="464"/>
      <c r="F186" s="2"/>
      <c r="G186" s="2"/>
      <c r="H186" s="2"/>
      <c r="I186" s="2"/>
      <c r="J186" s="2"/>
      <c r="K186" s="2"/>
      <c r="L186" s="2"/>
      <c r="M186" s="2"/>
      <c r="N186" s="2"/>
      <c r="O186" s="2"/>
      <c r="P186" s="2"/>
      <c r="Q186" s="2"/>
    </row>
    <row r="187" ht="15.75" customHeight="1">
      <c r="B187" s="2"/>
      <c r="C187" s="2"/>
      <c r="D187" s="2"/>
      <c r="E187" s="464"/>
      <c r="F187" s="2"/>
      <c r="G187" s="2"/>
      <c r="H187" s="2"/>
      <c r="I187" s="2"/>
      <c r="J187" s="2"/>
      <c r="K187" s="2"/>
      <c r="L187" s="2"/>
      <c r="M187" s="2"/>
      <c r="N187" s="2"/>
      <c r="O187" s="2"/>
      <c r="P187" s="2"/>
      <c r="Q187" s="2"/>
    </row>
    <row r="188" ht="15.75" customHeight="1">
      <c r="B188" s="2"/>
      <c r="C188" s="2"/>
      <c r="D188" s="2"/>
      <c r="E188" s="464"/>
      <c r="F188" s="2"/>
      <c r="G188" s="2"/>
      <c r="H188" s="2"/>
      <c r="I188" s="2"/>
      <c r="J188" s="2"/>
      <c r="K188" s="2"/>
      <c r="L188" s="2"/>
      <c r="M188" s="2"/>
      <c r="N188" s="2"/>
      <c r="O188" s="2"/>
      <c r="P188" s="2"/>
      <c r="Q188" s="2"/>
    </row>
    <row r="189" ht="15.75" customHeight="1">
      <c r="B189" s="2"/>
      <c r="C189" s="2"/>
      <c r="D189" s="2"/>
      <c r="E189" s="464"/>
      <c r="F189" s="2"/>
      <c r="G189" s="2"/>
      <c r="H189" s="2"/>
      <c r="I189" s="2"/>
      <c r="J189" s="2"/>
      <c r="K189" s="2"/>
      <c r="L189" s="2"/>
      <c r="M189" s="2"/>
      <c r="N189" s="2"/>
      <c r="O189" s="2"/>
      <c r="P189" s="2"/>
      <c r="Q189" s="2"/>
    </row>
    <row r="190" ht="15.75" customHeight="1">
      <c r="B190" s="2"/>
      <c r="C190" s="2"/>
      <c r="D190" s="2"/>
      <c r="E190" s="464"/>
      <c r="F190" s="2"/>
      <c r="G190" s="2"/>
      <c r="H190" s="2"/>
      <c r="I190" s="2"/>
      <c r="J190" s="2"/>
      <c r="K190" s="2"/>
      <c r="L190" s="2"/>
      <c r="M190" s="2"/>
      <c r="N190" s="2"/>
      <c r="O190" s="2"/>
      <c r="P190" s="2"/>
      <c r="Q190" s="2"/>
    </row>
    <row r="191" ht="15.75" customHeight="1">
      <c r="B191" s="2"/>
      <c r="C191" s="2"/>
      <c r="D191" s="2"/>
      <c r="E191" s="464"/>
      <c r="F191" s="2"/>
      <c r="G191" s="2"/>
      <c r="H191" s="2"/>
      <c r="I191" s="2"/>
      <c r="J191" s="2"/>
      <c r="K191" s="2"/>
      <c r="L191" s="2"/>
      <c r="M191" s="2"/>
      <c r="N191" s="2"/>
      <c r="O191" s="2"/>
      <c r="P191" s="2"/>
      <c r="Q191" s="2"/>
    </row>
    <row r="192" ht="15.75" customHeight="1">
      <c r="B192" s="2"/>
      <c r="C192" s="2"/>
      <c r="D192" s="2"/>
      <c r="E192" s="464"/>
      <c r="F192" s="2"/>
      <c r="G192" s="2"/>
      <c r="H192" s="2"/>
      <c r="I192" s="2"/>
      <c r="J192" s="2"/>
      <c r="K192" s="2"/>
      <c r="L192" s="2"/>
      <c r="M192" s="2"/>
      <c r="N192" s="2"/>
      <c r="O192" s="2"/>
      <c r="P192" s="2"/>
      <c r="Q192" s="2"/>
    </row>
    <row r="193" ht="15.75" customHeight="1">
      <c r="B193" s="2"/>
      <c r="C193" s="2"/>
      <c r="D193" s="2"/>
      <c r="E193" s="464"/>
      <c r="F193" s="2"/>
      <c r="G193" s="2"/>
      <c r="H193" s="2"/>
      <c r="I193" s="2"/>
      <c r="J193" s="2"/>
      <c r="K193" s="2"/>
      <c r="L193" s="2"/>
      <c r="M193" s="2"/>
      <c r="N193" s="2"/>
      <c r="O193" s="2"/>
      <c r="P193" s="2"/>
      <c r="Q193" s="2"/>
    </row>
    <row r="194" ht="15.75" customHeight="1">
      <c r="B194" s="2"/>
      <c r="C194" s="2"/>
      <c r="D194" s="2"/>
      <c r="E194" s="464"/>
      <c r="F194" s="2"/>
      <c r="G194" s="2"/>
      <c r="H194" s="2"/>
      <c r="I194" s="2"/>
      <c r="J194" s="2"/>
      <c r="K194" s="2"/>
      <c r="L194" s="2"/>
      <c r="M194" s="2"/>
      <c r="N194" s="2"/>
      <c r="O194" s="2"/>
      <c r="P194" s="2"/>
      <c r="Q194" s="2"/>
    </row>
    <row r="195" ht="15.75" customHeight="1">
      <c r="B195" s="2"/>
      <c r="C195" s="2"/>
      <c r="D195" s="2"/>
      <c r="E195" s="464"/>
      <c r="F195" s="2"/>
      <c r="G195" s="2"/>
      <c r="H195" s="2"/>
      <c r="I195" s="2"/>
      <c r="J195" s="2"/>
      <c r="K195" s="2"/>
      <c r="L195" s="2"/>
      <c r="M195" s="2"/>
      <c r="N195" s="2"/>
      <c r="O195" s="2"/>
      <c r="P195" s="2"/>
      <c r="Q195" s="2"/>
    </row>
    <row r="196" ht="15.75" customHeight="1">
      <c r="B196" s="2"/>
      <c r="C196" s="2"/>
      <c r="D196" s="2"/>
      <c r="E196" s="464"/>
      <c r="F196" s="2"/>
      <c r="G196" s="2"/>
      <c r="H196" s="2"/>
      <c r="I196" s="2"/>
      <c r="J196" s="2"/>
      <c r="K196" s="2"/>
      <c r="L196" s="2"/>
      <c r="M196" s="2"/>
      <c r="N196" s="2"/>
      <c r="O196" s="2"/>
      <c r="P196" s="2"/>
      <c r="Q196" s="2"/>
    </row>
    <row r="197" ht="15.75" customHeight="1">
      <c r="B197" s="2"/>
      <c r="C197" s="2"/>
      <c r="D197" s="2"/>
      <c r="E197" s="464"/>
      <c r="F197" s="2"/>
      <c r="G197" s="2"/>
      <c r="H197" s="2"/>
      <c r="I197" s="2"/>
      <c r="J197" s="2"/>
      <c r="K197" s="2"/>
      <c r="L197" s="2"/>
      <c r="M197" s="2"/>
      <c r="N197" s="2"/>
      <c r="O197" s="2"/>
      <c r="P197" s="2"/>
      <c r="Q197" s="2"/>
    </row>
    <row r="198" ht="15.75" customHeight="1">
      <c r="B198" s="2"/>
      <c r="C198" s="2"/>
      <c r="D198" s="2"/>
      <c r="E198" s="464"/>
      <c r="F198" s="2"/>
      <c r="G198" s="2"/>
      <c r="H198" s="2"/>
      <c r="I198" s="2"/>
      <c r="J198" s="2"/>
      <c r="K198" s="2"/>
      <c r="L198" s="2"/>
      <c r="M198" s="2"/>
      <c r="N198" s="2"/>
      <c r="O198" s="2"/>
      <c r="P198" s="2"/>
      <c r="Q198" s="2"/>
    </row>
    <row r="199" ht="15.75" customHeight="1">
      <c r="B199" s="2"/>
      <c r="C199" s="2"/>
      <c r="D199" s="2"/>
      <c r="E199" s="464"/>
      <c r="F199" s="2"/>
      <c r="G199" s="2"/>
      <c r="H199" s="2"/>
      <c r="I199" s="2"/>
      <c r="J199" s="2"/>
      <c r="K199" s="2"/>
      <c r="L199" s="2"/>
      <c r="M199" s="2"/>
      <c r="N199" s="2"/>
      <c r="O199" s="2"/>
      <c r="P199" s="2"/>
      <c r="Q199" s="2"/>
    </row>
    <row r="200" ht="15.75" customHeight="1">
      <c r="B200" s="2"/>
      <c r="C200" s="2"/>
      <c r="D200" s="2"/>
      <c r="E200" s="464"/>
      <c r="F200" s="2"/>
      <c r="G200" s="2"/>
      <c r="H200" s="2"/>
      <c r="I200" s="2"/>
      <c r="J200" s="2"/>
      <c r="K200" s="2"/>
      <c r="L200" s="2"/>
      <c r="M200" s="2"/>
      <c r="N200" s="2"/>
      <c r="O200" s="2"/>
      <c r="P200" s="2"/>
      <c r="Q200" s="2"/>
    </row>
    <row r="201" ht="15.75" customHeight="1">
      <c r="B201" s="2"/>
      <c r="C201" s="2"/>
      <c r="D201" s="2"/>
      <c r="E201" s="464"/>
      <c r="F201" s="2"/>
      <c r="G201" s="2"/>
      <c r="H201" s="2"/>
      <c r="I201" s="2"/>
      <c r="J201" s="2"/>
      <c r="K201" s="2"/>
      <c r="L201" s="2"/>
      <c r="M201" s="2"/>
      <c r="N201" s="2"/>
      <c r="O201" s="2"/>
      <c r="P201" s="2"/>
      <c r="Q201" s="2"/>
    </row>
    <row r="202" ht="15.75" customHeight="1">
      <c r="B202" s="2"/>
      <c r="C202" s="2"/>
      <c r="D202" s="2"/>
      <c r="E202" s="464"/>
      <c r="F202" s="2"/>
      <c r="G202" s="2"/>
      <c r="H202" s="2"/>
      <c r="I202" s="2"/>
      <c r="J202" s="2"/>
      <c r="K202" s="2"/>
      <c r="L202" s="2"/>
      <c r="M202" s="2"/>
      <c r="N202" s="2"/>
      <c r="O202" s="2"/>
      <c r="P202" s="2"/>
      <c r="Q202" s="2"/>
    </row>
    <row r="203" ht="15.75" customHeight="1">
      <c r="B203" s="2"/>
      <c r="C203" s="2"/>
      <c r="D203" s="2"/>
      <c r="E203" s="464"/>
      <c r="F203" s="2"/>
      <c r="G203" s="2"/>
      <c r="H203" s="2"/>
      <c r="I203" s="2"/>
      <c r="J203" s="2"/>
      <c r="K203" s="2"/>
      <c r="L203" s="2"/>
      <c r="M203" s="2"/>
      <c r="N203" s="2"/>
      <c r="O203" s="2"/>
      <c r="P203" s="2"/>
      <c r="Q203" s="2"/>
    </row>
    <row r="204" ht="15.75" customHeight="1">
      <c r="B204" s="2"/>
      <c r="C204" s="2"/>
      <c r="D204" s="2"/>
      <c r="E204" s="464"/>
      <c r="F204" s="2"/>
      <c r="G204" s="2"/>
      <c r="H204" s="2"/>
      <c r="I204" s="2"/>
      <c r="J204" s="2"/>
      <c r="K204" s="2"/>
      <c r="L204" s="2"/>
      <c r="M204" s="2"/>
      <c r="N204" s="2"/>
      <c r="O204" s="2"/>
      <c r="P204" s="2"/>
      <c r="Q204" s="2"/>
    </row>
    <row r="205" ht="15.75" customHeight="1">
      <c r="B205" s="2"/>
      <c r="C205" s="2"/>
      <c r="D205" s="2"/>
      <c r="E205" s="464"/>
      <c r="F205" s="2"/>
      <c r="G205" s="2"/>
      <c r="H205" s="2"/>
      <c r="I205" s="2"/>
      <c r="J205" s="2"/>
      <c r="K205" s="2"/>
      <c r="L205" s="2"/>
      <c r="M205" s="2"/>
      <c r="N205" s="2"/>
      <c r="O205" s="2"/>
      <c r="P205" s="2"/>
      <c r="Q205" s="2"/>
    </row>
    <row r="206" ht="15.75" customHeight="1">
      <c r="B206" s="2"/>
      <c r="C206" s="2"/>
      <c r="D206" s="2"/>
      <c r="E206" s="464"/>
      <c r="F206" s="2"/>
      <c r="G206" s="2"/>
      <c r="H206" s="2"/>
      <c r="I206" s="2"/>
      <c r="J206" s="2"/>
      <c r="K206" s="2"/>
      <c r="L206" s="2"/>
      <c r="M206" s="2"/>
      <c r="N206" s="2"/>
      <c r="O206" s="2"/>
      <c r="P206" s="2"/>
      <c r="Q206" s="2"/>
    </row>
    <row r="207" ht="15.75" customHeight="1">
      <c r="B207" s="2"/>
      <c r="C207" s="2"/>
      <c r="D207" s="2"/>
      <c r="E207" s="464"/>
      <c r="F207" s="2"/>
      <c r="G207" s="2"/>
      <c r="H207" s="2"/>
      <c r="I207" s="2"/>
      <c r="J207" s="2"/>
      <c r="K207" s="2"/>
      <c r="L207" s="2"/>
      <c r="M207" s="2"/>
      <c r="N207" s="2"/>
      <c r="O207" s="2"/>
      <c r="P207" s="2"/>
      <c r="Q207" s="2"/>
    </row>
    <row r="208" ht="15.75" customHeight="1">
      <c r="B208" s="2"/>
      <c r="C208" s="2"/>
      <c r="D208" s="2"/>
      <c r="E208" s="464"/>
      <c r="F208" s="2"/>
      <c r="G208" s="2"/>
      <c r="H208" s="2"/>
      <c r="I208" s="2"/>
      <c r="J208" s="2"/>
      <c r="K208" s="2"/>
      <c r="L208" s="2"/>
      <c r="M208" s="2"/>
      <c r="N208" s="2"/>
      <c r="O208" s="2"/>
      <c r="P208" s="2"/>
      <c r="Q208" s="2"/>
    </row>
    <row r="209" ht="15.75" customHeight="1">
      <c r="B209" s="2"/>
      <c r="C209" s="2"/>
      <c r="D209" s="2"/>
      <c r="E209" s="464"/>
      <c r="F209" s="2"/>
      <c r="G209" s="2"/>
      <c r="H209" s="2"/>
      <c r="I209" s="2"/>
      <c r="J209" s="2"/>
      <c r="K209" s="2"/>
      <c r="L209" s="2"/>
      <c r="M209" s="2"/>
      <c r="N209" s="2"/>
      <c r="O209" s="2"/>
      <c r="P209" s="2"/>
      <c r="Q209" s="2"/>
    </row>
    <row r="210" ht="15.75" customHeight="1">
      <c r="B210" s="2"/>
      <c r="C210" s="2"/>
      <c r="D210" s="2"/>
      <c r="E210" s="464"/>
      <c r="F210" s="2"/>
      <c r="G210" s="2"/>
      <c r="H210" s="2"/>
      <c r="I210" s="2"/>
      <c r="J210" s="2"/>
      <c r="K210" s="2"/>
      <c r="L210" s="2"/>
      <c r="M210" s="2"/>
      <c r="N210" s="2"/>
      <c r="O210" s="2"/>
      <c r="P210" s="2"/>
      <c r="Q210" s="2"/>
    </row>
    <row r="211" ht="15.75" customHeight="1">
      <c r="B211" s="2"/>
      <c r="C211" s="2"/>
      <c r="D211" s="2"/>
      <c r="E211" s="464"/>
      <c r="F211" s="2"/>
      <c r="G211" s="2"/>
      <c r="H211" s="2"/>
      <c r="I211" s="2"/>
      <c r="J211" s="2"/>
      <c r="K211" s="2"/>
      <c r="L211" s="2"/>
      <c r="M211" s="2"/>
      <c r="N211" s="2"/>
      <c r="O211" s="2"/>
      <c r="P211" s="2"/>
      <c r="Q211" s="2"/>
    </row>
    <row r="212" ht="15.75" customHeight="1">
      <c r="B212" s="2"/>
      <c r="C212" s="2"/>
      <c r="D212" s="2"/>
      <c r="E212" s="464"/>
      <c r="F212" s="2"/>
      <c r="G212" s="2"/>
      <c r="H212" s="2"/>
      <c r="I212" s="2"/>
      <c r="J212" s="2"/>
      <c r="K212" s="2"/>
      <c r="L212" s="2"/>
      <c r="M212" s="2"/>
      <c r="N212" s="2"/>
      <c r="O212" s="2"/>
      <c r="P212" s="2"/>
      <c r="Q212" s="2"/>
    </row>
    <row r="213" ht="15.75" customHeight="1">
      <c r="B213" s="2"/>
      <c r="C213" s="2"/>
      <c r="D213" s="2"/>
      <c r="E213" s="464"/>
      <c r="F213" s="2"/>
      <c r="G213" s="2"/>
      <c r="H213" s="2"/>
      <c r="I213" s="2"/>
      <c r="J213" s="2"/>
      <c r="K213" s="2"/>
      <c r="L213" s="2"/>
      <c r="M213" s="2"/>
      <c r="N213" s="2"/>
      <c r="O213" s="2"/>
      <c r="P213" s="2"/>
      <c r="Q213" s="2"/>
    </row>
    <row r="214" ht="15.75" customHeight="1">
      <c r="B214" s="2"/>
      <c r="C214" s="2"/>
      <c r="D214" s="2"/>
      <c r="E214" s="464"/>
      <c r="F214" s="2"/>
      <c r="G214" s="2"/>
      <c r="H214" s="2"/>
      <c r="I214" s="2"/>
      <c r="J214" s="2"/>
      <c r="K214" s="2"/>
      <c r="L214" s="2"/>
      <c r="M214" s="2"/>
      <c r="N214" s="2"/>
      <c r="O214" s="2"/>
      <c r="P214" s="2"/>
      <c r="Q214" s="2"/>
    </row>
    <row r="215" ht="15.75" customHeight="1">
      <c r="B215" s="2"/>
      <c r="C215" s="2"/>
      <c r="D215" s="2"/>
      <c r="E215" s="464"/>
      <c r="F215" s="2"/>
      <c r="G215" s="2"/>
      <c r="H215" s="2"/>
      <c r="I215" s="2"/>
      <c r="J215" s="2"/>
      <c r="K215" s="2"/>
      <c r="L215" s="2"/>
      <c r="M215" s="2"/>
      <c r="N215" s="2"/>
      <c r="O215" s="2"/>
      <c r="P215" s="2"/>
      <c r="Q215" s="2"/>
    </row>
    <row r="216" ht="15.75" customHeight="1">
      <c r="B216" s="2"/>
      <c r="C216" s="2"/>
      <c r="D216" s="2"/>
      <c r="E216" s="464"/>
      <c r="F216" s="2"/>
      <c r="G216" s="2"/>
      <c r="H216" s="2"/>
      <c r="I216" s="2"/>
      <c r="J216" s="2"/>
      <c r="K216" s="2"/>
      <c r="L216" s="2"/>
      <c r="M216" s="2"/>
      <c r="N216" s="2"/>
      <c r="O216" s="2"/>
      <c r="P216" s="2"/>
      <c r="Q216" s="2"/>
    </row>
    <row r="217" ht="15.75" customHeight="1">
      <c r="B217" s="2"/>
      <c r="C217" s="2"/>
      <c r="D217" s="2"/>
      <c r="E217" s="464"/>
      <c r="F217" s="2"/>
      <c r="G217" s="2"/>
      <c r="H217" s="2"/>
      <c r="I217" s="2"/>
      <c r="J217" s="2"/>
      <c r="K217" s="2"/>
      <c r="L217" s="2"/>
      <c r="M217" s="2"/>
      <c r="N217" s="2"/>
      <c r="O217" s="2"/>
      <c r="P217" s="2"/>
      <c r="Q217" s="2"/>
    </row>
    <row r="218" ht="15.75" customHeight="1">
      <c r="B218" s="2"/>
      <c r="C218" s="2"/>
      <c r="D218" s="2"/>
      <c r="E218" s="464"/>
      <c r="F218" s="2"/>
      <c r="G218" s="2"/>
      <c r="H218" s="2"/>
      <c r="I218" s="2"/>
      <c r="J218" s="2"/>
      <c r="K218" s="2"/>
      <c r="L218" s="2"/>
      <c r="M218" s="2"/>
      <c r="N218" s="2"/>
      <c r="O218" s="2"/>
      <c r="P218" s="2"/>
      <c r="Q218" s="2"/>
    </row>
    <row r="219" ht="15.75" customHeight="1">
      <c r="B219" s="2"/>
      <c r="C219" s="2"/>
      <c r="D219" s="2"/>
      <c r="E219" s="464"/>
      <c r="F219" s="2"/>
      <c r="G219" s="2"/>
      <c r="H219" s="2"/>
      <c r="I219" s="2"/>
      <c r="J219" s="2"/>
      <c r="K219" s="2"/>
      <c r="L219" s="2"/>
      <c r="M219" s="2"/>
      <c r="N219" s="2"/>
      <c r="O219" s="2"/>
      <c r="P219" s="2"/>
      <c r="Q219" s="2"/>
    </row>
    <row r="220" ht="15.75" customHeight="1">
      <c r="B220" s="2"/>
      <c r="C220" s="2"/>
      <c r="D220" s="2"/>
      <c r="E220" s="464"/>
      <c r="F220" s="2"/>
      <c r="G220" s="2"/>
      <c r="H220" s="2"/>
      <c r="I220" s="2"/>
      <c r="J220" s="2"/>
      <c r="K220" s="2"/>
      <c r="L220" s="2"/>
      <c r="M220" s="2"/>
      <c r="N220" s="2"/>
      <c r="O220" s="2"/>
      <c r="P220" s="2"/>
      <c r="Q220" s="2"/>
    </row>
    <row r="221" ht="15.75" customHeight="1">
      <c r="B221" s="2"/>
      <c r="C221" s="2"/>
      <c r="D221" s="2"/>
      <c r="E221" s="464"/>
      <c r="F221" s="2"/>
      <c r="G221" s="2"/>
      <c r="H221" s="2"/>
      <c r="I221" s="2"/>
      <c r="J221" s="2"/>
      <c r="K221" s="2"/>
      <c r="L221" s="2"/>
      <c r="M221" s="2"/>
      <c r="N221" s="2"/>
      <c r="O221" s="2"/>
      <c r="P221" s="2"/>
      <c r="Q221" s="2"/>
    </row>
    <row r="222" ht="15.75" customHeight="1">
      <c r="B222" s="2"/>
      <c r="C222" s="2"/>
      <c r="D222" s="2"/>
      <c r="E222" s="464"/>
      <c r="F222" s="2"/>
      <c r="G222" s="2"/>
      <c r="H222" s="2"/>
      <c r="I222" s="2"/>
      <c r="J222" s="2"/>
      <c r="K222" s="2"/>
      <c r="L222" s="2"/>
      <c r="M222" s="2"/>
      <c r="N222" s="2"/>
      <c r="O222" s="2"/>
      <c r="P222" s="2"/>
      <c r="Q222" s="2"/>
    </row>
    <row r="223" ht="15.75" customHeight="1">
      <c r="B223" s="2"/>
      <c r="C223" s="2"/>
      <c r="D223" s="2"/>
      <c r="E223" s="464"/>
      <c r="F223" s="2"/>
      <c r="G223" s="2"/>
      <c r="H223" s="2"/>
      <c r="I223" s="2"/>
      <c r="J223" s="2"/>
      <c r="K223" s="2"/>
      <c r="L223" s="2"/>
      <c r="M223" s="2"/>
      <c r="N223" s="2"/>
      <c r="O223" s="2"/>
      <c r="P223" s="2"/>
      <c r="Q223" s="2"/>
    </row>
    <row r="224" ht="15.75" customHeight="1">
      <c r="B224" s="2"/>
      <c r="C224" s="2"/>
      <c r="D224" s="2"/>
      <c r="E224" s="464"/>
      <c r="F224" s="2"/>
      <c r="G224" s="2"/>
      <c r="H224" s="2"/>
      <c r="I224" s="2"/>
      <c r="J224" s="2"/>
      <c r="K224" s="2"/>
      <c r="L224" s="2"/>
      <c r="M224" s="2"/>
      <c r="N224" s="2"/>
      <c r="O224" s="2"/>
      <c r="P224" s="2"/>
      <c r="Q224" s="2"/>
    </row>
    <row r="225" ht="15.75" customHeight="1">
      <c r="B225" s="2"/>
      <c r="C225" s="2"/>
      <c r="D225" s="2"/>
      <c r="E225" s="464"/>
      <c r="F225" s="2"/>
      <c r="G225" s="2"/>
      <c r="H225" s="2"/>
      <c r="I225" s="2"/>
      <c r="J225" s="2"/>
      <c r="K225" s="2"/>
      <c r="L225" s="2"/>
      <c r="M225" s="2"/>
      <c r="N225" s="2"/>
      <c r="O225" s="2"/>
      <c r="P225" s="2"/>
      <c r="Q225" s="2"/>
    </row>
    <row r="226" ht="15.75" customHeight="1">
      <c r="B226" s="2"/>
      <c r="C226" s="2"/>
      <c r="D226" s="2"/>
      <c r="E226" s="464"/>
      <c r="F226" s="2"/>
      <c r="G226" s="2"/>
      <c r="H226" s="2"/>
      <c r="I226" s="2"/>
      <c r="J226" s="2"/>
      <c r="K226" s="2"/>
      <c r="L226" s="2"/>
      <c r="M226" s="2"/>
      <c r="N226" s="2"/>
      <c r="O226" s="2"/>
      <c r="P226" s="2"/>
      <c r="Q226" s="2"/>
    </row>
    <row r="227" ht="15.75" customHeight="1">
      <c r="B227" s="2"/>
      <c r="C227" s="2"/>
      <c r="D227" s="2"/>
      <c r="E227" s="464"/>
      <c r="F227" s="2"/>
      <c r="G227" s="2"/>
      <c r="H227" s="2"/>
      <c r="I227" s="2"/>
      <c r="J227" s="2"/>
      <c r="K227" s="2"/>
      <c r="L227" s="2"/>
      <c r="M227" s="2"/>
      <c r="N227" s="2"/>
      <c r="O227" s="2"/>
      <c r="P227" s="2"/>
      <c r="Q227" s="2"/>
    </row>
    <row r="228" ht="15.75" customHeight="1">
      <c r="B228" s="2"/>
      <c r="C228" s="2"/>
      <c r="D228" s="2"/>
      <c r="E228" s="464"/>
      <c r="F228" s="2"/>
      <c r="G228" s="2"/>
      <c r="H228" s="2"/>
      <c r="I228" s="2"/>
      <c r="J228" s="2"/>
      <c r="K228" s="2"/>
      <c r="L228" s="2"/>
      <c r="M228" s="2"/>
      <c r="N228" s="2"/>
      <c r="O228" s="2"/>
      <c r="P228" s="2"/>
      <c r="Q228" s="2"/>
    </row>
    <row r="229" ht="15.75" customHeight="1">
      <c r="B229" s="2"/>
      <c r="C229" s="2"/>
      <c r="D229" s="2"/>
      <c r="E229" s="464"/>
      <c r="F229" s="2"/>
      <c r="G229" s="2"/>
      <c r="H229" s="2"/>
      <c r="I229" s="2"/>
      <c r="J229" s="2"/>
      <c r="K229" s="2"/>
      <c r="L229" s="2"/>
      <c r="M229" s="2"/>
      <c r="N229" s="2"/>
      <c r="O229" s="2"/>
      <c r="P229" s="2"/>
      <c r="Q229" s="2"/>
    </row>
    <row r="230" ht="15.75" customHeight="1">
      <c r="B230" s="2"/>
      <c r="C230" s="2"/>
      <c r="D230" s="2"/>
      <c r="E230" s="464"/>
      <c r="F230" s="2"/>
      <c r="G230" s="2"/>
      <c r="H230" s="2"/>
      <c r="I230" s="2"/>
      <c r="J230" s="2"/>
      <c r="K230" s="2"/>
      <c r="L230" s="2"/>
      <c r="M230" s="2"/>
      <c r="N230" s="2"/>
      <c r="O230" s="2"/>
      <c r="P230" s="2"/>
      <c r="Q230" s="2"/>
    </row>
    <row r="231" ht="15.75" customHeight="1">
      <c r="B231" s="2"/>
      <c r="C231" s="2"/>
      <c r="D231" s="2"/>
      <c r="E231" s="464"/>
      <c r="F231" s="2"/>
      <c r="G231" s="2"/>
      <c r="H231" s="2"/>
      <c r="I231" s="2"/>
      <c r="J231" s="2"/>
      <c r="K231" s="2"/>
      <c r="L231" s="2"/>
      <c r="M231" s="2"/>
      <c r="N231" s="2"/>
      <c r="O231" s="2"/>
      <c r="P231" s="2"/>
      <c r="Q231" s="2"/>
    </row>
    <row r="232" ht="15.75" customHeight="1">
      <c r="B232" s="2"/>
      <c r="C232" s="2"/>
      <c r="D232" s="2"/>
      <c r="E232" s="464"/>
      <c r="F232" s="2"/>
      <c r="G232" s="2"/>
      <c r="H232" s="2"/>
      <c r="I232" s="2"/>
      <c r="J232" s="2"/>
      <c r="K232" s="2"/>
      <c r="L232" s="2"/>
      <c r="M232" s="2"/>
      <c r="N232" s="2"/>
      <c r="O232" s="2"/>
      <c r="P232" s="2"/>
      <c r="Q232" s="2"/>
    </row>
    <row r="233" ht="15.75" customHeight="1">
      <c r="B233" s="2"/>
      <c r="C233" s="2"/>
      <c r="D233" s="2"/>
      <c r="E233" s="464"/>
      <c r="F233" s="2"/>
      <c r="G233" s="2"/>
      <c r="H233" s="2"/>
      <c r="I233" s="2"/>
      <c r="J233" s="2"/>
      <c r="K233" s="2"/>
      <c r="L233" s="2"/>
      <c r="M233" s="2"/>
      <c r="N233" s="2"/>
      <c r="O233" s="2"/>
      <c r="P233" s="2"/>
      <c r="Q233" s="2"/>
    </row>
    <row r="234" ht="15.75" customHeight="1">
      <c r="B234" s="2"/>
      <c r="C234" s="2"/>
      <c r="D234" s="2"/>
      <c r="E234" s="464"/>
      <c r="F234" s="2"/>
      <c r="G234" s="2"/>
      <c r="H234" s="2"/>
      <c r="I234" s="2"/>
      <c r="J234" s="2"/>
      <c r="K234" s="2"/>
      <c r="L234" s="2"/>
      <c r="M234" s="2"/>
      <c r="N234" s="2"/>
      <c r="O234" s="2"/>
      <c r="P234" s="2"/>
      <c r="Q234" s="2"/>
    </row>
    <row r="235" ht="15.75" customHeight="1">
      <c r="B235" s="2"/>
      <c r="C235" s="2"/>
      <c r="D235" s="2"/>
      <c r="E235" s="464"/>
      <c r="F235" s="2"/>
      <c r="G235" s="2"/>
      <c r="H235" s="2"/>
      <c r="I235" s="2"/>
      <c r="J235" s="2"/>
      <c r="K235" s="2"/>
      <c r="L235" s="2"/>
      <c r="M235" s="2"/>
      <c r="N235" s="2"/>
      <c r="O235" s="2"/>
      <c r="P235" s="2"/>
      <c r="Q235" s="2"/>
    </row>
    <row r="236" ht="15.75" customHeight="1">
      <c r="B236" s="2"/>
      <c r="C236" s="2"/>
      <c r="D236" s="2"/>
      <c r="E236" s="464"/>
      <c r="F236" s="2"/>
      <c r="G236" s="2"/>
      <c r="H236" s="2"/>
      <c r="I236" s="2"/>
      <c r="J236" s="2"/>
      <c r="K236" s="2"/>
      <c r="L236" s="2"/>
      <c r="M236" s="2"/>
      <c r="N236" s="2"/>
      <c r="O236" s="2"/>
      <c r="P236" s="2"/>
      <c r="Q236" s="2"/>
    </row>
    <row r="237" ht="15.75" customHeight="1">
      <c r="B237" s="2"/>
      <c r="C237" s="2"/>
      <c r="D237" s="2"/>
      <c r="E237" s="464"/>
      <c r="F237" s="2"/>
      <c r="G237" s="2"/>
      <c r="H237" s="2"/>
      <c r="I237" s="2"/>
      <c r="J237" s="2"/>
      <c r="K237" s="2"/>
      <c r="L237" s="2"/>
      <c r="M237" s="2"/>
      <c r="N237" s="2"/>
      <c r="O237" s="2"/>
      <c r="P237" s="2"/>
      <c r="Q237" s="2"/>
    </row>
    <row r="238" ht="15.75" customHeight="1">
      <c r="B238" s="2"/>
      <c r="C238" s="2"/>
      <c r="D238" s="2"/>
      <c r="E238" s="464"/>
      <c r="F238" s="2"/>
      <c r="G238" s="2"/>
      <c r="H238" s="2"/>
      <c r="I238" s="2"/>
      <c r="J238" s="2"/>
      <c r="K238" s="2"/>
      <c r="L238" s="2"/>
      <c r="M238" s="2"/>
      <c r="N238" s="2"/>
      <c r="O238" s="2"/>
      <c r="P238" s="2"/>
      <c r="Q238" s="2"/>
    </row>
    <row r="239" ht="15.75" customHeight="1">
      <c r="B239" s="2"/>
      <c r="C239" s="2"/>
      <c r="D239" s="2"/>
      <c r="E239" s="464"/>
      <c r="F239" s="2"/>
      <c r="G239" s="2"/>
      <c r="H239" s="2"/>
      <c r="I239" s="2"/>
      <c r="J239" s="2"/>
      <c r="K239" s="2"/>
      <c r="L239" s="2"/>
      <c r="M239" s="2"/>
      <c r="N239" s="2"/>
      <c r="O239" s="2"/>
      <c r="P239" s="2"/>
      <c r="Q239" s="2"/>
    </row>
    <row r="240" ht="15.75" customHeight="1">
      <c r="B240" s="2"/>
      <c r="C240" s="2"/>
      <c r="D240" s="2"/>
      <c r="E240" s="464"/>
      <c r="F240" s="2"/>
      <c r="G240" s="2"/>
      <c r="H240" s="2"/>
      <c r="I240" s="2"/>
      <c r="J240" s="2"/>
      <c r="K240" s="2"/>
      <c r="L240" s="2"/>
      <c r="M240" s="2"/>
      <c r="N240" s="2"/>
      <c r="O240" s="2"/>
      <c r="P240" s="2"/>
      <c r="Q240" s="2"/>
    </row>
    <row r="241" ht="15.75" customHeight="1">
      <c r="B241" s="2"/>
      <c r="C241" s="2"/>
      <c r="D241" s="2"/>
      <c r="E241" s="464"/>
      <c r="F241" s="2"/>
      <c r="G241" s="2"/>
      <c r="H241" s="2"/>
      <c r="I241" s="2"/>
      <c r="J241" s="2"/>
      <c r="K241" s="2"/>
      <c r="L241" s="2"/>
      <c r="M241" s="2"/>
      <c r="N241" s="2"/>
      <c r="O241" s="2"/>
      <c r="P241" s="2"/>
      <c r="Q241" s="2"/>
    </row>
    <row r="242" ht="15.75" customHeight="1">
      <c r="B242" s="2"/>
      <c r="C242" s="2"/>
      <c r="D242" s="2"/>
      <c r="E242" s="464"/>
      <c r="F242" s="2"/>
      <c r="G242" s="2"/>
      <c r="H242" s="2"/>
      <c r="I242" s="2"/>
      <c r="J242" s="2"/>
      <c r="K242" s="2"/>
      <c r="L242" s="2"/>
      <c r="M242" s="2"/>
      <c r="N242" s="2"/>
      <c r="O242" s="2"/>
      <c r="P242" s="2"/>
      <c r="Q242" s="2"/>
    </row>
    <row r="243" ht="15.75" customHeight="1">
      <c r="B243" s="2"/>
      <c r="C243" s="2"/>
      <c r="D243" s="2"/>
      <c r="E243" s="464"/>
      <c r="F243" s="2"/>
      <c r="G243" s="2"/>
      <c r="H243" s="2"/>
      <c r="I243" s="2"/>
      <c r="J243" s="2"/>
      <c r="K243" s="2"/>
      <c r="L243" s="2"/>
      <c r="M243" s="2"/>
      <c r="N243" s="2"/>
      <c r="O243" s="2"/>
      <c r="P243" s="2"/>
      <c r="Q243" s="2"/>
    </row>
    <row r="244" ht="15.75" customHeight="1">
      <c r="B244" s="2"/>
      <c r="C244" s="2"/>
      <c r="D244" s="2"/>
      <c r="E244" s="464"/>
      <c r="F244" s="2"/>
      <c r="G244" s="2"/>
      <c r="H244" s="2"/>
      <c r="I244" s="2"/>
      <c r="J244" s="2"/>
      <c r="K244" s="2"/>
      <c r="L244" s="2"/>
      <c r="M244" s="2"/>
      <c r="N244" s="2"/>
      <c r="O244" s="2"/>
      <c r="P244" s="2"/>
      <c r="Q244" s="2"/>
    </row>
    <row r="245" ht="15.75" customHeight="1">
      <c r="B245" s="2"/>
      <c r="C245" s="2"/>
      <c r="D245" s="2"/>
      <c r="E245" s="464"/>
      <c r="F245" s="2"/>
      <c r="G245" s="2"/>
      <c r="H245" s="2"/>
      <c r="I245" s="2"/>
      <c r="J245" s="2"/>
      <c r="K245" s="2"/>
      <c r="L245" s="2"/>
      <c r="M245" s="2"/>
      <c r="N245" s="2"/>
      <c r="O245" s="2"/>
      <c r="P245" s="2"/>
      <c r="Q245" s="2"/>
    </row>
    <row r="246" ht="15.75" customHeight="1">
      <c r="B246" s="2"/>
      <c r="C246" s="2"/>
      <c r="D246" s="2"/>
      <c r="E246" s="464"/>
      <c r="F246" s="2"/>
      <c r="G246" s="2"/>
      <c r="H246" s="2"/>
      <c r="I246" s="2"/>
      <c r="J246" s="2"/>
      <c r="K246" s="2"/>
      <c r="L246" s="2"/>
      <c r="M246" s="2"/>
      <c r="N246" s="2"/>
      <c r="O246" s="2"/>
      <c r="P246" s="2"/>
      <c r="Q246" s="2"/>
    </row>
    <row r="247" ht="15.75" customHeight="1">
      <c r="B247" s="2"/>
      <c r="C247" s="2"/>
      <c r="D247" s="2"/>
      <c r="E247" s="464"/>
      <c r="F247" s="2"/>
      <c r="G247" s="2"/>
      <c r="H247" s="2"/>
      <c r="I247" s="2"/>
      <c r="J247" s="2"/>
      <c r="K247" s="2"/>
      <c r="L247" s="2"/>
      <c r="M247" s="2"/>
      <c r="N247" s="2"/>
      <c r="O247" s="2"/>
      <c r="P247" s="2"/>
      <c r="Q247" s="2"/>
    </row>
    <row r="248" ht="15.75" customHeight="1">
      <c r="B248" s="2"/>
      <c r="C248" s="2"/>
      <c r="D248" s="2"/>
      <c r="E248" s="464"/>
      <c r="F248" s="2"/>
      <c r="G248" s="2"/>
      <c r="H248" s="2"/>
      <c r="I248" s="2"/>
      <c r="J248" s="2"/>
      <c r="K248" s="2"/>
      <c r="L248" s="2"/>
      <c r="M248" s="2"/>
      <c r="N248" s="2"/>
      <c r="O248" s="2"/>
      <c r="P248" s="2"/>
      <c r="Q248" s="2"/>
    </row>
    <row r="249" ht="15.75" customHeight="1">
      <c r="B249" s="2"/>
      <c r="C249" s="2"/>
      <c r="D249" s="2"/>
      <c r="E249" s="464"/>
      <c r="F249" s="2"/>
      <c r="G249" s="2"/>
      <c r="H249" s="2"/>
      <c r="I249" s="2"/>
      <c r="J249" s="2"/>
      <c r="K249" s="2"/>
      <c r="L249" s="2"/>
      <c r="M249" s="2"/>
      <c r="N249" s="2"/>
      <c r="O249" s="2"/>
      <c r="P249" s="2"/>
      <c r="Q249" s="2"/>
    </row>
    <row r="250" ht="15.75" customHeight="1">
      <c r="B250" s="2"/>
      <c r="C250" s="2"/>
      <c r="D250" s="2"/>
      <c r="E250" s="464"/>
      <c r="F250" s="2"/>
      <c r="G250" s="2"/>
      <c r="H250" s="2"/>
      <c r="I250" s="2"/>
      <c r="J250" s="2"/>
      <c r="K250" s="2"/>
      <c r="L250" s="2"/>
      <c r="M250" s="2"/>
      <c r="N250" s="2"/>
      <c r="O250" s="2"/>
      <c r="P250" s="2"/>
      <c r="Q250" s="2"/>
    </row>
    <row r="251" ht="15.75" customHeight="1">
      <c r="B251" s="2"/>
      <c r="C251" s="2"/>
      <c r="D251" s="2"/>
      <c r="E251" s="464"/>
      <c r="F251" s="2"/>
      <c r="G251" s="2"/>
      <c r="H251" s="2"/>
      <c r="I251" s="2"/>
      <c r="J251" s="2"/>
      <c r="K251" s="2"/>
      <c r="L251" s="2"/>
      <c r="M251" s="2"/>
      <c r="N251" s="2"/>
      <c r="O251" s="2"/>
      <c r="P251" s="2"/>
      <c r="Q251" s="2"/>
    </row>
    <row r="252" ht="15.75" customHeight="1">
      <c r="B252" s="2"/>
      <c r="C252" s="2"/>
      <c r="D252" s="2"/>
      <c r="E252" s="464"/>
      <c r="F252" s="2"/>
      <c r="G252" s="2"/>
      <c r="H252" s="2"/>
      <c r="I252" s="2"/>
      <c r="J252" s="2"/>
      <c r="K252" s="2"/>
      <c r="L252" s="2"/>
      <c r="M252" s="2"/>
      <c r="N252" s="2"/>
      <c r="O252" s="2"/>
      <c r="P252" s="2"/>
      <c r="Q252" s="2"/>
    </row>
    <row r="253" ht="15.75" customHeight="1">
      <c r="B253" s="2"/>
      <c r="C253" s="2"/>
      <c r="D253" s="2"/>
      <c r="E253" s="464"/>
      <c r="F253" s="2"/>
      <c r="G253" s="2"/>
      <c r="H253" s="2"/>
      <c r="I253" s="2"/>
      <c r="J253" s="2"/>
      <c r="K253" s="2"/>
      <c r="L253" s="2"/>
      <c r="M253" s="2"/>
      <c r="N253" s="2"/>
      <c r="O253" s="2"/>
      <c r="P253" s="2"/>
      <c r="Q253" s="2"/>
    </row>
    <row r="254" ht="15.75" customHeight="1">
      <c r="B254" s="2"/>
      <c r="C254" s="2"/>
      <c r="D254" s="2"/>
      <c r="E254" s="464"/>
      <c r="F254" s="2"/>
      <c r="G254" s="2"/>
      <c r="H254" s="2"/>
      <c r="I254" s="2"/>
      <c r="J254" s="2"/>
      <c r="K254" s="2"/>
      <c r="L254" s="2"/>
      <c r="M254" s="2"/>
      <c r="N254" s="2"/>
      <c r="O254" s="2"/>
      <c r="P254" s="2"/>
      <c r="Q254" s="2"/>
    </row>
    <row r="255" ht="15.75" customHeight="1">
      <c r="B255" s="2"/>
      <c r="C255" s="2"/>
      <c r="D255" s="2"/>
      <c r="E255" s="464"/>
      <c r="F255" s="2"/>
      <c r="G255" s="2"/>
      <c r="H255" s="2"/>
      <c r="I255" s="2"/>
      <c r="J255" s="2"/>
      <c r="K255" s="2"/>
      <c r="L255" s="2"/>
      <c r="M255" s="2"/>
      <c r="N255" s="2"/>
      <c r="O255" s="2"/>
      <c r="P255" s="2"/>
      <c r="Q255" s="2"/>
    </row>
    <row r="256" ht="15.75" customHeight="1">
      <c r="B256" s="2"/>
      <c r="C256" s="2"/>
      <c r="D256" s="2"/>
      <c r="E256" s="464"/>
      <c r="F256" s="2"/>
      <c r="G256" s="2"/>
      <c r="H256" s="2"/>
      <c r="I256" s="2"/>
      <c r="J256" s="2"/>
      <c r="K256" s="2"/>
      <c r="L256" s="2"/>
      <c r="M256" s="2"/>
      <c r="N256" s="2"/>
      <c r="O256" s="2"/>
      <c r="P256" s="2"/>
      <c r="Q256" s="2"/>
    </row>
    <row r="257" ht="15.75" customHeight="1">
      <c r="B257" s="2"/>
      <c r="C257" s="2"/>
      <c r="D257" s="2"/>
      <c r="E257" s="464"/>
      <c r="F257" s="2"/>
      <c r="G257" s="2"/>
      <c r="H257" s="2"/>
      <c r="I257" s="2"/>
      <c r="J257" s="2"/>
      <c r="K257" s="2"/>
      <c r="L257" s="2"/>
      <c r="M257" s="2"/>
      <c r="N257" s="2"/>
      <c r="O257" s="2"/>
      <c r="P257" s="2"/>
      <c r="Q257" s="2"/>
    </row>
    <row r="258" ht="15.75" customHeight="1">
      <c r="B258" s="2"/>
      <c r="C258" s="2"/>
      <c r="D258" s="2"/>
      <c r="E258" s="464"/>
      <c r="F258" s="2"/>
      <c r="G258" s="2"/>
      <c r="H258" s="2"/>
      <c r="I258" s="2"/>
      <c r="J258" s="2"/>
      <c r="K258" s="2"/>
      <c r="L258" s="2"/>
      <c r="M258" s="2"/>
      <c r="N258" s="2"/>
      <c r="O258" s="2"/>
      <c r="P258" s="2"/>
      <c r="Q258" s="2"/>
    </row>
    <row r="259" ht="15.75" customHeight="1">
      <c r="B259" s="2"/>
      <c r="C259" s="2"/>
      <c r="D259" s="2"/>
      <c r="E259" s="464"/>
      <c r="F259" s="2"/>
      <c r="G259" s="2"/>
      <c r="H259" s="2"/>
      <c r="I259" s="2"/>
      <c r="J259" s="2"/>
      <c r="K259" s="2"/>
      <c r="L259" s="2"/>
      <c r="M259" s="2"/>
      <c r="N259" s="2"/>
      <c r="O259" s="2"/>
      <c r="P259" s="2"/>
      <c r="Q259" s="2"/>
    </row>
    <row r="260" ht="15.75" customHeight="1">
      <c r="B260" s="2"/>
      <c r="C260" s="2"/>
      <c r="D260" s="2"/>
      <c r="E260" s="464"/>
      <c r="F260" s="2"/>
      <c r="G260" s="2"/>
      <c r="H260" s="2"/>
      <c r="I260" s="2"/>
      <c r="J260" s="2"/>
      <c r="K260" s="2"/>
      <c r="L260" s="2"/>
      <c r="M260" s="2"/>
      <c r="N260" s="2"/>
      <c r="O260" s="2"/>
      <c r="P260" s="2"/>
      <c r="Q260" s="2"/>
    </row>
    <row r="261" ht="15.75" customHeight="1">
      <c r="B261" s="2"/>
      <c r="C261" s="2"/>
      <c r="D261" s="2"/>
      <c r="E261" s="464"/>
      <c r="F261" s="2"/>
      <c r="G261" s="2"/>
      <c r="H261" s="2"/>
      <c r="I261" s="2"/>
      <c r="J261" s="2"/>
      <c r="K261" s="2"/>
      <c r="L261" s="2"/>
      <c r="M261" s="2"/>
      <c r="N261" s="2"/>
      <c r="O261" s="2"/>
      <c r="P261" s="2"/>
      <c r="Q261" s="2"/>
    </row>
    <row r="262" ht="15.75" customHeight="1">
      <c r="B262" s="2"/>
      <c r="C262" s="2"/>
      <c r="D262" s="2"/>
      <c r="E262" s="464"/>
      <c r="F262" s="2"/>
      <c r="G262" s="2"/>
      <c r="H262" s="2"/>
      <c r="I262" s="2"/>
      <c r="J262" s="2"/>
      <c r="K262" s="2"/>
      <c r="L262" s="2"/>
      <c r="M262" s="2"/>
      <c r="N262" s="2"/>
      <c r="O262" s="2"/>
      <c r="P262" s="2"/>
      <c r="Q262" s="2"/>
    </row>
    <row r="263" ht="15.75" customHeight="1">
      <c r="B263" s="2"/>
      <c r="C263" s="2"/>
      <c r="D263" s="2"/>
      <c r="E263" s="464"/>
      <c r="F263" s="2"/>
      <c r="G263" s="2"/>
      <c r="H263" s="2"/>
      <c r="I263" s="2"/>
      <c r="J263" s="2"/>
      <c r="K263" s="2"/>
      <c r="L263" s="2"/>
      <c r="M263" s="2"/>
      <c r="N263" s="2"/>
      <c r="O263" s="2"/>
      <c r="P263" s="2"/>
      <c r="Q263" s="2"/>
    </row>
    <row r="264" ht="15.75" customHeight="1">
      <c r="B264" s="2"/>
      <c r="C264" s="2"/>
      <c r="D264" s="2"/>
      <c r="E264" s="464"/>
      <c r="F264" s="2"/>
      <c r="G264" s="2"/>
      <c r="H264" s="2"/>
      <c r="I264" s="2"/>
      <c r="J264" s="2"/>
      <c r="K264" s="2"/>
      <c r="L264" s="2"/>
      <c r="M264" s="2"/>
      <c r="N264" s="2"/>
      <c r="O264" s="2"/>
      <c r="P264" s="2"/>
      <c r="Q264" s="2"/>
    </row>
    <row r="265" ht="15.75" customHeight="1">
      <c r="B265" s="2"/>
      <c r="C265" s="2"/>
      <c r="D265" s="2"/>
      <c r="E265" s="464"/>
      <c r="F265" s="2"/>
      <c r="G265" s="2"/>
      <c r="H265" s="2"/>
      <c r="I265" s="2"/>
      <c r="J265" s="2"/>
      <c r="K265" s="2"/>
      <c r="L265" s="2"/>
      <c r="M265" s="2"/>
      <c r="N265" s="2"/>
      <c r="O265" s="2"/>
      <c r="P265" s="2"/>
      <c r="Q265" s="2"/>
    </row>
    <row r="266" ht="15.75" customHeight="1">
      <c r="B266" s="2"/>
      <c r="C266" s="2"/>
      <c r="D266" s="2"/>
      <c r="E266" s="464"/>
      <c r="F266" s="2"/>
      <c r="G266" s="2"/>
      <c r="H266" s="2"/>
      <c r="I266" s="2"/>
      <c r="J266" s="2"/>
      <c r="K266" s="2"/>
      <c r="L266" s="2"/>
      <c r="M266" s="2"/>
      <c r="N266" s="2"/>
      <c r="O266" s="2"/>
      <c r="P266" s="2"/>
      <c r="Q266" s="2"/>
    </row>
    <row r="267" ht="15.75" customHeight="1">
      <c r="B267" s="2"/>
      <c r="C267" s="2"/>
      <c r="D267" s="2"/>
      <c r="E267" s="464"/>
      <c r="F267" s="2"/>
      <c r="G267" s="2"/>
      <c r="H267" s="2"/>
      <c r="I267" s="2"/>
      <c r="J267" s="2"/>
      <c r="K267" s="2"/>
      <c r="L267" s="2"/>
      <c r="M267" s="2"/>
      <c r="N267" s="2"/>
      <c r="O267" s="2"/>
      <c r="P267" s="2"/>
      <c r="Q267" s="2"/>
    </row>
    <row r="268" ht="15.75" customHeight="1">
      <c r="B268" s="2"/>
      <c r="C268" s="2"/>
      <c r="D268" s="2"/>
      <c r="E268" s="464"/>
      <c r="F268" s="2"/>
      <c r="G268" s="2"/>
      <c r="H268" s="2"/>
      <c r="I268" s="2"/>
      <c r="J268" s="2"/>
      <c r="K268" s="2"/>
      <c r="L268" s="2"/>
      <c r="M268" s="2"/>
      <c r="N268" s="2"/>
      <c r="O268" s="2"/>
      <c r="P268" s="2"/>
      <c r="Q268" s="2"/>
    </row>
    <row r="269" ht="15.75" customHeight="1">
      <c r="B269" s="2"/>
      <c r="C269" s="2"/>
      <c r="D269" s="2"/>
      <c r="E269" s="464"/>
      <c r="F269" s="2"/>
      <c r="G269" s="2"/>
      <c r="H269" s="2"/>
      <c r="I269" s="2"/>
      <c r="J269" s="2"/>
      <c r="K269" s="2"/>
      <c r="L269" s="2"/>
      <c r="M269" s="2"/>
      <c r="N269" s="2"/>
      <c r="O269" s="2"/>
      <c r="P269" s="2"/>
      <c r="Q269" s="2"/>
    </row>
    <row r="270" ht="15.75" customHeight="1">
      <c r="B270" s="2"/>
      <c r="C270" s="2"/>
      <c r="D270" s="2"/>
      <c r="E270" s="464"/>
      <c r="F270" s="2"/>
      <c r="G270" s="2"/>
      <c r="H270" s="2"/>
      <c r="I270" s="2"/>
      <c r="J270" s="2"/>
      <c r="K270" s="2"/>
      <c r="L270" s="2"/>
      <c r="M270" s="2"/>
      <c r="N270" s="2"/>
      <c r="O270" s="2"/>
      <c r="P270" s="2"/>
      <c r="Q270" s="2"/>
    </row>
    <row r="271" ht="15.75" customHeight="1">
      <c r="B271" s="2"/>
      <c r="C271" s="2"/>
      <c r="D271" s="2"/>
      <c r="E271" s="464"/>
      <c r="F271" s="2"/>
      <c r="G271" s="2"/>
      <c r="H271" s="2"/>
      <c r="I271" s="2"/>
      <c r="J271" s="2"/>
      <c r="K271" s="2"/>
      <c r="L271" s="2"/>
      <c r="M271" s="2"/>
      <c r="N271" s="2"/>
      <c r="O271" s="2"/>
      <c r="P271" s="2"/>
      <c r="Q271" s="2"/>
    </row>
    <row r="272" ht="15.75" customHeight="1">
      <c r="B272" s="2"/>
      <c r="C272" s="2"/>
      <c r="D272" s="2"/>
      <c r="E272" s="464"/>
      <c r="F272" s="2"/>
      <c r="G272" s="2"/>
      <c r="H272" s="2"/>
      <c r="I272" s="2"/>
      <c r="J272" s="2"/>
      <c r="K272" s="2"/>
      <c r="L272" s="2"/>
      <c r="M272" s="2"/>
      <c r="N272" s="2"/>
      <c r="O272" s="2"/>
      <c r="P272" s="2"/>
      <c r="Q272" s="2"/>
    </row>
    <row r="273" ht="15.75" customHeight="1">
      <c r="B273" s="2"/>
      <c r="C273" s="2"/>
      <c r="D273" s="2"/>
      <c r="E273" s="464"/>
      <c r="F273" s="2"/>
      <c r="G273" s="2"/>
      <c r="H273" s="2"/>
      <c r="I273" s="2"/>
      <c r="J273" s="2"/>
      <c r="K273" s="2"/>
      <c r="L273" s="2"/>
      <c r="M273" s="2"/>
      <c r="N273" s="2"/>
      <c r="O273" s="2"/>
      <c r="P273" s="2"/>
      <c r="Q273" s="2"/>
    </row>
    <row r="274" ht="15.75" customHeight="1">
      <c r="B274" s="2"/>
      <c r="C274" s="2"/>
      <c r="D274" s="2"/>
      <c r="E274" s="464"/>
      <c r="F274" s="2"/>
      <c r="G274" s="2"/>
      <c r="H274" s="2"/>
      <c r="I274" s="2"/>
      <c r="J274" s="2"/>
      <c r="K274" s="2"/>
      <c r="L274" s="2"/>
      <c r="M274" s="2"/>
      <c r="N274" s="2"/>
      <c r="O274" s="2"/>
      <c r="P274" s="2"/>
      <c r="Q274" s="2"/>
    </row>
    <row r="275" ht="15.75" customHeight="1">
      <c r="B275" s="2"/>
      <c r="C275" s="2"/>
      <c r="D275" s="2"/>
      <c r="E275" s="464"/>
      <c r="F275" s="2"/>
      <c r="G275" s="2"/>
      <c r="H275" s="2"/>
      <c r="I275" s="2"/>
      <c r="J275" s="2"/>
      <c r="K275" s="2"/>
      <c r="L275" s="2"/>
      <c r="M275" s="2"/>
      <c r="N275" s="2"/>
      <c r="O275" s="2"/>
      <c r="P275" s="2"/>
      <c r="Q275" s="2"/>
    </row>
    <row r="276" ht="15.75" customHeight="1">
      <c r="B276" s="2"/>
      <c r="C276" s="2"/>
      <c r="D276" s="2"/>
      <c r="E276" s="464"/>
      <c r="F276" s="2"/>
      <c r="G276" s="2"/>
      <c r="H276" s="2"/>
      <c r="I276" s="2"/>
      <c r="J276" s="2"/>
      <c r="K276" s="2"/>
      <c r="L276" s="2"/>
      <c r="M276" s="2"/>
      <c r="N276" s="2"/>
      <c r="O276" s="2"/>
      <c r="P276" s="2"/>
      <c r="Q276" s="2"/>
    </row>
    <row r="277" ht="15.75" customHeight="1">
      <c r="B277" s="2"/>
      <c r="C277" s="2"/>
      <c r="D277" s="2"/>
      <c r="E277" s="464"/>
      <c r="F277" s="2"/>
      <c r="G277" s="2"/>
      <c r="H277" s="2"/>
      <c r="I277" s="2"/>
      <c r="J277" s="2"/>
      <c r="K277" s="2"/>
      <c r="L277" s="2"/>
      <c r="M277" s="2"/>
      <c r="N277" s="2"/>
      <c r="O277" s="2"/>
      <c r="P277" s="2"/>
      <c r="Q277" s="2"/>
    </row>
    <row r="278" ht="15.75" customHeight="1">
      <c r="B278" s="2"/>
      <c r="C278" s="2"/>
      <c r="D278" s="2"/>
      <c r="E278" s="464"/>
      <c r="F278" s="2"/>
      <c r="G278" s="2"/>
      <c r="H278" s="2"/>
      <c r="I278" s="2"/>
      <c r="J278" s="2"/>
      <c r="K278" s="2"/>
      <c r="L278" s="2"/>
      <c r="M278" s="2"/>
      <c r="N278" s="2"/>
      <c r="O278" s="2"/>
      <c r="P278" s="2"/>
      <c r="Q278" s="2"/>
    </row>
    <row r="279" ht="15.75" customHeight="1">
      <c r="B279" s="2"/>
      <c r="C279" s="2"/>
      <c r="D279" s="2"/>
      <c r="E279" s="464"/>
      <c r="F279" s="2"/>
      <c r="G279" s="2"/>
      <c r="H279" s="2"/>
      <c r="I279" s="2"/>
      <c r="J279" s="2"/>
      <c r="K279" s="2"/>
      <c r="L279" s="2"/>
      <c r="M279" s="2"/>
      <c r="N279" s="2"/>
      <c r="O279" s="2"/>
      <c r="P279" s="2"/>
      <c r="Q279" s="2"/>
    </row>
    <row r="280" ht="15.75" customHeight="1">
      <c r="B280" s="2"/>
      <c r="C280" s="2"/>
      <c r="D280" s="2"/>
      <c r="E280" s="464"/>
      <c r="F280" s="2"/>
      <c r="G280" s="2"/>
      <c r="H280" s="2"/>
      <c r="I280" s="2"/>
      <c r="J280" s="2"/>
      <c r="K280" s="2"/>
      <c r="L280" s="2"/>
      <c r="M280" s="2"/>
      <c r="N280" s="2"/>
      <c r="O280" s="2"/>
      <c r="P280" s="2"/>
      <c r="Q280" s="2"/>
    </row>
    <row r="281" ht="15.75" customHeight="1">
      <c r="B281" s="2"/>
      <c r="C281" s="2"/>
      <c r="D281" s="2"/>
      <c r="E281" s="464"/>
      <c r="F281" s="2"/>
      <c r="G281" s="2"/>
      <c r="H281" s="2"/>
      <c r="I281" s="2"/>
      <c r="J281" s="2"/>
      <c r="K281" s="2"/>
      <c r="L281" s="2"/>
      <c r="M281" s="2"/>
      <c r="N281" s="2"/>
      <c r="O281" s="2"/>
      <c r="P281" s="2"/>
      <c r="Q281" s="2"/>
    </row>
    <row r="282" ht="15.75" customHeight="1">
      <c r="B282" s="2"/>
      <c r="C282" s="2"/>
      <c r="D282" s="2"/>
      <c r="E282" s="464"/>
      <c r="F282" s="2"/>
      <c r="G282" s="2"/>
      <c r="H282" s="2"/>
      <c r="I282" s="2"/>
      <c r="J282" s="2"/>
      <c r="K282" s="2"/>
      <c r="L282" s="2"/>
      <c r="M282" s="2"/>
      <c r="N282" s="2"/>
      <c r="O282" s="2"/>
      <c r="P282" s="2"/>
      <c r="Q282" s="2"/>
    </row>
    <row r="283" ht="15.75" customHeight="1">
      <c r="B283" s="2"/>
      <c r="C283" s="2"/>
      <c r="D283" s="2"/>
      <c r="E283" s="464"/>
      <c r="F283" s="2"/>
      <c r="G283" s="2"/>
      <c r="H283" s="2"/>
      <c r="I283" s="2"/>
      <c r="J283" s="2"/>
      <c r="K283" s="2"/>
      <c r="L283" s="2"/>
      <c r="M283" s="2"/>
      <c r="N283" s="2"/>
      <c r="O283" s="2"/>
      <c r="P283" s="2"/>
      <c r="Q283" s="2"/>
    </row>
    <row r="284" ht="15.75" customHeight="1">
      <c r="B284" s="2"/>
      <c r="C284" s="2"/>
      <c r="D284" s="2"/>
      <c r="E284" s="464"/>
      <c r="F284" s="2"/>
      <c r="G284" s="2"/>
      <c r="H284" s="2"/>
      <c r="I284" s="2"/>
      <c r="J284" s="2"/>
      <c r="K284" s="2"/>
      <c r="L284" s="2"/>
      <c r="M284" s="2"/>
      <c r="N284" s="2"/>
      <c r="O284" s="2"/>
      <c r="P284" s="2"/>
      <c r="Q284" s="2"/>
    </row>
    <row r="285" ht="15.75" customHeight="1">
      <c r="B285" s="2"/>
      <c r="C285" s="2"/>
      <c r="D285" s="2"/>
      <c r="E285" s="464"/>
      <c r="F285" s="2"/>
      <c r="G285" s="2"/>
      <c r="H285" s="2"/>
      <c r="I285" s="2"/>
      <c r="J285" s="2"/>
      <c r="K285" s="2"/>
      <c r="L285" s="2"/>
      <c r="M285" s="2"/>
      <c r="N285" s="2"/>
      <c r="O285" s="2"/>
      <c r="P285" s="2"/>
      <c r="Q285" s="2"/>
    </row>
    <row r="286" ht="15.75" customHeight="1">
      <c r="B286" s="2"/>
      <c r="C286" s="2"/>
      <c r="D286" s="2"/>
      <c r="E286" s="464"/>
      <c r="F286" s="2"/>
      <c r="G286" s="2"/>
      <c r="H286" s="2"/>
      <c r="I286" s="2"/>
      <c r="J286" s="2"/>
      <c r="K286" s="2"/>
      <c r="L286" s="2"/>
      <c r="M286" s="2"/>
      <c r="N286" s="2"/>
      <c r="O286" s="2"/>
      <c r="P286" s="2"/>
      <c r="Q286" s="2"/>
    </row>
    <row r="287" ht="15.75" customHeight="1">
      <c r="B287" s="2"/>
      <c r="C287" s="2"/>
      <c r="D287" s="2"/>
      <c r="E287" s="464"/>
      <c r="F287" s="2"/>
      <c r="G287" s="2"/>
      <c r="H287" s="2"/>
      <c r="I287" s="2"/>
      <c r="J287" s="2"/>
      <c r="K287" s="2"/>
      <c r="L287" s="2"/>
      <c r="M287" s="2"/>
      <c r="N287" s="2"/>
      <c r="O287" s="2"/>
      <c r="P287" s="2"/>
      <c r="Q287" s="2"/>
    </row>
    <row r="288" ht="15.75" customHeight="1">
      <c r="B288" s="2"/>
      <c r="C288" s="2"/>
      <c r="D288" s="2"/>
      <c r="E288" s="464"/>
      <c r="F288" s="2"/>
      <c r="G288" s="2"/>
      <c r="H288" s="2"/>
      <c r="I288" s="2"/>
      <c r="J288" s="2"/>
      <c r="K288" s="2"/>
      <c r="L288" s="2"/>
      <c r="M288" s="2"/>
      <c r="N288" s="2"/>
      <c r="O288" s="2"/>
      <c r="P288" s="2"/>
      <c r="Q288" s="2"/>
    </row>
    <row r="289" ht="15.75" customHeight="1">
      <c r="B289" s="2"/>
      <c r="C289" s="2"/>
      <c r="D289" s="2"/>
      <c r="E289" s="464"/>
      <c r="F289" s="2"/>
      <c r="G289" s="2"/>
      <c r="H289" s="2"/>
      <c r="I289" s="2"/>
      <c r="J289" s="2"/>
      <c r="K289" s="2"/>
      <c r="L289" s="2"/>
      <c r="M289" s="2"/>
      <c r="N289" s="2"/>
      <c r="O289" s="2"/>
      <c r="P289" s="2"/>
      <c r="Q289" s="2"/>
    </row>
    <row r="290" ht="15.75" customHeight="1">
      <c r="B290" s="2"/>
      <c r="C290" s="2"/>
      <c r="D290" s="2"/>
      <c r="E290" s="464"/>
      <c r="F290" s="2"/>
      <c r="G290" s="2"/>
      <c r="H290" s="2"/>
      <c r="I290" s="2"/>
      <c r="J290" s="2"/>
      <c r="K290" s="2"/>
      <c r="L290" s="2"/>
      <c r="M290" s="2"/>
      <c r="N290" s="2"/>
      <c r="O290" s="2"/>
      <c r="P290" s="2"/>
      <c r="Q290" s="2"/>
    </row>
    <row r="291" ht="15.75" customHeight="1">
      <c r="B291" s="2"/>
      <c r="C291" s="2"/>
      <c r="D291" s="2"/>
      <c r="E291" s="464"/>
      <c r="F291" s="2"/>
      <c r="G291" s="2"/>
      <c r="H291" s="2"/>
      <c r="I291" s="2"/>
      <c r="J291" s="2"/>
      <c r="K291" s="2"/>
      <c r="L291" s="2"/>
      <c r="M291" s="2"/>
      <c r="N291" s="2"/>
      <c r="O291" s="2"/>
      <c r="P291" s="2"/>
      <c r="Q291" s="2"/>
    </row>
    <row r="292" ht="15.75" customHeight="1">
      <c r="B292" s="2"/>
      <c r="C292" s="2"/>
      <c r="D292" s="2"/>
      <c r="E292" s="464"/>
      <c r="F292" s="2"/>
      <c r="G292" s="2"/>
      <c r="H292" s="2"/>
      <c r="I292" s="2"/>
      <c r="J292" s="2"/>
      <c r="K292" s="2"/>
      <c r="L292" s="2"/>
      <c r="M292" s="2"/>
      <c r="N292" s="2"/>
      <c r="O292" s="2"/>
      <c r="P292" s="2"/>
      <c r="Q292" s="2"/>
    </row>
    <row r="293" ht="15.75" customHeight="1">
      <c r="B293" s="2"/>
      <c r="C293" s="2"/>
      <c r="D293" s="2"/>
      <c r="E293" s="464"/>
      <c r="F293" s="2"/>
      <c r="G293" s="2"/>
      <c r="H293" s="2"/>
      <c r="I293" s="2"/>
      <c r="J293" s="2"/>
      <c r="K293" s="2"/>
      <c r="L293" s="2"/>
      <c r="M293" s="2"/>
      <c r="N293" s="2"/>
      <c r="O293" s="2"/>
      <c r="P293" s="2"/>
      <c r="Q293" s="2"/>
    </row>
    <row r="294" ht="15.75" customHeight="1">
      <c r="B294" s="2"/>
      <c r="C294" s="2"/>
      <c r="D294" s="2"/>
      <c r="E294" s="464"/>
      <c r="F294" s="2"/>
      <c r="G294" s="2"/>
      <c r="H294" s="2"/>
      <c r="I294" s="2"/>
      <c r="J294" s="2"/>
      <c r="K294" s="2"/>
      <c r="L294" s="2"/>
      <c r="M294" s="2"/>
      <c r="N294" s="2"/>
      <c r="O294" s="2"/>
      <c r="P294" s="2"/>
      <c r="Q294" s="2"/>
    </row>
    <row r="295" ht="15.75" customHeight="1">
      <c r="B295" s="2"/>
      <c r="C295" s="2"/>
      <c r="D295" s="2"/>
      <c r="E295" s="464"/>
      <c r="F295" s="2"/>
      <c r="G295" s="2"/>
      <c r="H295" s="2"/>
      <c r="I295" s="2"/>
      <c r="J295" s="2"/>
      <c r="K295" s="2"/>
      <c r="L295" s="2"/>
      <c r="M295" s="2"/>
      <c r="N295" s="2"/>
      <c r="O295" s="2"/>
      <c r="P295" s="2"/>
      <c r="Q295" s="2"/>
    </row>
    <row r="296" ht="15.75" customHeight="1">
      <c r="B296" s="2"/>
      <c r="C296" s="2"/>
      <c r="D296" s="2"/>
      <c r="E296" s="464"/>
      <c r="F296" s="2"/>
      <c r="G296" s="2"/>
      <c r="H296" s="2"/>
      <c r="I296" s="2"/>
      <c r="J296" s="2"/>
      <c r="K296" s="2"/>
      <c r="L296" s="2"/>
      <c r="M296" s="2"/>
      <c r="N296" s="2"/>
      <c r="O296" s="2"/>
      <c r="P296" s="2"/>
      <c r="Q296" s="2"/>
    </row>
    <row r="297" ht="15.75" customHeight="1">
      <c r="B297" s="2"/>
      <c r="C297" s="2"/>
      <c r="D297" s="2"/>
      <c r="E297" s="464"/>
      <c r="F297" s="2"/>
      <c r="G297" s="2"/>
      <c r="H297" s="2"/>
      <c r="I297" s="2"/>
      <c r="J297" s="2"/>
      <c r="K297" s="2"/>
      <c r="L297" s="2"/>
      <c r="M297" s="2"/>
      <c r="N297" s="2"/>
      <c r="O297" s="2"/>
      <c r="P297" s="2"/>
      <c r="Q297" s="2"/>
    </row>
    <row r="298" ht="15.75" customHeight="1">
      <c r="B298" s="2"/>
      <c r="C298" s="2"/>
      <c r="D298" s="2"/>
      <c r="E298" s="464"/>
      <c r="F298" s="2"/>
      <c r="G298" s="2"/>
      <c r="H298" s="2"/>
      <c r="I298" s="2"/>
      <c r="J298" s="2"/>
      <c r="K298" s="2"/>
      <c r="L298" s="2"/>
      <c r="M298" s="2"/>
      <c r="N298" s="2"/>
      <c r="O298" s="2"/>
      <c r="P298" s="2"/>
      <c r="Q298" s="2"/>
    </row>
    <row r="299" ht="15.75" customHeight="1">
      <c r="B299" s="2"/>
      <c r="C299" s="2"/>
      <c r="D299" s="2"/>
      <c r="E299" s="464"/>
      <c r="F299" s="2"/>
      <c r="G299" s="2"/>
      <c r="H299" s="2"/>
      <c r="I299" s="2"/>
      <c r="J299" s="2"/>
      <c r="K299" s="2"/>
      <c r="L299" s="2"/>
      <c r="M299" s="2"/>
      <c r="N299" s="2"/>
      <c r="O299" s="2"/>
      <c r="P299" s="2"/>
      <c r="Q299" s="2"/>
    </row>
    <row r="300" ht="15.75" customHeight="1">
      <c r="B300" s="2"/>
      <c r="C300" s="2"/>
      <c r="D300" s="2"/>
      <c r="E300" s="464"/>
      <c r="F300" s="2"/>
      <c r="G300" s="2"/>
      <c r="H300" s="2"/>
      <c r="I300" s="2"/>
      <c r="J300" s="2"/>
      <c r="K300" s="2"/>
      <c r="L300" s="2"/>
      <c r="M300" s="2"/>
      <c r="N300" s="2"/>
      <c r="O300" s="2"/>
      <c r="P300" s="2"/>
      <c r="Q300" s="2"/>
    </row>
    <row r="301" ht="15.75" customHeight="1">
      <c r="B301" s="2"/>
      <c r="C301" s="2"/>
      <c r="D301" s="2"/>
      <c r="E301" s="464"/>
      <c r="F301" s="2"/>
      <c r="G301" s="2"/>
      <c r="H301" s="2"/>
      <c r="I301" s="2"/>
      <c r="J301" s="2"/>
      <c r="K301" s="2"/>
      <c r="L301" s="2"/>
      <c r="M301" s="2"/>
      <c r="N301" s="2"/>
      <c r="O301" s="2"/>
      <c r="P301" s="2"/>
      <c r="Q301" s="2"/>
    </row>
    <row r="302" ht="15.75" customHeight="1">
      <c r="B302" s="2"/>
      <c r="C302" s="2"/>
      <c r="D302" s="2"/>
      <c r="E302" s="464"/>
      <c r="F302" s="2"/>
      <c r="G302" s="2"/>
      <c r="H302" s="2"/>
      <c r="I302" s="2"/>
      <c r="J302" s="2"/>
      <c r="K302" s="2"/>
      <c r="L302" s="2"/>
      <c r="M302" s="2"/>
      <c r="N302" s="2"/>
      <c r="O302" s="2"/>
      <c r="P302" s="2"/>
      <c r="Q302" s="2"/>
    </row>
    <row r="303" ht="15.75" customHeight="1">
      <c r="B303" s="2"/>
      <c r="C303" s="2"/>
      <c r="D303" s="2"/>
      <c r="E303" s="464"/>
      <c r="F303" s="2"/>
      <c r="G303" s="2"/>
      <c r="H303" s="2"/>
      <c r="I303" s="2"/>
      <c r="J303" s="2"/>
      <c r="K303" s="2"/>
      <c r="L303" s="2"/>
      <c r="M303" s="2"/>
      <c r="N303" s="2"/>
      <c r="O303" s="2"/>
      <c r="P303" s="2"/>
      <c r="Q303" s="2"/>
    </row>
    <row r="304" ht="15.75" customHeight="1">
      <c r="B304" s="2"/>
      <c r="C304" s="2"/>
      <c r="D304" s="2"/>
      <c r="E304" s="464"/>
      <c r="F304" s="2"/>
      <c r="G304" s="2"/>
      <c r="H304" s="2"/>
      <c r="I304" s="2"/>
      <c r="J304" s="2"/>
      <c r="K304" s="2"/>
      <c r="L304" s="2"/>
      <c r="M304" s="2"/>
      <c r="N304" s="2"/>
      <c r="O304" s="2"/>
      <c r="P304" s="2"/>
      <c r="Q304" s="2"/>
    </row>
    <row r="305" ht="15.75" customHeight="1">
      <c r="B305" s="2"/>
      <c r="C305" s="2"/>
      <c r="D305" s="2"/>
      <c r="E305" s="464"/>
      <c r="F305" s="2"/>
      <c r="G305" s="2"/>
      <c r="H305" s="2"/>
      <c r="I305" s="2"/>
      <c r="J305" s="2"/>
      <c r="K305" s="2"/>
      <c r="L305" s="2"/>
      <c r="M305" s="2"/>
      <c r="N305" s="2"/>
      <c r="O305" s="2"/>
      <c r="P305" s="2"/>
      <c r="Q305" s="2"/>
    </row>
    <row r="306" ht="15.75" customHeight="1">
      <c r="B306" s="2"/>
      <c r="C306" s="2"/>
      <c r="D306" s="2"/>
      <c r="E306" s="464"/>
      <c r="F306" s="2"/>
      <c r="G306" s="2"/>
      <c r="H306" s="2"/>
      <c r="I306" s="2"/>
      <c r="J306" s="2"/>
      <c r="K306" s="2"/>
      <c r="L306" s="2"/>
      <c r="M306" s="2"/>
      <c r="N306" s="2"/>
      <c r="O306" s="2"/>
      <c r="P306" s="2"/>
      <c r="Q306" s="2"/>
    </row>
    <row r="307" ht="15.75" customHeight="1">
      <c r="B307" s="2"/>
      <c r="C307" s="2"/>
      <c r="D307" s="2"/>
      <c r="E307" s="464"/>
      <c r="F307" s="2"/>
      <c r="G307" s="2"/>
      <c r="H307" s="2"/>
      <c r="I307" s="2"/>
      <c r="J307" s="2"/>
      <c r="K307" s="2"/>
      <c r="L307" s="2"/>
      <c r="M307" s="2"/>
      <c r="N307" s="2"/>
      <c r="O307" s="2"/>
      <c r="P307" s="2"/>
      <c r="Q307" s="2"/>
    </row>
    <row r="308" ht="15.75" customHeight="1">
      <c r="B308" s="2"/>
      <c r="C308" s="2"/>
      <c r="D308" s="2"/>
      <c r="E308" s="464"/>
      <c r="F308" s="2"/>
      <c r="G308" s="2"/>
      <c r="H308" s="2"/>
      <c r="I308" s="2"/>
      <c r="J308" s="2"/>
      <c r="K308" s="2"/>
      <c r="L308" s="2"/>
      <c r="M308" s="2"/>
      <c r="N308" s="2"/>
      <c r="O308" s="2"/>
      <c r="P308" s="2"/>
      <c r="Q308" s="2"/>
    </row>
    <row r="309" ht="15.75" customHeight="1">
      <c r="B309" s="2"/>
      <c r="C309" s="2"/>
      <c r="D309" s="2"/>
      <c r="E309" s="464"/>
      <c r="F309" s="2"/>
      <c r="G309" s="2"/>
      <c r="H309" s="2"/>
      <c r="I309" s="2"/>
      <c r="J309" s="2"/>
      <c r="K309" s="2"/>
      <c r="L309" s="2"/>
      <c r="M309" s="2"/>
      <c r="N309" s="2"/>
      <c r="O309" s="2"/>
      <c r="P309" s="2"/>
      <c r="Q309" s="2"/>
    </row>
    <row r="310" ht="15.75" customHeight="1">
      <c r="B310" s="2"/>
      <c r="C310" s="2"/>
      <c r="D310" s="2"/>
      <c r="E310" s="464"/>
      <c r="F310" s="2"/>
      <c r="G310" s="2"/>
      <c r="H310" s="2"/>
      <c r="I310" s="2"/>
      <c r="J310" s="2"/>
      <c r="K310" s="2"/>
      <c r="L310" s="2"/>
      <c r="M310" s="2"/>
      <c r="N310" s="2"/>
      <c r="O310" s="2"/>
      <c r="P310" s="2"/>
      <c r="Q310" s="2"/>
    </row>
    <row r="311" ht="15.75" customHeight="1">
      <c r="B311" s="2"/>
      <c r="C311" s="2"/>
      <c r="D311" s="2"/>
      <c r="E311" s="464"/>
      <c r="F311" s="2"/>
      <c r="G311" s="2"/>
      <c r="H311" s="2"/>
      <c r="I311" s="2"/>
      <c r="J311" s="2"/>
      <c r="K311" s="2"/>
      <c r="L311" s="2"/>
      <c r="M311" s="2"/>
      <c r="N311" s="2"/>
      <c r="O311" s="2"/>
      <c r="P311" s="2"/>
      <c r="Q311" s="2"/>
    </row>
    <row r="312" ht="15.75" customHeight="1">
      <c r="B312" s="2"/>
      <c r="C312" s="2"/>
      <c r="D312" s="2"/>
      <c r="E312" s="464"/>
      <c r="F312" s="2"/>
      <c r="G312" s="2"/>
      <c r="H312" s="2"/>
      <c r="I312" s="2"/>
      <c r="J312" s="2"/>
      <c r="K312" s="2"/>
      <c r="L312" s="2"/>
      <c r="M312" s="2"/>
      <c r="N312" s="2"/>
      <c r="O312" s="2"/>
      <c r="P312" s="2"/>
      <c r="Q312" s="2"/>
    </row>
    <row r="313" ht="15.75" customHeight="1">
      <c r="B313" s="2"/>
      <c r="C313" s="2"/>
      <c r="D313" s="2"/>
      <c r="E313" s="464"/>
      <c r="F313" s="2"/>
      <c r="G313" s="2"/>
      <c r="H313" s="2"/>
      <c r="I313" s="2"/>
      <c r="J313" s="2"/>
      <c r="K313" s="2"/>
      <c r="L313" s="2"/>
      <c r="M313" s="2"/>
      <c r="N313" s="2"/>
      <c r="O313" s="2"/>
      <c r="P313" s="2"/>
      <c r="Q313" s="2"/>
    </row>
    <row r="314" ht="15.75" customHeight="1">
      <c r="B314" s="2"/>
      <c r="C314" s="2"/>
      <c r="D314" s="2"/>
      <c r="E314" s="464"/>
      <c r="F314" s="2"/>
      <c r="G314" s="2"/>
      <c r="H314" s="2"/>
      <c r="I314" s="2"/>
      <c r="J314" s="2"/>
      <c r="K314" s="2"/>
      <c r="L314" s="2"/>
      <c r="M314" s="2"/>
      <c r="N314" s="2"/>
      <c r="O314" s="2"/>
      <c r="P314" s="2"/>
      <c r="Q314" s="2"/>
    </row>
    <row r="315" ht="15.75" customHeight="1">
      <c r="B315" s="2"/>
      <c r="C315" s="2"/>
      <c r="D315" s="2"/>
      <c r="E315" s="464"/>
      <c r="F315" s="2"/>
      <c r="G315" s="2"/>
      <c r="H315" s="2"/>
      <c r="I315" s="2"/>
      <c r="J315" s="2"/>
      <c r="K315" s="2"/>
      <c r="L315" s="2"/>
      <c r="M315" s="2"/>
      <c r="N315" s="2"/>
      <c r="O315" s="2"/>
      <c r="P315" s="2"/>
      <c r="Q315" s="2"/>
    </row>
    <row r="316" ht="15.75" customHeight="1">
      <c r="B316" s="2"/>
      <c r="C316" s="2"/>
      <c r="D316" s="2"/>
      <c r="E316" s="464"/>
      <c r="F316" s="2"/>
      <c r="G316" s="2"/>
      <c r="H316" s="2"/>
      <c r="I316" s="2"/>
      <c r="J316" s="2"/>
      <c r="K316" s="2"/>
      <c r="L316" s="2"/>
      <c r="M316" s="2"/>
      <c r="N316" s="2"/>
      <c r="O316" s="2"/>
      <c r="P316" s="2"/>
      <c r="Q316" s="2"/>
    </row>
    <row r="317" ht="15.75" customHeight="1">
      <c r="B317" s="2"/>
      <c r="C317" s="2"/>
      <c r="D317" s="2"/>
      <c r="E317" s="464"/>
      <c r="F317" s="2"/>
      <c r="G317" s="2"/>
      <c r="H317" s="2"/>
      <c r="I317" s="2"/>
      <c r="J317" s="2"/>
      <c r="K317" s="2"/>
      <c r="L317" s="2"/>
      <c r="M317" s="2"/>
      <c r="N317" s="2"/>
      <c r="O317" s="2"/>
      <c r="P317" s="2"/>
      <c r="Q317" s="2"/>
    </row>
    <row r="318" ht="15.75" customHeight="1">
      <c r="B318" s="2"/>
      <c r="C318" s="2"/>
      <c r="D318" s="2"/>
      <c r="E318" s="464"/>
      <c r="F318" s="2"/>
      <c r="G318" s="2"/>
      <c r="H318" s="2"/>
      <c r="I318" s="2"/>
      <c r="J318" s="2"/>
      <c r="K318" s="2"/>
      <c r="L318" s="2"/>
      <c r="M318" s="2"/>
      <c r="N318" s="2"/>
      <c r="O318" s="2"/>
      <c r="P318" s="2"/>
      <c r="Q318" s="2"/>
    </row>
    <row r="319" ht="15.75" customHeight="1">
      <c r="B319" s="2"/>
      <c r="C319" s="2"/>
      <c r="D319" s="2"/>
      <c r="E319" s="464"/>
      <c r="F319" s="2"/>
      <c r="G319" s="2"/>
      <c r="H319" s="2"/>
      <c r="I319" s="2"/>
      <c r="J319" s="2"/>
      <c r="K319" s="2"/>
      <c r="L319" s="2"/>
      <c r="M319" s="2"/>
      <c r="N319" s="2"/>
      <c r="O319" s="2"/>
      <c r="P319" s="2"/>
      <c r="Q319" s="2"/>
    </row>
    <row r="320" ht="15.75" customHeight="1">
      <c r="B320" s="2"/>
      <c r="C320" s="2"/>
      <c r="D320" s="2"/>
      <c r="E320" s="464"/>
      <c r="F320" s="2"/>
      <c r="G320" s="2"/>
      <c r="H320" s="2"/>
      <c r="I320" s="2"/>
      <c r="J320" s="2"/>
      <c r="K320" s="2"/>
      <c r="L320" s="2"/>
      <c r="M320" s="2"/>
      <c r="N320" s="2"/>
      <c r="O320" s="2"/>
      <c r="P320" s="2"/>
      <c r="Q320" s="2"/>
    </row>
    <row r="321" ht="15.75" customHeight="1">
      <c r="B321" s="2"/>
      <c r="C321" s="2"/>
      <c r="D321" s="2"/>
      <c r="E321" s="464"/>
      <c r="F321" s="2"/>
      <c r="G321" s="2"/>
      <c r="H321" s="2"/>
      <c r="I321" s="2"/>
      <c r="J321" s="2"/>
      <c r="K321" s="2"/>
      <c r="L321" s="2"/>
      <c r="M321" s="2"/>
      <c r="N321" s="2"/>
      <c r="O321" s="2"/>
      <c r="P321" s="2"/>
      <c r="Q321" s="2"/>
    </row>
    <row r="322" ht="15.75" customHeight="1">
      <c r="B322" s="2"/>
      <c r="C322" s="2"/>
      <c r="D322" s="2"/>
      <c r="E322" s="464"/>
      <c r="F322" s="2"/>
      <c r="G322" s="2"/>
      <c r="H322" s="2"/>
      <c r="I322" s="2"/>
      <c r="J322" s="2"/>
      <c r="K322" s="2"/>
      <c r="L322" s="2"/>
      <c r="M322" s="2"/>
      <c r="N322" s="2"/>
      <c r="O322" s="2"/>
      <c r="P322" s="2"/>
      <c r="Q322" s="2"/>
    </row>
    <row r="323" ht="15.75" customHeight="1">
      <c r="B323" s="2"/>
      <c r="C323" s="2"/>
      <c r="D323" s="2"/>
      <c r="E323" s="464"/>
      <c r="F323" s="2"/>
      <c r="G323" s="2"/>
      <c r="H323" s="2"/>
      <c r="I323" s="2"/>
      <c r="J323" s="2"/>
      <c r="K323" s="2"/>
      <c r="L323" s="2"/>
      <c r="M323" s="2"/>
      <c r="N323" s="2"/>
      <c r="O323" s="2"/>
      <c r="P323" s="2"/>
      <c r="Q323" s="2"/>
    </row>
    <row r="324" ht="15.75" customHeight="1">
      <c r="B324" s="2"/>
      <c r="C324" s="2"/>
      <c r="D324" s="2"/>
      <c r="E324" s="464"/>
      <c r="F324" s="2"/>
      <c r="G324" s="2"/>
      <c r="H324" s="2"/>
      <c r="I324" s="2"/>
      <c r="J324" s="2"/>
      <c r="K324" s="2"/>
      <c r="L324" s="2"/>
      <c r="M324" s="2"/>
      <c r="N324" s="2"/>
      <c r="O324" s="2"/>
      <c r="P324" s="2"/>
      <c r="Q324" s="2"/>
    </row>
    <row r="325" ht="15.75" customHeight="1">
      <c r="B325" s="2"/>
      <c r="C325" s="2"/>
      <c r="D325" s="2"/>
      <c r="E325" s="464"/>
      <c r="F325" s="2"/>
      <c r="G325" s="2"/>
      <c r="H325" s="2"/>
      <c r="I325" s="2"/>
      <c r="J325" s="2"/>
      <c r="K325" s="2"/>
      <c r="L325" s="2"/>
      <c r="M325" s="2"/>
      <c r="N325" s="2"/>
      <c r="O325" s="2"/>
      <c r="P325" s="2"/>
      <c r="Q325" s="2"/>
    </row>
    <row r="326" ht="15.75" customHeight="1">
      <c r="B326" s="2"/>
      <c r="C326" s="2"/>
      <c r="D326" s="2"/>
      <c r="E326" s="464"/>
      <c r="F326" s="2"/>
      <c r="G326" s="2"/>
      <c r="H326" s="2"/>
      <c r="I326" s="2"/>
      <c r="J326" s="2"/>
      <c r="K326" s="2"/>
      <c r="L326" s="2"/>
      <c r="M326" s="2"/>
      <c r="N326" s="2"/>
      <c r="O326" s="2"/>
      <c r="P326" s="2"/>
      <c r="Q326" s="2"/>
    </row>
    <row r="327" ht="15.75" customHeight="1">
      <c r="B327" s="2"/>
      <c r="C327" s="2"/>
      <c r="D327" s="2"/>
      <c r="E327" s="464"/>
      <c r="F327" s="2"/>
      <c r="G327" s="2"/>
      <c r="H327" s="2"/>
      <c r="I327" s="2"/>
      <c r="J327" s="2"/>
      <c r="K327" s="2"/>
      <c r="L327" s="2"/>
      <c r="M327" s="2"/>
      <c r="N327" s="2"/>
      <c r="O327" s="2"/>
      <c r="P327" s="2"/>
      <c r="Q327" s="2"/>
    </row>
    <row r="328" ht="15.75" customHeight="1">
      <c r="B328" s="2"/>
      <c r="C328" s="2"/>
      <c r="D328" s="2"/>
      <c r="E328" s="464"/>
      <c r="F328" s="2"/>
      <c r="G328" s="2"/>
      <c r="H328" s="2"/>
      <c r="I328" s="2"/>
      <c r="J328" s="2"/>
      <c r="K328" s="2"/>
      <c r="L328" s="2"/>
      <c r="M328" s="2"/>
      <c r="N328" s="2"/>
      <c r="O328" s="2"/>
      <c r="P328" s="2"/>
      <c r="Q328" s="2"/>
    </row>
    <row r="329" ht="15.75" customHeight="1">
      <c r="B329" s="2"/>
      <c r="C329" s="2"/>
      <c r="D329" s="2"/>
      <c r="E329" s="464"/>
      <c r="F329" s="2"/>
      <c r="G329" s="2"/>
      <c r="H329" s="2"/>
      <c r="I329" s="2"/>
      <c r="J329" s="2"/>
      <c r="K329" s="2"/>
      <c r="L329" s="2"/>
      <c r="M329" s="2"/>
      <c r="N329" s="2"/>
      <c r="O329" s="2"/>
      <c r="P329" s="2"/>
      <c r="Q329" s="2"/>
    </row>
    <row r="330" ht="15.75" customHeight="1">
      <c r="B330" s="2"/>
      <c r="C330" s="2"/>
      <c r="D330" s="2"/>
      <c r="E330" s="464"/>
      <c r="F330" s="2"/>
      <c r="G330" s="2"/>
      <c r="H330" s="2"/>
      <c r="I330" s="2"/>
      <c r="J330" s="2"/>
      <c r="K330" s="2"/>
      <c r="L330" s="2"/>
      <c r="M330" s="2"/>
      <c r="N330" s="2"/>
      <c r="O330" s="2"/>
      <c r="P330" s="2"/>
      <c r="Q330" s="2"/>
    </row>
    <row r="331" ht="15.75" customHeight="1">
      <c r="B331" s="2"/>
      <c r="C331" s="2"/>
      <c r="D331" s="2"/>
      <c r="E331" s="464"/>
      <c r="F331" s="2"/>
      <c r="G331" s="2"/>
      <c r="H331" s="2"/>
      <c r="I331" s="2"/>
      <c r="J331" s="2"/>
      <c r="K331" s="2"/>
      <c r="L331" s="2"/>
      <c r="M331" s="2"/>
      <c r="N331" s="2"/>
      <c r="O331" s="2"/>
      <c r="P331" s="2"/>
      <c r="Q331" s="2"/>
    </row>
    <row r="332" ht="15.75" customHeight="1">
      <c r="B332" s="2"/>
      <c r="C332" s="2"/>
      <c r="D332" s="2"/>
      <c r="E332" s="464"/>
      <c r="F332" s="2"/>
      <c r="G332" s="2"/>
      <c r="H332" s="2"/>
      <c r="I332" s="2"/>
      <c r="J332" s="2"/>
      <c r="K332" s="2"/>
      <c r="L332" s="2"/>
      <c r="M332" s="2"/>
      <c r="N332" s="2"/>
      <c r="O332" s="2"/>
      <c r="P332" s="2"/>
      <c r="Q332" s="2"/>
    </row>
    <row r="333" ht="15.75" customHeight="1">
      <c r="B333" s="2"/>
      <c r="C333" s="2"/>
      <c r="D333" s="2"/>
      <c r="E333" s="464"/>
      <c r="F333" s="2"/>
      <c r="G333" s="2"/>
      <c r="H333" s="2"/>
      <c r="I333" s="2"/>
      <c r="J333" s="2"/>
      <c r="K333" s="2"/>
      <c r="L333" s="2"/>
      <c r="M333" s="2"/>
      <c r="N333" s="2"/>
      <c r="O333" s="2"/>
      <c r="P333" s="2"/>
      <c r="Q333" s="2"/>
    </row>
    <row r="334" ht="15.75" customHeight="1">
      <c r="B334" s="2"/>
      <c r="C334" s="2"/>
      <c r="D334" s="2"/>
      <c r="E334" s="464"/>
      <c r="F334" s="2"/>
      <c r="G334" s="2"/>
      <c r="H334" s="2"/>
      <c r="I334" s="2"/>
      <c r="J334" s="2"/>
      <c r="K334" s="2"/>
      <c r="L334" s="2"/>
      <c r="M334" s="2"/>
      <c r="N334" s="2"/>
      <c r="O334" s="2"/>
      <c r="P334" s="2"/>
      <c r="Q334" s="2"/>
    </row>
    <row r="335" ht="15.75" customHeight="1">
      <c r="B335" s="2"/>
      <c r="C335" s="2"/>
      <c r="D335" s="2"/>
      <c r="E335" s="464"/>
      <c r="F335" s="2"/>
      <c r="G335" s="2"/>
      <c r="H335" s="2"/>
      <c r="I335" s="2"/>
      <c r="J335" s="2"/>
      <c r="K335" s="2"/>
      <c r="L335" s="2"/>
      <c r="M335" s="2"/>
      <c r="N335" s="2"/>
      <c r="O335" s="2"/>
      <c r="P335" s="2"/>
      <c r="Q335" s="2"/>
    </row>
    <row r="336" ht="15.75" customHeight="1">
      <c r="B336" s="2"/>
      <c r="C336" s="2"/>
      <c r="D336" s="2"/>
      <c r="E336" s="464"/>
      <c r="F336" s="2"/>
      <c r="G336" s="2"/>
      <c r="H336" s="2"/>
      <c r="I336" s="2"/>
      <c r="J336" s="2"/>
      <c r="K336" s="2"/>
      <c r="L336" s="2"/>
      <c r="M336" s="2"/>
      <c r="N336" s="2"/>
      <c r="O336" s="2"/>
      <c r="P336" s="2"/>
      <c r="Q336" s="2"/>
    </row>
    <row r="337" ht="15.75" customHeight="1">
      <c r="B337" s="2"/>
      <c r="C337" s="2"/>
      <c r="D337" s="2"/>
      <c r="E337" s="464"/>
      <c r="F337" s="2"/>
      <c r="G337" s="2"/>
      <c r="H337" s="2"/>
      <c r="I337" s="2"/>
      <c r="J337" s="2"/>
      <c r="K337" s="2"/>
      <c r="L337" s="2"/>
      <c r="M337" s="2"/>
      <c r="N337" s="2"/>
      <c r="O337" s="2"/>
      <c r="P337" s="2"/>
      <c r="Q337" s="2"/>
    </row>
    <row r="338" ht="15.75" customHeight="1">
      <c r="B338" s="2"/>
      <c r="C338" s="2"/>
      <c r="D338" s="2"/>
      <c r="E338" s="464"/>
      <c r="F338" s="2"/>
      <c r="G338" s="2"/>
      <c r="H338" s="2"/>
      <c r="I338" s="2"/>
      <c r="J338" s="2"/>
      <c r="K338" s="2"/>
      <c r="L338" s="2"/>
      <c r="M338" s="2"/>
      <c r="N338" s="2"/>
      <c r="O338" s="2"/>
      <c r="P338" s="2"/>
      <c r="Q338" s="2"/>
    </row>
    <row r="339" ht="15.75" customHeight="1">
      <c r="B339" s="2"/>
      <c r="C339" s="2"/>
      <c r="D339" s="2"/>
      <c r="E339" s="464"/>
      <c r="F339" s="2"/>
      <c r="G339" s="2"/>
      <c r="H339" s="2"/>
      <c r="I339" s="2"/>
      <c r="J339" s="2"/>
      <c r="K339" s="2"/>
      <c r="L339" s="2"/>
      <c r="M339" s="2"/>
      <c r="N339" s="2"/>
      <c r="O339" s="2"/>
      <c r="P339" s="2"/>
      <c r="Q339" s="2"/>
    </row>
    <row r="340" ht="15.75" customHeight="1">
      <c r="B340" s="2"/>
      <c r="C340" s="2"/>
      <c r="D340" s="2"/>
      <c r="E340" s="464"/>
      <c r="F340" s="2"/>
      <c r="G340" s="2"/>
      <c r="H340" s="2"/>
      <c r="I340" s="2"/>
      <c r="J340" s="2"/>
      <c r="K340" s="2"/>
      <c r="L340" s="2"/>
      <c r="M340" s="2"/>
      <c r="N340" s="2"/>
      <c r="O340" s="2"/>
      <c r="P340" s="2"/>
      <c r="Q340" s="2"/>
    </row>
    <row r="341" ht="15.75" customHeight="1">
      <c r="B341" s="2"/>
      <c r="C341" s="2"/>
      <c r="D341" s="2"/>
      <c r="E341" s="464"/>
      <c r="F341" s="2"/>
      <c r="G341" s="2"/>
      <c r="H341" s="2"/>
      <c r="I341" s="2"/>
      <c r="J341" s="2"/>
      <c r="K341" s="2"/>
      <c r="L341" s="2"/>
      <c r="M341" s="2"/>
      <c r="N341" s="2"/>
      <c r="O341" s="2"/>
      <c r="P341" s="2"/>
      <c r="Q341" s="2"/>
    </row>
    <row r="342" ht="15.75" customHeight="1">
      <c r="B342" s="2"/>
      <c r="C342" s="2"/>
      <c r="D342" s="2"/>
      <c r="E342" s="464"/>
      <c r="F342" s="2"/>
      <c r="G342" s="2"/>
      <c r="H342" s="2"/>
      <c r="I342" s="2"/>
      <c r="J342" s="2"/>
      <c r="K342" s="2"/>
      <c r="L342" s="2"/>
      <c r="M342" s="2"/>
      <c r="N342" s="2"/>
      <c r="O342" s="2"/>
      <c r="P342" s="2"/>
      <c r="Q342" s="2"/>
    </row>
    <row r="343" ht="15.75" customHeight="1">
      <c r="B343" s="2"/>
      <c r="C343" s="2"/>
      <c r="D343" s="2"/>
      <c r="E343" s="464"/>
      <c r="F343" s="2"/>
      <c r="G343" s="2"/>
      <c r="H343" s="2"/>
      <c r="I343" s="2"/>
      <c r="J343" s="2"/>
      <c r="K343" s="2"/>
      <c r="L343" s="2"/>
      <c r="M343" s="2"/>
      <c r="N343" s="2"/>
      <c r="O343" s="2"/>
      <c r="P343" s="2"/>
      <c r="Q343" s="2"/>
    </row>
    <row r="344" ht="15.75" customHeight="1">
      <c r="B344" s="2"/>
      <c r="C344" s="2"/>
      <c r="D344" s="2"/>
      <c r="E344" s="464"/>
      <c r="F344" s="2"/>
      <c r="G344" s="2"/>
      <c r="H344" s="2"/>
      <c r="I344" s="2"/>
      <c r="J344" s="2"/>
      <c r="K344" s="2"/>
      <c r="L344" s="2"/>
      <c r="M344" s="2"/>
      <c r="N344" s="2"/>
      <c r="O344" s="2"/>
      <c r="P344" s="2"/>
      <c r="Q344" s="2"/>
    </row>
    <row r="345" ht="15.75" customHeight="1">
      <c r="B345" s="2"/>
      <c r="C345" s="2"/>
      <c r="D345" s="2"/>
      <c r="E345" s="464"/>
      <c r="F345" s="2"/>
      <c r="G345" s="2"/>
      <c r="H345" s="2"/>
      <c r="I345" s="2"/>
      <c r="J345" s="2"/>
      <c r="K345" s="2"/>
      <c r="L345" s="2"/>
      <c r="M345" s="2"/>
      <c r="N345" s="2"/>
      <c r="O345" s="2"/>
      <c r="P345" s="2"/>
      <c r="Q345" s="2"/>
    </row>
    <row r="346" ht="15.75" customHeight="1">
      <c r="B346" s="2"/>
      <c r="C346" s="2"/>
      <c r="D346" s="2"/>
      <c r="E346" s="464"/>
      <c r="F346" s="2"/>
      <c r="G346" s="2"/>
      <c r="H346" s="2"/>
      <c r="I346" s="2"/>
      <c r="J346" s="2"/>
      <c r="K346" s="2"/>
      <c r="L346" s="2"/>
      <c r="M346" s="2"/>
      <c r="N346" s="2"/>
      <c r="O346" s="2"/>
      <c r="P346" s="2"/>
      <c r="Q346" s="2"/>
    </row>
    <row r="347" ht="15.75" customHeight="1">
      <c r="B347" s="2"/>
      <c r="C347" s="2"/>
      <c r="D347" s="2"/>
      <c r="E347" s="464"/>
      <c r="F347" s="2"/>
      <c r="G347" s="2"/>
      <c r="H347" s="2"/>
      <c r="I347" s="2"/>
      <c r="J347" s="2"/>
      <c r="K347" s="2"/>
      <c r="L347" s="2"/>
      <c r="M347" s="2"/>
      <c r="N347" s="2"/>
      <c r="O347" s="2"/>
      <c r="P347" s="2"/>
      <c r="Q347" s="2"/>
    </row>
    <row r="348" ht="15.75" customHeight="1">
      <c r="B348" s="2"/>
      <c r="C348" s="2"/>
      <c r="D348" s="2"/>
      <c r="E348" s="464"/>
      <c r="F348" s="2"/>
      <c r="G348" s="2"/>
      <c r="H348" s="2"/>
      <c r="I348" s="2"/>
      <c r="J348" s="2"/>
      <c r="K348" s="2"/>
      <c r="L348" s="2"/>
      <c r="M348" s="2"/>
      <c r="N348" s="2"/>
      <c r="O348" s="2"/>
      <c r="P348" s="2"/>
      <c r="Q348" s="2"/>
    </row>
    <row r="349" ht="15.75" customHeight="1">
      <c r="B349" s="2"/>
      <c r="C349" s="2"/>
      <c r="D349" s="2"/>
      <c r="E349" s="464"/>
      <c r="F349" s="2"/>
      <c r="G349" s="2"/>
      <c r="H349" s="2"/>
      <c r="I349" s="2"/>
      <c r="J349" s="2"/>
      <c r="K349" s="2"/>
      <c r="L349" s="2"/>
      <c r="M349" s="2"/>
      <c r="N349" s="2"/>
      <c r="O349" s="2"/>
      <c r="P349" s="2"/>
      <c r="Q349" s="2"/>
    </row>
    <row r="350" ht="15.75" customHeight="1">
      <c r="B350" s="2"/>
      <c r="C350" s="2"/>
      <c r="D350" s="2"/>
      <c r="E350" s="464"/>
      <c r="F350" s="2"/>
      <c r="G350" s="2"/>
      <c r="H350" s="2"/>
      <c r="I350" s="2"/>
      <c r="J350" s="2"/>
      <c r="K350" s="2"/>
      <c r="L350" s="2"/>
      <c r="M350" s="2"/>
      <c r="N350" s="2"/>
      <c r="O350" s="2"/>
      <c r="P350" s="2"/>
      <c r="Q350" s="2"/>
    </row>
    <row r="351" ht="15.75" customHeight="1">
      <c r="B351" s="2"/>
      <c r="C351" s="2"/>
      <c r="D351" s="2"/>
      <c r="E351" s="464"/>
      <c r="F351" s="2"/>
      <c r="G351" s="2"/>
      <c r="H351" s="2"/>
      <c r="I351" s="2"/>
      <c r="J351" s="2"/>
      <c r="K351" s="2"/>
      <c r="L351" s="2"/>
      <c r="M351" s="2"/>
      <c r="N351" s="2"/>
      <c r="O351" s="2"/>
      <c r="P351" s="2"/>
      <c r="Q351" s="2"/>
    </row>
    <row r="352" ht="15.75" customHeight="1">
      <c r="B352" s="2"/>
      <c r="C352" s="2"/>
      <c r="D352" s="2"/>
      <c r="E352" s="464"/>
      <c r="F352" s="2"/>
      <c r="G352" s="2"/>
      <c r="H352" s="2"/>
      <c r="I352" s="2"/>
      <c r="J352" s="2"/>
      <c r="K352" s="2"/>
      <c r="L352" s="2"/>
      <c r="M352" s="2"/>
      <c r="N352" s="2"/>
      <c r="O352" s="2"/>
      <c r="P352" s="2"/>
      <c r="Q352" s="2"/>
    </row>
    <row r="353" ht="15.75" customHeight="1">
      <c r="B353" s="2"/>
      <c r="C353" s="2"/>
      <c r="D353" s="2"/>
      <c r="E353" s="464"/>
      <c r="F353" s="2"/>
      <c r="G353" s="2"/>
      <c r="H353" s="2"/>
      <c r="I353" s="2"/>
      <c r="J353" s="2"/>
      <c r="K353" s="2"/>
      <c r="L353" s="2"/>
      <c r="M353" s="2"/>
      <c r="N353" s="2"/>
      <c r="O353" s="2"/>
      <c r="P353" s="2"/>
      <c r="Q353" s="2"/>
    </row>
    <row r="354" ht="15.75" customHeight="1">
      <c r="B354" s="2"/>
      <c r="C354" s="2"/>
      <c r="D354" s="2"/>
      <c r="E354" s="464"/>
      <c r="F354" s="2"/>
      <c r="G354" s="2"/>
      <c r="H354" s="2"/>
      <c r="I354" s="2"/>
      <c r="J354" s="2"/>
      <c r="K354" s="2"/>
      <c r="L354" s="2"/>
      <c r="M354" s="2"/>
      <c r="N354" s="2"/>
      <c r="O354" s="2"/>
      <c r="P354" s="2"/>
      <c r="Q354" s="2"/>
    </row>
    <row r="355" ht="15.75" customHeight="1">
      <c r="B355" s="2"/>
      <c r="C355" s="2"/>
      <c r="D355" s="2"/>
      <c r="E355" s="464"/>
      <c r="F355" s="2"/>
      <c r="G355" s="2"/>
      <c r="H355" s="2"/>
      <c r="I355" s="2"/>
      <c r="J355" s="2"/>
      <c r="K355" s="2"/>
      <c r="L355" s="2"/>
      <c r="M355" s="2"/>
      <c r="N355" s="2"/>
      <c r="O355" s="2"/>
      <c r="P355" s="2"/>
      <c r="Q355" s="2"/>
    </row>
    <row r="356" ht="15.75" customHeight="1">
      <c r="B356" s="2"/>
      <c r="C356" s="2"/>
      <c r="D356" s="2"/>
      <c r="E356" s="464"/>
      <c r="F356" s="2"/>
      <c r="G356" s="2"/>
      <c r="H356" s="2"/>
      <c r="I356" s="2"/>
      <c r="J356" s="2"/>
      <c r="K356" s="2"/>
      <c r="L356" s="2"/>
      <c r="M356" s="2"/>
      <c r="N356" s="2"/>
      <c r="O356" s="2"/>
      <c r="P356" s="2"/>
      <c r="Q356" s="2"/>
    </row>
    <row r="357" ht="15.75" customHeight="1">
      <c r="B357" s="2"/>
      <c r="C357" s="2"/>
      <c r="D357" s="2"/>
      <c r="E357" s="464"/>
      <c r="F357" s="2"/>
      <c r="G357" s="2"/>
      <c r="H357" s="2"/>
      <c r="I357" s="2"/>
      <c r="J357" s="2"/>
      <c r="K357" s="2"/>
      <c r="L357" s="2"/>
      <c r="M357" s="2"/>
      <c r="N357" s="2"/>
      <c r="O357" s="2"/>
      <c r="P357" s="2"/>
      <c r="Q357" s="2"/>
    </row>
    <row r="358" ht="15.75" customHeight="1">
      <c r="B358" s="2"/>
      <c r="C358" s="2"/>
      <c r="D358" s="2"/>
      <c r="E358" s="464"/>
      <c r="F358" s="2"/>
      <c r="G358" s="2"/>
      <c r="H358" s="2"/>
      <c r="I358" s="2"/>
      <c r="J358" s="2"/>
      <c r="K358" s="2"/>
      <c r="L358" s="2"/>
      <c r="M358" s="2"/>
      <c r="N358" s="2"/>
      <c r="O358" s="2"/>
      <c r="P358" s="2"/>
      <c r="Q358" s="2"/>
    </row>
    <row r="359" ht="15.75" customHeight="1">
      <c r="B359" s="2"/>
      <c r="C359" s="2"/>
      <c r="D359" s="2"/>
      <c r="E359" s="464"/>
      <c r="F359" s="2"/>
      <c r="G359" s="2"/>
      <c r="H359" s="2"/>
      <c r="I359" s="2"/>
      <c r="J359" s="2"/>
      <c r="K359" s="2"/>
      <c r="L359" s="2"/>
      <c r="M359" s="2"/>
      <c r="N359" s="2"/>
      <c r="O359" s="2"/>
      <c r="P359" s="2"/>
      <c r="Q359" s="2"/>
    </row>
    <row r="360" ht="15.75" customHeight="1">
      <c r="B360" s="2"/>
      <c r="C360" s="2"/>
      <c r="D360" s="2"/>
      <c r="E360" s="464"/>
      <c r="F360" s="2"/>
      <c r="G360" s="2"/>
      <c r="H360" s="2"/>
      <c r="I360" s="2"/>
      <c r="J360" s="2"/>
      <c r="K360" s="2"/>
      <c r="L360" s="2"/>
      <c r="M360" s="2"/>
      <c r="N360" s="2"/>
      <c r="O360" s="2"/>
      <c r="P360" s="2"/>
      <c r="Q360" s="2"/>
    </row>
    <row r="361" ht="15.75" customHeight="1">
      <c r="B361" s="2"/>
      <c r="C361" s="2"/>
      <c r="D361" s="2"/>
      <c r="E361" s="464"/>
      <c r="F361" s="2"/>
      <c r="G361" s="2"/>
      <c r="H361" s="2"/>
      <c r="I361" s="2"/>
      <c r="J361" s="2"/>
      <c r="K361" s="2"/>
      <c r="L361" s="2"/>
      <c r="M361" s="2"/>
      <c r="N361" s="2"/>
      <c r="O361" s="2"/>
      <c r="P361" s="2"/>
      <c r="Q361" s="2"/>
    </row>
    <row r="362" ht="15.75" customHeight="1">
      <c r="B362" s="2"/>
      <c r="C362" s="2"/>
      <c r="D362" s="2"/>
      <c r="E362" s="464"/>
      <c r="F362" s="2"/>
      <c r="G362" s="2"/>
      <c r="H362" s="2"/>
      <c r="I362" s="2"/>
      <c r="J362" s="2"/>
      <c r="K362" s="2"/>
      <c r="L362" s="2"/>
      <c r="M362" s="2"/>
      <c r="N362" s="2"/>
      <c r="O362" s="2"/>
      <c r="P362" s="2"/>
      <c r="Q362" s="2"/>
    </row>
    <row r="363" ht="15.75" customHeight="1">
      <c r="B363" s="2"/>
      <c r="C363" s="2"/>
      <c r="D363" s="2"/>
      <c r="E363" s="464"/>
      <c r="F363" s="2"/>
      <c r="G363" s="2"/>
      <c r="H363" s="2"/>
      <c r="I363" s="2"/>
      <c r="J363" s="2"/>
      <c r="K363" s="2"/>
      <c r="L363" s="2"/>
      <c r="M363" s="2"/>
      <c r="N363" s="2"/>
      <c r="O363" s="2"/>
      <c r="P363" s="2"/>
      <c r="Q363" s="2"/>
    </row>
    <row r="364" ht="15.75" customHeight="1">
      <c r="B364" s="2"/>
      <c r="C364" s="2"/>
      <c r="D364" s="2"/>
      <c r="E364" s="464"/>
      <c r="F364" s="2"/>
      <c r="G364" s="2"/>
      <c r="H364" s="2"/>
      <c r="I364" s="2"/>
      <c r="J364" s="2"/>
      <c r="K364" s="2"/>
      <c r="L364" s="2"/>
      <c r="M364" s="2"/>
      <c r="N364" s="2"/>
      <c r="O364" s="2"/>
      <c r="P364" s="2"/>
      <c r="Q364" s="2"/>
    </row>
    <row r="365" ht="15.75" customHeight="1">
      <c r="B365" s="2"/>
      <c r="C365" s="2"/>
      <c r="D365" s="2"/>
      <c r="E365" s="464"/>
      <c r="F365" s="2"/>
      <c r="G365" s="2"/>
      <c r="H365" s="2"/>
      <c r="I365" s="2"/>
      <c r="J365" s="2"/>
      <c r="K365" s="2"/>
      <c r="L365" s="2"/>
      <c r="M365" s="2"/>
      <c r="N365" s="2"/>
      <c r="O365" s="2"/>
      <c r="P365" s="2"/>
      <c r="Q365" s="2"/>
    </row>
    <row r="366" ht="15.75" customHeight="1">
      <c r="B366" s="2"/>
      <c r="C366" s="2"/>
      <c r="D366" s="2"/>
      <c r="E366" s="464"/>
      <c r="F366" s="2"/>
      <c r="G366" s="2"/>
      <c r="H366" s="2"/>
      <c r="I366" s="2"/>
      <c r="J366" s="2"/>
      <c r="K366" s="2"/>
      <c r="L366" s="2"/>
      <c r="M366" s="2"/>
      <c r="N366" s="2"/>
      <c r="O366" s="2"/>
      <c r="P366" s="2"/>
      <c r="Q366" s="2"/>
    </row>
    <row r="367" ht="15.75" customHeight="1">
      <c r="B367" s="2"/>
      <c r="C367" s="2"/>
      <c r="D367" s="2"/>
      <c r="E367" s="464"/>
      <c r="F367" s="2"/>
      <c r="G367" s="2"/>
      <c r="H367" s="2"/>
      <c r="I367" s="2"/>
      <c r="J367" s="2"/>
      <c r="K367" s="2"/>
      <c r="L367" s="2"/>
      <c r="M367" s="2"/>
      <c r="N367" s="2"/>
      <c r="O367" s="2"/>
      <c r="P367" s="2"/>
      <c r="Q367" s="2"/>
    </row>
    <row r="368" ht="15.75" customHeight="1">
      <c r="B368" s="2"/>
      <c r="C368" s="2"/>
      <c r="D368" s="2"/>
      <c r="E368" s="464"/>
      <c r="F368" s="2"/>
      <c r="G368" s="2"/>
      <c r="H368" s="2"/>
      <c r="I368" s="2"/>
      <c r="J368" s="2"/>
      <c r="K368" s="2"/>
      <c r="L368" s="2"/>
      <c r="M368" s="2"/>
      <c r="N368" s="2"/>
      <c r="O368" s="2"/>
      <c r="P368" s="2"/>
      <c r="Q368" s="2"/>
    </row>
    <row r="369" ht="15.75" customHeight="1">
      <c r="B369" s="2"/>
      <c r="C369" s="2"/>
      <c r="D369" s="2"/>
      <c r="E369" s="464"/>
      <c r="F369" s="2"/>
      <c r="G369" s="2"/>
      <c r="H369" s="2"/>
      <c r="I369" s="2"/>
      <c r="J369" s="2"/>
      <c r="K369" s="2"/>
      <c r="L369" s="2"/>
      <c r="M369" s="2"/>
      <c r="N369" s="2"/>
      <c r="O369" s="2"/>
      <c r="P369" s="2"/>
      <c r="Q369" s="2"/>
    </row>
    <row r="370" ht="15.75" customHeight="1">
      <c r="B370" s="2"/>
      <c r="C370" s="2"/>
      <c r="D370" s="2"/>
      <c r="E370" s="464"/>
      <c r="F370" s="2"/>
      <c r="G370" s="2"/>
      <c r="H370" s="2"/>
      <c r="I370" s="2"/>
      <c r="J370" s="2"/>
      <c r="K370" s="2"/>
      <c r="L370" s="2"/>
      <c r="M370" s="2"/>
      <c r="N370" s="2"/>
      <c r="O370" s="2"/>
      <c r="P370" s="2"/>
      <c r="Q370" s="2"/>
    </row>
    <row r="371" ht="15.75" customHeight="1">
      <c r="B371" s="2"/>
      <c r="C371" s="2"/>
      <c r="D371" s="2"/>
      <c r="E371" s="464"/>
      <c r="F371" s="2"/>
      <c r="G371" s="2"/>
      <c r="H371" s="2"/>
      <c r="I371" s="2"/>
      <c r="J371" s="2"/>
      <c r="K371" s="2"/>
      <c r="L371" s="2"/>
      <c r="M371" s="2"/>
      <c r="N371" s="2"/>
      <c r="O371" s="2"/>
      <c r="P371" s="2"/>
      <c r="Q371" s="2"/>
    </row>
    <row r="372" ht="15.75" customHeight="1">
      <c r="B372" s="2"/>
      <c r="C372" s="2"/>
      <c r="D372" s="2"/>
      <c r="E372" s="464"/>
      <c r="F372" s="2"/>
      <c r="G372" s="2"/>
      <c r="H372" s="2"/>
      <c r="I372" s="2"/>
      <c r="J372" s="2"/>
      <c r="K372" s="2"/>
      <c r="L372" s="2"/>
      <c r="M372" s="2"/>
      <c r="N372" s="2"/>
      <c r="O372" s="2"/>
      <c r="P372" s="2"/>
      <c r="Q372" s="2"/>
    </row>
    <row r="373" ht="15.75" customHeight="1">
      <c r="B373" s="2"/>
      <c r="C373" s="2"/>
      <c r="D373" s="2"/>
      <c r="E373" s="464"/>
      <c r="F373" s="2"/>
      <c r="G373" s="2"/>
      <c r="H373" s="2"/>
      <c r="I373" s="2"/>
      <c r="J373" s="2"/>
      <c r="K373" s="2"/>
      <c r="L373" s="2"/>
      <c r="M373" s="2"/>
      <c r="N373" s="2"/>
      <c r="O373" s="2"/>
      <c r="P373" s="2"/>
      <c r="Q373" s="2"/>
    </row>
    <row r="374" ht="15.75" customHeight="1">
      <c r="B374" s="2"/>
      <c r="C374" s="2"/>
      <c r="D374" s="2"/>
      <c r="E374" s="464"/>
      <c r="F374" s="2"/>
      <c r="G374" s="2"/>
      <c r="H374" s="2"/>
      <c r="I374" s="2"/>
      <c r="J374" s="2"/>
      <c r="K374" s="2"/>
      <c r="L374" s="2"/>
      <c r="M374" s="2"/>
      <c r="N374" s="2"/>
      <c r="O374" s="2"/>
      <c r="P374" s="2"/>
      <c r="Q374" s="2"/>
    </row>
    <row r="375" ht="15.75" customHeight="1">
      <c r="B375" s="2"/>
      <c r="C375" s="2"/>
      <c r="D375" s="2"/>
      <c r="E375" s="464"/>
      <c r="F375" s="2"/>
      <c r="G375" s="2"/>
      <c r="H375" s="2"/>
      <c r="I375" s="2"/>
      <c r="J375" s="2"/>
      <c r="K375" s="2"/>
      <c r="L375" s="2"/>
      <c r="M375" s="2"/>
      <c r="N375" s="2"/>
      <c r="O375" s="2"/>
      <c r="P375" s="2"/>
      <c r="Q375" s="2"/>
    </row>
    <row r="376" ht="15.75" customHeight="1">
      <c r="B376" s="2"/>
      <c r="C376" s="2"/>
      <c r="D376" s="2"/>
      <c r="E376" s="464"/>
      <c r="F376" s="2"/>
      <c r="G376" s="2"/>
      <c r="H376" s="2"/>
      <c r="I376" s="2"/>
      <c r="J376" s="2"/>
      <c r="K376" s="2"/>
      <c r="L376" s="2"/>
      <c r="M376" s="2"/>
      <c r="N376" s="2"/>
      <c r="O376" s="2"/>
      <c r="P376" s="2"/>
      <c r="Q376" s="2"/>
    </row>
    <row r="377" ht="15.75" customHeight="1">
      <c r="B377" s="2"/>
      <c r="C377" s="2"/>
      <c r="D377" s="2"/>
      <c r="E377" s="464"/>
      <c r="F377" s="2"/>
      <c r="G377" s="2"/>
      <c r="H377" s="2"/>
      <c r="I377" s="2"/>
      <c r="J377" s="2"/>
      <c r="K377" s="2"/>
      <c r="L377" s="2"/>
      <c r="M377" s="2"/>
      <c r="N377" s="2"/>
      <c r="O377" s="2"/>
      <c r="P377" s="2"/>
      <c r="Q377" s="2"/>
    </row>
    <row r="378" ht="15.75" customHeight="1">
      <c r="B378" s="2"/>
      <c r="C378" s="2"/>
      <c r="D378" s="2"/>
      <c r="E378" s="464"/>
      <c r="F378" s="2"/>
      <c r="G378" s="2"/>
      <c r="H378" s="2"/>
      <c r="I378" s="2"/>
      <c r="J378" s="2"/>
      <c r="K378" s="2"/>
      <c r="L378" s="2"/>
      <c r="M378" s="2"/>
      <c r="N378" s="2"/>
      <c r="O378" s="2"/>
      <c r="P378" s="2"/>
      <c r="Q378" s="2"/>
    </row>
    <row r="379" ht="15.75" customHeight="1">
      <c r="B379" s="2"/>
      <c r="C379" s="2"/>
      <c r="D379" s="2"/>
      <c r="E379" s="464"/>
      <c r="F379" s="2"/>
      <c r="G379" s="2"/>
      <c r="H379" s="2"/>
      <c r="I379" s="2"/>
      <c r="J379" s="2"/>
      <c r="K379" s="2"/>
      <c r="L379" s="2"/>
      <c r="M379" s="2"/>
      <c r="N379" s="2"/>
      <c r="O379" s="2"/>
      <c r="P379" s="2"/>
      <c r="Q379" s="2"/>
    </row>
    <row r="380" ht="15.75" customHeight="1">
      <c r="B380" s="2"/>
      <c r="C380" s="2"/>
      <c r="D380" s="2"/>
      <c r="E380" s="464"/>
      <c r="F380" s="2"/>
      <c r="G380" s="2"/>
      <c r="H380" s="2"/>
      <c r="I380" s="2"/>
      <c r="J380" s="2"/>
      <c r="K380" s="2"/>
      <c r="L380" s="2"/>
      <c r="M380" s="2"/>
      <c r="N380" s="2"/>
      <c r="O380" s="2"/>
      <c r="P380" s="2"/>
      <c r="Q380" s="2"/>
    </row>
    <row r="381" ht="15.75" customHeight="1">
      <c r="B381" s="2"/>
      <c r="C381" s="2"/>
      <c r="D381" s="2"/>
      <c r="E381" s="464"/>
      <c r="F381" s="2"/>
      <c r="G381" s="2"/>
      <c r="H381" s="2"/>
      <c r="I381" s="2"/>
      <c r="J381" s="2"/>
      <c r="K381" s="2"/>
      <c r="L381" s="2"/>
      <c r="M381" s="2"/>
      <c r="N381" s="2"/>
      <c r="O381" s="2"/>
      <c r="P381" s="2"/>
      <c r="Q381" s="2"/>
    </row>
    <row r="382" ht="15.75" customHeight="1">
      <c r="B382" s="2"/>
      <c r="C382" s="2"/>
      <c r="D382" s="2"/>
      <c r="E382" s="464"/>
      <c r="F382" s="2"/>
      <c r="G382" s="2"/>
      <c r="H382" s="2"/>
      <c r="I382" s="2"/>
      <c r="J382" s="2"/>
      <c r="K382" s="2"/>
      <c r="L382" s="2"/>
      <c r="M382" s="2"/>
      <c r="N382" s="2"/>
      <c r="O382" s="2"/>
      <c r="P382" s="2"/>
      <c r="Q382" s="2"/>
    </row>
    <row r="383" ht="15.75" customHeight="1">
      <c r="B383" s="2"/>
      <c r="C383" s="2"/>
      <c r="D383" s="2"/>
      <c r="E383" s="464"/>
      <c r="F383" s="2"/>
      <c r="G383" s="2"/>
      <c r="H383" s="2"/>
      <c r="I383" s="2"/>
      <c r="J383" s="2"/>
      <c r="K383" s="2"/>
      <c r="L383" s="2"/>
      <c r="M383" s="2"/>
      <c r="N383" s="2"/>
      <c r="O383" s="2"/>
      <c r="P383" s="2"/>
      <c r="Q383" s="2"/>
    </row>
    <row r="384" ht="15.75" customHeight="1">
      <c r="B384" s="2"/>
      <c r="C384" s="2"/>
      <c r="D384" s="2"/>
      <c r="E384" s="464"/>
      <c r="F384" s="2"/>
      <c r="G384" s="2"/>
      <c r="H384" s="2"/>
      <c r="I384" s="2"/>
      <c r="J384" s="2"/>
      <c r="K384" s="2"/>
      <c r="L384" s="2"/>
      <c r="M384" s="2"/>
      <c r="N384" s="2"/>
      <c r="O384" s="2"/>
      <c r="P384" s="2"/>
      <c r="Q384" s="2"/>
    </row>
    <row r="385" ht="15.75" customHeight="1">
      <c r="B385" s="2"/>
      <c r="C385" s="2"/>
      <c r="D385" s="2"/>
      <c r="E385" s="464"/>
      <c r="F385" s="2"/>
      <c r="G385" s="2"/>
      <c r="H385" s="2"/>
      <c r="I385" s="2"/>
      <c r="J385" s="2"/>
      <c r="K385" s="2"/>
      <c r="L385" s="2"/>
      <c r="M385" s="2"/>
      <c r="N385" s="2"/>
      <c r="O385" s="2"/>
      <c r="P385" s="2"/>
      <c r="Q385" s="2"/>
    </row>
    <row r="386" ht="15.75" customHeight="1">
      <c r="B386" s="2"/>
      <c r="C386" s="2"/>
      <c r="D386" s="2"/>
      <c r="E386" s="464"/>
      <c r="F386" s="2"/>
      <c r="G386" s="2"/>
      <c r="H386" s="2"/>
      <c r="I386" s="2"/>
      <c r="J386" s="2"/>
      <c r="K386" s="2"/>
      <c r="L386" s="2"/>
      <c r="M386" s="2"/>
      <c r="N386" s="2"/>
      <c r="O386" s="2"/>
      <c r="P386" s="2"/>
      <c r="Q386" s="2"/>
    </row>
    <row r="387" ht="15.75" customHeight="1">
      <c r="B387" s="2"/>
      <c r="C387" s="2"/>
      <c r="D387" s="2"/>
      <c r="E387" s="464"/>
      <c r="F387" s="2"/>
      <c r="G387" s="2"/>
      <c r="H387" s="2"/>
      <c r="I387" s="2"/>
      <c r="J387" s="2"/>
      <c r="K387" s="2"/>
      <c r="L387" s="2"/>
      <c r="M387" s="2"/>
      <c r="N387" s="2"/>
      <c r="O387" s="2"/>
      <c r="P387" s="2"/>
      <c r="Q387" s="2"/>
    </row>
    <row r="388" ht="15.75" customHeight="1">
      <c r="B388" s="2"/>
      <c r="C388" s="2"/>
      <c r="D388" s="2"/>
      <c r="E388" s="464"/>
      <c r="F388" s="2"/>
      <c r="G388" s="2"/>
      <c r="H388" s="2"/>
      <c r="I388" s="2"/>
      <c r="J388" s="2"/>
      <c r="K388" s="2"/>
      <c r="L388" s="2"/>
      <c r="M388" s="2"/>
      <c r="N388" s="2"/>
      <c r="O388" s="2"/>
      <c r="P388" s="2"/>
      <c r="Q388" s="2"/>
    </row>
    <row r="389" ht="15.75" customHeight="1">
      <c r="B389" s="2"/>
      <c r="C389" s="2"/>
      <c r="D389" s="2"/>
      <c r="E389" s="464"/>
      <c r="F389" s="2"/>
      <c r="G389" s="2"/>
      <c r="H389" s="2"/>
      <c r="I389" s="2"/>
      <c r="J389" s="2"/>
      <c r="K389" s="2"/>
      <c r="L389" s="2"/>
      <c r="M389" s="2"/>
      <c r="N389" s="2"/>
      <c r="O389" s="2"/>
      <c r="P389" s="2"/>
      <c r="Q389" s="2"/>
    </row>
    <row r="390" ht="15.75" customHeight="1">
      <c r="B390" s="2"/>
      <c r="C390" s="2"/>
      <c r="D390" s="2"/>
      <c r="E390" s="464"/>
      <c r="F390" s="2"/>
      <c r="G390" s="2"/>
      <c r="H390" s="2"/>
      <c r="I390" s="2"/>
      <c r="J390" s="2"/>
      <c r="K390" s="2"/>
      <c r="L390" s="2"/>
      <c r="M390" s="2"/>
      <c r="N390" s="2"/>
      <c r="O390" s="2"/>
      <c r="P390" s="2"/>
      <c r="Q390" s="2"/>
    </row>
    <row r="391" ht="15.75" customHeight="1">
      <c r="B391" s="2"/>
      <c r="C391" s="2"/>
      <c r="D391" s="2"/>
      <c r="E391" s="464"/>
      <c r="F391" s="2"/>
      <c r="G391" s="2"/>
      <c r="H391" s="2"/>
      <c r="I391" s="2"/>
      <c r="J391" s="2"/>
      <c r="K391" s="2"/>
      <c r="L391" s="2"/>
      <c r="M391" s="2"/>
      <c r="N391" s="2"/>
      <c r="O391" s="2"/>
      <c r="P391" s="2"/>
      <c r="Q391" s="2"/>
    </row>
    <row r="392" ht="15.75" customHeight="1">
      <c r="B392" s="2"/>
      <c r="C392" s="2"/>
      <c r="D392" s="2"/>
      <c r="E392" s="464"/>
      <c r="F392" s="2"/>
      <c r="G392" s="2"/>
      <c r="H392" s="2"/>
      <c r="I392" s="2"/>
      <c r="J392" s="2"/>
      <c r="K392" s="2"/>
      <c r="L392" s="2"/>
      <c r="M392" s="2"/>
      <c r="N392" s="2"/>
      <c r="O392" s="2"/>
      <c r="P392" s="2"/>
      <c r="Q392" s="2"/>
    </row>
    <row r="393" ht="15.75" customHeight="1">
      <c r="B393" s="2"/>
      <c r="C393" s="2"/>
      <c r="D393" s="2"/>
      <c r="E393" s="464"/>
      <c r="F393" s="2"/>
      <c r="G393" s="2"/>
      <c r="H393" s="2"/>
      <c r="I393" s="2"/>
      <c r="J393" s="2"/>
      <c r="K393" s="2"/>
      <c r="L393" s="2"/>
      <c r="M393" s="2"/>
      <c r="N393" s="2"/>
      <c r="O393" s="2"/>
      <c r="P393" s="2"/>
      <c r="Q393" s="2"/>
    </row>
    <row r="394" ht="15.75" customHeight="1">
      <c r="B394" s="2"/>
      <c r="C394" s="2"/>
      <c r="D394" s="2"/>
      <c r="E394" s="464"/>
      <c r="F394" s="2"/>
      <c r="G394" s="2"/>
      <c r="H394" s="2"/>
      <c r="I394" s="2"/>
      <c r="J394" s="2"/>
      <c r="K394" s="2"/>
      <c r="L394" s="2"/>
      <c r="M394" s="2"/>
      <c r="N394" s="2"/>
      <c r="O394" s="2"/>
      <c r="P394" s="2"/>
      <c r="Q394" s="2"/>
    </row>
    <row r="395" ht="15.75" customHeight="1">
      <c r="B395" s="2"/>
      <c r="C395" s="2"/>
      <c r="D395" s="2"/>
      <c r="E395" s="464"/>
      <c r="F395" s="2"/>
      <c r="G395" s="2"/>
      <c r="H395" s="2"/>
      <c r="I395" s="2"/>
      <c r="J395" s="2"/>
      <c r="K395" s="2"/>
      <c r="L395" s="2"/>
      <c r="M395" s="2"/>
      <c r="N395" s="2"/>
      <c r="O395" s="2"/>
      <c r="P395" s="2"/>
      <c r="Q395" s="2"/>
    </row>
    <row r="396" ht="15.75" customHeight="1">
      <c r="B396" s="2"/>
      <c r="C396" s="2"/>
      <c r="D396" s="2"/>
      <c r="E396" s="464"/>
      <c r="F396" s="2"/>
      <c r="G396" s="2"/>
      <c r="H396" s="2"/>
      <c r="I396" s="2"/>
      <c r="J396" s="2"/>
      <c r="K396" s="2"/>
      <c r="L396" s="2"/>
      <c r="M396" s="2"/>
      <c r="N396" s="2"/>
      <c r="O396" s="2"/>
      <c r="P396" s="2"/>
      <c r="Q396" s="2"/>
    </row>
    <row r="397" ht="15.75" customHeight="1">
      <c r="B397" s="2"/>
      <c r="C397" s="2"/>
      <c r="D397" s="2"/>
      <c r="E397" s="464"/>
      <c r="F397" s="2"/>
      <c r="G397" s="2"/>
      <c r="H397" s="2"/>
      <c r="I397" s="2"/>
      <c r="J397" s="2"/>
      <c r="K397" s="2"/>
      <c r="L397" s="2"/>
      <c r="M397" s="2"/>
      <c r="N397" s="2"/>
      <c r="O397" s="2"/>
      <c r="P397" s="2"/>
      <c r="Q397" s="2"/>
    </row>
    <row r="398" ht="15.75" customHeight="1">
      <c r="B398" s="2"/>
      <c r="C398" s="2"/>
      <c r="D398" s="2"/>
      <c r="E398" s="464"/>
      <c r="F398" s="2"/>
      <c r="G398" s="2"/>
      <c r="H398" s="2"/>
      <c r="I398" s="2"/>
      <c r="J398" s="2"/>
      <c r="K398" s="2"/>
      <c r="L398" s="2"/>
      <c r="M398" s="2"/>
      <c r="N398" s="2"/>
      <c r="O398" s="2"/>
      <c r="P398" s="2"/>
      <c r="Q398" s="2"/>
    </row>
    <row r="399" ht="15.75" customHeight="1">
      <c r="B399" s="2"/>
      <c r="C399" s="2"/>
      <c r="D399" s="2"/>
      <c r="E399" s="464"/>
      <c r="F399" s="2"/>
      <c r="G399" s="2"/>
      <c r="H399" s="2"/>
      <c r="I399" s="2"/>
      <c r="J399" s="2"/>
      <c r="K399" s="2"/>
      <c r="L399" s="2"/>
      <c r="M399" s="2"/>
      <c r="N399" s="2"/>
      <c r="O399" s="2"/>
      <c r="P399" s="2"/>
      <c r="Q399" s="2"/>
    </row>
    <row r="400" ht="15.75" customHeight="1">
      <c r="B400" s="2"/>
      <c r="C400" s="2"/>
      <c r="D400" s="2"/>
      <c r="E400" s="464"/>
      <c r="F400" s="2"/>
      <c r="G400" s="2"/>
      <c r="H400" s="2"/>
      <c r="I400" s="2"/>
      <c r="J400" s="2"/>
      <c r="K400" s="2"/>
      <c r="L400" s="2"/>
      <c r="M400" s="2"/>
      <c r="N400" s="2"/>
      <c r="O400" s="2"/>
      <c r="P400" s="2"/>
      <c r="Q400" s="2"/>
    </row>
    <row r="401" ht="15.75" customHeight="1">
      <c r="B401" s="2"/>
      <c r="C401" s="2"/>
      <c r="D401" s="2"/>
      <c r="E401" s="464"/>
      <c r="F401" s="2"/>
      <c r="G401" s="2"/>
      <c r="H401" s="2"/>
      <c r="I401" s="2"/>
      <c r="J401" s="2"/>
      <c r="K401" s="2"/>
      <c r="L401" s="2"/>
      <c r="M401" s="2"/>
      <c r="N401" s="2"/>
      <c r="O401" s="2"/>
      <c r="P401" s="2"/>
      <c r="Q401" s="2"/>
    </row>
    <row r="402" ht="15.75" customHeight="1">
      <c r="B402" s="2"/>
      <c r="C402" s="2"/>
      <c r="D402" s="2"/>
      <c r="E402" s="464"/>
      <c r="F402" s="2"/>
      <c r="G402" s="2"/>
      <c r="H402" s="2"/>
      <c r="I402" s="2"/>
      <c r="J402" s="2"/>
      <c r="K402" s="2"/>
      <c r="L402" s="2"/>
      <c r="M402" s="2"/>
      <c r="N402" s="2"/>
      <c r="O402" s="2"/>
      <c r="P402" s="2"/>
      <c r="Q402" s="2"/>
    </row>
    <row r="403" ht="15.75" customHeight="1">
      <c r="B403" s="2"/>
      <c r="C403" s="2"/>
      <c r="D403" s="2"/>
      <c r="E403" s="464"/>
      <c r="F403" s="2"/>
      <c r="G403" s="2"/>
      <c r="H403" s="2"/>
      <c r="I403" s="2"/>
      <c r="J403" s="2"/>
      <c r="K403" s="2"/>
      <c r="L403" s="2"/>
      <c r="M403" s="2"/>
      <c r="N403" s="2"/>
      <c r="O403" s="2"/>
      <c r="P403" s="2"/>
      <c r="Q403" s="2"/>
    </row>
    <row r="404" ht="15.75" customHeight="1">
      <c r="B404" s="2"/>
      <c r="C404" s="2"/>
      <c r="D404" s="2"/>
      <c r="E404" s="464"/>
      <c r="F404" s="2"/>
      <c r="G404" s="2"/>
      <c r="H404" s="2"/>
      <c r="I404" s="2"/>
      <c r="J404" s="2"/>
      <c r="K404" s="2"/>
      <c r="L404" s="2"/>
      <c r="M404" s="2"/>
      <c r="N404" s="2"/>
      <c r="O404" s="2"/>
      <c r="P404" s="2"/>
      <c r="Q404" s="2"/>
    </row>
    <row r="405" ht="15.75" customHeight="1">
      <c r="B405" s="2"/>
      <c r="C405" s="2"/>
      <c r="D405" s="2"/>
      <c r="E405" s="464"/>
      <c r="F405" s="2"/>
      <c r="G405" s="2"/>
      <c r="H405" s="2"/>
      <c r="I405" s="2"/>
      <c r="J405" s="2"/>
      <c r="K405" s="2"/>
      <c r="L405" s="2"/>
      <c r="M405" s="2"/>
      <c r="N405" s="2"/>
      <c r="O405" s="2"/>
      <c r="P405" s="2"/>
      <c r="Q405" s="2"/>
    </row>
    <row r="406" ht="15.75" customHeight="1">
      <c r="B406" s="2"/>
      <c r="C406" s="2"/>
      <c r="D406" s="2"/>
      <c r="E406" s="464"/>
      <c r="F406" s="2"/>
      <c r="G406" s="2"/>
      <c r="H406" s="2"/>
      <c r="I406" s="2"/>
      <c r="J406" s="2"/>
      <c r="K406" s="2"/>
      <c r="L406" s="2"/>
      <c r="M406" s="2"/>
      <c r="N406" s="2"/>
      <c r="O406" s="2"/>
      <c r="P406" s="2"/>
      <c r="Q406" s="2"/>
    </row>
    <row r="407" ht="15.75" customHeight="1">
      <c r="B407" s="2"/>
      <c r="C407" s="2"/>
      <c r="D407" s="2"/>
      <c r="E407" s="464"/>
      <c r="F407" s="2"/>
      <c r="G407" s="2"/>
      <c r="H407" s="2"/>
      <c r="I407" s="2"/>
      <c r="J407" s="2"/>
      <c r="K407" s="2"/>
      <c r="L407" s="2"/>
      <c r="M407" s="2"/>
      <c r="N407" s="2"/>
      <c r="O407" s="2"/>
      <c r="P407" s="2"/>
      <c r="Q407" s="2"/>
    </row>
    <row r="408" ht="15.75" customHeight="1">
      <c r="B408" s="2"/>
      <c r="C408" s="2"/>
      <c r="D408" s="2"/>
      <c r="E408" s="464"/>
      <c r="F408" s="2"/>
      <c r="G408" s="2"/>
      <c r="H408" s="2"/>
      <c r="I408" s="2"/>
      <c r="J408" s="2"/>
      <c r="K408" s="2"/>
      <c r="L408" s="2"/>
      <c r="M408" s="2"/>
      <c r="N408" s="2"/>
      <c r="O408" s="2"/>
      <c r="P408" s="2"/>
      <c r="Q408" s="2"/>
    </row>
    <row r="409" ht="15.75" customHeight="1">
      <c r="B409" s="2"/>
      <c r="C409" s="2"/>
      <c r="D409" s="2"/>
      <c r="E409" s="464"/>
      <c r="F409" s="2"/>
      <c r="G409" s="2"/>
      <c r="H409" s="2"/>
      <c r="I409" s="2"/>
      <c r="J409" s="2"/>
      <c r="K409" s="2"/>
      <c r="L409" s="2"/>
      <c r="M409" s="2"/>
      <c r="N409" s="2"/>
      <c r="O409" s="2"/>
      <c r="P409" s="2"/>
      <c r="Q409" s="2"/>
    </row>
    <row r="410" ht="15.75" customHeight="1">
      <c r="B410" s="2"/>
      <c r="C410" s="2"/>
      <c r="D410" s="2"/>
      <c r="E410" s="464"/>
      <c r="F410" s="2"/>
      <c r="G410" s="2"/>
      <c r="H410" s="2"/>
      <c r="I410" s="2"/>
      <c r="J410" s="2"/>
      <c r="K410" s="2"/>
      <c r="L410" s="2"/>
      <c r="M410" s="2"/>
      <c r="N410" s="2"/>
      <c r="O410" s="2"/>
      <c r="P410" s="2"/>
      <c r="Q410" s="2"/>
    </row>
    <row r="411" ht="15.75" customHeight="1">
      <c r="B411" s="2"/>
      <c r="C411" s="2"/>
      <c r="D411" s="2"/>
      <c r="E411" s="464"/>
      <c r="F411" s="2"/>
      <c r="G411" s="2"/>
      <c r="H411" s="2"/>
      <c r="I411" s="2"/>
      <c r="J411" s="2"/>
      <c r="K411" s="2"/>
      <c r="L411" s="2"/>
      <c r="M411" s="2"/>
      <c r="N411" s="2"/>
      <c r="O411" s="2"/>
      <c r="P411" s="2"/>
      <c r="Q411" s="2"/>
    </row>
    <row r="412" ht="15.75" customHeight="1">
      <c r="B412" s="2"/>
      <c r="C412" s="2"/>
      <c r="D412" s="2"/>
      <c r="E412" s="464"/>
      <c r="F412" s="2"/>
      <c r="G412" s="2"/>
      <c r="H412" s="2"/>
      <c r="I412" s="2"/>
      <c r="J412" s="2"/>
      <c r="K412" s="2"/>
      <c r="L412" s="2"/>
      <c r="M412" s="2"/>
      <c r="N412" s="2"/>
      <c r="O412" s="2"/>
      <c r="P412" s="2"/>
      <c r="Q412" s="2"/>
    </row>
    <row r="413" ht="15.75" customHeight="1">
      <c r="B413" s="2"/>
      <c r="C413" s="2"/>
      <c r="D413" s="2"/>
      <c r="E413" s="464"/>
      <c r="F413" s="2"/>
      <c r="G413" s="2"/>
      <c r="H413" s="2"/>
      <c r="I413" s="2"/>
      <c r="J413" s="2"/>
      <c r="K413" s="2"/>
      <c r="L413" s="2"/>
      <c r="M413" s="2"/>
      <c r="N413" s="2"/>
      <c r="O413" s="2"/>
      <c r="P413" s="2"/>
      <c r="Q413" s="2"/>
    </row>
    <row r="414" ht="15.75" customHeight="1">
      <c r="B414" s="2"/>
      <c r="C414" s="2"/>
      <c r="D414" s="2"/>
      <c r="E414" s="464"/>
      <c r="F414" s="2"/>
      <c r="G414" s="2"/>
      <c r="H414" s="2"/>
      <c r="I414" s="2"/>
      <c r="J414" s="2"/>
      <c r="K414" s="2"/>
      <c r="L414" s="2"/>
      <c r="M414" s="2"/>
      <c r="N414" s="2"/>
      <c r="O414" s="2"/>
      <c r="P414" s="2"/>
      <c r="Q414" s="2"/>
    </row>
    <row r="415" ht="15.75" customHeight="1">
      <c r="B415" s="2"/>
      <c r="C415" s="2"/>
      <c r="D415" s="2"/>
      <c r="E415" s="464"/>
      <c r="F415" s="2"/>
      <c r="G415" s="2"/>
      <c r="H415" s="2"/>
      <c r="I415" s="2"/>
      <c r="J415" s="2"/>
      <c r="K415" s="2"/>
      <c r="L415" s="2"/>
      <c r="M415" s="2"/>
      <c r="N415" s="2"/>
      <c r="O415" s="2"/>
      <c r="P415" s="2"/>
      <c r="Q415" s="2"/>
    </row>
    <row r="416" ht="15.75" customHeight="1">
      <c r="B416" s="2"/>
      <c r="C416" s="2"/>
      <c r="D416" s="2"/>
      <c r="E416" s="464"/>
      <c r="F416" s="2"/>
      <c r="G416" s="2"/>
      <c r="H416" s="2"/>
      <c r="I416" s="2"/>
      <c r="J416" s="2"/>
      <c r="K416" s="2"/>
      <c r="L416" s="2"/>
      <c r="M416" s="2"/>
      <c r="N416" s="2"/>
      <c r="O416" s="2"/>
      <c r="P416" s="2"/>
      <c r="Q416" s="2"/>
    </row>
    <row r="417" ht="15.75" customHeight="1">
      <c r="B417" s="2"/>
      <c r="C417" s="2"/>
      <c r="D417" s="2"/>
      <c r="E417" s="464"/>
      <c r="F417" s="2"/>
      <c r="G417" s="2"/>
      <c r="H417" s="2"/>
      <c r="I417" s="2"/>
      <c r="J417" s="2"/>
      <c r="K417" s="2"/>
      <c r="L417" s="2"/>
      <c r="M417" s="2"/>
      <c r="N417" s="2"/>
      <c r="O417" s="2"/>
      <c r="P417" s="2"/>
      <c r="Q417" s="2"/>
    </row>
    <row r="418" ht="15.75" customHeight="1">
      <c r="B418" s="2"/>
      <c r="C418" s="2"/>
      <c r="D418" s="2"/>
      <c r="E418" s="464"/>
      <c r="F418" s="2"/>
      <c r="G418" s="2"/>
      <c r="H418" s="2"/>
      <c r="I418" s="2"/>
      <c r="J418" s="2"/>
      <c r="K418" s="2"/>
      <c r="L418" s="2"/>
      <c r="M418" s="2"/>
      <c r="N418" s="2"/>
      <c r="O418" s="2"/>
      <c r="P418" s="2"/>
      <c r="Q418" s="2"/>
    </row>
    <row r="419" ht="15.75" customHeight="1">
      <c r="B419" s="2"/>
      <c r="C419" s="2"/>
      <c r="D419" s="2"/>
      <c r="E419" s="464"/>
      <c r="F419" s="2"/>
      <c r="G419" s="2"/>
      <c r="H419" s="2"/>
      <c r="I419" s="2"/>
      <c r="J419" s="2"/>
      <c r="K419" s="2"/>
      <c r="L419" s="2"/>
      <c r="M419" s="2"/>
      <c r="N419" s="2"/>
      <c r="O419" s="2"/>
      <c r="P419" s="2"/>
      <c r="Q419" s="2"/>
    </row>
    <row r="420" ht="15.75" customHeight="1">
      <c r="B420" s="2"/>
      <c r="C420" s="2"/>
      <c r="D420" s="2"/>
      <c r="E420" s="464"/>
      <c r="F420" s="2"/>
      <c r="G420" s="2"/>
      <c r="H420" s="2"/>
      <c r="I420" s="2"/>
      <c r="J420" s="2"/>
      <c r="K420" s="2"/>
      <c r="L420" s="2"/>
      <c r="M420" s="2"/>
      <c r="N420" s="2"/>
      <c r="O420" s="2"/>
      <c r="P420" s="2"/>
      <c r="Q420" s="2"/>
    </row>
    <row r="421" ht="15.75" customHeight="1">
      <c r="B421" s="2"/>
      <c r="C421" s="2"/>
      <c r="D421" s="2"/>
      <c r="E421" s="464"/>
      <c r="F421" s="2"/>
      <c r="G421" s="2"/>
      <c r="H421" s="2"/>
      <c r="I421" s="2"/>
      <c r="J421" s="2"/>
      <c r="K421" s="2"/>
      <c r="L421" s="2"/>
      <c r="M421" s="2"/>
      <c r="N421" s="2"/>
      <c r="O421" s="2"/>
      <c r="P421" s="2"/>
      <c r="Q421" s="2"/>
    </row>
    <row r="422" ht="15.75" customHeight="1">
      <c r="B422" s="2"/>
      <c r="C422" s="2"/>
      <c r="D422" s="2"/>
      <c r="E422" s="464"/>
      <c r="F422" s="2"/>
      <c r="G422" s="2"/>
      <c r="H422" s="2"/>
      <c r="I422" s="2"/>
      <c r="J422" s="2"/>
      <c r="K422" s="2"/>
      <c r="L422" s="2"/>
      <c r="M422" s="2"/>
      <c r="N422" s="2"/>
      <c r="O422" s="2"/>
      <c r="P422" s="2"/>
      <c r="Q422" s="2"/>
    </row>
    <row r="423" ht="15.75" customHeight="1">
      <c r="B423" s="2"/>
      <c r="C423" s="2"/>
      <c r="D423" s="2"/>
      <c r="E423" s="464"/>
      <c r="F423" s="2"/>
      <c r="G423" s="2"/>
      <c r="H423" s="2"/>
      <c r="I423" s="2"/>
      <c r="J423" s="2"/>
      <c r="K423" s="2"/>
      <c r="L423" s="2"/>
      <c r="M423" s="2"/>
      <c r="N423" s="2"/>
      <c r="O423" s="2"/>
      <c r="P423" s="2"/>
      <c r="Q423" s="2"/>
    </row>
    <row r="424" ht="15.75" customHeight="1">
      <c r="B424" s="2"/>
      <c r="C424" s="2"/>
      <c r="D424" s="2"/>
      <c r="E424" s="464"/>
      <c r="F424" s="2"/>
      <c r="G424" s="2"/>
      <c r="H424" s="2"/>
      <c r="I424" s="2"/>
      <c r="J424" s="2"/>
      <c r="K424" s="2"/>
      <c r="L424" s="2"/>
      <c r="M424" s="2"/>
      <c r="N424" s="2"/>
      <c r="O424" s="2"/>
      <c r="P424" s="2"/>
      <c r="Q424" s="2"/>
    </row>
    <row r="425" ht="15.75" customHeight="1">
      <c r="B425" s="2"/>
      <c r="C425" s="2"/>
      <c r="D425" s="2"/>
      <c r="E425" s="464"/>
      <c r="F425" s="2"/>
      <c r="G425" s="2"/>
      <c r="H425" s="2"/>
      <c r="I425" s="2"/>
      <c r="J425" s="2"/>
      <c r="K425" s="2"/>
      <c r="L425" s="2"/>
      <c r="M425" s="2"/>
      <c r="N425" s="2"/>
      <c r="O425" s="2"/>
      <c r="P425" s="2"/>
      <c r="Q425" s="2"/>
    </row>
    <row r="426" ht="15.75" customHeight="1">
      <c r="B426" s="2"/>
      <c r="C426" s="2"/>
      <c r="D426" s="2"/>
      <c r="E426" s="464"/>
      <c r="F426" s="2"/>
      <c r="G426" s="2"/>
      <c r="H426" s="2"/>
      <c r="I426" s="2"/>
      <c r="J426" s="2"/>
      <c r="K426" s="2"/>
      <c r="L426" s="2"/>
      <c r="M426" s="2"/>
      <c r="N426" s="2"/>
      <c r="O426" s="2"/>
      <c r="P426" s="2"/>
      <c r="Q426" s="2"/>
    </row>
    <row r="427" ht="15.75" customHeight="1">
      <c r="B427" s="2"/>
      <c r="C427" s="2"/>
      <c r="D427" s="2"/>
      <c r="E427" s="464"/>
      <c r="F427" s="2"/>
      <c r="G427" s="2"/>
      <c r="H427" s="2"/>
      <c r="I427" s="2"/>
      <c r="J427" s="2"/>
      <c r="K427" s="2"/>
      <c r="L427" s="2"/>
      <c r="M427" s="2"/>
      <c r="N427" s="2"/>
      <c r="O427" s="2"/>
      <c r="P427" s="2"/>
      <c r="Q427" s="2"/>
    </row>
    <row r="428" ht="15.75" customHeight="1">
      <c r="B428" s="2"/>
      <c r="C428" s="2"/>
      <c r="D428" s="2"/>
      <c r="E428" s="464"/>
      <c r="F428" s="2"/>
      <c r="G428" s="2"/>
      <c r="H428" s="2"/>
      <c r="I428" s="2"/>
      <c r="J428" s="2"/>
      <c r="K428" s="2"/>
      <c r="L428" s="2"/>
      <c r="M428" s="2"/>
      <c r="N428" s="2"/>
      <c r="O428" s="2"/>
      <c r="P428" s="2"/>
      <c r="Q428" s="2"/>
    </row>
    <row r="429" ht="15.75" customHeight="1">
      <c r="B429" s="2"/>
      <c r="C429" s="2"/>
      <c r="D429" s="2"/>
      <c r="E429" s="464"/>
      <c r="F429" s="2"/>
      <c r="G429" s="2"/>
      <c r="H429" s="2"/>
      <c r="I429" s="2"/>
      <c r="J429" s="2"/>
      <c r="K429" s="2"/>
      <c r="L429" s="2"/>
      <c r="M429" s="2"/>
      <c r="N429" s="2"/>
      <c r="O429" s="2"/>
      <c r="P429" s="2"/>
      <c r="Q429" s="2"/>
    </row>
    <row r="430" ht="15.75" customHeight="1">
      <c r="B430" s="2"/>
      <c r="C430" s="2"/>
      <c r="D430" s="2"/>
      <c r="E430" s="464"/>
      <c r="F430" s="2"/>
      <c r="G430" s="2"/>
      <c r="H430" s="2"/>
      <c r="I430" s="2"/>
      <c r="J430" s="2"/>
      <c r="K430" s="2"/>
      <c r="L430" s="2"/>
      <c r="M430" s="2"/>
      <c r="N430" s="2"/>
      <c r="O430" s="2"/>
      <c r="P430" s="2"/>
      <c r="Q430" s="2"/>
    </row>
    <row r="431" ht="15.75" customHeight="1">
      <c r="B431" s="2"/>
      <c r="C431" s="2"/>
      <c r="D431" s="2"/>
      <c r="E431" s="464"/>
      <c r="F431" s="2"/>
      <c r="G431" s="2"/>
      <c r="H431" s="2"/>
      <c r="I431" s="2"/>
      <c r="J431" s="2"/>
      <c r="K431" s="2"/>
      <c r="L431" s="2"/>
      <c r="M431" s="2"/>
      <c r="N431" s="2"/>
      <c r="O431" s="2"/>
      <c r="P431" s="2"/>
      <c r="Q431" s="2"/>
    </row>
    <row r="432" ht="15.75" customHeight="1">
      <c r="B432" s="2"/>
      <c r="C432" s="2"/>
      <c r="D432" s="2"/>
      <c r="E432" s="464"/>
      <c r="F432" s="2"/>
      <c r="G432" s="2"/>
      <c r="H432" s="2"/>
      <c r="I432" s="2"/>
      <c r="J432" s="2"/>
      <c r="K432" s="2"/>
      <c r="L432" s="2"/>
      <c r="M432" s="2"/>
      <c r="N432" s="2"/>
      <c r="O432" s="2"/>
      <c r="P432" s="2"/>
      <c r="Q432" s="2"/>
    </row>
    <row r="433" ht="15.75" customHeight="1">
      <c r="B433" s="2"/>
      <c r="C433" s="2"/>
      <c r="D433" s="2"/>
      <c r="E433" s="464"/>
      <c r="F433" s="2"/>
      <c r="G433" s="2"/>
      <c r="H433" s="2"/>
      <c r="I433" s="2"/>
      <c r="J433" s="2"/>
      <c r="K433" s="2"/>
      <c r="L433" s="2"/>
      <c r="M433" s="2"/>
      <c r="N433" s="2"/>
      <c r="O433" s="2"/>
      <c r="P433" s="2"/>
      <c r="Q433" s="2"/>
    </row>
    <row r="434" ht="15.75" customHeight="1">
      <c r="B434" s="2"/>
      <c r="C434" s="2"/>
      <c r="D434" s="2"/>
      <c r="E434" s="464"/>
      <c r="F434" s="2"/>
      <c r="G434" s="2"/>
      <c r="H434" s="2"/>
      <c r="I434" s="2"/>
      <c r="J434" s="2"/>
      <c r="K434" s="2"/>
      <c r="L434" s="2"/>
      <c r="M434" s="2"/>
      <c r="N434" s="2"/>
      <c r="O434" s="2"/>
      <c r="P434" s="2"/>
      <c r="Q434" s="2"/>
    </row>
    <row r="435" ht="15.75" customHeight="1">
      <c r="B435" s="2"/>
      <c r="C435" s="2"/>
      <c r="D435" s="2"/>
      <c r="E435" s="464"/>
      <c r="F435" s="2"/>
      <c r="G435" s="2"/>
      <c r="H435" s="2"/>
      <c r="I435" s="2"/>
      <c r="J435" s="2"/>
      <c r="K435" s="2"/>
      <c r="L435" s="2"/>
      <c r="M435" s="2"/>
      <c r="N435" s="2"/>
      <c r="O435" s="2"/>
      <c r="P435" s="2"/>
      <c r="Q435" s="2"/>
    </row>
    <row r="436" ht="15.75" customHeight="1">
      <c r="B436" s="2"/>
      <c r="C436" s="2"/>
      <c r="D436" s="2"/>
      <c r="E436" s="464"/>
      <c r="F436" s="2"/>
      <c r="G436" s="2"/>
      <c r="H436" s="2"/>
      <c r="I436" s="2"/>
      <c r="J436" s="2"/>
      <c r="K436" s="2"/>
      <c r="L436" s="2"/>
      <c r="M436" s="2"/>
      <c r="N436" s="2"/>
      <c r="O436" s="2"/>
      <c r="P436" s="2"/>
      <c r="Q436" s="2"/>
    </row>
    <row r="437" ht="15.75" customHeight="1">
      <c r="B437" s="2"/>
      <c r="C437" s="2"/>
      <c r="D437" s="2"/>
      <c r="E437" s="464"/>
      <c r="F437" s="2"/>
      <c r="G437" s="2"/>
      <c r="H437" s="2"/>
      <c r="I437" s="2"/>
      <c r="J437" s="2"/>
      <c r="K437" s="2"/>
      <c r="L437" s="2"/>
      <c r="M437" s="2"/>
      <c r="N437" s="2"/>
      <c r="O437" s="2"/>
      <c r="P437" s="2"/>
      <c r="Q437" s="2"/>
    </row>
    <row r="438" ht="15.75" customHeight="1">
      <c r="B438" s="2"/>
      <c r="C438" s="2"/>
      <c r="D438" s="2"/>
      <c r="E438" s="464"/>
      <c r="F438" s="2"/>
      <c r="G438" s="2"/>
      <c r="H438" s="2"/>
      <c r="I438" s="2"/>
      <c r="J438" s="2"/>
      <c r="K438" s="2"/>
      <c r="L438" s="2"/>
      <c r="M438" s="2"/>
      <c r="N438" s="2"/>
      <c r="O438" s="2"/>
      <c r="P438" s="2"/>
      <c r="Q438" s="2"/>
    </row>
    <row r="439" ht="15.75" customHeight="1">
      <c r="B439" s="2"/>
      <c r="C439" s="2"/>
      <c r="D439" s="2"/>
      <c r="E439" s="464"/>
      <c r="F439" s="2"/>
      <c r="G439" s="2"/>
      <c r="H439" s="2"/>
      <c r="I439" s="2"/>
      <c r="J439" s="2"/>
      <c r="K439" s="2"/>
      <c r="L439" s="2"/>
      <c r="M439" s="2"/>
      <c r="N439" s="2"/>
      <c r="O439" s="2"/>
      <c r="P439" s="2"/>
      <c r="Q439" s="2"/>
    </row>
    <row r="440" ht="15.75" customHeight="1">
      <c r="B440" s="2"/>
      <c r="C440" s="2"/>
      <c r="D440" s="2"/>
      <c r="E440" s="464"/>
      <c r="F440" s="2"/>
      <c r="G440" s="2"/>
      <c r="H440" s="2"/>
      <c r="I440" s="2"/>
      <c r="J440" s="2"/>
      <c r="K440" s="2"/>
      <c r="L440" s="2"/>
      <c r="M440" s="2"/>
      <c r="N440" s="2"/>
      <c r="O440" s="2"/>
      <c r="P440" s="2"/>
      <c r="Q440" s="2"/>
    </row>
    <row r="441" ht="15.75" customHeight="1">
      <c r="B441" s="2"/>
      <c r="C441" s="2"/>
      <c r="D441" s="2"/>
      <c r="E441" s="464"/>
      <c r="F441" s="2"/>
      <c r="G441" s="2"/>
      <c r="H441" s="2"/>
      <c r="I441" s="2"/>
      <c r="J441" s="2"/>
      <c r="K441" s="2"/>
      <c r="L441" s="2"/>
      <c r="M441" s="2"/>
      <c r="N441" s="2"/>
      <c r="O441" s="2"/>
      <c r="P441" s="2"/>
      <c r="Q441" s="2"/>
    </row>
    <row r="442" ht="15.75" customHeight="1">
      <c r="B442" s="2"/>
      <c r="C442" s="2"/>
      <c r="D442" s="2"/>
      <c r="E442" s="464"/>
      <c r="F442" s="2"/>
      <c r="G442" s="2"/>
      <c r="H442" s="2"/>
      <c r="I442" s="2"/>
      <c r="J442" s="2"/>
      <c r="K442" s="2"/>
      <c r="L442" s="2"/>
      <c r="M442" s="2"/>
      <c r="N442" s="2"/>
      <c r="O442" s="2"/>
      <c r="P442" s="2"/>
      <c r="Q442" s="2"/>
    </row>
    <row r="443" ht="15.75" customHeight="1">
      <c r="B443" s="2"/>
      <c r="C443" s="2"/>
      <c r="D443" s="2"/>
      <c r="E443" s="464"/>
      <c r="F443" s="2"/>
      <c r="G443" s="2"/>
      <c r="H443" s="2"/>
      <c r="I443" s="2"/>
      <c r="J443" s="2"/>
      <c r="K443" s="2"/>
      <c r="L443" s="2"/>
      <c r="M443" s="2"/>
      <c r="N443" s="2"/>
      <c r="O443" s="2"/>
      <c r="P443" s="2"/>
      <c r="Q443" s="2"/>
    </row>
    <row r="444" ht="15.75" customHeight="1">
      <c r="B444" s="2"/>
      <c r="C444" s="2"/>
      <c r="D444" s="2"/>
      <c r="E444" s="464"/>
      <c r="F444" s="2"/>
      <c r="G444" s="2"/>
      <c r="H444" s="2"/>
      <c r="I444" s="2"/>
      <c r="J444" s="2"/>
      <c r="K444" s="2"/>
      <c r="L444" s="2"/>
      <c r="M444" s="2"/>
      <c r="N444" s="2"/>
      <c r="O444" s="2"/>
      <c r="P444" s="2"/>
      <c r="Q444" s="2"/>
    </row>
    <row r="445" ht="15.75" customHeight="1">
      <c r="B445" s="2"/>
      <c r="C445" s="2"/>
      <c r="D445" s="2"/>
      <c r="E445" s="464"/>
      <c r="F445" s="2"/>
      <c r="G445" s="2"/>
      <c r="H445" s="2"/>
      <c r="I445" s="2"/>
      <c r="J445" s="2"/>
      <c r="K445" s="2"/>
      <c r="L445" s="2"/>
      <c r="M445" s="2"/>
      <c r="N445" s="2"/>
      <c r="O445" s="2"/>
      <c r="P445" s="2"/>
      <c r="Q445" s="2"/>
    </row>
    <row r="446" ht="15.75" customHeight="1">
      <c r="B446" s="2"/>
      <c r="C446" s="2"/>
      <c r="D446" s="2"/>
      <c r="E446" s="464"/>
      <c r="F446" s="2"/>
      <c r="G446" s="2"/>
      <c r="H446" s="2"/>
      <c r="I446" s="2"/>
      <c r="J446" s="2"/>
      <c r="K446" s="2"/>
      <c r="L446" s="2"/>
      <c r="M446" s="2"/>
      <c r="N446" s="2"/>
      <c r="O446" s="2"/>
      <c r="P446" s="2"/>
      <c r="Q446" s="2"/>
    </row>
    <row r="447" ht="15.75" customHeight="1">
      <c r="B447" s="2"/>
      <c r="C447" s="2"/>
      <c r="D447" s="2"/>
      <c r="E447" s="464"/>
      <c r="F447" s="2"/>
      <c r="G447" s="2"/>
      <c r="H447" s="2"/>
      <c r="I447" s="2"/>
      <c r="J447" s="2"/>
      <c r="K447" s="2"/>
      <c r="L447" s="2"/>
      <c r="M447" s="2"/>
      <c r="N447" s="2"/>
      <c r="O447" s="2"/>
      <c r="P447" s="2"/>
      <c r="Q447" s="2"/>
    </row>
    <row r="448" ht="15.75" customHeight="1">
      <c r="B448" s="2"/>
      <c r="C448" s="2"/>
      <c r="D448" s="2"/>
      <c r="E448" s="464"/>
      <c r="F448" s="2"/>
      <c r="G448" s="2"/>
      <c r="H448" s="2"/>
      <c r="I448" s="2"/>
      <c r="J448" s="2"/>
      <c r="K448" s="2"/>
      <c r="L448" s="2"/>
      <c r="M448" s="2"/>
      <c r="N448" s="2"/>
      <c r="O448" s="2"/>
      <c r="P448" s="2"/>
      <c r="Q448" s="2"/>
    </row>
    <row r="449" ht="15.75" customHeight="1">
      <c r="B449" s="2"/>
      <c r="C449" s="2"/>
      <c r="D449" s="2"/>
      <c r="E449" s="464"/>
      <c r="F449" s="2"/>
      <c r="G449" s="2"/>
      <c r="H449" s="2"/>
      <c r="I449" s="2"/>
      <c r="J449" s="2"/>
      <c r="K449" s="2"/>
      <c r="L449" s="2"/>
      <c r="M449" s="2"/>
      <c r="N449" s="2"/>
      <c r="O449" s="2"/>
      <c r="P449" s="2"/>
      <c r="Q449" s="2"/>
    </row>
    <row r="450" ht="15.75" customHeight="1">
      <c r="B450" s="2"/>
      <c r="C450" s="2"/>
      <c r="D450" s="2"/>
      <c r="E450" s="464"/>
      <c r="F450" s="2"/>
      <c r="G450" s="2"/>
      <c r="H450" s="2"/>
      <c r="I450" s="2"/>
      <c r="J450" s="2"/>
      <c r="K450" s="2"/>
      <c r="L450" s="2"/>
      <c r="M450" s="2"/>
      <c r="N450" s="2"/>
      <c r="O450" s="2"/>
      <c r="P450" s="2"/>
      <c r="Q450" s="2"/>
    </row>
    <row r="451" ht="15.75" customHeight="1">
      <c r="B451" s="2"/>
      <c r="C451" s="2"/>
      <c r="D451" s="2"/>
      <c r="E451" s="464"/>
      <c r="F451" s="2"/>
      <c r="G451" s="2"/>
      <c r="H451" s="2"/>
      <c r="I451" s="2"/>
      <c r="J451" s="2"/>
      <c r="K451" s="2"/>
      <c r="L451" s="2"/>
      <c r="M451" s="2"/>
      <c r="N451" s="2"/>
      <c r="O451" s="2"/>
      <c r="P451" s="2"/>
      <c r="Q451" s="2"/>
    </row>
    <row r="452" ht="15.75" customHeight="1">
      <c r="B452" s="2"/>
      <c r="C452" s="2"/>
      <c r="D452" s="2"/>
      <c r="E452" s="464"/>
      <c r="F452" s="2"/>
      <c r="G452" s="2"/>
      <c r="H452" s="2"/>
      <c r="I452" s="2"/>
      <c r="J452" s="2"/>
      <c r="K452" s="2"/>
      <c r="L452" s="2"/>
      <c r="M452" s="2"/>
      <c r="N452" s="2"/>
      <c r="O452" s="2"/>
      <c r="P452" s="2"/>
      <c r="Q452" s="2"/>
    </row>
    <row r="453" ht="15.75" customHeight="1">
      <c r="B453" s="2"/>
      <c r="C453" s="2"/>
      <c r="D453" s="2"/>
      <c r="E453" s="464"/>
      <c r="F453" s="2"/>
      <c r="G453" s="2"/>
      <c r="H453" s="2"/>
      <c r="I453" s="2"/>
      <c r="J453" s="2"/>
      <c r="K453" s="2"/>
      <c r="L453" s="2"/>
      <c r="M453" s="2"/>
      <c r="N453" s="2"/>
      <c r="O453" s="2"/>
      <c r="P453" s="2"/>
      <c r="Q453" s="2"/>
    </row>
    <row r="454" ht="15.75" customHeight="1">
      <c r="B454" s="2"/>
      <c r="C454" s="2"/>
      <c r="D454" s="2"/>
      <c r="E454" s="464"/>
      <c r="F454" s="2"/>
      <c r="G454" s="2"/>
      <c r="H454" s="2"/>
      <c r="I454" s="2"/>
      <c r="J454" s="2"/>
      <c r="K454" s="2"/>
      <c r="L454" s="2"/>
      <c r="M454" s="2"/>
      <c r="N454" s="2"/>
      <c r="O454" s="2"/>
      <c r="P454" s="2"/>
      <c r="Q454" s="2"/>
    </row>
    <row r="455" ht="15.75" customHeight="1">
      <c r="B455" s="2"/>
      <c r="C455" s="2"/>
      <c r="D455" s="2"/>
      <c r="E455" s="464"/>
      <c r="F455" s="2"/>
      <c r="G455" s="2"/>
      <c r="H455" s="2"/>
      <c r="I455" s="2"/>
      <c r="J455" s="2"/>
      <c r="K455" s="2"/>
      <c r="L455" s="2"/>
      <c r="M455" s="2"/>
      <c r="N455" s="2"/>
      <c r="O455" s="2"/>
      <c r="P455" s="2"/>
      <c r="Q455" s="2"/>
    </row>
    <row r="456" ht="15.75" customHeight="1">
      <c r="B456" s="2"/>
      <c r="C456" s="2"/>
      <c r="D456" s="2"/>
      <c r="E456" s="464"/>
      <c r="F456" s="2"/>
      <c r="G456" s="2"/>
      <c r="H456" s="2"/>
      <c r="I456" s="2"/>
      <c r="J456" s="2"/>
      <c r="K456" s="2"/>
      <c r="L456" s="2"/>
      <c r="M456" s="2"/>
      <c r="N456" s="2"/>
      <c r="O456" s="2"/>
      <c r="P456" s="2"/>
      <c r="Q456" s="2"/>
    </row>
    <row r="457" ht="15.75" customHeight="1">
      <c r="B457" s="2"/>
      <c r="C457" s="2"/>
      <c r="D457" s="2"/>
      <c r="E457" s="464"/>
      <c r="F457" s="2"/>
      <c r="G457" s="2"/>
      <c r="H457" s="2"/>
      <c r="I457" s="2"/>
      <c r="J457" s="2"/>
      <c r="K457" s="2"/>
      <c r="L457" s="2"/>
      <c r="M457" s="2"/>
      <c r="N457" s="2"/>
      <c r="O457" s="2"/>
      <c r="P457" s="2"/>
      <c r="Q457" s="2"/>
    </row>
    <row r="458" ht="15.75" customHeight="1">
      <c r="B458" s="2"/>
      <c r="C458" s="2"/>
      <c r="D458" s="2"/>
      <c r="E458" s="464"/>
      <c r="F458" s="2"/>
      <c r="G458" s="2"/>
      <c r="H458" s="2"/>
      <c r="I458" s="2"/>
      <c r="J458" s="2"/>
      <c r="K458" s="2"/>
      <c r="L458" s="2"/>
      <c r="M458" s="2"/>
      <c r="N458" s="2"/>
      <c r="O458" s="2"/>
      <c r="P458" s="2"/>
      <c r="Q458" s="2"/>
    </row>
    <row r="459" ht="15.75" customHeight="1">
      <c r="B459" s="2"/>
      <c r="C459" s="2"/>
      <c r="D459" s="2"/>
      <c r="E459" s="464"/>
      <c r="F459" s="2"/>
      <c r="G459" s="2"/>
      <c r="H459" s="2"/>
      <c r="I459" s="2"/>
      <c r="J459" s="2"/>
      <c r="K459" s="2"/>
      <c r="L459" s="2"/>
      <c r="M459" s="2"/>
      <c r="N459" s="2"/>
      <c r="O459" s="2"/>
      <c r="P459" s="2"/>
      <c r="Q459" s="2"/>
    </row>
    <row r="460" ht="15.75" customHeight="1">
      <c r="B460" s="2"/>
      <c r="C460" s="2"/>
      <c r="D460" s="2"/>
      <c r="E460" s="464"/>
      <c r="F460" s="2"/>
      <c r="G460" s="2"/>
      <c r="H460" s="2"/>
      <c r="I460" s="2"/>
      <c r="J460" s="2"/>
      <c r="K460" s="2"/>
      <c r="L460" s="2"/>
      <c r="M460" s="2"/>
      <c r="N460" s="2"/>
      <c r="O460" s="2"/>
      <c r="P460" s="2"/>
      <c r="Q460" s="2"/>
    </row>
    <row r="461" ht="15.75" customHeight="1">
      <c r="B461" s="2"/>
      <c r="C461" s="2"/>
      <c r="D461" s="2"/>
      <c r="E461" s="464"/>
      <c r="F461" s="2"/>
      <c r="G461" s="2"/>
      <c r="H461" s="2"/>
      <c r="I461" s="2"/>
      <c r="J461" s="2"/>
      <c r="K461" s="2"/>
      <c r="L461" s="2"/>
      <c r="M461" s="2"/>
      <c r="N461" s="2"/>
      <c r="O461" s="2"/>
      <c r="P461" s="2"/>
      <c r="Q461" s="2"/>
    </row>
    <row r="462" ht="15.75" customHeight="1">
      <c r="B462" s="2"/>
      <c r="C462" s="2"/>
      <c r="D462" s="2"/>
      <c r="E462" s="464"/>
      <c r="F462" s="2"/>
      <c r="G462" s="2"/>
      <c r="H462" s="2"/>
      <c r="I462" s="2"/>
      <c r="J462" s="2"/>
      <c r="K462" s="2"/>
      <c r="L462" s="2"/>
      <c r="M462" s="2"/>
      <c r="N462" s="2"/>
      <c r="O462" s="2"/>
      <c r="P462" s="2"/>
      <c r="Q462" s="2"/>
    </row>
    <row r="463" ht="15.75" customHeight="1">
      <c r="B463" s="2"/>
      <c r="C463" s="2"/>
      <c r="D463" s="2"/>
      <c r="E463" s="464"/>
      <c r="F463" s="2"/>
      <c r="G463" s="2"/>
      <c r="H463" s="2"/>
      <c r="I463" s="2"/>
      <c r="J463" s="2"/>
      <c r="K463" s="2"/>
      <c r="L463" s="2"/>
      <c r="M463" s="2"/>
      <c r="N463" s="2"/>
      <c r="O463" s="2"/>
      <c r="P463" s="2"/>
      <c r="Q463" s="2"/>
    </row>
    <row r="464" ht="15.75" customHeight="1">
      <c r="B464" s="2"/>
      <c r="C464" s="2"/>
      <c r="D464" s="2"/>
      <c r="E464" s="464"/>
      <c r="F464" s="2"/>
      <c r="G464" s="2"/>
      <c r="H464" s="2"/>
      <c r="I464" s="2"/>
      <c r="J464" s="2"/>
      <c r="K464" s="2"/>
      <c r="L464" s="2"/>
      <c r="M464" s="2"/>
      <c r="N464" s="2"/>
      <c r="O464" s="2"/>
      <c r="P464" s="2"/>
      <c r="Q464" s="2"/>
    </row>
    <row r="465" ht="15.75" customHeight="1">
      <c r="B465" s="2"/>
      <c r="C465" s="2"/>
      <c r="D465" s="2"/>
      <c r="E465" s="464"/>
      <c r="F465" s="2"/>
      <c r="G465" s="2"/>
      <c r="H465" s="2"/>
      <c r="I465" s="2"/>
      <c r="J465" s="2"/>
      <c r="K465" s="2"/>
      <c r="L465" s="2"/>
      <c r="M465" s="2"/>
      <c r="N465" s="2"/>
      <c r="O465" s="2"/>
      <c r="P465" s="2"/>
      <c r="Q465" s="2"/>
    </row>
    <row r="466" ht="15.75" customHeight="1">
      <c r="B466" s="2"/>
      <c r="C466" s="2"/>
      <c r="D466" s="2"/>
      <c r="E466" s="464"/>
      <c r="F466" s="2"/>
      <c r="G466" s="2"/>
      <c r="H466" s="2"/>
      <c r="I466" s="2"/>
      <c r="J466" s="2"/>
      <c r="K466" s="2"/>
      <c r="L466" s="2"/>
      <c r="M466" s="2"/>
      <c r="N466" s="2"/>
      <c r="O466" s="2"/>
      <c r="P466" s="2"/>
      <c r="Q466" s="2"/>
    </row>
    <row r="467" ht="15.75" customHeight="1">
      <c r="B467" s="2"/>
      <c r="C467" s="2"/>
      <c r="D467" s="2"/>
      <c r="E467" s="464"/>
      <c r="F467" s="2"/>
      <c r="G467" s="2"/>
      <c r="H467" s="2"/>
      <c r="I467" s="2"/>
      <c r="J467" s="2"/>
      <c r="K467" s="2"/>
      <c r="L467" s="2"/>
      <c r="M467" s="2"/>
      <c r="N467" s="2"/>
      <c r="O467" s="2"/>
      <c r="P467" s="2"/>
      <c r="Q467" s="2"/>
    </row>
    <row r="468" ht="15.75" customHeight="1">
      <c r="B468" s="2"/>
      <c r="C468" s="2"/>
      <c r="D468" s="2"/>
      <c r="E468" s="464"/>
      <c r="F468" s="2"/>
      <c r="G468" s="2"/>
      <c r="H468" s="2"/>
      <c r="I468" s="2"/>
      <c r="J468" s="2"/>
      <c r="K468" s="2"/>
      <c r="L468" s="2"/>
      <c r="M468" s="2"/>
      <c r="N468" s="2"/>
      <c r="O468" s="2"/>
      <c r="P468" s="2"/>
      <c r="Q468" s="2"/>
    </row>
    <row r="469" ht="15.75" customHeight="1">
      <c r="B469" s="2"/>
      <c r="C469" s="2"/>
      <c r="D469" s="2"/>
      <c r="E469" s="464"/>
      <c r="F469" s="2"/>
      <c r="G469" s="2"/>
      <c r="H469" s="2"/>
      <c r="I469" s="2"/>
      <c r="J469" s="2"/>
      <c r="K469" s="2"/>
      <c r="L469" s="2"/>
      <c r="M469" s="2"/>
      <c r="N469" s="2"/>
      <c r="O469" s="2"/>
      <c r="P469" s="2"/>
      <c r="Q469" s="2"/>
    </row>
    <row r="470" ht="15.75" customHeight="1">
      <c r="B470" s="2"/>
      <c r="C470" s="2"/>
      <c r="D470" s="2"/>
      <c r="E470" s="464"/>
      <c r="F470" s="2"/>
      <c r="G470" s="2"/>
      <c r="H470" s="2"/>
      <c r="I470" s="2"/>
      <c r="J470" s="2"/>
      <c r="K470" s="2"/>
      <c r="L470" s="2"/>
      <c r="M470" s="2"/>
      <c r="N470" s="2"/>
      <c r="O470" s="2"/>
      <c r="P470" s="2"/>
      <c r="Q470" s="2"/>
    </row>
    <row r="471" ht="15.75" customHeight="1">
      <c r="B471" s="2"/>
      <c r="C471" s="2"/>
      <c r="D471" s="2"/>
      <c r="E471" s="464"/>
      <c r="F471" s="2"/>
      <c r="G471" s="2"/>
      <c r="H471" s="2"/>
      <c r="I471" s="2"/>
      <c r="J471" s="2"/>
      <c r="K471" s="2"/>
      <c r="L471" s="2"/>
      <c r="M471" s="2"/>
      <c r="N471" s="2"/>
      <c r="O471" s="2"/>
      <c r="P471" s="2"/>
      <c r="Q471" s="2"/>
    </row>
    <row r="472" ht="15.75" customHeight="1">
      <c r="B472" s="2"/>
      <c r="C472" s="2"/>
      <c r="D472" s="2"/>
      <c r="E472" s="464"/>
      <c r="F472" s="2"/>
      <c r="G472" s="2"/>
      <c r="H472" s="2"/>
      <c r="I472" s="2"/>
      <c r="J472" s="2"/>
      <c r="K472" s="2"/>
      <c r="L472" s="2"/>
      <c r="M472" s="2"/>
      <c r="N472" s="2"/>
      <c r="O472" s="2"/>
      <c r="P472" s="2"/>
      <c r="Q472" s="2"/>
    </row>
    <row r="473" ht="15.75" customHeight="1">
      <c r="B473" s="2"/>
      <c r="C473" s="2"/>
      <c r="D473" s="2"/>
      <c r="E473" s="464"/>
      <c r="F473" s="2"/>
      <c r="G473" s="2"/>
      <c r="H473" s="2"/>
      <c r="I473" s="2"/>
      <c r="J473" s="2"/>
      <c r="K473" s="2"/>
      <c r="L473" s="2"/>
      <c r="M473" s="2"/>
      <c r="N473" s="2"/>
      <c r="O473" s="2"/>
      <c r="P473" s="2"/>
      <c r="Q473" s="2"/>
    </row>
    <row r="474" ht="15.75" customHeight="1">
      <c r="B474" s="2"/>
      <c r="C474" s="2"/>
      <c r="D474" s="2"/>
      <c r="E474" s="464"/>
      <c r="F474" s="2"/>
      <c r="G474" s="2"/>
      <c r="H474" s="2"/>
      <c r="I474" s="2"/>
      <c r="J474" s="2"/>
      <c r="K474" s="2"/>
      <c r="L474" s="2"/>
      <c r="M474" s="2"/>
      <c r="N474" s="2"/>
      <c r="O474" s="2"/>
      <c r="P474" s="2"/>
      <c r="Q474" s="2"/>
    </row>
    <row r="475" ht="15.75" customHeight="1">
      <c r="B475" s="2"/>
      <c r="C475" s="2"/>
      <c r="D475" s="2"/>
      <c r="E475" s="464"/>
      <c r="F475" s="2"/>
      <c r="G475" s="2"/>
      <c r="H475" s="2"/>
      <c r="I475" s="2"/>
      <c r="J475" s="2"/>
      <c r="K475" s="2"/>
      <c r="L475" s="2"/>
      <c r="M475" s="2"/>
      <c r="N475" s="2"/>
      <c r="O475" s="2"/>
      <c r="P475" s="2"/>
      <c r="Q475" s="2"/>
    </row>
    <row r="476" ht="15.75" customHeight="1">
      <c r="B476" s="2"/>
      <c r="C476" s="2"/>
      <c r="D476" s="2"/>
      <c r="E476" s="464"/>
      <c r="F476" s="2"/>
      <c r="G476" s="2"/>
      <c r="H476" s="2"/>
      <c r="I476" s="2"/>
      <c r="J476" s="2"/>
      <c r="K476" s="2"/>
      <c r="L476" s="2"/>
      <c r="M476" s="2"/>
      <c r="N476" s="2"/>
      <c r="O476" s="2"/>
      <c r="P476" s="2"/>
      <c r="Q476" s="2"/>
    </row>
    <row r="477" ht="15.75" customHeight="1">
      <c r="B477" s="2"/>
      <c r="C477" s="2"/>
      <c r="D477" s="2"/>
      <c r="E477" s="464"/>
      <c r="F477" s="2"/>
      <c r="G477" s="2"/>
      <c r="H477" s="2"/>
      <c r="I477" s="2"/>
      <c r="J477" s="2"/>
      <c r="K477" s="2"/>
      <c r="L477" s="2"/>
      <c r="M477" s="2"/>
      <c r="N477" s="2"/>
      <c r="O477" s="2"/>
      <c r="P477" s="2"/>
      <c r="Q477" s="2"/>
    </row>
    <row r="478" ht="15.75" customHeight="1">
      <c r="B478" s="2"/>
      <c r="C478" s="2"/>
      <c r="D478" s="2"/>
      <c r="E478" s="464"/>
      <c r="F478" s="2"/>
      <c r="G478" s="2"/>
      <c r="H478" s="2"/>
      <c r="I478" s="2"/>
      <c r="J478" s="2"/>
      <c r="K478" s="2"/>
      <c r="L478" s="2"/>
      <c r="M478" s="2"/>
      <c r="N478" s="2"/>
      <c r="O478" s="2"/>
      <c r="P478" s="2"/>
      <c r="Q478" s="2"/>
    </row>
    <row r="479" ht="15.75" customHeight="1">
      <c r="B479" s="2"/>
      <c r="C479" s="2"/>
      <c r="D479" s="2"/>
      <c r="E479" s="464"/>
      <c r="F479" s="2"/>
      <c r="G479" s="2"/>
      <c r="H479" s="2"/>
      <c r="I479" s="2"/>
      <c r="J479" s="2"/>
      <c r="K479" s="2"/>
      <c r="L479" s="2"/>
      <c r="M479" s="2"/>
      <c r="N479" s="2"/>
      <c r="O479" s="2"/>
      <c r="P479" s="2"/>
      <c r="Q479" s="2"/>
    </row>
    <row r="480" ht="15.75" customHeight="1">
      <c r="B480" s="2"/>
      <c r="C480" s="2"/>
      <c r="D480" s="2"/>
      <c r="E480" s="464"/>
      <c r="F480" s="2"/>
      <c r="G480" s="2"/>
      <c r="H480" s="2"/>
      <c r="I480" s="2"/>
      <c r="J480" s="2"/>
      <c r="K480" s="2"/>
      <c r="L480" s="2"/>
      <c r="M480" s="2"/>
      <c r="N480" s="2"/>
      <c r="O480" s="2"/>
      <c r="P480" s="2"/>
      <c r="Q480" s="2"/>
    </row>
    <row r="481" ht="15.75" customHeight="1">
      <c r="B481" s="2"/>
      <c r="C481" s="2"/>
      <c r="D481" s="2"/>
      <c r="E481" s="464"/>
      <c r="F481" s="2"/>
      <c r="G481" s="2"/>
      <c r="H481" s="2"/>
      <c r="I481" s="2"/>
      <c r="J481" s="2"/>
      <c r="K481" s="2"/>
      <c r="L481" s="2"/>
      <c r="M481" s="2"/>
      <c r="N481" s="2"/>
      <c r="O481" s="2"/>
      <c r="P481" s="2"/>
      <c r="Q481" s="2"/>
    </row>
    <row r="482" ht="15.75" customHeight="1">
      <c r="B482" s="2"/>
      <c r="C482" s="2"/>
      <c r="D482" s="2"/>
      <c r="E482" s="464"/>
      <c r="F482" s="2"/>
      <c r="G482" s="2"/>
      <c r="H482" s="2"/>
      <c r="I482" s="2"/>
      <c r="J482" s="2"/>
      <c r="K482" s="2"/>
      <c r="L482" s="2"/>
      <c r="M482" s="2"/>
      <c r="N482" s="2"/>
      <c r="O482" s="2"/>
      <c r="P482" s="2"/>
      <c r="Q482" s="2"/>
    </row>
    <row r="483" ht="15.75" customHeight="1">
      <c r="B483" s="2"/>
      <c r="C483" s="2"/>
      <c r="D483" s="2"/>
      <c r="E483" s="464"/>
      <c r="F483" s="2"/>
      <c r="G483" s="2"/>
      <c r="H483" s="2"/>
      <c r="I483" s="2"/>
      <c r="J483" s="2"/>
      <c r="K483" s="2"/>
      <c r="L483" s="2"/>
      <c r="M483" s="2"/>
      <c r="N483" s="2"/>
      <c r="O483" s="2"/>
      <c r="P483" s="2"/>
      <c r="Q483" s="2"/>
    </row>
    <row r="484" ht="15.75" customHeight="1">
      <c r="B484" s="2"/>
      <c r="C484" s="2"/>
      <c r="D484" s="2"/>
      <c r="E484" s="464"/>
      <c r="F484" s="2"/>
      <c r="G484" s="2"/>
      <c r="H484" s="2"/>
      <c r="I484" s="2"/>
      <c r="J484" s="2"/>
      <c r="K484" s="2"/>
      <c r="L484" s="2"/>
      <c r="M484" s="2"/>
      <c r="N484" s="2"/>
      <c r="O484" s="2"/>
      <c r="P484" s="2"/>
      <c r="Q484" s="2"/>
    </row>
    <row r="485" ht="15.75" customHeight="1">
      <c r="B485" s="2"/>
      <c r="C485" s="2"/>
      <c r="D485" s="2"/>
      <c r="E485" s="464"/>
      <c r="F485" s="2"/>
      <c r="G485" s="2"/>
      <c r="H485" s="2"/>
      <c r="I485" s="2"/>
      <c r="J485" s="2"/>
      <c r="K485" s="2"/>
      <c r="L485" s="2"/>
      <c r="M485" s="2"/>
      <c r="N485" s="2"/>
      <c r="O485" s="2"/>
      <c r="P485" s="2"/>
      <c r="Q485" s="2"/>
    </row>
    <row r="486" ht="15.75" customHeight="1">
      <c r="B486" s="2"/>
      <c r="C486" s="2"/>
      <c r="D486" s="2"/>
      <c r="E486" s="464"/>
      <c r="F486" s="2"/>
      <c r="G486" s="2"/>
      <c r="H486" s="2"/>
      <c r="I486" s="2"/>
      <c r="J486" s="2"/>
      <c r="K486" s="2"/>
      <c r="L486" s="2"/>
      <c r="M486" s="2"/>
      <c r="N486" s="2"/>
      <c r="O486" s="2"/>
      <c r="P486" s="2"/>
      <c r="Q486" s="2"/>
    </row>
    <row r="487" ht="15.75" customHeight="1">
      <c r="B487" s="2"/>
      <c r="C487" s="2"/>
      <c r="D487" s="2"/>
      <c r="E487" s="464"/>
      <c r="F487" s="2"/>
      <c r="G487" s="2"/>
      <c r="H487" s="2"/>
      <c r="I487" s="2"/>
      <c r="J487" s="2"/>
      <c r="K487" s="2"/>
      <c r="L487" s="2"/>
      <c r="M487" s="2"/>
      <c r="N487" s="2"/>
      <c r="O487" s="2"/>
      <c r="P487" s="2"/>
      <c r="Q487" s="2"/>
    </row>
    <row r="488" ht="15.75" customHeight="1">
      <c r="B488" s="2"/>
      <c r="C488" s="2"/>
      <c r="D488" s="2"/>
      <c r="E488" s="464"/>
      <c r="F488" s="2"/>
      <c r="G488" s="2"/>
      <c r="H488" s="2"/>
      <c r="I488" s="2"/>
      <c r="J488" s="2"/>
      <c r="K488" s="2"/>
      <c r="L488" s="2"/>
      <c r="M488" s="2"/>
      <c r="N488" s="2"/>
      <c r="O488" s="2"/>
      <c r="P488" s="2"/>
      <c r="Q488" s="2"/>
    </row>
    <row r="489" ht="15.75" customHeight="1">
      <c r="B489" s="2"/>
      <c r="C489" s="2"/>
      <c r="D489" s="2"/>
      <c r="E489" s="464"/>
      <c r="F489" s="2"/>
      <c r="G489" s="2"/>
      <c r="H489" s="2"/>
      <c r="I489" s="2"/>
      <c r="J489" s="2"/>
      <c r="K489" s="2"/>
      <c r="L489" s="2"/>
      <c r="M489" s="2"/>
      <c r="N489" s="2"/>
      <c r="O489" s="2"/>
      <c r="P489" s="2"/>
      <c r="Q489" s="2"/>
    </row>
    <row r="490" ht="15.75" customHeight="1">
      <c r="B490" s="2"/>
      <c r="C490" s="2"/>
      <c r="D490" s="2"/>
      <c r="E490" s="464"/>
      <c r="F490" s="2"/>
      <c r="G490" s="2"/>
      <c r="H490" s="2"/>
      <c r="I490" s="2"/>
      <c r="J490" s="2"/>
      <c r="K490" s="2"/>
      <c r="L490" s="2"/>
      <c r="M490" s="2"/>
      <c r="N490" s="2"/>
      <c r="O490" s="2"/>
      <c r="P490" s="2"/>
      <c r="Q490" s="2"/>
    </row>
    <row r="491" ht="15.75" customHeight="1">
      <c r="B491" s="2"/>
      <c r="C491" s="2"/>
      <c r="D491" s="2"/>
      <c r="E491" s="464"/>
      <c r="F491" s="2"/>
      <c r="G491" s="2"/>
      <c r="H491" s="2"/>
      <c r="I491" s="2"/>
      <c r="J491" s="2"/>
      <c r="K491" s="2"/>
      <c r="L491" s="2"/>
      <c r="M491" s="2"/>
      <c r="N491" s="2"/>
      <c r="O491" s="2"/>
      <c r="P491" s="2"/>
      <c r="Q491" s="2"/>
    </row>
    <row r="492" ht="15.75" customHeight="1">
      <c r="B492" s="2"/>
      <c r="C492" s="2"/>
      <c r="D492" s="2"/>
      <c r="E492" s="464"/>
      <c r="F492" s="2"/>
      <c r="G492" s="2"/>
      <c r="H492" s="2"/>
      <c r="I492" s="2"/>
      <c r="J492" s="2"/>
      <c r="K492" s="2"/>
      <c r="L492" s="2"/>
      <c r="M492" s="2"/>
      <c r="N492" s="2"/>
      <c r="O492" s="2"/>
      <c r="P492" s="2"/>
      <c r="Q492" s="2"/>
    </row>
    <row r="493" ht="15.75" customHeight="1">
      <c r="B493" s="2"/>
      <c r="C493" s="2"/>
      <c r="D493" s="2"/>
      <c r="E493" s="464"/>
      <c r="F493" s="2"/>
      <c r="G493" s="2"/>
      <c r="H493" s="2"/>
      <c r="I493" s="2"/>
      <c r="J493" s="2"/>
      <c r="K493" s="2"/>
      <c r="L493" s="2"/>
      <c r="M493" s="2"/>
      <c r="N493" s="2"/>
      <c r="O493" s="2"/>
      <c r="P493" s="2"/>
      <c r="Q493" s="2"/>
    </row>
    <row r="494" ht="15.75" customHeight="1">
      <c r="B494" s="2"/>
      <c r="C494" s="2"/>
      <c r="D494" s="2"/>
      <c r="E494" s="464"/>
      <c r="F494" s="2"/>
      <c r="G494" s="2"/>
      <c r="H494" s="2"/>
      <c r="I494" s="2"/>
      <c r="J494" s="2"/>
      <c r="K494" s="2"/>
      <c r="L494" s="2"/>
      <c r="M494" s="2"/>
      <c r="N494" s="2"/>
      <c r="O494" s="2"/>
      <c r="P494" s="2"/>
      <c r="Q494" s="2"/>
    </row>
    <row r="495" ht="15.75" customHeight="1">
      <c r="B495" s="2"/>
      <c r="C495" s="2"/>
      <c r="D495" s="2"/>
      <c r="E495" s="464"/>
      <c r="F495" s="2"/>
      <c r="G495" s="2"/>
      <c r="H495" s="2"/>
      <c r="I495" s="2"/>
      <c r="J495" s="2"/>
      <c r="K495" s="2"/>
      <c r="L495" s="2"/>
      <c r="M495" s="2"/>
      <c r="N495" s="2"/>
      <c r="O495" s="2"/>
      <c r="P495" s="2"/>
      <c r="Q495" s="2"/>
    </row>
    <row r="496" ht="15.75" customHeight="1">
      <c r="B496" s="2"/>
      <c r="C496" s="2"/>
      <c r="D496" s="2"/>
      <c r="E496" s="464"/>
      <c r="F496" s="2"/>
      <c r="G496" s="2"/>
      <c r="H496" s="2"/>
      <c r="I496" s="2"/>
      <c r="J496" s="2"/>
      <c r="K496" s="2"/>
      <c r="L496" s="2"/>
      <c r="M496" s="2"/>
      <c r="N496" s="2"/>
      <c r="O496" s="2"/>
      <c r="P496" s="2"/>
      <c r="Q496" s="2"/>
    </row>
    <row r="497" ht="15.75" customHeight="1">
      <c r="B497" s="2"/>
      <c r="C497" s="2"/>
      <c r="D497" s="2"/>
      <c r="E497" s="464"/>
      <c r="F497" s="2"/>
      <c r="G497" s="2"/>
      <c r="H497" s="2"/>
      <c r="I497" s="2"/>
      <c r="J497" s="2"/>
      <c r="K497" s="2"/>
      <c r="L497" s="2"/>
      <c r="M497" s="2"/>
      <c r="N497" s="2"/>
      <c r="O497" s="2"/>
      <c r="P497" s="2"/>
      <c r="Q497" s="2"/>
    </row>
    <row r="498" ht="15.75" customHeight="1">
      <c r="B498" s="2"/>
      <c r="C498" s="2"/>
      <c r="D498" s="2"/>
      <c r="E498" s="464"/>
      <c r="F498" s="2"/>
      <c r="G498" s="2"/>
      <c r="H498" s="2"/>
      <c r="I498" s="2"/>
      <c r="J498" s="2"/>
      <c r="K498" s="2"/>
      <c r="L498" s="2"/>
      <c r="M498" s="2"/>
      <c r="N498" s="2"/>
      <c r="O498" s="2"/>
      <c r="P498" s="2"/>
      <c r="Q498" s="2"/>
    </row>
    <row r="499" ht="15.75" customHeight="1">
      <c r="B499" s="2"/>
      <c r="C499" s="2"/>
      <c r="D499" s="2"/>
      <c r="E499" s="464"/>
      <c r="F499" s="2"/>
      <c r="G499" s="2"/>
      <c r="H499" s="2"/>
      <c r="I499" s="2"/>
      <c r="J499" s="2"/>
      <c r="K499" s="2"/>
      <c r="L499" s="2"/>
      <c r="M499" s="2"/>
      <c r="N499" s="2"/>
      <c r="O499" s="2"/>
      <c r="P499" s="2"/>
      <c r="Q499" s="2"/>
    </row>
    <row r="500" ht="15.75" customHeight="1">
      <c r="B500" s="2"/>
      <c r="C500" s="2"/>
      <c r="D500" s="2"/>
      <c r="E500" s="464"/>
      <c r="F500" s="2"/>
      <c r="G500" s="2"/>
      <c r="H500" s="2"/>
      <c r="I500" s="2"/>
      <c r="J500" s="2"/>
      <c r="K500" s="2"/>
      <c r="L500" s="2"/>
      <c r="M500" s="2"/>
      <c r="N500" s="2"/>
      <c r="O500" s="2"/>
      <c r="P500" s="2"/>
      <c r="Q500" s="2"/>
    </row>
    <row r="501" ht="15.75" customHeight="1">
      <c r="B501" s="2"/>
      <c r="C501" s="2"/>
      <c r="D501" s="2"/>
      <c r="E501" s="464"/>
      <c r="F501" s="2"/>
      <c r="G501" s="2"/>
      <c r="H501" s="2"/>
      <c r="I501" s="2"/>
      <c r="J501" s="2"/>
      <c r="K501" s="2"/>
      <c r="L501" s="2"/>
      <c r="M501" s="2"/>
      <c r="N501" s="2"/>
      <c r="O501" s="2"/>
      <c r="P501" s="2"/>
      <c r="Q501" s="2"/>
    </row>
    <row r="502" ht="15.75" customHeight="1">
      <c r="B502" s="2"/>
      <c r="C502" s="2"/>
      <c r="D502" s="2"/>
      <c r="E502" s="464"/>
      <c r="F502" s="2"/>
      <c r="G502" s="2"/>
      <c r="H502" s="2"/>
      <c r="I502" s="2"/>
      <c r="J502" s="2"/>
      <c r="K502" s="2"/>
      <c r="L502" s="2"/>
      <c r="M502" s="2"/>
      <c r="N502" s="2"/>
      <c r="O502" s="2"/>
      <c r="P502" s="2"/>
      <c r="Q502" s="2"/>
    </row>
    <row r="503" ht="15.75" customHeight="1">
      <c r="B503" s="2"/>
      <c r="C503" s="2"/>
      <c r="D503" s="2"/>
      <c r="E503" s="464"/>
      <c r="F503" s="2"/>
      <c r="G503" s="2"/>
      <c r="H503" s="2"/>
      <c r="I503" s="2"/>
      <c r="J503" s="2"/>
      <c r="K503" s="2"/>
      <c r="L503" s="2"/>
      <c r="M503" s="2"/>
      <c r="N503" s="2"/>
      <c r="O503" s="2"/>
      <c r="P503" s="2"/>
      <c r="Q503" s="2"/>
    </row>
    <row r="504" ht="15.75" customHeight="1">
      <c r="B504" s="2"/>
      <c r="C504" s="2"/>
      <c r="D504" s="2"/>
      <c r="E504" s="464"/>
      <c r="F504" s="2"/>
      <c r="G504" s="2"/>
      <c r="H504" s="2"/>
      <c r="I504" s="2"/>
      <c r="J504" s="2"/>
      <c r="K504" s="2"/>
      <c r="L504" s="2"/>
      <c r="M504" s="2"/>
      <c r="N504" s="2"/>
      <c r="O504" s="2"/>
      <c r="P504" s="2"/>
      <c r="Q504" s="2"/>
    </row>
    <row r="505" ht="15.75" customHeight="1">
      <c r="B505" s="2"/>
      <c r="C505" s="2"/>
      <c r="D505" s="2"/>
      <c r="E505" s="464"/>
      <c r="F505" s="2"/>
      <c r="G505" s="2"/>
      <c r="H505" s="2"/>
      <c r="I505" s="2"/>
      <c r="J505" s="2"/>
      <c r="K505" s="2"/>
      <c r="L505" s="2"/>
      <c r="M505" s="2"/>
      <c r="N505" s="2"/>
      <c r="O505" s="2"/>
      <c r="P505" s="2"/>
      <c r="Q505" s="2"/>
    </row>
    <row r="506" ht="15.75" customHeight="1">
      <c r="B506" s="2"/>
      <c r="C506" s="2"/>
      <c r="D506" s="2"/>
      <c r="E506" s="464"/>
      <c r="F506" s="2"/>
      <c r="G506" s="2"/>
      <c r="H506" s="2"/>
      <c r="I506" s="2"/>
      <c r="J506" s="2"/>
      <c r="K506" s="2"/>
      <c r="L506" s="2"/>
      <c r="M506" s="2"/>
      <c r="N506" s="2"/>
      <c r="O506" s="2"/>
      <c r="P506" s="2"/>
      <c r="Q506" s="2"/>
    </row>
    <row r="507" ht="15.75" customHeight="1">
      <c r="B507" s="2"/>
      <c r="C507" s="2"/>
      <c r="D507" s="2"/>
      <c r="E507" s="464"/>
      <c r="F507" s="2"/>
      <c r="G507" s="2"/>
      <c r="H507" s="2"/>
      <c r="I507" s="2"/>
      <c r="J507" s="2"/>
      <c r="K507" s="2"/>
      <c r="L507" s="2"/>
      <c r="M507" s="2"/>
      <c r="N507" s="2"/>
      <c r="O507" s="2"/>
      <c r="P507" s="2"/>
      <c r="Q507" s="2"/>
    </row>
    <row r="508" ht="15.75" customHeight="1">
      <c r="B508" s="2"/>
      <c r="C508" s="2"/>
      <c r="D508" s="2"/>
      <c r="E508" s="464"/>
      <c r="F508" s="2"/>
      <c r="G508" s="2"/>
      <c r="H508" s="2"/>
      <c r="I508" s="2"/>
      <c r="J508" s="2"/>
      <c r="K508" s="2"/>
      <c r="L508" s="2"/>
      <c r="M508" s="2"/>
      <c r="N508" s="2"/>
      <c r="O508" s="2"/>
      <c r="P508" s="2"/>
      <c r="Q508" s="2"/>
    </row>
    <row r="509" ht="15.75" customHeight="1">
      <c r="B509" s="2"/>
      <c r="C509" s="2"/>
      <c r="D509" s="2"/>
      <c r="E509" s="464"/>
      <c r="F509" s="2"/>
      <c r="G509" s="2"/>
      <c r="H509" s="2"/>
      <c r="I509" s="2"/>
      <c r="J509" s="2"/>
      <c r="K509" s="2"/>
      <c r="L509" s="2"/>
      <c r="M509" s="2"/>
      <c r="N509" s="2"/>
      <c r="O509" s="2"/>
      <c r="P509" s="2"/>
      <c r="Q509" s="2"/>
    </row>
    <row r="510" ht="15.75" customHeight="1">
      <c r="B510" s="2"/>
      <c r="C510" s="2"/>
      <c r="D510" s="2"/>
      <c r="E510" s="464"/>
      <c r="F510" s="2"/>
      <c r="G510" s="2"/>
      <c r="H510" s="2"/>
      <c r="I510" s="2"/>
      <c r="J510" s="2"/>
      <c r="K510" s="2"/>
      <c r="L510" s="2"/>
      <c r="M510" s="2"/>
      <c r="N510" s="2"/>
      <c r="O510" s="2"/>
      <c r="P510" s="2"/>
      <c r="Q510" s="2"/>
    </row>
    <row r="511" ht="15.75" customHeight="1">
      <c r="B511" s="2"/>
      <c r="C511" s="2"/>
      <c r="D511" s="2"/>
      <c r="E511" s="464"/>
      <c r="F511" s="2"/>
      <c r="G511" s="2"/>
      <c r="H511" s="2"/>
      <c r="I511" s="2"/>
      <c r="J511" s="2"/>
      <c r="K511" s="2"/>
      <c r="L511" s="2"/>
      <c r="M511" s="2"/>
      <c r="N511" s="2"/>
      <c r="O511" s="2"/>
      <c r="P511" s="2"/>
      <c r="Q511" s="2"/>
    </row>
    <row r="512" ht="15.75" customHeight="1">
      <c r="B512" s="2"/>
      <c r="C512" s="2"/>
      <c r="D512" s="2"/>
      <c r="E512" s="464"/>
      <c r="F512" s="2"/>
      <c r="G512" s="2"/>
      <c r="H512" s="2"/>
      <c r="I512" s="2"/>
      <c r="J512" s="2"/>
      <c r="K512" s="2"/>
      <c r="L512" s="2"/>
      <c r="M512" s="2"/>
      <c r="N512" s="2"/>
      <c r="O512" s="2"/>
      <c r="P512" s="2"/>
      <c r="Q512" s="2"/>
    </row>
    <row r="513" ht="15.75" customHeight="1">
      <c r="B513" s="2"/>
      <c r="C513" s="2"/>
      <c r="D513" s="2"/>
      <c r="E513" s="464"/>
      <c r="F513" s="2"/>
      <c r="G513" s="2"/>
      <c r="H513" s="2"/>
      <c r="I513" s="2"/>
      <c r="J513" s="2"/>
      <c r="K513" s="2"/>
      <c r="L513" s="2"/>
      <c r="M513" s="2"/>
      <c r="N513" s="2"/>
      <c r="O513" s="2"/>
      <c r="P513" s="2"/>
      <c r="Q513" s="2"/>
    </row>
    <row r="514" ht="15.75" customHeight="1">
      <c r="B514" s="2"/>
      <c r="C514" s="2"/>
      <c r="D514" s="2"/>
      <c r="E514" s="464"/>
      <c r="F514" s="2"/>
      <c r="G514" s="2"/>
      <c r="H514" s="2"/>
      <c r="I514" s="2"/>
      <c r="J514" s="2"/>
      <c r="K514" s="2"/>
      <c r="L514" s="2"/>
      <c r="M514" s="2"/>
      <c r="N514" s="2"/>
      <c r="O514" s="2"/>
      <c r="P514" s="2"/>
      <c r="Q514" s="2"/>
    </row>
    <row r="515" ht="15.75" customHeight="1">
      <c r="B515" s="2"/>
      <c r="C515" s="2"/>
      <c r="D515" s="2"/>
      <c r="E515" s="464"/>
      <c r="F515" s="2"/>
      <c r="G515" s="2"/>
      <c r="H515" s="2"/>
      <c r="I515" s="2"/>
      <c r="J515" s="2"/>
      <c r="K515" s="2"/>
      <c r="L515" s="2"/>
      <c r="M515" s="2"/>
      <c r="N515" s="2"/>
      <c r="O515" s="2"/>
      <c r="P515" s="2"/>
      <c r="Q515" s="2"/>
    </row>
    <row r="516" ht="15.75" customHeight="1">
      <c r="B516" s="2"/>
      <c r="C516" s="2"/>
      <c r="D516" s="2"/>
      <c r="E516" s="464"/>
      <c r="F516" s="2"/>
      <c r="G516" s="2"/>
      <c r="H516" s="2"/>
      <c r="I516" s="2"/>
      <c r="J516" s="2"/>
      <c r="K516" s="2"/>
      <c r="L516" s="2"/>
      <c r="M516" s="2"/>
      <c r="N516" s="2"/>
      <c r="O516" s="2"/>
      <c r="P516" s="2"/>
      <c r="Q516" s="2"/>
    </row>
    <row r="517" ht="15.75" customHeight="1">
      <c r="B517" s="2"/>
      <c r="C517" s="2"/>
      <c r="D517" s="2"/>
      <c r="E517" s="464"/>
      <c r="F517" s="2"/>
      <c r="G517" s="2"/>
      <c r="H517" s="2"/>
      <c r="I517" s="2"/>
      <c r="J517" s="2"/>
      <c r="K517" s="2"/>
      <c r="L517" s="2"/>
      <c r="M517" s="2"/>
      <c r="N517" s="2"/>
      <c r="O517" s="2"/>
      <c r="P517" s="2"/>
      <c r="Q517" s="2"/>
    </row>
    <row r="518" ht="15.75" customHeight="1">
      <c r="B518" s="2"/>
      <c r="C518" s="2"/>
      <c r="D518" s="2"/>
      <c r="E518" s="464"/>
      <c r="F518" s="2"/>
      <c r="G518" s="2"/>
      <c r="H518" s="2"/>
      <c r="I518" s="2"/>
      <c r="J518" s="2"/>
      <c r="K518" s="2"/>
      <c r="L518" s="2"/>
      <c r="M518" s="2"/>
      <c r="N518" s="2"/>
      <c r="O518" s="2"/>
      <c r="P518" s="2"/>
      <c r="Q518" s="2"/>
    </row>
    <row r="519" ht="15.75" customHeight="1">
      <c r="B519" s="2"/>
      <c r="C519" s="2"/>
      <c r="D519" s="2"/>
      <c r="E519" s="464"/>
      <c r="F519" s="2"/>
      <c r="G519" s="2"/>
      <c r="H519" s="2"/>
      <c r="I519" s="2"/>
      <c r="J519" s="2"/>
      <c r="K519" s="2"/>
      <c r="L519" s="2"/>
      <c r="M519" s="2"/>
      <c r="N519" s="2"/>
      <c r="O519" s="2"/>
      <c r="P519" s="2"/>
      <c r="Q519" s="2"/>
    </row>
    <row r="520" ht="15.75" customHeight="1">
      <c r="B520" s="2"/>
      <c r="C520" s="2"/>
      <c r="D520" s="2"/>
      <c r="E520" s="464"/>
      <c r="F520" s="2"/>
      <c r="G520" s="2"/>
      <c r="H520" s="2"/>
      <c r="I520" s="2"/>
      <c r="J520" s="2"/>
      <c r="K520" s="2"/>
      <c r="L520" s="2"/>
      <c r="M520" s="2"/>
      <c r="N520" s="2"/>
      <c r="O520" s="2"/>
      <c r="P520" s="2"/>
      <c r="Q520" s="2"/>
    </row>
    <row r="521" ht="15.75" customHeight="1">
      <c r="B521" s="2"/>
      <c r="C521" s="2"/>
      <c r="D521" s="2"/>
      <c r="E521" s="464"/>
      <c r="F521" s="2"/>
      <c r="G521" s="2"/>
      <c r="H521" s="2"/>
      <c r="I521" s="2"/>
      <c r="J521" s="2"/>
      <c r="K521" s="2"/>
      <c r="L521" s="2"/>
      <c r="M521" s="2"/>
      <c r="N521" s="2"/>
      <c r="O521" s="2"/>
      <c r="P521" s="2"/>
      <c r="Q521" s="2"/>
    </row>
    <row r="522" ht="15.75" customHeight="1">
      <c r="B522" s="2"/>
      <c r="C522" s="2"/>
      <c r="D522" s="2"/>
      <c r="E522" s="464"/>
      <c r="F522" s="2"/>
      <c r="G522" s="2"/>
      <c r="H522" s="2"/>
      <c r="I522" s="2"/>
      <c r="J522" s="2"/>
      <c r="K522" s="2"/>
      <c r="L522" s="2"/>
      <c r="M522" s="2"/>
      <c r="N522" s="2"/>
      <c r="O522" s="2"/>
      <c r="P522" s="2"/>
      <c r="Q522" s="2"/>
    </row>
    <row r="523" ht="15.75" customHeight="1">
      <c r="B523" s="2"/>
      <c r="C523" s="2"/>
      <c r="D523" s="2"/>
      <c r="E523" s="464"/>
      <c r="F523" s="2"/>
      <c r="G523" s="2"/>
      <c r="H523" s="2"/>
      <c r="I523" s="2"/>
      <c r="J523" s="2"/>
      <c r="K523" s="2"/>
      <c r="L523" s="2"/>
      <c r="M523" s="2"/>
      <c r="N523" s="2"/>
      <c r="O523" s="2"/>
      <c r="P523" s="2"/>
      <c r="Q523" s="2"/>
    </row>
    <row r="524" ht="15.75" customHeight="1">
      <c r="B524" s="2"/>
      <c r="C524" s="2"/>
      <c r="D524" s="2"/>
      <c r="E524" s="464"/>
      <c r="F524" s="2"/>
      <c r="G524" s="2"/>
      <c r="H524" s="2"/>
      <c r="I524" s="2"/>
      <c r="J524" s="2"/>
      <c r="K524" s="2"/>
      <c r="L524" s="2"/>
      <c r="M524" s="2"/>
      <c r="N524" s="2"/>
      <c r="O524" s="2"/>
      <c r="P524" s="2"/>
      <c r="Q524" s="2"/>
    </row>
    <row r="525" ht="15.75" customHeight="1">
      <c r="B525" s="2"/>
      <c r="C525" s="2"/>
      <c r="D525" s="2"/>
      <c r="E525" s="464"/>
      <c r="F525" s="2"/>
      <c r="G525" s="2"/>
      <c r="H525" s="2"/>
      <c r="I525" s="2"/>
      <c r="J525" s="2"/>
      <c r="K525" s="2"/>
      <c r="L525" s="2"/>
      <c r="M525" s="2"/>
      <c r="N525" s="2"/>
      <c r="O525" s="2"/>
      <c r="P525" s="2"/>
      <c r="Q525" s="2"/>
    </row>
    <row r="526" ht="15.75" customHeight="1">
      <c r="B526" s="2"/>
      <c r="C526" s="2"/>
      <c r="D526" s="2"/>
      <c r="E526" s="464"/>
      <c r="F526" s="2"/>
      <c r="G526" s="2"/>
      <c r="H526" s="2"/>
      <c r="I526" s="2"/>
      <c r="J526" s="2"/>
      <c r="K526" s="2"/>
      <c r="L526" s="2"/>
      <c r="M526" s="2"/>
      <c r="N526" s="2"/>
      <c r="O526" s="2"/>
      <c r="P526" s="2"/>
      <c r="Q526" s="2"/>
    </row>
    <row r="527" ht="15.75" customHeight="1">
      <c r="B527" s="2"/>
      <c r="C527" s="2"/>
      <c r="D527" s="2"/>
      <c r="E527" s="464"/>
      <c r="F527" s="2"/>
      <c r="G527" s="2"/>
      <c r="H527" s="2"/>
      <c r="I527" s="2"/>
      <c r="J527" s="2"/>
      <c r="K527" s="2"/>
      <c r="L527" s="2"/>
      <c r="M527" s="2"/>
      <c r="N527" s="2"/>
      <c r="O527" s="2"/>
      <c r="P527" s="2"/>
      <c r="Q527" s="2"/>
    </row>
    <row r="528" ht="15.75" customHeight="1">
      <c r="B528" s="2"/>
      <c r="C528" s="2"/>
      <c r="D528" s="2"/>
      <c r="E528" s="464"/>
      <c r="F528" s="2"/>
      <c r="G528" s="2"/>
      <c r="H528" s="2"/>
      <c r="I528" s="2"/>
      <c r="J528" s="2"/>
      <c r="K528" s="2"/>
      <c r="L528" s="2"/>
      <c r="M528" s="2"/>
      <c r="N528" s="2"/>
      <c r="O528" s="2"/>
      <c r="P528" s="2"/>
      <c r="Q528" s="2"/>
    </row>
    <row r="529" ht="15.75" customHeight="1">
      <c r="B529" s="2"/>
      <c r="C529" s="2"/>
      <c r="D529" s="2"/>
      <c r="E529" s="464"/>
      <c r="F529" s="2"/>
      <c r="G529" s="2"/>
      <c r="H529" s="2"/>
      <c r="I529" s="2"/>
      <c r="J529" s="2"/>
      <c r="K529" s="2"/>
      <c r="L529" s="2"/>
      <c r="M529" s="2"/>
      <c r="N529" s="2"/>
      <c r="O529" s="2"/>
      <c r="P529" s="2"/>
      <c r="Q529" s="2"/>
    </row>
    <row r="530" ht="15.75" customHeight="1">
      <c r="B530" s="2"/>
      <c r="C530" s="2"/>
      <c r="D530" s="2"/>
      <c r="E530" s="464"/>
      <c r="F530" s="2"/>
      <c r="G530" s="2"/>
      <c r="H530" s="2"/>
      <c r="I530" s="2"/>
      <c r="J530" s="2"/>
      <c r="K530" s="2"/>
      <c r="L530" s="2"/>
      <c r="M530" s="2"/>
      <c r="N530" s="2"/>
      <c r="O530" s="2"/>
      <c r="P530" s="2"/>
      <c r="Q530" s="2"/>
    </row>
    <row r="531" ht="15.75" customHeight="1">
      <c r="B531" s="2"/>
      <c r="C531" s="2"/>
      <c r="D531" s="2"/>
      <c r="E531" s="464"/>
      <c r="F531" s="2"/>
      <c r="G531" s="2"/>
      <c r="H531" s="2"/>
      <c r="I531" s="2"/>
      <c r="J531" s="2"/>
      <c r="K531" s="2"/>
      <c r="L531" s="2"/>
      <c r="M531" s="2"/>
      <c r="N531" s="2"/>
      <c r="O531" s="2"/>
      <c r="P531" s="2"/>
      <c r="Q531" s="2"/>
    </row>
    <row r="532" ht="15.75" customHeight="1">
      <c r="B532" s="2"/>
      <c r="C532" s="2"/>
      <c r="D532" s="2"/>
      <c r="E532" s="464"/>
      <c r="F532" s="2"/>
      <c r="G532" s="2"/>
      <c r="H532" s="2"/>
      <c r="I532" s="2"/>
      <c r="J532" s="2"/>
      <c r="K532" s="2"/>
      <c r="L532" s="2"/>
      <c r="M532" s="2"/>
      <c r="N532" s="2"/>
      <c r="O532" s="2"/>
      <c r="P532" s="2"/>
      <c r="Q532" s="2"/>
    </row>
    <row r="533" ht="15.75" customHeight="1">
      <c r="B533" s="2"/>
      <c r="C533" s="2"/>
      <c r="D533" s="2"/>
      <c r="E533" s="464"/>
      <c r="F533" s="2"/>
      <c r="G533" s="2"/>
      <c r="H533" s="2"/>
      <c r="I533" s="2"/>
      <c r="J533" s="2"/>
      <c r="K533" s="2"/>
      <c r="L533" s="2"/>
      <c r="M533" s="2"/>
      <c r="N533" s="2"/>
      <c r="O533" s="2"/>
      <c r="P533" s="2"/>
      <c r="Q533" s="2"/>
    </row>
    <row r="534" ht="15.75" customHeight="1">
      <c r="B534" s="2"/>
      <c r="C534" s="2"/>
      <c r="D534" s="2"/>
      <c r="E534" s="464"/>
      <c r="F534" s="2"/>
      <c r="G534" s="2"/>
      <c r="H534" s="2"/>
      <c r="I534" s="2"/>
      <c r="J534" s="2"/>
      <c r="K534" s="2"/>
      <c r="L534" s="2"/>
      <c r="M534" s="2"/>
      <c r="N534" s="2"/>
      <c r="O534" s="2"/>
      <c r="P534" s="2"/>
      <c r="Q534" s="2"/>
    </row>
    <row r="535" ht="15.75" customHeight="1">
      <c r="B535" s="2"/>
      <c r="C535" s="2"/>
      <c r="D535" s="2"/>
      <c r="E535" s="464"/>
      <c r="F535" s="2"/>
      <c r="G535" s="2"/>
      <c r="H535" s="2"/>
      <c r="I535" s="2"/>
      <c r="J535" s="2"/>
      <c r="K535" s="2"/>
      <c r="L535" s="2"/>
      <c r="M535" s="2"/>
      <c r="N535" s="2"/>
      <c r="O535" s="2"/>
      <c r="P535" s="2"/>
      <c r="Q535" s="2"/>
    </row>
    <row r="536" ht="15.75" customHeight="1">
      <c r="B536" s="2"/>
      <c r="C536" s="2"/>
      <c r="D536" s="2"/>
      <c r="E536" s="464"/>
      <c r="F536" s="2"/>
      <c r="G536" s="2"/>
      <c r="H536" s="2"/>
      <c r="I536" s="2"/>
      <c r="J536" s="2"/>
      <c r="K536" s="2"/>
      <c r="L536" s="2"/>
      <c r="M536" s="2"/>
      <c r="N536" s="2"/>
      <c r="O536" s="2"/>
      <c r="P536" s="2"/>
      <c r="Q536" s="2"/>
    </row>
    <row r="537" ht="15.75" customHeight="1">
      <c r="B537" s="2"/>
      <c r="C537" s="2"/>
      <c r="D537" s="2"/>
      <c r="E537" s="464"/>
      <c r="F537" s="2"/>
      <c r="G537" s="2"/>
      <c r="H537" s="2"/>
      <c r="I537" s="2"/>
      <c r="J537" s="2"/>
      <c r="K537" s="2"/>
      <c r="L537" s="2"/>
      <c r="M537" s="2"/>
      <c r="N537" s="2"/>
      <c r="O537" s="2"/>
      <c r="P537" s="2"/>
      <c r="Q537" s="2"/>
    </row>
    <row r="538" ht="15.75" customHeight="1">
      <c r="B538" s="2"/>
      <c r="C538" s="2"/>
      <c r="D538" s="2"/>
      <c r="E538" s="464"/>
      <c r="F538" s="2"/>
      <c r="G538" s="2"/>
      <c r="H538" s="2"/>
      <c r="I538" s="2"/>
      <c r="J538" s="2"/>
      <c r="K538" s="2"/>
      <c r="L538" s="2"/>
      <c r="M538" s="2"/>
      <c r="N538" s="2"/>
      <c r="O538" s="2"/>
      <c r="P538" s="2"/>
      <c r="Q538" s="2"/>
    </row>
    <row r="539" ht="15.75" customHeight="1">
      <c r="B539" s="2"/>
      <c r="C539" s="2"/>
      <c r="D539" s="2"/>
      <c r="E539" s="464"/>
      <c r="F539" s="2"/>
      <c r="G539" s="2"/>
      <c r="H539" s="2"/>
      <c r="I539" s="2"/>
      <c r="J539" s="2"/>
      <c r="K539" s="2"/>
      <c r="L539" s="2"/>
      <c r="M539" s="2"/>
      <c r="N539" s="2"/>
      <c r="O539" s="2"/>
      <c r="P539" s="2"/>
      <c r="Q539" s="2"/>
    </row>
    <row r="540" ht="15.75" customHeight="1">
      <c r="B540" s="2"/>
      <c r="C540" s="2"/>
      <c r="D540" s="2"/>
      <c r="E540" s="464"/>
      <c r="F540" s="2"/>
      <c r="G540" s="2"/>
      <c r="H540" s="2"/>
      <c r="I540" s="2"/>
      <c r="J540" s="2"/>
      <c r="K540" s="2"/>
      <c r="L540" s="2"/>
      <c r="M540" s="2"/>
      <c r="N540" s="2"/>
      <c r="O540" s="2"/>
      <c r="P540" s="2"/>
      <c r="Q540" s="2"/>
    </row>
    <row r="541" ht="15.75" customHeight="1">
      <c r="B541" s="2"/>
      <c r="C541" s="2"/>
      <c r="D541" s="2"/>
      <c r="E541" s="464"/>
      <c r="F541" s="2"/>
      <c r="G541" s="2"/>
      <c r="H541" s="2"/>
      <c r="I541" s="2"/>
      <c r="J541" s="2"/>
      <c r="K541" s="2"/>
      <c r="L541" s="2"/>
      <c r="M541" s="2"/>
      <c r="N541" s="2"/>
      <c r="O541" s="2"/>
      <c r="P541" s="2"/>
      <c r="Q541" s="2"/>
    </row>
    <row r="542" ht="15.75" customHeight="1">
      <c r="B542" s="2"/>
      <c r="C542" s="2"/>
      <c r="D542" s="2"/>
      <c r="E542" s="464"/>
      <c r="F542" s="2"/>
      <c r="G542" s="2"/>
      <c r="H542" s="2"/>
      <c r="I542" s="2"/>
      <c r="J542" s="2"/>
      <c r="K542" s="2"/>
      <c r="L542" s="2"/>
      <c r="M542" s="2"/>
      <c r="N542" s="2"/>
      <c r="O542" s="2"/>
      <c r="P542" s="2"/>
      <c r="Q542" s="2"/>
    </row>
    <row r="543" ht="15.75" customHeight="1">
      <c r="B543" s="2"/>
      <c r="C543" s="2"/>
      <c r="D543" s="2"/>
      <c r="E543" s="464"/>
      <c r="F543" s="2"/>
      <c r="G543" s="2"/>
      <c r="H543" s="2"/>
      <c r="I543" s="2"/>
      <c r="J543" s="2"/>
      <c r="K543" s="2"/>
      <c r="L543" s="2"/>
      <c r="M543" s="2"/>
      <c r="N543" s="2"/>
      <c r="O543" s="2"/>
      <c r="P543" s="2"/>
      <c r="Q543" s="2"/>
    </row>
    <row r="544" ht="15.75" customHeight="1">
      <c r="B544" s="2"/>
      <c r="C544" s="2"/>
      <c r="D544" s="2"/>
      <c r="E544" s="464"/>
      <c r="F544" s="2"/>
      <c r="G544" s="2"/>
      <c r="H544" s="2"/>
      <c r="I544" s="2"/>
      <c r="J544" s="2"/>
      <c r="K544" s="2"/>
      <c r="L544" s="2"/>
      <c r="M544" s="2"/>
      <c r="N544" s="2"/>
      <c r="O544" s="2"/>
      <c r="P544" s="2"/>
      <c r="Q544" s="2"/>
    </row>
    <row r="545" ht="15.75" customHeight="1">
      <c r="B545" s="2"/>
      <c r="C545" s="2"/>
      <c r="D545" s="2"/>
      <c r="E545" s="464"/>
      <c r="F545" s="2"/>
      <c r="G545" s="2"/>
      <c r="H545" s="2"/>
      <c r="I545" s="2"/>
      <c r="J545" s="2"/>
      <c r="K545" s="2"/>
      <c r="L545" s="2"/>
      <c r="M545" s="2"/>
      <c r="N545" s="2"/>
      <c r="O545" s="2"/>
      <c r="P545" s="2"/>
      <c r="Q545" s="2"/>
    </row>
    <row r="546" ht="15.75" customHeight="1">
      <c r="B546" s="2"/>
      <c r="C546" s="2"/>
      <c r="D546" s="2"/>
      <c r="E546" s="464"/>
      <c r="F546" s="2"/>
      <c r="G546" s="2"/>
      <c r="H546" s="2"/>
      <c r="I546" s="2"/>
      <c r="J546" s="2"/>
      <c r="K546" s="2"/>
      <c r="L546" s="2"/>
      <c r="M546" s="2"/>
      <c r="N546" s="2"/>
      <c r="O546" s="2"/>
      <c r="P546" s="2"/>
      <c r="Q546" s="2"/>
    </row>
    <row r="547" ht="15.75" customHeight="1">
      <c r="B547" s="2"/>
      <c r="C547" s="2"/>
      <c r="D547" s="2"/>
      <c r="E547" s="464"/>
      <c r="F547" s="2"/>
      <c r="G547" s="2"/>
      <c r="H547" s="2"/>
      <c r="I547" s="2"/>
      <c r="J547" s="2"/>
      <c r="K547" s="2"/>
      <c r="L547" s="2"/>
      <c r="M547" s="2"/>
      <c r="N547" s="2"/>
      <c r="O547" s="2"/>
      <c r="P547" s="2"/>
      <c r="Q547" s="2"/>
    </row>
    <row r="548" ht="15.75" customHeight="1">
      <c r="B548" s="2"/>
      <c r="C548" s="2"/>
      <c r="D548" s="2"/>
      <c r="E548" s="464"/>
      <c r="F548" s="2"/>
      <c r="G548" s="2"/>
      <c r="H548" s="2"/>
      <c r="I548" s="2"/>
      <c r="J548" s="2"/>
      <c r="K548" s="2"/>
      <c r="L548" s="2"/>
      <c r="M548" s="2"/>
      <c r="N548" s="2"/>
      <c r="O548" s="2"/>
      <c r="P548" s="2"/>
      <c r="Q548" s="2"/>
    </row>
    <row r="549" ht="15.75" customHeight="1">
      <c r="B549" s="2"/>
      <c r="C549" s="2"/>
      <c r="D549" s="2"/>
      <c r="E549" s="464"/>
      <c r="F549" s="2"/>
      <c r="G549" s="2"/>
      <c r="H549" s="2"/>
      <c r="I549" s="2"/>
      <c r="J549" s="2"/>
      <c r="K549" s="2"/>
      <c r="L549" s="2"/>
      <c r="M549" s="2"/>
      <c r="N549" s="2"/>
      <c r="O549" s="2"/>
      <c r="P549" s="2"/>
      <c r="Q549" s="2"/>
    </row>
    <row r="550" ht="15.75" customHeight="1">
      <c r="B550" s="2"/>
      <c r="C550" s="2"/>
      <c r="D550" s="2"/>
      <c r="E550" s="464"/>
      <c r="F550" s="2"/>
      <c r="G550" s="2"/>
      <c r="H550" s="2"/>
      <c r="I550" s="2"/>
      <c r="J550" s="2"/>
      <c r="K550" s="2"/>
      <c r="L550" s="2"/>
      <c r="M550" s="2"/>
      <c r="N550" s="2"/>
      <c r="O550" s="2"/>
      <c r="P550" s="2"/>
      <c r="Q550" s="2"/>
    </row>
    <row r="551" ht="15.75" customHeight="1">
      <c r="B551" s="2"/>
      <c r="C551" s="2"/>
      <c r="D551" s="2"/>
      <c r="E551" s="464"/>
      <c r="F551" s="2"/>
      <c r="G551" s="2"/>
      <c r="H551" s="2"/>
      <c r="I551" s="2"/>
      <c r="J551" s="2"/>
      <c r="K551" s="2"/>
      <c r="L551" s="2"/>
      <c r="M551" s="2"/>
      <c r="N551" s="2"/>
      <c r="O551" s="2"/>
      <c r="P551" s="2"/>
      <c r="Q551" s="2"/>
    </row>
    <row r="552" ht="15.75" customHeight="1">
      <c r="B552" s="2"/>
      <c r="C552" s="2"/>
      <c r="D552" s="2"/>
      <c r="E552" s="464"/>
      <c r="F552" s="2"/>
      <c r="G552" s="2"/>
      <c r="H552" s="2"/>
      <c r="I552" s="2"/>
      <c r="J552" s="2"/>
      <c r="K552" s="2"/>
      <c r="L552" s="2"/>
      <c r="M552" s="2"/>
      <c r="N552" s="2"/>
      <c r="O552" s="2"/>
      <c r="P552" s="2"/>
      <c r="Q552" s="2"/>
    </row>
    <row r="553" ht="15.75" customHeight="1">
      <c r="B553" s="2"/>
      <c r="C553" s="2"/>
      <c r="D553" s="2"/>
      <c r="E553" s="464"/>
      <c r="F553" s="2"/>
      <c r="G553" s="2"/>
      <c r="H553" s="2"/>
      <c r="I553" s="2"/>
      <c r="J553" s="2"/>
      <c r="K553" s="2"/>
      <c r="L553" s="2"/>
      <c r="M553" s="2"/>
      <c r="N553" s="2"/>
      <c r="O553" s="2"/>
      <c r="P553" s="2"/>
      <c r="Q553" s="2"/>
    </row>
    <row r="554" ht="15.75" customHeight="1">
      <c r="B554" s="2"/>
      <c r="C554" s="2"/>
      <c r="D554" s="2"/>
      <c r="E554" s="464"/>
      <c r="F554" s="2"/>
      <c r="G554" s="2"/>
      <c r="H554" s="2"/>
      <c r="I554" s="2"/>
      <c r="J554" s="2"/>
      <c r="K554" s="2"/>
      <c r="L554" s="2"/>
      <c r="M554" s="2"/>
      <c r="N554" s="2"/>
      <c r="O554" s="2"/>
      <c r="P554" s="2"/>
      <c r="Q554" s="2"/>
    </row>
    <row r="555" ht="15.75" customHeight="1">
      <c r="B555" s="2"/>
      <c r="C555" s="2"/>
      <c r="D555" s="2"/>
      <c r="E555" s="464"/>
      <c r="F555" s="2"/>
      <c r="G555" s="2"/>
      <c r="H555" s="2"/>
      <c r="I555" s="2"/>
      <c r="J555" s="2"/>
      <c r="K555" s="2"/>
      <c r="L555" s="2"/>
      <c r="M555" s="2"/>
      <c r="N555" s="2"/>
      <c r="O555" s="2"/>
      <c r="P555" s="2"/>
      <c r="Q555" s="2"/>
    </row>
    <row r="556" ht="15.75" customHeight="1">
      <c r="B556" s="2"/>
      <c r="C556" s="2"/>
      <c r="D556" s="2"/>
      <c r="E556" s="464"/>
      <c r="F556" s="2"/>
      <c r="G556" s="2"/>
      <c r="H556" s="2"/>
      <c r="I556" s="2"/>
      <c r="J556" s="2"/>
      <c r="K556" s="2"/>
      <c r="L556" s="2"/>
      <c r="M556" s="2"/>
      <c r="N556" s="2"/>
      <c r="O556" s="2"/>
      <c r="P556" s="2"/>
      <c r="Q556" s="2"/>
    </row>
    <row r="557" ht="15.75" customHeight="1">
      <c r="B557" s="2"/>
      <c r="C557" s="2"/>
      <c r="D557" s="2"/>
      <c r="E557" s="464"/>
      <c r="F557" s="2"/>
      <c r="G557" s="2"/>
      <c r="H557" s="2"/>
      <c r="I557" s="2"/>
      <c r="J557" s="2"/>
      <c r="K557" s="2"/>
      <c r="L557" s="2"/>
      <c r="M557" s="2"/>
      <c r="N557" s="2"/>
      <c r="O557" s="2"/>
      <c r="P557" s="2"/>
      <c r="Q557" s="2"/>
    </row>
    <row r="558" ht="15.75" customHeight="1">
      <c r="B558" s="2"/>
      <c r="C558" s="2"/>
      <c r="D558" s="2"/>
      <c r="E558" s="464"/>
      <c r="F558" s="2"/>
      <c r="G558" s="2"/>
      <c r="H558" s="2"/>
      <c r="I558" s="2"/>
      <c r="J558" s="2"/>
      <c r="K558" s="2"/>
      <c r="L558" s="2"/>
      <c r="M558" s="2"/>
      <c r="N558" s="2"/>
      <c r="O558" s="2"/>
      <c r="P558" s="2"/>
      <c r="Q558" s="2"/>
    </row>
    <row r="559" ht="15.75" customHeight="1">
      <c r="B559" s="2"/>
      <c r="C559" s="2"/>
      <c r="D559" s="2"/>
      <c r="E559" s="464"/>
      <c r="F559" s="2"/>
      <c r="G559" s="2"/>
      <c r="H559" s="2"/>
      <c r="I559" s="2"/>
      <c r="J559" s="2"/>
      <c r="K559" s="2"/>
      <c r="L559" s="2"/>
      <c r="M559" s="2"/>
      <c r="N559" s="2"/>
      <c r="O559" s="2"/>
      <c r="P559" s="2"/>
      <c r="Q559" s="2"/>
    </row>
    <row r="560" ht="15.75" customHeight="1">
      <c r="B560" s="2"/>
      <c r="C560" s="2"/>
      <c r="D560" s="2"/>
      <c r="E560" s="464"/>
      <c r="F560" s="2"/>
      <c r="G560" s="2"/>
      <c r="H560" s="2"/>
      <c r="I560" s="2"/>
      <c r="J560" s="2"/>
      <c r="K560" s="2"/>
      <c r="L560" s="2"/>
      <c r="M560" s="2"/>
      <c r="N560" s="2"/>
      <c r="O560" s="2"/>
      <c r="P560" s="2"/>
      <c r="Q560" s="2"/>
    </row>
    <row r="561" ht="15.75" customHeight="1">
      <c r="B561" s="2"/>
      <c r="C561" s="2"/>
      <c r="D561" s="2"/>
      <c r="E561" s="464"/>
      <c r="F561" s="2"/>
      <c r="G561" s="2"/>
      <c r="H561" s="2"/>
      <c r="I561" s="2"/>
      <c r="J561" s="2"/>
      <c r="K561" s="2"/>
      <c r="L561" s="2"/>
      <c r="M561" s="2"/>
      <c r="N561" s="2"/>
      <c r="O561" s="2"/>
      <c r="P561" s="2"/>
      <c r="Q561" s="2"/>
    </row>
    <row r="562" ht="15.75" customHeight="1">
      <c r="B562" s="2"/>
      <c r="C562" s="2"/>
      <c r="D562" s="2"/>
      <c r="E562" s="464"/>
      <c r="F562" s="2"/>
      <c r="G562" s="2"/>
      <c r="H562" s="2"/>
      <c r="I562" s="2"/>
      <c r="J562" s="2"/>
      <c r="K562" s="2"/>
      <c r="L562" s="2"/>
      <c r="M562" s="2"/>
      <c r="N562" s="2"/>
      <c r="O562" s="2"/>
      <c r="P562" s="2"/>
      <c r="Q562" s="2"/>
    </row>
    <row r="563" ht="15.75" customHeight="1">
      <c r="B563" s="2"/>
      <c r="C563" s="2"/>
      <c r="D563" s="2"/>
      <c r="E563" s="464"/>
      <c r="F563" s="2"/>
      <c r="G563" s="2"/>
      <c r="H563" s="2"/>
      <c r="I563" s="2"/>
      <c r="J563" s="2"/>
      <c r="K563" s="2"/>
      <c r="L563" s="2"/>
      <c r="M563" s="2"/>
      <c r="N563" s="2"/>
      <c r="O563" s="2"/>
      <c r="P563" s="2"/>
      <c r="Q563" s="2"/>
    </row>
    <row r="564" ht="15.75" customHeight="1">
      <c r="B564" s="2"/>
      <c r="C564" s="2"/>
      <c r="D564" s="2"/>
      <c r="E564" s="464"/>
      <c r="F564" s="2"/>
      <c r="G564" s="2"/>
      <c r="H564" s="2"/>
      <c r="I564" s="2"/>
      <c r="J564" s="2"/>
      <c r="K564" s="2"/>
      <c r="L564" s="2"/>
      <c r="M564" s="2"/>
      <c r="N564" s="2"/>
      <c r="O564" s="2"/>
      <c r="P564" s="2"/>
      <c r="Q564" s="2"/>
    </row>
    <row r="565" ht="15.75" customHeight="1">
      <c r="B565" s="2"/>
      <c r="C565" s="2"/>
      <c r="D565" s="2"/>
      <c r="E565" s="464"/>
      <c r="F565" s="2"/>
      <c r="G565" s="2"/>
      <c r="H565" s="2"/>
      <c r="I565" s="2"/>
      <c r="J565" s="2"/>
      <c r="K565" s="2"/>
      <c r="L565" s="2"/>
      <c r="M565" s="2"/>
      <c r="N565" s="2"/>
      <c r="O565" s="2"/>
      <c r="P565" s="2"/>
      <c r="Q565" s="2"/>
    </row>
    <row r="566" ht="15.75" customHeight="1">
      <c r="B566" s="2"/>
      <c r="C566" s="2"/>
      <c r="D566" s="2"/>
      <c r="E566" s="464"/>
      <c r="F566" s="2"/>
      <c r="G566" s="2"/>
      <c r="H566" s="2"/>
      <c r="I566" s="2"/>
      <c r="J566" s="2"/>
      <c r="K566" s="2"/>
      <c r="L566" s="2"/>
      <c r="M566" s="2"/>
      <c r="N566" s="2"/>
      <c r="O566" s="2"/>
      <c r="P566" s="2"/>
      <c r="Q566" s="2"/>
    </row>
    <row r="567" ht="15.75" customHeight="1">
      <c r="B567" s="2"/>
      <c r="C567" s="2"/>
      <c r="D567" s="2"/>
      <c r="E567" s="464"/>
      <c r="F567" s="2"/>
      <c r="G567" s="2"/>
      <c r="H567" s="2"/>
      <c r="I567" s="2"/>
      <c r="J567" s="2"/>
      <c r="K567" s="2"/>
      <c r="L567" s="2"/>
      <c r="M567" s="2"/>
      <c r="N567" s="2"/>
      <c r="O567" s="2"/>
      <c r="P567" s="2"/>
      <c r="Q567" s="2"/>
    </row>
    <row r="568" ht="15.75" customHeight="1">
      <c r="B568" s="2"/>
      <c r="C568" s="2"/>
      <c r="D568" s="2"/>
      <c r="E568" s="464"/>
      <c r="F568" s="2"/>
      <c r="G568" s="2"/>
      <c r="H568" s="2"/>
      <c r="I568" s="2"/>
      <c r="J568" s="2"/>
      <c r="K568" s="2"/>
      <c r="L568" s="2"/>
      <c r="M568" s="2"/>
      <c r="N568" s="2"/>
      <c r="O568" s="2"/>
      <c r="P568" s="2"/>
      <c r="Q568" s="2"/>
    </row>
    <row r="569" ht="15.75" customHeight="1">
      <c r="B569" s="2"/>
      <c r="C569" s="2"/>
      <c r="D569" s="2"/>
      <c r="E569" s="464"/>
      <c r="F569" s="2"/>
      <c r="G569" s="2"/>
      <c r="H569" s="2"/>
      <c r="I569" s="2"/>
      <c r="J569" s="2"/>
      <c r="K569" s="2"/>
      <c r="L569" s="2"/>
      <c r="M569" s="2"/>
      <c r="N569" s="2"/>
      <c r="O569" s="2"/>
      <c r="P569" s="2"/>
      <c r="Q569" s="2"/>
    </row>
    <row r="570" ht="15.75" customHeight="1">
      <c r="B570" s="2"/>
      <c r="C570" s="2"/>
      <c r="D570" s="2"/>
      <c r="E570" s="464"/>
      <c r="F570" s="2"/>
      <c r="G570" s="2"/>
      <c r="H570" s="2"/>
      <c r="I570" s="2"/>
      <c r="J570" s="2"/>
      <c r="K570" s="2"/>
      <c r="L570" s="2"/>
      <c r="M570" s="2"/>
      <c r="N570" s="2"/>
      <c r="O570" s="2"/>
      <c r="P570" s="2"/>
      <c r="Q570" s="2"/>
    </row>
    <row r="571" ht="15.75" customHeight="1">
      <c r="B571" s="2"/>
      <c r="C571" s="2"/>
      <c r="D571" s="2"/>
      <c r="E571" s="464"/>
      <c r="F571" s="2"/>
      <c r="G571" s="2"/>
      <c r="H571" s="2"/>
      <c r="I571" s="2"/>
      <c r="J571" s="2"/>
      <c r="K571" s="2"/>
      <c r="L571" s="2"/>
      <c r="M571" s="2"/>
      <c r="N571" s="2"/>
      <c r="O571" s="2"/>
      <c r="P571" s="2"/>
      <c r="Q571" s="2"/>
    </row>
    <row r="572" ht="15.75" customHeight="1">
      <c r="B572" s="2"/>
      <c r="C572" s="2"/>
      <c r="D572" s="2"/>
      <c r="E572" s="464"/>
      <c r="F572" s="2"/>
      <c r="G572" s="2"/>
      <c r="H572" s="2"/>
      <c r="I572" s="2"/>
      <c r="J572" s="2"/>
      <c r="K572" s="2"/>
      <c r="L572" s="2"/>
      <c r="M572" s="2"/>
      <c r="N572" s="2"/>
      <c r="O572" s="2"/>
      <c r="P572" s="2"/>
      <c r="Q572" s="2"/>
    </row>
    <row r="573" ht="15.75" customHeight="1">
      <c r="B573" s="2"/>
      <c r="C573" s="2"/>
      <c r="D573" s="2"/>
      <c r="E573" s="464"/>
      <c r="F573" s="2"/>
      <c r="G573" s="2"/>
      <c r="H573" s="2"/>
      <c r="I573" s="2"/>
      <c r="J573" s="2"/>
      <c r="K573" s="2"/>
      <c r="L573" s="2"/>
      <c r="M573" s="2"/>
      <c r="N573" s="2"/>
      <c r="O573" s="2"/>
      <c r="P573" s="2"/>
      <c r="Q573" s="2"/>
    </row>
    <row r="574" ht="15.75" customHeight="1">
      <c r="B574" s="2"/>
      <c r="C574" s="2"/>
      <c r="D574" s="2"/>
      <c r="E574" s="464"/>
      <c r="F574" s="2"/>
      <c r="G574" s="2"/>
      <c r="H574" s="2"/>
      <c r="I574" s="2"/>
      <c r="J574" s="2"/>
      <c r="K574" s="2"/>
      <c r="L574" s="2"/>
      <c r="M574" s="2"/>
      <c r="N574" s="2"/>
      <c r="O574" s="2"/>
      <c r="P574" s="2"/>
      <c r="Q574" s="2"/>
    </row>
    <row r="575" ht="15.75" customHeight="1">
      <c r="B575" s="2"/>
      <c r="C575" s="2"/>
      <c r="D575" s="2"/>
      <c r="E575" s="464"/>
      <c r="F575" s="2"/>
      <c r="G575" s="2"/>
      <c r="H575" s="2"/>
      <c r="I575" s="2"/>
      <c r="J575" s="2"/>
      <c r="K575" s="2"/>
      <c r="L575" s="2"/>
      <c r="M575" s="2"/>
      <c r="N575" s="2"/>
      <c r="O575" s="2"/>
      <c r="P575" s="2"/>
      <c r="Q575" s="2"/>
    </row>
    <row r="576" ht="15.75" customHeight="1">
      <c r="B576" s="2"/>
      <c r="C576" s="2"/>
      <c r="D576" s="2"/>
      <c r="E576" s="464"/>
      <c r="F576" s="2"/>
      <c r="G576" s="2"/>
      <c r="H576" s="2"/>
      <c r="I576" s="2"/>
      <c r="J576" s="2"/>
      <c r="K576" s="2"/>
      <c r="L576" s="2"/>
      <c r="M576" s="2"/>
      <c r="N576" s="2"/>
      <c r="O576" s="2"/>
      <c r="P576" s="2"/>
      <c r="Q576" s="2"/>
    </row>
    <row r="577" ht="15.75" customHeight="1">
      <c r="B577" s="2"/>
      <c r="C577" s="2"/>
      <c r="D577" s="2"/>
      <c r="E577" s="464"/>
      <c r="F577" s="2"/>
      <c r="G577" s="2"/>
      <c r="H577" s="2"/>
      <c r="I577" s="2"/>
      <c r="J577" s="2"/>
      <c r="K577" s="2"/>
      <c r="L577" s="2"/>
      <c r="M577" s="2"/>
      <c r="N577" s="2"/>
      <c r="O577" s="2"/>
      <c r="P577" s="2"/>
      <c r="Q577" s="2"/>
    </row>
    <row r="578" ht="15.75" customHeight="1">
      <c r="B578" s="2"/>
      <c r="C578" s="2"/>
      <c r="D578" s="2"/>
      <c r="E578" s="464"/>
      <c r="F578" s="2"/>
      <c r="G578" s="2"/>
      <c r="H578" s="2"/>
      <c r="I578" s="2"/>
      <c r="J578" s="2"/>
      <c r="K578" s="2"/>
      <c r="L578" s="2"/>
      <c r="M578" s="2"/>
      <c r="N578" s="2"/>
      <c r="O578" s="2"/>
      <c r="P578" s="2"/>
      <c r="Q578" s="2"/>
    </row>
    <row r="579" ht="15.75" customHeight="1">
      <c r="B579" s="2"/>
      <c r="C579" s="2"/>
      <c r="D579" s="2"/>
      <c r="E579" s="464"/>
      <c r="F579" s="2"/>
      <c r="G579" s="2"/>
      <c r="H579" s="2"/>
      <c r="I579" s="2"/>
      <c r="J579" s="2"/>
      <c r="K579" s="2"/>
      <c r="L579" s="2"/>
      <c r="M579" s="2"/>
      <c r="N579" s="2"/>
      <c r="O579" s="2"/>
      <c r="P579" s="2"/>
      <c r="Q579" s="2"/>
    </row>
    <row r="580" ht="15.75" customHeight="1">
      <c r="B580" s="2"/>
      <c r="C580" s="2"/>
      <c r="D580" s="2"/>
      <c r="E580" s="464"/>
      <c r="F580" s="2"/>
      <c r="G580" s="2"/>
      <c r="H580" s="2"/>
      <c r="I580" s="2"/>
      <c r="J580" s="2"/>
      <c r="K580" s="2"/>
      <c r="L580" s="2"/>
      <c r="M580" s="2"/>
      <c r="N580" s="2"/>
      <c r="O580" s="2"/>
      <c r="P580" s="2"/>
      <c r="Q580" s="2"/>
    </row>
    <row r="581" ht="15.75" customHeight="1">
      <c r="B581" s="2"/>
      <c r="C581" s="2"/>
      <c r="D581" s="2"/>
      <c r="E581" s="464"/>
      <c r="F581" s="2"/>
      <c r="G581" s="2"/>
      <c r="H581" s="2"/>
      <c r="I581" s="2"/>
      <c r="J581" s="2"/>
      <c r="K581" s="2"/>
      <c r="L581" s="2"/>
      <c r="M581" s="2"/>
      <c r="N581" s="2"/>
      <c r="O581" s="2"/>
      <c r="P581" s="2"/>
      <c r="Q581" s="2"/>
    </row>
    <row r="582" ht="15.75" customHeight="1">
      <c r="B582" s="2"/>
      <c r="C582" s="2"/>
      <c r="D582" s="2"/>
      <c r="E582" s="464"/>
      <c r="F582" s="2"/>
      <c r="G582" s="2"/>
      <c r="H582" s="2"/>
      <c r="I582" s="2"/>
      <c r="J582" s="2"/>
      <c r="K582" s="2"/>
      <c r="L582" s="2"/>
      <c r="M582" s="2"/>
      <c r="N582" s="2"/>
      <c r="O582" s="2"/>
      <c r="P582" s="2"/>
      <c r="Q582" s="2"/>
    </row>
    <row r="583" ht="15.75" customHeight="1">
      <c r="B583" s="2"/>
      <c r="C583" s="2"/>
      <c r="D583" s="2"/>
      <c r="E583" s="464"/>
      <c r="F583" s="2"/>
      <c r="G583" s="2"/>
      <c r="H583" s="2"/>
      <c r="I583" s="2"/>
      <c r="J583" s="2"/>
      <c r="K583" s="2"/>
      <c r="L583" s="2"/>
      <c r="M583" s="2"/>
      <c r="N583" s="2"/>
      <c r="O583" s="2"/>
      <c r="P583" s="2"/>
      <c r="Q583" s="2"/>
    </row>
    <row r="584" ht="15.75" customHeight="1">
      <c r="B584" s="2"/>
      <c r="C584" s="2"/>
      <c r="D584" s="2"/>
      <c r="E584" s="464"/>
      <c r="F584" s="2"/>
      <c r="G584" s="2"/>
      <c r="H584" s="2"/>
      <c r="I584" s="2"/>
      <c r="J584" s="2"/>
      <c r="K584" s="2"/>
      <c r="L584" s="2"/>
      <c r="M584" s="2"/>
      <c r="N584" s="2"/>
      <c r="O584" s="2"/>
      <c r="P584" s="2"/>
      <c r="Q584" s="2"/>
    </row>
    <row r="585" ht="15.75" customHeight="1">
      <c r="B585" s="2"/>
      <c r="C585" s="2"/>
      <c r="D585" s="2"/>
      <c r="E585" s="464"/>
      <c r="F585" s="2"/>
      <c r="G585" s="2"/>
      <c r="H585" s="2"/>
      <c r="I585" s="2"/>
      <c r="J585" s="2"/>
      <c r="K585" s="2"/>
      <c r="L585" s="2"/>
      <c r="M585" s="2"/>
      <c r="N585" s="2"/>
      <c r="O585" s="2"/>
      <c r="P585" s="2"/>
      <c r="Q585" s="2"/>
    </row>
    <row r="586" ht="15.75" customHeight="1">
      <c r="B586" s="2"/>
      <c r="C586" s="2"/>
      <c r="D586" s="2"/>
      <c r="E586" s="464"/>
      <c r="F586" s="2"/>
      <c r="G586" s="2"/>
      <c r="H586" s="2"/>
      <c r="I586" s="2"/>
      <c r="J586" s="2"/>
      <c r="K586" s="2"/>
      <c r="L586" s="2"/>
      <c r="M586" s="2"/>
      <c r="N586" s="2"/>
      <c r="O586" s="2"/>
      <c r="P586" s="2"/>
      <c r="Q586" s="2"/>
    </row>
    <row r="587" ht="15.75" customHeight="1">
      <c r="B587" s="2"/>
      <c r="C587" s="2"/>
      <c r="D587" s="2"/>
      <c r="E587" s="464"/>
      <c r="F587" s="2"/>
      <c r="G587" s="2"/>
      <c r="H587" s="2"/>
      <c r="I587" s="2"/>
      <c r="J587" s="2"/>
      <c r="K587" s="2"/>
      <c r="L587" s="2"/>
      <c r="M587" s="2"/>
      <c r="N587" s="2"/>
      <c r="O587" s="2"/>
      <c r="P587" s="2"/>
      <c r="Q587" s="2"/>
    </row>
    <row r="588" ht="15.75" customHeight="1">
      <c r="B588" s="2"/>
      <c r="C588" s="2"/>
      <c r="D588" s="2"/>
      <c r="E588" s="464"/>
      <c r="F588" s="2"/>
      <c r="G588" s="2"/>
      <c r="H588" s="2"/>
      <c r="I588" s="2"/>
      <c r="J588" s="2"/>
      <c r="K588" s="2"/>
      <c r="L588" s="2"/>
      <c r="M588" s="2"/>
      <c r="N588" s="2"/>
      <c r="O588" s="2"/>
      <c r="P588" s="2"/>
      <c r="Q588" s="2"/>
    </row>
    <row r="589" ht="15.75" customHeight="1">
      <c r="B589" s="2"/>
      <c r="C589" s="2"/>
      <c r="D589" s="2"/>
      <c r="E589" s="464"/>
      <c r="F589" s="2"/>
      <c r="G589" s="2"/>
      <c r="H589" s="2"/>
      <c r="I589" s="2"/>
      <c r="J589" s="2"/>
      <c r="K589" s="2"/>
      <c r="L589" s="2"/>
      <c r="M589" s="2"/>
      <c r="N589" s="2"/>
      <c r="O589" s="2"/>
      <c r="P589" s="2"/>
      <c r="Q589" s="2"/>
    </row>
    <row r="590" ht="15.75" customHeight="1">
      <c r="B590" s="2"/>
      <c r="C590" s="2"/>
      <c r="D590" s="2"/>
      <c r="E590" s="464"/>
      <c r="F590" s="2"/>
      <c r="G590" s="2"/>
      <c r="H590" s="2"/>
      <c r="I590" s="2"/>
      <c r="J590" s="2"/>
      <c r="K590" s="2"/>
      <c r="L590" s="2"/>
      <c r="M590" s="2"/>
      <c r="N590" s="2"/>
      <c r="O590" s="2"/>
      <c r="P590" s="2"/>
      <c r="Q590" s="2"/>
    </row>
    <row r="591" ht="15.75" customHeight="1">
      <c r="B591" s="2"/>
      <c r="C591" s="2"/>
      <c r="D591" s="2"/>
      <c r="E591" s="464"/>
      <c r="F591" s="2"/>
      <c r="G591" s="2"/>
      <c r="H591" s="2"/>
      <c r="I591" s="2"/>
      <c r="J591" s="2"/>
      <c r="K591" s="2"/>
      <c r="L591" s="2"/>
      <c r="M591" s="2"/>
      <c r="N591" s="2"/>
      <c r="O591" s="2"/>
      <c r="P591" s="2"/>
      <c r="Q591" s="2"/>
    </row>
    <row r="592" ht="15.75" customHeight="1">
      <c r="B592" s="2"/>
      <c r="C592" s="2"/>
      <c r="D592" s="2"/>
      <c r="E592" s="464"/>
      <c r="F592" s="2"/>
      <c r="G592" s="2"/>
      <c r="H592" s="2"/>
      <c r="I592" s="2"/>
      <c r="J592" s="2"/>
      <c r="K592" s="2"/>
      <c r="L592" s="2"/>
      <c r="M592" s="2"/>
      <c r="N592" s="2"/>
      <c r="O592" s="2"/>
      <c r="P592" s="2"/>
      <c r="Q592" s="2"/>
    </row>
    <row r="593" ht="15.75" customHeight="1">
      <c r="B593" s="2"/>
      <c r="C593" s="2"/>
      <c r="D593" s="2"/>
      <c r="E593" s="464"/>
      <c r="F593" s="2"/>
      <c r="G593" s="2"/>
      <c r="H593" s="2"/>
      <c r="I593" s="2"/>
      <c r="J593" s="2"/>
      <c r="K593" s="2"/>
      <c r="L593" s="2"/>
      <c r="M593" s="2"/>
      <c r="N593" s="2"/>
      <c r="O593" s="2"/>
      <c r="P593" s="2"/>
      <c r="Q593" s="2"/>
    </row>
    <row r="594" ht="15.75" customHeight="1">
      <c r="B594" s="2"/>
      <c r="C594" s="2"/>
      <c r="D594" s="2"/>
      <c r="E594" s="464"/>
      <c r="F594" s="2"/>
      <c r="G594" s="2"/>
      <c r="H594" s="2"/>
      <c r="I594" s="2"/>
      <c r="J594" s="2"/>
      <c r="K594" s="2"/>
      <c r="L594" s="2"/>
      <c r="M594" s="2"/>
      <c r="N594" s="2"/>
      <c r="O594" s="2"/>
      <c r="P594" s="2"/>
      <c r="Q594" s="2"/>
    </row>
    <row r="595" ht="15.75" customHeight="1">
      <c r="B595" s="2"/>
      <c r="C595" s="2"/>
      <c r="D595" s="2"/>
      <c r="E595" s="464"/>
      <c r="F595" s="2"/>
      <c r="G595" s="2"/>
      <c r="H595" s="2"/>
      <c r="I595" s="2"/>
      <c r="J595" s="2"/>
      <c r="K595" s="2"/>
      <c r="L595" s="2"/>
      <c r="M595" s="2"/>
      <c r="N595" s="2"/>
      <c r="O595" s="2"/>
      <c r="P595" s="2"/>
      <c r="Q595" s="2"/>
    </row>
    <row r="596" ht="15.75" customHeight="1">
      <c r="B596" s="2"/>
      <c r="C596" s="2"/>
      <c r="D596" s="2"/>
      <c r="E596" s="464"/>
      <c r="F596" s="2"/>
      <c r="G596" s="2"/>
      <c r="H596" s="2"/>
      <c r="I596" s="2"/>
      <c r="J596" s="2"/>
      <c r="K596" s="2"/>
      <c r="L596" s="2"/>
      <c r="M596" s="2"/>
      <c r="N596" s="2"/>
      <c r="O596" s="2"/>
      <c r="P596" s="2"/>
      <c r="Q596" s="2"/>
    </row>
    <row r="597" ht="15.75" customHeight="1">
      <c r="B597" s="2"/>
      <c r="C597" s="2"/>
      <c r="D597" s="2"/>
      <c r="E597" s="464"/>
      <c r="F597" s="2"/>
      <c r="G597" s="2"/>
      <c r="H597" s="2"/>
      <c r="I597" s="2"/>
      <c r="J597" s="2"/>
      <c r="K597" s="2"/>
      <c r="L597" s="2"/>
      <c r="M597" s="2"/>
      <c r="N597" s="2"/>
      <c r="O597" s="2"/>
      <c r="P597" s="2"/>
      <c r="Q597" s="2"/>
    </row>
    <row r="598" ht="15.75" customHeight="1">
      <c r="B598" s="2"/>
      <c r="C598" s="2"/>
      <c r="D598" s="2"/>
      <c r="E598" s="464"/>
      <c r="F598" s="2"/>
      <c r="G598" s="2"/>
      <c r="H598" s="2"/>
      <c r="I598" s="2"/>
      <c r="J598" s="2"/>
      <c r="K598" s="2"/>
      <c r="L598" s="2"/>
      <c r="M598" s="2"/>
      <c r="N598" s="2"/>
      <c r="O598" s="2"/>
      <c r="P598" s="2"/>
      <c r="Q598" s="2"/>
    </row>
    <row r="599" ht="15.75" customHeight="1">
      <c r="B599" s="2"/>
      <c r="C599" s="2"/>
      <c r="D599" s="2"/>
      <c r="E599" s="464"/>
      <c r="F599" s="2"/>
      <c r="G599" s="2"/>
      <c r="H599" s="2"/>
      <c r="I599" s="2"/>
      <c r="J599" s="2"/>
      <c r="K599" s="2"/>
      <c r="L599" s="2"/>
      <c r="M599" s="2"/>
      <c r="N599" s="2"/>
      <c r="O599" s="2"/>
      <c r="P599" s="2"/>
      <c r="Q599" s="2"/>
    </row>
    <row r="600" ht="15.75" customHeight="1">
      <c r="B600" s="2"/>
      <c r="C600" s="2"/>
      <c r="D600" s="2"/>
      <c r="E600" s="464"/>
      <c r="F600" s="2"/>
      <c r="G600" s="2"/>
      <c r="H600" s="2"/>
      <c r="I600" s="2"/>
      <c r="J600" s="2"/>
      <c r="K600" s="2"/>
      <c r="L600" s="2"/>
      <c r="M600" s="2"/>
      <c r="N600" s="2"/>
      <c r="O600" s="2"/>
      <c r="P600" s="2"/>
      <c r="Q600" s="2"/>
    </row>
    <row r="601" ht="15.75" customHeight="1">
      <c r="B601" s="2"/>
      <c r="C601" s="2"/>
      <c r="D601" s="2"/>
      <c r="E601" s="464"/>
      <c r="F601" s="2"/>
      <c r="G601" s="2"/>
      <c r="H601" s="2"/>
      <c r="I601" s="2"/>
      <c r="J601" s="2"/>
      <c r="K601" s="2"/>
      <c r="L601" s="2"/>
      <c r="M601" s="2"/>
      <c r="N601" s="2"/>
      <c r="O601" s="2"/>
      <c r="P601" s="2"/>
      <c r="Q601" s="2"/>
    </row>
    <row r="602" ht="15.75" customHeight="1">
      <c r="B602" s="2"/>
      <c r="C602" s="2"/>
      <c r="D602" s="2"/>
      <c r="E602" s="464"/>
      <c r="F602" s="2"/>
      <c r="G602" s="2"/>
      <c r="H602" s="2"/>
      <c r="I602" s="2"/>
      <c r="J602" s="2"/>
      <c r="K602" s="2"/>
      <c r="L602" s="2"/>
      <c r="M602" s="2"/>
      <c r="N602" s="2"/>
      <c r="O602" s="2"/>
      <c r="P602" s="2"/>
      <c r="Q602" s="2"/>
    </row>
    <row r="603" ht="15.75" customHeight="1">
      <c r="B603" s="2"/>
      <c r="C603" s="2"/>
      <c r="D603" s="2"/>
      <c r="E603" s="464"/>
      <c r="F603" s="2"/>
      <c r="G603" s="2"/>
      <c r="H603" s="2"/>
      <c r="I603" s="2"/>
      <c r="J603" s="2"/>
      <c r="K603" s="2"/>
      <c r="L603" s="2"/>
      <c r="M603" s="2"/>
      <c r="N603" s="2"/>
      <c r="O603" s="2"/>
      <c r="P603" s="2"/>
      <c r="Q603" s="2"/>
    </row>
    <row r="604" ht="15.75" customHeight="1">
      <c r="B604" s="2"/>
      <c r="C604" s="2"/>
      <c r="D604" s="2"/>
      <c r="E604" s="464"/>
      <c r="F604" s="2"/>
      <c r="G604" s="2"/>
      <c r="H604" s="2"/>
      <c r="I604" s="2"/>
      <c r="J604" s="2"/>
      <c r="K604" s="2"/>
      <c r="L604" s="2"/>
      <c r="M604" s="2"/>
      <c r="N604" s="2"/>
      <c r="O604" s="2"/>
      <c r="P604" s="2"/>
      <c r="Q604" s="2"/>
    </row>
    <row r="605" ht="15.75" customHeight="1">
      <c r="B605" s="2"/>
      <c r="C605" s="2"/>
      <c r="D605" s="2"/>
      <c r="E605" s="464"/>
      <c r="F605" s="2"/>
      <c r="G605" s="2"/>
      <c r="H605" s="2"/>
      <c r="I605" s="2"/>
      <c r="J605" s="2"/>
      <c r="K605" s="2"/>
      <c r="L605" s="2"/>
      <c r="M605" s="2"/>
      <c r="N605" s="2"/>
      <c r="O605" s="2"/>
      <c r="P605" s="2"/>
      <c r="Q605" s="2"/>
    </row>
    <row r="606" ht="15.75" customHeight="1">
      <c r="B606" s="2"/>
      <c r="C606" s="2"/>
      <c r="D606" s="2"/>
      <c r="E606" s="464"/>
      <c r="F606" s="2"/>
      <c r="G606" s="2"/>
      <c r="H606" s="2"/>
      <c r="I606" s="2"/>
      <c r="J606" s="2"/>
      <c r="K606" s="2"/>
      <c r="L606" s="2"/>
      <c r="M606" s="2"/>
      <c r="N606" s="2"/>
      <c r="O606" s="2"/>
      <c r="P606" s="2"/>
      <c r="Q606" s="2"/>
    </row>
    <row r="607" ht="15.75" customHeight="1">
      <c r="B607" s="2"/>
      <c r="C607" s="2"/>
      <c r="D607" s="2"/>
      <c r="E607" s="464"/>
      <c r="F607" s="2"/>
      <c r="G607" s="2"/>
      <c r="H607" s="2"/>
      <c r="I607" s="2"/>
      <c r="J607" s="2"/>
      <c r="K607" s="2"/>
      <c r="L607" s="2"/>
      <c r="M607" s="2"/>
      <c r="N607" s="2"/>
      <c r="O607" s="2"/>
      <c r="P607" s="2"/>
      <c r="Q607" s="2"/>
    </row>
    <row r="608" ht="15.75" customHeight="1">
      <c r="B608" s="2"/>
      <c r="C608" s="2"/>
      <c r="D608" s="2"/>
      <c r="E608" s="464"/>
      <c r="F608" s="2"/>
      <c r="G608" s="2"/>
      <c r="H608" s="2"/>
      <c r="I608" s="2"/>
      <c r="J608" s="2"/>
      <c r="K608" s="2"/>
      <c r="L608" s="2"/>
      <c r="M608" s="2"/>
      <c r="N608" s="2"/>
      <c r="O608" s="2"/>
      <c r="P608" s="2"/>
      <c r="Q608" s="2"/>
    </row>
    <row r="609" ht="15.75" customHeight="1">
      <c r="B609" s="2"/>
      <c r="C609" s="2"/>
      <c r="D609" s="2"/>
      <c r="E609" s="464"/>
      <c r="F609" s="2"/>
      <c r="G609" s="2"/>
      <c r="H609" s="2"/>
      <c r="I609" s="2"/>
      <c r="J609" s="2"/>
      <c r="K609" s="2"/>
      <c r="L609" s="2"/>
      <c r="M609" s="2"/>
      <c r="N609" s="2"/>
      <c r="O609" s="2"/>
      <c r="P609" s="2"/>
      <c r="Q609" s="2"/>
    </row>
    <row r="610" ht="15.75" customHeight="1">
      <c r="B610" s="2"/>
      <c r="C610" s="2"/>
      <c r="D610" s="2"/>
      <c r="E610" s="464"/>
      <c r="F610" s="2"/>
      <c r="G610" s="2"/>
      <c r="H610" s="2"/>
      <c r="I610" s="2"/>
      <c r="J610" s="2"/>
      <c r="K610" s="2"/>
      <c r="L610" s="2"/>
      <c r="M610" s="2"/>
      <c r="N610" s="2"/>
      <c r="O610" s="2"/>
      <c r="P610" s="2"/>
      <c r="Q610" s="2"/>
    </row>
    <row r="611" ht="15.75" customHeight="1">
      <c r="B611" s="2"/>
      <c r="C611" s="2"/>
      <c r="D611" s="2"/>
      <c r="E611" s="464"/>
      <c r="F611" s="2"/>
      <c r="G611" s="2"/>
      <c r="H611" s="2"/>
      <c r="I611" s="2"/>
      <c r="J611" s="2"/>
      <c r="K611" s="2"/>
      <c r="L611" s="2"/>
      <c r="M611" s="2"/>
      <c r="N611" s="2"/>
      <c r="O611" s="2"/>
      <c r="P611" s="2"/>
      <c r="Q611" s="2"/>
    </row>
    <row r="612" ht="15.75" customHeight="1">
      <c r="B612" s="2"/>
      <c r="C612" s="2"/>
      <c r="D612" s="2"/>
      <c r="E612" s="464"/>
      <c r="F612" s="2"/>
      <c r="G612" s="2"/>
      <c r="H612" s="2"/>
      <c r="I612" s="2"/>
      <c r="J612" s="2"/>
      <c r="K612" s="2"/>
      <c r="L612" s="2"/>
      <c r="M612" s="2"/>
      <c r="N612" s="2"/>
      <c r="O612" s="2"/>
      <c r="P612" s="2"/>
      <c r="Q612" s="2"/>
    </row>
    <row r="613" ht="15.75" customHeight="1">
      <c r="B613" s="2"/>
      <c r="C613" s="2"/>
      <c r="D613" s="2"/>
      <c r="E613" s="464"/>
      <c r="F613" s="2"/>
      <c r="G613" s="2"/>
      <c r="H613" s="2"/>
      <c r="I613" s="2"/>
      <c r="J613" s="2"/>
      <c r="K613" s="2"/>
      <c r="L613" s="2"/>
      <c r="M613" s="2"/>
      <c r="N613" s="2"/>
      <c r="O613" s="2"/>
      <c r="P613" s="2"/>
      <c r="Q613" s="2"/>
    </row>
    <row r="614" ht="15.75" customHeight="1">
      <c r="B614" s="2"/>
      <c r="C614" s="2"/>
      <c r="D614" s="2"/>
      <c r="E614" s="464"/>
      <c r="F614" s="2"/>
      <c r="G614" s="2"/>
      <c r="H614" s="2"/>
      <c r="I614" s="2"/>
      <c r="J614" s="2"/>
      <c r="K614" s="2"/>
      <c r="L614" s="2"/>
      <c r="M614" s="2"/>
      <c r="N614" s="2"/>
      <c r="O614" s="2"/>
      <c r="P614" s="2"/>
      <c r="Q614" s="2"/>
    </row>
    <row r="615" ht="15.75" customHeight="1">
      <c r="B615" s="2"/>
      <c r="C615" s="2"/>
      <c r="D615" s="2"/>
      <c r="E615" s="464"/>
      <c r="F615" s="2"/>
      <c r="G615" s="2"/>
      <c r="H615" s="2"/>
      <c r="I615" s="2"/>
      <c r="J615" s="2"/>
      <c r="K615" s="2"/>
      <c r="L615" s="2"/>
      <c r="M615" s="2"/>
      <c r="N615" s="2"/>
      <c r="O615" s="2"/>
      <c r="P615" s="2"/>
      <c r="Q615" s="2"/>
    </row>
    <row r="616" ht="15.75" customHeight="1">
      <c r="B616" s="2"/>
      <c r="C616" s="2"/>
      <c r="D616" s="2"/>
      <c r="E616" s="464"/>
      <c r="F616" s="2"/>
      <c r="G616" s="2"/>
      <c r="H616" s="2"/>
      <c r="I616" s="2"/>
      <c r="J616" s="2"/>
      <c r="K616" s="2"/>
      <c r="L616" s="2"/>
      <c r="M616" s="2"/>
      <c r="N616" s="2"/>
      <c r="O616" s="2"/>
      <c r="P616" s="2"/>
      <c r="Q616" s="2"/>
    </row>
    <row r="617" ht="15.75" customHeight="1">
      <c r="B617" s="2"/>
      <c r="C617" s="2"/>
      <c r="D617" s="2"/>
      <c r="E617" s="464"/>
      <c r="F617" s="2"/>
      <c r="G617" s="2"/>
      <c r="H617" s="2"/>
      <c r="I617" s="2"/>
      <c r="J617" s="2"/>
      <c r="K617" s="2"/>
      <c r="L617" s="2"/>
      <c r="M617" s="2"/>
      <c r="N617" s="2"/>
      <c r="O617" s="2"/>
      <c r="P617" s="2"/>
      <c r="Q617" s="2"/>
    </row>
    <row r="618" ht="15.75" customHeight="1">
      <c r="B618" s="2"/>
      <c r="C618" s="2"/>
      <c r="D618" s="2"/>
      <c r="E618" s="464"/>
      <c r="F618" s="2"/>
      <c r="G618" s="2"/>
      <c r="H618" s="2"/>
      <c r="I618" s="2"/>
      <c r="J618" s="2"/>
      <c r="K618" s="2"/>
      <c r="L618" s="2"/>
      <c r="M618" s="2"/>
      <c r="N618" s="2"/>
      <c r="O618" s="2"/>
      <c r="P618" s="2"/>
      <c r="Q618" s="2"/>
    </row>
    <row r="619" ht="15.75" customHeight="1">
      <c r="B619" s="2"/>
      <c r="C619" s="2"/>
      <c r="D619" s="2"/>
      <c r="E619" s="464"/>
      <c r="F619" s="2"/>
      <c r="G619" s="2"/>
      <c r="H619" s="2"/>
      <c r="I619" s="2"/>
      <c r="J619" s="2"/>
      <c r="K619" s="2"/>
      <c r="L619" s="2"/>
      <c r="M619" s="2"/>
      <c r="N619" s="2"/>
      <c r="O619" s="2"/>
      <c r="P619" s="2"/>
      <c r="Q619" s="2"/>
    </row>
    <row r="620" ht="15.75" customHeight="1">
      <c r="B620" s="2"/>
      <c r="C620" s="2"/>
      <c r="D620" s="2"/>
      <c r="E620" s="464"/>
      <c r="F620" s="2"/>
      <c r="G620" s="2"/>
      <c r="H620" s="2"/>
      <c r="I620" s="2"/>
      <c r="J620" s="2"/>
      <c r="K620" s="2"/>
      <c r="L620" s="2"/>
      <c r="M620" s="2"/>
      <c r="N620" s="2"/>
      <c r="O620" s="2"/>
      <c r="P620" s="2"/>
      <c r="Q620" s="2"/>
    </row>
    <row r="621" ht="15.75" customHeight="1">
      <c r="B621" s="2"/>
      <c r="C621" s="2"/>
      <c r="D621" s="2"/>
      <c r="E621" s="464"/>
      <c r="F621" s="2"/>
      <c r="G621" s="2"/>
      <c r="H621" s="2"/>
      <c r="I621" s="2"/>
      <c r="J621" s="2"/>
      <c r="K621" s="2"/>
      <c r="L621" s="2"/>
      <c r="M621" s="2"/>
      <c r="N621" s="2"/>
      <c r="O621" s="2"/>
      <c r="P621" s="2"/>
      <c r="Q621" s="2"/>
    </row>
    <row r="622" ht="15.75" customHeight="1">
      <c r="B622" s="2"/>
      <c r="C622" s="2"/>
      <c r="D622" s="2"/>
      <c r="E622" s="464"/>
      <c r="F622" s="2"/>
      <c r="G622" s="2"/>
      <c r="H622" s="2"/>
      <c r="I622" s="2"/>
      <c r="J622" s="2"/>
      <c r="K622" s="2"/>
      <c r="L622" s="2"/>
      <c r="M622" s="2"/>
      <c r="N622" s="2"/>
      <c r="O622" s="2"/>
      <c r="P622" s="2"/>
      <c r="Q622" s="2"/>
    </row>
    <row r="623" ht="15.75" customHeight="1">
      <c r="B623" s="2"/>
      <c r="C623" s="2"/>
      <c r="D623" s="2"/>
      <c r="E623" s="464"/>
      <c r="F623" s="2"/>
      <c r="G623" s="2"/>
      <c r="H623" s="2"/>
      <c r="I623" s="2"/>
      <c r="J623" s="2"/>
      <c r="K623" s="2"/>
      <c r="L623" s="2"/>
      <c r="M623" s="2"/>
      <c r="N623" s="2"/>
      <c r="O623" s="2"/>
      <c r="P623" s="2"/>
      <c r="Q623" s="2"/>
    </row>
    <row r="624" ht="15.75" customHeight="1">
      <c r="B624" s="2"/>
      <c r="C624" s="2"/>
      <c r="D624" s="2"/>
      <c r="E624" s="464"/>
      <c r="F624" s="2"/>
      <c r="G624" s="2"/>
      <c r="H624" s="2"/>
      <c r="I624" s="2"/>
      <c r="J624" s="2"/>
      <c r="K624" s="2"/>
      <c r="L624" s="2"/>
      <c r="M624" s="2"/>
      <c r="N624" s="2"/>
      <c r="O624" s="2"/>
      <c r="P624" s="2"/>
      <c r="Q624" s="2"/>
    </row>
    <row r="625" ht="15.75" customHeight="1">
      <c r="B625" s="2"/>
      <c r="C625" s="2"/>
      <c r="D625" s="2"/>
      <c r="E625" s="464"/>
      <c r="F625" s="2"/>
      <c r="G625" s="2"/>
      <c r="H625" s="2"/>
      <c r="I625" s="2"/>
      <c r="J625" s="2"/>
      <c r="K625" s="2"/>
      <c r="L625" s="2"/>
      <c r="M625" s="2"/>
      <c r="N625" s="2"/>
      <c r="O625" s="2"/>
      <c r="P625" s="2"/>
      <c r="Q625" s="2"/>
    </row>
    <row r="626" ht="15.75" customHeight="1">
      <c r="B626" s="2"/>
      <c r="C626" s="2"/>
      <c r="D626" s="2"/>
      <c r="E626" s="464"/>
      <c r="F626" s="2"/>
      <c r="G626" s="2"/>
      <c r="H626" s="2"/>
      <c r="I626" s="2"/>
      <c r="J626" s="2"/>
      <c r="K626" s="2"/>
      <c r="L626" s="2"/>
      <c r="M626" s="2"/>
      <c r="N626" s="2"/>
      <c r="O626" s="2"/>
      <c r="P626" s="2"/>
      <c r="Q626" s="2"/>
    </row>
    <row r="627" ht="15.75" customHeight="1">
      <c r="B627" s="2"/>
      <c r="C627" s="2"/>
      <c r="D627" s="2"/>
      <c r="E627" s="464"/>
      <c r="F627" s="2"/>
      <c r="G627" s="2"/>
      <c r="H627" s="2"/>
      <c r="I627" s="2"/>
      <c r="J627" s="2"/>
      <c r="K627" s="2"/>
      <c r="L627" s="2"/>
      <c r="M627" s="2"/>
      <c r="N627" s="2"/>
      <c r="O627" s="2"/>
      <c r="P627" s="2"/>
      <c r="Q627" s="2"/>
    </row>
    <row r="628" ht="15.75" customHeight="1">
      <c r="B628" s="2"/>
      <c r="C628" s="2"/>
      <c r="D628" s="2"/>
      <c r="E628" s="464"/>
      <c r="F628" s="2"/>
      <c r="G628" s="2"/>
      <c r="H628" s="2"/>
      <c r="I628" s="2"/>
      <c r="J628" s="2"/>
      <c r="K628" s="2"/>
      <c r="L628" s="2"/>
      <c r="M628" s="2"/>
      <c r="N628" s="2"/>
      <c r="O628" s="2"/>
      <c r="P628" s="2"/>
      <c r="Q628" s="2"/>
    </row>
    <row r="629" ht="15.75" customHeight="1">
      <c r="B629" s="2"/>
      <c r="C629" s="2"/>
      <c r="D629" s="2"/>
      <c r="E629" s="464"/>
      <c r="F629" s="2"/>
      <c r="G629" s="2"/>
      <c r="H629" s="2"/>
      <c r="I629" s="2"/>
      <c r="J629" s="2"/>
      <c r="K629" s="2"/>
      <c r="L629" s="2"/>
      <c r="M629" s="2"/>
      <c r="N629" s="2"/>
      <c r="O629" s="2"/>
      <c r="P629" s="2"/>
      <c r="Q629" s="2"/>
    </row>
    <row r="630" ht="15.75" customHeight="1">
      <c r="B630" s="2"/>
      <c r="C630" s="2"/>
      <c r="D630" s="2"/>
      <c r="E630" s="464"/>
      <c r="F630" s="2"/>
      <c r="G630" s="2"/>
      <c r="H630" s="2"/>
      <c r="I630" s="2"/>
      <c r="J630" s="2"/>
      <c r="K630" s="2"/>
      <c r="L630" s="2"/>
      <c r="M630" s="2"/>
      <c r="N630" s="2"/>
      <c r="O630" s="2"/>
      <c r="P630" s="2"/>
      <c r="Q630" s="2"/>
    </row>
    <row r="631" ht="15.75" customHeight="1">
      <c r="B631" s="2"/>
      <c r="C631" s="2"/>
      <c r="D631" s="2"/>
      <c r="E631" s="464"/>
      <c r="F631" s="2"/>
      <c r="G631" s="2"/>
      <c r="H631" s="2"/>
      <c r="I631" s="2"/>
      <c r="J631" s="2"/>
      <c r="K631" s="2"/>
      <c r="L631" s="2"/>
      <c r="M631" s="2"/>
      <c r="N631" s="2"/>
      <c r="O631" s="2"/>
      <c r="P631" s="2"/>
      <c r="Q631" s="2"/>
    </row>
    <row r="632" ht="15.75" customHeight="1">
      <c r="B632" s="2"/>
      <c r="C632" s="2"/>
      <c r="D632" s="2"/>
      <c r="E632" s="464"/>
      <c r="F632" s="2"/>
      <c r="G632" s="2"/>
      <c r="H632" s="2"/>
      <c r="I632" s="2"/>
      <c r="J632" s="2"/>
      <c r="K632" s="2"/>
      <c r="L632" s="2"/>
      <c r="M632" s="2"/>
      <c r="N632" s="2"/>
      <c r="O632" s="2"/>
      <c r="P632" s="2"/>
      <c r="Q632" s="2"/>
    </row>
    <row r="633" ht="15.75" customHeight="1">
      <c r="B633" s="2"/>
      <c r="C633" s="2"/>
      <c r="D633" s="2"/>
      <c r="E633" s="464"/>
      <c r="F633" s="2"/>
      <c r="G633" s="2"/>
      <c r="H633" s="2"/>
      <c r="I633" s="2"/>
      <c r="J633" s="2"/>
      <c r="K633" s="2"/>
      <c r="L633" s="2"/>
      <c r="M633" s="2"/>
      <c r="N633" s="2"/>
      <c r="O633" s="2"/>
      <c r="P633" s="2"/>
      <c r="Q633" s="2"/>
    </row>
    <row r="634" ht="15.75" customHeight="1">
      <c r="B634" s="2"/>
      <c r="C634" s="2"/>
      <c r="D634" s="2"/>
      <c r="E634" s="464"/>
      <c r="F634" s="2"/>
      <c r="G634" s="2"/>
      <c r="H634" s="2"/>
      <c r="I634" s="2"/>
      <c r="J634" s="2"/>
      <c r="K634" s="2"/>
      <c r="L634" s="2"/>
      <c r="M634" s="2"/>
      <c r="N634" s="2"/>
      <c r="O634" s="2"/>
      <c r="P634" s="2"/>
      <c r="Q634" s="2"/>
    </row>
    <row r="635" ht="15.75" customHeight="1">
      <c r="B635" s="2"/>
      <c r="C635" s="2"/>
      <c r="D635" s="2"/>
      <c r="E635" s="464"/>
      <c r="F635" s="2"/>
      <c r="G635" s="2"/>
      <c r="H635" s="2"/>
      <c r="I635" s="2"/>
      <c r="J635" s="2"/>
      <c r="K635" s="2"/>
      <c r="L635" s="2"/>
      <c r="M635" s="2"/>
      <c r="N635" s="2"/>
      <c r="O635" s="2"/>
      <c r="P635" s="2"/>
      <c r="Q635" s="2"/>
    </row>
    <row r="636" ht="15.75" customHeight="1">
      <c r="B636" s="2"/>
      <c r="C636" s="2"/>
      <c r="D636" s="2"/>
      <c r="E636" s="464"/>
      <c r="F636" s="2"/>
      <c r="G636" s="2"/>
      <c r="H636" s="2"/>
      <c r="I636" s="2"/>
      <c r="J636" s="2"/>
      <c r="K636" s="2"/>
      <c r="L636" s="2"/>
      <c r="M636" s="2"/>
      <c r="N636" s="2"/>
      <c r="O636" s="2"/>
      <c r="P636" s="2"/>
      <c r="Q636" s="2"/>
    </row>
    <row r="637" ht="15.75" customHeight="1">
      <c r="B637" s="2"/>
      <c r="C637" s="2"/>
      <c r="D637" s="2"/>
      <c r="E637" s="464"/>
      <c r="F637" s="2"/>
      <c r="G637" s="2"/>
      <c r="H637" s="2"/>
      <c r="I637" s="2"/>
      <c r="J637" s="2"/>
      <c r="K637" s="2"/>
      <c r="L637" s="2"/>
      <c r="M637" s="2"/>
      <c r="N637" s="2"/>
      <c r="O637" s="2"/>
      <c r="P637" s="2"/>
      <c r="Q637" s="2"/>
    </row>
    <row r="638" ht="15.75" customHeight="1">
      <c r="B638" s="2"/>
      <c r="C638" s="2"/>
      <c r="D638" s="2"/>
      <c r="E638" s="464"/>
      <c r="F638" s="2"/>
      <c r="G638" s="2"/>
      <c r="H638" s="2"/>
      <c r="I638" s="2"/>
      <c r="J638" s="2"/>
      <c r="K638" s="2"/>
      <c r="L638" s="2"/>
      <c r="M638" s="2"/>
      <c r="N638" s="2"/>
      <c r="O638" s="2"/>
      <c r="P638" s="2"/>
      <c r="Q638" s="2"/>
    </row>
    <row r="639" ht="15.75" customHeight="1">
      <c r="B639" s="2"/>
      <c r="C639" s="2"/>
      <c r="D639" s="2"/>
      <c r="E639" s="464"/>
      <c r="F639" s="2"/>
      <c r="G639" s="2"/>
      <c r="H639" s="2"/>
      <c r="I639" s="2"/>
      <c r="J639" s="2"/>
      <c r="K639" s="2"/>
      <c r="L639" s="2"/>
      <c r="M639" s="2"/>
      <c r="N639" s="2"/>
      <c r="O639" s="2"/>
      <c r="P639" s="2"/>
      <c r="Q639" s="2"/>
    </row>
    <row r="640" ht="15.75" customHeight="1">
      <c r="B640" s="2"/>
      <c r="C640" s="2"/>
      <c r="D640" s="2"/>
      <c r="E640" s="464"/>
      <c r="F640" s="2"/>
      <c r="G640" s="2"/>
      <c r="H640" s="2"/>
      <c r="I640" s="2"/>
      <c r="J640" s="2"/>
      <c r="K640" s="2"/>
      <c r="L640" s="2"/>
      <c r="M640" s="2"/>
      <c r="N640" s="2"/>
      <c r="O640" s="2"/>
      <c r="P640" s="2"/>
      <c r="Q640" s="2"/>
    </row>
    <row r="641" ht="15.75" customHeight="1">
      <c r="B641" s="2"/>
      <c r="C641" s="2"/>
      <c r="D641" s="2"/>
      <c r="E641" s="464"/>
      <c r="F641" s="2"/>
      <c r="G641" s="2"/>
      <c r="H641" s="2"/>
      <c r="I641" s="2"/>
      <c r="J641" s="2"/>
      <c r="K641" s="2"/>
      <c r="L641" s="2"/>
      <c r="M641" s="2"/>
      <c r="N641" s="2"/>
      <c r="O641" s="2"/>
      <c r="P641" s="2"/>
      <c r="Q641" s="2"/>
    </row>
    <row r="642" ht="15.75" customHeight="1">
      <c r="B642" s="2"/>
      <c r="C642" s="2"/>
      <c r="D642" s="2"/>
      <c r="E642" s="464"/>
      <c r="F642" s="2"/>
      <c r="G642" s="2"/>
      <c r="H642" s="2"/>
      <c r="I642" s="2"/>
      <c r="J642" s="2"/>
      <c r="K642" s="2"/>
      <c r="L642" s="2"/>
      <c r="M642" s="2"/>
      <c r="N642" s="2"/>
      <c r="O642" s="2"/>
      <c r="P642" s="2"/>
      <c r="Q642" s="2"/>
    </row>
    <row r="643" ht="15.75" customHeight="1">
      <c r="B643" s="2"/>
      <c r="C643" s="2"/>
      <c r="D643" s="2"/>
      <c r="E643" s="464"/>
      <c r="F643" s="2"/>
      <c r="G643" s="2"/>
      <c r="H643" s="2"/>
      <c r="I643" s="2"/>
      <c r="J643" s="2"/>
      <c r="K643" s="2"/>
      <c r="L643" s="2"/>
      <c r="M643" s="2"/>
      <c r="N643" s="2"/>
      <c r="O643" s="2"/>
      <c r="P643" s="2"/>
      <c r="Q643" s="2"/>
    </row>
    <row r="644" ht="15.75" customHeight="1">
      <c r="B644" s="2"/>
      <c r="C644" s="2"/>
      <c r="D644" s="2"/>
      <c r="E644" s="464"/>
      <c r="F644" s="2"/>
      <c r="G644" s="2"/>
      <c r="H644" s="2"/>
      <c r="I644" s="2"/>
      <c r="J644" s="2"/>
      <c r="K644" s="2"/>
      <c r="L644" s="2"/>
      <c r="M644" s="2"/>
      <c r="N644" s="2"/>
      <c r="O644" s="2"/>
      <c r="P644" s="2"/>
      <c r="Q644" s="2"/>
    </row>
    <row r="645" ht="15.75" customHeight="1">
      <c r="B645" s="2"/>
      <c r="C645" s="2"/>
      <c r="D645" s="2"/>
      <c r="E645" s="464"/>
      <c r="F645" s="2"/>
      <c r="G645" s="2"/>
      <c r="H645" s="2"/>
      <c r="I645" s="2"/>
      <c r="J645" s="2"/>
      <c r="K645" s="2"/>
      <c r="L645" s="2"/>
      <c r="M645" s="2"/>
      <c r="N645" s="2"/>
      <c r="O645" s="2"/>
      <c r="P645" s="2"/>
      <c r="Q645" s="2"/>
    </row>
    <row r="646" ht="15.75" customHeight="1">
      <c r="B646" s="2"/>
      <c r="C646" s="2"/>
      <c r="D646" s="2"/>
      <c r="E646" s="464"/>
      <c r="F646" s="2"/>
      <c r="G646" s="2"/>
      <c r="H646" s="2"/>
      <c r="I646" s="2"/>
      <c r="J646" s="2"/>
      <c r="K646" s="2"/>
      <c r="L646" s="2"/>
      <c r="M646" s="2"/>
      <c r="N646" s="2"/>
      <c r="O646" s="2"/>
      <c r="P646" s="2"/>
      <c r="Q646" s="2"/>
    </row>
    <row r="647" ht="15.75" customHeight="1">
      <c r="B647" s="2"/>
      <c r="C647" s="2"/>
      <c r="D647" s="2"/>
      <c r="E647" s="464"/>
      <c r="F647" s="2"/>
      <c r="G647" s="2"/>
      <c r="H647" s="2"/>
      <c r="I647" s="2"/>
      <c r="J647" s="2"/>
      <c r="K647" s="2"/>
      <c r="L647" s="2"/>
      <c r="M647" s="2"/>
      <c r="N647" s="2"/>
      <c r="O647" s="2"/>
      <c r="P647" s="2"/>
      <c r="Q647" s="2"/>
    </row>
    <row r="648" ht="15.75" customHeight="1">
      <c r="B648" s="2"/>
      <c r="C648" s="2"/>
      <c r="D648" s="2"/>
      <c r="E648" s="464"/>
      <c r="F648" s="2"/>
      <c r="G648" s="2"/>
      <c r="H648" s="2"/>
      <c r="I648" s="2"/>
      <c r="J648" s="2"/>
      <c r="K648" s="2"/>
      <c r="L648" s="2"/>
      <c r="M648" s="2"/>
      <c r="N648" s="2"/>
      <c r="O648" s="2"/>
      <c r="P648" s="2"/>
      <c r="Q648" s="2"/>
    </row>
    <row r="649" ht="15.75" customHeight="1">
      <c r="B649" s="2"/>
      <c r="C649" s="2"/>
      <c r="D649" s="2"/>
      <c r="E649" s="464"/>
      <c r="F649" s="2"/>
      <c r="G649" s="2"/>
      <c r="H649" s="2"/>
      <c r="I649" s="2"/>
      <c r="J649" s="2"/>
      <c r="K649" s="2"/>
      <c r="L649" s="2"/>
      <c r="M649" s="2"/>
      <c r="N649" s="2"/>
      <c r="O649" s="2"/>
      <c r="P649" s="2"/>
      <c r="Q649" s="2"/>
    </row>
    <row r="650" ht="15.75" customHeight="1">
      <c r="B650" s="2"/>
      <c r="C650" s="2"/>
      <c r="D650" s="2"/>
      <c r="E650" s="464"/>
      <c r="F650" s="2"/>
      <c r="G650" s="2"/>
      <c r="H650" s="2"/>
      <c r="I650" s="2"/>
      <c r="J650" s="2"/>
      <c r="K650" s="2"/>
      <c r="L650" s="2"/>
      <c r="M650" s="2"/>
      <c r="N650" s="2"/>
      <c r="O650" s="2"/>
      <c r="P650" s="2"/>
      <c r="Q650" s="2"/>
    </row>
    <row r="651" ht="15.75" customHeight="1">
      <c r="B651" s="2"/>
      <c r="C651" s="2"/>
      <c r="D651" s="2"/>
      <c r="E651" s="464"/>
      <c r="F651" s="2"/>
      <c r="G651" s="2"/>
      <c r="H651" s="2"/>
      <c r="I651" s="2"/>
      <c r="J651" s="2"/>
      <c r="K651" s="2"/>
      <c r="L651" s="2"/>
      <c r="M651" s="2"/>
      <c r="N651" s="2"/>
      <c r="O651" s="2"/>
      <c r="P651" s="2"/>
      <c r="Q651" s="2"/>
    </row>
    <row r="652" ht="15.75" customHeight="1">
      <c r="B652" s="2"/>
      <c r="C652" s="2"/>
      <c r="D652" s="2"/>
      <c r="E652" s="464"/>
      <c r="F652" s="2"/>
      <c r="G652" s="2"/>
      <c r="H652" s="2"/>
      <c r="I652" s="2"/>
      <c r="J652" s="2"/>
      <c r="K652" s="2"/>
      <c r="L652" s="2"/>
      <c r="M652" s="2"/>
      <c r="N652" s="2"/>
      <c r="O652" s="2"/>
      <c r="P652" s="2"/>
      <c r="Q652" s="2"/>
    </row>
    <row r="653" ht="15.75" customHeight="1">
      <c r="B653" s="2"/>
      <c r="C653" s="2"/>
      <c r="D653" s="2"/>
      <c r="E653" s="464"/>
      <c r="F653" s="2"/>
      <c r="G653" s="2"/>
      <c r="H653" s="2"/>
      <c r="I653" s="2"/>
      <c r="J653" s="2"/>
      <c r="K653" s="2"/>
      <c r="L653" s="2"/>
      <c r="M653" s="2"/>
      <c r="N653" s="2"/>
      <c r="O653" s="2"/>
      <c r="P653" s="2"/>
      <c r="Q653" s="2"/>
    </row>
    <row r="654" ht="15.75" customHeight="1">
      <c r="B654" s="2"/>
      <c r="C654" s="2"/>
      <c r="D654" s="2"/>
      <c r="E654" s="464"/>
      <c r="F654" s="2"/>
      <c r="G654" s="2"/>
      <c r="H654" s="2"/>
      <c r="I654" s="2"/>
      <c r="J654" s="2"/>
      <c r="K654" s="2"/>
      <c r="L654" s="2"/>
      <c r="M654" s="2"/>
      <c r="N654" s="2"/>
      <c r="O654" s="2"/>
      <c r="P654" s="2"/>
      <c r="Q654" s="2"/>
    </row>
    <row r="655" ht="15.75" customHeight="1">
      <c r="B655" s="2"/>
      <c r="C655" s="2"/>
      <c r="D655" s="2"/>
      <c r="E655" s="464"/>
      <c r="F655" s="2"/>
      <c r="G655" s="2"/>
      <c r="H655" s="2"/>
      <c r="I655" s="2"/>
      <c r="J655" s="2"/>
      <c r="K655" s="2"/>
      <c r="L655" s="2"/>
      <c r="M655" s="2"/>
      <c r="N655" s="2"/>
      <c r="O655" s="2"/>
      <c r="P655" s="2"/>
      <c r="Q655" s="2"/>
    </row>
    <row r="656" ht="15.75" customHeight="1">
      <c r="B656" s="2"/>
      <c r="C656" s="2"/>
      <c r="D656" s="2"/>
      <c r="E656" s="464"/>
      <c r="F656" s="2"/>
      <c r="G656" s="2"/>
      <c r="H656" s="2"/>
      <c r="I656" s="2"/>
      <c r="J656" s="2"/>
      <c r="K656" s="2"/>
      <c r="L656" s="2"/>
      <c r="M656" s="2"/>
      <c r="N656" s="2"/>
      <c r="O656" s="2"/>
      <c r="P656" s="2"/>
      <c r="Q656" s="2"/>
    </row>
    <row r="657" ht="15.75" customHeight="1">
      <c r="B657" s="2"/>
      <c r="C657" s="2"/>
      <c r="D657" s="2"/>
      <c r="E657" s="464"/>
      <c r="F657" s="2"/>
      <c r="G657" s="2"/>
      <c r="H657" s="2"/>
      <c r="I657" s="2"/>
      <c r="J657" s="2"/>
      <c r="K657" s="2"/>
      <c r="L657" s="2"/>
      <c r="M657" s="2"/>
      <c r="N657" s="2"/>
      <c r="O657" s="2"/>
      <c r="P657" s="2"/>
      <c r="Q657" s="2"/>
    </row>
    <row r="658" ht="15.75" customHeight="1">
      <c r="B658" s="2"/>
      <c r="C658" s="2"/>
      <c r="D658" s="2"/>
      <c r="E658" s="464"/>
      <c r="F658" s="2"/>
      <c r="G658" s="2"/>
      <c r="H658" s="2"/>
      <c r="I658" s="2"/>
      <c r="J658" s="2"/>
      <c r="K658" s="2"/>
      <c r="L658" s="2"/>
      <c r="M658" s="2"/>
      <c r="N658" s="2"/>
      <c r="O658" s="2"/>
      <c r="P658" s="2"/>
      <c r="Q658" s="2"/>
    </row>
    <row r="659" ht="15.75" customHeight="1">
      <c r="B659" s="2"/>
      <c r="C659" s="2"/>
      <c r="D659" s="2"/>
      <c r="E659" s="464"/>
      <c r="F659" s="2"/>
      <c r="G659" s="2"/>
      <c r="H659" s="2"/>
      <c r="I659" s="2"/>
      <c r="J659" s="2"/>
      <c r="K659" s="2"/>
      <c r="L659" s="2"/>
      <c r="M659" s="2"/>
      <c r="N659" s="2"/>
      <c r="O659" s="2"/>
      <c r="P659" s="2"/>
      <c r="Q659" s="2"/>
    </row>
    <row r="660" ht="15.75" customHeight="1">
      <c r="B660" s="2"/>
      <c r="C660" s="2"/>
      <c r="D660" s="2"/>
      <c r="E660" s="464"/>
      <c r="F660" s="2"/>
      <c r="G660" s="2"/>
      <c r="H660" s="2"/>
      <c r="I660" s="2"/>
      <c r="J660" s="2"/>
      <c r="K660" s="2"/>
      <c r="L660" s="2"/>
      <c r="M660" s="2"/>
      <c r="N660" s="2"/>
      <c r="O660" s="2"/>
      <c r="P660" s="2"/>
      <c r="Q660" s="2"/>
    </row>
    <row r="661" ht="15.75" customHeight="1">
      <c r="B661" s="2"/>
      <c r="C661" s="2"/>
      <c r="D661" s="2"/>
      <c r="E661" s="464"/>
      <c r="F661" s="2"/>
      <c r="G661" s="2"/>
      <c r="H661" s="2"/>
      <c r="I661" s="2"/>
      <c r="J661" s="2"/>
      <c r="K661" s="2"/>
      <c r="L661" s="2"/>
      <c r="M661" s="2"/>
      <c r="N661" s="2"/>
      <c r="O661" s="2"/>
      <c r="P661" s="2"/>
      <c r="Q661" s="2"/>
    </row>
    <row r="662" ht="15.75" customHeight="1">
      <c r="B662" s="2"/>
      <c r="C662" s="2"/>
      <c r="D662" s="2"/>
      <c r="E662" s="464"/>
      <c r="F662" s="2"/>
      <c r="G662" s="2"/>
      <c r="H662" s="2"/>
      <c r="I662" s="2"/>
      <c r="J662" s="2"/>
      <c r="K662" s="2"/>
      <c r="L662" s="2"/>
      <c r="M662" s="2"/>
      <c r="N662" s="2"/>
      <c r="O662" s="2"/>
      <c r="P662" s="2"/>
      <c r="Q662" s="2"/>
    </row>
    <row r="663" ht="15.75" customHeight="1">
      <c r="B663" s="2"/>
      <c r="C663" s="2"/>
      <c r="D663" s="2"/>
      <c r="E663" s="464"/>
      <c r="F663" s="2"/>
      <c r="G663" s="2"/>
      <c r="H663" s="2"/>
      <c r="I663" s="2"/>
      <c r="J663" s="2"/>
      <c r="K663" s="2"/>
      <c r="L663" s="2"/>
      <c r="M663" s="2"/>
      <c r="N663" s="2"/>
      <c r="O663" s="2"/>
      <c r="P663" s="2"/>
      <c r="Q663" s="2"/>
    </row>
    <row r="664" ht="15.75" customHeight="1">
      <c r="B664" s="2"/>
      <c r="C664" s="2"/>
      <c r="D664" s="2"/>
      <c r="E664" s="464"/>
      <c r="F664" s="2"/>
      <c r="G664" s="2"/>
      <c r="H664" s="2"/>
      <c r="I664" s="2"/>
      <c r="J664" s="2"/>
      <c r="K664" s="2"/>
      <c r="L664" s="2"/>
      <c r="M664" s="2"/>
      <c r="N664" s="2"/>
      <c r="O664" s="2"/>
      <c r="P664" s="2"/>
      <c r="Q664" s="2"/>
    </row>
    <row r="665" ht="15.75" customHeight="1">
      <c r="B665" s="2"/>
      <c r="C665" s="2"/>
      <c r="D665" s="2"/>
      <c r="E665" s="464"/>
      <c r="F665" s="2"/>
      <c r="G665" s="2"/>
      <c r="H665" s="2"/>
      <c r="I665" s="2"/>
      <c r="J665" s="2"/>
      <c r="K665" s="2"/>
      <c r="L665" s="2"/>
      <c r="M665" s="2"/>
      <c r="N665" s="2"/>
      <c r="O665" s="2"/>
      <c r="P665" s="2"/>
      <c r="Q665" s="2"/>
    </row>
    <row r="666" ht="15.75" customHeight="1">
      <c r="B666" s="2"/>
      <c r="C666" s="2"/>
      <c r="D666" s="2"/>
      <c r="E666" s="464"/>
      <c r="F666" s="2"/>
      <c r="G666" s="2"/>
      <c r="H666" s="2"/>
      <c r="I666" s="2"/>
      <c r="J666" s="2"/>
      <c r="K666" s="2"/>
      <c r="L666" s="2"/>
      <c r="M666" s="2"/>
      <c r="N666" s="2"/>
      <c r="O666" s="2"/>
      <c r="P666" s="2"/>
      <c r="Q666" s="2"/>
    </row>
    <row r="667" ht="15.75" customHeight="1">
      <c r="B667" s="2"/>
      <c r="C667" s="2"/>
      <c r="D667" s="2"/>
      <c r="E667" s="464"/>
      <c r="F667" s="2"/>
      <c r="G667" s="2"/>
      <c r="H667" s="2"/>
      <c r="I667" s="2"/>
      <c r="J667" s="2"/>
      <c r="K667" s="2"/>
      <c r="L667" s="2"/>
      <c r="M667" s="2"/>
      <c r="N667" s="2"/>
      <c r="O667" s="2"/>
      <c r="P667" s="2"/>
      <c r="Q667" s="2"/>
    </row>
    <row r="668" ht="15.75" customHeight="1">
      <c r="B668" s="2"/>
      <c r="C668" s="2"/>
      <c r="D668" s="2"/>
      <c r="E668" s="464"/>
      <c r="F668" s="2"/>
      <c r="G668" s="2"/>
      <c r="H668" s="2"/>
      <c r="I668" s="2"/>
      <c r="J668" s="2"/>
      <c r="K668" s="2"/>
      <c r="L668" s="2"/>
      <c r="M668" s="2"/>
      <c r="N668" s="2"/>
      <c r="O668" s="2"/>
      <c r="P668" s="2"/>
      <c r="Q668" s="2"/>
    </row>
    <row r="669" ht="15.75" customHeight="1">
      <c r="B669" s="2"/>
      <c r="C669" s="2"/>
      <c r="D669" s="2"/>
      <c r="E669" s="464"/>
      <c r="F669" s="2"/>
      <c r="G669" s="2"/>
      <c r="H669" s="2"/>
      <c r="I669" s="2"/>
      <c r="J669" s="2"/>
      <c r="K669" s="2"/>
      <c r="L669" s="2"/>
      <c r="M669" s="2"/>
      <c r="N669" s="2"/>
      <c r="O669" s="2"/>
      <c r="P669" s="2"/>
      <c r="Q669" s="2"/>
    </row>
    <row r="670" ht="15.75" customHeight="1">
      <c r="B670" s="2"/>
      <c r="C670" s="2"/>
      <c r="D670" s="2"/>
      <c r="E670" s="464"/>
      <c r="F670" s="2"/>
      <c r="G670" s="2"/>
      <c r="H670" s="2"/>
      <c r="I670" s="2"/>
      <c r="J670" s="2"/>
      <c r="K670" s="2"/>
      <c r="L670" s="2"/>
      <c r="M670" s="2"/>
      <c r="N670" s="2"/>
      <c r="O670" s="2"/>
      <c r="P670" s="2"/>
      <c r="Q670" s="2"/>
    </row>
    <row r="671" ht="15.75" customHeight="1">
      <c r="B671" s="2"/>
      <c r="C671" s="2"/>
      <c r="D671" s="2"/>
      <c r="E671" s="464"/>
      <c r="F671" s="2"/>
      <c r="G671" s="2"/>
      <c r="H671" s="2"/>
      <c r="I671" s="2"/>
      <c r="J671" s="2"/>
      <c r="K671" s="2"/>
      <c r="L671" s="2"/>
      <c r="M671" s="2"/>
      <c r="N671" s="2"/>
      <c r="O671" s="2"/>
      <c r="P671" s="2"/>
      <c r="Q671" s="2"/>
    </row>
    <row r="672" ht="15.75" customHeight="1">
      <c r="B672" s="2"/>
      <c r="C672" s="2"/>
      <c r="D672" s="2"/>
      <c r="E672" s="464"/>
      <c r="F672" s="2"/>
      <c r="G672" s="2"/>
      <c r="H672" s="2"/>
      <c r="I672" s="2"/>
      <c r="J672" s="2"/>
      <c r="K672" s="2"/>
      <c r="L672" s="2"/>
      <c r="M672" s="2"/>
      <c r="N672" s="2"/>
      <c r="O672" s="2"/>
      <c r="P672" s="2"/>
      <c r="Q672" s="2"/>
    </row>
    <row r="673" ht="15.75" customHeight="1">
      <c r="B673" s="2"/>
      <c r="C673" s="2"/>
      <c r="D673" s="2"/>
      <c r="E673" s="464"/>
      <c r="F673" s="2"/>
      <c r="G673" s="2"/>
      <c r="H673" s="2"/>
      <c r="I673" s="2"/>
      <c r="J673" s="2"/>
      <c r="K673" s="2"/>
      <c r="L673" s="2"/>
      <c r="M673" s="2"/>
      <c r="N673" s="2"/>
      <c r="O673" s="2"/>
      <c r="P673" s="2"/>
      <c r="Q673" s="2"/>
    </row>
    <row r="674" ht="15.75" customHeight="1">
      <c r="B674" s="2"/>
      <c r="C674" s="2"/>
      <c r="D674" s="2"/>
      <c r="E674" s="464"/>
      <c r="F674" s="2"/>
      <c r="G674" s="2"/>
      <c r="H674" s="2"/>
      <c r="I674" s="2"/>
      <c r="J674" s="2"/>
      <c r="K674" s="2"/>
      <c r="L674" s="2"/>
      <c r="M674" s="2"/>
      <c r="N674" s="2"/>
      <c r="O674" s="2"/>
      <c r="P674" s="2"/>
      <c r="Q674" s="2"/>
    </row>
    <row r="675" ht="15.75" customHeight="1">
      <c r="B675" s="2"/>
      <c r="C675" s="2"/>
      <c r="D675" s="2"/>
      <c r="E675" s="464"/>
      <c r="F675" s="2"/>
      <c r="G675" s="2"/>
      <c r="H675" s="2"/>
      <c r="I675" s="2"/>
      <c r="J675" s="2"/>
      <c r="K675" s="2"/>
      <c r="L675" s="2"/>
      <c r="M675" s="2"/>
      <c r="N675" s="2"/>
      <c r="O675" s="2"/>
      <c r="P675" s="2"/>
      <c r="Q675" s="2"/>
    </row>
    <row r="676" ht="15.75" customHeight="1">
      <c r="B676" s="2"/>
      <c r="C676" s="2"/>
      <c r="D676" s="2"/>
      <c r="E676" s="464"/>
      <c r="F676" s="2"/>
      <c r="G676" s="2"/>
      <c r="H676" s="2"/>
      <c r="I676" s="2"/>
      <c r="J676" s="2"/>
      <c r="K676" s="2"/>
      <c r="L676" s="2"/>
      <c r="M676" s="2"/>
      <c r="N676" s="2"/>
      <c r="O676" s="2"/>
      <c r="P676" s="2"/>
      <c r="Q676" s="2"/>
    </row>
    <row r="677" ht="15.75" customHeight="1">
      <c r="B677" s="2"/>
      <c r="C677" s="2"/>
      <c r="D677" s="2"/>
      <c r="E677" s="464"/>
      <c r="F677" s="2"/>
      <c r="G677" s="2"/>
      <c r="H677" s="2"/>
      <c r="I677" s="2"/>
      <c r="J677" s="2"/>
      <c r="K677" s="2"/>
      <c r="L677" s="2"/>
      <c r="M677" s="2"/>
      <c r="N677" s="2"/>
      <c r="O677" s="2"/>
      <c r="P677" s="2"/>
      <c r="Q677" s="2"/>
    </row>
    <row r="678" ht="15.75" customHeight="1">
      <c r="B678" s="2"/>
      <c r="C678" s="2"/>
      <c r="D678" s="2"/>
      <c r="E678" s="464"/>
      <c r="F678" s="2"/>
      <c r="G678" s="2"/>
      <c r="H678" s="2"/>
      <c r="I678" s="2"/>
      <c r="J678" s="2"/>
      <c r="K678" s="2"/>
      <c r="L678" s="2"/>
      <c r="M678" s="2"/>
      <c r="N678" s="2"/>
      <c r="O678" s="2"/>
      <c r="P678" s="2"/>
      <c r="Q678" s="2"/>
    </row>
    <row r="679" ht="15.75" customHeight="1">
      <c r="B679" s="2"/>
      <c r="C679" s="2"/>
      <c r="D679" s="2"/>
      <c r="E679" s="464"/>
      <c r="F679" s="2"/>
      <c r="G679" s="2"/>
      <c r="H679" s="2"/>
      <c r="I679" s="2"/>
      <c r="J679" s="2"/>
      <c r="K679" s="2"/>
      <c r="L679" s="2"/>
      <c r="M679" s="2"/>
      <c r="N679" s="2"/>
      <c r="O679" s="2"/>
      <c r="P679" s="2"/>
      <c r="Q679" s="2"/>
    </row>
    <row r="680" ht="15.75" customHeight="1">
      <c r="B680" s="2"/>
      <c r="C680" s="2"/>
      <c r="D680" s="2"/>
      <c r="E680" s="464"/>
      <c r="F680" s="2"/>
      <c r="G680" s="2"/>
      <c r="H680" s="2"/>
      <c r="I680" s="2"/>
      <c r="J680" s="2"/>
      <c r="K680" s="2"/>
      <c r="L680" s="2"/>
      <c r="M680" s="2"/>
      <c r="N680" s="2"/>
      <c r="O680" s="2"/>
      <c r="P680" s="2"/>
      <c r="Q680" s="2"/>
    </row>
    <row r="681" ht="15.75" customHeight="1">
      <c r="B681" s="2"/>
      <c r="C681" s="2"/>
      <c r="D681" s="2"/>
      <c r="E681" s="464"/>
      <c r="F681" s="2"/>
      <c r="G681" s="2"/>
      <c r="H681" s="2"/>
      <c r="I681" s="2"/>
      <c r="J681" s="2"/>
      <c r="K681" s="2"/>
      <c r="L681" s="2"/>
      <c r="M681" s="2"/>
      <c r="N681" s="2"/>
      <c r="O681" s="2"/>
      <c r="P681" s="2"/>
      <c r="Q681" s="2"/>
    </row>
    <row r="682" ht="15.75" customHeight="1">
      <c r="B682" s="2"/>
      <c r="C682" s="2"/>
      <c r="D682" s="2"/>
      <c r="E682" s="464"/>
      <c r="F682" s="2"/>
      <c r="G682" s="2"/>
      <c r="H682" s="2"/>
      <c r="I682" s="2"/>
      <c r="J682" s="2"/>
      <c r="K682" s="2"/>
      <c r="L682" s="2"/>
      <c r="M682" s="2"/>
      <c r="N682" s="2"/>
      <c r="O682" s="2"/>
      <c r="P682" s="2"/>
      <c r="Q682" s="2"/>
    </row>
    <row r="683" ht="15.75" customHeight="1">
      <c r="B683" s="2"/>
      <c r="C683" s="2"/>
      <c r="D683" s="2"/>
      <c r="E683" s="464"/>
      <c r="F683" s="2"/>
      <c r="G683" s="2"/>
      <c r="H683" s="2"/>
      <c r="I683" s="2"/>
      <c r="J683" s="2"/>
      <c r="K683" s="2"/>
      <c r="L683" s="2"/>
      <c r="M683" s="2"/>
      <c r="N683" s="2"/>
      <c r="O683" s="2"/>
      <c r="P683" s="2"/>
      <c r="Q683" s="2"/>
    </row>
    <row r="684" ht="15.75" customHeight="1">
      <c r="B684" s="2"/>
      <c r="C684" s="2"/>
      <c r="D684" s="2"/>
      <c r="E684" s="464"/>
      <c r="F684" s="2"/>
      <c r="G684" s="2"/>
      <c r="H684" s="2"/>
      <c r="I684" s="2"/>
      <c r="J684" s="2"/>
      <c r="K684" s="2"/>
      <c r="L684" s="2"/>
      <c r="M684" s="2"/>
      <c r="N684" s="2"/>
      <c r="O684" s="2"/>
      <c r="P684" s="2"/>
      <c r="Q684" s="2"/>
    </row>
    <row r="685" ht="15.75" customHeight="1">
      <c r="B685" s="2"/>
      <c r="C685" s="2"/>
      <c r="D685" s="2"/>
      <c r="E685" s="464"/>
      <c r="F685" s="2"/>
      <c r="G685" s="2"/>
      <c r="H685" s="2"/>
      <c r="I685" s="2"/>
      <c r="J685" s="2"/>
      <c r="K685" s="2"/>
      <c r="L685" s="2"/>
      <c r="M685" s="2"/>
      <c r="N685" s="2"/>
      <c r="O685" s="2"/>
      <c r="P685" s="2"/>
      <c r="Q685" s="2"/>
    </row>
    <row r="686" ht="15.75" customHeight="1">
      <c r="B686" s="2"/>
      <c r="C686" s="2"/>
      <c r="D686" s="2"/>
      <c r="E686" s="464"/>
      <c r="F686" s="2"/>
      <c r="G686" s="2"/>
      <c r="H686" s="2"/>
      <c r="I686" s="2"/>
      <c r="J686" s="2"/>
      <c r="K686" s="2"/>
      <c r="L686" s="2"/>
      <c r="M686" s="2"/>
      <c r="N686" s="2"/>
      <c r="O686" s="2"/>
      <c r="P686" s="2"/>
      <c r="Q686" s="2"/>
    </row>
    <row r="687" ht="15.75" customHeight="1">
      <c r="B687" s="2"/>
      <c r="C687" s="2"/>
      <c r="D687" s="2"/>
      <c r="E687" s="464"/>
      <c r="F687" s="2"/>
      <c r="G687" s="2"/>
      <c r="H687" s="2"/>
      <c r="I687" s="2"/>
      <c r="J687" s="2"/>
      <c r="K687" s="2"/>
      <c r="L687" s="2"/>
      <c r="M687" s="2"/>
      <c r="N687" s="2"/>
      <c r="O687" s="2"/>
      <c r="P687" s="2"/>
      <c r="Q687" s="2"/>
    </row>
    <row r="688" ht="15.75" customHeight="1">
      <c r="B688" s="2"/>
      <c r="C688" s="2"/>
      <c r="D688" s="2"/>
      <c r="E688" s="464"/>
      <c r="F688" s="2"/>
      <c r="G688" s="2"/>
      <c r="H688" s="2"/>
      <c r="I688" s="2"/>
      <c r="J688" s="2"/>
      <c r="K688" s="2"/>
      <c r="L688" s="2"/>
      <c r="M688" s="2"/>
      <c r="N688" s="2"/>
      <c r="O688" s="2"/>
      <c r="P688" s="2"/>
      <c r="Q688" s="2"/>
    </row>
    <row r="689" ht="15.75" customHeight="1">
      <c r="B689" s="2"/>
      <c r="C689" s="2"/>
      <c r="D689" s="2"/>
      <c r="E689" s="464"/>
      <c r="F689" s="2"/>
      <c r="G689" s="2"/>
      <c r="H689" s="2"/>
      <c r="I689" s="2"/>
      <c r="J689" s="2"/>
      <c r="K689" s="2"/>
      <c r="L689" s="2"/>
      <c r="M689" s="2"/>
      <c r="N689" s="2"/>
      <c r="O689" s="2"/>
      <c r="P689" s="2"/>
      <c r="Q689" s="2"/>
    </row>
    <row r="690" ht="15.75" customHeight="1">
      <c r="B690" s="2"/>
      <c r="C690" s="2"/>
      <c r="D690" s="2"/>
      <c r="E690" s="464"/>
      <c r="F690" s="2"/>
      <c r="G690" s="2"/>
      <c r="H690" s="2"/>
      <c r="I690" s="2"/>
      <c r="J690" s="2"/>
      <c r="K690" s="2"/>
      <c r="L690" s="2"/>
      <c r="M690" s="2"/>
      <c r="N690" s="2"/>
      <c r="O690" s="2"/>
      <c r="P690" s="2"/>
      <c r="Q690" s="2"/>
    </row>
    <row r="691" ht="15.75" customHeight="1">
      <c r="B691" s="2"/>
      <c r="C691" s="2"/>
      <c r="D691" s="2"/>
      <c r="E691" s="464"/>
      <c r="F691" s="2"/>
      <c r="G691" s="2"/>
      <c r="H691" s="2"/>
      <c r="I691" s="2"/>
      <c r="J691" s="2"/>
      <c r="K691" s="2"/>
      <c r="L691" s="2"/>
      <c r="M691" s="2"/>
      <c r="N691" s="2"/>
      <c r="O691" s="2"/>
      <c r="P691" s="2"/>
      <c r="Q691" s="2"/>
    </row>
    <row r="692" ht="15.75" customHeight="1">
      <c r="B692" s="2"/>
      <c r="C692" s="2"/>
      <c r="D692" s="2"/>
      <c r="E692" s="464"/>
      <c r="F692" s="2"/>
      <c r="G692" s="2"/>
      <c r="H692" s="2"/>
      <c r="I692" s="2"/>
      <c r="J692" s="2"/>
      <c r="K692" s="2"/>
      <c r="L692" s="2"/>
      <c r="M692" s="2"/>
      <c r="N692" s="2"/>
      <c r="O692" s="2"/>
      <c r="P692" s="2"/>
      <c r="Q692" s="2"/>
    </row>
    <row r="693" ht="15.75" customHeight="1">
      <c r="B693" s="2"/>
      <c r="C693" s="2"/>
      <c r="D693" s="2"/>
      <c r="E693" s="464"/>
      <c r="F693" s="2"/>
      <c r="G693" s="2"/>
      <c r="H693" s="2"/>
      <c r="I693" s="2"/>
      <c r="J693" s="2"/>
      <c r="K693" s="2"/>
      <c r="L693" s="2"/>
      <c r="M693" s="2"/>
      <c r="N693" s="2"/>
      <c r="O693" s="2"/>
      <c r="P693" s="2"/>
      <c r="Q693" s="2"/>
    </row>
    <row r="694" ht="15.75" customHeight="1">
      <c r="B694" s="2"/>
      <c r="C694" s="2"/>
      <c r="D694" s="2"/>
      <c r="E694" s="464"/>
      <c r="F694" s="2"/>
      <c r="G694" s="2"/>
      <c r="H694" s="2"/>
      <c r="I694" s="2"/>
      <c r="J694" s="2"/>
      <c r="K694" s="2"/>
      <c r="L694" s="2"/>
      <c r="M694" s="2"/>
      <c r="N694" s="2"/>
      <c r="O694" s="2"/>
      <c r="P694" s="2"/>
      <c r="Q694" s="2"/>
    </row>
    <row r="695" ht="15.75" customHeight="1">
      <c r="B695" s="2"/>
      <c r="C695" s="2"/>
      <c r="D695" s="2"/>
      <c r="E695" s="464"/>
      <c r="F695" s="2"/>
      <c r="G695" s="2"/>
      <c r="H695" s="2"/>
      <c r="I695" s="2"/>
      <c r="J695" s="2"/>
      <c r="K695" s="2"/>
      <c r="L695" s="2"/>
      <c r="M695" s="2"/>
      <c r="N695" s="2"/>
      <c r="O695" s="2"/>
      <c r="P695" s="2"/>
      <c r="Q695" s="2"/>
    </row>
    <row r="696" ht="15.75" customHeight="1">
      <c r="B696" s="2"/>
      <c r="C696" s="2"/>
      <c r="D696" s="2"/>
      <c r="E696" s="464"/>
      <c r="F696" s="2"/>
      <c r="G696" s="2"/>
      <c r="H696" s="2"/>
      <c r="I696" s="2"/>
      <c r="J696" s="2"/>
      <c r="K696" s="2"/>
      <c r="L696" s="2"/>
      <c r="M696" s="2"/>
      <c r="N696" s="2"/>
      <c r="O696" s="2"/>
      <c r="P696" s="2"/>
      <c r="Q696" s="2"/>
    </row>
    <row r="697" ht="15.75" customHeight="1">
      <c r="B697" s="2"/>
      <c r="C697" s="2"/>
      <c r="D697" s="2"/>
      <c r="E697" s="464"/>
      <c r="F697" s="2"/>
      <c r="G697" s="2"/>
      <c r="H697" s="2"/>
      <c r="I697" s="2"/>
      <c r="J697" s="2"/>
      <c r="K697" s="2"/>
      <c r="L697" s="2"/>
      <c r="M697" s="2"/>
      <c r="N697" s="2"/>
      <c r="O697" s="2"/>
      <c r="P697" s="2"/>
      <c r="Q697" s="2"/>
    </row>
    <row r="698" ht="15.75" customHeight="1">
      <c r="B698" s="2"/>
      <c r="C698" s="2"/>
      <c r="D698" s="2"/>
      <c r="E698" s="464"/>
      <c r="F698" s="2"/>
      <c r="G698" s="2"/>
      <c r="H698" s="2"/>
      <c r="I698" s="2"/>
      <c r="J698" s="2"/>
      <c r="K698" s="2"/>
      <c r="L698" s="2"/>
      <c r="M698" s="2"/>
      <c r="N698" s="2"/>
      <c r="O698" s="2"/>
      <c r="P698" s="2"/>
      <c r="Q698" s="2"/>
    </row>
    <row r="699" ht="15.75" customHeight="1">
      <c r="B699" s="2"/>
      <c r="C699" s="2"/>
      <c r="D699" s="2"/>
      <c r="E699" s="464"/>
      <c r="F699" s="2"/>
      <c r="G699" s="2"/>
      <c r="H699" s="2"/>
      <c r="I699" s="2"/>
      <c r="J699" s="2"/>
      <c r="K699" s="2"/>
      <c r="L699" s="2"/>
      <c r="M699" s="2"/>
      <c r="N699" s="2"/>
      <c r="O699" s="2"/>
      <c r="P699" s="2"/>
      <c r="Q699" s="2"/>
    </row>
    <row r="700" ht="15.75" customHeight="1">
      <c r="B700" s="2"/>
      <c r="C700" s="2"/>
      <c r="D700" s="2"/>
      <c r="E700" s="464"/>
      <c r="F700" s="2"/>
      <c r="G700" s="2"/>
      <c r="H700" s="2"/>
      <c r="I700" s="2"/>
      <c r="J700" s="2"/>
      <c r="K700" s="2"/>
      <c r="L700" s="2"/>
      <c r="M700" s="2"/>
      <c r="N700" s="2"/>
      <c r="O700" s="2"/>
      <c r="P700" s="2"/>
      <c r="Q700" s="2"/>
    </row>
    <row r="701" ht="15.75" customHeight="1">
      <c r="B701" s="2"/>
      <c r="C701" s="2"/>
      <c r="D701" s="2"/>
      <c r="E701" s="464"/>
      <c r="F701" s="2"/>
      <c r="G701" s="2"/>
      <c r="H701" s="2"/>
      <c r="I701" s="2"/>
      <c r="J701" s="2"/>
      <c r="K701" s="2"/>
      <c r="L701" s="2"/>
      <c r="M701" s="2"/>
      <c r="N701" s="2"/>
      <c r="O701" s="2"/>
      <c r="P701" s="2"/>
      <c r="Q701" s="2"/>
    </row>
    <row r="702" ht="15.75" customHeight="1">
      <c r="B702" s="2"/>
      <c r="C702" s="2"/>
      <c r="D702" s="2"/>
      <c r="E702" s="464"/>
      <c r="F702" s="2"/>
      <c r="G702" s="2"/>
      <c r="H702" s="2"/>
      <c r="I702" s="2"/>
      <c r="J702" s="2"/>
      <c r="K702" s="2"/>
      <c r="L702" s="2"/>
      <c r="M702" s="2"/>
      <c r="N702" s="2"/>
      <c r="O702" s="2"/>
      <c r="P702" s="2"/>
      <c r="Q702" s="2"/>
    </row>
    <row r="703" ht="15.75" customHeight="1">
      <c r="B703" s="2"/>
      <c r="C703" s="2"/>
      <c r="D703" s="2"/>
      <c r="E703" s="464"/>
      <c r="F703" s="2"/>
      <c r="G703" s="2"/>
      <c r="H703" s="2"/>
      <c r="I703" s="2"/>
      <c r="J703" s="2"/>
      <c r="K703" s="2"/>
      <c r="L703" s="2"/>
      <c r="M703" s="2"/>
      <c r="N703" s="2"/>
      <c r="O703" s="2"/>
      <c r="P703" s="2"/>
      <c r="Q703" s="2"/>
    </row>
    <row r="704" ht="15.75" customHeight="1">
      <c r="B704" s="2"/>
      <c r="C704" s="2"/>
      <c r="D704" s="2"/>
      <c r="E704" s="464"/>
      <c r="F704" s="2"/>
      <c r="G704" s="2"/>
      <c r="H704" s="2"/>
      <c r="I704" s="2"/>
      <c r="J704" s="2"/>
      <c r="K704" s="2"/>
      <c r="L704" s="2"/>
      <c r="M704" s="2"/>
      <c r="N704" s="2"/>
      <c r="O704" s="2"/>
      <c r="P704" s="2"/>
      <c r="Q704" s="2"/>
    </row>
    <row r="705" ht="15.75" customHeight="1">
      <c r="B705" s="2"/>
      <c r="C705" s="2"/>
      <c r="D705" s="2"/>
      <c r="E705" s="464"/>
      <c r="F705" s="2"/>
      <c r="G705" s="2"/>
      <c r="H705" s="2"/>
      <c r="I705" s="2"/>
      <c r="J705" s="2"/>
      <c r="K705" s="2"/>
      <c r="L705" s="2"/>
      <c r="M705" s="2"/>
      <c r="N705" s="2"/>
      <c r="O705" s="2"/>
      <c r="P705" s="2"/>
      <c r="Q705" s="2"/>
    </row>
    <row r="706" ht="15.75" customHeight="1">
      <c r="B706" s="2"/>
      <c r="C706" s="2"/>
      <c r="D706" s="2"/>
      <c r="E706" s="464"/>
      <c r="F706" s="2"/>
      <c r="G706" s="2"/>
      <c r="H706" s="2"/>
      <c r="I706" s="2"/>
      <c r="J706" s="2"/>
      <c r="K706" s="2"/>
      <c r="L706" s="2"/>
      <c r="M706" s="2"/>
      <c r="N706" s="2"/>
      <c r="O706" s="2"/>
      <c r="P706" s="2"/>
      <c r="Q706" s="2"/>
    </row>
    <row r="707" ht="15.75" customHeight="1">
      <c r="B707" s="2"/>
      <c r="C707" s="2"/>
      <c r="D707" s="2"/>
      <c r="E707" s="464"/>
      <c r="F707" s="2"/>
      <c r="G707" s="2"/>
      <c r="H707" s="2"/>
      <c r="I707" s="2"/>
      <c r="J707" s="2"/>
      <c r="K707" s="2"/>
      <c r="L707" s="2"/>
      <c r="M707" s="2"/>
      <c r="N707" s="2"/>
      <c r="O707" s="2"/>
      <c r="P707" s="2"/>
      <c r="Q707" s="2"/>
    </row>
    <row r="708" ht="15.75" customHeight="1">
      <c r="B708" s="2"/>
      <c r="C708" s="2"/>
      <c r="D708" s="2"/>
      <c r="E708" s="464"/>
      <c r="F708" s="2"/>
      <c r="G708" s="2"/>
      <c r="H708" s="2"/>
      <c r="I708" s="2"/>
      <c r="J708" s="2"/>
      <c r="K708" s="2"/>
      <c r="L708" s="2"/>
      <c r="M708" s="2"/>
      <c r="N708" s="2"/>
      <c r="O708" s="2"/>
      <c r="P708" s="2"/>
      <c r="Q708" s="2"/>
    </row>
    <row r="709" ht="15.75" customHeight="1">
      <c r="B709" s="2"/>
      <c r="C709" s="2"/>
      <c r="D709" s="2"/>
      <c r="E709" s="464"/>
      <c r="F709" s="2"/>
      <c r="G709" s="2"/>
      <c r="H709" s="2"/>
      <c r="I709" s="2"/>
      <c r="J709" s="2"/>
      <c r="K709" s="2"/>
      <c r="L709" s="2"/>
      <c r="M709" s="2"/>
      <c r="N709" s="2"/>
      <c r="O709" s="2"/>
      <c r="P709" s="2"/>
      <c r="Q709" s="2"/>
    </row>
    <row r="710" ht="15.75" customHeight="1">
      <c r="B710" s="2"/>
      <c r="C710" s="2"/>
      <c r="D710" s="2"/>
      <c r="E710" s="464"/>
      <c r="F710" s="2"/>
      <c r="G710" s="2"/>
      <c r="H710" s="2"/>
      <c r="I710" s="2"/>
      <c r="J710" s="2"/>
      <c r="K710" s="2"/>
      <c r="L710" s="2"/>
      <c r="M710" s="2"/>
      <c r="N710" s="2"/>
      <c r="O710" s="2"/>
      <c r="P710" s="2"/>
      <c r="Q710" s="2"/>
    </row>
    <row r="711" ht="15.75" customHeight="1">
      <c r="B711" s="2"/>
      <c r="C711" s="2"/>
      <c r="D711" s="2"/>
      <c r="E711" s="464"/>
      <c r="F711" s="2"/>
      <c r="G711" s="2"/>
      <c r="H711" s="2"/>
      <c r="I711" s="2"/>
      <c r="J711" s="2"/>
      <c r="K711" s="2"/>
      <c r="L711" s="2"/>
      <c r="M711" s="2"/>
      <c r="N711" s="2"/>
      <c r="O711" s="2"/>
      <c r="P711" s="2"/>
      <c r="Q711" s="2"/>
    </row>
    <row r="712" ht="15.75" customHeight="1">
      <c r="B712" s="2"/>
      <c r="C712" s="2"/>
      <c r="D712" s="2"/>
      <c r="E712" s="464"/>
      <c r="F712" s="2"/>
      <c r="G712" s="2"/>
      <c r="H712" s="2"/>
      <c r="I712" s="2"/>
      <c r="J712" s="2"/>
      <c r="K712" s="2"/>
      <c r="L712" s="2"/>
      <c r="M712" s="2"/>
      <c r="N712" s="2"/>
      <c r="O712" s="2"/>
      <c r="P712" s="2"/>
      <c r="Q712" s="2"/>
    </row>
    <row r="713" ht="15.75" customHeight="1">
      <c r="B713" s="2"/>
      <c r="C713" s="2"/>
      <c r="D713" s="2"/>
      <c r="E713" s="464"/>
      <c r="F713" s="2"/>
      <c r="G713" s="2"/>
      <c r="H713" s="2"/>
      <c r="I713" s="2"/>
      <c r="J713" s="2"/>
      <c r="K713" s="2"/>
      <c r="L713" s="2"/>
      <c r="M713" s="2"/>
      <c r="N713" s="2"/>
      <c r="O713" s="2"/>
      <c r="P713" s="2"/>
      <c r="Q713" s="2"/>
    </row>
    <row r="714" ht="15.75" customHeight="1">
      <c r="B714" s="2"/>
      <c r="C714" s="2"/>
      <c r="D714" s="2"/>
      <c r="E714" s="464"/>
      <c r="F714" s="2"/>
      <c r="G714" s="2"/>
      <c r="H714" s="2"/>
      <c r="I714" s="2"/>
      <c r="J714" s="2"/>
      <c r="K714" s="2"/>
      <c r="L714" s="2"/>
      <c r="M714" s="2"/>
      <c r="N714" s="2"/>
      <c r="O714" s="2"/>
      <c r="P714" s="2"/>
      <c r="Q714" s="2"/>
    </row>
    <row r="715" ht="15.75" customHeight="1">
      <c r="B715" s="2"/>
      <c r="C715" s="2"/>
      <c r="D715" s="2"/>
      <c r="E715" s="464"/>
      <c r="F715" s="2"/>
      <c r="G715" s="2"/>
      <c r="H715" s="2"/>
      <c r="I715" s="2"/>
      <c r="J715" s="2"/>
      <c r="K715" s="2"/>
      <c r="L715" s="2"/>
      <c r="M715" s="2"/>
      <c r="N715" s="2"/>
      <c r="O715" s="2"/>
      <c r="P715" s="2"/>
      <c r="Q715" s="2"/>
    </row>
    <row r="716" ht="15.75" customHeight="1">
      <c r="B716" s="2"/>
      <c r="C716" s="2"/>
      <c r="D716" s="2"/>
      <c r="E716" s="464"/>
      <c r="F716" s="2"/>
      <c r="G716" s="2"/>
      <c r="H716" s="2"/>
      <c r="I716" s="2"/>
      <c r="J716" s="2"/>
      <c r="K716" s="2"/>
      <c r="L716" s="2"/>
      <c r="M716" s="2"/>
      <c r="N716" s="2"/>
      <c r="O716" s="2"/>
      <c r="P716" s="2"/>
      <c r="Q716" s="2"/>
    </row>
    <row r="717" ht="15.75" customHeight="1">
      <c r="B717" s="2"/>
      <c r="C717" s="2"/>
      <c r="D717" s="2"/>
      <c r="E717" s="464"/>
      <c r="F717" s="2"/>
      <c r="G717" s="2"/>
      <c r="H717" s="2"/>
      <c r="I717" s="2"/>
      <c r="J717" s="2"/>
      <c r="K717" s="2"/>
      <c r="L717" s="2"/>
      <c r="M717" s="2"/>
      <c r="N717" s="2"/>
      <c r="O717" s="2"/>
      <c r="P717" s="2"/>
      <c r="Q717" s="2"/>
    </row>
    <row r="718" ht="15.75" customHeight="1">
      <c r="B718" s="2"/>
      <c r="C718" s="2"/>
      <c r="D718" s="2"/>
      <c r="E718" s="464"/>
      <c r="F718" s="2"/>
      <c r="G718" s="2"/>
      <c r="H718" s="2"/>
      <c r="I718" s="2"/>
      <c r="J718" s="2"/>
      <c r="K718" s="2"/>
      <c r="L718" s="2"/>
      <c r="M718" s="2"/>
      <c r="N718" s="2"/>
      <c r="O718" s="2"/>
      <c r="P718" s="2"/>
      <c r="Q718" s="2"/>
    </row>
    <row r="719" ht="15.75" customHeight="1">
      <c r="B719" s="2"/>
      <c r="C719" s="2"/>
      <c r="D719" s="2"/>
      <c r="E719" s="464"/>
      <c r="F719" s="2"/>
      <c r="G719" s="2"/>
      <c r="H719" s="2"/>
      <c r="I719" s="2"/>
      <c r="J719" s="2"/>
      <c r="K719" s="2"/>
      <c r="L719" s="2"/>
      <c r="M719" s="2"/>
      <c r="N719" s="2"/>
      <c r="O719" s="2"/>
      <c r="P719" s="2"/>
      <c r="Q719" s="2"/>
    </row>
    <row r="720" ht="15.75" customHeight="1">
      <c r="B720" s="2"/>
      <c r="C720" s="2"/>
      <c r="D720" s="2"/>
      <c r="E720" s="464"/>
      <c r="F720" s="2"/>
      <c r="G720" s="2"/>
      <c r="H720" s="2"/>
      <c r="I720" s="2"/>
      <c r="J720" s="2"/>
      <c r="K720" s="2"/>
      <c r="L720" s="2"/>
      <c r="M720" s="2"/>
      <c r="N720" s="2"/>
      <c r="O720" s="2"/>
      <c r="P720" s="2"/>
      <c r="Q720" s="2"/>
    </row>
    <row r="721" ht="15.75" customHeight="1">
      <c r="B721" s="2"/>
      <c r="C721" s="2"/>
      <c r="D721" s="2"/>
      <c r="E721" s="464"/>
      <c r="F721" s="2"/>
      <c r="G721" s="2"/>
      <c r="H721" s="2"/>
      <c r="I721" s="2"/>
      <c r="J721" s="2"/>
      <c r="K721" s="2"/>
      <c r="L721" s="2"/>
      <c r="M721" s="2"/>
      <c r="N721" s="2"/>
      <c r="O721" s="2"/>
      <c r="P721" s="2"/>
      <c r="Q721" s="2"/>
    </row>
    <row r="722" ht="15.75" customHeight="1">
      <c r="B722" s="2"/>
      <c r="C722" s="2"/>
      <c r="D722" s="2"/>
      <c r="E722" s="464"/>
      <c r="F722" s="2"/>
      <c r="G722" s="2"/>
      <c r="H722" s="2"/>
      <c r="I722" s="2"/>
      <c r="J722" s="2"/>
      <c r="K722" s="2"/>
      <c r="L722" s="2"/>
      <c r="M722" s="2"/>
      <c r="N722" s="2"/>
      <c r="O722" s="2"/>
      <c r="P722" s="2"/>
      <c r="Q722" s="2"/>
    </row>
    <row r="723" ht="15.75" customHeight="1">
      <c r="B723" s="2"/>
      <c r="C723" s="2"/>
      <c r="D723" s="2"/>
      <c r="E723" s="464"/>
      <c r="F723" s="2"/>
      <c r="G723" s="2"/>
      <c r="H723" s="2"/>
      <c r="I723" s="2"/>
      <c r="J723" s="2"/>
      <c r="K723" s="2"/>
      <c r="L723" s="2"/>
      <c r="M723" s="2"/>
      <c r="N723" s="2"/>
      <c r="O723" s="2"/>
      <c r="P723" s="2"/>
      <c r="Q723" s="2"/>
    </row>
    <row r="724" ht="15.75" customHeight="1">
      <c r="B724" s="2"/>
      <c r="C724" s="2"/>
      <c r="D724" s="2"/>
      <c r="E724" s="464"/>
      <c r="F724" s="2"/>
      <c r="G724" s="2"/>
      <c r="H724" s="2"/>
      <c r="I724" s="2"/>
      <c r="J724" s="2"/>
      <c r="K724" s="2"/>
      <c r="L724" s="2"/>
      <c r="M724" s="2"/>
      <c r="N724" s="2"/>
      <c r="O724" s="2"/>
      <c r="P724" s="2"/>
      <c r="Q724" s="2"/>
    </row>
    <row r="725" ht="15.75" customHeight="1">
      <c r="B725" s="2"/>
      <c r="C725" s="2"/>
      <c r="D725" s="2"/>
      <c r="E725" s="464"/>
      <c r="F725" s="2"/>
      <c r="G725" s="2"/>
      <c r="H725" s="2"/>
      <c r="I725" s="2"/>
      <c r="J725" s="2"/>
      <c r="K725" s="2"/>
      <c r="L725" s="2"/>
      <c r="M725" s="2"/>
      <c r="N725" s="2"/>
      <c r="O725" s="2"/>
      <c r="P725" s="2"/>
      <c r="Q725" s="2"/>
    </row>
    <row r="726" ht="15.75" customHeight="1">
      <c r="B726" s="2"/>
      <c r="C726" s="2"/>
      <c r="D726" s="2"/>
      <c r="E726" s="464"/>
      <c r="F726" s="2"/>
      <c r="G726" s="2"/>
      <c r="H726" s="2"/>
      <c r="I726" s="2"/>
      <c r="J726" s="2"/>
      <c r="K726" s="2"/>
      <c r="L726" s="2"/>
      <c r="M726" s="2"/>
      <c r="N726" s="2"/>
      <c r="O726" s="2"/>
      <c r="P726" s="2"/>
      <c r="Q726" s="2"/>
    </row>
    <row r="727" ht="15.75" customHeight="1">
      <c r="B727" s="2"/>
      <c r="C727" s="2"/>
      <c r="D727" s="2"/>
      <c r="E727" s="464"/>
      <c r="F727" s="2"/>
      <c r="G727" s="2"/>
      <c r="H727" s="2"/>
      <c r="I727" s="2"/>
      <c r="J727" s="2"/>
      <c r="K727" s="2"/>
      <c r="L727" s="2"/>
      <c r="M727" s="2"/>
      <c r="N727" s="2"/>
      <c r="O727" s="2"/>
      <c r="P727" s="2"/>
      <c r="Q727" s="2"/>
    </row>
    <row r="728" ht="15.75" customHeight="1">
      <c r="B728" s="2"/>
      <c r="C728" s="2"/>
      <c r="D728" s="2"/>
      <c r="E728" s="464"/>
      <c r="F728" s="2"/>
      <c r="G728" s="2"/>
      <c r="H728" s="2"/>
      <c r="I728" s="2"/>
      <c r="J728" s="2"/>
      <c r="K728" s="2"/>
      <c r="L728" s="2"/>
      <c r="M728" s="2"/>
      <c r="N728" s="2"/>
      <c r="O728" s="2"/>
      <c r="P728" s="2"/>
      <c r="Q728" s="2"/>
    </row>
    <row r="729" ht="15.75" customHeight="1">
      <c r="B729" s="2"/>
      <c r="C729" s="2"/>
      <c r="D729" s="2"/>
      <c r="E729" s="464"/>
      <c r="F729" s="2"/>
      <c r="G729" s="2"/>
      <c r="H729" s="2"/>
      <c r="I729" s="2"/>
      <c r="J729" s="2"/>
      <c r="K729" s="2"/>
      <c r="L729" s="2"/>
      <c r="M729" s="2"/>
      <c r="N729" s="2"/>
      <c r="O729" s="2"/>
      <c r="P729" s="2"/>
      <c r="Q729" s="2"/>
    </row>
    <row r="730" ht="15.75" customHeight="1">
      <c r="B730" s="2"/>
      <c r="C730" s="2"/>
      <c r="D730" s="2"/>
      <c r="E730" s="464"/>
      <c r="F730" s="2"/>
      <c r="G730" s="2"/>
      <c r="H730" s="2"/>
      <c r="I730" s="2"/>
      <c r="J730" s="2"/>
      <c r="K730" s="2"/>
      <c r="L730" s="2"/>
      <c r="M730" s="2"/>
      <c r="N730" s="2"/>
      <c r="O730" s="2"/>
      <c r="P730" s="2"/>
      <c r="Q730" s="2"/>
    </row>
    <row r="731" ht="15.75" customHeight="1">
      <c r="B731" s="2"/>
      <c r="C731" s="2"/>
      <c r="D731" s="2"/>
      <c r="E731" s="464"/>
      <c r="F731" s="2"/>
      <c r="G731" s="2"/>
      <c r="H731" s="2"/>
      <c r="I731" s="2"/>
      <c r="J731" s="2"/>
      <c r="K731" s="2"/>
      <c r="L731" s="2"/>
      <c r="M731" s="2"/>
      <c r="N731" s="2"/>
      <c r="O731" s="2"/>
      <c r="P731" s="2"/>
      <c r="Q731" s="2"/>
    </row>
    <row r="732" ht="15.75" customHeight="1">
      <c r="B732" s="2"/>
      <c r="C732" s="2"/>
      <c r="D732" s="2"/>
      <c r="E732" s="464"/>
      <c r="F732" s="2"/>
      <c r="G732" s="2"/>
      <c r="H732" s="2"/>
      <c r="I732" s="2"/>
      <c r="J732" s="2"/>
      <c r="K732" s="2"/>
      <c r="L732" s="2"/>
      <c r="M732" s="2"/>
      <c r="N732" s="2"/>
      <c r="O732" s="2"/>
      <c r="P732" s="2"/>
      <c r="Q732" s="2"/>
    </row>
    <row r="733" ht="15.75" customHeight="1">
      <c r="B733" s="2"/>
      <c r="C733" s="2"/>
      <c r="D733" s="2"/>
      <c r="E733" s="464"/>
      <c r="F733" s="2"/>
      <c r="G733" s="2"/>
      <c r="H733" s="2"/>
      <c r="I733" s="2"/>
      <c r="J733" s="2"/>
      <c r="K733" s="2"/>
      <c r="L733" s="2"/>
      <c r="M733" s="2"/>
      <c r="N733" s="2"/>
      <c r="O733" s="2"/>
      <c r="P733" s="2"/>
      <c r="Q733" s="2"/>
    </row>
    <row r="734" ht="15.75" customHeight="1">
      <c r="B734" s="2"/>
      <c r="C734" s="2"/>
      <c r="D734" s="2"/>
      <c r="E734" s="464"/>
      <c r="F734" s="2"/>
      <c r="G734" s="2"/>
      <c r="H734" s="2"/>
      <c r="I734" s="2"/>
      <c r="J734" s="2"/>
      <c r="K734" s="2"/>
      <c r="L734" s="2"/>
      <c r="M734" s="2"/>
      <c r="N734" s="2"/>
      <c r="O734" s="2"/>
      <c r="P734" s="2"/>
      <c r="Q734" s="2"/>
    </row>
    <row r="735" ht="15.75" customHeight="1">
      <c r="B735" s="2"/>
      <c r="C735" s="2"/>
      <c r="D735" s="2"/>
      <c r="E735" s="464"/>
      <c r="F735" s="2"/>
      <c r="G735" s="2"/>
      <c r="H735" s="2"/>
      <c r="I735" s="2"/>
      <c r="J735" s="2"/>
      <c r="K735" s="2"/>
      <c r="L735" s="2"/>
      <c r="M735" s="2"/>
      <c r="N735" s="2"/>
      <c r="O735" s="2"/>
      <c r="P735" s="2"/>
      <c r="Q735" s="2"/>
    </row>
    <row r="736" ht="15.75" customHeight="1">
      <c r="B736" s="2"/>
      <c r="C736" s="2"/>
      <c r="D736" s="2"/>
      <c r="E736" s="464"/>
      <c r="F736" s="2"/>
      <c r="G736" s="2"/>
      <c r="H736" s="2"/>
      <c r="I736" s="2"/>
      <c r="J736" s="2"/>
      <c r="K736" s="2"/>
      <c r="L736" s="2"/>
      <c r="M736" s="2"/>
      <c r="N736" s="2"/>
      <c r="O736" s="2"/>
      <c r="P736" s="2"/>
      <c r="Q736" s="2"/>
    </row>
    <row r="737" ht="15.75" customHeight="1">
      <c r="B737" s="2"/>
      <c r="C737" s="2"/>
      <c r="D737" s="2"/>
      <c r="E737" s="464"/>
      <c r="F737" s="2"/>
      <c r="G737" s="2"/>
      <c r="H737" s="2"/>
      <c r="I737" s="2"/>
      <c r="J737" s="2"/>
      <c r="K737" s="2"/>
      <c r="L737" s="2"/>
      <c r="M737" s="2"/>
      <c r="N737" s="2"/>
      <c r="O737" s="2"/>
      <c r="P737" s="2"/>
      <c r="Q737" s="2"/>
    </row>
    <row r="738" ht="15.75" customHeight="1">
      <c r="B738" s="2"/>
      <c r="C738" s="2"/>
      <c r="D738" s="2"/>
      <c r="E738" s="464"/>
      <c r="F738" s="2"/>
      <c r="G738" s="2"/>
      <c r="H738" s="2"/>
      <c r="I738" s="2"/>
      <c r="J738" s="2"/>
      <c r="K738" s="2"/>
      <c r="L738" s="2"/>
      <c r="M738" s="2"/>
      <c r="N738" s="2"/>
      <c r="O738" s="2"/>
      <c r="P738" s="2"/>
      <c r="Q738" s="2"/>
    </row>
    <row r="739" ht="15.75" customHeight="1">
      <c r="B739" s="2"/>
      <c r="C739" s="2"/>
      <c r="D739" s="2"/>
      <c r="E739" s="464"/>
      <c r="F739" s="2"/>
      <c r="G739" s="2"/>
      <c r="H739" s="2"/>
      <c r="I739" s="2"/>
      <c r="J739" s="2"/>
      <c r="K739" s="2"/>
      <c r="L739" s="2"/>
      <c r="M739" s="2"/>
      <c r="N739" s="2"/>
      <c r="O739" s="2"/>
      <c r="P739" s="2"/>
      <c r="Q739" s="2"/>
    </row>
    <row r="740" ht="15.75" customHeight="1">
      <c r="B740" s="2"/>
      <c r="C740" s="2"/>
      <c r="D740" s="2"/>
      <c r="E740" s="464"/>
      <c r="F740" s="2"/>
      <c r="G740" s="2"/>
      <c r="H740" s="2"/>
      <c r="I740" s="2"/>
      <c r="J740" s="2"/>
      <c r="K740" s="2"/>
      <c r="L740" s="2"/>
      <c r="M740" s="2"/>
      <c r="N740" s="2"/>
      <c r="O740" s="2"/>
      <c r="P740" s="2"/>
      <c r="Q740" s="2"/>
    </row>
    <row r="741" ht="15.75" customHeight="1">
      <c r="B741" s="2"/>
      <c r="C741" s="2"/>
      <c r="D741" s="2"/>
      <c r="E741" s="464"/>
      <c r="F741" s="2"/>
      <c r="G741" s="2"/>
      <c r="H741" s="2"/>
      <c r="I741" s="2"/>
      <c r="J741" s="2"/>
      <c r="K741" s="2"/>
      <c r="L741" s="2"/>
      <c r="M741" s="2"/>
      <c r="N741" s="2"/>
      <c r="O741" s="2"/>
      <c r="P741" s="2"/>
      <c r="Q741" s="2"/>
    </row>
    <row r="742" ht="15.75" customHeight="1">
      <c r="B742" s="2"/>
      <c r="C742" s="2"/>
      <c r="D742" s="2"/>
      <c r="E742" s="464"/>
      <c r="F742" s="2"/>
      <c r="G742" s="2"/>
      <c r="H742" s="2"/>
      <c r="I742" s="2"/>
      <c r="J742" s="2"/>
      <c r="K742" s="2"/>
      <c r="L742" s="2"/>
      <c r="M742" s="2"/>
      <c r="N742" s="2"/>
      <c r="O742" s="2"/>
      <c r="P742" s="2"/>
      <c r="Q742" s="2"/>
    </row>
    <row r="743" ht="15.75" customHeight="1">
      <c r="B743" s="2"/>
      <c r="C743" s="2"/>
      <c r="D743" s="2"/>
      <c r="E743" s="464"/>
      <c r="F743" s="2"/>
      <c r="G743" s="2"/>
      <c r="H743" s="2"/>
      <c r="I743" s="2"/>
      <c r="J743" s="2"/>
      <c r="K743" s="2"/>
      <c r="L743" s="2"/>
      <c r="M743" s="2"/>
      <c r="N743" s="2"/>
      <c r="O743" s="2"/>
      <c r="P743" s="2"/>
      <c r="Q743" s="2"/>
    </row>
    <row r="744" ht="15.75" customHeight="1">
      <c r="B744" s="2"/>
      <c r="C744" s="2"/>
      <c r="D744" s="2"/>
      <c r="E744" s="464"/>
      <c r="F744" s="2"/>
      <c r="G744" s="2"/>
      <c r="H744" s="2"/>
      <c r="I744" s="2"/>
      <c r="J744" s="2"/>
      <c r="K744" s="2"/>
      <c r="L744" s="2"/>
      <c r="M744" s="2"/>
      <c r="N744" s="2"/>
      <c r="O744" s="2"/>
      <c r="P744" s="2"/>
      <c r="Q744" s="2"/>
    </row>
    <row r="745" ht="15.75" customHeight="1">
      <c r="B745" s="2"/>
      <c r="C745" s="2"/>
      <c r="D745" s="2"/>
      <c r="E745" s="464"/>
      <c r="F745" s="2"/>
      <c r="G745" s="2"/>
      <c r="H745" s="2"/>
      <c r="I745" s="2"/>
      <c r="J745" s="2"/>
      <c r="K745" s="2"/>
      <c r="L745" s="2"/>
      <c r="M745" s="2"/>
      <c r="N745" s="2"/>
      <c r="O745" s="2"/>
      <c r="P745" s="2"/>
      <c r="Q745" s="2"/>
    </row>
    <row r="746" ht="15.75" customHeight="1">
      <c r="B746" s="2"/>
      <c r="C746" s="2"/>
      <c r="D746" s="2"/>
      <c r="E746" s="464"/>
      <c r="F746" s="2"/>
      <c r="G746" s="2"/>
      <c r="H746" s="2"/>
      <c r="I746" s="2"/>
      <c r="J746" s="2"/>
      <c r="K746" s="2"/>
      <c r="L746" s="2"/>
      <c r="M746" s="2"/>
      <c r="N746" s="2"/>
      <c r="O746" s="2"/>
      <c r="P746" s="2"/>
      <c r="Q746" s="2"/>
    </row>
    <row r="747" ht="15.75" customHeight="1">
      <c r="B747" s="2"/>
      <c r="C747" s="2"/>
      <c r="D747" s="2"/>
      <c r="E747" s="464"/>
      <c r="F747" s="2"/>
      <c r="G747" s="2"/>
      <c r="H747" s="2"/>
      <c r="I747" s="2"/>
      <c r="J747" s="2"/>
      <c r="K747" s="2"/>
      <c r="L747" s="2"/>
      <c r="M747" s="2"/>
      <c r="N747" s="2"/>
      <c r="O747" s="2"/>
      <c r="P747" s="2"/>
      <c r="Q747" s="2"/>
    </row>
    <row r="748" ht="15.75" customHeight="1">
      <c r="B748" s="2"/>
      <c r="C748" s="2"/>
      <c r="D748" s="2"/>
      <c r="E748" s="464"/>
      <c r="F748" s="2"/>
      <c r="G748" s="2"/>
      <c r="H748" s="2"/>
      <c r="I748" s="2"/>
      <c r="J748" s="2"/>
      <c r="K748" s="2"/>
      <c r="L748" s="2"/>
      <c r="M748" s="2"/>
      <c r="N748" s="2"/>
      <c r="O748" s="2"/>
      <c r="P748" s="2"/>
      <c r="Q748" s="2"/>
    </row>
    <row r="749" ht="15.75" customHeight="1">
      <c r="B749" s="2"/>
      <c r="C749" s="2"/>
      <c r="D749" s="2"/>
      <c r="E749" s="464"/>
      <c r="F749" s="2"/>
      <c r="G749" s="2"/>
      <c r="H749" s="2"/>
      <c r="I749" s="2"/>
      <c r="J749" s="2"/>
      <c r="K749" s="2"/>
      <c r="L749" s="2"/>
      <c r="M749" s="2"/>
      <c r="N749" s="2"/>
      <c r="O749" s="2"/>
      <c r="P749" s="2"/>
      <c r="Q749" s="2"/>
    </row>
    <row r="750" ht="15.75" customHeight="1">
      <c r="B750" s="2"/>
      <c r="C750" s="2"/>
      <c r="D750" s="2"/>
      <c r="E750" s="464"/>
      <c r="F750" s="2"/>
      <c r="G750" s="2"/>
      <c r="H750" s="2"/>
      <c r="I750" s="2"/>
      <c r="J750" s="2"/>
      <c r="K750" s="2"/>
      <c r="L750" s="2"/>
      <c r="M750" s="2"/>
      <c r="N750" s="2"/>
      <c r="O750" s="2"/>
      <c r="P750" s="2"/>
      <c r="Q750" s="2"/>
    </row>
    <row r="751" ht="15.75" customHeight="1">
      <c r="B751" s="2"/>
      <c r="C751" s="2"/>
      <c r="D751" s="2"/>
      <c r="E751" s="464"/>
      <c r="F751" s="2"/>
      <c r="G751" s="2"/>
      <c r="H751" s="2"/>
      <c r="I751" s="2"/>
      <c r="J751" s="2"/>
      <c r="K751" s="2"/>
      <c r="L751" s="2"/>
      <c r="M751" s="2"/>
      <c r="N751" s="2"/>
      <c r="O751" s="2"/>
      <c r="P751" s="2"/>
      <c r="Q751" s="2"/>
    </row>
    <row r="752" ht="15.75" customHeight="1">
      <c r="B752" s="2"/>
      <c r="C752" s="2"/>
      <c r="D752" s="2"/>
      <c r="E752" s="464"/>
      <c r="F752" s="2"/>
      <c r="G752" s="2"/>
      <c r="H752" s="2"/>
      <c r="I752" s="2"/>
      <c r="J752" s="2"/>
      <c r="K752" s="2"/>
      <c r="L752" s="2"/>
      <c r="M752" s="2"/>
      <c r="N752" s="2"/>
      <c r="O752" s="2"/>
      <c r="P752" s="2"/>
      <c r="Q752" s="2"/>
    </row>
    <row r="753" ht="15.75" customHeight="1">
      <c r="B753" s="2"/>
      <c r="C753" s="2"/>
      <c r="D753" s="2"/>
      <c r="E753" s="464"/>
      <c r="F753" s="2"/>
      <c r="G753" s="2"/>
      <c r="H753" s="2"/>
      <c r="I753" s="2"/>
      <c r="J753" s="2"/>
      <c r="K753" s="2"/>
      <c r="L753" s="2"/>
      <c r="M753" s="2"/>
      <c r="N753" s="2"/>
      <c r="O753" s="2"/>
      <c r="P753" s="2"/>
      <c r="Q753" s="2"/>
    </row>
    <row r="754" ht="15.75" customHeight="1">
      <c r="B754" s="2"/>
      <c r="C754" s="2"/>
      <c r="D754" s="2"/>
      <c r="E754" s="464"/>
      <c r="F754" s="2"/>
      <c r="G754" s="2"/>
      <c r="H754" s="2"/>
      <c r="I754" s="2"/>
      <c r="J754" s="2"/>
      <c r="K754" s="2"/>
      <c r="L754" s="2"/>
      <c r="M754" s="2"/>
      <c r="N754" s="2"/>
      <c r="O754" s="2"/>
      <c r="P754" s="2"/>
      <c r="Q754" s="2"/>
    </row>
    <row r="755" ht="15.75" customHeight="1">
      <c r="B755" s="2"/>
      <c r="C755" s="2"/>
      <c r="D755" s="2"/>
      <c r="E755" s="464"/>
      <c r="F755" s="2"/>
      <c r="G755" s="2"/>
      <c r="H755" s="2"/>
      <c r="I755" s="2"/>
      <c r="J755" s="2"/>
      <c r="K755" s="2"/>
      <c r="L755" s="2"/>
      <c r="M755" s="2"/>
      <c r="N755" s="2"/>
      <c r="O755" s="2"/>
      <c r="P755" s="2"/>
      <c r="Q755" s="2"/>
    </row>
    <row r="756" ht="15.75" customHeight="1">
      <c r="B756" s="2"/>
      <c r="C756" s="2"/>
      <c r="D756" s="2"/>
      <c r="E756" s="464"/>
      <c r="F756" s="2"/>
      <c r="G756" s="2"/>
      <c r="H756" s="2"/>
      <c r="I756" s="2"/>
      <c r="J756" s="2"/>
      <c r="K756" s="2"/>
      <c r="L756" s="2"/>
      <c r="M756" s="2"/>
      <c r="N756" s="2"/>
      <c r="O756" s="2"/>
      <c r="P756" s="2"/>
      <c r="Q756" s="2"/>
    </row>
    <row r="757" ht="15.75" customHeight="1">
      <c r="B757" s="2"/>
      <c r="C757" s="2"/>
      <c r="D757" s="2"/>
      <c r="E757" s="464"/>
      <c r="F757" s="2"/>
      <c r="G757" s="2"/>
      <c r="H757" s="2"/>
      <c r="I757" s="2"/>
      <c r="J757" s="2"/>
      <c r="K757" s="2"/>
      <c r="L757" s="2"/>
      <c r="M757" s="2"/>
      <c r="N757" s="2"/>
      <c r="O757" s="2"/>
      <c r="P757" s="2"/>
      <c r="Q757" s="2"/>
    </row>
    <row r="758" ht="15.75" customHeight="1">
      <c r="B758" s="2"/>
      <c r="C758" s="2"/>
      <c r="D758" s="2"/>
      <c r="E758" s="464"/>
      <c r="F758" s="2"/>
      <c r="G758" s="2"/>
      <c r="H758" s="2"/>
      <c r="I758" s="2"/>
      <c r="J758" s="2"/>
      <c r="K758" s="2"/>
      <c r="L758" s="2"/>
      <c r="M758" s="2"/>
      <c r="N758" s="2"/>
      <c r="O758" s="2"/>
      <c r="P758" s="2"/>
      <c r="Q758" s="2"/>
    </row>
    <row r="759" ht="15.75" customHeight="1">
      <c r="B759" s="2"/>
      <c r="C759" s="2"/>
      <c r="D759" s="2"/>
      <c r="E759" s="464"/>
      <c r="F759" s="2"/>
      <c r="G759" s="2"/>
      <c r="H759" s="2"/>
      <c r="I759" s="2"/>
      <c r="J759" s="2"/>
      <c r="K759" s="2"/>
      <c r="L759" s="2"/>
      <c r="M759" s="2"/>
      <c r="N759" s="2"/>
      <c r="O759" s="2"/>
      <c r="P759" s="2"/>
      <c r="Q759" s="2"/>
    </row>
    <row r="760" ht="15.75" customHeight="1">
      <c r="B760" s="2"/>
      <c r="C760" s="2"/>
      <c r="D760" s="2"/>
      <c r="E760" s="464"/>
      <c r="F760" s="2"/>
      <c r="G760" s="2"/>
      <c r="H760" s="2"/>
      <c r="I760" s="2"/>
      <c r="J760" s="2"/>
      <c r="K760" s="2"/>
      <c r="L760" s="2"/>
      <c r="M760" s="2"/>
      <c r="N760" s="2"/>
      <c r="O760" s="2"/>
      <c r="P760" s="2"/>
      <c r="Q760" s="2"/>
    </row>
    <row r="761" ht="15.75" customHeight="1">
      <c r="B761" s="2"/>
      <c r="C761" s="2"/>
      <c r="D761" s="2"/>
      <c r="E761" s="464"/>
      <c r="F761" s="2"/>
      <c r="G761" s="2"/>
      <c r="H761" s="2"/>
      <c r="I761" s="2"/>
      <c r="J761" s="2"/>
      <c r="K761" s="2"/>
      <c r="L761" s="2"/>
      <c r="M761" s="2"/>
      <c r="N761" s="2"/>
      <c r="O761" s="2"/>
      <c r="P761" s="2"/>
      <c r="Q761" s="2"/>
    </row>
    <row r="762" ht="15.75" customHeight="1">
      <c r="B762" s="2"/>
      <c r="C762" s="2"/>
      <c r="D762" s="2"/>
      <c r="E762" s="464"/>
      <c r="F762" s="2"/>
      <c r="G762" s="2"/>
      <c r="H762" s="2"/>
      <c r="I762" s="2"/>
      <c r="J762" s="2"/>
      <c r="K762" s="2"/>
      <c r="L762" s="2"/>
      <c r="M762" s="2"/>
      <c r="N762" s="2"/>
      <c r="O762" s="2"/>
      <c r="P762" s="2"/>
      <c r="Q762" s="2"/>
    </row>
    <row r="763" ht="15.75" customHeight="1">
      <c r="B763" s="2"/>
      <c r="C763" s="2"/>
      <c r="D763" s="2"/>
      <c r="E763" s="464"/>
      <c r="F763" s="2"/>
      <c r="G763" s="2"/>
      <c r="H763" s="2"/>
      <c r="I763" s="2"/>
      <c r="J763" s="2"/>
      <c r="K763" s="2"/>
      <c r="L763" s="2"/>
      <c r="M763" s="2"/>
      <c r="N763" s="2"/>
      <c r="O763" s="2"/>
      <c r="P763" s="2"/>
      <c r="Q763" s="2"/>
    </row>
    <row r="764" ht="15.75" customHeight="1">
      <c r="B764" s="2"/>
      <c r="C764" s="2"/>
      <c r="D764" s="2"/>
      <c r="E764" s="464"/>
      <c r="F764" s="2"/>
      <c r="G764" s="2"/>
      <c r="H764" s="2"/>
      <c r="I764" s="2"/>
      <c r="J764" s="2"/>
      <c r="K764" s="2"/>
      <c r="L764" s="2"/>
      <c r="M764" s="2"/>
      <c r="N764" s="2"/>
      <c r="O764" s="2"/>
      <c r="P764" s="2"/>
      <c r="Q764" s="2"/>
    </row>
    <row r="765" ht="15.75" customHeight="1">
      <c r="B765" s="2"/>
      <c r="C765" s="2"/>
      <c r="D765" s="2"/>
      <c r="E765" s="464"/>
      <c r="F765" s="2"/>
      <c r="G765" s="2"/>
      <c r="H765" s="2"/>
      <c r="I765" s="2"/>
      <c r="J765" s="2"/>
      <c r="K765" s="2"/>
      <c r="L765" s="2"/>
      <c r="M765" s="2"/>
      <c r="N765" s="2"/>
      <c r="O765" s="2"/>
      <c r="P765" s="2"/>
      <c r="Q765" s="2"/>
    </row>
    <row r="766" ht="15.75" customHeight="1">
      <c r="B766" s="2"/>
      <c r="C766" s="2"/>
      <c r="D766" s="2"/>
      <c r="E766" s="464"/>
      <c r="F766" s="2"/>
      <c r="G766" s="2"/>
      <c r="H766" s="2"/>
      <c r="I766" s="2"/>
      <c r="J766" s="2"/>
      <c r="K766" s="2"/>
      <c r="L766" s="2"/>
      <c r="M766" s="2"/>
      <c r="N766" s="2"/>
      <c r="O766" s="2"/>
      <c r="P766" s="2"/>
      <c r="Q766" s="2"/>
    </row>
    <row r="767" ht="15.75" customHeight="1">
      <c r="B767" s="2"/>
      <c r="C767" s="2"/>
      <c r="D767" s="2"/>
      <c r="E767" s="464"/>
      <c r="F767" s="2"/>
      <c r="G767" s="2"/>
      <c r="H767" s="2"/>
      <c r="I767" s="2"/>
      <c r="J767" s="2"/>
      <c r="K767" s="2"/>
      <c r="L767" s="2"/>
      <c r="M767" s="2"/>
      <c r="N767" s="2"/>
      <c r="O767" s="2"/>
      <c r="P767" s="2"/>
      <c r="Q767" s="2"/>
    </row>
    <row r="768" ht="15.75" customHeight="1">
      <c r="B768" s="2"/>
      <c r="C768" s="2"/>
      <c r="D768" s="2"/>
      <c r="E768" s="464"/>
      <c r="F768" s="2"/>
      <c r="G768" s="2"/>
      <c r="H768" s="2"/>
      <c r="I768" s="2"/>
      <c r="J768" s="2"/>
      <c r="K768" s="2"/>
      <c r="L768" s="2"/>
      <c r="M768" s="2"/>
      <c r="N768" s="2"/>
      <c r="O768" s="2"/>
      <c r="P768" s="2"/>
      <c r="Q768" s="2"/>
    </row>
    <row r="769" ht="15.75" customHeight="1">
      <c r="B769" s="2"/>
      <c r="C769" s="2"/>
      <c r="D769" s="2"/>
      <c r="E769" s="464"/>
      <c r="F769" s="2"/>
      <c r="G769" s="2"/>
      <c r="H769" s="2"/>
      <c r="I769" s="2"/>
      <c r="J769" s="2"/>
      <c r="K769" s="2"/>
      <c r="L769" s="2"/>
      <c r="M769" s="2"/>
      <c r="N769" s="2"/>
      <c r="O769" s="2"/>
      <c r="P769" s="2"/>
      <c r="Q769" s="2"/>
    </row>
    <row r="770" ht="15.75" customHeight="1">
      <c r="B770" s="2"/>
      <c r="C770" s="2"/>
      <c r="D770" s="2"/>
      <c r="E770" s="464"/>
      <c r="F770" s="2"/>
      <c r="G770" s="2"/>
      <c r="H770" s="2"/>
      <c r="I770" s="2"/>
      <c r="J770" s="2"/>
      <c r="K770" s="2"/>
      <c r="L770" s="2"/>
      <c r="M770" s="2"/>
      <c r="N770" s="2"/>
      <c r="O770" s="2"/>
      <c r="P770" s="2"/>
      <c r="Q770" s="2"/>
    </row>
    <row r="771" ht="15.75" customHeight="1">
      <c r="B771" s="2"/>
      <c r="C771" s="2"/>
      <c r="D771" s="2"/>
      <c r="E771" s="464"/>
      <c r="F771" s="2"/>
      <c r="G771" s="2"/>
      <c r="H771" s="2"/>
      <c r="I771" s="2"/>
      <c r="J771" s="2"/>
      <c r="K771" s="2"/>
      <c r="L771" s="2"/>
      <c r="M771" s="2"/>
      <c r="N771" s="2"/>
      <c r="O771" s="2"/>
      <c r="P771" s="2"/>
      <c r="Q771" s="2"/>
    </row>
    <row r="772" ht="15.75" customHeight="1">
      <c r="B772" s="2"/>
      <c r="C772" s="2"/>
      <c r="D772" s="2"/>
      <c r="E772" s="464"/>
      <c r="F772" s="2"/>
      <c r="G772" s="2"/>
      <c r="H772" s="2"/>
      <c r="I772" s="2"/>
      <c r="J772" s="2"/>
      <c r="K772" s="2"/>
      <c r="L772" s="2"/>
      <c r="M772" s="2"/>
      <c r="N772" s="2"/>
      <c r="O772" s="2"/>
      <c r="P772" s="2"/>
      <c r="Q772" s="2"/>
    </row>
    <row r="773" ht="15.75" customHeight="1">
      <c r="B773" s="2"/>
      <c r="C773" s="2"/>
      <c r="D773" s="2"/>
      <c r="E773" s="464"/>
      <c r="F773" s="2"/>
      <c r="G773" s="2"/>
      <c r="H773" s="2"/>
      <c r="I773" s="2"/>
      <c r="J773" s="2"/>
      <c r="K773" s="2"/>
      <c r="L773" s="2"/>
      <c r="M773" s="2"/>
      <c r="N773" s="2"/>
      <c r="O773" s="2"/>
      <c r="P773" s="2"/>
      <c r="Q773" s="2"/>
    </row>
    <row r="774" ht="15.75" customHeight="1">
      <c r="B774" s="2"/>
      <c r="C774" s="2"/>
      <c r="D774" s="2"/>
      <c r="E774" s="464"/>
      <c r="F774" s="2"/>
      <c r="G774" s="2"/>
      <c r="H774" s="2"/>
      <c r="I774" s="2"/>
      <c r="J774" s="2"/>
      <c r="K774" s="2"/>
      <c r="L774" s="2"/>
      <c r="M774" s="2"/>
      <c r="N774" s="2"/>
      <c r="O774" s="2"/>
      <c r="P774" s="2"/>
      <c r="Q774" s="2"/>
    </row>
    <row r="775" ht="15.75" customHeight="1">
      <c r="B775" s="2"/>
      <c r="C775" s="2"/>
      <c r="D775" s="2"/>
      <c r="E775" s="464"/>
      <c r="F775" s="2"/>
      <c r="G775" s="2"/>
      <c r="H775" s="2"/>
      <c r="I775" s="2"/>
      <c r="J775" s="2"/>
      <c r="K775" s="2"/>
      <c r="L775" s="2"/>
      <c r="M775" s="2"/>
      <c r="N775" s="2"/>
      <c r="O775" s="2"/>
      <c r="P775" s="2"/>
      <c r="Q775" s="2"/>
    </row>
    <row r="776" ht="15.75" customHeight="1">
      <c r="B776" s="2"/>
      <c r="C776" s="2"/>
      <c r="D776" s="2"/>
      <c r="E776" s="464"/>
      <c r="F776" s="2"/>
      <c r="G776" s="2"/>
      <c r="H776" s="2"/>
      <c r="I776" s="2"/>
      <c r="J776" s="2"/>
      <c r="K776" s="2"/>
      <c r="L776" s="2"/>
      <c r="M776" s="2"/>
      <c r="N776" s="2"/>
      <c r="O776" s="2"/>
      <c r="P776" s="2"/>
      <c r="Q776" s="2"/>
    </row>
    <row r="777" ht="15.75" customHeight="1">
      <c r="B777" s="2"/>
      <c r="C777" s="2"/>
      <c r="D777" s="2"/>
      <c r="E777" s="464"/>
      <c r="F777" s="2"/>
      <c r="G777" s="2"/>
      <c r="H777" s="2"/>
      <c r="I777" s="2"/>
      <c r="J777" s="2"/>
      <c r="K777" s="2"/>
      <c r="L777" s="2"/>
      <c r="M777" s="2"/>
      <c r="N777" s="2"/>
      <c r="O777" s="2"/>
      <c r="P777" s="2"/>
      <c r="Q777" s="2"/>
    </row>
    <row r="778" ht="15.75" customHeight="1">
      <c r="B778" s="2"/>
      <c r="C778" s="2"/>
      <c r="D778" s="2"/>
      <c r="E778" s="464"/>
      <c r="F778" s="2"/>
      <c r="G778" s="2"/>
      <c r="H778" s="2"/>
      <c r="I778" s="2"/>
      <c r="J778" s="2"/>
      <c r="K778" s="2"/>
      <c r="L778" s="2"/>
      <c r="M778" s="2"/>
      <c r="N778" s="2"/>
      <c r="O778" s="2"/>
      <c r="P778" s="2"/>
      <c r="Q778" s="2"/>
    </row>
    <row r="779" ht="15.75" customHeight="1">
      <c r="B779" s="2"/>
      <c r="C779" s="2"/>
      <c r="D779" s="2"/>
      <c r="E779" s="464"/>
      <c r="F779" s="2"/>
      <c r="G779" s="2"/>
      <c r="H779" s="2"/>
      <c r="I779" s="2"/>
      <c r="J779" s="2"/>
      <c r="K779" s="2"/>
      <c r="L779" s="2"/>
      <c r="M779" s="2"/>
      <c r="N779" s="2"/>
      <c r="O779" s="2"/>
      <c r="P779" s="2"/>
      <c r="Q779" s="2"/>
    </row>
    <row r="780" ht="15.75" customHeight="1">
      <c r="B780" s="2"/>
      <c r="C780" s="2"/>
      <c r="D780" s="2"/>
      <c r="E780" s="464"/>
      <c r="F780" s="2"/>
      <c r="G780" s="2"/>
      <c r="H780" s="2"/>
      <c r="I780" s="2"/>
      <c r="J780" s="2"/>
      <c r="K780" s="2"/>
      <c r="L780" s="2"/>
      <c r="M780" s="2"/>
      <c r="N780" s="2"/>
      <c r="O780" s="2"/>
      <c r="P780" s="2"/>
      <c r="Q780" s="2"/>
    </row>
    <row r="781" ht="15.75" customHeight="1">
      <c r="B781" s="2"/>
      <c r="C781" s="2"/>
      <c r="D781" s="2"/>
      <c r="E781" s="464"/>
      <c r="F781" s="2"/>
      <c r="G781" s="2"/>
      <c r="H781" s="2"/>
      <c r="I781" s="2"/>
      <c r="J781" s="2"/>
      <c r="K781" s="2"/>
      <c r="L781" s="2"/>
      <c r="M781" s="2"/>
      <c r="N781" s="2"/>
      <c r="O781" s="2"/>
      <c r="P781" s="2"/>
      <c r="Q781" s="2"/>
    </row>
    <row r="782" ht="15.75" customHeight="1">
      <c r="B782" s="2"/>
      <c r="C782" s="2"/>
      <c r="D782" s="2"/>
      <c r="E782" s="464"/>
      <c r="F782" s="2"/>
      <c r="G782" s="2"/>
      <c r="H782" s="2"/>
      <c r="I782" s="2"/>
      <c r="J782" s="2"/>
      <c r="K782" s="2"/>
      <c r="L782" s="2"/>
      <c r="M782" s="2"/>
      <c r="N782" s="2"/>
      <c r="O782" s="2"/>
      <c r="P782" s="2"/>
      <c r="Q782" s="2"/>
    </row>
    <row r="783" ht="15.75" customHeight="1">
      <c r="B783" s="2"/>
      <c r="C783" s="2"/>
      <c r="D783" s="2"/>
      <c r="E783" s="464"/>
      <c r="F783" s="2"/>
      <c r="G783" s="2"/>
      <c r="H783" s="2"/>
      <c r="I783" s="2"/>
      <c r="J783" s="2"/>
      <c r="K783" s="2"/>
      <c r="L783" s="2"/>
      <c r="M783" s="2"/>
      <c r="N783" s="2"/>
      <c r="O783" s="2"/>
      <c r="P783" s="2"/>
      <c r="Q783" s="2"/>
    </row>
    <row r="784" ht="15.75" customHeight="1">
      <c r="B784" s="2"/>
      <c r="C784" s="2"/>
      <c r="D784" s="2"/>
      <c r="E784" s="464"/>
      <c r="F784" s="2"/>
      <c r="G784" s="2"/>
      <c r="H784" s="2"/>
      <c r="I784" s="2"/>
      <c r="J784" s="2"/>
      <c r="K784" s="2"/>
      <c r="L784" s="2"/>
      <c r="M784" s="2"/>
      <c r="N784" s="2"/>
      <c r="O784" s="2"/>
      <c r="P784" s="2"/>
      <c r="Q784" s="2"/>
    </row>
    <row r="785" ht="15.75" customHeight="1">
      <c r="B785" s="2"/>
      <c r="C785" s="2"/>
      <c r="D785" s="2"/>
      <c r="E785" s="464"/>
      <c r="F785" s="2"/>
      <c r="G785" s="2"/>
      <c r="H785" s="2"/>
      <c r="I785" s="2"/>
      <c r="J785" s="2"/>
      <c r="K785" s="2"/>
      <c r="L785" s="2"/>
      <c r="M785" s="2"/>
      <c r="N785" s="2"/>
      <c r="O785" s="2"/>
      <c r="P785" s="2"/>
      <c r="Q785" s="2"/>
    </row>
    <row r="786" ht="15.75" customHeight="1">
      <c r="B786" s="2"/>
      <c r="C786" s="2"/>
      <c r="D786" s="2"/>
      <c r="E786" s="464"/>
      <c r="F786" s="2"/>
      <c r="G786" s="2"/>
      <c r="H786" s="2"/>
      <c r="I786" s="2"/>
      <c r="J786" s="2"/>
      <c r="K786" s="2"/>
      <c r="L786" s="2"/>
      <c r="M786" s="2"/>
      <c r="N786" s="2"/>
      <c r="O786" s="2"/>
      <c r="P786" s="2"/>
      <c r="Q786" s="2"/>
    </row>
    <row r="787" ht="15.75" customHeight="1">
      <c r="B787" s="2"/>
      <c r="C787" s="2"/>
      <c r="D787" s="2"/>
      <c r="E787" s="464"/>
      <c r="F787" s="2"/>
      <c r="G787" s="2"/>
      <c r="H787" s="2"/>
      <c r="I787" s="2"/>
      <c r="J787" s="2"/>
      <c r="K787" s="2"/>
      <c r="L787" s="2"/>
      <c r="M787" s="2"/>
      <c r="N787" s="2"/>
      <c r="O787" s="2"/>
      <c r="P787" s="2"/>
      <c r="Q787" s="2"/>
    </row>
    <row r="788" ht="15.75" customHeight="1">
      <c r="B788" s="2"/>
      <c r="C788" s="2"/>
      <c r="D788" s="2"/>
      <c r="E788" s="464"/>
      <c r="F788" s="2"/>
      <c r="G788" s="2"/>
      <c r="H788" s="2"/>
      <c r="I788" s="2"/>
      <c r="J788" s="2"/>
      <c r="K788" s="2"/>
      <c r="L788" s="2"/>
      <c r="M788" s="2"/>
      <c r="N788" s="2"/>
      <c r="O788" s="2"/>
      <c r="P788" s="2"/>
      <c r="Q788" s="2"/>
    </row>
    <row r="789" ht="15.75" customHeight="1">
      <c r="B789" s="2"/>
      <c r="C789" s="2"/>
      <c r="D789" s="2"/>
      <c r="E789" s="464"/>
      <c r="F789" s="2"/>
      <c r="G789" s="2"/>
      <c r="H789" s="2"/>
      <c r="I789" s="2"/>
      <c r="J789" s="2"/>
      <c r="K789" s="2"/>
      <c r="L789" s="2"/>
      <c r="M789" s="2"/>
      <c r="N789" s="2"/>
      <c r="O789" s="2"/>
      <c r="P789" s="2"/>
      <c r="Q789" s="2"/>
    </row>
    <row r="790" ht="15.75" customHeight="1">
      <c r="B790" s="2"/>
      <c r="C790" s="2"/>
      <c r="D790" s="2"/>
      <c r="E790" s="464"/>
      <c r="F790" s="2"/>
      <c r="G790" s="2"/>
      <c r="H790" s="2"/>
      <c r="I790" s="2"/>
      <c r="J790" s="2"/>
      <c r="K790" s="2"/>
      <c r="L790" s="2"/>
      <c r="M790" s="2"/>
      <c r="N790" s="2"/>
      <c r="O790" s="2"/>
      <c r="P790" s="2"/>
      <c r="Q790" s="2"/>
    </row>
    <row r="791" ht="15.75" customHeight="1">
      <c r="B791" s="2"/>
      <c r="C791" s="2"/>
      <c r="D791" s="2"/>
      <c r="E791" s="464"/>
      <c r="F791" s="2"/>
      <c r="G791" s="2"/>
      <c r="H791" s="2"/>
      <c r="I791" s="2"/>
      <c r="J791" s="2"/>
      <c r="K791" s="2"/>
      <c r="L791" s="2"/>
      <c r="M791" s="2"/>
      <c r="N791" s="2"/>
      <c r="O791" s="2"/>
      <c r="P791" s="2"/>
      <c r="Q791" s="2"/>
    </row>
    <row r="792" ht="15.75" customHeight="1">
      <c r="B792" s="2"/>
      <c r="C792" s="2"/>
      <c r="D792" s="2"/>
      <c r="E792" s="464"/>
      <c r="F792" s="2"/>
      <c r="G792" s="2"/>
      <c r="H792" s="2"/>
      <c r="I792" s="2"/>
      <c r="J792" s="2"/>
      <c r="K792" s="2"/>
      <c r="L792" s="2"/>
      <c r="M792" s="2"/>
      <c r="N792" s="2"/>
      <c r="O792" s="2"/>
      <c r="P792" s="2"/>
      <c r="Q792" s="2"/>
    </row>
    <row r="793" ht="15.75" customHeight="1">
      <c r="B793" s="2"/>
      <c r="C793" s="2"/>
      <c r="D793" s="2"/>
      <c r="E793" s="464"/>
      <c r="F793" s="2"/>
      <c r="G793" s="2"/>
      <c r="H793" s="2"/>
      <c r="I793" s="2"/>
      <c r="J793" s="2"/>
      <c r="K793" s="2"/>
      <c r="L793" s="2"/>
      <c r="M793" s="2"/>
      <c r="N793" s="2"/>
      <c r="O793" s="2"/>
      <c r="P793" s="2"/>
      <c r="Q793" s="2"/>
    </row>
    <row r="794" ht="15.75" customHeight="1">
      <c r="B794" s="2"/>
      <c r="C794" s="2"/>
      <c r="D794" s="2"/>
      <c r="E794" s="464"/>
      <c r="F794" s="2"/>
      <c r="G794" s="2"/>
      <c r="H794" s="2"/>
      <c r="I794" s="2"/>
      <c r="J794" s="2"/>
      <c r="K794" s="2"/>
      <c r="L794" s="2"/>
      <c r="M794" s="2"/>
      <c r="N794" s="2"/>
      <c r="O794" s="2"/>
      <c r="P794" s="2"/>
      <c r="Q794" s="2"/>
    </row>
    <row r="795" ht="15.75" customHeight="1">
      <c r="B795" s="2"/>
      <c r="C795" s="2"/>
      <c r="D795" s="2"/>
      <c r="E795" s="464"/>
      <c r="F795" s="2"/>
      <c r="G795" s="2"/>
      <c r="H795" s="2"/>
      <c r="I795" s="2"/>
      <c r="J795" s="2"/>
      <c r="K795" s="2"/>
      <c r="L795" s="2"/>
      <c r="M795" s="2"/>
      <c r="N795" s="2"/>
      <c r="O795" s="2"/>
      <c r="P795" s="2"/>
      <c r="Q795" s="2"/>
    </row>
    <row r="796" ht="15.75" customHeight="1">
      <c r="B796" s="2"/>
      <c r="C796" s="2"/>
      <c r="D796" s="2"/>
      <c r="E796" s="464"/>
      <c r="F796" s="2"/>
      <c r="G796" s="2"/>
      <c r="H796" s="2"/>
      <c r="I796" s="2"/>
      <c r="J796" s="2"/>
      <c r="K796" s="2"/>
      <c r="L796" s="2"/>
      <c r="M796" s="2"/>
      <c r="N796" s="2"/>
      <c r="O796" s="2"/>
      <c r="P796" s="2"/>
      <c r="Q796" s="2"/>
    </row>
    <row r="797" ht="15.75" customHeight="1">
      <c r="B797" s="2"/>
      <c r="C797" s="2"/>
      <c r="D797" s="2"/>
      <c r="E797" s="464"/>
      <c r="F797" s="2"/>
      <c r="G797" s="2"/>
      <c r="H797" s="2"/>
      <c r="I797" s="2"/>
      <c r="J797" s="2"/>
      <c r="K797" s="2"/>
      <c r="L797" s="2"/>
      <c r="M797" s="2"/>
      <c r="N797" s="2"/>
      <c r="O797" s="2"/>
      <c r="P797" s="2"/>
      <c r="Q797" s="2"/>
    </row>
    <row r="798" ht="15.75" customHeight="1">
      <c r="B798" s="2"/>
      <c r="C798" s="2"/>
      <c r="D798" s="2"/>
      <c r="E798" s="464"/>
      <c r="F798" s="2"/>
      <c r="G798" s="2"/>
      <c r="H798" s="2"/>
      <c r="I798" s="2"/>
      <c r="J798" s="2"/>
      <c r="K798" s="2"/>
      <c r="L798" s="2"/>
      <c r="M798" s="2"/>
      <c r="N798" s="2"/>
      <c r="O798" s="2"/>
      <c r="P798" s="2"/>
      <c r="Q798" s="2"/>
    </row>
    <row r="799" ht="15.75" customHeight="1">
      <c r="B799" s="2"/>
      <c r="C799" s="2"/>
      <c r="D799" s="2"/>
      <c r="E799" s="464"/>
      <c r="F799" s="2"/>
      <c r="G799" s="2"/>
      <c r="H799" s="2"/>
      <c r="I799" s="2"/>
      <c r="J799" s="2"/>
      <c r="K799" s="2"/>
      <c r="L799" s="2"/>
      <c r="M799" s="2"/>
      <c r="N799" s="2"/>
      <c r="O799" s="2"/>
      <c r="P799" s="2"/>
      <c r="Q799" s="2"/>
    </row>
    <row r="800" ht="15.75" customHeight="1">
      <c r="B800" s="2"/>
      <c r="C800" s="2"/>
      <c r="D800" s="2"/>
      <c r="E800" s="464"/>
      <c r="F800" s="2"/>
      <c r="G800" s="2"/>
      <c r="H800" s="2"/>
      <c r="I800" s="2"/>
      <c r="J800" s="2"/>
      <c r="K800" s="2"/>
      <c r="L800" s="2"/>
      <c r="M800" s="2"/>
      <c r="N800" s="2"/>
      <c r="O800" s="2"/>
      <c r="P800" s="2"/>
      <c r="Q800" s="2"/>
    </row>
    <row r="801" ht="15.75" customHeight="1">
      <c r="B801" s="2"/>
      <c r="C801" s="2"/>
      <c r="D801" s="2"/>
      <c r="E801" s="464"/>
      <c r="F801" s="2"/>
      <c r="G801" s="2"/>
      <c r="H801" s="2"/>
      <c r="I801" s="2"/>
      <c r="J801" s="2"/>
      <c r="K801" s="2"/>
      <c r="L801" s="2"/>
      <c r="M801" s="2"/>
      <c r="N801" s="2"/>
      <c r="O801" s="2"/>
      <c r="P801" s="2"/>
      <c r="Q801" s="2"/>
    </row>
    <row r="802" ht="15.75" customHeight="1">
      <c r="B802" s="2"/>
      <c r="C802" s="2"/>
      <c r="D802" s="2"/>
      <c r="E802" s="464"/>
      <c r="F802" s="2"/>
      <c r="G802" s="2"/>
      <c r="H802" s="2"/>
      <c r="I802" s="2"/>
      <c r="J802" s="2"/>
      <c r="K802" s="2"/>
      <c r="L802" s="2"/>
      <c r="M802" s="2"/>
      <c r="N802" s="2"/>
      <c r="O802" s="2"/>
      <c r="P802" s="2"/>
      <c r="Q802" s="2"/>
    </row>
    <row r="803" ht="15.75" customHeight="1">
      <c r="B803" s="2"/>
      <c r="C803" s="2"/>
      <c r="D803" s="2"/>
      <c r="E803" s="464"/>
      <c r="F803" s="2"/>
      <c r="G803" s="2"/>
      <c r="H803" s="2"/>
      <c r="I803" s="2"/>
      <c r="J803" s="2"/>
      <c r="K803" s="2"/>
      <c r="L803" s="2"/>
      <c r="M803" s="2"/>
      <c r="N803" s="2"/>
      <c r="O803" s="2"/>
      <c r="P803" s="2"/>
      <c r="Q803" s="2"/>
    </row>
    <row r="804" ht="15.75" customHeight="1">
      <c r="B804" s="2"/>
      <c r="C804" s="2"/>
      <c r="D804" s="2"/>
      <c r="E804" s="464"/>
      <c r="F804" s="2"/>
      <c r="G804" s="2"/>
      <c r="H804" s="2"/>
      <c r="I804" s="2"/>
      <c r="J804" s="2"/>
      <c r="K804" s="2"/>
      <c r="L804" s="2"/>
      <c r="M804" s="2"/>
      <c r="N804" s="2"/>
      <c r="O804" s="2"/>
      <c r="P804" s="2"/>
      <c r="Q804" s="2"/>
    </row>
    <row r="805" ht="15.75" customHeight="1">
      <c r="B805" s="2"/>
      <c r="C805" s="2"/>
      <c r="D805" s="2"/>
      <c r="E805" s="464"/>
      <c r="F805" s="2"/>
      <c r="G805" s="2"/>
      <c r="H805" s="2"/>
      <c r="I805" s="2"/>
      <c r="J805" s="2"/>
      <c r="K805" s="2"/>
      <c r="L805" s="2"/>
      <c r="M805" s="2"/>
      <c r="N805" s="2"/>
      <c r="O805" s="2"/>
      <c r="P805" s="2"/>
      <c r="Q805" s="2"/>
    </row>
    <row r="806" ht="15.75" customHeight="1">
      <c r="B806" s="2"/>
      <c r="C806" s="2"/>
      <c r="D806" s="2"/>
      <c r="E806" s="464"/>
      <c r="F806" s="2"/>
      <c r="G806" s="2"/>
      <c r="H806" s="2"/>
      <c r="I806" s="2"/>
      <c r="J806" s="2"/>
      <c r="K806" s="2"/>
      <c r="L806" s="2"/>
      <c r="M806" s="2"/>
      <c r="N806" s="2"/>
      <c r="O806" s="2"/>
      <c r="P806" s="2"/>
      <c r="Q806" s="2"/>
    </row>
    <row r="807" ht="15.75" customHeight="1">
      <c r="B807" s="2"/>
      <c r="C807" s="2"/>
      <c r="D807" s="2"/>
      <c r="E807" s="464"/>
      <c r="F807" s="2"/>
      <c r="G807" s="2"/>
      <c r="H807" s="2"/>
      <c r="I807" s="2"/>
      <c r="J807" s="2"/>
      <c r="K807" s="2"/>
      <c r="L807" s="2"/>
      <c r="M807" s="2"/>
      <c r="N807" s="2"/>
      <c r="O807" s="2"/>
      <c r="P807" s="2"/>
      <c r="Q807" s="2"/>
    </row>
    <row r="808" ht="15.75" customHeight="1">
      <c r="B808" s="2"/>
      <c r="C808" s="2"/>
      <c r="D808" s="2"/>
      <c r="E808" s="464"/>
      <c r="F808" s="2"/>
      <c r="G808" s="2"/>
      <c r="H808" s="2"/>
      <c r="I808" s="2"/>
      <c r="J808" s="2"/>
      <c r="K808" s="2"/>
      <c r="L808" s="2"/>
      <c r="M808" s="2"/>
      <c r="N808" s="2"/>
      <c r="O808" s="2"/>
      <c r="P808" s="2"/>
      <c r="Q808" s="2"/>
    </row>
    <row r="809" ht="15.75" customHeight="1">
      <c r="B809" s="2"/>
      <c r="C809" s="2"/>
      <c r="D809" s="2"/>
      <c r="E809" s="464"/>
      <c r="F809" s="2"/>
      <c r="G809" s="2"/>
      <c r="H809" s="2"/>
      <c r="I809" s="2"/>
      <c r="J809" s="2"/>
      <c r="K809" s="2"/>
      <c r="L809" s="2"/>
      <c r="M809" s="2"/>
      <c r="N809" s="2"/>
      <c r="O809" s="2"/>
      <c r="P809" s="2"/>
      <c r="Q809" s="2"/>
    </row>
    <row r="810" ht="15.75" customHeight="1">
      <c r="B810" s="2"/>
      <c r="C810" s="2"/>
      <c r="D810" s="2"/>
      <c r="E810" s="464"/>
      <c r="F810" s="2"/>
      <c r="G810" s="2"/>
      <c r="H810" s="2"/>
      <c r="I810" s="2"/>
      <c r="J810" s="2"/>
      <c r="K810" s="2"/>
      <c r="L810" s="2"/>
      <c r="M810" s="2"/>
      <c r="N810" s="2"/>
      <c r="O810" s="2"/>
      <c r="P810" s="2"/>
      <c r="Q810" s="2"/>
    </row>
    <row r="811" ht="15.75" customHeight="1">
      <c r="B811" s="2"/>
      <c r="C811" s="2"/>
      <c r="D811" s="2"/>
      <c r="E811" s="464"/>
      <c r="F811" s="2"/>
      <c r="G811" s="2"/>
      <c r="H811" s="2"/>
      <c r="I811" s="2"/>
      <c r="J811" s="2"/>
      <c r="K811" s="2"/>
      <c r="L811" s="2"/>
      <c r="M811" s="2"/>
      <c r="N811" s="2"/>
      <c r="O811" s="2"/>
      <c r="P811" s="2"/>
      <c r="Q811" s="2"/>
    </row>
    <row r="812" ht="15.75" customHeight="1">
      <c r="B812" s="2"/>
      <c r="C812" s="2"/>
      <c r="D812" s="2"/>
      <c r="E812" s="464"/>
      <c r="F812" s="2"/>
      <c r="G812" s="2"/>
      <c r="H812" s="2"/>
      <c r="I812" s="2"/>
      <c r="J812" s="2"/>
      <c r="K812" s="2"/>
      <c r="L812" s="2"/>
      <c r="M812" s="2"/>
      <c r="N812" s="2"/>
      <c r="O812" s="2"/>
      <c r="P812" s="2"/>
      <c r="Q812" s="2"/>
    </row>
    <row r="813" ht="15.75" customHeight="1">
      <c r="B813" s="2"/>
      <c r="C813" s="2"/>
      <c r="D813" s="2"/>
      <c r="E813" s="464"/>
      <c r="F813" s="2"/>
      <c r="G813" s="2"/>
      <c r="H813" s="2"/>
      <c r="I813" s="2"/>
      <c r="J813" s="2"/>
      <c r="K813" s="2"/>
      <c r="L813" s="2"/>
      <c r="M813" s="2"/>
      <c r="N813" s="2"/>
      <c r="O813" s="2"/>
      <c r="P813" s="2"/>
      <c r="Q813" s="2"/>
    </row>
    <row r="814" ht="15.75" customHeight="1">
      <c r="B814" s="2"/>
      <c r="C814" s="2"/>
      <c r="D814" s="2"/>
      <c r="E814" s="464"/>
      <c r="F814" s="2"/>
      <c r="G814" s="2"/>
      <c r="H814" s="2"/>
      <c r="I814" s="2"/>
      <c r="J814" s="2"/>
      <c r="K814" s="2"/>
      <c r="L814" s="2"/>
      <c r="M814" s="2"/>
      <c r="N814" s="2"/>
      <c r="O814" s="2"/>
      <c r="P814" s="2"/>
      <c r="Q814" s="2"/>
    </row>
    <row r="815" ht="15.75" customHeight="1">
      <c r="B815" s="2"/>
      <c r="C815" s="2"/>
      <c r="D815" s="2"/>
      <c r="E815" s="464"/>
      <c r="F815" s="2"/>
      <c r="G815" s="2"/>
      <c r="H815" s="2"/>
      <c r="I815" s="2"/>
      <c r="J815" s="2"/>
      <c r="K815" s="2"/>
      <c r="L815" s="2"/>
      <c r="M815" s="2"/>
      <c r="N815" s="2"/>
      <c r="O815" s="2"/>
      <c r="P815" s="2"/>
      <c r="Q815" s="2"/>
    </row>
    <row r="816" ht="15.75" customHeight="1">
      <c r="B816" s="2"/>
      <c r="C816" s="2"/>
      <c r="D816" s="2"/>
      <c r="E816" s="464"/>
      <c r="F816" s="2"/>
      <c r="G816" s="2"/>
      <c r="H816" s="2"/>
      <c r="I816" s="2"/>
      <c r="J816" s="2"/>
      <c r="K816" s="2"/>
      <c r="L816" s="2"/>
      <c r="M816" s="2"/>
      <c r="N816" s="2"/>
      <c r="O816" s="2"/>
      <c r="P816" s="2"/>
      <c r="Q816" s="2"/>
    </row>
    <row r="817" ht="15.75" customHeight="1">
      <c r="B817" s="2"/>
      <c r="C817" s="2"/>
      <c r="D817" s="2"/>
      <c r="E817" s="464"/>
      <c r="F817" s="2"/>
      <c r="G817" s="2"/>
      <c r="H817" s="2"/>
      <c r="I817" s="2"/>
      <c r="J817" s="2"/>
      <c r="K817" s="2"/>
      <c r="L817" s="2"/>
      <c r="M817" s="2"/>
      <c r="N817" s="2"/>
      <c r="O817" s="2"/>
      <c r="P817" s="2"/>
      <c r="Q817" s="2"/>
    </row>
    <row r="818" ht="15.75" customHeight="1">
      <c r="B818" s="2"/>
      <c r="C818" s="2"/>
      <c r="D818" s="2"/>
      <c r="E818" s="464"/>
      <c r="F818" s="2"/>
      <c r="G818" s="2"/>
      <c r="H818" s="2"/>
      <c r="I818" s="2"/>
      <c r="J818" s="2"/>
      <c r="K818" s="2"/>
      <c r="L818" s="2"/>
      <c r="M818" s="2"/>
      <c r="N818" s="2"/>
      <c r="O818" s="2"/>
      <c r="P818" s="2"/>
      <c r="Q818" s="2"/>
    </row>
    <row r="819" ht="15.75" customHeight="1">
      <c r="B819" s="2"/>
      <c r="C819" s="2"/>
      <c r="D819" s="2"/>
      <c r="E819" s="464"/>
      <c r="F819" s="2"/>
      <c r="G819" s="2"/>
      <c r="H819" s="2"/>
      <c r="I819" s="2"/>
      <c r="J819" s="2"/>
      <c r="K819" s="2"/>
      <c r="L819" s="2"/>
      <c r="M819" s="2"/>
      <c r="N819" s="2"/>
      <c r="O819" s="2"/>
      <c r="P819" s="2"/>
      <c r="Q819" s="2"/>
    </row>
    <row r="820" ht="15.75" customHeight="1">
      <c r="B820" s="2"/>
      <c r="C820" s="2"/>
      <c r="D820" s="2"/>
      <c r="E820" s="464"/>
      <c r="F820" s="2"/>
      <c r="G820" s="2"/>
      <c r="H820" s="2"/>
      <c r="I820" s="2"/>
      <c r="J820" s="2"/>
      <c r="K820" s="2"/>
      <c r="L820" s="2"/>
      <c r="M820" s="2"/>
      <c r="N820" s="2"/>
      <c r="O820" s="2"/>
      <c r="P820" s="2"/>
      <c r="Q820" s="2"/>
    </row>
    <row r="821" ht="15.75" customHeight="1">
      <c r="B821" s="2"/>
      <c r="C821" s="2"/>
      <c r="D821" s="2"/>
      <c r="E821" s="464"/>
      <c r="F821" s="2"/>
      <c r="G821" s="2"/>
      <c r="H821" s="2"/>
      <c r="I821" s="2"/>
      <c r="J821" s="2"/>
      <c r="K821" s="2"/>
      <c r="L821" s="2"/>
      <c r="M821" s="2"/>
      <c r="N821" s="2"/>
      <c r="O821" s="2"/>
      <c r="P821" s="2"/>
      <c r="Q821" s="2"/>
    </row>
    <row r="822" ht="15.75" customHeight="1">
      <c r="B822" s="2"/>
      <c r="C822" s="2"/>
      <c r="D822" s="2"/>
      <c r="E822" s="464"/>
      <c r="F822" s="2"/>
      <c r="G822" s="2"/>
      <c r="H822" s="2"/>
      <c r="I822" s="2"/>
      <c r="J822" s="2"/>
      <c r="K822" s="2"/>
      <c r="L822" s="2"/>
      <c r="M822" s="2"/>
      <c r="N822" s="2"/>
      <c r="O822" s="2"/>
      <c r="P822" s="2"/>
      <c r="Q822" s="2"/>
    </row>
    <row r="823" ht="15.75" customHeight="1">
      <c r="B823" s="2"/>
      <c r="C823" s="2"/>
      <c r="D823" s="2"/>
      <c r="E823" s="464"/>
      <c r="F823" s="2"/>
      <c r="G823" s="2"/>
      <c r="H823" s="2"/>
      <c r="I823" s="2"/>
      <c r="J823" s="2"/>
      <c r="K823" s="2"/>
      <c r="L823" s="2"/>
      <c r="M823" s="2"/>
      <c r="N823" s="2"/>
      <c r="O823" s="2"/>
      <c r="P823" s="2"/>
      <c r="Q823" s="2"/>
    </row>
    <row r="824" ht="15.75" customHeight="1">
      <c r="B824" s="2"/>
      <c r="C824" s="2"/>
      <c r="D824" s="2"/>
      <c r="E824" s="464"/>
      <c r="F824" s="2"/>
      <c r="G824" s="2"/>
      <c r="H824" s="2"/>
      <c r="I824" s="2"/>
      <c r="J824" s="2"/>
      <c r="K824" s="2"/>
      <c r="L824" s="2"/>
      <c r="M824" s="2"/>
      <c r="N824" s="2"/>
      <c r="O824" s="2"/>
      <c r="P824" s="2"/>
      <c r="Q824" s="2"/>
    </row>
    <row r="825" ht="15.75" customHeight="1">
      <c r="B825" s="2"/>
      <c r="C825" s="2"/>
      <c r="D825" s="2"/>
      <c r="E825" s="464"/>
      <c r="F825" s="2"/>
      <c r="G825" s="2"/>
      <c r="H825" s="2"/>
      <c r="I825" s="2"/>
      <c r="J825" s="2"/>
      <c r="K825" s="2"/>
      <c r="L825" s="2"/>
      <c r="M825" s="2"/>
      <c r="N825" s="2"/>
      <c r="O825" s="2"/>
      <c r="P825" s="2"/>
      <c r="Q825" s="2"/>
    </row>
    <row r="826" ht="15.75" customHeight="1">
      <c r="B826" s="2"/>
      <c r="C826" s="2"/>
      <c r="D826" s="2"/>
      <c r="E826" s="464"/>
      <c r="F826" s="2"/>
      <c r="G826" s="2"/>
      <c r="H826" s="2"/>
      <c r="I826" s="2"/>
      <c r="J826" s="2"/>
      <c r="K826" s="2"/>
      <c r="L826" s="2"/>
      <c r="M826" s="2"/>
      <c r="N826" s="2"/>
      <c r="O826" s="2"/>
      <c r="P826" s="2"/>
      <c r="Q826" s="2"/>
    </row>
    <row r="827" ht="15.75" customHeight="1">
      <c r="B827" s="2"/>
      <c r="C827" s="2"/>
      <c r="D827" s="2"/>
      <c r="E827" s="464"/>
      <c r="F827" s="2"/>
      <c r="G827" s="2"/>
      <c r="H827" s="2"/>
      <c r="I827" s="2"/>
      <c r="J827" s="2"/>
      <c r="K827" s="2"/>
      <c r="L827" s="2"/>
      <c r="M827" s="2"/>
      <c r="N827" s="2"/>
      <c r="O827" s="2"/>
      <c r="P827" s="2"/>
      <c r="Q827" s="2"/>
    </row>
    <row r="828" ht="15.75" customHeight="1">
      <c r="B828" s="2"/>
      <c r="C828" s="2"/>
      <c r="D828" s="2"/>
      <c r="E828" s="464"/>
      <c r="F828" s="2"/>
      <c r="G828" s="2"/>
      <c r="H828" s="2"/>
      <c r="I828" s="2"/>
      <c r="J828" s="2"/>
      <c r="K828" s="2"/>
      <c r="L828" s="2"/>
      <c r="M828" s="2"/>
      <c r="N828" s="2"/>
      <c r="O828" s="2"/>
      <c r="P828" s="2"/>
      <c r="Q828" s="2"/>
    </row>
    <row r="829" ht="15.75" customHeight="1">
      <c r="B829" s="2"/>
      <c r="C829" s="2"/>
      <c r="D829" s="2"/>
      <c r="E829" s="464"/>
      <c r="F829" s="2"/>
      <c r="G829" s="2"/>
      <c r="H829" s="2"/>
      <c r="I829" s="2"/>
      <c r="J829" s="2"/>
      <c r="K829" s="2"/>
      <c r="L829" s="2"/>
      <c r="M829" s="2"/>
      <c r="N829" s="2"/>
      <c r="O829" s="2"/>
      <c r="P829" s="2"/>
      <c r="Q829" s="2"/>
    </row>
    <row r="830" ht="15.75" customHeight="1">
      <c r="B830" s="2"/>
      <c r="C830" s="2"/>
      <c r="D830" s="2"/>
      <c r="E830" s="464"/>
      <c r="F830" s="2"/>
      <c r="G830" s="2"/>
      <c r="H830" s="2"/>
      <c r="I830" s="2"/>
      <c r="J830" s="2"/>
      <c r="K830" s="2"/>
      <c r="L830" s="2"/>
      <c r="M830" s="2"/>
      <c r="N830" s="2"/>
      <c r="O830" s="2"/>
      <c r="P830" s="2"/>
      <c r="Q830" s="2"/>
    </row>
    <row r="831" ht="15.75" customHeight="1">
      <c r="B831" s="2"/>
      <c r="C831" s="2"/>
      <c r="D831" s="2"/>
      <c r="E831" s="464"/>
      <c r="F831" s="2"/>
      <c r="G831" s="2"/>
      <c r="H831" s="2"/>
      <c r="I831" s="2"/>
      <c r="J831" s="2"/>
      <c r="K831" s="2"/>
      <c r="L831" s="2"/>
      <c r="M831" s="2"/>
      <c r="N831" s="2"/>
      <c r="O831" s="2"/>
      <c r="P831" s="2"/>
      <c r="Q831" s="2"/>
    </row>
    <row r="832" ht="15.75" customHeight="1">
      <c r="B832" s="2"/>
      <c r="C832" s="2"/>
      <c r="D832" s="2"/>
      <c r="E832" s="464"/>
      <c r="F832" s="2"/>
      <c r="G832" s="2"/>
      <c r="H832" s="2"/>
      <c r="I832" s="2"/>
      <c r="J832" s="2"/>
      <c r="K832" s="2"/>
      <c r="L832" s="2"/>
      <c r="M832" s="2"/>
      <c r="N832" s="2"/>
      <c r="O832" s="2"/>
      <c r="P832" s="2"/>
      <c r="Q832" s="2"/>
    </row>
    <row r="833" ht="15.75" customHeight="1">
      <c r="B833" s="2"/>
      <c r="C833" s="2"/>
      <c r="D833" s="2"/>
      <c r="E833" s="464"/>
      <c r="F833" s="2"/>
      <c r="G833" s="2"/>
      <c r="H833" s="2"/>
      <c r="I833" s="2"/>
      <c r="J833" s="2"/>
      <c r="K833" s="2"/>
      <c r="L833" s="2"/>
      <c r="M833" s="2"/>
      <c r="N833" s="2"/>
      <c r="O833" s="2"/>
      <c r="P833" s="2"/>
      <c r="Q833" s="2"/>
    </row>
    <row r="834" ht="15.75" customHeight="1">
      <c r="B834" s="2"/>
      <c r="C834" s="2"/>
      <c r="D834" s="2"/>
      <c r="E834" s="464"/>
      <c r="F834" s="2"/>
      <c r="G834" s="2"/>
      <c r="H834" s="2"/>
      <c r="I834" s="2"/>
      <c r="J834" s="2"/>
      <c r="K834" s="2"/>
      <c r="L834" s="2"/>
      <c r="M834" s="2"/>
      <c r="N834" s="2"/>
      <c r="O834" s="2"/>
      <c r="P834" s="2"/>
      <c r="Q834" s="2"/>
    </row>
    <row r="835" ht="15.75" customHeight="1">
      <c r="B835" s="2"/>
      <c r="C835" s="2"/>
      <c r="D835" s="2"/>
      <c r="E835" s="464"/>
      <c r="F835" s="2"/>
      <c r="G835" s="2"/>
      <c r="H835" s="2"/>
      <c r="I835" s="2"/>
      <c r="J835" s="2"/>
      <c r="K835" s="2"/>
      <c r="L835" s="2"/>
      <c r="M835" s="2"/>
      <c r="N835" s="2"/>
      <c r="O835" s="2"/>
      <c r="P835" s="2"/>
      <c r="Q835" s="2"/>
    </row>
    <row r="836" ht="15.75" customHeight="1">
      <c r="B836" s="2"/>
      <c r="C836" s="2"/>
      <c r="D836" s="2"/>
      <c r="E836" s="464"/>
      <c r="F836" s="2"/>
      <c r="G836" s="2"/>
      <c r="H836" s="2"/>
      <c r="I836" s="2"/>
      <c r="J836" s="2"/>
      <c r="K836" s="2"/>
      <c r="L836" s="2"/>
      <c r="M836" s="2"/>
      <c r="N836" s="2"/>
      <c r="O836" s="2"/>
      <c r="P836" s="2"/>
      <c r="Q836" s="2"/>
    </row>
    <row r="837" ht="15.75" customHeight="1">
      <c r="B837" s="2"/>
      <c r="C837" s="2"/>
      <c r="D837" s="2"/>
      <c r="E837" s="464"/>
      <c r="F837" s="2"/>
      <c r="G837" s="2"/>
      <c r="H837" s="2"/>
      <c r="I837" s="2"/>
      <c r="J837" s="2"/>
      <c r="K837" s="2"/>
      <c r="L837" s="2"/>
      <c r="M837" s="2"/>
      <c r="N837" s="2"/>
      <c r="O837" s="2"/>
      <c r="P837" s="2"/>
      <c r="Q837" s="2"/>
    </row>
    <row r="838" ht="15.75" customHeight="1">
      <c r="B838" s="2"/>
      <c r="C838" s="2"/>
      <c r="D838" s="2"/>
      <c r="E838" s="464"/>
      <c r="F838" s="2"/>
      <c r="G838" s="2"/>
      <c r="H838" s="2"/>
      <c r="I838" s="2"/>
      <c r="J838" s="2"/>
      <c r="K838" s="2"/>
      <c r="L838" s="2"/>
      <c r="M838" s="2"/>
      <c r="N838" s="2"/>
      <c r="O838" s="2"/>
      <c r="P838" s="2"/>
      <c r="Q838" s="2"/>
    </row>
    <row r="839" ht="15.75" customHeight="1">
      <c r="B839" s="2"/>
      <c r="C839" s="2"/>
      <c r="D839" s="2"/>
      <c r="E839" s="464"/>
      <c r="F839" s="2"/>
      <c r="G839" s="2"/>
      <c r="H839" s="2"/>
      <c r="I839" s="2"/>
      <c r="J839" s="2"/>
      <c r="K839" s="2"/>
      <c r="L839" s="2"/>
      <c r="M839" s="2"/>
      <c r="N839" s="2"/>
      <c r="O839" s="2"/>
      <c r="P839" s="2"/>
      <c r="Q839" s="2"/>
    </row>
    <row r="840" ht="15.75" customHeight="1">
      <c r="B840" s="2"/>
      <c r="C840" s="2"/>
      <c r="D840" s="2"/>
      <c r="E840" s="464"/>
      <c r="F840" s="2"/>
      <c r="G840" s="2"/>
      <c r="H840" s="2"/>
      <c r="I840" s="2"/>
      <c r="J840" s="2"/>
      <c r="K840" s="2"/>
      <c r="L840" s="2"/>
      <c r="M840" s="2"/>
      <c r="N840" s="2"/>
      <c r="O840" s="2"/>
      <c r="P840" s="2"/>
      <c r="Q840" s="2"/>
    </row>
    <row r="841" ht="15.75" customHeight="1">
      <c r="B841" s="2"/>
      <c r="C841" s="2"/>
      <c r="D841" s="2"/>
      <c r="E841" s="464"/>
      <c r="F841" s="2"/>
      <c r="G841" s="2"/>
      <c r="H841" s="2"/>
      <c r="I841" s="2"/>
      <c r="J841" s="2"/>
      <c r="K841" s="2"/>
      <c r="L841" s="2"/>
      <c r="M841" s="2"/>
      <c r="N841" s="2"/>
      <c r="O841" s="2"/>
      <c r="P841" s="2"/>
      <c r="Q841" s="2"/>
    </row>
    <row r="842" ht="15.75" customHeight="1">
      <c r="B842" s="2"/>
      <c r="C842" s="2"/>
      <c r="D842" s="2"/>
      <c r="E842" s="464"/>
      <c r="F842" s="2"/>
      <c r="G842" s="2"/>
      <c r="H842" s="2"/>
      <c r="I842" s="2"/>
      <c r="J842" s="2"/>
      <c r="K842" s="2"/>
      <c r="L842" s="2"/>
      <c r="M842" s="2"/>
      <c r="N842" s="2"/>
      <c r="O842" s="2"/>
      <c r="P842" s="2"/>
      <c r="Q842" s="2"/>
    </row>
    <row r="843" ht="15.75" customHeight="1">
      <c r="B843" s="2"/>
      <c r="C843" s="2"/>
      <c r="D843" s="2"/>
      <c r="E843" s="464"/>
      <c r="F843" s="2"/>
      <c r="G843" s="2"/>
      <c r="H843" s="2"/>
      <c r="I843" s="2"/>
      <c r="J843" s="2"/>
      <c r="K843" s="2"/>
      <c r="L843" s="2"/>
      <c r="M843" s="2"/>
      <c r="N843" s="2"/>
      <c r="O843" s="2"/>
      <c r="P843" s="2"/>
      <c r="Q843" s="2"/>
    </row>
    <row r="844" ht="15.75" customHeight="1">
      <c r="B844" s="2"/>
      <c r="C844" s="2"/>
      <c r="D844" s="2"/>
      <c r="E844" s="464"/>
      <c r="F844" s="2"/>
      <c r="G844" s="2"/>
      <c r="H844" s="2"/>
      <c r="I844" s="2"/>
      <c r="J844" s="2"/>
      <c r="K844" s="2"/>
      <c r="L844" s="2"/>
      <c r="M844" s="2"/>
      <c r="N844" s="2"/>
      <c r="O844" s="2"/>
      <c r="P844" s="2"/>
      <c r="Q844" s="2"/>
    </row>
    <row r="845" ht="15.75" customHeight="1">
      <c r="B845" s="2"/>
      <c r="C845" s="2"/>
      <c r="D845" s="2"/>
      <c r="E845" s="464"/>
      <c r="F845" s="2"/>
      <c r="G845" s="2"/>
      <c r="H845" s="2"/>
      <c r="I845" s="2"/>
      <c r="J845" s="2"/>
      <c r="K845" s="2"/>
      <c r="L845" s="2"/>
      <c r="M845" s="2"/>
      <c r="N845" s="2"/>
      <c r="O845" s="2"/>
      <c r="P845" s="2"/>
      <c r="Q845" s="2"/>
    </row>
    <row r="846" ht="15.75" customHeight="1">
      <c r="B846" s="2"/>
      <c r="C846" s="2"/>
      <c r="D846" s="2"/>
      <c r="E846" s="464"/>
      <c r="F846" s="2"/>
      <c r="G846" s="2"/>
      <c r="H846" s="2"/>
      <c r="I846" s="2"/>
      <c r="J846" s="2"/>
      <c r="K846" s="2"/>
      <c r="L846" s="2"/>
      <c r="M846" s="2"/>
      <c r="N846" s="2"/>
      <c r="O846" s="2"/>
      <c r="P846" s="2"/>
      <c r="Q846" s="2"/>
    </row>
    <row r="847" ht="15.75" customHeight="1">
      <c r="B847" s="2"/>
      <c r="C847" s="2"/>
      <c r="D847" s="2"/>
      <c r="E847" s="464"/>
      <c r="F847" s="2"/>
      <c r="G847" s="2"/>
      <c r="H847" s="2"/>
      <c r="I847" s="2"/>
      <c r="J847" s="2"/>
      <c r="K847" s="2"/>
      <c r="L847" s="2"/>
      <c r="M847" s="2"/>
      <c r="N847" s="2"/>
      <c r="O847" s="2"/>
      <c r="P847" s="2"/>
      <c r="Q847" s="2"/>
    </row>
    <row r="848" ht="15.75" customHeight="1">
      <c r="B848" s="2"/>
      <c r="C848" s="2"/>
      <c r="D848" s="2"/>
      <c r="E848" s="464"/>
      <c r="F848" s="2"/>
      <c r="G848" s="2"/>
      <c r="H848" s="2"/>
      <c r="I848" s="2"/>
      <c r="J848" s="2"/>
      <c r="K848" s="2"/>
      <c r="L848" s="2"/>
      <c r="M848" s="2"/>
      <c r="N848" s="2"/>
      <c r="O848" s="2"/>
      <c r="P848" s="2"/>
      <c r="Q848" s="2"/>
    </row>
    <row r="849" ht="15.75" customHeight="1">
      <c r="B849" s="2"/>
      <c r="C849" s="2"/>
      <c r="D849" s="2"/>
      <c r="E849" s="464"/>
      <c r="F849" s="2"/>
      <c r="G849" s="2"/>
      <c r="H849" s="2"/>
      <c r="I849" s="2"/>
      <c r="J849" s="2"/>
      <c r="K849" s="2"/>
      <c r="L849" s="2"/>
      <c r="M849" s="2"/>
      <c r="N849" s="2"/>
      <c r="O849" s="2"/>
      <c r="P849" s="2"/>
      <c r="Q849" s="2"/>
    </row>
    <row r="850" ht="15.75" customHeight="1">
      <c r="B850" s="2"/>
      <c r="C850" s="2"/>
      <c r="D850" s="2"/>
      <c r="E850" s="464"/>
      <c r="F850" s="2"/>
      <c r="G850" s="2"/>
      <c r="H850" s="2"/>
      <c r="I850" s="2"/>
      <c r="J850" s="2"/>
      <c r="K850" s="2"/>
      <c r="L850" s="2"/>
      <c r="M850" s="2"/>
      <c r="N850" s="2"/>
      <c r="O850" s="2"/>
      <c r="P850" s="2"/>
      <c r="Q850" s="2"/>
    </row>
    <row r="851" ht="15.75" customHeight="1">
      <c r="B851" s="2"/>
      <c r="C851" s="2"/>
      <c r="D851" s="2"/>
      <c r="E851" s="464"/>
      <c r="F851" s="2"/>
      <c r="G851" s="2"/>
      <c r="H851" s="2"/>
      <c r="I851" s="2"/>
      <c r="J851" s="2"/>
      <c r="K851" s="2"/>
      <c r="L851" s="2"/>
      <c r="M851" s="2"/>
      <c r="N851" s="2"/>
      <c r="O851" s="2"/>
      <c r="P851" s="2"/>
      <c r="Q851" s="2"/>
    </row>
    <row r="852" ht="15.75" customHeight="1">
      <c r="B852" s="2"/>
      <c r="C852" s="2"/>
      <c r="D852" s="2"/>
      <c r="E852" s="464"/>
      <c r="F852" s="2"/>
      <c r="G852" s="2"/>
      <c r="H852" s="2"/>
      <c r="I852" s="2"/>
      <c r="J852" s="2"/>
      <c r="K852" s="2"/>
      <c r="L852" s="2"/>
      <c r="M852" s="2"/>
      <c r="N852" s="2"/>
      <c r="O852" s="2"/>
      <c r="P852" s="2"/>
      <c r="Q852" s="2"/>
    </row>
    <row r="853" ht="15.75" customHeight="1">
      <c r="B853" s="2"/>
      <c r="C853" s="2"/>
      <c r="D853" s="2"/>
      <c r="E853" s="464"/>
      <c r="F853" s="2"/>
      <c r="G853" s="2"/>
      <c r="H853" s="2"/>
      <c r="I853" s="2"/>
      <c r="J853" s="2"/>
      <c r="K853" s="2"/>
      <c r="L853" s="2"/>
      <c r="M853" s="2"/>
      <c r="N853" s="2"/>
      <c r="O853" s="2"/>
      <c r="P853" s="2"/>
      <c r="Q853" s="2"/>
    </row>
    <row r="854" ht="15.75" customHeight="1">
      <c r="B854" s="2"/>
      <c r="C854" s="2"/>
      <c r="D854" s="2"/>
      <c r="E854" s="464"/>
      <c r="F854" s="2"/>
      <c r="G854" s="2"/>
      <c r="H854" s="2"/>
      <c r="I854" s="2"/>
      <c r="J854" s="2"/>
      <c r="K854" s="2"/>
      <c r="L854" s="2"/>
      <c r="M854" s="2"/>
      <c r="N854" s="2"/>
      <c r="O854" s="2"/>
      <c r="P854" s="2"/>
      <c r="Q854" s="2"/>
    </row>
    <row r="855" ht="15.75" customHeight="1">
      <c r="B855" s="2"/>
      <c r="C855" s="2"/>
      <c r="D855" s="2"/>
      <c r="E855" s="464"/>
      <c r="F855" s="2"/>
      <c r="G855" s="2"/>
      <c r="H855" s="2"/>
      <c r="I855" s="2"/>
      <c r="J855" s="2"/>
      <c r="K855" s="2"/>
      <c r="L855" s="2"/>
      <c r="M855" s="2"/>
      <c r="N855" s="2"/>
      <c r="O855" s="2"/>
      <c r="P855" s="2"/>
      <c r="Q855" s="2"/>
    </row>
    <row r="856" ht="15.75" customHeight="1">
      <c r="B856" s="2"/>
      <c r="C856" s="2"/>
      <c r="D856" s="2"/>
      <c r="E856" s="464"/>
      <c r="F856" s="2"/>
      <c r="G856" s="2"/>
      <c r="H856" s="2"/>
      <c r="I856" s="2"/>
      <c r="J856" s="2"/>
      <c r="K856" s="2"/>
      <c r="L856" s="2"/>
      <c r="M856" s="2"/>
      <c r="N856" s="2"/>
      <c r="O856" s="2"/>
      <c r="P856" s="2"/>
      <c r="Q856" s="2"/>
    </row>
    <row r="857" ht="15.75" customHeight="1">
      <c r="B857" s="2"/>
      <c r="C857" s="2"/>
      <c r="D857" s="2"/>
      <c r="E857" s="464"/>
      <c r="F857" s="2"/>
      <c r="G857" s="2"/>
      <c r="H857" s="2"/>
      <c r="I857" s="2"/>
      <c r="J857" s="2"/>
      <c r="K857" s="2"/>
      <c r="L857" s="2"/>
      <c r="M857" s="2"/>
      <c r="N857" s="2"/>
      <c r="O857" s="2"/>
      <c r="P857" s="2"/>
      <c r="Q857" s="2"/>
    </row>
    <row r="858" ht="15.75" customHeight="1">
      <c r="B858" s="2"/>
      <c r="C858" s="2"/>
      <c r="D858" s="2"/>
      <c r="E858" s="464"/>
      <c r="F858" s="2"/>
      <c r="G858" s="2"/>
      <c r="H858" s="2"/>
      <c r="I858" s="2"/>
      <c r="J858" s="2"/>
      <c r="K858" s="2"/>
      <c r="L858" s="2"/>
      <c r="M858" s="2"/>
      <c r="N858" s="2"/>
      <c r="O858" s="2"/>
      <c r="P858" s="2"/>
      <c r="Q858" s="2"/>
    </row>
    <row r="859" ht="15.75" customHeight="1">
      <c r="B859" s="2"/>
      <c r="C859" s="2"/>
      <c r="D859" s="2"/>
      <c r="E859" s="464"/>
      <c r="F859" s="2"/>
      <c r="G859" s="2"/>
      <c r="H859" s="2"/>
      <c r="I859" s="2"/>
      <c r="J859" s="2"/>
      <c r="K859" s="2"/>
      <c r="L859" s="2"/>
      <c r="M859" s="2"/>
      <c r="N859" s="2"/>
      <c r="O859" s="2"/>
      <c r="P859" s="2"/>
      <c r="Q859" s="2"/>
    </row>
    <row r="860" ht="15.75" customHeight="1">
      <c r="B860" s="2"/>
      <c r="C860" s="2"/>
      <c r="D860" s="2"/>
      <c r="E860" s="464"/>
      <c r="F860" s="2"/>
      <c r="G860" s="2"/>
      <c r="H860" s="2"/>
      <c r="I860" s="2"/>
      <c r="J860" s="2"/>
      <c r="K860" s="2"/>
      <c r="L860" s="2"/>
      <c r="M860" s="2"/>
      <c r="N860" s="2"/>
      <c r="O860" s="2"/>
      <c r="P860" s="2"/>
      <c r="Q860" s="2"/>
    </row>
    <row r="861" ht="15.75" customHeight="1">
      <c r="B861" s="2"/>
      <c r="C861" s="2"/>
      <c r="D861" s="2"/>
      <c r="E861" s="464"/>
      <c r="F861" s="2"/>
      <c r="G861" s="2"/>
      <c r="H861" s="2"/>
      <c r="I861" s="2"/>
      <c r="J861" s="2"/>
      <c r="K861" s="2"/>
      <c r="L861" s="2"/>
      <c r="M861" s="2"/>
      <c r="N861" s="2"/>
      <c r="O861" s="2"/>
      <c r="P861" s="2"/>
      <c r="Q861" s="2"/>
    </row>
    <row r="862" ht="15.75" customHeight="1">
      <c r="B862" s="2"/>
      <c r="C862" s="2"/>
      <c r="D862" s="2"/>
      <c r="E862" s="464"/>
      <c r="F862" s="2"/>
      <c r="G862" s="2"/>
      <c r="H862" s="2"/>
      <c r="I862" s="2"/>
      <c r="J862" s="2"/>
      <c r="K862" s="2"/>
      <c r="L862" s="2"/>
      <c r="M862" s="2"/>
      <c r="N862" s="2"/>
      <c r="O862" s="2"/>
      <c r="P862" s="2"/>
      <c r="Q862" s="2"/>
    </row>
    <row r="863" ht="15.75" customHeight="1">
      <c r="B863" s="2"/>
      <c r="C863" s="2"/>
      <c r="D863" s="2"/>
      <c r="E863" s="464"/>
      <c r="F863" s="2"/>
      <c r="G863" s="2"/>
      <c r="H863" s="2"/>
      <c r="I863" s="2"/>
      <c r="J863" s="2"/>
      <c r="K863" s="2"/>
      <c r="L863" s="2"/>
      <c r="M863" s="2"/>
      <c r="N863" s="2"/>
      <c r="O863" s="2"/>
      <c r="P863" s="2"/>
      <c r="Q863" s="2"/>
    </row>
    <row r="864" ht="15.75" customHeight="1">
      <c r="B864" s="2"/>
      <c r="C864" s="2"/>
      <c r="D864" s="2"/>
      <c r="E864" s="464"/>
      <c r="F864" s="2"/>
      <c r="G864" s="2"/>
      <c r="H864" s="2"/>
      <c r="I864" s="2"/>
      <c r="J864" s="2"/>
      <c r="K864" s="2"/>
      <c r="L864" s="2"/>
      <c r="M864" s="2"/>
      <c r="N864" s="2"/>
      <c r="O864" s="2"/>
      <c r="P864" s="2"/>
      <c r="Q864" s="2"/>
    </row>
    <row r="865" ht="15.75" customHeight="1">
      <c r="B865" s="2"/>
      <c r="C865" s="2"/>
      <c r="D865" s="2"/>
      <c r="E865" s="464"/>
      <c r="F865" s="2"/>
      <c r="G865" s="2"/>
      <c r="H865" s="2"/>
      <c r="I865" s="2"/>
      <c r="J865" s="2"/>
      <c r="K865" s="2"/>
      <c r="L865" s="2"/>
      <c r="M865" s="2"/>
      <c r="N865" s="2"/>
      <c r="O865" s="2"/>
      <c r="P865" s="2"/>
      <c r="Q865" s="2"/>
    </row>
    <row r="866" ht="15.75" customHeight="1">
      <c r="B866" s="2"/>
      <c r="C866" s="2"/>
      <c r="D866" s="2"/>
      <c r="E866" s="464"/>
      <c r="F866" s="2"/>
      <c r="G866" s="2"/>
      <c r="H866" s="2"/>
      <c r="I866" s="2"/>
      <c r="J866" s="2"/>
      <c r="K866" s="2"/>
      <c r="L866" s="2"/>
      <c r="M866" s="2"/>
      <c r="N866" s="2"/>
      <c r="O866" s="2"/>
      <c r="P866" s="2"/>
      <c r="Q866" s="2"/>
    </row>
    <row r="867" ht="15.75" customHeight="1">
      <c r="B867" s="2"/>
      <c r="C867" s="2"/>
      <c r="D867" s="2"/>
      <c r="E867" s="464"/>
      <c r="F867" s="2"/>
      <c r="G867" s="2"/>
      <c r="H867" s="2"/>
      <c r="I867" s="2"/>
      <c r="J867" s="2"/>
      <c r="K867" s="2"/>
      <c r="L867" s="2"/>
      <c r="M867" s="2"/>
      <c r="N867" s="2"/>
      <c r="O867" s="2"/>
      <c r="P867" s="2"/>
      <c r="Q867" s="2"/>
    </row>
    <row r="868" ht="15.75" customHeight="1">
      <c r="B868" s="2"/>
      <c r="C868" s="2"/>
      <c r="D868" s="2"/>
      <c r="E868" s="464"/>
      <c r="F868" s="2"/>
      <c r="G868" s="2"/>
      <c r="H868" s="2"/>
      <c r="I868" s="2"/>
      <c r="J868" s="2"/>
      <c r="K868" s="2"/>
      <c r="L868" s="2"/>
      <c r="M868" s="2"/>
      <c r="N868" s="2"/>
      <c r="O868" s="2"/>
      <c r="P868" s="2"/>
      <c r="Q868" s="2"/>
    </row>
    <row r="869" ht="15.75" customHeight="1">
      <c r="B869" s="2"/>
      <c r="C869" s="2"/>
      <c r="D869" s="2"/>
      <c r="E869" s="464"/>
      <c r="F869" s="2"/>
      <c r="G869" s="2"/>
      <c r="H869" s="2"/>
      <c r="I869" s="2"/>
      <c r="J869" s="2"/>
      <c r="K869" s="2"/>
      <c r="L869" s="2"/>
      <c r="M869" s="2"/>
      <c r="N869" s="2"/>
      <c r="O869" s="2"/>
      <c r="P869" s="2"/>
      <c r="Q869" s="2"/>
    </row>
    <row r="870" ht="15.75" customHeight="1">
      <c r="B870" s="2"/>
      <c r="C870" s="2"/>
      <c r="D870" s="2"/>
      <c r="E870" s="464"/>
      <c r="F870" s="2"/>
      <c r="G870" s="2"/>
      <c r="H870" s="2"/>
      <c r="I870" s="2"/>
      <c r="J870" s="2"/>
      <c r="K870" s="2"/>
      <c r="L870" s="2"/>
      <c r="M870" s="2"/>
      <c r="N870" s="2"/>
      <c r="O870" s="2"/>
      <c r="P870" s="2"/>
      <c r="Q870" s="2"/>
    </row>
    <row r="871" ht="15.75" customHeight="1">
      <c r="B871" s="2"/>
      <c r="C871" s="2"/>
      <c r="D871" s="2"/>
      <c r="E871" s="464"/>
      <c r="F871" s="2"/>
      <c r="G871" s="2"/>
      <c r="H871" s="2"/>
      <c r="I871" s="2"/>
      <c r="J871" s="2"/>
      <c r="K871" s="2"/>
      <c r="L871" s="2"/>
      <c r="M871" s="2"/>
      <c r="N871" s="2"/>
      <c r="O871" s="2"/>
      <c r="P871" s="2"/>
      <c r="Q871" s="2"/>
    </row>
    <row r="872" ht="15.75" customHeight="1">
      <c r="B872" s="2"/>
      <c r="C872" s="2"/>
      <c r="D872" s="2"/>
      <c r="E872" s="464"/>
      <c r="F872" s="2"/>
      <c r="G872" s="2"/>
      <c r="H872" s="2"/>
      <c r="I872" s="2"/>
      <c r="J872" s="2"/>
      <c r="K872" s="2"/>
      <c r="L872" s="2"/>
      <c r="M872" s="2"/>
      <c r="N872" s="2"/>
      <c r="O872" s="2"/>
      <c r="P872" s="2"/>
      <c r="Q872" s="2"/>
    </row>
    <row r="873" ht="15.75" customHeight="1">
      <c r="B873" s="2"/>
      <c r="C873" s="2"/>
      <c r="D873" s="2"/>
      <c r="E873" s="464"/>
      <c r="F873" s="2"/>
      <c r="G873" s="2"/>
      <c r="H873" s="2"/>
      <c r="I873" s="2"/>
      <c r="J873" s="2"/>
      <c r="K873" s="2"/>
      <c r="L873" s="2"/>
      <c r="M873" s="2"/>
      <c r="N873" s="2"/>
      <c r="O873" s="2"/>
      <c r="P873" s="2"/>
      <c r="Q873" s="2"/>
    </row>
    <row r="874" ht="15.75" customHeight="1">
      <c r="B874" s="2"/>
      <c r="C874" s="2"/>
      <c r="D874" s="2"/>
      <c r="E874" s="464"/>
      <c r="F874" s="2"/>
      <c r="G874" s="2"/>
      <c r="H874" s="2"/>
      <c r="I874" s="2"/>
      <c r="J874" s="2"/>
      <c r="K874" s="2"/>
      <c r="L874" s="2"/>
      <c r="M874" s="2"/>
      <c r="N874" s="2"/>
      <c r="O874" s="2"/>
      <c r="P874" s="2"/>
      <c r="Q874" s="2"/>
    </row>
    <row r="875" ht="15.75" customHeight="1">
      <c r="B875" s="2"/>
      <c r="C875" s="2"/>
      <c r="D875" s="2"/>
      <c r="E875" s="464"/>
      <c r="F875" s="2"/>
      <c r="G875" s="2"/>
      <c r="H875" s="2"/>
      <c r="I875" s="2"/>
      <c r="J875" s="2"/>
      <c r="K875" s="2"/>
      <c r="L875" s="2"/>
      <c r="M875" s="2"/>
      <c r="N875" s="2"/>
      <c r="O875" s="2"/>
      <c r="P875" s="2"/>
      <c r="Q875" s="2"/>
    </row>
    <row r="876" ht="15.75" customHeight="1">
      <c r="B876" s="2"/>
      <c r="C876" s="2"/>
      <c r="D876" s="2"/>
      <c r="E876" s="464"/>
      <c r="F876" s="2"/>
      <c r="G876" s="2"/>
      <c r="H876" s="2"/>
      <c r="I876" s="2"/>
      <c r="J876" s="2"/>
      <c r="K876" s="2"/>
      <c r="L876" s="2"/>
      <c r="M876" s="2"/>
      <c r="N876" s="2"/>
      <c r="O876" s="2"/>
      <c r="P876" s="2"/>
      <c r="Q876" s="2"/>
    </row>
    <row r="877" ht="15.75" customHeight="1">
      <c r="B877" s="2"/>
      <c r="C877" s="2"/>
      <c r="D877" s="2"/>
      <c r="E877" s="464"/>
      <c r="F877" s="2"/>
      <c r="G877" s="2"/>
      <c r="H877" s="2"/>
      <c r="I877" s="2"/>
      <c r="J877" s="2"/>
      <c r="K877" s="2"/>
      <c r="L877" s="2"/>
      <c r="M877" s="2"/>
      <c r="N877" s="2"/>
      <c r="O877" s="2"/>
      <c r="P877" s="2"/>
      <c r="Q877" s="2"/>
    </row>
    <row r="878" ht="15.75" customHeight="1">
      <c r="B878" s="2"/>
      <c r="C878" s="2"/>
      <c r="D878" s="2"/>
      <c r="E878" s="464"/>
      <c r="F878" s="2"/>
      <c r="G878" s="2"/>
      <c r="H878" s="2"/>
      <c r="I878" s="2"/>
      <c r="J878" s="2"/>
      <c r="K878" s="2"/>
      <c r="L878" s="2"/>
      <c r="M878" s="2"/>
      <c r="N878" s="2"/>
      <c r="O878" s="2"/>
      <c r="P878" s="2"/>
      <c r="Q878" s="2"/>
    </row>
    <row r="879" ht="15.75" customHeight="1">
      <c r="B879" s="2"/>
      <c r="C879" s="2"/>
      <c r="D879" s="2"/>
      <c r="E879" s="464"/>
      <c r="F879" s="2"/>
      <c r="G879" s="2"/>
      <c r="H879" s="2"/>
      <c r="I879" s="2"/>
      <c r="J879" s="2"/>
      <c r="K879" s="2"/>
      <c r="L879" s="2"/>
      <c r="M879" s="2"/>
      <c r="N879" s="2"/>
      <c r="O879" s="2"/>
      <c r="P879" s="2"/>
      <c r="Q879" s="2"/>
    </row>
    <row r="880" ht="15.75" customHeight="1">
      <c r="B880" s="2"/>
      <c r="C880" s="2"/>
      <c r="D880" s="2"/>
      <c r="E880" s="464"/>
      <c r="F880" s="2"/>
      <c r="G880" s="2"/>
      <c r="H880" s="2"/>
      <c r="I880" s="2"/>
      <c r="J880" s="2"/>
      <c r="K880" s="2"/>
      <c r="L880" s="2"/>
      <c r="M880" s="2"/>
      <c r="N880" s="2"/>
      <c r="O880" s="2"/>
      <c r="P880" s="2"/>
      <c r="Q880" s="2"/>
    </row>
    <row r="881" ht="15.75" customHeight="1">
      <c r="B881" s="2"/>
      <c r="C881" s="2"/>
      <c r="D881" s="2"/>
      <c r="E881" s="464"/>
      <c r="F881" s="2"/>
      <c r="G881" s="2"/>
      <c r="H881" s="2"/>
      <c r="I881" s="2"/>
      <c r="J881" s="2"/>
      <c r="K881" s="2"/>
      <c r="L881" s="2"/>
      <c r="M881" s="2"/>
      <c r="N881" s="2"/>
      <c r="O881" s="2"/>
      <c r="P881" s="2"/>
      <c r="Q881" s="2"/>
    </row>
    <row r="882" ht="15.75" customHeight="1">
      <c r="B882" s="2"/>
      <c r="C882" s="2"/>
      <c r="D882" s="2"/>
      <c r="E882" s="464"/>
      <c r="F882" s="2"/>
      <c r="G882" s="2"/>
      <c r="H882" s="2"/>
      <c r="I882" s="2"/>
      <c r="J882" s="2"/>
      <c r="K882" s="2"/>
      <c r="L882" s="2"/>
      <c r="M882" s="2"/>
      <c r="N882" s="2"/>
      <c r="O882" s="2"/>
      <c r="P882" s="2"/>
      <c r="Q882" s="2"/>
    </row>
    <row r="883" ht="15.75" customHeight="1">
      <c r="B883" s="2"/>
      <c r="C883" s="2"/>
      <c r="D883" s="2"/>
      <c r="E883" s="464"/>
      <c r="F883" s="2"/>
      <c r="G883" s="2"/>
      <c r="H883" s="2"/>
      <c r="I883" s="2"/>
      <c r="J883" s="2"/>
      <c r="K883" s="2"/>
      <c r="L883" s="2"/>
      <c r="M883" s="2"/>
      <c r="N883" s="2"/>
      <c r="O883" s="2"/>
      <c r="P883" s="2"/>
      <c r="Q883" s="2"/>
    </row>
    <row r="884" ht="15.75" customHeight="1">
      <c r="B884" s="2"/>
      <c r="C884" s="2"/>
      <c r="D884" s="2"/>
      <c r="E884" s="464"/>
      <c r="F884" s="2"/>
      <c r="G884" s="2"/>
      <c r="H884" s="2"/>
      <c r="I884" s="2"/>
      <c r="J884" s="2"/>
      <c r="K884" s="2"/>
      <c r="L884" s="2"/>
      <c r="M884" s="2"/>
      <c r="N884" s="2"/>
      <c r="O884" s="2"/>
      <c r="P884" s="2"/>
      <c r="Q884" s="2"/>
    </row>
    <row r="885" ht="15.75" customHeight="1">
      <c r="B885" s="2"/>
      <c r="C885" s="2"/>
      <c r="D885" s="2"/>
      <c r="E885" s="464"/>
      <c r="F885" s="2"/>
      <c r="G885" s="2"/>
      <c r="H885" s="2"/>
      <c r="I885" s="2"/>
      <c r="J885" s="2"/>
      <c r="K885" s="2"/>
      <c r="L885" s="2"/>
      <c r="M885" s="2"/>
      <c r="N885" s="2"/>
      <c r="O885" s="2"/>
      <c r="P885" s="2"/>
      <c r="Q885" s="2"/>
    </row>
    <row r="886" ht="15.75" customHeight="1">
      <c r="B886" s="2"/>
      <c r="C886" s="2"/>
      <c r="D886" s="2"/>
      <c r="E886" s="464"/>
      <c r="F886" s="2"/>
      <c r="G886" s="2"/>
      <c r="H886" s="2"/>
      <c r="I886" s="2"/>
      <c r="J886" s="2"/>
      <c r="K886" s="2"/>
      <c r="L886" s="2"/>
      <c r="M886" s="2"/>
      <c r="N886" s="2"/>
      <c r="O886" s="2"/>
      <c r="P886" s="2"/>
      <c r="Q886" s="2"/>
    </row>
    <row r="887" ht="15.75" customHeight="1">
      <c r="B887" s="2"/>
      <c r="C887" s="2"/>
      <c r="D887" s="2"/>
      <c r="E887" s="464"/>
      <c r="F887" s="2"/>
      <c r="G887" s="2"/>
      <c r="H887" s="2"/>
      <c r="I887" s="2"/>
      <c r="J887" s="2"/>
      <c r="K887" s="2"/>
      <c r="L887" s="2"/>
      <c r="M887" s="2"/>
      <c r="N887" s="2"/>
      <c r="O887" s="2"/>
      <c r="P887" s="2"/>
      <c r="Q887" s="2"/>
    </row>
    <row r="888" ht="15.75" customHeight="1">
      <c r="B888" s="2"/>
      <c r="C888" s="2"/>
      <c r="D888" s="2"/>
      <c r="E888" s="464"/>
      <c r="F888" s="2"/>
      <c r="G888" s="2"/>
      <c r="H888" s="2"/>
      <c r="I888" s="2"/>
      <c r="J888" s="2"/>
      <c r="K888" s="2"/>
      <c r="L888" s="2"/>
      <c r="M888" s="2"/>
      <c r="N888" s="2"/>
      <c r="O888" s="2"/>
      <c r="P888" s="2"/>
      <c r="Q888" s="2"/>
    </row>
    <row r="889" ht="15.75" customHeight="1">
      <c r="B889" s="2"/>
      <c r="C889" s="2"/>
      <c r="D889" s="2"/>
      <c r="E889" s="464"/>
      <c r="F889" s="2"/>
      <c r="G889" s="2"/>
      <c r="H889" s="2"/>
      <c r="I889" s="2"/>
      <c r="J889" s="2"/>
      <c r="K889" s="2"/>
      <c r="L889" s="2"/>
      <c r="M889" s="2"/>
      <c r="N889" s="2"/>
      <c r="O889" s="2"/>
      <c r="P889" s="2"/>
      <c r="Q889" s="2"/>
    </row>
    <row r="890" ht="15.75" customHeight="1">
      <c r="B890" s="2"/>
      <c r="C890" s="2"/>
      <c r="D890" s="2"/>
      <c r="E890" s="464"/>
      <c r="F890" s="2"/>
      <c r="G890" s="2"/>
      <c r="H890" s="2"/>
      <c r="I890" s="2"/>
      <c r="J890" s="2"/>
      <c r="K890" s="2"/>
      <c r="L890" s="2"/>
      <c r="M890" s="2"/>
      <c r="N890" s="2"/>
      <c r="O890" s="2"/>
      <c r="P890" s="2"/>
      <c r="Q890" s="2"/>
    </row>
    <row r="891" ht="15.75" customHeight="1">
      <c r="B891" s="2"/>
      <c r="C891" s="2"/>
      <c r="D891" s="2"/>
      <c r="E891" s="464"/>
      <c r="F891" s="2"/>
      <c r="G891" s="2"/>
      <c r="H891" s="2"/>
      <c r="I891" s="2"/>
      <c r="J891" s="2"/>
      <c r="K891" s="2"/>
      <c r="L891" s="2"/>
      <c r="M891" s="2"/>
      <c r="N891" s="2"/>
      <c r="O891" s="2"/>
      <c r="P891" s="2"/>
      <c r="Q891" s="2"/>
    </row>
    <row r="892" ht="15.75" customHeight="1">
      <c r="B892" s="2"/>
      <c r="C892" s="2"/>
      <c r="D892" s="2"/>
      <c r="E892" s="464"/>
      <c r="F892" s="2"/>
      <c r="G892" s="2"/>
      <c r="H892" s="2"/>
      <c r="I892" s="2"/>
      <c r="J892" s="2"/>
      <c r="K892" s="2"/>
      <c r="L892" s="2"/>
      <c r="M892" s="2"/>
      <c r="N892" s="2"/>
      <c r="O892" s="2"/>
      <c r="P892" s="2"/>
      <c r="Q892" s="2"/>
    </row>
    <row r="893" ht="15.75" customHeight="1">
      <c r="B893" s="2"/>
      <c r="C893" s="2"/>
      <c r="D893" s="2"/>
      <c r="E893" s="464"/>
      <c r="F893" s="2"/>
      <c r="G893" s="2"/>
      <c r="H893" s="2"/>
      <c r="I893" s="2"/>
      <c r="J893" s="2"/>
      <c r="K893" s="2"/>
      <c r="L893" s="2"/>
      <c r="M893" s="2"/>
      <c r="N893" s="2"/>
      <c r="O893" s="2"/>
      <c r="P893" s="2"/>
      <c r="Q893" s="2"/>
    </row>
    <row r="894" ht="15.75" customHeight="1">
      <c r="B894" s="2"/>
      <c r="C894" s="2"/>
      <c r="D894" s="2"/>
      <c r="E894" s="464"/>
      <c r="F894" s="2"/>
      <c r="G894" s="2"/>
      <c r="H894" s="2"/>
      <c r="I894" s="2"/>
      <c r="J894" s="2"/>
      <c r="K894" s="2"/>
      <c r="L894" s="2"/>
      <c r="M894" s="2"/>
      <c r="N894" s="2"/>
      <c r="O894" s="2"/>
      <c r="P894" s="2"/>
      <c r="Q894" s="2"/>
    </row>
    <row r="895" ht="15.75" customHeight="1">
      <c r="B895" s="2"/>
      <c r="C895" s="2"/>
      <c r="D895" s="2"/>
      <c r="E895" s="464"/>
      <c r="F895" s="2"/>
      <c r="G895" s="2"/>
      <c r="H895" s="2"/>
      <c r="I895" s="2"/>
      <c r="J895" s="2"/>
      <c r="K895" s="2"/>
      <c r="L895" s="2"/>
      <c r="M895" s="2"/>
      <c r="N895" s="2"/>
      <c r="O895" s="2"/>
      <c r="P895" s="2"/>
      <c r="Q895" s="2"/>
    </row>
    <row r="896" ht="15.75" customHeight="1">
      <c r="B896" s="2"/>
      <c r="C896" s="2"/>
      <c r="D896" s="2"/>
      <c r="E896" s="464"/>
      <c r="F896" s="2"/>
      <c r="G896" s="2"/>
      <c r="H896" s="2"/>
      <c r="I896" s="2"/>
      <c r="J896" s="2"/>
      <c r="K896" s="2"/>
      <c r="L896" s="2"/>
      <c r="M896" s="2"/>
      <c r="N896" s="2"/>
      <c r="O896" s="2"/>
      <c r="P896" s="2"/>
      <c r="Q896" s="2"/>
    </row>
    <row r="897" ht="15.75" customHeight="1">
      <c r="B897" s="2"/>
      <c r="C897" s="2"/>
      <c r="D897" s="2"/>
      <c r="E897" s="464"/>
      <c r="F897" s="2"/>
      <c r="G897" s="2"/>
      <c r="H897" s="2"/>
      <c r="I897" s="2"/>
      <c r="J897" s="2"/>
      <c r="K897" s="2"/>
      <c r="L897" s="2"/>
      <c r="M897" s="2"/>
      <c r="N897" s="2"/>
      <c r="O897" s="2"/>
      <c r="P897" s="2"/>
      <c r="Q897" s="2"/>
    </row>
    <row r="898" ht="15.75" customHeight="1">
      <c r="B898" s="2"/>
      <c r="C898" s="2"/>
      <c r="D898" s="2"/>
      <c r="E898" s="464"/>
      <c r="F898" s="2"/>
      <c r="G898" s="2"/>
      <c r="H898" s="2"/>
      <c r="I898" s="2"/>
      <c r="J898" s="2"/>
      <c r="K898" s="2"/>
      <c r="L898" s="2"/>
      <c r="M898" s="2"/>
      <c r="N898" s="2"/>
      <c r="O898" s="2"/>
      <c r="P898" s="2"/>
      <c r="Q898" s="2"/>
    </row>
    <row r="899" ht="15.75" customHeight="1">
      <c r="B899" s="2"/>
      <c r="C899" s="2"/>
      <c r="D899" s="2"/>
      <c r="E899" s="464"/>
      <c r="F899" s="2"/>
      <c r="G899" s="2"/>
      <c r="H899" s="2"/>
      <c r="I899" s="2"/>
      <c r="J899" s="2"/>
      <c r="K899" s="2"/>
      <c r="L899" s="2"/>
      <c r="M899" s="2"/>
      <c r="N899" s="2"/>
      <c r="O899" s="2"/>
      <c r="P899" s="2"/>
      <c r="Q899" s="2"/>
    </row>
    <row r="900" ht="15.75" customHeight="1">
      <c r="B900" s="2"/>
      <c r="C900" s="2"/>
      <c r="D900" s="2"/>
      <c r="E900" s="464"/>
      <c r="F900" s="2"/>
      <c r="G900" s="2"/>
      <c r="H900" s="2"/>
      <c r="I900" s="2"/>
      <c r="J900" s="2"/>
      <c r="K900" s="2"/>
      <c r="L900" s="2"/>
      <c r="M900" s="2"/>
      <c r="N900" s="2"/>
      <c r="O900" s="2"/>
      <c r="P900" s="2"/>
      <c r="Q900" s="2"/>
    </row>
    <row r="901" ht="15.75" customHeight="1">
      <c r="B901" s="2"/>
      <c r="C901" s="2"/>
      <c r="D901" s="2"/>
      <c r="E901" s="464"/>
      <c r="F901" s="2"/>
      <c r="G901" s="2"/>
      <c r="H901" s="2"/>
      <c r="I901" s="2"/>
      <c r="J901" s="2"/>
      <c r="K901" s="2"/>
      <c r="L901" s="2"/>
      <c r="M901" s="2"/>
      <c r="N901" s="2"/>
      <c r="O901" s="2"/>
      <c r="P901" s="2"/>
      <c r="Q901" s="2"/>
    </row>
    <row r="902" ht="15.75" customHeight="1">
      <c r="B902" s="2"/>
      <c r="C902" s="2"/>
      <c r="D902" s="2"/>
      <c r="E902" s="464"/>
      <c r="F902" s="2"/>
      <c r="G902" s="2"/>
      <c r="H902" s="2"/>
      <c r="I902" s="2"/>
      <c r="J902" s="2"/>
      <c r="K902" s="2"/>
      <c r="L902" s="2"/>
      <c r="M902" s="2"/>
      <c r="N902" s="2"/>
      <c r="O902" s="2"/>
      <c r="P902" s="2"/>
      <c r="Q902" s="2"/>
    </row>
    <row r="903" ht="15.75" customHeight="1">
      <c r="B903" s="2"/>
      <c r="C903" s="2"/>
      <c r="D903" s="2"/>
      <c r="E903" s="464"/>
      <c r="F903" s="2"/>
      <c r="G903" s="2"/>
      <c r="H903" s="2"/>
      <c r="I903" s="2"/>
      <c r="J903" s="2"/>
      <c r="K903" s="2"/>
      <c r="L903" s="2"/>
      <c r="M903" s="2"/>
      <c r="N903" s="2"/>
      <c r="O903" s="2"/>
      <c r="P903" s="2"/>
      <c r="Q903" s="2"/>
    </row>
    <row r="904" ht="15.75" customHeight="1">
      <c r="B904" s="2"/>
      <c r="C904" s="2"/>
      <c r="D904" s="2"/>
      <c r="E904" s="464"/>
      <c r="F904" s="2"/>
      <c r="G904" s="2"/>
      <c r="H904" s="2"/>
      <c r="I904" s="2"/>
      <c r="J904" s="2"/>
      <c r="K904" s="2"/>
      <c r="L904" s="2"/>
      <c r="M904" s="2"/>
      <c r="N904" s="2"/>
      <c r="O904" s="2"/>
      <c r="P904" s="2"/>
      <c r="Q904" s="2"/>
    </row>
    <row r="905" ht="15.75" customHeight="1">
      <c r="B905" s="2"/>
      <c r="C905" s="2"/>
      <c r="D905" s="2"/>
      <c r="E905" s="464"/>
      <c r="F905" s="2"/>
      <c r="G905" s="2"/>
      <c r="H905" s="2"/>
      <c r="I905" s="2"/>
      <c r="J905" s="2"/>
      <c r="K905" s="2"/>
      <c r="L905" s="2"/>
      <c r="M905" s="2"/>
      <c r="N905" s="2"/>
      <c r="O905" s="2"/>
      <c r="P905" s="2"/>
      <c r="Q905" s="2"/>
    </row>
    <row r="906" ht="15.75" customHeight="1">
      <c r="B906" s="2"/>
      <c r="C906" s="2"/>
      <c r="D906" s="2"/>
      <c r="E906" s="464"/>
      <c r="F906" s="2"/>
      <c r="G906" s="2"/>
      <c r="H906" s="2"/>
      <c r="I906" s="2"/>
      <c r="J906" s="2"/>
      <c r="K906" s="2"/>
      <c r="L906" s="2"/>
      <c r="M906" s="2"/>
      <c r="N906" s="2"/>
      <c r="O906" s="2"/>
      <c r="P906" s="2"/>
      <c r="Q906" s="2"/>
    </row>
    <row r="907" ht="15.75" customHeight="1">
      <c r="B907" s="2"/>
      <c r="C907" s="2"/>
      <c r="D907" s="2"/>
      <c r="E907" s="464"/>
      <c r="F907" s="2"/>
      <c r="G907" s="2"/>
      <c r="H907" s="2"/>
      <c r="I907" s="2"/>
      <c r="J907" s="2"/>
      <c r="K907" s="2"/>
      <c r="L907" s="2"/>
      <c r="M907" s="2"/>
      <c r="N907" s="2"/>
      <c r="O907" s="2"/>
      <c r="P907" s="2"/>
      <c r="Q907" s="2"/>
    </row>
    <row r="908" ht="15.75" customHeight="1">
      <c r="B908" s="2"/>
      <c r="C908" s="2"/>
      <c r="D908" s="2"/>
      <c r="E908" s="464"/>
      <c r="F908" s="2"/>
      <c r="G908" s="2"/>
      <c r="H908" s="2"/>
      <c r="I908" s="2"/>
      <c r="J908" s="2"/>
      <c r="K908" s="2"/>
      <c r="L908" s="2"/>
      <c r="M908" s="2"/>
      <c r="N908" s="2"/>
      <c r="O908" s="2"/>
      <c r="P908" s="2"/>
      <c r="Q908" s="2"/>
    </row>
    <row r="909" ht="15.75" customHeight="1">
      <c r="B909" s="2"/>
      <c r="C909" s="2"/>
      <c r="D909" s="2"/>
      <c r="E909" s="464"/>
      <c r="F909" s="2"/>
      <c r="G909" s="2"/>
      <c r="H909" s="2"/>
      <c r="I909" s="2"/>
      <c r="J909" s="2"/>
      <c r="K909" s="2"/>
      <c r="L909" s="2"/>
      <c r="M909" s="2"/>
      <c r="N909" s="2"/>
      <c r="O909" s="2"/>
      <c r="P909" s="2"/>
      <c r="Q909" s="2"/>
    </row>
    <row r="910" ht="15.75" customHeight="1">
      <c r="B910" s="2"/>
      <c r="C910" s="2"/>
      <c r="D910" s="2"/>
      <c r="E910" s="464"/>
      <c r="F910" s="2"/>
      <c r="G910" s="2"/>
      <c r="H910" s="2"/>
      <c r="I910" s="2"/>
      <c r="J910" s="2"/>
      <c r="K910" s="2"/>
      <c r="L910" s="2"/>
      <c r="M910" s="2"/>
      <c r="N910" s="2"/>
      <c r="O910" s="2"/>
      <c r="P910" s="2"/>
      <c r="Q910" s="2"/>
    </row>
    <row r="911" ht="15.75" customHeight="1">
      <c r="B911" s="2"/>
      <c r="C911" s="2"/>
      <c r="D911" s="2"/>
      <c r="E911" s="464"/>
      <c r="F911" s="2"/>
      <c r="G911" s="2"/>
      <c r="H911" s="2"/>
      <c r="I911" s="2"/>
      <c r="J911" s="2"/>
      <c r="K911" s="2"/>
      <c r="L911" s="2"/>
      <c r="M911" s="2"/>
      <c r="N911" s="2"/>
      <c r="O911" s="2"/>
      <c r="P911" s="2"/>
      <c r="Q911" s="2"/>
    </row>
    <row r="912" ht="15.75" customHeight="1">
      <c r="B912" s="2"/>
      <c r="C912" s="2"/>
      <c r="D912" s="2"/>
      <c r="E912" s="464"/>
      <c r="F912" s="2"/>
      <c r="G912" s="2"/>
      <c r="H912" s="2"/>
      <c r="I912" s="2"/>
      <c r="J912" s="2"/>
      <c r="K912" s="2"/>
      <c r="L912" s="2"/>
      <c r="M912" s="2"/>
      <c r="N912" s="2"/>
      <c r="O912" s="2"/>
      <c r="P912" s="2"/>
      <c r="Q912" s="2"/>
    </row>
    <row r="913" ht="15.75" customHeight="1">
      <c r="B913" s="2"/>
      <c r="C913" s="2"/>
      <c r="D913" s="2"/>
      <c r="E913" s="464"/>
      <c r="F913" s="2"/>
      <c r="G913" s="2"/>
      <c r="H913" s="2"/>
      <c r="I913" s="2"/>
      <c r="J913" s="2"/>
      <c r="K913" s="2"/>
      <c r="L913" s="2"/>
      <c r="M913" s="2"/>
      <c r="N913" s="2"/>
      <c r="O913" s="2"/>
      <c r="P913" s="2"/>
      <c r="Q913" s="2"/>
    </row>
    <row r="914" ht="15.75" customHeight="1">
      <c r="B914" s="2"/>
      <c r="C914" s="2"/>
      <c r="D914" s="2"/>
      <c r="E914" s="464"/>
      <c r="F914" s="2"/>
      <c r="G914" s="2"/>
      <c r="H914" s="2"/>
      <c r="I914" s="2"/>
      <c r="J914" s="2"/>
      <c r="K914" s="2"/>
      <c r="L914" s="2"/>
      <c r="M914" s="2"/>
      <c r="N914" s="2"/>
      <c r="O914" s="2"/>
      <c r="P914" s="2"/>
      <c r="Q914" s="2"/>
    </row>
    <row r="915" ht="15.75" customHeight="1">
      <c r="B915" s="2"/>
      <c r="C915" s="2"/>
      <c r="D915" s="2"/>
      <c r="E915" s="464"/>
      <c r="F915" s="2"/>
      <c r="G915" s="2"/>
      <c r="H915" s="2"/>
      <c r="I915" s="2"/>
      <c r="J915" s="2"/>
      <c r="K915" s="2"/>
      <c r="L915" s="2"/>
      <c r="M915" s="2"/>
      <c r="N915" s="2"/>
      <c r="O915" s="2"/>
      <c r="P915" s="2"/>
      <c r="Q915" s="2"/>
    </row>
    <row r="916" ht="15.75" customHeight="1">
      <c r="B916" s="2"/>
      <c r="C916" s="2"/>
      <c r="D916" s="2"/>
      <c r="E916" s="464"/>
      <c r="F916" s="2"/>
      <c r="G916" s="2"/>
      <c r="H916" s="2"/>
      <c r="I916" s="2"/>
      <c r="J916" s="2"/>
      <c r="K916" s="2"/>
      <c r="L916" s="2"/>
      <c r="M916" s="2"/>
      <c r="N916" s="2"/>
      <c r="O916" s="2"/>
      <c r="P916" s="2"/>
      <c r="Q916" s="2"/>
    </row>
    <row r="917" ht="15.75" customHeight="1">
      <c r="B917" s="2"/>
      <c r="C917" s="2"/>
      <c r="D917" s="2"/>
      <c r="E917" s="464"/>
      <c r="F917" s="2"/>
      <c r="G917" s="2"/>
      <c r="H917" s="2"/>
      <c r="I917" s="2"/>
      <c r="J917" s="2"/>
      <c r="K917" s="2"/>
      <c r="L917" s="2"/>
      <c r="M917" s="2"/>
      <c r="N917" s="2"/>
      <c r="O917" s="2"/>
      <c r="P917" s="2"/>
      <c r="Q917" s="2"/>
    </row>
    <row r="918" ht="15.75" customHeight="1">
      <c r="B918" s="2"/>
      <c r="C918" s="2"/>
      <c r="D918" s="2"/>
      <c r="E918" s="464"/>
      <c r="F918" s="2"/>
      <c r="G918" s="2"/>
      <c r="H918" s="2"/>
      <c r="I918" s="2"/>
      <c r="J918" s="2"/>
      <c r="K918" s="2"/>
      <c r="L918" s="2"/>
      <c r="M918" s="2"/>
      <c r="N918" s="2"/>
      <c r="O918" s="2"/>
      <c r="P918" s="2"/>
      <c r="Q918" s="2"/>
    </row>
    <row r="919" ht="15.75" customHeight="1">
      <c r="B919" s="2"/>
      <c r="C919" s="2"/>
      <c r="D919" s="2"/>
      <c r="E919" s="464"/>
      <c r="F919" s="2"/>
      <c r="G919" s="2"/>
      <c r="H919" s="2"/>
      <c r="I919" s="2"/>
      <c r="J919" s="2"/>
      <c r="K919" s="2"/>
      <c r="L919" s="2"/>
      <c r="M919" s="2"/>
      <c r="N919" s="2"/>
      <c r="O919" s="2"/>
      <c r="P919" s="2"/>
      <c r="Q919" s="2"/>
    </row>
    <row r="920" ht="15.75" customHeight="1">
      <c r="B920" s="2"/>
      <c r="C920" s="2"/>
      <c r="D920" s="2"/>
      <c r="E920" s="464"/>
      <c r="F920" s="2"/>
      <c r="G920" s="2"/>
      <c r="H920" s="2"/>
      <c r="I920" s="2"/>
      <c r="J920" s="2"/>
      <c r="K920" s="2"/>
      <c r="L920" s="2"/>
      <c r="M920" s="2"/>
      <c r="N920" s="2"/>
      <c r="O920" s="2"/>
      <c r="P920" s="2"/>
      <c r="Q920" s="2"/>
    </row>
    <row r="921" ht="15.75" customHeight="1">
      <c r="B921" s="2"/>
      <c r="C921" s="2"/>
      <c r="D921" s="2"/>
      <c r="E921" s="464"/>
      <c r="F921" s="2"/>
      <c r="G921" s="2"/>
      <c r="H921" s="2"/>
      <c r="I921" s="2"/>
      <c r="J921" s="2"/>
      <c r="K921" s="2"/>
      <c r="L921" s="2"/>
      <c r="M921" s="2"/>
      <c r="N921" s="2"/>
      <c r="O921" s="2"/>
      <c r="P921" s="2"/>
      <c r="Q921" s="2"/>
    </row>
    <row r="922" ht="15.75" customHeight="1">
      <c r="B922" s="2"/>
      <c r="C922" s="2"/>
      <c r="D922" s="2"/>
      <c r="E922" s="464"/>
      <c r="F922" s="2"/>
      <c r="G922" s="2"/>
      <c r="H922" s="2"/>
      <c r="I922" s="2"/>
      <c r="J922" s="2"/>
      <c r="K922" s="2"/>
      <c r="L922" s="2"/>
      <c r="M922" s="2"/>
      <c r="N922" s="2"/>
      <c r="O922" s="2"/>
      <c r="P922" s="2"/>
      <c r="Q922" s="2"/>
    </row>
    <row r="923" ht="15.75" customHeight="1">
      <c r="B923" s="2"/>
      <c r="C923" s="2"/>
      <c r="D923" s="2"/>
      <c r="E923" s="464"/>
      <c r="F923" s="2"/>
      <c r="G923" s="2"/>
      <c r="H923" s="2"/>
      <c r="I923" s="2"/>
      <c r="J923" s="2"/>
      <c r="K923" s="2"/>
      <c r="L923" s="2"/>
      <c r="M923" s="2"/>
      <c r="N923" s="2"/>
      <c r="O923" s="2"/>
      <c r="P923" s="2"/>
      <c r="Q923" s="2"/>
    </row>
    <row r="924" ht="15.75" customHeight="1">
      <c r="B924" s="2"/>
      <c r="C924" s="2"/>
      <c r="D924" s="2"/>
      <c r="E924" s="464"/>
      <c r="F924" s="2"/>
      <c r="G924" s="2"/>
      <c r="H924" s="2"/>
      <c r="I924" s="2"/>
      <c r="J924" s="2"/>
      <c r="K924" s="2"/>
      <c r="L924" s="2"/>
      <c r="M924" s="2"/>
      <c r="N924" s="2"/>
      <c r="O924" s="2"/>
      <c r="P924" s="2"/>
      <c r="Q924" s="2"/>
    </row>
    <row r="925" ht="15.75" customHeight="1">
      <c r="B925" s="2"/>
      <c r="C925" s="2"/>
      <c r="D925" s="2"/>
      <c r="E925" s="464"/>
      <c r="F925" s="2"/>
      <c r="G925" s="2"/>
      <c r="H925" s="2"/>
      <c r="I925" s="2"/>
      <c r="J925" s="2"/>
      <c r="K925" s="2"/>
      <c r="L925" s="2"/>
      <c r="M925" s="2"/>
      <c r="N925" s="2"/>
      <c r="O925" s="2"/>
      <c r="P925" s="2"/>
      <c r="Q925" s="2"/>
    </row>
    <row r="926" ht="15.75" customHeight="1">
      <c r="B926" s="2"/>
      <c r="C926" s="2"/>
      <c r="D926" s="2"/>
      <c r="E926" s="464"/>
      <c r="F926" s="2"/>
      <c r="G926" s="2"/>
      <c r="H926" s="2"/>
      <c r="I926" s="2"/>
      <c r="J926" s="2"/>
      <c r="K926" s="2"/>
      <c r="L926" s="2"/>
      <c r="M926" s="2"/>
      <c r="N926" s="2"/>
      <c r="O926" s="2"/>
      <c r="P926" s="2"/>
      <c r="Q926" s="2"/>
    </row>
    <row r="927" ht="15.75" customHeight="1">
      <c r="B927" s="2"/>
      <c r="C927" s="2"/>
      <c r="D927" s="2"/>
      <c r="E927" s="464"/>
      <c r="F927" s="2"/>
      <c r="G927" s="2"/>
      <c r="H927" s="2"/>
      <c r="I927" s="2"/>
      <c r="J927" s="2"/>
      <c r="K927" s="2"/>
      <c r="L927" s="2"/>
      <c r="M927" s="2"/>
      <c r="N927" s="2"/>
      <c r="O927" s="2"/>
      <c r="P927" s="2"/>
      <c r="Q927" s="2"/>
    </row>
    <row r="928" ht="15.75" customHeight="1">
      <c r="B928" s="2"/>
      <c r="C928" s="2"/>
      <c r="D928" s="2"/>
      <c r="E928" s="464"/>
      <c r="F928" s="2"/>
      <c r="G928" s="2"/>
      <c r="H928" s="2"/>
      <c r="I928" s="2"/>
      <c r="J928" s="2"/>
      <c r="K928" s="2"/>
      <c r="L928" s="2"/>
      <c r="M928" s="2"/>
      <c r="N928" s="2"/>
      <c r="O928" s="2"/>
      <c r="P928" s="2"/>
      <c r="Q928" s="2"/>
    </row>
    <row r="929" ht="15.75" customHeight="1">
      <c r="B929" s="2"/>
      <c r="C929" s="2"/>
      <c r="D929" s="2"/>
      <c r="E929" s="464"/>
      <c r="F929" s="2"/>
      <c r="G929" s="2"/>
      <c r="H929" s="2"/>
      <c r="I929" s="2"/>
      <c r="J929" s="2"/>
      <c r="K929" s="2"/>
      <c r="L929" s="2"/>
      <c r="M929" s="2"/>
      <c r="N929" s="2"/>
      <c r="O929" s="2"/>
      <c r="P929" s="2"/>
      <c r="Q929" s="2"/>
    </row>
    <row r="930" ht="15.75" customHeight="1">
      <c r="B930" s="2"/>
      <c r="C930" s="2"/>
      <c r="D930" s="2"/>
      <c r="E930" s="464"/>
      <c r="F930" s="2"/>
      <c r="G930" s="2"/>
      <c r="H930" s="2"/>
      <c r="I930" s="2"/>
      <c r="J930" s="2"/>
      <c r="K930" s="2"/>
      <c r="L930" s="2"/>
      <c r="M930" s="2"/>
      <c r="N930" s="2"/>
      <c r="O930" s="2"/>
      <c r="P930" s="2"/>
      <c r="Q930" s="2"/>
    </row>
    <row r="931" ht="15.75" customHeight="1">
      <c r="B931" s="2"/>
      <c r="C931" s="2"/>
      <c r="D931" s="2"/>
      <c r="E931" s="464"/>
      <c r="F931" s="2"/>
      <c r="G931" s="2"/>
      <c r="H931" s="2"/>
      <c r="I931" s="2"/>
      <c r="J931" s="2"/>
      <c r="K931" s="2"/>
      <c r="L931" s="2"/>
      <c r="M931" s="2"/>
      <c r="N931" s="2"/>
      <c r="O931" s="2"/>
      <c r="P931" s="2"/>
      <c r="Q931" s="2"/>
    </row>
    <row r="932" ht="15.75" customHeight="1">
      <c r="B932" s="2"/>
      <c r="C932" s="2"/>
      <c r="D932" s="2"/>
      <c r="E932" s="464"/>
      <c r="F932" s="2"/>
      <c r="G932" s="2"/>
      <c r="H932" s="2"/>
      <c r="I932" s="2"/>
      <c r="J932" s="2"/>
      <c r="K932" s="2"/>
      <c r="L932" s="2"/>
      <c r="M932" s="2"/>
      <c r="N932" s="2"/>
      <c r="O932" s="2"/>
      <c r="P932" s="2"/>
      <c r="Q932" s="2"/>
    </row>
    <row r="933" ht="15.75" customHeight="1">
      <c r="B933" s="2"/>
      <c r="C933" s="2"/>
      <c r="D933" s="2"/>
      <c r="E933" s="464"/>
      <c r="F933" s="2"/>
      <c r="G933" s="2"/>
      <c r="H933" s="2"/>
      <c r="I933" s="2"/>
      <c r="J933" s="2"/>
      <c r="K933" s="2"/>
      <c r="L933" s="2"/>
      <c r="M933" s="2"/>
      <c r="N933" s="2"/>
      <c r="O933" s="2"/>
      <c r="P933" s="2"/>
      <c r="Q933" s="2"/>
    </row>
    <row r="934" ht="15.75" customHeight="1">
      <c r="B934" s="2"/>
      <c r="C934" s="2"/>
      <c r="D934" s="2"/>
      <c r="E934" s="464"/>
      <c r="F934" s="2"/>
      <c r="G934" s="2"/>
      <c r="H934" s="2"/>
      <c r="I934" s="2"/>
      <c r="J934" s="2"/>
      <c r="K934" s="2"/>
      <c r="L934" s="2"/>
      <c r="M934" s="2"/>
      <c r="N934" s="2"/>
      <c r="O934" s="2"/>
      <c r="P934" s="2"/>
      <c r="Q934" s="2"/>
    </row>
    <row r="935" ht="15.75" customHeight="1">
      <c r="B935" s="2"/>
      <c r="C935" s="2"/>
      <c r="D935" s="2"/>
      <c r="E935" s="464"/>
      <c r="F935" s="2"/>
      <c r="G935" s="2"/>
      <c r="H935" s="2"/>
      <c r="I935" s="2"/>
      <c r="J935" s="2"/>
      <c r="K935" s="2"/>
      <c r="L935" s="2"/>
      <c r="M935" s="2"/>
      <c r="N935" s="2"/>
      <c r="O935" s="2"/>
      <c r="P935" s="2"/>
      <c r="Q935" s="2"/>
    </row>
    <row r="936" ht="15.75" customHeight="1">
      <c r="B936" s="2"/>
      <c r="C936" s="2"/>
      <c r="D936" s="2"/>
      <c r="E936" s="464"/>
      <c r="F936" s="2"/>
      <c r="G936" s="2"/>
      <c r="H936" s="2"/>
      <c r="I936" s="2"/>
      <c r="J936" s="2"/>
      <c r="K936" s="2"/>
      <c r="L936" s="2"/>
      <c r="M936" s="2"/>
      <c r="N936" s="2"/>
      <c r="O936" s="2"/>
      <c r="P936" s="2"/>
      <c r="Q936" s="2"/>
    </row>
    <row r="937" ht="15.75" customHeight="1">
      <c r="B937" s="2"/>
      <c r="C937" s="2"/>
      <c r="D937" s="2"/>
      <c r="E937" s="464"/>
      <c r="F937" s="2"/>
      <c r="G937" s="2"/>
      <c r="H937" s="2"/>
      <c r="I937" s="2"/>
      <c r="J937" s="2"/>
      <c r="K937" s="2"/>
      <c r="L937" s="2"/>
      <c r="M937" s="2"/>
      <c r="N937" s="2"/>
      <c r="O937" s="2"/>
      <c r="P937" s="2"/>
      <c r="Q937" s="2"/>
    </row>
    <row r="938" ht="15.75" customHeight="1">
      <c r="B938" s="2"/>
      <c r="C938" s="2"/>
      <c r="D938" s="2"/>
      <c r="E938" s="464"/>
      <c r="F938" s="2"/>
      <c r="G938" s="2"/>
      <c r="H938" s="2"/>
      <c r="I938" s="2"/>
      <c r="J938" s="2"/>
      <c r="K938" s="2"/>
      <c r="L938" s="2"/>
      <c r="M938" s="2"/>
      <c r="N938" s="2"/>
      <c r="O938" s="2"/>
      <c r="P938" s="2"/>
      <c r="Q938" s="2"/>
    </row>
    <row r="939" ht="15.75" customHeight="1">
      <c r="B939" s="2"/>
      <c r="C939" s="2"/>
      <c r="D939" s="2"/>
      <c r="E939" s="464"/>
      <c r="F939" s="2"/>
      <c r="G939" s="2"/>
      <c r="H939" s="2"/>
      <c r="I939" s="2"/>
      <c r="J939" s="2"/>
      <c r="K939" s="2"/>
      <c r="L939" s="2"/>
      <c r="M939" s="2"/>
      <c r="N939" s="2"/>
      <c r="O939" s="2"/>
      <c r="P939" s="2"/>
      <c r="Q939" s="2"/>
    </row>
    <row r="940" ht="15.75" customHeight="1">
      <c r="B940" s="2"/>
      <c r="C940" s="2"/>
      <c r="D940" s="2"/>
      <c r="E940" s="464"/>
      <c r="F940" s="2"/>
      <c r="G940" s="2"/>
      <c r="H940" s="2"/>
      <c r="I940" s="2"/>
      <c r="J940" s="2"/>
      <c r="K940" s="2"/>
      <c r="L940" s="2"/>
      <c r="M940" s="2"/>
      <c r="N940" s="2"/>
      <c r="O940" s="2"/>
      <c r="P940" s="2"/>
      <c r="Q940" s="2"/>
    </row>
    <row r="941" ht="15.75" customHeight="1">
      <c r="B941" s="2"/>
      <c r="C941" s="2"/>
      <c r="D941" s="2"/>
      <c r="E941" s="464"/>
      <c r="F941" s="2"/>
      <c r="G941" s="2"/>
      <c r="H941" s="2"/>
      <c r="I941" s="2"/>
      <c r="J941" s="2"/>
      <c r="K941" s="2"/>
      <c r="L941" s="2"/>
      <c r="M941" s="2"/>
      <c r="N941" s="2"/>
      <c r="O941" s="2"/>
      <c r="P941" s="2"/>
      <c r="Q941" s="2"/>
    </row>
    <row r="942" ht="15.75" customHeight="1">
      <c r="B942" s="2"/>
      <c r="C942" s="2"/>
      <c r="D942" s="2"/>
      <c r="E942" s="464"/>
      <c r="F942" s="2"/>
      <c r="G942" s="2"/>
      <c r="H942" s="2"/>
      <c r="I942" s="2"/>
      <c r="J942" s="2"/>
      <c r="K942" s="2"/>
      <c r="L942" s="2"/>
      <c r="M942" s="2"/>
      <c r="N942" s="2"/>
      <c r="O942" s="2"/>
      <c r="P942" s="2"/>
      <c r="Q942" s="2"/>
    </row>
    <row r="943" ht="15.75" customHeight="1">
      <c r="B943" s="2"/>
      <c r="C943" s="2"/>
      <c r="D943" s="2"/>
      <c r="E943" s="464"/>
      <c r="F943" s="2"/>
      <c r="G943" s="2"/>
      <c r="H943" s="2"/>
      <c r="I943" s="2"/>
      <c r="J943" s="2"/>
      <c r="K943" s="2"/>
      <c r="L943" s="2"/>
      <c r="M943" s="2"/>
      <c r="N943" s="2"/>
      <c r="O943" s="2"/>
      <c r="P943" s="2"/>
      <c r="Q943" s="2"/>
    </row>
    <row r="944" ht="15.75" customHeight="1">
      <c r="B944" s="2"/>
      <c r="C944" s="2"/>
      <c r="D944" s="2"/>
      <c r="E944" s="464"/>
      <c r="F944" s="2"/>
      <c r="G944" s="2"/>
      <c r="H944" s="2"/>
      <c r="I944" s="2"/>
      <c r="J944" s="2"/>
      <c r="K944" s="2"/>
      <c r="L944" s="2"/>
      <c r="M944" s="2"/>
      <c r="N944" s="2"/>
      <c r="O944" s="2"/>
      <c r="P944" s="2"/>
      <c r="Q944" s="2"/>
    </row>
    <row r="945" ht="15.75" customHeight="1">
      <c r="B945" s="2"/>
      <c r="C945" s="2"/>
      <c r="D945" s="2"/>
      <c r="E945" s="464"/>
      <c r="F945" s="2"/>
      <c r="G945" s="2"/>
      <c r="H945" s="2"/>
      <c r="I945" s="2"/>
      <c r="J945" s="2"/>
      <c r="K945" s="2"/>
      <c r="L945" s="2"/>
      <c r="M945" s="2"/>
      <c r="N945" s="2"/>
      <c r="O945" s="2"/>
      <c r="P945" s="2"/>
      <c r="Q945" s="2"/>
    </row>
    <row r="946" ht="15.75" customHeight="1">
      <c r="B946" s="2"/>
      <c r="C946" s="2"/>
      <c r="D946" s="2"/>
      <c r="E946" s="464"/>
      <c r="F946" s="2"/>
      <c r="G946" s="2"/>
      <c r="H946" s="2"/>
      <c r="I946" s="2"/>
      <c r="J946" s="2"/>
      <c r="K946" s="2"/>
      <c r="L946" s="2"/>
      <c r="M946" s="2"/>
      <c r="N946" s="2"/>
      <c r="O946" s="2"/>
      <c r="P946" s="2"/>
      <c r="Q946" s="2"/>
    </row>
    <row r="947" ht="15.75" customHeight="1">
      <c r="B947" s="2"/>
      <c r="C947" s="2"/>
      <c r="D947" s="2"/>
      <c r="E947" s="464"/>
      <c r="F947" s="2"/>
      <c r="G947" s="2"/>
      <c r="H947" s="2"/>
      <c r="I947" s="2"/>
      <c r="J947" s="2"/>
      <c r="K947" s="2"/>
      <c r="L947" s="2"/>
      <c r="M947" s="2"/>
      <c r="N947" s="2"/>
      <c r="O947" s="2"/>
      <c r="P947" s="2"/>
      <c r="Q947" s="2"/>
    </row>
    <row r="948" ht="15.75" customHeight="1">
      <c r="B948" s="2"/>
      <c r="C948" s="2"/>
      <c r="D948" s="2"/>
      <c r="E948" s="464"/>
      <c r="F948" s="2"/>
      <c r="G948" s="2"/>
      <c r="H948" s="2"/>
      <c r="I948" s="2"/>
      <c r="J948" s="2"/>
      <c r="K948" s="2"/>
      <c r="L948" s="2"/>
      <c r="M948" s="2"/>
      <c r="N948" s="2"/>
      <c r="O948" s="2"/>
      <c r="P948" s="2"/>
      <c r="Q948" s="2"/>
    </row>
    <row r="949" ht="15.75" customHeight="1">
      <c r="B949" s="2"/>
      <c r="C949" s="2"/>
      <c r="D949" s="2"/>
      <c r="E949" s="464"/>
      <c r="F949" s="2"/>
      <c r="G949" s="2"/>
      <c r="H949" s="2"/>
      <c r="I949" s="2"/>
      <c r="J949" s="2"/>
      <c r="K949" s="2"/>
      <c r="L949" s="2"/>
      <c r="M949" s="2"/>
      <c r="N949" s="2"/>
      <c r="O949" s="2"/>
      <c r="P949" s="2"/>
      <c r="Q949" s="2"/>
    </row>
    <row r="950" ht="15.75" customHeight="1">
      <c r="B950" s="2"/>
      <c r="C950" s="2"/>
      <c r="D950" s="2"/>
      <c r="E950" s="464"/>
      <c r="F950" s="2"/>
      <c r="G950" s="2"/>
      <c r="H950" s="2"/>
      <c r="I950" s="2"/>
      <c r="J950" s="2"/>
      <c r="K950" s="2"/>
      <c r="L950" s="2"/>
      <c r="M950" s="2"/>
      <c r="N950" s="2"/>
      <c r="O950" s="2"/>
      <c r="P950" s="2"/>
      <c r="Q950" s="2"/>
    </row>
    <row r="951" ht="15.75" customHeight="1">
      <c r="B951" s="2"/>
      <c r="C951" s="2"/>
      <c r="D951" s="2"/>
      <c r="E951" s="464"/>
      <c r="F951" s="2"/>
      <c r="G951" s="2"/>
      <c r="H951" s="2"/>
      <c r="I951" s="2"/>
      <c r="J951" s="2"/>
      <c r="K951" s="2"/>
      <c r="L951" s="2"/>
      <c r="M951" s="2"/>
      <c r="N951" s="2"/>
      <c r="O951" s="2"/>
      <c r="P951" s="2"/>
      <c r="Q951" s="2"/>
    </row>
    <row r="952" ht="15.75" customHeight="1">
      <c r="B952" s="2"/>
      <c r="C952" s="2"/>
      <c r="D952" s="2"/>
      <c r="E952" s="464"/>
      <c r="F952" s="2"/>
      <c r="G952" s="2"/>
      <c r="H952" s="2"/>
      <c r="I952" s="2"/>
      <c r="J952" s="2"/>
      <c r="K952" s="2"/>
      <c r="L952" s="2"/>
      <c r="M952" s="2"/>
      <c r="N952" s="2"/>
      <c r="O952" s="2"/>
      <c r="P952" s="2"/>
      <c r="Q952" s="2"/>
    </row>
    <row r="953" ht="15.75" customHeight="1">
      <c r="B953" s="2"/>
      <c r="C953" s="2"/>
      <c r="D953" s="2"/>
      <c r="E953" s="464"/>
      <c r="F953" s="2"/>
      <c r="G953" s="2"/>
      <c r="H953" s="2"/>
      <c r="I953" s="2"/>
      <c r="J953" s="2"/>
      <c r="K953" s="2"/>
      <c r="L953" s="2"/>
      <c r="M953" s="2"/>
      <c r="N953" s="2"/>
      <c r="O953" s="2"/>
      <c r="P953" s="2"/>
      <c r="Q953" s="2"/>
    </row>
    <row r="954" ht="15.75" customHeight="1">
      <c r="B954" s="2"/>
      <c r="C954" s="2"/>
      <c r="D954" s="2"/>
      <c r="E954" s="464"/>
      <c r="F954" s="2"/>
      <c r="G954" s="2"/>
      <c r="H954" s="2"/>
      <c r="I954" s="2"/>
      <c r="J954" s="2"/>
      <c r="K954" s="2"/>
      <c r="L954" s="2"/>
      <c r="M954" s="2"/>
      <c r="N954" s="2"/>
      <c r="O954" s="2"/>
      <c r="P954" s="2"/>
      <c r="Q954" s="2"/>
    </row>
    <row r="955" ht="15.75" customHeight="1">
      <c r="B955" s="2"/>
      <c r="C955" s="2"/>
      <c r="D955" s="2"/>
      <c r="E955" s="464"/>
      <c r="F955" s="2"/>
      <c r="G955" s="2"/>
      <c r="H955" s="2"/>
      <c r="I955" s="2"/>
      <c r="J955" s="2"/>
      <c r="K955" s="2"/>
      <c r="L955" s="2"/>
      <c r="M955" s="2"/>
      <c r="N955" s="2"/>
      <c r="O955" s="2"/>
      <c r="P955" s="2"/>
      <c r="Q955" s="2"/>
    </row>
    <row r="956" ht="15.75" customHeight="1">
      <c r="B956" s="2"/>
      <c r="C956" s="2"/>
      <c r="D956" s="2"/>
      <c r="E956" s="464"/>
      <c r="F956" s="2"/>
      <c r="G956" s="2"/>
      <c r="H956" s="2"/>
      <c r="I956" s="2"/>
      <c r="J956" s="2"/>
      <c r="K956" s="2"/>
      <c r="L956" s="2"/>
      <c r="M956" s="2"/>
      <c r="N956" s="2"/>
      <c r="O956" s="2"/>
      <c r="P956" s="2"/>
      <c r="Q956" s="2"/>
    </row>
    <row r="957" ht="15.75" customHeight="1">
      <c r="B957" s="2"/>
      <c r="C957" s="2"/>
      <c r="D957" s="2"/>
      <c r="E957" s="464"/>
      <c r="F957" s="2"/>
      <c r="G957" s="2"/>
      <c r="H957" s="2"/>
      <c r="I957" s="2"/>
      <c r="J957" s="2"/>
      <c r="K957" s="2"/>
      <c r="L957" s="2"/>
      <c r="M957" s="2"/>
      <c r="N957" s="2"/>
      <c r="O957" s="2"/>
      <c r="P957" s="2"/>
      <c r="Q957" s="2"/>
    </row>
    <row r="958" ht="15.75" customHeight="1">
      <c r="B958" s="2"/>
      <c r="C958" s="2"/>
      <c r="D958" s="2"/>
      <c r="E958" s="464"/>
      <c r="F958" s="2"/>
      <c r="G958" s="2"/>
      <c r="H958" s="2"/>
      <c r="I958" s="2"/>
      <c r="J958" s="2"/>
      <c r="K958" s="2"/>
      <c r="L958" s="2"/>
      <c r="M958" s="2"/>
      <c r="N958" s="2"/>
      <c r="O958" s="2"/>
      <c r="P958" s="2"/>
      <c r="Q958" s="2"/>
    </row>
    <row r="959" ht="15.75" customHeight="1">
      <c r="B959" s="2"/>
      <c r="C959" s="2"/>
      <c r="D959" s="2"/>
      <c r="E959" s="464"/>
      <c r="F959" s="2"/>
      <c r="G959" s="2"/>
      <c r="H959" s="2"/>
      <c r="I959" s="2"/>
      <c r="J959" s="2"/>
      <c r="K959" s="2"/>
      <c r="L959" s="2"/>
      <c r="M959" s="2"/>
      <c r="N959" s="2"/>
      <c r="O959" s="2"/>
      <c r="P959" s="2"/>
      <c r="Q959" s="2"/>
    </row>
    <row r="960" ht="15.75" customHeight="1">
      <c r="B960" s="2"/>
      <c r="C960" s="2"/>
      <c r="D960" s="2"/>
      <c r="E960" s="464"/>
      <c r="F960" s="2"/>
      <c r="G960" s="2"/>
      <c r="H960" s="2"/>
      <c r="I960" s="2"/>
      <c r="J960" s="2"/>
      <c r="K960" s="2"/>
      <c r="L960" s="2"/>
      <c r="M960" s="2"/>
      <c r="N960" s="2"/>
      <c r="O960" s="2"/>
      <c r="P960" s="2"/>
      <c r="Q960" s="2"/>
    </row>
    <row r="961" ht="15.75" customHeight="1">
      <c r="B961" s="2"/>
      <c r="C961" s="2"/>
      <c r="D961" s="2"/>
      <c r="E961" s="464"/>
      <c r="F961" s="2"/>
      <c r="G961" s="2"/>
      <c r="H961" s="2"/>
      <c r="I961" s="2"/>
      <c r="J961" s="2"/>
      <c r="K961" s="2"/>
      <c r="L961" s="2"/>
      <c r="M961" s="2"/>
      <c r="N961" s="2"/>
      <c r="O961" s="2"/>
      <c r="P961" s="2"/>
      <c r="Q961" s="2"/>
    </row>
    <row r="962" ht="15.75" customHeight="1">
      <c r="B962" s="2"/>
      <c r="C962" s="2"/>
      <c r="D962" s="2"/>
      <c r="E962" s="464"/>
      <c r="F962" s="2"/>
      <c r="G962" s="2"/>
      <c r="H962" s="2"/>
      <c r="I962" s="2"/>
      <c r="J962" s="2"/>
      <c r="K962" s="2"/>
      <c r="L962" s="2"/>
      <c r="M962" s="2"/>
      <c r="N962" s="2"/>
      <c r="O962" s="2"/>
      <c r="P962" s="2"/>
      <c r="Q962" s="2"/>
    </row>
    <row r="963" ht="15.75" customHeight="1">
      <c r="B963" s="2"/>
      <c r="C963" s="2"/>
      <c r="D963" s="2"/>
      <c r="E963" s="464"/>
      <c r="F963" s="2"/>
      <c r="G963" s="2"/>
      <c r="H963" s="2"/>
      <c r="I963" s="2"/>
      <c r="J963" s="2"/>
      <c r="K963" s="2"/>
      <c r="L963" s="2"/>
      <c r="M963" s="2"/>
      <c r="N963" s="2"/>
      <c r="O963" s="2"/>
      <c r="P963" s="2"/>
      <c r="Q963" s="2"/>
    </row>
    <row r="964" ht="15.75" customHeight="1">
      <c r="B964" s="2"/>
      <c r="C964" s="2"/>
      <c r="D964" s="2"/>
      <c r="E964" s="464"/>
      <c r="F964" s="2"/>
      <c r="G964" s="2"/>
      <c r="H964" s="2"/>
      <c r="I964" s="2"/>
      <c r="J964" s="2"/>
      <c r="K964" s="2"/>
      <c r="L964" s="2"/>
      <c r="M964" s="2"/>
      <c r="N964" s="2"/>
      <c r="O964" s="2"/>
      <c r="P964" s="2"/>
      <c r="Q964" s="2"/>
    </row>
    <row r="965" ht="15.75" customHeight="1">
      <c r="B965" s="2"/>
      <c r="C965" s="2"/>
      <c r="D965" s="2"/>
      <c r="E965" s="464"/>
      <c r="F965" s="2"/>
      <c r="G965" s="2"/>
      <c r="H965" s="2"/>
      <c r="I965" s="2"/>
      <c r="J965" s="2"/>
      <c r="K965" s="2"/>
      <c r="L965" s="2"/>
      <c r="M965" s="2"/>
      <c r="N965" s="2"/>
      <c r="O965" s="2"/>
      <c r="P965" s="2"/>
      <c r="Q965" s="2"/>
    </row>
    <row r="966" ht="15.75" customHeight="1">
      <c r="B966" s="2"/>
      <c r="C966" s="2"/>
      <c r="D966" s="2"/>
      <c r="E966" s="464"/>
      <c r="F966" s="2"/>
      <c r="G966" s="2"/>
      <c r="H966" s="2"/>
      <c r="I966" s="2"/>
      <c r="J966" s="2"/>
      <c r="K966" s="2"/>
      <c r="L966" s="2"/>
      <c r="M966" s="2"/>
      <c r="N966" s="2"/>
      <c r="O966" s="2"/>
      <c r="P966" s="2"/>
      <c r="Q966" s="2"/>
    </row>
    <row r="967" ht="15.75" customHeight="1">
      <c r="B967" s="2"/>
      <c r="C967" s="2"/>
      <c r="D967" s="2"/>
      <c r="E967" s="464"/>
      <c r="F967" s="2"/>
      <c r="G967" s="2"/>
      <c r="H967" s="2"/>
      <c r="I967" s="2"/>
      <c r="J967" s="2"/>
      <c r="K967" s="2"/>
      <c r="L967" s="2"/>
      <c r="M967" s="2"/>
      <c r="N967" s="2"/>
      <c r="O967" s="2"/>
      <c r="P967" s="2"/>
      <c r="Q967" s="2"/>
    </row>
    <row r="968" ht="15.75" customHeight="1">
      <c r="B968" s="2"/>
      <c r="C968" s="2"/>
      <c r="D968" s="2"/>
      <c r="E968" s="464"/>
      <c r="F968" s="2"/>
      <c r="G968" s="2"/>
      <c r="H968" s="2"/>
      <c r="I968" s="2"/>
      <c r="J968" s="2"/>
      <c r="K968" s="2"/>
      <c r="L968" s="2"/>
      <c r="M968" s="2"/>
      <c r="N968" s="2"/>
      <c r="O968" s="2"/>
      <c r="P968" s="2"/>
      <c r="Q968" s="2"/>
    </row>
    <row r="969" ht="15.75" customHeight="1">
      <c r="B969" s="2"/>
      <c r="C969" s="2"/>
      <c r="D969" s="2"/>
      <c r="E969" s="464"/>
      <c r="F969" s="2"/>
      <c r="G969" s="2"/>
      <c r="H969" s="2"/>
      <c r="I969" s="2"/>
      <c r="J969" s="2"/>
      <c r="K969" s="2"/>
      <c r="L969" s="2"/>
      <c r="M969" s="2"/>
      <c r="N969" s="2"/>
      <c r="O969" s="2"/>
      <c r="P969" s="2"/>
      <c r="Q969" s="2"/>
    </row>
    <row r="970" ht="15.75" customHeight="1">
      <c r="B970" s="2"/>
      <c r="C970" s="2"/>
      <c r="D970" s="2"/>
      <c r="E970" s="464"/>
      <c r="F970" s="2"/>
      <c r="G970" s="2"/>
      <c r="H970" s="2"/>
      <c r="I970" s="2"/>
      <c r="J970" s="2"/>
      <c r="K970" s="2"/>
      <c r="L970" s="2"/>
      <c r="M970" s="2"/>
      <c r="N970" s="2"/>
      <c r="O970" s="2"/>
      <c r="P970" s="2"/>
      <c r="Q970" s="2"/>
    </row>
    <row r="971" ht="15.75" customHeight="1">
      <c r="B971" s="2"/>
      <c r="C971" s="2"/>
      <c r="D971" s="2"/>
      <c r="E971" s="464"/>
      <c r="F971" s="2"/>
      <c r="G971" s="2"/>
      <c r="H971" s="2"/>
      <c r="I971" s="2"/>
      <c r="J971" s="2"/>
      <c r="K971" s="2"/>
      <c r="L971" s="2"/>
      <c r="M971" s="2"/>
      <c r="N971" s="2"/>
      <c r="O971" s="2"/>
      <c r="P971" s="2"/>
      <c r="Q971" s="2"/>
    </row>
    <row r="972" ht="15.75" customHeight="1">
      <c r="B972" s="2"/>
      <c r="C972" s="2"/>
      <c r="D972" s="2"/>
      <c r="E972" s="464"/>
      <c r="F972" s="2"/>
      <c r="G972" s="2"/>
      <c r="H972" s="2"/>
      <c r="I972" s="2"/>
      <c r="J972" s="2"/>
      <c r="K972" s="2"/>
      <c r="L972" s="2"/>
      <c r="M972" s="2"/>
      <c r="N972" s="2"/>
      <c r="O972" s="2"/>
      <c r="P972" s="2"/>
      <c r="Q972" s="2"/>
    </row>
    <row r="973" ht="15.75" customHeight="1">
      <c r="B973" s="2"/>
      <c r="C973" s="2"/>
      <c r="D973" s="2"/>
      <c r="E973" s="464"/>
      <c r="F973" s="2"/>
      <c r="G973" s="2"/>
      <c r="H973" s="2"/>
      <c r="I973" s="2"/>
      <c r="J973" s="2"/>
      <c r="K973" s="2"/>
      <c r="L973" s="2"/>
      <c r="M973" s="2"/>
      <c r="N973" s="2"/>
      <c r="O973" s="2"/>
      <c r="P973" s="2"/>
      <c r="Q973" s="2"/>
    </row>
    <row r="974" ht="15.75" customHeight="1">
      <c r="B974" s="2"/>
      <c r="C974" s="2"/>
      <c r="D974" s="2"/>
      <c r="E974" s="464"/>
      <c r="F974" s="2"/>
      <c r="G974" s="2"/>
      <c r="H974" s="2"/>
      <c r="I974" s="2"/>
      <c r="J974" s="2"/>
      <c r="K974" s="2"/>
      <c r="L974" s="2"/>
      <c r="M974" s="2"/>
      <c r="N974" s="2"/>
      <c r="O974" s="2"/>
      <c r="P974" s="2"/>
      <c r="Q974" s="2"/>
    </row>
    <row r="975" ht="15.75" customHeight="1">
      <c r="B975" s="2"/>
      <c r="C975" s="2"/>
      <c r="D975" s="2"/>
      <c r="E975" s="464"/>
      <c r="F975" s="2"/>
      <c r="G975" s="2"/>
      <c r="H975" s="2"/>
      <c r="I975" s="2"/>
      <c r="J975" s="2"/>
      <c r="K975" s="2"/>
      <c r="L975" s="2"/>
      <c r="M975" s="2"/>
      <c r="N975" s="2"/>
      <c r="O975" s="2"/>
      <c r="P975" s="2"/>
      <c r="Q975" s="2"/>
    </row>
    <row r="976" ht="15.75" customHeight="1">
      <c r="B976" s="2"/>
      <c r="C976" s="2"/>
      <c r="D976" s="2"/>
      <c r="E976" s="464"/>
      <c r="F976" s="2"/>
      <c r="G976" s="2"/>
      <c r="H976" s="2"/>
      <c r="I976" s="2"/>
      <c r="J976" s="2"/>
      <c r="K976" s="2"/>
      <c r="L976" s="2"/>
      <c r="M976" s="2"/>
      <c r="N976" s="2"/>
      <c r="O976" s="2"/>
      <c r="P976" s="2"/>
      <c r="Q976" s="2"/>
    </row>
    <row r="977" ht="15.75" customHeight="1">
      <c r="B977" s="2"/>
      <c r="C977" s="2"/>
      <c r="D977" s="2"/>
      <c r="E977" s="464"/>
      <c r="F977" s="2"/>
      <c r="G977" s="2"/>
      <c r="H977" s="2"/>
      <c r="I977" s="2"/>
      <c r="J977" s="2"/>
      <c r="K977" s="2"/>
      <c r="L977" s="2"/>
      <c r="M977" s="2"/>
      <c r="N977" s="2"/>
      <c r="O977" s="2"/>
      <c r="P977" s="2"/>
      <c r="Q977" s="2"/>
    </row>
    <row r="978" ht="15.75" customHeight="1">
      <c r="B978" s="2"/>
      <c r="C978" s="2"/>
      <c r="D978" s="2"/>
      <c r="E978" s="464"/>
      <c r="F978" s="2"/>
      <c r="G978" s="2"/>
      <c r="H978" s="2"/>
      <c r="I978" s="2"/>
      <c r="J978" s="2"/>
      <c r="K978" s="2"/>
      <c r="L978" s="2"/>
      <c r="M978" s="2"/>
      <c r="N978" s="2"/>
      <c r="O978" s="2"/>
      <c r="P978" s="2"/>
      <c r="Q978" s="2"/>
    </row>
    <row r="979" ht="15.75" customHeight="1">
      <c r="B979" s="2"/>
      <c r="C979" s="2"/>
      <c r="D979" s="2"/>
      <c r="E979" s="464"/>
      <c r="F979" s="2"/>
      <c r="G979" s="2"/>
      <c r="H979" s="2"/>
      <c r="I979" s="2"/>
      <c r="J979" s="2"/>
      <c r="K979" s="2"/>
      <c r="L979" s="2"/>
      <c r="M979" s="2"/>
      <c r="N979" s="2"/>
      <c r="O979" s="2"/>
      <c r="P979" s="2"/>
      <c r="Q979" s="2"/>
    </row>
    <row r="980" ht="15.75" customHeight="1">
      <c r="B980" s="2"/>
      <c r="C980" s="2"/>
      <c r="D980" s="2"/>
      <c r="E980" s="464"/>
      <c r="F980" s="2"/>
      <c r="G980" s="2"/>
      <c r="H980" s="2"/>
      <c r="I980" s="2"/>
      <c r="J980" s="2"/>
      <c r="K980" s="2"/>
      <c r="L980" s="2"/>
      <c r="M980" s="2"/>
      <c r="N980" s="2"/>
      <c r="O980" s="2"/>
      <c r="P980" s="2"/>
      <c r="Q980" s="2"/>
    </row>
    <row r="981" ht="15.75" customHeight="1">
      <c r="B981" s="2"/>
      <c r="C981" s="2"/>
      <c r="D981" s="2"/>
      <c r="E981" s="464"/>
      <c r="F981" s="2"/>
      <c r="G981" s="2"/>
      <c r="H981" s="2"/>
      <c r="I981" s="2"/>
      <c r="J981" s="2"/>
      <c r="K981" s="2"/>
      <c r="L981" s="2"/>
      <c r="M981" s="2"/>
      <c r="N981" s="2"/>
      <c r="O981" s="2"/>
      <c r="P981" s="2"/>
      <c r="Q981" s="2"/>
    </row>
    <row r="982" ht="15.75" customHeight="1">
      <c r="B982" s="2"/>
      <c r="C982" s="2"/>
      <c r="D982" s="2"/>
      <c r="E982" s="464"/>
      <c r="F982" s="2"/>
      <c r="G982" s="2"/>
      <c r="H982" s="2"/>
      <c r="I982" s="2"/>
      <c r="J982" s="2"/>
      <c r="K982" s="2"/>
      <c r="L982" s="2"/>
      <c r="M982" s="2"/>
      <c r="N982" s="2"/>
      <c r="O982" s="2"/>
      <c r="P982" s="2"/>
      <c r="Q982" s="2"/>
    </row>
    <row r="983" ht="15.75" customHeight="1">
      <c r="B983" s="2"/>
      <c r="C983" s="2"/>
      <c r="D983" s="2"/>
      <c r="E983" s="464"/>
      <c r="F983" s="2"/>
      <c r="G983" s="2"/>
      <c r="H983" s="2"/>
      <c r="I983" s="2"/>
      <c r="J983" s="2"/>
      <c r="K983" s="2"/>
      <c r="L983" s="2"/>
      <c r="M983" s="2"/>
      <c r="N983" s="2"/>
      <c r="O983" s="2"/>
      <c r="P983" s="2"/>
      <c r="Q983" s="2"/>
    </row>
    <row r="984" ht="15.75" customHeight="1">
      <c r="B984" s="2"/>
      <c r="C984" s="2"/>
      <c r="D984" s="2"/>
      <c r="E984" s="464"/>
      <c r="F984" s="2"/>
      <c r="G984" s="2"/>
      <c r="H984" s="2"/>
      <c r="I984" s="2"/>
      <c r="J984" s="2"/>
      <c r="K984" s="2"/>
      <c r="L984" s="2"/>
      <c r="M984" s="2"/>
      <c r="N984" s="2"/>
      <c r="O984" s="2"/>
      <c r="P984" s="2"/>
      <c r="Q984" s="2"/>
    </row>
    <row r="985" ht="15.75" customHeight="1">
      <c r="B985" s="2"/>
      <c r="C985" s="2"/>
      <c r="D985" s="2"/>
      <c r="E985" s="464"/>
      <c r="F985" s="2"/>
      <c r="G985" s="2"/>
      <c r="H985" s="2"/>
      <c r="I985" s="2"/>
      <c r="J985" s="2"/>
      <c r="K985" s="2"/>
      <c r="L985" s="2"/>
      <c r="M985" s="2"/>
      <c r="N985" s="2"/>
      <c r="O985" s="2"/>
      <c r="P985" s="2"/>
      <c r="Q985" s="2"/>
    </row>
    <row r="986" ht="15.75" customHeight="1">
      <c r="B986" s="2"/>
      <c r="C986" s="2"/>
      <c r="D986" s="2"/>
      <c r="E986" s="464"/>
      <c r="F986" s="2"/>
      <c r="G986" s="2"/>
      <c r="H986" s="2"/>
      <c r="I986" s="2"/>
      <c r="J986" s="2"/>
      <c r="K986" s="2"/>
      <c r="L986" s="2"/>
      <c r="M986" s="2"/>
      <c r="N986" s="2"/>
      <c r="O986" s="2"/>
      <c r="P986" s="2"/>
      <c r="Q986" s="2"/>
    </row>
    <row r="987" ht="15.75" customHeight="1">
      <c r="B987" s="2"/>
      <c r="C987" s="2"/>
      <c r="D987" s="2"/>
      <c r="E987" s="464"/>
      <c r="F987" s="2"/>
      <c r="G987" s="2"/>
      <c r="H987" s="2"/>
      <c r="I987" s="2"/>
      <c r="J987" s="2"/>
      <c r="K987" s="2"/>
      <c r="L987" s="2"/>
      <c r="M987" s="2"/>
      <c r="N987" s="2"/>
      <c r="O987" s="2"/>
      <c r="P987" s="2"/>
      <c r="Q987" s="2"/>
    </row>
    <row r="988" ht="15.75" customHeight="1">
      <c r="B988" s="2"/>
      <c r="C988" s="2"/>
      <c r="D988" s="2"/>
      <c r="E988" s="464"/>
      <c r="F988" s="2"/>
      <c r="G988" s="2"/>
      <c r="H988" s="2"/>
      <c r="I988" s="2"/>
      <c r="J988" s="2"/>
      <c r="K988" s="2"/>
      <c r="L988" s="2"/>
      <c r="M988" s="2"/>
      <c r="N988" s="2"/>
      <c r="O988" s="2"/>
      <c r="P988" s="2"/>
      <c r="Q988" s="2"/>
    </row>
    <row r="989" ht="15.75" customHeight="1">
      <c r="B989" s="2"/>
      <c r="C989" s="2"/>
      <c r="D989" s="2"/>
      <c r="E989" s="464"/>
      <c r="F989" s="2"/>
      <c r="G989" s="2"/>
      <c r="H989" s="2"/>
      <c r="I989" s="2"/>
      <c r="J989" s="2"/>
      <c r="K989" s="2"/>
      <c r="L989" s="2"/>
      <c r="M989" s="2"/>
      <c r="N989" s="2"/>
      <c r="O989" s="2"/>
      <c r="P989" s="2"/>
      <c r="Q989" s="2"/>
    </row>
    <row r="990" ht="15.75" customHeight="1">
      <c r="B990" s="2"/>
      <c r="C990" s="2"/>
      <c r="D990" s="2"/>
      <c r="E990" s="464"/>
      <c r="F990" s="2"/>
      <c r="G990" s="2"/>
      <c r="H990" s="2"/>
      <c r="I990" s="2"/>
      <c r="J990" s="2"/>
      <c r="K990" s="2"/>
      <c r="L990" s="2"/>
      <c r="M990" s="2"/>
      <c r="N990" s="2"/>
      <c r="O990" s="2"/>
      <c r="P990" s="2"/>
      <c r="Q990" s="2"/>
    </row>
    <row r="991" ht="15.75" customHeight="1">
      <c r="B991" s="2"/>
      <c r="C991" s="2"/>
      <c r="D991" s="2"/>
      <c r="E991" s="464"/>
      <c r="F991" s="2"/>
      <c r="G991" s="2"/>
      <c r="H991" s="2"/>
      <c r="I991" s="2"/>
      <c r="J991" s="2"/>
      <c r="K991" s="2"/>
      <c r="L991" s="2"/>
      <c r="M991" s="2"/>
      <c r="N991" s="2"/>
      <c r="O991" s="2"/>
      <c r="P991" s="2"/>
      <c r="Q991" s="2"/>
    </row>
    <row r="992" ht="15.75" customHeight="1">
      <c r="B992" s="2"/>
      <c r="C992" s="2"/>
      <c r="D992" s="2"/>
      <c r="E992" s="464"/>
      <c r="F992" s="2"/>
      <c r="G992" s="2"/>
      <c r="H992" s="2"/>
      <c r="I992" s="2"/>
      <c r="J992" s="2"/>
      <c r="K992" s="2"/>
      <c r="L992" s="2"/>
      <c r="M992" s="2"/>
      <c r="N992" s="2"/>
      <c r="O992" s="2"/>
      <c r="P992" s="2"/>
      <c r="Q992" s="2"/>
    </row>
    <row r="993" ht="15.75" customHeight="1">
      <c r="B993" s="2"/>
      <c r="C993" s="2"/>
      <c r="D993" s="2"/>
      <c r="E993" s="464"/>
      <c r="F993" s="2"/>
      <c r="G993" s="2"/>
      <c r="H993" s="2"/>
      <c r="I993" s="2"/>
      <c r="J993" s="2"/>
      <c r="K993" s="2"/>
      <c r="L993" s="2"/>
      <c r="M993" s="2"/>
      <c r="N993" s="2"/>
      <c r="O993" s="2"/>
      <c r="P993" s="2"/>
      <c r="Q993" s="2"/>
    </row>
    <row r="994" ht="15.75" customHeight="1">
      <c r="B994" s="2"/>
      <c r="C994" s="2"/>
      <c r="D994" s="2"/>
      <c r="E994" s="464"/>
      <c r="F994" s="2"/>
      <c r="G994" s="2"/>
      <c r="H994" s="2"/>
      <c r="I994" s="2"/>
      <c r="J994" s="2"/>
      <c r="K994" s="2"/>
      <c r="L994" s="2"/>
      <c r="M994" s="2"/>
      <c r="N994" s="2"/>
      <c r="O994" s="2"/>
      <c r="P994" s="2"/>
      <c r="Q994" s="2"/>
    </row>
    <row r="995" ht="15.75" customHeight="1">
      <c r="B995" s="2"/>
      <c r="C995" s="2"/>
      <c r="D995" s="2"/>
      <c r="E995" s="464"/>
      <c r="F995" s="2"/>
      <c r="G995" s="2"/>
      <c r="H995" s="2"/>
      <c r="I995" s="2"/>
      <c r="J995" s="2"/>
      <c r="K995" s="2"/>
      <c r="L995" s="2"/>
      <c r="M995" s="2"/>
      <c r="N995" s="2"/>
      <c r="O995" s="2"/>
      <c r="P995" s="2"/>
      <c r="Q995" s="2"/>
    </row>
    <row r="996" ht="15.75" customHeight="1">
      <c r="B996" s="2"/>
      <c r="C996" s="2"/>
      <c r="D996" s="2"/>
      <c r="E996" s="464"/>
      <c r="F996" s="2"/>
      <c r="G996" s="2"/>
      <c r="H996" s="2"/>
      <c r="I996" s="2"/>
      <c r="J996" s="2"/>
      <c r="K996" s="2"/>
      <c r="L996" s="2"/>
      <c r="M996" s="2"/>
      <c r="N996" s="2"/>
      <c r="O996" s="2"/>
      <c r="P996" s="2"/>
      <c r="Q996" s="2"/>
    </row>
    <row r="997" ht="15.75" customHeight="1">
      <c r="B997" s="2"/>
      <c r="C997" s="2"/>
      <c r="D997" s="2"/>
      <c r="E997" s="464"/>
      <c r="F997" s="2"/>
      <c r="G997" s="2"/>
      <c r="H997" s="2"/>
      <c r="I997" s="2"/>
      <c r="J997" s="2"/>
      <c r="K997" s="2"/>
      <c r="L997" s="2"/>
      <c r="M997" s="2"/>
      <c r="N997" s="2"/>
      <c r="O997" s="2"/>
      <c r="P997" s="2"/>
      <c r="Q997" s="2"/>
    </row>
    <row r="998" ht="15.75" customHeight="1">
      <c r="B998" s="2"/>
      <c r="C998" s="2"/>
      <c r="D998" s="2"/>
      <c r="E998" s="464"/>
      <c r="F998" s="2"/>
      <c r="G998" s="2"/>
      <c r="H998" s="2"/>
      <c r="I998" s="2"/>
      <c r="J998" s="2"/>
      <c r="K998" s="2"/>
      <c r="L998" s="2"/>
      <c r="M998" s="2"/>
      <c r="N998" s="2"/>
      <c r="O998" s="2"/>
      <c r="P998" s="2"/>
      <c r="Q998" s="2"/>
    </row>
    <row r="999" ht="15.75" customHeight="1">
      <c r="B999" s="2"/>
      <c r="C999" s="2"/>
      <c r="D999" s="2"/>
      <c r="E999" s="464"/>
      <c r="F999" s="2"/>
      <c r="G999" s="2"/>
      <c r="H999" s="2"/>
      <c r="I999" s="2"/>
      <c r="J999" s="2"/>
      <c r="K999" s="2"/>
      <c r="L999" s="2"/>
      <c r="M999" s="2"/>
      <c r="N999" s="2"/>
      <c r="O999" s="2"/>
      <c r="P999" s="2"/>
      <c r="Q999" s="2"/>
    </row>
    <row r="1000" ht="15.75" customHeight="1">
      <c r="B1000" s="2"/>
      <c r="C1000" s="2"/>
      <c r="D1000" s="2"/>
      <c r="E1000" s="464"/>
      <c r="F1000" s="2"/>
      <c r="G1000" s="2"/>
      <c r="H1000" s="2"/>
      <c r="I1000" s="2"/>
      <c r="J1000" s="2"/>
      <c r="K1000" s="2"/>
      <c r="L1000" s="2"/>
      <c r="M1000" s="2"/>
      <c r="N1000" s="2"/>
      <c r="O1000" s="2"/>
      <c r="P1000" s="2"/>
      <c r="Q1000" s="2"/>
    </row>
  </sheetData>
  <mergeCells count="23">
    <mergeCell ref="B1:Q1"/>
    <mergeCell ref="C2:Q2"/>
    <mergeCell ref="K3:M3"/>
    <mergeCell ref="O3:Q3"/>
    <mergeCell ref="L4:M4"/>
    <mergeCell ref="N10:P10"/>
    <mergeCell ref="B11:Q11"/>
    <mergeCell ref="B12:Q12"/>
    <mergeCell ref="C13:E13"/>
    <mergeCell ref="G13:H13"/>
    <mergeCell ref="I13:L13"/>
    <mergeCell ref="G14:H14"/>
    <mergeCell ref="K14:L14"/>
    <mergeCell ref="B15:C15"/>
    <mergeCell ref="J17:L17"/>
    <mergeCell ref="M17:Q17"/>
    <mergeCell ref="E15:F15"/>
    <mergeCell ref="C16:E16"/>
    <mergeCell ref="G16:H16"/>
    <mergeCell ref="I16:L16"/>
    <mergeCell ref="M16:Q16"/>
    <mergeCell ref="C17:E17"/>
    <mergeCell ref="G17:H17"/>
  </mergeCells>
  <printOptions/>
  <pageMargins bottom="0.75" footer="0.0" header="0.0" left="0.7" right="0.7" top="0.75"/>
  <pageSetup paperSize="5" scale="95"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7.0"/>
    <col customWidth="1" min="2" max="2" width="4.71"/>
    <col customWidth="1" min="3" max="3" width="15.71"/>
    <col customWidth="1" min="4" max="4" width="12.71"/>
    <col customWidth="1" min="5" max="5" width="16.71"/>
    <col customWidth="1" min="6" max="6" width="9.29"/>
    <col customWidth="1" min="7" max="7" width="7.86"/>
    <col customWidth="1" min="8" max="8" width="8.71"/>
    <col customWidth="1" min="9" max="9" width="7.57"/>
    <col customWidth="1" min="10" max="10" width="9.0"/>
    <col customWidth="1" min="11" max="11" width="7.29"/>
    <col customWidth="1" min="12" max="12" width="12.43"/>
    <col customWidth="1" min="13" max="13" width="10.57"/>
    <col customWidth="1" min="14" max="14" width="20.29"/>
    <col customWidth="1" min="15" max="15" width="5.29"/>
    <col customWidth="1" min="16" max="16" width="11.43"/>
    <col customWidth="1" min="17" max="17" width="6.14"/>
    <col customWidth="1" min="18" max="26" width="8.71"/>
  </cols>
  <sheetData>
    <row r="1">
      <c r="B1" s="475" t="s">
        <v>14157</v>
      </c>
    </row>
    <row r="2">
      <c r="B2" s="822"/>
      <c r="C2" s="5" t="s">
        <v>1</v>
      </c>
      <c r="D2" s="6"/>
      <c r="E2" s="6"/>
      <c r="F2" s="6"/>
      <c r="G2" s="6"/>
      <c r="H2" s="6"/>
      <c r="I2" s="6"/>
      <c r="J2" s="6"/>
      <c r="K2" s="6"/>
      <c r="L2" s="6"/>
      <c r="M2" s="6"/>
      <c r="N2" s="6"/>
      <c r="O2" s="6"/>
      <c r="P2" s="6"/>
      <c r="Q2" s="7"/>
    </row>
    <row r="3">
      <c r="B3" s="822"/>
      <c r="C3" s="823"/>
      <c r="D3" s="9"/>
      <c r="E3" s="402"/>
      <c r="F3" s="9"/>
      <c r="G3" s="9"/>
      <c r="H3" s="9"/>
      <c r="I3" s="9"/>
      <c r="J3" s="9"/>
      <c r="K3" s="12"/>
      <c r="M3" s="13"/>
      <c r="N3" s="14" t="s">
        <v>3</v>
      </c>
      <c r="O3" s="15" t="s">
        <v>23424</v>
      </c>
      <c r="P3" s="16"/>
      <c r="Q3" s="17"/>
    </row>
    <row r="4">
      <c r="B4" s="822"/>
      <c r="C4" s="824"/>
      <c r="D4" s="9"/>
      <c r="E4" s="402"/>
      <c r="F4" s="9"/>
      <c r="G4" s="9"/>
      <c r="H4" s="458"/>
      <c r="I4" s="9"/>
      <c r="J4" s="9"/>
      <c r="K4" s="9"/>
      <c r="L4" s="825"/>
      <c r="M4" s="407"/>
      <c r="N4" s="9"/>
      <c r="O4" s="9"/>
      <c r="P4" s="9"/>
      <c r="Q4" s="9"/>
    </row>
    <row r="5">
      <c r="B5" s="409" t="s">
        <v>13864</v>
      </c>
      <c r="C5" s="409" t="s">
        <v>13834</v>
      </c>
      <c r="D5" s="409" t="s">
        <v>10</v>
      </c>
      <c r="E5" s="409" t="s">
        <v>11</v>
      </c>
      <c r="F5" s="409" t="s">
        <v>12</v>
      </c>
      <c r="G5" s="409" t="s">
        <v>13</v>
      </c>
      <c r="H5" s="409" t="s">
        <v>14</v>
      </c>
      <c r="I5" s="409" t="s">
        <v>13835</v>
      </c>
      <c r="J5" s="409" t="s">
        <v>13865</v>
      </c>
      <c r="K5" s="409" t="s">
        <v>16</v>
      </c>
      <c r="L5" s="410" t="s">
        <v>13836</v>
      </c>
      <c r="M5" s="410" t="s">
        <v>13837</v>
      </c>
      <c r="N5" s="409" t="s">
        <v>18</v>
      </c>
      <c r="O5" s="409" t="s">
        <v>19</v>
      </c>
      <c r="P5" s="409" t="s">
        <v>20</v>
      </c>
      <c r="Q5" s="409" t="s">
        <v>21</v>
      </c>
      <c r="R5" s="851" t="s">
        <v>22</v>
      </c>
    </row>
    <row r="6">
      <c r="B6" s="433">
        <v>1.0</v>
      </c>
      <c r="C6" s="433" t="s">
        <v>31</v>
      </c>
      <c r="D6" s="433" t="s">
        <v>31</v>
      </c>
      <c r="E6" s="434" t="s">
        <v>23425</v>
      </c>
      <c r="F6" s="433" t="s">
        <v>29</v>
      </c>
      <c r="G6" s="433" t="s">
        <v>47</v>
      </c>
      <c r="H6" s="433" t="s">
        <v>30</v>
      </c>
      <c r="I6" s="433"/>
      <c r="J6" s="433" t="s">
        <v>30</v>
      </c>
      <c r="K6" s="433">
        <v>107.0</v>
      </c>
      <c r="L6" s="433"/>
      <c r="M6" s="433" t="s">
        <v>23426</v>
      </c>
      <c r="N6" s="433" t="s">
        <v>23426</v>
      </c>
      <c r="O6" s="433">
        <v>1983.0</v>
      </c>
      <c r="P6" s="433" t="s">
        <v>11456</v>
      </c>
      <c r="Q6" s="433">
        <v>1.0</v>
      </c>
      <c r="R6" s="435"/>
    </row>
    <row r="7">
      <c r="B7" s="433">
        <v>2.0</v>
      </c>
      <c r="C7" s="433" t="s">
        <v>31</v>
      </c>
      <c r="D7" s="433" t="s">
        <v>31</v>
      </c>
      <c r="E7" s="434" t="s">
        <v>23427</v>
      </c>
      <c r="F7" s="433" t="s">
        <v>29</v>
      </c>
      <c r="G7" s="433" t="s">
        <v>47</v>
      </c>
      <c r="H7" s="433" t="s">
        <v>30</v>
      </c>
      <c r="I7" s="433"/>
      <c r="J7" s="433" t="s">
        <v>30</v>
      </c>
      <c r="K7" s="433">
        <v>179.0</v>
      </c>
      <c r="L7" s="433"/>
      <c r="M7" s="433" t="s">
        <v>23428</v>
      </c>
      <c r="N7" s="433" t="s">
        <v>23429</v>
      </c>
      <c r="O7" s="433">
        <v>2003.0</v>
      </c>
      <c r="P7" s="433" t="s">
        <v>11456</v>
      </c>
      <c r="Q7" s="433">
        <v>1.0</v>
      </c>
      <c r="R7" s="435"/>
    </row>
    <row r="8">
      <c r="B8" s="433">
        <v>3.0</v>
      </c>
      <c r="C8" s="433" t="s">
        <v>23430</v>
      </c>
      <c r="D8" s="433" t="s">
        <v>31</v>
      </c>
      <c r="E8" s="434" t="s">
        <v>23431</v>
      </c>
      <c r="F8" s="433" t="s">
        <v>29</v>
      </c>
      <c r="G8" s="433" t="s">
        <v>47</v>
      </c>
      <c r="H8" s="433" t="s">
        <v>30</v>
      </c>
      <c r="I8" s="433"/>
      <c r="J8" s="433" t="s">
        <v>30</v>
      </c>
      <c r="K8" s="433">
        <v>340.0</v>
      </c>
      <c r="L8" s="433"/>
      <c r="M8" s="433" t="s">
        <v>23432</v>
      </c>
      <c r="N8" s="433" t="s">
        <v>23433</v>
      </c>
      <c r="O8" s="433">
        <v>1991.0</v>
      </c>
      <c r="P8" s="433" t="s">
        <v>11456</v>
      </c>
      <c r="Q8" s="433">
        <v>1.0</v>
      </c>
      <c r="R8" s="435"/>
    </row>
    <row r="9">
      <c r="B9" s="433">
        <v>4.0</v>
      </c>
      <c r="C9" s="433" t="s">
        <v>23434</v>
      </c>
      <c r="D9" s="433" t="s">
        <v>31</v>
      </c>
      <c r="E9" s="434" t="s">
        <v>23435</v>
      </c>
      <c r="F9" s="433" t="s">
        <v>29</v>
      </c>
      <c r="G9" s="433" t="s">
        <v>47</v>
      </c>
      <c r="H9" s="433" t="s">
        <v>30</v>
      </c>
      <c r="I9" s="433"/>
      <c r="J9" s="433" t="s">
        <v>30</v>
      </c>
      <c r="K9" s="433">
        <v>164.0</v>
      </c>
      <c r="L9" s="433"/>
      <c r="M9" s="433" t="s">
        <v>23436</v>
      </c>
      <c r="N9" s="433" t="s">
        <v>23437</v>
      </c>
      <c r="O9" s="433">
        <v>1996.0</v>
      </c>
      <c r="P9" s="433" t="s">
        <v>11456</v>
      </c>
      <c r="Q9" s="433">
        <v>1.0</v>
      </c>
      <c r="R9" s="435"/>
    </row>
    <row r="10">
      <c r="B10" s="433">
        <v>5.0</v>
      </c>
      <c r="C10" s="433" t="s">
        <v>31</v>
      </c>
      <c r="D10" s="433" t="s">
        <v>23438</v>
      </c>
      <c r="E10" s="434" t="s">
        <v>23439</v>
      </c>
      <c r="F10" s="433" t="s">
        <v>29</v>
      </c>
      <c r="G10" s="433" t="s">
        <v>47</v>
      </c>
      <c r="H10" s="433" t="s">
        <v>30</v>
      </c>
      <c r="I10" s="433"/>
      <c r="J10" s="433" t="s">
        <v>38</v>
      </c>
      <c r="K10" s="433">
        <v>107.0</v>
      </c>
      <c r="L10" s="433"/>
      <c r="M10" s="433" t="s">
        <v>6550</v>
      </c>
      <c r="N10" s="433" t="s">
        <v>23440</v>
      </c>
      <c r="O10" s="433">
        <v>1974.0</v>
      </c>
      <c r="P10" s="433" t="s">
        <v>11456</v>
      </c>
      <c r="Q10" s="433">
        <v>1.0</v>
      </c>
      <c r="R10" s="435"/>
    </row>
    <row r="11">
      <c r="B11" s="433">
        <v>6.0</v>
      </c>
      <c r="C11" s="433" t="s">
        <v>23441</v>
      </c>
      <c r="D11" s="433" t="s">
        <v>23442</v>
      </c>
      <c r="E11" s="434" t="s">
        <v>23443</v>
      </c>
      <c r="F11" s="433" t="s">
        <v>29</v>
      </c>
      <c r="G11" s="433" t="s">
        <v>47</v>
      </c>
      <c r="H11" s="433" t="s">
        <v>30</v>
      </c>
      <c r="I11" s="433"/>
      <c r="J11" s="433" t="s">
        <v>30</v>
      </c>
      <c r="K11" s="433">
        <v>162.0</v>
      </c>
      <c r="L11" s="433"/>
      <c r="M11" s="433" t="s">
        <v>23444</v>
      </c>
      <c r="N11" s="433" t="s">
        <v>23445</v>
      </c>
      <c r="O11" s="433">
        <v>2007.0</v>
      </c>
      <c r="P11" s="433" t="s">
        <v>11456</v>
      </c>
      <c r="Q11" s="433">
        <v>1.0</v>
      </c>
      <c r="R11" s="435"/>
    </row>
    <row r="12">
      <c r="B12" s="433">
        <v>7.0</v>
      </c>
      <c r="C12" s="433" t="s">
        <v>23446</v>
      </c>
      <c r="D12" s="433" t="s">
        <v>23447</v>
      </c>
      <c r="E12" s="434" t="s">
        <v>23448</v>
      </c>
      <c r="F12" s="433" t="s">
        <v>29</v>
      </c>
      <c r="G12" s="433" t="s">
        <v>47</v>
      </c>
      <c r="H12" s="433" t="s">
        <v>30</v>
      </c>
      <c r="I12" s="433"/>
      <c r="J12" s="433" t="s">
        <v>30</v>
      </c>
      <c r="K12" s="433">
        <v>258.0</v>
      </c>
      <c r="L12" s="433"/>
      <c r="M12" s="433" t="s">
        <v>23449</v>
      </c>
      <c r="N12" s="433" t="s">
        <v>2698</v>
      </c>
      <c r="O12" s="433">
        <v>2005.0</v>
      </c>
      <c r="P12" s="433" t="s">
        <v>11456</v>
      </c>
      <c r="Q12" s="433">
        <v>1.0</v>
      </c>
      <c r="R12" s="435"/>
    </row>
    <row r="13">
      <c r="A13" s="957"/>
      <c r="B13" s="538">
        <v>8.0</v>
      </c>
      <c r="C13" s="538" t="s">
        <v>31</v>
      </c>
      <c r="D13" s="538" t="s">
        <v>23450</v>
      </c>
      <c r="E13" s="624" t="s">
        <v>23451</v>
      </c>
      <c r="F13" s="538" t="s">
        <v>144</v>
      </c>
      <c r="G13" s="538" t="s">
        <v>47</v>
      </c>
      <c r="H13" s="538" t="s">
        <v>30</v>
      </c>
      <c r="I13" s="538"/>
      <c r="J13" s="538" t="s">
        <v>30</v>
      </c>
      <c r="K13" s="538">
        <v>391.0</v>
      </c>
      <c r="L13" s="538"/>
      <c r="M13" s="538" t="s">
        <v>23452</v>
      </c>
      <c r="N13" s="538" t="s">
        <v>151</v>
      </c>
      <c r="O13" s="538">
        <v>1995.0</v>
      </c>
      <c r="P13" s="538" t="s">
        <v>11456</v>
      </c>
      <c r="Q13" s="538">
        <v>1.0</v>
      </c>
      <c r="R13" s="958"/>
      <c r="S13" s="957"/>
      <c r="T13" s="957"/>
      <c r="U13" s="957"/>
      <c r="V13" s="957"/>
      <c r="W13" s="957"/>
      <c r="X13" s="957"/>
      <c r="Y13" s="957"/>
      <c r="Z13" s="957"/>
    </row>
    <row r="14">
      <c r="B14" s="433">
        <v>9.0</v>
      </c>
      <c r="C14" s="433" t="s">
        <v>23453</v>
      </c>
      <c r="D14" s="433" t="s">
        <v>31</v>
      </c>
      <c r="E14" s="434" t="s">
        <v>23454</v>
      </c>
      <c r="F14" s="433"/>
      <c r="G14" s="433" t="s">
        <v>47</v>
      </c>
      <c r="H14" s="433" t="s">
        <v>30</v>
      </c>
      <c r="I14" s="433"/>
      <c r="J14" s="433" t="s">
        <v>30</v>
      </c>
      <c r="K14" s="433">
        <v>376.0</v>
      </c>
      <c r="L14" s="433"/>
      <c r="M14" s="433" t="s">
        <v>23455</v>
      </c>
      <c r="N14" s="433" t="s">
        <v>2494</v>
      </c>
      <c r="O14" s="433">
        <v>1997.0</v>
      </c>
      <c r="P14" s="433" t="s">
        <v>11456</v>
      </c>
      <c r="Q14" s="433">
        <v>1.0</v>
      </c>
      <c r="R14" s="435"/>
    </row>
    <row r="15">
      <c r="B15" s="433">
        <v>10.0</v>
      </c>
      <c r="C15" s="433"/>
      <c r="D15" s="433" t="s">
        <v>31</v>
      </c>
      <c r="E15" s="434" t="s">
        <v>23456</v>
      </c>
      <c r="F15" s="433"/>
      <c r="G15" s="433" t="s">
        <v>47</v>
      </c>
      <c r="H15" s="433" t="s">
        <v>30</v>
      </c>
      <c r="I15" s="433"/>
      <c r="J15" s="433" t="s">
        <v>30</v>
      </c>
      <c r="K15" s="433">
        <v>222.0</v>
      </c>
      <c r="L15" s="433"/>
      <c r="M15" s="433" t="s">
        <v>2451</v>
      </c>
      <c r="N15" s="433" t="s">
        <v>2451</v>
      </c>
      <c r="O15" s="433">
        <v>1990.0</v>
      </c>
      <c r="P15" s="433" t="s">
        <v>11456</v>
      </c>
      <c r="Q15" s="433">
        <v>1.0</v>
      </c>
      <c r="R15" s="435"/>
    </row>
    <row r="16">
      <c r="B16" s="433">
        <v>11.0</v>
      </c>
      <c r="C16" s="433" t="s">
        <v>31</v>
      </c>
      <c r="D16" s="433" t="s">
        <v>31</v>
      </c>
      <c r="E16" s="434" t="s">
        <v>23457</v>
      </c>
      <c r="F16" s="433"/>
      <c r="G16" s="433" t="s">
        <v>47</v>
      </c>
      <c r="H16" s="433" t="s">
        <v>30</v>
      </c>
      <c r="I16" s="433"/>
      <c r="J16" s="433" t="s">
        <v>30</v>
      </c>
      <c r="K16" s="433">
        <v>138.0</v>
      </c>
      <c r="L16" s="433"/>
      <c r="M16" s="433" t="s">
        <v>23458</v>
      </c>
      <c r="N16" s="433" t="s">
        <v>23459</v>
      </c>
      <c r="O16" s="433">
        <v>1995.0</v>
      </c>
      <c r="P16" s="433" t="s">
        <v>11456</v>
      </c>
      <c r="Q16" s="433">
        <v>1.0</v>
      </c>
      <c r="R16" s="435"/>
    </row>
    <row r="17">
      <c r="B17" s="433">
        <v>12.0</v>
      </c>
      <c r="C17" s="433" t="s">
        <v>23460</v>
      </c>
      <c r="D17" s="433"/>
      <c r="E17" s="434" t="s">
        <v>23461</v>
      </c>
      <c r="F17" s="433"/>
      <c r="G17" s="433" t="s">
        <v>47</v>
      </c>
      <c r="H17" s="433" t="s">
        <v>30</v>
      </c>
      <c r="I17" s="433"/>
      <c r="J17" s="433" t="s">
        <v>30</v>
      </c>
      <c r="K17" s="433">
        <v>364.0</v>
      </c>
      <c r="L17" s="433"/>
      <c r="M17" s="433" t="s">
        <v>23462</v>
      </c>
      <c r="N17" s="450" t="s">
        <v>23463</v>
      </c>
      <c r="O17" s="433">
        <v>1998.0</v>
      </c>
      <c r="P17" s="433" t="s">
        <v>11456</v>
      </c>
      <c r="Q17" s="433">
        <v>1.0</v>
      </c>
      <c r="R17" s="435"/>
    </row>
    <row r="18">
      <c r="B18" s="433">
        <v>13.0</v>
      </c>
      <c r="C18" s="433" t="s">
        <v>23464</v>
      </c>
      <c r="D18" s="433"/>
      <c r="E18" s="434" t="s">
        <v>23465</v>
      </c>
      <c r="F18" s="433"/>
      <c r="G18" s="433" t="s">
        <v>47</v>
      </c>
      <c r="H18" s="433" t="s">
        <v>30</v>
      </c>
      <c r="I18" s="433"/>
      <c r="J18" s="433" t="s">
        <v>30</v>
      </c>
      <c r="K18" s="433">
        <v>274.0</v>
      </c>
      <c r="L18" s="433"/>
      <c r="M18" s="433" t="s">
        <v>23466</v>
      </c>
      <c r="N18" s="450" t="s">
        <v>23463</v>
      </c>
      <c r="O18" s="433">
        <v>1998.0</v>
      </c>
      <c r="P18" s="433" t="s">
        <v>11456</v>
      </c>
      <c r="Q18" s="433">
        <v>1.0</v>
      </c>
      <c r="R18" s="435"/>
    </row>
    <row r="19">
      <c r="B19" s="433">
        <v>14.0</v>
      </c>
      <c r="C19" s="433" t="s">
        <v>23467</v>
      </c>
      <c r="D19" s="433" t="s">
        <v>23468</v>
      </c>
      <c r="E19" s="434" t="s">
        <v>23469</v>
      </c>
      <c r="F19" s="433"/>
      <c r="G19" s="433" t="s">
        <v>47</v>
      </c>
      <c r="H19" s="433" t="s">
        <v>30</v>
      </c>
      <c r="I19" s="433"/>
      <c r="J19" s="433" t="s">
        <v>30</v>
      </c>
      <c r="K19" s="433">
        <v>260.0</v>
      </c>
      <c r="L19" s="433"/>
      <c r="M19" s="433" t="s">
        <v>23470</v>
      </c>
      <c r="N19" s="433" t="s">
        <v>23471</v>
      </c>
      <c r="O19" s="433">
        <v>2000.0</v>
      </c>
      <c r="P19" s="433" t="s">
        <v>11456</v>
      </c>
      <c r="Q19" s="433">
        <v>1.0</v>
      </c>
      <c r="R19" s="435"/>
    </row>
    <row r="20">
      <c r="B20" s="433">
        <v>15.0</v>
      </c>
      <c r="C20" s="433" t="s">
        <v>23472</v>
      </c>
      <c r="D20" s="433" t="s">
        <v>23473</v>
      </c>
      <c r="E20" s="434" t="s">
        <v>23474</v>
      </c>
      <c r="F20" s="433"/>
      <c r="G20" s="433" t="s">
        <v>47</v>
      </c>
      <c r="H20" s="433" t="s">
        <v>30</v>
      </c>
      <c r="I20" s="433"/>
      <c r="J20" s="433" t="s">
        <v>30</v>
      </c>
      <c r="K20" s="433">
        <v>708.0</v>
      </c>
      <c r="L20" s="433"/>
      <c r="M20" s="433" t="s">
        <v>23475</v>
      </c>
      <c r="N20" s="433" t="s">
        <v>11286</v>
      </c>
      <c r="O20" s="433">
        <v>2003.0</v>
      </c>
      <c r="P20" s="433" t="s">
        <v>11456</v>
      </c>
      <c r="Q20" s="433">
        <v>1.0</v>
      </c>
      <c r="R20" s="435"/>
    </row>
    <row r="21" ht="15.75" customHeight="1">
      <c r="B21" s="433">
        <v>16.0</v>
      </c>
      <c r="C21" s="433" t="s">
        <v>23476</v>
      </c>
      <c r="D21" s="433" t="s">
        <v>23473</v>
      </c>
      <c r="E21" s="434" t="s">
        <v>23477</v>
      </c>
      <c r="F21" s="433"/>
      <c r="G21" s="433" t="s">
        <v>47</v>
      </c>
      <c r="H21" s="433" t="s">
        <v>30</v>
      </c>
      <c r="I21" s="433"/>
      <c r="J21" s="433" t="s">
        <v>30</v>
      </c>
      <c r="K21" s="433">
        <v>632.0</v>
      </c>
      <c r="L21" s="433"/>
      <c r="M21" s="433" t="s">
        <v>23475</v>
      </c>
      <c r="N21" s="433" t="s">
        <v>11286</v>
      </c>
      <c r="O21" s="433">
        <v>2001.0</v>
      </c>
      <c r="P21" s="433" t="s">
        <v>11456</v>
      </c>
      <c r="Q21" s="433">
        <v>1.0</v>
      </c>
      <c r="R21" s="435"/>
    </row>
    <row r="22" ht="15.75" customHeight="1">
      <c r="B22" s="433">
        <v>17.0</v>
      </c>
      <c r="C22" s="433" t="s">
        <v>23478</v>
      </c>
      <c r="D22" s="433" t="s">
        <v>23479</v>
      </c>
      <c r="E22" s="434" t="s">
        <v>23480</v>
      </c>
      <c r="F22" s="433"/>
      <c r="G22" s="433" t="s">
        <v>47</v>
      </c>
      <c r="H22" s="433" t="s">
        <v>30</v>
      </c>
      <c r="I22" s="433"/>
      <c r="J22" s="433" t="s">
        <v>30</v>
      </c>
      <c r="K22" s="433">
        <v>595.0</v>
      </c>
      <c r="L22" s="433"/>
      <c r="M22" s="433" t="s">
        <v>23481</v>
      </c>
      <c r="N22" s="433" t="s">
        <v>151</v>
      </c>
      <c r="O22" s="433">
        <v>1996.0</v>
      </c>
      <c r="P22" s="433" t="s">
        <v>11456</v>
      </c>
      <c r="Q22" s="433">
        <v>1.0</v>
      </c>
      <c r="R22" s="435"/>
    </row>
    <row r="23" ht="15.75" customHeight="1">
      <c r="B23" s="433">
        <v>18.0</v>
      </c>
      <c r="C23" s="433" t="s">
        <v>31</v>
      </c>
      <c r="D23" s="433" t="s">
        <v>31</v>
      </c>
      <c r="E23" s="434" t="s">
        <v>23482</v>
      </c>
      <c r="F23" s="433"/>
      <c r="G23" s="433" t="s">
        <v>47</v>
      </c>
      <c r="H23" s="433" t="s">
        <v>30</v>
      </c>
      <c r="I23" s="433"/>
      <c r="J23" s="433" t="s">
        <v>30</v>
      </c>
      <c r="K23" s="433">
        <v>92.0</v>
      </c>
      <c r="L23" s="433"/>
      <c r="M23" s="433" t="s">
        <v>23483</v>
      </c>
      <c r="N23" s="433" t="s">
        <v>23483</v>
      </c>
      <c r="O23" s="433">
        <v>-1984.0</v>
      </c>
      <c r="P23" s="433" t="s">
        <v>11456</v>
      </c>
      <c r="Q23" s="433">
        <v>1.0</v>
      </c>
      <c r="R23" s="435"/>
    </row>
    <row r="24" ht="15.75" customHeight="1">
      <c r="B24" s="433">
        <v>19.0</v>
      </c>
      <c r="C24" s="433" t="s">
        <v>31</v>
      </c>
      <c r="D24" s="433" t="s">
        <v>31</v>
      </c>
      <c r="E24" s="434" t="s">
        <v>23484</v>
      </c>
      <c r="F24" s="433"/>
      <c r="G24" s="433" t="s">
        <v>47</v>
      </c>
      <c r="H24" s="433" t="s">
        <v>30</v>
      </c>
      <c r="I24" s="433"/>
      <c r="J24" s="433" t="s">
        <v>30</v>
      </c>
      <c r="K24" s="433">
        <v>279.0</v>
      </c>
      <c r="L24" s="433"/>
      <c r="M24" s="433" t="s">
        <v>31</v>
      </c>
      <c r="N24" s="433" t="s">
        <v>23485</v>
      </c>
      <c r="O24" s="433">
        <v>2002.0</v>
      </c>
      <c r="P24" s="433" t="s">
        <v>11456</v>
      </c>
      <c r="Q24" s="433">
        <v>1.0</v>
      </c>
      <c r="R24" s="435"/>
    </row>
    <row r="25" ht="15.75" customHeight="1">
      <c r="B25" s="433">
        <v>20.0</v>
      </c>
      <c r="C25" s="433" t="s">
        <v>23486</v>
      </c>
      <c r="D25" s="433" t="s">
        <v>23487</v>
      </c>
      <c r="E25" s="434" t="s">
        <v>23488</v>
      </c>
      <c r="F25" s="433"/>
      <c r="G25" s="433" t="s">
        <v>47</v>
      </c>
      <c r="H25" s="433" t="s">
        <v>30</v>
      </c>
      <c r="I25" s="433"/>
      <c r="J25" s="433" t="s">
        <v>30</v>
      </c>
      <c r="K25" s="433">
        <v>653.0</v>
      </c>
      <c r="L25" s="433"/>
      <c r="M25" s="433" t="s">
        <v>23475</v>
      </c>
      <c r="N25" s="433" t="s">
        <v>11286</v>
      </c>
      <c r="O25" s="433">
        <v>2003.0</v>
      </c>
      <c r="P25" s="433" t="s">
        <v>11456</v>
      </c>
      <c r="Q25" s="433">
        <v>1.0</v>
      </c>
      <c r="R25" s="435"/>
    </row>
    <row r="26" ht="15.75" customHeight="1">
      <c r="B26" s="433">
        <v>21.0</v>
      </c>
      <c r="C26" s="433" t="s">
        <v>23489</v>
      </c>
      <c r="D26" s="433" t="s">
        <v>23487</v>
      </c>
      <c r="E26" s="434" t="s">
        <v>23490</v>
      </c>
      <c r="F26" s="433"/>
      <c r="G26" s="433" t="s">
        <v>47</v>
      </c>
      <c r="H26" s="433" t="s">
        <v>30</v>
      </c>
      <c r="I26" s="433"/>
      <c r="J26" s="433" t="s">
        <v>30</v>
      </c>
      <c r="K26" s="433">
        <v>723.0</v>
      </c>
      <c r="L26" s="433"/>
      <c r="M26" s="433" t="s">
        <v>23475</v>
      </c>
      <c r="N26" s="433" t="s">
        <v>11286</v>
      </c>
      <c r="O26" s="433">
        <v>2004.0</v>
      </c>
      <c r="P26" s="433" t="s">
        <v>11456</v>
      </c>
      <c r="Q26" s="433">
        <v>1.0</v>
      </c>
      <c r="R26" s="435"/>
    </row>
    <row r="27" ht="15.75" customHeight="1">
      <c r="B27" s="433">
        <v>22.0</v>
      </c>
      <c r="C27" s="433" t="s">
        <v>31</v>
      </c>
      <c r="D27" s="433" t="s">
        <v>31</v>
      </c>
      <c r="E27" s="434" t="s">
        <v>23491</v>
      </c>
      <c r="F27" s="433"/>
      <c r="G27" s="433" t="s">
        <v>47</v>
      </c>
      <c r="H27" s="433" t="s">
        <v>30</v>
      </c>
      <c r="I27" s="433"/>
      <c r="J27" s="433" t="s">
        <v>30</v>
      </c>
      <c r="K27" s="433">
        <v>62.0</v>
      </c>
      <c r="L27" s="433"/>
      <c r="M27" s="433" t="s">
        <v>31</v>
      </c>
      <c r="N27" s="433" t="s">
        <v>23492</v>
      </c>
      <c r="O27" s="433">
        <v>1992.0</v>
      </c>
      <c r="P27" s="433" t="s">
        <v>11456</v>
      </c>
      <c r="Q27" s="433">
        <v>1.0</v>
      </c>
      <c r="R27" s="435"/>
    </row>
    <row r="28" ht="15.75" customHeight="1">
      <c r="B28" s="433">
        <v>23.0</v>
      </c>
      <c r="C28" s="433" t="s">
        <v>23493</v>
      </c>
      <c r="D28" s="433" t="s">
        <v>23494</v>
      </c>
      <c r="E28" s="434" t="s">
        <v>23495</v>
      </c>
      <c r="F28" s="433"/>
      <c r="G28" s="433" t="s">
        <v>47</v>
      </c>
      <c r="H28" s="433" t="s">
        <v>30</v>
      </c>
      <c r="I28" s="433"/>
      <c r="J28" s="433" t="s">
        <v>30</v>
      </c>
      <c r="K28" s="433">
        <v>192.0</v>
      </c>
      <c r="L28" s="433"/>
      <c r="M28" s="433" t="s">
        <v>23496</v>
      </c>
      <c r="N28" s="433" t="s">
        <v>151</v>
      </c>
      <c r="O28" s="433">
        <v>1987.0</v>
      </c>
      <c r="P28" s="433" t="s">
        <v>11456</v>
      </c>
      <c r="Q28" s="433">
        <v>1.0</v>
      </c>
      <c r="R28" s="435"/>
    </row>
    <row r="29" ht="15.75" customHeight="1">
      <c r="B29" s="430">
        <v>24.0</v>
      </c>
      <c r="C29" s="430" t="s">
        <v>23497</v>
      </c>
      <c r="D29" s="430" t="s">
        <v>23498</v>
      </c>
      <c r="E29" s="432" t="s">
        <v>23499</v>
      </c>
      <c r="F29" s="430"/>
      <c r="G29" s="430" t="s">
        <v>47</v>
      </c>
      <c r="H29" s="430" t="s">
        <v>30</v>
      </c>
      <c r="I29" s="430"/>
      <c r="J29" s="430" t="s">
        <v>30</v>
      </c>
      <c r="K29" s="430">
        <v>250.0</v>
      </c>
      <c r="L29" s="430"/>
      <c r="M29" s="430" t="s">
        <v>23500</v>
      </c>
      <c r="N29" s="430" t="s">
        <v>23501</v>
      </c>
      <c r="O29" s="430">
        <v>2006.0</v>
      </c>
      <c r="P29" s="430" t="s">
        <v>11456</v>
      </c>
      <c r="Q29" s="430">
        <v>1.0</v>
      </c>
      <c r="R29" s="435"/>
    </row>
    <row r="30" ht="15.75" customHeight="1">
      <c r="B30" s="433">
        <v>25.0</v>
      </c>
      <c r="C30" s="433"/>
      <c r="D30" s="433"/>
      <c r="E30" s="434" t="s">
        <v>23502</v>
      </c>
      <c r="F30" s="433"/>
      <c r="G30" s="433" t="s">
        <v>47</v>
      </c>
      <c r="H30" s="433" t="s">
        <v>30</v>
      </c>
      <c r="I30" s="433"/>
      <c r="J30" s="433" t="s">
        <v>30</v>
      </c>
      <c r="K30" s="433">
        <v>46.0</v>
      </c>
      <c r="L30" s="433" t="s">
        <v>23503</v>
      </c>
      <c r="M30" s="433" t="s">
        <v>23504</v>
      </c>
      <c r="N30" s="433" t="s">
        <v>23505</v>
      </c>
      <c r="O30" s="433">
        <v>2007.0</v>
      </c>
      <c r="P30" s="433" t="s">
        <v>11456</v>
      </c>
      <c r="Q30" s="433">
        <v>1.0</v>
      </c>
      <c r="R30" s="435"/>
    </row>
    <row r="31" ht="15.75" customHeight="1">
      <c r="B31" s="433">
        <v>26.0</v>
      </c>
      <c r="C31" s="433"/>
      <c r="D31" s="433"/>
      <c r="E31" s="434" t="s">
        <v>23506</v>
      </c>
      <c r="F31" s="433"/>
      <c r="G31" s="433" t="s">
        <v>47</v>
      </c>
      <c r="H31" s="433" t="s">
        <v>30</v>
      </c>
      <c r="I31" s="433"/>
      <c r="J31" s="433" t="s">
        <v>30</v>
      </c>
      <c r="K31" s="433">
        <v>41.0</v>
      </c>
      <c r="L31" s="433" t="s">
        <v>13582</v>
      </c>
      <c r="M31" s="433" t="s">
        <v>23504</v>
      </c>
      <c r="N31" s="433" t="s">
        <v>23505</v>
      </c>
      <c r="O31" s="433">
        <v>2007.0</v>
      </c>
      <c r="P31" s="433" t="s">
        <v>11456</v>
      </c>
      <c r="Q31" s="433">
        <v>1.0</v>
      </c>
      <c r="R31" s="435"/>
    </row>
    <row r="32" ht="15.75" customHeight="1">
      <c r="B32" s="433">
        <v>27.0</v>
      </c>
      <c r="C32" s="433"/>
      <c r="D32" s="433"/>
      <c r="E32" s="434" t="s">
        <v>23507</v>
      </c>
      <c r="F32" s="433"/>
      <c r="G32" s="433" t="s">
        <v>47</v>
      </c>
      <c r="H32" s="433" t="s">
        <v>30</v>
      </c>
      <c r="I32" s="433"/>
      <c r="J32" s="433" t="s">
        <v>30</v>
      </c>
      <c r="K32" s="433">
        <v>89.0</v>
      </c>
      <c r="L32" s="433" t="s">
        <v>13582</v>
      </c>
      <c r="M32" s="433" t="s">
        <v>23508</v>
      </c>
      <c r="N32" s="433" t="s">
        <v>6535</v>
      </c>
      <c r="O32" s="433">
        <v>2010.0</v>
      </c>
      <c r="P32" s="433" t="s">
        <v>11456</v>
      </c>
      <c r="Q32" s="433">
        <v>1.0</v>
      </c>
      <c r="R32" s="435"/>
    </row>
    <row r="33" ht="15.75" customHeight="1">
      <c r="B33" s="433">
        <v>28.0</v>
      </c>
      <c r="C33" s="433"/>
      <c r="D33" s="433"/>
      <c r="E33" s="434" t="s">
        <v>23509</v>
      </c>
      <c r="F33" s="433"/>
      <c r="G33" s="433" t="s">
        <v>47</v>
      </c>
      <c r="H33" s="433" t="s">
        <v>30</v>
      </c>
      <c r="I33" s="433"/>
      <c r="J33" s="433" t="s">
        <v>30</v>
      </c>
      <c r="K33" s="433">
        <v>101.0</v>
      </c>
      <c r="L33" s="433" t="s">
        <v>23510</v>
      </c>
      <c r="M33" s="433" t="s">
        <v>23511</v>
      </c>
      <c r="N33" s="433" t="s">
        <v>23512</v>
      </c>
      <c r="O33" s="433"/>
      <c r="P33" s="433" t="s">
        <v>11456</v>
      </c>
      <c r="Q33" s="433">
        <v>2.0</v>
      </c>
      <c r="R33" s="435"/>
    </row>
    <row r="34" ht="15.75" customHeight="1">
      <c r="B34" s="433">
        <v>29.0</v>
      </c>
      <c r="C34" s="433"/>
      <c r="D34" s="433"/>
      <c r="E34" s="434" t="s">
        <v>23513</v>
      </c>
      <c r="F34" s="433"/>
      <c r="G34" s="433" t="s">
        <v>47</v>
      </c>
      <c r="H34" s="433" t="s">
        <v>30</v>
      </c>
      <c r="I34" s="433"/>
      <c r="J34" s="433" t="s">
        <v>30</v>
      </c>
      <c r="K34" s="433">
        <v>206.0</v>
      </c>
      <c r="L34" s="433" t="s">
        <v>23514</v>
      </c>
      <c r="M34" s="433"/>
      <c r="N34" s="433" t="s">
        <v>23515</v>
      </c>
      <c r="O34" s="433">
        <v>2013.0</v>
      </c>
      <c r="P34" s="433" t="s">
        <v>11456</v>
      </c>
      <c r="Q34" s="433">
        <v>1.0</v>
      </c>
      <c r="R34" s="435"/>
    </row>
    <row r="35" ht="15.75" customHeight="1">
      <c r="B35" s="433">
        <v>30.0</v>
      </c>
      <c r="C35" s="433"/>
      <c r="D35" s="433"/>
      <c r="E35" s="434" t="s">
        <v>23516</v>
      </c>
      <c r="F35" s="433"/>
      <c r="G35" s="433" t="s">
        <v>47</v>
      </c>
      <c r="H35" s="433" t="s">
        <v>30</v>
      </c>
      <c r="I35" s="433"/>
      <c r="J35" s="433" t="s">
        <v>30</v>
      </c>
      <c r="K35" s="433">
        <v>400.0</v>
      </c>
      <c r="L35" s="433" t="s">
        <v>23514</v>
      </c>
      <c r="M35" s="433"/>
      <c r="N35" s="433" t="s">
        <v>23515</v>
      </c>
      <c r="O35" s="433">
        <v>2013.0</v>
      </c>
      <c r="P35" s="433" t="s">
        <v>11456</v>
      </c>
      <c r="Q35" s="433">
        <v>1.0</v>
      </c>
      <c r="R35" s="435"/>
    </row>
    <row r="36" ht="194.25" customHeight="1">
      <c r="B36" s="433">
        <v>31.0</v>
      </c>
      <c r="C36" s="433"/>
      <c r="D36" s="433"/>
      <c r="E36" s="434" t="s">
        <v>20931</v>
      </c>
      <c r="F36" s="433"/>
      <c r="G36" s="433" t="s">
        <v>47</v>
      </c>
      <c r="H36" s="433" t="s">
        <v>30</v>
      </c>
      <c r="I36" s="433"/>
      <c r="J36" s="433" t="s">
        <v>30</v>
      </c>
      <c r="K36" s="433">
        <v>65.0</v>
      </c>
      <c r="L36" s="433"/>
      <c r="M36" s="433" t="s">
        <v>23517</v>
      </c>
      <c r="N36" s="433" t="s">
        <v>20900</v>
      </c>
      <c r="O36" s="433">
        <v>2000.0</v>
      </c>
      <c r="P36" s="433" t="s">
        <v>11456</v>
      </c>
      <c r="Q36" s="433">
        <v>1.0</v>
      </c>
      <c r="R36" s="435"/>
    </row>
    <row r="37" ht="15.75" customHeight="1">
      <c r="B37" s="186">
        <v>32.0</v>
      </c>
      <c r="C37" s="854" t="s">
        <v>31</v>
      </c>
      <c r="D37" s="191" t="s">
        <v>23518</v>
      </c>
      <c r="E37" s="188" t="s">
        <v>23519</v>
      </c>
      <c r="F37" s="186"/>
      <c r="G37" s="186" t="s">
        <v>47</v>
      </c>
      <c r="H37" s="186" t="s">
        <v>30</v>
      </c>
      <c r="I37" s="186"/>
      <c r="J37" s="186" t="s">
        <v>30</v>
      </c>
      <c r="K37" s="186">
        <v>59.0</v>
      </c>
      <c r="L37" s="186"/>
      <c r="M37" s="191" t="s">
        <v>23520</v>
      </c>
      <c r="N37" s="186" t="s">
        <v>20935</v>
      </c>
      <c r="O37" s="186">
        <v>2006.0</v>
      </c>
      <c r="P37" s="191">
        <v>16.0</v>
      </c>
      <c r="Q37" s="186">
        <v>1.0</v>
      </c>
      <c r="R37" s="436">
        <v>1.0</v>
      </c>
    </row>
    <row r="38" ht="15.75" customHeight="1">
      <c r="B38" s="433">
        <v>33.0</v>
      </c>
      <c r="C38" s="433"/>
      <c r="D38" s="433"/>
      <c r="E38" s="434" t="s">
        <v>23521</v>
      </c>
      <c r="F38" s="433"/>
      <c r="G38" s="433" t="s">
        <v>47</v>
      </c>
      <c r="H38" s="433" t="s">
        <v>30</v>
      </c>
      <c r="I38" s="433"/>
      <c r="J38" s="433" t="s">
        <v>30</v>
      </c>
      <c r="K38" s="433">
        <v>20.0</v>
      </c>
      <c r="L38" s="433"/>
      <c r="M38" s="433" t="s">
        <v>23522</v>
      </c>
      <c r="N38" s="433" t="s">
        <v>20935</v>
      </c>
      <c r="O38" s="433">
        <v>2012.0</v>
      </c>
      <c r="P38" s="433" t="s">
        <v>11456</v>
      </c>
      <c r="Q38" s="433">
        <v>1.0</v>
      </c>
      <c r="R38" s="435"/>
    </row>
    <row r="39" ht="15.75" customHeight="1">
      <c r="B39" s="433">
        <v>34.0</v>
      </c>
      <c r="C39" s="433"/>
      <c r="D39" s="433"/>
      <c r="E39" s="434" t="s">
        <v>23523</v>
      </c>
      <c r="F39" s="433"/>
      <c r="G39" s="433" t="s">
        <v>47</v>
      </c>
      <c r="H39" s="433" t="s">
        <v>30</v>
      </c>
      <c r="I39" s="433"/>
      <c r="J39" s="433" t="s">
        <v>30</v>
      </c>
      <c r="K39" s="433">
        <v>8.0</v>
      </c>
      <c r="L39" s="433" t="s">
        <v>23524</v>
      </c>
      <c r="M39" s="433" t="s">
        <v>23525</v>
      </c>
      <c r="N39" s="433" t="s">
        <v>23526</v>
      </c>
      <c r="O39" s="433">
        <v>2012.0</v>
      </c>
      <c r="P39" s="433" t="s">
        <v>11456</v>
      </c>
      <c r="Q39" s="433">
        <v>1.0</v>
      </c>
      <c r="R39" s="435"/>
    </row>
    <row r="40" ht="15.75" customHeight="1">
      <c r="B40" s="433">
        <v>35.0</v>
      </c>
      <c r="C40" s="433"/>
      <c r="D40" s="433"/>
      <c r="E40" s="434" t="s">
        <v>23527</v>
      </c>
      <c r="F40" s="433"/>
      <c r="G40" s="433" t="s">
        <v>47</v>
      </c>
      <c r="H40" s="433" t="s">
        <v>30</v>
      </c>
      <c r="I40" s="433"/>
      <c r="J40" s="433" t="s">
        <v>30</v>
      </c>
      <c r="K40" s="433">
        <v>8.0</v>
      </c>
      <c r="L40" s="433" t="s">
        <v>23528</v>
      </c>
      <c r="M40" s="433" t="s">
        <v>23529</v>
      </c>
      <c r="N40" s="433" t="s">
        <v>23526</v>
      </c>
      <c r="O40" s="433">
        <v>2013.0</v>
      </c>
      <c r="P40" s="433" t="s">
        <v>11456</v>
      </c>
      <c r="Q40" s="433">
        <v>1.0</v>
      </c>
      <c r="R40" s="435"/>
    </row>
    <row r="41" ht="15.75" customHeight="1">
      <c r="B41" s="433">
        <v>36.0</v>
      </c>
      <c r="C41" s="433"/>
      <c r="D41" s="433"/>
      <c r="E41" s="434" t="s">
        <v>23530</v>
      </c>
      <c r="F41" s="433"/>
      <c r="G41" s="433" t="s">
        <v>47</v>
      </c>
      <c r="H41" s="433" t="s">
        <v>30</v>
      </c>
      <c r="I41" s="433"/>
      <c r="J41" s="433" t="s">
        <v>30</v>
      </c>
      <c r="K41" s="433">
        <v>8.0</v>
      </c>
      <c r="L41" s="433" t="s">
        <v>13582</v>
      </c>
      <c r="M41" s="433" t="s">
        <v>23525</v>
      </c>
      <c r="N41" s="433" t="s">
        <v>23526</v>
      </c>
      <c r="O41" s="433">
        <v>2012.0</v>
      </c>
      <c r="P41" s="433" t="s">
        <v>11456</v>
      </c>
      <c r="Q41" s="433">
        <v>1.0</v>
      </c>
      <c r="R41" s="435"/>
    </row>
    <row r="42" ht="15.75" customHeight="1">
      <c r="B42" s="433">
        <v>37.0</v>
      </c>
      <c r="C42" s="433"/>
      <c r="D42" s="433"/>
      <c r="E42" s="434" t="s">
        <v>23531</v>
      </c>
      <c r="F42" s="433"/>
      <c r="G42" s="433" t="s">
        <v>47</v>
      </c>
      <c r="H42" s="433" t="s">
        <v>30</v>
      </c>
      <c r="I42" s="433"/>
      <c r="J42" s="433" t="s">
        <v>30</v>
      </c>
      <c r="K42" s="433"/>
      <c r="L42" s="433" t="s">
        <v>20908</v>
      </c>
      <c r="M42" s="433" t="s">
        <v>23532</v>
      </c>
      <c r="N42" s="433" t="s">
        <v>23533</v>
      </c>
      <c r="O42" s="433">
        <v>2013.0</v>
      </c>
      <c r="P42" s="433" t="s">
        <v>11456</v>
      </c>
      <c r="Q42" s="433">
        <v>1.0</v>
      </c>
      <c r="R42" s="435"/>
    </row>
    <row r="43" ht="15.75" customHeight="1">
      <c r="B43" s="433">
        <v>38.0</v>
      </c>
      <c r="C43" s="433"/>
      <c r="D43" s="433"/>
      <c r="E43" s="434" t="s">
        <v>23534</v>
      </c>
      <c r="F43" s="433"/>
      <c r="G43" s="433" t="s">
        <v>47</v>
      </c>
      <c r="H43" s="433" t="s">
        <v>30</v>
      </c>
      <c r="I43" s="433"/>
      <c r="J43" s="433" t="s">
        <v>30</v>
      </c>
      <c r="K43" s="433">
        <v>162.0</v>
      </c>
      <c r="L43" s="433" t="s">
        <v>23535</v>
      </c>
      <c r="M43" s="433" t="s">
        <v>23444</v>
      </c>
      <c r="N43" s="433" t="s">
        <v>23536</v>
      </c>
      <c r="O43" s="433">
        <v>2007.0</v>
      </c>
      <c r="P43" s="433" t="s">
        <v>11456</v>
      </c>
      <c r="Q43" s="433">
        <v>1.0</v>
      </c>
      <c r="R43" s="435"/>
    </row>
    <row r="44" ht="15.75" customHeight="1">
      <c r="B44" s="433">
        <v>39.0</v>
      </c>
      <c r="C44" s="433"/>
      <c r="D44" s="433"/>
      <c r="E44" s="434" t="s">
        <v>23537</v>
      </c>
      <c r="F44" s="433"/>
      <c r="G44" s="433" t="s">
        <v>47</v>
      </c>
      <c r="H44" s="433" t="s">
        <v>30</v>
      </c>
      <c r="I44" s="433"/>
      <c r="J44" s="433" t="s">
        <v>38</v>
      </c>
      <c r="K44" s="433">
        <v>32.0</v>
      </c>
      <c r="L44" s="433"/>
      <c r="M44" s="433" t="s">
        <v>23538</v>
      </c>
      <c r="N44" s="433" t="s">
        <v>23539</v>
      </c>
      <c r="O44" s="433">
        <v>2010.0</v>
      </c>
      <c r="P44" s="433" t="s">
        <v>11456</v>
      </c>
      <c r="Q44" s="433">
        <v>1.0</v>
      </c>
      <c r="R44" s="435"/>
    </row>
    <row r="45" ht="15.75" customHeight="1">
      <c r="B45" s="433">
        <v>40.0</v>
      </c>
      <c r="C45" s="433"/>
      <c r="D45" s="433"/>
      <c r="E45" s="434" t="s">
        <v>23540</v>
      </c>
      <c r="F45" s="433"/>
      <c r="G45" s="433" t="s">
        <v>47</v>
      </c>
      <c r="H45" s="433" t="s">
        <v>30</v>
      </c>
      <c r="I45" s="433"/>
      <c r="J45" s="433" t="s">
        <v>38</v>
      </c>
      <c r="K45" s="433">
        <v>15.0</v>
      </c>
      <c r="L45" s="433"/>
      <c r="M45" s="433" t="s">
        <v>23541</v>
      </c>
      <c r="N45" s="433" t="s">
        <v>23539</v>
      </c>
      <c r="O45" s="433">
        <v>2010.0</v>
      </c>
      <c r="P45" s="433" t="s">
        <v>11456</v>
      </c>
      <c r="Q45" s="433">
        <v>1.0</v>
      </c>
      <c r="R45" s="435"/>
    </row>
    <row r="46" ht="15.75" customHeight="1">
      <c r="B46" s="433">
        <v>41.0</v>
      </c>
      <c r="C46" s="433"/>
      <c r="D46" s="433"/>
      <c r="E46" s="434" t="s">
        <v>23542</v>
      </c>
      <c r="F46" s="433"/>
      <c r="G46" s="433" t="s">
        <v>47</v>
      </c>
      <c r="H46" s="433" t="s">
        <v>30</v>
      </c>
      <c r="I46" s="433"/>
      <c r="J46" s="433" t="s">
        <v>30</v>
      </c>
      <c r="K46" s="433">
        <v>73.0</v>
      </c>
      <c r="L46" s="433" t="s">
        <v>23543</v>
      </c>
      <c r="M46" s="433" t="s">
        <v>23544</v>
      </c>
      <c r="N46" s="433" t="s">
        <v>23545</v>
      </c>
      <c r="O46" s="433">
        <v>1992.0</v>
      </c>
      <c r="P46" s="433" t="s">
        <v>11456</v>
      </c>
      <c r="Q46" s="433">
        <v>1.0</v>
      </c>
      <c r="R46" s="435"/>
    </row>
    <row r="47" ht="15.75" customHeight="1">
      <c r="B47" s="433">
        <v>42.0</v>
      </c>
      <c r="C47" s="433"/>
      <c r="D47" s="433"/>
      <c r="E47" s="434" t="s">
        <v>23546</v>
      </c>
      <c r="F47" s="433"/>
      <c r="G47" s="433" t="s">
        <v>47</v>
      </c>
      <c r="H47" s="433" t="s">
        <v>30</v>
      </c>
      <c r="I47" s="433"/>
      <c r="J47" s="433" t="s">
        <v>30</v>
      </c>
      <c r="K47" s="433">
        <v>90.0</v>
      </c>
      <c r="L47" s="433" t="s">
        <v>13582</v>
      </c>
      <c r="M47" s="433" t="s">
        <v>23547</v>
      </c>
      <c r="N47" s="433" t="s">
        <v>13700</v>
      </c>
      <c r="O47" s="433">
        <v>2009.0</v>
      </c>
      <c r="P47" s="433" t="s">
        <v>11456</v>
      </c>
      <c r="Q47" s="433">
        <v>1.0</v>
      </c>
      <c r="R47" s="435"/>
    </row>
    <row r="48" ht="15.75" customHeight="1">
      <c r="B48" s="433">
        <v>43.0</v>
      </c>
      <c r="C48" s="433"/>
      <c r="D48" s="433"/>
      <c r="E48" s="434" t="s">
        <v>23548</v>
      </c>
      <c r="F48" s="433"/>
      <c r="G48" s="433" t="s">
        <v>47</v>
      </c>
      <c r="H48" s="433" t="s">
        <v>30</v>
      </c>
      <c r="I48" s="433"/>
      <c r="J48" s="433" t="s">
        <v>30</v>
      </c>
      <c r="K48" s="433">
        <v>122.0</v>
      </c>
      <c r="L48" s="433" t="s">
        <v>13582</v>
      </c>
      <c r="M48" s="433" t="s">
        <v>23549</v>
      </c>
      <c r="N48" s="433" t="s">
        <v>13700</v>
      </c>
      <c r="O48" s="433">
        <v>2009.0</v>
      </c>
      <c r="P48" s="433" t="s">
        <v>11456</v>
      </c>
      <c r="Q48" s="433">
        <v>1.0</v>
      </c>
      <c r="R48" s="435"/>
    </row>
    <row r="49" ht="15.75" customHeight="1">
      <c r="B49" s="433">
        <v>44.0</v>
      </c>
      <c r="C49" s="433"/>
      <c r="D49" s="433"/>
      <c r="E49" s="434" t="s">
        <v>23550</v>
      </c>
      <c r="F49" s="433"/>
      <c r="G49" s="433" t="s">
        <v>47</v>
      </c>
      <c r="H49" s="433" t="s">
        <v>30</v>
      </c>
      <c r="I49" s="433"/>
      <c r="J49" s="433" t="s">
        <v>30</v>
      </c>
      <c r="K49" s="433">
        <v>29.0</v>
      </c>
      <c r="L49" s="433" t="s">
        <v>13582</v>
      </c>
      <c r="M49" s="433" t="s">
        <v>23551</v>
      </c>
      <c r="N49" s="433" t="s">
        <v>23552</v>
      </c>
      <c r="O49" s="433"/>
      <c r="P49" s="433" t="s">
        <v>11456</v>
      </c>
      <c r="Q49" s="433">
        <v>1.0</v>
      </c>
      <c r="R49" s="435"/>
    </row>
    <row r="50" ht="15.75" customHeight="1">
      <c r="B50" s="433">
        <v>45.0</v>
      </c>
      <c r="C50" s="433"/>
      <c r="D50" s="433"/>
      <c r="E50" s="434" t="s">
        <v>20923</v>
      </c>
      <c r="F50" s="433"/>
      <c r="G50" s="433" t="s">
        <v>47</v>
      </c>
      <c r="H50" s="433" t="s">
        <v>30</v>
      </c>
      <c r="I50" s="433"/>
      <c r="J50" s="433" t="s">
        <v>30</v>
      </c>
      <c r="K50" s="433">
        <v>185.0</v>
      </c>
      <c r="L50" s="433"/>
      <c r="M50" s="433" t="s">
        <v>20924</v>
      </c>
      <c r="N50" s="433" t="s">
        <v>23539</v>
      </c>
      <c r="O50" s="433">
        <v>2009.0</v>
      </c>
      <c r="P50" s="433" t="s">
        <v>11456</v>
      </c>
      <c r="Q50" s="433">
        <v>1.0</v>
      </c>
      <c r="R50" s="435"/>
    </row>
    <row r="51" ht="15.75" customHeight="1">
      <c r="B51" s="433">
        <v>46.0</v>
      </c>
      <c r="C51" s="433"/>
      <c r="D51" s="433"/>
      <c r="E51" s="434" t="s">
        <v>23553</v>
      </c>
      <c r="F51" s="433"/>
      <c r="G51" s="433" t="s">
        <v>47</v>
      </c>
      <c r="H51" s="433" t="s">
        <v>38</v>
      </c>
      <c r="I51" s="433"/>
      <c r="J51" s="433" t="s">
        <v>38</v>
      </c>
      <c r="K51" s="433">
        <v>127.0</v>
      </c>
      <c r="L51" s="433" t="s">
        <v>13582</v>
      </c>
      <c r="M51" s="433" t="s">
        <v>13695</v>
      </c>
      <c r="N51" s="433" t="s">
        <v>20900</v>
      </c>
      <c r="O51" s="433">
        <v>2010.0</v>
      </c>
      <c r="P51" s="433" t="s">
        <v>11456</v>
      </c>
      <c r="Q51" s="433">
        <v>1.0</v>
      </c>
      <c r="R51" s="435"/>
    </row>
    <row r="52" ht="15.75" customHeight="1">
      <c r="B52" s="433">
        <v>47.0</v>
      </c>
      <c r="C52" s="433"/>
      <c r="D52" s="433"/>
      <c r="E52" s="434" t="s">
        <v>23554</v>
      </c>
      <c r="F52" s="433"/>
      <c r="G52" s="433" t="s">
        <v>47</v>
      </c>
      <c r="H52" s="433" t="s">
        <v>30</v>
      </c>
      <c r="I52" s="433"/>
      <c r="J52" s="433" t="s">
        <v>30</v>
      </c>
      <c r="K52" s="433">
        <v>293.0</v>
      </c>
      <c r="L52" s="433" t="s">
        <v>23555</v>
      </c>
      <c r="M52" s="433" t="s">
        <v>23556</v>
      </c>
      <c r="N52" s="433" t="s">
        <v>6535</v>
      </c>
      <c r="O52" s="433">
        <v>2012.0</v>
      </c>
      <c r="P52" s="433" t="s">
        <v>11456</v>
      </c>
      <c r="Q52" s="433">
        <v>1.0</v>
      </c>
      <c r="R52" s="435"/>
    </row>
    <row r="53" ht="15.75" customHeight="1">
      <c r="B53" s="433">
        <v>48.0</v>
      </c>
      <c r="C53" s="433"/>
      <c r="D53" s="433"/>
      <c r="E53" s="434" t="s">
        <v>23557</v>
      </c>
      <c r="F53" s="433"/>
      <c r="G53" s="433" t="s">
        <v>47</v>
      </c>
      <c r="H53" s="433" t="s">
        <v>30</v>
      </c>
      <c r="I53" s="433"/>
      <c r="J53" s="433" t="s">
        <v>30</v>
      </c>
      <c r="K53" s="433">
        <v>90.0</v>
      </c>
      <c r="L53" s="433" t="s">
        <v>23558</v>
      </c>
      <c r="M53" s="433" t="s">
        <v>20278</v>
      </c>
      <c r="N53" s="433" t="s">
        <v>20270</v>
      </c>
      <c r="O53" s="538"/>
      <c r="P53" s="433" t="s">
        <v>11456</v>
      </c>
      <c r="Q53" s="433">
        <v>1.0</v>
      </c>
      <c r="R53" s="435"/>
    </row>
    <row r="54" ht="15.75" customHeight="1">
      <c r="B54" s="433">
        <v>49.0</v>
      </c>
      <c r="C54" s="433"/>
      <c r="D54" s="433"/>
      <c r="E54" s="434" t="s">
        <v>23559</v>
      </c>
      <c r="F54" s="433"/>
      <c r="G54" s="433" t="s">
        <v>47</v>
      </c>
      <c r="H54" s="433" t="s">
        <v>2743</v>
      </c>
      <c r="I54" s="433"/>
      <c r="J54" s="433" t="s">
        <v>38</v>
      </c>
      <c r="K54" s="433">
        <v>371.0</v>
      </c>
      <c r="L54" s="433" t="s">
        <v>13582</v>
      </c>
      <c r="M54" s="577" t="s">
        <v>23560</v>
      </c>
      <c r="N54" s="433" t="s">
        <v>23561</v>
      </c>
      <c r="O54" s="433">
        <v>1990.0</v>
      </c>
      <c r="P54" s="433" t="s">
        <v>11456</v>
      </c>
      <c r="Q54" s="433">
        <v>1.0</v>
      </c>
      <c r="R54" s="435"/>
    </row>
    <row r="55" ht="15.75" customHeight="1">
      <c r="B55" s="433">
        <v>50.0</v>
      </c>
      <c r="C55" s="433" t="s">
        <v>2490</v>
      </c>
      <c r="D55" s="433"/>
      <c r="E55" s="434" t="s">
        <v>23562</v>
      </c>
      <c r="F55" s="433"/>
      <c r="G55" s="433" t="s">
        <v>47</v>
      </c>
      <c r="H55" s="433" t="s">
        <v>30</v>
      </c>
      <c r="I55" s="433"/>
      <c r="J55" s="433" t="s">
        <v>30</v>
      </c>
      <c r="K55" s="433">
        <v>189.0</v>
      </c>
      <c r="L55" s="433"/>
      <c r="M55" s="433" t="s">
        <v>23563</v>
      </c>
      <c r="N55" s="433" t="s">
        <v>2494</v>
      </c>
      <c r="O55" s="433">
        <v>2005.0</v>
      </c>
      <c r="P55" s="433" t="s">
        <v>11456</v>
      </c>
      <c r="Q55" s="433">
        <v>1.0</v>
      </c>
      <c r="R55" s="435"/>
    </row>
    <row r="56" ht="15.75" customHeight="1">
      <c r="B56" s="433">
        <v>51.0</v>
      </c>
      <c r="C56" s="433"/>
      <c r="D56" s="433"/>
      <c r="E56" s="434" t="s">
        <v>23564</v>
      </c>
      <c r="F56" s="433"/>
      <c r="G56" s="433" t="s">
        <v>47</v>
      </c>
      <c r="H56" s="433" t="s">
        <v>30</v>
      </c>
      <c r="I56" s="433"/>
      <c r="J56" s="433" t="s">
        <v>30</v>
      </c>
      <c r="K56" s="433">
        <v>144.0</v>
      </c>
      <c r="L56" s="433"/>
      <c r="M56" s="433" t="s">
        <v>6646</v>
      </c>
      <c r="N56" s="433" t="s">
        <v>2494</v>
      </c>
      <c r="O56" s="433">
        <v>2000.0</v>
      </c>
      <c r="P56" s="433" t="s">
        <v>11456</v>
      </c>
      <c r="Q56" s="433">
        <v>1.0</v>
      </c>
      <c r="R56" s="435"/>
    </row>
    <row r="57" ht="15.75" customHeight="1">
      <c r="B57" s="433">
        <v>52.0</v>
      </c>
      <c r="C57" s="433"/>
      <c r="D57" s="433"/>
      <c r="E57" s="434" t="s">
        <v>6282</v>
      </c>
      <c r="F57" s="433"/>
      <c r="G57" s="433" t="s">
        <v>47</v>
      </c>
      <c r="H57" s="433" t="s">
        <v>30</v>
      </c>
      <c r="I57" s="433"/>
      <c r="J57" s="433" t="s">
        <v>30</v>
      </c>
      <c r="K57" s="433">
        <v>38.0</v>
      </c>
      <c r="L57" s="433"/>
      <c r="M57" s="433"/>
      <c r="N57" s="433" t="s">
        <v>23565</v>
      </c>
      <c r="O57" s="433"/>
      <c r="P57" s="433" t="s">
        <v>11456</v>
      </c>
      <c r="Q57" s="433">
        <v>1.0</v>
      </c>
      <c r="R57" s="435"/>
    </row>
    <row r="58" ht="15.75" customHeight="1">
      <c r="B58" s="433">
        <v>53.0</v>
      </c>
      <c r="C58" s="433"/>
      <c r="D58" s="433"/>
      <c r="E58" s="434" t="s">
        <v>23566</v>
      </c>
      <c r="F58" s="433"/>
      <c r="G58" s="433" t="s">
        <v>47</v>
      </c>
      <c r="H58" s="433" t="s">
        <v>2743</v>
      </c>
      <c r="I58" s="433"/>
      <c r="J58" s="433" t="s">
        <v>38</v>
      </c>
      <c r="K58" s="433">
        <v>383.0</v>
      </c>
      <c r="L58" s="433"/>
      <c r="M58" s="433" t="s">
        <v>23567</v>
      </c>
      <c r="N58" s="433" t="s">
        <v>23568</v>
      </c>
      <c r="O58" s="433">
        <v>1991.0</v>
      </c>
      <c r="P58" s="433" t="s">
        <v>11456</v>
      </c>
      <c r="Q58" s="433">
        <v>1.0</v>
      </c>
      <c r="R58" s="342"/>
    </row>
    <row r="59" ht="15.75" customHeight="1">
      <c r="B59" s="433">
        <v>54.0</v>
      </c>
      <c r="C59" s="466"/>
      <c r="D59" s="959"/>
      <c r="E59" s="960" t="s">
        <v>23569</v>
      </c>
      <c r="F59" s="959" t="s">
        <v>29</v>
      </c>
      <c r="G59" s="433" t="s">
        <v>47</v>
      </c>
      <c r="H59" s="959" t="s">
        <v>159</v>
      </c>
      <c r="I59" s="959"/>
      <c r="J59" s="959" t="s">
        <v>30</v>
      </c>
      <c r="K59" s="959">
        <v>270.0</v>
      </c>
      <c r="L59" s="959" t="s">
        <v>23570</v>
      </c>
      <c r="M59" s="959"/>
      <c r="N59" s="959" t="s">
        <v>23571</v>
      </c>
      <c r="O59" s="959">
        <v>2002.0</v>
      </c>
      <c r="P59" s="433" t="s">
        <v>11456</v>
      </c>
      <c r="Q59" s="959">
        <v>1.0</v>
      </c>
      <c r="R59" s="435"/>
    </row>
    <row r="60" ht="15.75" customHeight="1">
      <c r="B60" s="433">
        <v>55.0</v>
      </c>
      <c r="C60" s="450"/>
      <c r="D60" s="450"/>
      <c r="E60" s="523" t="s">
        <v>23572</v>
      </c>
      <c r="F60" s="959" t="s">
        <v>29</v>
      </c>
      <c r="G60" s="433" t="s">
        <v>47</v>
      </c>
      <c r="H60" s="959" t="s">
        <v>159</v>
      </c>
      <c r="I60" s="450"/>
      <c r="J60" s="959" t="s">
        <v>30</v>
      </c>
      <c r="K60" s="450">
        <v>92.0</v>
      </c>
      <c r="L60" s="959" t="s">
        <v>23570</v>
      </c>
      <c r="M60" s="450"/>
      <c r="N60" s="450" t="s">
        <v>23483</v>
      </c>
      <c r="O60" s="450">
        <v>1984.0</v>
      </c>
      <c r="P60" s="433" t="s">
        <v>11456</v>
      </c>
      <c r="Q60" s="450">
        <v>1.0</v>
      </c>
      <c r="R60" s="435"/>
    </row>
    <row r="61" ht="15.75" customHeight="1">
      <c r="B61" s="433">
        <v>56.0</v>
      </c>
      <c r="C61" s="450"/>
      <c r="D61" s="450"/>
      <c r="E61" s="523" t="s">
        <v>23573</v>
      </c>
      <c r="F61" s="959" t="s">
        <v>29</v>
      </c>
      <c r="G61" s="433" t="s">
        <v>47</v>
      </c>
      <c r="H61" s="959" t="s">
        <v>159</v>
      </c>
      <c r="I61" s="450"/>
      <c r="J61" s="959" t="s">
        <v>30</v>
      </c>
      <c r="K61" s="450">
        <v>98.0</v>
      </c>
      <c r="L61" s="959" t="s">
        <v>23570</v>
      </c>
      <c r="M61" s="450"/>
      <c r="N61" s="450" t="s">
        <v>23483</v>
      </c>
      <c r="O61" s="450">
        <v>1983.0</v>
      </c>
      <c r="P61" s="433" t="s">
        <v>11456</v>
      </c>
      <c r="Q61" s="450">
        <v>1.0</v>
      </c>
      <c r="R61" s="435"/>
    </row>
    <row r="62" ht="15.75" customHeight="1">
      <c r="B62" s="433">
        <v>57.0</v>
      </c>
      <c r="C62" s="450"/>
      <c r="D62" s="450"/>
      <c r="E62" s="523" t="s">
        <v>23574</v>
      </c>
      <c r="F62" s="959" t="s">
        <v>29</v>
      </c>
      <c r="G62" s="433" t="s">
        <v>47</v>
      </c>
      <c r="H62" s="959" t="s">
        <v>159</v>
      </c>
      <c r="I62" s="450"/>
      <c r="J62" s="959" t="s">
        <v>30</v>
      </c>
      <c r="K62" s="450">
        <v>252.0</v>
      </c>
      <c r="L62" s="450"/>
      <c r="M62" s="450"/>
      <c r="N62" s="450" t="s">
        <v>23463</v>
      </c>
      <c r="O62" s="450">
        <v>1998.0</v>
      </c>
      <c r="P62" s="433" t="s">
        <v>11456</v>
      </c>
      <c r="Q62" s="450">
        <v>1.0</v>
      </c>
      <c r="R62" s="435"/>
    </row>
    <row r="63" ht="15.75" customHeight="1">
      <c r="B63" s="433">
        <v>58.0</v>
      </c>
      <c r="C63" s="450" t="s">
        <v>23467</v>
      </c>
      <c r="D63" s="450"/>
      <c r="E63" s="523" t="s">
        <v>23575</v>
      </c>
      <c r="F63" s="959" t="s">
        <v>29</v>
      </c>
      <c r="G63" s="433" t="s">
        <v>47</v>
      </c>
      <c r="H63" s="959" t="s">
        <v>159</v>
      </c>
      <c r="I63" s="450"/>
      <c r="J63" s="959" t="s">
        <v>30</v>
      </c>
      <c r="K63" s="450">
        <v>246.0</v>
      </c>
      <c r="L63" s="450"/>
      <c r="M63" s="450" t="s">
        <v>23576</v>
      </c>
      <c r="N63" s="450" t="s">
        <v>23577</v>
      </c>
      <c r="O63" s="450">
        <v>1997.0</v>
      </c>
      <c r="P63" s="433" t="s">
        <v>11456</v>
      </c>
      <c r="Q63" s="450">
        <v>1.0</v>
      </c>
      <c r="R63" s="435"/>
    </row>
    <row r="64" ht="15.75" customHeight="1">
      <c r="B64" s="433">
        <v>59.0</v>
      </c>
      <c r="C64" s="450" t="s">
        <v>23478</v>
      </c>
      <c r="D64" s="450"/>
      <c r="E64" s="523" t="s">
        <v>23578</v>
      </c>
      <c r="F64" s="959" t="s">
        <v>29</v>
      </c>
      <c r="G64" s="433" t="s">
        <v>47</v>
      </c>
      <c r="H64" s="959" t="s">
        <v>159</v>
      </c>
      <c r="I64" s="450"/>
      <c r="J64" s="959" t="s">
        <v>30</v>
      </c>
      <c r="K64" s="450">
        <v>575.0</v>
      </c>
      <c r="L64" s="450"/>
      <c r="M64" s="450" t="s">
        <v>23579</v>
      </c>
      <c r="N64" s="433" t="s">
        <v>151</v>
      </c>
      <c r="O64" s="450">
        <v>1996.0</v>
      </c>
      <c r="P64" s="433" t="s">
        <v>11456</v>
      </c>
      <c r="Q64" s="450">
        <v>1.0</v>
      </c>
      <c r="R64" s="435"/>
    </row>
    <row r="65" ht="15.75" customHeight="1">
      <c r="B65" s="433">
        <v>60.0</v>
      </c>
      <c r="C65" s="450" t="s">
        <v>23476</v>
      </c>
      <c r="D65" s="450"/>
      <c r="E65" s="523" t="s">
        <v>23580</v>
      </c>
      <c r="F65" s="959" t="s">
        <v>29</v>
      </c>
      <c r="G65" s="433" t="s">
        <v>47</v>
      </c>
      <c r="H65" s="959" t="s">
        <v>159</v>
      </c>
      <c r="I65" s="450"/>
      <c r="J65" s="959" t="s">
        <v>30</v>
      </c>
      <c r="K65" s="450">
        <v>609.0</v>
      </c>
      <c r="L65" s="450"/>
      <c r="M65" s="450" t="s">
        <v>23581</v>
      </c>
      <c r="N65" s="450" t="s">
        <v>23582</v>
      </c>
      <c r="O65" s="450">
        <v>2001.0</v>
      </c>
      <c r="P65" s="433" t="s">
        <v>11456</v>
      </c>
      <c r="Q65" s="450">
        <v>1.0</v>
      </c>
      <c r="R65" s="435"/>
    </row>
    <row r="66" ht="15.75" customHeight="1">
      <c r="B66" s="433">
        <v>61.0</v>
      </c>
      <c r="C66" s="450" t="s">
        <v>23583</v>
      </c>
      <c r="D66" s="450"/>
      <c r="E66" s="523" t="s">
        <v>23584</v>
      </c>
      <c r="F66" s="959" t="s">
        <v>29</v>
      </c>
      <c r="G66" s="433" t="s">
        <v>47</v>
      </c>
      <c r="H66" s="959" t="s">
        <v>159</v>
      </c>
      <c r="I66" s="450"/>
      <c r="J66" s="959" t="s">
        <v>30</v>
      </c>
      <c r="K66" s="961">
        <v>629.0</v>
      </c>
      <c r="L66" s="450"/>
      <c r="M66" s="450" t="s">
        <v>23581</v>
      </c>
      <c r="N66" s="450" t="s">
        <v>23582</v>
      </c>
      <c r="O66" s="450">
        <v>2003.0</v>
      </c>
      <c r="P66" s="433" t="s">
        <v>11456</v>
      </c>
      <c r="Q66" s="450">
        <v>1.0</v>
      </c>
      <c r="R66" s="435"/>
    </row>
    <row r="67" ht="15.75" customHeight="1">
      <c r="B67" s="433">
        <v>62.0</v>
      </c>
      <c r="C67" s="450" t="s">
        <v>23472</v>
      </c>
      <c r="D67" s="450"/>
      <c r="E67" s="523" t="s">
        <v>23585</v>
      </c>
      <c r="F67" s="959" t="s">
        <v>29</v>
      </c>
      <c r="G67" s="433" t="s">
        <v>47</v>
      </c>
      <c r="H67" s="959" t="s">
        <v>159</v>
      </c>
      <c r="I67" s="450"/>
      <c r="J67" s="959" t="s">
        <v>30</v>
      </c>
      <c r="K67" s="450">
        <v>682.0</v>
      </c>
      <c r="L67" s="450"/>
      <c r="M67" s="450" t="s">
        <v>23581</v>
      </c>
      <c r="N67" s="450" t="s">
        <v>23582</v>
      </c>
      <c r="O67" s="450">
        <v>2003.0</v>
      </c>
      <c r="P67" s="433" t="s">
        <v>11456</v>
      </c>
      <c r="Q67" s="450">
        <v>1.0</v>
      </c>
      <c r="R67" s="435"/>
    </row>
    <row r="68" ht="15.75" customHeight="1">
      <c r="B68" s="433">
        <v>63.0</v>
      </c>
      <c r="C68" s="450" t="s">
        <v>23489</v>
      </c>
      <c r="D68" s="450"/>
      <c r="E68" s="523" t="s">
        <v>23586</v>
      </c>
      <c r="F68" s="959" t="s">
        <v>29</v>
      </c>
      <c r="G68" s="433" t="s">
        <v>47</v>
      </c>
      <c r="H68" s="959" t="s">
        <v>159</v>
      </c>
      <c r="I68" s="450"/>
      <c r="J68" s="959" t="s">
        <v>30</v>
      </c>
      <c r="K68" s="450">
        <v>679.0</v>
      </c>
      <c r="L68" s="450"/>
      <c r="M68" s="450" t="s">
        <v>23581</v>
      </c>
      <c r="N68" s="450" t="s">
        <v>23582</v>
      </c>
      <c r="O68" s="450">
        <v>2003.0</v>
      </c>
      <c r="P68" s="433" t="s">
        <v>11456</v>
      </c>
      <c r="Q68" s="450">
        <v>1.0</v>
      </c>
      <c r="R68" s="435"/>
    </row>
    <row r="69" ht="15.75" customHeight="1">
      <c r="B69" s="433">
        <v>64.0</v>
      </c>
      <c r="C69" s="450" t="s">
        <v>23453</v>
      </c>
      <c r="D69" s="450"/>
      <c r="E69" s="523" t="s">
        <v>23454</v>
      </c>
      <c r="F69" s="959" t="s">
        <v>29</v>
      </c>
      <c r="G69" s="433" t="s">
        <v>47</v>
      </c>
      <c r="H69" s="959" t="s">
        <v>159</v>
      </c>
      <c r="I69" s="450"/>
      <c r="J69" s="959" t="s">
        <v>30</v>
      </c>
      <c r="K69" s="450">
        <v>376.0</v>
      </c>
      <c r="L69" s="450"/>
      <c r="M69" s="450" t="s">
        <v>23587</v>
      </c>
      <c r="N69" s="450" t="s">
        <v>23463</v>
      </c>
      <c r="O69" s="450">
        <v>1997.0</v>
      </c>
      <c r="P69" s="433" t="s">
        <v>11456</v>
      </c>
      <c r="Q69" s="450">
        <v>1.0</v>
      </c>
      <c r="R69" s="435"/>
    </row>
    <row r="70" ht="15.75" customHeight="1">
      <c r="B70" s="433">
        <v>65.0</v>
      </c>
      <c r="C70" s="450" t="s">
        <v>23588</v>
      </c>
      <c r="D70" s="450"/>
      <c r="E70" s="523" t="s">
        <v>23589</v>
      </c>
      <c r="F70" s="450" t="s">
        <v>29</v>
      </c>
      <c r="G70" s="433" t="s">
        <v>47</v>
      </c>
      <c r="H70" s="959" t="s">
        <v>159</v>
      </c>
      <c r="I70" s="450"/>
      <c r="J70" s="959" t="s">
        <v>30</v>
      </c>
      <c r="K70" s="450">
        <v>331.0</v>
      </c>
      <c r="L70" s="450"/>
      <c r="M70" s="450" t="s">
        <v>23590</v>
      </c>
      <c r="N70" s="450" t="s">
        <v>23591</v>
      </c>
      <c r="O70" s="450">
        <v>1991.0</v>
      </c>
      <c r="P70" s="433" t="s">
        <v>11456</v>
      </c>
      <c r="Q70" s="450">
        <v>1.0</v>
      </c>
      <c r="R70" s="435"/>
    </row>
    <row r="71" ht="15.75" customHeight="1">
      <c r="B71" s="433">
        <v>66.0</v>
      </c>
      <c r="C71" s="450" t="s">
        <v>23446</v>
      </c>
      <c r="D71" s="450"/>
      <c r="E71" s="523" t="s">
        <v>23592</v>
      </c>
      <c r="F71" s="450" t="s">
        <v>29</v>
      </c>
      <c r="G71" s="433" t="s">
        <v>47</v>
      </c>
      <c r="H71" s="959" t="s">
        <v>159</v>
      </c>
      <c r="I71" s="450"/>
      <c r="J71" s="959" t="s">
        <v>30</v>
      </c>
      <c r="K71" s="450">
        <v>258.0</v>
      </c>
      <c r="L71" s="450"/>
      <c r="M71" s="450" t="s">
        <v>23449</v>
      </c>
      <c r="N71" s="433" t="s">
        <v>2698</v>
      </c>
      <c r="O71" s="450">
        <v>2001.0</v>
      </c>
      <c r="P71" s="433" t="s">
        <v>11456</v>
      </c>
      <c r="Q71" s="450">
        <v>1.0</v>
      </c>
      <c r="R71" s="435"/>
    </row>
    <row r="72" ht="15.75" customHeight="1">
      <c r="B72" s="433">
        <v>67.0</v>
      </c>
      <c r="C72" s="450" t="s">
        <v>23460</v>
      </c>
      <c r="D72" s="450"/>
      <c r="E72" s="523" t="s">
        <v>23593</v>
      </c>
      <c r="F72" s="450" t="s">
        <v>29</v>
      </c>
      <c r="G72" s="433" t="s">
        <v>47</v>
      </c>
      <c r="H72" s="959" t="s">
        <v>159</v>
      </c>
      <c r="I72" s="450"/>
      <c r="J72" s="959" t="s">
        <v>30</v>
      </c>
      <c r="K72" s="450">
        <v>339.0</v>
      </c>
      <c r="L72" s="450"/>
      <c r="M72" s="450" t="s">
        <v>23594</v>
      </c>
      <c r="N72" s="433" t="s">
        <v>2494</v>
      </c>
      <c r="O72" s="450">
        <v>1998.0</v>
      </c>
      <c r="P72" s="433" t="s">
        <v>11456</v>
      </c>
      <c r="Q72" s="450">
        <v>1.0</v>
      </c>
      <c r="R72" s="435"/>
    </row>
    <row r="73" ht="15.75" customHeight="1">
      <c r="B73" s="433">
        <v>68.0</v>
      </c>
      <c r="C73" s="450"/>
      <c r="D73" s="450"/>
      <c r="E73" s="523" t="s">
        <v>23595</v>
      </c>
      <c r="F73" s="450" t="s">
        <v>29</v>
      </c>
      <c r="G73" s="433" t="s">
        <v>47</v>
      </c>
      <c r="H73" s="959" t="s">
        <v>159</v>
      </c>
      <c r="I73" s="450"/>
      <c r="J73" s="959" t="s">
        <v>30</v>
      </c>
      <c r="K73" s="450">
        <v>138.0</v>
      </c>
      <c r="L73" s="450"/>
      <c r="M73" s="450" t="s">
        <v>23596</v>
      </c>
      <c r="N73" s="450" t="s">
        <v>23597</v>
      </c>
      <c r="O73" s="450">
        <v>1995.0</v>
      </c>
      <c r="P73" s="433" t="s">
        <v>11456</v>
      </c>
      <c r="Q73" s="450">
        <v>1.0</v>
      </c>
      <c r="R73" s="435"/>
    </row>
    <row r="74" ht="15.75" customHeight="1">
      <c r="B74" s="433">
        <v>69.0</v>
      </c>
      <c r="C74" s="450" t="s">
        <v>5321</v>
      </c>
      <c r="D74" s="450"/>
      <c r="E74" s="523" t="s">
        <v>23598</v>
      </c>
      <c r="F74" s="450" t="s">
        <v>29</v>
      </c>
      <c r="G74" s="433" t="s">
        <v>47</v>
      </c>
      <c r="H74" s="959" t="s">
        <v>159</v>
      </c>
      <c r="I74" s="450"/>
      <c r="J74" s="959" t="s">
        <v>30</v>
      </c>
      <c r="K74" s="450">
        <v>383.0</v>
      </c>
      <c r="L74" s="450"/>
      <c r="M74" s="450" t="s">
        <v>5324</v>
      </c>
      <c r="N74" s="450" t="s">
        <v>23599</v>
      </c>
      <c r="O74" s="450">
        <v>2012.0</v>
      </c>
      <c r="P74" s="433" t="s">
        <v>11456</v>
      </c>
      <c r="Q74" s="450">
        <v>2.0</v>
      </c>
      <c r="R74" s="435"/>
    </row>
    <row r="75" ht="15.75" customHeight="1">
      <c r="A75" s="583"/>
      <c r="B75" s="433">
        <v>70.0</v>
      </c>
      <c r="C75" s="433"/>
      <c r="D75" s="433"/>
      <c r="E75" s="434" t="s">
        <v>23451</v>
      </c>
      <c r="F75" s="433" t="s">
        <v>144</v>
      </c>
      <c r="G75" s="433" t="s">
        <v>47</v>
      </c>
      <c r="H75" s="782" t="s">
        <v>159</v>
      </c>
      <c r="I75" s="433"/>
      <c r="J75" s="782" t="s">
        <v>30</v>
      </c>
      <c r="K75" s="433">
        <v>391.0</v>
      </c>
      <c r="L75" s="433"/>
      <c r="M75" s="433" t="s">
        <v>23452</v>
      </c>
      <c r="N75" s="433" t="s">
        <v>151</v>
      </c>
      <c r="O75" s="433">
        <v>1995.0</v>
      </c>
      <c r="P75" s="433" t="s">
        <v>11456</v>
      </c>
      <c r="Q75" s="433">
        <v>1.0</v>
      </c>
      <c r="R75" s="345"/>
      <c r="S75" s="583"/>
      <c r="T75" s="583"/>
      <c r="U75" s="583"/>
      <c r="V75" s="583"/>
      <c r="W75" s="583"/>
      <c r="X75" s="583"/>
      <c r="Y75" s="583"/>
      <c r="Z75" s="583"/>
    </row>
    <row r="76" ht="15.75" customHeight="1">
      <c r="B76" s="433">
        <v>71.0</v>
      </c>
      <c r="C76" s="433" t="s">
        <v>23441</v>
      </c>
      <c r="D76" s="433"/>
      <c r="E76" s="434" t="s">
        <v>23600</v>
      </c>
      <c r="F76" s="433" t="s">
        <v>29</v>
      </c>
      <c r="G76" s="433" t="s">
        <v>47</v>
      </c>
      <c r="H76" s="782" t="s">
        <v>159</v>
      </c>
      <c r="I76" s="433"/>
      <c r="J76" s="782" t="s">
        <v>30</v>
      </c>
      <c r="K76" s="433">
        <v>162.0</v>
      </c>
      <c r="L76" s="433"/>
      <c r="M76" s="433"/>
      <c r="N76" s="433" t="s">
        <v>23536</v>
      </c>
      <c r="O76" s="433">
        <v>2007.0</v>
      </c>
      <c r="P76" s="433" t="s">
        <v>11456</v>
      </c>
      <c r="Q76" s="433">
        <v>1.0</v>
      </c>
      <c r="R76" s="435"/>
    </row>
    <row r="77" ht="15.75" customHeight="1">
      <c r="B77" s="433">
        <v>72.0</v>
      </c>
      <c r="C77" s="433"/>
      <c r="D77" s="433"/>
      <c r="E77" s="434" t="s">
        <v>23435</v>
      </c>
      <c r="F77" s="433" t="s">
        <v>29</v>
      </c>
      <c r="G77" s="433" t="s">
        <v>47</v>
      </c>
      <c r="H77" s="782" t="s">
        <v>159</v>
      </c>
      <c r="I77" s="433"/>
      <c r="J77" s="782" t="s">
        <v>30</v>
      </c>
      <c r="K77" s="433">
        <v>164.0</v>
      </c>
      <c r="L77" s="433"/>
      <c r="M77" s="433" t="s">
        <v>23601</v>
      </c>
      <c r="N77" s="433" t="s">
        <v>23602</v>
      </c>
      <c r="O77" s="433">
        <v>1996.0</v>
      </c>
      <c r="P77" s="433" t="s">
        <v>11456</v>
      </c>
      <c r="Q77" s="433">
        <v>1.0</v>
      </c>
      <c r="R77" s="435"/>
    </row>
    <row r="78" ht="15.75" customHeight="1">
      <c r="B78" s="433">
        <v>73.0</v>
      </c>
      <c r="C78" s="433"/>
      <c r="D78" s="433"/>
      <c r="E78" s="434" t="s">
        <v>23603</v>
      </c>
      <c r="F78" s="433" t="s">
        <v>29</v>
      </c>
      <c r="G78" s="433" t="s">
        <v>47</v>
      </c>
      <c r="H78" s="782" t="s">
        <v>159</v>
      </c>
      <c r="I78" s="433"/>
      <c r="J78" s="782" t="s">
        <v>30</v>
      </c>
      <c r="K78" s="433">
        <v>73.0</v>
      </c>
      <c r="L78" s="433"/>
      <c r="M78" s="433" t="s">
        <v>13552</v>
      </c>
      <c r="N78" s="433" t="s">
        <v>13552</v>
      </c>
      <c r="O78" s="433">
        <v>2001.0</v>
      </c>
      <c r="P78" s="433" t="s">
        <v>11456</v>
      </c>
      <c r="Q78" s="433">
        <v>1.0</v>
      </c>
      <c r="R78" s="435"/>
    </row>
    <row r="79" ht="15.75" customHeight="1">
      <c r="B79" s="433">
        <v>74.0</v>
      </c>
      <c r="C79" s="433"/>
      <c r="D79" s="433"/>
      <c r="E79" s="434" t="s">
        <v>23604</v>
      </c>
      <c r="F79" s="433" t="s">
        <v>29</v>
      </c>
      <c r="G79" s="433" t="s">
        <v>47</v>
      </c>
      <c r="H79" s="782" t="s">
        <v>159</v>
      </c>
      <c r="I79" s="433"/>
      <c r="J79" s="782" t="s">
        <v>30</v>
      </c>
      <c r="K79" s="433">
        <v>178.0</v>
      </c>
      <c r="L79" s="433"/>
      <c r="M79" s="433" t="s">
        <v>23605</v>
      </c>
      <c r="N79" s="433" t="s">
        <v>151</v>
      </c>
      <c r="O79" s="433">
        <v>1987.0</v>
      </c>
      <c r="P79" s="433" t="s">
        <v>11456</v>
      </c>
      <c r="Q79" s="433">
        <v>1.0</v>
      </c>
      <c r="R79" s="435"/>
    </row>
    <row r="80" ht="15.75" customHeight="1">
      <c r="B80" s="433">
        <v>75.0</v>
      </c>
      <c r="C80" s="433"/>
      <c r="D80" s="433"/>
      <c r="E80" s="434" t="s">
        <v>6549</v>
      </c>
      <c r="F80" s="433" t="s">
        <v>29</v>
      </c>
      <c r="G80" s="433" t="s">
        <v>47</v>
      </c>
      <c r="H80" s="782" t="s">
        <v>159</v>
      </c>
      <c r="I80" s="433"/>
      <c r="J80" s="782" t="s">
        <v>30</v>
      </c>
      <c r="K80" s="433">
        <v>107.0</v>
      </c>
      <c r="L80" s="433"/>
      <c r="M80" s="433" t="s">
        <v>23606</v>
      </c>
      <c r="N80" s="433" t="s">
        <v>6551</v>
      </c>
      <c r="O80" s="433">
        <v>1974.0</v>
      </c>
      <c r="P80" s="433" t="s">
        <v>11456</v>
      </c>
      <c r="Q80" s="433">
        <v>1.0</v>
      </c>
      <c r="R80" s="435"/>
    </row>
    <row r="81" ht="15.75" customHeight="1">
      <c r="B81" s="433">
        <v>76.0</v>
      </c>
      <c r="C81" s="433"/>
      <c r="D81" s="433"/>
      <c r="E81" s="434" t="s">
        <v>23607</v>
      </c>
      <c r="F81" s="433" t="s">
        <v>29</v>
      </c>
      <c r="G81" s="433" t="s">
        <v>47</v>
      </c>
      <c r="H81" s="782" t="s">
        <v>159</v>
      </c>
      <c r="I81" s="433"/>
      <c r="J81" s="782" t="s">
        <v>30</v>
      </c>
      <c r="K81" s="433">
        <v>137.0</v>
      </c>
      <c r="L81" s="433"/>
      <c r="M81" s="433" t="s">
        <v>23608</v>
      </c>
      <c r="N81" s="433" t="s">
        <v>151</v>
      </c>
      <c r="O81" s="433">
        <v>1976.0</v>
      </c>
      <c r="P81" s="433" t="s">
        <v>11456</v>
      </c>
      <c r="Q81" s="433">
        <v>1.0</v>
      </c>
      <c r="R81" s="435"/>
    </row>
    <row r="82" ht="15.75" customHeight="1">
      <c r="B82" s="433">
        <v>77.0</v>
      </c>
      <c r="C82" s="433"/>
      <c r="D82" s="433"/>
      <c r="E82" s="434" t="s">
        <v>23609</v>
      </c>
      <c r="F82" s="433" t="s">
        <v>29</v>
      </c>
      <c r="G82" s="433" t="s">
        <v>47</v>
      </c>
      <c r="H82" s="782" t="s">
        <v>159</v>
      </c>
      <c r="I82" s="433"/>
      <c r="J82" s="782" t="s">
        <v>30</v>
      </c>
      <c r="K82" s="433">
        <v>168.0</v>
      </c>
      <c r="L82" s="433"/>
      <c r="M82" s="433" t="s">
        <v>23610</v>
      </c>
      <c r="N82" s="433" t="s">
        <v>23429</v>
      </c>
      <c r="O82" s="433">
        <v>2003.0</v>
      </c>
      <c r="P82" s="433" t="s">
        <v>11456</v>
      </c>
      <c r="Q82" s="433">
        <v>1.0</v>
      </c>
      <c r="R82" s="435"/>
    </row>
    <row r="83" ht="15.75" customHeight="1">
      <c r="B83" s="433">
        <v>78.0</v>
      </c>
      <c r="C83" s="433"/>
      <c r="D83" s="433"/>
      <c r="E83" s="434" t="s">
        <v>23611</v>
      </c>
      <c r="F83" s="433" t="s">
        <v>29</v>
      </c>
      <c r="G83" s="433" t="s">
        <v>47</v>
      </c>
      <c r="H83" s="782" t="s">
        <v>159</v>
      </c>
      <c r="I83" s="433"/>
      <c r="J83" s="782" t="s">
        <v>30</v>
      </c>
      <c r="K83" s="433">
        <v>223.0</v>
      </c>
      <c r="L83" s="433"/>
      <c r="M83" s="433"/>
      <c r="N83" s="433" t="s">
        <v>2451</v>
      </c>
      <c r="O83" s="433">
        <v>1990.0</v>
      </c>
      <c r="P83" s="433" t="s">
        <v>11456</v>
      </c>
      <c r="Q83" s="433">
        <v>1.0</v>
      </c>
      <c r="R83" s="435"/>
    </row>
    <row r="84" ht="15.75" customHeight="1">
      <c r="B84" s="433">
        <v>79.0</v>
      </c>
      <c r="C84" s="433"/>
      <c r="D84" s="433"/>
      <c r="E84" s="434" t="s">
        <v>23612</v>
      </c>
      <c r="F84" s="433" t="s">
        <v>29</v>
      </c>
      <c r="G84" s="433" t="s">
        <v>47</v>
      </c>
      <c r="H84" s="782" t="s">
        <v>159</v>
      </c>
      <c r="I84" s="433"/>
      <c r="J84" s="782" t="s">
        <v>30</v>
      </c>
      <c r="K84" s="433">
        <v>578.0</v>
      </c>
      <c r="L84" s="433"/>
      <c r="M84" s="433"/>
      <c r="N84" s="433" t="s">
        <v>23613</v>
      </c>
      <c r="O84" s="433">
        <v>1999.0</v>
      </c>
      <c r="P84" s="433" t="s">
        <v>11456</v>
      </c>
      <c r="Q84" s="433">
        <v>1.0</v>
      </c>
      <c r="R84" s="435"/>
    </row>
    <row r="85" ht="15.75" customHeight="1">
      <c r="B85" s="433">
        <v>80.0</v>
      </c>
      <c r="C85" s="433"/>
      <c r="D85" s="433"/>
      <c r="E85" s="434" t="s">
        <v>23614</v>
      </c>
      <c r="F85" s="433" t="s">
        <v>29</v>
      </c>
      <c r="G85" s="433" t="s">
        <v>47</v>
      </c>
      <c r="H85" s="782" t="s">
        <v>159</v>
      </c>
      <c r="I85" s="433"/>
      <c r="J85" s="782" t="s">
        <v>30</v>
      </c>
      <c r="K85" s="433">
        <v>61.0</v>
      </c>
      <c r="L85" s="433"/>
      <c r="M85" s="433"/>
      <c r="N85" s="433" t="s">
        <v>23492</v>
      </c>
      <c r="O85" s="433">
        <v>1992.0</v>
      </c>
      <c r="P85" s="433" t="s">
        <v>11456</v>
      </c>
      <c r="Q85" s="433">
        <v>1.0</v>
      </c>
      <c r="R85" s="435"/>
    </row>
    <row r="86" ht="15.75" customHeight="1">
      <c r="B86" s="433">
        <v>81.0</v>
      </c>
      <c r="C86" s="433" t="s">
        <v>13417</v>
      </c>
      <c r="D86" s="433"/>
      <c r="E86" s="434" t="s">
        <v>23615</v>
      </c>
      <c r="F86" s="433" t="s">
        <v>29</v>
      </c>
      <c r="G86" s="433" t="s">
        <v>47</v>
      </c>
      <c r="H86" s="782" t="s">
        <v>159</v>
      </c>
      <c r="I86" s="433"/>
      <c r="J86" s="782" t="s">
        <v>30</v>
      </c>
      <c r="K86" s="433">
        <v>67.0</v>
      </c>
      <c r="L86" s="433"/>
      <c r="M86" s="433"/>
      <c r="N86" s="433" t="s">
        <v>13419</v>
      </c>
      <c r="O86" s="433">
        <v>1979.0</v>
      </c>
      <c r="P86" s="433" t="s">
        <v>11456</v>
      </c>
      <c r="Q86" s="433">
        <v>2.0</v>
      </c>
      <c r="R86" s="435"/>
    </row>
    <row r="87" ht="15.75" customHeight="1">
      <c r="B87" s="433">
        <v>82.0</v>
      </c>
      <c r="C87" s="433"/>
      <c r="D87" s="433"/>
      <c r="E87" s="434" t="s">
        <v>23616</v>
      </c>
      <c r="F87" s="433" t="s">
        <v>7510</v>
      </c>
      <c r="G87" s="433" t="s">
        <v>47</v>
      </c>
      <c r="H87" s="782" t="s">
        <v>159</v>
      </c>
      <c r="I87" s="433"/>
      <c r="J87" s="782" t="s">
        <v>30</v>
      </c>
      <c r="K87" s="433">
        <v>435.0</v>
      </c>
      <c r="L87" s="433"/>
      <c r="M87" s="433"/>
      <c r="N87" s="433" t="s">
        <v>23617</v>
      </c>
      <c r="O87" s="433">
        <v>2004.0</v>
      </c>
      <c r="P87" s="433" t="s">
        <v>11456</v>
      </c>
      <c r="Q87" s="433">
        <v>1.0</v>
      </c>
      <c r="R87" s="435"/>
    </row>
    <row r="88" ht="15.75" customHeight="1">
      <c r="A88" s="583"/>
      <c r="B88" s="433">
        <v>83.0</v>
      </c>
      <c r="C88" s="433"/>
      <c r="D88" s="433"/>
      <c r="E88" s="434" t="s">
        <v>11893</v>
      </c>
      <c r="F88" s="433" t="s">
        <v>144</v>
      </c>
      <c r="G88" s="433" t="s">
        <v>47</v>
      </c>
      <c r="H88" s="782" t="s">
        <v>159</v>
      </c>
      <c r="I88" s="433"/>
      <c r="J88" s="782" t="s">
        <v>30</v>
      </c>
      <c r="K88" s="433">
        <v>352.0</v>
      </c>
      <c r="L88" s="433"/>
      <c r="M88" s="433" t="s">
        <v>11687</v>
      </c>
      <c r="N88" s="433" t="s">
        <v>23618</v>
      </c>
      <c r="O88" s="433">
        <v>2007.0</v>
      </c>
      <c r="P88" s="433" t="s">
        <v>11456</v>
      </c>
      <c r="Q88" s="433">
        <v>1.0</v>
      </c>
      <c r="R88" s="345"/>
      <c r="S88" s="583"/>
      <c r="T88" s="583"/>
      <c r="U88" s="583"/>
      <c r="V88" s="583"/>
      <c r="W88" s="583"/>
      <c r="X88" s="583"/>
      <c r="Y88" s="583"/>
      <c r="Z88" s="583"/>
    </row>
    <row r="89" ht="15.75" customHeight="1">
      <c r="A89" s="583"/>
      <c r="B89" s="433">
        <v>84.0</v>
      </c>
      <c r="C89" s="433"/>
      <c r="D89" s="433"/>
      <c r="E89" s="434" t="s">
        <v>23619</v>
      </c>
      <c r="F89" s="433" t="s">
        <v>144</v>
      </c>
      <c r="G89" s="433" t="s">
        <v>47</v>
      </c>
      <c r="H89" s="433" t="s">
        <v>159</v>
      </c>
      <c r="I89" s="433"/>
      <c r="J89" s="433" t="s">
        <v>30</v>
      </c>
      <c r="K89" s="433"/>
      <c r="L89" s="433" t="s">
        <v>13601</v>
      </c>
      <c r="M89" s="433" t="s">
        <v>13552</v>
      </c>
      <c r="N89" s="433" t="s">
        <v>13552</v>
      </c>
      <c r="O89" s="433">
        <v>2010.0</v>
      </c>
      <c r="P89" s="433" t="s">
        <v>11456</v>
      </c>
      <c r="Q89" s="433">
        <v>1.0</v>
      </c>
      <c r="R89" s="345"/>
      <c r="S89" s="583"/>
      <c r="T89" s="583"/>
      <c r="U89" s="583"/>
      <c r="V89" s="583"/>
      <c r="W89" s="583"/>
      <c r="X89" s="583"/>
      <c r="Y89" s="583"/>
      <c r="Z89" s="583"/>
    </row>
    <row r="90" ht="15.75" customHeight="1">
      <c r="B90" s="433">
        <v>85.0</v>
      </c>
      <c r="C90" s="433" t="s">
        <v>13295</v>
      </c>
      <c r="D90" s="433"/>
      <c r="E90" s="434" t="s">
        <v>23620</v>
      </c>
      <c r="F90" s="433" t="s">
        <v>29</v>
      </c>
      <c r="G90" s="433" t="s">
        <v>47</v>
      </c>
      <c r="H90" s="433"/>
      <c r="I90" s="433"/>
      <c r="J90" s="433" t="s">
        <v>38</v>
      </c>
      <c r="K90" s="433">
        <v>71.0</v>
      </c>
      <c r="L90" s="433" t="s">
        <v>13601</v>
      </c>
      <c r="M90" s="433" t="s">
        <v>23621</v>
      </c>
      <c r="N90" s="433" t="s">
        <v>3746</v>
      </c>
      <c r="O90" s="433">
        <v>1996.0</v>
      </c>
      <c r="P90" s="433" t="s">
        <v>11456</v>
      </c>
      <c r="Q90" s="433">
        <v>1.0</v>
      </c>
      <c r="R90" s="435"/>
    </row>
    <row r="91" ht="15.75" customHeight="1">
      <c r="B91" s="433">
        <v>86.0</v>
      </c>
      <c r="C91" s="433" t="s">
        <v>23622</v>
      </c>
      <c r="D91" s="433"/>
      <c r="E91" s="434" t="s">
        <v>23623</v>
      </c>
      <c r="F91" s="433" t="s">
        <v>29</v>
      </c>
      <c r="G91" s="433" t="s">
        <v>47</v>
      </c>
      <c r="H91" s="433" t="s">
        <v>159</v>
      </c>
      <c r="I91" s="433"/>
      <c r="J91" s="433" t="s">
        <v>30</v>
      </c>
      <c r="K91" s="433">
        <v>162.0</v>
      </c>
      <c r="L91" s="433" t="s">
        <v>15377</v>
      </c>
      <c r="M91" s="433"/>
      <c r="N91" s="433" t="s">
        <v>20935</v>
      </c>
      <c r="O91" s="433">
        <v>2013.0</v>
      </c>
      <c r="P91" s="433" t="s">
        <v>11456</v>
      </c>
      <c r="Q91" s="433">
        <v>1.0</v>
      </c>
      <c r="R91" s="435"/>
    </row>
    <row r="92" ht="15.75" customHeight="1">
      <c r="B92" s="433">
        <v>87.0</v>
      </c>
      <c r="C92" s="433" t="s">
        <v>23622</v>
      </c>
      <c r="D92" s="433"/>
      <c r="E92" s="434" t="s">
        <v>23624</v>
      </c>
      <c r="F92" s="433" t="s">
        <v>29</v>
      </c>
      <c r="G92" s="433" t="s">
        <v>47</v>
      </c>
      <c r="H92" s="433" t="s">
        <v>159</v>
      </c>
      <c r="I92" s="433"/>
      <c r="J92" s="433" t="s">
        <v>30</v>
      </c>
      <c r="K92" s="433">
        <v>162.0</v>
      </c>
      <c r="L92" s="433" t="s">
        <v>15377</v>
      </c>
      <c r="M92" s="433"/>
      <c r="N92" s="433" t="s">
        <v>20935</v>
      </c>
      <c r="O92" s="433">
        <v>2013.0</v>
      </c>
      <c r="P92" s="433" t="s">
        <v>11456</v>
      </c>
      <c r="Q92" s="433">
        <v>1.0</v>
      </c>
      <c r="R92" s="435"/>
    </row>
    <row r="93" ht="15.75" customHeight="1">
      <c r="B93" s="433">
        <v>88.0</v>
      </c>
      <c r="C93" s="433" t="s">
        <v>23622</v>
      </c>
      <c r="D93" s="433"/>
      <c r="E93" s="434" t="s">
        <v>23625</v>
      </c>
      <c r="F93" s="433" t="s">
        <v>29</v>
      </c>
      <c r="G93" s="433" t="s">
        <v>47</v>
      </c>
      <c r="H93" s="433" t="s">
        <v>159</v>
      </c>
      <c r="I93" s="433"/>
      <c r="J93" s="433" t="s">
        <v>30</v>
      </c>
      <c r="K93" s="433">
        <v>162.0</v>
      </c>
      <c r="L93" s="433" t="s">
        <v>15377</v>
      </c>
      <c r="M93" s="433"/>
      <c r="N93" s="433" t="s">
        <v>20935</v>
      </c>
      <c r="O93" s="433">
        <v>2013.0</v>
      </c>
      <c r="P93" s="433" t="s">
        <v>11456</v>
      </c>
      <c r="Q93" s="433">
        <v>1.0</v>
      </c>
      <c r="R93" s="435"/>
    </row>
    <row r="94" ht="15.75" customHeight="1">
      <c r="B94" s="433">
        <v>89.0</v>
      </c>
      <c r="C94" s="433"/>
      <c r="D94" s="433"/>
      <c r="E94" s="434" t="s">
        <v>23626</v>
      </c>
      <c r="F94" s="433"/>
      <c r="G94" s="433" t="s">
        <v>47</v>
      </c>
      <c r="H94" s="433" t="s">
        <v>30</v>
      </c>
      <c r="I94" s="433"/>
      <c r="J94" s="433" t="s">
        <v>23627</v>
      </c>
      <c r="K94" s="433">
        <v>201.0</v>
      </c>
      <c r="L94" s="433"/>
      <c r="M94" s="433" t="s">
        <v>23628</v>
      </c>
      <c r="N94" s="433" t="s">
        <v>23629</v>
      </c>
      <c r="O94" s="433">
        <v>1977.0</v>
      </c>
      <c r="P94" s="433" t="s">
        <v>11456</v>
      </c>
      <c r="Q94" s="433">
        <v>1.0</v>
      </c>
      <c r="R94" s="435"/>
    </row>
    <row r="95" ht="15.75" customHeight="1">
      <c r="B95" s="433">
        <v>90.0</v>
      </c>
      <c r="C95" s="433"/>
      <c r="D95" s="433"/>
      <c r="E95" s="434" t="s">
        <v>23630</v>
      </c>
      <c r="F95" s="433"/>
      <c r="G95" s="433" t="s">
        <v>47</v>
      </c>
      <c r="H95" s="433" t="s">
        <v>30</v>
      </c>
      <c r="I95" s="433"/>
      <c r="J95" s="433" t="s">
        <v>23627</v>
      </c>
      <c r="K95" s="433">
        <v>400.0</v>
      </c>
      <c r="L95" s="433"/>
      <c r="M95" s="433" t="s">
        <v>23631</v>
      </c>
      <c r="N95" s="433" t="s">
        <v>23632</v>
      </c>
      <c r="O95" s="433">
        <v>1994.0</v>
      </c>
      <c r="P95" s="433" t="s">
        <v>11456</v>
      </c>
      <c r="Q95" s="433">
        <v>1.0</v>
      </c>
      <c r="R95" s="435"/>
    </row>
    <row r="96" ht="15.75" customHeight="1">
      <c r="B96" s="433">
        <v>91.0</v>
      </c>
      <c r="C96" s="433"/>
      <c r="D96" s="433"/>
      <c r="E96" s="434" t="s">
        <v>23633</v>
      </c>
      <c r="F96" s="433"/>
      <c r="G96" s="433" t="s">
        <v>47</v>
      </c>
      <c r="H96" s="433" t="s">
        <v>30</v>
      </c>
      <c r="I96" s="433"/>
      <c r="J96" s="433" t="s">
        <v>23627</v>
      </c>
      <c r="K96" s="433">
        <v>156.0</v>
      </c>
      <c r="L96" s="433" t="s">
        <v>23634</v>
      </c>
      <c r="M96" s="466"/>
      <c r="N96" s="577" t="s">
        <v>23635</v>
      </c>
      <c r="O96" s="433">
        <v>1973.0</v>
      </c>
      <c r="P96" s="433" t="s">
        <v>11456</v>
      </c>
      <c r="Q96" s="433">
        <v>1.0</v>
      </c>
      <c r="R96" s="435"/>
    </row>
    <row r="97" ht="15.75" customHeight="1">
      <c r="B97" s="433">
        <v>92.0</v>
      </c>
      <c r="C97" s="433"/>
      <c r="D97" s="433"/>
      <c r="E97" s="434" t="s">
        <v>23633</v>
      </c>
      <c r="F97" s="433"/>
      <c r="G97" s="433" t="s">
        <v>47</v>
      </c>
      <c r="H97" s="433" t="s">
        <v>30</v>
      </c>
      <c r="I97" s="433"/>
      <c r="J97" s="433" t="s">
        <v>23627</v>
      </c>
      <c r="K97" s="433">
        <v>148.0</v>
      </c>
      <c r="L97" s="433"/>
      <c r="M97" s="433"/>
      <c r="N97" s="433" t="s">
        <v>23636</v>
      </c>
      <c r="O97" s="433">
        <v>1972.0</v>
      </c>
      <c r="P97" s="433" t="s">
        <v>11456</v>
      </c>
      <c r="Q97" s="433">
        <v>1.0</v>
      </c>
      <c r="R97" s="435"/>
    </row>
    <row r="98" ht="15.75" customHeight="1">
      <c r="B98" s="433">
        <v>93.0</v>
      </c>
      <c r="C98" s="433"/>
      <c r="D98" s="433"/>
      <c r="E98" s="434" t="s">
        <v>23637</v>
      </c>
      <c r="F98" s="433"/>
      <c r="G98" s="433" t="s">
        <v>47</v>
      </c>
      <c r="H98" s="433" t="s">
        <v>30</v>
      </c>
      <c r="I98" s="433"/>
      <c r="J98" s="433" t="s">
        <v>23627</v>
      </c>
      <c r="K98" s="433">
        <v>759.0</v>
      </c>
      <c r="L98" s="433"/>
      <c r="M98" s="466"/>
      <c r="N98" s="433" t="s">
        <v>23638</v>
      </c>
      <c r="O98" s="433">
        <v>1977.0</v>
      </c>
      <c r="P98" s="433" t="s">
        <v>11456</v>
      </c>
      <c r="Q98" s="433">
        <v>1.0</v>
      </c>
      <c r="R98" s="435"/>
    </row>
    <row r="99" ht="15.75" customHeight="1">
      <c r="B99" s="433">
        <v>94.0</v>
      </c>
      <c r="C99" s="433"/>
      <c r="D99" s="433"/>
      <c r="E99" s="434" t="s">
        <v>23639</v>
      </c>
      <c r="F99" s="433"/>
      <c r="G99" s="433" t="s">
        <v>47</v>
      </c>
      <c r="H99" s="433" t="s">
        <v>30</v>
      </c>
      <c r="I99" s="433"/>
      <c r="J99" s="433" t="s">
        <v>23627</v>
      </c>
      <c r="K99" s="433">
        <v>337.0</v>
      </c>
      <c r="L99" s="433"/>
      <c r="M99" s="433"/>
      <c r="N99" s="433" t="s">
        <v>23636</v>
      </c>
      <c r="O99" s="433">
        <v>1976.0</v>
      </c>
      <c r="P99" s="433" t="s">
        <v>11456</v>
      </c>
      <c r="Q99" s="433">
        <v>1.0</v>
      </c>
      <c r="R99" s="435"/>
    </row>
    <row r="100" ht="15.75" customHeight="1">
      <c r="B100" s="433">
        <v>95.0</v>
      </c>
      <c r="C100" s="433"/>
      <c r="D100" s="433"/>
      <c r="E100" s="434" t="s">
        <v>23640</v>
      </c>
      <c r="F100" s="433"/>
      <c r="G100" s="433" t="s">
        <v>47</v>
      </c>
      <c r="H100" s="433" t="s">
        <v>30</v>
      </c>
      <c r="I100" s="433"/>
      <c r="J100" s="433" t="s">
        <v>23627</v>
      </c>
      <c r="K100" s="433">
        <v>138.0</v>
      </c>
      <c r="L100" s="433"/>
      <c r="M100" s="433"/>
      <c r="N100" s="577" t="s">
        <v>23641</v>
      </c>
      <c r="O100" s="433">
        <v>1971.0</v>
      </c>
      <c r="P100" s="433" t="s">
        <v>11456</v>
      </c>
      <c r="Q100" s="433">
        <v>1.0</v>
      </c>
      <c r="R100" s="435"/>
    </row>
    <row r="101" ht="15.75" customHeight="1">
      <c r="B101" s="433">
        <v>96.0</v>
      </c>
      <c r="C101" s="433"/>
      <c r="D101" s="433"/>
      <c r="E101" s="434" t="s">
        <v>23642</v>
      </c>
      <c r="F101" s="433"/>
      <c r="G101" s="433" t="s">
        <v>47</v>
      </c>
      <c r="H101" s="433" t="s">
        <v>30</v>
      </c>
      <c r="I101" s="433"/>
      <c r="J101" s="433" t="s">
        <v>23627</v>
      </c>
      <c r="K101" s="433">
        <v>159.0</v>
      </c>
      <c r="L101" s="433"/>
      <c r="M101" s="433"/>
      <c r="N101" s="433" t="s">
        <v>23643</v>
      </c>
      <c r="O101" s="433">
        <v>1991.0</v>
      </c>
      <c r="P101" s="433" t="s">
        <v>11456</v>
      </c>
      <c r="Q101" s="433">
        <v>1.0</v>
      </c>
      <c r="R101" s="435"/>
    </row>
    <row r="102" ht="15.75" customHeight="1">
      <c r="B102" s="433">
        <v>97.0</v>
      </c>
      <c r="C102" s="433"/>
      <c r="D102" s="433"/>
      <c r="E102" s="434" t="s">
        <v>23644</v>
      </c>
      <c r="F102" s="433"/>
      <c r="G102" s="433" t="s">
        <v>47</v>
      </c>
      <c r="H102" s="433" t="s">
        <v>30</v>
      </c>
      <c r="I102" s="433"/>
      <c r="J102" s="433" t="s">
        <v>23627</v>
      </c>
      <c r="K102" s="433">
        <v>163.0</v>
      </c>
      <c r="L102" s="433"/>
      <c r="M102" s="433"/>
      <c r="N102" s="433" t="s">
        <v>23643</v>
      </c>
      <c r="O102" s="433">
        <v>1994.0</v>
      </c>
      <c r="P102" s="433" t="s">
        <v>11456</v>
      </c>
      <c r="Q102" s="433">
        <v>1.0</v>
      </c>
      <c r="R102" s="435"/>
    </row>
    <row r="103" ht="15.75" customHeight="1">
      <c r="B103" s="433">
        <v>98.0</v>
      </c>
      <c r="C103" s="433"/>
      <c r="D103" s="433"/>
      <c r="E103" s="434" t="s">
        <v>23645</v>
      </c>
      <c r="F103" s="433"/>
      <c r="G103" s="433" t="s">
        <v>47</v>
      </c>
      <c r="H103" s="433" t="s">
        <v>30</v>
      </c>
      <c r="I103" s="433"/>
      <c r="J103" s="433" t="s">
        <v>23627</v>
      </c>
      <c r="K103" s="433"/>
      <c r="L103" s="433"/>
      <c r="M103" s="433" t="s">
        <v>23646</v>
      </c>
      <c r="N103" s="433"/>
      <c r="O103" s="433"/>
      <c r="P103" s="433" t="s">
        <v>11456</v>
      </c>
      <c r="Q103" s="433">
        <v>1.0</v>
      </c>
      <c r="R103" s="435"/>
    </row>
    <row r="104" ht="15.75" customHeight="1">
      <c r="B104" s="433">
        <v>99.0</v>
      </c>
      <c r="C104" s="433" t="s">
        <v>31</v>
      </c>
      <c r="D104" s="433" t="s">
        <v>31</v>
      </c>
      <c r="E104" s="434" t="s">
        <v>23647</v>
      </c>
      <c r="F104" s="433" t="s">
        <v>29</v>
      </c>
      <c r="G104" s="433" t="s">
        <v>47</v>
      </c>
      <c r="H104" s="433" t="s">
        <v>30</v>
      </c>
      <c r="I104" s="433"/>
      <c r="J104" s="433" t="s">
        <v>30</v>
      </c>
      <c r="K104" s="433" t="s">
        <v>31</v>
      </c>
      <c r="L104" s="433"/>
      <c r="M104" s="433" t="s">
        <v>31</v>
      </c>
      <c r="N104" s="433" t="s">
        <v>2451</v>
      </c>
      <c r="O104" s="433">
        <v>2009.0</v>
      </c>
      <c r="P104" s="433" t="s">
        <v>11456</v>
      </c>
      <c r="Q104" s="433">
        <v>1.0</v>
      </c>
      <c r="R104" s="435"/>
    </row>
    <row r="105" ht="15.75" customHeight="1">
      <c r="B105" s="433">
        <v>100.0</v>
      </c>
      <c r="C105" s="433" t="s">
        <v>23648</v>
      </c>
      <c r="D105" s="433" t="s">
        <v>31</v>
      </c>
      <c r="E105" s="434" t="s">
        <v>23649</v>
      </c>
      <c r="F105" s="433" t="s">
        <v>29</v>
      </c>
      <c r="G105" s="433" t="s">
        <v>47</v>
      </c>
      <c r="H105" s="433" t="s">
        <v>30</v>
      </c>
      <c r="I105" s="433"/>
      <c r="J105" s="433" t="s">
        <v>30</v>
      </c>
      <c r="K105" s="433">
        <v>48.0</v>
      </c>
      <c r="L105" s="433"/>
      <c r="M105" s="433" t="s">
        <v>23650</v>
      </c>
      <c r="N105" s="433"/>
      <c r="O105" s="433">
        <v>2007.0</v>
      </c>
      <c r="P105" s="433" t="s">
        <v>11456</v>
      </c>
      <c r="Q105" s="433">
        <v>1.0</v>
      </c>
      <c r="R105" s="435"/>
    </row>
    <row r="106" ht="15.75" customHeight="1">
      <c r="B106" s="433">
        <v>101.0</v>
      </c>
      <c r="C106" s="433" t="s">
        <v>31</v>
      </c>
      <c r="D106" s="433" t="s">
        <v>31</v>
      </c>
      <c r="E106" s="434" t="s">
        <v>23651</v>
      </c>
      <c r="F106" s="433" t="s">
        <v>29</v>
      </c>
      <c r="G106" s="433" t="s">
        <v>47</v>
      </c>
      <c r="H106" s="433" t="s">
        <v>30</v>
      </c>
      <c r="I106" s="433"/>
      <c r="J106" s="433" t="s">
        <v>30</v>
      </c>
      <c r="K106" s="433">
        <v>45.0</v>
      </c>
      <c r="L106" s="433"/>
      <c r="M106" s="433" t="s">
        <v>23652</v>
      </c>
      <c r="N106" s="433" t="s">
        <v>6535</v>
      </c>
      <c r="O106" s="433">
        <v>2006.0</v>
      </c>
      <c r="P106" s="433" t="s">
        <v>11456</v>
      </c>
      <c r="Q106" s="433">
        <v>1.0</v>
      </c>
      <c r="R106" s="435"/>
    </row>
    <row r="107" ht="15.75" customHeight="1">
      <c r="B107" s="433">
        <v>102.0</v>
      </c>
      <c r="C107" s="433" t="s">
        <v>31</v>
      </c>
      <c r="D107" s="433" t="s">
        <v>31</v>
      </c>
      <c r="E107" s="434" t="s">
        <v>23653</v>
      </c>
      <c r="F107" s="433" t="s">
        <v>29</v>
      </c>
      <c r="G107" s="433" t="s">
        <v>47</v>
      </c>
      <c r="H107" s="433" t="s">
        <v>30</v>
      </c>
      <c r="I107" s="433"/>
      <c r="J107" s="433" t="s">
        <v>30</v>
      </c>
      <c r="K107" s="433">
        <v>44.0</v>
      </c>
      <c r="L107" s="433"/>
      <c r="M107" s="433" t="s">
        <v>23654</v>
      </c>
      <c r="N107" s="433" t="s">
        <v>6535</v>
      </c>
      <c r="O107" s="433">
        <v>2006.0</v>
      </c>
      <c r="P107" s="433" t="s">
        <v>11456</v>
      </c>
      <c r="Q107" s="433">
        <v>1.0</v>
      </c>
      <c r="R107" s="435"/>
    </row>
    <row r="108" ht="15.75" customHeight="1">
      <c r="B108" s="433">
        <v>103.0</v>
      </c>
      <c r="C108" s="433" t="s">
        <v>31</v>
      </c>
      <c r="D108" s="433" t="s">
        <v>31</v>
      </c>
      <c r="E108" s="434" t="s">
        <v>23655</v>
      </c>
      <c r="F108" s="433" t="s">
        <v>29</v>
      </c>
      <c r="G108" s="433" t="s">
        <v>47</v>
      </c>
      <c r="H108" s="433" t="s">
        <v>30</v>
      </c>
      <c r="I108" s="433"/>
      <c r="J108" s="433" t="s">
        <v>30</v>
      </c>
      <c r="K108" s="433">
        <v>44.0</v>
      </c>
      <c r="L108" s="433"/>
      <c r="M108" s="433" t="s">
        <v>23654</v>
      </c>
      <c r="N108" s="433" t="s">
        <v>6535</v>
      </c>
      <c r="O108" s="433">
        <v>2006.0</v>
      </c>
      <c r="P108" s="433" t="s">
        <v>11456</v>
      </c>
      <c r="Q108" s="433">
        <v>1.0</v>
      </c>
      <c r="R108" s="435"/>
    </row>
    <row r="109" ht="15.75" customHeight="1">
      <c r="B109" s="433">
        <v>104.0</v>
      </c>
      <c r="C109" s="433" t="s">
        <v>31</v>
      </c>
      <c r="D109" s="433" t="s">
        <v>31</v>
      </c>
      <c r="E109" s="434" t="s">
        <v>23656</v>
      </c>
      <c r="F109" s="433" t="s">
        <v>29</v>
      </c>
      <c r="G109" s="433" t="s">
        <v>47</v>
      </c>
      <c r="H109" s="433" t="s">
        <v>30</v>
      </c>
      <c r="I109" s="433"/>
      <c r="J109" s="433" t="s">
        <v>30</v>
      </c>
      <c r="K109" s="433">
        <v>43.0</v>
      </c>
      <c r="L109" s="433"/>
      <c r="M109" s="433" t="s">
        <v>23654</v>
      </c>
      <c r="N109" s="433" t="s">
        <v>6535</v>
      </c>
      <c r="O109" s="433">
        <v>2006.0</v>
      </c>
      <c r="P109" s="433" t="s">
        <v>11456</v>
      </c>
      <c r="Q109" s="433">
        <v>1.0</v>
      </c>
      <c r="R109" s="435"/>
    </row>
    <row r="110" ht="15.75" customHeight="1">
      <c r="B110" s="433">
        <v>105.0</v>
      </c>
      <c r="C110" s="433" t="s">
        <v>23657</v>
      </c>
      <c r="D110" s="433" t="s">
        <v>31</v>
      </c>
      <c r="E110" s="434" t="s">
        <v>23658</v>
      </c>
      <c r="F110" s="433" t="s">
        <v>29</v>
      </c>
      <c r="G110" s="433" t="s">
        <v>47</v>
      </c>
      <c r="H110" s="433" t="s">
        <v>30</v>
      </c>
      <c r="I110" s="433"/>
      <c r="J110" s="433" t="s">
        <v>30</v>
      </c>
      <c r="K110" s="433">
        <v>161.0</v>
      </c>
      <c r="L110" s="433"/>
      <c r="M110" s="433" t="s">
        <v>23659</v>
      </c>
      <c r="N110" s="433" t="s">
        <v>6535</v>
      </c>
      <c r="O110" s="433">
        <v>2006.0</v>
      </c>
      <c r="P110" s="433" t="s">
        <v>11456</v>
      </c>
      <c r="Q110" s="433">
        <v>1.0</v>
      </c>
      <c r="R110" s="435"/>
    </row>
    <row r="111" ht="15.75" customHeight="1">
      <c r="B111" s="433">
        <v>106.0</v>
      </c>
      <c r="C111" s="433" t="s">
        <v>23660</v>
      </c>
      <c r="D111" s="433" t="s">
        <v>31</v>
      </c>
      <c r="E111" s="434" t="s">
        <v>23661</v>
      </c>
      <c r="F111" s="433" t="s">
        <v>29</v>
      </c>
      <c r="G111" s="433" t="s">
        <v>47</v>
      </c>
      <c r="H111" s="433" t="s">
        <v>30</v>
      </c>
      <c r="I111" s="433"/>
      <c r="J111" s="433" t="s">
        <v>30</v>
      </c>
      <c r="K111" s="433">
        <v>259.0</v>
      </c>
      <c r="L111" s="433"/>
      <c r="M111" s="433" t="s">
        <v>23662</v>
      </c>
      <c r="N111" s="433" t="s">
        <v>13552</v>
      </c>
      <c r="O111" s="433">
        <v>2006.0</v>
      </c>
      <c r="P111" s="433" t="s">
        <v>11456</v>
      </c>
      <c r="Q111" s="433">
        <v>1.0</v>
      </c>
      <c r="R111" s="435"/>
    </row>
    <row r="112" ht="15.75" customHeight="1">
      <c r="B112" s="433">
        <v>107.0</v>
      </c>
      <c r="C112" s="433" t="s">
        <v>23663</v>
      </c>
      <c r="D112" s="433" t="s">
        <v>31</v>
      </c>
      <c r="E112" s="434" t="s">
        <v>23664</v>
      </c>
      <c r="F112" s="433" t="s">
        <v>29</v>
      </c>
      <c r="G112" s="433" t="s">
        <v>47</v>
      </c>
      <c r="H112" s="433" t="s">
        <v>30</v>
      </c>
      <c r="I112" s="433"/>
      <c r="J112" s="433" t="s">
        <v>30</v>
      </c>
      <c r="K112" s="433">
        <v>62.0</v>
      </c>
      <c r="L112" s="433"/>
      <c r="M112" s="433" t="s">
        <v>23662</v>
      </c>
      <c r="N112" s="433" t="s">
        <v>13552</v>
      </c>
      <c r="O112" s="433">
        <v>2007.0</v>
      </c>
      <c r="P112" s="433" t="s">
        <v>11456</v>
      </c>
      <c r="Q112" s="433">
        <v>1.0</v>
      </c>
      <c r="R112" s="435"/>
    </row>
    <row r="113" ht="15.75" customHeight="1">
      <c r="B113" s="433">
        <v>108.0</v>
      </c>
      <c r="C113" s="433" t="s">
        <v>31</v>
      </c>
      <c r="D113" s="433" t="s">
        <v>31</v>
      </c>
      <c r="E113" s="434" t="s">
        <v>23665</v>
      </c>
      <c r="F113" s="433" t="s">
        <v>29</v>
      </c>
      <c r="G113" s="433" t="s">
        <v>47</v>
      </c>
      <c r="H113" s="433" t="s">
        <v>30</v>
      </c>
      <c r="I113" s="433"/>
      <c r="J113" s="433" t="s">
        <v>30</v>
      </c>
      <c r="K113" s="433">
        <v>38.0</v>
      </c>
      <c r="L113" s="433"/>
      <c r="M113" s="433" t="s">
        <v>31</v>
      </c>
      <c r="N113" s="433" t="s">
        <v>13552</v>
      </c>
      <c r="O113" s="433">
        <v>2008.0</v>
      </c>
      <c r="P113" s="433" t="s">
        <v>11456</v>
      </c>
      <c r="Q113" s="433">
        <v>1.0</v>
      </c>
      <c r="R113" s="435"/>
    </row>
    <row r="114" ht="15.75" customHeight="1">
      <c r="B114" s="433">
        <v>109.0</v>
      </c>
      <c r="C114" s="433" t="s">
        <v>23666</v>
      </c>
      <c r="D114" s="433" t="s">
        <v>23667</v>
      </c>
      <c r="E114" s="434" t="s">
        <v>23668</v>
      </c>
      <c r="F114" s="433" t="s">
        <v>29</v>
      </c>
      <c r="G114" s="433" t="s">
        <v>47</v>
      </c>
      <c r="H114" s="433" t="s">
        <v>30</v>
      </c>
      <c r="I114" s="433"/>
      <c r="J114" s="433" t="s">
        <v>30</v>
      </c>
      <c r="K114" s="433">
        <v>299.0</v>
      </c>
      <c r="L114" s="433"/>
      <c r="M114" s="433" t="s">
        <v>31</v>
      </c>
      <c r="N114" s="433" t="s">
        <v>20925</v>
      </c>
      <c r="O114" s="433">
        <v>2007.0</v>
      </c>
      <c r="P114" s="433" t="s">
        <v>11456</v>
      </c>
      <c r="Q114" s="433">
        <v>1.0</v>
      </c>
      <c r="R114" s="435"/>
    </row>
    <row r="115" ht="15.75" customHeight="1">
      <c r="B115" s="433">
        <v>110.0</v>
      </c>
      <c r="C115" s="433" t="s">
        <v>23669</v>
      </c>
      <c r="D115" s="433" t="s">
        <v>31</v>
      </c>
      <c r="E115" s="434" t="s">
        <v>23670</v>
      </c>
      <c r="F115" s="433" t="s">
        <v>29</v>
      </c>
      <c r="G115" s="433" t="s">
        <v>47</v>
      </c>
      <c r="H115" s="433" t="s">
        <v>30</v>
      </c>
      <c r="I115" s="433"/>
      <c r="J115" s="433" t="s">
        <v>30</v>
      </c>
      <c r="K115" s="433">
        <v>109.0</v>
      </c>
      <c r="L115" s="433"/>
      <c r="M115" s="433" t="s">
        <v>23671</v>
      </c>
      <c r="N115" s="433" t="s">
        <v>6535</v>
      </c>
      <c r="O115" s="433">
        <v>2003.0</v>
      </c>
      <c r="P115" s="433" t="s">
        <v>11456</v>
      </c>
      <c r="Q115" s="433">
        <v>1.0</v>
      </c>
      <c r="R115" s="435"/>
    </row>
    <row r="116" ht="15.75" customHeight="1">
      <c r="B116" s="433">
        <v>111.0</v>
      </c>
      <c r="C116" s="433" t="s">
        <v>31</v>
      </c>
      <c r="D116" s="433" t="s">
        <v>31</v>
      </c>
      <c r="E116" s="434" t="s">
        <v>23672</v>
      </c>
      <c r="F116" s="433" t="s">
        <v>29</v>
      </c>
      <c r="G116" s="433" t="s">
        <v>47</v>
      </c>
      <c r="H116" s="433" t="s">
        <v>30</v>
      </c>
      <c r="I116" s="433"/>
      <c r="J116" s="433" t="s">
        <v>30</v>
      </c>
      <c r="K116" s="433">
        <v>42.0</v>
      </c>
      <c r="L116" s="433"/>
      <c r="M116" s="433" t="s">
        <v>23654</v>
      </c>
      <c r="N116" s="433" t="s">
        <v>6535</v>
      </c>
      <c r="O116" s="433">
        <v>2003.0</v>
      </c>
      <c r="P116" s="433" t="s">
        <v>11456</v>
      </c>
      <c r="Q116" s="433">
        <v>1.0</v>
      </c>
      <c r="R116" s="435"/>
    </row>
    <row r="117" ht="15.75" customHeight="1">
      <c r="B117" s="433">
        <v>112.0</v>
      </c>
      <c r="C117" s="433" t="s">
        <v>31</v>
      </c>
      <c r="D117" s="433" t="s">
        <v>31</v>
      </c>
      <c r="E117" s="434" t="s">
        <v>23673</v>
      </c>
      <c r="F117" s="433" t="s">
        <v>29</v>
      </c>
      <c r="G117" s="433" t="s">
        <v>47</v>
      </c>
      <c r="H117" s="433" t="s">
        <v>30</v>
      </c>
      <c r="I117" s="433"/>
      <c r="J117" s="433" t="s">
        <v>30</v>
      </c>
      <c r="K117" s="433">
        <v>45.0</v>
      </c>
      <c r="L117" s="433"/>
      <c r="M117" s="433" t="s">
        <v>23654</v>
      </c>
      <c r="N117" s="433" t="s">
        <v>6535</v>
      </c>
      <c r="O117" s="433">
        <v>2003.0</v>
      </c>
      <c r="P117" s="433" t="s">
        <v>11456</v>
      </c>
      <c r="Q117" s="433">
        <v>1.0</v>
      </c>
      <c r="R117" s="435"/>
    </row>
    <row r="118" ht="15.75" customHeight="1">
      <c r="B118" s="433">
        <v>113.0</v>
      </c>
      <c r="C118" s="433" t="s">
        <v>31</v>
      </c>
      <c r="D118" s="433" t="s">
        <v>31</v>
      </c>
      <c r="E118" s="434" t="s">
        <v>23674</v>
      </c>
      <c r="F118" s="433" t="s">
        <v>29</v>
      </c>
      <c r="G118" s="433" t="s">
        <v>47</v>
      </c>
      <c r="H118" s="433" t="s">
        <v>30</v>
      </c>
      <c r="I118" s="433"/>
      <c r="J118" s="433" t="s">
        <v>30</v>
      </c>
      <c r="K118" s="433">
        <v>44.0</v>
      </c>
      <c r="L118" s="433"/>
      <c r="M118" s="433" t="s">
        <v>23654</v>
      </c>
      <c r="N118" s="433" t="s">
        <v>6535</v>
      </c>
      <c r="O118" s="433">
        <v>2003.0</v>
      </c>
      <c r="P118" s="433" t="s">
        <v>11456</v>
      </c>
      <c r="Q118" s="433">
        <v>1.0</v>
      </c>
      <c r="R118" s="435"/>
    </row>
    <row r="119" ht="15.75" customHeight="1">
      <c r="B119" s="433">
        <v>114.0</v>
      </c>
      <c r="C119" s="433" t="s">
        <v>31</v>
      </c>
      <c r="D119" s="433" t="s">
        <v>31</v>
      </c>
      <c r="E119" s="434" t="s">
        <v>23675</v>
      </c>
      <c r="F119" s="433" t="s">
        <v>29</v>
      </c>
      <c r="G119" s="433" t="s">
        <v>47</v>
      </c>
      <c r="H119" s="433" t="s">
        <v>30</v>
      </c>
      <c r="I119" s="433"/>
      <c r="J119" s="433" t="s">
        <v>30</v>
      </c>
      <c r="K119" s="433">
        <v>47.0</v>
      </c>
      <c r="L119" s="433"/>
      <c r="M119" s="433" t="s">
        <v>23654</v>
      </c>
      <c r="N119" s="433" t="s">
        <v>6535</v>
      </c>
      <c r="O119" s="433">
        <v>2005.0</v>
      </c>
      <c r="P119" s="433" t="s">
        <v>11456</v>
      </c>
      <c r="Q119" s="433">
        <v>1.0</v>
      </c>
      <c r="R119" s="435"/>
    </row>
    <row r="120" ht="15.75" customHeight="1">
      <c r="B120" s="433">
        <v>115.0</v>
      </c>
      <c r="C120" s="433" t="s">
        <v>31</v>
      </c>
      <c r="D120" s="433" t="s">
        <v>31</v>
      </c>
      <c r="E120" s="434" t="s">
        <v>23676</v>
      </c>
      <c r="F120" s="433" t="s">
        <v>29</v>
      </c>
      <c r="G120" s="433" t="s">
        <v>47</v>
      </c>
      <c r="H120" s="433" t="s">
        <v>30</v>
      </c>
      <c r="I120" s="433"/>
      <c r="J120" s="433" t="s">
        <v>30</v>
      </c>
      <c r="K120" s="433">
        <v>44.0</v>
      </c>
      <c r="L120" s="433"/>
      <c r="M120" s="433" t="s">
        <v>23654</v>
      </c>
      <c r="N120" s="433" t="s">
        <v>6535</v>
      </c>
      <c r="O120" s="433">
        <v>2005.0</v>
      </c>
      <c r="P120" s="433" t="s">
        <v>11456</v>
      </c>
      <c r="Q120" s="433">
        <v>1.0</v>
      </c>
      <c r="R120" s="435"/>
    </row>
    <row r="121" ht="15.75" customHeight="1">
      <c r="B121" s="433">
        <v>116.0</v>
      </c>
      <c r="C121" s="433" t="s">
        <v>31</v>
      </c>
      <c r="D121" s="433" t="s">
        <v>31</v>
      </c>
      <c r="E121" s="434" t="s">
        <v>23677</v>
      </c>
      <c r="F121" s="433" t="s">
        <v>29</v>
      </c>
      <c r="G121" s="433" t="s">
        <v>47</v>
      </c>
      <c r="H121" s="433" t="s">
        <v>30</v>
      </c>
      <c r="I121" s="433"/>
      <c r="J121" s="433" t="s">
        <v>30</v>
      </c>
      <c r="K121" s="433">
        <v>44.0</v>
      </c>
      <c r="L121" s="433"/>
      <c r="M121" s="433" t="s">
        <v>23654</v>
      </c>
      <c r="N121" s="433" t="s">
        <v>6535</v>
      </c>
      <c r="O121" s="433">
        <v>2003.0</v>
      </c>
      <c r="P121" s="433" t="s">
        <v>11456</v>
      </c>
      <c r="Q121" s="433">
        <v>1.0</v>
      </c>
      <c r="R121" s="435"/>
    </row>
    <row r="122" ht="15.75" customHeight="1">
      <c r="B122" s="433">
        <v>117.0</v>
      </c>
      <c r="C122" s="433" t="s">
        <v>31</v>
      </c>
      <c r="D122" s="433" t="s">
        <v>31</v>
      </c>
      <c r="E122" s="434" t="s">
        <v>23678</v>
      </c>
      <c r="F122" s="433" t="s">
        <v>29</v>
      </c>
      <c r="G122" s="433" t="s">
        <v>47</v>
      </c>
      <c r="H122" s="433" t="s">
        <v>30</v>
      </c>
      <c r="I122" s="433"/>
      <c r="J122" s="433" t="s">
        <v>30</v>
      </c>
      <c r="K122" s="433">
        <v>154.0</v>
      </c>
      <c r="L122" s="433"/>
      <c r="M122" s="433" t="s">
        <v>23679</v>
      </c>
      <c r="N122" s="433" t="s">
        <v>6535</v>
      </c>
      <c r="O122" s="433">
        <v>2002.0</v>
      </c>
      <c r="P122" s="433" t="s">
        <v>11456</v>
      </c>
      <c r="Q122" s="433">
        <v>1.0</v>
      </c>
      <c r="R122" s="435"/>
    </row>
    <row r="123" ht="15.75" customHeight="1">
      <c r="B123" s="433">
        <v>118.0</v>
      </c>
      <c r="C123" s="433" t="s">
        <v>31</v>
      </c>
      <c r="D123" s="433" t="s">
        <v>31</v>
      </c>
      <c r="E123" s="434" t="s">
        <v>23680</v>
      </c>
      <c r="F123" s="433" t="s">
        <v>29</v>
      </c>
      <c r="G123" s="433" t="s">
        <v>47</v>
      </c>
      <c r="H123" s="433" t="s">
        <v>30</v>
      </c>
      <c r="I123" s="433"/>
      <c r="J123" s="433" t="s">
        <v>30</v>
      </c>
      <c r="K123" s="433">
        <v>156.0</v>
      </c>
      <c r="L123" s="433"/>
      <c r="M123" s="433" t="s">
        <v>23679</v>
      </c>
      <c r="N123" s="433" t="s">
        <v>6535</v>
      </c>
      <c r="O123" s="433">
        <v>2002.0</v>
      </c>
      <c r="P123" s="433" t="s">
        <v>11456</v>
      </c>
      <c r="Q123" s="433">
        <v>1.0</v>
      </c>
      <c r="R123" s="435"/>
    </row>
    <row r="124" ht="15.75" customHeight="1">
      <c r="B124" s="433">
        <v>119.0</v>
      </c>
      <c r="C124" s="433" t="s">
        <v>31</v>
      </c>
      <c r="D124" s="433" t="s">
        <v>31</v>
      </c>
      <c r="E124" s="434" t="s">
        <v>23681</v>
      </c>
      <c r="F124" s="433" t="s">
        <v>29</v>
      </c>
      <c r="G124" s="433" t="s">
        <v>47</v>
      </c>
      <c r="H124" s="433" t="s">
        <v>30</v>
      </c>
      <c r="I124" s="433"/>
      <c r="J124" s="433" t="s">
        <v>30</v>
      </c>
      <c r="K124" s="433">
        <v>269.0</v>
      </c>
      <c r="L124" s="433"/>
      <c r="M124" s="433" t="s">
        <v>31</v>
      </c>
      <c r="N124" s="433" t="s">
        <v>6535</v>
      </c>
      <c r="O124" s="433">
        <v>2007.0</v>
      </c>
      <c r="P124" s="433" t="s">
        <v>11456</v>
      </c>
      <c r="Q124" s="433">
        <v>1.0</v>
      </c>
      <c r="R124" s="435"/>
    </row>
    <row r="125" ht="15.75" customHeight="1">
      <c r="B125" s="433">
        <v>120.0</v>
      </c>
      <c r="C125" s="433" t="s">
        <v>31</v>
      </c>
      <c r="D125" s="433" t="s">
        <v>31</v>
      </c>
      <c r="E125" s="434" t="s">
        <v>23682</v>
      </c>
      <c r="F125" s="433" t="s">
        <v>29</v>
      </c>
      <c r="G125" s="433" t="s">
        <v>47</v>
      </c>
      <c r="H125" s="433" t="s">
        <v>30</v>
      </c>
      <c r="I125" s="433"/>
      <c r="J125" s="433" t="s">
        <v>30</v>
      </c>
      <c r="K125" s="433">
        <v>207.0</v>
      </c>
      <c r="L125" s="433"/>
      <c r="M125" s="433" t="s">
        <v>31</v>
      </c>
      <c r="N125" s="433" t="s">
        <v>6535</v>
      </c>
      <c r="O125" s="433">
        <v>2003.0</v>
      </c>
      <c r="P125" s="433" t="s">
        <v>11456</v>
      </c>
      <c r="Q125" s="433">
        <v>1.0</v>
      </c>
      <c r="R125" s="435"/>
    </row>
    <row r="126" ht="15.75" customHeight="1">
      <c r="B126" s="433">
        <v>121.0</v>
      </c>
      <c r="C126" s="433" t="s">
        <v>23683</v>
      </c>
      <c r="D126" s="433" t="s">
        <v>31</v>
      </c>
      <c r="E126" s="434" t="s">
        <v>23684</v>
      </c>
      <c r="F126" s="433" t="s">
        <v>29</v>
      </c>
      <c r="G126" s="433" t="s">
        <v>47</v>
      </c>
      <c r="H126" s="433" t="s">
        <v>30</v>
      </c>
      <c r="I126" s="433"/>
      <c r="J126" s="433" t="s">
        <v>30</v>
      </c>
      <c r="K126" s="433">
        <v>166.0</v>
      </c>
      <c r="L126" s="433"/>
      <c r="M126" s="433" t="s">
        <v>23685</v>
      </c>
      <c r="N126" s="433" t="s">
        <v>6535</v>
      </c>
      <c r="O126" s="433">
        <v>2007.0</v>
      </c>
      <c r="P126" s="433" t="s">
        <v>11456</v>
      </c>
      <c r="Q126" s="433">
        <v>1.0</v>
      </c>
      <c r="R126" s="435"/>
    </row>
    <row r="127" ht="15.75" customHeight="1">
      <c r="B127" s="433">
        <v>122.0</v>
      </c>
      <c r="C127" s="433" t="s">
        <v>23686</v>
      </c>
      <c r="D127" s="433" t="s">
        <v>31</v>
      </c>
      <c r="E127" s="434" t="s">
        <v>23687</v>
      </c>
      <c r="F127" s="433" t="s">
        <v>29</v>
      </c>
      <c r="G127" s="433" t="s">
        <v>47</v>
      </c>
      <c r="H127" s="433" t="s">
        <v>30</v>
      </c>
      <c r="I127" s="433"/>
      <c r="J127" s="433" t="s">
        <v>30</v>
      </c>
      <c r="K127" s="433">
        <v>91.0</v>
      </c>
      <c r="L127" s="433"/>
      <c r="M127" s="433" t="s">
        <v>31</v>
      </c>
      <c r="N127" s="433" t="s">
        <v>6535</v>
      </c>
      <c r="O127" s="433">
        <v>2007.0</v>
      </c>
      <c r="P127" s="433" t="s">
        <v>11456</v>
      </c>
      <c r="Q127" s="433">
        <v>1.0</v>
      </c>
      <c r="R127" s="435"/>
    </row>
    <row r="128" ht="15.75" customHeight="1">
      <c r="B128" s="433">
        <v>123.0</v>
      </c>
      <c r="C128" s="433" t="s">
        <v>23688</v>
      </c>
      <c r="D128" s="433" t="s">
        <v>31</v>
      </c>
      <c r="E128" s="434" t="s">
        <v>23689</v>
      </c>
      <c r="F128" s="433" t="s">
        <v>29</v>
      </c>
      <c r="G128" s="433" t="s">
        <v>47</v>
      </c>
      <c r="H128" s="433" t="s">
        <v>30</v>
      </c>
      <c r="I128" s="433"/>
      <c r="J128" s="433" t="s">
        <v>30</v>
      </c>
      <c r="K128" s="433">
        <v>79.0</v>
      </c>
      <c r="L128" s="433"/>
      <c r="M128" s="433" t="s">
        <v>23690</v>
      </c>
      <c r="N128" s="433" t="s">
        <v>6535</v>
      </c>
      <c r="O128" s="433">
        <v>2007.0</v>
      </c>
      <c r="P128" s="433" t="s">
        <v>11456</v>
      </c>
      <c r="Q128" s="433">
        <v>1.0</v>
      </c>
      <c r="R128" s="435"/>
    </row>
    <row r="129" ht="15.75" customHeight="1">
      <c r="B129" s="433">
        <v>124.0</v>
      </c>
      <c r="C129" s="433" t="s">
        <v>31</v>
      </c>
      <c r="D129" s="433" t="s">
        <v>31</v>
      </c>
      <c r="E129" s="434" t="s">
        <v>23691</v>
      </c>
      <c r="F129" s="433" t="s">
        <v>29</v>
      </c>
      <c r="G129" s="433" t="s">
        <v>47</v>
      </c>
      <c r="H129" s="433" t="s">
        <v>30</v>
      </c>
      <c r="I129" s="433"/>
      <c r="J129" s="433" t="s">
        <v>30</v>
      </c>
      <c r="K129" s="433">
        <v>50.0</v>
      </c>
      <c r="L129" s="433"/>
      <c r="M129" s="433" t="s">
        <v>23654</v>
      </c>
      <c r="N129" s="433" t="s">
        <v>6535</v>
      </c>
      <c r="O129" s="433">
        <v>2007.0</v>
      </c>
      <c r="P129" s="433" t="s">
        <v>11456</v>
      </c>
      <c r="Q129" s="433">
        <v>1.0</v>
      </c>
      <c r="R129" s="435"/>
    </row>
    <row r="130" ht="15.75" customHeight="1">
      <c r="B130" s="433">
        <v>125.0</v>
      </c>
      <c r="C130" s="433" t="s">
        <v>31</v>
      </c>
      <c r="D130" s="433" t="s">
        <v>31</v>
      </c>
      <c r="E130" s="434" t="s">
        <v>23692</v>
      </c>
      <c r="F130" s="433" t="s">
        <v>29</v>
      </c>
      <c r="G130" s="433" t="s">
        <v>47</v>
      </c>
      <c r="H130" s="433" t="s">
        <v>30</v>
      </c>
      <c r="I130" s="433"/>
      <c r="J130" s="433" t="s">
        <v>30</v>
      </c>
      <c r="K130" s="433">
        <v>52.0</v>
      </c>
      <c r="L130" s="433"/>
      <c r="M130" s="433" t="s">
        <v>23654</v>
      </c>
      <c r="N130" s="433" t="s">
        <v>6535</v>
      </c>
      <c r="O130" s="433">
        <v>2007.0</v>
      </c>
      <c r="P130" s="433" t="s">
        <v>11456</v>
      </c>
      <c r="Q130" s="433">
        <v>1.0</v>
      </c>
      <c r="R130" s="435"/>
    </row>
    <row r="131" ht="15.75" customHeight="1">
      <c r="B131" s="433">
        <v>126.0</v>
      </c>
      <c r="C131" s="433" t="s">
        <v>31</v>
      </c>
      <c r="D131" s="433" t="s">
        <v>31</v>
      </c>
      <c r="E131" s="434" t="s">
        <v>23693</v>
      </c>
      <c r="F131" s="433" t="s">
        <v>29</v>
      </c>
      <c r="G131" s="433" t="s">
        <v>47</v>
      </c>
      <c r="H131" s="433" t="s">
        <v>30</v>
      </c>
      <c r="I131" s="433"/>
      <c r="J131" s="433" t="s">
        <v>30</v>
      </c>
      <c r="K131" s="433">
        <v>51.0</v>
      </c>
      <c r="L131" s="433"/>
      <c r="M131" s="433" t="s">
        <v>23654</v>
      </c>
      <c r="N131" s="433" t="s">
        <v>6535</v>
      </c>
      <c r="O131" s="433">
        <v>2007.0</v>
      </c>
      <c r="P131" s="433" t="s">
        <v>11456</v>
      </c>
      <c r="Q131" s="433">
        <v>1.0</v>
      </c>
      <c r="R131" s="435"/>
    </row>
    <row r="132" ht="15.75" customHeight="1">
      <c r="B132" s="433">
        <v>127.0</v>
      </c>
      <c r="C132" s="433" t="s">
        <v>31</v>
      </c>
      <c r="D132" s="433" t="s">
        <v>31</v>
      </c>
      <c r="E132" s="434" t="s">
        <v>23694</v>
      </c>
      <c r="F132" s="433" t="s">
        <v>29</v>
      </c>
      <c r="G132" s="433" t="s">
        <v>47</v>
      </c>
      <c r="H132" s="433" t="s">
        <v>30</v>
      </c>
      <c r="I132" s="433"/>
      <c r="J132" s="433" t="s">
        <v>30</v>
      </c>
      <c r="K132" s="433">
        <v>55.0</v>
      </c>
      <c r="L132" s="433"/>
      <c r="M132" s="433" t="s">
        <v>23654</v>
      </c>
      <c r="N132" s="433" t="s">
        <v>6535</v>
      </c>
      <c r="O132" s="433">
        <v>2007.0</v>
      </c>
      <c r="P132" s="433" t="s">
        <v>11456</v>
      </c>
      <c r="Q132" s="433">
        <v>1.0</v>
      </c>
      <c r="R132" s="435"/>
    </row>
    <row r="133" ht="15.75" customHeight="1">
      <c r="B133" s="433">
        <v>128.0</v>
      </c>
      <c r="C133" s="433" t="s">
        <v>31</v>
      </c>
      <c r="D133" s="433" t="s">
        <v>31</v>
      </c>
      <c r="E133" s="434" t="s">
        <v>23695</v>
      </c>
      <c r="F133" s="433" t="s">
        <v>29</v>
      </c>
      <c r="G133" s="433" t="s">
        <v>47</v>
      </c>
      <c r="H133" s="433" t="s">
        <v>30</v>
      </c>
      <c r="I133" s="433"/>
      <c r="J133" s="433" t="s">
        <v>30</v>
      </c>
      <c r="K133" s="433">
        <v>239.0</v>
      </c>
      <c r="L133" s="433"/>
      <c r="M133" s="433" t="s">
        <v>31</v>
      </c>
      <c r="N133" s="433" t="s">
        <v>6535</v>
      </c>
      <c r="O133" s="433">
        <v>2008.0</v>
      </c>
      <c r="P133" s="433" t="s">
        <v>11456</v>
      </c>
      <c r="Q133" s="433">
        <v>1.0</v>
      </c>
      <c r="R133" s="435"/>
    </row>
    <row r="134" ht="15.75" customHeight="1">
      <c r="B134" s="433">
        <v>129.0</v>
      </c>
      <c r="C134" s="433" t="s">
        <v>31</v>
      </c>
      <c r="D134" s="433" t="s">
        <v>31</v>
      </c>
      <c r="E134" s="434" t="s">
        <v>23696</v>
      </c>
      <c r="F134" s="433" t="s">
        <v>29</v>
      </c>
      <c r="G134" s="433" t="s">
        <v>47</v>
      </c>
      <c r="H134" s="433" t="s">
        <v>30</v>
      </c>
      <c r="I134" s="433"/>
      <c r="J134" s="433" t="s">
        <v>30</v>
      </c>
      <c r="K134" s="433">
        <v>84.0</v>
      </c>
      <c r="L134" s="433"/>
      <c r="M134" s="433" t="s">
        <v>31</v>
      </c>
      <c r="N134" s="433" t="s">
        <v>13552</v>
      </c>
      <c r="O134" s="433" t="s">
        <v>31</v>
      </c>
      <c r="P134" s="433" t="s">
        <v>11456</v>
      </c>
      <c r="Q134" s="433">
        <v>1.0</v>
      </c>
      <c r="R134" s="435"/>
    </row>
    <row r="135" ht="15.75" customHeight="1">
      <c r="B135" s="433">
        <v>130.0</v>
      </c>
      <c r="C135" s="433" t="s">
        <v>23697</v>
      </c>
      <c r="D135" s="433" t="s">
        <v>31</v>
      </c>
      <c r="E135" s="434" t="s">
        <v>23698</v>
      </c>
      <c r="F135" s="433" t="s">
        <v>29</v>
      </c>
      <c r="G135" s="433" t="s">
        <v>47</v>
      </c>
      <c r="H135" s="433" t="s">
        <v>30</v>
      </c>
      <c r="I135" s="433"/>
      <c r="J135" s="433" t="s">
        <v>30</v>
      </c>
      <c r="K135" s="433">
        <v>521.0</v>
      </c>
      <c r="L135" s="433"/>
      <c r="M135" s="433" t="s">
        <v>31</v>
      </c>
      <c r="N135" s="433" t="s">
        <v>6535</v>
      </c>
      <c r="O135" s="433">
        <v>1995.0</v>
      </c>
      <c r="P135" s="433" t="s">
        <v>11456</v>
      </c>
      <c r="Q135" s="433">
        <v>1.0</v>
      </c>
      <c r="R135" s="435"/>
    </row>
    <row r="136" ht="15.75" customHeight="1">
      <c r="B136" s="433">
        <v>131.0</v>
      </c>
      <c r="C136" s="433" t="s">
        <v>31</v>
      </c>
      <c r="D136" s="433" t="s">
        <v>31</v>
      </c>
      <c r="E136" s="434" t="s">
        <v>23699</v>
      </c>
      <c r="F136" s="433" t="s">
        <v>29</v>
      </c>
      <c r="G136" s="433" t="s">
        <v>47</v>
      </c>
      <c r="H136" s="433" t="s">
        <v>30</v>
      </c>
      <c r="I136" s="433"/>
      <c r="J136" s="433" t="s">
        <v>30</v>
      </c>
      <c r="K136" s="433">
        <v>381.0</v>
      </c>
      <c r="L136" s="433"/>
      <c r="M136" s="433" t="s">
        <v>31</v>
      </c>
      <c r="N136" s="433" t="s">
        <v>6535</v>
      </c>
      <c r="O136" s="433">
        <v>2005.0</v>
      </c>
      <c r="P136" s="433" t="s">
        <v>11456</v>
      </c>
      <c r="Q136" s="433">
        <v>1.0</v>
      </c>
      <c r="R136" s="435"/>
    </row>
    <row r="137" ht="15.75" customHeight="1">
      <c r="B137" s="433">
        <v>132.0</v>
      </c>
      <c r="C137" s="433" t="s">
        <v>31</v>
      </c>
      <c r="D137" s="433" t="s">
        <v>31</v>
      </c>
      <c r="E137" s="434" t="s">
        <v>23700</v>
      </c>
      <c r="F137" s="433" t="s">
        <v>29</v>
      </c>
      <c r="G137" s="433" t="s">
        <v>47</v>
      </c>
      <c r="H137" s="433" t="s">
        <v>30</v>
      </c>
      <c r="I137" s="433"/>
      <c r="J137" s="433" t="s">
        <v>30</v>
      </c>
      <c r="K137" s="433">
        <v>364.0</v>
      </c>
      <c r="L137" s="433"/>
      <c r="M137" s="433" t="s">
        <v>31</v>
      </c>
      <c r="N137" s="433" t="s">
        <v>6535</v>
      </c>
      <c r="O137" s="433">
        <v>2006.0</v>
      </c>
      <c r="P137" s="433" t="s">
        <v>11456</v>
      </c>
      <c r="Q137" s="433">
        <v>1.0</v>
      </c>
      <c r="R137" s="435"/>
    </row>
    <row r="138" ht="15.75" customHeight="1">
      <c r="B138" s="433">
        <v>133.0</v>
      </c>
      <c r="C138" s="433" t="s">
        <v>31</v>
      </c>
      <c r="D138" s="433" t="s">
        <v>31</v>
      </c>
      <c r="E138" s="434" t="s">
        <v>23701</v>
      </c>
      <c r="F138" s="433" t="s">
        <v>29</v>
      </c>
      <c r="G138" s="433" t="s">
        <v>47</v>
      </c>
      <c r="H138" s="433" t="s">
        <v>30</v>
      </c>
      <c r="I138" s="433"/>
      <c r="J138" s="433" t="s">
        <v>30</v>
      </c>
      <c r="K138" s="433">
        <v>132.0</v>
      </c>
      <c r="L138" s="433"/>
      <c r="M138" s="433" t="s">
        <v>23679</v>
      </c>
      <c r="N138" s="433" t="s">
        <v>6535</v>
      </c>
      <c r="O138" s="433">
        <v>2007.0</v>
      </c>
      <c r="P138" s="433" t="s">
        <v>11456</v>
      </c>
      <c r="Q138" s="433">
        <v>1.0</v>
      </c>
      <c r="R138" s="435"/>
    </row>
    <row r="139" ht="15.75" customHeight="1">
      <c r="B139" s="433">
        <v>134.0</v>
      </c>
      <c r="C139" s="433" t="s">
        <v>31</v>
      </c>
      <c r="D139" s="433" t="s">
        <v>31</v>
      </c>
      <c r="E139" s="434" t="s">
        <v>23702</v>
      </c>
      <c r="F139" s="433" t="s">
        <v>29</v>
      </c>
      <c r="G139" s="433" t="s">
        <v>47</v>
      </c>
      <c r="H139" s="433" t="s">
        <v>30</v>
      </c>
      <c r="I139" s="433"/>
      <c r="J139" s="433" t="s">
        <v>30</v>
      </c>
      <c r="K139" s="433">
        <v>146.0</v>
      </c>
      <c r="L139" s="433"/>
      <c r="M139" s="433" t="s">
        <v>23679</v>
      </c>
      <c r="N139" s="433" t="s">
        <v>6535</v>
      </c>
      <c r="O139" s="433">
        <v>2007.0</v>
      </c>
      <c r="P139" s="433" t="s">
        <v>11456</v>
      </c>
      <c r="Q139" s="433">
        <v>1.0</v>
      </c>
      <c r="R139" s="435"/>
    </row>
    <row r="140" ht="15.75" customHeight="1">
      <c r="B140" s="433">
        <v>135.0</v>
      </c>
      <c r="C140" s="433" t="s">
        <v>31</v>
      </c>
      <c r="D140" s="433" t="s">
        <v>31</v>
      </c>
      <c r="E140" s="434" t="s">
        <v>23703</v>
      </c>
      <c r="F140" s="433" t="s">
        <v>29</v>
      </c>
      <c r="G140" s="433" t="s">
        <v>47</v>
      </c>
      <c r="H140" s="433" t="s">
        <v>30</v>
      </c>
      <c r="I140" s="433"/>
      <c r="J140" s="433" t="s">
        <v>30</v>
      </c>
      <c r="K140" s="433">
        <v>137.0</v>
      </c>
      <c r="L140" s="433"/>
      <c r="M140" s="433" t="s">
        <v>23679</v>
      </c>
      <c r="N140" s="433" t="s">
        <v>6535</v>
      </c>
      <c r="O140" s="433">
        <v>2007.0</v>
      </c>
      <c r="P140" s="433" t="s">
        <v>11456</v>
      </c>
      <c r="Q140" s="433">
        <v>1.0</v>
      </c>
      <c r="R140" s="435"/>
    </row>
    <row r="141" ht="15.75" customHeight="1">
      <c r="B141" s="433">
        <v>136.0</v>
      </c>
      <c r="C141" s="433" t="s">
        <v>31</v>
      </c>
      <c r="D141" s="433" t="s">
        <v>31</v>
      </c>
      <c r="E141" s="434" t="s">
        <v>23704</v>
      </c>
      <c r="F141" s="433" t="s">
        <v>29</v>
      </c>
      <c r="G141" s="433" t="s">
        <v>47</v>
      </c>
      <c r="H141" s="433" t="s">
        <v>30</v>
      </c>
      <c r="I141" s="433"/>
      <c r="J141" s="433" t="s">
        <v>30</v>
      </c>
      <c r="K141" s="433">
        <v>151.0</v>
      </c>
      <c r="L141" s="433"/>
      <c r="M141" s="433" t="s">
        <v>23679</v>
      </c>
      <c r="N141" s="433" t="s">
        <v>6535</v>
      </c>
      <c r="O141" s="433">
        <v>2007.0</v>
      </c>
      <c r="P141" s="433" t="s">
        <v>11456</v>
      </c>
      <c r="Q141" s="433">
        <v>1.0</v>
      </c>
      <c r="R141" s="435"/>
    </row>
    <row r="142" ht="15.75" customHeight="1">
      <c r="B142" s="433">
        <v>137.0</v>
      </c>
      <c r="C142" s="433" t="s">
        <v>31</v>
      </c>
      <c r="D142" s="433" t="s">
        <v>31</v>
      </c>
      <c r="E142" s="434" t="s">
        <v>23705</v>
      </c>
      <c r="F142" s="433" t="s">
        <v>29</v>
      </c>
      <c r="G142" s="433" t="s">
        <v>47</v>
      </c>
      <c r="H142" s="433" t="s">
        <v>30</v>
      </c>
      <c r="I142" s="433"/>
      <c r="J142" s="433" t="s">
        <v>30</v>
      </c>
      <c r="K142" s="433">
        <v>138.0</v>
      </c>
      <c r="L142" s="433"/>
      <c r="M142" s="433" t="s">
        <v>23679</v>
      </c>
      <c r="N142" s="433" t="s">
        <v>6535</v>
      </c>
      <c r="O142" s="433">
        <v>2005.0</v>
      </c>
      <c r="P142" s="433" t="s">
        <v>11456</v>
      </c>
      <c r="Q142" s="433">
        <v>1.0</v>
      </c>
      <c r="R142" s="435"/>
    </row>
    <row r="143" ht="15.75" customHeight="1">
      <c r="B143" s="433">
        <v>138.0</v>
      </c>
      <c r="C143" s="433" t="s">
        <v>31</v>
      </c>
      <c r="D143" s="433" t="s">
        <v>31</v>
      </c>
      <c r="E143" s="434" t="s">
        <v>23706</v>
      </c>
      <c r="F143" s="433" t="s">
        <v>29</v>
      </c>
      <c r="G143" s="433" t="s">
        <v>47</v>
      </c>
      <c r="H143" s="433" t="s">
        <v>30</v>
      </c>
      <c r="I143" s="433"/>
      <c r="J143" s="433" t="s">
        <v>30</v>
      </c>
      <c r="K143" s="433">
        <v>147.0</v>
      </c>
      <c r="L143" s="433"/>
      <c r="M143" s="433" t="s">
        <v>23679</v>
      </c>
      <c r="N143" s="433" t="s">
        <v>6535</v>
      </c>
      <c r="O143" s="433">
        <v>2005.0</v>
      </c>
      <c r="P143" s="433" t="s">
        <v>11456</v>
      </c>
      <c r="Q143" s="433">
        <v>1.0</v>
      </c>
      <c r="R143" s="435"/>
    </row>
    <row r="144" ht="15.75" customHeight="1">
      <c r="B144" s="433">
        <v>139.0</v>
      </c>
      <c r="C144" s="433" t="s">
        <v>31</v>
      </c>
      <c r="D144" s="433" t="s">
        <v>31</v>
      </c>
      <c r="E144" s="434" t="s">
        <v>23707</v>
      </c>
      <c r="F144" s="433" t="s">
        <v>29</v>
      </c>
      <c r="G144" s="433" t="s">
        <v>47</v>
      </c>
      <c r="H144" s="433" t="s">
        <v>30</v>
      </c>
      <c r="I144" s="433"/>
      <c r="J144" s="433" t="s">
        <v>30</v>
      </c>
      <c r="K144" s="433">
        <v>145.0</v>
      </c>
      <c r="L144" s="433"/>
      <c r="M144" s="433" t="s">
        <v>23679</v>
      </c>
      <c r="N144" s="433" t="s">
        <v>6535</v>
      </c>
      <c r="O144" s="433">
        <v>2005.0</v>
      </c>
      <c r="P144" s="433" t="s">
        <v>11456</v>
      </c>
      <c r="Q144" s="433">
        <v>1.0</v>
      </c>
      <c r="R144" s="435"/>
    </row>
    <row r="145" ht="15.75" customHeight="1">
      <c r="B145" s="433">
        <v>140.0</v>
      </c>
      <c r="C145" s="433" t="s">
        <v>31</v>
      </c>
      <c r="D145" s="433" t="s">
        <v>31</v>
      </c>
      <c r="E145" s="434" t="s">
        <v>23708</v>
      </c>
      <c r="F145" s="433" t="s">
        <v>29</v>
      </c>
      <c r="G145" s="433" t="s">
        <v>47</v>
      </c>
      <c r="H145" s="433" t="s">
        <v>30</v>
      </c>
      <c r="I145" s="433"/>
      <c r="J145" s="433" t="s">
        <v>30</v>
      </c>
      <c r="K145" s="433">
        <v>150.0</v>
      </c>
      <c r="L145" s="433"/>
      <c r="M145" s="433" t="s">
        <v>23679</v>
      </c>
      <c r="N145" s="433" t="s">
        <v>6535</v>
      </c>
      <c r="O145" s="433">
        <v>2005.0</v>
      </c>
      <c r="P145" s="433" t="s">
        <v>11456</v>
      </c>
      <c r="Q145" s="433">
        <v>1.0</v>
      </c>
      <c r="R145" s="435"/>
    </row>
    <row r="146" ht="15.75" customHeight="1">
      <c r="B146" s="433">
        <v>141.0</v>
      </c>
      <c r="C146" s="433" t="s">
        <v>31</v>
      </c>
      <c r="D146" s="433" t="s">
        <v>31</v>
      </c>
      <c r="E146" s="434" t="s">
        <v>23709</v>
      </c>
      <c r="F146" s="433" t="s">
        <v>29</v>
      </c>
      <c r="G146" s="433" t="s">
        <v>47</v>
      </c>
      <c r="H146" s="433" t="s">
        <v>30</v>
      </c>
      <c r="I146" s="433"/>
      <c r="J146" s="433" t="s">
        <v>30</v>
      </c>
      <c r="K146" s="433">
        <v>270.0</v>
      </c>
      <c r="L146" s="433"/>
      <c r="M146" s="433" t="s">
        <v>31</v>
      </c>
      <c r="N146" s="433" t="s">
        <v>6535</v>
      </c>
      <c r="O146" s="433">
        <v>2004.0</v>
      </c>
      <c r="P146" s="433" t="s">
        <v>11456</v>
      </c>
      <c r="Q146" s="433">
        <v>1.0</v>
      </c>
      <c r="R146" s="435"/>
    </row>
    <row r="147" ht="15.75" customHeight="1">
      <c r="B147" s="433">
        <v>142.0</v>
      </c>
      <c r="C147" s="433" t="s">
        <v>23710</v>
      </c>
      <c r="D147" s="433" t="s">
        <v>31</v>
      </c>
      <c r="E147" s="434" t="s">
        <v>23711</v>
      </c>
      <c r="F147" s="433" t="s">
        <v>29</v>
      </c>
      <c r="G147" s="433" t="s">
        <v>47</v>
      </c>
      <c r="H147" s="433" t="s">
        <v>30</v>
      </c>
      <c r="I147" s="433"/>
      <c r="J147" s="433" t="s">
        <v>30</v>
      </c>
      <c r="K147" s="433"/>
      <c r="L147" s="433"/>
      <c r="M147" s="433" t="s">
        <v>23712</v>
      </c>
      <c r="N147" s="433" t="s">
        <v>6535</v>
      </c>
      <c r="O147" s="433">
        <v>2005.0</v>
      </c>
      <c r="P147" s="433" t="s">
        <v>11456</v>
      </c>
      <c r="Q147" s="433">
        <v>1.0</v>
      </c>
      <c r="R147" s="435"/>
    </row>
    <row r="148" ht="15.75" customHeight="1">
      <c r="B148" s="433">
        <v>143.0</v>
      </c>
      <c r="C148" s="433" t="s">
        <v>23697</v>
      </c>
      <c r="D148" s="433" t="s">
        <v>31</v>
      </c>
      <c r="E148" s="434" t="s">
        <v>23713</v>
      </c>
      <c r="F148" s="433" t="s">
        <v>29</v>
      </c>
      <c r="G148" s="433" t="s">
        <v>47</v>
      </c>
      <c r="H148" s="433" t="s">
        <v>30</v>
      </c>
      <c r="I148" s="433"/>
      <c r="J148" s="433" t="s">
        <v>30</v>
      </c>
      <c r="K148" s="433">
        <v>404.0</v>
      </c>
      <c r="L148" s="433"/>
      <c r="M148" s="433" t="s">
        <v>23714</v>
      </c>
      <c r="N148" s="433" t="s">
        <v>6535</v>
      </c>
      <c r="O148" s="433">
        <v>1995.0</v>
      </c>
      <c r="P148" s="433" t="s">
        <v>11456</v>
      </c>
      <c r="Q148" s="433">
        <v>1.0</v>
      </c>
      <c r="R148" s="435"/>
    </row>
    <row r="149" ht="15.75" customHeight="1">
      <c r="B149" s="433">
        <v>144.0</v>
      </c>
      <c r="C149" s="433" t="s">
        <v>31</v>
      </c>
      <c r="D149" s="433" t="s">
        <v>31</v>
      </c>
      <c r="E149" s="434" t="s">
        <v>23715</v>
      </c>
      <c r="F149" s="433" t="s">
        <v>29</v>
      </c>
      <c r="G149" s="433" t="s">
        <v>47</v>
      </c>
      <c r="H149" s="433" t="s">
        <v>30</v>
      </c>
      <c r="I149" s="433"/>
      <c r="J149" s="433" t="s">
        <v>30</v>
      </c>
      <c r="K149" s="433">
        <v>132.0</v>
      </c>
      <c r="L149" s="433"/>
      <c r="M149" s="433" t="s">
        <v>23679</v>
      </c>
      <c r="N149" s="433" t="s">
        <v>6535</v>
      </c>
      <c r="O149" s="433">
        <v>2003.0</v>
      </c>
      <c r="P149" s="433" t="s">
        <v>11456</v>
      </c>
      <c r="Q149" s="433">
        <v>1.0</v>
      </c>
      <c r="R149" s="435"/>
    </row>
    <row r="150" ht="15.75" customHeight="1">
      <c r="B150" s="433">
        <v>145.0</v>
      </c>
      <c r="C150" s="433" t="s">
        <v>31</v>
      </c>
      <c r="D150" s="433" t="s">
        <v>31</v>
      </c>
      <c r="E150" s="434" t="s">
        <v>23716</v>
      </c>
      <c r="F150" s="433" t="s">
        <v>29</v>
      </c>
      <c r="G150" s="433" t="s">
        <v>47</v>
      </c>
      <c r="H150" s="433" t="s">
        <v>30</v>
      </c>
      <c r="I150" s="433"/>
      <c r="J150" s="433" t="s">
        <v>30</v>
      </c>
      <c r="K150" s="433">
        <v>151.0</v>
      </c>
      <c r="L150" s="433"/>
      <c r="M150" s="433" t="s">
        <v>23679</v>
      </c>
      <c r="N150" s="433" t="s">
        <v>6535</v>
      </c>
      <c r="O150" s="433">
        <v>2003.0</v>
      </c>
      <c r="P150" s="433" t="s">
        <v>11456</v>
      </c>
      <c r="Q150" s="433">
        <v>1.0</v>
      </c>
      <c r="R150" s="435"/>
    </row>
    <row r="151" ht="15.75" customHeight="1">
      <c r="B151" s="433">
        <v>146.0</v>
      </c>
      <c r="C151" s="433" t="s">
        <v>23717</v>
      </c>
      <c r="D151" s="433" t="s">
        <v>31</v>
      </c>
      <c r="E151" s="434" t="s">
        <v>23718</v>
      </c>
      <c r="F151" s="433" t="s">
        <v>29</v>
      </c>
      <c r="G151" s="433" t="s">
        <v>47</v>
      </c>
      <c r="H151" s="433" t="s">
        <v>30</v>
      </c>
      <c r="I151" s="433"/>
      <c r="J151" s="433" t="s">
        <v>30</v>
      </c>
      <c r="K151" s="433">
        <v>118.0</v>
      </c>
      <c r="L151" s="433"/>
      <c r="M151" s="433" t="s">
        <v>23719</v>
      </c>
      <c r="N151" s="433" t="s">
        <v>6535</v>
      </c>
      <c r="O151" s="433">
        <v>2003.0</v>
      </c>
      <c r="P151" s="433" t="s">
        <v>11456</v>
      </c>
      <c r="Q151" s="433">
        <v>1.0</v>
      </c>
      <c r="R151" s="435"/>
    </row>
    <row r="152" ht="15.75" customHeight="1">
      <c r="B152" s="433">
        <v>147.0</v>
      </c>
      <c r="C152" s="433" t="s">
        <v>31</v>
      </c>
      <c r="D152" s="433" t="s">
        <v>31</v>
      </c>
      <c r="E152" s="434" t="s">
        <v>23720</v>
      </c>
      <c r="F152" s="433" t="s">
        <v>29</v>
      </c>
      <c r="G152" s="433" t="s">
        <v>47</v>
      </c>
      <c r="H152" s="433" t="s">
        <v>30</v>
      </c>
      <c r="I152" s="433"/>
      <c r="J152" s="433" t="s">
        <v>30</v>
      </c>
      <c r="K152" s="433">
        <v>139.0</v>
      </c>
      <c r="L152" s="433"/>
      <c r="M152" s="433" t="s">
        <v>23679</v>
      </c>
      <c r="N152" s="433" t="s">
        <v>6535</v>
      </c>
      <c r="O152" s="433">
        <v>2002.0</v>
      </c>
      <c r="P152" s="433" t="s">
        <v>11456</v>
      </c>
      <c r="Q152" s="433">
        <v>1.0</v>
      </c>
      <c r="R152" s="435"/>
    </row>
    <row r="153" ht="15.75" customHeight="1">
      <c r="B153" s="433">
        <v>148.0</v>
      </c>
      <c r="C153" s="433" t="s">
        <v>31</v>
      </c>
      <c r="D153" s="433" t="s">
        <v>31</v>
      </c>
      <c r="E153" s="434" t="s">
        <v>23721</v>
      </c>
      <c r="F153" s="433" t="s">
        <v>29</v>
      </c>
      <c r="G153" s="433" t="s">
        <v>47</v>
      </c>
      <c r="H153" s="433" t="s">
        <v>30</v>
      </c>
      <c r="I153" s="433"/>
      <c r="J153" s="433" t="s">
        <v>30</v>
      </c>
      <c r="K153" s="433">
        <v>394.0</v>
      </c>
      <c r="L153" s="433"/>
      <c r="M153" s="433" t="s">
        <v>31</v>
      </c>
      <c r="N153" s="433" t="s">
        <v>13447</v>
      </c>
      <c r="O153" s="433">
        <v>2003.0</v>
      </c>
      <c r="P153" s="433" t="s">
        <v>11456</v>
      </c>
      <c r="Q153" s="433">
        <v>1.0</v>
      </c>
      <c r="R153" s="435"/>
    </row>
    <row r="154" ht="15.75" customHeight="1">
      <c r="B154" s="433">
        <v>149.0</v>
      </c>
      <c r="C154" s="433" t="s">
        <v>31</v>
      </c>
      <c r="D154" s="433" t="s">
        <v>31</v>
      </c>
      <c r="E154" s="434" t="s">
        <v>23722</v>
      </c>
      <c r="F154" s="433" t="s">
        <v>29</v>
      </c>
      <c r="G154" s="433" t="s">
        <v>47</v>
      </c>
      <c r="H154" s="433" t="s">
        <v>30</v>
      </c>
      <c r="I154" s="433"/>
      <c r="J154" s="433" t="s">
        <v>30</v>
      </c>
      <c r="K154" s="433">
        <v>402.0</v>
      </c>
      <c r="L154" s="433"/>
      <c r="M154" s="433" t="s">
        <v>31</v>
      </c>
      <c r="N154" s="433" t="s">
        <v>13447</v>
      </c>
      <c r="O154" s="433">
        <v>2002.0</v>
      </c>
      <c r="P154" s="433" t="s">
        <v>11456</v>
      </c>
      <c r="Q154" s="433">
        <v>1.0</v>
      </c>
      <c r="R154" s="435"/>
    </row>
    <row r="155" ht="15.75" customHeight="1">
      <c r="B155" s="433">
        <v>150.0</v>
      </c>
      <c r="C155" s="433" t="s">
        <v>31</v>
      </c>
      <c r="D155" s="433" t="s">
        <v>31</v>
      </c>
      <c r="E155" s="434" t="s">
        <v>23723</v>
      </c>
      <c r="F155" s="433" t="s">
        <v>29</v>
      </c>
      <c r="G155" s="433" t="s">
        <v>47</v>
      </c>
      <c r="H155" s="433" t="s">
        <v>30</v>
      </c>
      <c r="I155" s="433"/>
      <c r="J155" s="433" t="s">
        <v>30</v>
      </c>
      <c r="K155" s="433">
        <v>54.0</v>
      </c>
      <c r="L155" s="433"/>
      <c r="M155" s="433" t="s">
        <v>31</v>
      </c>
      <c r="N155" s="433" t="s">
        <v>13552</v>
      </c>
      <c r="O155" s="433">
        <v>2007.0</v>
      </c>
      <c r="P155" s="433" t="s">
        <v>11456</v>
      </c>
      <c r="Q155" s="433">
        <v>1.0</v>
      </c>
      <c r="R155" s="435"/>
    </row>
    <row r="156" ht="15.75" customHeight="1">
      <c r="B156" s="433">
        <v>151.0</v>
      </c>
      <c r="C156" s="433" t="s">
        <v>23724</v>
      </c>
      <c r="D156" s="433" t="s">
        <v>31</v>
      </c>
      <c r="E156" s="434" t="s">
        <v>23725</v>
      </c>
      <c r="F156" s="433" t="s">
        <v>29</v>
      </c>
      <c r="G156" s="433" t="s">
        <v>47</v>
      </c>
      <c r="H156" s="433" t="s">
        <v>30</v>
      </c>
      <c r="I156" s="433"/>
      <c r="J156" s="433" t="s">
        <v>30</v>
      </c>
      <c r="K156" s="433">
        <v>89.0</v>
      </c>
      <c r="L156" s="433"/>
      <c r="M156" s="433" t="s">
        <v>31</v>
      </c>
      <c r="N156" s="433" t="s">
        <v>6535</v>
      </c>
      <c r="O156" s="433">
        <v>2007.0</v>
      </c>
      <c r="P156" s="433" t="s">
        <v>11456</v>
      </c>
      <c r="Q156" s="433">
        <v>1.0</v>
      </c>
      <c r="R156" s="435"/>
    </row>
    <row r="157" ht="15.75" customHeight="1">
      <c r="B157" s="433">
        <v>152.0</v>
      </c>
      <c r="C157" s="433" t="s">
        <v>23726</v>
      </c>
      <c r="D157" s="433" t="s">
        <v>31</v>
      </c>
      <c r="E157" s="434" t="s">
        <v>23727</v>
      </c>
      <c r="F157" s="433" t="s">
        <v>29</v>
      </c>
      <c r="G157" s="433" t="s">
        <v>47</v>
      </c>
      <c r="H157" s="433" t="s">
        <v>30</v>
      </c>
      <c r="I157" s="433"/>
      <c r="J157" s="433" t="s">
        <v>30</v>
      </c>
      <c r="K157" s="433">
        <v>182.0</v>
      </c>
      <c r="L157" s="433"/>
      <c r="M157" s="433" t="s">
        <v>23659</v>
      </c>
      <c r="N157" s="433" t="s">
        <v>6535</v>
      </c>
      <c r="O157" s="433">
        <v>2005.0</v>
      </c>
      <c r="P157" s="433" t="s">
        <v>11456</v>
      </c>
      <c r="Q157" s="433">
        <v>1.0</v>
      </c>
      <c r="R157" s="435"/>
    </row>
    <row r="158" ht="15.75" customHeight="1">
      <c r="B158" s="433">
        <v>153.0</v>
      </c>
      <c r="C158" s="433" t="s">
        <v>23728</v>
      </c>
      <c r="D158" s="433" t="s">
        <v>31</v>
      </c>
      <c r="E158" s="434" t="s">
        <v>23729</v>
      </c>
      <c r="F158" s="433" t="s">
        <v>29</v>
      </c>
      <c r="G158" s="433" t="s">
        <v>47</v>
      </c>
      <c r="H158" s="433" t="s">
        <v>30</v>
      </c>
      <c r="I158" s="433"/>
      <c r="J158" s="433" t="s">
        <v>30</v>
      </c>
      <c r="K158" s="433">
        <v>217.0</v>
      </c>
      <c r="L158" s="433"/>
      <c r="M158" s="433" t="s">
        <v>23659</v>
      </c>
      <c r="N158" s="433" t="s">
        <v>6535</v>
      </c>
      <c r="O158" s="433">
        <v>2003.0</v>
      </c>
      <c r="P158" s="433" t="s">
        <v>11456</v>
      </c>
      <c r="Q158" s="433">
        <v>1.0</v>
      </c>
      <c r="R158" s="435"/>
    </row>
    <row r="159" ht="15.75" customHeight="1">
      <c r="B159" s="433">
        <v>154.0</v>
      </c>
      <c r="C159" s="433" t="s">
        <v>23730</v>
      </c>
      <c r="D159" s="433" t="s">
        <v>31</v>
      </c>
      <c r="E159" s="434" t="s">
        <v>23731</v>
      </c>
      <c r="F159" s="433" t="s">
        <v>29</v>
      </c>
      <c r="G159" s="433" t="s">
        <v>47</v>
      </c>
      <c r="H159" s="433" t="s">
        <v>30</v>
      </c>
      <c r="I159" s="433"/>
      <c r="J159" s="433" t="s">
        <v>30</v>
      </c>
      <c r="K159" s="433">
        <v>300.0</v>
      </c>
      <c r="L159" s="433"/>
      <c r="M159" s="433" t="s">
        <v>31</v>
      </c>
      <c r="N159" s="433" t="s">
        <v>6535</v>
      </c>
      <c r="O159" s="433">
        <v>2002.0</v>
      </c>
      <c r="P159" s="433" t="s">
        <v>11456</v>
      </c>
      <c r="Q159" s="433">
        <v>1.0</v>
      </c>
      <c r="R159" s="435"/>
    </row>
    <row r="160" ht="15.75" customHeight="1">
      <c r="B160" s="433">
        <v>155.0</v>
      </c>
      <c r="C160" s="667"/>
      <c r="D160" s="433" t="s">
        <v>23732</v>
      </c>
      <c r="E160" s="434" t="s">
        <v>23733</v>
      </c>
      <c r="F160" s="433" t="s">
        <v>31</v>
      </c>
      <c r="G160" s="433" t="s">
        <v>47</v>
      </c>
      <c r="H160" s="433" t="s">
        <v>131</v>
      </c>
      <c r="I160" s="433"/>
      <c r="J160" s="433" t="s">
        <v>38</v>
      </c>
      <c r="K160" s="433">
        <v>551.0</v>
      </c>
      <c r="L160" s="433"/>
      <c r="M160" s="433" t="s">
        <v>12265</v>
      </c>
      <c r="N160" s="433" t="s">
        <v>54</v>
      </c>
      <c r="O160" s="433">
        <v>1961.0</v>
      </c>
      <c r="P160" s="433" t="s">
        <v>11456</v>
      </c>
      <c r="Q160" s="433">
        <v>4.0</v>
      </c>
      <c r="R160" s="450"/>
    </row>
    <row r="161" ht="15.75" customHeight="1">
      <c r="B161" s="433">
        <v>156.0</v>
      </c>
      <c r="C161" s="433" t="s">
        <v>6496</v>
      </c>
      <c r="D161" s="433"/>
      <c r="E161" s="434" t="s">
        <v>6498</v>
      </c>
      <c r="F161" s="433" t="s">
        <v>29</v>
      </c>
      <c r="G161" s="433" t="s">
        <v>47</v>
      </c>
      <c r="H161" s="433" t="s">
        <v>30</v>
      </c>
      <c r="I161" s="433" t="s">
        <v>31</v>
      </c>
      <c r="J161" s="433" t="s">
        <v>30</v>
      </c>
      <c r="K161" s="433">
        <v>123.0</v>
      </c>
      <c r="L161" s="433"/>
      <c r="M161" s="433" t="s">
        <v>31</v>
      </c>
      <c r="N161" s="433" t="s">
        <v>6499</v>
      </c>
      <c r="O161" s="433">
        <v>2013.0</v>
      </c>
      <c r="P161" s="433" t="s">
        <v>11456</v>
      </c>
      <c r="Q161" s="433">
        <v>2.0</v>
      </c>
      <c r="R161" s="435"/>
    </row>
    <row r="162" ht="15.75" customHeight="1">
      <c r="B162" s="433">
        <v>157.0</v>
      </c>
      <c r="C162" s="433">
        <v>1.23456789E8</v>
      </c>
      <c r="D162" s="433"/>
      <c r="E162" s="434" t="s">
        <v>23734</v>
      </c>
      <c r="F162" s="433" t="s">
        <v>29</v>
      </c>
      <c r="G162" s="433" t="s">
        <v>47</v>
      </c>
      <c r="H162" s="433"/>
      <c r="I162" s="433" t="s">
        <v>31</v>
      </c>
      <c r="J162" s="433" t="s">
        <v>38</v>
      </c>
      <c r="K162" s="433"/>
      <c r="L162" s="433" t="s">
        <v>13601</v>
      </c>
      <c r="M162" s="433" t="s">
        <v>13552</v>
      </c>
      <c r="N162" s="433" t="s">
        <v>13552</v>
      </c>
      <c r="O162" s="433">
        <v>1985.0</v>
      </c>
      <c r="P162" s="433" t="s">
        <v>11456</v>
      </c>
      <c r="Q162" s="433">
        <v>1.0</v>
      </c>
      <c r="R162" s="435"/>
    </row>
    <row r="163" ht="15.75" customHeight="1">
      <c r="B163" s="433">
        <v>158.0</v>
      </c>
      <c r="C163" s="433" t="s">
        <v>23735</v>
      </c>
      <c r="D163" s="433" t="s">
        <v>23736</v>
      </c>
      <c r="E163" s="434" t="s">
        <v>23737</v>
      </c>
      <c r="F163" s="433" t="s">
        <v>29</v>
      </c>
      <c r="G163" s="433" t="s">
        <v>47</v>
      </c>
      <c r="H163" s="433" t="s">
        <v>30</v>
      </c>
      <c r="I163" s="433" t="s">
        <v>31</v>
      </c>
      <c r="J163" s="433" t="s">
        <v>30</v>
      </c>
      <c r="K163" s="433">
        <v>28.0</v>
      </c>
      <c r="L163" s="433" t="s">
        <v>31</v>
      </c>
      <c r="M163" s="433" t="s">
        <v>31</v>
      </c>
      <c r="N163" s="433" t="s">
        <v>6535</v>
      </c>
      <c r="O163" s="607">
        <v>2014.0</v>
      </c>
      <c r="P163" s="433" t="s">
        <v>11456</v>
      </c>
      <c r="Q163" s="433">
        <v>1.0</v>
      </c>
      <c r="R163" s="435"/>
    </row>
    <row r="164" ht="15.75" customHeight="1">
      <c r="B164" s="433">
        <v>159.0</v>
      </c>
      <c r="C164" s="433" t="s">
        <v>10457</v>
      </c>
      <c r="D164" s="433" t="s">
        <v>23738</v>
      </c>
      <c r="E164" s="434" t="s">
        <v>23739</v>
      </c>
      <c r="F164" s="433" t="s">
        <v>29</v>
      </c>
      <c r="G164" s="433" t="s">
        <v>47</v>
      </c>
      <c r="H164" s="433" t="s">
        <v>30</v>
      </c>
      <c r="I164" s="433" t="s">
        <v>31</v>
      </c>
      <c r="J164" s="433" t="s">
        <v>30</v>
      </c>
      <c r="K164" s="433">
        <f>106+8</f>
        <v>114</v>
      </c>
      <c r="L164" s="433" t="s">
        <v>31</v>
      </c>
      <c r="M164" s="433" t="s">
        <v>23740</v>
      </c>
      <c r="N164" s="433" t="s">
        <v>10461</v>
      </c>
      <c r="O164" s="607">
        <v>2014.0</v>
      </c>
      <c r="P164" s="433" t="s">
        <v>11456</v>
      </c>
      <c r="Q164" s="433">
        <v>1.0</v>
      </c>
      <c r="R164" s="435"/>
    </row>
    <row r="165" ht="15.75" customHeight="1">
      <c r="B165" s="433">
        <v>160.0</v>
      </c>
      <c r="C165" s="433" t="s">
        <v>31</v>
      </c>
      <c r="D165" s="433" t="s">
        <v>23741</v>
      </c>
      <c r="E165" s="434" t="s">
        <v>23742</v>
      </c>
      <c r="F165" s="433" t="s">
        <v>29</v>
      </c>
      <c r="G165" s="433" t="s">
        <v>47</v>
      </c>
      <c r="H165" s="433" t="s">
        <v>30</v>
      </c>
      <c r="I165" s="433" t="s">
        <v>31</v>
      </c>
      <c r="J165" s="433" t="s">
        <v>30</v>
      </c>
      <c r="K165" s="433">
        <v>48.0</v>
      </c>
      <c r="L165" s="433" t="s">
        <v>31</v>
      </c>
      <c r="M165" s="433" t="s">
        <v>31</v>
      </c>
      <c r="N165" s="433" t="s">
        <v>23743</v>
      </c>
      <c r="O165" s="607">
        <v>2014.0</v>
      </c>
      <c r="P165" s="433" t="s">
        <v>11456</v>
      </c>
      <c r="Q165" s="433">
        <v>1.0</v>
      </c>
      <c r="R165" s="435"/>
    </row>
    <row r="166" ht="15.75" customHeight="1">
      <c r="B166" s="433">
        <v>161.0</v>
      </c>
      <c r="C166" s="433" t="s">
        <v>31</v>
      </c>
      <c r="D166" s="433" t="s">
        <v>23744</v>
      </c>
      <c r="E166" s="434" t="s">
        <v>23745</v>
      </c>
      <c r="F166" s="433" t="s">
        <v>29</v>
      </c>
      <c r="G166" s="433" t="s">
        <v>47</v>
      </c>
      <c r="H166" s="433" t="s">
        <v>30</v>
      </c>
      <c r="I166" s="433" t="s">
        <v>31</v>
      </c>
      <c r="J166" s="433" t="s">
        <v>30</v>
      </c>
      <c r="K166" s="433">
        <v>232.0</v>
      </c>
      <c r="L166" s="433" t="s">
        <v>31</v>
      </c>
      <c r="M166" s="433" t="s">
        <v>31</v>
      </c>
      <c r="N166" s="433" t="s">
        <v>23746</v>
      </c>
      <c r="O166" s="607">
        <v>2014.0</v>
      </c>
      <c r="P166" s="433" t="s">
        <v>11456</v>
      </c>
      <c r="Q166" s="433">
        <v>1.0</v>
      </c>
      <c r="R166" s="435"/>
    </row>
    <row r="167" ht="15.75" customHeight="1">
      <c r="B167" s="433">
        <v>162.0</v>
      </c>
      <c r="C167" s="433" t="s">
        <v>31</v>
      </c>
      <c r="D167" s="433" t="s">
        <v>23747</v>
      </c>
      <c r="E167" s="434" t="s">
        <v>6487</v>
      </c>
      <c r="F167" s="433" t="s">
        <v>29</v>
      </c>
      <c r="G167" s="433" t="s">
        <v>47</v>
      </c>
      <c r="H167" s="433" t="s">
        <v>30</v>
      </c>
      <c r="I167" s="433" t="s">
        <v>31</v>
      </c>
      <c r="J167" s="433" t="s">
        <v>30</v>
      </c>
      <c r="K167" s="433">
        <v>196.0</v>
      </c>
      <c r="L167" s="433" t="s">
        <v>31</v>
      </c>
      <c r="M167" s="433" t="s">
        <v>23748</v>
      </c>
      <c r="N167" s="433" t="s">
        <v>6489</v>
      </c>
      <c r="O167" s="607">
        <v>2015.0</v>
      </c>
      <c r="P167" s="433" t="s">
        <v>11456</v>
      </c>
      <c r="Q167" s="433">
        <v>1.0</v>
      </c>
      <c r="R167" s="435"/>
    </row>
    <row r="168" ht="15.75" customHeight="1">
      <c r="B168" s="433">
        <v>163.0</v>
      </c>
      <c r="C168" s="433" t="s">
        <v>31</v>
      </c>
      <c r="D168" s="433" t="s">
        <v>31</v>
      </c>
      <c r="E168" s="434" t="s">
        <v>23749</v>
      </c>
      <c r="F168" s="433" t="s">
        <v>29</v>
      </c>
      <c r="G168" s="433" t="s">
        <v>47</v>
      </c>
      <c r="H168" s="433" t="s">
        <v>30</v>
      </c>
      <c r="I168" s="433" t="s">
        <v>31</v>
      </c>
      <c r="J168" s="433" t="s">
        <v>30</v>
      </c>
      <c r="K168" s="433">
        <v>188.0</v>
      </c>
      <c r="L168" s="433" t="s">
        <v>31</v>
      </c>
      <c r="M168" s="433" t="s">
        <v>31</v>
      </c>
      <c r="N168" s="433" t="s">
        <v>23750</v>
      </c>
      <c r="O168" s="607">
        <v>2014.0</v>
      </c>
      <c r="P168" s="433" t="s">
        <v>11456</v>
      </c>
      <c r="Q168" s="433">
        <v>1.0</v>
      </c>
      <c r="R168" s="435"/>
    </row>
    <row r="169" ht="15.75" customHeight="1">
      <c r="B169" s="433">
        <v>164.0</v>
      </c>
      <c r="C169" s="433" t="s">
        <v>31</v>
      </c>
      <c r="D169" s="433" t="s">
        <v>31</v>
      </c>
      <c r="E169" s="434" t="s">
        <v>23751</v>
      </c>
      <c r="F169" s="433" t="s">
        <v>29</v>
      </c>
      <c r="G169" s="433" t="s">
        <v>47</v>
      </c>
      <c r="H169" s="433" t="s">
        <v>30</v>
      </c>
      <c r="I169" s="433" t="s">
        <v>31</v>
      </c>
      <c r="J169" s="433" t="s">
        <v>30</v>
      </c>
      <c r="K169" s="433">
        <v>20.0</v>
      </c>
      <c r="L169" s="433" t="s">
        <v>31</v>
      </c>
      <c r="M169" s="433" t="s">
        <v>31</v>
      </c>
      <c r="N169" s="433" t="s">
        <v>23752</v>
      </c>
      <c r="O169" s="607" t="s">
        <v>31</v>
      </c>
      <c r="P169" s="433" t="s">
        <v>11456</v>
      </c>
      <c r="Q169" s="433">
        <v>1.0</v>
      </c>
      <c r="R169" s="435"/>
    </row>
    <row r="170" ht="15.75" customHeight="1">
      <c r="B170" s="433">
        <v>165.0</v>
      </c>
      <c r="C170" s="433" t="s">
        <v>31</v>
      </c>
      <c r="D170" s="433" t="s">
        <v>23753</v>
      </c>
      <c r="E170" s="434" t="s">
        <v>23754</v>
      </c>
      <c r="F170" s="433" t="s">
        <v>29</v>
      </c>
      <c r="G170" s="433" t="s">
        <v>47</v>
      </c>
      <c r="H170" s="433" t="s">
        <v>30</v>
      </c>
      <c r="I170" s="433" t="s">
        <v>31</v>
      </c>
      <c r="J170" s="433" t="s">
        <v>30</v>
      </c>
      <c r="K170" s="433">
        <v>68.0</v>
      </c>
      <c r="L170" s="433" t="s">
        <v>31</v>
      </c>
      <c r="M170" s="433" t="s">
        <v>23755</v>
      </c>
      <c r="N170" s="433" t="s">
        <v>31</v>
      </c>
      <c r="O170" s="607">
        <v>2015.0</v>
      </c>
      <c r="P170" s="433" t="s">
        <v>11456</v>
      </c>
      <c r="Q170" s="433">
        <v>1.0</v>
      </c>
      <c r="R170" s="435"/>
    </row>
    <row r="171" ht="15.75" customHeight="1">
      <c r="B171" s="430">
        <v>166.0</v>
      </c>
      <c r="C171" s="430" t="s">
        <v>31</v>
      </c>
      <c r="D171" s="430" t="s">
        <v>23756</v>
      </c>
      <c r="E171" s="432" t="s">
        <v>23757</v>
      </c>
      <c r="F171" s="430" t="s">
        <v>29</v>
      </c>
      <c r="G171" s="430" t="s">
        <v>47</v>
      </c>
      <c r="H171" s="430" t="s">
        <v>30</v>
      </c>
      <c r="I171" s="430" t="s">
        <v>31</v>
      </c>
      <c r="J171" s="430" t="s">
        <v>30</v>
      </c>
      <c r="K171" s="430">
        <v>84.0</v>
      </c>
      <c r="L171" s="430" t="s">
        <v>31</v>
      </c>
      <c r="M171" s="430" t="s">
        <v>31</v>
      </c>
      <c r="N171" s="430" t="s">
        <v>23758</v>
      </c>
      <c r="O171" s="962">
        <v>2016.0</v>
      </c>
      <c r="P171" s="430" t="s">
        <v>11456</v>
      </c>
      <c r="Q171" s="430">
        <v>1.0</v>
      </c>
      <c r="R171" s="435"/>
    </row>
    <row r="172" ht="15.75" customHeight="1">
      <c r="B172" s="963" t="s">
        <v>19974</v>
      </c>
      <c r="C172" s="430" t="s">
        <v>31</v>
      </c>
      <c r="D172" s="430" t="s">
        <v>23759</v>
      </c>
      <c r="E172" s="432" t="s">
        <v>23760</v>
      </c>
      <c r="F172" s="430" t="s">
        <v>29</v>
      </c>
      <c r="G172" s="430" t="s">
        <v>47</v>
      </c>
      <c r="H172" s="430" t="s">
        <v>30</v>
      </c>
      <c r="I172" s="430" t="s">
        <v>31</v>
      </c>
      <c r="J172" s="430" t="s">
        <v>30</v>
      </c>
      <c r="K172" s="430">
        <f>84+6</f>
        <v>90</v>
      </c>
      <c r="L172" s="430" t="s">
        <v>31</v>
      </c>
      <c r="M172" s="430" t="s">
        <v>31</v>
      </c>
      <c r="N172" s="430" t="s">
        <v>23761</v>
      </c>
      <c r="O172" s="962">
        <v>2015.0</v>
      </c>
      <c r="P172" s="430" t="s">
        <v>11456</v>
      </c>
      <c r="Q172" s="430">
        <v>1.0</v>
      </c>
      <c r="R172" s="435"/>
    </row>
    <row r="173" ht="15.75" customHeight="1">
      <c r="B173" s="963" t="s">
        <v>19978</v>
      </c>
      <c r="C173" s="430" t="s">
        <v>31</v>
      </c>
      <c r="D173" s="430" t="s">
        <v>23762</v>
      </c>
      <c r="E173" s="432" t="s">
        <v>23763</v>
      </c>
      <c r="F173" s="430" t="s">
        <v>29</v>
      </c>
      <c r="G173" s="430" t="s">
        <v>47</v>
      </c>
      <c r="H173" s="430" t="s">
        <v>30</v>
      </c>
      <c r="I173" s="430" t="s">
        <v>31</v>
      </c>
      <c r="J173" s="430" t="s">
        <v>30</v>
      </c>
      <c r="K173" s="430">
        <f>108+6</f>
        <v>114</v>
      </c>
      <c r="L173" s="430" t="s">
        <v>31</v>
      </c>
      <c r="M173" s="430" t="s">
        <v>31</v>
      </c>
      <c r="N173" s="430" t="s">
        <v>20942</v>
      </c>
      <c r="O173" s="962">
        <v>2013.0</v>
      </c>
      <c r="P173" s="430" t="s">
        <v>11456</v>
      </c>
      <c r="Q173" s="430">
        <v>1.0</v>
      </c>
      <c r="R173" s="435"/>
    </row>
    <row r="174" ht="15.75" customHeight="1">
      <c r="B174" s="963" t="s">
        <v>19981</v>
      </c>
      <c r="C174" s="430"/>
      <c r="D174" s="430" t="s">
        <v>23764</v>
      </c>
      <c r="E174" s="432" t="s">
        <v>23765</v>
      </c>
      <c r="F174" s="430" t="s">
        <v>29</v>
      </c>
      <c r="G174" s="430" t="s">
        <v>47</v>
      </c>
      <c r="H174" s="430" t="s">
        <v>37</v>
      </c>
      <c r="I174" s="430"/>
      <c r="J174" s="430" t="s">
        <v>38</v>
      </c>
      <c r="K174" s="430">
        <f>482+26</f>
        <v>508</v>
      </c>
      <c r="L174" s="430"/>
      <c r="M174" s="430"/>
      <c r="N174" s="430" t="s">
        <v>15290</v>
      </c>
      <c r="O174" s="962">
        <v>1995.0</v>
      </c>
      <c r="P174" s="430" t="s">
        <v>11456</v>
      </c>
      <c r="Q174" s="430">
        <v>1.0</v>
      </c>
      <c r="R174" s="435"/>
    </row>
    <row r="175" ht="15.75" customHeight="1">
      <c r="B175" s="963" t="s">
        <v>19984</v>
      </c>
      <c r="C175" s="430"/>
      <c r="D175" s="430" t="s">
        <v>23766</v>
      </c>
      <c r="E175" s="432" t="s">
        <v>5280</v>
      </c>
      <c r="F175" s="430" t="s">
        <v>29</v>
      </c>
      <c r="G175" s="430" t="s">
        <v>47</v>
      </c>
      <c r="H175" s="430" t="s">
        <v>37</v>
      </c>
      <c r="I175" s="430"/>
      <c r="J175" s="430" t="s">
        <v>38</v>
      </c>
      <c r="K175" s="430">
        <f>444+12</f>
        <v>456</v>
      </c>
      <c r="L175" s="430"/>
      <c r="M175" s="430"/>
      <c r="N175" s="430" t="s">
        <v>5281</v>
      </c>
      <c r="O175" s="962">
        <v>1964.0</v>
      </c>
      <c r="P175" s="430" t="s">
        <v>11456</v>
      </c>
      <c r="Q175" s="430">
        <v>1.0</v>
      </c>
      <c r="R175" s="435"/>
    </row>
    <row r="176" ht="15.75" customHeight="1">
      <c r="B176" s="963" t="s">
        <v>19986</v>
      </c>
      <c r="C176" s="430"/>
      <c r="D176" s="430" t="s">
        <v>23767</v>
      </c>
      <c r="E176" s="432" t="s">
        <v>2457</v>
      </c>
      <c r="F176" s="430" t="s">
        <v>29</v>
      </c>
      <c r="G176" s="430" t="s">
        <v>47</v>
      </c>
      <c r="H176" s="430" t="s">
        <v>37</v>
      </c>
      <c r="I176" s="430"/>
      <c r="J176" s="430" t="s">
        <v>38</v>
      </c>
      <c r="K176" s="430">
        <f>366+30</f>
        <v>396</v>
      </c>
      <c r="L176" s="430"/>
      <c r="M176" s="430"/>
      <c r="N176" s="430" t="s">
        <v>23768</v>
      </c>
      <c r="O176" s="962">
        <v>1956.0</v>
      </c>
      <c r="P176" s="430" t="s">
        <v>11456</v>
      </c>
      <c r="Q176" s="430">
        <v>1.0</v>
      </c>
      <c r="R176" s="435"/>
    </row>
    <row r="177" ht="15.75" customHeight="1">
      <c r="B177" s="963" t="s">
        <v>19989</v>
      </c>
      <c r="C177" s="430"/>
      <c r="D177" s="430" t="s">
        <v>23769</v>
      </c>
      <c r="E177" s="432" t="s">
        <v>23770</v>
      </c>
      <c r="F177" s="430" t="s">
        <v>29</v>
      </c>
      <c r="G177" s="430" t="s">
        <v>47</v>
      </c>
      <c r="H177" s="430" t="s">
        <v>30</v>
      </c>
      <c r="I177" s="430"/>
      <c r="J177" s="430" t="s">
        <v>30</v>
      </c>
      <c r="K177" s="430">
        <f>137</f>
        <v>137</v>
      </c>
      <c r="L177" s="430"/>
      <c r="M177" s="430"/>
      <c r="N177" s="430" t="s">
        <v>23608</v>
      </c>
      <c r="O177" s="962">
        <v>1976.0</v>
      </c>
      <c r="P177" s="430" t="s">
        <v>11456</v>
      </c>
      <c r="Q177" s="430">
        <v>1.0</v>
      </c>
      <c r="R177" s="435"/>
    </row>
    <row r="178" ht="15.75" customHeight="1">
      <c r="B178" s="963" t="s">
        <v>19992</v>
      </c>
      <c r="C178" s="430"/>
      <c r="D178" s="430" t="s">
        <v>23771</v>
      </c>
      <c r="E178" s="432" t="s">
        <v>6509</v>
      </c>
      <c r="F178" s="430" t="s">
        <v>29</v>
      </c>
      <c r="G178" s="430" t="s">
        <v>47</v>
      </c>
      <c r="H178" s="430" t="s">
        <v>30</v>
      </c>
      <c r="I178" s="430"/>
      <c r="J178" s="430" t="s">
        <v>30</v>
      </c>
      <c r="K178" s="430">
        <v>162.0</v>
      </c>
      <c r="L178" s="430"/>
      <c r="M178" s="430"/>
      <c r="N178" s="430" t="s">
        <v>6510</v>
      </c>
      <c r="O178" s="962">
        <v>1988.0</v>
      </c>
      <c r="P178" s="430" t="s">
        <v>11456</v>
      </c>
      <c r="Q178" s="430">
        <v>1.0</v>
      </c>
      <c r="R178" s="435"/>
    </row>
    <row r="179" ht="15.75" customHeight="1">
      <c r="B179" s="430">
        <v>176.0</v>
      </c>
      <c r="C179" s="430"/>
      <c r="D179" s="430" t="s">
        <v>23772</v>
      </c>
      <c r="E179" s="432" t="s">
        <v>2457</v>
      </c>
      <c r="F179" s="430" t="s">
        <v>29</v>
      </c>
      <c r="G179" s="430" t="s">
        <v>47</v>
      </c>
      <c r="H179" s="430" t="s">
        <v>37</v>
      </c>
      <c r="I179" s="430"/>
      <c r="J179" s="430" t="s">
        <v>38</v>
      </c>
      <c r="K179" s="430">
        <f>366+30</f>
        <v>396</v>
      </c>
      <c r="L179" s="430"/>
      <c r="M179" s="430"/>
      <c r="N179" s="430" t="s">
        <v>23768</v>
      </c>
      <c r="O179" s="962">
        <v>1956.0</v>
      </c>
      <c r="P179" s="430" t="s">
        <v>11456</v>
      </c>
      <c r="Q179" s="430">
        <v>1.0</v>
      </c>
      <c r="R179" s="435"/>
    </row>
    <row r="180" ht="15.75" customHeight="1">
      <c r="B180" s="430">
        <v>177.0</v>
      </c>
      <c r="C180" s="430"/>
      <c r="D180" s="430"/>
      <c r="E180" s="432" t="s">
        <v>23773</v>
      </c>
      <c r="F180" s="430" t="s">
        <v>29</v>
      </c>
      <c r="G180" s="430" t="s">
        <v>47</v>
      </c>
      <c r="H180" s="430" t="s">
        <v>30</v>
      </c>
      <c r="I180" s="430"/>
      <c r="J180" s="430" t="s">
        <v>30</v>
      </c>
      <c r="K180" s="430">
        <f>248+4</f>
        <v>252</v>
      </c>
      <c r="L180" s="430"/>
      <c r="M180" s="430"/>
      <c r="N180" s="430"/>
      <c r="O180" s="962"/>
      <c r="P180" s="430" t="s">
        <v>11456</v>
      </c>
      <c r="Q180" s="430">
        <v>1.0</v>
      </c>
      <c r="R180" s="435"/>
    </row>
    <row r="181" ht="15.75" customHeight="1">
      <c r="B181" s="430">
        <v>178.0</v>
      </c>
      <c r="C181" s="430"/>
      <c r="D181" s="430" t="s">
        <v>23774</v>
      </c>
      <c r="E181" s="432" t="s">
        <v>23775</v>
      </c>
      <c r="F181" s="430" t="s">
        <v>29</v>
      </c>
      <c r="G181" s="430" t="s">
        <v>47</v>
      </c>
      <c r="H181" s="430" t="s">
        <v>30</v>
      </c>
      <c r="I181" s="430"/>
      <c r="J181" s="430" t="s">
        <v>30</v>
      </c>
      <c r="K181" s="430">
        <f>404+16</f>
        <v>420</v>
      </c>
      <c r="L181" s="430"/>
      <c r="M181" s="430"/>
      <c r="N181" s="430" t="s">
        <v>23776</v>
      </c>
      <c r="O181" s="962">
        <v>2014.0</v>
      </c>
      <c r="P181" s="430" t="s">
        <v>11456</v>
      </c>
      <c r="Q181" s="430">
        <v>1.0</v>
      </c>
      <c r="R181" s="435"/>
    </row>
    <row r="182" ht="15.75" customHeight="1">
      <c r="B182" s="430">
        <v>179.0</v>
      </c>
      <c r="C182" s="430" t="s">
        <v>2490</v>
      </c>
      <c r="D182" s="430" t="s">
        <v>23777</v>
      </c>
      <c r="E182" s="432" t="s">
        <v>23562</v>
      </c>
      <c r="F182" s="430" t="s">
        <v>29</v>
      </c>
      <c r="G182" s="430" t="s">
        <v>47</v>
      </c>
      <c r="H182" s="430" t="s">
        <v>30</v>
      </c>
      <c r="I182" s="430"/>
      <c r="J182" s="430" t="s">
        <v>30</v>
      </c>
      <c r="K182" s="430">
        <f>189+14</f>
        <v>203</v>
      </c>
      <c r="L182" s="430"/>
      <c r="M182" s="430"/>
      <c r="N182" s="430" t="s">
        <v>2494</v>
      </c>
      <c r="O182" s="962">
        <v>2005.0</v>
      </c>
      <c r="P182" s="430" t="s">
        <v>11456</v>
      </c>
      <c r="Q182" s="430">
        <v>1.0</v>
      </c>
      <c r="R182" s="435"/>
    </row>
    <row r="183" ht="15.75" customHeight="1">
      <c r="A183" s="583"/>
      <c r="B183" s="964">
        <v>180.0</v>
      </c>
      <c r="C183" s="965" t="s">
        <v>23778</v>
      </c>
      <c r="D183" s="965" t="s">
        <v>23779</v>
      </c>
      <c r="E183" s="966" t="s">
        <v>23780</v>
      </c>
      <c r="F183" s="965" t="s">
        <v>29</v>
      </c>
      <c r="G183" s="965" t="s">
        <v>47</v>
      </c>
      <c r="H183" s="965" t="s">
        <v>30</v>
      </c>
      <c r="I183" s="476"/>
      <c r="J183" s="965" t="s">
        <v>30</v>
      </c>
      <c r="K183" s="965">
        <v>388.0</v>
      </c>
      <c r="L183" s="476"/>
      <c r="M183" s="965" t="s">
        <v>23781</v>
      </c>
      <c r="N183" s="965" t="s">
        <v>6821</v>
      </c>
      <c r="O183" s="967">
        <v>2018.0</v>
      </c>
      <c r="P183" s="965">
        <v>15.0</v>
      </c>
      <c r="Q183" s="965">
        <v>1.0</v>
      </c>
      <c r="R183" s="968">
        <v>1.0</v>
      </c>
      <c r="S183" s="886"/>
      <c r="T183" s="583"/>
      <c r="U183" s="583"/>
      <c r="V183" s="583"/>
      <c r="W183" s="583"/>
      <c r="X183" s="583"/>
      <c r="Y183" s="583"/>
      <c r="Z183" s="583"/>
    </row>
    <row r="184" ht="15.75" customHeight="1">
      <c r="B184" s="433"/>
      <c r="C184" s="433"/>
      <c r="D184" s="433"/>
      <c r="E184" s="434"/>
      <c r="F184" s="433"/>
      <c r="G184" s="433"/>
      <c r="H184" s="433"/>
      <c r="I184" s="433"/>
      <c r="J184" s="433"/>
      <c r="K184" s="433"/>
      <c r="L184" s="433"/>
      <c r="M184" s="433"/>
      <c r="N184" s="433"/>
      <c r="O184" s="607"/>
      <c r="P184" s="433"/>
      <c r="Q184" s="433"/>
      <c r="R184" s="435"/>
    </row>
    <row r="185" ht="15.75" customHeight="1">
      <c r="B185" s="433"/>
      <c r="C185" s="433"/>
      <c r="D185" s="433"/>
      <c r="E185" s="434"/>
      <c r="F185" s="433"/>
      <c r="G185" s="433"/>
      <c r="H185" s="433"/>
      <c r="I185" s="433"/>
      <c r="J185" s="433"/>
      <c r="K185" s="433"/>
      <c r="L185" s="433"/>
      <c r="M185" s="433"/>
      <c r="N185" s="433"/>
      <c r="O185" s="607"/>
      <c r="P185" s="433"/>
      <c r="Q185" s="433"/>
      <c r="R185" s="435"/>
    </row>
    <row r="186" ht="15.75" customHeight="1">
      <c r="B186" s="433"/>
      <c r="C186" s="433"/>
      <c r="D186" s="433"/>
      <c r="E186" s="434"/>
      <c r="F186" s="433"/>
      <c r="G186" s="433"/>
      <c r="H186" s="433"/>
      <c r="I186" s="433"/>
      <c r="J186" s="433"/>
      <c r="K186" s="433"/>
      <c r="L186" s="433"/>
      <c r="M186" s="433"/>
      <c r="N186" s="433"/>
      <c r="O186" s="607"/>
      <c r="P186" s="433"/>
      <c r="Q186" s="433"/>
      <c r="R186" s="435"/>
    </row>
    <row r="187" ht="15.75" customHeight="1">
      <c r="B187" s="433"/>
      <c r="C187" s="433"/>
      <c r="D187" s="433"/>
      <c r="E187" s="434"/>
      <c r="F187" s="433"/>
      <c r="G187" s="433"/>
      <c r="H187" s="433"/>
      <c r="I187" s="433"/>
      <c r="J187" s="433"/>
      <c r="K187" s="433"/>
      <c r="L187" s="433"/>
      <c r="M187" s="433"/>
      <c r="N187" s="433"/>
      <c r="O187" s="607"/>
      <c r="P187" s="433"/>
      <c r="Q187" s="433"/>
      <c r="R187" s="435"/>
    </row>
    <row r="188" ht="15.75" customHeight="1">
      <c r="B188" s="433"/>
      <c r="C188" s="433"/>
      <c r="D188" s="433"/>
      <c r="E188" s="434"/>
      <c r="F188" s="433"/>
      <c r="G188" s="433"/>
      <c r="H188" s="433"/>
      <c r="I188" s="433"/>
      <c r="J188" s="433"/>
      <c r="K188" s="433"/>
      <c r="L188" s="433"/>
      <c r="M188" s="433"/>
      <c r="N188" s="433"/>
      <c r="O188" s="607"/>
      <c r="P188" s="433"/>
      <c r="Q188" s="433"/>
      <c r="R188" s="435"/>
    </row>
    <row r="189" ht="15.75" customHeight="1">
      <c r="B189" s="433"/>
      <c r="C189" s="433"/>
      <c r="D189" s="433"/>
      <c r="E189" s="434"/>
      <c r="F189" s="433"/>
      <c r="G189" s="433"/>
      <c r="H189" s="433"/>
      <c r="I189" s="433"/>
      <c r="J189" s="433"/>
      <c r="K189" s="433"/>
      <c r="L189" s="433"/>
      <c r="M189" s="433"/>
      <c r="N189" s="433"/>
      <c r="O189" s="607"/>
      <c r="P189" s="433"/>
      <c r="Q189" s="433"/>
      <c r="R189" s="435"/>
    </row>
    <row r="190" ht="15.75" customHeight="1">
      <c r="B190" s="433"/>
      <c r="C190" s="433"/>
      <c r="D190" s="433"/>
      <c r="E190" s="434"/>
      <c r="F190" s="433"/>
      <c r="G190" s="433"/>
      <c r="H190" s="433"/>
      <c r="I190" s="433"/>
      <c r="J190" s="433"/>
      <c r="K190" s="433"/>
      <c r="L190" s="433"/>
      <c r="M190" s="433"/>
      <c r="N190" s="433"/>
      <c r="O190" s="607"/>
      <c r="P190" s="433"/>
      <c r="Q190" s="433"/>
      <c r="R190" s="435"/>
    </row>
    <row r="191" ht="15.75" customHeight="1">
      <c r="B191" s="433"/>
      <c r="C191" s="433"/>
      <c r="D191" s="433"/>
      <c r="E191" s="434"/>
      <c r="F191" s="433"/>
      <c r="G191" s="433"/>
      <c r="H191" s="433"/>
      <c r="I191" s="433"/>
      <c r="J191" s="433"/>
      <c r="K191" s="433"/>
      <c r="L191" s="433"/>
      <c r="M191" s="433"/>
      <c r="N191" s="433"/>
      <c r="O191" s="607"/>
      <c r="P191" s="433"/>
      <c r="Q191" s="433"/>
      <c r="R191" s="435"/>
    </row>
    <row r="192" ht="15.75" customHeight="1">
      <c r="B192" s="433"/>
      <c r="C192" s="433"/>
      <c r="D192" s="433"/>
      <c r="E192" s="434"/>
      <c r="F192" s="433"/>
      <c r="G192" s="433"/>
      <c r="H192" s="433"/>
      <c r="I192" s="433"/>
      <c r="J192" s="433"/>
      <c r="K192" s="433"/>
      <c r="L192" s="433"/>
      <c r="M192" s="433"/>
      <c r="N192" s="433"/>
      <c r="O192" s="607"/>
      <c r="P192" s="433"/>
      <c r="Q192" s="433"/>
      <c r="R192" s="435"/>
    </row>
    <row r="193" ht="15.75" customHeight="1">
      <c r="B193" s="433"/>
      <c r="C193" s="433"/>
      <c r="D193" s="433"/>
      <c r="E193" s="434"/>
      <c r="F193" s="433"/>
      <c r="G193" s="433"/>
      <c r="H193" s="433"/>
      <c r="I193" s="433"/>
      <c r="J193" s="433"/>
      <c r="K193" s="433"/>
      <c r="L193" s="433"/>
      <c r="M193" s="433"/>
      <c r="N193" s="433"/>
      <c r="O193" s="607"/>
      <c r="P193" s="433"/>
      <c r="Q193" s="433"/>
      <c r="R193" s="435"/>
    </row>
    <row r="194" ht="15.75" customHeight="1">
      <c r="B194" s="433"/>
      <c r="C194" s="433"/>
      <c r="D194" s="433"/>
      <c r="E194" s="434"/>
      <c r="F194" s="433"/>
      <c r="G194" s="433"/>
      <c r="H194" s="433"/>
      <c r="I194" s="433"/>
      <c r="J194" s="433"/>
      <c r="K194" s="433"/>
      <c r="L194" s="433"/>
      <c r="M194" s="433"/>
      <c r="N194" s="433"/>
      <c r="O194" s="607"/>
      <c r="P194" s="433"/>
      <c r="Q194" s="433"/>
      <c r="R194" s="435"/>
    </row>
    <row r="195" ht="15.75" customHeight="1">
      <c r="B195" s="433"/>
      <c r="C195" s="433"/>
      <c r="D195" s="433"/>
      <c r="E195" s="434"/>
      <c r="F195" s="433"/>
      <c r="G195" s="433"/>
      <c r="H195" s="433"/>
      <c r="I195" s="433"/>
      <c r="J195" s="433"/>
      <c r="K195" s="433"/>
      <c r="L195" s="433"/>
      <c r="M195" s="433"/>
      <c r="N195" s="433"/>
      <c r="O195" s="607"/>
      <c r="P195" s="433"/>
      <c r="Q195" s="433"/>
      <c r="R195" s="435"/>
    </row>
    <row r="196" ht="15.75" customHeight="1">
      <c r="B196" s="433"/>
      <c r="C196" s="433"/>
      <c r="D196" s="433"/>
      <c r="E196" s="434"/>
      <c r="F196" s="433"/>
      <c r="G196" s="433"/>
      <c r="H196" s="433"/>
      <c r="I196" s="433"/>
      <c r="J196" s="433"/>
      <c r="K196" s="433"/>
      <c r="L196" s="433"/>
      <c r="M196" s="433"/>
      <c r="N196" s="433"/>
      <c r="O196" s="607"/>
      <c r="P196" s="433"/>
      <c r="Q196" s="433"/>
      <c r="R196" s="435"/>
    </row>
    <row r="197" ht="15.75" customHeight="1">
      <c r="B197" s="433"/>
      <c r="C197" s="433"/>
      <c r="D197" s="433"/>
      <c r="E197" s="434"/>
      <c r="F197" s="433"/>
      <c r="G197" s="433"/>
      <c r="H197" s="433"/>
      <c r="I197" s="433"/>
      <c r="J197" s="433"/>
      <c r="K197" s="433"/>
      <c r="L197" s="433"/>
      <c r="M197" s="433"/>
      <c r="N197" s="433"/>
      <c r="O197" s="607"/>
      <c r="P197" s="433"/>
      <c r="Q197" s="433"/>
      <c r="R197" s="435"/>
    </row>
    <row r="198" ht="15.75" customHeight="1">
      <c r="B198" s="433"/>
      <c r="C198" s="433"/>
      <c r="D198" s="433"/>
      <c r="E198" s="434"/>
      <c r="F198" s="433"/>
      <c r="G198" s="433"/>
      <c r="H198" s="433"/>
      <c r="I198" s="433"/>
      <c r="J198" s="433"/>
      <c r="K198" s="433"/>
      <c r="L198" s="433"/>
      <c r="M198" s="433"/>
      <c r="N198" s="433"/>
      <c r="O198" s="607"/>
      <c r="P198" s="433"/>
      <c r="Q198" s="433"/>
      <c r="R198" s="435"/>
    </row>
    <row r="199" ht="15.75" customHeight="1">
      <c r="B199" s="433"/>
      <c r="C199" s="433"/>
      <c r="D199" s="433"/>
      <c r="E199" s="434"/>
      <c r="F199" s="433"/>
      <c r="G199" s="433"/>
      <c r="H199" s="433"/>
      <c r="I199" s="433"/>
      <c r="J199" s="433"/>
      <c r="K199" s="433"/>
      <c r="L199" s="433"/>
      <c r="M199" s="433"/>
      <c r="N199" s="433"/>
      <c r="O199" s="607"/>
      <c r="P199" s="433"/>
      <c r="Q199" s="433"/>
      <c r="R199" s="435"/>
    </row>
    <row r="200" ht="15.75" customHeight="1">
      <c r="B200" s="433"/>
      <c r="C200" s="433"/>
      <c r="D200" s="433"/>
      <c r="E200" s="434"/>
      <c r="F200" s="433"/>
      <c r="G200" s="433"/>
      <c r="H200" s="433"/>
      <c r="I200" s="433"/>
      <c r="J200" s="433"/>
      <c r="K200" s="433"/>
      <c r="L200" s="433"/>
      <c r="M200" s="433"/>
      <c r="N200" s="433"/>
      <c r="O200" s="607"/>
      <c r="P200" s="433"/>
      <c r="Q200" s="433"/>
      <c r="R200" s="435"/>
    </row>
    <row r="201" ht="15.75" customHeight="1">
      <c r="B201" s="433"/>
      <c r="C201" s="433"/>
      <c r="D201" s="433"/>
      <c r="E201" s="434"/>
      <c r="F201" s="433"/>
      <c r="G201" s="433"/>
      <c r="H201" s="433"/>
      <c r="I201" s="433"/>
      <c r="J201" s="433"/>
      <c r="K201" s="433"/>
      <c r="L201" s="433"/>
      <c r="M201" s="433"/>
      <c r="N201" s="433"/>
      <c r="O201" s="607"/>
      <c r="P201" s="433"/>
      <c r="Q201" s="433"/>
      <c r="R201" s="435"/>
    </row>
    <row r="202" ht="15.75" customHeight="1">
      <c r="B202" s="433"/>
      <c r="C202" s="433"/>
      <c r="D202" s="433"/>
      <c r="E202" s="434"/>
      <c r="F202" s="433"/>
      <c r="G202" s="433"/>
      <c r="H202" s="433"/>
      <c r="I202" s="433"/>
      <c r="J202" s="433"/>
      <c r="K202" s="433"/>
      <c r="L202" s="433"/>
      <c r="M202" s="433"/>
      <c r="N202" s="433"/>
      <c r="O202" s="607"/>
      <c r="P202" s="433"/>
      <c r="Q202" s="433">
        <f>sum(Q6:Q183)</f>
        <v>185</v>
      </c>
      <c r="R202" s="453">
        <f>sum(R6:R201)</f>
        <v>2</v>
      </c>
    </row>
    <row r="203" ht="15.75" customHeight="1">
      <c r="B203" s="667"/>
      <c r="C203" s="667"/>
      <c r="D203" s="667"/>
      <c r="E203" s="668"/>
      <c r="F203" s="667"/>
      <c r="G203" s="667"/>
      <c r="H203" s="667"/>
      <c r="I203" s="667"/>
      <c r="J203" s="667"/>
      <c r="K203" s="667"/>
      <c r="L203" s="667"/>
      <c r="M203" s="667"/>
      <c r="N203" s="667"/>
      <c r="O203" s="667"/>
      <c r="P203" s="667"/>
      <c r="Q203" s="667"/>
    </row>
    <row r="204" ht="15.75" customHeight="1">
      <c r="B204" s="951" t="s">
        <v>23213</v>
      </c>
      <c r="C204" s="6"/>
      <c r="D204" s="6"/>
      <c r="E204" s="6"/>
      <c r="F204" s="6"/>
      <c r="G204" s="6"/>
      <c r="H204" s="6"/>
      <c r="I204" s="6"/>
      <c r="J204" s="6"/>
      <c r="K204" s="6"/>
      <c r="L204" s="6"/>
      <c r="M204" s="6"/>
      <c r="N204" s="6"/>
      <c r="O204" s="6"/>
      <c r="P204" s="6"/>
      <c r="Q204" s="7"/>
    </row>
    <row r="205" ht="15.75" customHeight="1">
      <c r="B205" s="327" t="s">
        <v>14150</v>
      </c>
      <c r="C205" s="457" t="s">
        <v>14151</v>
      </c>
      <c r="D205" s="6"/>
      <c r="E205" s="7"/>
      <c r="F205" s="458"/>
      <c r="G205" s="459"/>
      <c r="H205" s="7"/>
      <c r="I205" s="459"/>
      <c r="J205" s="6"/>
      <c r="K205" s="6"/>
      <c r="L205" s="7"/>
      <c r="M205" s="460"/>
      <c r="N205" s="461" t="s">
        <v>14152</v>
      </c>
      <c r="O205" s="461"/>
      <c r="P205" s="461"/>
      <c r="Q205" s="461"/>
    </row>
    <row r="206" ht="15.75" customHeight="1">
      <c r="B206" s="321"/>
      <c r="C206" s="399"/>
      <c r="D206" s="458"/>
      <c r="E206" s="462"/>
      <c r="F206" s="458"/>
      <c r="G206" s="463"/>
      <c r="H206" s="7"/>
      <c r="I206" s="321"/>
      <c r="J206" s="321"/>
      <c r="K206" s="463"/>
      <c r="L206" s="7"/>
      <c r="M206" s="321"/>
      <c r="N206" s="321"/>
      <c r="O206" s="321"/>
      <c r="P206" s="321"/>
      <c r="Q206" s="321"/>
    </row>
    <row r="207" ht="15.75" customHeight="1">
      <c r="B207" s="463"/>
      <c r="C207" s="7"/>
      <c r="D207" s="458"/>
      <c r="E207" s="463"/>
      <c r="F207" s="7"/>
      <c r="G207" s="321"/>
      <c r="H207" s="321"/>
      <c r="I207" s="321"/>
      <c r="J207" s="321"/>
      <c r="K207" s="321"/>
      <c r="L207" s="321"/>
      <c r="M207" s="321"/>
      <c r="N207" s="321"/>
      <c r="O207" s="321"/>
      <c r="P207" s="321"/>
      <c r="Q207" s="321"/>
    </row>
    <row r="208" ht="15.75" customHeight="1">
      <c r="B208" s="321"/>
      <c r="C208" s="951" t="s">
        <v>23214</v>
      </c>
      <c r="D208" s="6"/>
      <c r="E208" s="7"/>
      <c r="F208" s="458"/>
      <c r="G208" s="457"/>
      <c r="H208" s="7"/>
      <c r="I208" s="457"/>
      <c r="J208" s="6"/>
      <c r="K208" s="6"/>
      <c r="L208" s="7"/>
      <c r="M208" s="951" t="s">
        <v>23215</v>
      </c>
      <c r="N208" s="6"/>
      <c r="O208" s="6"/>
      <c r="P208" s="6"/>
      <c r="Q208" s="7"/>
    </row>
    <row r="209" ht="15.75" customHeight="1">
      <c r="B209" s="321"/>
      <c r="C209" s="457" t="s">
        <v>14155</v>
      </c>
      <c r="D209" s="6"/>
      <c r="E209" s="7"/>
      <c r="F209" s="458"/>
      <c r="G209" s="457"/>
      <c r="H209" s="7"/>
      <c r="I209" s="327"/>
      <c r="J209" s="457"/>
      <c r="K209" s="6"/>
      <c r="L209" s="7"/>
      <c r="M209" s="457" t="s">
        <v>14156</v>
      </c>
      <c r="N209" s="6"/>
      <c r="O209" s="6"/>
      <c r="P209" s="6"/>
      <c r="Q209" s="7"/>
    </row>
    <row r="210" ht="15.75" customHeight="1">
      <c r="B210" s="321"/>
      <c r="C210" s="457"/>
      <c r="D210" s="6"/>
      <c r="E210" s="7"/>
      <c r="F210" s="458"/>
      <c r="G210" s="457"/>
      <c r="H210" s="7"/>
      <c r="I210" s="327"/>
      <c r="J210" s="457"/>
      <c r="K210" s="6"/>
      <c r="L210" s="7"/>
      <c r="M210" s="457"/>
      <c r="N210" s="6"/>
      <c r="O210" s="6"/>
      <c r="P210" s="6"/>
      <c r="Q210" s="7"/>
    </row>
    <row r="211" ht="15.75" customHeight="1">
      <c r="B211" s="321"/>
      <c r="C211" s="457"/>
      <c r="D211" s="6"/>
      <c r="E211" s="7"/>
      <c r="F211" s="458"/>
      <c r="G211" s="457"/>
      <c r="H211" s="7"/>
      <c r="I211" s="327"/>
      <c r="J211" s="457"/>
      <c r="K211" s="6"/>
      <c r="L211" s="7"/>
      <c r="M211" s="457"/>
      <c r="N211" s="6"/>
      <c r="O211" s="6"/>
      <c r="P211" s="6"/>
      <c r="Q211" s="7"/>
    </row>
    <row r="212" ht="15.75" customHeight="1">
      <c r="B212" s="460"/>
      <c r="C212" s="460"/>
      <c r="D212" s="460"/>
      <c r="E212" s="939"/>
      <c r="F212" s="460"/>
      <c r="G212" s="460"/>
      <c r="H212" s="460"/>
      <c r="I212" s="460"/>
      <c r="J212" s="460"/>
      <c r="K212" s="460"/>
      <c r="L212" s="460"/>
      <c r="M212" s="940"/>
      <c r="O212" s="458"/>
      <c r="P212" s="458"/>
      <c r="Q212" s="458"/>
    </row>
    <row r="213" ht="15.75" customHeight="1">
      <c r="B213" s="667"/>
      <c r="C213" s="667"/>
      <c r="D213" s="667"/>
      <c r="E213" s="668"/>
      <c r="F213" s="667"/>
      <c r="G213" s="667"/>
      <c r="H213" s="667"/>
      <c r="I213" s="667"/>
      <c r="J213" s="667"/>
      <c r="K213" s="667"/>
      <c r="L213" s="667"/>
      <c r="M213" s="667"/>
      <c r="N213" s="667"/>
      <c r="O213" s="667"/>
      <c r="P213" s="667"/>
      <c r="Q213" s="667"/>
    </row>
    <row r="214" ht="15.75" customHeight="1">
      <c r="B214" s="667"/>
      <c r="C214" s="667"/>
      <c r="D214" s="667"/>
      <c r="E214" s="668"/>
      <c r="F214" s="667"/>
      <c r="G214" s="667"/>
      <c r="H214" s="667"/>
      <c r="I214" s="667"/>
      <c r="J214" s="667"/>
      <c r="K214" s="667"/>
      <c r="L214" s="667"/>
      <c r="M214" s="667"/>
      <c r="N214" s="667"/>
      <c r="O214" s="667"/>
      <c r="P214" s="667"/>
      <c r="Q214" s="667"/>
    </row>
    <row r="215" ht="15.75" customHeight="1">
      <c r="B215" s="667"/>
      <c r="C215" s="667"/>
      <c r="D215" s="667"/>
      <c r="E215" s="668"/>
      <c r="F215" s="667"/>
      <c r="G215" s="667"/>
      <c r="H215" s="667"/>
      <c r="I215" s="667"/>
      <c r="J215" s="667"/>
      <c r="K215" s="667"/>
      <c r="L215" s="667"/>
      <c r="M215" s="667"/>
      <c r="N215" s="667"/>
      <c r="O215" s="667"/>
      <c r="P215" s="667"/>
      <c r="Q215" s="667"/>
    </row>
    <row r="216" ht="15.75" customHeight="1">
      <c r="B216" s="667"/>
      <c r="C216" s="667"/>
      <c r="D216" s="667"/>
      <c r="E216" s="668"/>
      <c r="F216" s="667"/>
      <c r="G216" s="667"/>
      <c r="H216" s="667"/>
      <c r="I216" s="667"/>
      <c r="J216" s="667"/>
      <c r="K216" s="667"/>
      <c r="L216" s="667"/>
      <c r="M216" s="667"/>
      <c r="N216" s="667"/>
      <c r="O216" s="667"/>
      <c r="P216" s="667"/>
      <c r="Q216" s="667"/>
    </row>
    <row r="217" ht="15.75" customHeight="1">
      <c r="B217" s="667"/>
      <c r="C217" s="667"/>
      <c r="D217" s="667"/>
      <c r="E217" s="668"/>
      <c r="F217" s="667"/>
      <c r="G217" s="667"/>
      <c r="H217" s="667"/>
      <c r="I217" s="667"/>
      <c r="J217" s="667"/>
      <c r="K217" s="667"/>
      <c r="L217" s="667"/>
      <c r="M217" s="667"/>
      <c r="N217" s="667"/>
      <c r="O217" s="667"/>
      <c r="P217" s="667"/>
      <c r="Q217" s="667"/>
    </row>
    <row r="218" ht="15.75" customHeight="1">
      <c r="B218" s="667"/>
      <c r="C218" s="667"/>
      <c r="D218" s="667"/>
      <c r="E218" s="668"/>
      <c r="F218" s="667"/>
      <c r="G218" s="667"/>
      <c r="H218" s="667"/>
      <c r="I218" s="667"/>
      <c r="J218" s="667"/>
      <c r="K218" s="667"/>
      <c r="L218" s="667"/>
      <c r="M218" s="667"/>
      <c r="N218" s="667"/>
      <c r="O218" s="667"/>
      <c r="P218" s="667"/>
      <c r="Q218" s="667"/>
    </row>
    <row r="219" ht="15.75" customHeight="1">
      <c r="B219" s="667"/>
      <c r="C219" s="667"/>
      <c r="D219" s="667"/>
      <c r="E219" s="668"/>
      <c r="F219" s="667"/>
      <c r="G219" s="667"/>
      <c r="H219" s="667"/>
      <c r="I219" s="667"/>
      <c r="J219" s="667"/>
      <c r="K219" s="667"/>
      <c r="L219" s="667"/>
      <c r="M219" s="667"/>
      <c r="N219" s="667"/>
      <c r="O219" s="667"/>
      <c r="P219" s="667"/>
      <c r="Q219" s="667"/>
    </row>
    <row r="220" ht="15.75" customHeight="1">
      <c r="B220" s="667"/>
      <c r="C220" s="667"/>
      <c r="D220" s="667"/>
      <c r="E220" s="668"/>
      <c r="F220" s="667"/>
      <c r="G220" s="667"/>
      <c r="H220" s="667"/>
      <c r="I220" s="667"/>
      <c r="J220" s="667"/>
      <c r="K220" s="667"/>
      <c r="L220" s="667"/>
      <c r="M220" s="667"/>
      <c r="N220" s="667"/>
      <c r="O220" s="667"/>
      <c r="P220" s="667"/>
      <c r="Q220" s="667"/>
    </row>
    <row r="221" ht="15.75" customHeight="1">
      <c r="B221" s="667"/>
      <c r="C221" s="667"/>
      <c r="D221" s="667"/>
      <c r="E221" s="668"/>
      <c r="F221" s="667"/>
      <c r="G221" s="667"/>
      <c r="H221" s="667"/>
      <c r="I221" s="667"/>
      <c r="J221" s="667"/>
      <c r="K221" s="667"/>
      <c r="L221" s="667"/>
      <c r="M221" s="667"/>
      <c r="N221" s="667"/>
      <c r="O221" s="667"/>
      <c r="P221" s="667"/>
      <c r="Q221" s="667"/>
    </row>
    <row r="222" ht="15.75" customHeight="1">
      <c r="B222" s="667"/>
      <c r="C222" s="667"/>
      <c r="D222" s="667"/>
      <c r="E222" s="668"/>
      <c r="F222" s="667"/>
      <c r="G222" s="667"/>
      <c r="H222" s="667"/>
      <c r="I222" s="667"/>
      <c r="J222" s="667"/>
      <c r="K222" s="667"/>
      <c r="L222" s="667"/>
      <c r="M222" s="667"/>
      <c r="N222" s="667"/>
      <c r="O222" s="667"/>
      <c r="P222" s="667"/>
      <c r="Q222" s="667"/>
    </row>
    <row r="223" ht="15.75" customHeight="1">
      <c r="B223" s="667"/>
      <c r="C223" s="667"/>
      <c r="D223" s="667"/>
      <c r="E223" s="668"/>
      <c r="F223" s="667"/>
      <c r="G223" s="667"/>
      <c r="H223" s="667"/>
      <c r="I223" s="667"/>
      <c r="J223" s="667"/>
      <c r="K223" s="667"/>
      <c r="L223" s="667"/>
      <c r="M223" s="667"/>
      <c r="N223" s="667"/>
      <c r="O223" s="667"/>
      <c r="P223" s="667"/>
      <c r="Q223" s="667"/>
    </row>
    <row r="224" ht="15.75" customHeight="1">
      <c r="B224" s="667"/>
      <c r="C224" s="667"/>
      <c r="D224" s="667"/>
      <c r="E224" s="668"/>
      <c r="F224" s="667"/>
      <c r="G224" s="667"/>
      <c r="H224" s="667"/>
      <c r="I224" s="667"/>
      <c r="J224" s="667"/>
      <c r="K224" s="667"/>
      <c r="L224" s="667"/>
      <c r="M224" s="667"/>
      <c r="N224" s="667"/>
      <c r="O224" s="667"/>
      <c r="P224" s="667"/>
      <c r="Q224" s="667"/>
    </row>
    <row r="225" ht="15.75" customHeight="1">
      <c r="B225" s="667"/>
      <c r="C225" s="667"/>
      <c r="D225" s="667"/>
      <c r="E225" s="668"/>
      <c r="F225" s="667"/>
      <c r="G225" s="667"/>
      <c r="H225" s="667"/>
      <c r="I225" s="667"/>
      <c r="J225" s="667"/>
      <c r="K225" s="667"/>
      <c r="L225" s="667"/>
      <c r="M225" s="667"/>
      <c r="N225" s="667"/>
      <c r="O225" s="667"/>
      <c r="P225" s="667"/>
      <c r="Q225" s="667"/>
    </row>
    <row r="226" ht="15.75" customHeight="1">
      <c r="B226" s="667"/>
      <c r="C226" s="667"/>
      <c r="D226" s="667"/>
      <c r="E226" s="668"/>
      <c r="F226" s="667"/>
      <c r="G226" s="667"/>
      <c r="H226" s="667"/>
      <c r="I226" s="667"/>
      <c r="J226" s="667"/>
      <c r="K226" s="667"/>
      <c r="L226" s="667"/>
      <c r="M226" s="667"/>
      <c r="N226" s="667"/>
      <c r="O226" s="667"/>
      <c r="P226" s="667"/>
      <c r="Q226" s="667"/>
    </row>
    <row r="227" ht="15.75" customHeight="1">
      <c r="B227" s="667"/>
      <c r="C227" s="667"/>
      <c r="D227" s="667"/>
      <c r="E227" s="668"/>
      <c r="F227" s="667"/>
      <c r="G227" s="667"/>
      <c r="H227" s="667"/>
      <c r="I227" s="667"/>
      <c r="J227" s="667"/>
      <c r="K227" s="667"/>
      <c r="L227" s="667"/>
      <c r="M227" s="667"/>
      <c r="N227" s="667"/>
      <c r="O227" s="667"/>
      <c r="P227" s="667"/>
      <c r="Q227" s="667"/>
    </row>
    <row r="228" ht="15.75" customHeight="1">
      <c r="B228" s="667"/>
      <c r="C228" s="667"/>
      <c r="D228" s="667"/>
      <c r="E228" s="668"/>
      <c r="F228" s="667"/>
      <c r="G228" s="667"/>
      <c r="H228" s="667"/>
      <c r="I228" s="667"/>
      <c r="J228" s="667"/>
      <c r="K228" s="667"/>
      <c r="L228" s="667"/>
      <c r="M228" s="667"/>
      <c r="N228" s="667"/>
      <c r="O228" s="667"/>
      <c r="P228" s="667"/>
      <c r="Q228" s="667"/>
    </row>
    <row r="229" ht="15.75" customHeight="1">
      <c r="B229" s="667"/>
      <c r="C229" s="667"/>
      <c r="D229" s="667"/>
      <c r="E229" s="668"/>
      <c r="F229" s="667"/>
      <c r="G229" s="667"/>
      <c r="H229" s="667"/>
      <c r="I229" s="667"/>
      <c r="J229" s="667"/>
      <c r="K229" s="667"/>
      <c r="L229" s="667"/>
      <c r="M229" s="667"/>
      <c r="N229" s="667"/>
      <c r="O229" s="667"/>
      <c r="P229" s="667"/>
      <c r="Q229" s="667"/>
    </row>
    <row r="230" ht="15.75" customHeight="1">
      <c r="B230" s="667"/>
      <c r="C230" s="667"/>
      <c r="D230" s="667"/>
      <c r="E230" s="668"/>
      <c r="F230" s="667"/>
      <c r="G230" s="667"/>
      <c r="H230" s="667"/>
      <c r="I230" s="667"/>
      <c r="J230" s="667"/>
      <c r="K230" s="667"/>
      <c r="L230" s="667"/>
      <c r="M230" s="667"/>
      <c r="N230" s="667"/>
      <c r="O230" s="667"/>
      <c r="P230" s="667"/>
      <c r="Q230" s="667"/>
    </row>
    <row r="231" ht="15.75" customHeight="1">
      <c r="B231" s="667"/>
      <c r="C231" s="667"/>
      <c r="D231" s="667"/>
      <c r="E231" s="668"/>
      <c r="F231" s="667"/>
      <c r="G231" s="667"/>
      <c r="H231" s="667"/>
      <c r="I231" s="667"/>
      <c r="J231" s="667"/>
      <c r="K231" s="667"/>
      <c r="L231" s="667"/>
      <c r="M231" s="667"/>
      <c r="N231" s="667"/>
      <c r="O231" s="667"/>
      <c r="P231" s="667"/>
      <c r="Q231" s="667"/>
    </row>
    <row r="232" ht="15.75" customHeight="1">
      <c r="B232" s="667"/>
      <c r="C232" s="667"/>
      <c r="D232" s="667"/>
      <c r="E232" s="668"/>
      <c r="F232" s="667"/>
      <c r="G232" s="667"/>
      <c r="H232" s="667"/>
      <c r="I232" s="667"/>
      <c r="J232" s="667"/>
      <c r="K232" s="667"/>
      <c r="L232" s="667"/>
      <c r="M232" s="667"/>
      <c r="N232" s="667"/>
      <c r="O232" s="667"/>
      <c r="P232" s="667"/>
      <c r="Q232" s="667"/>
    </row>
    <row r="233" ht="15.75" customHeight="1">
      <c r="B233" s="667"/>
      <c r="C233" s="667"/>
      <c r="D233" s="667"/>
      <c r="E233" s="668"/>
      <c r="F233" s="667"/>
      <c r="G233" s="667"/>
      <c r="H233" s="667"/>
      <c r="I233" s="667"/>
      <c r="J233" s="667"/>
      <c r="K233" s="667"/>
      <c r="L233" s="667"/>
      <c r="M233" s="667"/>
      <c r="N233" s="667"/>
      <c r="O233" s="667"/>
      <c r="P233" s="667"/>
      <c r="Q233" s="667"/>
    </row>
    <row r="234" ht="15.75" customHeight="1">
      <c r="B234" s="667"/>
      <c r="C234" s="667"/>
      <c r="D234" s="667"/>
      <c r="E234" s="668"/>
      <c r="F234" s="667"/>
      <c r="G234" s="667"/>
      <c r="H234" s="667"/>
      <c r="I234" s="667"/>
      <c r="J234" s="667"/>
      <c r="K234" s="667"/>
      <c r="L234" s="667"/>
      <c r="M234" s="667"/>
      <c r="N234" s="667"/>
      <c r="O234" s="667"/>
      <c r="P234" s="667"/>
      <c r="Q234" s="667"/>
    </row>
    <row r="235" ht="15.75" customHeight="1">
      <c r="B235" s="667"/>
      <c r="C235" s="667"/>
      <c r="D235" s="667"/>
      <c r="E235" s="668"/>
      <c r="F235" s="667"/>
      <c r="G235" s="667"/>
      <c r="H235" s="667"/>
      <c r="I235" s="667"/>
      <c r="J235" s="667"/>
      <c r="K235" s="667"/>
      <c r="L235" s="667"/>
      <c r="M235" s="667"/>
      <c r="N235" s="667"/>
      <c r="O235" s="667"/>
      <c r="P235" s="667"/>
      <c r="Q235" s="667"/>
    </row>
    <row r="236" ht="15.75" customHeight="1">
      <c r="B236" s="667"/>
      <c r="C236" s="667"/>
      <c r="D236" s="667"/>
      <c r="E236" s="668"/>
      <c r="F236" s="667"/>
      <c r="G236" s="667"/>
      <c r="H236" s="667"/>
      <c r="I236" s="667"/>
      <c r="J236" s="667"/>
      <c r="K236" s="667"/>
      <c r="L236" s="667"/>
      <c r="M236" s="667"/>
      <c r="N236" s="667"/>
      <c r="O236" s="667"/>
      <c r="P236" s="667"/>
      <c r="Q236" s="667"/>
    </row>
    <row r="237" ht="15.75" customHeight="1">
      <c r="B237" s="667"/>
      <c r="C237" s="667"/>
      <c r="D237" s="667"/>
      <c r="E237" s="668"/>
      <c r="F237" s="667"/>
      <c r="G237" s="667"/>
      <c r="H237" s="667"/>
      <c r="I237" s="667"/>
      <c r="J237" s="667"/>
      <c r="K237" s="667"/>
      <c r="L237" s="667"/>
      <c r="M237" s="667"/>
      <c r="N237" s="667"/>
      <c r="O237" s="667"/>
      <c r="P237" s="667"/>
      <c r="Q237" s="667"/>
    </row>
    <row r="238" ht="15.75" customHeight="1">
      <c r="B238" s="667"/>
      <c r="C238" s="667"/>
      <c r="D238" s="667"/>
      <c r="E238" s="668"/>
      <c r="F238" s="667"/>
      <c r="G238" s="667"/>
      <c r="H238" s="667"/>
      <c r="I238" s="667"/>
      <c r="J238" s="667"/>
      <c r="K238" s="667"/>
      <c r="L238" s="667"/>
      <c r="M238" s="667"/>
      <c r="N238" s="667"/>
      <c r="O238" s="667"/>
      <c r="P238" s="667"/>
      <c r="Q238" s="667"/>
    </row>
    <row r="239" ht="15.75" customHeight="1">
      <c r="B239" s="667"/>
      <c r="C239" s="667"/>
      <c r="D239" s="667"/>
      <c r="E239" s="668"/>
      <c r="F239" s="667"/>
      <c r="G239" s="667"/>
      <c r="H239" s="667"/>
      <c r="I239" s="667"/>
      <c r="J239" s="667"/>
      <c r="K239" s="667"/>
      <c r="L239" s="667"/>
      <c r="M239" s="667"/>
      <c r="N239" s="667"/>
      <c r="O239" s="667"/>
      <c r="P239" s="667"/>
      <c r="Q239" s="667"/>
    </row>
    <row r="240" ht="15.75" customHeight="1">
      <c r="B240" s="667"/>
      <c r="C240" s="667"/>
      <c r="D240" s="667"/>
      <c r="E240" s="668"/>
      <c r="F240" s="667"/>
      <c r="G240" s="667"/>
      <c r="H240" s="667"/>
      <c r="I240" s="667"/>
      <c r="J240" s="667"/>
      <c r="K240" s="667"/>
      <c r="L240" s="667"/>
      <c r="M240" s="667"/>
      <c r="N240" s="667"/>
      <c r="O240" s="667"/>
      <c r="P240" s="667"/>
      <c r="Q240" s="667"/>
    </row>
    <row r="241" ht="15.75" customHeight="1">
      <c r="B241" s="667"/>
      <c r="C241" s="667"/>
      <c r="D241" s="667"/>
      <c r="E241" s="668"/>
      <c r="F241" s="667"/>
      <c r="G241" s="667"/>
      <c r="H241" s="667"/>
      <c r="I241" s="667"/>
      <c r="J241" s="667"/>
      <c r="K241" s="667"/>
      <c r="L241" s="667"/>
      <c r="M241" s="667"/>
      <c r="N241" s="667"/>
      <c r="O241" s="667"/>
      <c r="P241" s="667"/>
      <c r="Q241" s="667"/>
    </row>
    <row r="242" ht="15.75" customHeight="1">
      <c r="B242" s="667"/>
      <c r="C242" s="667"/>
      <c r="D242" s="667"/>
      <c r="E242" s="668"/>
      <c r="F242" s="667"/>
      <c r="G242" s="667"/>
      <c r="H242" s="667"/>
      <c r="I242" s="667"/>
      <c r="J242" s="667"/>
      <c r="K242" s="667"/>
      <c r="L242" s="667"/>
      <c r="M242" s="667"/>
      <c r="N242" s="667"/>
      <c r="O242" s="667"/>
      <c r="P242" s="667"/>
      <c r="Q242" s="667"/>
    </row>
    <row r="243" ht="15.75" customHeight="1">
      <c r="B243" s="667"/>
      <c r="C243" s="667"/>
      <c r="D243" s="667"/>
      <c r="E243" s="668"/>
      <c r="F243" s="667"/>
      <c r="G243" s="667"/>
      <c r="H243" s="667"/>
      <c r="I243" s="667"/>
      <c r="J243" s="667"/>
      <c r="K243" s="667"/>
      <c r="L243" s="667"/>
      <c r="M243" s="667"/>
      <c r="N243" s="667"/>
      <c r="O243" s="667"/>
      <c r="P243" s="667"/>
      <c r="Q243" s="667"/>
    </row>
    <row r="244" ht="15.75" customHeight="1">
      <c r="B244" s="667"/>
      <c r="C244" s="667"/>
      <c r="D244" s="667"/>
      <c r="E244" s="668"/>
      <c r="F244" s="667"/>
      <c r="G244" s="667"/>
      <c r="H244" s="667"/>
      <c r="I244" s="667"/>
      <c r="J244" s="667"/>
      <c r="K244" s="667"/>
      <c r="L244" s="667"/>
      <c r="M244" s="667"/>
      <c r="N244" s="667"/>
      <c r="O244" s="667"/>
      <c r="P244" s="667"/>
      <c r="Q244" s="667"/>
    </row>
    <row r="245" ht="15.75" customHeight="1">
      <c r="B245" s="667"/>
      <c r="C245" s="667"/>
      <c r="D245" s="667"/>
      <c r="E245" s="668"/>
      <c r="F245" s="667"/>
      <c r="G245" s="667"/>
      <c r="H245" s="667"/>
      <c r="I245" s="667"/>
      <c r="J245" s="667"/>
      <c r="K245" s="667"/>
      <c r="L245" s="667"/>
      <c r="M245" s="667"/>
      <c r="N245" s="667"/>
      <c r="O245" s="667"/>
      <c r="P245" s="667"/>
      <c r="Q245" s="667"/>
    </row>
    <row r="246" ht="15.75" customHeight="1">
      <c r="B246" s="667"/>
      <c r="C246" s="667"/>
      <c r="D246" s="667"/>
      <c r="E246" s="668"/>
      <c r="F246" s="667"/>
      <c r="G246" s="667"/>
      <c r="H246" s="667"/>
      <c r="I246" s="667"/>
      <c r="J246" s="667"/>
      <c r="K246" s="667"/>
      <c r="L246" s="667"/>
      <c r="M246" s="667"/>
      <c r="N246" s="667"/>
      <c r="O246" s="667"/>
      <c r="P246" s="667"/>
      <c r="Q246" s="667"/>
    </row>
    <row r="247" ht="15.75" customHeight="1">
      <c r="B247" s="667"/>
      <c r="C247" s="667"/>
      <c r="D247" s="667"/>
      <c r="E247" s="668"/>
      <c r="F247" s="667"/>
      <c r="G247" s="667"/>
      <c r="H247" s="667"/>
      <c r="I247" s="667"/>
      <c r="J247" s="667"/>
      <c r="K247" s="667"/>
      <c r="L247" s="667"/>
      <c r="M247" s="667"/>
      <c r="N247" s="667"/>
      <c r="O247" s="667"/>
      <c r="P247" s="667"/>
      <c r="Q247" s="667"/>
    </row>
    <row r="248" ht="15.75" customHeight="1">
      <c r="B248" s="667"/>
      <c r="C248" s="667"/>
      <c r="D248" s="667"/>
      <c r="E248" s="668"/>
      <c r="F248" s="667"/>
      <c r="G248" s="667"/>
      <c r="H248" s="667"/>
      <c r="I248" s="667"/>
      <c r="J248" s="667"/>
      <c r="K248" s="667"/>
      <c r="L248" s="667"/>
      <c r="M248" s="667"/>
      <c r="N248" s="667"/>
      <c r="O248" s="667"/>
      <c r="P248" s="667"/>
      <c r="Q248" s="667"/>
    </row>
    <row r="249" ht="15.75" customHeight="1">
      <c r="B249" s="667"/>
      <c r="C249" s="667"/>
      <c r="D249" s="667"/>
      <c r="E249" s="668"/>
      <c r="F249" s="667"/>
      <c r="G249" s="667"/>
      <c r="H249" s="667"/>
      <c r="I249" s="667"/>
      <c r="J249" s="667"/>
      <c r="K249" s="667"/>
      <c r="L249" s="667"/>
      <c r="M249" s="667"/>
      <c r="N249" s="667"/>
      <c r="O249" s="667"/>
      <c r="P249" s="667"/>
      <c r="Q249" s="667"/>
    </row>
    <row r="250" ht="15.75" customHeight="1">
      <c r="B250" s="667"/>
      <c r="C250" s="667"/>
      <c r="D250" s="667"/>
      <c r="E250" s="668"/>
      <c r="F250" s="667"/>
      <c r="G250" s="667"/>
      <c r="H250" s="667"/>
      <c r="I250" s="667"/>
      <c r="J250" s="667"/>
      <c r="K250" s="667"/>
      <c r="L250" s="667"/>
      <c r="M250" s="667"/>
      <c r="N250" s="667"/>
      <c r="O250" s="667"/>
      <c r="P250" s="667"/>
      <c r="Q250" s="667"/>
    </row>
    <row r="251" ht="15.75" customHeight="1">
      <c r="B251" s="667"/>
      <c r="C251" s="667"/>
      <c r="D251" s="667"/>
      <c r="E251" s="668"/>
      <c r="F251" s="667"/>
      <c r="G251" s="667"/>
      <c r="H251" s="667"/>
      <c r="I251" s="667"/>
      <c r="J251" s="667"/>
      <c r="K251" s="667"/>
      <c r="L251" s="667"/>
      <c r="M251" s="667"/>
      <c r="N251" s="667"/>
      <c r="O251" s="667"/>
      <c r="P251" s="667"/>
      <c r="Q251" s="667"/>
    </row>
    <row r="252" ht="15.75" customHeight="1">
      <c r="B252" s="667"/>
      <c r="C252" s="667"/>
      <c r="D252" s="667"/>
      <c r="E252" s="668"/>
      <c r="F252" s="667"/>
      <c r="G252" s="667"/>
      <c r="H252" s="667"/>
      <c r="I252" s="667"/>
      <c r="J252" s="667"/>
      <c r="K252" s="667"/>
      <c r="L252" s="667"/>
      <c r="M252" s="667"/>
      <c r="N252" s="667"/>
      <c r="O252" s="667"/>
      <c r="P252" s="667"/>
      <c r="Q252" s="667"/>
    </row>
    <row r="253" ht="15.75" customHeight="1">
      <c r="B253" s="667"/>
      <c r="C253" s="667"/>
      <c r="D253" s="667"/>
      <c r="E253" s="668"/>
      <c r="F253" s="667"/>
      <c r="G253" s="667"/>
      <c r="H253" s="667"/>
      <c r="I253" s="667"/>
      <c r="J253" s="667"/>
      <c r="K253" s="667"/>
      <c r="L253" s="667"/>
      <c r="M253" s="667"/>
      <c r="N253" s="667"/>
      <c r="O253" s="667"/>
      <c r="P253" s="667"/>
      <c r="Q253" s="667"/>
    </row>
    <row r="254" ht="15.75" customHeight="1">
      <c r="B254" s="667"/>
      <c r="C254" s="667"/>
      <c r="D254" s="667"/>
      <c r="E254" s="668"/>
      <c r="F254" s="667"/>
      <c r="G254" s="667"/>
      <c r="H254" s="667"/>
      <c r="I254" s="667"/>
      <c r="J254" s="667"/>
      <c r="K254" s="667"/>
      <c r="L254" s="667"/>
      <c r="M254" s="667"/>
      <c r="N254" s="667"/>
      <c r="O254" s="667"/>
      <c r="P254" s="667"/>
      <c r="Q254" s="667"/>
    </row>
    <row r="255" ht="15.75" customHeight="1">
      <c r="B255" s="667"/>
      <c r="C255" s="667"/>
      <c r="D255" s="667"/>
      <c r="E255" s="668"/>
      <c r="F255" s="667"/>
      <c r="G255" s="667"/>
      <c r="H255" s="667"/>
      <c r="I255" s="667"/>
      <c r="J255" s="667"/>
      <c r="K255" s="667"/>
      <c r="L255" s="667"/>
      <c r="M255" s="667"/>
      <c r="N255" s="667"/>
      <c r="O255" s="667"/>
      <c r="P255" s="667"/>
      <c r="Q255" s="667"/>
    </row>
    <row r="256" ht="15.75" customHeight="1">
      <c r="B256" s="667"/>
      <c r="C256" s="667"/>
      <c r="D256" s="667"/>
      <c r="E256" s="668"/>
      <c r="F256" s="667"/>
      <c r="G256" s="667"/>
      <c r="H256" s="667"/>
      <c r="I256" s="667"/>
      <c r="J256" s="667"/>
      <c r="K256" s="667"/>
      <c r="L256" s="667"/>
      <c r="M256" s="667"/>
      <c r="N256" s="667"/>
      <c r="O256" s="667"/>
      <c r="P256" s="667"/>
      <c r="Q256" s="667"/>
    </row>
    <row r="257" ht="15.75" customHeight="1">
      <c r="B257" s="667"/>
      <c r="C257" s="667"/>
      <c r="D257" s="667"/>
      <c r="E257" s="668"/>
      <c r="F257" s="667"/>
      <c r="G257" s="667"/>
      <c r="H257" s="667"/>
      <c r="I257" s="667"/>
      <c r="J257" s="667"/>
      <c r="K257" s="667"/>
      <c r="L257" s="667"/>
      <c r="M257" s="667"/>
      <c r="N257" s="667"/>
      <c r="O257" s="667"/>
      <c r="P257" s="667"/>
      <c r="Q257" s="667"/>
    </row>
    <row r="258" ht="15.75" customHeight="1">
      <c r="B258" s="667"/>
      <c r="C258" s="667"/>
      <c r="D258" s="667"/>
      <c r="E258" s="668"/>
      <c r="F258" s="667"/>
      <c r="G258" s="667"/>
      <c r="H258" s="667"/>
      <c r="I258" s="667"/>
      <c r="J258" s="667"/>
      <c r="K258" s="667"/>
      <c r="L258" s="667"/>
      <c r="M258" s="667"/>
      <c r="N258" s="667"/>
      <c r="O258" s="667"/>
      <c r="P258" s="667"/>
      <c r="Q258" s="667"/>
    </row>
    <row r="259" ht="15.75" customHeight="1">
      <c r="B259" s="667"/>
      <c r="C259" s="667"/>
      <c r="D259" s="667"/>
      <c r="E259" s="668"/>
      <c r="F259" s="667"/>
      <c r="G259" s="667"/>
      <c r="H259" s="667"/>
      <c r="I259" s="667"/>
      <c r="J259" s="667"/>
      <c r="K259" s="667"/>
      <c r="L259" s="667"/>
      <c r="M259" s="667"/>
      <c r="N259" s="667"/>
      <c r="O259" s="667"/>
      <c r="P259" s="667"/>
      <c r="Q259" s="667"/>
    </row>
    <row r="260" ht="15.75" customHeight="1">
      <c r="B260" s="667"/>
      <c r="C260" s="667"/>
      <c r="D260" s="667"/>
      <c r="E260" s="668"/>
      <c r="F260" s="667"/>
      <c r="G260" s="667"/>
      <c r="H260" s="667"/>
      <c r="I260" s="667"/>
      <c r="J260" s="667"/>
      <c r="K260" s="667"/>
      <c r="L260" s="667"/>
      <c r="M260" s="667"/>
      <c r="N260" s="667"/>
      <c r="O260" s="667"/>
      <c r="P260" s="667"/>
      <c r="Q260" s="667"/>
    </row>
    <row r="261" ht="15.75" customHeight="1">
      <c r="B261" s="667"/>
      <c r="C261" s="667"/>
      <c r="D261" s="667"/>
      <c r="E261" s="668"/>
      <c r="F261" s="667"/>
      <c r="G261" s="667"/>
      <c r="H261" s="667"/>
      <c r="I261" s="667"/>
      <c r="J261" s="667"/>
      <c r="K261" s="667"/>
      <c r="L261" s="667"/>
      <c r="M261" s="667"/>
      <c r="N261" s="667"/>
      <c r="O261" s="667"/>
      <c r="P261" s="667"/>
      <c r="Q261" s="667"/>
    </row>
    <row r="262" ht="15.75" customHeight="1">
      <c r="B262" s="667"/>
      <c r="C262" s="667"/>
      <c r="D262" s="667"/>
      <c r="E262" s="668"/>
      <c r="F262" s="667"/>
      <c r="G262" s="667"/>
      <c r="H262" s="667"/>
      <c r="I262" s="667"/>
      <c r="J262" s="667"/>
      <c r="K262" s="667"/>
      <c r="L262" s="667"/>
      <c r="M262" s="667"/>
      <c r="N262" s="667"/>
      <c r="O262" s="667"/>
      <c r="P262" s="667"/>
      <c r="Q262" s="667"/>
    </row>
    <row r="263" ht="15.75" customHeight="1">
      <c r="B263" s="667"/>
      <c r="C263" s="667"/>
      <c r="D263" s="667"/>
      <c r="E263" s="668"/>
      <c r="F263" s="667"/>
      <c r="G263" s="667"/>
      <c r="H263" s="667"/>
      <c r="I263" s="667"/>
      <c r="J263" s="667"/>
      <c r="K263" s="667"/>
      <c r="L263" s="667"/>
      <c r="M263" s="667"/>
      <c r="N263" s="667"/>
      <c r="O263" s="667"/>
      <c r="P263" s="667"/>
      <c r="Q263" s="667"/>
    </row>
    <row r="264" ht="15.75" customHeight="1">
      <c r="B264" s="667"/>
      <c r="C264" s="667"/>
      <c r="D264" s="667"/>
      <c r="E264" s="668"/>
      <c r="F264" s="667"/>
      <c r="G264" s="667"/>
      <c r="H264" s="667"/>
      <c r="I264" s="667"/>
      <c r="J264" s="667"/>
      <c r="K264" s="667"/>
      <c r="L264" s="667"/>
      <c r="M264" s="667"/>
      <c r="N264" s="667"/>
      <c r="O264" s="667"/>
      <c r="P264" s="667"/>
      <c r="Q264" s="667"/>
    </row>
    <row r="265" ht="15.75" customHeight="1">
      <c r="B265" s="667"/>
      <c r="C265" s="667"/>
      <c r="D265" s="667"/>
      <c r="E265" s="668"/>
      <c r="F265" s="667"/>
      <c r="G265" s="667"/>
      <c r="H265" s="667"/>
      <c r="I265" s="667"/>
      <c r="J265" s="667"/>
      <c r="K265" s="667"/>
      <c r="L265" s="667"/>
      <c r="M265" s="667"/>
      <c r="N265" s="667"/>
      <c r="O265" s="667"/>
      <c r="P265" s="667"/>
      <c r="Q265" s="667"/>
    </row>
    <row r="266" ht="15.75" customHeight="1">
      <c r="B266" s="667"/>
      <c r="C266" s="667"/>
      <c r="D266" s="667"/>
      <c r="E266" s="668"/>
      <c r="F266" s="667"/>
      <c r="G266" s="667"/>
      <c r="H266" s="667"/>
      <c r="I266" s="667"/>
      <c r="J266" s="667"/>
      <c r="K266" s="667"/>
      <c r="L266" s="667"/>
      <c r="M266" s="667"/>
      <c r="N266" s="667"/>
      <c r="O266" s="667"/>
      <c r="P266" s="667"/>
      <c r="Q266" s="667"/>
    </row>
    <row r="267" ht="15.75" customHeight="1">
      <c r="B267" s="667"/>
      <c r="C267" s="667"/>
      <c r="D267" s="667"/>
      <c r="E267" s="668"/>
      <c r="F267" s="667"/>
      <c r="G267" s="667"/>
      <c r="H267" s="667"/>
      <c r="I267" s="667"/>
      <c r="J267" s="667"/>
      <c r="K267" s="667"/>
      <c r="L267" s="667"/>
      <c r="M267" s="667"/>
      <c r="N267" s="667"/>
      <c r="O267" s="667"/>
      <c r="P267" s="667"/>
      <c r="Q267" s="667"/>
    </row>
    <row r="268" ht="15.75" customHeight="1">
      <c r="B268" s="667"/>
      <c r="C268" s="667"/>
      <c r="D268" s="667"/>
      <c r="E268" s="668"/>
      <c r="F268" s="667"/>
      <c r="G268" s="667"/>
      <c r="H268" s="667"/>
      <c r="I268" s="667"/>
      <c r="J268" s="667"/>
      <c r="K268" s="667"/>
      <c r="L268" s="667"/>
      <c r="M268" s="667"/>
      <c r="N268" s="667"/>
      <c r="O268" s="667"/>
      <c r="P268" s="667"/>
      <c r="Q268" s="667"/>
    </row>
    <row r="269" ht="15.75" customHeight="1">
      <c r="B269" s="667"/>
      <c r="C269" s="667"/>
      <c r="D269" s="667"/>
      <c r="E269" s="668"/>
      <c r="F269" s="667"/>
      <c r="G269" s="667"/>
      <c r="H269" s="667"/>
      <c r="I269" s="667"/>
      <c r="J269" s="667"/>
      <c r="K269" s="667"/>
      <c r="L269" s="667"/>
      <c r="M269" s="667"/>
      <c r="N269" s="667"/>
      <c r="O269" s="667"/>
      <c r="P269" s="667"/>
      <c r="Q269" s="667"/>
    </row>
    <row r="270" ht="15.75" customHeight="1">
      <c r="B270" s="667"/>
      <c r="C270" s="667"/>
      <c r="D270" s="667"/>
      <c r="E270" s="668"/>
      <c r="F270" s="667"/>
      <c r="G270" s="667"/>
      <c r="H270" s="667"/>
      <c r="I270" s="667"/>
      <c r="J270" s="667"/>
      <c r="K270" s="667"/>
      <c r="L270" s="667"/>
      <c r="M270" s="667"/>
      <c r="N270" s="667"/>
      <c r="O270" s="667"/>
      <c r="P270" s="667"/>
      <c r="Q270" s="667"/>
    </row>
    <row r="271" ht="15.75" customHeight="1">
      <c r="B271" s="667"/>
      <c r="C271" s="667"/>
      <c r="D271" s="667"/>
      <c r="E271" s="668"/>
      <c r="F271" s="667"/>
      <c r="G271" s="667"/>
      <c r="H271" s="667"/>
      <c r="I271" s="667"/>
      <c r="J271" s="667"/>
      <c r="K271" s="667"/>
      <c r="L271" s="667"/>
      <c r="M271" s="667"/>
      <c r="N271" s="667"/>
      <c r="O271" s="667"/>
      <c r="P271" s="667"/>
      <c r="Q271" s="667"/>
    </row>
    <row r="272" ht="15.75" customHeight="1">
      <c r="B272" s="667"/>
      <c r="C272" s="667"/>
      <c r="D272" s="667"/>
      <c r="E272" s="668"/>
      <c r="F272" s="667"/>
      <c r="G272" s="667"/>
      <c r="H272" s="667"/>
      <c r="I272" s="667"/>
      <c r="J272" s="667"/>
      <c r="K272" s="667"/>
      <c r="L272" s="667"/>
      <c r="M272" s="667"/>
      <c r="N272" s="667"/>
      <c r="O272" s="667"/>
      <c r="P272" s="667"/>
      <c r="Q272" s="667"/>
    </row>
    <row r="273" ht="15.75" customHeight="1">
      <c r="B273" s="667"/>
      <c r="C273" s="667"/>
      <c r="D273" s="667"/>
      <c r="E273" s="668"/>
      <c r="F273" s="667"/>
      <c r="G273" s="667"/>
      <c r="H273" s="667"/>
      <c r="I273" s="667"/>
      <c r="J273" s="667"/>
      <c r="K273" s="667"/>
      <c r="L273" s="667"/>
      <c r="M273" s="667"/>
      <c r="N273" s="667"/>
      <c r="O273" s="667"/>
      <c r="P273" s="667"/>
      <c r="Q273" s="667"/>
    </row>
    <row r="274" ht="15.75" customHeight="1">
      <c r="B274" s="667"/>
      <c r="C274" s="667"/>
      <c r="D274" s="667"/>
      <c r="E274" s="668"/>
      <c r="F274" s="667"/>
      <c r="G274" s="667"/>
      <c r="H274" s="667"/>
      <c r="I274" s="667"/>
      <c r="J274" s="667"/>
      <c r="K274" s="667"/>
      <c r="L274" s="667"/>
      <c r="M274" s="667"/>
      <c r="N274" s="667"/>
      <c r="O274" s="667"/>
      <c r="P274" s="667"/>
      <c r="Q274" s="667"/>
    </row>
    <row r="275" ht="15.75" customHeight="1">
      <c r="B275" s="667"/>
      <c r="C275" s="667"/>
      <c r="D275" s="667"/>
      <c r="E275" s="668"/>
      <c r="F275" s="667"/>
      <c r="G275" s="667"/>
      <c r="H275" s="667"/>
      <c r="I275" s="667"/>
      <c r="J275" s="667"/>
      <c r="K275" s="667"/>
      <c r="L275" s="667"/>
      <c r="M275" s="667"/>
      <c r="N275" s="667"/>
      <c r="O275" s="667"/>
      <c r="P275" s="667"/>
      <c r="Q275" s="667"/>
    </row>
    <row r="276" ht="15.75" customHeight="1">
      <c r="B276" s="667"/>
      <c r="C276" s="667"/>
      <c r="D276" s="667"/>
      <c r="E276" s="668"/>
      <c r="F276" s="667"/>
      <c r="G276" s="667"/>
      <c r="H276" s="667"/>
      <c r="I276" s="667"/>
      <c r="J276" s="667"/>
      <c r="K276" s="667"/>
      <c r="L276" s="667"/>
      <c r="M276" s="667"/>
      <c r="N276" s="667"/>
      <c r="O276" s="667"/>
      <c r="P276" s="667"/>
      <c r="Q276" s="667"/>
    </row>
    <row r="277" ht="15.75" customHeight="1">
      <c r="B277" s="667"/>
      <c r="C277" s="667"/>
      <c r="D277" s="667"/>
      <c r="E277" s="668"/>
      <c r="F277" s="667"/>
      <c r="G277" s="667"/>
      <c r="H277" s="667"/>
      <c r="I277" s="667"/>
      <c r="J277" s="667"/>
      <c r="K277" s="667"/>
      <c r="L277" s="667"/>
      <c r="M277" s="667"/>
      <c r="N277" s="667"/>
      <c r="O277" s="667"/>
      <c r="P277" s="667"/>
      <c r="Q277" s="667"/>
    </row>
    <row r="278" ht="15.75" customHeight="1">
      <c r="B278" s="667"/>
      <c r="C278" s="667"/>
      <c r="D278" s="667"/>
      <c r="E278" s="668"/>
      <c r="F278" s="667"/>
      <c r="G278" s="667"/>
      <c r="H278" s="667"/>
      <c r="I278" s="667"/>
      <c r="J278" s="667"/>
      <c r="K278" s="667"/>
      <c r="L278" s="667"/>
      <c r="M278" s="667"/>
      <c r="N278" s="667"/>
      <c r="O278" s="667"/>
      <c r="P278" s="667"/>
      <c r="Q278" s="667"/>
    </row>
    <row r="279" ht="15.75" customHeight="1">
      <c r="B279" s="667"/>
      <c r="C279" s="667"/>
      <c r="D279" s="667"/>
      <c r="E279" s="668"/>
      <c r="F279" s="667"/>
      <c r="G279" s="667"/>
      <c r="H279" s="667"/>
      <c r="I279" s="667"/>
      <c r="J279" s="667"/>
      <c r="K279" s="667"/>
      <c r="L279" s="667"/>
      <c r="M279" s="667"/>
      <c r="N279" s="667"/>
      <c r="O279" s="667"/>
      <c r="P279" s="667"/>
      <c r="Q279" s="667"/>
    </row>
    <row r="280" ht="15.75" customHeight="1">
      <c r="B280" s="667"/>
      <c r="C280" s="667"/>
      <c r="D280" s="667"/>
      <c r="E280" s="668"/>
      <c r="F280" s="667"/>
      <c r="G280" s="667"/>
      <c r="H280" s="667"/>
      <c r="I280" s="667"/>
      <c r="J280" s="667"/>
      <c r="K280" s="667"/>
      <c r="L280" s="667"/>
      <c r="M280" s="667"/>
      <c r="N280" s="667"/>
      <c r="O280" s="667"/>
      <c r="P280" s="667"/>
      <c r="Q280" s="667"/>
    </row>
    <row r="281" ht="15.75" customHeight="1">
      <c r="B281" s="667"/>
      <c r="C281" s="667"/>
      <c r="D281" s="667"/>
      <c r="E281" s="668"/>
      <c r="F281" s="667"/>
      <c r="G281" s="667"/>
      <c r="H281" s="667"/>
      <c r="I281" s="667"/>
      <c r="J281" s="667"/>
      <c r="K281" s="667"/>
      <c r="L281" s="667"/>
      <c r="M281" s="667"/>
      <c r="N281" s="667"/>
      <c r="O281" s="667"/>
      <c r="P281" s="667"/>
      <c r="Q281" s="667"/>
    </row>
    <row r="282" ht="15.75" customHeight="1">
      <c r="B282" s="667"/>
      <c r="C282" s="667"/>
      <c r="D282" s="667"/>
      <c r="E282" s="668"/>
      <c r="F282" s="667"/>
      <c r="G282" s="667"/>
      <c r="H282" s="667"/>
      <c r="I282" s="667"/>
      <c r="J282" s="667"/>
      <c r="K282" s="667"/>
      <c r="L282" s="667"/>
      <c r="M282" s="667"/>
      <c r="N282" s="667"/>
      <c r="O282" s="667"/>
      <c r="P282" s="667"/>
      <c r="Q282" s="667"/>
    </row>
    <row r="283" ht="15.75" customHeight="1">
      <c r="B283" s="667"/>
      <c r="C283" s="667"/>
      <c r="D283" s="667"/>
      <c r="E283" s="668"/>
      <c r="F283" s="667"/>
      <c r="G283" s="667"/>
      <c r="H283" s="667"/>
      <c r="I283" s="667"/>
      <c r="J283" s="667"/>
      <c r="K283" s="667"/>
      <c r="L283" s="667"/>
      <c r="M283" s="667"/>
      <c r="N283" s="667"/>
      <c r="O283" s="667"/>
      <c r="P283" s="667"/>
      <c r="Q283" s="667"/>
    </row>
    <row r="284" ht="15.75" customHeight="1">
      <c r="B284" s="667"/>
      <c r="C284" s="667"/>
      <c r="D284" s="667"/>
      <c r="E284" s="668"/>
      <c r="F284" s="667"/>
      <c r="G284" s="667"/>
      <c r="H284" s="667"/>
      <c r="I284" s="667"/>
      <c r="J284" s="667"/>
      <c r="K284" s="667"/>
      <c r="L284" s="667"/>
      <c r="M284" s="667"/>
      <c r="N284" s="667"/>
      <c r="O284" s="667"/>
      <c r="P284" s="667"/>
      <c r="Q284" s="667"/>
    </row>
    <row r="285" ht="15.75" customHeight="1">
      <c r="B285" s="667"/>
      <c r="C285" s="667"/>
      <c r="D285" s="667"/>
      <c r="E285" s="668"/>
      <c r="F285" s="667"/>
      <c r="G285" s="667"/>
      <c r="H285" s="667"/>
      <c r="I285" s="667"/>
      <c r="J285" s="667"/>
      <c r="K285" s="667"/>
      <c r="L285" s="667"/>
      <c r="M285" s="667"/>
      <c r="N285" s="667"/>
      <c r="O285" s="667"/>
      <c r="P285" s="667"/>
      <c r="Q285" s="667"/>
    </row>
    <row r="286" ht="15.75" customHeight="1">
      <c r="B286" s="667"/>
      <c r="C286" s="667"/>
      <c r="D286" s="667"/>
      <c r="E286" s="668"/>
      <c r="F286" s="667"/>
      <c r="G286" s="667"/>
      <c r="H286" s="667"/>
      <c r="I286" s="667"/>
      <c r="J286" s="667"/>
      <c r="K286" s="667"/>
      <c r="L286" s="667"/>
      <c r="M286" s="667"/>
      <c r="N286" s="667"/>
      <c r="O286" s="667"/>
      <c r="P286" s="667"/>
      <c r="Q286" s="667"/>
    </row>
    <row r="287" ht="15.75" customHeight="1">
      <c r="B287" s="667"/>
      <c r="C287" s="667"/>
      <c r="D287" s="667"/>
      <c r="E287" s="668"/>
      <c r="F287" s="667"/>
      <c r="G287" s="667"/>
      <c r="H287" s="667"/>
      <c r="I287" s="667"/>
      <c r="J287" s="667"/>
      <c r="K287" s="667"/>
      <c r="L287" s="667"/>
      <c r="M287" s="667"/>
      <c r="N287" s="667"/>
      <c r="O287" s="667"/>
      <c r="P287" s="667"/>
      <c r="Q287" s="667"/>
    </row>
    <row r="288" ht="15.75" customHeight="1">
      <c r="B288" s="667"/>
      <c r="C288" s="667"/>
      <c r="D288" s="667"/>
      <c r="E288" s="668"/>
      <c r="F288" s="667"/>
      <c r="G288" s="667"/>
      <c r="H288" s="667"/>
      <c r="I288" s="667"/>
      <c r="J288" s="667"/>
      <c r="K288" s="667"/>
      <c r="L288" s="667"/>
      <c r="M288" s="667"/>
      <c r="N288" s="667"/>
      <c r="O288" s="667"/>
      <c r="P288" s="667"/>
      <c r="Q288" s="667"/>
    </row>
    <row r="289" ht="15.75" customHeight="1">
      <c r="B289" s="667"/>
      <c r="C289" s="667"/>
      <c r="D289" s="667"/>
      <c r="E289" s="668"/>
      <c r="F289" s="667"/>
      <c r="G289" s="667"/>
      <c r="H289" s="667"/>
      <c r="I289" s="667"/>
      <c r="J289" s="667"/>
      <c r="K289" s="667"/>
      <c r="L289" s="667"/>
      <c r="M289" s="667"/>
      <c r="N289" s="667"/>
      <c r="O289" s="667"/>
      <c r="P289" s="667"/>
      <c r="Q289" s="667"/>
    </row>
    <row r="290" ht="15.75" customHeight="1">
      <c r="B290" s="667"/>
      <c r="C290" s="667"/>
      <c r="D290" s="667"/>
      <c r="E290" s="668"/>
      <c r="F290" s="667"/>
      <c r="G290" s="667"/>
      <c r="H290" s="667"/>
      <c r="I290" s="667"/>
      <c r="J290" s="667"/>
      <c r="K290" s="667"/>
      <c r="L290" s="667"/>
      <c r="M290" s="667"/>
      <c r="N290" s="667"/>
      <c r="O290" s="667"/>
      <c r="P290" s="667"/>
      <c r="Q290" s="667"/>
    </row>
    <row r="291" ht="15.75" customHeight="1">
      <c r="B291" s="667"/>
      <c r="C291" s="667"/>
      <c r="D291" s="667"/>
      <c r="E291" s="668"/>
      <c r="F291" s="667"/>
      <c r="G291" s="667"/>
      <c r="H291" s="667"/>
      <c r="I291" s="667"/>
      <c r="J291" s="667"/>
      <c r="K291" s="667"/>
      <c r="L291" s="667"/>
      <c r="M291" s="667"/>
      <c r="N291" s="667"/>
      <c r="O291" s="667"/>
      <c r="P291" s="667"/>
      <c r="Q291" s="667"/>
    </row>
    <row r="292" ht="15.75" customHeight="1">
      <c r="B292" s="667"/>
      <c r="C292" s="667"/>
      <c r="D292" s="667"/>
      <c r="E292" s="668"/>
      <c r="F292" s="667"/>
      <c r="G292" s="667"/>
      <c r="H292" s="667"/>
      <c r="I292" s="667"/>
      <c r="J292" s="667"/>
      <c r="K292" s="667"/>
      <c r="L292" s="667"/>
      <c r="M292" s="667"/>
      <c r="N292" s="667"/>
      <c r="O292" s="667"/>
      <c r="P292" s="667"/>
      <c r="Q292" s="667"/>
    </row>
    <row r="293" ht="15.75" customHeight="1">
      <c r="B293" s="667"/>
      <c r="C293" s="667"/>
      <c r="D293" s="667"/>
      <c r="E293" s="668"/>
      <c r="F293" s="667"/>
      <c r="G293" s="667"/>
      <c r="H293" s="667"/>
      <c r="I293" s="667"/>
      <c r="J293" s="667"/>
      <c r="K293" s="667"/>
      <c r="L293" s="667"/>
      <c r="M293" s="667"/>
      <c r="N293" s="667"/>
      <c r="O293" s="667"/>
      <c r="P293" s="667"/>
      <c r="Q293" s="667"/>
    </row>
    <row r="294" ht="15.75" customHeight="1">
      <c r="B294" s="667"/>
      <c r="C294" s="667"/>
      <c r="D294" s="667"/>
      <c r="E294" s="668"/>
      <c r="F294" s="667"/>
      <c r="G294" s="667"/>
      <c r="H294" s="667"/>
      <c r="I294" s="667"/>
      <c r="J294" s="667"/>
      <c r="K294" s="667"/>
      <c r="L294" s="667"/>
      <c r="M294" s="667"/>
      <c r="N294" s="667"/>
      <c r="O294" s="667"/>
      <c r="P294" s="667"/>
      <c r="Q294" s="667"/>
    </row>
    <row r="295" ht="15.75" customHeight="1">
      <c r="B295" s="667"/>
      <c r="C295" s="667"/>
      <c r="D295" s="667"/>
      <c r="E295" s="668"/>
      <c r="F295" s="667"/>
      <c r="G295" s="667"/>
      <c r="H295" s="667"/>
      <c r="I295" s="667"/>
      <c r="J295" s="667"/>
      <c r="K295" s="667"/>
      <c r="L295" s="667"/>
      <c r="M295" s="667"/>
      <c r="N295" s="667"/>
      <c r="O295" s="667"/>
      <c r="P295" s="667"/>
      <c r="Q295" s="667"/>
    </row>
    <row r="296" ht="15.75" customHeight="1">
      <c r="B296" s="667"/>
      <c r="C296" s="667"/>
      <c r="D296" s="667"/>
      <c r="E296" s="668"/>
      <c r="F296" s="667"/>
      <c r="G296" s="667"/>
      <c r="H296" s="667"/>
      <c r="I296" s="667"/>
      <c r="J296" s="667"/>
      <c r="K296" s="667"/>
      <c r="L296" s="667"/>
      <c r="M296" s="667"/>
      <c r="N296" s="667"/>
      <c r="O296" s="667"/>
      <c r="P296" s="667"/>
      <c r="Q296" s="667"/>
    </row>
    <row r="297" ht="15.75" customHeight="1">
      <c r="B297" s="667"/>
      <c r="C297" s="667"/>
      <c r="D297" s="667"/>
      <c r="E297" s="668"/>
      <c r="F297" s="667"/>
      <c r="G297" s="667"/>
      <c r="H297" s="667"/>
      <c r="I297" s="667"/>
      <c r="J297" s="667"/>
      <c r="K297" s="667"/>
      <c r="L297" s="667"/>
      <c r="M297" s="667"/>
      <c r="N297" s="667"/>
      <c r="O297" s="667"/>
      <c r="P297" s="667"/>
      <c r="Q297" s="667"/>
    </row>
    <row r="298" ht="15.75" customHeight="1">
      <c r="B298" s="667"/>
      <c r="C298" s="667"/>
      <c r="D298" s="667"/>
      <c r="E298" s="668"/>
      <c r="F298" s="667"/>
      <c r="G298" s="667"/>
      <c r="H298" s="667"/>
      <c r="I298" s="667"/>
      <c r="J298" s="667"/>
      <c r="K298" s="667"/>
      <c r="L298" s="667"/>
      <c r="M298" s="667"/>
      <c r="N298" s="667"/>
      <c r="O298" s="667"/>
      <c r="P298" s="667"/>
      <c r="Q298" s="667"/>
    </row>
    <row r="299" ht="15.75" customHeight="1">
      <c r="B299" s="667"/>
      <c r="C299" s="667"/>
      <c r="D299" s="667"/>
      <c r="E299" s="668"/>
      <c r="F299" s="667"/>
      <c r="G299" s="667"/>
      <c r="H299" s="667"/>
      <c r="I299" s="667"/>
      <c r="J299" s="667"/>
      <c r="K299" s="667"/>
      <c r="L299" s="667"/>
      <c r="M299" s="667"/>
      <c r="N299" s="667"/>
      <c r="O299" s="667"/>
      <c r="P299" s="667"/>
      <c r="Q299" s="667"/>
    </row>
    <row r="300" ht="15.75" customHeight="1">
      <c r="B300" s="667"/>
      <c r="C300" s="667"/>
      <c r="D300" s="667"/>
      <c r="E300" s="668"/>
      <c r="F300" s="667"/>
      <c r="G300" s="667"/>
      <c r="H300" s="667"/>
      <c r="I300" s="667"/>
      <c r="J300" s="667"/>
      <c r="K300" s="667"/>
      <c r="L300" s="667"/>
      <c r="M300" s="667"/>
      <c r="N300" s="667"/>
      <c r="O300" s="667"/>
      <c r="P300" s="667"/>
      <c r="Q300" s="667"/>
    </row>
    <row r="301" ht="15.75" customHeight="1">
      <c r="B301" s="667"/>
      <c r="C301" s="667"/>
      <c r="D301" s="667"/>
      <c r="E301" s="668"/>
      <c r="F301" s="667"/>
      <c r="G301" s="667"/>
      <c r="H301" s="667"/>
      <c r="I301" s="667"/>
      <c r="J301" s="667"/>
      <c r="K301" s="667"/>
      <c r="L301" s="667"/>
      <c r="M301" s="667"/>
      <c r="N301" s="667"/>
      <c r="O301" s="667"/>
      <c r="P301" s="667"/>
      <c r="Q301" s="667"/>
    </row>
    <row r="302" ht="15.75" customHeight="1">
      <c r="B302" s="667"/>
      <c r="C302" s="667"/>
      <c r="D302" s="667"/>
      <c r="E302" s="668"/>
      <c r="F302" s="667"/>
      <c r="G302" s="667"/>
      <c r="H302" s="667"/>
      <c r="I302" s="667"/>
      <c r="J302" s="667"/>
      <c r="K302" s="667"/>
      <c r="L302" s="667"/>
      <c r="M302" s="667"/>
      <c r="N302" s="667"/>
      <c r="O302" s="667"/>
      <c r="P302" s="667"/>
      <c r="Q302" s="667"/>
    </row>
    <row r="303" ht="15.75" customHeight="1">
      <c r="B303" s="667"/>
      <c r="C303" s="667"/>
      <c r="D303" s="667"/>
      <c r="E303" s="668"/>
      <c r="F303" s="667"/>
      <c r="G303" s="667"/>
      <c r="H303" s="667"/>
      <c r="I303" s="667"/>
      <c r="J303" s="667"/>
      <c r="K303" s="667"/>
      <c r="L303" s="667"/>
      <c r="M303" s="667"/>
      <c r="N303" s="667"/>
      <c r="O303" s="667"/>
      <c r="P303" s="667"/>
      <c r="Q303" s="667"/>
    </row>
    <row r="304" ht="15.75" customHeight="1">
      <c r="B304" s="667"/>
      <c r="C304" s="667"/>
      <c r="D304" s="667"/>
      <c r="E304" s="668"/>
      <c r="F304" s="667"/>
      <c r="G304" s="667"/>
      <c r="H304" s="667"/>
      <c r="I304" s="667"/>
      <c r="J304" s="667"/>
      <c r="K304" s="667"/>
      <c r="L304" s="667"/>
      <c r="M304" s="667"/>
      <c r="N304" s="667"/>
      <c r="O304" s="667"/>
      <c r="P304" s="667"/>
      <c r="Q304" s="667"/>
    </row>
    <row r="305" ht="15.75" customHeight="1">
      <c r="B305" s="667"/>
      <c r="C305" s="667"/>
      <c r="D305" s="667"/>
      <c r="E305" s="668"/>
      <c r="F305" s="667"/>
      <c r="G305" s="667"/>
      <c r="H305" s="667"/>
      <c r="I305" s="667"/>
      <c r="J305" s="667"/>
      <c r="K305" s="667"/>
      <c r="L305" s="667"/>
      <c r="M305" s="667"/>
      <c r="N305" s="667"/>
      <c r="O305" s="667"/>
      <c r="P305" s="667"/>
      <c r="Q305" s="667"/>
    </row>
    <row r="306" ht="15.75" customHeight="1">
      <c r="B306" s="667"/>
      <c r="C306" s="667"/>
      <c r="D306" s="667"/>
      <c r="E306" s="668"/>
      <c r="F306" s="667"/>
      <c r="G306" s="667"/>
      <c r="H306" s="667"/>
      <c r="I306" s="667"/>
      <c r="J306" s="667"/>
      <c r="K306" s="667"/>
      <c r="L306" s="667"/>
      <c r="M306" s="667"/>
      <c r="N306" s="667"/>
      <c r="O306" s="667"/>
      <c r="P306" s="667"/>
      <c r="Q306" s="667"/>
    </row>
    <row r="307" ht="15.75" customHeight="1">
      <c r="B307" s="667"/>
      <c r="C307" s="667"/>
      <c r="D307" s="667"/>
      <c r="E307" s="668"/>
      <c r="F307" s="667"/>
      <c r="G307" s="667"/>
      <c r="H307" s="667"/>
      <c r="I307" s="667"/>
      <c r="J307" s="667"/>
      <c r="K307" s="667"/>
      <c r="L307" s="667"/>
      <c r="M307" s="667"/>
      <c r="N307" s="667"/>
      <c r="O307" s="667"/>
      <c r="P307" s="667"/>
      <c r="Q307" s="667"/>
    </row>
    <row r="308" ht="15.75" customHeight="1">
      <c r="B308" s="667"/>
      <c r="C308" s="667"/>
      <c r="D308" s="667"/>
      <c r="E308" s="668"/>
      <c r="F308" s="667"/>
      <c r="G308" s="667"/>
      <c r="H308" s="667"/>
      <c r="I308" s="667"/>
      <c r="J308" s="667"/>
      <c r="K308" s="667"/>
      <c r="L308" s="667"/>
      <c r="M308" s="667"/>
      <c r="N308" s="667"/>
      <c r="O308" s="667"/>
      <c r="P308" s="667"/>
      <c r="Q308" s="667"/>
    </row>
    <row r="309" ht="15.75" customHeight="1">
      <c r="B309" s="667"/>
      <c r="C309" s="667"/>
      <c r="D309" s="667"/>
      <c r="E309" s="668"/>
      <c r="F309" s="667"/>
      <c r="G309" s="667"/>
      <c r="H309" s="667"/>
      <c r="I309" s="667"/>
      <c r="J309" s="667"/>
      <c r="K309" s="667"/>
      <c r="L309" s="667"/>
      <c r="M309" s="667"/>
      <c r="N309" s="667"/>
      <c r="O309" s="667"/>
      <c r="P309" s="667"/>
      <c r="Q309" s="667"/>
    </row>
    <row r="310" ht="15.75" customHeight="1">
      <c r="B310" s="667"/>
      <c r="C310" s="667"/>
      <c r="D310" s="667"/>
      <c r="E310" s="668"/>
      <c r="F310" s="667"/>
      <c r="G310" s="667"/>
      <c r="H310" s="667"/>
      <c r="I310" s="667"/>
      <c r="J310" s="667"/>
      <c r="K310" s="667"/>
      <c r="L310" s="667"/>
      <c r="M310" s="667"/>
      <c r="N310" s="667"/>
      <c r="O310" s="667"/>
      <c r="P310" s="667"/>
      <c r="Q310" s="667"/>
    </row>
    <row r="311" ht="15.75" customHeight="1">
      <c r="B311" s="667"/>
      <c r="C311" s="667"/>
      <c r="D311" s="667"/>
      <c r="E311" s="668"/>
      <c r="F311" s="667"/>
      <c r="G311" s="667"/>
      <c r="H311" s="667"/>
      <c r="I311" s="667"/>
      <c r="J311" s="667"/>
      <c r="K311" s="667"/>
      <c r="L311" s="667"/>
      <c r="M311" s="667"/>
      <c r="N311" s="667"/>
      <c r="O311" s="667"/>
      <c r="P311" s="667"/>
      <c r="Q311" s="667"/>
    </row>
    <row r="312" ht="15.75" customHeight="1">
      <c r="B312" s="667"/>
      <c r="C312" s="667"/>
      <c r="D312" s="667"/>
      <c r="E312" s="668"/>
      <c r="F312" s="667"/>
      <c r="G312" s="667"/>
      <c r="H312" s="667"/>
      <c r="I312" s="667"/>
      <c r="J312" s="667"/>
      <c r="K312" s="667"/>
      <c r="L312" s="667"/>
      <c r="M312" s="667"/>
      <c r="N312" s="667"/>
      <c r="O312" s="667"/>
      <c r="P312" s="667"/>
      <c r="Q312" s="667"/>
    </row>
    <row r="313" ht="15.75" customHeight="1">
      <c r="B313" s="667"/>
      <c r="C313" s="667"/>
      <c r="D313" s="667"/>
      <c r="E313" s="668"/>
      <c r="F313" s="667"/>
      <c r="G313" s="667"/>
      <c r="H313" s="667"/>
      <c r="I313" s="667"/>
      <c r="J313" s="667"/>
      <c r="K313" s="667"/>
      <c r="L313" s="667"/>
      <c r="M313" s="667"/>
      <c r="N313" s="667"/>
      <c r="O313" s="667"/>
      <c r="P313" s="667"/>
      <c r="Q313" s="667"/>
    </row>
    <row r="314" ht="15.75" customHeight="1">
      <c r="B314" s="667"/>
      <c r="C314" s="667"/>
      <c r="D314" s="667"/>
      <c r="E314" s="668"/>
      <c r="F314" s="667"/>
      <c r="G314" s="667"/>
      <c r="H314" s="667"/>
      <c r="I314" s="667"/>
      <c r="J314" s="667"/>
      <c r="K314" s="667"/>
      <c r="L314" s="667"/>
      <c r="M314" s="667"/>
      <c r="N314" s="667"/>
      <c r="O314" s="667"/>
      <c r="P314" s="667"/>
      <c r="Q314" s="667"/>
    </row>
    <row r="315" ht="15.75" customHeight="1">
      <c r="B315" s="667"/>
      <c r="C315" s="667"/>
      <c r="D315" s="667"/>
      <c r="E315" s="668"/>
      <c r="F315" s="667"/>
      <c r="G315" s="667"/>
      <c r="H315" s="667"/>
      <c r="I315" s="667"/>
      <c r="J315" s="667"/>
      <c r="K315" s="667"/>
      <c r="L315" s="667"/>
      <c r="M315" s="667"/>
      <c r="N315" s="667"/>
      <c r="O315" s="667"/>
      <c r="P315" s="667"/>
      <c r="Q315" s="667"/>
    </row>
    <row r="316" ht="15.75" customHeight="1">
      <c r="B316" s="667"/>
      <c r="C316" s="667"/>
      <c r="D316" s="667"/>
      <c r="E316" s="668"/>
      <c r="F316" s="667"/>
      <c r="G316" s="667"/>
      <c r="H316" s="667"/>
      <c r="I316" s="667"/>
      <c r="J316" s="667"/>
      <c r="K316" s="667"/>
      <c r="L316" s="667"/>
      <c r="M316" s="667"/>
      <c r="N316" s="667"/>
      <c r="O316" s="667"/>
      <c r="P316" s="667"/>
      <c r="Q316" s="667"/>
    </row>
    <row r="317" ht="15.75" customHeight="1">
      <c r="B317" s="667"/>
      <c r="C317" s="667"/>
      <c r="D317" s="667"/>
      <c r="E317" s="668"/>
      <c r="F317" s="667"/>
      <c r="G317" s="667"/>
      <c r="H317" s="667"/>
      <c r="I317" s="667"/>
      <c r="J317" s="667"/>
      <c r="K317" s="667"/>
      <c r="L317" s="667"/>
      <c r="M317" s="667"/>
      <c r="N317" s="667"/>
      <c r="O317" s="667"/>
      <c r="P317" s="667"/>
      <c r="Q317" s="667"/>
    </row>
    <row r="318" ht="15.75" customHeight="1">
      <c r="B318" s="667"/>
      <c r="C318" s="667"/>
      <c r="D318" s="667"/>
      <c r="E318" s="668"/>
      <c r="F318" s="667"/>
      <c r="G318" s="667"/>
      <c r="H318" s="667"/>
      <c r="I318" s="667"/>
      <c r="J318" s="667"/>
      <c r="K318" s="667"/>
      <c r="L318" s="667"/>
      <c r="M318" s="667"/>
      <c r="N318" s="667"/>
      <c r="O318" s="667"/>
      <c r="P318" s="667"/>
      <c r="Q318" s="667"/>
    </row>
    <row r="319" ht="15.75" customHeight="1">
      <c r="B319" s="667"/>
      <c r="C319" s="667"/>
      <c r="D319" s="667"/>
      <c r="E319" s="668"/>
      <c r="F319" s="667"/>
      <c r="G319" s="667"/>
      <c r="H319" s="667"/>
      <c r="I319" s="667"/>
      <c r="J319" s="667"/>
      <c r="K319" s="667"/>
      <c r="L319" s="667"/>
      <c r="M319" s="667"/>
      <c r="N319" s="667"/>
      <c r="O319" s="667"/>
      <c r="P319" s="667"/>
      <c r="Q319" s="667"/>
    </row>
    <row r="320" ht="15.75" customHeight="1">
      <c r="B320" s="667"/>
      <c r="C320" s="667"/>
      <c r="D320" s="667"/>
      <c r="E320" s="668"/>
      <c r="F320" s="667"/>
      <c r="G320" s="667"/>
      <c r="H320" s="667"/>
      <c r="I320" s="667"/>
      <c r="J320" s="667"/>
      <c r="K320" s="667"/>
      <c r="L320" s="667"/>
      <c r="M320" s="667"/>
      <c r="N320" s="667"/>
      <c r="O320" s="667"/>
      <c r="P320" s="667"/>
      <c r="Q320" s="667"/>
    </row>
    <row r="321" ht="15.75" customHeight="1">
      <c r="B321" s="667"/>
      <c r="C321" s="667"/>
      <c r="D321" s="667"/>
      <c r="E321" s="668"/>
      <c r="F321" s="667"/>
      <c r="G321" s="667"/>
      <c r="H321" s="667"/>
      <c r="I321" s="667"/>
      <c r="J321" s="667"/>
      <c r="K321" s="667"/>
      <c r="L321" s="667"/>
      <c r="M321" s="667"/>
      <c r="N321" s="667"/>
      <c r="O321" s="667"/>
      <c r="P321" s="667"/>
      <c r="Q321" s="667"/>
    </row>
    <row r="322" ht="15.75" customHeight="1">
      <c r="B322" s="667"/>
      <c r="C322" s="667"/>
      <c r="D322" s="667"/>
      <c r="E322" s="668"/>
      <c r="F322" s="667"/>
      <c r="G322" s="667"/>
      <c r="H322" s="667"/>
      <c r="I322" s="667"/>
      <c r="J322" s="667"/>
      <c r="K322" s="667"/>
      <c r="L322" s="667"/>
      <c r="M322" s="667"/>
      <c r="N322" s="667"/>
      <c r="O322" s="667"/>
      <c r="P322" s="667"/>
      <c r="Q322" s="667"/>
    </row>
    <row r="323" ht="15.75" customHeight="1">
      <c r="B323" s="667"/>
      <c r="C323" s="667"/>
      <c r="D323" s="667"/>
      <c r="E323" s="668"/>
      <c r="F323" s="667"/>
      <c r="G323" s="667"/>
      <c r="H323" s="667"/>
      <c r="I323" s="667"/>
      <c r="J323" s="667"/>
      <c r="K323" s="667"/>
      <c r="L323" s="667"/>
      <c r="M323" s="667"/>
      <c r="N323" s="667"/>
      <c r="O323" s="667"/>
      <c r="P323" s="667"/>
      <c r="Q323" s="667"/>
    </row>
    <row r="324" ht="15.75" customHeight="1">
      <c r="B324" s="667"/>
      <c r="C324" s="667"/>
      <c r="D324" s="667"/>
      <c r="E324" s="668"/>
      <c r="F324" s="667"/>
      <c r="G324" s="667"/>
      <c r="H324" s="667"/>
      <c r="I324" s="667"/>
      <c r="J324" s="667"/>
      <c r="K324" s="667"/>
      <c r="L324" s="667"/>
      <c r="M324" s="667"/>
      <c r="N324" s="667"/>
      <c r="O324" s="667"/>
      <c r="P324" s="667"/>
      <c r="Q324" s="667"/>
    </row>
    <row r="325" ht="15.75" customHeight="1">
      <c r="B325" s="667"/>
      <c r="C325" s="667"/>
      <c r="D325" s="667"/>
      <c r="E325" s="668"/>
      <c r="F325" s="667"/>
      <c r="G325" s="667"/>
      <c r="H325" s="667"/>
      <c r="I325" s="667"/>
      <c r="J325" s="667"/>
      <c r="K325" s="667"/>
      <c r="L325" s="667"/>
      <c r="M325" s="667"/>
      <c r="N325" s="667"/>
      <c r="O325" s="667"/>
      <c r="P325" s="667"/>
      <c r="Q325" s="667"/>
    </row>
    <row r="326" ht="15.75" customHeight="1">
      <c r="B326" s="667"/>
      <c r="C326" s="667"/>
      <c r="D326" s="667"/>
      <c r="E326" s="668"/>
      <c r="F326" s="667"/>
      <c r="G326" s="667"/>
      <c r="H326" s="667"/>
      <c r="I326" s="667"/>
      <c r="J326" s="667"/>
      <c r="K326" s="667"/>
      <c r="L326" s="667"/>
      <c r="M326" s="667"/>
      <c r="N326" s="667"/>
      <c r="O326" s="667"/>
      <c r="P326" s="667"/>
      <c r="Q326" s="667"/>
    </row>
    <row r="327" ht="15.75" customHeight="1">
      <c r="B327" s="667"/>
      <c r="C327" s="667"/>
      <c r="D327" s="667"/>
      <c r="E327" s="668"/>
      <c r="F327" s="667"/>
      <c r="G327" s="667"/>
      <c r="H327" s="667"/>
      <c r="I327" s="667"/>
      <c r="J327" s="667"/>
      <c r="K327" s="667"/>
      <c r="L327" s="667"/>
      <c r="M327" s="667"/>
      <c r="N327" s="667"/>
      <c r="O327" s="667"/>
      <c r="P327" s="667"/>
      <c r="Q327" s="667"/>
    </row>
    <row r="328" ht="15.75" customHeight="1">
      <c r="B328" s="667"/>
      <c r="C328" s="667"/>
      <c r="D328" s="667"/>
      <c r="E328" s="668"/>
      <c r="F328" s="667"/>
      <c r="G328" s="667"/>
      <c r="H328" s="667"/>
      <c r="I328" s="667"/>
      <c r="J328" s="667"/>
      <c r="K328" s="667"/>
      <c r="L328" s="667"/>
      <c r="M328" s="667"/>
      <c r="N328" s="667"/>
      <c r="O328" s="667"/>
      <c r="P328" s="667"/>
      <c r="Q328" s="667"/>
    </row>
    <row r="329" ht="15.75" customHeight="1">
      <c r="B329" s="667"/>
      <c r="C329" s="667"/>
      <c r="D329" s="667"/>
      <c r="E329" s="668"/>
      <c r="F329" s="667"/>
      <c r="G329" s="667"/>
      <c r="H329" s="667"/>
      <c r="I329" s="667"/>
      <c r="J329" s="667"/>
      <c r="K329" s="667"/>
      <c r="L329" s="667"/>
      <c r="M329" s="667"/>
      <c r="N329" s="667"/>
      <c r="O329" s="667"/>
      <c r="P329" s="667"/>
      <c r="Q329" s="667"/>
    </row>
    <row r="330" ht="15.75" customHeight="1">
      <c r="B330" s="667"/>
      <c r="C330" s="667"/>
      <c r="D330" s="667"/>
      <c r="E330" s="668"/>
      <c r="F330" s="667"/>
      <c r="G330" s="667"/>
      <c r="H330" s="667"/>
      <c r="I330" s="667"/>
      <c r="J330" s="667"/>
      <c r="K330" s="667"/>
      <c r="L330" s="667"/>
      <c r="M330" s="667"/>
      <c r="N330" s="667"/>
      <c r="O330" s="667"/>
      <c r="P330" s="667"/>
      <c r="Q330" s="667"/>
    </row>
    <row r="331" ht="15.75" customHeight="1">
      <c r="B331" s="667"/>
      <c r="C331" s="667"/>
      <c r="D331" s="667"/>
      <c r="E331" s="668"/>
      <c r="F331" s="667"/>
      <c r="G331" s="667"/>
      <c r="H331" s="667"/>
      <c r="I331" s="667"/>
      <c r="J331" s="667"/>
      <c r="K331" s="667"/>
      <c r="L331" s="667"/>
      <c r="M331" s="667"/>
      <c r="N331" s="667"/>
      <c r="O331" s="667"/>
      <c r="P331" s="667"/>
      <c r="Q331" s="667"/>
    </row>
    <row r="332" ht="15.75" customHeight="1">
      <c r="B332" s="667"/>
      <c r="C332" s="667"/>
      <c r="D332" s="667"/>
      <c r="E332" s="668"/>
      <c r="F332" s="667"/>
      <c r="G332" s="667"/>
      <c r="H332" s="667"/>
      <c r="I332" s="667"/>
      <c r="J332" s="667"/>
      <c r="K332" s="667"/>
      <c r="L332" s="667"/>
      <c r="M332" s="667"/>
      <c r="N332" s="667"/>
      <c r="O332" s="667"/>
      <c r="P332" s="667"/>
      <c r="Q332" s="667"/>
    </row>
    <row r="333" ht="15.75" customHeight="1">
      <c r="B333" s="667"/>
      <c r="C333" s="667"/>
      <c r="D333" s="667"/>
      <c r="E333" s="668"/>
      <c r="F333" s="667"/>
      <c r="G333" s="667"/>
      <c r="H333" s="667"/>
      <c r="I333" s="667"/>
      <c r="J333" s="667"/>
      <c r="K333" s="667"/>
      <c r="L333" s="667"/>
      <c r="M333" s="667"/>
      <c r="N333" s="667"/>
      <c r="O333" s="667"/>
      <c r="P333" s="667"/>
      <c r="Q333" s="667"/>
    </row>
    <row r="334" ht="15.75" customHeight="1">
      <c r="B334" s="667"/>
      <c r="C334" s="667"/>
      <c r="D334" s="667"/>
      <c r="E334" s="668"/>
      <c r="F334" s="667"/>
      <c r="G334" s="667"/>
      <c r="H334" s="667"/>
      <c r="I334" s="667"/>
      <c r="J334" s="667"/>
      <c r="K334" s="667"/>
      <c r="L334" s="667"/>
      <c r="M334" s="667"/>
      <c r="N334" s="667"/>
      <c r="O334" s="667"/>
      <c r="P334" s="667"/>
      <c r="Q334" s="667"/>
    </row>
    <row r="335" ht="15.75" customHeight="1">
      <c r="B335" s="667"/>
      <c r="C335" s="667"/>
      <c r="D335" s="667"/>
      <c r="E335" s="668"/>
      <c r="F335" s="667"/>
      <c r="G335" s="667"/>
      <c r="H335" s="667"/>
      <c r="I335" s="667"/>
      <c r="J335" s="667"/>
      <c r="K335" s="667"/>
      <c r="L335" s="667"/>
      <c r="M335" s="667"/>
      <c r="N335" s="667"/>
      <c r="O335" s="667"/>
      <c r="P335" s="667"/>
      <c r="Q335" s="667"/>
    </row>
    <row r="336" ht="15.75" customHeight="1">
      <c r="B336" s="667"/>
      <c r="C336" s="667"/>
      <c r="D336" s="667"/>
      <c r="E336" s="668"/>
      <c r="F336" s="667"/>
      <c r="G336" s="667"/>
      <c r="H336" s="667"/>
      <c r="I336" s="667"/>
      <c r="J336" s="667"/>
      <c r="K336" s="667"/>
      <c r="L336" s="667"/>
      <c r="M336" s="667"/>
      <c r="N336" s="667"/>
      <c r="O336" s="667"/>
      <c r="P336" s="667"/>
      <c r="Q336" s="667"/>
    </row>
    <row r="337" ht="15.75" customHeight="1">
      <c r="B337" s="667"/>
      <c r="C337" s="667"/>
      <c r="D337" s="667"/>
      <c r="E337" s="668"/>
      <c r="F337" s="667"/>
      <c r="G337" s="667"/>
      <c r="H337" s="667"/>
      <c r="I337" s="667"/>
      <c r="J337" s="667"/>
      <c r="K337" s="667"/>
      <c r="L337" s="667"/>
      <c r="M337" s="667"/>
      <c r="N337" s="667"/>
      <c r="O337" s="667"/>
      <c r="P337" s="667"/>
      <c r="Q337" s="667"/>
    </row>
    <row r="338" ht="15.75" customHeight="1">
      <c r="B338" s="667"/>
      <c r="C338" s="667"/>
      <c r="D338" s="667"/>
      <c r="E338" s="668"/>
      <c r="F338" s="667"/>
      <c r="G338" s="667"/>
      <c r="H338" s="667"/>
      <c r="I338" s="667"/>
      <c r="J338" s="667"/>
      <c r="K338" s="667"/>
      <c r="L338" s="667"/>
      <c r="M338" s="667"/>
      <c r="N338" s="667"/>
      <c r="O338" s="667"/>
      <c r="P338" s="667"/>
      <c r="Q338" s="667"/>
    </row>
    <row r="339" ht="15.75" customHeight="1">
      <c r="B339" s="667"/>
      <c r="C339" s="667"/>
      <c r="D339" s="667"/>
      <c r="E339" s="668"/>
      <c r="F339" s="667"/>
      <c r="G339" s="667"/>
      <c r="H339" s="667"/>
      <c r="I339" s="667"/>
      <c r="J339" s="667"/>
      <c r="K339" s="667"/>
      <c r="L339" s="667"/>
      <c r="M339" s="667"/>
      <c r="N339" s="667"/>
      <c r="O339" s="667"/>
      <c r="P339" s="667"/>
      <c r="Q339" s="667"/>
    </row>
    <row r="340" ht="15.75" customHeight="1">
      <c r="B340" s="667"/>
      <c r="C340" s="667"/>
      <c r="D340" s="667"/>
      <c r="E340" s="668"/>
      <c r="F340" s="667"/>
      <c r="G340" s="667"/>
      <c r="H340" s="667"/>
      <c r="I340" s="667"/>
      <c r="J340" s="667"/>
      <c r="K340" s="667"/>
      <c r="L340" s="667"/>
      <c r="M340" s="667"/>
      <c r="N340" s="667"/>
      <c r="O340" s="667"/>
      <c r="P340" s="667"/>
      <c r="Q340" s="667"/>
    </row>
    <row r="341" ht="15.75" customHeight="1">
      <c r="B341" s="667"/>
      <c r="C341" s="667"/>
      <c r="D341" s="667"/>
      <c r="E341" s="668"/>
      <c r="F341" s="667"/>
      <c r="G341" s="667"/>
      <c r="H341" s="667"/>
      <c r="I341" s="667"/>
      <c r="J341" s="667"/>
      <c r="K341" s="667"/>
      <c r="L341" s="667"/>
      <c r="M341" s="667"/>
      <c r="N341" s="667"/>
      <c r="O341" s="667"/>
      <c r="P341" s="667"/>
      <c r="Q341" s="667"/>
    </row>
    <row r="342" ht="15.75" customHeight="1">
      <c r="B342" s="667"/>
      <c r="C342" s="667"/>
      <c r="D342" s="667"/>
      <c r="E342" s="668"/>
      <c r="F342" s="667"/>
      <c r="G342" s="667"/>
      <c r="H342" s="667"/>
      <c r="I342" s="667"/>
      <c r="J342" s="667"/>
      <c r="K342" s="667"/>
      <c r="L342" s="667"/>
      <c r="M342" s="667"/>
      <c r="N342" s="667"/>
      <c r="O342" s="667"/>
      <c r="P342" s="667"/>
      <c r="Q342" s="667"/>
    </row>
    <row r="343" ht="15.75" customHeight="1">
      <c r="B343" s="667"/>
      <c r="C343" s="667"/>
      <c r="D343" s="667"/>
      <c r="E343" s="668"/>
      <c r="F343" s="667"/>
      <c r="G343" s="667"/>
      <c r="H343" s="667"/>
      <c r="I343" s="667"/>
      <c r="J343" s="667"/>
      <c r="K343" s="667"/>
      <c r="L343" s="667"/>
      <c r="M343" s="667"/>
      <c r="N343" s="667"/>
      <c r="O343" s="667"/>
      <c r="P343" s="667"/>
      <c r="Q343" s="667"/>
    </row>
    <row r="344" ht="15.75" customHeight="1">
      <c r="B344" s="667"/>
      <c r="C344" s="667"/>
      <c r="D344" s="667"/>
      <c r="E344" s="668"/>
      <c r="F344" s="667"/>
      <c r="G344" s="667"/>
      <c r="H344" s="667"/>
      <c r="I344" s="667"/>
      <c r="J344" s="667"/>
      <c r="K344" s="667"/>
      <c r="L344" s="667"/>
      <c r="M344" s="667"/>
      <c r="N344" s="667"/>
      <c r="O344" s="667"/>
      <c r="P344" s="667"/>
      <c r="Q344" s="667"/>
    </row>
    <row r="345" ht="15.75" customHeight="1">
      <c r="B345" s="667"/>
      <c r="C345" s="667"/>
      <c r="D345" s="667"/>
      <c r="E345" s="668"/>
      <c r="F345" s="667"/>
      <c r="G345" s="667"/>
      <c r="H345" s="667"/>
      <c r="I345" s="667"/>
      <c r="J345" s="667"/>
      <c r="K345" s="667"/>
      <c r="L345" s="667"/>
      <c r="M345" s="667"/>
      <c r="N345" s="667"/>
      <c r="O345" s="667"/>
      <c r="P345" s="667"/>
      <c r="Q345" s="667"/>
    </row>
    <row r="346" ht="15.75" customHeight="1">
      <c r="B346" s="667"/>
      <c r="C346" s="667"/>
      <c r="D346" s="667"/>
      <c r="E346" s="668"/>
      <c r="F346" s="667"/>
      <c r="G346" s="667"/>
      <c r="H346" s="667"/>
      <c r="I346" s="667"/>
      <c r="J346" s="667"/>
      <c r="K346" s="667"/>
      <c r="L346" s="667"/>
      <c r="M346" s="667"/>
      <c r="N346" s="667"/>
      <c r="O346" s="667"/>
      <c r="P346" s="667"/>
      <c r="Q346" s="667"/>
    </row>
    <row r="347" ht="15.75" customHeight="1">
      <c r="B347" s="667"/>
      <c r="C347" s="667"/>
      <c r="D347" s="667"/>
      <c r="E347" s="668"/>
      <c r="F347" s="667"/>
      <c r="G347" s="667"/>
      <c r="H347" s="667"/>
      <c r="I347" s="667"/>
      <c r="J347" s="667"/>
      <c r="K347" s="667"/>
      <c r="L347" s="667"/>
      <c r="M347" s="667"/>
      <c r="N347" s="667"/>
      <c r="O347" s="667"/>
      <c r="P347" s="667"/>
      <c r="Q347" s="667"/>
    </row>
    <row r="348" ht="15.75" customHeight="1">
      <c r="B348" s="667"/>
      <c r="C348" s="667"/>
      <c r="D348" s="667"/>
      <c r="E348" s="668"/>
      <c r="F348" s="667"/>
      <c r="G348" s="667"/>
      <c r="H348" s="667"/>
      <c r="I348" s="667"/>
      <c r="J348" s="667"/>
      <c r="K348" s="667"/>
      <c r="L348" s="667"/>
      <c r="M348" s="667"/>
      <c r="N348" s="667"/>
      <c r="O348" s="667"/>
      <c r="P348" s="667"/>
      <c r="Q348" s="667"/>
    </row>
    <row r="349" ht="15.75" customHeight="1">
      <c r="B349" s="667"/>
      <c r="C349" s="667"/>
      <c r="D349" s="667"/>
      <c r="E349" s="668"/>
      <c r="F349" s="667"/>
      <c r="G349" s="667"/>
      <c r="H349" s="667"/>
      <c r="I349" s="667"/>
      <c r="J349" s="667"/>
      <c r="K349" s="667"/>
      <c r="L349" s="667"/>
      <c r="M349" s="667"/>
      <c r="N349" s="667"/>
      <c r="O349" s="667"/>
      <c r="P349" s="667"/>
      <c r="Q349" s="667"/>
    </row>
    <row r="350" ht="15.75" customHeight="1">
      <c r="B350" s="667"/>
      <c r="C350" s="667"/>
      <c r="D350" s="667"/>
      <c r="E350" s="668"/>
      <c r="F350" s="667"/>
      <c r="G350" s="667"/>
      <c r="H350" s="667"/>
      <c r="I350" s="667"/>
      <c r="J350" s="667"/>
      <c r="K350" s="667"/>
      <c r="L350" s="667"/>
      <c r="M350" s="667"/>
      <c r="N350" s="667"/>
      <c r="O350" s="667"/>
      <c r="P350" s="667"/>
      <c r="Q350" s="667"/>
    </row>
    <row r="351" ht="15.75" customHeight="1">
      <c r="B351" s="667"/>
      <c r="C351" s="667"/>
      <c r="D351" s="667"/>
      <c r="E351" s="668"/>
      <c r="F351" s="667"/>
      <c r="G351" s="667"/>
      <c r="H351" s="667"/>
      <c r="I351" s="667"/>
      <c r="J351" s="667"/>
      <c r="K351" s="667"/>
      <c r="L351" s="667"/>
      <c r="M351" s="667"/>
      <c r="N351" s="667"/>
      <c r="O351" s="667"/>
      <c r="P351" s="667"/>
      <c r="Q351" s="667"/>
    </row>
    <row r="352" ht="15.75" customHeight="1">
      <c r="B352" s="667"/>
      <c r="C352" s="667"/>
      <c r="D352" s="667"/>
      <c r="E352" s="668"/>
      <c r="F352" s="667"/>
      <c r="G352" s="667"/>
      <c r="H352" s="667"/>
      <c r="I352" s="667"/>
      <c r="J352" s="667"/>
      <c r="K352" s="667"/>
      <c r="L352" s="667"/>
      <c r="M352" s="667"/>
      <c r="N352" s="667"/>
      <c r="O352" s="667"/>
      <c r="P352" s="667"/>
      <c r="Q352" s="667"/>
    </row>
    <row r="353" ht="15.75" customHeight="1">
      <c r="B353" s="667"/>
      <c r="C353" s="667"/>
      <c r="D353" s="667"/>
      <c r="E353" s="668"/>
      <c r="F353" s="667"/>
      <c r="G353" s="667"/>
      <c r="H353" s="667"/>
      <c r="I353" s="667"/>
      <c r="J353" s="667"/>
      <c r="K353" s="667"/>
      <c r="L353" s="667"/>
      <c r="M353" s="667"/>
      <c r="N353" s="667"/>
      <c r="O353" s="667"/>
      <c r="P353" s="667"/>
      <c r="Q353" s="667"/>
    </row>
    <row r="354" ht="15.75" customHeight="1">
      <c r="B354" s="667"/>
      <c r="C354" s="667"/>
      <c r="D354" s="667"/>
      <c r="E354" s="668"/>
      <c r="F354" s="667"/>
      <c r="G354" s="667"/>
      <c r="H354" s="667"/>
      <c r="I354" s="667"/>
      <c r="J354" s="667"/>
      <c r="K354" s="667"/>
      <c r="L354" s="667"/>
      <c r="M354" s="667"/>
      <c r="N354" s="667"/>
      <c r="O354" s="667"/>
      <c r="P354" s="667"/>
      <c r="Q354" s="667"/>
    </row>
    <row r="355" ht="15.75" customHeight="1">
      <c r="B355" s="667"/>
      <c r="C355" s="667"/>
      <c r="D355" s="667"/>
      <c r="E355" s="668"/>
      <c r="F355" s="667"/>
      <c r="G355" s="667"/>
      <c r="H355" s="667"/>
      <c r="I355" s="667"/>
      <c r="J355" s="667"/>
      <c r="K355" s="667"/>
      <c r="L355" s="667"/>
      <c r="M355" s="667"/>
      <c r="N355" s="667"/>
      <c r="O355" s="667"/>
      <c r="P355" s="667"/>
      <c r="Q355" s="667"/>
    </row>
    <row r="356" ht="15.75" customHeight="1">
      <c r="B356" s="667"/>
      <c r="C356" s="667"/>
      <c r="D356" s="667"/>
      <c r="E356" s="668"/>
      <c r="F356" s="667"/>
      <c r="G356" s="667"/>
      <c r="H356" s="667"/>
      <c r="I356" s="667"/>
      <c r="J356" s="667"/>
      <c r="K356" s="667"/>
      <c r="L356" s="667"/>
      <c r="M356" s="667"/>
      <c r="N356" s="667"/>
      <c r="O356" s="667"/>
      <c r="P356" s="667"/>
      <c r="Q356" s="667"/>
    </row>
    <row r="357" ht="15.75" customHeight="1">
      <c r="B357" s="667"/>
      <c r="C357" s="667"/>
      <c r="D357" s="667"/>
      <c r="E357" s="668"/>
      <c r="F357" s="667"/>
      <c r="G357" s="667"/>
      <c r="H357" s="667"/>
      <c r="I357" s="667"/>
      <c r="J357" s="667"/>
      <c r="K357" s="667"/>
      <c r="L357" s="667"/>
      <c r="M357" s="667"/>
      <c r="N357" s="667"/>
      <c r="O357" s="667"/>
      <c r="P357" s="667"/>
      <c r="Q357" s="667"/>
    </row>
    <row r="358" ht="15.75" customHeight="1">
      <c r="B358" s="667"/>
      <c r="C358" s="667"/>
      <c r="D358" s="667"/>
      <c r="E358" s="668"/>
      <c r="F358" s="667"/>
      <c r="G358" s="667"/>
      <c r="H358" s="667"/>
      <c r="I358" s="667"/>
      <c r="J358" s="667"/>
      <c r="K358" s="667"/>
      <c r="L358" s="667"/>
      <c r="M358" s="667"/>
      <c r="N358" s="667"/>
      <c r="O358" s="667"/>
      <c r="P358" s="667"/>
      <c r="Q358" s="667"/>
    </row>
    <row r="359" ht="15.75" customHeight="1">
      <c r="B359" s="667"/>
      <c r="C359" s="667"/>
      <c r="D359" s="667"/>
      <c r="E359" s="668"/>
      <c r="F359" s="667"/>
      <c r="G359" s="667"/>
      <c r="H359" s="667"/>
      <c r="I359" s="667"/>
      <c r="J359" s="667"/>
      <c r="K359" s="667"/>
      <c r="L359" s="667"/>
      <c r="M359" s="667"/>
      <c r="N359" s="667"/>
      <c r="O359" s="667"/>
      <c r="P359" s="667"/>
      <c r="Q359" s="667"/>
    </row>
    <row r="360" ht="15.75" customHeight="1">
      <c r="B360" s="667"/>
      <c r="C360" s="667"/>
      <c r="D360" s="667"/>
      <c r="E360" s="668"/>
      <c r="F360" s="667"/>
      <c r="G360" s="667"/>
      <c r="H360" s="667"/>
      <c r="I360" s="667"/>
      <c r="J360" s="667"/>
      <c r="K360" s="667"/>
      <c r="L360" s="667"/>
      <c r="M360" s="667"/>
      <c r="N360" s="667"/>
      <c r="O360" s="667"/>
      <c r="P360" s="667"/>
      <c r="Q360" s="667"/>
    </row>
    <row r="361" ht="15.75" customHeight="1">
      <c r="B361" s="667"/>
      <c r="C361" s="667"/>
      <c r="D361" s="667"/>
      <c r="E361" s="668"/>
      <c r="F361" s="667"/>
      <c r="G361" s="667"/>
      <c r="H361" s="667"/>
      <c r="I361" s="667"/>
      <c r="J361" s="667"/>
      <c r="K361" s="667"/>
      <c r="L361" s="667"/>
      <c r="M361" s="667"/>
      <c r="N361" s="667"/>
      <c r="O361" s="667"/>
      <c r="P361" s="667"/>
      <c r="Q361" s="667"/>
    </row>
    <row r="362" ht="15.75" customHeight="1">
      <c r="B362" s="667"/>
      <c r="C362" s="667"/>
      <c r="D362" s="667"/>
      <c r="E362" s="668"/>
      <c r="F362" s="667"/>
      <c r="G362" s="667"/>
      <c r="H362" s="667"/>
      <c r="I362" s="667"/>
      <c r="J362" s="667"/>
      <c r="K362" s="667"/>
      <c r="L362" s="667"/>
      <c r="M362" s="667"/>
      <c r="N362" s="667"/>
      <c r="O362" s="667"/>
      <c r="P362" s="667"/>
      <c r="Q362" s="667"/>
    </row>
    <row r="363" ht="15.75" customHeight="1">
      <c r="B363" s="667"/>
      <c r="C363" s="667"/>
      <c r="D363" s="667"/>
      <c r="E363" s="668"/>
      <c r="F363" s="667"/>
      <c r="G363" s="667"/>
      <c r="H363" s="667"/>
      <c r="I363" s="667"/>
      <c r="J363" s="667"/>
      <c r="K363" s="667"/>
      <c r="L363" s="667"/>
      <c r="M363" s="667"/>
      <c r="N363" s="667"/>
      <c r="O363" s="667"/>
      <c r="P363" s="667"/>
      <c r="Q363" s="667"/>
    </row>
    <row r="364" ht="15.75" customHeight="1">
      <c r="B364" s="667"/>
      <c r="C364" s="667"/>
      <c r="D364" s="667"/>
      <c r="E364" s="668"/>
      <c r="F364" s="667"/>
      <c r="G364" s="667"/>
      <c r="H364" s="667"/>
      <c r="I364" s="667"/>
      <c r="J364" s="667"/>
      <c r="K364" s="667"/>
      <c r="L364" s="667"/>
      <c r="M364" s="667"/>
      <c r="N364" s="667"/>
      <c r="O364" s="667"/>
      <c r="P364" s="667"/>
      <c r="Q364" s="667"/>
    </row>
    <row r="365" ht="15.75" customHeight="1">
      <c r="B365" s="667"/>
      <c r="C365" s="667"/>
      <c r="D365" s="667"/>
      <c r="E365" s="668"/>
      <c r="F365" s="667"/>
      <c r="G365" s="667"/>
      <c r="H365" s="667"/>
      <c r="I365" s="667"/>
      <c r="J365" s="667"/>
      <c r="K365" s="667"/>
      <c r="L365" s="667"/>
      <c r="M365" s="667"/>
      <c r="N365" s="667"/>
      <c r="O365" s="667"/>
      <c r="P365" s="667"/>
      <c r="Q365" s="667"/>
    </row>
    <row r="366" ht="15.75" customHeight="1">
      <c r="B366" s="667"/>
      <c r="C366" s="667"/>
      <c r="D366" s="667"/>
      <c r="E366" s="668"/>
      <c r="F366" s="667"/>
      <c r="G366" s="667"/>
      <c r="H366" s="667"/>
      <c r="I366" s="667"/>
      <c r="J366" s="667"/>
      <c r="K366" s="667"/>
      <c r="L366" s="667"/>
      <c r="M366" s="667"/>
      <c r="N366" s="667"/>
      <c r="O366" s="667"/>
      <c r="P366" s="667"/>
      <c r="Q366" s="667"/>
    </row>
    <row r="367" ht="15.75" customHeight="1">
      <c r="B367" s="667"/>
      <c r="C367" s="667"/>
      <c r="D367" s="667"/>
      <c r="E367" s="668"/>
      <c r="F367" s="667"/>
      <c r="G367" s="667"/>
      <c r="H367" s="667"/>
      <c r="I367" s="667"/>
      <c r="J367" s="667"/>
      <c r="K367" s="667"/>
      <c r="L367" s="667"/>
      <c r="M367" s="667"/>
      <c r="N367" s="667"/>
      <c r="O367" s="667"/>
      <c r="P367" s="667"/>
      <c r="Q367" s="667"/>
    </row>
    <row r="368" ht="15.75" customHeight="1">
      <c r="B368" s="667"/>
      <c r="C368" s="667"/>
      <c r="D368" s="667"/>
      <c r="E368" s="668"/>
      <c r="F368" s="667"/>
      <c r="G368" s="667"/>
      <c r="H368" s="667"/>
      <c r="I368" s="667"/>
      <c r="J368" s="667"/>
      <c r="K368" s="667"/>
      <c r="L368" s="667"/>
      <c r="M368" s="667"/>
      <c r="N368" s="667"/>
      <c r="O368" s="667"/>
      <c r="P368" s="667"/>
      <c r="Q368" s="667"/>
    </row>
    <row r="369" ht="15.75" customHeight="1">
      <c r="B369" s="667"/>
      <c r="C369" s="667"/>
      <c r="D369" s="667"/>
      <c r="E369" s="668"/>
      <c r="F369" s="667"/>
      <c r="G369" s="667"/>
      <c r="H369" s="667"/>
      <c r="I369" s="667"/>
      <c r="J369" s="667"/>
      <c r="K369" s="667"/>
      <c r="L369" s="667"/>
      <c r="M369" s="667"/>
      <c r="N369" s="667"/>
      <c r="O369" s="667"/>
      <c r="P369" s="667"/>
      <c r="Q369" s="667"/>
    </row>
    <row r="370" ht="15.75" customHeight="1">
      <c r="B370" s="667"/>
      <c r="C370" s="667"/>
      <c r="D370" s="667"/>
      <c r="E370" s="668"/>
      <c r="F370" s="667"/>
      <c r="G370" s="667"/>
      <c r="H370" s="667"/>
      <c r="I370" s="667"/>
      <c r="J370" s="667"/>
      <c r="K370" s="667"/>
      <c r="L370" s="667"/>
      <c r="M370" s="667"/>
      <c r="N370" s="667"/>
      <c r="O370" s="667"/>
      <c r="P370" s="667"/>
      <c r="Q370" s="667"/>
    </row>
    <row r="371" ht="15.75" customHeight="1">
      <c r="B371" s="667"/>
      <c r="C371" s="667"/>
      <c r="D371" s="667"/>
      <c r="E371" s="668"/>
      <c r="F371" s="667"/>
      <c r="G371" s="667"/>
      <c r="H371" s="667"/>
      <c r="I371" s="667"/>
      <c r="J371" s="667"/>
      <c r="K371" s="667"/>
      <c r="L371" s="667"/>
      <c r="M371" s="667"/>
      <c r="N371" s="667"/>
      <c r="O371" s="667"/>
      <c r="P371" s="667"/>
      <c r="Q371" s="667"/>
    </row>
    <row r="372" ht="15.75" customHeight="1">
      <c r="B372" s="667"/>
      <c r="C372" s="667"/>
      <c r="D372" s="667"/>
      <c r="E372" s="668"/>
      <c r="F372" s="667"/>
      <c r="G372" s="667"/>
      <c r="H372" s="667"/>
      <c r="I372" s="667"/>
      <c r="J372" s="667"/>
      <c r="K372" s="667"/>
      <c r="L372" s="667"/>
      <c r="M372" s="667"/>
      <c r="N372" s="667"/>
      <c r="O372" s="667"/>
      <c r="P372" s="667"/>
      <c r="Q372" s="667"/>
    </row>
    <row r="373" ht="15.75" customHeight="1">
      <c r="B373" s="667"/>
      <c r="C373" s="667"/>
      <c r="D373" s="667"/>
      <c r="E373" s="668"/>
      <c r="F373" s="667"/>
      <c r="G373" s="667"/>
      <c r="H373" s="667"/>
      <c r="I373" s="667"/>
      <c r="J373" s="667"/>
      <c r="K373" s="667"/>
      <c r="L373" s="667"/>
      <c r="M373" s="667"/>
      <c r="N373" s="667"/>
      <c r="O373" s="667"/>
      <c r="P373" s="667"/>
      <c r="Q373" s="667"/>
    </row>
    <row r="374" ht="15.75" customHeight="1">
      <c r="B374" s="667"/>
      <c r="C374" s="667"/>
      <c r="D374" s="667"/>
      <c r="E374" s="668"/>
      <c r="F374" s="667"/>
      <c r="G374" s="667"/>
      <c r="H374" s="667"/>
      <c r="I374" s="667"/>
      <c r="J374" s="667"/>
      <c r="K374" s="667"/>
      <c r="L374" s="667"/>
      <c r="M374" s="667"/>
      <c r="N374" s="667"/>
      <c r="O374" s="667"/>
      <c r="P374" s="667"/>
      <c r="Q374" s="667"/>
    </row>
    <row r="375" ht="15.75" customHeight="1">
      <c r="B375" s="667"/>
      <c r="C375" s="667"/>
      <c r="D375" s="667"/>
      <c r="E375" s="668"/>
      <c r="F375" s="667"/>
      <c r="G375" s="667"/>
      <c r="H375" s="667"/>
      <c r="I375" s="667"/>
      <c r="J375" s="667"/>
      <c r="K375" s="667"/>
      <c r="L375" s="667"/>
      <c r="M375" s="667"/>
      <c r="N375" s="667"/>
      <c r="O375" s="667"/>
      <c r="P375" s="667"/>
      <c r="Q375" s="667"/>
    </row>
    <row r="376" ht="15.75" customHeight="1">
      <c r="B376" s="667"/>
      <c r="C376" s="667"/>
      <c r="D376" s="667"/>
      <c r="E376" s="668"/>
      <c r="F376" s="667"/>
      <c r="G376" s="667"/>
      <c r="H376" s="667"/>
      <c r="I376" s="667"/>
      <c r="J376" s="667"/>
      <c r="K376" s="667"/>
      <c r="L376" s="667"/>
      <c r="M376" s="667"/>
      <c r="N376" s="667"/>
      <c r="O376" s="667"/>
      <c r="P376" s="667"/>
      <c r="Q376" s="667"/>
    </row>
    <row r="377" ht="15.75" customHeight="1">
      <c r="B377" s="667"/>
      <c r="C377" s="667"/>
      <c r="D377" s="667"/>
      <c r="E377" s="668"/>
      <c r="F377" s="667"/>
      <c r="G377" s="667"/>
      <c r="H377" s="667"/>
      <c r="I377" s="667"/>
      <c r="J377" s="667"/>
      <c r="K377" s="667"/>
      <c r="L377" s="667"/>
      <c r="M377" s="667"/>
      <c r="N377" s="667"/>
      <c r="O377" s="667"/>
      <c r="P377" s="667"/>
      <c r="Q377" s="667"/>
    </row>
    <row r="378" ht="15.75" customHeight="1">
      <c r="B378" s="667"/>
      <c r="C378" s="667"/>
      <c r="D378" s="667"/>
      <c r="E378" s="668"/>
      <c r="F378" s="667"/>
      <c r="G378" s="667"/>
      <c r="H378" s="667"/>
      <c r="I378" s="667"/>
      <c r="J378" s="667"/>
      <c r="K378" s="667"/>
      <c r="L378" s="667"/>
      <c r="M378" s="667"/>
      <c r="N378" s="667"/>
      <c r="O378" s="667"/>
      <c r="P378" s="667"/>
      <c r="Q378" s="667"/>
    </row>
    <row r="379" ht="15.75" customHeight="1">
      <c r="B379" s="667"/>
      <c r="C379" s="667"/>
      <c r="D379" s="667"/>
      <c r="E379" s="668"/>
      <c r="F379" s="667"/>
      <c r="G379" s="667"/>
      <c r="H379" s="667"/>
      <c r="I379" s="667"/>
      <c r="J379" s="667"/>
      <c r="K379" s="667"/>
      <c r="L379" s="667"/>
      <c r="M379" s="667"/>
      <c r="N379" s="667"/>
      <c r="O379" s="667"/>
      <c r="P379" s="667"/>
      <c r="Q379" s="667"/>
    </row>
    <row r="380" ht="15.75" customHeight="1">
      <c r="B380" s="667"/>
      <c r="C380" s="667"/>
      <c r="D380" s="667"/>
      <c r="E380" s="668"/>
      <c r="F380" s="667"/>
      <c r="G380" s="667"/>
      <c r="H380" s="667"/>
      <c r="I380" s="667"/>
      <c r="J380" s="667"/>
      <c r="K380" s="667"/>
      <c r="L380" s="667"/>
      <c r="M380" s="667"/>
      <c r="N380" s="667"/>
      <c r="O380" s="667"/>
      <c r="P380" s="667"/>
      <c r="Q380" s="667"/>
    </row>
    <row r="381" ht="15.75" customHeight="1">
      <c r="B381" s="667"/>
      <c r="C381" s="667"/>
      <c r="D381" s="667"/>
      <c r="E381" s="668"/>
      <c r="F381" s="667"/>
      <c r="G381" s="667"/>
      <c r="H381" s="667"/>
      <c r="I381" s="667"/>
      <c r="J381" s="667"/>
      <c r="K381" s="667"/>
      <c r="L381" s="667"/>
      <c r="M381" s="667"/>
      <c r="N381" s="667"/>
      <c r="O381" s="667"/>
      <c r="P381" s="667"/>
      <c r="Q381" s="667"/>
    </row>
    <row r="382" ht="15.75" customHeight="1">
      <c r="B382" s="667"/>
      <c r="C382" s="667"/>
      <c r="D382" s="667"/>
      <c r="E382" s="668"/>
      <c r="F382" s="667"/>
      <c r="G382" s="667"/>
      <c r="H382" s="667"/>
      <c r="I382" s="667"/>
      <c r="J382" s="667"/>
      <c r="K382" s="667"/>
      <c r="L382" s="667"/>
      <c r="M382" s="667"/>
      <c r="N382" s="667"/>
      <c r="O382" s="667"/>
      <c r="P382" s="667"/>
      <c r="Q382" s="667"/>
    </row>
    <row r="383" ht="15.75" customHeight="1">
      <c r="B383" s="667"/>
      <c r="C383" s="667"/>
      <c r="D383" s="667"/>
      <c r="E383" s="668"/>
      <c r="F383" s="667"/>
      <c r="G383" s="667"/>
      <c r="H383" s="667"/>
      <c r="I383" s="667"/>
      <c r="J383" s="667"/>
      <c r="K383" s="667"/>
      <c r="L383" s="667"/>
      <c r="M383" s="667"/>
      <c r="N383" s="667"/>
      <c r="O383" s="667"/>
      <c r="P383" s="667"/>
      <c r="Q383" s="667"/>
    </row>
    <row r="384" ht="15.75" customHeight="1">
      <c r="B384" s="667"/>
      <c r="C384" s="667"/>
      <c r="D384" s="667"/>
      <c r="E384" s="668"/>
      <c r="F384" s="667"/>
      <c r="G384" s="667"/>
      <c r="H384" s="667"/>
      <c r="I384" s="667"/>
      <c r="J384" s="667"/>
      <c r="K384" s="667"/>
      <c r="L384" s="667"/>
      <c r="M384" s="667"/>
      <c r="N384" s="667"/>
      <c r="O384" s="667"/>
      <c r="P384" s="667"/>
      <c r="Q384" s="667"/>
    </row>
    <row r="385" ht="15.75" customHeight="1">
      <c r="B385" s="667"/>
      <c r="C385" s="667"/>
      <c r="D385" s="667"/>
      <c r="E385" s="668"/>
      <c r="F385" s="667"/>
      <c r="G385" s="667"/>
      <c r="H385" s="667"/>
      <c r="I385" s="667"/>
      <c r="J385" s="667"/>
      <c r="K385" s="667"/>
      <c r="L385" s="667"/>
      <c r="M385" s="667"/>
      <c r="N385" s="667"/>
      <c r="O385" s="667"/>
      <c r="P385" s="667"/>
      <c r="Q385" s="667"/>
    </row>
    <row r="386" ht="15.75" customHeight="1">
      <c r="B386" s="667"/>
      <c r="C386" s="667"/>
      <c r="D386" s="667"/>
      <c r="E386" s="668"/>
      <c r="F386" s="667"/>
      <c r="G386" s="667"/>
      <c r="H386" s="667"/>
      <c r="I386" s="667"/>
      <c r="J386" s="667"/>
      <c r="K386" s="667"/>
      <c r="L386" s="667"/>
      <c r="M386" s="667"/>
      <c r="N386" s="667"/>
      <c r="O386" s="667"/>
      <c r="P386" s="667"/>
      <c r="Q386" s="667"/>
    </row>
    <row r="387" ht="15.75" customHeight="1">
      <c r="B387" s="667"/>
      <c r="C387" s="667"/>
      <c r="D387" s="667"/>
      <c r="E387" s="668"/>
      <c r="F387" s="667"/>
      <c r="G387" s="667"/>
      <c r="H387" s="667"/>
      <c r="I387" s="667"/>
      <c r="J387" s="667"/>
      <c r="K387" s="667"/>
      <c r="L387" s="667"/>
      <c r="M387" s="667"/>
      <c r="N387" s="667"/>
      <c r="O387" s="667"/>
      <c r="P387" s="667"/>
      <c r="Q387" s="667"/>
    </row>
    <row r="388" ht="15.75" customHeight="1">
      <c r="B388" s="667"/>
      <c r="C388" s="667"/>
      <c r="D388" s="667"/>
      <c r="E388" s="668"/>
      <c r="F388" s="667"/>
      <c r="G388" s="667"/>
      <c r="H388" s="667"/>
      <c r="I388" s="667"/>
      <c r="J388" s="667"/>
      <c r="K388" s="667"/>
      <c r="L388" s="667"/>
      <c r="M388" s="667"/>
      <c r="N388" s="667"/>
      <c r="O388" s="667"/>
      <c r="P388" s="667"/>
      <c r="Q388" s="667"/>
    </row>
    <row r="389" ht="15.75" customHeight="1">
      <c r="B389" s="667"/>
      <c r="C389" s="667"/>
      <c r="D389" s="667"/>
      <c r="E389" s="668"/>
      <c r="F389" s="667"/>
      <c r="G389" s="667"/>
      <c r="H389" s="667"/>
      <c r="I389" s="667"/>
      <c r="J389" s="667"/>
      <c r="K389" s="667"/>
      <c r="L389" s="667"/>
      <c r="M389" s="667"/>
      <c r="N389" s="667"/>
      <c r="O389" s="667"/>
      <c r="P389" s="667"/>
      <c r="Q389" s="667"/>
    </row>
    <row r="390" ht="15.75" customHeight="1">
      <c r="B390" s="667"/>
      <c r="C390" s="667"/>
      <c r="D390" s="667"/>
      <c r="E390" s="668"/>
      <c r="F390" s="667"/>
      <c r="G390" s="667"/>
      <c r="H390" s="667"/>
      <c r="I390" s="667"/>
      <c r="J390" s="667"/>
      <c r="K390" s="667"/>
      <c r="L390" s="667"/>
      <c r="M390" s="667"/>
      <c r="N390" s="667"/>
      <c r="O390" s="667"/>
      <c r="P390" s="667"/>
      <c r="Q390" s="667"/>
    </row>
    <row r="391" ht="15.75" customHeight="1">
      <c r="B391" s="667"/>
      <c r="C391" s="667"/>
      <c r="D391" s="667"/>
      <c r="E391" s="668"/>
      <c r="F391" s="667"/>
      <c r="G391" s="667"/>
      <c r="H391" s="667"/>
      <c r="I391" s="667"/>
      <c r="J391" s="667"/>
      <c r="K391" s="667"/>
      <c r="L391" s="667"/>
      <c r="M391" s="667"/>
      <c r="N391" s="667"/>
      <c r="O391" s="667"/>
      <c r="P391" s="667"/>
      <c r="Q391" s="667"/>
    </row>
    <row r="392" ht="15.75" customHeight="1">
      <c r="B392" s="667"/>
      <c r="C392" s="667"/>
      <c r="D392" s="667"/>
      <c r="E392" s="668"/>
      <c r="F392" s="667"/>
      <c r="G392" s="667"/>
      <c r="H392" s="667"/>
      <c r="I392" s="667"/>
      <c r="J392" s="667"/>
      <c r="K392" s="667"/>
      <c r="L392" s="667"/>
      <c r="M392" s="667"/>
      <c r="N392" s="667"/>
      <c r="O392" s="667"/>
      <c r="P392" s="667"/>
      <c r="Q392" s="667"/>
    </row>
    <row r="393" ht="15.75" customHeight="1">
      <c r="B393" s="667"/>
      <c r="C393" s="667"/>
      <c r="D393" s="667"/>
      <c r="E393" s="668"/>
      <c r="F393" s="667"/>
      <c r="G393" s="667"/>
      <c r="H393" s="667"/>
      <c r="I393" s="667"/>
      <c r="J393" s="667"/>
      <c r="K393" s="667"/>
      <c r="L393" s="667"/>
      <c r="M393" s="667"/>
      <c r="N393" s="667"/>
      <c r="O393" s="667"/>
      <c r="P393" s="667"/>
      <c r="Q393" s="667"/>
    </row>
    <row r="394" ht="15.75" customHeight="1">
      <c r="B394" s="667"/>
      <c r="C394" s="667"/>
      <c r="D394" s="667"/>
      <c r="E394" s="668"/>
      <c r="F394" s="667"/>
      <c r="G394" s="667"/>
      <c r="H394" s="667"/>
      <c r="I394" s="667"/>
      <c r="J394" s="667"/>
      <c r="K394" s="667"/>
      <c r="L394" s="667"/>
      <c r="M394" s="667"/>
      <c r="N394" s="667"/>
      <c r="O394" s="667"/>
      <c r="P394" s="667"/>
      <c r="Q394" s="667"/>
    </row>
    <row r="395" ht="15.75" customHeight="1">
      <c r="B395" s="667"/>
      <c r="C395" s="667"/>
      <c r="D395" s="667"/>
      <c r="E395" s="668"/>
      <c r="F395" s="667"/>
      <c r="G395" s="667"/>
      <c r="H395" s="667"/>
      <c r="I395" s="667"/>
      <c r="J395" s="667"/>
      <c r="K395" s="667"/>
      <c r="L395" s="667"/>
      <c r="M395" s="667"/>
      <c r="N395" s="667"/>
      <c r="O395" s="667"/>
      <c r="P395" s="667"/>
      <c r="Q395" s="667"/>
    </row>
    <row r="396" ht="15.75" customHeight="1">
      <c r="B396" s="667"/>
      <c r="C396" s="667"/>
      <c r="D396" s="667"/>
      <c r="E396" s="668"/>
      <c r="F396" s="667"/>
      <c r="G396" s="667"/>
      <c r="H396" s="667"/>
      <c r="I396" s="667"/>
      <c r="J396" s="667"/>
      <c r="K396" s="667"/>
      <c r="L396" s="667"/>
      <c r="M396" s="667"/>
      <c r="N396" s="667"/>
      <c r="O396" s="667"/>
      <c r="P396" s="667"/>
      <c r="Q396" s="667"/>
    </row>
    <row r="397" ht="15.75" customHeight="1">
      <c r="B397" s="667"/>
      <c r="C397" s="667"/>
      <c r="D397" s="667"/>
      <c r="E397" s="668"/>
      <c r="F397" s="667"/>
      <c r="G397" s="667"/>
      <c r="H397" s="667"/>
      <c r="I397" s="667"/>
      <c r="J397" s="667"/>
      <c r="K397" s="667"/>
      <c r="L397" s="667"/>
      <c r="M397" s="667"/>
      <c r="N397" s="667"/>
      <c r="O397" s="667"/>
      <c r="P397" s="667"/>
      <c r="Q397" s="667"/>
    </row>
    <row r="398" ht="15.75" customHeight="1">
      <c r="B398" s="667"/>
      <c r="C398" s="667"/>
      <c r="D398" s="667"/>
      <c r="E398" s="668"/>
      <c r="F398" s="667"/>
      <c r="G398" s="667"/>
      <c r="H398" s="667"/>
      <c r="I398" s="667"/>
      <c r="J398" s="667"/>
      <c r="K398" s="667"/>
      <c r="L398" s="667"/>
      <c r="M398" s="667"/>
      <c r="N398" s="667"/>
      <c r="O398" s="667"/>
      <c r="P398" s="667"/>
      <c r="Q398" s="667"/>
    </row>
    <row r="399" ht="15.75" customHeight="1">
      <c r="B399" s="667"/>
      <c r="C399" s="667"/>
      <c r="D399" s="667"/>
      <c r="E399" s="668"/>
      <c r="F399" s="667"/>
      <c r="G399" s="667"/>
      <c r="H399" s="667"/>
      <c r="I399" s="667"/>
      <c r="J399" s="667"/>
      <c r="K399" s="667"/>
      <c r="L399" s="667"/>
      <c r="M399" s="667"/>
      <c r="N399" s="667"/>
      <c r="O399" s="667"/>
      <c r="P399" s="667"/>
      <c r="Q399" s="667"/>
    </row>
    <row r="400" ht="15.75" customHeight="1">
      <c r="B400" s="667"/>
      <c r="C400" s="667"/>
      <c r="D400" s="667"/>
      <c r="E400" s="668"/>
      <c r="F400" s="667"/>
      <c r="G400" s="667"/>
      <c r="H400" s="667"/>
      <c r="I400" s="667"/>
      <c r="J400" s="667"/>
      <c r="K400" s="667"/>
      <c r="L400" s="667"/>
      <c r="M400" s="667"/>
      <c r="N400" s="667"/>
      <c r="O400" s="667"/>
      <c r="P400" s="667"/>
      <c r="Q400" s="667"/>
    </row>
    <row r="401" ht="15.75" customHeight="1">
      <c r="B401" s="667"/>
      <c r="C401" s="667"/>
      <c r="D401" s="667"/>
      <c r="E401" s="668"/>
      <c r="F401" s="667"/>
      <c r="G401" s="667"/>
      <c r="H401" s="667"/>
      <c r="I401" s="667"/>
      <c r="J401" s="667"/>
      <c r="K401" s="667"/>
      <c r="L401" s="667"/>
      <c r="M401" s="667"/>
      <c r="N401" s="667"/>
      <c r="O401" s="667"/>
      <c r="P401" s="667"/>
      <c r="Q401" s="667"/>
    </row>
    <row r="402" ht="15.75" customHeight="1">
      <c r="B402" s="667"/>
      <c r="C402" s="667"/>
      <c r="D402" s="667"/>
      <c r="E402" s="668"/>
      <c r="F402" s="667"/>
      <c r="G402" s="667"/>
      <c r="H402" s="667"/>
      <c r="I402" s="667"/>
      <c r="J402" s="667"/>
      <c r="K402" s="667"/>
      <c r="L402" s="667"/>
      <c r="M402" s="667"/>
      <c r="N402" s="667"/>
      <c r="O402" s="667"/>
      <c r="P402" s="667"/>
      <c r="Q402" s="667"/>
    </row>
    <row r="403" ht="15.75" customHeight="1">
      <c r="B403" s="667"/>
      <c r="C403" s="667"/>
      <c r="D403" s="667"/>
      <c r="E403" s="668"/>
      <c r="F403" s="667"/>
      <c r="G403" s="667"/>
      <c r="H403" s="667"/>
      <c r="I403" s="667"/>
      <c r="J403" s="667"/>
      <c r="K403" s="667"/>
      <c r="L403" s="667"/>
      <c r="M403" s="667"/>
      <c r="N403" s="667"/>
      <c r="O403" s="667"/>
      <c r="P403" s="667"/>
      <c r="Q403" s="667"/>
    </row>
    <row r="404" ht="15.75" customHeight="1">
      <c r="B404" s="667"/>
      <c r="C404" s="667"/>
      <c r="D404" s="667"/>
      <c r="E404" s="668"/>
      <c r="F404" s="667"/>
      <c r="G404" s="667"/>
      <c r="H404" s="667"/>
      <c r="I404" s="667"/>
      <c r="J404" s="667"/>
      <c r="K404" s="667"/>
      <c r="L404" s="667"/>
      <c r="M404" s="667"/>
      <c r="N404" s="667"/>
      <c r="O404" s="667"/>
      <c r="P404" s="667"/>
      <c r="Q404" s="667"/>
    </row>
    <row r="405" ht="15.75" customHeight="1">
      <c r="B405" s="667"/>
      <c r="C405" s="667"/>
      <c r="D405" s="667"/>
      <c r="E405" s="668"/>
      <c r="F405" s="667"/>
      <c r="G405" s="667"/>
      <c r="H405" s="667"/>
      <c r="I405" s="667"/>
      <c r="J405" s="667"/>
      <c r="K405" s="667"/>
      <c r="L405" s="667"/>
      <c r="M405" s="667"/>
      <c r="N405" s="667"/>
      <c r="O405" s="667"/>
      <c r="P405" s="667"/>
      <c r="Q405" s="667"/>
    </row>
    <row r="406" ht="15.75" customHeight="1">
      <c r="B406" s="667"/>
      <c r="C406" s="667"/>
      <c r="D406" s="667"/>
      <c r="E406" s="668"/>
      <c r="F406" s="667"/>
      <c r="G406" s="667"/>
      <c r="H406" s="667"/>
      <c r="I406" s="667"/>
      <c r="J406" s="667"/>
      <c r="K406" s="667"/>
      <c r="L406" s="667"/>
      <c r="M406" s="667"/>
      <c r="N406" s="667"/>
      <c r="O406" s="667"/>
      <c r="P406" s="667"/>
      <c r="Q406" s="667"/>
    </row>
    <row r="407" ht="15.75" customHeight="1">
      <c r="B407" s="667"/>
      <c r="C407" s="667"/>
      <c r="D407" s="667"/>
      <c r="E407" s="668"/>
      <c r="F407" s="667"/>
      <c r="G407" s="667"/>
      <c r="H407" s="667"/>
      <c r="I407" s="667"/>
      <c r="J407" s="667"/>
      <c r="K407" s="667"/>
      <c r="L407" s="667"/>
      <c r="M407" s="667"/>
      <c r="N407" s="667"/>
      <c r="O407" s="667"/>
      <c r="P407" s="667"/>
      <c r="Q407" s="667"/>
    </row>
    <row r="408" ht="15.75" customHeight="1">
      <c r="B408" s="667"/>
      <c r="C408" s="667"/>
      <c r="D408" s="667"/>
      <c r="E408" s="668"/>
      <c r="F408" s="667"/>
      <c r="G408" s="667"/>
      <c r="H408" s="667"/>
      <c r="I408" s="667"/>
      <c r="J408" s="667"/>
      <c r="K408" s="667"/>
      <c r="L408" s="667"/>
      <c r="M408" s="667"/>
      <c r="N408" s="667"/>
      <c r="O408" s="667"/>
      <c r="P408" s="667"/>
      <c r="Q408" s="667"/>
    </row>
    <row r="409" ht="15.75" customHeight="1">
      <c r="B409" s="667"/>
      <c r="C409" s="667"/>
      <c r="D409" s="667"/>
      <c r="E409" s="668"/>
      <c r="F409" s="667"/>
      <c r="G409" s="667"/>
      <c r="H409" s="667"/>
      <c r="I409" s="667"/>
      <c r="J409" s="667"/>
      <c r="K409" s="667"/>
      <c r="L409" s="667"/>
      <c r="M409" s="667"/>
      <c r="N409" s="667"/>
      <c r="O409" s="667"/>
      <c r="P409" s="667"/>
      <c r="Q409" s="667"/>
    </row>
    <row r="410" ht="15.75" customHeight="1">
      <c r="B410" s="667"/>
      <c r="C410" s="667"/>
      <c r="D410" s="667"/>
      <c r="E410" s="668"/>
      <c r="F410" s="667"/>
      <c r="G410" s="667"/>
      <c r="H410" s="667"/>
      <c r="I410" s="667"/>
      <c r="J410" s="667"/>
      <c r="K410" s="667"/>
      <c r="L410" s="667"/>
      <c r="M410" s="667"/>
      <c r="N410" s="667"/>
      <c r="O410" s="667"/>
      <c r="P410" s="667"/>
      <c r="Q410" s="667"/>
    </row>
    <row r="411" ht="15.75" customHeight="1">
      <c r="B411" s="667"/>
      <c r="C411" s="667"/>
      <c r="D411" s="667"/>
      <c r="E411" s="668"/>
      <c r="F411" s="667"/>
      <c r="G411" s="667"/>
      <c r="H411" s="667"/>
      <c r="I411" s="667"/>
      <c r="J411" s="667"/>
      <c r="K411" s="667"/>
      <c r="L411" s="667"/>
      <c r="M411" s="667"/>
      <c r="N411" s="667"/>
      <c r="O411" s="667"/>
      <c r="P411" s="667"/>
      <c r="Q411" s="667"/>
    </row>
    <row r="412" ht="15.75" customHeight="1">
      <c r="B412" s="667"/>
      <c r="C412" s="667"/>
      <c r="D412" s="667"/>
      <c r="E412" s="668"/>
      <c r="F412" s="667"/>
      <c r="G412" s="667"/>
      <c r="H412" s="667"/>
      <c r="I412" s="667"/>
      <c r="J412" s="667"/>
      <c r="K412" s="667"/>
      <c r="L412" s="667"/>
      <c r="M412" s="667"/>
      <c r="N412" s="667"/>
      <c r="O412" s="667"/>
      <c r="P412" s="667"/>
      <c r="Q412" s="667"/>
    </row>
    <row r="413" ht="15.75" customHeight="1">
      <c r="B413" s="667"/>
      <c r="C413" s="667"/>
      <c r="D413" s="667"/>
      <c r="E413" s="668"/>
      <c r="F413" s="667"/>
      <c r="G413" s="667"/>
      <c r="H413" s="667"/>
      <c r="I413" s="667"/>
      <c r="J413" s="667"/>
      <c r="K413" s="667"/>
      <c r="L413" s="667"/>
      <c r="M413" s="667"/>
      <c r="N413" s="667"/>
      <c r="O413" s="667"/>
      <c r="P413" s="667"/>
      <c r="Q413" s="667"/>
    </row>
    <row r="414" ht="15.75" customHeight="1">
      <c r="B414" s="667"/>
      <c r="C414" s="667"/>
      <c r="D414" s="667"/>
      <c r="E414" s="668"/>
      <c r="F414" s="667"/>
      <c r="G414" s="667"/>
      <c r="H414" s="667"/>
      <c r="I414" s="667"/>
      <c r="J414" s="667"/>
      <c r="K414" s="667"/>
      <c r="L414" s="667"/>
      <c r="M414" s="667"/>
      <c r="N414" s="667"/>
      <c r="O414" s="667"/>
      <c r="P414" s="667"/>
      <c r="Q414" s="667"/>
    </row>
    <row r="415" ht="15.75" customHeight="1">
      <c r="B415" s="667"/>
      <c r="C415" s="667"/>
      <c r="D415" s="667"/>
      <c r="E415" s="668"/>
      <c r="F415" s="667"/>
      <c r="G415" s="667"/>
      <c r="H415" s="667"/>
      <c r="I415" s="667"/>
      <c r="J415" s="667"/>
      <c r="K415" s="667"/>
      <c r="L415" s="667"/>
      <c r="M415" s="667"/>
      <c r="N415" s="667"/>
      <c r="O415" s="667"/>
      <c r="P415" s="667"/>
      <c r="Q415" s="667"/>
    </row>
    <row r="416" ht="15.75" customHeight="1">
      <c r="B416" s="667"/>
      <c r="C416" s="667"/>
      <c r="D416" s="667"/>
      <c r="E416" s="668"/>
      <c r="F416" s="667"/>
      <c r="G416" s="667"/>
      <c r="H416" s="667"/>
      <c r="I416" s="667"/>
      <c r="J416" s="667"/>
      <c r="K416" s="667"/>
      <c r="L416" s="667"/>
      <c r="M416" s="667"/>
      <c r="N416" s="667"/>
      <c r="O416" s="667"/>
      <c r="P416" s="667"/>
      <c r="Q416" s="667"/>
    </row>
    <row r="417" ht="15.75" customHeight="1">
      <c r="B417" s="667"/>
      <c r="C417" s="667"/>
      <c r="D417" s="667"/>
      <c r="E417" s="668"/>
      <c r="F417" s="667"/>
      <c r="G417" s="667"/>
      <c r="H417" s="667"/>
      <c r="I417" s="667"/>
      <c r="J417" s="667"/>
      <c r="K417" s="667"/>
      <c r="L417" s="667"/>
      <c r="M417" s="667"/>
      <c r="N417" s="667"/>
      <c r="O417" s="667"/>
      <c r="P417" s="667"/>
      <c r="Q417" s="667"/>
    </row>
    <row r="418" ht="15.75" customHeight="1">
      <c r="B418" s="667"/>
      <c r="C418" s="667"/>
      <c r="D418" s="667"/>
      <c r="E418" s="668"/>
      <c r="F418" s="667"/>
      <c r="G418" s="667"/>
      <c r="H418" s="667"/>
      <c r="I418" s="667"/>
      <c r="J418" s="667"/>
      <c r="K418" s="667"/>
      <c r="L418" s="667"/>
      <c r="M418" s="667"/>
      <c r="N418" s="667"/>
      <c r="O418" s="667"/>
      <c r="P418" s="667"/>
      <c r="Q418" s="667"/>
    </row>
    <row r="419" ht="15.75" customHeight="1">
      <c r="B419" s="667"/>
      <c r="C419" s="667"/>
      <c r="D419" s="667"/>
      <c r="E419" s="668"/>
      <c r="F419" s="667"/>
      <c r="G419" s="667"/>
      <c r="H419" s="667"/>
      <c r="I419" s="667"/>
      <c r="J419" s="667"/>
      <c r="K419" s="667"/>
      <c r="L419" s="667"/>
      <c r="M419" s="667"/>
      <c r="N419" s="667"/>
      <c r="O419" s="667"/>
      <c r="P419" s="667"/>
      <c r="Q419" s="667"/>
    </row>
    <row r="420" ht="15.75" customHeight="1">
      <c r="B420" s="667"/>
      <c r="C420" s="667"/>
      <c r="D420" s="667"/>
      <c r="E420" s="668"/>
      <c r="F420" s="667"/>
      <c r="G420" s="667"/>
      <c r="H420" s="667"/>
      <c r="I420" s="667"/>
      <c r="J420" s="667"/>
      <c r="K420" s="667"/>
      <c r="L420" s="667"/>
      <c r="M420" s="667"/>
      <c r="N420" s="667"/>
      <c r="O420" s="667"/>
      <c r="P420" s="667"/>
      <c r="Q420" s="667"/>
    </row>
    <row r="421" ht="15.75" customHeight="1">
      <c r="B421" s="667"/>
      <c r="C421" s="667"/>
      <c r="D421" s="667"/>
      <c r="E421" s="668"/>
      <c r="F421" s="667"/>
      <c r="G421" s="667"/>
      <c r="H421" s="667"/>
      <c r="I421" s="667"/>
      <c r="J421" s="667"/>
      <c r="K421" s="667"/>
      <c r="L421" s="667"/>
      <c r="M421" s="667"/>
      <c r="N421" s="667"/>
      <c r="O421" s="667"/>
      <c r="P421" s="667"/>
      <c r="Q421" s="667"/>
    </row>
    <row r="422" ht="15.75" customHeight="1">
      <c r="B422" s="667"/>
      <c r="C422" s="667"/>
      <c r="D422" s="667"/>
      <c r="E422" s="668"/>
      <c r="F422" s="667"/>
      <c r="G422" s="667"/>
      <c r="H422" s="667"/>
      <c r="I422" s="667"/>
      <c r="J422" s="667"/>
      <c r="K422" s="667"/>
      <c r="L422" s="667"/>
      <c r="M422" s="667"/>
      <c r="N422" s="667"/>
      <c r="O422" s="667"/>
      <c r="P422" s="667"/>
      <c r="Q422" s="667"/>
    </row>
    <row r="423" ht="15.75" customHeight="1">
      <c r="B423" s="667"/>
      <c r="C423" s="667"/>
      <c r="D423" s="667"/>
      <c r="E423" s="668"/>
      <c r="F423" s="667"/>
      <c r="G423" s="667"/>
      <c r="H423" s="667"/>
      <c r="I423" s="667"/>
      <c r="J423" s="667"/>
      <c r="K423" s="667"/>
      <c r="L423" s="667"/>
      <c r="M423" s="667"/>
      <c r="N423" s="667"/>
      <c r="O423" s="667"/>
      <c r="P423" s="667"/>
      <c r="Q423" s="667"/>
    </row>
    <row r="424" ht="15.75" customHeight="1">
      <c r="B424" s="667"/>
      <c r="C424" s="667"/>
      <c r="D424" s="667"/>
      <c r="E424" s="668"/>
      <c r="F424" s="667"/>
      <c r="G424" s="667"/>
      <c r="H424" s="667"/>
      <c r="I424" s="667"/>
      <c r="J424" s="667"/>
      <c r="K424" s="667"/>
      <c r="L424" s="667"/>
      <c r="M424" s="667"/>
      <c r="N424" s="667"/>
      <c r="O424" s="667"/>
      <c r="P424" s="667"/>
      <c r="Q424" s="667"/>
    </row>
    <row r="425" ht="15.75" customHeight="1">
      <c r="B425" s="667"/>
      <c r="C425" s="667"/>
      <c r="D425" s="667"/>
      <c r="E425" s="668"/>
      <c r="F425" s="667"/>
      <c r="G425" s="667"/>
      <c r="H425" s="667"/>
      <c r="I425" s="667"/>
      <c r="J425" s="667"/>
      <c r="K425" s="667"/>
      <c r="L425" s="667"/>
      <c r="M425" s="667"/>
      <c r="N425" s="667"/>
      <c r="O425" s="667"/>
      <c r="P425" s="667"/>
      <c r="Q425" s="667"/>
    </row>
    <row r="426" ht="15.75" customHeight="1">
      <c r="B426" s="667"/>
      <c r="C426" s="667"/>
      <c r="D426" s="667"/>
      <c r="E426" s="668"/>
      <c r="F426" s="667"/>
      <c r="G426" s="667"/>
      <c r="H426" s="667"/>
      <c r="I426" s="667"/>
      <c r="J426" s="667"/>
      <c r="K426" s="667"/>
      <c r="L426" s="667"/>
      <c r="M426" s="667"/>
      <c r="N426" s="667"/>
      <c r="O426" s="667"/>
      <c r="P426" s="667"/>
      <c r="Q426" s="667"/>
    </row>
    <row r="427" ht="15.75" customHeight="1">
      <c r="B427" s="667"/>
      <c r="C427" s="667"/>
      <c r="D427" s="667"/>
      <c r="E427" s="668"/>
      <c r="F427" s="667"/>
      <c r="G427" s="667"/>
      <c r="H427" s="667"/>
      <c r="I427" s="667"/>
      <c r="J427" s="667"/>
      <c r="K427" s="667"/>
      <c r="L427" s="667"/>
      <c r="M427" s="667"/>
      <c r="N427" s="667"/>
      <c r="O427" s="667"/>
      <c r="P427" s="667"/>
      <c r="Q427" s="667"/>
    </row>
    <row r="428" ht="15.75" customHeight="1">
      <c r="B428" s="667"/>
      <c r="C428" s="667"/>
      <c r="D428" s="667"/>
      <c r="E428" s="668"/>
      <c r="F428" s="667"/>
      <c r="G428" s="667"/>
      <c r="H428" s="667"/>
      <c r="I428" s="667"/>
      <c r="J428" s="667"/>
      <c r="K428" s="667"/>
      <c r="L428" s="667"/>
      <c r="M428" s="667"/>
      <c r="N428" s="667"/>
      <c r="O428" s="667"/>
      <c r="P428" s="667"/>
      <c r="Q428" s="667"/>
    </row>
    <row r="429" ht="15.75" customHeight="1">
      <c r="B429" s="667"/>
      <c r="C429" s="667"/>
      <c r="D429" s="667"/>
      <c r="E429" s="668"/>
      <c r="F429" s="667"/>
      <c r="G429" s="667"/>
      <c r="H429" s="667"/>
      <c r="I429" s="667"/>
      <c r="J429" s="667"/>
      <c r="K429" s="667"/>
      <c r="L429" s="667"/>
      <c r="M429" s="667"/>
      <c r="N429" s="667"/>
      <c r="O429" s="667"/>
      <c r="P429" s="667"/>
      <c r="Q429" s="667"/>
    </row>
    <row r="430" ht="15.75" customHeight="1">
      <c r="B430" s="667"/>
      <c r="C430" s="667"/>
      <c r="D430" s="667"/>
      <c r="E430" s="668"/>
      <c r="F430" s="667"/>
      <c r="G430" s="667"/>
      <c r="H430" s="667"/>
      <c r="I430" s="667"/>
      <c r="J430" s="667"/>
      <c r="K430" s="667"/>
      <c r="L430" s="667"/>
      <c r="M430" s="667"/>
      <c r="N430" s="667"/>
      <c r="O430" s="667"/>
      <c r="P430" s="667"/>
      <c r="Q430" s="667"/>
    </row>
    <row r="431" ht="15.75" customHeight="1">
      <c r="B431" s="667"/>
      <c r="C431" s="667"/>
      <c r="D431" s="667"/>
      <c r="E431" s="668"/>
      <c r="F431" s="667"/>
      <c r="G431" s="667"/>
      <c r="H431" s="667"/>
      <c r="I431" s="667"/>
      <c r="J431" s="667"/>
      <c r="K431" s="667"/>
      <c r="L431" s="667"/>
      <c r="M431" s="667"/>
      <c r="N431" s="667"/>
      <c r="O431" s="667"/>
      <c r="P431" s="667"/>
      <c r="Q431" s="667"/>
    </row>
    <row r="432" ht="15.75" customHeight="1">
      <c r="B432" s="667"/>
      <c r="C432" s="667"/>
      <c r="D432" s="667"/>
      <c r="E432" s="668"/>
      <c r="F432" s="667"/>
      <c r="G432" s="667"/>
      <c r="H432" s="667"/>
      <c r="I432" s="667"/>
      <c r="J432" s="667"/>
      <c r="K432" s="667"/>
      <c r="L432" s="667"/>
      <c r="M432" s="667"/>
      <c r="N432" s="667"/>
      <c r="O432" s="667"/>
      <c r="P432" s="667"/>
      <c r="Q432" s="667"/>
    </row>
    <row r="433" ht="15.75" customHeight="1">
      <c r="B433" s="667"/>
      <c r="C433" s="667"/>
      <c r="D433" s="667"/>
      <c r="E433" s="668"/>
      <c r="F433" s="667"/>
      <c r="G433" s="667"/>
      <c r="H433" s="667"/>
      <c r="I433" s="667"/>
      <c r="J433" s="667"/>
      <c r="K433" s="667"/>
      <c r="L433" s="667"/>
      <c r="M433" s="667"/>
      <c r="N433" s="667"/>
      <c r="O433" s="667"/>
      <c r="P433" s="667"/>
      <c r="Q433" s="667"/>
    </row>
    <row r="434" ht="15.75" customHeight="1">
      <c r="B434" s="667"/>
      <c r="C434" s="667"/>
      <c r="D434" s="667"/>
      <c r="E434" s="668"/>
      <c r="F434" s="667"/>
      <c r="G434" s="667"/>
      <c r="H434" s="667"/>
      <c r="I434" s="667"/>
      <c r="J434" s="667"/>
      <c r="K434" s="667"/>
      <c r="L434" s="667"/>
      <c r="M434" s="667"/>
      <c r="N434" s="667"/>
      <c r="O434" s="667"/>
      <c r="P434" s="667"/>
      <c r="Q434" s="667"/>
    </row>
    <row r="435" ht="15.75" customHeight="1">
      <c r="B435" s="667"/>
      <c r="C435" s="667"/>
      <c r="D435" s="667"/>
      <c r="E435" s="668"/>
      <c r="F435" s="667"/>
      <c r="G435" s="667"/>
      <c r="H435" s="667"/>
      <c r="I435" s="667"/>
      <c r="J435" s="667"/>
      <c r="K435" s="667"/>
      <c r="L435" s="667"/>
      <c r="M435" s="667"/>
      <c r="N435" s="667"/>
      <c r="O435" s="667"/>
      <c r="P435" s="667"/>
      <c r="Q435" s="667"/>
    </row>
    <row r="436" ht="15.75" customHeight="1">
      <c r="B436" s="667"/>
      <c r="C436" s="667"/>
      <c r="D436" s="667"/>
      <c r="E436" s="668"/>
      <c r="F436" s="667"/>
      <c r="G436" s="667"/>
      <c r="H436" s="667"/>
      <c r="I436" s="667"/>
      <c r="J436" s="667"/>
      <c r="K436" s="667"/>
      <c r="L436" s="667"/>
      <c r="M436" s="667"/>
      <c r="N436" s="667"/>
      <c r="O436" s="667"/>
      <c r="P436" s="667"/>
      <c r="Q436" s="667"/>
    </row>
    <row r="437" ht="15.75" customHeight="1">
      <c r="B437" s="667"/>
      <c r="C437" s="667"/>
      <c r="D437" s="667"/>
      <c r="E437" s="668"/>
      <c r="F437" s="667"/>
      <c r="G437" s="667"/>
      <c r="H437" s="667"/>
      <c r="I437" s="667"/>
      <c r="J437" s="667"/>
      <c r="K437" s="667"/>
      <c r="L437" s="667"/>
      <c r="M437" s="667"/>
      <c r="N437" s="667"/>
      <c r="O437" s="667"/>
      <c r="P437" s="667"/>
      <c r="Q437" s="667"/>
    </row>
    <row r="438" ht="15.75" customHeight="1">
      <c r="B438" s="667"/>
      <c r="C438" s="667"/>
      <c r="D438" s="667"/>
      <c r="E438" s="668"/>
      <c r="F438" s="667"/>
      <c r="G438" s="667"/>
      <c r="H438" s="667"/>
      <c r="I438" s="667"/>
      <c r="J438" s="667"/>
      <c r="K438" s="667"/>
      <c r="L438" s="667"/>
      <c r="M438" s="667"/>
      <c r="N438" s="667"/>
      <c r="O438" s="667"/>
      <c r="P438" s="667"/>
      <c r="Q438" s="667"/>
    </row>
    <row r="439" ht="15.75" customHeight="1">
      <c r="B439" s="667"/>
      <c r="C439" s="667"/>
      <c r="D439" s="667"/>
      <c r="E439" s="668"/>
      <c r="F439" s="667"/>
      <c r="G439" s="667"/>
      <c r="H439" s="667"/>
      <c r="I439" s="667"/>
      <c r="J439" s="667"/>
      <c r="K439" s="667"/>
      <c r="L439" s="667"/>
      <c r="M439" s="667"/>
      <c r="N439" s="667"/>
      <c r="O439" s="667"/>
      <c r="P439" s="667"/>
      <c r="Q439" s="667"/>
    </row>
    <row r="440" ht="15.75" customHeight="1">
      <c r="B440" s="667"/>
      <c r="C440" s="667"/>
      <c r="D440" s="667"/>
      <c r="E440" s="668"/>
      <c r="F440" s="667"/>
      <c r="G440" s="667"/>
      <c r="H440" s="667"/>
      <c r="I440" s="667"/>
      <c r="J440" s="667"/>
      <c r="K440" s="667"/>
      <c r="L440" s="667"/>
      <c r="M440" s="667"/>
      <c r="N440" s="667"/>
      <c r="O440" s="667"/>
      <c r="P440" s="667"/>
      <c r="Q440" s="667"/>
    </row>
    <row r="441" ht="15.75" customHeight="1">
      <c r="B441" s="667"/>
      <c r="C441" s="667"/>
      <c r="D441" s="667"/>
      <c r="E441" s="668"/>
      <c r="F441" s="667"/>
      <c r="G441" s="667"/>
      <c r="H441" s="667"/>
      <c r="I441" s="667"/>
      <c r="J441" s="667"/>
      <c r="K441" s="667"/>
      <c r="L441" s="667"/>
      <c r="M441" s="667"/>
      <c r="N441" s="667"/>
      <c r="O441" s="667"/>
      <c r="P441" s="667"/>
      <c r="Q441" s="667"/>
    </row>
    <row r="442" ht="15.75" customHeight="1">
      <c r="B442" s="667"/>
      <c r="C442" s="667"/>
      <c r="D442" s="667"/>
      <c r="E442" s="668"/>
      <c r="F442" s="667"/>
      <c r="G442" s="667"/>
      <c r="H442" s="667"/>
      <c r="I442" s="667"/>
      <c r="J442" s="667"/>
      <c r="K442" s="667"/>
      <c r="L442" s="667"/>
      <c r="M442" s="667"/>
      <c r="N442" s="667"/>
      <c r="O442" s="667"/>
      <c r="P442" s="667"/>
      <c r="Q442" s="667"/>
    </row>
    <row r="443" ht="15.75" customHeight="1">
      <c r="B443" s="667"/>
      <c r="C443" s="667"/>
      <c r="D443" s="667"/>
      <c r="E443" s="668"/>
      <c r="F443" s="667"/>
      <c r="G443" s="667"/>
      <c r="H443" s="667"/>
      <c r="I443" s="667"/>
      <c r="J443" s="667"/>
      <c r="K443" s="667"/>
      <c r="L443" s="667"/>
      <c r="M443" s="667"/>
      <c r="N443" s="667"/>
      <c r="O443" s="667"/>
      <c r="P443" s="667"/>
      <c r="Q443" s="667"/>
    </row>
    <row r="444" ht="15.75" customHeight="1">
      <c r="B444" s="667"/>
      <c r="C444" s="667"/>
      <c r="D444" s="667"/>
      <c r="E444" s="668"/>
      <c r="F444" s="667"/>
      <c r="G444" s="667"/>
      <c r="H444" s="667"/>
      <c r="I444" s="667"/>
      <c r="J444" s="667"/>
      <c r="K444" s="667"/>
      <c r="L444" s="667"/>
      <c r="M444" s="667"/>
      <c r="N444" s="667"/>
      <c r="O444" s="667"/>
      <c r="P444" s="667"/>
      <c r="Q444" s="667"/>
    </row>
    <row r="445" ht="15.75" customHeight="1">
      <c r="B445" s="667"/>
      <c r="C445" s="667"/>
      <c r="D445" s="667"/>
      <c r="E445" s="668"/>
      <c r="F445" s="667"/>
      <c r="G445" s="667"/>
      <c r="H445" s="667"/>
      <c r="I445" s="667"/>
      <c r="J445" s="667"/>
      <c r="K445" s="667"/>
      <c r="L445" s="667"/>
      <c r="M445" s="667"/>
      <c r="N445" s="667"/>
      <c r="O445" s="667"/>
      <c r="P445" s="667"/>
      <c r="Q445" s="667"/>
    </row>
    <row r="446" ht="15.75" customHeight="1">
      <c r="B446" s="667"/>
      <c r="C446" s="667"/>
      <c r="D446" s="667"/>
      <c r="E446" s="668"/>
      <c r="F446" s="667"/>
      <c r="G446" s="667"/>
      <c r="H446" s="667"/>
      <c r="I446" s="667"/>
      <c r="J446" s="667"/>
      <c r="K446" s="667"/>
      <c r="L446" s="667"/>
      <c r="M446" s="667"/>
      <c r="N446" s="667"/>
      <c r="O446" s="667"/>
      <c r="P446" s="667"/>
      <c r="Q446" s="667"/>
    </row>
    <row r="447" ht="15.75" customHeight="1">
      <c r="B447" s="667"/>
      <c r="C447" s="667"/>
      <c r="D447" s="667"/>
      <c r="E447" s="668"/>
      <c r="F447" s="667"/>
      <c r="G447" s="667"/>
      <c r="H447" s="667"/>
      <c r="I447" s="667"/>
      <c r="J447" s="667"/>
      <c r="K447" s="667"/>
      <c r="L447" s="667"/>
      <c r="M447" s="667"/>
      <c r="N447" s="667"/>
      <c r="O447" s="667"/>
      <c r="P447" s="667"/>
      <c r="Q447" s="667"/>
    </row>
    <row r="448" ht="15.75" customHeight="1">
      <c r="B448" s="667"/>
      <c r="C448" s="667"/>
      <c r="D448" s="667"/>
      <c r="E448" s="668"/>
      <c r="F448" s="667"/>
      <c r="G448" s="667"/>
      <c r="H448" s="667"/>
      <c r="I448" s="667"/>
      <c r="J448" s="667"/>
      <c r="K448" s="667"/>
      <c r="L448" s="667"/>
      <c r="M448" s="667"/>
      <c r="N448" s="667"/>
      <c r="O448" s="667"/>
      <c r="P448" s="667"/>
      <c r="Q448" s="667"/>
    </row>
    <row r="449" ht="15.75" customHeight="1">
      <c r="B449" s="667"/>
      <c r="C449" s="667"/>
      <c r="D449" s="667"/>
      <c r="E449" s="668"/>
      <c r="F449" s="667"/>
      <c r="G449" s="667"/>
      <c r="H449" s="667"/>
      <c r="I449" s="667"/>
      <c r="J449" s="667"/>
      <c r="K449" s="667"/>
      <c r="L449" s="667"/>
      <c r="M449" s="667"/>
      <c r="N449" s="667"/>
      <c r="O449" s="667"/>
      <c r="P449" s="667"/>
      <c r="Q449" s="667"/>
    </row>
    <row r="450" ht="15.75" customHeight="1">
      <c r="B450" s="667"/>
      <c r="C450" s="667"/>
      <c r="D450" s="667"/>
      <c r="E450" s="668"/>
      <c r="F450" s="667"/>
      <c r="G450" s="667"/>
      <c r="H450" s="667"/>
      <c r="I450" s="667"/>
      <c r="J450" s="667"/>
      <c r="K450" s="667"/>
      <c r="L450" s="667"/>
      <c r="M450" s="667"/>
      <c r="N450" s="667"/>
      <c r="O450" s="667"/>
      <c r="P450" s="667"/>
      <c r="Q450" s="667"/>
    </row>
    <row r="451" ht="15.75" customHeight="1">
      <c r="B451" s="667"/>
      <c r="C451" s="667"/>
      <c r="D451" s="667"/>
      <c r="E451" s="668"/>
      <c r="F451" s="667"/>
      <c r="G451" s="667"/>
      <c r="H451" s="667"/>
      <c r="I451" s="667"/>
      <c r="J451" s="667"/>
      <c r="K451" s="667"/>
      <c r="L451" s="667"/>
      <c r="M451" s="667"/>
      <c r="N451" s="667"/>
      <c r="O451" s="667"/>
      <c r="P451" s="667"/>
      <c r="Q451" s="667"/>
    </row>
    <row r="452" ht="15.75" customHeight="1">
      <c r="B452" s="667"/>
      <c r="C452" s="667"/>
      <c r="D452" s="667"/>
      <c r="E452" s="668"/>
      <c r="F452" s="667"/>
      <c r="G452" s="667"/>
      <c r="H452" s="667"/>
      <c r="I452" s="667"/>
      <c r="J452" s="667"/>
      <c r="K452" s="667"/>
      <c r="L452" s="667"/>
      <c r="M452" s="667"/>
      <c r="N452" s="667"/>
      <c r="O452" s="667"/>
      <c r="P452" s="667"/>
      <c r="Q452" s="667"/>
    </row>
    <row r="453" ht="15.75" customHeight="1">
      <c r="B453" s="667"/>
      <c r="C453" s="667"/>
      <c r="D453" s="667"/>
      <c r="E453" s="668"/>
      <c r="F453" s="667"/>
      <c r="G453" s="667"/>
      <c r="H453" s="667"/>
      <c r="I453" s="667"/>
      <c r="J453" s="667"/>
      <c r="K453" s="667"/>
      <c r="L453" s="667"/>
      <c r="M453" s="667"/>
      <c r="N453" s="667"/>
      <c r="O453" s="667"/>
      <c r="P453" s="667"/>
      <c r="Q453" s="667"/>
    </row>
    <row r="454" ht="15.75" customHeight="1">
      <c r="B454" s="667"/>
      <c r="C454" s="667"/>
      <c r="D454" s="667"/>
      <c r="E454" s="668"/>
      <c r="F454" s="667"/>
      <c r="G454" s="667"/>
      <c r="H454" s="667"/>
      <c r="I454" s="667"/>
      <c r="J454" s="667"/>
      <c r="K454" s="667"/>
      <c r="L454" s="667"/>
      <c r="M454" s="667"/>
      <c r="N454" s="667"/>
      <c r="O454" s="667"/>
      <c r="P454" s="667"/>
      <c r="Q454" s="667"/>
    </row>
    <row r="455" ht="15.75" customHeight="1">
      <c r="B455" s="667"/>
      <c r="C455" s="667"/>
      <c r="D455" s="667"/>
      <c r="E455" s="668"/>
      <c r="F455" s="667"/>
      <c r="G455" s="667"/>
      <c r="H455" s="667"/>
      <c r="I455" s="667"/>
      <c r="J455" s="667"/>
      <c r="K455" s="667"/>
      <c r="L455" s="667"/>
      <c r="M455" s="667"/>
      <c r="N455" s="667"/>
      <c r="O455" s="667"/>
      <c r="P455" s="667"/>
      <c r="Q455" s="667"/>
    </row>
    <row r="456" ht="15.75" customHeight="1">
      <c r="B456" s="667"/>
      <c r="C456" s="667"/>
      <c r="D456" s="667"/>
      <c r="E456" s="668"/>
      <c r="F456" s="667"/>
      <c r="G456" s="667"/>
      <c r="H456" s="667"/>
      <c r="I456" s="667"/>
      <c r="J456" s="667"/>
      <c r="K456" s="667"/>
      <c r="L456" s="667"/>
      <c r="M456" s="667"/>
      <c r="N456" s="667"/>
      <c r="O456" s="667"/>
      <c r="P456" s="667"/>
      <c r="Q456" s="667"/>
    </row>
    <row r="457" ht="15.75" customHeight="1">
      <c r="B457" s="667"/>
      <c r="C457" s="667"/>
      <c r="D457" s="667"/>
      <c r="E457" s="668"/>
      <c r="F457" s="667"/>
      <c r="G457" s="667"/>
      <c r="H457" s="667"/>
      <c r="I457" s="667"/>
      <c r="J457" s="667"/>
      <c r="K457" s="667"/>
      <c r="L457" s="667"/>
      <c r="M457" s="667"/>
      <c r="N457" s="667"/>
      <c r="O457" s="667"/>
      <c r="P457" s="667"/>
      <c r="Q457" s="667"/>
    </row>
    <row r="458" ht="15.75" customHeight="1">
      <c r="B458" s="667"/>
      <c r="C458" s="667"/>
      <c r="D458" s="667"/>
      <c r="E458" s="668"/>
      <c r="F458" s="667"/>
      <c r="G458" s="667"/>
      <c r="H458" s="667"/>
      <c r="I458" s="667"/>
      <c r="J458" s="667"/>
      <c r="K458" s="667"/>
      <c r="L458" s="667"/>
      <c r="M458" s="667"/>
      <c r="N458" s="667"/>
      <c r="O458" s="667"/>
      <c r="P458" s="667"/>
      <c r="Q458" s="667"/>
    </row>
    <row r="459" ht="15.75" customHeight="1">
      <c r="B459" s="667"/>
      <c r="C459" s="667"/>
      <c r="D459" s="667"/>
      <c r="E459" s="668"/>
      <c r="F459" s="667"/>
      <c r="G459" s="667"/>
      <c r="H459" s="667"/>
      <c r="I459" s="667"/>
      <c r="J459" s="667"/>
      <c r="K459" s="667"/>
      <c r="L459" s="667"/>
      <c r="M459" s="667"/>
      <c r="N459" s="667"/>
      <c r="O459" s="667"/>
      <c r="P459" s="667"/>
      <c r="Q459" s="667"/>
    </row>
    <row r="460" ht="15.75" customHeight="1">
      <c r="B460" s="667"/>
      <c r="C460" s="667"/>
      <c r="D460" s="667"/>
      <c r="E460" s="668"/>
      <c r="F460" s="667"/>
      <c r="G460" s="667"/>
      <c r="H460" s="667"/>
      <c r="I460" s="667"/>
      <c r="J460" s="667"/>
      <c r="K460" s="667"/>
      <c r="L460" s="667"/>
      <c r="M460" s="667"/>
      <c r="N460" s="667"/>
      <c r="O460" s="667"/>
      <c r="P460" s="667"/>
      <c r="Q460" s="667"/>
    </row>
    <row r="461" ht="15.75" customHeight="1">
      <c r="B461" s="667"/>
      <c r="C461" s="667"/>
      <c r="D461" s="667"/>
      <c r="E461" s="668"/>
      <c r="F461" s="667"/>
      <c r="G461" s="667"/>
      <c r="H461" s="667"/>
      <c r="I461" s="667"/>
      <c r="J461" s="667"/>
      <c r="K461" s="667"/>
      <c r="L461" s="667"/>
      <c r="M461" s="667"/>
      <c r="N461" s="667"/>
      <c r="O461" s="667"/>
      <c r="P461" s="667"/>
      <c r="Q461" s="667"/>
    </row>
    <row r="462" ht="15.75" customHeight="1">
      <c r="B462" s="667"/>
      <c r="C462" s="667"/>
      <c r="D462" s="667"/>
      <c r="E462" s="668"/>
      <c r="F462" s="667"/>
      <c r="G462" s="667"/>
      <c r="H462" s="667"/>
      <c r="I462" s="667"/>
      <c r="J462" s="667"/>
      <c r="K462" s="667"/>
      <c r="L462" s="667"/>
      <c r="M462" s="667"/>
      <c r="N462" s="667"/>
      <c r="O462" s="667"/>
      <c r="P462" s="667"/>
      <c r="Q462" s="667"/>
    </row>
    <row r="463" ht="15.75" customHeight="1">
      <c r="B463" s="667"/>
      <c r="C463" s="667"/>
      <c r="D463" s="667"/>
      <c r="E463" s="668"/>
      <c r="F463" s="667"/>
      <c r="G463" s="667"/>
      <c r="H463" s="667"/>
      <c r="I463" s="667"/>
      <c r="J463" s="667"/>
      <c r="K463" s="667"/>
      <c r="L463" s="667"/>
      <c r="M463" s="667"/>
      <c r="N463" s="667"/>
      <c r="O463" s="667"/>
      <c r="P463" s="667"/>
      <c r="Q463" s="667"/>
    </row>
    <row r="464" ht="15.75" customHeight="1">
      <c r="B464" s="667"/>
      <c r="C464" s="667"/>
      <c r="D464" s="667"/>
      <c r="E464" s="668"/>
      <c r="F464" s="667"/>
      <c r="G464" s="667"/>
      <c r="H464" s="667"/>
      <c r="I464" s="667"/>
      <c r="J464" s="667"/>
      <c r="K464" s="667"/>
      <c r="L464" s="667"/>
      <c r="M464" s="667"/>
      <c r="N464" s="667"/>
      <c r="O464" s="667"/>
      <c r="P464" s="667"/>
      <c r="Q464" s="667"/>
    </row>
    <row r="465" ht="15.75" customHeight="1">
      <c r="B465" s="667"/>
      <c r="C465" s="667"/>
      <c r="D465" s="667"/>
      <c r="E465" s="668"/>
      <c r="F465" s="667"/>
      <c r="G465" s="667"/>
      <c r="H465" s="667"/>
      <c r="I465" s="667"/>
      <c r="J465" s="667"/>
      <c r="K465" s="667"/>
      <c r="L465" s="667"/>
      <c r="M465" s="667"/>
      <c r="N465" s="667"/>
      <c r="O465" s="667"/>
      <c r="P465" s="667"/>
      <c r="Q465" s="667"/>
    </row>
    <row r="466" ht="15.75" customHeight="1">
      <c r="B466" s="667"/>
      <c r="C466" s="667"/>
      <c r="D466" s="667"/>
      <c r="E466" s="668"/>
      <c r="F466" s="667"/>
      <c r="G466" s="667"/>
      <c r="H466" s="667"/>
      <c r="I466" s="667"/>
      <c r="J466" s="667"/>
      <c r="K466" s="667"/>
      <c r="L466" s="667"/>
      <c r="M466" s="667"/>
      <c r="N466" s="667"/>
      <c r="O466" s="667"/>
      <c r="P466" s="667"/>
      <c r="Q466" s="667"/>
    </row>
    <row r="467" ht="15.75" customHeight="1">
      <c r="B467" s="667"/>
      <c r="C467" s="667"/>
      <c r="D467" s="667"/>
      <c r="E467" s="668"/>
      <c r="F467" s="667"/>
      <c r="G467" s="667"/>
      <c r="H467" s="667"/>
      <c r="I467" s="667"/>
      <c r="J467" s="667"/>
      <c r="K467" s="667"/>
      <c r="L467" s="667"/>
      <c r="M467" s="667"/>
      <c r="N467" s="667"/>
      <c r="O467" s="667"/>
      <c r="P467" s="667"/>
      <c r="Q467" s="667"/>
    </row>
    <row r="468" ht="15.75" customHeight="1">
      <c r="B468" s="667"/>
      <c r="C468" s="667"/>
      <c r="D468" s="667"/>
      <c r="E468" s="668"/>
      <c r="F468" s="667"/>
      <c r="G468" s="667"/>
      <c r="H468" s="667"/>
      <c r="I468" s="667"/>
      <c r="J468" s="667"/>
      <c r="K468" s="667"/>
      <c r="L468" s="667"/>
      <c r="M468" s="667"/>
      <c r="N468" s="667"/>
      <c r="O468" s="667"/>
      <c r="P468" s="667"/>
      <c r="Q468" s="667"/>
    </row>
    <row r="469" ht="15.75" customHeight="1">
      <c r="B469" s="667"/>
      <c r="C469" s="667"/>
      <c r="D469" s="667"/>
      <c r="E469" s="668"/>
      <c r="F469" s="667"/>
      <c r="G469" s="667"/>
      <c r="H469" s="667"/>
      <c r="I469" s="667"/>
      <c r="J469" s="667"/>
      <c r="K469" s="667"/>
      <c r="L469" s="667"/>
      <c r="M469" s="667"/>
      <c r="N469" s="667"/>
      <c r="O469" s="667"/>
      <c r="P469" s="667"/>
      <c r="Q469" s="667"/>
    </row>
    <row r="470" ht="15.75" customHeight="1">
      <c r="B470" s="667"/>
      <c r="C470" s="667"/>
      <c r="D470" s="667"/>
      <c r="E470" s="668"/>
      <c r="F470" s="667"/>
      <c r="G470" s="667"/>
      <c r="H470" s="667"/>
      <c r="I470" s="667"/>
      <c r="J470" s="667"/>
      <c r="K470" s="667"/>
      <c r="L470" s="667"/>
      <c r="M470" s="667"/>
      <c r="N470" s="667"/>
      <c r="O470" s="667"/>
      <c r="P470" s="667"/>
      <c r="Q470" s="667"/>
    </row>
    <row r="471" ht="15.75" customHeight="1">
      <c r="B471" s="667"/>
      <c r="C471" s="667"/>
      <c r="D471" s="667"/>
      <c r="E471" s="668"/>
      <c r="F471" s="667"/>
      <c r="G471" s="667"/>
      <c r="H471" s="667"/>
      <c r="I471" s="667"/>
      <c r="J471" s="667"/>
      <c r="K471" s="667"/>
      <c r="L471" s="667"/>
      <c r="M471" s="667"/>
      <c r="N471" s="667"/>
      <c r="O471" s="667"/>
      <c r="P471" s="667"/>
      <c r="Q471" s="667"/>
    </row>
    <row r="472" ht="15.75" customHeight="1">
      <c r="B472" s="667"/>
      <c r="C472" s="667"/>
      <c r="D472" s="667"/>
      <c r="E472" s="668"/>
      <c r="F472" s="667"/>
      <c r="G472" s="667"/>
      <c r="H472" s="667"/>
      <c r="I472" s="667"/>
      <c r="J472" s="667"/>
      <c r="K472" s="667"/>
      <c r="L472" s="667"/>
      <c r="M472" s="667"/>
      <c r="N472" s="667"/>
      <c r="O472" s="667"/>
      <c r="P472" s="667"/>
      <c r="Q472" s="667"/>
    </row>
    <row r="473" ht="15.75" customHeight="1">
      <c r="B473" s="667"/>
      <c r="C473" s="667"/>
      <c r="D473" s="667"/>
      <c r="E473" s="668"/>
      <c r="F473" s="667"/>
      <c r="G473" s="667"/>
      <c r="H473" s="667"/>
      <c r="I473" s="667"/>
      <c r="J473" s="667"/>
      <c r="K473" s="667"/>
      <c r="L473" s="667"/>
      <c r="M473" s="667"/>
      <c r="N473" s="667"/>
      <c r="O473" s="667"/>
      <c r="P473" s="667"/>
      <c r="Q473" s="667"/>
    </row>
    <row r="474" ht="15.75" customHeight="1">
      <c r="B474" s="667"/>
      <c r="C474" s="667"/>
      <c r="D474" s="667"/>
      <c r="E474" s="668"/>
      <c r="F474" s="667"/>
      <c r="G474" s="667"/>
      <c r="H474" s="667"/>
      <c r="I474" s="667"/>
      <c r="J474" s="667"/>
      <c r="K474" s="667"/>
      <c r="L474" s="667"/>
      <c r="M474" s="667"/>
      <c r="N474" s="667"/>
      <c r="O474" s="667"/>
      <c r="P474" s="667"/>
      <c r="Q474" s="667"/>
    </row>
    <row r="475" ht="15.75" customHeight="1">
      <c r="B475" s="667"/>
      <c r="C475" s="667"/>
      <c r="D475" s="667"/>
      <c r="E475" s="668"/>
      <c r="F475" s="667"/>
      <c r="G475" s="667"/>
      <c r="H475" s="667"/>
      <c r="I475" s="667"/>
      <c r="J475" s="667"/>
      <c r="K475" s="667"/>
      <c r="L475" s="667"/>
      <c r="M475" s="667"/>
      <c r="N475" s="667"/>
      <c r="O475" s="667"/>
      <c r="P475" s="667"/>
      <c r="Q475" s="667"/>
    </row>
    <row r="476" ht="15.75" customHeight="1">
      <c r="B476" s="667"/>
      <c r="C476" s="667"/>
      <c r="D476" s="667"/>
      <c r="E476" s="668"/>
      <c r="F476" s="667"/>
      <c r="G476" s="667"/>
      <c r="H476" s="667"/>
      <c r="I476" s="667"/>
      <c r="J476" s="667"/>
      <c r="K476" s="667"/>
      <c r="L476" s="667"/>
      <c r="M476" s="667"/>
      <c r="N476" s="667"/>
      <c r="O476" s="667"/>
      <c r="P476" s="667"/>
      <c r="Q476" s="667"/>
    </row>
    <row r="477" ht="15.75" customHeight="1">
      <c r="B477" s="667"/>
      <c r="C477" s="667"/>
      <c r="D477" s="667"/>
      <c r="E477" s="668"/>
      <c r="F477" s="667"/>
      <c r="G477" s="667"/>
      <c r="H477" s="667"/>
      <c r="I477" s="667"/>
      <c r="J477" s="667"/>
      <c r="K477" s="667"/>
      <c r="L477" s="667"/>
      <c r="M477" s="667"/>
      <c r="N477" s="667"/>
      <c r="O477" s="667"/>
      <c r="P477" s="667"/>
      <c r="Q477" s="667"/>
    </row>
    <row r="478" ht="15.75" customHeight="1">
      <c r="B478" s="667"/>
      <c r="C478" s="667"/>
      <c r="D478" s="667"/>
      <c r="E478" s="668"/>
      <c r="F478" s="667"/>
      <c r="G478" s="667"/>
      <c r="H478" s="667"/>
      <c r="I478" s="667"/>
      <c r="J478" s="667"/>
      <c r="K478" s="667"/>
      <c r="L478" s="667"/>
      <c r="M478" s="667"/>
      <c r="N478" s="667"/>
      <c r="O478" s="667"/>
      <c r="P478" s="667"/>
      <c r="Q478" s="667"/>
    </row>
    <row r="479" ht="15.75" customHeight="1">
      <c r="B479" s="667"/>
      <c r="C479" s="667"/>
      <c r="D479" s="667"/>
      <c r="E479" s="668"/>
      <c r="F479" s="667"/>
      <c r="G479" s="667"/>
      <c r="H479" s="667"/>
      <c r="I479" s="667"/>
      <c r="J479" s="667"/>
      <c r="K479" s="667"/>
      <c r="L479" s="667"/>
      <c r="M479" s="667"/>
      <c r="N479" s="667"/>
      <c r="O479" s="667"/>
      <c r="P479" s="667"/>
      <c r="Q479" s="667"/>
    </row>
    <row r="480" ht="15.75" customHeight="1">
      <c r="B480" s="667"/>
      <c r="C480" s="667"/>
      <c r="D480" s="667"/>
      <c r="E480" s="668"/>
      <c r="F480" s="667"/>
      <c r="G480" s="667"/>
      <c r="H480" s="667"/>
      <c r="I480" s="667"/>
      <c r="J480" s="667"/>
      <c r="K480" s="667"/>
      <c r="L480" s="667"/>
      <c r="M480" s="667"/>
      <c r="N480" s="667"/>
      <c r="O480" s="667"/>
      <c r="P480" s="667"/>
      <c r="Q480" s="667"/>
    </row>
    <row r="481" ht="15.75" customHeight="1">
      <c r="B481" s="667"/>
      <c r="C481" s="667"/>
      <c r="D481" s="667"/>
      <c r="E481" s="668"/>
      <c r="F481" s="667"/>
      <c r="G481" s="667"/>
      <c r="H481" s="667"/>
      <c r="I481" s="667"/>
      <c r="J481" s="667"/>
      <c r="K481" s="667"/>
      <c r="L481" s="667"/>
      <c r="M481" s="667"/>
      <c r="N481" s="667"/>
      <c r="O481" s="667"/>
      <c r="P481" s="667"/>
      <c r="Q481" s="667"/>
    </row>
    <row r="482" ht="15.75" customHeight="1">
      <c r="B482" s="667"/>
      <c r="C482" s="667"/>
      <c r="D482" s="667"/>
      <c r="E482" s="668"/>
      <c r="F482" s="667"/>
      <c r="G482" s="667"/>
      <c r="H482" s="667"/>
      <c r="I482" s="667"/>
      <c r="J482" s="667"/>
      <c r="K482" s="667"/>
      <c r="L482" s="667"/>
      <c r="M482" s="667"/>
      <c r="N482" s="667"/>
      <c r="O482" s="667"/>
      <c r="P482" s="667"/>
      <c r="Q482" s="667"/>
    </row>
    <row r="483" ht="15.75" customHeight="1">
      <c r="B483" s="667"/>
      <c r="C483" s="667"/>
      <c r="D483" s="667"/>
      <c r="E483" s="668"/>
      <c r="F483" s="667"/>
      <c r="G483" s="667"/>
      <c r="H483" s="667"/>
      <c r="I483" s="667"/>
      <c r="J483" s="667"/>
      <c r="K483" s="667"/>
      <c r="L483" s="667"/>
      <c r="M483" s="667"/>
      <c r="N483" s="667"/>
      <c r="O483" s="667"/>
      <c r="P483" s="667"/>
      <c r="Q483" s="667"/>
    </row>
    <row r="484" ht="15.75" customHeight="1">
      <c r="B484" s="667"/>
      <c r="C484" s="667"/>
      <c r="D484" s="667"/>
      <c r="E484" s="668"/>
      <c r="F484" s="667"/>
      <c r="G484" s="667"/>
      <c r="H484" s="667"/>
      <c r="I484" s="667"/>
      <c r="J484" s="667"/>
      <c r="K484" s="667"/>
      <c r="L484" s="667"/>
      <c r="M484" s="667"/>
      <c r="N484" s="667"/>
      <c r="O484" s="667"/>
      <c r="P484" s="667"/>
      <c r="Q484" s="667"/>
    </row>
    <row r="485" ht="15.75" customHeight="1">
      <c r="B485" s="667"/>
      <c r="C485" s="667"/>
      <c r="D485" s="667"/>
      <c r="E485" s="668"/>
      <c r="F485" s="667"/>
      <c r="G485" s="667"/>
      <c r="H485" s="667"/>
      <c r="I485" s="667"/>
      <c r="J485" s="667"/>
      <c r="K485" s="667"/>
      <c r="L485" s="667"/>
      <c r="M485" s="667"/>
      <c r="N485" s="667"/>
      <c r="O485" s="667"/>
      <c r="P485" s="667"/>
      <c r="Q485" s="667"/>
    </row>
    <row r="486" ht="15.75" customHeight="1">
      <c r="B486" s="667"/>
      <c r="C486" s="667"/>
      <c r="D486" s="667"/>
      <c r="E486" s="668"/>
      <c r="F486" s="667"/>
      <c r="G486" s="667"/>
      <c r="H486" s="667"/>
      <c r="I486" s="667"/>
      <c r="J486" s="667"/>
      <c r="K486" s="667"/>
      <c r="L486" s="667"/>
      <c r="M486" s="667"/>
      <c r="N486" s="667"/>
      <c r="O486" s="667"/>
      <c r="P486" s="667"/>
      <c r="Q486" s="667"/>
    </row>
    <row r="487" ht="15.75" customHeight="1">
      <c r="B487" s="667"/>
      <c r="C487" s="667"/>
      <c r="D487" s="667"/>
      <c r="E487" s="668"/>
      <c r="F487" s="667"/>
      <c r="G487" s="667"/>
      <c r="H487" s="667"/>
      <c r="I487" s="667"/>
      <c r="J487" s="667"/>
      <c r="K487" s="667"/>
      <c r="L487" s="667"/>
      <c r="M487" s="667"/>
      <c r="N487" s="667"/>
      <c r="O487" s="667"/>
      <c r="P487" s="667"/>
      <c r="Q487" s="667"/>
    </row>
    <row r="488" ht="15.75" customHeight="1">
      <c r="B488" s="667"/>
      <c r="C488" s="667"/>
      <c r="D488" s="667"/>
      <c r="E488" s="668"/>
      <c r="F488" s="667"/>
      <c r="G488" s="667"/>
      <c r="H488" s="667"/>
      <c r="I488" s="667"/>
      <c r="J488" s="667"/>
      <c r="K488" s="667"/>
      <c r="L488" s="667"/>
      <c r="M488" s="667"/>
      <c r="N488" s="667"/>
      <c r="O488" s="667"/>
      <c r="P488" s="667"/>
      <c r="Q488" s="667"/>
    </row>
    <row r="489" ht="15.75" customHeight="1">
      <c r="B489" s="667"/>
      <c r="C489" s="667"/>
      <c r="D489" s="667"/>
      <c r="E489" s="668"/>
      <c r="F489" s="667"/>
      <c r="G489" s="667"/>
      <c r="H489" s="667"/>
      <c r="I489" s="667"/>
      <c r="J489" s="667"/>
      <c r="K489" s="667"/>
      <c r="L489" s="667"/>
      <c r="M489" s="667"/>
      <c r="N489" s="667"/>
      <c r="O489" s="667"/>
      <c r="P489" s="667"/>
      <c r="Q489" s="667"/>
    </row>
    <row r="490" ht="15.75" customHeight="1">
      <c r="B490" s="667"/>
      <c r="C490" s="667"/>
      <c r="D490" s="667"/>
      <c r="E490" s="668"/>
      <c r="F490" s="667"/>
      <c r="G490" s="667"/>
      <c r="H490" s="667"/>
      <c r="I490" s="667"/>
      <c r="J490" s="667"/>
      <c r="K490" s="667"/>
      <c r="L490" s="667"/>
      <c r="M490" s="667"/>
      <c r="N490" s="667"/>
      <c r="O490" s="667"/>
      <c r="P490" s="667"/>
      <c r="Q490" s="667"/>
    </row>
    <row r="491" ht="15.75" customHeight="1">
      <c r="B491" s="667"/>
      <c r="C491" s="667"/>
      <c r="D491" s="667"/>
      <c r="E491" s="668"/>
      <c r="F491" s="667"/>
      <c r="G491" s="667"/>
      <c r="H491" s="667"/>
      <c r="I491" s="667"/>
      <c r="J491" s="667"/>
      <c r="K491" s="667"/>
      <c r="L491" s="667"/>
      <c r="M491" s="667"/>
      <c r="N491" s="667"/>
      <c r="O491" s="667"/>
      <c r="P491" s="667"/>
      <c r="Q491" s="667"/>
    </row>
    <row r="492" ht="15.75" customHeight="1">
      <c r="B492" s="667"/>
      <c r="C492" s="667"/>
      <c r="D492" s="667"/>
      <c r="E492" s="668"/>
      <c r="F492" s="667"/>
      <c r="G492" s="667"/>
      <c r="H492" s="667"/>
      <c r="I492" s="667"/>
      <c r="J492" s="667"/>
      <c r="K492" s="667"/>
      <c r="L492" s="667"/>
      <c r="M492" s="667"/>
      <c r="N492" s="667"/>
      <c r="O492" s="667"/>
      <c r="P492" s="667"/>
      <c r="Q492" s="667"/>
    </row>
    <row r="493" ht="15.75" customHeight="1">
      <c r="B493" s="667"/>
      <c r="C493" s="667"/>
      <c r="D493" s="667"/>
      <c r="E493" s="668"/>
      <c r="F493" s="667"/>
      <c r="G493" s="667"/>
      <c r="H493" s="667"/>
      <c r="I493" s="667"/>
      <c r="J493" s="667"/>
      <c r="K493" s="667"/>
      <c r="L493" s="667"/>
      <c r="M493" s="667"/>
      <c r="N493" s="667"/>
      <c r="O493" s="667"/>
      <c r="P493" s="667"/>
      <c r="Q493" s="667"/>
    </row>
    <row r="494" ht="15.75" customHeight="1">
      <c r="B494" s="667"/>
      <c r="C494" s="667"/>
      <c r="D494" s="667"/>
      <c r="E494" s="668"/>
      <c r="F494" s="667"/>
      <c r="G494" s="667"/>
      <c r="H494" s="667"/>
      <c r="I494" s="667"/>
      <c r="J494" s="667"/>
      <c r="K494" s="667"/>
      <c r="L494" s="667"/>
      <c r="M494" s="667"/>
      <c r="N494" s="667"/>
      <c r="O494" s="667"/>
      <c r="P494" s="667"/>
      <c r="Q494" s="667"/>
    </row>
    <row r="495" ht="15.75" customHeight="1">
      <c r="B495" s="667"/>
      <c r="C495" s="667"/>
      <c r="D495" s="667"/>
      <c r="E495" s="668"/>
      <c r="F495" s="667"/>
      <c r="G495" s="667"/>
      <c r="H495" s="667"/>
      <c r="I495" s="667"/>
      <c r="J495" s="667"/>
      <c r="K495" s="667"/>
      <c r="L495" s="667"/>
      <c r="M495" s="667"/>
      <c r="N495" s="667"/>
      <c r="O495" s="667"/>
      <c r="P495" s="667"/>
      <c r="Q495" s="667"/>
    </row>
    <row r="496" ht="15.75" customHeight="1">
      <c r="B496" s="667"/>
      <c r="C496" s="667"/>
      <c r="D496" s="667"/>
      <c r="E496" s="668"/>
      <c r="F496" s="667"/>
      <c r="G496" s="667"/>
      <c r="H496" s="667"/>
      <c r="I496" s="667"/>
      <c r="J496" s="667"/>
      <c r="K496" s="667"/>
      <c r="L496" s="667"/>
      <c r="M496" s="667"/>
      <c r="N496" s="667"/>
      <c r="O496" s="667"/>
      <c r="P496" s="667"/>
      <c r="Q496" s="667"/>
    </row>
    <row r="497" ht="15.75" customHeight="1">
      <c r="B497" s="667"/>
      <c r="C497" s="667"/>
      <c r="D497" s="667"/>
      <c r="E497" s="668"/>
      <c r="F497" s="667"/>
      <c r="G497" s="667"/>
      <c r="H497" s="667"/>
      <c r="I497" s="667"/>
      <c r="J497" s="667"/>
      <c r="K497" s="667"/>
      <c r="L497" s="667"/>
      <c r="M497" s="667"/>
      <c r="N497" s="667"/>
      <c r="O497" s="667"/>
      <c r="P497" s="667"/>
      <c r="Q497" s="667"/>
    </row>
    <row r="498" ht="15.75" customHeight="1">
      <c r="B498" s="667"/>
      <c r="C498" s="667"/>
      <c r="D498" s="667"/>
      <c r="E498" s="668"/>
      <c r="F498" s="667"/>
      <c r="G498" s="667"/>
      <c r="H498" s="667"/>
      <c r="I498" s="667"/>
      <c r="J498" s="667"/>
      <c r="K498" s="667"/>
      <c r="L498" s="667"/>
      <c r="M498" s="667"/>
      <c r="N498" s="667"/>
      <c r="O498" s="667"/>
      <c r="P498" s="667"/>
      <c r="Q498" s="667"/>
    </row>
    <row r="499" ht="15.75" customHeight="1">
      <c r="B499" s="667"/>
      <c r="C499" s="667"/>
      <c r="D499" s="667"/>
      <c r="E499" s="668"/>
      <c r="F499" s="667"/>
      <c r="G499" s="667"/>
      <c r="H499" s="667"/>
      <c r="I499" s="667"/>
      <c r="J499" s="667"/>
      <c r="K499" s="667"/>
      <c r="L499" s="667"/>
      <c r="M499" s="667"/>
      <c r="N499" s="667"/>
      <c r="O499" s="667"/>
      <c r="P499" s="667"/>
      <c r="Q499" s="667"/>
    </row>
    <row r="500" ht="15.75" customHeight="1">
      <c r="B500" s="667"/>
      <c r="C500" s="667"/>
      <c r="D500" s="667"/>
      <c r="E500" s="668"/>
      <c r="F500" s="667"/>
      <c r="G500" s="667"/>
      <c r="H500" s="667"/>
      <c r="I500" s="667"/>
      <c r="J500" s="667"/>
      <c r="K500" s="667"/>
      <c r="L500" s="667"/>
      <c r="M500" s="667"/>
      <c r="N500" s="667"/>
      <c r="O500" s="667"/>
      <c r="P500" s="667"/>
      <c r="Q500" s="667"/>
    </row>
    <row r="501" ht="15.75" customHeight="1">
      <c r="B501" s="667"/>
      <c r="C501" s="667"/>
      <c r="D501" s="667"/>
      <c r="E501" s="668"/>
      <c r="F501" s="667"/>
      <c r="G501" s="667"/>
      <c r="H501" s="667"/>
      <c r="I501" s="667"/>
      <c r="J501" s="667"/>
      <c r="K501" s="667"/>
      <c r="L501" s="667"/>
      <c r="M501" s="667"/>
      <c r="N501" s="667"/>
      <c r="O501" s="667"/>
      <c r="P501" s="667"/>
      <c r="Q501" s="667"/>
    </row>
    <row r="502" ht="15.75" customHeight="1">
      <c r="B502" s="667"/>
      <c r="C502" s="667"/>
      <c r="D502" s="667"/>
      <c r="E502" s="668"/>
      <c r="F502" s="667"/>
      <c r="G502" s="667"/>
      <c r="H502" s="667"/>
      <c r="I502" s="667"/>
      <c r="J502" s="667"/>
      <c r="K502" s="667"/>
      <c r="L502" s="667"/>
      <c r="M502" s="667"/>
      <c r="N502" s="667"/>
      <c r="O502" s="667"/>
      <c r="P502" s="667"/>
      <c r="Q502" s="667"/>
    </row>
    <row r="503" ht="15.75" customHeight="1">
      <c r="B503" s="667"/>
      <c r="C503" s="667"/>
      <c r="D503" s="667"/>
      <c r="E503" s="668"/>
      <c r="F503" s="667"/>
      <c r="G503" s="667"/>
      <c r="H503" s="667"/>
      <c r="I503" s="667"/>
      <c r="J503" s="667"/>
      <c r="K503" s="667"/>
      <c r="L503" s="667"/>
      <c r="M503" s="667"/>
      <c r="N503" s="667"/>
      <c r="O503" s="667"/>
      <c r="P503" s="667"/>
      <c r="Q503" s="667"/>
    </row>
    <row r="504" ht="15.75" customHeight="1">
      <c r="B504" s="667"/>
      <c r="C504" s="667"/>
      <c r="D504" s="667"/>
      <c r="E504" s="668"/>
      <c r="F504" s="667"/>
      <c r="G504" s="667"/>
      <c r="H504" s="667"/>
      <c r="I504" s="667"/>
      <c r="J504" s="667"/>
      <c r="K504" s="667"/>
      <c r="L504" s="667"/>
      <c r="M504" s="667"/>
      <c r="N504" s="667"/>
      <c r="O504" s="667"/>
      <c r="P504" s="667"/>
      <c r="Q504" s="667"/>
    </row>
    <row r="505" ht="15.75" customHeight="1">
      <c r="B505" s="667"/>
      <c r="C505" s="667"/>
      <c r="D505" s="667"/>
      <c r="E505" s="668"/>
      <c r="F505" s="667"/>
      <c r="G505" s="667"/>
      <c r="H505" s="667"/>
      <c r="I505" s="667"/>
      <c r="J505" s="667"/>
      <c r="K505" s="667"/>
      <c r="L505" s="667"/>
      <c r="M505" s="667"/>
      <c r="N505" s="667"/>
      <c r="O505" s="667"/>
      <c r="P505" s="667"/>
      <c r="Q505" s="667"/>
    </row>
    <row r="506" ht="15.75" customHeight="1">
      <c r="B506" s="667"/>
      <c r="C506" s="667"/>
      <c r="D506" s="667"/>
      <c r="E506" s="668"/>
      <c r="F506" s="667"/>
      <c r="G506" s="667"/>
      <c r="H506" s="667"/>
      <c r="I506" s="667"/>
      <c r="J506" s="667"/>
      <c r="K506" s="667"/>
      <c r="L506" s="667"/>
      <c r="M506" s="667"/>
      <c r="N506" s="667"/>
      <c r="O506" s="667"/>
      <c r="P506" s="667"/>
      <c r="Q506" s="667"/>
    </row>
    <row r="507" ht="15.75" customHeight="1">
      <c r="B507" s="667"/>
      <c r="C507" s="667"/>
      <c r="D507" s="667"/>
      <c r="E507" s="668"/>
      <c r="F507" s="667"/>
      <c r="G507" s="667"/>
      <c r="H507" s="667"/>
      <c r="I507" s="667"/>
      <c r="J507" s="667"/>
      <c r="K507" s="667"/>
      <c r="L507" s="667"/>
      <c r="M507" s="667"/>
      <c r="N507" s="667"/>
      <c r="O507" s="667"/>
      <c r="P507" s="667"/>
      <c r="Q507" s="667"/>
    </row>
    <row r="508" ht="15.75" customHeight="1">
      <c r="B508" s="667"/>
      <c r="C508" s="667"/>
      <c r="D508" s="667"/>
      <c r="E508" s="668"/>
      <c r="F508" s="667"/>
      <c r="G508" s="667"/>
      <c r="H508" s="667"/>
      <c r="I508" s="667"/>
      <c r="J508" s="667"/>
      <c r="K508" s="667"/>
      <c r="L508" s="667"/>
      <c r="M508" s="667"/>
      <c r="N508" s="667"/>
      <c r="O508" s="667"/>
      <c r="P508" s="667"/>
      <c r="Q508" s="667"/>
    </row>
    <row r="509" ht="15.75" customHeight="1">
      <c r="B509" s="667"/>
      <c r="C509" s="667"/>
      <c r="D509" s="667"/>
      <c r="E509" s="668"/>
      <c r="F509" s="667"/>
      <c r="G509" s="667"/>
      <c r="H509" s="667"/>
      <c r="I509" s="667"/>
      <c r="J509" s="667"/>
      <c r="K509" s="667"/>
      <c r="L509" s="667"/>
      <c r="M509" s="667"/>
      <c r="N509" s="667"/>
      <c r="O509" s="667"/>
      <c r="P509" s="667"/>
      <c r="Q509" s="667"/>
    </row>
    <row r="510" ht="15.75" customHeight="1">
      <c r="B510" s="667"/>
      <c r="C510" s="667"/>
      <c r="D510" s="667"/>
      <c r="E510" s="668"/>
      <c r="F510" s="667"/>
      <c r="G510" s="667"/>
      <c r="H510" s="667"/>
      <c r="I510" s="667"/>
      <c r="J510" s="667"/>
      <c r="K510" s="667"/>
      <c r="L510" s="667"/>
      <c r="M510" s="667"/>
      <c r="N510" s="667"/>
      <c r="O510" s="667"/>
      <c r="P510" s="667"/>
      <c r="Q510" s="667"/>
    </row>
    <row r="511" ht="15.75" customHeight="1">
      <c r="B511" s="667"/>
      <c r="C511" s="667"/>
      <c r="D511" s="667"/>
      <c r="E511" s="668"/>
      <c r="F511" s="667"/>
      <c r="G511" s="667"/>
      <c r="H511" s="667"/>
      <c r="I511" s="667"/>
      <c r="J511" s="667"/>
      <c r="K511" s="667"/>
      <c r="L511" s="667"/>
      <c r="M511" s="667"/>
      <c r="N511" s="667"/>
      <c r="O511" s="667"/>
      <c r="P511" s="667"/>
      <c r="Q511" s="667"/>
    </row>
    <row r="512" ht="15.75" customHeight="1">
      <c r="B512" s="667"/>
      <c r="C512" s="667"/>
      <c r="D512" s="667"/>
      <c r="E512" s="668"/>
      <c r="F512" s="667"/>
      <c r="G512" s="667"/>
      <c r="H512" s="667"/>
      <c r="I512" s="667"/>
      <c r="J512" s="667"/>
      <c r="K512" s="667"/>
      <c r="L512" s="667"/>
      <c r="M512" s="667"/>
      <c r="N512" s="667"/>
      <c r="O512" s="667"/>
      <c r="P512" s="667"/>
      <c r="Q512" s="667"/>
    </row>
    <row r="513" ht="15.75" customHeight="1">
      <c r="B513" s="667"/>
      <c r="C513" s="667"/>
      <c r="D513" s="667"/>
      <c r="E513" s="668"/>
      <c r="F513" s="667"/>
      <c r="G513" s="667"/>
      <c r="H513" s="667"/>
      <c r="I513" s="667"/>
      <c r="J513" s="667"/>
      <c r="K513" s="667"/>
      <c r="L513" s="667"/>
      <c r="M513" s="667"/>
      <c r="N513" s="667"/>
      <c r="O513" s="667"/>
      <c r="P513" s="667"/>
      <c r="Q513" s="667"/>
    </row>
    <row r="514" ht="15.75" customHeight="1">
      <c r="B514" s="667"/>
      <c r="C514" s="667"/>
      <c r="D514" s="667"/>
      <c r="E514" s="668"/>
      <c r="F514" s="667"/>
      <c r="G514" s="667"/>
      <c r="H514" s="667"/>
      <c r="I514" s="667"/>
      <c r="J514" s="667"/>
      <c r="K514" s="667"/>
      <c r="L514" s="667"/>
      <c r="M514" s="667"/>
      <c r="N514" s="667"/>
      <c r="O514" s="667"/>
      <c r="P514" s="667"/>
      <c r="Q514" s="667"/>
    </row>
    <row r="515" ht="15.75" customHeight="1">
      <c r="B515" s="667"/>
      <c r="C515" s="667"/>
      <c r="D515" s="667"/>
      <c r="E515" s="668"/>
      <c r="F515" s="667"/>
      <c r="G515" s="667"/>
      <c r="H515" s="667"/>
      <c r="I515" s="667"/>
      <c r="J515" s="667"/>
      <c r="K515" s="667"/>
      <c r="L515" s="667"/>
      <c r="M515" s="667"/>
      <c r="N515" s="667"/>
      <c r="O515" s="667"/>
      <c r="P515" s="667"/>
      <c r="Q515" s="667"/>
    </row>
    <row r="516" ht="15.75" customHeight="1">
      <c r="B516" s="667"/>
      <c r="C516" s="667"/>
      <c r="D516" s="667"/>
      <c r="E516" s="668"/>
      <c r="F516" s="667"/>
      <c r="G516" s="667"/>
      <c r="H516" s="667"/>
      <c r="I516" s="667"/>
      <c r="J516" s="667"/>
      <c r="K516" s="667"/>
      <c r="L516" s="667"/>
      <c r="M516" s="667"/>
      <c r="N516" s="667"/>
      <c r="O516" s="667"/>
      <c r="P516" s="667"/>
      <c r="Q516" s="667"/>
    </row>
    <row r="517" ht="15.75" customHeight="1">
      <c r="B517" s="667"/>
      <c r="C517" s="667"/>
      <c r="D517" s="667"/>
      <c r="E517" s="668"/>
      <c r="F517" s="667"/>
      <c r="G517" s="667"/>
      <c r="H517" s="667"/>
      <c r="I517" s="667"/>
      <c r="J517" s="667"/>
      <c r="K517" s="667"/>
      <c r="L517" s="667"/>
      <c r="M517" s="667"/>
      <c r="N517" s="667"/>
      <c r="O517" s="667"/>
      <c r="P517" s="667"/>
      <c r="Q517" s="667"/>
    </row>
    <row r="518" ht="15.75" customHeight="1">
      <c r="B518" s="667"/>
      <c r="C518" s="667"/>
      <c r="D518" s="667"/>
      <c r="E518" s="668"/>
      <c r="F518" s="667"/>
      <c r="G518" s="667"/>
      <c r="H518" s="667"/>
      <c r="I518" s="667"/>
      <c r="J518" s="667"/>
      <c r="K518" s="667"/>
      <c r="L518" s="667"/>
      <c r="M518" s="667"/>
      <c r="N518" s="667"/>
      <c r="O518" s="667"/>
      <c r="P518" s="667"/>
      <c r="Q518" s="667"/>
    </row>
    <row r="519" ht="15.75" customHeight="1">
      <c r="B519" s="667"/>
      <c r="C519" s="667"/>
      <c r="D519" s="667"/>
      <c r="E519" s="668"/>
      <c r="F519" s="667"/>
      <c r="G519" s="667"/>
      <c r="H519" s="667"/>
      <c r="I519" s="667"/>
      <c r="J519" s="667"/>
      <c r="K519" s="667"/>
      <c r="L519" s="667"/>
      <c r="M519" s="667"/>
      <c r="N519" s="667"/>
      <c r="O519" s="667"/>
      <c r="P519" s="667"/>
      <c r="Q519" s="667"/>
    </row>
    <row r="520" ht="15.75" customHeight="1">
      <c r="B520" s="667"/>
      <c r="C520" s="667"/>
      <c r="D520" s="667"/>
      <c r="E520" s="668"/>
      <c r="F520" s="667"/>
      <c r="G520" s="667"/>
      <c r="H520" s="667"/>
      <c r="I520" s="667"/>
      <c r="J520" s="667"/>
      <c r="K520" s="667"/>
      <c r="L520" s="667"/>
      <c r="M520" s="667"/>
      <c r="N520" s="667"/>
      <c r="O520" s="667"/>
      <c r="P520" s="667"/>
      <c r="Q520" s="667"/>
    </row>
    <row r="521" ht="15.75" customHeight="1">
      <c r="B521" s="667"/>
      <c r="C521" s="667"/>
      <c r="D521" s="667"/>
      <c r="E521" s="668"/>
      <c r="F521" s="667"/>
      <c r="G521" s="667"/>
      <c r="H521" s="667"/>
      <c r="I521" s="667"/>
      <c r="J521" s="667"/>
      <c r="K521" s="667"/>
      <c r="L521" s="667"/>
      <c r="M521" s="667"/>
      <c r="N521" s="667"/>
      <c r="O521" s="667"/>
      <c r="P521" s="667"/>
      <c r="Q521" s="667"/>
    </row>
    <row r="522" ht="15.75" customHeight="1">
      <c r="B522" s="667"/>
      <c r="C522" s="667"/>
      <c r="D522" s="667"/>
      <c r="E522" s="668"/>
      <c r="F522" s="667"/>
      <c r="G522" s="667"/>
      <c r="H522" s="667"/>
      <c r="I522" s="667"/>
      <c r="J522" s="667"/>
      <c r="K522" s="667"/>
      <c r="L522" s="667"/>
      <c r="M522" s="667"/>
      <c r="N522" s="667"/>
      <c r="O522" s="667"/>
      <c r="P522" s="667"/>
      <c r="Q522" s="667"/>
    </row>
    <row r="523" ht="15.75" customHeight="1">
      <c r="B523" s="667"/>
      <c r="C523" s="667"/>
      <c r="D523" s="667"/>
      <c r="E523" s="668"/>
      <c r="F523" s="667"/>
      <c r="G523" s="667"/>
      <c r="H523" s="667"/>
      <c r="I523" s="667"/>
      <c r="J523" s="667"/>
      <c r="K523" s="667"/>
      <c r="L523" s="667"/>
      <c r="M523" s="667"/>
      <c r="N523" s="667"/>
      <c r="O523" s="667"/>
      <c r="P523" s="667"/>
      <c r="Q523" s="667"/>
    </row>
    <row r="524" ht="15.75" customHeight="1">
      <c r="B524" s="667"/>
      <c r="C524" s="667"/>
      <c r="D524" s="667"/>
      <c r="E524" s="668"/>
      <c r="F524" s="667"/>
      <c r="G524" s="667"/>
      <c r="H524" s="667"/>
      <c r="I524" s="667"/>
      <c r="J524" s="667"/>
      <c r="K524" s="667"/>
      <c r="L524" s="667"/>
      <c r="M524" s="667"/>
      <c r="N524" s="667"/>
      <c r="O524" s="667"/>
      <c r="P524" s="667"/>
      <c r="Q524" s="667"/>
    </row>
    <row r="525" ht="15.75" customHeight="1">
      <c r="B525" s="667"/>
      <c r="C525" s="667"/>
      <c r="D525" s="667"/>
      <c r="E525" s="668"/>
      <c r="F525" s="667"/>
      <c r="G525" s="667"/>
      <c r="H525" s="667"/>
      <c r="I525" s="667"/>
      <c r="J525" s="667"/>
      <c r="K525" s="667"/>
      <c r="L525" s="667"/>
      <c r="M525" s="667"/>
      <c r="N525" s="667"/>
      <c r="O525" s="667"/>
      <c r="P525" s="667"/>
      <c r="Q525" s="667"/>
    </row>
    <row r="526" ht="15.75" customHeight="1">
      <c r="B526" s="667"/>
      <c r="C526" s="667"/>
      <c r="D526" s="667"/>
      <c r="E526" s="668"/>
      <c r="F526" s="667"/>
      <c r="G526" s="667"/>
      <c r="H526" s="667"/>
      <c r="I526" s="667"/>
      <c r="J526" s="667"/>
      <c r="K526" s="667"/>
      <c r="L526" s="667"/>
      <c r="M526" s="667"/>
      <c r="N526" s="667"/>
      <c r="O526" s="667"/>
      <c r="P526" s="667"/>
      <c r="Q526" s="667"/>
    </row>
    <row r="527" ht="15.75" customHeight="1">
      <c r="B527" s="667"/>
      <c r="C527" s="667"/>
      <c r="D527" s="667"/>
      <c r="E527" s="668"/>
      <c r="F527" s="667"/>
      <c r="G527" s="667"/>
      <c r="H527" s="667"/>
      <c r="I527" s="667"/>
      <c r="J527" s="667"/>
      <c r="K527" s="667"/>
      <c r="L527" s="667"/>
      <c r="M527" s="667"/>
      <c r="N527" s="667"/>
      <c r="O527" s="667"/>
      <c r="P527" s="667"/>
      <c r="Q527" s="667"/>
    </row>
    <row r="528" ht="15.75" customHeight="1">
      <c r="B528" s="667"/>
      <c r="C528" s="667"/>
      <c r="D528" s="667"/>
      <c r="E528" s="668"/>
      <c r="F528" s="667"/>
      <c r="G528" s="667"/>
      <c r="H528" s="667"/>
      <c r="I528" s="667"/>
      <c r="J528" s="667"/>
      <c r="K528" s="667"/>
      <c r="L528" s="667"/>
      <c r="M528" s="667"/>
      <c r="N528" s="667"/>
      <c r="O528" s="667"/>
      <c r="P528" s="667"/>
      <c r="Q528" s="667"/>
    </row>
    <row r="529" ht="15.75" customHeight="1">
      <c r="B529" s="667"/>
      <c r="C529" s="667"/>
      <c r="D529" s="667"/>
      <c r="E529" s="668"/>
      <c r="F529" s="667"/>
      <c r="G529" s="667"/>
      <c r="H529" s="667"/>
      <c r="I529" s="667"/>
      <c r="J529" s="667"/>
      <c r="K529" s="667"/>
      <c r="L529" s="667"/>
      <c r="M529" s="667"/>
      <c r="N529" s="667"/>
      <c r="O529" s="667"/>
      <c r="P529" s="667"/>
      <c r="Q529" s="667"/>
    </row>
    <row r="530" ht="15.75" customHeight="1">
      <c r="B530" s="667"/>
      <c r="C530" s="667"/>
      <c r="D530" s="667"/>
      <c r="E530" s="668"/>
      <c r="F530" s="667"/>
      <c r="G530" s="667"/>
      <c r="H530" s="667"/>
      <c r="I530" s="667"/>
      <c r="J530" s="667"/>
      <c r="K530" s="667"/>
      <c r="L530" s="667"/>
      <c r="M530" s="667"/>
      <c r="N530" s="667"/>
      <c r="O530" s="667"/>
      <c r="P530" s="667"/>
      <c r="Q530" s="667"/>
    </row>
    <row r="531" ht="15.75" customHeight="1">
      <c r="B531" s="667"/>
      <c r="C531" s="667"/>
      <c r="D531" s="667"/>
      <c r="E531" s="668"/>
      <c r="F531" s="667"/>
      <c r="G531" s="667"/>
      <c r="H531" s="667"/>
      <c r="I531" s="667"/>
      <c r="J531" s="667"/>
      <c r="K531" s="667"/>
      <c r="L531" s="667"/>
      <c r="M531" s="667"/>
      <c r="N531" s="667"/>
      <c r="O531" s="667"/>
      <c r="P531" s="667"/>
      <c r="Q531" s="667"/>
    </row>
    <row r="532" ht="15.75" customHeight="1">
      <c r="B532" s="667"/>
      <c r="C532" s="667"/>
      <c r="D532" s="667"/>
      <c r="E532" s="668"/>
      <c r="F532" s="667"/>
      <c r="G532" s="667"/>
      <c r="H532" s="667"/>
      <c r="I532" s="667"/>
      <c r="J532" s="667"/>
      <c r="K532" s="667"/>
      <c r="L532" s="667"/>
      <c r="M532" s="667"/>
      <c r="N532" s="667"/>
      <c r="O532" s="667"/>
      <c r="P532" s="667"/>
      <c r="Q532" s="667"/>
    </row>
    <row r="533" ht="15.75" customHeight="1">
      <c r="B533" s="667"/>
      <c r="C533" s="667"/>
      <c r="D533" s="667"/>
      <c r="E533" s="668"/>
      <c r="F533" s="667"/>
      <c r="G533" s="667"/>
      <c r="H533" s="667"/>
      <c r="I533" s="667"/>
      <c r="J533" s="667"/>
      <c r="K533" s="667"/>
      <c r="L533" s="667"/>
      <c r="M533" s="667"/>
      <c r="N533" s="667"/>
      <c r="O533" s="667"/>
      <c r="P533" s="667"/>
      <c r="Q533" s="667"/>
    </row>
    <row r="534" ht="15.75" customHeight="1">
      <c r="B534" s="667"/>
      <c r="C534" s="667"/>
      <c r="D534" s="667"/>
      <c r="E534" s="668"/>
      <c r="F534" s="667"/>
      <c r="G534" s="667"/>
      <c r="H534" s="667"/>
      <c r="I534" s="667"/>
      <c r="J534" s="667"/>
      <c r="K534" s="667"/>
      <c r="L534" s="667"/>
      <c r="M534" s="667"/>
      <c r="N534" s="667"/>
      <c r="O534" s="667"/>
      <c r="P534" s="667"/>
      <c r="Q534" s="667"/>
    </row>
    <row r="535" ht="15.75" customHeight="1">
      <c r="B535" s="667"/>
      <c r="C535" s="667"/>
      <c r="D535" s="667"/>
      <c r="E535" s="668"/>
      <c r="F535" s="667"/>
      <c r="G535" s="667"/>
      <c r="H535" s="667"/>
      <c r="I535" s="667"/>
      <c r="J535" s="667"/>
      <c r="K535" s="667"/>
      <c r="L535" s="667"/>
      <c r="M535" s="667"/>
      <c r="N535" s="667"/>
      <c r="O535" s="667"/>
      <c r="P535" s="667"/>
      <c r="Q535" s="667"/>
    </row>
    <row r="536" ht="15.75" customHeight="1">
      <c r="B536" s="667"/>
      <c r="C536" s="667"/>
      <c r="D536" s="667"/>
      <c r="E536" s="668"/>
      <c r="F536" s="667"/>
      <c r="G536" s="667"/>
      <c r="H536" s="667"/>
      <c r="I536" s="667"/>
      <c r="J536" s="667"/>
      <c r="K536" s="667"/>
      <c r="L536" s="667"/>
      <c r="M536" s="667"/>
      <c r="N536" s="667"/>
      <c r="O536" s="667"/>
      <c r="P536" s="667"/>
      <c r="Q536" s="667"/>
    </row>
    <row r="537" ht="15.75" customHeight="1">
      <c r="B537" s="667"/>
      <c r="C537" s="667"/>
      <c r="D537" s="667"/>
      <c r="E537" s="668"/>
      <c r="F537" s="667"/>
      <c r="G537" s="667"/>
      <c r="H537" s="667"/>
      <c r="I537" s="667"/>
      <c r="J537" s="667"/>
      <c r="K537" s="667"/>
      <c r="L537" s="667"/>
      <c r="M537" s="667"/>
      <c r="N537" s="667"/>
      <c r="O537" s="667"/>
      <c r="P537" s="667"/>
      <c r="Q537" s="667"/>
    </row>
    <row r="538" ht="15.75" customHeight="1">
      <c r="B538" s="667"/>
      <c r="C538" s="667"/>
      <c r="D538" s="667"/>
      <c r="E538" s="668"/>
      <c r="F538" s="667"/>
      <c r="G538" s="667"/>
      <c r="H538" s="667"/>
      <c r="I538" s="667"/>
      <c r="J538" s="667"/>
      <c r="K538" s="667"/>
      <c r="L538" s="667"/>
      <c r="M538" s="667"/>
      <c r="N538" s="667"/>
      <c r="O538" s="667"/>
      <c r="P538" s="667"/>
      <c r="Q538" s="667"/>
    </row>
    <row r="539" ht="15.75" customHeight="1">
      <c r="B539" s="667"/>
      <c r="C539" s="667"/>
      <c r="D539" s="667"/>
      <c r="E539" s="668"/>
      <c r="F539" s="667"/>
      <c r="G539" s="667"/>
      <c r="H539" s="667"/>
      <c r="I539" s="667"/>
      <c r="J539" s="667"/>
      <c r="K539" s="667"/>
      <c r="L539" s="667"/>
      <c r="M539" s="667"/>
      <c r="N539" s="667"/>
      <c r="O539" s="667"/>
      <c r="P539" s="667"/>
      <c r="Q539" s="667"/>
    </row>
    <row r="540" ht="15.75" customHeight="1">
      <c r="B540" s="667"/>
      <c r="C540" s="667"/>
      <c r="D540" s="667"/>
      <c r="E540" s="668"/>
      <c r="F540" s="667"/>
      <c r="G540" s="667"/>
      <c r="H540" s="667"/>
      <c r="I540" s="667"/>
      <c r="J540" s="667"/>
      <c r="K540" s="667"/>
      <c r="L540" s="667"/>
      <c r="M540" s="667"/>
      <c r="N540" s="667"/>
      <c r="O540" s="667"/>
      <c r="P540" s="667"/>
      <c r="Q540" s="667"/>
    </row>
    <row r="541" ht="15.75" customHeight="1">
      <c r="B541" s="667"/>
      <c r="C541" s="667"/>
      <c r="D541" s="667"/>
      <c r="E541" s="668"/>
      <c r="F541" s="667"/>
      <c r="G541" s="667"/>
      <c r="H541" s="667"/>
      <c r="I541" s="667"/>
      <c r="J541" s="667"/>
      <c r="K541" s="667"/>
      <c r="L541" s="667"/>
      <c r="M541" s="667"/>
      <c r="N541" s="667"/>
      <c r="O541" s="667"/>
      <c r="P541" s="667"/>
      <c r="Q541" s="667"/>
    </row>
    <row r="542" ht="15.75" customHeight="1">
      <c r="B542" s="667"/>
      <c r="C542" s="667"/>
      <c r="D542" s="667"/>
      <c r="E542" s="668"/>
      <c r="F542" s="667"/>
      <c r="G542" s="667"/>
      <c r="H542" s="667"/>
      <c r="I542" s="667"/>
      <c r="J542" s="667"/>
      <c r="K542" s="667"/>
      <c r="L542" s="667"/>
      <c r="M542" s="667"/>
      <c r="N542" s="667"/>
      <c r="O542" s="667"/>
      <c r="P542" s="667"/>
      <c r="Q542" s="667"/>
    </row>
    <row r="543" ht="15.75" customHeight="1">
      <c r="B543" s="667"/>
      <c r="C543" s="667"/>
      <c r="D543" s="667"/>
      <c r="E543" s="668"/>
      <c r="F543" s="667"/>
      <c r="G543" s="667"/>
      <c r="H543" s="667"/>
      <c r="I543" s="667"/>
      <c r="J543" s="667"/>
      <c r="K543" s="667"/>
      <c r="L543" s="667"/>
      <c r="M543" s="667"/>
      <c r="N543" s="667"/>
      <c r="O543" s="667"/>
      <c r="P543" s="667"/>
      <c r="Q543" s="667"/>
    </row>
    <row r="544" ht="15.75" customHeight="1">
      <c r="B544" s="667"/>
      <c r="C544" s="667"/>
      <c r="D544" s="667"/>
      <c r="E544" s="668"/>
      <c r="F544" s="667"/>
      <c r="G544" s="667"/>
      <c r="H544" s="667"/>
      <c r="I544" s="667"/>
      <c r="J544" s="667"/>
      <c r="K544" s="667"/>
      <c r="L544" s="667"/>
      <c r="M544" s="667"/>
      <c r="N544" s="667"/>
      <c r="O544" s="667"/>
      <c r="P544" s="667"/>
      <c r="Q544" s="667"/>
    </row>
    <row r="545" ht="15.75" customHeight="1">
      <c r="B545" s="667"/>
      <c r="C545" s="667"/>
      <c r="D545" s="667"/>
      <c r="E545" s="668"/>
      <c r="F545" s="667"/>
      <c r="G545" s="667"/>
      <c r="H545" s="667"/>
      <c r="I545" s="667"/>
      <c r="J545" s="667"/>
      <c r="K545" s="667"/>
      <c r="L545" s="667"/>
      <c r="M545" s="667"/>
      <c r="N545" s="667"/>
      <c r="O545" s="667"/>
      <c r="P545" s="667"/>
      <c r="Q545" s="667"/>
    </row>
    <row r="546" ht="15.75" customHeight="1">
      <c r="B546" s="667"/>
      <c r="C546" s="667"/>
      <c r="D546" s="667"/>
      <c r="E546" s="668"/>
      <c r="F546" s="667"/>
      <c r="G546" s="667"/>
      <c r="H546" s="667"/>
      <c r="I546" s="667"/>
      <c r="J546" s="667"/>
      <c r="K546" s="667"/>
      <c r="L546" s="667"/>
      <c r="M546" s="667"/>
      <c r="N546" s="667"/>
      <c r="O546" s="667"/>
      <c r="P546" s="667"/>
      <c r="Q546" s="667"/>
    </row>
    <row r="547" ht="15.75" customHeight="1">
      <c r="B547" s="667"/>
      <c r="C547" s="667"/>
      <c r="D547" s="667"/>
      <c r="E547" s="668"/>
      <c r="F547" s="667"/>
      <c r="G547" s="667"/>
      <c r="H547" s="667"/>
      <c r="I547" s="667"/>
      <c r="J547" s="667"/>
      <c r="K547" s="667"/>
      <c r="L547" s="667"/>
      <c r="M547" s="667"/>
      <c r="N547" s="667"/>
      <c r="O547" s="667"/>
      <c r="P547" s="667"/>
      <c r="Q547" s="667"/>
    </row>
    <row r="548" ht="15.75" customHeight="1">
      <c r="B548" s="667"/>
      <c r="C548" s="667"/>
      <c r="D548" s="667"/>
      <c r="E548" s="668"/>
      <c r="F548" s="667"/>
      <c r="G548" s="667"/>
      <c r="H548" s="667"/>
      <c r="I548" s="667"/>
      <c r="J548" s="667"/>
      <c r="K548" s="667"/>
      <c r="L548" s="667"/>
      <c r="M548" s="667"/>
      <c r="N548" s="667"/>
      <c r="O548" s="667"/>
      <c r="P548" s="667"/>
      <c r="Q548" s="667"/>
    </row>
    <row r="549" ht="15.75" customHeight="1">
      <c r="B549" s="667"/>
      <c r="C549" s="667"/>
      <c r="D549" s="667"/>
      <c r="E549" s="668"/>
      <c r="F549" s="667"/>
      <c r="G549" s="667"/>
      <c r="H549" s="667"/>
      <c r="I549" s="667"/>
      <c r="J549" s="667"/>
      <c r="K549" s="667"/>
      <c r="L549" s="667"/>
      <c r="M549" s="667"/>
      <c r="N549" s="667"/>
      <c r="O549" s="667"/>
      <c r="P549" s="667"/>
      <c r="Q549" s="667"/>
    </row>
    <row r="550" ht="15.75" customHeight="1">
      <c r="B550" s="667"/>
      <c r="C550" s="667"/>
      <c r="D550" s="667"/>
      <c r="E550" s="668"/>
      <c r="F550" s="667"/>
      <c r="G550" s="667"/>
      <c r="H550" s="667"/>
      <c r="I550" s="667"/>
      <c r="J550" s="667"/>
      <c r="K550" s="667"/>
      <c r="L550" s="667"/>
      <c r="M550" s="667"/>
      <c r="N550" s="667"/>
      <c r="O550" s="667"/>
      <c r="P550" s="667"/>
      <c r="Q550" s="667"/>
    </row>
    <row r="551" ht="15.75" customHeight="1">
      <c r="B551" s="667"/>
      <c r="C551" s="667"/>
      <c r="D551" s="667"/>
      <c r="E551" s="668"/>
      <c r="F551" s="667"/>
      <c r="G551" s="667"/>
      <c r="H551" s="667"/>
      <c r="I551" s="667"/>
      <c r="J551" s="667"/>
      <c r="K551" s="667"/>
      <c r="L551" s="667"/>
      <c r="M551" s="667"/>
      <c r="N551" s="667"/>
      <c r="O551" s="667"/>
      <c r="P551" s="667"/>
      <c r="Q551" s="667"/>
    </row>
    <row r="552" ht="15.75" customHeight="1">
      <c r="B552" s="667"/>
      <c r="C552" s="667"/>
      <c r="D552" s="667"/>
      <c r="E552" s="668"/>
      <c r="F552" s="667"/>
      <c r="G552" s="667"/>
      <c r="H552" s="667"/>
      <c r="I552" s="667"/>
      <c r="J552" s="667"/>
      <c r="K552" s="667"/>
      <c r="L552" s="667"/>
      <c r="M552" s="667"/>
      <c r="N552" s="667"/>
      <c r="O552" s="667"/>
      <c r="P552" s="667"/>
      <c r="Q552" s="667"/>
    </row>
    <row r="553" ht="15.75" customHeight="1">
      <c r="B553" s="667"/>
      <c r="C553" s="667"/>
      <c r="D553" s="667"/>
      <c r="E553" s="668"/>
      <c r="F553" s="667"/>
      <c r="G553" s="667"/>
      <c r="H553" s="667"/>
      <c r="I553" s="667"/>
      <c r="J553" s="667"/>
      <c r="K553" s="667"/>
      <c r="L553" s="667"/>
      <c r="M553" s="667"/>
      <c r="N553" s="667"/>
      <c r="O553" s="667"/>
      <c r="P553" s="667"/>
      <c r="Q553" s="667"/>
    </row>
    <row r="554" ht="15.75" customHeight="1">
      <c r="B554" s="667"/>
      <c r="C554" s="667"/>
      <c r="D554" s="667"/>
      <c r="E554" s="668"/>
      <c r="F554" s="667"/>
      <c r="G554" s="667"/>
      <c r="H554" s="667"/>
      <c r="I554" s="667"/>
      <c r="J554" s="667"/>
      <c r="K554" s="667"/>
      <c r="L554" s="667"/>
      <c r="M554" s="667"/>
      <c r="N554" s="667"/>
      <c r="O554" s="667"/>
      <c r="P554" s="667"/>
      <c r="Q554" s="667"/>
    </row>
    <row r="555" ht="15.75" customHeight="1">
      <c r="B555" s="667"/>
      <c r="C555" s="667"/>
      <c r="D555" s="667"/>
      <c r="E555" s="668"/>
      <c r="F555" s="667"/>
      <c r="G555" s="667"/>
      <c r="H555" s="667"/>
      <c r="I555" s="667"/>
      <c r="J555" s="667"/>
      <c r="K555" s="667"/>
      <c r="L555" s="667"/>
      <c r="M555" s="667"/>
      <c r="N555" s="667"/>
      <c r="O555" s="667"/>
      <c r="P555" s="667"/>
      <c r="Q555" s="667"/>
    </row>
    <row r="556" ht="15.75" customHeight="1">
      <c r="B556" s="667"/>
      <c r="C556" s="667"/>
      <c r="D556" s="667"/>
      <c r="E556" s="668"/>
      <c r="F556" s="667"/>
      <c r="G556" s="667"/>
      <c r="H556" s="667"/>
      <c r="I556" s="667"/>
      <c r="J556" s="667"/>
      <c r="K556" s="667"/>
      <c r="L556" s="667"/>
      <c r="M556" s="667"/>
      <c r="N556" s="667"/>
      <c r="O556" s="667"/>
      <c r="P556" s="667"/>
      <c r="Q556" s="667"/>
    </row>
    <row r="557" ht="15.75" customHeight="1">
      <c r="B557" s="667"/>
      <c r="C557" s="667"/>
      <c r="D557" s="667"/>
      <c r="E557" s="668"/>
      <c r="F557" s="667"/>
      <c r="G557" s="667"/>
      <c r="H557" s="667"/>
      <c r="I557" s="667"/>
      <c r="J557" s="667"/>
      <c r="K557" s="667"/>
      <c r="L557" s="667"/>
      <c r="M557" s="667"/>
      <c r="N557" s="667"/>
      <c r="O557" s="667"/>
      <c r="P557" s="667"/>
      <c r="Q557" s="667"/>
    </row>
    <row r="558" ht="15.75" customHeight="1">
      <c r="B558" s="667"/>
      <c r="C558" s="667"/>
      <c r="D558" s="667"/>
      <c r="E558" s="668"/>
      <c r="F558" s="667"/>
      <c r="G558" s="667"/>
      <c r="H558" s="667"/>
      <c r="I558" s="667"/>
      <c r="J558" s="667"/>
      <c r="K558" s="667"/>
      <c r="L558" s="667"/>
      <c r="M558" s="667"/>
      <c r="N558" s="667"/>
      <c r="O558" s="667"/>
      <c r="P558" s="667"/>
      <c r="Q558" s="667"/>
    </row>
    <row r="559" ht="15.75" customHeight="1">
      <c r="B559" s="667"/>
      <c r="C559" s="667"/>
      <c r="D559" s="667"/>
      <c r="E559" s="668"/>
      <c r="F559" s="667"/>
      <c r="G559" s="667"/>
      <c r="H559" s="667"/>
      <c r="I559" s="667"/>
      <c r="J559" s="667"/>
      <c r="K559" s="667"/>
      <c r="L559" s="667"/>
      <c r="M559" s="667"/>
      <c r="N559" s="667"/>
      <c r="O559" s="667"/>
      <c r="P559" s="667"/>
      <c r="Q559" s="667"/>
    </row>
    <row r="560" ht="15.75" customHeight="1">
      <c r="B560" s="667"/>
      <c r="C560" s="667"/>
      <c r="D560" s="667"/>
      <c r="E560" s="668"/>
      <c r="F560" s="667"/>
      <c r="G560" s="667"/>
      <c r="H560" s="667"/>
      <c r="I560" s="667"/>
      <c r="J560" s="667"/>
      <c r="K560" s="667"/>
      <c r="L560" s="667"/>
      <c r="M560" s="667"/>
      <c r="N560" s="667"/>
      <c r="O560" s="667"/>
      <c r="P560" s="667"/>
      <c r="Q560" s="667"/>
    </row>
    <row r="561" ht="15.75" customHeight="1">
      <c r="B561" s="667"/>
      <c r="C561" s="667"/>
      <c r="D561" s="667"/>
      <c r="E561" s="668"/>
      <c r="F561" s="667"/>
      <c r="G561" s="667"/>
      <c r="H561" s="667"/>
      <c r="I561" s="667"/>
      <c r="J561" s="667"/>
      <c r="K561" s="667"/>
      <c r="L561" s="667"/>
      <c r="M561" s="667"/>
      <c r="N561" s="667"/>
      <c r="O561" s="667"/>
      <c r="P561" s="667"/>
      <c r="Q561" s="667"/>
    </row>
    <row r="562" ht="15.75" customHeight="1">
      <c r="B562" s="667"/>
      <c r="C562" s="667"/>
      <c r="D562" s="667"/>
      <c r="E562" s="668"/>
      <c r="F562" s="667"/>
      <c r="G562" s="667"/>
      <c r="H562" s="667"/>
      <c r="I562" s="667"/>
      <c r="J562" s="667"/>
      <c r="K562" s="667"/>
      <c r="L562" s="667"/>
      <c r="M562" s="667"/>
      <c r="N562" s="667"/>
      <c r="O562" s="667"/>
      <c r="P562" s="667"/>
      <c r="Q562" s="667"/>
    </row>
    <row r="563" ht="15.75" customHeight="1">
      <c r="B563" s="667"/>
      <c r="C563" s="667"/>
      <c r="D563" s="667"/>
      <c r="E563" s="668"/>
      <c r="F563" s="667"/>
      <c r="G563" s="667"/>
      <c r="H563" s="667"/>
      <c r="I563" s="667"/>
      <c r="J563" s="667"/>
      <c r="K563" s="667"/>
      <c r="L563" s="667"/>
      <c r="M563" s="667"/>
      <c r="N563" s="667"/>
      <c r="O563" s="667"/>
      <c r="P563" s="667"/>
      <c r="Q563" s="667"/>
    </row>
    <row r="564" ht="15.75" customHeight="1">
      <c r="B564" s="667"/>
      <c r="C564" s="667"/>
      <c r="D564" s="667"/>
      <c r="E564" s="668"/>
      <c r="F564" s="667"/>
      <c r="G564" s="667"/>
      <c r="H564" s="667"/>
      <c r="I564" s="667"/>
      <c r="J564" s="667"/>
      <c r="K564" s="667"/>
      <c r="L564" s="667"/>
      <c r="M564" s="667"/>
      <c r="N564" s="667"/>
      <c r="O564" s="667"/>
      <c r="P564" s="667"/>
      <c r="Q564" s="667"/>
    </row>
    <row r="565" ht="15.75" customHeight="1">
      <c r="B565" s="667"/>
      <c r="C565" s="667"/>
      <c r="D565" s="667"/>
      <c r="E565" s="668"/>
      <c r="F565" s="667"/>
      <c r="G565" s="667"/>
      <c r="H565" s="667"/>
      <c r="I565" s="667"/>
      <c r="J565" s="667"/>
      <c r="K565" s="667"/>
      <c r="L565" s="667"/>
      <c r="M565" s="667"/>
      <c r="N565" s="667"/>
      <c r="O565" s="667"/>
      <c r="P565" s="667"/>
      <c r="Q565" s="667"/>
    </row>
    <row r="566" ht="15.75" customHeight="1">
      <c r="B566" s="667"/>
      <c r="C566" s="667"/>
      <c r="D566" s="667"/>
      <c r="E566" s="668"/>
      <c r="F566" s="667"/>
      <c r="G566" s="667"/>
      <c r="H566" s="667"/>
      <c r="I566" s="667"/>
      <c r="J566" s="667"/>
      <c r="K566" s="667"/>
      <c r="L566" s="667"/>
      <c r="M566" s="667"/>
      <c r="N566" s="667"/>
      <c r="O566" s="667"/>
      <c r="P566" s="667"/>
      <c r="Q566" s="667"/>
    </row>
    <row r="567" ht="15.75" customHeight="1">
      <c r="B567" s="667"/>
      <c r="C567" s="667"/>
      <c r="D567" s="667"/>
      <c r="E567" s="668"/>
      <c r="F567" s="667"/>
      <c r="G567" s="667"/>
      <c r="H567" s="667"/>
      <c r="I567" s="667"/>
      <c r="J567" s="667"/>
      <c r="K567" s="667"/>
      <c r="L567" s="667"/>
      <c r="M567" s="667"/>
      <c r="N567" s="667"/>
      <c r="O567" s="667"/>
      <c r="P567" s="667"/>
      <c r="Q567" s="667"/>
    </row>
    <row r="568" ht="15.75" customHeight="1">
      <c r="B568" s="667"/>
      <c r="C568" s="667"/>
      <c r="D568" s="667"/>
      <c r="E568" s="668"/>
      <c r="F568" s="667"/>
      <c r="G568" s="667"/>
      <c r="H568" s="667"/>
      <c r="I568" s="667"/>
      <c r="J568" s="667"/>
      <c r="K568" s="667"/>
      <c r="L568" s="667"/>
      <c r="M568" s="667"/>
      <c r="N568" s="667"/>
      <c r="O568" s="667"/>
      <c r="P568" s="667"/>
      <c r="Q568" s="667"/>
    </row>
    <row r="569" ht="15.75" customHeight="1">
      <c r="B569" s="667"/>
      <c r="C569" s="667"/>
      <c r="D569" s="667"/>
      <c r="E569" s="668"/>
      <c r="F569" s="667"/>
      <c r="G569" s="667"/>
      <c r="H569" s="667"/>
      <c r="I569" s="667"/>
      <c r="J569" s="667"/>
      <c r="K569" s="667"/>
      <c r="L569" s="667"/>
      <c r="M569" s="667"/>
      <c r="N569" s="667"/>
      <c r="O569" s="667"/>
      <c r="P569" s="667"/>
      <c r="Q569" s="667"/>
    </row>
    <row r="570" ht="15.75" customHeight="1">
      <c r="B570" s="667"/>
      <c r="C570" s="667"/>
      <c r="D570" s="667"/>
      <c r="E570" s="668"/>
      <c r="F570" s="667"/>
      <c r="G570" s="667"/>
      <c r="H570" s="667"/>
      <c r="I570" s="667"/>
      <c r="J570" s="667"/>
      <c r="K570" s="667"/>
      <c r="L570" s="667"/>
      <c r="M570" s="667"/>
      <c r="N570" s="667"/>
      <c r="O570" s="667"/>
      <c r="P570" s="667"/>
      <c r="Q570" s="667"/>
    </row>
    <row r="571" ht="15.75" customHeight="1">
      <c r="B571" s="667"/>
      <c r="C571" s="667"/>
      <c r="D571" s="667"/>
      <c r="E571" s="668"/>
      <c r="F571" s="667"/>
      <c r="G571" s="667"/>
      <c r="H571" s="667"/>
      <c r="I571" s="667"/>
      <c r="J571" s="667"/>
      <c r="K571" s="667"/>
      <c r="L571" s="667"/>
      <c r="M571" s="667"/>
      <c r="N571" s="667"/>
      <c r="O571" s="667"/>
      <c r="P571" s="667"/>
      <c r="Q571" s="667"/>
    </row>
    <row r="572" ht="15.75" customHeight="1">
      <c r="B572" s="667"/>
      <c r="C572" s="667"/>
      <c r="D572" s="667"/>
      <c r="E572" s="668"/>
      <c r="F572" s="667"/>
      <c r="G572" s="667"/>
      <c r="H572" s="667"/>
      <c r="I572" s="667"/>
      <c r="J572" s="667"/>
      <c r="K572" s="667"/>
      <c r="L572" s="667"/>
      <c r="M572" s="667"/>
      <c r="N572" s="667"/>
      <c r="O572" s="667"/>
      <c r="P572" s="667"/>
      <c r="Q572" s="667"/>
    </row>
    <row r="573" ht="15.75" customHeight="1">
      <c r="B573" s="667"/>
      <c r="C573" s="667"/>
      <c r="D573" s="667"/>
      <c r="E573" s="668"/>
      <c r="F573" s="667"/>
      <c r="G573" s="667"/>
      <c r="H573" s="667"/>
      <c r="I573" s="667"/>
      <c r="J573" s="667"/>
      <c r="K573" s="667"/>
      <c r="L573" s="667"/>
      <c r="M573" s="667"/>
      <c r="N573" s="667"/>
      <c r="O573" s="667"/>
      <c r="P573" s="667"/>
      <c r="Q573" s="667"/>
    </row>
    <row r="574" ht="15.75" customHeight="1">
      <c r="B574" s="667"/>
      <c r="C574" s="667"/>
      <c r="D574" s="667"/>
      <c r="E574" s="668"/>
      <c r="F574" s="667"/>
      <c r="G574" s="667"/>
      <c r="H574" s="667"/>
      <c r="I574" s="667"/>
      <c r="J574" s="667"/>
      <c r="K574" s="667"/>
      <c r="L574" s="667"/>
      <c r="M574" s="667"/>
      <c r="N574" s="667"/>
      <c r="O574" s="667"/>
      <c r="P574" s="667"/>
      <c r="Q574" s="667"/>
    </row>
    <row r="575" ht="15.75" customHeight="1">
      <c r="B575" s="667"/>
      <c r="C575" s="667"/>
      <c r="D575" s="667"/>
      <c r="E575" s="668"/>
      <c r="F575" s="667"/>
      <c r="G575" s="667"/>
      <c r="H575" s="667"/>
      <c r="I575" s="667"/>
      <c r="J575" s="667"/>
      <c r="K575" s="667"/>
      <c r="L575" s="667"/>
      <c r="M575" s="667"/>
      <c r="N575" s="667"/>
      <c r="O575" s="667"/>
      <c r="P575" s="667"/>
      <c r="Q575" s="667"/>
    </row>
    <row r="576" ht="15.75" customHeight="1">
      <c r="B576" s="667"/>
      <c r="C576" s="667"/>
      <c r="D576" s="667"/>
      <c r="E576" s="668"/>
      <c r="F576" s="667"/>
      <c r="G576" s="667"/>
      <c r="H576" s="667"/>
      <c r="I576" s="667"/>
      <c r="J576" s="667"/>
      <c r="K576" s="667"/>
      <c r="L576" s="667"/>
      <c r="M576" s="667"/>
      <c r="N576" s="667"/>
      <c r="O576" s="667"/>
      <c r="P576" s="667"/>
      <c r="Q576" s="667"/>
    </row>
    <row r="577" ht="15.75" customHeight="1">
      <c r="B577" s="667"/>
      <c r="C577" s="667"/>
      <c r="D577" s="667"/>
      <c r="E577" s="668"/>
      <c r="F577" s="667"/>
      <c r="G577" s="667"/>
      <c r="H577" s="667"/>
      <c r="I577" s="667"/>
      <c r="J577" s="667"/>
      <c r="K577" s="667"/>
      <c r="L577" s="667"/>
      <c r="M577" s="667"/>
      <c r="N577" s="667"/>
      <c r="O577" s="667"/>
      <c r="P577" s="667"/>
      <c r="Q577" s="667"/>
    </row>
    <row r="578" ht="15.75" customHeight="1">
      <c r="B578" s="667"/>
      <c r="C578" s="667"/>
      <c r="D578" s="667"/>
      <c r="E578" s="668"/>
      <c r="F578" s="667"/>
      <c r="G578" s="667"/>
      <c r="H578" s="667"/>
      <c r="I578" s="667"/>
      <c r="J578" s="667"/>
      <c r="K578" s="667"/>
      <c r="L578" s="667"/>
      <c r="M578" s="667"/>
      <c r="N578" s="667"/>
      <c r="O578" s="667"/>
      <c r="P578" s="667"/>
      <c r="Q578" s="667"/>
    </row>
    <row r="579" ht="15.75" customHeight="1">
      <c r="B579" s="667"/>
      <c r="C579" s="667"/>
      <c r="D579" s="667"/>
      <c r="E579" s="668"/>
      <c r="F579" s="667"/>
      <c r="G579" s="667"/>
      <c r="H579" s="667"/>
      <c r="I579" s="667"/>
      <c r="J579" s="667"/>
      <c r="K579" s="667"/>
      <c r="L579" s="667"/>
      <c r="M579" s="667"/>
      <c r="N579" s="667"/>
      <c r="O579" s="667"/>
      <c r="P579" s="667"/>
      <c r="Q579" s="667"/>
    </row>
    <row r="580" ht="15.75" customHeight="1">
      <c r="B580" s="667"/>
      <c r="C580" s="667"/>
      <c r="D580" s="667"/>
      <c r="E580" s="668"/>
      <c r="F580" s="667"/>
      <c r="G580" s="667"/>
      <c r="H580" s="667"/>
      <c r="I580" s="667"/>
      <c r="J580" s="667"/>
      <c r="K580" s="667"/>
      <c r="L580" s="667"/>
      <c r="M580" s="667"/>
      <c r="N580" s="667"/>
      <c r="O580" s="667"/>
      <c r="P580" s="667"/>
      <c r="Q580" s="667"/>
    </row>
    <row r="581" ht="15.75" customHeight="1">
      <c r="B581" s="667"/>
      <c r="C581" s="667"/>
      <c r="D581" s="667"/>
      <c r="E581" s="668"/>
      <c r="F581" s="667"/>
      <c r="G581" s="667"/>
      <c r="H581" s="667"/>
      <c r="I581" s="667"/>
      <c r="J581" s="667"/>
      <c r="K581" s="667"/>
      <c r="L581" s="667"/>
      <c r="M581" s="667"/>
      <c r="N581" s="667"/>
      <c r="O581" s="667"/>
      <c r="P581" s="667"/>
      <c r="Q581" s="667"/>
    </row>
    <row r="582" ht="15.75" customHeight="1">
      <c r="B582" s="667"/>
      <c r="C582" s="667"/>
      <c r="D582" s="667"/>
      <c r="E582" s="668"/>
      <c r="F582" s="667"/>
      <c r="G582" s="667"/>
      <c r="H582" s="667"/>
      <c r="I582" s="667"/>
      <c r="J582" s="667"/>
      <c r="K582" s="667"/>
      <c r="L582" s="667"/>
      <c r="M582" s="667"/>
      <c r="N582" s="667"/>
      <c r="O582" s="667"/>
      <c r="P582" s="667"/>
      <c r="Q582" s="667"/>
    </row>
    <row r="583" ht="15.75" customHeight="1">
      <c r="B583" s="667"/>
      <c r="C583" s="667"/>
      <c r="D583" s="667"/>
      <c r="E583" s="668"/>
      <c r="F583" s="667"/>
      <c r="G583" s="667"/>
      <c r="H583" s="667"/>
      <c r="I583" s="667"/>
      <c r="J583" s="667"/>
      <c r="K583" s="667"/>
      <c r="L583" s="667"/>
      <c r="M583" s="667"/>
      <c r="N583" s="667"/>
      <c r="O583" s="667"/>
      <c r="P583" s="667"/>
      <c r="Q583" s="667"/>
    </row>
    <row r="584" ht="15.75" customHeight="1">
      <c r="B584" s="667"/>
      <c r="C584" s="667"/>
      <c r="D584" s="667"/>
      <c r="E584" s="668"/>
      <c r="F584" s="667"/>
      <c r="G584" s="667"/>
      <c r="H584" s="667"/>
      <c r="I584" s="667"/>
      <c r="J584" s="667"/>
      <c r="K584" s="667"/>
      <c r="L584" s="667"/>
      <c r="M584" s="667"/>
      <c r="N584" s="667"/>
      <c r="O584" s="667"/>
      <c r="P584" s="667"/>
      <c r="Q584" s="667"/>
    </row>
    <row r="585" ht="15.75" customHeight="1">
      <c r="B585" s="667"/>
      <c r="C585" s="667"/>
      <c r="D585" s="667"/>
      <c r="E585" s="668"/>
      <c r="F585" s="667"/>
      <c r="G585" s="667"/>
      <c r="H585" s="667"/>
      <c r="I585" s="667"/>
      <c r="J585" s="667"/>
      <c r="K585" s="667"/>
      <c r="L585" s="667"/>
      <c r="M585" s="667"/>
      <c r="N585" s="667"/>
      <c r="O585" s="667"/>
      <c r="P585" s="667"/>
      <c r="Q585" s="667"/>
    </row>
    <row r="586" ht="15.75" customHeight="1">
      <c r="B586" s="667"/>
      <c r="C586" s="667"/>
      <c r="D586" s="667"/>
      <c r="E586" s="668"/>
      <c r="F586" s="667"/>
      <c r="G586" s="667"/>
      <c r="H586" s="667"/>
      <c r="I586" s="667"/>
      <c r="J586" s="667"/>
      <c r="K586" s="667"/>
      <c r="L586" s="667"/>
      <c r="M586" s="667"/>
      <c r="N586" s="667"/>
      <c r="O586" s="667"/>
      <c r="P586" s="667"/>
      <c r="Q586" s="667"/>
    </row>
    <row r="587" ht="15.75" customHeight="1">
      <c r="B587" s="667"/>
      <c r="C587" s="667"/>
      <c r="D587" s="667"/>
      <c r="E587" s="668"/>
      <c r="F587" s="667"/>
      <c r="G587" s="667"/>
      <c r="H587" s="667"/>
      <c r="I587" s="667"/>
      <c r="J587" s="667"/>
      <c r="K587" s="667"/>
      <c r="L587" s="667"/>
      <c r="M587" s="667"/>
      <c r="N587" s="667"/>
      <c r="O587" s="667"/>
      <c r="P587" s="667"/>
      <c r="Q587" s="667"/>
    </row>
    <row r="588" ht="15.75" customHeight="1">
      <c r="B588" s="667"/>
      <c r="C588" s="667"/>
      <c r="D588" s="667"/>
      <c r="E588" s="668"/>
      <c r="F588" s="667"/>
      <c r="G588" s="667"/>
      <c r="H588" s="667"/>
      <c r="I588" s="667"/>
      <c r="J588" s="667"/>
      <c r="K588" s="667"/>
      <c r="L588" s="667"/>
      <c r="M588" s="667"/>
      <c r="N588" s="667"/>
      <c r="O588" s="667"/>
      <c r="P588" s="667"/>
      <c r="Q588" s="667"/>
    </row>
    <row r="589" ht="15.75" customHeight="1">
      <c r="B589" s="667"/>
      <c r="C589" s="667"/>
      <c r="D589" s="667"/>
      <c r="E589" s="668"/>
      <c r="F589" s="667"/>
      <c r="G589" s="667"/>
      <c r="H589" s="667"/>
      <c r="I589" s="667"/>
      <c r="J589" s="667"/>
      <c r="K589" s="667"/>
      <c r="L589" s="667"/>
      <c r="M589" s="667"/>
      <c r="N589" s="667"/>
      <c r="O589" s="667"/>
      <c r="P589" s="667"/>
      <c r="Q589" s="667"/>
    </row>
    <row r="590" ht="15.75" customHeight="1">
      <c r="B590" s="667"/>
      <c r="C590" s="667"/>
      <c r="D590" s="667"/>
      <c r="E590" s="668"/>
      <c r="F590" s="667"/>
      <c r="G590" s="667"/>
      <c r="H590" s="667"/>
      <c r="I590" s="667"/>
      <c r="J590" s="667"/>
      <c r="K590" s="667"/>
      <c r="L590" s="667"/>
      <c r="M590" s="667"/>
      <c r="N590" s="667"/>
      <c r="O590" s="667"/>
      <c r="P590" s="667"/>
      <c r="Q590" s="667"/>
    </row>
    <row r="591" ht="15.75" customHeight="1">
      <c r="B591" s="667"/>
      <c r="C591" s="667"/>
      <c r="D591" s="667"/>
      <c r="E591" s="668"/>
      <c r="F591" s="667"/>
      <c r="G591" s="667"/>
      <c r="H591" s="667"/>
      <c r="I591" s="667"/>
      <c r="J591" s="667"/>
      <c r="K591" s="667"/>
      <c r="L591" s="667"/>
      <c r="M591" s="667"/>
      <c r="N591" s="667"/>
      <c r="O591" s="667"/>
      <c r="P591" s="667"/>
      <c r="Q591" s="667"/>
    </row>
    <row r="592" ht="15.75" customHeight="1">
      <c r="B592" s="667"/>
      <c r="C592" s="667"/>
      <c r="D592" s="667"/>
      <c r="E592" s="668"/>
      <c r="F592" s="667"/>
      <c r="G592" s="667"/>
      <c r="H592" s="667"/>
      <c r="I592" s="667"/>
      <c r="J592" s="667"/>
      <c r="K592" s="667"/>
      <c r="L592" s="667"/>
      <c r="M592" s="667"/>
      <c r="N592" s="667"/>
      <c r="O592" s="667"/>
      <c r="P592" s="667"/>
      <c r="Q592" s="667"/>
    </row>
    <row r="593" ht="15.75" customHeight="1">
      <c r="B593" s="667"/>
      <c r="C593" s="667"/>
      <c r="D593" s="667"/>
      <c r="E593" s="668"/>
      <c r="F593" s="667"/>
      <c r="G593" s="667"/>
      <c r="H593" s="667"/>
      <c r="I593" s="667"/>
      <c r="J593" s="667"/>
      <c r="K593" s="667"/>
      <c r="L593" s="667"/>
      <c r="M593" s="667"/>
      <c r="N593" s="667"/>
      <c r="O593" s="667"/>
      <c r="P593" s="667"/>
      <c r="Q593" s="667"/>
    </row>
    <row r="594" ht="15.75" customHeight="1">
      <c r="B594" s="667"/>
      <c r="C594" s="667"/>
      <c r="D594" s="667"/>
      <c r="E594" s="668"/>
      <c r="F594" s="667"/>
      <c r="G594" s="667"/>
      <c r="H594" s="667"/>
      <c r="I594" s="667"/>
      <c r="J594" s="667"/>
      <c r="K594" s="667"/>
      <c r="L594" s="667"/>
      <c r="M594" s="667"/>
      <c r="N594" s="667"/>
      <c r="O594" s="667"/>
      <c r="P594" s="667"/>
      <c r="Q594" s="667"/>
    </row>
    <row r="595" ht="15.75" customHeight="1">
      <c r="B595" s="667"/>
      <c r="C595" s="667"/>
      <c r="D595" s="667"/>
      <c r="E595" s="668"/>
      <c r="F595" s="667"/>
      <c r="G595" s="667"/>
      <c r="H595" s="667"/>
      <c r="I595" s="667"/>
      <c r="J595" s="667"/>
      <c r="K595" s="667"/>
      <c r="L595" s="667"/>
      <c r="M595" s="667"/>
      <c r="N595" s="667"/>
      <c r="O595" s="667"/>
      <c r="P595" s="667"/>
      <c r="Q595" s="667"/>
    </row>
    <row r="596" ht="15.75" customHeight="1">
      <c r="B596" s="667"/>
      <c r="C596" s="667"/>
      <c r="D596" s="667"/>
      <c r="E596" s="668"/>
      <c r="F596" s="667"/>
      <c r="G596" s="667"/>
      <c r="H596" s="667"/>
      <c r="I596" s="667"/>
      <c r="J596" s="667"/>
      <c r="K596" s="667"/>
      <c r="L596" s="667"/>
      <c r="M596" s="667"/>
      <c r="N596" s="667"/>
      <c r="O596" s="667"/>
      <c r="P596" s="667"/>
      <c r="Q596" s="667"/>
    </row>
    <row r="597" ht="15.75" customHeight="1">
      <c r="B597" s="667"/>
      <c r="C597" s="667"/>
      <c r="D597" s="667"/>
      <c r="E597" s="668"/>
      <c r="F597" s="667"/>
      <c r="G597" s="667"/>
      <c r="H597" s="667"/>
      <c r="I597" s="667"/>
      <c r="J597" s="667"/>
      <c r="K597" s="667"/>
      <c r="L597" s="667"/>
      <c r="M597" s="667"/>
      <c r="N597" s="667"/>
      <c r="O597" s="667"/>
      <c r="P597" s="667"/>
      <c r="Q597" s="667"/>
    </row>
    <row r="598" ht="15.75" customHeight="1">
      <c r="B598" s="667"/>
      <c r="C598" s="667"/>
      <c r="D598" s="667"/>
      <c r="E598" s="668"/>
      <c r="F598" s="667"/>
      <c r="G598" s="667"/>
      <c r="H598" s="667"/>
      <c r="I598" s="667"/>
      <c r="J598" s="667"/>
      <c r="K598" s="667"/>
      <c r="L598" s="667"/>
      <c r="M598" s="667"/>
      <c r="N598" s="667"/>
      <c r="O598" s="667"/>
      <c r="P598" s="667"/>
      <c r="Q598" s="667"/>
    </row>
    <row r="599" ht="15.75" customHeight="1">
      <c r="B599" s="667"/>
      <c r="C599" s="667"/>
      <c r="D599" s="667"/>
      <c r="E599" s="668"/>
      <c r="F599" s="667"/>
      <c r="G599" s="667"/>
      <c r="H599" s="667"/>
      <c r="I599" s="667"/>
      <c r="J599" s="667"/>
      <c r="K599" s="667"/>
      <c r="L599" s="667"/>
      <c r="M599" s="667"/>
      <c r="N599" s="667"/>
      <c r="O599" s="667"/>
      <c r="P599" s="667"/>
      <c r="Q599" s="667"/>
    </row>
    <row r="600" ht="15.75" customHeight="1">
      <c r="B600" s="667"/>
      <c r="C600" s="667"/>
      <c r="D600" s="667"/>
      <c r="E600" s="668"/>
      <c r="F600" s="667"/>
      <c r="G600" s="667"/>
      <c r="H600" s="667"/>
      <c r="I600" s="667"/>
      <c r="J600" s="667"/>
      <c r="K600" s="667"/>
      <c r="L600" s="667"/>
      <c r="M600" s="667"/>
      <c r="N600" s="667"/>
      <c r="O600" s="667"/>
      <c r="P600" s="667"/>
      <c r="Q600" s="667"/>
    </row>
    <row r="601" ht="15.75" customHeight="1">
      <c r="B601" s="667"/>
      <c r="C601" s="667"/>
      <c r="D601" s="667"/>
      <c r="E601" s="668"/>
      <c r="F601" s="667"/>
      <c r="G601" s="667"/>
      <c r="H601" s="667"/>
      <c r="I601" s="667"/>
      <c r="J601" s="667"/>
      <c r="K601" s="667"/>
      <c r="L601" s="667"/>
      <c r="M601" s="667"/>
      <c r="N601" s="667"/>
      <c r="O601" s="667"/>
      <c r="P601" s="667"/>
      <c r="Q601" s="667"/>
    </row>
    <row r="602" ht="15.75" customHeight="1">
      <c r="B602" s="667"/>
      <c r="C602" s="667"/>
      <c r="D602" s="667"/>
      <c r="E602" s="668"/>
      <c r="F602" s="667"/>
      <c r="G602" s="667"/>
      <c r="H602" s="667"/>
      <c r="I602" s="667"/>
      <c r="J602" s="667"/>
      <c r="K602" s="667"/>
      <c r="L602" s="667"/>
      <c r="M602" s="667"/>
      <c r="N602" s="667"/>
      <c r="O602" s="667"/>
      <c r="P602" s="667"/>
      <c r="Q602" s="667"/>
    </row>
    <row r="603" ht="15.75" customHeight="1">
      <c r="B603" s="667"/>
      <c r="C603" s="667"/>
      <c r="D603" s="667"/>
      <c r="E603" s="668"/>
      <c r="F603" s="667"/>
      <c r="G603" s="667"/>
      <c r="H603" s="667"/>
      <c r="I603" s="667"/>
      <c r="J603" s="667"/>
      <c r="K603" s="667"/>
      <c r="L603" s="667"/>
      <c r="M603" s="667"/>
      <c r="N603" s="667"/>
      <c r="O603" s="667"/>
      <c r="P603" s="667"/>
      <c r="Q603" s="667"/>
    </row>
    <row r="604" ht="15.75" customHeight="1">
      <c r="B604" s="667"/>
      <c r="C604" s="667"/>
      <c r="D604" s="667"/>
      <c r="E604" s="668"/>
      <c r="F604" s="667"/>
      <c r="G604" s="667"/>
      <c r="H604" s="667"/>
      <c r="I604" s="667"/>
      <c r="J604" s="667"/>
      <c r="K604" s="667"/>
      <c r="L604" s="667"/>
      <c r="M604" s="667"/>
      <c r="N604" s="667"/>
      <c r="O604" s="667"/>
      <c r="P604" s="667"/>
      <c r="Q604" s="667"/>
    </row>
    <row r="605" ht="15.75" customHeight="1">
      <c r="B605" s="667"/>
      <c r="C605" s="667"/>
      <c r="D605" s="667"/>
      <c r="E605" s="668"/>
      <c r="F605" s="667"/>
      <c r="G605" s="667"/>
      <c r="H605" s="667"/>
      <c r="I605" s="667"/>
      <c r="J605" s="667"/>
      <c r="K605" s="667"/>
      <c r="L605" s="667"/>
      <c r="M605" s="667"/>
      <c r="N605" s="667"/>
      <c r="O605" s="667"/>
      <c r="P605" s="667"/>
      <c r="Q605" s="667"/>
    </row>
    <row r="606" ht="15.75" customHeight="1">
      <c r="B606" s="667"/>
      <c r="C606" s="667"/>
      <c r="D606" s="667"/>
      <c r="E606" s="668"/>
      <c r="F606" s="667"/>
      <c r="G606" s="667"/>
      <c r="H606" s="667"/>
      <c r="I606" s="667"/>
      <c r="J606" s="667"/>
      <c r="K606" s="667"/>
      <c r="L606" s="667"/>
      <c r="M606" s="667"/>
      <c r="N606" s="667"/>
      <c r="O606" s="667"/>
      <c r="P606" s="667"/>
      <c r="Q606" s="667"/>
    </row>
    <row r="607" ht="15.75" customHeight="1">
      <c r="B607" s="667"/>
      <c r="C607" s="667"/>
      <c r="D607" s="667"/>
      <c r="E607" s="668"/>
      <c r="F607" s="667"/>
      <c r="G607" s="667"/>
      <c r="H607" s="667"/>
      <c r="I607" s="667"/>
      <c r="J607" s="667"/>
      <c r="K607" s="667"/>
      <c r="L607" s="667"/>
      <c r="M607" s="667"/>
      <c r="N607" s="667"/>
      <c r="O607" s="667"/>
      <c r="P607" s="667"/>
      <c r="Q607" s="667"/>
    </row>
    <row r="608" ht="15.75" customHeight="1">
      <c r="B608" s="667"/>
      <c r="C608" s="667"/>
      <c r="D608" s="667"/>
      <c r="E608" s="668"/>
      <c r="F608" s="667"/>
      <c r="G608" s="667"/>
      <c r="H608" s="667"/>
      <c r="I608" s="667"/>
      <c r="J608" s="667"/>
      <c r="K608" s="667"/>
      <c r="L608" s="667"/>
      <c r="M608" s="667"/>
      <c r="N608" s="667"/>
      <c r="O608" s="667"/>
      <c r="P608" s="667"/>
      <c r="Q608" s="667"/>
    </row>
    <row r="609" ht="15.75" customHeight="1">
      <c r="B609" s="667"/>
      <c r="C609" s="667"/>
      <c r="D609" s="667"/>
      <c r="E609" s="668"/>
      <c r="F609" s="667"/>
      <c r="G609" s="667"/>
      <c r="H609" s="667"/>
      <c r="I609" s="667"/>
      <c r="J609" s="667"/>
      <c r="K609" s="667"/>
      <c r="L609" s="667"/>
      <c r="M609" s="667"/>
      <c r="N609" s="667"/>
      <c r="O609" s="667"/>
      <c r="P609" s="667"/>
      <c r="Q609" s="667"/>
    </row>
    <row r="610" ht="15.75" customHeight="1">
      <c r="B610" s="667"/>
      <c r="C610" s="667"/>
      <c r="D610" s="667"/>
      <c r="E610" s="668"/>
      <c r="F610" s="667"/>
      <c r="G610" s="667"/>
      <c r="H610" s="667"/>
      <c r="I610" s="667"/>
      <c r="J610" s="667"/>
      <c r="K610" s="667"/>
      <c r="L610" s="667"/>
      <c r="M610" s="667"/>
      <c r="N610" s="667"/>
      <c r="O610" s="667"/>
      <c r="P610" s="667"/>
      <c r="Q610" s="667"/>
    </row>
    <row r="611" ht="15.75" customHeight="1">
      <c r="B611" s="667"/>
      <c r="C611" s="667"/>
      <c r="D611" s="667"/>
      <c r="E611" s="668"/>
      <c r="F611" s="667"/>
      <c r="G611" s="667"/>
      <c r="H611" s="667"/>
      <c r="I611" s="667"/>
      <c r="J611" s="667"/>
      <c r="K611" s="667"/>
      <c r="L611" s="667"/>
      <c r="M611" s="667"/>
      <c r="N611" s="667"/>
      <c r="O611" s="667"/>
      <c r="P611" s="667"/>
      <c r="Q611" s="667"/>
    </row>
    <row r="612" ht="15.75" customHeight="1">
      <c r="B612" s="667"/>
      <c r="C612" s="667"/>
      <c r="D612" s="667"/>
      <c r="E612" s="668"/>
      <c r="F612" s="667"/>
      <c r="G612" s="667"/>
      <c r="H612" s="667"/>
      <c r="I612" s="667"/>
      <c r="J612" s="667"/>
      <c r="K612" s="667"/>
      <c r="L612" s="667"/>
      <c r="M612" s="667"/>
      <c r="N612" s="667"/>
      <c r="O612" s="667"/>
      <c r="P612" s="667"/>
      <c r="Q612" s="667"/>
    </row>
    <row r="613" ht="15.75" customHeight="1">
      <c r="B613" s="667"/>
      <c r="C613" s="667"/>
      <c r="D613" s="667"/>
      <c r="E613" s="668"/>
      <c r="F613" s="667"/>
      <c r="G613" s="667"/>
      <c r="H613" s="667"/>
      <c r="I613" s="667"/>
      <c r="J613" s="667"/>
      <c r="K613" s="667"/>
      <c r="L613" s="667"/>
      <c r="M613" s="667"/>
      <c r="N613" s="667"/>
      <c r="O613" s="667"/>
      <c r="P613" s="667"/>
      <c r="Q613" s="667"/>
    </row>
    <row r="614" ht="15.75" customHeight="1">
      <c r="B614" s="667"/>
      <c r="C614" s="667"/>
      <c r="D614" s="667"/>
      <c r="E614" s="668"/>
      <c r="F614" s="667"/>
      <c r="G614" s="667"/>
      <c r="H614" s="667"/>
      <c r="I614" s="667"/>
      <c r="J614" s="667"/>
      <c r="K614" s="667"/>
      <c r="L614" s="667"/>
      <c r="M614" s="667"/>
      <c r="N614" s="667"/>
      <c r="O614" s="667"/>
      <c r="P614" s="667"/>
      <c r="Q614" s="667"/>
    </row>
    <row r="615" ht="15.75" customHeight="1">
      <c r="B615" s="667"/>
      <c r="C615" s="667"/>
      <c r="D615" s="667"/>
      <c r="E615" s="668"/>
      <c r="F615" s="667"/>
      <c r="G615" s="667"/>
      <c r="H615" s="667"/>
      <c r="I615" s="667"/>
      <c r="J615" s="667"/>
      <c r="K615" s="667"/>
      <c r="L615" s="667"/>
      <c r="M615" s="667"/>
      <c r="N615" s="667"/>
      <c r="O615" s="667"/>
      <c r="P615" s="667"/>
      <c r="Q615" s="667"/>
    </row>
    <row r="616" ht="15.75" customHeight="1">
      <c r="B616" s="667"/>
      <c r="C616" s="667"/>
      <c r="D616" s="667"/>
      <c r="E616" s="668"/>
      <c r="F616" s="667"/>
      <c r="G616" s="667"/>
      <c r="H616" s="667"/>
      <c r="I616" s="667"/>
      <c r="J616" s="667"/>
      <c r="K616" s="667"/>
      <c r="L616" s="667"/>
      <c r="M616" s="667"/>
      <c r="N616" s="667"/>
      <c r="O616" s="667"/>
      <c r="P616" s="667"/>
      <c r="Q616" s="667"/>
    </row>
    <row r="617" ht="15.75" customHeight="1">
      <c r="B617" s="667"/>
      <c r="C617" s="667"/>
      <c r="D617" s="667"/>
      <c r="E617" s="668"/>
      <c r="F617" s="667"/>
      <c r="G617" s="667"/>
      <c r="H617" s="667"/>
      <c r="I617" s="667"/>
      <c r="J617" s="667"/>
      <c r="K617" s="667"/>
      <c r="L617" s="667"/>
      <c r="M617" s="667"/>
      <c r="N617" s="667"/>
      <c r="O617" s="667"/>
      <c r="P617" s="667"/>
      <c r="Q617" s="667"/>
    </row>
    <row r="618" ht="15.75" customHeight="1">
      <c r="B618" s="667"/>
      <c r="C618" s="667"/>
      <c r="D618" s="667"/>
      <c r="E618" s="668"/>
      <c r="F618" s="667"/>
      <c r="G618" s="667"/>
      <c r="H618" s="667"/>
      <c r="I618" s="667"/>
      <c r="J618" s="667"/>
      <c r="K618" s="667"/>
      <c r="L618" s="667"/>
      <c r="M618" s="667"/>
      <c r="N618" s="667"/>
      <c r="O618" s="667"/>
      <c r="P618" s="667"/>
      <c r="Q618" s="667"/>
    </row>
    <row r="619" ht="15.75" customHeight="1">
      <c r="B619" s="667"/>
      <c r="C619" s="667"/>
      <c r="D619" s="667"/>
      <c r="E619" s="668"/>
      <c r="F619" s="667"/>
      <c r="G619" s="667"/>
      <c r="H619" s="667"/>
      <c r="I619" s="667"/>
      <c r="J619" s="667"/>
      <c r="K619" s="667"/>
      <c r="L619" s="667"/>
      <c r="M619" s="667"/>
      <c r="N619" s="667"/>
      <c r="O619" s="667"/>
      <c r="P619" s="667"/>
      <c r="Q619" s="667"/>
    </row>
    <row r="620" ht="15.75" customHeight="1">
      <c r="B620" s="667"/>
      <c r="C620" s="667"/>
      <c r="D620" s="667"/>
      <c r="E620" s="668"/>
      <c r="F620" s="667"/>
      <c r="G620" s="667"/>
      <c r="H620" s="667"/>
      <c r="I620" s="667"/>
      <c r="J620" s="667"/>
      <c r="K620" s="667"/>
      <c r="L620" s="667"/>
      <c r="M620" s="667"/>
      <c r="N620" s="667"/>
      <c r="O620" s="667"/>
      <c r="P620" s="667"/>
      <c r="Q620" s="667"/>
    </row>
    <row r="621" ht="15.75" customHeight="1">
      <c r="B621" s="667"/>
      <c r="C621" s="667"/>
      <c r="D621" s="667"/>
      <c r="E621" s="668"/>
      <c r="F621" s="667"/>
      <c r="G621" s="667"/>
      <c r="H621" s="667"/>
      <c r="I621" s="667"/>
      <c r="J621" s="667"/>
      <c r="K621" s="667"/>
      <c r="L621" s="667"/>
      <c r="M621" s="667"/>
      <c r="N621" s="667"/>
      <c r="O621" s="667"/>
      <c r="P621" s="667"/>
      <c r="Q621" s="667"/>
    </row>
    <row r="622" ht="15.75" customHeight="1">
      <c r="B622" s="667"/>
      <c r="C622" s="667"/>
      <c r="D622" s="667"/>
      <c r="E622" s="668"/>
      <c r="F622" s="667"/>
      <c r="G622" s="667"/>
      <c r="H622" s="667"/>
      <c r="I622" s="667"/>
      <c r="J622" s="667"/>
      <c r="K622" s="667"/>
      <c r="L622" s="667"/>
      <c r="M622" s="667"/>
      <c r="N622" s="667"/>
      <c r="O622" s="667"/>
      <c r="P622" s="667"/>
      <c r="Q622" s="667"/>
    </row>
    <row r="623" ht="15.75" customHeight="1">
      <c r="B623" s="667"/>
      <c r="C623" s="667"/>
      <c r="D623" s="667"/>
      <c r="E623" s="668"/>
      <c r="F623" s="667"/>
      <c r="G623" s="667"/>
      <c r="H623" s="667"/>
      <c r="I623" s="667"/>
      <c r="J623" s="667"/>
      <c r="K623" s="667"/>
      <c r="L623" s="667"/>
      <c r="M623" s="667"/>
      <c r="N623" s="667"/>
      <c r="O623" s="667"/>
      <c r="P623" s="667"/>
      <c r="Q623" s="667"/>
    </row>
    <row r="624" ht="15.75" customHeight="1">
      <c r="B624" s="667"/>
      <c r="C624" s="667"/>
      <c r="D624" s="667"/>
      <c r="E624" s="668"/>
      <c r="F624" s="667"/>
      <c r="G624" s="667"/>
      <c r="H624" s="667"/>
      <c r="I624" s="667"/>
      <c r="J624" s="667"/>
      <c r="K624" s="667"/>
      <c r="L624" s="667"/>
      <c r="M624" s="667"/>
      <c r="N624" s="667"/>
      <c r="O624" s="667"/>
      <c r="P624" s="667"/>
      <c r="Q624" s="667"/>
    </row>
    <row r="625" ht="15.75" customHeight="1">
      <c r="B625" s="667"/>
      <c r="C625" s="667"/>
      <c r="D625" s="667"/>
      <c r="E625" s="668"/>
      <c r="F625" s="667"/>
      <c r="G625" s="667"/>
      <c r="H625" s="667"/>
      <c r="I625" s="667"/>
      <c r="J625" s="667"/>
      <c r="K625" s="667"/>
      <c r="L625" s="667"/>
      <c r="M625" s="667"/>
      <c r="N625" s="667"/>
      <c r="O625" s="667"/>
      <c r="P625" s="667"/>
      <c r="Q625" s="667"/>
    </row>
    <row r="626" ht="15.75" customHeight="1">
      <c r="B626" s="667"/>
      <c r="C626" s="667"/>
      <c r="D626" s="667"/>
      <c r="E626" s="668"/>
      <c r="F626" s="667"/>
      <c r="G626" s="667"/>
      <c r="H626" s="667"/>
      <c r="I626" s="667"/>
      <c r="J626" s="667"/>
      <c r="K626" s="667"/>
      <c r="L626" s="667"/>
      <c r="M626" s="667"/>
      <c r="N626" s="667"/>
      <c r="O626" s="667"/>
      <c r="P626" s="667"/>
      <c r="Q626" s="667"/>
    </row>
    <row r="627" ht="15.75" customHeight="1">
      <c r="B627" s="667"/>
      <c r="C627" s="667"/>
      <c r="D627" s="667"/>
      <c r="E627" s="668"/>
      <c r="F627" s="667"/>
      <c r="G627" s="667"/>
      <c r="H627" s="667"/>
      <c r="I627" s="667"/>
      <c r="J627" s="667"/>
      <c r="K627" s="667"/>
      <c r="L627" s="667"/>
      <c r="M627" s="667"/>
      <c r="N627" s="667"/>
      <c r="O627" s="667"/>
      <c r="P627" s="667"/>
      <c r="Q627" s="667"/>
    </row>
    <row r="628" ht="15.75" customHeight="1">
      <c r="B628" s="667"/>
      <c r="C628" s="667"/>
      <c r="D628" s="667"/>
      <c r="E628" s="668"/>
      <c r="F628" s="667"/>
      <c r="G628" s="667"/>
      <c r="H628" s="667"/>
      <c r="I628" s="667"/>
      <c r="J628" s="667"/>
      <c r="K628" s="667"/>
      <c r="L628" s="667"/>
      <c r="M628" s="667"/>
      <c r="N628" s="667"/>
      <c r="O628" s="667"/>
      <c r="P628" s="667"/>
      <c r="Q628" s="667"/>
    </row>
    <row r="629" ht="15.75" customHeight="1">
      <c r="B629" s="667"/>
      <c r="C629" s="667"/>
      <c r="D629" s="667"/>
      <c r="E629" s="668"/>
      <c r="F629" s="667"/>
      <c r="G629" s="667"/>
      <c r="H629" s="667"/>
      <c r="I629" s="667"/>
      <c r="J629" s="667"/>
      <c r="K629" s="667"/>
      <c r="L629" s="667"/>
      <c r="M629" s="667"/>
      <c r="N629" s="667"/>
      <c r="O629" s="667"/>
      <c r="P629" s="667"/>
      <c r="Q629" s="667"/>
    </row>
    <row r="630" ht="15.75" customHeight="1">
      <c r="B630" s="667"/>
      <c r="C630" s="667"/>
      <c r="D630" s="667"/>
      <c r="E630" s="668"/>
      <c r="F630" s="667"/>
      <c r="G630" s="667"/>
      <c r="H630" s="667"/>
      <c r="I630" s="667"/>
      <c r="J630" s="667"/>
      <c r="K630" s="667"/>
      <c r="L630" s="667"/>
      <c r="M630" s="667"/>
      <c r="N630" s="667"/>
      <c r="O630" s="667"/>
      <c r="P630" s="667"/>
      <c r="Q630" s="667"/>
    </row>
    <row r="631" ht="15.75" customHeight="1">
      <c r="B631" s="667"/>
      <c r="C631" s="667"/>
      <c r="D631" s="667"/>
      <c r="E631" s="668"/>
      <c r="F631" s="667"/>
      <c r="G631" s="667"/>
      <c r="H631" s="667"/>
      <c r="I631" s="667"/>
      <c r="J631" s="667"/>
      <c r="K631" s="667"/>
      <c r="L631" s="667"/>
      <c r="M631" s="667"/>
      <c r="N631" s="667"/>
      <c r="O631" s="667"/>
      <c r="P631" s="667"/>
      <c r="Q631" s="667"/>
    </row>
    <row r="632" ht="15.75" customHeight="1">
      <c r="B632" s="667"/>
      <c r="C632" s="667"/>
      <c r="D632" s="667"/>
      <c r="E632" s="668"/>
      <c r="F632" s="667"/>
      <c r="G632" s="667"/>
      <c r="H632" s="667"/>
      <c r="I632" s="667"/>
      <c r="J632" s="667"/>
      <c r="K632" s="667"/>
      <c r="L632" s="667"/>
      <c r="M632" s="667"/>
      <c r="N632" s="667"/>
      <c r="O632" s="667"/>
      <c r="P632" s="667"/>
      <c r="Q632" s="667"/>
    </row>
    <row r="633" ht="15.75" customHeight="1">
      <c r="B633" s="667"/>
      <c r="C633" s="667"/>
      <c r="D633" s="667"/>
      <c r="E633" s="668"/>
      <c r="F633" s="667"/>
      <c r="G633" s="667"/>
      <c r="H633" s="667"/>
      <c r="I633" s="667"/>
      <c r="J633" s="667"/>
      <c r="K633" s="667"/>
      <c r="L633" s="667"/>
      <c r="M633" s="667"/>
      <c r="N633" s="667"/>
      <c r="O633" s="667"/>
      <c r="P633" s="667"/>
      <c r="Q633" s="667"/>
    </row>
    <row r="634" ht="15.75" customHeight="1">
      <c r="B634" s="667"/>
      <c r="C634" s="667"/>
      <c r="D634" s="667"/>
      <c r="E634" s="668"/>
      <c r="F634" s="667"/>
      <c r="G634" s="667"/>
      <c r="H634" s="667"/>
      <c r="I634" s="667"/>
      <c r="J634" s="667"/>
      <c r="K634" s="667"/>
      <c r="L634" s="667"/>
      <c r="M634" s="667"/>
      <c r="N634" s="667"/>
      <c r="O634" s="667"/>
      <c r="P634" s="667"/>
      <c r="Q634" s="667"/>
    </row>
    <row r="635" ht="15.75" customHeight="1">
      <c r="B635" s="667"/>
      <c r="C635" s="667"/>
      <c r="D635" s="667"/>
      <c r="E635" s="668"/>
      <c r="F635" s="667"/>
      <c r="G635" s="667"/>
      <c r="H635" s="667"/>
      <c r="I635" s="667"/>
      <c r="J635" s="667"/>
      <c r="K635" s="667"/>
      <c r="L635" s="667"/>
      <c r="M635" s="667"/>
      <c r="N635" s="667"/>
      <c r="O635" s="667"/>
      <c r="P635" s="667"/>
      <c r="Q635" s="667"/>
    </row>
    <row r="636" ht="15.75" customHeight="1">
      <c r="B636" s="667"/>
      <c r="C636" s="667"/>
      <c r="D636" s="667"/>
      <c r="E636" s="668"/>
      <c r="F636" s="667"/>
      <c r="G636" s="667"/>
      <c r="H636" s="667"/>
      <c r="I636" s="667"/>
      <c r="J636" s="667"/>
      <c r="K636" s="667"/>
      <c r="L636" s="667"/>
      <c r="M636" s="667"/>
      <c r="N636" s="667"/>
      <c r="O636" s="667"/>
      <c r="P636" s="667"/>
      <c r="Q636" s="667"/>
    </row>
    <row r="637" ht="15.75" customHeight="1">
      <c r="B637" s="667"/>
      <c r="C637" s="667"/>
      <c r="D637" s="667"/>
      <c r="E637" s="668"/>
      <c r="F637" s="667"/>
      <c r="G637" s="667"/>
      <c r="H637" s="667"/>
      <c r="I637" s="667"/>
      <c r="J637" s="667"/>
      <c r="K637" s="667"/>
      <c r="L637" s="667"/>
      <c r="M637" s="667"/>
      <c r="N637" s="667"/>
      <c r="O637" s="667"/>
      <c r="P637" s="667"/>
      <c r="Q637" s="667"/>
    </row>
    <row r="638" ht="15.75" customHeight="1">
      <c r="B638" s="667"/>
      <c r="C638" s="667"/>
      <c r="D638" s="667"/>
      <c r="E638" s="668"/>
      <c r="F638" s="667"/>
      <c r="G638" s="667"/>
      <c r="H638" s="667"/>
      <c r="I638" s="667"/>
      <c r="J638" s="667"/>
      <c r="K638" s="667"/>
      <c r="L638" s="667"/>
      <c r="M638" s="667"/>
      <c r="N638" s="667"/>
      <c r="O638" s="667"/>
      <c r="P638" s="667"/>
      <c r="Q638" s="667"/>
    </row>
    <row r="639" ht="15.75" customHeight="1">
      <c r="B639" s="667"/>
      <c r="C639" s="667"/>
      <c r="D639" s="667"/>
      <c r="E639" s="668"/>
      <c r="F639" s="667"/>
      <c r="G639" s="667"/>
      <c r="H639" s="667"/>
      <c r="I639" s="667"/>
      <c r="J639" s="667"/>
      <c r="K639" s="667"/>
      <c r="L639" s="667"/>
      <c r="M639" s="667"/>
      <c r="N639" s="667"/>
      <c r="O639" s="667"/>
      <c r="P639" s="667"/>
      <c r="Q639" s="667"/>
    </row>
    <row r="640" ht="15.75" customHeight="1">
      <c r="B640" s="667"/>
      <c r="C640" s="667"/>
      <c r="D640" s="667"/>
      <c r="E640" s="668"/>
      <c r="F640" s="667"/>
      <c r="G640" s="667"/>
      <c r="H640" s="667"/>
      <c r="I640" s="667"/>
      <c r="J640" s="667"/>
      <c r="K640" s="667"/>
      <c r="L640" s="667"/>
      <c r="M640" s="667"/>
      <c r="N640" s="667"/>
      <c r="O640" s="667"/>
      <c r="P640" s="667"/>
      <c r="Q640" s="667"/>
    </row>
    <row r="641" ht="15.75" customHeight="1">
      <c r="B641" s="667"/>
      <c r="C641" s="667"/>
      <c r="D641" s="667"/>
      <c r="E641" s="668"/>
      <c r="F641" s="667"/>
      <c r="G641" s="667"/>
      <c r="H641" s="667"/>
      <c r="I641" s="667"/>
      <c r="J641" s="667"/>
      <c r="K641" s="667"/>
      <c r="L641" s="667"/>
      <c r="M641" s="667"/>
      <c r="N641" s="667"/>
      <c r="O641" s="667"/>
      <c r="P641" s="667"/>
      <c r="Q641" s="667"/>
    </row>
    <row r="642" ht="15.75" customHeight="1">
      <c r="B642" s="667"/>
      <c r="C642" s="667"/>
      <c r="D642" s="667"/>
      <c r="E642" s="668"/>
      <c r="F642" s="667"/>
      <c r="G642" s="667"/>
      <c r="H642" s="667"/>
      <c r="I642" s="667"/>
      <c r="J642" s="667"/>
      <c r="K642" s="667"/>
      <c r="L642" s="667"/>
      <c r="M642" s="667"/>
      <c r="N642" s="667"/>
      <c r="O642" s="667"/>
      <c r="P642" s="667"/>
      <c r="Q642" s="667"/>
    </row>
    <row r="643" ht="15.75" customHeight="1">
      <c r="B643" s="667"/>
      <c r="C643" s="667"/>
      <c r="D643" s="667"/>
      <c r="E643" s="668"/>
      <c r="F643" s="667"/>
      <c r="G643" s="667"/>
      <c r="H643" s="667"/>
      <c r="I643" s="667"/>
      <c r="J643" s="667"/>
      <c r="K643" s="667"/>
      <c r="L643" s="667"/>
      <c r="M643" s="667"/>
      <c r="N643" s="667"/>
      <c r="O643" s="667"/>
      <c r="P643" s="667"/>
      <c r="Q643" s="667"/>
    </row>
    <row r="644" ht="15.75" customHeight="1">
      <c r="B644" s="667"/>
      <c r="C644" s="667"/>
      <c r="D644" s="667"/>
      <c r="E644" s="668"/>
      <c r="F644" s="667"/>
      <c r="G644" s="667"/>
      <c r="H644" s="667"/>
      <c r="I644" s="667"/>
      <c r="J644" s="667"/>
      <c r="K644" s="667"/>
      <c r="L644" s="667"/>
      <c r="M644" s="667"/>
      <c r="N644" s="667"/>
      <c r="O644" s="667"/>
      <c r="P644" s="667"/>
      <c r="Q644" s="667"/>
    </row>
    <row r="645" ht="15.75" customHeight="1">
      <c r="B645" s="667"/>
      <c r="C645" s="667"/>
      <c r="D645" s="667"/>
      <c r="E645" s="668"/>
      <c r="F645" s="667"/>
      <c r="G645" s="667"/>
      <c r="H645" s="667"/>
      <c r="I645" s="667"/>
      <c r="J645" s="667"/>
      <c r="K645" s="667"/>
      <c r="L645" s="667"/>
      <c r="M645" s="667"/>
      <c r="N645" s="667"/>
      <c r="O645" s="667"/>
      <c r="P645" s="667"/>
      <c r="Q645" s="667"/>
    </row>
    <row r="646" ht="15.75" customHeight="1">
      <c r="B646" s="667"/>
      <c r="C646" s="667"/>
      <c r="D646" s="667"/>
      <c r="E646" s="668"/>
      <c r="F646" s="667"/>
      <c r="G646" s="667"/>
      <c r="H646" s="667"/>
      <c r="I646" s="667"/>
      <c r="J646" s="667"/>
      <c r="K646" s="667"/>
      <c r="L646" s="667"/>
      <c r="M646" s="667"/>
      <c r="N646" s="667"/>
      <c r="O646" s="667"/>
      <c r="P646" s="667"/>
      <c r="Q646" s="667"/>
    </row>
    <row r="647" ht="15.75" customHeight="1">
      <c r="B647" s="667"/>
      <c r="C647" s="667"/>
      <c r="D647" s="667"/>
      <c r="E647" s="668"/>
      <c r="F647" s="667"/>
      <c r="G647" s="667"/>
      <c r="H647" s="667"/>
      <c r="I647" s="667"/>
      <c r="J647" s="667"/>
      <c r="K647" s="667"/>
      <c r="L647" s="667"/>
      <c r="M647" s="667"/>
      <c r="N647" s="667"/>
      <c r="O647" s="667"/>
      <c r="P647" s="667"/>
      <c r="Q647" s="667"/>
    </row>
    <row r="648" ht="15.75" customHeight="1">
      <c r="B648" s="667"/>
      <c r="C648" s="667"/>
      <c r="D648" s="667"/>
      <c r="E648" s="668"/>
      <c r="F648" s="667"/>
      <c r="G648" s="667"/>
      <c r="H648" s="667"/>
      <c r="I648" s="667"/>
      <c r="J648" s="667"/>
      <c r="K648" s="667"/>
      <c r="L648" s="667"/>
      <c r="M648" s="667"/>
      <c r="N648" s="667"/>
      <c r="O648" s="667"/>
      <c r="P648" s="667"/>
      <c r="Q648" s="667"/>
    </row>
    <row r="649" ht="15.75" customHeight="1">
      <c r="B649" s="667"/>
      <c r="C649" s="667"/>
      <c r="D649" s="667"/>
      <c r="E649" s="668"/>
      <c r="F649" s="667"/>
      <c r="G649" s="667"/>
      <c r="H649" s="667"/>
      <c r="I649" s="667"/>
      <c r="J649" s="667"/>
      <c r="K649" s="667"/>
      <c r="L649" s="667"/>
      <c r="M649" s="667"/>
      <c r="N649" s="667"/>
      <c r="O649" s="667"/>
      <c r="P649" s="667"/>
      <c r="Q649" s="667"/>
    </row>
    <row r="650" ht="15.75" customHeight="1">
      <c r="B650" s="667"/>
      <c r="C650" s="667"/>
      <c r="D650" s="667"/>
      <c r="E650" s="668"/>
      <c r="F650" s="667"/>
      <c r="G650" s="667"/>
      <c r="H650" s="667"/>
      <c r="I650" s="667"/>
      <c r="J650" s="667"/>
      <c r="K650" s="667"/>
      <c r="L650" s="667"/>
      <c r="M650" s="667"/>
      <c r="N650" s="667"/>
      <c r="O650" s="667"/>
      <c r="P650" s="667"/>
      <c r="Q650" s="667"/>
    </row>
    <row r="651" ht="15.75" customHeight="1">
      <c r="B651" s="667"/>
      <c r="C651" s="667"/>
      <c r="D651" s="667"/>
      <c r="E651" s="668"/>
      <c r="F651" s="667"/>
      <c r="G651" s="667"/>
      <c r="H651" s="667"/>
      <c r="I651" s="667"/>
      <c r="J651" s="667"/>
      <c r="K651" s="667"/>
      <c r="L651" s="667"/>
      <c r="M651" s="667"/>
      <c r="N651" s="667"/>
      <c r="O651" s="667"/>
      <c r="P651" s="667"/>
      <c r="Q651" s="667"/>
    </row>
    <row r="652" ht="15.75" customHeight="1">
      <c r="B652" s="667"/>
      <c r="C652" s="667"/>
      <c r="D652" s="667"/>
      <c r="E652" s="668"/>
      <c r="F652" s="667"/>
      <c r="G652" s="667"/>
      <c r="H652" s="667"/>
      <c r="I652" s="667"/>
      <c r="J652" s="667"/>
      <c r="K652" s="667"/>
      <c r="L652" s="667"/>
      <c r="M652" s="667"/>
      <c r="N652" s="667"/>
      <c r="O652" s="667"/>
      <c r="P652" s="667"/>
      <c r="Q652" s="667"/>
    </row>
    <row r="653" ht="15.75" customHeight="1">
      <c r="B653" s="667"/>
      <c r="C653" s="667"/>
      <c r="D653" s="667"/>
      <c r="E653" s="668"/>
      <c r="F653" s="667"/>
      <c r="G653" s="667"/>
      <c r="H653" s="667"/>
      <c r="I653" s="667"/>
      <c r="J653" s="667"/>
      <c r="K653" s="667"/>
      <c r="L653" s="667"/>
      <c r="M653" s="667"/>
      <c r="N653" s="667"/>
      <c r="O653" s="667"/>
      <c r="P653" s="667"/>
      <c r="Q653" s="667"/>
    </row>
    <row r="654" ht="15.75" customHeight="1">
      <c r="B654" s="667"/>
      <c r="C654" s="667"/>
      <c r="D654" s="667"/>
      <c r="E654" s="668"/>
      <c r="F654" s="667"/>
      <c r="G654" s="667"/>
      <c r="H654" s="667"/>
      <c r="I654" s="667"/>
      <c r="J654" s="667"/>
      <c r="K654" s="667"/>
      <c r="L654" s="667"/>
      <c r="M654" s="667"/>
      <c r="N654" s="667"/>
      <c r="O654" s="667"/>
      <c r="P654" s="667"/>
      <c r="Q654" s="667"/>
    </row>
    <row r="655" ht="15.75" customHeight="1">
      <c r="B655" s="667"/>
      <c r="C655" s="667"/>
      <c r="D655" s="667"/>
      <c r="E655" s="668"/>
      <c r="F655" s="667"/>
      <c r="G655" s="667"/>
      <c r="H655" s="667"/>
      <c r="I655" s="667"/>
      <c r="J655" s="667"/>
      <c r="K655" s="667"/>
      <c r="L655" s="667"/>
      <c r="M655" s="667"/>
      <c r="N655" s="667"/>
      <c r="O655" s="667"/>
      <c r="P655" s="667"/>
      <c r="Q655" s="667"/>
    </row>
    <row r="656" ht="15.75" customHeight="1">
      <c r="B656" s="667"/>
      <c r="C656" s="667"/>
      <c r="D656" s="667"/>
      <c r="E656" s="668"/>
      <c r="F656" s="667"/>
      <c r="G656" s="667"/>
      <c r="H656" s="667"/>
      <c r="I656" s="667"/>
      <c r="J656" s="667"/>
      <c r="K656" s="667"/>
      <c r="L656" s="667"/>
      <c r="M656" s="667"/>
      <c r="N656" s="667"/>
      <c r="O656" s="667"/>
      <c r="P656" s="667"/>
      <c r="Q656" s="667"/>
    </row>
    <row r="657" ht="15.75" customHeight="1">
      <c r="B657" s="667"/>
      <c r="C657" s="667"/>
      <c r="D657" s="667"/>
      <c r="E657" s="668"/>
      <c r="F657" s="667"/>
      <c r="G657" s="667"/>
      <c r="H657" s="667"/>
      <c r="I657" s="667"/>
      <c r="J657" s="667"/>
      <c r="K657" s="667"/>
      <c r="L657" s="667"/>
      <c r="M657" s="667"/>
      <c r="N657" s="667"/>
      <c r="O657" s="667"/>
      <c r="P657" s="667"/>
      <c r="Q657" s="667"/>
    </row>
    <row r="658" ht="15.75" customHeight="1">
      <c r="B658" s="667"/>
      <c r="C658" s="667"/>
      <c r="D658" s="667"/>
      <c r="E658" s="668"/>
      <c r="F658" s="667"/>
      <c r="G658" s="667"/>
      <c r="H658" s="667"/>
      <c r="I658" s="667"/>
      <c r="J658" s="667"/>
      <c r="K658" s="667"/>
      <c r="L658" s="667"/>
      <c r="M658" s="667"/>
      <c r="N658" s="667"/>
      <c r="O658" s="667"/>
      <c r="P658" s="667"/>
      <c r="Q658" s="667"/>
    </row>
    <row r="659" ht="15.75" customHeight="1">
      <c r="B659" s="667"/>
      <c r="C659" s="667"/>
      <c r="D659" s="667"/>
      <c r="E659" s="668"/>
      <c r="F659" s="667"/>
      <c r="G659" s="667"/>
      <c r="H659" s="667"/>
      <c r="I659" s="667"/>
      <c r="J659" s="667"/>
      <c r="K659" s="667"/>
      <c r="L659" s="667"/>
      <c r="M659" s="667"/>
      <c r="N659" s="667"/>
      <c r="O659" s="667"/>
      <c r="P659" s="667"/>
      <c r="Q659" s="667"/>
    </row>
    <row r="660" ht="15.75" customHeight="1">
      <c r="B660" s="667"/>
      <c r="C660" s="667"/>
      <c r="D660" s="667"/>
      <c r="E660" s="668"/>
      <c r="F660" s="667"/>
      <c r="G660" s="667"/>
      <c r="H660" s="667"/>
      <c r="I660" s="667"/>
      <c r="J660" s="667"/>
      <c r="K660" s="667"/>
      <c r="L660" s="667"/>
      <c r="M660" s="667"/>
      <c r="N660" s="667"/>
      <c r="O660" s="667"/>
      <c r="P660" s="667"/>
      <c r="Q660" s="667"/>
    </row>
    <row r="661" ht="15.75" customHeight="1">
      <c r="B661" s="667"/>
      <c r="C661" s="667"/>
      <c r="D661" s="667"/>
      <c r="E661" s="668"/>
      <c r="F661" s="667"/>
      <c r="G661" s="667"/>
      <c r="H661" s="667"/>
      <c r="I661" s="667"/>
      <c r="J661" s="667"/>
      <c r="K661" s="667"/>
      <c r="L661" s="667"/>
      <c r="M661" s="667"/>
      <c r="N661" s="667"/>
      <c r="O661" s="667"/>
      <c r="P661" s="667"/>
      <c r="Q661" s="667"/>
    </row>
    <row r="662" ht="15.75" customHeight="1">
      <c r="B662" s="667"/>
      <c r="C662" s="667"/>
      <c r="D662" s="667"/>
      <c r="E662" s="668"/>
      <c r="F662" s="667"/>
      <c r="G662" s="667"/>
      <c r="H662" s="667"/>
      <c r="I662" s="667"/>
      <c r="J662" s="667"/>
      <c r="K662" s="667"/>
      <c r="L662" s="667"/>
      <c r="M662" s="667"/>
      <c r="N662" s="667"/>
      <c r="O662" s="667"/>
      <c r="P662" s="667"/>
      <c r="Q662" s="667"/>
    </row>
    <row r="663" ht="15.75" customHeight="1">
      <c r="B663" s="667"/>
      <c r="C663" s="667"/>
      <c r="D663" s="667"/>
      <c r="E663" s="668"/>
      <c r="F663" s="667"/>
      <c r="G663" s="667"/>
      <c r="H663" s="667"/>
      <c r="I663" s="667"/>
      <c r="J663" s="667"/>
      <c r="K663" s="667"/>
      <c r="L663" s="667"/>
      <c r="M663" s="667"/>
      <c r="N663" s="667"/>
      <c r="O663" s="667"/>
      <c r="P663" s="667"/>
      <c r="Q663" s="667"/>
    </row>
    <row r="664" ht="15.75" customHeight="1">
      <c r="B664" s="667"/>
      <c r="C664" s="667"/>
      <c r="D664" s="667"/>
      <c r="E664" s="668"/>
      <c r="F664" s="667"/>
      <c r="G664" s="667"/>
      <c r="H664" s="667"/>
      <c r="I664" s="667"/>
      <c r="J664" s="667"/>
      <c r="K664" s="667"/>
      <c r="L664" s="667"/>
      <c r="M664" s="667"/>
      <c r="N664" s="667"/>
      <c r="O664" s="667"/>
      <c r="P664" s="667"/>
      <c r="Q664" s="667"/>
    </row>
    <row r="665" ht="15.75" customHeight="1">
      <c r="B665" s="667"/>
      <c r="C665" s="667"/>
      <c r="D665" s="667"/>
      <c r="E665" s="668"/>
      <c r="F665" s="667"/>
      <c r="G665" s="667"/>
      <c r="H665" s="667"/>
      <c r="I665" s="667"/>
      <c r="J665" s="667"/>
      <c r="K665" s="667"/>
      <c r="L665" s="667"/>
      <c r="M665" s="667"/>
      <c r="N665" s="667"/>
      <c r="O665" s="667"/>
      <c r="P665" s="667"/>
      <c r="Q665" s="667"/>
    </row>
    <row r="666" ht="15.75" customHeight="1">
      <c r="B666" s="667"/>
      <c r="C666" s="667"/>
      <c r="D666" s="667"/>
      <c r="E666" s="668"/>
      <c r="F666" s="667"/>
      <c r="G666" s="667"/>
      <c r="H666" s="667"/>
      <c r="I666" s="667"/>
      <c r="J666" s="667"/>
      <c r="K666" s="667"/>
      <c r="L666" s="667"/>
      <c r="M666" s="667"/>
      <c r="N666" s="667"/>
      <c r="O666" s="667"/>
      <c r="P666" s="667"/>
      <c r="Q666" s="667"/>
    </row>
    <row r="667" ht="15.75" customHeight="1">
      <c r="B667" s="667"/>
      <c r="C667" s="667"/>
      <c r="D667" s="667"/>
      <c r="E667" s="668"/>
      <c r="F667" s="667"/>
      <c r="G667" s="667"/>
      <c r="H667" s="667"/>
      <c r="I667" s="667"/>
      <c r="J667" s="667"/>
      <c r="K667" s="667"/>
      <c r="L667" s="667"/>
      <c r="M667" s="667"/>
      <c r="N667" s="667"/>
      <c r="O667" s="667"/>
      <c r="P667" s="667"/>
      <c r="Q667" s="667"/>
    </row>
    <row r="668" ht="15.75" customHeight="1">
      <c r="B668" s="667"/>
      <c r="C668" s="667"/>
      <c r="D668" s="667"/>
      <c r="E668" s="668"/>
      <c r="F668" s="667"/>
      <c r="G668" s="667"/>
      <c r="H668" s="667"/>
      <c r="I668" s="667"/>
      <c r="J668" s="667"/>
      <c r="K668" s="667"/>
      <c r="L668" s="667"/>
      <c r="M668" s="667"/>
      <c r="N668" s="667"/>
      <c r="O668" s="667"/>
      <c r="P668" s="667"/>
      <c r="Q668" s="667"/>
    </row>
    <row r="669" ht="15.75" customHeight="1">
      <c r="B669" s="667"/>
      <c r="C669" s="667"/>
      <c r="D669" s="667"/>
      <c r="E669" s="668"/>
      <c r="F669" s="667"/>
      <c r="G669" s="667"/>
      <c r="H669" s="667"/>
      <c r="I669" s="667"/>
      <c r="J669" s="667"/>
      <c r="K669" s="667"/>
      <c r="L669" s="667"/>
      <c r="M669" s="667"/>
      <c r="N669" s="667"/>
      <c r="O669" s="667"/>
      <c r="P669" s="667"/>
      <c r="Q669" s="667"/>
    </row>
    <row r="670" ht="15.75" customHeight="1">
      <c r="B670" s="667"/>
      <c r="C670" s="667"/>
      <c r="D670" s="667"/>
      <c r="E670" s="668"/>
      <c r="F670" s="667"/>
      <c r="G670" s="667"/>
      <c r="H670" s="667"/>
      <c r="I670" s="667"/>
      <c r="J670" s="667"/>
      <c r="K670" s="667"/>
      <c r="L670" s="667"/>
      <c r="M670" s="667"/>
      <c r="N670" s="667"/>
      <c r="O670" s="667"/>
      <c r="P670" s="667"/>
      <c r="Q670" s="667"/>
    </row>
    <row r="671" ht="15.75" customHeight="1">
      <c r="B671" s="667"/>
      <c r="C671" s="667"/>
      <c r="D671" s="667"/>
      <c r="E671" s="668"/>
      <c r="F671" s="667"/>
      <c r="G671" s="667"/>
      <c r="H671" s="667"/>
      <c r="I671" s="667"/>
      <c r="J671" s="667"/>
      <c r="K671" s="667"/>
      <c r="L671" s="667"/>
      <c r="M671" s="667"/>
      <c r="N671" s="667"/>
      <c r="O671" s="667"/>
      <c r="P671" s="667"/>
      <c r="Q671" s="667"/>
    </row>
    <row r="672" ht="15.75" customHeight="1">
      <c r="B672" s="667"/>
      <c r="C672" s="667"/>
      <c r="D672" s="667"/>
      <c r="E672" s="668"/>
      <c r="F672" s="667"/>
      <c r="G672" s="667"/>
      <c r="H672" s="667"/>
      <c r="I672" s="667"/>
      <c r="J672" s="667"/>
      <c r="K672" s="667"/>
      <c r="L672" s="667"/>
      <c r="M672" s="667"/>
      <c r="N672" s="667"/>
      <c r="O672" s="667"/>
      <c r="P672" s="667"/>
      <c r="Q672" s="667"/>
    </row>
    <row r="673" ht="15.75" customHeight="1">
      <c r="B673" s="667"/>
      <c r="C673" s="667"/>
      <c r="D673" s="667"/>
      <c r="E673" s="668"/>
      <c r="F673" s="667"/>
      <c r="G673" s="667"/>
      <c r="H673" s="667"/>
      <c r="I673" s="667"/>
      <c r="J673" s="667"/>
      <c r="K673" s="667"/>
      <c r="L673" s="667"/>
      <c r="M673" s="667"/>
      <c r="N673" s="667"/>
      <c r="O673" s="667"/>
      <c r="P673" s="667"/>
      <c r="Q673" s="667"/>
    </row>
    <row r="674" ht="15.75" customHeight="1">
      <c r="B674" s="667"/>
      <c r="C674" s="667"/>
      <c r="D674" s="667"/>
      <c r="E674" s="668"/>
      <c r="F674" s="667"/>
      <c r="G674" s="667"/>
      <c r="H674" s="667"/>
      <c r="I674" s="667"/>
      <c r="J674" s="667"/>
      <c r="K674" s="667"/>
      <c r="L674" s="667"/>
      <c r="M674" s="667"/>
      <c r="N674" s="667"/>
      <c r="O674" s="667"/>
      <c r="P674" s="667"/>
      <c r="Q674" s="667"/>
    </row>
    <row r="675" ht="15.75" customHeight="1">
      <c r="B675" s="667"/>
      <c r="C675" s="667"/>
      <c r="D675" s="667"/>
      <c r="E675" s="668"/>
      <c r="F675" s="667"/>
      <c r="G675" s="667"/>
      <c r="H675" s="667"/>
      <c r="I675" s="667"/>
      <c r="J675" s="667"/>
      <c r="K675" s="667"/>
      <c r="L675" s="667"/>
      <c r="M675" s="667"/>
      <c r="N675" s="667"/>
      <c r="O675" s="667"/>
      <c r="P675" s="667"/>
      <c r="Q675" s="667"/>
    </row>
    <row r="676" ht="15.75" customHeight="1">
      <c r="B676" s="667"/>
      <c r="C676" s="667"/>
      <c r="D676" s="667"/>
      <c r="E676" s="668"/>
      <c r="F676" s="667"/>
      <c r="G676" s="667"/>
      <c r="H676" s="667"/>
      <c r="I676" s="667"/>
      <c r="J676" s="667"/>
      <c r="K676" s="667"/>
      <c r="L676" s="667"/>
      <c r="M676" s="667"/>
      <c r="N676" s="667"/>
      <c r="O676" s="667"/>
      <c r="P676" s="667"/>
      <c r="Q676" s="667"/>
    </row>
    <row r="677" ht="15.75" customHeight="1">
      <c r="B677" s="667"/>
      <c r="C677" s="667"/>
      <c r="D677" s="667"/>
      <c r="E677" s="668"/>
      <c r="F677" s="667"/>
      <c r="G677" s="667"/>
      <c r="H677" s="667"/>
      <c r="I677" s="667"/>
      <c r="J677" s="667"/>
      <c r="K677" s="667"/>
      <c r="L677" s="667"/>
      <c r="M677" s="667"/>
      <c r="N677" s="667"/>
      <c r="O677" s="667"/>
      <c r="P677" s="667"/>
      <c r="Q677" s="667"/>
    </row>
    <row r="678" ht="15.75" customHeight="1">
      <c r="B678" s="667"/>
      <c r="C678" s="667"/>
      <c r="D678" s="667"/>
      <c r="E678" s="668"/>
      <c r="F678" s="667"/>
      <c r="G678" s="667"/>
      <c r="H678" s="667"/>
      <c r="I678" s="667"/>
      <c r="J678" s="667"/>
      <c r="K678" s="667"/>
      <c r="L678" s="667"/>
      <c r="M678" s="667"/>
      <c r="N678" s="667"/>
      <c r="O678" s="667"/>
      <c r="P678" s="667"/>
      <c r="Q678" s="667"/>
    </row>
    <row r="679" ht="15.75" customHeight="1">
      <c r="B679" s="667"/>
      <c r="C679" s="667"/>
      <c r="D679" s="667"/>
      <c r="E679" s="668"/>
      <c r="F679" s="667"/>
      <c r="G679" s="667"/>
      <c r="H679" s="667"/>
      <c r="I679" s="667"/>
      <c r="J679" s="667"/>
      <c r="K679" s="667"/>
      <c r="L679" s="667"/>
      <c r="M679" s="667"/>
      <c r="N679" s="667"/>
      <c r="O679" s="667"/>
      <c r="P679" s="667"/>
      <c r="Q679" s="667"/>
    </row>
    <row r="680" ht="15.75" customHeight="1">
      <c r="B680" s="667"/>
      <c r="C680" s="667"/>
      <c r="D680" s="667"/>
      <c r="E680" s="668"/>
      <c r="F680" s="667"/>
      <c r="G680" s="667"/>
      <c r="H680" s="667"/>
      <c r="I680" s="667"/>
      <c r="J680" s="667"/>
      <c r="K680" s="667"/>
      <c r="L680" s="667"/>
      <c r="M680" s="667"/>
      <c r="N680" s="667"/>
      <c r="O680" s="667"/>
      <c r="P680" s="667"/>
      <c r="Q680" s="667"/>
    </row>
    <row r="681" ht="15.75" customHeight="1">
      <c r="B681" s="667"/>
      <c r="C681" s="667"/>
      <c r="D681" s="667"/>
      <c r="E681" s="668"/>
      <c r="F681" s="667"/>
      <c r="G681" s="667"/>
      <c r="H681" s="667"/>
      <c r="I681" s="667"/>
      <c r="J681" s="667"/>
      <c r="K681" s="667"/>
      <c r="L681" s="667"/>
      <c r="M681" s="667"/>
      <c r="N681" s="667"/>
      <c r="O681" s="667"/>
      <c r="P681" s="667"/>
      <c r="Q681" s="667"/>
    </row>
    <row r="682" ht="15.75" customHeight="1">
      <c r="B682" s="667"/>
      <c r="C682" s="667"/>
      <c r="D682" s="667"/>
      <c r="E682" s="668"/>
      <c r="F682" s="667"/>
      <c r="G682" s="667"/>
      <c r="H682" s="667"/>
      <c r="I682" s="667"/>
      <c r="J682" s="667"/>
      <c r="K682" s="667"/>
      <c r="L682" s="667"/>
      <c r="M682" s="667"/>
      <c r="N682" s="667"/>
      <c r="O682" s="667"/>
      <c r="P682" s="667"/>
      <c r="Q682" s="667"/>
    </row>
    <row r="683" ht="15.75" customHeight="1">
      <c r="B683" s="667"/>
      <c r="C683" s="667"/>
      <c r="D683" s="667"/>
      <c r="E683" s="668"/>
      <c r="F683" s="667"/>
      <c r="G683" s="667"/>
      <c r="H683" s="667"/>
      <c r="I683" s="667"/>
      <c r="J683" s="667"/>
      <c r="K683" s="667"/>
      <c r="L683" s="667"/>
      <c r="M683" s="667"/>
      <c r="N683" s="667"/>
      <c r="O683" s="667"/>
      <c r="P683" s="667"/>
      <c r="Q683" s="667"/>
    </row>
    <row r="684" ht="15.75" customHeight="1">
      <c r="B684" s="667"/>
      <c r="C684" s="667"/>
      <c r="D684" s="667"/>
      <c r="E684" s="668"/>
      <c r="F684" s="667"/>
      <c r="G684" s="667"/>
      <c r="H684" s="667"/>
      <c r="I684" s="667"/>
      <c r="J684" s="667"/>
      <c r="K684" s="667"/>
      <c r="L684" s="667"/>
      <c r="M684" s="667"/>
      <c r="N684" s="667"/>
      <c r="O684" s="667"/>
      <c r="P684" s="667"/>
      <c r="Q684" s="667"/>
    </row>
    <row r="685" ht="15.75" customHeight="1">
      <c r="B685" s="667"/>
      <c r="C685" s="667"/>
      <c r="D685" s="667"/>
      <c r="E685" s="668"/>
      <c r="F685" s="667"/>
      <c r="G685" s="667"/>
      <c r="H685" s="667"/>
      <c r="I685" s="667"/>
      <c r="J685" s="667"/>
      <c r="K685" s="667"/>
      <c r="L685" s="667"/>
      <c r="M685" s="667"/>
      <c r="N685" s="667"/>
      <c r="O685" s="667"/>
      <c r="P685" s="667"/>
      <c r="Q685" s="667"/>
    </row>
    <row r="686" ht="15.75" customHeight="1">
      <c r="B686" s="667"/>
      <c r="C686" s="667"/>
      <c r="D686" s="667"/>
      <c r="E686" s="668"/>
      <c r="F686" s="667"/>
      <c r="G686" s="667"/>
      <c r="H686" s="667"/>
      <c r="I686" s="667"/>
      <c r="J686" s="667"/>
      <c r="K686" s="667"/>
      <c r="L686" s="667"/>
      <c r="M686" s="667"/>
      <c r="N686" s="667"/>
      <c r="O686" s="667"/>
      <c r="P686" s="667"/>
      <c r="Q686" s="667"/>
    </row>
    <row r="687" ht="15.75" customHeight="1">
      <c r="B687" s="667"/>
      <c r="C687" s="667"/>
      <c r="D687" s="667"/>
      <c r="E687" s="668"/>
      <c r="F687" s="667"/>
      <c r="G687" s="667"/>
      <c r="H687" s="667"/>
      <c r="I687" s="667"/>
      <c r="J687" s="667"/>
      <c r="K687" s="667"/>
      <c r="L687" s="667"/>
      <c r="M687" s="667"/>
      <c r="N687" s="667"/>
      <c r="O687" s="667"/>
      <c r="P687" s="667"/>
      <c r="Q687" s="667"/>
    </row>
    <row r="688" ht="15.75" customHeight="1">
      <c r="B688" s="667"/>
      <c r="C688" s="667"/>
      <c r="D688" s="667"/>
      <c r="E688" s="668"/>
      <c r="F688" s="667"/>
      <c r="G688" s="667"/>
      <c r="H688" s="667"/>
      <c r="I688" s="667"/>
      <c r="J688" s="667"/>
      <c r="K688" s="667"/>
      <c r="L688" s="667"/>
      <c r="M688" s="667"/>
      <c r="N688" s="667"/>
      <c r="O688" s="667"/>
      <c r="P688" s="667"/>
      <c r="Q688" s="667"/>
    </row>
    <row r="689" ht="15.75" customHeight="1">
      <c r="B689" s="667"/>
      <c r="C689" s="667"/>
      <c r="D689" s="667"/>
      <c r="E689" s="668"/>
      <c r="F689" s="667"/>
      <c r="G689" s="667"/>
      <c r="H689" s="667"/>
      <c r="I689" s="667"/>
      <c r="J689" s="667"/>
      <c r="K689" s="667"/>
      <c r="L689" s="667"/>
      <c r="M689" s="667"/>
      <c r="N689" s="667"/>
      <c r="O689" s="667"/>
      <c r="P689" s="667"/>
      <c r="Q689" s="667"/>
    </row>
    <row r="690" ht="15.75" customHeight="1">
      <c r="B690" s="667"/>
      <c r="C690" s="667"/>
      <c r="D690" s="667"/>
      <c r="E690" s="668"/>
      <c r="F690" s="667"/>
      <c r="G690" s="667"/>
      <c r="H690" s="667"/>
      <c r="I690" s="667"/>
      <c r="J690" s="667"/>
      <c r="K690" s="667"/>
      <c r="L690" s="667"/>
      <c r="M690" s="667"/>
      <c r="N690" s="667"/>
      <c r="O690" s="667"/>
      <c r="P690" s="667"/>
      <c r="Q690" s="667"/>
    </row>
    <row r="691" ht="15.75" customHeight="1">
      <c r="B691" s="667"/>
      <c r="C691" s="667"/>
      <c r="D691" s="667"/>
      <c r="E691" s="668"/>
      <c r="F691" s="667"/>
      <c r="G691" s="667"/>
      <c r="H691" s="667"/>
      <c r="I691" s="667"/>
      <c r="J691" s="667"/>
      <c r="K691" s="667"/>
      <c r="L691" s="667"/>
      <c r="M691" s="667"/>
      <c r="N691" s="667"/>
      <c r="O691" s="667"/>
      <c r="P691" s="667"/>
      <c r="Q691" s="667"/>
    </row>
    <row r="692" ht="15.75" customHeight="1">
      <c r="B692" s="667"/>
      <c r="C692" s="667"/>
      <c r="D692" s="667"/>
      <c r="E692" s="668"/>
      <c r="F692" s="667"/>
      <c r="G692" s="667"/>
      <c r="H692" s="667"/>
      <c r="I692" s="667"/>
      <c r="J692" s="667"/>
      <c r="K692" s="667"/>
      <c r="L692" s="667"/>
      <c r="M692" s="667"/>
      <c r="N692" s="667"/>
      <c r="O692" s="667"/>
      <c r="P692" s="667"/>
      <c r="Q692" s="667"/>
    </row>
    <row r="693" ht="15.75" customHeight="1">
      <c r="B693" s="667"/>
      <c r="C693" s="667"/>
      <c r="D693" s="667"/>
      <c r="E693" s="668"/>
      <c r="F693" s="667"/>
      <c r="G693" s="667"/>
      <c r="H693" s="667"/>
      <c r="I693" s="667"/>
      <c r="J693" s="667"/>
      <c r="K693" s="667"/>
      <c r="L693" s="667"/>
      <c r="M693" s="667"/>
      <c r="N693" s="667"/>
      <c r="O693" s="667"/>
      <c r="P693" s="667"/>
      <c r="Q693" s="667"/>
    </row>
    <row r="694" ht="15.75" customHeight="1">
      <c r="B694" s="667"/>
      <c r="C694" s="667"/>
      <c r="D694" s="667"/>
      <c r="E694" s="668"/>
      <c r="F694" s="667"/>
      <c r="G694" s="667"/>
      <c r="H694" s="667"/>
      <c r="I694" s="667"/>
      <c r="J694" s="667"/>
      <c r="K694" s="667"/>
      <c r="L694" s="667"/>
      <c r="M694" s="667"/>
      <c r="N694" s="667"/>
      <c r="O694" s="667"/>
      <c r="P694" s="667"/>
      <c r="Q694" s="667"/>
    </row>
    <row r="695" ht="15.75" customHeight="1">
      <c r="B695" s="667"/>
      <c r="C695" s="667"/>
      <c r="D695" s="667"/>
      <c r="E695" s="668"/>
      <c r="F695" s="667"/>
      <c r="G695" s="667"/>
      <c r="H695" s="667"/>
      <c r="I695" s="667"/>
      <c r="J695" s="667"/>
      <c r="K695" s="667"/>
      <c r="L695" s="667"/>
      <c r="M695" s="667"/>
      <c r="N695" s="667"/>
      <c r="O695" s="667"/>
      <c r="P695" s="667"/>
      <c r="Q695" s="667"/>
    </row>
    <row r="696" ht="15.75" customHeight="1">
      <c r="B696" s="667"/>
      <c r="C696" s="667"/>
      <c r="D696" s="667"/>
      <c r="E696" s="668"/>
      <c r="F696" s="667"/>
      <c r="G696" s="667"/>
      <c r="H696" s="667"/>
      <c r="I696" s="667"/>
      <c r="J696" s="667"/>
      <c r="K696" s="667"/>
      <c r="L696" s="667"/>
      <c r="M696" s="667"/>
      <c r="N696" s="667"/>
      <c r="O696" s="667"/>
      <c r="P696" s="667"/>
      <c r="Q696" s="667"/>
    </row>
    <row r="697" ht="15.75" customHeight="1">
      <c r="B697" s="667"/>
      <c r="C697" s="667"/>
      <c r="D697" s="667"/>
      <c r="E697" s="668"/>
      <c r="F697" s="667"/>
      <c r="G697" s="667"/>
      <c r="H697" s="667"/>
      <c r="I697" s="667"/>
      <c r="J697" s="667"/>
      <c r="K697" s="667"/>
      <c r="L697" s="667"/>
      <c r="M697" s="667"/>
      <c r="N697" s="667"/>
      <c r="O697" s="667"/>
      <c r="P697" s="667"/>
      <c r="Q697" s="667"/>
    </row>
    <row r="698" ht="15.75" customHeight="1">
      <c r="B698" s="667"/>
      <c r="C698" s="667"/>
      <c r="D698" s="667"/>
      <c r="E698" s="668"/>
      <c r="F698" s="667"/>
      <c r="G698" s="667"/>
      <c r="H698" s="667"/>
      <c r="I698" s="667"/>
      <c r="J698" s="667"/>
      <c r="K698" s="667"/>
      <c r="L698" s="667"/>
      <c r="M698" s="667"/>
      <c r="N698" s="667"/>
      <c r="O698" s="667"/>
      <c r="P698" s="667"/>
      <c r="Q698" s="667"/>
    </row>
    <row r="699" ht="15.75" customHeight="1">
      <c r="B699" s="667"/>
      <c r="C699" s="667"/>
      <c r="D699" s="667"/>
      <c r="E699" s="668"/>
      <c r="F699" s="667"/>
      <c r="G699" s="667"/>
      <c r="H699" s="667"/>
      <c r="I699" s="667"/>
      <c r="J699" s="667"/>
      <c r="K699" s="667"/>
      <c r="L699" s="667"/>
      <c r="M699" s="667"/>
      <c r="N699" s="667"/>
      <c r="O699" s="667"/>
      <c r="P699" s="667"/>
      <c r="Q699" s="667"/>
    </row>
    <row r="700" ht="15.75" customHeight="1">
      <c r="B700" s="667"/>
      <c r="C700" s="667"/>
      <c r="D700" s="667"/>
      <c r="E700" s="668"/>
      <c r="F700" s="667"/>
      <c r="G700" s="667"/>
      <c r="H700" s="667"/>
      <c r="I700" s="667"/>
      <c r="J700" s="667"/>
      <c r="K700" s="667"/>
      <c r="L700" s="667"/>
      <c r="M700" s="667"/>
      <c r="N700" s="667"/>
      <c r="O700" s="667"/>
      <c r="P700" s="667"/>
      <c r="Q700" s="667"/>
    </row>
    <row r="701" ht="15.75" customHeight="1">
      <c r="B701" s="667"/>
      <c r="C701" s="667"/>
      <c r="D701" s="667"/>
      <c r="E701" s="668"/>
      <c r="F701" s="667"/>
      <c r="G701" s="667"/>
      <c r="H701" s="667"/>
      <c r="I701" s="667"/>
      <c r="J701" s="667"/>
      <c r="K701" s="667"/>
      <c r="L701" s="667"/>
      <c r="M701" s="667"/>
      <c r="N701" s="667"/>
      <c r="O701" s="667"/>
      <c r="P701" s="667"/>
      <c r="Q701" s="667"/>
    </row>
    <row r="702" ht="15.75" customHeight="1">
      <c r="B702" s="667"/>
      <c r="C702" s="667"/>
      <c r="D702" s="667"/>
      <c r="E702" s="668"/>
      <c r="F702" s="667"/>
      <c r="G702" s="667"/>
      <c r="H702" s="667"/>
      <c r="I702" s="667"/>
      <c r="J702" s="667"/>
      <c r="K702" s="667"/>
      <c r="L702" s="667"/>
      <c r="M702" s="667"/>
      <c r="N702" s="667"/>
      <c r="O702" s="667"/>
      <c r="P702" s="667"/>
      <c r="Q702" s="667"/>
    </row>
    <row r="703" ht="15.75" customHeight="1">
      <c r="B703" s="667"/>
      <c r="C703" s="667"/>
      <c r="D703" s="667"/>
      <c r="E703" s="668"/>
      <c r="F703" s="667"/>
      <c r="G703" s="667"/>
      <c r="H703" s="667"/>
      <c r="I703" s="667"/>
      <c r="J703" s="667"/>
      <c r="K703" s="667"/>
      <c r="L703" s="667"/>
      <c r="M703" s="667"/>
      <c r="N703" s="667"/>
      <c r="O703" s="667"/>
      <c r="P703" s="667"/>
      <c r="Q703" s="667"/>
    </row>
    <row r="704" ht="15.75" customHeight="1">
      <c r="B704" s="667"/>
      <c r="C704" s="667"/>
      <c r="D704" s="667"/>
      <c r="E704" s="668"/>
      <c r="F704" s="667"/>
      <c r="G704" s="667"/>
      <c r="H704" s="667"/>
      <c r="I704" s="667"/>
      <c r="J704" s="667"/>
      <c r="K704" s="667"/>
      <c r="L704" s="667"/>
      <c r="M704" s="667"/>
      <c r="N704" s="667"/>
      <c r="O704" s="667"/>
      <c r="P704" s="667"/>
      <c r="Q704" s="667"/>
    </row>
    <row r="705" ht="15.75" customHeight="1">
      <c r="B705" s="667"/>
      <c r="C705" s="667"/>
      <c r="D705" s="667"/>
      <c r="E705" s="668"/>
      <c r="F705" s="667"/>
      <c r="G705" s="667"/>
      <c r="H705" s="667"/>
      <c r="I705" s="667"/>
      <c r="J705" s="667"/>
      <c r="K705" s="667"/>
      <c r="L705" s="667"/>
      <c r="M705" s="667"/>
      <c r="N705" s="667"/>
      <c r="O705" s="667"/>
      <c r="P705" s="667"/>
      <c r="Q705" s="667"/>
    </row>
    <row r="706" ht="15.75" customHeight="1">
      <c r="B706" s="667"/>
      <c r="C706" s="667"/>
      <c r="D706" s="667"/>
      <c r="E706" s="668"/>
      <c r="F706" s="667"/>
      <c r="G706" s="667"/>
      <c r="H706" s="667"/>
      <c r="I706" s="667"/>
      <c r="J706" s="667"/>
      <c r="K706" s="667"/>
      <c r="L706" s="667"/>
      <c r="M706" s="667"/>
      <c r="N706" s="667"/>
      <c r="O706" s="667"/>
      <c r="P706" s="667"/>
      <c r="Q706" s="667"/>
    </row>
    <row r="707" ht="15.75" customHeight="1">
      <c r="B707" s="667"/>
      <c r="C707" s="667"/>
      <c r="D707" s="667"/>
      <c r="E707" s="668"/>
      <c r="F707" s="667"/>
      <c r="G707" s="667"/>
      <c r="H707" s="667"/>
      <c r="I707" s="667"/>
      <c r="J707" s="667"/>
      <c r="K707" s="667"/>
      <c r="L707" s="667"/>
      <c r="M707" s="667"/>
      <c r="N707" s="667"/>
      <c r="O707" s="667"/>
      <c r="P707" s="667"/>
      <c r="Q707" s="667"/>
    </row>
    <row r="708" ht="15.75" customHeight="1">
      <c r="B708" s="667"/>
      <c r="C708" s="667"/>
      <c r="D708" s="667"/>
      <c r="E708" s="668"/>
      <c r="F708" s="667"/>
      <c r="G708" s="667"/>
      <c r="H708" s="667"/>
      <c r="I708" s="667"/>
      <c r="J708" s="667"/>
      <c r="K708" s="667"/>
      <c r="L708" s="667"/>
      <c r="M708" s="667"/>
      <c r="N708" s="667"/>
      <c r="O708" s="667"/>
      <c r="P708" s="667"/>
      <c r="Q708" s="667"/>
    </row>
    <row r="709" ht="15.75" customHeight="1">
      <c r="B709" s="667"/>
      <c r="C709" s="667"/>
      <c r="D709" s="667"/>
      <c r="E709" s="668"/>
      <c r="F709" s="667"/>
      <c r="G709" s="667"/>
      <c r="H709" s="667"/>
      <c r="I709" s="667"/>
      <c r="J709" s="667"/>
      <c r="K709" s="667"/>
      <c r="L709" s="667"/>
      <c r="M709" s="667"/>
      <c r="N709" s="667"/>
      <c r="O709" s="667"/>
      <c r="P709" s="667"/>
      <c r="Q709" s="667"/>
    </row>
    <row r="710" ht="15.75" customHeight="1">
      <c r="B710" s="667"/>
      <c r="C710" s="667"/>
      <c r="D710" s="667"/>
      <c r="E710" s="668"/>
      <c r="F710" s="667"/>
      <c r="G710" s="667"/>
      <c r="H710" s="667"/>
      <c r="I710" s="667"/>
      <c r="J710" s="667"/>
      <c r="K710" s="667"/>
      <c r="L710" s="667"/>
      <c r="M710" s="667"/>
      <c r="N710" s="667"/>
      <c r="O710" s="667"/>
      <c r="P710" s="667"/>
      <c r="Q710" s="667"/>
    </row>
    <row r="711" ht="15.75" customHeight="1">
      <c r="B711" s="667"/>
      <c r="C711" s="667"/>
      <c r="D711" s="667"/>
      <c r="E711" s="668"/>
      <c r="F711" s="667"/>
      <c r="G711" s="667"/>
      <c r="H711" s="667"/>
      <c r="I711" s="667"/>
      <c r="J711" s="667"/>
      <c r="K711" s="667"/>
      <c r="L711" s="667"/>
      <c r="M711" s="667"/>
      <c r="N711" s="667"/>
      <c r="O711" s="667"/>
      <c r="P711" s="667"/>
      <c r="Q711" s="667"/>
    </row>
    <row r="712" ht="15.75" customHeight="1">
      <c r="B712" s="667"/>
      <c r="C712" s="667"/>
      <c r="D712" s="667"/>
      <c r="E712" s="668"/>
      <c r="F712" s="667"/>
      <c r="G712" s="667"/>
      <c r="H712" s="667"/>
      <c r="I712" s="667"/>
      <c r="J712" s="667"/>
      <c r="K712" s="667"/>
      <c r="L712" s="667"/>
      <c r="M712" s="667"/>
      <c r="N712" s="667"/>
      <c r="O712" s="667"/>
      <c r="P712" s="667"/>
      <c r="Q712" s="667"/>
    </row>
    <row r="713" ht="15.75" customHeight="1">
      <c r="B713" s="667"/>
      <c r="C713" s="667"/>
      <c r="D713" s="667"/>
      <c r="E713" s="668"/>
      <c r="F713" s="667"/>
      <c r="G713" s="667"/>
      <c r="H713" s="667"/>
      <c r="I713" s="667"/>
      <c r="J713" s="667"/>
      <c r="K713" s="667"/>
      <c r="L713" s="667"/>
      <c r="M713" s="667"/>
      <c r="N713" s="667"/>
      <c r="O713" s="667"/>
      <c r="P713" s="667"/>
      <c r="Q713" s="667"/>
    </row>
    <row r="714" ht="15.75" customHeight="1">
      <c r="B714" s="667"/>
      <c r="C714" s="667"/>
      <c r="D714" s="667"/>
      <c r="E714" s="668"/>
      <c r="F714" s="667"/>
      <c r="G714" s="667"/>
      <c r="H714" s="667"/>
      <c r="I714" s="667"/>
      <c r="J714" s="667"/>
      <c r="K714" s="667"/>
      <c r="L714" s="667"/>
      <c r="M714" s="667"/>
      <c r="N714" s="667"/>
      <c r="O714" s="667"/>
      <c r="P714" s="667"/>
      <c r="Q714" s="667"/>
    </row>
    <row r="715" ht="15.75" customHeight="1">
      <c r="B715" s="667"/>
      <c r="C715" s="667"/>
      <c r="D715" s="667"/>
      <c r="E715" s="668"/>
      <c r="F715" s="667"/>
      <c r="G715" s="667"/>
      <c r="H715" s="667"/>
      <c r="I715" s="667"/>
      <c r="J715" s="667"/>
      <c r="K715" s="667"/>
      <c r="L715" s="667"/>
      <c r="M715" s="667"/>
      <c r="N715" s="667"/>
      <c r="O715" s="667"/>
      <c r="P715" s="667"/>
      <c r="Q715" s="667"/>
    </row>
    <row r="716" ht="15.75" customHeight="1">
      <c r="B716" s="667"/>
      <c r="C716" s="667"/>
      <c r="D716" s="667"/>
      <c r="E716" s="668"/>
      <c r="F716" s="667"/>
      <c r="G716" s="667"/>
      <c r="H716" s="667"/>
      <c r="I716" s="667"/>
      <c r="J716" s="667"/>
      <c r="K716" s="667"/>
      <c r="L716" s="667"/>
      <c r="M716" s="667"/>
      <c r="N716" s="667"/>
      <c r="O716" s="667"/>
      <c r="P716" s="667"/>
      <c r="Q716" s="667"/>
    </row>
    <row r="717" ht="15.75" customHeight="1">
      <c r="B717" s="667"/>
      <c r="C717" s="667"/>
      <c r="D717" s="667"/>
      <c r="E717" s="668"/>
      <c r="F717" s="667"/>
      <c r="G717" s="667"/>
      <c r="H717" s="667"/>
      <c r="I717" s="667"/>
      <c r="J717" s="667"/>
      <c r="K717" s="667"/>
      <c r="L717" s="667"/>
      <c r="M717" s="667"/>
      <c r="N717" s="667"/>
      <c r="O717" s="667"/>
      <c r="P717" s="667"/>
      <c r="Q717" s="667"/>
    </row>
    <row r="718" ht="15.75" customHeight="1">
      <c r="B718" s="667"/>
      <c r="C718" s="667"/>
      <c r="D718" s="667"/>
      <c r="E718" s="668"/>
      <c r="F718" s="667"/>
      <c r="G718" s="667"/>
      <c r="H718" s="667"/>
      <c r="I718" s="667"/>
      <c r="J718" s="667"/>
      <c r="K718" s="667"/>
      <c r="L718" s="667"/>
      <c r="M718" s="667"/>
      <c r="N718" s="667"/>
      <c r="O718" s="667"/>
      <c r="P718" s="667"/>
      <c r="Q718" s="667"/>
    </row>
    <row r="719" ht="15.75" customHeight="1">
      <c r="B719" s="667"/>
      <c r="C719" s="667"/>
      <c r="D719" s="667"/>
      <c r="E719" s="668"/>
      <c r="F719" s="667"/>
      <c r="G719" s="667"/>
      <c r="H719" s="667"/>
      <c r="I719" s="667"/>
      <c r="J719" s="667"/>
      <c r="K719" s="667"/>
      <c r="L719" s="667"/>
      <c r="M719" s="667"/>
      <c r="N719" s="667"/>
      <c r="O719" s="667"/>
      <c r="P719" s="667"/>
      <c r="Q719" s="667"/>
    </row>
    <row r="720" ht="15.75" customHeight="1">
      <c r="B720" s="667"/>
      <c r="C720" s="667"/>
      <c r="D720" s="667"/>
      <c r="E720" s="668"/>
      <c r="F720" s="667"/>
      <c r="G720" s="667"/>
      <c r="H720" s="667"/>
      <c r="I720" s="667"/>
      <c r="J720" s="667"/>
      <c r="K720" s="667"/>
      <c r="L720" s="667"/>
      <c r="M720" s="667"/>
      <c r="N720" s="667"/>
      <c r="O720" s="667"/>
      <c r="P720" s="667"/>
      <c r="Q720" s="667"/>
    </row>
    <row r="721" ht="15.75" customHeight="1">
      <c r="B721" s="667"/>
      <c r="C721" s="667"/>
      <c r="D721" s="667"/>
      <c r="E721" s="668"/>
      <c r="F721" s="667"/>
      <c r="G721" s="667"/>
      <c r="H721" s="667"/>
      <c r="I721" s="667"/>
      <c r="J721" s="667"/>
      <c r="K721" s="667"/>
      <c r="L721" s="667"/>
      <c r="M721" s="667"/>
      <c r="N721" s="667"/>
      <c r="O721" s="667"/>
      <c r="P721" s="667"/>
      <c r="Q721" s="667"/>
    </row>
    <row r="722" ht="15.75" customHeight="1">
      <c r="B722" s="667"/>
      <c r="C722" s="667"/>
      <c r="D722" s="667"/>
      <c r="E722" s="668"/>
      <c r="F722" s="667"/>
      <c r="G722" s="667"/>
      <c r="H722" s="667"/>
      <c r="I722" s="667"/>
      <c r="J722" s="667"/>
      <c r="K722" s="667"/>
      <c r="L722" s="667"/>
      <c r="M722" s="667"/>
      <c r="N722" s="667"/>
      <c r="O722" s="667"/>
      <c r="P722" s="667"/>
      <c r="Q722" s="667"/>
    </row>
    <row r="723" ht="15.75" customHeight="1">
      <c r="B723" s="667"/>
      <c r="C723" s="667"/>
      <c r="D723" s="667"/>
      <c r="E723" s="668"/>
      <c r="F723" s="667"/>
      <c r="G723" s="667"/>
      <c r="H723" s="667"/>
      <c r="I723" s="667"/>
      <c r="J723" s="667"/>
      <c r="K723" s="667"/>
      <c r="L723" s="667"/>
      <c r="M723" s="667"/>
      <c r="N723" s="667"/>
      <c r="O723" s="667"/>
      <c r="P723" s="667"/>
      <c r="Q723" s="667"/>
    </row>
    <row r="724" ht="15.75" customHeight="1">
      <c r="B724" s="667"/>
      <c r="C724" s="667"/>
      <c r="D724" s="667"/>
      <c r="E724" s="668"/>
      <c r="F724" s="667"/>
      <c r="G724" s="667"/>
      <c r="H724" s="667"/>
      <c r="I724" s="667"/>
      <c r="J724" s="667"/>
      <c r="K724" s="667"/>
      <c r="L724" s="667"/>
      <c r="M724" s="667"/>
      <c r="N724" s="667"/>
      <c r="O724" s="667"/>
      <c r="P724" s="667"/>
      <c r="Q724" s="667"/>
    </row>
    <row r="725" ht="15.75" customHeight="1">
      <c r="B725" s="667"/>
      <c r="C725" s="667"/>
      <c r="D725" s="667"/>
      <c r="E725" s="668"/>
      <c r="F725" s="667"/>
      <c r="G725" s="667"/>
      <c r="H725" s="667"/>
      <c r="I725" s="667"/>
      <c r="J725" s="667"/>
      <c r="K725" s="667"/>
      <c r="L725" s="667"/>
      <c r="M725" s="667"/>
      <c r="N725" s="667"/>
      <c r="O725" s="667"/>
      <c r="P725" s="667"/>
      <c r="Q725" s="667"/>
    </row>
    <row r="726" ht="15.75" customHeight="1">
      <c r="B726" s="667"/>
      <c r="C726" s="667"/>
      <c r="D726" s="667"/>
      <c r="E726" s="668"/>
      <c r="F726" s="667"/>
      <c r="G726" s="667"/>
      <c r="H726" s="667"/>
      <c r="I726" s="667"/>
      <c r="J726" s="667"/>
      <c r="K726" s="667"/>
      <c r="L726" s="667"/>
      <c r="M726" s="667"/>
      <c r="N726" s="667"/>
      <c r="O726" s="667"/>
      <c r="P726" s="667"/>
      <c r="Q726" s="667"/>
    </row>
    <row r="727" ht="15.75" customHeight="1">
      <c r="B727" s="667"/>
      <c r="C727" s="667"/>
      <c r="D727" s="667"/>
      <c r="E727" s="668"/>
      <c r="F727" s="667"/>
      <c r="G727" s="667"/>
      <c r="H727" s="667"/>
      <c r="I727" s="667"/>
      <c r="J727" s="667"/>
      <c r="K727" s="667"/>
      <c r="L727" s="667"/>
      <c r="M727" s="667"/>
      <c r="N727" s="667"/>
      <c r="O727" s="667"/>
      <c r="P727" s="667"/>
      <c r="Q727" s="667"/>
    </row>
    <row r="728" ht="15.75" customHeight="1">
      <c r="B728" s="667"/>
      <c r="C728" s="667"/>
      <c r="D728" s="667"/>
      <c r="E728" s="668"/>
      <c r="F728" s="667"/>
      <c r="G728" s="667"/>
      <c r="H728" s="667"/>
      <c r="I728" s="667"/>
      <c r="J728" s="667"/>
      <c r="K728" s="667"/>
      <c r="L728" s="667"/>
      <c r="M728" s="667"/>
      <c r="N728" s="667"/>
      <c r="O728" s="667"/>
      <c r="P728" s="667"/>
      <c r="Q728" s="667"/>
    </row>
    <row r="729" ht="15.75" customHeight="1">
      <c r="B729" s="667"/>
      <c r="C729" s="667"/>
      <c r="D729" s="667"/>
      <c r="E729" s="668"/>
      <c r="F729" s="667"/>
      <c r="G729" s="667"/>
      <c r="H729" s="667"/>
      <c r="I729" s="667"/>
      <c r="J729" s="667"/>
      <c r="K729" s="667"/>
      <c r="L729" s="667"/>
      <c r="M729" s="667"/>
      <c r="N729" s="667"/>
      <c r="O729" s="667"/>
      <c r="P729" s="667"/>
      <c r="Q729" s="667"/>
    </row>
    <row r="730" ht="15.75" customHeight="1">
      <c r="B730" s="667"/>
      <c r="C730" s="667"/>
      <c r="D730" s="667"/>
      <c r="E730" s="668"/>
      <c r="F730" s="667"/>
      <c r="G730" s="667"/>
      <c r="H730" s="667"/>
      <c r="I730" s="667"/>
      <c r="J730" s="667"/>
      <c r="K730" s="667"/>
      <c r="L730" s="667"/>
      <c r="M730" s="667"/>
      <c r="N730" s="667"/>
      <c r="O730" s="667"/>
      <c r="P730" s="667"/>
      <c r="Q730" s="667"/>
    </row>
    <row r="731" ht="15.75" customHeight="1">
      <c r="B731" s="667"/>
      <c r="C731" s="667"/>
      <c r="D731" s="667"/>
      <c r="E731" s="668"/>
      <c r="F731" s="667"/>
      <c r="G731" s="667"/>
      <c r="H731" s="667"/>
      <c r="I731" s="667"/>
      <c r="J731" s="667"/>
      <c r="K731" s="667"/>
      <c r="L731" s="667"/>
      <c r="M731" s="667"/>
      <c r="N731" s="667"/>
      <c r="O731" s="667"/>
      <c r="P731" s="667"/>
      <c r="Q731" s="667"/>
    </row>
    <row r="732" ht="15.75" customHeight="1">
      <c r="B732" s="667"/>
      <c r="C732" s="667"/>
      <c r="D732" s="667"/>
      <c r="E732" s="668"/>
      <c r="F732" s="667"/>
      <c r="G732" s="667"/>
      <c r="H732" s="667"/>
      <c r="I732" s="667"/>
      <c r="J732" s="667"/>
      <c r="K732" s="667"/>
      <c r="L732" s="667"/>
      <c r="M732" s="667"/>
      <c r="N732" s="667"/>
      <c r="O732" s="667"/>
      <c r="P732" s="667"/>
      <c r="Q732" s="667"/>
    </row>
    <row r="733" ht="15.75" customHeight="1">
      <c r="B733" s="667"/>
      <c r="C733" s="667"/>
      <c r="D733" s="667"/>
      <c r="E733" s="668"/>
      <c r="F733" s="667"/>
      <c r="G733" s="667"/>
      <c r="H733" s="667"/>
      <c r="I733" s="667"/>
      <c r="J733" s="667"/>
      <c r="K733" s="667"/>
      <c r="L733" s="667"/>
      <c r="M733" s="667"/>
      <c r="N733" s="667"/>
      <c r="O733" s="667"/>
      <c r="P733" s="667"/>
      <c r="Q733" s="667"/>
    </row>
    <row r="734" ht="15.75" customHeight="1">
      <c r="B734" s="667"/>
      <c r="C734" s="667"/>
      <c r="D734" s="667"/>
      <c r="E734" s="668"/>
      <c r="F734" s="667"/>
      <c r="G734" s="667"/>
      <c r="H734" s="667"/>
      <c r="I734" s="667"/>
      <c r="J734" s="667"/>
      <c r="K734" s="667"/>
      <c r="L734" s="667"/>
      <c r="M734" s="667"/>
      <c r="N734" s="667"/>
      <c r="O734" s="667"/>
      <c r="P734" s="667"/>
      <c r="Q734" s="667"/>
    </row>
    <row r="735" ht="15.75" customHeight="1">
      <c r="B735" s="667"/>
      <c r="C735" s="667"/>
      <c r="D735" s="667"/>
      <c r="E735" s="668"/>
      <c r="F735" s="667"/>
      <c r="G735" s="667"/>
      <c r="H735" s="667"/>
      <c r="I735" s="667"/>
      <c r="J735" s="667"/>
      <c r="K735" s="667"/>
      <c r="L735" s="667"/>
      <c r="M735" s="667"/>
      <c r="N735" s="667"/>
      <c r="O735" s="667"/>
      <c r="P735" s="667"/>
      <c r="Q735" s="667"/>
    </row>
    <row r="736" ht="15.75" customHeight="1">
      <c r="B736" s="667"/>
      <c r="C736" s="667"/>
      <c r="D736" s="667"/>
      <c r="E736" s="668"/>
      <c r="F736" s="667"/>
      <c r="G736" s="667"/>
      <c r="H736" s="667"/>
      <c r="I736" s="667"/>
      <c r="J736" s="667"/>
      <c r="K736" s="667"/>
      <c r="L736" s="667"/>
      <c r="M736" s="667"/>
      <c r="N736" s="667"/>
      <c r="O736" s="667"/>
      <c r="P736" s="667"/>
      <c r="Q736" s="667"/>
    </row>
    <row r="737" ht="15.75" customHeight="1">
      <c r="B737" s="667"/>
      <c r="C737" s="667"/>
      <c r="D737" s="667"/>
      <c r="E737" s="668"/>
      <c r="F737" s="667"/>
      <c r="G737" s="667"/>
      <c r="H737" s="667"/>
      <c r="I737" s="667"/>
      <c r="J737" s="667"/>
      <c r="K737" s="667"/>
      <c r="L737" s="667"/>
      <c r="M737" s="667"/>
      <c r="N737" s="667"/>
      <c r="O737" s="667"/>
      <c r="P737" s="667"/>
      <c r="Q737" s="667"/>
    </row>
    <row r="738" ht="15.75" customHeight="1">
      <c r="B738" s="667"/>
      <c r="C738" s="667"/>
      <c r="D738" s="667"/>
      <c r="E738" s="668"/>
      <c r="F738" s="667"/>
      <c r="G738" s="667"/>
      <c r="H738" s="667"/>
      <c r="I738" s="667"/>
      <c r="J738" s="667"/>
      <c r="K738" s="667"/>
      <c r="L738" s="667"/>
      <c r="M738" s="667"/>
      <c r="N738" s="667"/>
      <c r="O738" s="667"/>
      <c r="P738" s="667"/>
      <c r="Q738" s="667"/>
    </row>
    <row r="739" ht="15.75" customHeight="1">
      <c r="B739" s="667"/>
      <c r="C739" s="667"/>
      <c r="D739" s="667"/>
      <c r="E739" s="668"/>
      <c r="F739" s="667"/>
      <c r="G739" s="667"/>
      <c r="H739" s="667"/>
      <c r="I739" s="667"/>
      <c r="J739" s="667"/>
      <c r="K739" s="667"/>
      <c r="L739" s="667"/>
      <c r="M739" s="667"/>
      <c r="N739" s="667"/>
      <c r="O739" s="667"/>
      <c r="P739" s="667"/>
      <c r="Q739" s="667"/>
    </row>
    <row r="740" ht="15.75" customHeight="1">
      <c r="B740" s="667"/>
      <c r="C740" s="667"/>
      <c r="D740" s="667"/>
      <c r="E740" s="668"/>
      <c r="F740" s="667"/>
      <c r="G740" s="667"/>
      <c r="H740" s="667"/>
      <c r="I740" s="667"/>
      <c r="J740" s="667"/>
      <c r="K740" s="667"/>
      <c r="L740" s="667"/>
      <c r="M740" s="667"/>
      <c r="N740" s="667"/>
      <c r="O740" s="667"/>
      <c r="P740" s="667"/>
      <c r="Q740" s="667"/>
    </row>
    <row r="741" ht="15.75" customHeight="1">
      <c r="B741" s="667"/>
      <c r="C741" s="667"/>
      <c r="D741" s="667"/>
      <c r="E741" s="668"/>
      <c r="F741" s="667"/>
      <c r="G741" s="667"/>
      <c r="H741" s="667"/>
      <c r="I741" s="667"/>
      <c r="J741" s="667"/>
      <c r="K741" s="667"/>
      <c r="L741" s="667"/>
      <c r="M741" s="667"/>
      <c r="N741" s="667"/>
      <c r="O741" s="667"/>
      <c r="P741" s="667"/>
      <c r="Q741" s="667"/>
    </row>
    <row r="742" ht="15.75" customHeight="1">
      <c r="B742" s="667"/>
      <c r="C742" s="667"/>
      <c r="D742" s="667"/>
      <c r="E742" s="668"/>
      <c r="F742" s="667"/>
      <c r="G742" s="667"/>
      <c r="H742" s="667"/>
      <c r="I742" s="667"/>
      <c r="J742" s="667"/>
      <c r="K742" s="667"/>
      <c r="L742" s="667"/>
      <c r="M742" s="667"/>
      <c r="N742" s="667"/>
      <c r="O742" s="667"/>
      <c r="P742" s="667"/>
      <c r="Q742" s="667"/>
    </row>
    <row r="743" ht="15.75" customHeight="1">
      <c r="B743" s="667"/>
      <c r="C743" s="667"/>
      <c r="D743" s="667"/>
      <c r="E743" s="668"/>
      <c r="F743" s="667"/>
      <c r="G743" s="667"/>
      <c r="H743" s="667"/>
      <c r="I743" s="667"/>
      <c r="J743" s="667"/>
      <c r="K743" s="667"/>
      <c r="L743" s="667"/>
      <c r="M743" s="667"/>
      <c r="N743" s="667"/>
      <c r="O743" s="667"/>
      <c r="P743" s="667"/>
      <c r="Q743" s="667"/>
    </row>
    <row r="744" ht="15.75" customHeight="1">
      <c r="B744" s="667"/>
      <c r="C744" s="667"/>
      <c r="D744" s="667"/>
      <c r="E744" s="668"/>
      <c r="F744" s="667"/>
      <c r="G744" s="667"/>
      <c r="H744" s="667"/>
      <c r="I744" s="667"/>
      <c r="J744" s="667"/>
      <c r="K744" s="667"/>
      <c r="L744" s="667"/>
      <c r="M744" s="667"/>
      <c r="N744" s="667"/>
      <c r="O744" s="667"/>
      <c r="P744" s="667"/>
      <c r="Q744" s="667"/>
    </row>
    <row r="745" ht="15.75" customHeight="1">
      <c r="B745" s="667"/>
      <c r="C745" s="667"/>
      <c r="D745" s="667"/>
      <c r="E745" s="668"/>
      <c r="F745" s="667"/>
      <c r="G745" s="667"/>
      <c r="H745" s="667"/>
      <c r="I745" s="667"/>
      <c r="J745" s="667"/>
      <c r="K745" s="667"/>
      <c r="L745" s="667"/>
      <c r="M745" s="667"/>
      <c r="N745" s="667"/>
      <c r="O745" s="667"/>
      <c r="P745" s="667"/>
      <c r="Q745" s="667"/>
    </row>
    <row r="746" ht="15.75" customHeight="1">
      <c r="B746" s="667"/>
      <c r="C746" s="667"/>
      <c r="D746" s="667"/>
      <c r="E746" s="668"/>
      <c r="F746" s="667"/>
      <c r="G746" s="667"/>
      <c r="H746" s="667"/>
      <c r="I746" s="667"/>
      <c r="J746" s="667"/>
      <c r="K746" s="667"/>
      <c r="L746" s="667"/>
      <c r="M746" s="667"/>
      <c r="N746" s="667"/>
      <c r="O746" s="667"/>
      <c r="P746" s="667"/>
      <c r="Q746" s="667"/>
    </row>
    <row r="747" ht="15.75" customHeight="1">
      <c r="B747" s="667"/>
      <c r="C747" s="667"/>
      <c r="D747" s="667"/>
      <c r="E747" s="668"/>
      <c r="F747" s="667"/>
      <c r="G747" s="667"/>
      <c r="H747" s="667"/>
      <c r="I747" s="667"/>
      <c r="J747" s="667"/>
      <c r="K747" s="667"/>
      <c r="L747" s="667"/>
      <c r="M747" s="667"/>
      <c r="N747" s="667"/>
      <c r="O747" s="667"/>
      <c r="P747" s="667"/>
      <c r="Q747" s="667"/>
    </row>
    <row r="748" ht="15.75" customHeight="1">
      <c r="B748" s="667"/>
      <c r="C748" s="667"/>
      <c r="D748" s="667"/>
      <c r="E748" s="668"/>
      <c r="F748" s="667"/>
      <c r="G748" s="667"/>
      <c r="H748" s="667"/>
      <c r="I748" s="667"/>
      <c r="J748" s="667"/>
      <c r="K748" s="667"/>
      <c r="L748" s="667"/>
      <c r="M748" s="667"/>
      <c r="N748" s="667"/>
      <c r="O748" s="667"/>
      <c r="P748" s="667"/>
      <c r="Q748" s="667"/>
    </row>
    <row r="749" ht="15.75" customHeight="1">
      <c r="B749" s="667"/>
      <c r="C749" s="667"/>
      <c r="D749" s="667"/>
      <c r="E749" s="668"/>
      <c r="F749" s="667"/>
      <c r="G749" s="667"/>
      <c r="H749" s="667"/>
      <c r="I749" s="667"/>
      <c r="J749" s="667"/>
      <c r="K749" s="667"/>
      <c r="L749" s="667"/>
      <c r="M749" s="667"/>
      <c r="N749" s="667"/>
      <c r="O749" s="667"/>
      <c r="P749" s="667"/>
      <c r="Q749" s="667"/>
    </row>
    <row r="750" ht="15.75" customHeight="1">
      <c r="B750" s="667"/>
      <c r="C750" s="667"/>
      <c r="D750" s="667"/>
      <c r="E750" s="668"/>
      <c r="F750" s="667"/>
      <c r="G750" s="667"/>
      <c r="H750" s="667"/>
      <c r="I750" s="667"/>
      <c r="J750" s="667"/>
      <c r="K750" s="667"/>
      <c r="L750" s="667"/>
      <c r="M750" s="667"/>
      <c r="N750" s="667"/>
      <c r="O750" s="667"/>
      <c r="P750" s="667"/>
      <c r="Q750" s="667"/>
    </row>
    <row r="751" ht="15.75" customHeight="1">
      <c r="B751" s="667"/>
      <c r="C751" s="667"/>
      <c r="D751" s="667"/>
      <c r="E751" s="668"/>
      <c r="F751" s="667"/>
      <c r="G751" s="667"/>
      <c r="H751" s="667"/>
      <c r="I751" s="667"/>
      <c r="J751" s="667"/>
      <c r="K751" s="667"/>
      <c r="L751" s="667"/>
      <c r="M751" s="667"/>
      <c r="N751" s="667"/>
      <c r="O751" s="667"/>
      <c r="P751" s="667"/>
      <c r="Q751" s="667"/>
    </row>
    <row r="752" ht="15.75" customHeight="1">
      <c r="B752" s="667"/>
      <c r="C752" s="667"/>
      <c r="D752" s="667"/>
      <c r="E752" s="668"/>
      <c r="F752" s="667"/>
      <c r="G752" s="667"/>
      <c r="H752" s="667"/>
      <c r="I752" s="667"/>
      <c r="J752" s="667"/>
      <c r="K752" s="667"/>
      <c r="L752" s="667"/>
      <c r="M752" s="667"/>
      <c r="N752" s="667"/>
      <c r="O752" s="667"/>
      <c r="P752" s="667"/>
      <c r="Q752" s="667"/>
    </row>
    <row r="753" ht="15.75" customHeight="1">
      <c r="B753" s="667"/>
      <c r="C753" s="667"/>
      <c r="D753" s="667"/>
      <c r="E753" s="668"/>
      <c r="F753" s="667"/>
      <c r="G753" s="667"/>
      <c r="H753" s="667"/>
      <c r="I753" s="667"/>
      <c r="J753" s="667"/>
      <c r="K753" s="667"/>
      <c r="L753" s="667"/>
      <c r="M753" s="667"/>
      <c r="N753" s="667"/>
      <c r="O753" s="667"/>
      <c r="P753" s="667"/>
      <c r="Q753" s="667"/>
    </row>
    <row r="754" ht="15.75" customHeight="1">
      <c r="B754" s="667"/>
      <c r="C754" s="667"/>
      <c r="D754" s="667"/>
      <c r="E754" s="668"/>
      <c r="F754" s="667"/>
      <c r="G754" s="667"/>
      <c r="H754" s="667"/>
      <c r="I754" s="667"/>
      <c r="J754" s="667"/>
      <c r="K754" s="667"/>
      <c r="L754" s="667"/>
      <c r="M754" s="667"/>
      <c r="N754" s="667"/>
      <c r="O754" s="667"/>
      <c r="P754" s="667"/>
      <c r="Q754" s="667"/>
    </row>
    <row r="755" ht="15.75" customHeight="1">
      <c r="B755" s="667"/>
      <c r="C755" s="667"/>
      <c r="D755" s="667"/>
      <c r="E755" s="668"/>
      <c r="F755" s="667"/>
      <c r="G755" s="667"/>
      <c r="H755" s="667"/>
      <c r="I755" s="667"/>
      <c r="J755" s="667"/>
      <c r="K755" s="667"/>
      <c r="L755" s="667"/>
      <c r="M755" s="667"/>
      <c r="N755" s="667"/>
      <c r="O755" s="667"/>
      <c r="P755" s="667"/>
      <c r="Q755" s="667"/>
    </row>
    <row r="756" ht="15.75" customHeight="1">
      <c r="B756" s="667"/>
      <c r="C756" s="667"/>
      <c r="D756" s="667"/>
      <c r="E756" s="668"/>
      <c r="F756" s="667"/>
      <c r="G756" s="667"/>
      <c r="H756" s="667"/>
      <c r="I756" s="667"/>
      <c r="J756" s="667"/>
      <c r="K756" s="667"/>
      <c r="L756" s="667"/>
      <c r="M756" s="667"/>
      <c r="N756" s="667"/>
      <c r="O756" s="667"/>
      <c r="P756" s="667"/>
      <c r="Q756" s="667"/>
    </row>
    <row r="757" ht="15.75" customHeight="1">
      <c r="B757" s="667"/>
      <c r="C757" s="667"/>
      <c r="D757" s="667"/>
      <c r="E757" s="668"/>
      <c r="F757" s="667"/>
      <c r="G757" s="667"/>
      <c r="H757" s="667"/>
      <c r="I757" s="667"/>
      <c r="J757" s="667"/>
      <c r="K757" s="667"/>
      <c r="L757" s="667"/>
      <c r="M757" s="667"/>
      <c r="N757" s="667"/>
      <c r="O757" s="667"/>
      <c r="P757" s="667"/>
      <c r="Q757" s="667"/>
    </row>
    <row r="758" ht="15.75" customHeight="1">
      <c r="B758" s="667"/>
      <c r="C758" s="667"/>
      <c r="D758" s="667"/>
      <c r="E758" s="668"/>
      <c r="F758" s="667"/>
      <c r="G758" s="667"/>
      <c r="H758" s="667"/>
      <c r="I758" s="667"/>
      <c r="J758" s="667"/>
      <c r="K758" s="667"/>
      <c r="L758" s="667"/>
      <c r="M758" s="667"/>
      <c r="N758" s="667"/>
      <c r="O758" s="667"/>
      <c r="P758" s="667"/>
      <c r="Q758" s="667"/>
    </row>
    <row r="759" ht="15.75" customHeight="1">
      <c r="B759" s="667"/>
      <c r="C759" s="667"/>
      <c r="D759" s="667"/>
      <c r="E759" s="668"/>
      <c r="F759" s="667"/>
      <c r="G759" s="667"/>
      <c r="H759" s="667"/>
      <c r="I759" s="667"/>
      <c r="J759" s="667"/>
      <c r="K759" s="667"/>
      <c r="L759" s="667"/>
      <c r="M759" s="667"/>
      <c r="N759" s="667"/>
      <c r="O759" s="667"/>
      <c r="P759" s="667"/>
      <c r="Q759" s="667"/>
    </row>
    <row r="760" ht="15.75" customHeight="1">
      <c r="B760" s="667"/>
      <c r="C760" s="667"/>
      <c r="D760" s="667"/>
      <c r="E760" s="668"/>
      <c r="F760" s="667"/>
      <c r="G760" s="667"/>
      <c r="H760" s="667"/>
      <c r="I760" s="667"/>
      <c r="J760" s="667"/>
      <c r="K760" s="667"/>
      <c r="L760" s="667"/>
      <c r="M760" s="667"/>
      <c r="N760" s="667"/>
      <c r="O760" s="667"/>
      <c r="P760" s="667"/>
      <c r="Q760" s="667"/>
    </row>
    <row r="761" ht="15.75" customHeight="1">
      <c r="B761" s="667"/>
      <c r="C761" s="667"/>
      <c r="D761" s="667"/>
      <c r="E761" s="668"/>
      <c r="F761" s="667"/>
      <c r="G761" s="667"/>
      <c r="H761" s="667"/>
      <c r="I761" s="667"/>
      <c r="J761" s="667"/>
      <c r="K761" s="667"/>
      <c r="L761" s="667"/>
      <c r="M761" s="667"/>
      <c r="N761" s="667"/>
      <c r="O761" s="667"/>
      <c r="P761" s="667"/>
      <c r="Q761" s="667"/>
    </row>
    <row r="762" ht="15.75" customHeight="1">
      <c r="B762" s="667"/>
      <c r="C762" s="667"/>
      <c r="D762" s="667"/>
      <c r="E762" s="668"/>
      <c r="F762" s="667"/>
      <c r="G762" s="667"/>
      <c r="H762" s="667"/>
      <c r="I762" s="667"/>
      <c r="J762" s="667"/>
      <c r="K762" s="667"/>
      <c r="L762" s="667"/>
      <c r="M762" s="667"/>
      <c r="N762" s="667"/>
      <c r="O762" s="667"/>
      <c r="P762" s="667"/>
      <c r="Q762" s="667"/>
    </row>
    <row r="763" ht="15.75" customHeight="1">
      <c r="B763" s="667"/>
      <c r="C763" s="667"/>
      <c r="D763" s="667"/>
      <c r="E763" s="668"/>
      <c r="F763" s="667"/>
      <c r="G763" s="667"/>
      <c r="H763" s="667"/>
      <c r="I763" s="667"/>
      <c r="J763" s="667"/>
      <c r="K763" s="667"/>
      <c r="L763" s="667"/>
      <c r="M763" s="667"/>
      <c r="N763" s="667"/>
      <c r="O763" s="667"/>
      <c r="P763" s="667"/>
      <c r="Q763" s="667"/>
    </row>
    <row r="764" ht="15.75" customHeight="1">
      <c r="B764" s="667"/>
      <c r="C764" s="667"/>
      <c r="D764" s="667"/>
      <c r="E764" s="668"/>
      <c r="F764" s="667"/>
      <c r="G764" s="667"/>
      <c r="H764" s="667"/>
      <c r="I764" s="667"/>
      <c r="J764" s="667"/>
      <c r="K764" s="667"/>
      <c r="L764" s="667"/>
      <c r="M764" s="667"/>
      <c r="N764" s="667"/>
      <c r="O764" s="667"/>
      <c r="P764" s="667"/>
      <c r="Q764" s="667"/>
    </row>
    <row r="765" ht="15.75" customHeight="1">
      <c r="B765" s="667"/>
      <c r="C765" s="667"/>
      <c r="D765" s="667"/>
      <c r="E765" s="668"/>
      <c r="F765" s="667"/>
      <c r="G765" s="667"/>
      <c r="H765" s="667"/>
      <c r="I765" s="667"/>
      <c r="J765" s="667"/>
      <c r="K765" s="667"/>
      <c r="L765" s="667"/>
      <c r="M765" s="667"/>
      <c r="N765" s="667"/>
      <c r="O765" s="667"/>
      <c r="P765" s="667"/>
      <c r="Q765" s="667"/>
    </row>
    <row r="766" ht="15.75" customHeight="1">
      <c r="B766" s="667"/>
      <c r="C766" s="667"/>
      <c r="D766" s="667"/>
      <c r="E766" s="668"/>
      <c r="F766" s="667"/>
      <c r="G766" s="667"/>
      <c r="H766" s="667"/>
      <c r="I766" s="667"/>
      <c r="J766" s="667"/>
      <c r="K766" s="667"/>
      <c r="L766" s="667"/>
      <c r="M766" s="667"/>
      <c r="N766" s="667"/>
      <c r="O766" s="667"/>
      <c r="P766" s="667"/>
      <c r="Q766" s="667"/>
    </row>
    <row r="767" ht="15.75" customHeight="1">
      <c r="B767" s="667"/>
      <c r="C767" s="667"/>
      <c r="D767" s="667"/>
      <c r="E767" s="668"/>
      <c r="F767" s="667"/>
      <c r="G767" s="667"/>
      <c r="H767" s="667"/>
      <c r="I767" s="667"/>
      <c r="J767" s="667"/>
      <c r="K767" s="667"/>
      <c r="L767" s="667"/>
      <c r="M767" s="667"/>
      <c r="N767" s="667"/>
      <c r="O767" s="667"/>
      <c r="P767" s="667"/>
      <c r="Q767" s="667"/>
    </row>
    <row r="768" ht="15.75" customHeight="1">
      <c r="B768" s="667"/>
      <c r="C768" s="667"/>
      <c r="D768" s="667"/>
      <c r="E768" s="668"/>
      <c r="F768" s="667"/>
      <c r="G768" s="667"/>
      <c r="H768" s="667"/>
      <c r="I768" s="667"/>
      <c r="J768" s="667"/>
      <c r="K768" s="667"/>
      <c r="L768" s="667"/>
      <c r="M768" s="667"/>
      <c r="N768" s="667"/>
      <c r="O768" s="667"/>
      <c r="P768" s="667"/>
      <c r="Q768" s="667"/>
    </row>
    <row r="769" ht="15.75" customHeight="1">
      <c r="B769" s="667"/>
      <c r="C769" s="667"/>
      <c r="D769" s="667"/>
      <c r="E769" s="668"/>
      <c r="F769" s="667"/>
      <c r="G769" s="667"/>
      <c r="H769" s="667"/>
      <c r="I769" s="667"/>
      <c r="J769" s="667"/>
      <c r="K769" s="667"/>
      <c r="L769" s="667"/>
      <c r="M769" s="667"/>
      <c r="N769" s="667"/>
      <c r="O769" s="667"/>
      <c r="P769" s="667"/>
      <c r="Q769" s="667"/>
    </row>
    <row r="770" ht="15.75" customHeight="1">
      <c r="B770" s="667"/>
      <c r="C770" s="667"/>
      <c r="D770" s="667"/>
      <c r="E770" s="668"/>
      <c r="F770" s="667"/>
      <c r="G770" s="667"/>
      <c r="H770" s="667"/>
      <c r="I770" s="667"/>
      <c r="J770" s="667"/>
      <c r="K770" s="667"/>
      <c r="L770" s="667"/>
      <c r="M770" s="667"/>
      <c r="N770" s="667"/>
      <c r="O770" s="667"/>
      <c r="P770" s="667"/>
      <c r="Q770" s="667"/>
    </row>
    <row r="771" ht="15.75" customHeight="1">
      <c r="B771" s="667"/>
      <c r="C771" s="667"/>
      <c r="D771" s="667"/>
      <c r="E771" s="668"/>
      <c r="F771" s="667"/>
      <c r="G771" s="667"/>
      <c r="H771" s="667"/>
      <c r="I771" s="667"/>
      <c r="J771" s="667"/>
      <c r="K771" s="667"/>
      <c r="L771" s="667"/>
      <c r="M771" s="667"/>
      <c r="N771" s="667"/>
      <c r="O771" s="667"/>
      <c r="P771" s="667"/>
      <c r="Q771" s="667"/>
    </row>
    <row r="772" ht="15.75" customHeight="1">
      <c r="B772" s="667"/>
      <c r="C772" s="667"/>
      <c r="D772" s="667"/>
      <c r="E772" s="668"/>
      <c r="F772" s="667"/>
      <c r="G772" s="667"/>
      <c r="H772" s="667"/>
      <c r="I772" s="667"/>
      <c r="J772" s="667"/>
      <c r="K772" s="667"/>
      <c r="L772" s="667"/>
      <c r="M772" s="667"/>
      <c r="N772" s="667"/>
      <c r="O772" s="667"/>
      <c r="P772" s="667"/>
      <c r="Q772" s="667"/>
    </row>
    <row r="773" ht="15.75" customHeight="1">
      <c r="B773" s="667"/>
      <c r="C773" s="667"/>
      <c r="D773" s="667"/>
      <c r="E773" s="668"/>
      <c r="F773" s="667"/>
      <c r="G773" s="667"/>
      <c r="H773" s="667"/>
      <c r="I773" s="667"/>
      <c r="J773" s="667"/>
      <c r="K773" s="667"/>
      <c r="L773" s="667"/>
      <c r="M773" s="667"/>
      <c r="N773" s="667"/>
      <c r="O773" s="667"/>
      <c r="P773" s="667"/>
      <c r="Q773" s="667"/>
    </row>
    <row r="774" ht="15.75" customHeight="1">
      <c r="B774" s="667"/>
      <c r="C774" s="667"/>
      <c r="D774" s="667"/>
      <c r="E774" s="668"/>
      <c r="F774" s="667"/>
      <c r="G774" s="667"/>
      <c r="H774" s="667"/>
      <c r="I774" s="667"/>
      <c r="J774" s="667"/>
      <c r="K774" s="667"/>
      <c r="L774" s="667"/>
      <c r="M774" s="667"/>
      <c r="N774" s="667"/>
      <c r="O774" s="667"/>
      <c r="P774" s="667"/>
      <c r="Q774" s="667"/>
    </row>
    <row r="775" ht="15.75" customHeight="1">
      <c r="B775" s="667"/>
      <c r="C775" s="667"/>
      <c r="D775" s="667"/>
      <c r="E775" s="668"/>
      <c r="F775" s="667"/>
      <c r="G775" s="667"/>
      <c r="H775" s="667"/>
      <c r="I775" s="667"/>
      <c r="J775" s="667"/>
      <c r="K775" s="667"/>
      <c r="L775" s="667"/>
      <c r="M775" s="667"/>
      <c r="N775" s="667"/>
      <c r="O775" s="667"/>
      <c r="P775" s="667"/>
      <c r="Q775" s="667"/>
    </row>
    <row r="776" ht="15.75" customHeight="1">
      <c r="B776" s="667"/>
      <c r="C776" s="667"/>
      <c r="D776" s="667"/>
      <c r="E776" s="668"/>
      <c r="F776" s="667"/>
      <c r="G776" s="667"/>
      <c r="H776" s="667"/>
      <c r="I776" s="667"/>
      <c r="J776" s="667"/>
      <c r="K776" s="667"/>
      <c r="L776" s="667"/>
      <c r="M776" s="667"/>
      <c r="N776" s="667"/>
      <c r="O776" s="667"/>
      <c r="P776" s="667"/>
      <c r="Q776" s="667"/>
    </row>
    <row r="777" ht="15.75" customHeight="1">
      <c r="B777" s="667"/>
      <c r="C777" s="667"/>
      <c r="D777" s="667"/>
      <c r="E777" s="668"/>
      <c r="F777" s="667"/>
      <c r="G777" s="667"/>
      <c r="H777" s="667"/>
      <c r="I777" s="667"/>
      <c r="J777" s="667"/>
      <c r="K777" s="667"/>
      <c r="L777" s="667"/>
      <c r="M777" s="667"/>
      <c r="N777" s="667"/>
      <c r="O777" s="667"/>
      <c r="P777" s="667"/>
      <c r="Q777" s="667"/>
    </row>
    <row r="778" ht="15.75" customHeight="1">
      <c r="B778" s="667"/>
      <c r="C778" s="667"/>
      <c r="D778" s="667"/>
      <c r="E778" s="668"/>
      <c r="F778" s="667"/>
      <c r="G778" s="667"/>
      <c r="H778" s="667"/>
      <c r="I778" s="667"/>
      <c r="J778" s="667"/>
      <c r="K778" s="667"/>
      <c r="L778" s="667"/>
      <c r="M778" s="667"/>
      <c r="N778" s="667"/>
      <c r="O778" s="667"/>
      <c r="P778" s="667"/>
      <c r="Q778" s="667"/>
    </row>
    <row r="779" ht="15.75" customHeight="1">
      <c r="B779" s="667"/>
      <c r="C779" s="667"/>
      <c r="D779" s="667"/>
      <c r="E779" s="668"/>
      <c r="F779" s="667"/>
      <c r="G779" s="667"/>
      <c r="H779" s="667"/>
      <c r="I779" s="667"/>
      <c r="J779" s="667"/>
      <c r="K779" s="667"/>
      <c r="L779" s="667"/>
      <c r="M779" s="667"/>
      <c r="N779" s="667"/>
      <c r="O779" s="667"/>
      <c r="P779" s="667"/>
      <c r="Q779" s="667"/>
    </row>
    <row r="780" ht="15.75" customHeight="1">
      <c r="B780" s="667"/>
      <c r="C780" s="667"/>
      <c r="D780" s="667"/>
      <c r="E780" s="668"/>
      <c r="F780" s="667"/>
      <c r="G780" s="667"/>
      <c r="H780" s="667"/>
      <c r="I780" s="667"/>
      <c r="J780" s="667"/>
      <c r="K780" s="667"/>
      <c r="L780" s="667"/>
      <c r="M780" s="667"/>
      <c r="N780" s="667"/>
      <c r="O780" s="667"/>
      <c r="P780" s="667"/>
      <c r="Q780" s="667"/>
    </row>
    <row r="781" ht="15.75" customHeight="1">
      <c r="B781" s="667"/>
      <c r="C781" s="667"/>
      <c r="D781" s="667"/>
      <c r="E781" s="668"/>
      <c r="F781" s="667"/>
      <c r="G781" s="667"/>
      <c r="H781" s="667"/>
      <c r="I781" s="667"/>
      <c r="J781" s="667"/>
      <c r="K781" s="667"/>
      <c r="L781" s="667"/>
      <c r="M781" s="667"/>
      <c r="N781" s="667"/>
      <c r="O781" s="667"/>
      <c r="P781" s="667"/>
      <c r="Q781" s="667"/>
    </row>
    <row r="782" ht="15.75" customHeight="1">
      <c r="B782" s="667"/>
      <c r="C782" s="667"/>
      <c r="D782" s="667"/>
      <c r="E782" s="668"/>
      <c r="F782" s="667"/>
      <c r="G782" s="667"/>
      <c r="H782" s="667"/>
      <c r="I782" s="667"/>
      <c r="J782" s="667"/>
      <c r="K782" s="667"/>
      <c r="L782" s="667"/>
      <c r="M782" s="667"/>
      <c r="N782" s="667"/>
      <c r="O782" s="667"/>
      <c r="P782" s="667"/>
      <c r="Q782" s="667"/>
    </row>
    <row r="783" ht="15.75" customHeight="1">
      <c r="B783" s="667"/>
      <c r="C783" s="667"/>
      <c r="D783" s="667"/>
      <c r="E783" s="668"/>
      <c r="F783" s="667"/>
      <c r="G783" s="667"/>
      <c r="H783" s="667"/>
      <c r="I783" s="667"/>
      <c r="J783" s="667"/>
      <c r="K783" s="667"/>
      <c r="L783" s="667"/>
      <c r="M783" s="667"/>
      <c r="N783" s="667"/>
      <c r="O783" s="667"/>
      <c r="P783" s="667"/>
      <c r="Q783" s="667"/>
    </row>
    <row r="784" ht="15.75" customHeight="1">
      <c r="B784" s="667"/>
      <c r="C784" s="667"/>
      <c r="D784" s="667"/>
      <c r="E784" s="668"/>
      <c r="F784" s="667"/>
      <c r="G784" s="667"/>
      <c r="H784" s="667"/>
      <c r="I784" s="667"/>
      <c r="J784" s="667"/>
      <c r="K784" s="667"/>
      <c r="L784" s="667"/>
      <c r="M784" s="667"/>
      <c r="N784" s="667"/>
      <c r="O784" s="667"/>
      <c r="P784" s="667"/>
      <c r="Q784" s="667"/>
    </row>
    <row r="785" ht="15.75" customHeight="1">
      <c r="B785" s="667"/>
      <c r="C785" s="667"/>
      <c r="D785" s="667"/>
      <c r="E785" s="668"/>
      <c r="F785" s="667"/>
      <c r="G785" s="667"/>
      <c r="H785" s="667"/>
      <c r="I785" s="667"/>
      <c r="J785" s="667"/>
      <c r="K785" s="667"/>
      <c r="L785" s="667"/>
      <c r="M785" s="667"/>
      <c r="N785" s="667"/>
      <c r="O785" s="667"/>
      <c r="P785" s="667"/>
      <c r="Q785" s="667"/>
    </row>
    <row r="786" ht="15.75" customHeight="1">
      <c r="B786" s="667"/>
      <c r="C786" s="667"/>
      <c r="D786" s="667"/>
      <c r="E786" s="668"/>
      <c r="F786" s="667"/>
      <c r="G786" s="667"/>
      <c r="H786" s="667"/>
      <c r="I786" s="667"/>
      <c r="J786" s="667"/>
      <c r="K786" s="667"/>
      <c r="L786" s="667"/>
      <c r="M786" s="667"/>
      <c r="N786" s="667"/>
      <c r="O786" s="667"/>
      <c r="P786" s="667"/>
      <c r="Q786" s="667"/>
    </row>
    <row r="787" ht="15.75" customHeight="1">
      <c r="B787" s="667"/>
      <c r="C787" s="667"/>
      <c r="D787" s="667"/>
      <c r="E787" s="668"/>
      <c r="F787" s="667"/>
      <c r="G787" s="667"/>
      <c r="H787" s="667"/>
      <c r="I787" s="667"/>
      <c r="J787" s="667"/>
      <c r="K787" s="667"/>
      <c r="L787" s="667"/>
      <c r="M787" s="667"/>
      <c r="N787" s="667"/>
      <c r="O787" s="667"/>
      <c r="P787" s="667"/>
      <c r="Q787" s="667"/>
    </row>
    <row r="788" ht="15.75" customHeight="1">
      <c r="B788" s="667"/>
      <c r="C788" s="667"/>
      <c r="D788" s="667"/>
      <c r="E788" s="668"/>
      <c r="F788" s="667"/>
      <c r="G788" s="667"/>
      <c r="H788" s="667"/>
      <c r="I788" s="667"/>
      <c r="J788" s="667"/>
      <c r="K788" s="667"/>
      <c r="L788" s="667"/>
      <c r="M788" s="667"/>
      <c r="N788" s="667"/>
      <c r="O788" s="667"/>
      <c r="P788" s="667"/>
      <c r="Q788" s="667"/>
    </row>
    <row r="789" ht="15.75" customHeight="1">
      <c r="B789" s="667"/>
      <c r="C789" s="667"/>
      <c r="D789" s="667"/>
      <c r="E789" s="668"/>
      <c r="F789" s="667"/>
      <c r="G789" s="667"/>
      <c r="H789" s="667"/>
      <c r="I789" s="667"/>
      <c r="J789" s="667"/>
      <c r="K789" s="667"/>
      <c r="L789" s="667"/>
      <c r="M789" s="667"/>
      <c r="N789" s="667"/>
      <c r="O789" s="667"/>
      <c r="P789" s="667"/>
      <c r="Q789" s="667"/>
    </row>
    <row r="790" ht="15.75" customHeight="1">
      <c r="B790" s="667"/>
      <c r="C790" s="667"/>
      <c r="D790" s="667"/>
      <c r="E790" s="668"/>
      <c r="F790" s="667"/>
      <c r="G790" s="667"/>
      <c r="H790" s="667"/>
      <c r="I790" s="667"/>
      <c r="J790" s="667"/>
      <c r="K790" s="667"/>
      <c r="L790" s="667"/>
      <c r="M790" s="667"/>
      <c r="N790" s="667"/>
      <c r="O790" s="667"/>
      <c r="P790" s="667"/>
      <c r="Q790" s="667"/>
    </row>
    <row r="791" ht="15.75" customHeight="1">
      <c r="B791" s="667"/>
      <c r="C791" s="667"/>
      <c r="D791" s="667"/>
      <c r="E791" s="668"/>
      <c r="F791" s="667"/>
      <c r="G791" s="667"/>
      <c r="H791" s="667"/>
      <c r="I791" s="667"/>
      <c r="J791" s="667"/>
      <c r="K791" s="667"/>
      <c r="L791" s="667"/>
      <c r="M791" s="667"/>
      <c r="N791" s="667"/>
      <c r="O791" s="667"/>
      <c r="P791" s="667"/>
      <c r="Q791" s="667"/>
    </row>
    <row r="792" ht="15.75" customHeight="1">
      <c r="B792" s="667"/>
      <c r="C792" s="667"/>
      <c r="D792" s="667"/>
      <c r="E792" s="668"/>
      <c r="F792" s="667"/>
      <c r="G792" s="667"/>
      <c r="H792" s="667"/>
      <c r="I792" s="667"/>
      <c r="J792" s="667"/>
      <c r="K792" s="667"/>
      <c r="L792" s="667"/>
      <c r="M792" s="667"/>
      <c r="N792" s="667"/>
      <c r="O792" s="667"/>
      <c r="P792" s="667"/>
      <c r="Q792" s="667"/>
    </row>
    <row r="793" ht="15.75" customHeight="1">
      <c r="B793" s="667"/>
      <c r="C793" s="667"/>
      <c r="D793" s="667"/>
      <c r="E793" s="668"/>
      <c r="F793" s="667"/>
      <c r="G793" s="667"/>
      <c r="H793" s="667"/>
      <c r="I793" s="667"/>
      <c r="J793" s="667"/>
      <c r="K793" s="667"/>
      <c r="L793" s="667"/>
      <c r="M793" s="667"/>
      <c r="N793" s="667"/>
      <c r="O793" s="667"/>
      <c r="P793" s="667"/>
      <c r="Q793" s="667"/>
    </row>
    <row r="794" ht="15.75" customHeight="1">
      <c r="B794" s="667"/>
      <c r="C794" s="667"/>
      <c r="D794" s="667"/>
      <c r="E794" s="668"/>
      <c r="F794" s="667"/>
      <c r="G794" s="667"/>
      <c r="H794" s="667"/>
      <c r="I794" s="667"/>
      <c r="J794" s="667"/>
      <c r="K794" s="667"/>
      <c r="L794" s="667"/>
      <c r="M794" s="667"/>
      <c r="N794" s="667"/>
      <c r="O794" s="667"/>
      <c r="P794" s="667"/>
      <c r="Q794" s="667"/>
    </row>
    <row r="795" ht="15.75" customHeight="1">
      <c r="B795" s="667"/>
      <c r="C795" s="667"/>
      <c r="D795" s="667"/>
      <c r="E795" s="668"/>
      <c r="F795" s="667"/>
      <c r="G795" s="667"/>
      <c r="H795" s="667"/>
      <c r="I795" s="667"/>
      <c r="J795" s="667"/>
      <c r="K795" s="667"/>
      <c r="L795" s="667"/>
      <c r="M795" s="667"/>
      <c r="N795" s="667"/>
      <c r="O795" s="667"/>
      <c r="P795" s="667"/>
      <c r="Q795" s="667"/>
    </row>
    <row r="796" ht="15.75" customHeight="1">
      <c r="B796" s="667"/>
      <c r="C796" s="667"/>
      <c r="D796" s="667"/>
      <c r="E796" s="668"/>
      <c r="F796" s="667"/>
      <c r="G796" s="667"/>
      <c r="H796" s="667"/>
      <c r="I796" s="667"/>
      <c r="J796" s="667"/>
      <c r="K796" s="667"/>
      <c r="L796" s="667"/>
      <c r="M796" s="667"/>
      <c r="N796" s="667"/>
      <c r="O796" s="667"/>
      <c r="P796" s="667"/>
      <c r="Q796" s="667"/>
    </row>
    <row r="797" ht="15.75" customHeight="1">
      <c r="B797" s="667"/>
      <c r="C797" s="667"/>
      <c r="D797" s="667"/>
      <c r="E797" s="668"/>
      <c r="F797" s="667"/>
      <c r="G797" s="667"/>
      <c r="H797" s="667"/>
      <c r="I797" s="667"/>
      <c r="J797" s="667"/>
      <c r="K797" s="667"/>
      <c r="L797" s="667"/>
      <c r="M797" s="667"/>
      <c r="N797" s="667"/>
      <c r="O797" s="667"/>
      <c r="P797" s="667"/>
      <c r="Q797" s="667"/>
    </row>
    <row r="798" ht="15.75" customHeight="1">
      <c r="B798" s="667"/>
      <c r="C798" s="667"/>
      <c r="D798" s="667"/>
      <c r="E798" s="668"/>
      <c r="F798" s="667"/>
      <c r="G798" s="667"/>
      <c r="H798" s="667"/>
      <c r="I798" s="667"/>
      <c r="J798" s="667"/>
      <c r="K798" s="667"/>
      <c r="L798" s="667"/>
      <c r="M798" s="667"/>
      <c r="N798" s="667"/>
      <c r="O798" s="667"/>
      <c r="P798" s="667"/>
      <c r="Q798" s="667"/>
    </row>
    <row r="799" ht="15.75" customHeight="1">
      <c r="B799" s="667"/>
      <c r="C799" s="667"/>
      <c r="D799" s="667"/>
      <c r="E799" s="668"/>
      <c r="F799" s="667"/>
      <c r="G799" s="667"/>
      <c r="H799" s="667"/>
      <c r="I799" s="667"/>
      <c r="J799" s="667"/>
      <c r="K799" s="667"/>
      <c r="L799" s="667"/>
      <c r="M799" s="667"/>
      <c r="N799" s="667"/>
      <c r="O799" s="667"/>
      <c r="P799" s="667"/>
      <c r="Q799" s="667"/>
    </row>
    <row r="800" ht="15.75" customHeight="1">
      <c r="B800" s="667"/>
      <c r="C800" s="667"/>
      <c r="D800" s="667"/>
      <c r="E800" s="668"/>
      <c r="F800" s="667"/>
      <c r="G800" s="667"/>
      <c r="H800" s="667"/>
      <c r="I800" s="667"/>
      <c r="J800" s="667"/>
      <c r="K800" s="667"/>
      <c r="L800" s="667"/>
      <c r="M800" s="667"/>
      <c r="N800" s="667"/>
      <c r="O800" s="667"/>
      <c r="P800" s="667"/>
      <c r="Q800" s="667"/>
    </row>
    <row r="801" ht="15.75" customHeight="1">
      <c r="B801" s="667"/>
      <c r="C801" s="667"/>
      <c r="D801" s="667"/>
      <c r="E801" s="668"/>
      <c r="F801" s="667"/>
      <c r="G801" s="667"/>
      <c r="H801" s="667"/>
      <c r="I801" s="667"/>
      <c r="J801" s="667"/>
      <c r="K801" s="667"/>
      <c r="L801" s="667"/>
      <c r="M801" s="667"/>
      <c r="N801" s="667"/>
      <c r="O801" s="667"/>
      <c r="P801" s="667"/>
      <c r="Q801" s="667"/>
    </row>
    <row r="802" ht="15.75" customHeight="1">
      <c r="B802" s="667"/>
      <c r="C802" s="667"/>
      <c r="D802" s="667"/>
      <c r="E802" s="668"/>
      <c r="F802" s="667"/>
      <c r="G802" s="667"/>
      <c r="H802" s="667"/>
      <c r="I802" s="667"/>
      <c r="J802" s="667"/>
      <c r="K802" s="667"/>
      <c r="L802" s="667"/>
      <c r="M802" s="667"/>
      <c r="N802" s="667"/>
      <c r="O802" s="667"/>
      <c r="P802" s="667"/>
      <c r="Q802" s="667"/>
    </row>
    <row r="803" ht="15.75" customHeight="1">
      <c r="B803" s="667"/>
      <c r="C803" s="667"/>
      <c r="D803" s="667"/>
      <c r="E803" s="668"/>
      <c r="F803" s="667"/>
      <c r="G803" s="667"/>
      <c r="H803" s="667"/>
      <c r="I803" s="667"/>
      <c r="J803" s="667"/>
      <c r="K803" s="667"/>
      <c r="L803" s="667"/>
      <c r="M803" s="667"/>
      <c r="N803" s="667"/>
      <c r="O803" s="667"/>
      <c r="P803" s="667"/>
      <c r="Q803" s="667"/>
    </row>
    <row r="804" ht="15.75" customHeight="1">
      <c r="B804" s="667"/>
      <c r="C804" s="667"/>
      <c r="D804" s="667"/>
      <c r="E804" s="668"/>
      <c r="F804" s="667"/>
      <c r="G804" s="667"/>
      <c r="H804" s="667"/>
      <c r="I804" s="667"/>
      <c r="J804" s="667"/>
      <c r="K804" s="667"/>
      <c r="L804" s="667"/>
      <c r="M804" s="667"/>
      <c r="N804" s="667"/>
      <c r="O804" s="667"/>
      <c r="P804" s="667"/>
      <c r="Q804" s="667"/>
    </row>
    <row r="805" ht="15.75" customHeight="1">
      <c r="B805" s="667"/>
      <c r="C805" s="667"/>
      <c r="D805" s="667"/>
      <c r="E805" s="668"/>
      <c r="F805" s="667"/>
      <c r="G805" s="667"/>
      <c r="H805" s="667"/>
      <c r="I805" s="667"/>
      <c r="J805" s="667"/>
      <c r="K805" s="667"/>
      <c r="L805" s="667"/>
      <c r="M805" s="667"/>
      <c r="N805" s="667"/>
      <c r="O805" s="667"/>
      <c r="P805" s="667"/>
      <c r="Q805" s="667"/>
    </row>
    <row r="806" ht="15.75" customHeight="1">
      <c r="B806" s="667"/>
      <c r="C806" s="667"/>
      <c r="D806" s="667"/>
      <c r="E806" s="668"/>
      <c r="F806" s="667"/>
      <c r="G806" s="667"/>
      <c r="H806" s="667"/>
      <c r="I806" s="667"/>
      <c r="J806" s="667"/>
      <c r="K806" s="667"/>
      <c r="L806" s="667"/>
      <c r="M806" s="667"/>
      <c r="N806" s="667"/>
      <c r="O806" s="667"/>
      <c r="P806" s="667"/>
      <c r="Q806" s="667"/>
    </row>
    <row r="807" ht="15.75" customHeight="1">
      <c r="B807" s="667"/>
      <c r="C807" s="667"/>
      <c r="D807" s="667"/>
      <c r="E807" s="668"/>
      <c r="F807" s="667"/>
      <c r="G807" s="667"/>
      <c r="H807" s="667"/>
      <c r="I807" s="667"/>
      <c r="J807" s="667"/>
      <c r="K807" s="667"/>
      <c r="L807" s="667"/>
      <c r="M807" s="667"/>
      <c r="N807" s="667"/>
      <c r="O807" s="667"/>
      <c r="P807" s="667"/>
      <c r="Q807" s="667"/>
    </row>
    <row r="808" ht="15.75" customHeight="1">
      <c r="B808" s="667"/>
      <c r="C808" s="667"/>
      <c r="D808" s="667"/>
      <c r="E808" s="668"/>
      <c r="F808" s="667"/>
      <c r="G808" s="667"/>
      <c r="H808" s="667"/>
      <c r="I808" s="667"/>
      <c r="J808" s="667"/>
      <c r="K808" s="667"/>
      <c r="L808" s="667"/>
      <c r="M808" s="667"/>
      <c r="N808" s="667"/>
      <c r="O808" s="667"/>
      <c r="P808" s="667"/>
      <c r="Q808" s="667"/>
    </row>
    <row r="809" ht="15.75" customHeight="1">
      <c r="B809" s="667"/>
      <c r="C809" s="667"/>
      <c r="D809" s="667"/>
      <c r="E809" s="668"/>
      <c r="F809" s="667"/>
      <c r="G809" s="667"/>
      <c r="H809" s="667"/>
      <c r="I809" s="667"/>
      <c r="J809" s="667"/>
      <c r="K809" s="667"/>
      <c r="L809" s="667"/>
      <c r="M809" s="667"/>
      <c r="N809" s="667"/>
      <c r="O809" s="667"/>
      <c r="P809" s="667"/>
      <c r="Q809" s="667"/>
    </row>
    <row r="810" ht="15.75" customHeight="1">
      <c r="B810" s="667"/>
      <c r="C810" s="667"/>
      <c r="D810" s="667"/>
      <c r="E810" s="668"/>
      <c r="F810" s="667"/>
      <c r="G810" s="667"/>
      <c r="H810" s="667"/>
      <c r="I810" s="667"/>
      <c r="J810" s="667"/>
      <c r="K810" s="667"/>
      <c r="L810" s="667"/>
      <c r="M810" s="667"/>
      <c r="N810" s="667"/>
      <c r="O810" s="667"/>
      <c r="P810" s="667"/>
      <c r="Q810" s="667"/>
    </row>
    <row r="811" ht="15.75" customHeight="1">
      <c r="B811" s="667"/>
      <c r="C811" s="667"/>
      <c r="D811" s="667"/>
      <c r="E811" s="668"/>
      <c r="F811" s="667"/>
      <c r="G811" s="667"/>
      <c r="H811" s="667"/>
      <c r="I811" s="667"/>
      <c r="J811" s="667"/>
      <c r="K811" s="667"/>
      <c r="L811" s="667"/>
      <c r="M811" s="667"/>
      <c r="N811" s="667"/>
      <c r="O811" s="667"/>
      <c r="P811" s="667"/>
      <c r="Q811" s="667"/>
    </row>
    <row r="812" ht="15.75" customHeight="1">
      <c r="B812" s="667"/>
      <c r="C812" s="667"/>
      <c r="D812" s="667"/>
      <c r="E812" s="668"/>
      <c r="F812" s="667"/>
      <c r="G812" s="667"/>
      <c r="H812" s="667"/>
      <c r="I812" s="667"/>
      <c r="J812" s="667"/>
      <c r="K812" s="667"/>
      <c r="L812" s="667"/>
      <c r="M812" s="667"/>
      <c r="N812" s="667"/>
      <c r="O812" s="667"/>
      <c r="P812" s="667"/>
      <c r="Q812" s="667"/>
    </row>
    <row r="813" ht="15.75" customHeight="1">
      <c r="B813" s="667"/>
      <c r="C813" s="667"/>
      <c r="D813" s="667"/>
      <c r="E813" s="668"/>
      <c r="F813" s="667"/>
      <c r="G813" s="667"/>
      <c r="H813" s="667"/>
      <c r="I813" s="667"/>
      <c r="J813" s="667"/>
      <c r="K813" s="667"/>
      <c r="L813" s="667"/>
      <c r="M813" s="667"/>
      <c r="N813" s="667"/>
      <c r="O813" s="667"/>
      <c r="P813" s="667"/>
      <c r="Q813" s="667"/>
    </row>
    <row r="814" ht="15.75" customHeight="1">
      <c r="B814" s="667"/>
      <c r="C814" s="667"/>
      <c r="D814" s="667"/>
      <c r="E814" s="668"/>
      <c r="F814" s="667"/>
      <c r="G814" s="667"/>
      <c r="H814" s="667"/>
      <c r="I814" s="667"/>
      <c r="J814" s="667"/>
      <c r="K814" s="667"/>
      <c r="L814" s="667"/>
      <c r="M814" s="667"/>
      <c r="N814" s="667"/>
      <c r="O814" s="667"/>
      <c r="P814" s="667"/>
      <c r="Q814" s="667"/>
    </row>
    <row r="815" ht="15.75" customHeight="1">
      <c r="B815" s="667"/>
      <c r="C815" s="667"/>
      <c r="D815" s="667"/>
      <c r="E815" s="668"/>
      <c r="F815" s="667"/>
      <c r="G815" s="667"/>
      <c r="H815" s="667"/>
      <c r="I815" s="667"/>
      <c r="J815" s="667"/>
      <c r="K815" s="667"/>
      <c r="L815" s="667"/>
      <c r="M815" s="667"/>
      <c r="N815" s="667"/>
      <c r="O815" s="667"/>
      <c r="P815" s="667"/>
      <c r="Q815" s="667"/>
    </row>
    <row r="816" ht="15.75" customHeight="1">
      <c r="B816" s="667"/>
      <c r="C816" s="667"/>
      <c r="D816" s="667"/>
      <c r="E816" s="668"/>
      <c r="F816" s="667"/>
      <c r="G816" s="667"/>
      <c r="H816" s="667"/>
      <c r="I816" s="667"/>
      <c r="J816" s="667"/>
      <c r="K816" s="667"/>
      <c r="L816" s="667"/>
      <c r="M816" s="667"/>
      <c r="N816" s="667"/>
      <c r="O816" s="667"/>
      <c r="P816" s="667"/>
      <c r="Q816" s="667"/>
    </row>
    <row r="817" ht="15.75" customHeight="1">
      <c r="B817" s="667"/>
      <c r="C817" s="667"/>
      <c r="D817" s="667"/>
      <c r="E817" s="668"/>
      <c r="F817" s="667"/>
      <c r="G817" s="667"/>
      <c r="H817" s="667"/>
      <c r="I817" s="667"/>
      <c r="J817" s="667"/>
      <c r="K817" s="667"/>
      <c r="L817" s="667"/>
      <c r="M817" s="667"/>
      <c r="N817" s="667"/>
      <c r="O817" s="667"/>
      <c r="P817" s="667"/>
      <c r="Q817" s="667"/>
    </row>
    <row r="818" ht="15.75" customHeight="1">
      <c r="B818" s="667"/>
      <c r="C818" s="667"/>
      <c r="D818" s="667"/>
      <c r="E818" s="668"/>
      <c r="F818" s="667"/>
      <c r="G818" s="667"/>
      <c r="H818" s="667"/>
      <c r="I818" s="667"/>
      <c r="J818" s="667"/>
      <c r="K818" s="667"/>
      <c r="L818" s="667"/>
      <c r="M818" s="667"/>
      <c r="N818" s="667"/>
      <c r="O818" s="667"/>
      <c r="P818" s="667"/>
      <c r="Q818" s="667"/>
    </row>
    <row r="819" ht="15.75" customHeight="1">
      <c r="B819" s="667"/>
      <c r="C819" s="667"/>
      <c r="D819" s="667"/>
      <c r="E819" s="668"/>
      <c r="F819" s="667"/>
      <c r="G819" s="667"/>
      <c r="H819" s="667"/>
      <c r="I819" s="667"/>
      <c r="J819" s="667"/>
      <c r="K819" s="667"/>
      <c r="L819" s="667"/>
      <c r="M819" s="667"/>
      <c r="N819" s="667"/>
      <c r="O819" s="667"/>
      <c r="P819" s="667"/>
      <c r="Q819" s="667"/>
    </row>
    <row r="820" ht="15.75" customHeight="1">
      <c r="B820" s="667"/>
      <c r="C820" s="667"/>
      <c r="D820" s="667"/>
      <c r="E820" s="668"/>
      <c r="F820" s="667"/>
      <c r="G820" s="667"/>
      <c r="H820" s="667"/>
      <c r="I820" s="667"/>
      <c r="J820" s="667"/>
      <c r="K820" s="667"/>
      <c r="L820" s="667"/>
      <c r="M820" s="667"/>
      <c r="N820" s="667"/>
      <c r="O820" s="667"/>
      <c r="P820" s="667"/>
      <c r="Q820" s="667"/>
    </row>
    <row r="821" ht="15.75" customHeight="1">
      <c r="B821" s="667"/>
      <c r="C821" s="667"/>
      <c r="D821" s="667"/>
      <c r="E821" s="668"/>
      <c r="F821" s="667"/>
      <c r="G821" s="667"/>
      <c r="H821" s="667"/>
      <c r="I821" s="667"/>
      <c r="J821" s="667"/>
      <c r="K821" s="667"/>
      <c r="L821" s="667"/>
      <c r="M821" s="667"/>
      <c r="N821" s="667"/>
      <c r="O821" s="667"/>
      <c r="P821" s="667"/>
      <c r="Q821" s="667"/>
    </row>
    <row r="822" ht="15.75" customHeight="1">
      <c r="B822" s="667"/>
      <c r="C822" s="667"/>
      <c r="D822" s="667"/>
      <c r="E822" s="668"/>
      <c r="F822" s="667"/>
      <c r="G822" s="667"/>
      <c r="H822" s="667"/>
      <c r="I822" s="667"/>
      <c r="J822" s="667"/>
      <c r="K822" s="667"/>
      <c r="L822" s="667"/>
      <c r="M822" s="667"/>
      <c r="N822" s="667"/>
      <c r="O822" s="667"/>
      <c r="P822" s="667"/>
      <c r="Q822" s="667"/>
    </row>
    <row r="823" ht="15.75" customHeight="1">
      <c r="B823" s="667"/>
      <c r="C823" s="667"/>
      <c r="D823" s="667"/>
      <c r="E823" s="668"/>
      <c r="F823" s="667"/>
      <c r="G823" s="667"/>
      <c r="H823" s="667"/>
      <c r="I823" s="667"/>
      <c r="J823" s="667"/>
      <c r="K823" s="667"/>
      <c r="L823" s="667"/>
      <c r="M823" s="667"/>
      <c r="N823" s="667"/>
      <c r="O823" s="667"/>
      <c r="P823" s="667"/>
      <c r="Q823" s="667"/>
    </row>
    <row r="824" ht="15.75" customHeight="1">
      <c r="B824" s="667"/>
      <c r="C824" s="667"/>
      <c r="D824" s="667"/>
      <c r="E824" s="668"/>
      <c r="F824" s="667"/>
      <c r="G824" s="667"/>
      <c r="H824" s="667"/>
      <c r="I824" s="667"/>
      <c r="J824" s="667"/>
      <c r="K824" s="667"/>
      <c r="L824" s="667"/>
      <c r="M824" s="667"/>
      <c r="N824" s="667"/>
      <c r="O824" s="667"/>
      <c r="P824" s="667"/>
      <c r="Q824" s="667"/>
    </row>
    <row r="825" ht="15.75" customHeight="1">
      <c r="B825" s="667"/>
      <c r="C825" s="667"/>
      <c r="D825" s="667"/>
      <c r="E825" s="668"/>
      <c r="F825" s="667"/>
      <c r="G825" s="667"/>
      <c r="H825" s="667"/>
      <c r="I825" s="667"/>
      <c r="J825" s="667"/>
      <c r="K825" s="667"/>
      <c r="L825" s="667"/>
      <c r="M825" s="667"/>
      <c r="N825" s="667"/>
      <c r="O825" s="667"/>
      <c r="P825" s="667"/>
      <c r="Q825" s="667"/>
    </row>
    <row r="826" ht="15.75" customHeight="1">
      <c r="B826" s="667"/>
      <c r="C826" s="667"/>
      <c r="D826" s="667"/>
      <c r="E826" s="668"/>
      <c r="F826" s="667"/>
      <c r="G826" s="667"/>
      <c r="H826" s="667"/>
      <c r="I826" s="667"/>
      <c r="J826" s="667"/>
      <c r="K826" s="667"/>
      <c r="L826" s="667"/>
      <c r="M826" s="667"/>
      <c r="N826" s="667"/>
      <c r="O826" s="667"/>
      <c r="P826" s="667"/>
      <c r="Q826" s="667"/>
    </row>
    <row r="827" ht="15.75" customHeight="1">
      <c r="B827" s="667"/>
      <c r="C827" s="667"/>
      <c r="D827" s="667"/>
      <c r="E827" s="668"/>
      <c r="F827" s="667"/>
      <c r="G827" s="667"/>
      <c r="H827" s="667"/>
      <c r="I827" s="667"/>
      <c r="J827" s="667"/>
      <c r="K827" s="667"/>
      <c r="L827" s="667"/>
      <c r="M827" s="667"/>
      <c r="N827" s="667"/>
      <c r="O827" s="667"/>
      <c r="P827" s="667"/>
      <c r="Q827" s="667"/>
    </row>
    <row r="828" ht="15.75" customHeight="1">
      <c r="B828" s="667"/>
      <c r="C828" s="667"/>
      <c r="D828" s="667"/>
      <c r="E828" s="668"/>
      <c r="F828" s="667"/>
      <c r="G828" s="667"/>
      <c r="H828" s="667"/>
      <c r="I828" s="667"/>
      <c r="J828" s="667"/>
      <c r="K828" s="667"/>
      <c r="L828" s="667"/>
      <c r="M828" s="667"/>
      <c r="N828" s="667"/>
      <c r="O828" s="667"/>
      <c r="P828" s="667"/>
      <c r="Q828" s="667"/>
    </row>
    <row r="829" ht="15.75" customHeight="1">
      <c r="B829" s="667"/>
      <c r="C829" s="667"/>
      <c r="D829" s="667"/>
      <c r="E829" s="668"/>
      <c r="F829" s="667"/>
      <c r="G829" s="667"/>
      <c r="H829" s="667"/>
      <c r="I829" s="667"/>
      <c r="J829" s="667"/>
      <c r="K829" s="667"/>
      <c r="L829" s="667"/>
      <c r="M829" s="667"/>
      <c r="N829" s="667"/>
      <c r="O829" s="667"/>
      <c r="P829" s="667"/>
      <c r="Q829" s="667"/>
    </row>
    <row r="830" ht="15.75" customHeight="1">
      <c r="B830" s="667"/>
      <c r="C830" s="667"/>
      <c r="D830" s="667"/>
      <c r="E830" s="668"/>
      <c r="F830" s="667"/>
      <c r="G830" s="667"/>
      <c r="H830" s="667"/>
      <c r="I830" s="667"/>
      <c r="J830" s="667"/>
      <c r="K830" s="667"/>
      <c r="L830" s="667"/>
      <c r="M830" s="667"/>
      <c r="N830" s="667"/>
      <c r="O830" s="667"/>
      <c r="P830" s="667"/>
      <c r="Q830" s="667"/>
    </row>
    <row r="831" ht="15.75" customHeight="1">
      <c r="B831" s="667"/>
      <c r="C831" s="667"/>
      <c r="D831" s="667"/>
      <c r="E831" s="668"/>
      <c r="F831" s="667"/>
      <c r="G831" s="667"/>
      <c r="H831" s="667"/>
      <c r="I831" s="667"/>
      <c r="J831" s="667"/>
      <c r="K831" s="667"/>
      <c r="L831" s="667"/>
      <c r="M831" s="667"/>
      <c r="N831" s="667"/>
      <c r="O831" s="667"/>
      <c r="P831" s="667"/>
      <c r="Q831" s="667"/>
    </row>
    <row r="832" ht="15.75" customHeight="1">
      <c r="B832" s="667"/>
      <c r="C832" s="667"/>
      <c r="D832" s="667"/>
      <c r="E832" s="668"/>
      <c r="F832" s="667"/>
      <c r="G832" s="667"/>
      <c r="H832" s="667"/>
      <c r="I832" s="667"/>
      <c r="J832" s="667"/>
      <c r="K832" s="667"/>
      <c r="L832" s="667"/>
      <c r="M832" s="667"/>
      <c r="N832" s="667"/>
      <c r="O832" s="667"/>
      <c r="P832" s="667"/>
      <c r="Q832" s="667"/>
    </row>
    <row r="833" ht="15.75" customHeight="1">
      <c r="B833" s="667"/>
      <c r="C833" s="667"/>
      <c r="D833" s="667"/>
      <c r="E833" s="668"/>
      <c r="F833" s="667"/>
      <c r="G833" s="667"/>
      <c r="H833" s="667"/>
      <c r="I833" s="667"/>
      <c r="J833" s="667"/>
      <c r="K833" s="667"/>
      <c r="L833" s="667"/>
      <c r="M833" s="667"/>
      <c r="N833" s="667"/>
      <c r="O833" s="667"/>
      <c r="P833" s="667"/>
      <c r="Q833" s="667"/>
    </row>
    <row r="834" ht="15.75" customHeight="1">
      <c r="B834" s="667"/>
      <c r="C834" s="667"/>
      <c r="D834" s="667"/>
      <c r="E834" s="668"/>
      <c r="F834" s="667"/>
      <c r="G834" s="667"/>
      <c r="H834" s="667"/>
      <c r="I834" s="667"/>
      <c r="J834" s="667"/>
      <c r="K834" s="667"/>
      <c r="L834" s="667"/>
      <c r="M834" s="667"/>
      <c r="N834" s="667"/>
      <c r="O834" s="667"/>
      <c r="P834" s="667"/>
      <c r="Q834" s="667"/>
    </row>
    <row r="835" ht="15.75" customHeight="1">
      <c r="B835" s="667"/>
      <c r="C835" s="667"/>
      <c r="D835" s="667"/>
      <c r="E835" s="668"/>
      <c r="F835" s="667"/>
      <c r="G835" s="667"/>
      <c r="H835" s="667"/>
      <c r="I835" s="667"/>
      <c r="J835" s="667"/>
      <c r="K835" s="667"/>
      <c r="L835" s="667"/>
      <c r="M835" s="667"/>
      <c r="N835" s="667"/>
      <c r="O835" s="667"/>
      <c r="P835" s="667"/>
      <c r="Q835" s="667"/>
    </row>
    <row r="836" ht="15.75" customHeight="1">
      <c r="B836" s="667"/>
      <c r="C836" s="667"/>
      <c r="D836" s="667"/>
      <c r="E836" s="668"/>
      <c r="F836" s="667"/>
      <c r="G836" s="667"/>
      <c r="H836" s="667"/>
      <c r="I836" s="667"/>
      <c r="J836" s="667"/>
      <c r="K836" s="667"/>
      <c r="L836" s="667"/>
      <c r="M836" s="667"/>
      <c r="N836" s="667"/>
      <c r="O836" s="667"/>
      <c r="P836" s="667"/>
      <c r="Q836" s="667"/>
    </row>
    <row r="837" ht="15.75" customHeight="1">
      <c r="B837" s="667"/>
      <c r="C837" s="667"/>
      <c r="D837" s="667"/>
      <c r="E837" s="668"/>
      <c r="F837" s="667"/>
      <c r="G837" s="667"/>
      <c r="H837" s="667"/>
      <c r="I837" s="667"/>
      <c r="J837" s="667"/>
      <c r="K837" s="667"/>
      <c r="L837" s="667"/>
      <c r="M837" s="667"/>
      <c r="N837" s="667"/>
      <c r="O837" s="667"/>
      <c r="P837" s="667"/>
      <c r="Q837" s="667"/>
    </row>
    <row r="838" ht="15.75" customHeight="1">
      <c r="B838" s="667"/>
      <c r="C838" s="667"/>
      <c r="D838" s="667"/>
      <c r="E838" s="668"/>
      <c r="F838" s="667"/>
      <c r="G838" s="667"/>
      <c r="H838" s="667"/>
      <c r="I838" s="667"/>
      <c r="J838" s="667"/>
      <c r="K838" s="667"/>
      <c r="L838" s="667"/>
      <c r="M838" s="667"/>
      <c r="N838" s="667"/>
      <c r="O838" s="667"/>
      <c r="P838" s="667"/>
      <c r="Q838" s="667"/>
    </row>
    <row r="839" ht="15.75" customHeight="1">
      <c r="B839" s="667"/>
      <c r="C839" s="667"/>
      <c r="D839" s="667"/>
      <c r="E839" s="668"/>
      <c r="F839" s="667"/>
      <c r="G839" s="667"/>
      <c r="H839" s="667"/>
      <c r="I839" s="667"/>
      <c r="J839" s="667"/>
      <c r="K839" s="667"/>
      <c r="L839" s="667"/>
      <c r="M839" s="667"/>
      <c r="N839" s="667"/>
      <c r="O839" s="667"/>
      <c r="P839" s="667"/>
      <c r="Q839" s="667"/>
    </row>
    <row r="840" ht="15.75" customHeight="1">
      <c r="B840" s="667"/>
      <c r="C840" s="667"/>
      <c r="D840" s="667"/>
      <c r="E840" s="668"/>
      <c r="F840" s="667"/>
      <c r="G840" s="667"/>
      <c r="H840" s="667"/>
      <c r="I840" s="667"/>
      <c r="J840" s="667"/>
      <c r="K840" s="667"/>
      <c r="L840" s="667"/>
      <c r="M840" s="667"/>
      <c r="N840" s="667"/>
      <c r="O840" s="667"/>
      <c r="P840" s="667"/>
      <c r="Q840" s="667"/>
    </row>
    <row r="841" ht="15.75" customHeight="1">
      <c r="B841" s="667"/>
      <c r="C841" s="667"/>
      <c r="D841" s="667"/>
      <c r="E841" s="668"/>
      <c r="F841" s="667"/>
      <c r="G841" s="667"/>
      <c r="H841" s="667"/>
      <c r="I841" s="667"/>
      <c r="J841" s="667"/>
      <c r="K841" s="667"/>
      <c r="L841" s="667"/>
      <c r="M841" s="667"/>
      <c r="N841" s="667"/>
      <c r="O841" s="667"/>
      <c r="P841" s="667"/>
      <c r="Q841" s="667"/>
    </row>
    <row r="842" ht="15.75" customHeight="1">
      <c r="B842" s="667"/>
      <c r="C842" s="667"/>
      <c r="D842" s="667"/>
      <c r="E842" s="668"/>
      <c r="F842" s="667"/>
      <c r="G842" s="667"/>
      <c r="H842" s="667"/>
      <c r="I842" s="667"/>
      <c r="J842" s="667"/>
      <c r="K842" s="667"/>
      <c r="L842" s="667"/>
      <c r="M842" s="667"/>
      <c r="N842" s="667"/>
      <c r="O842" s="667"/>
      <c r="P842" s="667"/>
      <c r="Q842" s="667"/>
    </row>
    <row r="843" ht="15.75" customHeight="1">
      <c r="B843" s="667"/>
      <c r="C843" s="667"/>
      <c r="D843" s="667"/>
      <c r="E843" s="668"/>
      <c r="F843" s="667"/>
      <c r="G843" s="667"/>
      <c r="H843" s="667"/>
      <c r="I843" s="667"/>
      <c r="J843" s="667"/>
      <c r="K843" s="667"/>
      <c r="L843" s="667"/>
      <c r="M843" s="667"/>
      <c r="N843" s="667"/>
      <c r="O843" s="667"/>
      <c r="P843" s="667"/>
      <c r="Q843" s="667"/>
    </row>
    <row r="844" ht="15.75" customHeight="1">
      <c r="B844" s="667"/>
      <c r="C844" s="667"/>
      <c r="D844" s="667"/>
      <c r="E844" s="668"/>
      <c r="F844" s="667"/>
      <c r="G844" s="667"/>
      <c r="H844" s="667"/>
      <c r="I844" s="667"/>
      <c r="J844" s="667"/>
      <c r="K844" s="667"/>
      <c r="L844" s="667"/>
      <c r="M844" s="667"/>
      <c r="N844" s="667"/>
      <c r="O844" s="667"/>
      <c r="P844" s="667"/>
      <c r="Q844" s="667"/>
    </row>
    <row r="845" ht="15.75" customHeight="1">
      <c r="B845" s="667"/>
      <c r="C845" s="667"/>
      <c r="D845" s="667"/>
      <c r="E845" s="668"/>
      <c r="F845" s="667"/>
      <c r="G845" s="667"/>
      <c r="H845" s="667"/>
      <c r="I845" s="667"/>
      <c r="J845" s="667"/>
      <c r="K845" s="667"/>
      <c r="L845" s="667"/>
      <c r="M845" s="667"/>
      <c r="N845" s="667"/>
      <c r="O845" s="667"/>
      <c r="P845" s="667"/>
      <c r="Q845" s="667"/>
    </row>
    <row r="846" ht="15.75" customHeight="1">
      <c r="B846" s="667"/>
      <c r="C846" s="667"/>
      <c r="D846" s="667"/>
      <c r="E846" s="668"/>
      <c r="F846" s="667"/>
      <c r="G846" s="667"/>
      <c r="H846" s="667"/>
      <c r="I846" s="667"/>
      <c r="J846" s="667"/>
      <c r="K846" s="667"/>
      <c r="L846" s="667"/>
      <c r="M846" s="667"/>
      <c r="N846" s="667"/>
      <c r="O846" s="667"/>
      <c r="P846" s="667"/>
      <c r="Q846" s="667"/>
    </row>
    <row r="847" ht="15.75" customHeight="1">
      <c r="B847" s="667"/>
      <c r="C847" s="667"/>
      <c r="D847" s="667"/>
      <c r="E847" s="668"/>
      <c r="F847" s="667"/>
      <c r="G847" s="667"/>
      <c r="H847" s="667"/>
      <c r="I847" s="667"/>
      <c r="J847" s="667"/>
      <c r="K847" s="667"/>
      <c r="L847" s="667"/>
      <c r="M847" s="667"/>
      <c r="N847" s="667"/>
      <c r="O847" s="667"/>
      <c r="P847" s="667"/>
      <c r="Q847" s="667"/>
    </row>
    <row r="848" ht="15.75" customHeight="1">
      <c r="B848" s="667"/>
      <c r="C848" s="667"/>
      <c r="D848" s="667"/>
      <c r="E848" s="668"/>
      <c r="F848" s="667"/>
      <c r="G848" s="667"/>
      <c r="H848" s="667"/>
      <c r="I848" s="667"/>
      <c r="J848" s="667"/>
      <c r="K848" s="667"/>
      <c r="L848" s="667"/>
      <c r="M848" s="667"/>
      <c r="N848" s="667"/>
      <c r="O848" s="667"/>
      <c r="P848" s="667"/>
      <c r="Q848" s="667"/>
    </row>
    <row r="849" ht="15.75" customHeight="1">
      <c r="B849" s="667"/>
      <c r="C849" s="667"/>
      <c r="D849" s="667"/>
      <c r="E849" s="668"/>
      <c r="F849" s="667"/>
      <c r="G849" s="667"/>
      <c r="H849" s="667"/>
      <c r="I849" s="667"/>
      <c r="J849" s="667"/>
      <c r="K849" s="667"/>
      <c r="L849" s="667"/>
      <c r="M849" s="667"/>
      <c r="N849" s="667"/>
      <c r="O849" s="667"/>
      <c r="P849" s="667"/>
      <c r="Q849" s="667"/>
    </row>
    <row r="850" ht="15.75" customHeight="1">
      <c r="B850" s="667"/>
      <c r="C850" s="667"/>
      <c r="D850" s="667"/>
      <c r="E850" s="668"/>
      <c r="F850" s="667"/>
      <c r="G850" s="667"/>
      <c r="H850" s="667"/>
      <c r="I850" s="667"/>
      <c r="J850" s="667"/>
      <c r="K850" s="667"/>
      <c r="L850" s="667"/>
      <c r="M850" s="667"/>
      <c r="N850" s="667"/>
      <c r="O850" s="667"/>
      <c r="P850" s="667"/>
      <c r="Q850" s="667"/>
    </row>
    <row r="851" ht="15.75" customHeight="1">
      <c r="B851" s="667"/>
      <c r="C851" s="667"/>
      <c r="D851" s="667"/>
      <c r="E851" s="668"/>
      <c r="F851" s="667"/>
      <c r="G851" s="667"/>
      <c r="H851" s="667"/>
      <c r="I851" s="667"/>
      <c r="J851" s="667"/>
      <c r="K851" s="667"/>
      <c r="L851" s="667"/>
      <c r="M851" s="667"/>
      <c r="N851" s="667"/>
      <c r="O851" s="667"/>
      <c r="P851" s="667"/>
      <c r="Q851" s="667"/>
    </row>
    <row r="852" ht="15.75" customHeight="1">
      <c r="B852" s="667"/>
      <c r="C852" s="667"/>
      <c r="D852" s="667"/>
      <c r="E852" s="668"/>
      <c r="F852" s="667"/>
      <c r="G852" s="667"/>
      <c r="H852" s="667"/>
      <c r="I852" s="667"/>
      <c r="J852" s="667"/>
      <c r="K852" s="667"/>
      <c r="L852" s="667"/>
      <c r="M852" s="667"/>
      <c r="N852" s="667"/>
      <c r="O852" s="667"/>
      <c r="P852" s="667"/>
      <c r="Q852" s="667"/>
    </row>
    <row r="853" ht="15.75" customHeight="1">
      <c r="B853" s="667"/>
      <c r="C853" s="667"/>
      <c r="D853" s="667"/>
      <c r="E853" s="668"/>
      <c r="F853" s="667"/>
      <c r="G853" s="667"/>
      <c r="H853" s="667"/>
      <c r="I853" s="667"/>
      <c r="J853" s="667"/>
      <c r="K853" s="667"/>
      <c r="L853" s="667"/>
      <c r="M853" s="667"/>
      <c r="N853" s="667"/>
      <c r="O853" s="667"/>
      <c r="P853" s="667"/>
      <c r="Q853" s="667"/>
    </row>
    <row r="854" ht="15.75" customHeight="1">
      <c r="B854" s="667"/>
      <c r="C854" s="667"/>
      <c r="D854" s="667"/>
      <c r="E854" s="668"/>
      <c r="F854" s="667"/>
      <c r="G854" s="667"/>
      <c r="H854" s="667"/>
      <c r="I854" s="667"/>
      <c r="J854" s="667"/>
      <c r="K854" s="667"/>
      <c r="L854" s="667"/>
      <c r="M854" s="667"/>
      <c r="N854" s="667"/>
      <c r="O854" s="667"/>
      <c r="P854" s="667"/>
      <c r="Q854" s="667"/>
    </row>
    <row r="855" ht="15.75" customHeight="1">
      <c r="B855" s="667"/>
      <c r="C855" s="667"/>
      <c r="D855" s="667"/>
      <c r="E855" s="668"/>
      <c r="F855" s="667"/>
      <c r="G855" s="667"/>
      <c r="H855" s="667"/>
      <c r="I855" s="667"/>
      <c r="J855" s="667"/>
      <c r="K855" s="667"/>
      <c r="L855" s="667"/>
      <c r="M855" s="667"/>
      <c r="N855" s="667"/>
      <c r="O855" s="667"/>
      <c r="P855" s="667"/>
      <c r="Q855" s="667"/>
    </row>
    <row r="856" ht="15.75" customHeight="1">
      <c r="B856" s="667"/>
      <c r="C856" s="667"/>
      <c r="D856" s="667"/>
      <c r="E856" s="668"/>
      <c r="F856" s="667"/>
      <c r="G856" s="667"/>
      <c r="H856" s="667"/>
      <c r="I856" s="667"/>
      <c r="J856" s="667"/>
      <c r="K856" s="667"/>
      <c r="L856" s="667"/>
      <c r="M856" s="667"/>
      <c r="N856" s="667"/>
      <c r="O856" s="667"/>
      <c r="P856" s="667"/>
      <c r="Q856" s="667"/>
    </row>
    <row r="857" ht="15.75" customHeight="1">
      <c r="B857" s="667"/>
      <c r="C857" s="667"/>
      <c r="D857" s="667"/>
      <c r="E857" s="668"/>
      <c r="F857" s="667"/>
      <c r="G857" s="667"/>
      <c r="H857" s="667"/>
      <c r="I857" s="667"/>
      <c r="J857" s="667"/>
      <c r="K857" s="667"/>
      <c r="L857" s="667"/>
      <c r="M857" s="667"/>
      <c r="N857" s="667"/>
      <c r="O857" s="667"/>
      <c r="P857" s="667"/>
      <c r="Q857" s="667"/>
    </row>
    <row r="858" ht="15.75" customHeight="1">
      <c r="B858" s="667"/>
      <c r="C858" s="667"/>
      <c r="D858" s="667"/>
      <c r="E858" s="668"/>
      <c r="F858" s="667"/>
      <c r="G858" s="667"/>
      <c r="H858" s="667"/>
      <c r="I858" s="667"/>
      <c r="J858" s="667"/>
      <c r="K858" s="667"/>
      <c r="L858" s="667"/>
      <c r="M858" s="667"/>
      <c r="N858" s="667"/>
      <c r="O858" s="667"/>
      <c r="P858" s="667"/>
      <c r="Q858" s="667"/>
    </row>
    <row r="859" ht="15.75" customHeight="1">
      <c r="B859" s="667"/>
      <c r="C859" s="667"/>
      <c r="D859" s="667"/>
      <c r="E859" s="668"/>
      <c r="F859" s="667"/>
      <c r="G859" s="667"/>
      <c r="H859" s="667"/>
      <c r="I859" s="667"/>
      <c r="J859" s="667"/>
      <c r="K859" s="667"/>
      <c r="L859" s="667"/>
      <c r="M859" s="667"/>
      <c r="N859" s="667"/>
      <c r="O859" s="667"/>
      <c r="P859" s="667"/>
      <c r="Q859" s="667"/>
    </row>
    <row r="860" ht="15.75" customHeight="1">
      <c r="B860" s="667"/>
      <c r="C860" s="667"/>
      <c r="D860" s="667"/>
      <c r="E860" s="668"/>
      <c r="F860" s="667"/>
      <c r="G860" s="667"/>
      <c r="H860" s="667"/>
      <c r="I860" s="667"/>
      <c r="J860" s="667"/>
      <c r="K860" s="667"/>
      <c r="L860" s="667"/>
      <c r="M860" s="667"/>
      <c r="N860" s="667"/>
      <c r="O860" s="667"/>
      <c r="P860" s="667"/>
      <c r="Q860" s="667"/>
    </row>
    <row r="861" ht="15.75" customHeight="1">
      <c r="B861" s="667"/>
      <c r="C861" s="667"/>
      <c r="D861" s="667"/>
      <c r="E861" s="668"/>
      <c r="F861" s="667"/>
      <c r="G861" s="667"/>
      <c r="H861" s="667"/>
      <c r="I861" s="667"/>
      <c r="J861" s="667"/>
      <c r="K861" s="667"/>
      <c r="L861" s="667"/>
      <c r="M861" s="667"/>
      <c r="N861" s="667"/>
      <c r="O861" s="667"/>
      <c r="P861" s="667"/>
      <c r="Q861" s="667"/>
    </row>
    <row r="862" ht="15.75" customHeight="1">
      <c r="B862" s="667"/>
      <c r="C862" s="667"/>
      <c r="D862" s="667"/>
      <c r="E862" s="668"/>
      <c r="F862" s="667"/>
      <c r="G862" s="667"/>
      <c r="H862" s="667"/>
      <c r="I862" s="667"/>
      <c r="J862" s="667"/>
      <c r="K862" s="667"/>
      <c r="L862" s="667"/>
      <c r="M862" s="667"/>
      <c r="N862" s="667"/>
      <c r="O862" s="667"/>
      <c r="P862" s="667"/>
      <c r="Q862" s="667"/>
    </row>
    <row r="863" ht="15.75" customHeight="1">
      <c r="B863" s="667"/>
      <c r="C863" s="667"/>
      <c r="D863" s="667"/>
      <c r="E863" s="668"/>
      <c r="F863" s="667"/>
      <c r="G863" s="667"/>
      <c r="H863" s="667"/>
      <c r="I863" s="667"/>
      <c r="J863" s="667"/>
      <c r="K863" s="667"/>
      <c r="L863" s="667"/>
      <c r="M863" s="667"/>
      <c r="N863" s="667"/>
      <c r="O863" s="667"/>
      <c r="P863" s="667"/>
      <c r="Q863" s="667"/>
    </row>
    <row r="864" ht="15.75" customHeight="1">
      <c r="B864" s="667"/>
      <c r="C864" s="667"/>
      <c r="D864" s="667"/>
      <c r="E864" s="668"/>
      <c r="F864" s="667"/>
      <c r="G864" s="667"/>
      <c r="H864" s="667"/>
      <c r="I864" s="667"/>
      <c r="J864" s="667"/>
      <c r="K864" s="667"/>
      <c r="L864" s="667"/>
      <c r="M864" s="667"/>
      <c r="N864" s="667"/>
      <c r="O864" s="667"/>
      <c r="P864" s="667"/>
      <c r="Q864" s="667"/>
    </row>
    <row r="865" ht="15.75" customHeight="1">
      <c r="B865" s="667"/>
      <c r="C865" s="667"/>
      <c r="D865" s="667"/>
      <c r="E865" s="668"/>
      <c r="F865" s="667"/>
      <c r="G865" s="667"/>
      <c r="H865" s="667"/>
      <c r="I865" s="667"/>
      <c r="J865" s="667"/>
      <c r="K865" s="667"/>
      <c r="L865" s="667"/>
      <c r="M865" s="667"/>
      <c r="N865" s="667"/>
      <c r="O865" s="667"/>
      <c r="P865" s="667"/>
      <c r="Q865" s="667"/>
    </row>
    <row r="866" ht="15.75" customHeight="1">
      <c r="B866" s="667"/>
      <c r="C866" s="667"/>
      <c r="D866" s="667"/>
      <c r="E866" s="668"/>
      <c r="F866" s="667"/>
      <c r="G866" s="667"/>
      <c r="H866" s="667"/>
      <c r="I866" s="667"/>
      <c r="J866" s="667"/>
      <c r="K866" s="667"/>
      <c r="L866" s="667"/>
      <c r="M866" s="667"/>
      <c r="N866" s="667"/>
      <c r="O866" s="667"/>
      <c r="P866" s="667"/>
      <c r="Q866" s="667"/>
    </row>
    <row r="867" ht="15.75" customHeight="1">
      <c r="B867" s="667"/>
      <c r="C867" s="667"/>
      <c r="D867" s="667"/>
      <c r="E867" s="668"/>
      <c r="F867" s="667"/>
      <c r="G867" s="667"/>
      <c r="H867" s="667"/>
      <c r="I867" s="667"/>
      <c r="J867" s="667"/>
      <c r="K867" s="667"/>
      <c r="L867" s="667"/>
      <c r="M867" s="667"/>
      <c r="N867" s="667"/>
      <c r="O867" s="667"/>
      <c r="P867" s="667"/>
      <c r="Q867" s="667"/>
    </row>
    <row r="868" ht="15.75" customHeight="1">
      <c r="B868" s="667"/>
      <c r="C868" s="667"/>
      <c r="D868" s="667"/>
      <c r="E868" s="668"/>
      <c r="F868" s="667"/>
      <c r="G868" s="667"/>
      <c r="H868" s="667"/>
      <c r="I868" s="667"/>
      <c r="J868" s="667"/>
      <c r="K868" s="667"/>
      <c r="L868" s="667"/>
      <c r="M868" s="667"/>
      <c r="N868" s="667"/>
      <c r="O868" s="667"/>
      <c r="P868" s="667"/>
      <c r="Q868" s="667"/>
    </row>
    <row r="869" ht="15.75" customHeight="1">
      <c r="B869" s="667"/>
      <c r="C869" s="667"/>
      <c r="D869" s="667"/>
      <c r="E869" s="668"/>
      <c r="F869" s="667"/>
      <c r="G869" s="667"/>
      <c r="H869" s="667"/>
      <c r="I869" s="667"/>
      <c r="J869" s="667"/>
      <c r="K869" s="667"/>
      <c r="L869" s="667"/>
      <c r="M869" s="667"/>
      <c r="N869" s="667"/>
      <c r="O869" s="667"/>
      <c r="P869" s="667"/>
      <c r="Q869" s="667"/>
    </row>
    <row r="870" ht="15.75" customHeight="1">
      <c r="B870" s="667"/>
      <c r="C870" s="667"/>
      <c r="D870" s="667"/>
      <c r="E870" s="668"/>
      <c r="F870" s="667"/>
      <c r="G870" s="667"/>
      <c r="H870" s="667"/>
      <c r="I870" s="667"/>
      <c r="J870" s="667"/>
      <c r="K870" s="667"/>
      <c r="L870" s="667"/>
      <c r="M870" s="667"/>
      <c r="N870" s="667"/>
      <c r="O870" s="667"/>
      <c r="P870" s="667"/>
      <c r="Q870" s="667"/>
    </row>
    <row r="871" ht="15.75" customHeight="1">
      <c r="B871" s="667"/>
      <c r="C871" s="667"/>
      <c r="D871" s="667"/>
      <c r="E871" s="668"/>
      <c r="F871" s="667"/>
      <c r="G871" s="667"/>
      <c r="H871" s="667"/>
      <c r="I871" s="667"/>
      <c r="J871" s="667"/>
      <c r="K871" s="667"/>
      <c r="L871" s="667"/>
      <c r="M871" s="667"/>
      <c r="N871" s="667"/>
      <c r="O871" s="667"/>
      <c r="P871" s="667"/>
      <c r="Q871" s="667"/>
    </row>
    <row r="872" ht="15.75" customHeight="1">
      <c r="B872" s="667"/>
      <c r="C872" s="667"/>
      <c r="D872" s="667"/>
      <c r="E872" s="668"/>
      <c r="F872" s="667"/>
      <c r="G872" s="667"/>
      <c r="H872" s="667"/>
      <c r="I872" s="667"/>
      <c r="J872" s="667"/>
      <c r="K872" s="667"/>
      <c r="L872" s="667"/>
      <c r="M872" s="667"/>
      <c r="N872" s="667"/>
      <c r="O872" s="667"/>
      <c r="P872" s="667"/>
      <c r="Q872" s="667"/>
    </row>
    <row r="873" ht="15.75" customHeight="1">
      <c r="B873" s="667"/>
      <c r="C873" s="667"/>
      <c r="D873" s="667"/>
      <c r="E873" s="668"/>
      <c r="F873" s="667"/>
      <c r="G873" s="667"/>
      <c r="H873" s="667"/>
      <c r="I873" s="667"/>
      <c r="J873" s="667"/>
      <c r="K873" s="667"/>
      <c r="L873" s="667"/>
      <c r="M873" s="667"/>
      <c r="N873" s="667"/>
      <c r="O873" s="667"/>
      <c r="P873" s="667"/>
      <c r="Q873" s="667"/>
    </row>
    <row r="874" ht="15.75" customHeight="1">
      <c r="B874" s="667"/>
      <c r="C874" s="667"/>
      <c r="D874" s="667"/>
      <c r="E874" s="668"/>
      <c r="F874" s="667"/>
      <c r="G874" s="667"/>
      <c r="H874" s="667"/>
      <c r="I874" s="667"/>
      <c r="J874" s="667"/>
      <c r="K874" s="667"/>
      <c r="L874" s="667"/>
      <c r="M874" s="667"/>
      <c r="N874" s="667"/>
      <c r="O874" s="667"/>
      <c r="P874" s="667"/>
      <c r="Q874" s="667"/>
    </row>
    <row r="875" ht="15.75" customHeight="1">
      <c r="B875" s="667"/>
      <c r="C875" s="667"/>
      <c r="D875" s="667"/>
      <c r="E875" s="668"/>
      <c r="F875" s="667"/>
      <c r="G875" s="667"/>
      <c r="H875" s="667"/>
      <c r="I875" s="667"/>
      <c r="J875" s="667"/>
      <c r="K875" s="667"/>
      <c r="L875" s="667"/>
      <c r="M875" s="667"/>
      <c r="N875" s="667"/>
      <c r="O875" s="667"/>
      <c r="P875" s="667"/>
      <c r="Q875" s="667"/>
    </row>
    <row r="876" ht="15.75" customHeight="1">
      <c r="B876" s="667"/>
      <c r="C876" s="667"/>
      <c r="D876" s="667"/>
      <c r="E876" s="668"/>
      <c r="F876" s="667"/>
      <c r="G876" s="667"/>
      <c r="H876" s="667"/>
      <c r="I876" s="667"/>
      <c r="J876" s="667"/>
      <c r="K876" s="667"/>
      <c r="L876" s="667"/>
      <c r="M876" s="667"/>
      <c r="N876" s="667"/>
      <c r="O876" s="667"/>
      <c r="P876" s="667"/>
      <c r="Q876" s="667"/>
    </row>
    <row r="877" ht="15.75" customHeight="1">
      <c r="B877" s="667"/>
      <c r="C877" s="667"/>
      <c r="D877" s="667"/>
      <c r="E877" s="668"/>
      <c r="F877" s="667"/>
      <c r="G877" s="667"/>
      <c r="H877" s="667"/>
      <c r="I877" s="667"/>
      <c r="J877" s="667"/>
      <c r="K877" s="667"/>
      <c r="L877" s="667"/>
      <c r="M877" s="667"/>
      <c r="N877" s="667"/>
      <c r="O877" s="667"/>
      <c r="P877" s="667"/>
      <c r="Q877" s="667"/>
    </row>
    <row r="878" ht="15.75" customHeight="1">
      <c r="B878" s="667"/>
      <c r="C878" s="667"/>
      <c r="D878" s="667"/>
      <c r="E878" s="668"/>
      <c r="F878" s="667"/>
      <c r="G878" s="667"/>
      <c r="H878" s="667"/>
      <c r="I878" s="667"/>
      <c r="J878" s="667"/>
      <c r="K878" s="667"/>
      <c r="L878" s="667"/>
      <c r="M878" s="667"/>
      <c r="N878" s="667"/>
      <c r="O878" s="667"/>
      <c r="P878" s="667"/>
      <c r="Q878" s="667"/>
    </row>
    <row r="879" ht="15.75" customHeight="1">
      <c r="B879" s="667"/>
      <c r="C879" s="667"/>
      <c r="D879" s="667"/>
      <c r="E879" s="668"/>
      <c r="F879" s="667"/>
      <c r="G879" s="667"/>
      <c r="H879" s="667"/>
      <c r="I879" s="667"/>
      <c r="J879" s="667"/>
      <c r="K879" s="667"/>
      <c r="L879" s="667"/>
      <c r="M879" s="667"/>
      <c r="N879" s="667"/>
      <c r="O879" s="667"/>
      <c r="P879" s="667"/>
      <c r="Q879" s="667"/>
    </row>
    <row r="880" ht="15.75" customHeight="1">
      <c r="B880" s="667"/>
      <c r="C880" s="667"/>
      <c r="D880" s="667"/>
      <c r="E880" s="668"/>
      <c r="F880" s="667"/>
      <c r="G880" s="667"/>
      <c r="H880" s="667"/>
      <c r="I880" s="667"/>
      <c r="J880" s="667"/>
      <c r="K880" s="667"/>
      <c r="L880" s="667"/>
      <c r="M880" s="667"/>
      <c r="N880" s="667"/>
      <c r="O880" s="667"/>
      <c r="P880" s="667"/>
      <c r="Q880" s="667"/>
    </row>
    <row r="881" ht="15.75" customHeight="1">
      <c r="B881" s="667"/>
      <c r="C881" s="667"/>
      <c r="D881" s="667"/>
      <c r="E881" s="668"/>
      <c r="F881" s="667"/>
      <c r="G881" s="667"/>
      <c r="H881" s="667"/>
      <c r="I881" s="667"/>
      <c r="J881" s="667"/>
      <c r="K881" s="667"/>
      <c r="L881" s="667"/>
      <c r="M881" s="667"/>
      <c r="N881" s="667"/>
      <c r="O881" s="667"/>
      <c r="P881" s="667"/>
      <c r="Q881" s="667"/>
    </row>
    <row r="882" ht="15.75" customHeight="1">
      <c r="B882" s="667"/>
      <c r="C882" s="667"/>
      <c r="D882" s="667"/>
      <c r="E882" s="668"/>
      <c r="F882" s="667"/>
      <c r="G882" s="667"/>
      <c r="H882" s="667"/>
      <c r="I882" s="667"/>
      <c r="J882" s="667"/>
      <c r="K882" s="667"/>
      <c r="L882" s="667"/>
      <c r="M882" s="667"/>
      <c r="N882" s="667"/>
      <c r="O882" s="667"/>
      <c r="P882" s="667"/>
      <c r="Q882" s="667"/>
    </row>
    <row r="883" ht="15.75" customHeight="1">
      <c r="B883" s="667"/>
      <c r="C883" s="667"/>
      <c r="D883" s="667"/>
      <c r="E883" s="668"/>
      <c r="F883" s="667"/>
      <c r="G883" s="667"/>
      <c r="H883" s="667"/>
      <c r="I883" s="667"/>
      <c r="J883" s="667"/>
      <c r="K883" s="667"/>
      <c r="L883" s="667"/>
      <c r="M883" s="667"/>
      <c r="N883" s="667"/>
      <c r="O883" s="667"/>
      <c r="P883" s="667"/>
      <c r="Q883" s="667"/>
    </row>
    <row r="884" ht="15.75" customHeight="1">
      <c r="B884" s="667"/>
      <c r="C884" s="667"/>
      <c r="D884" s="667"/>
      <c r="E884" s="668"/>
      <c r="F884" s="667"/>
      <c r="G884" s="667"/>
      <c r="H884" s="667"/>
      <c r="I884" s="667"/>
      <c r="J884" s="667"/>
      <c r="K884" s="667"/>
      <c r="L884" s="667"/>
      <c r="M884" s="667"/>
      <c r="N884" s="667"/>
      <c r="O884" s="667"/>
      <c r="P884" s="667"/>
      <c r="Q884" s="667"/>
    </row>
    <row r="885" ht="15.75" customHeight="1">
      <c r="B885" s="667"/>
      <c r="C885" s="667"/>
      <c r="D885" s="667"/>
      <c r="E885" s="668"/>
      <c r="F885" s="667"/>
      <c r="G885" s="667"/>
      <c r="H885" s="667"/>
      <c r="I885" s="667"/>
      <c r="J885" s="667"/>
      <c r="K885" s="667"/>
      <c r="L885" s="667"/>
      <c r="M885" s="667"/>
      <c r="N885" s="667"/>
      <c r="O885" s="667"/>
      <c r="P885" s="667"/>
      <c r="Q885" s="667"/>
    </row>
    <row r="886" ht="15.75" customHeight="1">
      <c r="B886" s="667"/>
      <c r="C886" s="667"/>
      <c r="D886" s="667"/>
      <c r="E886" s="668"/>
      <c r="F886" s="667"/>
      <c r="G886" s="667"/>
      <c r="H886" s="667"/>
      <c r="I886" s="667"/>
      <c r="J886" s="667"/>
      <c r="K886" s="667"/>
      <c r="L886" s="667"/>
      <c r="M886" s="667"/>
      <c r="N886" s="667"/>
      <c r="O886" s="667"/>
      <c r="P886" s="667"/>
      <c r="Q886" s="667"/>
    </row>
    <row r="887" ht="15.75" customHeight="1">
      <c r="B887" s="667"/>
      <c r="C887" s="667"/>
      <c r="D887" s="667"/>
      <c r="E887" s="668"/>
      <c r="F887" s="667"/>
      <c r="G887" s="667"/>
      <c r="H887" s="667"/>
      <c r="I887" s="667"/>
      <c r="J887" s="667"/>
      <c r="K887" s="667"/>
      <c r="L887" s="667"/>
      <c r="M887" s="667"/>
      <c r="N887" s="667"/>
      <c r="O887" s="667"/>
      <c r="P887" s="667"/>
      <c r="Q887" s="667"/>
    </row>
    <row r="888" ht="15.75" customHeight="1">
      <c r="B888" s="667"/>
      <c r="C888" s="667"/>
      <c r="D888" s="667"/>
      <c r="E888" s="668"/>
      <c r="F888" s="667"/>
      <c r="G888" s="667"/>
      <c r="H888" s="667"/>
      <c r="I888" s="667"/>
      <c r="J888" s="667"/>
      <c r="K888" s="667"/>
      <c r="L888" s="667"/>
      <c r="M888" s="667"/>
      <c r="N888" s="667"/>
      <c r="O888" s="667"/>
      <c r="P888" s="667"/>
      <c r="Q888" s="667"/>
    </row>
    <row r="889" ht="15.75" customHeight="1">
      <c r="B889" s="667"/>
      <c r="C889" s="667"/>
      <c r="D889" s="667"/>
      <c r="E889" s="668"/>
      <c r="F889" s="667"/>
      <c r="G889" s="667"/>
      <c r="H889" s="667"/>
      <c r="I889" s="667"/>
      <c r="J889" s="667"/>
      <c r="K889" s="667"/>
      <c r="L889" s="667"/>
      <c r="M889" s="667"/>
      <c r="N889" s="667"/>
      <c r="O889" s="667"/>
      <c r="P889" s="667"/>
      <c r="Q889" s="667"/>
    </row>
    <row r="890" ht="15.75" customHeight="1">
      <c r="B890" s="667"/>
      <c r="C890" s="667"/>
      <c r="D890" s="667"/>
      <c r="E890" s="668"/>
      <c r="F890" s="667"/>
      <c r="G890" s="667"/>
      <c r="H890" s="667"/>
      <c r="I890" s="667"/>
      <c r="J890" s="667"/>
      <c r="K890" s="667"/>
      <c r="L890" s="667"/>
      <c r="M890" s="667"/>
      <c r="N890" s="667"/>
      <c r="O890" s="667"/>
      <c r="P890" s="667"/>
      <c r="Q890" s="667"/>
    </row>
    <row r="891" ht="15.75" customHeight="1">
      <c r="B891" s="667"/>
      <c r="C891" s="667"/>
      <c r="D891" s="667"/>
      <c r="E891" s="668"/>
      <c r="F891" s="667"/>
      <c r="G891" s="667"/>
      <c r="H891" s="667"/>
      <c r="I891" s="667"/>
      <c r="J891" s="667"/>
      <c r="K891" s="667"/>
      <c r="L891" s="667"/>
      <c r="M891" s="667"/>
      <c r="N891" s="667"/>
      <c r="O891" s="667"/>
      <c r="P891" s="667"/>
      <c r="Q891" s="667"/>
    </row>
    <row r="892" ht="15.75" customHeight="1">
      <c r="B892" s="667"/>
      <c r="C892" s="667"/>
      <c r="D892" s="667"/>
      <c r="E892" s="668"/>
      <c r="F892" s="667"/>
      <c r="G892" s="667"/>
      <c r="H892" s="667"/>
      <c r="I892" s="667"/>
      <c r="J892" s="667"/>
      <c r="K892" s="667"/>
      <c r="L892" s="667"/>
      <c r="M892" s="667"/>
      <c r="N892" s="667"/>
      <c r="O892" s="667"/>
      <c r="P892" s="667"/>
      <c r="Q892" s="667"/>
    </row>
    <row r="893" ht="15.75" customHeight="1">
      <c r="B893" s="667"/>
      <c r="C893" s="667"/>
      <c r="D893" s="667"/>
      <c r="E893" s="668"/>
      <c r="F893" s="667"/>
      <c r="G893" s="667"/>
      <c r="H893" s="667"/>
      <c r="I893" s="667"/>
      <c r="J893" s="667"/>
      <c r="K893" s="667"/>
      <c r="L893" s="667"/>
      <c r="M893" s="667"/>
      <c r="N893" s="667"/>
      <c r="O893" s="667"/>
      <c r="P893" s="667"/>
      <c r="Q893" s="667"/>
    </row>
    <row r="894" ht="15.75" customHeight="1">
      <c r="B894" s="667"/>
      <c r="C894" s="667"/>
      <c r="D894" s="667"/>
      <c r="E894" s="668"/>
      <c r="F894" s="667"/>
      <c r="G894" s="667"/>
      <c r="H894" s="667"/>
      <c r="I894" s="667"/>
      <c r="J894" s="667"/>
      <c r="K894" s="667"/>
      <c r="L894" s="667"/>
      <c r="M894" s="667"/>
      <c r="N894" s="667"/>
      <c r="O894" s="667"/>
      <c r="P894" s="667"/>
      <c r="Q894" s="667"/>
    </row>
    <row r="895" ht="15.75" customHeight="1">
      <c r="B895" s="667"/>
      <c r="C895" s="667"/>
      <c r="D895" s="667"/>
      <c r="E895" s="668"/>
      <c r="F895" s="667"/>
      <c r="G895" s="667"/>
      <c r="H895" s="667"/>
      <c r="I895" s="667"/>
      <c r="J895" s="667"/>
      <c r="K895" s="667"/>
      <c r="L895" s="667"/>
      <c r="M895" s="667"/>
      <c r="N895" s="667"/>
      <c r="O895" s="667"/>
      <c r="P895" s="667"/>
      <c r="Q895" s="667"/>
    </row>
    <row r="896" ht="15.75" customHeight="1">
      <c r="B896" s="667"/>
      <c r="C896" s="667"/>
      <c r="D896" s="667"/>
      <c r="E896" s="668"/>
      <c r="F896" s="667"/>
      <c r="G896" s="667"/>
      <c r="H896" s="667"/>
      <c r="I896" s="667"/>
      <c r="J896" s="667"/>
      <c r="K896" s="667"/>
      <c r="L896" s="667"/>
      <c r="M896" s="667"/>
      <c r="N896" s="667"/>
      <c r="O896" s="667"/>
      <c r="P896" s="667"/>
      <c r="Q896" s="667"/>
    </row>
    <row r="897" ht="15.75" customHeight="1">
      <c r="B897" s="667"/>
      <c r="C897" s="667"/>
      <c r="D897" s="667"/>
      <c r="E897" s="668"/>
      <c r="F897" s="667"/>
      <c r="G897" s="667"/>
      <c r="H897" s="667"/>
      <c r="I897" s="667"/>
      <c r="J897" s="667"/>
      <c r="K897" s="667"/>
      <c r="L897" s="667"/>
      <c r="M897" s="667"/>
      <c r="N897" s="667"/>
      <c r="O897" s="667"/>
      <c r="P897" s="667"/>
      <c r="Q897" s="667"/>
    </row>
    <row r="898" ht="15.75" customHeight="1">
      <c r="B898" s="667"/>
      <c r="C898" s="667"/>
      <c r="D898" s="667"/>
      <c r="E898" s="668"/>
      <c r="F898" s="667"/>
      <c r="G898" s="667"/>
      <c r="H898" s="667"/>
      <c r="I898" s="667"/>
      <c r="J898" s="667"/>
      <c r="K898" s="667"/>
      <c r="L898" s="667"/>
      <c r="M898" s="667"/>
      <c r="N898" s="667"/>
      <c r="O898" s="667"/>
      <c r="P898" s="667"/>
      <c r="Q898" s="667"/>
    </row>
    <row r="899" ht="15.75" customHeight="1">
      <c r="B899" s="667"/>
      <c r="C899" s="667"/>
      <c r="D899" s="667"/>
      <c r="E899" s="668"/>
      <c r="F899" s="667"/>
      <c r="G899" s="667"/>
      <c r="H899" s="667"/>
      <c r="I899" s="667"/>
      <c r="J899" s="667"/>
      <c r="K899" s="667"/>
      <c r="L899" s="667"/>
      <c r="M899" s="667"/>
      <c r="N899" s="667"/>
      <c r="O899" s="667"/>
      <c r="P899" s="667"/>
      <c r="Q899" s="667"/>
    </row>
    <row r="900" ht="15.75" customHeight="1">
      <c r="B900" s="667"/>
      <c r="C900" s="667"/>
      <c r="D900" s="667"/>
      <c r="E900" s="668"/>
      <c r="F900" s="667"/>
      <c r="G900" s="667"/>
      <c r="H900" s="667"/>
      <c r="I900" s="667"/>
      <c r="J900" s="667"/>
      <c r="K900" s="667"/>
      <c r="L900" s="667"/>
      <c r="M900" s="667"/>
      <c r="N900" s="667"/>
      <c r="O900" s="667"/>
      <c r="P900" s="667"/>
      <c r="Q900" s="667"/>
    </row>
    <row r="901" ht="15.75" customHeight="1">
      <c r="B901" s="667"/>
      <c r="C901" s="667"/>
      <c r="D901" s="667"/>
      <c r="E901" s="668"/>
      <c r="F901" s="667"/>
      <c r="G901" s="667"/>
      <c r="H901" s="667"/>
      <c r="I901" s="667"/>
      <c r="J901" s="667"/>
      <c r="K901" s="667"/>
      <c r="L901" s="667"/>
      <c r="M901" s="667"/>
      <c r="N901" s="667"/>
      <c r="O901" s="667"/>
      <c r="P901" s="667"/>
      <c r="Q901" s="667"/>
    </row>
    <row r="902" ht="15.75" customHeight="1">
      <c r="B902" s="667"/>
      <c r="C902" s="667"/>
      <c r="D902" s="667"/>
      <c r="E902" s="668"/>
      <c r="F902" s="667"/>
      <c r="G902" s="667"/>
      <c r="H902" s="667"/>
      <c r="I902" s="667"/>
      <c r="J902" s="667"/>
      <c r="K902" s="667"/>
      <c r="L902" s="667"/>
      <c r="M902" s="667"/>
      <c r="N902" s="667"/>
      <c r="O902" s="667"/>
      <c r="P902" s="667"/>
      <c r="Q902" s="667"/>
    </row>
    <row r="903" ht="15.75" customHeight="1">
      <c r="B903" s="667"/>
      <c r="C903" s="667"/>
      <c r="D903" s="667"/>
      <c r="E903" s="668"/>
      <c r="F903" s="667"/>
      <c r="G903" s="667"/>
      <c r="H903" s="667"/>
      <c r="I903" s="667"/>
      <c r="J903" s="667"/>
      <c r="K903" s="667"/>
      <c r="L903" s="667"/>
      <c r="M903" s="667"/>
      <c r="N903" s="667"/>
      <c r="O903" s="667"/>
      <c r="P903" s="667"/>
      <c r="Q903" s="667"/>
    </row>
    <row r="904" ht="15.75" customHeight="1">
      <c r="B904" s="667"/>
      <c r="C904" s="667"/>
      <c r="D904" s="667"/>
      <c r="E904" s="668"/>
      <c r="F904" s="667"/>
      <c r="G904" s="667"/>
      <c r="H904" s="667"/>
      <c r="I904" s="667"/>
      <c r="J904" s="667"/>
      <c r="K904" s="667"/>
      <c r="L904" s="667"/>
      <c r="M904" s="667"/>
      <c r="N904" s="667"/>
      <c r="O904" s="667"/>
      <c r="P904" s="667"/>
      <c r="Q904" s="667"/>
    </row>
    <row r="905" ht="15.75" customHeight="1">
      <c r="B905" s="667"/>
      <c r="C905" s="667"/>
      <c r="D905" s="667"/>
      <c r="E905" s="668"/>
      <c r="F905" s="667"/>
      <c r="G905" s="667"/>
      <c r="H905" s="667"/>
      <c r="I905" s="667"/>
      <c r="J905" s="667"/>
      <c r="K905" s="667"/>
      <c r="L905" s="667"/>
      <c r="M905" s="667"/>
      <c r="N905" s="667"/>
      <c r="O905" s="667"/>
      <c r="P905" s="667"/>
      <c r="Q905" s="667"/>
    </row>
    <row r="906" ht="15.75" customHeight="1">
      <c r="B906" s="667"/>
      <c r="C906" s="667"/>
      <c r="D906" s="667"/>
      <c r="E906" s="668"/>
      <c r="F906" s="667"/>
      <c r="G906" s="667"/>
      <c r="H906" s="667"/>
      <c r="I906" s="667"/>
      <c r="J906" s="667"/>
      <c r="K906" s="667"/>
      <c r="L906" s="667"/>
      <c r="M906" s="667"/>
      <c r="N906" s="667"/>
      <c r="O906" s="667"/>
      <c r="P906" s="667"/>
      <c r="Q906" s="667"/>
    </row>
    <row r="907" ht="15.75" customHeight="1">
      <c r="B907" s="667"/>
      <c r="C907" s="667"/>
      <c r="D907" s="667"/>
      <c r="E907" s="668"/>
      <c r="F907" s="667"/>
      <c r="G907" s="667"/>
      <c r="H907" s="667"/>
      <c r="I907" s="667"/>
      <c r="J907" s="667"/>
      <c r="K907" s="667"/>
      <c r="L907" s="667"/>
      <c r="M907" s="667"/>
      <c r="N907" s="667"/>
      <c r="O907" s="667"/>
      <c r="P907" s="667"/>
      <c r="Q907" s="667"/>
    </row>
    <row r="908" ht="15.75" customHeight="1">
      <c r="B908" s="667"/>
      <c r="C908" s="667"/>
      <c r="D908" s="667"/>
      <c r="E908" s="668"/>
      <c r="F908" s="667"/>
      <c r="G908" s="667"/>
      <c r="H908" s="667"/>
      <c r="I908" s="667"/>
      <c r="J908" s="667"/>
      <c r="K908" s="667"/>
      <c r="L908" s="667"/>
      <c r="M908" s="667"/>
      <c r="N908" s="667"/>
      <c r="O908" s="667"/>
      <c r="P908" s="667"/>
      <c r="Q908" s="667"/>
    </row>
    <row r="909" ht="15.75" customHeight="1">
      <c r="B909" s="667"/>
      <c r="C909" s="667"/>
      <c r="D909" s="667"/>
      <c r="E909" s="668"/>
      <c r="F909" s="667"/>
      <c r="G909" s="667"/>
      <c r="H909" s="667"/>
      <c r="I909" s="667"/>
      <c r="J909" s="667"/>
      <c r="K909" s="667"/>
      <c r="L909" s="667"/>
      <c r="M909" s="667"/>
      <c r="N909" s="667"/>
      <c r="O909" s="667"/>
      <c r="P909" s="667"/>
      <c r="Q909" s="667"/>
    </row>
    <row r="910" ht="15.75" customHeight="1">
      <c r="B910" s="667"/>
      <c r="C910" s="667"/>
      <c r="D910" s="667"/>
      <c r="E910" s="668"/>
      <c r="F910" s="667"/>
      <c r="G910" s="667"/>
      <c r="H910" s="667"/>
      <c r="I910" s="667"/>
      <c r="J910" s="667"/>
      <c r="K910" s="667"/>
      <c r="L910" s="667"/>
      <c r="M910" s="667"/>
      <c r="N910" s="667"/>
      <c r="O910" s="667"/>
      <c r="P910" s="667"/>
      <c r="Q910" s="667"/>
    </row>
    <row r="911" ht="15.75" customHeight="1">
      <c r="B911" s="667"/>
      <c r="C911" s="667"/>
      <c r="D911" s="667"/>
      <c r="E911" s="668"/>
      <c r="F911" s="667"/>
      <c r="G911" s="667"/>
      <c r="H911" s="667"/>
      <c r="I911" s="667"/>
      <c r="J911" s="667"/>
      <c r="K911" s="667"/>
      <c r="L911" s="667"/>
      <c r="M911" s="667"/>
      <c r="N911" s="667"/>
      <c r="O911" s="667"/>
      <c r="P911" s="667"/>
      <c r="Q911" s="667"/>
    </row>
    <row r="912" ht="15.75" customHeight="1">
      <c r="B912" s="667"/>
      <c r="C912" s="667"/>
      <c r="D912" s="667"/>
      <c r="E912" s="668"/>
      <c r="F912" s="667"/>
      <c r="G912" s="667"/>
      <c r="H912" s="667"/>
      <c r="I912" s="667"/>
      <c r="J912" s="667"/>
      <c r="K912" s="667"/>
      <c r="L912" s="667"/>
      <c r="M912" s="667"/>
      <c r="N912" s="667"/>
      <c r="O912" s="667"/>
      <c r="P912" s="667"/>
      <c r="Q912" s="667"/>
    </row>
    <row r="913" ht="15.75" customHeight="1">
      <c r="B913" s="667"/>
      <c r="C913" s="667"/>
      <c r="D913" s="667"/>
      <c r="E913" s="668"/>
      <c r="F913" s="667"/>
      <c r="G913" s="667"/>
      <c r="H913" s="667"/>
      <c r="I913" s="667"/>
      <c r="J913" s="667"/>
      <c r="K913" s="667"/>
      <c r="L913" s="667"/>
      <c r="M913" s="667"/>
      <c r="N913" s="667"/>
      <c r="O913" s="667"/>
      <c r="P913" s="667"/>
      <c r="Q913" s="667"/>
    </row>
    <row r="914" ht="15.75" customHeight="1">
      <c r="B914" s="667"/>
      <c r="C914" s="667"/>
      <c r="D914" s="667"/>
      <c r="E914" s="668"/>
      <c r="F914" s="667"/>
      <c r="G914" s="667"/>
      <c r="H914" s="667"/>
      <c r="I914" s="667"/>
      <c r="J914" s="667"/>
      <c r="K914" s="667"/>
      <c r="L914" s="667"/>
      <c r="M914" s="667"/>
      <c r="N914" s="667"/>
      <c r="O914" s="667"/>
      <c r="P914" s="667"/>
      <c r="Q914" s="667"/>
    </row>
    <row r="915" ht="15.75" customHeight="1">
      <c r="B915" s="667"/>
      <c r="C915" s="667"/>
      <c r="D915" s="667"/>
      <c r="E915" s="668"/>
      <c r="F915" s="667"/>
      <c r="G915" s="667"/>
      <c r="H915" s="667"/>
      <c r="I915" s="667"/>
      <c r="J915" s="667"/>
      <c r="K915" s="667"/>
      <c r="L915" s="667"/>
      <c r="M915" s="667"/>
      <c r="N915" s="667"/>
      <c r="O915" s="667"/>
      <c r="P915" s="667"/>
      <c r="Q915" s="667"/>
    </row>
    <row r="916" ht="15.75" customHeight="1">
      <c r="B916" s="667"/>
      <c r="C916" s="667"/>
      <c r="D916" s="667"/>
      <c r="E916" s="668"/>
      <c r="F916" s="667"/>
      <c r="G916" s="667"/>
      <c r="H916" s="667"/>
      <c r="I916" s="667"/>
      <c r="J916" s="667"/>
      <c r="K916" s="667"/>
      <c r="L916" s="667"/>
      <c r="M916" s="667"/>
      <c r="N916" s="667"/>
      <c r="O916" s="667"/>
      <c r="P916" s="667"/>
      <c r="Q916" s="667"/>
    </row>
    <row r="917" ht="15.75" customHeight="1">
      <c r="B917" s="667"/>
      <c r="C917" s="667"/>
      <c r="D917" s="667"/>
      <c r="E917" s="668"/>
      <c r="F917" s="667"/>
      <c r="G917" s="667"/>
      <c r="H917" s="667"/>
      <c r="I917" s="667"/>
      <c r="J917" s="667"/>
      <c r="K917" s="667"/>
      <c r="L917" s="667"/>
      <c r="M917" s="667"/>
      <c r="N917" s="667"/>
      <c r="O917" s="667"/>
      <c r="P917" s="667"/>
      <c r="Q917" s="667"/>
    </row>
    <row r="918" ht="15.75" customHeight="1">
      <c r="B918" s="667"/>
      <c r="C918" s="667"/>
      <c r="D918" s="667"/>
      <c r="E918" s="668"/>
      <c r="F918" s="667"/>
      <c r="G918" s="667"/>
      <c r="H918" s="667"/>
      <c r="I918" s="667"/>
      <c r="J918" s="667"/>
      <c r="K918" s="667"/>
      <c r="L918" s="667"/>
      <c r="M918" s="667"/>
      <c r="N918" s="667"/>
      <c r="O918" s="667"/>
      <c r="P918" s="667"/>
      <c r="Q918" s="667"/>
    </row>
    <row r="919" ht="15.75" customHeight="1">
      <c r="B919" s="667"/>
      <c r="C919" s="667"/>
      <c r="D919" s="667"/>
      <c r="E919" s="668"/>
      <c r="F919" s="667"/>
      <c r="G919" s="667"/>
      <c r="H919" s="667"/>
      <c r="I919" s="667"/>
      <c r="J919" s="667"/>
      <c r="K919" s="667"/>
      <c r="L919" s="667"/>
      <c r="M919" s="667"/>
      <c r="N919" s="667"/>
      <c r="O919" s="667"/>
      <c r="P919" s="667"/>
      <c r="Q919" s="667"/>
    </row>
    <row r="920" ht="15.75" customHeight="1">
      <c r="B920" s="667"/>
      <c r="C920" s="667"/>
      <c r="D920" s="667"/>
      <c r="E920" s="668"/>
      <c r="F920" s="667"/>
      <c r="G920" s="667"/>
      <c r="H920" s="667"/>
      <c r="I920" s="667"/>
      <c r="J920" s="667"/>
      <c r="K920" s="667"/>
      <c r="L920" s="667"/>
      <c r="M920" s="667"/>
      <c r="N920" s="667"/>
      <c r="O920" s="667"/>
      <c r="P920" s="667"/>
      <c r="Q920" s="667"/>
    </row>
    <row r="921" ht="15.75" customHeight="1">
      <c r="B921" s="667"/>
      <c r="C921" s="667"/>
      <c r="D921" s="667"/>
      <c r="E921" s="668"/>
      <c r="F921" s="667"/>
      <c r="G921" s="667"/>
      <c r="H921" s="667"/>
      <c r="I921" s="667"/>
      <c r="J921" s="667"/>
      <c r="K921" s="667"/>
      <c r="L921" s="667"/>
      <c r="M921" s="667"/>
      <c r="N921" s="667"/>
      <c r="O921" s="667"/>
      <c r="P921" s="667"/>
      <c r="Q921" s="667"/>
    </row>
    <row r="922" ht="15.75" customHeight="1">
      <c r="B922" s="667"/>
      <c r="C922" s="667"/>
      <c r="D922" s="667"/>
      <c r="E922" s="668"/>
      <c r="F922" s="667"/>
      <c r="G922" s="667"/>
      <c r="H922" s="667"/>
      <c r="I922" s="667"/>
      <c r="J922" s="667"/>
      <c r="K922" s="667"/>
      <c r="L922" s="667"/>
      <c r="M922" s="667"/>
      <c r="N922" s="667"/>
      <c r="O922" s="667"/>
      <c r="P922" s="667"/>
      <c r="Q922" s="667"/>
    </row>
    <row r="923" ht="15.75" customHeight="1">
      <c r="B923" s="667"/>
      <c r="C923" s="667"/>
      <c r="D923" s="667"/>
      <c r="E923" s="668"/>
      <c r="F923" s="667"/>
      <c r="G923" s="667"/>
      <c r="H923" s="667"/>
      <c r="I923" s="667"/>
      <c r="J923" s="667"/>
      <c r="K923" s="667"/>
      <c r="L923" s="667"/>
      <c r="M923" s="667"/>
      <c r="N923" s="667"/>
      <c r="O923" s="667"/>
      <c r="P923" s="667"/>
      <c r="Q923" s="667"/>
    </row>
    <row r="924" ht="15.75" customHeight="1">
      <c r="B924" s="667"/>
      <c r="C924" s="667"/>
      <c r="D924" s="667"/>
      <c r="E924" s="668"/>
      <c r="F924" s="667"/>
      <c r="G924" s="667"/>
      <c r="H924" s="667"/>
      <c r="I924" s="667"/>
      <c r="J924" s="667"/>
      <c r="K924" s="667"/>
      <c r="L924" s="667"/>
      <c r="M924" s="667"/>
      <c r="N924" s="667"/>
      <c r="O924" s="667"/>
      <c r="P924" s="667"/>
      <c r="Q924" s="667"/>
    </row>
    <row r="925" ht="15.75" customHeight="1">
      <c r="B925" s="667"/>
      <c r="C925" s="667"/>
      <c r="D925" s="667"/>
      <c r="E925" s="668"/>
      <c r="F925" s="667"/>
      <c r="G925" s="667"/>
      <c r="H925" s="667"/>
      <c r="I925" s="667"/>
      <c r="J925" s="667"/>
      <c r="K925" s="667"/>
      <c r="L925" s="667"/>
      <c r="M925" s="667"/>
      <c r="N925" s="667"/>
      <c r="O925" s="667"/>
      <c r="P925" s="667"/>
      <c r="Q925" s="667"/>
    </row>
    <row r="926" ht="15.75" customHeight="1">
      <c r="B926" s="667"/>
      <c r="C926" s="667"/>
      <c r="D926" s="667"/>
      <c r="E926" s="668"/>
      <c r="F926" s="667"/>
      <c r="G926" s="667"/>
      <c r="H926" s="667"/>
      <c r="I926" s="667"/>
      <c r="J926" s="667"/>
      <c r="K926" s="667"/>
      <c r="L926" s="667"/>
      <c r="M926" s="667"/>
      <c r="N926" s="667"/>
      <c r="O926" s="667"/>
      <c r="P926" s="667"/>
      <c r="Q926" s="667"/>
    </row>
    <row r="927" ht="15.75" customHeight="1">
      <c r="B927" s="667"/>
      <c r="C927" s="667"/>
      <c r="D927" s="667"/>
      <c r="E927" s="668"/>
      <c r="F927" s="667"/>
      <c r="G927" s="667"/>
      <c r="H927" s="667"/>
      <c r="I927" s="667"/>
      <c r="J927" s="667"/>
      <c r="K927" s="667"/>
      <c r="L927" s="667"/>
      <c r="M927" s="667"/>
      <c r="N927" s="667"/>
      <c r="O927" s="667"/>
      <c r="P927" s="667"/>
      <c r="Q927" s="667"/>
    </row>
    <row r="928" ht="15.75" customHeight="1">
      <c r="B928" s="667"/>
      <c r="C928" s="667"/>
      <c r="D928" s="667"/>
      <c r="E928" s="668"/>
      <c r="F928" s="667"/>
      <c r="G928" s="667"/>
      <c r="H928" s="667"/>
      <c r="I928" s="667"/>
      <c r="J928" s="667"/>
      <c r="K928" s="667"/>
      <c r="L928" s="667"/>
      <c r="M928" s="667"/>
      <c r="N928" s="667"/>
      <c r="O928" s="667"/>
      <c r="P928" s="667"/>
      <c r="Q928" s="667"/>
    </row>
    <row r="929" ht="15.75" customHeight="1">
      <c r="B929" s="667"/>
      <c r="C929" s="667"/>
      <c r="D929" s="667"/>
      <c r="E929" s="668"/>
      <c r="F929" s="667"/>
      <c r="G929" s="667"/>
      <c r="H929" s="667"/>
      <c r="I929" s="667"/>
      <c r="J929" s="667"/>
      <c r="K929" s="667"/>
      <c r="L929" s="667"/>
      <c r="M929" s="667"/>
      <c r="N929" s="667"/>
      <c r="O929" s="667"/>
      <c r="P929" s="667"/>
      <c r="Q929" s="667"/>
    </row>
    <row r="930" ht="15.75" customHeight="1">
      <c r="B930" s="667"/>
      <c r="C930" s="667"/>
      <c r="D930" s="667"/>
      <c r="E930" s="668"/>
      <c r="F930" s="667"/>
      <c r="G930" s="667"/>
      <c r="H930" s="667"/>
      <c r="I930" s="667"/>
      <c r="J930" s="667"/>
      <c r="K930" s="667"/>
      <c r="L930" s="667"/>
      <c r="M930" s="667"/>
      <c r="N930" s="667"/>
      <c r="O930" s="667"/>
      <c r="P930" s="667"/>
      <c r="Q930" s="667"/>
    </row>
    <row r="931" ht="15.75" customHeight="1">
      <c r="B931" s="667"/>
      <c r="C931" s="667"/>
      <c r="D931" s="667"/>
      <c r="E931" s="668"/>
      <c r="F931" s="667"/>
      <c r="G931" s="667"/>
      <c r="H931" s="667"/>
      <c r="I931" s="667"/>
      <c r="J931" s="667"/>
      <c r="K931" s="667"/>
      <c r="L931" s="667"/>
      <c r="M931" s="667"/>
      <c r="N931" s="667"/>
      <c r="O931" s="667"/>
      <c r="P931" s="667"/>
      <c r="Q931" s="667"/>
    </row>
    <row r="932" ht="15.75" customHeight="1">
      <c r="B932" s="667"/>
      <c r="C932" s="667"/>
      <c r="D932" s="667"/>
      <c r="E932" s="668"/>
      <c r="F932" s="667"/>
      <c r="G932" s="667"/>
      <c r="H932" s="667"/>
      <c r="I932" s="667"/>
      <c r="J932" s="667"/>
      <c r="K932" s="667"/>
      <c r="L932" s="667"/>
      <c r="M932" s="667"/>
      <c r="N932" s="667"/>
      <c r="O932" s="667"/>
      <c r="P932" s="667"/>
      <c r="Q932" s="667"/>
    </row>
    <row r="933" ht="15.75" customHeight="1">
      <c r="B933" s="667"/>
      <c r="C933" s="667"/>
      <c r="D933" s="667"/>
      <c r="E933" s="668"/>
      <c r="F933" s="667"/>
      <c r="G933" s="667"/>
      <c r="H933" s="667"/>
      <c r="I933" s="667"/>
      <c r="J933" s="667"/>
      <c r="K933" s="667"/>
      <c r="L933" s="667"/>
      <c r="M933" s="667"/>
      <c r="N933" s="667"/>
      <c r="O933" s="667"/>
      <c r="P933" s="667"/>
      <c r="Q933" s="667"/>
    </row>
    <row r="934" ht="15.75" customHeight="1">
      <c r="B934" s="667"/>
      <c r="C934" s="667"/>
      <c r="D934" s="667"/>
      <c r="E934" s="668"/>
      <c r="F934" s="667"/>
      <c r="G934" s="667"/>
      <c r="H934" s="667"/>
      <c r="I934" s="667"/>
      <c r="J934" s="667"/>
      <c r="K934" s="667"/>
      <c r="L934" s="667"/>
      <c r="M934" s="667"/>
      <c r="N934" s="667"/>
      <c r="O934" s="667"/>
      <c r="P934" s="667"/>
      <c r="Q934" s="667"/>
    </row>
    <row r="935" ht="15.75" customHeight="1">
      <c r="B935" s="667"/>
      <c r="C935" s="667"/>
      <c r="D935" s="667"/>
      <c r="E935" s="668"/>
      <c r="F935" s="667"/>
      <c r="G935" s="667"/>
      <c r="H935" s="667"/>
      <c r="I935" s="667"/>
      <c r="J935" s="667"/>
      <c r="K935" s="667"/>
      <c r="L935" s="667"/>
      <c r="M935" s="667"/>
      <c r="N935" s="667"/>
      <c r="O935" s="667"/>
      <c r="P935" s="667"/>
      <c r="Q935" s="667"/>
    </row>
    <row r="936" ht="15.75" customHeight="1">
      <c r="B936" s="667"/>
      <c r="C936" s="667"/>
      <c r="D936" s="667"/>
      <c r="E936" s="668"/>
      <c r="F936" s="667"/>
      <c r="G936" s="667"/>
      <c r="H936" s="667"/>
      <c r="I936" s="667"/>
      <c r="J936" s="667"/>
      <c r="K936" s="667"/>
      <c r="L936" s="667"/>
      <c r="M936" s="667"/>
      <c r="N936" s="667"/>
      <c r="O936" s="667"/>
      <c r="P936" s="667"/>
      <c r="Q936" s="667"/>
    </row>
    <row r="937" ht="15.75" customHeight="1">
      <c r="B937" s="667"/>
      <c r="C937" s="667"/>
      <c r="D937" s="667"/>
      <c r="E937" s="668"/>
      <c r="F937" s="667"/>
      <c r="G937" s="667"/>
      <c r="H937" s="667"/>
      <c r="I937" s="667"/>
      <c r="J937" s="667"/>
      <c r="K937" s="667"/>
      <c r="L937" s="667"/>
      <c r="M937" s="667"/>
      <c r="N937" s="667"/>
      <c r="O937" s="667"/>
      <c r="P937" s="667"/>
      <c r="Q937" s="667"/>
    </row>
    <row r="938" ht="15.75" customHeight="1">
      <c r="B938" s="667"/>
      <c r="C938" s="667"/>
      <c r="D938" s="667"/>
      <c r="E938" s="668"/>
      <c r="F938" s="667"/>
      <c r="G938" s="667"/>
      <c r="H938" s="667"/>
      <c r="I938" s="667"/>
      <c r="J938" s="667"/>
      <c r="K938" s="667"/>
      <c r="L938" s="667"/>
      <c r="M938" s="667"/>
      <c r="N938" s="667"/>
      <c r="O938" s="667"/>
      <c r="P938" s="667"/>
      <c r="Q938" s="667"/>
    </row>
    <row r="939" ht="15.75" customHeight="1">
      <c r="B939" s="667"/>
      <c r="C939" s="667"/>
      <c r="D939" s="667"/>
      <c r="E939" s="668"/>
      <c r="F939" s="667"/>
      <c r="G939" s="667"/>
      <c r="H939" s="667"/>
      <c r="I939" s="667"/>
      <c r="J939" s="667"/>
      <c r="K939" s="667"/>
      <c r="L939" s="667"/>
      <c r="M939" s="667"/>
      <c r="N939" s="667"/>
      <c r="O939" s="667"/>
      <c r="P939" s="667"/>
      <c r="Q939" s="667"/>
    </row>
    <row r="940" ht="15.75" customHeight="1">
      <c r="B940" s="667"/>
      <c r="C940" s="667"/>
      <c r="D940" s="667"/>
      <c r="E940" s="668"/>
      <c r="F940" s="667"/>
      <c r="G940" s="667"/>
      <c r="H940" s="667"/>
      <c r="I940" s="667"/>
      <c r="J940" s="667"/>
      <c r="K940" s="667"/>
      <c r="L940" s="667"/>
      <c r="M940" s="667"/>
      <c r="N940" s="667"/>
      <c r="O940" s="667"/>
      <c r="P940" s="667"/>
      <c r="Q940" s="667"/>
    </row>
    <row r="941" ht="15.75" customHeight="1">
      <c r="B941" s="667"/>
      <c r="C941" s="667"/>
      <c r="D941" s="667"/>
      <c r="E941" s="668"/>
      <c r="F941" s="667"/>
      <c r="G941" s="667"/>
      <c r="H941" s="667"/>
      <c r="I941" s="667"/>
      <c r="J941" s="667"/>
      <c r="K941" s="667"/>
      <c r="L941" s="667"/>
      <c r="M941" s="667"/>
      <c r="N941" s="667"/>
      <c r="O941" s="667"/>
      <c r="P941" s="667"/>
      <c r="Q941" s="667"/>
    </row>
    <row r="942" ht="15.75" customHeight="1">
      <c r="B942" s="667"/>
      <c r="C942" s="667"/>
      <c r="D942" s="667"/>
      <c r="E942" s="668"/>
      <c r="F942" s="667"/>
      <c r="G942" s="667"/>
      <c r="H942" s="667"/>
      <c r="I942" s="667"/>
      <c r="J942" s="667"/>
      <c r="K942" s="667"/>
      <c r="L942" s="667"/>
      <c r="M942" s="667"/>
      <c r="N942" s="667"/>
      <c r="O942" s="667"/>
      <c r="P942" s="667"/>
      <c r="Q942" s="667"/>
    </row>
    <row r="943" ht="15.75" customHeight="1">
      <c r="B943" s="667"/>
      <c r="C943" s="667"/>
      <c r="D943" s="667"/>
      <c r="E943" s="668"/>
      <c r="F943" s="667"/>
      <c r="G943" s="667"/>
      <c r="H943" s="667"/>
      <c r="I943" s="667"/>
      <c r="J943" s="667"/>
      <c r="K943" s="667"/>
      <c r="L943" s="667"/>
      <c r="M943" s="667"/>
      <c r="N943" s="667"/>
      <c r="O943" s="667"/>
      <c r="P943" s="667"/>
      <c r="Q943" s="667"/>
    </row>
    <row r="944" ht="15.75" customHeight="1">
      <c r="B944" s="667"/>
      <c r="C944" s="667"/>
      <c r="D944" s="667"/>
      <c r="E944" s="668"/>
      <c r="F944" s="667"/>
      <c r="G944" s="667"/>
      <c r="H944" s="667"/>
      <c r="I944" s="667"/>
      <c r="J944" s="667"/>
      <c r="K944" s="667"/>
      <c r="L944" s="667"/>
      <c r="M944" s="667"/>
      <c r="N944" s="667"/>
      <c r="O944" s="667"/>
      <c r="P944" s="667"/>
      <c r="Q944" s="667"/>
    </row>
    <row r="945" ht="15.75" customHeight="1">
      <c r="B945" s="667"/>
      <c r="C945" s="667"/>
      <c r="D945" s="667"/>
      <c r="E945" s="668"/>
      <c r="F945" s="667"/>
      <c r="G945" s="667"/>
      <c r="H945" s="667"/>
      <c r="I945" s="667"/>
      <c r="J945" s="667"/>
      <c r="K945" s="667"/>
      <c r="L945" s="667"/>
      <c r="M945" s="667"/>
      <c r="N945" s="667"/>
      <c r="O945" s="667"/>
      <c r="P945" s="667"/>
      <c r="Q945" s="667"/>
    </row>
    <row r="946" ht="15.75" customHeight="1">
      <c r="B946" s="667"/>
      <c r="C946" s="667"/>
      <c r="D946" s="667"/>
      <c r="E946" s="668"/>
      <c r="F946" s="667"/>
      <c r="G946" s="667"/>
      <c r="H946" s="667"/>
      <c r="I946" s="667"/>
      <c r="J946" s="667"/>
      <c r="K946" s="667"/>
      <c r="L946" s="667"/>
      <c r="M946" s="667"/>
      <c r="N946" s="667"/>
      <c r="O946" s="667"/>
      <c r="P946" s="667"/>
      <c r="Q946" s="667"/>
    </row>
    <row r="947" ht="15.75" customHeight="1">
      <c r="B947" s="667"/>
      <c r="C947" s="667"/>
      <c r="D947" s="667"/>
      <c r="E947" s="668"/>
      <c r="F947" s="667"/>
      <c r="G947" s="667"/>
      <c r="H947" s="667"/>
      <c r="I947" s="667"/>
      <c r="J947" s="667"/>
      <c r="K947" s="667"/>
      <c r="L947" s="667"/>
      <c r="M947" s="667"/>
      <c r="N947" s="667"/>
      <c r="O947" s="667"/>
      <c r="P947" s="667"/>
      <c r="Q947" s="667"/>
    </row>
    <row r="948" ht="15.75" customHeight="1">
      <c r="B948" s="667"/>
      <c r="C948" s="667"/>
      <c r="D948" s="667"/>
      <c r="E948" s="668"/>
      <c r="F948" s="667"/>
      <c r="G948" s="667"/>
      <c r="H948" s="667"/>
      <c r="I948" s="667"/>
      <c r="J948" s="667"/>
      <c r="K948" s="667"/>
      <c r="L948" s="667"/>
      <c r="M948" s="667"/>
      <c r="N948" s="667"/>
      <c r="O948" s="667"/>
      <c r="P948" s="667"/>
      <c r="Q948" s="667"/>
    </row>
    <row r="949" ht="15.75" customHeight="1">
      <c r="B949" s="667"/>
      <c r="C949" s="667"/>
      <c r="D949" s="667"/>
      <c r="E949" s="668"/>
      <c r="F949" s="667"/>
      <c r="G949" s="667"/>
      <c r="H949" s="667"/>
      <c r="I949" s="667"/>
      <c r="J949" s="667"/>
      <c r="K949" s="667"/>
      <c r="L949" s="667"/>
      <c r="M949" s="667"/>
      <c r="N949" s="667"/>
      <c r="O949" s="667"/>
      <c r="P949" s="667"/>
      <c r="Q949" s="667"/>
    </row>
    <row r="950" ht="15.75" customHeight="1">
      <c r="B950" s="667"/>
      <c r="C950" s="667"/>
      <c r="D950" s="667"/>
      <c r="E950" s="668"/>
      <c r="F950" s="667"/>
      <c r="G950" s="667"/>
      <c r="H950" s="667"/>
      <c r="I950" s="667"/>
      <c r="J950" s="667"/>
      <c r="K950" s="667"/>
      <c r="L950" s="667"/>
      <c r="M950" s="667"/>
      <c r="N950" s="667"/>
      <c r="O950" s="667"/>
      <c r="P950" s="667"/>
      <c r="Q950" s="667"/>
    </row>
    <row r="951" ht="15.75" customHeight="1">
      <c r="B951" s="667"/>
      <c r="C951" s="667"/>
      <c r="D951" s="667"/>
      <c r="E951" s="668"/>
      <c r="F951" s="667"/>
      <c r="G951" s="667"/>
      <c r="H951" s="667"/>
      <c r="I951" s="667"/>
      <c r="J951" s="667"/>
      <c r="K951" s="667"/>
      <c r="L951" s="667"/>
      <c r="M951" s="667"/>
      <c r="N951" s="667"/>
      <c r="O951" s="667"/>
      <c r="P951" s="667"/>
      <c r="Q951" s="667"/>
    </row>
    <row r="952" ht="15.75" customHeight="1">
      <c r="B952" s="667"/>
      <c r="C952" s="667"/>
      <c r="D952" s="667"/>
      <c r="E952" s="668"/>
      <c r="F952" s="667"/>
      <c r="G952" s="667"/>
      <c r="H952" s="667"/>
      <c r="I952" s="667"/>
      <c r="J952" s="667"/>
      <c r="K952" s="667"/>
      <c r="L952" s="667"/>
      <c r="M952" s="667"/>
      <c r="N952" s="667"/>
      <c r="O952" s="667"/>
      <c r="P952" s="667"/>
      <c r="Q952" s="667"/>
    </row>
    <row r="953" ht="15.75" customHeight="1">
      <c r="B953" s="667"/>
      <c r="C953" s="667"/>
      <c r="D953" s="667"/>
      <c r="E953" s="668"/>
      <c r="F953" s="667"/>
      <c r="G953" s="667"/>
      <c r="H953" s="667"/>
      <c r="I953" s="667"/>
      <c r="J953" s="667"/>
      <c r="K953" s="667"/>
      <c r="L953" s="667"/>
      <c r="M953" s="667"/>
      <c r="N953" s="667"/>
      <c r="O953" s="667"/>
      <c r="P953" s="667"/>
      <c r="Q953" s="667"/>
    </row>
    <row r="954" ht="15.75" customHeight="1">
      <c r="B954" s="667"/>
      <c r="C954" s="667"/>
      <c r="D954" s="667"/>
      <c r="E954" s="668"/>
      <c r="F954" s="667"/>
      <c r="G954" s="667"/>
      <c r="H954" s="667"/>
      <c r="I954" s="667"/>
      <c r="J954" s="667"/>
      <c r="K954" s="667"/>
      <c r="L954" s="667"/>
      <c r="M954" s="667"/>
      <c r="N954" s="667"/>
      <c r="O954" s="667"/>
      <c r="P954" s="667"/>
      <c r="Q954" s="667"/>
    </row>
    <row r="955" ht="15.75" customHeight="1">
      <c r="B955" s="667"/>
      <c r="C955" s="667"/>
      <c r="D955" s="667"/>
      <c r="E955" s="668"/>
      <c r="F955" s="667"/>
      <c r="G955" s="667"/>
      <c r="H955" s="667"/>
      <c r="I955" s="667"/>
      <c r="J955" s="667"/>
      <c r="K955" s="667"/>
      <c r="L955" s="667"/>
      <c r="M955" s="667"/>
      <c r="N955" s="667"/>
      <c r="O955" s="667"/>
      <c r="P955" s="667"/>
      <c r="Q955" s="667"/>
    </row>
    <row r="956" ht="15.75" customHeight="1">
      <c r="B956" s="667"/>
      <c r="C956" s="667"/>
      <c r="D956" s="667"/>
      <c r="E956" s="668"/>
      <c r="F956" s="667"/>
      <c r="G956" s="667"/>
      <c r="H956" s="667"/>
      <c r="I956" s="667"/>
      <c r="J956" s="667"/>
      <c r="K956" s="667"/>
      <c r="L956" s="667"/>
      <c r="M956" s="667"/>
      <c r="N956" s="667"/>
      <c r="O956" s="667"/>
      <c r="P956" s="667"/>
      <c r="Q956" s="667"/>
    </row>
    <row r="957" ht="15.75" customHeight="1">
      <c r="B957" s="667"/>
      <c r="C957" s="667"/>
      <c r="D957" s="667"/>
      <c r="E957" s="668"/>
      <c r="F957" s="667"/>
      <c r="G957" s="667"/>
      <c r="H957" s="667"/>
      <c r="I957" s="667"/>
      <c r="J957" s="667"/>
      <c r="K957" s="667"/>
      <c r="L957" s="667"/>
      <c r="M957" s="667"/>
      <c r="N957" s="667"/>
      <c r="O957" s="667"/>
      <c r="P957" s="667"/>
      <c r="Q957" s="667"/>
    </row>
    <row r="958" ht="15.75" customHeight="1">
      <c r="B958" s="667"/>
      <c r="C958" s="667"/>
      <c r="D958" s="667"/>
      <c r="E958" s="668"/>
      <c r="F958" s="667"/>
      <c r="G958" s="667"/>
      <c r="H958" s="667"/>
      <c r="I958" s="667"/>
      <c r="J958" s="667"/>
      <c r="K958" s="667"/>
      <c r="L958" s="667"/>
      <c r="M958" s="667"/>
      <c r="N958" s="667"/>
      <c r="O958" s="667"/>
      <c r="P958" s="667"/>
      <c r="Q958" s="667"/>
    </row>
    <row r="959" ht="15.75" customHeight="1">
      <c r="B959" s="667"/>
      <c r="C959" s="667"/>
      <c r="D959" s="667"/>
      <c r="E959" s="668"/>
      <c r="F959" s="667"/>
      <c r="G959" s="667"/>
      <c r="H959" s="667"/>
      <c r="I959" s="667"/>
      <c r="J959" s="667"/>
      <c r="K959" s="667"/>
      <c r="L959" s="667"/>
      <c r="M959" s="667"/>
      <c r="N959" s="667"/>
      <c r="O959" s="667"/>
      <c r="P959" s="667"/>
      <c r="Q959" s="667"/>
    </row>
    <row r="960" ht="15.75" customHeight="1">
      <c r="B960" s="667"/>
      <c r="C960" s="667"/>
      <c r="D960" s="667"/>
      <c r="E960" s="668"/>
      <c r="F960" s="667"/>
      <c r="G960" s="667"/>
      <c r="H960" s="667"/>
      <c r="I960" s="667"/>
      <c r="J960" s="667"/>
      <c r="K960" s="667"/>
      <c r="L960" s="667"/>
      <c r="M960" s="667"/>
      <c r="N960" s="667"/>
      <c r="O960" s="667"/>
      <c r="P960" s="667"/>
      <c r="Q960" s="667"/>
    </row>
    <row r="961" ht="15.75" customHeight="1">
      <c r="B961" s="667"/>
      <c r="C961" s="667"/>
      <c r="D961" s="667"/>
      <c r="E961" s="668"/>
      <c r="F961" s="667"/>
      <c r="G961" s="667"/>
      <c r="H961" s="667"/>
      <c r="I961" s="667"/>
      <c r="J961" s="667"/>
      <c r="K961" s="667"/>
      <c r="L961" s="667"/>
      <c r="M961" s="667"/>
      <c r="N961" s="667"/>
      <c r="O961" s="667"/>
      <c r="P961" s="667"/>
      <c r="Q961" s="667"/>
    </row>
    <row r="962" ht="15.75" customHeight="1">
      <c r="B962" s="667"/>
      <c r="C962" s="667"/>
      <c r="D962" s="667"/>
      <c r="E962" s="668"/>
      <c r="F962" s="667"/>
      <c r="G962" s="667"/>
      <c r="H962" s="667"/>
      <c r="I962" s="667"/>
      <c r="J962" s="667"/>
      <c r="K962" s="667"/>
      <c r="L962" s="667"/>
      <c r="M962" s="667"/>
      <c r="N962" s="667"/>
      <c r="O962" s="667"/>
      <c r="P962" s="667"/>
      <c r="Q962" s="667"/>
    </row>
    <row r="963" ht="15.75" customHeight="1">
      <c r="B963" s="667"/>
      <c r="C963" s="667"/>
      <c r="D963" s="667"/>
      <c r="E963" s="668"/>
      <c r="F963" s="667"/>
      <c r="G963" s="667"/>
      <c r="H963" s="667"/>
      <c r="I963" s="667"/>
      <c r="J963" s="667"/>
      <c r="K963" s="667"/>
      <c r="L963" s="667"/>
      <c r="M963" s="667"/>
      <c r="N963" s="667"/>
      <c r="O963" s="667"/>
      <c r="P963" s="667"/>
      <c r="Q963" s="667"/>
    </row>
    <row r="964" ht="15.75" customHeight="1">
      <c r="B964" s="667"/>
      <c r="C964" s="667"/>
      <c r="D964" s="667"/>
      <c r="E964" s="668"/>
      <c r="F964" s="667"/>
      <c r="G964" s="667"/>
      <c r="H964" s="667"/>
      <c r="I964" s="667"/>
      <c r="J964" s="667"/>
      <c r="K964" s="667"/>
      <c r="L964" s="667"/>
      <c r="M964" s="667"/>
      <c r="N964" s="667"/>
      <c r="O964" s="667"/>
      <c r="P964" s="667"/>
      <c r="Q964" s="667"/>
    </row>
    <row r="965" ht="15.75" customHeight="1">
      <c r="B965" s="667"/>
      <c r="C965" s="667"/>
      <c r="D965" s="667"/>
      <c r="E965" s="668"/>
      <c r="F965" s="667"/>
      <c r="G965" s="667"/>
      <c r="H965" s="667"/>
      <c r="I965" s="667"/>
      <c r="J965" s="667"/>
      <c r="K965" s="667"/>
      <c r="L965" s="667"/>
      <c r="M965" s="667"/>
      <c r="N965" s="667"/>
      <c r="O965" s="667"/>
      <c r="P965" s="667"/>
      <c r="Q965" s="667"/>
    </row>
    <row r="966" ht="15.75" customHeight="1">
      <c r="B966" s="667"/>
      <c r="C966" s="667"/>
      <c r="D966" s="667"/>
      <c r="E966" s="668"/>
      <c r="F966" s="667"/>
      <c r="G966" s="667"/>
      <c r="H966" s="667"/>
      <c r="I966" s="667"/>
      <c r="J966" s="667"/>
      <c r="K966" s="667"/>
      <c r="L966" s="667"/>
      <c r="M966" s="667"/>
      <c r="N966" s="667"/>
      <c r="O966" s="667"/>
      <c r="P966" s="667"/>
      <c r="Q966" s="667"/>
    </row>
    <row r="967" ht="15.75" customHeight="1">
      <c r="B967" s="667"/>
      <c r="C967" s="667"/>
      <c r="D967" s="667"/>
      <c r="E967" s="668"/>
      <c r="F967" s="667"/>
      <c r="G967" s="667"/>
      <c r="H967" s="667"/>
      <c r="I967" s="667"/>
      <c r="J967" s="667"/>
      <c r="K967" s="667"/>
      <c r="L967" s="667"/>
      <c r="M967" s="667"/>
      <c r="N967" s="667"/>
      <c r="O967" s="667"/>
      <c r="P967" s="667"/>
      <c r="Q967" s="667"/>
    </row>
    <row r="968" ht="15.75" customHeight="1">
      <c r="B968" s="667"/>
      <c r="C968" s="667"/>
      <c r="D968" s="667"/>
      <c r="E968" s="668"/>
      <c r="F968" s="667"/>
      <c r="G968" s="667"/>
      <c r="H968" s="667"/>
      <c r="I968" s="667"/>
      <c r="J968" s="667"/>
      <c r="K968" s="667"/>
      <c r="L968" s="667"/>
      <c r="M968" s="667"/>
      <c r="N968" s="667"/>
      <c r="O968" s="667"/>
      <c r="P968" s="667"/>
      <c r="Q968" s="667"/>
    </row>
    <row r="969" ht="15.75" customHeight="1">
      <c r="B969" s="667"/>
      <c r="C969" s="667"/>
      <c r="D969" s="667"/>
      <c r="E969" s="668"/>
      <c r="F969" s="667"/>
      <c r="G969" s="667"/>
      <c r="H969" s="667"/>
      <c r="I969" s="667"/>
      <c r="J969" s="667"/>
      <c r="K969" s="667"/>
      <c r="L969" s="667"/>
      <c r="M969" s="667"/>
      <c r="N969" s="667"/>
      <c r="O969" s="667"/>
      <c r="P969" s="667"/>
      <c r="Q969" s="667"/>
    </row>
    <row r="970" ht="15.75" customHeight="1">
      <c r="B970" s="667"/>
      <c r="C970" s="667"/>
      <c r="D970" s="667"/>
      <c r="E970" s="668"/>
      <c r="F970" s="667"/>
      <c r="G970" s="667"/>
      <c r="H970" s="667"/>
      <c r="I970" s="667"/>
      <c r="J970" s="667"/>
      <c r="K970" s="667"/>
      <c r="L970" s="667"/>
      <c r="M970" s="667"/>
      <c r="N970" s="667"/>
      <c r="O970" s="667"/>
      <c r="P970" s="667"/>
      <c r="Q970" s="667"/>
    </row>
    <row r="971" ht="15.75" customHeight="1">
      <c r="B971" s="667"/>
      <c r="C971" s="667"/>
      <c r="D971" s="667"/>
      <c r="E971" s="668"/>
      <c r="F971" s="667"/>
      <c r="G971" s="667"/>
      <c r="H971" s="667"/>
      <c r="I971" s="667"/>
      <c r="J971" s="667"/>
      <c r="K971" s="667"/>
      <c r="L971" s="667"/>
      <c r="M971" s="667"/>
      <c r="N971" s="667"/>
      <c r="O971" s="667"/>
      <c r="P971" s="667"/>
      <c r="Q971" s="667"/>
    </row>
    <row r="972" ht="15.75" customHeight="1">
      <c r="B972" s="667"/>
      <c r="C972" s="667"/>
      <c r="D972" s="667"/>
      <c r="E972" s="668"/>
      <c r="F972" s="667"/>
      <c r="G972" s="667"/>
      <c r="H972" s="667"/>
      <c r="I972" s="667"/>
      <c r="J972" s="667"/>
      <c r="K972" s="667"/>
      <c r="L972" s="667"/>
      <c r="M972" s="667"/>
      <c r="N972" s="667"/>
      <c r="O972" s="667"/>
      <c r="P972" s="667"/>
      <c r="Q972" s="667"/>
    </row>
    <row r="973" ht="15.75" customHeight="1">
      <c r="B973" s="667"/>
      <c r="C973" s="667"/>
      <c r="D973" s="667"/>
      <c r="E973" s="668"/>
      <c r="F973" s="667"/>
      <c r="G973" s="667"/>
      <c r="H973" s="667"/>
      <c r="I973" s="667"/>
      <c r="J973" s="667"/>
      <c r="K973" s="667"/>
      <c r="L973" s="667"/>
      <c r="M973" s="667"/>
      <c r="N973" s="667"/>
      <c r="O973" s="667"/>
      <c r="P973" s="667"/>
      <c r="Q973" s="667"/>
    </row>
    <row r="974" ht="15.75" customHeight="1">
      <c r="B974" s="667"/>
      <c r="C974" s="667"/>
      <c r="D974" s="667"/>
      <c r="E974" s="668"/>
      <c r="F974" s="667"/>
      <c r="G974" s="667"/>
      <c r="H974" s="667"/>
      <c r="I974" s="667"/>
      <c r="J974" s="667"/>
      <c r="K974" s="667"/>
      <c r="L974" s="667"/>
      <c r="M974" s="667"/>
      <c r="N974" s="667"/>
      <c r="O974" s="667"/>
      <c r="P974" s="667"/>
      <c r="Q974" s="667"/>
    </row>
    <row r="975" ht="15.75" customHeight="1">
      <c r="B975" s="667"/>
      <c r="C975" s="667"/>
      <c r="D975" s="667"/>
      <c r="E975" s="668"/>
      <c r="F975" s="667"/>
      <c r="G975" s="667"/>
      <c r="H975" s="667"/>
      <c r="I975" s="667"/>
      <c r="J975" s="667"/>
      <c r="K975" s="667"/>
      <c r="L975" s="667"/>
      <c r="M975" s="667"/>
      <c r="N975" s="667"/>
      <c r="O975" s="667"/>
      <c r="P975" s="667"/>
      <c r="Q975" s="667"/>
    </row>
    <row r="976" ht="15.75" customHeight="1">
      <c r="B976" s="667"/>
      <c r="C976" s="667"/>
      <c r="D976" s="667"/>
      <c r="E976" s="668"/>
      <c r="F976" s="667"/>
      <c r="G976" s="667"/>
      <c r="H976" s="667"/>
      <c r="I976" s="667"/>
      <c r="J976" s="667"/>
      <c r="K976" s="667"/>
      <c r="L976" s="667"/>
      <c r="M976" s="667"/>
      <c r="N976" s="667"/>
      <c r="O976" s="667"/>
      <c r="P976" s="667"/>
      <c r="Q976" s="667"/>
    </row>
    <row r="977" ht="15.75" customHeight="1">
      <c r="B977" s="667"/>
      <c r="C977" s="667"/>
      <c r="D977" s="667"/>
      <c r="E977" s="668"/>
      <c r="F977" s="667"/>
      <c r="G977" s="667"/>
      <c r="H977" s="667"/>
      <c r="I977" s="667"/>
      <c r="J977" s="667"/>
      <c r="K977" s="667"/>
      <c r="L977" s="667"/>
      <c r="M977" s="667"/>
      <c r="N977" s="667"/>
      <c r="O977" s="667"/>
      <c r="P977" s="667"/>
      <c r="Q977" s="667"/>
    </row>
    <row r="978" ht="15.75" customHeight="1">
      <c r="B978" s="667"/>
      <c r="C978" s="667"/>
      <c r="D978" s="667"/>
      <c r="E978" s="668"/>
      <c r="F978" s="667"/>
      <c r="G978" s="667"/>
      <c r="H978" s="667"/>
      <c r="I978" s="667"/>
      <c r="J978" s="667"/>
      <c r="K978" s="667"/>
      <c r="L978" s="667"/>
      <c r="M978" s="667"/>
      <c r="N978" s="667"/>
      <c r="O978" s="667"/>
      <c r="P978" s="667"/>
      <c r="Q978" s="667"/>
    </row>
    <row r="979" ht="15.75" customHeight="1">
      <c r="B979" s="667"/>
      <c r="C979" s="667"/>
      <c r="D979" s="667"/>
      <c r="E979" s="668"/>
      <c r="F979" s="667"/>
      <c r="G979" s="667"/>
      <c r="H979" s="667"/>
      <c r="I979" s="667"/>
      <c r="J979" s="667"/>
      <c r="K979" s="667"/>
      <c r="L979" s="667"/>
      <c r="M979" s="667"/>
      <c r="N979" s="667"/>
      <c r="O979" s="667"/>
      <c r="P979" s="667"/>
      <c r="Q979" s="667"/>
    </row>
    <row r="980" ht="15.75" customHeight="1">
      <c r="B980" s="667"/>
      <c r="C980" s="667"/>
      <c r="D980" s="667"/>
      <c r="E980" s="668"/>
      <c r="F980" s="667"/>
      <c r="G980" s="667"/>
      <c r="H980" s="667"/>
      <c r="I980" s="667"/>
      <c r="J980" s="667"/>
      <c r="K980" s="667"/>
      <c r="L980" s="667"/>
      <c r="M980" s="667"/>
      <c r="N980" s="667"/>
      <c r="O980" s="667"/>
      <c r="P980" s="667"/>
      <c r="Q980" s="667"/>
    </row>
    <row r="981" ht="15.75" customHeight="1">
      <c r="B981" s="667"/>
      <c r="C981" s="667"/>
      <c r="D981" s="667"/>
      <c r="E981" s="668"/>
      <c r="F981" s="667"/>
      <c r="G981" s="667"/>
      <c r="H981" s="667"/>
      <c r="I981" s="667"/>
      <c r="J981" s="667"/>
      <c r="K981" s="667"/>
      <c r="L981" s="667"/>
      <c r="M981" s="667"/>
      <c r="N981" s="667"/>
      <c r="O981" s="667"/>
      <c r="P981" s="667"/>
      <c r="Q981" s="667"/>
    </row>
    <row r="982" ht="15.75" customHeight="1">
      <c r="B982" s="667"/>
      <c r="C982" s="667"/>
      <c r="D982" s="667"/>
      <c r="E982" s="668"/>
      <c r="F982" s="667"/>
      <c r="G982" s="667"/>
      <c r="H982" s="667"/>
      <c r="I982" s="667"/>
      <c r="J982" s="667"/>
      <c r="K982" s="667"/>
      <c r="L982" s="667"/>
      <c r="M982" s="667"/>
      <c r="N982" s="667"/>
      <c r="O982" s="667"/>
      <c r="P982" s="667"/>
      <c r="Q982" s="667"/>
    </row>
    <row r="983" ht="15.75" customHeight="1">
      <c r="B983" s="667"/>
      <c r="C983" s="667"/>
      <c r="D983" s="667"/>
      <c r="E983" s="668"/>
      <c r="F983" s="667"/>
      <c r="G983" s="667"/>
      <c r="H983" s="667"/>
      <c r="I983" s="667"/>
      <c r="J983" s="667"/>
      <c r="K983" s="667"/>
      <c r="L983" s="667"/>
      <c r="M983" s="667"/>
      <c r="N983" s="667"/>
      <c r="O983" s="667"/>
      <c r="P983" s="667"/>
      <c r="Q983" s="667"/>
    </row>
    <row r="984" ht="15.75" customHeight="1">
      <c r="B984" s="667"/>
      <c r="C984" s="667"/>
      <c r="D984" s="667"/>
      <c r="E984" s="668"/>
      <c r="F984" s="667"/>
      <c r="G984" s="667"/>
      <c r="H984" s="667"/>
      <c r="I984" s="667"/>
      <c r="J984" s="667"/>
      <c r="K984" s="667"/>
      <c r="L984" s="667"/>
      <c r="M984" s="667"/>
      <c r="N984" s="667"/>
      <c r="O984" s="667"/>
      <c r="P984" s="667"/>
      <c r="Q984" s="667"/>
    </row>
    <row r="985" ht="15.75" customHeight="1">
      <c r="B985" s="667"/>
      <c r="C985" s="667"/>
      <c r="D985" s="667"/>
      <c r="E985" s="668"/>
      <c r="F985" s="667"/>
      <c r="G985" s="667"/>
      <c r="H985" s="667"/>
      <c r="I985" s="667"/>
      <c r="J985" s="667"/>
      <c r="K985" s="667"/>
      <c r="L985" s="667"/>
      <c r="M985" s="667"/>
      <c r="N985" s="667"/>
      <c r="O985" s="667"/>
      <c r="P985" s="667"/>
      <c r="Q985" s="667"/>
    </row>
    <row r="986" ht="15.75" customHeight="1">
      <c r="B986" s="667"/>
      <c r="C986" s="667"/>
      <c r="D986" s="667"/>
      <c r="E986" s="668"/>
      <c r="F986" s="667"/>
      <c r="G986" s="667"/>
      <c r="H986" s="667"/>
      <c r="I986" s="667"/>
      <c r="J986" s="667"/>
      <c r="K986" s="667"/>
      <c r="L986" s="667"/>
      <c r="M986" s="667"/>
      <c r="N986" s="667"/>
      <c r="O986" s="667"/>
      <c r="P986" s="667"/>
      <c r="Q986" s="667"/>
    </row>
    <row r="987" ht="15.75" customHeight="1">
      <c r="B987" s="667"/>
      <c r="C987" s="667"/>
      <c r="D987" s="667"/>
      <c r="E987" s="668"/>
      <c r="F987" s="667"/>
      <c r="G987" s="667"/>
      <c r="H987" s="667"/>
      <c r="I987" s="667"/>
      <c r="J987" s="667"/>
      <c r="K987" s="667"/>
      <c r="L987" s="667"/>
      <c r="M987" s="667"/>
      <c r="N987" s="667"/>
      <c r="O987" s="667"/>
      <c r="P987" s="667"/>
      <c r="Q987" s="667"/>
    </row>
    <row r="988" ht="15.75" customHeight="1">
      <c r="B988" s="667"/>
      <c r="C988" s="667"/>
      <c r="D988" s="667"/>
      <c r="E988" s="668"/>
      <c r="F988" s="667"/>
      <c r="G988" s="667"/>
      <c r="H988" s="667"/>
      <c r="I988" s="667"/>
      <c r="J988" s="667"/>
      <c r="K988" s="667"/>
      <c r="L988" s="667"/>
      <c r="M988" s="667"/>
      <c r="N988" s="667"/>
      <c r="O988" s="667"/>
      <c r="P988" s="667"/>
      <c r="Q988" s="667"/>
    </row>
    <row r="989" ht="15.75" customHeight="1">
      <c r="B989" s="667"/>
      <c r="C989" s="667"/>
      <c r="D989" s="667"/>
      <c r="E989" s="668"/>
      <c r="F989" s="667"/>
      <c r="G989" s="667"/>
      <c r="H989" s="667"/>
      <c r="I989" s="667"/>
      <c r="J989" s="667"/>
      <c r="K989" s="667"/>
      <c r="L989" s="667"/>
      <c r="M989" s="667"/>
      <c r="N989" s="667"/>
      <c r="O989" s="667"/>
      <c r="P989" s="667"/>
      <c r="Q989" s="667"/>
    </row>
    <row r="990" ht="15.75" customHeight="1">
      <c r="B990" s="667"/>
      <c r="C990" s="667"/>
      <c r="D990" s="667"/>
      <c r="E990" s="668"/>
      <c r="F990" s="667"/>
      <c r="G990" s="667"/>
      <c r="H990" s="667"/>
      <c r="I990" s="667"/>
      <c r="J990" s="667"/>
      <c r="K990" s="667"/>
      <c r="L990" s="667"/>
      <c r="M990" s="667"/>
      <c r="N990" s="667"/>
      <c r="O990" s="667"/>
      <c r="P990" s="667"/>
      <c r="Q990" s="667"/>
    </row>
    <row r="991" ht="15.75" customHeight="1">
      <c r="B991" s="667"/>
      <c r="C991" s="667"/>
      <c r="D991" s="667"/>
      <c r="E991" s="668"/>
      <c r="F991" s="667"/>
      <c r="G991" s="667"/>
      <c r="H991" s="667"/>
      <c r="I991" s="667"/>
      <c r="J991" s="667"/>
      <c r="K991" s="667"/>
      <c r="L991" s="667"/>
      <c r="M991" s="667"/>
      <c r="N991" s="667"/>
      <c r="O991" s="667"/>
      <c r="P991" s="667"/>
      <c r="Q991" s="667"/>
    </row>
    <row r="992" ht="15.75" customHeight="1">
      <c r="B992" s="667"/>
      <c r="C992" s="667"/>
      <c r="D992" s="667"/>
      <c r="E992" s="668"/>
      <c r="F992" s="667"/>
      <c r="G992" s="667"/>
      <c r="H992" s="667"/>
      <c r="I992" s="667"/>
      <c r="J992" s="667"/>
      <c r="K992" s="667"/>
      <c r="L992" s="667"/>
      <c r="M992" s="667"/>
      <c r="N992" s="667"/>
      <c r="O992" s="667"/>
      <c r="P992" s="667"/>
      <c r="Q992" s="667"/>
    </row>
    <row r="993" ht="15.75" customHeight="1">
      <c r="B993" s="667"/>
      <c r="C993" s="667"/>
      <c r="D993" s="667"/>
      <c r="E993" s="668"/>
      <c r="F993" s="667"/>
      <c r="G993" s="667"/>
      <c r="H993" s="667"/>
      <c r="I993" s="667"/>
      <c r="J993" s="667"/>
      <c r="K993" s="667"/>
      <c r="L993" s="667"/>
      <c r="M993" s="667"/>
      <c r="N993" s="667"/>
      <c r="O993" s="667"/>
      <c r="P993" s="667"/>
      <c r="Q993" s="667"/>
    </row>
    <row r="994" ht="15.75" customHeight="1">
      <c r="B994" s="667"/>
      <c r="C994" s="667"/>
      <c r="D994" s="667"/>
      <c r="E994" s="668"/>
      <c r="F994" s="667"/>
      <c r="G994" s="667"/>
      <c r="H994" s="667"/>
      <c r="I994" s="667"/>
      <c r="J994" s="667"/>
      <c r="K994" s="667"/>
      <c r="L994" s="667"/>
      <c r="M994" s="667"/>
      <c r="N994" s="667"/>
      <c r="O994" s="667"/>
      <c r="P994" s="667"/>
      <c r="Q994" s="667"/>
    </row>
    <row r="995" ht="15.75" customHeight="1">
      <c r="B995" s="667"/>
      <c r="C995" s="667"/>
      <c r="D995" s="667"/>
      <c r="E995" s="668"/>
      <c r="F995" s="667"/>
      <c r="G995" s="667"/>
      <c r="H995" s="667"/>
      <c r="I995" s="667"/>
      <c r="J995" s="667"/>
      <c r="K995" s="667"/>
      <c r="L995" s="667"/>
      <c r="M995" s="667"/>
      <c r="N995" s="667"/>
      <c r="O995" s="667"/>
      <c r="P995" s="667"/>
      <c r="Q995" s="667"/>
    </row>
    <row r="996" ht="15.75" customHeight="1">
      <c r="B996" s="667"/>
      <c r="C996" s="667"/>
      <c r="D996" s="667"/>
      <c r="E996" s="668"/>
      <c r="F996" s="667"/>
      <c r="G996" s="667"/>
      <c r="H996" s="667"/>
      <c r="I996" s="667"/>
      <c r="J996" s="667"/>
      <c r="K996" s="667"/>
      <c r="L996" s="667"/>
      <c r="M996" s="667"/>
      <c r="N996" s="667"/>
      <c r="O996" s="667"/>
      <c r="P996" s="667"/>
      <c r="Q996" s="667"/>
    </row>
    <row r="997" ht="15.75" customHeight="1">
      <c r="B997" s="667"/>
      <c r="C997" s="667"/>
      <c r="D997" s="667"/>
      <c r="E997" s="668"/>
      <c r="F997" s="667"/>
      <c r="G997" s="667"/>
      <c r="H997" s="667"/>
      <c r="I997" s="667"/>
      <c r="J997" s="667"/>
      <c r="K997" s="667"/>
      <c r="L997" s="667"/>
      <c r="M997" s="667"/>
      <c r="N997" s="667"/>
      <c r="O997" s="667"/>
      <c r="P997" s="667"/>
      <c r="Q997" s="667"/>
    </row>
    <row r="998" ht="15.75" customHeight="1">
      <c r="B998" s="667"/>
      <c r="C998" s="667"/>
      <c r="D998" s="667"/>
      <c r="E998" s="668"/>
      <c r="F998" s="667"/>
      <c r="G998" s="667"/>
      <c r="H998" s="667"/>
      <c r="I998" s="667"/>
      <c r="J998" s="667"/>
      <c r="K998" s="667"/>
      <c r="L998" s="667"/>
      <c r="M998" s="667"/>
      <c r="N998" s="667"/>
      <c r="O998" s="667"/>
      <c r="P998" s="667"/>
      <c r="Q998" s="667"/>
    </row>
    <row r="999" ht="15.75" customHeight="1">
      <c r="B999" s="667"/>
      <c r="C999" s="667"/>
      <c r="D999" s="667"/>
      <c r="E999" s="668"/>
      <c r="F999" s="667"/>
      <c r="G999" s="667"/>
      <c r="H999" s="667"/>
      <c r="I999" s="667"/>
      <c r="J999" s="667"/>
      <c r="K999" s="667"/>
      <c r="L999" s="667"/>
      <c r="M999" s="667"/>
      <c r="N999" s="667"/>
      <c r="O999" s="667"/>
      <c r="P999" s="667"/>
      <c r="Q999" s="667"/>
    </row>
    <row r="1000" ht="15.75" customHeight="1">
      <c r="B1000" s="667"/>
      <c r="C1000" s="667"/>
      <c r="D1000" s="667"/>
      <c r="E1000" s="668"/>
      <c r="F1000" s="667"/>
      <c r="G1000" s="667"/>
      <c r="H1000" s="667"/>
      <c r="I1000" s="667"/>
      <c r="J1000" s="667"/>
      <c r="K1000" s="667"/>
      <c r="L1000" s="667"/>
      <c r="M1000" s="667"/>
      <c r="N1000" s="667"/>
      <c r="O1000" s="667"/>
      <c r="P1000" s="667"/>
      <c r="Q1000" s="667"/>
    </row>
  </sheetData>
  <mergeCells count="30">
    <mergeCell ref="B1:Q1"/>
    <mergeCell ref="C2:Q2"/>
    <mergeCell ref="K3:M3"/>
    <mergeCell ref="O3:Q3"/>
    <mergeCell ref="L4:M4"/>
    <mergeCell ref="B204:Q204"/>
    <mergeCell ref="C205:E205"/>
    <mergeCell ref="G208:H208"/>
    <mergeCell ref="I208:L208"/>
    <mergeCell ref="M208:Q208"/>
    <mergeCell ref="G205:H205"/>
    <mergeCell ref="I205:L205"/>
    <mergeCell ref="G206:H206"/>
    <mergeCell ref="K206:L206"/>
    <mergeCell ref="B207:C207"/>
    <mergeCell ref="E207:F207"/>
    <mergeCell ref="C208:E208"/>
    <mergeCell ref="C210:E210"/>
    <mergeCell ref="C211:E211"/>
    <mergeCell ref="G211:H211"/>
    <mergeCell ref="J211:L211"/>
    <mergeCell ref="M211:Q211"/>
    <mergeCell ref="M212:N212"/>
    <mergeCell ref="C209:E209"/>
    <mergeCell ref="G209:H209"/>
    <mergeCell ref="J209:L209"/>
    <mergeCell ref="M209:Q209"/>
    <mergeCell ref="G210:H210"/>
    <mergeCell ref="J210:L210"/>
    <mergeCell ref="M210:Q210"/>
  </mergeCells>
  <printOptions/>
  <pageMargins bottom="0.7480314960629921" footer="0.0" header="0.0" left="0.7086614173228347" right="0.7086614173228347" top="0.7480314960629921"/>
  <pageSetup paperSize="5" scale="95"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71"/>
    <col customWidth="1" min="3" max="3" width="8.71"/>
    <col customWidth="1" min="4" max="4" width="12.57"/>
    <col customWidth="1" min="5" max="5" width="38.86"/>
    <col customWidth="1" min="6" max="6" width="8.71"/>
    <col customWidth="1" min="7" max="7" width="10.71"/>
    <col customWidth="1" min="8" max="13" width="8.71"/>
    <col customWidth="1" min="14" max="14" width="12.71"/>
    <col customWidth="1" min="15" max="26" width="8.71"/>
  </cols>
  <sheetData>
    <row r="2">
      <c r="N2" s="791"/>
    </row>
    <row r="3">
      <c r="P3" s="969" t="s">
        <v>23782</v>
      </c>
      <c r="Q3" s="970"/>
    </row>
    <row r="5">
      <c r="B5" s="971" t="s">
        <v>13864</v>
      </c>
      <c r="C5" s="972" t="s">
        <v>13834</v>
      </c>
      <c r="D5" s="971" t="s">
        <v>10</v>
      </c>
      <c r="E5" s="971" t="s">
        <v>23783</v>
      </c>
      <c r="F5" s="971" t="s">
        <v>12</v>
      </c>
      <c r="G5" s="971" t="s">
        <v>13</v>
      </c>
      <c r="H5" s="971" t="s">
        <v>14</v>
      </c>
      <c r="I5" s="971" t="s">
        <v>13835</v>
      </c>
      <c r="J5" s="971" t="s">
        <v>13865</v>
      </c>
      <c r="K5" s="971" t="s">
        <v>16</v>
      </c>
      <c r="L5" s="971" t="s">
        <v>13836</v>
      </c>
      <c r="M5" s="971" t="s">
        <v>13837</v>
      </c>
      <c r="N5" s="971" t="s">
        <v>18</v>
      </c>
      <c r="O5" s="971" t="s">
        <v>19</v>
      </c>
      <c r="P5" s="971" t="s">
        <v>20</v>
      </c>
      <c r="Q5" s="971" t="s">
        <v>23784</v>
      </c>
    </row>
    <row r="6">
      <c r="B6" s="410"/>
      <c r="C6" s="973"/>
      <c r="D6" s="410"/>
      <c r="E6" s="410"/>
      <c r="F6" s="410"/>
      <c r="G6" s="410"/>
      <c r="H6" s="410"/>
      <c r="I6" s="410"/>
      <c r="J6" s="410"/>
      <c r="K6" s="410"/>
      <c r="L6" s="410"/>
      <c r="M6" s="410"/>
      <c r="N6" s="410"/>
      <c r="O6" s="410"/>
      <c r="P6" s="410"/>
      <c r="Q6" s="410"/>
      <c r="R6" s="583"/>
      <c r="S6" s="583"/>
      <c r="T6" s="583"/>
    </row>
    <row r="7">
      <c r="B7" s="819">
        <v>1.0</v>
      </c>
      <c r="C7" s="819"/>
      <c r="D7" s="819" t="s">
        <v>23785</v>
      </c>
      <c r="E7" s="819" t="s">
        <v>23786</v>
      </c>
      <c r="F7" s="819" t="s">
        <v>23787</v>
      </c>
      <c r="G7" s="819" t="s">
        <v>23788</v>
      </c>
      <c r="H7" s="819" t="s">
        <v>30</v>
      </c>
      <c r="I7" s="819" t="s">
        <v>31</v>
      </c>
      <c r="J7" s="819" t="s">
        <v>30</v>
      </c>
      <c r="K7" s="819"/>
      <c r="L7" s="819"/>
      <c r="M7" s="819"/>
      <c r="N7" s="819" t="s">
        <v>23789</v>
      </c>
      <c r="O7" s="819"/>
      <c r="P7" s="819" t="s">
        <v>23790</v>
      </c>
      <c r="Q7" s="819">
        <v>1.0</v>
      </c>
      <c r="R7" s="583"/>
      <c r="S7" s="583"/>
      <c r="T7" s="583"/>
    </row>
    <row r="8">
      <c r="B8" s="819">
        <v>2.0</v>
      </c>
      <c r="C8" s="819"/>
      <c r="D8" s="819" t="s">
        <v>23791</v>
      </c>
      <c r="E8" s="819" t="s">
        <v>23792</v>
      </c>
      <c r="F8" s="819" t="s">
        <v>23787</v>
      </c>
      <c r="G8" s="819" t="s">
        <v>23788</v>
      </c>
      <c r="H8" s="819" t="s">
        <v>30</v>
      </c>
      <c r="I8" s="819" t="s">
        <v>31</v>
      </c>
      <c r="J8" s="819" t="s">
        <v>30</v>
      </c>
      <c r="K8" s="819"/>
      <c r="L8" s="819"/>
      <c r="M8" s="819"/>
      <c r="N8" s="819" t="s">
        <v>23789</v>
      </c>
      <c r="O8" s="819"/>
      <c r="P8" s="819" t="s">
        <v>23790</v>
      </c>
      <c r="Q8" s="819">
        <v>1.0</v>
      </c>
      <c r="R8" s="583"/>
      <c r="S8" s="583"/>
      <c r="T8" s="583"/>
    </row>
    <row r="9">
      <c r="B9" s="819"/>
      <c r="C9" s="819"/>
      <c r="D9" s="819" t="s">
        <v>23793</v>
      </c>
      <c r="E9" s="819" t="s">
        <v>23794</v>
      </c>
      <c r="F9" s="819" t="s">
        <v>23787</v>
      </c>
      <c r="G9" s="819" t="s">
        <v>23788</v>
      </c>
      <c r="H9" s="819" t="s">
        <v>30</v>
      </c>
      <c r="I9" s="819" t="s">
        <v>31</v>
      </c>
      <c r="J9" s="819" t="s">
        <v>30</v>
      </c>
      <c r="K9" s="819"/>
      <c r="L9" s="819"/>
      <c r="M9" s="819"/>
      <c r="N9" s="819" t="s">
        <v>23789</v>
      </c>
      <c r="O9" s="819"/>
      <c r="P9" s="819" t="s">
        <v>23790</v>
      </c>
      <c r="Q9" s="819">
        <v>1.0</v>
      </c>
      <c r="R9" s="583"/>
      <c r="S9" s="583"/>
      <c r="T9" s="583"/>
    </row>
    <row r="10">
      <c r="B10" s="819"/>
      <c r="C10" s="819"/>
      <c r="D10" s="819" t="s">
        <v>23785</v>
      </c>
      <c r="E10" s="819" t="s">
        <v>23795</v>
      </c>
      <c r="F10" s="819" t="s">
        <v>23787</v>
      </c>
      <c r="G10" s="819" t="s">
        <v>23788</v>
      </c>
      <c r="H10" s="819" t="s">
        <v>30</v>
      </c>
      <c r="I10" s="819"/>
      <c r="J10" s="819" t="s">
        <v>30</v>
      </c>
      <c r="K10" s="819"/>
      <c r="L10" s="819"/>
      <c r="M10" s="819"/>
      <c r="N10" s="819" t="s">
        <v>23789</v>
      </c>
      <c r="O10" s="819"/>
      <c r="P10" s="819" t="s">
        <v>23790</v>
      </c>
      <c r="Q10" s="819">
        <v>1.0</v>
      </c>
    </row>
    <row r="11">
      <c r="B11" s="819"/>
      <c r="C11" s="819"/>
      <c r="D11" s="819" t="s">
        <v>23796</v>
      </c>
      <c r="E11" s="819" t="s">
        <v>23797</v>
      </c>
      <c r="F11" s="819" t="s">
        <v>23787</v>
      </c>
      <c r="G11" s="819" t="s">
        <v>23788</v>
      </c>
      <c r="H11" s="819" t="s">
        <v>30</v>
      </c>
      <c r="I11" s="819"/>
      <c r="J11" s="819" t="s">
        <v>30</v>
      </c>
      <c r="K11" s="819"/>
      <c r="L11" s="819"/>
      <c r="M11" s="819"/>
      <c r="N11" s="819" t="s">
        <v>23789</v>
      </c>
      <c r="O11" s="819"/>
      <c r="P11" s="819" t="s">
        <v>23790</v>
      </c>
      <c r="Q11" s="819">
        <v>1.0</v>
      </c>
    </row>
    <row r="12">
      <c r="B12" s="819"/>
      <c r="C12" s="819"/>
      <c r="D12" s="819" t="s">
        <v>23798</v>
      </c>
      <c r="E12" s="819" t="s">
        <v>23799</v>
      </c>
      <c r="F12" s="819" t="s">
        <v>23787</v>
      </c>
      <c r="G12" s="819" t="s">
        <v>23788</v>
      </c>
      <c r="H12" s="819" t="s">
        <v>30</v>
      </c>
      <c r="I12" s="819"/>
      <c r="J12" s="819" t="s">
        <v>38</v>
      </c>
      <c r="K12" s="819"/>
      <c r="L12" s="819"/>
      <c r="M12" s="819"/>
      <c r="N12" s="819" t="s">
        <v>23789</v>
      </c>
      <c r="O12" s="819"/>
      <c r="P12" s="819" t="s">
        <v>23790</v>
      </c>
      <c r="Q12" s="819">
        <v>1.0</v>
      </c>
    </row>
    <row r="13">
      <c r="B13" s="819"/>
      <c r="C13" s="819"/>
      <c r="D13" s="819" t="s">
        <v>23791</v>
      </c>
      <c r="E13" s="819" t="s">
        <v>23800</v>
      </c>
      <c r="F13" s="819" t="s">
        <v>23787</v>
      </c>
      <c r="G13" s="819" t="s">
        <v>23788</v>
      </c>
      <c r="H13" s="819" t="s">
        <v>30</v>
      </c>
      <c r="I13" s="819"/>
      <c r="J13" s="819" t="s">
        <v>30</v>
      </c>
      <c r="K13" s="819"/>
      <c r="L13" s="819"/>
      <c r="M13" s="819"/>
      <c r="N13" s="819" t="s">
        <v>23789</v>
      </c>
      <c r="O13" s="819"/>
      <c r="P13" s="819" t="s">
        <v>23790</v>
      </c>
      <c r="Q13" s="819">
        <v>1.0</v>
      </c>
    </row>
    <row r="14">
      <c r="B14" s="819"/>
      <c r="C14" s="819"/>
      <c r="D14" s="819" t="s">
        <v>23801</v>
      </c>
      <c r="E14" s="819" t="s">
        <v>23802</v>
      </c>
      <c r="F14" s="819" t="s">
        <v>23787</v>
      </c>
      <c r="G14" s="819" t="s">
        <v>23788</v>
      </c>
      <c r="H14" s="819" t="s">
        <v>30</v>
      </c>
      <c r="I14" s="819"/>
      <c r="J14" s="819" t="s">
        <v>30</v>
      </c>
      <c r="K14" s="819"/>
      <c r="L14" s="819"/>
      <c r="M14" s="819"/>
      <c r="N14" s="819" t="s">
        <v>23789</v>
      </c>
      <c r="O14" s="819"/>
      <c r="P14" s="819" t="s">
        <v>23790</v>
      </c>
      <c r="Q14" s="819">
        <v>1.0</v>
      </c>
    </row>
    <row r="15">
      <c r="B15" s="819"/>
      <c r="C15" s="819"/>
      <c r="D15" s="819" t="s">
        <v>23803</v>
      </c>
      <c r="E15" s="819" t="s">
        <v>23804</v>
      </c>
      <c r="F15" s="819" t="s">
        <v>23787</v>
      </c>
      <c r="G15" s="819" t="s">
        <v>23788</v>
      </c>
      <c r="H15" s="819" t="s">
        <v>30</v>
      </c>
      <c r="I15" s="819"/>
      <c r="J15" s="819" t="s">
        <v>38</v>
      </c>
      <c r="K15" s="819"/>
      <c r="L15" s="819"/>
      <c r="M15" s="819"/>
      <c r="N15" s="819" t="s">
        <v>23789</v>
      </c>
      <c r="O15" s="819"/>
      <c r="P15" s="819" t="s">
        <v>23790</v>
      </c>
      <c r="Q15" s="819">
        <v>1.0</v>
      </c>
    </row>
    <row r="16">
      <c r="B16" s="819"/>
      <c r="C16" s="819"/>
      <c r="D16" s="819" t="s">
        <v>23805</v>
      </c>
      <c r="E16" s="819" t="s">
        <v>23806</v>
      </c>
      <c r="F16" s="819" t="s">
        <v>23787</v>
      </c>
      <c r="G16" s="819" t="s">
        <v>23788</v>
      </c>
      <c r="H16" s="819" t="s">
        <v>30</v>
      </c>
      <c r="I16" s="819"/>
      <c r="J16" s="819" t="s">
        <v>30</v>
      </c>
      <c r="K16" s="819"/>
      <c r="L16" s="819"/>
      <c r="M16" s="819"/>
      <c r="N16" s="819" t="s">
        <v>23789</v>
      </c>
      <c r="O16" s="819"/>
      <c r="P16" s="819" t="s">
        <v>23790</v>
      </c>
      <c r="Q16" s="819">
        <v>1.0</v>
      </c>
      <c r="U16" s="791"/>
      <c r="V16" s="583"/>
      <c r="W16" s="583"/>
      <c r="X16" s="583"/>
      <c r="Y16" s="583"/>
    </row>
    <row r="17">
      <c r="B17" s="819"/>
      <c r="C17" s="819"/>
      <c r="D17" s="819" t="s">
        <v>23807</v>
      </c>
      <c r="E17" s="819" t="s">
        <v>23808</v>
      </c>
      <c r="F17" s="819" t="s">
        <v>23787</v>
      </c>
      <c r="G17" s="819" t="s">
        <v>23788</v>
      </c>
      <c r="H17" s="819" t="s">
        <v>30</v>
      </c>
      <c r="I17" s="819"/>
      <c r="J17" s="819" t="s">
        <v>38</v>
      </c>
      <c r="K17" s="819"/>
      <c r="L17" s="819"/>
      <c r="M17" s="819"/>
      <c r="N17" s="819" t="s">
        <v>23789</v>
      </c>
      <c r="O17" s="819"/>
      <c r="P17" s="819" t="s">
        <v>23790</v>
      </c>
      <c r="Q17" s="819">
        <v>1.0</v>
      </c>
      <c r="U17" s="583"/>
      <c r="V17" s="583"/>
      <c r="W17" s="583"/>
      <c r="X17" s="791"/>
      <c r="Y17" s="583"/>
    </row>
    <row r="18">
      <c r="B18" s="819"/>
      <c r="C18" s="819"/>
      <c r="D18" s="819" t="s">
        <v>23809</v>
      </c>
      <c r="E18" s="819" t="s">
        <v>23810</v>
      </c>
      <c r="F18" s="819" t="s">
        <v>23787</v>
      </c>
      <c r="G18" s="819" t="s">
        <v>23788</v>
      </c>
      <c r="H18" s="819" t="s">
        <v>30</v>
      </c>
      <c r="I18" s="819"/>
      <c r="J18" s="819" t="s">
        <v>30</v>
      </c>
      <c r="K18" s="819"/>
      <c r="L18" s="819"/>
      <c r="M18" s="819"/>
      <c r="N18" s="819" t="s">
        <v>23789</v>
      </c>
      <c r="O18" s="819"/>
      <c r="P18" s="819" t="s">
        <v>23790</v>
      </c>
      <c r="Q18" s="819">
        <v>1.0</v>
      </c>
      <c r="R18" s="583"/>
      <c r="S18" s="583"/>
      <c r="T18" s="583"/>
      <c r="U18" s="583"/>
      <c r="V18" s="583"/>
      <c r="W18" s="583"/>
      <c r="X18" s="583"/>
      <c r="Y18" s="583"/>
    </row>
    <row r="19">
      <c r="B19" s="819"/>
      <c r="C19" s="819"/>
      <c r="D19" s="819" t="s">
        <v>23811</v>
      </c>
      <c r="E19" s="819" t="s">
        <v>23812</v>
      </c>
      <c r="F19" s="819" t="s">
        <v>23787</v>
      </c>
      <c r="G19" s="819" t="s">
        <v>23788</v>
      </c>
      <c r="H19" s="819" t="s">
        <v>30</v>
      </c>
      <c r="I19" s="819"/>
      <c r="J19" s="819" t="s">
        <v>30</v>
      </c>
      <c r="K19" s="819"/>
      <c r="L19" s="819"/>
      <c r="M19" s="819"/>
      <c r="N19" s="819" t="s">
        <v>23789</v>
      </c>
      <c r="O19" s="819"/>
      <c r="P19" s="819" t="s">
        <v>23790</v>
      </c>
      <c r="Q19" s="819">
        <v>1.0</v>
      </c>
      <c r="R19" s="974"/>
      <c r="S19" s="974"/>
      <c r="T19" s="974"/>
      <c r="U19" s="974"/>
      <c r="V19" s="974"/>
      <c r="W19" s="974"/>
      <c r="X19" s="974"/>
      <c r="Y19" s="583"/>
    </row>
    <row r="20">
      <c r="B20" s="819"/>
      <c r="C20" s="819"/>
      <c r="D20" s="819"/>
      <c r="E20" s="819"/>
      <c r="F20" s="819"/>
      <c r="G20" s="819"/>
      <c r="H20" s="819"/>
      <c r="I20" s="819"/>
      <c r="J20" s="819"/>
      <c r="K20" s="819"/>
      <c r="L20" s="819"/>
      <c r="M20" s="819"/>
      <c r="N20" s="819"/>
      <c r="O20" s="819"/>
      <c r="P20" s="819"/>
      <c r="Q20" s="819"/>
      <c r="R20" s="583"/>
      <c r="S20" s="583"/>
      <c r="T20" s="583"/>
      <c r="U20" s="583"/>
      <c r="V20" s="583"/>
      <c r="W20" s="583"/>
      <c r="X20" s="583"/>
    </row>
    <row r="21" ht="15.75" customHeight="1">
      <c r="B21" s="819"/>
      <c r="C21" s="819"/>
      <c r="D21" s="819"/>
      <c r="E21" s="819"/>
      <c r="F21" s="819"/>
      <c r="G21" s="819"/>
      <c r="H21" s="819"/>
      <c r="I21" s="819"/>
      <c r="J21" s="819"/>
      <c r="K21" s="819"/>
      <c r="L21" s="819"/>
      <c r="M21" s="819"/>
      <c r="N21" s="819"/>
      <c r="O21" s="819"/>
      <c r="P21" s="819"/>
      <c r="Q21" s="819"/>
      <c r="R21" s="583"/>
      <c r="S21" s="583"/>
      <c r="T21" s="583"/>
      <c r="U21" s="583"/>
      <c r="V21" s="583"/>
      <c r="W21" s="583"/>
      <c r="X21" s="583"/>
    </row>
    <row r="22" ht="15.75" customHeight="1">
      <c r="B22" s="819"/>
      <c r="C22" s="819"/>
      <c r="D22" s="819"/>
      <c r="E22" s="819"/>
      <c r="F22" s="819"/>
      <c r="G22" s="819"/>
      <c r="H22" s="819"/>
      <c r="I22" s="819"/>
      <c r="J22" s="819"/>
      <c r="K22" s="819"/>
      <c r="L22" s="819"/>
      <c r="M22" s="819"/>
      <c r="N22" s="819"/>
      <c r="O22" s="819"/>
      <c r="P22" s="819"/>
      <c r="Q22" s="819"/>
      <c r="R22" s="583"/>
      <c r="S22" s="583"/>
      <c r="T22" s="583"/>
      <c r="U22" s="583"/>
      <c r="V22" s="583"/>
      <c r="W22" s="583"/>
      <c r="X22" s="583"/>
    </row>
    <row r="23" ht="15.75" customHeight="1">
      <c r="B23" s="819"/>
      <c r="C23" s="819"/>
      <c r="D23" s="819"/>
      <c r="E23" s="819"/>
      <c r="F23" s="819"/>
      <c r="G23" s="819"/>
      <c r="H23" s="819"/>
      <c r="I23" s="819"/>
      <c r="J23" s="819"/>
      <c r="K23" s="819"/>
      <c r="L23" s="819"/>
      <c r="M23" s="819"/>
      <c r="N23" s="819"/>
      <c r="O23" s="819"/>
      <c r="P23" s="819"/>
      <c r="Q23" s="819"/>
    </row>
    <row r="24" ht="15.75" customHeight="1">
      <c r="B24" s="819"/>
      <c r="C24" s="819"/>
      <c r="D24" s="819"/>
      <c r="E24" s="819"/>
      <c r="F24" s="819"/>
      <c r="G24" s="819"/>
      <c r="H24" s="819"/>
      <c r="I24" s="819"/>
      <c r="J24" s="819"/>
      <c r="K24" s="819"/>
      <c r="L24" s="819"/>
      <c r="M24" s="819"/>
      <c r="N24" s="819"/>
      <c r="O24" s="819"/>
      <c r="P24" s="819"/>
      <c r="Q24" s="819"/>
    </row>
    <row r="25" ht="15.75" customHeight="1">
      <c r="B25" s="819"/>
      <c r="C25" s="819"/>
      <c r="D25" s="819"/>
      <c r="E25" s="819"/>
      <c r="F25" s="819"/>
      <c r="G25" s="819"/>
      <c r="H25" s="819"/>
      <c r="I25" s="819"/>
      <c r="J25" s="819"/>
      <c r="K25" s="819"/>
      <c r="L25" s="819"/>
      <c r="M25" s="819"/>
      <c r="N25" s="819"/>
      <c r="O25" s="819"/>
      <c r="P25" s="819"/>
      <c r="Q25" s="819"/>
    </row>
    <row r="26" ht="15.75" customHeight="1">
      <c r="B26" s="819"/>
      <c r="C26" s="819"/>
      <c r="D26" s="819"/>
      <c r="E26" s="819"/>
      <c r="F26" s="819"/>
      <c r="G26" s="819"/>
      <c r="H26" s="819"/>
      <c r="I26" s="819"/>
      <c r="J26" s="819"/>
      <c r="K26" s="819"/>
      <c r="L26" s="819"/>
      <c r="M26" s="819"/>
      <c r="N26" s="819"/>
      <c r="O26" s="819"/>
      <c r="P26" s="819"/>
      <c r="Q26" s="819"/>
    </row>
    <row r="27" ht="15.75" customHeight="1">
      <c r="B27" s="819"/>
      <c r="C27" s="819"/>
      <c r="D27" s="819"/>
      <c r="E27" s="819"/>
      <c r="F27" s="819"/>
      <c r="G27" s="819"/>
      <c r="H27" s="819"/>
      <c r="I27" s="819"/>
      <c r="J27" s="819"/>
      <c r="K27" s="819"/>
      <c r="L27" s="819"/>
      <c r="M27" s="819"/>
      <c r="N27" s="819"/>
      <c r="O27" s="819"/>
      <c r="P27" s="819"/>
      <c r="Q27" s="819"/>
    </row>
    <row r="28" ht="15.75" customHeight="1">
      <c r="B28" s="819"/>
      <c r="C28" s="819"/>
      <c r="D28" s="819"/>
      <c r="E28" s="819"/>
      <c r="F28" s="819"/>
      <c r="G28" s="819"/>
      <c r="H28" s="819"/>
      <c r="I28" s="819"/>
      <c r="J28" s="819"/>
      <c r="K28" s="819"/>
      <c r="L28" s="819"/>
      <c r="M28" s="819"/>
      <c r="N28" s="819"/>
      <c r="O28" s="819"/>
      <c r="P28" s="819"/>
      <c r="Q28" s="819"/>
    </row>
    <row r="29" ht="15.75" customHeight="1">
      <c r="B29" s="819"/>
      <c r="C29" s="819"/>
      <c r="D29" s="819"/>
      <c r="E29" s="819"/>
      <c r="F29" s="819"/>
      <c r="G29" s="819"/>
      <c r="H29" s="819"/>
      <c r="I29" s="819"/>
      <c r="J29" s="819"/>
      <c r="K29" s="819"/>
      <c r="L29" s="819"/>
      <c r="M29" s="819"/>
      <c r="N29" s="819"/>
      <c r="O29" s="819"/>
      <c r="P29" s="819"/>
      <c r="Q29" s="819"/>
    </row>
    <row r="30" ht="15.75" customHeight="1">
      <c r="B30" s="819"/>
      <c r="C30" s="819"/>
      <c r="D30" s="819"/>
      <c r="E30" s="819"/>
      <c r="F30" s="819"/>
      <c r="G30" s="819"/>
      <c r="H30" s="819"/>
      <c r="I30" s="819"/>
      <c r="J30" s="819"/>
      <c r="K30" s="819"/>
      <c r="L30" s="819"/>
      <c r="M30" s="819"/>
      <c r="N30" s="819"/>
      <c r="O30" s="819"/>
      <c r="P30" s="819"/>
      <c r="Q30" s="819"/>
    </row>
    <row r="31" ht="15.75" customHeight="1">
      <c r="B31" s="819"/>
      <c r="C31" s="819"/>
      <c r="D31" s="819"/>
      <c r="E31" s="819"/>
      <c r="F31" s="819"/>
      <c r="G31" s="819"/>
      <c r="H31" s="819"/>
      <c r="I31" s="819"/>
      <c r="J31" s="819"/>
      <c r="K31" s="819"/>
      <c r="L31" s="819"/>
      <c r="M31" s="819"/>
      <c r="N31" s="819"/>
      <c r="O31" s="819"/>
      <c r="P31" s="819"/>
      <c r="Q31" s="819"/>
    </row>
    <row r="32" ht="15.75" customHeight="1">
      <c r="B32" s="819"/>
      <c r="C32" s="819"/>
      <c r="D32" s="819"/>
      <c r="E32" s="819"/>
      <c r="F32" s="819"/>
      <c r="G32" s="819"/>
      <c r="H32" s="819"/>
      <c r="I32" s="819"/>
      <c r="J32" s="819"/>
      <c r="K32" s="819"/>
      <c r="L32" s="819"/>
      <c r="M32" s="819"/>
      <c r="N32" s="819"/>
      <c r="O32" s="819"/>
      <c r="P32" s="819"/>
      <c r="Q32" s="819"/>
    </row>
    <row r="33" ht="15.75" customHeight="1">
      <c r="B33" s="819"/>
      <c r="C33" s="819"/>
      <c r="D33" s="819"/>
      <c r="E33" s="819"/>
      <c r="F33" s="819"/>
      <c r="G33" s="819"/>
      <c r="H33" s="819"/>
      <c r="I33" s="819"/>
      <c r="J33" s="819"/>
      <c r="K33" s="819"/>
      <c r="L33" s="819"/>
      <c r="M33" s="819"/>
      <c r="N33" s="819"/>
      <c r="O33" s="819"/>
      <c r="P33" s="819"/>
      <c r="Q33" s="819"/>
    </row>
    <row r="34" ht="15.75" customHeight="1">
      <c r="B34" s="819"/>
      <c r="C34" s="819"/>
      <c r="D34" s="819"/>
      <c r="E34" s="819"/>
      <c r="F34" s="819"/>
      <c r="G34" s="819"/>
      <c r="H34" s="819"/>
      <c r="I34" s="819"/>
      <c r="J34" s="819"/>
      <c r="K34" s="819"/>
      <c r="L34" s="819"/>
      <c r="M34" s="819"/>
      <c r="N34" s="819"/>
      <c r="O34" s="819"/>
      <c r="P34" s="819"/>
      <c r="Q34" s="819"/>
    </row>
    <row r="35" ht="15.75" customHeight="1">
      <c r="B35" s="819"/>
      <c r="C35" s="819"/>
      <c r="D35" s="819"/>
      <c r="E35" s="819"/>
      <c r="F35" s="819"/>
      <c r="G35" s="819"/>
      <c r="H35" s="819"/>
      <c r="I35" s="819"/>
      <c r="J35" s="819"/>
      <c r="K35" s="819"/>
      <c r="L35" s="819"/>
      <c r="M35" s="819"/>
      <c r="N35" s="819"/>
      <c r="O35" s="819"/>
      <c r="P35" s="819"/>
      <c r="Q35" s="819"/>
    </row>
    <row r="36" ht="15.75" customHeight="1">
      <c r="B36" s="819"/>
      <c r="C36" s="819"/>
      <c r="D36" s="819"/>
      <c r="E36" s="819"/>
      <c r="F36" s="819"/>
      <c r="G36" s="819"/>
      <c r="H36" s="819"/>
      <c r="I36" s="819"/>
      <c r="J36" s="819"/>
      <c r="K36" s="819"/>
      <c r="L36" s="819"/>
      <c r="M36" s="819"/>
      <c r="N36" s="819"/>
      <c r="O36" s="819"/>
      <c r="P36" s="819"/>
      <c r="Q36" s="819"/>
    </row>
    <row r="37" ht="15.75" customHeight="1">
      <c r="B37" s="819"/>
      <c r="C37" s="819"/>
      <c r="D37" s="819"/>
      <c r="E37" s="819"/>
      <c r="F37" s="819"/>
      <c r="G37" s="819"/>
      <c r="H37" s="819"/>
      <c r="I37" s="819"/>
      <c r="J37" s="819"/>
      <c r="K37" s="819"/>
      <c r="L37" s="819"/>
      <c r="M37" s="819"/>
      <c r="N37" s="819"/>
      <c r="O37" s="819"/>
      <c r="P37" s="819"/>
      <c r="Q37" s="819"/>
    </row>
    <row r="38" ht="15.75" customHeight="1">
      <c r="B38" s="819"/>
      <c r="C38" s="819"/>
      <c r="D38" s="819"/>
      <c r="E38" s="819"/>
      <c r="F38" s="819"/>
      <c r="G38" s="819"/>
      <c r="H38" s="819"/>
      <c r="I38" s="819"/>
      <c r="J38" s="819"/>
      <c r="K38" s="819"/>
      <c r="L38" s="819"/>
      <c r="M38" s="819"/>
      <c r="N38" s="819"/>
      <c r="O38" s="819"/>
      <c r="P38" s="819"/>
      <c r="Q38" s="819"/>
    </row>
    <row r="39" ht="15.75" customHeight="1">
      <c r="B39" s="819"/>
      <c r="C39" s="819"/>
      <c r="D39" s="819"/>
      <c r="E39" s="819"/>
      <c r="F39" s="819"/>
      <c r="G39" s="819"/>
      <c r="H39" s="819"/>
      <c r="I39" s="819"/>
      <c r="J39" s="819"/>
      <c r="K39" s="819"/>
      <c r="L39" s="819"/>
      <c r="M39" s="819"/>
      <c r="N39" s="819"/>
      <c r="O39" s="819"/>
      <c r="P39" s="819"/>
      <c r="Q39" s="819">
        <f>sum(Q7:Q19)</f>
        <v>13</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